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_KARYAWAN" sheetId="1" state="visible" r:id="rId3"/>
    <sheet name="LOG_PERUBAHAN" sheetId="2" state="visible" r:id="rId4"/>
  </sheets>
  <definedNames>
    <definedName function="false" hidden="true" localSheetId="0" name="_xlnm._FilterDatabase" vbProcedure="false">DATA_KARYAWAN!$A$1:$DF$4033</definedName>
    <definedName function="false" hidden="true" localSheetId="1" name="_xlnm._FilterDatabase" vbProcedure="false">LOG_PERUBAHAN!$A$1:$G$3643</definedName>
    <definedName function="false" hidden="false" name="bulan" vbProcedure="false">#REF!</definedName>
    <definedName function="false" hidden="false" name="databendera1" vbProcedure="false">#REF!</definedName>
    <definedName function="false" hidden="false" name="databenefit1" vbProcedure="false">#REF!</definedName>
    <definedName function="false" hidden="false" name="datanickname1" vbProcedure="false">#REF!</definedName>
    <definedName function="false" hidden="false" name="dataro1" vbProcedure="false">#REF!</definedName>
    <definedName function="false" hidden="false" name="datasite1" vbProcedure="false">#REF!</definedName>
    <definedName function="false" hidden="false" name="sitehris1" vbProcedure="false">#REF!</definedName>
    <definedName function="false" hidden="false" name="tabelbulan1" vbProcedure="false">#REF!</definedName>
    <definedName function="false" hidden="false" name="tabeltanggal1" vbProcedure="false">#REF!</definedName>
    <definedName function="false" hidden="true" localSheetId="0" name="Z_76F80130_EF2E_4CDC_9A58_A58194B70C5D_.wvu.FilterData" vbProcedure="false">DATA_KARYAWAN!$A$1:$AE$3249</definedName>
    <definedName function="false" hidden="true" localSheetId="0" name="Z_9AAD3C5A_91B6_4302_BB88_A68CE0B5C75B_.wvu.FilterData" vbProcedure="false">DATA_KARYAWAN!$A$1:$AE$2429</definedName>
    <definedName function="false" hidden="true" localSheetId="0" name="Z_BE46AF61_4845_45B1_9898_25EF4988A53F_.wvu.FilterData" vbProcedure="false">DATA_KARYAWAN!$A$1:$AE$4033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1239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PKS Lanjut sampai 12/5/27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12</xdr:row>
                <xdr:rowOff>9</xdr:rowOff>
              </xdr:to>
            </anchor>
          </commentPr>
        </mc:Choice>
        <mc:Fallback/>
      </mc:AlternateContent>
    </comment>
    <comment ref="B1240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PKS Lanjut sampai 12/5/27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12</xdr:row>
                <xdr:rowOff>9</xdr:rowOff>
              </xdr:to>
            </anchor>
          </commentPr>
        </mc:Choice>
        <mc:Fallback/>
      </mc:AlternateContent>
    </comment>
    <comment ref="B1241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PKS Lanjut sampai 12/5/27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12</xdr:row>
                <xdr:rowOff>9</xdr:rowOff>
              </xdr:to>
            </anchor>
          </commentPr>
        </mc:Choice>
        <mc:Fallback/>
      </mc:AlternateContent>
    </comment>
    <comment ref="B1268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PKS Lanjut sampai 19/6/27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12</xdr:row>
                <xdr:rowOff>9</xdr:rowOff>
              </xdr:to>
            </anchor>
          </commentPr>
        </mc:Choice>
        <mc:Fallback/>
      </mc:AlternateContent>
    </comment>
    <comment ref="B1270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PKS Lanjut sampai 19/6/27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12</xdr:row>
                <xdr:rowOff>9</xdr:rowOff>
              </xdr:to>
            </anchor>
          </commentPr>
        </mc:Choice>
        <mc:Fallback/>
      </mc:AlternateContent>
    </comment>
    <comment ref="B1272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PKS Lanjut sampai 19/6/27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12</xdr:row>
                <xdr:rowOff>9</xdr:rowOff>
              </xdr:to>
            </anchor>
          </commentPr>
        </mc:Choice>
        <mc:Fallback/>
      </mc:AlternateContent>
    </comment>
    <comment ref="B1288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PKS Lanjut sampai 19/6/27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12</xdr:row>
                <xdr:rowOff>9</xdr:rowOff>
              </xdr:to>
            </anchor>
          </commentPr>
        </mc:Choice>
        <mc:Fallback/>
      </mc:AlternateContent>
    </comment>
    <comment ref="B1343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perpanjang PKS, maka akan adendum ke 31/12/26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13</xdr:row>
                <xdr:rowOff>4</xdr:rowOff>
              </xdr:to>
            </anchor>
          </commentPr>
        </mc:Choice>
        <mc:Fallback/>
      </mc:AlternateContent>
    </comment>
    <comment ref="B1692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perpanjang PKS, maka akan adendum ke 06/01/27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13</xdr:row>
                <xdr:rowOff>4</xdr:rowOff>
              </xdr:to>
            </anchor>
          </commentPr>
        </mc:Choice>
        <mc:Fallback/>
      </mc:AlternateContent>
    </comment>
    <comment ref="B1696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PKS Lanjut sampai 25/4/27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12</xdr:row>
                <xdr:rowOff>9</xdr:rowOff>
              </xdr:to>
            </anchor>
          </commentPr>
        </mc:Choice>
        <mc:Fallback/>
      </mc:AlternateContent>
    </comment>
    <comment ref="B1750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PKS perpanjang adendum sampai 8/9/27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13</xdr:row>
                <xdr:rowOff>4</xdr:rowOff>
              </xdr:to>
            </anchor>
          </commentPr>
        </mc:Choice>
        <mc:Fallback/>
      </mc:AlternateContent>
    </comment>
    <comment ref="B1961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PKS lanjut, akan di adendum 3 bulan.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13</xdr:row>
                <xdr:rowOff>4</xdr:rowOff>
              </xdr:to>
            </anchor>
          </commentPr>
        </mc:Choice>
        <mc:Fallback/>
      </mc:AlternateContent>
    </comment>
    <comment ref="B1963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PKS lanjut, akan di adendum 6 bulan.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13</xdr:row>
                <xdr:rowOff>4</xdr:rowOff>
              </xdr:to>
            </anchor>
          </commentPr>
        </mc:Choice>
        <mc:Fallback/>
      </mc:AlternateContent>
    </comment>
    <comment ref="B1964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PKS lanjut, akan di adendum 3 bulan.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13</xdr:row>
                <xdr:rowOff>4</xdr:rowOff>
              </xdr:to>
            </anchor>
          </commentPr>
        </mc:Choice>
        <mc:Fallback/>
      </mc:AlternateContent>
    </comment>
    <comment ref="B2055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perpanjang PKS, maka akan adendum ke 25/02/27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13</xdr:row>
                <xdr:rowOff>4</xdr:rowOff>
              </xdr:to>
            </anchor>
          </commentPr>
        </mc:Choice>
        <mc:Fallback/>
      </mc:AlternateContent>
    </comment>
    <comment ref="B2058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perpanjang PKS, maka akan adendum ke 25/02/27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13</xdr:row>
                <xdr:rowOff>4</xdr:rowOff>
              </xdr:to>
            </anchor>
          </commentPr>
        </mc:Choice>
        <mc:Fallback/>
      </mc:AlternateContent>
    </comment>
    <comment ref="B2274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PKS lanjut, akan di adendum 6 bulan.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13</xdr:row>
                <xdr:rowOff>4</xdr:rowOff>
              </xdr:to>
            </anchor>
          </commentPr>
        </mc:Choice>
        <mc:Fallback/>
      </mc:AlternateContent>
    </comment>
    <comment ref="B2275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perpanjang PKS, Adendum smapai 1/9/27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13</xdr:row>
                <xdr:rowOff>4</xdr:rowOff>
              </xdr:to>
            </anchor>
          </commentPr>
        </mc:Choice>
        <mc:Fallback/>
      </mc:AlternateContent>
    </comment>
    <comment ref="B2481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PKS Lanjut sampai 25/6/27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12</xdr:row>
                <xdr:rowOff>9</xdr:rowOff>
              </xdr:to>
            </anchor>
          </commentPr>
        </mc:Choice>
        <mc:Fallback/>
      </mc:AlternateContent>
    </comment>
    <comment ref="B2484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PKS Lanjut sampai 25/6/27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12</xdr:row>
                <xdr:rowOff>9</xdr:rowOff>
              </xdr:to>
            </anchor>
          </commentPr>
        </mc:Choice>
        <mc:Fallback/>
      </mc:AlternateContent>
    </comment>
    <comment ref="B2485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PKS Lanjut sampai 25/6/27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12</xdr:row>
                <xdr:rowOff>9</xdr:rowOff>
              </xdr:to>
            </anchor>
          </commentPr>
        </mc:Choice>
        <mc:Fallback/>
      </mc:AlternateContent>
    </comment>
    <comment ref="B2486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PKS Lanjut sampai 25/6/27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12</xdr:row>
                <xdr:rowOff>9</xdr:rowOff>
              </xdr:to>
            </anchor>
          </commentPr>
        </mc:Choice>
        <mc:Fallback/>
      </mc:AlternateContent>
    </comment>
    <comment ref="B2487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PKS Lanjut sampai 25/6/27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12</xdr:row>
                <xdr:rowOff>9</xdr:rowOff>
              </xdr:to>
            </anchor>
          </commentPr>
        </mc:Choice>
        <mc:Fallback/>
      </mc:AlternateContent>
    </comment>
    <comment ref="B2488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PKS Lanjut sampai 25/6/27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12</xdr:row>
                <xdr:rowOff>9</xdr:rowOff>
              </xdr:to>
            </anchor>
          </commentPr>
        </mc:Choice>
        <mc:Fallback/>
      </mc:AlternateContent>
    </comment>
    <comment ref="B2489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PKS Lanjut sampai 25/6/27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12</xdr:row>
                <xdr:rowOff>9</xdr:rowOff>
              </xdr:to>
            </anchor>
          </commentPr>
        </mc:Choice>
        <mc:Fallback/>
      </mc:AlternateContent>
    </comment>
    <comment ref="B2490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PKS Lanjut sampai 25/6/27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12</xdr:row>
                <xdr:rowOff>9</xdr:rowOff>
              </xdr:to>
            </anchor>
          </commentPr>
        </mc:Choice>
        <mc:Fallback/>
      </mc:AlternateContent>
    </comment>
    <comment ref="B2491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PKS Lanjut sampai 25/6/27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12</xdr:row>
                <xdr:rowOff>9</xdr:rowOff>
              </xdr:to>
            </anchor>
          </commentPr>
        </mc:Choice>
        <mc:Fallback/>
      </mc:AlternateContent>
    </comment>
    <comment ref="B2492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PKS Lanjut sampai 25/6/27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12</xdr:row>
                <xdr:rowOff>9</xdr:rowOff>
              </xdr:to>
            </anchor>
          </commentPr>
        </mc:Choice>
        <mc:Fallback/>
      </mc:AlternateContent>
    </comment>
    <comment ref="B2493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PKS Lanjut sampai 25/6/27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12</xdr:row>
                <xdr:rowOff>9</xdr:rowOff>
              </xdr:to>
            </anchor>
          </commentPr>
        </mc:Choice>
        <mc:Fallback/>
      </mc:AlternateContent>
    </comment>
    <comment ref="B2494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PKS Lanjut sampai 25/6/27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12</xdr:row>
                <xdr:rowOff>9</xdr:rowOff>
              </xdr:to>
            </anchor>
          </commentPr>
        </mc:Choice>
        <mc:Fallback/>
      </mc:AlternateContent>
    </comment>
    <comment ref="B2495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PKS Lanjut sampai 25/6/27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12</xdr:row>
                <xdr:rowOff>9</xdr:rowOff>
              </xdr:to>
            </anchor>
          </commentPr>
        </mc:Choice>
        <mc:Fallback/>
      </mc:AlternateContent>
    </comment>
    <comment ref="B2496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PKS Lanjut sampai 25/6/27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12</xdr:row>
                <xdr:rowOff>9</xdr:rowOff>
              </xdr:to>
            </anchor>
          </commentPr>
        </mc:Choice>
        <mc:Fallback/>
      </mc:AlternateContent>
    </comment>
    <comment ref="B2497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PKS Lanjut sampai 25/6/27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12</xdr:row>
                <xdr:rowOff>9</xdr:rowOff>
              </xdr:to>
            </anchor>
          </commentPr>
        </mc:Choice>
        <mc:Fallback/>
      </mc:AlternateContent>
    </comment>
    <comment ref="B2498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PKS Lanjut sampai 25/6/27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12</xdr:row>
                <xdr:rowOff>9</xdr:rowOff>
              </xdr:to>
            </anchor>
          </commentPr>
        </mc:Choice>
        <mc:Fallback/>
      </mc:AlternateContent>
    </comment>
    <comment ref="B2502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PKS Lanjut sampai 25/6/27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12</xdr:row>
                <xdr:rowOff>9</xdr:rowOff>
              </xdr:to>
            </anchor>
          </commentPr>
        </mc:Choice>
        <mc:Fallback/>
      </mc:AlternateContent>
    </comment>
    <comment ref="B2549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PKS Lanjut sampai 25/6/27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12</xdr:row>
                <xdr:rowOff>9</xdr:rowOff>
              </xdr:to>
            </anchor>
          </commentPr>
        </mc:Choice>
        <mc:Fallback/>
      </mc:AlternateContent>
    </comment>
    <comment ref="B2680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PKS Lanjut sampai 25/6/27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12</xdr:row>
                <xdr:rowOff>9</xdr:rowOff>
              </xdr:to>
            </anchor>
          </commentPr>
        </mc:Choice>
        <mc:Fallback/>
      </mc:AlternateContent>
    </comment>
    <comment ref="B2788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PKS perpanjang akan adendum tambah 2 bulan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13</xdr:row>
                <xdr:rowOff>4</xdr:rowOff>
              </xdr:to>
            </anchor>
          </commentPr>
        </mc:Choice>
        <mc:Fallback/>
      </mc:AlternateContent>
    </comment>
    <comment ref="B3066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Perpanjangan 6 bulan jika sudah adendum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13</xdr:row>
                <xdr:rowOff>4</xdr:rowOff>
              </xdr:to>
            </anchor>
          </commentPr>
        </mc:Choice>
        <mc:Fallback/>
      </mc:AlternateContent>
    </comment>
    <comment ref="B3208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PKS lanjut, akan di adendum 6 bulan.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13</xdr:row>
                <xdr:rowOff>4</xdr:rowOff>
              </xdr:to>
            </anchor>
          </commentPr>
        </mc:Choice>
        <mc:Fallback/>
      </mc:AlternateContent>
    </comment>
    <comment ref="B3303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perpanjang PKS, maka akan adendum ke 26/02/27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13</xdr:row>
                <xdr:rowOff>4</xdr:rowOff>
              </xdr:to>
            </anchor>
          </commentPr>
        </mc:Choice>
        <mc:Fallback/>
      </mc:AlternateContent>
    </comment>
    <comment ref="B3704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perpanjang PKS, maka akan adendum ke 04/06/27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13</xdr:row>
                <xdr:rowOff>4</xdr:rowOff>
              </xdr:to>
            </anchor>
          </commentPr>
        </mc:Choice>
        <mc:Fallback/>
      </mc:AlternateContent>
    </comment>
    <comment ref="B3772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PKS lanjut, akan di adendum 6 bulan.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13</xdr:row>
                <xdr:rowOff>4</xdr:rowOff>
              </xdr:to>
            </anchor>
          </commentPr>
        </mc:Choice>
        <mc:Fallback/>
      </mc:AlternateContent>
    </comment>
    <comment ref="B3787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diperpanjang PKS, adendum 6 bulan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13</xdr:row>
                <xdr:rowOff>4</xdr:rowOff>
              </xdr:to>
            </anchor>
          </commentPr>
        </mc:Choice>
        <mc:Fallback/>
      </mc:AlternateContent>
    </comment>
    <comment ref="B3831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PKS perpanjang akan adendum 6 Bulan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13</xdr:row>
                <xdr:rowOff>4</xdr:rowOff>
              </xdr:to>
            </anchor>
          </commentPr>
        </mc:Choice>
        <mc:Fallback/>
      </mc:AlternateContent>
    </comment>
    <comment ref="B3874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Perpanjangan 6 bulan jika sudah adendum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13</xdr:row>
                <xdr:rowOff>4</xdr:rowOff>
              </xdr:to>
            </anchor>
          </commentPr>
        </mc:Choice>
        <mc:Fallback/>
      </mc:AlternateContent>
    </comment>
    <comment ref="B3875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Perpanjangan 6 bulan jika sudah adendum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13</xdr:row>
                <xdr:rowOff>4</xdr:rowOff>
              </xdr:to>
            </anchor>
          </commentPr>
        </mc:Choice>
        <mc:Fallback/>
      </mc:AlternateContent>
    </comment>
    <comment ref="B3877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Perpanjangan 6 bulan jika sudah adendum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13</xdr:row>
                <xdr:rowOff>4</xdr:rowOff>
              </xdr:to>
            </anchor>
          </commentPr>
        </mc:Choice>
        <mc:Fallback/>
      </mc:AlternateContent>
    </comment>
    <comment ref="B4150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perpanjang PKS, maka akan adendum ke 29/11/26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13</xdr:row>
                <xdr:rowOff>4</xdr:rowOff>
              </xdr:to>
            </anchor>
          </commentPr>
        </mc:Choice>
        <mc:Fallback/>
      </mc:AlternateContent>
    </comment>
    <comment ref="B4248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diperpanjang PKS, akan diperpanjang 3 bulan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13</xdr:row>
                <xdr:rowOff>4</xdr:rowOff>
              </xdr:to>
            </anchor>
          </commentPr>
        </mc:Choice>
        <mc:Fallback/>
      </mc:AlternateContent>
    </comment>
    <comment ref="B4277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Jika diperpanjang PKS, akan adendum 3 bulan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13</xdr:row>
                <xdr:rowOff>4</xdr:rowOff>
              </xdr:to>
            </anchor>
          </commentPr>
        </mc:Choice>
        <mc:Fallback/>
      </mc:AlternateContent>
    </comment>
    <comment ref="E3627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Paklaring + Surat Resign.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12</xdr:row>
                <xdr:rowOff>9</xdr:rowOff>
              </xdr:to>
            </anchor>
          </commentPr>
        </mc:Choice>
        <mc:Fallback/>
      </mc:AlternateContent>
    </comment>
    <comment ref="E3628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Paklaring + Surat Resign.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12</xdr:row>
                <xdr:rowOff>9</xdr:rowOff>
              </xdr:to>
            </anchor>
          </commentPr>
        </mc:Choice>
        <mc:Fallback/>
      </mc:AlternateContent>
    </comment>
    <comment ref="P1807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gp 850/bln
um 110/bln
lembur 10/jam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0</xdr:row>
                <xdr:rowOff>2</xdr:rowOff>
              </xdr:from>
              <xdr:to>
                <xdr:col>2</xdr:col>
                <xdr:colOff>-173</xdr:colOff>
                <xdr:row>13</xdr:row>
                <xdr:rowOff>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<sst xmlns="http://schemas.openxmlformats.org/spreadsheetml/2006/main" count="84092" uniqueCount="18717">
  <si>
    <t xml:space="preserve">NO</t>
  </si>
  <si>
    <t xml:space="preserve">NAMA LENGKAP</t>
  </si>
  <si>
    <t xml:space="preserve">DOJ</t>
  </si>
  <si>
    <t xml:space="preserve">SITE</t>
  </si>
  <si>
    <t xml:space="preserve">STATUS</t>
  </si>
  <si>
    <t xml:space="preserve">NO KPJ</t>
  </si>
  <si>
    <t xml:space="preserve">NO. JKN</t>
  </si>
  <si>
    <t xml:space="preserve">TIPE KONTRAK</t>
  </si>
  <si>
    <t xml:space="preserve">STATUS KONTRAK</t>
  </si>
  <si>
    <t xml:space="preserve">START</t>
  </si>
  <si>
    <t xml:space="preserve">END</t>
  </si>
  <si>
    <t xml:space="preserve">BERKAS</t>
  </si>
  <si>
    <t xml:space="preserve">SISA HARI</t>
  </si>
  <si>
    <t xml:space="preserve">KAB KOTA</t>
  </si>
  <si>
    <t xml:space="preserve">POSISI</t>
  </si>
  <si>
    <t xml:space="preserve">NOMINAL UPAH</t>
  </si>
  <si>
    <t xml:space="preserve">NIK</t>
  </si>
  <si>
    <t xml:space="preserve">TEMPAT LAHIR</t>
  </si>
  <si>
    <t xml:space="preserve">TANGGAL LAHIR</t>
  </si>
  <si>
    <t xml:space="preserve">JENIS KELAMIN</t>
  </si>
  <si>
    <t xml:space="preserve">ALAMAT</t>
  </si>
  <si>
    <t xml:space="preserve">AGAMA</t>
  </si>
  <si>
    <t xml:space="preserve">STATUS PERKAWINAN</t>
  </si>
  <si>
    <t xml:space="preserve">TELEPON</t>
  </si>
  <si>
    <t xml:space="preserve">JABATAN IND</t>
  </si>
  <si>
    <t xml:space="preserve">JABATAN ENG</t>
  </si>
  <si>
    <t xml:space="preserve">REF DOJ</t>
  </si>
  <si>
    <t xml:space="preserve">USIA</t>
  </si>
  <si>
    <t xml:space="preserve">START 1</t>
  </si>
  <si>
    <t xml:space="preserve">END 1</t>
  </si>
  <si>
    <t xml:space="preserve">BERKAS 1</t>
  </si>
  <si>
    <t xml:space="preserve">TEDDY SETYAWAN</t>
  </si>
  <si>
    <t xml:space="preserve">PT KARYAINDAH ALAM SEJAHTERA</t>
  </si>
  <si>
    <t xml:space="preserve">TIDAK AKTIF</t>
  </si>
  <si>
    <t xml:space="preserve">0002886977428</t>
  </si>
  <si>
    <t xml:space="preserve">PKWT</t>
  </si>
  <si>
    <t xml:space="preserve">Kab. Gresik</t>
  </si>
  <si>
    <t xml:space="preserve">External Logistic</t>
  </si>
  <si>
    <t xml:space="preserve">3515022702990001</t>
  </si>
  <si>
    <t xml:space="preserve">Sidoarjo</t>
  </si>
  <si>
    <t xml:space="preserve">Laki-laki</t>
  </si>
  <si>
    <t xml:space="preserve">Wonoplintahan RT/RW 002/002, Wonoplintahan, Prambon, Sidoarjo</t>
  </si>
  <si>
    <t xml:space="preserve">Islam</t>
  </si>
  <si>
    <t xml:space="preserve">Belum Kawin</t>
  </si>
  <si>
    <t xml:space="preserve">ARCHIVED</t>
  </si>
  <si>
    <t xml:space="preserve">APRIYANTO</t>
  </si>
  <si>
    <t xml:space="preserve">PT PETRONIKA (LABOUR)</t>
  </si>
  <si>
    <t xml:space="preserve">AKTIF</t>
  </si>
  <si>
    <t xml:space="preserve">0001393707385</t>
  </si>
  <si>
    <t xml:space="preserve">PKWT - A</t>
  </si>
  <si>
    <t xml:space="preserve">Driver</t>
  </si>
  <si>
    <t xml:space="preserve">3578132104820002</t>
  </si>
  <si>
    <t xml:space="preserve">Surabaya</t>
  </si>
  <si>
    <t xml:space="preserve">Margorukun Lebar No. 9 RT/RW 001/002, Gundih, Bubutan, Surabaya</t>
  </si>
  <si>
    <t xml:space="preserve">Kawin</t>
  </si>
  <si>
    <t xml:space="preserve">CAHYO WAHYUDI</t>
  </si>
  <si>
    <t xml:space="preserve">PT PETRONIKA (HARIAN LEPAS)</t>
  </si>
  <si>
    <t xml:space="preserve">TANPA ASURANSI</t>
  </si>
  <si>
    <t xml:space="preserve">Produksi</t>
  </si>
  <si>
    <t xml:space="preserve">3525162712780003</t>
  </si>
  <si>
    <t xml:space="preserve">Tulungagung</t>
  </si>
  <si>
    <t xml:space="preserve">Usman Sadar 8/15, RT/RW 002/002, Karang Turi, Gresik, Gresik</t>
  </si>
  <si>
    <t xml:space="preserve">EDDY PRAMONO</t>
  </si>
  <si>
    <t xml:space="preserve">0001145542138</t>
  </si>
  <si>
    <t xml:space="preserve">3525160604820003</t>
  </si>
  <si>
    <t xml:space="preserve">Gresik</t>
  </si>
  <si>
    <t xml:space="preserve">Jl. Gubernur Suryo 5D/40 RT/RW 002/002, Tlogo Pojok, Gresik, Gresik</t>
  </si>
  <si>
    <t xml:space="preserve">HENGKY AGUNG IRAWAN</t>
  </si>
  <si>
    <t xml:space="preserve">3525143108730001</t>
  </si>
  <si>
    <t xml:space="preserve">Panglima Sudirman 158 RT/RW 001/003, Sidomoro, Kebomas, Gresik</t>
  </si>
  <si>
    <t xml:space="preserve">MUHAMMAD RIDLO FADLI</t>
  </si>
  <si>
    <t xml:space="preserve">0001786975964</t>
  </si>
  <si>
    <t xml:space="preserve">3517071402910001</t>
  </si>
  <si>
    <t xml:space="preserve">Jombang</t>
  </si>
  <si>
    <t xml:space="preserve">Sromo RT/RW 002/001, Banturejo, Ngantang, Malang</t>
  </si>
  <si>
    <t xml:space="preserve">NURUL HUDA</t>
  </si>
  <si>
    <t xml:space="preserve">Operator Forklift</t>
  </si>
  <si>
    <t xml:space="preserve">3525102009780003</t>
  </si>
  <si>
    <t xml:space="preserve">Lamongan</t>
  </si>
  <si>
    <t xml:space="preserve">Jl. Kyai Sahlan 21/22 RT/RW 003/001, Manyarsidorukun, Manyar, Gresik</t>
  </si>
  <si>
    <t xml:space="preserve">SOLIKIN</t>
  </si>
  <si>
    <t xml:space="preserve">0001786973703</t>
  </si>
  <si>
    <t xml:space="preserve">3525131404740003</t>
  </si>
  <si>
    <t xml:space="preserve">Malang</t>
  </si>
  <si>
    <t xml:space="preserve">Dusun Gempol RT/RW 005/002, Gempolkurung, Menganti, Gresik</t>
  </si>
  <si>
    <t xml:space="preserve">SUNARTO</t>
  </si>
  <si>
    <t xml:space="preserve">3525042810890002</t>
  </si>
  <si>
    <t xml:space="preserve">Medangan RT/RW 005/002, Metatu, Benjeng, Gresik</t>
  </si>
  <si>
    <t xml:space="preserve">ABD. LATIF</t>
  </si>
  <si>
    <t xml:space="preserve">3525121204820007</t>
  </si>
  <si>
    <t xml:space="preserve">Sukowati RT/RW 003/002, Sukowati, Bungah, Gresik</t>
  </si>
  <si>
    <t xml:space="preserve">ACHMAD DJAFAR</t>
  </si>
  <si>
    <t xml:space="preserve">3525161802890002</t>
  </si>
  <si>
    <t xml:space="preserve">Usman Sadar 8B / 5 RT/RW 005/002, Karang turi, Gresik, Gresik</t>
  </si>
  <si>
    <t xml:space="preserve">DHANI PARAHITA</t>
  </si>
  <si>
    <t xml:space="preserve">0001202669908</t>
  </si>
  <si>
    <t xml:space="preserve">3311091803950001</t>
  </si>
  <si>
    <t xml:space="preserve">Surakarta</t>
  </si>
  <si>
    <t xml:space="preserve">Dipotrunan RT/RW 003/012 Tipes, Serengan, Surakarta</t>
  </si>
  <si>
    <t xml:space="preserve">Kristen</t>
  </si>
  <si>
    <t xml:space="preserve">DEFA SEKAR HATI</t>
  </si>
  <si>
    <t xml:space="preserve">PT IMPLORA SUKSES ABADI</t>
  </si>
  <si>
    <t xml:space="preserve">RESIGN</t>
  </si>
  <si>
    <t xml:space="preserve">22075539423</t>
  </si>
  <si>
    <t xml:space="preserve">0001704497703</t>
  </si>
  <si>
    <t xml:space="preserve">Kab. Sidoarjo</t>
  </si>
  <si>
    <t xml:space="preserve">Produksi - Helper</t>
  </si>
  <si>
    <t xml:space="preserve">3515075601020007</t>
  </si>
  <si>
    <t xml:space="preserve">Perempuan</t>
  </si>
  <si>
    <t xml:space="preserve">Kayen RT/RW 013/005 Kendungkendo, Candi, Sidoarjo</t>
  </si>
  <si>
    <t xml:space="preserve">FITRI NUR HIJRIYAH</t>
  </si>
  <si>
    <t xml:space="preserve">0001454146301</t>
  </si>
  <si>
    <t xml:space="preserve">3515166301990001</t>
  </si>
  <si>
    <t xml:space="preserve">Keboansikep RT/RW 004/001 Keboansikep, Gedangan, Sidoarjo</t>
  </si>
  <si>
    <t xml:space="preserve">INTAN MUBAIDILLAH</t>
  </si>
  <si>
    <t xml:space="preserve">25026018159</t>
  </si>
  <si>
    <t xml:space="preserve">0003294562149</t>
  </si>
  <si>
    <t xml:space="preserve">3515165905990002</t>
  </si>
  <si>
    <t xml:space="preserve">Jl. Jambu RT/RW 017/003 Sruni, Gedangan, Sidoarjo</t>
  </si>
  <si>
    <t xml:space="preserve">LILIS SURYANI</t>
  </si>
  <si>
    <t xml:space="preserve">0003048159767</t>
  </si>
  <si>
    <t xml:space="preserve">3515016405010001</t>
  </si>
  <si>
    <t xml:space="preserve">Dsn. Bendo Santren RT/RW 007/001 Bendotretek, Prambon, Sidoarjo</t>
  </si>
  <si>
    <t xml:space="preserve">ROSIANA HATUINA</t>
  </si>
  <si>
    <t xml:space="preserve">0001464265203</t>
  </si>
  <si>
    <t xml:space="preserve">3515086209000003</t>
  </si>
  <si>
    <t xml:space="preserve">Jl. Lemahputro RT/RW 005/002 Lemahputro, Sidoarjo, Sidoarjo</t>
  </si>
  <si>
    <t xml:space="preserve">SEPTIA KHOIRUMAH</t>
  </si>
  <si>
    <t xml:space="preserve">0002999947318</t>
  </si>
  <si>
    <t xml:space="preserve">3578037009010004</t>
  </si>
  <si>
    <t xml:space="preserve">Wonorejo Kp Baru RT/RW 004/008 Wonorejo, Rungkut, Surabaya</t>
  </si>
  <si>
    <t xml:space="preserve">SITI IRMAWATI</t>
  </si>
  <si>
    <t xml:space="preserve">0002844441213</t>
  </si>
  <si>
    <t xml:space="preserve">3517215501030001</t>
  </si>
  <si>
    <t xml:space="preserve">Jl. Rontiko RT/RW 016/006 Ngusikan, Ngusikan, Jombang</t>
  </si>
  <si>
    <t xml:space="preserve">ERIKA PUTRI MARDIYANTI</t>
  </si>
  <si>
    <t xml:space="preserve">0000722316993</t>
  </si>
  <si>
    <t xml:space="preserve">3515165403010001</t>
  </si>
  <si>
    <t xml:space="preserve">Jl. Singo Menggolo IV RT/RW 002/001 Ganting, Gedangan, Sidoarjo</t>
  </si>
  <si>
    <t xml:space="preserve">WIWIK INDAH JIWARTI</t>
  </si>
  <si>
    <t xml:space="preserve">0002286896286</t>
  </si>
  <si>
    <t xml:space="preserve">3515095004020005</t>
  </si>
  <si>
    <t xml:space="preserve">Dsn Pampang RT/RW 003/003 Pangkemiri, Tulangan, Sidoarjo</t>
  </si>
  <si>
    <t xml:space="preserve">ACHMAD ARIYANTO</t>
  </si>
  <si>
    <t xml:space="preserve">PT NIPSEA PAINT AND CHEMICALS</t>
  </si>
  <si>
    <t xml:space="preserve">0001396701033</t>
  </si>
  <si>
    <t xml:space="preserve">Enamel</t>
  </si>
  <si>
    <t xml:space="preserve">3522101208950001</t>
  </si>
  <si>
    <t xml:space="preserve">Bojonegoro</t>
  </si>
  <si>
    <t xml:space="preserve">Dsn Sratu RT/RW 004/005 Sraturejo, Baureno, Bojonegoro</t>
  </si>
  <si>
    <t xml:space="preserve">ASH HABIL KARIM</t>
  </si>
  <si>
    <t xml:space="preserve">0001047286473</t>
  </si>
  <si>
    <t xml:space="preserve">3524240101930002</t>
  </si>
  <si>
    <t xml:space="preserve">Wedeng RT/RW 001/002 Sukorejo, Karangbinangun, Lamongan</t>
  </si>
  <si>
    <t xml:space="preserve">BAYU SETYAWAN</t>
  </si>
  <si>
    <t xml:space="preserve">0001703418502</t>
  </si>
  <si>
    <t xml:space="preserve">Emulsion</t>
  </si>
  <si>
    <t xml:space="preserve">3525043011930001</t>
  </si>
  <si>
    <t xml:space="preserve">Bulangkulon RT/RW 002/002 Bulangkulon, Benjeng, Gresik</t>
  </si>
  <si>
    <t xml:space="preserve">BONAR LESMONO</t>
  </si>
  <si>
    <t xml:space="preserve">0001400681518</t>
  </si>
  <si>
    <t xml:space="preserve">RM Store</t>
  </si>
  <si>
    <t xml:space="preserve">3578202311880001</t>
  </si>
  <si>
    <t xml:space="preserve">Dk. Karangan Tengah Gg 5 No. 9 C RT/RW 001/003 Babatan, Wiyung, Surabaya</t>
  </si>
  <si>
    <t xml:space="preserve">DEDI GUSMANTO</t>
  </si>
  <si>
    <t xml:space="preserve">20083016613</t>
  </si>
  <si>
    <t xml:space="preserve">0001400681531</t>
  </si>
  <si>
    <t xml:space="preserve">3521190507930001</t>
  </si>
  <si>
    <t xml:space="preserve">Ngawi</t>
  </si>
  <si>
    <t xml:space="preserve">Grenjeng RT/RW 003/007 Gunungsari, Kasreman, Ngawi</t>
  </si>
  <si>
    <t xml:space="preserve">FANDI ACHMAD</t>
  </si>
  <si>
    <t xml:space="preserve">21086091390</t>
  </si>
  <si>
    <t xml:space="preserve">0001400681542</t>
  </si>
  <si>
    <t xml:space="preserve">Office</t>
  </si>
  <si>
    <t xml:space="preserve">3517242805940001</t>
  </si>
  <si>
    <t xml:space="preserve">Graha Kencana Pakal Blok 1-5 Surabaya</t>
  </si>
  <si>
    <t xml:space="preserve">HARI SETIYAWAN</t>
  </si>
  <si>
    <t xml:space="preserve">0001703418513</t>
  </si>
  <si>
    <t xml:space="preserve">3576020510810009</t>
  </si>
  <si>
    <t xml:space="preserve">Sukoharjo</t>
  </si>
  <si>
    <t xml:space="preserve">Jl. Rajekwesi No. 07 RT/RW 011/002 Klangon, Bojonegoro, Bojonegoro</t>
  </si>
  <si>
    <t xml:space="preserve">HENI ADIWIJAYA</t>
  </si>
  <si>
    <t xml:space="preserve">0000667522203</t>
  </si>
  <si>
    <t xml:space="preserve">3504112808970003</t>
  </si>
  <si>
    <t xml:space="preserve">Lingkungan 08 RT/RW 002/003 Ngunut, Ngunut, Tulunganggung</t>
  </si>
  <si>
    <t xml:space="preserve">HERY KUSWANTO</t>
  </si>
  <si>
    <t xml:space="preserve">0001046272724</t>
  </si>
  <si>
    <t xml:space="preserve">3522112311880004</t>
  </si>
  <si>
    <t xml:space="preserve">Dsn Ager-Ager RT/RW 004/002 Tambahrejo, Kanor, Bojonegoro</t>
  </si>
  <si>
    <t xml:space="preserve">IMAM SYAFI'I</t>
  </si>
  <si>
    <t xml:space="preserve">0001300723288</t>
  </si>
  <si>
    <t xml:space="preserve">3524250803710001</t>
  </si>
  <si>
    <t xml:space="preserve">Plosobuden RT/RW 001/001 Plosobuden, Deket, Lamongan</t>
  </si>
  <si>
    <t xml:space="preserve">INDRA RAMA DANI</t>
  </si>
  <si>
    <t xml:space="preserve">0001703199025</t>
  </si>
  <si>
    <t xml:space="preserve">3525160207870121</t>
  </si>
  <si>
    <t xml:space="preserve">Jl. Ibrahim Zahier No. 151 RT/RW 001/001 Kramatinggil, Gresik, Gresik</t>
  </si>
  <si>
    <t xml:space="preserve">MUHAMMAD ZARQONI</t>
  </si>
  <si>
    <t xml:space="preserve">0002158724283</t>
  </si>
  <si>
    <t xml:space="preserve">3525051707870003</t>
  </si>
  <si>
    <t xml:space="preserve">Kedinding lor Gg. Melati 22C RT/RW 005/001 Kel. Tanah kali kedinding, Surabaya</t>
  </si>
  <si>
    <t xml:space="preserve">RACHMAN</t>
  </si>
  <si>
    <t xml:space="preserve">0001300727823</t>
  </si>
  <si>
    <t xml:space="preserve">3578302306650001</t>
  </si>
  <si>
    <t xml:space="preserve">Dk. Babat RT/RW 004/001 Babat Jerawat, Pakal, Surabaya</t>
  </si>
  <si>
    <t xml:space="preserve">ROKIM</t>
  </si>
  <si>
    <t xml:space="preserve">0001400681823</t>
  </si>
  <si>
    <t xml:space="preserve">3524251007690002</t>
  </si>
  <si>
    <t xml:space="preserve">Plosobuden RT/RW 004/001 Plosobuden, Deket, Lamongan</t>
  </si>
  <si>
    <t xml:space="preserve">SAMSUL ARIFIN</t>
  </si>
  <si>
    <t xml:space="preserve">0001147065783</t>
  </si>
  <si>
    <t xml:space="preserve">FG Store</t>
  </si>
  <si>
    <t xml:space="preserve">3525112204860001</t>
  </si>
  <si>
    <t xml:space="preserve">Cerme Kidul RT/RW 03/01 Ds. Cerme Kidul Kec. Cerme Kab. Gresik</t>
  </si>
  <si>
    <t xml:space="preserve">SUWARI</t>
  </si>
  <si>
    <t xml:space="preserve">0001701076724</t>
  </si>
  <si>
    <t xml:space="preserve">3578193006610028</t>
  </si>
  <si>
    <t xml:space="preserve">Dk. Gendong RT/RW 005/001 Romokalisari, Benowo, Surabaya</t>
  </si>
  <si>
    <t xml:space="preserve">TRI HARJANA</t>
  </si>
  <si>
    <t xml:space="preserve">29096030824</t>
  </si>
  <si>
    <t xml:space="preserve">0001706143432</t>
  </si>
  <si>
    <t xml:space="preserve">3310051405930002</t>
  </si>
  <si>
    <t xml:space="preserve">Klaten</t>
  </si>
  <si>
    <t xml:space="preserve">Simo Gunung Barat RT/RW 001/005 Simomulyo, Sukomanunggal, Surabaya</t>
  </si>
  <si>
    <t xml:space="preserve">ZAINAL ARIFIN</t>
  </si>
  <si>
    <t xml:space="preserve">0001396701066</t>
  </si>
  <si>
    <t xml:space="preserve">3526021405940003</t>
  </si>
  <si>
    <t xml:space="preserve">Bangkalan</t>
  </si>
  <si>
    <t xml:space="preserve">Dsn. Bandung timur RT/RW 002/001 Keleyan, Socah, Bangkalan</t>
  </si>
  <si>
    <t xml:space="preserve">AHSON WIDODO</t>
  </si>
  <si>
    <t xml:space="preserve">0000726499012</t>
  </si>
  <si>
    <t xml:space="preserve">3516150708930001</t>
  </si>
  <si>
    <t xml:space="preserve">Mojokerto</t>
  </si>
  <si>
    <t xml:space="preserve">Dsn. Betro Barat RT 004 RW 003 Betro, Kemlagi, Mojokerto</t>
  </si>
  <si>
    <t xml:space="preserve">KHOIRUL ASHARI</t>
  </si>
  <si>
    <t xml:space="preserve">0001046389116</t>
  </si>
  <si>
    <t xml:space="preserve">3522152808940001</t>
  </si>
  <si>
    <t xml:space="preserve">Jl. Serma Abdullah RT/RW 008/002 Pacul, Bojonegoro, Bojonegoro</t>
  </si>
  <si>
    <t xml:space="preserve">MUJIONO</t>
  </si>
  <si>
    <t xml:space="preserve">0001538290787</t>
  </si>
  <si>
    <t xml:space="preserve">3505021403640001</t>
  </si>
  <si>
    <t xml:space="preserve">Blitar</t>
  </si>
  <si>
    <t xml:space="preserve">Dsn. Slemanan RT/RW 003/002 Slemanan, Udanawu, Blitar</t>
  </si>
  <si>
    <t xml:space="preserve">BUDI RAHAYU</t>
  </si>
  <si>
    <t xml:space="preserve">0000737828651</t>
  </si>
  <si>
    <t xml:space="preserve">3519122205920001</t>
  </si>
  <si>
    <t xml:space="preserve">Madiun</t>
  </si>
  <si>
    <t xml:space="preserve">Klumutan RT/RW 038/006 Klumutan Saradan Madiun</t>
  </si>
  <si>
    <t xml:space="preserve">NOVIANTO WAHYU MULYONO</t>
  </si>
  <si>
    <t xml:space="preserve">0001479358124</t>
  </si>
  <si>
    <t xml:space="preserve">3525142611890002</t>
  </si>
  <si>
    <t xml:space="preserve">Semampir RT/RW 002/002 Semampir, Cerme, Gresik</t>
  </si>
  <si>
    <t xml:space="preserve">YONI TRI SETIAWAN</t>
  </si>
  <si>
    <t xml:space="preserve">0001300331665</t>
  </si>
  <si>
    <t xml:space="preserve">3518110301930001</t>
  </si>
  <si>
    <t xml:space="preserve">Nganjuk</t>
  </si>
  <si>
    <t xml:space="preserve">Dsn. Sonobekel RT/RW 005/001 Tanjunganom, Nganjuk</t>
  </si>
  <si>
    <t xml:space="preserve">SUYONO</t>
  </si>
  <si>
    <t xml:space="preserve">0001703644773</t>
  </si>
  <si>
    <t xml:space="preserve">3506091111800003</t>
  </si>
  <si>
    <t xml:space="preserve">Kediri</t>
  </si>
  <si>
    <t xml:space="preserve">Dsn. Pranggang Timur RT/RW 002/002 Pranggang, Plosoklaten, Kediri</t>
  </si>
  <si>
    <t xml:space="preserve">JATMIKO SETYABUDI</t>
  </si>
  <si>
    <t xml:space="preserve">0001706148426</t>
  </si>
  <si>
    <t xml:space="preserve">Premixing</t>
  </si>
  <si>
    <t xml:space="preserve">3514120809960006</t>
  </si>
  <si>
    <t xml:space="preserve">Wonoayu RT/RW 005/007 Gempol, Gempol, Pasuruan</t>
  </si>
  <si>
    <t xml:space="preserve">MUHAMMAD ABDUL ADJIS</t>
  </si>
  <si>
    <t xml:space="preserve">0001543846151</t>
  </si>
  <si>
    <t xml:space="preserve">3516132201970005</t>
  </si>
  <si>
    <t xml:space="preserve">Dsn. Modongan RT/RW 006/005 Modongan, Soko, Mojokerto</t>
  </si>
  <si>
    <t xml:space="preserve">SHOLIHIN MUCHAROM</t>
  </si>
  <si>
    <t xml:space="preserve">0001534753765</t>
  </si>
  <si>
    <t xml:space="preserve">3520182803940001</t>
  </si>
  <si>
    <t xml:space="preserve">Magetan</t>
  </si>
  <si>
    <t xml:space="preserve">Dsn Gangging RT/RW 007/002 Sidomulyo, Sidorejo, Magetan</t>
  </si>
  <si>
    <t xml:space="preserve">MA'ARIF</t>
  </si>
  <si>
    <t xml:space="preserve">0001673039878</t>
  </si>
  <si>
    <t xml:space="preserve">3525040702800001</t>
  </si>
  <si>
    <t xml:space="preserve">Jogodalu RT/RW 008/002 Jogodalu, Benjeng, Gresik</t>
  </si>
  <si>
    <t xml:space="preserve">MUHAMAD SOBIRIN</t>
  </si>
  <si>
    <t xml:space="preserve">0001540778804</t>
  </si>
  <si>
    <t xml:space="preserve">3516091901820001</t>
  </si>
  <si>
    <t xml:space="preserve">H. Abd. Rochim 04 RT/RW 003/001 Ds. Yosowilangun kab. Gresik</t>
  </si>
  <si>
    <t xml:space="preserve">CANDRA DWI ANGGARA</t>
  </si>
  <si>
    <t xml:space="preserve">0000758478611</t>
  </si>
  <si>
    <t xml:space="preserve">3524261504980001</t>
  </si>
  <si>
    <t xml:space="preserve">Began RT/RW 002/002 Began, Glagah, Lamongan</t>
  </si>
  <si>
    <t xml:space="preserve">SUHARTONO</t>
  </si>
  <si>
    <t xml:space="preserve">0000762222824</t>
  </si>
  <si>
    <t xml:space="preserve">3525141905850001</t>
  </si>
  <si>
    <t xml:space="preserve">Gembyang RT/RW 010/002 Gulomantung, Kebomas, Gresik</t>
  </si>
  <si>
    <t xml:space="preserve">AINUR ROHMAN</t>
  </si>
  <si>
    <t xml:space="preserve">0002155669479</t>
  </si>
  <si>
    <t xml:space="preserve">3522090901950003</t>
  </si>
  <si>
    <t xml:space="preserve">Jln. Gajah Mada Gg. Cempaka No. 37 RT/RW 028/005 Sugihwaras, Kepohbaru, Bojonegoro</t>
  </si>
  <si>
    <t xml:space="preserve">SUNARDJI</t>
  </si>
  <si>
    <t xml:space="preserve">0001538290258</t>
  </si>
  <si>
    <t xml:space="preserve">Maintenance</t>
  </si>
  <si>
    <t xml:space="preserve">3525101308650001</t>
  </si>
  <si>
    <t xml:space="preserve">Usman Sadar 10-A/7 RT/RW 008/002 Karang Turi, Gresik, Gresik</t>
  </si>
  <si>
    <t xml:space="preserve">ERICK GUNAWAN</t>
  </si>
  <si>
    <t xml:space="preserve">0002906402005</t>
  </si>
  <si>
    <t xml:space="preserve">3516172304970001</t>
  </si>
  <si>
    <t xml:space="preserve">Dsn. Ngarus RT/RW 002/005 Banyulegi, Dawarblandong, Mojokerto</t>
  </si>
  <si>
    <t xml:space="preserve">APRIKA DUWI PURWANTO</t>
  </si>
  <si>
    <t xml:space="preserve">0003048150172</t>
  </si>
  <si>
    <t xml:space="preserve">3519132604940001</t>
  </si>
  <si>
    <t xml:space="preserve">Kedungmaron 3 RT/RW 012/003 Kedungmaron, Pilangkenceng, Madiun</t>
  </si>
  <si>
    <t xml:space="preserve">SONI MAHENDRA</t>
  </si>
  <si>
    <t xml:space="preserve">0001151456308</t>
  </si>
  <si>
    <t xml:space="preserve">3525121203880001</t>
  </si>
  <si>
    <t xml:space="preserve">Sidorejo RT/RW 001/001 Sidorejo, Bungah, Gresik</t>
  </si>
  <si>
    <t xml:space="preserve">INDRA SETIAWAN</t>
  </si>
  <si>
    <t xml:space="preserve">0002414562197</t>
  </si>
  <si>
    <t xml:space="preserve">3525051710010001</t>
  </si>
  <si>
    <t xml:space="preserve">Tambakrejo RT/RW 012/003 Tambakrejo, Duduksampeyan, Gresik</t>
  </si>
  <si>
    <t xml:space="preserve">ARIF KURNIYANTO</t>
  </si>
  <si>
    <t xml:space="preserve">0002161128644</t>
  </si>
  <si>
    <t xml:space="preserve">3525050412810004</t>
  </si>
  <si>
    <t xml:space="preserve">Duduksampeyan RT/RW 011/006 Duduksampeyan, Duduksampeyan, Gresik</t>
  </si>
  <si>
    <t xml:space="preserve">TEDY PURWANTO</t>
  </si>
  <si>
    <t xml:space="preserve">0003067046155</t>
  </si>
  <si>
    <t xml:space="preserve">3514100704010001</t>
  </si>
  <si>
    <t xml:space="preserve">Pasuruan</t>
  </si>
  <si>
    <t xml:space="preserve">Jl. Rambutan Tulang RT/RW 006/005 Ledug, Prigen, Pasuruan</t>
  </si>
  <si>
    <t xml:space="preserve">FAJAR CAHYONO</t>
  </si>
  <si>
    <t xml:space="preserve">26028194821</t>
  </si>
  <si>
    <t xml:space="preserve">0000726978262</t>
  </si>
  <si>
    <t xml:space="preserve">3517181903970003</t>
  </si>
  <si>
    <t xml:space="preserve">Dsn Pucanganom RT/RW 003/003 Pucangsimo, Bandarkedungmulyo, Jombang</t>
  </si>
  <si>
    <t xml:space="preserve">MUHAMMAD ILHAM HERDIANTO</t>
  </si>
  <si>
    <t xml:space="preserve">0003069878804</t>
  </si>
  <si>
    <t xml:space="preserve">3509112105000006</t>
  </si>
  <si>
    <t xml:space="preserve">Dusun Krajan RT/RW 005/001 Lojejer, Wuluhan, Jember</t>
  </si>
  <si>
    <t xml:space="preserve">MUHAMMAD SYIHAB BUDDIN</t>
  </si>
  <si>
    <t xml:space="preserve">0002516385789</t>
  </si>
  <si>
    <t xml:space="preserve">3524230901020002</t>
  </si>
  <si>
    <t xml:space="preserve">Mojoranu RT/RW 003/005, Dukuhagung, Tikung, Lamongan</t>
  </si>
  <si>
    <t xml:space="preserve">YUDA FATRUNATA</t>
  </si>
  <si>
    <t xml:space="preserve">0001967000343</t>
  </si>
  <si>
    <t xml:space="preserve">3524250501920001</t>
  </si>
  <si>
    <t xml:space="preserve">Plosobuden RT/RW 003/001 Plosobuden, Deket, Lamongan</t>
  </si>
  <si>
    <t xml:space="preserve">RYAN NUR ARDIANSYA</t>
  </si>
  <si>
    <t xml:space="preserve">0000762410878</t>
  </si>
  <si>
    <t xml:space="preserve">3525051604020002</t>
  </si>
  <si>
    <t xml:space="preserve">Ambeng Ambeng Watangrejo RT/RW 012/004 Ambeng Amben Watangrejo, Duduksampeyan, Gresik</t>
  </si>
  <si>
    <t xml:space="preserve">AGUS MIZWAR</t>
  </si>
  <si>
    <t xml:space="preserve">0001201756094</t>
  </si>
  <si>
    <t xml:space="preserve">3525012008860001</t>
  </si>
  <si>
    <t xml:space="preserve">KH. Cholil 10 RT/RW 002/002 Yosowilangun, Manyar, Gresik</t>
  </si>
  <si>
    <t xml:space="preserve">NURUL IMAN</t>
  </si>
  <si>
    <t xml:space="preserve">0002996531897</t>
  </si>
  <si>
    <t xml:space="preserve">3515130410940002</t>
  </si>
  <si>
    <t xml:space="preserve">Tawang Sari RT/RW 010/002 Tawangsari, Taman, Sidoarjo</t>
  </si>
  <si>
    <t xml:space="preserve">MUHAMMAD YUDI PRASETYO</t>
  </si>
  <si>
    <t xml:space="preserve">0001610706453</t>
  </si>
  <si>
    <t xml:space="preserve">3578240202920001</t>
  </si>
  <si>
    <t xml:space="preserve">Kendangsari Gang 2/32-F RT/RW 002/003 Kendangsari, Tenggilis Mejoyo, Surabaya</t>
  </si>
  <si>
    <t xml:space="preserve">EFENDI YUSUF</t>
  </si>
  <si>
    <t xml:space="preserve">0001724015338</t>
  </si>
  <si>
    <t xml:space="preserve">3515041111870004</t>
  </si>
  <si>
    <t xml:space="preserve">Poncol RT/RW 002/003 Sugihwaras, Kalitengah, Lamongan</t>
  </si>
  <si>
    <t xml:space="preserve">MUHAMMAD</t>
  </si>
  <si>
    <t xml:space="preserve">0000756677439</t>
  </si>
  <si>
    <t xml:space="preserve">3524120109000001</t>
  </si>
  <si>
    <t xml:space="preserve">Bakalan RT/RW 002/006 Bakalrejo, Sugio, Lamongan</t>
  </si>
  <si>
    <t xml:space="preserve">MUHAMMAD CHAFID AFDILLAH</t>
  </si>
  <si>
    <t xml:space="preserve">0001538288965</t>
  </si>
  <si>
    <t xml:space="preserve">3525040207000002</t>
  </si>
  <si>
    <t xml:space="preserve">Dsn. Bulangkulon RT/RW002/002, Bulangkulon, Benjeng, Gresik</t>
  </si>
  <si>
    <t xml:space="preserve">WAHYU ANGGARA</t>
  </si>
  <si>
    <t xml:space="preserve">0002426016791</t>
  </si>
  <si>
    <t xml:space="preserve">3578251205970002</t>
  </si>
  <si>
    <t xml:space="preserve">Rungkut Menanggal I A/2.E RT/RW 001/001 Rungkut Menanggal, Gunung Anyar, Surabaya</t>
  </si>
  <si>
    <t xml:space="preserve">AHMAD NIZARRUDIN</t>
  </si>
  <si>
    <t xml:space="preserve">0000677593394</t>
  </si>
  <si>
    <t xml:space="preserve">3506221604900002</t>
  </si>
  <si>
    <t xml:space="preserve">Dsn. Bagol RT/RW 002/001 Ngablak, Banyakan, Kediri</t>
  </si>
  <si>
    <t xml:space="preserve">SELVIA KHALIMATUS SA'DIYAH</t>
  </si>
  <si>
    <t xml:space="preserve">PT BEAUTY KASATAMA INDONESIA</t>
  </si>
  <si>
    <t xml:space="preserve">29093518190</t>
  </si>
  <si>
    <t xml:space="preserve">0003053245397</t>
  </si>
  <si>
    <t xml:space="preserve">Kab. Lamongan</t>
  </si>
  <si>
    <t xml:space="preserve">Admin Legal</t>
  </si>
  <si>
    <t xml:space="preserve">3516177012020001</t>
  </si>
  <si>
    <t xml:space="preserve">Setoyo RT/RW 005/002 Desa Talunblandong Kec. Dawarblandong Kab. Mojokerto</t>
  </si>
  <si>
    <t xml:space="preserve">ELITIYA NINGRUM</t>
  </si>
  <si>
    <t xml:space="preserve">0002178362474</t>
  </si>
  <si>
    <t xml:space="preserve">Packing</t>
  </si>
  <si>
    <t xml:space="preserve">3516176704010003</t>
  </si>
  <si>
    <t xml:space="preserve">Dusun Glagah RT/RW 002/008 Desa Banyulegi Kec. Dawarblandong Kab. Mojokerto</t>
  </si>
  <si>
    <t xml:space="preserve">MOCHAMAD SYAMSUDIN</t>
  </si>
  <si>
    <t xml:space="preserve">PT SUNJAYA COATING PERDANA</t>
  </si>
  <si>
    <t xml:space="preserve">0000723831142</t>
  </si>
  <si>
    <t xml:space="preserve">3515162109960008</t>
  </si>
  <si>
    <t xml:space="preserve">Jl. R. Kosim, RT/RW 001/001, Gemurung, Gedangan, Sidoarjo</t>
  </si>
  <si>
    <t xml:space="preserve">KEMBALI</t>
  </si>
  <si>
    <t xml:space="preserve">MIRA HARDIANTIKA</t>
  </si>
  <si>
    <t xml:space="preserve">0000664054479</t>
  </si>
  <si>
    <t xml:space="preserve">3503015705010003</t>
  </si>
  <si>
    <t xml:space="preserve">Trenggalek</t>
  </si>
  <si>
    <t xml:space="preserve">Dusun Tanggung RT/RW 017/004 Ngrambingan, Panggul, Trenggalek</t>
  </si>
  <si>
    <t xml:space="preserve">ABD. JAWAD</t>
  </si>
  <si>
    <t xml:space="preserve">PT BINA KARYA PRIMA</t>
  </si>
  <si>
    <t xml:space="preserve">0000764594414</t>
  </si>
  <si>
    <t xml:space="preserve">Utility</t>
  </si>
  <si>
    <t xml:space="preserve">3525070708860002</t>
  </si>
  <si>
    <t xml:space="preserve">Sumber Suci, RT/RW 001/015, Pangkahwetan, Ujung Pangkah, Gresik</t>
  </si>
  <si>
    <t xml:space="preserve">ACHMAD DANU WINOTO</t>
  </si>
  <si>
    <t xml:space="preserve">0001047521147</t>
  </si>
  <si>
    <t xml:space="preserve">Dry Fact</t>
  </si>
  <si>
    <t xml:space="preserve">3525140308850003</t>
  </si>
  <si>
    <t xml:space="preserve">RA. Kartini 8/75, RT/RW 002/004, Sidomoro, Kebomas, Gresik</t>
  </si>
  <si>
    <t xml:space="preserve">ACHMAD HENDRA FEBRIANSYAH</t>
  </si>
  <si>
    <t xml:space="preserve">0001292708395</t>
  </si>
  <si>
    <t xml:space="preserve">3525162702900001</t>
  </si>
  <si>
    <t xml:space="preserve">Jl. Gubernur Suryo V-E/17, RT/RW 003/002, Tlogopojok, Gresik</t>
  </si>
  <si>
    <t xml:space="preserve">ACHMAD ZAKI ZAMANI</t>
  </si>
  <si>
    <t xml:space="preserve">0001146312044</t>
  </si>
  <si>
    <t xml:space="preserve">Gudang Bahan Penolong &amp; Spareparts</t>
  </si>
  <si>
    <t xml:space="preserve">3525160202920002</t>
  </si>
  <si>
    <t xml:space="preserve">Jl. Sindujoyo 10-B/10, RT/RW 002/002, Lumpur, Gresik</t>
  </si>
  <si>
    <t xml:space="preserve">AHMAD FANANI</t>
  </si>
  <si>
    <t xml:space="preserve">0000762701398</t>
  </si>
  <si>
    <t xml:space="preserve">3525051110880001</t>
  </si>
  <si>
    <t xml:space="preserve">Tambakrejo, RT/RW 001/001, Tambakrejo, Duduksampeyan, Gresik</t>
  </si>
  <si>
    <t xml:space="preserve">AHMAD MARZUKI</t>
  </si>
  <si>
    <t xml:space="preserve">0000762961691</t>
  </si>
  <si>
    <t xml:space="preserve">3525100504970001</t>
  </si>
  <si>
    <t xml:space="preserve">Leran, RT/RW 004/001, Leran, Manyar, Gresik</t>
  </si>
  <si>
    <t xml:space="preserve">AHMAD RIFA'I</t>
  </si>
  <si>
    <t xml:space="preserve">0001424986301</t>
  </si>
  <si>
    <t xml:space="preserve">Refinery</t>
  </si>
  <si>
    <t xml:space="preserve">3525161510940121</t>
  </si>
  <si>
    <t xml:space="preserve">Jl. Veteran IX/D, RT/RW 003/011, Singosari, Kebomas, Gresik</t>
  </si>
  <si>
    <t xml:space="preserve">AHMAD TAUFIQ</t>
  </si>
  <si>
    <t xml:space="preserve">0000761478028</t>
  </si>
  <si>
    <t xml:space="preserve">3525041010890002</t>
  </si>
  <si>
    <t xml:space="preserve">Jogodalu, RT/RW 007/002, Jogodalu, Benjeng, Gresik</t>
  </si>
  <si>
    <t xml:space="preserve">AINUL ZAMAIN</t>
  </si>
  <si>
    <t xml:space="preserve">0001703761143</t>
  </si>
  <si>
    <t xml:space="preserve">3524262712800001</t>
  </si>
  <si>
    <t xml:space="preserve">Dsn. Grobogan, RT/RW 002/002, Gempol Pendowo, Glagah, Lamongan</t>
  </si>
  <si>
    <t xml:space="preserve">ALFITRAH SALAM</t>
  </si>
  <si>
    <t xml:space="preserve">0001047361893</t>
  </si>
  <si>
    <t xml:space="preserve">3524103011970001</t>
  </si>
  <si>
    <t xml:space="preserve">Pangkatrejo, RT/RW 002/001, Pangkatrejo, Buduran, Lamongan</t>
  </si>
  <si>
    <t xml:space="preserve">ANDRIANTO</t>
  </si>
  <si>
    <t xml:space="preserve">0001703761222</t>
  </si>
  <si>
    <t xml:space="preserve">QC &amp; QA</t>
  </si>
  <si>
    <t xml:space="preserve">3507221502880001</t>
  </si>
  <si>
    <t xml:space="preserve">Jl. Tirto Utomo IX/16, RT/RW 002/003, Landungsari, Dau, Malang</t>
  </si>
  <si>
    <t xml:space="preserve">ARIS SETIAWAN</t>
  </si>
  <si>
    <t xml:space="preserve">0001835065372</t>
  </si>
  <si>
    <t xml:space="preserve">3524050103900001</t>
  </si>
  <si>
    <t xml:space="preserve">Gedondong, RT/RW 001/003, Sarirejo, Lamongan</t>
  </si>
  <si>
    <t xml:space="preserve">BUDI ARYONO</t>
  </si>
  <si>
    <t xml:space="preserve">0001279056789</t>
  </si>
  <si>
    <t xml:space="preserve">3525162903790121</t>
  </si>
  <si>
    <t xml:space="preserve">Bangka No.74 GKB, RT/RW 001/008, Randuagung, Kebomas, Gresik</t>
  </si>
  <si>
    <t xml:space="preserve">FERRY BUDI SUSANTO</t>
  </si>
  <si>
    <t xml:space="preserve">0001278270371</t>
  </si>
  <si>
    <t xml:space="preserve">3525041210850001</t>
  </si>
  <si>
    <t xml:space="preserve">Metatu, RT/RW 002/001, Metatu, Benjeng, Gresik</t>
  </si>
  <si>
    <t xml:space="preserve">FERY ZAUHANDA SYAIFUDDIN</t>
  </si>
  <si>
    <t xml:space="preserve">0001703761154</t>
  </si>
  <si>
    <t xml:space="preserve">3525040411930002</t>
  </si>
  <si>
    <t xml:space="preserve">Metatu, RT/RW 007/003, Metatu, Benjeng, Gresik</t>
  </si>
  <si>
    <t xml:space="preserve">HENDRIKO PRATAMA SETYAWAN</t>
  </si>
  <si>
    <t xml:space="preserve">0001787631322</t>
  </si>
  <si>
    <t xml:space="preserve">3525102504000002</t>
  </si>
  <si>
    <t xml:space="preserve">Jl. AMD 02, RT/RW 005/002, Morobakung, Manyar, Gresik</t>
  </si>
  <si>
    <t xml:space="preserve">ILHAM FRAN SASMITA</t>
  </si>
  <si>
    <t xml:space="preserve">0001851606178</t>
  </si>
  <si>
    <t xml:space="preserve">3524172512940001</t>
  </si>
  <si>
    <t xml:space="preserve">Bandungsari, RT/RW 002/001, Bandungsari, Sukodadi Lamongan</t>
  </si>
  <si>
    <t xml:space="preserve">JAMA'ADI</t>
  </si>
  <si>
    <t xml:space="preserve">0001819872044</t>
  </si>
  <si>
    <t xml:space="preserve">Bottling Rigid (BT2)</t>
  </si>
  <si>
    <t xml:space="preserve">3525023008850001</t>
  </si>
  <si>
    <t xml:space="preserve">Ngablak, RT/RW 002/001, Pinggir, Balongpanggang, Gresik</t>
  </si>
  <si>
    <t xml:space="preserve">JA'PAR</t>
  </si>
  <si>
    <t xml:space="preserve">0001703761132</t>
  </si>
  <si>
    <t xml:space="preserve">3525112710770002</t>
  </si>
  <si>
    <t xml:space="preserve">Dusun Cagak, RT/RW 001/003, Cagakagung, Cerme, Gresik</t>
  </si>
  <si>
    <t xml:space="preserve">M. BASYARUDDIN YAHYA</t>
  </si>
  <si>
    <t xml:space="preserve">0001888490711</t>
  </si>
  <si>
    <t xml:space="preserve">3524271502980002</t>
  </si>
  <si>
    <t xml:space="preserve">Gedondong, RT/RW 002/003, Sarirejo, Sarirejo, Lamongan</t>
  </si>
  <si>
    <t xml:space="preserve">M. FADHOLI</t>
  </si>
  <si>
    <t xml:space="preserve">0000103650682</t>
  </si>
  <si>
    <t xml:space="preserve">3524271505720002</t>
  </si>
  <si>
    <t xml:space="preserve">Gendot, RT/RW 003/001, Sarirejo, Sarirejo, Lamongan</t>
  </si>
  <si>
    <t xml:space="preserve">M. SAIFUL ABIDIN</t>
  </si>
  <si>
    <t xml:space="preserve">0001144949409</t>
  </si>
  <si>
    <t xml:space="preserve">3524171109900001</t>
  </si>
  <si>
    <t xml:space="preserve">Singosari, RT/RW 001/004, Kebonsari, Sukodadi, Lamongan</t>
  </si>
  <si>
    <t xml:space="preserve">MASTUR</t>
  </si>
  <si>
    <t xml:space="preserve">0001799025221</t>
  </si>
  <si>
    <t xml:space="preserve">3524271202920004</t>
  </si>
  <si>
    <t xml:space="preserve">Dermo , RT/RW 002/004, Dermolemahbang, Sarirejo, Lamongan</t>
  </si>
  <si>
    <t xml:space="preserve">MOH. GHOFAR</t>
  </si>
  <si>
    <t xml:space="preserve">0001146311998</t>
  </si>
  <si>
    <t xml:space="preserve">3524261312830001</t>
  </si>
  <si>
    <t xml:space="preserve">Dsn. Bakalan, RT/RW 004/001, Bakalanwringinpitu, Balongbendo, Sidoarjo</t>
  </si>
  <si>
    <t xml:space="preserve">MUNAIMATUL KHUMAIDAH</t>
  </si>
  <si>
    <t xml:space="preserve">0002155678378</t>
  </si>
  <si>
    <t xml:space="preserve">3525144909930001</t>
  </si>
  <si>
    <t xml:space="preserve">Jl. Kasuari Blok KB. 02, RT/RW 005/009, Suci, Manyar, Gresik</t>
  </si>
  <si>
    <t xml:space="preserve">NURMA IMNATUS SALAMA</t>
  </si>
  <si>
    <t xml:space="preserve">0001536599801</t>
  </si>
  <si>
    <t xml:space="preserve">Laboratorium</t>
  </si>
  <si>
    <t xml:space="preserve">3525014606950002</t>
  </si>
  <si>
    <t xml:space="preserve">Tiremenggal, RT/RW 003/001, Tiremenggal, Dukun, Gresik</t>
  </si>
  <si>
    <t xml:space="preserve">RONI HADI JAYA</t>
  </si>
  <si>
    <t xml:space="preserve">0000758476438</t>
  </si>
  <si>
    <t xml:space="preserve">3524271006920001</t>
  </si>
  <si>
    <t xml:space="preserve">Gedondong, RT/RW 001/003, Sarirejo, Sarirejo, Lamongan</t>
  </si>
  <si>
    <t xml:space="preserve">RUSDI</t>
  </si>
  <si>
    <t xml:space="preserve">0001817085745</t>
  </si>
  <si>
    <t xml:space="preserve">3524270103830002</t>
  </si>
  <si>
    <t xml:space="preserve">SYAIFUL ARIF</t>
  </si>
  <si>
    <t xml:space="preserve">0000763652981</t>
  </si>
  <si>
    <t xml:space="preserve">Logistik</t>
  </si>
  <si>
    <t xml:space="preserve">3525121204790002</t>
  </si>
  <si>
    <t xml:space="preserve">Sultan hasanuddin, RT/RW 007/004, Sungonlegowo, Bungah, Gresik</t>
  </si>
  <si>
    <t xml:space="preserve">SUHARIYANTO</t>
  </si>
  <si>
    <t xml:space="preserve">0000757930871</t>
  </si>
  <si>
    <t xml:space="preserve">3524132504900001</t>
  </si>
  <si>
    <t xml:space="preserve">Warukulon, RT/RW 001/001, Warukulon, Pucuk, Lamongan</t>
  </si>
  <si>
    <t xml:space="preserve">SUN'AN HADI</t>
  </si>
  <si>
    <t xml:space="preserve">0001542215283</t>
  </si>
  <si>
    <t xml:space="preserve">3524273010950001</t>
  </si>
  <si>
    <t xml:space="preserve">Banjangan, RT/RW 001/006, Tambakmenjangan, Sarirejo, Lamongan</t>
  </si>
  <si>
    <t xml:space="preserve">SUTIYO</t>
  </si>
  <si>
    <t xml:space="preserve">DIRUMAHKAN</t>
  </si>
  <si>
    <t xml:space="preserve">29037865797</t>
  </si>
  <si>
    <t xml:space="preserve">0001152736716</t>
  </si>
  <si>
    <t xml:space="preserve">Bongkaran Minyak</t>
  </si>
  <si>
    <t xml:space="preserve">3525160101810124</t>
  </si>
  <si>
    <t xml:space="preserve">Jl. KH. Abdul Karim 14/32, RT/RW 002/002, Trate, Gresik</t>
  </si>
  <si>
    <t xml:space="preserve">SUYATNO EKO PRIYANTO</t>
  </si>
  <si>
    <t xml:space="preserve">0000762684074</t>
  </si>
  <si>
    <t xml:space="preserve">3525110105850003</t>
  </si>
  <si>
    <t xml:space="preserve">Padeg, RT/RW 003/002, Padeg, Cerme, Gresik</t>
  </si>
  <si>
    <t xml:space="preserve">USMAN HADI</t>
  </si>
  <si>
    <t xml:space="preserve">0001819866508</t>
  </si>
  <si>
    <t xml:space="preserve">3525160901900001</t>
  </si>
  <si>
    <t xml:space="preserve">Sindujoyo 2-H/07, RT/RW 018/002, Kroman, Gresik</t>
  </si>
  <si>
    <t xml:space="preserve">YOYOK HANDOKO</t>
  </si>
  <si>
    <t xml:space="preserve">0001543028264</t>
  </si>
  <si>
    <t xml:space="preserve">3314131010850005</t>
  </si>
  <si>
    <t xml:space="preserve">Sragen</t>
  </si>
  <si>
    <t xml:space="preserve">Jl. KH. Kholil 17-B/4, RT/RW 006/001, Kemuteran, Gresik</t>
  </si>
  <si>
    <t xml:space="preserve">ZAINAL ABIDIN</t>
  </si>
  <si>
    <t xml:space="preserve">0001480634842</t>
  </si>
  <si>
    <t xml:space="preserve">3525160904920121</t>
  </si>
  <si>
    <t xml:space="preserve">Usman Sadar 5/20, RT/RW 007/002, Karang Poh, Gresik</t>
  </si>
  <si>
    <t xml:space="preserve">KHOIRUL ADZIM</t>
  </si>
  <si>
    <t xml:space="preserve">0000762091299</t>
  </si>
  <si>
    <t xml:space="preserve">3525051809910002</t>
  </si>
  <si>
    <t xml:space="preserve">Petisbenem, RT/RW 004/001, Petisbenem, Duduksampeyan, Gresik</t>
  </si>
  <si>
    <t xml:space="preserve">LARDI</t>
  </si>
  <si>
    <t xml:space="preserve">0001703761211</t>
  </si>
  <si>
    <t xml:space="preserve">3519040712690002</t>
  </si>
  <si>
    <t xml:space="preserve">Nglumer, RT/RW 023/004, Mruwak, Dagangan, Madiun</t>
  </si>
  <si>
    <t xml:space="preserve">MAHFUD FADLI</t>
  </si>
  <si>
    <t xml:space="preserve">0001703761198</t>
  </si>
  <si>
    <t xml:space="preserve">3525112606850005</t>
  </si>
  <si>
    <t xml:space="preserve">Dusun Menganti, RT/RW 002/001, Karangsemanding, Balongpanggang, Gresik</t>
  </si>
  <si>
    <t xml:space="preserve">VICKY ARIANTO</t>
  </si>
  <si>
    <t xml:space="preserve">0001326667263</t>
  </si>
  <si>
    <t xml:space="preserve">Gudang Barang Jadi</t>
  </si>
  <si>
    <t xml:space="preserve">3524240111940001</t>
  </si>
  <si>
    <t xml:space="preserve">Watangpanjang, Karang Bangun, RT/RW 002/002, Lamongan</t>
  </si>
  <si>
    <t xml:space="preserve">MOH TAUFIQ</t>
  </si>
  <si>
    <t xml:space="preserve">0001243774146</t>
  </si>
  <si>
    <t xml:space="preserve">3525100210810007</t>
  </si>
  <si>
    <t xml:space="preserve">Betoyoguci, RT/RW 003/001, Manyar, Gresik</t>
  </si>
  <si>
    <t xml:space="preserve">AHMAD MUHAMMAD</t>
  </si>
  <si>
    <t xml:space="preserve">0001704247367</t>
  </si>
  <si>
    <t xml:space="preserve">3524032312860001</t>
  </si>
  <si>
    <t xml:space="preserve">Gampangsejati, RT/RW 002/004, Laren, Lamongan</t>
  </si>
  <si>
    <t xml:space="preserve">MUHAMMAD ARIF</t>
  </si>
  <si>
    <t xml:space="preserve">0002144063079</t>
  </si>
  <si>
    <t xml:space="preserve">3525042805850005</t>
  </si>
  <si>
    <t xml:space="preserve">Jatirembe, RT/RW 003/001, Benjeng, Gresik</t>
  </si>
  <si>
    <t xml:space="preserve">ZAKI TIRTA JAYA</t>
  </si>
  <si>
    <t xml:space="preserve">0002354350059</t>
  </si>
  <si>
    <t xml:space="preserve">3525122505940001</t>
  </si>
  <si>
    <t xml:space="preserve">Kalimalang, RT/RW 006/003, Melirang, Bungah, Gresik</t>
  </si>
  <si>
    <t xml:space="preserve">MUHAMMAD SUAIDI ALFASURI</t>
  </si>
  <si>
    <t xml:space="preserve">0000763658605</t>
  </si>
  <si>
    <t xml:space="preserve">3525122705930021</t>
  </si>
  <si>
    <t xml:space="preserve">Gumeng, RT/RW 002/004, Gumeng, Bungah, Gresik</t>
  </si>
  <si>
    <t xml:space="preserve">DIDIK AFRIANTO</t>
  </si>
  <si>
    <t xml:space="preserve">0002423992972</t>
  </si>
  <si>
    <t xml:space="preserve">3525100604760006</t>
  </si>
  <si>
    <t xml:space="preserve">Jl. Topaz V / 18 PPS , RT/RW 002/016, Suci, Manyar, Gresik</t>
  </si>
  <si>
    <t xml:space="preserve">NURUL HELMI</t>
  </si>
  <si>
    <t xml:space="preserve">0000757945664</t>
  </si>
  <si>
    <t xml:space="preserve">3524170111990001</t>
  </si>
  <si>
    <t xml:space="preserve">Kedagean, RT/RW 002/002, Surabayan, Sukodadi, Lamongan</t>
  </si>
  <si>
    <t xml:space="preserve">ZULKIFLI FEBRIANTORO</t>
  </si>
  <si>
    <t xml:space="preserve">0001673908547</t>
  </si>
  <si>
    <t xml:space="preserve">3506101302930001</t>
  </si>
  <si>
    <t xml:space="preserve">Jl. Gubernur Suryo 3-B/31, RT/RW 001/001, Tlogopojok, Gresik, Gresik</t>
  </si>
  <si>
    <t xml:space="preserve">EDO PRAMANA PUTRA</t>
  </si>
  <si>
    <t xml:space="preserve">0003093270546</t>
  </si>
  <si>
    <t xml:space="preserve">3515030905010001</t>
  </si>
  <si>
    <t xml:space="preserve">Cangkring, RT/RW 012/003, Cangkring, Krembung, Sidoarjo</t>
  </si>
  <si>
    <t xml:space="preserve">AFIDIYANTO</t>
  </si>
  <si>
    <t xml:space="preserve">PT IMR ARC STEEL</t>
  </si>
  <si>
    <t xml:space="preserve">0002210479683</t>
  </si>
  <si>
    <t xml:space="preserve">Kab. Mojokerto</t>
  </si>
  <si>
    <t xml:space="preserve">3516063003850003</t>
  </si>
  <si>
    <t xml:space="preserve">Dsn. Arjosari, RT/RW 001/001, Randuharjo, Pungging, Mojokerto</t>
  </si>
  <si>
    <t xml:space="preserve">AHMAD ZAINUL KHOIR</t>
  </si>
  <si>
    <t xml:space="preserve">0002084883974</t>
  </si>
  <si>
    <t xml:space="preserve">3516062603900003</t>
  </si>
  <si>
    <t xml:space="preserve">Dsn. Kamotan Kulon, RT/RW 026/011, Randuharjo, Pungging, Mojokerto</t>
  </si>
  <si>
    <t xml:space="preserve">ANDI DWI PANGARSO</t>
  </si>
  <si>
    <t xml:space="preserve">0002210391887</t>
  </si>
  <si>
    <t xml:space="preserve">Quality Control</t>
  </si>
  <si>
    <t xml:space="preserve">3516142303930002</t>
  </si>
  <si>
    <t xml:space="preserve">Dsn. Tumpak, RT/RW 032/006, Sidoharjo, Gedeg, Mojokerto</t>
  </si>
  <si>
    <t xml:space="preserve">ASOP ACHMAD PRAKOSO</t>
  </si>
  <si>
    <t xml:space="preserve">0002084902097</t>
  </si>
  <si>
    <t xml:space="preserve">3515092011960002</t>
  </si>
  <si>
    <t xml:space="preserve">Dsn. Janti Krajan, RT/RW 004/001, Janti, Tulangan, Sidoarjo</t>
  </si>
  <si>
    <t xml:space="preserve">DIDIK SANJAYA</t>
  </si>
  <si>
    <t xml:space="preserve">0002214520975</t>
  </si>
  <si>
    <t xml:space="preserve">3516082104860002</t>
  </si>
  <si>
    <t xml:space="preserve">Dsn. Awang - Awang, RT/RW 002/001, Awang - Awang, Mojosari, Mojokerto</t>
  </si>
  <si>
    <t xml:space="preserve">DITTO YUSUF FEBRIAN</t>
  </si>
  <si>
    <t xml:space="preserve">0002210475791</t>
  </si>
  <si>
    <t xml:space="preserve">WTP</t>
  </si>
  <si>
    <t xml:space="preserve">3515021002980002</t>
  </si>
  <si>
    <t xml:space="preserve">Dsn. Mojosarirejo, RT/RW 034/009, Randuharjo, Pungging, Mojokerto</t>
  </si>
  <si>
    <t xml:space="preserve">GUNADI PRASETIYO</t>
  </si>
  <si>
    <t xml:space="preserve">0002422862289</t>
  </si>
  <si>
    <t xml:space="preserve">3516061509930003</t>
  </si>
  <si>
    <t xml:space="preserve">Dsn. Arjosari, RT/RW 006/002, Randuharjo, Pungging, Mojokerto</t>
  </si>
  <si>
    <t xml:space="preserve">HERIS SUSANTO</t>
  </si>
  <si>
    <t xml:space="preserve">0001611746919</t>
  </si>
  <si>
    <t xml:space="preserve">Lab.</t>
  </si>
  <si>
    <t xml:space="preserve">3516062206840002</t>
  </si>
  <si>
    <t xml:space="preserve">Dsn. Kembangan, RT/RW 001/003, Kembangringgit, Pungging, Mojokerto</t>
  </si>
  <si>
    <t xml:space="preserve">IMAM THOHARI</t>
  </si>
  <si>
    <t xml:space="preserve">0001706615504</t>
  </si>
  <si>
    <t xml:space="preserve">3516061209960004</t>
  </si>
  <si>
    <t xml:space="preserve">Dsn. Mojosarirejo, RT/RW 035/009, Randuharjo, Pungging, Mojokerto</t>
  </si>
  <si>
    <t xml:space="preserve">ISROFI</t>
  </si>
  <si>
    <t xml:space="preserve">0002210402654</t>
  </si>
  <si>
    <t xml:space="preserve">3515130702840001</t>
  </si>
  <si>
    <t xml:space="preserve">Dsn. Menyanggong, RT/RW 024/010, Kletek, Taman, Sidoarjo</t>
  </si>
  <si>
    <t xml:space="preserve">JOKO SUWARNO</t>
  </si>
  <si>
    <t xml:space="preserve">0002442372761</t>
  </si>
  <si>
    <t xml:space="preserve">3578312009900001</t>
  </si>
  <si>
    <t xml:space="preserve">Dsn Jelido, RT/RW 007/001, Jelidro, Sambilkerep, Surabaya</t>
  </si>
  <si>
    <t xml:space="preserve">KHOIRUL ANAM</t>
  </si>
  <si>
    <t xml:space="preserve">0002442268798</t>
  </si>
  <si>
    <t xml:space="preserve">3516060109730002</t>
  </si>
  <si>
    <t xml:space="preserve">Dsn. Kamotan Wetan, RT/RW 031/013, Randuharjo, Pungging, Mojokerto</t>
  </si>
  <si>
    <t xml:space="preserve">MUHAMMAD ALI SANTOSO</t>
  </si>
  <si>
    <t xml:space="preserve">0001706615425</t>
  </si>
  <si>
    <t xml:space="preserve">3516061911850002</t>
  </si>
  <si>
    <t xml:space="preserve">Dsn. Mojolegi, RT/RW 002/014, Sawo, Kutorejo, Mojokerto</t>
  </si>
  <si>
    <t xml:space="preserve">MOCHAMAD ANDRIYANTO</t>
  </si>
  <si>
    <t xml:space="preserve">0000724073422</t>
  </si>
  <si>
    <t xml:space="preserve">3516060907900003</t>
  </si>
  <si>
    <t xml:space="preserve">Dsn. Mojosarirejo, RT/RW 034/010, Randuharjo, Pungging, Mojokerto</t>
  </si>
  <si>
    <t xml:space="preserve">MUHAMMAD IRUL NUR UBET</t>
  </si>
  <si>
    <t xml:space="preserve">0000724456394</t>
  </si>
  <si>
    <t xml:space="preserve">3516061704990002</t>
  </si>
  <si>
    <t xml:space="preserve">MOHAMMAD NURUDDIN</t>
  </si>
  <si>
    <t xml:space="preserve">0001138308603</t>
  </si>
  <si>
    <t xml:space="preserve">3525100405820002</t>
  </si>
  <si>
    <t xml:space="preserve">JL. Mangga IV/17 RT/RW 004/002, Manyarejo, Manyar, Gresik</t>
  </si>
  <si>
    <t xml:space="preserve">MOH. SUPRIYADI</t>
  </si>
  <si>
    <t xml:space="preserve">0001123993113</t>
  </si>
  <si>
    <t xml:space="preserve">3516100611920002</t>
  </si>
  <si>
    <t xml:space="preserve">Dsn. Gelang, RT/RW 002/008, Mojosulur, Mojosari, Mojokerto</t>
  </si>
  <si>
    <t xml:space="preserve">M. HASRILL UBED</t>
  </si>
  <si>
    <t xml:space="preserve">0001773159028</t>
  </si>
  <si>
    <t xml:space="preserve">3515042401960003</t>
  </si>
  <si>
    <t xml:space="preserve">Ds Pamotan RT/RW 002/001 Porong, Sidoarjo</t>
  </si>
  <si>
    <t xml:space="preserve">MUHAMMAD BAIHAQI SYARIFUDDIN</t>
  </si>
  <si>
    <t xml:space="preserve">0000098700862</t>
  </si>
  <si>
    <t xml:space="preserve">3516060907920001</t>
  </si>
  <si>
    <t xml:space="preserve">Ds Randuharjo, Pungging, Mojokerto</t>
  </si>
  <si>
    <t xml:space="preserve">MUH. KHOIRUL ANAM</t>
  </si>
  <si>
    <t xml:space="preserve">0000724792037</t>
  </si>
  <si>
    <t xml:space="preserve">3516061008990002</t>
  </si>
  <si>
    <t xml:space="preserve">NGADIONO</t>
  </si>
  <si>
    <t xml:space="preserve">0000724517471</t>
  </si>
  <si>
    <t xml:space="preserve">3516062304830004</t>
  </si>
  <si>
    <t xml:space="preserve">Dusun wates RT/RW 003/004, Centong, Gondang, Mojokerto</t>
  </si>
  <si>
    <t xml:space="preserve">SAMSUL ARIEF SUYITNO</t>
  </si>
  <si>
    <t xml:space="preserve">0001141842306</t>
  </si>
  <si>
    <t xml:space="preserve">3516180110810002</t>
  </si>
  <si>
    <t xml:space="preserve">Dusun Gayaman, RT/RW 003/001, Gayaman, Mojoanyar, Mojokerto</t>
  </si>
  <si>
    <t xml:space="preserve">SHOBIRIN HADI SUSANTO</t>
  </si>
  <si>
    <t xml:space="preserve">OFF</t>
  </si>
  <si>
    <t xml:space="preserve">25043231948</t>
  </si>
  <si>
    <t xml:space="preserve">0000724518347</t>
  </si>
  <si>
    <t xml:space="preserve">3516062910960002</t>
  </si>
  <si>
    <t xml:space="preserve">Dsn. Kamotan Wetan, RT/RW 002/001, Randuharjo, Pungging, Mojokerto</t>
  </si>
  <si>
    <t xml:space="preserve">SLAMET HARIYANTO</t>
  </si>
  <si>
    <t xml:space="preserve">0002084890173</t>
  </si>
  <si>
    <t xml:space="preserve">3515112709790001</t>
  </si>
  <si>
    <t xml:space="preserve">Dsn. Panjunan 3/254, RT/RW 024/003 Bulusidokare, Sidoarjo, Sidoarjo</t>
  </si>
  <si>
    <t xml:space="preserve">SULISTYO</t>
  </si>
  <si>
    <t xml:space="preserve">0002210478344</t>
  </si>
  <si>
    <t xml:space="preserve">3516080212900003</t>
  </si>
  <si>
    <t xml:space="preserve">Dsn. Candi Sari, RT/RW 001/004, Awang - Awang, Mojosari, Mojokerto</t>
  </si>
  <si>
    <t xml:space="preserve">ABDUL SLAMET</t>
  </si>
  <si>
    <t xml:space="preserve">0001043655129</t>
  </si>
  <si>
    <t xml:space="preserve">Cleaning Service</t>
  </si>
  <si>
    <t xml:space="preserve">3516061901770002</t>
  </si>
  <si>
    <t xml:space="preserve">ACHMAD DIANTO</t>
  </si>
  <si>
    <t xml:space="preserve">0001974257122</t>
  </si>
  <si>
    <t xml:space="preserve">3576010807850004</t>
  </si>
  <si>
    <t xml:space="preserve">Prajurit Kulon Gg. VIII, RT/RW 002/001, Prajurit Kulon, Prajurit Kulon, Kota Mojokerto</t>
  </si>
  <si>
    <t xml:space="preserve">IRAWAN</t>
  </si>
  <si>
    <t xml:space="preserve">KOPKAR SAMPOERNA (SURABAYA)</t>
  </si>
  <si>
    <t xml:space="preserve">0001790274396</t>
  </si>
  <si>
    <t xml:space="preserve">Kota Surabaya</t>
  </si>
  <si>
    <t xml:space="preserve">Helper/Gudang</t>
  </si>
  <si>
    <t xml:space="preserve">3578023006830003</t>
  </si>
  <si>
    <t xml:space="preserve">Sidomulyo 2-E/15, RT/RW 003/005, Sidotopo Wetan, Kenjeran, Surabaya</t>
  </si>
  <si>
    <t xml:space="preserve">YUDHIK PRAYITNO</t>
  </si>
  <si>
    <t xml:space="preserve">0001706118557</t>
  </si>
  <si>
    <t xml:space="preserve">3523202512850001</t>
  </si>
  <si>
    <t xml:space="preserve">Jember</t>
  </si>
  <si>
    <t xml:space="preserve">Dsn. Dawung, RT/RW 006/009, Grabagan, Grabagan, Tuban</t>
  </si>
  <si>
    <t xml:space="preserve">MUHAMMAD FANANI</t>
  </si>
  <si>
    <t xml:space="preserve">0002204663984</t>
  </si>
  <si>
    <t xml:space="preserve">3578180304980001</t>
  </si>
  <si>
    <t xml:space="preserve">Bangkingan, RT/RW 003/001, Bangkingan, Lakarsantri, Surabaya</t>
  </si>
  <si>
    <t xml:space="preserve">MOH. MUHNI</t>
  </si>
  <si>
    <t xml:space="preserve">PT LOGISTEED INDONESIA</t>
  </si>
  <si>
    <t xml:space="preserve">0001540124594</t>
  </si>
  <si>
    <t xml:space="preserve">3574031501630002</t>
  </si>
  <si>
    <t xml:space="preserve">Jl. Raden Wijaya 39, RT/RW 003/004, Wiroborang, Mayangan, Probolinggo</t>
  </si>
  <si>
    <t xml:space="preserve">AULIA FAUZIYAH</t>
  </si>
  <si>
    <t xml:space="preserve">PT SPINDO (SAMARINDA)</t>
  </si>
  <si>
    <t xml:space="preserve">0001894828263</t>
  </si>
  <si>
    <t xml:space="preserve">Kota Samarinda</t>
  </si>
  <si>
    <t xml:space="preserve">Admin</t>
  </si>
  <si>
    <t xml:space="preserve">6472045108980001</t>
  </si>
  <si>
    <t xml:space="preserve">Samarinda</t>
  </si>
  <si>
    <t xml:space="preserve">Jl. Pelita Perumahan Pesona Mahakam RK 16, Harapan Baru, Loa Janan Ilir, Samarinda</t>
  </si>
  <si>
    <t xml:space="preserve">DELVIAN BIMA ANDHIKA</t>
  </si>
  <si>
    <t xml:space="preserve">PT TENSAN INDONESIA</t>
  </si>
  <si>
    <t xml:space="preserve">0000721803093</t>
  </si>
  <si>
    <t xml:space="preserve">Inputor</t>
  </si>
  <si>
    <t xml:space="preserve">3515141208980001</t>
  </si>
  <si>
    <t xml:space="preserve">Beciro RT/RW 006/002 Jumputrejo, Sukodono, Sidoarjo</t>
  </si>
  <si>
    <t xml:space="preserve">DANI ADIPURA</t>
  </si>
  <si>
    <t xml:space="preserve">PT SINAR BERLIAN CHEMINDO (JAKARTA)</t>
  </si>
  <si>
    <t xml:space="preserve">0001602502896</t>
  </si>
  <si>
    <t xml:space="preserve">Jakarta</t>
  </si>
  <si>
    <t xml:space="preserve">Operator</t>
  </si>
  <si>
    <t xml:space="preserve">3524061107900001</t>
  </si>
  <si>
    <t xml:space="preserve">Perum Pondok Permata Blok B7/15 RT/RW 031/011 Desa Dradahblumbang Kec. Kedungpring Kab. Lamongan</t>
  </si>
  <si>
    <t xml:space="preserve">SAHRONI</t>
  </si>
  <si>
    <t xml:space="preserve">27057491186</t>
  </si>
  <si>
    <t xml:space="preserve">0000079268679</t>
  </si>
  <si>
    <t xml:space="preserve">3328011301760005</t>
  </si>
  <si>
    <t xml:space="preserve">Tegal</t>
  </si>
  <si>
    <t xml:space="preserve">Margasari RT/RW 001/006 Desa Margasari Kec. Margasari Kab. Tegal</t>
  </si>
  <si>
    <t xml:space="preserve">ABI DARDAK</t>
  </si>
  <si>
    <t xml:space="preserve">PT MEGA MULTI PEGAS</t>
  </si>
  <si>
    <t xml:space="preserve">0001386300429</t>
  </si>
  <si>
    <t xml:space="preserve">3524121208840005</t>
  </si>
  <si>
    <t xml:space="preserve">Meteseh, RT/RW 002/007, Lebakadi, Sugio, Lamongan</t>
  </si>
  <si>
    <t xml:space="preserve">ACHMAD RIYADI</t>
  </si>
  <si>
    <t xml:space="preserve">0001428986283</t>
  </si>
  <si>
    <t xml:space="preserve">Shearing</t>
  </si>
  <si>
    <t xml:space="preserve">3525110801880023</t>
  </si>
  <si>
    <t xml:space="preserve">Sumari, RT/RW 006/002, Sumari, Duduksampeyan, Gresik</t>
  </si>
  <si>
    <t xml:space="preserve">AGUS HARIYADI</t>
  </si>
  <si>
    <t xml:space="preserve">0002904921999</t>
  </si>
  <si>
    <t xml:space="preserve">Gudang</t>
  </si>
  <si>
    <t xml:space="preserve">3571012708820004</t>
  </si>
  <si>
    <t xml:space="preserve">Dsn. Gombong, RT/RW 010/004, Wanengpaten, Gampengrejo, Kediri</t>
  </si>
  <si>
    <t xml:space="preserve">AMINUDIN</t>
  </si>
  <si>
    <t xml:space="preserve">END KONTRAK</t>
  </si>
  <si>
    <t xml:space="preserve">0001136985579</t>
  </si>
  <si>
    <t xml:space="preserve">3525112807720003</t>
  </si>
  <si>
    <t xml:space="preserve">Dsn Ngabetan, RT/RW 002/001, Ngabetan, Cerme, Gresik</t>
  </si>
  <si>
    <t xml:space="preserve">ANDRI WAHYU SANTOSA</t>
  </si>
  <si>
    <t xml:space="preserve">0000761188645</t>
  </si>
  <si>
    <t xml:space="preserve">Painting</t>
  </si>
  <si>
    <t xml:space="preserve">3525112707830001</t>
  </si>
  <si>
    <t xml:space="preserve">Lengkong, RT/RW 001/002, Lengkong, Cerme, Gresik</t>
  </si>
  <si>
    <t xml:space="preserve">ARIS AGUS AFANDI</t>
  </si>
  <si>
    <t xml:space="preserve">0001905963489</t>
  </si>
  <si>
    <t xml:space="preserve">Eye Foreming</t>
  </si>
  <si>
    <t xml:space="preserve">3515101708890002</t>
  </si>
  <si>
    <t xml:space="preserve">Dsn Tanggul Wetan, RT/RW 003/002, Tanggul, Wonoayu, Sidoarjo</t>
  </si>
  <si>
    <t xml:space="preserve">ASIKIN</t>
  </si>
  <si>
    <t xml:space="preserve">0001428985574</t>
  </si>
  <si>
    <t xml:space="preserve">3525111507680023</t>
  </si>
  <si>
    <t xml:space="preserve">BAMBANG SUTIONO</t>
  </si>
  <si>
    <t xml:space="preserve">0001856437626</t>
  </si>
  <si>
    <t xml:space="preserve">3525110910850006</t>
  </si>
  <si>
    <t xml:space="preserve">Padeg, RT/RW 002/006, Padeg, Cerme, Gresik</t>
  </si>
  <si>
    <t xml:space="preserve">EDY NURYANTO</t>
  </si>
  <si>
    <t xml:space="preserve">0001452180993</t>
  </si>
  <si>
    <t xml:space="preserve">Heating</t>
  </si>
  <si>
    <t xml:space="preserve">3522152707800005</t>
  </si>
  <si>
    <t xml:space="preserve">Tambak Beras, RT/RW 003/002, Tambakberas, Cerme, Gresik</t>
  </si>
  <si>
    <t xml:space="preserve">HARI SUHARJONO</t>
  </si>
  <si>
    <t xml:space="preserve">0001428984314</t>
  </si>
  <si>
    <t xml:space="preserve">3524202803890003</t>
  </si>
  <si>
    <t xml:space="preserve">Dibe, RT/RW 010/003, Dibe, Kalitengah, Lamongan</t>
  </si>
  <si>
    <t xml:space="preserve">HARIYANTO</t>
  </si>
  <si>
    <t xml:space="preserve">0000761975076</t>
  </si>
  <si>
    <t xml:space="preserve">3525041012930002</t>
  </si>
  <si>
    <t xml:space="preserve">Cagak Agung, RT/RW 001/003, Cagakagung, Cerme, Gresik</t>
  </si>
  <si>
    <t xml:space="preserve">HERI WIDODO</t>
  </si>
  <si>
    <t xml:space="preserve">0001452358282</t>
  </si>
  <si>
    <t xml:space="preserve">3525110103820001</t>
  </si>
  <si>
    <t xml:space="preserve">Tuban</t>
  </si>
  <si>
    <t xml:space="preserve">Kendangsari Gg 10/9, RT/RW 004/005, Kendangsari, Tenggilis Mejoyo, Surabaya</t>
  </si>
  <si>
    <t xml:space="preserve">KHOIRUL ROHMAN</t>
  </si>
  <si>
    <t xml:space="preserve">0002681492545</t>
  </si>
  <si>
    <t xml:space="preserve">Flatbar</t>
  </si>
  <si>
    <t xml:space="preserve">3516161008840004</t>
  </si>
  <si>
    <t xml:space="preserve">Dsn Talunongko, RT/RW 005/006, Jolotundo, Jetis, Mojokerto</t>
  </si>
  <si>
    <t xml:space="preserve">KHOIRUR ROZIQIN</t>
  </si>
  <si>
    <t xml:space="preserve">0001452380073</t>
  </si>
  <si>
    <t xml:space="preserve">3525112510900022</t>
  </si>
  <si>
    <t xml:space="preserve">Dsn Kumendung, RT/RW 003/001, Ngembung, Cerme, Gresik</t>
  </si>
  <si>
    <t xml:space="preserve">MAT NURWIYONO</t>
  </si>
  <si>
    <t xml:space="preserve">0001452359485</t>
  </si>
  <si>
    <t xml:space="preserve">Bengkel</t>
  </si>
  <si>
    <t xml:space="preserve">3525042903820001</t>
  </si>
  <si>
    <t xml:space="preserve">Dsn Bengkelolor, RT/RW 007/003, Bengkelolor, Benjeng, Gresik</t>
  </si>
  <si>
    <t xml:space="preserve">MUCHAMMAD AZIZUL GHOFAR</t>
  </si>
  <si>
    <t xml:space="preserve">0001386257231</t>
  </si>
  <si>
    <t xml:space="preserve">3516010210930001</t>
  </si>
  <si>
    <t xml:space="preserve">Jl. Ronggolawe, RT/RW 003/004, Sumengko, Jatirejo, Mojokerto</t>
  </si>
  <si>
    <t xml:space="preserve">MUSLIKH</t>
  </si>
  <si>
    <t xml:space="preserve">0001133188108</t>
  </si>
  <si>
    <t xml:space="preserve">3525111512670002</t>
  </si>
  <si>
    <t xml:space="preserve">Lengkong, RT/RW 002/002, Lengkong, Cerme, Gresik</t>
  </si>
  <si>
    <t xml:space="preserve">NGATEMAN</t>
  </si>
  <si>
    <t xml:space="preserve">0001386248758</t>
  </si>
  <si>
    <t xml:space="preserve">Pu</t>
  </si>
  <si>
    <t xml:space="preserve">3525150610700001</t>
  </si>
  <si>
    <t xml:space="preserve">Tenaru, RT/RW 003/001, Tenaru, Driyorejo, Gresik</t>
  </si>
  <si>
    <t xml:space="preserve">SALAMUN ALAIKUM</t>
  </si>
  <si>
    <t xml:space="preserve">0001536055132</t>
  </si>
  <si>
    <t xml:space="preserve">3578220805930002</t>
  </si>
  <si>
    <t xml:space="preserve">Jl. A. Yani 68-70, RT/RW 001/007, Kel. Ketintang, Gayungan, Surabaya</t>
  </si>
  <si>
    <t xml:space="preserve">SOFWAN HADI</t>
  </si>
  <si>
    <t xml:space="preserve">0001452178045</t>
  </si>
  <si>
    <t xml:space="preserve">3525110609780003</t>
  </si>
  <si>
    <t xml:space="preserve">SUKADI</t>
  </si>
  <si>
    <t xml:space="preserve">0001452376732</t>
  </si>
  <si>
    <t xml:space="preserve">3525112611770002</t>
  </si>
  <si>
    <t xml:space="preserve">Padeg, RT/RW 001/006, Padeg, Cerme, Gresik</t>
  </si>
  <si>
    <t xml:space="preserve">0001386349187</t>
  </si>
  <si>
    <t xml:space="preserve">3525040705790004</t>
  </si>
  <si>
    <t xml:space="preserve">Batoan, RT/RW 002/003, Bengkelolor, Benjeng, Gresik</t>
  </si>
  <si>
    <t xml:space="preserve">SYAIFULLOH UMARDI</t>
  </si>
  <si>
    <t xml:space="preserve">0001428981726</t>
  </si>
  <si>
    <t xml:space="preserve">Cutting</t>
  </si>
  <si>
    <t xml:space="preserve">3525042804730001</t>
  </si>
  <si>
    <t xml:space="preserve">Dsn Karang Ploso, RT/RW 012/006, Klampok, Benjeng, Gresik</t>
  </si>
  <si>
    <t xml:space="preserve">TULUS</t>
  </si>
  <si>
    <t xml:space="preserve">22052760189</t>
  </si>
  <si>
    <t xml:space="preserve">0001538074642</t>
  </si>
  <si>
    <t xml:space="preserve">OB</t>
  </si>
  <si>
    <t xml:space="preserve">3525152102690001</t>
  </si>
  <si>
    <t xml:space="preserve">Ponorogo</t>
  </si>
  <si>
    <t xml:space="preserve">Driyorejo, RT/RW 003/002, Driyorejo, Driyorejo, Gresik</t>
  </si>
  <si>
    <t xml:space="preserve">WARLI</t>
  </si>
  <si>
    <t xml:space="preserve">0001428980488</t>
  </si>
  <si>
    <t xml:space="preserve">3525113112660032</t>
  </si>
  <si>
    <t xml:space="preserve">ACHMAD FARIS</t>
  </si>
  <si>
    <t xml:space="preserve">PT BAYER INDONESIA (HARIAN LEPAS)</t>
  </si>
  <si>
    <t xml:space="preserve">0001543864961</t>
  </si>
  <si>
    <t xml:space="preserve">3525130512930001</t>
  </si>
  <si>
    <t xml:space="preserve">Setro RT/RW 009/005, Setro, Menganti, Gresik</t>
  </si>
  <si>
    <t xml:space="preserve">AFFAN ARIANSYAH</t>
  </si>
  <si>
    <t xml:space="preserve">0001702725434</t>
  </si>
  <si>
    <t xml:space="preserve">3517191605960001</t>
  </si>
  <si>
    <t xml:space="preserve">Dsn Plosokerep RT/RW 008/002, Ploso Kerep, Sumobito, Jombang</t>
  </si>
  <si>
    <t xml:space="preserve">AGUS MARIYONO</t>
  </si>
  <si>
    <t xml:space="preserve">0002416616436</t>
  </si>
  <si>
    <t xml:space="preserve">3578232706820001</t>
  </si>
  <si>
    <t xml:space="preserve">Pagesangan 4/23 RT/RW 002/003, Pagesangan, Jambangan, Surabaya</t>
  </si>
  <si>
    <t xml:space="preserve">Cerai Hidup</t>
  </si>
  <si>
    <t xml:space="preserve">AINUR ROCHIM</t>
  </si>
  <si>
    <t xml:space="preserve">0001817106693</t>
  </si>
  <si>
    <t xml:space="preserve">3578252301940002</t>
  </si>
  <si>
    <t xml:space="preserve">Rungkut Tengah 3/42.F RT/RW 002/005, Rungkut Tengah, Gunung Anyar, Surabaya</t>
  </si>
  <si>
    <t xml:space="preserve">ARGA SETIAWAN</t>
  </si>
  <si>
    <t xml:space="preserve">0001384569516</t>
  </si>
  <si>
    <t xml:space="preserve">3515132106940003</t>
  </si>
  <si>
    <t xml:space="preserve">Dusun Kedungbulus RT/RW 001/001, Watesprojo, Kemlagi, Mojokerto</t>
  </si>
  <si>
    <t xml:space="preserve">ARIF BUDIANTO</t>
  </si>
  <si>
    <t xml:space="preserve">0001815772375</t>
  </si>
  <si>
    <t xml:space="preserve">3578012205820003</t>
  </si>
  <si>
    <t xml:space="preserve">Wringinpitu RT 002 RW 002, Bakalanwringinpitu, Balongbendo, Sidoarjo</t>
  </si>
  <si>
    <t xml:space="preserve">DANNY KURNIAWAN</t>
  </si>
  <si>
    <t xml:space="preserve">0001787350476</t>
  </si>
  <si>
    <t xml:space="preserve">3515131211870006</t>
  </si>
  <si>
    <t xml:space="preserve">Sadang No.10 RT/RW 007/002, Sadang, Taman, Sidoarjo</t>
  </si>
  <si>
    <t xml:space="preserve">DIDIK ANDRIYANTO</t>
  </si>
  <si>
    <t xml:space="preserve">0002041560595</t>
  </si>
  <si>
    <t xml:space="preserve">3578101704880003</t>
  </si>
  <si>
    <t xml:space="preserve">Kapas Madya 1-C-1/29 RT/RW 005/003, Kapasmadya Baru, Tambak Sari, Surabaya</t>
  </si>
  <si>
    <t xml:space="preserve">DWI INGGAR PRAKOSO</t>
  </si>
  <si>
    <t xml:space="preserve">0002208312279</t>
  </si>
  <si>
    <t xml:space="preserve">3578120708980002</t>
  </si>
  <si>
    <t xml:space="preserve">Muteran I/14 RT 001 RW 008, Krembangan Utara, Pabean Cantian, Surabaya</t>
  </si>
  <si>
    <t xml:space="preserve">FACHTUR RACHMAN</t>
  </si>
  <si>
    <t xml:space="preserve">0001394685999</t>
  </si>
  <si>
    <t xml:space="preserve">3578071105930002</t>
  </si>
  <si>
    <t xml:space="preserve">Simo Kwagean Buntu Kidul 27 RT/RW 005/002, Banyu Urip, Sawahan, Surabaya</t>
  </si>
  <si>
    <t xml:space="preserve">FAUZI TRI ROMADHONI</t>
  </si>
  <si>
    <t xml:space="preserve">0001817086757</t>
  </si>
  <si>
    <t xml:space="preserve">3507122401960002</t>
  </si>
  <si>
    <t xml:space="preserve">Bogangin I/41 RT/RW 002/005, Kedurus, Karang Pilang, Surabaya</t>
  </si>
  <si>
    <t xml:space="preserve">GUNAWAN WINOTO</t>
  </si>
  <si>
    <t xml:space="preserve">0001816965033</t>
  </si>
  <si>
    <t xml:space="preserve">3523161201900004</t>
  </si>
  <si>
    <t xml:space="preserve">Dsn Winong RT 005 RW 008, Sugiharjo, Tuban, Tuban</t>
  </si>
  <si>
    <t xml:space="preserve">HARI PURWANTO</t>
  </si>
  <si>
    <t xml:space="preserve">0001704285167</t>
  </si>
  <si>
    <t xml:space="preserve">3518110510940006</t>
  </si>
  <si>
    <t xml:space="preserve">Dusun Pulorejo RT/RTW 001/001, Wates, Tanjunganom, Nganjuk</t>
  </si>
  <si>
    <t xml:space="preserve">HERU</t>
  </si>
  <si>
    <t xml:space="preserve">0001129959562</t>
  </si>
  <si>
    <t xml:space="preserve">3578190705810002</t>
  </si>
  <si>
    <t xml:space="preserve">Bandarejo 4/16 RT 004 RW 005, Sememi, Benowo, Surabaya</t>
  </si>
  <si>
    <t xml:space="preserve">IIS SETIA APRIYADI</t>
  </si>
  <si>
    <t xml:space="preserve">0001132657255</t>
  </si>
  <si>
    <t xml:space="preserve">3578041504800010</t>
  </si>
  <si>
    <t xml:space="preserve">Karangrejo 3/9 RT 003 RW 008, Wonokromo, Wonokromo, Surabaya</t>
  </si>
  <si>
    <t xml:space="preserve">IMAM SUHADAK</t>
  </si>
  <si>
    <t xml:space="preserve">0001817129766</t>
  </si>
  <si>
    <t xml:space="preserve">3506181905930001</t>
  </si>
  <si>
    <t xml:space="preserve">Dsn. Jatirejo RT/RW 012/003, Damarwulan, Kepung, Kediri</t>
  </si>
  <si>
    <t xml:space="preserve">IMAM SYAMSURI</t>
  </si>
  <si>
    <t xml:space="preserve">0002160353463</t>
  </si>
  <si>
    <t xml:space="preserve">3578062104820004</t>
  </si>
  <si>
    <t xml:space="preserve">Simo Kwagean Kuburan I/9 RT/RW 004/002, Banyu Urip, Sawahan, Surabaya</t>
  </si>
  <si>
    <t xml:space="preserve">IRVAN NOVIANTO</t>
  </si>
  <si>
    <t xml:space="preserve">25055979711</t>
  </si>
  <si>
    <t xml:space="preserve">0002236224071</t>
  </si>
  <si>
    <t xml:space="preserve">3510091909970004</t>
  </si>
  <si>
    <t xml:space="preserve">Banyuwangi</t>
  </si>
  <si>
    <t xml:space="preserve">Dusun Curahketangi Barat RT 005 RW 003, Setail, Genteng, Banyuwangi</t>
  </si>
  <si>
    <t xml:space="preserve">JOKO RAHARJO</t>
  </si>
  <si>
    <t xml:space="preserve">PT BAYER INDONESIA</t>
  </si>
  <si>
    <t xml:space="preserve">0000101016167</t>
  </si>
  <si>
    <t xml:space="preserve">PKWT - P</t>
  </si>
  <si>
    <t xml:space="preserve">Koordinator</t>
  </si>
  <si>
    <t xml:space="preserve">3578170902840004</t>
  </si>
  <si>
    <t xml:space="preserve">Bulak Banteng Lor Sekolahan 12-B RT 004 RW 002, Bulak Banteng, Kenjeran, Surabaya</t>
  </si>
  <si>
    <t xml:space="preserve">KHAIRUL ANAM</t>
  </si>
  <si>
    <t xml:space="preserve">0001817090651</t>
  </si>
  <si>
    <t xml:space="preserve">3517200201800001</t>
  </si>
  <si>
    <t xml:space="preserve">Pulosari 3-M/8 RT 003 RW 007 Gunungsari, Dukuh Pakis, Surabaya</t>
  </si>
  <si>
    <t xml:space="preserve">M. CHAMIDULLAH</t>
  </si>
  <si>
    <t xml:space="preserve">0001706615954</t>
  </si>
  <si>
    <t xml:space="preserve">3515112001830002</t>
  </si>
  <si>
    <t xml:space="preserve">Ponokawan RT 005 RW 001, Ponokawan, Krian, Sidoarjo</t>
  </si>
  <si>
    <t xml:space="preserve">MAYDHA TRESNANING TITINUR</t>
  </si>
  <si>
    <t xml:space="preserve">0001098435587</t>
  </si>
  <si>
    <t xml:space="preserve">QA</t>
  </si>
  <si>
    <t xml:space="preserve">3571016405950005</t>
  </si>
  <si>
    <t xml:space="preserve">Dsn. Kudan RT/RW 001/013, Tiudan, Gondang, Tulungagung</t>
  </si>
  <si>
    <t xml:space="preserve">MOCH RIYAN FIRDAUS</t>
  </si>
  <si>
    <t xml:space="preserve">0001706615987</t>
  </si>
  <si>
    <t xml:space="preserve">3515131104930003</t>
  </si>
  <si>
    <t xml:space="preserve">Jl. Langsep I RT 013 RW 003, Geluran, Taman, Sidoarjo</t>
  </si>
  <si>
    <t xml:space="preserve">MOCH. ISMAIL</t>
  </si>
  <si>
    <t xml:space="preserve">0001469943955</t>
  </si>
  <si>
    <t xml:space="preserve">3578250608940002</t>
  </si>
  <si>
    <t xml:space="preserve">Rungkut Tengah 3 - B/20 RT/RW 001/004, Rungkut Tengah, Gunung Anyar, Surabaya</t>
  </si>
  <si>
    <t xml:space="preserve">MOCH. LUKMAN</t>
  </si>
  <si>
    <t xml:space="preserve">0001815764141</t>
  </si>
  <si>
    <t xml:space="preserve">3578171212800003</t>
  </si>
  <si>
    <t xml:space="preserve">Tanah Merah 1/7 RT 001 RW 004, Tanah Kali Kendinding, Kenjeran, Surabaya</t>
  </si>
  <si>
    <t xml:space="preserve">MOCHAMAD FAIZAL ADI PUTRA</t>
  </si>
  <si>
    <t xml:space="preserve">0001816961837</t>
  </si>
  <si>
    <t xml:space="preserve">3507120812950001</t>
  </si>
  <si>
    <t xml:space="preserve">Selorejo RT/RW 002/001, Selorejo, Selorejo, Blitar</t>
  </si>
  <si>
    <t xml:space="preserve">MOCHAMMAD WAHYUDI</t>
  </si>
  <si>
    <t xml:space="preserve">0002416616324</t>
  </si>
  <si>
    <t xml:space="preserve">3515031901990001</t>
  </si>
  <si>
    <t xml:space="preserve">Kandangan RT 002 RW 001, Kandangan, Krembung, Sidoarjo</t>
  </si>
  <si>
    <t xml:space="preserve">MUCHAMMAD SIROJUDIN</t>
  </si>
  <si>
    <t xml:space="preserve">0000720112026</t>
  </si>
  <si>
    <t xml:space="preserve">3515050202970001</t>
  </si>
  <si>
    <t xml:space="preserve">Dusun Gayam RT/RW 013/005, Kedungrejo, Jabon, Sidoarjo</t>
  </si>
  <si>
    <t xml:space="preserve">MUHAMMAD SANDY AKBAR</t>
  </si>
  <si>
    <t xml:space="preserve">0001155009881</t>
  </si>
  <si>
    <t xml:space="preserve">3515182409960006</t>
  </si>
  <si>
    <t xml:space="preserve">Ngingas Selatan RT 003 RW 001, Ngingas, Waru , Sidoarjo</t>
  </si>
  <si>
    <t xml:space="preserve">MUHAMMAD WAHYU MIMBAR</t>
  </si>
  <si>
    <t xml:space="preserve">0001816990918</t>
  </si>
  <si>
    <t xml:space="preserve">3525031405940001</t>
  </si>
  <si>
    <t xml:space="preserve">Lowayu RT/RW 010/08, Lowayu, Dukun, Gresik</t>
  </si>
  <si>
    <t xml:space="preserve">NASRULLAH</t>
  </si>
  <si>
    <t xml:space="preserve">0001704389051</t>
  </si>
  <si>
    <t xml:space="preserve">3517042608930001</t>
  </si>
  <si>
    <t xml:space="preserve">Dsn Banjaragung RT 002 RW 001, Banjaragung, Bareng, Jombang</t>
  </si>
  <si>
    <t xml:space="preserve">NURYUDAH</t>
  </si>
  <si>
    <t xml:space="preserve">0001816982335</t>
  </si>
  <si>
    <t xml:space="preserve">3517143007880001</t>
  </si>
  <si>
    <t xml:space="preserve">Dusun Jatirejo RT/RW 016/004, Sambirejo, Trenggalek</t>
  </si>
  <si>
    <t xml:space="preserve">RENAL DEWO SAPUTRO</t>
  </si>
  <si>
    <t xml:space="preserve">0001704388858</t>
  </si>
  <si>
    <t xml:space="preserve">3578311202970002</t>
  </si>
  <si>
    <t xml:space="preserve">Rejosari Gg I/38 RT 001 RW 003, Benowo, Pakal, Surabaya</t>
  </si>
  <si>
    <t xml:space="preserve">REZA AJI SATRIO</t>
  </si>
  <si>
    <t xml:space="preserve">0001727676191</t>
  </si>
  <si>
    <t xml:space="preserve">3515183005000010</t>
  </si>
  <si>
    <t xml:space="preserve">Wedoro Utara RT 002 RW 002, Wedoro, Waru, Sidoarjo</t>
  </si>
  <si>
    <t xml:space="preserve">RIDWAN AMINUL FALLAH</t>
  </si>
  <si>
    <t xml:space="preserve">0001706616189</t>
  </si>
  <si>
    <t xml:space="preserve">3507021908970001</t>
  </si>
  <si>
    <t xml:space="preserve">Dsn. Sumbersuruh RT021 RW 006, Pandanrejo, Pagak, Malang</t>
  </si>
  <si>
    <t xml:space="preserve">RIZAL AGUNG UTOMO</t>
  </si>
  <si>
    <t xml:space="preserve">0001701735928</t>
  </si>
  <si>
    <t xml:space="preserve">3515030704930003</t>
  </si>
  <si>
    <t xml:space="preserve">Kandangan Barat RT/RW 002/001, Kandangan, Krembung, Sidoarjo</t>
  </si>
  <si>
    <t xml:space="preserve">RUDI AGUS SETYAWAN</t>
  </si>
  <si>
    <t xml:space="preserve">0000675668248</t>
  </si>
  <si>
    <t xml:space="preserve">3506212608900001</t>
  </si>
  <si>
    <t xml:space="preserve">Dusun Pakis RT 008 RW 003, Pakis, Kujang, Kediri</t>
  </si>
  <si>
    <t xml:space="preserve">RUSDIANTO</t>
  </si>
  <si>
    <t xml:space="preserve">0001702626513</t>
  </si>
  <si>
    <t xml:space="preserve">3578032404830002</t>
  </si>
  <si>
    <t xml:space="preserve">Rungkut Kidul Gg. Kalimir 21 RT/RW 003/005, Rungkut Kidul, Rungkut, Surabaya</t>
  </si>
  <si>
    <t xml:space="preserve">TAUCHID</t>
  </si>
  <si>
    <t xml:space="preserve">0002157501791</t>
  </si>
  <si>
    <t xml:space="preserve">3517060802790001</t>
  </si>
  <si>
    <t xml:space="preserve">Kedunglumpang RT 002 RW 004, Kedunglumpang, Mojoagung, Jombang</t>
  </si>
  <si>
    <t xml:space="preserve">TAUFIQUR RAHMAN</t>
  </si>
  <si>
    <t xml:space="preserve">0002157501813</t>
  </si>
  <si>
    <t xml:space="preserve">3515082106910007</t>
  </si>
  <si>
    <t xml:space="preserve">Jl. KH Mukmin No. 17 RT 005 RW 002, Sidokare, Sidoarjo, Sidoarjo</t>
  </si>
  <si>
    <t xml:space="preserve">UCE RAHARDJO NYOTO WIBOWO</t>
  </si>
  <si>
    <t xml:space="preserve">0001816517079</t>
  </si>
  <si>
    <t xml:space="preserve">3578181407850002</t>
  </si>
  <si>
    <t xml:space="preserve">Kembang Kuning Kulon 3/24 RT 006 RW 006, Pakis, Sawahan, Surabaya</t>
  </si>
  <si>
    <t xml:space="preserve">WACHID RAHMANTO</t>
  </si>
  <si>
    <t xml:space="preserve">0001815770182</t>
  </si>
  <si>
    <t xml:space="preserve">PRO Adminitration</t>
  </si>
  <si>
    <t xml:space="preserve">3507022208890001</t>
  </si>
  <si>
    <t xml:space="preserve">Dsn Sumbersuruh RT/RW 022/006, Pandanrejo, Pagak, Malang</t>
  </si>
  <si>
    <t xml:space="preserve">YULIANTO</t>
  </si>
  <si>
    <t xml:space="preserve">0001395885238</t>
  </si>
  <si>
    <t xml:space="preserve">3578242811820002</t>
  </si>
  <si>
    <t xml:space="preserve">Kendangsari Gang 10/18-B RT/RW 004/005, Kendangsari, Tenggilis Mejoyo, Surabaya</t>
  </si>
  <si>
    <t xml:space="preserve">ALDINA SEVEN WIBOWO</t>
  </si>
  <si>
    <t xml:space="preserve">PT SUMBER KOPI PRIMA</t>
  </si>
  <si>
    <t xml:space="preserve">0001396305505</t>
  </si>
  <si>
    <t xml:space="preserve">Production Packer</t>
  </si>
  <si>
    <t xml:space="preserve">3517125909010001</t>
  </si>
  <si>
    <t xml:space="preserve">Dusun Watudakon RT/RW 008/001 Watudakon, Kesamben, Jombang</t>
  </si>
  <si>
    <t xml:space="preserve">ALIFFIYANNA FEBBY ARYADI NINGSIH</t>
  </si>
  <si>
    <t xml:space="preserve">CUTI HAMIL</t>
  </si>
  <si>
    <t xml:space="preserve">24071049746</t>
  </si>
  <si>
    <t xml:space="preserve">0002415405519</t>
  </si>
  <si>
    <t xml:space="preserve">3516165901980001</t>
  </si>
  <si>
    <t xml:space="preserve">Dsn Kepuh Sawo RT/RW 004/003 Mojorejo, Jetis, Mojokerto</t>
  </si>
  <si>
    <t xml:space="preserve">ANIFA MUSTIKA PRIHATINI</t>
  </si>
  <si>
    <t xml:space="preserve">0003059512053</t>
  </si>
  <si>
    <t xml:space="preserve">3516144602000001</t>
  </si>
  <si>
    <t xml:space="preserve">Lengkong RT/RW 023/007 Sidoharjo, Gedeg, Mojokerto</t>
  </si>
  <si>
    <t xml:space="preserve">DEANISA RACHMA PURNAMA SARI</t>
  </si>
  <si>
    <t xml:space="preserve">0002415279925</t>
  </si>
  <si>
    <t xml:space="preserve">3516185606000001</t>
  </si>
  <si>
    <t xml:space="preserve">Dsn Kepuhanyar RT/RW 001/003 Kepuhanyar, Mojoanyar, Mojokerto</t>
  </si>
  <si>
    <t xml:space="preserve">DEWINTA DORA SARRASCALAO</t>
  </si>
  <si>
    <t xml:space="preserve">0003064883578</t>
  </si>
  <si>
    <t xml:space="preserve">3516156012960002</t>
  </si>
  <si>
    <t xml:space="preserve">Japanan Lor RT/RW 002/001 Japanan, Kemlagi, Mojokerto</t>
  </si>
  <si>
    <t xml:space="preserve">DIAH AGUSTIN</t>
  </si>
  <si>
    <t xml:space="preserve">0001480670289</t>
  </si>
  <si>
    <t xml:space="preserve">3516115308000004</t>
  </si>
  <si>
    <t xml:space="preserve">Dusun Ngudikidul RT/RW 004/001 Gempolkerep, Gedeg, Mojokerto</t>
  </si>
  <si>
    <t xml:space="preserve">ELDA WAHYUAGUNG</t>
  </si>
  <si>
    <t xml:space="preserve">0002889227867</t>
  </si>
  <si>
    <t xml:space="preserve">3516164312010003</t>
  </si>
  <si>
    <t xml:space="preserve">Dusun Pasinan Kulon RT/RW 005/005 Kupang, Jetis, Mojokerto</t>
  </si>
  <si>
    <t xml:space="preserve">ERINA CAHYA SEPHIA</t>
  </si>
  <si>
    <t xml:space="preserve">0001537647906</t>
  </si>
  <si>
    <t xml:space="preserve">3516155709010004</t>
  </si>
  <si>
    <t xml:space="preserve">Dusun Rembu Kidul RT/RW 001/001 Japanan, Kemlagi, Mojokerto</t>
  </si>
  <si>
    <t xml:space="preserve">ERLIN LESTININGSIH</t>
  </si>
  <si>
    <t xml:space="preserve">0002734218538</t>
  </si>
  <si>
    <t xml:space="preserve">3516156306990004</t>
  </si>
  <si>
    <t xml:space="preserve">Dusun Rembu Kidul RT/RW 006/003 Japanan, Kemlagi, Mojokerto</t>
  </si>
  <si>
    <t xml:space="preserve">INTAN JANUAR RISMA</t>
  </si>
  <si>
    <t xml:space="preserve">0000726751348</t>
  </si>
  <si>
    <t xml:space="preserve">3516166201010001</t>
  </si>
  <si>
    <t xml:space="preserve">Dusun Gamping RT/RW 002/002 Mojorejo, Jetis, Mojokerto</t>
  </si>
  <si>
    <t xml:space="preserve">MEILYA ARDIANTI</t>
  </si>
  <si>
    <t xml:space="preserve">0003064924271</t>
  </si>
  <si>
    <t xml:space="preserve">3516156405980002</t>
  </si>
  <si>
    <t xml:space="preserve">Dusun Rembu Lor RT/RW 003/002 Japanan, Kemlagi, Mojokerto</t>
  </si>
  <si>
    <t xml:space="preserve">NOVALITA RIZKY ALDAMAYANTI</t>
  </si>
  <si>
    <t xml:space="preserve">25007529170</t>
  </si>
  <si>
    <t xml:space="preserve">0001894112559</t>
  </si>
  <si>
    <t xml:space="preserve">3516145411980001</t>
  </si>
  <si>
    <t xml:space="preserve">Desa Gedeg RT/RW 008/002 Gedeg, Gedeg, Mojokerto</t>
  </si>
  <si>
    <t xml:space="preserve">NOVIA DEWI ANDRIANA</t>
  </si>
  <si>
    <t xml:space="preserve">0001828549721</t>
  </si>
  <si>
    <t xml:space="preserve">3516154305960002</t>
  </si>
  <si>
    <t xml:space="preserve">Dusun Kepuhsawo RT/RW 003/003 Mojorejo, Jetis, Mojokerto</t>
  </si>
  <si>
    <t xml:space="preserve">PUTRI AYU ARIANNDRA</t>
  </si>
  <si>
    <t xml:space="preserve">0003059754219</t>
  </si>
  <si>
    <t xml:space="preserve">3516167003970001</t>
  </si>
  <si>
    <t xml:space="preserve">Dusun Kepuh Saawo RT/RW 001/003 Mojorejo, Jetis, Mojokerto</t>
  </si>
  <si>
    <t xml:space="preserve">RAFITA EKA DWIYANTI</t>
  </si>
  <si>
    <t xml:space="preserve">BPJS KESEHATAN</t>
  </si>
  <si>
    <t xml:space="preserve">3516165703020001</t>
  </si>
  <si>
    <t xml:space="preserve">Dusun Jolotundo RT/RW 001/007 Jolotundo, Jetis, Mojokerto</t>
  </si>
  <si>
    <t xml:space="preserve">REGITA CAHYANI SALSABILLA</t>
  </si>
  <si>
    <t xml:space="preserve">0001537511321</t>
  </si>
  <si>
    <t xml:space="preserve">3516144903000001</t>
  </si>
  <si>
    <t xml:space="preserve">Ds. Jerukseger RT/RW 002/006 Jerukseger, Gedeg, Mojokerto</t>
  </si>
  <si>
    <t xml:space="preserve">RIMA NAVIRA</t>
  </si>
  <si>
    <t xml:space="preserve">0003064930457</t>
  </si>
  <si>
    <t xml:space="preserve">3516164811000002</t>
  </si>
  <si>
    <t xml:space="preserve">Dusun Gamping RT/RW 003/001 Mojorejo, Jetis, Mojokerto</t>
  </si>
  <si>
    <t xml:space="preserve">RIO SANDI ARISTA</t>
  </si>
  <si>
    <t xml:space="preserve">0003064831593</t>
  </si>
  <si>
    <t xml:space="preserve">GBJ Helper</t>
  </si>
  <si>
    <t xml:space="preserve">3517191703010001</t>
  </si>
  <si>
    <t xml:space="preserve">Dusun Sawahan RT/RW 001/005 Sambirejo, Jogoroto, Jombang</t>
  </si>
  <si>
    <t xml:space="preserve">SERNANDA LINGGA YOVANGGI</t>
  </si>
  <si>
    <t xml:space="preserve">0002503259087</t>
  </si>
  <si>
    <t xml:space="preserve">3516166711020001</t>
  </si>
  <si>
    <t xml:space="preserve">Dusun Putat RT/RW 005/005 Mojorejo, Jetis, Mojokerto</t>
  </si>
  <si>
    <t xml:space="preserve">SURAS EKA RINJANI</t>
  </si>
  <si>
    <t xml:space="preserve">0003059758912</t>
  </si>
  <si>
    <t xml:space="preserve">3516167003010001</t>
  </si>
  <si>
    <t xml:space="preserve">Dusun Bulu RT/RW 018/005 Sawo, Jetis, Mojokerto</t>
  </si>
  <si>
    <t xml:space="preserve">TRI WULANDARI SA'BANIYAH</t>
  </si>
  <si>
    <t xml:space="preserve">0003064829646</t>
  </si>
  <si>
    <t xml:space="preserve">3516156910010001</t>
  </si>
  <si>
    <t xml:space="preserve">Dusun Rembu Lor RT/RW 001/001 Japanan, Kemlagi, Mojokerto</t>
  </si>
  <si>
    <t xml:space="preserve">VIKI RATNASARI</t>
  </si>
  <si>
    <t xml:space="preserve">23042366712</t>
  </si>
  <si>
    <t xml:space="preserve">0000098815173</t>
  </si>
  <si>
    <t xml:space="preserve">3516145004000003</t>
  </si>
  <si>
    <t xml:space="preserve">Desa Bandung Wetan RT/RW 003/001 Bandung, Gedeg, Mojokerto</t>
  </si>
  <si>
    <t xml:space="preserve">VINA RUSDIANA</t>
  </si>
  <si>
    <t xml:space="preserve">0003064878472</t>
  </si>
  <si>
    <t xml:space="preserve">3516166704020002</t>
  </si>
  <si>
    <t xml:space="preserve">Dusun Kepuh Sawo RT/RW 003/003 Mojorejo, Jetis, Mojokerto</t>
  </si>
  <si>
    <t xml:space="preserve">ADELIA WAHYUNINGTYAS</t>
  </si>
  <si>
    <t xml:space="preserve">0002300926599</t>
  </si>
  <si>
    <t xml:space="preserve">Production Rework Helper</t>
  </si>
  <si>
    <t xml:space="preserve">3516164604910001</t>
  </si>
  <si>
    <t xml:space="preserve">Cakarayam I/24 RT/RW 001/001 Mentikan, Prajurit Kulon, Mojokerto</t>
  </si>
  <si>
    <t xml:space="preserve">AFIFAH TRI RAHAYU</t>
  </si>
  <si>
    <t xml:space="preserve">0000726029807</t>
  </si>
  <si>
    <t xml:space="preserve">3516146604010002</t>
  </si>
  <si>
    <t xml:space="preserve">Jl. Margitosan RT/RW 010/003 Gembongan, Gedeg, Mojokerto</t>
  </si>
  <si>
    <t xml:space="preserve">AKHMAD ARDIANSYAH</t>
  </si>
  <si>
    <t xml:space="preserve">0002754952121</t>
  </si>
  <si>
    <t xml:space="preserve">Rajang Sachet</t>
  </si>
  <si>
    <t xml:space="preserve">3516162907990001</t>
  </si>
  <si>
    <t xml:space="preserve">Dusun Sawo RT/RW 010/002 Sawo, Jetis, Mojokerto</t>
  </si>
  <si>
    <t xml:space="preserve">ALFES EDVENT OCKY AFANDI</t>
  </si>
  <si>
    <t xml:space="preserve">0001703292557</t>
  </si>
  <si>
    <t xml:space="preserve">3516160110010001</t>
  </si>
  <si>
    <t xml:space="preserve">Dsn Sawo RT/RW 007/002 Sawo, Jetis, Mojokerto</t>
  </si>
  <si>
    <t xml:space="preserve">CAHYA ADI LUKITA</t>
  </si>
  <si>
    <t xml:space="preserve">0003059751104</t>
  </si>
  <si>
    <t xml:space="preserve">Production RMP Helper (Green Bean Area)</t>
  </si>
  <si>
    <t xml:space="preserve">3516151708880001</t>
  </si>
  <si>
    <t xml:space="preserve">Dsn. Sambigede RT/RW 002/002 Mojokumpul, Kemlagi, Mojokerto</t>
  </si>
  <si>
    <t xml:space="preserve">CICI MAIYUNI</t>
  </si>
  <si>
    <t xml:space="preserve">0003064883152</t>
  </si>
  <si>
    <t xml:space="preserve">3516165009020001</t>
  </si>
  <si>
    <t xml:space="preserve">Dusun Gamping RT/RW 003/002 Mojorejo, Jetis, Mojokerto</t>
  </si>
  <si>
    <t xml:space="preserve">DANAR YOGA ARIE SAMBHOJA</t>
  </si>
  <si>
    <t xml:space="preserve">0001294905644</t>
  </si>
  <si>
    <t xml:space="preserve">Production Packing Helper</t>
  </si>
  <si>
    <t xml:space="preserve">3516160308890001</t>
  </si>
  <si>
    <t xml:space="preserve">Dusun Sawo RT/RW 009/002 Sawo, Jetis, Mojokerto</t>
  </si>
  <si>
    <t xml:space="preserve">DETTY ACTYAN PRATIWIE</t>
  </si>
  <si>
    <t xml:space="preserve">27068426846</t>
  </si>
  <si>
    <t xml:space="preserve">0001151991832</t>
  </si>
  <si>
    <t xml:space="preserve">3516156110920001</t>
  </si>
  <si>
    <t xml:space="preserve">Jl. Jatikumpul RT/RW 002/004 Mojokumpul, Kemlagi, Mojokerto</t>
  </si>
  <si>
    <t xml:space="preserve">EDI SUGIANTO</t>
  </si>
  <si>
    <t xml:space="preserve">0001844412467</t>
  </si>
  <si>
    <t xml:space="preserve">Procuction Dumping Helper</t>
  </si>
  <si>
    <t xml:space="preserve">3516012010910001</t>
  </si>
  <si>
    <t xml:space="preserve">Bangon RT/RW 007/002 Bleberan, Jatirejo, Mojokerto</t>
  </si>
  <si>
    <t xml:space="preserve">FAJAR IBNU KHOIRUL HUDA</t>
  </si>
  <si>
    <t xml:space="preserve">0000761442884</t>
  </si>
  <si>
    <t xml:space="preserve">3525080401960001</t>
  </si>
  <si>
    <t xml:space="preserve">Sedati RT/RW 002/001 Kumitir, Jatirejo, Mojokerto</t>
  </si>
  <si>
    <t xml:space="preserve">FRANCISCUS RIO DIHARDJO</t>
  </si>
  <si>
    <t xml:space="preserve">0003064874523</t>
  </si>
  <si>
    <t xml:space="preserve">GBJ Checker Out</t>
  </si>
  <si>
    <t xml:space="preserve">3574042706970004</t>
  </si>
  <si>
    <t xml:space="preserve">Lumajang</t>
  </si>
  <si>
    <t xml:space="preserve">Nogosari RT/RW 007/002 Nogosari, Rowokangkung, Lumajang</t>
  </si>
  <si>
    <t xml:space="preserve">Katolik</t>
  </si>
  <si>
    <t xml:space="preserve">HAQI ANWARUDDIN PURWANTO</t>
  </si>
  <si>
    <t xml:space="preserve">0001537282934</t>
  </si>
  <si>
    <t xml:space="preserve">3576012206940003</t>
  </si>
  <si>
    <t xml:space="preserve">Jl. Pulorejo LK Balongkrai RT/RW 006/001 Pulorejo, Prajurit Kulon, Mojokerto</t>
  </si>
  <si>
    <t xml:space="preserve">HARI PUJIANTO</t>
  </si>
  <si>
    <t xml:space="preserve">0001163426422</t>
  </si>
  <si>
    <t xml:space="preserve">3516142404960001</t>
  </si>
  <si>
    <t xml:space="preserve">Dusun Simpang RT/RW 037/008 Sidoharjo, Gedeg, Mojokerto</t>
  </si>
  <si>
    <t xml:space="preserve">IQBAL NURHAMZAH</t>
  </si>
  <si>
    <t xml:space="preserve">0002016188763</t>
  </si>
  <si>
    <t xml:space="preserve">Cleaning AC</t>
  </si>
  <si>
    <t xml:space="preserve">3516081311980003</t>
  </si>
  <si>
    <t xml:space="preserve">Sarirejo VII/54 RT/RW 007/001 Sarirejo, Mojosari, Mojokerto</t>
  </si>
  <si>
    <t xml:space="preserve">ISFATUL FADILA CHRISMA SUPARTO</t>
  </si>
  <si>
    <t xml:space="preserve">0003064929221</t>
  </si>
  <si>
    <t xml:space="preserve">3516144308010002</t>
  </si>
  <si>
    <t xml:space="preserve">Dusun Sukosewu RT/RW 013/003 Gempolkerep, Gedeg, Mojokerto</t>
  </si>
  <si>
    <t xml:space="preserve">KELVIN DWI SETIANTO</t>
  </si>
  <si>
    <t xml:space="preserve">0002310114486</t>
  </si>
  <si>
    <t xml:space="preserve">3516182602010001</t>
  </si>
  <si>
    <t xml:space="preserve">Dusun Janti RT/RW 003/002 Wunut, Mojoanyar, Mojokerto</t>
  </si>
  <si>
    <t xml:space="preserve">MAHFUDI</t>
  </si>
  <si>
    <t xml:space="preserve">0000726224218</t>
  </si>
  <si>
    <t xml:space="preserve">3516142602990001</t>
  </si>
  <si>
    <t xml:space="preserve">Dusun Tumpak RT/RW 032/006 Sidoharjo, Gedeg, Mojokerto</t>
  </si>
  <si>
    <t xml:space="preserve">MITA ROSITA</t>
  </si>
  <si>
    <t xml:space="preserve">0002454751293</t>
  </si>
  <si>
    <t xml:space="preserve">3516144605010001</t>
  </si>
  <si>
    <t xml:space="preserve">Jl. Sarengah RT/RW 028/007 Gembongan, Gedeg, Mojokerto</t>
  </si>
  <si>
    <t xml:space="preserve">MUCHAMMAD AINUR ROFIQ</t>
  </si>
  <si>
    <t xml:space="preserve">0002697379863</t>
  </si>
  <si>
    <t xml:space="preserve">3516130204940002</t>
  </si>
  <si>
    <t xml:space="preserve">Mangelo Tengah RT/RW 004/010 Sooko, Sooko, Mojokerto</t>
  </si>
  <si>
    <t xml:space="preserve">MUKHAMAD EKO SETIYAWAN</t>
  </si>
  <si>
    <t xml:space="preserve">0001611379451</t>
  </si>
  <si>
    <t xml:space="preserve">3516151204950002</t>
  </si>
  <si>
    <t xml:space="preserve">Dsn. Semampir Lor RT/RW 003/005 Mojokumpul, Kemlagi, Mojokerto</t>
  </si>
  <si>
    <t xml:space="preserve">NURHIDAYATI</t>
  </si>
  <si>
    <t xml:space="preserve">0003059751868</t>
  </si>
  <si>
    <t xml:space="preserve">3516164507940001</t>
  </si>
  <si>
    <t xml:space="preserve">PUTRI LISTARI SUKIRNO</t>
  </si>
  <si>
    <t xml:space="preserve">0003059751587</t>
  </si>
  <si>
    <t xml:space="preserve">3516164501980001</t>
  </si>
  <si>
    <t xml:space="preserve">Dusun Pecuk RT/RW 024/009 Ngabar, Jetis, Mojokerto</t>
  </si>
  <si>
    <t xml:space="preserve">RATNA SRI SAYEKTI</t>
  </si>
  <si>
    <t xml:space="preserve">0003083166933</t>
  </si>
  <si>
    <t xml:space="preserve">3517126903970001</t>
  </si>
  <si>
    <t xml:space="preserve">Semanding RT/RW 017/004 Sawo, Jetis, Mojokerto</t>
  </si>
  <si>
    <t xml:space="preserve">RICKY LEONARDO</t>
  </si>
  <si>
    <t xml:space="preserve">0002060602931</t>
  </si>
  <si>
    <t xml:space="preserve">3516160307970001</t>
  </si>
  <si>
    <t xml:space="preserve">Kepuh Sawo RT/RW 004/003 Mojorejo, Jetis, Mojokerto</t>
  </si>
  <si>
    <t xml:space="preserve">RISCA YULI SETYAWAN</t>
  </si>
  <si>
    <t xml:space="preserve">0001800434474</t>
  </si>
  <si>
    <t xml:space="preserve">3516150307960001</t>
  </si>
  <si>
    <t xml:space="preserve">Jatikumpul RT/RW 002/004 Mojokumpul, Kemlagi, Mojokerto</t>
  </si>
  <si>
    <t xml:space="preserve">RIZAL ADITYA PRADANA</t>
  </si>
  <si>
    <t xml:space="preserve">0001538801335</t>
  </si>
  <si>
    <t xml:space="preserve">3578102502940004</t>
  </si>
  <si>
    <t xml:space="preserve">Lebak Timur Asri B No.05 RT/RW 004/010 Gading, Tambak Sari, Surabaya</t>
  </si>
  <si>
    <t xml:space="preserve">SAIFUL ANAM</t>
  </si>
  <si>
    <t xml:space="preserve">0003046367395</t>
  </si>
  <si>
    <t xml:space="preserve">3516160411960001</t>
  </si>
  <si>
    <t xml:space="preserve">Dsn. Putat RT/RW 004/005 Mojorejo, Jetis, Mojokerto</t>
  </si>
  <si>
    <t xml:space="preserve">SISCA MEI ANGGRAENI</t>
  </si>
  <si>
    <t xml:space="preserve">0002156743045</t>
  </si>
  <si>
    <t xml:space="preserve">3576014105990002</t>
  </si>
  <si>
    <t xml:space="preserve">Jl. Pulorejo RT/RW 001/001 Pulorejo, Prajurit Kulon, Mojokerto</t>
  </si>
  <si>
    <t xml:space="preserve">SUPRIADI</t>
  </si>
  <si>
    <t xml:space="preserve">0001726062355</t>
  </si>
  <si>
    <t xml:space="preserve">Office Boy</t>
  </si>
  <si>
    <t xml:space="preserve">3578162804870002</t>
  </si>
  <si>
    <t xml:space="preserve">Bulak Rukem 2/38 RT/RW 004/005 Wonokusumo, Semampir, Surabaya</t>
  </si>
  <si>
    <t xml:space="preserve">EKA FAUJI</t>
  </si>
  <si>
    <t xml:space="preserve">PERUM PERHUTANI DIVISI REGIONAL JAWA TIMUR</t>
  </si>
  <si>
    <t xml:space="preserve">0001475246889</t>
  </si>
  <si>
    <t xml:space="preserve">Kota Kediri</t>
  </si>
  <si>
    <t xml:space="preserve">3571031003880002</t>
  </si>
  <si>
    <t xml:space="preserve">Bangsal, RT/RW 007/004, Bangsal, Pesantren, Kediri</t>
  </si>
  <si>
    <t xml:space="preserve">ANDRYAN BAGUS SETYAJI</t>
  </si>
  <si>
    <t xml:space="preserve">0001085925903</t>
  </si>
  <si>
    <t xml:space="preserve">3503061106960005</t>
  </si>
  <si>
    <t xml:space="preserve">Dsn. Karangan, RT/RT 002/001, Karangan, Karangan, Trenggalek</t>
  </si>
  <si>
    <t xml:space="preserve">TEGUH SANTOSO</t>
  </si>
  <si>
    <t xml:space="preserve">0000664856357</t>
  </si>
  <si>
    <t xml:space="preserve">Security</t>
  </si>
  <si>
    <t xml:space="preserve">3503111108000005</t>
  </si>
  <si>
    <t xml:space="preserve">Jl. Hayam Wuruk Gg Slimer, RT/RW 023/005, Ngantru, Trenggalek, Trenggalek</t>
  </si>
  <si>
    <t xml:space="preserve">RONI ROSTIONO</t>
  </si>
  <si>
    <t xml:space="preserve">0001647678126</t>
  </si>
  <si>
    <t xml:space="preserve">5171041906780007</t>
  </si>
  <si>
    <t xml:space="preserve">Cilacap</t>
  </si>
  <si>
    <t xml:space="preserve">Jl. Bungah Gg Menur, RT/RW 028/004, Ngampel, Mojoroto, Kediri</t>
  </si>
  <si>
    <t xml:space="preserve">Hindu</t>
  </si>
  <si>
    <t xml:space="preserve">AGUNG EFFENDI</t>
  </si>
  <si>
    <t xml:space="preserve">0001819447918</t>
  </si>
  <si>
    <t xml:space="preserve">3506101712830001</t>
  </si>
  <si>
    <t xml:space="preserve">Dsn. Kalianyar, RT/RW 006/003, Kalianyar, Ngronggot, Nganjuk</t>
  </si>
  <si>
    <t xml:space="preserve">RIDA</t>
  </si>
  <si>
    <t xml:space="preserve">0001138407366</t>
  </si>
  <si>
    <t xml:space="preserve">3506070406790002</t>
  </si>
  <si>
    <t xml:space="preserve">Dsn. Ngancar, RT/RW 003/001, Ngancar, Ngancar, Kediri</t>
  </si>
  <si>
    <t xml:space="preserve">LAGIONO</t>
  </si>
  <si>
    <t xml:space="preserve">0003048578594</t>
  </si>
  <si>
    <t xml:space="preserve">3518050801800003</t>
  </si>
  <si>
    <t xml:space="preserve">Dsn. Maron, RT/RW 003/010, Maron, Banyakan, Kediri</t>
  </si>
  <si>
    <t xml:space="preserve">SAMSUL ROHMAN</t>
  </si>
  <si>
    <t xml:space="preserve">0003104793819</t>
  </si>
  <si>
    <t xml:space="preserve">3504061006900002</t>
  </si>
  <si>
    <t xml:space="preserve">Dsn. Bantengan, RT/RW 001/004, Mulyosari, Pagerwojo, Tulungagung</t>
  </si>
  <si>
    <t xml:space="preserve">TRI OKI PRIO HANDOYO</t>
  </si>
  <si>
    <t xml:space="preserve">0001163539765</t>
  </si>
  <si>
    <t xml:space="preserve">3506171603000007</t>
  </si>
  <si>
    <t xml:space="preserve">Jl. Lawu, RT/RW 003/001 Ds.Sumberbendo, Kec. Pare, Kediri</t>
  </si>
  <si>
    <t xml:space="preserve">SAGRAHA PRAMATA GENENDRA</t>
  </si>
  <si>
    <t xml:space="preserve">0002921894559</t>
  </si>
  <si>
    <t xml:space="preserve">Pramusaji / OB</t>
  </si>
  <si>
    <t xml:space="preserve">3518110102010006</t>
  </si>
  <si>
    <t xml:space="preserve">nganjuk</t>
  </si>
  <si>
    <t xml:space="preserve">Dusun Kedung Pingit, RT/RW 003/004, Sambikerep, Rejoso, Nganjuk</t>
  </si>
  <si>
    <t xml:space="preserve">ADEK ADI SAPUTRO</t>
  </si>
  <si>
    <t xml:space="preserve">PT KOBIN KERAMIK INDUSTRI</t>
  </si>
  <si>
    <t xml:space="preserve">25063212233</t>
  </si>
  <si>
    <t xml:space="preserve">0001824962951</t>
  </si>
  <si>
    <t xml:space="preserve">PKWT - K1</t>
  </si>
  <si>
    <t xml:space="preserve">3516050404900003</t>
  </si>
  <si>
    <t xml:space="preserve">Dsn. Jedong Kulon, RT/RW 015/001, Wotanmasjedong, Ngoro, Mojokerto</t>
  </si>
  <si>
    <t xml:space="preserve">MUHAMMAD FIRMAN SYAWALUDIN</t>
  </si>
  <si>
    <t xml:space="preserve">20079244026</t>
  </si>
  <si>
    <t xml:space="preserve">0003103370774</t>
  </si>
  <si>
    <t xml:space="preserve">3516100201020002</t>
  </si>
  <si>
    <t xml:space="preserve">Pekuwon, RT/RW 004/002, Pekuwon, Bangsal, Mojokerto</t>
  </si>
  <si>
    <t xml:space="preserve">ABDUL CHAKQIH</t>
  </si>
  <si>
    <t xml:space="preserve">0002735179885</t>
  </si>
  <si>
    <t xml:space="preserve">Gudang Jadi - Operator Forklift</t>
  </si>
  <si>
    <t xml:space="preserve">3515060107020001</t>
  </si>
  <si>
    <t xml:space="preserve">Kalisawah RT/RW 005/002 Kalisampurno, Tanggulangin, Sidoarjo</t>
  </si>
  <si>
    <t xml:space="preserve">ABDUL GHOLIB</t>
  </si>
  <si>
    <t xml:space="preserve">0001540781594</t>
  </si>
  <si>
    <t xml:space="preserve">3515132705970001</t>
  </si>
  <si>
    <t xml:space="preserve">Muna</t>
  </si>
  <si>
    <t xml:space="preserve">Jl. Jeruk Kauman V RT/RW 006/008 Wage, Taman, Sidoarjo</t>
  </si>
  <si>
    <t xml:space="preserve">ADI ROHMAD MAULANA</t>
  </si>
  <si>
    <t xml:space="preserve">28059952890</t>
  </si>
  <si>
    <t xml:space="preserve">0000722771313</t>
  </si>
  <si>
    <t xml:space="preserve">3522133112010003</t>
  </si>
  <si>
    <t xml:space="preserve">Bohar Utara RT/RW 002/001 Bohar, Taman, Sidoarjo</t>
  </si>
  <si>
    <t xml:space="preserve">ABDULLOH MUJAHIDIN</t>
  </si>
  <si>
    <t xml:space="preserve">0000724563303</t>
  </si>
  <si>
    <t xml:space="preserve">3515123001950001</t>
  </si>
  <si>
    <t xml:space="preserve">Wonokupang RT/RW 004/002 Wonokupang, Balongbendo, Sidoarjo</t>
  </si>
  <si>
    <t xml:space="preserve">ABIYOGA DWIKY HERMAWAN</t>
  </si>
  <si>
    <t xml:space="preserve">0001110351677</t>
  </si>
  <si>
    <t xml:space="preserve">3515131407990007</t>
  </si>
  <si>
    <t xml:space="preserve">Jl. Anggrek 27, RT/RW 008/001, Wage, Taman, Sidoarjo</t>
  </si>
  <si>
    <t xml:space="preserve">AIDA FAIZAH NUZULA</t>
  </si>
  <si>
    <t xml:space="preserve">27086666176</t>
  </si>
  <si>
    <t xml:space="preserve">0000721979583</t>
  </si>
  <si>
    <t xml:space="preserve">3515145103000001</t>
  </si>
  <si>
    <t xml:space="preserve">Jl. Raya Suko RT/RW 001/001 Suko, Sukodono, Sidoarjo</t>
  </si>
  <si>
    <t xml:space="preserve">ACHMAD ALI RACHMADI</t>
  </si>
  <si>
    <t xml:space="preserve">0001455023867</t>
  </si>
  <si>
    <t xml:space="preserve">3515132109020007</t>
  </si>
  <si>
    <t xml:space="preserve">Dsn. Balong Biru, RT/RW 012/004, Sadang, Taman, Sidoarjo</t>
  </si>
  <si>
    <t xml:space="preserve">AJENG REGITA INTAN CAHYANI</t>
  </si>
  <si>
    <t xml:space="preserve">20031372159</t>
  </si>
  <si>
    <t xml:space="preserve">0002928813862</t>
  </si>
  <si>
    <t xml:space="preserve">3515167103010001</t>
  </si>
  <si>
    <t xml:space="preserve">Jl. Singojoyo V/16 RT/RW 019/003 Bangah, Gedangan, Sidoarjo</t>
  </si>
  <si>
    <t xml:space="preserve">ACHMAD FAHMI FIRMANSYAH</t>
  </si>
  <si>
    <t xml:space="preserve">0001455023147</t>
  </si>
  <si>
    <t xml:space="preserve">3515130808030003</t>
  </si>
  <si>
    <t xml:space="preserve">Dsn Balong Biru, RT/RW 012/004, Sadang, Taman, Sidoarjo</t>
  </si>
  <si>
    <t xml:space="preserve">ACHMAD IZZUL HAQ</t>
  </si>
  <si>
    <t xml:space="preserve">0002736466942</t>
  </si>
  <si>
    <t xml:space="preserve">Gudang RMPM - Leader</t>
  </si>
  <si>
    <t xml:space="preserve">3523192202980002</t>
  </si>
  <si>
    <t xml:space="preserve">Jl. Jambu No. 25 RT/RW 006/009 Wage, Taman, Sidoarjo</t>
  </si>
  <si>
    <t xml:space="preserve">ACHMAD YOGA PRATOSO</t>
  </si>
  <si>
    <t xml:space="preserve">0003102321407</t>
  </si>
  <si>
    <t xml:space="preserve">3517120401030003</t>
  </si>
  <si>
    <t xml:space="preserve">Dsn.Ngergo.RT/RW 001/001 Pojokrejo.Kesamben. Jombang</t>
  </si>
  <si>
    <t xml:space="preserve">ADHIKA DWI FIRDIANSYAH</t>
  </si>
  <si>
    <t xml:space="preserve">0001474698396</t>
  </si>
  <si>
    <t xml:space="preserve">Gudang Jadi - Helper</t>
  </si>
  <si>
    <t xml:space="preserve">3515081911000001</t>
  </si>
  <si>
    <t xml:space="preserve">Lemahputro RT/RW 005/002 Sidoarjo</t>
  </si>
  <si>
    <t xml:space="preserve">AMINATUS SHOLICHA</t>
  </si>
  <si>
    <t xml:space="preserve">0001701882685</t>
  </si>
  <si>
    <t xml:space="preserve">3524094112960003</t>
  </si>
  <si>
    <t xml:space="preserve">Jl. Sawonggaling No. 81 RT/RW 002/001, Kadipaten, Bojonegoro</t>
  </si>
  <si>
    <t xml:space="preserve">AFIYATUL MADANIA</t>
  </si>
  <si>
    <t xml:space="preserve">0002735756212</t>
  </si>
  <si>
    <t xml:space="preserve">3515065402030005</t>
  </si>
  <si>
    <t xml:space="preserve">Banjarsari RT/RW 004/001 Banjarsari, Tanggulangin, Sidoarjo</t>
  </si>
  <si>
    <t xml:space="preserve">AFRILLA CAHAYA NINDIAWATI</t>
  </si>
  <si>
    <t xml:space="preserve">0003102321767</t>
  </si>
  <si>
    <t xml:space="preserve">3524145404030002</t>
  </si>
  <si>
    <t xml:space="preserve">Ling. Semangu RT/RW 006/006 Blimbing, Paciran, Lamongan</t>
  </si>
  <si>
    <t xml:space="preserve">AGUSTINUS TRI JARWANTO</t>
  </si>
  <si>
    <t xml:space="preserve">0000731257121</t>
  </si>
  <si>
    <t xml:space="preserve">3517161608990001</t>
  </si>
  <si>
    <t xml:space="preserve">Dsn. Colo RT/RW 007/004 Sumberingin, Kabuh, Jombang</t>
  </si>
  <si>
    <t xml:space="preserve">AHMAD ABI LAFINGGA</t>
  </si>
  <si>
    <t xml:space="preserve">0002160360281</t>
  </si>
  <si>
    <t xml:space="preserve">3514070709990001</t>
  </si>
  <si>
    <t xml:space="preserve">Jl. Kauman Ii, RT/RW 038/005, Jatikerto, Kromengan, Malang</t>
  </si>
  <si>
    <t xml:space="preserve">AHMAD DAVA NUR ANGGARA PUTRA</t>
  </si>
  <si>
    <t xml:space="preserve">0001702377808</t>
  </si>
  <si>
    <t xml:space="preserve">3514121302010001</t>
  </si>
  <si>
    <t xml:space="preserve">Dsn. Kedung RT/RW 029/007 Jumputrejo, Sukodono, Sidoarjo</t>
  </si>
  <si>
    <t xml:space="preserve">AHMAD FUAD FADHOL</t>
  </si>
  <si>
    <t xml:space="preserve">0002266493782</t>
  </si>
  <si>
    <t xml:space="preserve">3515133003980004</t>
  </si>
  <si>
    <t xml:space="preserve">Bohar Timur RT/RW 013/007 Bohar, Taman, Sidoarjo</t>
  </si>
  <si>
    <t xml:space="preserve">DEA OLIVIA PRAMAISITTA</t>
  </si>
  <si>
    <t xml:space="preserve">0001387712496</t>
  </si>
  <si>
    <t xml:space="preserve">E-Commerce - Packer</t>
  </si>
  <si>
    <t xml:space="preserve">3515085908000003</t>
  </si>
  <si>
    <t xml:space="preserve">Jl. Gajah Barat RT 019 RW 006 Magersari, Sidoarjo, Sidoarjo</t>
  </si>
  <si>
    <t xml:space="preserve">AHMAD NUR AFANDI</t>
  </si>
  <si>
    <t xml:space="preserve">0001394058868</t>
  </si>
  <si>
    <t xml:space="preserve">3578173009960001</t>
  </si>
  <si>
    <t xml:space="preserve">Jl. Tanah Merah 4 Semanggi No.36 RT/RW 015/004</t>
  </si>
  <si>
    <t xml:space="preserve">AHMAD ROSYID ALFIN</t>
  </si>
  <si>
    <t xml:space="preserve">0001704460408</t>
  </si>
  <si>
    <t xml:space="preserve">3515130605000007</t>
  </si>
  <si>
    <t xml:space="preserve">Jl. Punden RT/RW 001/001 Taman , Taman, Sidoarjo</t>
  </si>
  <si>
    <t xml:space="preserve">DEVINA DAMAYANTI</t>
  </si>
  <si>
    <t xml:space="preserve">20010928159</t>
  </si>
  <si>
    <t xml:space="preserve">0000677183253</t>
  </si>
  <si>
    <t xml:space="preserve">3507016006000003</t>
  </si>
  <si>
    <t xml:space="preserve">Mentaraman RT/RW 012/003 Mentaraman, Donomulyo, Malang</t>
  </si>
  <si>
    <t xml:space="preserve">AHMAD SAHAL MUZADI</t>
  </si>
  <si>
    <t xml:space="preserve">27033343333</t>
  </si>
  <si>
    <t xml:space="preserve">BPJS Kesehatan</t>
  </si>
  <si>
    <t xml:space="preserve">Helper Produksi</t>
  </si>
  <si>
    <t xml:space="preserve">3515171904010002</t>
  </si>
  <si>
    <t xml:space="preserve">Jl. Kh Suwaifi Tengah, RT/RW 010/003, Kalanganyar, Sedati, Kab. Sidoarjo</t>
  </si>
  <si>
    <t xml:space="preserve">DHENISA LESTARI YANTRI</t>
  </si>
  <si>
    <t xml:space="preserve">20013962459</t>
  </si>
  <si>
    <t xml:space="preserve">0002190486712</t>
  </si>
  <si>
    <t xml:space="preserve">3515145301010003</t>
  </si>
  <si>
    <t xml:space="preserve">Dsn. Trawas RT/RW 003/001 Trawas, Trawas, Mojokerto</t>
  </si>
  <si>
    <t xml:space="preserve">AINUN LUTFIA</t>
  </si>
  <si>
    <t xml:space="preserve">0002253731949</t>
  </si>
  <si>
    <t xml:space="preserve">3515166202940001</t>
  </si>
  <si>
    <t xml:space="preserve">Jl. Telaga Bunder RT/RW 004/002 Keboananom, Gedangan, Sidoarjo</t>
  </si>
  <si>
    <t xml:space="preserve">AINUN NAJIB</t>
  </si>
  <si>
    <t xml:space="preserve">0000678885658</t>
  </si>
  <si>
    <t xml:space="preserve">Maintenance - Leader</t>
  </si>
  <si>
    <t xml:space="preserve">3507031601000004</t>
  </si>
  <si>
    <t xml:space="preserve">Dsn. Jeding RT/RW 008/003 Rejosari, Bantur, Malang</t>
  </si>
  <si>
    <t xml:space="preserve">AJENG TRI RAHAYU</t>
  </si>
  <si>
    <t xml:space="preserve">0000722831782</t>
  </si>
  <si>
    <t xml:space="preserve">3515135501960004</t>
  </si>
  <si>
    <t xml:space="preserve">Bohar Timur RT 12 RW 7 Bohar, Taman, Sidoarjo</t>
  </si>
  <si>
    <t xml:space="preserve">ALDO ERFANDA SANTOSO</t>
  </si>
  <si>
    <t xml:space="preserve">0002416707911</t>
  </si>
  <si>
    <t xml:space="preserve">Gudang RMPM - Helper</t>
  </si>
  <si>
    <t xml:space="preserve">3578132407010001</t>
  </si>
  <si>
    <t xml:space="preserve">Dupak Baru 3/41 RT/RW 002/005 Jepara, Bubutan, Surabaya</t>
  </si>
  <si>
    <t xml:space="preserve">EKA PERMATASARI</t>
  </si>
  <si>
    <t xml:space="preserve">0001607536348</t>
  </si>
  <si>
    <t xml:space="preserve">3578024103000002</t>
  </si>
  <si>
    <t xml:space="preserve">Jl Wonocolo II/30A RT/RW 02/04 Surabaya</t>
  </si>
  <si>
    <t xml:space="preserve">EVI NURMALIA</t>
  </si>
  <si>
    <t xml:space="preserve">0002928868446</t>
  </si>
  <si>
    <t xml:space="preserve">3515156409980001</t>
  </si>
  <si>
    <t xml:space="preserve">Prasung RT/RW 007/003 Prasung, Buduran, Sidoarjo</t>
  </si>
  <si>
    <t xml:space="preserve">EVINATUN NADIRO</t>
  </si>
  <si>
    <t xml:space="preserve">0002456175881</t>
  </si>
  <si>
    <t xml:space="preserve">3515164501830002</t>
  </si>
  <si>
    <t xml:space="preserve">Jl. Kayu RT/RW 023/004 Bangah, Gedangan, Sidoarjo</t>
  </si>
  <si>
    <t xml:space="preserve">FARANINA DWITA DIAH</t>
  </si>
  <si>
    <t xml:space="preserve">0001702455985</t>
  </si>
  <si>
    <t xml:space="preserve">3515164106000001</t>
  </si>
  <si>
    <t xml:space="preserve">Pungggul RT/RW 003/001 Punggul Gedangan, Sidoarjo</t>
  </si>
  <si>
    <t xml:space="preserve">FIRLI ANDIKA PUTRA</t>
  </si>
  <si>
    <t xml:space="preserve">0000723284155</t>
  </si>
  <si>
    <t xml:space="preserve">3515160105990003</t>
  </si>
  <si>
    <t xml:space="preserve">Jl. Singojoyo RT/RW 020/003 Bangah, Gedangan, Sidoarjo</t>
  </si>
  <si>
    <t xml:space="preserve">FITRIA KARTIKASARI</t>
  </si>
  <si>
    <t xml:space="preserve">0001445973963</t>
  </si>
  <si>
    <t xml:space="preserve">3515165309840002</t>
  </si>
  <si>
    <t xml:space="preserve">Jl. Anusopati RT/RW 005/012 Sawotratap, Gedangan, Sidoarjo</t>
  </si>
  <si>
    <t xml:space="preserve">FITRIANI</t>
  </si>
  <si>
    <t xml:space="preserve">0002163964612</t>
  </si>
  <si>
    <t xml:space="preserve">3515075112010002</t>
  </si>
  <si>
    <t xml:space="preserve">Kedungpeluk RT/RW 003/002 Candi, Sidoarjo</t>
  </si>
  <si>
    <t xml:space="preserve">GENTA SETIAWAN</t>
  </si>
  <si>
    <t xml:space="preserve">0002157149722</t>
  </si>
  <si>
    <t xml:space="preserve">3515092105980003</t>
  </si>
  <si>
    <t xml:space="preserve">Grabagan RT/RW 004/ 001 Grabagan, Tulangan, Sidoarjo</t>
  </si>
  <si>
    <t xml:space="preserve">GITA FIRDA RAHAYU</t>
  </si>
  <si>
    <t xml:space="preserve">0002164744405</t>
  </si>
  <si>
    <t xml:space="preserve">3578185408010003</t>
  </si>
  <si>
    <t xml:space="preserve">Sumur Welut RT 005 RW 001 Sumur Welut, Lakar Santri, Surabaya</t>
  </si>
  <si>
    <t xml:space="preserve">HILAL FARHAN ALFAROBY</t>
  </si>
  <si>
    <t xml:space="preserve">0001823202358</t>
  </si>
  <si>
    <t xml:space="preserve">3515130911000003</t>
  </si>
  <si>
    <t xml:space="preserve">Jl. Anggrek No.25 RT/RW 008/001, Sidoarjo</t>
  </si>
  <si>
    <t xml:space="preserve">ICHA RADHAWIYAH DWI CAHYANI</t>
  </si>
  <si>
    <t xml:space="preserve">25071177774</t>
  </si>
  <si>
    <t xml:space="preserve">0002776525389</t>
  </si>
  <si>
    <t xml:space="preserve">3515136707980003</t>
  </si>
  <si>
    <t xml:space="preserve">Jl. Rambutan No. 17 RT 016 RW 002 Geluran Taman, Sidoarjo</t>
  </si>
  <si>
    <t xml:space="preserve">ICHYAK ULUMUDDIN</t>
  </si>
  <si>
    <t xml:space="preserve">0000721819653</t>
  </si>
  <si>
    <t xml:space="preserve">3515060711970003</t>
  </si>
  <si>
    <t xml:space="preserve">Putat RT/RW 006/002 Tanggulangin, Sidorajo</t>
  </si>
  <si>
    <t xml:space="preserve">IMATUL NURHANIM</t>
  </si>
  <si>
    <t xml:space="preserve">21021547280</t>
  </si>
  <si>
    <t xml:space="preserve">0001702450901</t>
  </si>
  <si>
    <t xml:space="preserve">Packer</t>
  </si>
  <si>
    <t xml:space="preserve">3515066310950004</t>
  </si>
  <si>
    <t xml:space="preserve">Tebel Barat RT/RW 008/001 Tebel, Gedangan, Sidoarjo</t>
  </si>
  <si>
    <t xml:space="preserve">JUNI LIARTI HELOVINA</t>
  </si>
  <si>
    <t xml:space="preserve">0002929035161</t>
  </si>
  <si>
    <t xml:space="preserve">3515144906980004</t>
  </si>
  <si>
    <t xml:space="preserve">Kedung Jumputrejo RT/RW 022/007 Jumput Rejo, Sukodono, Sidoarjo</t>
  </si>
  <si>
    <t xml:space="preserve">ALDO WIJAYA PUTRA</t>
  </si>
  <si>
    <t xml:space="preserve">0002736617297</t>
  </si>
  <si>
    <t xml:space="preserve">3515181708010002</t>
  </si>
  <si>
    <t xml:space="preserve">Jl. Jend S Parman Vc/1 RT/RW 003/007 Waru, Waru, Sidoarjo</t>
  </si>
  <si>
    <t xml:space="preserve">LILIK YULIANI</t>
  </si>
  <si>
    <t xml:space="preserve">0002159544543</t>
  </si>
  <si>
    <t xml:space="preserve">3509045910950004</t>
  </si>
  <si>
    <t xml:space="preserve">Dsn. Sariono RT/RW 004/002 Sarimulyo, Jombang, Jember</t>
  </si>
  <si>
    <t xml:space="preserve">LINGGA ERSA MELINDA</t>
  </si>
  <si>
    <t xml:space="preserve">0002940432996</t>
  </si>
  <si>
    <t xml:space="preserve">3515145905990006</t>
  </si>
  <si>
    <t xml:space="preserve">Kebon Agung RT/RW 19/06 Sukodono, Sidoarjo</t>
  </si>
  <si>
    <t xml:space="preserve">M. DYO PRASETYO</t>
  </si>
  <si>
    <t xml:space="preserve">0002019305621</t>
  </si>
  <si>
    <t xml:space="preserve">3515101306000002</t>
  </si>
  <si>
    <t xml:space="preserve">Kesamben RT/RW 005/001 Ploso, Wonoayu, Sidoarjo</t>
  </si>
  <si>
    <t xml:space="preserve">ALFI NUR AFNI</t>
  </si>
  <si>
    <t xml:space="preserve">0000722107484</t>
  </si>
  <si>
    <t xml:space="preserve">3515135809950001</t>
  </si>
  <si>
    <t xml:space="preserve">Wonocolo RT/RW 005/002 Wonocolo, Taman, Sidoarjo</t>
  </si>
  <si>
    <t xml:space="preserve">MASFUFAH SHEILA</t>
  </si>
  <si>
    <t xml:space="preserve">23085280841</t>
  </si>
  <si>
    <t xml:space="preserve">0000721721226</t>
  </si>
  <si>
    <t xml:space="preserve">3515145009990004</t>
  </si>
  <si>
    <t xml:space="preserve">Kweni RT/RW 003/002 Anggaswangi, Sukodono, Sidoarjo</t>
  </si>
  <si>
    <t xml:space="preserve">MAULANA JAINURI</t>
  </si>
  <si>
    <t xml:space="preserve">0002928852731</t>
  </si>
  <si>
    <t xml:space="preserve">3515132605990006</t>
  </si>
  <si>
    <t xml:space="preserve">Jl. Punden 3 RT/RW 001/001 Wage, Taman, Sidoarjo</t>
  </si>
  <si>
    <t xml:space="preserve">MEGA SINDY VIOLITA</t>
  </si>
  <si>
    <t xml:space="preserve">0002519256497</t>
  </si>
  <si>
    <t xml:space="preserve">3515164505000001</t>
  </si>
  <si>
    <t xml:space="preserve">Jl.Joyoboyo 30 RT/RW 003/001 Sawotratap, Gedangan, Sidoarjo</t>
  </si>
  <si>
    <t xml:space="preserve">MOCH. ALI IMRON</t>
  </si>
  <si>
    <t xml:space="preserve">0001535291741</t>
  </si>
  <si>
    <t xml:space="preserve">3515161909000004</t>
  </si>
  <si>
    <t xml:space="preserve">Tebel Barat RT 001 RW 001 Tebel, Gedangan, Sidoarjo</t>
  </si>
  <si>
    <t xml:space="preserve">MOCH. SYAFI'I</t>
  </si>
  <si>
    <t xml:space="preserve">0001171103635</t>
  </si>
  <si>
    <t xml:space="preserve">3578122909990002</t>
  </si>
  <si>
    <t xml:space="preserve">Jl. Demangsari No.47 RT/RW 002/001 Keboananom, Gedangan, Sidoarjo</t>
  </si>
  <si>
    <t xml:space="preserve">MOH. ALEX ANDRIANTO</t>
  </si>
  <si>
    <t xml:space="preserve">24085253888</t>
  </si>
  <si>
    <t xml:space="preserve">0002929005178</t>
  </si>
  <si>
    <t xml:space="preserve">3515130204000007</t>
  </si>
  <si>
    <t xml:space="preserve">Podok Wage Indah II Blok C RT/RW 005/012 Wage, Taman, Sidoarjo</t>
  </si>
  <si>
    <t xml:space="preserve">MOH. FAUZI</t>
  </si>
  <si>
    <t xml:space="preserve">0002929006135</t>
  </si>
  <si>
    <t xml:space="preserve">3515030512970004</t>
  </si>
  <si>
    <t xml:space="preserve">Dusun Candi RT/RW 002/001 Wangkal, Krembung, Sidoarjo</t>
  </si>
  <si>
    <t xml:space="preserve">MOH. HARIQ MAULANA</t>
  </si>
  <si>
    <t xml:space="preserve">0002929034261</t>
  </si>
  <si>
    <t xml:space="preserve">3514041208990003</t>
  </si>
  <si>
    <t xml:space="preserve">Dsn. Cukurguling Kulon II RT/RW 003/002 Cukur Guling, Lumbang, Pasuruan</t>
  </si>
  <si>
    <t xml:space="preserve">MOH. HILMY YAHYA</t>
  </si>
  <si>
    <t xml:space="preserve">0002929006495</t>
  </si>
  <si>
    <t xml:space="preserve">3517180612990002</t>
  </si>
  <si>
    <t xml:space="preserve">Pucanganom RT/RW 002/004 Pucangsinom, Bandarkedungmulyo, Jombang</t>
  </si>
  <si>
    <t xml:space="preserve">ALFIN PRASETIA</t>
  </si>
  <si>
    <t xml:space="preserve">0001534943924</t>
  </si>
  <si>
    <t xml:space="preserve">3515131501980003</t>
  </si>
  <si>
    <t xml:space="preserve">Jl. Jambu No. 19 RT/RW 008/009 Wage, Taman, Sidoarjo</t>
  </si>
  <si>
    <t xml:space="preserve">ALFIRA MEI DIASARI</t>
  </si>
  <si>
    <t xml:space="preserve">0001395183183</t>
  </si>
  <si>
    <t xml:space="preserve">3578114405990003</t>
  </si>
  <si>
    <t xml:space="preserve">Sidodadi 10/8 RT/RW 003/001, Sidodadi, Mojokerto</t>
  </si>
  <si>
    <t xml:space="preserve">MUH. MUHAIMINUL AZIZ</t>
  </si>
  <si>
    <t xml:space="preserve">0002928849221</t>
  </si>
  <si>
    <t xml:space="preserve">3515132701010006</t>
  </si>
  <si>
    <t xml:space="preserve">Bohar Timur RT/RW 012/007 Bohar, Taman, Sidoarjo</t>
  </si>
  <si>
    <t xml:space="preserve">MUH. RIYAN ARDI</t>
  </si>
  <si>
    <t xml:space="preserve">0002909254061</t>
  </si>
  <si>
    <t xml:space="preserve">3515161702010004</t>
  </si>
  <si>
    <t xml:space="preserve">Wonogiri</t>
  </si>
  <si>
    <t xml:space="preserve">Jl Singojoyo V/16B RT 19 RW 3 Bangah, Gedangan, Sidoarjo</t>
  </si>
  <si>
    <t xml:space="preserve">NADA NASHIFAH</t>
  </si>
  <si>
    <t xml:space="preserve">0002929036072</t>
  </si>
  <si>
    <t xml:space="preserve">3515145402990001</t>
  </si>
  <si>
    <t xml:space="preserve">Kebonagung RT/RW 019/006 Kebonagung, Sukodono, Sidoarjo</t>
  </si>
  <si>
    <t xml:space="preserve">NIDIA NINGRUM</t>
  </si>
  <si>
    <t xml:space="preserve">25039336338</t>
  </si>
  <si>
    <t xml:space="preserve">0002940421184</t>
  </si>
  <si>
    <t xml:space="preserve">3515164504010002</t>
  </si>
  <si>
    <t xml:space="preserve">Jl. Pahlawan RT/RW 001/009 Gedangan, Gedangan, Sidoarjo</t>
  </si>
  <si>
    <t xml:space="preserve">NOVI WULANDARI</t>
  </si>
  <si>
    <t xml:space="preserve">0002928877648</t>
  </si>
  <si>
    <t xml:space="preserve">3515166811990002</t>
  </si>
  <si>
    <t xml:space="preserve">Karangbong RT/RW 006/002 Karangbong, Gedangan, Sidoarjo</t>
  </si>
  <si>
    <t xml:space="preserve">ALI MAS'UD</t>
  </si>
  <si>
    <t xml:space="preserve">0001319695029</t>
  </si>
  <si>
    <t xml:space="preserve">3515181010020004</t>
  </si>
  <si>
    <t xml:space="preserve">Jl. Jend S Parman V/54, RT/RW 002/009, Waru, Waru, Sidoarjo</t>
  </si>
  <si>
    <t xml:space="preserve">RETNO EKO SAPUTRI</t>
  </si>
  <si>
    <t xml:space="preserve">0002277504922</t>
  </si>
  <si>
    <t xml:space="preserve">3517176403950002</t>
  </si>
  <si>
    <t xml:space="preserve">Dsn Pateguhan Lor RT/RW 001/003 Sumberteguh Kudu, Jombang</t>
  </si>
  <si>
    <t xml:space="preserve">RIDHA DINIANTI</t>
  </si>
  <si>
    <t xml:space="preserve">27050047439</t>
  </si>
  <si>
    <t xml:space="preserve">0000722822242</t>
  </si>
  <si>
    <t xml:space="preserve">3515134807000005</t>
  </si>
  <si>
    <t xml:space="preserve">Bohar Utara RT/RW 004/002 Bohar, Taman, Sidoarjo</t>
  </si>
  <si>
    <t xml:space="preserve">RIZKI PURNAMAWANTO</t>
  </si>
  <si>
    <t xml:space="preserve">0002064220514</t>
  </si>
  <si>
    <t xml:space="preserve">3515162110000004</t>
  </si>
  <si>
    <t xml:space="preserve">Keboananom RT/RW 002/002 Keboananom, Gedangan, Sidoarjo</t>
  </si>
  <si>
    <t xml:space="preserve">RIZKY RAMADHANI</t>
  </si>
  <si>
    <t xml:space="preserve">0001394443203</t>
  </si>
  <si>
    <t xml:space="preserve">3578033112980003</t>
  </si>
  <si>
    <t xml:space="preserve">Kedung Baruk Gg. Buntu/No. 3 RT/RW 005/003 Kedung Baruk, Rungkut, Surabaya</t>
  </si>
  <si>
    <t xml:space="preserve">ALIFFIA VERNANDA</t>
  </si>
  <si>
    <t xml:space="preserve">0002735846368</t>
  </si>
  <si>
    <t xml:space="preserve">3515175001040001</t>
  </si>
  <si>
    <t xml:space="preserve">Jl. Brigjen Katamso I, RT/RW 015/003, Kedungrejo, Waru, Sidoarjo</t>
  </si>
  <si>
    <t xml:space="preserve">SISKA TRI NURHUDA</t>
  </si>
  <si>
    <t xml:space="preserve">0000787526932</t>
  </si>
  <si>
    <t xml:space="preserve">3578226409000003</t>
  </si>
  <si>
    <t xml:space="preserve">Jl. Jemur Gayungan 2/27</t>
  </si>
  <si>
    <t xml:space="preserve">SITI MUNTAHAROH</t>
  </si>
  <si>
    <t xml:space="preserve">0001704421708</t>
  </si>
  <si>
    <t xml:space="preserve">3515074501010003</t>
  </si>
  <si>
    <t xml:space="preserve">Balongdowo RT/RW 002/001 Balongdowo, Candi, Sidoarjo</t>
  </si>
  <si>
    <t xml:space="preserve">SITI NUR CHOMARIYAH</t>
  </si>
  <si>
    <t xml:space="preserve">0001729138498</t>
  </si>
  <si>
    <t xml:space="preserve">3515185706960008</t>
  </si>
  <si>
    <t xml:space="preserve">Jl. Joyoboyo 11 RT/RW 004/002 Medaeng, Waru, Sidoarjo</t>
  </si>
  <si>
    <t xml:space="preserve">SITI ROIKHATUL JANNAH</t>
  </si>
  <si>
    <t xml:space="preserve">0001716283967</t>
  </si>
  <si>
    <t xml:space="preserve">3515185307970003</t>
  </si>
  <si>
    <t xml:space="preserve">Jl. Jatisari besar RT/RW 003/005 Waru , Sidoarjo</t>
  </si>
  <si>
    <t xml:space="preserve">SITI UMMAIROH</t>
  </si>
  <si>
    <t xml:space="preserve">0000723144701</t>
  </si>
  <si>
    <t xml:space="preserve">3515185203010003</t>
  </si>
  <si>
    <t xml:space="preserve">Medaeng 87 RT/RW 012/004 Medaeng, Waru, Sidoarjo</t>
  </si>
  <si>
    <t xml:space="preserve">SITI YUNAIDAH</t>
  </si>
  <si>
    <t xml:space="preserve">0000728681376</t>
  </si>
  <si>
    <t xml:space="preserve">3517045405990006</t>
  </si>
  <si>
    <t xml:space="preserve">Dsn. Ngampungan RT/RW 003/002 Ngampungan, Bareng, Jombang</t>
  </si>
  <si>
    <t xml:space="preserve">ALIVIA NUR HASANA</t>
  </si>
  <si>
    <t xml:space="preserve">29052111790</t>
  </si>
  <si>
    <t xml:space="preserve">3515136505990001</t>
  </si>
  <si>
    <t xml:space="preserve">Krembangan, RT/RW 005/001, Krembangan, Taman, Kab. Sidoarjo</t>
  </si>
  <si>
    <t xml:space="preserve">ALVIDA MEYLIA ARISTANTY</t>
  </si>
  <si>
    <t xml:space="preserve">25075513137</t>
  </si>
  <si>
    <t xml:space="preserve">3515175405040001</t>
  </si>
  <si>
    <t xml:space="preserve">Jl H Syukur Iii Rt/Rw : 018/009 Kel Sedati Gede Kec Sedati</t>
  </si>
  <si>
    <t xml:space="preserve">USWATUN KHASANAH</t>
  </si>
  <si>
    <t xml:space="preserve">0000722590288</t>
  </si>
  <si>
    <t xml:space="preserve">3515134108010009</t>
  </si>
  <si>
    <t xml:space="preserve">Jl Sawunggaling 4 RT 09 RW 01 Jemundo, Taman, Sidoarjo</t>
  </si>
  <si>
    <t xml:space="preserve">VIVI TRI MELANI</t>
  </si>
  <si>
    <t xml:space="preserve">23053799075</t>
  </si>
  <si>
    <t xml:space="preserve">0002696164751</t>
  </si>
  <si>
    <t xml:space="preserve">3505194505000002</t>
  </si>
  <si>
    <t xml:space="preserve">Dsn. Krajan RT/RW 024/006 Pagerwojo, Kesamben, Blitar</t>
  </si>
  <si>
    <t xml:space="preserve">AMANAH</t>
  </si>
  <si>
    <t xml:space="preserve">0002845580613</t>
  </si>
  <si>
    <t xml:space="preserve">3527084106000008</t>
  </si>
  <si>
    <t xml:space="preserve">Sampang</t>
  </si>
  <si>
    <t xml:space="preserve">Dsn. Besabe RT/RW Beringin, Tambelangan, Sampang</t>
  </si>
  <si>
    <t xml:space="preserve">VIVIN EKA PRATIWI</t>
  </si>
  <si>
    <t xml:space="preserve">0002092976212</t>
  </si>
  <si>
    <t xml:space="preserve">3515186401970007</t>
  </si>
  <si>
    <t xml:space="preserve">Medaeng RT/RW 004/002 Medaeng, Waru, Sidoarjo</t>
  </si>
  <si>
    <t xml:space="preserve">WILDAN NUR RAHMAN</t>
  </si>
  <si>
    <t xml:space="preserve">0003045074207</t>
  </si>
  <si>
    <t xml:space="preserve">3515162711990005</t>
  </si>
  <si>
    <t xml:space="preserve">Jln. Telaga Bundar RT/RW 004/002, No.63 Kebon Anom, Gedangan, Sidoarjo</t>
  </si>
  <si>
    <t xml:space="preserve">WISNU TRI WARDANA</t>
  </si>
  <si>
    <t xml:space="preserve">0001892323754</t>
  </si>
  <si>
    <t xml:space="preserve">3515082806980004</t>
  </si>
  <si>
    <t xml:space="preserve">Cangkring RT/RW 024/006 Sidokare, Sidoarjo, Sidoarjo</t>
  </si>
  <si>
    <t xml:space="preserve">AMILATUSH SHALIHAH</t>
  </si>
  <si>
    <t xml:space="preserve">28007595794</t>
  </si>
  <si>
    <t xml:space="preserve">3578176603030003</t>
  </si>
  <si>
    <t xml:space="preserve">Tambak Wedi Gg. Lebar No. 2, RT/RW 002/001, Tambak Wedi, Kenjeran, Kota Surabaya</t>
  </si>
  <si>
    <t xml:space="preserve">ANANG PRIYO SONCOKO</t>
  </si>
  <si>
    <t xml:space="preserve">0001312587022</t>
  </si>
  <si>
    <t xml:space="preserve">3515073105010002</t>
  </si>
  <si>
    <t xml:space="preserve">Gelam, RT/RW 005/002, Gelam, Candi, Sidoarjo</t>
  </si>
  <si>
    <t xml:space="preserve">YUSFI MIFTAHUL AINI</t>
  </si>
  <si>
    <t xml:space="preserve">0001729203423</t>
  </si>
  <si>
    <t xml:space="preserve">3515134305910005</t>
  </si>
  <si>
    <t xml:space="preserve">ACHMAD ADIN NURFALIS</t>
  </si>
  <si>
    <t xml:space="preserve">PT ALBEA RIGID PACKAGING SURABAYA</t>
  </si>
  <si>
    <t xml:space="preserve">Printing</t>
  </si>
  <si>
    <t xml:space="preserve">3506011309000003</t>
  </si>
  <si>
    <t xml:space="preserve">Jl. Argowilis Rt 002 Rw 005 Semen Kediri</t>
  </si>
  <si>
    <t xml:space="preserve">085784796138</t>
  </si>
  <si>
    <t xml:space="preserve">ACHMAD ALVIAN AFANDI</t>
  </si>
  <si>
    <t xml:space="preserve">27028463920</t>
  </si>
  <si>
    <t xml:space="preserve">3515091011960001</t>
  </si>
  <si>
    <t xml:space="preserve">Kepadangan, RT/RW 014/005, Kepadangan, Tulangan, Kabupaten Sidoarjo</t>
  </si>
  <si>
    <t xml:space="preserve">AHMAD HUMAIDI</t>
  </si>
  <si>
    <t xml:space="preserve">28067808562</t>
  </si>
  <si>
    <t xml:space="preserve">Bm.Operator</t>
  </si>
  <si>
    <t xml:space="preserve">3578022304980001</t>
  </si>
  <si>
    <t xml:space="preserve">Jl. Margorejo Gg. Serujo 37, RT/RW 001/002, Margorejo, Wonocolo, Kota Surabaya</t>
  </si>
  <si>
    <t xml:space="preserve">APRISCA NURIEKA SAPUTRI</t>
  </si>
  <si>
    <t xml:space="preserve">21016372651</t>
  </si>
  <si>
    <t xml:space="preserve">0002300270073</t>
  </si>
  <si>
    <t xml:space="preserve">IM Operator</t>
  </si>
  <si>
    <t xml:space="preserve">3578036004990003</t>
  </si>
  <si>
    <t xml:space="preserve">Wonorejo Rungkut Dalam 5A RT/RW 003/001 Wonorejo, Rungkut, Surabaya</t>
  </si>
  <si>
    <t xml:space="preserve">DELLYVIA DWI ARIFIADI</t>
  </si>
  <si>
    <t xml:space="preserve">SAKIT</t>
  </si>
  <si>
    <t xml:space="preserve">0000108802146</t>
  </si>
  <si>
    <t xml:space="preserve">Print Operator</t>
  </si>
  <si>
    <t xml:space="preserve">3517094512940002</t>
  </si>
  <si>
    <t xml:space="preserve">Jln. Arya Wiraraja No. 07 RT/RW 007/007 Kepanjen, Jombang, Jombang</t>
  </si>
  <si>
    <t xml:space="preserve">AHMAD UBAYDILLAH</t>
  </si>
  <si>
    <t xml:space="preserve">27018750036</t>
  </si>
  <si>
    <t xml:space="preserve">BM Operator</t>
  </si>
  <si>
    <t xml:space="preserve">3578242509980002</t>
  </si>
  <si>
    <t xml:space="preserve">Tenggilis Kauman 4/20-C, RT/RW 003/003, Tenggilis Mejoyo, Tenggilis Mejoyo, Kota Surabaya</t>
  </si>
  <si>
    <t xml:space="preserve">PRINTED</t>
  </si>
  <si>
    <t xml:space="preserve">AISYAH SHINTA NILA SARI</t>
  </si>
  <si>
    <t xml:space="preserve">29015594284</t>
  </si>
  <si>
    <t xml:space="preserve">Im.Operator</t>
  </si>
  <si>
    <t xml:space="preserve">3578286809000001</t>
  </si>
  <si>
    <t xml:space="preserve">Genting Tambak Dalam Blok M/20, RT/RW 005/002, Genting Kalianak, Asemrowo, Kota Surabaya</t>
  </si>
  <si>
    <t xml:space="preserve">AJENG AYUNING PUSPITA</t>
  </si>
  <si>
    <t xml:space="preserve">Assy.Transfer</t>
  </si>
  <si>
    <t xml:space="preserve">3507156010930002</t>
  </si>
  <si>
    <t xml:space="preserve">Kedung Asem V/49B Rt 002 Rw 002 Kedung Baruk Rungkut Surabaya</t>
  </si>
  <si>
    <t xml:space="preserve">089612268652</t>
  </si>
  <si>
    <t xml:space="preserve">AJENG PUTRI KINASIH</t>
  </si>
  <si>
    <t xml:space="preserve">0001705697548</t>
  </si>
  <si>
    <t xml:space="preserve">Assy Operator</t>
  </si>
  <si>
    <t xml:space="preserve">3311126605950038</t>
  </si>
  <si>
    <t xml:space="preserve">Brontowiryan RT/RW 001/001 Ngabeyan, Kartasurya, Sukoharjo</t>
  </si>
  <si>
    <t xml:space="preserve">AKHAD ARI WIBOWO</t>
  </si>
  <si>
    <t xml:space="preserve">0000747686957</t>
  </si>
  <si>
    <t xml:space="preserve">3522241809940001</t>
  </si>
  <si>
    <t xml:space="preserve">Kalicilik RT/RW 005/002 Kalicilik, Sukosewu, Bojonegoro</t>
  </si>
  <si>
    <t xml:space="preserve">ALFAIN TRI SUTRISNO</t>
  </si>
  <si>
    <t xml:space="preserve">Warehouse</t>
  </si>
  <si>
    <t xml:space="preserve">3517091805030004</t>
  </si>
  <si>
    <t xml:space="preserve">Plandi Rt 020 Rw 005 Plandi Jombang</t>
  </si>
  <si>
    <t xml:space="preserve">081217433136</t>
  </si>
  <si>
    <t xml:space="preserve">GUNARTI</t>
  </si>
  <si>
    <t xml:space="preserve">PENGURANGAN</t>
  </si>
  <si>
    <t xml:space="preserve">26076122202</t>
  </si>
  <si>
    <t xml:space="preserve">0001535039627</t>
  </si>
  <si>
    <t xml:space="preserve">3518166803840002</t>
  </si>
  <si>
    <t xml:space="preserve">Ngadiboyo RT/RW 001/004 Ngadiboyo, Rejoso, Nganjuk</t>
  </si>
  <si>
    <t xml:space="preserve">ALFINA WAHYU LESTARI</t>
  </si>
  <si>
    <t xml:space="preserve">0001536698226</t>
  </si>
  <si>
    <t xml:space="preserve">3518096806020001</t>
  </si>
  <si>
    <t xml:space="preserve">Desa Lestari Gg 3 RT/RW 002/003 Lestari, Patianrowo, Nganjuk</t>
  </si>
  <si>
    <t xml:space="preserve">ALVIN ARIO SAPUTRA</t>
  </si>
  <si>
    <t xml:space="preserve">0002844664075</t>
  </si>
  <si>
    <t xml:space="preserve">Assy Transfer</t>
  </si>
  <si>
    <t xml:space="preserve">3520050607030001</t>
  </si>
  <si>
    <t xml:space="preserve">Genengan, RT/RW 005/002, Genengan, Kawedanan, Magetan</t>
  </si>
  <si>
    <t xml:space="preserve">ALVIN DWI SYAHPUTRA</t>
  </si>
  <si>
    <t xml:space="preserve">0001536850405</t>
  </si>
  <si>
    <t xml:space="preserve">Teknis Mpc</t>
  </si>
  <si>
    <t xml:space="preserve">3515182503050001</t>
  </si>
  <si>
    <t xml:space="preserve">Wedoro Candi, RT/RW 002/004, Wedoro, Waru, Sidoarjo</t>
  </si>
  <si>
    <t xml:space="preserve">AMININGSIH</t>
  </si>
  <si>
    <t xml:space="preserve">23047955276</t>
  </si>
  <si>
    <t xml:space="preserve">3578256205920002</t>
  </si>
  <si>
    <t xml:space="preserve">Rungkut Menanggal 2 A - 18 B, RT/RW 005/002, Rungkut Menanggal, Gunung Anyar, Kota Surabaya</t>
  </si>
  <si>
    <t xml:space="preserve">AMIROTUS SOLICHAH</t>
  </si>
  <si>
    <t xml:space="preserve">29072997528</t>
  </si>
  <si>
    <t xml:space="preserve">Injectition Moulding</t>
  </si>
  <si>
    <t xml:space="preserve">3515184510050011</t>
  </si>
  <si>
    <t xml:space="preserve">Jl. Brigjen Katamso IV, RT/RW 026/006, Kedungrejo, Waru, Kab. Sidoarjo</t>
  </si>
  <si>
    <t xml:space="preserve">ANANDA DESI KURNIAWATI</t>
  </si>
  <si>
    <t xml:space="preserve">28020018263</t>
  </si>
  <si>
    <t xml:space="preserve">3578035112970001</t>
  </si>
  <si>
    <t xml:space="preserve">Kedung Baruk XVI/15B, RT/RW 006/003, Kedung Baruk, Rungkut, Kota Surabaya</t>
  </si>
  <si>
    <t xml:space="preserve">ANDIKA KURNIAWAN</t>
  </si>
  <si>
    <t xml:space="preserve">0001900101442</t>
  </si>
  <si>
    <t xml:space="preserve">Qa Inspector Im</t>
  </si>
  <si>
    <t xml:space="preserve">3525151507940004</t>
  </si>
  <si>
    <t xml:space="preserve">Perum Griya Kencana 2 F/72 RT/RW 001/011 Mojosari Rejo, Driyorejo, Gresik</t>
  </si>
  <si>
    <t xml:space="preserve">LULUK PRASTICA DEVI</t>
  </si>
  <si>
    <t xml:space="preserve">23004348395</t>
  </si>
  <si>
    <t xml:space="preserve">0000683907434</t>
  </si>
  <si>
    <t xml:space="preserve">3507275605960001</t>
  </si>
  <si>
    <t xml:space="preserve">Dsn. Binangsri RT/RW 014/002 Purworejo, Ngantang, Malang</t>
  </si>
  <si>
    <t xml:space="preserve">ANGGILIA RAMADHANI</t>
  </si>
  <si>
    <t xml:space="preserve">24086205798</t>
  </si>
  <si>
    <t xml:space="preserve">Assembling</t>
  </si>
  <si>
    <t xml:space="preserve">3522066711010002</t>
  </si>
  <si>
    <t xml:space="preserve">Sumberarum, RT/RW 019/007, Sumberarum, Dander, Kab. Bojonegoro</t>
  </si>
  <si>
    <t xml:space="preserve">ANIK MUKAROMAH</t>
  </si>
  <si>
    <t xml:space="preserve">0001703557798</t>
  </si>
  <si>
    <t xml:space="preserve">Printing Operator</t>
  </si>
  <si>
    <t xml:space="preserve">3506134805970002</t>
  </si>
  <si>
    <t xml:space="preserve">Rungkut Tengah 1C No 24 RT 004 RW 005 Rungkut Tengah Gunung Anyar Surabaya</t>
  </si>
  <si>
    <t xml:space="preserve">ANIROTUL ULA</t>
  </si>
  <si>
    <t xml:space="preserve">23065564729</t>
  </si>
  <si>
    <t xml:space="preserve">3520146903890003</t>
  </si>
  <si>
    <t xml:space="preserve">Rungkut Tengah IA / 18.C, RT/RW 004/004, Rungkut Tengah, Gunung Anyar, Kota Surabaya</t>
  </si>
  <si>
    <t xml:space="preserve">MUNIROTUL CHUSNIA</t>
  </si>
  <si>
    <t xml:space="preserve">26082828807</t>
  </si>
  <si>
    <t xml:space="preserve">0001049841887</t>
  </si>
  <si>
    <t xml:space="preserve">3578036805970003</t>
  </si>
  <si>
    <t xml:space="preserve">Rungkut Kidul 5/64 RT/RW 003/005 Rungkut Kidul, Rungkut, Surabaya</t>
  </si>
  <si>
    <t xml:space="preserve">ANIS QURNIA</t>
  </si>
  <si>
    <t xml:space="preserve">22093143866</t>
  </si>
  <si>
    <t xml:space="preserve">3529246705030002</t>
  </si>
  <si>
    <t xml:space="preserve">Sumenep</t>
  </si>
  <si>
    <t xml:space="preserve">Dusun Sumba, RT/RW 001/008, Pajanangger, Arjasa, Kab. Sumenep</t>
  </si>
  <si>
    <t xml:space="preserve">ANIS WULANDARI</t>
  </si>
  <si>
    <t xml:space="preserve">23022702672</t>
  </si>
  <si>
    <t xml:space="preserve">3509034604930003</t>
  </si>
  <si>
    <t xml:space="preserve">Pesanggrahan, RT/RW 001/002, Gempeng, Bangil, Kab. Pasuruan</t>
  </si>
  <si>
    <t xml:space="preserve">ANISA NUR QOMARIYAH</t>
  </si>
  <si>
    <t xml:space="preserve">28085744890</t>
  </si>
  <si>
    <t xml:space="preserve">3517185706010002</t>
  </si>
  <si>
    <t xml:space="preserve">Kandangan, RT/RW 002/010, Gondangmanis, Bandarkedungmulyo, Kab. Jombang</t>
  </si>
  <si>
    <t xml:space="preserve">ANISYAH LAILA ROSADA</t>
  </si>
  <si>
    <t xml:space="preserve">26012034717</t>
  </si>
  <si>
    <t xml:space="preserve">3578034104010002</t>
  </si>
  <si>
    <t xml:space="preserve">Rungkut Lor GG X/75, RT/RW 002/015, Kalirungkut, Rungkut, Kota Surabaya</t>
  </si>
  <si>
    <t xml:space="preserve">ANNISA BADDIUL ROCHMAH</t>
  </si>
  <si>
    <t xml:space="preserve">25045588450</t>
  </si>
  <si>
    <t xml:space="preserve">3578086705030003</t>
  </si>
  <si>
    <t xml:space="preserve">Nginden Kota 1/6-A, RT/RW 001/003, Baratajaya, Gubeng, Kota Surabaya</t>
  </si>
  <si>
    <t xml:space="preserve">ARDILA WIDIOWATI</t>
  </si>
  <si>
    <t xml:space="preserve">26015939982</t>
  </si>
  <si>
    <t xml:space="preserve">3523095405040002</t>
  </si>
  <si>
    <t xml:space="preserve">Dsn. Kluncing, RT/RW 012/002, Suciharjo, Parengan, Kab. Tuban</t>
  </si>
  <si>
    <t xml:space="preserve">ARIANI KRISTANTI</t>
  </si>
  <si>
    <t xml:space="preserve">22090222791</t>
  </si>
  <si>
    <t xml:space="preserve">3578104712820006</t>
  </si>
  <si>
    <t xml:space="preserve">Kapas Baru 1/91, RT/RW 003/007, Kapasmadya Baru, Tambak Sari, Kota Surabaya</t>
  </si>
  <si>
    <t xml:space="preserve">ARIS SYAFITRI</t>
  </si>
  <si>
    <t xml:space="preserve">0001148982884</t>
  </si>
  <si>
    <t xml:space="preserve">Bm Operator</t>
  </si>
  <si>
    <t xml:space="preserve">3524205205910004</t>
  </si>
  <si>
    <t xml:space="preserve">Pucangro RT 003 RW 003 Pucangro Kalitengah Lamongan</t>
  </si>
  <si>
    <t xml:space="preserve">ASMAUL FAUZIAH</t>
  </si>
  <si>
    <t xml:space="preserve">24055877169</t>
  </si>
  <si>
    <t xml:space="preserve">3578037006890011</t>
  </si>
  <si>
    <t xml:space="preserve">Rungkut Lor GG 6/25, RT/RW 006/005, Kalirungkut, Rungkut, Kota Surabaya</t>
  </si>
  <si>
    <t xml:space="preserve">SELVI NOVIANTI</t>
  </si>
  <si>
    <t xml:space="preserve">0000756819189</t>
  </si>
  <si>
    <t xml:space="preserve">3524064911970002</t>
  </si>
  <si>
    <t xml:space="preserve">Mekande RT/RW 003/005 Mekanderejo, Kedungpring, Lamongan</t>
  </si>
  <si>
    <t xml:space="preserve">SHERLY INDIARTI</t>
  </si>
  <si>
    <t xml:space="preserve">0000787240787</t>
  </si>
  <si>
    <t xml:space="preserve">3578254304990002</t>
  </si>
  <si>
    <t xml:space="preserve">Rungkut Tengah 1 B / 33 RT/RW 001/005 Rungkut Tengah, Gunung Anyar, Surabaya</t>
  </si>
  <si>
    <t xml:space="preserve">ASMAUL LUTFIA</t>
  </si>
  <si>
    <t xml:space="preserve">24072256996</t>
  </si>
  <si>
    <t xml:space="preserve">3578255510940001</t>
  </si>
  <si>
    <t xml:space="preserve">Rungkut Tengah 3 A / 8, RT/RW 004/003, Rungkut Tengah, Gunung Anyar, Kota Surabaya</t>
  </si>
  <si>
    <t xml:space="preserve">SITI MUYASSAROH</t>
  </si>
  <si>
    <t xml:space="preserve">28005888718</t>
  </si>
  <si>
    <t xml:space="preserve">0002271780099</t>
  </si>
  <si>
    <t xml:space="preserve">3510094211930009</t>
  </si>
  <si>
    <t xml:space="preserve">Dusun Ringinsari RT/RW 001/002 Kembiritan, Genteng, Banyuwangi</t>
  </si>
  <si>
    <t xml:space="preserve">ASTRIT SETYO PUTRI</t>
  </si>
  <si>
    <t xml:space="preserve">0001540715995</t>
  </si>
  <si>
    <t xml:space="preserve">3503016302950001</t>
  </si>
  <si>
    <t xml:space="preserve">Dsn 04 RT 018 RW 004 Teguhan Jiwan Madiun</t>
  </si>
  <si>
    <t xml:space="preserve">AULIYA ARSANTI</t>
  </si>
  <si>
    <t xml:space="preserve">20033401878</t>
  </si>
  <si>
    <t xml:space="preserve">Quality</t>
  </si>
  <si>
    <t xml:space="preserve">3578245403030003</t>
  </si>
  <si>
    <t xml:space="preserve">Panjang Jiwo 3/2, RT/RW 002/001, Panjang Jiwo, Tenggilis Mejoyo, Kota Surabaya</t>
  </si>
  <si>
    <t xml:space="preserve">BAGUS NURAKHMAD KEMAL PASHA</t>
  </si>
  <si>
    <t xml:space="preserve">20017598983</t>
  </si>
  <si>
    <t xml:space="preserve">Mpc</t>
  </si>
  <si>
    <t xml:space="preserve">3578161604010010</t>
  </si>
  <si>
    <t xml:space="preserve">Perum Centra Alam C/2, RT/RW 002/005, Wedoroklurak, Candi, Kab. Sidoarjo</t>
  </si>
  <si>
    <t xml:space="preserve">BAHROTUL HOIRIYAH</t>
  </si>
  <si>
    <t xml:space="preserve">24078878384</t>
  </si>
  <si>
    <t xml:space="preserve">3526064106960003</t>
  </si>
  <si>
    <t xml:space="preserve">Manyar Sabrangan 3/29-C, RT/RW 003/001, Manyar Sabrangan, Mulyorejo, Kota Surabaya</t>
  </si>
  <si>
    <t xml:space="preserve">BINTI KONI'ATUL FAUZIAH</t>
  </si>
  <si>
    <t xml:space="preserve">0000782880366</t>
  </si>
  <si>
    <t xml:space="preserve">Im Operator</t>
  </si>
  <si>
    <t xml:space="preserve">3578256009960003</t>
  </si>
  <si>
    <t xml:space="preserve">Rungkut Tengah 3 A / 11 RT/RW 001/004 Rungkut Tengah, Gunung Anyar, Surabaya</t>
  </si>
  <si>
    <t xml:space="preserve">BRILIANT EGY WIDYANTORO</t>
  </si>
  <si>
    <t xml:space="preserve">Assembling.Operator</t>
  </si>
  <si>
    <t xml:space="preserve">3578273108990001</t>
  </si>
  <si>
    <t xml:space="preserve">Simo Gunung Barat 2/14 Rt 002 Rw 005 Simomulyo , Sukomanunggal Surabaya</t>
  </si>
  <si>
    <t xml:space="preserve">0895396134443</t>
  </si>
  <si>
    <t xml:space="preserve">CATUR WAHYU AHMAD SOLIHUDIN</t>
  </si>
  <si>
    <t xml:space="preserve">0001821024213</t>
  </si>
  <si>
    <t xml:space="preserve">3515180811000001</t>
  </si>
  <si>
    <t xml:space="preserve">Jl. KH Zainal Abidin 45, RT/RW 002/001, Tambak Sumur, Waru, Sidoarjo</t>
  </si>
  <si>
    <t xml:space="preserve">CHOFIDATUR ROFI'AH</t>
  </si>
  <si>
    <t xml:space="preserve">21012535544</t>
  </si>
  <si>
    <t xml:space="preserve">3529095503010004</t>
  </si>
  <si>
    <t xml:space="preserve">Dsn Asam Pitu, RT/RW 003/003, Pademawu Barat, Pademawu, Kab. Pamekasan</t>
  </si>
  <si>
    <t xml:space="preserve">CICI PARAMITA</t>
  </si>
  <si>
    <t xml:space="preserve">28037261675</t>
  </si>
  <si>
    <t xml:space="preserve">Blow Moulding</t>
  </si>
  <si>
    <t xml:space="preserve">3507055010970005</t>
  </si>
  <si>
    <t xml:space="preserve">Sumberkembar, RT/RW 008/010, Dampit, Dampit, Kab. Malang</t>
  </si>
  <si>
    <t xml:space="preserve">CINTYA KARISMA</t>
  </si>
  <si>
    <t xml:space="preserve">21036134125</t>
  </si>
  <si>
    <t xml:space="preserve">3516155208940002</t>
  </si>
  <si>
    <t xml:space="preserve">Dsn. Semampir Lor, RT/RW 003/005, Mojokumpul, Kemlagi, Kab. Mojokerto</t>
  </si>
  <si>
    <t xml:space="preserve">CITRA PUSPITA RINDIANI</t>
  </si>
  <si>
    <t xml:space="preserve">0001394449435</t>
  </si>
  <si>
    <t xml:space="preserve">3578034811020004</t>
  </si>
  <si>
    <t xml:space="preserve">Medayu Utara XXXI-A/5 RT 001 RW 015 Medokan Ayu Rungkut Surabaya</t>
  </si>
  <si>
    <t xml:space="preserve">DELLA ERVINNA CAHYONINGTYAS</t>
  </si>
  <si>
    <t xml:space="preserve">0001198772842</t>
  </si>
  <si>
    <t xml:space="preserve">3524186808010002</t>
  </si>
  <si>
    <t xml:space="preserve">Jagran RT 001 RW 001 Jagran Karanggeneng Lamongan</t>
  </si>
  <si>
    <t xml:space="preserve">DELTALITA DWI BOYONG SARI</t>
  </si>
  <si>
    <t xml:space="preserve">29064759876</t>
  </si>
  <si>
    <t xml:space="preserve">7403236701980002</t>
  </si>
  <si>
    <t xml:space="preserve">Dusun Rejosari, RT/RW 001/009, Banjarsari, Ngronggot, Kab. Nganjuk</t>
  </si>
  <si>
    <t xml:space="preserve">TRI APRILIA WATI</t>
  </si>
  <si>
    <t xml:space="preserve">0000676654244</t>
  </si>
  <si>
    <t xml:space="preserve">3506166104920001</t>
  </si>
  <si>
    <t xml:space="preserve">Mojokerep RT/RW 003/002 Mojokerep, Plemahan, Kediri</t>
  </si>
  <si>
    <t xml:space="preserve">DENY ANDRIAN</t>
  </si>
  <si>
    <t xml:space="preserve">22042731672</t>
  </si>
  <si>
    <t xml:space="preserve">3508040801060007</t>
  </si>
  <si>
    <t xml:space="preserve">Dusun Purut, RT/RW 005/004, Bades, Pasirian, Kab. Lumajang</t>
  </si>
  <si>
    <t xml:space="preserve">DESI NORMA TRININGRUM</t>
  </si>
  <si>
    <t xml:space="preserve">0002918908438</t>
  </si>
  <si>
    <t xml:space="preserve">3520166112000001</t>
  </si>
  <si>
    <t xml:space="preserve">Banjarejo RT 10 RW 002 Banjarejo Ngariboyo Magetan</t>
  </si>
  <si>
    <t xml:space="preserve">DEVI CRISTIAN ANGGRAINI</t>
  </si>
  <si>
    <t xml:space="preserve">22020234132</t>
  </si>
  <si>
    <t xml:space="preserve">3502034804920001</t>
  </si>
  <si>
    <t xml:space="preserve">Dukuh Tiron, RT/RW 001/001, Koripan, Bungkal, Kab. Ponorogo</t>
  </si>
  <si>
    <t xml:space="preserve">DEWI ELIANA</t>
  </si>
  <si>
    <t xml:space="preserve">0002452888282</t>
  </si>
  <si>
    <t xml:space="preserve">3515184404000001</t>
  </si>
  <si>
    <t xml:space="preserve">Jl. Zainal Abidin 17 RT 003 RW 002 Tambak Sumur, Waru, Sidoarjo</t>
  </si>
  <si>
    <t xml:space="preserve">DEWI FATMAWATI</t>
  </si>
  <si>
    <t xml:space="preserve">0001328838737</t>
  </si>
  <si>
    <t xml:space="preserve">3578035610940001</t>
  </si>
  <si>
    <t xml:space="preserve">Rungkut Kidul 2 Kebayan No 7 RT 001 RW 002 Rungkut Kidul Rungkut Surabaya</t>
  </si>
  <si>
    <t xml:space="preserve">WINDA RAHAYU</t>
  </si>
  <si>
    <t xml:space="preserve">23026865635</t>
  </si>
  <si>
    <t xml:space="preserve">0001539287188</t>
  </si>
  <si>
    <t xml:space="preserve">3517024912870001</t>
  </si>
  <si>
    <t xml:space="preserve">Situbondo</t>
  </si>
  <si>
    <t xml:space="preserve">Dsn Sentanan RT/RW 017/009 Krembangan, Gudo, Jombang</t>
  </si>
  <si>
    <t xml:space="preserve">DEWI SETIO RINI</t>
  </si>
  <si>
    <t xml:space="preserve">0000734414578</t>
  </si>
  <si>
    <t xml:space="preserve">3518077006970006</t>
  </si>
  <si>
    <t xml:space="preserve">Dusun Bendo RT/RW 003/002 Mojokendil, Ngronggot, Nganjuk</t>
  </si>
  <si>
    <t xml:space="preserve">DHEBRIYAN FATTIHA</t>
  </si>
  <si>
    <t xml:space="preserve">0001281324655</t>
  </si>
  <si>
    <t xml:space="preserve">3578064112880004</t>
  </si>
  <si>
    <t xml:space="preserve">Banyu Urip Wetan 3-C/90 RT 008 RW 006 Banyu Urip, Sawahan, Surabaya</t>
  </si>
  <si>
    <t xml:space="preserve">DIA AGUSTINA MAULIDA</t>
  </si>
  <si>
    <t xml:space="preserve">0002682900966</t>
  </si>
  <si>
    <t xml:space="preserve">3526144208970002</t>
  </si>
  <si>
    <t xml:space="preserve">Jagir Lapangan 1/10 RT/RW 001/006 Jagir, Wonokromo, Surabaya</t>
  </si>
  <si>
    <t xml:space="preserve">YUSRIL NURON AL AMIN</t>
  </si>
  <si>
    <t xml:space="preserve">0001196122059</t>
  </si>
  <si>
    <t xml:space="preserve">MPC Teknisi</t>
  </si>
  <si>
    <t xml:space="preserve">3515062104000003</t>
  </si>
  <si>
    <t xml:space="preserve">Boro RT/RW 005/002 Boro, Tanggulangin, Sidoarjo</t>
  </si>
  <si>
    <t xml:space="preserve">DIAN AYU APRILIYANI</t>
  </si>
  <si>
    <t xml:space="preserve">26011178006</t>
  </si>
  <si>
    <t xml:space="preserve">3316094104960002</t>
  </si>
  <si>
    <t xml:space="preserve">Blora</t>
  </si>
  <si>
    <t xml:space="preserve">Jl. KNPI Gang Cendrawasih 5B, RT/RW 001/005, Bangkle, Blora, Kab. Blora</t>
  </si>
  <si>
    <t xml:space="preserve">DIAN NOVITASARI</t>
  </si>
  <si>
    <t xml:space="preserve">28011492164</t>
  </si>
  <si>
    <t xml:space="preserve">3578035012910001</t>
  </si>
  <si>
    <t xml:space="preserve">Rungkut Kidul 4/3, RT/RW 001/004, Rungkut Kidul, Rungkut, Kota Surabaya</t>
  </si>
  <si>
    <t xml:space="preserve">BUDI KRISTANTO</t>
  </si>
  <si>
    <t xml:space="preserve">25015058770</t>
  </si>
  <si>
    <t xml:space="preserve">0001049907431</t>
  </si>
  <si>
    <t xml:space="preserve">3578040103870001</t>
  </si>
  <si>
    <t xml:space="preserve">Bagong Ginayan 5/32 RT/RW 003/003 Ngagel, Wonokromo, Surabaya</t>
  </si>
  <si>
    <t xml:space="preserve">FERDY ISHANANTO</t>
  </si>
  <si>
    <t xml:space="preserve">26058948113</t>
  </si>
  <si>
    <t xml:space="preserve">0001806680553</t>
  </si>
  <si>
    <t xml:space="preserve">3578241202920002</t>
  </si>
  <si>
    <t xml:space="preserve">Kendangsari Gg 11/47 RT/RW 002/004 Kendangsari, Tenggilis Mejoyo, Surabaya</t>
  </si>
  <si>
    <t xml:space="preserve">MOCHAMAD YUSUF</t>
  </si>
  <si>
    <t xml:space="preserve">21014402426</t>
  </si>
  <si>
    <t xml:space="preserve">0001535038356</t>
  </si>
  <si>
    <t xml:space="preserve">3515140804750001</t>
  </si>
  <si>
    <t xml:space="preserve">Suko Legok IV RT/RW 017/006 Suko, Sukodono, Sidoarjo</t>
  </si>
  <si>
    <t xml:space="preserve">NURIYANTO</t>
  </si>
  <si>
    <t xml:space="preserve">24062889751</t>
  </si>
  <si>
    <t xml:space="preserve">0001541377989</t>
  </si>
  <si>
    <t xml:space="preserve">3515090205850001</t>
  </si>
  <si>
    <t xml:space="preserve">Grogol RT/RW 004/003 Grogol, Tulangan, Sidoarjo</t>
  </si>
  <si>
    <t xml:space="preserve">SUDAR</t>
  </si>
  <si>
    <t xml:space="preserve">24002614014</t>
  </si>
  <si>
    <t xml:space="preserve">0001536781713</t>
  </si>
  <si>
    <t xml:space="preserve">3502050802730001</t>
  </si>
  <si>
    <t xml:space="preserve">Kyai Satari III B/16 E RT/RW 001/001 Rungkut Menanggal, Gunung Anyar, Surabaya</t>
  </si>
  <si>
    <t xml:space="preserve">A. NURASIA</t>
  </si>
  <si>
    <t xml:space="preserve">PT IMPLORA SUKSES ABADI (NON PRODUKSI)</t>
  </si>
  <si>
    <t xml:space="preserve">0000938408229</t>
  </si>
  <si>
    <t xml:space="preserve">PKWT - B</t>
  </si>
  <si>
    <t xml:space="preserve">Watampone</t>
  </si>
  <si>
    <t xml:space="preserve">SPG/BA</t>
  </si>
  <si>
    <t xml:space="preserve">7315054703020003</t>
  </si>
  <si>
    <t xml:space="preserve">Padang Loang</t>
  </si>
  <si>
    <t xml:space="preserve">Padang Dusun RT/RW 001/002, Padang Loang, Patampanua, Pinrang</t>
  </si>
  <si>
    <t xml:space="preserve">ANDIKA DWI SETIAWAN</t>
  </si>
  <si>
    <t xml:space="preserve">0002940487064</t>
  </si>
  <si>
    <t xml:space="preserve">3515160106000004</t>
  </si>
  <si>
    <t xml:space="preserve">Dk Nglawiyan RT/RW 002/003 Karangjati, Blora, Blora</t>
  </si>
  <si>
    <t xml:space="preserve">CHANDRA WAHYU ARDIYANTO</t>
  </si>
  <si>
    <t xml:space="preserve">PT SAFEMATE TECHNOLOGY INDONESIA</t>
  </si>
  <si>
    <t xml:space="preserve">21093141705</t>
  </si>
  <si>
    <t xml:space="preserve">0001177493973</t>
  </si>
  <si>
    <t xml:space="preserve">Produksi Extrude</t>
  </si>
  <si>
    <t xml:space="preserve">borongan</t>
  </si>
  <si>
    <t xml:space="preserve">3520171106970001</t>
  </si>
  <si>
    <t xml:space="preserve">Simbatan Wetan RT/RW 008/001 Simbatan, Nguntoronadi, Magetan</t>
  </si>
  <si>
    <t xml:space="preserve">ERIS ANDRIA MARTA</t>
  </si>
  <si>
    <t xml:space="preserve">0000755927853</t>
  </si>
  <si>
    <t xml:space="preserve">Assembly</t>
  </si>
  <si>
    <t xml:space="preserve">3524040702990001</t>
  </si>
  <si>
    <t xml:space="preserve">Dsn Guman RT/RW 005/004 Sendangrejo, Ngimbang, Lamongan</t>
  </si>
  <si>
    <t xml:space="preserve">DHILIP FATU ROHMAT</t>
  </si>
  <si>
    <t xml:space="preserve">28064920831</t>
  </si>
  <si>
    <t xml:space="preserve">0003111767368</t>
  </si>
  <si>
    <t xml:space="preserve">3504110902940001</t>
  </si>
  <si>
    <t xml:space="preserve">Sumberjo Kulon RT/RW 002/001 Sumberjo Kulon, Ngunut, Tulungagung</t>
  </si>
  <si>
    <t xml:space="preserve">MUHAMMAD FAROD ISFATHONI UBAIDILLAH</t>
  </si>
  <si>
    <t xml:space="preserve">0002156770372</t>
  </si>
  <si>
    <t xml:space="preserve">3576020604010003</t>
  </si>
  <si>
    <t xml:space="preserve">Jl. Pandan 1 No 29 Wates, Magersari, Mojokerto</t>
  </si>
  <si>
    <t xml:space="preserve">JONI PRAYITNO</t>
  </si>
  <si>
    <t xml:space="preserve">22040234483</t>
  </si>
  <si>
    <t xml:space="preserve">0000725442524</t>
  </si>
  <si>
    <t xml:space="preserve">3516071306940005</t>
  </si>
  <si>
    <t xml:space="preserve">Dusun Sambiroto RT/RW 003/002 Wonodadi, Kutorejo, Mojokerto</t>
  </si>
  <si>
    <t xml:space="preserve">BELLADIN EFRIN SAPUTRI</t>
  </si>
  <si>
    <t xml:space="preserve">24078245040</t>
  </si>
  <si>
    <t xml:space="preserve">0002521594552</t>
  </si>
  <si>
    <t xml:space="preserve">3515166607950001</t>
  </si>
  <si>
    <t xml:space="preserve">Tebel Tengah RT/RW 010/005 Tebel, Gedangan, Sidoarjo</t>
  </si>
  <si>
    <t xml:space="preserve">ANDITO LUKI ANDREANSA</t>
  </si>
  <si>
    <t xml:space="preserve">0002161654896</t>
  </si>
  <si>
    <t xml:space="preserve">3515141410030005</t>
  </si>
  <si>
    <t xml:space="preserve">Kloposepuluh, RT/RW 020/005, Kloposepuluh, Sukodono, Sidoarjo</t>
  </si>
  <si>
    <t xml:space="preserve">ANDRIANA LAFATUL TANU</t>
  </si>
  <si>
    <t xml:space="preserve">0001394497326</t>
  </si>
  <si>
    <t xml:space="preserve">3578176308000001</t>
  </si>
  <si>
    <t xml:space="preserve">Tambak Wedi Baru 8/79 RT/RW 007/003 Tambak Wedi, Kenjeran, Surabaya</t>
  </si>
  <si>
    <t xml:space="preserve">ANGGI ALDILA WIDIASTUTI</t>
  </si>
  <si>
    <t xml:space="preserve">0002429157328</t>
  </si>
  <si>
    <t xml:space="preserve">3578046008930010</t>
  </si>
  <si>
    <t xml:space="preserve">Wonokromo Tengah 5/12 RT/RW 011/ 006 Wonokromo, Wonokromo, Surabaya</t>
  </si>
  <si>
    <t xml:space="preserve">ANGGUN MEYLITA MARDIANTO</t>
  </si>
  <si>
    <t xml:space="preserve">0001882082204</t>
  </si>
  <si>
    <t xml:space="preserve">RND - Helper</t>
  </si>
  <si>
    <t xml:space="preserve">3515164505020001</t>
  </si>
  <si>
    <t xml:space="preserve">Dusun Keling RT 018 RW 005 Jumputrejo, Sukodono, Sidoarjo</t>
  </si>
  <si>
    <t xml:space="preserve">ANNISA FIRDAUS</t>
  </si>
  <si>
    <t xml:space="preserve">0000722742671</t>
  </si>
  <si>
    <t xml:space="preserve">3515186307000001</t>
  </si>
  <si>
    <t xml:space="preserve">Jl. Brigjen Katamso 4/91 RT/RW 027/006 Kedungrejo, Waru, Sidoarjo</t>
  </si>
  <si>
    <t xml:space="preserve">ENGGAR KURNIASARI</t>
  </si>
  <si>
    <t xml:space="preserve">20008838737</t>
  </si>
  <si>
    <t xml:space="preserve">0002809128554</t>
  </si>
  <si>
    <t xml:space="preserve">3517076705000003</t>
  </si>
  <si>
    <t xml:space="preserve">Jl. Mojowarno RT/RW.003/010 Gondek, Mojowarno, Jombang</t>
  </si>
  <si>
    <t xml:space="preserve">APRILLIA ROSSA ANA DEWI</t>
  </si>
  <si>
    <t xml:space="preserve">0002156730491</t>
  </si>
  <si>
    <t xml:space="preserve">3576024904020008</t>
  </si>
  <si>
    <t xml:space="preserve">Sinoman IV/7-C RT/RW 005/001 Miji, Kranggan, Mojokerto</t>
  </si>
  <si>
    <t xml:space="preserve">MUHAMMAD FIGUR SAHARA</t>
  </si>
  <si>
    <t xml:space="preserve">0001162227227</t>
  </si>
  <si>
    <t xml:space="preserve">3515142912000005</t>
  </si>
  <si>
    <t xml:space="preserve">Suko Legok RT/RW 013/005 Suko, Sukodono, Sidoarjo</t>
  </si>
  <si>
    <t xml:space="preserve">MOH. ANANDITO ADI SETYA</t>
  </si>
  <si>
    <t xml:space="preserve">0002996621245</t>
  </si>
  <si>
    <t xml:space="preserve">3515141302000002</t>
  </si>
  <si>
    <t xml:space="preserve">Karangnongko RT/RW 003/001 Pekarungan, Sukodono, Sidoarjo</t>
  </si>
  <si>
    <t xml:space="preserve">MOHAMAD NIZAR AL-ARIF</t>
  </si>
  <si>
    <t xml:space="preserve">0001537511297</t>
  </si>
  <si>
    <t xml:space="preserve">3516162211990002</t>
  </si>
  <si>
    <t xml:space="preserve">Dsn. Ngabar RT/RW 010/004 Ngabar, Jetis, Mojokerto</t>
  </si>
  <si>
    <t xml:space="preserve">SILVIA ARIANTI SUDARSONO</t>
  </si>
  <si>
    <t xml:space="preserve">0001188369775</t>
  </si>
  <si>
    <t xml:space="preserve">3517065310020002</t>
  </si>
  <si>
    <t xml:space="preserve">Gunungsari II-5/20 RT/RW 006/007 Wonokromo, Surabaya</t>
  </si>
  <si>
    <t xml:space="preserve">YOGA ANDRI PRASTIYO</t>
  </si>
  <si>
    <t xml:space="preserve">0003102324412</t>
  </si>
  <si>
    <t xml:space="preserve">3515160807980004</t>
  </si>
  <si>
    <t xml:space="preserve">Jl.Telaga Indah III RT/RW 002/002 Ganting, Gedangan, Sidoarjo</t>
  </si>
  <si>
    <t xml:space="preserve">ARDIAN EKA ERLANGGA</t>
  </si>
  <si>
    <t xml:space="preserve">0003772318882</t>
  </si>
  <si>
    <t xml:space="preserve">3505090205040003</t>
  </si>
  <si>
    <t xml:space="preserve">Dsn Gambaranyar, RT/RW 001/012, Sumberasri, Nglegok, Blitar</t>
  </si>
  <si>
    <t xml:space="preserve">ARDIYA PRAMESTI REDITA CAHYANI</t>
  </si>
  <si>
    <t xml:space="preserve">0003561710231</t>
  </si>
  <si>
    <t xml:space="preserve">3521104207000001</t>
  </si>
  <si>
    <t xml:space="preserve">Sidorejo, RT/RW 003/005, Gentong, Paron, Ngawi</t>
  </si>
  <si>
    <t xml:space="preserve">ARDY PRASETIAN</t>
  </si>
  <si>
    <t xml:space="preserve">0001151224389</t>
  </si>
  <si>
    <t xml:space="preserve">3578162912900005</t>
  </si>
  <si>
    <t xml:space="preserve">Dusun Prumpon, RT/RW 002/001, Suruh, Sukodono, Sidoarjo</t>
  </si>
  <si>
    <t xml:space="preserve">LIYA KHUSWATIN KHASANAH</t>
  </si>
  <si>
    <t xml:space="preserve">0002865796975</t>
  </si>
  <si>
    <t xml:space="preserve">3515065104000004</t>
  </si>
  <si>
    <t xml:space="preserve">Wates RT/RW 006/002 Kedensari, Tanggulangin, Sidoarjo</t>
  </si>
  <si>
    <t xml:space="preserve">LUTFI LAILIYAH</t>
  </si>
  <si>
    <t xml:space="preserve">0000721558258</t>
  </si>
  <si>
    <t xml:space="preserve">3515066509020001</t>
  </si>
  <si>
    <t xml:space="preserve">Ngaban RT/RW 008/003 Ngaban, Tanggulangin, Sidoarjo</t>
  </si>
  <si>
    <t xml:space="preserve">ARGO BANGUN FERDIYAN</t>
  </si>
  <si>
    <t xml:space="preserve">PT IMPLORA SUKSES ABADI (OFFICE)</t>
  </si>
  <si>
    <t xml:space="preserve">0002996859598</t>
  </si>
  <si>
    <t xml:space="preserve">3515110302000001</t>
  </si>
  <si>
    <t xml:space="preserve">Dsn Jrebeng RT/RW 005/002, Sidomulyo, Krian, Sidoarjo</t>
  </si>
  <si>
    <t xml:space="preserve">TASYA MIRZA</t>
  </si>
  <si>
    <t xml:space="preserve">0000721497532</t>
  </si>
  <si>
    <t xml:space="preserve">3515066902000003</t>
  </si>
  <si>
    <t xml:space="preserve">Wates RT/RW 005/002 Kedensari, Tanggulangin, Sidoarjo</t>
  </si>
  <si>
    <t xml:space="preserve">ELIS NURHIDAYAH</t>
  </si>
  <si>
    <t xml:space="preserve">0001194504917</t>
  </si>
  <si>
    <t xml:space="preserve">3515165605960002</t>
  </si>
  <si>
    <t xml:space="preserve">Jl. Kh. Harun Ishaq RT 01 RW 02 Ketajen, Gedangan, Sidoarjo</t>
  </si>
  <si>
    <t xml:space="preserve">IGA ADILIA</t>
  </si>
  <si>
    <t xml:space="preserve">21067868433</t>
  </si>
  <si>
    <t xml:space="preserve">0003102327584</t>
  </si>
  <si>
    <t xml:space="preserve">3514127007020001</t>
  </si>
  <si>
    <t xml:space="preserve">Kejapanan RT 002 RW 013 Kejapanan, Gempol, Pasuruan</t>
  </si>
  <si>
    <t xml:space="preserve">IMMAY DWI FALLERY</t>
  </si>
  <si>
    <t xml:space="preserve">0000676001676</t>
  </si>
  <si>
    <t xml:space="preserve">3506156605990002</t>
  </si>
  <si>
    <t xml:space="preserve">Dsn. Tugu RT 02 RW 02 Tugu, Purwoasri, Kediri</t>
  </si>
  <si>
    <t xml:space="preserve">ARI KURNIA ROBI</t>
  </si>
  <si>
    <t xml:space="preserve">0002928838419</t>
  </si>
  <si>
    <t xml:space="preserve">3515146805010001</t>
  </si>
  <si>
    <t xml:space="preserve">Griya Bhayangkara C.3/5 RT/RW 034/008 Masangan Kulon, Sukodono, Sidoarjo</t>
  </si>
  <si>
    <t xml:space="preserve">ARIS ADI FIRMANTO</t>
  </si>
  <si>
    <t xml:space="preserve">0001702314819</t>
  </si>
  <si>
    <t xml:space="preserve">Gudang RMPM - Operator Forklift</t>
  </si>
  <si>
    <t xml:space="preserve">3516161402860002</t>
  </si>
  <si>
    <t xml:space="preserve">Dusun Kedung Sumur RT/RW 003/001 Canggu, Jetis, Mojokerto</t>
  </si>
  <si>
    <t xml:space="preserve">ANIN WIDYANA SARI</t>
  </si>
  <si>
    <t xml:space="preserve">0002618618894</t>
  </si>
  <si>
    <t xml:space="preserve">3518045107990001</t>
  </si>
  <si>
    <t xml:space="preserve">Rungkut Tengah RT/RW 002/005 Rungkut Tengah, Gunung Anyar, Surabaya</t>
  </si>
  <si>
    <t xml:space="preserve">EMMA AULIA AZ ZAHRA</t>
  </si>
  <si>
    <t xml:space="preserve">0001172723872</t>
  </si>
  <si>
    <t xml:space="preserve">3515086106020004</t>
  </si>
  <si>
    <t xml:space="preserve">Jl. Kh Wachid Hasyim RT/RW 014/004 Lebo, Sidoarjo, Sidoarjo</t>
  </si>
  <si>
    <t xml:space="preserve">LINDA SASINTA</t>
  </si>
  <si>
    <t xml:space="preserve">0000721371295</t>
  </si>
  <si>
    <t xml:space="preserve">3515157006010004</t>
  </si>
  <si>
    <t xml:space="preserve">Dsn. Klanggri RT/RW 002/006 Sidokerto, Buduran, Sidoarjo</t>
  </si>
  <si>
    <t xml:space="preserve">ROSALIA NINDY PRAMITHASARI</t>
  </si>
  <si>
    <t xml:space="preserve">25032650201</t>
  </si>
  <si>
    <t xml:space="preserve">0002884660468</t>
  </si>
  <si>
    <t xml:space="preserve">3506164901000002</t>
  </si>
  <si>
    <t xml:space="preserve">Dsn. Pojok RT/RW 001/003 Plemahan, Plemahan, Kediri</t>
  </si>
  <si>
    <t xml:space="preserve">YUSFRIDAR NANDA RAHMATULLAH</t>
  </si>
  <si>
    <t xml:space="preserve">0002263682711</t>
  </si>
  <si>
    <t xml:space="preserve">3578171101010001</t>
  </si>
  <si>
    <t xml:space="preserve">Bulak Banteng Kidul 7/35 RT/RW 001/004 Sidotopo Wetan, Kenjeran, Surabaya</t>
  </si>
  <si>
    <t xml:space="preserve">AS'AD SYAMSUL ARIFIN</t>
  </si>
  <si>
    <t xml:space="preserve">0000097672926</t>
  </si>
  <si>
    <t xml:space="preserve">3515181210940003</t>
  </si>
  <si>
    <t xml:space="preserve">Jl. P Sudirman RT/RW 011/004 Medaeng, Waru, Sidoarjo</t>
  </si>
  <si>
    <t xml:space="preserve">ANGGITA MAULADINA AGUSTIN</t>
  </si>
  <si>
    <t xml:space="preserve">24062016849</t>
  </si>
  <si>
    <t xml:space="preserve">0000756103656</t>
  </si>
  <si>
    <t xml:space="preserve">3524195308010001</t>
  </si>
  <si>
    <t xml:space="preserve">Mangkujajar RT/RW 002/004 Mangkujajar, Kembangbahu, Lamongan</t>
  </si>
  <si>
    <t xml:space="preserve">AULIA SILMI RUSYDA</t>
  </si>
  <si>
    <t xml:space="preserve">0001402354484</t>
  </si>
  <si>
    <t xml:space="preserve">3515184206000001</t>
  </si>
  <si>
    <t xml:space="preserve">Taman Pondok Legi IV/M-64 RT/RW 006/009 Pepelegi, Waru, Sidoarjo</t>
  </si>
  <si>
    <t xml:space="preserve">AULIA ZAMZAMI BARIROH</t>
  </si>
  <si>
    <t xml:space="preserve">23034722820</t>
  </si>
  <si>
    <t xml:space="preserve">3515084304050003</t>
  </si>
  <si>
    <t xml:space="preserve">Salam, RT/RW 006/005, Suko, Sidoarjo, Kab. Sidoarjo</t>
  </si>
  <si>
    <t xml:space="preserve">AYU BUDIARTI</t>
  </si>
  <si>
    <t xml:space="preserve">0001166660616</t>
  </si>
  <si>
    <t xml:space="preserve">3515075112980001</t>
  </si>
  <si>
    <t xml:space="preserve">Jl. Bali RT 014 RW 004 Klurak, Candi, Sidoarjo</t>
  </si>
  <si>
    <t xml:space="preserve">FARAH MUFIDAH</t>
  </si>
  <si>
    <t xml:space="preserve">0001535164029</t>
  </si>
  <si>
    <t xml:space="preserve">3515134508030003</t>
  </si>
  <si>
    <t xml:space="preserve">Bebekan Tengah No. 2 RT/RW 018/005 Bebekan, Taman, Sidoarjo</t>
  </si>
  <si>
    <t xml:space="preserve">KIRANA KUMAYA PUTRI</t>
  </si>
  <si>
    <t xml:space="preserve">0002158615146</t>
  </si>
  <si>
    <t xml:space="preserve">3505156208020001</t>
  </si>
  <si>
    <t xml:space="preserve">Jl. Simo Mulyo Baru Blok 2B/2 RT/RW 004/003 Sukomanuggal, Surabaya</t>
  </si>
  <si>
    <t xml:space="preserve">MERYS ANDRIYANI</t>
  </si>
  <si>
    <t xml:space="preserve">0001043339051</t>
  </si>
  <si>
    <t xml:space="preserve">3515044305990002</t>
  </si>
  <si>
    <t xml:space="preserve">Dsn.Kesamben RT/RW 016/003 Wunut, Porong, Sidoarjo</t>
  </si>
  <si>
    <t xml:space="preserve">MOH. FIKRI IQBAL FANANI</t>
  </si>
  <si>
    <t xml:space="preserve">0001671100334</t>
  </si>
  <si>
    <t xml:space="preserve">3522100908930001</t>
  </si>
  <si>
    <t xml:space="preserve">Gunungsari RT/RW 013/003 Gunungsari, Baureno, Bojonegoro</t>
  </si>
  <si>
    <t xml:space="preserve">MOHAMAD KHARISMA QUROHMAN</t>
  </si>
  <si>
    <t xml:space="preserve">0001170792044</t>
  </si>
  <si>
    <t xml:space="preserve">3515082411010005</t>
  </si>
  <si>
    <t xml:space="preserve">Cemengkalang RT/RW 003/001 Cemengkalang, Sidoarjo, Sidoarjo</t>
  </si>
  <si>
    <t xml:space="preserve">MUHAMAD FATKUROCHMAN</t>
  </si>
  <si>
    <t xml:space="preserve">0002157392237</t>
  </si>
  <si>
    <t xml:space="preserve">3578061312980003</t>
  </si>
  <si>
    <t xml:space="preserve">Kembang Kuning Kramat 2/35 RT/RW 014/006 Pakis, Sawahan, Surabaya</t>
  </si>
  <si>
    <t xml:space="preserve">AYU LESTARI</t>
  </si>
  <si>
    <t xml:space="preserve">0003048738895</t>
  </si>
  <si>
    <t xml:space="preserve">3515035811980001</t>
  </si>
  <si>
    <t xml:space="preserve">Dusun Bibis RT/RW 015/004 Keret, Krembung, Sidoarjo</t>
  </si>
  <si>
    <t xml:space="preserve">SITI MUTMAINAH</t>
  </si>
  <si>
    <t xml:space="preserve">0003124591053</t>
  </si>
  <si>
    <t xml:space="preserve">3524226006980002</t>
  </si>
  <si>
    <t xml:space="preserve">AYU PUTRI LESTARI</t>
  </si>
  <si>
    <t xml:space="preserve">0001161482714</t>
  </si>
  <si>
    <t xml:space="preserve">3515146508980006</t>
  </si>
  <si>
    <t xml:space="preserve">Peterongan, RT/RW 014/005, Masangan Kulon, Sukodono, Sidoarjo</t>
  </si>
  <si>
    <t xml:space="preserve">BAKHTIAR ILHAM FADLI</t>
  </si>
  <si>
    <t xml:space="preserve">0000720840791</t>
  </si>
  <si>
    <t xml:space="preserve">3515092110960001</t>
  </si>
  <si>
    <t xml:space="preserve">Jiken, RT/RW 005/003, Jiken, Tulangan, Sidoarjo</t>
  </si>
  <si>
    <t xml:space="preserve">BAYU ROBBY PRASTYO</t>
  </si>
  <si>
    <t xml:space="preserve">0001043387302</t>
  </si>
  <si>
    <t xml:space="preserve">3515090801980001</t>
  </si>
  <si>
    <t xml:space="preserve">Jiken RT/RW 006/003 Jiken, Tulangan, Sidoarjo</t>
  </si>
  <si>
    <t xml:space="preserve">ANUGRAH VIRA ERWINDA</t>
  </si>
  <si>
    <t xml:space="preserve">23040722470</t>
  </si>
  <si>
    <t xml:space="preserve">0000726425594</t>
  </si>
  <si>
    <t xml:space="preserve">3516115407000002</t>
  </si>
  <si>
    <t xml:space="preserve">Dusun Gatul RT/RW 002/022 Banjaragung, Puri, Mojokerto</t>
  </si>
  <si>
    <t xml:space="preserve">MELANI AZZAHRA</t>
  </si>
  <si>
    <t xml:space="preserve">0000744684625</t>
  </si>
  <si>
    <t xml:space="preserve">3521116105970005</t>
  </si>
  <si>
    <t xml:space="preserve">Piji RT/RW 003/004 Begal, Kedunggalar, Ngawi</t>
  </si>
  <si>
    <t xml:space="preserve">ROSINTA JULI PUJI ASTUTIK</t>
  </si>
  <si>
    <t xml:space="preserve">0002809526984</t>
  </si>
  <si>
    <t xml:space="preserve">3518066007000005</t>
  </si>
  <si>
    <t xml:space="preserve">Dusun Ngetrep RT/RW 009/002 Kurungrejo, Prambon, Sidoarjo</t>
  </si>
  <si>
    <t xml:space="preserve">SANDY KHARISMA SYAFITRI</t>
  </si>
  <si>
    <t xml:space="preserve">0001394396651</t>
  </si>
  <si>
    <t xml:space="preserve">3578234512020004</t>
  </si>
  <si>
    <t xml:space="preserve">Pegasangan III-A/10 RT/RW 004/003 Pegasangan, Jambangan, Surabaya</t>
  </si>
  <si>
    <t xml:space="preserve">SITI NUR KHOTIMAH</t>
  </si>
  <si>
    <t xml:space="preserve">0000723202953</t>
  </si>
  <si>
    <t xml:space="preserve">3515126011990002</t>
  </si>
  <si>
    <t xml:space="preserve">Wonokarang RT/RW 011/005 Wonokarang, Balongbendo, Sidoarjo</t>
  </si>
  <si>
    <t xml:space="preserve">BESTIARA GADIS WICAKSANA</t>
  </si>
  <si>
    <t xml:space="preserve">0001817035817</t>
  </si>
  <si>
    <t xml:space="preserve">3515175908010003</t>
  </si>
  <si>
    <t xml:space="preserve">Dsn Wagir RT/14 RW/07 Kwangsan Sedati Sidoarjo</t>
  </si>
  <si>
    <t xml:space="preserve">DANI DWI SETIAWAN</t>
  </si>
  <si>
    <t xml:space="preserve">24055853043</t>
  </si>
  <si>
    <t xml:space="preserve">0001702761715</t>
  </si>
  <si>
    <t xml:space="preserve">3507170912970002</t>
  </si>
  <si>
    <t xml:space="preserve">Jl. Dahlia RT/RW -/- -, -, -</t>
  </si>
  <si>
    <t xml:space="preserve">HADI PAISO</t>
  </si>
  <si>
    <t xml:space="preserve">PT KOBIN KERAMIK INDUSTRI (BM)</t>
  </si>
  <si>
    <t xml:space="preserve">0001702885612</t>
  </si>
  <si>
    <t xml:space="preserve">PKHL - BONGKAR MUAT</t>
  </si>
  <si>
    <t xml:space="preserve">Borongan muat</t>
  </si>
  <si>
    <t xml:space="preserve">3516062310830001</t>
  </si>
  <si>
    <t xml:space="preserve">Dusun Arjosari, RT/RW 007/003, Randuharjo, Pungging, Mojokerto</t>
  </si>
  <si>
    <t xml:space="preserve">JOYO TIRTO UTOMO</t>
  </si>
  <si>
    <t xml:space="preserve">0001151888793</t>
  </si>
  <si>
    <t xml:space="preserve">3516060701720004</t>
  </si>
  <si>
    <t xml:space="preserve">Arjosari, RT/RW 013/004, Randuharjo, Pungging, Mojokerto</t>
  </si>
  <si>
    <t xml:space="preserve">KUSNO</t>
  </si>
  <si>
    <t xml:space="preserve">0001240582331</t>
  </si>
  <si>
    <t xml:space="preserve">3516082305760001</t>
  </si>
  <si>
    <t xml:space="preserve">Sidotopo, RT/RW 015/006, Menanggal, Mojosari, Mojokerto</t>
  </si>
  <si>
    <t xml:space="preserve">M. SUPII</t>
  </si>
  <si>
    <t xml:space="preserve">0001702314843</t>
  </si>
  <si>
    <t xml:space="preserve">3516060203740005</t>
  </si>
  <si>
    <t xml:space="preserve">Dsn. Arjosari, RT/RW 003/004, Randuharjo, Pungging, Mojokerto</t>
  </si>
  <si>
    <t xml:space="preserve">MAT RUKAN</t>
  </si>
  <si>
    <t xml:space="preserve">0001147579828</t>
  </si>
  <si>
    <t xml:space="preserve">3516051207700003</t>
  </si>
  <si>
    <t xml:space="preserve">Sirno, RT/RW 001/005, Purwojati, Ngoro, Mojokerto</t>
  </si>
  <si>
    <t xml:space="preserve">MOKHAMAD NURHASAN</t>
  </si>
  <si>
    <t xml:space="preserve">0001300929726</t>
  </si>
  <si>
    <t xml:space="preserve">3515031309780002</t>
  </si>
  <si>
    <t xml:space="preserve">Jl.Kuncoro, RT/RW 005/002, Klurak, Candi, Sidoarjo</t>
  </si>
  <si>
    <t xml:space="preserve">TANI SUWITO</t>
  </si>
  <si>
    <t xml:space="preserve">0000724049188</t>
  </si>
  <si>
    <t xml:space="preserve">3516042608910002</t>
  </si>
  <si>
    <t xml:space="preserve">Dsn. Balekambang, RT/RW 001/001, Seloliman, Trawas, Mojokerto</t>
  </si>
  <si>
    <t xml:space="preserve">UTOMO</t>
  </si>
  <si>
    <t xml:space="preserve">0001151938833</t>
  </si>
  <si>
    <t xml:space="preserve">3516042405870003</t>
  </si>
  <si>
    <t xml:space="preserve">WAHAB</t>
  </si>
  <si>
    <t xml:space="preserve">0001151938855</t>
  </si>
  <si>
    <t xml:space="preserve">3516050309690003</t>
  </si>
  <si>
    <t xml:space="preserve">Sirno, RT/RW 003/003, Purwojati, Ngoro, Mojokerto</t>
  </si>
  <si>
    <t xml:space="preserve">DARTO WIYONO</t>
  </si>
  <si>
    <t xml:space="preserve">PT KOBIN KERAMIK INDUSTRI (OFFICE)</t>
  </si>
  <si>
    <t xml:space="preserve">0001130399717</t>
  </si>
  <si>
    <t xml:space="preserve">PKHL - PROYEK</t>
  </si>
  <si>
    <t xml:space="preserve">Project Management</t>
  </si>
  <si>
    <t xml:space="preserve">3516050409790001</t>
  </si>
  <si>
    <t xml:space="preserve">Jedong Kulon, RT/RW 005/001, Wotanmasjedong, Ngoro, Mojokerto</t>
  </si>
  <si>
    <t xml:space="preserve">WAHYU HABIB ALWI</t>
  </si>
  <si>
    <t xml:space="preserve">0002681482959</t>
  </si>
  <si>
    <t xml:space="preserve">3516050909990004</t>
  </si>
  <si>
    <t xml:space="preserve">Dsn. Jedong Kulon, RT/RW 006/001, Wotanmasjedong, Ngoro, Mojokerto</t>
  </si>
  <si>
    <t xml:space="preserve">HANANTO</t>
  </si>
  <si>
    <t xml:space="preserve">25020561748</t>
  </si>
  <si>
    <t xml:space="preserve">0001702314876</t>
  </si>
  <si>
    <t xml:space="preserve">PKWT - K2</t>
  </si>
  <si>
    <t xml:space="preserve">3516111610860001</t>
  </si>
  <si>
    <t xml:space="preserve">Kedungklotok, RT/RW 002/001, Plososari, Puri, Mojokerto</t>
  </si>
  <si>
    <t xml:space="preserve">SUROSO</t>
  </si>
  <si>
    <t xml:space="preserve">23038014126</t>
  </si>
  <si>
    <t xml:space="preserve">0001043751442</t>
  </si>
  <si>
    <t xml:space="preserve">BORONGAN</t>
  </si>
  <si>
    <t xml:space="preserve">3516110810730002</t>
  </si>
  <si>
    <t xml:space="preserve">Sumber Gayam, RT/RW 002/009, Sumengko, Mojoanyar, Mojokerto</t>
  </si>
  <si>
    <t xml:space="preserve">ADE SARI EKANINGSIH</t>
  </si>
  <si>
    <t xml:space="preserve">0000210706503</t>
  </si>
  <si>
    <t xml:space="preserve">Makassar</t>
  </si>
  <si>
    <t xml:space="preserve">BA Promotor</t>
  </si>
  <si>
    <t xml:space="preserve">7305045803960001</t>
  </si>
  <si>
    <t xml:space="preserve">Ujung Pandang</t>
  </si>
  <si>
    <t xml:space="preserve">Borong Baji, RT/RW 002/001, Malewang, Polongbangkeng Utara, Takalar</t>
  </si>
  <si>
    <t xml:space="preserve">ADELIA RIFANY</t>
  </si>
  <si>
    <t xml:space="preserve">0002492467582</t>
  </si>
  <si>
    <t xml:space="preserve">Medan</t>
  </si>
  <si>
    <t xml:space="preserve">1207236205050003</t>
  </si>
  <si>
    <t xml:space="preserve">Jl. Gaperta Blok B No. 13, RT/RW 000/000, Tanjung Gusta, Medan Helvetia, Medan</t>
  </si>
  <si>
    <t xml:space="preserve">IFHON ANDRIANI</t>
  </si>
  <si>
    <t xml:space="preserve">29006044319</t>
  </si>
  <si>
    <t xml:space="preserve">0003075631378</t>
  </si>
  <si>
    <t xml:space="preserve">Kendari</t>
  </si>
  <si>
    <t xml:space="preserve">7471014802940001</t>
  </si>
  <si>
    <t xml:space="preserve">Jl. Nanga-Nanga, Baruga, Baruga, Kendari</t>
  </si>
  <si>
    <t xml:space="preserve">ADELLA IMELDA MARVITA</t>
  </si>
  <si>
    <t xml:space="preserve">Solo</t>
  </si>
  <si>
    <t xml:space="preserve">3372035101050001</t>
  </si>
  <si>
    <t xml:space="preserve">Gabudan, RT/RW 003/008, Joyosuran, Pasar Kliwon, Surakarta</t>
  </si>
  <si>
    <t xml:space="preserve">ADILA FABIYOLA</t>
  </si>
  <si>
    <t xml:space="preserve">Duri / Bengkalis</t>
  </si>
  <si>
    <t xml:space="preserve">1403095302040001</t>
  </si>
  <si>
    <t xml:space="preserve">Duri</t>
  </si>
  <si>
    <t xml:space="preserve">Jl. Pipa Air Bersih GG. M.Yudo, RT/RW 001/005, Simpang Padang, Bathin Solapan, Bengkalis</t>
  </si>
  <si>
    <t xml:space="preserve">ADILLA</t>
  </si>
  <si>
    <t xml:space="preserve">20055778487</t>
  </si>
  <si>
    <t xml:space="preserve">Pekanbaru</t>
  </si>
  <si>
    <t xml:space="preserve">SPG</t>
  </si>
  <si>
    <t xml:space="preserve">1471094109020022</t>
  </si>
  <si>
    <t xml:space="preserve">Jl. Tutwurino No. 14, RT/RW 002/007, Sidomulyo Timur, Marpoyan Damai, Kota Pekanbaru</t>
  </si>
  <si>
    <t xml:space="preserve">KEMBALI ONLINE</t>
  </si>
  <si>
    <t xml:space="preserve">MANDA WULANDARI</t>
  </si>
  <si>
    <t xml:space="preserve">0001860823787</t>
  </si>
  <si>
    <t xml:space="preserve">Palembang</t>
  </si>
  <si>
    <t xml:space="preserve">1607064901930002</t>
  </si>
  <si>
    <t xml:space="preserve">Sungai Kedukan</t>
  </si>
  <si>
    <t xml:space="preserve">Jl. Kapt Robani Kadir No. 9 RT/RW 009/003, Sungai Kedukan, Rambutan, Banyuasin</t>
  </si>
  <si>
    <t xml:space="preserve">NUR ZANAH LUBIS</t>
  </si>
  <si>
    <t xml:space="preserve">0001285711356</t>
  </si>
  <si>
    <t xml:space="preserve">1271156005970001</t>
  </si>
  <si>
    <t xml:space="preserve">Jl. Sejati Gg. Imam No. 5, Sarirejo, Medan Polonia, Medan</t>
  </si>
  <si>
    <t xml:space="preserve">AFRIEYANA BUDI UTAMI</t>
  </si>
  <si>
    <t xml:space="preserve">0001138923393</t>
  </si>
  <si>
    <t xml:space="preserve">3372056404800009</t>
  </si>
  <si>
    <t xml:space="preserve">Tegalmulyo, RT/RW 002/004, Nusukan, Banjarsari, Surakarta</t>
  </si>
  <si>
    <t xml:space="preserve">Cerai Mati</t>
  </si>
  <si>
    <t xml:space="preserve">AGIL MAMDU</t>
  </si>
  <si>
    <t xml:space="preserve">22082997968</t>
  </si>
  <si>
    <t xml:space="preserve">BA PROMOTOR</t>
  </si>
  <si>
    <t xml:space="preserve">7371070401040008</t>
  </si>
  <si>
    <t xml:space="preserve">Jl. Muh Jufri LR.3 No.11, RT/RW 005/004, Rappojawa, Tallo, Kota Makassar</t>
  </si>
  <si>
    <t xml:space="preserve">RIKA MARIANA</t>
  </si>
  <si>
    <t xml:space="preserve">28029657249</t>
  </si>
  <si>
    <t xml:space="preserve">0002934606947</t>
  </si>
  <si>
    <t xml:space="preserve">3310235603990001</t>
  </si>
  <si>
    <t xml:space="preserve">Gedangan RT/RW 001/009, Gemblegan, Kalikotes, Klaten</t>
  </si>
  <si>
    <t xml:space="preserve">AGUSTIAR KRISTYANDARI</t>
  </si>
  <si>
    <t xml:space="preserve">Purwokerto</t>
  </si>
  <si>
    <t xml:space="preserve">3302255108910001</t>
  </si>
  <si>
    <t xml:space="preserve">Banyumas</t>
  </si>
  <si>
    <t xml:space="preserve">Pasir Kidul, RT/RW 003/004, Pasir Kidul, Purwokerto Barat, Banyumas</t>
  </si>
  <si>
    <t xml:space="preserve">6282226121609</t>
  </si>
  <si>
    <t xml:space="preserve">AJENG WANDIRA</t>
  </si>
  <si>
    <t xml:space="preserve">28045783174</t>
  </si>
  <si>
    <t xml:space="preserve">Binjai</t>
  </si>
  <si>
    <t xml:space="preserve">1271095904040005</t>
  </si>
  <si>
    <t xml:space="preserve">Jl. Danau Singkang, RT/RW 000/000, Tunggurono, Binjai Timur, Kota Binjai</t>
  </si>
  <si>
    <t xml:space="preserve">DRAFTED ONLINE</t>
  </si>
  <si>
    <t xml:space="preserve">AL MAGFIRA</t>
  </si>
  <si>
    <t xml:space="preserve">25064240082</t>
  </si>
  <si>
    <t xml:space="preserve">Palu</t>
  </si>
  <si>
    <t xml:space="preserve">7204084907020002</t>
  </si>
  <si>
    <t xml:space="preserve">Tolitoli</t>
  </si>
  <si>
    <t xml:space="preserve">RT/RW 000/000, Lantapan, Galang, Kab. Tolitoli</t>
  </si>
  <si>
    <t xml:space="preserve">BIMA ARSETYA PRAMUDITA</t>
  </si>
  <si>
    <t xml:space="preserve">0000722228859</t>
  </si>
  <si>
    <t xml:space="preserve">3515141012030002</t>
  </si>
  <si>
    <t xml:space="preserve">Yogyakarta</t>
  </si>
  <si>
    <t xml:space="preserve">Jl. Suko Legok 1, RT/RW 011/004, Suko, Sukodono, Sidoarjo</t>
  </si>
  <si>
    <t xml:space="preserve">BUNGA NAILA PUTRI</t>
  </si>
  <si>
    <t xml:space="preserve">22008682889</t>
  </si>
  <si>
    <t xml:space="preserve">3576015101080002</t>
  </si>
  <si>
    <t xml:space="preserve">Panggreman Lapangan 33B Rt/Rw : 005/003 Kel Kranggan Kec Kranggan</t>
  </si>
  <si>
    <t xml:space="preserve">CICI RAMADANI</t>
  </si>
  <si>
    <t xml:space="preserve">25047807740</t>
  </si>
  <si>
    <t xml:space="preserve">3519115810040001</t>
  </si>
  <si>
    <t xml:space="preserve">Dsn Tempuran, RT/RW 019/004, Kaliabu, Mejayan, Kab. Madiun</t>
  </si>
  <si>
    <t xml:space="preserve">FENNY LUSIANA NICOLAUS</t>
  </si>
  <si>
    <t xml:space="preserve">0000733063871</t>
  </si>
  <si>
    <t xml:space="preserve">3518064801990002</t>
  </si>
  <si>
    <t xml:space="preserve">Dusun Lumpang Renteng RT/RW 005/001 Kurungrejo, Prambon, Nganjuk</t>
  </si>
  <si>
    <t xml:space="preserve">SEPTA NITA TRINANDA</t>
  </si>
  <si>
    <t xml:space="preserve">20093100251</t>
  </si>
  <si>
    <t xml:space="preserve">0000721946204</t>
  </si>
  <si>
    <t xml:space="preserve">3515076109990004</t>
  </si>
  <si>
    <t xml:space="preserve">Jl. Cendrawasih 98G RT/RW 005/002 Larangan, Candi, Sidoarjo</t>
  </si>
  <si>
    <t xml:space="preserve">TETI RAMADHANI</t>
  </si>
  <si>
    <t xml:space="preserve">0002745302411</t>
  </si>
  <si>
    <t xml:space="preserve">3515144401990003</t>
  </si>
  <si>
    <t xml:space="preserve">Bluru Kidul RT/RW 001/003 Bluru Kidul, Sidoarjo, Sidoarjo</t>
  </si>
  <si>
    <t xml:space="preserve">ANDITA FITRIA RAHMAWATI</t>
  </si>
  <si>
    <t xml:space="preserve">26078008374</t>
  </si>
  <si>
    <t xml:space="preserve">0000721612642</t>
  </si>
  <si>
    <t xml:space="preserve">3515107011030002</t>
  </si>
  <si>
    <t xml:space="preserve">Pagerngumbuk RT/RW 003/002 Pagerngumbuk, Wonoayu, Sidoarjo</t>
  </si>
  <si>
    <t xml:space="preserve">DAYON AURA FALAH</t>
  </si>
  <si>
    <t xml:space="preserve">0003005725904</t>
  </si>
  <si>
    <t xml:space="preserve">3515131909040007</t>
  </si>
  <si>
    <t xml:space="preserve">Jl Sawunggaling Iii, RT/RW 021/004, Jemundo, Taman, Sidoarjo</t>
  </si>
  <si>
    <t xml:space="preserve">AFRIDA DWI ARIANI</t>
  </si>
  <si>
    <t xml:space="preserve">HAMIL</t>
  </si>
  <si>
    <t xml:space="preserve">0002735495302</t>
  </si>
  <si>
    <t xml:space="preserve">3515156904990001</t>
  </si>
  <si>
    <t xml:space="preserve">Dukuh Tengah RT/RW 004/003 Dukuh Tengah, Buduran, Sidoarjo</t>
  </si>
  <si>
    <t xml:space="preserve">DEBY KARUNIA</t>
  </si>
  <si>
    <t xml:space="preserve">0001129937804</t>
  </si>
  <si>
    <t xml:space="preserve">3578115007840002</t>
  </si>
  <si>
    <t xml:space="preserve">Wonorejo Asri 12/10RT 002 RW 003 Wonorejo, Rungkut, Surabaya</t>
  </si>
  <si>
    <t xml:space="preserve">LISA INDRA KUSUMA</t>
  </si>
  <si>
    <t xml:space="preserve">0001827436972</t>
  </si>
  <si>
    <t xml:space="preserve">3518095408020001</t>
  </si>
  <si>
    <t xml:space="preserve">Taman RT/RW 016/003 Taman, Taman, Sidoarjo</t>
  </si>
  <si>
    <t xml:space="preserve">DEDI SETIYAWAN</t>
  </si>
  <si>
    <t xml:space="preserve">0002047606749</t>
  </si>
  <si>
    <t xml:space="preserve">3515140909000005</t>
  </si>
  <si>
    <t xml:space="preserve">Dsn. Keben RT/RW 002/001 Cangkringsari, Sukodono, Sidoarjo</t>
  </si>
  <si>
    <t xml:space="preserve">DELA WIDIA SARI</t>
  </si>
  <si>
    <t xml:space="preserve">0002190332441</t>
  </si>
  <si>
    <t xml:space="preserve">3506194607030007</t>
  </si>
  <si>
    <t xml:space="preserve">Dsn. Jlumbang RT/RW 002/001 Jlumbang, Kandangan, Kediri</t>
  </si>
  <si>
    <t xml:space="preserve">ANISA NUR FADILAH</t>
  </si>
  <si>
    <t xml:space="preserve">20071881817</t>
  </si>
  <si>
    <t xml:space="preserve">0000721926099</t>
  </si>
  <si>
    <t xml:space="preserve">3515154806030001</t>
  </si>
  <si>
    <t xml:space="preserve">Jl. Sukorejo RT/RW 004/001 , Buduran, Sidoarjo</t>
  </si>
  <si>
    <t xml:space="preserve">SHINTA DWI HARYANA</t>
  </si>
  <si>
    <t xml:space="preserve">0000758514723</t>
  </si>
  <si>
    <t xml:space="preserve">3524274803000001</t>
  </si>
  <si>
    <t xml:space="preserve">Jln. Jeruk III C Kav. 146 RT/RW 005/008 Wage, Taman, Sidoarjo</t>
  </si>
  <si>
    <t xml:space="preserve">SRI LESTARI</t>
  </si>
  <si>
    <t xml:space="preserve">0002923502523</t>
  </si>
  <si>
    <t xml:space="preserve">3520134607930001</t>
  </si>
  <si>
    <t xml:space="preserve">Jl. Imam Bonjol RT/RW 005/003 Mantren, Karangrejo, Magetan</t>
  </si>
  <si>
    <t xml:space="preserve">ALFIYAH</t>
  </si>
  <si>
    <t xml:space="preserve">0000787236197</t>
  </si>
  <si>
    <t xml:space="preserve">3578074503010002</t>
  </si>
  <si>
    <t xml:space="preserve">Gembong 3/9, RT 003/ RW 004 / Kapasan / SimokeRTo / Surabaya</t>
  </si>
  <si>
    <t xml:space="preserve">DENYS SETIAWAN</t>
  </si>
  <si>
    <t xml:space="preserve">0002893226973</t>
  </si>
  <si>
    <t xml:space="preserve">3506011012980001</t>
  </si>
  <si>
    <t xml:space="preserve">Bongsopotro RT/RW 013/004 Bongsopotro, Saradan, Madiun</t>
  </si>
  <si>
    <t xml:space="preserve">DESY CORNELIA MAWARNI</t>
  </si>
  <si>
    <t xml:space="preserve">0002942938473</t>
  </si>
  <si>
    <t xml:space="preserve">3515136212990001</t>
  </si>
  <si>
    <t xml:space="preserve">Jl. Taruna Gg Masjid RT/RW 003/007 Wage, Taman, Sidoarjo</t>
  </si>
  <si>
    <t xml:space="preserve">DIAN WIJAYANTI</t>
  </si>
  <si>
    <t xml:space="preserve">24014333776</t>
  </si>
  <si>
    <t xml:space="preserve">0003125196898</t>
  </si>
  <si>
    <t xml:space="preserve">9208014708910005</t>
  </si>
  <si>
    <t xml:space="preserve">Adi Jaya</t>
  </si>
  <si>
    <t xml:space="preserve">Jl. Pedesaan Bumsur 1 RT/RW 013/- Kaimana Kota, Kaimana, Kaimana</t>
  </si>
  <si>
    <t xml:space="preserve">EVI NUR KUMALA</t>
  </si>
  <si>
    <t xml:space="preserve">0002736053739</t>
  </si>
  <si>
    <t xml:space="preserve">3515184506980008</t>
  </si>
  <si>
    <t xml:space="preserve">Dusun Tambak Sawah RT/RW 002/001 Tambak Sawah, Waru, Sidoarjo</t>
  </si>
  <si>
    <t xml:space="preserve">EVI RUFDIANTI</t>
  </si>
  <si>
    <t xml:space="preserve">0003107262745</t>
  </si>
  <si>
    <t xml:space="preserve">3509034107010564</t>
  </si>
  <si>
    <t xml:space="preserve">Dusun Karanganom RT/RW 003/007 Karangbayat, Sumberbaru, Jember</t>
  </si>
  <si>
    <t xml:space="preserve">GUSTI RAMADHANI</t>
  </si>
  <si>
    <t xml:space="preserve">0001464877991</t>
  </si>
  <si>
    <t xml:space="preserve">3515132712990007</t>
  </si>
  <si>
    <t xml:space="preserve">Kalijaten RT/RW 011/002 Kalitajen, Taman, Sidoarjo</t>
  </si>
  <si>
    <t xml:space="preserve">LULUK MUNAWAROH</t>
  </si>
  <si>
    <t xml:space="preserve">0001824990467</t>
  </si>
  <si>
    <t xml:space="preserve">3506155612990001</t>
  </si>
  <si>
    <t xml:space="preserve">Dsn. Dawuhan RT/RW 001/004 Dawuhan, Purwoasri, Kediri</t>
  </si>
  <si>
    <t xml:space="preserve">SAMROTUL ILMI</t>
  </si>
  <si>
    <t xml:space="preserve">0001193575858</t>
  </si>
  <si>
    <t xml:space="preserve">3515146711000003</t>
  </si>
  <si>
    <t xml:space="preserve">Dsn. Keling RT/RW 017/006 Jumputrejo, Sukodono, Sidoarjo</t>
  </si>
  <si>
    <t xml:space="preserve">ANGGRAINI DEWI BULAN</t>
  </si>
  <si>
    <t xml:space="preserve">0002161902576</t>
  </si>
  <si>
    <t xml:space="preserve">3517165001010002</t>
  </si>
  <si>
    <t xml:space="preserve">Dsn Colo RT12 RW05 Sumberingin, Kabuh, Jombang</t>
  </si>
  <si>
    <t xml:space="preserve">ALFIAN ARDIANTO</t>
  </si>
  <si>
    <t xml:space="preserve">21074093192</t>
  </si>
  <si>
    <t xml:space="preserve">0002423840826</t>
  </si>
  <si>
    <t xml:space="preserve">3515072406010001</t>
  </si>
  <si>
    <t xml:space="preserve">Sambiroto RT/RW 010/003 Karangtanjung, Candi, Sidoarjo</t>
  </si>
  <si>
    <t xml:space="preserve">SAHRUL GUNAWAN</t>
  </si>
  <si>
    <t xml:space="preserve">0000746495785</t>
  </si>
  <si>
    <t xml:space="preserve">3522071101020002</t>
  </si>
  <si>
    <t xml:space="preserve">Glagahan RT/RW 015/008 Glagahan, Sugihwaras, Bojonegoro</t>
  </si>
  <si>
    <t xml:space="preserve">ADOLF HUAN ALERIO</t>
  </si>
  <si>
    <t xml:space="preserve">25044992070</t>
  </si>
  <si>
    <t xml:space="preserve">0003107464749</t>
  </si>
  <si>
    <t xml:space="preserve">3515180804020001</t>
  </si>
  <si>
    <t xml:space="preserve">Jl. Jatisari Bear 23 RT/RW 002/005 Pepelegi Waru Sidoarjo</t>
  </si>
  <si>
    <t xml:space="preserve">DIANA EKA SEPTIVIANI</t>
  </si>
  <si>
    <t xml:space="preserve">0001170047237</t>
  </si>
  <si>
    <t xml:space="preserve">3515166609020001</t>
  </si>
  <si>
    <t xml:space="preserve">Keboansikep RT/RW 007/002 Keboansikep, Gedangan, Sidoarjo</t>
  </si>
  <si>
    <t xml:space="preserve">LUTFI ARDYANSAH</t>
  </si>
  <si>
    <t xml:space="preserve">0002418186104</t>
  </si>
  <si>
    <t xml:space="preserve">3515151210950002</t>
  </si>
  <si>
    <t xml:space="preserve">Damarsi RT/RW 023/004 Damsarsi, Buduran, Sidoarjo</t>
  </si>
  <si>
    <t xml:space="preserve">MOCH. ZAINUN ABIDIN</t>
  </si>
  <si>
    <t xml:space="preserve">27041374847</t>
  </si>
  <si>
    <t xml:space="preserve">0002155468601</t>
  </si>
  <si>
    <t xml:space="preserve">3578081105980005</t>
  </si>
  <si>
    <t xml:space="preserve">Ngagel Timur RT/RW 011/006 Pucangsewu, Gubeng, Surabaya</t>
  </si>
  <si>
    <t xml:space="preserve">SITI ILMA FARADILAH</t>
  </si>
  <si>
    <t xml:space="preserve">0003124728325</t>
  </si>
  <si>
    <t xml:space="preserve">3515066503020006</t>
  </si>
  <si>
    <t xml:space="preserve">Jl. Makam RT/RW 003/001 Sentul, Tanggulangin, Sidoarjo</t>
  </si>
  <si>
    <t xml:space="preserve">DEVA MUSTIKA SARI</t>
  </si>
  <si>
    <t xml:space="preserve">0000787518764</t>
  </si>
  <si>
    <t xml:space="preserve">3578035301040004</t>
  </si>
  <si>
    <t xml:space="preserve">Medokan Sawah Timur. 2/50-A, RT/RW 007/001, Medokan Ayu, Rungkut, Surabaya</t>
  </si>
  <si>
    <t xml:space="preserve">MOHAMMAD ISMAIL</t>
  </si>
  <si>
    <t xml:space="preserve">0002922160961</t>
  </si>
  <si>
    <t xml:space="preserve">3516060811840002</t>
  </si>
  <si>
    <t xml:space="preserve">Kamotan Kulon RT/RW 026/011 Randuharjo, Pungging, Mojokerto</t>
  </si>
  <si>
    <t xml:space="preserve">ABU THALIB ACHMAD</t>
  </si>
  <si>
    <t xml:space="preserve">0002234647067</t>
  </si>
  <si>
    <t xml:space="preserve">3515080611960001</t>
  </si>
  <si>
    <t xml:space="preserve">Sumput RT/RW 007/003 Sumput, Sidoarjo, Sidoarjo</t>
  </si>
  <si>
    <t xml:space="preserve">ALI SAPUTRA</t>
  </si>
  <si>
    <t xml:space="preserve">26049308536</t>
  </si>
  <si>
    <t xml:space="preserve">Banjarmasin</t>
  </si>
  <si>
    <t xml:space="preserve">6310021310070001</t>
  </si>
  <si>
    <t xml:space="preserve">Pagatan</t>
  </si>
  <si>
    <t xml:space="preserve">Jl. Kapitan Laut Pulo, RT/RW 004/000, Wiritasi, Kusan Hilir, Kab. Tanah Bumbu</t>
  </si>
  <si>
    <t xml:space="preserve">ARIF FACHRURROZI</t>
  </si>
  <si>
    <t xml:space="preserve">0002927415194</t>
  </si>
  <si>
    <t xml:space="preserve">3515012303830005</t>
  </si>
  <si>
    <t xml:space="preserve">Dsn Kalibener RT/RW 005/001 Mergobener, Tarik, Sidoarjo</t>
  </si>
  <si>
    <t xml:space="preserve">DEVA NOVELIA SORAYA NABILA</t>
  </si>
  <si>
    <t xml:space="preserve">0001702349807</t>
  </si>
  <si>
    <t xml:space="preserve">3515165311030002</t>
  </si>
  <si>
    <t xml:space="preserve">Jl. Raden Wijaya 10, RT/RW 001/004, Sawotratap, Gedangan, Sidoarjo</t>
  </si>
  <si>
    <t xml:space="preserve">DEVANI NURAINI</t>
  </si>
  <si>
    <t xml:space="preserve">3515074506980002</t>
  </si>
  <si>
    <t xml:space="preserve">Jl Bali, RT/RW 013/004, Klurak, Candi, Kab. Sidoarjo</t>
  </si>
  <si>
    <t xml:space="preserve">DEVI NOVITASARI</t>
  </si>
  <si>
    <t xml:space="preserve">0001307724355</t>
  </si>
  <si>
    <t xml:space="preserve">3515186612960005</t>
  </si>
  <si>
    <t xml:space="preserve">Jl. Imam Bonjol No. 31 RT/RW 05/02 Medaeng, Sidoarjo</t>
  </si>
  <si>
    <t xml:space="preserve">RIO KURNIAWAN</t>
  </si>
  <si>
    <t xml:space="preserve">PT SINAR BERLIAN CHEMINDO</t>
  </si>
  <si>
    <t xml:space="preserve">0000761787077</t>
  </si>
  <si>
    <t xml:space="preserve">Produksi H-Jack</t>
  </si>
  <si>
    <t xml:space="preserve">3525150512940003</t>
  </si>
  <si>
    <t xml:space="preserve">Wedoro Anom, RT/RW 003/001, Wedoroanom, Driyorejo, Gresik</t>
  </si>
  <si>
    <t xml:space="preserve">SEPTIAN NIKO ARDYANSAH</t>
  </si>
  <si>
    <t xml:space="preserve">0001879156934</t>
  </si>
  <si>
    <t xml:space="preserve">3506210102960001</t>
  </si>
  <si>
    <t xml:space="preserve">Dsn Maduh RT/RW 012/005 Pakis, Kunjang, Kediri</t>
  </si>
  <si>
    <t xml:space="preserve">MUHAMMAD MAMBA'UL KHOIRI</t>
  </si>
  <si>
    <t xml:space="preserve">0000762365452</t>
  </si>
  <si>
    <t xml:space="preserve">3525112112000002</t>
  </si>
  <si>
    <t xml:space="preserve">Sukorejo RT/RW 001/001 Ngabetan, Cerme, Gresik</t>
  </si>
  <si>
    <t xml:space="preserve">HAQQUR ROID</t>
  </si>
  <si>
    <t xml:space="preserve">0001130020468</t>
  </si>
  <si>
    <t xml:space="preserve">Gudang H-Jack</t>
  </si>
  <si>
    <t xml:space="preserve">3525150508780001</t>
  </si>
  <si>
    <t xml:space="preserve">Bunut, RT/RW 002/006, Randegansari, Driyorejo, Gresik</t>
  </si>
  <si>
    <t xml:space="preserve">TONI SISWANTO</t>
  </si>
  <si>
    <t xml:space="preserve">0001133952388</t>
  </si>
  <si>
    <t xml:space="preserve">QC H-Jack</t>
  </si>
  <si>
    <t xml:space="preserve">3515121702880004</t>
  </si>
  <si>
    <t xml:space="preserve">Melati, RT/RW 014/004, Jeruklegi, Balongbendo, Sidoarjo</t>
  </si>
  <si>
    <t xml:space="preserve">AHMAD ZAZULI</t>
  </si>
  <si>
    <t xml:space="preserve">0001130020391</t>
  </si>
  <si>
    <t xml:space="preserve">3522153107800005</t>
  </si>
  <si>
    <t xml:space="preserve">Dsn Sidomukti, RT/RW 005/002, Kraton, Krian, Sidoarjo</t>
  </si>
  <si>
    <t xml:space="preserve">NOVI HARIANTO</t>
  </si>
  <si>
    <t xml:space="preserve">0001140208918</t>
  </si>
  <si>
    <t xml:space="preserve">3525152007900004</t>
  </si>
  <si>
    <t xml:space="preserve">Dsn Karangasem, RT/RW 002/003, Karangandong, Driyorejo, Gresik</t>
  </si>
  <si>
    <t xml:space="preserve">EKO SUSANTO</t>
  </si>
  <si>
    <t xml:space="preserve">0001140208929</t>
  </si>
  <si>
    <t xml:space="preserve">3515122403890003</t>
  </si>
  <si>
    <t xml:space="preserve">Bakung, RT/RW 006/002, Bakung Temenggungan, Balongbendo, Sidoarjo</t>
  </si>
  <si>
    <t xml:space="preserve">ANTOK TRI HARTANTO</t>
  </si>
  <si>
    <t xml:space="preserve">0001140208964</t>
  </si>
  <si>
    <t xml:space="preserve">3517142706860001</t>
  </si>
  <si>
    <t xml:space="preserve">Dsn. Jatidrenges, RT/RW 002/006, Kedungjati, Kabuh, Jombang</t>
  </si>
  <si>
    <t xml:space="preserve">SUGIANTO</t>
  </si>
  <si>
    <t xml:space="preserve">0001140208975</t>
  </si>
  <si>
    <t xml:space="preserve">3515100511860001</t>
  </si>
  <si>
    <t xml:space="preserve">Duran, RT/RW 004/002, Karangpuri, Wonoayu, Sidoarjo</t>
  </si>
  <si>
    <t xml:space="preserve">SUKARMI</t>
  </si>
  <si>
    <t xml:space="preserve">0001130020571</t>
  </si>
  <si>
    <t xml:space="preserve">QC Wiper</t>
  </si>
  <si>
    <t xml:space="preserve">3515186606840005</t>
  </si>
  <si>
    <t xml:space="preserve">Bungurasih Timur, RT/RW 010/001, Bungurasih, Waru, Sidoarjo</t>
  </si>
  <si>
    <t xml:space="preserve">SULISTIYO</t>
  </si>
  <si>
    <t xml:space="preserve">0001130020593</t>
  </si>
  <si>
    <t xml:space="preserve">3525150803840001</t>
  </si>
  <si>
    <t xml:space="preserve">Wedoroanom, RT/RW 003/001, Wedoroanom, Driyorejo, Gresik</t>
  </si>
  <si>
    <t xml:space="preserve">NUR CHOLIS</t>
  </si>
  <si>
    <t xml:space="preserve">0001279279359</t>
  </si>
  <si>
    <t xml:space="preserve">3515132202880006</t>
  </si>
  <si>
    <t xml:space="preserve">Banjarsari, RT/RW 007/003, Pertapan Maduretno, Taman, Sidoarjo</t>
  </si>
  <si>
    <t xml:space="preserve">EKO PURNA IRAWAN</t>
  </si>
  <si>
    <t xml:space="preserve">0001140208896</t>
  </si>
  <si>
    <t xml:space="preserve">3525151907820003</t>
  </si>
  <si>
    <t xml:space="preserve">Tenaru, RT/RW 007/003, Tenaru, Driyorejo, Gresik</t>
  </si>
  <si>
    <t xml:space="preserve">VIKIANTO</t>
  </si>
  <si>
    <t xml:space="preserve">0001140208931</t>
  </si>
  <si>
    <t xml:space="preserve">3525150704900003</t>
  </si>
  <si>
    <t xml:space="preserve">Dsn. Karangasem, RT/RW 002/003, Karangandong, Driyorejo, Gresik</t>
  </si>
  <si>
    <t xml:space="preserve">ULIL AMRI</t>
  </si>
  <si>
    <t xml:space="preserve">0001140208953</t>
  </si>
  <si>
    <t xml:space="preserve">3515130108870004</t>
  </si>
  <si>
    <t xml:space="preserve">Sambirono Kulon, RT/RW 014/003, Sidodadi, Taman, Sidoarjo</t>
  </si>
  <si>
    <t xml:space="preserve">GAGUK WICAKSONO</t>
  </si>
  <si>
    <t xml:space="preserve">0000722747024</t>
  </si>
  <si>
    <t xml:space="preserve">3515121602930002</t>
  </si>
  <si>
    <t xml:space="preserve">Dusun Bakung, RT/RW 006/002, Bakung Temenggungan, Balongbendo, Sidoarjo</t>
  </si>
  <si>
    <t xml:space="preserve">MOCHAMAD SUYONO</t>
  </si>
  <si>
    <t xml:space="preserve">0001445983288</t>
  </si>
  <si>
    <t xml:space="preserve">3578011512860002</t>
  </si>
  <si>
    <t xml:space="preserve">Warugunung, RT/RW 005/003, Warugunung, Karangpilang, Surabaya</t>
  </si>
  <si>
    <t xml:space="preserve">MUHADI PURNOMO</t>
  </si>
  <si>
    <t xml:space="preserve">0002418245616</t>
  </si>
  <si>
    <t xml:space="preserve">3517123003830005</t>
  </si>
  <si>
    <t xml:space="preserve">Jl. Sarwi, RT/RW 001/002, Carangrejo, Kesamben, Jombang</t>
  </si>
  <si>
    <t xml:space="preserve">SUKO WIYONO</t>
  </si>
  <si>
    <t xml:space="preserve">0001047454233</t>
  </si>
  <si>
    <t xml:space="preserve">Produksi Wiper</t>
  </si>
  <si>
    <t xml:space="preserve">3525151011900005</t>
  </si>
  <si>
    <t xml:space="preserve">Tenaru, RT/RW 005/002, Tenaru, Driyorejo, Gresik</t>
  </si>
  <si>
    <t xml:space="preserve">MOCH. IRWAN HANAFI</t>
  </si>
  <si>
    <t xml:space="preserve">0002292798238</t>
  </si>
  <si>
    <t xml:space="preserve">3529012402850006</t>
  </si>
  <si>
    <t xml:space="preserve">Jl. Brojodanu, RT/RW 002/011, Tanggung, Turen, Malang</t>
  </si>
  <si>
    <t xml:space="preserve">SUPRIYADI</t>
  </si>
  <si>
    <t xml:space="preserve">0000727122868</t>
  </si>
  <si>
    <t xml:space="preserve">3516151104920001</t>
  </si>
  <si>
    <t xml:space="preserve">Ngampel, RT/RW 003/001, Ngampel, Ngusikan, Jombang</t>
  </si>
  <si>
    <t xml:space="preserve">YULIHARTO</t>
  </si>
  <si>
    <t xml:space="preserve">0002088851613</t>
  </si>
  <si>
    <t xml:space="preserve">3516153107820001</t>
  </si>
  <si>
    <t xml:space="preserve">Ambeng Ambeng Watangrejo, RT/RW 007/003, Ambeng Ambeng Watangrejo, Duduksampeyan, Gresik</t>
  </si>
  <si>
    <t xml:space="preserve">FANI ADI ISWANTO</t>
  </si>
  <si>
    <t xml:space="preserve">0002418246595</t>
  </si>
  <si>
    <t xml:space="preserve">3515021705900001</t>
  </si>
  <si>
    <t xml:space="preserve">Bitingrejo, RT/RW 002/003, Bitingrejo, Prambon, Sidoarjo</t>
  </si>
  <si>
    <t xml:space="preserve">CATUR JOKO LAKSONO</t>
  </si>
  <si>
    <t xml:space="preserve">0002418218954</t>
  </si>
  <si>
    <t xml:space="preserve">3519121201920005</t>
  </si>
  <si>
    <t xml:space="preserve">Dusun Jambangan, RT/RW 032/010, Sugihwaras, Saradan, Madiun</t>
  </si>
  <si>
    <t xml:space="preserve">ACHSANUL ALFIANSYAH</t>
  </si>
  <si>
    <t xml:space="preserve">0002519166486</t>
  </si>
  <si>
    <t xml:space="preserve">3517121703930002</t>
  </si>
  <si>
    <t xml:space="preserve">Dsn. Cangkringmalang, RT/RW 001/002, Carangrejo, Kesamben, Jombang</t>
  </si>
  <si>
    <t xml:space="preserve">ARIS HARIYANTO</t>
  </si>
  <si>
    <t xml:space="preserve">0002418245594</t>
  </si>
  <si>
    <t xml:space="preserve">3516153004920001</t>
  </si>
  <si>
    <t xml:space="preserve">Pandankuning, RT/RW 019/010, Pandankrajan, Kemlagi, Mojokerto</t>
  </si>
  <si>
    <t xml:space="preserve">SUNARIYAH</t>
  </si>
  <si>
    <t xml:space="preserve">0002164363007</t>
  </si>
  <si>
    <t xml:space="preserve">3515025902820005</t>
  </si>
  <si>
    <t xml:space="preserve">Watutulis, RT/RW 002/004, Watutulis, Prambon, Sidoarjo</t>
  </si>
  <si>
    <t xml:space="preserve">SUHARTATIK</t>
  </si>
  <si>
    <t xml:space="preserve">0002744180818</t>
  </si>
  <si>
    <t xml:space="preserve">3515015010840005</t>
  </si>
  <si>
    <t xml:space="preserve">Balongmacekan, RT/RW 007/002, Balongmacekan, Tarik, Sidoarjo</t>
  </si>
  <si>
    <t xml:space="preserve">MOHAMMAD RIZKI ABDILLAH</t>
  </si>
  <si>
    <t xml:space="preserve">27071834170</t>
  </si>
  <si>
    <t xml:space="preserve">0000723334342</t>
  </si>
  <si>
    <t xml:space="preserve">Gudang Wiper</t>
  </si>
  <si>
    <t xml:space="preserve">3515132012940005</t>
  </si>
  <si>
    <t xml:space="preserve">Geluran Jl.Mangga, RT/RW 005/002, Geluran, Taman, Sidoarjo</t>
  </si>
  <si>
    <t xml:space="preserve">ALWIDYAN DWI PRASTYO</t>
  </si>
  <si>
    <t xml:space="preserve">0000760380028</t>
  </si>
  <si>
    <t xml:space="preserve">3525151204960001</t>
  </si>
  <si>
    <t xml:space="preserve">Cangkir, RT/RW 002/001, Cangkir, Driyorejo, Gresik</t>
  </si>
  <si>
    <t xml:space="preserve">SRIANAH</t>
  </si>
  <si>
    <t xml:space="preserve">0001133952333</t>
  </si>
  <si>
    <t xml:space="preserve">3525154912810001</t>
  </si>
  <si>
    <t xml:space="preserve">FITRIYA NINGSIH</t>
  </si>
  <si>
    <t xml:space="preserve">0002736132895</t>
  </si>
  <si>
    <t xml:space="preserve">Admin Produksi H-Jack</t>
  </si>
  <si>
    <t xml:space="preserve">3515136002960001</t>
  </si>
  <si>
    <t xml:space="preserve">Trosobo, RT/RW 002/007, Trosobo, Taman, Sidoarjo</t>
  </si>
  <si>
    <t xml:space="preserve">EFFENDI SOERYONO</t>
  </si>
  <si>
    <t xml:space="preserve">PT SINAR BERLIAN CHEMINDO (PU)</t>
  </si>
  <si>
    <t xml:space="preserve">0003111768808</t>
  </si>
  <si>
    <t xml:space="preserve">3578280511810002</t>
  </si>
  <si>
    <t xml:space="preserve">MOCHAMMAD ARIFIN</t>
  </si>
  <si>
    <t xml:space="preserve">24071874633</t>
  </si>
  <si>
    <t xml:space="preserve">0001534823043</t>
  </si>
  <si>
    <t xml:space="preserve">3578241710790001</t>
  </si>
  <si>
    <t xml:space="preserve">Kutisari Utara 2-A.1/2-C, RT/RW 001/002, Kutisari, Tenggilis Mejoyo, Surabaya</t>
  </si>
  <si>
    <t xml:space="preserve">ROBBY ZIDNI RAHMAN</t>
  </si>
  <si>
    <t xml:space="preserve">0000723059458</t>
  </si>
  <si>
    <t xml:space="preserve">3515151306990006</t>
  </si>
  <si>
    <t xml:space="preserve">Wadungasih RT/RW 003/001 Wadungasih, Buduran, Sidoarjo</t>
  </si>
  <si>
    <t xml:space="preserve">MUHAMMAD AFIF SETIAWAN</t>
  </si>
  <si>
    <t xml:space="preserve">0002886628599</t>
  </si>
  <si>
    <t xml:space="preserve">3516161909950002</t>
  </si>
  <si>
    <t xml:space="preserve">Dusun Sumbersari, RT/RW 003/006, Mojojajar, Kemlagi, Mojokerto</t>
  </si>
  <si>
    <t xml:space="preserve">FATKUR ROZIKIN</t>
  </si>
  <si>
    <t xml:space="preserve">0000762245267</t>
  </si>
  <si>
    <t xml:space="preserve">3525112302010001</t>
  </si>
  <si>
    <t xml:space="preserve">Semampir RT/RW 001/001 Semampir, Cerme, Gresik</t>
  </si>
  <si>
    <t xml:space="preserve">MOHAMMAD FIKRI KURNIAWAN</t>
  </si>
  <si>
    <t xml:space="preserve">0001816346529</t>
  </si>
  <si>
    <t xml:space="preserve">3525140811010001</t>
  </si>
  <si>
    <t xml:space="preserve">Perumahan GKGA Blok GA No.14 RT/RW 001/004 Kedanyang, Kebomas, Gresik</t>
  </si>
  <si>
    <t xml:space="preserve">FANDI ANGGRE JONATA</t>
  </si>
  <si>
    <t xml:space="preserve">0003071050042</t>
  </si>
  <si>
    <t xml:space="preserve">3503110803970002</t>
  </si>
  <si>
    <t xml:space="preserve">Masangan Kulon RT/RW 007/003 Masangan Kulon, Sukodono, Sidoarjo</t>
  </si>
  <si>
    <t xml:space="preserve">MARDIANTO PRASETYO PUTRO</t>
  </si>
  <si>
    <t xml:space="preserve">0001851072513</t>
  </si>
  <si>
    <t xml:space="preserve">3576021603910001</t>
  </si>
  <si>
    <t xml:space="preserve">Lingk. Kedungsari, RT/RW 004/002, Gunung Gedangan, Magersari, Mojokerto</t>
  </si>
  <si>
    <t xml:space="preserve">THAIS RACHMAFANDI</t>
  </si>
  <si>
    <t xml:space="preserve">0001449726647</t>
  </si>
  <si>
    <t xml:space="preserve">3525146302970002</t>
  </si>
  <si>
    <t xml:space="preserve">Perum GKGA Cg-23, RT/RW 005/003, Kedanyang, Kebomas, Gresik</t>
  </si>
  <si>
    <t xml:space="preserve">TEGAR ADI SUTANDI</t>
  </si>
  <si>
    <t xml:space="preserve">0003083200468</t>
  </si>
  <si>
    <t xml:space="preserve">3516160410010002</t>
  </si>
  <si>
    <t xml:space="preserve">Kepuh Sawo RT/RW 002/003 Mojorejo, Jetis, Mojokerto</t>
  </si>
  <si>
    <t xml:space="preserve">KHOYRU RIZA AULYA LAROYBAFI</t>
  </si>
  <si>
    <t xml:space="preserve">0001884988304</t>
  </si>
  <si>
    <t xml:space="preserve">3516165202930002</t>
  </si>
  <si>
    <t xml:space="preserve">Pantesrejo RT/RW 002/004 Mojorejo, Jetis, Mojokerto</t>
  </si>
  <si>
    <t xml:space="preserve">AHMAD KHOIRUN NURI</t>
  </si>
  <si>
    <t xml:space="preserve">0003001145962</t>
  </si>
  <si>
    <t xml:space="preserve">3525102303980001</t>
  </si>
  <si>
    <t xml:space="preserve">Pongangan Rejo, RT/RW 002/003, Pongangan, Manyar, Gresik</t>
  </si>
  <si>
    <t xml:space="preserve">LILIS SULISTYO WATI</t>
  </si>
  <si>
    <t xml:space="preserve">0000719873561</t>
  </si>
  <si>
    <t xml:space="preserve">3515026303990002</t>
  </si>
  <si>
    <t xml:space="preserve">Gedangrowo RT/RW 004/002 Gedangrowo, Prambon, Sidoarjo</t>
  </si>
  <si>
    <t xml:space="preserve">HELVY IRAWAN SAPUTRA</t>
  </si>
  <si>
    <t xml:space="preserve">0000758380803</t>
  </si>
  <si>
    <t xml:space="preserve">3524262404000003</t>
  </si>
  <si>
    <t xml:space="preserve">Dalung RT/RW 001/003 Jatirenggo, Glagah, Lamongan</t>
  </si>
  <si>
    <t xml:space="preserve">IMAM RIFA'I</t>
  </si>
  <si>
    <t xml:space="preserve">0001876340946</t>
  </si>
  <si>
    <t xml:space="preserve">3525112208940002</t>
  </si>
  <si>
    <t xml:space="preserve">Wedani RT/RW 003/001 Wedani, Cerme, Gresik</t>
  </si>
  <si>
    <t xml:space="preserve">RENI AGUSTINA SARASWATI</t>
  </si>
  <si>
    <t xml:space="preserve">21091284529</t>
  </si>
  <si>
    <t xml:space="preserve">TAKAFUL</t>
  </si>
  <si>
    <t xml:space="preserve">Office Girl</t>
  </si>
  <si>
    <t xml:space="preserve">3578155008930004</t>
  </si>
  <si>
    <t xml:space="preserve">Perumahan Griya Kencana 3 L No. 36, RT/RW 008/008, Mojosarirejo, Driyorejo, Gresik</t>
  </si>
  <si>
    <t xml:space="preserve">ASLIKAN</t>
  </si>
  <si>
    <t xml:space="preserve">3525161601760005</t>
  </si>
  <si>
    <t xml:space="preserve">Usman Sadar 10/3 RT/RW 006/002, Karang turi, Gresik, Gresik</t>
  </si>
  <si>
    <t xml:space="preserve">PUTRI RISKY ARTINI</t>
  </si>
  <si>
    <t xml:space="preserve">0001537256812</t>
  </si>
  <si>
    <t xml:space="preserve">PM Administration</t>
  </si>
  <si>
    <t xml:space="preserve">3515065104970004</t>
  </si>
  <si>
    <t xml:space="preserve">Perum Graha Mentari I RT/RW 002/013 Tambak Rejo, Waru, Sidoarjo</t>
  </si>
  <si>
    <t xml:space="preserve">ISWANTO</t>
  </si>
  <si>
    <t xml:space="preserve">0000760304294</t>
  </si>
  <si>
    <t xml:space="preserve">3525152708920001</t>
  </si>
  <si>
    <t xml:space="preserve">Tenaru, RT/RW 006/002, Tenaru, Driyorejo, Gresik</t>
  </si>
  <si>
    <t xml:space="preserve">HARYANTO</t>
  </si>
  <si>
    <t xml:space="preserve">0001140208907</t>
  </si>
  <si>
    <t xml:space="preserve">3518082701860004</t>
  </si>
  <si>
    <t xml:space="preserve">Jl. Krajan 14, RT/RW 010/003, Sepande, Candi, Sidojaro</t>
  </si>
  <si>
    <t xml:space="preserve">NUR SHELLA LAILI FEBRIANI</t>
  </si>
  <si>
    <t xml:space="preserve">0000732004648</t>
  </si>
  <si>
    <t xml:space="preserve">3518024702020001</t>
  </si>
  <si>
    <t xml:space="preserve">Sumber Kuncir RT/RW 001/002 Kuncir, Ngetos, Nganjuk</t>
  </si>
  <si>
    <t xml:space="preserve">MUCHAMAD SHOKHIBUL ANSHORI</t>
  </si>
  <si>
    <t xml:space="preserve">0002731104077</t>
  </si>
  <si>
    <t xml:space="preserve">Produksi OVM</t>
  </si>
  <si>
    <t xml:space="preserve">3516151408940005</t>
  </si>
  <si>
    <t xml:space="preserve">Dsn. Sidowangun, RT/RW 001/001, Kedungsari, Kemlagi, Mojokerto</t>
  </si>
  <si>
    <t xml:space="preserve">MUHAMMAD YUSSRON</t>
  </si>
  <si>
    <t xml:space="preserve">0002938965039</t>
  </si>
  <si>
    <t xml:space="preserve">3517113005840004</t>
  </si>
  <si>
    <t xml:space="preserve">Dsn Delik, RT/RW 002/001, Kesamben, Ngoro, Jombang</t>
  </si>
  <si>
    <t xml:space="preserve">DIFKI HUDA SANTOSO</t>
  </si>
  <si>
    <t xml:space="preserve">0001044425046</t>
  </si>
  <si>
    <t xml:space="preserve">3517160206010002</t>
  </si>
  <si>
    <t xml:space="preserve">Dsn Jatidrenges, RT/RW 002/006, Kedungjati, Kabuh, Jombang</t>
  </si>
  <si>
    <t xml:space="preserve">TUTIK FITRIANI</t>
  </si>
  <si>
    <t xml:space="preserve">28041537760</t>
  </si>
  <si>
    <t xml:space="preserve">0001531366863</t>
  </si>
  <si>
    <t xml:space="preserve">3527076712940001</t>
  </si>
  <si>
    <t xml:space="preserve">Jl. Cokrodiningratan JT II/222 RT/RW 016/004 Cokrodiningratan, Jetis, Yogyakarta</t>
  </si>
  <si>
    <t xml:space="preserve">DIDIK KURNIAWAN</t>
  </si>
  <si>
    <t xml:space="preserve">0001543204563</t>
  </si>
  <si>
    <t xml:space="preserve">Mpc Mixing</t>
  </si>
  <si>
    <t xml:space="preserve">3528020103840002</t>
  </si>
  <si>
    <t xml:space="preserve">Pamekasan</t>
  </si>
  <si>
    <t xml:space="preserve">Lebak Jaya Utara 4-A Rawasan No.44 A RT 004 RW 005 Dukuh Setro, Tambak Sari, Surabaya</t>
  </si>
  <si>
    <t xml:space="preserve">ANI FITRIYAH</t>
  </si>
  <si>
    <t xml:space="preserve">22007764265</t>
  </si>
  <si>
    <t xml:space="preserve">0001535041552</t>
  </si>
  <si>
    <t xml:space="preserve">3578165804820004</t>
  </si>
  <si>
    <t xml:space="preserve">Wonokusumo Jaya Pinggir 21 RT/RW 007/007 Pegirian, Semampir, Surabaya</t>
  </si>
  <si>
    <t xml:space="preserve">DIFYA SHOFINATUS AULIA</t>
  </si>
  <si>
    <t xml:space="preserve">28066326634</t>
  </si>
  <si>
    <t xml:space="preserve">3522135804040002</t>
  </si>
  <si>
    <t xml:space="preserve">Rungkut Tengah IV A/7, RT/RW 004/002, Rungkut Tengah, Gunung Anyar, Kota Surabaya</t>
  </si>
  <si>
    <t xml:space="preserve">DIKI DARMAWAN</t>
  </si>
  <si>
    <t xml:space="preserve">0002746126394</t>
  </si>
  <si>
    <t xml:space="preserve">3515032607980002</t>
  </si>
  <si>
    <t xml:space="preserve">Keret RT/RW 003/001 Keret, Krembung, Sidoarjo</t>
  </si>
  <si>
    <t xml:space="preserve">DIMAS RIZKY DAMAY RAMADHAN</t>
  </si>
  <si>
    <t xml:space="preserve">21063894484</t>
  </si>
  <si>
    <t xml:space="preserve">3506191607010001</t>
  </si>
  <si>
    <t xml:space="preserve">Gubeng Jaya 2-KA/2-N, RT/RW 005/002, Gubeng, Gubeng, Kota Surabaya</t>
  </si>
  <si>
    <t xml:space="preserve">DINA ARIFA</t>
  </si>
  <si>
    <t xml:space="preserve">26031224179</t>
  </si>
  <si>
    <t xml:space="preserve">3522136712030004</t>
  </si>
  <si>
    <t xml:space="preserve">Gg Salak I, RT/RW 020/006, Kabunan, Balen, Kab. Bojonegoro</t>
  </si>
  <si>
    <t xml:space="preserve">AISYATUL NUR LAILA</t>
  </si>
  <si>
    <t xml:space="preserve">0001843571114</t>
  </si>
  <si>
    <t xml:space="preserve">3524064209010001</t>
  </si>
  <si>
    <t xml:space="preserve">Jagir Wonokromo 4/4-A RT/RW 005/006 Jagir, Wonokromo, Surabaya</t>
  </si>
  <si>
    <t xml:space="preserve">DITA AYU RAMADHANI</t>
  </si>
  <si>
    <t xml:space="preserve">0001175147616</t>
  </si>
  <si>
    <t xml:space="preserve">3578256112990003</t>
  </si>
  <si>
    <t xml:space="preserve">Gununganyar Tengah V Dalam/9 RT/RW 001/002 Gunung Anyar, Gunung Anyar, Surabaya</t>
  </si>
  <si>
    <t xml:space="preserve">DITHA AYU ANGGRAINI</t>
  </si>
  <si>
    <t xml:space="preserve">0001705697559</t>
  </si>
  <si>
    <t xml:space="preserve">3506244512970001</t>
  </si>
  <si>
    <t xml:space="preserve">Dusun Jagung RT/RW 002/001 Jagung, Pagu, Kediri</t>
  </si>
  <si>
    <t xml:space="preserve">DWI PUTRI WAHYULIANTI HARTININGSIH</t>
  </si>
  <si>
    <t xml:space="preserve">27049735020</t>
  </si>
  <si>
    <t xml:space="preserve">3515185407010001</t>
  </si>
  <si>
    <t xml:space="preserve">Tropodo 1 Gg Merah Delima 225D Rt 017 Rw 002 Tropodo Waru Sidoarjo</t>
  </si>
  <si>
    <t xml:space="preserve">DWI WAHYUNI</t>
  </si>
  <si>
    <t xml:space="preserve">28002144270</t>
  </si>
  <si>
    <t xml:space="preserve">3519015807880001</t>
  </si>
  <si>
    <t xml:space="preserve">Rungkut Tengah I / 31-B, RT/RW 004/004, Rungkut Tengah, Gunung Anyar, Kota Surabaya</t>
  </si>
  <si>
    <t xml:space="preserve">DYAN EKAWATI</t>
  </si>
  <si>
    <t xml:space="preserve">0001859231654</t>
  </si>
  <si>
    <t xml:space="preserve">3518056607960004</t>
  </si>
  <si>
    <t xml:space="preserve">Dsn Cangkringan RT/RW 003/001 Pacewetan, Pace, Nganjuk</t>
  </si>
  <si>
    <t xml:space="preserve">EGY OKTADRIAN SAPUTRA</t>
  </si>
  <si>
    <t xml:space="preserve">26051505561</t>
  </si>
  <si>
    <t xml:space="preserve">3578030810020002</t>
  </si>
  <si>
    <t xml:space="preserve">Rungkut Lor GG 2/29, RT/RW 004/005, Kalirungkut, Rungkut, Kota Surabaya</t>
  </si>
  <si>
    <t xml:space="preserve">EKA NOVIANA PUTRI</t>
  </si>
  <si>
    <t xml:space="preserve">0001309111525</t>
  </si>
  <si>
    <t xml:space="preserve">3516165311960001</t>
  </si>
  <si>
    <t xml:space="preserve">THORIQ ABDUL AZIZ S</t>
  </si>
  <si>
    <t xml:space="preserve">0001535040281</t>
  </si>
  <si>
    <t xml:space="preserve">EHSF Operator</t>
  </si>
  <si>
    <t xml:space="preserve">3578080803960001</t>
  </si>
  <si>
    <t xml:space="preserve">Nginden KC A1/6-A RT/RW 010/003 Baratajaya, Gubeng, Surabaya</t>
  </si>
  <si>
    <t xml:space="preserve">SAIIN</t>
  </si>
  <si>
    <t xml:space="preserve">0001537526081</t>
  </si>
  <si>
    <t xml:space="preserve">Forklift</t>
  </si>
  <si>
    <t xml:space="preserve">3516141207710005</t>
  </si>
  <si>
    <t xml:space="preserve">Dsn. Ngares Kulon, RT/RW 013/005, Ngareskidul, Gedeg, Mojokerto</t>
  </si>
  <si>
    <t xml:space="preserve">LUTFI ANDRIAN</t>
  </si>
  <si>
    <t xml:space="preserve">0001703191206</t>
  </si>
  <si>
    <t xml:space="preserve">Ewg</t>
  </si>
  <si>
    <t xml:space="preserve">3578071804940001</t>
  </si>
  <si>
    <t xml:space="preserve">Peneleh Gang I No. 44, RT/RW 001/004, Peneleh, Genteng, Surabaya</t>
  </si>
  <si>
    <t xml:space="preserve">ENDIK SUWITO</t>
  </si>
  <si>
    <t xml:space="preserve">0001130020389</t>
  </si>
  <si>
    <t xml:space="preserve">Gudang Submat</t>
  </si>
  <si>
    <t xml:space="preserve">3509080806820008</t>
  </si>
  <si>
    <t xml:space="preserve">Jl. Karang Pucang, RT/RW 001/002, Sidorejo, Tuban, Tuban</t>
  </si>
  <si>
    <t xml:space="preserve">JOHAN ALDI PRANATA</t>
  </si>
  <si>
    <t xml:space="preserve">0001037952505</t>
  </si>
  <si>
    <t xml:space="preserve">3506150605010001</t>
  </si>
  <si>
    <t xml:space="preserve">Dusun Tugu RT/RW 004/002 Tugu, Purwoasri, Kediri</t>
  </si>
  <si>
    <t xml:space="preserve">MUHAMAD KOIRUL MUTAKIN</t>
  </si>
  <si>
    <t xml:space="preserve">0000734841156</t>
  </si>
  <si>
    <t xml:space="preserve">3518071701000003</t>
  </si>
  <si>
    <t xml:space="preserve">Dsn. Bandung RT/RW 023/006 Betet, Ngronggot, Nganjuk</t>
  </si>
  <si>
    <t xml:space="preserve">TIKI ARI WAHYU HANDIKA</t>
  </si>
  <si>
    <t xml:space="preserve">0001169843905</t>
  </si>
  <si>
    <t xml:space="preserve">3519126101020003</t>
  </si>
  <si>
    <t xml:space="preserve">Dusun Nampu RT/RW 028/008 Sidorejo, Saradan, Madiun</t>
  </si>
  <si>
    <t xml:space="preserve">ZHA SHAYUSITA</t>
  </si>
  <si>
    <t xml:space="preserve">0003000017788</t>
  </si>
  <si>
    <t xml:space="preserve">3578054304010002</t>
  </si>
  <si>
    <t xml:space="preserve">Kedung Klinter 4/63 RT/RW 004/003 Kedungdoro, Tegalsari, Surabaya</t>
  </si>
  <si>
    <t xml:space="preserve">SITI NUR FARIDA</t>
  </si>
  <si>
    <t xml:space="preserve">0000721957781</t>
  </si>
  <si>
    <t xml:space="preserve">3515166401020003</t>
  </si>
  <si>
    <t xml:space="preserve">Dusun Tengahan RT/RW 004/008 Gedangan, Gedangan, Sidoarjo</t>
  </si>
  <si>
    <t xml:space="preserve">DEWANGGA ADI PRATAMA</t>
  </si>
  <si>
    <t xml:space="preserve">0002142361271</t>
  </si>
  <si>
    <t xml:space="preserve">3514121710980002</t>
  </si>
  <si>
    <t xml:space="preserve">Bandaran, RT/RW 002/014, Gempol, Gempol, Pasuruan</t>
  </si>
  <si>
    <t xml:space="preserve">SITI CHOMARIYAH</t>
  </si>
  <si>
    <t xml:space="preserve">0002762723305</t>
  </si>
  <si>
    <t xml:space="preserve">3578154503910003</t>
  </si>
  <si>
    <t xml:space="preserve">Prapatan RT/RW 010/003 Pagerwojo, Buduran, Sidoarjo</t>
  </si>
  <si>
    <t xml:space="preserve">DEWI AYU LESTARI</t>
  </si>
  <si>
    <t xml:space="preserve">0002929006372</t>
  </si>
  <si>
    <t xml:space="preserve">3506184612920002</t>
  </si>
  <si>
    <t xml:space="preserve">Dsn. Karangdinoyo RT/RW 027/006 Kepung, Kepung, Kediri</t>
  </si>
  <si>
    <t xml:space="preserve">DIAH AYU PURWANINGSIH</t>
  </si>
  <si>
    <t xml:space="preserve">0001162309059</t>
  </si>
  <si>
    <t xml:space="preserve">3515155006020002</t>
  </si>
  <si>
    <t xml:space="preserve">Sidopurno RT/RW 018/004 Sidokepung, Buduran, Sidoarjo</t>
  </si>
  <si>
    <t xml:space="preserve">SUTRISNO</t>
  </si>
  <si>
    <t xml:space="preserve">0000761446102</t>
  </si>
  <si>
    <t xml:space="preserve">PKWT - C</t>
  </si>
  <si>
    <t xml:space="preserve">3525151707800002</t>
  </si>
  <si>
    <t xml:space="preserve">Mulung RT/RW 005/003 Mulung, Driyorejo, Gresik</t>
  </si>
  <si>
    <t xml:space="preserve">YOYOK SLAMET SISWANTO</t>
  </si>
  <si>
    <t xml:space="preserve">0002615802546</t>
  </si>
  <si>
    <t xml:space="preserve">3515112110740006</t>
  </si>
  <si>
    <t xml:space="preserve">Dusun Sidorame RT/RW 011/003 Sidorejo, Krian, Sidoarjo</t>
  </si>
  <si>
    <t xml:space="preserve">0001544054242</t>
  </si>
  <si>
    <t xml:space="preserve">3578182511910002</t>
  </si>
  <si>
    <t xml:space="preserve">Dsn Rejosari RT/RW 008/004 Petiken, Driyorejo, Gresik</t>
  </si>
  <si>
    <t xml:space="preserve">JUNARI</t>
  </si>
  <si>
    <t xml:space="preserve">0002619826571</t>
  </si>
  <si>
    <t xml:space="preserve">3515111010700005</t>
  </si>
  <si>
    <t xml:space="preserve">Dsn Ngagrok RT/RW 001/005 Tempel, Krian, Sidoarjo</t>
  </si>
  <si>
    <t xml:space="preserve">AHMAD MAHRUS ALI</t>
  </si>
  <si>
    <t xml:space="preserve">0001727461124</t>
  </si>
  <si>
    <t xml:space="preserve">3525150710920001</t>
  </si>
  <si>
    <t xml:space="preserve">Bunut Randegansari RT/RW 001/007 Randegansari, Driyorejo, Gresik</t>
  </si>
  <si>
    <t xml:space="preserve">MASKURI</t>
  </si>
  <si>
    <t xml:space="preserve">0000760338347</t>
  </si>
  <si>
    <t xml:space="preserve">3525151601910003</t>
  </si>
  <si>
    <t xml:space="preserve">Tenaru RT/RW 001/001 Tenaru, Driyorejo, Gresik</t>
  </si>
  <si>
    <t xml:space="preserve">MOH EDY SUPRAYITNO</t>
  </si>
  <si>
    <t xml:space="preserve">0000727334144</t>
  </si>
  <si>
    <t xml:space="preserve">3517181505870005</t>
  </si>
  <si>
    <t xml:space="preserve">Dsn. Pucanganom RT/RW 003/006 Pucangsimo, Bandarkedungmulyo, Jombang</t>
  </si>
  <si>
    <t xml:space="preserve">MUGI TRISNO</t>
  </si>
  <si>
    <t xml:space="preserve">0003000815548</t>
  </si>
  <si>
    <t xml:space="preserve">3518151801900001</t>
  </si>
  <si>
    <t xml:space="preserve">Jl. Mayjen Soepeno RT/RW 002/004 Sengkut, Berbek, Nganjuk</t>
  </si>
  <si>
    <t xml:space="preserve">AHMAD MA'RUF HIDAYATULLOH</t>
  </si>
  <si>
    <t xml:space="preserve">0003521014569</t>
  </si>
  <si>
    <t xml:space="preserve">3516161406960002</t>
  </si>
  <si>
    <t xml:space="preserve">Dusun Gedangan RT/RW 001/004 Jolotundo, Jetis, Mojokerto</t>
  </si>
  <si>
    <t xml:space="preserve">HENDRA WIDIANTO</t>
  </si>
  <si>
    <t xml:space="preserve">0001720507285</t>
  </si>
  <si>
    <t xml:space="preserve">3516161405990001</t>
  </si>
  <si>
    <t xml:space="preserve">Dusun Talunongko RT/RW 005/006 Jolotundo, Jetis, Mojokerto</t>
  </si>
  <si>
    <t xml:space="preserve">CECEP SEBIANTO</t>
  </si>
  <si>
    <t xml:space="preserve">0001429605819</t>
  </si>
  <si>
    <t xml:space="preserve">3516163005940003</t>
  </si>
  <si>
    <t xml:space="preserve">Talunongko RT/RW 005/006 Jolotundo, Jetis, Mojokerto</t>
  </si>
  <si>
    <t xml:space="preserve">EKO ZAINURI</t>
  </si>
  <si>
    <t xml:space="preserve">0002047537383</t>
  </si>
  <si>
    <t xml:space="preserve">3515111608790007</t>
  </si>
  <si>
    <t xml:space="preserve">Dsn. Ngagrok RT/RW 002/005 Tempel, Krian, Sidoarjo</t>
  </si>
  <si>
    <t xml:space="preserve">NUR INDAH MUSTIKAH</t>
  </si>
  <si>
    <t xml:space="preserve">0002971209609</t>
  </si>
  <si>
    <t xml:space="preserve">Staff Produksi</t>
  </si>
  <si>
    <t xml:space="preserve">3517214512970001</t>
  </si>
  <si>
    <t xml:space="preserve">Dsn Mernung Lor RT/RW 010/003 Sumbernongko, Ngusikan, Jombang</t>
  </si>
  <si>
    <t xml:space="preserve">ADI KRISTYANTO</t>
  </si>
  <si>
    <t xml:space="preserve">0002614672203</t>
  </si>
  <si>
    <t xml:space="preserve">3515112103840001</t>
  </si>
  <si>
    <t xml:space="preserve">YOGIK RACHMADANI</t>
  </si>
  <si>
    <t xml:space="preserve">PT MEGA MULTI PEGAS (HARIAN LEPAS)</t>
  </si>
  <si>
    <t xml:space="preserve">0000720807546</t>
  </si>
  <si>
    <t xml:space="preserve">PKHL</t>
  </si>
  <si>
    <t xml:space="preserve">Gudang ( Warehouse )</t>
  </si>
  <si>
    <t xml:space="preserve">3515020701980002</t>
  </si>
  <si>
    <t xml:space="preserve">Watutulis Utara RT/RW 002/004 Watutulis, Prambon, Sidoarjo</t>
  </si>
  <si>
    <t xml:space="preserve">HARDIAN ANDIKA</t>
  </si>
  <si>
    <t xml:space="preserve">0000723716739</t>
  </si>
  <si>
    <t xml:space="preserve">Produksi ( Shearing )</t>
  </si>
  <si>
    <t xml:space="preserve">3515132601920003</t>
  </si>
  <si>
    <t xml:space="preserve">Kramat Jegu VV/3 RT/RW 009/007 Kramatjegu, Taman, Sidoarjo</t>
  </si>
  <si>
    <t xml:space="preserve">SANDI SAPUTRO</t>
  </si>
  <si>
    <t xml:space="preserve">0000723716908</t>
  </si>
  <si>
    <t xml:space="preserve">3515130609010005</t>
  </si>
  <si>
    <t xml:space="preserve">MUH AYUHAN</t>
  </si>
  <si>
    <t xml:space="preserve">0000726873682</t>
  </si>
  <si>
    <t xml:space="preserve">3516152305030003</t>
  </si>
  <si>
    <t xml:space="preserve">Gebangsari RT/RW 002/001 Mojopilang, Kemlagi, Mojokerto</t>
  </si>
  <si>
    <t xml:space="preserve">RIZKI PUJI SANTOSO</t>
  </si>
  <si>
    <t xml:space="preserve">0001444924697</t>
  </si>
  <si>
    <t xml:space="preserve">3516152301970004</t>
  </si>
  <si>
    <t xml:space="preserve">Dusun Berat Selatan RT/RW 001/001 Beratkulon, Kemlagi, Mojokerto</t>
  </si>
  <si>
    <t xml:space="preserve">YOLANDA</t>
  </si>
  <si>
    <t xml:space="preserve">0002519460731</t>
  </si>
  <si>
    <t xml:space="preserve">3525066611960002</t>
  </si>
  <si>
    <t xml:space="preserve">Dsn Tanggungan RT/RW 004/002 Wringinanom, Wringinanom, Gresik</t>
  </si>
  <si>
    <t xml:space="preserve">MUHAMMAD ILHAM YAHYA</t>
  </si>
  <si>
    <t xml:space="preserve">0003035307082</t>
  </si>
  <si>
    <t xml:space="preserve">3516152701030001</t>
  </si>
  <si>
    <t xml:space="preserve">ABDILLAH RHEYNALDI ZAKARIA</t>
  </si>
  <si>
    <t xml:space="preserve">0001161991359</t>
  </si>
  <si>
    <t xml:space="preserve">3515120405020001</t>
  </si>
  <si>
    <t xml:space="preserve">Sudimoro RT/RW 001/001 Jeruklegi, Balongbendo, Sidoarjo</t>
  </si>
  <si>
    <t xml:space="preserve">NOVAL KRISDIANSYAH</t>
  </si>
  <si>
    <t xml:space="preserve">0003010369882</t>
  </si>
  <si>
    <t xml:space="preserve">3525131504030004</t>
  </si>
  <si>
    <t xml:space="preserve">Laban Wetan RT/RW 018/006 Laban, Menganti, Gresik</t>
  </si>
  <si>
    <t xml:space="preserve">KITFIRUL AZIS</t>
  </si>
  <si>
    <t xml:space="preserve">0001536504175</t>
  </si>
  <si>
    <t xml:space="preserve">3525151203990001</t>
  </si>
  <si>
    <t xml:space="preserve">Wedoro Anom RT/RW 003/001 Wedoroanom, Driyorejo, Gresik</t>
  </si>
  <si>
    <t xml:space="preserve">PRAYOGI ARI SANDI</t>
  </si>
  <si>
    <t xml:space="preserve">0000786521373</t>
  </si>
  <si>
    <t xml:space="preserve">3578230112010001</t>
  </si>
  <si>
    <t xml:space="preserve">Bibis Karah 1/7 RT/RW 001/007 Karah, Jambangan, Surabaya</t>
  </si>
  <si>
    <t xml:space="preserve">ELIN AGUSTIANI</t>
  </si>
  <si>
    <t xml:space="preserve">23012073564</t>
  </si>
  <si>
    <t xml:space="preserve">3521024908030001</t>
  </si>
  <si>
    <t xml:space="preserve">Cepoko Rt 004 Rw 001 Ngrambe Ngawi</t>
  </si>
  <si>
    <t xml:space="preserve">DIAH PUTRI FITRIYANI</t>
  </si>
  <si>
    <t xml:space="preserve">27057051204</t>
  </si>
  <si>
    <t xml:space="preserve">3525105702960002</t>
  </si>
  <si>
    <t xml:space="preserve">Kemiri Indah Barat KAV.12A No. 14, RT/RW 021/005, Kemiri, Sidoarjo, Kab. Sidoarjo</t>
  </si>
  <si>
    <t xml:space="preserve">MUHAMAD FARHAN</t>
  </si>
  <si>
    <t xml:space="preserve">0001037771109</t>
  </si>
  <si>
    <t xml:space="preserve">3506091612020002</t>
  </si>
  <si>
    <t xml:space="preserve">Dsn Pranggang Timur RT/RW 002/002 Pranggang, Plosoklaten, Kediri</t>
  </si>
  <si>
    <t xml:space="preserve">DIAN SUCI UTAMI</t>
  </si>
  <si>
    <t xml:space="preserve">23004451669</t>
  </si>
  <si>
    <t xml:space="preserve">3515086509060001</t>
  </si>
  <si>
    <t xml:space="preserve">Lemahputra 3/38 Rt/Rw : 22/04 Kel Lemahputro Kec Sidoarjo</t>
  </si>
  <si>
    <t xml:space="preserve">AHMAD ALAN PRAYOGA</t>
  </si>
  <si>
    <t xml:space="preserve">0000759084862</t>
  </si>
  <si>
    <t xml:space="preserve">3524271811020002</t>
  </si>
  <si>
    <t xml:space="preserve">Gempol Tukmloko, RT/RW 001/003, Gempol Tukmloko, Sarirejo, Lamongan</t>
  </si>
  <si>
    <t xml:space="preserve">EDO FITRIYANTO</t>
  </si>
  <si>
    <t xml:space="preserve">0003178875339</t>
  </si>
  <si>
    <t xml:space="preserve">3525131612010003</t>
  </si>
  <si>
    <t xml:space="preserve">Laban RT/RW 017/006 Laban, Menganti, Gresik</t>
  </si>
  <si>
    <t xml:space="preserve">MUHAMMAD SYAIFUL</t>
  </si>
  <si>
    <t xml:space="preserve">0001196822463</t>
  </si>
  <si>
    <t xml:space="preserve">3516062908860002</t>
  </si>
  <si>
    <t xml:space="preserve">Dsn. Kamotan Wetan RT/RW 031/013 Randuharjo, Pungging, Mojokerto</t>
  </si>
  <si>
    <t xml:space="preserve">LUQMAN HAKIM</t>
  </si>
  <si>
    <t xml:space="preserve">0000763440581</t>
  </si>
  <si>
    <t xml:space="preserve">Engineering</t>
  </si>
  <si>
    <t xml:space="preserve">3525100512990003</t>
  </si>
  <si>
    <t xml:space="preserve">Darussalam, RT/RW 004/001, Leran, Manyar, Gresik</t>
  </si>
  <si>
    <t xml:space="preserve">DIANA EKA SAFITRI</t>
  </si>
  <si>
    <t xml:space="preserve">0002765256963</t>
  </si>
  <si>
    <t xml:space="preserve">3515145701950001</t>
  </si>
  <si>
    <t xml:space="preserve">Perum Kahuripan Nirwana Blok Ca 9 No 16 RT 07 RW 07 Sumput, Sidoarjo, Sidoarjo</t>
  </si>
  <si>
    <t xml:space="preserve">M. IFAN MUKHLIS</t>
  </si>
  <si>
    <t xml:space="preserve">0003057543459</t>
  </si>
  <si>
    <t xml:space="preserve">3525142903880002</t>
  </si>
  <si>
    <t xml:space="preserve">Sunan Giri Gg 13-L RT/RW 001/004 Sidomukti, Kebomas, Gresik</t>
  </si>
  <si>
    <t xml:space="preserve">A FADLI SATRIAWAN</t>
  </si>
  <si>
    <t xml:space="preserve">21056404104</t>
  </si>
  <si>
    <t xml:space="preserve">0000760608224</t>
  </si>
  <si>
    <t xml:space="preserve">3525151305020004</t>
  </si>
  <si>
    <t xml:space="preserve">Banjaran RT/RW 002/004 Banjaran, Driyorejo, Gresik</t>
  </si>
  <si>
    <t xml:space="preserve">AGUS SUPRIYANTO</t>
  </si>
  <si>
    <t xml:space="preserve">0001543837421</t>
  </si>
  <si>
    <t xml:space="preserve">3515011402930001</t>
  </si>
  <si>
    <t xml:space="preserve">Dsn Tekik RT/RW 001/001 Kemuning, Tarik, Sidoarjo</t>
  </si>
  <si>
    <t xml:space="preserve">PRAPANCA PAMAKSAN</t>
  </si>
  <si>
    <t xml:space="preserve">22034685356</t>
  </si>
  <si>
    <t xml:space="preserve">0001723460534</t>
  </si>
  <si>
    <t xml:space="preserve">3525152906980001</t>
  </si>
  <si>
    <t xml:space="preserve">Cangkir RT/RW 002/001 Cangkir, Driyorejo, Gresik</t>
  </si>
  <si>
    <t xml:space="preserve">ARI CAHYONO</t>
  </si>
  <si>
    <t xml:space="preserve">20068831067</t>
  </si>
  <si>
    <t xml:space="preserve">0002998692887</t>
  </si>
  <si>
    <t xml:space="preserve">3578310609000001</t>
  </si>
  <si>
    <t xml:space="preserve">Jl. Raya Sambikerep No. 07 RT/RW 010/004 Sambikerep, Sambi Kerep, Surabaya</t>
  </si>
  <si>
    <t xml:space="preserve">MUHAMMAD IRFAN LUTFIANTO</t>
  </si>
  <si>
    <t xml:space="preserve">0002695672304</t>
  </si>
  <si>
    <t xml:space="preserve">3578201306010001</t>
  </si>
  <si>
    <t xml:space="preserve">Babatan RT/RW 004/001 Babatan, Wiyung, Surabaya</t>
  </si>
  <si>
    <t xml:space="preserve">FATHUR ROZI</t>
  </si>
  <si>
    <t xml:space="preserve">0002680805621</t>
  </si>
  <si>
    <t xml:space="preserve">26.900/jam</t>
  </si>
  <si>
    <t xml:space="preserve">3578272607980006</t>
  </si>
  <si>
    <t xml:space="preserve">Simo Pomahan Baru 12-A/11 RT/RW 008/005 Simomulyo Baru, Sukomanunggal, Surabaya</t>
  </si>
  <si>
    <t xml:space="preserve">MOCH. RIZKY SYAIFUDDIN</t>
  </si>
  <si>
    <t xml:space="preserve">0000760817204</t>
  </si>
  <si>
    <t xml:space="preserve">3525061710020001</t>
  </si>
  <si>
    <t xml:space="preserve">Sumbergede RT/RW 003/005 Sumbergede, Wringinanom, Gresik</t>
  </si>
  <si>
    <t xml:space="preserve">MUKHAMAD NUR ALI</t>
  </si>
  <si>
    <t xml:space="preserve">0002436858369</t>
  </si>
  <si>
    <t xml:space="preserve">3516060612980001</t>
  </si>
  <si>
    <t xml:space="preserve">Mojosarirejo RT/RW 035/009 Randuharjo, Pungging, Mojokerto</t>
  </si>
  <si>
    <t xml:space="preserve">R ROMADHON N H</t>
  </si>
  <si>
    <t xml:space="preserve">0003262430564</t>
  </si>
  <si>
    <t xml:space="preserve">3516091802960002</t>
  </si>
  <si>
    <t xml:space="preserve">Sumbersono RT/RW 004/006 Sumbersono, Dlanggu, Mojokerto</t>
  </si>
  <si>
    <t xml:space="preserve">MUHAMMAD REZHA VALAVY</t>
  </si>
  <si>
    <t xml:space="preserve">29024708227</t>
  </si>
  <si>
    <t xml:space="preserve">0000723875398</t>
  </si>
  <si>
    <t xml:space="preserve">3516061604990001</t>
  </si>
  <si>
    <t xml:space="preserve">Dsn. Balongmasin RT/RW 002/002 Balongmasin, Pungging, Mojokerto</t>
  </si>
  <si>
    <t xml:space="preserve">AHMAD SYAIFUL MUSLIM</t>
  </si>
  <si>
    <t xml:space="preserve">0000786635605</t>
  </si>
  <si>
    <t xml:space="preserve">3576021111970003</t>
  </si>
  <si>
    <t xml:space="preserve">Jl. Meri No. 276 RT/RW 002/003 Meri, Kranggan, Mojokerto</t>
  </si>
  <si>
    <t xml:space="preserve">MIFTAHUL SULUR</t>
  </si>
  <si>
    <t xml:space="preserve">0001619683964</t>
  </si>
  <si>
    <t xml:space="preserve">3525072007940002</t>
  </si>
  <si>
    <t xml:space="preserve">Dsn Krajan 01 RT/RW 003/001 Pangkah Wetan, Ujungpangkah, Gresik</t>
  </si>
  <si>
    <t xml:space="preserve">MOCHAMAD YASIN</t>
  </si>
  <si>
    <t xml:space="preserve">26054444634</t>
  </si>
  <si>
    <t xml:space="preserve">0001538290877</t>
  </si>
  <si>
    <t xml:space="preserve">3524250104670004</t>
  </si>
  <si>
    <t xml:space="preserve">TRI NANDA AINUL YAQIN</t>
  </si>
  <si>
    <t xml:space="preserve">27086122138</t>
  </si>
  <si>
    <t xml:space="preserve">0001820473435</t>
  </si>
  <si>
    <t xml:space="preserve">3578170412930003</t>
  </si>
  <si>
    <t xml:space="preserve">Bulak Banteng Kidul 2/4 RT/RW 003/004 Sidotopo Wetan, Kenjeran, Surabaya</t>
  </si>
  <si>
    <t xml:space="preserve">ANWAR SAIFUDIN</t>
  </si>
  <si>
    <t xml:space="preserve">0003264261827</t>
  </si>
  <si>
    <t xml:space="preserve">3525020401930021</t>
  </si>
  <si>
    <t xml:space="preserve">Dusun Wotansari RT/RW 002/001 Wotansari, Balongpanggang, Gresik</t>
  </si>
  <si>
    <t xml:space="preserve">INDAH WAHYUNINGSIH</t>
  </si>
  <si>
    <t xml:space="preserve">27083757628</t>
  </si>
  <si>
    <t xml:space="preserve">0003053253262</t>
  </si>
  <si>
    <t xml:space="preserve">3523174903020001</t>
  </si>
  <si>
    <t xml:space="preserve">Dsn Kedung RT/RW 011/009 Kedungsoko, Plumpang, Tuban</t>
  </si>
  <si>
    <t xml:space="preserve">ELIS SETYOWATI</t>
  </si>
  <si>
    <t xml:space="preserve">26018723460</t>
  </si>
  <si>
    <t xml:space="preserve">3578034201910001</t>
  </si>
  <si>
    <t xml:space="preserve">Rungkut Kidul 2/58, RT/RW 004/002, Rungkut Kidul, Rungkut, Kota Surabaya</t>
  </si>
  <si>
    <t xml:space="preserve">ELLY WIDIARTI</t>
  </si>
  <si>
    <t xml:space="preserve">21036730371</t>
  </si>
  <si>
    <t xml:space="preserve">3505114107720083</t>
  </si>
  <si>
    <t xml:space="preserve">Rungkut Tengala / 16.C, RT/RW 004/004, Rungkut Tengah, Gunung Anyar, Kota Surabaya</t>
  </si>
  <si>
    <t xml:space="preserve">ENDANG MIASARI</t>
  </si>
  <si>
    <t xml:space="preserve">28037645208</t>
  </si>
  <si>
    <t xml:space="preserve">3517184609990003</t>
  </si>
  <si>
    <t xml:space="preserve">Pucang Simo, RT/RW 001/010, Pucangsimo, Bandarkedungmulyo, Kab. Jombang</t>
  </si>
  <si>
    <t xml:space="preserve">ERICA AURELIA PUTRI V</t>
  </si>
  <si>
    <t xml:space="preserve">Qa</t>
  </si>
  <si>
    <t xml:space="preserve">3578037008050002</t>
  </si>
  <si>
    <t xml:space="preserve">Medayu Utara 186 Rt 010 Rw 009 Medokan Ayu Rungkut Surabaya</t>
  </si>
  <si>
    <t xml:space="preserve">ERLINA NOVIA INDAH SARI</t>
  </si>
  <si>
    <t xml:space="preserve">28014743503</t>
  </si>
  <si>
    <t xml:space="preserve">3502044911910001</t>
  </si>
  <si>
    <t xml:space="preserve">Sumurcinde, RT/RW 003/002, Sumurcinde, Soko, Kab. Tuban</t>
  </si>
  <si>
    <t xml:space="preserve">ERNA YUNITA</t>
  </si>
  <si>
    <t xml:space="preserve">3518116002930001</t>
  </si>
  <si>
    <t xml:space="preserve">Rungkut Kidul Gg 4 No 30 Surabaya</t>
  </si>
  <si>
    <t xml:space="preserve">EVIE LUTVIADITA WULANDARI</t>
  </si>
  <si>
    <t xml:space="preserve">0001536710793</t>
  </si>
  <si>
    <t xml:space="preserve">3578256805960001</t>
  </si>
  <si>
    <t xml:space="preserve">Jl. Kyai Satari Gg. Buntu 4-A RT/RW 005/001 Rungkut Menanggal, Gunung Anyar, Surabaya</t>
  </si>
  <si>
    <t xml:space="preserve">MUQLIS WICAKSONO</t>
  </si>
  <si>
    <t xml:space="preserve">0001437540524</t>
  </si>
  <si>
    <t xml:space="preserve">3578030911910004</t>
  </si>
  <si>
    <t xml:space="preserve">Menur 4 No. 22 RT/RW 006/010 Menur Pumpungan, Sukolilo, Surabaya</t>
  </si>
  <si>
    <t xml:space="preserve">MUHAMMAD FERNANDA RIYAN PRATAMA</t>
  </si>
  <si>
    <t xml:space="preserve">0001904258564</t>
  </si>
  <si>
    <t xml:space="preserve">3515110907010003</t>
  </si>
  <si>
    <t xml:space="preserve">Bantengan RT/RW 030/005 Barengkrajan, Krian, Sidoarjo</t>
  </si>
  <si>
    <t xml:space="preserve">ARMANDA DWI MAULANA</t>
  </si>
  <si>
    <t xml:space="preserve">0003260291455</t>
  </si>
  <si>
    <t xml:space="preserve">3525130509010002</t>
  </si>
  <si>
    <t xml:space="preserve">Boteng RT/RW 001/001 Boteng, Menganti, Gresik</t>
  </si>
  <si>
    <t xml:space="preserve">MUHAMMAD ANGGA ADI SAPUTRA</t>
  </si>
  <si>
    <t xml:space="preserve">0000724059303</t>
  </si>
  <si>
    <t xml:space="preserve">3516062912020001</t>
  </si>
  <si>
    <t xml:space="preserve">Dsn Kamotan Wetan RT/RW 032/014 Randuharjo, Pungging, Mojokerto</t>
  </si>
  <si>
    <t xml:space="preserve">MUKHAMMAD NURKHOLIS IMAMI</t>
  </si>
  <si>
    <t xml:space="preserve">23031258153</t>
  </si>
  <si>
    <t xml:space="preserve">0003267494864</t>
  </si>
  <si>
    <t xml:space="preserve">3516062602010003</t>
  </si>
  <si>
    <t xml:space="preserve">WAHYU BAGAS AFANDI</t>
  </si>
  <si>
    <t xml:space="preserve">0001229955827</t>
  </si>
  <si>
    <t xml:space="preserve">3516170208980001</t>
  </si>
  <si>
    <t xml:space="preserve">Gelam RT/RW 009/003 Gelam, Candi, Sidoarjo</t>
  </si>
  <si>
    <t xml:space="preserve">RIO DWI MAULIDIN</t>
  </si>
  <si>
    <t xml:space="preserve">0002455078858</t>
  </si>
  <si>
    <t xml:space="preserve">3525110306010001</t>
  </si>
  <si>
    <t xml:space="preserve">Wedani RT/RW 007/003 Wedani, Cerme, Gresik</t>
  </si>
  <si>
    <t xml:space="preserve">ANGGI DWI WICAKSONO</t>
  </si>
  <si>
    <t xml:space="preserve">0001607767637</t>
  </si>
  <si>
    <t xml:space="preserve">3507251707870005</t>
  </si>
  <si>
    <t xml:space="preserve">Babatan RT/RW 014/003 Ngarjo, Mojoanyar, Mojokerto</t>
  </si>
  <si>
    <t xml:space="preserve">MOCHAMAD RIZAL MUBAROK</t>
  </si>
  <si>
    <t xml:space="preserve">0003075514547</t>
  </si>
  <si>
    <t xml:space="preserve">3516061301010002</t>
  </si>
  <si>
    <t xml:space="preserve">Dsn. Mojosarirejo RT/RW 036/010 Randuharjo, Pungging, Mojokerto</t>
  </si>
  <si>
    <t xml:space="preserve">ANGGI KHUMAIROTUL KHASANAH</t>
  </si>
  <si>
    <t xml:space="preserve">0002472402576</t>
  </si>
  <si>
    <t xml:space="preserve">3516166812010002</t>
  </si>
  <si>
    <t xml:space="preserve">Jeruk Macan RT/RW 014/003 Sawo, Jetis, Mojokerto</t>
  </si>
  <si>
    <t xml:space="preserve">ANAS ZAHIR</t>
  </si>
  <si>
    <t xml:space="preserve">0002248045424</t>
  </si>
  <si>
    <t xml:space="preserve">Batam</t>
  </si>
  <si>
    <t xml:space="preserve">Sales Exclusive</t>
  </si>
  <si>
    <t xml:space="preserve">1603202009880003</t>
  </si>
  <si>
    <t xml:space="preserve">Prambatan</t>
  </si>
  <si>
    <t xml:space="preserve">Jl. Fatmawati Kulan Gang Hj. Umar, RT/RW 007/010, Jerambah Gantung, Gabek, Pangkal Pinang</t>
  </si>
  <si>
    <t xml:space="preserve">DODIK PRASETIAWAN</t>
  </si>
  <si>
    <t xml:space="preserve">0000726833529</t>
  </si>
  <si>
    <t xml:space="preserve">3516161606930001</t>
  </si>
  <si>
    <t xml:space="preserve">Dusun Sawo RT/RW 009/002, Sawo, Jetis, Mojokerto</t>
  </si>
  <si>
    <t xml:space="preserve">MOH. ALDI ZAKARIA BOWTA</t>
  </si>
  <si>
    <t xml:space="preserve">0002999051638</t>
  </si>
  <si>
    <t xml:space="preserve">3578250703010001</t>
  </si>
  <si>
    <t xml:space="preserve">Rungkut Menanggal II / 31 A RT/RW 001/002 Rungkut Menanggal, Gunung Anyar, Surabaya</t>
  </si>
  <si>
    <t xml:space="preserve">SULISWANTO</t>
  </si>
  <si>
    <t xml:space="preserve">0002247019604</t>
  </si>
  <si>
    <t xml:space="preserve">3524012710910001</t>
  </si>
  <si>
    <t xml:space="preserve">Kedungrejo RT/RW 002/001 Kedungrejo, Sukorame, Lamongan</t>
  </si>
  <si>
    <t xml:space="preserve">DIMAS BISMAR PAMUNGKAS</t>
  </si>
  <si>
    <t xml:space="preserve">0001706129335</t>
  </si>
  <si>
    <t xml:space="preserve">3515102903980001</t>
  </si>
  <si>
    <t xml:space="preserve">Ketimang RT/RW 004/001 Ketimang, Wonoayu, Sidoarjo</t>
  </si>
  <si>
    <t xml:space="preserve">AZMI JAFAR</t>
  </si>
  <si>
    <t xml:space="preserve">0001314133593</t>
  </si>
  <si>
    <t xml:space="preserve">Helper</t>
  </si>
  <si>
    <t xml:space="preserve">6472041107820005</t>
  </si>
  <si>
    <t xml:space="preserve">Jl. Otto Iskandardinata Gg. Monalisa No. 23 RT/RW 023/- Sungai Dama, Samarinda Ilir, Samarinda</t>
  </si>
  <si>
    <t xml:space="preserve">AZIZUL FERDIANSYAH</t>
  </si>
  <si>
    <t xml:space="preserve">0002744035086</t>
  </si>
  <si>
    <t xml:space="preserve">3524252010030001</t>
  </si>
  <si>
    <t xml:space="preserve">Pucuk, RT/RW 001/003, Srirande, Deket, Lamongan</t>
  </si>
  <si>
    <t xml:space="preserve">ACHMAD EFENDI</t>
  </si>
  <si>
    <t xml:space="preserve">0001398173793</t>
  </si>
  <si>
    <t xml:space="preserve">3578161703970005</t>
  </si>
  <si>
    <t xml:space="preserve">Wonokusumo Lor 3/37 RT/RW 001/001 Wonokusumo, Semampir, Surabaya</t>
  </si>
  <si>
    <t xml:space="preserve">ARIS WIBOWO SAPUTRO</t>
  </si>
  <si>
    <t xml:space="preserve">25049306668</t>
  </si>
  <si>
    <t xml:space="preserve">0001161960985</t>
  </si>
  <si>
    <t xml:space="preserve">3578093107940004</t>
  </si>
  <si>
    <t xml:space="preserve">Medokan Semampir Blok L/6 RT/RW 006/002 Medokan Semampir, Sukolilo, Surabaya</t>
  </si>
  <si>
    <t xml:space="preserve">KHISBULLAH</t>
  </si>
  <si>
    <t xml:space="preserve">0001538290631</t>
  </si>
  <si>
    <t xml:space="preserve">3525100706670005</t>
  </si>
  <si>
    <t xml:space="preserve">Tebalo RT/RW 004/001 Tebalo, Manyar, Gresik</t>
  </si>
  <si>
    <t xml:space="preserve">SUMIRAN HARIONO</t>
  </si>
  <si>
    <t xml:space="preserve">0001538292925</t>
  </si>
  <si>
    <t xml:space="preserve">3525141005670003</t>
  </si>
  <si>
    <t xml:space="preserve">Segoromadu 1 RT/RW 008/002 Segoromadu, Kebomas, Gresij</t>
  </si>
  <si>
    <t xml:space="preserve">MUHAMMAD FARHAN PRATAMA</t>
  </si>
  <si>
    <t xml:space="preserve">0001969445259</t>
  </si>
  <si>
    <t xml:space="preserve">3516160803030004</t>
  </si>
  <si>
    <t xml:space="preserve">Dsn Mojoroto RT/RW 002/007 Mojorejo, Jetis, Mojokerto</t>
  </si>
  <si>
    <t xml:space="preserve">HENGKY BAYU SETIAWAN</t>
  </si>
  <si>
    <t xml:space="preserve">23064507495</t>
  </si>
  <si>
    <t xml:space="preserve">0002037692439</t>
  </si>
  <si>
    <t xml:space="preserve">3525150709990002</t>
  </si>
  <si>
    <t xml:space="preserve">ERIKWAN WAHYUDI</t>
  </si>
  <si>
    <t xml:space="preserve">22088314366</t>
  </si>
  <si>
    <t xml:space="preserve">0000755362181</t>
  </si>
  <si>
    <t xml:space="preserve">3524043108980001</t>
  </si>
  <si>
    <t xml:space="preserve">Bujel, RT/RW 004/003, Sendangrejo, Ngimbang, Lamongan</t>
  </si>
  <si>
    <t xml:space="preserve">DIDIN SISWANTO</t>
  </si>
  <si>
    <t xml:space="preserve">27064020679</t>
  </si>
  <si>
    <t xml:space="preserve">0003276773469</t>
  </si>
  <si>
    <t xml:space="preserve">3525022405010001</t>
  </si>
  <si>
    <t xml:space="preserve">Dsn. Ngasin, RT/RW 001/002, Ngasin, Balongpanggang, Gresik</t>
  </si>
  <si>
    <t xml:space="preserve">ILHAMUL HUDA</t>
  </si>
  <si>
    <t xml:space="preserve">27001687731</t>
  </si>
  <si>
    <t xml:space="preserve">0000699918827</t>
  </si>
  <si>
    <t xml:space="preserve">3510132708910003</t>
  </si>
  <si>
    <t xml:space="preserve">Simo Gunung Kramat Timur 3/14, RT/RW 006/002, Putat Jawa, Sawahan, Surabaya</t>
  </si>
  <si>
    <t xml:space="preserve">LUTFI EFFENDI</t>
  </si>
  <si>
    <t xml:space="preserve">23022817180</t>
  </si>
  <si>
    <t xml:space="preserve">0000725523017</t>
  </si>
  <si>
    <t xml:space="preserve">3516151112980001</t>
  </si>
  <si>
    <t xml:space="preserve">Dsn. Semampir Lor, RT/RW 001/005, Mojokumpul, Kemlagi, Mojokerto</t>
  </si>
  <si>
    <t xml:space="preserve">MOHAMMAD URIP EFENDI</t>
  </si>
  <si>
    <t xml:space="preserve">20023904248</t>
  </si>
  <si>
    <t xml:space="preserve">0001906732091</t>
  </si>
  <si>
    <t xml:space="preserve">3515031509920001</t>
  </si>
  <si>
    <t xml:space="preserve">Kedungrawan, RT/RW 001/001, Kedungrawan, Krembung, Sidoarjo</t>
  </si>
  <si>
    <t xml:space="preserve">RIDWAN</t>
  </si>
  <si>
    <t xml:space="preserve">0000726564014</t>
  </si>
  <si>
    <t xml:space="preserve">3516172402960001</t>
  </si>
  <si>
    <t xml:space="preserve">Jati Rowo, RT/RW 002/001, Jatirowo, Dawarblandong, Mojokerto</t>
  </si>
  <si>
    <t xml:space="preserve">MOH. RAYYAN ABDILLAH</t>
  </si>
  <si>
    <t xml:space="preserve">26011148936</t>
  </si>
  <si>
    <t xml:space="preserve">0001542743019</t>
  </si>
  <si>
    <t xml:space="preserve">3529011706870009</t>
  </si>
  <si>
    <t xml:space="preserve">Jl. Dr. Cipto Blok J 11 Perum BTN, RT/RW 010/006, Kolor, Kota Sumenep, Sumenep</t>
  </si>
  <si>
    <t xml:space="preserve">MOCHAMAD BAGUS PAMBUDI</t>
  </si>
  <si>
    <t xml:space="preserve">0003143874396</t>
  </si>
  <si>
    <t xml:space="preserve">3525021503030002</t>
  </si>
  <si>
    <t xml:space="preserve">Dusun Ngasin, RT/RW 002/001, Ngasin, Balongpanggang, Gresik</t>
  </si>
  <si>
    <t xml:space="preserve">KURNIAWAN HADI</t>
  </si>
  <si>
    <t xml:space="preserve">24039008474</t>
  </si>
  <si>
    <t xml:space="preserve">0000725570717</t>
  </si>
  <si>
    <t xml:space="preserve">3516150304950002</t>
  </si>
  <si>
    <t xml:space="preserve">Dsn. Sambigede, RT/RW 001/001, Mojokumpul, Kemlagi, Mojokerto</t>
  </si>
  <si>
    <t xml:space="preserve">AMIRUDIN ADI PANANI</t>
  </si>
  <si>
    <t xml:space="preserve">25037838306</t>
  </si>
  <si>
    <t xml:space="preserve">0000729967072</t>
  </si>
  <si>
    <t xml:space="preserve">3517111709960004</t>
  </si>
  <si>
    <t xml:space="preserve">Dsn Sebani, RT/RW 001/001, Sebani, Sumobito, Jombang</t>
  </si>
  <si>
    <t xml:space="preserve">ANGKY PRADANA</t>
  </si>
  <si>
    <t xml:space="preserve">0001845681502</t>
  </si>
  <si>
    <t xml:space="preserve">3517111809910004</t>
  </si>
  <si>
    <t xml:space="preserve">Dsn Sumobito, RT/RW 001/002, Sumobito, Sumobito, Jombang</t>
  </si>
  <si>
    <t xml:space="preserve">ANDRIAN EKA PRAYOGI</t>
  </si>
  <si>
    <t xml:space="preserve">24000376143</t>
  </si>
  <si>
    <t xml:space="preserve">0002077962772</t>
  </si>
  <si>
    <t xml:space="preserve">3516160207940001</t>
  </si>
  <si>
    <t xml:space="preserve">Waru Gunung Lor, RT/RW 002/003, Kupang, Jetis, Mojokerto</t>
  </si>
  <si>
    <t xml:space="preserve">MUZAKA ADHITYATAMA</t>
  </si>
  <si>
    <t xml:space="preserve">26053705656</t>
  </si>
  <si>
    <t xml:space="preserve">0001707245807</t>
  </si>
  <si>
    <t xml:space="preserve">3578151004960003</t>
  </si>
  <si>
    <t xml:space="preserve">Jl. Panca Warna 7 No. 37 KBO, RT/RW 001/009, Petiken, Driyorejo, Gresik</t>
  </si>
  <si>
    <t xml:space="preserve">MUCHAMAD IBRAHIM MUSA</t>
  </si>
  <si>
    <t xml:space="preserve">0002736228778</t>
  </si>
  <si>
    <t xml:space="preserve">3515130305000006</t>
  </si>
  <si>
    <t xml:space="preserve">Banjar Pertapan, RT/RW 005/005, Pertapan Maduretno, Taman, Sidoarjo</t>
  </si>
  <si>
    <t xml:space="preserve">MUHAMAD IVAN SEPTIAWAN</t>
  </si>
  <si>
    <t xml:space="preserve">0001703387305</t>
  </si>
  <si>
    <t xml:space="preserve">3517132609990002</t>
  </si>
  <si>
    <t xml:space="preserve">Jl. Mangga, RT/RW 004/004, Kali Kejambon, Tembelang, Jombang</t>
  </si>
  <si>
    <t xml:space="preserve">ABDUL ROHMAN</t>
  </si>
  <si>
    <t xml:space="preserve">23004813734</t>
  </si>
  <si>
    <t xml:space="preserve">0002457263147</t>
  </si>
  <si>
    <t xml:space="preserve">3516051605950006</t>
  </si>
  <si>
    <t xml:space="preserve">Manduro, RT/RW 013/003, Manduro Mg, Ngoro, Mojokerto</t>
  </si>
  <si>
    <t xml:space="preserve">MUHAMMAD ASYROFI</t>
  </si>
  <si>
    <t xml:space="preserve">0002865973217</t>
  </si>
  <si>
    <t xml:space="preserve">3524033005020001</t>
  </si>
  <si>
    <t xml:space="preserve">Samben, RT/RW 015/007, Jegreg, Modo, Lamongan</t>
  </si>
  <si>
    <t xml:space="preserve">MUHAMAD ABDUL ROKHIM</t>
  </si>
  <si>
    <t xml:space="preserve">0002414568014</t>
  </si>
  <si>
    <t xml:space="preserve">3525040905980003</t>
  </si>
  <si>
    <t xml:space="preserve">Balong Mojo Krajan, RT/RW 001/002, Balongmojo, Benjeng, Gresik</t>
  </si>
  <si>
    <t xml:space="preserve">AZHAR FELAYATI ALMUBARROK</t>
  </si>
  <si>
    <t xml:space="preserve">23037344197</t>
  </si>
  <si>
    <t xml:space="preserve">0001542169708</t>
  </si>
  <si>
    <t xml:space="preserve">3525070812930001</t>
  </si>
  <si>
    <t xml:space="preserve">Dusun Banyulegi, RT/RW 001/005, Banyuurip, Ujungpangkah, Gresik</t>
  </si>
  <si>
    <t xml:space="preserve">EKO WAHYU SETIAWAN</t>
  </si>
  <si>
    <t xml:space="preserve">29023760926</t>
  </si>
  <si>
    <t xml:space="preserve">0002415418209</t>
  </si>
  <si>
    <t xml:space="preserve">3516152603020004</t>
  </si>
  <si>
    <t xml:space="preserve">Gondoruso, RT/RW 003/002, Japanan, Kemlagi, Mojokerto</t>
  </si>
  <si>
    <t xml:space="preserve">HIKAMI HAIKALUL ABAD</t>
  </si>
  <si>
    <t xml:space="preserve">0000762763342</t>
  </si>
  <si>
    <t xml:space="preserve">3525123004010001</t>
  </si>
  <si>
    <t xml:space="preserve">Masangan Timur No. 92, RT/RW 003/002, Masangan, Bungah, Gresik</t>
  </si>
  <si>
    <t xml:space="preserve">ISNA LESTARI RAMADHANI</t>
  </si>
  <si>
    <t xml:space="preserve">0000726433176</t>
  </si>
  <si>
    <t xml:space="preserve">3516155501990001</t>
  </si>
  <si>
    <t xml:space="preserve">Dusun Jatikumpul, RT/RW 002/004, Mojokumpul, Kemlagi, Mojokerto</t>
  </si>
  <si>
    <t xml:space="preserve">BAGUS SETIAWAN</t>
  </si>
  <si>
    <t xml:space="preserve">0002941847199</t>
  </si>
  <si>
    <t xml:space="preserve">3516131906940003</t>
  </si>
  <si>
    <t xml:space="preserve">Modongan, RT/RW 006/005, Modongan, Sooko, Mojokerto</t>
  </si>
  <si>
    <t xml:space="preserve">TONI PRABOWO</t>
  </si>
  <si>
    <t xml:space="preserve">0001702734153</t>
  </si>
  <si>
    <t xml:space="preserve">3519121406950001</t>
  </si>
  <si>
    <t xml:space="preserve">Warugunung, RT/RW 007/001, Warugunung, Karang Pilang, Surabaya</t>
  </si>
  <si>
    <t xml:space="preserve">SEPTIANDI FIRMANZAH</t>
  </si>
  <si>
    <t xml:space="preserve">0002810326847</t>
  </si>
  <si>
    <t xml:space="preserve">3521141109020001</t>
  </si>
  <si>
    <t xml:space="preserve">Pangkur, RT/RW 013/001, Pangkur, Pangkur, Ngawi</t>
  </si>
  <si>
    <t xml:space="preserve">RIZKY PUJI KURNIAWAN</t>
  </si>
  <si>
    <t xml:space="preserve">0000762788867</t>
  </si>
  <si>
    <t xml:space="preserve">3525121005980001</t>
  </si>
  <si>
    <t xml:space="preserve">Jl. RA Kartini 39, RT/RW 010/002, Sukorejo, Bungah, Gresik</t>
  </si>
  <si>
    <t xml:space="preserve">CANDRA ADY WAHYONO</t>
  </si>
  <si>
    <t xml:space="preserve">0002162975995</t>
  </si>
  <si>
    <t xml:space="preserve">3578201910890001</t>
  </si>
  <si>
    <t xml:space="preserve">Babatan IV-F/6, RT/RW 005/001, Babatan, Wiyung, Surabaya</t>
  </si>
  <si>
    <t xml:space="preserve">WARAS</t>
  </si>
  <si>
    <t xml:space="preserve">0001326874511</t>
  </si>
  <si>
    <t xml:space="preserve">3522091502930006</t>
  </si>
  <si>
    <t xml:space="preserve">Bulu, RT/RW 041/007, Sugihwaras, Kepohbaru, Bojonegoro</t>
  </si>
  <si>
    <t xml:space="preserve">FANJI ERVIANTO</t>
  </si>
  <si>
    <t xml:space="preserve">0002453207951</t>
  </si>
  <si>
    <t xml:space="preserve">3515021108930002</t>
  </si>
  <si>
    <t xml:space="preserve">Pungging Krisik, RT/RW 002/010, Balongmasin, Pungging, Mojokerto</t>
  </si>
  <si>
    <t xml:space="preserve">AKHMAD NURIN</t>
  </si>
  <si>
    <t xml:space="preserve">0001538293836</t>
  </si>
  <si>
    <t xml:space="preserve">Laboratorium Kimia</t>
  </si>
  <si>
    <t xml:space="preserve">3506161706640001</t>
  </si>
  <si>
    <t xml:space="preserve">Dsn Sawahan, RT/RW 002/002, Payaman, Plemahan, Kediri</t>
  </si>
  <si>
    <t xml:space="preserve">ERFAN PRASETYO</t>
  </si>
  <si>
    <t xml:space="preserve">0001145324327</t>
  </si>
  <si>
    <t xml:space="preserve">3578232606860001</t>
  </si>
  <si>
    <t xml:space="preserve">Jl. Jambangan No. 45, RT/RW 001/001, Jambangan, Jambangan, Surabaya</t>
  </si>
  <si>
    <t xml:space="preserve">ANDI EKA NASAR</t>
  </si>
  <si>
    <t xml:space="preserve">0001141339779</t>
  </si>
  <si>
    <t xml:space="preserve">Parepare</t>
  </si>
  <si>
    <t xml:space="preserve">7372036907930004</t>
  </si>
  <si>
    <t xml:space="preserve">Pare-pare</t>
  </si>
  <si>
    <t xml:space="preserve">Taeng, RT/RW 004/004, Taeng, Pallangga, Gowa</t>
  </si>
  <si>
    <t xml:space="preserve">MAS'UDI</t>
  </si>
  <si>
    <t xml:space="preserve">0001703761121</t>
  </si>
  <si>
    <t xml:space="preserve">3525120711850002</t>
  </si>
  <si>
    <t xml:space="preserve">Jl. Lestari, RT/RW 005/003, Pegundan, Bungah, Gresik</t>
  </si>
  <si>
    <t xml:space="preserve">WAHYU HERI TRIANTO</t>
  </si>
  <si>
    <t xml:space="preserve">0001807819481</t>
  </si>
  <si>
    <t xml:space="preserve">9109010305030002</t>
  </si>
  <si>
    <t xml:space="preserve">Timika</t>
  </si>
  <si>
    <t xml:space="preserve">Semampir Lor, RT/RW 001/005, Mojokumpul, Kemlagi, Mojokerto</t>
  </si>
  <si>
    <t xml:space="preserve">ANDRIAN DAVID SETYAJI</t>
  </si>
  <si>
    <t xml:space="preserve">0000726779013</t>
  </si>
  <si>
    <t xml:space="preserve">3516162210980001</t>
  </si>
  <si>
    <t xml:space="preserve">Dsn Sawo, RT/RW 003/001, Sawo, Jetis, Mojokerto</t>
  </si>
  <si>
    <t xml:space="preserve">SEPTIAN DIMAS ARDIANSYAH PUTRA</t>
  </si>
  <si>
    <t xml:space="preserve">0000726627756</t>
  </si>
  <si>
    <t xml:space="preserve">3516150909030001</t>
  </si>
  <si>
    <t xml:space="preserve">Dsn Jatikumpul, RT/RW 001/003, Mojokumpul, Kemlagi, Mojokerto</t>
  </si>
  <si>
    <t xml:space="preserve">AHMAD THORIQ ARIF</t>
  </si>
  <si>
    <t xml:space="preserve">0002155573001</t>
  </si>
  <si>
    <t xml:space="preserve">3516161802020001</t>
  </si>
  <si>
    <t xml:space="preserve">ACHMAD ILHAM KHOIRONI</t>
  </si>
  <si>
    <t xml:space="preserve">0000726699396</t>
  </si>
  <si>
    <t xml:space="preserve">3516151606040001</t>
  </si>
  <si>
    <t xml:space="preserve">Dsn. Jatikumpul, RT/RW 002/004, Mojokumpul, Kemlagi, Mojokerto</t>
  </si>
  <si>
    <t xml:space="preserve">UMAR DWI PRIYANTO</t>
  </si>
  <si>
    <t xml:space="preserve">20030926002</t>
  </si>
  <si>
    <t xml:space="preserve">0001132616529</t>
  </si>
  <si>
    <t xml:space="preserve">3516051708860004</t>
  </si>
  <si>
    <t xml:space="preserve">Dusun Ngetrep, RT/RW 002/003, Sedati, Ngoro, Mojokerto</t>
  </si>
  <si>
    <t xml:space="preserve">ANANDA DEWANTARA</t>
  </si>
  <si>
    <t xml:space="preserve">26075112532</t>
  </si>
  <si>
    <t xml:space="preserve">0003556972214</t>
  </si>
  <si>
    <t xml:space="preserve">3516161710990003</t>
  </si>
  <si>
    <t xml:space="preserve">Dsn.Lakardowo, RT/RW 001/001, Lakardowo, Jetis, Mojokerto</t>
  </si>
  <si>
    <t xml:space="preserve">RHANDY KURNIAWAN</t>
  </si>
  <si>
    <t xml:space="preserve">28070465572</t>
  </si>
  <si>
    <t xml:space="preserve">0001278446117</t>
  </si>
  <si>
    <t xml:space="preserve">Leader Assembly</t>
  </si>
  <si>
    <t xml:space="preserve">3578191103950001</t>
  </si>
  <si>
    <t xml:space="preserve">Dsn.Ngebret, RT/RW 002/003, Morowudi, Cerme , Gresik</t>
  </si>
  <si>
    <t xml:space="preserve">YOGIK ERIK RAMADANA</t>
  </si>
  <si>
    <t xml:space="preserve">0001269883034</t>
  </si>
  <si>
    <t xml:space="preserve">3516060201000003</t>
  </si>
  <si>
    <t xml:space="preserve">Tempel, RT/RW 003/004, Kedungmungal, Pungging, Mojokerto</t>
  </si>
  <si>
    <t xml:space="preserve">MUCHAMMAD MAHFUDZ</t>
  </si>
  <si>
    <t xml:space="preserve">0000724473898</t>
  </si>
  <si>
    <t xml:space="preserve">3516061704940003</t>
  </si>
  <si>
    <t xml:space="preserve">Dsn. Randurancang, RT/RW 023/008, Randuharjo, Pungging, Mojokerto</t>
  </si>
  <si>
    <t xml:space="preserve">ANGGI TRI AZZAHRA</t>
  </si>
  <si>
    <t xml:space="preserve">21036502491</t>
  </si>
  <si>
    <t xml:space="preserve">Metro Lampung</t>
  </si>
  <si>
    <t xml:space="preserve">1872045512020002</t>
  </si>
  <si>
    <t xml:space="preserve">Metro</t>
  </si>
  <si>
    <t xml:space="preserve">Jl Pemuda, RT/RW 029/008, Tejo Agung, Metro Timur, Kota Metro</t>
  </si>
  <si>
    <t xml:space="preserve">ANGGIETA NOVIANTI</t>
  </si>
  <si>
    <t xml:space="preserve">0003264986441</t>
  </si>
  <si>
    <t xml:space="preserve">Jambi</t>
  </si>
  <si>
    <t xml:space="preserve">1571025204030061</t>
  </si>
  <si>
    <t xml:space="preserve">Jl Gelatik, Lorong Bersama, RT/RW 016/000, Pasir Putih, Jambi Selatan, Jambi</t>
  </si>
  <si>
    <t xml:space="preserve">MOCHAMMAD AKSYA ABRILIAN NORDANTA</t>
  </si>
  <si>
    <t xml:space="preserve">PT ARTA MEDIA TAMA</t>
  </si>
  <si>
    <t xml:space="preserve">21001415618</t>
  </si>
  <si>
    <t xml:space="preserve">0001458221679</t>
  </si>
  <si>
    <t xml:space="preserve">Teknisi</t>
  </si>
  <si>
    <t xml:space="preserve">3515080905010005</t>
  </si>
  <si>
    <t xml:space="preserve">Jl.Delima 10, RT/RW 016/005, Sekardangan, Sidoarjo, Sidoarjo</t>
  </si>
  <si>
    <t xml:space="preserve">MOHAMAD BISRI AFANDI</t>
  </si>
  <si>
    <t xml:space="preserve">0002317595984</t>
  </si>
  <si>
    <t xml:space="preserve">3516052803010004</t>
  </si>
  <si>
    <t xml:space="preserve">Dsn Manduro , RT/RW 008/002, Manduro Manggunggajah, Ngoro, Mojokerto</t>
  </si>
  <si>
    <t xml:space="preserve">FEBRIANTI WULANDARI</t>
  </si>
  <si>
    <t xml:space="preserve">0002170912623</t>
  </si>
  <si>
    <t xml:space="preserve">7371115502980004</t>
  </si>
  <si>
    <t xml:space="preserve">Balikpapan</t>
  </si>
  <si>
    <t xml:space="preserve">Jl. Selayar Raya Blok M 7A, RT/RW 002/014, Sudiang Raya, Biring Kanaya, Makassar</t>
  </si>
  <si>
    <t xml:space="preserve">ANGGITA DEWI PRAMESTI</t>
  </si>
  <si>
    <t xml:space="preserve">23065461073</t>
  </si>
  <si>
    <t xml:space="preserve">3313087004030002</t>
  </si>
  <si>
    <t xml:space="preserve">Karanganyar</t>
  </si>
  <si>
    <t xml:space="preserve">Gopel, RT/RW 002/009, Gondangmanis, Karangpandan, Karanganyar</t>
  </si>
  <si>
    <t xml:space="preserve">MASYHURI</t>
  </si>
  <si>
    <t xml:space="preserve">0001542168358</t>
  </si>
  <si>
    <t xml:space="preserve">Plastic Converter</t>
  </si>
  <si>
    <t xml:space="preserve">3525122506940006</t>
  </si>
  <si>
    <t xml:space="preserve">Dusun Melirangwetan, RT/RW 002/001, Melirang, Bungah, Gresik</t>
  </si>
  <si>
    <t xml:space="preserve">GALIH HANDIKA YOGA PRADANA</t>
  </si>
  <si>
    <t xml:space="preserve">25087355706</t>
  </si>
  <si>
    <t xml:space="preserve">0000746075709</t>
  </si>
  <si>
    <t xml:space="preserve">Maintenance - Teknisi</t>
  </si>
  <si>
    <t xml:space="preserve">3522071409020001</t>
  </si>
  <si>
    <t xml:space="preserve">Bareng, RT/RW 012/004, Bareng, Sugihwaras, Bojonegoro</t>
  </si>
  <si>
    <t xml:space="preserve">MOH. FIKI</t>
  </si>
  <si>
    <t xml:space="preserve">0003135647226</t>
  </si>
  <si>
    <t xml:space="preserve">3526170101020004</t>
  </si>
  <si>
    <t xml:space="preserve">Dsn Bu'bungah, RT/RW 000/000, Campor, Konang, Bangkalan</t>
  </si>
  <si>
    <t xml:space="preserve">WAHYU AGUNG KHABIBBULOH</t>
  </si>
  <si>
    <t xml:space="preserve">0000726368264</t>
  </si>
  <si>
    <t xml:space="preserve">3516163011990001</t>
  </si>
  <si>
    <t xml:space="preserve">Dsn Pantesrejo, RT/RW 001/004, Mojorejo, Jetis, Mojokerto</t>
  </si>
  <si>
    <t xml:space="preserve">MOCH. RAMADHAN DEWA ANDIJAYA</t>
  </si>
  <si>
    <t xml:space="preserve">0001538237935</t>
  </si>
  <si>
    <t xml:space="preserve">GA - Admin</t>
  </si>
  <si>
    <t xml:space="preserve">3515141012010002</t>
  </si>
  <si>
    <t xml:space="preserve">Kebonagung, RT/RW 016/005, Kebonagung, Sukodono, Sidoarjo</t>
  </si>
  <si>
    <t xml:space="preserve">DITA NUR AL MAIDA</t>
  </si>
  <si>
    <t xml:space="preserve">26030097925</t>
  </si>
  <si>
    <t xml:space="preserve">3520126711020001</t>
  </si>
  <si>
    <t xml:space="preserve">Dsn. Pengkol, RT/RW 008/002, Cewek, Diwek, Kab. Jombang</t>
  </si>
  <si>
    <t xml:space="preserve">EKO DWI PRASETYO</t>
  </si>
  <si>
    <t xml:space="preserve">0003294569812</t>
  </si>
  <si>
    <t xml:space="preserve">3506221810930004</t>
  </si>
  <si>
    <t xml:space="preserve">Dsn Bamban, RT/RW 004/002, Parang, Banyakan, Kediri</t>
  </si>
  <si>
    <t xml:space="preserve">JOKO SUSANTO</t>
  </si>
  <si>
    <t xml:space="preserve">0001826034761</t>
  </si>
  <si>
    <t xml:space="preserve">3506100802860003</t>
  </si>
  <si>
    <t xml:space="preserve">Dsn. Tondowongso, RT/RW 001/011, Gayam, Gurah, Kediri</t>
  </si>
  <si>
    <t xml:space="preserve">WAHYU SUCI ALFIATIN</t>
  </si>
  <si>
    <t xml:space="preserve">0001531953832</t>
  </si>
  <si>
    <t xml:space="preserve">Pramusaji / OG</t>
  </si>
  <si>
    <t xml:space="preserve">3518054201990001</t>
  </si>
  <si>
    <t xml:space="preserve">Dsn. Jatirejo, RT/RW 002/011, Joho, Pace, Nganjuk</t>
  </si>
  <si>
    <t xml:space="preserve">ARIF NUR HIDAYAT</t>
  </si>
  <si>
    <t xml:space="preserve">0002044562073</t>
  </si>
  <si>
    <t xml:space="preserve">3524090902950001</t>
  </si>
  <si>
    <t xml:space="preserve">Siman, RT/RW 010/001, Siman, Sekaran, Lamongan</t>
  </si>
  <si>
    <t xml:space="preserve">MOHAMAD ANDY PRAKOSO</t>
  </si>
  <si>
    <t xml:space="preserve">PT NIPSEA PAINT AND CHEMICALS (KEDIRI)</t>
  </si>
  <si>
    <t xml:space="preserve">23060607104</t>
  </si>
  <si>
    <t xml:space="preserve">0002814427269</t>
  </si>
  <si>
    <t xml:space="preserve">Kab. Kediri</t>
  </si>
  <si>
    <t xml:space="preserve">Kerani Gudang</t>
  </si>
  <si>
    <t xml:space="preserve">3571032008950003</t>
  </si>
  <si>
    <t xml:space="preserve">Pesantren, RT/RW 002/001, Pesantren, Pesantren, Kediri</t>
  </si>
  <si>
    <t xml:space="preserve">MOHAMMAD ZAINAL FAQIH</t>
  </si>
  <si>
    <t xml:space="preserve">0000760923145</t>
  </si>
  <si>
    <t xml:space="preserve">3525152208020003</t>
  </si>
  <si>
    <t xml:space="preserve">Bunut, RT/RW 001/006, Randengansari, Driyorejo, Gresik</t>
  </si>
  <si>
    <t xml:space="preserve">AHMAD ILHAM RAMADHAN</t>
  </si>
  <si>
    <t xml:space="preserve">0003179151088</t>
  </si>
  <si>
    <t xml:space="preserve">3525150406040004</t>
  </si>
  <si>
    <t xml:space="preserve">Dsn.Bunut, RT/RW 001/006, Randengansari, Driyorejo, Gresik</t>
  </si>
  <si>
    <t xml:space="preserve">ENGGAL MAULANA SUPRAPTO</t>
  </si>
  <si>
    <t xml:space="preserve">23019554590</t>
  </si>
  <si>
    <t xml:space="preserve">0002425363604</t>
  </si>
  <si>
    <t xml:space="preserve">3578042002030002</t>
  </si>
  <si>
    <t xml:space="preserve">Wonokitri 6/4, RT/RW 004/002, Sawunggaling, Wonokromo, Surabaya</t>
  </si>
  <si>
    <t xml:space="preserve">ZAINUL ABIDIN</t>
  </si>
  <si>
    <t xml:space="preserve">0001327830074</t>
  </si>
  <si>
    <t xml:space="preserve">3516142307880001</t>
  </si>
  <si>
    <t xml:space="preserve">Beratwetan, RT/RW 004/006, Beratwetan, Gedeg, Mojokerto</t>
  </si>
  <si>
    <t xml:space="preserve">FIRNANDA ELIANA KUSUMA DEWI</t>
  </si>
  <si>
    <t xml:space="preserve">0003566840163</t>
  </si>
  <si>
    <t xml:space="preserve">Admin Gudang</t>
  </si>
  <si>
    <t xml:space="preserve">3515134207030002</t>
  </si>
  <si>
    <t xml:space="preserve">Trosobo, RT/RW 001/002, Trosobo, Taman, Sidoarjo</t>
  </si>
  <si>
    <t xml:space="preserve">FARAH SHAFIRA</t>
  </si>
  <si>
    <t xml:space="preserve">24054409103</t>
  </si>
  <si>
    <t xml:space="preserve">0002884923393</t>
  </si>
  <si>
    <t xml:space="preserve">7306076105000013</t>
  </si>
  <si>
    <t xml:space="preserve">Jln Pahlawan No 81 B, RT/RW 003/003, Jene Tallasa, Pallangga, Gowa</t>
  </si>
  <si>
    <t xml:space="preserve">FADILLA PUTRI ERLIANA</t>
  </si>
  <si>
    <t xml:space="preserve">21032719500</t>
  </si>
  <si>
    <t xml:space="preserve">3506034208050001</t>
  </si>
  <si>
    <t xml:space="preserve">Dsn. Ngasem, RT/RW 002/002, Rejomulyo, Kras, Kab. Kediri</t>
  </si>
  <si>
    <t xml:space="preserve">MUHAMMAD ARDIKA</t>
  </si>
  <si>
    <t xml:space="preserve">0000760622466</t>
  </si>
  <si>
    <t xml:space="preserve">3525152705990004</t>
  </si>
  <si>
    <t xml:space="preserve">Mojosarirejo, RT/RW 012/004, Mojosarirejo, Driyorejo, Gresik</t>
  </si>
  <si>
    <t xml:space="preserve">MUHAMMAD UMAR MAHDI</t>
  </si>
  <si>
    <t xml:space="preserve">0002135339392</t>
  </si>
  <si>
    <t xml:space="preserve">PKWT - J</t>
  </si>
  <si>
    <t xml:space="preserve">3329031812970005</t>
  </si>
  <si>
    <t xml:space="preserve">Brebes</t>
  </si>
  <si>
    <t xml:space="preserve">Dk Kalilangkap Timur, RT/RW 004/001, Kalilangkap, Bumiayu, Brebes</t>
  </si>
  <si>
    <t xml:space="preserve">IFTAH AL ARZAAQI UMAR</t>
  </si>
  <si>
    <t xml:space="preserve">0001217809438</t>
  </si>
  <si>
    <t xml:space="preserve">Operator Gudang</t>
  </si>
  <si>
    <t xml:space="preserve">3175022107960002</t>
  </si>
  <si>
    <t xml:space="preserve">Griya Cendikia Blok B2 No2, RT/RW 002/009, Curug, Gunung Sindur, Bogor</t>
  </si>
  <si>
    <t xml:space="preserve">HENDRA SETIAWAN</t>
  </si>
  <si>
    <t xml:space="preserve">0001703367281</t>
  </si>
  <si>
    <t xml:space="preserve">3525050804960001</t>
  </si>
  <si>
    <t xml:space="preserve">Awikoen Tama Tengah, RT/RW 003/002, Gending, Kebomas, Gresik</t>
  </si>
  <si>
    <t xml:space="preserve">AYU WIDIYAH LARASATI</t>
  </si>
  <si>
    <t xml:space="preserve">0002811245242</t>
  </si>
  <si>
    <t xml:space="preserve">3524116406020001</t>
  </si>
  <si>
    <t xml:space="preserve">Ngadasan, RT/RW 025/010, Pataan, Sambeng, Lamongan</t>
  </si>
  <si>
    <t xml:space="preserve">SA'ADATUL KHOIRIYAH</t>
  </si>
  <si>
    <t xml:space="preserve">0003060604945</t>
  </si>
  <si>
    <t xml:space="preserve">3524196302950002</t>
  </si>
  <si>
    <t xml:space="preserve">Kebalen Kulon 4/19, RT/RW 004/006, Krembangan Utara, Pabean Cantian, Surabaya</t>
  </si>
  <si>
    <t xml:space="preserve">IBRAHIM NATA IMANI</t>
  </si>
  <si>
    <t xml:space="preserve">0002926044527</t>
  </si>
  <si>
    <t xml:space="preserve">3525181307990001</t>
  </si>
  <si>
    <t xml:space="preserve">Perum Manyar Raya Resort Blok E.1 No. 11, RT/RW 001/012, Sukomulyo, Manyar, Gresik</t>
  </si>
  <si>
    <t xml:space="preserve">ADITYA RISMAWAN</t>
  </si>
  <si>
    <t xml:space="preserve">PT MEGA BAYA JAYA</t>
  </si>
  <si>
    <t xml:space="preserve">21077646727</t>
  </si>
  <si>
    <t xml:space="preserve">3578241005990001</t>
  </si>
  <si>
    <t xml:space="preserve">Tenggilis Lama IV/6-E, RT/RW 007/004, Tenggilis Mejoyo, Tenggilis Mejoyo, Surabaya</t>
  </si>
  <si>
    <t xml:space="preserve">MUKHAMMAD VENDRIK NANDA</t>
  </si>
  <si>
    <t xml:space="preserve">0001163431438</t>
  </si>
  <si>
    <t xml:space="preserve">3516063107970001</t>
  </si>
  <si>
    <t xml:space="preserve">Dsn.Kamotan Wetan, RT/RW 032/014, Randuharjo, Pungging, Mojokerto</t>
  </si>
  <si>
    <t xml:space="preserve">MIFTAHHUL THAUHID</t>
  </si>
  <si>
    <t xml:space="preserve">0003509487966</t>
  </si>
  <si>
    <t xml:space="preserve">3516060301020003</t>
  </si>
  <si>
    <t xml:space="preserve">Dsn Arjosari, RT/RW 012/004, Randuharjo, Pungging, Mojokerto</t>
  </si>
  <si>
    <t xml:space="preserve">ABDUL MUKLIS</t>
  </si>
  <si>
    <t xml:space="preserve">0001156250373</t>
  </si>
  <si>
    <t xml:space="preserve">3516060611920002</t>
  </si>
  <si>
    <t xml:space="preserve">Dsn Arjosari, RT/RW 006/002, Randuharjo, Pungging, Mojokerto</t>
  </si>
  <si>
    <t xml:space="preserve">ACH. SUHADAK</t>
  </si>
  <si>
    <t xml:space="preserve">0001125966993</t>
  </si>
  <si>
    <t xml:space="preserve">3525151909660002</t>
  </si>
  <si>
    <t xml:space="preserve">Bunut, RT/RW 002/006, Randengansari, Driyorejo, Gresik</t>
  </si>
  <si>
    <t xml:space="preserve">HILAL FALYUHSIN</t>
  </si>
  <si>
    <t xml:space="preserve">0002998415709</t>
  </si>
  <si>
    <t xml:space="preserve">3578142607040001</t>
  </si>
  <si>
    <t xml:space="preserve">Raya Gadel Timur 29, RT/RW 008/006, Karang Poh, Tandes, Surabaya</t>
  </si>
  <si>
    <t xml:space="preserve">MUHAMMAD BASIQ RIDUWAN</t>
  </si>
  <si>
    <t xml:space="preserve">0000724745024</t>
  </si>
  <si>
    <t xml:space="preserve">3516062003960003</t>
  </si>
  <si>
    <t xml:space="preserve">SUHADI</t>
  </si>
  <si>
    <t xml:space="preserve">22004293557</t>
  </si>
  <si>
    <t xml:space="preserve">0001538291259</t>
  </si>
  <si>
    <t xml:space="preserve">3525142909670001</t>
  </si>
  <si>
    <t xml:space="preserve">Kedanyang, RT/RW 006/001, Kedanyang, Kebomas, Gresik</t>
  </si>
  <si>
    <t xml:space="preserve">REIZKY PUTRA ANGGARA</t>
  </si>
  <si>
    <t xml:space="preserve">0002267533225</t>
  </si>
  <si>
    <t xml:space="preserve">3578102007010009</t>
  </si>
  <si>
    <t xml:space="preserve">Ploso 9/4, RT/RW 009/005, Ploso, Tambak Sari, Surabaya</t>
  </si>
  <si>
    <t xml:space="preserve">AMIRUL JEFFIC ANGGARA</t>
  </si>
  <si>
    <t xml:space="preserve">0003507768281</t>
  </si>
  <si>
    <t xml:space="preserve">3521050306960001</t>
  </si>
  <si>
    <t xml:space="preserve">Sidorejo 2, RT/RW 001/002, Sidorejo, Geneng, Ngawi</t>
  </si>
  <si>
    <t xml:space="preserve">ERIG INDRA PURNA IRAWAN</t>
  </si>
  <si>
    <t xml:space="preserve">0002477372073</t>
  </si>
  <si>
    <t xml:space="preserve">3516030903980002</t>
  </si>
  <si>
    <t xml:space="preserve">Pungging, RT/RW 006/005, Pungging, Pungging, Mojokerto</t>
  </si>
  <si>
    <t xml:space="preserve">SEPTIAN EKO NUGROHO</t>
  </si>
  <si>
    <t xml:space="preserve">0001616687166</t>
  </si>
  <si>
    <t xml:space="preserve">3520020109970002</t>
  </si>
  <si>
    <t xml:space="preserve">Dk Tirip, RT/RW 015/003, Ngunut, Parang, Magetan</t>
  </si>
  <si>
    <t xml:space="preserve">SITI FATIMAH</t>
  </si>
  <si>
    <t xml:space="preserve">25091836236</t>
  </si>
  <si>
    <t xml:space="preserve">0002414432013</t>
  </si>
  <si>
    <t xml:space="preserve">3578155010870004</t>
  </si>
  <si>
    <t xml:space="preserve">Dupak Jaya 2/23, RT/RW 002/007, Jepara, Bubutan, Surabaya</t>
  </si>
  <si>
    <t xml:space="preserve">BENNI SETIAWAN</t>
  </si>
  <si>
    <t xml:space="preserve">0002905855762</t>
  </si>
  <si>
    <t xml:space="preserve">3515071711990001</t>
  </si>
  <si>
    <t xml:space="preserve">Jl. Kuncoro, RT/RW 007/002, Klurak, Candi, Sidoarjo</t>
  </si>
  <si>
    <t xml:space="preserve">DEWI ROKHMAWATI</t>
  </si>
  <si>
    <t xml:space="preserve">21007885261</t>
  </si>
  <si>
    <t xml:space="preserve">0002350989011</t>
  </si>
  <si>
    <t xml:space="preserve">Kudus</t>
  </si>
  <si>
    <t xml:space="preserve">3320064511010008</t>
  </si>
  <si>
    <t xml:space="preserve">Jepara</t>
  </si>
  <si>
    <t xml:space="preserve">Bandengan, RT/RW 014/004, Bandengan, Jepara, Jepara</t>
  </si>
  <si>
    <t xml:space="preserve">RIFQY AMRULLAH</t>
  </si>
  <si>
    <t xml:space="preserve">0001837959794</t>
  </si>
  <si>
    <t xml:space="preserve">3523110701910003</t>
  </si>
  <si>
    <t xml:space="preserve">Dsn. Pagak, RT/RW 002/001, Pandanagung, Soko, Tuban</t>
  </si>
  <si>
    <t xml:space="preserve">YUSUF BAHTIAR</t>
  </si>
  <si>
    <t xml:space="preserve">PT NIPSEA PAINT AND CHEMICALS (PAMEKASAN)</t>
  </si>
  <si>
    <t xml:space="preserve">0000774203387</t>
  </si>
  <si>
    <t xml:space="preserve">Kab. Pamekasan</t>
  </si>
  <si>
    <t xml:space="preserve">3528011305030001</t>
  </si>
  <si>
    <t xml:space="preserve">Dsn Pangjajar, RT/RW 001/003, Taro'an, Tlanakan, Pamekasan</t>
  </si>
  <si>
    <t xml:space="preserve">MUHAJIRIN</t>
  </si>
  <si>
    <t xml:space="preserve">0000761524176</t>
  </si>
  <si>
    <t xml:space="preserve">3525041009990002</t>
  </si>
  <si>
    <t xml:space="preserve">Dsn Jogodalu, RT/RW 010/002, Jogodalu, Geneng, Gresik</t>
  </si>
  <si>
    <t xml:space="preserve">REYNANDA ALDO FEBRIZIO</t>
  </si>
  <si>
    <t xml:space="preserve">0002156594062</t>
  </si>
  <si>
    <t xml:space="preserve">3576022102010002</t>
  </si>
  <si>
    <t xml:space="preserve">Jl Kedungsari, RT/RW 002/003, Gunung Gedangan, Magersari, Mojokerto</t>
  </si>
  <si>
    <t xml:space="preserve">VIANT RAMADHAN PUTRA</t>
  </si>
  <si>
    <t xml:space="preserve">0001862884855</t>
  </si>
  <si>
    <t xml:space="preserve">3576022311000002</t>
  </si>
  <si>
    <t xml:space="preserve">Balongsari</t>
  </si>
  <si>
    <t xml:space="preserve">Balongsari VI/36A, RT/RW 002/003, Balongsari, Magersari, Mojokerto</t>
  </si>
  <si>
    <t xml:space="preserve">DIAN KUSUMAWATI</t>
  </si>
  <si>
    <t xml:space="preserve">21049131677</t>
  </si>
  <si>
    <t xml:space="preserve">0000648239455</t>
  </si>
  <si>
    <t xml:space="preserve">3402085008000003</t>
  </si>
  <si>
    <t xml:space="preserve">Bantul</t>
  </si>
  <si>
    <t xml:space="preserve">Manding Dk.Manding, RT/RW 005/000, Sabdodadi, Bantul, Bantul</t>
  </si>
  <si>
    <t xml:space="preserve">DIKI FEBRIANTO</t>
  </si>
  <si>
    <t xml:space="preserve">0000762621085</t>
  </si>
  <si>
    <t xml:space="preserve">3525043007990001</t>
  </si>
  <si>
    <t xml:space="preserve">Dsn. Batokan, RT/RW 007/003, Bengkelolor, Benjeng, Gresik</t>
  </si>
  <si>
    <t xml:space="preserve">IMAM ALIYUDIN AL ASYARI</t>
  </si>
  <si>
    <t xml:space="preserve">0000760256469</t>
  </si>
  <si>
    <t xml:space="preserve">3525152204030001</t>
  </si>
  <si>
    <t xml:space="preserve">Banjaran, RT/RW 002/006, Banjaran, Driyorejo, Gresik</t>
  </si>
  <si>
    <t xml:space="preserve">ARFI ANDRIANTO</t>
  </si>
  <si>
    <t xml:space="preserve">0000761662203</t>
  </si>
  <si>
    <t xml:space="preserve">3525151906970004</t>
  </si>
  <si>
    <t xml:space="preserve">Tanjungan, RT/RW 015/004, Tanjungan, Driyorejo, Gresik</t>
  </si>
  <si>
    <t xml:space="preserve">DENI ARI FIRMANSYAH</t>
  </si>
  <si>
    <t xml:space="preserve">0000737595472</t>
  </si>
  <si>
    <t xml:space="preserve">Produksi ( Painting )</t>
  </si>
  <si>
    <t xml:space="preserve">3519130801040001</t>
  </si>
  <si>
    <t xml:space="preserve">Ngale I, RT/RW 003/001, Ngale, Pilangkenceng, Madiun</t>
  </si>
  <si>
    <t xml:space="preserve">IRFAN EFENDI</t>
  </si>
  <si>
    <t xml:space="preserve">22032679381</t>
  </si>
  <si>
    <t xml:space="preserve">0001381669593</t>
  </si>
  <si>
    <t xml:space="preserve">3525151005020005</t>
  </si>
  <si>
    <t xml:space="preserve">Dsn Rejosari, RT/RW 008/004, Petiken, Driyorejo, Gresik</t>
  </si>
  <si>
    <t xml:space="preserve">YOGGI WIJAYA</t>
  </si>
  <si>
    <t xml:space="preserve">0002240610445</t>
  </si>
  <si>
    <t xml:space="preserve">3515023108930001</t>
  </si>
  <si>
    <t xml:space="preserve">Dsn Kutu, RT/RW 011/002, Segodobancang, Tarik, Sidoarjo</t>
  </si>
  <si>
    <t xml:space="preserve">TRIO KUSUMA ANDIWA</t>
  </si>
  <si>
    <t xml:space="preserve">0000162776171</t>
  </si>
  <si>
    <t xml:space="preserve">3577022306920003</t>
  </si>
  <si>
    <t xml:space="preserve">Dsn Kepuh Pandak, RT/RW 001/002, Sidowarek, Ngoro, Jombang</t>
  </si>
  <si>
    <t xml:space="preserve">RIZKY ALFRIYANATA PRASETYA</t>
  </si>
  <si>
    <t xml:space="preserve">24044945443</t>
  </si>
  <si>
    <t xml:space="preserve">0001702731892</t>
  </si>
  <si>
    <t xml:space="preserve">3578162006970004</t>
  </si>
  <si>
    <t xml:space="preserve">Kedung Mangu Selatan 6/44-A, RT/RW 010/003, Sidotopo Wetan, Kenjeran, Surabaya</t>
  </si>
  <si>
    <t xml:space="preserve">DIAZ OKTA SAMUDERA</t>
  </si>
  <si>
    <t xml:space="preserve">0002999414992</t>
  </si>
  <si>
    <t xml:space="preserve">3578111010980002</t>
  </si>
  <si>
    <t xml:space="preserve">Probolinggo</t>
  </si>
  <si>
    <t xml:space="preserve">Donorejo 4/18, RT/RW 004/001, Kapasan, Simokerto, Surabaya</t>
  </si>
  <si>
    <t xml:space="preserve">MUHAMMAD SYAHRUL ATFAL</t>
  </si>
  <si>
    <t xml:space="preserve">27032332493</t>
  </si>
  <si>
    <t xml:space="preserve">0000762230384</t>
  </si>
  <si>
    <t xml:space="preserve">3525050909000001</t>
  </si>
  <si>
    <t xml:space="preserve">Tebaloan, RT/RW 001/001, Tebaloan, Duduksampeyan, Gresik</t>
  </si>
  <si>
    <t xml:space="preserve">BERNADUS BEDO</t>
  </si>
  <si>
    <t xml:space="preserve">0001402941341</t>
  </si>
  <si>
    <t xml:space="preserve">5307011005890002</t>
  </si>
  <si>
    <t xml:space="preserve">Wolokiro</t>
  </si>
  <si>
    <t xml:space="preserve">Rejo, RT/RW 014/008, Wolorega, Paga, Sikka</t>
  </si>
  <si>
    <t xml:space="preserve">MUHAMMAD FARICHIN</t>
  </si>
  <si>
    <t xml:space="preserve">25016438831</t>
  </si>
  <si>
    <t xml:space="preserve">0001146648802</t>
  </si>
  <si>
    <t xml:space="preserve">3578302802900001</t>
  </si>
  <si>
    <t xml:space="preserve">Bandarejo, RT/RW 007/005, Sememi, Benowo, Surabaya</t>
  </si>
  <si>
    <t xml:space="preserve">ABDULLOH MUKMIN</t>
  </si>
  <si>
    <t xml:space="preserve">27001073750</t>
  </si>
  <si>
    <t xml:space="preserve">0000726587291</t>
  </si>
  <si>
    <t xml:space="preserve">3516170512980004</t>
  </si>
  <si>
    <t xml:space="preserve">Jatirowo, RT/RW 005/003, Jatirowo, Dawarblandong, Mojokerto</t>
  </si>
  <si>
    <t xml:space="preserve">MARIYAM MAS'ULLAH DAROJATIN</t>
  </si>
  <si>
    <t xml:space="preserve">0003083199287</t>
  </si>
  <si>
    <t xml:space="preserve">3516165312950001</t>
  </si>
  <si>
    <t xml:space="preserve">Dusun Bulu, RT/RW 020/005, Sawo, Jetis, Mojokerto</t>
  </si>
  <si>
    <t xml:space="preserve">MELINDAH BUDISTIRA</t>
  </si>
  <si>
    <t xml:space="preserve">0000727878947</t>
  </si>
  <si>
    <t xml:space="preserve">3516164104010001</t>
  </si>
  <si>
    <t xml:space="preserve">Dusun Kepuhsawo, RT/RW 004/003, Mojorejo, Jetis, Mojokerto</t>
  </si>
  <si>
    <t xml:space="preserve">SISCA WIDAYATI</t>
  </si>
  <si>
    <t xml:space="preserve">0003083202843</t>
  </si>
  <si>
    <t xml:space="preserve">3516165509990001</t>
  </si>
  <si>
    <t xml:space="preserve">Dsn Sawo, RT/RW 005/001, Sawo, Jetis, Mojokerto</t>
  </si>
  <si>
    <t xml:space="preserve">URSULA AGUSTIN</t>
  </si>
  <si>
    <t xml:space="preserve">0003083201111</t>
  </si>
  <si>
    <t xml:space="preserve">3516154908970001</t>
  </si>
  <si>
    <t xml:space="preserve">Dusun Semampir Lor, RT/RW 003/001, Mojokumpul, Kemlagi, Mojokerto</t>
  </si>
  <si>
    <t xml:space="preserve">NOVA PUJI ARDIANTORO</t>
  </si>
  <si>
    <t xml:space="preserve">0001540123042</t>
  </si>
  <si>
    <t xml:space="preserve">3514114311940005</t>
  </si>
  <si>
    <t xml:space="preserve">Dusun Kedondong, RT/RW 006/003, Sumbergedang, Pandaan, Pasuruan</t>
  </si>
  <si>
    <t xml:space="preserve">MUFTIKHATUS SHOFIYAH</t>
  </si>
  <si>
    <t xml:space="preserve">0002680666852</t>
  </si>
  <si>
    <t xml:space="preserve">3525046402970001</t>
  </si>
  <si>
    <t xml:space="preserve">Dusun Karang Pundut, RT/RW 016/003, Punduttrate, Benjeng, Gresik</t>
  </si>
  <si>
    <t xml:space="preserve">NANANG TRI WAHYUDI</t>
  </si>
  <si>
    <t xml:space="preserve">0002090504722</t>
  </si>
  <si>
    <t xml:space="preserve">3516162609010002</t>
  </si>
  <si>
    <t xml:space="preserve">Dusun Sawo, RT/RW 002/001, Sawo, Jetis, Mojokerto</t>
  </si>
  <si>
    <t xml:space="preserve">DAROJATUN MOHAMMAD ROMLITSALIS</t>
  </si>
  <si>
    <t xml:space="preserve">3578302802020002</t>
  </si>
  <si>
    <t xml:space="preserve">Kauman Asri No. 3, RT/RW 005/006, Benowo, Pakal, Surabaya</t>
  </si>
  <si>
    <t xml:space="preserve">SUSANTO</t>
  </si>
  <si>
    <t xml:space="preserve">3525141707820001</t>
  </si>
  <si>
    <t xml:space="preserve">Asahan</t>
  </si>
  <si>
    <t xml:space="preserve">Jl. Sindujoyo 10A-1, RT/RW 004/003, Lumpur, Gresik, Gresik</t>
  </si>
  <si>
    <t xml:space="preserve">ADAM SUGIARTHA JODY</t>
  </si>
  <si>
    <t xml:space="preserve">24031039931</t>
  </si>
  <si>
    <t xml:space="preserve">3578202202980001</t>
  </si>
  <si>
    <t xml:space="preserve">Wonokitri 7/6-C, RT/RW 003/005, Gunungsari, Dukuh Pakis, Surabaya</t>
  </si>
  <si>
    <t xml:space="preserve">ACHMAD PRAYUDI</t>
  </si>
  <si>
    <t xml:space="preserve">3525142011870001</t>
  </si>
  <si>
    <t xml:space="preserve">Sunan Giri Gg I/20, RT/RW 001/003, Kebomas, Kebomas, Gresik</t>
  </si>
  <si>
    <t xml:space="preserve">PT NIPSEA PAINT AND CHEMICALS (SAMARINDA)</t>
  </si>
  <si>
    <t xml:space="preserve">0002001406779</t>
  </si>
  <si>
    <t xml:space="preserve">6472030705960004</t>
  </si>
  <si>
    <t xml:space="preserve">Muara Tapus</t>
  </si>
  <si>
    <t xml:space="preserve">Jl. P. Suryanata Gg. Saka, RT/RW 016/000, Bukit Pinang, Samarinda Ulu, Samarinda</t>
  </si>
  <si>
    <t xml:space="preserve">MUH IFNU NASROFI</t>
  </si>
  <si>
    <t xml:space="preserve">0002432404809</t>
  </si>
  <si>
    <t xml:space="preserve">3509012907890001</t>
  </si>
  <si>
    <t xml:space="preserve">Dusun Krajan I, RT/RW 001/005, Keting, Jombang, Jember</t>
  </si>
  <si>
    <t xml:space="preserve">SURYA AGUNG PRIAMBODO</t>
  </si>
  <si>
    <t xml:space="preserve">0001449786655</t>
  </si>
  <si>
    <t xml:space="preserve">Operator B3</t>
  </si>
  <si>
    <t xml:space="preserve">3505161006950001</t>
  </si>
  <si>
    <t xml:space="preserve">Dsn Ngadri, RT/RW 005/002, Ngadri, Binangun, Blitar</t>
  </si>
  <si>
    <t xml:space="preserve">IMAN SANTOSO</t>
  </si>
  <si>
    <t xml:space="preserve">0002094153355</t>
  </si>
  <si>
    <t xml:space="preserve">3517182210870002</t>
  </si>
  <si>
    <t xml:space="preserve">Dsn. Bandarkedungmulyo, RT/RW 001/002, Bandarkedungmulyo, Bandarkedungmulyo, Jombang</t>
  </si>
  <si>
    <t xml:space="preserve">ACHMAD FAHRUROZI</t>
  </si>
  <si>
    <t xml:space="preserve">0002195566053</t>
  </si>
  <si>
    <t xml:space="preserve">3515131101880001</t>
  </si>
  <si>
    <t xml:space="preserve">Dsn Kedung Bagus, RT/RW 001/012, Bandarkedungmulyo, Bandarkedungmulyo, Jombang</t>
  </si>
  <si>
    <t xml:space="preserve">AGUNG SETIAWAN ARIP NURMANSYAH</t>
  </si>
  <si>
    <t xml:space="preserve">0002416616291</t>
  </si>
  <si>
    <t xml:space="preserve">3514012008890003</t>
  </si>
  <si>
    <t xml:space="preserve">Dsn Sawatalun, RT/RW 002/001, Andono Sari, Tutur, Pasuruan</t>
  </si>
  <si>
    <t xml:space="preserve">AHMAD ZAINUL MUTTAQIN</t>
  </si>
  <si>
    <t xml:space="preserve">0000726258104</t>
  </si>
  <si>
    <t xml:space="preserve">3517181211870002</t>
  </si>
  <si>
    <t xml:space="preserve">Dsn Gondanglegi, RT/RW 001/001, Gondangmanis, Bandarkedungmulyo, Jombang</t>
  </si>
  <si>
    <t xml:space="preserve">MUHAMMAD ARIS SAIFUDDIN</t>
  </si>
  <si>
    <t xml:space="preserve">0002510514415</t>
  </si>
  <si>
    <t xml:space="preserve">3516062401980001</t>
  </si>
  <si>
    <t xml:space="preserve">Mojosarirejo, RT/RW 034/009, Randuharjo, Pungging, Mojokerto</t>
  </si>
  <si>
    <t xml:space="preserve">DIKKI NUR AFANDI</t>
  </si>
  <si>
    <t xml:space="preserve">0001163435376</t>
  </si>
  <si>
    <t xml:space="preserve">3516060812990001</t>
  </si>
  <si>
    <t xml:space="preserve">Dsn Mojosarirejo, RT/RW 033/010, Randuharjo, Pungging, Mojokerto</t>
  </si>
  <si>
    <t xml:space="preserve">MUHMMAD SAICHU BAKHRUDIN</t>
  </si>
  <si>
    <t xml:space="preserve">0002600770555</t>
  </si>
  <si>
    <t xml:space="preserve">3516062905990002</t>
  </si>
  <si>
    <t xml:space="preserve">YANUAR PRASETYO</t>
  </si>
  <si>
    <t xml:space="preserve">0001741869674</t>
  </si>
  <si>
    <t xml:space="preserve">IT Support</t>
  </si>
  <si>
    <t xml:space="preserve">3515170401960001</t>
  </si>
  <si>
    <t xml:space="preserve">Griya Candramas FB 26, RT/RW 010/011, Pepe, Sedati, Sidoarjo</t>
  </si>
  <si>
    <t xml:space="preserve">HUNIP SETIO</t>
  </si>
  <si>
    <t xml:space="preserve">0003220215851</t>
  </si>
  <si>
    <t xml:space="preserve">3516062505960003</t>
  </si>
  <si>
    <t xml:space="preserve">Dsn Arjosari, RT/RW 004/002, Randuharjo, Pungging, Mojokerto</t>
  </si>
  <si>
    <t xml:space="preserve">ANGGUN</t>
  </si>
  <si>
    <t xml:space="preserve">25028127358</t>
  </si>
  <si>
    <t xml:space="preserve">3314044605060002</t>
  </si>
  <si>
    <t xml:space="preserve">Cungul, RT/RW 020/00, Mojodoyong, Kedawung, Kab. Sragen</t>
  </si>
  <si>
    <t xml:space="preserve">MAIMUNAH</t>
  </si>
  <si>
    <t xml:space="preserve">25082794019</t>
  </si>
  <si>
    <t xml:space="preserve">0002655376435</t>
  </si>
  <si>
    <t xml:space="preserve">Barabai</t>
  </si>
  <si>
    <t xml:space="preserve">6203075601040003</t>
  </si>
  <si>
    <t xml:space="preserve">Amuntai</t>
  </si>
  <si>
    <t xml:space="preserve">Sungai Baring, RT/RW 001/000, Sungai Baring, Amuntai Tengah, Hulu Sungai Utara</t>
  </si>
  <si>
    <t xml:space="preserve">NUR INDAH SARI</t>
  </si>
  <si>
    <t xml:space="preserve">29053055203</t>
  </si>
  <si>
    <t xml:space="preserve">0002696756646</t>
  </si>
  <si>
    <t xml:space="preserve">Lampung</t>
  </si>
  <si>
    <t xml:space="preserve">1871016405980001</t>
  </si>
  <si>
    <t xml:space="preserve">Bandar Lampung</t>
  </si>
  <si>
    <t xml:space="preserve">Jl. Rekso Bandung Lk III, RT/RW 007/000, Labuhan Ratu, Labuhan Ratu, Bandar Lampung</t>
  </si>
  <si>
    <t xml:space="preserve">DIMAS ANGGARA SAPUTRA</t>
  </si>
  <si>
    <t xml:space="preserve">0002876294722</t>
  </si>
  <si>
    <t xml:space="preserve">3505092905010001</t>
  </si>
  <si>
    <t xml:space="preserve">Lingkungan Nglegok I, RT/RW 001/002, Nglegok, Nglegok, Blitar</t>
  </si>
  <si>
    <t xml:space="preserve">FATHORRAHMAN</t>
  </si>
  <si>
    <t xml:space="preserve">0001865133347</t>
  </si>
  <si>
    <t xml:space="preserve">3528012002860003</t>
  </si>
  <si>
    <t xml:space="preserve">Dsn Dulang, RT/RW 000/000, Ceguk, Tlanakan, Pamekasan</t>
  </si>
  <si>
    <t xml:space="preserve">KAMALUDIN</t>
  </si>
  <si>
    <t xml:space="preserve">24009305652</t>
  </si>
  <si>
    <t xml:space="preserve">0000758573717</t>
  </si>
  <si>
    <t xml:space="preserve">3524262106930001</t>
  </si>
  <si>
    <t xml:space="preserve">Jl. IR. H. Juanda RT/RW 004/005 Sungonlegowo, Bungah, Gresik</t>
  </si>
  <si>
    <t xml:space="preserve">MIFTAKH</t>
  </si>
  <si>
    <t xml:space="preserve">29041307871</t>
  </si>
  <si>
    <t xml:space="preserve">0001148461187</t>
  </si>
  <si>
    <t xml:space="preserve">3525053107740001</t>
  </si>
  <si>
    <t xml:space="preserve">JL. Ken Arok E.4/20 GWA RT/RW 008/002 Sekarkurung, Kebomas, Gresik</t>
  </si>
  <si>
    <t xml:space="preserve">MOCH. ANDI IRMANSYAH</t>
  </si>
  <si>
    <t xml:space="preserve">0001869006374</t>
  </si>
  <si>
    <t xml:space="preserve">3516152708010002</t>
  </si>
  <si>
    <t xml:space="preserve">Sukorejo, RT/RW 005/002, Mojorejo, Kemlagi, Mojokerto</t>
  </si>
  <si>
    <t xml:space="preserve">MOCHAMMAD SULAIMAN</t>
  </si>
  <si>
    <t xml:space="preserve">0001394435496</t>
  </si>
  <si>
    <t xml:space="preserve">3578032602960003</t>
  </si>
  <si>
    <t xml:space="preserve">Jl. Amir Mahhud No. 04, RT/RW 003/003, Gunung Anyar, Gunung Anyar, Surabaya</t>
  </si>
  <si>
    <t xml:space="preserve">ANANDA THALIA SALZHA BELLA</t>
  </si>
  <si>
    <t xml:space="preserve">0003050826243</t>
  </si>
  <si>
    <t xml:space="preserve">3516166104000001</t>
  </si>
  <si>
    <t xml:space="preserve">Dusun Gamping, RT/RW 003/002, Mojokerto, Jetis, Mojokerto</t>
  </si>
  <si>
    <t xml:space="preserve">AHMAD FITRA BUARI</t>
  </si>
  <si>
    <t xml:space="preserve">0000721831329</t>
  </si>
  <si>
    <t xml:space="preserve">3515092801980002</t>
  </si>
  <si>
    <t xml:space="preserve">Tlasih, RT/RW 001/002, Tlasih, Tulangan, Sidoarjo</t>
  </si>
  <si>
    <t xml:space="preserve">MOCH RIZKY FERDINATA</t>
  </si>
  <si>
    <t xml:space="preserve">0001535209222</t>
  </si>
  <si>
    <t xml:space="preserve">3515021112960001</t>
  </si>
  <si>
    <t xml:space="preserve">Dsn Simpang, RT/RW 007/002, Simpang, Prambon, Sidoarjo</t>
  </si>
  <si>
    <t xml:space="preserve">MUHAMAD AFFANDY</t>
  </si>
  <si>
    <t xml:space="preserve">26016828126</t>
  </si>
  <si>
    <t xml:space="preserve">0000761877336</t>
  </si>
  <si>
    <t xml:space="preserve">3525131303040002</t>
  </si>
  <si>
    <t xml:space="preserve">Laban Kulon, RT/RW 009/005, Laban, Menganti, Gresik</t>
  </si>
  <si>
    <t xml:space="preserve">NOVA ERVIANTO</t>
  </si>
  <si>
    <t xml:space="preserve">0001187450886</t>
  </si>
  <si>
    <t xml:space="preserve">3525131406010006</t>
  </si>
  <si>
    <t xml:space="preserve">Laban, RT/RW 017/006, Laban, Menganti, Gresik</t>
  </si>
  <si>
    <t xml:space="preserve">MOH. MIFTAHUL FIRDAUS</t>
  </si>
  <si>
    <t xml:space="preserve">0003058206039</t>
  </si>
  <si>
    <t xml:space="preserve">3525010904970001</t>
  </si>
  <si>
    <t xml:space="preserve">Dukunanyar, RT/RW 003/001, Dukunanyar, Dukun, Gresik</t>
  </si>
  <si>
    <t xml:space="preserve">ERWIN SUJATMIKO</t>
  </si>
  <si>
    <t xml:space="preserve">0002996812113</t>
  </si>
  <si>
    <t xml:space="preserve">3515171503870002</t>
  </si>
  <si>
    <t xml:space="preserve">Griya Alamanda Blok B1 No. 1A, RT/RW 007/003, Dukuhtengah, Buduran, Sidoarjo</t>
  </si>
  <si>
    <t xml:space="preserve">MOHAMMAD AKQMAL ADITYA</t>
  </si>
  <si>
    <t xml:space="preserve">0002736032308</t>
  </si>
  <si>
    <t xml:space="preserve">3515182108030005</t>
  </si>
  <si>
    <t xml:space="preserve">Jl. Jend S Parman V, RT/RW 003/009, Waru, Waru, Sidoarjo</t>
  </si>
  <si>
    <t xml:space="preserve">RAMA SANCA ADY LAKSONO</t>
  </si>
  <si>
    <t xml:space="preserve">24064460495</t>
  </si>
  <si>
    <t xml:space="preserve">0001820415227</t>
  </si>
  <si>
    <t xml:space="preserve">3516051411030001</t>
  </si>
  <si>
    <t xml:space="preserve">Dsn Sedati, RT/RW 002/002, Sedati, Ngoro, Mojokerto</t>
  </si>
  <si>
    <t xml:space="preserve">JUNAIDIN BATA</t>
  </si>
  <si>
    <t xml:space="preserve">0002114068127</t>
  </si>
  <si>
    <t xml:space="preserve">5308131108990001</t>
  </si>
  <si>
    <t xml:space="preserve">Ae Ipo</t>
  </si>
  <si>
    <t xml:space="preserve">Aeipo, RT/RW 004/002, Nuanaga, Kota Baru, Ende</t>
  </si>
  <si>
    <t xml:space="preserve">EKA HADI RETNO HIDAYAT</t>
  </si>
  <si>
    <t xml:space="preserve">BPSDMP KOMINFO SURABAYA (LABOUR)</t>
  </si>
  <si>
    <t xml:space="preserve">0002208382222</t>
  </si>
  <si>
    <t xml:space="preserve">3516102303930003</t>
  </si>
  <si>
    <t xml:space="preserve">Carat RT/RW 003/001 Carat, Gempol, Pasuruan</t>
  </si>
  <si>
    <t xml:space="preserve">ROBBY DARMAWAN</t>
  </si>
  <si>
    <t xml:space="preserve">0001655960084</t>
  </si>
  <si>
    <t xml:space="preserve">3515160508920004</t>
  </si>
  <si>
    <t xml:space="preserve">Dusun Liwek, RT/RW 003/006, Condoruso, Pasirian, Lumajang</t>
  </si>
  <si>
    <t xml:space="preserve">MOHAMMAD RAEZAL FERMANSYAH</t>
  </si>
  <si>
    <t xml:space="preserve">26060536630</t>
  </si>
  <si>
    <t xml:space="preserve">0002161141468</t>
  </si>
  <si>
    <t xml:space="preserve">3524142311990004</t>
  </si>
  <si>
    <t xml:space="preserve">Gowah, RT/RW 005/002, Bumbing, Paciran, Lamongan</t>
  </si>
  <si>
    <t xml:space="preserve">MOHAMMAD NURFUAD HASYIM</t>
  </si>
  <si>
    <t xml:space="preserve">0003517491161</t>
  </si>
  <si>
    <t xml:space="preserve">3516060606990003</t>
  </si>
  <si>
    <t xml:space="preserve">Dsn. Kamotan Kulon, RT/RW 027/012, Randuharjo, Pungging, Mojokerto</t>
  </si>
  <si>
    <t xml:space="preserve">FEBI NURINDAWATI</t>
  </si>
  <si>
    <t xml:space="preserve">0001842715214</t>
  </si>
  <si>
    <t xml:space="preserve">3507154102030002</t>
  </si>
  <si>
    <t xml:space="preserve">Ngembal RT 012 RW 005 Ngembal, Wajak Malang</t>
  </si>
  <si>
    <t xml:space="preserve">EVANITA SARI</t>
  </si>
  <si>
    <t xml:space="preserve">26026116957</t>
  </si>
  <si>
    <t xml:space="preserve">0001539285568</t>
  </si>
  <si>
    <t xml:space="preserve">3578034808890002</t>
  </si>
  <si>
    <t xml:space="preserve">Kedungasem Gg 5 /49B RT 002 RW 002 Kedung Baruk Rungkut Surabaya</t>
  </si>
  <si>
    <t xml:space="preserve">TRI WAHYU KUNCORO</t>
  </si>
  <si>
    <t xml:space="preserve">0000742999645</t>
  </si>
  <si>
    <t xml:space="preserve">3521190501030001</t>
  </si>
  <si>
    <t xml:space="preserve">Grenjeng, RT/RW 003/007, Gunungsari, Kasreman, Ngawi</t>
  </si>
  <si>
    <t xml:space="preserve">MUHAMMAD ABDUL HARIS</t>
  </si>
  <si>
    <t xml:space="preserve">0002810477338</t>
  </si>
  <si>
    <t xml:space="preserve">3522082910980003</t>
  </si>
  <si>
    <t xml:space="preserve">Megale, RT/RW 014/004, Megale, Kedungadem, Bojonegoro</t>
  </si>
  <si>
    <t xml:space="preserve">ACHMAD IQKLASUL RIFVANA</t>
  </si>
  <si>
    <t xml:space="preserve">0001049769189</t>
  </si>
  <si>
    <t xml:space="preserve">3576022307030002</t>
  </si>
  <si>
    <t xml:space="preserve">Purwortengah V/16, RT/RW 002/001, Purwotengah, Kranggan, Mojokerto</t>
  </si>
  <si>
    <t xml:space="preserve">CANDRA BUDI ARDIYANTO</t>
  </si>
  <si>
    <t xml:space="preserve">0001443653065</t>
  </si>
  <si>
    <t xml:space="preserve">3578012906940001</t>
  </si>
  <si>
    <t xml:space="preserve">Karangpilang Gg Kelud No 39, RT/RW 005/003, Karangpilang, Karangpilang, Surabaya</t>
  </si>
  <si>
    <t xml:space="preserve">DIVA RAHKMAN YUNIANSYAH</t>
  </si>
  <si>
    <t xml:space="preserve">25073065240</t>
  </si>
  <si>
    <t xml:space="preserve">3515041606990002</t>
  </si>
  <si>
    <t xml:space="preserve">Jl. Bhayangkari 665, RT/RW 013/004, Juwet Kenongo, Porong, Kab. Sidoarjo</t>
  </si>
  <si>
    <t xml:space="preserve">DRAFTED</t>
  </si>
  <si>
    <t xml:space="preserve">DWI ANTIKA PUTRI</t>
  </si>
  <si>
    <t xml:space="preserve">0002997474693</t>
  </si>
  <si>
    <t xml:space="preserve">3578047005000005</t>
  </si>
  <si>
    <t xml:space="preserve">Krukah Utara 10/11-A RT/RW 004/005 Wonokromo, Surabaya</t>
  </si>
  <si>
    <t xml:space="preserve">DWI EVI LESTARI</t>
  </si>
  <si>
    <t xml:space="preserve">0002725797519</t>
  </si>
  <si>
    <t xml:space="preserve">3522214612990001</t>
  </si>
  <si>
    <t xml:space="preserve">Ngujung RT/RW 010/002 Ngujung, Temayang, Bojonegoro</t>
  </si>
  <si>
    <t xml:space="preserve">FAIZAL ALI KHOMARUDIN</t>
  </si>
  <si>
    <t xml:space="preserve">0001872591849</t>
  </si>
  <si>
    <t xml:space="preserve">3515122003960001</t>
  </si>
  <si>
    <t xml:space="preserve">Wonoayu, RT/RW 007/004, Wonokarang, Balongbendo, Sidoarjo</t>
  </si>
  <si>
    <t xml:space="preserve">MUHAMMAD RIZAL AFANDI</t>
  </si>
  <si>
    <t xml:space="preserve">0000721115796</t>
  </si>
  <si>
    <t xml:space="preserve">3515041802030006</t>
  </si>
  <si>
    <t xml:space="preserve">Kedunggsolo, RT/RW 003/001, Kedungsolo, Porong, Sidoarjo</t>
  </si>
  <si>
    <t xml:space="preserve">MUHAMMAD RUSDI BAIHAQI</t>
  </si>
  <si>
    <t xml:space="preserve">22020082619</t>
  </si>
  <si>
    <t xml:space="preserve">0002736367569</t>
  </si>
  <si>
    <t xml:space="preserve">3515130912030005</t>
  </si>
  <si>
    <t xml:space="preserve">Bohar Timur, RT/RW 012/007, Bohar, Taman, Sidoarjo</t>
  </si>
  <si>
    <t xml:space="preserve">TIYO ARI SUBAGJA</t>
  </si>
  <si>
    <t xml:space="preserve">PT H.B. FULLER INDONESIA</t>
  </si>
  <si>
    <t xml:space="preserve">SN - BPJS KES</t>
  </si>
  <si>
    <t xml:space="preserve">Bandung</t>
  </si>
  <si>
    <t xml:space="preserve">3277010801030011</t>
  </si>
  <si>
    <t xml:space="preserve">Kp. Cimerang, RT/RW 005/012, Citatah, Cipatat, Bandung Barat</t>
  </si>
  <si>
    <t xml:space="preserve">IRFAN SUTAMRIN</t>
  </si>
  <si>
    <t xml:space="preserve">Karawang</t>
  </si>
  <si>
    <t xml:space="preserve">3305062010990001</t>
  </si>
  <si>
    <t xml:space="preserve">Kebumen</t>
  </si>
  <si>
    <t xml:space="preserve">Dk. Klampean, RT/RW 001/005, Ampih, Buluspesantren, Kebumen</t>
  </si>
  <si>
    <t xml:space="preserve">HERI ADHI SAPUTRA</t>
  </si>
  <si>
    <t xml:space="preserve">Riau</t>
  </si>
  <si>
    <t xml:space="preserve">1408042404880008</t>
  </si>
  <si>
    <t xml:space="preserve">Bekasi</t>
  </si>
  <si>
    <t xml:space="preserve">Jalan Hang Nadim, RT/RW 008/002, Tualang, Tualang, Siak</t>
  </si>
  <si>
    <t xml:space="preserve">ILHAM ZAKARIA</t>
  </si>
  <si>
    <t xml:space="preserve">0002301260995</t>
  </si>
  <si>
    <t xml:space="preserve">3506061902000001</t>
  </si>
  <si>
    <t xml:space="preserve">Dsn. Sumberagung, RT/RW 018/005, Sumberagung, Wates, Kediri</t>
  </si>
  <si>
    <t xml:space="preserve">LANGGENG WIDODO</t>
  </si>
  <si>
    <t xml:space="preserve">0002313507205</t>
  </si>
  <si>
    <t xml:space="preserve">6472060307980002</t>
  </si>
  <si>
    <t xml:space="preserve">Jl. Teuku Umar Gg. Subur, RT/RW 035/000, Karang Asam Ulu, Sungai Kunjang, Samarinda</t>
  </si>
  <si>
    <t xml:space="preserve">MOHAMMAD YUSRIL AZWAR IRKHAMNI</t>
  </si>
  <si>
    <t xml:space="preserve">0001819473434</t>
  </si>
  <si>
    <t xml:space="preserve">3516061509040004</t>
  </si>
  <si>
    <t xml:space="preserve">Dsn Mojosarirejo, RT/RW 035/010, Randuharjo, Pungging, Mojokerto</t>
  </si>
  <si>
    <t xml:space="preserve">BAGUS TRY WAHYUDI</t>
  </si>
  <si>
    <t xml:space="preserve">0001319069147</t>
  </si>
  <si>
    <t xml:space="preserve">3516060210940002</t>
  </si>
  <si>
    <t xml:space="preserve">Oro-oro Jipang, RT/RW 002/014, Purwojati, Ngoro, Mojokerto</t>
  </si>
  <si>
    <t xml:space="preserve">RODIK ARIANTO</t>
  </si>
  <si>
    <t xml:space="preserve">0000724027083</t>
  </si>
  <si>
    <t xml:space="preserve">3516060408900004</t>
  </si>
  <si>
    <t xml:space="preserve">Dsn Arjosari, RT/RW 010/001, Randuharjo, Pungging, Mojokerto</t>
  </si>
  <si>
    <t xml:space="preserve">ANIN DIA SASTIYARANI</t>
  </si>
  <si>
    <t xml:space="preserve">0002418070746</t>
  </si>
  <si>
    <t xml:space="preserve">3302266710970001</t>
  </si>
  <si>
    <t xml:space="preserve">Jl. M. Yusuf, RT/RW 002/006, Purwokerto Wetan, Purwokerto Timur, Purwokerto</t>
  </si>
  <si>
    <t xml:space="preserve">INAYATUN NAFISAH</t>
  </si>
  <si>
    <t xml:space="preserve">29058225428</t>
  </si>
  <si>
    <t xml:space="preserve">0002277271618</t>
  </si>
  <si>
    <t xml:space="preserve">3320045402990003</t>
  </si>
  <si>
    <t xml:space="preserve">Krajan, RT/RW 001/004, Mayong Lor, Mayong, Jepara</t>
  </si>
  <si>
    <t xml:space="preserve">RIZA PRATAMA</t>
  </si>
  <si>
    <t xml:space="preserve">0002502490948</t>
  </si>
  <si>
    <t xml:space="preserve">3507240202980007</t>
  </si>
  <si>
    <t xml:space="preserve">Dsn Tanjung, RT/RW 001/007, Banjararum, Singosari, Malang</t>
  </si>
  <si>
    <t xml:space="preserve">AN NAAS AL HAFIZ</t>
  </si>
  <si>
    <t xml:space="preserve">0001788748942</t>
  </si>
  <si>
    <t xml:space="preserve">3578212702990002</t>
  </si>
  <si>
    <t xml:space="preserve">Gunungsari 4/67, RT/RW 003/001, Gunungsari, Dukuh Pakis, Surabaya</t>
  </si>
  <si>
    <t xml:space="preserve">WADZIKHATUL LAILIYAH</t>
  </si>
  <si>
    <t xml:space="preserve">0000762417314</t>
  </si>
  <si>
    <t xml:space="preserve">3525056605930001</t>
  </si>
  <si>
    <t xml:space="preserve">Ambeng-Ambeng Watangrejo, RT/RW 007/003, Ambeng-Ambeng Watangrejo, Duduksampeyan, Gresik</t>
  </si>
  <si>
    <t xml:space="preserve">MOCHAMMAD FAJRY</t>
  </si>
  <si>
    <t xml:space="preserve">22011673420</t>
  </si>
  <si>
    <t xml:space="preserve">0002909323001</t>
  </si>
  <si>
    <t xml:space="preserve">3175081908990006</t>
  </si>
  <si>
    <t xml:space="preserve">Kp. Curug, RT/RW 011/006, Cipinang Melayu, Makasar, Jakarta Timur</t>
  </si>
  <si>
    <t xml:space="preserve">MUHAMMAD DAFA ERLANGGA TOMBENA</t>
  </si>
  <si>
    <t xml:space="preserve">0002205955023</t>
  </si>
  <si>
    <t xml:space="preserve">Project Engineering Drafter</t>
  </si>
  <si>
    <t xml:space="preserve">3578172003010004</t>
  </si>
  <si>
    <t xml:space="preserve">Kapas Lor 1-G/10, RT/RW 002/008, Kapasmadya Baru, Tambak Sari, Surabaya</t>
  </si>
  <si>
    <t xml:space="preserve">YUSA MAHENDRA RAMADANI</t>
  </si>
  <si>
    <t xml:space="preserve">CV TELAGA KREASI INDONESIA</t>
  </si>
  <si>
    <t xml:space="preserve">3507320711030002</t>
  </si>
  <si>
    <t xml:space="preserve">Plandi, RT/RW 004/001, Plandi, Wonosari, Malang</t>
  </si>
  <si>
    <t xml:space="preserve">RIKI YOHANES BIMA</t>
  </si>
  <si>
    <t xml:space="preserve">0002063991609</t>
  </si>
  <si>
    <t xml:space="preserve">3524191005990001</t>
  </si>
  <si>
    <t xml:space="preserve">Puter, RT/RW 005/001, Puter, Kembangbahu, Lamongan</t>
  </si>
  <si>
    <t xml:space="preserve">ILHAM TRADARA SYAH</t>
  </si>
  <si>
    <t xml:space="preserve">0001702279484</t>
  </si>
  <si>
    <t xml:space="preserve">3519131406020001</t>
  </si>
  <si>
    <t xml:space="preserve">Kedungbanteng, RT/RW 015/003, Kedungbanteng, Pilangkenceng, Madiun</t>
  </si>
  <si>
    <t xml:space="preserve">DWI INTAN KARTIKA SARI</t>
  </si>
  <si>
    <t xml:space="preserve">0001458866992</t>
  </si>
  <si>
    <t xml:space="preserve">3515086104980004</t>
  </si>
  <si>
    <t xml:space="preserve">Jln. Lemahputro, RT/RW 005/002, Lemahputro, Sidoarjo, Sidoarjo</t>
  </si>
  <si>
    <t xml:space="preserve">MOCHAMAD FAIZAL FARUQ</t>
  </si>
  <si>
    <t xml:space="preserve">0001388433982</t>
  </si>
  <si>
    <t xml:space="preserve">3515181406030003</t>
  </si>
  <si>
    <t xml:space="preserve">Wedoro Masjid, RT/RW 002/005, Wedoro, Waru, Sidoarjo</t>
  </si>
  <si>
    <t xml:space="preserve">ANNISA EKA SARI</t>
  </si>
  <si>
    <t xml:space="preserve">Padang</t>
  </si>
  <si>
    <t xml:space="preserve">1371114412980005</t>
  </si>
  <si>
    <t xml:space="preserve">Jl. Sidingin No. 12 B Tabing, Dusun Parupuk Tabing, RT/RW 003/003, Parupuk Tabing, Koto Tangah</t>
  </si>
  <si>
    <t xml:space="preserve">ANNISA WIRDATUL JANNAH</t>
  </si>
  <si>
    <t xml:space="preserve">2171126105059005</t>
  </si>
  <si>
    <t xml:space="preserve">Perum. Putra Moro Indah II Blok Q, RT/RW 003/013, Buliang, Batu Aji, Batam</t>
  </si>
  <si>
    <t xml:space="preserve">APRILIA RAHMAWATI</t>
  </si>
  <si>
    <t xml:space="preserve">27050961923</t>
  </si>
  <si>
    <t xml:space="preserve">3402166104080002</t>
  </si>
  <si>
    <t xml:space="preserve">KWALOH, RT/RW 002/000, NGESTIHARJO, KASIHAN, KABUPATEN BANTUL</t>
  </si>
  <si>
    <t xml:space="preserve">ARDIYANTI</t>
  </si>
  <si>
    <t xml:space="preserve">front Office</t>
  </si>
  <si>
    <t xml:space="preserve">1271186007950004</t>
  </si>
  <si>
    <t xml:space="preserve">Jl. Belat No. 55, RT/RW 000/000, Sidorejo, Medan Tembung, Medan</t>
  </si>
  <si>
    <t xml:space="preserve">MUHAMMAD SAKTI SETIAWAN</t>
  </si>
  <si>
    <t xml:space="preserve">0002490835206</t>
  </si>
  <si>
    <t xml:space="preserve">3524233010010003</t>
  </si>
  <si>
    <t xml:space="preserve">Dupak Bangunsari Gg. 2/2, RT/RW 003/004, Dupak, Krembangan, Surabaya</t>
  </si>
  <si>
    <t xml:space="preserve">RISKY SANJAYA</t>
  </si>
  <si>
    <t xml:space="preserve">0001703199115</t>
  </si>
  <si>
    <t xml:space="preserve">3578152912940004</t>
  </si>
  <si>
    <t xml:space="preserve">Dupak Bangunsari 3/22, RT/RW 004/004, Dupak, Krembangan, Surabaya</t>
  </si>
  <si>
    <t xml:space="preserve">FINATIH</t>
  </si>
  <si>
    <t xml:space="preserve">27078487392</t>
  </si>
  <si>
    <t xml:space="preserve">3527025211000004</t>
  </si>
  <si>
    <t xml:space="preserve">Tambak Wedi Baru Barat 6 No. 09, RT/RW 009/004, Tambak Wedi, Kenjeran, Kota Surabaya</t>
  </si>
  <si>
    <t xml:space="preserve">FIRA PUSPITASARI</t>
  </si>
  <si>
    <t xml:space="preserve">0002156106745</t>
  </si>
  <si>
    <t xml:space="preserve">3510165109970004</t>
  </si>
  <si>
    <t xml:space="preserve">Jl. Supriyadi No. 54 RT/RW 002/002 Pengajuran, Banyuwangi, Banyuwangi</t>
  </si>
  <si>
    <t xml:space="preserve">FIRDA INTAN SEPTIANA</t>
  </si>
  <si>
    <t xml:space="preserve">0002416617584</t>
  </si>
  <si>
    <t xml:space="preserve">3506154509990003</t>
  </si>
  <si>
    <t xml:space="preserve">Dsn. Jetis RT/RW 001/0077 Pandansari, Purwoasri, Kediri</t>
  </si>
  <si>
    <t xml:space="preserve">FITRIA ANGGRAENI</t>
  </si>
  <si>
    <t xml:space="preserve">28055749821</t>
  </si>
  <si>
    <t xml:space="preserve">3511026203940001</t>
  </si>
  <si>
    <t xml:space="preserve">Bondowoso</t>
  </si>
  <si>
    <t xml:space="preserve">Tamanan, RT/RW 015/003, Tamanan, Tamanan, Kab. Bondowoso</t>
  </si>
  <si>
    <t xml:space="preserve">FITRIA WAHYU NINGTYAS</t>
  </si>
  <si>
    <t xml:space="preserve">29069372930</t>
  </si>
  <si>
    <t xml:space="preserve">3521014112020002</t>
  </si>
  <si>
    <t xml:space="preserve">Krajan, RT/RW 002/002, Kuniran, Sine, Kab. Ngawi</t>
  </si>
  <si>
    <t xml:space="preserve">MUHAMMAD FAHAD NURHADI</t>
  </si>
  <si>
    <t xml:space="preserve">0000761539555</t>
  </si>
  <si>
    <t xml:space="preserve">3525152701040004</t>
  </si>
  <si>
    <t xml:space="preserve">Wedoroanom, RT/RW 010/004, Wedoroanom, Driyorejo, Gresik</t>
  </si>
  <si>
    <t xml:space="preserve">MUHAMMAD SHOWI</t>
  </si>
  <si>
    <t xml:space="preserve">26082651233</t>
  </si>
  <si>
    <t xml:space="preserve">0000760469758</t>
  </si>
  <si>
    <t xml:space="preserve">Produksi ( Heating )</t>
  </si>
  <si>
    <t xml:space="preserve">3525152107030004</t>
  </si>
  <si>
    <t xml:space="preserve">AUFAA NABILA</t>
  </si>
  <si>
    <t xml:space="preserve">0001261276828</t>
  </si>
  <si>
    <t xml:space="preserve">Bukitinggi</t>
  </si>
  <si>
    <t xml:space="preserve">1375015802010005</t>
  </si>
  <si>
    <t xml:space="preserve">Bukittinggi</t>
  </si>
  <si>
    <t xml:space="preserve">Tarok, RT/RW 003/002, Tarok Dipo, Guguk Panjang, Bukit Tinggi</t>
  </si>
  <si>
    <t xml:space="preserve">RENGGA ARDI SETIAWAN</t>
  </si>
  <si>
    <t xml:space="preserve">0003105012407</t>
  </si>
  <si>
    <t xml:space="preserve">3524122701970002</t>
  </si>
  <si>
    <t xml:space="preserve">Juwet, RT/RW 001/004, Deketangung, Sugio, Lamongan</t>
  </si>
  <si>
    <t xml:space="preserve">DEDI KURNIA SANDI</t>
  </si>
  <si>
    <t xml:space="preserve">0000755851544</t>
  </si>
  <si>
    <t xml:space="preserve">3524192506980001</t>
  </si>
  <si>
    <t xml:space="preserve">AL BAHIR</t>
  </si>
  <si>
    <t xml:space="preserve">0003179201398</t>
  </si>
  <si>
    <t xml:space="preserve">3525111007850002</t>
  </si>
  <si>
    <t xml:space="preserve">Dusun Wedani, RT/RW 006/003, Wedani, Cerme, Gresik</t>
  </si>
  <si>
    <t xml:space="preserve">MOHAMMAD ARIF WAHYUDIN</t>
  </si>
  <si>
    <t xml:space="preserve">0001534902344</t>
  </si>
  <si>
    <t xml:space="preserve">3525102211950001</t>
  </si>
  <si>
    <t xml:space="preserve">Banyutami, RT/RW 004/002, Banyuwangi, Manyar, Gresik</t>
  </si>
  <si>
    <t xml:space="preserve">SUHARTO</t>
  </si>
  <si>
    <t xml:space="preserve">0000762260365</t>
  </si>
  <si>
    <t xml:space="preserve">3525130411860013</t>
  </si>
  <si>
    <t xml:space="preserve">Grogol, RT/RW 024/002, Laban, Menganti, Gresik</t>
  </si>
  <si>
    <t xml:space="preserve">SUGENG PRIONO</t>
  </si>
  <si>
    <t xml:space="preserve">0001734434111</t>
  </si>
  <si>
    <t xml:space="preserve">3525132703850002</t>
  </si>
  <si>
    <t xml:space="preserve">Laban Kulon, RT/RW 005/004, Laban, Menganti, Gresik</t>
  </si>
  <si>
    <t xml:space="preserve">ACHMAD IQBALUL MUBAROK</t>
  </si>
  <si>
    <t xml:space="preserve">0000788412341</t>
  </si>
  <si>
    <t xml:space="preserve">3578111408030001</t>
  </si>
  <si>
    <t xml:space="preserve">Rusun Sombo Blok K/208, RT/RW 014/005, Simolawang, Simokerto, Surabaya</t>
  </si>
  <si>
    <t xml:space="preserve">ABDUL HADI MUZAKI</t>
  </si>
  <si>
    <t xml:space="preserve">0001847520325</t>
  </si>
  <si>
    <t xml:space="preserve">3525072908920002</t>
  </si>
  <si>
    <t xml:space="preserve">Jl. Sumber Gede, RT/RW 005/001, Bolo, Ujungpangkah, Gresik</t>
  </si>
  <si>
    <t xml:space="preserve">AULIA NAZWA SALSABILA</t>
  </si>
  <si>
    <t xml:space="preserve">0000649200982</t>
  </si>
  <si>
    <t xml:space="preserve">3402116003050001</t>
  </si>
  <si>
    <t xml:space="preserve">Mantup, Rt/RW 012/000, Baturetno, banguntapan, Bantul</t>
  </si>
  <si>
    <t xml:space="preserve">AYU NOFIANTI</t>
  </si>
  <si>
    <t xml:space="preserve">0000332592985</t>
  </si>
  <si>
    <t xml:space="preserve">Bengkulu</t>
  </si>
  <si>
    <t xml:space="preserve">1771066007950002</t>
  </si>
  <si>
    <t xml:space="preserve">Jl. Cendana II No 29, RT/RW 003/001, Sawah Lebar Baru, Ratu Agung, Bengkulu</t>
  </si>
  <si>
    <t xml:space="preserve">ANDRE FEBRIANSYAH</t>
  </si>
  <si>
    <t xml:space="preserve">0003515462346</t>
  </si>
  <si>
    <t xml:space="preserve">3508072402890001</t>
  </si>
  <si>
    <t xml:space="preserve">Dsn. Krajan, RT/RW 011/003, Yosowilangun Lor, Yosowilangun, Lumajang</t>
  </si>
  <si>
    <t xml:space="preserve">MOCH. EDWIN ADITYAH PRAMANA</t>
  </si>
  <si>
    <t xml:space="preserve">0003515297275</t>
  </si>
  <si>
    <t xml:space="preserve">3509190211970003</t>
  </si>
  <si>
    <t xml:space="preserve">Perum Bumi Tegal Besar Blok BF 1, RT/RW 002/003, Tegal Besar, Kaliwates, Jember</t>
  </si>
  <si>
    <t xml:space="preserve">WAHYU NUR WICAKSONO</t>
  </si>
  <si>
    <t xml:space="preserve">0001861817444</t>
  </si>
  <si>
    <t xml:space="preserve">3525160112960002</t>
  </si>
  <si>
    <t xml:space="preserve">Jl. Mayjend Sungkono No. 11, RT/RW 001/003, Kembangan, Kebomas, Gresik</t>
  </si>
  <si>
    <t xml:space="preserve">RUSWANTO</t>
  </si>
  <si>
    <t xml:space="preserve">PT DEMPO LASER METALINDO (LABOUR)</t>
  </si>
  <si>
    <t xml:space="preserve">0001704560679</t>
  </si>
  <si>
    <t xml:space="preserve">3518091509800002</t>
  </si>
  <si>
    <t xml:space="preserve">Pecuk, RT/RW 003/003, Pecuk, Patianrowo, Nganjuk</t>
  </si>
  <si>
    <t xml:space="preserve">RUDI GUNAWAN</t>
  </si>
  <si>
    <t xml:space="preserve">0001161577293</t>
  </si>
  <si>
    <t xml:space="preserve">3525061111980002</t>
  </si>
  <si>
    <t xml:space="preserve">Puting, RT/RW 001/002, Sembung, Wringinanom, Gresik</t>
  </si>
  <si>
    <t xml:space="preserve">AINUN KHOIRIYAH</t>
  </si>
  <si>
    <t xml:space="preserve">PT SEKAWAN INTIPLAST</t>
  </si>
  <si>
    <t xml:space="preserve">20080516978</t>
  </si>
  <si>
    <t xml:space="preserve">0001202352895</t>
  </si>
  <si>
    <t xml:space="preserve">Operator Cutting</t>
  </si>
  <si>
    <t xml:space="preserve">3578014912840001</t>
  </si>
  <si>
    <t xml:space="preserve">Warugunung, RT/RW 001/003, Warugunung, Karang Pilang, Surabaya</t>
  </si>
  <si>
    <t xml:space="preserve">AMIRUL ROZI</t>
  </si>
  <si>
    <t xml:space="preserve">PT SEKAWAN INTIPLAST - A</t>
  </si>
  <si>
    <t xml:space="preserve">0001173386439</t>
  </si>
  <si>
    <t xml:space="preserve">3578012607960001</t>
  </si>
  <si>
    <t xml:space="preserve">Dusun Ngambar, RT/RW 011/004, Bambe, Driyorejo, Gresik</t>
  </si>
  <si>
    <t xml:space="preserve">ARIMBA JION KARISNA</t>
  </si>
  <si>
    <t xml:space="preserve">PT SEKAWAN INTIPLAST - B</t>
  </si>
  <si>
    <t xml:space="preserve">0001201062802</t>
  </si>
  <si>
    <t xml:space="preserve">3525150705010002</t>
  </si>
  <si>
    <t xml:space="preserve">Mulung, RT/RW 007/004, Mulung, Driyorejo, Gresik</t>
  </si>
  <si>
    <t xml:space="preserve">BUDI SETYAWAN</t>
  </si>
  <si>
    <t xml:space="preserve">0000731164364</t>
  </si>
  <si>
    <t xml:space="preserve">3517162603000001</t>
  </si>
  <si>
    <t xml:space="preserve">Dsn Grobogan, RT/RW 001/003, Karangpakis, Kabuh, Jombang</t>
  </si>
  <si>
    <t xml:space="preserve">DIAN ISA FAHRUDDIN</t>
  </si>
  <si>
    <t xml:space="preserve">0002162588804</t>
  </si>
  <si>
    <t xml:space="preserve">Operator Extruder</t>
  </si>
  <si>
    <t xml:space="preserve">3524130409920002</t>
  </si>
  <si>
    <t xml:space="preserve">Klakahrejo Lor Gg.Masjid- 25, RT/RW 005/009, Kandangan, Benowo, Surabaya</t>
  </si>
  <si>
    <t xml:space="preserve">DILA PUSPITA NINGRUM</t>
  </si>
  <si>
    <t xml:space="preserve">24064936657</t>
  </si>
  <si>
    <t xml:space="preserve">0002632396138</t>
  </si>
  <si>
    <t xml:space="preserve">Helper Cutting</t>
  </si>
  <si>
    <t xml:space="preserve">3312055405020001</t>
  </si>
  <si>
    <t xml:space="preserve">Taman Kulon, RT/RW 001/002, Wiroko, Tirtomoyo, Wonogiri</t>
  </si>
  <si>
    <t xml:space="preserve">EKO SETYORINI</t>
  </si>
  <si>
    <t xml:space="preserve">0001125327464</t>
  </si>
  <si>
    <t xml:space="preserve">3520124112750001</t>
  </si>
  <si>
    <t xml:space="preserve">EKO SWANTOKO</t>
  </si>
  <si>
    <t xml:space="preserve">0001706029863</t>
  </si>
  <si>
    <t xml:space="preserve">Operator Printing</t>
  </si>
  <si>
    <t xml:space="preserve">3515132202920010</t>
  </si>
  <si>
    <t xml:space="preserve">Siwalankerto Timur 243, RT/RW 007/005, Siwalankerto, Wonocolo, Surabaya</t>
  </si>
  <si>
    <t xml:space="preserve">ENY YUNI HARTATIK</t>
  </si>
  <si>
    <t xml:space="preserve">0001396095816</t>
  </si>
  <si>
    <t xml:space="preserve">3578045306850002</t>
  </si>
  <si>
    <t xml:space="preserve">Warugunung, RT/RW 003/003, Warugunung, Karang Pilang, Surabaya</t>
  </si>
  <si>
    <t xml:space="preserve">FATHUR ROHMAN</t>
  </si>
  <si>
    <t xml:space="preserve">0001705484283</t>
  </si>
  <si>
    <t xml:space="preserve">3517031509920003</t>
  </si>
  <si>
    <t xml:space="preserve">Ketegan Barat Iii, RT/RW 005/001, Ketegan, Taman, Sidoarjo</t>
  </si>
  <si>
    <t xml:space="preserve">IKAWATI</t>
  </si>
  <si>
    <t xml:space="preserve">0001162612967</t>
  </si>
  <si>
    <t xml:space="preserve">3517057009810001</t>
  </si>
  <si>
    <t xml:space="preserve">Jl. Mastrip Ix Rusun Blok Nuri A, RT/RW 004/003, Warugunung, Karang Pilang, Surabaya</t>
  </si>
  <si>
    <t xml:space="preserve">ILFA YULIA PRATIWI</t>
  </si>
  <si>
    <t xml:space="preserve">28072009773</t>
  </si>
  <si>
    <t xml:space="preserve">0001535252578</t>
  </si>
  <si>
    <t xml:space="preserve">3515114207950002</t>
  </si>
  <si>
    <t xml:space="preserve">Dsn. Badas, RT/RW 017/006, Barengkrajan, Krian, Sidoarjo</t>
  </si>
  <si>
    <t xml:space="preserve">IMELDA ANGGI VIRDAYATI</t>
  </si>
  <si>
    <t xml:space="preserve">0001169566209</t>
  </si>
  <si>
    <t xml:space="preserve">3516166604010001</t>
  </si>
  <si>
    <t xml:space="preserve">Dusun Bendung, RT/RW 001/003, Bendung, Jetis, Mojokerto</t>
  </si>
  <si>
    <t xml:space="preserve">IRMA DAMAYANTI</t>
  </si>
  <si>
    <t xml:space="preserve">0001825993708</t>
  </si>
  <si>
    <t xml:space="preserve">3521045703950003</t>
  </si>
  <si>
    <t xml:space="preserve">Paras, RT/RW 005/003, Mulung, Driyorejo, Gresik</t>
  </si>
  <si>
    <t xml:space="preserve">JAMIATI</t>
  </si>
  <si>
    <t xml:space="preserve">27097276112</t>
  </si>
  <si>
    <t xml:space="preserve">0001125327216</t>
  </si>
  <si>
    <t xml:space="preserve">3506014212740001</t>
  </si>
  <si>
    <t xml:space="preserve">Pagung, RT/RW 002/005, Pagung, Semen, Kediri</t>
  </si>
  <si>
    <t xml:space="preserve">JUMIRAN</t>
  </si>
  <si>
    <t xml:space="preserve">0001321254538</t>
  </si>
  <si>
    <t xml:space="preserve">3520020406850001</t>
  </si>
  <si>
    <t xml:space="preserve">Dukuh Gentong, RT/RW 018/007, Ngaglik, Parang, Magetan</t>
  </si>
  <si>
    <t xml:space="preserve">KETUT FERIANTO</t>
  </si>
  <si>
    <t xml:space="preserve">0002019102669</t>
  </si>
  <si>
    <t xml:space="preserve">3517161801910001</t>
  </si>
  <si>
    <t xml:space="preserve">Dsn Grobogan, RT/RW 003/003, Karangpakis, Kabuh, Jombang</t>
  </si>
  <si>
    <t xml:space="preserve">KOHARI</t>
  </si>
  <si>
    <t xml:space="preserve">0000760844834</t>
  </si>
  <si>
    <t xml:space="preserve">3525153004920005</t>
  </si>
  <si>
    <t xml:space="preserve">Dsn Mulung, RT/RW 002/001, Mulung, Driyorejo, Gresik</t>
  </si>
  <si>
    <t xml:space="preserve">KUDUS ANNISA BILILLAH</t>
  </si>
  <si>
    <t xml:space="preserve">25065178800</t>
  </si>
  <si>
    <t xml:space="preserve">0000725896618</t>
  </si>
  <si>
    <t xml:space="preserve">3516105802980002</t>
  </si>
  <si>
    <t xml:space="preserve">Dusun Sidorame, RT/RW 012/003, Sidorejo, Krian, Sidoarjo</t>
  </si>
  <si>
    <t xml:space="preserve">LINNA DWI MARTHASARI</t>
  </si>
  <si>
    <t xml:space="preserve">0000731352486</t>
  </si>
  <si>
    <t xml:space="preserve">3517215205980001</t>
  </si>
  <si>
    <t xml:space="preserve">Bogorame, RT/RW 016/008, Kedungbogo, Ngusikan, Jombang</t>
  </si>
  <si>
    <t xml:space="preserve">LUKMAN WALUYO</t>
  </si>
  <si>
    <t xml:space="preserve">0002417241824</t>
  </si>
  <si>
    <t xml:space="preserve">3515132507910001</t>
  </si>
  <si>
    <t xml:space="preserve">Tangkil, RT/RW 002/001, Tambaksari, Kraton, Pasuruan</t>
  </si>
  <si>
    <t xml:space="preserve">M. FITRI AKHIRUDIN</t>
  </si>
  <si>
    <t xml:space="preserve">0001394400892</t>
  </si>
  <si>
    <t xml:space="preserve">3578230107860001</t>
  </si>
  <si>
    <t xml:space="preserve">Jln. Pagesangan Iii-A/56, RT/RW 004/003, Pagesangan, Jambangan, Surabaya</t>
  </si>
  <si>
    <t xml:space="preserve">MAGFIROTUS SAUMAH</t>
  </si>
  <si>
    <t xml:space="preserve">22015810862</t>
  </si>
  <si>
    <t xml:space="preserve">0001382669379</t>
  </si>
  <si>
    <t xml:space="preserve">3515085007840002</t>
  </si>
  <si>
    <t xml:space="preserve">Lebo, RT/RW 006/002, Lebo, Sidoarjo, Sidoarjo</t>
  </si>
  <si>
    <t xml:space="preserve">MARWAN IRIANTO</t>
  </si>
  <si>
    <t xml:space="preserve">0001125450112</t>
  </si>
  <si>
    <t xml:space="preserve">3515061811850001</t>
  </si>
  <si>
    <t xml:space="preserve">Tebel Timur, RT/RW 004/006, Tebel, Gedangan, Sidoarjo</t>
  </si>
  <si>
    <t xml:space="preserve">MASRIDHOHI</t>
  </si>
  <si>
    <t xml:space="preserve">0001706029795</t>
  </si>
  <si>
    <t xml:space="preserve">3523050512920001</t>
  </si>
  <si>
    <t xml:space="preserve">Wonocolo, RT/RW 007/003, Wonocolo, Kedewan, Bojonegoro</t>
  </si>
  <si>
    <t xml:space="preserve">MASTEGUH WIYONO</t>
  </si>
  <si>
    <t xml:space="preserve">0001704889721</t>
  </si>
  <si>
    <t xml:space="preserve">3523052312920001</t>
  </si>
  <si>
    <t xml:space="preserve">Dsn Jangur, RT/RW 003/005, Banyuurip, Senori, Tuban</t>
  </si>
  <si>
    <t xml:space="preserve">MAT ROIKAN</t>
  </si>
  <si>
    <t xml:space="preserve">0001125450123</t>
  </si>
  <si>
    <t xml:space="preserve">3525151711830001</t>
  </si>
  <si>
    <t xml:space="preserve">Dsn. Randegan, RT/RW 004/002, Randegansari, Driyorejo, Gresik</t>
  </si>
  <si>
    <t xml:space="preserve">MOCH IMAM RIFA'I</t>
  </si>
  <si>
    <t xml:space="preserve">0001125450145</t>
  </si>
  <si>
    <t xml:space="preserve">3578012811860001</t>
  </si>
  <si>
    <t xml:space="preserve">Kedurus Dukuh I/39.B., RT/RW 004/004, Kedurus, Karang Pilang, Surabaya</t>
  </si>
  <si>
    <t xml:space="preserve">MOCHAMAD IFTACH</t>
  </si>
  <si>
    <t xml:space="preserve">0000727926862</t>
  </si>
  <si>
    <t xml:space="preserve">3517031807910001</t>
  </si>
  <si>
    <t xml:space="preserve">Dsn Kwaringan Santren, RT/RW 001/003, Gajah, Ngoro, Jombang</t>
  </si>
  <si>
    <t xml:space="preserve">MOCHAMAD IRFAN</t>
  </si>
  <si>
    <t xml:space="preserve">0001718994677</t>
  </si>
  <si>
    <t xml:space="preserve">3521013001870002</t>
  </si>
  <si>
    <t xml:space="preserve">Platuk Donomulyo 1F/3, RT/RW 005/013, Sidotopo Wetan, Kenjeran, Surabaya</t>
  </si>
  <si>
    <t xml:space="preserve">MUHAMMAD SAIFUL</t>
  </si>
  <si>
    <t xml:space="preserve">20019132742</t>
  </si>
  <si>
    <t xml:space="preserve">0002164249923</t>
  </si>
  <si>
    <t xml:space="preserve">3515132809980005</t>
  </si>
  <si>
    <t xml:space="preserve">Dsn Bringin Kulon, RT/RW 003/003, Bringinbendo, Taman, Sidoarjo</t>
  </si>
  <si>
    <t xml:space="preserve">MUKHAMMAD FATIH BAHTIAR</t>
  </si>
  <si>
    <t xml:space="preserve">0003530085355</t>
  </si>
  <si>
    <t xml:space="preserve">3518070503030001</t>
  </si>
  <si>
    <t xml:space="preserve">Dusun Bulakmiri, RT/RW 002/006, Kaloran, Ngronggot, Nganjuk</t>
  </si>
  <si>
    <t xml:space="preserve">NIKE AFRIYANI</t>
  </si>
  <si>
    <t xml:space="preserve">0001706158326</t>
  </si>
  <si>
    <t xml:space="preserve">3515135904930008</t>
  </si>
  <si>
    <t xml:space="preserve">NURCAHYANI</t>
  </si>
  <si>
    <t xml:space="preserve">0001537564566</t>
  </si>
  <si>
    <t xml:space="preserve">3578014501740002</t>
  </si>
  <si>
    <t xml:space="preserve">Warugunung, RT/RW 004/002, Warugunung, Karang Pilang, Surabaya</t>
  </si>
  <si>
    <t xml:space="preserve">NURLAYLIYAH</t>
  </si>
  <si>
    <t xml:space="preserve">0001173397048</t>
  </si>
  <si>
    <t xml:space="preserve">3578016007800001</t>
  </si>
  <si>
    <t xml:space="preserve">Mulung, RT/RW 011/006, Mulung, Driyorejo, Gresik</t>
  </si>
  <si>
    <t xml:space="preserve">PARIMAN</t>
  </si>
  <si>
    <t xml:space="preserve">23015942594</t>
  </si>
  <si>
    <t xml:space="preserve">0001540184073</t>
  </si>
  <si>
    <t xml:space="preserve">3525151305840002</t>
  </si>
  <si>
    <t xml:space="preserve">Rembang</t>
  </si>
  <si>
    <t xml:space="preserve">Jl. Raya Bambe No. 19, RT/RW 003/001, Bambe, Driyorejo, Gresik</t>
  </si>
  <si>
    <t xml:space="preserve">PUPUT WIJAYANTI</t>
  </si>
  <si>
    <t xml:space="preserve">0003179511887</t>
  </si>
  <si>
    <t xml:space="preserve">3525155301990004</t>
  </si>
  <si>
    <t xml:space="preserve">Mulung, RT/RW 014/007, Mulung, Driyorejo, Gresik</t>
  </si>
  <si>
    <t xml:space="preserve">RAHAYU EFFENDI</t>
  </si>
  <si>
    <t xml:space="preserve">27024873949</t>
  </si>
  <si>
    <t xml:space="preserve">0001125474827</t>
  </si>
  <si>
    <t xml:space="preserve">3578014404720004</t>
  </si>
  <si>
    <t xml:space="preserve">RENDI PRAMUDYA KELANA</t>
  </si>
  <si>
    <t xml:space="preserve">0000756966137</t>
  </si>
  <si>
    <t xml:space="preserve">3524061508020001</t>
  </si>
  <si>
    <t xml:space="preserve">Ngering, RT/RW 001/004, Warungering, Kedungpring, Lamongan</t>
  </si>
  <si>
    <t xml:space="preserve">RENI DWI ANGGRAENI</t>
  </si>
  <si>
    <t xml:space="preserve">28035503262</t>
  </si>
  <si>
    <t xml:space="preserve">0001544052936</t>
  </si>
  <si>
    <t xml:space="preserve">3525156108970002</t>
  </si>
  <si>
    <t xml:space="preserve">Dsn. Ngampel, RT/RW 016/002, Tanjungsari, Taman, Sidoarjo</t>
  </si>
  <si>
    <t xml:space="preserve">RENO PUTRA ERJOHAN</t>
  </si>
  <si>
    <t xml:space="preserve">0002681187917</t>
  </si>
  <si>
    <t xml:space="preserve">3578190807960001</t>
  </si>
  <si>
    <t xml:space="preserve">Sememi Jaya 8/9, RT/RW 001/001, Sememi, Benowo, Surabaya</t>
  </si>
  <si>
    <t xml:space="preserve">RIAU SAPUTRA</t>
  </si>
  <si>
    <t xml:space="preserve">0001386190708</t>
  </si>
  <si>
    <t xml:space="preserve">3515130511940002</t>
  </si>
  <si>
    <t xml:space="preserve">Tanjung Anom, RT/RW 012/001, Tanjungsari, Taman, Sidoarjo</t>
  </si>
  <si>
    <t xml:space="preserve">RICO FERNANDO</t>
  </si>
  <si>
    <t xml:space="preserve">0000787427559</t>
  </si>
  <si>
    <t xml:space="preserve">3578180708900001</t>
  </si>
  <si>
    <t xml:space="preserve">Bangkingan, RT/RW 003/001, Bangkingan, Lakar Santri, Surabaya</t>
  </si>
  <si>
    <t xml:space="preserve">RIKA ERNAWATI</t>
  </si>
  <si>
    <t xml:space="preserve">0001189066814</t>
  </si>
  <si>
    <t xml:space="preserve">3522104409870004</t>
  </si>
  <si>
    <t xml:space="preserve">Dsn Bendo, RT/RW 003/001, Bendorejo, Pogalan, Trenggalek</t>
  </si>
  <si>
    <t xml:space="preserve">RIZA ADIASA</t>
  </si>
  <si>
    <t xml:space="preserve">0001178249602</t>
  </si>
  <si>
    <t xml:space="preserve">3578015801990001</t>
  </si>
  <si>
    <t xml:space="preserve">Warugunung, RT/RW 005/003, Warugunung, Karang Pilang, Surabaya</t>
  </si>
  <si>
    <t xml:space="preserve">SALSABILA TSABITA</t>
  </si>
  <si>
    <t xml:space="preserve">0001189193995</t>
  </si>
  <si>
    <t xml:space="preserve">3578014809010002</t>
  </si>
  <si>
    <t xml:space="preserve">Warugunung, RT/RW 002/003, Warugunung, Karang Pilang, Surabaya</t>
  </si>
  <si>
    <t xml:space="preserve">SAMPURNO</t>
  </si>
  <si>
    <t xml:space="preserve">0001444285517</t>
  </si>
  <si>
    <t xml:space="preserve">3506152404840004</t>
  </si>
  <si>
    <t xml:space="preserve">Dsn. Klutuk, RT/RW 003/004, Kempleng, Purwoasri, Kediri</t>
  </si>
  <si>
    <t xml:space="preserve">SATRIA YUDHA PRASETYA</t>
  </si>
  <si>
    <t xml:space="preserve">0001706029839</t>
  </si>
  <si>
    <t xml:space="preserve">3507250804870001</t>
  </si>
  <si>
    <t xml:space="preserve">Warugunung, RT/RW 005/002, Warugunung, Karang Pilang, Surabaya</t>
  </si>
  <si>
    <t xml:space="preserve">SAYUDI</t>
  </si>
  <si>
    <t xml:space="preserve">0001130043306</t>
  </si>
  <si>
    <t xml:space="preserve">3578203103820003</t>
  </si>
  <si>
    <t xml:space="preserve">Gempol, RT/RW 002/003, Balas Klumprik, Wiyung, Surabaya</t>
  </si>
  <si>
    <t xml:space="preserve">SELY RISTYANINGRUM</t>
  </si>
  <si>
    <t xml:space="preserve">0001466527151</t>
  </si>
  <si>
    <t xml:space="preserve">3578015911930003</t>
  </si>
  <si>
    <t xml:space="preserve">SRI YUSTINI</t>
  </si>
  <si>
    <t xml:space="preserve">0001443302976</t>
  </si>
  <si>
    <t xml:space="preserve">3578015504750002</t>
  </si>
  <si>
    <t xml:space="preserve">SUKAMIASIH</t>
  </si>
  <si>
    <t xml:space="preserve">24056241805</t>
  </si>
  <si>
    <t xml:space="preserve">0001383765693</t>
  </si>
  <si>
    <t xml:space="preserve">3517177011890002</t>
  </si>
  <si>
    <t xml:space="preserve">Dsn Pateguhan Lor, RT/RW 004/033, Sumberteguh, Kudu, Jombang</t>
  </si>
  <si>
    <t xml:space="preserve">SUSIANI</t>
  </si>
  <si>
    <t xml:space="preserve">0001706158361</t>
  </si>
  <si>
    <t xml:space="preserve">3525155012870003</t>
  </si>
  <si>
    <t xml:space="preserve">Mulung, RT/RW 009/006, Mulung, Driyorejo, Gresik</t>
  </si>
  <si>
    <t xml:space="preserve">SUTAJI</t>
  </si>
  <si>
    <t xml:space="preserve">0001125440267</t>
  </si>
  <si>
    <t xml:space="preserve">3515131201770004</t>
  </si>
  <si>
    <t xml:space="preserve">Dsn Landean, RT/RW 006/003, Klotok, Plumpang, Tuban</t>
  </si>
  <si>
    <t xml:space="preserve">0001125475053</t>
  </si>
  <si>
    <t xml:space="preserve">3507131908810002</t>
  </si>
  <si>
    <t xml:space="preserve">Dsn Tempur, RT/RW 015/004, Kemiri, Kepanjen, Malang</t>
  </si>
  <si>
    <t xml:space="preserve">SYELA ERFIANTI</t>
  </si>
  <si>
    <t xml:space="preserve">27088914865</t>
  </si>
  <si>
    <t xml:space="preserve">0000760680472</t>
  </si>
  <si>
    <t xml:space="preserve">3525135008960001</t>
  </si>
  <si>
    <t xml:space="preserve">Dsn Mulung, RT/RW 014/007, Mulung, Driyorejo, Gresik</t>
  </si>
  <si>
    <t xml:space="preserve">TINO ADI MULYO</t>
  </si>
  <si>
    <t xml:space="preserve">0002635315604</t>
  </si>
  <si>
    <t xml:space="preserve">3515011704920003</t>
  </si>
  <si>
    <t xml:space="preserve">Tengahan, RT/RW 010/002, Kalimati, Tarik, Sidoarjo</t>
  </si>
  <si>
    <t xml:space="preserve">UTAMI DWI SULASMI</t>
  </si>
  <si>
    <t xml:space="preserve">0001384070646</t>
  </si>
  <si>
    <t xml:space="preserve">3578015810830001</t>
  </si>
  <si>
    <t xml:space="preserve">Warugunung, RT/RW 002/002, Warugunung, Karang Pilang, Surabaya</t>
  </si>
  <si>
    <t xml:space="preserve">AYU PURNAMASARI</t>
  </si>
  <si>
    <t xml:space="preserve">Pekalongan</t>
  </si>
  <si>
    <t xml:space="preserve">3202025510020009</t>
  </si>
  <si>
    <t xml:space="preserve">Sukabumi</t>
  </si>
  <si>
    <t xml:space="preserve">Cepoko Kuning, RT/RW 005/004, Cepokokuning, Batang, Batang</t>
  </si>
  <si>
    <t xml:space="preserve">6285865435374</t>
  </si>
  <si>
    <t xml:space="preserve">AZIZAH HAIRUNNISA</t>
  </si>
  <si>
    <t xml:space="preserve">6303024505060006</t>
  </si>
  <si>
    <t xml:space="preserve">Kertak Hanyar</t>
  </si>
  <si>
    <t xml:space="preserve">Jl. Sepakat No. 38, RT/RW 032/004, Pemurus Dalam, Banjarmasin Selatan, Banjarmasin</t>
  </si>
  <si>
    <t xml:space="preserve">RENDI ABDULLAH</t>
  </si>
  <si>
    <t xml:space="preserve">0002417241868</t>
  </si>
  <si>
    <t xml:space="preserve">3578041702900012</t>
  </si>
  <si>
    <t xml:space="preserve">Graha Mutiara Indah C4-20, RT/RW 003/010, Mojosarirejo, Driyorejo, Gresik</t>
  </si>
  <si>
    <t xml:space="preserve">MUHAMMAD DWIKI FERDIANSYAH</t>
  </si>
  <si>
    <t xml:space="preserve">0002158290415</t>
  </si>
  <si>
    <t xml:space="preserve">3525101907990001</t>
  </si>
  <si>
    <t xml:space="preserve">Jl. Pendopo 44, RT/RW 000/004, Sembayat, Manyar, Gresik</t>
  </si>
  <si>
    <t xml:space="preserve">M. AS'AD ABDULLAH</t>
  </si>
  <si>
    <t xml:space="preserve">24065925517</t>
  </si>
  <si>
    <t xml:space="preserve">0000757675337</t>
  </si>
  <si>
    <t xml:space="preserve">3524272412980001</t>
  </si>
  <si>
    <t xml:space="preserve">Kradenan, RT/RW 004/003, Sarirejo, Sarirejo, Lamongan</t>
  </si>
  <si>
    <t xml:space="preserve">AHMAD FATHONI</t>
  </si>
  <si>
    <t xml:space="preserve">0000758246139</t>
  </si>
  <si>
    <t xml:space="preserve">3524271609010001</t>
  </si>
  <si>
    <t xml:space="preserve">ANDRIK CAHYONO</t>
  </si>
  <si>
    <t xml:space="preserve">0001701725422</t>
  </si>
  <si>
    <t xml:space="preserve">3517042208930004</t>
  </si>
  <si>
    <t xml:space="preserve">Dsn Tegalrejo, RT/RW 004/001, Bareng, Bareng, Jombang</t>
  </si>
  <si>
    <t xml:space="preserve">RULI FIRDIYANTO</t>
  </si>
  <si>
    <t xml:space="preserve">0001538294231</t>
  </si>
  <si>
    <t xml:space="preserve">3525140802040001</t>
  </si>
  <si>
    <t xml:space="preserve">Mayjen Sungkono, RT/RW 006/002, Segoromadu, Kebomas, Gresik</t>
  </si>
  <si>
    <t xml:space="preserve">M. FATHUR ROHMAN</t>
  </si>
  <si>
    <t xml:space="preserve">0003246413512</t>
  </si>
  <si>
    <t xml:space="preserve">3507030601060003</t>
  </si>
  <si>
    <t xml:space="preserve">Sumberwaluh, RT/RW 030/004, Pringgondani, Bantur, Malang</t>
  </si>
  <si>
    <t xml:space="preserve">ARRY ANGGRIAWAN SUSANTO</t>
  </si>
  <si>
    <t xml:space="preserve">23029048449</t>
  </si>
  <si>
    <t xml:space="preserve">0002999429785</t>
  </si>
  <si>
    <t xml:space="preserve">3578112707890002</t>
  </si>
  <si>
    <t xml:space="preserve">Donokerto, RT/RW 004/002, Kapasan, Simokerto, Surabaya</t>
  </si>
  <si>
    <t xml:space="preserve">LEO REZA TRI BUDIANSYAH</t>
  </si>
  <si>
    <t xml:space="preserve">0001727752961</t>
  </si>
  <si>
    <t xml:space="preserve">3525133107040003</t>
  </si>
  <si>
    <t xml:space="preserve">Laban, RT/RW 023/002, Laban, Menganti, Gresik</t>
  </si>
  <si>
    <t xml:space="preserve">MUHAMMAD ANDI SETIAWAN</t>
  </si>
  <si>
    <t xml:space="preserve">0003217411798</t>
  </si>
  <si>
    <t xml:space="preserve">3525130112920001</t>
  </si>
  <si>
    <t xml:space="preserve">Padangan, RT/RW 018/006, Randupandangan, Menganti, Gresik</t>
  </si>
  <si>
    <t xml:space="preserve">DAFFA FADHILLAH ARDHIYAS</t>
  </si>
  <si>
    <t xml:space="preserve">0001179469012</t>
  </si>
  <si>
    <t xml:space="preserve">3578231903030001</t>
  </si>
  <si>
    <t xml:space="preserve">Jl. Karah 5/41, RT/RW 004/005, Karah, Jambangan, Surabaya</t>
  </si>
  <si>
    <t xml:space="preserve">MOHAMMAD LUBABUL ARIFIN</t>
  </si>
  <si>
    <t xml:space="preserve">0002733844061</t>
  </si>
  <si>
    <t xml:space="preserve">3524271604050001</t>
  </si>
  <si>
    <t xml:space="preserve">CECILIA YOAN ENDANA</t>
  </si>
  <si>
    <t xml:space="preserve">0002905945503</t>
  </si>
  <si>
    <t xml:space="preserve">Kota Semarang</t>
  </si>
  <si>
    <t xml:space="preserve">1401184903000002</t>
  </si>
  <si>
    <t xml:space="preserve">Kampar</t>
  </si>
  <si>
    <t xml:space="preserve">Jl. Karang Gawang Baru RT/RW 009/006 Tandang, Tembalang, Semarang</t>
  </si>
  <si>
    <t xml:space="preserve">KETUT SUTRI HIDAYANTI</t>
  </si>
  <si>
    <t xml:space="preserve">0003561746883</t>
  </si>
  <si>
    <t xml:space="preserve">7204075111030004</t>
  </si>
  <si>
    <t xml:space="preserve">Jl. Lagarutu Mo. 2, RT/RW 001/005, Talise Valangguni, Mantikulore, Palu</t>
  </si>
  <si>
    <t xml:space="preserve">RISKI ARI FEBRIANSYAH</t>
  </si>
  <si>
    <t xml:space="preserve">25000324966</t>
  </si>
  <si>
    <t xml:space="preserve">0000762334378</t>
  </si>
  <si>
    <t xml:space="preserve">3525111502980002</t>
  </si>
  <si>
    <t xml:space="preserve">Cermekidul, RT/RW 002/002, Cermekidul, Cerme, Gresik</t>
  </si>
  <si>
    <t xml:space="preserve">DANNI MAHENDRA</t>
  </si>
  <si>
    <t xml:space="preserve">0001161901473</t>
  </si>
  <si>
    <t xml:space="preserve">3525156201020002</t>
  </si>
  <si>
    <t xml:space="preserve">Jl. Semeru I, RT/RW 004/002, Bambe, Driyorejo, Gresik</t>
  </si>
  <si>
    <t xml:space="preserve">DODIK ADI CHANDRA</t>
  </si>
  <si>
    <t xml:space="preserve">0002811172689</t>
  </si>
  <si>
    <t xml:space="preserve">3524061801010002</t>
  </si>
  <si>
    <t xml:space="preserve">ADITIYA DWI ANDIKA</t>
  </si>
  <si>
    <t xml:space="preserve">0001162322908</t>
  </si>
  <si>
    <t xml:space="preserve">3515130905040003</t>
  </si>
  <si>
    <t xml:space="preserve">Jatikalang, RT/RW 002/003, Jatikalang, Krian, Sidoarjo</t>
  </si>
  <si>
    <t xml:space="preserve">ANDIKA DIYAN PRATAMA</t>
  </si>
  <si>
    <t xml:space="preserve">0000760749816</t>
  </si>
  <si>
    <t xml:space="preserve">3525151009020004</t>
  </si>
  <si>
    <t xml:space="preserve">Dsn Paras, RT/RW 006/003, Mulung, Driyorejo, Gresik</t>
  </si>
  <si>
    <t xml:space="preserve">IMAM BUCHORI</t>
  </si>
  <si>
    <t xml:space="preserve">28050273900</t>
  </si>
  <si>
    <t xml:space="preserve">0002999266672</t>
  </si>
  <si>
    <t xml:space="preserve">3578141711000001</t>
  </si>
  <si>
    <t xml:space="preserve">Jl. Gadel Tengah Gg 4 No. 4, RT/RW 005/006, Karangpoh, Tandes, Surabaya</t>
  </si>
  <si>
    <t xml:space="preserve">M. NUR SYAIFUDIN</t>
  </si>
  <si>
    <t xml:space="preserve">0000720260515</t>
  </si>
  <si>
    <t xml:space="preserve">3515072507960006</t>
  </si>
  <si>
    <t xml:space="preserve">Sugihwaras, RT/RW 015/004, Sugihwaras, Candi, Sidoarjo</t>
  </si>
  <si>
    <t xml:space="preserve">MUHAMMAD YUSUF</t>
  </si>
  <si>
    <t xml:space="preserve">20009541858</t>
  </si>
  <si>
    <t xml:space="preserve">0001540838968</t>
  </si>
  <si>
    <t xml:space="preserve">3525151712960002</t>
  </si>
  <si>
    <t xml:space="preserve">Kesamben Wetan, RT/RW 010/002, Kesamben Wetan, Driyorejo, Gresik</t>
  </si>
  <si>
    <t xml:space="preserve">UMAR KHOLIK SISWANTO</t>
  </si>
  <si>
    <t xml:space="preserve">0000761662056</t>
  </si>
  <si>
    <t xml:space="preserve">3525041406930003</t>
  </si>
  <si>
    <t xml:space="preserve">Benowo 5 No. 04, RT/RW 007/002, Benowo, Pakal, Surabaya</t>
  </si>
  <si>
    <t xml:space="preserve">ELVA ALI FIRMANSYAH</t>
  </si>
  <si>
    <t xml:space="preserve">3518052706020004</t>
  </si>
  <si>
    <t xml:space="preserve">Jl. Arjuna, RT/RW 001/001, Gemenggeng, Pace, Nganjuk</t>
  </si>
  <si>
    <t xml:space="preserve">AKHMAD NAUFAL KHILMI</t>
  </si>
  <si>
    <t xml:space="preserve">3515020907020001</t>
  </si>
  <si>
    <t xml:space="preserve">Dsn Bogem, RT/RW 003/001, Bogempinggir, Balongbendo, Sidoarjo</t>
  </si>
  <si>
    <t xml:space="preserve">WAHYU MAHADI SETIAWAN</t>
  </si>
  <si>
    <t xml:space="preserve">PT SEKAWAN INTIPLAST - C</t>
  </si>
  <si>
    <t xml:space="preserve">3578012910960001</t>
  </si>
  <si>
    <t xml:space="preserve">Warugunung, RT/RW 003/002, Warugunung, Karang Pilang, Surabaya</t>
  </si>
  <si>
    <t xml:space="preserve">CHINTYA AUDREW NATALIA</t>
  </si>
  <si>
    <t xml:space="preserve">MANGKIR</t>
  </si>
  <si>
    <t xml:space="preserve">0001774423798</t>
  </si>
  <si>
    <t xml:space="preserve">3515085612960002</t>
  </si>
  <si>
    <t xml:space="preserve">Jl. Apel No. 16, RT/RW 003/004, Ketajen, Gedangan, Sidoarjo</t>
  </si>
  <si>
    <t xml:space="preserve">DWI LASTYAH RINI</t>
  </si>
  <si>
    <t xml:space="preserve">0002264285597</t>
  </si>
  <si>
    <t xml:space="preserve">3517195511970001</t>
  </si>
  <si>
    <t xml:space="preserve">Jemur Wonosari Gg. Buntu No. 22A Surabaya</t>
  </si>
  <si>
    <t xml:space="preserve">DWI PUSPITA SARI</t>
  </si>
  <si>
    <t xml:space="preserve">0000684685124</t>
  </si>
  <si>
    <t xml:space="preserve">3507286805010001</t>
  </si>
  <si>
    <t xml:space="preserve">Dsn.Bocok RT/RW 004/004 Pondokagung, Kasembon, Malang</t>
  </si>
  <si>
    <t xml:space="preserve">DWI WULAN ANGGRAINI</t>
  </si>
  <si>
    <t xml:space="preserve">0001702353317</t>
  </si>
  <si>
    <t xml:space="preserve">3515135206960001</t>
  </si>
  <si>
    <t xml:space="preserve">Bohar Selatan, RT/RW 005/003, Bohar, Taman, Sidoarjo</t>
  </si>
  <si>
    <t xml:space="preserve">ESA KURNIAWAN</t>
  </si>
  <si>
    <t xml:space="preserve">23069492359</t>
  </si>
  <si>
    <t xml:space="preserve">0000730017854</t>
  </si>
  <si>
    <t xml:space="preserve">3517122003970001</t>
  </si>
  <si>
    <t xml:space="preserve">Dsn Rembungwangi, RT/RW 002/005, Watudakon, Kesamben, Jombang</t>
  </si>
  <si>
    <t xml:space="preserve">FIFI APRILIA RATNASARI</t>
  </si>
  <si>
    <t xml:space="preserve">27022032711</t>
  </si>
  <si>
    <t xml:space="preserve">0003561621377</t>
  </si>
  <si>
    <t xml:space="preserve">3524044204980003</t>
  </si>
  <si>
    <t xml:space="preserve">Balong, RT/RW 001/007, Sendangrejo, Ngimbang, Lamongan</t>
  </si>
  <si>
    <t xml:space="preserve">FIFIN FAUZIYAH</t>
  </si>
  <si>
    <t xml:space="preserve">0001983891339</t>
  </si>
  <si>
    <t xml:space="preserve">3515036009990002</t>
  </si>
  <si>
    <t xml:space="preserve">Dsn Grajakan, RT/RW 016/008, Wangkal, Krembung, Sidoarjo</t>
  </si>
  <si>
    <t xml:space="preserve">FITRIA NURUL HIDAYAH</t>
  </si>
  <si>
    <t xml:space="preserve">0002164326129</t>
  </si>
  <si>
    <t xml:space="preserve">3515134611020007</t>
  </si>
  <si>
    <t xml:space="preserve">Jl. Raya Taruna No.92, RT/RW 007/001, Wage, Taman, Sidoarjo</t>
  </si>
  <si>
    <t xml:space="preserve">HADRATUS BATI MAULANA</t>
  </si>
  <si>
    <t xml:space="preserve">0001161895048</t>
  </si>
  <si>
    <t xml:space="preserve">3515182707000007</t>
  </si>
  <si>
    <t xml:space="preserve">Jl. Joyo Boyo 53-B, RT/RW 020/002, Madaeng, Waru, Sidoarjo</t>
  </si>
  <si>
    <t xml:space="preserve">ILHAM RAMADHAN ALI SHABA</t>
  </si>
  <si>
    <t xml:space="preserve">0003107556314</t>
  </si>
  <si>
    <t xml:space="preserve">3515181702030006</t>
  </si>
  <si>
    <t xml:space="preserve">Jl. Sunan Ampel, RT/RW 014/004, Sugihwaras, Candi, Sidoarjo</t>
  </si>
  <si>
    <t xml:space="preserve">MOH. GALANG RAMADHANI</t>
  </si>
  <si>
    <t xml:space="preserve">0000760889722</t>
  </si>
  <si>
    <t xml:space="preserve">3525130411020002</t>
  </si>
  <si>
    <t xml:space="preserve">Menganti, RT/RW 033/011, Menganti, Menganti, Gresik</t>
  </si>
  <si>
    <t xml:space="preserve">MARIYA ULFATUS SHOLIKAH</t>
  </si>
  <si>
    <t xml:space="preserve">0001301967562</t>
  </si>
  <si>
    <t xml:space="preserve">3515165610040004</t>
  </si>
  <si>
    <t xml:space="preserve">Keboansikep, RT/RW 007/004, Keboansikep, Gedangan, Sidoarjo</t>
  </si>
  <si>
    <t xml:space="preserve">MEILANY EKA WIDYA</t>
  </si>
  <si>
    <t xml:space="preserve">0002736293679</t>
  </si>
  <si>
    <t xml:space="preserve">3515165905040001</t>
  </si>
  <si>
    <t xml:space="preserve">Keboansikep, RT/RW 008/001, Keboansikep, Gedangan, Sidoarjo</t>
  </si>
  <si>
    <t xml:space="preserve">MISBAKHUL ANSORI</t>
  </si>
  <si>
    <t xml:space="preserve">0002164243364</t>
  </si>
  <si>
    <t xml:space="preserve">3515130412030005</t>
  </si>
  <si>
    <t xml:space="preserve">Bohar Timur, RT/RW 013/007, Bohar, Taman, Sidoarjo</t>
  </si>
  <si>
    <t xml:space="preserve">0000787496253</t>
  </si>
  <si>
    <t xml:space="preserve">3578080710030001</t>
  </si>
  <si>
    <t xml:space="preserve">Kalibokor 5/5, RT/RW 009/006, Pucang Sewu, Gubeng, Surabaya</t>
  </si>
  <si>
    <t xml:space="preserve">SALSABILA CAHYA DEWI</t>
  </si>
  <si>
    <t xml:space="preserve">0003561728106</t>
  </si>
  <si>
    <t xml:space="preserve">3515146503020006</t>
  </si>
  <si>
    <t xml:space="preserve">Suko, RT/RW 002/001, Suko, Sukodono, Sidoarjo</t>
  </si>
  <si>
    <t xml:space="preserve">SAYYIDA ALIYAH</t>
  </si>
  <si>
    <t xml:space="preserve">0003561621445</t>
  </si>
  <si>
    <t xml:space="preserve">3515185908030002</t>
  </si>
  <si>
    <t xml:space="preserve">Jl. Kol. Sugiono 42, RT/RW 002/003, Wedoro, Waru, Sidoarjo</t>
  </si>
  <si>
    <t xml:space="preserve">SULISTIONO</t>
  </si>
  <si>
    <t xml:space="preserve">0001854098144</t>
  </si>
  <si>
    <t xml:space="preserve">3578223008950002</t>
  </si>
  <si>
    <t xml:space="preserve">Kloposepuluh, RT/RW 022/005, Kloposepuluh, Sukodono, Sidoarjo</t>
  </si>
  <si>
    <t xml:space="preserve">YOVI FIKRIANSYAH</t>
  </si>
  <si>
    <t xml:space="preserve">22046400859</t>
  </si>
  <si>
    <t xml:space="preserve">0000721151976</t>
  </si>
  <si>
    <t xml:space="preserve">3515091611040001</t>
  </si>
  <si>
    <t xml:space="preserve">Jati Krajan, RT/RW 004/001, Jati, Tulangan, Sidoarjo</t>
  </si>
  <si>
    <t xml:space="preserve">DWIKY DANI ARFI</t>
  </si>
  <si>
    <t xml:space="preserve">0002164463267</t>
  </si>
  <si>
    <t xml:space="preserve">3515040607000002</t>
  </si>
  <si>
    <t xml:space="preserve">Dsn. Kesaben RT/RW 014/003 Wunut, Porong, Sidoarjo</t>
  </si>
  <si>
    <t xml:space="preserve">PT LION WINGS</t>
  </si>
  <si>
    <t xml:space="preserve">0001906476366</t>
  </si>
  <si>
    <t xml:space="preserve">3524232704910001</t>
  </si>
  <si>
    <t xml:space="preserve">Klating, RT/RW 002/001, Takeranklating, Tikung, Lamongan</t>
  </si>
  <si>
    <t xml:space="preserve">RUDI PRASETYO</t>
  </si>
  <si>
    <t xml:space="preserve">0001395362575</t>
  </si>
  <si>
    <t xml:space="preserve">3578273105950002</t>
  </si>
  <si>
    <t xml:space="preserve">Simorejo Sari A-10/12, RT/RW 007/006, Simomulyo Baru, Sukomanunggal, Surabaya</t>
  </si>
  <si>
    <t xml:space="preserve">KHOTIBUL UMAM</t>
  </si>
  <si>
    <t xml:space="preserve">0001826299484</t>
  </si>
  <si>
    <t xml:space="preserve">3525162907020003</t>
  </si>
  <si>
    <t xml:space="preserve">Gub. Suryo Gg.5-E/24, RT/RW 003/002, Tlogopojok, Gresik, Gresik</t>
  </si>
  <si>
    <t xml:space="preserve">PUTRA ARDI ANSYAH</t>
  </si>
  <si>
    <t xml:space="preserve">29079873200</t>
  </si>
  <si>
    <t xml:space="preserve">0002143988875</t>
  </si>
  <si>
    <t xml:space="preserve">3522031408980001</t>
  </si>
  <si>
    <t xml:space="preserve">Desa Sendangrejo, RT/RW 005/002, Sendangrejo, Tambakrejo, Bojonegoro</t>
  </si>
  <si>
    <t xml:space="preserve">CHARMEILA PUTRI DARMAYANTI</t>
  </si>
  <si>
    <t xml:space="preserve">0000641099687</t>
  </si>
  <si>
    <t xml:space="preserve">3372036005020004</t>
  </si>
  <si>
    <t xml:space="preserve">Semanggi, RT/RW 002/007, Semanggi, Pasar Kliwon, Surakarta</t>
  </si>
  <si>
    <t xml:space="preserve">AHMAD ZAWADHIL UBAID</t>
  </si>
  <si>
    <t xml:space="preserve">0001534821366</t>
  </si>
  <si>
    <t xml:space="preserve">3515150703910001</t>
  </si>
  <si>
    <t xml:space="preserve">Jl. Niaga Gg Buntu Ii /09, RT/RW 002/001, Sentanan, Kranggan, Mojokerto</t>
  </si>
  <si>
    <t xml:space="preserve">HERI ROMADONI</t>
  </si>
  <si>
    <t xml:space="preserve">0001534822176</t>
  </si>
  <si>
    <t xml:space="preserve">3515070303930001</t>
  </si>
  <si>
    <t xml:space="preserve">Dsn. Sumotuwo, RT/RW 002/005, Sumorare, Candi, Sidoarjo</t>
  </si>
  <si>
    <t xml:space="preserve">GAYATRI AMELIA PUTRI</t>
  </si>
  <si>
    <t xml:space="preserve">20080623201</t>
  </si>
  <si>
    <t xml:space="preserve">0002257001245</t>
  </si>
  <si>
    <t xml:space="preserve">3522165301030001</t>
  </si>
  <si>
    <t xml:space="preserve">Dusun Manukan, RT/RW 011/002, Manukan, Gayam, Bojonegoro</t>
  </si>
  <si>
    <t xml:space="preserve">ANGGRAINI CAHYARANI</t>
  </si>
  <si>
    <t xml:space="preserve">20098326389</t>
  </si>
  <si>
    <t xml:space="preserve">3578015206040001</t>
  </si>
  <si>
    <t xml:space="preserve">PT NIPSEA PAINT AND CHEMICALS (MALANG)</t>
  </si>
  <si>
    <t xml:space="preserve">0001135619875</t>
  </si>
  <si>
    <t xml:space="preserve">Kab. Malang</t>
  </si>
  <si>
    <t xml:space="preserve">3573050305800002</t>
  </si>
  <si>
    <t xml:space="preserve">Jl. Tirtojoyo Genting, RT/RW 002/007, Merjosari, Lowokwaru, Malang</t>
  </si>
  <si>
    <t xml:space="preserve">M. TOHIRIN</t>
  </si>
  <si>
    <t xml:space="preserve">0001534822839</t>
  </si>
  <si>
    <t xml:space="preserve">3515072004920001</t>
  </si>
  <si>
    <t xml:space="preserve">Kedungmulyo, RT/RW 001/001, Kedungpeluk, Candi, Sidoarjo</t>
  </si>
  <si>
    <t xml:space="preserve">DHAMMA SUKHITO</t>
  </si>
  <si>
    <t xml:space="preserve">PT VARIA CIPTA PRATAMA (STAFF)</t>
  </si>
  <si>
    <t xml:space="preserve">0001705529957</t>
  </si>
  <si>
    <t xml:space="preserve">3671072105910001</t>
  </si>
  <si>
    <t xml:space="preserve">Tangerang</t>
  </si>
  <si>
    <t xml:space="preserve">Jl. Ks Tubun, RT/RW 002/004, Koang Jaya, Karawaci, Tangerang</t>
  </si>
  <si>
    <t xml:space="preserve">Buddha</t>
  </si>
  <si>
    <t xml:space="preserve">PRATIWI DANIATI</t>
  </si>
  <si>
    <t xml:space="preserve">0002683417882</t>
  </si>
  <si>
    <t xml:space="preserve">Content Creator</t>
  </si>
  <si>
    <t xml:space="preserve">3578156905010002</t>
  </si>
  <si>
    <t xml:space="preserve">Tambak Asri 299, RT/RW 007/009, Morokrembangan, Krembangan, Surabaya</t>
  </si>
  <si>
    <t xml:space="preserve">ERITA DEVY PRASTIKA</t>
  </si>
  <si>
    <t xml:space="preserve">PT SUMBER KOPI PRIMA (HARIAN LEPAS)</t>
  </si>
  <si>
    <t xml:space="preserve">Reliever</t>
  </si>
  <si>
    <t xml:space="preserve">3516164403990003</t>
  </si>
  <si>
    <t xml:space="preserve">Dusun Sawo, RT/RW 004/001, Sawo, Jetis, Mojokerto</t>
  </si>
  <si>
    <t xml:space="preserve">ABDUL SANGGRA WICAKSONO</t>
  </si>
  <si>
    <t xml:space="preserve">0002318418944</t>
  </si>
  <si>
    <t xml:space="preserve">3525130411990001</t>
  </si>
  <si>
    <t xml:space="preserve">Laban, RT/RW 025/002, Laban, Menganti, Gresik</t>
  </si>
  <si>
    <t xml:space="preserve">CINDY ASTARI KOPONG</t>
  </si>
  <si>
    <t xml:space="preserve">0001544509258</t>
  </si>
  <si>
    <t xml:space="preserve">3578136707960003</t>
  </si>
  <si>
    <t xml:space="preserve">Sikka</t>
  </si>
  <si>
    <t xml:space="preserve">Kepatian 8/8, RT/RW 003/004, Alon-Alon Contong, Bubutan, Surabaya</t>
  </si>
  <si>
    <t xml:space="preserve">ARNIYANSYAH</t>
  </si>
  <si>
    <t xml:space="preserve">0002085682915</t>
  </si>
  <si>
    <t xml:space="preserve">6472040103780007</t>
  </si>
  <si>
    <t xml:space="preserve">Jl. Pelita 6 Sambutan, RT/RW 018/000, Sambutan, Sambutan, Samarinda</t>
  </si>
  <si>
    <t xml:space="preserve">MUHAMMAD NASRULLAH AKBAR</t>
  </si>
  <si>
    <t xml:space="preserve">0000786387587</t>
  </si>
  <si>
    <t xml:space="preserve">3578012611030001</t>
  </si>
  <si>
    <t xml:space="preserve">Karangpilang Barat, RT/RW 005/003, Karangpilang, Karang Pilang, Surabaya</t>
  </si>
  <si>
    <t xml:space="preserve">SITI NUR ROCHAYATI</t>
  </si>
  <si>
    <t xml:space="preserve">28069284140</t>
  </si>
  <si>
    <t xml:space="preserve">0000588513881</t>
  </si>
  <si>
    <t xml:space="preserve">Pati</t>
  </si>
  <si>
    <t xml:space="preserve">3318156712010001</t>
  </si>
  <si>
    <t xml:space="preserve">Jontro, RT/RW 002/001, Jontro, Wedarijaksa, Pati</t>
  </si>
  <si>
    <t xml:space="preserve">CINDIA ANGGAI</t>
  </si>
  <si>
    <t xml:space="preserve">28027448570</t>
  </si>
  <si>
    <t xml:space="preserve">Manado</t>
  </si>
  <si>
    <t xml:space="preserve">7101334503050001</t>
  </si>
  <si>
    <t xml:space="preserve">Toruakat</t>
  </si>
  <si>
    <t xml:space="preserve">Dusun I, RT/RW 000/000, Toruakat, Dumoga, Kab. Bolaang Mongondow</t>
  </si>
  <si>
    <t xml:space="preserve">FANNY OKTAVIANI</t>
  </si>
  <si>
    <t xml:space="preserve">27080667172</t>
  </si>
  <si>
    <t xml:space="preserve">0001174862529</t>
  </si>
  <si>
    <t xml:space="preserve">1371034110920006</t>
  </si>
  <si>
    <t xml:space="preserve">Pasir Purus Atas, RT/RW 003/004, Rimbo Kaluang, Padang Barat, Padang</t>
  </si>
  <si>
    <t xml:space="preserve">CINDY MELIZA PUTRI</t>
  </si>
  <si>
    <t xml:space="preserve">0001628135188</t>
  </si>
  <si>
    <t xml:space="preserve">Lhokseumawe</t>
  </si>
  <si>
    <t xml:space="preserve">1108025605000002</t>
  </si>
  <si>
    <t xml:space="preserve">Dusun Madat, RT/RW 000/000, Paloh Lada, Dewantara, Aceh Utara</t>
  </si>
  <si>
    <t xml:space="preserve">CINDY PERMATASARI</t>
  </si>
  <si>
    <t xml:space="preserve">1207224403040001</t>
  </si>
  <si>
    <t xml:space="preserve">Deli Tua</t>
  </si>
  <si>
    <t xml:space="preserve">Jln. Darma Lk. I, RT/RW 004/002, Deli Tua, Deli tua, Deli Serdang</t>
  </si>
  <si>
    <t xml:space="preserve">DANIVA INDAH ASYARI</t>
  </si>
  <si>
    <t xml:space="preserve">0000284143241</t>
  </si>
  <si>
    <t xml:space="preserve">1371115601010009</t>
  </si>
  <si>
    <t xml:space="preserve">Pasar Usang</t>
  </si>
  <si>
    <t xml:space="preserve">Komp. Mekar Melati D8, RT/RW 004/001, Lubuk Minturun, Koto Tengah, Padang</t>
  </si>
  <si>
    <t xml:space="preserve">NADIA KAREN</t>
  </si>
  <si>
    <t xml:space="preserve">23014301540</t>
  </si>
  <si>
    <t xml:space="preserve">0003537044043</t>
  </si>
  <si>
    <t xml:space="preserve">6371015305040006</t>
  </si>
  <si>
    <t xml:space="preserve">Jl. Rk Ilir, RT/RW 007/001, Kelayan Selatan, Banjarmasin Selatan, Banjarmasin</t>
  </si>
  <si>
    <t xml:space="preserve">YOSI SAPITA DEWI</t>
  </si>
  <si>
    <t xml:space="preserve">0001731502449</t>
  </si>
  <si>
    <t xml:space="preserve">1409114405990002</t>
  </si>
  <si>
    <t xml:space="preserve">Pulau Busuk</t>
  </si>
  <si>
    <t xml:space="preserve">Pulau Busuk, RT/RW 010/005, Pulau Busuk Jaya, Inuman, Kuantan Singingi</t>
  </si>
  <si>
    <t xml:space="preserve">LUKAS ROMEIRO</t>
  </si>
  <si>
    <t xml:space="preserve">3525152105000001</t>
  </si>
  <si>
    <t xml:space="preserve">Bambe, RT/RW 000/001, Bambe, Driyorejo, Gresik</t>
  </si>
  <si>
    <t xml:space="preserve">MUHAMMAD RIF'AN JUNAIDI</t>
  </si>
  <si>
    <t xml:space="preserve">0001047219164</t>
  </si>
  <si>
    <t xml:space="preserve">3524271706050001</t>
  </si>
  <si>
    <t xml:space="preserve">SEPRIDA TEGUH DWI ARDION</t>
  </si>
  <si>
    <t xml:space="preserve">0002497375912</t>
  </si>
  <si>
    <t xml:space="preserve">3524022709990001</t>
  </si>
  <si>
    <t xml:space="preserve">Suren, RT/RW 004/004, Bluluk, Bluluk, Lamongan</t>
  </si>
  <si>
    <t xml:space="preserve">BANDI ACHMADI</t>
  </si>
  <si>
    <t xml:space="preserve">0000723805108</t>
  </si>
  <si>
    <t xml:space="preserve">3516042308980002</t>
  </si>
  <si>
    <t xml:space="preserve">Dsn. Balekambang RT/RW 001/001 Seloliman, Trawas, Mojokerto</t>
  </si>
  <si>
    <t xml:space="preserve">MULYONO</t>
  </si>
  <si>
    <t xml:space="preserve">0001446632515</t>
  </si>
  <si>
    <t xml:space="preserve">3525160408920001</t>
  </si>
  <si>
    <t xml:space="preserve">AHMAD ZAINNURRUDDIN</t>
  </si>
  <si>
    <t xml:space="preserve">0001828085321</t>
  </si>
  <si>
    <t xml:space="preserve">Mandor Gudang</t>
  </si>
  <si>
    <t xml:space="preserve">3515172308740002</t>
  </si>
  <si>
    <t xml:space="preserve">Jl. Sedati Agung II, RT/RW 009/003, Sedati Agung, Sedati, Sidoarjo</t>
  </si>
  <si>
    <t xml:space="preserve">ABDUL MUHID</t>
  </si>
  <si>
    <t xml:space="preserve">0001125966982</t>
  </si>
  <si>
    <t xml:space="preserve">3525150601710001</t>
  </si>
  <si>
    <t xml:space="preserve">Randegan Randengansari, RT/RW 001/007, Randegansari, Driyorejo, Gresik</t>
  </si>
  <si>
    <t xml:space="preserve">DWI LESTARI</t>
  </si>
  <si>
    <t xml:space="preserve">0001130020356</t>
  </si>
  <si>
    <t xml:space="preserve">3525066408750001</t>
  </si>
  <si>
    <t xml:space="preserve">Sidowaras, RT/RW 001/001, Lebaniwaras, Wringinanom, Gresik</t>
  </si>
  <si>
    <t xml:space="preserve">SRIATUN</t>
  </si>
  <si>
    <t xml:space="preserve">0001127128432</t>
  </si>
  <si>
    <t xml:space="preserve">3519095707770003</t>
  </si>
  <si>
    <t xml:space="preserve">Sukolilo, RT/RW 007/003, Sukolilo, Jiwan, Madiun</t>
  </si>
  <si>
    <t xml:space="preserve">BAMBANG ARDIANTO</t>
  </si>
  <si>
    <t xml:space="preserve">24086844318</t>
  </si>
  <si>
    <t xml:space="preserve">0002810874824</t>
  </si>
  <si>
    <t xml:space="preserve">3523081106970003</t>
  </si>
  <si>
    <t xml:space="preserve">Dusun Kerek, RT/RW 002/002, Margomulyo, Kerek, Tuban</t>
  </si>
  <si>
    <t xml:space="preserve">BUSTANUL ARIFIN</t>
  </si>
  <si>
    <t xml:space="preserve">0001132364845</t>
  </si>
  <si>
    <t xml:space="preserve">3524201206840002</t>
  </si>
  <si>
    <t xml:space="preserve">Jln. Strobery Blok 0 127 Perum Cerme Indah, RT/RW 004/004, Betiting, Cerme, Gresik</t>
  </si>
  <si>
    <t xml:space="preserve">TOTOK WAHYUDI</t>
  </si>
  <si>
    <t xml:space="preserve">0001135386369</t>
  </si>
  <si>
    <t xml:space="preserve">3571031607750001</t>
  </si>
  <si>
    <t xml:space="preserve">Jl. Letjen Sutoyo 89-D, RT/RW 007/001, Bangsal, Pesantren, Kediri</t>
  </si>
  <si>
    <t xml:space="preserve">M. WAHYU RISQI</t>
  </si>
  <si>
    <t xml:space="preserve">0003501706465</t>
  </si>
  <si>
    <t xml:space="preserve">3516161408980001</t>
  </si>
  <si>
    <t xml:space="preserve">Gedangan, RT/RW 001/004, Jolotundo, Jetis, Mojokerto</t>
  </si>
  <si>
    <t xml:space="preserve">ANDI NURDIANSAH</t>
  </si>
  <si>
    <t xml:space="preserve">0001434566575</t>
  </si>
  <si>
    <t xml:space="preserve">3525131306930003</t>
  </si>
  <si>
    <t xml:space="preserve">Laban, RT/RW 007/004, Laban, Menganti, Gresik</t>
  </si>
  <si>
    <t xml:space="preserve">MOCHAMAD DWI DRIANTAMA</t>
  </si>
  <si>
    <t xml:space="preserve">0001163225856</t>
  </si>
  <si>
    <t xml:space="preserve">3515102709000002</t>
  </si>
  <si>
    <t xml:space="preserve">Tanggul Wetan, RT/RW 003/002, Tanggul, Wonoayu, Sidoarjo</t>
  </si>
  <si>
    <t xml:space="preserve">WARJIANTO</t>
  </si>
  <si>
    <t xml:space="preserve">3521172012970002</t>
  </si>
  <si>
    <t xml:space="preserve">Mengger, RT/RW 001/005, Mengger, Karanganyar, Ngawi</t>
  </si>
  <si>
    <t xml:space="preserve">JUHANA ARISKA</t>
  </si>
  <si>
    <t xml:space="preserve">20024332536</t>
  </si>
  <si>
    <t xml:space="preserve">3517044907980002</t>
  </si>
  <si>
    <t xml:space="preserve">Jenek Wetan, RT/RW 014/003, Krembangan, Taman, Sidoarjo</t>
  </si>
  <si>
    <t xml:space="preserve">AGENG PAMBUDI</t>
  </si>
  <si>
    <t xml:space="preserve">25093687780</t>
  </si>
  <si>
    <t xml:space="preserve">3515151310820001</t>
  </si>
  <si>
    <t xml:space="preserve">Punggul, RT/RW 003/001, Punggul, Gedangan, Sidoarjo</t>
  </si>
  <si>
    <t xml:space="preserve">SANNDY HENDRA SAPUTRO</t>
  </si>
  <si>
    <t xml:space="preserve">0002040063309</t>
  </si>
  <si>
    <t xml:space="preserve">3573052105970004</t>
  </si>
  <si>
    <t xml:space="preserve">Jl. Akordion No. 36, RT/RW 002/001, Tunggulwulung, Lowokwaru, Malang</t>
  </si>
  <si>
    <t xml:space="preserve">RISMAYANI</t>
  </si>
  <si>
    <t xml:space="preserve">0002470808722</t>
  </si>
  <si>
    <t xml:space="preserve">Palopo</t>
  </si>
  <si>
    <t xml:space="preserve">7318055204990009</t>
  </si>
  <si>
    <t xml:space="preserve">Jl. Andi Achmad, RT/RW 001/002, Murante, Mungkajang, Palopo</t>
  </si>
  <si>
    <t xml:space="preserve">DEA REVISKA</t>
  </si>
  <si>
    <t xml:space="preserve">28062095935</t>
  </si>
  <si>
    <t xml:space="preserve">Pangkal Pinang</t>
  </si>
  <si>
    <t xml:space="preserve">1905035312030005</t>
  </si>
  <si>
    <t xml:space="preserve">Kapit</t>
  </si>
  <si>
    <t xml:space="preserve">Jl. Raya Kapit Timur, RT/RW 007/000, Kapit, Parittiga, Kab. Bangka Barat</t>
  </si>
  <si>
    <t xml:space="preserve">DEA SEFIANA</t>
  </si>
  <si>
    <t xml:space="preserve">Pontianak</t>
  </si>
  <si>
    <t xml:space="preserve">6102155212020001</t>
  </si>
  <si>
    <t xml:space="preserve">PENITI BESAR</t>
  </si>
  <si>
    <t xml:space="preserve">JL. RAYA PARIT BUGIS, RT 002/001, PARIT BUGIS, SEGEDONG, KAB. MEMPAWAH</t>
  </si>
  <si>
    <t xml:space="preserve">083153000144</t>
  </si>
  <si>
    <t xml:space="preserve">EGGY HAPPY NUR</t>
  </si>
  <si>
    <t xml:space="preserve">0001702348582</t>
  </si>
  <si>
    <t xml:space="preserve">3515132609000015</t>
  </si>
  <si>
    <t xml:space="preserve">Dsn. Balun Gang Swadaya RT/RW 009/005 Bohar, Taman, Sidoarjo</t>
  </si>
  <si>
    <t xml:space="preserve">ELFIRA MEILINDA</t>
  </si>
  <si>
    <t xml:space="preserve">21086387829</t>
  </si>
  <si>
    <t xml:space="preserve">3515166805990003</t>
  </si>
  <si>
    <t xml:space="preserve">Jl. Jadamsari, RT/RW 001/006, Keboananom, Gedangan, Kab. Sidoarjo</t>
  </si>
  <si>
    <t xml:space="preserve">FALLAH RAHMAWATI</t>
  </si>
  <si>
    <t xml:space="preserve">3515086710040005</t>
  </si>
  <si>
    <t xml:space="preserve">Gajah Magersari, RT/RW 019/006, Magersari, Sidoarjo, Sidoarjo</t>
  </si>
  <si>
    <t xml:space="preserve">FATHUR RAHMAN</t>
  </si>
  <si>
    <t xml:space="preserve">20063943699</t>
  </si>
  <si>
    <t xml:space="preserve">3515132911030008</t>
  </si>
  <si>
    <t xml:space="preserve">Dusun Balongbiru, RT/RW 009/003, Sadang, Taman, Kab. Sidoarjo</t>
  </si>
  <si>
    <t xml:space="preserve">FATIMATUL ZAHRO</t>
  </si>
  <si>
    <t xml:space="preserve">24056511810</t>
  </si>
  <si>
    <t xml:space="preserve">3578035709970003</t>
  </si>
  <si>
    <t xml:space="preserve">Kedung Asem V/57 A, RT/RW 002/002, Kedung Baruk, Rungkut, Kota Surabaya</t>
  </si>
  <si>
    <t xml:space="preserve">FIERBIARTA MONDIELOGA</t>
  </si>
  <si>
    <t xml:space="preserve">21092200119</t>
  </si>
  <si>
    <t xml:space="preserve">3515185303990001</t>
  </si>
  <si>
    <t xml:space="preserve">Jl Anggrek V/8 Rt/Rw : 003/005 Kel Kureksari Kec Waru</t>
  </si>
  <si>
    <t xml:space="preserve">HAJAR MAWADDAH HASAN PUTRI</t>
  </si>
  <si>
    <t xml:space="preserve">22052000201</t>
  </si>
  <si>
    <t xml:space="preserve">3578034509020001</t>
  </si>
  <si>
    <t xml:space="preserve">Medayu Utara 12/3A Rt/Rw: 002/012 Kel Medokan Ayu Kec Rungkut</t>
  </si>
  <si>
    <t xml:space="preserve">HANA ALFIANA</t>
  </si>
  <si>
    <t xml:space="preserve">20019538161</t>
  </si>
  <si>
    <t xml:space="preserve">3524137010020002</t>
  </si>
  <si>
    <t xml:space="preserve">Wanar Rt/Rw : 005/001 Kel Wanar Kec Pucuk</t>
  </si>
  <si>
    <t xml:space="preserve">HEMIS ARJUN PRASETYO</t>
  </si>
  <si>
    <t xml:space="preserve">0002747965206</t>
  </si>
  <si>
    <t xml:space="preserve">3302052609000003</t>
  </si>
  <si>
    <t xml:space="preserve">Mandirancan, RT/RW 005/002, Mandirancan, Kebasen, Banyumas</t>
  </si>
  <si>
    <t xml:space="preserve">FARADILA ADIPUTRI</t>
  </si>
  <si>
    <t xml:space="preserve">0002735802505</t>
  </si>
  <si>
    <t xml:space="preserve">3515136804030007</t>
  </si>
  <si>
    <t xml:space="preserve">FIRDAN FAJAR NUGROHO</t>
  </si>
  <si>
    <t xml:space="preserve">23033100147</t>
  </si>
  <si>
    <t xml:space="preserve">0000445485969</t>
  </si>
  <si>
    <t xml:space="preserve">3208080105040001</t>
  </si>
  <si>
    <t xml:space="preserve">Kuningan</t>
  </si>
  <si>
    <t xml:space="preserve">Dusun Manis, RT/RW 003/002, Cirukem, Garawagi, Kuningan</t>
  </si>
  <si>
    <t xml:space="preserve">INTANA PERMATASARI</t>
  </si>
  <si>
    <t xml:space="preserve">0001184555171</t>
  </si>
  <si>
    <t xml:space="preserve">3515144901040002</t>
  </si>
  <si>
    <t xml:space="preserve">Jumputrejo, RT/RW 009/003, Jumputrejo, Sukodono, Sidoarjo</t>
  </si>
  <si>
    <t xml:space="preserve">JESNITA PUTRI RAMADHANI</t>
  </si>
  <si>
    <t xml:space="preserve">0001187827211</t>
  </si>
  <si>
    <t xml:space="preserve">3517186710030001</t>
  </si>
  <si>
    <t xml:space="preserve">Gg. Lawu, RT/RW 010/005, Kutorejo, Kertosono, Nganjuk</t>
  </si>
  <si>
    <t xml:space="preserve">LAILA NABILATUL FIRMANIYAH</t>
  </si>
  <si>
    <t xml:space="preserve">0003046010837</t>
  </si>
  <si>
    <t xml:space="preserve">3506154501010002</t>
  </si>
  <si>
    <t xml:space="preserve">Dsn. Tugu, RT/RW 005/002, Tugu, Purwoasri, Kediri</t>
  </si>
  <si>
    <t xml:space="preserve">M. ALIF KUSUMA ATMANEGARA</t>
  </si>
  <si>
    <t xml:space="preserve">0001098306257</t>
  </si>
  <si>
    <t xml:space="preserve">3515140207980002</t>
  </si>
  <si>
    <t xml:space="preserve">Jl. Raya Ketapang, RT/RW 007/003, Suko, Sukodono, Sidoarjo</t>
  </si>
  <si>
    <t xml:space="preserve">MUHAMMAD BUDI SANTOSO</t>
  </si>
  <si>
    <t xml:space="preserve">0002735656007</t>
  </si>
  <si>
    <t xml:space="preserve">3515100404040001</t>
  </si>
  <si>
    <t xml:space="preserve">Banar, RT/RW 017/008, Pilang, Wonoayu, Sidoarjo</t>
  </si>
  <si>
    <t xml:space="preserve">INDAH AGUSTINA PRATIWI</t>
  </si>
  <si>
    <t xml:space="preserve">21021345564</t>
  </si>
  <si>
    <t xml:space="preserve">3515134609980006</t>
  </si>
  <si>
    <t xml:space="preserve">Taman Rt/Rw : 018/003 Kel Taman Kec Taman</t>
  </si>
  <si>
    <t xml:space="preserve">SITI NUR KHABIBAH</t>
  </si>
  <si>
    <t xml:space="preserve">0002582484636</t>
  </si>
  <si>
    <t xml:space="preserve">3514124309000001</t>
  </si>
  <si>
    <t xml:space="preserve">Dsn Sidomulyo, RT/RW 012/005, Jambangan, Candi, Sidoarjo</t>
  </si>
  <si>
    <t xml:space="preserve">TYSA AULIA WIJANARKO</t>
  </si>
  <si>
    <t xml:space="preserve">0001544423106</t>
  </si>
  <si>
    <t xml:space="preserve">3578034911040001</t>
  </si>
  <si>
    <t xml:space="preserve">Perum Mega Regency Blok B/ No. 12, RT/RW 003/001, Kragan, Gedangan, Sidoarjo</t>
  </si>
  <si>
    <t xml:space="preserve">INDRAJUD</t>
  </si>
  <si>
    <t xml:space="preserve">0000571758579</t>
  </si>
  <si>
    <t xml:space="preserve">3314072706950001</t>
  </si>
  <si>
    <t xml:space="preserve">Kedungbagong, RT/RW 014/000, Cemeng, Sambungmacan, Sragen</t>
  </si>
  <si>
    <t xml:space="preserve">ANJAR HERMAWAN PRASETYO</t>
  </si>
  <si>
    <t xml:space="preserve">20054405598</t>
  </si>
  <si>
    <t xml:space="preserve">3516151408990002</t>
  </si>
  <si>
    <t xml:space="preserve">Dsn Bolorejo, RT/RW 002/004, Mojojajar, Kemlagi, Mojokerto</t>
  </si>
  <si>
    <t xml:space="preserve">MUHAMMAD BASHOR</t>
  </si>
  <si>
    <t xml:space="preserve">0000762843273</t>
  </si>
  <si>
    <t xml:space="preserve">3525052808840001</t>
  </si>
  <si>
    <t xml:space="preserve">Petisbenem, RT/RW 002/003, Petisbenem, Duduksampeyan, Gresik</t>
  </si>
  <si>
    <t xml:space="preserve">MANTI JULIA</t>
  </si>
  <si>
    <t xml:space="preserve">27049060681</t>
  </si>
  <si>
    <t xml:space="preserve">0002484982372</t>
  </si>
  <si>
    <t xml:space="preserve">7371075907010011</t>
  </si>
  <si>
    <t xml:space="preserve">Sunggu Minasa</t>
  </si>
  <si>
    <t xml:space="preserve">Jl. AR DG Ngunjung II No. 9, RT/RW 003/004, Rappokalling, Tallo, Makassar</t>
  </si>
  <si>
    <t xml:space="preserve">DEA SELOSA RAMA DHANA</t>
  </si>
  <si>
    <t xml:space="preserve">0002248137257</t>
  </si>
  <si>
    <t xml:space="preserve">Sleman</t>
  </si>
  <si>
    <t xml:space="preserve">3471016512990001</t>
  </si>
  <si>
    <t xml:space="preserve">Gunung Kidul</t>
  </si>
  <si>
    <t xml:space="preserve">Gedongkuning No.9, RT/RW 002/001, Rejowinangun, Kotagede, Yogyakarta</t>
  </si>
  <si>
    <t xml:space="preserve">DWI YULI PURWANTI</t>
  </si>
  <si>
    <t xml:space="preserve">25070893194</t>
  </si>
  <si>
    <t xml:space="preserve">0002062420457</t>
  </si>
  <si>
    <t xml:space="preserve">1207235207040002</t>
  </si>
  <si>
    <t xml:space="preserve">Purwodadi</t>
  </si>
  <si>
    <t xml:space="preserve">Dusun V Jl. Sekolah No. 4, RT/RW 000/000, Purwodadi, Sunggal, Deli Serdang</t>
  </si>
  <si>
    <t xml:space="preserve">DEPI ELPINA</t>
  </si>
  <si>
    <t xml:space="preserve">22020317310</t>
  </si>
  <si>
    <t xml:space="preserve">Tanjung Pinang</t>
  </si>
  <si>
    <t xml:space="preserve">Sales</t>
  </si>
  <si>
    <t xml:space="preserve">2172016612930003</t>
  </si>
  <si>
    <t xml:space="preserve">Tanjungpinang</t>
  </si>
  <si>
    <t xml:space="preserve">Jl. D.I. Panjaitan Km. 7 Gang. Putri Balkis III No. 44, RT/RW 003/002, Melayu Kota Piring, Tanjungpinang Timur, Kota Tanjungpinang</t>
  </si>
  <si>
    <t xml:space="preserve">WIBIKA WIJAYANTIRA</t>
  </si>
  <si>
    <t xml:space="preserve">0003260278214</t>
  </si>
  <si>
    <t xml:space="preserve">3504161812940001</t>
  </si>
  <si>
    <t xml:space="preserve">Dsn. Krajan, RT/RW 008/002, Ngentrong, Campurdarat, Tulungagung</t>
  </si>
  <si>
    <t xml:space="preserve">GAGUK CATUR PRIHARIYOSO</t>
  </si>
  <si>
    <t xml:space="preserve">0000171889479</t>
  </si>
  <si>
    <t xml:space="preserve">3578172910930003</t>
  </si>
  <si>
    <t xml:space="preserve">Ds Simogirang, RT/RW 002/006, Simogirang, Prambon, Sidoarjo</t>
  </si>
  <si>
    <t xml:space="preserve">MISKAN</t>
  </si>
  <si>
    <t xml:space="preserve">PT RUKMA PADAYA TRANS</t>
  </si>
  <si>
    <t xml:space="preserve">0000787873858</t>
  </si>
  <si>
    <t xml:space="preserve">Operator Genset</t>
  </si>
  <si>
    <t xml:space="preserve">3578270708660002</t>
  </si>
  <si>
    <t xml:space="preserve">Simo Pomahan Baru 44, RT/RW 005/005, Simomulyo Baru, Sukomanunggal, Surabaya</t>
  </si>
  <si>
    <t xml:space="preserve">BOEDI SOEHARDI</t>
  </si>
  <si>
    <t xml:space="preserve">0002999481423</t>
  </si>
  <si>
    <t xml:space="preserve">3578152703720006</t>
  </si>
  <si>
    <t xml:space="preserve">Kota Baru</t>
  </si>
  <si>
    <t xml:space="preserve">Krembangan Baru 65, RT/RW 003/007, Kemayoran, Krembangan, Surabaya</t>
  </si>
  <si>
    <t xml:space="preserve">HARI KARMUJI</t>
  </si>
  <si>
    <t xml:space="preserve">0002997524496</t>
  </si>
  <si>
    <t xml:space="preserve">3578110609860002</t>
  </si>
  <si>
    <t xml:space="preserve">Jl. Sidoyoso Wetan No. 69, RT/RW 004/003, Simokerto, Simokerto, Surabaya</t>
  </si>
  <si>
    <t xml:space="preserve">CHOIRUL KURNIWAN</t>
  </si>
  <si>
    <t xml:space="preserve">0001380513058</t>
  </si>
  <si>
    <t xml:space="preserve">3578152104880001</t>
  </si>
  <si>
    <t xml:space="preserve">Tambak Asri 25/10, RT/RW 019/006, Morokrembangan, Krembangan, Surabaya</t>
  </si>
  <si>
    <t xml:space="preserve">ANANG SUWARDI MEIRANDA</t>
  </si>
  <si>
    <t xml:space="preserve">0000735608474</t>
  </si>
  <si>
    <t xml:space="preserve">3518102705950001</t>
  </si>
  <si>
    <t xml:space="preserve">Dsn. Lobeser, RT/RW 003/006, Baron, Baron, Nganjuk</t>
  </si>
  <si>
    <t xml:space="preserve">BAKIR</t>
  </si>
  <si>
    <t xml:space="preserve">0000686588973</t>
  </si>
  <si>
    <t xml:space="preserve">3508182911720002</t>
  </si>
  <si>
    <t xml:space="preserve">Sulawesi</t>
  </si>
  <si>
    <t xml:space="preserve">Gedangmas Tengah, RT/RW 010/003, Gedangmas, Randuagung, Lumajang</t>
  </si>
  <si>
    <t xml:space="preserve">EKO BUDI PRASETYO</t>
  </si>
  <si>
    <t xml:space="preserve">0002292641796</t>
  </si>
  <si>
    <t xml:space="preserve">3517061911930002</t>
  </si>
  <si>
    <t xml:space="preserve">Dsn Johowinong, RT/RW 005/002, Johowinong, Mojoagung, Jombang</t>
  </si>
  <si>
    <t xml:space="preserve">22060834005</t>
  </si>
  <si>
    <t xml:space="preserve">0003168677968</t>
  </si>
  <si>
    <t xml:space="preserve">3527040301990006</t>
  </si>
  <si>
    <t xml:space="preserve">Dusun Tengket, RT/RW 000/000, Madupat, Camplong, Sampang</t>
  </si>
  <si>
    <t xml:space="preserve">CAHYO PUTRA ARMADANDI</t>
  </si>
  <si>
    <t xml:space="preserve">27017279584</t>
  </si>
  <si>
    <t xml:space="preserve">0001966977022</t>
  </si>
  <si>
    <t xml:space="preserve">3578150512980001</t>
  </si>
  <si>
    <t xml:space="preserve">Kalianak Timur Blk No. 19, RT/RW 001/007, Morokrembangan, Krembangan, Surabaya</t>
  </si>
  <si>
    <t xml:space="preserve">HARIS CHUSAINI</t>
  </si>
  <si>
    <t xml:space="preserve">0002683268886</t>
  </si>
  <si>
    <t xml:space="preserve">3578121211960001</t>
  </si>
  <si>
    <t xml:space="preserve">Simomulyo Baru 6-F/3, RT/RW 005/004, Simomulyo Baru, Sukomanunggal, Surabaya</t>
  </si>
  <si>
    <t xml:space="preserve">SUPARDI</t>
  </si>
  <si>
    <t xml:space="preserve">0003011103459</t>
  </si>
  <si>
    <t xml:space="preserve">3578110111880001</t>
  </si>
  <si>
    <t xml:space="preserve">KURNIAWAN TAMAMI</t>
  </si>
  <si>
    <t xml:space="preserve">29024337211</t>
  </si>
  <si>
    <t xml:space="preserve">0002997707758</t>
  </si>
  <si>
    <t xml:space="preserve">3578171411900002</t>
  </si>
  <si>
    <t xml:space="preserve">Bl. Banteng Loh Bhinneka 1/22, RT/RW 004/008, Bulak Banteng, Kenjeran, Surabaya</t>
  </si>
  <si>
    <t xml:space="preserve">FARID SUGIANTO</t>
  </si>
  <si>
    <t xml:space="preserve">0003561652719</t>
  </si>
  <si>
    <t xml:space="preserve">3512061211910004</t>
  </si>
  <si>
    <t xml:space="preserve">Kp. Barat Kebun, RT/RW 003/001, Wrininganom, Panarukan, Situbondo</t>
  </si>
  <si>
    <t xml:space="preserve">AHMAD ZAINURI</t>
  </si>
  <si>
    <t xml:space="preserve">0000678773564</t>
  </si>
  <si>
    <t xml:space="preserve">3507052204990001</t>
  </si>
  <si>
    <t xml:space="preserve">Dsn Madurejo, RT/RW 004/005, Bumirejo, Dampit, Malang</t>
  </si>
  <si>
    <t xml:space="preserve">MOCH. CHOIRI</t>
  </si>
  <si>
    <t xml:space="preserve">0003073145027</t>
  </si>
  <si>
    <t xml:space="preserve">3515072807940007</t>
  </si>
  <si>
    <t xml:space="preserve">Kebonsari, RT/RW 002/001, Kebonsari, Candi, Sidoarjo</t>
  </si>
  <si>
    <t xml:space="preserve">ACHMAD UMAR MANSUR</t>
  </si>
  <si>
    <t xml:space="preserve">0002868046154</t>
  </si>
  <si>
    <t xml:space="preserve">3517110308870002</t>
  </si>
  <si>
    <t xml:space="preserve">Dsn Sembujo, RT/RW 003/001, Budugsidorejo, Sumobito, Jombang</t>
  </si>
  <si>
    <t xml:space="preserve">RAMA WAHYU VILANIS</t>
  </si>
  <si>
    <t xml:space="preserve">0001162452756</t>
  </si>
  <si>
    <t xml:space="preserve">3578160406810002</t>
  </si>
  <si>
    <t xml:space="preserve">Gading 1/24, RT/RW 006/007, Gading, Tambak Sari, Surabaya</t>
  </si>
  <si>
    <t xml:space="preserve">CHOIRUL ANWAR</t>
  </si>
  <si>
    <t xml:space="preserve">0000788985022</t>
  </si>
  <si>
    <t xml:space="preserve">3578142403860001</t>
  </si>
  <si>
    <t xml:space="preserve">Jl. Sikatan VIII/9, RT/RW 005/001, Manukan Wetan, Tandes, Surabaya</t>
  </si>
  <si>
    <t xml:space="preserve">YASMAN</t>
  </si>
  <si>
    <t xml:space="preserve">0003333575766</t>
  </si>
  <si>
    <t xml:space="preserve">3316101103710002</t>
  </si>
  <si>
    <t xml:space="preserve">Dk. Jomblang, RT/RW 006/005, Jomblang, Jepon, Blora</t>
  </si>
  <si>
    <t xml:space="preserve">M. IZROIL</t>
  </si>
  <si>
    <t xml:space="preserve">0003561653597</t>
  </si>
  <si>
    <t xml:space="preserve">3578281206940002</t>
  </si>
  <si>
    <t xml:space="preserve">Greges Barat Gg. Makam No. 33, RT/RW 001/004, Tambak Sarioso, Asem Rowo, Surabaya</t>
  </si>
  <si>
    <t xml:space="preserve">ARIF WIBOWO</t>
  </si>
  <si>
    <t xml:space="preserve">0000787259013</t>
  </si>
  <si>
    <t xml:space="preserve">3578060504810002</t>
  </si>
  <si>
    <t xml:space="preserve">Petemon 3/190, RT/RW 002/014, Petemon, Sawahan, Surabaya</t>
  </si>
  <si>
    <t xml:space="preserve">EDI PURWANTO</t>
  </si>
  <si>
    <t xml:space="preserve">0003179073982</t>
  </si>
  <si>
    <t xml:space="preserve">3524241703840001</t>
  </si>
  <si>
    <t xml:space="preserve">Padang Bandung, RT/RW 009/002, Padang Bandung, Dukun, Gresik</t>
  </si>
  <si>
    <t xml:space="preserve">RIZA HARDIYANTO MARDENA</t>
  </si>
  <si>
    <t xml:space="preserve">0001394662555</t>
  </si>
  <si>
    <t xml:space="preserve">3578060205860008</t>
  </si>
  <si>
    <t xml:space="preserve">Kupang Krajan 7/6, RT/RW 004/004, Kupang Krajan, Sawahan, Surabaya</t>
  </si>
  <si>
    <t xml:space="preserve">ZAKARIA</t>
  </si>
  <si>
    <t xml:space="preserve">0000715544908</t>
  </si>
  <si>
    <t xml:space="preserve">3514051007980003</t>
  </si>
  <si>
    <t xml:space="preserve">Bandeng, RT/RW 003/003, Lukrejo, Kalitengah, Lamongan</t>
  </si>
  <si>
    <t xml:space="preserve">MOCHAMAD SYAFI'I</t>
  </si>
  <si>
    <t xml:space="preserve">0000787646946</t>
  </si>
  <si>
    <t xml:space="preserve">3578273007960002</t>
  </si>
  <si>
    <t xml:space="preserve">Simo Pomahan No. 48, RT/RW 005/005, Simomulyo Baru, Sukomanunggal, Surabaya</t>
  </si>
  <si>
    <t xml:space="preserve">MAHRIZAL</t>
  </si>
  <si>
    <t xml:space="preserve">0003217550084</t>
  </si>
  <si>
    <t xml:space="preserve">3578042202830005</t>
  </si>
  <si>
    <t xml:space="preserve">Dsn. Karangwungu, RT/RW 003/001, Mojogede, Balongpanggang, Gresik</t>
  </si>
  <si>
    <t xml:space="preserve">NURUL SUMARYONO</t>
  </si>
  <si>
    <t xml:space="preserve">0001454277464</t>
  </si>
  <si>
    <t xml:space="preserve">3578152501890002</t>
  </si>
  <si>
    <t xml:space="preserve">Perumahan Griya Asri Nusantara Blok E2 No 05, RT/RW 000/000, Tanjung, Lamongan, Lamongan</t>
  </si>
  <si>
    <t xml:space="preserve">FERI SETIAWAN</t>
  </si>
  <si>
    <t xml:space="preserve">0000729684786</t>
  </si>
  <si>
    <t xml:space="preserve">3517060204000002</t>
  </si>
  <si>
    <t xml:space="preserve">Karobelah 2, RT/RW 003/003, Karobelah, Mojoagung, Jombang</t>
  </si>
  <si>
    <t xml:space="preserve">MISNADIN</t>
  </si>
  <si>
    <t xml:space="preserve">0000772155213</t>
  </si>
  <si>
    <t xml:space="preserve">3527120605930003</t>
  </si>
  <si>
    <t xml:space="preserve">Dk Bulak Banteng Gg Suropati 5/71, RT/RW 011/007, Bulak Banteng, Kenjeran, Surabaya</t>
  </si>
  <si>
    <t xml:space="preserve">MOHAMMAD FAUZI ABADI</t>
  </si>
  <si>
    <t xml:space="preserve">0000729045573</t>
  </si>
  <si>
    <t xml:space="preserve">3517111407960001</t>
  </si>
  <si>
    <t xml:space="preserve">Dsn. Jogoloyo, RT/RW 001/001, Jogoloyo, Sumobito, Jombang</t>
  </si>
  <si>
    <t xml:space="preserve">NUR HUSEN</t>
  </si>
  <si>
    <t xml:space="preserve">0002921923563</t>
  </si>
  <si>
    <t xml:space="preserve">3526171010880003</t>
  </si>
  <si>
    <t xml:space="preserve">Dsn Balang, RT/RW 000/000, Durin Barat, Konang, Bangkalan</t>
  </si>
  <si>
    <t xml:space="preserve">PUNGKI ARISTA</t>
  </si>
  <si>
    <t xml:space="preserve">27081551661</t>
  </si>
  <si>
    <t xml:space="preserve">0002601307563</t>
  </si>
  <si>
    <t xml:space="preserve">3518091307960001</t>
  </si>
  <si>
    <t xml:space="preserve">Dusun Pilangkenceng,RT/RW 001/011, Nglawak, Kertosono, Nganjuk</t>
  </si>
  <si>
    <t xml:space="preserve">FENDA HARYANTO</t>
  </si>
  <si>
    <t xml:space="preserve">0002872652152</t>
  </si>
  <si>
    <t xml:space="preserve">3509061306920002</t>
  </si>
  <si>
    <t xml:space="preserve">Dusun Krajan, RT/RW 002/002, Klatakan, Tanggul, Jember</t>
  </si>
  <si>
    <t xml:space="preserve">MOCH. ZABIR</t>
  </si>
  <si>
    <t xml:space="preserve">0001395616847</t>
  </si>
  <si>
    <t xml:space="preserve">3578101404850002</t>
  </si>
  <si>
    <t xml:space="preserve">Ploso 12/47-Blk, RT/RW 011/005, Ploso, Tambak Sari, Surabaya</t>
  </si>
  <si>
    <t xml:space="preserve">RENDIYANA BENARIVO</t>
  </si>
  <si>
    <t xml:space="preserve">0001816406482</t>
  </si>
  <si>
    <t xml:space="preserve">3578150705990001</t>
  </si>
  <si>
    <t xml:space="preserve">Tambak Asri Tanjung 2/21, RT/RW 025/006, Morokrembangan, Krembangan, Surabaya</t>
  </si>
  <si>
    <t xml:space="preserve">EDI PRAYITNO</t>
  </si>
  <si>
    <t xml:space="preserve">0003561735688</t>
  </si>
  <si>
    <t xml:space="preserve">3519130302890001</t>
  </si>
  <si>
    <t xml:space="preserve">Gandul, RT/RW 011/002, Gandul, Pilangkenceng, Madiun</t>
  </si>
  <si>
    <t xml:space="preserve">ERIEL RIZKYANSYAH</t>
  </si>
  <si>
    <t xml:space="preserve">0001280874734</t>
  </si>
  <si>
    <t xml:space="preserve">3578150208860001</t>
  </si>
  <si>
    <t xml:space="preserve">Kalianak Timur Belakang 39, RT/RW 001/007, Morokrembangan, Krembangan, Surabaya</t>
  </si>
  <si>
    <t xml:space="preserve">MUHAMMAD NURUL HUDA</t>
  </si>
  <si>
    <t xml:space="preserve">0002721463964</t>
  </si>
  <si>
    <t xml:space="preserve">6473010406830003</t>
  </si>
  <si>
    <t xml:space="preserve">Jl. Lembaga Gg. Seruni No. 079, RT/RW 004/000, Karang Balik, Tarakan Barat, Tarakan</t>
  </si>
  <si>
    <t xml:space="preserve">ASEP DEDI</t>
  </si>
  <si>
    <t xml:space="preserve">0003561655757</t>
  </si>
  <si>
    <t xml:space="preserve">3207310605710002</t>
  </si>
  <si>
    <t xml:space="preserve">Ciamis</t>
  </si>
  <si>
    <t xml:space="preserve">Dusun Brunggendis I, RT/RW 004/001, Sukaraja, Sindangkasih, Ciamis</t>
  </si>
  <si>
    <t xml:space="preserve">DEDDY ARIEFIANTO</t>
  </si>
  <si>
    <t xml:space="preserve">0002072896053</t>
  </si>
  <si>
    <t xml:space="preserve">3578101412800007</t>
  </si>
  <si>
    <t xml:space="preserve">Ploso 1/48, RT/RW 001/005, Ploso, Tambaksari, Surabaya</t>
  </si>
  <si>
    <t xml:space="preserve">RIJANTO</t>
  </si>
  <si>
    <t xml:space="preserve">0000787687986</t>
  </si>
  <si>
    <t xml:space="preserve">3578102306710006</t>
  </si>
  <si>
    <t xml:space="preserve">Ploso 1/65, RT/RW 013/005, Ploso, Tambak Sari, Surabaya</t>
  </si>
  <si>
    <t xml:space="preserve">SUHANDARI SUHERMAWAN</t>
  </si>
  <si>
    <t xml:space="preserve">0001394283161</t>
  </si>
  <si>
    <t xml:space="preserve">3578252809810002</t>
  </si>
  <si>
    <t xml:space="preserve">Gunung Anyar Tengah Gang 5, RT/RW 001/002, Gunung Anyar, Gunung Anyar, Surabaya</t>
  </si>
  <si>
    <t xml:space="preserve">MOCHAMMAD SAIFUDIN</t>
  </si>
  <si>
    <t xml:space="preserve">26005344688</t>
  </si>
  <si>
    <t xml:space="preserve">0001324137914</t>
  </si>
  <si>
    <t xml:space="preserve">3578140105870002</t>
  </si>
  <si>
    <t xml:space="preserve">Sambiarum Lor VIII Blok 54 E /14, RT/RW 011/006, Sambikerep, Sambikerep, Surabaya</t>
  </si>
  <si>
    <t xml:space="preserve">ADI PRIYOKO</t>
  </si>
  <si>
    <t xml:space="preserve">0001141402972</t>
  </si>
  <si>
    <t xml:space="preserve">3578161506800006</t>
  </si>
  <si>
    <t xml:space="preserve">Jatistrono Barat 4/8-A, RT/RW 010/014, Ujung, Semampir, Surabaya</t>
  </si>
  <si>
    <t xml:space="preserve">AHMAT TULUS</t>
  </si>
  <si>
    <t xml:space="preserve">0000729724116</t>
  </si>
  <si>
    <t xml:space="preserve">3517191512000001</t>
  </si>
  <si>
    <t xml:space="preserve">Kupang Panjaan 2/11-B, RT/RW 001/003, Dr. Soetomo, Tegalsari, Surabaya</t>
  </si>
  <si>
    <t xml:space="preserve">AHMAD WIDODO</t>
  </si>
  <si>
    <t xml:space="preserve">0002725977982</t>
  </si>
  <si>
    <t xml:space="preserve">3522242201950004</t>
  </si>
  <si>
    <t xml:space="preserve">Dusun Kedungdowo, RT/RW 003/002, Semenkidul, Sukosewu, Bojonegoro</t>
  </si>
  <si>
    <t xml:space="preserve">JOKO WIYONO</t>
  </si>
  <si>
    <t xml:space="preserve">0003576828227</t>
  </si>
  <si>
    <t xml:space="preserve">3505190511770001</t>
  </si>
  <si>
    <t xml:space="preserve">Dusun Turi, RT/RW 006/003, Kembangan, Pule, Trenggalek</t>
  </si>
  <si>
    <t xml:space="preserve">FERI HARDIANTO</t>
  </si>
  <si>
    <t xml:space="preserve">22063728990</t>
  </si>
  <si>
    <t xml:space="preserve">0000791102068</t>
  </si>
  <si>
    <t xml:space="preserve">3578151602880001</t>
  </si>
  <si>
    <t xml:space="preserve">Dupak Rukun 07/11, RT/RW 017/002, Dupak, Krembangan, Surabaya</t>
  </si>
  <si>
    <t xml:space="preserve">KHOIRUDDIN</t>
  </si>
  <si>
    <t xml:space="preserve">25095827852</t>
  </si>
  <si>
    <t xml:space="preserve">0000762164561</t>
  </si>
  <si>
    <t xml:space="preserve">3525111803890003</t>
  </si>
  <si>
    <t xml:space="preserve">Dusun Dungus Kidul, RT/RW 002/001, Dungus, Cerme, Gresik</t>
  </si>
  <si>
    <t xml:space="preserve">IMAM YULIANTO</t>
  </si>
  <si>
    <t xml:space="preserve">0000719460415</t>
  </si>
  <si>
    <t xml:space="preserve">3515011207900003</t>
  </si>
  <si>
    <t xml:space="preserve">Sebani, RT/RW 023/003, Sebani, Tarik, Sidoarjo</t>
  </si>
  <si>
    <t xml:space="preserve">NADITA LISA</t>
  </si>
  <si>
    <t xml:space="preserve">0001986955323</t>
  </si>
  <si>
    <t xml:space="preserve">1801134210030002</t>
  </si>
  <si>
    <t xml:space="preserve">Jatimulyo</t>
  </si>
  <si>
    <t xml:space="preserve">Dusun V, RT/RW 046/015, Jati Mulyo, Jati Agung, Lapung Selatan</t>
  </si>
  <si>
    <t xml:space="preserve">GUNTUR CAHYANTO</t>
  </si>
  <si>
    <t xml:space="preserve">0003563524405</t>
  </si>
  <si>
    <t xml:space="preserve">3505191511000001</t>
  </si>
  <si>
    <t xml:space="preserve">Pacitan</t>
  </si>
  <si>
    <t xml:space="preserve">Dsn Tuwuhrejo, RT/RW 001/003, Kesamben, Kesamben, Blitar</t>
  </si>
  <si>
    <t xml:space="preserve">IMAM SHOLIHIN</t>
  </si>
  <si>
    <t xml:space="preserve">PT GUNUNG KELUD WISESA</t>
  </si>
  <si>
    <t xml:space="preserve">0001725826408</t>
  </si>
  <si>
    <t xml:space="preserve">Helper Printing</t>
  </si>
  <si>
    <t xml:space="preserve">3515031308010001</t>
  </si>
  <si>
    <t xml:space="preserve">Lemujut, RT/RW 012/006, Lemujut, Krembung, Sidoarjo</t>
  </si>
  <si>
    <t xml:space="preserve">FARELL ADELEON RAFAEL</t>
  </si>
  <si>
    <t xml:space="preserve">27074932573</t>
  </si>
  <si>
    <t xml:space="preserve">0002459018529</t>
  </si>
  <si>
    <t xml:space="preserve">3515080607050007</t>
  </si>
  <si>
    <t xml:space="preserve">Pondok Mutiara BP-09, RT/RW 026/012, Banjarbendo, Sidoarjo, Sidoarjo</t>
  </si>
  <si>
    <t xml:space="preserve">DESI PUTRIANDINI LAHIYA</t>
  </si>
  <si>
    <t xml:space="preserve">29067899405</t>
  </si>
  <si>
    <t xml:space="preserve">7271035912040005</t>
  </si>
  <si>
    <t xml:space="preserve">Jl. Basuki Rahmat Lorong Perjuangan No. 52, RT/RW 003/004, Tatura Selatan, Palu Selatan, Kota Palu</t>
  </si>
  <si>
    <t xml:space="preserve">DESI RATNASARI</t>
  </si>
  <si>
    <t xml:space="preserve">0002052147407</t>
  </si>
  <si>
    <t xml:space="preserve">7371026011970002</t>
  </si>
  <si>
    <t xml:space="preserve">JL.Cendrawasih No.379 MKS, RT/RW 001/003, Karang Anyar, Mamajang, Makassar</t>
  </si>
  <si>
    <t xml:space="preserve">PUTRI AMALIA</t>
  </si>
  <si>
    <t xml:space="preserve">0003065232903</t>
  </si>
  <si>
    <t xml:space="preserve">6371025707010007</t>
  </si>
  <si>
    <t xml:space="preserve">Jl. Pramuka Melati Indah No. 49, RT/RW 006/001, Pemurus Luar, Bajarmasin Timur, Banjarmasin</t>
  </si>
  <si>
    <t xml:space="preserve">TASYA JULIANDANI</t>
  </si>
  <si>
    <t xml:space="preserve">0002039551626</t>
  </si>
  <si>
    <t xml:space="preserve">7271024707020002</t>
  </si>
  <si>
    <t xml:space="preserve">Jl. Datu Pamusu Lrg. I No. 10A, RT/RW 001/001, Kamonji, Palu Barat, Palu</t>
  </si>
  <si>
    <t xml:space="preserve">MUHAMMAD ZAIDAN PUTRA IRAWAN</t>
  </si>
  <si>
    <t xml:space="preserve">3519040210030005</t>
  </si>
  <si>
    <t xml:space="preserve">Perum Grand Indraprasta, RT/RW 001/007, Watutulis, Prambon, Sidoarjo</t>
  </si>
  <si>
    <t xml:space="preserve">MUJI PRIANTO</t>
  </si>
  <si>
    <t xml:space="preserve">3525140904780001</t>
  </si>
  <si>
    <t xml:space="preserve">Jl. Mutiara 1/08 PPS, RT/RW 001/008, Suci, Manyar, Gresik</t>
  </si>
  <si>
    <t xml:space="preserve">DWI SEPTI MARIHANDINI</t>
  </si>
  <si>
    <t xml:space="preserve">3525156309910003</t>
  </si>
  <si>
    <t xml:space="preserve">RISKA TRISNA SUKMAWATI</t>
  </si>
  <si>
    <t xml:space="preserve">3521065908010001</t>
  </si>
  <si>
    <t xml:space="preserve">Pojok, RT/RW 001/003, Pojok, Kwadungan, Ngawi</t>
  </si>
  <si>
    <t xml:space="preserve">DIO FERNANDO</t>
  </si>
  <si>
    <t xml:space="preserve">0002158319125</t>
  </si>
  <si>
    <t xml:space="preserve">3578062607990001</t>
  </si>
  <si>
    <t xml:space="preserve">Putat Jaya Pasar 25, RT/RW 002/003, Putat Jaya, Sawahan, Surabaya</t>
  </si>
  <si>
    <t xml:space="preserve">SLAMET SUPRIHADI</t>
  </si>
  <si>
    <t xml:space="preserve">0003179112985</t>
  </si>
  <si>
    <t xml:space="preserve">3525052602010003</t>
  </si>
  <si>
    <t xml:space="preserve">Dusun Kaliombo, RT/RW 017/003, Tambakrejo, Duduksampeyan, Gresik</t>
  </si>
  <si>
    <t xml:space="preserve">M. RIZQI MAULANA</t>
  </si>
  <si>
    <t xml:space="preserve">0000757749723</t>
  </si>
  <si>
    <t xml:space="preserve">3524271207040002</t>
  </si>
  <si>
    <t xml:space="preserve">Kradenan, RT/RW 003/003, Sarirejo, Sarirejo, Lamongan</t>
  </si>
  <si>
    <t xml:space="preserve">MUHAMMAD IMAM AKBAR</t>
  </si>
  <si>
    <t xml:space="preserve">0000761884299</t>
  </si>
  <si>
    <t xml:space="preserve">3525041902040001</t>
  </si>
  <si>
    <t xml:space="preserve">Dsn Paras, RT/RW 001/001, Sirnoboyo, Benjeng, Gresik</t>
  </si>
  <si>
    <t xml:space="preserve">ABDURROHMAN WAHID</t>
  </si>
  <si>
    <t xml:space="preserve">0000758363782</t>
  </si>
  <si>
    <t xml:space="preserve">3524271807040001</t>
  </si>
  <si>
    <t xml:space="preserve">ADIMAS FAUZI</t>
  </si>
  <si>
    <t xml:space="preserve">0002464901853</t>
  </si>
  <si>
    <t xml:space="preserve">3524271411960001</t>
  </si>
  <si>
    <t xml:space="preserve">Kradenan, RT/RW 005/003, Sarirejo, Sarirejo, Lamongan</t>
  </si>
  <si>
    <t xml:space="preserve">SELLY ALAISAH</t>
  </si>
  <si>
    <t xml:space="preserve">28034492235</t>
  </si>
  <si>
    <t xml:space="preserve">0002849265797</t>
  </si>
  <si>
    <t xml:space="preserve">6303065905030002</t>
  </si>
  <si>
    <t xml:space="preserve">Mandiangin Barat</t>
  </si>
  <si>
    <t xml:space="preserve">Jl. Ir Pm Noor, RT/RW 002/000, Mandiangin Barat, Karang Intan, Banjar</t>
  </si>
  <si>
    <t xml:space="preserve">DESTA BUNGA PUSPITA</t>
  </si>
  <si>
    <t xml:space="preserve">23091037170</t>
  </si>
  <si>
    <t xml:space="preserve">3314046312080001</t>
  </si>
  <si>
    <t xml:space="preserve">Kelorejo Lor, RT/RW 031/000, Mojokerto, Kedawung, Kab. Sragen</t>
  </si>
  <si>
    <t xml:space="preserve">085799466487</t>
  </si>
  <si>
    <t xml:space="preserve">DESTRI INDAH PUSPITA</t>
  </si>
  <si>
    <t xml:space="preserve">Takengon</t>
  </si>
  <si>
    <t xml:space="preserve">1108254503990001</t>
  </si>
  <si>
    <t xml:space="preserve">Dusun Suka Damai, RT/RW 000/000, Suka Damai, Geuredong Pase, Aceh Utara</t>
  </si>
  <si>
    <t xml:space="preserve">6282366337527</t>
  </si>
  <si>
    <t xml:space="preserve">EKO PRASETYONO</t>
  </si>
  <si>
    <t xml:space="preserve">0002997397168</t>
  </si>
  <si>
    <t xml:space="preserve">3578041809860006</t>
  </si>
  <si>
    <t xml:space="preserve">Pulo Tegalsari 1/16, RT/RW 004/007, Wonokromo, Wonokromo, Surabaya</t>
  </si>
  <si>
    <t xml:space="preserve">DIMAS WAHYU TRI SAPUTRA</t>
  </si>
  <si>
    <t xml:space="preserve">0001243787152</t>
  </si>
  <si>
    <t xml:space="preserve">3578241912990003</t>
  </si>
  <si>
    <t xml:space="preserve">Kendangsari Gg 1/32, RT/RW 001/005, Kendangsari, Tenggilis Mejoyo, Surabaya</t>
  </si>
  <si>
    <t xml:space="preserve">ANDIK SUSANTO</t>
  </si>
  <si>
    <t xml:space="preserve">0001623221019</t>
  </si>
  <si>
    <t xml:space="preserve">3515120802810001</t>
  </si>
  <si>
    <t xml:space="preserve">Jl. Ciliwung, RT/RW 002/003, Bendo, Pare, Kediri</t>
  </si>
  <si>
    <t xml:space="preserve">DEWI KUMALA SARI</t>
  </si>
  <si>
    <t xml:space="preserve">25086509480</t>
  </si>
  <si>
    <t xml:space="preserve">Sampit</t>
  </si>
  <si>
    <t xml:space="preserve">6271014909970006</t>
  </si>
  <si>
    <t xml:space="preserve">Jl. Metro Tvino 31 Sampit, RT/RW 004/004, Ketapang, Mentawa Baru Ketapang, Kab. Kotawaringin Timur</t>
  </si>
  <si>
    <t xml:space="preserve">DINDA PRAMITA</t>
  </si>
  <si>
    <t xml:space="preserve">29085235341</t>
  </si>
  <si>
    <t xml:space="preserve">0001282684059</t>
  </si>
  <si>
    <t xml:space="preserve">1207264205930008</t>
  </si>
  <si>
    <t xml:space="preserve">Jl. Komplek Lapangan Bola, RT/RW 000/000, Sampali, Percut Sei Tuan, Deli Serdang</t>
  </si>
  <si>
    <t xml:space="preserve">MOCH. RICO NURAYAH</t>
  </si>
  <si>
    <t xml:space="preserve">22013622446</t>
  </si>
  <si>
    <t xml:space="preserve">3516161312010002</t>
  </si>
  <si>
    <t xml:space="preserve">Clangap, RT/RW 007/006, Mlirip, Jetis, Mojokerto</t>
  </si>
  <si>
    <t xml:space="preserve">DHIMAS ANGGA WAHYU NUR CAHYONO</t>
  </si>
  <si>
    <t xml:space="preserve">3518051512030002</t>
  </si>
  <si>
    <t xml:space="preserve">Gemenggeng, RT/RW 003/001, Gemenggeng, Pace, Nganjuk</t>
  </si>
  <si>
    <t xml:space="preserve">JUNIA MAYASARI</t>
  </si>
  <si>
    <t xml:space="preserve">0002371079013</t>
  </si>
  <si>
    <t xml:space="preserve">6404054303000002</t>
  </si>
  <si>
    <t xml:space="preserve">Jelarai Selor</t>
  </si>
  <si>
    <t xml:space="preserve">Jl Uma Bilung Lung, RT/RW 032/001, Jelarai Selor, Tanjung Selor, Bulungan</t>
  </si>
  <si>
    <t xml:space="preserve">AKHMAD BAKHRUDIN</t>
  </si>
  <si>
    <t xml:space="preserve">0003577260982</t>
  </si>
  <si>
    <t xml:space="preserve">3515020106020002</t>
  </si>
  <si>
    <t xml:space="preserve">Simogirang, RT/RW 002/006, Simogirang, Prambon, Sidoarjo</t>
  </si>
  <si>
    <t xml:space="preserve">CINDY SEPTIAWATI</t>
  </si>
  <si>
    <t xml:space="preserve">24031143670</t>
  </si>
  <si>
    <t xml:space="preserve">0002735680599</t>
  </si>
  <si>
    <t xml:space="preserve">3515156809010001</t>
  </si>
  <si>
    <t xml:space="preserve">Sidojangkung, RT/RW 010/003, Sidojangkung, Meganti, Gresik</t>
  </si>
  <si>
    <t xml:space="preserve">MOH MAHFUD</t>
  </si>
  <si>
    <t xml:space="preserve">20066384702</t>
  </si>
  <si>
    <t xml:space="preserve">0002845127272</t>
  </si>
  <si>
    <t xml:space="preserve">3524272608000002</t>
  </si>
  <si>
    <t xml:space="preserve">Jogo, RT/RW 001/002, Dermolemahbang, Sarirejo, Lamongan</t>
  </si>
  <si>
    <t xml:space="preserve">DHINAR AYU CHALSA BELLA</t>
  </si>
  <si>
    <t xml:space="preserve">24096036996</t>
  </si>
  <si>
    <t xml:space="preserve">1807026212010002</t>
  </si>
  <si>
    <t xml:space="preserve">Dusun IV Kebun Kelapa, RT/RW 017/008, Labuhan Maringgai, Labuhan Maringgai, Kab. Lampung Timur</t>
  </si>
  <si>
    <t xml:space="preserve">23093217654</t>
  </si>
  <si>
    <t xml:space="preserve">0000296009504</t>
  </si>
  <si>
    <t xml:space="preserve">Jl Tutwuri No. 14, RT/RW 002/007, Sidomulyo Timur, Marpoyan Damai, Pekanbaru</t>
  </si>
  <si>
    <t xml:space="preserve">HIMMAS NIRMALA</t>
  </si>
  <si>
    <t xml:space="preserve">21063624677</t>
  </si>
  <si>
    <t xml:space="preserve">3525156506000001</t>
  </si>
  <si>
    <t xml:space="preserve">Jl Semeru 46 B, RT/RW 007/002, Bambe, Driyorejo, Gresik</t>
  </si>
  <si>
    <t xml:space="preserve">MUHAMMAD RIFKI PRASETYO</t>
  </si>
  <si>
    <t xml:space="preserve">20096825067</t>
  </si>
  <si>
    <t xml:space="preserve">0003287470149</t>
  </si>
  <si>
    <t xml:space="preserve">3516062703030002</t>
  </si>
  <si>
    <t xml:space="preserve">Dsn. Arjosari, RT/RW 002/001, Randuharjo, Pungging, Mojokerto</t>
  </si>
  <si>
    <t xml:space="preserve">WAHYU PAMUNGKAS TRI KUSUMA W D</t>
  </si>
  <si>
    <t xml:space="preserve">0002068150342</t>
  </si>
  <si>
    <t xml:space="preserve">3515092409960002</t>
  </si>
  <si>
    <t xml:space="preserve">Ngemplak, RT/RW 004/001, Kepatihan, Tulangan, Sidoarjo</t>
  </si>
  <si>
    <t xml:space="preserve">ARIEL ILHAM ADIANSYAH</t>
  </si>
  <si>
    <t xml:space="preserve">21004832385</t>
  </si>
  <si>
    <t xml:space="preserve">0000761984155</t>
  </si>
  <si>
    <t xml:space="preserve">3525133012040001</t>
  </si>
  <si>
    <t xml:space="preserve">Laban Kulon, RT/RW 001/003, Laban, Menganti, Gresik</t>
  </si>
  <si>
    <t xml:space="preserve">DEDI SUPRIYANTO</t>
  </si>
  <si>
    <t xml:space="preserve">21097837805</t>
  </si>
  <si>
    <t xml:space="preserve">0000762053095</t>
  </si>
  <si>
    <t xml:space="preserve">3525041003890001</t>
  </si>
  <si>
    <t xml:space="preserve">Desa Jogodalu, RT/RW 008/002, Jogodalu, Benjeng, Gresik</t>
  </si>
  <si>
    <t xml:space="preserve">AHMAD AMIRUL MUTAQIN</t>
  </si>
  <si>
    <t xml:space="preserve">0001432117743</t>
  </si>
  <si>
    <t xml:space="preserve">Helper Mesin Cetak</t>
  </si>
  <si>
    <t xml:space="preserve">3578130505010003</t>
  </si>
  <si>
    <t xml:space="preserve">Demak Jaya, RT/RW 012/010, Tembok Dukuh, Bubutan, Surabaya</t>
  </si>
  <si>
    <t xml:space="preserve">RIKA WINATA PANJAITAN</t>
  </si>
  <si>
    <t xml:space="preserve">28056732681</t>
  </si>
  <si>
    <t xml:space="preserve">0002188960119</t>
  </si>
  <si>
    <t xml:space="preserve">1271086709990004</t>
  </si>
  <si>
    <t xml:space="preserve">Belawan</t>
  </si>
  <si>
    <t xml:space="preserve">Jl. P Ambon Lk VI Bahari, RT/RW 000/000, Belawan Bahari, Medan Belawan, Medan</t>
  </si>
  <si>
    <t xml:space="preserve">MUHAMMAD NIZAM</t>
  </si>
  <si>
    <t xml:space="preserve">PT SEHAT ALAM SEGAR</t>
  </si>
  <si>
    <t xml:space="preserve">0003217566148</t>
  </si>
  <si>
    <t xml:space="preserve">HSE Junior</t>
  </si>
  <si>
    <t xml:space="preserve">3525123011910002</t>
  </si>
  <si>
    <t xml:space="preserve">Merdeka No. 11, RT/RW 004/002, Mojopuro Wetan, Bungah, Gresik</t>
  </si>
  <si>
    <t xml:space="preserve">ANI ANDITA APSARI</t>
  </si>
  <si>
    <t xml:space="preserve">3501116302030001</t>
  </si>
  <si>
    <t xml:space="preserve">Batang, RT/RW 002/007, Wonodadi Wetan, Ngadirojo, Pacitan</t>
  </si>
  <si>
    <t xml:space="preserve">FINSKA VIANA AMALDA</t>
  </si>
  <si>
    <t xml:space="preserve">29050446600</t>
  </si>
  <si>
    <t xml:space="preserve">3506195602000001</t>
  </si>
  <si>
    <t xml:space="preserve">Dsn. Larangan, RT/RW 006/003, Krikilan, Driyorejo, Gresik</t>
  </si>
  <si>
    <t xml:space="preserve">NOVITA FEBRIYANTI</t>
  </si>
  <si>
    <t xml:space="preserve">0001318998609</t>
  </si>
  <si>
    <t xml:space="preserve">Admin Finance dan Cashier</t>
  </si>
  <si>
    <t xml:space="preserve">3525155402950001</t>
  </si>
  <si>
    <t xml:space="preserve">Klitih, RT/RW 003/005, Randegansari, Driyorejo, Gresik</t>
  </si>
  <si>
    <t xml:space="preserve">AKHMAD ROISULL MURSALIN</t>
  </si>
  <si>
    <t xml:space="preserve">0000760646722</t>
  </si>
  <si>
    <t xml:space="preserve">3525152208040002</t>
  </si>
  <si>
    <t xml:space="preserve">Wedoro Anom, RT/RW 010/004, Wedoroanom, Driyorejo, Gresik</t>
  </si>
  <si>
    <t xml:space="preserve">JAENAL WAKHID</t>
  </si>
  <si>
    <t xml:space="preserve">0003561023092</t>
  </si>
  <si>
    <t xml:space="preserve">3328042707790007</t>
  </si>
  <si>
    <t xml:space="preserve">Banjaranyar, RT/RW 003/005, Banjaranyar, Balapulang, Tegal</t>
  </si>
  <si>
    <t xml:space="preserve">ALVIAN YOFI WIDIANTO</t>
  </si>
  <si>
    <t xml:space="preserve">PT VARIA CIPTA PRATAMA</t>
  </si>
  <si>
    <t xml:space="preserve">0001793413697</t>
  </si>
  <si>
    <t xml:space="preserve">Operator Produksi</t>
  </si>
  <si>
    <t xml:space="preserve">3518191309890001</t>
  </si>
  <si>
    <t xml:space="preserve">Kesamben, RT/RW 020/004, Wunut, Porong, Sidoarjo</t>
  </si>
  <si>
    <t xml:space="preserve">SURATMAN</t>
  </si>
  <si>
    <t xml:space="preserve">0001810333304</t>
  </si>
  <si>
    <t xml:space="preserve">3578061307730006</t>
  </si>
  <si>
    <t xml:space="preserve">Banyu Urip Lor9/2-A, RT/RW 002/007, Kupang Krajan, Sawahan, Surabaya</t>
  </si>
  <si>
    <t xml:space="preserve">SAMSUL MA'ARIEF</t>
  </si>
  <si>
    <t xml:space="preserve">0000759913187</t>
  </si>
  <si>
    <t xml:space="preserve">Operator Manda</t>
  </si>
  <si>
    <t xml:space="preserve">3525061204930001</t>
  </si>
  <si>
    <t xml:space="preserve">Sumengko Krajan, RT/RW 010/004, Sumengko, Wringinanom, Gresik</t>
  </si>
  <si>
    <t xml:space="preserve">MOKHAMAD PUTRO WIBOWO</t>
  </si>
  <si>
    <t xml:space="preserve">0002445320136</t>
  </si>
  <si>
    <t xml:space="preserve">3515011111970003</t>
  </si>
  <si>
    <t xml:space="preserve">Mergobener, RT/RW 001/001, Mergobener, Tarik, Sidoarjo</t>
  </si>
  <si>
    <t xml:space="preserve">MAULIDA SARI</t>
  </si>
  <si>
    <t xml:space="preserve">21066594134</t>
  </si>
  <si>
    <t xml:space="preserve">0002906998244</t>
  </si>
  <si>
    <t xml:space="preserve">1403096707960005</t>
  </si>
  <si>
    <t xml:space="preserve">Jl. Sidodadi, RT/RW 003/001, Babussalam, Mandau, Bengkalis</t>
  </si>
  <si>
    <t xml:space="preserve">GADIS DWIAURORA DESTANTRI</t>
  </si>
  <si>
    <t xml:space="preserve">26083673221</t>
  </si>
  <si>
    <t xml:space="preserve">0002156762169</t>
  </si>
  <si>
    <t xml:space="preserve">3576017112040001</t>
  </si>
  <si>
    <t xml:space="preserve">Lingk. Balongkrai, RT/RW 005/001, Pulorejo, Prajurit Kulon, Mojokerto</t>
  </si>
  <si>
    <t xml:space="preserve">BISMA PRABAWA ADIKARA</t>
  </si>
  <si>
    <t xml:space="preserve">0002313592042</t>
  </si>
  <si>
    <t xml:space="preserve">3578040612950006</t>
  </si>
  <si>
    <t xml:space="preserve">Perum Grand Kenongo Estate Blok K-06, RT/RW 006/001, Mlirip, Jetis, Mojokerto</t>
  </si>
  <si>
    <t xml:space="preserve">JUMIATI</t>
  </si>
  <si>
    <t xml:space="preserve">0001322239713</t>
  </si>
  <si>
    <t xml:space="preserve">6472034107830006</t>
  </si>
  <si>
    <t xml:space="preserve">Jl. Wiraguna No.27, RT/RW 005/000, Sidodadi, Samarinda Ulu, Samarinda</t>
  </si>
  <si>
    <t xml:space="preserve">KLUWUNG SUHARTO</t>
  </si>
  <si>
    <t xml:space="preserve">0002417971511</t>
  </si>
  <si>
    <t xml:space="preserve">3578170304940003</t>
  </si>
  <si>
    <t xml:space="preserve">Pogot Jaya No. 156, RT/RW 001/007, Tanah Kali Kedinding, Kenjeran, Surabaya</t>
  </si>
  <si>
    <t xml:space="preserve">MUHAMMAD RIZAL HIDAYAT</t>
  </si>
  <si>
    <t xml:space="preserve">23078325674</t>
  </si>
  <si>
    <t xml:space="preserve">0001787341195</t>
  </si>
  <si>
    <t xml:space="preserve">3525131506000002</t>
  </si>
  <si>
    <t xml:space="preserve">Pengalangan, RT/RW 012/005, Pengalangan, Menganti, Gresik</t>
  </si>
  <si>
    <t xml:space="preserve">NUR ROCHMA UTAMI</t>
  </si>
  <si>
    <t xml:space="preserve">3578015012970002</t>
  </si>
  <si>
    <t xml:space="preserve">Jl. Empu Kanwa, RT/RW 007/003, Medaeng, Waru, Sidoarjo</t>
  </si>
  <si>
    <t xml:space="preserve">ACHMAD AINUN CUSNUN</t>
  </si>
  <si>
    <t xml:space="preserve">0002430406427</t>
  </si>
  <si>
    <t xml:space="preserve">3525142509000005</t>
  </si>
  <si>
    <t xml:space="preserve">Dr. Wahidin SH, RT/RW 006/008, Kembangan, Kebomas, Gresik</t>
  </si>
  <si>
    <t xml:space="preserve">RASMUDI</t>
  </si>
  <si>
    <t xml:space="preserve">3523050902990002</t>
  </si>
  <si>
    <t xml:space="preserve">Dsn Jangur, RT/RW 002/005, Banyuurip, Senori, Tuban</t>
  </si>
  <si>
    <t xml:space="preserve">ANDRE WIHARTA</t>
  </si>
  <si>
    <t xml:space="preserve">0003110398323</t>
  </si>
  <si>
    <t xml:space="preserve">3525152307020003</t>
  </si>
  <si>
    <t xml:space="preserve">Dsn Klitih, RT/RW 003/004, Randegansari, Driyorejo, Gresik</t>
  </si>
  <si>
    <t xml:space="preserve">MUHAMMAD MADKHUN KHOIROH</t>
  </si>
  <si>
    <t xml:space="preserve">0001580076257</t>
  </si>
  <si>
    <t xml:space="preserve">3517112801920002</t>
  </si>
  <si>
    <t xml:space="preserve">Dsn Sarirejo, RT/RW 002/002, Trawasan, Sumobito Jombang</t>
  </si>
  <si>
    <t xml:space="preserve">DANI RIANTO</t>
  </si>
  <si>
    <t xml:space="preserve">0003220395142</t>
  </si>
  <si>
    <t xml:space="preserve">3516162401030001</t>
  </si>
  <si>
    <t xml:space="preserve">Dusun Gedangan, RT/RW 002/004, Jolotundo, Jetis, Mojokerto</t>
  </si>
  <si>
    <t xml:space="preserve">FILLA ALFA RIZI MAULIDANI</t>
  </si>
  <si>
    <t xml:space="preserve">0003077368885</t>
  </si>
  <si>
    <t xml:space="preserve">3516150606010003</t>
  </si>
  <si>
    <t xml:space="preserve">Dsn. Semampir Lor, RT/RW 002/005, Mojokumpul, Kemlagi, Mojokerto</t>
  </si>
  <si>
    <t xml:space="preserve">MOCH. NUR AMIN</t>
  </si>
  <si>
    <t xml:space="preserve">0000747562364</t>
  </si>
  <si>
    <t xml:space="preserve">3522092608900001</t>
  </si>
  <si>
    <t xml:space="preserve">Dsn Jatitengah, RT/RW 034/007, Pejok, Kepohbaru, Bojonegoro</t>
  </si>
  <si>
    <t xml:space="preserve">AHMAD SHOLEH</t>
  </si>
  <si>
    <t xml:space="preserve">28027534646</t>
  </si>
  <si>
    <t xml:space="preserve">3516160406970001</t>
  </si>
  <si>
    <t xml:space="preserve">Talunongko, RT/RW 002/006, Jolotundo, Jetis, Mojokerto</t>
  </si>
  <si>
    <t xml:space="preserve">GISKA OKTAVIRENA</t>
  </si>
  <si>
    <t xml:space="preserve">22070453457</t>
  </si>
  <si>
    <t xml:space="preserve">0002061766168</t>
  </si>
  <si>
    <t xml:space="preserve">3515166304040002</t>
  </si>
  <si>
    <t xml:space="preserve">Tebel Timur, RT/RW 001/007, Tebel, Gedangan, Sidoarjo</t>
  </si>
  <si>
    <t xml:space="preserve">PT TOMATEC INDONESIA (LABOUR)</t>
  </si>
  <si>
    <t xml:space="preserve">0001475209721</t>
  </si>
  <si>
    <t xml:space="preserve">3522151002850002</t>
  </si>
  <si>
    <t xml:space="preserve">Dsn. Bulurejo, RT/RW 004/010, Papar, Papar, Kediri</t>
  </si>
  <si>
    <t xml:space="preserve">ANDRI RIZKI HARTONO</t>
  </si>
  <si>
    <t xml:space="preserve">0001541915886</t>
  </si>
  <si>
    <t xml:space="preserve">3578072903860001</t>
  </si>
  <si>
    <t xml:space="preserve">Kalilom Lor Indah Gg Dahlia No. 8-A, RT/RW 007/010, Tanah Kali Kedinding, Kenjeran, Surabaya</t>
  </si>
  <si>
    <t xml:space="preserve">MUHAMMAD THOYIB GHOZALI</t>
  </si>
  <si>
    <t xml:space="preserve">0002313237969</t>
  </si>
  <si>
    <t xml:space="preserve">3525151612960001</t>
  </si>
  <si>
    <t xml:space="preserve">Tanjungan, RT/RW 014/003, Tanjungan, Driyorejo, Gresik</t>
  </si>
  <si>
    <t xml:space="preserve">CAHYO DWI PURNOMO</t>
  </si>
  <si>
    <t xml:space="preserve">0001048353805</t>
  </si>
  <si>
    <t xml:space="preserve">3528011204990004</t>
  </si>
  <si>
    <t xml:space="preserve">Dsn Dulang, RT/RW 00/000, Ceguk, Tlanakan, Pamekasan</t>
  </si>
  <si>
    <t xml:space="preserve">0000763792367</t>
  </si>
  <si>
    <t xml:space="preserve">3525101811990003</t>
  </si>
  <si>
    <t xml:space="preserve">Pesucinan, RT/RW 011/003, Leran, Manyar, Gresik</t>
  </si>
  <si>
    <t xml:space="preserve">FARISHA AZALIA</t>
  </si>
  <si>
    <t xml:space="preserve">PT MORULA IVF INDONESIA</t>
  </si>
  <si>
    <t xml:space="preserve">27069152460</t>
  </si>
  <si>
    <t xml:space="preserve">WEST</t>
  </si>
  <si>
    <t xml:space="preserve">Staff Finance</t>
  </si>
  <si>
    <t xml:space="preserve">3578165412000001</t>
  </si>
  <si>
    <t xml:space="preserve">Sencaki No. 116, RT/RW 007/008, Sidotopo, Semampir, Surabaya</t>
  </si>
  <si>
    <t xml:space="preserve">MELFIN CHRISTI</t>
  </si>
  <si>
    <t xml:space="preserve">0002914919627</t>
  </si>
  <si>
    <t xml:space="preserve">7210016005000001</t>
  </si>
  <si>
    <t xml:space="preserve">Desa Oloboju, RT/RW 002/001, Sigi Biromaru, Sigi</t>
  </si>
  <si>
    <t xml:space="preserve">RINA SARJUNIATI</t>
  </si>
  <si>
    <t xml:space="preserve">21095285900</t>
  </si>
  <si>
    <t xml:space="preserve">0002302716104</t>
  </si>
  <si>
    <t xml:space="preserve">3372056506920006</t>
  </si>
  <si>
    <t xml:space="preserve">Gedong, RT/RW 003/002, Banyuanyar, Banjarsari, Surakarta</t>
  </si>
  <si>
    <t xml:space="preserve">SITI SARAH</t>
  </si>
  <si>
    <t xml:space="preserve">23014491923</t>
  </si>
  <si>
    <t xml:space="preserve">0002223453104</t>
  </si>
  <si>
    <t xml:space="preserve">1104024911040004</t>
  </si>
  <si>
    <t xml:space="preserve">Burni Bius Baru, RT/RW 000/000, Burni Bius Baru, Silih Nara, Aceh Tengah</t>
  </si>
  <si>
    <t xml:space="preserve">AFIF ARIFIN</t>
  </si>
  <si>
    <t xml:space="preserve">0001155289871</t>
  </si>
  <si>
    <t xml:space="preserve">Produksi Pintu (Manda)</t>
  </si>
  <si>
    <t xml:space="preserve">3516131506800002</t>
  </si>
  <si>
    <t xml:space="preserve">Dusun Rejosari, RT/RW 002/002, Plososari, Puri, Mojokerto</t>
  </si>
  <si>
    <t xml:space="preserve">MOH. FATKHUL HADI</t>
  </si>
  <si>
    <t xml:space="preserve">0001793618842</t>
  </si>
  <si>
    <t xml:space="preserve">Produksi Pintu (Mukaan)</t>
  </si>
  <si>
    <t xml:space="preserve">3516070910900002</t>
  </si>
  <si>
    <t xml:space="preserve">Durung, RT/RW 003/004, Jiyu, Kutorejo, Mojokerto</t>
  </si>
  <si>
    <t xml:space="preserve">ANDI HARIANTO</t>
  </si>
  <si>
    <t xml:space="preserve">0001792951896</t>
  </si>
  <si>
    <t xml:space="preserve">Produksi Pintu (Roll)</t>
  </si>
  <si>
    <t xml:space="preserve">3525061211920002</t>
  </si>
  <si>
    <t xml:space="preserve">Pasinan, RT/RW 001/001, Pasinan Lemahputih, Wringinanom, Gresik</t>
  </si>
  <si>
    <t xml:space="preserve">ANGGA ASEP WICAKSONO</t>
  </si>
  <si>
    <t xml:space="preserve">0001792953178</t>
  </si>
  <si>
    <t xml:space="preserve">3503120109910001</t>
  </si>
  <si>
    <t xml:space="preserve">Dusun Benggle, RT/RW 012/004, Winong, Tugu, Trenggalek</t>
  </si>
  <si>
    <t xml:space="preserve">SUPRIYONO</t>
  </si>
  <si>
    <t xml:space="preserve">0001385318722</t>
  </si>
  <si>
    <t xml:space="preserve">Produksi Pintu (QC)</t>
  </si>
  <si>
    <t xml:space="preserve">3523112210770002</t>
  </si>
  <si>
    <t xml:space="preserve">Dsn Semanding, RT/RW 002/006, Purisemanding, Plandaan, Jombang</t>
  </si>
  <si>
    <t xml:space="preserve">DIKI ARRISAL ARIFIYANTO</t>
  </si>
  <si>
    <t xml:space="preserve">0001793471578</t>
  </si>
  <si>
    <t xml:space="preserve">3525062112910001</t>
  </si>
  <si>
    <t xml:space="preserve">Dsn. Selang, RT/RW 001/002, Lakardowo, Jetis, Mojokerto</t>
  </si>
  <si>
    <t xml:space="preserve">DAFIT IKBAL MAULANAH</t>
  </si>
  <si>
    <t xml:space="preserve">22075236829</t>
  </si>
  <si>
    <t xml:space="preserve">0002162619898</t>
  </si>
  <si>
    <t xml:space="preserve">3524162906040001</t>
  </si>
  <si>
    <t xml:space="preserve">Mantup</t>
  </si>
  <si>
    <t xml:space="preserve">Banyuurip, RT/RW 006/002, Kedukbembem, Mantup, Lamongan</t>
  </si>
  <si>
    <t xml:space="preserve">DAVID SETIAWAN</t>
  </si>
  <si>
    <t xml:space="preserve">29018437381</t>
  </si>
  <si>
    <t xml:space="preserve">0001147504645</t>
  </si>
  <si>
    <t xml:space="preserve">Ass. Operator</t>
  </si>
  <si>
    <t xml:space="preserve">3578282812860001</t>
  </si>
  <si>
    <t xml:space="preserve">Greges Timur Gg Lebar 1, RT/RW 002/002, Tambak Sarioso, Asemrowo, Surabaya</t>
  </si>
  <si>
    <t xml:space="preserve">SULASTO</t>
  </si>
  <si>
    <t xml:space="preserve">27018146327</t>
  </si>
  <si>
    <t xml:space="preserve">0001131740087</t>
  </si>
  <si>
    <t xml:space="preserve">3515130601780008</t>
  </si>
  <si>
    <t xml:space="preserve">Taman Barat, RT/RW 001/001, Taman, Taman, Sidoarjo</t>
  </si>
  <si>
    <t xml:space="preserve">MOH. HERIYONO</t>
  </si>
  <si>
    <t xml:space="preserve">0001706046502</t>
  </si>
  <si>
    <t xml:space="preserve">3523110407870004</t>
  </si>
  <si>
    <t xml:space="preserve">Dusun Banjarjo, RT/RW 001/002, Banjaragung, Rengel, Tuban</t>
  </si>
  <si>
    <t xml:space="preserve">ANDIKA PRISTIAWAN</t>
  </si>
  <si>
    <t xml:space="preserve">0001286985071</t>
  </si>
  <si>
    <t xml:space="preserve">3578061203870005</t>
  </si>
  <si>
    <t xml:space="preserve">Jl Tambak Asri 20/15-A, RT/RW 014/006, Morokrembangan, Krembangan, Surabaya</t>
  </si>
  <si>
    <t xml:space="preserve">MOHAMMAD ISHAQ</t>
  </si>
  <si>
    <t xml:space="preserve">0002901924347</t>
  </si>
  <si>
    <t xml:space="preserve">3526041105880002</t>
  </si>
  <si>
    <t xml:space="preserve">Tenggumung Wetan Gg. Cerme / 80 A, RT/RW 012/008, Wonokusumo, Semampir, Surabaya</t>
  </si>
  <si>
    <t xml:space="preserve">DANI KRISTANTO</t>
  </si>
  <si>
    <t xml:space="preserve">0001428248878</t>
  </si>
  <si>
    <t xml:space="preserve">3578063010850005</t>
  </si>
  <si>
    <t xml:space="preserve">Jl Simorejo Timur 9/11-B, RT/RW 005/003, Simomulyo, Sukomanunggal, Surabaya</t>
  </si>
  <si>
    <t xml:space="preserve">ANJA PRASTIYO BUDI</t>
  </si>
  <si>
    <t xml:space="preserve">0001612098235</t>
  </si>
  <si>
    <t xml:space="preserve">3525131006890002</t>
  </si>
  <si>
    <t xml:space="preserve">Laban, RT/RW 002/003, Laban, Menganti, Gresik</t>
  </si>
  <si>
    <t xml:space="preserve">CHOIRUL ANAM</t>
  </si>
  <si>
    <t xml:space="preserve">0001612098404</t>
  </si>
  <si>
    <t xml:space="preserve">3578032506820001</t>
  </si>
  <si>
    <t xml:space="preserve">Rungkut Lor Gg. 8/6, RT/RW 007/005, Kalirungkut, Rungkut, Surabaya</t>
  </si>
  <si>
    <t xml:space="preserve">BUDI SETIAWAN</t>
  </si>
  <si>
    <t xml:space="preserve">0002276402376</t>
  </si>
  <si>
    <t xml:space="preserve">Operator Crane</t>
  </si>
  <si>
    <t xml:space="preserve">3516062106930003</t>
  </si>
  <si>
    <t xml:space="preserve">Dsn Kamotan Wetan, RT/RW 002/002, Randuharjo, Pungging, Mojokerto</t>
  </si>
  <si>
    <t xml:space="preserve">DIAH PURNAMA SARI</t>
  </si>
  <si>
    <t xml:space="preserve">0001144010867</t>
  </si>
  <si>
    <t xml:space="preserve">3402127108850003</t>
  </si>
  <si>
    <t xml:space="preserve">Plumbon 305, RT/RW 012/000, Banguntapan, Banguntapan, Bantul</t>
  </si>
  <si>
    <t xml:space="preserve">SHARA</t>
  </si>
  <si>
    <t xml:space="preserve">0000326093679</t>
  </si>
  <si>
    <t xml:space="preserve">1671066010960006</t>
  </si>
  <si>
    <t xml:space="preserve">Jl. Perintis Kemerdekaan Lr. Produxim, RT/RW 024/006, Duku, Ilir Timur II, Palembang</t>
  </si>
  <si>
    <t xml:space="preserve">DIAN HERINA</t>
  </si>
  <si>
    <t xml:space="preserve">21041381138</t>
  </si>
  <si>
    <t xml:space="preserve">1871064501990007</t>
  </si>
  <si>
    <t xml:space="preserve">Tanjung Karang</t>
  </si>
  <si>
    <t xml:space="preserve">Jl. R. Intan Gg. Melati No. 16, RT/RW 002/000, Enggal, Enggal, Kota Bandar Lampung</t>
  </si>
  <si>
    <t xml:space="preserve">SYAHRAN</t>
  </si>
  <si>
    <t xml:space="preserve">0001734873502</t>
  </si>
  <si>
    <t xml:space="preserve">6472031505930004</t>
  </si>
  <si>
    <t xml:space="preserve">Jl. P. Suryanata, RT/RW 017/000, Bukit Pinang, Samarinda Ulu, Samarinda</t>
  </si>
  <si>
    <t xml:space="preserve">GATOT SETIAWAN</t>
  </si>
  <si>
    <t xml:space="preserve">0001792931848</t>
  </si>
  <si>
    <t xml:space="preserve">3525060601830001</t>
  </si>
  <si>
    <t xml:space="preserve">Pasinan, RT/RW 011/003, Pasinan Lemahputih, Wringinanom, Gresik</t>
  </si>
  <si>
    <t xml:space="preserve">SULIONO</t>
  </si>
  <si>
    <t xml:space="preserve">0001044152133</t>
  </si>
  <si>
    <t xml:space="preserve">3517111801960003</t>
  </si>
  <si>
    <t xml:space="preserve">MOCH. FARID MAULANA</t>
  </si>
  <si>
    <t xml:space="preserve">0003217516918</t>
  </si>
  <si>
    <t xml:space="preserve">PU Produksi</t>
  </si>
  <si>
    <t xml:space="preserve">3525062710040002</t>
  </si>
  <si>
    <t xml:space="preserve">Lebaniwaras, RT/RW 005/004, Lebaniwaras, Wringinanom, Gresik</t>
  </si>
  <si>
    <t xml:space="preserve">ALDY RIZAL ARDIANSYAH</t>
  </si>
  <si>
    <t xml:space="preserve">27080772737</t>
  </si>
  <si>
    <t xml:space="preserve">0001905402014</t>
  </si>
  <si>
    <t xml:space="preserve">3507282810030001</t>
  </si>
  <si>
    <t xml:space="preserve">Dusun Bulung, RT/RW 025/009, Bayem, Kasembon, Malang</t>
  </si>
  <si>
    <t xml:space="preserve">CHOIRON</t>
  </si>
  <si>
    <t xml:space="preserve">0001858463572</t>
  </si>
  <si>
    <t xml:space="preserve">3578270906870004</t>
  </si>
  <si>
    <t xml:space="preserve">Sukomanunggal Baru Selatan PJKA No. 177, RT/RW 005/005, Suko Manunggal, Sukomanunggal, Surabaya</t>
  </si>
  <si>
    <t xml:space="preserve">JORDY STEEFANI FRANSZ</t>
  </si>
  <si>
    <t xml:space="preserve">0002999905571</t>
  </si>
  <si>
    <t xml:space="preserve">GA - Driver Direksi</t>
  </si>
  <si>
    <t xml:space="preserve">3578012402940001</t>
  </si>
  <si>
    <t xml:space="preserve">Rusun Manyar AL 5/11 RT/RW 004/003 Warugunung, Karang Pilang, Surabaya</t>
  </si>
  <si>
    <t xml:space="preserve">MAHESA NILA PANDHITA</t>
  </si>
  <si>
    <t xml:space="preserve">0000724377971</t>
  </si>
  <si>
    <t xml:space="preserve">3516062510020002</t>
  </si>
  <si>
    <t xml:space="preserve">DWI RAHAYUNING SURASTIA</t>
  </si>
  <si>
    <t xml:space="preserve">0001186421297</t>
  </si>
  <si>
    <t xml:space="preserve">3525066703010001</t>
  </si>
  <si>
    <t xml:space="preserve">Sumberame, RT/RW 001/002, Sumberame, Wringinanom, Gresik</t>
  </si>
  <si>
    <t xml:space="preserve">ANGGRA YUNIARTI</t>
  </si>
  <si>
    <t xml:space="preserve">3525156206890003</t>
  </si>
  <si>
    <t xml:space="preserve">Bambe, RT/RW 011/004, Bambe, Driyorejo, Gresik</t>
  </si>
  <si>
    <t xml:space="preserve">FAUZAN AL MACHSYUROH</t>
  </si>
  <si>
    <t xml:space="preserve">0001162074093</t>
  </si>
  <si>
    <t xml:space="preserve">HSE</t>
  </si>
  <si>
    <t xml:space="preserve">3525101504030002</t>
  </si>
  <si>
    <t xml:space="preserve">Roomo No. 31, RT/RW 007/002, Roomo, Manyar, Gresik</t>
  </si>
  <si>
    <t xml:space="preserve">REZY FERDIANSYAH</t>
  </si>
  <si>
    <t xml:space="preserve">0001048520608</t>
  </si>
  <si>
    <t xml:space="preserve">3528042009960001</t>
  </si>
  <si>
    <t xml:space="preserve">Dsn Panyepen, RT/RW 001/003, Panempan, Pamekasan, Pamekasan</t>
  </si>
  <si>
    <t xml:space="preserve">ANDREAN WIDYA PRATAMA PUTRA</t>
  </si>
  <si>
    <t xml:space="preserve">0000758680132</t>
  </si>
  <si>
    <t xml:space="preserve">3524253105000001</t>
  </si>
  <si>
    <t xml:space="preserve">Pondok, RT/RW 004/002, Pandanpancur, Deket, Lamongan</t>
  </si>
  <si>
    <t xml:space="preserve">IDRIS AFANDI</t>
  </si>
  <si>
    <t xml:space="preserve">0001318235466</t>
  </si>
  <si>
    <t xml:space="preserve">3516163112930012</t>
  </si>
  <si>
    <t xml:space="preserve">Sidoduwur, RT/RW 003/004, Parengan, Jetis, Mojokerto</t>
  </si>
  <si>
    <t xml:space="preserve">ACHMAD VIDIN FIRMANSYAH</t>
  </si>
  <si>
    <t xml:space="preserve">22089025797</t>
  </si>
  <si>
    <t xml:space="preserve">0001722251619</t>
  </si>
  <si>
    <t xml:space="preserve">Produksi Cutting</t>
  </si>
  <si>
    <t xml:space="preserve">3525150703890001</t>
  </si>
  <si>
    <t xml:space="preserve">Banjaran, RT/RW 004/005, Banjaran, Driyorejo, Gresik</t>
  </si>
  <si>
    <t xml:space="preserve">FACHRUR ROZY</t>
  </si>
  <si>
    <t xml:space="preserve">24075661250</t>
  </si>
  <si>
    <t xml:space="preserve">0000099510423</t>
  </si>
  <si>
    <t xml:space="preserve">3516160109970003</t>
  </si>
  <si>
    <t xml:space="preserve">Pantesrejo, RT/RW 002/004, Mojorejo, Jetis, Mojokerto</t>
  </si>
  <si>
    <t xml:space="preserve">ANDY NUR MUHAMMAD UBETHULLOH</t>
  </si>
  <si>
    <t xml:space="preserve">0001826469843</t>
  </si>
  <si>
    <t xml:space="preserve">3516140403000001</t>
  </si>
  <si>
    <t xml:space="preserve">Jl. Raya Bagusan 71 RT/RW 009/004 Terusan, Gedeg, Mojokerto</t>
  </si>
  <si>
    <t xml:space="preserve">DAVID AFRIZAL</t>
  </si>
  <si>
    <t xml:space="preserve">PT BETTS INDONESIA</t>
  </si>
  <si>
    <t xml:space="preserve">0001195143603</t>
  </si>
  <si>
    <t xml:space="preserve">3516140612950001</t>
  </si>
  <si>
    <t xml:space="preserve">Sambilawang, RT/RW 001/002, Sambilawang, Dlanggu, Mojokerto</t>
  </si>
  <si>
    <t xml:space="preserve">ERMANSYAH</t>
  </si>
  <si>
    <t xml:space="preserve">3578200306830002</t>
  </si>
  <si>
    <t xml:space="preserve">M. EKO AL BIANTORO</t>
  </si>
  <si>
    <t xml:space="preserve">0002250885227</t>
  </si>
  <si>
    <t xml:space="preserve">3518111612920003</t>
  </si>
  <si>
    <t xml:space="preserve">Kutisari Utara I/34-I, RT/RW 005/004, Kutisari, Tenggilis Mejoyo, Surabaya</t>
  </si>
  <si>
    <t xml:space="preserve">SIGIT PRATAMA</t>
  </si>
  <si>
    <t xml:space="preserve">20090518772</t>
  </si>
  <si>
    <t xml:space="preserve">0002997770951</t>
  </si>
  <si>
    <t xml:space="preserve">3578061907930005</t>
  </si>
  <si>
    <t xml:space="preserve">Simo Gunung Kramat Timur 1-A/8, RT/RW 007/002, Putat Jaya, Sawahan, Surabaya</t>
  </si>
  <si>
    <t xml:space="preserve">HENDRY IQBAL MAULANA</t>
  </si>
  <si>
    <t xml:space="preserve">0001437611196</t>
  </si>
  <si>
    <t xml:space="preserve">3525131106020001</t>
  </si>
  <si>
    <t xml:space="preserve">Laban Wetan, RT/RW 019/006, Laban, Menganti, Surabaya</t>
  </si>
  <si>
    <t xml:space="preserve">RINDI MAHARANI</t>
  </si>
  <si>
    <t xml:space="preserve">3522087009040001</t>
  </si>
  <si>
    <t xml:space="preserve">Tlawah, RT/RW 018/007, Panjang, Kedungadem, Bojonegoro</t>
  </si>
  <si>
    <t xml:space="preserve">DIFA SALSABILA</t>
  </si>
  <si>
    <t xml:space="preserve">Aceh</t>
  </si>
  <si>
    <t xml:space="preserve">1105015710010004</t>
  </si>
  <si>
    <t xml:space="preserve">Meulaboh</t>
  </si>
  <si>
    <t xml:space="preserve">Jalan Tgk. Dirundeng No. 183, RT/RW 000/000, Rundeng, Johan Pahlawan, Aceh Barat</t>
  </si>
  <si>
    <t xml:space="preserve">DILLA AZZARI</t>
  </si>
  <si>
    <t xml:space="preserve">0000265464977</t>
  </si>
  <si>
    <t xml:space="preserve">1271114211010004</t>
  </si>
  <si>
    <t xml:space="preserve">Jl. Pintu Air 1 Gg Jaya No2-D Lk Iii, RT/RW 008/003, Kwala Bekala, Medan Johor, Medan</t>
  </si>
  <si>
    <t xml:space="preserve">MUHAMMAD RIZAL DARMAWAN</t>
  </si>
  <si>
    <t xml:space="preserve">0001078771048</t>
  </si>
  <si>
    <t xml:space="preserve">3525100304010002</t>
  </si>
  <si>
    <t xml:space="preserve">Jl. Tanjung Wira IV/02, RT/RW 006/012, Yosowilangun, Manyar, Gresik</t>
  </si>
  <si>
    <t xml:space="preserve">AKHMAD SIFA'UR ROHMAN</t>
  </si>
  <si>
    <t xml:space="preserve">0000758283952</t>
  </si>
  <si>
    <t xml:space="preserve">3524271208020001</t>
  </si>
  <si>
    <t xml:space="preserve">Gempolpayung, RT/RW 002/004, Gempoltukmloko, Sarirejo, Lamongan</t>
  </si>
  <si>
    <t xml:space="preserve">ALFIYAN NUR CAHYONO</t>
  </si>
  <si>
    <t xml:space="preserve">0001161980199</t>
  </si>
  <si>
    <t xml:space="preserve">3525060105980001</t>
  </si>
  <si>
    <t xml:space="preserve">Lebanwaras, RT/RW 004/003, Lebanwaras, Wringinanom, Gresik</t>
  </si>
  <si>
    <t xml:space="preserve">ENDIK SANTOSO</t>
  </si>
  <si>
    <t xml:space="preserve">0002423642681</t>
  </si>
  <si>
    <t xml:space="preserve">3515120803870001</t>
  </si>
  <si>
    <t xml:space="preserve">Mojosarirejo, RT/RW 002/001, Mojosarirejo, Driyorejo, Gresik</t>
  </si>
  <si>
    <t xml:space="preserve">PRAJA YUSUFIANTO</t>
  </si>
  <si>
    <t xml:space="preserve">0003186655795</t>
  </si>
  <si>
    <t xml:space="preserve">3507240805050002</t>
  </si>
  <si>
    <t xml:space="preserve">Dusun Tanjung, RT/RW 001/007, Banjararum, Singosari, Malang</t>
  </si>
  <si>
    <t xml:space="preserve">MOKHAMMAD SEPTO KHOIRUDDIN</t>
  </si>
  <si>
    <t xml:space="preserve">0002767211076</t>
  </si>
  <si>
    <t xml:space="preserve">3516152406960001</t>
  </si>
  <si>
    <t xml:space="preserve">MUHAMMAD DENDY RAMADHAN</t>
  </si>
  <si>
    <t xml:space="preserve">20036251557</t>
  </si>
  <si>
    <t xml:space="preserve">0002910533422</t>
  </si>
  <si>
    <t xml:space="preserve">QC</t>
  </si>
  <si>
    <t xml:space="preserve">3516081812000002</t>
  </si>
  <si>
    <t xml:space="preserve">Sawahan Gg III, RT/RW 006/001, Sawahan, Mojosari, Mojokerto</t>
  </si>
  <si>
    <t xml:space="preserve">FRANSISCUS PRADANA CHRISANTO PUTRA</t>
  </si>
  <si>
    <t xml:space="preserve">0002238487446</t>
  </si>
  <si>
    <t xml:space="preserve">3514140809970002</t>
  </si>
  <si>
    <t xml:space="preserve">Perum Permata Asri K-09, RT/RW 001/005, Gempeng, Bangil, Pasuruan</t>
  </si>
  <si>
    <t xml:space="preserve">ABDUL ROCHMAN</t>
  </si>
  <si>
    <t xml:space="preserve">PT GLOBAL CHEMINDO</t>
  </si>
  <si>
    <t xml:space="preserve">0000749921589</t>
  </si>
  <si>
    <t xml:space="preserve">3522172203870001</t>
  </si>
  <si>
    <t xml:space="preserve">Dsn. Semanding, RT/RW 007/002, Kemiri, Malo, Bojonegoro</t>
  </si>
  <si>
    <t xml:space="preserve">NAUFAL ALI YASSAR</t>
  </si>
  <si>
    <t xml:space="preserve">0001882272699</t>
  </si>
  <si>
    <t xml:space="preserve">3525150611040002</t>
  </si>
  <si>
    <t xml:space="preserve">Jl. Granit Kumala 4.3/46, RT/RW 003/015, Petiken, Driyorejo, Gresik</t>
  </si>
  <si>
    <t xml:space="preserve">MYSBAKHUL HUDA</t>
  </si>
  <si>
    <t xml:space="preserve">0001540359145</t>
  </si>
  <si>
    <t xml:space="preserve">Produksi( Shearing )</t>
  </si>
  <si>
    <t xml:space="preserve">3525152708010002</t>
  </si>
  <si>
    <t xml:space="preserve">Tenaru, RT/RW 006/001, Tenaru, Driyorejo, Gresik</t>
  </si>
  <si>
    <t xml:space="preserve">EARLY FAIRRUS KHAERANI</t>
  </si>
  <si>
    <t xml:space="preserve">28083465648</t>
  </si>
  <si>
    <t xml:space="preserve">3471106102040001</t>
  </si>
  <si>
    <t xml:space="preserve">YOGYAKARTA</t>
  </si>
  <si>
    <t xml:space="preserve">kauman GM 1 RT/RW 048/013 Ngupasan Gondomanan Kota Yogyakarta</t>
  </si>
  <si>
    <t xml:space="preserve">ERPITA MALA</t>
  </si>
  <si>
    <t xml:space="preserve">20044576584</t>
  </si>
  <si>
    <t xml:space="preserve">0001301044487</t>
  </si>
  <si>
    <t xml:space="preserve">1207065201940001</t>
  </si>
  <si>
    <t xml:space="preserve">Batu Penjemuran</t>
  </si>
  <si>
    <t xml:space="preserve">Dusun Ii, RT/RW 000/000, Batu Penjemuran, Namo Rambe, Deli Serdang</t>
  </si>
  <si>
    <t xml:space="preserve">ECHA APRILIA</t>
  </si>
  <si>
    <t xml:space="preserve">28053715354</t>
  </si>
  <si>
    <t xml:space="preserve">1610055404070003</t>
  </si>
  <si>
    <t xml:space="preserve">Jl. Irigasi Lr. Pendopo No. 3194, RT/RW 053/015, Srijaya, Alang Alang Lebar, Kota Palembang</t>
  </si>
  <si>
    <t xml:space="preserve">RUDI WIDIONO</t>
  </si>
  <si>
    <t xml:space="preserve">0001815764782</t>
  </si>
  <si>
    <t xml:space="preserve">3506150608860001</t>
  </si>
  <si>
    <t xml:space="preserve">Pakis Wetan 5/28 RT 008 RW 003, Pakis, Sawahan, Surabaya</t>
  </si>
  <si>
    <t xml:space="preserve">NI'MATUL FAHDIYAH</t>
  </si>
  <si>
    <t xml:space="preserve">0001869894663</t>
  </si>
  <si>
    <t xml:space="preserve">3525146701010001</t>
  </si>
  <si>
    <t xml:space="preserve">Sunan Giri 13-C/17, RT/RW 010/001, Sidomukti, Kebomas, Gresik</t>
  </si>
  <si>
    <t xml:space="preserve">PUTRI FARADILA</t>
  </si>
  <si>
    <t xml:space="preserve">22091068689</t>
  </si>
  <si>
    <t xml:space="preserve">0003590021992</t>
  </si>
  <si>
    <t xml:space="preserve">6202066306010001</t>
  </si>
  <si>
    <t xml:space="preserve">Jl. Kembali 4 Gg. 5, RT/RW 055/003, Ketapang, Mentawa Baru Ketapang, Kotawaringin Timur</t>
  </si>
  <si>
    <t xml:space="preserve">0001925534968</t>
  </si>
  <si>
    <t xml:space="preserve">6371015112020006</t>
  </si>
  <si>
    <t xml:space="preserve">Jl. Teluk Kelayan Gg Kura-kura No. 60, RT/RW 001/001, Kelayan Barat, Banjarmasin Selatan, Banjarmasin</t>
  </si>
  <si>
    <t xml:space="preserve">EGI YULIANTI LAEMBO</t>
  </si>
  <si>
    <t xml:space="preserve">26033839288</t>
  </si>
  <si>
    <t xml:space="preserve">Luwuk</t>
  </si>
  <si>
    <t xml:space="preserve">7201046506010002</t>
  </si>
  <si>
    <t xml:space="preserve">Aliander, RT/RW 005/003, Hanga Hanga, Luwuk Selatan, Kab. Banggai</t>
  </si>
  <si>
    <t xml:space="preserve">BELLA AGUS TRIANI NAINGGOLAN</t>
  </si>
  <si>
    <t xml:space="preserve">20064100379</t>
  </si>
  <si>
    <t xml:space="preserve">0001610779533</t>
  </si>
  <si>
    <t xml:space="preserve">1271135508030003</t>
  </si>
  <si>
    <t xml:space="preserve">Jl. Jaring Udang 2 Rel Lk 28, RT/RW 000/000, Pekan Labuhan, Medan Labuhan, Medan</t>
  </si>
  <si>
    <t xml:space="preserve">TIMUR PAMUNGKAS</t>
  </si>
  <si>
    <t xml:space="preserve">0001325135068</t>
  </si>
  <si>
    <t xml:space="preserve">3578241109820001</t>
  </si>
  <si>
    <t xml:space="preserve">Tambaksari Selatan 14/4, RT/RW 014/006, Tambaksari, Tambaksari, Surabaya</t>
  </si>
  <si>
    <t xml:space="preserve">PADANG JOKO SANTOSO</t>
  </si>
  <si>
    <t xml:space="preserve">0002058292102</t>
  </si>
  <si>
    <t xml:space="preserve">3578100709700005</t>
  </si>
  <si>
    <t xml:space="preserve">Mataram</t>
  </si>
  <si>
    <t xml:space="preserve">Bronggalan Sawah 4-G/38, RT/RW 012/009, Pacar Kembang, Tambak Sari, Surabaya</t>
  </si>
  <si>
    <t xml:space="preserve">FIRMANSYAH MAULANA</t>
  </si>
  <si>
    <t xml:space="preserve">20088969291</t>
  </si>
  <si>
    <t xml:space="preserve">0002998377415</t>
  </si>
  <si>
    <t xml:space="preserve">3578133004020001</t>
  </si>
  <si>
    <t xml:space="preserve">Rejosari Gg Delima No.56A, RT/RW 004/003, Benowo, Pakal, Surabaya</t>
  </si>
  <si>
    <t xml:space="preserve">MUHAMMAD IRFAN SYAHRU ROMADONI</t>
  </si>
  <si>
    <t xml:space="preserve">0002246517314</t>
  </si>
  <si>
    <t xml:space="preserve">3578170711040005</t>
  </si>
  <si>
    <t xml:space="preserve">Kedung Mangu Masjid 1/17, RT/RW 004/003, Sidotopo Wetan, Kenjeran, Surabaya</t>
  </si>
  <si>
    <t xml:space="preserve">MOCH. ABRIL MAULANA</t>
  </si>
  <si>
    <t xml:space="preserve">0001394532189</t>
  </si>
  <si>
    <t xml:space="preserve">3578300304050001</t>
  </si>
  <si>
    <t xml:space="preserve">Tambakdono, RT/RW 003/007, Sumber Rejo, Pakal, Surabaya</t>
  </si>
  <si>
    <t xml:space="preserve">ANDRI SETIAWAN</t>
  </si>
  <si>
    <t xml:space="preserve">0002415829533</t>
  </si>
  <si>
    <t xml:space="preserve">3578150910980001</t>
  </si>
  <si>
    <t xml:space="preserve">Morokrembangan 4/16, RT/RW 002/008, Morokrembangan, Krembangan, Surabaya</t>
  </si>
  <si>
    <t xml:space="preserve">GILANG WIDJAYANTO</t>
  </si>
  <si>
    <t xml:space="preserve">0000787045511</t>
  </si>
  <si>
    <t xml:space="preserve">3578311206040001</t>
  </si>
  <si>
    <t xml:space="preserve">Candi Lontar 41J/25, RT/RW 003/007, Lontar, Sambikerep, Surabaya</t>
  </si>
  <si>
    <t xml:space="preserve">ROMARIO WAHYU LAKSMANA</t>
  </si>
  <si>
    <t xml:space="preserve">3578152203000001</t>
  </si>
  <si>
    <t xml:space="preserve">Krembangan Buyut Buntu 08, RT/RW 002/012, Krembangan Selatan, Krembangan, Surabaya</t>
  </si>
  <si>
    <t xml:space="preserve">NOVI RAHMASARI</t>
  </si>
  <si>
    <t xml:space="preserve">23007212061</t>
  </si>
  <si>
    <t xml:space="preserve">3578104211040004</t>
  </si>
  <si>
    <t xml:space="preserve">Kedung Tarukan No.116-B, RT/RW 001/004, Pacarkembang, Tambaksari, Surabaya</t>
  </si>
  <si>
    <t xml:space="preserve">MUHAMMAD KARIM AL ISFAHANI SABILILLAH</t>
  </si>
  <si>
    <t xml:space="preserve">20052484426</t>
  </si>
  <si>
    <t xml:space="preserve">0000762080117</t>
  </si>
  <si>
    <t xml:space="preserve">3525112110020002</t>
  </si>
  <si>
    <t xml:space="preserve">Kambingan, RT/RW 001/002, Kambingan, Cerme, Gresik</t>
  </si>
  <si>
    <t xml:space="preserve">MUHAMMAD RIZKY SAIFFUDIN</t>
  </si>
  <si>
    <t xml:space="preserve">0001844744861</t>
  </si>
  <si>
    <t xml:space="preserve">3515181302010004</t>
  </si>
  <si>
    <t xml:space="preserve">Jl. Cendrawasih 1/5, RT/RW 003/006, Kepuh Kiriman, Waru, Sidoarjo</t>
  </si>
  <si>
    <t xml:space="preserve">ACHMAD NURDIYANSYAH</t>
  </si>
  <si>
    <t xml:space="preserve">PT TIRTAMAS COLDSTORINDO LOGISTIK</t>
  </si>
  <si>
    <t xml:space="preserve">0001616842664</t>
  </si>
  <si>
    <t xml:space="preserve">Checker</t>
  </si>
  <si>
    <t xml:space="preserve">3515101011920002</t>
  </si>
  <si>
    <t xml:space="preserve">Dsn Pejagalan, RT/RW 013/004, Simoangin-Angin, Wonoayu, Sidoarjo</t>
  </si>
  <si>
    <t xml:space="preserve">TRY AGUNG SATRIAWAN</t>
  </si>
  <si>
    <t xml:space="preserve">0000174711813</t>
  </si>
  <si>
    <t xml:space="preserve">PLC</t>
  </si>
  <si>
    <t xml:space="preserve">3517010606950002</t>
  </si>
  <si>
    <t xml:space="preserve">Dusun Gambiran Utara, RT/RW 003/002, Gambiran, Mojoagung, Kab. Jombang</t>
  </si>
  <si>
    <t xml:space="preserve">KURNIARDI</t>
  </si>
  <si>
    <t xml:space="preserve">PT RUKMA PADAYA TRANS (LABOUR)</t>
  </si>
  <si>
    <t xml:space="preserve">0001869334108</t>
  </si>
  <si>
    <t xml:space="preserve">3578161307040003</t>
  </si>
  <si>
    <t xml:space="preserve">Endrosono 1/10, RT/RW 001/002, Wonokusumo, Semampir, Surabaya</t>
  </si>
  <si>
    <t xml:space="preserve">MOHAMAD RIZKI WAHYUDI</t>
  </si>
  <si>
    <t xml:space="preserve">0002998655796</t>
  </si>
  <si>
    <t xml:space="preserve">3578311109010001</t>
  </si>
  <si>
    <t xml:space="preserve">Sawo Bringin Gg. VI, RT/RW 001/002, Bringin, Sambikerep, Surabaya</t>
  </si>
  <si>
    <t xml:space="preserve">ABDULLAH SALAM</t>
  </si>
  <si>
    <t xml:space="preserve">20050699079</t>
  </si>
  <si>
    <t xml:space="preserve">0001544631783</t>
  </si>
  <si>
    <t xml:space="preserve">Washing / Cleaner Container</t>
  </si>
  <si>
    <t xml:space="preserve">3578150709990003</t>
  </si>
  <si>
    <t xml:space="preserve">Kalianak Timur Rahmat 1-B/35, RT/RW 010/007, Morokrembangan, Krembangan, Surabaya</t>
  </si>
  <si>
    <t xml:space="preserve">AHMAD IFAN EFENDI</t>
  </si>
  <si>
    <t xml:space="preserve">0001168848808</t>
  </si>
  <si>
    <t xml:space="preserve">Teknisi Reefer Container</t>
  </si>
  <si>
    <t xml:space="preserve">3517090811030001</t>
  </si>
  <si>
    <t xml:space="preserve">Dsn Sendang Rejo, RT/RW 003/010, Banjardowo, Jombang, Jombang</t>
  </si>
  <si>
    <t xml:space="preserve">AHMAD IRFAN FAQIH</t>
  </si>
  <si>
    <t xml:space="preserve">0003137714627</t>
  </si>
  <si>
    <t xml:space="preserve">Repair Body</t>
  </si>
  <si>
    <t xml:space="preserve">3525011802020001</t>
  </si>
  <si>
    <t xml:space="preserve">Lowayu, RT/RW 013/004, Lowayu, Dukun, Gresik</t>
  </si>
  <si>
    <t xml:space="preserve">AKHMAD ADIB</t>
  </si>
  <si>
    <t xml:space="preserve">0000599234591</t>
  </si>
  <si>
    <t xml:space="preserve">3321122705830005</t>
  </si>
  <si>
    <t xml:space="preserve">Demak</t>
  </si>
  <si>
    <t xml:space="preserve">Jl. Demak No. 361-B, RT/RW 011/003, Morokrembangan, Krembangan, Surabaya</t>
  </si>
  <si>
    <t xml:space="preserve">ALAM FIRMANSYAH</t>
  </si>
  <si>
    <t xml:space="preserve">0000723934809</t>
  </si>
  <si>
    <t xml:space="preserve">3515121002990001</t>
  </si>
  <si>
    <t xml:space="preserve">Gagang, RT/RW 002/001, Gagangkepuhsari, Balongbendo, Sidoarjo</t>
  </si>
  <si>
    <t xml:space="preserve">ANDIKA MAHMUDIN SHOFYAN</t>
  </si>
  <si>
    <t xml:space="preserve">0001607703478</t>
  </si>
  <si>
    <t xml:space="preserve">3520091206950002</t>
  </si>
  <si>
    <t xml:space="preserve">Sumuran, RT/RW 001/001, Pojoksari, Sukomoro, Magetan</t>
  </si>
  <si>
    <t xml:space="preserve">ANGGIT FEBRIANTO</t>
  </si>
  <si>
    <t xml:space="preserve">0003619201476</t>
  </si>
  <si>
    <t xml:space="preserve">3524131902970001</t>
  </si>
  <si>
    <t xml:space="preserve">Plosokuning, RT/RW 017/003, Padenganploso, Pucuk, Lamongan</t>
  </si>
  <si>
    <t xml:space="preserve">ARI ISMANTO</t>
  </si>
  <si>
    <t xml:space="preserve">0002162896042</t>
  </si>
  <si>
    <t xml:space="preserve">3578152701000001</t>
  </si>
  <si>
    <t xml:space="preserve">Kalianak Timur Lebar 163-C, RT/RW 008/007, Morokrembangan, Krembangan, Surabaya</t>
  </si>
  <si>
    <t xml:space="preserve">ARIF SYARIFUDIN</t>
  </si>
  <si>
    <t xml:space="preserve">0000668645291</t>
  </si>
  <si>
    <t xml:space="preserve">Helper Mekanik</t>
  </si>
  <si>
    <t xml:space="preserve">3505120610090001</t>
  </si>
  <si>
    <t xml:space="preserve">Lingkungan Sutojayan, RT/RW 002/005, Sutojayan, Sutojayan, Blitar</t>
  </si>
  <si>
    <t xml:space="preserve">ARYO JOKO PUSPITO</t>
  </si>
  <si>
    <t xml:space="preserve">0002682985757</t>
  </si>
  <si>
    <t xml:space="preserve">3578062510960006</t>
  </si>
  <si>
    <t xml:space="preserve">Putat Jaya Barat 9-B/26-A, RT/RW 005/011, Putat Jaya, Sawahan, Surabaya</t>
  </si>
  <si>
    <t xml:space="preserve">AUDIO MARTA EKO SAPUTRA</t>
  </si>
  <si>
    <t xml:space="preserve">0003619201408</t>
  </si>
  <si>
    <t xml:space="preserve">3524112203030003</t>
  </si>
  <si>
    <t xml:space="preserve">Pandak, RT/RW 001/001, Jatipandak, Sambeng, Lamongan</t>
  </si>
  <si>
    <t xml:space="preserve">BAGUS RIAN MARDIANTO</t>
  </si>
  <si>
    <t xml:space="preserve">0002811425951</t>
  </si>
  <si>
    <t xml:space="preserve">3524260101020005</t>
  </si>
  <si>
    <t xml:space="preserve">Kalianyar, RT/RW 002/003, Margoanyar, Glagah, Lamongan</t>
  </si>
  <si>
    <t xml:space="preserve">BINTANG DEGA HERLAMBANG</t>
  </si>
  <si>
    <t xml:space="preserve">0002500935669</t>
  </si>
  <si>
    <t xml:space="preserve">3515182606940001</t>
  </si>
  <si>
    <t xml:space="preserve">Perum Puri Bagus Harmoni Kota Blok B-2, RT/RW 015/005, Sedenganmijen, Krian, Sidoarjo</t>
  </si>
  <si>
    <t xml:space="preserve">DENDI KISWANTORO HADI SAPUTRO</t>
  </si>
  <si>
    <t xml:space="preserve">0000755634791</t>
  </si>
  <si>
    <t xml:space="preserve">3524112202010002</t>
  </si>
  <si>
    <t xml:space="preserve">Garung, RT/RW 001/002, Garung, Sambeng, Lamongan</t>
  </si>
  <si>
    <t xml:space="preserve">DWI JULI PRASETYA</t>
  </si>
  <si>
    <t xml:space="preserve">0003104879499</t>
  </si>
  <si>
    <t xml:space="preserve">3578162007930001</t>
  </si>
  <si>
    <t xml:space="preserve">Bulak Jaya Gg. 5 No. 25, RT/RW 005/015, Wonokusumo, Semampir, Surabaya</t>
  </si>
  <si>
    <t xml:space="preserve">FAHMI RAFI'UL HIMAM</t>
  </si>
  <si>
    <t xml:space="preserve">0003267294669</t>
  </si>
  <si>
    <t xml:space="preserve">3525010812000002</t>
  </si>
  <si>
    <t xml:space="preserve">Lowayu, RT/RW 007/002, Lowayu, Dukun, Gresik</t>
  </si>
  <si>
    <t xml:space="preserve">FIRQI SUCI EKA ADI BANGGA</t>
  </si>
  <si>
    <t xml:space="preserve">0003619200306</t>
  </si>
  <si>
    <t xml:space="preserve">Ops. Bongkaran</t>
  </si>
  <si>
    <t xml:space="preserve">3506261112990002</t>
  </si>
  <si>
    <t xml:space="preserve">Dsn. Balongrejo, RT/RW 004/005, Badas, Badas, Kediri</t>
  </si>
  <si>
    <t xml:space="preserve">JAMIL EFENDI</t>
  </si>
  <si>
    <t xml:space="preserve">0001144090653</t>
  </si>
  <si>
    <t xml:space="preserve">3524261906930001</t>
  </si>
  <si>
    <t xml:space="preserve">M. AGUS TAOFIQ</t>
  </si>
  <si>
    <t xml:space="preserve">0000752003291</t>
  </si>
  <si>
    <t xml:space="preserve">3523141708030002</t>
  </si>
  <si>
    <t xml:space="preserve">Dsn Butoh, RT/RW 001/003, Kebonagung, Rengel, Tuban</t>
  </si>
  <si>
    <t xml:space="preserve">M. AMYRUL YAQIN DWI FRANCEKA</t>
  </si>
  <si>
    <t xml:space="preserve">0001541293839</t>
  </si>
  <si>
    <t xml:space="preserve">3578191902030001</t>
  </si>
  <si>
    <t xml:space="preserve">Tambak Osowilangun Timur 10, RT/RW 002/004, Tambak Osowilangun, Benowo, Surabaya</t>
  </si>
  <si>
    <t xml:space="preserve">M. EKO WIDIYANTO</t>
  </si>
  <si>
    <t xml:space="preserve">0001432886253</t>
  </si>
  <si>
    <t xml:space="preserve">3524190101010003</t>
  </si>
  <si>
    <t xml:space="preserve">Jl. Biduri Bulan Raya 12 D / AB.31, RT/RW 004/011, Petiken, Driyorejo, Gresik</t>
  </si>
  <si>
    <t xml:space="preserve">M. HAFIZ ALVIN NIZAM</t>
  </si>
  <si>
    <t xml:space="preserve">0003619201599</t>
  </si>
  <si>
    <t xml:space="preserve">Ops. Bongkaran &amp; Teknisi</t>
  </si>
  <si>
    <t xml:space="preserve">3524063107040001</t>
  </si>
  <si>
    <t xml:space="preserve">Nglebur, RT/RW 009/003, Nglebur, Kedungpring, Lamongan</t>
  </si>
  <si>
    <t xml:space="preserve">M. IQBAL HASYIM BAHTIAR</t>
  </si>
  <si>
    <t xml:space="preserve">0000098594223</t>
  </si>
  <si>
    <t xml:space="preserve">Inv. Depo</t>
  </si>
  <si>
    <t xml:space="preserve">3576010305980006</t>
  </si>
  <si>
    <t xml:space="preserve">Pekayon No. 9-A, RT/RW 004/001, Kranggan, Kranggan, Mojokerto</t>
  </si>
  <si>
    <t xml:space="preserve">M. YUSUF</t>
  </si>
  <si>
    <t xml:space="preserve">0001705701418</t>
  </si>
  <si>
    <t xml:space="preserve">3524110204020004</t>
  </si>
  <si>
    <t xml:space="preserve">Garung, RT/RW 001/001, Garung, Sambeng, Lamongan</t>
  </si>
  <si>
    <t xml:space="preserve">MOCH. QADAFI</t>
  </si>
  <si>
    <t xml:space="preserve">0001705616076</t>
  </si>
  <si>
    <t xml:space="preserve">Teknisi Loading</t>
  </si>
  <si>
    <t xml:space="preserve">3578272411960003</t>
  </si>
  <si>
    <t xml:space="preserve">Simorejo 5/35, RT/RW 003/002, Simomulyo, Sukomanunggal, Surabaya</t>
  </si>
  <si>
    <t xml:space="preserve">MOCHAMAD IWAN</t>
  </si>
  <si>
    <t xml:space="preserve">0002998835245</t>
  </si>
  <si>
    <t xml:space="preserve">3578201805750002</t>
  </si>
  <si>
    <t xml:space="preserve">Dk. Karangan V/12-C, RT/RW 010/003, Babatan, Wiyung, Surabaya</t>
  </si>
  <si>
    <t xml:space="preserve">MOH. KHOIRUDIN</t>
  </si>
  <si>
    <t xml:space="preserve">0003012995531</t>
  </si>
  <si>
    <t xml:space="preserve">3525012602930001</t>
  </si>
  <si>
    <t xml:space="preserve">Tebuwung, RT/RW 026/005, Tebuwung, Dukun, Gresik</t>
  </si>
  <si>
    <t xml:space="preserve">MOHAMMAD ADI JULIANTO</t>
  </si>
  <si>
    <t xml:space="preserve">0000757342293</t>
  </si>
  <si>
    <t xml:space="preserve">3524171106980001</t>
  </si>
  <si>
    <t xml:space="preserve">Plembon, RT/RW 002/002, Banjarejo, Sukodadi, Lamongan</t>
  </si>
  <si>
    <t xml:space="preserve">MOITU ULUPALU</t>
  </si>
  <si>
    <t xml:space="preserve">0003318130517</t>
  </si>
  <si>
    <t xml:space="preserve">8105140306700002</t>
  </si>
  <si>
    <t xml:space="preserve">Kuwaos</t>
  </si>
  <si>
    <t xml:space="preserve">Kuwaos, RT/RW 000/000, Kuwaos, Siritaun Wida Timur, Seram Bagian Timur</t>
  </si>
  <si>
    <t xml:space="preserve">MUHAMMAD ADITTIYA AFRIZAL</t>
  </si>
  <si>
    <t xml:space="preserve">0001535711826</t>
  </si>
  <si>
    <t xml:space="preserve">3524211204050002</t>
  </si>
  <si>
    <t xml:space="preserve">Dungun, RT/RW 002/006, Putatkumpul, Turi, Lamongan</t>
  </si>
  <si>
    <t xml:space="preserve">MUHAMMAD GILANG ABABIL</t>
  </si>
  <si>
    <t xml:space="preserve">0001789759258</t>
  </si>
  <si>
    <t xml:space="preserve">3578020201030002</t>
  </si>
  <si>
    <t xml:space="preserve">Siwalankerto Selatan 18, RT/RW 001/006, Siwalankerto, Wonocolo, Surabaya</t>
  </si>
  <si>
    <t xml:space="preserve">MUHAMMAD KHOIRUL UMAM</t>
  </si>
  <si>
    <t xml:space="preserve">0002639271352</t>
  </si>
  <si>
    <t xml:space="preserve">3525013005930001</t>
  </si>
  <si>
    <t xml:space="preserve">Lowayu, RT/RW 023/006, Lowayu, Dukun, Gresik</t>
  </si>
  <si>
    <t xml:space="preserve">MUSTA'IN</t>
  </si>
  <si>
    <t xml:space="preserve">0000729742601</t>
  </si>
  <si>
    <t xml:space="preserve">Repair Chasis</t>
  </si>
  <si>
    <t xml:space="preserve">3517191603840002</t>
  </si>
  <si>
    <t xml:space="preserve">Dsn Pagerwo, RT/RW 004/001, Pagerwojo, Perak, Jombang</t>
  </si>
  <si>
    <t xml:space="preserve">NOPRIYAN NUR KIROM</t>
  </si>
  <si>
    <t xml:space="preserve">0001734240317</t>
  </si>
  <si>
    <t xml:space="preserve">3515182811010005</t>
  </si>
  <si>
    <t xml:space="preserve">Wedoro Utara 15, RT/RW 002/002, Wedoro, Waru, Sidoarjo</t>
  </si>
  <si>
    <t xml:space="preserve">RIAS RIFAIS SAPUTRA</t>
  </si>
  <si>
    <t xml:space="preserve">0003278292524</t>
  </si>
  <si>
    <t xml:space="preserve">3504110507970001</t>
  </si>
  <si>
    <t xml:space="preserve">Dsn. Kacangan, RT/RW 001/006, Kacangan, Ngunut, Tulungagung</t>
  </si>
  <si>
    <t xml:space="preserve">RIFQI FUZHIYANA</t>
  </si>
  <si>
    <t xml:space="preserve">0002358263351</t>
  </si>
  <si>
    <t xml:space="preserve">Reeferman Layar</t>
  </si>
  <si>
    <t xml:space="preserve">3209132611940006</t>
  </si>
  <si>
    <t xml:space="preserve">Villa Kondangsari, RT/RW 016/006, Kondangsari, Beber, Cirebon</t>
  </si>
  <si>
    <t xml:space="preserve">RIZKI APRILIA ROFANDI</t>
  </si>
  <si>
    <t xml:space="preserve">0000755200991</t>
  </si>
  <si>
    <t xml:space="preserve">3524112904030001</t>
  </si>
  <si>
    <t xml:space="preserve">SAYKHU WIJAYA</t>
  </si>
  <si>
    <t xml:space="preserve">28001696710</t>
  </si>
  <si>
    <t xml:space="preserve">0003619200194</t>
  </si>
  <si>
    <t xml:space="preserve">Merauke</t>
  </si>
  <si>
    <t xml:space="preserve">3524180208020003</t>
  </si>
  <si>
    <t xml:space="preserve">Sunan Drajat, RT/RW 001/001, Latukan, Karanggeneng, Lamongan</t>
  </si>
  <si>
    <t xml:space="preserve">TEGAR DWI CAHYO</t>
  </si>
  <si>
    <t xml:space="preserve">0000791072651</t>
  </si>
  <si>
    <t xml:space="preserve">Helper Mekanik Chasis</t>
  </si>
  <si>
    <t xml:space="preserve">3578150806970001</t>
  </si>
  <si>
    <t xml:space="preserve">TEGUH ARTONO</t>
  </si>
  <si>
    <t xml:space="preserve">0002215529785</t>
  </si>
  <si>
    <t xml:space="preserve">3525131305980014</t>
  </si>
  <si>
    <t xml:space="preserve">Dusun Bandut, RT/RW 014/007, Drancang, Menganti, Gresik</t>
  </si>
  <si>
    <t xml:space="preserve">YOSEPINUS HENNRY EDELBERD</t>
  </si>
  <si>
    <t xml:space="preserve">0001322155866</t>
  </si>
  <si>
    <t xml:space="preserve">3578162607820004</t>
  </si>
  <si>
    <t xml:space="preserve">Wonokusumo Lor 10/30, RT/RW 009/010, Wonokusumo, Semampir, Surabaya</t>
  </si>
  <si>
    <t xml:space="preserve">0001539993982</t>
  </si>
  <si>
    <t xml:space="preserve">3525052509930002</t>
  </si>
  <si>
    <t xml:space="preserve">Jl. Rembang No. 21, RT/RW 011/002, Jepara, Bubutan, Surabaya</t>
  </si>
  <si>
    <t xml:space="preserve">FADLAN RETTOB</t>
  </si>
  <si>
    <t xml:space="preserve">0000972577247</t>
  </si>
  <si>
    <t xml:space="preserve">8102100607020002</t>
  </si>
  <si>
    <t xml:space="preserve">Tuai</t>
  </si>
  <si>
    <t xml:space="preserve">Jl. Panglima Mandala, RT/RW 004/005, Lodar El, Pulau Dullah Selatan, Tual</t>
  </si>
  <si>
    <t xml:space="preserve">SUDARSONO</t>
  </si>
  <si>
    <t xml:space="preserve">0002811330696</t>
  </si>
  <si>
    <t xml:space="preserve">3524170707830001</t>
  </si>
  <si>
    <t xml:space="preserve">Jetek, RT/RW 004/006, Kadungrembug, Sukodadi, Lamongan</t>
  </si>
  <si>
    <t xml:space="preserve">ARIES SAMSUDIN</t>
  </si>
  <si>
    <t xml:space="preserve">0000725951867</t>
  </si>
  <si>
    <t xml:space="preserve">3516132806970001</t>
  </si>
  <si>
    <t xml:space="preserve">Jl. Wijaya Kusuma 47, RT/RW 001/009, Sooko, Sooko, Mojokerto</t>
  </si>
  <si>
    <t xml:space="preserve">LUTHFI ABDILLAH</t>
  </si>
  <si>
    <t xml:space="preserve">0001543327964</t>
  </si>
  <si>
    <t xml:space="preserve">RRPC Emulsion</t>
  </si>
  <si>
    <t xml:space="preserve">3524271009960002</t>
  </si>
  <si>
    <t xml:space="preserve">Boboh, RT/RW 001/001, Boboh, Menganti, Gresik</t>
  </si>
  <si>
    <t xml:space="preserve">MUHAMMAD ALI TAMIM</t>
  </si>
  <si>
    <t xml:space="preserve">0002037580672</t>
  </si>
  <si>
    <t xml:space="preserve">3524122604980001</t>
  </si>
  <si>
    <t xml:space="preserve">Jubel Kidul, RT/RW 001/002, Jubel Kidul, Sugio, Lamongan</t>
  </si>
  <si>
    <t xml:space="preserve">HARIS SETYAWAN</t>
  </si>
  <si>
    <t xml:space="preserve">0000758539607</t>
  </si>
  <si>
    <t xml:space="preserve">3524172810910002</t>
  </si>
  <si>
    <t xml:space="preserve">Balai Desa, RT/RW 001/003, Cungkup, Pucuk, Lamongan</t>
  </si>
  <si>
    <t xml:space="preserve">FIANTY CHAIRUNNISA</t>
  </si>
  <si>
    <t xml:space="preserve">26099276811</t>
  </si>
  <si>
    <t xml:space="preserve">0001883610718</t>
  </si>
  <si>
    <t xml:space="preserve">Finance Staff</t>
  </si>
  <si>
    <t xml:space="preserve">3515155902990004</t>
  </si>
  <si>
    <t xml:space="preserve">Perum Oma Pesona Buduran I-1/03, RT/RW 037/007, Sidokepung, Buduran, Sidoarjo</t>
  </si>
  <si>
    <t xml:space="preserve">M. HABIBI ROYI KHOLIQUNNUR</t>
  </si>
  <si>
    <t xml:space="preserve">0001544562988</t>
  </si>
  <si>
    <t xml:space="preserve">Admin Operasional</t>
  </si>
  <si>
    <t xml:space="preserve">3578022910950002</t>
  </si>
  <si>
    <t xml:space="preserve">Jemur Wonosari Lebar 147-A, RT/RW 005/009, Jemur Wonosari, Wonocolo, Surabaya</t>
  </si>
  <si>
    <t xml:space="preserve">M. NUR YASIN</t>
  </si>
  <si>
    <t xml:space="preserve">27032060011</t>
  </si>
  <si>
    <t xml:space="preserve">0000789958304</t>
  </si>
  <si>
    <t xml:space="preserve">3578152505920001</t>
  </si>
  <si>
    <t xml:space="preserve">Kalianak Timur Lebar 171-A, RT/RW 008/007, Morokrembangan, Krembangan, Surabaya</t>
  </si>
  <si>
    <t xml:space="preserve">FAISAL MAULANA</t>
  </si>
  <si>
    <t xml:space="preserve">0001787289456</t>
  </si>
  <si>
    <t xml:space="preserve">Ops Bongkaran</t>
  </si>
  <si>
    <t xml:space="preserve">3578121407990001</t>
  </si>
  <si>
    <t xml:space="preserve">Teluk Weda 1 Blok 8/9, RT/RW 012/004, Perak Utara, Pabean Cantian, Surabaya</t>
  </si>
  <si>
    <t xml:space="preserve">MOCHAMMAD SAIHU RIZKI HARIS</t>
  </si>
  <si>
    <t xml:space="preserve">0002912611116</t>
  </si>
  <si>
    <t xml:space="preserve">Purchasing</t>
  </si>
  <si>
    <t xml:space="preserve">2171112608859004</t>
  </si>
  <si>
    <t xml:space="preserve">Sutojayan No 10, RT/RW 001/003, Sutojayan, Pakisaji, Malang</t>
  </si>
  <si>
    <t xml:space="preserve">WAHYU PRIMAYUGA</t>
  </si>
  <si>
    <t xml:space="preserve">0002414014468</t>
  </si>
  <si>
    <t xml:space="preserve">3519131008940001</t>
  </si>
  <si>
    <t xml:space="preserve">Ngengor I, RT/RW 001/001, Ngengor, Pilangkenceng, Madiun</t>
  </si>
  <si>
    <t xml:space="preserve">HENDRA ADI KUSUMA</t>
  </si>
  <si>
    <t xml:space="preserve">0001804510765</t>
  </si>
  <si>
    <t xml:space="preserve">Admin Trucking</t>
  </si>
  <si>
    <t xml:space="preserve">3507010311970002</t>
  </si>
  <si>
    <t xml:space="preserve">Donomulyo, RT/RW 006/002, Donomulyo, Donomulyo, Malang</t>
  </si>
  <si>
    <t xml:space="preserve">RUDY ARIANTO</t>
  </si>
  <si>
    <t xml:space="preserve">0002487100983</t>
  </si>
  <si>
    <t xml:space="preserve">3578130906890004</t>
  </si>
  <si>
    <t xml:space="preserve">Dupak Bangunrejo 4/15, RT/RW 010/005, Dupak, Krembangan, Surabaya</t>
  </si>
  <si>
    <t xml:space="preserve">ALDY DZULKARNAEN EFENDI</t>
  </si>
  <si>
    <t xml:space="preserve">0001718379685</t>
  </si>
  <si>
    <t xml:space="preserve">Inv. Teknisi</t>
  </si>
  <si>
    <t xml:space="preserve">3578122307940002</t>
  </si>
  <si>
    <t xml:space="preserve">Teluk Aru Utara No. 77, RT/RW 001/008, Perak Utara, Pabean Cantian, Surabaya</t>
  </si>
  <si>
    <t xml:space="preserve">AHMAD MUJEKTAHIDIN</t>
  </si>
  <si>
    <t xml:space="preserve">0001703507027</t>
  </si>
  <si>
    <t xml:space="preserve">3503041105870004</t>
  </si>
  <si>
    <t xml:space="preserve">Ploso 1/3-B, RT/RW 001/005, Ploso, Tambak Sari, Surabaya</t>
  </si>
  <si>
    <t xml:space="preserve">IMAM HIDAYAT</t>
  </si>
  <si>
    <t xml:space="preserve">0001716776662</t>
  </si>
  <si>
    <t xml:space="preserve">3515181706830005</t>
  </si>
  <si>
    <t xml:space="preserve">Jl. Bungurasih Timur 5, RT/RW 007/001, Bungurasih, Waru, Sidoarjo</t>
  </si>
  <si>
    <t xml:space="preserve">UDI WIDIYANTO</t>
  </si>
  <si>
    <t xml:space="preserve">0003290755184</t>
  </si>
  <si>
    <t xml:space="preserve">3515182208840008</t>
  </si>
  <si>
    <t xml:space="preserve">Bungurasih Timur 48, RT/RW 007/001, Bungurasih, Waru, Sidoarjo</t>
  </si>
  <si>
    <t xml:space="preserve">DENNY CRISTIAWAN</t>
  </si>
  <si>
    <t xml:space="preserve">0002164670245</t>
  </si>
  <si>
    <t xml:space="preserve">3578122101840003</t>
  </si>
  <si>
    <t xml:space="preserve">Dapuan Tegal 12/78, RT/RW 002/004, Perak Timur, Pabean Cantian, Surabaya</t>
  </si>
  <si>
    <t xml:space="preserve">IMAN PRIYATNA</t>
  </si>
  <si>
    <t xml:space="preserve">0003043658496</t>
  </si>
  <si>
    <t xml:space="preserve">3209132401830006</t>
  </si>
  <si>
    <t xml:space="preserve">Cirebon</t>
  </si>
  <si>
    <t xml:space="preserve">Villa Kondangsari, RT/RW 017/006, Kondangsari, Beber, Cirebon</t>
  </si>
  <si>
    <t xml:space="preserve">SANTOSO</t>
  </si>
  <si>
    <t xml:space="preserve">0003108285055</t>
  </si>
  <si>
    <t xml:space="preserve">3515182506860005</t>
  </si>
  <si>
    <t xml:space="preserve">Jl. Brigj. Katamso 4, RT/RW 028/006, Kedungrejo, Waru, Sidoarjo</t>
  </si>
  <si>
    <t xml:space="preserve">ARIS SETYAWAN</t>
  </si>
  <si>
    <t xml:space="preserve">0002590825173</t>
  </si>
  <si>
    <t xml:space="preserve">3525013005930002</t>
  </si>
  <si>
    <t xml:space="preserve">Lowayu, RT/RW 029/008, Lowayu, Dukun, Gresik</t>
  </si>
  <si>
    <t xml:space="preserve">MOHAMMAD SYAIFUL ANAM</t>
  </si>
  <si>
    <t xml:space="preserve">0003104827852</t>
  </si>
  <si>
    <t xml:space="preserve">3525011211930002</t>
  </si>
  <si>
    <t xml:space="preserve">Dusun Bangeran Geneng, RT/RW 002/001, Bangeran, Dukun, Gresik</t>
  </si>
  <si>
    <t xml:space="preserve">AJI SUPRIYO</t>
  </si>
  <si>
    <t xml:space="preserve">0000752146762</t>
  </si>
  <si>
    <t xml:space="preserve">Tallyman</t>
  </si>
  <si>
    <t xml:space="preserve">3523142511930002</t>
  </si>
  <si>
    <t xml:space="preserve">ISHAK</t>
  </si>
  <si>
    <t xml:space="preserve">0003104900087</t>
  </si>
  <si>
    <t xml:space="preserve">Teknisi Reefer Depo</t>
  </si>
  <si>
    <t xml:space="preserve">3527040302910003</t>
  </si>
  <si>
    <t xml:space="preserve">Bulak Banteng Wetan 5/3, RT/RW 004/008, Sidotopo Wetan, Kenjeran, Surabaya</t>
  </si>
  <si>
    <t xml:space="preserve">RICKY DWI EKASTA</t>
  </si>
  <si>
    <t xml:space="preserve">0001837448381</t>
  </si>
  <si>
    <t xml:space="preserve">3578060908850003</t>
  </si>
  <si>
    <t xml:space="preserve">Kupang Gunung Timur 4-A/23, RT/RW 004/006, Putat Jaya, Sawahan, Surabaya</t>
  </si>
  <si>
    <t xml:space="preserve">PANDU ADAM</t>
  </si>
  <si>
    <t xml:space="preserve">0001835797138</t>
  </si>
  <si>
    <t xml:space="preserve">Washing</t>
  </si>
  <si>
    <t xml:space="preserve">3518091303950003</t>
  </si>
  <si>
    <t xml:space="preserve">Anggaswangi, RT/RW 012/006, Anggaswangi, Sukodono, Sidoarjo</t>
  </si>
  <si>
    <t xml:space="preserve">ACHMAD ROYI MUHARROR FAIZIN</t>
  </si>
  <si>
    <t xml:space="preserve">0001544562955</t>
  </si>
  <si>
    <t xml:space="preserve">Admin Document</t>
  </si>
  <si>
    <t xml:space="preserve">3578022102000002</t>
  </si>
  <si>
    <t xml:space="preserve">Jemur Wonosari Lebar 138, RT/RW 007/003, Jemur Wonosari, Wonocolo, Surabaya</t>
  </si>
  <si>
    <t xml:space="preserve">ANDRI SUSANTO</t>
  </si>
  <si>
    <t xml:space="preserve">0001146614782</t>
  </si>
  <si>
    <t xml:space="preserve">3507182012830005</t>
  </si>
  <si>
    <t xml:space="preserve">Jl. Hasanudin Gangii No.22, RT/RW 002/005, Junrejo, Junrejo, Batu</t>
  </si>
  <si>
    <t xml:space="preserve">MUHAMMAD SHOLIKHAN</t>
  </si>
  <si>
    <t xml:space="preserve">23012704937</t>
  </si>
  <si>
    <t xml:space="preserve">0001635355708</t>
  </si>
  <si>
    <t xml:space="preserve">3578160910860004</t>
  </si>
  <si>
    <t xml:space="preserve">Mojosantren No. 63, RT/RW 008/003, Kemasan, Krian, Sidoarjo</t>
  </si>
  <si>
    <t xml:space="preserve">USWATUN HASANAH</t>
  </si>
  <si>
    <t xml:space="preserve">22005214877</t>
  </si>
  <si>
    <t xml:space="preserve">0000901921432</t>
  </si>
  <si>
    <t xml:space="preserve">6471026104010004</t>
  </si>
  <si>
    <t xml:space="preserve">Berau</t>
  </si>
  <si>
    <t xml:space="preserve">Jl. Letjend S. Parman No. 13, RT/RW 023/000, Gunungsari Ulu, Balikpapan Tengah, Balikpapan</t>
  </si>
  <si>
    <t xml:space="preserve">ACHMAD YANI FATUR ROHMAN</t>
  </si>
  <si>
    <t xml:space="preserve">0002155669569</t>
  </si>
  <si>
    <t xml:space="preserve">3527021505940006</t>
  </si>
  <si>
    <t xml:space="preserve">Dusun Bia'An, RT/RW 002/008, Mendalan, Winongan, Pasuruan</t>
  </si>
  <si>
    <t xml:space="preserve">JULIA EKA BONGI</t>
  </si>
  <si>
    <t xml:space="preserve">0003076559256</t>
  </si>
  <si>
    <t xml:space="preserve">3507095907010001</t>
  </si>
  <si>
    <t xml:space="preserve">Jl. Kenongosari Gg IV RT/RW 001/006 Turen, Turen, Malang</t>
  </si>
  <si>
    <t xml:space="preserve">LAILIL AULIA</t>
  </si>
  <si>
    <t xml:space="preserve">26019576122</t>
  </si>
  <si>
    <t xml:space="preserve">3515106511000003</t>
  </si>
  <si>
    <t xml:space="preserve">Dusun Pilang, RT/RW 012/006, Pilang, Wonoayu, Kab. Sidoarjo</t>
  </si>
  <si>
    <t xml:space="preserve">FATIQ FIRDAUS SYAH</t>
  </si>
  <si>
    <t xml:space="preserve">0001706667478</t>
  </si>
  <si>
    <t xml:space="preserve">3576010607020001</t>
  </si>
  <si>
    <t xml:space="preserve">Jl. Brawijaya N0.53, RT/RW 002/003, Kauman, Prajurit Kulon, Mojokerto</t>
  </si>
  <si>
    <t xml:space="preserve">GUSTYAR WAHYU WIDYAPRADHIKA</t>
  </si>
  <si>
    <t xml:space="preserve">0001866640871</t>
  </si>
  <si>
    <t xml:space="preserve">3517091708000003</t>
  </si>
  <si>
    <t xml:space="preserve">Perum Jaya Abadi Blok I-34, RT/RW 004/005, Jombatan, Jombang, Jombang</t>
  </si>
  <si>
    <t xml:space="preserve">RILA A'YUNIN HANDAYANI</t>
  </si>
  <si>
    <t xml:space="preserve">0002045803296</t>
  </si>
  <si>
    <t xml:space="preserve">3514124610010001</t>
  </si>
  <si>
    <t xml:space="preserve">Balongsari, RT/RW 019/004, Kebonagung, Porong, Sidoarjo</t>
  </si>
  <si>
    <t xml:space="preserve">MUHAMMAD FATHUR ROKHMAN</t>
  </si>
  <si>
    <t xml:space="preserve">0000715840931</t>
  </si>
  <si>
    <t xml:space="preserve">3514131610010004</t>
  </si>
  <si>
    <t xml:space="preserve">Lk. Bangkalan, RT/RW 004/001, Pagak, Beji, Pasuruan</t>
  </si>
  <si>
    <t xml:space="preserve">AGUS MUHTAROM</t>
  </si>
  <si>
    <t xml:space="preserve">0002876440533</t>
  </si>
  <si>
    <t xml:space="preserve">3517062408880004</t>
  </si>
  <si>
    <t xml:space="preserve">Dsn. Sonokerep, RT/RW 001/002, Tanggalrejo, Mojoagung, Jombang</t>
  </si>
  <si>
    <t xml:space="preserve">SUPONO</t>
  </si>
  <si>
    <t xml:space="preserve">0001538294207</t>
  </si>
  <si>
    <t xml:space="preserve">3525141605690002</t>
  </si>
  <si>
    <t xml:space="preserve">PRIYO SUCIPTO</t>
  </si>
  <si>
    <t xml:space="preserve">0000663719602</t>
  </si>
  <si>
    <t xml:space="preserve">3503012702940001</t>
  </si>
  <si>
    <t xml:space="preserve">Dusun Kasihan, RT/RW 022/009, Ngrencak, Panggul, Trenggalek</t>
  </si>
  <si>
    <t xml:space="preserve">ADIWANTORO SLAMET BUDIONO</t>
  </si>
  <si>
    <t xml:space="preserve">0001394283137</t>
  </si>
  <si>
    <t xml:space="preserve">3578253108830001</t>
  </si>
  <si>
    <t xml:space="preserve">Gununganyar Tengah Gang 5 No, RT/RW 001/002, Gunung Anyar, Gunung Anyar, Surabaya</t>
  </si>
  <si>
    <t xml:space="preserve">ADRYAN FETO MUSTAKHIM</t>
  </si>
  <si>
    <t xml:space="preserve">0001186947538</t>
  </si>
  <si>
    <t xml:space="preserve">3578052504020005</t>
  </si>
  <si>
    <t xml:space="preserve">Kedung Turi Besar 22, RT/RW 006/008, Kedungdoro, Tegalsari, Surabaya</t>
  </si>
  <si>
    <t xml:space="preserve">EKO WAHYU PRATAMA</t>
  </si>
  <si>
    <t xml:space="preserve">0002414078425</t>
  </si>
  <si>
    <t xml:space="preserve">3578141601940001</t>
  </si>
  <si>
    <t xml:space="preserve">Dk Sambikerep, RT/RW 001/004, Sambikerep, Sambikerep, Surabaya</t>
  </si>
  <si>
    <t xml:space="preserve">VIRGIE AHMAD FAHROZY</t>
  </si>
  <si>
    <t xml:space="preserve">0001520057621</t>
  </si>
  <si>
    <t xml:space="preserve">Operator Reach Truck</t>
  </si>
  <si>
    <t xml:space="preserve">3506045612010001</t>
  </si>
  <si>
    <t xml:space="preserve">Dsn Badalpandean, RT/RW 001/002, Badal Pandean, Ngadiluwih, Ke</t>
  </si>
  <si>
    <t xml:space="preserve">EMI YULIANTI</t>
  </si>
  <si>
    <t xml:space="preserve">0002222078826</t>
  </si>
  <si>
    <t xml:space="preserve">3374025107900001</t>
  </si>
  <si>
    <t xml:space="preserve">Semarang</t>
  </si>
  <si>
    <t xml:space="preserve">Geneng, RT/RW 007/001, Geneng, Mijen, Demak</t>
  </si>
  <si>
    <t xml:space="preserve">MOCHAMAD ROFIK</t>
  </si>
  <si>
    <t xml:space="preserve">24000000916</t>
  </si>
  <si>
    <t xml:space="preserve">3516052205850002</t>
  </si>
  <si>
    <t xml:space="preserve">Dsn. Tanjungrono RT 5/ RW 3 Tanjungrono Ngoro</t>
  </si>
  <si>
    <t xml:space="preserve">GAGUK TRI ASMORO</t>
  </si>
  <si>
    <t xml:space="preserve">24049279055</t>
  </si>
  <si>
    <t xml:space="preserve">3515030405800001</t>
  </si>
  <si>
    <t xml:space="preserve">Dsn. Kedunglo RT 13/ RW 7 Kedungrawan Krembung Mojokerto</t>
  </si>
  <si>
    <t xml:space="preserve">MOH ALFAN</t>
  </si>
  <si>
    <t xml:space="preserve">3516121804890002</t>
  </si>
  <si>
    <t xml:space="preserve">Dsn.Kraton RT 3/ RW 4 Temon Trowulan</t>
  </si>
  <si>
    <t xml:space="preserve">MOCHAMAD FAUZI</t>
  </si>
  <si>
    <t xml:space="preserve">29077221526</t>
  </si>
  <si>
    <t xml:space="preserve">3516050801670002</t>
  </si>
  <si>
    <t xml:space="preserve">Dsn. Ngetrep RT 3/ RW 4 Sedati Ngoro Mojokerto</t>
  </si>
  <si>
    <t xml:space="preserve">FITROTUL NOFIAH</t>
  </si>
  <si>
    <t xml:space="preserve">27067495440</t>
  </si>
  <si>
    <t xml:space="preserve">3509026108970003</t>
  </si>
  <si>
    <t xml:space="preserve">Dusun Jatisari, RT/RW 002/035, Wonorejo, Kencong, Kab. Jember</t>
  </si>
  <si>
    <t xml:space="preserve">FRANCISKA EKA PUTRI</t>
  </si>
  <si>
    <t xml:space="preserve">0001538530953</t>
  </si>
  <si>
    <t xml:space="preserve">3578095309020002</t>
  </si>
  <si>
    <t xml:space="preserve">Rungkut Tengah III/42E RT 002 RW 005 Rungkut Tengah Gunung Anyar Surabaya</t>
  </si>
  <si>
    <t xml:space="preserve">GALANG BAYU ADJI PRATAMA</t>
  </si>
  <si>
    <t xml:space="preserve">Im.Feeder</t>
  </si>
  <si>
    <t xml:space="preserve">3517122004970001</t>
  </si>
  <si>
    <t xml:space="preserve">Rungkut Menanggal Gg 1 No 17B Surabaya</t>
  </si>
  <si>
    <t xml:space="preserve">085806962049</t>
  </si>
  <si>
    <t xml:space="preserve">GALI ARIANTONO</t>
  </si>
  <si>
    <t xml:space="preserve">28068528975</t>
  </si>
  <si>
    <t xml:space="preserve">3578210912930001</t>
  </si>
  <si>
    <t xml:space="preserve">Darmokali 2/2 Rt 007 Rw 003 Darmo Wonokromo Surabaya</t>
  </si>
  <si>
    <t xml:space="preserve">GHALDA AFRA AGASTYA</t>
  </si>
  <si>
    <t xml:space="preserve">29095902949</t>
  </si>
  <si>
    <t xml:space="preserve">3578256002040001</t>
  </si>
  <si>
    <t xml:space="preserve">Jl. Zamhuri 24, RT/RW 001/001, Rungkut Tengah, Gunung Anyar, Kota Surabaya</t>
  </si>
  <si>
    <t xml:space="preserve">GITA PARAMHITA PRAYITNO</t>
  </si>
  <si>
    <t xml:space="preserve">26036669374</t>
  </si>
  <si>
    <t xml:space="preserve">3578034711030002</t>
  </si>
  <si>
    <t xml:space="preserve">Rungkut Kidul. Pesantren/29-A, RT/RW 001/006, Rungkut Kidul, Rungkut, Kota Surabaya</t>
  </si>
  <si>
    <t xml:space="preserve">20054462904</t>
  </si>
  <si>
    <t xml:space="preserve">0001249854827</t>
  </si>
  <si>
    <t xml:space="preserve">Rungkut Tengah 1A/18C RT 004 RW 004 Rungkut Tengah Gunnung Anyar Surabaya</t>
  </si>
  <si>
    <t xml:space="preserve">SHINTIA PUSPITASARI</t>
  </si>
  <si>
    <t xml:space="preserve">22092487581</t>
  </si>
  <si>
    <t xml:space="preserve">0001703557967</t>
  </si>
  <si>
    <t xml:space="preserve">3578035401970002</t>
  </si>
  <si>
    <t xml:space="preserve">Rungkut Lor 2/ 29 RT 004 RW 005 Kalirungkut Rungkut Surabaya</t>
  </si>
  <si>
    <t xml:space="preserve">GUNAWAN WARDIANSYAH</t>
  </si>
  <si>
    <t xml:space="preserve">0001536599643</t>
  </si>
  <si>
    <t xml:space="preserve">3517073008000003</t>
  </si>
  <si>
    <t xml:space="preserve">Jl. Katak Dsn. Catakgayam Utara RT/RW 004/006, Catakgayam, Mojowarno, Jombang</t>
  </si>
  <si>
    <t xml:space="preserve">HANIFA AGUSTIANI</t>
  </si>
  <si>
    <t xml:space="preserve">25085566593</t>
  </si>
  <si>
    <t xml:space="preserve">3578034908910001</t>
  </si>
  <si>
    <t xml:space="preserve">Rungkut Kidul 1/19, RT/RW 003/001, Rungkut Kidul, Rungkut, Kota Surabaya</t>
  </si>
  <si>
    <t xml:space="preserve">HANNIB BADIAH</t>
  </si>
  <si>
    <t xml:space="preserve">0001706036512</t>
  </si>
  <si>
    <t xml:space="preserve">3578255610890002</t>
  </si>
  <si>
    <t xml:space="preserve">Dsn. Kweni RT 002 RW 001 Anggaswangi, Sukodono, Sidoarjo</t>
  </si>
  <si>
    <t xml:space="preserve">28087633490</t>
  </si>
  <si>
    <t xml:space="preserve">0001535038694</t>
  </si>
  <si>
    <t xml:space="preserve">3518060410960001</t>
  </si>
  <si>
    <t xml:space="preserve">Dsn. Kebonagung RT 004 RW 008 Sumberkepuh, Tanjunganom, Nganjuk</t>
  </si>
  <si>
    <t xml:space="preserve">HENI ISTIANI</t>
  </si>
  <si>
    <t xml:space="preserve">0001535041541</t>
  </si>
  <si>
    <t xml:space="preserve">3506146108910001</t>
  </si>
  <si>
    <t xml:space="preserve">Jemur Ngawinan I/3 RT/RW 005/002 Jemur Wonosari, Wonocolo, Surabaya</t>
  </si>
  <si>
    <t xml:space="preserve">IFA RAHAYU NENGSIH</t>
  </si>
  <si>
    <t xml:space="preserve">26073490678</t>
  </si>
  <si>
    <t xml:space="preserve">3515186403850001</t>
  </si>
  <si>
    <t xml:space="preserve">Jl. Perintis 6 No. 6, RT/RW 003/008, Tambakrejo, Waru, Kab. Sidoarjo</t>
  </si>
  <si>
    <t xml:space="preserve">RAGILIA AYU SUKMA APRILIANI</t>
  </si>
  <si>
    <t xml:space="preserve">0002300270422</t>
  </si>
  <si>
    <t xml:space="preserve">3578035304040005</t>
  </si>
  <si>
    <t xml:space="preserve">Wonorejo Rungkut Dalam 5A RT 003 RW 001 Wonorejo Rungkut Surabaya</t>
  </si>
  <si>
    <t xml:space="preserve">IIN RAHAYU</t>
  </si>
  <si>
    <t xml:space="preserve">29083684577</t>
  </si>
  <si>
    <t xml:space="preserve">3518065307930001</t>
  </si>
  <si>
    <t xml:space="preserve">Dsn. Ngetrep Rt 009 Rw 002 Kurungrejo Prambon Nganjuk</t>
  </si>
  <si>
    <t xml:space="preserve">IIN ROCHAINI</t>
  </si>
  <si>
    <t xml:space="preserve">26000490824</t>
  </si>
  <si>
    <t xml:space="preserve">3507024703010003</t>
  </si>
  <si>
    <t xml:space="preserve">Dsn Krajan, RT/RW 014/004, Sumbermanjingkulon, Pagak, Kab. Malang</t>
  </si>
  <si>
    <t xml:space="preserve">IKA DIKAN ISTICHAROH</t>
  </si>
  <si>
    <t xml:space="preserve">20043350488</t>
  </si>
  <si>
    <t xml:space="preserve">3517076606860005</t>
  </si>
  <si>
    <t xml:space="preserve">Dsn. Srapah, RT/RW 003/003, Karanglo, Mojowarno, Kab. Jombang</t>
  </si>
  <si>
    <t xml:space="preserve">LAELA DYAH VITALOKA</t>
  </si>
  <si>
    <t xml:space="preserve">0001900653524</t>
  </si>
  <si>
    <t xml:space="preserve">3522155012040002</t>
  </si>
  <si>
    <t xml:space="preserve">Jl.Sunan Kalijogo 48 RT 017 RW 008 Sukorejo Bojonegoro</t>
  </si>
  <si>
    <t xml:space="preserve">IMA NUR KUMALA SARI</t>
  </si>
  <si>
    <t xml:space="preserve">0001535039763</t>
  </si>
  <si>
    <t xml:space="preserve">3518106308900001</t>
  </si>
  <si>
    <t xml:space="preserve">Perum Jaya Regency Blok C-39 RT/RW 020/009 Kwangsan, Sedati, Sidoarjo</t>
  </si>
  <si>
    <t xml:space="preserve">IMA ZULIAWATI</t>
  </si>
  <si>
    <t xml:space="preserve">28099210752</t>
  </si>
  <si>
    <t xml:space="preserve">3506265307920001</t>
  </si>
  <si>
    <t xml:space="preserve">Rungkut Tengah C No.16, RT/RW 004/005, Rungkut Tengah, Gunung Anyar, Kota Surabaya</t>
  </si>
  <si>
    <t xml:space="preserve">IBNU AFIEF</t>
  </si>
  <si>
    <t xml:space="preserve">0003178496305</t>
  </si>
  <si>
    <t xml:space="preserve">3525131403050003</t>
  </si>
  <si>
    <t xml:space="preserve">Ds. Laban, RT/RW 022/007, Laban, Menganti, Gresik</t>
  </si>
  <si>
    <t xml:space="preserve">MOCHAMAD HAJAT AL FATHONI</t>
  </si>
  <si>
    <t xml:space="preserve">0003077309531</t>
  </si>
  <si>
    <t xml:space="preserve">3516151203050002</t>
  </si>
  <si>
    <t xml:space="preserve">Dusun Medowo, RT/RW 002/002, Mojodowo, Kemlagi, Mojokerto</t>
  </si>
  <si>
    <t xml:space="preserve">WILIANDRI TRI PAMUNGKAS</t>
  </si>
  <si>
    <t xml:space="preserve">0001534821309</t>
  </si>
  <si>
    <t xml:space="preserve">3515060606900002</t>
  </si>
  <si>
    <t xml:space="preserve">FEBI FEBRIANTI</t>
  </si>
  <si>
    <t xml:space="preserve">0003081896019</t>
  </si>
  <si>
    <t xml:space="preserve">7309124209030001</t>
  </si>
  <si>
    <t xml:space="preserve">Maros</t>
  </si>
  <si>
    <t xml:space="preserve">Jl. Dr. Ratulangi No. 4, RT/RW 002/001, Allepolea, Lau, Maros</t>
  </si>
  <si>
    <t xml:space="preserve">EVA BUDI KARTIKASARI</t>
  </si>
  <si>
    <t xml:space="preserve">21085136984</t>
  </si>
  <si>
    <t xml:space="preserve">0000590907385</t>
  </si>
  <si>
    <t xml:space="preserve">3319035707000004</t>
  </si>
  <si>
    <t xml:space="preserve">Cobowo, RT/RW 001/004, Ploso, Jati, Kudus</t>
  </si>
  <si>
    <t xml:space="preserve">FEBRI SUSILOWATI</t>
  </si>
  <si>
    <t xml:space="preserve">0001166027409</t>
  </si>
  <si>
    <t xml:space="preserve">6471034602060005</t>
  </si>
  <si>
    <t xml:space="preserve">Gunung Stelling No.44, RT/RW 053/000, Gunungsamarinda, Balikpapan Utara, Balikpapan</t>
  </si>
  <si>
    <t xml:space="preserve">RAHMAH NOR SIFA</t>
  </si>
  <si>
    <t xml:space="preserve">0001931582957</t>
  </si>
  <si>
    <t xml:space="preserve">6311044903060001</t>
  </si>
  <si>
    <t xml:space="preserve">Lok Batu</t>
  </si>
  <si>
    <t xml:space="preserve">Lok Batu, RT/RW 002/000, Lok Batu, Batu Mandi, Balangan</t>
  </si>
  <si>
    <t xml:space="preserve">MOH. BUDI GUNAWAN</t>
  </si>
  <si>
    <t xml:space="preserve">0003619203028</t>
  </si>
  <si>
    <t xml:space="preserve">1502021411930001</t>
  </si>
  <si>
    <t xml:space="preserve">Pagar Alam</t>
  </si>
  <si>
    <t xml:space="preserve">Desa Muara Madras, RT/RW 000/000, Muara Madras, Jangkat, Merangin</t>
  </si>
  <si>
    <t xml:space="preserve">FEBRINA ROZA</t>
  </si>
  <si>
    <t xml:space="preserve">0000276043601</t>
  </si>
  <si>
    <t xml:space="preserve">1306034902040002</t>
  </si>
  <si>
    <t xml:space="preserve">Siguhung</t>
  </si>
  <si>
    <t xml:space="preserve">Jorong Arikia, RT/RW 000/000, Tanjung Sani, Tanjung Raya, Kab. Agam</t>
  </si>
  <si>
    <t xml:space="preserve">EDI FITONO</t>
  </si>
  <si>
    <t xml:space="preserve">0001534823469</t>
  </si>
  <si>
    <t xml:space="preserve">3515071607820002</t>
  </si>
  <si>
    <t xml:space="preserve">Permisan, RT/RW 004/002, Permisan, Jabon, Sidoarjo</t>
  </si>
  <si>
    <t xml:space="preserve">MUHAMMAD FAHMI SYARIF</t>
  </si>
  <si>
    <t xml:space="preserve">0001705290805</t>
  </si>
  <si>
    <t xml:space="preserve">3578160406980001</t>
  </si>
  <si>
    <t xml:space="preserve">Wonokusumo Jaya 16/3, RT/RW 004/007, Pegirian, Semampir, Surabaya</t>
  </si>
  <si>
    <t xml:space="preserve">ROBY NURDIANSYAH</t>
  </si>
  <si>
    <t xml:space="preserve">0000789868945</t>
  </si>
  <si>
    <t xml:space="preserve">3578163101040002</t>
  </si>
  <si>
    <t xml:space="preserve">Wonokusumo Lor 3/37, RT/RW 001/010, Wonokusumo, Semampir, Surabaya</t>
  </si>
  <si>
    <t xml:space="preserve">RACHMAT SETYAWAN</t>
  </si>
  <si>
    <t xml:space="preserve">0000787381896</t>
  </si>
  <si>
    <t xml:space="preserve">3578200807970004</t>
  </si>
  <si>
    <t xml:space="preserve">Dk. Karangan, RT/RW 010/003, Babatan, Wiyung, Surabaya</t>
  </si>
  <si>
    <t xml:space="preserve">WENAS ITTO ADHESA</t>
  </si>
  <si>
    <t xml:space="preserve">0001815751225</t>
  </si>
  <si>
    <t xml:space="preserve">3578052112920001</t>
  </si>
  <si>
    <t xml:space="preserve">Grobogan</t>
  </si>
  <si>
    <t xml:space="preserve">Dinoyo Alun Alun 3/6, RT/RW 003/005, Keputran, Tegalsari, Surabaya</t>
  </si>
  <si>
    <t xml:space="preserve">ADI APRIYANTO</t>
  </si>
  <si>
    <t xml:space="preserve">0001393754084</t>
  </si>
  <si>
    <t xml:space="preserve">3578212304980002</t>
  </si>
  <si>
    <t xml:space="preserve">Banjarnegara</t>
  </si>
  <si>
    <t xml:space="preserve">Wonokitri 4/27, RT/RW 004/005, Gunungsari, Dukuh Pakis, Surabaya</t>
  </si>
  <si>
    <t xml:space="preserve">MUHAMMAD NABIL ALI HAKIM</t>
  </si>
  <si>
    <t xml:space="preserve">0001539513055</t>
  </si>
  <si>
    <t xml:space="preserve">3515182204030009</t>
  </si>
  <si>
    <t xml:space="preserve">Berbek II Gg H Sulthon, RT/RW 001/002, Berbek, Waru, Sidoarjo</t>
  </si>
  <si>
    <t xml:space="preserve">MOHAMAD RIAN HIDAYAT</t>
  </si>
  <si>
    <t xml:space="preserve">28057893333</t>
  </si>
  <si>
    <t xml:space="preserve">0000758822264</t>
  </si>
  <si>
    <t xml:space="preserve">3525152803050003</t>
  </si>
  <si>
    <t xml:space="preserve">Bunut Randegansari, RT/RW 002/006, Randegansari, Driyorejo, Gresik</t>
  </si>
  <si>
    <t xml:space="preserve">ERRIK YULIAN</t>
  </si>
  <si>
    <t xml:space="preserve">0001135187177</t>
  </si>
  <si>
    <t xml:space="preserve">3578272807830001</t>
  </si>
  <si>
    <t xml:space="preserve">Simo Jawar 4/136, RT/RW 001/001, Simomulyo Baru, Sukomanunggal, Surabaya</t>
  </si>
  <si>
    <t xml:space="preserve">ABDULLOH CHASIB</t>
  </si>
  <si>
    <t xml:space="preserve">PT SELARAS HUSADA (LABOUR)</t>
  </si>
  <si>
    <t xml:space="preserve">0002156086427</t>
  </si>
  <si>
    <t xml:space="preserve">Helper Bongkar Muat</t>
  </si>
  <si>
    <t xml:space="preserve">3578252201990002</t>
  </si>
  <si>
    <t xml:space="preserve">Rungkut Menanggal 4/24, RT/RW 003/002, Rungkut Menanggal, Gunung Anyar, Surabaya</t>
  </si>
  <si>
    <t xml:space="preserve">RIDHONUL MAULIDIANSYAH</t>
  </si>
  <si>
    <t xml:space="preserve">0001534822637</t>
  </si>
  <si>
    <t xml:space="preserve">3515072008940008</t>
  </si>
  <si>
    <t xml:space="preserve">Kedungpeluk, RT/RW 004/002, Kedungpeluk, Candi, Sidoarjo</t>
  </si>
  <si>
    <t xml:space="preserve">YASIN</t>
  </si>
  <si>
    <t xml:space="preserve">0002735175701</t>
  </si>
  <si>
    <t xml:space="preserve">3515062107720001</t>
  </si>
  <si>
    <t xml:space="preserve">Putat, RT/RW 011/002, Putat, Tanggulangin, Sidoarjo</t>
  </si>
  <si>
    <t xml:space="preserve">FAHRUL ANANSYAH</t>
  </si>
  <si>
    <t xml:space="preserve">PT SUMBER CIPTA MULTINIAGA (MALANG)</t>
  </si>
  <si>
    <t xml:space="preserve">21024599568</t>
  </si>
  <si>
    <t xml:space="preserve">0000682500982</t>
  </si>
  <si>
    <t xml:space="preserve">3507152004970001</t>
  </si>
  <si>
    <t xml:space="preserve">Dusun Nanasan, RT/RW 007/003, Ngawonggo, Tajinan, Malang</t>
  </si>
  <si>
    <t xml:space="preserve">MOHAMMAD ARIZKI</t>
  </si>
  <si>
    <t xml:space="preserve">22030751571</t>
  </si>
  <si>
    <t xml:space="preserve">0000111940435</t>
  </si>
  <si>
    <t xml:space="preserve">3573042005970003</t>
  </si>
  <si>
    <t xml:space="preserve">Jl. Gadang XVII-B/17, RT/RW 004/003, Gadang, Sukun, Malang</t>
  </si>
  <si>
    <t xml:space="preserve">ABDUL QODIR JAILANY</t>
  </si>
  <si>
    <t xml:space="preserve">PT SUMBER CIPTA MULTINIAGA (SURABAYA)</t>
  </si>
  <si>
    <t xml:space="preserve">22059054890</t>
  </si>
  <si>
    <t xml:space="preserve">0000116302599</t>
  </si>
  <si>
    <t xml:space="preserve">3526012312890010</t>
  </si>
  <si>
    <t xml:space="preserve">Perum Graha Mentari B4 No.6, RT/RW 001/006, Mlajah, Bangkalan, Bangkalan</t>
  </si>
  <si>
    <t xml:space="preserve">AHDY IHDASABANA</t>
  </si>
  <si>
    <t xml:space="preserve">0000108839755</t>
  </si>
  <si>
    <t xml:space="preserve">3517190412940001</t>
  </si>
  <si>
    <t xml:space="preserve">Dsn. Sidowaras, RT/RW 003/009, Sumbermulyo, Jogoroto, Jombang</t>
  </si>
  <si>
    <t xml:space="preserve">ARDIYANSAH PUTRA</t>
  </si>
  <si>
    <t xml:space="preserve">0001704419537</t>
  </si>
  <si>
    <t xml:space="preserve">3515072012920003</t>
  </si>
  <si>
    <t xml:space="preserve">Dsn Pecis, RT/RW 002/003, Balongdowo, Candi, Sidoarjo</t>
  </si>
  <si>
    <t xml:space="preserve">MOCH. MOAFI</t>
  </si>
  <si>
    <t xml:space="preserve">0001902264232</t>
  </si>
  <si>
    <t xml:space="preserve">3578191405840002</t>
  </si>
  <si>
    <t xml:space="preserve">Rejosari Baru I/7, RT/RW 006/003, Benowo, Pakal, Surabaya</t>
  </si>
  <si>
    <t xml:space="preserve">MUCHAMAD RULI</t>
  </si>
  <si>
    <t xml:space="preserve">0001038685893</t>
  </si>
  <si>
    <t xml:space="preserve">3507250101900009</t>
  </si>
  <si>
    <t xml:space="preserve">Dsn Tlogorejo, RT/RW 002/011, Wonorejo, Lawang, Malang</t>
  </si>
  <si>
    <t xml:space="preserve">RUDIK SANTOSO</t>
  </si>
  <si>
    <t xml:space="preserve">21003979934</t>
  </si>
  <si>
    <t xml:space="preserve">0001852661474</t>
  </si>
  <si>
    <t xml:space="preserve">3517110105880004</t>
  </si>
  <si>
    <t xml:space="preserve">Dsn Tenggor, RT/RW 004/003, Madiopuro, Sumobito, Jombang</t>
  </si>
  <si>
    <t xml:space="preserve">SURYO MUGI PRAYOGA</t>
  </si>
  <si>
    <t xml:space="preserve">24061799240</t>
  </si>
  <si>
    <t xml:space="preserve">0003034873056</t>
  </si>
  <si>
    <t xml:space="preserve">3314192505950001</t>
  </si>
  <si>
    <t xml:space="preserve">Widodo, RT/RW 017/000, Dukuh, Tangen, Sragen</t>
  </si>
  <si>
    <t xml:space="preserve">WINARTO</t>
  </si>
  <si>
    <t xml:space="preserve">0002466462835</t>
  </si>
  <si>
    <t xml:space="preserve">3503010110900001</t>
  </si>
  <si>
    <t xml:space="preserve">Dusun Cangkring, RT/RW 036/010, Sumberringin, Kararangan, Trenggalek</t>
  </si>
  <si>
    <t xml:space="preserve">ADI WIBOWO</t>
  </si>
  <si>
    <t xml:space="preserve">0001395898457</t>
  </si>
  <si>
    <t xml:space="preserve">3578242606800002</t>
  </si>
  <si>
    <t xml:space="preserve">Panduk 63-A, RT/RW 004/004, Panjang Jiwo, Tenggilis Mejoyo, Surabaya</t>
  </si>
  <si>
    <t xml:space="preserve">AGUNG HARIBOWO</t>
  </si>
  <si>
    <t xml:space="preserve">0002996748944</t>
  </si>
  <si>
    <t xml:space="preserve">3515161907890001</t>
  </si>
  <si>
    <t xml:space="preserve">Puri Surya Jaya Blok A I No. 15, RT/RW 001/011, Gedangan, Gedangan, Sidoarjo</t>
  </si>
  <si>
    <t xml:space="preserve">AHMAD FAUZI</t>
  </si>
  <si>
    <t xml:space="preserve">0002081384291</t>
  </si>
  <si>
    <t xml:space="preserve">3504082808940001</t>
  </si>
  <si>
    <t xml:space="preserve">Dsn Jeli, RT/RW 003/001, Jeli, Karangrejo, Tulungagung</t>
  </si>
  <si>
    <t xml:space="preserve">ANDIK SUGIANTO</t>
  </si>
  <si>
    <t xml:space="preserve">0000760204157</t>
  </si>
  <si>
    <t xml:space="preserve">3525151106910001</t>
  </si>
  <si>
    <t xml:space="preserve">Bringin Wetan, RT/RW 007/006, Bringinbendo, Taman, Sidoarjo</t>
  </si>
  <si>
    <t xml:space="preserve">CHAFID ABDI RAMADAN</t>
  </si>
  <si>
    <t xml:space="preserve">0000722390376</t>
  </si>
  <si>
    <t xml:space="preserve">3515113112990002</t>
  </si>
  <si>
    <t xml:space="preserve">Sedenganmijen, RT/RW 002/001, Sedenganmijen, Krian, Sidoarjo</t>
  </si>
  <si>
    <t xml:space="preserve">DINUL ISLAM</t>
  </si>
  <si>
    <t xml:space="preserve">0001865994985</t>
  </si>
  <si>
    <t xml:space="preserve">3526010407910002</t>
  </si>
  <si>
    <t xml:space="preserve">Kupang</t>
  </si>
  <si>
    <t xml:space="preserve">Jl. Sidingkap No. 22, RT/RW 003/005, Kemayoran, Bangkalan, Bangkalan</t>
  </si>
  <si>
    <t xml:space="preserve">HENDRA WERINGKUKLY</t>
  </si>
  <si>
    <t xml:space="preserve">0001394393095</t>
  </si>
  <si>
    <t xml:space="preserve">3578231403890001</t>
  </si>
  <si>
    <t xml:space="preserve">Pagesangan II/ 17, RT/RW 004/001, Pagesangan, Jambangan, Surabaya</t>
  </si>
  <si>
    <t xml:space="preserve">IMAM SUNARDI WICAKSONO</t>
  </si>
  <si>
    <t xml:space="preserve">0003287754268</t>
  </si>
  <si>
    <t xml:space="preserve">3515183003020006</t>
  </si>
  <si>
    <t xml:space="preserve">Berbek Badongan II A/21, RT/RW 002/006, Berbek, Waru, Sidoarjo</t>
  </si>
  <si>
    <t xml:space="preserve">M FACHTUROZI IBRAHIM</t>
  </si>
  <si>
    <t xml:space="preserve">0000723099172</t>
  </si>
  <si>
    <t xml:space="preserve">3515110911990003</t>
  </si>
  <si>
    <t xml:space="preserve">MOH FAUSI</t>
  </si>
  <si>
    <t xml:space="preserve">25032610008</t>
  </si>
  <si>
    <t xml:space="preserve">0001147560412</t>
  </si>
  <si>
    <t xml:space="preserve">3527031705890005</t>
  </si>
  <si>
    <t xml:space="preserve">Dk. Bulak Banteng Suropati 5-C/21, RT/RW 014/007, Bulak Banteng, Kenjeran, Surabaya</t>
  </si>
  <si>
    <t xml:space="preserve">MOHAMMAD AFAN ROHMADI</t>
  </si>
  <si>
    <t xml:space="preserve">0003514586185</t>
  </si>
  <si>
    <t xml:space="preserve">3517020601010002</t>
  </si>
  <si>
    <t xml:space="preserve">Dusun Gongseng, RT/RW 001/002, Gongseng, Megaluh, Jombang</t>
  </si>
  <si>
    <t xml:space="preserve">MUHAMAD MUFID FITRIYANTO</t>
  </si>
  <si>
    <t xml:space="preserve">0001186929415</t>
  </si>
  <si>
    <t xml:space="preserve">3515111101990002</t>
  </si>
  <si>
    <t xml:space="preserve">Serbo, RT/RW 005/002, Bogempinggir, Balongbendo, Sidoarjo</t>
  </si>
  <si>
    <t xml:space="preserve">MUHAMMAD IMAM FATONI</t>
  </si>
  <si>
    <t xml:space="preserve">0002746948645</t>
  </si>
  <si>
    <t xml:space="preserve">3525131410930003</t>
  </si>
  <si>
    <t xml:space="preserve">Dusun Batang Gajah, RT/RW 001/001, Drancang, Menganti, Gresik</t>
  </si>
  <si>
    <t xml:space="preserve">MUHAMMAD ROFIQUL IKHSAN</t>
  </si>
  <si>
    <t xml:space="preserve">0002730856397</t>
  </si>
  <si>
    <t xml:space="preserve">3517080104010002</t>
  </si>
  <si>
    <t xml:space="preserve">Kel. Sidosermo Iv Gg 15 Blok B No 8M, RT/RW 005/003, Sidosermo, Wonocolo, Surabaya</t>
  </si>
  <si>
    <t xml:space="preserve">YANUAR FAUZAN</t>
  </si>
  <si>
    <t xml:space="preserve">0002421259615</t>
  </si>
  <si>
    <t xml:space="preserve">3578270601950001</t>
  </si>
  <si>
    <t xml:space="preserve">Simorejo Timur 10/26 B, RT/RW 005/003, Simomulyo, Sukomanunggal, Surabaya</t>
  </si>
  <si>
    <t xml:space="preserve">OKY SATRIA ANGGARA</t>
  </si>
  <si>
    <t xml:space="preserve">0000108153753</t>
  </si>
  <si>
    <t xml:space="preserve">3506082506920001</t>
  </si>
  <si>
    <t xml:space="preserve">Dsn Sukomoro, RT/RW 006/001, Puncu, Puncu, Kediri</t>
  </si>
  <si>
    <t xml:space="preserve">OTNIELVI LINGGI ALLO</t>
  </si>
  <si>
    <t xml:space="preserve">25077196114</t>
  </si>
  <si>
    <t xml:space="preserve">0001177430804</t>
  </si>
  <si>
    <t xml:space="preserve">Admin Puchasing</t>
  </si>
  <si>
    <t xml:space="preserve">7371094109930001</t>
  </si>
  <si>
    <t xml:space="preserve">Trisula No. 3, RT/RW 003/002, Kembangan, Kebomas, Gresik</t>
  </si>
  <si>
    <t xml:space="preserve">MOH. FATXHUDDIN</t>
  </si>
  <si>
    <t xml:space="preserve">0001541900687</t>
  </si>
  <si>
    <t xml:space="preserve">Picker</t>
  </si>
  <si>
    <t xml:space="preserve">3524241301920002</t>
  </si>
  <si>
    <t xml:space="preserve">Palangan, RT/RW 001/002, Palangan, Karangbinangun, Lamongan</t>
  </si>
  <si>
    <t xml:space="preserve">KORNELIS SARI</t>
  </si>
  <si>
    <t xml:space="preserve">0002723816441</t>
  </si>
  <si>
    <t xml:space="preserve">6472090212950001</t>
  </si>
  <si>
    <t xml:space="preserve">Wolooja</t>
  </si>
  <si>
    <t xml:space="preserve">Paipenga, RT/RW 001/001, Tuwa, Tana Wawo, Sikka</t>
  </si>
  <si>
    <t xml:space="preserve">HARIS FADILLAH</t>
  </si>
  <si>
    <t xml:space="preserve">0003300941452</t>
  </si>
  <si>
    <t xml:space="preserve">3525021403010001</t>
  </si>
  <si>
    <t xml:space="preserve">Dsn Ganggang, RT/RW 001/001, Ganggang, Balongpangang, Gresik</t>
  </si>
  <si>
    <t xml:space="preserve">MUHAMMAD ADITIA ARROSYID</t>
  </si>
  <si>
    <t xml:space="preserve">0003619201915</t>
  </si>
  <si>
    <t xml:space="preserve">3525122007010001</t>
  </si>
  <si>
    <t xml:space="preserve">Gunungsari 28, RT/RW 010/004, Indrodelik, Bungah, Gresik</t>
  </si>
  <si>
    <t xml:space="preserve">CHOFIFAH MEGA MAHARANI</t>
  </si>
  <si>
    <t xml:space="preserve">KEDIAMAN BAPAK ARIEF HIDAYAT KARUNIA (LABOUR)</t>
  </si>
  <si>
    <t xml:space="preserve">Admin Office</t>
  </si>
  <si>
    <t xml:space="preserve">3578155108990004</t>
  </si>
  <si>
    <t xml:space="preserve">Dk. Bulak Banteng Suropati 5-A/57, RT/RW 012/007, Bulak Banteng, Kenjeran, Surabaya</t>
  </si>
  <si>
    <t xml:space="preserve">DEKA RESTU ARMIDIANI</t>
  </si>
  <si>
    <t xml:space="preserve">0001227214607</t>
  </si>
  <si>
    <t xml:space="preserve">3515134512910005</t>
  </si>
  <si>
    <t xml:space="preserve">Dusun Pudak Pulo, RT/RW 010/004, Puloniti, Bangsal, Mojokerto</t>
  </si>
  <si>
    <t xml:space="preserve">ABI SETYO HADI</t>
  </si>
  <si>
    <t xml:space="preserve">PT JURAGAN SEMBILAN SEMBILAN CORP (LABOUR)</t>
  </si>
  <si>
    <t xml:space="preserve">25093186272</t>
  </si>
  <si>
    <t xml:space="preserve">0001650496522</t>
  </si>
  <si>
    <t xml:space="preserve">3579031710950002</t>
  </si>
  <si>
    <t xml:space="preserve">Dk. Marokan, RT/RW 003/001, Pupus, Lembeyan, Magetan</t>
  </si>
  <si>
    <t xml:space="preserve">SATRIA ALIF PUTRA JENTA</t>
  </si>
  <si>
    <t xml:space="preserve">PT KOSMETIKA CANTIK INDONESIA (LABOUR)</t>
  </si>
  <si>
    <t xml:space="preserve">0001539550449</t>
  </si>
  <si>
    <t xml:space="preserve">Helper IT</t>
  </si>
  <si>
    <t xml:space="preserve">3578041905030005</t>
  </si>
  <si>
    <t xml:space="preserve">Bratang Perintis 6/6 6, RT/RW 007/011, Ngagelrejo, Wonokromo, Surabaya</t>
  </si>
  <si>
    <t xml:space="preserve">M. MUSLICH</t>
  </si>
  <si>
    <t xml:space="preserve">25033204508</t>
  </si>
  <si>
    <t xml:space="preserve">0000717926861</t>
  </si>
  <si>
    <t xml:space="preserve">3514181506950002</t>
  </si>
  <si>
    <t xml:space="preserve">Kersikan, RT/RW 002/001, Kersikan, Gondang Wetan, Pasuruan</t>
  </si>
  <si>
    <t xml:space="preserve">0001484140252</t>
  </si>
  <si>
    <t xml:space="preserve">3507130103950004</t>
  </si>
  <si>
    <t xml:space="preserve">Dsn Semanding, RT/RW 005/001, Sumbersekar, Dau, Malang</t>
  </si>
  <si>
    <t xml:space="preserve">YANUAR ISNAIN</t>
  </si>
  <si>
    <t xml:space="preserve">0000684367132</t>
  </si>
  <si>
    <t xml:space="preserve">3507242301950002</t>
  </si>
  <si>
    <t xml:space="preserve">Ngujung, RT/RW 005/002, Toyomarto, Singosari, Malang</t>
  </si>
  <si>
    <t xml:space="preserve">TONI</t>
  </si>
  <si>
    <t xml:space="preserve">0001373725236</t>
  </si>
  <si>
    <t xml:space="preserve">3573041402850005</t>
  </si>
  <si>
    <t xml:space="preserve">Jl. Tanjung Putra Yudha VI, RT/RW 015/011, Tanjungrejo, Sukun, Malang</t>
  </si>
  <si>
    <t xml:space="preserve">HELISA CINTYA DEWI</t>
  </si>
  <si>
    <t xml:space="preserve">20004870125</t>
  </si>
  <si>
    <t xml:space="preserve">0002286420265</t>
  </si>
  <si>
    <t xml:space="preserve">Front Office</t>
  </si>
  <si>
    <t xml:space="preserve">3371015711990002</t>
  </si>
  <si>
    <t xml:space="preserve">Jl. Tunggul Ametung, RT/RW 004/008, Candirenggo, Singosari, Malang</t>
  </si>
  <si>
    <t xml:space="preserve">MUHAMMAD BAGUS PRASETYO</t>
  </si>
  <si>
    <t xml:space="preserve">0002910267898</t>
  </si>
  <si>
    <t xml:space="preserve">3516062101010002</t>
  </si>
  <si>
    <t xml:space="preserve">Dsn. Arjosari, RT/RW 003/003, Randuharjo, Pungging, Mojokerto</t>
  </si>
  <si>
    <t xml:space="preserve">IMAM AS'ARY</t>
  </si>
  <si>
    <t xml:space="preserve">0002903994123</t>
  </si>
  <si>
    <t xml:space="preserve">3516061910000004</t>
  </si>
  <si>
    <t xml:space="preserve">Dsn. Kamotan Wetan, RT/RW 032/014, Randuharjo, Pungging, Mojokerto</t>
  </si>
  <si>
    <t xml:space="preserve">MUHAMMAD NURHABIB</t>
  </si>
  <si>
    <t xml:space="preserve">0002415619877</t>
  </si>
  <si>
    <t xml:space="preserve">3516063112980019</t>
  </si>
  <si>
    <t xml:space="preserve">Kamotan Kulon, RT/RW 026/011, Randuharjo, Pungging, Mojokerto</t>
  </si>
  <si>
    <t xml:space="preserve">FEPI NURSIYA A. HUMALANGGI</t>
  </si>
  <si>
    <t xml:space="preserve">Gorontalo</t>
  </si>
  <si>
    <t xml:space="preserve">7503156411980001</t>
  </si>
  <si>
    <t xml:space="preserve">Jl. Thayeb M. Gobel, RT/RW 000/000, Ayula Selatan, Bulango Selatan, Bone Bolango</t>
  </si>
  <si>
    <t xml:space="preserve">6287845154321</t>
  </si>
  <si>
    <t xml:space="preserve">TRI MEILIKASNA SINULINGGA</t>
  </si>
  <si>
    <t xml:space="preserve">0001862503558</t>
  </si>
  <si>
    <t xml:space="preserve">1275015705960010</t>
  </si>
  <si>
    <t xml:space="preserve">Jl. T. A. Hamzah Gg. Rukun No. 8 Lk. V, RT/RW 000/000, Nangka, Binjai Utara, Binjai</t>
  </si>
  <si>
    <t xml:space="preserve">NI KOMANG AYU SARI ARTINI</t>
  </si>
  <si>
    <t xml:space="preserve">20034997175</t>
  </si>
  <si>
    <t xml:space="preserve">Singaraja</t>
  </si>
  <si>
    <t xml:space="preserve">5108085206010002</t>
  </si>
  <si>
    <t xml:space="preserve">Bulian</t>
  </si>
  <si>
    <t xml:space="preserve">Br Dinas Bantes, RT/RW 000/000, Bulian, Kubutambahan, Buleleng</t>
  </si>
  <si>
    <t xml:space="preserve">VIVI REVITA MENDROFA</t>
  </si>
  <si>
    <t xml:space="preserve">25046157627</t>
  </si>
  <si>
    <t xml:space="preserve">0002150544273</t>
  </si>
  <si>
    <t xml:space="preserve">1204295908030001</t>
  </si>
  <si>
    <t xml:space="preserve">Fadorolai'o</t>
  </si>
  <si>
    <t xml:space="preserve">Fadoro Lalai Dusun III, RT/RW 000/000, Fadoro Lalai, Hiliserangkai, Nias</t>
  </si>
  <si>
    <t xml:space="preserve">FIESTA ADHELYA KARENT</t>
  </si>
  <si>
    <t xml:space="preserve">3374135205010003</t>
  </si>
  <si>
    <t xml:space="preserve">Perum Griya Utama Banjardowo Baru No. 71, RT/RW 002/010, Karangroto, Genuk, Semarang</t>
  </si>
  <si>
    <t xml:space="preserve">62882006987803</t>
  </si>
  <si>
    <t xml:space="preserve">23020730231</t>
  </si>
  <si>
    <t xml:space="preserve">0001830350812</t>
  </si>
  <si>
    <t xml:space="preserve">Rungkut Menanggal 2A-18B RT 005 RW 002 Rungkut Menanggal Gunung Anyar Surabaya</t>
  </si>
  <si>
    <t xml:space="preserve">NUR HIDAYATI</t>
  </si>
  <si>
    <t xml:space="preserve">29052716017</t>
  </si>
  <si>
    <t xml:space="preserve">0001535038391</t>
  </si>
  <si>
    <t xml:space="preserve">3515185009880001</t>
  </si>
  <si>
    <t xml:space="preserve">Jl. Wadungasri VIII/24 RT 002 RW 002 Wadung Asri Waru Sidoarjo</t>
  </si>
  <si>
    <t xml:space="preserve">LILIK SUGIHARTI</t>
  </si>
  <si>
    <t xml:space="preserve">25053715253</t>
  </si>
  <si>
    <t xml:space="preserve">0001888597078</t>
  </si>
  <si>
    <t xml:space="preserve">3515187008790008</t>
  </si>
  <si>
    <t xml:space="preserve">Berbek 1F/10A RT 002 RW 005 Berbek Waru Sidoarjo</t>
  </si>
  <si>
    <t xml:space="preserve">INA AMELIA</t>
  </si>
  <si>
    <t xml:space="preserve">0000787037534</t>
  </si>
  <si>
    <t xml:space="preserve">3578035211890004</t>
  </si>
  <si>
    <t xml:space="preserve">Medayu Utara XIII/2 RT/RW 0152/009 Medokan Ayu, Rungkut, Surabaya</t>
  </si>
  <si>
    <t xml:space="preserve">MAISY EKA OCTAVIANI</t>
  </si>
  <si>
    <t xml:space="preserve">0001161430942</t>
  </si>
  <si>
    <t xml:space="preserve">3520045105020002</t>
  </si>
  <si>
    <t xml:space="preserve">Dukuh Madigondo RT 006 RW 002 Madigondo Takeran Magetan</t>
  </si>
  <si>
    <t xml:space="preserve">DEVI FITRI ALFIYAH</t>
  </si>
  <si>
    <t xml:space="preserve">0001705625256</t>
  </si>
  <si>
    <t xml:space="preserve">3524104512000004</t>
  </si>
  <si>
    <t xml:space="preserve">Rungkut Kidul 2 Makam No 10 RT 001 RW 002 Rungkut Kidul Rungkut Surabaya</t>
  </si>
  <si>
    <t xml:space="preserve">INDRIANI DWI PANGESTI</t>
  </si>
  <si>
    <t xml:space="preserve">20027827246</t>
  </si>
  <si>
    <t xml:space="preserve">0002450082115</t>
  </si>
  <si>
    <t xml:space="preserve">3524204611010001</t>
  </si>
  <si>
    <t xml:space="preserve">Rambutan RT 001 RW 004 Tunjungmekar Kalitengah Lamongan</t>
  </si>
  <si>
    <t xml:space="preserve">INCA OCTAVIA WATI</t>
  </si>
  <si>
    <t xml:space="preserve">0001151324695</t>
  </si>
  <si>
    <t xml:space="preserve">Warehouse Admin</t>
  </si>
  <si>
    <t xml:space="preserve">3506156510940001</t>
  </si>
  <si>
    <t xml:space="preserve">Dsn. Sumber RT 002 RW 004 Woromarto Purwoasri Kediri</t>
  </si>
  <si>
    <t xml:space="preserve">INDAH PUJI RAHAYU</t>
  </si>
  <si>
    <t xml:space="preserve">0001539285478</t>
  </si>
  <si>
    <t xml:space="preserve">3506134402890001</t>
  </si>
  <si>
    <t xml:space="preserve">Dsn Sukorejo RT/RW 002/001 Grogol, Grogol, Kediri</t>
  </si>
  <si>
    <t xml:space="preserve">PIPUK ANGGRYANI</t>
  </si>
  <si>
    <t xml:space="preserve">26032049452</t>
  </si>
  <si>
    <t xml:space="preserve">0001535039392</t>
  </si>
  <si>
    <t xml:space="preserve">3578254210890001</t>
  </si>
  <si>
    <t xml:space="preserve">Rungkut Tengah III/15 RT 002 RW 004 Rungkut Tengah Gunung Anyar Surabaya</t>
  </si>
  <si>
    <t xml:space="preserve">INDRI ANDRIANI SAFITRI</t>
  </si>
  <si>
    <t xml:space="preserve">0000678232337</t>
  </si>
  <si>
    <t xml:space="preserve">3507114404950002</t>
  </si>
  <si>
    <t xml:space="preserve">Wadungasri Dalam RT/RW 002/003 Wadungasri, Waru, Surabaya</t>
  </si>
  <si>
    <t xml:space="preserve">MARITATUL ULVA</t>
  </si>
  <si>
    <t xml:space="preserve">24071577128</t>
  </si>
  <si>
    <t xml:space="preserve">0001161953458</t>
  </si>
  <si>
    <t xml:space="preserve">3578035005990002</t>
  </si>
  <si>
    <t xml:space="preserve">Rungkut Lor 3-A/20-A RT 002 RW 006 Kalirungkut Rungkut Surabaya</t>
  </si>
  <si>
    <t xml:space="preserve">INDRI IKA PUJI LESTARI</t>
  </si>
  <si>
    <t xml:space="preserve">22045933441</t>
  </si>
  <si>
    <t xml:space="preserve">3521105507950001</t>
  </si>
  <si>
    <t xml:space="preserve">Pantenan Rt 004 Rw 002 Pantenan Panceng Gresik</t>
  </si>
  <si>
    <t xml:space="preserve">INKA IMELDA FEBRIANTI</t>
  </si>
  <si>
    <t xml:space="preserve">29069315727</t>
  </si>
  <si>
    <t xml:space="preserve">3522084202050001</t>
  </si>
  <si>
    <t xml:space="preserve">Dusun Brambang, RT/RW 012/004, Balongcabe, Kedungadem, Kab. Bojonegoro</t>
  </si>
  <si>
    <t xml:space="preserve">TITIN INDRIYANI</t>
  </si>
  <si>
    <t xml:space="preserve">20038741435</t>
  </si>
  <si>
    <t xml:space="preserve">0001394307764</t>
  </si>
  <si>
    <t xml:space="preserve">3578256007930001</t>
  </si>
  <si>
    <t xml:space="preserve">Rungkut Tengah 3A/21 RT 001 RW 004 Rungkut Tengah Gunung Anyar Surabaya</t>
  </si>
  <si>
    <t xml:space="preserve">PRASETYO HADI WICAKSONO</t>
  </si>
  <si>
    <t xml:space="preserve">26043316462</t>
  </si>
  <si>
    <t xml:space="preserve">3503122109050003</t>
  </si>
  <si>
    <t xml:space="preserve">Dusun Bendo, RT/RW 003/001, Bendorejo, Pogalan, Trenggalek</t>
  </si>
  <si>
    <t xml:space="preserve">OKTAVIA DINNA ROCHIMA</t>
  </si>
  <si>
    <t xml:space="preserve">0001166283955</t>
  </si>
  <si>
    <t xml:space="preserve">6472026710980002</t>
  </si>
  <si>
    <t xml:space="preserve">Jl. Cipto Mangunkusumo, RT/RW 003/000, Simpang Tiga, Loa Janan Ilir, Samarinda</t>
  </si>
  <si>
    <t xml:space="preserve">ABDUL MUJIB</t>
  </si>
  <si>
    <t xml:space="preserve">0001865381646</t>
  </si>
  <si>
    <t xml:space="preserve">3516061405960006</t>
  </si>
  <si>
    <t xml:space="preserve">Dusun Sukorejo, RT/RW 008/003, Lolawang, Ngoro, Mojokerto</t>
  </si>
  <si>
    <t xml:space="preserve">JULIANTO</t>
  </si>
  <si>
    <t xml:space="preserve">0001426907711</t>
  </si>
  <si>
    <t xml:space="preserve">3278023107870005</t>
  </si>
  <si>
    <t xml:space="preserve">KH. Syafi'I 25, RT/RW 004/001, Suci, Manyar, Gresik</t>
  </si>
  <si>
    <t xml:space="preserve">OKTAVIO RIZKY ADITYA</t>
  </si>
  <si>
    <t xml:space="preserve">0002093290863</t>
  </si>
  <si>
    <t xml:space="preserve">Staff HSE</t>
  </si>
  <si>
    <t xml:space="preserve">3524061610010002</t>
  </si>
  <si>
    <t xml:space="preserve">Blawi, RT/RW 002/003, Blawirejo, Kedungpring, Lamongan</t>
  </si>
  <si>
    <t xml:space="preserve">SUPARMAN HADI SUSANTO</t>
  </si>
  <si>
    <t xml:space="preserve">0003133229927</t>
  </si>
  <si>
    <t xml:space="preserve">3525060302830002</t>
  </si>
  <si>
    <t xml:space="preserve">Sidomukti, RT/RW 004/005, Sumberame, Wringinanom, Gresik</t>
  </si>
  <si>
    <t xml:space="preserve">ARI RAHMAN</t>
  </si>
  <si>
    <t xml:space="preserve">0002996352617</t>
  </si>
  <si>
    <t xml:space="preserve">3515131008870001</t>
  </si>
  <si>
    <t xml:space="preserve">Kramat Jegu, RT/RW 001/005, Kramat Jegu, Taman, Sidoarjo</t>
  </si>
  <si>
    <t xml:space="preserve">MUHAMMAD RIZAL AFFANDI</t>
  </si>
  <si>
    <t xml:space="preserve">0001728529795</t>
  </si>
  <si>
    <t xml:space="preserve">3525131103060002</t>
  </si>
  <si>
    <t xml:space="preserve">IRMA SEPTIANI</t>
  </si>
  <si>
    <t xml:space="preserve">29019409610</t>
  </si>
  <si>
    <t xml:space="preserve">3506145609030001</t>
  </si>
  <si>
    <t xml:space="preserve">Dsn. Brubus, RT/RW 005/002, Papar, Papar, Kab. Kediri</t>
  </si>
  <si>
    <t xml:space="preserve">ALPIAN EKA LISTIANI</t>
  </si>
  <si>
    <t xml:space="preserve">20042078582</t>
  </si>
  <si>
    <t xml:space="preserve">0002004684592</t>
  </si>
  <si>
    <t xml:space="preserve">3502056803980001</t>
  </si>
  <si>
    <t xml:space="preserve">Dukuh Kori Wetan RT 006 RW 006 Kori , Sawo Ponorogo</t>
  </si>
  <si>
    <t xml:space="preserve">TUTIK WIJI LESTARI</t>
  </si>
  <si>
    <t xml:space="preserve">0002250876262</t>
  </si>
  <si>
    <t xml:space="preserve">3505166401970001</t>
  </si>
  <si>
    <t xml:space="preserve">Dsn Sukomulyo, RT/RW 004/001, Sukorame, Binangun, Blitar</t>
  </si>
  <si>
    <t xml:space="preserve">BAGAS PRAMUNDITO</t>
  </si>
  <si>
    <t xml:space="preserve">27008425606</t>
  </si>
  <si>
    <t xml:space="preserve">0000111504227</t>
  </si>
  <si>
    <t xml:space="preserve">3573010501990002</t>
  </si>
  <si>
    <t xml:space="preserve">Jl. Terusan Kayan A-119, RT/RW 006/018, Bunulrejo, Blimbing, Malang</t>
  </si>
  <si>
    <t xml:space="preserve">MOCHAMMAD KHOZIN</t>
  </si>
  <si>
    <t xml:space="preserve">DIKEMBALIKAN</t>
  </si>
  <si>
    <t xml:space="preserve">3515132510930003</t>
  </si>
  <si>
    <t xml:space="preserve">Dsn Ngampel, RT/RW 014/007, Tanjungsari, Taman, Sidoarjo</t>
  </si>
  <si>
    <t xml:space="preserve">YUDI ANDI PRASETYO</t>
  </si>
  <si>
    <t xml:space="preserve">23049222832</t>
  </si>
  <si>
    <t xml:space="preserve">0001963218925</t>
  </si>
  <si>
    <t xml:space="preserve">3514081906960002</t>
  </si>
  <si>
    <t xml:space="preserve">Jl. Pertukangan Barat, RT/RW 005/006, Purwosari, Purwosari, Pasuruan</t>
  </si>
  <si>
    <t xml:space="preserve">ANDIS ARDIYANTO</t>
  </si>
  <si>
    <t xml:space="preserve">0001036973294</t>
  </si>
  <si>
    <t xml:space="preserve">3503122505920002</t>
  </si>
  <si>
    <t xml:space="preserve">Dusun Ngoro, RT/RW 005/002, Ngoro, Ngoro, Mojokerto</t>
  </si>
  <si>
    <t xml:space="preserve">HANIM AMIRIYAH</t>
  </si>
  <si>
    <t xml:space="preserve">23091197423</t>
  </si>
  <si>
    <t xml:space="preserve">0001544403363</t>
  </si>
  <si>
    <t xml:space="preserve">3515036007950001</t>
  </si>
  <si>
    <t xml:space="preserve">Lemujut, RT/RW 005/003, Lemujut, Krembung, Sidoarjo</t>
  </si>
  <si>
    <t xml:space="preserve">SA'IDATUL HIKMIYAH</t>
  </si>
  <si>
    <t xml:space="preserve">22093943018</t>
  </si>
  <si>
    <t xml:space="preserve">0000724341262</t>
  </si>
  <si>
    <t xml:space="preserve">3516054611990001</t>
  </si>
  <si>
    <t xml:space="preserve">Dsn. Manduro, RT/RW 005/001, Mandura Mg, Ngoro, Mojokerto</t>
  </si>
  <si>
    <t xml:space="preserve">EGA FEBRI FERDIANTO</t>
  </si>
  <si>
    <t xml:space="preserve">26008554710</t>
  </si>
  <si>
    <t xml:space="preserve">0002310336292</t>
  </si>
  <si>
    <t xml:space="preserve">3516011102960002</t>
  </si>
  <si>
    <t xml:space="preserve">Sumberaji, RT/RW 004/002, Karangjeruk, Jatirejo, Mojokerto</t>
  </si>
  <si>
    <t xml:space="preserve">MOCHAMAD ROIKHANUL HABIBIE</t>
  </si>
  <si>
    <t xml:space="preserve">26072432950</t>
  </si>
  <si>
    <t xml:space="preserve">0002906935503</t>
  </si>
  <si>
    <t xml:space="preserve">3516185102010001</t>
  </si>
  <si>
    <t xml:space="preserve">Dsn. Sadar, RT/RW 012/002, Sadartengah, Mojoanyar, Mojokerto</t>
  </si>
  <si>
    <t xml:space="preserve">PRAMUJI WIBOWO</t>
  </si>
  <si>
    <t xml:space="preserve">PT JEBE KOKO</t>
  </si>
  <si>
    <t xml:space="preserve">0003294286817</t>
  </si>
  <si>
    <t xml:space="preserve">3525140911910002</t>
  </si>
  <si>
    <t xml:space="preserve">Mayjen Sungkono, RT/RW 002/001, Prambangan, Kebomas, Gresik</t>
  </si>
  <si>
    <t xml:space="preserve">LIANG SADEWO</t>
  </si>
  <si>
    <t xml:space="preserve">0001483064831</t>
  </si>
  <si>
    <t xml:space="preserve">3515172808960002</t>
  </si>
  <si>
    <t xml:space="preserve">Jl. Abd Rachman, RT/RW 008/003, Pabean Cantian, Sidoarjo</t>
  </si>
  <si>
    <t xml:space="preserve">MOHAMMAD SABILUL KHOIRI</t>
  </si>
  <si>
    <t xml:space="preserve">22059905878</t>
  </si>
  <si>
    <t xml:space="preserve">3516061404030005</t>
  </si>
  <si>
    <t xml:space="preserve">Dsn. Mejerat RT 01/RW 06 Pungging Mojokerto</t>
  </si>
  <si>
    <t xml:space="preserve">LUKY OKTAVIAN</t>
  </si>
  <si>
    <t xml:space="preserve">3516060210960002</t>
  </si>
  <si>
    <t xml:space="preserve">Dsn. Pungging RT 07/ RW 04 Pungging Mojokerto</t>
  </si>
  <si>
    <t xml:space="preserve">NURUL AINI</t>
  </si>
  <si>
    <t xml:space="preserve">3515134505010005</t>
  </si>
  <si>
    <t xml:space="preserve">Tawangsari, RT/RW 004/001, Tawangsari, Taman, Sidoarjo</t>
  </si>
  <si>
    <t xml:space="preserve">MOCH. NAWAWI</t>
  </si>
  <si>
    <t xml:space="preserve">21015356904</t>
  </si>
  <si>
    <t xml:space="preserve">0001043641811</t>
  </si>
  <si>
    <t xml:space="preserve">3516051611860001</t>
  </si>
  <si>
    <t xml:space="preserve">Kamotan Wetan, RT/RW 031/013, Randuharjo, Pungging, Mojokerto</t>
  </si>
  <si>
    <t xml:space="preserve">FRADIAN NUR MALASARI</t>
  </si>
  <si>
    <t xml:space="preserve">0002056857028</t>
  </si>
  <si>
    <t xml:space="preserve">Staff Accounting</t>
  </si>
  <si>
    <t xml:space="preserve">3524226410950003</t>
  </si>
  <si>
    <t xml:space="preserve">Jl. Andan Wangi RT/RW 004/001 Sidoharjo, Lamongan, Lamongan</t>
  </si>
  <si>
    <t xml:space="preserve">PUTRI ARDIANSHARI</t>
  </si>
  <si>
    <t xml:space="preserve">0001161510625</t>
  </si>
  <si>
    <t xml:space="preserve">3504085211990001</t>
  </si>
  <si>
    <t xml:space="preserve">Dsn Tlusung, RT/RW 025/004, Jeli, Karangrejo, Tulungagung</t>
  </si>
  <si>
    <t xml:space="preserve">RIZKY BUDI PRAKOSO</t>
  </si>
  <si>
    <t xml:space="preserve">21077808820</t>
  </si>
  <si>
    <t xml:space="preserve">0001473435865</t>
  </si>
  <si>
    <t xml:space="preserve">Admin Accounting</t>
  </si>
  <si>
    <t xml:space="preserve">3525150606930005</t>
  </si>
  <si>
    <t xml:space="preserve">Sumput Asri Blok AX.02, RT/RW 038/006, Sumput, Driyorejo, Gresij</t>
  </si>
  <si>
    <t xml:space="preserve">MIFTAHUL AULIA</t>
  </si>
  <si>
    <t xml:space="preserve">23013922144</t>
  </si>
  <si>
    <t xml:space="preserve">0001897454619</t>
  </si>
  <si>
    <t xml:space="preserve">3516084807970003</t>
  </si>
  <si>
    <t xml:space="preserve">Dsn. Gempolmalang, RT/RW 005/001, Kedunggempol, Mojosari, Mojokerto</t>
  </si>
  <si>
    <t xml:space="preserve">MOHAMAD ARDI KURNIAWAN</t>
  </si>
  <si>
    <t xml:space="preserve">0001542768434</t>
  </si>
  <si>
    <t xml:space="preserve">3516120412950001</t>
  </si>
  <si>
    <t xml:space="preserve">Kedungkwali Ix/11, RT/RW 004/002, Miji, Kranggan, Mojokerto</t>
  </si>
  <si>
    <t xml:space="preserve">IRWAN SUWARDI</t>
  </si>
  <si>
    <t xml:space="preserve">28000134099</t>
  </si>
  <si>
    <t xml:space="preserve">0001933931294</t>
  </si>
  <si>
    <t xml:space="preserve">Team Leader Promotor</t>
  </si>
  <si>
    <t xml:space="preserve">7314050709959001</t>
  </si>
  <si>
    <t xml:space="preserve">Rappang</t>
  </si>
  <si>
    <t xml:space="preserve">Jln. Andi Nohong, RT/RW 002/004, Rappang, Panca Rijang, Sidenreng Rappang</t>
  </si>
  <si>
    <t xml:space="preserve">DILLA PUTRI YULIYANTI</t>
  </si>
  <si>
    <t xml:space="preserve">27083715120</t>
  </si>
  <si>
    <t xml:space="preserve">0001530639505</t>
  </si>
  <si>
    <t xml:space="preserve">3311075307040002</t>
  </si>
  <si>
    <t xml:space="preserve">Canden, RT/RW 002/001, Rejosari, Polokarto, Sukoharjo</t>
  </si>
  <si>
    <t xml:space="preserve">RESTI INDAH SARI</t>
  </si>
  <si>
    <t xml:space="preserve">0001841952295</t>
  </si>
  <si>
    <t xml:space="preserve">6112016707960014</t>
  </si>
  <si>
    <t xml:space="preserve">Gg. Parit Bugis Desa Arang Limbung, RT/RW 007/005, Arang Limbung, Sungai Raya, Kubu Raya</t>
  </si>
  <si>
    <t xml:space="preserve">FINA DAMAYANTI</t>
  </si>
  <si>
    <t xml:space="preserve">1608186111050001</t>
  </si>
  <si>
    <t xml:space="preserve">Oku Timur</t>
  </si>
  <si>
    <t xml:space="preserve">Jl. Tugu Mulyo, RT/RW 004/001, Tugu Mulyo, Belitang Madang Raya, Ogan Komering Ulu Timur</t>
  </si>
  <si>
    <t xml:space="preserve">NAMIRA. S</t>
  </si>
  <si>
    <t xml:space="preserve">0003536146901</t>
  </si>
  <si>
    <t xml:space="preserve">7315046502920002</t>
  </si>
  <si>
    <t xml:space="preserve">Btn Tassokkoe No. 8, RT/RW 005/005, Salo, Watang Sawitto, Pinrang</t>
  </si>
  <si>
    <t xml:space="preserve">FITRI DIYAH RIZKIYANI</t>
  </si>
  <si>
    <t xml:space="preserve">0002926581816</t>
  </si>
  <si>
    <t xml:space="preserve">3301216904900001</t>
  </si>
  <si>
    <t xml:space="preserve">Jl. Nusantara, RT/RW 007/007, Tritih Kulon, Cilacap Utara, Cilacap</t>
  </si>
  <si>
    <t xml:space="preserve">AHMAD SALIM NAUFAL</t>
  </si>
  <si>
    <t xml:space="preserve">0001430388393</t>
  </si>
  <si>
    <t xml:space="preserve">3516052911970003</t>
  </si>
  <si>
    <t xml:space="preserve">Jln. Masjid, RT/RW 003/001, Manduro Manggunggajah, Ngoro, Mojokerto</t>
  </si>
  <si>
    <t xml:space="preserve">ALFIAN ARBIE RIZAL</t>
  </si>
  <si>
    <t xml:space="preserve">0002453966943</t>
  </si>
  <si>
    <t xml:space="preserve">3516051508960001</t>
  </si>
  <si>
    <t xml:space="preserve">Dsn. Kutogirang, RT/RW 004/003, Kutogirang, Ngoro, Mojokerto</t>
  </si>
  <si>
    <t xml:space="preserve">DWI HARIYANTO</t>
  </si>
  <si>
    <t xml:space="preserve">0002161720304</t>
  </si>
  <si>
    <t xml:space="preserve">3516050306950002</t>
  </si>
  <si>
    <t xml:space="preserve">Dusun Sidorejo, RT/RW 004/004, Wonosari, Ngoro, Mojokerto</t>
  </si>
  <si>
    <t xml:space="preserve">EMI HASANA</t>
  </si>
  <si>
    <t xml:space="preserve">0000724191366</t>
  </si>
  <si>
    <t xml:space="preserve">3516054108000003</t>
  </si>
  <si>
    <t xml:space="preserve">Dsn. Wotanmas Jedong, RT/RW 007/001, Wotanmas Jedong, Ngoro, Mojokerto</t>
  </si>
  <si>
    <t xml:space="preserve">RISKI RAMADHANI</t>
  </si>
  <si>
    <t xml:space="preserve">0002161720293</t>
  </si>
  <si>
    <t xml:space="preserve">3516050301980001</t>
  </si>
  <si>
    <t xml:space="preserve">Bangsri, RT/RW 001/003, Kembangsri, Ngoro, Mojokerto</t>
  </si>
  <si>
    <t xml:space="preserve">MAWAN PRAMUDJITO</t>
  </si>
  <si>
    <t xml:space="preserve">0002418215984</t>
  </si>
  <si>
    <t xml:space="preserve">3524212204960001</t>
  </si>
  <si>
    <t xml:space="preserve">Balun, RT/RW 005/001, Balun, Turi, Lamongan</t>
  </si>
  <si>
    <t xml:space="preserve">MUHAMMAD MUCHLAS SUBECHI</t>
  </si>
  <si>
    <t xml:space="preserve">0000726422613</t>
  </si>
  <si>
    <t xml:space="preserve">3516110206980002</t>
  </si>
  <si>
    <t xml:space="preserve">Tangunan, RT/RW 016/008, Tangunan, Puri, Mojokerto</t>
  </si>
  <si>
    <t xml:space="preserve">MC EKSI BUDHI WIDAYANTI</t>
  </si>
  <si>
    <t xml:space="preserve">PT SINKO PRIMA ALLOY</t>
  </si>
  <si>
    <t xml:space="preserve">0002158639547</t>
  </si>
  <si>
    <t xml:space="preserve">3525155905690001</t>
  </si>
  <si>
    <t xml:space="preserve">Jl. Banyu Urip L Gg Mushola, RT/RW 006/005, Gempol Kurung, Menganti, Gresik</t>
  </si>
  <si>
    <t xml:space="preserve">NURI</t>
  </si>
  <si>
    <t xml:space="preserve">0002158639536</t>
  </si>
  <si>
    <t xml:space="preserve">3525131812600012</t>
  </si>
  <si>
    <t xml:space="preserve">Dusun Padangan, RT/RW 011/004, Randupadangan, Menganti, Gresik</t>
  </si>
  <si>
    <t xml:space="preserve">AHMAD AINURUS SALAM</t>
  </si>
  <si>
    <t xml:space="preserve">0001705613365</t>
  </si>
  <si>
    <t xml:space="preserve">Production Control</t>
  </si>
  <si>
    <t xml:space="preserve">3578180807970001</t>
  </si>
  <si>
    <t xml:space="preserve">Banjar Mlati Tengah 03, RT/RW 004/003, Jeruk, Lakarsantri, Surabaya</t>
  </si>
  <si>
    <t xml:space="preserve">AHMAD IRFAN WAHYUDI</t>
  </si>
  <si>
    <t xml:space="preserve">0002414651951</t>
  </si>
  <si>
    <t xml:space="preserve">3525081207020002</t>
  </si>
  <si>
    <t xml:space="preserve">Dusun Gorekan Lor, RT/RW 012/006, Cermen, Kedamean, Gresik</t>
  </si>
  <si>
    <t xml:space="preserve">AHMAT FAHRUSI SYAKIRIN IENDAR ALI</t>
  </si>
  <si>
    <t xml:space="preserve">0002727632428</t>
  </si>
  <si>
    <t xml:space="preserve">3578100811980011</t>
  </si>
  <si>
    <t xml:space="preserve">Dk. Bl. Banteng Timur 3/25, RT/RW 002/004, Bulak Banteng, Kenjeran, Surabaya</t>
  </si>
  <si>
    <t xml:space="preserve">ARVINA NANDA PERMATA SARI</t>
  </si>
  <si>
    <t xml:space="preserve">0001450909833</t>
  </si>
  <si>
    <t xml:space="preserve">Calibration &amp; Testin</t>
  </si>
  <si>
    <t xml:space="preserve">3578226612000001</t>
  </si>
  <si>
    <t xml:space="preserve">Ketintang Wiyata V/32, RT/RW 003/004, Ketintang, Gayungan, Surabaya</t>
  </si>
  <si>
    <t xml:space="preserve">0000584230252</t>
  </si>
  <si>
    <t xml:space="preserve">General Affair</t>
  </si>
  <si>
    <t xml:space="preserve">3317045206030001</t>
  </si>
  <si>
    <t xml:space="preserve">Desa Bancang, RT/RW 001/001, Bancang, Sale, Rembang</t>
  </si>
  <si>
    <t xml:space="preserve">MOCH. ILHAM SYAHRIAL</t>
  </si>
  <si>
    <t xml:space="preserve">0002325769121</t>
  </si>
  <si>
    <t xml:space="preserve">Quarantine &amp; Waste Control</t>
  </si>
  <si>
    <t xml:space="preserve">3578152905980002</t>
  </si>
  <si>
    <t xml:space="preserve">Krembangan Jaya Utara 9/14, RT/RW 010/005, Kemayoran, Krembangan, Surabaya</t>
  </si>
  <si>
    <t xml:space="preserve">MOCH. YUSUP EFENDI</t>
  </si>
  <si>
    <t xml:space="preserve">0001702146205</t>
  </si>
  <si>
    <t xml:space="preserve">Customer &amp; Distributor Relation</t>
  </si>
  <si>
    <t xml:space="preserve">3578182103050001</t>
  </si>
  <si>
    <t xml:space="preserve">Ds. Balungrejo, RT/RW 002/007, Sumber, Kradenan, Blora</t>
  </si>
  <si>
    <t xml:space="preserve">MOCHAMMAD BILAL</t>
  </si>
  <si>
    <t xml:space="preserve">0002417240125</t>
  </si>
  <si>
    <t xml:space="preserve">Produksi Control</t>
  </si>
  <si>
    <t xml:space="preserve">3578191804990001</t>
  </si>
  <si>
    <t xml:space="preserve">Jl. Kapten Dulasim 7E/27, RT/RW 009/002, Kramatinggil, Gresik, Gresik</t>
  </si>
  <si>
    <t xml:space="preserve">MUHAMMAD AMIN</t>
  </si>
  <si>
    <t xml:space="preserve">0002686445875</t>
  </si>
  <si>
    <t xml:space="preserve">3578102807010018</t>
  </si>
  <si>
    <t xml:space="preserve">Kapas Madya 3-E/43, RT/RW 012/001, Kapasmadya Baru, Tambak Sari, Surabaya</t>
  </si>
  <si>
    <t xml:space="preserve">NELLA ALVIONITA</t>
  </si>
  <si>
    <t xml:space="preserve">0002157400113</t>
  </si>
  <si>
    <t xml:space="preserve">Finish Good &amp; Logistic</t>
  </si>
  <si>
    <t xml:space="preserve">3578154505010003</t>
  </si>
  <si>
    <t xml:space="preserve">Tambak Asri 22/37, RT/RW 016/006, Morokrembangan, Krembangan, Surabaya</t>
  </si>
  <si>
    <t xml:space="preserve">RADHINAL HABIB MUHAMMAD</t>
  </si>
  <si>
    <t xml:space="preserve">0002683675888</t>
  </si>
  <si>
    <t xml:space="preserve">3578192503010004</t>
  </si>
  <si>
    <t xml:space="preserve">Tambak Asowilangun 4/28, RT/RW 002/003, Tambak Asowilangun, Benowo, Surabaya</t>
  </si>
  <si>
    <t xml:space="preserve">WIDA USMIA</t>
  </si>
  <si>
    <t xml:space="preserve">0003130535992</t>
  </si>
  <si>
    <t xml:space="preserve">Raw Material Warehouse</t>
  </si>
  <si>
    <t xml:space="preserve">3506166004030002</t>
  </si>
  <si>
    <t xml:space="preserve">Dusun Banjarsari, RT/RW 001/007, Sidowarek, Plemahan, Kediri</t>
  </si>
  <si>
    <t xml:space="preserve">YOGA PRATAMA</t>
  </si>
  <si>
    <t xml:space="preserve">0001394372485</t>
  </si>
  <si>
    <t xml:space="preserve">3578311208950001</t>
  </si>
  <si>
    <t xml:space="preserve">Dk. Jelidro, RT/RW 004/001, Sambikerep, Sambi Kerep, Surabaya</t>
  </si>
  <si>
    <t xml:space="preserve">YOSE RANGGA ANJASMAN</t>
  </si>
  <si>
    <t xml:space="preserve">0002418239439</t>
  </si>
  <si>
    <t xml:space="preserve">Total Preventive Maintenance</t>
  </si>
  <si>
    <t xml:space="preserve">3578272210020002</t>
  </si>
  <si>
    <t xml:space="preserve">Simorejo 33/15, RT/RW 009/002, Simomulyo, Sukomanunggal, Surabaya</t>
  </si>
  <si>
    <t xml:space="preserve">YUDHA BAGUS SEPTIANSYAH</t>
  </si>
  <si>
    <t xml:space="preserve">0002249886014</t>
  </si>
  <si>
    <t xml:space="preserve">3578152709940002</t>
  </si>
  <si>
    <t xml:space="preserve">Dupak Bandarejo 2/58, RT/RW 006/003, Dupak, Krembangan, Surabaya</t>
  </si>
  <si>
    <t xml:space="preserve">YULIDAR REZA MAULIDI</t>
  </si>
  <si>
    <t xml:space="preserve">0002164681067</t>
  </si>
  <si>
    <t xml:space="preserve">3578140707960002</t>
  </si>
  <si>
    <t xml:space="preserve">Balongsari Madya 7-D/15, RT/RW 004/002, Karangpoh, Tandes, Surabaya</t>
  </si>
  <si>
    <t xml:space="preserve">ZANWAR TAUFIK HIDAYAT</t>
  </si>
  <si>
    <t xml:space="preserve">0002476494742</t>
  </si>
  <si>
    <t xml:space="preserve">3525131701020003</t>
  </si>
  <si>
    <t xml:space="preserve">Domas, RT/RW 010/003, Domas, Menganti, Gresik</t>
  </si>
  <si>
    <t xml:space="preserve">MEGA AISYA AMINI</t>
  </si>
  <si>
    <t xml:space="preserve">0002901830668</t>
  </si>
  <si>
    <t xml:space="preserve">GA - Admin Customer Service</t>
  </si>
  <si>
    <t xml:space="preserve">3509084610990003</t>
  </si>
  <si>
    <t xml:space="preserve">Dusun Krajan II, RT/RW 001/005, Pugerkulon, Puger, Jember</t>
  </si>
  <si>
    <t xml:space="preserve">ACHMAD TOHIR</t>
  </si>
  <si>
    <t xml:space="preserve">0001394662972</t>
  </si>
  <si>
    <t xml:space="preserve">3578062906030005</t>
  </si>
  <si>
    <t xml:space="preserve">Banyu Urip Kidul X-D/32, RT/RW 011/009, Banyu Urip, Sawahan, Surabaya</t>
  </si>
  <si>
    <t xml:space="preserve">ADITYA NUR WACHID</t>
  </si>
  <si>
    <t xml:space="preserve">0002416658376</t>
  </si>
  <si>
    <t xml:space="preserve">3578060310000007</t>
  </si>
  <si>
    <t xml:space="preserve">Simo Gunung Kramat Timur 66, RT/RW 001/002, Banyu Urip, Sawahan, Surabaya</t>
  </si>
  <si>
    <t xml:space="preserve">LUSYA ARINDHIKA</t>
  </si>
  <si>
    <t xml:space="preserve">3516164406020005</t>
  </si>
  <si>
    <t xml:space="preserve">Dusun Gamping RT/RW 001/002 Mojorejo, Jetis, Mojokerto</t>
  </si>
  <si>
    <t xml:space="preserve">PITRIYA</t>
  </si>
  <si>
    <t xml:space="preserve">3516166912990001</t>
  </si>
  <si>
    <t xml:space="preserve">Dusun Gamping RT/RW 001/002 Mojokerto, Jetis, Mojokerto</t>
  </si>
  <si>
    <t xml:space="preserve">PUTRI ASIH WULANSARI</t>
  </si>
  <si>
    <t xml:space="preserve">3576024401990001</t>
  </si>
  <si>
    <t xml:space="preserve">Lingk. Gedangan RT/RW 004/007 Gunung Gedangan, Magersari, Mojokerto</t>
  </si>
  <si>
    <t xml:space="preserve">TITANIYA EKA CRISMONITA</t>
  </si>
  <si>
    <t xml:space="preserve">3516165110980001</t>
  </si>
  <si>
    <t xml:space="preserve">Banjarsari Kulon RT/RW 001/005 Banjarsari, Jetis, Mojokerto</t>
  </si>
  <si>
    <t xml:space="preserve">PUTRI ROKMANIA</t>
  </si>
  <si>
    <t xml:space="preserve">3516166808950001</t>
  </si>
  <si>
    <t xml:space="preserve">Dsn Gamping RT/RW 001/002 Mojorejo, Jetis, Mojokerto</t>
  </si>
  <si>
    <t xml:space="preserve">MISBAKHUL MUNIR</t>
  </si>
  <si>
    <t xml:space="preserve">3516160211020001</t>
  </si>
  <si>
    <t xml:space="preserve">Dusun Pantesrejo, RT/RW 001/004, Mojorejo, Jetis, Mojokerto</t>
  </si>
  <si>
    <t xml:space="preserve">ARYA CAHYA ADHITYA</t>
  </si>
  <si>
    <t xml:space="preserve">3516160208040003</t>
  </si>
  <si>
    <t xml:space="preserve">Kepuh Sawo, RT/RW 002/003, Mojorejo, Jetis, Mojokerto</t>
  </si>
  <si>
    <t xml:space="preserve">AKIBATUL MUKADHIBIN</t>
  </si>
  <si>
    <t xml:space="preserve">3516161208920005</t>
  </si>
  <si>
    <t xml:space="preserve">Pilangrowok, RT/RW 002/001, Mojopilang, Kemlagi, Mojokerto</t>
  </si>
  <si>
    <t xml:space="preserve">WISNUN SYAHIDIN</t>
  </si>
  <si>
    <t xml:space="preserve">0000726355539</t>
  </si>
  <si>
    <t xml:space="preserve">3516162406940001</t>
  </si>
  <si>
    <t xml:space="preserve">Pantesrego, RT/RW 002/004, Mojorejo, Jetis, Mojokerto</t>
  </si>
  <si>
    <t xml:space="preserve">RENA NOOR SANTIKA</t>
  </si>
  <si>
    <t xml:space="preserve">24017798411</t>
  </si>
  <si>
    <t xml:space="preserve">0002039372021</t>
  </si>
  <si>
    <t xml:space="preserve">3571015903970001</t>
  </si>
  <si>
    <t xml:space="preserve">Jl. Gatot Subroto 109, RT/RW 005/005, Mrican, Mojoroto, Kediri</t>
  </si>
  <si>
    <t xml:space="preserve">VINA KUMALA</t>
  </si>
  <si>
    <t xml:space="preserve">0000098531649</t>
  </si>
  <si>
    <t xml:space="preserve">Quality Inspector</t>
  </si>
  <si>
    <t xml:space="preserve">3516086105980001</t>
  </si>
  <si>
    <t xml:space="preserve">Modopuro, RT/RW 001/006, Modopuro, Mojosari, Mojokerto</t>
  </si>
  <si>
    <t xml:space="preserve">DIKA ADELITA</t>
  </si>
  <si>
    <t xml:space="preserve">21062893329</t>
  </si>
  <si>
    <t xml:space="preserve">0001475488721</t>
  </si>
  <si>
    <t xml:space="preserve">3516085205950002</t>
  </si>
  <si>
    <t xml:space="preserve">Gembongan, RT/RW 017/009, Jotangan, Mojosari, Mojokerto</t>
  </si>
  <si>
    <t xml:space="preserve">ISNU MURDIANTO</t>
  </si>
  <si>
    <t xml:space="preserve">3578010909860004</t>
  </si>
  <si>
    <t xml:space="preserve">MUHAMMAD RIO HIDAYAT</t>
  </si>
  <si>
    <t xml:space="preserve">0000724767535</t>
  </si>
  <si>
    <t xml:space="preserve">Rollshop</t>
  </si>
  <si>
    <t xml:space="preserve">3516062312990001</t>
  </si>
  <si>
    <t xml:space="preserve">Kecapangan, RT/RW 001/003, Ngoro, Ngoro, Mojokerto</t>
  </si>
  <si>
    <t xml:space="preserve">RAHMAD JELANG RAMADHAN</t>
  </si>
  <si>
    <t xml:space="preserve">3516161311010001</t>
  </si>
  <si>
    <t xml:space="preserve">Dsn. Kepuh Sawo, RT/RW 004/003, Mojorejo, Jetis, Mojokerto</t>
  </si>
  <si>
    <t xml:space="preserve">MUHAMMAD ALDIANTO</t>
  </si>
  <si>
    <t xml:space="preserve">0001394068904</t>
  </si>
  <si>
    <t xml:space="preserve">3578170803010002</t>
  </si>
  <si>
    <t xml:space="preserve">Pogot Baru No. 25, RT/RW 001/006, Tanah Kali Kedinding, Kenjeran, Surabaya</t>
  </si>
  <si>
    <t xml:space="preserve">TOPAN AURA BAGASKARA</t>
  </si>
  <si>
    <t xml:space="preserve">0001465094621</t>
  </si>
  <si>
    <t xml:space="preserve">3578151207990002</t>
  </si>
  <si>
    <t xml:space="preserve">ALIP FATUR ROHMAN</t>
  </si>
  <si>
    <t xml:space="preserve">0001402277916</t>
  </si>
  <si>
    <t xml:space="preserve">3506061701980001</t>
  </si>
  <si>
    <t xml:space="preserve">Sidotopo Jaya 3-A/37, RT/RW 004/012, Sidotopo, Semampir, Surabaya</t>
  </si>
  <si>
    <t xml:space="preserve">FEBRIAN DWI CAHYO</t>
  </si>
  <si>
    <t xml:space="preserve">27062066998</t>
  </si>
  <si>
    <t xml:space="preserve">0002215469452</t>
  </si>
  <si>
    <t xml:space="preserve">6472061202020001</t>
  </si>
  <si>
    <t xml:space="preserve">Jl. Jakarta Blok C/No. 13, RT/RW 065/000, Loa Bakung, Sungai Kunjang, Samarinda</t>
  </si>
  <si>
    <t xml:space="preserve">MUCHAMAD SYAIKULLOH</t>
  </si>
  <si>
    <t xml:space="preserve">0002416560974</t>
  </si>
  <si>
    <t xml:space="preserve">3525152303030001</t>
  </si>
  <si>
    <t xml:space="preserve">Klitih, RT/RW 002/005, Randegansari, Driyorejo, Gresik</t>
  </si>
  <si>
    <t xml:space="preserve">ADITIO TRI APRILIANTO</t>
  </si>
  <si>
    <t xml:space="preserve">3156161804050002</t>
  </si>
  <si>
    <t xml:space="preserve">Dsn Sawo, RT/RW 005/002, Sawo, Jetis, Mojokerto</t>
  </si>
  <si>
    <t xml:space="preserve">AGUNG WAHYU UTOMO</t>
  </si>
  <si>
    <t xml:space="preserve">3516151802000003</t>
  </si>
  <si>
    <t xml:space="preserve">Dusun Sukomulyo, RT/RW 003/001, Tanjungan, Kemlagi, Mojokerto</t>
  </si>
  <si>
    <t xml:space="preserve">BUDI YANTO</t>
  </si>
  <si>
    <t xml:space="preserve">3516151103960005</t>
  </si>
  <si>
    <t xml:space="preserve">DIMAS TRI ANANDA</t>
  </si>
  <si>
    <t xml:space="preserve">3516162008000001</t>
  </si>
  <si>
    <t xml:space="preserve">Kepuhsawo, RT/RW 004/003, Mojorejo, Jetis, Mojokerto</t>
  </si>
  <si>
    <t xml:space="preserve">DINO PRASETYO</t>
  </si>
  <si>
    <t xml:space="preserve">3516160307970002</t>
  </si>
  <si>
    <t xml:space="preserve">Dusun Sawo, RT/RW 005/001, Sawo, Jetis, Mojokerto</t>
  </si>
  <si>
    <t xml:space="preserve">ENGGAL WAHYU ARDANY</t>
  </si>
  <si>
    <t xml:space="preserve">3516161504010001</t>
  </si>
  <si>
    <t xml:space="preserve">Dsn. Kepuh Sawo, RT/RW 003/003, Mojorejo, Jetis, Mojokerto</t>
  </si>
  <si>
    <t xml:space="preserve">FAHMI BAGUS ADI NUGROHO</t>
  </si>
  <si>
    <t xml:space="preserve">20060556356</t>
  </si>
  <si>
    <t xml:space="preserve">3516151508000001</t>
  </si>
  <si>
    <t xml:space="preserve">Dsn. Semampir Lor, RT/RW 003/005, Mojokumpul, Kemlagi, Mojokerto</t>
  </si>
  <si>
    <t xml:space="preserve">MAULANA DAVA ARDIANSYAH</t>
  </si>
  <si>
    <t xml:space="preserve">3516150405050001</t>
  </si>
  <si>
    <t xml:space="preserve">Dusun Jatikumpul, RT/RW 002/003, Mojokumpul, Kemlagi, Mojokerto</t>
  </si>
  <si>
    <t xml:space="preserve">MOCH AINUN ROKHIM</t>
  </si>
  <si>
    <t xml:space="preserve">3516152410980001</t>
  </si>
  <si>
    <t xml:space="preserve">Dsn Semampir Lor, RT/RW 001/005, Mojokumpul, Kemlagi, Mojokerto</t>
  </si>
  <si>
    <t xml:space="preserve">MUHAMMAD ARIS WAHYUDI</t>
  </si>
  <si>
    <t xml:space="preserve">3516171711050002</t>
  </si>
  <si>
    <t xml:space="preserve">Bangeran, RT/RW 002/008, Bangeran, Dawarblandong, Mojokerto</t>
  </si>
  <si>
    <t xml:space="preserve">MUHAMMAD ILHAM RAHMATTULAH</t>
  </si>
  <si>
    <t xml:space="preserve">3516161202010001</t>
  </si>
  <si>
    <t xml:space="preserve">Dsn. Kepuh Sawo, RT/RW 001/003, Mojorejo, Jetis, Mojokerto</t>
  </si>
  <si>
    <t xml:space="preserve">NANDITO FERDIANSYAH</t>
  </si>
  <si>
    <t xml:space="preserve">3516161506060002</t>
  </si>
  <si>
    <t xml:space="preserve">Dsn. Sawo, RT/RW 005/001, Sawo, Jetis, Mojokerto</t>
  </si>
  <si>
    <t xml:space="preserve">RAHEL SHEIGA RENALDI</t>
  </si>
  <si>
    <t xml:space="preserve">3516161411010001</t>
  </si>
  <si>
    <t xml:space="preserve">Dusun Jeruk Macan, RT/RW 013/003, Sawo, Jetis, Mojokerto</t>
  </si>
  <si>
    <t xml:space="preserve">RENDI DWI CAHYA</t>
  </si>
  <si>
    <t xml:space="preserve">3516160408980002</t>
  </si>
  <si>
    <t xml:space="preserve">Dusun Sawo, RT/RW 008/002, Sawo, Jetis, Mojokerto</t>
  </si>
  <si>
    <t xml:space="preserve">WAHYU NUR HIDAYAT</t>
  </si>
  <si>
    <t xml:space="preserve">3516160109060002</t>
  </si>
  <si>
    <t xml:space="preserve">WHIKI DARMAWAN</t>
  </si>
  <si>
    <t xml:space="preserve">3516160702980001</t>
  </si>
  <si>
    <t xml:space="preserve">Sawo, RT/RW 005/001, Sawo, Jetis, Mojokerto</t>
  </si>
  <si>
    <t xml:space="preserve">MOCH. AGUNG SETIAWAN</t>
  </si>
  <si>
    <t xml:space="preserve">0001538290809</t>
  </si>
  <si>
    <t xml:space="preserve">3505022108940002</t>
  </si>
  <si>
    <t xml:space="preserve">Dsn. Slemanan, RT/RW 003/002, Slemanan, Udanawu, Blitar</t>
  </si>
  <si>
    <t xml:space="preserve">NUR AHMAD WAHINDYA PUTRA</t>
  </si>
  <si>
    <t xml:space="preserve">29056805825</t>
  </si>
  <si>
    <t xml:space="preserve">0000788040224</t>
  </si>
  <si>
    <t xml:space="preserve">3578142112970004</t>
  </si>
  <si>
    <t xml:space="preserve">Pelem Watu Gang I No. 11 Kav, RT/RW 001/001, Pelemwatu, Menganti, Gresik</t>
  </si>
  <si>
    <t xml:space="preserve">AZMI AZURA</t>
  </si>
  <si>
    <t xml:space="preserve">23060518215</t>
  </si>
  <si>
    <t xml:space="preserve">0002271436762</t>
  </si>
  <si>
    <t xml:space="preserve">1274032605850002</t>
  </si>
  <si>
    <t xml:space="preserve">Tanjungbalai</t>
  </si>
  <si>
    <t xml:space="preserve">Jl. Sunan Giri No. 112, RT/RW 010/003, Giri, Kebomas, Gresik</t>
  </si>
  <si>
    <t xml:space="preserve">GUNAWAN</t>
  </si>
  <si>
    <t xml:space="preserve">26038032667</t>
  </si>
  <si>
    <t xml:space="preserve">0001651775567</t>
  </si>
  <si>
    <t xml:space="preserve">3519122205900001</t>
  </si>
  <si>
    <t xml:space="preserve">Racikulon, RT/RW 001/001, Racikulon, Sidayu, Gresik</t>
  </si>
  <si>
    <t xml:space="preserve">AGUNG SETIA BUDIAWAN</t>
  </si>
  <si>
    <t xml:space="preserve">0001645615833</t>
  </si>
  <si>
    <t xml:space="preserve">3516062411930001</t>
  </si>
  <si>
    <t xml:space="preserve">Dsn Manukan, RT/RW 001/006, Balongmasin, Pungging, Mojokerto</t>
  </si>
  <si>
    <t xml:space="preserve">HYUNUS NANDA PRASTYA</t>
  </si>
  <si>
    <t xml:space="preserve">0001535214159</t>
  </si>
  <si>
    <t xml:space="preserve">3519111902910002</t>
  </si>
  <si>
    <t xml:space="preserve">Dusun Gondang Kaliabu, RT/RW 001/001, Kaliabu, Mejayan, Madiun</t>
  </si>
  <si>
    <t xml:space="preserve">ARIES SETYAWAN</t>
  </si>
  <si>
    <t xml:space="preserve">0001743430937</t>
  </si>
  <si>
    <t xml:space="preserve">3514081104940002</t>
  </si>
  <si>
    <t xml:space="preserve">Dsn Beji Ledok, RT/RW 001/003, Sumbersuko, Purwosari, Pasuruan</t>
  </si>
  <si>
    <t xml:space="preserve">MOCH. FACHRIS AFRIZAL</t>
  </si>
  <si>
    <t xml:space="preserve">0001161345543</t>
  </si>
  <si>
    <t xml:space="preserve">3514012611970004</t>
  </si>
  <si>
    <t xml:space="preserve">Jl. Nakula IV/16, RT/RW 003/006, Polehan, Blimbing, Malang</t>
  </si>
  <si>
    <t xml:space="preserve">ANDIKA WAHYU PUTRA PRATAMA</t>
  </si>
  <si>
    <t xml:space="preserve">0001371209038</t>
  </si>
  <si>
    <t xml:space="preserve">3516133010950001</t>
  </si>
  <si>
    <t xml:space="preserve">Kedungkudi, RT/RW 003/005, Kedunggempol, Mojosari, Mojokerto</t>
  </si>
  <si>
    <t xml:space="preserve">ANDRI DWI HARIANTO</t>
  </si>
  <si>
    <t xml:space="preserve">3516182412920006</t>
  </si>
  <si>
    <t xml:space="preserve">Dsn. Kepuhanyar, RT/RW 001/001, Kepuhanyar, Mojoanyar, Mojokerto</t>
  </si>
  <si>
    <t xml:space="preserve">HALILI</t>
  </si>
  <si>
    <t xml:space="preserve">0000777033213</t>
  </si>
  <si>
    <t xml:space="preserve">3528101903950001</t>
  </si>
  <si>
    <t xml:space="preserve">Dsn. Klerker, RT/RW 000/000, Bajur, Waru, Pamekasan</t>
  </si>
  <si>
    <t xml:space="preserve">REZA DWIKY SEPTANU</t>
  </si>
  <si>
    <t xml:space="preserve">0002063803083</t>
  </si>
  <si>
    <t xml:space="preserve">3525061009000002</t>
  </si>
  <si>
    <t xml:space="preserve">Bureng Lor, RT/RW 004/002, Sumberwaru, Wringinanom, Gresik</t>
  </si>
  <si>
    <t xml:space="preserve">GALUH CITRA PRAPDHITA</t>
  </si>
  <si>
    <t xml:space="preserve">20000949480</t>
  </si>
  <si>
    <t xml:space="preserve">0001445938604</t>
  </si>
  <si>
    <t xml:space="preserve">3515025205980003</t>
  </si>
  <si>
    <t xml:space="preserve">Watutulis Selatan, RT/RW 002/001, Watutulis, Prambon, Sidoarjo</t>
  </si>
  <si>
    <t xml:space="preserve">BACHRUL NUR AFAN</t>
  </si>
  <si>
    <t xml:space="preserve">3516161210010002</t>
  </si>
  <si>
    <t xml:space="preserve">Jerukmacan, RT/RW 015/003, Sawo, Jetis, Mojokerto</t>
  </si>
  <si>
    <t xml:space="preserve">M. AMIRUDDIN</t>
  </si>
  <si>
    <t xml:space="preserve">0001540205482</t>
  </si>
  <si>
    <t xml:space="preserve">3525150211960001</t>
  </si>
  <si>
    <t xml:space="preserve">Bunut, RT/RW 002/007, Randegansari, Driyorejo, Gresik</t>
  </si>
  <si>
    <t xml:space="preserve">MAULIDATUS SOLICHAH</t>
  </si>
  <si>
    <t xml:space="preserve">29014180630</t>
  </si>
  <si>
    <t xml:space="preserve">Operator Mixing</t>
  </si>
  <si>
    <t xml:space="preserve">3515104706000003</t>
  </si>
  <si>
    <t xml:space="preserve">Lambangan, RT/RW 007/002, Lambangan, Wonoayu, Sidoarjo</t>
  </si>
  <si>
    <t xml:space="preserve">UMI SAIFUL UMMAH</t>
  </si>
  <si>
    <t xml:space="preserve">24014521098</t>
  </si>
  <si>
    <t xml:space="preserve">0000724311066</t>
  </si>
  <si>
    <t xml:space="preserve">3516104902980002</t>
  </si>
  <si>
    <t xml:space="preserve">Mejoyo, RT/RW 010/001, Mejoyo, Bangsal, Mojokerto</t>
  </si>
  <si>
    <t xml:space="preserve">AMIRUL MUKMININ</t>
  </si>
  <si>
    <t xml:space="preserve">0000725927589</t>
  </si>
  <si>
    <t xml:space="preserve">3516180408050001</t>
  </si>
  <si>
    <t xml:space="preserve">Dsn Janti, RT/RW 003/002, Wunut, Mojoanyar, Mojokerto</t>
  </si>
  <si>
    <t xml:space="preserve">MUHAMMAD RIZAL FARDIANSYAH</t>
  </si>
  <si>
    <t xml:space="preserve">0000724921435</t>
  </si>
  <si>
    <t xml:space="preserve">3516050801030002</t>
  </si>
  <si>
    <t xml:space="preserve">Ngoro, RT/RW 007/001, Ngoro, Ngoro, Mojokerto</t>
  </si>
  <si>
    <t xml:space="preserve">ADINDA FITRIANI</t>
  </si>
  <si>
    <t xml:space="preserve">24017982718</t>
  </si>
  <si>
    <t xml:space="preserve">0003630085481</t>
  </si>
  <si>
    <t xml:space="preserve">HR Project Specialist</t>
  </si>
  <si>
    <t xml:space="preserve">3508216212010002</t>
  </si>
  <si>
    <t xml:space="preserve">Dusun Krajang Barat, RT/RW 029/005, Labruk Kidul, Sumbersuko, Lumajang</t>
  </si>
  <si>
    <t xml:space="preserve">AHMAD MUZAKKI ABDUR ROZAQ</t>
  </si>
  <si>
    <t xml:space="preserve">3516152403050001</t>
  </si>
  <si>
    <t xml:space="preserve">Sambigede, RT/RW 002/001, Mojokumpul, Kemlagi, Mojokerto</t>
  </si>
  <si>
    <t xml:space="preserve">HOKI KRISIDYANTO</t>
  </si>
  <si>
    <t xml:space="preserve">3516162203050001</t>
  </si>
  <si>
    <t xml:space="preserve">Dsn Sawo, RT/RW 006/002, Sawo, Jetis, Mojokerto</t>
  </si>
  <si>
    <t xml:space="preserve">MOCHAMMAD RYAN AFANDI</t>
  </si>
  <si>
    <t xml:space="preserve">22046944318</t>
  </si>
  <si>
    <t xml:space="preserve">3516161411050001</t>
  </si>
  <si>
    <t xml:space="preserve">Dsn Putat, RT/RW 005/005, Mojorejo, Jetis, Mojokerto</t>
  </si>
  <si>
    <t xml:space="preserve">FITRIANA</t>
  </si>
  <si>
    <t xml:space="preserve">6112094701010010</t>
  </si>
  <si>
    <t xml:space="preserve">Kuala Dua</t>
  </si>
  <si>
    <t xml:space="preserve">Jl. Simpang Banjar, RT/RW 001/005, Sungai Rengas, Sungai Kakap, Kubu Raya</t>
  </si>
  <si>
    <t xml:space="preserve">RINDHU AMELLIA</t>
  </si>
  <si>
    <t xml:space="preserve">24079936385</t>
  </si>
  <si>
    <t xml:space="preserve">0001489043722</t>
  </si>
  <si>
    <t xml:space="preserve">1271025605040001</t>
  </si>
  <si>
    <t xml:space="preserve">Jl. Kasuari Gg Pribadi No 6 A, RT/RW 001/010, Sei Sikambing B, Medan Sunggal, Medan</t>
  </si>
  <si>
    <t xml:space="preserve">25056613906</t>
  </si>
  <si>
    <t xml:space="preserve">7322034101930001</t>
  </si>
  <si>
    <t xml:space="preserve">Pandak</t>
  </si>
  <si>
    <t xml:space="preserve">Dodolo, Dodolo, Rampi, Kab. Luwu Utara</t>
  </si>
  <si>
    <t xml:space="preserve">FITROH NUR AINI</t>
  </si>
  <si>
    <t xml:space="preserve">0002478989564</t>
  </si>
  <si>
    <t xml:space="preserve">1872017006860011</t>
  </si>
  <si>
    <t xml:space="preserve">Segala Mider</t>
  </si>
  <si>
    <t xml:space="preserve">Jl. Sumbawa Perum Golden Villa Blok I 24, RT/RW 046/010, Ganjar Asri, Metro Barat, Metro</t>
  </si>
  <si>
    <t xml:space="preserve">LINA ILIS SYARIFATUS SADIYA</t>
  </si>
  <si>
    <t xml:space="preserve">0001825206748</t>
  </si>
  <si>
    <t xml:space="preserve">3578174305020002</t>
  </si>
  <si>
    <t xml:space="preserve">Ds. Entalsewu, RT/RW 011/003, Entalsewu, Buduran, Sidorajo</t>
  </si>
  <si>
    <t xml:space="preserve">ARDHAN AJI PAMUNGKAS</t>
  </si>
  <si>
    <t xml:space="preserve">0002803149178</t>
  </si>
  <si>
    <t xml:space="preserve">3504161803000001</t>
  </si>
  <si>
    <t xml:space="preserve">Dsn. Krajan, RT/RW 008/002, Ngentrong, Campuradarat, Tulungaggung</t>
  </si>
  <si>
    <t xml:space="preserve">WASITO</t>
  </si>
  <si>
    <t xml:space="preserve">0001238111831</t>
  </si>
  <si>
    <t xml:space="preserve">3515070805810002</t>
  </si>
  <si>
    <t xml:space="preserve">Sugihwaras, RT/RW 012/003, Sugihwaras, Candi, Sidoarjo</t>
  </si>
  <si>
    <t xml:space="preserve">ACHMAD RAIS PRASETIO</t>
  </si>
  <si>
    <t xml:space="preserve">27084977403</t>
  </si>
  <si>
    <t xml:space="preserve">0001161810573</t>
  </si>
  <si>
    <t xml:space="preserve">3515170912950001</t>
  </si>
  <si>
    <t xml:space="preserve">Pranti, RT/RW 006/003, Pranti, Sedati, Sidoarjo</t>
  </si>
  <si>
    <t xml:space="preserve">ARY SHIRFANI</t>
  </si>
  <si>
    <t xml:space="preserve">0000756916727</t>
  </si>
  <si>
    <t xml:space="preserve">3524251609910001</t>
  </si>
  <si>
    <t xml:space="preserve">Gedong, RT/RW 003/002, Sidobinangun, Deket, Lamongan</t>
  </si>
  <si>
    <t xml:space="preserve">AKROMUL HIDAYAT</t>
  </si>
  <si>
    <t xml:space="preserve">PT KARYA GAGAS MULIA</t>
  </si>
  <si>
    <t xml:space="preserve">25033886960</t>
  </si>
  <si>
    <t xml:space="preserve">0001047642388</t>
  </si>
  <si>
    <t xml:space="preserve">Kab. Bangkalan</t>
  </si>
  <si>
    <t xml:space="preserve">3526111702010003</t>
  </si>
  <si>
    <t xml:space="preserve">Dsn. Masjid, RT/RW 003/005, Tebul, Kwanyar, Bangkalan</t>
  </si>
  <si>
    <t xml:space="preserve">ACH. QUSAIRI</t>
  </si>
  <si>
    <t xml:space="preserve">0003176981785</t>
  </si>
  <si>
    <t xml:space="preserve">3526022912950001</t>
  </si>
  <si>
    <t xml:space="preserve">Dsn. Jaddih Timur II, RT/RW 000/000, Jaddih, Socah, Bangkalan</t>
  </si>
  <si>
    <t xml:space="preserve">MUHAMMAD RAFI'I</t>
  </si>
  <si>
    <t xml:space="preserve">0003756897279</t>
  </si>
  <si>
    <t xml:space="preserve">3509300612970002</t>
  </si>
  <si>
    <t xml:space="preserve">Jl. KH. Zainal Alim No. 111, RT/RW 004/005, Kemayoran, Bangkalan, Bangkalan</t>
  </si>
  <si>
    <t xml:space="preserve">CHAIRUL ANWAR</t>
  </si>
  <si>
    <t xml:space="preserve">0003756894895</t>
  </si>
  <si>
    <t xml:space="preserve">3526090702920004</t>
  </si>
  <si>
    <t xml:space="preserve">Jl. KH. Hasyim Asyari No. 25, RT/RW 03/004, Demangan, Bangkalan, Bangkalan</t>
  </si>
  <si>
    <t xml:space="preserve">PIPI YUDIANA</t>
  </si>
  <si>
    <t xml:space="preserve">25023585744</t>
  </si>
  <si>
    <t xml:space="preserve">0000953781761</t>
  </si>
  <si>
    <t xml:space="preserve">7471086505990001</t>
  </si>
  <si>
    <t xml:space="preserve">Jl. Balai Kota III No.06, RT/RW 003/002, Pondambea, Kadia, Kendari</t>
  </si>
  <si>
    <t xml:space="preserve">GESSY GASELA</t>
  </si>
  <si>
    <t xml:space="preserve">6206026806010003</t>
  </si>
  <si>
    <t xml:space="preserve">Jl. Letjen Jamin Ginting LK. III, RT/RW 000/000, Rambung Dalam, Binjai Selatan, Binjai</t>
  </si>
  <si>
    <t xml:space="preserve">DIMAS ANANDA DWI ANTORO</t>
  </si>
  <si>
    <t xml:space="preserve">23040028195</t>
  </si>
  <si>
    <t xml:space="preserve">Drafter</t>
  </si>
  <si>
    <t xml:space="preserve">3517101502030004</t>
  </si>
  <si>
    <t xml:space="preserve">Peterongan RT 19/ RW 02 Peterongan Jombang</t>
  </si>
  <si>
    <t xml:space="preserve">AGNES FARADIES DELFIFANI</t>
  </si>
  <si>
    <t xml:space="preserve">0000725804357</t>
  </si>
  <si>
    <t xml:space="preserve">3516086101000007</t>
  </si>
  <si>
    <t xml:space="preserve">Dsn. Candirejo Baru, RT/RW.014/002,Awang-awang, Mojosari, Mojokerto</t>
  </si>
  <si>
    <t xml:space="preserve">DARMA HADI WIJAYA</t>
  </si>
  <si>
    <t xml:space="preserve">3516162505020001</t>
  </si>
  <si>
    <t xml:space="preserve">AHMAD REGA FANANI</t>
  </si>
  <si>
    <t xml:space="preserve">3516152606030003</t>
  </si>
  <si>
    <t xml:space="preserve">Jatikumpul, RT/RW 001/003, Mojokumlpul, Kemlagi, Mojokerto</t>
  </si>
  <si>
    <t xml:space="preserve">BUDI CAHYONO</t>
  </si>
  <si>
    <t xml:space="preserve">0001896629218</t>
  </si>
  <si>
    <t xml:space="preserve">3515161902860001</t>
  </si>
  <si>
    <t xml:space="preserve">Sidopurno, RT/RW 010/002, Sidokepung, Buduran, Sidoarjo</t>
  </si>
  <si>
    <t xml:space="preserve">ZAIDA AFIDA</t>
  </si>
  <si>
    <t xml:space="preserve">0001786027162</t>
  </si>
  <si>
    <t xml:space="preserve">3516056509010003</t>
  </si>
  <si>
    <t xml:space="preserve">Dsn. Jedong Wetan, RT/RW 020/002, Wotanmas Jedong, Ngoro, Mojokerto</t>
  </si>
  <si>
    <t xml:space="preserve">DESI MAYA SARI</t>
  </si>
  <si>
    <t xml:space="preserve">0002467962922</t>
  </si>
  <si>
    <t xml:space="preserve">3516026505990001</t>
  </si>
  <si>
    <t xml:space="preserve">Dusun Lkego, RT/RW 001/007, Gentong, Gondang, Mojokerto</t>
  </si>
  <si>
    <t xml:space="preserve">ERICA TRI SUSILORINI</t>
  </si>
  <si>
    <t xml:space="preserve">0002161035099</t>
  </si>
  <si>
    <t xml:space="preserve">3516105711990001</t>
  </si>
  <si>
    <t xml:space="preserve">Tinggar, RT/RW 001/002, Tinggarbuntut, Bangsal, Mojokerto</t>
  </si>
  <si>
    <t xml:space="preserve">MUCHAMMAD FARIZ</t>
  </si>
  <si>
    <t xml:space="preserve">0002066496985</t>
  </si>
  <si>
    <t xml:space="preserve">3514142210970003</t>
  </si>
  <si>
    <t xml:space="preserve">Kersikan IV/78, RT/RW 002/001, Kersikan, Bangil, Pasuruan</t>
  </si>
  <si>
    <t xml:space="preserve">MUHAMMAD FAISAL</t>
  </si>
  <si>
    <t xml:space="preserve">0002158576457</t>
  </si>
  <si>
    <t xml:space="preserve">3578160612980007</t>
  </si>
  <si>
    <t xml:space="preserve">Jatipurwo 5/39, RT/RW 005/013, Ujung, Semampir, Surabaya</t>
  </si>
  <si>
    <t xml:space="preserve">MOHAMMAD SHOHIB</t>
  </si>
  <si>
    <t xml:space="preserve">3515021401960005</t>
  </si>
  <si>
    <t xml:space="preserve">DK Karang Ploso, RT/RW 001/002, Bangkingan, Lakarsantri, Surabaya</t>
  </si>
  <si>
    <t xml:space="preserve">MOCHAMMAD DIMAS PRASETYO</t>
  </si>
  <si>
    <t xml:space="preserve">3516042807050001</t>
  </si>
  <si>
    <t xml:space="preserve">Dsn. Biting RT004 RW002 Ds. Seloliman, Kec. Trawas</t>
  </si>
  <si>
    <t xml:space="preserve">PUJIANTO</t>
  </si>
  <si>
    <t xml:space="preserve">0003109805932</t>
  </si>
  <si>
    <t xml:space="preserve">3316131602950001</t>
  </si>
  <si>
    <t xml:space="preserve">Desa Blumbangrejo, RT/RW 002/002, Blumbangrejo, Kunduran, Blora</t>
  </si>
  <si>
    <t xml:space="preserve">FAIZ AGUNG FARDAN FIRDAUS</t>
  </si>
  <si>
    <t xml:space="preserve">0001162741781</t>
  </si>
  <si>
    <t xml:space="preserve">3517110603010001</t>
  </si>
  <si>
    <t xml:space="preserve">Subang</t>
  </si>
  <si>
    <t xml:space="preserve">Dusun Putat, RT/RW 005/014, Ngerong, Gempol, Pasuruan</t>
  </si>
  <si>
    <t xml:space="preserve">ALIFIO MUHAMMAD</t>
  </si>
  <si>
    <t xml:space="preserve">0001261740161</t>
  </si>
  <si>
    <t xml:space="preserve">3201010508020001</t>
  </si>
  <si>
    <t xml:space="preserve">Jalan Raya Semanding GG Delima, RT/RW 001/001, Sumbersekar, Dau, Kab. Malang</t>
  </si>
  <si>
    <t xml:space="preserve">SHAFIRA ISNAINI RIZQI NOVIANTI</t>
  </si>
  <si>
    <t xml:space="preserve">0001805606739</t>
  </si>
  <si>
    <t xml:space="preserve">Staff Administrasi</t>
  </si>
  <si>
    <t xml:space="preserve">3515075611000005</t>
  </si>
  <si>
    <t xml:space="preserve">Bumi Candi Asri C2/31, RT/RW 004/004, Ngampelsari, Candi, Kab. Sidoarjo</t>
  </si>
  <si>
    <t xml:space="preserve">ZAKIYYATIL FAKHIROH</t>
  </si>
  <si>
    <t xml:space="preserve">0001870963784</t>
  </si>
  <si>
    <t xml:space="preserve">3516064603970002</t>
  </si>
  <si>
    <t xml:space="preserve">Dusun Kamotan Kulon, RT/RW 002/001, Randuharjo, Pungging, Kab. Mojokerto</t>
  </si>
  <si>
    <t xml:space="preserve">H. REONALDI PRAYOGI</t>
  </si>
  <si>
    <t xml:space="preserve">0003097626478</t>
  </si>
  <si>
    <t xml:space="preserve">Baturaja</t>
  </si>
  <si>
    <t xml:space="preserve">1601142502970002</t>
  </si>
  <si>
    <t xml:space="preserve">Batu raja</t>
  </si>
  <si>
    <t xml:space="preserve">Jl. Jend. A. Yani Kp. Sawo, RT/RW 006/02, Kemalaraja, Baturaja Timur, Ogan Komering Ulu</t>
  </si>
  <si>
    <t xml:space="preserve">HAIRUM INTAN</t>
  </si>
  <si>
    <t xml:space="preserve">27008675183</t>
  </si>
  <si>
    <t xml:space="preserve">1206014311000003</t>
  </si>
  <si>
    <t xml:space="preserve">Kabanjahe</t>
  </si>
  <si>
    <t xml:space="preserve">Gg. Dame, RT/RW 000/000, Samura, Kabanjahe, Kab. Karo</t>
  </si>
  <si>
    <t xml:space="preserve">AGUS NURYANTO</t>
  </si>
  <si>
    <t xml:space="preserve">0000742380658</t>
  </si>
  <si>
    <t xml:space="preserve">3521182707950001</t>
  </si>
  <si>
    <t xml:space="preserve">Pencol 2, RT/RW 007/004, Randusongo, Gerih, Ngawi</t>
  </si>
  <si>
    <t xml:space="preserve">DAFIT PRIANAM</t>
  </si>
  <si>
    <t xml:space="preserve">PT SUMBER KOPI PRIMA (MANOL)</t>
  </si>
  <si>
    <t xml:space="preserve">TKBM</t>
  </si>
  <si>
    <t xml:space="preserve">3516160308860001</t>
  </si>
  <si>
    <t xml:space="preserve">Dusun Gamping, RT/RW 001/001, Mojorejo, Jetis, Mojokerto</t>
  </si>
  <si>
    <t xml:space="preserve">HASAN</t>
  </si>
  <si>
    <t xml:space="preserve">3526171405880001</t>
  </si>
  <si>
    <t xml:space="preserve">Dsn. Tormas, Bandung, Konang, Bangkalan</t>
  </si>
  <si>
    <t xml:space="preserve">RUDI</t>
  </si>
  <si>
    <t xml:space="preserve">3527050107962798</t>
  </si>
  <si>
    <t xml:space="preserve">Dsn. Dapan, RT/RW 000/000, Rongdalem, Omben, Sampang</t>
  </si>
  <si>
    <t xml:space="preserve">A. SAKUR</t>
  </si>
  <si>
    <t xml:space="preserve">3526172602900001</t>
  </si>
  <si>
    <t xml:space="preserve">Dsn. Buttengah, RT/RW 000/000, Rohayu, Kedungdung, Sampang</t>
  </si>
  <si>
    <t xml:space="preserve">MUSLEH</t>
  </si>
  <si>
    <t xml:space="preserve">3526110107860359</t>
  </si>
  <si>
    <t xml:space="preserve">Kmp. Morombuh Utara, RT/RW 003/003, Morombuh, Kwanyar, Bangkalan</t>
  </si>
  <si>
    <t xml:space="preserve">ABD. ADIM</t>
  </si>
  <si>
    <t xml:space="preserve">3527050209940006</t>
  </si>
  <si>
    <t xml:space="preserve">TITIK PURWANTI</t>
  </si>
  <si>
    <t xml:space="preserve">22065523994</t>
  </si>
  <si>
    <t xml:space="preserve">0000738760217</t>
  </si>
  <si>
    <t xml:space="preserve">Admin Marketing</t>
  </si>
  <si>
    <t xml:space="preserve">3519155604980003</t>
  </si>
  <si>
    <t xml:space="preserve">Desajatirejo, RT/RW 008/002, Jatirejo, Wonoasri, Madiun</t>
  </si>
  <si>
    <t xml:space="preserve">FAHRIZAL ARDIANSYAH PUTRA</t>
  </si>
  <si>
    <t xml:space="preserve">0002324290724</t>
  </si>
  <si>
    <t xml:space="preserve">3525042303010003</t>
  </si>
  <si>
    <t xml:space="preserve">Delik Kulon, RT/RW 014/005, Deliksumber, Benjeng, Gresik</t>
  </si>
  <si>
    <t xml:space="preserve">MOCHAMMAD GHOZALLI MARTALES</t>
  </si>
  <si>
    <t xml:space="preserve">0001733091489</t>
  </si>
  <si>
    <t xml:space="preserve">3578060203940004</t>
  </si>
  <si>
    <t xml:space="preserve">Dusun Karangjati, RT/RW 001/001, Karangpakis, Kabuh, Jombang</t>
  </si>
  <si>
    <t xml:space="preserve">BAYU SURYA SAPUTRA</t>
  </si>
  <si>
    <t xml:space="preserve">0001050129426</t>
  </si>
  <si>
    <t xml:space="preserve">3578170706010001</t>
  </si>
  <si>
    <t xml:space="preserve">Tambak Wedi Baru 18-B Selatan No.4, RT/RW 011/004, Tambak Wedi, Kenjeran, Surabaya</t>
  </si>
  <si>
    <t xml:space="preserve">BALKIS FIRDAUSY</t>
  </si>
  <si>
    <t xml:space="preserve">0000110416735</t>
  </si>
  <si>
    <t xml:space="preserve">3507014306000003</t>
  </si>
  <si>
    <t xml:space="preserve">Kalipakem, RT/RW 001/001, Donomulyo, Malang</t>
  </si>
  <si>
    <t xml:space="preserve">YOSI MARCHELA APRILIA</t>
  </si>
  <si>
    <t xml:space="preserve">0002905887396</t>
  </si>
  <si>
    <t xml:space="preserve">3515066604020003</t>
  </si>
  <si>
    <t xml:space="preserve">Perumtas III Blok J-6/4, RT/RW 066/010, Grabagan,Tulangan, Sidoarjo</t>
  </si>
  <si>
    <t xml:space="preserve">YANA HANIFA BRILLIANTI</t>
  </si>
  <si>
    <t xml:space="preserve">0001883361453</t>
  </si>
  <si>
    <t xml:space="preserve">3573035501030004</t>
  </si>
  <si>
    <t xml:space="preserve">JL. Danau Ranau I G2C No.13, RT/RW 003/005, Sawojajar, Kedungkandang, Malang</t>
  </si>
  <si>
    <t xml:space="preserve">SON HAJI</t>
  </si>
  <si>
    <t xml:space="preserve">0002682488046</t>
  </si>
  <si>
    <t xml:space="preserve">3574010803020002</t>
  </si>
  <si>
    <t xml:space="preserve">JL. Wilis 181, RT/RW 005/002, Ketapang, Kademangan, Probolinggo</t>
  </si>
  <si>
    <t xml:space="preserve">RISA NURHAIDA</t>
  </si>
  <si>
    <t xml:space="preserve">0000726100209</t>
  </si>
  <si>
    <t xml:space="preserve">3516096209030001</t>
  </si>
  <si>
    <t xml:space="preserve">Dsn. Kalen, RT/RW 009/002, Kalen, Dlanggu, Mojokerto</t>
  </si>
  <si>
    <t xml:space="preserve">AH. SYAHRIZAL SYARIF HIDAYATULLAH</t>
  </si>
  <si>
    <t xml:space="preserve">0001280549957</t>
  </si>
  <si>
    <t xml:space="preserve">3524202402980002</t>
  </si>
  <si>
    <t xml:space="preserve">Pucangro, RT/RW 002/003, Pucangro, Kalitengah, Lamongan</t>
  </si>
  <si>
    <t xml:space="preserve">MOCH. ZAINY ARDIANSYAH</t>
  </si>
  <si>
    <t xml:space="preserve">0000756156868</t>
  </si>
  <si>
    <t xml:space="preserve">3524192008000001</t>
  </si>
  <si>
    <t xml:space="preserve">Puter, RT/RW 004/002, Puter, Kembangbahu, Lamongan</t>
  </si>
  <si>
    <t xml:space="preserve">RUDIANTO</t>
  </si>
  <si>
    <t xml:space="preserve">0002161138779</t>
  </si>
  <si>
    <t xml:space="preserve">3506152411890001</t>
  </si>
  <si>
    <t xml:space="preserve">Dsn. Kedungdowo, RT/RW 002/008, Pandansari, Purwoasri, Kediri</t>
  </si>
  <si>
    <t xml:space="preserve">HABY ROMA DONY</t>
  </si>
  <si>
    <t xml:space="preserve">0002730855183</t>
  </si>
  <si>
    <t xml:space="preserve">3510052911000004</t>
  </si>
  <si>
    <t xml:space="preserve">Mastrip 100, RT/RW 004/003, Karangpilang, Surabaya</t>
  </si>
  <si>
    <t xml:space="preserve">AHMAD SYAFI'I</t>
  </si>
  <si>
    <t xml:space="preserve">28017426106</t>
  </si>
  <si>
    <t xml:space="preserve">0003267435284</t>
  </si>
  <si>
    <t xml:space="preserve">3525162412840001</t>
  </si>
  <si>
    <t xml:space="preserve">Perum Brai Blok AL. 18/15, RT/RW 006/009, Randuagung, Kebomas, Gresik</t>
  </si>
  <si>
    <t xml:space="preserve">BARI TAURUS</t>
  </si>
  <si>
    <t xml:space="preserve">0001043516733</t>
  </si>
  <si>
    <t xml:space="preserve">3515130505850001</t>
  </si>
  <si>
    <t xml:space="preserve">JL. Langsep I, RT/RW 013/003, Geluran, Taman, Sidoarjo</t>
  </si>
  <si>
    <t xml:space="preserve">OLRON HADI SYAIFUDIN</t>
  </si>
  <si>
    <t xml:space="preserve">0000762461831</t>
  </si>
  <si>
    <t xml:space="preserve">3525112809950023</t>
  </si>
  <si>
    <t xml:space="preserve">Cerme Lor, RT/RW 001/001, Cerme Lor, Cerme</t>
  </si>
  <si>
    <t xml:space="preserve">YUDHA ARDIANSYAH</t>
  </si>
  <si>
    <t xml:space="preserve">0001197162347</t>
  </si>
  <si>
    <t xml:space="preserve">3517042005940002</t>
  </si>
  <si>
    <t xml:space="preserve">Dsn. Mojounggul, RT/RW 003/002, Ds. Bareng, Kec. Bareng</t>
  </si>
  <si>
    <t xml:space="preserve">MUSLIMIN</t>
  </si>
  <si>
    <t xml:space="preserve">0003276534532</t>
  </si>
  <si>
    <t xml:space="preserve">3525042301930001</t>
  </si>
  <si>
    <t xml:space="preserve">Dusun Gempol, RT/RW 003/002, Gempolkurung, Menganti</t>
  </si>
  <si>
    <t xml:space="preserve">FEBRI ANDI PRASETYO</t>
  </si>
  <si>
    <t xml:space="preserve">0000674070085</t>
  </si>
  <si>
    <t xml:space="preserve">3506060602990002</t>
  </si>
  <si>
    <t xml:space="preserve">Dsn. Ngijo, RT/RW 036/009, Sumberagung, Wates, Kediri</t>
  </si>
  <si>
    <t xml:space="preserve">NURUL FITRI</t>
  </si>
  <si>
    <t xml:space="preserve">0002266572688</t>
  </si>
  <si>
    <t xml:space="preserve">7316105011990002</t>
  </si>
  <si>
    <t xml:space="preserve">Liangbai</t>
  </si>
  <si>
    <t xml:space="preserve">Liang Bai, RT/RW 000/000, Eran Batu, Buntu Batu, Enrekang</t>
  </si>
  <si>
    <t xml:space="preserve">HAMINA DIVANIA</t>
  </si>
  <si>
    <t xml:space="preserve">6371015011020013</t>
  </si>
  <si>
    <t xml:space="preserve">Jl. Kelayan Besar II, RT/RW 009/001, Tanjung Pagar, Banjarmasin Selatan, Banjarmasin</t>
  </si>
  <si>
    <t xml:space="preserve">TRI WAHYU KHOIRUNNISA</t>
  </si>
  <si>
    <t xml:space="preserve">0001065279126</t>
  </si>
  <si>
    <t xml:space="preserve">Palangkaraya</t>
  </si>
  <si>
    <t xml:space="preserve">6271035109050004</t>
  </si>
  <si>
    <t xml:space="preserve">Palangka Raya</t>
  </si>
  <si>
    <t xml:space="preserve">JL. Cilik Riwut KM. 2,5 GG. Pahlawan, RT/RW 003/019, Palangka, Jekan Raya, Palangka Raya</t>
  </si>
  <si>
    <t xml:space="preserve">MOHAMAD JAINUDIN</t>
  </si>
  <si>
    <t xml:space="preserve">28091769264</t>
  </si>
  <si>
    <t xml:space="preserve">3516052711660001</t>
  </si>
  <si>
    <t xml:space="preserve">Dsn. Jetak, RT/RW 007/005, Ngoro</t>
  </si>
  <si>
    <t xml:space="preserve">MARETHA CLAUNISA PUTRI HANDAYANI</t>
  </si>
  <si>
    <t xml:space="preserve">PT KOSMETIKA CANTIK INDONESIA (HOST LIVE)</t>
  </si>
  <si>
    <t xml:space="preserve">0003010440025</t>
  </si>
  <si>
    <t xml:space="preserve">Host Live</t>
  </si>
  <si>
    <t xml:space="preserve">3573014805060010</t>
  </si>
  <si>
    <t xml:space="preserve">JL. L.A. Sucipto 17-A/47, RT/RW 003/001, Blimbing, Malang</t>
  </si>
  <si>
    <t xml:space="preserve">ILMA NOR ROHMATULLOH</t>
  </si>
  <si>
    <t xml:space="preserve">29091677454</t>
  </si>
  <si>
    <t xml:space="preserve">0002725560639</t>
  </si>
  <si>
    <t xml:space="preserve">3522131206060005</t>
  </si>
  <si>
    <t xml:space="preserve">Dusun Banaran, RT/RW 006/002, Bulu, Balen, Bojonegoro</t>
  </si>
  <si>
    <t xml:space="preserve">ADE CANDRA ARDIANSYAH</t>
  </si>
  <si>
    <t xml:space="preserve">25068896507</t>
  </si>
  <si>
    <t xml:space="preserve">0002905248194</t>
  </si>
  <si>
    <t xml:space="preserve">3215031207990003</t>
  </si>
  <si>
    <t xml:space="preserve">Perumahan Samudra Residence Blok 09, RT/RW 007/008, Brondong, Lamongan</t>
  </si>
  <si>
    <t xml:space="preserve">LAILY FAZRIYAH</t>
  </si>
  <si>
    <t xml:space="preserve">26074284269</t>
  </si>
  <si>
    <t xml:space="preserve">0000723956512</t>
  </si>
  <si>
    <t xml:space="preserve">3515134506000003</t>
  </si>
  <si>
    <t xml:space="preserve">Ngelom, RT/RW 002/004, Ngelom, Taman, Sidoarjo</t>
  </si>
  <si>
    <t xml:space="preserve">IQZHAL NOOR QHOMAIRI</t>
  </si>
  <si>
    <t xml:space="preserve">PT SALAM PACIFIC INDONESIA LINES</t>
  </si>
  <si>
    <t xml:space="preserve">PUTUS PKS</t>
  </si>
  <si>
    <t xml:space="preserve">26093155935</t>
  </si>
  <si>
    <t xml:space="preserve">0000100679343</t>
  </si>
  <si>
    <t xml:space="preserve">Finance Administration Staff</t>
  </si>
  <si>
    <t xml:space="preserve">3578130109990002</t>
  </si>
  <si>
    <t xml:space="preserve">Griya Benowo Indah Blok E-6, RT/RW 001/013, Babat Jerawat, Pakal, Surabaya</t>
  </si>
  <si>
    <t xml:space="preserve">DINAR ALDIO ALFARIZKY</t>
  </si>
  <si>
    <t xml:space="preserve">23060004974</t>
  </si>
  <si>
    <t xml:space="preserve">0001195352054</t>
  </si>
  <si>
    <t xml:space="preserve">3578062605980005</t>
  </si>
  <si>
    <t xml:space="preserve">Pakis Wetan 5/30-A, RT/RW 008/003, Pakis, Sawahan, Surabaya</t>
  </si>
  <si>
    <t xml:space="preserve">DHIKY FERDIYANTO</t>
  </si>
  <si>
    <t xml:space="preserve">28048968866</t>
  </si>
  <si>
    <t xml:space="preserve">3516112011040004</t>
  </si>
  <si>
    <t xml:space="preserve">Sumber Gayam, RT/RW 002/009, Kenanten, Puri, Mojokerto</t>
  </si>
  <si>
    <t xml:space="preserve">R. HARIYANTO WAHYUDIONO</t>
  </si>
  <si>
    <t xml:space="preserve">3322131411830002</t>
  </si>
  <si>
    <t xml:space="preserve">Perumbumi Mulyo Permai Blok E.44, RT/RW 017/004, Candi</t>
  </si>
  <si>
    <t xml:space="preserve">AHMAD SUPRIADI</t>
  </si>
  <si>
    <t xml:space="preserve">3516050708940001</t>
  </si>
  <si>
    <t xml:space="preserve">Dsn. Purwojati, RT/RW 004/007, Ngoro</t>
  </si>
  <si>
    <t xml:space="preserve">SUNALAM</t>
  </si>
  <si>
    <t xml:space="preserve">27050957018</t>
  </si>
  <si>
    <t xml:space="preserve">3516050507830002</t>
  </si>
  <si>
    <t xml:space="preserve">Dsn. Mejerat, RT/RW 004/006, Pungging</t>
  </si>
  <si>
    <t xml:space="preserve">DEBI SUSILO</t>
  </si>
  <si>
    <t xml:space="preserve">3516081507900002</t>
  </si>
  <si>
    <t xml:space="preserve">Randubango, RT/RW 003/001, Mojosari</t>
  </si>
  <si>
    <t xml:space="preserve">LUTFI KHAFID SETYAWAN</t>
  </si>
  <si>
    <t xml:space="preserve">0001873059985</t>
  </si>
  <si>
    <t xml:space="preserve">3516062012010002</t>
  </si>
  <si>
    <t xml:space="preserve">Dsn. Sruni, RT/RW 002/001, Banjartanggul, Pungging, Mojokerto</t>
  </si>
  <si>
    <t xml:space="preserve">HANDARIA</t>
  </si>
  <si>
    <t xml:space="preserve">0001872509769</t>
  </si>
  <si>
    <t xml:space="preserve">Sengkang</t>
  </si>
  <si>
    <t xml:space="preserve">7313065901030001</t>
  </si>
  <si>
    <t xml:space="preserve">Jl. Cendana RT/RW 000/000, Lapongkoda, Tempe, Wajo</t>
  </si>
  <si>
    <t xml:space="preserve">NOERDANI HERLAMBANG</t>
  </si>
  <si>
    <t xml:space="preserve">0002161128666</t>
  </si>
  <si>
    <t xml:space="preserve">3525140307860007</t>
  </si>
  <si>
    <t xml:space="preserve">Veteran 206, RT/RW 007/001, Segoromadu, Kebomas, Gresik</t>
  </si>
  <si>
    <t xml:space="preserve">AYU RISKI PRIHATINI</t>
  </si>
  <si>
    <t xml:space="preserve">0000098617511</t>
  </si>
  <si>
    <t xml:space="preserve">3516186911950001</t>
  </si>
  <si>
    <t xml:space="preserve">Gebangmalang, RT/RW 001/001, Gebangmalang, Mojoanyar, Mojokerto, Mojokerto</t>
  </si>
  <si>
    <t xml:space="preserve">DITA RACHMALIA</t>
  </si>
  <si>
    <t xml:space="preserve">0002476431382</t>
  </si>
  <si>
    <t xml:space="preserve">3517034703970002</t>
  </si>
  <si>
    <t xml:space="preserve">Kecapangan, RT/RW 006/003, Ngoro, Ngoro, Mojokerto</t>
  </si>
  <si>
    <t xml:space="preserve">FIRDA ADYATMA SARI</t>
  </si>
  <si>
    <t xml:space="preserve">0002160439751</t>
  </si>
  <si>
    <t xml:space="preserve">3516185609990002</t>
  </si>
  <si>
    <t xml:space="preserve">Balong Cangkring, RT/RW 002/003, Jumeneng, Mojoanyar, Mojokerto</t>
  </si>
  <si>
    <t xml:space="preserve">BEDRUS SHOLEH</t>
  </si>
  <si>
    <t xml:space="preserve">0000764635151</t>
  </si>
  <si>
    <t xml:space="preserve">Helper Kernet</t>
  </si>
  <si>
    <t xml:space="preserve">3526040111030003</t>
  </si>
  <si>
    <t xml:space="preserve">Dsn. Markas, RT/RW 000/000, Gili Timur, Kamal, Bangkalan</t>
  </si>
  <si>
    <t xml:space="preserve">ANIS SETYOWATI</t>
  </si>
  <si>
    <t xml:space="preserve">0000101421088</t>
  </si>
  <si>
    <t xml:space="preserve">Sales Counter</t>
  </si>
  <si>
    <t xml:space="preserve">3578106303950004</t>
  </si>
  <si>
    <t xml:space="preserve">Rangkah 2/33-C, RT/RW 008/004, Rangkah, Tambak Sari, Surabaya</t>
  </si>
  <si>
    <t xml:space="preserve">HAAKIM KHARISMA MUHAMMAD PUTRA MUTOBI</t>
  </si>
  <si>
    <t xml:space="preserve">0000072240366</t>
  </si>
  <si>
    <t xml:space="preserve">3278040203020007</t>
  </si>
  <si>
    <t xml:space="preserve">Tasikmalaya</t>
  </si>
  <si>
    <t xml:space="preserve">Bantargedang, RT/RW 003/008, Sukamulya, Bungursari, Tasikmalaya</t>
  </si>
  <si>
    <t xml:space="preserve">MUKOFFI</t>
  </si>
  <si>
    <t xml:space="preserve">23016586892</t>
  </si>
  <si>
    <t xml:space="preserve">0003179603068</t>
  </si>
  <si>
    <t xml:space="preserve">3526031707010008</t>
  </si>
  <si>
    <t xml:space="preserve">Dsn. Naroan Barat, RT/RW 009/007, Tunjung, Burneh, Bangkalan</t>
  </si>
  <si>
    <t xml:space="preserve">MAULANA ALI QOSIM</t>
  </si>
  <si>
    <t xml:space="preserve">0002811474854</t>
  </si>
  <si>
    <t xml:space="preserve">3526012305970006</t>
  </si>
  <si>
    <t xml:space="preserve">Kmp. Bungsang, RT/RW 006/004, Mlajah, Bangkalan, Bangkalan</t>
  </si>
  <si>
    <t xml:space="preserve">AKHMAD ASRO RIFAI</t>
  </si>
  <si>
    <t xml:space="preserve">0001534821399</t>
  </si>
  <si>
    <t xml:space="preserve">3515051005920001</t>
  </si>
  <si>
    <t xml:space="preserve">Tebuseren, RT/RW 012/003, Dukuhsari, Jabon, Sidoarjo</t>
  </si>
  <si>
    <t xml:space="preserve">TAUFIK</t>
  </si>
  <si>
    <t xml:space="preserve">0001534821412</t>
  </si>
  <si>
    <t xml:space="preserve">3515100509870001</t>
  </si>
  <si>
    <t xml:space="preserve">Gedangrowo, RT/RW 003/001, Gedangrowo, Prambon, Sidoarjo</t>
  </si>
  <si>
    <t xml:space="preserve">MOCHAMMAD RESTU HIDAYAT</t>
  </si>
  <si>
    <t xml:space="preserve">0001534821489</t>
  </si>
  <si>
    <t xml:space="preserve">3515152712910002</t>
  </si>
  <si>
    <t xml:space="preserve">Jl. Sukorejo, RT/RW 004/001, Sukorejo, Buduran, Sidoarjo</t>
  </si>
  <si>
    <t xml:space="preserve">AHMADI</t>
  </si>
  <si>
    <t xml:space="preserve">0001534821636</t>
  </si>
  <si>
    <t xml:space="preserve">3515160310870001</t>
  </si>
  <si>
    <t xml:space="preserve">Sumotuwo, RT/RW 001/004, Sumorame, Candi, Sidoarjo</t>
  </si>
  <si>
    <t xml:space="preserve">ENDRA SETIAWAN</t>
  </si>
  <si>
    <t xml:space="preserve">0001534821748</t>
  </si>
  <si>
    <t xml:space="preserve">3515072812910002</t>
  </si>
  <si>
    <t xml:space="preserve">Pademonegoro, RT/RW 005/002, Pademonegoro, Sukodono, Sidoarjo</t>
  </si>
  <si>
    <t xml:space="preserve">PURWANTO</t>
  </si>
  <si>
    <t xml:space="preserve">0001534821794</t>
  </si>
  <si>
    <t xml:space="preserve">3517072606840005</t>
  </si>
  <si>
    <t xml:space="preserve">Latsari RT/RW 006/005, Mojowarno, Jombang</t>
  </si>
  <si>
    <t xml:space="preserve">PRIADI</t>
  </si>
  <si>
    <t xml:space="preserve">0001534821895</t>
  </si>
  <si>
    <t xml:space="preserve">3578202504780003</t>
  </si>
  <si>
    <t xml:space="preserve">DK. Gemol, RT/RW 008/008, Jajartunggal, Wiyung, Surabaya</t>
  </si>
  <si>
    <t xml:space="preserve">ANDI LUKMAN</t>
  </si>
  <si>
    <t xml:space="preserve">0001534821941</t>
  </si>
  <si>
    <t xml:space="preserve">3515071001860003</t>
  </si>
  <si>
    <t xml:space="preserve">Sugihwaras, RT/RW 016/004, Sugihwaras, Candi, Sidoarjo</t>
  </si>
  <si>
    <t xml:space="preserve">JERRY ISMAWAN</t>
  </si>
  <si>
    <t xml:space="preserve">0001534822356</t>
  </si>
  <si>
    <t xml:space="preserve">3515151010860004</t>
  </si>
  <si>
    <t xml:space="preserve">Dsn. Pendopo, RT/RW 007/002, Entalsewu, Buduran, Sidoarjo</t>
  </si>
  <si>
    <t xml:space="preserve">MIFTAKHUL AFIF</t>
  </si>
  <si>
    <t xml:space="preserve">0001534822479</t>
  </si>
  <si>
    <t xml:space="preserve">3515071106840001</t>
  </si>
  <si>
    <t xml:space="preserve">Pecuk, RT/RW 001/001, Sumberjati, Mojoanyar, Mojokerto</t>
  </si>
  <si>
    <t xml:space="preserve">RIZKY ARISANDI</t>
  </si>
  <si>
    <t xml:space="preserve">0001534822468</t>
  </si>
  <si>
    <t xml:space="preserve">3515071304910002</t>
  </si>
  <si>
    <t xml:space="preserve">Perum Jade Sidorejo Indah H/16, RT/RW 009/003, Sidorejo, Krian, Sidoarjo</t>
  </si>
  <si>
    <t xml:space="preserve">ABD. AZIZ</t>
  </si>
  <si>
    <t xml:space="preserve">0001534822648</t>
  </si>
  <si>
    <t xml:space="preserve">3515061109820001</t>
  </si>
  <si>
    <t xml:space="preserve">Balongdowo, RT/RW 003/001, Balongdowo, Candi, Sidoarjo</t>
  </si>
  <si>
    <t xml:space="preserve">0001534823201</t>
  </si>
  <si>
    <t xml:space="preserve">3515022902880001</t>
  </si>
  <si>
    <t xml:space="preserve">Tlasih, RT/RW 002/001, Tlasih, Tulangan, Sidoarjo</t>
  </si>
  <si>
    <t xml:space="preserve">MOHAMAD IZUDIN</t>
  </si>
  <si>
    <t xml:space="preserve">0001534823234</t>
  </si>
  <si>
    <t xml:space="preserve">3504012009930001</t>
  </si>
  <si>
    <t xml:space="preserve">Dusun Sumberjo, RT/RW 001/002, Pelem, Campurdarat, Tulungagung</t>
  </si>
  <si>
    <t xml:space="preserve">MOCHAMMAD MUFID</t>
  </si>
  <si>
    <t xml:space="preserve">0001534823537</t>
  </si>
  <si>
    <t xml:space="preserve">3515071003950002</t>
  </si>
  <si>
    <t xml:space="preserve">Dusun Kauman, RT/RW 002/001, Sepande, Candi, Sidoarjo</t>
  </si>
  <si>
    <t xml:space="preserve">EKO KURNIAWAN</t>
  </si>
  <si>
    <t xml:space="preserve">0001050217457</t>
  </si>
  <si>
    <t xml:space="preserve">3578162001870002</t>
  </si>
  <si>
    <t xml:space="preserve">Endrosono 8/12, RT/RW 004/003, Wonokusumo, Semampir, Surabaya</t>
  </si>
  <si>
    <t xml:space="preserve">0001534823785</t>
  </si>
  <si>
    <t xml:space="preserve">3516061305880001</t>
  </si>
  <si>
    <t xml:space="preserve">Bendomungal, RT/RW 001/003, Kedungmungal, Pungging, Mojokerto</t>
  </si>
  <si>
    <t xml:space="preserve">0001534820951</t>
  </si>
  <si>
    <t xml:space="preserve">3516051407900003</t>
  </si>
  <si>
    <t xml:space="preserve">Tlasih, RT/RW 005/001, Tlasih, Tulangan, Sidoarjo</t>
  </si>
  <si>
    <t xml:space="preserve">ANTOK DWI ARIFIN</t>
  </si>
  <si>
    <t xml:space="preserve">0001534820872</t>
  </si>
  <si>
    <t xml:space="preserve">3516051212820001</t>
  </si>
  <si>
    <t xml:space="preserve">Dsn. Kalanganyar, RT/RW 004/001, Bandarasri, Ngoro, Mojokerto</t>
  </si>
  <si>
    <t xml:space="preserve">URIL WIDODIK</t>
  </si>
  <si>
    <t xml:space="preserve">0001534821041</t>
  </si>
  <si>
    <t xml:space="preserve">3515070906870003</t>
  </si>
  <si>
    <t xml:space="preserve">SUPARNO</t>
  </si>
  <si>
    <t xml:space="preserve">0001534820859</t>
  </si>
  <si>
    <t xml:space="preserve">3515030304760002</t>
  </si>
  <si>
    <t xml:space="preserve">Dusun Tanjek, RT/RW 001/001, Tanjekwagir, Krembung, Sidoarjo</t>
  </si>
  <si>
    <t xml:space="preserve">HADI DWI WIJAYA</t>
  </si>
  <si>
    <t xml:space="preserve">3307092002950002</t>
  </si>
  <si>
    <t xml:space="preserve">Wonosobo</t>
  </si>
  <si>
    <t xml:space="preserve">Sariagung, RT/RW 004/010, Jaraksari, Wonosobo, Wonosobo</t>
  </si>
  <si>
    <t xml:space="preserve">KRISTIN PURNAMA SARI</t>
  </si>
  <si>
    <t xml:space="preserve">0002158649594</t>
  </si>
  <si>
    <t xml:space="preserve">3524184412940002</t>
  </si>
  <si>
    <t xml:space="preserve">Guci, RT/RW 003/001, Guci, Karanggeneng, Lamongan</t>
  </si>
  <si>
    <t xml:space="preserve">LAELATUL WIWIN</t>
  </si>
  <si>
    <t xml:space="preserve">23067679958</t>
  </si>
  <si>
    <t xml:space="preserve">0002158639446</t>
  </si>
  <si>
    <t xml:space="preserve">GBMP</t>
  </si>
  <si>
    <t xml:space="preserve">3523134707980001</t>
  </si>
  <si>
    <t xml:space="preserve">Dsn. Bororejo, RT/RW 001/003, Kapu, Merakurak, Tuban</t>
  </si>
  <si>
    <t xml:space="preserve">LAILATUL KOMARIYAH</t>
  </si>
  <si>
    <t xml:space="preserve">0002158861792</t>
  </si>
  <si>
    <t xml:space="preserve">3578155704890001</t>
  </si>
  <si>
    <t xml:space="preserve">Tempel Sukorejo 1/24, RT/RW 002/007, Wonorejo, Tegalsari, Surabaya</t>
  </si>
  <si>
    <t xml:space="preserve">MARYATUN</t>
  </si>
  <si>
    <t xml:space="preserve">0002158639661</t>
  </si>
  <si>
    <t xml:space="preserve">3527065001930005</t>
  </si>
  <si>
    <t xml:space="preserve">Dusun Serean, Kramat, Kedungdung, Sampang</t>
  </si>
  <si>
    <t xml:space="preserve">SHERLY MARGARETHA</t>
  </si>
  <si>
    <t xml:space="preserve">0001823703489</t>
  </si>
  <si>
    <t xml:space="preserve">3578315911800002</t>
  </si>
  <si>
    <t xml:space="preserve">Candi Lontar 4-24, RT/RW 005/007, Lontar, Sambi Kerep, Surabaya</t>
  </si>
  <si>
    <t xml:space="preserve">SITI ROMLAH</t>
  </si>
  <si>
    <t xml:space="preserve">0002158639626</t>
  </si>
  <si>
    <t xml:space="preserve">3527045210920004</t>
  </si>
  <si>
    <t xml:space="preserve">Rosong, RT/RW 000/000, Banjar Tabulu, Camplong, Sampang</t>
  </si>
  <si>
    <t xml:space="preserve">SODIQ</t>
  </si>
  <si>
    <t xml:space="preserve">0002158639716</t>
  </si>
  <si>
    <t xml:space="preserve">3514100705850005</t>
  </si>
  <si>
    <t xml:space="preserve">Tambak Osowilangun 3/4, RT/RW 002/001, Tambak Osowilangun, Benowo, Surabaya</t>
  </si>
  <si>
    <t xml:space="preserve">UMIATI</t>
  </si>
  <si>
    <t xml:space="preserve">0002158639492</t>
  </si>
  <si>
    <t xml:space="preserve">3524216108890003</t>
  </si>
  <si>
    <t xml:space="preserve">Ngujungjobo, RT/RW 017/009, Gedongboyountung, Turi, Lamongan</t>
  </si>
  <si>
    <t xml:space="preserve">WAQIAH</t>
  </si>
  <si>
    <t xml:space="preserve">0002158639615</t>
  </si>
  <si>
    <t xml:space="preserve">3526184106890003</t>
  </si>
  <si>
    <t xml:space="preserve">Dsn. Planggaran, Banyubunih, Galis, Bangkalan</t>
  </si>
  <si>
    <t xml:space="preserve">YARNO</t>
  </si>
  <si>
    <t xml:space="preserve">0002158639705</t>
  </si>
  <si>
    <t xml:space="preserve">3523170501780003</t>
  </si>
  <si>
    <t xml:space="preserve">Tambak Asri 29-A/6, RT/RW 001/009, Morokrembangan, Krembangan, Surabaya</t>
  </si>
  <si>
    <t xml:space="preserve">YULIANAH</t>
  </si>
  <si>
    <t xml:space="preserve">0001393606214</t>
  </si>
  <si>
    <t xml:space="preserve">3578195004840002</t>
  </si>
  <si>
    <t xml:space="preserve">Tambak Osowilangun Timur, RT/RW 002/004, Tambak Osowilangun, Benowo, Surabaya</t>
  </si>
  <si>
    <t xml:space="preserve">TITIK ISTANTI</t>
  </si>
  <si>
    <t xml:space="preserve">0001702650666</t>
  </si>
  <si>
    <t xml:space="preserve">3578144703770003</t>
  </si>
  <si>
    <t xml:space="preserve">Buntaran 3/138, RT/RW 003/005, Manukan Wetan, Tandes, Surabaya</t>
  </si>
  <si>
    <t xml:space="preserve">RISKI SAPUTRA</t>
  </si>
  <si>
    <t xml:space="preserve">0001534970643</t>
  </si>
  <si>
    <t xml:space="preserve">3506111912040004</t>
  </si>
  <si>
    <t xml:space="preserve">Jalan Rau, RT/RW 002/003, Wates, Pagu, Kediri</t>
  </si>
  <si>
    <t xml:space="preserve">RICKY PUTRA FEBRIANTO</t>
  </si>
  <si>
    <t xml:space="preserve">0001725270761</t>
  </si>
  <si>
    <t xml:space="preserve">Relation Officer</t>
  </si>
  <si>
    <t xml:space="preserve">3515120302960003</t>
  </si>
  <si>
    <t xml:space="preserve">Sirapan Krajan, RT/RW 018/007, Kemangsen, Balongbendo, Sidoarjo</t>
  </si>
  <si>
    <t xml:space="preserve">JULIUS ADI SAPUTRO</t>
  </si>
  <si>
    <t xml:space="preserve">21025551482</t>
  </si>
  <si>
    <t xml:space="preserve">0002896001695</t>
  </si>
  <si>
    <t xml:space="preserve">3524040108000005</t>
  </si>
  <si>
    <t xml:space="preserve">Dusun Kepuh, RT/RW 006/002, Sumber Agung, Megaluh, Jombang</t>
  </si>
  <si>
    <t xml:space="preserve">ILHAM LUTHFI</t>
  </si>
  <si>
    <t xml:space="preserve">0000787094019</t>
  </si>
  <si>
    <t xml:space="preserve">3578041406010003</t>
  </si>
  <si>
    <t xml:space="preserve">Jagir Sidomukti 4/44-A, RT/RW. 004/003, Jagir, Wonokromo, Surabaya</t>
  </si>
  <si>
    <t xml:space="preserve">RAHMAD AGUNG WIBOWO</t>
  </si>
  <si>
    <t xml:space="preserve">21045862848</t>
  </si>
  <si>
    <t xml:space="preserve">0001536035005</t>
  </si>
  <si>
    <t xml:space="preserve">3578080212890004</t>
  </si>
  <si>
    <t xml:space="preserve">Tambaksari Selatan 7/4-A, RT/RW. 007/006, Tambaksari, Tambaksari, Surabaya</t>
  </si>
  <si>
    <t xml:space="preserve">MIFTAKHUL HUDA</t>
  </si>
  <si>
    <t xml:space="preserve">0001438615989</t>
  </si>
  <si>
    <t xml:space="preserve">3578091104010001</t>
  </si>
  <si>
    <t xml:space="preserve">Semampir Tengah Gg.9-A/15-A, RT/RW. 011/007, Medokan Semampir, Sukolilo, Surabaya</t>
  </si>
  <si>
    <t xml:space="preserve">SEPTIAN MAULANA AKBAR</t>
  </si>
  <si>
    <t xml:space="preserve">0001393897397</t>
  </si>
  <si>
    <t xml:space="preserve">3578081409040002</t>
  </si>
  <si>
    <t xml:space="preserve">Karang Menjangan 8/36, RT/RW. 003/008, Airlangga, Gubeng, Surabaya</t>
  </si>
  <si>
    <t xml:space="preserve">DAFFA ABIYOGA PUTRA RAMADHAN</t>
  </si>
  <si>
    <t xml:space="preserve">23083620991</t>
  </si>
  <si>
    <t xml:space="preserve">0001735331141</t>
  </si>
  <si>
    <t xml:space="preserve">3578041412000004</t>
  </si>
  <si>
    <t xml:space="preserve">Ngagel Dadi 1-G/9, RT/RW 004/010, Ngagel Rejo, Wonokromo, Surabaya</t>
  </si>
  <si>
    <t xml:space="preserve">ELVIN CHRISDIANTAMA</t>
  </si>
  <si>
    <t xml:space="preserve">0001169011721</t>
  </si>
  <si>
    <t xml:space="preserve">3578060906000006</t>
  </si>
  <si>
    <t xml:space="preserve">Kupang Krajan Lor 1/34, RT/RW 003/003, Kupang Krajan, Sawahan, Surabaya</t>
  </si>
  <si>
    <t xml:space="preserve">KELVIN MANDALA DIPUTRA</t>
  </si>
  <si>
    <t xml:space="preserve">0001186376646</t>
  </si>
  <si>
    <t xml:space="preserve">3578150503020002</t>
  </si>
  <si>
    <t xml:space="preserve">Gadukan Utara 6-B/6, RT/RW 008/005, Morokrembangan, Krembangan, Surabaya</t>
  </si>
  <si>
    <t xml:space="preserve">MUHAMMAD FEBRIANTO</t>
  </si>
  <si>
    <t xml:space="preserve">25090600480</t>
  </si>
  <si>
    <t xml:space="preserve">0001849423983</t>
  </si>
  <si>
    <t xml:space="preserve">3578212809010003</t>
  </si>
  <si>
    <t xml:space="preserve">Dukuh Pakis 3 GG Masjid, RT/RW 002/006, Dukuh Pakis, Surabaya</t>
  </si>
  <si>
    <t xml:space="preserve">SLAMET SRIHANTO</t>
  </si>
  <si>
    <t xml:space="preserve">0002164816203</t>
  </si>
  <si>
    <t xml:space="preserve">3578302405980004</t>
  </si>
  <si>
    <t xml:space="preserve">Benowo, RT/RW 007/002, Benowo, Pakal, Surabaya</t>
  </si>
  <si>
    <t xml:space="preserve">ABDUL WACHID</t>
  </si>
  <si>
    <t xml:space="preserve">0000762416908</t>
  </si>
  <si>
    <t xml:space="preserve">3525112811950002</t>
  </si>
  <si>
    <t xml:space="preserve">Padeg, RT/RW 003/003, Padeg, Cerme, Gresik</t>
  </si>
  <si>
    <t xml:space="preserve">MEI RAHAYU</t>
  </si>
  <si>
    <t xml:space="preserve">24061900327</t>
  </si>
  <si>
    <t xml:space="preserve">0001445657951</t>
  </si>
  <si>
    <t xml:space="preserve">3515186305950002</t>
  </si>
  <si>
    <t xml:space="preserve">Jl. Teuku Umar, RT/RW 020/002, Medaeng, Waru, Sidoarjo</t>
  </si>
  <si>
    <t xml:space="preserve">0002934497103</t>
  </si>
  <si>
    <t xml:space="preserve">3524202205890003</t>
  </si>
  <si>
    <t xml:space="preserve">Karangwungu, RT/RW 004/001, Karangwungu, Karanggeneng</t>
  </si>
  <si>
    <t xml:space="preserve">PUTRA PRASANCA ASADTULLAH</t>
  </si>
  <si>
    <t xml:space="preserve">0003539816324</t>
  </si>
  <si>
    <t xml:space="preserve">3509120907020002</t>
  </si>
  <si>
    <t xml:space="preserve">Dusun Karangtemplek, RT/RW 001/021, Andongsari, Ambulu, Jember</t>
  </si>
  <si>
    <t xml:space="preserve">EDO FERBY KURNIA</t>
  </si>
  <si>
    <t xml:space="preserve">0001803470837</t>
  </si>
  <si>
    <t xml:space="preserve">3578081802960001</t>
  </si>
  <si>
    <t xml:space="preserve">Kalibokor 2/74-A, RT/RW 007/008, Pucang Sewu, Gubeng, Surabaya</t>
  </si>
  <si>
    <t xml:space="preserve">RIZAL OCTAVIANTO ARGA</t>
  </si>
  <si>
    <t xml:space="preserve">0002683040409</t>
  </si>
  <si>
    <t xml:space="preserve">3578081710000004</t>
  </si>
  <si>
    <t xml:space="preserve">Dupak Bandarejo 3/37, RT/RW 007/003, Dupak, Krembangan, Surabaya</t>
  </si>
  <si>
    <t xml:space="preserve">MERRY DEFINA SILVIANGGANI</t>
  </si>
  <si>
    <t xml:space="preserve">28094882936</t>
  </si>
  <si>
    <t xml:space="preserve">0001449890897</t>
  </si>
  <si>
    <t xml:space="preserve">Pembelian</t>
  </si>
  <si>
    <t xml:space="preserve">3578066204910006</t>
  </si>
  <si>
    <t xml:space="preserve">Dukuh Kupang Utara 2-D/35, RT/RW 004/008, Putat Jaya, Sawahan, Surabaya</t>
  </si>
  <si>
    <t xml:space="preserve">MOH NIZAM</t>
  </si>
  <si>
    <t xml:space="preserve">29012288101</t>
  </si>
  <si>
    <t xml:space="preserve">0001138965827</t>
  </si>
  <si>
    <t xml:space="preserve">3517142804850004</t>
  </si>
  <si>
    <t xml:space="preserve">Dsn Balong Teleng, RT/RW 002/005, Ploso, Ploso, Jombang</t>
  </si>
  <si>
    <t xml:space="preserve">NADA SUCIANI ALIPAH</t>
  </si>
  <si>
    <t xml:space="preserve">21028779600</t>
  </si>
  <si>
    <t xml:space="preserve">3522125502000005</t>
  </si>
  <si>
    <t xml:space="preserve">Dusun Nglalu, RT/RW 004/004, Pekuwon, Sumberrejo, Bojonegoro</t>
  </si>
  <si>
    <t xml:space="preserve">DWI SETIANI</t>
  </si>
  <si>
    <t xml:space="preserve">3521036209050001</t>
  </si>
  <si>
    <t xml:space="preserve">Cepet, RT/RW 002/003, Kendal, Kendal, Ngawi</t>
  </si>
  <si>
    <t xml:space="preserve">FAIZAL ILHAM ARDIANSYAH</t>
  </si>
  <si>
    <t xml:space="preserve">0002643305769</t>
  </si>
  <si>
    <t xml:space="preserve">3517080502020004</t>
  </si>
  <si>
    <t xml:space="preserve">Wonorejo Rungkut No.29, RT/RW 003/001, Wonorejo, Rungkut, Surabaya</t>
  </si>
  <si>
    <t xml:space="preserve">RAFUADI</t>
  </si>
  <si>
    <t xml:space="preserve">0002812170238</t>
  </si>
  <si>
    <t xml:space="preserve">3526182702040001</t>
  </si>
  <si>
    <t xml:space="preserve">Pakaan Laok, RT/RW 000/000, Pakaan Laok, Galis, Bangkalan</t>
  </si>
  <si>
    <t xml:space="preserve">HARNALISA</t>
  </si>
  <si>
    <t xml:space="preserve">1112024301060001</t>
  </si>
  <si>
    <t xml:space="preserve">Bineh Krung</t>
  </si>
  <si>
    <t xml:space="preserve">Dusun Jama'ah Amaliyah, RT/RW 000/000, Bineh Krueng, Tangan-Tangan, Aceh Barat Daya</t>
  </si>
  <si>
    <t xml:space="preserve">HASTI ALVIONITA D.</t>
  </si>
  <si>
    <t xml:space="preserve">7371095411940002</t>
  </si>
  <si>
    <t xml:space="preserve">Jl. G. Bawakaraeng LR. 75 B/6 A, RT/RW 002/001, Maccini Gusung, Makassar, Makassar</t>
  </si>
  <si>
    <t xml:space="preserve">HENDRIKA NOVITASARI</t>
  </si>
  <si>
    <t xml:space="preserve">0002077184024</t>
  </si>
  <si>
    <t xml:space="preserve">6112014911970016</t>
  </si>
  <si>
    <t xml:space="preserve">Sungai Raya</t>
  </si>
  <si>
    <t xml:space="preserve">Kav. Residence D.38, RT/RW 003/004, Mekar Baru, Sungai Raya, Kubu Raya</t>
  </si>
  <si>
    <t xml:space="preserve">TESALONIKA INDAH APRILIA TOERANG</t>
  </si>
  <si>
    <t xml:space="preserve">0001190933818</t>
  </si>
  <si>
    <t xml:space="preserve">7171076404020001</t>
  </si>
  <si>
    <t xml:space="preserve">Lingkungan I, RT/RW 000/001, Bumi Nyiur, Wanea, Manado</t>
  </si>
  <si>
    <t xml:space="preserve">IIN FAUZIAH</t>
  </si>
  <si>
    <t xml:space="preserve">0001250569978</t>
  </si>
  <si>
    <t xml:space="preserve">3376025906980002</t>
  </si>
  <si>
    <t xml:space="preserve">Jl. Karimunjawa II No. 21, RT/RW 001/011, Mintaragen, Tegal Timur, Tegal</t>
  </si>
  <si>
    <t xml:space="preserve">SITI NUR AZIZAH</t>
  </si>
  <si>
    <t xml:space="preserve">29052354204</t>
  </si>
  <si>
    <t xml:space="preserve">0001174047041</t>
  </si>
  <si>
    <t xml:space="preserve">3516066410000002</t>
  </si>
  <si>
    <t xml:space="preserve">Mojosarirejo, RT/RW 036/010, Randuharjo, Pungging, Mojokerto</t>
  </si>
  <si>
    <t xml:space="preserve">NILA AROFAINA</t>
  </si>
  <si>
    <t xml:space="preserve">0003643091559</t>
  </si>
  <si>
    <t xml:space="preserve">3516155110020003</t>
  </si>
  <si>
    <t xml:space="preserve">Betro Barat, RT/RW 004/003, Betro, Kemlagi, Mojokerto</t>
  </si>
  <si>
    <t xml:space="preserve">ISWAHYUNINGSIH</t>
  </si>
  <si>
    <t xml:space="preserve">0002415528101</t>
  </si>
  <si>
    <t xml:space="preserve">3516085310990001</t>
  </si>
  <si>
    <t xml:space="preserve">Dsn. Nambangan, RT/RW 025/007, Ngimbangan, Mojosari, Mojokerto</t>
  </si>
  <si>
    <t xml:space="preserve">HANA ERINDA NUR AVIF</t>
  </si>
  <si>
    <t xml:space="preserve">21091537960</t>
  </si>
  <si>
    <t xml:space="preserve">0001846872112</t>
  </si>
  <si>
    <t xml:space="preserve">Customer Sevice</t>
  </si>
  <si>
    <t xml:space="preserve">3516054606960005</t>
  </si>
  <si>
    <t xml:space="preserve">Dsn. Kesono, RT/RW 006/002, Candiharjo, Ngoro, Mojokerto</t>
  </si>
  <si>
    <t xml:space="preserve">TASYA NURAINI</t>
  </si>
  <si>
    <t xml:space="preserve">20036907093</t>
  </si>
  <si>
    <t xml:space="preserve">0001159783626</t>
  </si>
  <si>
    <t xml:space="preserve">1871156106020001</t>
  </si>
  <si>
    <t xml:space="preserve">Jl. Pajajaran No. 110, RT/RW 008/000, Jagabaya II, Way Halim, Bandar Lampung</t>
  </si>
  <si>
    <t xml:space="preserve">FADILATUL USNA</t>
  </si>
  <si>
    <t xml:space="preserve">23030292507</t>
  </si>
  <si>
    <t xml:space="preserve">0000591646959</t>
  </si>
  <si>
    <t xml:space="preserve">3319034804000003</t>
  </si>
  <si>
    <t xml:space="preserve">Bacin, RT/RW 006/003, Bacin, Bae, Kudus</t>
  </si>
  <si>
    <t xml:space="preserve">TIKA FADHILA</t>
  </si>
  <si>
    <t xml:space="preserve">24069471369</t>
  </si>
  <si>
    <t xml:space="preserve">0000358005677</t>
  </si>
  <si>
    <t xml:space="preserve">1871075705990004</t>
  </si>
  <si>
    <t xml:space="preserve">Teluk Betung</t>
  </si>
  <si>
    <t xml:space="preserve">Jl. WR Supratman, RT/RW 012/000, Gedong Pakuon, Telukbetung Selatan, Bandar Lampung</t>
  </si>
  <si>
    <t xml:space="preserve">DEVI PERMATASARI</t>
  </si>
  <si>
    <t xml:space="preserve">0002423786883</t>
  </si>
  <si>
    <t xml:space="preserve">1610066505020004</t>
  </si>
  <si>
    <t xml:space="preserve">Rantau Alai</t>
  </si>
  <si>
    <t xml:space="preserve">Dusun Bukit Lintang, RT/RW 000/000, Puput, Parittiga, Bangka Barat</t>
  </si>
  <si>
    <t xml:space="preserve">DWI IRIA AYU SEKAR SARI</t>
  </si>
  <si>
    <t xml:space="preserve">0001600977699</t>
  </si>
  <si>
    <t xml:space="preserve">1606024307050002</t>
  </si>
  <si>
    <t xml:space="preserve">Teluk Kijing III</t>
  </si>
  <si>
    <t xml:space="preserve">Dsn III Village IX, RT/RW 001/003, Teluk Kijing III, Lais, Musi Banyuasin</t>
  </si>
  <si>
    <t xml:space="preserve">SAMSUL AMILUDIN</t>
  </si>
  <si>
    <t xml:space="preserve">0001163434623</t>
  </si>
  <si>
    <t xml:space="preserve">3516070802960001</t>
  </si>
  <si>
    <t xml:space="preserve">Dsn. Ngundi, RT/RW 002/007, Pesanggarahan, Kutorejo, Mojokerto</t>
  </si>
  <si>
    <t xml:space="preserve">FAUZI WAHYUDI</t>
  </si>
  <si>
    <t xml:space="preserve">0001185517495</t>
  </si>
  <si>
    <t xml:space="preserve">3578202311000005</t>
  </si>
  <si>
    <t xml:space="preserve">Sidosermo 4 Gg. Pondok 16 A, RT/RW 004/002, Sidosermo, Wonocolo, Surabaya</t>
  </si>
  <si>
    <t xml:space="preserve">DANNIEAL DUTA</t>
  </si>
  <si>
    <t xml:space="preserve">0003773383244</t>
  </si>
  <si>
    <t xml:space="preserve">3527142505040007</t>
  </si>
  <si>
    <t xml:space="preserve">Bluuran, RT/RW 000/000, Blu Uran, Karangpenang, Sampang</t>
  </si>
  <si>
    <t xml:space="preserve">TRIANTO PRASETYO</t>
  </si>
  <si>
    <t xml:space="preserve">PT KOBIN KERAMIK INDUSTRI (KARAWANG)</t>
  </si>
  <si>
    <t xml:space="preserve">NON AKTIF</t>
  </si>
  <si>
    <t xml:space="preserve">PKHL - KRW</t>
  </si>
  <si>
    <t xml:space="preserve">Mekanik Kiln</t>
  </si>
  <si>
    <t xml:space="preserve">3516160409800001</t>
  </si>
  <si>
    <t xml:space="preserve">Dsn. Sonosari, RT/RW 002/001, Canggu, Jetis</t>
  </si>
  <si>
    <t xml:space="preserve">MOHAMMAD SIFAK</t>
  </si>
  <si>
    <t xml:space="preserve">PKHL - KILN</t>
  </si>
  <si>
    <t xml:space="preserve">3516141804800003</t>
  </si>
  <si>
    <t xml:space="preserve">Gayaman, RT/RW 008/001, Ds. Gayaman, Mojoanyar</t>
  </si>
  <si>
    <t xml:space="preserve">SAIFUL ARIFIN</t>
  </si>
  <si>
    <t xml:space="preserve">3507031409820004</t>
  </si>
  <si>
    <t xml:space="preserve">Dsn. Sumberwates, RT/RW 008/002, Sumberbening, Bantur</t>
  </si>
  <si>
    <t xml:space="preserve">RUMAWAN</t>
  </si>
  <si>
    <t xml:space="preserve">3516163006790003</t>
  </si>
  <si>
    <t xml:space="preserve">Dsn. Pelabuhan, RT/RW 005/006, Jetis</t>
  </si>
  <si>
    <t xml:space="preserve">KHAUSAR ILMAN, S.AK</t>
  </si>
  <si>
    <t xml:space="preserve">3517121205950002</t>
  </si>
  <si>
    <t xml:space="preserve">Dusun Barengkrajan, RT/RW 004/002, Barengkrajan, Krian, Sidoarjo</t>
  </si>
  <si>
    <t xml:space="preserve">BINA SUZANA</t>
  </si>
  <si>
    <t xml:space="preserve">PT YAKULT INDONESIA PERSADA (DRIVER)</t>
  </si>
  <si>
    <t xml:space="preserve">23064670312</t>
  </si>
  <si>
    <t xml:space="preserve">0001123927997</t>
  </si>
  <si>
    <t xml:space="preserve">3578040501780001</t>
  </si>
  <si>
    <t xml:space="preserve">Ngagelrejo Utara 40, RT/RW 006/001, Ngagelrejo, Wonokromo, Surabaya</t>
  </si>
  <si>
    <t xml:space="preserve">ERIS KRISTIANTO</t>
  </si>
  <si>
    <t xml:space="preserve">0001538325415</t>
  </si>
  <si>
    <t xml:space="preserve">3578212104770001</t>
  </si>
  <si>
    <t xml:space="preserve">Ngesong Dukuh Kupang 2/25, RT/RW 001/006, Dukuh Kupang, Dukuh Pakis, Surabaya</t>
  </si>
  <si>
    <t xml:space="preserve">MOSES PUTRA ADE PARENGKUAN</t>
  </si>
  <si>
    <t xml:space="preserve">OFFBOARDING</t>
  </si>
  <si>
    <t xml:space="preserve">22056204685</t>
  </si>
  <si>
    <t xml:space="preserve">0002355916162</t>
  </si>
  <si>
    <t xml:space="preserve">3578311610940001</t>
  </si>
  <si>
    <t xml:space="preserve">Kandangan Gunung No.20-A, RT/RW 004/001, Kandangan, Benowo, Surabaya</t>
  </si>
  <si>
    <t xml:space="preserve">YUSUF PRIYADI</t>
  </si>
  <si>
    <t xml:space="preserve">0001643842372</t>
  </si>
  <si>
    <t xml:space="preserve">3505071007720001</t>
  </si>
  <si>
    <t xml:space="preserve">Dsn Bendosari, RT/RW 003/001, Bendosari, Sanankulon, Blitar</t>
  </si>
  <si>
    <t xml:space="preserve">GALEH PAPA HARIANTO</t>
  </si>
  <si>
    <t xml:space="preserve">PT YAKULT INDONESIA PERSADA (PACKER)</t>
  </si>
  <si>
    <t xml:space="preserve">0002425208128</t>
  </si>
  <si>
    <t xml:space="preserve">3516092512960001</t>
  </si>
  <si>
    <t xml:space="preserve">Dsn. Sekaran, RT/RW 001/003, Sambilawang, Dlanggu, Mojokerto</t>
  </si>
  <si>
    <t xml:space="preserve">GILANG GALUH RAHMAD PUTRA DIRGANTARA</t>
  </si>
  <si>
    <t xml:space="preserve">0000725053847</t>
  </si>
  <si>
    <t xml:space="preserve">3516050404960004</t>
  </si>
  <si>
    <t xml:space="preserve">Lolawang, RT/RW 004/001, Lolawang, Ngoro, Mojokerto</t>
  </si>
  <si>
    <t xml:space="preserve">MUHAMMAD IRWAN FATONI</t>
  </si>
  <si>
    <t xml:space="preserve">0002256857493</t>
  </si>
  <si>
    <t xml:space="preserve">3516052412940004</t>
  </si>
  <si>
    <t xml:space="preserve">Dsn. Lolawang, RT/RW 009/001, Lolawang, Ngoro, Mojokerto</t>
  </si>
  <si>
    <t xml:space="preserve">SYAUQI RABBANI MAHESA PUTRA</t>
  </si>
  <si>
    <t xml:space="preserve">0002415459879</t>
  </si>
  <si>
    <t xml:space="preserve">3516071308030001</t>
  </si>
  <si>
    <t xml:space="preserve">Kutorejo, RT/RW 005/003, Kutorejo, Kutorejo, Mojokerto</t>
  </si>
  <si>
    <t xml:space="preserve">A. ZAENAL A.</t>
  </si>
  <si>
    <t xml:space="preserve">PT YAKULT INDONESIA PERSADA (BM)</t>
  </si>
  <si>
    <t xml:space="preserve">21058656116</t>
  </si>
  <si>
    <t xml:space="preserve">0002808945955</t>
  </si>
  <si>
    <t xml:space="preserve">3516051006960002</t>
  </si>
  <si>
    <t xml:space="preserve">Dsn Jedong Wetan, RT/RW 026/003, Wotanmas Jedong, Ngoro, Mojokerto</t>
  </si>
  <si>
    <t xml:space="preserve">ABDUL HARIS</t>
  </si>
  <si>
    <t xml:space="preserve">0002808943839</t>
  </si>
  <si>
    <t xml:space="preserve">3516051701790001</t>
  </si>
  <si>
    <t xml:space="preserve">Jedong Wetan, RT/RW 016/002, Wotanmasjedong, Ngoro, Mojokerto</t>
  </si>
  <si>
    <t xml:space="preserve">AHMAD MIFTAHUS SURUR</t>
  </si>
  <si>
    <t xml:space="preserve">0000724478141</t>
  </si>
  <si>
    <t xml:space="preserve">3516050305870004</t>
  </si>
  <si>
    <t xml:space="preserve">Dsn. Mojorejo, RT/RW 002/002, Mojorejo, Pungging, Mojokerto</t>
  </si>
  <si>
    <t xml:space="preserve">AINUL YAQIN</t>
  </si>
  <si>
    <t xml:space="preserve">0000724866434</t>
  </si>
  <si>
    <t xml:space="preserve">3516050807870001</t>
  </si>
  <si>
    <t xml:space="preserve">Dsn. Jedong Wetan, RT/RW 025/003, Wotanmasjedong, Ngoro, Mojokerto</t>
  </si>
  <si>
    <t xml:space="preserve">AKHMAD BAKRI ARIFIN</t>
  </si>
  <si>
    <t xml:space="preserve">0001314148691</t>
  </si>
  <si>
    <t xml:space="preserve">3516050902980002</t>
  </si>
  <si>
    <t xml:space="preserve">Wotanmas Jedong, RT/RW 037/003, Wotanmasjedong, Ngoro, Mojokerto</t>
  </si>
  <si>
    <t xml:space="preserve">ANANTOK SUCAHYONO</t>
  </si>
  <si>
    <t xml:space="preserve">25083637453</t>
  </si>
  <si>
    <t xml:space="preserve">3516091610850001</t>
  </si>
  <si>
    <t xml:space="preserve">Dsn. Mojorejo, RT/RW 001/002, Mojorejo, Pungging, Mojokerto</t>
  </si>
  <si>
    <t xml:space="preserve">BAMBANG SUTRISNO</t>
  </si>
  <si>
    <t xml:space="preserve">0000724249923</t>
  </si>
  <si>
    <t xml:space="preserve">3516051510830001</t>
  </si>
  <si>
    <t xml:space="preserve">Dsn. Jedong Wetan, RT/RW 022/002, Wotanmasjedong, Ngoro, Mojokerto</t>
  </si>
  <si>
    <t xml:space="preserve">DADANG PURWANTO</t>
  </si>
  <si>
    <t xml:space="preserve">0000725559884</t>
  </si>
  <si>
    <t xml:space="preserve">3516051205860003</t>
  </si>
  <si>
    <t xml:space="preserve">Wotanmas Jedong, RT/RW 031/003, Wotanmasjedong, Ngoro, Mojokerto</t>
  </si>
  <si>
    <t xml:space="preserve">FATKHUR ROHMAN</t>
  </si>
  <si>
    <t xml:space="preserve">0000724926161</t>
  </si>
  <si>
    <t xml:space="preserve">3516050810940001</t>
  </si>
  <si>
    <t xml:space="preserve">Ngemplak, RT/RW 003/003, Kesimantengah, Pacet, Mojokerto</t>
  </si>
  <si>
    <t xml:space="preserve">KURNIAWAN MAULUDDIN</t>
  </si>
  <si>
    <t xml:space="preserve">0002466993003</t>
  </si>
  <si>
    <t xml:space="preserve">3516051805020002</t>
  </si>
  <si>
    <t xml:space="preserve">Wotanmasjedong, RT/RW 025/003, Wotanmasjedong, Ngoro, Mojokerto</t>
  </si>
  <si>
    <t xml:space="preserve">M. ALI SAPUTRO</t>
  </si>
  <si>
    <t xml:space="preserve">0002808945786</t>
  </si>
  <si>
    <t xml:space="preserve">3516052205970002</t>
  </si>
  <si>
    <t xml:space="preserve">Perjito, RT/RW 012/003, Candiharjo, Ngoro, Mojokerto</t>
  </si>
  <si>
    <t xml:space="preserve">MAHFUD</t>
  </si>
  <si>
    <t xml:space="preserve">0002731175998</t>
  </si>
  <si>
    <t xml:space="preserve">3516041009850004</t>
  </si>
  <si>
    <t xml:space="preserve">Oro-Oro Jipang, RT/RW 002/015, Purwojati, Ngoro, Mojokerto</t>
  </si>
  <si>
    <t xml:space="preserve">MISBAHUL MUNIR</t>
  </si>
  <si>
    <t xml:space="preserve">0000724295687</t>
  </si>
  <si>
    <t xml:space="preserve">3516051312980002</t>
  </si>
  <si>
    <t xml:space="preserve">Dsn.Wotanmas Jedong, RT/RW 035/003, Wotanmasjedong, Ngoro, Mojokerto</t>
  </si>
  <si>
    <t xml:space="preserve">MUHAMMAD BUDIANSYAH</t>
  </si>
  <si>
    <t xml:space="preserve">0000723861977</t>
  </si>
  <si>
    <t xml:space="preserve">3516051802940003</t>
  </si>
  <si>
    <t xml:space="preserve">Wotanmasjedong, RT/RW 027/003, Wotanmasjedong, Ngoro, Mojokerto</t>
  </si>
  <si>
    <t xml:space="preserve">PRATAMA ANGGA SUJIANTO</t>
  </si>
  <si>
    <t xml:space="preserve">0002414017888</t>
  </si>
  <si>
    <t xml:space="preserve">3516050610980004</t>
  </si>
  <si>
    <t xml:space="preserve">Dsn. Wotanmas Jedong, RT/RW 025/003, Wotanmasjedong, Ngoro, Mojokerto</t>
  </si>
  <si>
    <t xml:space="preserve">SLAMET ISKANDAR</t>
  </si>
  <si>
    <t xml:space="preserve">0001043642147</t>
  </si>
  <si>
    <t xml:space="preserve">3516052506850001</t>
  </si>
  <si>
    <t xml:space="preserve">Dsn. Oro-Oro Jipang, RT/RW 001/014, Purwojati, Ngoro, Mojokerto</t>
  </si>
  <si>
    <t xml:space="preserve">MOCH MEGANTARA</t>
  </si>
  <si>
    <t xml:space="preserve">PT SIKLUS KARYA GLOBAL</t>
  </si>
  <si>
    <t xml:space="preserve">0001280698694</t>
  </si>
  <si>
    <t xml:space="preserve">3507062807970002</t>
  </si>
  <si>
    <t xml:space="preserve">Dsn Sumbersuko, RT/RW 019/005, Mulyosari, Ampelgading, Malang</t>
  </si>
  <si>
    <t xml:space="preserve">SUGENG PRAWIRO</t>
  </si>
  <si>
    <t xml:space="preserve">0002164286935</t>
  </si>
  <si>
    <t xml:space="preserve">3515141701870003</t>
  </si>
  <si>
    <t xml:space="preserve">Suko, RT/RW 008/003, Suko, Sukodono, Sidoarjo</t>
  </si>
  <si>
    <t xml:space="preserve">ANJAS ASMARA</t>
  </si>
  <si>
    <t xml:space="preserve">0003517348331</t>
  </si>
  <si>
    <t xml:space="preserve">3515131803910001</t>
  </si>
  <si>
    <t xml:space="preserve">Dusun Sukolilo, RT/RW 017/002, Sukowati, Kapas, Bojonegoro</t>
  </si>
  <si>
    <t xml:space="preserve">AVRIL RIYAN VERNANDO HOSSE</t>
  </si>
  <si>
    <t xml:space="preserve">0003526575489</t>
  </si>
  <si>
    <t xml:space="preserve">3508010104050003</t>
  </si>
  <si>
    <t xml:space="preserve">Purorejo, RT/RW 003/003, Purorejo, Tempursari, Lumajang</t>
  </si>
  <si>
    <t xml:space="preserve">KRIS SUTIONO</t>
  </si>
  <si>
    <t xml:space="preserve">0001475675019</t>
  </si>
  <si>
    <t xml:space="preserve">3578090212840003</t>
  </si>
  <si>
    <t xml:space="preserve">Jangkungan Makam No. 9-A, RT/RW 005/008, Nginden Jangkungan, Sukolilo, Surabaya</t>
  </si>
  <si>
    <t xml:space="preserve">RINDI CAHYONO</t>
  </si>
  <si>
    <t xml:space="preserve">0000694500614</t>
  </si>
  <si>
    <t xml:space="preserve">3509090205010003</t>
  </si>
  <si>
    <t xml:space="preserve">Dusun Krajan, RT/RW 002/004, Tugusari, Bangsalsari, Jember</t>
  </si>
  <si>
    <t xml:space="preserve">RAHMAD FAIZIN FIRMANSYAH</t>
  </si>
  <si>
    <t xml:space="preserve">0001702587238</t>
  </si>
  <si>
    <t xml:space="preserve">3515180403960008</t>
  </si>
  <si>
    <t xml:space="preserve">Jl. Kenongosari 5/36, RT/RW 002/002, Pepelegi, Waru, Sidoarjo</t>
  </si>
  <si>
    <t xml:space="preserve">RIZKY AGUNG WIBOWO</t>
  </si>
  <si>
    <t xml:space="preserve">0003525758324</t>
  </si>
  <si>
    <t xml:space="preserve">3505082901010001</t>
  </si>
  <si>
    <t xml:space="preserve">Dsn Dringo, RT/RW 016/006, Ngeni, Wonotirto, Blitar</t>
  </si>
  <si>
    <t xml:space="preserve">BAYU JATMIKO</t>
  </si>
  <si>
    <t xml:space="preserve">0001169765638</t>
  </si>
  <si>
    <t xml:space="preserve">3518010701990002</t>
  </si>
  <si>
    <t xml:space="preserve">Boyolali</t>
  </si>
  <si>
    <t xml:space="preserve">Dsn Sidorejo, RT/RW 003/004, Sidorejo, Sawahan, Nganjuk</t>
  </si>
  <si>
    <t xml:space="preserve">NUR MUHAMMAD SHOLEHAN</t>
  </si>
  <si>
    <t xml:space="preserve">0002133640337</t>
  </si>
  <si>
    <t xml:space="preserve">3521180405990002</t>
  </si>
  <si>
    <t xml:space="preserve">Siwalan, RT/RW 005/003, Widodaren, Gerih, Ngawi</t>
  </si>
  <si>
    <t xml:space="preserve">JANURI HENDRIK CAHYONO</t>
  </si>
  <si>
    <t xml:space="preserve">0002276391587</t>
  </si>
  <si>
    <t xml:space="preserve">3515070909940002</t>
  </si>
  <si>
    <t xml:space="preserve">Kediren, RT/RW 008/002, Kediren, Randublatung, Blora</t>
  </si>
  <si>
    <t xml:space="preserve">PRASETIAN ADMADINATA</t>
  </si>
  <si>
    <t xml:space="preserve">0001185180996</t>
  </si>
  <si>
    <t xml:space="preserve">3515080804890005</t>
  </si>
  <si>
    <t xml:space="preserve">Bluru Kidul, RT/RW 004/008, Blurukidul, Sidoarjo, Sidoarjo</t>
  </si>
  <si>
    <t xml:space="preserve">AWANG EKA PRADANA</t>
  </si>
  <si>
    <t xml:space="preserve">0002459791012</t>
  </si>
  <si>
    <t xml:space="preserve">3517090305960004</t>
  </si>
  <si>
    <t xml:space="preserve">Gunungkidul</t>
  </si>
  <si>
    <t xml:space="preserve">Jl. Pandega 24, RT/RW 001/002, Mojopangit, Jombang, Jombang</t>
  </si>
  <si>
    <t xml:space="preserve">FERDI FEBRIANSYAH</t>
  </si>
  <si>
    <t xml:space="preserve">0002293407573</t>
  </si>
  <si>
    <t xml:space="preserve">3578111202050003</t>
  </si>
  <si>
    <t xml:space="preserve">Granting Barat 73, RT/RW 002/012, Simokerto, Simokerto, Surabaya</t>
  </si>
  <si>
    <t xml:space="preserve">AH. FAISAL ALI</t>
  </si>
  <si>
    <t xml:space="preserve">26004052321</t>
  </si>
  <si>
    <t xml:space="preserve">0002267546613</t>
  </si>
  <si>
    <t xml:space="preserve">3524181404950001</t>
  </si>
  <si>
    <t xml:space="preserve">Kalanganyar, RT/RW 004/001, Kalanganyar, Karanggeneng, Lamongan</t>
  </si>
  <si>
    <t xml:space="preserve">SYIFA ANAS FIRDAUS</t>
  </si>
  <si>
    <t xml:space="preserve">0002727245529</t>
  </si>
  <si>
    <t xml:space="preserve">Analis Lab</t>
  </si>
  <si>
    <t xml:space="preserve">3522091009010002</t>
  </si>
  <si>
    <t xml:space="preserve">Dsn Sembung, RT/RW 007/002, Betet, Kepohbaru, Bojonegoro</t>
  </si>
  <si>
    <t xml:space="preserve">FARIS WIDIYATNO</t>
  </si>
  <si>
    <t xml:space="preserve">0000726977856</t>
  </si>
  <si>
    <t xml:space="preserve">3517181302910002</t>
  </si>
  <si>
    <t xml:space="preserve">Pucanganom, RT/RW 003/003, Pucangsimo, Bandarkedungmulyo, Jombang</t>
  </si>
  <si>
    <t xml:space="preserve">ACHMAD MIFTACHUL ULUM</t>
  </si>
  <si>
    <t xml:space="preserve">0002415060281</t>
  </si>
  <si>
    <t xml:space="preserve">3525162607930003</t>
  </si>
  <si>
    <t xml:space="preserve">Kh. Asy'ari 12/7, RT/RW 004/002, Sukodono, Gresik, Gresik</t>
  </si>
  <si>
    <t xml:space="preserve">MUHAMMAD SYIHABUDDIN</t>
  </si>
  <si>
    <t xml:space="preserve">0000762491575</t>
  </si>
  <si>
    <t xml:space="preserve">3525042710030001</t>
  </si>
  <si>
    <t xml:space="preserve">Dusun Trate, RT/RW 008/002, Punduttrate, Benjeng, Gresik</t>
  </si>
  <si>
    <t xml:space="preserve">A. AINUN NAJIB</t>
  </si>
  <si>
    <t xml:space="preserve">0000758206348</t>
  </si>
  <si>
    <t xml:space="preserve">3524260304940001</t>
  </si>
  <si>
    <t xml:space="preserve">Nginjen, RT/RW 004/001, Pandanpancur, Deket, Lamongan</t>
  </si>
  <si>
    <t xml:space="preserve">LUDHFYANI TRI IMAVIAH</t>
  </si>
  <si>
    <t xml:space="preserve">23048287732</t>
  </si>
  <si>
    <t xml:space="preserve">3509035705020007</t>
  </si>
  <si>
    <t xml:space="preserve">Dsn Tamping Rt/Rw: 004/015 Kel Gelang Kec Sumberbaru</t>
  </si>
  <si>
    <t xml:space="preserve">SUUD TOHARO</t>
  </si>
  <si>
    <t xml:space="preserve">0001395413842</t>
  </si>
  <si>
    <t xml:space="preserve">3578101103950006</t>
  </si>
  <si>
    <t xml:space="preserve">Jl. Singojoyo V, RT/RW 019/003, Bangah, Gedangan, Sidoarjo</t>
  </si>
  <si>
    <t xml:space="preserve">TOTOK SETIAWAN</t>
  </si>
  <si>
    <t xml:space="preserve">0001161523664</t>
  </si>
  <si>
    <t xml:space="preserve">3525060203930001</t>
  </si>
  <si>
    <t xml:space="preserve">Sumengko Utara, RT/RW 015/006, Sumengko, Gresik, Gresik</t>
  </si>
  <si>
    <t xml:space="preserve">ANDRI LUSANTO</t>
  </si>
  <si>
    <t xml:space="preserve">25053669347</t>
  </si>
  <si>
    <t xml:space="preserve">0002428984541</t>
  </si>
  <si>
    <t xml:space="preserve">3527122311810002</t>
  </si>
  <si>
    <t xml:space="preserve">Dsn Sumber Bhakti, RT/RW 000/000, Ketapang Barat, Ketapang, Sampang</t>
  </si>
  <si>
    <t xml:space="preserve">MUHAMMAD MARJUKI</t>
  </si>
  <si>
    <t xml:space="preserve">0002001406781</t>
  </si>
  <si>
    <t xml:space="preserve">6472030904050002</t>
  </si>
  <si>
    <t xml:space="preserve">NINDI DWIKA PUTRI</t>
  </si>
  <si>
    <t xml:space="preserve">28033724979</t>
  </si>
  <si>
    <t xml:space="preserve">0001298719776</t>
  </si>
  <si>
    <t xml:space="preserve">1271015101010001</t>
  </si>
  <si>
    <t xml:space="preserve">Jl. SM Raja Pulau Harapan3-3, RT/RW 000/000, Sitirejo I, Medan Kota, Medan</t>
  </si>
  <si>
    <t xml:space="preserve">ANINDA FEBBY WARDANI</t>
  </si>
  <si>
    <t xml:space="preserve">25083698321</t>
  </si>
  <si>
    <t xml:space="preserve">0002076133781</t>
  </si>
  <si>
    <t xml:space="preserve">5201096202970005</t>
  </si>
  <si>
    <t xml:space="preserve">J. Energi Gg Energi I No.3 Banjar, RT/RW 001/033, Banjar, Ampenan, Mataram</t>
  </si>
  <si>
    <t xml:space="preserve">YAYAN EFENDY</t>
  </si>
  <si>
    <t xml:space="preserve">28018460924</t>
  </si>
  <si>
    <t xml:space="preserve">0000720603652</t>
  </si>
  <si>
    <t xml:space="preserve">3515051404910001</t>
  </si>
  <si>
    <t xml:space="preserve">Dusun Doro, RT/RW 002/001, Karangdagangan, Bandarkedungmulyo, Jombang</t>
  </si>
  <si>
    <t xml:space="preserve">ALIFIYAH FAIZATUS ZAHRO</t>
  </si>
  <si>
    <t xml:space="preserve">0003178953775</t>
  </si>
  <si>
    <t xml:space="preserve">Admin Produksi</t>
  </si>
  <si>
    <t xml:space="preserve">3525155605050003</t>
  </si>
  <si>
    <t xml:space="preserve">HELGA PUTRA PRATAMA NURYANTO</t>
  </si>
  <si>
    <t xml:space="preserve">0003647461858</t>
  </si>
  <si>
    <t xml:space="preserve">Repair Bodi</t>
  </si>
  <si>
    <t xml:space="preserve">3515182606050009</t>
  </si>
  <si>
    <t xml:space="preserve">Jl. Brigj. Katamso IV/2 15, RT/RW 030/006, Kedungrejo, Waru, Sidoarjo</t>
  </si>
  <si>
    <t xml:space="preserve">ACHMAD ADAM OKTA MAULANA</t>
  </si>
  <si>
    <t xml:space="preserve">0001174921738</t>
  </si>
  <si>
    <t xml:space="preserve">3515180110040001</t>
  </si>
  <si>
    <t xml:space="preserve">Jl. Brigjen Katamso 4/1 15, RT/RW 028/006, Kedungrejo, Waru, Sidoarjo</t>
  </si>
  <si>
    <t xml:space="preserve">IBNU SYAHRUL MAULIDAN</t>
  </si>
  <si>
    <t xml:space="preserve">0001169435632</t>
  </si>
  <si>
    <t xml:space="preserve">3515161304060003</t>
  </si>
  <si>
    <t xml:space="preserve">Wedi, RT/RW 002/003, Wedi, Gedangan, Sidoarjo</t>
  </si>
  <si>
    <t xml:space="preserve">MOCHAMAD SAHLUL CHAMDI</t>
  </si>
  <si>
    <t xml:space="preserve">20061235311</t>
  </si>
  <si>
    <t xml:space="preserve">0002626597732</t>
  </si>
  <si>
    <t xml:space="preserve">3525141710000002</t>
  </si>
  <si>
    <t xml:space="preserve">Veteran IX D 1/24, RT/RW 002/011, Singosari, Kebomas, Gresik</t>
  </si>
  <si>
    <t xml:space="preserve">CANTIKA SEPTI ANGGRAENI PUSPITASARI</t>
  </si>
  <si>
    <t xml:space="preserve">0001281179698</t>
  </si>
  <si>
    <t xml:space="preserve">Admin Finance</t>
  </si>
  <si>
    <t xml:space="preserve">3525145109990002</t>
  </si>
  <si>
    <t xml:space="preserve">Veteran Madya Barat 38, RT/RW 002/003, Gending, Kebomas, Gresik</t>
  </si>
  <si>
    <t xml:space="preserve">FERDIANSAH</t>
  </si>
  <si>
    <t xml:space="preserve">0003769134524</t>
  </si>
  <si>
    <t xml:space="preserve">3514102907040004</t>
  </si>
  <si>
    <t xml:space="preserve">Sawo Lingk Tulang, RT/RW 006/005, Ledug, Prigen, Pasuruan</t>
  </si>
  <si>
    <t xml:space="preserve">FAHMI ROSYADI</t>
  </si>
  <si>
    <t xml:space="preserve">28058431413</t>
  </si>
  <si>
    <t xml:space="preserve">0002415656114</t>
  </si>
  <si>
    <t xml:space="preserve">3515172608960005</t>
  </si>
  <si>
    <t xml:space="preserve">Jl. Malik Ibrahim, RT/RW 004/002, Kwangsan, Sedati, Sidoarjo</t>
  </si>
  <si>
    <t xml:space="preserve">MUHAMMAD AROFAH AL MANSHURIN</t>
  </si>
  <si>
    <t xml:space="preserve">PT BAYA JAYA EXPRESS</t>
  </si>
  <si>
    <t xml:space="preserve">24026456724</t>
  </si>
  <si>
    <t xml:space="preserve">Handling / Tally</t>
  </si>
  <si>
    <t xml:space="preserve">3515131503000010</t>
  </si>
  <si>
    <t xml:space="preserve">Jl. Raden Saleh VI, RT/RW 003/007, Menteng, Jekan Raya</t>
  </si>
  <si>
    <t xml:space="preserve">SUKISNO</t>
  </si>
  <si>
    <t xml:space="preserve">22005560736</t>
  </si>
  <si>
    <t xml:space="preserve">3517171203930001</t>
  </si>
  <si>
    <t xml:space="preserve">Dsn Jegreg, RT/RW 001/002, Kepuhrejo, Kudu, Jombang</t>
  </si>
  <si>
    <t xml:space="preserve">WIGIANTONO</t>
  </si>
  <si>
    <t xml:space="preserve">3525150807970002</t>
  </si>
  <si>
    <t xml:space="preserve">Jl. Semeru No. 105 A, RT/RW 007/002, Bambe, Driyorejo, Gresik</t>
  </si>
  <si>
    <t xml:space="preserve">DIMAS BOEDIYONO RAHARDJO</t>
  </si>
  <si>
    <t xml:space="preserve">PT SEKAWAN INTIPLAST - D</t>
  </si>
  <si>
    <t xml:space="preserve">Helper Mixing</t>
  </si>
  <si>
    <t xml:space="preserve">3515131303020003</t>
  </si>
  <si>
    <t xml:space="preserve">Kalijaten, RT/RW 010/002, Kalijaten, Taman, Sidoarjo</t>
  </si>
  <si>
    <t xml:space="preserve">MOCH. ARIF NURCAHYANTO</t>
  </si>
  <si>
    <t xml:space="preserve">3522081711870001</t>
  </si>
  <si>
    <t xml:space="preserve">Warugunung, RT/RW 005/003, Waru Gunung, Karang Pilang, Surabaya</t>
  </si>
  <si>
    <t xml:space="preserve">PARLAN</t>
  </si>
  <si>
    <t xml:space="preserve">3578010611710004</t>
  </si>
  <si>
    <t xml:space="preserve">Warugunung, RT/RW 004/002, Waru Gunung, Karang Pilang, Surabaya</t>
  </si>
  <si>
    <t xml:space="preserve">ALIFFANDI BANU SAKTI SETIONO</t>
  </si>
  <si>
    <t xml:space="preserve">3506033004990001</t>
  </si>
  <si>
    <t xml:space="preserve">Dsn. Menang, RT/RW 002/007, Kras, Kras, Kediri</t>
  </si>
  <si>
    <t xml:space="preserve">TAUFIQ SATRYA</t>
  </si>
  <si>
    <t xml:space="preserve">25012414930</t>
  </si>
  <si>
    <t xml:space="preserve">3578132402830002</t>
  </si>
  <si>
    <t xml:space="preserve">Margorukun Tengah No. 16-A, RT/RW 004/002, Gundih, Bubutan, Surabaya</t>
  </si>
  <si>
    <t xml:space="preserve">TUTUR SANGAJI</t>
  </si>
  <si>
    <t xml:space="preserve">26009263426</t>
  </si>
  <si>
    <t xml:space="preserve">3521151702880004</t>
  </si>
  <si>
    <t xml:space="preserve">Jetak, RT/RW 002/001, Klitik, Geneng, Ngawi</t>
  </si>
  <si>
    <t xml:space="preserve">ARI KUSWANTORO</t>
  </si>
  <si>
    <t xml:space="preserve">20084293978</t>
  </si>
  <si>
    <t xml:space="preserve">3517163012960001</t>
  </si>
  <si>
    <t xml:space="preserve">Dsn Kabuh, RT/RW 002/002, Kabuh, Kabuh, Jombang</t>
  </si>
  <si>
    <t xml:space="preserve">DAWWAS RUSWIJANARKO</t>
  </si>
  <si>
    <t xml:space="preserve">24069501409</t>
  </si>
  <si>
    <t xml:space="preserve">0002474021259</t>
  </si>
  <si>
    <t xml:space="preserve">Pengawas Proyek</t>
  </si>
  <si>
    <t xml:space="preserve">3314111405010001</t>
  </si>
  <si>
    <t xml:space="preserve">Ngepos, RT/RW 005/009, Jetak, Sidoharjo, Sragen</t>
  </si>
  <si>
    <t xml:space="preserve">ARISMA AYU ANINGTYAS</t>
  </si>
  <si>
    <t xml:space="preserve">0000724664417</t>
  </si>
  <si>
    <t xml:space="preserve">3516056612980003</t>
  </si>
  <si>
    <t xml:space="preserve">Watukosek, RT/RW 001/002, Watukosek, Gempol, Pasuruan</t>
  </si>
  <si>
    <t xml:space="preserve">NURUN NISA'</t>
  </si>
  <si>
    <t xml:space="preserve">0001148092817</t>
  </si>
  <si>
    <t xml:space="preserve">3516055810870001</t>
  </si>
  <si>
    <t xml:space="preserve">Dsn. Kesono, RT/RW 007/002, Candiharjo, Ngoro, Mojokerto</t>
  </si>
  <si>
    <t xml:space="preserve">SUKISWANTO</t>
  </si>
  <si>
    <t xml:space="preserve">3516142603840001</t>
  </si>
  <si>
    <t xml:space="preserve">Jln. Pagerluyung Barat, RT/RW 007/003, Gedeg, Kab. Mojokerto</t>
  </si>
  <si>
    <t xml:space="preserve">CHABIBULLOH</t>
  </si>
  <si>
    <t xml:space="preserve">3517131908880003</t>
  </si>
  <si>
    <t xml:space="preserve">Jln. Patimura, RT/RW 002/003, Tembeleng, Jombang</t>
  </si>
  <si>
    <t xml:space="preserve">IVAN ARI CANDRA</t>
  </si>
  <si>
    <t xml:space="preserve">3516120808930002</t>
  </si>
  <si>
    <t xml:space="preserve">Dsn. Kraton, Ds. Temon, RT/RW 002/009, Trowulan, Kab. Mojokerto</t>
  </si>
  <si>
    <t xml:space="preserve">MUSROFIK</t>
  </si>
  <si>
    <t xml:space="preserve">3517100612820003</t>
  </si>
  <si>
    <t xml:space="preserve">Dsn. Paras, RT/RW 003/003, Ds. Turipinggir, Megaluh, Jombang</t>
  </si>
  <si>
    <t xml:space="preserve">DODOT IWANDOYO</t>
  </si>
  <si>
    <t xml:space="preserve">3516141204810002</t>
  </si>
  <si>
    <t xml:space="preserve">Dsn. Wonoasri, RT/RW 004/003, Ds. Kejagan, Trowulan, Kab. Mojokerto</t>
  </si>
  <si>
    <t xml:space="preserve">DEDIK SULAIMAN</t>
  </si>
  <si>
    <t xml:space="preserve">3516122210920001</t>
  </si>
  <si>
    <t xml:space="preserve">Dsn. Kraton, RT/RW 002/004, Ds. Temon, Trowulan, Kab. Mojokerto</t>
  </si>
  <si>
    <t xml:space="preserve">M. MUKHLISIN</t>
  </si>
  <si>
    <t xml:space="preserve">0000685134077</t>
  </si>
  <si>
    <t xml:space="preserve">3507281302980001</t>
  </si>
  <si>
    <t xml:space="preserve">Sepudak RT/RW 010/005 Kasembon, Kasembon, Malang</t>
  </si>
  <si>
    <t xml:space="preserve">AJI BAGUS ARIANTO</t>
  </si>
  <si>
    <t xml:space="preserve">0002195459414</t>
  </si>
  <si>
    <t xml:space="preserve">3516050702980002</t>
  </si>
  <si>
    <t xml:space="preserve">Dusun Lebak, RT/RW 001/005, Lebaksono, Pungging, Mojokerto</t>
  </si>
  <si>
    <t xml:space="preserve">INDAH KUSMAWATI</t>
  </si>
  <si>
    <t xml:space="preserve">0000724420056</t>
  </si>
  <si>
    <t xml:space="preserve">3516065605850002</t>
  </si>
  <si>
    <t xml:space="preserve">Dsn. Balong Masin, RT/RW 002/002, Balongmasin, Pungging, Mojokerto</t>
  </si>
  <si>
    <t xml:space="preserve">CHUSNUL ASJKARI</t>
  </si>
  <si>
    <t xml:space="preserve">29003105351</t>
  </si>
  <si>
    <t xml:space="preserve">0000788501384</t>
  </si>
  <si>
    <t xml:space="preserve">Bongkar Muat</t>
  </si>
  <si>
    <t xml:space="preserve">3578061405890005</t>
  </si>
  <si>
    <t xml:space="preserve">Petemon Timur Buntu 7, RT/RW 009/002, Kupang Krajan, Sawahan, Surabaya</t>
  </si>
  <si>
    <t xml:space="preserve">SRIONO</t>
  </si>
  <si>
    <t xml:space="preserve">0001543312732</t>
  </si>
  <si>
    <t xml:space="preserve">3518100606960001</t>
  </si>
  <si>
    <t xml:space="preserve">JL. Jambu Raya, RT/RW 003/002, Sukorejo, Kebomas, Gresik</t>
  </si>
  <si>
    <t xml:space="preserve">FIRMAN NUR CAHYONO</t>
  </si>
  <si>
    <t xml:space="preserve">26069348156</t>
  </si>
  <si>
    <t xml:space="preserve">0001702433608</t>
  </si>
  <si>
    <t xml:space="preserve">3517160601960003</t>
  </si>
  <si>
    <t xml:space="preserve">Dsn Colo, RT/RW 007/004, Sumberingin, Kabuh, Jombang</t>
  </si>
  <si>
    <t xml:space="preserve">IRFAN DWI PRASETYO</t>
  </si>
  <si>
    <t xml:space="preserve">0002998891258</t>
  </si>
  <si>
    <t xml:space="preserve">3578192110010001</t>
  </si>
  <si>
    <t xml:space="preserve">Tengger Kandangan 17/40, RT/RW 001/005, Kandangan, Benowo, Surabaya</t>
  </si>
  <si>
    <t xml:space="preserve">RIDHO LUSTIANDI ROMADHON</t>
  </si>
  <si>
    <t xml:space="preserve">27058780368</t>
  </si>
  <si>
    <t xml:space="preserve">3516162710050004</t>
  </si>
  <si>
    <t xml:space="preserve">RIDHO MAULANA ARDIANSYAH</t>
  </si>
  <si>
    <t xml:space="preserve">3516160904060006</t>
  </si>
  <si>
    <t xml:space="preserve">Dusun Sawo, RT/RW 003/001, Sawo, Jetis, Mojokerto</t>
  </si>
  <si>
    <t xml:space="preserve">MUHAMMAD FAISAL RZKY</t>
  </si>
  <si>
    <t xml:space="preserve">22073084282</t>
  </si>
  <si>
    <t xml:space="preserve">3516130608020003</t>
  </si>
  <si>
    <t xml:space="preserve">Sambigede, RT/RW 001/002, Mojokumpul, Kemlagi, Mojokerto</t>
  </si>
  <si>
    <t xml:space="preserve">HABIB MUHAMMAD HABIBULLAH</t>
  </si>
  <si>
    <t xml:space="preserve">23084302556</t>
  </si>
  <si>
    <t xml:space="preserve">3516152705040004</t>
  </si>
  <si>
    <t xml:space="preserve">Dsn. Wonorejo, RT/RW 014/004, Mojowono, Kemlagi, Mojokerto</t>
  </si>
  <si>
    <t xml:space="preserve">MUHAMMAD FAIQ UBAIDILLAH</t>
  </si>
  <si>
    <t xml:space="preserve">3516160105010001</t>
  </si>
  <si>
    <t xml:space="preserve">M. MAHSUS</t>
  </si>
  <si>
    <t xml:space="preserve">21034227733</t>
  </si>
  <si>
    <t xml:space="preserve">0000768848444</t>
  </si>
  <si>
    <t xml:space="preserve">3526071407030001</t>
  </si>
  <si>
    <t xml:space="preserve">Dsn. Plebunan, RT/RW 001/001, Berbeluk, Arosbaya, Bangkalan</t>
  </si>
  <si>
    <t xml:space="preserve">ARIF RAHMAT HERLAMBANG</t>
  </si>
  <si>
    <t xml:space="preserve">0002203280818</t>
  </si>
  <si>
    <t xml:space="preserve">3514230101950009</t>
  </si>
  <si>
    <t xml:space="preserve">Sarirejo, RT/RW 002/001, Arjosari, Rejoso, Pasuruan</t>
  </si>
  <si>
    <t xml:space="preserve">ULFI INDRIANI SARI</t>
  </si>
  <si>
    <t xml:space="preserve">DITARIK KLIEN</t>
  </si>
  <si>
    <t xml:space="preserve">20087254229</t>
  </si>
  <si>
    <t xml:space="preserve">0000684685866</t>
  </si>
  <si>
    <t xml:space="preserve">3508046311970001</t>
  </si>
  <si>
    <t xml:space="preserve">Dusun Siluman, RT/RW 004/009, Bades, Pasirian, Lumajang</t>
  </si>
  <si>
    <t xml:space="preserve">DEDEN SUPRIATNA</t>
  </si>
  <si>
    <t xml:space="preserve">3578061606920002</t>
  </si>
  <si>
    <t xml:space="preserve">Putat Jaya Pasar 35, RT/RW 002/003, Putat Jaya, Sawahan, Surabaya</t>
  </si>
  <si>
    <t xml:space="preserve">TIKA LAILATUL AZIZAH</t>
  </si>
  <si>
    <t xml:space="preserve">0002876161329</t>
  </si>
  <si>
    <t xml:space="preserve">3507066302060001</t>
  </si>
  <si>
    <t xml:space="preserve">Dusun Kepatihan, RT/RW 012/004, Kepatihan, Tirtoyudo, Malang</t>
  </si>
  <si>
    <t xml:space="preserve">SAMSUL HUDA</t>
  </si>
  <si>
    <t xml:space="preserve">29035186229</t>
  </si>
  <si>
    <t xml:space="preserve">3515021708820004</t>
  </si>
  <si>
    <t xml:space="preserve">Dsn. Wonokerto, RT/RW 002/001, Ds. Wonokerto, Prambon, Sidoarjo</t>
  </si>
  <si>
    <t xml:space="preserve">HADI SANTOSO</t>
  </si>
  <si>
    <t xml:space="preserve">3515021303810001</t>
  </si>
  <si>
    <t xml:space="preserve">Dsn. Tanjunganam, RT/RW 001/007, Ds. Bulang, Prambon, Sidoarjo</t>
  </si>
  <si>
    <t xml:space="preserve">SUGIADI</t>
  </si>
  <si>
    <t xml:space="preserve">3515021505770007</t>
  </si>
  <si>
    <t xml:space="preserve">Wonoplintahan, RT/RW 001/002, Prambon, Sidoarjo</t>
  </si>
  <si>
    <t xml:space="preserve">0001701735491</t>
  </si>
  <si>
    <t xml:space="preserve">Helper Molding</t>
  </si>
  <si>
    <t xml:space="preserve">3516062405900003</t>
  </si>
  <si>
    <t xml:space="preserve">Randurancang, RT/RW 023/068, Randuharjo, Pungging, Mojokerto</t>
  </si>
  <si>
    <t xml:space="preserve">27063140573</t>
  </si>
  <si>
    <t xml:space="preserve">3516163011830001</t>
  </si>
  <si>
    <t xml:space="preserve">Lingk. Kuwung 6B RT003 RW001 Kranggan Mojokerto</t>
  </si>
  <si>
    <t xml:space="preserve">MOCHAMMAD ARIFUDIN HISBULLOH</t>
  </si>
  <si>
    <t xml:space="preserve">3516182802820001</t>
  </si>
  <si>
    <t xml:space="preserve">Kweden kembar RT005 RW003 Mojoanyar Kab. Mojokerto</t>
  </si>
  <si>
    <t xml:space="preserve">SYAIFUL ANWAR</t>
  </si>
  <si>
    <t xml:space="preserve">3516121704870001</t>
  </si>
  <si>
    <t xml:space="preserve">Kedungmaling RT005 RW002 Sooko Kab. Mojokerto</t>
  </si>
  <si>
    <t xml:space="preserve">HERI SISWANTO</t>
  </si>
  <si>
    <t xml:space="preserve">3516182102890002</t>
  </si>
  <si>
    <t xml:space="preserve">Dsn. Gayaman RT004 RW001 Mojoanyar Kab. Mojokerto</t>
  </si>
  <si>
    <t xml:space="preserve">MOCHAMMAD ZAINUL ABIDIN</t>
  </si>
  <si>
    <t xml:space="preserve">Jawa Tengah</t>
  </si>
  <si>
    <t xml:space="preserve">Merchendiser</t>
  </si>
  <si>
    <t xml:space="preserve">3316051605010001</t>
  </si>
  <si>
    <t xml:space="preserve">Jl. Randublatung RT004 RW004 Cepu Blora</t>
  </si>
  <si>
    <t xml:space="preserve">RAHMA VIRA AMELIA</t>
  </si>
  <si>
    <t xml:space="preserve">0001163528932</t>
  </si>
  <si>
    <t xml:space="preserve">3516057008050001</t>
  </si>
  <si>
    <t xml:space="preserve">Dsn. Purwojati, RT/RW 001/007, Purwojati, Ngoro, Mojokerto</t>
  </si>
  <si>
    <t xml:space="preserve">FITA YUNIANTI</t>
  </si>
  <si>
    <t xml:space="preserve">20004431471</t>
  </si>
  <si>
    <t xml:space="preserve">0001620264464</t>
  </si>
  <si>
    <t xml:space="preserve">3515155606830001</t>
  </si>
  <si>
    <t xml:space="preserve">Taman Tiara Regency Green Cluster C-18, RT/RW 054/013, Pagerwojo, Buduran, Sidoarjo</t>
  </si>
  <si>
    <t xml:space="preserve">RAFLI SYACHDEWA ARDIATAMA</t>
  </si>
  <si>
    <t xml:space="preserve">0001838702441</t>
  </si>
  <si>
    <t xml:space="preserve">3578102712000004</t>
  </si>
  <si>
    <t xml:space="preserve">Dukuh Setro Rawasan 2/4, RT/RW 009/002, Dukuh Setro, Tambak Sari, Surabaya</t>
  </si>
  <si>
    <t xml:space="preserve">FIRMAN ARIYANTO</t>
  </si>
  <si>
    <t xml:space="preserve">22057795428</t>
  </si>
  <si>
    <t xml:space="preserve">PKHL - REGULER</t>
  </si>
  <si>
    <t xml:space="preserve">HL/Mekanik Listrik</t>
  </si>
  <si>
    <t xml:space="preserve">3516091312010002</t>
  </si>
  <si>
    <t xml:space="preserve">Dsn. Gajah, RT/RW 002/001, Ds. Ngembeh, Dlanggu, Kab. Mojokerto</t>
  </si>
  <si>
    <t xml:space="preserve">3516141109910001</t>
  </si>
  <si>
    <t xml:space="preserve">Dsn. Ngares Lor, RT/RW 002/001, Ngareskidul, Gedeg, Kab. Mojokerto</t>
  </si>
  <si>
    <t xml:space="preserve">NOVAN KEREN</t>
  </si>
  <si>
    <t xml:space="preserve">21000771594</t>
  </si>
  <si>
    <t xml:space="preserve">3505151011990001</t>
  </si>
  <si>
    <t xml:space="preserve">Dsn. Tambakan, RT/RW 004/004, Gandusari, Blitar</t>
  </si>
  <si>
    <t xml:space="preserve">MUHAMMAD FATKUR ROKHMAN</t>
  </si>
  <si>
    <t xml:space="preserve">3517120207930001</t>
  </si>
  <si>
    <t xml:space="preserve">Dsn. Rembugwangi, RT/RW 005/005, Ds. Watudakon, Kesamben, Jombang</t>
  </si>
  <si>
    <t xml:space="preserve">SULTONIL ADZIM</t>
  </si>
  <si>
    <t xml:space="preserve">3515010805840003</t>
  </si>
  <si>
    <t xml:space="preserve">Dsn. Jabon, RT/RW 018/006, Mliriprowo, Tarik, Sidoarjo</t>
  </si>
  <si>
    <t xml:space="preserve">3516080304990003</t>
  </si>
  <si>
    <t xml:space="preserve">Dsn. Ngemplak, Ds. Ngimbangan, RT/RW 004/002, Mojosari, Kab. Mojokerto</t>
  </si>
  <si>
    <t xml:space="preserve">DWI HERI SUSANTO</t>
  </si>
  <si>
    <t xml:space="preserve">3516140502910003</t>
  </si>
  <si>
    <t xml:space="preserve">Jl. Sukarsono, RT/RW 003/001, Gembongan, Gedeg, Kab. Mojokerto</t>
  </si>
  <si>
    <t xml:space="preserve">RIZAL NGESTI BUDISANTOSO</t>
  </si>
  <si>
    <t xml:space="preserve">0002415339562</t>
  </si>
  <si>
    <t xml:space="preserve">3516091606960001</t>
  </si>
  <si>
    <t xml:space="preserve">Kertorejo, RT/RW 002/006, Sumberkarang, Dlanggu, Mojokerto</t>
  </si>
  <si>
    <t xml:space="preserve">LINGGA LATANSHA</t>
  </si>
  <si>
    <t xml:space="preserve">21076738505</t>
  </si>
  <si>
    <t xml:space="preserve">0003570043522</t>
  </si>
  <si>
    <t xml:space="preserve">Admin Affiliate</t>
  </si>
  <si>
    <t xml:space="preserve">3311124912020003</t>
  </si>
  <si>
    <t xml:space="preserve">Perumahan D'Premier Penarukan Kepanjen No.B-20, RT/RW 003/002, Panarukan, Kepanjen, Malang</t>
  </si>
  <si>
    <t xml:space="preserve">M BADIUL ANWAR</t>
  </si>
  <si>
    <t xml:space="preserve">0002734601354</t>
  </si>
  <si>
    <t xml:space="preserve">3573011204940002</t>
  </si>
  <si>
    <t xml:space="preserve">JL. Sebuku 148, RT/RW 010/008, Bunulrejo, Blimbing, Malang</t>
  </si>
  <si>
    <t xml:space="preserve">FRESI AMINASARI</t>
  </si>
  <si>
    <t xml:space="preserve">21049431200</t>
  </si>
  <si>
    <t xml:space="preserve">0001698571361</t>
  </si>
  <si>
    <t xml:space="preserve">3314184702050001</t>
  </si>
  <si>
    <t xml:space="preserve">Nglojok, RT/RW 008/000, Pilangsari, Gesi, Sragen</t>
  </si>
  <si>
    <t xml:space="preserve">MOCHAMMAD ALFI BAIHAQI</t>
  </si>
  <si>
    <t xml:space="preserve">3576022003030001</t>
  </si>
  <si>
    <t xml:space="preserve">JL. Sersan Harun No.18, RT/RW 002/002, Purwotengah, Kranggan, Mojokerto</t>
  </si>
  <si>
    <t xml:space="preserve">MAYA NUR AYU FITRIANI</t>
  </si>
  <si>
    <t xml:space="preserve">26024528214</t>
  </si>
  <si>
    <t xml:space="preserve">0002159527893</t>
  </si>
  <si>
    <t xml:space="preserve">3503106312010001</t>
  </si>
  <si>
    <t xml:space="preserve">Dusun Manggis, RT/RW 018/007, Wonoanti, Gandusari, Trenggalek</t>
  </si>
  <si>
    <t xml:space="preserve">ARIF HARIANTO</t>
  </si>
  <si>
    <t xml:space="preserve">3516122101820001</t>
  </si>
  <si>
    <t xml:space="preserve">Dsn. Jatisumber, RT/RW 003/001, Ds. Watesumpak, Trowulan, Kab. Mojokerto</t>
  </si>
  <si>
    <t xml:space="preserve">NOVAN SUPRIADI</t>
  </si>
  <si>
    <t xml:space="preserve">3516142511930002</t>
  </si>
  <si>
    <t xml:space="preserve">Dsn. Kemantren, RT/RW 007/002, Gedeg, Kab. Mojokerto</t>
  </si>
  <si>
    <t xml:space="preserve">IMAM SUBEKTI</t>
  </si>
  <si>
    <t xml:space="preserve">3516140208870002</t>
  </si>
  <si>
    <t xml:space="preserve">Beratwetan, RT/RW 005/002, Gedeg, Kab. Mojokerto</t>
  </si>
  <si>
    <t xml:space="preserve">RENDY PANDU WINATA</t>
  </si>
  <si>
    <t xml:space="preserve">3507030206030005</t>
  </si>
  <si>
    <t xml:space="preserve">SULISTIYONO</t>
  </si>
  <si>
    <t xml:space="preserve">29056255352</t>
  </si>
  <si>
    <t xml:space="preserve">0001151778104</t>
  </si>
  <si>
    <t xml:space="preserve">3507190706880001</t>
  </si>
  <si>
    <t xml:space="preserve">JL Teluk Bayur, RT/RW 003/007, Pandanwangi, Blimbing, Malang</t>
  </si>
  <si>
    <t xml:space="preserve">WISNU AINUL YAKIN</t>
  </si>
  <si>
    <t xml:space="preserve">0001722751468</t>
  </si>
  <si>
    <t xml:space="preserve">3515181904890008</t>
  </si>
  <si>
    <t xml:space="preserve">JL Jatisari Besar, RT/RW 001/005, Pepelegi, Waru, Sidoarjo</t>
  </si>
  <si>
    <t xml:space="preserve">MOHAMMAD RIZAL FITRIANSYAH</t>
  </si>
  <si>
    <t xml:space="preserve">0002092324364</t>
  </si>
  <si>
    <t xml:space="preserve">Admin Staff</t>
  </si>
  <si>
    <t xml:space="preserve">3515100203960005</t>
  </si>
  <si>
    <t xml:space="preserve">NUR MUHAMMAD SHIDDIQ</t>
  </si>
  <si>
    <t xml:space="preserve">0001834072852</t>
  </si>
  <si>
    <t xml:space="preserve">3515112105970004</t>
  </si>
  <si>
    <t xml:space="preserve">Dusun Sumber, RT/RW 001/001, Terik, Krian, Sidoarjo</t>
  </si>
  <si>
    <t xml:space="preserve">TRI WIDIYANTO</t>
  </si>
  <si>
    <t xml:space="preserve">0000763139924</t>
  </si>
  <si>
    <t xml:space="preserve">3525013007930001</t>
  </si>
  <si>
    <t xml:space="preserve">JL. Seruni 278, RT/RW 009/003, Babakbawo, Dukun, Gresik</t>
  </si>
  <si>
    <t xml:space="preserve">MOCHAMAD RIYAN ADIMAS HIDAYATULLOH</t>
  </si>
  <si>
    <t xml:space="preserve">0000723233182</t>
  </si>
  <si>
    <t xml:space="preserve">3515121711960003</t>
  </si>
  <si>
    <t xml:space="preserve">Kedungmojo, RT/RW 006/002, Kedung Sukodani, Balongbendo, Sidoarjo</t>
  </si>
  <si>
    <t xml:space="preserve">MAYONG JUSUF BAHARUDDIN</t>
  </si>
  <si>
    <t xml:space="preserve">0002889780309</t>
  </si>
  <si>
    <t xml:space="preserve">3515181801990003</t>
  </si>
  <si>
    <t xml:space="preserve">Kepuhkiriman, RT/RW 003/010, Kepuhkiriman, Waru, Sidoarjo</t>
  </si>
  <si>
    <t xml:space="preserve">ANDREANSYAH</t>
  </si>
  <si>
    <t xml:space="preserve">0002999222504</t>
  </si>
  <si>
    <t xml:space="preserve">3578102106980008</t>
  </si>
  <si>
    <t xml:space="preserve">Gubeng Masjid 2/31, RT/RW 003/007, Pacarkeling, Tambaksari, Surabaya</t>
  </si>
  <si>
    <t xml:space="preserve">FAIZ NADAR ALAMRI</t>
  </si>
  <si>
    <t xml:space="preserve">BOSAN</t>
  </si>
  <si>
    <t xml:space="preserve">0002424930524</t>
  </si>
  <si>
    <t xml:space="preserve">6402033008030004</t>
  </si>
  <si>
    <t xml:space="preserve">Purwajaya</t>
  </si>
  <si>
    <t xml:space="preserve">Dusun Bangun Sari, RT/RW 008/000, Purwajaya, Loa Janan, Kutai Kartanegara</t>
  </si>
  <si>
    <t xml:space="preserve">MASULAH WAHYU AGUNG PRASTYO</t>
  </si>
  <si>
    <t xml:space="preserve">28054300196</t>
  </si>
  <si>
    <t xml:space="preserve">3516122009910001</t>
  </si>
  <si>
    <t xml:space="preserve">Dsn. Semanding RT/RW 005/001, Trowulan, Kab. Mojokerto</t>
  </si>
  <si>
    <t xml:space="preserve">MOH. KHUSAENI</t>
  </si>
  <si>
    <t xml:space="preserve">20037672499</t>
  </si>
  <si>
    <t xml:space="preserve">3516050906690006</t>
  </si>
  <si>
    <t xml:space="preserve">Sedati, RT/RW 003/004, Ngoro, Kab. Mojokerto</t>
  </si>
  <si>
    <t xml:space="preserve">LUTHFI ARIAN NUGRAHA</t>
  </si>
  <si>
    <t xml:space="preserve">0001798101044</t>
  </si>
  <si>
    <t xml:space="preserve">3515061112010006</t>
  </si>
  <si>
    <t xml:space="preserve">Perum Tas 3 Blok F3/01, RT/RW 049/007, Grabagan, Tulangan, Sidoarjo</t>
  </si>
  <si>
    <t xml:space="preserve">RIZKI SETIAWAN</t>
  </si>
  <si>
    <t xml:space="preserve">3517071207990006</t>
  </si>
  <si>
    <t xml:space="preserve">Dsn. Sidoluwih, RT/RW 002/006, Mojowarno, Jombang</t>
  </si>
  <si>
    <t xml:space="preserve">3516122408950001</t>
  </si>
  <si>
    <t xml:space="preserve">Sembujo, RT/RW 005/002, Budugsidorejo, Sumobito, Jombang</t>
  </si>
  <si>
    <t xml:space="preserve">SUBKHAN IRWANSYAH</t>
  </si>
  <si>
    <t xml:space="preserve">3516141011840003</t>
  </si>
  <si>
    <t xml:space="preserve">Dsn. Kedungsari, RT/RW 002/002, Kemlagi, Kab. Mojokerto</t>
  </si>
  <si>
    <t xml:space="preserve">ANDI SYARIFUDIN</t>
  </si>
  <si>
    <t xml:space="preserve">3517061012840002</t>
  </si>
  <si>
    <t xml:space="preserve">Dsn. Pekunden, RT/RW 003/006, Kademangan, Mojoagung</t>
  </si>
  <si>
    <t xml:space="preserve">NOVAN SABRI SANTOSO</t>
  </si>
  <si>
    <t xml:space="preserve">21023227610</t>
  </si>
  <si>
    <t xml:space="preserve">0001831086854</t>
  </si>
  <si>
    <t xml:space="preserve">3578211111000002</t>
  </si>
  <si>
    <t xml:space="preserve">Dukuh Karangan Gg 68 No 18 Kav Baru, RT/RW 004/003, Babatan, Wiyung, Surabaya</t>
  </si>
  <si>
    <t xml:space="preserve">DIDIK SUHERMANTO</t>
  </si>
  <si>
    <t xml:space="preserve">27073350098</t>
  </si>
  <si>
    <t xml:space="preserve">0002084901118</t>
  </si>
  <si>
    <t xml:space="preserve">3516080410750002</t>
  </si>
  <si>
    <t xml:space="preserve">Jotangan, RT/RW 012/006, Jotangan, Mojosari, Mojokerto</t>
  </si>
  <si>
    <t xml:space="preserve">AZI BAGUS PRASETYO</t>
  </si>
  <si>
    <t xml:space="preserve">3516151908000003</t>
  </si>
  <si>
    <t xml:space="preserve">Dsn. Sukomulyo RT002 RW001 Ds. Tanjungan Kemlagi Kab. Mojokerto</t>
  </si>
  <si>
    <t xml:space="preserve">MARVIYAN FANANI</t>
  </si>
  <si>
    <t xml:space="preserve">26024108651</t>
  </si>
  <si>
    <t xml:space="preserve">3516152203960001</t>
  </si>
  <si>
    <t xml:space="preserve">Berat Utara RT001 RW001 Kemlagi Kab. Mojokerto</t>
  </si>
  <si>
    <t xml:space="preserve">AHMAD FADIL</t>
  </si>
  <si>
    <t xml:space="preserve">27002264079</t>
  </si>
  <si>
    <t xml:space="preserve">3525060606890001</t>
  </si>
  <si>
    <t xml:space="preserve">Sooko RT 002 RW 003 Wringinanom Gresik</t>
  </si>
  <si>
    <t xml:space="preserve">JANTONO</t>
  </si>
  <si>
    <t xml:space="preserve">3516181405810004</t>
  </si>
  <si>
    <t xml:space="preserve">Dsn. Sadar, Ds. Sadar Tengah, RT/RW 010/002, Mojoanyar, Kab. Mojokerto</t>
  </si>
  <si>
    <t xml:space="preserve">IRFAN AGUS SETIAWAN</t>
  </si>
  <si>
    <t xml:space="preserve">3517121308920002</t>
  </si>
  <si>
    <t xml:space="preserve">Beluk, RT/RW 001/002, Jombok, Kesamben, Jombang</t>
  </si>
  <si>
    <t xml:space="preserve">DINDA PUSPODAYU</t>
  </si>
  <si>
    <t xml:space="preserve">3517132504940002</t>
  </si>
  <si>
    <t xml:space="preserve">Rembukwangi, RT/RW 002/005, Watudakon, Kesamben, Jombang</t>
  </si>
  <si>
    <t xml:space="preserve">SUNARDI</t>
  </si>
  <si>
    <t xml:space="preserve">3516181212780001</t>
  </si>
  <si>
    <t xml:space="preserve">Dsn. Kwedenwetan, RT/RW 005/003, Ds. Kwedenkembar, Mojoanyar, Kab. Mojokerto</t>
  </si>
  <si>
    <t xml:space="preserve">SANTRIYO</t>
  </si>
  <si>
    <t xml:space="preserve">3516121611820001</t>
  </si>
  <si>
    <t xml:space="preserve">Dsn. Botokpalung, RT/RW 003/005, Temon, Trowulan, Kab. Mojokerto</t>
  </si>
  <si>
    <t xml:space="preserve">EKO SETIAWAN</t>
  </si>
  <si>
    <t xml:space="preserve">3525060804880001</t>
  </si>
  <si>
    <t xml:space="preserve">Jambean, RT/RW 018/004, Pedagangan, Wringinanom, Gresik</t>
  </si>
  <si>
    <t xml:space="preserve">HENDRO</t>
  </si>
  <si>
    <t xml:space="preserve">3516160810810001</t>
  </si>
  <si>
    <t xml:space="preserve">Dsn. Penompo, RT/RW 005/002, Jetis, Kab. Mojokerto</t>
  </si>
  <si>
    <t xml:space="preserve">MOKHAMAD IMAM ASAARI</t>
  </si>
  <si>
    <t xml:space="preserve">3516182010900001</t>
  </si>
  <si>
    <t xml:space="preserve">Kwedenwetan, RT/RW 004/003, Kwedenkembar, Mojoanyar, Kab. Mojokerto</t>
  </si>
  <si>
    <t xml:space="preserve">YOYOK PUJIONO</t>
  </si>
  <si>
    <t xml:space="preserve">3516060507810001</t>
  </si>
  <si>
    <t xml:space="preserve">Dsn. Pungging Krisik, RT/RW 002/010, Balongmasin, Pungging, Kab. Mojokerto</t>
  </si>
  <si>
    <t xml:space="preserve">DIDIN PRIAMBODO</t>
  </si>
  <si>
    <t xml:space="preserve">25093718587</t>
  </si>
  <si>
    <t xml:space="preserve">3515022212890001</t>
  </si>
  <si>
    <t xml:space="preserve">Kajar, RT/RW 001/001, Kajartengguli, Prambon, Sidoarjo</t>
  </si>
  <si>
    <t xml:space="preserve">AGUS TRI MADHONI</t>
  </si>
  <si>
    <t xml:space="preserve">3515012203920002</t>
  </si>
  <si>
    <t xml:space="preserve">Pajaran Utara, RT/RW 008/004, Mliriprowo, Tarik, Sidoarjo</t>
  </si>
  <si>
    <t xml:space="preserve">OKY YUDA PRASETYO</t>
  </si>
  <si>
    <t xml:space="preserve">26082699105</t>
  </si>
  <si>
    <t xml:space="preserve">3576020710860006</t>
  </si>
  <si>
    <t xml:space="preserve">Jl. Meri, RT/RW 004/003, Kranggan, Mojokerto</t>
  </si>
  <si>
    <t xml:space="preserve">ADE</t>
  </si>
  <si>
    <t xml:space="preserve">3201320505770009</t>
  </si>
  <si>
    <t xml:space="preserve">Bogor</t>
  </si>
  <si>
    <t xml:space="preserve">KP. Lulut, RT/RW 001/001, Klapanunggal, Bogor</t>
  </si>
  <si>
    <t xml:space="preserve">ACHMAD DANDI ALIFUDIN</t>
  </si>
  <si>
    <t xml:space="preserve">PT HERTZ FLAVORS MAKMUR INDONESIA (LABOUR)</t>
  </si>
  <si>
    <t xml:space="preserve">29049965724</t>
  </si>
  <si>
    <t xml:space="preserve">0002506014551</t>
  </si>
  <si>
    <t xml:space="preserve">3516100811010002</t>
  </si>
  <si>
    <t xml:space="preserve">Sumberpandan, RT/RW 011/004, Mojotamping, Bangsal, Mojokerto</t>
  </si>
  <si>
    <t xml:space="preserve">SAHRUL ANAM</t>
  </si>
  <si>
    <t xml:space="preserve">25080337129</t>
  </si>
  <si>
    <t xml:space="preserve">0001639223447</t>
  </si>
  <si>
    <t xml:space="preserve">3578081111810003</t>
  </si>
  <si>
    <t xml:space="preserve">Jojoran 3/124, RT/RW 001/012, Mojo, Gubeng, Surabaya</t>
  </si>
  <si>
    <t xml:space="preserve">ERLANGGA RANDY YUDHANTARA RAMADHAN</t>
  </si>
  <si>
    <t xml:space="preserve">25089658397</t>
  </si>
  <si>
    <t xml:space="preserve">0001393126481</t>
  </si>
  <si>
    <t xml:space="preserve">Document Staff</t>
  </si>
  <si>
    <t xml:space="preserve">3523160904910001</t>
  </si>
  <si>
    <t xml:space="preserve">Bandut, RT/RW 002/001, Bogobabadan, Karangbinangun, Lamongan</t>
  </si>
  <si>
    <t xml:space="preserve">NURUL ISLAMIYAH</t>
  </si>
  <si>
    <t xml:space="preserve">26041323813</t>
  </si>
  <si>
    <t xml:space="preserve">0002299464516</t>
  </si>
  <si>
    <t xml:space="preserve">3516075803980001</t>
  </si>
  <si>
    <t xml:space="preserve">Sumberjati, RT/RW 001/001, Sawo, Kutorejo, Mojokerto</t>
  </si>
  <si>
    <t xml:space="preserve">ACHMAD THOHIRIN</t>
  </si>
  <si>
    <t xml:space="preserve">0001439525891</t>
  </si>
  <si>
    <t xml:space="preserve">3516063008900005</t>
  </si>
  <si>
    <t xml:space="preserve">Dsn. Bedagas, RT/RW 002/002, Tunggalpager, Pungging, Mojokerto</t>
  </si>
  <si>
    <t xml:space="preserve">ADE FATKHUL AMIN</t>
  </si>
  <si>
    <t xml:space="preserve">24013847387</t>
  </si>
  <si>
    <t xml:space="preserve">0002278676957</t>
  </si>
  <si>
    <t xml:space="preserve">3514162005950025</t>
  </si>
  <si>
    <t xml:space="preserve">Tambak Rejo, RT/RW 004/005, Tambak Rejo, Kraton, Pasuruan</t>
  </si>
  <si>
    <t xml:space="preserve">AHMAD BASHORI</t>
  </si>
  <si>
    <t xml:space="preserve">0001289666733</t>
  </si>
  <si>
    <t xml:space="preserve">3516100106950002</t>
  </si>
  <si>
    <t xml:space="preserve">Dsn. Dadapan, RT/RW 004/005, Salen, Bangsal, Mojokerto</t>
  </si>
  <si>
    <t xml:space="preserve">AHMAD DWI ALVIYAN</t>
  </si>
  <si>
    <t xml:space="preserve">0001283031257</t>
  </si>
  <si>
    <t xml:space="preserve">3516050407000004</t>
  </si>
  <si>
    <t xml:space="preserve">Dsn. Sidorejo, RT/RW 001/004, Wonosari, Ngoro, Mojokerto</t>
  </si>
  <si>
    <t xml:space="preserve">AILISIA JUNIKA PURWA PUTRI</t>
  </si>
  <si>
    <t xml:space="preserve">23089189916</t>
  </si>
  <si>
    <t xml:space="preserve">0001535999264</t>
  </si>
  <si>
    <t xml:space="preserve">3516156706960002</t>
  </si>
  <si>
    <t xml:space="preserve">Betro Barat, RT/RW 002/004, Betro, Kemlagi, Mojokerto</t>
  </si>
  <si>
    <t xml:space="preserve">ANDREAN PERMANA PUTRA</t>
  </si>
  <si>
    <t xml:space="preserve">0000730886242</t>
  </si>
  <si>
    <t xml:space="preserve">3517121712990001</t>
  </si>
  <si>
    <t xml:space="preserve">Dsn. Bahudan, RT/RW 005/001, Wuluh, Kesamben, Jombang</t>
  </si>
  <si>
    <t xml:space="preserve">ARDI PRASETYO</t>
  </si>
  <si>
    <t xml:space="preserve">0001153141942</t>
  </si>
  <si>
    <t xml:space="preserve">3516081105940005</t>
  </si>
  <si>
    <t xml:space="preserve">Dusun Gembongan, RT/RW 020/010, Jotangan, Mojosari, Mojokerto</t>
  </si>
  <si>
    <t xml:space="preserve">ANIS WIDAYATI</t>
  </si>
  <si>
    <t xml:space="preserve">21072888181</t>
  </si>
  <si>
    <t xml:space="preserve">0000738317496</t>
  </si>
  <si>
    <t xml:space="preserve">3519126104990001</t>
  </si>
  <si>
    <t xml:space="preserve">Dsn. Josaren, RT/RW 044/013, Sugihwaras, Saradan, Madiun</t>
  </si>
  <si>
    <t xml:space="preserve">ANJAR KUSUMA DEWI</t>
  </si>
  <si>
    <t xml:space="preserve">27068239712</t>
  </si>
  <si>
    <t xml:space="preserve">0001704452163</t>
  </si>
  <si>
    <t xml:space="preserve">3515065306960001</t>
  </si>
  <si>
    <t xml:space="preserve">Sangangewu, RT/RW 005/001, Penatarsewu, Tanggulangin, Sidoarjo</t>
  </si>
  <si>
    <t xml:space="preserve">ARINDRA DWI PUTRO</t>
  </si>
  <si>
    <t xml:space="preserve">0002685054148</t>
  </si>
  <si>
    <t xml:space="preserve">NPD</t>
  </si>
  <si>
    <t xml:space="preserve">3516142901020001</t>
  </si>
  <si>
    <t xml:space="preserve">Simpang, RT/RW 043/009, Sidoharjo, Gedeg, Mojokerto</t>
  </si>
  <si>
    <t xml:space="preserve">BAGUS WAHYU SETIAWAN</t>
  </si>
  <si>
    <t xml:space="preserve">0001327813885</t>
  </si>
  <si>
    <t xml:space="preserve">Prepress</t>
  </si>
  <si>
    <t xml:space="preserve">3516140809010003</t>
  </si>
  <si>
    <t xml:space="preserve">Dsn. Losari Timur, RT/RW 023/004, Sidoharjo, Gedeg, Mojokerto</t>
  </si>
  <si>
    <t xml:space="preserve">DADANG SURYA APRIANTO</t>
  </si>
  <si>
    <t xml:space="preserve">0002002270252</t>
  </si>
  <si>
    <t xml:space="preserve">3516051804980005</t>
  </si>
  <si>
    <t xml:space="preserve">Sidorejo, RT/RW 004/004, Wonosari, Ngoro, Mojokerto</t>
  </si>
  <si>
    <t xml:space="preserve">DENIS APRILLIA</t>
  </si>
  <si>
    <t xml:space="preserve">0001384587246</t>
  </si>
  <si>
    <t xml:space="preserve">3516056104040003</t>
  </si>
  <si>
    <t xml:space="preserve">Sidorejo, RT/RW 002/004, Wonosari, Ngoro, Mojokerto</t>
  </si>
  <si>
    <t xml:space="preserve">DIDIK APRIYONO</t>
  </si>
  <si>
    <t xml:space="preserve">0002417369905</t>
  </si>
  <si>
    <t xml:space="preserve">3516101604980003</t>
  </si>
  <si>
    <t xml:space="preserve">Kutoporong, RT/RW 001/001, Kutoporong, Bangsal, Mojokerto</t>
  </si>
  <si>
    <t xml:space="preserve">DEVI DWI ADE WILUJENG</t>
  </si>
  <si>
    <t xml:space="preserve">25090630500</t>
  </si>
  <si>
    <t xml:space="preserve">3576027112960005</t>
  </si>
  <si>
    <t xml:space="preserve">M. NAJIB RIAN PRAKOSO</t>
  </si>
  <si>
    <t xml:space="preserve">0002256515853</t>
  </si>
  <si>
    <t xml:space="preserve">3517092012970005</t>
  </si>
  <si>
    <t xml:space="preserve">Dsn Bekel, RT/RW 001/001, Kepuhkajang, Perak, Jombang</t>
  </si>
  <si>
    <t xml:space="preserve">M. SAIF ARDIANSYAH</t>
  </si>
  <si>
    <t xml:space="preserve">0003406942056</t>
  </si>
  <si>
    <t xml:space="preserve">3516072610020002</t>
  </si>
  <si>
    <t xml:space="preserve">Dsn. Plosorejo, RT/RW 011/005, Kaligoro, Kutorejo, Mojokerto</t>
  </si>
  <si>
    <t xml:space="preserve">MUHAMMAD RYAN SETYAWAN</t>
  </si>
  <si>
    <t xml:space="preserve">0001163441913</t>
  </si>
  <si>
    <t xml:space="preserve">3516051211030001</t>
  </si>
  <si>
    <t xml:space="preserve">Dsn. Krapyak, RT/RW 003/004, Kutogirang, Ngoro, Mojokerto</t>
  </si>
  <si>
    <t xml:space="preserve">MEGA ROIKA</t>
  </si>
  <si>
    <t xml:space="preserve">29037412619</t>
  </si>
  <si>
    <t xml:space="preserve">0002417360466</t>
  </si>
  <si>
    <t xml:space="preserve">3516055104000001</t>
  </si>
  <si>
    <t xml:space="preserve">Jedong Wetan, RT/RW 019/002, Wotanmas Jedong, Mojokerto</t>
  </si>
  <si>
    <t xml:space="preserve">MOCHAMMAD JUNAEDI</t>
  </si>
  <si>
    <t xml:space="preserve">23091525504</t>
  </si>
  <si>
    <t xml:space="preserve">0000715649319</t>
  </si>
  <si>
    <t xml:space="preserve">3514061604920002</t>
  </si>
  <si>
    <t xml:space="preserve">Belang, RT/RW 002/005, Patebon, Kejayan, Pasuruan</t>
  </si>
  <si>
    <t xml:space="preserve">NABILA EKA PRADISTA</t>
  </si>
  <si>
    <t xml:space="preserve">0002415530981</t>
  </si>
  <si>
    <t xml:space="preserve">3516084507040001</t>
  </si>
  <si>
    <t xml:space="preserve">Dsn. Sumbersari, RT/RW 029/011, Pekukuhan, Mojosari, Mojokerto</t>
  </si>
  <si>
    <t xml:space="preserve">NOLA PUTRI JUNIARTI</t>
  </si>
  <si>
    <t xml:space="preserve">0002844340187</t>
  </si>
  <si>
    <t xml:space="preserve">3516014306020002</t>
  </si>
  <si>
    <t xml:space="preserve">Dsn. Klanjan, RT/RW 001/001, Baureno, Jatirejo, Mojokerto</t>
  </si>
  <si>
    <t xml:space="preserve">PANDU ANDIKA PUTRA</t>
  </si>
  <si>
    <t xml:space="preserve">0002808826637</t>
  </si>
  <si>
    <t xml:space="preserve">3514211210040002</t>
  </si>
  <si>
    <t xml:space="preserve">Dusun Sumurwaru, RT/RW 002/001, Sumber Anyar, Nguling, Pasuruan</t>
  </si>
  <si>
    <t xml:space="preserve">PUSPA AYU WANDIKA</t>
  </si>
  <si>
    <t xml:space="preserve">0002195460044</t>
  </si>
  <si>
    <t xml:space="preserve">3516054112980005</t>
  </si>
  <si>
    <t xml:space="preserve">Dsn. Sidorejo, RT/RW 005/004, Wonosari, Ngoro, Mojokerto</t>
  </si>
  <si>
    <t xml:space="preserve">RAHMATIAH SAFIRA</t>
  </si>
  <si>
    <t xml:space="preserve">0002498013279</t>
  </si>
  <si>
    <t xml:space="preserve">3515156811050001</t>
  </si>
  <si>
    <t xml:space="preserve">Perum Graha Pesona C-4/10, RT/RW 005/005, Modong, Tulangan, Sidoarjo</t>
  </si>
  <si>
    <t xml:space="preserve">RIZKI YOGA NOFIANTO</t>
  </si>
  <si>
    <t xml:space="preserve">0002415560883</t>
  </si>
  <si>
    <t xml:space="preserve">3516050505980001</t>
  </si>
  <si>
    <t xml:space="preserve">Dsn. Sedati, RT/RW 004/004, Sedati, Ngoro, Kabupaten Mojokerto</t>
  </si>
  <si>
    <t xml:space="preserve">RAYNA FATHURINA RAMADHANI</t>
  </si>
  <si>
    <t xml:space="preserve">21035885709</t>
  </si>
  <si>
    <t xml:space="preserve">0002060219766</t>
  </si>
  <si>
    <t xml:space="preserve">3516086701970002</t>
  </si>
  <si>
    <t xml:space="preserve">Pekukuhan, RT/RW 010/004, Pekukuhan, Mojosari, Mojokerto</t>
  </si>
  <si>
    <t xml:space="preserve">PUTRA SATRIA SUKAJIDA</t>
  </si>
  <si>
    <t xml:space="preserve">0000786728564</t>
  </si>
  <si>
    <t xml:space="preserve">3578243010980001</t>
  </si>
  <si>
    <t xml:space="preserve">Panjangjiwo 9/12, RT/RW 003/003, Panjang Jiwo, Tenggilis Mejoyo, Surabaya</t>
  </si>
  <si>
    <t xml:space="preserve">TINO BINTANG PUTRA</t>
  </si>
  <si>
    <t xml:space="preserve">25015859103</t>
  </si>
  <si>
    <t xml:space="preserve">0003050350751</t>
  </si>
  <si>
    <t xml:space="preserve">3506120409950007</t>
  </si>
  <si>
    <t xml:space="preserve">Jongbiru, RT/RW 019/004, Jongbiru, Gampengrejo, Kediri</t>
  </si>
  <si>
    <t xml:space="preserve">TEGAR RIZAL SAPUTRA</t>
  </si>
  <si>
    <t xml:space="preserve">24053709710</t>
  </si>
  <si>
    <t xml:space="preserve">0002155561839</t>
  </si>
  <si>
    <t xml:space="preserve">3578011704020001</t>
  </si>
  <si>
    <t xml:space="preserve">Warugunung, RT/RW 004/003, Warugunung, Karang Pilang, Surabaya</t>
  </si>
  <si>
    <t xml:space="preserve">FARIZ PUTRA HARSONO</t>
  </si>
  <si>
    <t xml:space="preserve">0001200525254</t>
  </si>
  <si>
    <t xml:space="preserve">3578062709000003</t>
  </si>
  <si>
    <t xml:space="preserve">Kupang Krajan Lor 1/26, RT/RW 003/003, Kupang Krajan, Sawahan, Surabaya</t>
  </si>
  <si>
    <t xml:space="preserve">FRANSISCO PARIAMA</t>
  </si>
  <si>
    <t xml:space="preserve">0001143837663</t>
  </si>
  <si>
    <t xml:space="preserve">3372051204920002</t>
  </si>
  <si>
    <t xml:space="preserve">Griya Pasirian Permai Blok H-12, RT/RW 002/003, Pasirian, Pasirian, Lumajang</t>
  </si>
  <si>
    <t xml:space="preserve">WEMY SUSANDRA</t>
  </si>
  <si>
    <t xml:space="preserve">0003302817491</t>
  </si>
  <si>
    <t xml:space="preserve">3506040107980012</t>
  </si>
  <si>
    <t xml:space="preserve">Semolowaru No.83 D, RT/RW 005/002, Semolowaru, Sukolilo, Surabaya</t>
  </si>
  <si>
    <t xml:space="preserve">DANNYS ARDY ANGKASA</t>
  </si>
  <si>
    <t xml:space="preserve">0002971413898</t>
  </si>
  <si>
    <t xml:space="preserve">3525010501050002</t>
  </si>
  <si>
    <t xml:space="preserve">Lowayu, RT/RW 010/003, Lowayu, Dukun, Gresik</t>
  </si>
  <si>
    <t xml:space="preserve">ACHMAD REZA RIZQI MUHAMMAD</t>
  </si>
  <si>
    <t xml:space="preserve">0001167236504</t>
  </si>
  <si>
    <t xml:space="preserve">3515182009040001</t>
  </si>
  <si>
    <t xml:space="preserve">JL. Berbek II, RT/RW 001/002, Berbek, Waru, Sidoarjo</t>
  </si>
  <si>
    <t xml:space="preserve">MUHAMMAD NUR AUNI</t>
  </si>
  <si>
    <t xml:space="preserve">0000692330231</t>
  </si>
  <si>
    <t xml:space="preserve">3509012210010001</t>
  </si>
  <si>
    <t xml:space="preserve">Dusun Wringinsari, RT/RW 001/013, Padomasan, Jombang, Jember</t>
  </si>
  <si>
    <t xml:space="preserve">A. ERZANANDY PRADIPTA PUTRA IRAWAN</t>
  </si>
  <si>
    <t xml:space="preserve">0003260848454</t>
  </si>
  <si>
    <t xml:space="preserve">3515180405050007</t>
  </si>
  <si>
    <t xml:space="preserve">Tambakrejo, RT/RW 001/001, Tambakrejo, Waru, Sidoarjo</t>
  </si>
  <si>
    <t xml:space="preserve">MUHAMMAD FAHRIAL RAIZAN ROMADHON</t>
  </si>
  <si>
    <t xml:space="preserve">0001807487583</t>
  </si>
  <si>
    <t xml:space="preserve">3515180511030004</t>
  </si>
  <si>
    <t xml:space="preserve">Ngingas Selatan, RT/RW 003/001, Ngingas, Waru, Sidoarjo</t>
  </si>
  <si>
    <t xml:space="preserve">ACHMAD HAKIM</t>
  </si>
  <si>
    <t xml:space="preserve">0001542698414</t>
  </si>
  <si>
    <t xml:space="preserve">3578032410010001</t>
  </si>
  <si>
    <t xml:space="preserve">Rungkut Lor 6/30-A, RT/RW 006/005, Kalirungkut, Rungkut, Surabaya</t>
  </si>
  <si>
    <t xml:space="preserve">ANGGER SUKMADI</t>
  </si>
  <si>
    <t xml:space="preserve">0000788527978</t>
  </si>
  <si>
    <t xml:space="preserve">3578090212980001</t>
  </si>
  <si>
    <t xml:space="preserve">Menur 2/66, RT/RW 001/010, Menur Pumpungan, Sukolilo, Surabaya</t>
  </si>
  <si>
    <t xml:space="preserve">SAMSU</t>
  </si>
  <si>
    <t xml:space="preserve">0001703277461</t>
  </si>
  <si>
    <t xml:space="preserve">3516060702820004</t>
  </si>
  <si>
    <t xml:space="preserve">Dsn. Kamotan Wetan, RT/RW 030/013, Randuharjo, Pungging, Mojokerto</t>
  </si>
  <si>
    <t xml:space="preserve">BERYL EKO PRASETYO</t>
  </si>
  <si>
    <t xml:space="preserve">27011422846</t>
  </si>
  <si>
    <t xml:space="preserve">0002414335533</t>
  </si>
  <si>
    <t xml:space="preserve">3505142105000001</t>
  </si>
  <si>
    <t xml:space="preserve">Dsn Genengan, RT/RW 009/001, Duren, Talun, Blitar</t>
  </si>
  <si>
    <t xml:space="preserve">ISNIYA</t>
  </si>
  <si>
    <t xml:space="preserve">22094847005</t>
  </si>
  <si>
    <t xml:space="preserve">3527085606020003</t>
  </si>
  <si>
    <t xml:space="preserve">Simo Gunung Barat TOL 1/43, RT/RW 007/008, Simomulyo Baru, Sukomanunggal, Kota Surabaya</t>
  </si>
  <si>
    <t xml:space="preserve">IRFAN PRADANA</t>
  </si>
  <si>
    <t xml:space="preserve">0002511499959</t>
  </si>
  <si>
    <t xml:space="preserve">Helper HRGA</t>
  </si>
  <si>
    <t xml:space="preserve">3524160303990003</t>
  </si>
  <si>
    <t xml:space="preserve">Gurit, RT/RW 002/001, Sumberdadi, Mantup, Lamongan</t>
  </si>
  <si>
    <t xml:space="preserve">AMMAR FERDIANTO</t>
  </si>
  <si>
    <t xml:space="preserve">0000761562663</t>
  </si>
  <si>
    <t xml:space="preserve">3525022001010001</t>
  </si>
  <si>
    <t xml:space="preserve">Dsn Wonokerto, RT/RW 017/005, Sirnoboyo, Benjeng, Gresik</t>
  </si>
  <si>
    <t xml:space="preserve">FARIS AKBAR HINDAWAN</t>
  </si>
  <si>
    <t xml:space="preserve">0001767571571</t>
  </si>
  <si>
    <t xml:space="preserve">3505152806960001</t>
  </si>
  <si>
    <t xml:space="preserve">Ratna 1/7, RT/RW 008/001, Ngagel, Wonokromo, Surabaya</t>
  </si>
  <si>
    <t xml:space="preserve">THOIF KHARIRI</t>
  </si>
  <si>
    <t xml:space="preserve">0001047209793</t>
  </si>
  <si>
    <t xml:space="preserve">3524231409890001</t>
  </si>
  <si>
    <t xml:space="preserve">Padenganploso, RT/RW 006/001, Padenganploso, Pucuk, Lamongan</t>
  </si>
  <si>
    <t xml:space="preserve">MUHAMMAD INDRA IRAWAN</t>
  </si>
  <si>
    <t xml:space="preserve">22078700129</t>
  </si>
  <si>
    <t xml:space="preserve">0000762424863</t>
  </si>
  <si>
    <t xml:space="preserve">Koordinator Picker</t>
  </si>
  <si>
    <t xml:space="preserve">3525140510910003</t>
  </si>
  <si>
    <t xml:space="preserve">Sunan Giri 12-K No. 12, RT/RW 003/002, Sidomukti, Kebomas, Gresik</t>
  </si>
  <si>
    <t xml:space="preserve">KASTAMAN</t>
  </si>
  <si>
    <t xml:space="preserve">3525021306920021</t>
  </si>
  <si>
    <t xml:space="preserve">Dsn Wotansari, RT/RW 003/001, Wotansari, Balongpanggang, Gresik</t>
  </si>
  <si>
    <t xml:space="preserve">FRANS DHIO ERDINANSYAH</t>
  </si>
  <si>
    <t xml:space="preserve">0003120339993</t>
  </si>
  <si>
    <t xml:space="preserve">3524252906980001</t>
  </si>
  <si>
    <t xml:space="preserve">Ngepung, RT/RW 002/004, Rejosari, Deket, Lamongan</t>
  </si>
  <si>
    <t xml:space="preserve">ALDI ARFIAN FIRMANSYAH</t>
  </si>
  <si>
    <t xml:space="preserve">29067276398</t>
  </si>
  <si>
    <t xml:space="preserve">0000726877091</t>
  </si>
  <si>
    <t xml:space="preserve">3516162210020004</t>
  </si>
  <si>
    <t xml:space="preserve">Dusun Banjarsari, RT/RW 003/003, Banjarsari, Jetis, Mojokerto</t>
  </si>
  <si>
    <t xml:space="preserve">HANDIKA BUDI LAKSONO</t>
  </si>
  <si>
    <t xml:space="preserve">3515022108950001</t>
  </si>
  <si>
    <t xml:space="preserve">Gempolegi RT002 RW008 Bulang Prambon</t>
  </si>
  <si>
    <t xml:space="preserve">M. PRIANTO</t>
  </si>
  <si>
    <t xml:space="preserve">21055834299</t>
  </si>
  <si>
    <t xml:space="preserve">0003754065789</t>
  </si>
  <si>
    <t xml:space="preserve">3522242003980003</t>
  </si>
  <si>
    <t xml:space="preserve">Dusun Jajar, RT/RW 021/003, Sukosewu, Sukosewu, Bojonegoro</t>
  </si>
  <si>
    <t xml:space="preserve">TONI RAGIL SAPUTRO</t>
  </si>
  <si>
    <t xml:space="preserve">20032575976</t>
  </si>
  <si>
    <t xml:space="preserve">3518060408920005</t>
  </si>
  <si>
    <t xml:space="preserve">Ds. Pilang RT011 RW005 Kec. Wonoayu Sidoarjo</t>
  </si>
  <si>
    <t xml:space="preserve">DHAVIT SHOLIKUDIN</t>
  </si>
  <si>
    <t xml:space="preserve">25050597530</t>
  </si>
  <si>
    <t xml:space="preserve">3515032701930001</t>
  </si>
  <si>
    <t xml:space="preserve">Dsn. Tanjek RT003 RW002 Tanjekwagir Krembung Sidoarjo</t>
  </si>
  <si>
    <t xml:space="preserve">MUHAMMAD FAJAR MASRISQI</t>
  </si>
  <si>
    <t xml:space="preserve">3504050202990002</t>
  </si>
  <si>
    <t xml:space="preserve">Dsn. Tawang RT003 RW002 Kauman</t>
  </si>
  <si>
    <t xml:space="preserve">SUBANDI</t>
  </si>
  <si>
    <t xml:space="preserve">23079022464</t>
  </si>
  <si>
    <t xml:space="preserve">3515023006680006</t>
  </si>
  <si>
    <t xml:space="preserve">Dsn. Kajar RT004 RW001 Kajartengguli Prambon</t>
  </si>
  <si>
    <t xml:space="preserve">MOH. HERIYANTO</t>
  </si>
  <si>
    <t xml:space="preserve">21084599892</t>
  </si>
  <si>
    <t xml:space="preserve">3515092607870001</t>
  </si>
  <si>
    <t xml:space="preserve">Ketimang RT002 RW002 Pekoren Rembang</t>
  </si>
  <si>
    <t xml:space="preserve">MOHAMMAD YORRIS FIRIS MANDA</t>
  </si>
  <si>
    <t xml:space="preserve">PT TIRTAMAS COLDSTORINDO LOGISTIK (CS)</t>
  </si>
  <si>
    <t xml:space="preserve">Cleaning Service Leader</t>
  </si>
  <si>
    <t xml:space="preserve">3515110606000001</t>
  </si>
  <si>
    <t xml:space="preserve">Patuk, RT/RW 003/005, Sidomulyo, Krian, Sidoarjo</t>
  </si>
  <si>
    <t xml:space="preserve">NUNI TRI LESTARI</t>
  </si>
  <si>
    <t xml:space="preserve">3276106107880001</t>
  </si>
  <si>
    <t xml:space="preserve">Karangnongko Kedulan RT007 RW030 Kalasan Jogja</t>
  </si>
  <si>
    <t xml:space="preserve">M. ARIF RACHMANTO</t>
  </si>
  <si>
    <t xml:space="preserve">20081369154</t>
  </si>
  <si>
    <t xml:space="preserve">Koordinator Cleaning Service</t>
  </si>
  <si>
    <t xml:space="preserve">3515130904990001</t>
  </si>
  <si>
    <t xml:space="preserve">Ketegan, RT/RW 012/003, Ketegan, Taman, Sidoarjo</t>
  </si>
  <si>
    <t xml:space="preserve">PUTRI RAHMADHANI NOVIANTI</t>
  </si>
  <si>
    <t xml:space="preserve">3515126911010001</t>
  </si>
  <si>
    <t xml:space="preserve">Wringinpitu, RT/RW 003/002, BakalanWringinpitu, Balongbendo, Sidoarjo</t>
  </si>
  <si>
    <t xml:space="preserve">MOCHAMAD JAINUL</t>
  </si>
  <si>
    <t xml:space="preserve">0002094193135</t>
  </si>
  <si>
    <t xml:space="preserve">3515081903820002</t>
  </si>
  <si>
    <t xml:space="preserve">JL. Kombes Pol Duryat 12, RT/RW 001/001, Sidokumpul, Sidoarjo, Sidoarjo</t>
  </si>
  <si>
    <t xml:space="preserve">REZA PUTRA PRATAMA</t>
  </si>
  <si>
    <t xml:space="preserve">23021455835</t>
  </si>
  <si>
    <t xml:space="preserve">3520162311990002</t>
  </si>
  <si>
    <t xml:space="preserve">Mojopurno, RT/RW 006/003, Mojopurno, Ngariboyo, Magetan</t>
  </si>
  <si>
    <t xml:space="preserve">NARKO DWI ANGGORO</t>
  </si>
  <si>
    <t xml:space="preserve">3521180206870003</t>
  </si>
  <si>
    <t xml:space="preserve">Mangge, RT/RW 002/001, Barat, Magetan</t>
  </si>
  <si>
    <t xml:space="preserve">AIDIL DEWA NATA</t>
  </si>
  <si>
    <t xml:space="preserve">28065055785</t>
  </si>
  <si>
    <t xml:space="preserve">Mekanik</t>
  </si>
  <si>
    <t xml:space="preserve">3573040511020001</t>
  </si>
  <si>
    <t xml:space="preserve">Jln. Gadang III C/9, RT/RW 006/001, Sukun, Malang</t>
  </si>
  <si>
    <t xml:space="preserve">MUHAMMAD PHILIP TABAH</t>
  </si>
  <si>
    <t xml:space="preserve">0003080742647</t>
  </si>
  <si>
    <t xml:space="preserve">3525130110030006</t>
  </si>
  <si>
    <t xml:space="preserve">Dsn. Grogol Ds. Laban, RT/RW 023/002, Laban, Menganti, Gresik</t>
  </si>
  <si>
    <t xml:space="preserve">MARDIYANTO</t>
  </si>
  <si>
    <t xml:space="preserve">0001538290833</t>
  </si>
  <si>
    <t xml:space="preserve">3578062603700002</t>
  </si>
  <si>
    <t xml:space="preserve">JL.Kertanegara D.3/09 GWA, RT/RW 007/002, Sekarkurung, Kebomas, Gresik</t>
  </si>
  <si>
    <t xml:space="preserve">AF FIQIH ILMY FARIYANTO</t>
  </si>
  <si>
    <t xml:space="preserve">0002041440243</t>
  </si>
  <si>
    <t xml:space="preserve">3525163103010004</t>
  </si>
  <si>
    <t xml:space="preserve">Panglima Sudirman VI/31, RT/RW 003/002, Sidokumpul, Gresik, Gresik</t>
  </si>
  <si>
    <t xml:space="preserve">JUWONO WARDANA PRATAMA PUTRA</t>
  </si>
  <si>
    <t xml:space="preserve">0001542886391</t>
  </si>
  <si>
    <t xml:space="preserve">3576010501020002</t>
  </si>
  <si>
    <t xml:space="preserve">JL. Pulorejo V/34, RT/RW 001/002, Pulorejo, Prajurit Kulon, Mojokerto</t>
  </si>
  <si>
    <t xml:space="preserve">DENDI LUKMAN</t>
  </si>
  <si>
    <t xml:space="preserve">23035223076</t>
  </si>
  <si>
    <t xml:space="preserve">0000719275331</t>
  </si>
  <si>
    <t xml:space="preserve">3515011805950002</t>
  </si>
  <si>
    <t xml:space="preserve">Kemuning, RT/RW 005/002, Kemuning, Tarik, Sidoarjo</t>
  </si>
  <si>
    <t xml:space="preserve">RUDIYANTO</t>
  </si>
  <si>
    <t xml:space="preserve">3515010106940003</t>
  </si>
  <si>
    <t xml:space="preserve">ABDURROHIM HIMAWAN</t>
  </si>
  <si>
    <t xml:space="preserve">0001851988544</t>
  </si>
  <si>
    <t xml:space="preserve">3525091208980001</t>
  </si>
  <si>
    <t xml:space="preserve">JL Pemuda No 41, RT/RW 001/003, Bunderan, Sidayu, Gresik</t>
  </si>
  <si>
    <t xml:space="preserve">RAMA IBNU AKBAR</t>
  </si>
  <si>
    <t xml:space="preserve">27069429124</t>
  </si>
  <si>
    <t xml:space="preserve">0002877300527</t>
  </si>
  <si>
    <t xml:space="preserve">3525150905020007</t>
  </si>
  <si>
    <t xml:space="preserve">Wedoroanom, RT/RW 012/004, Wedoroanom, Driyorejo, Gresik</t>
  </si>
  <si>
    <t xml:space="preserve">MOCH. SAMPURNA FAJAR MAS ARIANTO</t>
  </si>
  <si>
    <t xml:space="preserve">24049851391</t>
  </si>
  <si>
    <t xml:space="preserve">0001864995614</t>
  </si>
  <si>
    <t xml:space="preserve">3515021906010004</t>
  </si>
  <si>
    <t xml:space="preserve">Simogirang, RT/RW 003/003, Simogirang, Prambon, Sidoarjo</t>
  </si>
  <si>
    <t xml:space="preserve">MUKHAMMAD RIFKY ALANSYAH</t>
  </si>
  <si>
    <t xml:space="preserve">0001315670815</t>
  </si>
  <si>
    <t xml:space="preserve">3515010204050002</t>
  </si>
  <si>
    <t xml:space="preserve">Kalibener, RT/RW 006/001, Mergobener, Tarik, Sidoarjo</t>
  </si>
  <si>
    <t xml:space="preserve">MUHAMMAD BAYU SETIAWAN</t>
  </si>
  <si>
    <t xml:space="preserve">29024957561</t>
  </si>
  <si>
    <t xml:space="preserve">3515183012040004</t>
  </si>
  <si>
    <t xml:space="preserve">Ngingas, RT/RW 006/002, Ngingas, Waru, Sidoarjo</t>
  </si>
  <si>
    <t xml:space="preserve">ABDUL CHAFIDH</t>
  </si>
  <si>
    <t xml:space="preserve">0002507997971</t>
  </si>
  <si>
    <t xml:space="preserve">3524262308970001</t>
  </si>
  <si>
    <t xml:space="preserve">Glanggang, RT/RW 005/002, Glanggang, Duduksampeyan, Gresik</t>
  </si>
  <si>
    <t xml:space="preserve">HANI AGUS PERMANA</t>
  </si>
  <si>
    <t xml:space="preserve">0001394223805</t>
  </si>
  <si>
    <t xml:space="preserve">3578180406880002</t>
  </si>
  <si>
    <t xml:space="preserve">Lakarsantri, RT/RW 003/002, Lakarsantri, Lakarsantri, Surabaya</t>
  </si>
  <si>
    <t xml:space="preserve">ARYA CANDRA</t>
  </si>
  <si>
    <t xml:space="preserve">0001706231788</t>
  </si>
  <si>
    <t xml:space="preserve">3525052503920001</t>
  </si>
  <si>
    <t xml:space="preserve">Tumapel, RT/RW 002/001, Tumapel, Duduksampeyan, Gresik</t>
  </si>
  <si>
    <t xml:space="preserve">SABILUL ABID</t>
  </si>
  <si>
    <t xml:space="preserve">0003003971848</t>
  </si>
  <si>
    <t xml:space="preserve">3525052101020001</t>
  </si>
  <si>
    <t xml:space="preserve">Sumengko, RT/RW 010/002, Sumengko, Duduksampeyan, Gresik</t>
  </si>
  <si>
    <t xml:space="preserve">ROHMAT DEDIK ISPURWANTO</t>
  </si>
  <si>
    <t xml:space="preserve">0001479359327</t>
  </si>
  <si>
    <t xml:space="preserve">3525052708890003</t>
  </si>
  <si>
    <t xml:space="preserve">Kedung Banteng, RT/RW 002/001, Gredek, Duduksampeyan, Gresik</t>
  </si>
  <si>
    <t xml:space="preserve">MUHAMMAD NUR AMIN</t>
  </si>
  <si>
    <t xml:space="preserve">0000761567861</t>
  </si>
  <si>
    <t xml:space="preserve">3525110506980002</t>
  </si>
  <si>
    <t xml:space="preserve">Desa Gedangkulut, RT/RW 002/001, Gedangkulut, Cerme, Gresik</t>
  </si>
  <si>
    <t xml:space="preserve">ANDI PURNOMO</t>
  </si>
  <si>
    <t xml:space="preserve">0001622289611</t>
  </si>
  <si>
    <t xml:space="preserve">3578160504860006</t>
  </si>
  <si>
    <t xml:space="preserve">Ketintang Baru 17/63, RT/RW 006/003, Ketintang, Gayungan, Surabaya</t>
  </si>
  <si>
    <t xml:space="preserve">IKMA NORYATUL LATIFAH</t>
  </si>
  <si>
    <t xml:space="preserve">0002369707896</t>
  </si>
  <si>
    <t xml:space="preserve">6307014210040001</t>
  </si>
  <si>
    <t xml:space="preserve">Tabat Padang</t>
  </si>
  <si>
    <t xml:space="preserve">Desa Tabat Padang, RT/RW 001/001, Tabat Padang, Haruyan, Hulu Sungai Tengah</t>
  </si>
  <si>
    <t xml:space="preserve">LILY NABILA</t>
  </si>
  <si>
    <t xml:space="preserve">27052448024</t>
  </si>
  <si>
    <t xml:space="preserve">0002631903118</t>
  </si>
  <si>
    <t xml:space="preserve">Tebing Tinggi</t>
  </si>
  <si>
    <t xml:space="preserve">1276037004060001</t>
  </si>
  <si>
    <t xml:space="preserve">JL. Kenari, RT/RW 000/000, Deblod Sundoro, Padang Hilir, Tebing Tinggi</t>
  </si>
  <si>
    <t xml:space="preserve">ARIYANTO</t>
  </si>
  <si>
    <t xml:space="preserve">PT SUGENG JAYA HARTONO</t>
  </si>
  <si>
    <t xml:space="preserve">0000753365171</t>
  </si>
  <si>
    <t xml:space="preserve">Kab. Tuban</t>
  </si>
  <si>
    <t xml:space="preserve">Operator SPBU</t>
  </si>
  <si>
    <t xml:space="preserve">3523152104000002</t>
  </si>
  <si>
    <t xml:space="preserve">Krajan, RT/RW 001/003, Karang, Semanding, Tuban</t>
  </si>
  <si>
    <t xml:space="preserve">NANSI UMAR</t>
  </si>
  <si>
    <t xml:space="preserve">23003067394</t>
  </si>
  <si>
    <t xml:space="preserve">0002262661852</t>
  </si>
  <si>
    <t xml:space="preserve">7171026301020002</t>
  </si>
  <si>
    <t xml:space="preserve">Lingkungan III, RT/RW 000/003, Wawonasa, Singkil, Manado</t>
  </si>
  <si>
    <t xml:space="preserve">NURAPRILIANI</t>
  </si>
  <si>
    <t xml:space="preserve">28013302901</t>
  </si>
  <si>
    <t xml:space="preserve">0002448076375</t>
  </si>
  <si>
    <t xml:space="preserve">6371026304940005</t>
  </si>
  <si>
    <t xml:space="preserve">JL. Keramat Raya, RT/RW 011/001, Sungai Bilu, Banjarmasin Timur, Banjarmasin</t>
  </si>
  <si>
    <t xml:space="preserve">PUTRI NADIANI</t>
  </si>
  <si>
    <t xml:space="preserve">21095203480</t>
  </si>
  <si>
    <t xml:space="preserve">0000895295169</t>
  </si>
  <si>
    <t xml:space="preserve">6371034302050003</t>
  </si>
  <si>
    <t xml:space="preserve">JL. IR Phm Noor GG. Berkat Taruna, RT/RW 033/002, Pelambuan, Banjarmasin Barat, Banjarmasin</t>
  </si>
  <si>
    <t xml:space="preserve">SALSA BILLA PUTRI SUGIARTO</t>
  </si>
  <si>
    <t xml:space="preserve">25003550769</t>
  </si>
  <si>
    <t xml:space="preserve">0003004634283</t>
  </si>
  <si>
    <t xml:space="preserve">3302127001040001</t>
  </si>
  <si>
    <t xml:space="preserve">Kedungrandu, RT/RW 001/004, Kedungrandu, Patikraja, Banyumas</t>
  </si>
  <si>
    <t xml:space="preserve">AHMADUN</t>
  </si>
  <si>
    <t xml:space="preserve">3516180911800002</t>
  </si>
  <si>
    <t xml:space="preserve">Dsn. Kweden Wetan, RT/RW 004/003, Ds. Kweden Kembar, Mojoanyar, Kab. Mojokerto</t>
  </si>
  <si>
    <t xml:space="preserve">3516182804760004</t>
  </si>
  <si>
    <t xml:space="preserve">Dsn. Kweden Wetan, RT/RW 006/003, Ds. Kweden Kembar, Mojoanyar, Kab. Mojokerto</t>
  </si>
  <si>
    <t xml:space="preserve">IFAN ALFIYANTO</t>
  </si>
  <si>
    <t xml:space="preserve">0000753648939</t>
  </si>
  <si>
    <t xml:space="preserve">3523122610010001</t>
  </si>
  <si>
    <t xml:space="preserve">Dsn Bogang, RT/RW 003/005, Beji, Jenu, Tuban</t>
  </si>
  <si>
    <t xml:space="preserve">MUHAMMAD ABDUL ROHIM</t>
  </si>
  <si>
    <t xml:space="preserve">0002055624952</t>
  </si>
  <si>
    <t xml:space="preserve">3523163007960002</t>
  </si>
  <si>
    <t xml:space="preserve">Dsn Winong, RT/RW 003/009, Sugiharjo, Tuban, Tuban</t>
  </si>
  <si>
    <t xml:space="preserve">TRIO SETIAWAN</t>
  </si>
  <si>
    <t xml:space="preserve">0000754352526</t>
  </si>
  <si>
    <t xml:space="preserve">3523120912020002</t>
  </si>
  <si>
    <t xml:space="preserve">Dsn Jabung, RT/RW 001/004, Sugihwaras, Jenu, Tuban</t>
  </si>
  <si>
    <t xml:space="preserve">NURSIGIT JANU MU'ARDIANTO</t>
  </si>
  <si>
    <t xml:space="preserve">25020601957</t>
  </si>
  <si>
    <t xml:space="preserve">0002876087665</t>
  </si>
  <si>
    <t xml:space="preserve">3523162001880003</t>
  </si>
  <si>
    <t xml:space="preserve">JL Gajah Mada GG Mekar II, RT/RW 001/005, Sidorejo, Tuban, Tuban</t>
  </si>
  <si>
    <t xml:space="preserve">YANUAR ARJIANTO</t>
  </si>
  <si>
    <t xml:space="preserve">0000110546278</t>
  </si>
  <si>
    <t xml:space="preserve">3507131301990002</t>
  </si>
  <si>
    <t xml:space="preserve">JL Apel, RT/RW 008/002, Kedungpedaringan, Kepanjen, Malang</t>
  </si>
  <si>
    <t xml:space="preserve">SYAHRUL NUR ROCHMAN</t>
  </si>
  <si>
    <t xml:space="preserve">3523052709060001</t>
  </si>
  <si>
    <t xml:space="preserve">RIO IRWANDA</t>
  </si>
  <si>
    <t xml:space="preserve">0000720418961</t>
  </si>
  <si>
    <t xml:space="preserve">3515021810000001</t>
  </si>
  <si>
    <t xml:space="preserve">Dsn Cangkring, RT/RW 002/001, Jedongcangkring, Prambon, Sidoarjo</t>
  </si>
  <si>
    <t xml:space="preserve">FUJIANTO</t>
  </si>
  <si>
    <t xml:space="preserve">3306041805930002</t>
  </si>
  <si>
    <t xml:space="preserve">Purworejo</t>
  </si>
  <si>
    <t xml:space="preserve">Ngelom Megare, RT/RW 002/001, Ngelom, Taman, Sidoarjo</t>
  </si>
  <si>
    <t xml:space="preserve">LIDYAWATI DIAN NATASYA</t>
  </si>
  <si>
    <t xml:space="preserve">PT KOSMETIKA KLINIK INDONESIA (LABOUR)</t>
  </si>
  <si>
    <t xml:space="preserve">0002511666369</t>
  </si>
  <si>
    <t xml:space="preserve">Customer Service</t>
  </si>
  <si>
    <t xml:space="preserve">3573036503010003</t>
  </si>
  <si>
    <t xml:space="preserve">Jl. Sawojajar IX / 14, RT/RW 003/002, Sawojajar, Kedungkandang, Malang</t>
  </si>
  <si>
    <t xml:space="preserve">ENDRA DWI SAPUTRA</t>
  </si>
  <si>
    <t xml:space="preserve">29064700595</t>
  </si>
  <si>
    <t xml:space="preserve">3521182707020002</t>
  </si>
  <si>
    <t xml:space="preserve">Centong, RT/RW 004/002, Gerih, Gerih, Ngawi</t>
  </si>
  <si>
    <t xml:space="preserve">MUHAMMAD ARY</t>
  </si>
  <si>
    <t xml:space="preserve">20069521023</t>
  </si>
  <si>
    <t xml:space="preserve">0001047590087</t>
  </si>
  <si>
    <t xml:space="preserve">3526043107970001</t>
  </si>
  <si>
    <t xml:space="preserve">Dsn Asem, RT/RW 004/003, Tajungan, Kamal, Bangkalan</t>
  </si>
  <si>
    <t xml:space="preserve">RIFQI MUFIDDIN</t>
  </si>
  <si>
    <t xml:space="preserve">0000172520256</t>
  </si>
  <si>
    <t xml:space="preserve">Data Analyst</t>
  </si>
  <si>
    <t xml:space="preserve">9101010410010006</t>
  </si>
  <si>
    <t xml:space="preserve">Jln. Pendidikan, RT/RW 022/001, Mandala, Merauke, Merauke</t>
  </si>
  <si>
    <t xml:space="preserve">NANANG NUR CAHYONO</t>
  </si>
  <si>
    <t xml:space="preserve">0001309399108</t>
  </si>
  <si>
    <t xml:space="preserve">3573021006830002</t>
  </si>
  <si>
    <t xml:space="preserve">Jl Galunggung III / 5, RT/RW 004/001, Gadingkasri, Klojen, Malang</t>
  </si>
  <si>
    <t xml:space="preserve">AFRIZAL BAGUS ALHAZMI</t>
  </si>
  <si>
    <t xml:space="preserve">0002232750093</t>
  </si>
  <si>
    <t xml:space="preserve">Legal Officer</t>
  </si>
  <si>
    <t xml:space="preserve">3579030803970002</t>
  </si>
  <si>
    <t xml:space="preserve">Mojorejo, RT/RW 015/004, Pendem, Junrejo, Batu</t>
  </si>
  <si>
    <t xml:space="preserve">DINDA AYU PERMATASARI</t>
  </si>
  <si>
    <t xml:space="preserve">22081556589</t>
  </si>
  <si>
    <t xml:space="preserve">0003597881253</t>
  </si>
  <si>
    <t xml:space="preserve">3507095103010003</t>
  </si>
  <si>
    <t xml:space="preserve">Dsn Madyorenggo, RT/RW 004/002, Talok, Turen, Malang</t>
  </si>
  <si>
    <t xml:space="preserve">ANDHIK PURWANTO</t>
  </si>
  <si>
    <t xml:space="preserve">28029953947</t>
  </si>
  <si>
    <t xml:space="preserve">0001856721183</t>
  </si>
  <si>
    <t xml:space="preserve">6472061808800004</t>
  </si>
  <si>
    <t xml:space="preserve">Jl. Bareng Kartini III-F/261, RT/RW 009/001, Bareng, Klojen, Malang</t>
  </si>
  <si>
    <t xml:space="preserve">MUSTAQUL NISA</t>
  </si>
  <si>
    <t xml:space="preserve">3516176002020001</t>
  </si>
  <si>
    <t xml:space="preserve">Dusun Lingsir, RT/RW 021/004, Slempit, Kedamean, Gresik</t>
  </si>
  <si>
    <t xml:space="preserve">AHMAD RYAN FERDIANSAH</t>
  </si>
  <si>
    <t xml:space="preserve">3516162808980001</t>
  </si>
  <si>
    <t xml:space="preserve">Ketapang, RT/RW 002/009, Mojolebak, Jetis</t>
  </si>
  <si>
    <t xml:space="preserve">MUSTAFA STIAWAN</t>
  </si>
  <si>
    <t xml:space="preserve">3517020709790004</t>
  </si>
  <si>
    <t xml:space="preserve">Japanan, RT/RW 003/002, Japanan, Gudo, Jombang</t>
  </si>
  <si>
    <t xml:space="preserve">SENDI ARI CUSON</t>
  </si>
  <si>
    <t xml:space="preserve">3518091207940004</t>
  </si>
  <si>
    <t xml:space="preserve">Dsn. Balongkendal, RT/RW 003/004, Patianrowo, Nganjuk</t>
  </si>
  <si>
    <t xml:space="preserve">RANDO WIJAYA</t>
  </si>
  <si>
    <t xml:space="preserve">3517202408000001</t>
  </si>
  <si>
    <t xml:space="preserve">Dsn. Balongsuruh, RT/RW 005/002, Balonggemek, Megaluh</t>
  </si>
  <si>
    <t xml:space="preserve">AMIR SYAMSUDIN</t>
  </si>
  <si>
    <t xml:space="preserve">3517140101040001</t>
  </si>
  <si>
    <t xml:space="preserve">Dsn. Lengkong, RT/RW 004/003, Ds. Jatigedong, Ploso</t>
  </si>
  <si>
    <t xml:space="preserve">MUCHAMAD ARIR MACHZURI</t>
  </si>
  <si>
    <t xml:space="preserve">3517130505930004</t>
  </si>
  <si>
    <t xml:space="preserve">Dsn. Kedunglopis, RT/RW 002/003, Rejosopinggir, Tembelang, Jombang</t>
  </si>
  <si>
    <t xml:space="preserve">YAHYA FIRMANSYAH</t>
  </si>
  <si>
    <t xml:space="preserve">3578202405950002</t>
  </si>
  <si>
    <t xml:space="preserve">Jln. Kebonsari Baru Selatan Gg II/6, RT/RW 003/003, Jambangan</t>
  </si>
  <si>
    <t xml:space="preserve">MOHAMMAD NUR KHOLIS</t>
  </si>
  <si>
    <t xml:space="preserve">20048784588</t>
  </si>
  <si>
    <t xml:space="preserve">3516122704930002</t>
  </si>
  <si>
    <t xml:space="preserve">Dsn. Trowulan, RT/RW 002/002, Trowulan, Kab. Mojokerto</t>
  </si>
  <si>
    <t xml:space="preserve">M. NURKHOLIS</t>
  </si>
  <si>
    <t xml:space="preserve">3516140910880001</t>
  </si>
  <si>
    <t xml:space="preserve">Dsn. Ngareswetan, RT/RW 018/007, Ngareskidul, Gedeg, Kab. Mojokerto</t>
  </si>
  <si>
    <t xml:space="preserve">3524242006780002</t>
  </si>
  <si>
    <t xml:space="preserve">Dsn. Sentong, RT/RW 004/003, Ds. Susukan Rejo, Pohjentrek, Kab. Pasuruan</t>
  </si>
  <si>
    <t xml:space="preserve">SYAMSUL HUDA</t>
  </si>
  <si>
    <t xml:space="preserve">3517120511910002</t>
  </si>
  <si>
    <t xml:space="preserve">Dsn. Gudang, RT/RW 008/002, Ds. Pojokrejo, Kesamben, Jombang</t>
  </si>
  <si>
    <t xml:space="preserve">ACHMAD ABDUL IKHWAN NUR ROKHIM</t>
  </si>
  <si>
    <t xml:space="preserve">3516162910980002</t>
  </si>
  <si>
    <t xml:space="preserve">Soogo, RT/RW 004/001, Balongmojo, Puri</t>
  </si>
  <si>
    <t xml:space="preserve">M. ZAINUL ARIFIN</t>
  </si>
  <si>
    <t xml:space="preserve">3516141711940002</t>
  </si>
  <si>
    <t xml:space="preserve">Dsn. Sidorembug, RT/RW 010/003, Balongsari, Gedeg</t>
  </si>
  <si>
    <t xml:space="preserve">RAMDHANI NUR MAJID</t>
  </si>
  <si>
    <t xml:space="preserve">24024087152</t>
  </si>
  <si>
    <t xml:space="preserve">3525050111040001</t>
  </si>
  <si>
    <t xml:space="preserve">Kramat, RT/RW 001/001, Kramat, Duduksampeyan, Gresik</t>
  </si>
  <si>
    <t xml:space="preserve">MOH. ABDUL AZIS</t>
  </si>
  <si>
    <t xml:space="preserve">0002755781919</t>
  </si>
  <si>
    <t xml:space="preserve">3516031702940001</t>
  </si>
  <si>
    <t xml:space="preserve">Kamotan Wetan, RT/RW 030/013, Randuharjo, Pungging, Mojokerto</t>
  </si>
  <si>
    <t xml:space="preserve">FEBRIAN ARYA DHAMAPUTRA</t>
  </si>
  <si>
    <t xml:space="preserve">23061092108</t>
  </si>
  <si>
    <t xml:space="preserve">3516160602040001</t>
  </si>
  <si>
    <t xml:space="preserve">Dsn. Clangap, RT/RW 004/005, Mlirip, Jetis, Kab. Mojokerto</t>
  </si>
  <si>
    <t xml:space="preserve">FREDA TRI WAYUDI</t>
  </si>
  <si>
    <t xml:space="preserve">3516141109990002</t>
  </si>
  <si>
    <t xml:space="preserve">Sawo, RT/RW 002/012, Kutorejo, Kab. Mojokerto</t>
  </si>
  <si>
    <t xml:space="preserve">3521182006840001</t>
  </si>
  <si>
    <t xml:space="preserve">Klumpit, RT/RW 005/001, Geneng, Ngawi</t>
  </si>
  <si>
    <t xml:space="preserve">WAHYU RISKI RENDIANTO</t>
  </si>
  <si>
    <t xml:space="preserve">3517140706040001</t>
  </si>
  <si>
    <t xml:space="preserve">Dsn. Lengkong, RT/RW 004/003, Ds. Jatigedong Ploso</t>
  </si>
  <si>
    <t xml:space="preserve">NURUL FATIMAH DEWANTI HARSONO</t>
  </si>
  <si>
    <t xml:space="preserve">0002355040146</t>
  </si>
  <si>
    <t xml:space="preserve">Staff Sales Counter</t>
  </si>
  <si>
    <t xml:space="preserve">3578067005990004</t>
  </si>
  <si>
    <t xml:space="preserve">Kupang Gunung Barat 4-B/25, RT/RW 002/009, Putat Jaya, Sawahan, Surabaya</t>
  </si>
  <si>
    <t xml:space="preserve">AGUS SUBARKAH</t>
  </si>
  <si>
    <t xml:space="preserve">3521040305960001</t>
  </si>
  <si>
    <t xml:space="preserve">Basri, RT/RW 006/001, Sidorejo, Kendal, Ngawi</t>
  </si>
  <si>
    <t xml:space="preserve">VERY HERMAWAN</t>
  </si>
  <si>
    <t xml:space="preserve">0002245076368</t>
  </si>
  <si>
    <t xml:space="preserve">Admin Logistik</t>
  </si>
  <si>
    <t xml:space="preserve">3516053003920001</t>
  </si>
  <si>
    <t xml:space="preserve">Dsn Sumberwaru, RT/RW 002/006, Kembangsri, Ngoro, Mojokerto</t>
  </si>
  <si>
    <t xml:space="preserve">MUKHAMAD SOLAKHUDIN AL AYUBI</t>
  </si>
  <si>
    <t xml:space="preserve">28038249522</t>
  </si>
  <si>
    <t xml:space="preserve">3524231306030001</t>
  </si>
  <si>
    <t xml:space="preserve">Tikung, RT/RW 003/006, Bakalanpule, Tikung, Lamongan</t>
  </si>
  <si>
    <t xml:space="preserve">ISNA NUR RAHMAWATI</t>
  </si>
  <si>
    <t xml:space="preserve">0002778301631</t>
  </si>
  <si>
    <t xml:space="preserve">3316056112990004</t>
  </si>
  <si>
    <t xml:space="preserve">JL Aryo Jipang, RT/RW 002/002, Getas, Cepu, Blora</t>
  </si>
  <si>
    <t xml:space="preserve">ANDY RACHMAT KRISTANTIO</t>
  </si>
  <si>
    <t xml:space="preserve">0001110351666</t>
  </si>
  <si>
    <t xml:space="preserve">3515132106930008</t>
  </si>
  <si>
    <t xml:space="preserve">JL Anggrek 27, RT/RW 008/001, Wage, Taman, Sidoarjo</t>
  </si>
  <si>
    <t xml:space="preserve">FEBRIANSYAH</t>
  </si>
  <si>
    <t xml:space="preserve">22080537735</t>
  </si>
  <si>
    <t xml:space="preserve">3522252306030003</t>
  </si>
  <si>
    <t xml:space="preserve">Kedewan, RT/RW 008/002, Kedewan, Kedewan, Bojonegoro</t>
  </si>
  <si>
    <t xml:space="preserve">ANDRIY WISNU WARDHANA</t>
  </si>
  <si>
    <t xml:space="preserve">26073501016</t>
  </si>
  <si>
    <t xml:space="preserve">3516121012040005</t>
  </si>
  <si>
    <t xml:space="preserve">Badas, RT/RW 017/006, Barengkrajan, Krian, Sidoarjo</t>
  </si>
  <si>
    <t xml:space="preserve">RENDRI UMARDIANTO</t>
  </si>
  <si>
    <t xml:space="preserve">0002756746934</t>
  </si>
  <si>
    <t xml:space="preserve">Operator RD</t>
  </si>
  <si>
    <t xml:space="preserve">3516180105010001</t>
  </si>
  <si>
    <t xml:space="preserve">Sumberpandan, RT/RW 015/005, Mojotamping, Bangsal, Mojokerto</t>
  </si>
  <si>
    <t xml:space="preserve">MUHAMMAD FERI FIRMANSYAH</t>
  </si>
  <si>
    <t xml:space="preserve">25003966630</t>
  </si>
  <si>
    <t xml:space="preserve">0000724525244</t>
  </si>
  <si>
    <t xml:space="preserve">3516060911010002</t>
  </si>
  <si>
    <t xml:space="preserve">Rungkut, RT/RW 018/006, Randuharjo, Pungging, Mojokerto</t>
  </si>
  <si>
    <t xml:space="preserve">VIKI FEBRIANTO</t>
  </si>
  <si>
    <t xml:space="preserve">3517091702020001</t>
  </si>
  <si>
    <t xml:space="preserve">JL. Teratai Gg Sekolahan, Candimulyo, Kab. Jombang</t>
  </si>
  <si>
    <t xml:space="preserve">MOCH. HANAFI</t>
  </si>
  <si>
    <t xml:space="preserve">0001848770673</t>
  </si>
  <si>
    <t xml:space="preserve">3525161006930001</t>
  </si>
  <si>
    <t xml:space="preserve">Usman Sadar XXII/53, RT/RW 002/003, Sukorame, Gresik, Gresik</t>
  </si>
  <si>
    <t xml:space="preserve">MUHAMAD IMAM ASYARI</t>
  </si>
  <si>
    <t xml:space="preserve">0000758885962</t>
  </si>
  <si>
    <t xml:space="preserve">3524261012950001</t>
  </si>
  <si>
    <t xml:space="preserve">Mendogolor, RT/RW 002/002, Mendogo, Glagah, Lamongan</t>
  </si>
  <si>
    <t xml:space="preserve">BAYU ADJIE SOEKMANA</t>
  </si>
  <si>
    <t xml:space="preserve">24004633535</t>
  </si>
  <si>
    <t xml:space="preserve">0001393650606</t>
  </si>
  <si>
    <t xml:space="preserve">QC Analis</t>
  </si>
  <si>
    <t xml:space="preserve">3578130512930002</t>
  </si>
  <si>
    <t xml:space="preserve">Griya Citra Asri 14/8, RT/RW 003/007, Sememi, Benowo, Surabaya</t>
  </si>
  <si>
    <t xml:space="preserve">M. IQBAL FAKHREZA MAULANA</t>
  </si>
  <si>
    <t xml:space="preserve">0002811440384</t>
  </si>
  <si>
    <t xml:space="preserve">3524272102030001</t>
  </si>
  <si>
    <t xml:space="preserve">Cendot, RT/RW 004/001, Sarirejo, Sarirejo, Lamongan</t>
  </si>
  <si>
    <t xml:space="preserve">ERVIN ANDRE ANTONI</t>
  </si>
  <si>
    <t xml:space="preserve">26044739274</t>
  </si>
  <si>
    <t xml:space="preserve">0001770757839</t>
  </si>
  <si>
    <t xml:space="preserve">Koordinator Emulsion</t>
  </si>
  <si>
    <t xml:space="preserve">3578131508950005</t>
  </si>
  <si>
    <t xml:space="preserve">Maspati 5/46, RT/RW 002/008, Bubutan, Bubutan, Surabaya</t>
  </si>
  <si>
    <t xml:space="preserve">AHMAD ALFAN</t>
  </si>
  <si>
    <t xml:space="preserve">22044150732</t>
  </si>
  <si>
    <t xml:space="preserve">0000764547401</t>
  </si>
  <si>
    <t xml:space="preserve">3525071307040003</t>
  </si>
  <si>
    <t xml:space="preserve">Dusun Sumbersuci, RT/RW 001/016, Pangkah Wetan, Ujungpangkah, Gresik</t>
  </si>
  <si>
    <t xml:space="preserve">NUR ROHMAN</t>
  </si>
  <si>
    <t xml:space="preserve">25099739035</t>
  </si>
  <si>
    <t xml:space="preserve">0000099015535</t>
  </si>
  <si>
    <t xml:space="preserve">3525112002940022</t>
  </si>
  <si>
    <t xml:space="preserve">Wedani, RT/RW 007/003, Wedani, Cerme, Gresik</t>
  </si>
  <si>
    <t xml:space="preserve">NOVIAN SUPRIYADI</t>
  </si>
  <si>
    <t xml:space="preserve">0002242913275</t>
  </si>
  <si>
    <t xml:space="preserve">Umum</t>
  </si>
  <si>
    <t xml:space="preserve">3316100811910001</t>
  </si>
  <si>
    <t xml:space="preserve">DK Tutup, RT/RW 011/001, Tutup, Tunjungan, Blora</t>
  </si>
  <si>
    <t xml:space="preserve">JOKO RIANTO</t>
  </si>
  <si>
    <t xml:space="preserve">3515041707700003</t>
  </si>
  <si>
    <t xml:space="preserve">Dsn. Arcopodo, RT/RW 004/003, Ds. Kepulungan, Kec. Gempol, Kab. Pasuruan</t>
  </si>
  <si>
    <t xml:space="preserve">KONI JULIANTO</t>
  </si>
  <si>
    <t xml:space="preserve">3578051807700001</t>
  </si>
  <si>
    <t xml:space="preserve">Kedung Rukem 3 Buntu 18, RT/RW 002/006, Kedungdoro, Tegalsari, Surabaya</t>
  </si>
  <si>
    <t xml:space="preserve">LUJINGGAN ALENCIA</t>
  </si>
  <si>
    <t xml:space="preserve">0003246563294</t>
  </si>
  <si>
    <t xml:space="preserve">3507156812000004</t>
  </si>
  <si>
    <t xml:space="preserve">Jl. Sawo, RT/RW 018/006, Gunungsari, Tajinan, Malang</t>
  </si>
  <si>
    <t xml:space="preserve">FARID ANDI ABDILAH</t>
  </si>
  <si>
    <t xml:space="preserve">0001395840532</t>
  </si>
  <si>
    <t xml:space="preserve">3578201904010003</t>
  </si>
  <si>
    <t xml:space="preserve">Wiyung, RT/RW 003/006, Wiyung, Wiyung, Surabaya</t>
  </si>
  <si>
    <t xml:space="preserve">ALDO HENGGA LESMANA</t>
  </si>
  <si>
    <t xml:space="preserve">20072624012</t>
  </si>
  <si>
    <t xml:space="preserve">3578171606920001</t>
  </si>
  <si>
    <t xml:space="preserve">Bulak Banteng Kidul No. 13, RT/RW 005/004, Sidotopo Wetan, Kenjeran, Surabaya</t>
  </si>
  <si>
    <t xml:space="preserve">ABDUL ROZAK ARRIJAL ZUDIN</t>
  </si>
  <si>
    <t xml:space="preserve">20024285127</t>
  </si>
  <si>
    <t xml:space="preserve">0002517510407</t>
  </si>
  <si>
    <t xml:space="preserve">3525132710980001</t>
  </si>
  <si>
    <t xml:space="preserve">Laban, RT/RW 018/006, Laban, Menganti, Gresik</t>
  </si>
  <si>
    <t xml:space="preserve">DEDY ARI HERMAWAN</t>
  </si>
  <si>
    <t xml:space="preserve">26016565093</t>
  </si>
  <si>
    <t xml:space="preserve">0002092944385</t>
  </si>
  <si>
    <t xml:space="preserve">3525112607970024</t>
  </si>
  <si>
    <t xml:space="preserve">Pundut, RT/RW 006/001, Punduttrate, Benjeng, Gresik</t>
  </si>
  <si>
    <t xml:space="preserve">AHMAD SANDI</t>
  </si>
  <si>
    <t xml:space="preserve">23000289396</t>
  </si>
  <si>
    <t xml:space="preserve">0000761207962</t>
  </si>
  <si>
    <t xml:space="preserve">3525130805970012</t>
  </si>
  <si>
    <t xml:space="preserve">DEDIK DWI YANTO</t>
  </si>
  <si>
    <t xml:space="preserve">0002499097566</t>
  </si>
  <si>
    <t xml:space="preserve">3515110603890003</t>
  </si>
  <si>
    <t xml:space="preserve">Kraton, RT/RW 015/003, Kraton, Krian, Sidoarjo</t>
  </si>
  <si>
    <t xml:space="preserve">LEDYASHINTA MAYASARI</t>
  </si>
  <si>
    <t xml:space="preserve">21000511172</t>
  </si>
  <si>
    <t xml:space="preserve">0000171446422</t>
  </si>
  <si>
    <t xml:space="preserve">Staff HR</t>
  </si>
  <si>
    <t xml:space="preserve">3510205207910003</t>
  </si>
  <si>
    <t xml:space="preserve">JL. Gunung Raung No.19A, RT/RW 005/013, Mimbaan, Panji, Situbondo</t>
  </si>
  <si>
    <t xml:space="preserve">SLAMET HARIANSYAH</t>
  </si>
  <si>
    <t xml:space="preserve">28060238288</t>
  </si>
  <si>
    <t xml:space="preserve">3516161610930001</t>
  </si>
  <si>
    <t xml:space="preserve">Dusun Ploso Kuning, RT/RW 034/009, Penompo, Jetis, Mojokerto</t>
  </si>
  <si>
    <t xml:space="preserve">HERI ISTANTO</t>
  </si>
  <si>
    <t xml:space="preserve">3374130305730012</t>
  </si>
  <si>
    <t xml:space="preserve">JL. Raya Muka Bulog Kel. Kejapanan, Kec. Gempol, Kab. Pasuruan</t>
  </si>
  <si>
    <t xml:space="preserve">TEGAR LIMPAT PANUNTUN</t>
  </si>
  <si>
    <t xml:space="preserve">0001182760806</t>
  </si>
  <si>
    <t xml:space="preserve">Picker Gudang</t>
  </si>
  <si>
    <t xml:space="preserve">3578062503020001</t>
  </si>
  <si>
    <t xml:space="preserve">Simo Kwagean Kuburan 2/16, RT/RW 004/002, Banyuurip, Sawahan, Surabaya</t>
  </si>
  <si>
    <t xml:space="preserve">MUZAMMIL ZAHRI HUSAENI</t>
  </si>
  <si>
    <t xml:space="preserve">0001536501903</t>
  </si>
  <si>
    <t xml:space="preserve">3525060309020003</t>
  </si>
  <si>
    <t xml:space="preserve">Sumengko, RT/RW 001/001, Sumengko, Wringinanom, Gresik</t>
  </si>
  <si>
    <t xml:space="preserve">NUR ALIVIN</t>
  </si>
  <si>
    <t xml:space="preserve">0000762219246</t>
  </si>
  <si>
    <t xml:space="preserve">3525141609970002</t>
  </si>
  <si>
    <t xml:space="preserve">Paku Alam Blok.B VII/02, RT/RW 004/003, Kembangan, Kebomas, Gresik</t>
  </si>
  <si>
    <t xml:space="preserve">MUHAMMAD ANDRIYAN</t>
  </si>
  <si>
    <t xml:space="preserve">21085715331</t>
  </si>
  <si>
    <t xml:space="preserve">0000761346235</t>
  </si>
  <si>
    <t xml:space="preserve">3525131012020006</t>
  </si>
  <si>
    <t xml:space="preserve">Boboh, RT/RW 006/001, Boboh, Menganti, Gresik</t>
  </si>
  <si>
    <t xml:space="preserve">ANDI NORMADIANSYAH</t>
  </si>
  <si>
    <t xml:space="preserve">24020441038</t>
  </si>
  <si>
    <t xml:space="preserve">0001140894988</t>
  </si>
  <si>
    <t xml:space="preserve">Personalia</t>
  </si>
  <si>
    <t xml:space="preserve">3525092009860001</t>
  </si>
  <si>
    <t xml:space="preserve">Perum TWP B-10/10, RT/RW 021/007, Kedungkendo, Candi, Sidoarjo</t>
  </si>
  <si>
    <t xml:space="preserve">RATNAKANYAKA ANINDYAJATI, S.M.</t>
  </si>
  <si>
    <t xml:space="preserve">20068540507</t>
  </si>
  <si>
    <t xml:space="preserve">0002243425983</t>
  </si>
  <si>
    <t xml:space="preserve">Admin HRD</t>
  </si>
  <si>
    <t xml:space="preserve">3573056602990002</t>
  </si>
  <si>
    <t xml:space="preserve">Kudus No.36 GKB, RT/RW 004/009, Yosowilangun, Manyar, Gresik</t>
  </si>
  <si>
    <t xml:space="preserve">YANUAR ASHARI</t>
  </si>
  <si>
    <t xml:space="preserve">28048564665</t>
  </si>
  <si>
    <t xml:space="preserve">3517091001030002</t>
  </si>
  <si>
    <t xml:space="preserve">JL. KH. Hasyim Ashari No. 50, Kab. Jombang</t>
  </si>
  <si>
    <t xml:space="preserve">RINO SAHARA</t>
  </si>
  <si>
    <t xml:space="preserve">3518100502950002</t>
  </si>
  <si>
    <t xml:space="preserve">Dsn. Mabung, Ds. Mabung, RT/RW 001/002, Kec. Baron, Kab. Nganjuk</t>
  </si>
  <si>
    <t xml:space="preserve">WAHYU PUJIANTO</t>
  </si>
  <si>
    <t xml:space="preserve">28066266620</t>
  </si>
  <si>
    <t xml:space="preserve">3516130801980002</t>
  </si>
  <si>
    <t xml:space="preserve">Dsn. Ngrayung, RT/RW 001/002, Kec. Puri, Kab. Mojokerto</t>
  </si>
  <si>
    <t xml:space="preserve">SUDIBYO</t>
  </si>
  <si>
    <t xml:space="preserve">3517120107820005</t>
  </si>
  <si>
    <t xml:space="preserve">Dsn. Gudang, RT/RW 002/002, Ds. Pojokrejo, Kec. Kesamben, Kab. Jombang</t>
  </si>
  <si>
    <t xml:space="preserve">RUDIYANTO DWI SYAHPUTRO</t>
  </si>
  <si>
    <t xml:space="preserve">3517080106880011</t>
  </si>
  <si>
    <t xml:space="preserve">JL. Asmorondono Perum Grand Pertama Residence Blok L No. 15, RT/RW 003/005, Tales Village</t>
  </si>
  <si>
    <t xml:space="preserve">GIGIH BAYUARDI</t>
  </si>
  <si>
    <t xml:space="preserve">3506040905870002</t>
  </si>
  <si>
    <t xml:space="preserve">Dsn. Cakruk, RT/RW 001/003, Ds. Tales, Kec. Ngadiluwih, Kab. Kediri</t>
  </si>
  <si>
    <t xml:space="preserve">MOHAMAD RAVI</t>
  </si>
  <si>
    <t xml:space="preserve">3516122409040001</t>
  </si>
  <si>
    <t xml:space="preserve">Dsn. Temon, Ds. Temon, RT/RW 002/002, Kec. Trowulan, Kab. Mojokerto</t>
  </si>
  <si>
    <t xml:space="preserve">ADI PRATAMA</t>
  </si>
  <si>
    <t xml:space="preserve">3516180208930001</t>
  </si>
  <si>
    <t xml:space="preserve">Dsn. Tinggar, Ds. Tinggarbuntut, Kec. Bangsal, Kab. Mojokerto</t>
  </si>
  <si>
    <t xml:space="preserve">DARIAN</t>
  </si>
  <si>
    <t xml:space="preserve">3522042505910001</t>
  </si>
  <si>
    <t xml:space="preserve">Dsn. Kliteh, RT/RW 014/007, Ds. Bandungrejo, Kec. Ngasem, Kab. Bojonegoro</t>
  </si>
  <si>
    <t xml:space="preserve">IBNUS MASLUCHIN</t>
  </si>
  <si>
    <t xml:space="preserve">3507142903740001</t>
  </si>
  <si>
    <t xml:space="preserve">Dsn. Sidomukti, RT/RW 002/001, Ds. Lumbangsari, Kec. Bululawang, Kab. Malang</t>
  </si>
  <si>
    <t xml:space="preserve">ANGGA FITRA PRATAMA</t>
  </si>
  <si>
    <t xml:space="preserve">23098496331</t>
  </si>
  <si>
    <t xml:space="preserve">3758060208810005</t>
  </si>
  <si>
    <t xml:space="preserve">JL. Nolojoyo No. 10, Dsn. Samberan, Ds. Sajen, Kec. Pacet, Kab. Mojokerto</t>
  </si>
  <si>
    <t xml:space="preserve">MOHAMMAD WIRYAWAN DJUSRAH</t>
  </si>
  <si>
    <t xml:space="preserve">21090068578</t>
  </si>
  <si>
    <t xml:space="preserve">0001648703812</t>
  </si>
  <si>
    <t xml:space="preserve">3515151806000002</t>
  </si>
  <si>
    <t xml:space="preserve">Jl. Mbah Nanggul Laini II, RT/RW 002/001, Siwalan Panji, Buduran, Sidoarjo</t>
  </si>
  <si>
    <t xml:space="preserve">IBNU MASKAN</t>
  </si>
  <si>
    <t xml:space="preserve">25079077859</t>
  </si>
  <si>
    <t xml:space="preserve">0000723563627</t>
  </si>
  <si>
    <t xml:space="preserve">3515123001870001</t>
  </si>
  <si>
    <t xml:space="preserve">Plumpung, RT/RW 011/001, Bakung Pringgodani, Balongbendo, Sidoarjo</t>
  </si>
  <si>
    <t xml:space="preserve">ADELIA SABILIYA</t>
  </si>
  <si>
    <t xml:space="preserve">0003763183239</t>
  </si>
  <si>
    <t xml:space="preserve">3507044606070007</t>
  </si>
  <si>
    <t xml:space="preserve">Sumbergentong, RT/RW 024/003, Klepu, Sumbermanjing Wetan, Malang</t>
  </si>
  <si>
    <t xml:space="preserve">ANDIK SUGIARTO</t>
  </si>
  <si>
    <t xml:space="preserve">3519132611830002</t>
  </si>
  <si>
    <t xml:space="preserve">Sumbergandu, RT/RW 003/001, Sumbergandu, Pilangkenceng, Madiun</t>
  </si>
  <si>
    <t xml:space="preserve">R. HANINDYO PRIYO WITJAKSONO</t>
  </si>
  <si>
    <t xml:space="preserve">28063651684</t>
  </si>
  <si>
    <t xml:space="preserve">0000133613076</t>
  </si>
  <si>
    <t xml:space="preserve">3573020109040001</t>
  </si>
  <si>
    <t xml:space="preserve">Jl. Guntur No. 3, RT/RW 002/005, Oro-Oro Dowo, Klojen, Malang</t>
  </si>
  <si>
    <t xml:space="preserve">EGHIDIA ADHISTIE PUTRI RAMADHANTY</t>
  </si>
  <si>
    <t xml:space="preserve">29051839447</t>
  </si>
  <si>
    <t xml:space="preserve">0001260832937</t>
  </si>
  <si>
    <t xml:space="preserve">3214055711020002</t>
  </si>
  <si>
    <t xml:space="preserve">Purwakarta</t>
  </si>
  <si>
    <t xml:space="preserve">Perum Dian Anyar Blok K1/24, RT/RW 011/012, Ciseureuh, Purwakarta, Purwakarta</t>
  </si>
  <si>
    <t xml:space="preserve">NEDYA PUTRI ARIYANTI</t>
  </si>
  <si>
    <t xml:space="preserve">0002881268919</t>
  </si>
  <si>
    <t xml:space="preserve">3573055408060001</t>
  </si>
  <si>
    <t xml:space="preserve">Jl. Mawar I / 17 A, RT/RW 003/014, Lowokwaru, Lowokwaru, Malang</t>
  </si>
  <si>
    <t xml:space="preserve">MUH ANDIK MUSTOFAH</t>
  </si>
  <si>
    <t xml:space="preserve">3514200807010002</t>
  </si>
  <si>
    <t xml:space="preserve">Krawan, RT/RW 004/004, Kedawung Wetan, Grati, Pasuruan</t>
  </si>
  <si>
    <t xml:space="preserve">RISKI KURNIAWAN</t>
  </si>
  <si>
    <t xml:space="preserve">25089793218</t>
  </si>
  <si>
    <t xml:space="preserve">3524220501930001</t>
  </si>
  <si>
    <t xml:space="preserve">Sepanjang Tani Gg. Garuda Jl. Kutilang 04, RT/RW 010/006, Sepanjang, Taman, Sidoarjo</t>
  </si>
  <si>
    <t xml:space="preserve">JOHAN SETIAWAN</t>
  </si>
  <si>
    <t xml:space="preserve">25083825322</t>
  </si>
  <si>
    <t xml:space="preserve">3525151706930001</t>
  </si>
  <si>
    <t xml:space="preserve">Randegansari, RT/RW 003/002, Randegansari, Driyorejo, Gresik</t>
  </si>
  <si>
    <t xml:space="preserve">MUNALIK</t>
  </si>
  <si>
    <t xml:space="preserve">PT CIOMAS ADISATWA (MOJOKERTO)</t>
  </si>
  <si>
    <t xml:space="preserve">Tenaga Kerja Bongkar Muat (TKBM)</t>
  </si>
  <si>
    <t xml:space="preserve">3515100907720001</t>
  </si>
  <si>
    <t xml:space="preserve">Jarakan, RT/RW 001/001, Simoketawang, Wonoayu, Sidoarjo</t>
  </si>
  <si>
    <t xml:space="preserve">AMIR</t>
  </si>
  <si>
    <t xml:space="preserve">3516130909820011</t>
  </si>
  <si>
    <t xml:space="preserve">Dusun Ngrayung, RT/RW 003/002, Brayung, Puri, Mojokerto</t>
  </si>
  <si>
    <t xml:space="preserve">RAKHMAD BASUKI</t>
  </si>
  <si>
    <t xml:space="preserve">3515010906860002</t>
  </si>
  <si>
    <t xml:space="preserve">Dsn. Setoyo, RT/RW 001/001, Balongmojo, Puri, Mojokerto</t>
  </si>
  <si>
    <t xml:space="preserve">SEPTIAN DWI CAHYO</t>
  </si>
  <si>
    <t xml:space="preserve">27020565616</t>
  </si>
  <si>
    <t xml:space="preserve">3516133112950006</t>
  </si>
  <si>
    <t xml:space="preserve">Dsn Klampisan, RT/RW 027/011, Medali, Puri, Mojokerto</t>
  </si>
  <si>
    <t xml:space="preserve">M. ARIS FERDIAN</t>
  </si>
  <si>
    <t xml:space="preserve">22046155884</t>
  </si>
  <si>
    <t xml:space="preserve">3516112903980001</t>
  </si>
  <si>
    <t xml:space="preserve">Dusun Setoyo, RT/RW 003/001, Balongmojo, Puri, Mojokerto</t>
  </si>
  <si>
    <t xml:space="preserve">SUPARMAN</t>
  </si>
  <si>
    <t xml:space="preserve">3515120312840003</t>
  </si>
  <si>
    <t xml:space="preserve">Cangkringgatak, RT/RW 014/004, Seduri, Balongbendo, Sidoarjo</t>
  </si>
  <si>
    <t xml:space="preserve">AHMAD ABDUL GAPUR</t>
  </si>
  <si>
    <t xml:space="preserve">3516112012940001</t>
  </si>
  <si>
    <t xml:space="preserve">Setoyo, RT/RW 001/002, Balongmojo, Puri, Mojokerto</t>
  </si>
  <si>
    <t xml:space="preserve">MUTHOHIRIN</t>
  </si>
  <si>
    <t xml:space="preserve">3516112003940002</t>
  </si>
  <si>
    <t xml:space="preserve">Genengan, RT/RW 001/005, Banjaragung, Puri, Mojokerto</t>
  </si>
  <si>
    <t xml:space="preserve">ULI ABSOR</t>
  </si>
  <si>
    <t xml:space="preserve">MENINGGAL DUNIA</t>
  </si>
  <si>
    <t xml:space="preserve">27014647177</t>
  </si>
  <si>
    <t xml:space="preserve">3516112110950001</t>
  </si>
  <si>
    <t xml:space="preserve">Dusun Setoyo, RT/RW 002/001, Balongmojo, Puri, Mojokerto</t>
  </si>
  <si>
    <t xml:space="preserve">BASORI</t>
  </si>
  <si>
    <t xml:space="preserve">3516111907940001</t>
  </si>
  <si>
    <t xml:space="preserve">Brongkol, RT/RW 003/012, Banjaragung, Puri, Mojokerto</t>
  </si>
  <si>
    <t xml:space="preserve">AHMAD DANI ROMADHONI</t>
  </si>
  <si>
    <t xml:space="preserve">3516111502950002</t>
  </si>
  <si>
    <t xml:space="preserve">Dusun Setoyo, RT/RW 004/001, Balongmojo, Puri, Mojokerto</t>
  </si>
  <si>
    <t xml:space="preserve">SHOBIRIN</t>
  </si>
  <si>
    <t xml:space="preserve">3516111509930001</t>
  </si>
  <si>
    <t xml:space="preserve">Dsn. Setoyo, RT/RW 001/002, Balongmojo, Puri, Mojokerto</t>
  </si>
  <si>
    <t xml:space="preserve">KHABIB BASRI</t>
  </si>
  <si>
    <t xml:space="preserve">3516111501920001</t>
  </si>
  <si>
    <t xml:space="preserve">AHMAD ROBBI</t>
  </si>
  <si>
    <t xml:space="preserve">3516112011910001</t>
  </si>
  <si>
    <t xml:space="preserve">KUSAINI</t>
  </si>
  <si>
    <t xml:space="preserve">3516112903830001</t>
  </si>
  <si>
    <t xml:space="preserve">Dsn. Delik, RT/RW 005/001, Balongmojo, Puri, Mojokerto</t>
  </si>
  <si>
    <t xml:space="preserve">AFAN ARISTA</t>
  </si>
  <si>
    <t xml:space="preserve">22082025783</t>
  </si>
  <si>
    <t xml:space="preserve">3516110509840001</t>
  </si>
  <si>
    <t xml:space="preserve">Soogo, RT/RW 002/001, Balongmojo, Puri, Mojokerto</t>
  </si>
  <si>
    <t xml:space="preserve">HADI SISWANTO</t>
  </si>
  <si>
    <t xml:space="preserve">3516120207800004</t>
  </si>
  <si>
    <t xml:space="preserve">Dsn. Pelem, RT/RW 001/006, Temon, Trowulan, Mojokerto</t>
  </si>
  <si>
    <t xml:space="preserve">SAFIUDIN</t>
  </si>
  <si>
    <t xml:space="preserve">3516111503890002</t>
  </si>
  <si>
    <t xml:space="preserve">Bagusan, RT/RW 005/003, Terusan, Gedeg, Mojokerto</t>
  </si>
  <si>
    <t xml:space="preserve">MOHAMMAD RIO AFANDI</t>
  </si>
  <si>
    <t xml:space="preserve">3516111810990002</t>
  </si>
  <si>
    <t xml:space="preserve">Balonglombok, RT/RW 002/009, Sumolawang, Puri, Mojokerto</t>
  </si>
  <si>
    <t xml:space="preserve">AH. RIFANTO</t>
  </si>
  <si>
    <t xml:space="preserve">3576021301890001</t>
  </si>
  <si>
    <t xml:space="preserve">Lingk. Randegan, RT/RW 003/001, Kedundung, Magersari, Mojokerto</t>
  </si>
  <si>
    <t xml:space="preserve">MOHAMMAD SUCIPTO</t>
  </si>
  <si>
    <t xml:space="preserve">3516110508900001</t>
  </si>
  <si>
    <t xml:space="preserve">MOH. IQBAL ASRORI</t>
  </si>
  <si>
    <t xml:space="preserve">3516113112990016</t>
  </si>
  <si>
    <t xml:space="preserve">Gedang Klutuk, RT/RW 003/002, Gempolklutuk, Tarik, Sidoarjo</t>
  </si>
  <si>
    <t xml:space="preserve">3516111011810001</t>
  </si>
  <si>
    <t xml:space="preserve">Balonglombok, RT/RW 004/008, Sumolawang, Puri, Mojokerto</t>
  </si>
  <si>
    <t xml:space="preserve">AMUDI PRASETYO</t>
  </si>
  <si>
    <t xml:space="preserve">3516111005850001</t>
  </si>
  <si>
    <t xml:space="preserve">Dusun Balonglombok, RT/RW 004/008, Sumolawang, Puri, Mojokerto</t>
  </si>
  <si>
    <t xml:space="preserve">SAID</t>
  </si>
  <si>
    <t xml:space="preserve">3516112004860005</t>
  </si>
  <si>
    <t xml:space="preserve">Jl. Mojopahit 487, RT/RW 003/001, Kranggan, Kranggan, Mojokerto</t>
  </si>
  <si>
    <t xml:space="preserve">MISBAKHUL HASANI</t>
  </si>
  <si>
    <t xml:space="preserve">3516111708970001</t>
  </si>
  <si>
    <t xml:space="preserve">29058564083</t>
  </si>
  <si>
    <t xml:space="preserve">3516111601930001</t>
  </si>
  <si>
    <t xml:space="preserve">SONI KURNIAWAN</t>
  </si>
  <si>
    <t xml:space="preserve">20094092484</t>
  </si>
  <si>
    <t xml:space="preserve">3516111705950004</t>
  </si>
  <si>
    <t xml:space="preserve">Tambaksari, RT/RW 010/005, Tambakagung, Puri, Mojokerto</t>
  </si>
  <si>
    <t xml:space="preserve">DWI AFANDI</t>
  </si>
  <si>
    <t xml:space="preserve">25043471871</t>
  </si>
  <si>
    <t xml:space="preserve">3516113011990002</t>
  </si>
  <si>
    <t xml:space="preserve">Dusun Setoyo, RT/RW 001/002, Balongmojo, Puri, Mojokerto</t>
  </si>
  <si>
    <t xml:space="preserve">ANDI SUPRAYITNO</t>
  </si>
  <si>
    <t xml:space="preserve">3516133005900003</t>
  </si>
  <si>
    <t xml:space="preserve">Kebogerang, RT/RW 005/003, Sumbergirang, Puri, Mojokerto</t>
  </si>
  <si>
    <t xml:space="preserve">UMAR KHADAFI</t>
  </si>
  <si>
    <t xml:space="preserve">3516181408990003</t>
  </si>
  <si>
    <t xml:space="preserve">Dsn. Gayaman, RT/RW 004/002, Gayaman, Mojoanyar, Mojokerto</t>
  </si>
  <si>
    <t xml:space="preserve">RENALDI HERMANSYAH</t>
  </si>
  <si>
    <t xml:space="preserve">0001630974148</t>
  </si>
  <si>
    <t xml:space="preserve">3578280305020003</t>
  </si>
  <si>
    <t xml:space="preserve">Greges Barat Gg.VII/2A, RT/RW 004/001, Tambak Sarioso, Asemrowo, Surabaya</t>
  </si>
  <si>
    <t xml:space="preserve">MUHAMMAD RAKA HADINATA</t>
  </si>
  <si>
    <t xml:space="preserve">0002904763713</t>
  </si>
  <si>
    <t xml:space="preserve">3573052105960007</t>
  </si>
  <si>
    <t xml:space="preserve">Jl. Taman Borobudur Indah B/12B, RT/RW 003/005, Mojolangu, Lowokwaru, Malang</t>
  </si>
  <si>
    <t xml:space="preserve">AGUS JAYADI</t>
  </si>
  <si>
    <t xml:space="preserve">0001534776838</t>
  </si>
  <si>
    <t xml:space="preserve">3578271308990001</t>
  </si>
  <si>
    <t xml:space="preserve">Simo Pomahan Baru Barat 65, RT/RW 006/005, Simomulyo Baru, Sukomanunggal, Surabaya</t>
  </si>
  <si>
    <t xml:space="preserve">WAHYU ALIF APRILIARDI</t>
  </si>
  <si>
    <t xml:space="preserve">0002875447719</t>
  </si>
  <si>
    <t xml:space="preserve">3521092304900001</t>
  </si>
  <si>
    <t xml:space="preserve">Beran II, RT/RW 002/001, Beran, Ngawi, Ngawi</t>
  </si>
  <si>
    <t xml:space="preserve">NOVIS AGUS SAPUTRA</t>
  </si>
  <si>
    <t xml:space="preserve">0001280472265</t>
  </si>
  <si>
    <t xml:space="preserve">3525160808870003</t>
  </si>
  <si>
    <t xml:space="preserve">Suci, RT/RW 001/005, Suci, Manyar, Gresik</t>
  </si>
  <si>
    <t xml:space="preserve">MOHAMAD SOLIQ</t>
  </si>
  <si>
    <t xml:space="preserve">3515091407870002</t>
  </si>
  <si>
    <t xml:space="preserve">Dsn. Kepadangan, RT/RW 012/004, Ds. Kepadangan, Kec. Tulangan, Kab. Sidoarjo</t>
  </si>
  <si>
    <t xml:space="preserve">TEGUH IMAM SANTOSO</t>
  </si>
  <si>
    <t xml:space="preserve">3515081505870005</t>
  </si>
  <si>
    <t xml:space="preserve">Graha Kota Blok B1 No. 1, Sidoarjo</t>
  </si>
  <si>
    <t xml:space="preserve">MUHAMAD TAUFIK</t>
  </si>
  <si>
    <t xml:space="preserve">3524241902830001</t>
  </si>
  <si>
    <t xml:space="preserve">Dsn. Centong, RT/RW 002/002, Ds. Gerih, Kec. Gerih, Kab. Ngawi</t>
  </si>
  <si>
    <t xml:space="preserve">NANOK RUDIANSYAH</t>
  </si>
  <si>
    <t xml:space="preserve">3525051103840001</t>
  </si>
  <si>
    <t xml:space="preserve">Dsn. Juwet Selatan, Ds. Grabagan, Kec. Tulangan, Kab. Sidoarjo</t>
  </si>
  <si>
    <t xml:space="preserve">SUJARNO</t>
  </si>
  <si>
    <t xml:space="preserve">3604350102660001</t>
  </si>
  <si>
    <t xml:space="preserve">Dsn. Jalakan, Ds. Begajah, Kec. Sukoharjo, Kab. Sukoharjo</t>
  </si>
  <si>
    <t xml:space="preserve">GALIH ADI PRATAMA</t>
  </si>
  <si>
    <t xml:space="preserve">23026495076</t>
  </si>
  <si>
    <t xml:space="preserve">3515120812980001</t>
  </si>
  <si>
    <t xml:space="preserve">Dsn. Kemambang, RT/RW 007/001, Ds. Sumokembangsri, Kec. Balongbendo, Kab. Sidoarjo</t>
  </si>
  <si>
    <t xml:space="preserve">ZIDAN GYMNASTIAR</t>
  </si>
  <si>
    <t xml:space="preserve">25004669453</t>
  </si>
  <si>
    <t xml:space="preserve">3523141012010003</t>
  </si>
  <si>
    <t xml:space="preserve">Dsn. Puroboyo Mayang Sekar, RT/RW 001/007, Ds. Rengel, Kec. Rengel, Kab. Tuban</t>
  </si>
  <si>
    <t xml:space="preserve">SAMSUL AS'ARI</t>
  </si>
  <si>
    <t xml:space="preserve">3515020910690001</t>
  </si>
  <si>
    <t xml:space="preserve">Ds. Pejangkungan, RT/RW 009/002, Kec. Prambon, Kab. Sidoarjo</t>
  </si>
  <si>
    <t xml:space="preserve">MASDUQI ALBUCHORI</t>
  </si>
  <si>
    <t xml:space="preserve">3516120510930001</t>
  </si>
  <si>
    <t xml:space="preserve">JL. Garuda, RT/RW 004/007, Kel. Tulangan, Kec. Pare, Kab. Kediri</t>
  </si>
  <si>
    <t xml:space="preserve">MOH. ZAINUR ROZIQIN</t>
  </si>
  <si>
    <t xml:space="preserve">3516132809010001</t>
  </si>
  <si>
    <t xml:space="preserve">Dsn. Kedung Maling III, RT/RW 018/007, Ds. Kedungmaling, Kec. Sooko, Kab. Mojokerto</t>
  </si>
  <si>
    <t xml:space="preserve">26092939513</t>
  </si>
  <si>
    <t xml:space="preserve">3516130912850008</t>
  </si>
  <si>
    <t xml:space="preserve">Dsn. Kedung Maling I, RT/RW 005/002, Ds. Kedungmaling, Kec. Sooko, Kab. Mojokerto</t>
  </si>
  <si>
    <t xml:space="preserve">ASRIK</t>
  </si>
  <si>
    <t xml:space="preserve">0000754279424</t>
  </si>
  <si>
    <t xml:space="preserve">Admin SPBU</t>
  </si>
  <si>
    <t xml:space="preserve">3523136107990002</t>
  </si>
  <si>
    <t xml:space="preserve">Dusun Waringolo, RT/RW 004/006, Sugihan, Merakurak, Tuban</t>
  </si>
  <si>
    <t xml:space="preserve">MUHAIMIN</t>
  </si>
  <si>
    <t xml:space="preserve">25011766867</t>
  </si>
  <si>
    <t xml:space="preserve">0000763169174</t>
  </si>
  <si>
    <t xml:space="preserve">3525160402960001</t>
  </si>
  <si>
    <t xml:space="preserve">KH. Kholil 8-A/14, RT/RW 001/002, Pekelingan, Gresik, Gresik</t>
  </si>
  <si>
    <t xml:space="preserve">GINARSIH</t>
  </si>
  <si>
    <t xml:space="preserve">0000753468974</t>
  </si>
  <si>
    <t xml:space="preserve">3523156109020002</t>
  </si>
  <si>
    <t xml:space="preserve">Dsn Gempol Utara, RT/RW 002/011, Genaharjo, Semanding, Tuban</t>
  </si>
  <si>
    <t xml:space="preserve">FERDIANSYAH JEHAN PRANATA</t>
  </si>
  <si>
    <t xml:space="preserve">3515131305000002</t>
  </si>
  <si>
    <t xml:space="preserve">Dsn.Kramat, RT/RW 001/004, Kramat Jegu, Taman, Sidoarjo</t>
  </si>
  <si>
    <t xml:space="preserve">ELIDA</t>
  </si>
  <si>
    <t xml:space="preserve">20019977667</t>
  </si>
  <si>
    <t xml:space="preserve">0001821432633</t>
  </si>
  <si>
    <t xml:space="preserve">3523125810870003</t>
  </si>
  <si>
    <t xml:space="preserve">Dsn Krajan, RT/RW 003/001, Beji, Jenu, Tuban</t>
  </si>
  <si>
    <t xml:space="preserve">KIKI AULIARAHMA</t>
  </si>
  <si>
    <t xml:space="preserve">22017672803</t>
  </si>
  <si>
    <t xml:space="preserve">0003214867509</t>
  </si>
  <si>
    <t xml:space="preserve">3523126810030002</t>
  </si>
  <si>
    <t xml:space="preserve">Perum Jenggolo Permai Blok S 11, RT/RW 011/001, Jenggolo, Jenu, Tuban</t>
  </si>
  <si>
    <t xml:space="preserve">ILFATUN NAFI'AH</t>
  </si>
  <si>
    <t xml:space="preserve">23068048567</t>
  </si>
  <si>
    <t xml:space="preserve">0000754367488</t>
  </si>
  <si>
    <t xml:space="preserve">3523126806990001</t>
  </si>
  <si>
    <t xml:space="preserve">Dsn Ngirsapi, RT/RW 001/001, Sugihwaras, Jenu, Tuban</t>
  </si>
  <si>
    <t xml:space="preserve">M. AMIR LUBIS</t>
  </si>
  <si>
    <t xml:space="preserve">3515170807990003</t>
  </si>
  <si>
    <t xml:space="preserve">Gisik Cemandi, RT/RW 003/001, Gisik Cemandi, Sedati, Sidoarjo</t>
  </si>
  <si>
    <t xml:space="preserve">M. HARIS SETIAWAN</t>
  </si>
  <si>
    <t xml:space="preserve">3523031912030001</t>
  </si>
  <si>
    <t xml:space="preserve">Dsn Tanggung, RT/RW 003/004, Kedungjambangan, Bangilan, Tuban</t>
  </si>
  <si>
    <t xml:space="preserve">NILAM KARTIKA SARI</t>
  </si>
  <si>
    <t xml:space="preserve">21013190171</t>
  </si>
  <si>
    <t xml:space="preserve">3516064406010001</t>
  </si>
  <si>
    <t xml:space="preserve">Dsn. Pungging, RT/RW 004/004, Pungging, Pungging, Mojokerto</t>
  </si>
  <si>
    <t xml:space="preserve">PUTRI SETIA NINGRUM</t>
  </si>
  <si>
    <t xml:space="preserve">23097035708</t>
  </si>
  <si>
    <t xml:space="preserve">3516065505060001</t>
  </si>
  <si>
    <t xml:space="preserve">Kamotan Kulon, RT/RW 027/012, Randuharjo, Pungging, Mojokerto</t>
  </si>
  <si>
    <t xml:space="preserve">MOHAMMAD ERWIN ROMADHON</t>
  </si>
  <si>
    <t xml:space="preserve">3516050211040003</t>
  </si>
  <si>
    <t xml:space="preserve">Sedati, RT/RW 004/001, Sedati, Ngoro, Mojokerto</t>
  </si>
  <si>
    <t xml:space="preserve">IBNU NUR ISLAMUDIN</t>
  </si>
  <si>
    <t xml:space="preserve">PT DERMAGA</t>
  </si>
  <si>
    <t xml:space="preserve">0003500788375</t>
  </si>
  <si>
    <t xml:space="preserve">3519092804980001</t>
  </si>
  <si>
    <t xml:space="preserve">Jl. Rayakalirungkut No 84, RT/RW 001/006, Kalirungkut, Rungkut, Surabaya</t>
  </si>
  <si>
    <t xml:space="preserve">DELLIA SEFTIANA PUTRIAJI</t>
  </si>
  <si>
    <t xml:space="preserve">26092602553</t>
  </si>
  <si>
    <t xml:space="preserve">0002888602997</t>
  </si>
  <si>
    <t xml:space="preserve">3505196309020001</t>
  </si>
  <si>
    <t xml:space="preserve">Dsn Brongkos, RT/RW 004/001, Siraman, Kesamben, Blitar</t>
  </si>
  <si>
    <t xml:space="preserve">AGATO HARIADI PUTRA KARUNIA</t>
  </si>
  <si>
    <t xml:space="preserve">0001804308748</t>
  </si>
  <si>
    <t xml:space="preserve">Surveyor Purchasing</t>
  </si>
  <si>
    <t xml:space="preserve">3515183107960002</t>
  </si>
  <si>
    <t xml:space="preserve">Tropodo Asri G-14, RT/RW 094/011, Tropodo, Waru, Sidoarjo</t>
  </si>
  <si>
    <t xml:space="preserve">BINTI NURO IZAH</t>
  </si>
  <si>
    <t xml:space="preserve">28002848415</t>
  </si>
  <si>
    <t xml:space="preserve">0000786350777</t>
  </si>
  <si>
    <t xml:space="preserve">3576026809940002</t>
  </si>
  <si>
    <t xml:space="preserve">JL. Sawunggaling 20, RT/RW 004/004, Balongsari, Magersari, Mojokerto</t>
  </si>
  <si>
    <t xml:space="preserve">INDI LISTIANA</t>
  </si>
  <si>
    <t xml:space="preserve">0000956237332</t>
  </si>
  <si>
    <t xml:space="preserve">Sorong</t>
  </si>
  <si>
    <t xml:space="preserve">7472044908950002</t>
  </si>
  <si>
    <t xml:space="preserve">Wonco</t>
  </si>
  <si>
    <t xml:space="preserve">Lingkungan Kampung Baru RT/RW 001/001, Kampeonaho, Bungi, Baubau</t>
  </si>
  <si>
    <t xml:space="preserve">ANANDA FIVI HARDIYANTININGTIAS</t>
  </si>
  <si>
    <t xml:space="preserve">26044868604</t>
  </si>
  <si>
    <t xml:space="preserve">0001184607639</t>
  </si>
  <si>
    <t xml:space="preserve">3375037103030005</t>
  </si>
  <si>
    <t xml:space="preserve">Kota Pekalongan</t>
  </si>
  <si>
    <t xml:space="preserve">JL. Meranti V No.19, RT/RW 001/011, Krapyak, Pekalongan Utara, Pekalongan</t>
  </si>
  <si>
    <t xml:space="preserve">ANISA SASTRA NEGARA</t>
  </si>
  <si>
    <t xml:space="preserve">24036684432</t>
  </si>
  <si>
    <t xml:space="preserve">0000733580943</t>
  </si>
  <si>
    <t xml:space="preserve">3518116111070001</t>
  </si>
  <si>
    <t xml:space="preserve">Batur, RT/RW 002/002, Tegalrejo, Ceper, Klaten</t>
  </si>
  <si>
    <t xml:space="preserve">ANNISA SYAFIRA</t>
  </si>
  <si>
    <t xml:space="preserve">20038577925</t>
  </si>
  <si>
    <t xml:space="preserve">0001812740297</t>
  </si>
  <si>
    <t xml:space="preserve">1271174212990002</t>
  </si>
  <si>
    <t xml:space="preserve">Jl. Karya Jaya GG. Eka Jaya I No. 12 LK-II Medan, RT/RW 000/000, Gedung Johor, Medan Johor, Medan</t>
  </si>
  <si>
    <t xml:space="preserve">IRMA PUTRI WAHYUNI</t>
  </si>
  <si>
    <t xml:space="preserve">0002787865299</t>
  </si>
  <si>
    <t xml:space="preserve">1671066808020016</t>
  </si>
  <si>
    <t xml:space="preserve">Jl. Perintis Kemerdekaan LR. Produksim, RT/RW 023/005, Duku, Ilir Timur Tiga, Palembang</t>
  </si>
  <si>
    <t xml:space="preserve">NOVITA SARI</t>
  </si>
  <si>
    <t xml:space="preserve">25037805081</t>
  </si>
  <si>
    <t xml:space="preserve">0001124037281</t>
  </si>
  <si>
    <t xml:space="preserve">1671115011940005</t>
  </si>
  <si>
    <t xml:space="preserve">Oki - Kayu Agung</t>
  </si>
  <si>
    <t xml:space="preserve">JL Rha Arifai Tjekyan No 1485, RT/RW 020/005, Dua-puluh Ilir Satu, Ilir Timur Satu, Palembang</t>
  </si>
  <si>
    <t xml:space="preserve">RISKA NANDA FAUZI</t>
  </si>
  <si>
    <t xml:space="preserve">26095043743</t>
  </si>
  <si>
    <t xml:space="preserve">0001202858673</t>
  </si>
  <si>
    <t xml:space="preserve">1871034310990004</t>
  </si>
  <si>
    <t xml:space="preserve">Jl. Kulit GG. Sumo 5 No.112 LK.2, RT/RW 005/000, Langkapura, Langkapura, Bandar Lampung</t>
  </si>
  <si>
    <t xml:space="preserve">IRVO SRI MULIANTI</t>
  </si>
  <si>
    <t xml:space="preserve">0002433332204</t>
  </si>
  <si>
    <t xml:space="preserve">1207264304970003</t>
  </si>
  <si>
    <t xml:space="preserve">Jl. Psr.Iii Gg.Darussalam, RT/RW 000/000, Tembung, Percut Sei Tuan, Serdang</t>
  </si>
  <si>
    <t xml:space="preserve">IRYANTI</t>
  </si>
  <si>
    <t xml:space="preserve">Bima</t>
  </si>
  <si>
    <t xml:space="preserve">5272014404010005</t>
  </si>
  <si>
    <t xml:space="preserve">Kotabima</t>
  </si>
  <si>
    <t xml:space="preserve">Nae, RT/RW 006/002, Nae, Rasanae Barat, Bima</t>
  </si>
  <si>
    <t xml:space="preserve">DYAH MEGA CAHYAWULAN</t>
  </si>
  <si>
    <t xml:space="preserve">0001166739287</t>
  </si>
  <si>
    <t xml:space="preserve">3578087010980001</t>
  </si>
  <si>
    <t xml:space="preserve">Baratajaya 8/17, RT/RW 007/005, Baratajaya, Gubeng, Surabaya</t>
  </si>
  <si>
    <t xml:space="preserve">ZAHRA DHAFIA</t>
  </si>
  <si>
    <t xml:space="preserve">23099767330</t>
  </si>
  <si>
    <t xml:space="preserve">0001386493312</t>
  </si>
  <si>
    <t xml:space="preserve">1207234811050004</t>
  </si>
  <si>
    <t xml:space="preserve">Medan Krio</t>
  </si>
  <si>
    <t xml:space="preserve">Dusun II Jl. Citarium No. 22 A, RT/RW 005/003, Medan Krio, Sunggal, Deli Serdang</t>
  </si>
  <si>
    <t xml:space="preserve">SHALSHA C. DJAFAR</t>
  </si>
  <si>
    <t xml:space="preserve">22061021972</t>
  </si>
  <si>
    <t xml:space="preserve">0000195483521</t>
  </si>
  <si>
    <t xml:space="preserve">7501025808030002</t>
  </si>
  <si>
    <t xml:space="preserve">Kab. Gorontalo</t>
  </si>
  <si>
    <t xml:space="preserve">Dusun I, RT/RW 000/000, Tabumela, Tilango, Gorontalo</t>
  </si>
  <si>
    <t xml:space="preserve">ACHMAD MUJAKQI</t>
  </si>
  <si>
    <t xml:space="preserve">0003035198136</t>
  </si>
  <si>
    <t xml:space="preserve">3516072205020001</t>
  </si>
  <si>
    <t xml:space="preserve">YOGA PRASTAMA</t>
  </si>
  <si>
    <t xml:space="preserve">20082734382</t>
  </si>
  <si>
    <t xml:space="preserve">3517091811020004</t>
  </si>
  <si>
    <t xml:space="preserve">Dsn. Gedang Keret, RT/RW 005/006, Ds. Banjardowo, Kec. Jombang, Kab. Jombang</t>
  </si>
  <si>
    <t xml:space="preserve">DENI SUMI HARJI</t>
  </si>
  <si>
    <t xml:space="preserve">3518091306010001</t>
  </si>
  <si>
    <t xml:space="preserve">Dsn. Buntut, Ds. Tirtobingangun, RT/RW 002/008, Kec. Patianrowo, Kab. Nganjuk</t>
  </si>
  <si>
    <t xml:space="preserve">ZUNAIDI ABDILLAH</t>
  </si>
  <si>
    <t xml:space="preserve">3516161402810001</t>
  </si>
  <si>
    <t xml:space="preserve">Dsn. Sonosari, RT/RW 002/001, Ds. Canggu, Kec. Jetis, Kab. Mojokerto</t>
  </si>
  <si>
    <t xml:space="preserve">ALVI NUR HIDAYAT</t>
  </si>
  <si>
    <t xml:space="preserve">22038171310</t>
  </si>
  <si>
    <t xml:space="preserve">3516142505850001</t>
  </si>
  <si>
    <t xml:space="preserve">JL. Martorejo, RT/RW 016/005, Kel. Gembongan, Kec. Gedeg, Kab. Mojokerto</t>
  </si>
  <si>
    <t xml:space="preserve">AYU WULANDARI</t>
  </si>
  <si>
    <t xml:space="preserve">26034762020</t>
  </si>
  <si>
    <t xml:space="preserve">0001536647488</t>
  </si>
  <si>
    <t xml:space="preserve">Staff Purchasing</t>
  </si>
  <si>
    <t xml:space="preserve">3578035005980006</t>
  </si>
  <si>
    <t xml:space="preserve">Rungkut Lor IX/34-I, RT/RW 008/005, Kalirungkut, Rungkut, Surabaya</t>
  </si>
  <si>
    <t xml:space="preserve">IZHA SYAHFRIZAL</t>
  </si>
  <si>
    <t xml:space="preserve">1207230709010004</t>
  </si>
  <si>
    <t xml:space="preserve">6283823002791</t>
  </si>
  <si>
    <t xml:space="preserve">MUHAMMAD FANDI ABDILLAH LUBIS</t>
  </si>
  <si>
    <t xml:space="preserve">22074395824</t>
  </si>
  <si>
    <t xml:space="preserve">0001610786788</t>
  </si>
  <si>
    <t xml:space="preserve">1271132112940004</t>
  </si>
  <si>
    <t xml:space="preserve">Jl. Kl Y Sudarso No 161 - ALK 13, RT/RW 000/000, Pekan Labuhan, Medan Labuhan, Medan</t>
  </si>
  <si>
    <t xml:space="preserve">FANI TRIANA</t>
  </si>
  <si>
    <t xml:space="preserve">24058323605</t>
  </si>
  <si>
    <t xml:space="preserve">0000283075874</t>
  </si>
  <si>
    <t xml:space="preserve">1371014212950003</t>
  </si>
  <si>
    <t xml:space="preserve">Bukit Gado-Gado, RT/RW 002/001, Bukit Gado-Gado, Padang Selatan, Padang</t>
  </si>
  <si>
    <t xml:space="preserve">JELITA PUTRI MELLOLO</t>
  </si>
  <si>
    <t xml:space="preserve">20048058925</t>
  </si>
  <si>
    <t xml:space="preserve">7318035402990001</t>
  </si>
  <si>
    <t xml:space="preserve">Tana Toraja</t>
  </si>
  <si>
    <t xml:space="preserve">Siammang, RT/RW 000/000, Bau Selatan, Bonggakaradeng, Kab. Tana Toraja</t>
  </si>
  <si>
    <t xml:space="preserve">ASNA HILYATUL HUSNA</t>
  </si>
  <si>
    <t xml:space="preserve">26024381372</t>
  </si>
  <si>
    <t xml:space="preserve">0000672873478</t>
  </si>
  <si>
    <t xml:space="preserve">3506025608030003</t>
  </si>
  <si>
    <t xml:space="preserve">Jalan Kurnia Makmur, Rt/RW 020/000, Harapan Baru, Loa Janan Ilir, Samarinda</t>
  </si>
  <si>
    <t xml:space="preserve">KHAYLA ANGIE NOVIA RACHMAN</t>
  </si>
  <si>
    <t xml:space="preserve">0001895135275</t>
  </si>
  <si>
    <t xml:space="preserve">3374147011060001</t>
  </si>
  <si>
    <t xml:space="preserve">Jl Rajawali No.4, RT/RW 003/005, Bareng, Klaten Tengah, Klaten</t>
  </si>
  <si>
    <t xml:space="preserve">ALEXANDER WILLIAM LUMI</t>
  </si>
  <si>
    <t xml:space="preserve">0001899725668</t>
  </si>
  <si>
    <t xml:space="preserve">Business Representatif</t>
  </si>
  <si>
    <t xml:space="preserve">3578081204940005</t>
  </si>
  <si>
    <t xml:space="preserve">Bratang Binangun 4/9, RT/RW 006/008, Baratajaya, Gubeng, Surabaya</t>
  </si>
  <si>
    <t xml:space="preserve">MUHAMMAD LABIB FAIRUR RIZQI</t>
  </si>
  <si>
    <t xml:space="preserve">22065610513</t>
  </si>
  <si>
    <t xml:space="preserve">3517092710060004</t>
  </si>
  <si>
    <t xml:space="preserve">Jl. Yos Sudarso 4/18, RT/RW 006/004, Denanyar, Jombang, Jombang</t>
  </si>
  <si>
    <t xml:space="preserve">YENNY PRICILIA VERONICA</t>
  </si>
  <si>
    <t xml:space="preserve">0003773308983</t>
  </si>
  <si>
    <t xml:space="preserve">Staff Pajak</t>
  </si>
  <si>
    <t xml:space="preserve">3511116504990001</t>
  </si>
  <si>
    <t xml:space="preserve">Letjen Suprapto, RT/RW 020/005, Dabasah, Bondowoso, Bondowoso</t>
  </si>
  <si>
    <t xml:space="preserve">YUDHA SAKTI AJI</t>
  </si>
  <si>
    <t xml:space="preserve">0000729982719</t>
  </si>
  <si>
    <t xml:space="preserve">3517110904980001</t>
  </si>
  <si>
    <t xml:space="preserve">Dsn Besuk, RT/RW 002/003, Curahmalang, Sumobito, Jombang</t>
  </si>
  <si>
    <t xml:space="preserve">SULTAN LASKA ORTEGA</t>
  </si>
  <si>
    <t xml:space="preserve">0000661194516</t>
  </si>
  <si>
    <t xml:space="preserve">9104010211990004</t>
  </si>
  <si>
    <t xml:space="preserve">Jl. Pelabuhan, RT/RW 003/002, Samabusa, Teluk Kimi, Nabire</t>
  </si>
  <si>
    <t xml:space="preserve">MOCH. ABDUH AL MAULAD</t>
  </si>
  <si>
    <t xml:space="preserve">3515020303960002</t>
  </si>
  <si>
    <t xml:space="preserve">Cangkring, RT/RW 004/001, Cangkringturi, Prambon, Sidoarjo</t>
  </si>
  <si>
    <t xml:space="preserve">TIRSA GEVA ABELVI MASPAITELLA</t>
  </si>
  <si>
    <t xml:space="preserve">PT SURYA MULTI INDOPACK</t>
  </si>
  <si>
    <t xml:space="preserve">28081475071</t>
  </si>
  <si>
    <t xml:space="preserve">0001283318122</t>
  </si>
  <si>
    <t xml:space="preserve">Operator Telepon</t>
  </si>
  <si>
    <t xml:space="preserve">3578124805990007</t>
  </si>
  <si>
    <t xml:space="preserve">Pesapen Gg. Buntu No. 1, RT/RW 03/010, Krembangan Utara, Pabean Cantian, Surabaya</t>
  </si>
  <si>
    <t xml:space="preserve">DIMAS ADIFIRA</t>
  </si>
  <si>
    <t xml:space="preserve">0002418555328</t>
  </si>
  <si>
    <t xml:space="preserve">3507230510000002</t>
  </si>
  <si>
    <t xml:space="preserve">Jl. Pertaman, RT/RW 014/005, Kepuharjo, Karangploso, Malang</t>
  </si>
  <si>
    <t xml:space="preserve">EKO PURWANTO</t>
  </si>
  <si>
    <t xml:space="preserve">3518100604840004</t>
  </si>
  <si>
    <t xml:space="preserve">Dsn Katerban, RT/RW 003/004, Katerban, Baron, Nganjuk</t>
  </si>
  <si>
    <t xml:space="preserve">M IFAN RAMANDA LILA</t>
  </si>
  <si>
    <t xml:space="preserve">0003509303387</t>
  </si>
  <si>
    <t xml:space="preserve">3507232111980001</t>
  </si>
  <si>
    <t xml:space="preserve">Jl. Pulau Mas, RT/RW 005/002, Kepuharjo, Karangploso, Malang</t>
  </si>
  <si>
    <t xml:space="preserve">23074499813</t>
  </si>
  <si>
    <t xml:space="preserve">0002143981596</t>
  </si>
  <si>
    <t xml:space="preserve">3573020812970003</t>
  </si>
  <si>
    <t xml:space="preserve">Jl. Mayjend Panjaitan 148, RT/RW 005/005, Penanggungan, Klojen, Malang</t>
  </si>
  <si>
    <t xml:space="preserve">MOH ANDIK AFDOLLAH</t>
  </si>
  <si>
    <t xml:space="preserve">3518051710960002</t>
  </si>
  <si>
    <t xml:space="preserve">Dsn Cangkrng, RT/RW 004/010, Pacekulon, Pace, Nganjuk</t>
  </si>
  <si>
    <t xml:space="preserve">RENALDI RAMADHIANSYAH</t>
  </si>
  <si>
    <t xml:space="preserve">0001702454883</t>
  </si>
  <si>
    <t xml:space="preserve">3515162012010004</t>
  </si>
  <si>
    <t xml:space="preserve">Jl. Jeruk, RT/RW 009/002, Sruni, Gedangan, Sidoarjo</t>
  </si>
  <si>
    <t xml:space="preserve">BUDIONO</t>
  </si>
  <si>
    <t xml:space="preserve">0001534821647</t>
  </si>
  <si>
    <t xml:space="preserve">3515070411890003</t>
  </si>
  <si>
    <t xml:space="preserve">Tanjungsari, RT/RW 008/002, Karangtanjung, Candi, Sidoarjo</t>
  </si>
  <si>
    <t xml:space="preserve">ANDIKO FERDIANSYAH</t>
  </si>
  <si>
    <t xml:space="preserve">0000674627668</t>
  </si>
  <si>
    <t xml:space="preserve">3506150502000001</t>
  </si>
  <si>
    <t xml:space="preserve">Dsn. Salam, RT/RW 001/006, Mranggen, Purwoasri, Kediri</t>
  </si>
  <si>
    <t xml:space="preserve">HERIYANTO</t>
  </si>
  <si>
    <t xml:space="preserve">0003107274772</t>
  </si>
  <si>
    <t xml:space="preserve">3527122603960003</t>
  </si>
  <si>
    <t xml:space="preserve">Dsn Lon Selleng, RT/RW 000/000, Batioh, Banyuates, Sampang</t>
  </si>
  <si>
    <t xml:space="preserve">FERDY YUDI ANSAH</t>
  </si>
  <si>
    <t xml:space="preserve">0000761349824</t>
  </si>
  <si>
    <t xml:space="preserve">3525080902990001</t>
  </si>
  <si>
    <t xml:space="preserve">Tanjung Dukuhan, RT/RW 005/004, Tanjung, Kedamean, Gresik</t>
  </si>
  <si>
    <t xml:space="preserve">ZAINUL EFENDI</t>
  </si>
  <si>
    <t xml:space="preserve">PT NIPSEA PAINT AND CHEMICALS (LAMONGAN)</t>
  </si>
  <si>
    <t xml:space="preserve">0000756483996</t>
  </si>
  <si>
    <t xml:space="preserve">3524171711950002</t>
  </si>
  <si>
    <t xml:space="preserve">Baturono, RT/RW 002/004, Baturono, Sukodadi, Lamongan</t>
  </si>
  <si>
    <t xml:space="preserve">AZAR FAKHRUDIN</t>
  </si>
  <si>
    <t xml:space="preserve">22074394099</t>
  </si>
  <si>
    <t xml:space="preserve">0000755030553</t>
  </si>
  <si>
    <t xml:space="preserve">Kepala SPBU</t>
  </si>
  <si>
    <t xml:space="preserve">3523043004920001</t>
  </si>
  <si>
    <t xml:space="preserve">Dsn Kradenan, RT/RW 001/002, Sukolilo, Bancar, Tuban</t>
  </si>
  <si>
    <t xml:space="preserve">IMROATUS SHOLIKHAH</t>
  </si>
  <si>
    <t xml:space="preserve">21005324025</t>
  </si>
  <si>
    <t xml:space="preserve">Admin Marketplace</t>
  </si>
  <si>
    <t xml:space="preserve">3509077112980001</t>
  </si>
  <si>
    <t xml:space="preserve">Rejomulyo, RT/RW 002/009, Sudimoro, Sudimoro, Pacitan</t>
  </si>
  <si>
    <t xml:space="preserve">BILLY SURYAHANJAYA</t>
  </si>
  <si>
    <t xml:space="preserve">25077355214</t>
  </si>
  <si>
    <t xml:space="preserve">3507241411000002</t>
  </si>
  <si>
    <t xml:space="preserve">Jl. Borobudur Agung Barat VII No. 7A, RT/RW 005/011, Mojolangu, Lowokwaru, Malang</t>
  </si>
  <si>
    <t xml:space="preserve">M. HELI SUPRIADI</t>
  </si>
  <si>
    <t xml:space="preserve">3522090111860003</t>
  </si>
  <si>
    <t xml:space="preserve">Bulu, RT/RW 045/007, Sugihwaras, Kepohbaru, Bojonegoro</t>
  </si>
  <si>
    <t xml:space="preserve">ALFAN MAULANA KHUSEN</t>
  </si>
  <si>
    <t xml:space="preserve">0000757517049</t>
  </si>
  <si>
    <t xml:space="preserve">3524123006000003</t>
  </si>
  <si>
    <t xml:space="preserve">Babatan, RT/RW 001/006, Sekarbagus, Sugio, Lamongan</t>
  </si>
  <si>
    <t xml:space="preserve">SUNAR</t>
  </si>
  <si>
    <t xml:space="preserve">3525142805700001</t>
  </si>
  <si>
    <t xml:space="preserve">Ngargosari, RT/RW 004/001, Ngargosari, Kebomas, Gresik</t>
  </si>
  <si>
    <t xml:space="preserve">MOHAMAD SHOFA NURAHMAN</t>
  </si>
  <si>
    <t xml:space="preserve">21087181296</t>
  </si>
  <si>
    <t xml:space="preserve">3524210912000001</t>
  </si>
  <si>
    <t xml:space="preserve">Turi, RT/RW 002/001, Turi, Turi, Lamongan</t>
  </si>
  <si>
    <t xml:space="preserve">SUGENG PURNOMO</t>
  </si>
  <si>
    <t xml:space="preserve">3517121202800006</t>
  </si>
  <si>
    <t xml:space="preserve">Dsn Gumulan I, RT/RW 004/001, Gumulan, Kesamben, Jombang</t>
  </si>
  <si>
    <t xml:space="preserve">TRI PUJI RAHAYU</t>
  </si>
  <si>
    <t xml:space="preserve">27000089162</t>
  </si>
  <si>
    <t xml:space="preserve">0001703630867</t>
  </si>
  <si>
    <t xml:space="preserve">Staff Audit</t>
  </si>
  <si>
    <t xml:space="preserve">3578044702970002</t>
  </si>
  <si>
    <t xml:space="preserve">Bratang Gede 6-I/22, RT/RW 006/012, Ngagel Rejo, Wonokromo, Surabaya</t>
  </si>
  <si>
    <t xml:space="preserve">NAURAH HABIBAH GHASSANI</t>
  </si>
  <si>
    <t xml:space="preserve">0001629126011</t>
  </si>
  <si>
    <t xml:space="preserve">3578145308010001</t>
  </si>
  <si>
    <t xml:space="preserve">Manukan Karya A-1/4, RT/RW 010/006, Manukan Kulon, Tandes, Surabaya</t>
  </si>
  <si>
    <t xml:space="preserve">SITI MASYULAH</t>
  </si>
  <si>
    <t xml:space="preserve">26095152521</t>
  </si>
  <si>
    <t xml:space="preserve">0002164565362</t>
  </si>
  <si>
    <t xml:space="preserve">3578014604020002</t>
  </si>
  <si>
    <t xml:space="preserve">Warugunung, RT/RW 006/001, Warugunung, Karang Pilang, Surabaya</t>
  </si>
  <si>
    <t xml:space="preserve">WAHYUDIN AROMDHONI</t>
  </si>
  <si>
    <t xml:space="preserve">3516132605860003</t>
  </si>
  <si>
    <t xml:space="preserve">Dsn. Besuk, Ds. Curahmalang, Kec. Sumobito, Kab. Jombang</t>
  </si>
  <si>
    <t xml:space="preserve">ARYA PRATAMA PUTRA</t>
  </si>
  <si>
    <t xml:space="preserve">25007424113</t>
  </si>
  <si>
    <t xml:space="preserve">3576012108040001</t>
  </si>
  <si>
    <t xml:space="preserve">Panggreman VI-D/28, RT/RW 003/001, Kranggan, Kranggan, Mojokerto</t>
  </si>
  <si>
    <t xml:space="preserve">I'ANAH WULANDARI</t>
  </si>
  <si>
    <t xml:space="preserve">21027488157</t>
  </si>
  <si>
    <t xml:space="preserve">0000109121163</t>
  </si>
  <si>
    <t xml:space="preserve">Staff Admin Export Import</t>
  </si>
  <si>
    <t xml:space="preserve">3516014202910001</t>
  </si>
  <si>
    <t xml:space="preserve">Jl. Raden Fatah, RT/RW 003/005, Sumengko, Jatirejo, Mojokerto</t>
  </si>
  <si>
    <t xml:space="preserve">KRISTINA DANGELA</t>
  </si>
  <si>
    <t xml:space="preserve">Maumere</t>
  </si>
  <si>
    <t xml:space="preserve">5307105302880001</t>
  </si>
  <si>
    <t xml:space="preserve">Kewapante</t>
  </si>
  <si>
    <t xml:space="preserve">Kewapante, RT/RW 008/003, Namangkewa, Kewapante, Sikka</t>
  </si>
  <si>
    <t xml:space="preserve">TIA ALVIONITA</t>
  </si>
  <si>
    <t xml:space="preserve">23029808453</t>
  </si>
  <si>
    <t xml:space="preserve">0001692534082</t>
  </si>
  <si>
    <t xml:space="preserve">3372054303980002</t>
  </si>
  <si>
    <t xml:space="preserve">Tanggul Sari, RT/RW 003/009, Banjarsari, Banjarsari, Surakarta</t>
  </si>
  <si>
    <t xml:space="preserve">VIDA ISNAINATUL LUTFI</t>
  </si>
  <si>
    <t xml:space="preserve">24068323883</t>
  </si>
  <si>
    <t xml:space="preserve">0002024184025</t>
  </si>
  <si>
    <t xml:space="preserve">Magelang</t>
  </si>
  <si>
    <t xml:space="preserve">3308146803960001</t>
  </si>
  <si>
    <t xml:space="preserve">Dsn Klentengan, RT/RW 006/004, Sukorejo, Mertoyudan, Magelang</t>
  </si>
  <si>
    <t xml:space="preserve">DELTA OKTRA MELIA</t>
  </si>
  <si>
    <t xml:space="preserve">21001079331</t>
  </si>
  <si>
    <t xml:space="preserve">0002324870324</t>
  </si>
  <si>
    <t xml:space="preserve">1371035410020001</t>
  </si>
  <si>
    <t xml:space="preserve">Sibaruas</t>
  </si>
  <si>
    <t xml:space="preserve">Purus 5 Jl. Sawo No.37, RT/RW 002/006, Purus, Padang Barat, Padang</t>
  </si>
  <si>
    <t xml:space="preserve">DANDY YUDHA DWI RAMADHAN</t>
  </si>
  <si>
    <t xml:space="preserve">0000761355718</t>
  </si>
  <si>
    <t xml:space="preserve">Operator Fraksinasi</t>
  </si>
  <si>
    <t xml:space="preserve">3525042710050003</t>
  </si>
  <si>
    <t xml:space="preserve">Paras, RT/RW 002/001, Sirnoboyo, Benjeng, Gresik</t>
  </si>
  <si>
    <t xml:space="preserve">ADINDA LARASATI</t>
  </si>
  <si>
    <t xml:space="preserve">22024066981</t>
  </si>
  <si>
    <t xml:space="preserve">0002748950109</t>
  </si>
  <si>
    <t xml:space="preserve">6474014305000007</t>
  </si>
  <si>
    <t xml:space="preserve">Jl P. Diponegoro, RT/RW 004/000, Api-api, Bontang Utara, Bontang</t>
  </si>
  <si>
    <t xml:space="preserve">MEISI IRMASARI</t>
  </si>
  <si>
    <t xml:space="preserve">0002383133523</t>
  </si>
  <si>
    <t xml:space="preserve">Jayapura</t>
  </si>
  <si>
    <t xml:space="preserve">9171035305990002</t>
  </si>
  <si>
    <t xml:space="preserve">Kompleks Belakang Pasar Baru Youtefa, RT/RW 005/006, Wai Mhorock, Abepura, Jayapura</t>
  </si>
  <si>
    <t xml:space="preserve">VINA ADITYA RAMADHANI</t>
  </si>
  <si>
    <t xml:space="preserve">24091193339</t>
  </si>
  <si>
    <t xml:space="preserve">0001064709268</t>
  </si>
  <si>
    <t xml:space="preserve">6202065201970004</t>
  </si>
  <si>
    <t xml:space="preserve">Jl. Cut Mutia No 9, RT/RW 016/005, Sawahan, Mentawa Baru Ketapang, Kotawaringin Timur</t>
  </si>
  <si>
    <t xml:space="preserve">JENEVER</t>
  </si>
  <si>
    <t xml:space="preserve">0002407929028</t>
  </si>
  <si>
    <t xml:space="preserve">5108066704060001</t>
  </si>
  <si>
    <t xml:space="preserve">Jl. Jeruk GG Catur No 2, RT/RW 016/000, Kampung Kajanan, Buleleng, Buleleng</t>
  </si>
  <si>
    <t xml:space="preserve">EKA AYU CHUSNUL CHATIMAH</t>
  </si>
  <si>
    <t xml:space="preserve">28003195103</t>
  </si>
  <si>
    <t xml:space="preserve">0002692827988</t>
  </si>
  <si>
    <t xml:space="preserve">6171035912050007</t>
  </si>
  <si>
    <t xml:space="preserve">Gang Darussalam, RT/RW 004/003, Sungaibeliung, Pontianak Barat, Pontianak</t>
  </si>
  <si>
    <t xml:space="preserve">AHMAD MAHLUF</t>
  </si>
  <si>
    <t xml:space="preserve">0002313565018</t>
  </si>
  <si>
    <t xml:space="preserve">6310021412950005</t>
  </si>
  <si>
    <t xml:space="preserve">JL. H.M.Amin, RT/RW 002/000, Manurung, Kusan Tengah, Tanah Bumbu</t>
  </si>
  <si>
    <t xml:space="preserve">RAHMAD FAUZI SIMBOLON</t>
  </si>
  <si>
    <t xml:space="preserve">3275122412900002</t>
  </si>
  <si>
    <t xml:space="preserve">Padangsidimpuan</t>
  </si>
  <si>
    <t xml:space="preserve">Jl. Bakti Abri II GG. H. Oloan Sibarani LK. III, RT/RW 000/000, Padang Matinggi, Padangsidimpuan Selatan, Kota Padangsidimpuan</t>
  </si>
  <si>
    <t xml:space="preserve">MUHAMMAD BAYU MASNURI</t>
  </si>
  <si>
    <t xml:space="preserve">0002415619664</t>
  </si>
  <si>
    <t xml:space="preserve">3516062311980002</t>
  </si>
  <si>
    <t xml:space="preserve">Rungkut, RT/RW 017/005, Randuharjo, Pungging, Mojokerto</t>
  </si>
  <si>
    <t xml:space="preserve">FENIYU RISMAWANTO</t>
  </si>
  <si>
    <t xml:space="preserve">0001423453959</t>
  </si>
  <si>
    <t xml:space="preserve">3516061804960002</t>
  </si>
  <si>
    <t xml:space="preserve">Dsn. Rungkut, RT/RW 015/005, Randuharjo, Pungging, Mojokerto</t>
  </si>
  <si>
    <t xml:space="preserve">ANGGA MAULANA</t>
  </si>
  <si>
    <t xml:space="preserve">3526030905010006</t>
  </si>
  <si>
    <t xml:space="preserve">Jl. Pemuda Kaffa, RT/RW 006/001, Tunjung, Burneh, Bangkalan</t>
  </si>
  <si>
    <t xml:space="preserve">ATHALA ZAKY MAHASIN</t>
  </si>
  <si>
    <t xml:space="preserve">29024517920</t>
  </si>
  <si>
    <t xml:space="preserve">0002704816181</t>
  </si>
  <si>
    <t xml:space="preserve">3374121404040001</t>
  </si>
  <si>
    <t xml:space="preserve">Sekaran, RT/RW 002/001, Sekaran, Gunungpati, Semarang</t>
  </si>
  <si>
    <t xml:space="preserve">DZAMAR AULADI WICAKSONO</t>
  </si>
  <si>
    <t xml:space="preserve">25066013282</t>
  </si>
  <si>
    <t xml:space="preserve">0002348967317</t>
  </si>
  <si>
    <t xml:space="preserve">3374121510040002</t>
  </si>
  <si>
    <t xml:space="preserve">YUYUN NOVARINA</t>
  </si>
  <si>
    <t xml:space="preserve">22052333510</t>
  </si>
  <si>
    <t xml:space="preserve">3506215006870001</t>
  </si>
  <si>
    <t xml:space="preserve">Dsn. Sukosari, RT/RW 002/001, Sukosari, Trawas, Mojokerto</t>
  </si>
  <si>
    <t xml:space="preserve">AHMAD NURHADI</t>
  </si>
  <si>
    <t xml:space="preserve">0000580009138</t>
  </si>
  <si>
    <t xml:space="preserve">3316032006880006</t>
  </si>
  <si>
    <t xml:space="preserve">Dukuh Sunggun, RT/RW 002/002, Medalem, Kradenan, Blora</t>
  </si>
  <si>
    <t xml:space="preserve">BAIHAQI RAMADAN</t>
  </si>
  <si>
    <t xml:space="preserve">0003773316148</t>
  </si>
  <si>
    <t xml:space="preserve">3526031612030002</t>
  </si>
  <si>
    <t xml:space="preserve">Dsn. Duko, RT/RW 000/000, Banangkah, Burneh, Bangkalan</t>
  </si>
  <si>
    <t xml:space="preserve">MAKMUN</t>
  </si>
  <si>
    <t xml:space="preserve">0000766535477</t>
  </si>
  <si>
    <t xml:space="preserve">3526132505950004</t>
  </si>
  <si>
    <t xml:space="preserve">Dsn. Laok Songai, RT/RW 000/000, Basanah, Tanah Merah, Bangkalan</t>
  </si>
  <si>
    <t xml:space="preserve">MOH. FARIS</t>
  </si>
  <si>
    <t xml:space="preserve">0003168747944</t>
  </si>
  <si>
    <t xml:space="preserve">3527052711050003</t>
  </si>
  <si>
    <t xml:space="preserve">Dsn. Meteng Daya, RT/RW 000/000, Meteng, Omben, Sampang</t>
  </si>
  <si>
    <t xml:space="preserve">MUHAMMAD ALI SYAUKIL AMIN</t>
  </si>
  <si>
    <t xml:space="preserve">0001612932186</t>
  </si>
  <si>
    <t xml:space="preserve">3525053006000002</t>
  </si>
  <si>
    <t xml:space="preserve">Dusun Gancung, RT/RW 001/002, Pandanan, Duduksampeyan, Gresik</t>
  </si>
  <si>
    <t xml:space="preserve">LAILA</t>
  </si>
  <si>
    <t xml:space="preserve">27007851913</t>
  </si>
  <si>
    <t xml:space="preserve">1571037110010041</t>
  </si>
  <si>
    <t xml:space="preserve">Jl. Lingkar Selatan II, RT/RW 023/000, Lingkar Selatan, Paal Merah, Kota Jambi</t>
  </si>
  <si>
    <t xml:space="preserve">SITI MARTIYA FATMAWATI</t>
  </si>
  <si>
    <t xml:space="preserve">20056159277</t>
  </si>
  <si>
    <t xml:space="preserve">0001021912042</t>
  </si>
  <si>
    <t xml:space="preserve">3312076803040001</t>
  </si>
  <si>
    <t xml:space="preserve">Ngledok, RT/RW 003/002, Balepanjang, Baturetno, Wonogiri</t>
  </si>
  <si>
    <t xml:space="preserve">NESSYA TAMARA PRATIWI</t>
  </si>
  <si>
    <t xml:space="preserve">0002451415263</t>
  </si>
  <si>
    <t xml:space="preserve">3319085612960005</t>
  </si>
  <si>
    <t xml:space="preserve">JL Mejobo 41, RT/RW 002/009, Mlati Norowito, Kota Kudus, Kudus</t>
  </si>
  <si>
    <t xml:space="preserve">DANDY ARIF WILYANTO</t>
  </si>
  <si>
    <t xml:space="preserve">0001543076346</t>
  </si>
  <si>
    <t xml:space="preserve">3514142506020001</t>
  </si>
  <si>
    <t xml:space="preserve">Kersikan Gg. IV/92-C, RT/RW 002/001, Kersikan, Bangil, Pasuruan</t>
  </si>
  <si>
    <t xml:space="preserve">AAN ARI SUSANTO</t>
  </si>
  <si>
    <t xml:space="preserve">0002920035385</t>
  </si>
  <si>
    <t xml:space="preserve">3516180906010001</t>
  </si>
  <si>
    <t xml:space="preserve">Dsn. Bungkem, RT/RW 001/007, Kwedenkembar, Mojoanyar, Mojokerto</t>
  </si>
  <si>
    <t xml:space="preserve">MUCHAMMAD FAJAR LAZUARDI</t>
  </si>
  <si>
    <t xml:space="preserve">0000113279894</t>
  </si>
  <si>
    <t xml:space="preserve">3514082809020003</t>
  </si>
  <si>
    <t xml:space="preserve">Dusun Rejoso, RT/RW 034/006, Sumberrejo, Purwosari, Pasuruan</t>
  </si>
  <si>
    <t xml:space="preserve">AHMAD DWI FAHRUDIN</t>
  </si>
  <si>
    <t xml:space="preserve">22044079266</t>
  </si>
  <si>
    <t xml:space="preserve">3524032307950002</t>
  </si>
  <si>
    <t xml:space="preserve">Ngelo, RT/RW 003/005, Jatipayak, Modo, Lamongan</t>
  </si>
  <si>
    <t xml:space="preserve">ZAINUR ROHMAN</t>
  </si>
  <si>
    <t xml:space="preserve">0002473706046</t>
  </si>
  <si>
    <t xml:space="preserve">3525110608960001</t>
  </si>
  <si>
    <t xml:space="preserve">Dusun Betiring, RT/RW 001/001, Banjarsari, Cerme, Gresik</t>
  </si>
  <si>
    <t xml:space="preserve">RYAN ADITYA SISWANTO</t>
  </si>
  <si>
    <t xml:space="preserve">0001537684648</t>
  </si>
  <si>
    <t xml:space="preserve">3515011512030002</t>
  </si>
  <si>
    <t xml:space="preserve">Dsn Bujo, RT/RW 006/001, Sebani, Tarik, Sidoarjo</t>
  </si>
  <si>
    <t xml:space="preserve">M. LUTFI ARIFUDDIN</t>
  </si>
  <si>
    <t xml:space="preserve">0002156087891</t>
  </si>
  <si>
    <t xml:space="preserve">3515172805980004</t>
  </si>
  <si>
    <t xml:space="preserve">Banjar Melati, RT/RW 005/018, Pabean, Sedati, Sidoarjo</t>
  </si>
  <si>
    <t xml:space="preserve">ELOK MUKIZATUL KARIMAH</t>
  </si>
  <si>
    <t xml:space="preserve">28049811433</t>
  </si>
  <si>
    <t xml:space="preserve">0001725575973</t>
  </si>
  <si>
    <t xml:space="preserve">3507134209970001</t>
  </si>
  <si>
    <t xml:space="preserve">Dsn. Legok Jl. Sunan Kalijogo, RT/RW 003/002, Sukoraharjo, Kepanjen, Malang</t>
  </si>
  <si>
    <t xml:space="preserve">MUHAMMAD EDRUS</t>
  </si>
  <si>
    <t xml:space="preserve">23097837906</t>
  </si>
  <si>
    <t xml:space="preserve">PKHL - PILAH BATU</t>
  </si>
  <si>
    <t xml:space="preserve">HL Pilah Batu</t>
  </si>
  <si>
    <t xml:space="preserve">3516052905040001</t>
  </si>
  <si>
    <t xml:space="preserve">Dsn. Watusari RT 40 RW 5 Ds. Wotanmasjedong Kec. Ngoro Kab. Mojokerto</t>
  </si>
  <si>
    <t xml:space="preserve">MUHAMMAD MUNDIR</t>
  </si>
  <si>
    <t xml:space="preserve">26056613596</t>
  </si>
  <si>
    <t xml:space="preserve">3516050807980007</t>
  </si>
  <si>
    <t xml:space="preserve">Dsn. Genting RT 39 Rw 4 Ds. Wotanmasjedong Kec. Ngoro Kab. Mojokerto</t>
  </si>
  <si>
    <t xml:space="preserve">M. IRFAN FIRMANSYAH</t>
  </si>
  <si>
    <t xml:space="preserve">24004790176</t>
  </si>
  <si>
    <t xml:space="preserve">3516051009020003</t>
  </si>
  <si>
    <t xml:space="preserve">Dsn. Watusari RT 43 RW 5 Ds. Wotanmasjedong Kec. Ngoro Kab. Mojokerto</t>
  </si>
  <si>
    <t xml:space="preserve">MUHAMMAD LUKMANUL HAKIM</t>
  </si>
  <si>
    <t xml:space="preserve">26094725831</t>
  </si>
  <si>
    <t xml:space="preserve">3516059704020004</t>
  </si>
  <si>
    <t xml:space="preserve">Dsn. Wotanmas Jedong RT 36 RW 3 Ds. Wotanmasjedong Kec. Ngoro Kab. Mojokerto</t>
  </si>
  <si>
    <t xml:space="preserve">FITRI NURIA HANDAYANI</t>
  </si>
  <si>
    <t xml:space="preserve">0003245707258</t>
  </si>
  <si>
    <t xml:space="preserve">3507235001030001</t>
  </si>
  <si>
    <t xml:space="preserve">Dusun Takeran, RT/RW 006/007, Ngijo, Karang Ploso, Malang</t>
  </si>
  <si>
    <t xml:space="preserve">MEILIKA AISYAH NABILA</t>
  </si>
  <si>
    <t xml:space="preserve">28032067998</t>
  </si>
  <si>
    <t xml:space="preserve">3525106405040004</t>
  </si>
  <si>
    <t xml:space="preserve">Margo Utomo 35, RT/RW 014/004, Sembayat, Manyar, Kab. Gresik</t>
  </si>
  <si>
    <t xml:space="preserve">FATIHAH BUNGA SASKIA</t>
  </si>
  <si>
    <t xml:space="preserve">25067904514</t>
  </si>
  <si>
    <t xml:space="preserve">0001631394448</t>
  </si>
  <si>
    <t xml:space="preserve">3507184108030004</t>
  </si>
  <si>
    <t xml:space="preserve">Perum Asrikaton Indah J4-19, RT/RW 010/009, Asrikaton, Pakis, Malang</t>
  </si>
  <si>
    <t xml:space="preserve">LAELI NURFADILAH</t>
  </si>
  <si>
    <t xml:space="preserve">22076831306</t>
  </si>
  <si>
    <t xml:space="preserve">0001810022747</t>
  </si>
  <si>
    <t xml:space="preserve">3277014110030009</t>
  </si>
  <si>
    <t xml:space="preserve">Cimahi</t>
  </si>
  <si>
    <t xml:space="preserve">Ciseupan, RT/RW 002/007, Cibeber, Cimahi Selatan, Cimahi</t>
  </si>
  <si>
    <t xml:space="preserve">BAGAS DWI PRASTYO</t>
  </si>
  <si>
    <t xml:space="preserve">3522102203070005</t>
  </si>
  <si>
    <t xml:space="preserve">Dusun Dero, RT/RW 002/001, Ngemplak, Baureno, Bojonegoro</t>
  </si>
  <si>
    <t xml:space="preserve">WAIZ AL QURNIE</t>
  </si>
  <si>
    <t xml:space="preserve">22064525235</t>
  </si>
  <si>
    <t xml:space="preserve">3516112612940002</t>
  </si>
  <si>
    <t xml:space="preserve">Puri, RT/RW 002/001, Puri, Puri, Mojokerto</t>
  </si>
  <si>
    <t xml:space="preserve">MELIA BINTI RUSMAWATI</t>
  </si>
  <si>
    <t xml:space="preserve">0002414848757</t>
  </si>
  <si>
    <t xml:space="preserve">3515184707050007</t>
  </si>
  <si>
    <t xml:space="preserve">Jl. Brigj.Katamso 3/30 A, RT/RW 026/006, Kedungrejo, Waru, Sidoarjo</t>
  </si>
  <si>
    <t xml:space="preserve">MITHA NUR AFIFAH</t>
  </si>
  <si>
    <t xml:space="preserve">29064758932</t>
  </si>
  <si>
    <t xml:space="preserve">3522126605010002</t>
  </si>
  <si>
    <t xml:space="preserve">Penganten Rt/Rw : 016/003 Kle Penganten Kec Balen</t>
  </si>
  <si>
    <t xml:space="preserve">MOCH. EVAN FEBRYANSYAH</t>
  </si>
  <si>
    <t xml:space="preserve">3515181502050009</t>
  </si>
  <si>
    <t xml:space="preserve">Sumbergurit, RT/RW 001/001, Katemas, Kudu, Jombang</t>
  </si>
  <si>
    <t xml:space="preserve">ELLA AMALIA</t>
  </si>
  <si>
    <t xml:space="preserve">PT IMPLORA SUKSES ABADI (HARIAN LEPAS)</t>
  </si>
  <si>
    <t xml:space="preserve">Harian Lepas E-Commerce</t>
  </si>
  <si>
    <t xml:space="preserve">3515136206990003</t>
  </si>
  <si>
    <t xml:space="preserve">Jl. Nangka I-D/47, RT/RW 015/003, Geluran, Taman, Sidoarjo</t>
  </si>
  <si>
    <t xml:space="preserve">ERIK AHMAD YUSIFFA</t>
  </si>
  <si>
    <t xml:space="preserve">26080021379</t>
  </si>
  <si>
    <t xml:space="preserve">3502091803900004</t>
  </si>
  <si>
    <t xml:space="preserve">Dukuh Wonokerto, RT/RW 002/001, Wonokerto, Jetis, Ponorogo</t>
  </si>
  <si>
    <t xml:space="preserve">MUHAMMAD FERY FIRNANDA</t>
  </si>
  <si>
    <t xml:space="preserve">24051886246</t>
  </si>
  <si>
    <t xml:space="preserve">3515041805040002</t>
  </si>
  <si>
    <t xml:space="preserve">Glagaharum, RT/RW 013/003, Glagaharum, Porong, Sidoarjo</t>
  </si>
  <si>
    <t xml:space="preserve">ABDULLOH SALIM</t>
  </si>
  <si>
    <t xml:space="preserve">0001743829356</t>
  </si>
  <si>
    <t xml:space="preserve">3578030606830002</t>
  </si>
  <si>
    <t xml:space="preserve">Rungkut Kidul V - Kalimir No. 21, RT/RW 003/005, Rungkut Kidul, Rungkut, Surabaya</t>
  </si>
  <si>
    <t xml:space="preserve">SOHIBUL RIDOK</t>
  </si>
  <si>
    <t xml:space="preserve">21089574454</t>
  </si>
  <si>
    <t xml:space="preserve">3526071412980004</t>
  </si>
  <si>
    <t xml:space="preserve">Dsn. Karang Asem Dejeh, RT/RW 001/001, Karang Asem, Klampis, Bangkalan</t>
  </si>
  <si>
    <t xml:space="preserve">PERGAWAN LISTANTO</t>
  </si>
  <si>
    <t xml:space="preserve">26080775001</t>
  </si>
  <si>
    <t xml:space="preserve">0000735528532</t>
  </si>
  <si>
    <t xml:space="preserve">3518172402940007</t>
  </si>
  <si>
    <t xml:space="preserve">Dsn. Keleyan, RT/RW 002/003, Keleyan, Socah, Bangkalan</t>
  </si>
  <si>
    <t xml:space="preserve">MOH. HENDRI</t>
  </si>
  <si>
    <t xml:space="preserve">28067482970</t>
  </si>
  <si>
    <t xml:space="preserve">0000765610828</t>
  </si>
  <si>
    <t xml:space="preserve">3526034606960006</t>
  </si>
  <si>
    <t xml:space="preserve">Jl. Pemuda Kaffa, RT/RW 001/001, Tunjung, Burneh, Bangkalan</t>
  </si>
  <si>
    <t xml:space="preserve">ADE TYA PUTRA MAHENDRA</t>
  </si>
  <si>
    <t xml:space="preserve">0000555576311</t>
  </si>
  <si>
    <t xml:space="preserve">3309132806979004</t>
  </si>
  <si>
    <t xml:space="preserve">Pagesangan III-A/28, RT/RW 003/002, Pagesangan, Jambangan, Surabaya</t>
  </si>
  <si>
    <t xml:space="preserve">ACH. GOZALI</t>
  </si>
  <si>
    <t xml:space="preserve">25072042399</t>
  </si>
  <si>
    <t xml:space="preserve">0001802618559</t>
  </si>
  <si>
    <t xml:space="preserve">3578251109820002</t>
  </si>
  <si>
    <t xml:space="preserve">Rungkut Tengah 3/21, RT/RW 001/004, Rungkut Tengah, Gunung Anyar, Surabaya</t>
  </si>
  <si>
    <t xml:space="preserve">ANTON SOPHIAN NARI</t>
  </si>
  <si>
    <t xml:space="preserve">0002037158537</t>
  </si>
  <si>
    <t xml:space="preserve">3578060607980001</t>
  </si>
  <si>
    <t xml:space="preserve">Ambon</t>
  </si>
  <si>
    <t xml:space="preserve">Kupang Krajan 1/32, RT/RW 002/003, Kupang Krajan, Sawahan, Surabaya</t>
  </si>
  <si>
    <t xml:space="preserve">ALVIN REGA</t>
  </si>
  <si>
    <t xml:space="preserve">28006294348</t>
  </si>
  <si>
    <t xml:space="preserve">0000787904177</t>
  </si>
  <si>
    <t xml:space="preserve">3578311308020001</t>
  </si>
  <si>
    <t xml:space="preserve">Raya Bringin No. 8, RT/RW 004/001, Bringin, Sambi Kerep, Surabaya</t>
  </si>
  <si>
    <t xml:space="preserve">0002727425968</t>
  </si>
  <si>
    <t xml:space="preserve">3578031704910001</t>
  </si>
  <si>
    <t xml:space="preserve">Rungkut Kidul Makam/9, RT/RW 001/002, Rungkut Kidul, Rungkut, Surabaya</t>
  </si>
  <si>
    <t xml:space="preserve">M. FAIRUZ ZUHDA</t>
  </si>
  <si>
    <t xml:space="preserve">0001544606267</t>
  </si>
  <si>
    <t xml:space="preserve">3578032008000003</t>
  </si>
  <si>
    <t xml:space="preserve">Rungkut Lor 3/10, RT/RW 003/006, Kalirungkut, Rungkut, Surabaya</t>
  </si>
  <si>
    <t xml:space="preserve">DENY REZA KURNIAWAN</t>
  </si>
  <si>
    <t xml:space="preserve">20068616754</t>
  </si>
  <si>
    <t xml:space="preserve">0002058633876</t>
  </si>
  <si>
    <t xml:space="preserve">3515131406910001</t>
  </si>
  <si>
    <t xml:space="preserve">Dsn. Gempol Malang, RT/RW 002/001, Kedunggempol, Mojosari, Mojokerto</t>
  </si>
  <si>
    <t xml:space="preserve">MOCH. BAGOES JAYA WARDHANA</t>
  </si>
  <si>
    <t xml:space="preserve">0002056893546</t>
  </si>
  <si>
    <t xml:space="preserve">3578051008060002</t>
  </si>
  <si>
    <t xml:space="preserve">Jati Kalang Indah A 11/4, RT/RW 025/005, Jatikalang, Krian, Sidoarjo</t>
  </si>
  <si>
    <t xml:space="preserve">MOCHAMAD MUSLIK</t>
  </si>
  <si>
    <t xml:space="preserve">0000720445814</t>
  </si>
  <si>
    <t xml:space="preserve">3515052608920002</t>
  </si>
  <si>
    <t xml:space="preserve">Dsn Trompo Wetan, RT/RW 014/003, Trompoasri, Jabon, Sidoarjo</t>
  </si>
  <si>
    <t xml:space="preserve">MOH HILMAN SYAHRUL FALAH</t>
  </si>
  <si>
    <t xml:space="preserve">0002414836359</t>
  </si>
  <si>
    <t xml:space="preserve">3515182603030002</t>
  </si>
  <si>
    <t xml:space="preserve">Berbek, RT/RW 001/002, Berbek, Waru, Sidoarjo</t>
  </si>
  <si>
    <t xml:space="preserve">SHOFWAN ANDREANTO KASUMA</t>
  </si>
  <si>
    <t xml:space="preserve">0001886464135</t>
  </si>
  <si>
    <t xml:space="preserve">3315042107060005</t>
  </si>
  <si>
    <t xml:space="preserve">Dusun Dongko, RT/RW 002/04, Depok, Toroh, Grobogan</t>
  </si>
  <si>
    <t xml:space="preserve">MUHAMMAD MUHIBBUDDIN WILDANI</t>
  </si>
  <si>
    <t xml:space="preserve">25029708523</t>
  </si>
  <si>
    <t xml:space="preserve">0002286131848</t>
  </si>
  <si>
    <t xml:space="preserve">3578240711000001</t>
  </si>
  <si>
    <t xml:space="preserve">Panjangjiwo Besar No. 57, RT/RW 002/003, Panjang Jiwo, Tenggilis Mejoyo, Surabaya</t>
  </si>
  <si>
    <t xml:space="preserve">MUHAMMAD ULUL ALBAB</t>
  </si>
  <si>
    <t xml:space="preserve">28002482409</t>
  </si>
  <si>
    <t xml:space="preserve">0000763379291</t>
  </si>
  <si>
    <t xml:space="preserve">3525121806000002</t>
  </si>
  <si>
    <t xml:space="preserve">Pereng Wetan, RT/RW 019/008, Melirang, Bungah, Gresik</t>
  </si>
  <si>
    <t xml:space="preserve">NANDA RAHMAWAN</t>
  </si>
  <si>
    <t xml:space="preserve">24065244739</t>
  </si>
  <si>
    <t xml:space="preserve">0002302063852</t>
  </si>
  <si>
    <t xml:space="preserve">3578250203810002</t>
  </si>
  <si>
    <t xml:space="preserve">Jl. Rungkut Barata III/15, RT/RW 001/003, Rungkut Menanggal, Gunung Anyar, Surabaya</t>
  </si>
  <si>
    <t xml:space="preserve">MOCHAMAT HILLMY NURFATIH</t>
  </si>
  <si>
    <t xml:space="preserve">0001542019612</t>
  </si>
  <si>
    <t xml:space="preserve">3517031112010001</t>
  </si>
  <si>
    <t xml:space="preserve">Panjangjiwo Masjid/31, RT/RW 003/003, Panjang Jiwo, Tenggilis Mejoyo, Surabaya</t>
  </si>
  <si>
    <t xml:space="preserve">A. ABDUL CHAMID</t>
  </si>
  <si>
    <t xml:space="preserve">PT INDOSPRING</t>
  </si>
  <si>
    <t xml:space="preserve">0002016681974</t>
  </si>
  <si>
    <t xml:space="preserve">Domestic After Market Sales</t>
  </si>
  <si>
    <t xml:space="preserve">3523141605950005</t>
  </si>
  <si>
    <t xml:space="preserve">Dsn Karangasem, RT/RW 004/003, Karangtinoto, Rengel, Tuban</t>
  </si>
  <si>
    <t xml:space="preserve">DANI SOETRISNO</t>
  </si>
  <si>
    <t xml:space="preserve">25076145656</t>
  </si>
  <si>
    <t xml:space="preserve">0000102104897</t>
  </si>
  <si>
    <t xml:space="preserve">3578090609000003</t>
  </si>
  <si>
    <t xml:space="preserve">Klampisngasem 8/3-B, RT/RW 001/001, Klampis Ngasem, Sukolilo, Surabaya</t>
  </si>
  <si>
    <t xml:space="preserve">RAHMAD NUR HUDA</t>
  </si>
  <si>
    <t xml:space="preserve">27041397862</t>
  </si>
  <si>
    <t xml:space="preserve">3578142206010001</t>
  </si>
  <si>
    <t xml:space="preserve">Jl. Manukan Lor 7-J/3, RT/RW 002/003, Banjar Sugihan, Tandes, Surabaya</t>
  </si>
  <si>
    <t xml:space="preserve">ABDUL JAMALUDIN</t>
  </si>
  <si>
    <t xml:space="preserve">0000761501586</t>
  </si>
  <si>
    <t xml:space="preserve">GA - General Clerk</t>
  </si>
  <si>
    <t xml:space="preserve">3525042203900001</t>
  </si>
  <si>
    <t xml:space="preserve">Dsn Trate, RT/RW 011/002, Pundut Trate, Benjeng, Gresik</t>
  </si>
  <si>
    <t xml:space="preserve">ADITYA FANANI</t>
  </si>
  <si>
    <t xml:space="preserve">0000762111898</t>
  </si>
  <si>
    <t xml:space="preserve">LS P2 &amp; P5 - PPC</t>
  </si>
  <si>
    <t xml:space="preserve">3525050802010001</t>
  </si>
  <si>
    <t xml:space="preserve">ALFIN FAUZA DINATA</t>
  </si>
  <si>
    <t xml:space="preserve">0001616684073</t>
  </si>
  <si>
    <t xml:space="preserve">LS P1 - PPC</t>
  </si>
  <si>
    <t xml:space="preserve">3507120306010002</t>
  </si>
  <si>
    <t xml:space="preserve">Jl. Jokromo, RT/RW 028/005, Ngebruk, Sumberpucung, Malang</t>
  </si>
  <si>
    <t xml:space="preserve">ARINI LATIFAH</t>
  </si>
  <si>
    <t xml:space="preserve">0002479715324</t>
  </si>
  <si>
    <t xml:space="preserve">Applied Technology</t>
  </si>
  <si>
    <t xml:space="preserve">3301135607030006</t>
  </si>
  <si>
    <t xml:space="preserve">Ciawitali, RT/RW 006/004, Rejodadi, Cimangu, Cilacap</t>
  </si>
  <si>
    <t xml:space="preserve">ANDRA RAVI MAULIDI</t>
  </si>
  <si>
    <t xml:space="preserve">25002487861</t>
  </si>
  <si>
    <t xml:space="preserve">0003122362618</t>
  </si>
  <si>
    <t xml:space="preserve">LS P1 - QC &amp; Incoming</t>
  </si>
  <si>
    <t xml:space="preserve">3509010206010003</t>
  </si>
  <si>
    <t xml:space="preserve">Dusun Sariono, RT/RW 004/002, Sarimulyo, Jombang, Jember</t>
  </si>
  <si>
    <t xml:space="preserve">ATWINDA BENING PRASTITY</t>
  </si>
  <si>
    <t xml:space="preserve">0002164954318</t>
  </si>
  <si>
    <t xml:space="preserve">3577017112000002</t>
  </si>
  <si>
    <t xml:space="preserve">Jl. Nayaka Bhakti E/93, RT/RW 026/006, Kanigoro, Kartoharjo, Madiun</t>
  </si>
  <si>
    <t xml:space="preserve">CAHYA NOVI HERLINA</t>
  </si>
  <si>
    <t xml:space="preserve">0001703149007</t>
  </si>
  <si>
    <t xml:space="preserve">Cold CS P1 Production Admin</t>
  </si>
  <si>
    <t xml:space="preserve">3525105411990003</t>
  </si>
  <si>
    <t xml:space="preserve">Jl. Safir 8 No. 6, RT/RW 003/015, Suci, Manyar, Gresik</t>
  </si>
  <si>
    <t xml:space="preserve">BEDHA ASYA AGATHA</t>
  </si>
  <si>
    <t xml:space="preserve">0001161881155</t>
  </si>
  <si>
    <t xml:space="preserve">P3 QC &amp; Incoming</t>
  </si>
  <si>
    <t xml:space="preserve">3525112308040002</t>
  </si>
  <si>
    <t xml:space="preserve">Dungus Lor, RT/RW 001/003, Dungus, Cerme, Gresik</t>
  </si>
  <si>
    <t xml:space="preserve">DANAR GANI SETIAWAN</t>
  </si>
  <si>
    <t xml:space="preserve">0000102859817</t>
  </si>
  <si>
    <t xml:space="preserve">3522193001920007</t>
  </si>
  <si>
    <t xml:space="preserve">Tambak Beras, RT/RW 004/001, Tambakberas, Cerme, Gresik</t>
  </si>
  <si>
    <t xml:space="preserve">DESINTA HERLINDA</t>
  </si>
  <si>
    <t xml:space="preserve">0000763438871</t>
  </si>
  <si>
    <t xml:space="preserve">International OE Sales</t>
  </si>
  <si>
    <t xml:space="preserve">3525145212980002</t>
  </si>
  <si>
    <t xml:space="preserve">Kembangan, RT/RW 004/002, Kembangan, Kebomas, Gresik</t>
  </si>
  <si>
    <t xml:space="preserve">EDI SUWARNO</t>
  </si>
  <si>
    <t xml:space="preserve">0001808581195</t>
  </si>
  <si>
    <t xml:space="preserve">LS P2 &amp; P5 - Quality Control</t>
  </si>
  <si>
    <t xml:space="preserve">3525110506000001</t>
  </si>
  <si>
    <t xml:space="preserve">Dusun Gedang Kulut, RT/RW 001/005, Gedangkulut, Cerme, Gresik</t>
  </si>
  <si>
    <t xml:space="preserve">DIMAS RANGGA ADITYA KUSUMA</t>
  </si>
  <si>
    <t xml:space="preserve">24065684147</t>
  </si>
  <si>
    <t xml:space="preserve">0001786174244</t>
  </si>
  <si>
    <t xml:space="preserve">3525142012020004</t>
  </si>
  <si>
    <t xml:space="preserve">Mayjen Sungkono 6, RT/RW 001/002, Segoromadu, Kebomas, Gresik</t>
  </si>
  <si>
    <t xml:space="preserve">DINA TRI YULIANI</t>
  </si>
  <si>
    <t xml:space="preserve">20008945954</t>
  </si>
  <si>
    <t xml:space="preserve">0002158599262</t>
  </si>
  <si>
    <t xml:space="preserve">Log. - Delivery</t>
  </si>
  <si>
    <t xml:space="preserve">3578205507940001</t>
  </si>
  <si>
    <t xml:space="preserve">Karangan Mulya 4/34, RT/RW 003/006, Babatan, Wiyung, Surabaya</t>
  </si>
  <si>
    <t xml:space="preserve">ERZA MAURETTA</t>
  </si>
  <si>
    <t xml:space="preserve">0001424368552</t>
  </si>
  <si>
    <t xml:space="preserve">Human Capital</t>
  </si>
  <si>
    <t xml:space="preserve">3525146203000003</t>
  </si>
  <si>
    <t xml:space="preserve">Randuagung, RT/RW 002/007, Randuagung, Kebomas, Gresik</t>
  </si>
  <si>
    <t xml:space="preserve">ERIANA WAHYUNINGTIYAS</t>
  </si>
  <si>
    <t xml:space="preserve">23018196142</t>
  </si>
  <si>
    <t xml:space="preserve">0001276222577</t>
  </si>
  <si>
    <t xml:space="preserve">Hot CS &amp; SB P3 Production</t>
  </si>
  <si>
    <t xml:space="preserve">3525104308040001</t>
  </si>
  <si>
    <t xml:space="preserve">Sukomulyo, RT/RW 013/003, Sukomulyo, Manyar, Gresik</t>
  </si>
  <si>
    <t xml:space="preserve">FANNY ROSALINA</t>
  </si>
  <si>
    <t xml:space="preserve">0001542381377</t>
  </si>
  <si>
    <t xml:space="preserve">3525115305940001</t>
  </si>
  <si>
    <t xml:space="preserve">Ngaglik, RT/RW 005/001, Cerme Kidul, Cerme, Gresik</t>
  </si>
  <si>
    <t xml:space="preserve">FATHONI TRI CAHYO PUTRA</t>
  </si>
  <si>
    <t xml:space="preserve">0001812887706</t>
  </si>
  <si>
    <t xml:space="preserve">3525161710010001</t>
  </si>
  <si>
    <t xml:space="preserve">Jl. Dr. Soetomo 3-C/01, RT/RW 002/002, Tlogopatut, Gresik, Gresik</t>
  </si>
  <si>
    <t xml:space="preserve">ISKANDAR</t>
  </si>
  <si>
    <t xml:space="preserve">0001799007118</t>
  </si>
  <si>
    <t xml:space="preserve">Log. P1 - Sub Material</t>
  </si>
  <si>
    <t xml:space="preserve">3525110604800001</t>
  </si>
  <si>
    <t xml:space="preserve">Dusun Kandangan, RT/RW 001/001, Kandangan, Cerme, Gresik</t>
  </si>
  <si>
    <t xml:space="preserve">HANIF FAISA</t>
  </si>
  <si>
    <t xml:space="preserve">22016656675</t>
  </si>
  <si>
    <t xml:space="preserve">0000787440622</t>
  </si>
  <si>
    <t xml:space="preserve">Quality Assurance</t>
  </si>
  <si>
    <t xml:space="preserve">3578143011930003</t>
  </si>
  <si>
    <t xml:space="preserve">Jl. Raya Tubanan, RT/RW 004/009, Karangpoh, Tandes, Surabaya</t>
  </si>
  <si>
    <t xml:space="preserve">KHAUSAR IZAM IRMAWAN</t>
  </si>
  <si>
    <t xml:space="preserve">0002421220375</t>
  </si>
  <si>
    <t xml:space="preserve">Inbound Raw Material P2</t>
  </si>
  <si>
    <t xml:space="preserve">3525160310970122</t>
  </si>
  <si>
    <t xml:space="preserve">KH. Abdul Karim 17/46, RT/RW 002/001, Trate, Gresik, Gresik</t>
  </si>
  <si>
    <t xml:space="preserve">LISA PUTRI PRATIWI</t>
  </si>
  <si>
    <t xml:space="preserve">0001271429469</t>
  </si>
  <si>
    <t xml:space="preserve">Material Import Procurement</t>
  </si>
  <si>
    <t xml:space="preserve">3578175802000005</t>
  </si>
  <si>
    <t xml:space="preserve">Perum Taman Anggrek Blok F-2, RT/RW 002/010, Kedanyang, Kebomas, Gresik</t>
  </si>
  <si>
    <t xml:space="preserve">MELINDA DWITAMA ILAHUDE</t>
  </si>
  <si>
    <t xml:space="preserve">0002610250615</t>
  </si>
  <si>
    <t xml:space="preserve">Non Technic Local Purchasing</t>
  </si>
  <si>
    <t xml:space="preserve">3525106405970005</t>
  </si>
  <si>
    <t xml:space="preserve">Jl. Intan I No. 86 PPS, RT/RW 002/003, Suci, Manyar, Gresik</t>
  </si>
  <si>
    <t xml:space="preserve">MOCHAMMAD LAMBANG IMANUDIN MAJID</t>
  </si>
  <si>
    <t xml:space="preserve">0000100015795</t>
  </si>
  <si>
    <t xml:space="preserve">IS Centre Of Manufacturing Excellence</t>
  </si>
  <si>
    <t xml:space="preserve">3523162407950002</t>
  </si>
  <si>
    <t xml:space="preserve">Dsn Mondokan, RT/RW 001/003, Mondokan, Tuban, Tuban</t>
  </si>
  <si>
    <t xml:space="preserve">MUHAMAD DIMAS</t>
  </si>
  <si>
    <t xml:space="preserve">0000763126007</t>
  </si>
  <si>
    <t xml:space="preserve">3525111010010003</t>
  </si>
  <si>
    <t xml:space="preserve">Lengkong, RT/RW 002/001, Lengkong, Cerme, Gresik</t>
  </si>
  <si>
    <t xml:space="preserve">MOCH. ARFIANTO</t>
  </si>
  <si>
    <t xml:space="preserve">25022886423</t>
  </si>
  <si>
    <t xml:space="preserve">0001161843761</t>
  </si>
  <si>
    <t xml:space="preserve">3525140911010005</t>
  </si>
  <si>
    <t xml:space="preserve">Perum ABM Blok GG-06, RT/RW 002/003, Sekarkurung, Kebomas, Gresik</t>
  </si>
  <si>
    <t xml:space="preserve">MUHAMMAD ALI ROSYIDI</t>
  </si>
  <si>
    <t xml:space="preserve">25016180939</t>
  </si>
  <si>
    <t xml:space="preserve">0000762730626</t>
  </si>
  <si>
    <t xml:space="preserve">International After Market Sales</t>
  </si>
  <si>
    <t xml:space="preserve">3525140904950001</t>
  </si>
  <si>
    <t xml:space="preserve">Taman Botanical 25 PPS, RT/RW 004/022, Suci, Manyar, Gresik</t>
  </si>
  <si>
    <t xml:space="preserve">MOHAMMAD MIQBAH ALI WARDANA</t>
  </si>
  <si>
    <t xml:space="preserve">26063942233</t>
  </si>
  <si>
    <t xml:space="preserve">0001542320739</t>
  </si>
  <si>
    <t xml:space="preserve">3525112107010002</t>
  </si>
  <si>
    <t xml:space="preserve">MUHAMAD SUWANDI</t>
  </si>
  <si>
    <t xml:space="preserve">0000762460266</t>
  </si>
  <si>
    <t xml:space="preserve">3525163003980122</t>
  </si>
  <si>
    <t xml:space="preserve">Jl. Jaksa Agung Suprapto 3-B/7, RT/RW 002/004, Sidokumpul, Gresik, Gresik</t>
  </si>
  <si>
    <t xml:space="preserve">MUHAMMAD BADDRUDIN FIRMANSYAH</t>
  </si>
  <si>
    <t xml:space="preserve">0000762512905</t>
  </si>
  <si>
    <t xml:space="preserve">CS P1 QC &amp; Incoming</t>
  </si>
  <si>
    <t xml:space="preserve">3525140607020003</t>
  </si>
  <si>
    <t xml:space="preserve">Sunan Giri 13Q, RT/RW 008/001, Sidomukti, Kebomas, Gresik</t>
  </si>
  <si>
    <t xml:space="preserve">MUHAMMAD AS'AD</t>
  </si>
  <si>
    <t xml:space="preserve">28014064269</t>
  </si>
  <si>
    <t xml:space="preserve">0001702774631</t>
  </si>
  <si>
    <t xml:space="preserve">3524171503960002</t>
  </si>
  <si>
    <t xml:space="preserve">Jombok, RT/RW 002/005, Plumpang, Sukodadi, Lamongan</t>
  </si>
  <si>
    <t xml:space="preserve">MUHAMMAD BADRUL ALAM</t>
  </si>
  <si>
    <t xml:space="preserve">0001702283319</t>
  </si>
  <si>
    <t xml:space="preserve">3525160410020001</t>
  </si>
  <si>
    <t xml:space="preserve">MH. Thamrin Gg. 7/11, RT/RW 002/001, Tlogobendung, Gresik, Gresik</t>
  </si>
  <si>
    <t xml:space="preserve">MUHAMMAD FIRMAN MAULANA</t>
  </si>
  <si>
    <t xml:space="preserve">0000762582993</t>
  </si>
  <si>
    <t xml:space="preserve">3525160111980002</t>
  </si>
  <si>
    <t xml:space="preserve">Gub Suryo VC 38, RT/RW 002/002, Tlogopojok, Gresik, Gresik</t>
  </si>
  <si>
    <t xml:space="preserve">MUHAMMAD IHSANUL FARID</t>
  </si>
  <si>
    <t xml:space="preserve">0002440868578</t>
  </si>
  <si>
    <t xml:space="preserve">Inventory Control</t>
  </si>
  <si>
    <t xml:space="preserve">3525012510960001</t>
  </si>
  <si>
    <t xml:space="preserve">Sambogunung, RT/RW 002/001, Sambogunung, Dukun, Gresik</t>
  </si>
  <si>
    <t xml:space="preserve">MUHSIN</t>
  </si>
  <si>
    <t xml:space="preserve">0000744783377</t>
  </si>
  <si>
    <t xml:space="preserve">3521102603940001</t>
  </si>
  <si>
    <t xml:space="preserve">Bandar V/8, RT/RW 004/003, Sepanjang, Taman, Sidoarjo</t>
  </si>
  <si>
    <t xml:space="preserve">PUTRA BAGAS SETIAWAN</t>
  </si>
  <si>
    <t xml:space="preserve">0000755396684</t>
  </si>
  <si>
    <t xml:space="preserve">Log. P1 - Finish Good</t>
  </si>
  <si>
    <t xml:space="preserve">3524112608970001</t>
  </si>
  <si>
    <t xml:space="preserve">Katar, RT/RW 001/004, Ngimbang, Ngimbang, Lamongan</t>
  </si>
  <si>
    <t xml:space="preserve">SABILAL ALIF</t>
  </si>
  <si>
    <t xml:space="preserve">0001672672645</t>
  </si>
  <si>
    <t xml:space="preserve">3525110304950004</t>
  </si>
  <si>
    <t xml:space="preserve">Dusun Mando, RT/RW 002/005, Pandu, Cerme, Gresik</t>
  </si>
  <si>
    <t xml:space="preserve">SAFIRA INSANI</t>
  </si>
  <si>
    <t xml:space="preserve">0001162348918</t>
  </si>
  <si>
    <t xml:space="preserve">3578236108020002</t>
  </si>
  <si>
    <t xml:space="preserve">Bibis Karah II/6, RT/RW 003/007, Karah, Jambangan, Surabaya</t>
  </si>
  <si>
    <t xml:space="preserve">SYAMSUL QIROM</t>
  </si>
  <si>
    <t xml:space="preserve">0001155068572</t>
  </si>
  <si>
    <t xml:space="preserve">3525110108870002</t>
  </si>
  <si>
    <t xml:space="preserve">Dungus Lor, RT/RW 001/004, Dungus, Cerme, Gresik</t>
  </si>
  <si>
    <t xml:space="preserve">SYATRIA BAGUS KHOIRUL BASYAR</t>
  </si>
  <si>
    <t xml:space="preserve">0001396321029</t>
  </si>
  <si>
    <t xml:space="preserve">General Affairs</t>
  </si>
  <si>
    <t xml:space="preserve">3517090108040003</t>
  </si>
  <si>
    <t xml:space="preserve">Griya Jombang Indah VII/10, RT/RW 008/004, Jombang, Jombang, Jombang</t>
  </si>
  <si>
    <t xml:space="preserve">YANTO</t>
  </si>
  <si>
    <t xml:space="preserve">0002484308338</t>
  </si>
  <si>
    <t xml:space="preserve">3522041603880004</t>
  </si>
  <si>
    <t xml:space="preserve">Betiting, RT/RW 003/001, Betiting, Cerme, Gresik</t>
  </si>
  <si>
    <t xml:space="preserve">ZAINUL ARIFIN</t>
  </si>
  <si>
    <t xml:space="preserve">0001152651058</t>
  </si>
  <si>
    <t xml:space="preserve">3525161811940001</t>
  </si>
  <si>
    <t xml:space="preserve">KH. Abdul Karim 74-A, RT/RW 001/001, Trate, Gresik, Gresik</t>
  </si>
  <si>
    <t xml:space="preserve">YOKANTA ESZA MILLENIO PRATAMA</t>
  </si>
  <si>
    <t xml:space="preserve">24019984933</t>
  </si>
  <si>
    <t xml:space="preserve">0001539945832</t>
  </si>
  <si>
    <t xml:space="preserve">LS Quality Assurance</t>
  </si>
  <si>
    <t xml:space="preserve">3521053005000005</t>
  </si>
  <si>
    <t xml:space="preserve">Tambakromo I, RT/RW 002/001, Tambakromo, Geneng, Ngawi</t>
  </si>
  <si>
    <t xml:space="preserve">YULI KURNIAWAN</t>
  </si>
  <si>
    <t xml:space="preserve">24015915081</t>
  </si>
  <si>
    <t xml:space="preserve">0001539393693</t>
  </si>
  <si>
    <t xml:space="preserve">3525102607940001</t>
  </si>
  <si>
    <t xml:space="preserve">Sukomulyo, RT/RW 002/007, Sukomulyo, Manyar, Gresik</t>
  </si>
  <si>
    <t xml:space="preserve">ZAINUL MUTAKIN</t>
  </si>
  <si>
    <t xml:space="preserve">0001735588642</t>
  </si>
  <si>
    <t xml:space="preserve">3524260911870001</t>
  </si>
  <si>
    <t xml:space="preserve">Pakal Barat Lapangan 1/31, RT/RW 004/003, Pakal, Pakal, Surabaya</t>
  </si>
  <si>
    <t xml:space="preserve">HANIF ROMADHONI NUR</t>
  </si>
  <si>
    <t xml:space="preserve">0003065992288</t>
  </si>
  <si>
    <t xml:space="preserve">3507052910050001</t>
  </si>
  <si>
    <t xml:space="preserve">Lambangkuning, RT/RW 033/005, Majangtengah, Dampit, Malang</t>
  </si>
  <si>
    <t xml:space="preserve">RIDHO PRAHASDANI HERNANDA</t>
  </si>
  <si>
    <t xml:space="preserve">0002615653293</t>
  </si>
  <si>
    <t xml:space="preserve">3525143004940003</t>
  </si>
  <si>
    <t xml:space="preserve">Kapten Darmosugondo 30, RT/RW 003/001, Indro, Kebomas, Gresik</t>
  </si>
  <si>
    <t xml:space="preserve">FARAH ARTHA MAYVIA</t>
  </si>
  <si>
    <t xml:space="preserve">0001201801375</t>
  </si>
  <si>
    <t xml:space="preserve">3573015405050001</t>
  </si>
  <si>
    <t xml:space="preserve">Jl. L. A. Sucipto Gg. SD/40, RT/RW 002/004, Blimbing, Bilimbing, Malang</t>
  </si>
  <si>
    <t xml:space="preserve">MUHAMMAD SHOBICHUL MIRBATH</t>
  </si>
  <si>
    <t xml:space="preserve">21053072748</t>
  </si>
  <si>
    <t xml:space="preserve">0001164444827</t>
  </si>
  <si>
    <t xml:space="preserve">3525103004030004</t>
  </si>
  <si>
    <t xml:space="preserve">Perum Dinari Blok C.VI/632, RT/RW 003/002, Tebalo, Manyar, Gresik</t>
  </si>
  <si>
    <t xml:space="preserve">HANIFAH MEGA ARIYANTI</t>
  </si>
  <si>
    <t xml:space="preserve">0002453414218</t>
  </si>
  <si>
    <t xml:space="preserve">QC Sortir</t>
  </si>
  <si>
    <t xml:space="preserve">3578046307010004</t>
  </si>
  <si>
    <t xml:space="preserve">Bentul 1/16 RT/RW 001/011 Kel. Jagir Kec. Wonokromo Kota Surabaya</t>
  </si>
  <si>
    <t xml:space="preserve">SIAN KATHERINE ROSITA PUTRI DANCY</t>
  </si>
  <si>
    <t xml:space="preserve">20079890087</t>
  </si>
  <si>
    <t xml:space="preserve">0002375371181</t>
  </si>
  <si>
    <t xml:space="preserve">3507186505040005</t>
  </si>
  <si>
    <t xml:space="preserve">Watford</t>
  </si>
  <si>
    <t xml:space="preserve">Grand Permata Jingga 14 TH Avenue No.21, RT/RW 002/021, Mangliawan, Pakis, Malang</t>
  </si>
  <si>
    <t xml:space="preserve">MUHAMMAD RIZQULLAH ZAKI</t>
  </si>
  <si>
    <t xml:space="preserve">21073455893</t>
  </si>
  <si>
    <t xml:space="preserve">3525142606050001</t>
  </si>
  <si>
    <t xml:space="preserve">Kpt. Darmosugondo XXII. A/11, RT/RW 001/001, Tenggulunan, Kebomas, Gresik</t>
  </si>
  <si>
    <t xml:space="preserve">MUHAMMAD GALIH RAHMA SUBAKTI</t>
  </si>
  <si>
    <t xml:space="preserve">0003220401069</t>
  </si>
  <si>
    <t xml:space="preserve">3516162304070001</t>
  </si>
  <si>
    <t xml:space="preserve">Pohsengir, RT/RW 003/005, Bendung, Mojokerto</t>
  </si>
  <si>
    <t xml:space="preserve">RIYAN ALDIANSYAH</t>
  </si>
  <si>
    <t xml:space="preserve">23083498032</t>
  </si>
  <si>
    <t xml:space="preserve">3515012301070002</t>
  </si>
  <si>
    <t xml:space="preserve">Dsn Klinter, RT/RW 016/004, Banjarwungu, Tarik, Sidoarjo</t>
  </si>
  <si>
    <t xml:space="preserve">YANTI</t>
  </si>
  <si>
    <t xml:space="preserve">0000752860372</t>
  </si>
  <si>
    <t xml:space="preserve">3523154808050002</t>
  </si>
  <si>
    <t xml:space="preserve">Dsn Ndukoh, RT/RW 001/007, Tegalagung, Semanding, Tuban</t>
  </si>
  <si>
    <t xml:space="preserve">RIZQ KEMAL IBNU HUTOMO</t>
  </si>
  <si>
    <t xml:space="preserve">3525060406030004</t>
  </si>
  <si>
    <t xml:space="preserve">Bureng Lor, RT/RW 005/002, Sumberwaru, Wringinanom, Gresik</t>
  </si>
  <si>
    <t xml:space="preserve">SYAMSUL ARIF</t>
  </si>
  <si>
    <t xml:space="preserve">0002121519407</t>
  </si>
  <si>
    <t xml:space="preserve">3526021005010001</t>
  </si>
  <si>
    <t xml:space="preserve">Dsn Petaonan Tengah, RT/RW 003/003, Petaonan, Socah, Bangkalan</t>
  </si>
  <si>
    <t xml:space="preserve">KISWANTO</t>
  </si>
  <si>
    <t xml:space="preserve">0002155148414</t>
  </si>
  <si>
    <t xml:space="preserve">3525050511900002</t>
  </si>
  <si>
    <t xml:space="preserve">Gumining, RT/RW 005/001, Tambakrejo, Duduksampeyan, Gresik</t>
  </si>
  <si>
    <t xml:space="preserve">HABIB NASHRUDDIN</t>
  </si>
  <si>
    <t xml:space="preserve">0000757050355</t>
  </si>
  <si>
    <t xml:space="preserve">3524172704010001</t>
  </si>
  <si>
    <t xml:space="preserve">Plumpang, RT/RW 001/001, Plumpang, Sukodadi, Lamongan</t>
  </si>
  <si>
    <t xml:space="preserve">AHMAD ZAINUL HASANI</t>
  </si>
  <si>
    <t xml:space="preserve">3525152402060005</t>
  </si>
  <si>
    <t xml:space="preserve">GUNAWAN HARIANTO</t>
  </si>
  <si>
    <t xml:space="preserve">20084651419</t>
  </si>
  <si>
    <t xml:space="preserve">0001707150284</t>
  </si>
  <si>
    <t xml:space="preserve">3578151703960002</t>
  </si>
  <si>
    <t xml:space="preserve">Bangunrejo 2 RSS Blok C 223, RT/RW 021/005, Dupak, Krembangan, Surabaya</t>
  </si>
  <si>
    <t xml:space="preserve">21066896305</t>
  </si>
  <si>
    <t xml:space="preserve">0002601719741</t>
  </si>
  <si>
    <t xml:space="preserve">3526141010040001</t>
  </si>
  <si>
    <t xml:space="preserve">Dsn. Bangbatoh, RT/RW 002/001, Bajeman, Tragah, Bangkalan</t>
  </si>
  <si>
    <t xml:space="preserve">AJI MUBAROK</t>
  </si>
  <si>
    <t xml:space="preserve">0003217314205</t>
  </si>
  <si>
    <t xml:space="preserve">3526131406010003</t>
  </si>
  <si>
    <t xml:space="preserve">Dsn. Keduh, RT/RW 000/000, Dlambah Dajah, Tanah Merah, Bangkalan</t>
  </si>
  <si>
    <t xml:space="preserve">MU'ALIF</t>
  </si>
  <si>
    <t xml:space="preserve">0001535037142</t>
  </si>
  <si>
    <t xml:space="preserve">MPC</t>
  </si>
  <si>
    <t xml:space="preserve">3521181211640001</t>
  </si>
  <si>
    <t xml:space="preserve">Tegalrejo RT/RW 002/007 Widodaren, Gerih, Ngawi</t>
  </si>
  <si>
    <t xml:space="preserve">TOTOK HARIYANTO</t>
  </si>
  <si>
    <t xml:space="preserve">28054179267</t>
  </si>
  <si>
    <t xml:space="preserve">3515110803880005</t>
  </si>
  <si>
    <t xml:space="preserve">Dsn.Banjaran RT 01/RW 05 Driyorejo Gresik</t>
  </si>
  <si>
    <t xml:space="preserve">FRANDANI BAYU SAPUTRA</t>
  </si>
  <si>
    <t xml:space="preserve">3515130302960005</t>
  </si>
  <si>
    <t xml:space="preserve">Jl. Sawunggaling, RT/RW 012/003, Jemundo, Taman, Sidoarjo</t>
  </si>
  <si>
    <t xml:space="preserve">SLAMET WIDI TRIBUWONO</t>
  </si>
  <si>
    <t xml:space="preserve">29073593162</t>
  </si>
  <si>
    <t xml:space="preserve">3515010812410001</t>
  </si>
  <si>
    <t xml:space="preserve">Dsn Kanigoro, RT/RW 010/001, Kramattemenggung, Tarik, Sidoarjo</t>
  </si>
  <si>
    <t xml:space="preserve">ANNISA SALSABILATUSSYIFA</t>
  </si>
  <si>
    <t xml:space="preserve">0002446471787</t>
  </si>
  <si>
    <t xml:space="preserve">3573056707020002</t>
  </si>
  <si>
    <t xml:space="preserve">Jl. Gajayana I C 741 H2, RT/RW 006/002, Dinoyo, Lowokwaru, Malang</t>
  </si>
  <si>
    <t xml:space="preserve">DIMAS TRY FIRMANSYAH</t>
  </si>
  <si>
    <t xml:space="preserve">24031807334</t>
  </si>
  <si>
    <t xml:space="preserve">3578161512040004</t>
  </si>
  <si>
    <t xml:space="preserve">Sumput Asri Blok AX-15, RT/RW 038/006, Sumput, Driyorejo, Surabaya</t>
  </si>
  <si>
    <t xml:space="preserve">VINDRA DWI SUSANTO</t>
  </si>
  <si>
    <t xml:space="preserve">23084090153</t>
  </si>
  <si>
    <t xml:space="preserve">3515100503950003</t>
  </si>
  <si>
    <t xml:space="preserve">Dusun Pilang, RT/RW 012/006, Pilang, Wonoayu, Sidoarjo</t>
  </si>
  <si>
    <t xml:space="preserve">MUHAMMAD RIDWAN</t>
  </si>
  <si>
    <t xml:space="preserve">3522122703910001</t>
  </si>
  <si>
    <t xml:space="preserve">Dusun Prembugan, RT/RW 002/001, Pekuwon, Sumberrejo, Bojonegoro</t>
  </si>
  <si>
    <t xml:space="preserve">MOHAMMAD NURKHOLIS</t>
  </si>
  <si>
    <t xml:space="preserve">0000700064651</t>
  </si>
  <si>
    <t xml:space="preserve">3510132008000003</t>
  </si>
  <si>
    <t xml:space="preserve">Jl. Rivera Barat 2 No. 33, RT/RW 005/004, Banjarsari, Manyar, Gresik</t>
  </si>
  <si>
    <t xml:space="preserve">SAGA SETIADI</t>
  </si>
  <si>
    <t xml:space="preserve">0001848027115</t>
  </si>
  <si>
    <t xml:space="preserve">3507212310860001</t>
  </si>
  <si>
    <t xml:space="preserve">Dusun Buwek, RT/RW 006/004, Sitirejo, Wagir, Malang</t>
  </si>
  <si>
    <t xml:space="preserve">DANI SAPUTRA</t>
  </si>
  <si>
    <t xml:space="preserve">0000784438964</t>
  </si>
  <si>
    <t xml:space="preserve">3573010312940003</t>
  </si>
  <si>
    <t xml:space="preserve">JL. Teluk Bayur IV, RT/RW 003/007, Pandanwangi, Blimbing, Malang</t>
  </si>
  <si>
    <t xml:space="preserve">FARA FAHIRA BELQIS REARBI</t>
  </si>
  <si>
    <t xml:space="preserve">0002683058242</t>
  </si>
  <si>
    <t xml:space="preserve">Finance</t>
  </si>
  <si>
    <t xml:space="preserve">3578084401030001</t>
  </si>
  <si>
    <t xml:space="preserve">Pucangan 3/19, RT/RW 001/008, Kertajaya, Gubeng, Surabaya</t>
  </si>
  <si>
    <t xml:space="preserve">LATHIFAH</t>
  </si>
  <si>
    <t xml:space="preserve">0002447424415</t>
  </si>
  <si>
    <t xml:space="preserve">1209084204020001</t>
  </si>
  <si>
    <t xml:space="preserve">Sei Renggas</t>
  </si>
  <si>
    <t xml:space="preserve">Lingkungan III, RT/RW 000/000, Binjai Serbangan, Air Joman, Asahan</t>
  </si>
  <si>
    <t xml:space="preserve">ANA ATIKA SURUR</t>
  </si>
  <si>
    <t xml:space="preserve">26008485295</t>
  </si>
  <si>
    <t xml:space="preserve">0001543553436</t>
  </si>
  <si>
    <t xml:space="preserve">Denpasar</t>
  </si>
  <si>
    <t xml:space="preserve">3509184702000001</t>
  </si>
  <si>
    <t xml:space="preserve">Dusun Kraton, RT/RW 005/001, Wonoasri, Tempurejo, Jember</t>
  </si>
  <si>
    <t xml:space="preserve">LELY KRISTANTY GULTOM</t>
  </si>
  <si>
    <t xml:space="preserve">1275015807970002</t>
  </si>
  <si>
    <t xml:space="preserve">Dusun XI Jl. Orde Baru, RT/RW 045/023, Mulio Rrejo, Sunggal, Deli Serdang</t>
  </si>
  <si>
    <t xml:space="preserve">FERLINDA RISKIKA SAPUTRI</t>
  </si>
  <si>
    <t xml:space="preserve">25041025607</t>
  </si>
  <si>
    <t xml:space="preserve">0003561670225</t>
  </si>
  <si>
    <t xml:space="preserve">3374097006020001</t>
  </si>
  <si>
    <t xml:space="preserve">JL. Taman Sumbing 281, RT/RW 006/003, Bendungan, Gajahmungkur, Semarang</t>
  </si>
  <si>
    <t xml:space="preserve">LERI DWI SALVA FEBRIANTI</t>
  </si>
  <si>
    <t xml:space="preserve">21051257715</t>
  </si>
  <si>
    <t xml:space="preserve">0000643769291</t>
  </si>
  <si>
    <t xml:space="preserve">3375014802970004</t>
  </si>
  <si>
    <t xml:space="preserve">JL. WR. Supratman GG. Hiu, RT/RW 005/013, Panjang Wetan, Pekalongan Utara, Pekalongan</t>
  </si>
  <si>
    <t xml:space="preserve">NADIFA</t>
  </si>
  <si>
    <t xml:space="preserve">0003583344227</t>
  </si>
  <si>
    <t xml:space="preserve">7203117108020006</t>
  </si>
  <si>
    <t xml:space="preserve">Donggala</t>
  </si>
  <si>
    <t xml:space="preserve">JL. Pendidikan Tanjung Padang, RT/RW 000/000, Tanjung Padang, Sirenja, Donggala</t>
  </si>
  <si>
    <t xml:space="preserve">NURMINI</t>
  </si>
  <si>
    <t xml:space="preserve">25072189486</t>
  </si>
  <si>
    <t xml:space="preserve">0001188577179</t>
  </si>
  <si>
    <t xml:space="preserve">Lombok</t>
  </si>
  <si>
    <t xml:space="preserve">5201156203900002</t>
  </si>
  <si>
    <t xml:space="preserve">Rembiga</t>
  </si>
  <si>
    <t xml:space="preserve">JL. Jendral Sudirman Rembiga Timur, RT/RW 003/234, Rembiga, Selaparang, Mataram</t>
  </si>
  <si>
    <t xml:space="preserve">SANG AYU KETUT UTAMI DEWI</t>
  </si>
  <si>
    <t xml:space="preserve">23054034866</t>
  </si>
  <si>
    <t xml:space="preserve">0002456810752</t>
  </si>
  <si>
    <t xml:space="preserve">5271025205020001</t>
  </si>
  <si>
    <t xml:space="preserve">JL. Airlangga Tanah Aji Karang Kelayu, RT/RW 003/088, Punia, Mataram, Mataram</t>
  </si>
  <si>
    <t xml:space="preserve">SYAFIZA BUNGA AS'SURA</t>
  </si>
  <si>
    <t xml:space="preserve">22062201398</t>
  </si>
  <si>
    <t xml:space="preserve">0002292481866</t>
  </si>
  <si>
    <t xml:space="preserve">6101154809070003</t>
  </si>
  <si>
    <t xml:space="preserve">Sambas</t>
  </si>
  <si>
    <t xml:space="preserve">JL. Komyos Sudarso GG. Sapta Marga, RT/RW 002/034, Sungaibeliung, Pontianak Barat, Pontianak</t>
  </si>
  <si>
    <t xml:space="preserve">VITRIANA NOER</t>
  </si>
  <si>
    <t xml:space="preserve">26000170398</t>
  </si>
  <si>
    <t xml:space="preserve">0001575339388</t>
  </si>
  <si>
    <t xml:space="preserve">Kota Kupang</t>
  </si>
  <si>
    <t xml:space="preserve">5371046111930002</t>
  </si>
  <si>
    <t xml:space="preserve">Dili</t>
  </si>
  <si>
    <t xml:space="preserve">Jln. Pahlawan No.56, RT/RW 001/001, Nunhila, Alak, Kupang</t>
  </si>
  <si>
    <t xml:space="preserve">DWIKY YULIAN FADHILLAH</t>
  </si>
  <si>
    <t xml:space="preserve">0003077146462</t>
  </si>
  <si>
    <t xml:space="preserve">3571021207020004</t>
  </si>
  <si>
    <t xml:space="preserve">JL Letjen Suprapto 1/12 B, RT/RW 001/007, Banjaran, Kota, Kediri</t>
  </si>
  <si>
    <t xml:space="preserve">ZAHARA SILVA AULIANA</t>
  </si>
  <si>
    <t xml:space="preserve">0000224922172</t>
  </si>
  <si>
    <t xml:space="preserve">1112095503030001</t>
  </si>
  <si>
    <t xml:space="preserve">Kuta Makmu</t>
  </si>
  <si>
    <t xml:space="preserve">Lama Muda, RT/RW 000/000, Lama Tuha, Kuala Batee, Aceh Barat Daya</t>
  </si>
  <si>
    <t xml:space="preserve">SITI SOFIYATUL FUADAH</t>
  </si>
  <si>
    <t xml:space="preserve">3522105402010003</t>
  </si>
  <si>
    <t xml:space="preserve">Dusun Caduk, RT/RW 003/012, Sraturejo, Baureno, Bojonegoro</t>
  </si>
  <si>
    <t xml:space="preserve">ENGGAR YUSUF MUSTOFA</t>
  </si>
  <si>
    <t xml:space="preserve">3515130803030002</t>
  </si>
  <si>
    <t xml:space="preserve">Jemundo, RT/RW 012/003, Jemundo, Taman, Sidoarjo</t>
  </si>
  <si>
    <t xml:space="preserve">LUH DE REYNA YOWANDITA</t>
  </si>
  <si>
    <t xml:space="preserve">KOL Specialist</t>
  </si>
  <si>
    <t xml:space="preserve">3514247010000001</t>
  </si>
  <si>
    <t xml:space="preserve">Dsn. Tlogosari, RT/RW 002/004, Tosari, Tosari, Pasuruan</t>
  </si>
  <si>
    <t xml:space="preserve">0002158639571</t>
  </si>
  <si>
    <t xml:space="preserve">3526032107960006</t>
  </si>
  <si>
    <t xml:space="preserve">Gubeng Klingsingan 2/26, RT/RW 003/003, Gubeng, Gubeng, Surabaya</t>
  </si>
  <si>
    <t xml:space="preserve">AHMAD SAUKI MAULANA</t>
  </si>
  <si>
    <t xml:space="preserve">21055987730</t>
  </si>
  <si>
    <t xml:space="preserve">3525132001070002</t>
  </si>
  <si>
    <t xml:space="preserve">Laban, RT/RW 024/002, Laban, Menganti, Gresik</t>
  </si>
  <si>
    <t xml:space="preserve">DEKAN</t>
  </si>
  <si>
    <t xml:space="preserve">0001538293342</t>
  </si>
  <si>
    <t xml:space="preserve">3525111707700003</t>
  </si>
  <si>
    <t xml:space="preserve">Dusun Agung, RT/RW 001/002, Cagakagung, Cerme, Gresik</t>
  </si>
  <si>
    <t xml:space="preserve">BRYLIAN YAYANG IRWANSYAH</t>
  </si>
  <si>
    <t xml:space="preserve">23035611923</t>
  </si>
  <si>
    <t xml:space="preserve">0001481919041</t>
  </si>
  <si>
    <t xml:space="preserve">3515071405980005</t>
  </si>
  <si>
    <t xml:space="preserve">Perum T Delta S, RT/RW 010/003, Kendalpecabean, Candi, Sidoarjo</t>
  </si>
  <si>
    <t xml:space="preserve">ANDREAS FEBRIANTO</t>
  </si>
  <si>
    <t xml:space="preserve">Pekerja Serabutan</t>
  </si>
  <si>
    <t xml:space="preserve">3578061302060002</t>
  </si>
  <si>
    <t xml:space="preserve">Simo Sidomulyo 7-A/27-D, RT/RW 005/017, Petemon, Sawahan, Surabaya</t>
  </si>
  <si>
    <t xml:space="preserve">DAFFA NABIL HAKIM MUHAMMAD</t>
  </si>
  <si>
    <t xml:space="preserve">Helper Mesin</t>
  </si>
  <si>
    <t xml:space="preserve">3578062611060006</t>
  </si>
  <si>
    <t xml:space="preserve">Simo Sidomulyo 7-A/33-D, RT/RW 005/017, Petemon, Sawahan, Surabaya</t>
  </si>
  <si>
    <t xml:space="preserve">MOH IRSADUL FUAD</t>
  </si>
  <si>
    <t xml:space="preserve">3525151011060003</t>
  </si>
  <si>
    <t xml:space="preserve">RIDHO RAMADHAN</t>
  </si>
  <si>
    <t xml:space="preserve">0003157353224</t>
  </si>
  <si>
    <t xml:space="preserve">Cold CS P1 Production</t>
  </si>
  <si>
    <t xml:space="preserve">3523161311030001</t>
  </si>
  <si>
    <t xml:space="preserve">ACHMAD PRIANTO</t>
  </si>
  <si>
    <t xml:space="preserve">0002218603195</t>
  </si>
  <si>
    <t xml:space="preserve">Workshoop &amp; Tooling</t>
  </si>
  <si>
    <t xml:space="preserve">3525041508990002</t>
  </si>
  <si>
    <t xml:space="preserve">MUHAMMAD NANDA ALI WAKET</t>
  </si>
  <si>
    <t xml:space="preserve">0002080014388</t>
  </si>
  <si>
    <t xml:space="preserve">Hot CS &amp; SB P3 Maintenance</t>
  </si>
  <si>
    <t xml:space="preserve">3525022903030002</t>
  </si>
  <si>
    <t xml:space="preserve">Mojogede, RT/RW 005/002, Mojogede, Balongpanggang, Gresik</t>
  </si>
  <si>
    <t xml:space="preserve">AHMAD NAJIB DANENDRA MARZUKI</t>
  </si>
  <si>
    <t xml:space="preserve">0002303827997</t>
  </si>
  <si>
    <t xml:space="preserve">Laboratorium Engineer</t>
  </si>
  <si>
    <t xml:space="preserve">3524241305060002</t>
  </si>
  <si>
    <t xml:space="preserve">Perum Istana Regency Blok C.4/10 Serembi, RT/RW 010/010, Kembangan, Kebomas, Gresik</t>
  </si>
  <si>
    <t xml:space="preserve">ABDUL DJALIL FAJAR SUGIARTO</t>
  </si>
  <si>
    <t xml:space="preserve">0001806192843</t>
  </si>
  <si>
    <t xml:space="preserve">3578311708040001</t>
  </si>
  <si>
    <t xml:space="preserve">Jl. Yakut Raya No. 48 PPS, RT/RW 002/019, Suci, Manyar, Gresik</t>
  </si>
  <si>
    <t xml:space="preserve">RAHMAD JULICAHYA</t>
  </si>
  <si>
    <t xml:space="preserve">3515110707050003</t>
  </si>
  <si>
    <t xml:space="preserve">Sidorenggo RT 33/ RW 8 Krian Sidoarjo</t>
  </si>
  <si>
    <t xml:space="preserve">JOKO MULYONO</t>
  </si>
  <si>
    <t xml:space="preserve">3516182604850001</t>
  </si>
  <si>
    <t xml:space="preserve">Jl. Kuripan Ds.Jumeneng RT 4/ RW 4 Mojoanyar Mojokerto</t>
  </si>
  <si>
    <t xml:space="preserve">YOHANES EFFENDI</t>
  </si>
  <si>
    <t xml:space="preserve">3516080905820001</t>
  </si>
  <si>
    <t xml:space="preserve">wisma pungging permai BE 05 Mojokerto</t>
  </si>
  <si>
    <t xml:space="preserve">MOH. QOYUM</t>
  </si>
  <si>
    <t xml:space="preserve">27079971907</t>
  </si>
  <si>
    <t xml:space="preserve">3516061802860003</t>
  </si>
  <si>
    <t xml:space="preserve">Dsn. Grame RT 8/ RW 3 Pungging</t>
  </si>
  <si>
    <t xml:space="preserve">ANDIK ISMAYADI</t>
  </si>
  <si>
    <t xml:space="preserve">3515023110770001</t>
  </si>
  <si>
    <t xml:space="preserve">Dsn. Wonokerto RT002 RW001 Ds. Wonokerto Prambon Sidoarjo</t>
  </si>
  <si>
    <t xml:space="preserve">WURI KUNANDA YANI</t>
  </si>
  <si>
    <t xml:space="preserve">0000116489619</t>
  </si>
  <si>
    <t xml:space="preserve">Admin Manda</t>
  </si>
  <si>
    <t xml:space="preserve">3515186110890008</t>
  </si>
  <si>
    <t xml:space="preserve">Jl. Ikan Tongkol No.71, RT/RW 002/004, Tambak Rejo, Waru, Sidoarjo</t>
  </si>
  <si>
    <t xml:space="preserve">YULI SETYAWAN</t>
  </si>
  <si>
    <t xml:space="preserve">22063779217</t>
  </si>
  <si>
    <t xml:space="preserve">3520052905910002</t>
  </si>
  <si>
    <t xml:space="preserve">Jambangan RT 12 / RW 02 Magetan</t>
  </si>
  <si>
    <t xml:space="preserve">HAJIJAH INDRAWATI</t>
  </si>
  <si>
    <t xml:space="preserve">0001429013957</t>
  </si>
  <si>
    <t xml:space="preserve">Admin Sales</t>
  </si>
  <si>
    <t xml:space="preserve">3578064605860005</t>
  </si>
  <si>
    <t xml:space="preserve">Banyu Urip Wetan 4/17, RT/RW 001/004, Putat Jaya, Sawahan, Surabaya</t>
  </si>
  <si>
    <t xml:space="preserve">LISA EKA SETIYOWATI</t>
  </si>
  <si>
    <t xml:space="preserve">0001169501027</t>
  </si>
  <si>
    <t xml:space="preserve">3515146008930003</t>
  </si>
  <si>
    <t xml:space="preserve">Pademonegoro, RT/RW 010/003, Pademonegoro, Sukodono, Sidoarjo</t>
  </si>
  <si>
    <t xml:space="preserve">DIAN ERMA ARIFANI</t>
  </si>
  <si>
    <t xml:space="preserve">0001152047384</t>
  </si>
  <si>
    <t xml:space="preserve">SPV HRD</t>
  </si>
  <si>
    <t xml:space="preserve">3515115610930003</t>
  </si>
  <si>
    <t xml:space="preserve">Melati, RT/RW 011/003, Jeruk Legi, Balongbendo, Sidoarjo</t>
  </si>
  <si>
    <t xml:space="preserve">WAWAN KRISTIYAWAN</t>
  </si>
  <si>
    <t xml:space="preserve">0001704883825</t>
  </si>
  <si>
    <t xml:space="preserve">Tukang Pemasangan</t>
  </si>
  <si>
    <t xml:space="preserve">3578270804790001</t>
  </si>
  <si>
    <t xml:space="preserve">Simo Pomahan 1/54, RT/RW 010/002, Simomulyo Baru, Sukomanunggal, Surabaya</t>
  </si>
  <si>
    <t xml:space="preserve">VICKY ANDIANTO</t>
  </si>
  <si>
    <t xml:space="preserve">0001123680925</t>
  </si>
  <si>
    <t xml:space="preserve">Pemasangan</t>
  </si>
  <si>
    <t xml:space="preserve">3515080812820006</t>
  </si>
  <si>
    <t xml:space="preserve">Dsn Bokongisor, RT/RW 015/004, Klantingsari, Tarik, Sidoarjo</t>
  </si>
  <si>
    <t xml:space="preserve">3515082708740004</t>
  </si>
  <si>
    <t xml:space="preserve">Urangagung, RT/RW 017/006, Urangagung, Sidoarjo, Sidoarjo</t>
  </si>
  <si>
    <t xml:space="preserve">BADARUDIN NASUTION</t>
  </si>
  <si>
    <t xml:space="preserve">0001146017079</t>
  </si>
  <si>
    <t xml:space="preserve">3522071204750003</t>
  </si>
  <si>
    <t xml:space="preserve">Sememi Jaya GG. 5-C Blok.3, RT/RW 002/001, Sememi, Benowo, Surabaya</t>
  </si>
  <si>
    <t xml:space="preserve">EKO SETYAWAN</t>
  </si>
  <si>
    <t xml:space="preserve">0001792930195</t>
  </si>
  <si>
    <t xml:space="preserve">3311072804830002</t>
  </si>
  <si>
    <t xml:space="preserve">DK. Blimbing, RT/RW 003/005, Wonorejo, Polokarto, Sukoharjo</t>
  </si>
  <si>
    <t xml:space="preserve">MUHAMMAD RIFAI</t>
  </si>
  <si>
    <t xml:space="preserve">3525060205820008</t>
  </si>
  <si>
    <t xml:space="preserve">Sidokandeg, RT/RW 001/001, Pasinan Lemahputih, Wringinanom, Gresik</t>
  </si>
  <si>
    <t xml:space="preserve">ALI MASDUKI</t>
  </si>
  <si>
    <t xml:space="preserve">0001141512827</t>
  </si>
  <si>
    <t xml:space="preserve">Driver Direksi</t>
  </si>
  <si>
    <t xml:space="preserve">3518051511700002</t>
  </si>
  <si>
    <t xml:space="preserve">Dsn Cangkringan, RT/RW 001/002, Pacewetan, Pace, Nganjuk</t>
  </si>
  <si>
    <t xml:space="preserve">0001792939836</t>
  </si>
  <si>
    <t xml:space="preserve">3515121211650002</t>
  </si>
  <si>
    <t xml:space="preserve">Semawut, RT/RW 006/003, Balongbendo, Balongbendo, Sidoarjo</t>
  </si>
  <si>
    <t xml:space="preserve">MUCHAMMAD BAQIN ANAM SHOLIKIN</t>
  </si>
  <si>
    <t xml:space="preserve">0001823941541</t>
  </si>
  <si>
    <t xml:space="preserve">Office Boy Direksi</t>
  </si>
  <si>
    <t xml:space="preserve">3515141201820004</t>
  </si>
  <si>
    <t xml:space="preserve">Bangsri, RT/RW 001/001, Bangsri, Sukodono, Sidoarjo</t>
  </si>
  <si>
    <t xml:space="preserve">SUGIARTO</t>
  </si>
  <si>
    <t xml:space="preserve">0000719400993</t>
  </si>
  <si>
    <t xml:space="preserve">Meuble</t>
  </si>
  <si>
    <t xml:space="preserve">3515011603850003</t>
  </si>
  <si>
    <t xml:space="preserve">DONI DWI SUJATMIKO</t>
  </si>
  <si>
    <t xml:space="preserve">0001123592343</t>
  </si>
  <si>
    <t xml:space="preserve">3517072912840002</t>
  </si>
  <si>
    <t xml:space="preserve">Dsn Pasinan, RT/RW 010/003, Pasinan Lemahputih, Wringinanom, Gresik</t>
  </si>
  <si>
    <t xml:space="preserve">SAMSUL MA'ARIF KUSWEDI</t>
  </si>
  <si>
    <t xml:space="preserve">0001146017158</t>
  </si>
  <si>
    <t xml:space="preserve">3515101005860004</t>
  </si>
  <si>
    <t xml:space="preserve">Tanggul, RT/RW 005/003, Tanggul, Wonoayu, Sidoarjo</t>
  </si>
  <si>
    <t xml:space="preserve">HERI TEGUH SANTOSO</t>
  </si>
  <si>
    <t xml:space="preserve">0001876801994</t>
  </si>
  <si>
    <t xml:space="preserve">Sales Survei</t>
  </si>
  <si>
    <t xml:space="preserve">3578242302830002</t>
  </si>
  <si>
    <t xml:space="preserve">Jl. Kutisari 9/65, RT/RW 005/001, Kutisari, Tenggilis Mejoyo, Surabaya</t>
  </si>
  <si>
    <t xml:space="preserve">TEGUH WIBOWO</t>
  </si>
  <si>
    <t xml:space="preserve">PT SARANA INDOGUNA LESTARI</t>
  </si>
  <si>
    <t xml:space="preserve">0001139698899</t>
  </si>
  <si>
    <t xml:space="preserve">3578151607900001</t>
  </si>
  <si>
    <t xml:space="preserve">Nyamplung, RT/RW 022/005, Sumokali, Candi, Sidoarjo</t>
  </si>
  <si>
    <t xml:space="preserve">KEVIEN NASSA HERLAMBANG</t>
  </si>
  <si>
    <t xml:space="preserve">29061330693</t>
  </si>
  <si>
    <t xml:space="preserve">0001847413361</t>
  </si>
  <si>
    <t xml:space="preserve">Spv Marketing</t>
  </si>
  <si>
    <t xml:space="preserve">3515070810980003</t>
  </si>
  <si>
    <t xml:space="preserve">Perum Gading Fajar III Blok D3 14, RT/RW 040/010, Sepande, Candi, Sidoarjo</t>
  </si>
  <si>
    <t xml:space="preserve">ARIS NUR EFFENDY</t>
  </si>
  <si>
    <t xml:space="preserve">0003175239958</t>
  </si>
  <si>
    <t xml:space="preserve">Staff Gudang</t>
  </si>
  <si>
    <t xml:space="preserve">3314111606020002</t>
  </si>
  <si>
    <t xml:space="preserve">Mungkung, RT/RW 001/010, Jetak, Sidoharjo, Sragen</t>
  </si>
  <si>
    <t xml:space="preserve">ERIK CHOSIIN</t>
  </si>
  <si>
    <t xml:space="preserve">0002047446876</t>
  </si>
  <si>
    <t xml:space="preserve">SPV Marketing</t>
  </si>
  <si>
    <t xml:space="preserve">3578092105770001</t>
  </si>
  <si>
    <t xml:space="preserve">Nginden 6-F/9A, RT/RW 008/005, Nginden Jangkungan, Sukolilo, Surabaya</t>
  </si>
  <si>
    <t xml:space="preserve">HENDRA TIRTA SAPUTRA</t>
  </si>
  <si>
    <t xml:space="preserve">PT KOSMETIKA CANTIK INDONESIA (STO)</t>
  </si>
  <si>
    <t xml:space="preserve">0001703264681</t>
  </si>
  <si>
    <t xml:space="preserve">Sales Taking Order</t>
  </si>
  <si>
    <t xml:space="preserve">3527031102900006</t>
  </si>
  <si>
    <t xml:space="preserve">Jl. Semeru 35, RT/RW 005/003, Rongtengah, Sampang, Sampang</t>
  </si>
  <si>
    <t xml:space="preserve">RONNY SEPTIAN PRAKASA.C.EFENDI</t>
  </si>
  <si>
    <t xml:space="preserve">0001542486723</t>
  </si>
  <si>
    <t xml:space="preserve">3578062201940009</t>
  </si>
  <si>
    <t xml:space="preserve">Asemrowo Baru No.28, RT/RW 001/003, Asemrowo, Asemrowo, Surabaya</t>
  </si>
  <si>
    <t xml:space="preserve">ABDUL GEFFAR</t>
  </si>
  <si>
    <t xml:space="preserve">20031300706</t>
  </si>
  <si>
    <t xml:space="preserve">0000765631372</t>
  </si>
  <si>
    <t xml:space="preserve">3526110107970261</t>
  </si>
  <si>
    <t xml:space="preserve">Dsn. Naro'an Tengah, RT/RW 000/000, Tunjung, Burneh, Bangkalan</t>
  </si>
  <si>
    <t xml:space="preserve">BAYU PUTRA RAMADHAN</t>
  </si>
  <si>
    <t xml:space="preserve">0002158640054</t>
  </si>
  <si>
    <t xml:space="preserve">3515180403930003</t>
  </si>
  <si>
    <t xml:space="preserve">Jl. Suko Mandiri II Suko Legok, RT/RW 023/004, Suko, Sukodono, Sidoarjo</t>
  </si>
  <si>
    <t xml:space="preserve">SAIKHU ROHMAN</t>
  </si>
  <si>
    <t xml:space="preserve">0002498268363</t>
  </si>
  <si>
    <t xml:space="preserve">3507152110890001</t>
  </si>
  <si>
    <t xml:space="preserve">JL. L.A. Sucipto XXI, RT/RW 006/001, Blimbing, Blimbing, Malang</t>
  </si>
  <si>
    <t xml:space="preserve">ALAN FERDINAN</t>
  </si>
  <si>
    <t xml:space="preserve">23030896402</t>
  </si>
  <si>
    <t xml:space="preserve">0001543238651</t>
  </si>
  <si>
    <t xml:space="preserve">Staff IT</t>
  </si>
  <si>
    <t xml:space="preserve">3524173003030001</t>
  </si>
  <si>
    <t xml:space="preserve">Plumpang, RT/RW 004/002, Plumpang, Sukodadi, Lamongan</t>
  </si>
  <si>
    <t xml:space="preserve">RIZKI SURYA ADJI WICAKSONO</t>
  </si>
  <si>
    <t xml:space="preserve">27007112282</t>
  </si>
  <si>
    <t xml:space="preserve">0000737563498</t>
  </si>
  <si>
    <t xml:space="preserve">3519071403010002</t>
  </si>
  <si>
    <t xml:space="preserve">Kelurahan Wungu, RT/RW 008/001, Wungu, Wungu, Madiun</t>
  </si>
  <si>
    <t xml:space="preserve">MUHAMMAD 'ABDUH MUSHTHOFA</t>
  </si>
  <si>
    <t xml:space="preserve">29085186010</t>
  </si>
  <si>
    <t xml:space="preserve">0001815364001</t>
  </si>
  <si>
    <t xml:space="preserve">Recruitment Officer</t>
  </si>
  <si>
    <t xml:space="preserve">3507070809940002</t>
  </si>
  <si>
    <t xml:space="preserve">Belung, RT/RW 007/004, Belung, Poncokusumo, Malang</t>
  </si>
  <si>
    <t xml:space="preserve">SURYA FIRDAUS ARYANANDA</t>
  </si>
  <si>
    <t xml:space="preserve">28018899981</t>
  </si>
  <si>
    <t xml:space="preserve">0001227353308</t>
  </si>
  <si>
    <t xml:space="preserve">3515152506000006</t>
  </si>
  <si>
    <t xml:space="preserve">Bicak, RT/RW 001/001, Bicak, Trowulan, Mojokerto</t>
  </si>
  <si>
    <t xml:space="preserve">MUHAMMAD MUKHLISIN</t>
  </si>
  <si>
    <t xml:space="preserve">3525160106000002</t>
  </si>
  <si>
    <t xml:space="preserve">Gubernur Suryo V-E/46, RT/RW 003/002, Tlogopojok, Gresik, Gresik</t>
  </si>
  <si>
    <t xml:space="preserve">HADI PURNOMO</t>
  </si>
  <si>
    <t xml:space="preserve">20089476083</t>
  </si>
  <si>
    <t xml:space="preserve">3524253004950001</t>
  </si>
  <si>
    <t xml:space="preserve">Dalit, RT/RW 003/001, Tukkerto, Deket, Lamongan</t>
  </si>
  <si>
    <t xml:space="preserve">SERLINDA AGUSTIN</t>
  </si>
  <si>
    <t xml:space="preserve">0000748320153</t>
  </si>
  <si>
    <t xml:space="preserve">3522134908000003</t>
  </si>
  <si>
    <t xml:space="preserve">Dusun Krajan, RT/RW 004/002, Alaskandang, Besuk, Probolinggo</t>
  </si>
  <si>
    <t xml:space="preserve">MUCHAMAD FAUZAN RIDWAN</t>
  </si>
  <si>
    <t xml:space="preserve">0001869393025</t>
  </si>
  <si>
    <t xml:space="preserve">3507192105030003</t>
  </si>
  <si>
    <t xml:space="preserve">JL Embong Turi, RT/RW 002/003, Genengan, Pakisaji, Malang</t>
  </si>
  <si>
    <t xml:space="preserve">TRI AGUS PUJIANTO</t>
  </si>
  <si>
    <t xml:space="preserve">0002017316968</t>
  </si>
  <si>
    <t xml:space="preserve">3523131110950004</t>
  </si>
  <si>
    <t xml:space="preserve">Dsn Banjarsari, RT/RW 004/004, Tegalbang, Palang, Tuban</t>
  </si>
  <si>
    <t xml:space="preserve">RUNINTA SARI</t>
  </si>
  <si>
    <t xml:space="preserve">20028731361</t>
  </si>
  <si>
    <t xml:space="preserve">0001703612507</t>
  </si>
  <si>
    <t xml:space="preserve">Admin Quality Control</t>
  </si>
  <si>
    <t xml:space="preserve">3525164905000001</t>
  </si>
  <si>
    <t xml:space="preserve">Amak Khasim Gg. 4, RT/RW 001/003, Sidorukun, Gresik, Gresik</t>
  </si>
  <si>
    <t xml:space="preserve">M.MIFTAHUL JANNAH</t>
  </si>
  <si>
    <t xml:space="preserve">29018851131</t>
  </si>
  <si>
    <t xml:space="preserve">3514162402030021</t>
  </si>
  <si>
    <t xml:space="preserve">Krajan I, RT/RW 002/001, Pukul, Kraton, Pasuruan</t>
  </si>
  <si>
    <t xml:space="preserve">LINTA BAITI FEBRIYANI</t>
  </si>
  <si>
    <t xml:space="preserve">0002289168303</t>
  </si>
  <si>
    <t xml:space="preserve">1871026302040001</t>
  </si>
  <si>
    <t xml:space="preserve">Dusun Kampung Baru, RT/RW 002/006, Sidosari, Natar, Lampung Selatan</t>
  </si>
  <si>
    <t xml:space="preserve">GILANG WAHYU KUSWANTO</t>
  </si>
  <si>
    <t xml:space="preserve">21054444279</t>
  </si>
  <si>
    <t xml:space="preserve">3578060311950002</t>
  </si>
  <si>
    <t xml:space="preserve">Kupang Krajan Lor 2/22, RT/RW 009/003, Kupang Krajan, Sawahan, Surabaya</t>
  </si>
  <si>
    <t xml:space="preserve">WIDI OKI NARNO</t>
  </si>
  <si>
    <t xml:space="preserve">29053011019</t>
  </si>
  <si>
    <t xml:space="preserve">3507312611850002</t>
  </si>
  <si>
    <t xml:space="preserve">Simorejo Sari A-7/21, RT/RW 006/006, Simomulyo Baru, Sukomanunggal, Surabaya</t>
  </si>
  <si>
    <t xml:space="preserve">FERI TRI ANGGARA</t>
  </si>
  <si>
    <t xml:space="preserve">23086769931</t>
  </si>
  <si>
    <t xml:space="preserve">3578180507980001</t>
  </si>
  <si>
    <t xml:space="preserve">LIZA OCTAVIANI</t>
  </si>
  <si>
    <t xml:space="preserve">7372045010010008</t>
  </si>
  <si>
    <t xml:space="preserve">Pare Pare</t>
  </si>
  <si>
    <t xml:space="preserve">Jl. Mesjid Jabal Nur No. 48, RT/RW 001/005, Tiro Sompe, Bacukiki Barat, Pare-pare</t>
  </si>
  <si>
    <t xml:space="preserve">RINDI HERIAWATI</t>
  </si>
  <si>
    <t xml:space="preserve">20000260294</t>
  </si>
  <si>
    <t xml:space="preserve">0001189030015</t>
  </si>
  <si>
    <t xml:space="preserve">7402115209930001</t>
  </si>
  <si>
    <t xml:space="preserve">Soropia</t>
  </si>
  <si>
    <t xml:space="preserve">Desa Waworaha, RT/RW 003/003, Waworaha, Soropia, Konawe</t>
  </si>
  <si>
    <t xml:space="preserve">FITRIYANTI R. TOTAMU</t>
  </si>
  <si>
    <t xml:space="preserve">27042445056</t>
  </si>
  <si>
    <t xml:space="preserve">0002923612626</t>
  </si>
  <si>
    <t xml:space="preserve">7501095801970001</t>
  </si>
  <si>
    <t xml:space="preserve">Kabupaten Gorontalo</t>
  </si>
  <si>
    <t xml:space="preserve">Dusun Yilantala, RT/RW 000/000, Motilango, Tibawa, Gorontalo</t>
  </si>
  <si>
    <t xml:space="preserve">NIDA ANNAFIA</t>
  </si>
  <si>
    <t xml:space="preserve">21027279543</t>
  </si>
  <si>
    <t xml:space="preserve">0000227959615</t>
  </si>
  <si>
    <t xml:space="preserve">Banda Aceh</t>
  </si>
  <si>
    <t xml:space="preserve">1171045712970002</t>
  </si>
  <si>
    <t xml:space="preserve">Rukun Asal II KP Pineung, RT/RW 000/000, Pineung, Syiah Kuala, Banda Aceh</t>
  </si>
  <si>
    <t xml:space="preserve">WIDYA MANSYUR</t>
  </si>
  <si>
    <t xml:space="preserve">20068053855</t>
  </si>
  <si>
    <t xml:space="preserve">7371075002020001</t>
  </si>
  <si>
    <t xml:space="preserve">JL.Korban 40.000 Jiwa, RT/RW 005/003, Rappojawa, Tallo, Makassar</t>
  </si>
  <si>
    <t xml:space="preserve">NI KOMANG TRIGUSTINA</t>
  </si>
  <si>
    <t xml:space="preserve">20035182105</t>
  </si>
  <si>
    <t xml:space="preserve">0002412444609</t>
  </si>
  <si>
    <t xml:space="preserve">5101045608050002</t>
  </si>
  <si>
    <t xml:space="preserve">Melaya</t>
  </si>
  <si>
    <t xml:space="preserve">Banjar Melaya Tengah Kaja, RT/RW 000/000, Melaya, Melaya, Jembrana</t>
  </si>
  <si>
    <t xml:space="preserve">PUTRI PANGESTI SUPARNO</t>
  </si>
  <si>
    <t xml:space="preserve">0002429170299</t>
  </si>
  <si>
    <t xml:space="preserve">3314104712050003</t>
  </si>
  <si>
    <t xml:space="preserve">Setren, RT/RW 055/008, Sragen Wetan, Sragen, Sragen</t>
  </si>
  <si>
    <t xml:space="preserve">REVA DWI MAHARANI</t>
  </si>
  <si>
    <t xml:space="preserve">26055181723</t>
  </si>
  <si>
    <t xml:space="preserve">0001837983521</t>
  </si>
  <si>
    <t xml:space="preserve">1471084407050082</t>
  </si>
  <si>
    <t xml:space="preserve">Rengat</t>
  </si>
  <si>
    <t xml:space="preserve">Jl. Suka Mulia Perum DPG Blok D 04, RT/RW 003/001, Tuahmadani, Tuahmadani, Pekanbaru</t>
  </si>
  <si>
    <t xml:space="preserve">LUTFATUL AMALIA</t>
  </si>
  <si>
    <t xml:space="preserve">3319046302990003</t>
  </si>
  <si>
    <t xml:space="preserve">Undaan Lor, RT/RW 004/003, Undaan Lor, Undaan, Kudus</t>
  </si>
  <si>
    <t xml:space="preserve">6285641755998</t>
  </si>
  <si>
    <t xml:space="preserve">HASNANDA WULANDARI</t>
  </si>
  <si>
    <t xml:space="preserve">0001932818973</t>
  </si>
  <si>
    <t xml:space="preserve">7371134610010004</t>
  </si>
  <si>
    <t xml:space="preserve">JL.Rappocini Raya Belakang Pasar, RT/RW 001/001, Rappocini, Rappocini, Makassar</t>
  </si>
  <si>
    <t xml:space="preserve">LYDIA PUTRI VANY CLAUDIA PURBA</t>
  </si>
  <si>
    <t xml:space="preserve">1208114101010002</t>
  </si>
  <si>
    <t xml:space="preserve">Jl. Pelajar No. 25, RT/RW 000/000, Teladan Timur, Medan Kota, Medan</t>
  </si>
  <si>
    <t xml:space="preserve">M.ARIZKI ICHWAN SANTOSO</t>
  </si>
  <si>
    <t xml:space="preserve">28008368133</t>
  </si>
  <si>
    <t xml:space="preserve">Muara Bungo</t>
  </si>
  <si>
    <t xml:space="preserve">1509040302010002</t>
  </si>
  <si>
    <t xml:space="preserve">Rimbo Bujang</t>
  </si>
  <si>
    <t xml:space="preserve">Jl. Jujuhan, RT/RW 016/007, Rimbo Mulyo, Rimbo Bujang, Kab. Tebo</t>
  </si>
  <si>
    <t xml:space="preserve">AZAHRA PRASANTI</t>
  </si>
  <si>
    <t xml:space="preserve">0000171953673</t>
  </si>
  <si>
    <t xml:space="preserve">3374064712060004</t>
  </si>
  <si>
    <t xml:space="preserve">Jl. Gayamsari IV, RT/RW 006/011, Gemah, Pedurungan, Semarang</t>
  </si>
  <si>
    <t xml:space="preserve">EFILIA</t>
  </si>
  <si>
    <t xml:space="preserve">24004612979</t>
  </si>
  <si>
    <t xml:space="preserve">0000784916662</t>
  </si>
  <si>
    <t xml:space="preserve">3573016707990001</t>
  </si>
  <si>
    <t xml:space="preserve">Jl. Kresna No.41, RT/RW 001/001, Polehan, Blimbing, Malang</t>
  </si>
  <si>
    <t xml:space="preserve">MADE CANDY DARMAWATI</t>
  </si>
  <si>
    <t xml:space="preserve">0001902870584</t>
  </si>
  <si>
    <t xml:space="preserve">5201136906070001</t>
  </si>
  <si>
    <t xml:space="preserve">Gubug Bali</t>
  </si>
  <si>
    <t xml:space="preserve">Dusun Gubug Bali, RT/RW 000/000, Jembatan Gantung, Lembar, Lombok Barat</t>
  </si>
  <si>
    <t xml:space="preserve">MAI FATMAWATI</t>
  </si>
  <si>
    <t xml:space="preserve">3319084505980010</t>
  </si>
  <si>
    <t xml:space="preserve">Kudus, RT/RW 006/004, Besito, Gebog, Kudus</t>
  </si>
  <si>
    <t xml:space="preserve">ANITHA PUTRI DEWI</t>
  </si>
  <si>
    <t xml:space="preserve">0003237016318</t>
  </si>
  <si>
    <t xml:space="preserve">3507034711040002</t>
  </si>
  <si>
    <t xml:space="preserve">Dusun Krajan, RT/RW 002/001, Bandungrejo, Bantur, Malang</t>
  </si>
  <si>
    <t xml:space="preserve">ANNISA SAFITRI SALSABILA</t>
  </si>
  <si>
    <t xml:space="preserve">22046354013</t>
  </si>
  <si>
    <t xml:space="preserve">Community Development Staff</t>
  </si>
  <si>
    <t xml:space="preserve">3578194712020001</t>
  </si>
  <si>
    <t xml:space="preserve">Wisma Tengger 22/26, RT/RW 004/006, Kandangan, Benowo, Surabaya</t>
  </si>
  <si>
    <t xml:space="preserve">RIKO FERDI PRADANA</t>
  </si>
  <si>
    <t xml:space="preserve">3516162504020001</t>
  </si>
  <si>
    <t xml:space="preserve">Sawo, RT/RW 006/002, Sawo, Jetis, Mojokerto</t>
  </si>
  <si>
    <t xml:space="preserve">BAGUS ADITYA PERDANA PUTRA</t>
  </si>
  <si>
    <t xml:space="preserve">3516161301950001</t>
  </si>
  <si>
    <t xml:space="preserve">Sawo, RT/RW 003/001, Sawo, Jetis, Mojokerto</t>
  </si>
  <si>
    <t xml:space="preserve">ALVAN PUTRA RAMADIANSYAH</t>
  </si>
  <si>
    <t xml:space="preserve">24099219164</t>
  </si>
  <si>
    <t xml:space="preserve">3516161108050001</t>
  </si>
  <si>
    <t xml:space="preserve">MUCHAMAD AKSEL NUGRAHA NAZALENDRA</t>
  </si>
  <si>
    <t xml:space="preserve">3516160411050003</t>
  </si>
  <si>
    <t xml:space="preserve">Semanding, RT/RW 016/004, Sawo, Jetis, Mojokerto</t>
  </si>
  <si>
    <t xml:space="preserve">KEVIN PUTRA ARDIANSYAH</t>
  </si>
  <si>
    <t xml:space="preserve">3516163008070004</t>
  </si>
  <si>
    <t xml:space="preserve">FIRMAN ARY WIHARJO</t>
  </si>
  <si>
    <t xml:space="preserve">21011801512</t>
  </si>
  <si>
    <t xml:space="preserve">3516151810970002</t>
  </si>
  <si>
    <t xml:space="preserve">Dusun Rembu Kidul, RT/RW 002/001, Japanan, Kemlagi, Mojokerto</t>
  </si>
  <si>
    <t xml:space="preserve">NANANG DWI PRASETYAWAN</t>
  </si>
  <si>
    <t xml:space="preserve">3516162212930001</t>
  </si>
  <si>
    <t xml:space="preserve">DODIK NUR MANDA PUTRA</t>
  </si>
  <si>
    <t xml:space="preserve">3516150109030003</t>
  </si>
  <si>
    <t xml:space="preserve">Dsn. Semampir Kidul, RT/RW 001/008, Mojokumpul, Kemlagi, Mojokerto</t>
  </si>
  <si>
    <t xml:space="preserve">CHOIRUNNISA' NUR FITRIYAH</t>
  </si>
  <si>
    <t xml:space="preserve">0001043865639</t>
  </si>
  <si>
    <t xml:space="preserve">3517016912990005</t>
  </si>
  <si>
    <t xml:space="preserve">Dsn Tempuran, RT/RW 004/002, Sukorejo, Perak, Jombang</t>
  </si>
  <si>
    <t xml:space="preserve">TOTI PUTRA PRATAMA</t>
  </si>
  <si>
    <t xml:space="preserve">28017847214</t>
  </si>
  <si>
    <t xml:space="preserve">3578121310060001</t>
  </si>
  <si>
    <t xml:space="preserve">Pesapen Barat 11-A, RT/RW 011/012, Tanjung Perak, Pabean Cantian, Surabaya</t>
  </si>
  <si>
    <t xml:space="preserve">MUHAMMAD DWI SETIAWAN</t>
  </si>
  <si>
    <t xml:space="preserve">24066271755</t>
  </si>
  <si>
    <t xml:space="preserve">3515010703060001</t>
  </si>
  <si>
    <t xml:space="preserve">Blijo, RT/RW 007/001, Sebani, Tarik, Sidoarjo</t>
  </si>
  <si>
    <t xml:space="preserve">ALMY PRADANI</t>
  </si>
  <si>
    <t xml:space="preserve">23006313554</t>
  </si>
  <si>
    <t xml:space="preserve">0001298441698</t>
  </si>
  <si>
    <t xml:space="preserve">3507212611960001</t>
  </si>
  <si>
    <t xml:space="preserve">Jl. Cempaka Kebonsari, RT/RW 024/002, Tumpang, Tumpang, Malang</t>
  </si>
  <si>
    <t xml:space="preserve">JINGGA MELIANA</t>
  </si>
  <si>
    <t xml:space="preserve">29003112944</t>
  </si>
  <si>
    <t xml:space="preserve">3523125504040004</t>
  </si>
  <si>
    <t xml:space="preserve">Dsn Gedangan, RT/RW 006/002, Jenggolo, Jenu, Tuban</t>
  </si>
  <si>
    <t xml:space="preserve">MOCH ALIF BAHARI</t>
  </si>
  <si>
    <t xml:space="preserve">0001046895827</t>
  </si>
  <si>
    <t xml:space="preserve">3523161705010002</t>
  </si>
  <si>
    <t xml:space="preserve">Latsari I, RT/RW 003/003, Latsari, Tuban, Tuban</t>
  </si>
  <si>
    <t xml:space="preserve">WILDHAM TANGGUH AJI</t>
  </si>
  <si>
    <t xml:space="preserve">0000723497782</t>
  </si>
  <si>
    <t xml:space="preserve">3515113005000003</t>
  </si>
  <si>
    <t xml:space="preserve">DWI WARDANI FEBRIYANTI</t>
  </si>
  <si>
    <t xml:space="preserve">0002996195725</t>
  </si>
  <si>
    <t xml:space="preserve">3515086202030002</t>
  </si>
  <si>
    <t xml:space="preserve">Dsn Salam, RT/RW 018/005, Suko, Sidoarjo, Sidoarjo</t>
  </si>
  <si>
    <t xml:space="preserve">ELLA YURISTYA</t>
  </si>
  <si>
    <t xml:space="preserve">0000682791175</t>
  </si>
  <si>
    <t xml:space="preserve">3507327008030003</t>
  </si>
  <si>
    <t xml:space="preserve">Sumberkerto, RT/RW 002/007, Plaosan, Wonosari, Malang</t>
  </si>
  <si>
    <t xml:space="preserve">MOCHAMMAD FADHLAH AZIZI</t>
  </si>
  <si>
    <t xml:space="preserve">0002155123787</t>
  </si>
  <si>
    <t xml:space="preserve">3576012502030004</t>
  </si>
  <si>
    <t xml:space="preserve">Kedungkwali IX Tengah/11, RT/RW 003/002, Miji, Kranggan, Mojokerto</t>
  </si>
  <si>
    <t xml:space="preserve">MUKLAS HARDINATA</t>
  </si>
  <si>
    <t xml:space="preserve">0002420022431</t>
  </si>
  <si>
    <t xml:space="preserve">3516102004030002</t>
  </si>
  <si>
    <t xml:space="preserve">Dsn. Gusten, RT/RW 003/005, Ngastemi, Bangsal, Mojokerto</t>
  </si>
  <si>
    <t xml:space="preserve">SYIFA' ILHAM MUFIQI</t>
  </si>
  <si>
    <t xml:space="preserve">0001162054293</t>
  </si>
  <si>
    <t xml:space="preserve">3515150407030004</t>
  </si>
  <si>
    <t xml:space="preserve">Sidopurno, RT/RW 004/001, Sidokepung, Buduran, Sidoarjo</t>
  </si>
  <si>
    <t xml:space="preserve">DEDIK TRI WAHYUDI</t>
  </si>
  <si>
    <t xml:space="preserve">0002469927756</t>
  </si>
  <si>
    <t xml:space="preserve">3507260701830002</t>
  </si>
  <si>
    <t xml:space="preserve">Dusun Sebaluh, RT/RW 020/004, Pandesari, Pujon, Malang</t>
  </si>
  <si>
    <t xml:space="preserve">AUNUR ROSIDAH</t>
  </si>
  <si>
    <t xml:space="preserve">0002201160497</t>
  </si>
  <si>
    <t xml:space="preserve">3516085406960001</t>
  </si>
  <si>
    <t xml:space="preserve">Dsn Pekuwon, RT/RW 006/003, Pekuwon, Bangsal, Mojokerto</t>
  </si>
  <si>
    <t xml:space="preserve">HALIM</t>
  </si>
  <si>
    <t xml:space="preserve">3507082601970004</t>
  </si>
  <si>
    <t xml:space="preserve">Dsn Sumbersuko, RT/RW 011/003, Patokpicis, Wajak, Malang</t>
  </si>
  <si>
    <t xml:space="preserve">FIDYARI FARIED ARDIANSYAH</t>
  </si>
  <si>
    <t xml:space="preserve">3516042601960001</t>
  </si>
  <si>
    <t xml:space="preserve">Dsn.Ketapanrame RT 17 / RW 7 Ketapanrame Trawas Mojokerto</t>
  </si>
  <si>
    <t xml:space="preserve">AGUNG PANDOWO</t>
  </si>
  <si>
    <t xml:space="preserve">0000784519997</t>
  </si>
  <si>
    <t xml:space="preserve">3573020507940002</t>
  </si>
  <si>
    <t xml:space="preserve">Jl. Hasanudin Belakang No.34 D, RT/RW 002/001, Samaan, Klojen, Malang</t>
  </si>
  <si>
    <t xml:space="preserve">MOHAMMAD KHANIF</t>
  </si>
  <si>
    <t xml:space="preserve">0002811436479</t>
  </si>
  <si>
    <t xml:space="preserve">3524272205990001</t>
  </si>
  <si>
    <t xml:space="preserve">Kemlaten, RT/RW 001/003, Kedungkumpul, Sarirejo, Lamongan</t>
  </si>
  <si>
    <t xml:space="preserve">KAMALUDIN AL FARISI</t>
  </si>
  <si>
    <t xml:space="preserve">0002730965916</t>
  </si>
  <si>
    <t xml:space="preserve">3524210603030002</t>
  </si>
  <si>
    <t xml:space="preserve">Kemlagigede, RT/RW 009/002, Kemlagigede, Turi, Lamongan</t>
  </si>
  <si>
    <t xml:space="preserve">KHOIRUL ZAIN IBROR</t>
  </si>
  <si>
    <t xml:space="preserve">22002710641</t>
  </si>
  <si>
    <t xml:space="preserve">3522111706970002</t>
  </si>
  <si>
    <t xml:space="preserve">Simorejo Sari A-6/8, RT/RW 005/006, Simomulyo Baru, Sukomanunggal, Surabaya</t>
  </si>
  <si>
    <t xml:space="preserve">ITA ROSIANA</t>
  </si>
  <si>
    <t xml:space="preserve">29093014042</t>
  </si>
  <si>
    <t xml:space="preserve">3578264609890001</t>
  </si>
  <si>
    <t xml:space="preserve">Manyar Tegal 7 Sby, RT/RW 002/012, Manyar Sabrangan, Mulyorejo, Kota Surabaya</t>
  </si>
  <si>
    <t xml:space="preserve">GALUH HERMAWAN</t>
  </si>
  <si>
    <t xml:space="preserve">0000733274897</t>
  </si>
  <si>
    <t xml:space="preserve">3518112302010010</t>
  </si>
  <si>
    <t xml:space="preserve">Barengan, RT/RW 001/003, Kaloran, Ngronggot, Nganjuk</t>
  </si>
  <si>
    <t xml:space="preserve">MUHAMMAD AFGA FIRDAUS RAMADHAN</t>
  </si>
  <si>
    <t xml:space="preserve">0002156494768</t>
  </si>
  <si>
    <t xml:space="preserve">3576011711010001</t>
  </si>
  <si>
    <t xml:space="preserve">Lingk. Murukan, RT/RW 021/005, Surodinawan, Prajurit Kulon, Mojokerto</t>
  </si>
  <si>
    <t xml:space="preserve">MELINDA AGUSTIN</t>
  </si>
  <si>
    <t xml:space="preserve">25058225455</t>
  </si>
  <si>
    <t xml:space="preserve">0003335727025</t>
  </si>
  <si>
    <t xml:space="preserve">3507176001060002</t>
  </si>
  <si>
    <t xml:space="preserve">Jl. Rejosari, RT/RW 003/004, Jabung, Jabung, Malang</t>
  </si>
  <si>
    <t xml:space="preserve">ADITYA MARCHO ZHOLA</t>
  </si>
  <si>
    <t xml:space="preserve">0000726725902</t>
  </si>
  <si>
    <t xml:space="preserve">3516161903970001</t>
  </si>
  <si>
    <t xml:space="preserve">Jatikumpul, RT/RW 001/004, Mojokumpul, Kemlagi, Mojokerto</t>
  </si>
  <si>
    <t xml:space="preserve">AKHMAD KHASNI ASROFI KHOLILULLAH</t>
  </si>
  <si>
    <t xml:space="preserve">0001537601714</t>
  </si>
  <si>
    <t xml:space="preserve">3516150210020004</t>
  </si>
  <si>
    <t xml:space="preserve">AKHMAD NUR ARIFUDIN</t>
  </si>
  <si>
    <t xml:space="preserve">0003483101316</t>
  </si>
  <si>
    <t xml:space="preserve">3516162008040003</t>
  </si>
  <si>
    <t xml:space="preserve">Dusun Gamping, RT/RW 003/001, Mojorejo, Jetis, Mojokerto</t>
  </si>
  <si>
    <t xml:space="preserve">ALAN DWI DARMA SAPUTRA</t>
  </si>
  <si>
    <t xml:space="preserve">0000726692624</t>
  </si>
  <si>
    <t xml:space="preserve">3516151208030004</t>
  </si>
  <si>
    <t xml:space="preserve">Dsn. Sambigede, RT/RW 003/002, Mojokumpul, Kemlagi, Mojokerto</t>
  </si>
  <si>
    <t xml:space="preserve">ALFIN MIFTAHUL KHOIRI</t>
  </si>
  <si>
    <t xml:space="preserve">0003143758252</t>
  </si>
  <si>
    <t xml:space="preserve">3516171010000001</t>
  </si>
  <si>
    <t xml:space="preserve">Dsn. Garung, RT/RW 001/005, Bangeran, Dawar Blandong, Mojokerto</t>
  </si>
  <si>
    <t xml:space="preserve">BRAMASTA ANDRE WIJAYANTO</t>
  </si>
  <si>
    <t xml:space="preserve">0001369111015</t>
  </si>
  <si>
    <t xml:space="preserve">3516151002010004</t>
  </si>
  <si>
    <t xml:space="preserve">DENNY FIRMANSYAH PUTRA</t>
  </si>
  <si>
    <t xml:space="preserve">0003761551225</t>
  </si>
  <si>
    <t xml:space="preserve">3516152409020003</t>
  </si>
  <si>
    <t xml:space="preserve">DONI HENDRAWAN</t>
  </si>
  <si>
    <t xml:space="preserve">0003483105041</t>
  </si>
  <si>
    <t xml:space="preserve">3516161905030002</t>
  </si>
  <si>
    <t xml:space="preserve">Dsn Sawo, RT/RW 009/002, Sawo, Jetis, Mojokerto</t>
  </si>
  <si>
    <t xml:space="preserve">FIRMANSYAH TANUSYAH PUTRA</t>
  </si>
  <si>
    <t xml:space="preserve">0000098383228</t>
  </si>
  <si>
    <t xml:space="preserve">3576021410030001</t>
  </si>
  <si>
    <t xml:space="preserve">Dusun Kangkungan, RT/RW 012/003, Kemantren, Gedeg, Mojokerto</t>
  </si>
  <si>
    <t xml:space="preserve">M. MUHLISHIN</t>
  </si>
  <si>
    <t xml:space="preserve">0001876659017</t>
  </si>
  <si>
    <t xml:space="preserve">3516150404870003</t>
  </si>
  <si>
    <t xml:space="preserve">Dsn. Kepuhsawo, RT/RW 004/003, Mojorejo, Jetis, Mojokerto</t>
  </si>
  <si>
    <t xml:space="preserve">MOCHAMMAD HAJAR ALVIN ARDIANSYAH</t>
  </si>
  <si>
    <t xml:space="preserve">0003220562632</t>
  </si>
  <si>
    <t xml:space="preserve">3516160606030008</t>
  </si>
  <si>
    <t xml:space="preserve">Dusun Jeruk Macan, RT/RW 015/003, Sawo, Jetis, Mojokerto</t>
  </si>
  <si>
    <t xml:space="preserve">MOHAMMAD DIMAS BAYU ARYUDHA</t>
  </si>
  <si>
    <t xml:space="preserve">0000726414849</t>
  </si>
  <si>
    <t xml:space="preserve">3516150806030003</t>
  </si>
  <si>
    <t xml:space="preserve">Dsn. Semampir Lor, RT/RW 002/004, Mojokumpul, Kemlagi, Mojokerto</t>
  </si>
  <si>
    <t xml:space="preserve">MOHAMMAD WAHYU HIDAYAT</t>
  </si>
  <si>
    <t xml:space="preserve">3516151303040001</t>
  </si>
  <si>
    <t xml:space="preserve">Dusun Semampir Lor, RT/RW 003/005, Mojokumpul, Kemlagi, Mojokerto</t>
  </si>
  <si>
    <t xml:space="preserve">REZA YUSUF PRADANA</t>
  </si>
  <si>
    <t xml:space="preserve">0003068121104</t>
  </si>
  <si>
    <t xml:space="preserve">3516160105000001</t>
  </si>
  <si>
    <t xml:space="preserve">Pantesrejo, RT/RW 001/004, Mojorejo, Jetis, Mojokerto</t>
  </si>
  <si>
    <t xml:space="preserve">RISKY DODI SETYAWAN</t>
  </si>
  <si>
    <t xml:space="preserve">0000726824709</t>
  </si>
  <si>
    <t xml:space="preserve">3516162502010002</t>
  </si>
  <si>
    <t xml:space="preserve">RISMA KALA</t>
  </si>
  <si>
    <t xml:space="preserve">0003220563486</t>
  </si>
  <si>
    <t xml:space="preserve">3516161004040001</t>
  </si>
  <si>
    <t xml:space="preserve">Dsn. Jolotundo, RT/RW 003/007, Jolotundo, Jetis, Mojokerto</t>
  </si>
  <si>
    <t xml:space="preserve">SATRIO BUDI SANTOSO</t>
  </si>
  <si>
    <t xml:space="preserve">0000726750358</t>
  </si>
  <si>
    <t xml:space="preserve">3516162403030003</t>
  </si>
  <si>
    <t xml:space="preserve">SYAM GALANG YOGIE SUGGESTIE</t>
  </si>
  <si>
    <t xml:space="preserve">0000727876203</t>
  </si>
  <si>
    <t xml:space="preserve">3516162703920004</t>
  </si>
  <si>
    <t xml:space="preserve">WAWAN DIMAS AFRIANO</t>
  </si>
  <si>
    <t xml:space="preserve">0000755278108</t>
  </si>
  <si>
    <t xml:space="preserve">3524112004990001</t>
  </si>
  <si>
    <t xml:space="preserve">Montor, RT/RW 019/008, Pataan, Sambeng, Lamongan</t>
  </si>
  <si>
    <t xml:space="preserve">IQBAL AZARI ANWARDANI</t>
  </si>
  <si>
    <t xml:space="preserve">0002461276484</t>
  </si>
  <si>
    <t xml:space="preserve">3515182807040002</t>
  </si>
  <si>
    <t xml:space="preserve">Bungurasih Timur, RT/RW 007/001, Bungurasih, Waru, Sidoarjo</t>
  </si>
  <si>
    <t xml:space="preserve">SARONI</t>
  </si>
  <si>
    <t xml:space="preserve">0002221222757</t>
  </si>
  <si>
    <t xml:space="preserve">3578102012740002</t>
  </si>
  <si>
    <t xml:space="preserve">Tambaksari Selatan 3/7-A, RT/RW. 003/006, Tambaksari, Tambaksari, Surabaya</t>
  </si>
  <si>
    <t xml:space="preserve">HENDRIK SETIAWAN</t>
  </si>
  <si>
    <t xml:space="preserve">0001880255147</t>
  </si>
  <si>
    <t xml:space="preserve">3578172503800001</t>
  </si>
  <si>
    <t xml:space="preserve">Platuk Donomulyo I-F/26, RT/RW 016/010, Sidotopo Wetan, Kenjeran, Surabaya</t>
  </si>
  <si>
    <t xml:space="preserve">AINUL ROSI</t>
  </si>
  <si>
    <t xml:space="preserve">0000766922207</t>
  </si>
  <si>
    <t xml:space="preserve">3526130710040002</t>
  </si>
  <si>
    <t xml:space="preserve">Dsn. Dajah Lorong, RT/RW 006/002, Petrah, Tanah Merah, Bangkalan</t>
  </si>
  <si>
    <t xml:space="preserve">ENDANG SUPRIYADI</t>
  </si>
  <si>
    <t xml:space="preserve">22081324603</t>
  </si>
  <si>
    <t xml:space="preserve">3175062712750011</t>
  </si>
  <si>
    <t xml:space="preserve">Dsn. Jaddih Selatan III, RT/RW 000/000, Jaddih, Socah, Bangkalan</t>
  </si>
  <si>
    <t xml:space="preserve">UMAR FARUK</t>
  </si>
  <si>
    <t xml:space="preserve">0000766270337</t>
  </si>
  <si>
    <t xml:space="preserve">3526032110930001</t>
  </si>
  <si>
    <t xml:space="preserve">Dsn. Tengah, RT/RW 000/000, Poter, Tanah Merah, Bangkalan</t>
  </si>
  <si>
    <t xml:space="preserve">MOHAMAD NANDA LINTANG SAPUTRA</t>
  </si>
  <si>
    <t xml:space="preserve">3523150312060002</t>
  </si>
  <si>
    <t xml:space="preserve">Dsn Tlogonongko, RT/RW 005/002, Jadi, Semanding, Tuban</t>
  </si>
  <si>
    <t xml:space="preserve">IPUNG CAHYA NUGRAHA</t>
  </si>
  <si>
    <t xml:space="preserve">0002772371204</t>
  </si>
  <si>
    <t xml:space="preserve">3523191610010002</t>
  </si>
  <si>
    <t xml:space="preserve">Dsn Mejeruk, RT/RW 005/001, Tegalrejo, Widang, Tuban</t>
  </si>
  <si>
    <t xml:space="preserve">FERI PRANATA</t>
  </si>
  <si>
    <t xml:space="preserve">23036537400</t>
  </si>
  <si>
    <t xml:space="preserve">3523150302000002</t>
  </si>
  <si>
    <t xml:space="preserve">Dsn Ndukoh, RT/RW 003/007, Tegalagung, Semanding, Tuban</t>
  </si>
  <si>
    <t xml:space="preserve">ROKHMAD HIDAYATULLOH</t>
  </si>
  <si>
    <t xml:space="preserve">21065340777</t>
  </si>
  <si>
    <t xml:space="preserve">0000720509321</t>
  </si>
  <si>
    <t xml:space="preserve">3515010112950001</t>
  </si>
  <si>
    <t xml:space="preserve">MUHAMMAD ANDRIANSYAH</t>
  </si>
  <si>
    <t xml:space="preserve">0001706918207</t>
  </si>
  <si>
    <t xml:space="preserve">3515181909960002</t>
  </si>
  <si>
    <t xml:space="preserve">Jl. Kol Sugiono 62, RT/RW 002/001, Kepuhkiriman, Waru, Sidoarjo</t>
  </si>
  <si>
    <t xml:space="preserve">ANDY SETIA BUDI</t>
  </si>
  <si>
    <t xml:space="preserve">21017871617</t>
  </si>
  <si>
    <t xml:space="preserve">0002415090892</t>
  </si>
  <si>
    <t xml:space="preserve">3525111706010001</t>
  </si>
  <si>
    <t xml:space="preserve">Dusun Kambingan, RT/RW 001/002, Kambingan, Cerme, Gresik</t>
  </si>
  <si>
    <t xml:space="preserve">RAHMAT AFFANDI</t>
  </si>
  <si>
    <t xml:space="preserve">0000736835747</t>
  </si>
  <si>
    <t xml:space="preserve">3519150604030001</t>
  </si>
  <si>
    <t xml:space="preserve">Wonoasri, RT/RW 002/001, Wonoasri, Wonoasri, Madiun</t>
  </si>
  <si>
    <t xml:space="preserve">MIFTAKHUL HIDAYAT</t>
  </si>
  <si>
    <t xml:space="preserve">0002814787326</t>
  </si>
  <si>
    <t xml:space="preserve">3578152108930004</t>
  </si>
  <si>
    <t xml:space="preserve">Tambak Asri No. 100, RT/RW 006/006, Morokrembangan, Krembangan, Surabaya</t>
  </si>
  <si>
    <t xml:space="preserve">ALIF CAHYO WIDODO</t>
  </si>
  <si>
    <t xml:space="preserve">0002725742463</t>
  </si>
  <si>
    <t xml:space="preserve">3522111401010002</t>
  </si>
  <si>
    <t xml:space="preserve">Dusun Malebo, RT/RW 001/001, Simorejo, Kanor, Bojonegoro</t>
  </si>
  <si>
    <t xml:space="preserve">PRIA YUWONO</t>
  </si>
  <si>
    <t xml:space="preserve">0002999753493</t>
  </si>
  <si>
    <t xml:space="preserve">3578161401860001</t>
  </si>
  <si>
    <t xml:space="preserve">Bulak Jaya 5/25, RT/RW 005/015, Wonokusumo, Semampir, Surabaya</t>
  </si>
  <si>
    <t xml:space="preserve">MOH SHOLAHUDDIN ALIF</t>
  </si>
  <si>
    <t xml:space="preserve">0000758511213</t>
  </si>
  <si>
    <t xml:space="preserve">Repair Pallet</t>
  </si>
  <si>
    <t xml:space="preserve">3524252511000002</t>
  </si>
  <si>
    <t xml:space="preserve">Buden, RT/RW 001/003, Plosobuden, Deket, Lamongan</t>
  </si>
  <si>
    <t xml:space="preserve">DENDY YUDHA PRATAMA RAMADHAN</t>
  </si>
  <si>
    <t xml:space="preserve">27023670131</t>
  </si>
  <si>
    <t xml:space="preserve">3525042710050002</t>
  </si>
  <si>
    <t xml:space="preserve">MUHAMMAD NASRULLAH</t>
  </si>
  <si>
    <t xml:space="preserve">24057735801</t>
  </si>
  <si>
    <t xml:space="preserve">3525102612940004</t>
  </si>
  <si>
    <t xml:space="preserve">Jangkang Asri Dusun Kutisari, RT/RW 013/002, Leran, Manyar, Gresik</t>
  </si>
  <si>
    <t xml:space="preserve">AHMAD SYA'RONI</t>
  </si>
  <si>
    <t xml:space="preserve">28037399610</t>
  </si>
  <si>
    <t xml:space="preserve">0002073214765</t>
  </si>
  <si>
    <t xml:space="preserve">3524262311920002</t>
  </si>
  <si>
    <t xml:space="preserve">Nginjen, RT/RW 002/001, Pandanpancur, Deket, Lamongan</t>
  </si>
  <si>
    <t xml:space="preserve">FARID AZHARI</t>
  </si>
  <si>
    <t xml:space="preserve">0001047216521</t>
  </si>
  <si>
    <t xml:space="preserve">3524271903990001</t>
  </si>
  <si>
    <t xml:space="preserve">Sarirejo, RT/RW 003/002, Sarirejo, Sarirejo, Lamongan</t>
  </si>
  <si>
    <t xml:space="preserve">RICKO LESMANA PUTRA</t>
  </si>
  <si>
    <t xml:space="preserve">0002811338943</t>
  </si>
  <si>
    <t xml:space="preserve">3524170603000001</t>
  </si>
  <si>
    <t xml:space="preserve">Mlaten, RT/RW 001/001, Bandungsari, Sukodadi, Lamongan</t>
  </si>
  <si>
    <t xml:space="preserve">DEO FERDA BEKTI</t>
  </si>
  <si>
    <t xml:space="preserve">26080382853</t>
  </si>
  <si>
    <t xml:space="preserve">0002504224776</t>
  </si>
  <si>
    <t xml:space="preserve">1408060906020006</t>
  </si>
  <si>
    <t xml:space="preserve">Bono Tapung</t>
  </si>
  <si>
    <t xml:space="preserve">Winong, RT/RW 003/002, Wangunrejo, Turi, Lamongan</t>
  </si>
  <si>
    <t xml:space="preserve">NURALI</t>
  </si>
  <si>
    <t xml:space="preserve">3507131212850004</t>
  </si>
  <si>
    <t xml:space="preserve">JL Subur, RT/RW 005/005, Penarukan, Kepanjen, Malang</t>
  </si>
  <si>
    <t xml:space="preserve">RIZKA YOANANTA</t>
  </si>
  <si>
    <t xml:space="preserve">CV ELCO AUTO PARTS</t>
  </si>
  <si>
    <t xml:space="preserve">0003500409767</t>
  </si>
  <si>
    <t xml:space="preserve">Helper Gudang</t>
  </si>
  <si>
    <t xml:space="preserve">3509182511930001</t>
  </si>
  <si>
    <t xml:space="preserve">Perumahan Sambilawang Asri No.26, RT/RW 003/004, Sambilawang, Dlanggu, Mojokerto</t>
  </si>
  <si>
    <t xml:space="preserve">LINDA PUSPITASARI</t>
  </si>
  <si>
    <t xml:space="preserve">21017477217</t>
  </si>
  <si>
    <t xml:space="preserve">0002998380857</t>
  </si>
  <si>
    <t xml:space="preserve">3578134109860001</t>
  </si>
  <si>
    <t xml:space="preserve">Jl. Demak No.69, RT/RW 001/009, Tembok Dukuh, Bubutan, Surabaya</t>
  </si>
  <si>
    <t xml:space="preserve">M. AKBAR AL FARUQ</t>
  </si>
  <si>
    <t xml:space="preserve">25013451177</t>
  </si>
  <si>
    <t xml:space="preserve">0000758042278</t>
  </si>
  <si>
    <t xml:space="preserve">3524130903010002</t>
  </si>
  <si>
    <t xml:space="preserve">Badu, RT/RW 001/006, Wanar, Pucuk, Lamongan</t>
  </si>
  <si>
    <t xml:space="preserve">RUDI HARTONO</t>
  </si>
  <si>
    <t xml:space="preserve">BELUM JOIN</t>
  </si>
  <si>
    <t xml:space="preserve">24028080708</t>
  </si>
  <si>
    <t xml:space="preserve">0001863887545</t>
  </si>
  <si>
    <t xml:space="preserve">3523112203880001</t>
  </si>
  <si>
    <t xml:space="preserve">Dsn Menilo, RT/RW 003/002, Menilo, Soko, Tuban</t>
  </si>
  <si>
    <t xml:space="preserve">M. SALIM USRON</t>
  </si>
  <si>
    <t xml:space="preserve">3516052005930002</t>
  </si>
  <si>
    <t xml:space="preserve">Dsn. Kecapangan RT 03/ RW 4 Ngoro Mojokerto</t>
  </si>
  <si>
    <t xml:space="preserve">ADINDA PUTRI JUNAIDI</t>
  </si>
  <si>
    <t xml:space="preserve">0001318143846</t>
  </si>
  <si>
    <t xml:space="preserve">3579034401050002</t>
  </si>
  <si>
    <t xml:space="preserve">Sekar Putih Pendem, RT/RW 037/009, Pendem, Junrejo, Batu</t>
  </si>
  <si>
    <t xml:space="preserve">AGUS SUBIANTO</t>
  </si>
  <si>
    <t xml:space="preserve">0001605697593</t>
  </si>
  <si>
    <t xml:space="preserve">3578120108010002</t>
  </si>
  <si>
    <t xml:space="preserve">Dapuan Baru 31-B, RT/RW 000/000, Krembangan Utara, Pabean Cantian, Surabaya</t>
  </si>
  <si>
    <t xml:space="preserve">YAN AKBAR PRAMESWARA</t>
  </si>
  <si>
    <t xml:space="preserve">0002926371519</t>
  </si>
  <si>
    <t xml:space="preserve">3515022412940002</t>
  </si>
  <si>
    <t xml:space="preserve">Wonogiri, RT/RW 002/003, Wonoplintahan, Prambon, Sidoarjo</t>
  </si>
  <si>
    <t xml:space="preserve">FAISAL ABIDIN</t>
  </si>
  <si>
    <t xml:space="preserve">PHK</t>
  </si>
  <si>
    <t xml:space="preserve">0002809462779</t>
  </si>
  <si>
    <t xml:space="preserve">Checker Gudang</t>
  </si>
  <si>
    <t xml:space="preserve">3518021006930002</t>
  </si>
  <si>
    <t xml:space="preserve">Dusun Pandansili, RT/RW 003/003, Kweden, Ngetos, Nganjuk</t>
  </si>
  <si>
    <t xml:space="preserve">RYAN DWI PURDIYANTO</t>
  </si>
  <si>
    <t xml:space="preserve">0002620132626</t>
  </si>
  <si>
    <t xml:space="preserve">3578152708010002</t>
  </si>
  <si>
    <t xml:space="preserve">Dupak Bangunsari 6/4-B, RT/RW 008/004, Dupak, Krembangan, Surabaya</t>
  </si>
  <si>
    <t xml:space="preserve">MUHAMMAD RISVIAN HANAFI</t>
  </si>
  <si>
    <t xml:space="preserve">0000172020925</t>
  </si>
  <si>
    <t xml:space="preserve">Inbound RPC</t>
  </si>
  <si>
    <t xml:space="preserve">3525160903030004</t>
  </si>
  <si>
    <t xml:space="preserve">JL. KH. Kholil 12/02, RT/RW 001/002, Pekelingan, Gresik, Gresik</t>
  </si>
  <si>
    <t xml:space="preserve">MUSDALIFATUL ULA</t>
  </si>
  <si>
    <t xml:space="preserve">Admin Purchasing</t>
  </si>
  <si>
    <t xml:space="preserve">3525114110830001</t>
  </si>
  <si>
    <t xml:space="preserve">Dusun Kejambon, RT/RW 002/001, Ngabetan, Cerme, Gresik</t>
  </si>
  <si>
    <t xml:space="preserve">INDAH DWI MINAWATI</t>
  </si>
  <si>
    <t xml:space="preserve">0002924587675</t>
  </si>
  <si>
    <t xml:space="preserve">3515136905960009</t>
  </si>
  <si>
    <t xml:space="preserve">Jl. Mangunsari Bohar Timur, RT/RW 010/006, Bohar, Taman, Sidoarjo</t>
  </si>
  <si>
    <t xml:space="preserve">ILMIANA EVRILIANTI</t>
  </si>
  <si>
    <t xml:space="preserve">3515124904030001</t>
  </si>
  <si>
    <t xml:space="preserve">Dsn Seduri, RT/RW 003/001, Seduri, Balongbendo, Sidoarjo</t>
  </si>
  <si>
    <t xml:space="preserve">ALFA MANANTA RACHMAN</t>
  </si>
  <si>
    <t xml:space="preserve">PT TUNAS UNGGUL LESTARI (HARIAN LEPAS)</t>
  </si>
  <si>
    <t xml:space="preserve">3578091810950002</t>
  </si>
  <si>
    <t xml:space="preserve">Nginden Permata IV/5, RT/RW 013/004, Nginden Jangkungan, Sukolilo, Surabaya</t>
  </si>
  <si>
    <t xml:space="preserve">RIZKI ARISANDI SYAPUTRA</t>
  </si>
  <si>
    <t xml:space="preserve">23079252650</t>
  </si>
  <si>
    <t xml:space="preserve">3602140606060011</t>
  </si>
  <si>
    <t xml:space="preserve">Lebak</t>
  </si>
  <si>
    <t xml:space="preserve">Kp. Babakan Nambo Seeng, RT/RW 003/004, Cijoro Lebak, Rangkasbiyung, Lebak</t>
  </si>
  <si>
    <t xml:space="preserve">MUHAMAD RENALDI</t>
  </si>
  <si>
    <t xml:space="preserve">25023097173</t>
  </si>
  <si>
    <t xml:space="preserve">3578082612010001</t>
  </si>
  <si>
    <t xml:space="preserve">Kalibokor Kencana 4/24, RT/RW 002/005, Pucang Sewu, Gubeng, Surabaya</t>
  </si>
  <si>
    <t xml:space="preserve">ANGGA DWI SATYA NUGRAHA</t>
  </si>
  <si>
    <t xml:space="preserve">3578133107890001</t>
  </si>
  <si>
    <t xml:space="preserve">Jl. Purwodadi 1/23, RT/RW 010/004, Jepara, Bubutan, Surabaya</t>
  </si>
  <si>
    <t xml:space="preserve">DICKY IRAWAN</t>
  </si>
  <si>
    <t xml:space="preserve">3578082506950001</t>
  </si>
  <si>
    <t xml:space="preserve">Kupang Krajan Kidul 4/78, RT/RW 004/005, Kupang Krajan, Sawahan, Surabaya</t>
  </si>
  <si>
    <t xml:space="preserve">MOCH MARDIANSYAH</t>
  </si>
  <si>
    <t xml:space="preserve">20047234593</t>
  </si>
  <si>
    <t xml:space="preserve">3578090603010005</t>
  </si>
  <si>
    <t xml:space="preserve">Klampisngasem 1/29, RT/RW 002/002, Klampis Ngasem, Sukolilo, Surabaya</t>
  </si>
  <si>
    <t xml:space="preserve">ACHMAD ARZAK MUHAMMAD</t>
  </si>
  <si>
    <t xml:space="preserve">3578122410010002</t>
  </si>
  <si>
    <t xml:space="preserve">Kebalen Kulon 2/41-B, RT/RW 002/006, Krembangan Utara, Pabean Cantian, Surabaya</t>
  </si>
  <si>
    <t xml:space="preserve">FIRMAN KASIH SUDARSONO</t>
  </si>
  <si>
    <t xml:space="preserve">21060205731</t>
  </si>
  <si>
    <t xml:space="preserve">3578090312960002</t>
  </si>
  <si>
    <t xml:space="preserve">Nginden 3-C/52, Nginden Jangkungan, Sukolilo, Surabaya</t>
  </si>
  <si>
    <t xml:space="preserve">AGUNG PRASETYO HADI</t>
  </si>
  <si>
    <t xml:space="preserve">27058739337</t>
  </si>
  <si>
    <t xml:space="preserve">3578171003950001</t>
  </si>
  <si>
    <t xml:space="preserve">Pogot 3/14, RT/RW 007/005, Tanah Kali Kedinding, Kenjeran, Surabaya</t>
  </si>
  <si>
    <t xml:space="preserve">3578121302040001</t>
  </si>
  <si>
    <t xml:space="preserve">Dapuan Baru 4/22, RT/RW 005/005, Krembangan Utara, Pabean Cantian, Surabaya</t>
  </si>
  <si>
    <t xml:space="preserve">JEFRI KURNIAWAN</t>
  </si>
  <si>
    <t xml:space="preserve">DI CUT</t>
  </si>
  <si>
    <t xml:space="preserve">23047435062</t>
  </si>
  <si>
    <t xml:space="preserve">3578102301950002</t>
  </si>
  <si>
    <t xml:space="preserve">Tuwowo Rejo 3/38, RT/RW 004/004, Kapasmadya Baru, Tambaksari, Surabaya</t>
  </si>
  <si>
    <t xml:space="preserve">NAUFAL RIZKI HERDIANTO</t>
  </si>
  <si>
    <t xml:space="preserve">25060952302</t>
  </si>
  <si>
    <t xml:space="preserve">3578160303990005</t>
  </si>
  <si>
    <t xml:space="preserve">Perum Griya Masangan Asri Blok B1/16, RT/RW 023/008, Masanganwetan, Sukodono, Sidoarjo</t>
  </si>
  <si>
    <t xml:space="preserve">M. ROBI RAHMADI</t>
  </si>
  <si>
    <t xml:space="preserve">29049778862</t>
  </si>
  <si>
    <t xml:space="preserve">3506241609940001</t>
  </si>
  <si>
    <t xml:space="preserve">Dsn Gilang, RT/RW 001/001, Plosorejo, Gampengrejo, Kediri</t>
  </si>
  <si>
    <t xml:space="preserve">DEVINTA PUSPITA VERDIYANTI</t>
  </si>
  <si>
    <t xml:space="preserve">3507326504030003</t>
  </si>
  <si>
    <t xml:space="preserve">Dsn Kebobang, RT/RW 001/002, Kebobang, Wonosari, Malang</t>
  </si>
  <si>
    <t xml:space="preserve">ADE IRMA BASUKI</t>
  </si>
  <si>
    <t xml:space="preserve">24038146228</t>
  </si>
  <si>
    <t xml:space="preserve">3318133003980005</t>
  </si>
  <si>
    <t xml:space="preserve">Tunggun, RT/RW 001/001, Tunggunjagir, Mantup, Lamongan</t>
  </si>
  <si>
    <t xml:space="preserve">MARDIATINA</t>
  </si>
  <si>
    <t xml:space="preserve">0001255255143</t>
  </si>
  <si>
    <t xml:space="preserve">6308056304010003</t>
  </si>
  <si>
    <t xml:space="preserve">Jl. H Ali No. 65, RT/RW 005/000, Antasari, Amuntai Tengah, Hulu Sungai Utara</t>
  </si>
  <si>
    <t xml:space="preserve">MARINI CHATIN LIE</t>
  </si>
  <si>
    <t xml:space="preserve">21036462251</t>
  </si>
  <si>
    <t xml:space="preserve">5371035703000002</t>
  </si>
  <si>
    <t xml:space="preserve">RT/RW 036/013, Noelbaki, Kupang Tengah, Kab. Kupang</t>
  </si>
  <si>
    <t xml:space="preserve">DESAK MADE ARIVIRA PATBESIA</t>
  </si>
  <si>
    <t xml:space="preserve">22095023621</t>
  </si>
  <si>
    <t xml:space="preserve">5271035601070003</t>
  </si>
  <si>
    <t xml:space="preserve">Jl.Dewi Arimbi 16 KR. Jangu, RT/RW 006/148, Sapta Marga, Cakranegara, Mataram</t>
  </si>
  <si>
    <t xml:space="preserve">NADIA RASTI PUTRI WIBOWO</t>
  </si>
  <si>
    <t xml:space="preserve">3371026506060001</t>
  </si>
  <si>
    <t xml:space="preserve">Jl. Rama GG. Jatayu 27, RT/RW 008/001, Panjang, Magelang Tengah, Magelang</t>
  </si>
  <si>
    <t xml:space="preserve">MUHAMMAD JAINURI</t>
  </si>
  <si>
    <t xml:space="preserve">3516053112990022</t>
  </si>
  <si>
    <t xml:space="preserve">Jedong Wetan, RT/RW 025/003, Wotanmasjedong, Ngoro, Mojokerto</t>
  </si>
  <si>
    <t xml:space="preserve">AGUSTIA FITRI HERYANTI</t>
  </si>
  <si>
    <t xml:space="preserve">29076493246</t>
  </si>
  <si>
    <t xml:space="preserve">3471137008010001</t>
  </si>
  <si>
    <t xml:space="preserve">Semaki Gede UH I/30, RT/RW 014/005, Semaki, Umbulharjo, Yogyakarta</t>
  </si>
  <si>
    <t xml:space="preserve">ALWI DIANTO</t>
  </si>
  <si>
    <t xml:space="preserve">21006104142</t>
  </si>
  <si>
    <t xml:space="preserve">7371101906910011</t>
  </si>
  <si>
    <t xml:space="preserve">Teluk Bayur II, RT/RW 002/007, Maccini Sombala, Tamalate, Makassar</t>
  </si>
  <si>
    <t xml:space="preserve">HAFIZH ABY ANANDA HINDRATNO</t>
  </si>
  <si>
    <t xml:space="preserve">3578171708960010</t>
  </si>
  <si>
    <t xml:space="preserve">Jl. Wisma Menanggal III No.24, RT/RW 003/004, Menanggal, Gayungan, Surabaya</t>
  </si>
  <si>
    <t xml:space="preserve">AHMAT MUTTAQIN</t>
  </si>
  <si>
    <t xml:space="preserve">3506191903040002</t>
  </si>
  <si>
    <t xml:space="preserve">Dsn. Mororejo, RT/RW 002/004, Jerukgulung, Kandangan, Kediri</t>
  </si>
  <si>
    <t xml:space="preserve">ARGO CAHYONO</t>
  </si>
  <si>
    <t xml:space="preserve">3516061004010003</t>
  </si>
  <si>
    <t xml:space="preserve">Dsn. Pungging, RT/RW 005/005, Pungging, Pungging, Mojokerto</t>
  </si>
  <si>
    <t xml:space="preserve">MOHAMMAD EDWIN RAMADAN</t>
  </si>
  <si>
    <t xml:space="preserve">3515042710050004</t>
  </si>
  <si>
    <t xml:space="preserve">Dsn Kesamben, RT/RW 021/004, Wunut, Porong, Sidoarjo</t>
  </si>
  <si>
    <t xml:space="preserve">ABI NURROHMAN</t>
  </si>
  <si>
    <t xml:space="preserve">22061864891</t>
  </si>
  <si>
    <t xml:space="preserve">3516082804040001</t>
  </si>
  <si>
    <t xml:space="preserve">Paris. GG. II No 9, RT/RW 002/002, Seduri, Mojosari, Mojokerto</t>
  </si>
  <si>
    <t xml:space="preserve">MOCH. ALDIAN RIZAL</t>
  </si>
  <si>
    <t xml:space="preserve">27037895883</t>
  </si>
  <si>
    <t xml:space="preserve">3524191607010001</t>
  </si>
  <si>
    <t xml:space="preserve">Ragas Lor, RT/RW 001/004, Katemas, Kembangbahu, Lamongan</t>
  </si>
  <si>
    <t xml:space="preserve">REVA FATIMAH AZZAHRA</t>
  </si>
  <si>
    <t xml:space="preserve">3507137008040001</t>
  </si>
  <si>
    <t xml:space="preserve">Jl KH Hasyim Ashari, RT/RW 003/001, Panarukan, Kepanjen, Malang</t>
  </si>
  <si>
    <t xml:space="preserve">AGUNG SETIAWAN</t>
  </si>
  <si>
    <t xml:space="preserve">3524122908020001</t>
  </si>
  <si>
    <t xml:space="preserve">Sidowayah, RT/RW 002/006, Lawanganagung, Sugio, Lamongan</t>
  </si>
  <si>
    <t xml:space="preserve">MELISA NOVITASARI</t>
  </si>
  <si>
    <t xml:space="preserve">0001544424388</t>
  </si>
  <si>
    <t xml:space="preserve">3312226009950005</t>
  </si>
  <si>
    <t xml:space="preserve">Jl. Wijaya Kusuma, RT/RW 009/004, Bligo, Candi, Sidoarjo</t>
  </si>
  <si>
    <t xml:space="preserve">WASIS YUWONO</t>
  </si>
  <si>
    <t xml:space="preserve">3516110205020004</t>
  </si>
  <si>
    <t xml:space="preserve">Dusun Sumberjo, RT/RW 001/001, Sumbergirang, Puri, Mojokerto</t>
  </si>
  <si>
    <t xml:space="preserve">DWI CAHYO SANTOSO</t>
  </si>
  <si>
    <t xml:space="preserve">3514120912990001</t>
  </si>
  <si>
    <t xml:space="preserve">Panderejo, RT/RW 002/010, Legok, Gempol, Pasuruan</t>
  </si>
  <si>
    <t xml:space="preserve">3524192005900001</t>
  </si>
  <si>
    <t xml:space="preserve">RAGIL RAULALA</t>
  </si>
  <si>
    <t xml:space="preserve">3578270912950001</t>
  </si>
  <si>
    <t xml:space="preserve">Donowati 2/26, RT/RW 004/001, Sukomanunggal, Sukomanunggal, Surabaya</t>
  </si>
  <si>
    <t xml:space="preserve">YEHESKEL DJAMDJIK</t>
  </si>
  <si>
    <t xml:space="preserve">26019496243</t>
  </si>
  <si>
    <t xml:space="preserve">8107051606990001</t>
  </si>
  <si>
    <t xml:space="preserve">Kabalsiang</t>
  </si>
  <si>
    <t xml:space="preserve">Desa Kabalsiang, RT/RW 000/000, Kabalsiang, Aru Utara Timur Batuley, Kepulauan Aru</t>
  </si>
  <si>
    <t xml:space="preserve">CALVIN MARCELLINO LUMANTOW</t>
  </si>
  <si>
    <t xml:space="preserve">3515040112980001</t>
  </si>
  <si>
    <t xml:space="preserve">Lingkungan III, RT/RW 011/003, Wangurer Utara, Madidir, Bitung</t>
  </si>
  <si>
    <t xml:space="preserve">PRISMAWAN SIGIT WAHYONO</t>
  </si>
  <si>
    <t xml:space="preserve">Operator Sarana Prasarana</t>
  </si>
  <si>
    <t xml:space="preserve">3301092512920003</t>
  </si>
  <si>
    <t xml:space="preserve">Dusun Rawareja, RT/RW 002/002, Grugu, Kawunganten, Cilacap</t>
  </si>
  <si>
    <t xml:space="preserve">SALMA MUALIFIYANA</t>
  </si>
  <si>
    <t xml:space="preserve">Product Quality Analyst</t>
  </si>
  <si>
    <t xml:space="preserve">3521146711010001</t>
  </si>
  <si>
    <t xml:space="preserve">Kaligandri, RT/RW 003/017, Babadan, Pangkur, Ngawi</t>
  </si>
  <si>
    <t xml:space="preserve">ULIN NADLIFAH</t>
  </si>
  <si>
    <t xml:space="preserve">3507176912010001</t>
  </si>
  <si>
    <t xml:space="preserve">Jl Raya Sukolilo, RT/RW 012/002, Sukolilo, Jabung, Malang</t>
  </si>
  <si>
    <t xml:space="preserve">ROBERT TAK KALA HUTABARAT</t>
  </si>
  <si>
    <t xml:space="preserve">3525140103060003</t>
  </si>
  <si>
    <t xml:space="preserve">Perum GKGA Blok. BC-22, RT/RW 006/007, Kedanyang, Kebomas, Gresik</t>
  </si>
  <si>
    <t xml:space="preserve">AHMAD VIKY ASFANI</t>
  </si>
  <si>
    <t xml:space="preserve">3523180501050002</t>
  </si>
  <si>
    <t xml:space="preserve">Dsn Wangun Timur, RT/RW 007/02, Wangun, Palang, Tuban</t>
  </si>
  <si>
    <t xml:space="preserve">BAGUS PRIAMBODO</t>
  </si>
  <si>
    <t xml:space="preserve">26058410973</t>
  </si>
  <si>
    <t xml:space="preserve">3578101211890001</t>
  </si>
  <si>
    <t xml:space="preserve">Dusun Pasinan, RT/RW 011/003, Pasinan Lemahputih, Wringinanom, Gresik</t>
  </si>
  <si>
    <t xml:space="preserve">085706050336</t>
  </si>
  <si>
    <t xml:space="preserve">BUDIK HARTONO</t>
  </si>
  <si>
    <t xml:space="preserve">25007752753</t>
  </si>
  <si>
    <t xml:space="preserve">3516061404880001</t>
  </si>
  <si>
    <t xml:space="preserve">Dsn. Ringgit RT 03/RW 06 Kembang Ringgit Pungging Mojokerto</t>
  </si>
  <si>
    <t xml:space="preserve">ANGGER TOFAN BELIUNG</t>
  </si>
  <si>
    <t xml:space="preserve">26013866235</t>
  </si>
  <si>
    <t xml:space="preserve">3573013105860003</t>
  </si>
  <si>
    <t xml:space="preserve">Jl. Dr. Wahidin Dalam No. 62 A, RT/RW 005/001, Rampal Celaket, Klojen, Kota Malang</t>
  </si>
  <si>
    <t xml:space="preserve">081332444537</t>
  </si>
  <si>
    <t xml:space="preserve">MOCHAMMAD YOGA ADI PRASETYA</t>
  </si>
  <si>
    <t xml:space="preserve">3525140612060001</t>
  </si>
  <si>
    <t xml:space="preserve">Thopas I/12, RT/RW 001/006, Kembangan, Kebomas, Gresik</t>
  </si>
  <si>
    <t xml:space="preserve">MOHAMMAD RODHI</t>
  </si>
  <si>
    <t xml:space="preserve">3524241306920001</t>
  </si>
  <si>
    <t xml:space="preserve">Sarmat, RT/RW 002/003, Sambopinggir, Karangbinangun, Lamongan</t>
  </si>
  <si>
    <t xml:space="preserve">3525140609700002</t>
  </si>
  <si>
    <t xml:space="preserve">Perum ABR Blok A-8/12A, RT/RW 002/009, Kembangan, Kebomas, Gresik</t>
  </si>
  <si>
    <t xml:space="preserve">BAGUS SURYO SAJIWO</t>
  </si>
  <si>
    <t xml:space="preserve">3572022311000002</t>
  </si>
  <si>
    <t xml:space="preserve">Simokalangan No.31-K, RT/RW 005/007, Simomulyo, Sukomanunggal, Surabaya</t>
  </si>
  <si>
    <t xml:space="preserve">AGUS TRISULA</t>
  </si>
  <si>
    <t xml:space="preserve">25067523341</t>
  </si>
  <si>
    <t xml:space="preserve">3525162811020001</t>
  </si>
  <si>
    <t xml:space="preserve">Jl. Kapten Dulasim Timur 10/5, RT/RW 001/007, Sidorukun, Gresik, Gresik</t>
  </si>
  <si>
    <t xml:space="preserve">RICKY MULYAWAN</t>
  </si>
  <si>
    <t xml:space="preserve">3510202702060002</t>
  </si>
  <si>
    <t xml:space="preserve">Dukuh Setro 3/19, RT/RW 004/008, Gading, Tambaksari, Surabaya</t>
  </si>
  <si>
    <t xml:space="preserve">ELEN ANGGRAINI</t>
  </si>
  <si>
    <t xml:space="preserve">3525156206000002</t>
  </si>
  <si>
    <t xml:space="preserve">Jl. Panca Warna 9 No. 109 KBD, RT/RW 006/009, Driyoejo, Gresik</t>
  </si>
  <si>
    <t xml:space="preserve">RATRI NUR AZIZAH</t>
  </si>
  <si>
    <t xml:space="preserve">3525046404040002</t>
  </si>
  <si>
    <t xml:space="preserve">Dusun Mulung, RT/RW 007/004, Mulung, Driyorejo, Gresik</t>
  </si>
  <si>
    <t xml:space="preserve">MAHADITYA AGATA BRAMANTA</t>
  </si>
  <si>
    <t xml:space="preserve">20082696179</t>
  </si>
  <si>
    <t xml:space="preserve">3515141807940002</t>
  </si>
  <si>
    <t xml:space="preserve">Perum Taman Aloha H1-9, RT/RW0 42/009, Suko, Sukodono, Sidoarjo</t>
  </si>
  <si>
    <t xml:space="preserve">HANDIK FAJAR ISMAIL</t>
  </si>
  <si>
    <t xml:space="preserve">27059855652</t>
  </si>
  <si>
    <t xml:space="preserve">3578051809820001</t>
  </si>
  <si>
    <t xml:space="preserve">Dsn. Batu Ampar, RT/RW 000/000, Tragah, Tragah, Bangkalan</t>
  </si>
  <si>
    <t xml:space="preserve">MOHAMMAD AFIF</t>
  </si>
  <si>
    <t xml:space="preserve">27002651483</t>
  </si>
  <si>
    <t xml:space="preserve">3526121311960001</t>
  </si>
  <si>
    <t xml:space="preserve">Dsn. Karang Pandan, RT/RW 002/007, Sukolilo Timur, Labang, Bangkalan,</t>
  </si>
  <si>
    <t xml:space="preserve">SULIS AIMAN</t>
  </si>
  <si>
    <t xml:space="preserve">3526115812050001</t>
  </si>
  <si>
    <t xml:space="preserve">Dsn. Morkoneng, RT/RW 002/003, Somor Koneng, Kwanyar, Bangkalan</t>
  </si>
  <si>
    <t xml:space="preserve">SUPRIANTO</t>
  </si>
  <si>
    <t xml:space="preserve">3526040512010002</t>
  </si>
  <si>
    <t xml:space="preserve">Dsn. Candi, RT/RW 000/000, Gili Timur, Kamal, Bangkalan</t>
  </si>
  <si>
    <t xml:space="preserve">DANA NURMAN ALAN NUARI</t>
  </si>
  <si>
    <t xml:space="preserve">3516080501920002</t>
  </si>
  <si>
    <t xml:space="preserve">Jl. Semangka, RT/RW 005/003, Seduri, Mojosari, Mojokerto</t>
  </si>
  <si>
    <t xml:space="preserve">0816598023</t>
  </si>
  <si>
    <t xml:space="preserve">RAHMAT AWALUDDIN</t>
  </si>
  <si>
    <t xml:space="preserve">3526022208000002</t>
  </si>
  <si>
    <t xml:space="preserve">Dsn. Buluh Duko, RT/RW 000/000, Buluh, Socah, Bangkalan</t>
  </si>
  <si>
    <t xml:space="preserve">AHMAD NURUDDIN</t>
  </si>
  <si>
    <t xml:space="preserve">3525050511970001</t>
  </si>
  <si>
    <t xml:space="preserve">Setrohadi, RT/RW 004/002, Setrohadi, Duduksampeyan, Gresik</t>
  </si>
  <si>
    <t xml:space="preserve">NURYADIN</t>
  </si>
  <si>
    <t xml:space="preserve">3525052608700001</t>
  </si>
  <si>
    <t xml:space="preserve">Setrohadi, RT/RW 001/001, Setrohadi, Duduksampeyan, Gresik</t>
  </si>
  <si>
    <t xml:space="preserve">SEPTI SUNDARI</t>
  </si>
  <si>
    <t xml:space="preserve">6202065809040004</t>
  </si>
  <si>
    <t xml:space="preserve">Jalur IV No. 28M, RT/TRW 011/003, Eka Bahurui, Mentawa Baru Ketapang, Kotawaringin Timur</t>
  </si>
  <si>
    <t xml:space="preserve">MAYANG ANUGERAH PANGESTU</t>
  </si>
  <si>
    <t xml:space="preserve">27090864168</t>
  </si>
  <si>
    <t xml:space="preserve">3311095404050001</t>
  </si>
  <si>
    <t xml:space="preserve">Prenggan, RT/RW 001/002, Sanggrahan, Grogol, Kab. Sukoharjo</t>
  </si>
  <si>
    <t xml:space="preserve">MELANI SEBA</t>
  </si>
  <si>
    <t xml:space="preserve">26022783769</t>
  </si>
  <si>
    <t xml:space="preserve">9111054505020002</t>
  </si>
  <si>
    <t xml:space="preserve">Arsov</t>
  </si>
  <si>
    <t xml:space="preserve">Jl. Melati No.52-Arsov, RT/RW 001/005, Wiantre, Skanto, Kab. Keerom</t>
  </si>
  <si>
    <t xml:space="preserve">HAPNI LIANA SIREGAR</t>
  </si>
  <si>
    <t xml:space="preserve">23093544219</t>
  </si>
  <si>
    <t xml:space="preserve">1207226605000002</t>
  </si>
  <si>
    <t xml:space="preserve">Jl. Delitua DSN 4 Gg. Mawar No. 61, RT/RW 008/004, Kedai Durian, Deli Tua, Deli Serdang</t>
  </si>
  <si>
    <t xml:space="preserve">HADIJAH</t>
  </si>
  <si>
    <t xml:space="preserve">6303045510060001</t>
  </si>
  <si>
    <t xml:space="preserve">Sungai Tabuk</t>
  </si>
  <si>
    <t xml:space="preserve">Sungai Tabuk Keramat, RT/RW 002/000, Sungai Tabuk Keramat,Sungai Tabuk, Banjar</t>
  </si>
  <si>
    <t xml:space="preserve">DWI SUSANTI</t>
  </si>
  <si>
    <t xml:space="preserve">1872014110060001</t>
  </si>
  <si>
    <t xml:space="preserve">Punggur</t>
  </si>
  <si>
    <t xml:space="preserve">Jl. Selagai No. 95, RT/RW 024/005, Metro, Metro Pusat, Metro</t>
  </si>
  <si>
    <t xml:space="preserve">MELISA APRILIYANTI</t>
  </si>
  <si>
    <t xml:space="preserve">0002710740205</t>
  </si>
  <si>
    <t xml:space="preserve">5201036404000001</t>
  </si>
  <si>
    <t xml:space="preserve">Lekong Dendek</t>
  </si>
  <si>
    <t xml:space="preserve">Dusun Karang Duntal, RT/RW 007/000, Girimax Indah, Narmada, Lombok Barat</t>
  </si>
  <si>
    <t xml:space="preserve">DHINI ANGGRAINI</t>
  </si>
  <si>
    <t xml:space="preserve">27090309868</t>
  </si>
  <si>
    <t xml:space="preserve">1276036410050003</t>
  </si>
  <si>
    <t xml:space="preserve">Tebing tinggi</t>
  </si>
  <si>
    <t xml:space="preserve">Jl, Karya Pembangunan No. 2 LK. I, RT/RW 001/001, Satria, Padang Hilir, Tebing Tinggi</t>
  </si>
  <si>
    <t xml:space="preserve">ALYA IAN HERFIANA</t>
  </si>
  <si>
    <t xml:space="preserve">3402176612040001</t>
  </si>
  <si>
    <t xml:space="preserve">Terban GK. V/700-A, RT/RW 029/006, Terban, Gondokusuman, Yogyakarta</t>
  </si>
  <si>
    <t xml:space="preserve">TIARA INTAN NUR AINI</t>
  </si>
  <si>
    <t xml:space="preserve">3372036503030001</t>
  </si>
  <si>
    <t xml:space="preserve">Yosodipuran, RT/RW 005/003, Kedung Lumbu, Pasar Kliwon, Surakarta</t>
  </si>
  <si>
    <t xml:space="preserve">KHAISYA AURELLIA KUSUMA</t>
  </si>
  <si>
    <t xml:space="preserve">1471024101070061</t>
  </si>
  <si>
    <t xml:space="preserve">Jl. Hang Tuah Gg. Sukma No. 05, RT/RW 001/004, Sumahilang, Pekanbaru Kota, Pekanbaru</t>
  </si>
  <si>
    <t xml:space="preserve">MUHAMMAD RIZKY FAUZI</t>
  </si>
  <si>
    <t xml:space="preserve">SPV Gudang</t>
  </si>
  <si>
    <t xml:space="preserve">3515070909970001</t>
  </si>
  <si>
    <t xml:space="preserve">Bumi Candi Asri J2-39, RT/RW 003/004, Ngampelsari, Candi, Sidoarjo</t>
  </si>
  <si>
    <t xml:space="preserve">MUHAMMAD FAIZAL</t>
  </si>
  <si>
    <t xml:space="preserve">24001021302</t>
  </si>
  <si>
    <t xml:space="preserve">Produksi Assembly</t>
  </si>
  <si>
    <t xml:space="preserve">3525112802040003</t>
  </si>
  <si>
    <t xml:space="preserve">CHANDRA AGUNG ADITYA</t>
  </si>
  <si>
    <t xml:space="preserve">23024300111</t>
  </si>
  <si>
    <t xml:space="preserve">3525111809030001</t>
  </si>
  <si>
    <t xml:space="preserve">Dusun Kambingan, RT/RW 002/001, Kambingan, Cerme, Gresik</t>
  </si>
  <si>
    <t xml:space="preserve">MUHAMMAD FARIS FERDIANSYAH</t>
  </si>
  <si>
    <t xml:space="preserve">23027518554</t>
  </si>
  <si>
    <t xml:space="preserve">3525111601070001</t>
  </si>
  <si>
    <t xml:space="preserve">BILVAN SETIONO</t>
  </si>
  <si>
    <t xml:space="preserve">3516062001000003</t>
  </si>
  <si>
    <t xml:space="preserve">Panjer, RT/RW 003/001, Tunggal Pager, Pungging, Mojokerto</t>
  </si>
  <si>
    <t xml:space="preserve">085859692481</t>
  </si>
  <si>
    <t xml:space="preserve">HENDRO PRASETYO</t>
  </si>
  <si>
    <t xml:space="preserve">3517080103000004</t>
  </si>
  <si>
    <t xml:space="preserve">Dsn Butuh, RT/RW 003/002, Pandanwangi, Diwek, Jombang</t>
  </si>
  <si>
    <t xml:space="preserve">085954890709</t>
  </si>
  <si>
    <t xml:space="preserve">DUWENRI PRANCA</t>
  </si>
  <si>
    <t xml:space="preserve">26074501424</t>
  </si>
  <si>
    <t xml:space="preserve">3516152604000003</t>
  </si>
  <si>
    <t xml:space="preserve">MUHAMMAD FADHOL</t>
  </si>
  <si>
    <t xml:space="preserve">21019042558</t>
  </si>
  <si>
    <t xml:space="preserve">3517072608990002</t>
  </si>
  <si>
    <t xml:space="preserve">Jl. Sumberboto, RT/RW 001/001, Japanan, Mojowarno, Jombang</t>
  </si>
  <si>
    <t xml:space="preserve">ALTHA ALFERINO</t>
  </si>
  <si>
    <t xml:space="preserve">27023980266</t>
  </si>
  <si>
    <t xml:space="preserve">3578030612960001</t>
  </si>
  <si>
    <t xml:space="preserve">Gununganyar Emas XIII/E-22, RT/RW 002/008, Gunung Anyar Tambak, Gunung Anyar, Surabaya</t>
  </si>
  <si>
    <t xml:space="preserve">ADAM WIDIARTO</t>
  </si>
  <si>
    <t xml:space="preserve">24003417119</t>
  </si>
  <si>
    <t xml:space="preserve">3525082605010001</t>
  </si>
  <si>
    <t xml:space="preserve">Desa Manunggal, RT/RW 013/004, Manunggal, Kedamean, Gresik</t>
  </si>
  <si>
    <t xml:space="preserve">M. ABDUL GHOFUR</t>
  </si>
  <si>
    <t xml:space="preserve">22037739179</t>
  </si>
  <si>
    <t xml:space="preserve">3525086907820001</t>
  </si>
  <si>
    <t xml:space="preserve">Jambu, RT/RW 001/002, Semampir, Cerme, Gresik</t>
  </si>
  <si>
    <t xml:space="preserve">AHMAD MUHAJIR JIDDI</t>
  </si>
  <si>
    <t xml:space="preserve">0001876163038</t>
  </si>
  <si>
    <t xml:space="preserve">3328112409820007</t>
  </si>
  <si>
    <t xml:space="preserve">Jatipuro 4-B/7, RT/RW 007/013, Ujung, Semampir, Surabaya</t>
  </si>
  <si>
    <t xml:space="preserve">ABDUL AZIZ KURNIAWAN</t>
  </si>
  <si>
    <t xml:space="preserve">3578132510980003</t>
  </si>
  <si>
    <t xml:space="preserve">Dupak Masigit 6/9, RT/RW 004/002, Jepara, Bubutan, Surabaya</t>
  </si>
  <si>
    <t xml:space="preserve">ABDUSSALAM</t>
  </si>
  <si>
    <t xml:space="preserve">3526022611910001</t>
  </si>
  <si>
    <t xml:space="preserve">Jl. Semarang No.. 128-A55-, RT/RW 001/008, Bubutan, Bubutan, Surabaya</t>
  </si>
  <si>
    <t xml:space="preserve">ELFINA SYAHPUTRI</t>
  </si>
  <si>
    <t xml:space="preserve">3503096907950001</t>
  </si>
  <si>
    <t xml:space="preserve">Dusun Pakel, RT/RW 002/006, Dompyong, Bendungan, Trenggalek</t>
  </si>
  <si>
    <t xml:space="preserve">VIRGIL SIRARDA REFIAN</t>
  </si>
  <si>
    <t xml:space="preserve">26020393173</t>
  </si>
  <si>
    <t xml:space="preserve">3578193005030001</t>
  </si>
  <si>
    <t xml:space="preserve">UKA 1/50, RT/RW 011/002, Sememi, Benowo, Surabaya</t>
  </si>
  <si>
    <t xml:space="preserve">895409451000</t>
  </si>
  <si>
    <t xml:space="preserve">M. SOFAN AHMADI</t>
  </si>
  <si>
    <t xml:space="preserve">3516102006980002</t>
  </si>
  <si>
    <t xml:space="preserve">Jl. Kebonsari No.42-B, RT/RW 006/002, Kebonsari, Jambangan, Surabaya</t>
  </si>
  <si>
    <t xml:space="preserve">081564612719</t>
  </si>
  <si>
    <t xml:space="preserve">ANGGI SEPTIAN</t>
  </si>
  <si>
    <t xml:space="preserve">3525112009960001</t>
  </si>
  <si>
    <t xml:space="preserve">Dalean, RT/RW 001/003, Gununganyar, Cerme, Gresik</t>
  </si>
  <si>
    <t xml:space="preserve">ERLANGGA KHRISNAHARA</t>
  </si>
  <si>
    <t xml:space="preserve">Staff IT/Office</t>
  </si>
  <si>
    <t xml:space="preserve">3515131602870002</t>
  </si>
  <si>
    <t xml:space="preserve">Pondok Sedati Asri Blok D No. 9, RT/RW 015/008, Pepe, Sedati, Sidoarjo</t>
  </si>
  <si>
    <t xml:space="preserve">081933012585</t>
  </si>
  <si>
    <t xml:space="preserve">AFIFUDDIN</t>
  </si>
  <si>
    <t xml:space="preserve">Fraksinasi</t>
  </si>
  <si>
    <t xml:space="preserve">3509120904020002</t>
  </si>
  <si>
    <t xml:space="preserve">Dusun Kebonsari, RT/RW 003/001, Sabrang, Ambulu, Jember</t>
  </si>
  <si>
    <t xml:space="preserve">EKO HADI SUWARNO</t>
  </si>
  <si>
    <t xml:space="preserve">24086885003</t>
  </si>
  <si>
    <t xml:space="preserve">Borongan Muat</t>
  </si>
  <si>
    <t xml:space="preserve">3516040911960002</t>
  </si>
  <si>
    <t xml:space="preserve">Dsn.Biting RT 5/ RW 7 Seloliman Trawas Mojokerto</t>
  </si>
  <si>
    <t xml:space="preserve">SARPANI</t>
  </si>
  <si>
    <t xml:space="preserve">6303042903840002</t>
  </si>
  <si>
    <t xml:space="preserve">Sanga-sanga</t>
  </si>
  <si>
    <t xml:space="preserve">Jl. Gerilya, RT/RW 059/000, Sungai Pinang Dalam, Sungai Pinang, Samarinda</t>
  </si>
  <si>
    <t xml:space="preserve">RIZKI AMALIA NURHADIYANTI</t>
  </si>
  <si>
    <t xml:space="preserve">3525116101990001</t>
  </si>
  <si>
    <t xml:space="preserve">Cerme Lor, RT/RW 002/009, Cerme Lor, Cerme, Gresik</t>
  </si>
  <si>
    <t xml:space="preserve">SYAFA'ATUL IMAMAH</t>
  </si>
  <si>
    <t xml:space="preserve">Non Material Import Purchasing</t>
  </si>
  <si>
    <t xml:space="preserve">3525145012000001</t>
  </si>
  <si>
    <t xml:space="preserve">Sunan Giri 13-M/308, Sidomukti, Kebomas, Gresik</t>
  </si>
  <si>
    <t xml:space="preserve">DONI THIO</t>
  </si>
  <si>
    <t xml:space="preserve">20038437932</t>
  </si>
  <si>
    <t xml:space="preserve">After Market Sales &amp; Marketing</t>
  </si>
  <si>
    <t xml:space="preserve">3578062201020005</t>
  </si>
  <si>
    <t xml:space="preserve">Jl. Kalongan Besar No. 10, RT/RW 001/004, Krembangan Selatan, Krembangan, Surabaya</t>
  </si>
  <si>
    <t xml:space="preserve">HARIS SUZANTO</t>
  </si>
  <si>
    <t xml:space="preserve">3526121703950001</t>
  </si>
  <si>
    <t xml:space="preserve">Dsn. Morsabe, RT/RW 000/000, Sendang Laok, Labang, Bangkalan</t>
  </si>
  <si>
    <t xml:space="preserve">081998477704</t>
  </si>
  <si>
    <t xml:space="preserve">ISMAIL</t>
  </si>
  <si>
    <t xml:space="preserve">23044220375</t>
  </si>
  <si>
    <t xml:space="preserve">3526021110930008</t>
  </si>
  <si>
    <t xml:space="preserve">ADITYA WARDANA</t>
  </si>
  <si>
    <t xml:space="preserve">PT KINGDOM INDAH (HARIAN)</t>
  </si>
  <si>
    <t xml:space="preserve">Kimia</t>
  </si>
  <si>
    <t xml:space="preserve">3524060412990003</t>
  </si>
  <si>
    <t xml:space="preserve">Dradahblumbang, RT/RW 001/006, Dradahblumbang, Kedungpring, Lamongan</t>
  </si>
  <si>
    <t xml:space="preserve">AHMAD SYAIHUDDIN HASIM</t>
  </si>
  <si>
    <t xml:space="preserve">24065840951</t>
  </si>
  <si>
    <t xml:space="preserve">3516131903960003</t>
  </si>
  <si>
    <t xml:space="preserve">Dsn. Gambuhan, RT/RW 001/007, Modongan, Sooko, Mojokerto</t>
  </si>
  <si>
    <t xml:space="preserve">ANDIK</t>
  </si>
  <si>
    <t xml:space="preserve">Tubular</t>
  </si>
  <si>
    <t xml:space="preserve">3525131905910003</t>
  </si>
  <si>
    <t xml:space="preserve">Randu Padangan, RT/RW 008/003, Randupadangan, Menganti, Gresik</t>
  </si>
  <si>
    <t xml:space="preserve">ANDIK SETIAWAN</t>
  </si>
  <si>
    <t xml:space="preserve">3515171104840002</t>
  </si>
  <si>
    <t xml:space="preserve">Jl. Raya Sedati Gede 68A, RT/RW 007/004, Sedatigede, Sedati, Sidoarjo</t>
  </si>
  <si>
    <t xml:space="preserve">ARNANDA AKHMAD AR RIDLO</t>
  </si>
  <si>
    <t xml:space="preserve">24005832237</t>
  </si>
  <si>
    <t xml:space="preserve">3514100208000004</t>
  </si>
  <si>
    <t xml:space="preserve">Jl. Mutiara 13 No. 15 PPS, RT/RW 009/018, Suci, Manyar, Gresik</t>
  </si>
  <si>
    <t xml:space="preserve">ARWAN HUDIYANTO</t>
  </si>
  <si>
    <t xml:space="preserve">IPAL</t>
  </si>
  <si>
    <t xml:space="preserve">3525151505970002</t>
  </si>
  <si>
    <t xml:space="preserve">Sarirejo, RT/RW 009/003, Bambe, Driyorejo, Gresik</t>
  </si>
  <si>
    <t xml:space="preserve">BAGUS NASRULLOH</t>
  </si>
  <si>
    <t xml:space="preserve">3578250905940001</t>
  </si>
  <si>
    <t xml:space="preserve">Gununganyar Kidul 7/2,RT/RW 002/003, Gunung Anyar, Gunung Anyar, Surabaya</t>
  </si>
  <si>
    <t xml:space="preserve">BAYU WIJANARKO</t>
  </si>
  <si>
    <t xml:space="preserve">3525151210940004</t>
  </si>
  <si>
    <t xml:space="preserve">Dsn Karangandong, RT/RW 001/001, Karangandong, Driyorejo, Gresik</t>
  </si>
  <si>
    <t xml:space="preserve">3517120604960003</t>
  </si>
  <si>
    <t xml:space="preserve">Dsn Kandangsapi, RT/RW 001/006, Kedungbetik, Kesamben, Jombang</t>
  </si>
  <si>
    <t xml:space="preserve">FAIZAL FARID HIDAYATULLOH</t>
  </si>
  <si>
    <t xml:space="preserve">20035188578</t>
  </si>
  <si>
    <t xml:space="preserve">3515141903950002</t>
  </si>
  <si>
    <t xml:space="preserve">Saimbang, RT/RW 011/003, Kebonagung, Sukodono, Sidoarjo</t>
  </si>
  <si>
    <t xml:space="preserve">FATTAHUL ALIM</t>
  </si>
  <si>
    <t xml:space="preserve">3525071007940002</t>
  </si>
  <si>
    <t xml:space="preserve">Banyulegi, RT/RW 003/004, Banyu Urip, Ujung Pangkah, Gresik</t>
  </si>
  <si>
    <t xml:space="preserve">HERI KUSWANTO</t>
  </si>
  <si>
    <t xml:space="preserve">Drawing</t>
  </si>
  <si>
    <t xml:space="preserve">3525150808980004</t>
  </si>
  <si>
    <t xml:space="preserve">Dsn. Karangasem, RT/RW 004/004, Karangandong, Driyorejo, Gresik</t>
  </si>
  <si>
    <t xml:space="preserve">INDRA SETIABUDI</t>
  </si>
  <si>
    <t xml:space="preserve">PC Strand</t>
  </si>
  <si>
    <t xml:space="preserve">3517121803890002</t>
  </si>
  <si>
    <t xml:space="preserve">Dsn Garu, RT/RW 009/002, Podoroto, Kesamben, Jombang</t>
  </si>
  <si>
    <t xml:space="preserve">JEMI OKITRI KUSUMA</t>
  </si>
  <si>
    <t xml:space="preserve">3515162407910001</t>
  </si>
  <si>
    <t xml:space="preserve">Sruni Baru, RT/RW 004/001, Sruni, Gedangan, Sidoarjo</t>
  </si>
  <si>
    <t xml:space="preserve">MOCH NUR EFFENDI</t>
  </si>
  <si>
    <t xml:space="preserve">24011196671</t>
  </si>
  <si>
    <t xml:space="preserve">3515132103930002</t>
  </si>
  <si>
    <t xml:space="preserve">Masangan Kulon, RT/RW 008/003, Masangankulon, Sukodono, Sidoarjo</t>
  </si>
  <si>
    <t xml:space="preserve">MUHAMMAD SUBEKTI RAMADHAN</t>
  </si>
  <si>
    <t xml:space="preserve">3525132212990004</t>
  </si>
  <si>
    <t xml:space="preserve">Karangandong, RT/RW 004/002, Karangandong, Driyorejo, Gresik</t>
  </si>
  <si>
    <t xml:space="preserve">PURNOMO HERIADI</t>
  </si>
  <si>
    <t xml:space="preserve">3515112006840002</t>
  </si>
  <si>
    <t xml:space="preserve">RIFQI DIAN ARIANTO</t>
  </si>
  <si>
    <t xml:space="preserve">24083757658</t>
  </si>
  <si>
    <t xml:space="preserve">3515070410950003</t>
  </si>
  <si>
    <t xml:space="preserve">Perum Pesona Sentosa Residence Blok C 26, RT/RW 022/006, Grinting, Tulangan, Sidoarjo</t>
  </si>
  <si>
    <t xml:space="preserve">RIO ZULKARNAIN</t>
  </si>
  <si>
    <t xml:space="preserve">27059017142</t>
  </si>
  <si>
    <t xml:space="preserve">3515150905930002</t>
  </si>
  <si>
    <t xml:space="preserve">Perum Bumi Candi Asri G2 No. 8, RT/RW 007/004, Ngampelsari, Candi, Sidoarjo</t>
  </si>
  <si>
    <t xml:space="preserve">SONY ADY PRASTYO</t>
  </si>
  <si>
    <t xml:space="preserve">3517141805920004</t>
  </si>
  <si>
    <t xml:space="preserve">Dsn. Gedong, RT/RW 001/003, Gedongombo, Ploso, Jombang</t>
  </si>
  <si>
    <t xml:space="preserve">SUGENG</t>
  </si>
  <si>
    <t xml:space="preserve">3525130708790001</t>
  </si>
  <si>
    <t xml:space="preserve">Hendrosari, RT/RW 001/004, Hendrosari, Menganti, Gresik</t>
  </si>
  <si>
    <t xml:space="preserve">SUGENG WAHYU DIANA</t>
  </si>
  <si>
    <t xml:space="preserve">3522083101940002</t>
  </si>
  <si>
    <t xml:space="preserve">Dsn Karangjati, RT/RW 009/006, Sidorejo, Kedungadem, Bojonegoro</t>
  </si>
  <si>
    <t xml:space="preserve">3520172212800002</t>
  </si>
  <si>
    <t xml:space="preserve">DK Toro, RT/RW 006/001, Nguntoronadi, Nguntoronadi, Magetan</t>
  </si>
  <si>
    <t xml:space="preserve">SUWITO</t>
  </si>
  <si>
    <t xml:space="preserve">Pickling</t>
  </si>
  <si>
    <t xml:space="preserve">3518051412860003</t>
  </si>
  <si>
    <t xml:space="preserve">Jl. Semeru, RT/RW 001/002, Banaran, Pace, Nganjuk</t>
  </si>
  <si>
    <t xml:space="preserve">URIP PRIYANTO</t>
  </si>
  <si>
    <t xml:space="preserve">3525152710850001</t>
  </si>
  <si>
    <t xml:space="preserve">Dsn. Kalangan, RT/RW 004/002, Karangandong, Driyorejo, Gresik</t>
  </si>
  <si>
    <t xml:space="preserve">WARAS KARIONO</t>
  </si>
  <si>
    <t xml:space="preserve">Galvanis</t>
  </si>
  <si>
    <t xml:space="preserve">3525082808970002</t>
  </si>
  <si>
    <t xml:space="preserve">Dsn Miru, RT/RW 010/005, Banyu Urip, Kedamean, Gresik</t>
  </si>
  <si>
    <t xml:space="preserve">YAKVI ALVIANSYAH</t>
  </si>
  <si>
    <t xml:space="preserve">20082179041</t>
  </si>
  <si>
    <t xml:space="preserve">PC Bar</t>
  </si>
  <si>
    <t xml:space="preserve">3525151703980001</t>
  </si>
  <si>
    <t xml:space="preserve">Ds Mulung, RT/RW 011/006, Mulung, Driyorejo, Gresik</t>
  </si>
  <si>
    <t xml:space="preserve">YOGA AFISIA</t>
  </si>
  <si>
    <t xml:space="preserve">3517132411960001</t>
  </si>
  <si>
    <t xml:space="preserve">Jl. Mastrip Gang Slamet, RT/RW 004/002, Waru Gunung, Karang Pilang, Surabaya</t>
  </si>
  <si>
    <t xml:space="preserve">YUDA AGUS SATRIA</t>
  </si>
  <si>
    <t xml:space="preserve">3521112608960003</t>
  </si>
  <si>
    <t xml:space="preserve">Watukaras, RT/RW 004/006, Jenggrik, Kedunggalar, Ngawi</t>
  </si>
  <si>
    <t xml:space="preserve">MOH. ALI FIKRI</t>
  </si>
  <si>
    <t xml:space="preserve">3512071901010006</t>
  </si>
  <si>
    <t xml:space="preserve">Kandang Utara, RT/RW 002/007, Situbondo, Situbondo</t>
  </si>
  <si>
    <t xml:space="preserve">AMELIA</t>
  </si>
  <si>
    <t xml:space="preserve">PT KINGDOM INDAH</t>
  </si>
  <si>
    <t xml:space="preserve">DC</t>
  </si>
  <si>
    <t xml:space="preserve">3515054311940001</t>
  </si>
  <si>
    <t xml:space="preserve">Kedungrejo, RT/RW 021/009, Kedungrejo, Jabon, Sidoarjo</t>
  </si>
  <si>
    <t xml:space="preserve">SUPANDENG</t>
  </si>
  <si>
    <t xml:space="preserve">3525152707750004</t>
  </si>
  <si>
    <t xml:space="preserve">Karangasem, RT/RW 004/003, Karangandong, Driyorejo, Gresik</t>
  </si>
  <si>
    <t xml:space="preserve">MUDMAINAH</t>
  </si>
  <si>
    <t xml:space="preserve">3522236204800002</t>
  </si>
  <si>
    <t xml:space="preserve">Kedung, RT/RW 011/002, Trucuk, Trucuk, Bojonegoro</t>
  </si>
  <si>
    <t xml:space="preserve">SUTIKNO</t>
  </si>
  <si>
    <t xml:space="preserve">3517100906720005</t>
  </si>
  <si>
    <t xml:space="preserve">Dsn Gumeng, RT/RW 001/003, Banjaragung, Rengel, Tuban</t>
  </si>
  <si>
    <t xml:space="preserve">ABDUL GHOFAR</t>
  </si>
  <si>
    <t xml:space="preserve">3506260401940001</t>
  </si>
  <si>
    <t xml:space="preserve">Klampok Rejo, RT/RW 003/019, Blaru, Badas, Kediri</t>
  </si>
  <si>
    <t xml:space="preserve">MOCH AFFRIZAL DAFFA</t>
  </si>
  <si>
    <t xml:space="preserve">25068126100</t>
  </si>
  <si>
    <t xml:space="preserve">3578212901030001</t>
  </si>
  <si>
    <t xml:space="preserve">Dukuh Kupang Barat 7/39, RT/RW 001/004, Dukuh Kupang, Dukuh Pakis, Surabaya</t>
  </si>
  <si>
    <t xml:space="preserve">ANDANI HAJARWATI</t>
  </si>
  <si>
    <t xml:space="preserve">Receptionist</t>
  </si>
  <si>
    <t xml:space="preserve">3578156903970001</t>
  </si>
  <si>
    <t xml:space="preserve">Gresik Gadukan Timur 109-B, RT/RW 004/004, Morokrembangan, Krembangan, Surabaya</t>
  </si>
  <si>
    <t xml:space="preserve">ASYROF MAULANA</t>
  </si>
  <si>
    <t xml:space="preserve">3526033103040001</t>
  </si>
  <si>
    <t xml:space="preserve">Kmp. Temor Lorong, RT/RW 005/005, Burneh, Burneh, Bangkalan</t>
  </si>
  <si>
    <t xml:space="preserve">ALI SALEH AMHAR</t>
  </si>
  <si>
    <t xml:space="preserve">E-commerce Live Streaming Admin</t>
  </si>
  <si>
    <t xml:space="preserve">3573010905970007</t>
  </si>
  <si>
    <t xml:space="preserve">Jl. Satria No. 115, RT/RW 003/001, Balearjosari, Blimbing, Malang</t>
  </si>
  <si>
    <t xml:space="preserve">FATIN RAMADHANI RIFAN</t>
  </si>
  <si>
    <t xml:space="preserve">3515117011020002</t>
  </si>
  <si>
    <t xml:space="preserve">Dsn Patuk, RT/RW 003/004, Sidomulyo, Krian, Sidoarjo</t>
  </si>
  <si>
    <t xml:space="preserve">SAIFUL ANWAR</t>
  </si>
  <si>
    <t xml:space="preserve">3515180812780008</t>
  </si>
  <si>
    <t xml:space="preserve">DIANA DEVITA SUMAMPOUW</t>
  </si>
  <si>
    <t xml:space="preserve">24028115289</t>
  </si>
  <si>
    <t xml:space="preserve">8206025812971001</t>
  </si>
  <si>
    <t xml:space="preserve">Lingkungan IV, RT/RW 000/004, Teling Atas, Wamena, Manado</t>
  </si>
  <si>
    <t xml:space="preserve">6285696019055</t>
  </si>
  <si>
    <t xml:space="preserve">MONIKA</t>
  </si>
  <si>
    <t xml:space="preserve">0003044907437</t>
  </si>
  <si>
    <t xml:space="preserve">1871055709970003</t>
  </si>
  <si>
    <t xml:space="preserve">B Lampung</t>
  </si>
  <si>
    <t xml:space="preserve">Jl. K. Adi Sucipto Gg. Santosa /05, RT/RW 002/-, Kebon Jeruk, Tanjungkarang Timur, Lampung</t>
  </si>
  <si>
    <t xml:space="preserve">SARASWATY KANZUL ARSY</t>
  </si>
  <si>
    <t xml:space="preserve">26023266551</t>
  </si>
  <si>
    <t xml:space="preserve">2172045802980002</t>
  </si>
  <si>
    <t xml:space="preserve">Jl. H. Agus Salim No. 8, RT/RW 006/003, Tanjungpinang Barat, Tanjungpinang Barat, Tanjungpinang</t>
  </si>
  <si>
    <t xml:space="preserve">6285805041213</t>
  </si>
  <si>
    <t xml:space="preserve">ALIM PUTRI NURUL WAFA</t>
  </si>
  <si>
    <t xml:space="preserve">3318146205050001</t>
  </si>
  <si>
    <t xml:space="preserve">Tanjungsari, RT/RW 003/001, Tanjungsari, RT/RW 003/001, Tanjungsari, Tlogowungu, Pati</t>
  </si>
  <si>
    <t xml:space="preserve">6281216273600</t>
  </si>
  <si>
    <t xml:space="preserve">AFANDI</t>
  </si>
  <si>
    <t xml:space="preserve">7308110107660018</t>
  </si>
  <si>
    <t xml:space="preserve">Bulu Paseko</t>
  </si>
  <si>
    <t xml:space="preserve">Perumnas Tibojong, RT/RW 000/000, Tibojong, Tanete Riattang Timur, Bone</t>
  </si>
  <si>
    <t xml:space="preserve">6287832607845</t>
  </si>
  <si>
    <t xml:space="preserve">TRI BAGUS SANTOSO</t>
  </si>
  <si>
    <t xml:space="preserve">3524190112950002</t>
  </si>
  <si>
    <t xml:space="preserve">Kembangbahu, RT/RW 005/001, Kembangbahu, Kembangbahu, Lamongan</t>
  </si>
  <si>
    <t xml:space="preserve">ABDULLOH UMAR HUSAIN</t>
  </si>
  <si>
    <t xml:space="preserve">3525102503010004</t>
  </si>
  <si>
    <t xml:space="preserve">Griya Suci Permai F 3/3, RT/RW 005/008, Suci, Manyar, Gresik</t>
  </si>
  <si>
    <t xml:space="preserve">FIRMAN BAKHTIAR</t>
  </si>
  <si>
    <t xml:space="preserve">23078114673</t>
  </si>
  <si>
    <t xml:space="preserve">3525052502980003</t>
  </si>
  <si>
    <t xml:space="preserve">Kedung Banteng, RT/RW 001/001, Gredek, Duduksampeyan, Gresik</t>
  </si>
  <si>
    <t xml:space="preserve">RIANDO HUDA PRATAMA</t>
  </si>
  <si>
    <t xml:space="preserve">22094763237</t>
  </si>
  <si>
    <t xml:space="preserve">3402151804890001</t>
  </si>
  <si>
    <t xml:space="preserve">Jl. Tanah Masa 12 GKB, RT/RW 003/007, Randuagung, Kebomas, Gresik</t>
  </si>
  <si>
    <t xml:space="preserve">MAULUDIN FADIL FADILAH ADDRIYANI</t>
  </si>
  <si>
    <t xml:space="preserve">3309051110889002</t>
  </si>
  <si>
    <t xml:space="preserve">Nginden Gg. IV C/2-A, RT/RW 005/003, Nginden Jangkungan, Sukolilo, Surabaya</t>
  </si>
  <si>
    <t xml:space="preserve">MUHAMMAD FAJAR</t>
  </si>
  <si>
    <t xml:space="preserve">Produksi Enamel</t>
  </si>
  <si>
    <t xml:space="preserve">3578272501020002</t>
  </si>
  <si>
    <t xml:space="preserve">Tangkis Turi Kecil D/6, RT/RW 001/004, Simomulyo, Sukomanunggal, Surabaya</t>
  </si>
  <si>
    <t xml:space="preserve">RENALDY SETYO KURNIA SANDY</t>
  </si>
  <si>
    <t xml:space="preserve">21085304872</t>
  </si>
  <si>
    <t xml:space="preserve">3515131909960009</t>
  </si>
  <si>
    <t xml:space="preserve">Perum Sukodono Town House Blok C-01, RT/RW 064/016, Pekarungan, Sukodono, Sidoarjo</t>
  </si>
  <si>
    <t xml:space="preserve">SAIFUL ARI WIDANAR</t>
  </si>
  <si>
    <t xml:space="preserve">29055253600</t>
  </si>
  <si>
    <t xml:space="preserve">3515011105010004</t>
  </si>
  <si>
    <t xml:space="preserve">Dsn. Blijo, RT/RW 011/002, Sebani, Tarik, Sidoarjo</t>
  </si>
  <si>
    <t xml:space="preserve">MUCHAMMAD SIHAM AROFIANSYAH</t>
  </si>
  <si>
    <t xml:space="preserve">23095049005</t>
  </si>
  <si>
    <t xml:space="preserve">3515021906060001</t>
  </si>
  <si>
    <t xml:space="preserve">Dsn. Blijo, RT/RW 007/001, Sebani, Tarik, Sidoarjo</t>
  </si>
  <si>
    <t xml:space="preserve">ANGGA PRASTIYO STIAWAN PUTRA</t>
  </si>
  <si>
    <t xml:space="preserve">3525153108010001</t>
  </si>
  <si>
    <t xml:space="preserve">Guwo, RT/RW 017/004, Sumput, Driyorejo, Gresik</t>
  </si>
  <si>
    <t xml:space="preserve">RIZKY PUTRA ARDIANSYAH</t>
  </si>
  <si>
    <t xml:space="preserve">23054545956</t>
  </si>
  <si>
    <t xml:space="preserve">Operator Analis Kimia</t>
  </si>
  <si>
    <t xml:space="preserve">3575010708030004</t>
  </si>
  <si>
    <t xml:space="preserve">Jl. Banda Gg. Dahlia, RT/RW 003/002, Gadingrejo, Gadingrejo, Pasuruan</t>
  </si>
  <si>
    <t xml:space="preserve">M. FAISHOL ASYFIYAK, S. E.</t>
  </si>
  <si>
    <t xml:space="preserve">Staff Gudang Finish goods</t>
  </si>
  <si>
    <t xml:space="preserve">3510070611910003</t>
  </si>
  <si>
    <t xml:space="preserve">Dusun Lidah, RT/RW 001/007, Gambiran, Gambiran, Banyuwangi</t>
  </si>
  <si>
    <t xml:space="preserve">RIZALDI INDRA PERMANA</t>
  </si>
  <si>
    <t xml:space="preserve">Warehouse Operator</t>
  </si>
  <si>
    <t xml:space="preserve">3515120305050002</t>
  </si>
  <si>
    <t xml:space="preserve">Watesari, RT/RW 016/003, Watesari, Balongbendo, Sidoarjo</t>
  </si>
  <si>
    <t xml:space="preserve">BIMA CANDRA WINATA</t>
  </si>
  <si>
    <t xml:space="preserve">3525112708050001</t>
  </si>
  <si>
    <t xml:space="preserve">Kambingan, RT/RW 002/001, Kambingan, Cerme, Gresik</t>
  </si>
  <si>
    <t xml:space="preserve">MUHAMMAD RANGGA STARIAJI</t>
  </si>
  <si>
    <t xml:space="preserve">26041306930</t>
  </si>
  <si>
    <t xml:space="preserve">3516061704020001</t>
  </si>
  <si>
    <t xml:space="preserve">Panjer, RT/RW 002/001, Tunggal Pager, Pungging, Mojokerto</t>
  </si>
  <si>
    <t xml:space="preserve">KHOSY FAFIAN ACHMADI</t>
  </si>
  <si>
    <t xml:space="preserve">3525142603060002</t>
  </si>
  <si>
    <t xml:space="preserve">DR. Wahidin SH XVIII/25, RT/RW 003/003, Randuagung, Kebomas, Gresik</t>
  </si>
  <si>
    <t xml:space="preserve">MUHAMMAD RIZAL AFRIANTO</t>
  </si>
  <si>
    <t xml:space="preserve">3525162104030002</t>
  </si>
  <si>
    <t xml:space="preserve">Jl. Harun Tohir 29/20, RT/RW 001/002, Sidorukun, Gresik, Gresik</t>
  </si>
  <si>
    <t xml:space="preserve">HERI SULISWANTO</t>
  </si>
  <si>
    <t xml:space="preserve">3525052309900003</t>
  </si>
  <si>
    <t xml:space="preserve">Pedopo 48 Sembayat, RT/RW 019/004, Sembayat, Manyar, Gresik</t>
  </si>
  <si>
    <t xml:space="preserve">ACHMAD FANANI</t>
  </si>
  <si>
    <t xml:space="preserve">3525162911980007</t>
  </si>
  <si>
    <t xml:space="preserve">KH. Abdul Karim 103 B, RT/RW 007/002, Pekauman, Gresik, Gresik</t>
  </si>
  <si>
    <t xml:space="preserve">YODI SUPRIYADI</t>
  </si>
  <si>
    <t xml:space="preserve">3522161209920004</t>
  </si>
  <si>
    <t xml:space="preserve">Dsn. Klubuk, RT/RW 002/001, Tambkrejo, Rengel, Tuban</t>
  </si>
  <si>
    <t xml:space="preserve">ROY AHMAD SANANTA</t>
  </si>
  <si>
    <t xml:space="preserve">3578160703980005</t>
  </si>
  <si>
    <t xml:space="preserve">Wonosari Lor Baru Buntu 6, RT/RW 004/014, Wonokusumo, Semampir, Surabaya</t>
  </si>
  <si>
    <t xml:space="preserve">JOHAN CHANDRAWIJAYA SALIM</t>
  </si>
  <si>
    <t xml:space="preserve">3573050606010005</t>
  </si>
  <si>
    <t xml:space="preserve">Jl. Ikan ArwanaL-11, RT/RW 009/004, Tunjungsekar, Lowokwaru, Malang</t>
  </si>
  <si>
    <t xml:space="preserve">MUHAMMAD ALIF RAHMAN HAKIM</t>
  </si>
  <si>
    <t xml:space="preserve">22024485664</t>
  </si>
  <si>
    <t xml:space="preserve">3525101206030003</t>
  </si>
  <si>
    <t xml:space="preserve">Makam Panjang, RT/RW 012/002, Leran, Manyar, Gresik</t>
  </si>
  <si>
    <t xml:space="preserve">BENY SUPRIYANTO</t>
  </si>
  <si>
    <t xml:space="preserve">3516161803890002</t>
  </si>
  <si>
    <t xml:space="preserve">Dsn. Sonosari, RT/RW 001/001, Desa Canggu, Jetis, Mojokerto</t>
  </si>
  <si>
    <t xml:space="preserve">MOH RIZKY PRAMANA PUTRA</t>
  </si>
  <si>
    <t xml:space="preserve">3525142611000001</t>
  </si>
  <si>
    <t xml:space="preserve">Ngargosari, RT/RW 003/001, Ngargosari, Kebomas, Gresik</t>
  </si>
  <si>
    <t xml:space="preserve">HERI</t>
  </si>
  <si>
    <t xml:space="preserve">22038505252</t>
  </si>
  <si>
    <t xml:space="preserve">3578151612980001</t>
  </si>
  <si>
    <t xml:space="preserve">Harun Tohir, RT/RW 003/002, Sidorukun, Gresik, Gresik</t>
  </si>
  <si>
    <t xml:space="preserve">MOHAMMAD HAFID HAKIKI</t>
  </si>
  <si>
    <t xml:space="preserve">3524132401040004</t>
  </si>
  <si>
    <t xml:space="preserve">Mulung, RT/RW 003/001, Karang Tinggil, Pucuk, Lamongan</t>
  </si>
  <si>
    <t xml:space="preserve">FRENDY PRAMEGANATA</t>
  </si>
  <si>
    <t xml:space="preserve">3578171309930004</t>
  </si>
  <si>
    <t xml:space="preserve">Perum Cerme Indah Jl. Nangka 2 Blok O/111, RT/RW 003/004, Betiting, Cerme, Gresik</t>
  </si>
  <si>
    <t xml:space="preserve">MOCH ABDULLOH HUDA</t>
  </si>
  <si>
    <t xml:space="preserve">3578272003960001</t>
  </si>
  <si>
    <t xml:space="preserve">Simo Jawar 7 B-2/15, RT/RW 002/010, Simomulyo Baru, Sukomanunggal, Surabaya</t>
  </si>
  <si>
    <t xml:space="preserve">MOCHAMAD RIZKI NUR HARIYANTO</t>
  </si>
  <si>
    <t xml:space="preserve">Qc Laboratorium</t>
  </si>
  <si>
    <t xml:space="preserve">3525111106990001</t>
  </si>
  <si>
    <t xml:space="preserve">Cagak Agung, RT/RW 003/003, Cagakagung, Cerme, Gresik</t>
  </si>
  <si>
    <t xml:space="preserve">HENDERIKUS SUDA TOULWALA</t>
  </si>
  <si>
    <t xml:space="preserve">5313062601950001</t>
  </si>
  <si>
    <t xml:space="preserve">Balauring</t>
  </si>
  <si>
    <t xml:space="preserve">Balauring Timur, RT/RW 013004, Balauring, Omesuri, Lembata</t>
  </si>
  <si>
    <t xml:space="preserve">SUBKHAN</t>
  </si>
  <si>
    <t xml:space="preserve">28008757735</t>
  </si>
  <si>
    <t xml:space="preserve">3575030504990002</t>
  </si>
  <si>
    <t xml:space="preserve">Jl. Jend S. Parman, RT/RW 001/005, Panggong Rojo, Pasuruan</t>
  </si>
  <si>
    <t xml:space="preserve">BAYU AGUSTIAN PUTRA PRATAMA</t>
  </si>
  <si>
    <t xml:space="preserve">25031115003</t>
  </si>
  <si>
    <t xml:space="preserve">3515082808040001</t>
  </si>
  <si>
    <t xml:space="preserve">Perum Pesona Sentosa Residence Blok E No. 8, RT/RW 001/006, Grinting, Tulangan, Sidoarjo</t>
  </si>
  <si>
    <t xml:space="preserve">MU'ARIFAH NOVARINI</t>
  </si>
  <si>
    <t xml:space="preserve">0001462237356</t>
  </si>
  <si>
    <t xml:space="preserve">1671050411000004</t>
  </si>
  <si>
    <t xml:space="preserve">Komp. Polantas, RT/RW 047/001, Sukajaya, Sukarami, Palembang</t>
  </si>
  <si>
    <t xml:space="preserve">NURA NABILA KARINA</t>
  </si>
  <si>
    <t xml:space="preserve">25019170376</t>
  </si>
  <si>
    <t xml:space="preserve">1271125007050005</t>
  </si>
  <si>
    <t xml:space="preserve">Lingkungan 31, RT/RW 000/000, Rengas Pulau, Medan Marelan, Medan</t>
  </si>
  <si>
    <t xml:space="preserve">6283891987957</t>
  </si>
  <si>
    <t xml:space="preserve">MUTIARA PRISCILLA</t>
  </si>
  <si>
    <t xml:space="preserve">24076497554</t>
  </si>
  <si>
    <t xml:space="preserve">1271046301020006</t>
  </si>
  <si>
    <t xml:space="preserve">Jl. Menteng III Gg Silaturahim No 13, RT/RW 000/000, Binjai, Medan Denai, Medan</t>
  </si>
  <si>
    <t xml:space="preserve">628979746354</t>
  </si>
  <si>
    <t xml:space="preserve">MULIANA</t>
  </si>
  <si>
    <t xml:space="preserve">0002328022631</t>
  </si>
  <si>
    <t xml:space="preserve">7306026810910002</t>
  </si>
  <si>
    <t xml:space="preserve">Limbung</t>
  </si>
  <si>
    <t xml:space="preserve">Barembeng, RT/RW 002/002, Kalebarembeng, Bontonompo, Gowa</t>
  </si>
  <si>
    <t xml:space="preserve">MULYANA</t>
  </si>
  <si>
    <t xml:space="preserve">7405035509020001</t>
  </si>
  <si>
    <t xml:space="preserve">Lapoa Indah</t>
  </si>
  <si>
    <t xml:space="preserve">Jl. Gersamata No. 6, RT/RW 012/004, Mataiwoi, Wua-Wua, Kendari</t>
  </si>
  <si>
    <t xml:space="preserve">6282259480057</t>
  </si>
  <si>
    <t xml:space="preserve">MUNA KHAULATUN NABILLA</t>
  </si>
  <si>
    <t xml:space="preserve">0000163666394</t>
  </si>
  <si>
    <t xml:space="preserve">3326115608010081</t>
  </si>
  <si>
    <t xml:space="preserve">Babalanlor, RT/RW 008/002, Babalanlor, Bojong, Pekalongan</t>
  </si>
  <si>
    <t xml:space="preserve">WAHYU PUTRI WIJAYANTI</t>
  </si>
  <si>
    <t xml:space="preserve">3523156406020002</t>
  </si>
  <si>
    <t xml:space="preserve">Dsn Krajan, RT/RW 003/008, Prunggahan Kulon, Semanding, Tuban</t>
  </si>
  <si>
    <t xml:space="preserve">M. H. NURKHOSIM DARMINTO</t>
  </si>
  <si>
    <t xml:space="preserve">25091998177</t>
  </si>
  <si>
    <t xml:space="preserve">TANPA BPJS</t>
  </si>
  <si>
    <t xml:space="preserve">Spv Gudang</t>
  </si>
  <si>
    <t xml:space="preserve">3522120703960002</t>
  </si>
  <si>
    <t xml:space="preserve">Jl. Ahmat Toyib, RT/RW 004/001, Kedungrejo, Sumberrejo, Bojonegoro</t>
  </si>
  <si>
    <t xml:space="preserve">RIZKY MAULANA</t>
  </si>
  <si>
    <t xml:space="preserve">26003335851</t>
  </si>
  <si>
    <t xml:space="preserve">3525112005000004</t>
  </si>
  <si>
    <t xml:space="preserve">JORDAN MARULI HALOMOANLUMBAN TOCING</t>
  </si>
  <si>
    <t xml:space="preserve">3573010404970004</t>
  </si>
  <si>
    <t xml:space="preserve">Jl. Sanan II/15, RT/RW 004/014, Purwantoro, Blimbing, Malang</t>
  </si>
  <si>
    <t xml:space="preserve">DITA RIZQIATUL LAILY</t>
  </si>
  <si>
    <t xml:space="preserve">3525144105010001</t>
  </si>
  <si>
    <t xml:space="preserve">Proklamasi 5/11, RT/RW 003/0007, Sidomoro, Kebomas, Gresik</t>
  </si>
  <si>
    <t xml:space="preserve">RIZYAD PUTRA FRANDIKA</t>
  </si>
  <si>
    <t xml:space="preserve">3525142804060002</t>
  </si>
  <si>
    <t xml:space="preserve">Gulomantung, RT/RW 003/001, Gulomantung, Kebomas, Gresik</t>
  </si>
  <si>
    <t xml:space="preserve">DZAFIKRI ADLI NUANSA MAHAWIRA</t>
  </si>
  <si>
    <t xml:space="preserve">3525141008060002</t>
  </si>
  <si>
    <t xml:space="preserve">Jl. Dr. Wahidin Sudiro Husodo 1-B/27, RT/RW 003/004, Kebomas, Kebomas, Gresik</t>
  </si>
  <si>
    <t xml:space="preserve">JEFRI SULISTIO</t>
  </si>
  <si>
    <t xml:space="preserve">29007996026</t>
  </si>
  <si>
    <t xml:space="preserve">HL Muat</t>
  </si>
  <si>
    <t xml:space="preserve">3516050208970003</t>
  </si>
  <si>
    <t xml:space="preserve">Ds. Sirno, RT/RW 001/005, DS. Purwojati, Ngoro, Mojokerto</t>
  </si>
  <si>
    <t xml:space="preserve">ACHMAD BASHORI</t>
  </si>
  <si>
    <t xml:space="preserve">21028485139</t>
  </si>
  <si>
    <t xml:space="preserve">3516111401720003</t>
  </si>
  <si>
    <t xml:space="preserve">Dsn. Sumbergayam, RT/RW 002/009,Kenanten, Puri, Mojokerto</t>
  </si>
  <si>
    <t xml:space="preserve">RINE AZIZAH</t>
  </si>
  <si>
    <t xml:space="preserve">PT CIPTA ABADI INDUSTRI</t>
  </si>
  <si>
    <t xml:space="preserve">Accounting</t>
  </si>
  <si>
    <t xml:space="preserve">3209214708950009</t>
  </si>
  <si>
    <t xml:space="preserve">Dusun Guyangan, RT/RW 001/002, Keboguyang, Jabon, Sidoarjo</t>
  </si>
  <si>
    <t xml:space="preserve">PUTRI DWI RIYENI LUCIANA SARI</t>
  </si>
  <si>
    <t xml:space="preserve">3578105506820005</t>
  </si>
  <si>
    <t xml:space="preserve">Kedung Tarukan 1/30, RT/RW 004/003, Pacarkembang, Tambaksari, Surabaya</t>
  </si>
  <si>
    <t xml:space="preserve">AMA'UDIN RAMADHAN</t>
  </si>
  <si>
    <t xml:space="preserve">Karyawan Gudang</t>
  </si>
  <si>
    <t xml:space="preserve">3516051405860001</t>
  </si>
  <si>
    <t xml:space="preserve">Dsn. Manduro RT/RW 008/002, Ngoro, Mojokerto</t>
  </si>
  <si>
    <t xml:space="preserve">RARAS SAVITRI</t>
  </si>
  <si>
    <t xml:space="preserve">HRD</t>
  </si>
  <si>
    <t xml:space="preserve">3276014107700022</t>
  </si>
  <si>
    <t xml:space="preserve">Komp. TNI Rawa Bambu RT/RW 005/008, Pasar Minggu, Jakarta Selatan</t>
  </si>
  <si>
    <t xml:space="preserve">KHOIRUL IMAM</t>
  </si>
  <si>
    <t xml:space="preserve">3514130910780005</t>
  </si>
  <si>
    <t xml:space="preserve">Kedanten RT 06/RW 4 Wonokoyo Beji Pasuruan</t>
  </si>
  <si>
    <t xml:space="preserve">BAGUS PRIHANDONO</t>
  </si>
  <si>
    <t xml:space="preserve">20035626163</t>
  </si>
  <si>
    <t xml:space="preserve">EXIM</t>
  </si>
  <si>
    <t xml:space="preserve">3516061602760003</t>
  </si>
  <si>
    <t xml:space="preserve">Wisma pungging permai Blok BE 16 Tunggal Pager Pungging Mojokerto</t>
  </si>
  <si>
    <t xml:space="preserve">ERNAWATI</t>
  </si>
  <si>
    <t xml:space="preserve">Chef</t>
  </si>
  <si>
    <t xml:space="preserve">3509106607740001</t>
  </si>
  <si>
    <t xml:space="preserve">Kedanten, RT/RW 006/004, Wonokoyo, Beji, Pasuruan</t>
  </si>
  <si>
    <t xml:space="preserve">MUHAMMAD FERNANDO PUTRA SETYO K</t>
  </si>
  <si>
    <t xml:space="preserve">3516140207000001</t>
  </si>
  <si>
    <t xml:space="preserve">Ngudi Kidul RT 16/ RW 4 Gempol kerep Gedeg Mojokerto</t>
  </si>
  <si>
    <t xml:space="preserve">SZELOICA ACHMAD ARYA ASSOLEH</t>
  </si>
  <si>
    <t xml:space="preserve">IT</t>
  </si>
  <si>
    <t xml:space="preserve">3516060409060003</t>
  </si>
  <si>
    <t xml:space="preserve">Bakalan RT 2/ RW 1 Gondang Mojokerto</t>
  </si>
  <si>
    <t xml:space="preserve">FITRI WULANDARI</t>
  </si>
  <si>
    <t xml:space="preserve">3312145009030001</t>
  </si>
  <si>
    <t xml:space="preserve">Karang tengah RT 1 / RW 6 Sidoharjo jawa tengah</t>
  </si>
  <si>
    <t xml:space="preserve">ANDIKA PURNAMA SAPUTRA</t>
  </si>
  <si>
    <t xml:space="preserve">PPIC</t>
  </si>
  <si>
    <t xml:space="preserve">3515071105000001</t>
  </si>
  <si>
    <t xml:space="preserve">Ds. Kedongkendo, RT/RW 014/005, Candi, Sidoarjo</t>
  </si>
  <si>
    <t xml:space="preserve">YUSUF AFANDI</t>
  </si>
  <si>
    <t xml:space="preserve">Translater</t>
  </si>
  <si>
    <t xml:space="preserve">3516051906990002</t>
  </si>
  <si>
    <t xml:space="preserve">Dsn. Perjito Ds. Candi harjo RT 14/RW 3 Ngoro Mojokerto</t>
  </si>
  <si>
    <t xml:space="preserve">IKHWAN SUTRISNO</t>
  </si>
  <si>
    <t xml:space="preserve">Maintenance Listrik</t>
  </si>
  <si>
    <t xml:space="preserve">3515121312900002</t>
  </si>
  <si>
    <t xml:space="preserve">Dsn Wates Rowo RT 39 RW 06 Simokembang Balongbendo Sidoarjo</t>
  </si>
  <si>
    <t xml:space="preserve">MOCH.RIZKY ARIF W</t>
  </si>
  <si>
    <t xml:space="preserve">3573021605910001</t>
  </si>
  <si>
    <t xml:space="preserve">Dsn.Wonosari RT 1 RW 1 Warugunung Pacet</t>
  </si>
  <si>
    <t xml:space="preserve">GATOT KURNIAWAN</t>
  </si>
  <si>
    <t xml:space="preserve">3516051602910001</t>
  </si>
  <si>
    <t xml:space="preserve">Kebon RT 7/ RW 2 Kebon dalem Mojosari</t>
  </si>
  <si>
    <t xml:space="preserve">CICIK ROY NARYATIN</t>
  </si>
  <si>
    <t xml:space="preserve">Legal</t>
  </si>
  <si>
    <t xml:space="preserve">3515084712790002</t>
  </si>
  <si>
    <t xml:space="preserve">Perum.Graha Inoprasta A3-3 RT 03/RW 05 Tulangan Sidoarjo</t>
  </si>
  <si>
    <t xml:space="preserve">PONO</t>
  </si>
  <si>
    <t xml:space="preserve">3516052808780005</t>
  </si>
  <si>
    <t xml:space="preserve">Dsn. Wotanmas Jedong, RT 003/ RW 001, Ngoro, Mojokerto</t>
  </si>
  <si>
    <t xml:space="preserve">ALDI SENO AJI</t>
  </si>
  <si>
    <t xml:space="preserve">3516081403010002</t>
  </si>
  <si>
    <t xml:space="preserve">Mojosulur, RT/RW 002/005, Mojosulur, Mojosari, Mojokerto</t>
  </si>
  <si>
    <t xml:space="preserve">085704224399</t>
  </si>
  <si>
    <t xml:space="preserve">MUHAMMAD TAUFIK HIDAYAT</t>
  </si>
  <si>
    <t xml:space="preserve">3516050609030002</t>
  </si>
  <si>
    <t xml:space="preserve">Dsn. Watusari, RT/RW 040/005, Wotanmas, Jedong, Mojokerto</t>
  </si>
  <si>
    <t xml:space="preserve">WAHYU ADITIYA</t>
  </si>
  <si>
    <t xml:space="preserve">3516052205020005</t>
  </si>
  <si>
    <t xml:space="preserve">Dsn. Kecapangan, RT/RW 002/005, Ngoro, Mojokerto</t>
  </si>
  <si>
    <t xml:space="preserve">ARIEF MUJI UTOMO</t>
  </si>
  <si>
    <t xml:space="preserve">3515011006990001</t>
  </si>
  <si>
    <t xml:space="preserve">Dsn. Gempol Gunting, RT/RW 005/003, Gempol Klutuk, Tarik, Sidoarjo</t>
  </si>
  <si>
    <t xml:space="preserve">85704854544</t>
  </si>
  <si>
    <t xml:space="preserve">SUNYOTO</t>
  </si>
  <si>
    <t xml:space="preserve">3514130309680001</t>
  </si>
  <si>
    <t xml:space="preserve">Beji, RT/RW 001/003, Beji, Beji, Pasuruan</t>
  </si>
  <si>
    <t xml:space="preserve">MUCHAMAD INDRA GUNAWAN</t>
  </si>
  <si>
    <t xml:space="preserve">3578062305940002</t>
  </si>
  <si>
    <t xml:space="preserve">Jl. Sunan Giri Gang VII No. 25, RT/RW 003/004, Kawisanyar, Kebomas, Gresik</t>
  </si>
  <si>
    <t xml:space="preserve">MISRAI</t>
  </si>
  <si>
    <t xml:space="preserve">3578161110700001</t>
  </si>
  <si>
    <t xml:space="preserve">Tenggumung Baru Selatan 8/10, RT/RW 007/010, Pegirian, Semampir, Surabaya</t>
  </si>
  <si>
    <t xml:space="preserve">ANDRE FERDIANO HERLINTANG</t>
  </si>
  <si>
    <t xml:space="preserve">3523151509950002</t>
  </si>
  <si>
    <t xml:space="preserve">Jl. Tambak No. 23, RT/RW 002/001, Dukunanyar, Dukun, Gresik</t>
  </si>
  <si>
    <t xml:space="preserve">MOH HIDAYAT</t>
  </si>
  <si>
    <t xml:space="preserve">3516111708050003</t>
  </si>
  <si>
    <t xml:space="preserve">FARADIBA IBNU ANIS</t>
  </si>
  <si>
    <t xml:space="preserve">3578125007030002</t>
  </si>
  <si>
    <t xml:space="preserve">Dapuan Baru 4/16, RT/RW 005/005, Krembangan Utara, Pabean Cantian, Surabaya</t>
  </si>
  <si>
    <t xml:space="preserve">NANI NAFIHAYATI</t>
  </si>
  <si>
    <t xml:space="preserve">3506194701020002</t>
  </si>
  <si>
    <t xml:space="preserve">Jl. Pare Lama Kandangan, RT/RW 002/013, Kandangan, Kandangan, Kediri</t>
  </si>
  <si>
    <t xml:space="preserve">MUHAMMAD FAJAR MAULANA</t>
  </si>
  <si>
    <t xml:space="preserve">6472062005050001</t>
  </si>
  <si>
    <t xml:space="preserve">Jl. Kh. Hasyim Ashari, RT/RW 030/000, Loa Bakung, Sungai Kunjang, Samarinda</t>
  </si>
  <si>
    <t xml:space="preserve">MUHAMMAD IRHAM MAULANA</t>
  </si>
  <si>
    <t xml:space="preserve">Helper/Kernet</t>
  </si>
  <si>
    <t xml:space="preserve">3524232312060001</t>
  </si>
  <si>
    <t xml:space="preserve">Wonokitri 4/26, RT/RW 004/005, Gunungsari, Dukuh Pakis, Surabaya</t>
  </si>
  <si>
    <t xml:space="preserve">3516051311730002</t>
  </si>
  <si>
    <t xml:space="preserve">Dsn. Sedati, RT/RW 002002, Sedati, Ngoro, Mojokerto</t>
  </si>
  <si>
    <t xml:space="preserve">MUHAMMAD SALMAN MAULANA</t>
  </si>
  <si>
    <t xml:space="preserve">3525152209060001</t>
  </si>
  <si>
    <t xml:space="preserve">DWI CANDRA AJI PRATAMA</t>
  </si>
  <si>
    <t xml:space="preserve">25045827880</t>
  </si>
  <si>
    <t xml:space="preserve">3525060311050003</t>
  </si>
  <si>
    <t xml:space="preserve">Dsn Sumberame, RT/RW 002/002, Sumberame, Wringinanom, Gresik</t>
  </si>
  <si>
    <t xml:space="preserve">NADYA MULIA ROVITASARI</t>
  </si>
  <si>
    <t xml:space="preserve">3575034704970004</t>
  </si>
  <si>
    <t xml:space="preserve">Perumahan Graha Agung Blok AS 12, RT/RW 010/012, Merjosari, Lowokwaru, Malang</t>
  </si>
  <si>
    <t xml:space="preserve">RENDRA PRANANDA</t>
  </si>
  <si>
    <t xml:space="preserve">3578120601960002</t>
  </si>
  <si>
    <t xml:space="preserve">Kalimas Barat 1B/14, Krembangan Utara, Pabean Cantian, Surabaya</t>
  </si>
  <si>
    <t xml:space="preserve">DJUMADI</t>
  </si>
  <si>
    <t xml:space="preserve">3578231805790001</t>
  </si>
  <si>
    <t xml:space="preserve">Jl. Karah No. 208-A, RT/RW 005/006, Karah, Jambangan, Surabaya</t>
  </si>
  <si>
    <t xml:space="preserve">DIDIK WIJAYANTO</t>
  </si>
  <si>
    <t xml:space="preserve">22096822081</t>
  </si>
  <si>
    <t xml:space="preserve">Operator Reacktruck</t>
  </si>
  <si>
    <t xml:space="preserve">3314161805890002</t>
  </si>
  <si>
    <t xml:space="preserve">Kalirejo, RT/RW 007/004, Kalirejo, Dukun, Gresik</t>
  </si>
  <si>
    <t xml:space="preserve">ARISTRI PUTRA INDRA KUSUMA</t>
  </si>
  <si>
    <t xml:space="preserve">3525143103900002</t>
  </si>
  <si>
    <t xml:space="preserve">Asahan 03, RT/RW 001/06, Randuagung, Kebomas, Gresik</t>
  </si>
  <si>
    <t xml:space="preserve">RISKI ARISANDI</t>
  </si>
  <si>
    <t xml:space="preserve">3524260205020001</t>
  </si>
  <si>
    <t xml:space="preserve">Dukuan, RT/RW 002/004, Glagah, Glagah, Lamongan</t>
  </si>
  <si>
    <t xml:space="preserve">SUTRA ANGGA WIJENDRA</t>
  </si>
  <si>
    <t xml:space="preserve">3524071006910002</t>
  </si>
  <si>
    <t xml:space="preserve">Trunojoyo, RT/RW 002/005, Brondong, Brondong, Lamongan</t>
  </si>
  <si>
    <t xml:space="preserve">MOH. IZUS SALAM JUNAIDI</t>
  </si>
  <si>
    <t xml:space="preserve">3578232306000001</t>
  </si>
  <si>
    <t xml:space="preserve">Jl. Kebonsari No. 42-A, RT/RW 006/002, Kebonsari, Jambangan, Surabaya</t>
  </si>
  <si>
    <t xml:space="preserve">MAULANA RIZQI HARDIANSYAH</t>
  </si>
  <si>
    <t xml:space="preserve">3525023010010003</t>
  </si>
  <si>
    <t xml:space="preserve">Ganggang, RT/RW 001/001, Ganggang, Balong Panggang, Gresik</t>
  </si>
  <si>
    <t xml:space="preserve">3516123112610081</t>
  </si>
  <si>
    <t xml:space="preserve">Dusun Beloh, RT/RW 003/001, Beloh, Trowulan, Mojokerto</t>
  </si>
  <si>
    <t xml:space="preserve">INDRI HAULIAH PUTRI</t>
  </si>
  <si>
    <t xml:space="preserve">29050038083</t>
  </si>
  <si>
    <t xml:space="preserve">3573035110030002</t>
  </si>
  <si>
    <t xml:space="preserve">Jl. Kalisari No. 22, RT/RW 001/002, Wonokoyo, Kedungkandang, Malang</t>
  </si>
  <si>
    <t xml:space="preserve">ABBIAN DIFA AL-ATHUR WASAMSYAH</t>
  </si>
  <si>
    <t xml:space="preserve">3576012907990002</t>
  </si>
  <si>
    <t xml:space="preserve">Prajurit Kulon I/34, RT/RW 003/002, Prajuritkulon, Prajuritkulon, Mojokerto</t>
  </si>
  <si>
    <t xml:space="preserve">DIAN FATKUR EKO SEPTIAN</t>
  </si>
  <si>
    <t xml:space="preserve">PT BETTS INDONESIA (MAGANG)</t>
  </si>
  <si>
    <t xml:space="preserve">28072832270</t>
  </si>
  <si>
    <t xml:space="preserve">3516180809950001</t>
  </si>
  <si>
    <t xml:space="preserve">Bekatul, RT/RW 001/001, Jabontegal, Pungging, Mojokerto</t>
  </si>
  <si>
    <t xml:space="preserve">1806151708890007</t>
  </si>
  <si>
    <t xml:space="preserve">Dukuh Klanan, RT/RW 003/002, Grogol, Sawo, Ponorogo</t>
  </si>
  <si>
    <t xml:space="preserve">ADE MANRU RIFAI</t>
  </si>
  <si>
    <t xml:space="preserve">Cibitung</t>
  </si>
  <si>
    <t xml:space="preserve">3175081412890006</t>
  </si>
  <si>
    <t xml:space="preserve">Ligung</t>
  </si>
  <si>
    <t xml:space="preserve">Jl. H Harun V No. 150, RT/RW 007/003, Tanjung Barat, Jagakarsa, Jakarta Selatan</t>
  </si>
  <si>
    <t xml:space="preserve">RAIS</t>
  </si>
  <si>
    <t xml:space="preserve">3604210610990248</t>
  </si>
  <si>
    <t xml:space="preserve">Serang</t>
  </si>
  <si>
    <t xml:space="preserve">KP. Cideheng Lor, RT/RW 012/003, Kemanisan, Curug, Serang</t>
  </si>
  <si>
    <t xml:space="preserve">ACHMAD MAULUDIN SETIAWAN</t>
  </si>
  <si>
    <t xml:space="preserve">26029494363</t>
  </si>
  <si>
    <t xml:space="preserve">3525160905030003</t>
  </si>
  <si>
    <t xml:space="preserve">Akim Kayat No. 68 A, RT/RW 002/004, Sukorame, Gresik, Gresik</t>
  </si>
  <si>
    <t xml:space="preserve">MUHAMMAD MISBAKHUDIN</t>
  </si>
  <si>
    <t xml:space="preserve">28070105238</t>
  </si>
  <si>
    <t xml:space="preserve">3523152405060001</t>
  </si>
  <si>
    <t xml:space="preserve">Dsn Banaran, RT/RW 004/003, Prunggahan Wetan, Semanding, Tuban</t>
  </si>
  <si>
    <t xml:space="preserve">MOCHAMAD RIZAL ANWAR</t>
  </si>
  <si>
    <t xml:space="preserve">24038239239</t>
  </si>
  <si>
    <t xml:space="preserve">Helper Audit</t>
  </si>
  <si>
    <t xml:space="preserve">3515131010030002</t>
  </si>
  <si>
    <t xml:space="preserve">Griya Pasegan Asri B3/05, RT/RW 029/007, Kloposepuluh, Sukodono, Sidoarjo</t>
  </si>
  <si>
    <t xml:space="preserve">MUHAMMAD REYHANSYAH NUGROHO</t>
  </si>
  <si>
    <t xml:space="preserve">21079346807</t>
  </si>
  <si>
    <t xml:space="preserve">Operator Kimia</t>
  </si>
  <si>
    <t xml:space="preserve">3575030109020002</t>
  </si>
  <si>
    <t xml:space="preserve">Jl. Dr. Wahidin S Husodo, RT/RW 001/001, Pekuncen, Panggung Rejo, Pasuruan</t>
  </si>
  <si>
    <t xml:space="preserve">AYU APRILIANTIKA</t>
  </si>
  <si>
    <t xml:space="preserve">20071186257</t>
  </si>
  <si>
    <t xml:space="preserve">3515184104970003</t>
  </si>
  <si>
    <t xml:space="preserve">Jl. Jend. S. Parman 6B/3D, RT/RW 001/013, Waru, Waru, Sidoarjo</t>
  </si>
  <si>
    <t xml:space="preserve">ERLITA IRLINDIA SARI</t>
  </si>
  <si>
    <t xml:space="preserve">22038563332</t>
  </si>
  <si>
    <t xml:space="preserve">3514104503000004</t>
  </si>
  <si>
    <t xml:space="preserve">Dusun Mendalan, RT/RW 002/005, Sukorejo, Prigen, Pasuruan</t>
  </si>
  <si>
    <t xml:space="preserve">MOCH. RIF'AN NIDHOM HAMAMI</t>
  </si>
  <si>
    <t xml:space="preserve">3515181008980004</t>
  </si>
  <si>
    <t xml:space="preserve">Tambak Sawah, RT/RW 006/002, Tambaksawah, Waru, Sidoarjo</t>
  </si>
  <si>
    <t xml:space="preserve">MOH. PUTRA IFAN EFFENDI</t>
  </si>
  <si>
    <t xml:space="preserve">3515061402010004</t>
  </si>
  <si>
    <t xml:space="preserve">Kalidawir, RT/RW 001/001, Kalidawir, Tanggulangin, Sidoarjo</t>
  </si>
  <si>
    <t xml:space="preserve">MUHAMMAD RIZKY ROSANTO</t>
  </si>
  <si>
    <t xml:space="preserve">3578112603040003</t>
  </si>
  <si>
    <t xml:space="preserve">Simolawang 1/58, RT/RW 004/009, Simokerto, Simokerto, Surabaya</t>
  </si>
  <si>
    <t xml:space="preserve">SANDRA KARTIKASARI</t>
  </si>
  <si>
    <t xml:space="preserve">26059644237</t>
  </si>
  <si>
    <t xml:space="preserve">3515185411990006</t>
  </si>
  <si>
    <t xml:space="preserve">Ngingas, RT/RW 004/001, Ngingas, Waru, Sidoarjo</t>
  </si>
  <si>
    <t xml:space="preserve">YAHYA DIANDHANI PRASTI</t>
  </si>
  <si>
    <t xml:space="preserve">21023951842</t>
  </si>
  <si>
    <t xml:space="preserve">3524266407050001</t>
  </si>
  <si>
    <t xml:space="preserve">Jl. Mawar No. 34, RT/RW 004/007, Wage, Taman, Sidoarjo</t>
  </si>
  <si>
    <t xml:space="preserve">ELYSIA FAIZA NASYWA</t>
  </si>
  <si>
    <t xml:space="preserve">26077977478</t>
  </si>
  <si>
    <t xml:space="preserve">3515135902060004</t>
  </si>
  <si>
    <t xml:space="preserve">Bohar Timur, RT/RW 011/006, Bohar, Taman, Sidoarjo</t>
  </si>
  <si>
    <t xml:space="preserve">ENRIKA APRILIA PUTRI WIRAWAN</t>
  </si>
  <si>
    <t xml:space="preserve">23079828231</t>
  </si>
  <si>
    <t xml:space="preserve">3515186404020008</t>
  </si>
  <si>
    <t xml:space="preserve">Jl. Usman Janatin 6A, RT/RW 009/003, Medaeng, Waru, Sidoarjo</t>
  </si>
  <si>
    <t xml:space="preserve">REMAYVA DWI NURHAYATI</t>
  </si>
  <si>
    <t xml:space="preserve">25061615655</t>
  </si>
  <si>
    <t xml:space="preserve">3578016805060002</t>
  </si>
  <si>
    <t xml:space="preserve">Kemlaten 6/12, RT/RW 001/005, Kebraon, Karang Pilang, Surabaya</t>
  </si>
  <si>
    <t xml:space="preserve">YULIANTO ADI PRASETYO</t>
  </si>
  <si>
    <t xml:space="preserve">3515181706980003</t>
  </si>
  <si>
    <t xml:space="preserve">Jl. Bringj. Katamso 3/30 A, RT/RW 026/006, Kedungrejo, Waru, Sidoarjo</t>
  </si>
  <si>
    <t xml:space="preserve">NUR FATKHUL JANNAH</t>
  </si>
  <si>
    <t xml:space="preserve">26027980075</t>
  </si>
  <si>
    <t xml:space="preserve">3521020309990001</t>
  </si>
  <si>
    <t xml:space="preserve">Ngendut, RT/RW 002/003, Hargomulyo, Ngrambe, Ngawi</t>
  </si>
  <si>
    <t xml:space="preserve">VIOLIN YAMIMA APRILIA WIDIOKO</t>
  </si>
  <si>
    <t xml:space="preserve">28066942802</t>
  </si>
  <si>
    <t xml:space="preserve">3515166604980002</t>
  </si>
  <si>
    <t xml:space="preserve">Keboansikep, RT/RW 004/004, Keboansikep, Gedangan, Sidoarjo</t>
  </si>
  <si>
    <t xml:space="preserve">NASRANI AULIA HUTAGALUNG</t>
  </si>
  <si>
    <t xml:space="preserve">25065993528</t>
  </si>
  <si>
    <t xml:space="preserve">1201135411070001</t>
  </si>
  <si>
    <t xml:space="preserve">Pandan</t>
  </si>
  <si>
    <t xml:space="preserve">Huta Dolok, RT/RW 000/000, Naga Timbul, Sitahuis, Tapanuli Tangah</t>
  </si>
  <si>
    <t xml:space="preserve">RETNO WAFIQ</t>
  </si>
  <si>
    <t xml:space="preserve">28062412095</t>
  </si>
  <si>
    <t xml:space="preserve">3515122303880002</t>
  </si>
  <si>
    <t xml:space="preserve">Dsn. Kedunglo, RT/RW 004/002, Kedungsugo, Prambon, Sidoarjo</t>
  </si>
  <si>
    <t xml:space="preserve">ARYA EKA PRATAMA</t>
  </si>
  <si>
    <t xml:space="preserve">LS P1 - QC &amp; INCOMING</t>
  </si>
  <si>
    <t xml:space="preserve">3525150701030003</t>
  </si>
  <si>
    <t xml:space="preserve">Griya Kencana II/62, RT/RW 007/006, Mojosarirejo, Driyorejo, Gresik</t>
  </si>
  <si>
    <t xml:space="preserve">AHMAD ZAKARIA ANSOR</t>
  </si>
  <si>
    <t xml:space="preserve">1703142605000003</t>
  </si>
  <si>
    <t xml:space="preserve">Damarwulan, RT/RW 011/003, Damarwulan, Keling, Jepara</t>
  </si>
  <si>
    <t xml:space="preserve">RINI SAFITRI</t>
  </si>
  <si>
    <t xml:space="preserve">Martapura</t>
  </si>
  <si>
    <t xml:space="preserve">6303065705930002</t>
  </si>
  <si>
    <t xml:space="preserve">Pasar Lama</t>
  </si>
  <si>
    <t xml:space="preserve">Komplek P. Atasari, RT/RW 002/005, Jawa, Martapura, Banjar</t>
  </si>
  <si>
    <t xml:space="preserve">MUNWIDARI</t>
  </si>
  <si>
    <t xml:space="preserve">0000992856532</t>
  </si>
  <si>
    <t xml:space="preserve">Lubuk Linggau</t>
  </si>
  <si>
    <t xml:space="preserve">1673084605780001</t>
  </si>
  <si>
    <t xml:space="preserve">Jl. Sakina, RT/RW 002/000, Mesat Seni, Lubuklinggau Timur II, Lubuklinggau</t>
  </si>
  <si>
    <t xml:space="preserve">NI KADEK ARIANI</t>
  </si>
  <si>
    <t xml:space="preserve">5107085201030002</t>
  </si>
  <si>
    <t xml:space="preserve">Karangasem</t>
  </si>
  <si>
    <t xml:space="preserve">BR. Dinas Tigaron Kauh, RT/RW 000/000, Sukadana, Kubu, Karangasem</t>
  </si>
  <si>
    <t xml:space="preserve">I GUSTI AYU RAI PRAMESWARI</t>
  </si>
  <si>
    <t xml:space="preserve">27077458058</t>
  </si>
  <si>
    <t xml:space="preserve">3509286009000003</t>
  </si>
  <si>
    <t xml:space="preserve">Jl. WR Supratman Gg. V No. 10 KR Monjok, RT/RW 002/062, Mataram Timur, Mataram, Mataram</t>
  </si>
  <si>
    <t xml:space="preserve">MUSYARRAFAH</t>
  </si>
  <si>
    <t xml:space="preserve">0000946624689</t>
  </si>
  <si>
    <t xml:space="preserve">7371074408900002</t>
  </si>
  <si>
    <t xml:space="preserve">JL. Pannampu LR. 2 No. 206, RT/RW 004/005, Lembo, Tallo, Makassar</t>
  </si>
  <si>
    <t xml:space="preserve">CINDY AMELIA</t>
  </si>
  <si>
    <t xml:space="preserve">28057154699</t>
  </si>
  <si>
    <t xml:space="preserve">6171036306040006</t>
  </si>
  <si>
    <t xml:space="preserve">Perumnas I Gg. Raflesia Blok F No. 6, RT/RW 001/023, Sungai Jawi Luar, Pontianak Barat, Pontianak</t>
  </si>
  <si>
    <t xml:space="preserve">KHAIRO UMMI</t>
  </si>
  <si>
    <t xml:space="preserve">29040561580</t>
  </si>
  <si>
    <t xml:space="preserve">6308056012000008</t>
  </si>
  <si>
    <t xml:space="preserve">Sungai Malang, RT/RW 013/000, Sungai Malang, Amuntai Tengah, Sungai Utara</t>
  </si>
  <si>
    <t xml:space="preserve">LAYYINA MALIYA FARDA</t>
  </si>
  <si>
    <t xml:space="preserve">3320117112050001</t>
  </si>
  <si>
    <t xml:space="preserve">Jl. H. Ali Syarif, RT/RW 003/006, Krapyak, Tahunan, Jepara</t>
  </si>
  <si>
    <t xml:space="preserve">ANNISA KARIM</t>
  </si>
  <si>
    <t xml:space="preserve">24054726013</t>
  </si>
  <si>
    <t xml:space="preserve">1173025606000006</t>
  </si>
  <si>
    <t xml:space="preserve">Jl. Malikussaleh Gg. Buntu No. 9, RT/RW 000/000, Kampung Jawa, Banda Sakti, Lhokseumawe</t>
  </si>
  <si>
    <t xml:space="preserve">MUTIARA DANI</t>
  </si>
  <si>
    <t xml:space="preserve">0001845116921</t>
  </si>
  <si>
    <t xml:space="preserve">1271194405890001</t>
  </si>
  <si>
    <t xml:space="preserve">Dusun IX Gg. Baru, Limau Manis, Tanjung Morawa, Medan</t>
  </si>
  <si>
    <t xml:space="preserve">EKA ROFITASARI</t>
  </si>
  <si>
    <t xml:space="preserve">23002243306</t>
  </si>
  <si>
    <t xml:space="preserve">3319055408960002</t>
  </si>
  <si>
    <t xml:space="preserve">Payaman, RT/RW 002/002, Payaman, Mejobo, Kudus</t>
  </si>
  <si>
    <t xml:space="preserve">NABILLA ALZAHRA PASARIBU</t>
  </si>
  <si>
    <t xml:space="preserve">23089833146</t>
  </si>
  <si>
    <t xml:space="preserve">1205176703060003</t>
  </si>
  <si>
    <t xml:space="preserve">Jl. Suasa Selatan LK X, RT/RW 000/000, Masar Hilir, Medan Deli, Kota Medan</t>
  </si>
  <si>
    <t xml:space="preserve">PRISKA AYU AGITA</t>
  </si>
  <si>
    <t xml:space="preserve">24011288126</t>
  </si>
  <si>
    <t xml:space="preserve">3515164208050002</t>
  </si>
  <si>
    <t xml:space="preserve">Jl. Tohjoyo 65, RT/RW 002/011, Sawotratap, Gedangan, Sidoarjo</t>
  </si>
  <si>
    <t xml:space="preserve">IKA PUSPITA SARTI</t>
  </si>
  <si>
    <t xml:space="preserve">3578046901000005</t>
  </si>
  <si>
    <t xml:space="preserve">Hayam Wuruk Baru 1/74, RT/RW 007/011, Sawunggaling, Wonokromo, Surabaya</t>
  </si>
  <si>
    <t xml:space="preserve">TRIANTORO WAHYUNING ROBBI</t>
  </si>
  <si>
    <t xml:space="preserve">3516052204020002</t>
  </si>
  <si>
    <t xml:space="preserve">Dsn. Sukojati, RT/RW 003/011, Purwojati, Ngoro, Mojokerto</t>
  </si>
  <si>
    <t xml:space="preserve">TEGAR ARIF SAPUTRA</t>
  </si>
  <si>
    <t xml:space="preserve">3516101909040004</t>
  </si>
  <si>
    <t xml:space="preserve">Pendowo, RT/RW 011/003, Ngrowo, Bangsal, Mojokerto</t>
  </si>
  <si>
    <t xml:space="preserve">DONY BAGAS SAPUTRA</t>
  </si>
  <si>
    <t xml:space="preserve">3516060401040003</t>
  </si>
  <si>
    <t xml:space="preserve">Dsn. Patung, RT/RW 002/002, Pungging, Pungging, Mojokerto</t>
  </si>
  <si>
    <t xml:space="preserve">AGUS SUBIYANTO</t>
  </si>
  <si>
    <t xml:space="preserve">3517172403840003</t>
  </si>
  <si>
    <t xml:space="preserve">SUPRAPTO</t>
  </si>
  <si>
    <t xml:space="preserve">3515012904850002</t>
  </si>
  <si>
    <t xml:space="preserve">Bungkem, RT/RW 006/008, Kweden, Kembar, Mojoanyar</t>
  </si>
  <si>
    <t xml:space="preserve">ANDIK KUSWANTO</t>
  </si>
  <si>
    <t xml:space="preserve">3515121001810002</t>
  </si>
  <si>
    <t xml:space="preserve">HARIS MALIK MAULANA</t>
  </si>
  <si>
    <t xml:space="preserve">3578081904050006</t>
  </si>
  <si>
    <t xml:space="preserve">Kaliwaron 50 B, RT/RW 001/002, Mojo, Gubeng, Surabaya</t>
  </si>
  <si>
    <t xml:space="preserve">PAIMAN</t>
  </si>
  <si>
    <t xml:space="preserve">3516061203710006</t>
  </si>
  <si>
    <t xml:space="preserve">RETNO NOFI CAHYANI</t>
  </si>
  <si>
    <t xml:space="preserve">23007661292</t>
  </si>
  <si>
    <t xml:space="preserve">3506176811970002</t>
  </si>
  <si>
    <t xml:space="preserve">Terusan Mega Mendung Kav. 2, RT/RW 008/001, Karang Besuki, Sukun, Malang</t>
  </si>
  <si>
    <t xml:space="preserve">FATHIYA RIZKI RAMADHANI</t>
  </si>
  <si>
    <t xml:space="preserve">3510144811020002</t>
  </si>
  <si>
    <t xml:space="preserve">Perum Kalirejo Permai I-7, RT/RW 006/003, Kalirejo, Kabat, Banyuwangi</t>
  </si>
  <si>
    <t xml:space="preserve">PUJA RAINA TAJ NACIA</t>
  </si>
  <si>
    <t xml:space="preserve">3573035912010003</t>
  </si>
  <si>
    <t xml:space="preserve">Jl. Danau Rawa Pening H7 C No. 15, RT/RW 005/015, Madyopuro, Kedungkandang, Malang</t>
  </si>
  <si>
    <t xml:space="preserve">VIRANIA AGNES SETYOWATI</t>
  </si>
  <si>
    <t xml:space="preserve">Admin Community</t>
  </si>
  <si>
    <t xml:space="preserve">3573025002020004</t>
  </si>
  <si>
    <t xml:space="preserve">Jl. Ngantang No. 8, RT/RW 006/005, Rampal Celaket, Klojen, Malang</t>
  </si>
  <si>
    <t xml:space="preserve">SEPTYANDI MOESLIM ALFIKRI</t>
  </si>
  <si>
    <t xml:space="preserve">24001021005</t>
  </si>
  <si>
    <t xml:space="preserve">3578061909990002</t>
  </si>
  <si>
    <t xml:space="preserve">Simo Gunung 3/27, RT/RW 002/001, Banyu Urip, Sawahan, Surabaya</t>
  </si>
  <si>
    <t xml:space="preserve">SLAMET BUDIONO</t>
  </si>
  <si>
    <t xml:space="preserve">3524051909850001</t>
  </si>
  <si>
    <t xml:space="preserve">Diponegoro 69, RT/RW 002/001, Banaran, Babat, Lamongan</t>
  </si>
  <si>
    <t xml:space="preserve">ABDUL MUNIR</t>
  </si>
  <si>
    <t xml:space="preserve">3522092610060003</t>
  </si>
  <si>
    <t xml:space="preserve">Perumahan Griya Wiharta Asri Blok E 2 No. 19, RT/RW 007/002, Sekarkurung, Kebomas, Gresik</t>
  </si>
  <si>
    <t xml:space="preserve">AROYAN MAULANA YUSRON</t>
  </si>
  <si>
    <t xml:space="preserve">3502040805970003</t>
  </si>
  <si>
    <t xml:space="preserve">Tanah Merah Utara 7/7, RT/RW 007/009, Tanah Kali Kedinding, Kenjeran, Surabaya</t>
  </si>
  <si>
    <t xml:space="preserve">MOCHAMAD ROBBY SUSILO</t>
  </si>
  <si>
    <t xml:space="preserve">22017212395</t>
  </si>
  <si>
    <t xml:space="preserve">Maintenance - Helper</t>
  </si>
  <si>
    <t xml:space="preserve">3515100711010003</t>
  </si>
  <si>
    <t xml:space="preserve">TANGERANG</t>
  </si>
  <si>
    <t xml:space="preserve">NEGORO DERMO, RT 002 / RW 001, Kel. CANDINEGORO, Kec. WONOAYU, KABUPATEN SIDOARJO</t>
  </si>
  <si>
    <t xml:space="preserve">MOCHAMMAD SYAHRUL HIDAYATULLOH</t>
  </si>
  <si>
    <t xml:space="preserve">23051656647</t>
  </si>
  <si>
    <t xml:space="preserve">3515162509060002</t>
  </si>
  <si>
    <t xml:space="preserve">Dsn Conkop Rt/Rw : 001/002 Kel Kebonsikep Kec Gedangan</t>
  </si>
  <si>
    <t xml:space="preserve">RESTIANTO ADI WIYOGO</t>
  </si>
  <si>
    <t xml:space="preserve">5310153103883001</t>
  </si>
  <si>
    <t xml:space="preserve">Jl. Jatiwangi No. 12, RT/RW 002/006, Jepara, Bubutan, Surabaya</t>
  </si>
  <si>
    <t xml:space="preserve">EDI DIANTO</t>
  </si>
  <si>
    <t xml:space="preserve">3525021605940001</t>
  </si>
  <si>
    <t xml:space="preserve">Dusun Dukuh, RT/RW 004/001, Brangkal, Balongpanggang, Gresik</t>
  </si>
  <si>
    <t xml:space="preserve">SUSAN AGUSTI PRATIWI</t>
  </si>
  <si>
    <t xml:space="preserve">PAYABLE ADMIN</t>
  </si>
  <si>
    <t xml:space="preserve">3525056711030001</t>
  </si>
  <si>
    <t xml:space="preserve">Dusun Gumining, RT/RW 003/001, Tambakrejo, Duduksampeyan, Gresik</t>
  </si>
  <si>
    <t xml:space="preserve">ARNINDA CANDRA FIRSADA</t>
  </si>
  <si>
    <t xml:space="preserve">23070222250</t>
  </si>
  <si>
    <t xml:space="preserve">3471044407010001</t>
  </si>
  <si>
    <t xml:space="preserve">Jetis IV, RT/RW 002/007, Sidoagung, Godean, Sleman</t>
  </si>
  <si>
    <t xml:space="preserve">TATA JULIA MAHARANI</t>
  </si>
  <si>
    <t xml:space="preserve">7403156307020001</t>
  </si>
  <si>
    <t xml:space="preserve">Raha</t>
  </si>
  <si>
    <t xml:space="preserve">Jln. Lumba-lumba, RT/RW 000/000, Laiworu, Batalaiworu, Muna</t>
  </si>
  <si>
    <t xml:space="preserve">SALSA FADILA ANGGRAINI</t>
  </si>
  <si>
    <t xml:space="preserve">Creative Staff</t>
  </si>
  <si>
    <t xml:space="preserve">3515166908020003</t>
  </si>
  <si>
    <t xml:space="preserve">Bumi Gedangan Indah Blok I-2, RT/RW 001/009, Karangbong, Gedangan, Sidoarjo</t>
  </si>
  <si>
    <t xml:space="preserve">LEONG ISNANTO</t>
  </si>
  <si>
    <t xml:space="preserve">3525150507960002</t>
  </si>
  <si>
    <t xml:space="preserve">RICKY ANGGIRI</t>
  </si>
  <si>
    <t xml:space="preserve">27089078907</t>
  </si>
  <si>
    <t xml:space="preserve">3578041007850003</t>
  </si>
  <si>
    <t xml:space="preserve">Ngagel Mulyo 8/45, RT/RW 007/004, Ngagelrejo, Wonokromo, Surabaya</t>
  </si>
  <si>
    <t xml:space="preserve">MUHAMMAD ILHAM AL ALI</t>
  </si>
  <si>
    <t xml:space="preserve">3576012508050002</t>
  </si>
  <si>
    <t xml:space="preserve">Lingk. Blooto, RT/RW 002/001, Blooto, Prajurit Kulon, Mojokerto</t>
  </si>
  <si>
    <t xml:space="preserve">AHMAD ZIZOU AS SYAUQI</t>
  </si>
  <si>
    <t xml:space="preserve">3516050302070001</t>
  </si>
  <si>
    <t xml:space="preserve">Dsn. Jedongwetan, RT/RW 020/002, Wotanmasjedong, Ngoro, Mojokerto</t>
  </si>
  <si>
    <t xml:space="preserve">FAJAR ARIS AFFANDI</t>
  </si>
  <si>
    <t xml:space="preserve">3515172408950001</t>
  </si>
  <si>
    <t xml:space="preserve">Jl. Abd. Rachman, RT/RW 013/005, Pabean, Sedati, Sidoarjo</t>
  </si>
  <si>
    <t xml:space="preserve">INDAH WAHYUNINGTYAS</t>
  </si>
  <si>
    <t xml:space="preserve">27009568208</t>
  </si>
  <si>
    <t xml:space="preserve">3515175609040001</t>
  </si>
  <si>
    <t xml:space="preserve">Kampung Baru, RT/RW 018/008, Buncitan, Sedati, Sidoarjo</t>
  </si>
  <si>
    <t xml:space="preserve">AL GAFOOR FIRMANTO</t>
  </si>
  <si>
    <t xml:space="preserve">28027262088</t>
  </si>
  <si>
    <t xml:space="preserve">3515090202030001</t>
  </si>
  <si>
    <t xml:space="preserve">Jl. KH. Ach. Dahlan, RT/RW 001/002, Tulangan, Tulangan, Sidoarjo</t>
  </si>
  <si>
    <t xml:space="preserve">IMAM KURNIANTO</t>
  </si>
  <si>
    <t xml:space="preserve">PU Office</t>
  </si>
  <si>
    <t xml:space="preserve">3578212011030001</t>
  </si>
  <si>
    <t xml:space="preserve">Dukuh Pakis 5E / 21, RT/RW 002/004, Dukuh Pakis, Dukuh Pakis, Surabaya</t>
  </si>
  <si>
    <t xml:space="preserve">RADITYA HARSYA PRATAMA</t>
  </si>
  <si>
    <t xml:space="preserve">3516142812030001</t>
  </si>
  <si>
    <t xml:space="preserve">Gembongan, RT/RW 012/004, Gembongan, Gedeg, Mojokerto</t>
  </si>
  <si>
    <t xml:space="preserve">HANGGA PUTRA HUTAMA</t>
  </si>
  <si>
    <t xml:space="preserve">3523152909010003</t>
  </si>
  <si>
    <t xml:space="preserve">Dusun Sambi, RT/RW 041/016, Pandean, Dongko, Trenggalek</t>
  </si>
  <si>
    <t xml:space="preserve">SALFA' RIZQ RAMADHINA</t>
  </si>
  <si>
    <t xml:space="preserve">6372065412010002</t>
  </si>
  <si>
    <t xml:space="preserve">Perum. Pondok Bestari Indah/Residence Kapling 3, RT/RW 001/002, Landungsari, Dau, Malang</t>
  </si>
  <si>
    <t xml:space="preserve">VIKI ANDRIANTO</t>
  </si>
  <si>
    <t xml:space="preserve">3525062205980001</t>
  </si>
  <si>
    <t xml:space="preserve">SASKIA NUR JAZILA</t>
  </si>
  <si>
    <t xml:space="preserve">20056396657</t>
  </si>
  <si>
    <t xml:space="preserve">6471015409060001</t>
  </si>
  <si>
    <t xml:space="preserve">Jl. Mulawarman No. 14, RT/RW 003/000, Teritip, Balikpapan Timur, Balikpapan</t>
  </si>
  <si>
    <t xml:space="preserve">FERDIANSYA MIFTAQUL GIOFANI</t>
  </si>
  <si>
    <t xml:space="preserve">Checker Warehouse</t>
  </si>
  <si>
    <t xml:space="preserve">3515090608010003</t>
  </si>
  <si>
    <t xml:space="preserve">Gelang, RT/RW 006/001, Gelang, Tulangan, Sidoarjo</t>
  </si>
  <si>
    <t xml:space="preserve">BAGUS SAYYIDILHAQ A. S.</t>
  </si>
  <si>
    <t xml:space="preserve">3578011105980004</t>
  </si>
  <si>
    <t xml:space="preserve">Jl. Aryo Bebangah No 24 RT/RW 001/001, Bangah, Gedangan, Sidoarjo</t>
  </si>
  <si>
    <t xml:space="preserve">MERLYN MILLINIA LYDIAWATI</t>
  </si>
  <si>
    <t xml:space="preserve">3578044507000010</t>
  </si>
  <si>
    <t xml:space="preserve">Siwalankerto Tengah 123, RT/RW 007/002, Siwalankerto, Wonocolo, Surabaya</t>
  </si>
  <si>
    <t xml:space="preserve">LAZUARDY HASAN PRATAMA</t>
  </si>
  <si>
    <t xml:space="preserve">29092563439</t>
  </si>
  <si>
    <t xml:space="preserve">3525162507000003</t>
  </si>
  <si>
    <t xml:space="preserve">Sindujoyo 18/83, RT/RW 003/001, Lumpur, Gresik, Gresik</t>
  </si>
  <si>
    <t xml:space="preserve">SYAIFUL FACHRUDDIN</t>
  </si>
  <si>
    <t xml:space="preserve">3524261410980002</t>
  </si>
  <si>
    <t xml:space="preserve">Dalung, RT/RW 002/003, Jatirenggo, Glagah, Lamongan</t>
  </si>
  <si>
    <t xml:space="preserve">EVI DWI LESTARI</t>
  </si>
  <si>
    <t xml:space="preserve">0000727615192</t>
  </si>
  <si>
    <t xml:space="preserve">3516174808930002</t>
  </si>
  <si>
    <t xml:space="preserve">Kedungrawe, RT/RW 002/001, Kedungsoko, Mantup, Lamongan</t>
  </si>
  <si>
    <t xml:space="preserve">REIVA FATMA TANDIA UTOMO</t>
  </si>
  <si>
    <t xml:space="preserve">20095584952</t>
  </si>
  <si>
    <t xml:space="preserve">3507136104030002</t>
  </si>
  <si>
    <t xml:space="preserve">Dsn Blobo, RT/RW 001/001, Sukoraharjo, Kepanjen, Malang</t>
  </si>
  <si>
    <t xml:space="preserve">FEBRIANA AULIA FRANSISCA</t>
  </si>
  <si>
    <t xml:space="preserve">29087417026</t>
  </si>
  <si>
    <t xml:space="preserve">3507164302060001</t>
  </si>
  <si>
    <t xml:space="preserve">Dusun Wringinanom, RT/RW 027/009, Slamet, Tumpang, Malang</t>
  </si>
  <si>
    <t xml:space="preserve">TRIA PRIHARTINI</t>
  </si>
  <si>
    <t xml:space="preserve">1872044211000003</t>
  </si>
  <si>
    <t xml:space="preserve">Jl. Gunung Krakatau No. 01 Gg. Nurul Ikhlas, RT/RW 014/007, Iring Mulyo, Metro Timur, Metro</t>
  </si>
  <si>
    <t xml:space="preserve">JERICO EKA VEBRIAPUTRA</t>
  </si>
  <si>
    <t xml:space="preserve">21096498601</t>
  </si>
  <si>
    <t xml:space="preserve">3573042802950004</t>
  </si>
  <si>
    <t xml:space="preserve">Jl. Kyai Parseh Jaya No. 13, RT/RW 014/003, Bumiayu, Kedungkandang, Malang</t>
  </si>
  <si>
    <t xml:space="preserve">ISDAYANTI</t>
  </si>
  <si>
    <t xml:space="preserve">29021641967</t>
  </si>
  <si>
    <t xml:space="preserve">1106094706980002</t>
  </si>
  <si>
    <t xml:space="preserve">Desa Mesjid</t>
  </si>
  <si>
    <t xml:space="preserve">Perum Tiongkok Blok A No. 33, RT/RW 000/000, Neuheun, Mesjid Raya, Aceh Besar</t>
  </si>
  <si>
    <t xml:space="preserve">DHEA PUTRI AMANDA</t>
  </si>
  <si>
    <t xml:space="preserve">24017510743</t>
  </si>
  <si>
    <t xml:space="preserve">Beauty Advisor</t>
  </si>
  <si>
    <t xml:space="preserve">3516125409030003</t>
  </si>
  <si>
    <t xml:space="preserve">Ngenu, RT/RW 002/002, Klinterejo, Sooko, Mojokerto</t>
  </si>
  <si>
    <t xml:space="preserve">NOVITA CANDRA BOKOSI</t>
  </si>
  <si>
    <t xml:space="preserve">21044538886</t>
  </si>
  <si>
    <t xml:space="preserve">7571046412990002</t>
  </si>
  <si>
    <t xml:space="preserve">Lingkungan IV, RT/RW 000/000, Dutulana, Limboto, Gorontalo</t>
  </si>
  <si>
    <t xml:space="preserve">RATIH OLIFA MARAMIS</t>
  </si>
  <si>
    <t xml:space="preserve">29047567102</t>
  </si>
  <si>
    <t xml:space="preserve">7101224510000302</t>
  </si>
  <si>
    <t xml:space="preserve">Poopo</t>
  </si>
  <si>
    <t xml:space="preserve">Dusun I, RT/RW 001/000, Poopo, Passi Timur, Bolaang Mongondow</t>
  </si>
  <si>
    <t xml:space="preserve">NADA AGUSTIN</t>
  </si>
  <si>
    <t xml:space="preserve">24009825634</t>
  </si>
  <si>
    <t xml:space="preserve">6371024508040008</t>
  </si>
  <si>
    <t xml:space="preserve">BANJARMASIN</t>
  </si>
  <si>
    <t xml:space="preserve">JL. VETERAN GG. H. ASMIUNI, RT 027/002, KURIPAN, BANJARMASIN TIMUR, KOTA BANJARMASIN</t>
  </si>
  <si>
    <t xml:space="preserve">083193031582</t>
  </si>
  <si>
    <t xml:space="preserve">MOHAMMAD MALIKU HIDAYAT</t>
  </si>
  <si>
    <t xml:space="preserve">28007701103</t>
  </si>
  <si>
    <t xml:space="preserve">3524100612930005</t>
  </si>
  <si>
    <t xml:space="preserve">AINUR ROFIQ MARYONO</t>
  </si>
  <si>
    <t xml:space="preserve">3517092303920003</t>
  </si>
  <si>
    <t xml:space="preserve">Jl. Sawung Galing VII, RT/RW 005/002, Jemundo, Taman, Sidoarjo</t>
  </si>
  <si>
    <t xml:space="preserve">BAYU HERIYANTO ALFARIKZI</t>
  </si>
  <si>
    <t xml:space="preserve">3516142511930001</t>
  </si>
  <si>
    <t xml:space="preserve">Simpang, RT/RW 039/008, Sidoharjo, Gedeg, Mojokerto</t>
  </si>
  <si>
    <t xml:space="preserve">FIRNANDO SINDU ARDANA</t>
  </si>
  <si>
    <t xml:space="preserve">3503112903020002</t>
  </si>
  <si>
    <t xml:space="preserve">Jl. Imam Bonjol Gg. Flamboyan No. 5D, RT/RW 015/005, Ngantru, Trenggalek</t>
  </si>
  <si>
    <t xml:space="preserve">RISKI ZAKARIA ASYARI</t>
  </si>
  <si>
    <t xml:space="preserve">3578060207990003</t>
  </si>
  <si>
    <t xml:space="preserve">Kedung Anyar 1/16 C, RT/RW 001/012, Sawahan, Sawwahan, Surabaya</t>
  </si>
  <si>
    <t xml:space="preserve">MOCH. HASANUDIN</t>
  </si>
  <si>
    <t xml:space="preserve">3578120412900001</t>
  </si>
  <si>
    <t xml:space="preserve">Kalimas Baru 3 Lebar Timur 01, RT/RW 001/006, Tanjung Perak, Pabean Cantian, Surabaya</t>
  </si>
  <si>
    <t xml:space="preserve">TSABIT REZAK MUSA</t>
  </si>
  <si>
    <t xml:space="preserve">3525163006070002</t>
  </si>
  <si>
    <t xml:space="preserve">KH. Abd. Karim 1/8, RT/RW 003/001, Karangpoh, Gresik, Gresik</t>
  </si>
  <si>
    <t xml:space="preserve">MUHAMMAD AYDIN NAUFAL</t>
  </si>
  <si>
    <t xml:space="preserve">Network &amp; Infrastructure</t>
  </si>
  <si>
    <t xml:space="preserve">3518110611060001</t>
  </si>
  <si>
    <t xml:space="preserve">Dsn. Krajan Utara, RT/RW 001/005, Kampungbaru, Tanjunganom, Nganjuk</t>
  </si>
  <si>
    <t xml:space="preserve">MUHAMMAD IRSYAWAN ALFIANO</t>
  </si>
  <si>
    <t xml:space="preserve">27097145922</t>
  </si>
  <si>
    <t xml:space="preserve">Produksi Emulsion</t>
  </si>
  <si>
    <t xml:space="preserve">3525161102910002</t>
  </si>
  <si>
    <t xml:space="preserve">RA Kartini 1C/7, RT/RW 002/004, Tlogo Patut, Gresik, Gresik</t>
  </si>
  <si>
    <t xml:space="preserve">MOH. RIZAL TAUFIK LUTFI S. T.</t>
  </si>
  <si>
    <t xml:space="preserve">21028452237</t>
  </si>
  <si>
    <t xml:space="preserve">3524260603460002</t>
  </si>
  <si>
    <t xml:space="preserve">Mendogo, RT/RW 002/002, Mendogo, Glagah, Lamongan</t>
  </si>
  <si>
    <t xml:space="preserve">WIJAYA</t>
  </si>
  <si>
    <t xml:space="preserve">3524180605940001</t>
  </si>
  <si>
    <t xml:space="preserve">Sonoadi, RT/RW 005/002, Sonoadi, Karanggeneng, Lamongan</t>
  </si>
  <si>
    <t xml:space="preserve">856-0818-7581</t>
  </si>
  <si>
    <t xml:space="preserve">MUHAMMAD YANUAR VEBIANSYAH</t>
  </si>
  <si>
    <t xml:space="preserve">3515090201070003</t>
  </si>
  <si>
    <t xml:space="preserve">Jl. Rajawali VI, RT/RW 012/004, Kenongo, Tulangan, Sidoarjo</t>
  </si>
  <si>
    <t xml:space="preserve">MOCHAMAD RIFAI ABDULAH</t>
  </si>
  <si>
    <t xml:space="preserve">Admin Logistik Marketing</t>
  </si>
  <si>
    <t xml:space="preserve">3515130504000005</t>
  </si>
  <si>
    <t xml:space="preserve">Jl. Imam Bonjol, RT/RW 034/003, Geluran, Taman, Sidoarjo</t>
  </si>
  <si>
    <t xml:space="preserve">DENNIS ARTHUR LOUHENAPESSY</t>
  </si>
  <si>
    <t xml:space="preserve">3578082410860004</t>
  </si>
  <si>
    <t xml:space="preserve">Pucang Sewu 6/7, RT/RW 004/007, Pucang Sewu, Gubeng, Surabaya</t>
  </si>
  <si>
    <t xml:space="preserve">FARIS ABIDIN</t>
  </si>
  <si>
    <t xml:space="preserve">3578240303830001</t>
  </si>
  <si>
    <t xml:space="preserve">Tenggilis Kauman IV/17, rt/rw 003/003, Tenggilis Mejoyo, Tenggilis Mejoyo, Surabaya</t>
  </si>
  <si>
    <t xml:space="preserve">M DIKY RAHADIANSYAH</t>
  </si>
  <si>
    <t xml:space="preserve">3515081309990008</t>
  </si>
  <si>
    <t xml:space="preserve">Dsn. Banjarpoh, RT/RW 030/006, Banjarbendo, Sidoarjo, Sidoarjo</t>
  </si>
  <si>
    <t xml:space="preserve">M.FARID ANSORI</t>
  </si>
  <si>
    <t xml:space="preserve">3515181204870005</t>
  </si>
  <si>
    <t xml:space="preserve">Jl. H. Abdul Rahman No. 96, RT/RW 004/002, Sedatigede, Sedati, Sidoarjo</t>
  </si>
  <si>
    <t xml:space="preserve">RONNY HERTANTO</t>
  </si>
  <si>
    <t xml:space="preserve">3578040710820002</t>
  </si>
  <si>
    <t xml:space="preserve">Gunungsari 2/122-B, RT/RW 005/008, Sawung Galing, Wonokromo, Surabaya</t>
  </si>
  <si>
    <t xml:space="preserve">WAHYU TRILEKSONO</t>
  </si>
  <si>
    <t xml:space="preserve">3515120604830002</t>
  </si>
  <si>
    <t xml:space="preserve">Pilang Bangu, RT/RW 008/003, Kemangsen, Balongbendo, Sidoarjo</t>
  </si>
  <si>
    <t xml:space="preserve">MOHAMMAD AFRISAL WAHYU FERDIAN</t>
  </si>
  <si>
    <t xml:space="preserve">3514120305930004</t>
  </si>
  <si>
    <t xml:space="preserve">Kejapanan, RT/RW 005/012, Kejapanan, Gempol, Pasuruan</t>
  </si>
  <si>
    <t xml:space="preserve">NUR KHOLIQ</t>
  </si>
  <si>
    <t xml:space="preserve">3519131910910001</t>
  </si>
  <si>
    <t xml:space="preserve">Bakur, RT/RW 012/002, Bakur, Sawahan, Madiun</t>
  </si>
  <si>
    <t xml:space="preserve">AUDREY APTA PURWANANDIKA</t>
  </si>
  <si>
    <t xml:space="preserve">3517181906050001</t>
  </si>
  <si>
    <t xml:space="preserve">Jl. Jambangan Baru Selatan Rusunawa II Lt. IV No. 1, RT/RW 002/004, Jambangan, Jambangan, Surabaya</t>
  </si>
  <si>
    <t xml:space="preserve">RANDY FEBRIAN FADHIL RIZQI</t>
  </si>
  <si>
    <t xml:space="preserve">3578061101030008</t>
  </si>
  <si>
    <t xml:space="preserve">Banyu Urip Kidul 6/28, RT/RW 003/009, Banyu Urip, Sawahan, Surabaya</t>
  </si>
  <si>
    <t xml:space="preserve">GUNTUR TRI AMBODHO</t>
  </si>
  <si>
    <t xml:space="preserve">3578063010980008</t>
  </si>
  <si>
    <t xml:space="preserve">Kupang Krajan Lor 2/8-A, RT/RW 009/003, Kupang Krajan, Sawahan, Surabaya</t>
  </si>
  <si>
    <t xml:space="preserve">ADAM AFRIZAL</t>
  </si>
  <si>
    <t xml:space="preserve">3208301104000001</t>
  </si>
  <si>
    <t xml:space="preserve">Wonoayu, RT/RW 002/003, Medokan Ayu, Rungkut, Surabaya</t>
  </si>
  <si>
    <t xml:space="preserve">JARSONO LUKITO</t>
  </si>
  <si>
    <t xml:space="preserve">3578201206870001</t>
  </si>
  <si>
    <t xml:space="preserve">Lontar, RT/RW 004/002, Lontar, Sambikerep, Surabaya</t>
  </si>
  <si>
    <t xml:space="preserve">MOCH RIZKY YUNIANTO</t>
  </si>
  <si>
    <t xml:space="preserve">3578240306040001</t>
  </si>
  <si>
    <t xml:space="preserve">Kutisari Utara 3/11-A, RT/RW 008/002, Kutisari, Tenggilis Mejoyo, Surabaya</t>
  </si>
  <si>
    <t xml:space="preserve">IRHAZ SYA'BANA FIRDAUS</t>
  </si>
  <si>
    <t xml:space="preserve">3515180609060009</t>
  </si>
  <si>
    <t xml:space="preserve">Berbek 1D/4, RT/RW 001/005, Berbek, Waru, Sidoarjo</t>
  </si>
  <si>
    <t xml:space="preserve">AGAM SETIA PUTRA</t>
  </si>
  <si>
    <t xml:space="preserve">3578042511040013</t>
  </si>
  <si>
    <t xml:space="preserve">Karangrejo 3/9, RT/RW 003/008, Wonokromo, Wonokromo, Surabaya</t>
  </si>
  <si>
    <t xml:space="preserve">WAHYU RAMADANI</t>
  </si>
  <si>
    <t xml:space="preserve">3578041111030002</t>
  </si>
  <si>
    <t xml:space="preserve">Karangrejo 3/1-F, RT/RW 003/008, Wonokromo, Wonokromo, Surabaya</t>
  </si>
  <si>
    <t xml:space="preserve">GALILEO FALSTA ARMIANANDA</t>
  </si>
  <si>
    <t xml:space="preserve">3516011307990002</t>
  </si>
  <si>
    <t xml:space="preserve">Jl. Ronggo Lawe, RT/RW 001/006, Sumengko, Jatirejo, Mojokerto</t>
  </si>
  <si>
    <t xml:space="preserve">ANDRE EKA HARDI YUNANTO</t>
  </si>
  <si>
    <t xml:space="preserve">23044032941</t>
  </si>
  <si>
    <t xml:space="preserve">Admin Handling</t>
  </si>
  <si>
    <t xml:space="preserve">3513121007000003</t>
  </si>
  <si>
    <t xml:space="preserve">Jl. Brassia Hill II, RT/RW 005/013, Tirtomoyo, Pakis, Malang</t>
  </si>
  <si>
    <t xml:space="preserve">AZIS WINOTO</t>
  </si>
  <si>
    <t xml:space="preserve">3522122102900001</t>
  </si>
  <si>
    <t xml:space="preserve">Dusun Mulung, RT/RW 008/002, Ngrandu, Kadungadem, Bojonegoro</t>
  </si>
  <si>
    <t xml:space="preserve">NAIDA ULAYYA NAJLA</t>
  </si>
  <si>
    <t xml:space="preserve">25091166553</t>
  </si>
  <si>
    <t xml:space="preserve">3320066703060002</t>
  </si>
  <si>
    <t xml:space="preserve">Jobokuto, RT/RW 004/001, Jobokuto, Jepara, Kab. Jepara</t>
  </si>
  <si>
    <t xml:space="preserve">NAILA SYIFA KAMILA</t>
  </si>
  <si>
    <t xml:space="preserve">25059042597</t>
  </si>
  <si>
    <t xml:space="preserve">3326134207080001</t>
  </si>
  <si>
    <t xml:space="preserve">RT/RW 011/004, Karangdowo, Kedungwuni, Kab. Pekalongan</t>
  </si>
  <si>
    <t xml:space="preserve">IHTIFAZHUDDIN NUR ADABI AKPARINA</t>
  </si>
  <si>
    <t xml:space="preserve">26089731675</t>
  </si>
  <si>
    <t xml:space="preserve">3524222604980001</t>
  </si>
  <si>
    <t xml:space="preserve">Jl. Ikan Bandeng II No. 23, Sukomulyo, Lamongan</t>
  </si>
  <si>
    <t xml:space="preserve">MOCH. BAITUR ROKHMAN</t>
  </si>
  <si>
    <t xml:space="preserve">3575032108970003</t>
  </si>
  <si>
    <t xml:space="preserve">Jl. Trunojoyo, RT/RW 005/002, Bugul Kidul, Bugul Kidul, Pasuruan</t>
  </si>
  <si>
    <t xml:space="preserve">FARID JANUAR DIANTO</t>
  </si>
  <si>
    <t xml:space="preserve">3576021601860003</t>
  </si>
  <si>
    <t xml:space="preserve">The Vistaresidenge Blok G-10, RT/RW 003/001, Sadartengah, Mojoanyar, Mojokerto</t>
  </si>
  <si>
    <t xml:space="preserve">DWI ADI SURYANA</t>
  </si>
  <si>
    <t xml:space="preserve">20063778342</t>
  </si>
  <si>
    <t xml:space="preserve">3516092410000001</t>
  </si>
  <si>
    <t xml:space="preserve">Dsn Klegen, RT/RW 001/008, Talok, Dlanggu, Mojokerto</t>
  </si>
  <si>
    <t xml:space="preserve">MOCH. FAUZI AZIM</t>
  </si>
  <si>
    <t xml:space="preserve">28018562277</t>
  </si>
  <si>
    <t xml:space="preserve">Operator Checker</t>
  </si>
  <si>
    <t xml:space="preserve">3522082304980003</t>
  </si>
  <si>
    <t xml:space="preserve">Jl. sawunggaling 130, RT/RW 003/001, Jemundo, Taman, Sidoarjo</t>
  </si>
  <si>
    <t xml:space="preserve">MUCHAMMAD ABDULLAH BAYU</t>
  </si>
  <si>
    <t xml:space="preserve">27049518795</t>
  </si>
  <si>
    <t xml:space="preserve">3515013006960004</t>
  </si>
  <si>
    <t xml:space="preserve">Dsn. Kandangan, RT/RW 004/001, Banjarwungu, Tarik, Sidoarjo</t>
  </si>
  <si>
    <t xml:space="preserve">ENDI DWI PRAHYUONO HIDAYAT</t>
  </si>
  <si>
    <t xml:space="preserve">22051561279</t>
  </si>
  <si>
    <t xml:space="preserve">Staff Recruitment</t>
  </si>
  <si>
    <t xml:space="preserve">3518130407980005</t>
  </si>
  <si>
    <t xml:space="preserve">Jl. Barto 67B, RT/RW 007/006, Mangundikaran, Nganjuk, Nganjuk</t>
  </si>
  <si>
    <t xml:space="preserve">24056982505</t>
  </si>
  <si>
    <t xml:space="preserve">3515110607970001</t>
  </si>
  <si>
    <t xml:space="preserve">Gamping Wetan, RT/RW 006/002, Gamping, Krian, Sidoarjo</t>
  </si>
  <si>
    <t xml:space="preserve">23071475957</t>
  </si>
  <si>
    <t xml:space="preserve">3515133005790009</t>
  </si>
  <si>
    <t xml:space="preserve">Sadang, RT/RW 006/002, Sadang, Taman, Sidoarjo</t>
  </si>
  <si>
    <t xml:space="preserve">NUR SYIFA FARHADITA</t>
  </si>
  <si>
    <t xml:space="preserve">6371035606030005</t>
  </si>
  <si>
    <t xml:space="preserve">Jl. Belitung Darat Gg. Keluarga No. 91, RT/RW 008/001, Belitung Selatan, Banjarmasin Barat, Banjarmasin</t>
  </si>
  <si>
    <t xml:space="preserve">NANI YULASTRI</t>
  </si>
  <si>
    <t xml:space="preserve">23082539344</t>
  </si>
  <si>
    <t xml:space="preserve">1571034604890101</t>
  </si>
  <si>
    <t xml:space="preserve">Jl. Ananing, RT/RW 001/000, Pakuan Baru, Jambi Selatan, Kota Jambi</t>
  </si>
  <si>
    <t xml:space="preserve">KEMBALI ONLINE </t>
  </si>
  <si>
    <t xml:space="preserve">ROFIQ ISMAIL</t>
  </si>
  <si>
    <t xml:space="preserve">3514111209840003</t>
  </si>
  <si>
    <t xml:space="preserve">Dsn Sumput, RT/RW 003/001, Sumput, Driyorejo, Gresik</t>
  </si>
  <si>
    <t xml:space="preserve">SLAMET RIYADI</t>
  </si>
  <si>
    <t xml:space="preserve">3516140507800004</t>
  </si>
  <si>
    <t xml:space="preserve">Jl. Garbo, RT/RW 021/006, Gembongan, Gedeg, Mojokerto</t>
  </si>
  <si>
    <t xml:space="preserve">MUHAMMAD RIJAL MAULANA</t>
  </si>
  <si>
    <t xml:space="preserve">3516140106020004</t>
  </si>
  <si>
    <t xml:space="preserve">Dsn. Ngepung, RT/RW 003/001, Ds Beratwetan, Gedeg, Mojokerto</t>
  </si>
  <si>
    <t xml:space="preserve">HARTONO</t>
  </si>
  <si>
    <t xml:space="preserve">3516141309810002</t>
  </si>
  <si>
    <t xml:space="preserve">Dsn. Sidorembung, RT /RW 010/003, Balongsari, Gedeg, Mojokerto</t>
  </si>
  <si>
    <t xml:space="preserve">SETYO BUDI WIJANARKO</t>
  </si>
  <si>
    <t xml:space="preserve">3516182403970003</t>
  </si>
  <si>
    <t xml:space="preserve">Ds. Kweden Wetan, RT/RW 005/003, Kweden Kembar, Mojoanyar, Mojokerto</t>
  </si>
  <si>
    <t xml:space="preserve">DONY FERRY IRAWAN</t>
  </si>
  <si>
    <t xml:space="preserve">23091603813</t>
  </si>
  <si>
    <t xml:space="preserve">3516141605930001</t>
  </si>
  <si>
    <t xml:space="preserve">Kangkungan, RT/RW 017/004, Kemantren, Gedeg, Mojokerto</t>
  </si>
  <si>
    <t xml:space="preserve">MUHAMMAD ISHAK ISTIANO</t>
  </si>
  <si>
    <t xml:space="preserve">28081314139</t>
  </si>
  <si>
    <t xml:space="preserve">3515142308980003</t>
  </si>
  <si>
    <t xml:space="preserve">Ds. Plumbungan, RT/RW 010/003, Plumbungan, Sukodono, Sidoarjo</t>
  </si>
  <si>
    <t xml:space="preserve">AISYAH FEBRIANTI FIRDAUS</t>
  </si>
  <si>
    <t xml:space="preserve">3516114902060001</t>
  </si>
  <si>
    <t xml:space="preserve">Kenanten, RT/RW 003/002, Kenanten, Puri, Mojokerto</t>
  </si>
  <si>
    <t xml:space="preserve">ARDA FAIZ ANARGYA</t>
  </si>
  <si>
    <t xml:space="preserve">3515181410050005</t>
  </si>
  <si>
    <t xml:space="preserve">Jl. Bringj. Katamso 3/36 B, RT/RW 026/006, Kedungrejo, Waru, Sidoarjo</t>
  </si>
  <si>
    <t xml:space="preserve">FITRI ARIANTI</t>
  </si>
  <si>
    <t xml:space="preserve">3578025103070003</t>
  </si>
  <si>
    <t xml:space="preserve">Jl. Siwalankerto Utara 37, RT/RW 003/003, Siwalankerto, Wonocolo, Surabaya</t>
  </si>
  <si>
    <t xml:space="preserve">AYUB SHOBIRIN</t>
  </si>
  <si>
    <t xml:space="preserve">3578301602950001</t>
  </si>
  <si>
    <t xml:space="preserve">Kauman Asri 3/40, RT/RW 003/006, Benowo, Pakal, Surabaya</t>
  </si>
  <si>
    <t xml:space="preserve">DENY ARIYANTO</t>
  </si>
  <si>
    <t xml:space="preserve">3525042311020004</t>
  </si>
  <si>
    <t xml:space="preserve">Jogodalu, RT/RW 013/003, Jogodalu, Benjeng, Gresik</t>
  </si>
  <si>
    <t xml:space="preserve">WILDAN TRI WAHYUDI</t>
  </si>
  <si>
    <t xml:space="preserve">Analis Laboratorium</t>
  </si>
  <si>
    <t xml:space="preserve">3505012512010001</t>
  </si>
  <si>
    <t xml:space="preserve">Dsn Wonodadi, RT/RW 002/001, Wonodadi, Wonodadi, Blitar</t>
  </si>
  <si>
    <t xml:space="preserve">FIQQIL MAULANA ROFQI</t>
  </si>
  <si>
    <t xml:space="preserve">3524251502040001</t>
  </si>
  <si>
    <t xml:space="preserve">Srirande, RT/RW 001/002, Srirande, Deket, Lamongan</t>
  </si>
  <si>
    <t xml:space="preserve">ARTHAK NAWANG PRADITYA</t>
  </si>
  <si>
    <t xml:space="preserve">Resepsionis</t>
  </si>
  <si>
    <t xml:space="preserve">3578046506970001</t>
  </si>
  <si>
    <t xml:space="preserve">Bratang Perintis 3/24, RT/RW 005/011, Ngagelrejo, Wonokromo, Surabaya</t>
  </si>
  <si>
    <t xml:space="preserve">IMAM SAFA'AT</t>
  </si>
  <si>
    <t xml:space="preserve">20040614590</t>
  </si>
  <si>
    <t xml:space="preserve">3525041212700005</t>
  </si>
  <si>
    <t xml:space="preserve">Dsn. Bulangkulon, RT/RW 002/002, Bulangkulon, Benjeng, Gresik</t>
  </si>
  <si>
    <t xml:space="preserve">FIYAN TEGUH PURWANTO</t>
  </si>
  <si>
    <t xml:space="preserve">3517202508010001</t>
  </si>
  <si>
    <t xml:space="preserve">Dsn Bungkil, RT/RW 004/001, Kedungrejo, Megaluh, Jombang</t>
  </si>
  <si>
    <t xml:space="preserve">ACHMAD NUR ROSYIDIN</t>
  </si>
  <si>
    <t xml:space="preserve">Staff Ppic</t>
  </si>
  <si>
    <t xml:space="preserve">3525122807970004</t>
  </si>
  <si>
    <t xml:space="preserve">Pasar Pon, RT/RW 003/001, Bedanten, Bungah, Gresik</t>
  </si>
  <si>
    <t xml:space="preserve">ANDINI RATNA SARI</t>
  </si>
  <si>
    <t xml:space="preserve">3514096303040002</t>
  </si>
  <si>
    <t xml:space="preserve">Dusun Krajan, RT/RW 001/001, Sukorejo, Sukorejo, Pasuruan</t>
  </si>
  <si>
    <t xml:space="preserve">ADI SAYOGA</t>
  </si>
  <si>
    <t xml:space="preserve">3578063004810010</t>
  </si>
  <si>
    <t xml:space="preserve">Dukuh Kupang Timur 10 B/31, RT/RW 007/008, Pakis, Sawahan, Surabaya</t>
  </si>
  <si>
    <t xml:space="preserve">RIZKI WYDA PRATAMA PUTRA</t>
  </si>
  <si>
    <t xml:space="preserve">28065982093</t>
  </si>
  <si>
    <t xml:space="preserve">3523131901930003</t>
  </si>
  <si>
    <t xml:space="preserve">Dsn Bancang, RT/RW 003/011, Tahulu, Merakurak, Tuban</t>
  </si>
  <si>
    <t xml:space="preserve">ELIS RAHMALIA</t>
  </si>
  <si>
    <t xml:space="preserve">1871096110040001</t>
  </si>
  <si>
    <t xml:space="preserve">Dusun V, RT/RW 001/011, Fajar Baru, Jati Agung, Lampung Selatan</t>
  </si>
  <si>
    <t xml:space="preserve">NUGROHO HADI SISWOYO</t>
  </si>
  <si>
    <t xml:space="preserve">0003051660161</t>
  </si>
  <si>
    <t xml:space="preserve">3518141112000001</t>
  </si>
  <si>
    <t xml:space="preserve">Dsn. Sidayu, RT/RW 002/007, Buduran, Bagor, Nganjuk</t>
  </si>
  <si>
    <t xml:space="preserve">MUH BADRUS KURNIAWAN</t>
  </si>
  <si>
    <t xml:space="preserve">3515111001960004</t>
  </si>
  <si>
    <t xml:space="preserve">Tarungwetan, RT/RW 001/001, Tarungwetan, Krian, Sidoarjo</t>
  </si>
  <si>
    <t xml:space="preserve">SLAMET WALUYO TRI MUJIONO</t>
  </si>
  <si>
    <t xml:space="preserve">3516181403800003</t>
  </si>
  <si>
    <t xml:space="preserve">Dsn. Njanti, RT/RW 004/002, Ds.Wunut, Mojoanyar, Mojokerto</t>
  </si>
  <si>
    <t xml:space="preserve">PUAT MAHFUDI</t>
  </si>
  <si>
    <t xml:space="preserve">22031314985</t>
  </si>
  <si>
    <t xml:space="preserve">3576020301980001</t>
  </si>
  <si>
    <t xml:space="preserve">Sekarputih Gg. Macan, RT/RW 004/002, Mojokerto</t>
  </si>
  <si>
    <t xml:space="preserve">BAHRUDI AGUS SUPRIYANTO</t>
  </si>
  <si>
    <t xml:space="preserve">26060196148</t>
  </si>
  <si>
    <t xml:space="preserve">3516051710870001</t>
  </si>
  <si>
    <t xml:space="preserve">Jl Gajah Barat, RT/RW 019/008, Magersari, Mojokerto</t>
  </si>
  <si>
    <t xml:space="preserve">LINA NOVITASARI</t>
  </si>
  <si>
    <t xml:space="preserve">22065000698</t>
  </si>
  <si>
    <t xml:space="preserve">3318196111940002</t>
  </si>
  <si>
    <t xml:space="preserve">Pakis, RT/RW 002/006, Pakis, Tayu, Pati</t>
  </si>
  <si>
    <t xml:space="preserve">WUJUD SUGIANTO</t>
  </si>
  <si>
    <t xml:space="preserve">3515112411930004</t>
  </si>
  <si>
    <t xml:space="preserve">Patuk, RT/RW 001/004, Sidomulyo, Krian, Sidoarjo</t>
  </si>
  <si>
    <t xml:space="preserve">MOH IVAN FADHONI</t>
  </si>
  <si>
    <t xml:space="preserve">26025582554</t>
  </si>
  <si>
    <t xml:space="preserve">3515060807990004</t>
  </si>
  <si>
    <t xml:space="preserve">Penatarsewu, RT/RW 001/001, Penatarsewu, Tanggulangin, Sidoarjo</t>
  </si>
  <si>
    <t xml:space="preserve">DENDI SUKAMDANI</t>
  </si>
  <si>
    <t xml:space="preserve">3519061407000002</t>
  </si>
  <si>
    <t xml:space="preserve">Rungkut Asri Utara II/2, RT/RW 001/011, Kalirungkut, Rungkut, Surabaya</t>
  </si>
  <si>
    <t xml:space="preserve">FATHUR ROCHMAN ALHAKIM</t>
  </si>
  <si>
    <t xml:space="preserve">3515072311030004</t>
  </si>
  <si>
    <t xml:space="preserve">Manokwari</t>
  </si>
  <si>
    <t xml:space="preserve">Ngampelsari, RT/RW 002/002, Ngampelsari, Candi, Sidoarjo</t>
  </si>
  <si>
    <t xml:space="preserve">FERDY ARYA JAYA SAPUTRA</t>
  </si>
  <si>
    <t xml:space="preserve">3578151302050002</t>
  </si>
  <si>
    <t xml:space="preserve">Tambak Asri 1 98, RT/RW 019/006, Morokrembangan, Krembangan, Surabaya</t>
  </si>
  <si>
    <t xml:space="preserve">FITROH AMIRIL MU'MININ</t>
  </si>
  <si>
    <t xml:space="preserve">3517150703950001</t>
  </si>
  <si>
    <t xml:space="preserve">Dsn. Kasih, RT/RW 007/002, Wadungasih, Buduran, Sidoarjo</t>
  </si>
  <si>
    <t xml:space="preserve">FREDY MERCURY</t>
  </si>
  <si>
    <t xml:space="preserve">28022222191</t>
  </si>
  <si>
    <t xml:space="preserve">3505072111000001</t>
  </si>
  <si>
    <t xml:space="preserve">Kedangsari I/11, RT/RW 001/005, Kedangsari, Tenggilis Mejoyo, Surabaya</t>
  </si>
  <si>
    <t xml:space="preserve">GUSTI MOHAMAD EKA PUTRA</t>
  </si>
  <si>
    <t xml:space="preserve">3515081104860004</t>
  </si>
  <si>
    <t xml:space="preserve">Wisma Sarinadi Blok E-2, RT/RW 028/006, Magersari, Sidoarjo, Sidoarjo</t>
  </si>
  <si>
    <t xml:space="preserve">JARWO ADI SANTOSO</t>
  </si>
  <si>
    <t xml:space="preserve">3578150107930005</t>
  </si>
  <si>
    <t xml:space="preserve">Ikan Lumba-Lumba 1/9, RT/RW 004/002, Perak Barat, Krembangan, Surabaya</t>
  </si>
  <si>
    <t xml:space="preserve">M. LUTFI MUSTABA</t>
  </si>
  <si>
    <t xml:space="preserve">3518061311950001</t>
  </si>
  <si>
    <t xml:space="preserve">Dsn. Sugihwaras, RT/RW 001/005, Sugihwaras, Prambon, Nganjuk</t>
  </si>
  <si>
    <t xml:space="preserve">MOHAMMAD RIFQI ZIDAN ALFANI</t>
  </si>
  <si>
    <t xml:space="preserve">3517182603000002</t>
  </si>
  <si>
    <t xml:space="preserve">Dsn Pucanganom, RT/RW 001/006, Pucangsimo, Bandarkedungmulyo, Jombang</t>
  </si>
  <si>
    <t xml:space="preserve">MARCELLO PUTRA KUSUMA</t>
  </si>
  <si>
    <t xml:space="preserve">3578010612060005</t>
  </si>
  <si>
    <t xml:space="preserve">Kebraon Indah Permai A/17, RT/RW 001/013, Kebraon, Karang Pilang, Surabaya</t>
  </si>
  <si>
    <t xml:space="preserve">MA'RUF FEBRIAN AFENDY</t>
  </si>
  <si>
    <t xml:space="preserve">22048991876</t>
  </si>
  <si>
    <t xml:space="preserve">3515132702920004</t>
  </si>
  <si>
    <t xml:space="preserve">Bandar, RT/RW 003/003, Sepanjang, Taman, Sidoarjo</t>
  </si>
  <si>
    <t xml:space="preserve">MOHAMAD KHAFIDZ</t>
  </si>
  <si>
    <t xml:space="preserve">3517181001050001</t>
  </si>
  <si>
    <t xml:space="preserve">Pucang Anom, RT/RW 001/004, Pucangsimo, Bandarkedungmulyo, Jombang</t>
  </si>
  <si>
    <t xml:space="preserve">MUCHAMAD SHOVIE ARIZAL</t>
  </si>
  <si>
    <t xml:space="preserve">3525140504990001</t>
  </si>
  <si>
    <t xml:space="preserve">Sunan Giri 07/21, RT/RW 003/004, Kawisanyar, Kebomas, Gresik</t>
  </si>
  <si>
    <t xml:space="preserve">PUTRA WAHYU KURNIAWAN</t>
  </si>
  <si>
    <t xml:space="preserve">27080036230</t>
  </si>
  <si>
    <t xml:space="preserve">3515180106030006</t>
  </si>
  <si>
    <t xml:space="preserve">Berbek I C/12E, RT/RW 004/001, Berbek, Waru, Sidoarjo</t>
  </si>
  <si>
    <t xml:space="preserve">RAHMAD FADLY ABDILAH</t>
  </si>
  <si>
    <t xml:space="preserve">3517202012050001</t>
  </si>
  <si>
    <t xml:space="preserve">Dsn. Mireng, RT/RW 002/004, Megaluh, Jombang</t>
  </si>
  <si>
    <t xml:space="preserve">RUDY FEBRIYANTO</t>
  </si>
  <si>
    <t xml:space="preserve">3506152702020003</t>
  </si>
  <si>
    <t xml:space="preserve">Dsn. Ngino, RT/RW 002/001, Ngino, Plemahan, Kediri</t>
  </si>
  <si>
    <t xml:space="preserve">SAIFUDIN HENDRO GUNAWAN</t>
  </si>
  <si>
    <t xml:space="preserve">3578251104970001</t>
  </si>
  <si>
    <t xml:space="preserve">Jl. Amir Mahmud 7C/8, RT/RW 004/002, Gunung Anyar, Gunung Anyar, Surabaya</t>
  </si>
  <si>
    <t xml:space="preserve">SUPRIYATNO</t>
  </si>
  <si>
    <t xml:space="preserve">3578102405890002</t>
  </si>
  <si>
    <t xml:space="preserve">Rangkah 7/40-E, RT/RW 004/001, Rangkah, Tambak Sari, Surabaya</t>
  </si>
  <si>
    <t xml:space="preserve">YUKE YUDA PRATAMA</t>
  </si>
  <si>
    <t xml:space="preserve">3507010107950001</t>
  </si>
  <si>
    <t xml:space="preserve">Tambakrejo, RT/RW 005/005, Purwodadi, Donomulyo, Malang</t>
  </si>
  <si>
    <t xml:space="preserve">MUHAMMAD RAMADHANI</t>
  </si>
  <si>
    <t xml:space="preserve">Helper Engineering</t>
  </si>
  <si>
    <t xml:space="preserve">3515091811020001</t>
  </si>
  <si>
    <t xml:space="preserve">Kajeksan, RT/RW 006/002, Kajeksan, Tulangan, Sidoarjo</t>
  </si>
  <si>
    <t xml:space="preserve">AJI SATRIYO</t>
  </si>
  <si>
    <t xml:space="preserve">3515132503970001</t>
  </si>
  <si>
    <t xml:space="preserve">Jl. Sawunggaling 4 Kav. 1, RT/RW 009/001, Jemundo, Taman, Sidoarjo</t>
  </si>
  <si>
    <t xml:space="preserve">HANSEN ADE RIOZA</t>
  </si>
  <si>
    <t xml:space="preserve">PT YUASA INDUSTRIAL BATTERY INDONESIA</t>
  </si>
  <si>
    <t xml:space="preserve">23053179665</t>
  </si>
  <si>
    <t xml:space="preserve">Admin Warehouse</t>
  </si>
  <si>
    <t xml:space="preserve">3312171201020002</t>
  </si>
  <si>
    <t xml:space="preserve">Teluk Nibung No. 22, RT/RW 009/004, Tanjung Perak, Pabean Cantian, Surabaya</t>
  </si>
  <si>
    <t xml:space="preserve">NOVI ISWAN HARIANTO</t>
  </si>
  <si>
    <t xml:space="preserve">27003078309</t>
  </si>
  <si>
    <t xml:space="preserve">3516182211880003</t>
  </si>
  <si>
    <t xml:space="preserve">Dsn. Pacing, RT/RW 002/001, Bangsal, Mojokerto</t>
  </si>
  <si>
    <t xml:space="preserve">MUHAMAD ROMLY</t>
  </si>
  <si>
    <t xml:space="preserve">3516181004910004</t>
  </si>
  <si>
    <t xml:space="preserve">Dsn Kweden Wetan, RT/RW 003/002, Mojoanyar, Mojokerto</t>
  </si>
  <si>
    <t xml:space="preserve">SUHERI</t>
  </si>
  <si>
    <t xml:space="preserve">22031415151</t>
  </si>
  <si>
    <t xml:space="preserve">3576020307830005</t>
  </si>
  <si>
    <t xml:space="preserve">Seka Putih, RT/RW 003/002, Kedundung, Magersari, Mojokerto</t>
  </si>
  <si>
    <t xml:space="preserve">WINDA PUSPITA SARI</t>
  </si>
  <si>
    <t xml:space="preserve">1807044907040002</t>
  </si>
  <si>
    <t xml:space="preserve">Gondangrejo</t>
  </si>
  <si>
    <t xml:space="preserve">Dusun IV, RT/RW 004/003, Gondangrejo, Pekalongan, Lampung Timur</t>
  </si>
  <si>
    <t xml:space="preserve">ZULFI DZULQARNAIN</t>
  </si>
  <si>
    <t xml:space="preserve">3515020409980003</t>
  </si>
  <si>
    <t xml:space="preserve">Plintahan, RT/RW 006/002, Wonoplintahan, Prambon, Sidoarjo</t>
  </si>
  <si>
    <t xml:space="preserve">ROHMATTAL LIL ALAMIN</t>
  </si>
  <si>
    <t xml:space="preserve">Helper Ekspedisi</t>
  </si>
  <si>
    <t xml:space="preserve">3506140808910002</t>
  </si>
  <si>
    <t xml:space="preserve">Dsn. Karanglo, RT/RW 001/003, Ngampel, Papar, Kediri</t>
  </si>
  <si>
    <t xml:space="preserve">IVAN TITO FADHILAH</t>
  </si>
  <si>
    <t xml:space="preserve">BATAL JOIN</t>
  </si>
  <si>
    <t xml:space="preserve">26041873224</t>
  </si>
  <si>
    <t xml:space="preserve">3507221206980003</t>
  </si>
  <si>
    <t xml:space="preserve">Taman Embong Anyar I/H 3, RT/RW 002/003, Mulyoagung, Dau, Malang</t>
  </si>
  <si>
    <t xml:space="preserve">ADITYA PRIHASTOMO</t>
  </si>
  <si>
    <t xml:space="preserve">3578182410040004</t>
  </si>
  <si>
    <t xml:space="preserve">Jl. Lakarsantri IV - B No. 41, RT/RW 002/004, Lakarsantri, Lakarsantri, Surabaya</t>
  </si>
  <si>
    <t xml:space="preserve">ANJAS SAPUTRA</t>
  </si>
  <si>
    <t xml:space="preserve">3524211210990001</t>
  </si>
  <si>
    <t xml:space="preserve">Gorame, RT/RW 002/001, Badurame, Turi, Lamongan</t>
  </si>
  <si>
    <t xml:space="preserve">ALDI WAHAB</t>
  </si>
  <si>
    <t xml:space="preserve">PT HAILIANG NOVA MATERIAL INDONESIA</t>
  </si>
  <si>
    <t xml:space="preserve">Cook Helper</t>
  </si>
  <si>
    <t xml:space="preserve">3522120205960006</t>
  </si>
  <si>
    <t xml:space="preserve">Termas, RT/RW 001/001, Ngepung, Patianrowo, Nganjuk</t>
  </si>
  <si>
    <t xml:space="preserve">DYAH AYU KUMALA DEWI</t>
  </si>
  <si>
    <t xml:space="preserve">26051862907</t>
  </si>
  <si>
    <t xml:space="preserve">3302195404860001</t>
  </si>
  <si>
    <t xml:space="preserve">Jl. Amad 1 Sokaraja Kidul, RT/RW 008/001, Sokaraja Kidul, Sokaraja, Banyumas</t>
  </si>
  <si>
    <t xml:space="preserve">DIAN RAHMA WATI</t>
  </si>
  <si>
    <t xml:space="preserve">21020480501</t>
  </si>
  <si>
    <t xml:space="preserve">3514114205960004</t>
  </si>
  <si>
    <t xml:space="preserve">Dukun Sukun, RT/RW 003/008, Sumber Gedang, Pandaan, Pasuruan</t>
  </si>
  <si>
    <t xml:space="preserve">DWI RAMAYANTI</t>
  </si>
  <si>
    <t xml:space="preserve">3525126810920002</t>
  </si>
  <si>
    <t xml:space="preserve">GEBBY PUJI YURISTA</t>
  </si>
  <si>
    <t xml:space="preserve">3525106907000003</t>
  </si>
  <si>
    <t xml:space="preserve">Jl. Dr. Wahidin Sudiro Husodo, RT/RW 001/001, Kebomas, Kebomas, Gresik</t>
  </si>
  <si>
    <t xml:space="preserve">GUSNIA ANGGRAENI</t>
  </si>
  <si>
    <t xml:space="preserve">Cook Helper Senior</t>
  </si>
  <si>
    <t xml:space="preserve">1808065408900001</t>
  </si>
  <si>
    <t xml:space="preserve">Banjar Negara</t>
  </si>
  <si>
    <t xml:space="preserve">Kedondong Kidul 1/43, RT/RW 007/006, Tegalsari, Tegalsari, Surabaya</t>
  </si>
  <si>
    <t xml:space="preserve">ILMIYAH MANFA'ATI FADILATUN NI'MAH</t>
  </si>
  <si>
    <t xml:space="preserve">3525126707030003</t>
  </si>
  <si>
    <t xml:space="preserve">Watu AgungRT/RW 007/002, Watu Agung, Bungah, Gresik</t>
  </si>
  <si>
    <t xml:space="preserve">NAILUL IZZAH</t>
  </si>
  <si>
    <t xml:space="preserve">3525104507030005</t>
  </si>
  <si>
    <t xml:space="preserve">Betoyokauman, RT/RW 001/001, Betoyokauman, Manyar, Gresik</t>
  </si>
  <si>
    <t xml:space="preserve">NIAS TUTIANI</t>
  </si>
  <si>
    <t xml:space="preserve">3503115006950004</t>
  </si>
  <si>
    <t xml:space="preserve">Dsn Salamrejo, RT/RW 002/002, Sumbergondo, Glenmore, Banyuwangi</t>
  </si>
  <si>
    <t xml:space="preserve">CHIN DJUNG SEN</t>
  </si>
  <si>
    <t xml:space="preserve">6172051606770001</t>
  </si>
  <si>
    <t xml:space="preserve">Sedau</t>
  </si>
  <si>
    <t xml:space="preserve">Tanjung Batu Dalam, RT/RW 013/003, Sedau, Singkawang Selatan, Singkawang</t>
  </si>
  <si>
    <t xml:space="preserve">MOH. QODRI AZIZISSANI</t>
  </si>
  <si>
    <t xml:space="preserve">3522122001050003</t>
  </si>
  <si>
    <t xml:space="preserve">Kilet, RT/RW 018/004, Karangdowo, Sumberejo, Bojonegoro</t>
  </si>
  <si>
    <t xml:space="preserve">RUDI ARIANTO</t>
  </si>
  <si>
    <t xml:space="preserve">3524261701930001</t>
  </si>
  <si>
    <t xml:space="preserve">Karangrejo Utara, RT/RW 017/013, Purworejo, Donomulyo, Malang</t>
  </si>
  <si>
    <t xml:space="preserve">SITI MAISAROH NINGSIH</t>
  </si>
  <si>
    <t xml:space="preserve">3526155705930007</t>
  </si>
  <si>
    <t xml:space="preserve">Jl. Kalianak Barat No. 45, RT/RW 004/001, Genting Kalianak, Asemrowo, Surabaya</t>
  </si>
  <si>
    <t xml:space="preserve">SITI MAISAROH</t>
  </si>
  <si>
    <t xml:space="preserve">28038623364</t>
  </si>
  <si>
    <t xml:space="preserve">3578285201940002</t>
  </si>
  <si>
    <t xml:space="preserve">Tambak Pokak I No. 10, RT/RW 003/003, Tambak Sarioso, Asem Rowo, Surabaya</t>
  </si>
  <si>
    <t xml:space="preserve">SUKESI</t>
  </si>
  <si>
    <t xml:space="preserve">3507124307800003</t>
  </si>
  <si>
    <t xml:space="preserve">Jl. Letjen S. Sukowati GG 1/19, RT/RW 001/002, Keniten, Ponorogo, Ponorogo</t>
  </si>
  <si>
    <t xml:space="preserve">TIARA RISMAYA NOVIANTI</t>
  </si>
  <si>
    <t xml:space="preserve">3525105511020007</t>
  </si>
  <si>
    <t xml:space="preserve">Gumeno, RT/RW 010/004, Gumeno, Manyar, Gresik</t>
  </si>
  <si>
    <t xml:space="preserve">MUHAMAD DESKI</t>
  </si>
  <si>
    <t xml:space="preserve">3516181412030005</t>
  </si>
  <si>
    <t xml:space="preserve">Kweden Kembar, RT/RW 003/005, Mojoanyar, Mojokerto</t>
  </si>
  <si>
    <t xml:space="preserve">NABIL YASSAR ARIQ</t>
  </si>
  <si>
    <t xml:space="preserve">27013703613</t>
  </si>
  <si>
    <t xml:space="preserve">3516011306070002</t>
  </si>
  <si>
    <t xml:space="preserve">Ds Dinoyo, RT/RW 002/003, Dinoyo, Jatirejo, Mojokerto</t>
  </si>
  <si>
    <t xml:space="preserve">MUHAMAD ARWANI</t>
  </si>
  <si>
    <t xml:space="preserve">3525142303870001</t>
  </si>
  <si>
    <t xml:space="preserve">Sunan Giri 13L/27A, RT/RW 001/004, Sidomukti, Kebomas, Gresik</t>
  </si>
  <si>
    <t xml:space="preserve">AHMAD YAN FUADJI</t>
  </si>
  <si>
    <t xml:space="preserve">Furniture</t>
  </si>
  <si>
    <t xml:space="preserve">3522212210030005</t>
  </si>
  <si>
    <t xml:space="preserve">Dsn Sampang, RT/RW 007/001, Buntalan, Temayang, Bojonegoro</t>
  </si>
  <si>
    <t xml:space="preserve">TULUS HERMANTO</t>
  </si>
  <si>
    <t xml:space="preserve">3515140308920003</t>
  </si>
  <si>
    <t xml:space="preserve">Sumontoro, RT/RW 012/004, Plumbungan, Sukodono, Sidoarjo</t>
  </si>
  <si>
    <t xml:space="preserve">MOCHAMAT KASWANTO</t>
  </si>
  <si>
    <t xml:space="preserve">26018455345</t>
  </si>
  <si>
    <t xml:space="preserve">3523041405000004</t>
  </si>
  <si>
    <t xml:space="preserve">Dsn Sowan, RT/RW 003/01, Bogorejo, Bancar, Tuban</t>
  </si>
  <si>
    <t xml:space="preserve">EKO JUJUK PRIBADI</t>
  </si>
  <si>
    <t xml:space="preserve">3515032804800003</t>
  </si>
  <si>
    <t xml:space="preserve">Gempol Rawan, RT/RW 004/002, Kedungrawan, Krembung, Sidoarjo</t>
  </si>
  <si>
    <t xml:space="preserve">WAHYU ALWI NORROHMAN</t>
  </si>
  <si>
    <t xml:space="preserve">23006661211</t>
  </si>
  <si>
    <t xml:space="preserve">Handling/Tally</t>
  </si>
  <si>
    <t xml:space="preserve">3578101906010003</t>
  </si>
  <si>
    <t xml:space="preserve">Kapas Gading Madya 3 C/18, RT/RW 009/001, Dukuh Setro, Tambak Sari, Surabaya</t>
  </si>
  <si>
    <t xml:space="preserve">ANDI PERDANA PUTRA</t>
  </si>
  <si>
    <t xml:space="preserve">20083416874</t>
  </si>
  <si>
    <t xml:space="preserve">3578371307000004</t>
  </si>
  <si>
    <t xml:space="preserve">Rumdis TNI AL Wonosari C - 100, RT/RW 008/005, Bulak Banteng, Kenjeran, Surabaya</t>
  </si>
  <si>
    <t xml:space="preserve">SUSIANTI GEA</t>
  </si>
  <si>
    <t xml:space="preserve">23017974197</t>
  </si>
  <si>
    <t xml:space="preserve">1401125201990004</t>
  </si>
  <si>
    <t xml:space="preserve">Sukaramai</t>
  </si>
  <si>
    <t xml:space="preserve">Esiwa, RT/RW 000/000, Esiwa, Namohalu Esiwa, Nias Utara</t>
  </si>
  <si>
    <t xml:space="preserve">DARMAWAN ANDRE SAMUDRA</t>
  </si>
  <si>
    <t xml:space="preserve">22021762029</t>
  </si>
  <si>
    <t xml:space="preserve">3578160611030002</t>
  </si>
  <si>
    <t xml:space="preserve">Endrosono 2/14-B, RT/RW 002/002, Wonokusumo, Semampir, Surabaya</t>
  </si>
  <si>
    <t xml:space="preserve">ABDUL ROSYID ALFIANSYAH</t>
  </si>
  <si>
    <t xml:space="preserve">3525110208070001</t>
  </si>
  <si>
    <t xml:space="preserve">MOCH ROBI</t>
  </si>
  <si>
    <t xml:space="preserve">3507191710970001</t>
  </si>
  <si>
    <t xml:space="preserve">Dsn Tambaksari Jl. Klengkeng, RT/RW 009/002, Jatisari, Pakisaji, Malang</t>
  </si>
  <si>
    <t xml:space="preserve">SHANIA EL HAWA</t>
  </si>
  <si>
    <t xml:space="preserve">Admin Logistic GBJ Plant 1</t>
  </si>
  <si>
    <t xml:space="preserve">3525144108010001</t>
  </si>
  <si>
    <t xml:space="preserve">Gunung Wilis, RT/RW 003/001, Gulomantung, Kebomas, Gresik</t>
  </si>
  <si>
    <t xml:space="preserve">ZULFITROH ARDHANA MUSLIM</t>
  </si>
  <si>
    <t xml:space="preserve">3579032205980005</t>
  </si>
  <si>
    <t xml:space="preserve">Batu</t>
  </si>
  <si>
    <t xml:space="preserve">Sekarputih, RT/RW 032/008, Pendem, Junrejo, Batu</t>
  </si>
  <si>
    <t xml:space="preserve">ADRI MAI ROULYS</t>
  </si>
  <si>
    <t xml:space="preserve">3517120805870004</t>
  </si>
  <si>
    <t xml:space="preserve">Dsn Kedondong, RT/RW 001/004, Ds. Blimbing, Kesamben, Jombang</t>
  </si>
  <si>
    <t xml:space="preserve">NUR FIRMANSYAH</t>
  </si>
  <si>
    <t xml:space="preserve">20011530394</t>
  </si>
  <si>
    <t xml:space="preserve">3578162401030004</t>
  </si>
  <si>
    <t xml:space="preserve">Wonosari 5/14, RT/RW 002/001, Wonokusumo, Semampir, Surabaya</t>
  </si>
  <si>
    <t xml:space="preserve">FRANS MAGNIS KRISFAMA</t>
  </si>
  <si>
    <t xml:space="preserve">25025642772</t>
  </si>
  <si>
    <t xml:space="preserve">3503120306010001</t>
  </si>
  <si>
    <t xml:space="preserve">Kedung Anyar 8/56, RT/RW 004/003, Sawahan, Sawahan, Surabaya</t>
  </si>
  <si>
    <t xml:space="preserve">ELVIRA VIRNANDA K.</t>
  </si>
  <si>
    <t xml:space="preserve">20021863241</t>
  </si>
  <si>
    <t xml:space="preserve">IM.Operator</t>
  </si>
  <si>
    <t xml:space="preserve">3522196306030002</t>
  </si>
  <si>
    <t xml:space="preserve">Rungkut Lor 09 No 14, RT/RW 008/005, Kalirungkut, Rungkut, Surabaya</t>
  </si>
  <si>
    <t xml:space="preserve">089612421615</t>
  </si>
  <si>
    <t xml:space="preserve">JUNI INDAH PERMATA SARI H</t>
  </si>
  <si>
    <t xml:space="preserve">0001169417722</t>
  </si>
  <si>
    <t xml:space="preserve">3578225406980001</t>
  </si>
  <si>
    <t xml:space="preserve">Gayungan 01/26 RT/RW 002/001 Gayungan, Gayungan, Surabaya</t>
  </si>
  <si>
    <t xml:space="preserve">KISNAYANA</t>
  </si>
  <si>
    <t xml:space="preserve">0001535039414</t>
  </si>
  <si>
    <t xml:space="preserve">3515074604750004</t>
  </si>
  <si>
    <t xml:space="preserve">Kedungrejo RT/RW 001/001 Wedoroklurak, Candi, Sidoarjo</t>
  </si>
  <si>
    <t xml:space="preserve">WAYANI ASIH</t>
  </si>
  <si>
    <t xml:space="preserve">3525014609850001</t>
  </si>
  <si>
    <t xml:space="preserve">Rungkut Tengah Gg 3C No 21 Surabaya</t>
  </si>
  <si>
    <t xml:space="preserve">085645050374</t>
  </si>
  <si>
    <t xml:space="preserve">KRISTIYANI</t>
  </si>
  <si>
    <t xml:space="preserve">0001707236109</t>
  </si>
  <si>
    <t xml:space="preserve">3578256006890001</t>
  </si>
  <si>
    <t xml:space="preserve">Rungkut Tengah III / 12 RT/RW 002/004 Rungkut Tengah, Gunung Anyar, Surabaya</t>
  </si>
  <si>
    <t xml:space="preserve">LAELATUS ALUNA</t>
  </si>
  <si>
    <t xml:space="preserve">0000749500121</t>
  </si>
  <si>
    <t xml:space="preserve">3522236708980002</t>
  </si>
  <si>
    <t xml:space="preserve">Mori RT 002 RW 001 Mori Trucuk Bojonegoro</t>
  </si>
  <si>
    <t xml:space="preserve">LAILATUS SOIMAH</t>
  </si>
  <si>
    <t xml:space="preserve">0001541377787</t>
  </si>
  <si>
    <t xml:space="preserve">3517097004870003</t>
  </si>
  <si>
    <t xml:space="preserve">Dsn. Dapurno, RT/RW 005/005, Dapur Kejambon, Jombang, Jombang</t>
  </si>
  <si>
    <t xml:space="preserve">LAILIA AMANDANI</t>
  </si>
  <si>
    <t xml:space="preserve">0001539287076</t>
  </si>
  <si>
    <t xml:space="preserve">3524096202950001</t>
  </si>
  <si>
    <t xml:space="preserve">Dsn. Sungegeneng RT/RW 004/007 Sungegeneng, Sekaran, Lamongan</t>
  </si>
  <si>
    <t xml:space="preserve">LASMIATUN</t>
  </si>
  <si>
    <t xml:space="preserve">21061302051</t>
  </si>
  <si>
    <t xml:space="preserve">3518055009830001</t>
  </si>
  <si>
    <t xml:space="preserve">Jl. R. Wijaya, RT/RW 005/005, Sawotratap, Gedangan, Kab. Sidoarjo</t>
  </si>
  <si>
    <t xml:space="preserve">LIA NUR KHASANA</t>
  </si>
  <si>
    <t xml:space="preserve">29027033521</t>
  </si>
  <si>
    <t xml:space="preserve">3578254506990001</t>
  </si>
  <si>
    <t xml:space="preserve">Jl. Berbek Kusuma No.66, RT/RW 004/002, Berbek, Waru, Kab. Sidoarjo</t>
  </si>
  <si>
    <t xml:space="preserve">LILIK AGUSTINA</t>
  </si>
  <si>
    <t xml:space="preserve">24095897983</t>
  </si>
  <si>
    <t xml:space="preserve">3518036208950004</t>
  </si>
  <si>
    <t xml:space="preserve">Kendangsari GG.XIV No.19-E, RT/RW 003/004, Kendangsari, Tenggilis Mejoyo, Kota Surabaya</t>
  </si>
  <si>
    <t xml:space="preserve">LILIK PURWANTI</t>
  </si>
  <si>
    <t xml:space="preserve">21003924051</t>
  </si>
  <si>
    <t xml:space="preserve">3524055906930002</t>
  </si>
  <si>
    <t xml:space="preserve">Rungkut Menanggal I.D/37, RT/RW 004/001, Rungkut Menanggal, Gunung Anyar, Kota Surabaya</t>
  </si>
  <si>
    <t xml:space="preserve">SHOFIA KAMILA</t>
  </si>
  <si>
    <t xml:space="preserve">24083752558</t>
  </si>
  <si>
    <t xml:space="preserve">ASSEMBLING.operator</t>
  </si>
  <si>
    <t xml:space="preserve">3514095106020003</t>
  </si>
  <si>
    <t xml:space="preserve">Simo Pomahan Baru Barat 4 Rt 006 Rw 005 Simomulyo Baru Sukomanunggal Surabaya</t>
  </si>
  <si>
    <t xml:space="preserve">0881036049496</t>
  </si>
  <si>
    <t xml:space="preserve">RINA ELISAFITRI</t>
  </si>
  <si>
    <t xml:space="preserve">28093948280</t>
  </si>
  <si>
    <t xml:space="preserve">3521046211040001</t>
  </si>
  <si>
    <t xml:space="preserve">Bulu Rt 003 Rw 002 Ploso, Kendal , Ngawi</t>
  </si>
  <si>
    <t xml:space="preserve">085607429973</t>
  </si>
  <si>
    <t xml:space="preserve">LINDA RETNO YUWONO</t>
  </si>
  <si>
    <t xml:space="preserve">0001535281176</t>
  </si>
  <si>
    <t xml:space="preserve">3514204201890002</t>
  </si>
  <si>
    <t xml:space="preserve">Adirogo RT/RW 001/006 Kedawung Kulon, Grati, Pasuruan</t>
  </si>
  <si>
    <t xml:space="preserve">LULUK MUSHONIFA</t>
  </si>
  <si>
    <t xml:space="preserve">24077053833</t>
  </si>
  <si>
    <t xml:space="preserve">3578254103940004</t>
  </si>
  <si>
    <t xml:space="preserve">Rungkut Menanggal 2A/18B, RT/RW 005/002, Rungkut Menanggal, Gunung Anyar, Kota Surabaya</t>
  </si>
  <si>
    <t xml:space="preserve">YENNY ADELIA PUTRI</t>
  </si>
  <si>
    <t xml:space="preserve">26069208441</t>
  </si>
  <si>
    <t xml:space="preserve">PRINTING</t>
  </si>
  <si>
    <t xml:space="preserve">3518085010060002</t>
  </si>
  <si>
    <t xml:space="preserve">Dsn. Ngebrungan Rt 003 Rw 016 Drenges Kertosono Nganjuk</t>
  </si>
  <si>
    <t xml:space="preserve">087765553930</t>
  </si>
  <si>
    <t xml:space="preserve">YAYUK EFIANA</t>
  </si>
  <si>
    <t xml:space="preserve">27058738868</t>
  </si>
  <si>
    <t xml:space="preserve">3526154204970001</t>
  </si>
  <si>
    <t xml:space="preserve">Lomaer Rt 000 Rw 000 Lomaer Blega Bangkalan</t>
  </si>
  <si>
    <t xml:space="preserve">085648417179</t>
  </si>
  <si>
    <t xml:space="preserve">YULIANDA ANITA</t>
  </si>
  <si>
    <t xml:space="preserve">24046047537</t>
  </si>
  <si>
    <t xml:space="preserve">3578034107970001</t>
  </si>
  <si>
    <t xml:space="preserve">Mejoyo Gg 2/37 Rt 006 Rw 007 Kalirungkut Rungkut Surabaya</t>
  </si>
  <si>
    <t xml:space="preserve">083831977626</t>
  </si>
  <si>
    <t xml:space="preserve">LULUK NUR MADINA</t>
  </si>
  <si>
    <t xml:space="preserve">28084879206</t>
  </si>
  <si>
    <t xml:space="preserve">3525045705080001</t>
  </si>
  <si>
    <t xml:space="preserve">Wonokerto, RT/RW 016/005, Sirnoboyo, Benjeng, Kab. Gresik</t>
  </si>
  <si>
    <t xml:space="preserve">LUTFIYATI</t>
  </si>
  <si>
    <t xml:space="preserve">25047515336</t>
  </si>
  <si>
    <t xml:space="preserve">0001829138253</t>
  </si>
  <si>
    <t xml:space="preserve">3515186103860005</t>
  </si>
  <si>
    <t xml:space="preserve">Kiriman Dalam RT/RW 002/001 Kepuhkiriman, Waru, Sidoarjo</t>
  </si>
  <si>
    <t xml:space="preserve">EDWIN MAULANA</t>
  </si>
  <si>
    <t xml:space="preserve">3273161108950001</t>
  </si>
  <si>
    <t xml:space="preserve">Jl. Wiranta No. 83, RT/RW 003/011, Sukamaju, Cibeunying Kidul, Bandung</t>
  </si>
  <si>
    <t xml:space="preserve">ANTON ISDIYANTO</t>
  </si>
  <si>
    <t xml:space="preserve">3515022210990001</t>
  </si>
  <si>
    <t xml:space="preserve">Wonokerto Lor, RT/RW 003/001, Wonopolitan, Prambon, Sidoarjo</t>
  </si>
  <si>
    <t xml:space="preserve">MAS HERI</t>
  </si>
  <si>
    <t xml:space="preserve">3518171007930003</t>
  </si>
  <si>
    <t xml:space="preserve">Jemur Wonosari Gg. Buntu No. 28, RT/RW 004/009, Jemur Wonosari, Wonocolo, Surabaya</t>
  </si>
  <si>
    <t xml:space="preserve">BIMA SETYO UTOMO</t>
  </si>
  <si>
    <t xml:space="preserve">3307042901010004</t>
  </si>
  <si>
    <t xml:space="preserve">Jl. Ketidur I, RT/RW 008/002, Surodinawan, Prajurit Kulon, Mojokerto</t>
  </si>
  <si>
    <t xml:space="preserve">AGENG PRAYOGI</t>
  </si>
  <si>
    <t xml:space="preserve">3509041602020002</t>
  </si>
  <si>
    <t xml:space="preserve">Dusun Kemukuh, RT/RW 001/020, Tembokrejo, Gumukmas, Jember</t>
  </si>
  <si>
    <t xml:space="preserve">TALITA DAMARA PRAMISWARI</t>
  </si>
  <si>
    <t xml:space="preserve">3509044610040003</t>
  </si>
  <si>
    <t xml:space="preserve">Dusun Kebonsari, RT/RW 003/023, Tembokrejo, Gumukmas, Jember</t>
  </si>
  <si>
    <t xml:space="preserve">META NOVA MARSELINA</t>
  </si>
  <si>
    <t xml:space="preserve">3514124311010001</t>
  </si>
  <si>
    <t xml:space="preserve">Sukci, RT/RW 001/004, Bulusari, Gempol, Pasuruan</t>
  </si>
  <si>
    <t xml:space="preserve">MOCH. DANDA FERDIANSYAH</t>
  </si>
  <si>
    <t xml:space="preserve">3515010202050004</t>
  </si>
  <si>
    <t xml:space="preserve">Dsn. Blijo, RT/RW 004/001, Sebani, Tarik, Sidaorjo</t>
  </si>
  <si>
    <t xml:space="preserve">KEVIN MAULANA ANANDA SYAHPUTRA</t>
  </si>
  <si>
    <t xml:space="preserve">3515012506010001</t>
  </si>
  <si>
    <t xml:space="preserve">Dsn. Blijo, RT/RW 003/001, Sebani, Tarik, Sidaorjo</t>
  </si>
  <si>
    <t xml:space="preserve">MUHAMMAD AFAN FARHAN</t>
  </si>
  <si>
    <t xml:space="preserve">3515082710010004</t>
  </si>
  <si>
    <t xml:space="preserve">Urangagung, RT/RW 016/006, Urangagung, Sidoarjo, Sidoarjo</t>
  </si>
  <si>
    <t xml:space="preserve">MUROFI ALIM QODI</t>
  </si>
  <si>
    <t xml:space="preserve">3515091504010004</t>
  </si>
  <si>
    <t xml:space="preserve">Jatipasar, RT/RW 003/002, Jatipasar, Trowulan, Mojokerto</t>
  </si>
  <si>
    <t xml:space="preserve">DIAN AYU PRATIWI</t>
  </si>
  <si>
    <t xml:space="preserve">3515106406020001</t>
  </si>
  <si>
    <t xml:space="preserve">Dsn Tanggul Kulon, RT/RW 003/001, Tanggul, Wonoayu, Sidoarjo</t>
  </si>
  <si>
    <t xml:space="preserve">IKLAS INDWI PRASTYO</t>
  </si>
  <si>
    <t xml:space="preserve">3515183105040005</t>
  </si>
  <si>
    <t xml:space="preserve">Jl. Perintis VII, RT/RW 008/008, Tambakrejo, Waru, Sidoarjo</t>
  </si>
  <si>
    <t xml:space="preserve">KANSA KHAILA ISLAMIRASYA</t>
  </si>
  <si>
    <t xml:space="preserve">3516114804040004</t>
  </si>
  <si>
    <t xml:space="preserve">Brongkol, RT/RW 002/012, Banjaragung, Puri, Mojokerto</t>
  </si>
  <si>
    <t xml:space="preserve">WANDA PUTRI MAYDINA</t>
  </si>
  <si>
    <t xml:space="preserve">3516135505040001</t>
  </si>
  <si>
    <t xml:space="preserve">Kedawang, RT/RW 003/003, Karangkedawang, Sooko, Mojokerto</t>
  </si>
  <si>
    <t xml:space="preserve">ALDO FEBRIANSAH SWANDARU</t>
  </si>
  <si>
    <t xml:space="preserve">3516140207040002</t>
  </si>
  <si>
    <t xml:space="preserve">Jl. Martorejo No. 56, RT/RW 016/005, Gedeg, Mojokerto</t>
  </si>
  <si>
    <t xml:space="preserve">HUDZAIFA IBNU YAMAN</t>
  </si>
  <si>
    <t xml:space="preserve">3516141505030002</t>
  </si>
  <si>
    <t xml:space="preserve">Losari Timur, RT/RW 021/004, Sidoharjo, Gedeg, Mojokerto</t>
  </si>
  <si>
    <t xml:space="preserve">ADELIA TIA IVANKA</t>
  </si>
  <si>
    <t xml:space="preserve">3517044809000003</t>
  </si>
  <si>
    <t xml:space="preserve">Dsn Wungurejo, RT/RW 001/006, Ngampungan, Bareng, Jombang</t>
  </si>
  <si>
    <t xml:space="preserve">AHMAD YUSRI MAHENDRA</t>
  </si>
  <si>
    <t xml:space="preserve">3574012812020002</t>
  </si>
  <si>
    <t xml:space="preserve">Dusun Sukun, RT/RW 004/001, Triwung Lor, Kademangan, Probolinggo</t>
  </si>
  <si>
    <t xml:space="preserve">NUROHMATUL KARIMAH</t>
  </si>
  <si>
    <t xml:space="preserve">3578096808010002</t>
  </si>
  <si>
    <t xml:space="preserve">Jl. Gebang Putih No. 16, RT/RW 003/003, Gebang Putih, Sukolilo, Surabaya</t>
  </si>
  <si>
    <t xml:space="preserve">HENDRA ANDIKA PRASETYA</t>
  </si>
  <si>
    <t xml:space="preserve">PELANGGARAN</t>
  </si>
  <si>
    <t xml:space="preserve">3578151811990002</t>
  </si>
  <si>
    <t xml:space="preserve">Randu Barat 1/12, RT/RW 006/003, Sidotopo Wetan, Kenjeran, Surabaya</t>
  </si>
  <si>
    <t xml:space="preserve">NI KADEK JUNIANTARI</t>
  </si>
  <si>
    <t xml:space="preserve">0002315747114</t>
  </si>
  <si>
    <t xml:space="preserve">5107064106920002</t>
  </si>
  <si>
    <t xml:space="preserve">Sibetan</t>
  </si>
  <si>
    <t xml:space="preserve">Br. Dinas Dukuh, Sibetan, Bebandem, Karang Asem</t>
  </si>
  <si>
    <t xml:space="preserve">NI LUH PANDE AYU NINGSIH</t>
  </si>
  <si>
    <t xml:space="preserve">0002261021613</t>
  </si>
  <si>
    <t xml:space="preserve">Klungkung</t>
  </si>
  <si>
    <t xml:space="preserve">5107014102950001</t>
  </si>
  <si>
    <t xml:space="preserve">Besakih</t>
  </si>
  <si>
    <t xml:space="preserve">Br. Dinas Tengah, RT/RW 000/000, Nongan, Rendang, Karangasem</t>
  </si>
  <si>
    <t xml:space="preserve">FANNY OCKTAVIYANTI</t>
  </si>
  <si>
    <t xml:space="preserve">24050480556</t>
  </si>
  <si>
    <t xml:space="preserve">3319066710070002</t>
  </si>
  <si>
    <t xml:space="preserve">Honggosoco, RT/RW 005/005, Honggosoco, Jekulo, Kudus</t>
  </si>
  <si>
    <t xml:space="preserve">NI PUTU SONIA WATI</t>
  </si>
  <si>
    <t xml:space="preserve">0003277712619</t>
  </si>
  <si>
    <t xml:space="preserve">Bali</t>
  </si>
  <si>
    <t xml:space="preserve">5104017010980002</t>
  </si>
  <si>
    <t xml:space="preserve">Gianyar</t>
  </si>
  <si>
    <t xml:space="preserve">Br. Cangi, RT/RW 000/000, Batuan Kaler, Sukawati, Gianyar</t>
  </si>
  <si>
    <t xml:space="preserve">MURNI MAMONTO</t>
  </si>
  <si>
    <t xml:space="preserve">7174025810950001</t>
  </si>
  <si>
    <t xml:space="preserve">Moyag</t>
  </si>
  <si>
    <t xml:space="preserve">Jl. Raya Moyag, RT/RW 005/003, Moyag, Kotamobagu Timur, Kotamobagu</t>
  </si>
  <si>
    <t xml:space="preserve">TRI WIDIANTORO</t>
  </si>
  <si>
    <t xml:space="preserve">3519121311950002</t>
  </si>
  <si>
    <t xml:space="preserve">Sumbawa</t>
  </si>
  <si>
    <t xml:space="preserve">Kembangan, RT/RW 001/003, Kembangan, Kebomas, Gresik</t>
  </si>
  <si>
    <t xml:space="preserve">IZMI BACHRUL</t>
  </si>
  <si>
    <t xml:space="preserve">QC Analisis</t>
  </si>
  <si>
    <t xml:space="preserve">3525130805920001</t>
  </si>
  <si>
    <t xml:space="preserve">Putat Lor, RT/RW 003/001, Putat Lor, Menganti, Gresik</t>
  </si>
  <si>
    <t xml:space="preserve">MAG BULE</t>
  </si>
  <si>
    <t xml:space="preserve">3175021607960008</t>
  </si>
  <si>
    <t xml:space="preserve">Manukan Lor 4/4, RT/RW 007/012, Manukan Kulon, Tandes, Surabaya</t>
  </si>
  <si>
    <t xml:space="preserve">RIZAL SETIYAWAN</t>
  </si>
  <si>
    <t xml:space="preserve">20069843557</t>
  </si>
  <si>
    <t xml:space="preserve">3321133001000001</t>
  </si>
  <si>
    <t xml:space="preserve">Perum Rosela Indah No. 22A, RT/RW 001/009, Sarirejo, Kaliwungu, Kendal</t>
  </si>
  <si>
    <t xml:space="preserve">ALEX CHANDRA</t>
  </si>
  <si>
    <t xml:space="preserve">3316060507020001</t>
  </si>
  <si>
    <t xml:space="preserve">DK. Delok, RT/RW 002/003, Pojok Watu, Sambong, Blora</t>
  </si>
  <si>
    <t xml:space="preserve">WISNU SATRIO JANARKO</t>
  </si>
  <si>
    <t xml:space="preserve">3525110404980002</t>
  </si>
  <si>
    <t xml:space="preserve">Dsn Gesing, RT/RW 005/003, Kalipadang, Benjeng, Gresik</t>
  </si>
  <si>
    <t xml:space="preserve">SEPTIAN WAHYU RENALDI</t>
  </si>
  <si>
    <t xml:space="preserve">3524182409030006</t>
  </si>
  <si>
    <t xml:space="preserve">Banteng Putih, RT/RW 002/001, Bantengputih, Karanggeneng, Lamongan</t>
  </si>
  <si>
    <t xml:space="preserve">REZA JULIAN SAPUTRA</t>
  </si>
  <si>
    <t xml:space="preserve">21027153470</t>
  </si>
  <si>
    <t xml:space="preserve">3525110707000004</t>
  </si>
  <si>
    <t xml:space="preserve">Dsn Tugu, RT/RW 001/002, Jono, Cerme, Gresik</t>
  </si>
  <si>
    <t xml:space="preserve">MOHAMMAD WAHYU ILHAMI</t>
  </si>
  <si>
    <t xml:space="preserve">22056746252</t>
  </si>
  <si>
    <t xml:space="preserve">3525102609990002</t>
  </si>
  <si>
    <t xml:space="preserve">Brawijaya, RT/RW 004/002, Gumeno, Manyar, Gresik</t>
  </si>
  <si>
    <t xml:space="preserve">ABDUL HAQI</t>
  </si>
  <si>
    <t xml:space="preserve">3524262602980002</t>
  </si>
  <si>
    <t xml:space="preserve">ARDILA KUKUH WICAKSONO</t>
  </si>
  <si>
    <t xml:space="preserve">3319070503000001</t>
  </si>
  <si>
    <t xml:space="preserve">DK Bonggoro, RT/RW 003/002, Purworejo, Bae, Kudus</t>
  </si>
  <si>
    <t xml:space="preserve">BUYA BOESTOMI DAWAMUZ ZIKRI</t>
  </si>
  <si>
    <t xml:space="preserve">3525142006970002</t>
  </si>
  <si>
    <t xml:space="preserve">Sunan Giri 7/25, Kawisanyar, Kebomas, Gresik</t>
  </si>
  <si>
    <t xml:space="preserve">KHAMZA BADRUZ ZAMAN</t>
  </si>
  <si>
    <t xml:space="preserve">22025403502</t>
  </si>
  <si>
    <t xml:space="preserve">3525071708050002</t>
  </si>
  <si>
    <t xml:space="preserve">Dusun Krajan 01, RT/RW 001/001, Pangkah Wetan, Ujungpangkah, Gresik</t>
  </si>
  <si>
    <t xml:space="preserve">EKO CAHYO PURNOMO</t>
  </si>
  <si>
    <t xml:space="preserve">20066325811</t>
  </si>
  <si>
    <t xml:space="preserve">3578062803970004</t>
  </si>
  <si>
    <t xml:space="preserve">Selorejo, RT/RW 015/003, Sadartengah, Mojoanyar, Mojokerto</t>
  </si>
  <si>
    <t xml:space="preserve">HARYANTO SAPUTRO</t>
  </si>
  <si>
    <t xml:space="preserve">3521121108960005</t>
  </si>
  <si>
    <t xml:space="preserve">Grenteng, RT/RW 002/001, Kauman, Widodaren, Ngawi</t>
  </si>
  <si>
    <t xml:space="preserve">ANGGARA BAGUS WICAKSONO</t>
  </si>
  <si>
    <t xml:space="preserve">24078694066</t>
  </si>
  <si>
    <t xml:space="preserve">3515013005060002</t>
  </si>
  <si>
    <t xml:space="preserve">Dsn. Pandean, RT/RW 007/001, Kalimati, Tarik, Sidoarjo</t>
  </si>
  <si>
    <t xml:space="preserve">RAHMA OKTAVIAR DWI ARDYANS</t>
  </si>
  <si>
    <t xml:space="preserve">3576020610990003</t>
  </si>
  <si>
    <t xml:space="preserve">Perum New Arsy Village No. 20, RT/RW 002/002, Puri, Puri, Mojokerto</t>
  </si>
  <si>
    <t xml:space="preserve">FITRIA SEPTY NOVITASARI</t>
  </si>
  <si>
    <t xml:space="preserve">Admin Fat</t>
  </si>
  <si>
    <t xml:space="preserve">3515114409010002</t>
  </si>
  <si>
    <t xml:space="preserve">Dsn Wadang, RT/RW 001/004, Tempel, Krian, Sidoarjo</t>
  </si>
  <si>
    <t xml:space="preserve">NANDA FIRDA FAHREZA</t>
  </si>
  <si>
    <t xml:space="preserve">22060515520</t>
  </si>
  <si>
    <t xml:space="preserve">3578186912010001</t>
  </si>
  <si>
    <t xml:space="preserve">Wisma Lidah Kulon Blok B-4, RT/RW 006/004, Lidah Kulon, Lakar Santri, Surabaya</t>
  </si>
  <si>
    <t xml:space="preserve">NADIA FRISKA FORTUNA</t>
  </si>
  <si>
    <t xml:space="preserve">1375037006010001</t>
  </si>
  <si>
    <t xml:space="preserve">Bukit Tinggi</t>
  </si>
  <si>
    <t xml:space="preserve">Jl. Kubu Tanjuang, RT/RW 002/001, Kubu Taanjuang, Aur Birugo Tigo Baleh, Bukittinngi</t>
  </si>
  <si>
    <t xml:space="preserve">RANGGA BAGUS MAHARDIKA</t>
  </si>
  <si>
    <t xml:space="preserve">TK Cat Temporer</t>
  </si>
  <si>
    <t xml:space="preserve">3516161904030002</t>
  </si>
  <si>
    <t xml:space="preserve">Dsn. Sukorame, RT/RW 025/007, Penompo, Jetis, Mojokerto</t>
  </si>
  <si>
    <t xml:space="preserve">DENI YUSAYFUDIN</t>
  </si>
  <si>
    <t xml:space="preserve">3516073103960003</t>
  </si>
  <si>
    <t xml:space="preserve">Jatisari, RT/RW 003/006, Pesanggrahan, Kutorejo</t>
  </si>
  <si>
    <t xml:space="preserve">RIVALDI ALIF JULIANTO</t>
  </si>
  <si>
    <t xml:space="preserve">3516052707020001</t>
  </si>
  <si>
    <t xml:space="preserve">Dsn Kembangsri, RT/RW 003/001, Kembangsri, Ngoro</t>
  </si>
  <si>
    <t xml:space="preserve">M.KHOLIFATUR RAHMAWAN</t>
  </si>
  <si>
    <t xml:space="preserve">3515022412060001</t>
  </si>
  <si>
    <t xml:space="preserve">Tanjung Anom, RT/RW 001/007, Bulang, Prambon</t>
  </si>
  <si>
    <t xml:space="preserve">MUKHAMAD IBRAHIM</t>
  </si>
  <si>
    <t xml:space="preserve">29033099934</t>
  </si>
  <si>
    <t xml:space="preserve">3514161707010001</t>
  </si>
  <si>
    <t xml:space="preserve">Sidogiri, RT/RW 002/002, Kraton, Pasuruan</t>
  </si>
  <si>
    <t xml:space="preserve">MUHAMMAD ZAKI ASRORI</t>
  </si>
  <si>
    <t xml:space="preserve">3523131003010001</t>
  </si>
  <si>
    <t xml:space="preserve">Karangrejo, RT/RW 001/006, Tegalrejo, Merakurak, Tuban</t>
  </si>
  <si>
    <t xml:space="preserve">RICHARDO FRANATA SITEPU</t>
  </si>
  <si>
    <t xml:space="preserve">1206166908990002</t>
  </si>
  <si>
    <t xml:space="preserve">Ndeskat, RT/RW 000/000, Ndeskat, Naman Teran, Karo</t>
  </si>
  <si>
    <t xml:space="preserve">IMAM HERU ISTANTOK</t>
  </si>
  <si>
    <t xml:space="preserve">21033379951</t>
  </si>
  <si>
    <t xml:space="preserve">3516070511930002</t>
  </si>
  <si>
    <t xml:space="preserve">Dsn. Muteran, RT/RW 002/004, Wonodadi, Kutorejo, Mojokerto</t>
  </si>
  <si>
    <t xml:space="preserve">SIGIT PERMANA</t>
  </si>
  <si>
    <t xml:space="preserve">20095891871</t>
  </si>
  <si>
    <t xml:space="preserve">3578062601900011</t>
  </si>
  <si>
    <t xml:space="preserve">Simo Gunung 1A/18, RT/RW 009/001, Banyu Urip, Sawahan, Surabaya</t>
  </si>
  <si>
    <t xml:space="preserve">RUDI SETIAWAN</t>
  </si>
  <si>
    <t xml:space="preserve">23037465031</t>
  </si>
  <si>
    <t xml:space="preserve">3578101705900002</t>
  </si>
  <si>
    <t xml:space="preserve">Dsn. Suko Legok, RT/RW 014/005, Suko, Sukodono, Sidoarjo</t>
  </si>
  <si>
    <t xml:space="preserve">MOCH.YUSUF</t>
  </si>
  <si>
    <t xml:space="preserve">3576021705940001</t>
  </si>
  <si>
    <t xml:space="preserve">Jl. Tirta Suam Gg 06 Sekar putih Mojokerto</t>
  </si>
  <si>
    <t xml:space="preserve">RISKY JOFAN DWI PRASETYO</t>
  </si>
  <si>
    <t xml:space="preserve">3576021509050005</t>
  </si>
  <si>
    <t xml:space="preserve">Jl. Tirtasuam 1, RT/RW 003/002, Magersari, Mojokero</t>
  </si>
  <si>
    <t xml:space="preserve">SAHRUL AUWALI MUNTOHA</t>
  </si>
  <si>
    <t xml:space="preserve">3516180101020002</t>
  </si>
  <si>
    <t xml:space="preserve">Dsn. Kweden Wetan, RT/rw 005/003, Kweden Kembar, Mojokero</t>
  </si>
  <si>
    <t xml:space="preserve">KRISYE MAULANA</t>
  </si>
  <si>
    <t xml:space="preserve">25063635936</t>
  </si>
  <si>
    <t xml:space="preserve">3511120403420001</t>
  </si>
  <si>
    <t xml:space="preserve">Dsn. Kraton, RT/RW 002/004, Ds. Temon, Trowulan, Mojokero</t>
  </si>
  <si>
    <t xml:space="preserve">MUKMININ</t>
  </si>
  <si>
    <t xml:space="preserve">3517143012860003</t>
  </si>
  <si>
    <t xml:space="preserve">Dsn. Jembaran RT002 RW001 Ds. Jombok, Ngoro</t>
  </si>
  <si>
    <t xml:space="preserve">3516150112730001</t>
  </si>
  <si>
    <t xml:space="preserve">Dsn. Kemiri, RT/RW 003/002, Ds. Kedungsari, Kemlagi, Mojokerto</t>
  </si>
  <si>
    <t xml:space="preserve">ROHADI</t>
  </si>
  <si>
    <t xml:space="preserve">3517122007740006</t>
  </si>
  <si>
    <t xml:space="preserve">Dsn. Gudang, RT/RW 007/002, Pojokkrejo, Kesaben, Jombang</t>
  </si>
  <si>
    <t xml:space="preserve">3516090709820001</t>
  </si>
  <si>
    <t xml:space="preserve">Dsn. Ngepung, RT/RW 016/006, Dlanggu, Mojokerto</t>
  </si>
  <si>
    <t xml:space="preserve">HERI AGUSTIAWAN</t>
  </si>
  <si>
    <t xml:space="preserve">3517081707940006</t>
  </si>
  <si>
    <t xml:space="preserve">Jl. Singokarso No. 10, RT/RW 005/002, Latsari, Mojowarno, Jombang</t>
  </si>
  <si>
    <t xml:space="preserve">MOHAMAD ARIFIN</t>
  </si>
  <si>
    <t xml:space="preserve">3517141506000002</t>
  </si>
  <si>
    <t xml:space="preserve">Dsn. Plumpang, RT/RW 012/005, Daditunggal, Ploso, Jombang</t>
  </si>
  <si>
    <t xml:space="preserve">AHMAD BUDI</t>
  </si>
  <si>
    <t xml:space="preserve">3516061205880002</t>
  </si>
  <si>
    <t xml:space="preserve">Dsn. Lebak, RT/RW 003/005, Lebaksono, Pungging, Mojokerto</t>
  </si>
  <si>
    <t xml:space="preserve">RAHAYU WILUJENG</t>
  </si>
  <si>
    <t xml:space="preserve">3525155307890002</t>
  </si>
  <si>
    <t xml:space="preserve">Bambe, RT/RW 006/002, Bambe, Driyorejo, Gresik</t>
  </si>
  <si>
    <t xml:space="preserve">MUHAMMAD FEBRYAN EKA KARYA</t>
  </si>
  <si>
    <t xml:space="preserve">3505161002980004</t>
  </si>
  <si>
    <t xml:space="preserve">Jl. Danau Limboto F5J-13, RT/RW 002/013, Sawojajar, Kedungkandang, Malang</t>
  </si>
  <si>
    <t xml:space="preserve">WAHYU DWI PURWANTO</t>
  </si>
  <si>
    <t xml:space="preserve">20088447770</t>
  </si>
  <si>
    <t xml:space="preserve">3578272908890002</t>
  </si>
  <si>
    <t xml:space="preserve">Simo Jawar 8/38, RT/RW 004/001, Simomulyo Baru, Sukomanunggal, Surabaya</t>
  </si>
  <si>
    <t xml:space="preserve">FATIMAH ZAHRA</t>
  </si>
  <si>
    <t xml:space="preserve">Admin HR (Part Time)</t>
  </si>
  <si>
    <t xml:space="preserve">3213096303050002</t>
  </si>
  <si>
    <t xml:space="preserve">Dusun Margaluyu Timur, RT/RW 030/014, Sukamandijaya, Ciasem, Subang</t>
  </si>
  <si>
    <t xml:space="preserve">YUGA PRATAMA ARISTIANTO</t>
  </si>
  <si>
    <t xml:space="preserve">20067399297</t>
  </si>
  <si>
    <t xml:space="preserve">3517030312980002</t>
  </si>
  <si>
    <t xml:space="preserve">Dsn. Dayu, RT/RW 001/002, Dayu, Purwoasri, Kediri</t>
  </si>
  <si>
    <t xml:space="preserve">AMANDA AULIA SARI</t>
  </si>
  <si>
    <t xml:space="preserve">3515075507050006</t>
  </si>
  <si>
    <t xml:space="preserve">Sambitoro, RT/RW 009/003, Karangtanjung, Candi, Sidoarjo</t>
  </si>
  <si>
    <t xml:space="preserve">LIVIA NOVA ANDREA PUTRI</t>
  </si>
  <si>
    <t xml:space="preserve">28062147147</t>
  </si>
  <si>
    <t xml:space="preserve">3510055608990004</t>
  </si>
  <si>
    <t xml:space="preserve">Dusun Timur, RT/RW 016/003, Krucil, Krucil, Probolinggo</t>
  </si>
  <si>
    <t xml:space="preserve">DISTRA RAFIDA UTAMI</t>
  </si>
  <si>
    <t xml:space="preserve">3515164603050005</t>
  </si>
  <si>
    <t xml:space="preserve">NAFILLAH</t>
  </si>
  <si>
    <t xml:space="preserve">23001112506</t>
  </si>
  <si>
    <t xml:space="preserve">3515064803020003</t>
  </si>
  <si>
    <t xml:space="preserve">IZKY PUTRI ANJANI</t>
  </si>
  <si>
    <t xml:space="preserve">3517034208970003</t>
  </si>
  <si>
    <t xml:space="preserve">Dsn. Plosogerang, RT/RW 001/004, Plosogeneng, Jombang, Jombang</t>
  </si>
  <si>
    <t xml:space="preserve">NOVI PUTRI RATNASARI</t>
  </si>
  <si>
    <t xml:space="preserve">3506225511950003</t>
  </si>
  <si>
    <t xml:space="preserve">Dsn. Sawur, RT/RW 006/005, Bulusari, Tarokan, Kediri</t>
  </si>
  <si>
    <t xml:space="preserve">MOHAMAD ADI WIJAYANTO</t>
  </si>
  <si>
    <t xml:space="preserve">3515132607990007</t>
  </si>
  <si>
    <t xml:space="preserve">Dsn Losari, RT/RW 005/003, Kletek, Taman, Sidoarjo</t>
  </si>
  <si>
    <t xml:space="preserve">AMIRUL HAQI</t>
  </si>
  <si>
    <t xml:space="preserve">BLACKLIST</t>
  </si>
  <si>
    <t xml:space="preserve">PU</t>
  </si>
  <si>
    <t xml:space="preserve">3525150605040005</t>
  </si>
  <si>
    <t xml:space="preserve">Dsn. Randupukah, RT/RW 018/004, Gadung, Driyorejo, Gresik</t>
  </si>
  <si>
    <t xml:space="preserve">M. ZIDAN NUSKI</t>
  </si>
  <si>
    <t xml:space="preserve">3506170602000003</t>
  </si>
  <si>
    <t xml:space="preserve">Jl. Mayor Bismo No. 72, RT/RW 001/004, Tertek, Kediri</t>
  </si>
  <si>
    <t xml:space="preserve">M. RUSMAWAN MAULIDI</t>
  </si>
  <si>
    <t xml:space="preserve">Drafter Desain interior</t>
  </si>
  <si>
    <t xml:space="preserve">3527102606010002</t>
  </si>
  <si>
    <t xml:space="preserve">Dsn Trebung Timur, RT/RW 000/000, Lepelle, Robatal, Sampang</t>
  </si>
  <si>
    <t xml:space="preserve">AHMAD RIKI SAPUTRA</t>
  </si>
  <si>
    <t xml:space="preserve">3525150105070001</t>
  </si>
  <si>
    <t xml:space="preserve">AMIRUL ZAKARIA</t>
  </si>
  <si>
    <t xml:space="preserve">26087458521</t>
  </si>
  <si>
    <t xml:space="preserve">3576010608920001</t>
  </si>
  <si>
    <t xml:space="preserve">Prajurit Kulon VI, RT/RW 002/002, Prajuritkulon, Prajuritkulon, Mojokerto</t>
  </si>
  <si>
    <t xml:space="preserve">ANTON DWI LAKSONO</t>
  </si>
  <si>
    <t xml:space="preserve">Junior Checker</t>
  </si>
  <si>
    <t xml:space="preserve">3515122107020001</t>
  </si>
  <si>
    <t xml:space="preserve">Pilang Selatan, RT/RW 010/004, Kemangsen, Balongbendo, Sidoarjo</t>
  </si>
  <si>
    <t xml:space="preserve">TEGUH GAYUH UTOMO</t>
  </si>
  <si>
    <t xml:space="preserve">28087154833</t>
  </si>
  <si>
    <t xml:space="preserve">Staff Inventory Control</t>
  </si>
  <si>
    <t xml:space="preserve">3524090404980001</t>
  </si>
  <si>
    <t xml:space="preserve">Sungegeneng, RT/RW 003/003, Sungegeneng, Sekaran, Lamongan</t>
  </si>
  <si>
    <t xml:space="preserve">BUGI MAHHENDRA</t>
  </si>
  <si>
    <t xml:space="preserve">3518113108980006</t>
  </si>
  <si>
    <t xml:space="preserve">Dsn Katerban, RT/RW 004/001, Katerban, Baron, Nganjuk</t>
  </si>
  <si>
    <t xml:space="preserve">DINO AFRIANTO</t>
  </si>
  <si>
    <t xml:space="preserve">3514142204030002</t>
  </si>
  <si>
    <t xml:space="preserve">Jl. Mangga, RT/RW 005/002, Pocar, Bangil, Pasuruan</t>
  </si>
  <si>
    <t xml:space="preserve">RAFLY HANAFI</t>
  </si>
  <si>
    <t xml:space="preserve">3516070704010002</t>
  </si>
  <si>
    <t xml:space="preserve">Kenjoro, RT/RW 003/004, Windurejo,Kutorejo, Mojokerto</t>
  </si>
  <si>
    <t xml:space="preserve">JULIAN TRI WICAKSONO</t>
  </si>
  <si>
    <t xml:space="preserve">3520072807030002</t>
  </si>
  <si>
    <t xml:space="preserve">Dsn Klaten, RT/RW 021/005, Puntukdoro, Plaosan, Magetan</t>
  </si>
  <si>
    <t xml:space="preserve">AULIA DISTA PUTRI SAFIA</t>
  </si>
  <si>
    <t xml:space="preserve">3521197012060001</t>
  </si>
  <si>
    <t xml:space="preserve">Dsn. Wonosari, RT/RW 003/008, Sumbertanggul, Mojosari, Mojokerto</t>
  </si>
  <si>
    <t xml:space="preserve">RIKO FATKURROHMAN SYAH</t>
  </si>
  <si>
    <t xml:space="preserve">3579032907010001</t>
  </si>
  <si>
    <t xml:space="preserve">Jl. Sumber Arum, RT/RW 021/005, Tegalweru, Dau, Malang</t>
  </si>
  <si>
    <t xml:space="preserve">EKO WAHYUDI</t>
  </si>
  <si>
    <t xml:space="preserve">26055998944</t>
  </si>
  <si>
    <t xml:space="preserve">3573040303840008</t>
  </si>
  <si>
    <t xml:space="preserve">Gempol Margabhakti 10, RT/RW 008/010, Tanjungrejo, Sukun, Kota Malang</t>
  </si>
  <si>
    <t xml:space="preserve">YUNIAR PURWO PRASETYO, S.PD.</t>
  </si>
  <si>
    <t xml:space="preserve">Checker cold chain</t>
  </si>
  <si>
    <t xml:space="preserve">3509211206860002</t>
  </si>
  <si>
    <t xml:space="preserve">Jalan Basuki Rahmat GG Remaja 17, Lingk. Muktisa, RT/RW 001/022, Tegalbesar, Kaliwates, Jember</t>
  </si>
  <si>
    <t xml:space="preserve">EKO JUNAEDI</t>
  </si>
  <si>
    <t xml:space="preserve">3507261701800001</t>
  </si>
  <si>
    <t xml:space="preserve">DSN Sebaluh, RT 019/ RW 004, Kelurahan Pandesari, Kecamatan Pujon, Kabupaten Malang, Jawa Timur</t>
  </si>
  <si>
    <t xml:space="preserve">EKKY JOHANSYAH BUDIARSONO</t>
  </si>
  <si>
    <t xml:space="preserve">Helper Cold Chain</t>
  </si>
  <si>
    <t xml:space="preserve">3507232201970003</t>
  </si>
  <si>
    <t xml:space="preserve">Permata Regency 1 blok 23 No.10, Ngijo, Karangploso, Malang</t>
  </si>
  <si>
    <t xml:space="preserve">MUHAMMAD SAIFUL HUDA</t>
  </si>
  <si>
    <t xml:space="preserve">3316040504000002</t>
  </si>
  <si>
    <t xml:space="preserve">Desa wado,RT/RW 004/003, Kedungtuban, Blora</t>
  </si>
  <si>
    <t xml:space="preserve">DIKY KARTA SAPUTRA</t>
  </si>
  <si>
    <t xml:space="preserve">21095158525</t>
  </si>
  <si>
    <t xml:space="preserve">5201120107030077</t>
  </si>
  <si>
    <t xml:space="preserve">Onor</t>
  </si>
  <si>
    <t xml:space="preserve">Onor, RT/RW 000/000, Lingsar, Lingsar, Lombok Barat</t>
  </si>
  <si>
    <t xml:space="preserve">6281999025840</t>
  </si>
  <si>
    <t xml:space="preserve">NIRWANA</t>
  </si>
  <si>
    <t xml:space="preserve">21052605360</t>
  </si>
  <si>
    <t xml:space="preserve">1271035711050005</t>
  </si>
  <si>
    <t xml:space="preserve">MEDAN</t>
  </si>
  <si>
    <t xml:space="preserve">JL BINJAI KM 12 O 234-A, RT/RW 012/012, SEI SIKAMBING C II, MEDAN HELVETIA, KOTA MEDAN</t>
  </si>
  <si>
    <t xml:space="preserve">M. FAISAL RIZKY</t>
  </si>
  <si>
    <t xml:space="preserve">3527062103990002</t>
  </si>
  <si>
    <t xml:space="preserve">Dsn Cangkancak Lang Leber, RT/RW 000/000, Muktasareh, Kedungdung, Sampang</t>
  </si>
  <si>
    <t xml:space="preserve">EDO SUMANTRI</t>
  </si>
  <si>
    <t xml:space="preserve">22038756432</t>
  </si>
  <si>
    <t xml:space="preserve">3578191107860001</t>
  </si>
  <si>
    <t xml:space="preserve">Sememi Jaya 9/24, RT/RW 011/001, Sememi, Benowo, Surabaya</t>
  </si>
  <si>
    <t xml:space="preserve">NANANG IRAWAN</t>
  </si>
  <si>
    <t xml:space="preserve">3578253007810001</t>
  </si>
  <si>
    <t xml:space="preserve">Rungkut Menanggal I/65,RT/RW 004/001, Rungkut Menanggal, Gunung Anyar, Surabaya</t>
  </si>
  <si>
    <t xml:space="preserve">MUHAMMAD ADAM YUSUF</t>
  </si>
  <si>
    <t xml:space="preserve">3516051407990005</t>
  </si>
  <si>
    <t xml:space="preserve">Dsn Wonosari, RT/RW 004/003, Wonosari, Ngoro, Mojokerto</t>
  </si>
  <si>
    <t xml:space="preserve">TEDY BAGUS HERMAWAN</t>
  </si>
  <si>
    <t xml:space="preserve">3578141908920002</t>
  </si>
  <si>
    <t xml:space="preserve">Jl. Manukan Kulon 2/51, RT/RW 006/010, Manukan Kulon, Tandes, Surabaya</t>
  </si>
  <si>
    <t xml:space="preserve">082332415010</t>
  </si>
  <si>
    <t xml:space="preserve">A.ANTON WUSTORO</t>
  </si>
  <si>
    <t xml:space="preserve">3578082302880006</t>
  </si>
  <si>
    <t xml:space="preserve">Pucang Arjo 3 no.4, RT/RW 005/005, Kertajaya, Gubeng, Surabaya</t>
  </si>
  <si>
    <t xml:space="preserve">087751651464</t>
  </si>
  <si>
    <t xml:space="preserve">MOH. ARIF ASY'ARI</t>
  </si>
  <si>
    <t xml:space="preserve">3506140505820001</t>
  </si>
  <si>
    <t xml:space="preserve">Tembok Lor 2 BT No. 1B, RT/RW 008/003, Bubutan, Bubutan, Surabaya</t>
  </si>
  <si>
    <t xml:space="preserve">089681896863</t>
  </si>
  <si>
    <t xml:space="preserve">MUHAMAD SAIFULLOH</t>
  </si>
  <si>
    <t xml:space="preserve">3525152101950003</t>
  </si>
  <si>
    <t xml:space="preserve">Mojosarirejo, RT/RW 015/004, Mojosarirejo, Driyorejo, Gresik</t>
  </si>
  <si>
    <t xml:space="preserve">085866545939</t>
  </si>
  <si>
    <t xml:space="preserve">JOHAN ANISSA PURNAMA PUTRA</t>
  </si>
  <si>
    <t xml:space="preserve">3515071804000003</t>
  </si>
  <si>
    <t xml:space="preserve">Rejeni Selatan, RT/RW 014/007, Rejeni, Krembung, Sidoarjo</t>
  </si>
  <si>
    <t xml:space="preserve">089531424809</t>
  </si>
  <si>
    <t xml:space="preserve">DANELLA GRACE ABIGAIL</t>
  </si>
  <si>
    <t xml:space="preserve">3578276204050005</t>
  </si>
  <si>
    <t xml:space="preserve">Kupang Jaya Kav No. 3, RT/RW 013/003, Simomulyo Baru, Sukomanunggal, Surabaya</t>
  </si>
  <si>
    <t xml:space="preserve">JASIKA FEBRIL YOGATAMA</t>
  </si>
  <si>
    <t xml:space="preserve">27025006356</t>
  </si>
  <si>
    <t xml:space="preserve">Helper Extruder</t>
  </si>
  <si>
    <t xml:space="preserve">3502021202980004</t>
  </si>
  <si>
    <t xml:space="preserve">Dukuh Krajan, RT/RW 001/004, Ngrayun, Ngrayun, Ponorogo</t>
  </si>
  <si>
    <t xml:space="preserve">ARI SUSANTO</t>
  </si>
  <si>
    <t xml:space="preserve">3516122409960001</t>
  </si>
  <si>
    <t xml:space="preserve">Kembang Kuning RT 04 RW 02 Kel. Balongwono Kec. Trowulan Kab.Mojokerto</t>
  </si>
  <si>
    <t xml:space="preserve">DAFIT AFIYANTO</t>
  </si>
  <si>
    <t xml:space="preserve">3516110801970001</t>
  </si>
  <si>
    <t xml:space="preserve">Dusun Balonglombok RT.02 RW.08 Kel Sumolawang Kec. Puri Kab.Mojokerto</t>
  </si>
  <si>
    <t xml:space="preserve">PUJI SLAMET</t>
  </si>
  <si>
    <t xml:space="preserve">3517110706900004</t>
  </si>
  <si>
    <t xml:space="preserve">Dsn Joho Clumprit RT. 02 RW.04 Kel Sumobito Kec. Sumobito Kab.Jombang</t>
  </si>
  <si>
    <t xml:space="preserve">3516111202920003</t>
  </si>
  <si>
    <t xml:space="preserve">Dsn. Tambaksari RT.08 RW.05 Desa Tambakagung Kec.Puri Kab.Mojokerto</t>
  </si>
  <si>
    <t xml:space="preserve">M. AERLANGGA SETYA NUGRAHA</t>
  </si>
  <si>
    <t xml:space="preserve">3516110206040001</t>
  </si>
  <si>
    <t xml:space="preserve">Dusun Setoyo, RT/RW 001/002, Desa Balongmojo, Puri, Mojokerto</t>
  </si>
  <si>
    <t xml:space="preserve">MUHAMMAD ANDREANTO</t>
  </si>
  <si>
    <t xml:space="preserve">3516110409030001</t>
  </si>
  <si>
    <t xml:space="preserve">Klampisan RT.25 RW.10 Kel Medali Kec. Purti Kab. Mojokerto</t>
  </si>
  <si>
    <t xml:space="preserve">MUHAMMAD AHSANUL KHOLIQIN</t>
  </si>
  <si>
    <t xml:space="preserve">20078738212</t>
  </si>
  <si>
    <t xml:space="preserve">3515012001060003</t>
  </si>
  <si>
    <t xml:space="preserve">Dsn Kutu RT.09 RW.02 Kel Segodobancang Kec. Tarik Kab. Sidoarjo</t>
  </si>
  <si>
    <t xml:space="preserve">ABDUR ROZAK RACHMAN</t>
  </si>
  <si>
    <t xml:space="preserve">3516113004950001</t>
  </si>
  <si>
    <t xml:space="preserve">Dusun Setoyo, RT/RW 002/001, Desa Balongmojo, Puri, Mojokerto</t>
  </si>
  <si>
    <t xml:space="preserve">ACH MUBIN</t>
  </si>
  <si>
    <t xml:space="preserve">3516110104860005</t>
  </si>
  <si>
    <t xml:space="preserve">JOKO NURSILO</t>
  </si>
  <si>
    <t xml:space="preserve">3516112407900001</t>
  </si>
  <si>
    <t xml:space="preserve">Sumbersono RT.03 RW.05 Desa Sumbersono Kec.Dlanggu Kab.Mojokerto</t>
  </si>
  <si>
    <t xml:space="preserve">DWI FITRONI AFFANDI</t>
  </si>
  <si>
    <t xml:space="preserve">3525152512010001</t>
  </si>
  <si>
    <t xml:space="preserve">Tenaru, RT/RW 012/004, Tenaru, Driyorejo, Gresik</t>
  </si>
  <si>
    <t xml:space="preserve">DWI SUSANTO</t>
  </si>
  <si>
    <t xml:space="preserve">22048292854</t>
  </si>
  <si>
    <t xml:space="preserve">3515011404870002</t>
  </si>
  <si>
    <t xml:space="preserve">Sobowiro, RT/RW 005/002, Wirobiting, Prambon, Sidoarjo</t>
  </si>
  <si>
    <t xml:space="preserve">CAHYO SETYO PRIBADI</t>
  </si>
  <si>
    <t xml:space="preserve">Analis Kimia</t>
  </si>
  <si>
    <t xml:space="preserve">3525151309990002</t>
  </si>
  <si>
    <t xml:space="preserve">Griya Kencana IIID/17, RT/RW 004/008, Mojosarirejo, Driyorejo, Gresik</t>
  </si>
  <si>
    <t xml:space="preserve">MOH. YUNUS ADAM YUSUF</t>
  </si>
  <si>
    <t xml:space="preserve">Promosi</t>
  </si>
  <si>
    <t xml:space="preserve">3526122603960003</t>
  </si>
  <si>
    <t xml:space="preserve">BIMA SYAHPUTRA</t>
  </si>
  <si>
    <t xml:space="preserve">Checker Cold Chain</t>
  </si>
  <si>
    <t xml:space="preserve">3578132601060001</t>
  </si>
  <si>
    <t xml:space="preserve">Asem Jajar 3/25-A, RT/RW 002/003, Tembok Dukuh, Bubutan, Surabaya</t>
  </si>
  <si>
    <t xml:space="preserve">RACHEL MAULIDA 'IBADILLAH</t>
  </si>
  <si>
    <t xml:space="preserve">Recruitment Staff</t>
  </si>
  <si>
    <t xml:space="preserve">3573044706010003</t>
  </si>
  <si>
    <t xml:space="preserve">Jl. Peltu Sujono Gg. Cilung/35, RT/RW 011/002, Ciptomulyo, Sukun, Malang</t>
  </si>
  <si>
    <t xml:space="preserve">RAFI RAIHAN AZIZ</t>
  </si>
  <si>
    <t xml:space="preserve">3573040106000014</t>
  </si>
  <si>
    <t xml:space="preserve">Jl. Candi Mendut Barat Blok A/39, RT/RW 004/014, Mojolangu, Lowokwaru, Malang</t>
  </si>
  <si>
    <t xml:space="preserve">ALFIYAN NUR IRFANDI</t>
  </si>
  <si>
    <t xml:space="preserve">28082791244</t>
  </si>
  <si>
    <t xml:space="preserve">Tenaga Gudang</t>
  </si>
  <si>
    <t xml:space="preserve">3578042012000002</t>
  </si>
  <si>
    <t xml:space="preserve">Karangrejo 9/31, RT/RW 010/002, Wonokromo,Wonokromo, Surabaya</t>
  </si>
  <si>
    <t xml:space="preserve">NOVALDI PRATAMA PUTRA</t>
  </si>
  <si>
    <t xml:space="preserve">6472032711020006</t>
  </si>
  <si>
    <t xml:space="preserve">Jl. Martadinata Gg. Vila Tarlina, RT/RW 001/000, Tekuk Lerong Ilir, Samarinda Ulu, Samarinda</t>
  </si>
  <si>
    <t xml:space="preserve">AKHMAD CHABIBUL AFKHOM</t>
  </si>
  <si>
    <t xml:space="preserve">3516110912990001</t>
  </si>
  <si>
    <t xml:space="preserve">Sumberrejo, RT/RW 001/002, Kintelan, Puri, Mojokerto</t>
  </si>
  <si>
    <t xml:space="preserve">MUHAMMAD IQBAL IBRAHIM</t>
  </si>
  <si>
    <t xml:space="preserve">24038993759</t>
  </si>
  <si>
    <t xml:space="preserve">3516161208980002</t>
  </si>
  <si>
    <t xml:space="preserve">Dsn. Ngabar, RT/RW 008/003, Ngabar, Jetis, Mojokerto</t>
  </si>
  <si>
    <t xml:space="preserve">MOCHAMAD ILYAS</t>
  </si>
  <si>
    <t xml:space="preserve">22057782011</t>
  </si>
  <si>
    <t xml:space="preserve">3515013009880004</t>
  </si>
  <si>
    <t xml:space="preserve">Durungbedug, RT/RW 020/005, Durungbedug, Candi, Sidoarjo</t>
  </si>
  <si>
    <t xml:space="preserve">M. ERIK WIJAYANTO</t>
  </si>
  <si>
    <t xml:space="preserve">3515141104030002</t>
  </si>
  <si>
    <t xml:space="preserve">Bangsri, RT/RW 011/004, Bangsri, Sukodono, Sidoarjo</t>
  </si>
  <si>
    <t xml:space="preserve">AHMAD IRWANTO</t>
  </si>
  <si>
    <t xml:space="preserve">29090982412</t>
  </si>
  <si>
    <t xml:space="preserve">3525152206040002</t>
  </si>
  <si>
    <t xml:space="preserve">Driyorejo, RT/RW 004/002, Driyorejo, Driyorejo, Gresik</t>
  </si>
  <si>
    <t xml:space="preserve">MUHAMMAD AGUS SALIM HANAIRA</t>
  </si>
  <si>
    <t xml:space="preserve">28000937178</t>
  </si>
  <si>
    <t xml:space="preserve">3578210711980001</t>
  </si>
  <si>
    <t xml:space="preserve">Dusun Karangturi, RT/RW 026/008, Menganti, Menganti, Gresik</t>
  </si>
  <si>
    <t xml:space="preserve">FENDHI WAHYU PRATAMA</t>
  </si>
  <si>
    <t xml:space="preserve">23023559025</t>
  </si>
  <si>
    <t xml:space="preserve">3524181402980002</t>
  </si>
  <si>
    <t xml:space="preserve">Perum. Taman Gading Blok EC 07, RT/RW 003/007, Gadingwatu, Menganti</t>
  </si>
  <si>
    <t xml:space="preserve">DAVIK ERIK HENDRIANTO</t>
  </si>
  <si>
    <t xml:space="preserve">25011091024</t>
  </si>
  <si>
    <t xml:space="preserve">3518071410920004</t>
  </si>
  <si>
    <t xml:space="preserve">Jl. Anjasmoro, RT/RW 019/008, Tanjung, Kertosono, Nganjuk</t>
  </si>
  <si>
    <t xml:space="preserve">LUTFI APRILIANTO</t>
  </si>
  <si>
    <t xml:space="preserve">3516162704940002</t>
  </si>
  <si>
    <t xml:space="preserve">Puri Mojobaru AZ/06, RT/RW 009/0004, Canggu, Mojokerto</t>
  </si>
  <si>
    <t xml:space="preserve">AGUNG DWI RIANTO</t>
  </si>
  <si>
    <t xml:space="preserve">3576010108840004</t>
  </si>
  <si>
    <t xml:space="preserve">Lingk Pulowetan, RT/RW 004/002, Pulorejo, Prajurit Kulon, Mojokerto</t>
  </si>
  <si>
    <t xml:space="preserve">NUR QOMARIYAH</t>
  </si>
  <si>
    <t xml:space="preserve">3525165205930121</t>
  </si>
  <si>
    <t xml:space="preserve">Jaksa Agung Suprapto Gg. IIA/18, RT/RW 005/003, Sidokumpul, Gresik, Gresik</t>
  </si>
  <si>
    <t xml:space="preserve">MOH. ABDUSSALAM</t>
  </si>
  <si>
    <t xml:space="preserve">24041379480</t>
  </si>
  <si>
    <t xml:space="preserve">3526032307050001</t>
  </si>
  <si>
    <t xml:space="preserve">Dsn. Kangenan Timur, RT/RW 000/003, Langkap, Burneh, Bangkalan</t>
  </si>
  <si>
    <t xml:space="preserve">ACH JASULI</t>
  </si>
  <si>
    <t xml:space="preserve">3526010910930001</t>
  </si>
  <si>
    <t xml:space="preserve">Jl. Kh. Ach. Marzuki, RT/RW 003/004, Pangeranan, Bangkalan, Bangkalan</t>
  </si>
  <si>
    <t xml:space="preserve">+62 823-3392-1659</t>
  </si>
  <si>
    <t xml:space="preserve">RHEMA PRASADI SURYA</t>
  </si>
  <si>
    <t xml:space="preserve">20043418799</t>
  </si>
  <si>
    <t xml:space="preserve">SPV Warehouse</t>
  </si>
  <si>
    <t xml:space="preserve">3515133103860007</t>
  </si>
  <si>
    <t xml:space="preserve">Trosobo, RT/RW 005/005, Trosobo, Taman, Sidoarjo</t>
  </si>
  <si>
    <t xml:space="preserve">MUHAMMAD MURIDO</t>
  </si>
  <si>
    <t xml:space="preserve">3515020107970001</t>
  </si>
  <si>
    <t xml:space="preserve">Pandean, RT/RW 007/001, Kalimati, Tarik, Sidoarjo</t>
  </si>
  <si>
    <t xml:space="preserve">NOOR RASYIDAH</t>
  </si>
  <si>
    <t xml:space="preserve">0002630890787</t>
  </si>
  <si>
    <t xml:space="preserve">6307074607040001</t>
  </si>
  <si>
    <t xml:space="preserve">Birayang Surapati</t>
  </si>
  <si>
    <t xml:space="preserve">Wawai, RT/RW 001/001, Wawai, Batang Alai Selatan, Hulu Sungai Tengah</t>
  </si>
  <si>
    <t xml:space="preserve">ANA JUWITA</t>
  </si>
  <si>
    <t xml:space="preserve">6202064108030003</t>
  </si>
  <si>
    <t xml:space="preserve">Kotawaringin Timur</t>
  </si>
  <si>
    <t xml:space="preserve">Jl. Ir. H. Juanda, RT/RW 031/011, Pelangsinan, Mentawa Baru Ketapang, Kotawaringin Timur</t>
  </si>
  <si>
    <t xml:space="preserve">6287716808087</t>
  </si>
  <si>
    <t xml:space="preserve">NOR AULIA ULFAH</t>
  </si>
  <si>
    <t xml:space="preserve">0003276506834</t>
  </si>
  <si>
    <t xml:space="preserve">6303074104040004</t>
  </si>
  <si>
    <t xml:space="preserve">Jati Baru</t>
  </si>
  <si>
    <t xml:space="preserve">Jati Baru, RT/RW 003/000, Jati Baru, Astambul, Banjar</t>
  </si>
  <si>
    <t xml:space="preserve">MARIA CHRISTMAS ANGELIA WAOE</t>
  </si>
  <si>
    <t xml:space="preserve">5371066212020001</t>
  </si>
  <si>
    <t xml:space="preserve">Jl. Waitama I No. 21, RT/RW 008/003, Nefonaek, Kota Lama, Kupang</t>
  </si>
  <si>
    <t xml:space="preserve">6285737582554</t>
  </si>
  <si>
    <t xml:space="preserve">NOR KHAYATI</t>
  </si>
  <si>
    <t xml:space="preserve">3319074909910001</t>
  </si>
  <si>
    <t xml:space="preserve">Dersalam, RT/RW 002/001, Dersalam, Bae, Kudus</t>
  </si>
  <si>
    <t xml:space="preserve">NOR SYAIYAH</t>
  </si>
  <si>
    <t xml:space="preserve">29080420439</t>
  </si>
  <si>
    <t xml:space="preserve">6307066502050002</t>
  </si>
  <si>
    <t xml:space="preserve">Hulu Sungai Tengah</t>
  </si>
  <si>
    <t xml:space="preserve">Bakapas, RT/RW 007/003, Bakapas, Barabai, Kab. Hulu Sungai Tengah</t>
  </si>
  <si>
    <t xml:space="preserve">NORLILLUSIANA</t>
  </si>
  <si>
    <t xml:space="preserve">24007016451</t>
  </si>
  <si>
    <t xml:space="preserve">6271014106990008</t>
  </si>
  <si>
    <t xml:space="preserve">Maluen</t>
  </si>
  <si>
    <t xml:space="preserve">Jl. Akasia V, RT/RW 003/007, Panarung, Pahandut, Kota Palangka Raya</t>
  </si>
  <si>
    <t xml:space="preserve">NOVIA SALSABILA</t>
  </si>
  <si>
    <t xml:space="preserve">0001115068037</t>
  </si>
  <si>
    <t xml:space="preserve">1106114202000004</t>
  </si>
  <si>
    <t xml:space="preserve">Aceh Besar</t>
  </si>
  <si>
    <t xml:space="preserve">Lr Tgk Ahmad No 20, RT/RW 000/000, Lamseupeung, Lueng Bata, Banda Aceh</t>
  </si>
  <si>
    <t xml:space="preserve">MUH.AZIZ KHAZIRIN</t>
  </si>
  <si>
    <t xml:space="preserve">3525101807920004</t>
  </si>
  <si>
    <t xml:space="preserve">Dsn Ploso, RT/RW 010/005, Gluranploso, Benjeng, Gresik</t>
  </si>
  <si>
    <t xml:space="preserve">SUYANTO</t>
  </si>
  <si>
    <t xml:space="preserve">3525102905770003</t>
  </si>
  <si>
    <t xml:space="preserve">Jl. Raya Sembayat Gumeno, RT/RW 019/004, Sembayat, Manyar, Gresik</t>
  </si>
  <si>
    <t xml:space="preserve">LULUK BAYU SAPUTRO</t>
  </si>
  <si>
    <t xml:space="preserve">3518142502950001</t>
  </si>
  <si>
    <t xml:space="preserve">Dsn Padangan, RT/RW 002/003, Banaran Kulon, Bagor, Nganjuk</t>
  </si>
  <si>
    <t xml:space="preserve">SARIYONO</t>
  </si>
  <si>
    <t xml:space="preserve">22068767334</t>
  </si>
  <si>
    <t xml:space="preserve">3515130403950006</t>
  </si>
  <si>
    <t xml:space="preserve">Dsn. Bringinwetan, RT/RW 003/005, Bringinbendo, Taman, Sidoarjo</t>
  </si>
  <si>
    <t xml:space="preserve">YENA SIBARANI</t>
  </si>
  <si>
    <t xml:space="preserve">24083246031</t>
  </si>
  <si>
    <t xml:space="preserve">1276025307010001</t>
  </si>
  <si>
    <t xml:space="preserve">Jl. Sudirman LK. II, RT/RW 002/000, Sri Padang, Rambutan, Tebing Tinggi</t>
  </si>
  <si>
    <t xml:space="preserve">6283873984704</t>
  </si>
  <si>
    <t xml:space="preserve">ELSA RAHMAWATI</t>
  </si>
  <si>
    <t xml:space="preserve">2172024702010002</t>
  </si>
  <si>
    <t xml:space="preserve">Perum. Kijang Kencana II Gg. Pinang I, RT/RW 003/001, Pinang Kencana, Tanjung Pinang Timur, Tanjung Pinang</t>
  </si>
  <si>
    <t xml:space="preserve">6282283995519</t>
  </si>
  <si>
    <t xml:space="preserve">NUR ASSYIFA ARIYATI</t>
  </si>
  <si>
    <t xml:space="preserve">6371026608050001</t>
  </si>
  <si>
    <t xml:space="preserve">Jl. Murung Selong, RT/RW 012/001, Sungai Lulut, Banjarmasin Timur, Banjarmasin</t>
  </si>
  <si>
    <t xml:space="preserve">6282254928801</t>
  </si>
  <si>
    <t xml:space="preserve">NUR CAMALIA</t>
  </si>
  <si>
    <t xml:space="preserve">20046368157</t>
  </si>
  <si>
    <t xml:space="preserve">6371047001040003</t>
  </si>
  <si>
    <t xml:space="preserve">Jl. Sultan Adam, RT/RW 015/002, Sungai Jingah, Banjarmasin Utara, Kota Banjarmasin</t>
  </si>
  <si>
    <t xml:space="preserve">MUHAMMAD ARIEF</t>
  </si>
  <si>
    <t xml:space="preserve">3515010601800001</t>
  </si>
  <si>
    <t xml:space="preserve">Kauman Gang 3, RT/RW 002/002, Kauman, Mojoagung, Jombang</t>
  </si>
  <si>
    <t xml:space="preserve">3578282308960002</t>
  </si>
  <si>
    <t xml:space="preserve">MOCHAMAD REZA SETIO PRABOWO</t>
  </si>
  <si>
    <t xml:space="preserve">3277012311850023</t>
  </si>
  <si>
    <t xml:space="preserve">Cibeber No. 245, RT/RW 005/004, Cibeber, Cimahi Selatan, Cimahi</t>
  </si>
  <si>
    <t xml:space="preserve">M BAYU EKA BUDI SETIA KURNIAWAN</t>
  </si>
  <si>
    <t xml:space="preserve">3515112803930002</t>
  </si>
  <si>
    <t xml:space="preserve">Luwung, RT/RW 004/003, Sidomojo, Krian, Sidoarjo</t>
  </si>
  <si>
    <t xml:space="preserve">HERRI KRISTIANTO</t>
  </si>
  <si>
    <t xml:space="preserve">3515091904850002</t>
  </si>
  <si>
    <t xml:space="preserve">Dsn Pampang, RT/RW 002/003, Pangkemiri, Tulangan, Sidoarjo</t>
  </si>
  <si>
    <t xml:space="preserve">TOTOK KIESYANTORO</t>
  </si>
  <si>
    <t xml:space="preserve">3578061303820001</t>
  </si>
  <si>
    <t xml:space="preserve">Pakis Wetan 5/28, RT/RW 008/003, Pakis, Sawahan, Surabaya</t>
  </si>
  <si>
    <t xml:space="preserve">IRGI FERDIANSYA</t>
  </si>
  <si>
    <t xml:space="preserve">23075785870</t>
  </si>
  <si>
    <t xml:space="preserve">3515010106030001</t>
  </si>
  <si>
    <t xml:space="preserve">Kedinding, RT/RW 006/002, Kedinding, Tarik, Sidoarjo</t>
  </si>
  <si>
    <t xml:space="preserve">MUHAMMAD WILDAN SHOLEH</t>
  </si>
  <si>
    <t xml:space="preserve">29056325762</t>
  </si>
  <si>
    <t xml:space="preserve">3578160612000003</t>
  </si>
  <si>
    <t xml:space="preserve">Tenggumung Karya 2/39, RT/RW 002/008, Pengirian, Semampir, Surabaya</t>
  </si>
  <si>
    <t xml:space="preserve">AYU ISTIQOMAH</t>
  </si>
  <si>
    <t xml:space="preserve">3523116904030001</t>
  </si>
  <si>
    <t xml:space="preserve">Dsn Kayunan, RT/RW 003/004, Rahayu, Soko, Tuban</t>
  </si>
  <si>
    <t xml:space="preserve">NABILA RAHMAWATI</t>
  </si>
  <si>
    <t xml:space="preserve">3507245311060002</t>
  </si>
  <si>
    <t xml:space="preserve">Langlang, RT/RW 009/003, Langlang, Singosari, Malang</t>
  </si>
  <si>
    <t xml:space="preserve">ALVIN FITRAND PURNOMO</t>
  </si>
  <si>
    <t xml:space="preserve">28026278333</t>
  </si>
  <si>
    <t xml:space="preserve">3515140512030001</t>
  </si>
  <si>
    <t xml:space="preserve">Griya Masangan Asri Blok D3 No. 18, RT/RW 024/008, Masangwetan, Sukodono, Sidoarjo</t>
  </si>
  <si>
    <t xml:space="preserve">DAFFA QAFI AL BUKHORY</t>
  </si>
  <si>
    <t xml:space="preserve">3515101412060002</t>
  </si>
  <si>
    <t xml:space="preserve">Bangeran, RT/RW 003/002, Mulyodadi, Wonoayu, Sidoarjo</t>
  </si>
  <si>
    <t xml:space="preserve">DINA EKA RACHMA DANI</t>
  </si>
  <si>
    <t xml:space="preserve">25091445174</t>
  </si>
  <si>
    <t xml:space="preserve">3524064104050003</t>
  </si>
  <si>
    <t xml:space="preserve">Jl. Kutisari 2-D/5, RT/RW 003/002, Kutisari, Tenggilis Mejoyo, Surabaya</t>
  </si>
  <si>
    <t xml:space="preserve">JAMILA AYU RAHMAWATI BALGIS</t>
  </si>
  <si>
    <t xml:space="preserve">26099356044</t>
  </si>
  <si>
    <t xml:space="preserve">3515085612050002</t>
  </si>
  <si>
    <t xml:space="preserve">Saimbang RT/RW 014/004, Kebonagung, Sukodono, Sidoarjo</t>
  </si>
  <si>
    <t xml:space="preserve">KHOIRUNNISA</t>
  </si>
  <si>
    <t xml:space="preserve">3515165401040003</t>
  </si>
  <si>
    <t xml:space="preserve">Punggul, RT/RW 006/003, Punggul, Gedangan, Sidoarjo</t>
  </si>
  <si>
    <t xml:space="preserve">LUNA MELYSA MAHARANI</t>
  </si>
  <si>
    <t xml:space="preserve">3523144105060004</t>
  </si>
  <si>
    <t xml:space="preserve">Dusun Karangasem, RT/RW 004/003, Karangtinoto, Rengel, Tuban</t>
  </si>
  <si>
    <t xml:space="preserve">MOHAMMAD ADI PRATAMA</t>
  </si>
  <si>
    <t xml:space="preserve">3571012708030004</t>
  </si>
  <si>
    <t xml:space="preserve">Jl. Bromo Ketapang, RT/RW 007/003, Suko, Sukodono, Sidoarjo</t>
  </si>
  <si>
    <t xml:space="preserve">NIKEN AYU MEY VILLA</t>
  </si>
  <si>
    <t xml:space="preserve">3515165605070005</t>
  </si>
  <si>
    <t xml:space="preserve">RIZAL FEMI HANIF</t>
  </si>
  <si>
    <t xml:space="preserve">3515132208040004</t>
  </si>
  <si>
    <t xml:space="preserve">SUGIONO</t>
  </si>
  <si>
    <t xml:space="preserve">3516050909820002</t>
  </si>
  <si>
    <t xml:space="preserve">Sugeng, RT/RW 001/001, Trawas, Mojokerto</t>
  </si>
  <si>
    <t xml:space="preserve">GERESELA FERONIKA DELIMA</t>
  </si>
  <si>
    <t xml:space="preserve">3323136701000001</t>
  </si>
  <si>
    <t xml:space="preserve">Temanggung</t>
  </si>
  <si>
    <t xml:space="preserve">Dusun Danau Raya, RT/RW 002/000, Sangatta Selatan, Sangatta Selatan, Kutai Timur</t>
  </si>
  <si>
    <t xml:space="preserve">RIFQI RUFAIDАН</t>
  </si>
  <si>
    <t xml:space="preserve">3525114709000001</t>
  </si>
  <si>
    <t xml:space="preserve">Ngering, RT/RW 001/002, Sukoanyar, Cerme, Gresik</t>
  </si>
  <si>
    <t xml:space="preserve">AHMAD NUR ARIFIN</t>
  </si>
  <si>
    <t xml:space="preserve">3523170505010002</t>
  </si>
  <si>
    <t xml:space="preserve">Dsn Dempel, RT/RW 003/010, Sumberagung, Plumpang, Tuban</t>
  </si>
  <si>
    <t xml:space="preserve">ADI ARI BUANA</t>
  </si>
  <si>
    <t xml:space="preserve">3523162409050001</t>
  </si>
  <si>
    <t xml:space="preserve">Dusun Bongkol 2, RT/RW 002/005, Sumurgung, Tuban, Tuban</t>
  </si>
  <si>
    <t xml:space="preserve">ADIP PRASTIO</t>
  </si>
  <si>
    <t xml:space="preserve">22088992241</t>
  </si>
  <si>
    <t xml:space="preserve">3523072805030001</t>
  </si>
  <si>
    <t xml:space="preserve">Dsn Trembul, RT/RW 005/002, Mulyorejo, Singgahan, Tuban</t>
  </si>
  <si>
    <t xml:space="preserve">AININA MIFTAHUL JANNAH</t>
  </si>
  <si>
    <t xml:space="preserve">Admin Hot CS &amp; SB P3 Production</t>
  </si>
  <si>
    <t xml:space="preserve">3525136108020006</t>
  </si>
  <si>
    <t xml:space="preserve">Perum Bumira Utara D 7 No. 19, RT/RW 013/005, Boteng, Menganti, Gresik</t>
  </si>
  <si>
    <t xml:space="preserve">RIZKI PRATAMA</t>
  </si>
  <si>
    <t xml:space="preserve">26076631262</t>
  </si>
  <si>
    <t xml:space="preserve">3516115107990002</t>
  </si>
  <si>
    <t xml:space="preserve">Jl. Balongrawe Baru II, RT/RW 001/005, Kedundung, Magersari, Mojokerto</t>
  </si>
  <si>
    <t xml:space="preserve">ACH. YUNUS</t>
  </si>
  <si>
    <t xml:space="preserve">3516112807820003</t>
  </si>
  <si>
    <t xml:space="preserve">ILHAM MAULANA</t>
  </si>
  <si>
    <t xml:space="preserve">3523160105990002</t>
  </si>
  <si>
    <t xml:space="preserve">Perum Yasa Griya Blok K3,RT/RW 004/007, Perbon, Tuban</t>
  </si>
  <si>
    <t xml:space="preserve">MUHAMMAD MARZUKI</t>
  </si>
  <si>
    <t xml:space="preserve">28025366421</t>
  </si>
  <si>
    <t xml:space="preserve">3525111912990002</t>
  </si>
  <si>
    <t xml:space="preserve">FITRIA DWI JAYANTI</t>
  </si>
  <si>
    <t xml:space="preserve">SALES PROMOTION GIRL (SPG)</t>
  </si>
  <si>
    <t xml:space="preserve">3507245505880011</t>
  </si>
  <si>
    <t xml:space="preserve">Jl. Stasiun I No. 92, RT/RW 003/009, Pagentan, Singosari, Malang</t>
  </si>
  <si>
    <t xml:space="preserve">NANANG ARIANTO</t>
  </si>
  <si>
    <t xml:space="preserve">3516110507820004</t>
  </si>
  <si>
    <t xml:space="preserve">Dsn. Bendo, RT/RW 002/006, Kumitir, Jatirejo, Mojokerto</t>
  </si>
  <si>
    <t xml:space="preserve">NOVAN FERI ANDRIONO</t>
  </si>
  <si>
    <t xml:space="preserve">3578141211920003</t>
  </si>
  <si>
    <t xml:space="preserve">Balongsari Blok 4C/7, RT/RW 007/001, Balongsari, Tandes, Surabaya</t>
  </si>
  <si>
    <t xml:space="preserve">AGUS BURHANUDDIN AL LUBIS</t>
  </si>
  <si>
    <t xml:space="preserve">3525121908980002</t>
  </si>
  <si>
    <t xml:space="preserve">Dsn Kaweden, RT/RW 002/001, Mojopurogede, Bungah, Gresik</t>
  </si>
  <si>
    <t xml:space="preserve">APANG KRISTIONO</t>
  </si>
  <si>
    <t xml:space="preserve">3578302207820003</t>
  </si>
  <si>
    <t xml:space="preserve">Benowo Tegal Gg. 1/14, RT/RW 005/002, Benowo, Pakal, Surabaya</t>
  </si>
  <si>
    <t xml:space="preserve">RIFA'I</t>
  </si>
  <si>
    <t xml:space="preserve">3525140607850003</t>
  </si>
  <si>
    <t xml:space="preserve">Delima 2, RT/RW 002/001, Sukorejo, Kebonmas, Gresik</t>
  </si>
  <si>
    <t xml:space="preserve">FAJAR AKHIRUL TRIZA</t>
  </si>
  <si>
    <t xml:space="preserve">3515140811000006</t>
  </si>
  <si>
    <t xml:space="preserve">Saimbang, RT/RW 012/004, Kebonagung, Sukodono, Sidoarjo</t>
  </si>
  <si>
    <t xml:space="preserve">MA'RUF ABDUL KHOIRI</t>
  </si>
  <si>
    <t xml:space="preserve">3523102303990002</t>
  </si>
  <si>
    <t xml:space="preserve">Dsn Putuk Waru, RT/RW 007/002, Maindu, Montong, Tuban</t>
  </si>
  <si>
    <t xml:space="preserve">MUCHAMAD RIDLO ALMAQSUDI</t>
  </si>
  <si>
    <t xml:space="preserve">Admin Produksi Emulsion</t>
  </si>
  <si>
    <t xml:space="preserve">3579031708020002</t>
  </si>
  <si>
    <t xml:space="preserve">Sekar Putih, RT/RW 040/010, Pendem, Junrejo, Batu</t>
  </si>
  <si>
    <t xml:space="preserve">DAVID AL VANI</t>
  </si>
  <si>
    <t xml:space="preserve">3517042509040001</t>
  </si>
  <si>
    <t xml:space="preserve">Dsn. Tegalrejo, RT/RW 004/002, Bareng, Bareng, Jombang</t>
  </si>
  <si>
    <t xml:space="preserve">882-1786-2110</t>
  </si>
  <si>
    <t xml:space="preserve">MAKHMUD RIZAL</t>
  </si>
  <si>
    <t xml:space="preserve">3524271712000001</t>
  </si>
  <si>
    <t xml:space="preserve">Banjangan, RT/RW 004/005, Tambak Menjangan, Sarirejo, Lamongan</t>
  </si>
  <si>
    <t xml:space="preserve">3525080109000003</t>
  </si>
  <si>
    <t xml:space="preserve">Dusun Gempol, RT/RW 003/002, Gempolkurung, Menganti, Gresik</t>
  </si>
  <si>
    <t xml:space="preserve">ACHMAD MUDDAKIR</t>
  </si>
  <si>
    <t xml:space="preserve">3525052609930003</t>
  </si>
  <si>
    <t xml:space="preserve">Gumining, RT/RW 004/001, Tambakrejo, Duduksampeyan, Gresik</t>
  </si>
  <si>
    <t xml:space="preserve">AGUS SANTOSO</t>
  </si>
  <si>
    <t xml:space="preserve">3525121506940005</t>
  </si>
  <si>
    <t xml:space="preserve">Jl. Maskumambang, RT/RW 011/004, Bedanten, Bungah, Gresik</t>
  </si>
  <si>
    <t xml:space="preserve">MOH. NOVAL AMIN</t>
  </si>
  <si>
    <t xml:space="preserve">3524260711990001</t>
  </si>
  <si>
    <t xml:space="preserve">Panggang, RT/RW 004/001, Panggang, Glagah, Lamongan</t>
  </si>
  <si>
    <t xml:space="preserve">MUHAMMAD RIZAL RAMADHANI</t>
  </si>
  <si>
    <t xml:space="preserve">3525161710040001</t>
  </si>
  <si>
    <t xml:space="preserve">Perum Kembangan Regency A12, RT/RW 007/010, Kembangan, Kebomas, Gresik</t>
  </si>
  <si>
    <t xml:space="preserve">MUHAMMAD ADITTYA SAPUTRA</t>
  </si>
  <si>
    <t xml:space="preserve">3525102306040005</t>
  </si>
  <si>
    <t xml:space="preserve">Jl. Raya Roomo/325, Roomo, Manyar, Gresik</t>
  </si>
  <si>
    <t xml:space="preserve">AHMAD FAQIH ILLIYIN</t>
  </si>
  <si>
    <t xml:space="preserve">3504141705950001</t>
  </si>
  <si>
    <t xml:space="preserve">Dusun Kates, RT/RW 001/003, Serut, Boyolangu, Tulungagung</t>
  </si>
  <si>
    <t xml:space="preserve">AHMAT IKHWANUDIN</t>
  </si>
  <si>
    <t xml:space="preserve">3525052203980002</t>
  </si>
  <si>
    <t xml:space="preserve">Tumapel, RT/RW 008/004, Tumapel, Duduksampeyan, Gresik</t>
  </si>
  <si>
    <t xml:space="preserve">ACHMAD AGUS MALDINI</t>
  </si>
  <si>
    <t xml:space="preserve">3525162708020007</t>
  </si>
  <si>
    <t xml:space="preserve">Jl. Akim Kayat 26, RT/RW 003/001, Karangturi, Gresik, Gresik</t>
  </si>
  <si>
    <t xml:space="preserve">LUQMAN TANTOWI</t>
  </si>
  <si>
    <t xml:space="preserve">3525041206900002</t>
  </si>
  <si>
    <t xml:space="preserve">Dsn. Terate, RT/RW 011/002, Pundut Terate, Benjeng, Gresik</t>
  </si>
  <si>
    <t xml:space="preserve">ALDO ABDULLOH</t>
  </si>
  <si>
    <t xml:space="preserve">3515062307030004</t>
  </si>
  <si>
    <t xml:space="preserve">Kludan, RT/RW 003/001, Kludan, Tanggulangin, Sidoarjo</t>
  </si>
  <si>
    <t xml:space="preserve">MOCH. DANDHA ASMYTAMA PURWANTO</t>
  </si>
  <si>
    <t xml:space="preserve">3515032305040002</t>
  </si>
  <si>
    <t xml:space="preserve">Dusun Buntut, RT/RW 014/007, Mojoruntut, Krembung, Sidoarjo</t>
  </si>
  <si>
    <t xml:space="preserve">DEWI WULAN SARI</t>
  </si>
  <si>
    <t xml:space="preserve">22093279837</t>
  </si>
  <si>
    <t xml:space="preserve">Admin B2B</t>
  </si>
  <si>
    <t xml:space="preserve">3522095105990001</t>
  </si>
  <si>
    <t xml:space="preserve">Sidomukti, RT/RW 004/001, Sidomukti, Kepohbaru, Bojonegoro</t>
  </si>
  <si>
    <t xml:space="preserve">LINTAR AROFAH RAHMANITA</t>
  </si>
  <si>
    <t xml:space="preserve">Admin Marine</t>
  </si>
  <si>
    <t xml:space="preserve">3524055404970004</t>
  </si>
  <si>
    <t xml:space="preserve">Jl. Kyai Sahlan 27/32, RT/RW 009/003, Manyar Sidorukun, Manyar, Gresik</t>
  </si>
  <si>
    <t xml:space="preserve">ERICK FERDINAN SIAHAAN</t>
  </si>
  <si>
    <t xml:space="preserve">3525111104960002</t>
  </si>
  <si>
    <t xml:space="preserve">Dusun Jono, RT/RW 003/001, Jono, Cerme, Gresik</t>
  </si>
  <si>
    <t xml:space="preserve">HILKIA FREDERIC AZER ANGGORO</t>
  </si>
  <si>
    <t xml:space="preserve">3578310907070001</t>
  </si>
  <si>
    <t xml:space="preserve">Candi Lontar Utara Blok B/23, RT/RW 006/008, Lontar, Sambikerep, Surabaya</t>
  </si>
  <si>
    <t xml:space="preserve">IFAN EFENDI</t>
  </si>
  <si>
    <t xml:space="preserve">Bongkaran</t>
  </si>
  <si>
    <t xml:space="preserve">3517071806040007</t>
  </si>
  <si>
    <t xml:space="preserve">Jl. Nolojoyo, RT/RW 002/003, Mojowarno, Mojowarno, Jombang</t>
  </si>
  <si>
    <t xml:space="preserve">NOVA ANGGA HARYUDHA AMANU</t>
  </si>
  <si>
    <t xml:space="preserve">0003217930097</t>
  </si>
  <si>
    <t xml:space="preserve">3516170311920001</t>
  </si>
  <si>
    <t xml:space="preserve">Dsn. Balongmojo Kulon, RT/RW. 002/001, Balongmojo, Benjeng, Gresik</t>
  </si>
  <si>
    <t xml:space="preserve">MUHAMMAD AJIS</t>
  </si>
  <si>
    <t xml:space="preserve">Operator Extrude</t>
  </si>
  <si>
    <t xml:space="preserve">3525040308000002</t>
  </si>
  <si>
    <t xml:space="preserve">Dermo, RT/RW 004/001, Dermo, Benjeng, Gresik</t>
  </si>
  <si>
    <t xml:space="preserve">IMAM RAMADHANI</t>
  </si>
  <si>
    <t xml:space="preserve">3578230203930001</t>
  </si>
  <si>
    <t xml:space="preserve">Jl. Bibis Karah I/7, RT/RW 001/007, Karah, Jambangan, Surabaya</t>
  </si>
  <si>
    <t xml:space="preserve">NADIYA</t>
  </si>
  <si>
    <t xml:space="preserve">2171044511919001</t>
  </si>
  <si>
    <t xml:space="preserve">KP Bakau Serip , RT/RW 002/010, Sambau, Nongsa, Batam</t>
  </si>
  <si>
    <t xml:space="preserve">NUR HASISAH</t>
  </si>
  <si>
    <t xml:space="preserve">0001432859949</t>
  </si>
  <si>
    <t xml:space="preserve">7371124611010002</t>
  </si>
  <si>
    <t xml:space="preserve">Jl. Kp. Alla Alla RT/RW 002/003, Batua, Manggala, Makassar</t>
  </si>
  <si>
    <t xml:space="preserve">FATILA</t>
  </si>
  <si>
    <t xml:space="preserve">28071037091</t>
  </si>
  <si>
    <t xml:space="preserve">3375016401960001</t>
  </si>
  <si>
    <t xml:space="preserve">Jl. Setia Bhakti 32, RT/RW 001/003, Podosugih, Pekalongan Barat, Pekalongan</t>
  </si>
  <si>
    <t xml:space="preserve">ALDIRA MEILAFASYA</t>
  </si>
  <si>
    <t xml:space="preserve">3372034605040001</t>
  </si>
  <si>
    <t xml:space="preserve">Pucangsawit, RT/RW 004/013, Pucangsawit, Jebres, Surakarta</t>
  </si>
  <si>
    <t xml:space="preserve">62895363056583</t>
  </si>
  <si>
    <t xml:space="preserve">NUR INDAH ROSIDAH</t>
  </si>
  <si>
    <t xml:space="preserve">7313066510920002</t>
  </si>
  <si>
    <t xml:space="preserve">Jl. Bau Baharuddin Sengkang, RT/RW -/-, Tempe, Tempe, Wajo</t>
  </si>
  <si>
    <t xml:space="preserve">ABDURROCHMAN</t>
  </si>
  <si>
    <t xml:space="preserve">3516141010870006</t>
  </si>
  <si>
    <t xml:space="preserve">Dsn. Ngepung, RT/RW 002/001, Baratwetan, Geded, Mojokerto</t>
  </si>
  <si>
    <t xml:space="preserve">MOKHAMAD KHOIRUL SOFIQ</t>
  </si>
  <si>
    <t xml:space="preserve">3515011404830001</t>
  </si>
  <si>
    <t xml:space="preserve">Dsn. Krajan, RT/RW 002/002, Curahmalang Sumobito Jombang</t>
  </si>
  <si>
    <t xml:space="preserve">AGUS SUPRAYITNO</t>
  </si>
  <si>
    <t xml:space="preserve">3515101208890001</t>
  </si>
  <si>
    <t xml:space="preserve">Dsn. Gampingtengah, RT/RW 004/001, Krian, Sidoarjo</t>
  </si>
  <si>
    <t xml:space="preserve">DIAS AGUS ISHYADI</t>
  </si>
  <si>
    <t xml:space="preserve">3516141608930004</t>
  </si>
  <si>
    <t xml:space="preserve">BAGUS KUNTO AJI</t>
  </si>
  <si>
    <t xml:space="preserve">3516160901930002</t>
  </si>
  <si>
    <t xml:space="preserve">Penompo, RT/RW 005/002, Penompo, Jetis, Mojokerto</t>
  </si>
  <si>
    <t xml:space="preserve">HIMAWAN SETYADI</t>
  </si>
  <si>
    <t xml:space="preserve">EFISIENSI</t>
  </si>
  <si>
    <t xml:space="preserve">3514101809940001</t>
  </si>
  <si>
    <t xml:space="preserve">Gg. Mawar I No. 22 Tretes, RT/RW 005/006, Prigen, Prigen, Pasuruan</t>
  </si>
  <si>
    <t xml:space="preserve">SUKAMTO</t>
  </si>
  <si>
    <t xml:space="preserve">3517142707870003</t>
  </si>
  <si>
    <t xml:space="preserve">Dsn Pagerongkal, RT/RW 004/001, Pagertanjung, Ploso, Jombang</t>
  </si>
  <si>
    <t xml:space="preserve">NABILA ALIFA PUTRI</t>
  </si>
  <si>
    <t xml:space="preserve">3505184502070001</t>
  </si>
  <si>
    <t xml:space="preserve">Dsn. Sumber Arum, RT/RW 004/008, Sidorejo, Doko, Blitar</t>
  </si>
  <si>
    <t xml:space="preserve">085755521625</t>
  </si>
  <si>
    <t xml:space="preserve">ADI KARSONO</t>
  </si>
  <si>
    <t xml:space="preserve">3516162212830002</t>
  </si>
  <si>
    <t xml:space="preserve">Dsn. Mlirip, RT/RW 002/010, Mlirip, Jetis, Mojokerto</t>
  </si>
  <si>
    <t xml:space="preserve">DHEVA RENJA RAMADHAN</t>
  </si>
  <si>
    <t xml:space="preserve">0000724912053</t>
  </si>
  <si>
    <t xml:space="preserve">3516061212000004</t>
  </si>
  <si>
    <t xml:space="preserve">Bajangan, RT/RW 001/001, Kembangringgit, Pungging, Mojokerto</t>
  </si>
  <si>
    <t xml:space="preserve">UMAR FA'RUK</t>
  </si>
  <si>
    <t xml:space="preserve">0002415705849</t>
  </si>
  <si>
    <t xml:space="preserve">3516042102980003</t>
  </si>
  <si>
    <t xml:space="preserve">Sugeng, RT/RW 001/002, Sugeng, Trawas, Mojokerto</t>
  </si>
  <si>
    <t xml:space="preserve">ABDUL MUKHROFI</t>
  </si>
  <si>
    <t xml:space="preserve">3516083004000002</t>
  </si>
  <si>
    <t xml:space="preserve">Dsn. Ngagrok, RT/RW 008/002, Leminggir, Mojosari, Mojokerto</t>
  </si>
  <si>
    <t xml:space="preserve">BAYU ARIF SETYAWAN</t>
  </si>
  <si>
    <t xml:space="preserve">3516080206030011</t>
  </si>
  <si>
    <t xml:space="preserve">Dsn. Modopuro, RT/RW 001/006, Modopuro, Mojosari, Mojokerto</t>
  </si>
  <si>
    <t xml:space="preserve">NISFATUL LAILI ROHMAH</t>
  </si>
  <si>
    <t xml:space="preserve">3515164812000004</t>
  </si>
  <si>
    <t xml:space="preserve">Jl Masjid. RT/RW 002/002, Ganting, Gedangan, Sidoarjo</t>
  </si>
  <si>
    <t xml:space="preserve">NOVA ARIANI RIDHIANA</t>
  </si>
  <si>
    <t xml:space="preserve">3515165211060001</t>
  </si>
  <si>
    <t xml:space="preserve">Jl. Aryo Bebangah, RT/RW 021/001, Bangah, Gedangan, Sidoarjo</t>
  </si>
  <si>
    <t xml:space="preserve">PRIMACY ARSYI RIZA ASADUDDIN</t>
  </si>
  <si>
    <t xml:space="preserve">3525061711970001</t>
  </si>
  <si>
    <t xml:space="preserve">Lemahputih, RT/RW 006/002, Pasinan Lemahputih, Wringinanom, Gresik</t>
  </si>
  <si>
    <t xml:space="preserve">YUDA PRATAMA</t>
  </si>
  <si>
    <t xml:space="preserve">3515180904010008</t>
  </si>
  <si>
    <t xml:space="preserve">Jl. Brigj. Katamso 3/28, RT/RW 026/006, Kedungrejo, Waru, Sidoarjo</t>
  </si>
  <si>
    <t xml:space="preserve">NOVIANTI EKA SULISTYO RINI</t>
  </si>
  <si>
    <t xml:space="preserve">3506114711000003</t>
  </si>
  <si>
    <t xml:space="preserve">Dsn Kandangan, RT/RW 003/002, Pagu, Pagu, Kediri</t>
  </si>
  <si>
    <t xml:space="preserve">MOCH. ZAMIR</t>
  </si>
  <si>
    <t xml:space="preserve">3515132512060007</t>
  </si>
  <si>
    <t xml:space="preserve">Bebekan, RT/RW 015/004, Bebekan, Taman, Sidoarjo</t>
  </si>
  <si>
    <t xml:space="preserve">MUHAMMAD ZAKY ADRIANSYAH</t>
  </si>
  <si>
    <t xml:space="preserve">28063493925</t>
  </si>
  <si>
    <t xml:space="preserve">3516082607060001</t>
  </si>
  <si>
    <t xml:space="preserve">Jl. Kartini, RT/RW 004/007, Seduri, Mojosari, Mojokerto</t>
  </si>
  <si>
    <t xml:space="preserve">0895380537890</t>
  </si>
  <si>
    <t xml:space="preserve">HIMAWAN ATMA WIJAYA</t>
  </si>
  <si>
    <t xml:space="preserve">3515162507920006</t>
  </si>
  <si>
    <t xml:space="preserve">Rejeni, RT/RW 005/009, Krembung, Sidoarjo</t>
  </si>
  <si>
    <t xml:space="preserve">089666274241</t>
  </si>
  <si>
    <t xml:space="preserve">BUDI IRAWAN</t>
  </si>
  <si>
    <t xml:space="preserve">3516071001930004</t>
  </si>
  <si>
    <t xml:space="preserve">Kemantren Wetan, RT/RW 008/001, Terusan, Gedeg, Mojokerto</t>
  </si>
  <si>
    <t xml:space="preserve">085856873898</t>
  </si>
  <si>
    <t xml:space="preserve">FERDI MULIA RAMADHANI</t>
  </si>
  <si>
    <t xml:space="preserve">25017124248</t>
  </si>
  <si>
    <t xml:space="preserve">3515084810060005</t>
  </si>
  <si>
    <t xml:space="preserve">Urangagung, RT/RW 007/003, Urangagung, Sidoarjo, Sidoarjo</t>
  </si>
  <si>
    <t xml:space="preserve">HERI KUSWORO</t>
  </si>
  <si>
    <t xml:space="preserve">21009033314</t>
  </si>
  <si>
    <t xml:space="preserve">9101010701880007</t>
  </si>
  <si>
    <t xml:space="preserve">Rintik</t>
  </si>
  <si>
    <t xml:space="preserve">Dusun Sumbergondo, RT/RW 029/008, Waturejo, Ngantang, Malang</t>
  </si>
  <si>
    <t xml:space="preserve">81230532137‬</t>
  </si>
  <si>
    <t xml:space="preserve">RASVENKO NAUFAL RAFIF</t>
  </si>
  <si>
    <t xml:space="preserve">3571010306000002</t>
  </si>
  <si>
    <t xml:space="preserve">Wonoayu III/21, RT/RW 004/003, Medokan Ayu, Rungkut, Surabaya</t>
  </si>
  <si>
    <t xml:space="preserve">KURNIA FERDIANSYAH YAHYA</t>
  </si>
  <si>
    <t xml:space="preserve">3516060312000001</t>
  </si>
  <si>
    <t xml:space="preserve">Adisono RT 05/ RW 02 Lebaksono Pungging Mojokerto</t>
  </si>
  <si>
    <t xml:space="preserve">085815807395</t>
  </si>
  <si>
    <t xml:space="preserve">MUHAMMAD NASRUL ANAM</t>
  </si>
  <si>
    <t xml:space="preserve">3516080603960001</t>
  </si>
  <si>
    <t xml:space="preserve">Dsn. Bangun RT 05/ Rw 02 Pungging Mojokerto</t>
  </si>
  <si>
    <t xml:space="preserve">089606707485</t>
  </si>
  <si>
    <t xml:space="preserve">AKHMAD SULIAJI</t>
  </si>
  <si>
    <t xml:space="preserve">3516060602900001</t>
  </si>
  <si>
    <t xml:space="preserve">Ds. Sugeng RT 01/ Rw 01 Trawas Mojokerto</t>
  </si>
  <si>
    <t xml:space="preserve">085704640073</t>
  </si>
  <si>
    <t xml:space="preserve">ACHMAD ZHAINURI</t>
  </si>
  <si>
    <t xml:space="preserve">3516051411940003</t>
  </si>
  <si>
    <t xml:space="preserve">Jln. Jeruk, RT/RW 004/006, Seduri, Mojosari, Mojokerto</t>
  </si>
  <si>
    <t xml:space="preserve">MUCHAMAD ALFIANTONO</t>
  </si>
  <si>
    <t xml:space="preserve">3578022007890004</t>
  </si>
  <si>
    <t xml:space="preserve">Bendulmerisi Gg. Besar Selatan 51-I, RT/RW 003/006, Bendul Merisi, Wonocolo, Surabaya</t>
  </si>
  <si>
    <t xml:space="preserve">SAMSURI</t>
  </si>
  <si>
    <t xml:space="preserve">3527040309940005</t>
  </si>
  <si>
    <t xml:space="preserve">Jl. Samari 2, RT/RW 025/000, Madurejo, Arut Selatan, Kotawaringin Barat</t>
  </si>
  <si>
    <t xml:space="preserve">+62 838-4704-2456</t>
  </si>
  <si>
    <t xml:space="preserve">YULIYANTO</t>
  </si>
  <si>
    <t xml:space="preserve">3526110406030004</t>
  </si>
  <si>
    <t xml:space="preserve">+62 815-5149-600</t>
  </si>
  <si>
    <t xml:space="preserve">ABDUL MAHFUD</t>
  </si>
  <si>
    <t xml:space="preserve">3578252607910004</t>
  </si>
  <si>
    <t xml:space="preserve">Jl. Amir Mahmud VII.C/27, RT/RW 004/002, Gunung Anyar, Gunung Anyar, Surabaya</t>
  </si>
  <si>
    <t xml:space="preserve">ACHMAD DWI LUIS FIGO</t>
  </si>
  <si>
    <t xml:space="preserve">3516132002030001</t>
  </si>
  <si>
    <t xml:space="preserve">Ngingasrembyong, RT/RW 002/001, Ngingasrembyong, Sooko, Mojokerto</t>
  </si>
  <si>
    <t xml:space="preserve">ANDIKA DWI FIRMANSYAH</t>
  </si>
  <si>
    <t xml:space="preserve">3515171507040002</t>
  </si>
  <si>
    <t xml:space="preserve">AUDI GOSA MAHRUBY</t>
  </si>
  <si>
    <t xml:space="preserve">3578032908000002</t>
  </si>
  <si>
    <t xml:space="preserve">Rungkut Lor 3/8, RT/RW 003/006, Kalirungkut, Rungkut, Surabaya</t>
  </si>
  <si>
    <t xml:space="preserve">BAYU ANGGARA</t>
  </si>
  <si>
    <t xml:space="preserve">3515070107980002</t>
  </si>
  <si>
    <t xml:space="preserve">Keramean, RT/RW 001/009, Sumorame, Candi, Sidoarjo</t>
  </si>
  <si>
    <t xml:space="preserve">BOY DESVIANTO NUR FAHARDILLA</t>
  </si>
  <si>
    <t xml:space="preserve">3578153112050003</t>
  </si>
  <si>
    <t xml:space="preserve">Gresik PPI 3/5, RT/RW 007/004, Kemayoran, Krembangan, Surabaya</t>
  </si>
  <si>
    <t xml:space="preserve">JEFRI WINATA</t>
  </si>
  <si>
    <t xml:space="preserve">3578241901900002</t>
  </si>
  <si>
    <t xml:space="preserve">Kendangsari Gg 6/10-A, RT/RW 002/005, Kendangsari Tenggilis Mejoyo Surabaya</t>
  </si>
  <si>
    <t xml:space="preserve">MOCH. VICKY ARDIANSYAH PUTRA</t>
  </si>
  <si>
    <t xml:space="preserve">3506132206000001</t>
  </si>
  <si>
    <t xml:space="preserve">Dsn Sumber Gambi Kidul, RT/RW 001/002, Sonorejo, Grogol, Kediri</t>
  </si>
  <si>
    <t xml:space="preserve">MOHAMMAD ASHARUL QIROM</t>
  </si>
  <si>
    <t xml:space="preserve">3515052010000003</t>
  </si>
  <si>
    <t xml:space="preserve">Kupang Bader, RT/RW 004/003, Kupang, Jabon, Sidoarjo</t>
  </si>
  <si>
    <t xml:space="preserve">MUHAMMAD SYAIFUDDIN</t>
  </si>
  <si>
    <t xml:space="preserve">24014724047</t>
  </si>
  <si>
    <t xml:space="preserve">3515051002990002</t>
  </si>
  <si>
    <t xml:space="preserve">Candipari Kulon, RT/RW 002/001, Candipari, Porong, Sidoarjo</t>
  </si>
  <si>
    <t xml:space="preserve">NICO CANDRA LESMANA</t>
  </si>
  <si>
    <t xml:space="preserve">3578061501940003</t>
  </si>
  <si>
    <t xml:space="preserve">Kupang Krajan Lor 1/27, RT/RW 003/003, Kupang Krajan, Sawahan, Surabaya</t>
  </si>
  <si>
    <t xml:space="preserve">RACHMAD FIRDAUS ARDIANSYAH</t>
  </si>
  <si>
    <t xml:space="preserve">23053613015</t>
  </si>
  <si>
    <t xml:space="preserve">3578250601010001</t>
  </si>
  <si>
    <t xml:space="preserve">Rungkut Menanggal 2/5C, RT/RW 001/002, Rungkut Menanggal, Gunung Anyar, Surabaya</t>
  </si>
  <si>
    <t xml:space="preserve">RACHMAD HADI SAPUTRO</t>
  </si>
  <si>
    <t xml:space="preserve">3515131504990005</t>
  </si>
  <si>
    <t xml:space="preserve">Sepanjang Gg. Garuda 6, RT/RW 004/005, Sepanjang, Taman, Sidoarjo</t>
  </si>
  <si>
    <t xml:space="preserve">REGA IRVAN OCTAVIAN</t>
  </si>
  <si>
    <t xml:space="preserve">3578052710060001</t>
  </si>
  <si>
    <t xml:space="preserve">Perum Graha Lebani Blok C/17, RT/RW 010/003, Lebanisuko, Wringinanom, Gresik</t>
  </si>
  <si>
    <t xml:space="preserve">SLAMET WAHYUDI</t>
  </si>
  <si>
    <t xml:space="preserve">21077033505</t>
  </si>
  <si>
    <t xml:space="preserve">3578233003820002</t>
  </si>
  <si>
    <t xml:space="preserve">Jl. Karah II/8, RT/RW 002/002, Karah, Jambangan, Surabaya</t>
  </si>
  <si>
    <t xml:space="preserve">SUKIS MA'ARIF</t>
  </si>
  <si>
    <t xml:space="preserve">3515112807850002</t>
  </si>
  <si>
    <t xml:space="preserve">TEGAR WAHYU WIRATMOKO</t>
  </si>
  <si>
    <t xml:space="preserve">3578201312010001</t>
  </si>
  <si>
    <t xml:space="preserve">Dk. Kramat, RT/RW 002/004, Jajartunggal, Wiyung, Surabaya</t>
  </si>
  <si>
    <t xml:space="preserve">WARIADI</t>
  </si>
  <si>
    <t xml:space="preserve">3578182412840001</t>
  </si>
  <si>
    <t xml:space="preserve">Lidah Wetan, RT/RW 001/004, Lidah Wetan, Lakar Santri, Surabaya</t>
  </si>
  <si>
    <t xml:space="preserve">YUDI KRISTIAWAN</t>
  </si>
  <si>
    <t xml:space="preserve">3578061911840007</t>
  </si>
  <si>
    <t xml:space="preserve">Mayjen Sungkono 92, RT/RW 002/001, Pakis, Sawahan, Surabaya</t>
  </si>
  <si>
    <t xml:space="preserve">GALLY VONTELA</t>
  </si>
  <si>
    <t xml:space="preserve">3515080811010002</t>
  </si>
  <si>
    <t xml:space="preserve">Dsn Banjarpoh, RT/RW 012/006, Banjarbendo, Sidoarjo, Sidoarjo</t>
  </si>
  <si>
    <t xml:space="preserve">RAFLY WAHYU RAMADHAN</t>
  </si>
  <si>
    <t xml:space="preserve">3516100912000001</t>
  </si>
  <si>
    <t xml:space="preserve">Sawahan, RT/RW 002/001, Sidomulyo, Bangsal, Mojokerto</t>
  </si>
  <si>
    <t xml:space="preserve">NUR ROSYID</t>
  </si>
  <si>
    <t xml:space="preserve">26068634619</t>
  </si>
  <si>
    <t xml:space="preserve">3514130201930003</t>
  </si>
  <si>
    <t xml:space="preserve">Dsn. Pohkecik, RT/RW 004/008, Baujeng, Beji, Pasuruan</t>
  </si>
  <si>
    <t xml:space="preserve">DWI FARIS SUSANTO</t>
  </si>
  <si>
    <t xml:space="preserve">3578241608830003</t>
  </si>
  <si>
    <t xml:space="preserve">Tenggilis Timur IV/2, RT/RW 006/001, Tenggilis Mejoyo, Tenggilis Mejoyo, Surabaya</t>
  </si>
  <si>
    <t xml:space="preserve">ERWIN ALDRIN NOVIANTO</t>
  </si>
  <si>
    <t xml:space="preserve">3573012011990003</t>
  </si>
  <si>
    <t xml:space="preserve">Jl. Memberamo V/17, RT/RW 002/014, Bunulrejo, Blimbing, Malang</t>
  </si>
  <si>
    <t xml:space="preserve">ZOGA BRIYAN SENA</t>
  </si>
  <si>
    <t xml:space="preserve">28076987426</t>
  </si>
  <si>
    <t xml:space="preserve">3515042905030004</t>
  </si>
  <si>
    <t xml:space="preserve">Kesambi, RT/RW 003/002, Kesambi, Porong, Sidoarjo</t>
  </si>
  <si>
    <t xml:space="preserve">BAYU RINDANG KUSUMA</t>
  </si>
  <si>
    <t xml:space="preserve">26030837938</t>
  </si>
  <si>
    <t xml:space="preserve">Staff Incoming &amp; Return Product</t>
  </si>
  <si>
    <t xml:space="preserve">3573040411010002</t>
  </si>
  <si>
    <t xml:space="preserve">Jl. Kasin Jaya V/17, RT/RW 013/001, Tanjungrejo, Sukun, Malang</t>
  </si>
  <si>
    <t xml:space="preserve">0895421406276</t>
  </si>
  <si>
    <t xml:space="preserve">BAGUS DWI CAHYO</t>
  </si>
  <si>
    <t xml:space="preserve">HOT CS P1 Production</t>
  </si>
  <si>
    <t xml:space="preserve">3525111010970002</t>
  </si>
  <si>
    <t xml:space="preserve">Dalean, RT/RW 001/001, Gununganyar, Cerme, Gresik</t>
  </si>
  <si>
    <t xml:space="preserve">ERWIN DWI SUPRIYANTO</t>
  </si>
  <si>
    <t xml:space="preserve">3515080605940002</t>
  </si>
  <si>
    <t xml:space="preserve">SIDOARJO</t>
  </si>
  <si>
    <t xml:space="preserve">Bulusidokare, RT/RW 001/001, Bulusidokare, Sidoarjo, Kabupaten Sidoarjo</t>
  </si>
  <si>
    <t xml:space="preserve">AZRIL ANANDA BRAMANTYA</t>
  </si>
  <si>
    <t xml:space="preserve">3578192312040002</t>
  </si>
  <si>
    <t xml:space="preserve">Sememi Jaya Selatan - 59, RT/RW 010/001, Sememi, Benowo, Surabaya</t>
  </si>
  <si>
    <t xml:space="preserve">ELI NURKHOLIFAH</t>
  </si>
  <si>
    <t xml:space="preserve">3515016112940001</t>
  </si>
  <si>
    <t xml:space="preserve">Klinter RT/RW 015/004 Banjarwungu, Tarik, Sidoarjo</t>
  </si>
  <si>
    <t xml:space="preserve">ANNAS DWI WAHYU PRASETYO</t>
  </si>
  <si>
    <t xml:space="preserve">Production Packer (reliever)</t>
  </si>
  <si>
    <t xml:space="preserve">3516150801070001</t>
  </si>
  <si>
    <t xml:space="preserve">Dsn Semampir Lor, RT/RW 002/005, Mojokumpul, Kemlagi, Mojokerto</t>
  </si>
  <si>
    <t xml:space="preserve">SITI NUR KAMILA AZZA</t>
  </si>
  <si>
    <t xml:space="preserve">3516144101010001</t>
  </si>
  <si>
    <t xml:space="preserve">Ngares Kulon RT/RW 007/003 Ngareskidul, Gedeg, Mojokerto</t>
  </si>
  <si>
    <t xml:space="preserve">ARDHA ANDINI</t>
  </si>
  <si>
    <t xml:space="preserve">3516167112010004</t>
  </si>
  <si>
    <t xml:space="preserve">ACHMAD RENGGA SAPUTRA</t>
  </si>
  <si>
    <t xml:space="preserve">3516151807030001</t>
  </si>
  <si>
    <t xml:space="preserve">ACHMAD DIANDRA AGUSTIAN</t>
  </si>
  <si>
    <t xml:space="preserve">3516151908060001</t>
  </si>
  <si>
    <t xml:space="preserve">MUHAMMAD DIMAS SULVIAN</t>
  </si>
  <si>
    <t xml:space="preserve">3516160903980004</t>
  </si>
  <si>
    <t xml:space="preserve">Penompo, RT/RW 009/003, Penompo, Jetis, Mojokerto</t>
  </si>
  <si>
    <t xml:space="preserve">YOGI EKA SAPUTRA</t>
  </si>
  <si>
    <t xml:space="preserve">3516151509060001</t>
  </si>
  <si>
    <t xml:space="preserve">Berat Tengah, RT/RW 002/001, Beratkulon, Kemlagi, Mojokerto</t>
  </si>
  <si>
    <t xml:space="preserve">AKHMAD FERDI PRASETIYA</t>
  </si>
  <si>
    <t xml:space="preserve">3516160106060002</t>
  </si>
  <si>
    <t xml:space="preserve">ERDIANSYAH SYAHRUL ILYAS</t>
  </si>
  <si>
    <t xml:space="preserve">3516162106030005</t>
  </si>
  <si>
    <t xml:space="preserve">Dusun Kepuh Sawo, RT/RW 002/003, Mojorejo, Jetis, Mojokerto</t>
  </si>
  <si>
    <t xml:space="preserve">ACHMAD BUKHORI</t>
  </si>
  <si>
    <t xml:space="preserve">3516162101060004</t>
  </si>
  <si>
    <t xml:space="preserve">Dsn. Bulu, RT/RW 019/005, Sawo, Jetis, Mojokerto</t>
  </si>
  <si>
    <t xml:space="preserve">AGUS SETIYABUDI</t>
  </si>
  <si>
    <t xml:space="preserve">3516160708000001</t>
  </si>
  <si>
    <t xml:space="preserve">ANGGAR WAHYUDI</t>
  </si>
  <si>
    <t xml:space="preserve">3516160307990001</t>
  </si>
  <si>
    <t xml:space="preserve">Pantes Rejo, RT/RW 001/004, Mojorejo, Jetis, Mojokerto</t>
  </si>
  <si>
    <t xml:space="preserve">MUHAMMAD SYAM FADLULLOH</t>
  </si>
  <si>
    <t xml:space="preserve">3516130707060002</t>
  </si>
  <si>
    <t xml:space="preserve">Jl. Welirang V/04, RT/RW 002/001, Wates, Magersari, Mojokerto</t>
  </si>
  <si>
    <t xml:space="preserve">GALANG ADITYA SAPUTRA YUDAWANTO</t>
  </si>
  <si>
    <t xml:space="preserve">3576021409060001</t>
  </si>
  <si>
    <t xml:space="preserve">Banjar Anyar Gg. Masjid 02, RT/RW 002/002, Wates, Magersari, Mojokerto</t>
  </si>
  <si>
    <t xml:space="preserve">ADITYA WAHYU SETIAWAN</t>
  </si>
  <si>
    <t xml:space="preserve">3172011204051002</t>
  </si>
  <si>
    <t xml:space="preserve">Dusun Sambigede, RT/RW 002/002, Mojokumpul, Kemlagi, Mojokerto</t>
  </si>
  <si>
    <t xml:space="preserve">FERIEL ALFIANSYANANDA SYAIFFUDIN</t>
  </si>
  <si>
    <t xml:space="preserve">3516162707060004</t>
  </si>
  <si>
    <t xml:space="preserve">Dsn Sawo, RT/RW 007/002, Sawo, Jetis, Mojokerto</t>
  </si>
  <si>
    <t xml:space="preserve">ABIL NUR ALVIAN</t>
  </si>
  <si>
    <t xml:space="preserve">GBJ Helper (Reliever)</t>
  </si>
  <si>
    <t xml:space="preserve">3516160608000001</t>
  </si>
  <si>
    <t xml:space="preserve">SURYA AGENG BIMANTORO</t>
  </si>
  <si>
    <t xml:space="preserve">3525112501020001</t>
  </si>
  <si>
    <t xml:space="preserve">Dukuh Kupang Barat I Buntu III/82, RT/RW 010/003, Putat Jaya, Sawahan, Surabaya</t>
  </si>
  <si>
    <t xml:space="preserve">RAFLY DWI SABANI</t>
  </si>
  <si>
    <t xml:space="preserve">3516160409060002</t>
  </si>
  <si>
    <t xml:space="preserve">Dusun Kepuh Sawo, RT/RW 004/003, Mojorejo, Jetis, Mojokerto</t>
  </si>
  <si>
    <t xml:space="preserve">MUHAMMAD FADILLAH AKBAR</t>
  </si>
  <si>
    <t xml:space="preserve">3516161012070002</t>
  </si>
  <si>
    <t xml:space="preserve">Dsn. Pantesrerjo, RT/RW 001/004, Mojorejo, Jetis, Mojokerto</t>
  </si>
  <si>
    <t xml:space="preserve">ENDAH SRI WAHYUNI</t>
  </si>
  <si>
    <t xml:space="preserve">3516164305990001</t>
  </si>
  <si>
    <t xml:space="preserve">Sawo, RT/RW 002/001, Sawo, Jetis, Mojokerto</t>
  </si>
  <si>
    <t xml:space="preserve">MUHAMMAD WAHYU WIJAYA</t>
  </si>
  <si>
    <t xml:space="preserve">3515101906020004</t>
  </si>
  <si>
    <t xml:space="preserve">Dsn. Pejagalan, RT/RW 010/004, Simoangin-Angin, Wonoayu, Sidoarjo</t>
  </si>
  <si>
    <t xml:space="preserve">SAWITO AGUNG</t>
  </si>
  <si>
    <t xml:space="preserve">3515141503010003</t>
  </si>
  <si>
    <t xml:space="preserve">Bandar Jaya</t>
  </si>
  <si>
    <t xml:space="preserve">Jl. Suko Legok Gg. IV, RT/RW 017/006, Suko, Sukodono, Sidoarjo</t>
  </si>
  <si>
    <t xml:space="preserve">MOHAMAD ALDI FIRMANSYAH</t>
  </si>
  <si>
    <t xml:space="preserve">3525121612990001</t>
  </si>
  <si>
    <t xml:space="preserve">Butungan, RT/RW 001/001, Butungan, Kalitengah, Lamongan</t>
  </si>
  <si>
    <t xml:space="preserve">MUHAMMAD KHOIRUNADIM</t>
  </si>
  <si>
    <t xml:space="preserve">3515020110940002</t>
  </si>
  <si>
    <t xml:space="preserve">Lontar, RT/RW 004/001, Lontar, Sambi kerep, Sidoarjo</t>
  </si>
  <si>
    <t xml:space="preserve">3516141608730001</t>
  </si>
  <si>
    <t xml:space="preserve">Gembongan, RT/RW 001/001, Gedeg, Mojokerto</t>
  </si>
  <si>
    <t xml:space="preserve">FERRY ADITYA PRATAMA</t>
  </si>
  <si>
    <t xml:space="preserve">3521150203980001</t>
  </si>
  <si>
    <t xml:space="preserve">Gerih, RT/RW 004/001, Gerih, Ngawi</t>
  </si>
  <si>
    <t xml:space="preserve">085808321829</t>
  </si>
  <si>
    <t xml:space="preserve">RIKY RIA ARIFIN</t>
  </si>
  <si>
    <t xml:space="preserve">3578042401910001</t>
  </si>
  <si>
    <t xml:space="preserve">Kupang Gunung Jaya 2/18, RT/RW 002/007, Putat Jaya, Sawahan, Surabaya</t>
  </si>
  <si>
    <t xml:space="preserve">ANGGA PRASETYAWAN SAPUTRO</t>
  </si>
  <si>
    <t xml:space="preserve">3578042303950003</t>
  </si>
  <si>
    <t xml:space="preserve">Dr. Wahidin SHD 38, RT/RW 001/001, Randuagung, Kebomas, Gresik</t>
  </si>
  <si>
    <t xml:space="preserve">RISA NUR AFIANI</t>
  </si>
  <si>
    <t xml:space="preserve">3525036503000001</t>
  </si>
  <si>
    <t xml:space="preserve">Desa Pantenan, RT/RW 007/004, Pantenan, Panceng, Gresik</t>
  </si>
  <si>
    <t xml:space="preserve">GIANINDHA AMELLIA RISVHA</t>
  </si>
  <si>
    <t xml:space="preserve">3525166301000002</t>
  </si>
  <si>
    <t xml:space="preserve">Jl. Akim Kayat No. 8, RT/RW 003/001, Karangturi, Gresik, Gresik</t>
  </si>
  <si>
    <t xml:space="preserve">NUR FAJRI HINDRIYANI</t>
  </si>
  <si>
    <t xml:space="preserve">3525016312000002</t>
  </si>
  <si>
    <t xml:space="preserve">Mentaras, RT/RW 016/006, Mentaras, Dukun, Gresik</t>
  </si>
  <si>
    <t xml:space="preserve">ANDI ALFANI</t>
  </si>
  <si>
    <t xml:space="preserve">0002005486705</t>
  </si>
  <si>
    <t xml:space="preserve">3515012207990001</t>
  </si>
  <si>
    <t xml:space="preserve">Dsn Tempuran, RT/RW 005/001, Tarik, Tarik, Sidoarjo</t>
  </si>
  <si>
    <t xml:space="preserve">MUHAMMAD FIKRI ALDIANSYAH</t>
  </si>
  <si>
    <t xml:space="preserve">0002060680127</t>
  </si>
  <si>
    <t xml:space="preserve">3515010802050001</t>
  </si>
  <si>
    <t xml:space="preserve">Mergobener, RT/RW 003/001, Mergobener, Tarik, Sidoarjo</t>
  </si>
  <si>
    <t xml:space="preserve">WAHYU ARUM WULANDARI</t>
  </si>
  <si>
    <t xml:space="preserve">0000720317092</t>
  </si>
  <si>
    <t xml:space="preserve">3515034208000002</t>
  </si>
  <si>
    <t xml:space="preserve">Godeg Wetan, RT/RW 010/005, Gading, Krembung, Sidoarjo</t>
  </si>
  <si>
    <t xml:space="preserve">MOHAMMAD ABIYYU SHOBIRIN</t>
  </si>
  <si>
    <t xml:space="preserve">3524212105010006</t>
  </si>
  <si>
    <t xml:space="preserve">Geger, RT/RW 005/003, Turi, Lamongan</t>
  </si>
  <si>
    <t xml:space="preserve">MUHAMMAD ZULVAN NUR HIDAYAT</t>
  </si>
  <si>
    <t xml:space="preserve">INDISIPLINER</t>
  </si>
  <si>
    <t xml:space="preserve">3525081703070002</t>
  </si>
  <si>
    <t xml:space="preserve">Desa Wonosari, RT/RW 003/002, Banyuurip, Kedamean, Gresik</t>
  </si>
  <si>
    <t xml:space="preserve">MOCH ANGGA FELIA WARDHANA</t>
  </si>
  <si>
    <t xml:space="preserve">Harian Lepas (Helper Gudang)</t>
  </si>
  <si>
    <t xml:space="preserve">3515151704000002</t>
  </si>
  <si>
    <t xml:space="preserve">Jl. Jend S Parman V, RT/RW 002/008, Waru, Waru, Sidoarjo</t>
  </si>
  <si>
    <t xml:space="preserve">ROIDON HENDRIK KUNCORO</t>
  </si>
  <si>
    <t xml:space="preserve">3516052003020003</t>
  </si>
  <si>
    <t xml:space="preserve">Kunjoro, RT/RW 004/003, Kunjorowesi, Ngoro, Mojokerto</t>
  </si>
  <si>
    <t xml:space="preserve">CAHYA AULIA RAMADHAN</t>
  </si>
  <si>
    <t xml:space="preserve">3578022610040002</t>
  </si>
  <si>
    <t xml:space="preserve">Jl. Kutisari Selatan 2E/02, RT/RW 001/003, Kutisari, Tenggilis Mejoyo, Surabaya</t>
  </si>
  <si>
    <t xml:space="preserve">AHMAD RAMADHAN</t>
  </si>
  <si>
    <t xml:space="preserve">3506042511010003</t>
  </si>
  <si>
    <t xml:space="preserve">Dsn. Purwokerto, RT/RW 001/005, Purwokerto, Ngadiluwih, Kediri</t>
  </si>
  <si>
    <t xml:space="preserve">HANJAYA NOVEGA</t>
  </si>
  <si>
    <t xml:space="preserve">3578062412980001</t>
  </si>
  <si>
    <t xml:space="preserve">Perumahan Griya Persada Asri Blok PE - 21, RT/RW 018/006, Sidodadi, Candi, Sidoarjo</t>
  </si>
  <si>
    <t xml:space="preserve">JOKO PURBOWIOKO</t>
  </si>
  <si>
    <t xml:space="preserve">3517020404850001</t>
  </si>
  <si>
    <t xml:space="preserve">Sumput, RT/RW 001/005, Sumput, Driyorejo, Gresik</t>
  </si>
  <si>
    <t xml:space="preserve">MUHAMMAD RIZKY AGUSTINO</t>
  </si>
  <si>
    <t xml:space="preserve">3525160608980001</t>
  </si>
  <si>
    <t xml:space="preserve">Sindujoyo 2-F/1, RT/RW 012/002, Kroman, Gresik, Gresik</t>
  </si>
  <si>
    <t xml:space="preserve">MOH TIO AFANDI</t>
  </si>
  <si>
    <t xml:space="preserve">3515050311010002</t>
  </si>
  <si>
    <t xml:space="preserve">MUHAMMAD FASIKHUL LISANI</t>
  </si>
  <si>
    <t xml:space="preserve">Admin PPIC</t>
  </si>
  <si>
    <t xml:space="preserve">3515131709970002</t>
  </si>
  <si>
    <t xml:space="preserve">Kemendung, RT/RW 005/001, Sidodadi, Taman, Sidoarjo</t>
  </si>
  <si>
    <t xml:space="preserve">DAVID SUGIARTO</t>
  </si>
  <si>
    <t xml:space="preserve">QC Galvanis</t>
  </si>
  <si>
    <t xml:space="preserve">3515132511890003</t>
  </si>
  <si>
    <t xml:space="preserve">Jl. Kyai Husein No. 74, RT/RW 021/009, Pabean, Sedati, Sidoarjo</t>
  </si>
  <si>
    <t xml:space="preserve">GALIH PRIYO NUGROHO</t>
  </si>
  <si>
    <t xml:space="preserve">3502041408920001</t>
  </si>
  <si>
    <t xml:space="preserve">Dukuh Bibis II, RT/RW 005/002, Campurejo, Sambit, Ponorogo</t>
  </si>
  <si>
    <t xml:space="preserve">DEWI HIDAYATI LESTARI</t>
  </si>
  <si>
    <t xml:space="preserve">0001535997598</t>
  </si>
  <si>
    <t xml:space="preserve">3506105204960001</t>
  </si>
  <si>
    <t xml:space="preserve">Dusun Lontar, RT/RW 027/007, Kebondalem, Mojosari, Mojokerto</t>
  </si>
  <si>
    <t xml:space="preserve">ASMAUL KHUSNA</t>
  </si>
  <si>
    <t xml:space="preserve">0001535995934</t>
  </si>
  <si>
    <t xml:space="preserve">3505024610950004</t>
  </si>
  <si>
    <t xml:space="preserve">Kauman, RT/RW 006/001, Bangsal, Bangsal, Mojokerto</t>
  </si>
  <si>
    <t xml:space="preserve">RIFKY MARTIN AROHMAN</t>
  </si>
  <si>
    <t xml:space="preserve">28011560047</t>
  </si>
  <si>
    <t xml:space="preserve">SAP Assistant</t>
  </si>
  <si>
    <t xml:space="preserve">1705123103990001</t>
  </si>
  <si>
    <t xml:space="preserve">Pering Baru</t>
  </si>
  <si>
    <t xml:space="preserve">Cahaya Negeri, RT/RW 000/000, Cahaya Negeri, Sukaraja, Seluma</t>
  </si>
  <si>
    <t xml:space="preserve">MUKHAMMAD SAIFUL ALAM</t>
  </si>
  <si>
    <t xml:space="preserve">3515130306950009</t>
  </si>
  <si>
    <t xml:space="preserve">Dsn Gading, RT/RW 014/005, Ds Cangkir, Driyorejo, Gresik</t>
  </si>
  <si>
    <t xml:space="preserve">MOH. BAYU SAMIAJI</t>
  </si>
  <si>
    <t xml:space="preserve">3518052304960001</t>
  </si>
  <si>
    <t xml:space="preserve">Jl. Irian, RT/RW 013/005, Jepang, Bodor, Pace, Nganjuk</t>
  </si>
  <si>
    <t xml:space="preserve">ZUSRIL YUNI PRATAMA</t>
  </si>
  <si>
    <t xml:space="preserve">3517112006020002</t>
  </si>
  <si>
    <t xml:space="preserve">Dsn Badas, RT/RW 003/003, Sumobito, Jombang</t>
  </si>
  <si>
    <t xml:space="preserve">RICHI SATRIO BAGUS</t>
  </si>
  <si>
    <t xml:space="preserve">PT KARYA INDAH BUANA</t>
  </si>
  <si>
    <t xml:space="preserve">3516152908020003</t>
  </si>
  <si>
    <t xml:space="preserve">Pilang Growok, RT/RW 002/001, Mojopilang, Kemlagi, Mojokerto</t>
  </si>
  <si>
    <t xml:space="preserve">MUHAMMAD KHARIS FIKRIL ABDI</t>
  </si>
  <si>
    <t xml:space="preserve">3578012810970001</t>
  </si>
  <si>
    <t xml:space="preserve">Perum Gunung Sarin Indah WW/25, RT/RW 003/009, Kedurus, Karang Pilang, Surabaya</t>
  </si>
  <si>
    <t xml:space="preserve">DAVA FEBRIAN REZA MAHENDRA</t>
  </si>
  <si>
    <t xml:space="preserve">3578212402010002</t>
  </si>
  <si>
    <t xml:space="preserve">Dukuh Kupang, RT/RW 002/003, Dukuh Kupang, Dukuh Pakis, Surabaya</t>
  </si>
  <si>
    <t xml:space="preserve">RIZKI BRATA WIRATAMA</t>
  </si>
  <si>
    <t xml:space="preserve">3578060402010001</t>
  </si>
  <si>
    <t xml:space="preserve">Wonoki Tri 2/98 H, RT/RW 003/001, Pakis, Sawahan, Surabaya</t>
  </si>
  <si>
    <t xml:space="preserve">WEMPHI JEVYANIL</t>
  </si>
  <si>
    <t xml:space="preserve">3578112802960001</t>
  </si>
  <si>
    <t xml:space="preserve">Srengganan 3/6, RT/RW 006/007, Sidodadi, Simokerto, Surabaya</t>
  </si>
  <si>
    <t xml:space="preserve">VICTOR ARMANDO Y.L KILOONA</t>
  </si>
  <si>
    <t xml:space="preserve">22037246326</t>
  </si>
  <si>
    <t xml:space="preserve">9208012107900001</t>
  </si>
  <si>
    <t xml:space="preserve">Perum Green Bangah Regency B-6, RT/RW 006/007, Bangah, Gedangan, Sidoarjo</t>
  </si>
  <si>
    <t xml:space="preserve">CHRISTANTO</t>
  </si>
  <si>
    <t xml:space="preserve">3523052405890002</t>
  </si>
  <si>
    <t xml:space="preserve">Kembang Kuning Kulon 2/7, RT/RW 008/006, Pakis, Sawahan, Surabaya</t>
  </si>
  <si>
    <t xml:space="preserve">ANDRI MARLINO JANUAR EKA PUTRA</t>
  </si>
  <si>
    <t xml:space="preserve">3578062301970003</t>
  </si>
  <si>
    <t xml:space="preserve">Banyu Urip Lor 4/14-A, RT/RW 011/007, Kupang Krajan, Sawahan, Surabaya</t>
  </si>
  <si>
    <t xml:space="preserve">MOCHAMAD SOLIKIN</t>
  </si>
  <si>
    <t xml:space="preserve">3515142101780002</t>
  </si>
  <si>
    <t xml:space="preserve">Klagen, RT/RW 007/002, Wilayut, Sidoarjo</t>
  </si>
  <si>
    <t xml:space="preserve">EKO RAHARJO</t>
  </si>
  <si>
    <t xml:space="preserve">3515070110840001</t>
  </si>
  <si>
    <t xml:space="preserve">Kendal Cabe, RT/RW 005/001, Kendal Pecabean, Candi, Sidoarjo</t>
  </si>
  <si>
    <t xml:space="preserve">ACHMAD HARIS TAMAMI</t>
  </si>
  <si>
    <t xml:space="preserve">3515171009920001</t>
  </si>
  <si>
    <t xml:space="preserve">Jl. H. Syukur V/13, RT/RW 023/011, Sedatigede, Sedati, Sidoarjo</t>
  </si>
  <si>
    <t xml:space="preserve">IRVANZA HASBIH SAPUTRA</t>
  </si>
  <si>
    <t xml:space="preserve">3515181412060002</t>
  </si>
  <si>
    <t xml:space="preserve">Jl. H. Abdul Rahman, RT/RW 010/005, Sedatigede, Sedati, Sidoarjo</t>
  </si>
  <si>
    <t xml:space="preserve">AGUNG WIJAKSONO</t>
  </si>
  <si>
    <t xml:space="preserve">3515122204980001</t>
  </si>
  <si>
    <t xml:space="preserve">Plumpung, RT/RW 004/001, Bakung Pringgodani, Balongbendo, Sidoarjo</t>
  </si>
  <si>
    <t xml:space="preserve">YEFTA ADY PRANATA</t>
  </si>
  <si>
    <t xml:space="preserve">Warehouse (Gudang)</t>
  </si>
  <si>
    <t xml:space="preserve">3525131705010003</t>
  </si>
  <si>
    <t xml:space="preserve">Menganti Permata Indah C-26, RT/RW 011/005, Putat Lor, Menganti, Gresik</t>
  </si>
  <si>
    <t xml:space="preserve">RETNO AYU DWI LESTARI</t>
  </si>
  <si>
    <t xml:space="preserve">20040675893</t>
  </si>
  <si>
    <t xml:space="preserve">3573025310940001</t>
  </si>
  <si>
    <t xml:space="preserve">Jl. Mayjen Panjaitan XV/21, RT/RW 003/006, Penanggungan, Klojen, Malang</t>
  </si>
  <si>
    <t xml:space="preserve">LATIKA FELIXSIA</t>
  </si>
  <si>
    <t xml:space="preserve">3504035504990002</t>
  </si>
  <si>
    <t xml:space="preserve">Jl. Arjuna, RT/RW 003/001, Sidorejo, Kauman, Tulungagung</t>
  </si>
  <si>
    <t xml:space="preserve">FRANSISCA BELLA ANGELA PUTRI</t>
  </si>
  <si>
    <t xml:space="preserve">3515144312000005</t>
  </si>
  <si>
    <t xml:space="preserve">Pademonegoro, RT/RW 004/001, Pademonegoro, Sukodono, Sidoarjo</t>
  </si>
  <si>
    <t xml:space="preserve">RANGGA ALDI SAPUTRA</t>
  </si>
  <si>
    <t xml:space="preserve">3525130703040001</t>
  </si>
  <si>
    <t xml:space="preserve">MUCHAMAD YUSQI MAULANA</t>
  </si>
  <si>
    <t xml:space="preserve">3525142703940001</t>
  </si>
  <si>
    <t xml:space="preserve">Jl. Cendrawasih EB-1, rt/rw 002/009, Suci, Manyar, Gresik</t>
  </si>
  <si>
    <t xml:space="preserve">ARYANSYAH TRI WIBOWO</t>
  </si>
  <si>
    <t xml:space="preserve">3518130605020001</t>
  </si>
  <si>
    <t xml:space="preserve">Jl. P. Sudirman No. 170, RT/RW 002/005, Mangundikaran, Nganjuk, Nganjuk</t>
  </si>
  <si>
    <t xml:space="preserve">MUHAMMAD AULIYA ARDHIKA</t>
  </si>
  <si>
    <t xml:space="preserve">3515180705050003</t>
  </si>
  <si>
    <t xml:space="preserve">MUHAMMAD FIRMAN SYAH</t>
  </si>
  <si>
    <t xml:space="preserve">CV HAKEN AUTO PARTS</t>
  </si>
  <si>
    <t xml:space="preserve">3578103005070006</t>
  </si>
  <si>
    <t xml:space="preserve">Bronggalan Sawah 4-A/52, RT/RW 010/009, Pacarkembang, Tambaksari, Surabaya</t>
  </si>
  <si>
    <t xml:space="preserve">+62 856-5530-5161</t>
  </si>
  <si>
    <t xml:space="preserve">ANUGRAH ARI SULTHAN</t>
  </si>
  <si>
    <t xml:space="preserve">3578101704060010</t>
  </si>
  <si>
    <t xml:space="preserve">Bronggalan Sawah 4-A/64, RT/RW 010/009, Pacarkembang, Tambaksari, Surabaya</t>
  </si>
  <si>
    <t xml:space="preserve">+62 812-3316-2272</t>
  </si>
  <si>
    <t xml:space="preserve">PUTRA FRISTA JANUAR DETA</t>
  </si>
  <si>
    <t xml:space="preserve">3517070301920001</t>
  </si>
  <si>
    <t xml:space="preserve">Jln. Anggrek, RT/RW 005/003, Mojowangi, Jombang</t>
  </si>
  <si>
    <t xml:space="preserve">MOHAMMAD ARDAFA PUTRA</t>
  </si>
  <si>
    <t xml:space="preserve">3516061912060001</t>
  </si>
  <si>
    <t xml:space="preserve">Dsn. Jabon, RT/RW 003/001, Jabontegal, Pungging, Mojokerto</t>
  </si>
  <si>
    <t xml:space="preserve">SANGGUP TRI PRASTYA</t>
  </si>
  <si>
    <t xml:space="preserve">3516182312790002</t>
  </si>
  <si>
    <t xml:space="preserve">Dsn Sumberarum, RT/RW 003/008, Tegalasri, Wlingi, Blitar</t>
  </si>
  <si>
    <t xml:space="preserve">081249655712</t>
  </si>
  <si>
    <t xml:space="preserve">DUKUT SETYABUDI NIRWANA</t>
  </si>
  <si>
    <t xml:space="preserve">3516181810800001</t>
  </si>
  <si>
    <t xml:space="preserve">Kweden Wetan, RT/RW 005/003, Kweden Kembar, Mojoanyar, Mojokerto</t>
  </si>
  <si>
    <t xml:space="preserve">081225021873</t>
  </si>
  <si>
    <t xml:space="preserve">WAHYUDI</t>
  </si>
  <si>
    <t xml:space="preserve">3578172007830011</t>
  </si>
  <si>
    <t xml:space="preserve">Platuk Donomulyo 3/18, RT/RW 007/013, Sidotopo, Surabaya</t>
  </si>
  <si>
    <t xml:space="preserve">081330767229</t>
  </si>
  <si>
    <t xml:space="preserve">MOCHAMMAD WAHYU PAMUNGKAS</t>
  </si>
  <si>
    <t xml:space="preserve">3506110501990001</t>
  </si>
  <si>
    <t xml:space="preserve">Dsn Bulurejo, RT/RW 002/002, Semen, Pagu, Kediri</t>
  </si>
  <si>
    <t xml:space="preserve">085755694385</t>
  </si>
  <si>
    <t xml:space="preserve">CUCU AWALUDIN</t>
  </si>
  <si>
    <t xml:space="preserve">3514200807820004</t>
  </si>
  <si>
    <t xml:space="preserve">Dsn.Kajarkuning, RT/RW 003/003, Kedawung Wetan, Grati, Pasuruan</t>
  </si>
  <si>
    <t xml:space="preserve">ANDIK PRASETYO</t>
  </si>
  <si>
    <t xml:space="preserve">3516141501830001</t>
  </si>
  <si>
    <t xml:space="preserve">Dsn. Simpang, RT/RW 038/008, Ds. Sidoharjo, Kec. Gedeg, Kab. Mojokerto</t>
  </si>
  <si>
    <t xml:space="preserve">085350513701</t>
  </si>
  <si>
    <t xml:space="preserve">JOJOK WIDODO</t>
  </si>
  <si>
    <t xml:space="preserve">3516180703780001</t>
  </si>
  <si>
    <t xml:space="preserve">Link Tropodo, RT/RW 003/002, Meri, Kranggan, Mojokerto</t>
  </si>
  <si>
    <t xml:space="preserve">085850003591</t>
  </si>
  <si>
    <t xml:space="preserve">MUHAMMAD SHOLIHUDDIN</t>
  </si>
  <si>
    <t xml:space="preserve">3522232707910001</t>
  </si>
  <si>
    <t xml:space="preserve">Dsn Lemahbang, RT/RW 016/002, Margomulyo, Balen, Bojonegoro</t>
  </si>
  <si>
    <t xml:space="preserve">082245628229</t>
  </si>
  <si>
    <t xml:space="preserve">MOHAMMAD ARIF</t>
  </si>
  <si>
    <t xml:space="preserve">3516140502780003</t>
  </si>
  <si>
    <t xml:space="preserve">Pagerluyung, RT/RW 004/002, Gedeg, Mojokerto</t>
  </si>
  <si>
    <t xml:space="preserve">087823873479</t>
  </si>
  <si>
    <t xml:space="preserve">KEVIN GIO FEIRIRA</t>
  </si>
  <si>
    <t xml:space="preserve">3578011802000010</t>
  </si>
  <si>
    <t xml:space="preserve">Warugunung, RT/RW 001/003, Karangpilang, Surabaya</t>
  </si>
  <si>
    <t xml:space="preserve">087834777719</t>
  </si>
  <si>
    <t xml:space="preserve">BIMA DWI GITA CAHYONO</t>
  </si>
  <si>
    <t xml:space="preserve">3515011505010001</t>
  </si>
  <si>
    <t xml:space="preserve">Dusun Pandean, RT/RW 006/001, Kalimati, Tarik, Sidoarjo</t>
  </si>
  <si>
    <t xml:space="preserve">ANDI PERMANA PUTRA</t>
  </si>
  <si>
    <t xml:space="preserve">25012014044</t>
  </si>
  <si>
    <t xml:space="preserve">3578171307000004</t>
  </si>
  <si>
    <t xml:space="preserve">Rumdis TNI AL Wonosari C - 180, RT/RW 008/005, Bulak Banteng, Kenjeran, Surabaya</t>
  </si>
  <si>
    <t xml:space="preserve">+62 821-3226-1734</t>
  </si>
  <si>
    <t xml:space="preserve">CHANDRA SYAFRI</t>
  </si>
  <si>
    <t xml:space="preserve">1271202203910004</t>
  </si>
  <si>
    <t xml:space="preserve">Bulak Banteng Wetan 6/39, RT/RW 005/008, Sidotopo Wetan, Kenjeran, Surabaya</t>
  </si>
  <si>
    <t xml:space="preserve">GALUH SYAHPUTRO UTOMO</t>
  </si>
  <si>
    <t xml:space="preserve">3578130210030002</t>
  </si>
  <si>
    <t xml:space="preserve">Tenggumung Baru No. 1, RT/RW 001/010, Pegirian, Semampir, Surabaya</t>
  </si>
  <si>
    <t xml:space="preserve">0856-0712-0960</t>
  </si>
  <si>
    <t xml:space="preserve">NURHALISA</t>
  </si>
  <si>
    <t xml:space="preserve">29081238780</t>
  </si>
  <si>
    <t xml:space="preserve">7315074101010024</t>
  </si>
  <si>
    <t xml:space="preserve">Pinrang</t>
  </si>
  <si>
    <t xml:space="preserve">Masolo 1, RT/RW 002/001, Teppo, Patampanua, Kab. Pinrang</t>
  </si>
  <si>
    <t xml:space="preserve">ALFIANI</t>
  </si>
  <si>
    <t xml:space="preserve">3375015105060004</t>
  </si>
  <si>
    <t xml:space="preserve">Kebulen Gg. 6 No. 28, RT/RW 001/013, Sapuro Kebulen, Pekalongan Barat, Pekalongan</t>
  </si>
  <si>
    <t xml:space="preserve">62895382802825</t>
  </si>
  <si>
    <t xml:space="preserve">IRVAN FREDIANSYAH</t>
  </si>
  <si>
    <t xml:space="preserve">3573012808920007</t>
  </si>
  <si>
    <t xml:space="preserve">Jl. Muharto VIII/48, RT/RW 001/008, Jodipan, Blimbing, Malang</t>
  </si>
  <si>
    <t xml:space="preserve">FATWA AGUNG PRASETYO</t>
  </si>
  <si>
    <t xml:space="preserve">3507191910990006</t>
  </si>
  <si>
    <t xml:space="preserve">Jatisari, RT/RW 012/004, Jatisari, Jatisari, Pakisaji, Malang</t>
  </si>
  <si>
    <t xml:space="preserve">ERWIN SUHENDRA</t>
  </si>
  <si>
    <t xml:space="preserve">3507192606900002</t>
  </si>
  <si>
    <t xml:space="preserve">Kedawung, RT/RW 002/003, Ngijo, Karangploso, Malang</t>
  </si>
  <si>
    <t xml:space="preserve">US DIBJANTORO</t>
  </si>
  <si>
    <t xml:space="preserve">3572012812700003</t>
  </si>
  <si>
    <t xml:space="preserve">Sumengko, RT/RW 011/004, Sumengko, Duduksampeyan, Gresik</t>
  </si>
  <si>
    <t xml:space="preserve">SUGIYANTO</t>
  </si>
  <si>
    <t xml:space="preserve">28021114052</t>
  </si>
  <si>
    <t xml:space="preserve">6408040404930001</t>
  </si>
  <si>
    <t xml:space="preserve">Dsn Pundut, RT/RW 006/001, Punduttrate, Benjeng, Gresik</t>
  </si>
  <si>
    <t xml:space="preserve">REDO FEBRIO PRATAMA</t>
  </si>
  <si>
    <t xml:space="preserve">3516152002040001</t>
  </si>
  <si>
    <t xml:space="preserve">Gondoruso, RT/RW 002/001, Japanan, Kemlagi, Mojokerto</t>
  </si>
  <si>
    <t xml:space="preserve">NAUFAL WICAKSONO</t>
  </si>
  <si>
    <t xml:space="preserve">3525152308020003</t>
  </si>
  <si>
    <t xml:space="preserve">Cangkir, RT/RW 001/001, Cangkir, Driyorejo, Gresik</t>
  </si>
  <si>
    <t xml:space="preserve">MOHAMAD SHOFWAN HASYIM</t>
  </si>
  <si>
    <t xml:space="preserve">3513192007980005</t>
  </si>
  <si>
    <t xml:space="preserve">Dusun Kedungbajul, RT/RW 021/007, Kedungdalem, Dringu, Probolinggo</t>
  </si>
  <si>
    <t xml:space="preserve">MUHAMMAD RIJAL</t>
  </si>
  <si>
    <t xml:space="preserve">COLD CS P1 PRODUCTION</t>
  </si>
  <si>
    <t xml:space="preserve">3515180408030004</t>
  </si>
  <si>
    <t xml:space="preserve">Sidokepung, RT/RW 002/001, Sidokepung, Buduran, Sidoarjo</t>
  </si>
  <si>
    <t xml:space="preserve">MUHAMMAD LUTHFY KARIM</t>
  </si>
  <si>
    <t xml:space="preserve">3525050804020002</t>
  </si>
  <si>
    <t xml:space="preserve">ACHMAD MUSHOLIN ARIF</t>
  </si>
  <si>
    <t xml:space="preserve">3525141412060001</t>
  </si>
  <si>
    <t xml:space="preserve">Jl. Veteran IX.H No.07, RT/RW 001/012, Singosari, Kebomas, Gresik</t>
  </si>
  <si>
    <t xml:space="preserve">AHMAD DHANI</t>
  </si>
  <si>
    <t xml:space="preserve">3524260605070001</t>
  </si>
  <si>
    <t xml:space="preserve">Pongangan Krajan, RT/RW 007/001, Pongangan, Manyar, Gresik</t>
  </si>
  <si>
    <t xml:space="preserve">MUHAMMAD NUR SYA'BANY</t>
  </si>
  <si>
    <t xml:space="preserve">3525141309060001</t>
  </si>
  <si>
    <t xml:space="preserve">Sunan Giri 15-E/12, RT/RW 018/005, Giri, Kebomas, Gresik</t>
  </si>
  <si>
    <t xml:space="preserve">HARDIKA ERICFAN ARYANTA</t>
  </si>
  <si>
    <t xml:space="preserve">3525141806060003</t>
  </si>
  <si>
    <t xml:space="preserve">Dr. Wahidin SH, RT/RW 003/002, Randuagung, Kebomas, Gresik</t>
  </si>
  <si>
    <t xml:space="preserve">MOH. DANANG SAPUTRA</t>
  </si>
  <si>
    <t xml:space="preserve">LS P2 &amp; P5 - QUALITY CONTROL</t>
  </si>
  <si>
    <t xml:space="preserve">3525143011060003</t>
  </si>
  <si>
    <t xml:space="preserve">Jl. IR. Ibrahim Zaheir II Gg. IV, RT/RW 002/004, Singosari, Kebomas, Gresik</t>
  </si>
  <si>
    <t xml:space="preserve">MUKHAMMAD AGIL MASRUR</t>
  </si>
  <si>
    <t xml:space="preserve">P3 QC &amp; INCOMING</t>
  </si>
  <si>
    <t xml:space="preserve">3525102405050002</t>
  </si>
  <si>
    <t xml:space="preserve">Peganden, RT/RW 012/003, Peganden, Manyar, Gresik</t>
  </si>
  <si>
    <t xml:space="preserve">MUHAMMAD RIZKI HIDAYAT</t>
  </si>
  <si>
    <t xml:space="preserve">3525051910020004</t>
  </si>
  <si>
    <t xml:space="preserve">DWI YOGA PRASETYA</t>
  </si>
  <si>
    <t xml:space="preserve">3525140906050002</t>
  </si>
  <si>
    <t xml:space="preserve">Veteran 6/25, RT/RW 001/002, Sidomoro, Kebomas, Gresik</t>
  </si>
  <si>
    <t xml:space="preserve">CHOIRUL HUDA</t>
  </si>
  <si>
    <t xml:space="preserve">3525103011020003</t>
  </si>
  <si>
    <t xml:space="preserve">Jl. Ky Sahlan 14/04, RT/RW 008/002, Manyarsidomukti, Manyar, Gresik</t>
  </si>
  <si>
    <t xml:space="preserve">AHMAD DWI SHOFIYUL HUMAM</t>
  </si>
  <si>
    <t xml:space="preserve">3525102307010003</t>
  </si>
  <si>
    <t xml:space="preserve">Budidaya 36, RT/RW 002/001, Sembayat, Manyar, Gresik</t>
  </si>
  <si>
    <t xml:space="preserve">YUSUF BAGUS EFFENDY</t>
  </si>
  <si>
    <t xml:space="preserve">3523160502020003</t>
  </si>
  <si>
    <t xml:space="preserve">Perum Mondokan Santoso Jl Flores Y 3, RT/RW 001/006, Mondokan, Tuban, Tuban</t>
  </si>
  <si>
    <t xml:space="preserve">ESA FEBRIANTO HARIADI</t>
  </si>
  <si>
    <t xml:space="preserve">HOT CS &amp; SB P3 MAINT. &amp; TOOLING</t>
  </si>
  <si>
    <t xml:space="preserve">3525021702020002</t>
  </si>
  <si>
    <t xml:space="preserve">Dusun Wadang, RT/RW 009/005, Bandungsekaran, Balongpanggang, Gresik</t>
  </si>
  <si>
    <t xml:space="preserve">YOGA TABAH KURNIAWAN</t>
  </si>
  <si>
    <t xml:space="preserve">3525022004020003</t>
  </si>
  <si>
    <t xml:space="preserve">Dsn. Kampung, RT/RW 004/001, Pucung, Balongpanggang, Gresik</t>
  </si>
  <si>
    <t xml:space="preserve">DANANG SUWANDONO</t>
  </si>
  <si>
    <t xml:space="preserve">3525020411060001</t>
  </si>
  <si>
    <t xml:space="preserve">Tenggor, RT/RW 002/003, Tenggor, Balongpanggang, Gresik</t>
  </si>
  <si>
    <t xml:space="preserve">MUHAMMAD RANGGA SYAPUTRA</t>
  </si>
  <si>
    <t xml:space="preserve">3525161205020001</t>
  </si>
  <si>
    <t xml:space="preserve">Perum Taman Anggrek Blok G-8, RT/RW 002/010, Kedanyang, Kebomas, Gresik</t>
  </si>
  <si>
    <t xml:space="preserve">GUSTI BIAN FIRYANA</t>
  </si>
  <si>
    <t xml:space="preserve">3578202205040002</t>
  </si>
  <si>
    <t xml:space="preserve">Wiyung Indah 3/H-21, RT/RW 001/007, Wiyung, Wiyung, Surabaya</t>
  </si>
  <si>
    <t xml:space="preserve">MOHAMMAD FARIS EKA SETIAWAN</t>
  </si>
  <si>
    <t xml:space="preserve">3525042307030002</t>
  </si>
  <si>
    <t xml:space="preserve">Karangan, RT/RW 007/003, Karangankidul, Benjeng, Gresik</t>
  </si>
  <si>
    <t xml:space="preserve">MUHAMMAD RIZKI ALFAZINI</t>
  </si>
  <si>
    <t xml:space="preserve">3525100507070003</t>
  </si>
  <si>
    <t xml:space="preserve">Jl. Kyai Sahlan 19/44, RT/RW 002/001, Manyarsidomukun, Manyar, Gresik</t>
  </si>
  <si>
    <t xml:space="preserve">RIFAN AKBAR ROMANSYAH</t>
  </si>
  <si>
    <t xml:space="preserve">3525162203060002</t>
  </si>
  <si>
    <t xml:space="preserve">Jl. Harun Thohir 13/18-A, RT/RW 002/002, Pulopancikan, Gresik, Gresik</t>
  </si>
  <si>
    <t xml:space="preserve">M. NURUL ANAM</t>
  </si>
  <si>
    <t xml:space="preserve">3317061504000001</t>
  </si>
  <si>
    <t xml:space="preserve">Tengger, RT/RW 004/003, Tengger, Sale, Rembang</t>
  </si>
  <si>
    <t xml:space="preserve">FARHAN ARDHIANSYAH ALWI</t>
  </si>
  <si>
    <t xml:space="preserve">Retained Sample Staff</t>
  </si>
  <si>
    <t xml:space="preserve">3515073006000004</t>
  </si>
  <si>
    <t xml:space="preserve">Sugihwaras, RT/RW 025/007, Sugihwaras, Candi, Sidoarjo</t>
  </si>
  <si>
    <t xml:space="preserve">VERONIKA DEWI PUSPITASARI WALUYANINGTYAS</t>
  </si>
  <si>
    <t xml:space="preserve">Sales Merchandiser</t>
  </si>
  <si>
    <t xml:space="preserve">3505176907850006</t>
  </si>
  <si>
    <t xml:space="preserve">Jalan Mastrip, RT/RW 002/001, Wlingi, Wlingi, Blitar</t>
  </si>
  <si>
    <t xml:space="preserve">RIZKI MAULANA ISKHAK</t>
  </si>
  <si>
    <t xml:space="preserve">3516160510950002</t>
  </si>
  <si>
    <t xml:space="preserve">Bnedo, RT/RW 002/005, Jolotundo, Jetis, Mojokerto</t>
  </si>
  <si>
    <t xml:space="preserve">HOIRUL ANWAR</t>
  </si>
  <si>
    <t xml:space="preserve">29068611874</t>
  </si>
  <si>
    <t xml:space="preserve">3526032605000002</t>
  </si>
  <si>
    <t xml:space="preserve">Dsn. Paorampak, RT/RW 000/000, Alaskembang, Burneh, Bangkalan</t>
  </si>
  <si>
    <t xml:space="preserve">IMAM BUHORI</t>
  </si>
  <si>
    <t xml:space="preserve">3526031009020004</t>
  </si>
  <si>
    <t xml:space="preserve">Dsn. Pakem Bawah, RT/RW 000/000, Alaskembang, Burneh, Bangkalan</t>
  </si>
  <si>
    <t xml:space="preserve">MUCHAMAD SAIFUL</t>
  </si>
  <si>
    <t xml:space="preserve">CANCEL JOIN</t>
  </si>
  <si>
    <t xml:space="preserve">3515112706900001</t>
  </si>
  <si>
    <t xml:space="preserve">Dsn Ponokawan, RT/RW 005/001, Ponokawan, Krian, Sidoarjo</t>
  </si>
  <si>
    <t xml:space="preserve">ACHMAD NAUFAL AL HAFIDL</t>
  </si>
  <si>
    <t xml:space="preserve">3524132805030001</t>
  </si>
  <si>
    <t xml:space="preserve">Gembong, RT/RW 003/001, Gembong, Babat, Lamongan</t>
  </si>
  <si>
    <t xml:space="preserve">KEY-KO AN-NAJIBAH</t>
  </si>
  <si>
    <t xml:space="preserve">0001683966418</t>
  </si>
  <si>
    <t xml:space="preserve">Customer Service E-Commerce</t>
  </si>
  <si>
    <t xml:space="preserve">1374025204030021</t>
  </si>
  <si>
    <t xml:space="preserve">Padang Panjang</t>
  </si>
  <si>
    <t xml:space="preserve">JL. Rohana Kudus No.82, RT/RW 009/000, Kampung Manggis, Padang Panjang Barat, Padang Panjang</t>
  </si>
  <si>
    <t xml:space="preserve">FIGUR KHARISMAN MA'RUF</t>
  </si>
  <si>
    <t xml:space="preserve">3515012003970001</t>
  </si>
  <si>
    <t xml:space="preserve">Songgat, RT/RW 012/005, Gampingrowo, Tarik, Sidoarjo</t>
  </si>
  <si>
    <t xml:space="preserve">MUHAMAD ROY HAFID ROMADHONI</t>
  </si>
  <si>
    <t xml:space="preserve">3524191312000004</t>
  </si>
  <si>
    <t xml:space="preserve">Puter, RT/RW 001/001, Puter, Kembangbahu, Lamongan</t>
  </si>
  <si>
    <t xml:space="preserve">ROSDIANAH</t>
  </si>
  <si>
    <t xml:space="preserve">1209205911930002</t>
  </si>
  <si>
    <t xml:space="preserve">Kisaran</t>
  </si>
  <si>
    <t xml:space="preserve">Dusun Gumining, RT/RW 005/001, Tambakrejo, Duduksampeyan, Gresik</t>
  </si>
  <si>
    <t xml:space="preserve">SHAFFRINA ZAQIATUL ALFIKA</t>
  </si>
  <si>
    <t xml:space="preserve">3525044309020001</t>
  </si>
  <si>
    <t xml:space="preserve">Balongmojo Krajan, RT/RW 003/002, Balongmojo, Benjeng, Gresik</t>
  </si>
  <si>
    <t xml:space="preserve">ADI SUCIPTO</t>
  </si>
  <si>
    <t xml:space="preserve">3525020508950002</t>
  </si>
  <si>
    <t xml:space="preserve">Ganggang, RT/RW 011/011, Ganggang, Balongpanggang, Gresik</t>
  </si>
  <si>
    <t xml:space="preserve">MIFTAKHUL SAHRUL RAMADHAN</t>
  </si>
  <si>
    <t xml:space="preserve">3525160910040002</t>
  </si>
  <si>
    <t xml:space="preserve">KH. Abdul Karim Gg. 14/7, RT/RW 002/002, Trate, Gresik, Gresik</t>
  </si>
  <si>
    <t xml:space="preserve">ZAINUR ROFIKIN</t>
  </si>
  <si>
    <t xml:space="preserve">3573013110990002</t>
  </si>
  <si>
    <t xml:space="preserve">Jl. Sanan VII/10, Purwantoro, Blimbing, Malang</t>
  </si>
  <si>
    <t xml:space="preserve">WAWAN SUHENDRO</t>
  </si>
  <si>
    <t xml:space="preserve">3516061808850002</t>
  </si>
  <si>
    <t xml:space="preserve">Pondok Pungging Indah Blok C/08, RT/RW 003/005, Tunggal pager, Pungging, Mojokerto</t>
  </si>
  <si>
    <t xml:space="preserve">ANA SEPTIANI</t>
  </si>
  <si>
    <t xml:space="preserve">0001535995935</t>
  </si>
  <si>
    <t xml:space="preserve">3517066211950002</t>
  </si>
  <si>
    <t xml:space="preserve">Pohkecik, RT/RW 003/008, Baujeng, Beji, Pasuruan</t>
  </si>
  <si>
    <t xml:space="preserve">AGENG WIBOWO</t>
  </si>
  <si>
    <t xml:space="preserve">3525152005000003</t>
  </si>
  <si>
    <t xml:space="preserve">SARAH PRASESTI</t>
  </si>
  <si>
    <t xml:space="preserve">BATAL</t>
  </si>
  <si>
    <t xml:space="preserve">27076163635</t>
  </si>
  <si>
    <t xml:space="preserve">Staff Finance dan Accounting</t>
  </si>
  <si>
    <t xml:space="preserve">3519036001940001</t>
  </si>
  <si>
    <t xml:space="preserve">Jl. Perdana, RT/RW 008/002, Jatisari, Geger, Madiun</t>
  </si>
  <si>
    <t xml:space="preserve">SUCI SRI MUJI SAMBANG</t>
  </si>
  <si>
    <t xml:space="preserve">27066884190</t>
  </si>
  <si>
    <t xml:space="preserve">3573012102890002</t>
  </si>
  <si>
    <t xml:space="preserve">Jl. Simpang Teluk Bayur 60-E, RT/RW 007/008, Pandanwangi, Blimbing, Malang</t>
  </si>
  <si>
    <t xml:space="preserve">RIZKY SILVIANDARI</t>
  </si>
  <si>
    <t xml:space="preserve">3507054111010005</t>
  </si>
  <si>
    <t xml:space="preserve">Jl. Gunung Jati, RT/RW 002/008, Dampit, Dampit, Malang</t>
  </si>
  <si>
    <t xml:space="preserve">DELA ARISKA</t>
  </si>
  <si>
    <t xml:space="preserve">3507056006070002</t>
  </si>
  <si>
    <t xml:space="preserve">Larangan, RT/RW 002/001, Majangtengah, Dampit, Malang</t>
  </si>
  <si>
    <t xml:space="preserve">FARAH RIZQI FAUZIAH</t>
  </si>
  <si>
    <t xml:space="preserve">27043276945</t>
  </si>
  <si>
    <t xml:space="preserve">3509215402970003</t>
  </si>
  <si>
    <t xml:space="preserve">Jl. Letjen Suprapto XIV/ Perumahan Pondok Bambu M-10, RT/RW 001/008, Kebonsari, Sumbersari, Jember</t>
  </si>
  <si>
    <t xml:space="preserve">RIA WIDYA YUNIAR</t>
  </si>
  <si>
    <t xml:space="preserve">6309066901990004</t>
  </si>
  <si>
    <t xml:space="preserve">Villa Bukit Tidar Blok E 3/347, RT/RW 002/010, Karangbesuki, Sukun, Malang</t>
  </si>
  <si>
    <t xml:space="preserve">KHAFIED NIZAR NUR ERWINSYAH</t>
  </si>
  <si>
    <t xml:space="preserve">Sales Promotion</t>
  </si>
  <si>
    <t xml:space="preserve">3578042905950007</t>
  </si>
  <si>
    <t xml:space="preserve">Bratang Wetan 3-B/10, RT/RW 007/008, Ngagelrejo, Wonokromo, Surabaya</t>
  </si>
  <si>
    <t xml:space="preserve">IMAM SAFI'I</t>
  </si>
  <si>
    <t xml:space="preserve">3524161902920002</t>
  </si>
  <si>
    <t xml:space="preserve">Kampung, RT/RW 001/003, Sumberkerep, Mantup, Lamongan</t>
  </si>
  <si>
    <t xml:space="preserve">HANIF ISMA PANGESTU</t>
  </si>
  <si>
    <t xml:space="preserve">Finance &amp; Accounting Staff</t>
  </si>
  <si>
    <t xml:space="preserve">3501042511010002</t>
  </si>
  <si>
    <t xml:space="preserve">Tanggerang</t>
  </si>
  <si>
    <t xml:space="preserve">Padangan, RT/RW 003/002, Banjarsari, Pacitan, Pacitan</t>
  </si>
  <si>
    <t xml:space="preserve">CHATERINE FEBRIANNE PUTRI</t>
  </si>
  <si>
    <t xml:space="preserve">3507244802000001</t>
  </si>
  <si>
    <t xml:space="preserve">Komp Kartanegara Blok C 17, RT/RW 007/006, Tamanharjo, Singosari, Malang</t>
  </si>
  <si>
    <t xml:space="preserve">ADE RAMADHANA PRATAMA</t>
  </si>
  <si>
    <t xml:space="preserve">IT Web Development</t>
  </si>
  <si>
    <t xml:space="preserve">3573010301990007</t>
  </si>
  <si>
    <t xml:space="preserve">Jl. Cakalang 172 E, RT/RW 003/002, Polowijen, Blimbing, Malang</t>
  </si>
  <si>
    <t xml:space="preserve">FRENGKY SIMANUNGKALIT</t>
  </si>
  <si>
    <t xml:space="preserve">Depok</t>
  </si>
  <si>
    <t xml:space="preserve">Legal Staff</t>
  </si>
  <si>
    <t xml:space="preserve">1406042402960001</t>
  </si>
  <si>
    <t xml:space="preserve">Porsea</t>
  </si>
  <si>
    <t xml:space="preserve">Lingk Murini - Dalu-Dalu, RT/RW 001/001, Tambusai Tengah, Tambusai, Rokan Hulu</t>
  </si>
  <si>
    <t xml:space="preserve">MOCHAMMAD WILDAN</t>
  </si>
  <si>
    <t xml:space="preserve">IT Suport</t>
  </si>
  <si>
    <t xml:space="preserve">3573022102950004</t>
  </si>
  <si>
    <t xml:space="preserve">Jl. Arjuno III/1137, RT/RW 012/001, Kauman, Klojen, Malang</t>
  </si>
  <si>
    <t xml:space="preserve">ALDI PUTRA FERDIANSYAH</t>
  </si>
  <si>
    <t xml:space="preserve">3516062208010002</t>
  </si>
  <si>
    <t xml:space="preserve">Dsn. Sumbertani, RT/RW 001/001, Mojorejo, Pungging, Mojokerto</t>
  </si>
  <si>
    <t xml:space="preserve">MUHAMMAD FAIZ RIZIQ MAULA</t>
  </si>
  <si>
    <t xml:space="preserve">3175060812021005</t>
  </si>
  <si>
    <t xml:space="preserve">KP Pisangan No.102, RT/RW 004/003, Penggilingan, Cakung, Jakarta Timur</t>
  </si>
  <si>
    <t xml:space="preserve">KALAM AKBAR</t>
  </si>
  <si>
    <t xml:space="preserve">5271062310040003</t>
  </si>
  <si>
    <t xml:space="preserve">Jl. Anggrek IV/4/2 BTN Sweta Gegerung Indah, RT/RW 007/282, Turida, Sandubaya, Mataram</t>
  </si>
  <si>
    <t xml:space="preserve">DAIYANA FIRMANDA</t>
  </si>
  <si>
    <t xml:space="preserve">3516112703020005</t>
  </si>
  <si>
    <t xml:space="preserve">Dusun Kenanten, RT/RW 001/003, Puri, Mojokerto</t>
  </si>
  <si>
    <t xml:space="preserve">ADI JAYA</t>
  </si>
  <si>
    <t xml:space="preserve">22098262431</t>
  </si>
  <si>
    <t xml:space="preserve">3515010611060002</t>
  </si>
  <si>
    <t xml:space="preserve">Dsn. Blijo, RT/RW 016/002, Sebani, Tarik, Sidoarjo</t>
  </si>
  <si>
    <t xml:space="preserve">M. ALDI CAHYO PUTRA</t>
  </si>
  <si>
    <t xml:space="preserve">28006109749</t>
  </si>
  <si>
    <t xml:space="preserve">3515092609990002</t>
  </si>
  <si>
    <t xml:space="preserve">Jl. Singajaya, RT/RW 001/001, Singopadu, Tulangan, Sidoarjo</t>
  </si>
  <si>
    <t xml:space="preserve">FATHUR ROSI</t>
  </si>
  <si>
    <t xml:space="preserve">3526081601060003</t>
  </si>
  <si>
    <t xml:space="preserve">Dsn Bettan, RT/RW 000/000, Klabetan, Sepulu, Bangkalan</t>
  </si>
  <si>
    <t xml:space="preserve">AMIRUDDIN</t>
  </si>
  <si>
    <t xml:space="preserve">27011164806</t>
  </si>
  <si>
    <t xml:space="preserve">3526112708000001</t>
  </si>
  <si>
    <t xml:space="preserve">Dsn. Pangkandeng, RT/RW 000/000, Duwek Puter, Kwanyar, Bangkalan</t>
  </si>
  <si>
    <t xml:space="preserve">SHOFYATUL UMMAROH</t>
  </si>
  <si>
    <t xml:space="preserve">25027100283</t>
  </si>
  <si>
    <t xml:space="preserve">3506165208010001</t>
  </si>
  <si>
    <t xml:space="preserve">Wonoayu Gg. Musholla No.8, RT/RW 004/003, Medokan Ayu, Rungkut, Surabaya</t>
  </si>
  <si>
    <t xml:space="preserve">FIRDHA ROCHMAWATI</t>
  </si>
  <si>
    <t xml:space="preserve">3578036806950005</t>
  </si>
  <si>
    <t xml:space="preserve">Rungkut Lor 3-A/20-A RT/RW 002/006 Kalirungkut, Rungkut, Surabaya</t>
  </si>
  <si>
    <t xml:space="preserve">FARID</t>
  </si>
  <si>
    <t xml:space="preserve">3516111209960002</t>
  </si>
  <si>
    <t xml:space="preserve">WAHYU SLAMET INDRAWAN</t>
  </si>
  <si>
    <t xml:space="preserve">Kab. Jember</t>
  </si>
  <si>
    <t xml:space="preserve">SPB Jember</t>
  </si>
  <si>
    <t xml:space="preserve">3509200103980005</t>
  </si>
  <si>
    <t xml:space="preserve">Jl. Tegal Batu Lingk. Patrang Tengah, RT/RW 003/004, Patrang, Patrang, Jember</t>
  </si>
  <si>
    <t xml:space="preserve">IMAM WAHYUDI</t>
  </si>
  <si>
    <t xml:space="preserve">3578271603860004</t>
  </si>
  <si>
    <t xml:space="preserve">Jl Pahlawan, RT/RW 003/003, Sukomulyo, Mojowarno, Jombang</t>
  </si>
  <si>
    <t xml:space="preserve">NOVIANA RAMADHANI</t>
  </si>
  <si>
    <t xml:space="preserve">3515024611020002</t>
  </si>
  <si>
    <t xml:space="preserve">Perum Griya Prambon Asri, RT/RW 008/002, Wonoplintahan, Prambon, Sidoarjo</t>
  </si>
  <si>
    <t xml:space="preserve">LUTFI HAMSYAH</t>
  </si>
  <si>
    <t xml:space="preserve">PU Kebersihan</t>
  </si>
  <si>
    <t xml:space="preserve">3515131408900005</t>
  </si>
  <si>
    <t xml:space="preserve">Kramatjegu, RT/RW 003/006, Kramatjegu, Taman, Sidoarjo</t>
  </si>
  <si>
    <t xml:space="preserve">LUTHFI KURNIAWAN ABDILLAH</t>
  </si>
  <si>
    <t xml:space="preserve">3524121411940001</t>
  </si>
  <si>
    <t xml:space="preserve">German, RT/RW 004/003, German, Sugio, Lamongan</t>
  </si>
  <si>
    <t xml:space="preserve">HABIB TOHA MA'RUF</t>
  </si>
  <si>
    <t xml:space="preserve">21018398124</t>
  </si>
  <si>
    <t xml:space="preserve">3515130105030001</t>
  </si>
  <si>
    <t xml:space="preserve">Bohar Utara, RT/RW 001/001, Bohar, Taman, Sidoarjo</t>
  </si>
  <si>
    <t xml:space="preserve">Daily Post E-Commerce</t>
  </si>
  <si>
    <t xml:space="preserve">MUHAMMAD FIRMAN SAMUDRA</t>
  </si>
  <si>
    <t xml:space="preserve">3515161409040005</t>
  </si>
  <si>
    <t xml:space="preserve">Punggul, RT/RW 001/001, Punggul, Gedangan, Sidoarjo</t>
  </si>
  <si>
    <t xml:space="preserve">AMANATUL ILMI</t>
  </si>
  <si>
    <t xml:space="preserve">26074935091</t>
  </si>
  <si>
    <t xml:space="preserve">3506154709040003</t>
  </si>
  <si>
    <t xml:space="preserve">Jln. Anggrek, RT/RW 002/003, Pesing, Purwosari, Kediri</t>
  </si>
  <si>
    <t xml:space="preserve">MAS AYU FADIYA RISKY</t>
  </si>
  <si>
    <t xml:space="preserve">28064901161</t>
  </si>
  <si>
    <t xml:space="preserve">3515135203050002</t>
  </si>
  <si>
    <t xml:space="preserve">Bohar Timur, RT/RW 010/006, Bohar, Taman, Sidoarjo</t>
  </si>
  <si>
    <t xml:space="preserve">JIHAN RIVALDI</t>
  </si>
  <si>
    <t xml:space="preserve">29039474296</t>
  </si>
  <si>
    <t xml:space="preserve">3515162406010002</t>
  </si>
  <si>
    <t xml:space="preserve">Jl. KH. Harun Ishaq, RT/RW 001/002, Ketajen, Gedangan, Sidoarjo</t>
  </si>
  <si>
    <t xml:space="preserve">AINUL FARIKHA</t>
  </si>
  <si>
    <t xml:space="preserve">3517086801010005</t>
  </si>
  <si>
    <t xml:space="preserve">Pacarkeling 7/17, RT/RW 004/010, Pacar Keling, Tambak Sari, Surabaya</t>
  </si>
  <si>
    <t xml:space="preserve">M. FAWWAS</t>
  </si>
  <si>
    <t xml:space="preserve">3526130903020003</t>
  </si>
  <si>
    <t xml:space="preserve">Dsn. Banyualet, RT/RW 000/000, Tanah Merah Laok, Tanah Merah, Bangkalan</t>
  </si>
  <si>
    <t xml:space="preserve">JELLYANTI ELSINA TAMONOB</t>
  </si>
  <si>
    <t xml:space="preserve">PT SUMBER CIPTA MULTINIAGA (KUPANG)</t>
  </si>
  <si>
    <t xml:space="preserve">MUTASI</t>
  </si>
  <si>
    <t xml:space="preserve">20047954848</t>
  </si>
  <si>
    <t xml:space="preserve">5371047007940005</t>
  </si>
  <si>
    <t xml:space="preserve">Jln. Nangka, RT/RW 028 / 009, Oebobo, Oebobo, Kupang</t>
  </si>
  <si>
    <t xml:space="preserve">UMAR FARUQ</t>
  </si>
  <si>
    <t xml:space="preserve">21018753515</t>
  </si>
  <si>
    <t xml:space="preserve">3578162706980004</t>
  </si>
  <si>
    <t xml:space="preserve">Bulak Banteng Lor Garuda 3/42, RT/RW 012/008, Bulak Banteng, Kenjeran, Surabaya</t>
  </si>
  <si>
    <t xml:space="preserve">MOCH YUNUS SANJAYA</t>
  </si>
  <si>
    <t xml:space="preserve">28084453684</t>
  </si>
  <si>
    <t xml:space="preserve">3515081404030006</t>
  </si>
  <si>
    <t xml:space="preserve">Lebo, RT/RW 014/004, Lebo, Sidoarjo, Sidoarjo</t>
  </si>
  <si>
    <t xml:space="preserve">0895320956804</t>
  </si>
  <si>
    <t xml:space="preserve">DONY ADI KURNIAWAN</t>
  </si>
  <si>
    <t xml:space="preserve">29093674932</t>
  </si>
  <si>
    <t xml:space="preserve">3578100208940006</t>
  </si>
  <si>
    <t xml:space="preserve">Dukuh Setro 11-B/8, RT/RW 011/008, Gading, Tambak Sari, Surabaya</t>
  </si>
  <si>
    <t xml:space="preserve">83849610535‬</t>
  </si>
  <si>
    <t xml:space="preserve">FERDI DIRNANDA</t>
  </si>
  <si>
    <t xml:space="preserve">3578132609050001</t>
  </si>
  <si>
    <t xml:space="preserve">Kalibutuh Timur II/5-A, RT/RW 005/007, Tembok Dukuh, Bubutan, Surabaya</t>
  </si>
  <si>
    <t xml:space="preserve">SYAHNANDAFFA ADRIAN MAULANA</t>
  </si>
  <si>
    <t xml:space="preserve">3573011603020002</t>
  </si>
  <si>
    <t xml:space="preserve">Jl. Titan Asri II BB-30, RT/RW 007/012, Pandanwangi, Blimbing, Malang</t>
  </si>
  <si>
    <t xml:space="preserve">IAN HERMAWAN</t>
  </si>
  <si>
    <t xml:space="preserve">28028014254</t>
  </si>
  <si>
    <t xml:space="preserve">3172032106961001</t>
  </si>
  <si>
    <t xml:space="preserve">Jl. Bendungan Melayu, RT/RW 009/001, Rawa Badak Selatan, Jakarta Utara</t>
  </si>
  <si>
    <t xml:space="preserve">29036721412</t>
  </si>
  <si>
    <t xml:space="preserve">3526060408000006</t>
  </si>
  <si>
    <t xml:space="preserve">Dsn Kebun Tengah, 000/000, Tegar Priyah , Geger, Bangkalan</t>
  </si>
  <si>
    <t xml:space="preserve">IVAN SETYO AJI ADI PUTRA</t>
  </si>
  <si>
    <t xml:space="preserve">27086036663</t>
  </si>
  <si>
    <t xml:space="preserve">3515012206960002</t>
  </si>
  <si>
    <t xml:space="preserve">Juglang, Rt/Rw 002/001, Singogalih, Tarik, Sidoarjo</t>
  </si>
  <si>
    <t xml:space="preserve">085695567682</t>
  </si>
  <si>
    <t xml:space="preserve">LAILATUL AMALIA</t>
  </si>
  <si>
    <t xml:space="preserve">25084696863</t>
  </si>
  <si>
    <t xml:space="preserve">3505095912000001</t>
  </si>
  <si>
    <t xml:space="preserve">Jl. Penataran Ngrobyong, RT/RW 001/002, Jiwut, Nglegok, Blitar</t>
  </si>
  <si>
    <t xml:space="preserve">MOHAMMAD JAUHARI ARIFIN</t>
  </si>
  <si>
    <t xml:space="preserve">0002778594693</t>
  </si>
  <si>
    <t xml:space="preserve">Gudang Jadi - Driver Pengiriman</t>
  </si>
  <si>
    <t xml:space="preserve">3515161707950005</t>
  </si>
  <si>
    <t xml:space="preserve">ALMALIKHA SEPTRIANA</t>
  </si>
  <si>
    <t xml:space="preserve">3318196409060002</t>
  </si>
  <si>
    <t xml:space="preserve">Tendas, RT/RW 001/001, Tayu, Pati</t>
  </si>
  <si>
    <t xml:space="preserve">NURUL AFIAT HARDIYANTI</t>
  </si>
  <si>
    <t xml:space="preserve">20038457620</t>
  </si>
  <si>
    <t xml:space="preserve">7371076411950004</t>
  </si>
  <si>
    <t xml:space="preserve">Jl. Tinumbu LR 132 K No. 27 A, RT/RW 002/002, Tabaringan, Ujung Tanah, Kota Makassar</t>
  </si>
  <si>
    <t xml:space="preserve">NURUL SAKINA AULIA</t>
  </si>
  <si>
    <t xml:space="preserve">26028587013</t>
  </si>
  <si>
    <t xml:space="preserve">7371106805060003</t>
  </si>
  <si>
    <t xml:space="preserve">MAKASSAR</t>
  </si>
  <si>
    <t xml:space="preserve">JL. BUNGA EJA BERU NO 14, RT/RW 007/004, BUNGA EJA BERU, TALLO, KOTA MAKASSAR</t>
  </si>
  <si>
    <t xml:space="preserve">OKTA DWI ASRI</t>
  </si>
  <si>
    <t xml:space="preserve">1871056710970006</t>
  </si>
  <si>
    <t xml:space="preserve">Jl. A. Sucipto Gg. Abdulhak No. 6, RT/RW 002/000, Kebonjeruk, Tanjung Karang Timur, Bandar Lampung</t>
  </si>
  <si>
    <t xml:space="preserve">SELVI PRASASTI</t>
  </si>
  <si>
    <t xml:space="preserve">1607065309070002</t>
  </si>
  <si>
    <t xml:space="preserve">Banyuasin</t>
  </si>
  <si>
    <t xml:space="preserve">Jl. Margo Mulyo, RT/RW 017/004, Sungai Pinang, Rambutan, Banyuasin</t>
  </si>
  <si>
    <t xml:space="preserve">PUTRI AZIZAH NUR RAHMA</t>
  </si>
  <si>
    <t xml:space="preserve">21082547754</t>
  </si>
  <si>
    <t xml:space="preserve">3471107107050001</t>
  </si>
  <si>
    <t xml:space="preserve">Prawirodirjan GM 2/782, RT/RW 056/017, Prawirodirjan, Gondomanan, Kota Yogyakarta</t>
  </si>
  <si>
    <t xml:space="preserve">PUTRI WAHYU N</t>
  </si>
  <si>
    <t xml:space="preserve">29052822129</t>
  </si>
  <si>
    <t xml:space="preserve">3372046410030002</t>
  </si>
  <si>
    <t xml:space="preserve">SURAKARTA</t>
  </si>
  <si>
    <t xml:space="preserve">KAPLINGAN, RT 004/020, JEBRES, JEBRES, KOTA SURAKARTA</t>
  </si>
  <si>
    <t xml:space="preserve">0838829969080</t>
  </si>
  <si>
    <t xml:space="preserve">PUTRI YULIA RAHMANISA</t>
  </si>
  <si>
    <t xml:space="preserve">0002293077688</t>
  </si>
  <si>
    <t xml:space="preserve">3307117007020004</t>
  </si>
  <si>
    <t xml:space="preserve">Bumen, RT/RW 003/002, Bumirejo, Mojotengah, Wonosobo</t>
  </si>
  <si>
    <t xml:space="preserve">PUTU ANGGA PRATAMA</t>
  </si>
  <si>
    <t xml:space="preserve">25055438404</t>
  </si>
  <si>
    <t xml:space="preserve">5271062210050002</t>
  </si>
  <si>
    <t xml:space="preserve">Karang Bata Utara, RT/RW 005/007, Abian Tubuh Baru, Sandubaya, Kota Mataram</t>
  </si>
  <si>
    <t xml:space="preserve">RAHAYU ANISA YULIA SAFITRI</t>
  </si>
  <si>
    <t xml:space="preserve">26008432562</t>
  </si>
  <si>
    <t xml:space="preserve">Bulungan</t>
  </si>
  <si>
    <t xml:space="preserve">6404057112070002</t>
  </si>
  <si>
    <t xml:space="preserve">Gunung Seriang, RT/RW 003/000, Gunung Seriang, Tanjung Selor, Kab. Bulungan</t>
  </si>
  <si>
    <t xml:space="preserve">ANASERUL FACHRUDIN</t>
  </si>
  <si>
    <t xml:space="preserve">28037518228</t>
  </si>
  <si>
    <t xml:space="preserve">3516180608900002</t>
  </si>
  <si>
    <t xml:space="preserve">Balong Lombok, RT/RW 002/008, Sumolawang, Puri, Mojokerto</t>
  </si>
  <si>
    <t xml:space="preserve">SYAMSUL ARI WIJAYA</t>
  </si>
  <si>
    <t xml:space="preserve">23054414360</t>
  </si>
  <si>
    <t xml:space="preserve">3502200305050003</t>
  </si>
  <si>
    <t xml:space="preserve">Dukuh Gupak Warak, RT/RW 007/005, Krebet, Jambon, Ponorogo</t>
  </si>
  <si>
    <t xml:space="preserve">MOHAMMAD WAHYUDI</t>
  </si>
  <si>
    <t xml:space="preserve">0002157605054</t>
  </si>
  <si>
    <t xml:space="preserve">3515131703930008</t>
  </si>
  <si>
    <t xml:space="preserve">Bohar Timur RT/RW 010/006, Taman, Sidoarjo</t>
  </si>
  <si>
    <t xml:space="preserve">NAUFAL LUDYA MASHUR</t>
  </si>
  <si>
    <t xml:space="preserve">26036707601</t>
  </si>
  <si>
    <t xml:space="preserve">3507141112000003</t>
  </si>
  <si>
    <t xml:space="preserve">Perum Graha Pratama C-21, RT/RW 044/007, Bululawang, Bululawang, Malang</t>
  </si>
  <si>
    <t xml:space="preserve">ANDRIAN FIRMANSYAH</t>
  </si>
  <si>
    <t xml:space="preserve">23064309176</t>
  </si>
  <si>
    <t xml:space="preserve">3516122410960004</t>
  </si>
  <si>
    <t xml:space="preserve">Dsn. Budug, RT/RW 004/001, Budug Sidorejo, Sumorito, Jombang</t>
  </si>
  <si>
    <t xml:space="preserve">085790837800</t>
  </si>
  <si>
    <t xml:space="preserve">ADI BAGUS SUNARYO</t>
  </si>
  <si>
    <t xml:space="preserve">29081374305</t>
  </si>
  <si>
    <t xml:space="preserve">3516020610970001</t>
  </si>
  <si>
    <t xml:space="preserve">Kauman, RT/RW 002/001, Pugeran, Gondang, Mojokerto</t>
  </si>
  <si>
    <t xml:space="preserve">CHURIN IN</t>
  </si>
  <si>
    <t xml:space="preserve">29001909782</t>
  </si>
  <si>
    <t xml:space="preserve">Administrasi Ls P2 &amp; P5 - Quality Control</t>
  </si>
  <si>
    <t xml:space="preserve">3525144201020001</t>
  </si>
  <si>
    <t xml:space="preserve">Perum Giri Asri Blok AD/27, RT/RW 006/002, Ngargosari, Kebomas, Gresik</t>
  </si>
  <si>
    <t xml:space="preserve">MUHAMMAD NIZAR</t>
  </si>
  <si>
    <t xml:space="preserve">26028745623</t>
  </si>
  <si>
    <t xml:space="preserve">3526141209970001</t>
  </si>
  <si>
    <t xml:space="preserve">Dsn. Bijjanan Desa Banyubesi, Tragah, Bangkalan</t>
  </si>
  <si>
    <t xml:space="preserve">SA'ID</t>
  </si>
  <si>
    <t xml:space="preserve">21095963495</t>
  </si>
  <si>
    <t xml:space="preserve">3526132002030001</t>
  </si>
  <si>
    <t xml:space="preserve">Landak Timur 38/22, RT/RW 000/000, Landak, Tanah Merah, Bangkalan</t>
  </si>
  <si>
    <t xml:space="preserve">M. JUNAIDI</t>
  </si>
  <si>
    <t xml:space="preserve">20085810544</t>
  </si>
  <si>
    <t xml:space="preserve">3526020805940003</t>
  </si>
  <si>
    <t xml:space="preserve">Dsn. Bandung Timur, RT/RW 001/003, Keleyan, Socah, Bangkalan</t>
  </si>
  <si>
    <t xml:space="preserve">ANDIK PRASTIO</t>
  </si>
  <si>
    <t xml:space="preserve">24068777795</t>
  </si>
  <si>
    <t xml:space="preserve">3519133011870002</t>
  </si>
  <si>
    <t xml:space="preserve">Bulut, RT/RW 002/001, Bulu, Pilangkenceng, Madiun</t>
  </si>
  <si>
    <t xml:space="preserve">SEPIAN DUWI CAHYO</t>
  </si>
  <si>
    <t xml:space="preserve">21092132323</t>
  </si>
  <si>
    <t xml:space="preserve">3578060512970006</t>
  </si>
  <si>
    <t xml:space="preserve">ANANG WAHYU MUSYAFFA</t>
  </si>
  <si>
    <t xml:space="preserve">27053577020</t>
  </si>
  <si>
    <t xml:space="preserve">3578130612010001</t>
  </si>
  <si>
    <t xml:space="preserve">Asem Jaya IX/27-B, RT/RW 009/004, Tembok Dukuh, Bubutan, Surabaya</t>
  </si>
  <si>
    <t xml:space="preserve">SLAMET RAHARJO</t>
  </si>
  <si>
    <t xml:space="preserve">22071170076</t>
  </si>
  <si>
    <t xml:space="preserve">3578162802860003</t>
  </si>
  <si>
    <t xml:space="preserve">Jl Wonokusumo Rb 4C, RT/RW 001/012, Wonokusumo, Semampir, Surabaya</t>
  </si>
  <si>
    <t xml:space="preserve">MOCHAMAD RIZKY PRATAMA</t>
  </si>
  <si>
    <t xml:space="preserve">28016320963</t>
  </si>
  <si>
    <t xml:space="preserve">3578172702970003</t>
  </si>
  <si>
    <t xml:space="preserve">Tanah Merah 1/1, RT/RW 001/004, Tanah Kali Kedinding, Kenjeran, Surabaya</t>
  </si>
  <si>
    <t xml:space="preserve">NABIL PRATAMA</t>
  </si>
  <si>
    <t xml:space="preserve">25047660805</t>
  </si>
  <si>
    <t xml:space="preserve">3202412205040002</t>
  </si>
  <si>
    <t xml:space="preserve">Kp.Baros Peuntas , RT/RW 005/005, Pesanggrahan , Sagaranten, Sukabumi</t>
  </si>
  <si>
    <t xml:space="preserve">NUR SHOLICHIN</t>
  </si>
  <si>
    <t xml:space="preserve">20096335001</t>
  </si>
  <si>
    <t xml:space="preserve">3507260105990002</t>
  </si>
  <si>
    <t xml:space="preserve">Biyan, RT/RW 027/006, Sukomulyo, Pujon, Malang</t>
  </si>
  <si>
    <t xml:space="preserve">PT INDONESIA ZHONGSEN WOOD PRODUCTS</t>
  </si>
  <si>
    <t xml:space="preserve">20067751969</t>
  </si>
  <si>
    <t xml:space="preserve">3525102906000006</t>
  </si>
  <si>
    <t xml:space="preserve">Pongangan, RT/RW 004/003, Pongangan, Manyar, Kab. Gresik</t>
  </si>
  <si>
    <t xml:space="preserve">VIAN DIAZ ARMANSYAH</t>
  </si>
  <si>
    <t xml:space="preserve">25006469178</t>
  </si>
  <si>
    <t xml:space="preserve">3525102501010001</t>
  </si>
  <si>
    <t xml:space="preserve">Jl. Raya Roomo No. 333, RT/RW 002/001, Roomo, Manyar, Kab. Gresik</t>
  </si>
  <si>
    <t xml:space="preserve">RAHMAD MAULANA BILHAQ</t>
  </si>
  <si>
    <t xml:space="preserve">28061716176</t>
  </si>
  <si>
    <t xml:space="preserve">3525160911010003</t>
  </si>
  <si>
    <t xml:space="preserve">Jl. Usman Sadar 17-C/7-C, RT/RW 001/001, Sukorame, Gresik, Kab. Gresik</t>
  </si>
  <si>
    <t xml:space="preserve">PURNOMO</t>
  </si>
  <si>
    <t xml:space="preserve">28090197409</t>
  </si>
  <si>
    <t xml:space="preserve">3525040912810001</t>
  </si>
  <si>
    <t xml:space="preserve">Balong Mojo Kulon, RT/RW 003/001, Balongmojo, Benjeng, Kab. Gresik</t>
  </si>
  <si>
    <t xml:space="preserve">MUHAMMAD YOGI NUR FADILLAH</t>
  </si>
  <si>
    <t xml:space="preserve">26094073597</t>
  </si>
  <si>
    <t xml:space="preserve">3525101110010002</t>
  </si>
  <si>
    <t xml:space="preserve">Jl. Raya Roomo 325, RT/RW 002/001, Roomo, Manyar, Kab. Gresik</t>
  </si>
  <si>
    <t xml:space="preserve">MUCHAMMAD DANI KURNIAWAN</t>
  </si>
  <si>
    <t xml:space="preserve">26014990548</t>
  </si>
  <si>
    <t xml:space="preserve">3524251709030001</t>
  </si>
  <si>
    <t xml:space="preserve">Banjarsari, RT/RW 002/001, Banjarsari, Cerme, Kab. Gresik</t>
  </si>
  <si>
    <t xml:space="preserve">KHOIZURON SHOBBAH</t>
  </si>
  <si>
    <t xml:space="preserve">23096906789</t>
  </si>
  <si>
    <t xml:space="preserve">3525101203050002</t>
  </si>
  <si>
    <t xml:space="preserve">Jl. Raya Roomo No. 307, RT/RW 003/001, Roomo, Manyar, Kab. Gresik</t>
  </si>
  <si>
    <t xml:space="preserve">FARHAN ADITIA FIRNANDA</t>
  </si>
  <si>
    <t xml:space="preserve">22097480402</t>
  </si>
  <si>
    <t xml:space="preserve">3525102504030001</t>
  </si>
  <si>
    <t xml:space="preserve">Roomo No. 31, RT/RW 004/002, Roomo, Manyar, Kab. Gresik</t>
  </si>
  <si>
    <t xml:space="preserve">CHOIRUL UMAM</t>
  </si>
  <si>
    <t xml:space="preserve">25003024363</t>
  </si>
  <si>
    <t xml:space="preserve">3522203003000001</t>
  </si>
  <si>
    <t xml:space="preserve">Batokan, RT/RW 013/002, Batokan, Kasiman, Kab. Bojonegoro</t>
  </si>
  <si>
    <t xml:space="preserve">AYDO REGANATA</t>
  </si>
  <si>
    <t xml:space="preserve">28095992137</t>
  </si>
  <si>
    <t xml:space="preserve">3516011709020002</t>
  </si>
  <si>
    <t xml:space="preserve">Tanjung Wira, RT/RW 003/012, Yosowilangon, Manyar, Kab. Gresik</t>
  </si>
  <si>
    <t xml:space="preserve">ANDRIAN FIQIH ABDILLAH</t>
  </si>
  <si>
    <t xml:space="preserve">28065272845</t>
  </si>
  <si>
    <t xml:space="preserve">3516052410020002</t>
  </si>
  <si>
    <t xml:space="preserve">Dsn. Jajar, RT/RW 004/002, Jasem, Ngoro, Kab. Mojokerto</t>
  </si>
  <si>
    <t xml:space="preserve">AGDINO VANDUA</t>
  </si>
  <si>
    <t xml:space="preserve">20084701206</t>
  </si>
  <si>
    <t xml:space="preserve">3524261808960004</t>
  </si>
  <si>
    <t xml:space="preserve">Jl. Beton XVI No. 14 PPI, RT/RW 003/006, Pongangan, Manyar, Kab. Gresik</t>
  </si>
  <si>
    <t xml:space="preserve">SUMANTRI</t>
  </si>
  <si>
    <t xml:space="preserve">28015512624</t>
  </si>
  <si>
    <t xml:space="preserve">3515022502840005</t>
  </si>
  <si>
    <t xml:space="preserve">Tebel Timur, RT/RW 005/007, Tebel, Gedangan, Kab. Sidoarjo</t>
  </si>
  <si>
    <t xml:space="preserve">MOCH. WILDAN IQBA RAMADHAN</t>
  </si>
  <si>
    <t xml:space="preserve">28009178271</t>
  </si>
  <si>
    <t xml:space="preserve">3578130501000002</t>
  </si>
  <si>
    <t xml:space="preserve">Jl. Sedayu V/30, RT/RW 005/003, Morokrembangan, Krembangan, Kota Surabaya</t>
  </si>
  <si>
    <t xml:space="preserve">ZUHDI EFENDI</t>
  </si>
  <si>
    <t xml:space="preserve">23024300412</t>
  </si>
  <si>
    <t xml:space="preserve">Truck Driver</t>
  </si>
  <si>
    <t xml:space="preserve">3518102307840002</t>
  </si>
  <si>
    <t xml:space="preserve">Panggang, RT/RW 010/003, Lebanikuko, Wringinanom, Kab. Gresik</t>
  </si>
  <si>
    <t xml:space="preserve">IPUNG DEDIK SUBANTORO</t>
  </si>
  <si>
    <t xml:space="preserve">27085225629</t>
  </si>
  <si>
    <t xml:space="preserve">3518090903930004</t>
  </si>
  <si>
    <t xml:space="preserve">Jl. Pongso, RT/RW 002/008, Patihanrowo, Patihanrowo, Kab. Nganjuk</t>
  </si>
  <si>
    <t xml:space="preserve">MOCHAMMAD AMROENI FARCHAN</t>
  </si>
  <si>
    <t xml:space="preserve">27044982295</t>
  </si>
  <si>
    <t xml:space="preserve">3517010212000002</t>
  </si>
  <si>
    <t xml:space="preserve">ERLINA NADHIROH</t>
  </si>
  <si>
    <t xml:space="preserve">22030134045</t>
  </si>
  <si>
    <t xml:space="preserve">Human Resources (HR)</t>
  </si>
  <si>
    <t xml:space="preserve">3516036307000001</t>
  </si>
  <si>
    <t xml:space="preserve">Galenglo RT/ RW 002/005, Kasiman Tengan, Pacet, Mojokerto</t>
  </si>
  <si>
    <t xml:space="preserve">AISYA DWI AZAHRA</t>
  </si>
  <si>
    <t xml:space="preserve">21047827115</t>
  </si>
  <si>
    <t xml:space="preserve">0001535995936</t>
  </si>
  <si>
    <t xml:space="preserve">Staff Admin</t>
  </si>
  <si>
    <t xml:space="preserve">3525107005030005</t>
  </si>
  <si>
    <t xml:space="preserve">Bandar, RT/RW 002/001, Bandar, Sukomoro, Magetan</t>
  </si>
  <si>
    <t xml:space="preserve">CHINTIA ARIE MARTATIA</t>
  </si>
  <si>
    <t xml:space="preserve">26022310161</t>
  </si>
  <si>
    <t xml:space="preserve">3509126101020006</t>
  </si>
  <si>
    <t xml:space="preserve">Dsn. Krajan RT 02/RW 09 Sabrang Ambulu Jember</t>
  </si>
  <si>
    <t xml:space="preserve">FEBRIYANTO S</t>
  </si>
  <si>
    <t xml:space="preserve">22037067106</t>
  </si>
  <si>
    <t xml:space="preserve">SPB Makassar</t>
  </si>
  <si>
    <t xml:space="preserve">7371010606980007</t>
  </si>
  <si>
    <t xml:space="preserve">Ujung pandang</t>
  </si>
  <si>
    <t xml:space="preserve">Jl. Belibis No 13 RT 04/ RW 04 Mariso Ujung pandang</t>
  </si>
  <si>
    <t xml:space="preserve">HARDIYANTI PANATA PIKARTI</t>
  </si>
  <si>
    <t xml:space="preserve">25033965785</t>
  </si>
  <si>
    <t xml:space="preserve">3327085911000062</t>
  </si>
  <si>
    <t xml:space="preserve">Perum Pemalang Residence B. 36, RT/RW 004/007, Kaligelang, Taman, Pemalang</t>
  </si>
  <si>
    <t xml:space="preserve">081320697907</t>
  </si>
  <si>
    <t xml:space="preserve">AHMAD ARSYAD ILHAMI FAIZIN</t>
  </si>
  <si>
    <t xml:space="preserve">22061464413</t>
  </si>
  <si>
    <t xml:space="preserve">3578170107030003</t>
  </si>
  <si>
    <t xml:space="preserve">Dk Bulak Banteng Sekolahan IA/28, RT/RW 005/006, Bulak Banteng, Kenjeran, Surabaya</t>
  </si>
  <si>
    <t xml:space="preserve">MOCH. SHOLEH SYAIFUDDIN</t>
  </si>
  <si>
    <t xml:space="preserve">26057437469</t>
  </si>
  <si>
    <t xml:space="preserve">LS P2 &amp; P5 Quality Control</t>
  </si>
  <si>
    <t xml:space="preserve">3525131611010003</t>
  </si>
  <si>
    <t xml:space="preserve">Pelemwatu, RT/RW 002/001, Pelemwatu, Menganti, Gresik</t>
  </si>
  <si>
    <t xml:space="preserve">BAGUS PRASTIYO</t>
  </si>
  <si>
    <t xml:space="preserve">21017197647</t>
  </si>
  <si>
    <t xml:space="preserve">3525131807020001</t>
  </si>
  <si>
    <t xml:space="preserve">Drancang, RT/RW 008/004, Drancang, Menganti, Gresik</t>
  </si>
  <si>
    <t xml:space="preserve">AL RUBEN SATRIA PERDANA</t>
  </si>
  <si>
    <t xml:space="preserve">24061382863</t>
  </si>
  <si>
    <t xml:space="preserve">3525110508070001</t>
  </si>
  <si>
    <t xml:space="preserve">Perum Cerme Indah Blok J/26, RT/RW 003/003, Betiting, Cerme, Gresik</t>
  </si>
  <si>
    <t xml:space="preserve">HELMAN FEBIANTO</t>
  </si>
  <si>
    <t xml:space="preserve">20076561816</t>
  </si>
  <si>
    <t xml:space="preserve">3525160210990001</t>
  </si>
  <si>
    <t xml:space="preserve">Usman Sadar 5/8-A, RT/RW 007/002, Karangpoh, Gresik, Kab. Gresik</t>
  </si>
  <si>
    <t xml:space="preserve">HARDI NUSANTO</t>
  </si>
  <si>
    <t xml:space="preserve">22046824577</t>
  </si>
  <si>
    <t xml:space="preserve">Forklift RM Store</t>
  </si>
  <si>
    <t xml:space="preserve">3578151412860003</t>
  </si>
  <si>
    <t xml:space="preserve">Sumber Rejo Makmur 8/25, RT/RW 006/001, Sumber Rejo, Pakal, Surabaya</t>
  </si>
  <si>
    <t xml:space="preserve">ACHMAD ALI HISYAM</t>
  </si>
  <si>
    <t xml:space="preserve">PT CIOMAS ADISATWA (MOJOKERTO - HARIAN LEPAS)</t>
  </si>
  <si>
    <t xml:space="preserve">24097992248</t>
  </si>
  <si>
    <t xml:space="preserve">Reliver Bongkar Muat</t>
  </si>
  <si>
    <t xml:space="preserve">3516111205000002</t>
  </si>
  <si>
    <t xml:space="preserve">Dusun Subontoro, RT/RW 015/006, Medali, Puri, Mojokerto</t>
  </si>
  <si>
    <t xml:space="preserve">ACHMAD FADHOLI</t>
  </si>
  <si>
    <t xml:space="preserve">20060487536</t>
  </si>
  <si>
    <t xml:space="preserve">3516110904920004</t>
  </si>
  <si>
    <t xml:space="preserve">Tambaksari, RT/RW 003/004, Tambak Agung, Puri, Mojokerto</t>
  </si>
  <si>
    <t xml:space="preserve">MOCH. CHOIRON</t>
  </si>
  <si>
    <t xml:space="preserve">20076311346</t>
  </si>
  <si>
    <t xml:space="preserve">3516111203930001</t>
  </si>
  <si>
    <t xml:space="preserve">Pesantren, RT/RW 012/005, Medali, Puri, Mojokerto</t>
  </si>
  <si>
    <t xml:space="preserve">MUCHAMMAD HASAN FADLI</t>
  </si>
  <si>
    <t xml:space="preserve">23065976561</t>
  </si>
  <si>
    <t xml:space="preserve">3516142611900002</t>
  </si>
  <si>
    <t xml:space="preserve">Setoyo, RT/RW 001/001, Balongmojo, Puri, Mojokerto</t>
  </si>
  <si>
    <t xml:space="preserve">MUHAMMAT INDRA BAYU</t>
  </si>
  <si>
    <t xml:space="preserve">23014819765</t>
  </si>
  <si>
    <t xml:space="preserve">3516112504060003</t>
  </si>
  <si>
    <t xml:space="preserve">NURUN FANANI</t>
  </si>
  <si>
    <t xml:space="preserve">29062398865</t>
  </si>
  <si>
    <t xml:space="preserve">3516090307980001</t>
  </si>
  <si>
    <t xml:space="preserve">Genengan, RT/RW 003/003, Randugenengan, Dlanggu, Mojokerto</t>
  </si>
  <si>
    <t xml:space="preserve">EKO ADE TIRTANGGA</t>
  </si>
  <si>
    <t xml:space="preserve">24065770798</t>
  </si>
  <si>
    <t xml:space="preserve">3516160207910001</t>
  </si>
  <si>
    <t xml:space="preserve">AKBAR ARDIANUGRAHA</t>
  </si>
  <si>
    <t xml:space="preserve">23002054133</t>
  </si>
  <si>
    <t xml:space="preserve">6404052610980003</t>
  </si>
  <si>
    <t xml:space="preserve">Tanjung Selor</t>
  </si>
  <si>
    <t xml:space="preserve">Jl. Kolonel Soetadji No. 38, RT/RW 011/004, Tanjung Selor Hilir, Tanjung Selor, Kab. Bulungan</t>
  </si>
  <si>
    <t xml:space="preserve">MAULIDA YAUMIL ADHA</t>
  </si>
  <si>
    <t xml:space="preserve">27047868101</t>
  </si>
  <si>
    <t xml:space="preserve">6308056004010001</t>
  </si>
  <si>
    <t xml:space="preserve">Birayang</t>
  </si>
  <si>
    <t xml:space="preserve">Jl. Lambung Mangkurat, RT/RW 005/000, Palampitan Hulu, Amuntai Tengah, Kab. Hulu Sungai Utara</t>
  </si>
  <si>
    <t xml:space="preserve">RANI ANDINI</t>
  </si>
  <si>
    <t xml:space="preserve">0002102033035</t>
  </si>
  <si>
    <t xml:space="preserve">1601145401960008</t>
  </si>
  <si>
    <t xml:space="preserve">RSS Baturaja Permai Blok O No. 21, RT/RW 009/004, Baturaja Permai, Baturaja Timur, Ogan Komering Ulu</t>
  </si>
  <si>
    <t xml:space="preserve">RANI RAHMA SARI</t>
  </si>
  <si>
    <t xml:space="preserve">22031628451</t>
  </si>
  <si>
    <t xml:space="preserve">1872036303990005</t>
  </si>
  <si>
    <t xml:space="preserve">METRO</t>
  </si>
  <si>
    <t xml:space="preserve">JL. SUPRIL NO. 05, RT 020/004, GANJAR ASRI, METRO BARAT, KOTA METRO</t>
  </si>
  <si>
    <t xml:space="preserve">087750378671</t>
  </si>
  <si>
    <t xml:space="preserve">RAODATUL HIKMAH</t>
  </si>
  <si>
    <t xml:space="preserve">5202127110030001</t>
  </si>
  <si>
    <t xml:space="preserve">Punikasih</t>
  </si>
  <si>
    <t xml:space="preserve">Punikasih, RT/RW 002/003, Mas-Mas, Batukliang Utara, Lombok Tengah</t>
  </si>
  <si>
    <t xml:space="preserve">6285932258185</t>
  </si>
  <si>
    <t xml:space="preserve">RATRI</t>
  </si>
  <si>
    <t xml:space="preserve">21068936392</t>
  </si>
  <si>
    <t xml:space="preserve">7402034907000003</t>
  </si>
  <si>
    <t xml:space="preserve">Anggota</t>
  </si>
  <si>
    <t xml:space="preserve">RT/RW 000/000, Anggota, Wawotobi, Kab. Konawe</t>
  </si>
  <si>
    <t xml:space="preserve">REGITA MAHARANI</t>
  </si>
  <si>
    <t xml:space="preserve">0001593254867</t>
  </si>
  <si>
    <t xml:space="preserve">1801066006040005</t>
  </si>
  <si>
    <t xml:space="preserve">Merak Berlantung</t>
  </si>
  <si>
    <t xml:space="preserve">Jl. Karet Gg. Perintis No 29 Lk 1, RT/RW 017/000, Sumberrejo, Kemiling, Bandar Lampung</t>
  </si>
  <si>
    <t xml:space="preserve">NANDA NORHALISA</t>
  </si>
  <si>
    <t xml:space="preserve">22085631017</t>
  </si>
  <si>
    <t xml:space="preserve">6371045803050001</t>
  </si>
  <si>
    <t xml:space="preserve">Jl. Saka Permai No. 18, RT/RW 022/002, Antasan Besar, Banjarmasin Tengah, Kota Banjarmasin</t>
  </si>
  <si>
    <t xml:space="preserve">NOVITA SIMORANGKIR</t>
  </si>
  <si>
    <t xml:space="preserve">25006457342</t>
  </si>
  <si>
    <t xml:space="preserve">1203306008990001</t>
  </si>
  <si>
    <t xml:space="preserve">Aek Kahombu</t>
  </si>
  <si>
    <t xml:space="preserve">Aek Kahombu, RT/RW 000/000, Aek Kahombu, Tano Tombangan Angkola, Kab. Tapanuli Selatan</t>
  </si>
  <si>
    <t xml:space="preserve">FAHMI FATHURROZY</t>
  </si>
  <si>
    <t xml:space="preserve">27022752968</t>
  </si>
  <si>
    <t xml:space="preserve">Gudang (Handling)</t>
  </si>
  <si>
    <t xml:space="preserve">3578123007010001</t>
  </si>
  <si>
    <t xml:space="preserve">Jl. Gunung Agung No. 49 Tabanan, RT/RW 000/000, Dajan Peken, Tabanan, Kab. Tabanan</t>
  </si>
  <si>
    <t xml:space="preserve">MOCHAMMAD AGIL NAJIB ANJAD</t>
  </si>
  <si>
    <t xml:space="preserve">21034548318</t>
  </si>
  <si>
    <t xml:space="preserve">Gudang (Driver/Handling)</t>
  </si>
  <si>
    <t xml:space="preserve">3515131801010010</t>
  </si>
  <si>
    <t xml:space="preserve">Ketegan 4/25, RT/RW 010/003, Ketegan, Taman, Kab. Sidoarjo</t>
  </si>
  <si>
    <t xml:space="preserve">YAYUK RAHAYU</t>
  </si>
  <si>
    <t xml:space="preserve">25063950076</t>
  </si>
  <si>
    <t xml:space="preserve">PCC Gudang</t>
  </si>
  <si>
    <t xml:space="preserve">3571036501920001</t>
  </si>
  <si>
    <t xml:space="preserve">Jl. Raden Wijaya, RT/RW 002/001, Kwadungan, Ngasem, Kab. Kediri</t>
  </si>
  <si>
    <t xml:space="preserve">MUHAMMAD RIZQI IMANI</t>
  </si>
  <si>
    <t xml:space="preserve">25047393435</t>
  </si>
  <si>
    <t xml:space="preserve">Driver Ekspedisi</t>
  </si>
  <si>
    <t xml:space="preserve">5271010110980001</t>
  </si>
  <si>
    <t xml:space="preserve">Dusun Delik, RT/RW 032/010, Madiredo, Pujon, Kab. Malang</t>
  </si>
  <si>
    <t xml:space="preserve">0812-2669-9481</t>
  </si>
  <si>
    <t xml:space="preserve">TABAH PANGASTUTI</t>
  </si>
  <si>
    <t xml:space="preserve">28079561090</t>
  </si>
  <si>
    <t xml:space="preserve">3503114409950002</t>
  </si>
  <si>
    <t xml:space="preserve">Jl. Hayam Wuruk, RT/RW 016/005, Ngantru, Trenggalek, Kab. Trenggalek</t>
  </si>
  <si>
    <t xml:space="preserve">REZANANDA PUTRI MIFTAKHUL WARDA</t>
  </si>
  <si>
    <t xml:space="preserve">29086573689</t>
  </si>
  <si>
    <t xml:space="preserve">3515184101070005</t>
  </si>
  <si>
    <t xml:space="preserve">Gg. Damai, RT/RW 005/002, Ngingas, Waru, Kab. Sidoarjo</t>
  </si>
  <si>
    <t xml:space="preserve">M. DINA KHARISMA</t>
  </si>
  <si>
    <t xml:space="preserve">23070735704</t>
  </si>
  <si>
    <t xml:space="preserve">3515185402070003</t>
  </si>
  <si>
    <t xml:space="preserve">Jl. Brigj. Katamso 3/33, RT/RW 026/006, Kedungrejo, Waru, Kab. Sidoarjo</t>
  </si>
  <si>
    <t xml:space="preserve">FIOLETTA AURA PASHA</t>
  </si>
  <si>
    <t xml:space="preserve">24027934879</t>
  </si>
  <si>
    <t xml:space="preserve">3515165801070002</t>
  </si>
  <si>
    <t xml:space="preserve">Jl. Keboansikep, RT/RW 002/003, Keboansikep, Keboansikep, Kab. Sidoarjo</t>
  </si>
  <si>
    <t xml:space="preserve">ALDIVA SYAFARINDA</t>
  </si>
  <si>
    <t xml:space="preserve">22034650145</t>
  </si>
  <si>
    <t xml:space="preserve">ADMIN GUDANG</t>
  </si>
  <si>
    <t xml:space="preserve">3524224603020002</t>
  </si>
  <si>
    <t xml:space="preserve">Jl. Andan Sari VII/3, RT/RW 001/004, Sukomulyo, Lamongan, Kab. Lamongan</t>
  </si>
  <si>
    <t xml:space="preserve">AISA AKUSTIA</t>
  </si>
  <si>
    <t xml:space="preserve">23092264159</t>
  </si>
  <si>
    <t xml:space="preserve">3516075812900002</t>
  </si>
  <si>
    <t xml:space="preserve">Jl. STM Taruna, RT/RW 005/001, Sidorejo, Tuban, Kab. Tuban</t>
  </si>
  <si>
    <t xml:space="preserve">0857-0711-1922</t>
  </si>
  <si>
    <t xml:space="preserve">BAGOES ANOM PANGESTU</t>
  </si>
  <si>
    <t xml:space="preserve">22014486474</t>
  </si>
  <si>
    <t xml:space="preserve">General Worker</t>
  </si>
  <si>
    <t xml:space="preserve">6473032807990003</t>
  </si>
  <si>
    <t xml:space="preserve">Tarakan</t>
  </si>
  <si>
    <t xml:space="preserve">Roomo Gg. 3 No. 29, RT/RW 004/001, Roomo, Manyar, Kab. Gresik</t>
  </si>
  <si>
    <t xml:space="preserve">MUHAMMAD SHOHIBUDIN ABDILLAH</t>
  </si>
  <si>
    <t xml:space="preserve">28054035353</t>
  </si>
  <si>
    <t xml:space="preserve">3522161608030002</t>
  </si>
  <si>
    <t xml:space="preserve">Jl. Suprapto VI/67-A, RT/RW 004/003, Sidokumpul, Gresik, Kab. Gresik</t>
  </si>
  <si>
    <t xml:space="preserve">AHMAD CHUDORI</t>
  </si>
  <si>
    <t xml:space="preserve">26045044084</t>
  </si>
  <si>
    <t xml:space="preserve">3516113004010001</t>
  </si>
  <si>
    <t xml:space="preserve">Dusun Setoyo, RT/RW 004/001, Balongmojo, Puri, Kab. Mojokerto</t>
  </si>
  <si>
    <t xml:space="preserve">MUSLIKIN</t>
  </si>
  <si>
    <t xml:space="preserve">22035155182</t>
  </si>
  <si>
    <t xml:space="preserve">3516110310930004</t>
  </si>
  <si>
    <t xml:space="preserve">Dusun Kebogerang, RT/RW 007/003, Sumbergirang, Puri, Kab. Mojokerto</t>
  </si>
  <si>
    <t xml:space="preserve">CHODERI</t>
  </si>
  <si>
    <t xml:space="preserve">26041977458</t>
  </si>
  <si>
    <t xml:space="preserve">1216111708830083</t>
  </si>
  <si>
    <t xml:space="preserve">Setoyo, RT/RW 002/001, Balongmojo, Puri, Mojokerto</t>
  </si>
  <si>
    <t xml:space="preserve">085881069163</t>
  </si>
  <si>
    <t xml:space="preserve">MOCH NASRUL HIDAYATULLOH</t>
  </si>
  <si>
    <t xml:space="preserve">28005694827</t>
  </si>
  <si>
    <t xml:space="preserve">3515102107070001</t>
  </si>
  <si>
    <t xml:space="preserve">Dsn Tanggul Wetan, RT/RW 003/002, Tanggul, Wonoayu, Kabupaten Sidoarjo</t>
  </si>
  <si>
    <t xml:space="preserve">TEGAR IS PRAYOGI</t>
  </si>
  <si>
    <t xml:space="preserve">27052349133</t>
  </si>
  <si>
    <t xml:space="preserve">Mobile App Developer</t>
  </si>
  <si>
    <t xml:space="preserve">3516043103980001</t>
  </si>
  <si>
    <t xml:space="preserve">Dsn. Slepi, RT/RW 002/001, Ketapanrame, Trawas, Kabupaten Mojokerto</t>
  </si>
  <si>
    <t xml:space="preserve">IRFAN FERDIANSYAH</t>
  </si>
  <si>
    <t xml:space="preserve">23003832875</t>
  </si>
  <si>
    <t xml:space="preserve">3525131707040001</t>
  </si>
  <si>
    <t xml:space="preserve">Laban, RT/RW 002/003, Laban, Menganti, Kabupaten Gresik</t>
  </si>
  <si>
    <t xml:space="preserve">BAMBANG PERBOWO</t>
  </si>
  <si>
    <t xml:space="preserve">27050336873</t>
  </si>
  <si>
    <t xml:space="preserve">3519101903880001</t>
  </si>
  <si>
    <t xml:space="preserve">Banyu Urip Jaya Gg.5 No.19, RT/RW 005/005, Putat Jaya, Sawahan, Kota Surabaya</t>
  </si>
  <si>
    <t xml:space="preserve">ADE BAYU DWI LAKSONO</t>
  </si>
  <si>
    <t xml:space="preserve">20050145172</t>
  </si>
  <si>
    <t xml:space="preserve">3516092403050001</t>
  </si>
  <si>
    <t xml:space="preserve">Dsn Juwono, RT/RW 001/001, Ngembeh, Dlanggu, Kabupaten Mojokerto</t>
  </si>
  <si>
    <t xml:space="preserve">MUHAMMAD RIFKI FADHOLI</t>
  </si>
  <si>
    <t xml:space="preserve">28082189262</t>
  </si>
  <si>
    <t xml:space="preserve">3515181105010004</t>
  </si>
  <si>
    <t xml:space="preserve">Komp BKN DD 08, RT/RW 002/005, Waru, Waru, Kabupaten Sidoarjo</t>
  </si>
  <si>
    <t xml:space="preserve">AFRIZAL ARIF ADIMULYO</t>
  </si>
  <si>
    <t xml:space="preserve">24039571756</t>
  </si>
  <si>
    <t xml:space="preserve">Network &amp; Infrastructure Technical Support</t>
  </si>
  <si>
    <t xml:space="preserve">3578151211050002</t>
  </si>
  <si>
    <t xml:space="preserve">Gadukan Utara 10/19, RT/RW 011/005, Morokrembangan, Krembangan, Surabaya</t>
  </si>
  <si>
    <t xml:space="preserve">FEBI AYU NURASIAH</t>
  </si>
  <si>
    <t xml:space="preserve">23050773388</t>
  </si>
  <si>
    <t xml:space="preserve">3519064502070003</t>
  </si>
  <si>
    <t xml:space="preserve">Bulu, RT/RW 040/006, Durenan, Gemarang, Kabupaten Madiun</t>
  </si>
  <si>
    <t xml:space="preserve">MUH. AHSANULHAQ</t>
  </si>
  <si>
    <t xml:space="preserve">0002496849715</t>
  </si>
  <si>
    <t xml:space="preserve">3515132704990006</t>
  </si>
  <si>
    <t xml:space="preserve">Bohar RT/RW 004/002 Bohar, Taman, Sidoarjo</t>
  </si>
  <si>
    <t xml:space="preserve">MUH. ANGGA MAULANA</t>
  </si>
  <si>
    <t xml:space="preserve">0002246071263</t>
  </si>
  <si>
    <t xml:space="preserve">3515160106000005</t>
  </si>
  <si>
    <t xml:space="preserve">Jl. Flamboyan RT/RW 003/003 Ganting, Gedangan, Sidoarjo</t>
  </si>
  <si>
    <t xml:space="preserve">MUH. AZIZ FIRMANSYAH</t>
  </si>
  <si>
    <t xml:space="preserve">0001704475697</t>
  </si>
  <si>
    <t xml:space="preserve">3515180710940003</t>
  </si>
  <si>
    <t xml:space="preserve">Wedoro Timpian RT/RW 001/006 Wedoro, Waru, Sidoarjo</t>
  </si>
  <si>
    <t xml:space="preserve">ACHMAD DWI JUNIANTO</t>
  </si>
  <si>
    <t xml:space="preserve">3515182206050001</t>
  </si>
  <si>
    <t xml:space="preserve">Bandilan, RT/RW 016/003, Kedungrejo, Waru, Kab. Sidoarjo</t>
  </si>
  <si>
    <t xml:space="preserve">MUHAMMAD AGIL FEBRIANTO</t>
  </si>
  <si>
    <t xml:space="preserve">0002773651803</t>
  </si>
  <si>
    <t xml:space="preserve">3515160903000001</t>
  </si>
  <si>
    <t xml:space="preserve">Jl. Mandala 491 RT/RW 017/005 Semambung, Gedangan, Sidoarjo</t>
  </si>
  <si>
    <t xml:space="preserve">BAMBANG SUTIYAWAN</t>
  </si>
  <si>
    <t xml:space="preserve">21073915213</t>
  </si>
  <si>
    <t xml:space="preserve">3517040806940003</t>
  </si>
  <si>
    <t xml:space="preserve">Dsn. Bangunrejo, RT/RW 003/005, Carangwulung, Wonosalam, Jombang</t>
  </si>
  <si>
    <t xml:space="preserve">MOH. SAIFUL EFENDI</t>
  </si>
  <si>
    <t xml:space="preserve">28055161804</t>
  </si>
  <si>
    <t xml:space="preserve">3518070801030002</t>
  </si>
  <si>
    <t xml:space="preserve">Pojok, RT/RW 003/008, Tanjungkalang, Ngronggot, Kabupaten Nganjuk</t>
  </si>
  <si>
    <t xml:space="preserve">CLARISA CHYNTYA AYU ARUM AMBARWATI</t>
  </si>
  <si>
    <t xml:space="preserve">26077454803</t>
  </si>
  <si>
    <t xml:space="preserve">6401041611030001</t>
  </si>
  <si>
    <t xml:space="preserve">Sungai Tuak, RT/RW 010/000, Sungai Tuak, Tanah Grogot, Kabupaten Paser</t>
  </si>
  <si>
    <t xml:space="preserve">M. FACHRUR ROZI</t>
  </si>
  <si>
    <t xml:space="preserve">0001536710545</t>
  </si>
  <si>
    <t xml:space="preserve">3508042308990009</t>
  </si>
  <si>
    <t xml:space="preserve">Dsn. Siluman RT 005 RW 009 Bades Pasirian Lumajang</t>
  </si>
  <si>
    <t xml:space="preserve">MOCH. LUTFI HIDAYAT</t>
  </si>
  <si>
    <t xml:space="preserve">PT MEGA MULTI PEGAS (HARIAN LEPAS) - JUNIOR</t>
  </si>
  <si>
    <t xml:space="preserve">27021359631</t>
  </si>
  <si>
    <t xml:space="preserve">3578231907960001</t>
  </si>
  <si>
    <t xml:space="preserve">Bibis Karah, RT/RW 001/007, Karah, Jambangan, Kota Surabaya</t>
  </si>
  <si>
    <t xml:space="preserve">NABILLA ARSIVA MULIA</t>
  </si>
  <si>
    <t xml:space="preserve">21080920877</t>
  </si>
  <si>
    <t xml:space="preserve">3578144605060002</t>
  </si>
  <si>
    <t xml:space="preserve">Perum Graha Suryanata Blok D 3/7, RT/RW 004/005, Sumber Rejo, Pakal, Kota Surabaya</t>
  </si>
  <si>
    <t xml:space="preserve">MOHAMMAD NASIHIN AMIN</t>
  </si>
  <si>
    <t xml:space="preserve">29044069480</t>
  </si>
  <si>
    <t xml:space="preserve">3526080404070004</t>
  </si>
  <si>
    <t xml:space="preserve">Dsn. Bettan, RT/RW 000/000, Klabetan, Sepulu, Kabupaten Bangkalan</t>
  </si>
  <si>
    <t xml:space="preserve">AHMAD HUSAIRI</t>
  </si>
  <si>
    <t xml:space="preserve">24027333209</t>
  </si>
  <si>
    <t xml:space="preserve">3526011302010001</t>
  </si>
  <si>
    <t xml:space="preserve">Kmp. Bungsang, RT/RW 006/004, Mlajah, Bangkalan, Kabupaten Bangkalan</t>
  </si>
  <si>
    <t xml:space="preserve">081276811708</t>
  </si>
  <si>
    <t xml:space="preserve">DANISA ISWANDA</t>
  </si>
  <si>
    <t xml:space="preserve">24027650660</t>
  </si>
  <si>
    <t xml:space="preserve">3573057006020004</t>
  </si>
  <si>
    <t xml:space="preserve">Jl. Atletik No. 03, RT/RW 001/002, Tasikmadu, Lowokwaru</t>
  </si>
  <si>
    <t xml:space="preserve">ALIF PUTRA PRATAMA</t>
  </si>
  <si>
    <t xml:space="preserve">28017906277</t>
  </si>
  <si>
    <t xml:space="preserve">3516131506030003</t>
  </si>
  <si>
    <t xml:space="preserve">Karangnongko, RT/RW 003/002, Mojoranu, Sooko, Mojokerto</t>
  </si>
  <si>
    <t xml:space="preserve">RASTA ATTAYA SYAFA</t>
  </si>
  <si>
    <t xml:space="preserve">22028628644</t>
  </si>
  <si>
    <t xml:space="preserve">3504150512070001</t>
  </si>
  <si>
    <t xml:space="preserve">Dsn. Soireng, RT/RW 006/001, Keboireng, Besuki, Tulungagung</t>
  </si>
  <si>
    <t xml:space="preserve">FAUZAN MUHAMMAD</t>
  </si>
  <si>
    <t xml:space="preserve">PT TEKTROINDO ANUGERAH SUKSES ABADI</t>
  </si>
  <si>
    <t xml:space="preserve">21031759188</t>
  </si>
  <si>
    <t xml:space="preserve">Admin Gudang Teknik</t>
  </si>
  <si>
    <t xml:space="preserve">3515080107970003</t>
  </si>
  <si>
    <t xml:space="preserve">Jl. Rowi F Dusun Ngengor, RT/RW 003/003, Becirongengor, Wonoayu, Sidoarjo</t>
  </si>
  <si>
    <t xml:space="preserve">ERLANGGA WISNU KENCANA</t>
  </si>
  <si>
    <t xml:space="preserve">28028320153</t>
  </si>
  <si>
    <t xml:space="preserve">3578190808010003</t>
  </si>
  <si>
    <t xml:space="preserve">Griya Citra Asri RM 8 E/11, RT/RW 007/007, Sememi, Benowo, Surabaya</t>
  </si>
  <si>
    <t xml:space="preserve">ANANG WAHYUDHI</t>
  </si>
  <si>
    <t xml:space="preserve">25031062017</t>
  </si>
  <si>
    <t xml:space="preserve">3521072412000002</t>
  </si>
  <si>
    <t xml:space="preserve">Gempol, RT/RW 003/003, Gempol, Karangjati, Ngawi</t>
  </si>
  <si>
    <t xml:space="preserve">ROBY NURDIANTO</t>
  </si>
  <si>
    <t xml:space="preserve">27036432897</t>
  </si>
  <si>
    <t xml:space="preserve">3521183009920001</t>
  </si>
  <si>
    <t xml:space="preserve">Baluk, RT/RW 002/003, Baluk, Karangrejo, Magetan</t>
  </si>
  <si>
    <t xml:space="preserve">EDDY SANTOSO</t>
  </si>
  <si>
    <t xml:space="preserve">27020583513</t>
  </si>
  <si>
    <t xml:space="preserve">3516142011770001</t>
  </si>
  <si>
    <t xml:space="preserve">Sobowiro, RT/RW 002/002, Wirobiting, Prambon, Sidoarjo</t>
  </si>
  <si>
    <t xml:space="preserve">SEPTIAN DANI PRAKOSO</t>
  </si>
  <si>
    <t xml:space="preserve">27011588982</t>
  </si>
  <si>
    <t xml:space="preserve">3516140509980001</t>
  </si>
  <si>
    <t xml:space="preserve">Jl. Sekartaji, RT/RW 009/003, Pagerluyung, Gedeg, Mojokerto</t>
  </si>
  <si>
    <t xml:space="preserve">DENI SUTARNO</t>
  </si>
  <si>
    <t xml:space="preserve">20049079690</t>
  </si>
  <si>
    <t xml:space="preserve">3517121009790003</t>
  </si>
  <si>
    <t xml:space="preserve">Dsn Beluk, RT/RW 001/002, Jombok, Kesamben, Jombang</t>
  </si>
  <si>
    <t xml:space="preserve">RIBUT BINTORO</t>
  </si>
  <si>
    <t xml:space="preserve">22056616388</t>
  </si>
  <si>
    <t xml:space="preserve">3516141211870001</t>
  </si>
  <si>
    <t xml:space="preserve">Jl. Sekh Amari, RT/RW 013/004, Gembongan, Gedeg, Mojokerto</t>
  </si>
  <si>
    <t xml:space="preserve">RIZAL TRI WAHYUDI</t>
  </si>
  <si>
    <t xml:space="preserve">25086264549</t>
  </si>
  <si>
    <t xml:space="preserve">3515112106860004</t>
  </si>
  <si>
    <t xml:space="preserve">Gondang, RT 2 / RW 5, Candinegoro, Wonoayu, Sidoarjo</t>
  </si>
  <si>
    <t xml:space="preserve">FATHONI</t>
  </si>
  <si>
    <t xml:space="preserve">21070516772</t>
  </si>
  <si>
    <t xml:space="preserve">3516162701770003</t>
  </si>
  <si>
    <t xml:space="preserve">Kaliwungu Utara, RT/RW 003/001, Kaliwungu, Jombang, Jombang</t>
  </si>
  <si>
    <t xml:space="preserve">DWI NOVA MARVIANTO</t>
  </si>
  <si>
    <t xml:space="preserve">29015039020</t>
  </si>
  <si>
    <t xml:space="preserve">3518091405990004</t>
  </si>
  <si>
    <t xml:space="preserve">Balong Kendal, RT/RW 003/004, Tirtobinangun, Patianrowo, Nganjuk</t>
  </si>
  <si>
    <t xml:space="preserve">YULIAN FISKASANU</t>
  </si>
  <si>
    <t xml:space="preserve">24075033747</t>
  </si>
  <si>
    <t xml:space="preserve">3518091207940003</t>
  </si>
  <si>
    <t xml:space="preserve">Dusun Pengkol, RT/RW 001/003, Tirtobinangun, Patianrowo, Nganjuk</t>
  </si>
  <si>
    <t xml:space="preserve">MARCELINO EDRIK KURNIAWAN</t>
  </si>
  <si>
    <t xml:space="preserve">27061325159</t>
  </si>
  <si>
    <t xml:space="preserve">Hot CS &amp; SB P3A Production</t>
  </si>
  <si>
    <t xml:space="preserve">3578110912050001</t>
  </si>
  <si>
    <t xml:space="preserve">Jl. Gubernur Suryo 4/9, RT/RW 001/004, Tlogopojok, Gresik, Gresik</t>
  </si>
  <si>
    <t xml:space="preserve">FITA RAHMATUL LUKMAN</t>
  </si>
  <si>
    <t xml:space="preserve">27020631797</t>
  </si>
  <si>
    <t xml:space="preserve">Laboratorium P2 Admin</t>
  </si>
  <si>
    <t xml:space="preserve">3525106211000002</t>
  </si>
  <si>
    <t xml:space="preserve">Jl. Raya Roomo, RT/RW 003/001, Roomo, Manyar, Gresik</t>
  </si>
  <si>
    <t xml:space="preserve">MOHAMMAD SHOFYAN</t>
  </si>
  <si>
    <t xml:space="preserve">29021906638</t>
  </si>
  <si>
    <t xml:space="preserve">3578062712800001</t>
  </si>
  <si>
    <t xml:space="preserve">Banyu Urip Wetan 2/50, RT/RW 006/006, Banyu Urip, Sawahan, Kota Surabaya</t>
  </si>
  <si>
    <t xml:space="preserve">ROIKHAN AHMAD ZAMHARIRO</t>
  </si>
  <si>
    <t xml:space="preserve">21093753951</t>
  </si>
  <si>
    <t xml:space="preserve">Helper Mesin Lem</t>
  </si>
  <si>
    <t xml:space="preserve">3518082503060004</t>
  </si>
  <si>
    <t xml:space="preserve">Jl Apel Gang IV, RT/RW 003/003, Pelem, Kertosono, Kabupaten Nganjuk</t>
  </si>
  <si>
    <t xml:space="preserve">MUCHAMMAD AWIT RIADI</t>
  </si>
  <si>
    <t xml:space="preserve">27092851590</t>
  </si>
  <si>
    <t xml:space="preserve">Produksi Furniture</t>
  </si>
  <si>
    <t xml:space="preserve">3518173001980005</t>
  </si>
  <si>
    <t xml:space="preserve">Desa Pandean, RT/RW 002/001, Pandean, Gondang, Kabupaten Nganjuk</t>
  </si>
  <si>
    <t xml:space="preserve">MOCHAMAD RIZQI RAMADHAN</t>
  </si>
  <si>
    <t xml:space="preserve">21046928507</t>
  </si>
  <si>
    <t xml:space="preserve">3515101311020002</t>
  </si>
  <si>
    <t xml:space="preserve">Sawo, RT/RW 002/001, Sawocangkring, Wonoayu, Kabupaten Sidoarjo</t>
  </si>
  <si>
    <t xml:space="preserve">REFO AKBAR NUSANTARA</t>
  </si>
  <si>
    <t xml:space="preserve">21058324892</t>
  </si>
  <si>
    <t xml:space="preserve">3515161905980001</t>
  </si>
  <si>
    <t xml:space="preserve">Jl Kanjeng Nganten I, RT/RW 002/008, Keboananom, Gedangan, Kabupaten Sidoarjo</t>
  </si>
  <si>
    <t xml:space="preserve">IFAN ADIKA PUTRA</t>
  </si>
  <si>
    <t xml:space="preserve">28044947244</t>
  </si>
  <si>
    <t xml:space="preserve">3515093005060002</t>
  </si>
  <si>
    <t xml:space="preserve">Jiken, RT/RW 003/001, Jiken, Tulangan, Kabupaten Sidoarjo</t>
  </si>
  <si>
    <t xml:space="preserve">AHMAD SHODIQ</t>
  </si>
  <si>
    <t xml:space="preserve">27039293723</t>
  </si>
  <si>
    <t xml:space="preserve">3508132608000001</t>
  </si>
  <si>
    <t xml:space="preserve">Dusun Sidomulyo, RT/RW 003/008, Gucialit, Gucialit, Kabupaten Lumajang</t>
  </si>
  <si>
    <t xml:space="preserve">25026467625</t>
  </si>
  <si>
    <t xml:space="preserve">3578272908010004</t>
  </si>
  <si>
    <t xml:space="preserve">Simorejo Timur 2/59, RT/RW 002/003, Simomulyo, Sukomanunggal, Kota Surabaya</t>
  </si>
  <si>
    <t xml:space="preserve">RENLY ADRIO ARISNAHKIM</t>
  </si>
  <si>
    <t xml:space="preserve">20064285364</t>
  </si>
  <si>
    <t xml:space="preserve">3578050907020002</t>
  </si>
  <si>
    <t xml:space="preserve">Kedung Turi 3/56, RT/RW 003/008, Kedungdoro, Tegalsari, Kota Surabaya</t>
  </si>
  <si>
    <t xml:space="preserve">ANDINI RIZKY AULIA PRATAMA</t>
  </si>
  <si>
    <t xml:space="preserve">22025788932</t>
  </si>
  <si>
    <t xml:space="preserve">3522165904070001</t>
  </si>
  <si>
    <t xml:space="preserve">Bungurasi Timur, RT/RW 011/001, Bungurasi, Waru, Kabupaten Sidoarjo</t>
  </si>
  <si>
    <t xml:space="preserve">LISMI</t>
  </si>
  <si>
    <t xml:space="preserve">22058406214</t>
  </si>
  <si>
    <t xml:space="preserve">3527084601040004</t>
  </si>
  <si>
    <t xml:space="preserve">Dsn. Mambulu, RT/RW 000/000, Mambulu Barat, Tambelangan, Kabupaten Sampang</t>
  </si>
  <si>
    <t xml:space="preserve">MARINI SETYOWIYANTI</t>
  </si>
  <si>
    <t xml:space="preserve">21031487593</t>
  </si>
  <si>
    <t xml:space="preserve">3578156603050004</t>
  </si>
  <si>
    <t xml:space="preserve">Rumah Susun Indrapura 4-06, RT/RW 001/012, Tanjung Perak, Pabean Cantian, Kota Surabaya</t>
  </si>
  <si>
    <t xml:space="preserve">FEARLY RIDHO MARLOANTO</t>
  </si>
  <si>
    <t xml:space="preserve">24045091900</t>
  </si>
  <si>
    <t xml:space="preserve">6472032002080003</t>
  </si>
  <si>
    <t xml:space="preserve">Jl. Sentosa, RT/RW 055/000, Sungai Pinang Dalam, Sungai Pinang, Kota Samarinda</t>
  </si>
  <si>
    <t xml:space="preserve">HANIM AULIA NINGRUM</t>
  </si>
  <si>
    <t xml:space="preserve">22094819633</t>
  </si>
  <si>
    <t xml:space="preserve">3515066707010004</t>
  </si>
  <si>
    <t xml:space="preserve">Jl. Sampurna, RT/RW 003/001, Kludan, Tanggulangin, Kabupaten Sidoarjo</t>
  </si>
  <si>
    <t xml:space="preserve">ACHMAD FANNY ROSADI</t>
  </si>
  <si>
    <t xml:space="preserve">27085704416</t>
  </si>
  <si>
    <t xml:space="preserve">ADMIN CHECKER GUDANG</t>
  </si>
  <si>
    <t xml:space="preserve">3517062210940002</t>
  </si>
  <si>
    <t xml:space="preserve">Dsn Kalibening, RT/RW 004/002, Tanggalrejo, Mojoagung, Kabupaten Jombang</t>
  </si>
  <si>
    <t xml:space="preserve">ARRTA BAGUS DERMAWAN</t>
  </si>
  <si>
    <t xml:space="preserve">25084139544</t>
  </si>
  <si>
    <t xml:space="preserve">3516182704890002</t>
  </si>
  <si>
    <t xml:space="preserve">Jl. Mawar No. 19, RT/RW 022/007, Jabon, Mojoanyar, Mojokerto</t>
  </si>
  <si>
    <t xml:space="preserve">MUHAMMAD FERNANDO SETIAWAN</t>
  </si>
  <si>
    <t xml:space="preserve">24091301965</t>
  </si>
  <si>
    <t xml:space="preserve">3516110805030002</t>
  </si>
  <si>
    <t xml:space="preserve">MOJOKERTO</t>
  </si>
  <si>
    <t xml:space="preserve">PADANGAN, RT/RW 003/004, Kel/Desa SUMOLAWANG, Kecamatan PURI, Kabupaten Mojokerto</t>
  </si>
  <si>
    <t xml:space="preserve">CINDY ALFIDHOTUL KEISYAH</t>
  </si>
  <si>
    <t xml:space="preserve">29026543288</t>
  </si>
  <si>
    <t xml:space="preserve">3516154803080003</t>
  </si>
  <si>
    <t xml:space="preserve">BERAT SELATAN, RT/RW 003/001, Kel/Desa BERATKULON, Kecamatan KEMLAGI, Kabupaten Mojokerto, Provinsi Jawa Timur</t>
  </si>
  <si>
    <t xml:space="preserve">SALSABILA ANANDA TENIA</t>
  </si>
  <si>
    <t xml:space="preserve">24029182035</t>
  </si>
  <si>
    <t xml:space="preserve">3515185909020006</t>
  </si>
  <si>
    <t xml:space="preserve">JL JATISARI GG PALEM, RT/RW 006/004, Kel/Desa PEPELEGI, Kecamatan WARU, Kabupaten Sidoarjo, Provinsi Jawa Timur</t>
  </si>
  <si>
    <t xml:space="preserve">NAISHA ALMIRAH AZZAHRAH</t>
  </si>
  <si>
    <t xml:space="preserve">28087286972</t>
  </si>
  <si>
    <t xml:space="preserve">1606015803070006</t>
  </si>
  <si>
    <t xml:space="preserve">JL BRIGJEN KATAMSO 123, RT/RW 005/002, Kel/Desa JANTI, Kecamatan WARU, Kabupaten Sidoarjo, Provinsi Jawa Timur</t>
  </si>
  <si>
    <t xml:space="preserve">VINO SYAHBANI</t>
  </si>
  <si>
    <t xml:space="preserve">20051052090</t>
  </si>
  <si>
    <t xml:space="preserve">3578180205080003</t>
  </si>
  <si>
    <t xml:space="preserve">Lakarsantri Gg. 2 A No. 17 A, RT/RW 002/002, Lakarsantri, Lakarsantri, Kota Surabaya</t>
  </si>
  <si>
    <t xml:space="preserve">TITO WAHYU BAWONO</t>
  </si>
  <si>
    <t xml:space="preserve">22024418262</t>
  </si>
  <si>
    <t xml:space="preserve">3516131606990001</t>
  </si>
  <si>
    <t xml:space="preserve">Mengelo Utara, RT/RW 003/009, Sooko, Sooko, Kabupaten Mojokerto</t>
  </si>
  <si>
    <t xml:space="preserve">DIAN MURDIANTO</t>
  </si>
  <si>
    <t xml:space="preserve">28045227276</t>
  </si>
  <si>
    <t xml:space="preserve">3516141508740003</t>
  </si>
  <si>
    <t xml:space="preserve">Dsn. Tugurejo, RT/RW 001/001, Mayangan, Jogoroto, Kabupaten Jombang</t>
  </si>
  <si>
    <t xml:space="preserve">SAMINGIN</t>
  </si>
  <si>
    <t xml:space="preserve">22024628583</t>
  </si>
  <si>
    <t xml:space="preserve">3522171106890001</t>
  </si>
  <si>
    <t xml:space="preserve">Dukoh Lor, RT/RW 003/002, Dukohlor, Malo, Kabupaten Bojonegoro</t>
  </si>
  <si>
    <t xml:space="preserve">ABD. GHONI M. KHOZIN</t>
  </si>
  <si>
    <t xml:space="preserve">26051859718</t>
  </si>
  <si>
    <t xml:space="preserve">3524263006920003</t>
  </si>
  <si>
    <t xml:space="preserve">Jl Raya Roomo No 307, RT/RW 003/001, Roomo, Manyar, Kabupaten Gresik</t>
  </si>
  <si>
    <t xml:space="preserve">085855113277</t>
  </si>
  <si>
    <t xml:space="preserve">MUHAMMAD IQBAL SETYA ARIF</t>
  </si>
  <si>
    <t xml:space="preserve">28091949125</t>
  </si>
  <si>
    <t xml:space="preserve">3516150810070001</t>
  </si>
  <si>
    <t xml:space="preserve">Dsn. Sidowangun, RT/RW 007/004, Kedungsari, Kemlagi, Kabupaten Mojokerto</t>
  </si>
  <si>
    <t xml:space="preserve">085806282911</t>
  </si>
  <si>
    <t xml:space="preserve">NICO CAHYO PRATOMO</t>
  </si>
  <si>
    <t xml:space="preserve">3525060112000001</t>
  </si>
  <si>
    <t xml:space="preserve">Kepuh Klagen, RT/RW 006/003, Kepuhklagen, Wringinanom, Kabupaten Gresik</t>
  </si>
  <si>
    <t xml:space="preserve">085785418389</t>
  </si>
  <si>
    <t xml:space="preserve">MUHAMMAD TEGAR PRASETYA</t>
  </si>
  <si>
    <t xml:space="preserve">25060811264</t>
  </si>
  <si>
    <t xml:space="preserve">3578042804060002</t>
  </si>
  <si>
    <t xml:space="preserve">Dusun Slempit, RT/RW 013/003, Slempit, Kedamean, Kabupaten Gresik</t>
  </si>
  <si>
    <t xml:space="preserve">085738917175</t>
  </si>
  <si>
    <t xml:space="preserve">MOKHAMMAD SHOKIP SOBERI</t>
  </si>
  <si>
    <t xml:space="preserve">25002415552</t>
  </si>
  <si>
    <t xml:space="preserve">3515101802970004</t>
  </si>
  <si>
    <t xml:space="preserve">081554273558</t>
  </si>
  <si>
    <t xml:space="preserve">ROFIUL ANAM</t>
  </si>
  <si>
    <t xml:space="preserve">27070545815</t>
  </si>
  <si>
    <t xml:space="preserve">3516160807830001</t>
  </si>
  <si>
    <t xml:space="preserve">Gedangan, RT/RW 002/004, Jolotundo, Jetis, Kabupaten Mojokerto</t>
  </si>
  <si>
    <t xml:space="preserve">085795304644</t>
  </si>
  <si>
    <t xml:space="preserve">MOHAMMAD SAMSURI LUBIS</t>
  </si>
  <si>
    <t xml:space="preserve">20058658895</t>
  </si>
  <si>
    <t xml:space="preserve">3525112309060001</t>
  </si>
  <si>
    <t xml:space="preserve">Dusun Cagak, RT/RW 001/003, Cagakagung, Cerme, Kabupaten Gresik</t>
  </si>
  <si>
    <t xml:space="preserve">085850419815</t>
  </si>
  <si>
    <t xml:space="preserve">REFAN NUR WAHYUDI</t>
  </si>
  <si>
    <t xml:space="preserve">27042141360</t>
  </si>
  <si>
    <t xml:space="preserve">3578161212030010</t>
  </si>
  <si>
    <t xml:space="preserve">Putat Jaya 2-B/29, RT/RW 003/010, Putat Jaya, Sawahan, Kota Surabaya</t>
  </si>
  <si>
    <t xml:space="preserve">0881036522217</t>
  </si>
  <si>
    <t xml:space="preserve">MUKHAMMAD FERI IKHSANUDDIN</t>
  </si>
  <si>
    <t xml:space="preserve">20084882688</t>
  </si>
  <si>
    <t xml:space="preserve">3525151305000002</t>
  </si>
  <si>
    <t xml:space="preserve">Bunut, RT/RW 002/007, Randegansari, Driyorejo, Kabupaten Gresik</t>
  </si>
  <si>
    <t xml:space="preserve">085706781577</t>
  </si>
  <si>
    <t xml:space="preserve">M. ALIF AL FIRMANSYAH</t>
  </si>
  <si>
    <t xml:space="preserve">21023127903</t>
  </si>
  <si>
    <t xml:space="preserve">3515012305060001</t>
  </si>
  <si>
    <t xml:space="preserve">Segodobancang, RT/RW 011/002, Segodobancang, Tarik, Kabupaten Sidoarjo</t>
  </si>
  <si>
    <t xml:space="preserve">0882010087641</t>
  </si>
  <si>
    <t xml:space="preserve">MOCH. HANAFI MUSLIM</t>
  </si>
  <si>
    <t xml:space="preserve">20030326822</t>
  </si>
  <si>
    <t xml:space="preserve">3578070211970001</t>
  </si>
  <si>
    <t xml:space="preserve">KEPUTRAN PASAR KECIL 4/55, RT/RW 004/011, EMBONG KALIASIN, GENTENG, KOTA SURABAYA</t>
  </si>
  <si>
    <t xml:space="preserve">083819447745</t>
  </si>
  <si>
    <t xml:space="preserve">BALQIS IZZA AZZHARA WAHYU</t>
  </si>
  <si>
    <t xml:space="preserve">28096740354</t>
  </si>
  <si>
    <t xml:space="preserve">3525151501060001</t>
  </si>
  <si>
    <t xml:space="preserve">Tenaru, RT/RW 008/003, Tenaru, Driyorejo, Kabupaten Gresik</t>
  </si>
  <si>
    <t xml:space="preserve">08813494385</t>
  </si>
  <si>
    <t xml:space="preserve">RYANDHIKA FIRMANSYAH</t>
  </si>
  <si>
    <t xml:space="preserve">28070562972</t>
  </si>
  <si>
    <t xml:space="preserve">3524162705050001</t>
  </si>
  <si>
    <t xml:space="preserve">Banyuurip, RT/RW 006/002, Kedukbembem, Mantup, Kabupaten Lamongan</t>
  </si>
  <si>
    <t xml:space="preserve">082225271237</t>
  </si>
  <si>
    <t xml:space="preserve">FERI IRAWAN</t>
  </si>
  <si>
    <t xml:space="preserve">29098507882</t>
  </si>
  <si>
    <t xml:space="preserve">3516150504080001</t>
  </si>
  <si>
    <t xml:space="preserve">Gebangsari, RT/RW 002/001, Mojopilang, Kemlagi, Kabupaten Mojokerto</t>
  </si>
  <si>
    <t xml:space="preserve">085706459125</t>
  </si>
  <si>
    <t xml:space="preserve">MUHAMMAD ZAINUL ABIDIN</t>
  </si>
  <si>
    <t xml:space="preserve">20057659070</t>
  </si>
  <si>
    <t xml:space="preserve">3523163006040001</t>
  </si>
  <si>
    <t xml:space="preserve">Dsn Winong, RT/RW 003/010, Sugiharjo, Tuban, Kabupaten Tuban</t>
  </si>
  <si>
    <t xml:space="preserve">081226974960</t>
  </si>
  <si>
    <t xml:space="preserve">MUHAMMAD ARYA ALFA DYANTO</t>
  </si>
  <si>
    <t xml:space="preserve">21071196534</t>
  </si>
  <si>
    <t xml:space="preserve">3523161612070002</t>
  </si>
  <si>
    <t xml:space="preserve">Kel. Sidomulyo, RT/RW 002/004, Sidomulyo, Tuban, Kabupaten Tuban</t>
  </si>
  <si>
    <t xml:space="preserve">085791391930</t>
  </si>
  <si>
    <t xml:space="preserve">ANDIKA AHMAD ARSAHLAN</t>
  </si>
  <si>
    <t xml:space="preserve">27017887948</t>
  </si>
  <si>
    <t xml:space="preserve">3525062604050002</t>
  </si>
  <si>
    <t xml:space="preserve">Lebaniwaras, RT/RW 003/003, Lebaniwaras, Wringinanom, Kabupaten Gresik</t>
  </si>
  <si>
    <t xml:space="preserve">MOHAMMAD SOLIKAN</t>
  </si>
  <si>
    <t xml:space="preserve">29085736161</t>
  </si>
  <si>
    <t xml:space="preserve">3525151802930001</t>
  </si>
  <si>
    <t xml:space="preserve">Tenaru, RT/RW 005/002, Tenaru, Driyorejo, Kabupaten Gresik</t>
  </si>
  <si>
    <t xml:space="preserve">IQBAL IBRAHIM</t>
  </si>
  <si>
    <t xml:space="preserve">28052863333</t>
  </si>
  <si>
    <t xml:space="preserve">3515021302080002</t>
  </si>
  <si>
    <t xml:space="preserve">Dsn Tanggungan Barat, RT/RW 002/004, Kedungwonokerto, Prambon, Kabupaten Sidoarjo</t>
  </si>
  <si>
    <t xml:space="preserve">KHOIRUL ANWAR</t>
  </si>
  <si>
    <t xml:space="preserve">23050644008</t>
  </si>
  <si>
    <t xml:space="preserve">3516151003080001</t>
  </si>
  <si>
    <t xml:space="preserve">SENO MAS AJI</t>
  </si>
  <si>
    <t xml:space="preserve">26048694927</t>
  </si>
  <si>
    <t xml:space="preserve">ControlQuality</t>
  </si>
  <si>
    <t xml:space="preserve">3516082301980004</t>
  </si>
  <si>
    <t xml:space="preserve">Krembung Dumpul, RT/RW 038/011, Randubango, Mojosari, Mojokerto</t>
  </si>
  <si>
    <t xml:space="preserve">ARIS HIDAYAT</t>
  </si>
  <si>
    <t xml:space="preserve">27074601795</t>
  </si>
  <si>
    <t xml:space="preserve">3516100506980002</t>
  </si>
  <si>
    <t xml:space="preserve">Pekuwon, RT/RW 007/004, Pekuwon, Bangsan, Mojokerto</t>
  </si>
  <si>
    <t xml:space="preserve">ADI WANDHIRO WIBOWO</t>
  </si>
  <si>
    <t xml:space="preserve">22080723459</t>
  </si>
  <si>
    <t xml:space="preserve">3515183110940001</t>
  </si>
  <si>
    <t xml:space="preserve">Jl. Jatisari Besar Gg. Langgar, RT/RW 004/005, Pepelegi, Waru, Kabupaten Sidoarjo</t>
  </si>
  <si>
    <t xml:space="preserve">29015095569</t>
  </si>
  <si>
    <t xml:space="preserve">3526140107030199</t>
  </si>
  <si>
    <t xml:space="preserve">Dsn. Bettarah, RT/RW 000/000, Pamorah, Tragah, Kabupaten Bangkalan</t>
  </si>
  <si>
    <t xml:space="preserve">MOKH. ADZIM</t>
  </si>
  <si>
    <t xml:space="preserve">21055542209</t>
  </si>
  <si>
    <t xml:space="preserve">3516171708030002</t>
  </si>
  <si>
    <t xml:space="preserve">Pandansili, RT/RW 002/006, Bangeran, Dawarblandong, Kabupaten Mojokerto</t>
  </si>
  <si>
    <t xml:space="preserve">ABDUL AMIN</t>
  </si>
  <si>
    <t xml:space="preserve">21078538105</t>
  </si>
  <si>
    <t xml:space="preserve">3516050111820003</t>
  </si>
  <si>
    <t xml:space="preserve">DSN. WOTANMAS JEDONG, RT/RW 019/002, WOTANMASJEDONG, NGORO, KABUPATEN MOJOKERTO</t>
  </si>
  <si>
    <t xml:space="preserve">WISNU EDI SUPRAYITNO</t>
  </si>
  <si>
    <t xml:space="preserve">23068454801</t>
  </si>
  <si>
    <t xml:space="preserve">Admin Project &amp; Sipil</t>
  </si>
  <si>
    <t xml:space="preserve">3516171503040002</t>
  </si>
  <si>
    <t xml:space="preserve">Gunungan, RT/RW 001/001, Gunungan, Dawarblandong, Kabupaten Mojokerto</t>
  </si>
  <si>
    <t xml:space="preserve">ADINDA PUTRI CINTA ALWARIZKY</t>
  </si>
  <si>
    <t xml:space="preserve">28048519869</t>
  </si>
  <si>
    <t xml:space="preserve">3516066012070001</t>
  </si>
  <si>
    <t xml:space="preserve">Pungging, RT/RW 006/005, Pungging, Pungging, Kabupaten Mojokerto</t>
  </si>
  <si>
    <t xml:space="preserve">MILAN MA'RUF MAULANA</t>
  </si>
  <si>
    <t xml:space="preserve">24005604405</t>
  </si>
  <si>
    <t xml:space="preserve">3516062404060002</t>
  </si>
  <si>
    <t xml:space="preserve">Ringgit, RT/RW 003/006, Kembangringgit, Pungging, Kabupaten Mojokerto</t>
  </si>
  <si>
    <t xml:space="preserve">AHMAD PADLI</t>
  </si>
  <si>
    <t xml:space="preserve">20090388719</t>
  </si>
  <si>
    <t xml:space="preserve">6203020303040001</t>
  </si>
  <si>
    <t xml:space="preserve">Kuala Kapuas</t>
  </si>
  <si>
    <t xml:space="preserve">Jl. Kapuas Seberang II No. 52, RT/RW 001/000, Mambulau, Kapuas Hilir, Kabupaten Kapuas</t>
  </si>
  <si>
    <t xml:space="preserve">WINDIYATI RUKMANA</t>
  </si>
  <si>
    <t xml:space="preserve">25018451217</t>
  </si>
  <si>
    <t xml:space="preserve">3576024601010004</t>
  </si>
  <si>
    <t xml:space="preserve">Jl. Kuti, RT/RW 001/005, Gunung Gedangan, Magersari, Kota Mojokerto</t>
  </si>
  <si>
    <t xml:space="preserve">MUHAMMAD RIZKY ARDIYANSAH</t>
  </si>
  <si>
    <t xml:space="preserve">27032848574</t>
  </si>
  <si>
    <t xml:space="preserve">3516103003060002</t>
  </si>
  <si>
    <t xml:space="preserve">Dsn. Pekuwon, RT/RW 007/004, Pekuwon, Bangsal, Kabupaten Mojokerto</t>
  </si>
  <si>
    <t xml:space="preserve">INTAN LESTARI</t>
  </si>
  <si>
    <t xml:space="preserve">26098931088</t>
  </si>
  <si>
    <t xml:space="preserve">1218065212040002</t>
  </si>
  <si>
    <t xml:space="preserve">BANDAR TENGAH</t>
  </si>
  <si>
    <t xml:space="preserve">DUSUN PEKAN SEI BURUNG, RT/RW 000/000, BANDAR TENGAH, BANDAR KHALIPAH, KABUPATEN SERDANG BEDAGAI</t>
  </si>
  <si>
    <t xml:space="preserve">RETNO DWININGRUM</t>
  </si>
  <si>
    <t xml:space="preserve">26049578232</t>
  </si>
  <si>
    <t xml:space="preserve">3371027005000001</t>
  </si>
  <si>
    <t xml:space="preserve">Jambesari, RT/RW 002/011, Wates, Magelang Utara, Kota Magelang</t>
  </si>
  <si>
    <t xml:space="preserve">RIKA ETA NURAENI</t>
  </si>
  <si>
    <t xml:space="preserve">0003535743069</t>
  </si>
  <si>
    <t xml:space="preserve">Sintang</t>
  </si>
  <si>
    <t xml:space="preserve">6105075009030001</t>
  </si>
  <si>
    <t xml:space="preserve">Pengkadan Baru</t>
  </si>
  <si>
    <t xml:space="preserve">Dusun Mekar Sari, RT/RW 009/002, Pengkadan Baru, Dedai, Sintang</t>
  </si>
  <si>
    <t xml:space="preserve">RISMA SEPTIANINGRUM</t>
  </si>
  <si>
    <t xml:space="preserve">29083248262</t>
  </si>
  <si>
    <t xml:space="preserve">3318096109060001</t>
  </si>
  <si>
    <t xml:space="preserve">Dk. Jeruk Gulung, RT/RW 005/001, Sendangsoko, Jakenan, Kab. Pati</t>
  </si>
  <si>
    <t xml:space="preserve">RIZKY FATMAWANTI</t>
  </si>
  <si>
    <t xml:space="preserve">0000166791159</t>
  </si>
  <si>
    <t xml:space="preserve">1807045610980002</t>
  </si>
  <si>
    <t xml:space="preserve">Dusun Iii Desa Jojog, RT/RW 014/006, Jojog, Pekalongan, Lampung Timur</t>
  </si>
  <si>
    <t xml:space="preserve">KEZIA THERESA FERDINANDUS</t>
  </si>
  <si>
    <t xml:space="preserve">TIDAK PERFORM</t>
  </si>
  <si>
    <t xml:space="preserve">29002752669</t>
  </si>
  <si>
    <t xml:space="preserve">8171014504030008</t>
  </si>
  <si>
    <t xml:space="preserve">AMBON</t>
  </si>
  <si>
    <t xml:space="preserve">JL. NENAS ARDIPURA I, RT/RW 002/002, ARDIPURA, JAYAPURA SELATAN, KOTA JAYAPURA</t>
  </si>
  <si>
    <t xml:space="preserve">M FAHRI ARDIANSYAH</t>
  </si>
  <si>
    <t xml:space="preserve">24063018224</t>
  </si>
  <si>
    <t xml:space="preserve">3525120302080004</t>
  </si>
  <si>
    <t xml:space="preserve">Jl Pasuruan I, RT.009, RW002, ke sukrejo, kec bungah, kab gresik</t>
  </si>
  <si>
    <t xml:space="preserve">KEVIN ARFIANSYAH FARIDZI</t>
  </si>
  <si>
    <t xml:space="preserve">27092009550</t>
  </si>
  <si>
    <t xml:space="preserve">Admin Checker Gudang</t>
  </si>
  <si>
    <t xml:space="preserve">3515010705050002</t>
  </si>
  <si>
    <t xml:space="preserve">DSN. PILANG, RT/RW 004/002, MLIRIPROWO, TARIK, KABUPATEN SIDOARJO</t>
  </si>
  <si>
    <t xml:space="preserve">EKO NUR RAMADHANU</t>
  </si>
  <si>
    <t xml:space="preserve">20064339173</t>
  </si>
  <si>
    <t xml:space="preserve">3516182910030002</t>
  </si>
  <si>
    <t xml:space="preserve">DSN. KWATU, RT/RW 002/001, KWATU, MOJOANYAR, KABUPATEN MOJOKERTO</t>
  </si>
  <si>
    <t xml:space="preserve">RIFANDA LUKY DWI BIMANTARA</t>
  </si>
  <si>
    <t xml:space="preserve">21031331791</t>
  </si>
  <si>
    <t xml:space="preserve">3578312407030001</t>
  </si>
  <si>
    <t xml:space="preserve">Candi Lontar Utara Blok H / 08, RT/RW 007/008, Lontar, Sambi Kerep, Kota Surabaya</t>
  </si>
  <si>
    <t xml:space="preserve">ACHMAD DIAZ SAPUTRA</t>
  </si>
  <si>
    <t xml:space="preserve">25065726725</t>
  </si>
  <si>
    <t xml:space="preserve">3578310607060001</t>
  </si>
  <si>
    <t xml:space="preserve">Dk Jelidro, RT/RW 007/001, Sambikerep, Sambikerep, Kota Surabaya</t>
  </si>
  <si>
    <t xml:space="preserve">AHMAD MARHAM</t>
  </si>
  <si>
    <t xml:space="preserve">26072811787</t>
  </si>
  <si>
    <t xml:space="preserve">3512030909000001</t>
  </si>
  <si>
    <t xml:space="preserve">Jl. Kupang Krajan Lor I/64 RT/RW 003/003 Kel. Kupang Krajan Kec. Sawahan</t>
  </si>
  <si>
    <t xml:space="preserve">895-6166-90103</t>
  </si>
  <si>
    <t xml:space="preserve">MUSAWIR</t>
  </si>
  <si>
    <t xml:space="preserve">21013521967</t>
  </si>
  <si>
    <t xml:space="preserve">3526060505940005</t>
  </si>
  <si>
    <t xml:space="preserve">Dsn. Kebun Tengah RT/RW 000/000 Kel. Tegar Priyah Kec. Geger</t>
  </si>
  <si>
    <t xml:space="preserve">852-1395-3533</t>
  </si>
  <si>
    <t xml:space="preserve">MUHAMMAD LUKMAN</t>
  </si>
  <si>
    <t xml:space="preserve">29025188125</t>
  </si>
  <si>
    <t xml:space="preserve">Sales TO Surabaya</t>
  </si>
  <si>
    <t xml:space="preserve">3578060310930004</t>
  </si>
  <si>
    <t xml:space="preserve">Lebo Agung 1/32, RT/RW 010/002, Gading, Tambaksari, Kota Surabaya</t>
  </si>
  <si>
    <t xml:space="preserve">MUHAMMAD IQBAL IZZULHAQ SAID SAIDLI</t>
  </si>
  <si>
    <t xml:space="preserve">27062967274</t>
  </si>
  <si>
    <t xml:space="preserve">3573052507020001</t>
  </si>
  <si>
    <t xml:space="preserve">Jl. Mt. Haryono XII/1157-B, RT/RW 003/005, Dinoyo, Lowokwaru, Kota Malang</t>
  </si>
  <si>
    <t xml:space="preserve">SONI AHMAD BAIDILLAH</t>
  </si>
  <si>
    <t xml:space="preserve">22005664742</t>
  </si>
  <si>
    <t xml:space="preserve">ADMIN</t>
  </si>
  <si>
    <t xml:space="preserve">3524062702920001</t>
  </si>
  <si>
    <t xml:space="preserve">Nglebur, RT/RW 010/003, Nglebur, Kedungpring, Kabupaten Lamongan</t>
  </si>
  <si>
    <t xml:space="preserve">KHOIRUL RIZAL</t>
  </si>
  <si>
    <t xml:space="preserve">23012209949</t>
  </si>
  <si>
    <t xml:space="preserve">FORKLIFT RM STORE</t>
  </si>
  <si>
    <t xml:space="preserve">3525052404980003</t>
  </si>
  <si>
    <t xml:space="preserve">Gredek, RT/RW 006/002, Gredek, Duduksampeyan, Kabupaten Gresik</t>
  </si>
  <si>
    <t xml:space="preserve">M.LUKMAN HAKIM</t>
  </si>
  <si>
    <t xml:space="preserve">3518192110010001</t>
  </si>
  <si>
    <t xml:space="preserve">Dsn. Jerukwangi Rt 005 Rw 002 Banjardowo Lengkong Nganjuk</t>
  </si>
  <si>
    <t xml:space="preserve">082142057448</t>
  </si>
  <si>
    <t xml:space="preserve">MARATUS SHOLIKHAH</t>
  </si>
  <si>
    <t xml:space="preserve">0002159712494</t>
  </si>
  <si>
    <t xml:space="preserve">3524184511910001</t>
  </si>
  <si>
    <t xml:space="preserve">Lamongan RT/RW 001/001 Banjarmadu, Karanggeneng, Lamongan</t>
  </si>
  <si>
    <t xml:space="preserve">29093933051</t>
  </si>
  <si>
    <t xml:space="preserve">Rungkut Lor 3-A/20-A, RT/RW 002/006, Kalirungkut, Rungkut, Kota Surabaya</t>
  </si>
  <si>
    <t xml:space="preserve">NABIILA A'ALIYAH</t>
  </si>
  <si>
    <t xml:space="preserve">27028975267</t>
  </si>
  <si>
    <t xml:space="preserve">Admin Foundation</t>
  </si>
  <si>
    <t xml:space="preserve">3578105203020003</t>
  </si>
  <si>
    <t xml:space="preserve">Jl. Terusan Sudimoro No. 33, RT/RW 009/007, Mojolangu, Lowokwaru, Kota Malang</t>
  </si>
  <si>
    <t xml:space="preserve">FAISAL MUHAROFI</t>
  </si>
  <si>
    <t xml:space="preserve">28019825539</t>
  </si>
  <si>
    <t xml:space="preserve">Gudang dan Forklift</t>
  </si>
  <si>
    <t xml:space="preserve">3578042409869001</t>
  </si>
  <si>
    <t xml:space="preserve">Kemb. Kuning Kulon Besar C/1-A RT/RW 002/006 Kel. Pakis Kec. Sawahan</t>
  </si>
  <si>
    <t xml:space="preserve">NUR ROHMAT</t>
  </si>
  <si>
    <t xml:space="preserve">23037687682</t>
  </si>
  <si>
    <t xml:space="preserve">3516182501990001</t>
  </si>
  <si>
    <t xml:space="preserve">Dsn. Sadar, RT/RW 011/002, Sadartengah, Mojoanyar, Kabupaten Mojokerto</t>
  </si>
  <si>
    <t xml:space="preserve">NIZAM RISKI FARIYAN</t>
  </si>
  <si>
    <t xml:space="preserve">23035511417</t>
  </si>
  <si>
    <t xml:space="preserve">3525131212040001</t>
  </si>
  <si>
    <t xml:space="preserve">GRESIK</t>
  </si>
  <si>
    <t xml:space="preserve">Menganti, RT/RW 019/006, Menganti, Menganti, Kabupaten Gresik</t>
  </si>
  <si>
    <t xml:space="preserve">GHUFRON AFANDI</t>
  </si>
  <si>
    <t xml:space="preserve">22077061908</t>
  </si>
  <si>
    <t xml:space="preserve">3521190704950001</t>
  </si>
  <si>
    <t xml:space="preserve">Wringinpitu, RT/RW 004/002, Bakalanwringinpitu, Balongbendo, Kabupaten Sidoarjo</t>
  </si>
  <si>
    <t xml:space="preserve">ACHMAD SYAWALUDIN FITRIO</t>
  </si>
  <si>
    <t xml:space="preserve">26030823565</t>
  </si>
  <si>
    <t xml:space="preserve">Helper Teknisi</t>
  </si>
  <si>
    <t xml:space="preserve">3525143112020002</t>
  </si>
  <si>
    <t xml:space="preserve">Sunan Giri, RT/RW 003/005, Kawisanyar, Kebomas, Kabupaten Gresik</t>
  </si>
  <si>
    <t xml:space="preserve">LULUK AL MA'SUNNA</t>
  </si>
  <si>
    <t xml:space="preserve">23059384303</t>
  </si>
  <si>
    <t xml:space="preserve">COOK HELPER</t>
  </si>
  <si>
    <t xml:space="preserve">3525015104030004</t>
  </si>
  <si>
    <t xml:space="preserve">Lowayu, RT/RW 019/005, Lowayu, Dukun, Kabupaten Gresik</t>
  </si>
  <si>
    <t xml:space="preserve">MOKH. FANDI GUNAWAN</t>
  </si>
  <si>
    <t xml:space="preserve">25080040910</t>
  </si>
  <si>
    <t xml:space="preserve">3525070503030002</t>
  </si>
  <si>
    <t xml:space="preserve">Dusun Sumbersuci, RT/RW 001/016, Pangkah Wetan, Ujungpangkah, Kabupaten Gresik</t>
  </si>
  <si>
    <t xml:space="preserve">SITI KOMARIAH</t>
  </si>
  <si>
    <t xml:space="preserve">26086750972</t>
  </si>
  <si>
    <t xml:space="preserve">6471034908990006</t>
  </si>
  <si>
    <t xml:space="preserve">SAMPIT</t>
  </si>
  <si>
    <t xml:space="preserve">PERUM TAMAN INTAN GRIYA BLOK B/114 RT/RW 034/000 KEL. MANGGAR KEC. BALIKPAPAN TIMUR</t>
  </si>
  <si>
    <t xml:space="preserve">ILONA KRISNA WIDIA SEFRI</t>
  </si>
  <si>
    <t xml:space="preserve">29002759487</t>
  </si>
  <si>
    <t xml:space="preserve">6401046801990004</t>
  </si>
  <si>
    <t xml:space="preserve">TANAH GROGOT</t>
  </si>
  <si>
    <t xml:space="preserve">JL. P ANTASARI RT/RW 009/006 KEL. TANAH GROGOT KEC. TANAH GROGOT</t>
  </si>
  <si>
    <t xml:space="preserve">DEVIKA ASMARIANTI</t>
  </si>
  <si>
    <t xml:space="preserve">20045501170</t>
  </si>
  <si>
    <t xml:space="preserve">6402055909970002</t>
  </si>
  <si>
    <t xml:space="preserve">MUARA BADAK</t>
  </si>
  <si>
    <t xml:space="preserve">JL. KAPITAN TOKO LIMA RT/RW 007/000 KEL. MUARA BADAK ILIR KEC. MUARA BADAK</t>
  </si>
  <si>
    <t xml:space="preserve">WELDIANUR</t>
  </si>
  <si>
    <t xml:space="preserve">28061711406</t>
  </si>
  <si>
    <t xml:space="preserve">6472060807960005</t>
  </si>
  <si>
    <t xml:space="preserve">SAMARINDA</t>
  </si>
  <si>
    <t xml:space="preserve">JL. KH. MAS MANSYUR RT/RW 032/000 KEL. LOA BAKUNG KEC. SUNGAI KUNJANG</t>
  </si>
  <si>
    <t xml:space="preserve">LISA ARIYANTI</t>
  </si>
  <si>
    <t xml:space="preserve">21088363159</t>
  </si>
  <si>
    <t xml:space="preserve">6471025711970002</t>
  </si>
  <si>
    <t xml:space="preserve">PENAJAM</t>
  </si>
  <si>
    <t xml:space="preserve">JL. PRAPATAN DALAM NO.26 RT/RW 004/000 KEL. TELAGA SARI KEC. BALIKPAPAN KOTA</t>
  </si>
  <si>
    <t xml:space="preserve">NOVA NADEA</t>
  </si>
  <si>
    <t xml:space="preserve">20086992801</t>
  </si>
  <si>
    <t xml:space="preserve">6471055911930004</t>
  </si>
  <si>
    <t xml:space="preserve">BALIKPAPAN</t>
  </si>
  <si>
    <t xml:space="preserve">PERUM PT. HER BLOK B/07 RT/RW 020/000 KEL. SEPINGGAN BARU KEC. BALIKPAPAN SELATAN</t>
  </si>
  <si>
    <t xml:space="preserve">SUTINI</t>
  </si>
  <si>
    <t xml:space="preserve">22033255605</t>
  </si>
  <si>
    <t xml:space="preserve">6474024306860005</t>
  </si>
  <si>
    <t xml:space="preserve">BLORA</t>
  </si>
  <si>
    <t xml:space="preserve">RUSUNAWA KS TUBUN RT/RW 041/000 KEL. API-API KEC. BONTANG UTARA</t>
  </si>
  <si>
    <t xml:space="preserve">ACHMAD SYAIFUDIN ZUHRI</t>
  </si>
  <si>
    <t xml:space="preserve">26028734803</t>
  </si>
  <si>
    <t xml:space="preserve">3515041206910001</t>
  </si>
  <si>
    <t xml:space="preserve">Glagaharum, RT/RW 006/002, Porong, Sidoarjo</t>
  </si>
  <si>
    <t xml:space="preserve">INTAN PUTRI TYSA YUNIAR</t>
  </si>
  <si>
    <t xml:space="preserve">25063734056</t>
  </si>
  <si>
    <t xml:space="preserve">3515185906020001</t>
  </si>
  <si>
    <t xml:space="preserve">Jl. Jatisari 44 RT/RW 004/006 Kel. Pepelegi Kec. Waru</t>
  </si>
  <si>
    <t xml:space="preserve">ELLIAS DANIEL JHAVO PRASETIA</t>
  </si>
  <si>
    <t xml:space="preserve">29036961111</t>
  </si>
  <si>
    <t xml:space="preserve">3578161110060008</t>
  </si>
  <si>
    <t xml:space="preserve">Kavling Griya Sejahtera D-47 RT/RW 001/010 Kel. Keboananom Kec. Gedangan</t>
  </si>
  <si>
    <t xml:space="preserve">ANTON ANDRI AFAN</t>
  </si>
  <si>
    <t xml:space="preserve">24081701903</t>
  </si>
  <si>
    <t xml:space="preserve">3517012105990001</t>
  </si>
  <si>
    <t xml:space="preserve">Dsn. Plumpung RT/RW 003/003 Kel. Perak Kec. Perak</t>
  </si>
  <si>
    <t xml:space="preserve">ARIE BUANA</t>
  </si>
  <si>
    <t xml:space="preserve">20029839966</t>
  </si>
  <si>
    <t xml:space="preserve">3515161104010001</t>
  </si>
  <si>
    <t xml:space="preserve">Jl. Senawi II No.100 RT/RW 003/001 Kel. Keboananom Kec. Gedangan</t>
  </si>
  <si>
    <t xml:space="preserve">AZIZI NOVAN MAULANA</t>
  </si>
  <si>
    <t xml:space="preserve">23045257274</t>
  </si>
  <si>
    <t xml:space="preserve">Full Stack Web Developer</t>
  </si>
  <si>
    <t xml:space="preserve">3510162611000004</t>
  </si>
  <si>
    <t xml:space="preserve">Jl. Candi Borobudur IV Blok C.07 RT/RW 002/003 Kel. Tamanbaru Kec. Banyuwangi</t>
  </si>
  <si>
    <t xml:space="preserve">IZALATUS SYIDDA</t>
  </si>
  <si>
    <t xml:space="preserve">28070438374</t>
  </si>
  <si>
    <t xml:space="preserve">legal staff</t>
  </si>
  <si>
    <t xml:space="preserve">3572035307980001</t>
  </si>
  <si>
    <t xml:space="preserve">Jl. A. Yani II/113 RT/RW 001/012 Kel. Sananwetan Kec. Sananwetan</t>
  </si>
  <si>
    <t xml:space="preserve">GALIH SASONGKO</t>
  </si>
  <si>
    <t xml:space="preserve">27022330604</t>
  </si>
  <si>
    <t xml:space="preserve">3578212610000001</t>
  </si>
  <si>
    <t xml:space="preserve">Dukuh Pakis 2/94-A RT/RW 003/001 Kel. Dukuh Pakis Kec. Dukuh Pakis</t>
  </si>
  <si>
    <t xml:space="preserve">CINDI WIDYA NINGRUM</t>
  </si>
  <si>
    <t xml:space="preserve">26033312797</t>
  </si>
  <si>
    <t xml:space="preserve">3578035107020002</t>
  </si>
  <si>
    <t xml:space="preserve">Kedung Baruk IV/04 RT/RW 004/004 Kel. Kedung Baruk Kec. Rungkut</t>
  </si>
  <si>
    <t xml:space="preserve">ELMA NUR LATIFAH</t>
  </si>
  <si>
    <t xml:space="preserve">25073660965</t>
  </si>
  <si>
    <t xml:space="preserve">3515176508980001</t>
  </si>
  <si>
    <t xml:space="preserve">Jl. Tombro RT/RW 001/001 Kel. Banjar Kemuning Kec. Sedati</t>
  </si>
  <si>
    <t xml:space="preserve">CANCEL</t>
  </si>
  <si>
    <t xml:space="preserve">URIP BAGUS SALIM</t>
  </si>
  <si>
    <t xml:space="preserve">29099850821</t>
  </si>
  <si>
    <t xml:space="preserve">3526011109920004</t>
  </si>
  <si>
    <t xml:space="preserve">Jl. Trunojoyo Gg. 10/36 RT/RW 005/001 Kel. Pejagan Kec. Bangkalan</t>
  </si>
  <si>
    <t xml:space="preserve">NUR AINUN</t>
  </si>
  <si>
    <t xml:space="preserve">21032027208</t>
  </si>
  <si>
    <t xml:space="preserve">Harian Lepas (Helper QC)</t>
  </si>
  <si>
    <t xml:space="preserve">3578064904030005</t>
  </si>
  <si>
    <t xml:space="preserve">Petemon 4/14 RT/RW 001/011 Kel. Petemon Kec. Sawahan</t>
  </si>
  <si>
    <t xml:space="preserve">ASIPAH</t>
  </si>
  <si>
    <t xml:space="preserve">24056370435</t>
  </si>
  <si>
    <t xml:space="preserve">3578115110030001</t>
  </si>
  <si>
    <t xml:space="preserve">Gembong 3/11 SBY RT/RW 003/004 Kel. Kapasan Kec. Simokerto</t>
  </si>
  <si>
    <t xml:space="preserve">M. PAHREVI</t>
  </si>
  <si>
    <t xml:space="preserve">22064555208</t>
  </si>
  <si>
    <t xml:space="preserve">3525101708910003</t>
  </si>
  <si>
    <t xml:space="preserve">LAMONGAN RAYA 63, RT 005 / RW 005, Kel/Desa YOSOWILANGUN, Kecamatan MANYAR, KABUPATEN GRESIK, PROVINSI JAWA TIMUR</t>
  </si>
  <si>
    <t xml:space="preserve">RETNO NUR HANDINI</t>
  </si>
  <si>
    <t xml:space="preserve">24097031773</t>
  </si>
  <si>
    <t xml:space="preserve">3320166006000001</t>
  </si>
  <si>
    <t xml:space="preserve">JEPARA</t>
  </si>
  <si>
    <t xml:space="preserve">DESA LERAN, RT 002 / RW 001, Kel/Desa LERAN, Kecamatan MANYAR, KABUPATEN GRESIK, PROVINSI JAWA TIMUR</t>
  </si>
  <si>
    <t xml:space="preserve">ERLY BETHA NANDA</t>
  </si>
  <si>
    <t xml:space="preserve">27021878105</t>
  </si>
  <si>
    <t xml:space="preserve">3578036801040001</t>
  </si>
  <si>
    <t xml:space="preserve">KEDIRI</t>
  </si>
  <si>
    <t xml:space="preserve">RUNGKUT KIDUL 2/25, RT 003 / RW 002, Kel/Desa RUNGKUT KIDUL, Kecamatan RUNGKUT, KOTA SURABAYA, PROVINSI JAWA TIMUR</t>
  </si>
  <si>
    <t xml:space="preserve">DEDE URFAN ABDULLAH</t>
  </si>
  <si>
    <t xml:space="preserve">22098399681</t>
  </si>
  <si>
    <t xml:space="preserve">Admin Planning, Dispatching, Monitoring</t>
  </si>
  <si>
    <t xml:space="preserve">3515181006980004</t>
  </si>
  <si>
    <t xml:space="preserve">JL. RAYA TROPODO GANG MASJID NO. 32, RT 014 / RW 001, Kel/Desa TROPODO, Kecamatan WARU, KABUPATEN SIDOARJO, PROVINSI JAWA TIMUR</t>
  </si>
  <si>
    <t xml:space="preserve">ANDINI INDRIYANTI</t>
  </si>
  <si>
    <t xml:space="preserve">20039411275</t>
  </si>
  <si>
    <t xml:space="preserve">3578085406910001</t>
  </si>
  <si>
    <t xml:space="preserve">JANGKUNGAN 2-A/3, RT 003 / RW 007, Kel/Desa NGINDEN JANGKUNGAN, Kecamatan SUKOLILO, KOTA SURABAYA, PROVINSI JAWA TIMUR</t>
  </si>
  <si>
    <t xml:space="preserve">ACHMAD BASORI</t>
  </si>
  <si>
    <t xml:space="preserve">21039643469</t>
  </si>
  <si>
    <t xml:space="preserve">3515162912910001</t>
  </si>
  <si>
    <t xml:space="preserve">JL. MASJID NO. 31, RT 002 / RW 002, Kel/Desa KETAJEN, Kecamatan GEDANGAN, KABUPATEN SIDOARJO, PROVINSI JAWA TIMUR</t>
  </si>
  <si>
    <t xml:space="preserve">ERVINA PUSPITA TUNGGA DEWI</t>
  </si>
  <si>
    <t xml:space="preserve">21063466168</t>
  </si>
  <si>
    <t xml:space="preserve">3504094203940002</t>
  </si>
  <si>
    <t xml:space="preserve">TULUNGAGUNG</t>
  </si>
  <si>
    <t xml:space="preserve">DSN SIWALAN, RT 001 / RW 001, Kel/Desa TIUDAN, Kecamatan GONDANG, KABUPATEN TULUNGAGUNG, PROVINSI JAWA TIMUR</t>
  </si>
  <si>
    <t xml:space="preserve">RIA KURNIASARI</t>
  </si>
  <si>
    <t xml:space="preserve">22022422837</t>
  </si>
  <si>
    <t xml:space="preserve">3503114703960002</t>
  </si>
  <si>
    <t xml:space="preserve">TRENGGALEK</t>
  </si>
  <si>
    <t xml:space="preserve">DUSUN KRAJAN, RT 006 / RW 003, Kel/Desa SUMBERDADI, Kecamatan TRENGGALEK, KABUPATEN TRENGGALEK, PROVINSI JAWA TIMUR</t>
  </si>
  <si>
    <t xml:space="preserve">NENSY MEILASARI</t>
  </si>
  <si>
    <t xml:space="preserve">28023322617</t>
  </si>
  <si>
    <t xml:space="preserve">3504024205990002</t>
  </si>
  <si>
    <t xml:space="preserve">JL. CEMARA NO. 286, RT 002 / RW 001, Kel/Desa REMBANG, Kecamatan SANANWETAN, KOTA BLITAR, PROVINSI JAWA TIMUR</t>
  </si>
  <si>
    <t xml:space="preserve">SUSANTI RISKA PUTRIANTI</t>
  </si>
  <si>
    <t xml:space="preserve">25051319800</t>
  </si>
  <si>
    <t xml:space="preserve">3503016910010003</t>
  </si>
  <si>
    <t xml:space="preserve">DUSUN KRAJAN, RT 006 / RW 002, Kel/Desa MANGGIS, Kecamatan PANGGUL, KABUPATEN TRENGGALEK, PROVINSI JAWA TIMUR</t>
  </si>
  <si>
    <t xml:space="preserve">ERLIS IKA SARI</t>
  </si>
  <si>
    <t xml:space="preserve">21099911539</t>
  </si>
  <si>
    <t xml:space="preserve">3506236105900003</t>
  </si>
  <si>
    <t xml:space="preserve">DSN. MUNING, RT 002 / RW 006, Kel/Desa SELODONO, Kecamatan RINGINREJO, KABUPATEN KEDIRI, PROVINSI JAWA TIMUR</t>
  </si>
  <si>
    <t xml:space="preserve">DWI MIFTAKUL RO'IFAH</t>
  </si>
  <si>
    <t xml:space="preserve">26085569688</t>
  </si>
  <si>
    <t xml:space="preserve">3506136708970003</t>
  </si>
  <si>
    <t xml:space="preserve">DSN. PLOSOLANANG, RT 017 / RW 007, Kel/Desa GAMBYOK, Kecamatan GROGOL, KABUPATEN KEDIRI, PROVINSI JAWA TIMUR</t>
  </si>
  <si>
    <t xml:space="preserve">DANANG DWI PRASETYO</t>
  </si>
  <si>
    <t xml:space="preserve">22080433296</t>
  </si>
  <si>
    <t xml:space="preserve">3504031905980001</t>
  </si>
  <si>
    <t xml:space="preserve">JL. KAPTEN KASIHIN GG V NO 235, RT 004 / RW 003, Kel/Desa PLANDAAN, Kecamatan KEDUNGWARU, KABUPATEN TULUNGAGUNG, PROVINSI JAWA TIMUR</t>
  </si>
  <si>
    <t xml:space="preserve">KARIMA DWI MARIZKA</t>
  </si>
  <si>
    <t xml:space="preserve">27036731766</t>
  </si>
  <si>
    <t xml:space="preserve">3517185603970001</t>
  </si>
  <si>
    <t xml:space="preserve">BANJARSARI, RT 010 / RW 002, Kel/Desa BANJARSARI, Kecamatan BANDARKEDUNGMULYO, KABUPATEN JOMBANG, PROVINSI JAWA TIMUR</t>
  </si>
  <si>
    <t xml:space="preserve">MAS ANDRIANTO</t>
  </si>
  <si>
    <t xml:space="preserve">24046470775</t>
  </si>
  <si>
    <t xml:space="preserve">3517132701940001</t>
  </si>
  <si>
    <t xml:space="preserve">JL. KUSUMA BANGSA GG 4 / 28C, RT 002 / RW 001, Kel/Desa SENGON, Kecamatan JOMBANG, KABUPATEN JOMBANG, PROVINSI JAWA TIMUR</t>
  </si>
  <si>
    <t xml:space="preserve">MOCH. RENAL DWI KERDIANSYA</t>
  </si>
  <si>
    <t xml:space="preserve">28007284417</t>
  </si>
  <si>
    <t xml:space="preserve">3515021201060002</t>
  </si>
  <si>
    <t xml:space="preserve">Watutulis Utara, RT/RW 003/004, Watutulis, Prambon, Sidoarjo</t>
  </si>
  <si>
    <t xml:space="preserve">MAULANA ARMANSYAH</t>
  </si>
  <si>
    <t xml:space="preserve">27011277578</t>
  </si>
  <si>
    <t xml:space="preserve">3525151210890003</t>
  </si>
  <si>
    <t xml:space="preserve">Griya Kencana II M 67, RT/RW 007/011, Mojosarirejo, Driyorejo, Gresik</t>
  </si>
  <si>
    <t xml:space="preserve">AMALIA SASI FEBRIANTI</t>
  </si>
  <si>
    <t xml:space="preserve">24085692708</t>
  </si>
  <si>
    <t xml:space="preserve">3578084602030003</t>
  </si>
  <si>
    <t xml:space="preserve">JOJORAN 5/8, RT 007 / RW 008, Kel. MOJO, Kec. GUBENG, KOTA SURABAYA</t>
  </si>
  <si>
    <t xml:space="preserve">SERGI IBRAHIM</t>
  </si>
  <si>
    <t xml:space="preserve">21054255567</t>
  </si>
  <si>
    <t xml:space="preserve">Helper Maintenance</t>
  </si>
  <si>
    <t xml:space="preserve">3316041405980001</t>
  </si>
  <si>
    <t xml:space="preserve">DUSUN NGRAHO, RT 001 / RW 001, Kel. NGRAHO, Kec. KEDUNGTUBAN, KABUPATEN BLORA</t>
  </si>
  <si>
    <t xml:space="preserve">MOHAMAD RIZQI</t>
  </si>
  <si>
    <t xml:space="preserve">29002235365</t>
  </si>
  <si>
    <t xml:space="preserve">3505022101030001</t>
  </si>
  <si>
    <t xml:space="preserve">BLITAR</t>
  </si>
  <si>
    <t xml:space="preserve">DSN TAPAN, RT 004 / RW 001, Kel. BAKUNG, Kec. UDANAWU, KABUPATEN BLITAR</t>
  </si>
  <si>
    <t xml:space="preserve">MUHAMMAD ARI ARDILLAH</t>
  </si>
  <si>
    <t xml:space="preserve">26029799809</t>
  </si>
  <si>
    <t xml:space="preserve">3515172601940002</t>
  </si>
  <si>
    <t xml:space="preserve">Kalanganyar Rt/Rw : 016/004 Kel Karanganyar Kec Sedati</t>
  </si>
  <si>
    <t xml:space="preserve">ROSSA AULIA JALIANTY</t>
  </si>
  <si>
    <t xml:space="preserve">6371014801060003</t>
  </si>
  <si>
    <t xml:space="preserve">Jl. K.S. Tubun Gg. Sekeluarga II No. 4, RT/RW 002/001, Pekauman, Banjarmasin Selatan</t>
  </si>
  <si>
    <t xml:space="preserve">SALMA IRFANI</t>
  </si>
  <si>
    <t xml:space="preserve">0001843150926</t>
  </si>
  <si>
    <t xml:space="preserve">1802107108030002</t>
  </si>
  <si>
    <t xml:space="preserve">Seputih Banyak</t>
  </si>
  <si>
    <t xml:space="preserve">Dusun. 02, RT/RW 008/002, Tanjung Harapan, Seputih Banyak, Lampung Tengah</t>
  </si>
  <si>
    <t xml:space="preserve">SANTI WULANDARI</t>
  </si>
  <si>
    <t xml:space="preserve">0000642565034</t>
  </si>
  <si>
    <t xml:space="preserve">3374107108050004</t>
  </si>
  <si>
    <t xml:space="preserve">Banteng, RT/RW 002/001, Tandang, Tembalang, Semarang</t>
  </si>
  <si>
    <t xml:space="preserve">NAZWA APRILIA</t>
  </si>
  <si>
    <t xml:space="preserve">29035028991</t>
  </si>
  <si>
    <t xml:space="preserve">1275044604050002</t>
  </si>
  <si>
    <t xml:space="preserve">BINJAI</t>
  </si>
  <si>
    <t xml:space="preserve">JL. IKAN ARWANA LK. III, RT 000/000, DATARAN TINGGI, BINJAI TIMUR, KOTA BINJAI</t>
  </si>
  <si>
    <t xml:space="preserve">081379890742</t>
  </si>
  <si>
    <t xml:space="preserve">SELVIA TRI SUSANTI</t>
  </si>
  <si>
    <t xml:space="preserve">26099988081</t>
  </si>
  <si>
    <t xml:space="preserve">3318196703040001</t>
  </si>
  <si>
    <t xml:space="preserve">Tayu Kulon, RT/RW 002/004, Tayu Kulon, Tayu, Kab. Pati</t>
  </si>
  <si>
    <t xml:space="preserve">SHELLY APRILYANTI SAPUTRI N.</t>
  </si>
  <si>
    <t xml:space="preserve">7471050604010002</t>
  </si>
  <si>
    <t xml:space="preserve">Jl. IR. Soekarno, RT/RW 003/005, Dapu-Dapura, Kendari Barat, Kendari</t>
  </si>
  <si>
    <t xml:space="preserve">SHOFIA RANTI</t>
  </si>
  <si>
    <t xml:space="preserve">27070388608</t>
  </si>
  <si>
    <t xml:space="preserve">3315174902020002</t>
  </si>
  <si>
    <t xml:space="preserve">Dsn. Jeketro, RT/RW 001/001, Jeketro, Gubug, Kab. Grobogan</t>
  </si>
  <si>
    <t xml:space="preserve">I WAYAN AGUS EKA WIDESTRA</t>
  </si>
  <si>
    <t xml:space="preserve">24056746853</t>
  </si>
  <si>
    <t xml:space="preserve">Lombok / Mataram</t>
  </si>
  <si>
    <t xml:space="preserve">5271021908040002</t>
  </si>
  <si>
    <t xml:space="preserve">MATARAM</t>
  </si>
  <si>
    <t xml:space="preserve">JL. SULTAN KAHARUDIN SAREN, RT 000/072, PAGESANGAN BARAT, MATARAM, KOTA MATARAM</t>
  </si>
  <si>
    <t xml:space="preserve">08986672925</t>
  </si>
  <si>
    <t xml:space="preserve">OKTA VERY BHAKTI SAMUDRA</t>
  </si>
  <si>
    <t xml:space="preserve">24083374278</t>
  </si>
  <si>
    <t xml:space="preserve">3515012410000003</t>
  </si>
  <si>
    <t xml:space="preserve">Sambirono RT 012/ RW 02 Sidodadi Taman Sidoarjo</t>
  </si>
  <si>
    <t xml:space="preserve">DEFI PUTRI APRILIYA</t>
  </si>
  <si>
    <t xml:space="preserve">21037168411</t>
  </si>
  <si>
    <t xml:space="preserve">3507304404040002</t>
  </si>
  <si>
    <t xml:space="preserve">SUMBERTANGKIL RT 009/002 KEL. SUMBERTANGKIL KEC. TIRTOYUDO, KAB. MALANG</t>
  </si>
  <si>
    <t xml:space="preserve">0881036171253</t>
  </si>
  <si>
    <t xml:space="preserve">AL HAFIDH</t>
  </si>
  <si>
    <t xml:space="preserve">21057371754</t>
  </si>
  <si>
    <t xml:space="preserve">3578062307940005</t>
  </si>
  <si>
    <t xml:space="preserve">BANYU URIP KIDUL 2-C/7 RT 006/005 KEL. BANYU URIP KEC. SAWAHAN, KOTA SURABAYA</t>
  </si>
  <si>
    <t xml:space="preserve">081913716559</t>
  </si>
  <si>
    <t xml:space="preserve">FATHOR ROHMAN</t>
  </si>
  <si>
    <t xml:space="preserve">22072023979</t>
  </si>
  <si>
    <t xml:space="preserve">Helper / Kernet</t>
  </si>
  <si>
    <t xml:space="preserve">3526020805060001</t>
  </si>
  <si>
    <t xml:space="preserve">BANGKALAN</t>
  </si>
  <si>
    <t xml:space="preserve">DSN. JUNGANYAR SELATAN RT 004/RW 004 KEL. JUNGANYAR KEC. SOCAH, KAB. BANGKALAN</t>
  </si>
  <si>
    <t xml:space="preserve">ACHMAD TORIRIN</t>
  </si>
  <si>
    <t xml:space="preserve">22037470164</t>
  </si>
  <si>
    <t xml:space="preserve">3526022412060001</t>
  </si>
  <si>
    <t xml:space="preserve">DSN. BULUH DUKO RT 000/RW 000 KEL. BULUH KEC. SOCAH, KAB. BANGKALAN</t>
  </si>
  <si>
    <t xml:space="preserve">VELLEN GILANG VERNANDA</t>
  </si>
  <si>
    <t xml:space="preserve">23089414904</t>
  </si>
  <si>
    <t xml:space="preserve">ANALIS LAB</t>
  </si>
  <si>
    <t xml:space="preserve">3518121401040001</t>
  </si>
  <si>
    <t xml:space="preserve">NGANJUK</t>
  </si>
  <si>
    <t xml:space="preserve">Kel. Sukomoro, RT 002 / RW 006, Kec. Sukomoro, Kabupaten Nganjuk, Jawa Timur</t>
  </si>
  <si>
    <t xml:space="preserve">NOVANDA RISKY PRATAMA</t>
  </si>
  <si>
    <t xml:space="preserve">22032989727</t>
  </si>
  <si>
    <t xml:space="preserve">REFINERY</t>
  </si>
  <si>
    <t xml:space="preserve">3520051911070003</t>
  </si>
  <si>
    <t xml:space="preserve">MAGETAN</t>
  </si>
  <si>
    <t xml:space="preserve">Jl. Kapten Darmo Sugondo XXII A, RT 001 / RW 001, Kel. Tenggulunan, Kec. Kebomas, Kabupaten Gresik, Jawa Timur</t>
  </si>
  <si>
    <t xml:space="preserve">TRI WAHYOKO</t>
  </si>
  <si>
    <t xml:space="preserve">20023854405</t>
  </si>
  <si>
    <t xml:space="preserve">3309072412990002</t>
  </si>
  <si>
    <t xml:space="preserve">Maluan, RT/RW 005/003, Teras, Teras, Boyolali</t>
  </si>
  <si>
    <t xml:space="preserve">0859-5003-8541</t>
  </si>
  <si>
    <t xml:space="preserve">MOCHAMAD SUUD</t>
  </si>
  <si>
    <t xml:space="preserve">27013647241</t>
  </si>
  <si>
    <t xml:space="preserve">3522232702040002</t>
  </si>
  <si>
    <t xml:space="preserve">BOJONEGORO</t>
  </si>
  <si>
    <t xml:space="preserve">TULUNGREJO RT 014/RW 002 KEL. TULUNGREJO KEC. TRUCUK, KAB. BOJONEGORO</t>
  </si>
  <si>
    <t xml:space="preserve">087734375643</t>
  </si>
  <si>
    <t xml:space="preserve">KUSNAN</t>
  </si>
  <si>
    <t xml:space="preserve">22038372157</t>
  </si>
  <si>
    <t xml:space="preserve">3524161409860004</t>
  </si>
  <si>
    <t xml:space="preserve">Dsn Ngablak, RT/RW 013/006, Kedungrukem, Benjeng, Gresik</t>
  </si>
  <si>
    <t xml:space="preserve">085733210070</t>
  </si>
  <si>
    <t xml:space="preserve">FINA HAFFATIR ROIHAH</t>
  </si>
  <si>
    <t xml:space="preserve">25086222460</t>
  </si>
  <si>
    <t xml:space="preserve">3523165103040004</t>
  </si>
  <si>
    <t xml:space="preserve">Desa Sumurgung, Kec. Tuban, Kab.Tuban</t>
  </si>
  <si>
    <t xml:space="preserve">AFIF PRIAMBODO HIDAYAT</t>
  </si>
  <si>
    <t xml:space="preserve">29071116231</t>
  </si>
  <si>
    <t xml:space="preserve">3525140901020001</t>
  </si>
  <si>
    <t xml:space="preserve">Kapten Darmosugondo, RT/RW 002/001, Karangkiring, Kebomas, Kab. Gresik</t>
  </si>
  <si>
    <t xml:space="preserve">MOCH. CHAFID AFRIZAL</t>
  </si>
  <si>
    <t xml:space="preserve">23030511685</t>
  </si>
  <si>
    <t xml:space="preserve">3525102207040001</t>
  </si>
  <si>
    <t xml:space="preserve">Kh. Cholil-02, RT/RW 002/002, Yosowilangun, Manyar, Kab. Gresik</t>
  </si>
  <si>
    <t xml:space="preserve">MUHAMMAD DZAKIYUL AFKAR</t>
  </si>
  <si>
    <t xml:space="preserve">21008288179</t>
  </si>
  <si>
    <t xml:space="preserve">3524253004000003</t>
  </si>
  <si>
    <t xml:space="preserve">Deketwetan, RT/RW 004/001, Deketwetan, Deket, Kab. Lamongan</t>
  </si>
  <si>
    <t xml:space="preserve">MUHAMMAD MISBAHUDDIN</t>
  </si>
  <si>
    <t xml:space="preserve">27051511615</t>
  </si>
  <si>
    <t xml:space="preserve">3578162609980001</t>
  </si>
  <si>
    <t xml:space="preserve">Mrutu Kalianyar 91, RT/RW 003/004, Wonokusumo, Semampir, Kota Surabaya</t>
  </si>
  <si>
    <t xml:space="preserve">BAHRUL ULUM</t>
  </si>
  <si>
    <t xml:space="preserve">20034980551</t>
  </si>
  <si>
    <t xml:space="preserve">Admin Transport</t>
  </si>
  <si>
    <t xml:space="preserve">3509123001950004</t>
  </si>
  <si>
    <t xml:space="preserve">Dusun Bedengan, RT/RW 003/003, Tegalsari, Ambulu, Kab. Jember</t>
  </si>
  <si>
    <t xml:space="preserve">0857-0759-7460</t>
  </si>
  <si>
    <t xml:space="preserve">AQILA SALSABILA</t>
  </si>
  <si>
    <t xml:space="preserve">27039713320</t>
  </si>
  <si>
    <t xml:space="preserve">Admin HR</t>
  </si>
  <si>
    <t xml:space="preserve">3172045703020008</t>
  </si>
  <si>
    <t xml:space="preserve">Gg.I Blok F/11, RT/RW 002/007, Semper Barat, Cilincing, Kota Jakarta Utara</t>
  </si>
  <si>
    <t xml:space="preserve">IQBAL IMAN MAWARDI</t>
  </si>
  <si>
    <t xml:space="preserve">29029001249</t>
  </si>
  <si>
    <t xml:space="preserve">3515152501000002</t>
  </si>
  <si>
    <t xml:space="preserve">Dsn. Sono, RT/RW 001/003, Sidokerto, Buduran, Kab. Sidoarjo</t>
  </si>
  <si>
    <t xml:space="preserve">MUCHAMMAD NURULLOH</t>
  </si>
  <si>
    <t xml:space="preserve">24031153890</t>
  </si>
  <si>
    <t xml:space="preserve">3515091003040004</t>
  </si>
  <si>
    <t xml:space="preserve">Kepunten, RT/RW 004/008, Kepunten, Tulangan, Kab. Sidoarjo</t>
  </si>
  <si>
    <t xml:space="preserve">FIFI FIBRIANA</t>
  </si>
  <si>
    <t xml:space="preserve">22093968801</t>
  </si>
  <si>
    <t xml:space="preserve">3523134302080003</t>
  </si>
  <si>
    <t xml:space="preserve">Senori, RT/RW 003/005, Senori, Merakurak, Kab. Tuban</t>
  </si>
  <si>
    <t xml:space="preserve">085707368091</t>
  </si>
  <si>
    <t xml:space="preserve">TRIJOHAR ASSIRRY KOLBI</t>
  </si>
  <si>
    <t xml:space="preserve">21032011446</t>
  </si>
  <si>
    <t xml:space="preserve">3515110402050005</t>
  </si>
  <si>
    <t xml:space="preserve">Dusun Kasak, RT/RW 004/003, Terungkulon, Krian, Kab. Sidoarjo</t>
  </si>
  <si>
    <t xml:space="preserve">ARIF PRABOWO</t>
  </si>
  <si>
    <t xml:space="preserve">28065709319</t>
  </si>
  <si>
    <t xml:space="preserve">3515150712940002</t>
  </si>
  <si>
    <t xml:space="preserve">Dsn. Glonggong, RT/RW 003/002, Gampingrowo, Tarik, Sidoarjo</t>
  </si>
  <si>
    <t xml:space="preserve">ALAM NASYARAH MUSTAQIN</t>
  </si>
  <si>
    <t xml:space="preserve">27005679696</t>
  </si>
  <si>
    <t xml:space="preserve">3525041008050002</t>
  </si>
  <si>
    <t xml:space="preserve">Sememi Jaya VI-C/66, RT/RW 006/001, Sememi, Benowo, Kota Surabaya</t>
  </si>
  <si>
    <t xml:space="preserve">085167692107</t>
  </si>
  <si>
    <t xml:space="preserve">NASYWA RAMADHANI</t>
  </si>
  <si>
    <t xml:space="preserve">22009597020</t>
  </si>
  <si>
    <t xml:space="preserve">3573014910050003</t>
  </si>
  <si>
    <t xml:space="preserve">Jl. Batu Amaril, RT/RW 004/004, Pandanwangi, Blimbing, Kota Malang</t>
  </si>
  <si>
    <t xml:space="preserve">SISKA RAHMAWATI</t>
  </si>
  <si>
    <t xml:space="preserve">28045897714</t>
  </si>
  <si>
    <t xml:space="preserve">3515184601070007</t>
  </si>
  <si>
    <t xml:space="preserve">Jl. Brigjen Katamso 4, RT/RW 029/006, Kedungrejo, Waru, Kab. Sidoarjo</t>
  </si>
  <si>
    <t xml:space="preserve">087840579749</t>
  </si>
  <si>
    <t xml:space="preserve">ZERRY NUR RIFA'I</t>
  </si>
  <si>
    <t xml:space="preserve">21042808367</t>
  </si>
  <si>
    <t xml:space="preserve">3524110301020001</t>
  </si>
  <si>
    <t xml:space="preserve">Berjo, RT/RW 006/003, Sumbersari, Sambeng, Kab. Lamongan</t>
  </si>
  <si>
    <t xml:space="preserve">0895-6060-58458</t>
  </si>
  <si>
    <t xml:space="preserve">PAHRUL RAMADHAN</t>
  </si>
  <si>
    <t xml:space="preserve">23055424534</t>
  </si>
  <si>
    <t xml:space="preserve">6171041011980013</t>
  </si>
  <si>
    <t xml:space="preserve">Dsn. Barat, RT/RW 000/000, Poter, Tanah Merah, Kab. Bangkalan</t>
  </si>
  <si>
    <t xml:space="preserve">ABDUL AZIZ</t>
  </si>
  <si>
    <t xml:space="preserve">21099004597</t>
  </si>
  <si>
    <t xml:space="preserve">3526030203010006</t>
  </si>
  <si>
    <t xml:space="preserve">Dsn. Alas Kembang, RT/RW 000/000, Alas Kembang, Burneh, Kab. Bangkalan</t>
  </si>
  <si>
    <t xml:space="preserve">BAIKUNI</t>
  </si>
  <si>
    <t xml:space="preserve">24042653179</t>
  </si>
  <si>
    <t xml:space="preserve">3526180404900006</t>
  </si>
  <si>
    <t xml:space="preserve">Dsn. Nakelleng, RT/RW 000/000, Lantek Timor, Galis, Kab. Bangkalan</t>
  </si>
  <si>
    <t xml:space="preserve">WAHYU HARIYANTO</t>
  </si>
  <si>
    <t xml:space="preserve">21013840497</t>
  </si>
  <si>
    <t xml:space="preserve">3520091108940002</t>
  </si>
  <si>
    <t xml:space="preserve">RT/RW 002/003, Tambakmas, Sukomoro, Kab. Magetan</t>
  </si>
  <si>
    <t xml:space="preserve">ERIK FIRMANSYAH</t>
  </si>
  <si>
    <t xml:space="preserve">27086708540</t>
  </si>
  <si>
    <t xml:space="preserve">3316060803030001</t>
  </si>
  <si>
    <t xml:space="preserve">Dukuh Trisinan, RT/RW 002/002, Giyanti, Sambong, Kab. Blora</t>
  </si>
  <si>
    <t xml:space="preserve">M. LUTFI ARIF SYAIFULLOH</t>
  </si>
  <si>
    <t xml:space="preserve">27007605531</t>
  </si>
  <si>
    <t xml:space="preserve">3506141912000001</t>
  </si>
  <si>
    <t xml:space="preserve">Pehkulon, RT/RW 002/001, Pehkulon, Papar, Kab. Kediri</t>
  </si>
  <si>
    <t xml:space="preserve">RYNALDI PUTRA WARDHANA</t>
  </si>
  <si>
    <t xml:space="preserve">29008875321</t>
  </si>
  <si>
    <t xml:space="preserve">3515151008010004</t>
  </si>
  <si>
    <t xml:space="preserve">Pandean, RT/RW 005/001, Banjarkemantren, Buduran, Kab. Sidoarjo</t>
  </si>
  <si>
    <t xml:space="preserve">WISNU ALWI PRAKOSO</t>
  </si>
  <si>
    <t xml:space="preserve">26005691980</t>
  </si>
  <si>
    <t xml:space="preserve">3515072804950004</t>
  </si>
  <si>
    <t xml:space="preserve">Perum Taman Delta Y-24, RT/RW 011/003, Kendalpecabean, Candi, Kab. Sidoarjo</t>
  </si>
  <si>
    <t xml:space="preserve">BAGUS TRI WIBOWO</t>
  </si>
  <si>
    <t xml:space="preserve">20067809205</t>
  </si>
  <si>
    <t xml:space="preserve">DRIVER PENGIRIMAN</t>
  </si>
  <si>
    <t xml:space="preserve">3515131505960003</t>
  </si>
  <si>
    <t xml:space="preserve">Megare, RT/RW 004/001, Ngelom, Taman, Kab. Sidoarjo</t>
  </si>
  <si>
    <t xml:space="preserve">SALSABILLA DAMAYU NUR PRANATA</t>
  </si>
  <si>
    <t xml:space="preserve">21018231476</t>
  </si>
  <si>
    <t xml:space="preserve">3578086603020005</t>
  </si>
  <si>
    <t xml:space="preserve">Griya Kebraon Utara 2 AB/8, RT/RW 006/009, Kebraon, Karang Pilang, Kota Surabaya</t>
  </si>
  <si>
    <t xml:space="preserve">RISMA HAMZAH ADITIYA</t>
  </si>
  <si>
    <t xml:space="preserve">25022950118</t>
  </si>
  <si>
    <t xml:space="preserve">Sosial media spesialist</t>
  </si>
  <si>
    <t xml:space="preserve">3507292606030003</t>
  </si>
  <si>
    <t xml:space="preserve">Umbulrejo, RT/RW 015/005, Sidodadi, Gedangan, Malang</t>
  </si>
  <si>
    <t xml:space="preserve">MOHAMMAD ANDI FAJAR</t>
  </si>
  <si>
    <t xml:space="preserve">26080347644</t>
  </si>
  <si>
    <t xml:space="preserve">3525070603020001</t>
  </si>
  <si>
    <t xml:space="preserve">Dusun Druju, RT/RW 006/010, Pangkah Kulon, Ujung Pangkah, Kab. Gresik</t>
  </si>
  <si>
    <t xml:space="preserve">083832101557</t>
  </si>
  <si>
    <t xml:space="preserve">27026490827</t>
  </si>
  <si>
    <t xml:space="preserve">QUALITY CONTROL</t>
  </si>
  <si>
    <t xml:space="preserve">3523142609000001</t>
  </si>
  <si>
    <t xml:space="preserve">Dsn. Banjarjo, RT/RW 006/002, Banjaragung, Rengel, Kab. Tuban</t>
  </si>
  <si>
    <t xml:space="preserve">ALIEF TRI IRVANSYAH</t>
  </si>
  <si>
    <t xml:space="preserve">27018129826</t>
  </si>
  <si>
    <t xml:space="preserve">3515070607020001</t>
  </si>
  <si>
    <t xml:space="preserve">Jl. Braja Laut, RT/RW 011/003, Klurak, Candi, Kab. Sidoarjo</t>
  </si>
  <si>
    <t xml:space="preserve">AHMAD MUTTAQIN</t>
  </si>
  <si>
    <t xml:space="preserve">26057027937</t>
  </si>
  <si>
    <t xml:space="preserve">3523113110980001</t>
  </si>
  <si>
    <t xml:space="preserve">Simo Krajan, RT/RW 006/002, Simo, Soko, Kab. Tuban</t>
  </si>
  <si>
    <t xml:space="preserve">SUCI NUGROHO</t>
  </si>
  <si>
    <t xml:space="preserve">21045211175</t>
  </si>
  <si>
    <t xml:space="preserve">3525141707710001</t>
  </si>
  <si>
    <t xml:space="preserve">Perum Griya Suci Permai Blok G7/04, RT/RW 010/008, Suci, Manyar, Kab. Gresik</t>
  </si>
  <si>
    <t xml:space="preserve">YAFI HAZAMY</t>
  </si>
  <si>
    <t xml:space="preserve">29071995252</t>
  </si>
  <si>
    <t xml:space="preserve">Jakarta Kampung Bandan</t>
  </si>
  <si>
    <t xml:space="preserve">HELPER GUDANG</t>
  </si>
  <si>
    <t xml:space="preserve">3175061007970011</t>
  </si>
  <si>
    <t xml:space="preserve">KP BARU KLENDER NO. 41 RT 016/RW 001 KEL. JATINEGARA KEC. CAKUNG, JAKARTA TIMUR</t>
  </si>
  <si>
    <t xml:space="preserve">AGUNG SAPUTRA TANJUNG</t>
  </si>
  <si>
    <t xml:space="preserve">27003211986</t>
  </si>
  <si>
    <t xml:space="preserve">3172041305020010</t>
  </si>
  <si>
    <t xml:space="preserve">Jl. Kalibaru Timur III, RT/RW 004/003, Kalibaru, Cilincing, Kota Jakarta Utara</t>
  </si>
  <si>
    <t xml:space="preserve">MUHAMAD ANDRIANSYAH</t>
  </si>
  <si>
    <t xml:space="preserve">25071528278</t>
  </si>
  <si>
    <t xml:space="preserve">3172041205020013</t>
  </si>
  <si>
    <t xml:space="preserve">Komplek Pelindo.II. D.2 /8, RT/RW 011/009, Cilincing, Cilincing, Kota Jakarta Utara</t>
  </si>
  <si>
    <t xml:space="preserve">FITO ARDIOLA TRI AZURI</t>
  </si>
  <si>
    <t xml:space="preserve">25044379464</t>
  </si>
  <si>
    <t xml:space="preserve">3172042805020002</t>
  </si>
  <si>
    <t xml:space="preserve">Jl. Baru. GG.II. Dlm. No.9, RT/RW 004/001, Cilincing, Cilincing, Kota Jakarta Utara</t>
  </si>
  <si>
    <t xml:space="preserve">JUAN RAHIM SILALAHI</t>
  </si>
  <si>
    <t xml:space="preserve">28032247561</t>
  </si>
  <si>
    <t xml:space="preserve">3172032507070002</t>
  </si>
  <si>
    <t xml:space="preserve">Kp Mangga No. 15, RT/RW 006/002, Tugu Selatan, Koja, Kota Jakarta Utara</t>
  </si>
  <si>
    <t xml:space="preserve">ADIT KURNIAWAN</t>
  </si>
  <si>
    <t xml:space="preserve">3515050109040001</t>
  </si>
  <si>
    <t xml:space="preserve">Panggreh, RT/RW 009/002, Panggreh, Jabon, Sidoarjo</t>
  </si>
  <si>
    <t xml:space="preserve">REGA EKI SYAHPUTRA</t>
  </si>
  <si>
    <t xml:space="preserve">24070441117</t>
  </si>
  <si>
    <t xml:space="preserve">3516081003000001</t>
  </si>
  <si>
    <t xml:space="preserve">Dsn. Gedang RT 03/RW 4 Modopuro Mojosari Mojokerto</t>
  </si>
  <si>
    <t xml:space="preserve">DICKY FEBRIANSYAH</t>
  </si>
  <si>
    <t xml:space="preserve">22050967389</t>
  </si>
  <si>
    <t xml:space="preserve">3522200802000002</t>
  </si>
  <si>
    <t xml:space="preserve">Tembeling RT 04/RW 01 Tembeling Kasiman Bojonegoro</t>
  </si>
  <si>
    <t xml:space="preserve">BAGUS TRI PRASETIYO</t>
  </si>
  <si>
    <t xml:space="preserve">3516061502060002</t>
  </si>
  <si>
    <t xml:space="preserve">NGATIJAN</t>
  </si>
  <si>
    <t xml:space="preserve">22017244198</t>
  </si>
  <si>
    <t xml:space="preserve">3522182006920003</t>
  </si>
  <si>
    <t xml:space="preserve">Ds. Jarorejo RT 03/ RW 05 Kerek Tuban</t>
  </si>
  <si>
    <t xml:space="preserve">WITONO</t>
  </si>
  <si>
    <t xml:space="preserve">27072680560</t>
  </si>
  <si>
    <t xml:space="preserve">3506201407850003</t>
  </si>
  <si>
    <t xml:space="preserve">Dsn. Templek RT 02/ RW 02 Sumber duren Tarokan Kediri</t>
  </si>
  <si>
    <t xml:space="preserve">DIDIK HADI WIJAYA</t>
  </si>
  <si>
    <t xml:space="preserve">24081527347</t>
  </si>
  <si>
    <t xml:space="preserve">3522182108880003</t>
  </si>
  <si>
    <t xml:space="preserve">Dsn Pelem RT 05/ RW 1 Pelem Purwosari Bojonegoro</t>
  </si>
  <si>
    <t xml:space="preserve">MAYA MARIA</t>
  </si>
  <si>
    <t xml:space="preserve">21029448340</t>
  </si>
  <si>
    <t xml:space="preserve">3578034901840001</t>
  </si>
  <si>
    <t xml:space="preserve">Rungkut Kidul GG. 3-MAJEMUK/3, RT/RW 004/003, Rungkut Kidul, Rungkut, Kota Surabaya</t>
  </si>
  <si>
    <t xml:space="preserve">081230112212</t>
  </si>
  <si>
    <t xml:space="preserve">SANDRA SULAU SELASIA LUKAS</t>
  </si>
  <si>
    <t xml:space="preserve">6406116112990001</t>
  </si>
  <si>
    <t xml:space="preserve">Long Alango, RT/RW 002/000, Long Alango, Bahau Hulu, Malinau</t>
  </si>
  <si>
    <t xml:space="preserve">ERIYANTO</t>
  </si>
  <si>
    <t xml:space="preserve">26055819476</t>
  </si>
  <si>
    <t xml:space="preserve">3518060405840010</t>
  </si>
  <si>
    <t xml:space="preserve">Jln. Gajahmada Dsn Sonosari RT 03/RW 02 Jetis Mojokerto</t>
  </si>
  <si>
    <t xml:space="preserve">WAHYU PRAMBUDI</t>
  </si>
  <si>
    <t xml:space="preserve">28087105128</t>
  </si>
  <si>
    <t xml:space="preserve">3520091108940001</t>
  </si>
  <si>
    <t xml:space="preserve">Tambakmas, RT/RW 002/003, Tambakmas, Sukomoro, Kab. Magetan</t>
  </si>
  <si>
    <t xml:space="preserve">MUHAMMAD PANDU ERLANGGA</t>
  </si>
  <si>
    <t xml:space="preserve">0003624092998</t>
  </si>
  <si>
    <t xml:space="preserve">3505091601060002</t>
  </si>
  <si>
    <t xml:space="preserve">Dsn Sumbersari, RT/RW 001/008, Sumbersari, Nglegok, Blitar</t>
  </si>
  <si>
    <t xml:space="preserve">MULLIKAH</t>
  </si>
  <si>
    <t xml:space="preserve">0003102325683</t>
  </si>
  <si>
    <t xml:space="preserve">3509084203020004</t>
  </si>
  <si>
    <t xml:space="preserve">Dusun Krajan RT/RW 003/003 Bagon, Puger, Jember</t>
  </si>
  <si>
    <t xml:space="preserve">MUNDIR ASMORO</t>
  </si>
  <si>
    <t xml:space="preserve">0000723819429</t>
  </si>
  <si>
    <t xml:space="preserve">3515161506980007</t>
  </si>
  <si>
    <t xml:space="preserve">Jl. R. Kosim RT/RW 001/001 Gemurung, Gedangan, Sidoarjo</t>
  </si>
  <si>
    <t xml:space="preserve">NADIA OKTARISA PUTRI</t>
  </si>
  <si>
    <t xml:space="preserve">0002887081828</t>
  </si>
  <si>
    <t xml:space="preserve">3515074310020002</t>
  </si>
  <si>
    <t xml:space="preserve">Karang Tanjung RT/RW 011/003 Karang Tanjung, Candi, Sidoarjo</t>
  </si>
  <si>
    <t xml:space="preserve">NADIAR SYAHRANI EFFENDY</t>
  </si>
  <si>
    <t xml:space="preserve">3575014307020004</t>
  </si>
  <si>
    <t xml:space="preserve">Jl. Hasanudin 1 Rt02/Rw05 Karanganyar, Panggungrejo</t>
  </si>
  <si>
    <t xml:space="preserve">NAJAH MARZUQHAH</t>
  </si>
  <si>
    <t xml:space="preserve">20074305095</t>
  </si>
  <si>
    <t xml:space="preserve">7315046508050007</t>
  </si>
  <si>
    <t xml:space="preserve">Jl. Kakatua LR. 1, RT/RW 005/005, Jaya, Watang Sawitto, Kab. Pinrang</t>
  </si>
  <si>
    <t xml:space="preserve">NATASYA PRATIWI INDRA RISTA</t>
  </si>
  <si>
    <t xml:space="preserve">0002736032578</t>
  </si>
  <si>
    <t xml:space="preserve">3515186104010003</t>
  </si>
  <si>
    <t xml:space="preserve">Jl. Jend. S. Parman 6B/18A RT 01 RW 13 Waru</t>
  </si>
  <si>
    <t xml:space="preserve">DINDA CORNELYA TRINEETA</t>
  </si>
  <si>
    <t xml:space="preserve">24098311541</t>
  </si>
  <si>
    <t xml:space="preserve">3515036812040001</t>
  </si>
  <si>
    <t xml:space="preserve">Margorukun Rt/Rw : 011/06 Desa Rejeni Kec Krembung</t>
  </si>
  <si>
    <t xml:space="preserve">NIKEN AYU LARASATI</t>
  </si>
  <si>
    <t xml:space="preserve">3508064606020003</t>
  </si>
  <si>
    <t xml:space="preserve">Dsn. Karanganyar, Rt/Rw 001/004, Kabuaran, Kunir, Lumajang</t>
  </si>
  <si>
    <t xml:space="preserve">NIRMALA DYAH PITALOKA</t>
  </si>
  <si>
    <t xml:space="preserve">21086892686</t>
  </si>
  <si>
    <t xml:space="preserve">3515165801050003</t>
  </si>
  <si>
    <t xml:space="preserve">Jl. Kramat 2, RT/RW 006/003, Ganting, Gedangan, Kab. Sidoarjo</t>
  </si>
  <si>
    <t xml:space="preserve">NOR KOMARIAH</t>
  </si>
  <si>
    <t xml:space="preserve">3515186012000006</t>
  </si>
  <si>
    <t xml:space="preserve">Jl. Ikan Oscar L-2/2 Rt/Rw 006/005 Tambak Rejo, Waru, Sidoarjo</t>
  </si>
  <si>
    <t xml:space="preserve">NOVA FATMAWATI</t>
  </si>
  <si>
    <t xml:space="preserve">3515024511950001</t>
  </si>
  <si>
    <t xml:space="preserve">Bancang, Rt/Rw 011/003, Jati Alun Alun, Prambon, Sidoarjo</t>
  </si>
  <si>
    <t xml:space="preserve">LAILATUL MAGFIROH</t>
  </si>
  <si>
    <t xml:space="preserve">28081735409</t>
  </si>
  <si>
    <t xml:space="preserve">3506216102980001</t>
  </si>
  <si>
    <t xml:space="preserve">Dsn Besuk Rt/Rw : 001/001 Kel Juwet Kec Kunjang</t>
  </si>
  <si>
    <t xml:space="preserve">NOVITA NUR AYUNDA</t>
  </si>
  <si>
    <t xml:space="preserve">3517216807030001</t>
  </si>
  <si>
    <t xml:space="preserve">Dsn. Kemuning Rt/Rw.003/001 Ketapangkuning, Ngusikan, Jombang</t>
  </si>
  <si>
    <t xml:space="preserve">NOVITA SHINTIA DESIANI</t>
  </si>
  <si>
    <t xml:space="preserve">23013664958</t>
  </si>
  <si>
    <t xml:space="preserve">3517085812990005</t>
  </si>
  <si>
    <t xml:space="preserve">Tawang Sari Barat Rt/Rw : 012/003 Kel Tawangsari Kec Taman</t>
  </si>
  <si>
    <t xml:space="preserve">NUNGKI RATNA SARI</t>
  </si>
  <si>
    <t xml:space="preserve">3515164801950001</t>
  </si>
  <si>
    <t xml:space="preserve">Magersari Rt/Rw 001/006 Gedangan, Sidoarjo</t>
  </si>
  <si>
    <t xml:space="preserve">NUR AMALA</t>
  </si>
  <si>
    <t xml:space="preserve">25085308917</t>
  </si>
  <si>
    <t xml:space="preserve">3578266410050001</t>
  </si>
  <si>
    <t xml:space="preserve">Labansari Utara 2/25-B Sby, RT/RW 001/005, Dukuh Sutorejo, Mulyorejo, Surabaya</t>
  </si>
  <si>
    <t xml:space="preserve">NUR HENY GINA AULIYAH</t>
  </si>
  <si>
    <t xml:space="preserve">20025922220</t>
  </si>
  <si>
    <t xml:space="preserve">3515134711040003</t>
  </si>
  <si>
    <t xml:space="preserve">Tanjunganom, RT/RW 003/005, Tanjungsari, Taman, Kab. Sidoarjo</t>
  </si>
  <si>
    <t xml:space="preserve">NUR KHOLYSA SARI</t>
  </si>
  <si>
    <t xml:space="preserve">26044742123</t>
  </si>
  <si>
    <t xml:space="preserve">3575035208070003</t>
  </si>
  <si>
    <t xml:space="preserve">Menanggal 5/34, RT/RW 001/003, Menanggal, Gayungan, Kota Surabaya</t>
  </si>
  <si>
    <t xml:space="preserve">NUR ROKHMATUN NABILLA</t>
  </si>
  <si>
    <t xml:space="preserve">3515174910050001</t>
  </si>
  <si>
    <t xml:space="preserve">Jl. Yai Darib Tengah, RT/RW 011/003, Kalanganyar, Sedati, Sidoarjo</t>
  </si>
  <si>
    <t xml:space="preserve">NURUL ALIMATUZ MAHMUDAH</t>
  </si>
  <si>
    <t xml:space="preserve">3515135212990005</t>
  </si>
  <si>
    <t xml:space="preserve">Jl. Mas Thoyib Bohar Rtrw 005/003 Bohar, Taman, Sidoarjo</t>
  </si>
  <si>
    <t xml:space="preserve">NURUL AMALIAH</t>
  </si>
  <si>
    <t xml:space="preserve">3518056211970002</t>
  </si>
  <si>
    <t xml:space="preserve">Gondang Rt/Rw 011/004 Gondang, Pace, Nganjuk</t>
  </si>
  <si>
    <t xml:space="preserve">NURUL IZZA</t>
  </si>
  <si>
    <t xml:space="preserve">3515135107000007</t>
  </si>
  <si>
    <t xml:space="preserve">Bohar Timur Rt/Rw 010/006 Bohar, Taman, Sidoarjo</t>
  </si>
  <si>
    <t xml:space="preserve">NURUL MAHMUDAH</t>
  </si>
  <si>
    <t xml:space="preserve">0001162000449</t>
  </si>
  <si>
    <t xml:space="preserve">FAA - Admin</t>
  </si>
  <si>
    <t xml:space="preserve">3515146807990004</t>
  </si>
  <si>
    <t xml:space="preserve">Klopo Sepuluh, RT/RW 005/001, Klopo Sepuluh, Sukodono, Sidoarjo</t>
  </si>
  <si>
    <t xml:space="preserve">NURVIA SAUDAH</t>
  </si>
  <si>
    <t xml:space="preserve">3515184201960007</t>
  </si>
  <si>
    <t xml:space="preserve">Dukuh Ngigas Rt/Rw 015/005 Ngigas, Waru, Sidoarjo</t>
  </si>
  <si>
    <t xml:space="preserve">OCTA KARINA DWI SULISTYORINI</t>
  </si>
  <si>
    <t xml:space="preserve">21035870393</t>
  </si>
  <si>
    <t xml:space="preserve">3515186810020003</t>
  </si>
  <si>
    <t xml:space="preserve">Jl. Kenongosari, RT/RW 003/002, Pepelegi, Waru, Kabupaten Sidoarjo,</t>
  </si>
  <si>
    <t xml:space="preserve">OKTA HENDRIAN FEBRIYANTO</t>
  </si>
  <si>
    <t xml:space="preserve">3515132010980005</t>
  </si>
  <si>
    <t xml:space="preserve">Taman Ii/4 Rt/Rw 010/002 Taman, Taman, Sidoarjo</t>
  </si>
  <si>
    <t xml:space="preserve">OKTAVIA PUTRI LESTARI</t>
  </si>
  <si>
    <t xml:space="preserve">20058882252</t>
  </si>
  <si>
    <t xml:space="preserve">3503014210060001</t>
  </si>
  <si>
    <t xml:space="preserve">Dusun Karangtengah, RT/RW 046/001, Karangtengah, Panggul, Kab. Trenggalek</t>
  </si>
  <si>
    <t xml:space="preserve">OKKY NABELA</t>
  </si>
  <si>
    <t xml:space="preserve">25038782515</t>
  </si>
  <si>
    <t xml:space="preserve">3523174610000003</t>
  </si>
  <si>
    <t xml:space="preserve">Dsn Centung Rt/Rw : 16 /008 Kel Karangdayu Kec Baureno</t>
  </si>
  <si>
    <t xml:space="preserve">PATRA EKA FITRIANTO</t>
  </si>
  <si>
    <t xml:space="preserve">3515131712010005</t>
  </si>
  <si>
    <t xml:space="preserve">Jemudo, Rt/Rw 013/003, Jemundo, Taman, Sidoarjo</t>
  </si>
  <si>
    <t xml:space="preserve">PUJI ASTUTIK</t>
  </si>
  <si>
    <t xml:space="preserve">3517174404030001</t>
  </si>
  <si>
    <t xml:space="preserve">Sumber Gurit Rt/Rw 002/001 Katemas, Kudu, Jombang</t>
  </si>
  <si>
    <t xml:space="preserve">PUSPA WIDI ASTUTIK</t>
  </si>
  <si>
    <t xml:space="preserve">3506214409920001</t>
  </si>
  <si>
    <t xml:space="preserve">Dsn. Kunjang Kidul Rt/Rw 003/002 Kunjang, Kunjang, Sidoarjo</t>
  </si>
  <si>
    <t xml:space="preserve">PUTRA ADI KARYANTO</t>
  </si>
  <si>
    <t xml:space="preserve">0002929036116</t>
  </si>
  <si>
    <t xml:space="preserve">3515181408990007</t>
  </si>
  <si>
    <t xml:space="preserve">Jl. R Patah 3 RT/RW 009/003 Medaeng, Waru, Sidoarjo</t>
  </si>
  <si>
    <t xml:space="preserve">PUTRI AVRILIA</t>
  </si>
  <si>
    <t xml:space="preserve">27034780007</t>
  </si>
  <si>
    <t xml:space="preserve">3515146801020000</t>
  </si>
  <si>
    <t xml:space="preserve">Klagen Rt/Rw : 006/002 Sukodono</t>
  </si>
  <si>
    <t xml:space="preserve">PUTRI ENDAH ISMIATI</t>
  </si>
  <si>
    <t xml:space="preserve">20094077780</t>
  </si>
  <si>
    <t xml:space="preserve">3515184612000008</t>
  </si>
  <si>
    <t xml:space="preserve">Kedungrejo Timur 33 Rt/Rw 005/001 Kedungrejo, Waru, Sidoarjo</t>
  </si>
  <si>
    <t xml:space="preserve">PUTRI WAHYU NOVITASARI</t>
  </si>
  <si>
    <t xml:space="preserve">29073397767</t>
  </si>
  <si>
    <t xml:space="preserve">3515166011040004</t>
  </si>
  <si>
    <t xml:space="preserve">Keboan Anom, RT/RW 002/002, Keboan Anom, Gedangan, Kab. Sidoarjo</t>
  </si>
  <si>
    <t xml:space="preserve">RACHMAUDINA ALKANSYAH</t>
  </si>
  <si>
    <t xml:space="preserve">0003615877574</t>
  </si>
  <si>
    <t xml:space="preserve">3518096103000004</t>
  </si>
  <si>
    <t xml:space="preserve">Dsn Jenar, RT/RW 003/001, Ngepung, Patianrowo, Nganjuk</t>
  </si>
  <si>
    <t xml:space="preserve">RAHMAT WAHYU ARIS</t>
  </si>
  <si>
    <t xml:space="preserve">21099038498</t>
  </si>
  <si>
    <t xml:space="preserve">3523021501000001</t>
  </si>
  <si>
    <t xml:space="preserve">Dsn. Krajan Rt/Rw 003/007 Paseyan, Jatorogo, Tuban</t>
  </si>
  <si>
    <t xml:space="preserve">RANI KURNIA DEVI</t>
  </si>
  <si>
    <t xml:space="preserve">23002205020</t>
  </si>
  <si>
    <t xml:space="preserve">3522106706970002</t>
  </si>
  <si>
    <t xml:space="preserve">Dsn. Jaan Rt 11 Rw 03 Tulungagung, Baureno, Bojonegoro</t>
  </si>
  <si>
    <t xml:space="preserve">RARA AYU NINGSIH</t>
  </si>
  <si>
    <t xml:space="preserve">29094510162</t>
  </si>
  <si>
    <t xml:space="preserve">3515164104970003</t>
  </si>
  <si>
    <t xml:space="preserve">Jl. Melati Rt/Rw 005/003 Ganting, Gedangan, Sidoarjo</t>
  </si>
  <si>
    <t xml:space="preserve">RENA JULIA RAHMA</t>
  </si>
  <si>
    <t xml:space="preserve">22049998279</t>
  </si>
  <si>
    <t xml:space="preserve">3518186207020001</t>
  </si>
  <si>
    <t xml:space="preserve">Dsn Ngluyu Ii, Rt/Rw 012/003, Ngluyu, Ngluyu, Nganjuk</t>
  </si>
  <si>
    <t xml:space="preserve">RENNA MUSTIKA</t>
  </si>
  <si>
    <t xml:space="preserve">25001455616</t>
  </si>
  <si>
    <t xml:space="preserve">3571025811020002</t>
  </si>
  <si>
    <t xml:space="preserve">Jl. Ronggowarsito 23D Rt/Rw 005/001 Pocanan, Kediri</t>
  </si>
  <si>
    <t xml:space="preserve">RETNO BYANINGTYAS</t>
  </si>
  <si>
    <t xml:space="preserve">28014721458</t>
  </si>
  <si>
    <t xml:space="preserve">3515186203980007</t>
  </si>
  <si>
    <t xml:space="preserve">Jl. Kol. Sugiono Rt/Rw 004/001 Ngigas, Waru, Sidoarjo</t>
  </si>
  <si>
    <t xml:space="preserve">REZA AYU SETYOWATI</t>
  </si>
  <si>
    <t xml:space="preserve">26083390198</t>
  </si>
  <si>
    <t xml:space="preserve">3515065508020003</t>
  </si>
  <si>
    <t xml:space="preserve">Ds.Beji Rt/Rw 008/002 Banjarsari, Buduran, Sidoarjo</t>
  </si>
  <si>
    <t xml:space="preserve">RIDHO ADAM PRATAMA</t>
  </si>
  <si>
    <t xml:space="preserve">0003070991226</t>
  </si>
  <si>
    <t xml:space="preserve">3515142705050003</t>
  </si>
  <si>
    <t xml:space="preserve">RIKA PURWANTI</t>
  </si>
  <si>
    <t xml:space="preserve">21079469548</t>
  </si>
  <si>
    <t xml:space="preserve">3515146806000005</t>
  </si>
  <si>
    <t xml:space="preserve">Dsn. Prumpon, RT/RW 009/002, Suruh, Sukodono, Kab. Sidoarjo</t>
  </si>
  <si>
    <t xml:space="preserve">SITI NUR AZIZA</t>
  </si>
  <si>
    <t xml:space="preserve">29095299787</t>
  </si>
  <si>
    <t xml:space="preserve">3515084303050001</t>
  </si>
  <si>
    <t xml:space="preserve">Lemah Putro 3/4 Rt/Rw : 22/04 Kel Lemahputro Kec Sidoarjo</t>
  </si>
  <si>
    <t xml:space="preserve">AHMAD RIZKY SAFRUDIN</t>
  </si>
  <si>
    <t xml:space="preserve">27029343010</t>
  </si>
  <si>
    <t xml:space="preserve">3517192808020002</t>
  </si>
  <si>
    <t xml:space="preserve">Dsn. Gerbong, RT/RW 004/004, Sambirejo, Jogoroto, Kab. Jombang</t>
  </si>
  <si>
    <t xml:space="preserve">0881036811134</t>
  </si>
  <si>
    <t xml:space="preserve">FASISKA CINDY ARDYANA</t>
  </si>
  <si>
    <t xml:space="preserve">0000723390557</t>
  </si>
  <si>
    <t xml:space="preserve">3516057008040003</t>
  </si>
  <si>
    <t xml:space="preserve">Kutogirang, RT/RW 003/003, Kutogirang, Ngoro, Mojokerto</t>
  </si>
  <si>
    <t xml:space="preserve">NENI TRI PUTRI AMBARWATI</t>
  </si>
  <si>
    <t xml:space="preserve">0002000292726</t>
  </si>
  <si>
    <t xml:space="preserve">3516055511050003</t>
  </si>
  <si>
    <t xml:space="preserve">Kesemen, RT/RW 005/001, Kesemen, Ngoro, Mojokerto</t>
  </si>
  <si>
    <t xml:space="preserve">UMMAMA FADILAH YULIANI</t>
  </si>
  <si>
    <t xml:space="preserve">0003409742711</t>
  </si>
  <si>
    <t xml:space="preserve">3509134807040001</t>
  </si>
  <si>
    <t xml:space="preserve">Dusun Curah Ancar, RT/RW 003/008,Rambipuji, Rambipuji, Jember</t>
  </si>
  <si>
    <t xml:space="preserve">SATRIO BIMANTORO</t>
  </si>
  <si>
    <t xml:space="preserve">0001385097535</t>
  </si>
  <si>
    <t xml:space="preserve">3576022810020003</t>
  </si>
  <si>
    <t xml:space="preserve">Jl. Rajekwesi IX/4, RT/RW 003/007, Wates, Magersari, Mojokerto</t>
  </si>
  <si>
    <t xml:space="preserve">SICILIA MAMONTO</t>
  </si>
  <si>
    <t xml:space="preserve">25019256518</t>
  </si>
  <si>
    <t xml:space="preserve">7101195512040301</t>
  </si>
  <si>
    <t xml:space="preserve">MUNTOI TIMUR</t>
  </si>
  <si>
    <t xml:space="preserve">DUSUN II, RT 000/000, MUNTOI TIMUR, PASSI BARAT, KAB. BOLAANG MONGONDOW</t>
  </si>
  <si>
    <t xml:space="preserve">082187450945</t>
  </si>
  <si>
    <t xml:space="preserve">SILA SANTI</t>
  </si>
  <si>
    <t xml:space="preserve">0000641272825</t>
  </si>
  <si>
    <t xml:space="preserve">3372056001880002</t>
  </si>
  <si>
    <t xml:space="preserve">Cengklik RT/RW 003/019, Nusukan, Banjarsari, Surakarta</t>
  </si>
  <si>
    <t xml:space="preserve">SINDI ZULIYANA</t>
  </si>
  <si>
    <t xml:space="preserve">27013966055</t>
  </si>
  <si>
    <t xml:space="preserve">1471106012030063</t>
  </si>
  <si>
    <t xml:space="preserve">Jl. Hangtuah Ujung Gg. Saudara, RT/RW 001/009, Bencana Lesung, Tenayan Raya, Kota Pekanbaru</t>
  </si>
  <si>
    <t xml:space="preserve">SITI AISA</t>
  </si>
  <si>
    <t xml:space="preserve">0002907117922</t>
  </si>
  <si>
    <t xml:space="preserve">1271024209940004</t>
  </si>
  <si>
    <t xml:space="preserve">Jl. TB Simatupang Gg Pendidikan No 20 LK 12, RT/RW 027/008, Lalang, Medan Sunggal, Medan</t>
  </si>
  <si>
    <t xml:space="preserve">BULAN PERMATA SARI</t>
  </si>
  <si>
    <t xml:space="preserve">23078784872</t>
  </si>
  <si>
    <t xml:space="preserve">6302064701020010</t>
  </si>
  <si>
    <t xml:space="preserve">Kotabaru</t>
  </si>
  <si>
    <t xml:space="preserve">Jl. Batusilira Gg. Malioboro, RT/RW 009/004, Hilir Muara, Pulau Laut Sigam, Kab. Kotabaru</t>
  </si>
  <si>
    <t xml:space="preserve">NADIA OKTAFIANI</t>
  </si>
  <si>
    <t xml:space="preserve">23028816600</t>
  </si>
  <si>
    <t xml:space="preserve">1871034910020013</t>
  </si>
  <si>
    <t xml:space="preserve">Pr. Griya Asri Blok E No. 19 LK, RT/RW 005/000, Segala Mider, Tanjungkarang Barat, Kota Bandar Lampung</t>
  </si>
  <si>
    <t xml:space="preserve">BUDI IRWANTO</t>
  </si>
  <si>
    <t xml:space="preserve">26020824861</t>
  </si>
  <si>
    <t xml:space="preserve">Kepala Gudang</t>
  </si>
  <si>
    <t xml:space="preserve">3519090909890002</t>
  </si>
  <si>
    <t xml:space="preserve">Jl. Ikan Gurami VII/39A, RT/RW 005/006, Tunjungsekar, Lowokwaru, Kota Malang</t>
  </si>
  <si>
    <t xml:space="preserve">ASBY MAYU</t>
  </si>
  <si>
    <t xml:space="preserve">PT NIPSEA PAINT AND CHEMICALS (BANJAR BARU)</t>
  </si>
  <si>
    <t xml:space="preserve">PENDING</t>
  </si>
  <si>
    <t xml:space="preserve">28030344144</t>
  </si>
  <si>
    <t xml:space="preserve">Banjar Baru</t>
  </si>
  <si>
    <t xml:space="preserve">6204062308940001</t>
  </si>
  <si>
    <t xml:space="preserve">Baru</t>
  </si>
  <si>
    <t xml:space="preserve">Jl. Tembikar Kanan Komplek Padilah Perdana 5 Blok B1 No.0, RT/RW 011/002, Simpang Empat, Kertak Hanyar, Kab. Banjar</t>
  </si>
  <si>
    <t xml:space="preserve">EDY SISWANTO</t>
  </si>
  <si>
    <t xml:space="preserve">28085015569</t>
  </si>
  <si>
    <t xml:space="preserve">6371031007810004</t>
  </si>
  <si>
    <t xml:space="preserve">Komp. Ramania Tahap VII Blok B No 52, RT/RW 029/006, Syamsudin Noor, Landasan Ulin, Kota Banjarbaru</t>
  </si>
  <si>
    <t xml:space="preserve">HARMIDIN</t>
  </si>
  <si>
    <t xml:space="preserve">29002355770</t>
  </si>
  <si>
    <t xml:space="preserve">6203011212930009</t>
  </si>
  <si>
    <t xml:space="preserve">Jl. Mahakam GG. BARU No. 50, RT/RW 007/002, Selat Hulu, Selat, Kab. Kapuas</t>
  </si>
  <si>
    <t xml:space="preserve">MAJEDINOR</t>
  </si>
  <si>
    <t xml:space="preserve">22072785760</t>
  </si>
  <si>
    <t xml:space="preserve">6306011001910001</t>
  </si>
  <si>
    <t xml:space="preserve">Barukat</t>
  </si>
  <si>
    <t xml:space="preserve">Jl. Kurungan, RT/RW 004/002, Bumi Berkat, Sungai Raya, Kab. Hulu Sungai Selatan</t>
  </si>
  <si>
    <t xml:space="preserve">JARKASI</t>
  </si>
  <si>
    <t xml:space="preserve">28049588039</t>
  </si>
  <si>
    <t xml:space="preserve">6472040906710002</t>
  </si>
  <si>
    <t xml:space="preserve">Pemangkih</t>
  </si>
  <si>
    <t xml:space="preserve">Jl. Pulau Tarakan Bandung Raya, RT/RW 031, Mugirejo, Sungai Pinang, Kota Samarinda</t>
  </si>
  <si>
    <t xml:space="preserve">ANNA BERLIANA ROHANA</t>
  </si>
  <si>
    <t xml:space="preserve">25051240568</t>
  </si>
  <si>
    <t xml:space="preserve">6310064408940004</t>
  </si>
  <si>
    <t xml:space="preserve">Tanah Grogot</t>
  </si>
  <si>
    <t xml:space="preserve">Rejo Winangun, RT/RW 008/004, Rejowinangun, Karang Bintang, Kab. Tanah Bumbu</t>
  </si>
  <si>
    <t xml:space="preserve">MUHAMMAD NOVAL</t>
  </si>
  <si>
    <t xml:space="preserve">22099629145</t>
  </si>
  <si>
    <t xml:space="preserve">6371052811000006</t>
  </si>
  <si>
    <t xml:space="preserve">Jl. Sutoyos. Komp Damai No 6, RT/RW 015/001, Teluk Dalam, Banjarmasin Tengah, Kota Banjarmasin</t>
  </si>
  <si>
    <t xml:space="preserve">NOVIA HANDAYANI</t>
  </si>
  <si>
    <t xml:space="preserve">20046173574</t>
  </si>
  <si>
    <t xml:space="preserve">6310094211950002</t>
  </si>
  <si>
    <t xml:space="preserve">Jl. Wiramartas GG. 27 JUNI, RT/RW 007/002, Kotabaru Hulu, Pulaulaut Utara, Kab. Kotabaru</t>
  </si>
  <si>
    <t xml:space="preserve">ANGELINE JENNYFER WONGSO</t>
  </si>
  <si>
    <t xml:space="preserve">23084215031</t>
  </si>
  <si>
    <t xml:space="preserve">6371024301030005</t>
  </si>
  <si>
    <t xml:space="preserve">Jl. Kayu Balau No. 39 KOMP. BIP, RT/RW 017/002, Pemurus Dalam, Banjarmasin Selatan, Kota Banjarmasin</t>
  </si>
  <si>
    <t xml:space="preserve">SADIK</t>
  </si>
  <si>
    <t xml:space="preserve">27080782357</t>
  </si>
  <si>
    <t xml:space="preserve">6308050705960008</t>
  </si>
  <si>
    <t xml:space="preserve">Jl. Veteran, RT/RW 003/000, Jumba, Amuntai Selatan, Kab. Hulu Sungai Utara</t>
  </si>
  <si>
    <t xml:space="preserve">SHOLIKHIN</t>
  </si>
  <si>
    <t xml:space="preserve">28045218230</t>
  </si>
  <si>
    <t xml:space="preserve">3525020104000003</t>
  </si>
  <si>
    <t xml:space="preserve">Gadel, RT/RW 013/006, Pacuh, Balongpanggang, Kab. Gresik</t>
  </si>
  <si>
    <t xml:space="preserve">0882009574631</t>
  </si>
  <si>
    <t xml:space="preserve">SITI AISYAH</t>
  </si>
  <si>
    <t xml:space="preserve">0002524065131</t>
  </si>
  <si>
    <t xml:space="preserve">6471034712040004</t>
  </si>
  <si>
    <t xml:space="preserve">Jl. Gunung Empat No.06, RT/RW 046/000, Margo Mulyo, Balikpapan Barat, Balikpapan</t>
  </si>
  <si>
    <t xml:space="preserve">MEI INDRYANANTA</t>
  </si>
  <si>
    <t xml:space="preserve">0003257918256</t>
  </si>
  <si>
    <t xml:space="preserve">3507204905030001</t>
  </si>
  <si>
    <t xml:space="preserve">Sembon Rekesan RT 001 RW 007 Ngajum, Malang</t>
  </si>
  <si>
    <t xml:space="preserve">NINA AULYA WIBOWO</t>
  </si>
  <si>
    <t xml:space="preserve">27068104091</t>
  </si>
  <si>
    <t xml:space="preserve">ADMIN HSE</t>
  </si>
  <si>
    <t xml:space="preserve">3515145705030002</t>
  </si>
  <si>
    <t xml:space="preserve">Taman Aloha E3-6, RT/RW 039/009, Suko, Sukodono, Kab. Sidoarjo</t>
  </si>
  <si>
    <t xml:space="preserve">081331854272</t>
  </si>
  <si>
    <t xml:space="preserve">DWI PUSPITASARI</t>
  </si>
  <si>
    <t xml:space="preserve">25070184094</t>
  </si>
  <si>
    <t xml:space="preserve">3578085407000003</t>
  </si>
  <si>
    <t xml:space="preserve">Mojo Kidul 103, RT/RW 002/005, Mojo, Gubeng, Kota Surabaya</t>
  </si>
  <si>
    <t xml:space="preserve">0859106953075</t>
  </si>
  <si>
    <t xml:space="preserve">RISKY DWI PUTRI</t>
  </si>
  <si>
    <t xml:space="preserve">23053344857</t>
  </si>
  <si>
    <t xml:space="preserve">3517036201000004</t>
  </si>
  <si>
    <t xml:space="preserve">Dsn.Ganjul Rt/Rw 001/001 Kertorejo, Ngoro, Jombang</t>
  </si>
  <si>
    <t xml:space="preserve">RISMAWATI UMAMAH</t>
  </si>
  <si>
    <t xml:space="preserve">21042241098</t>
  </si>
  <si>
    <t xml:space="preserve">3175036304021001</t>
  </si>
  <si>
    <t xml:space="preserve">Dsn. Prompong Rt/Rw 001/006 Pesanggrahan, Kwanyar, Bangkalan</t>
  </si>
  <si>
    <t xml:space="preserve">RIYANTI</t>
  </si>
  <si>
    <t xml:space="preserve">0000166761832</t>
  </si>
  <si>
    <t xml:space="preserve">3518096806950001</t>
  </si>
  <si>
    <t xml:space="preserve">Kasreman 097 RT/RW 005/001 Balerejo, Balerejo, Madiun</t>
  </si>
  <si>
    <t xml:space="preserve">RIZKY AYU LESTARI</t>
  </si>
  <si>
    <t xml:space="preserve">28013858542</t>
  </si>
  <si>
    <t xml:space="preserve">3515164309990006</t>
  </si>
  <si>
    <t xml:space="preserve">Jl. Singojoyo V Rt/Rw 019/003 Bangah, Gedangan, Sidoarjo</t>
  </si>
  <si>
    <t xml:space="preserve">IRFAN YULIANTO</t>
  </si>
  <si>
    <t xml:space="preserve">24093214958</t>
  </si>
  <si>
    <t xml:space="preserve">3315170503070003</t>
  </si>
  <si>
    <t xml:space="preserve">Dusun Nangkluk, RT/RW 004/005, Glapan, Grobogan, Kab. Grobogan</t>
  </si>
  <si>
    <t xml:space="preserve">MARETA ALMA REGINA HERMAWAN</t>
  </si>
  <si>
    <t xml:space="preserve">27002070160</t>
  </si>
  <si>
    <t xml:space="preserve">3578135903020001</t>
  </si>
  <si>
    <t xml:space="preserve">Jl. Kalibutuh 2-A/10-C, RT/RW 004/007, Tembok Dukuh, Bubutan, Kota Surabaya</t>
  </si>
  <si>
    <t xml:space="preserve">NABILA ALFINA PUTRI</t>
  </si>
  <si>
    <t xml:space="preserve">21066299795</t>
  </si>
  <si>
    <t xml:space="preserve">3518135507010002</t>
  </si>
  <si>
    <t xml:space="preserve">Jl. Semeru, RT/RW 013/005, Tanjungrejo, Loceret, Kab. Nganjuk</t>
  </si>
  <si>
    <t xml:space="preserve">CIPTO HARDI WARDOYO</t>
  </si>
  <si>
    <t xml:space="preserve">24053817921</t>
  </si>
  <si>
    <t xml:space="preserve">3515070307050005</t>
  </si>
  <si>
    <t xml:space="preserve">Jl. Ababil No. 32, RT/RW 014/004, Larangan, Candi, Kab. Sidoarjo</t>
  </si>
  <si>
    <t xml:space="preserve">081617433433</t>
  </si>
  <si>
    <t xml:space="preserve">HERI JULIANTO</t>
  </si>
  <si>
    <t xml:space="preserve">27017477332</t>
  </si>
  <si>
    <t xml:space="preserve">3578172907000001</t>
  </si>
  <si>
    <t xml:space="preserve">Ngingas, RT/RW 003/001, Kembangan, Sukomoro, Kab. Magetan</t>
  </si>
  <si>
    <t xml:space="preserve">089514587563</t>
  </si>
  <si>
    <t xml:space="preserve">M.YUSUF</t>
  </si>
  <si>
    <t xml:space="preserve">29045625577</t>
  </si>
  <si>
    <t xml:space="preserve">3578011402030001</t>
  </si>
  <si>
    <t xml:space="preserve">Gang Kutilang, RT/RW 005/002, Karangpilang, Karang Pilang, Kota Surabaya</t>
  </si>
  <si>
    <t xml:space="preserve">ROIS</t>
  </si>
  <si>
    <t xml:space="preserve">0002093359127</t>
  </si>
  <si>
    <t xml:space="preserve">Gudang Jadi - Admin Stocker</t>
  </si>
  <si>
    <t xml:space="preserve">3502152304950001</t>
  </si>
  <si>
    <t xml:space="preserve">Dukuh Walikukun, RT/RW 002/001, Bangunrejo, Sukorejo, Ponorogo</t>
  </si>
  <si>
    <t xml:space="preserve">FIRDHA KHOIRUNNISA</t>
  </si>
  <si>
    <t xml:space="preserve">20017157724</t>
  </si>
  <si>
    <t xml:space="preserve">Fleet &amp; Operasional Admin</t>
  </si>
  <si>
    <t xml:space="preserve">3517045710970002</t>
  </si>
  <si>
    <t xml:space="preserve">Gunungsari Indah WW No 9, RT/RW 002/009, Kedurus, Karang Pilang, Kota Surabaya</t>
  </si>
  <si>
    <t xml:space="preserve">SELLYA LOLALITA</t>
  </si>
  <si>
    <t xml:space="preserve">25099281615</t>
  </si>
  <si>
    <t xml:space="preserve">3578065906050004</t>
  </si>
  <si>
    <t xml:space="preserve">Kebonsarilvk.Ii/12 Rt/Rw : 001/003 Kel Kebonsari Kec Jambangan Surabaya</t>
  </si>
  <si>
    <t xml:space="preserve">EKA NOFILIA</t>
  </si>
  <si>
    <t xml:space="preserve">28014876963</t>
  </si>
  <si>
    <t xml:space="preserve">3525026011990001</t>
  </si>
  <si>
    <t xml:space="preserve">Dsn. Kedungrejo, RT/RW 001/001, Wedoro Klurak, Candi, Kab. Sidoarjo</t>
  </si>
  <si>
    <t xml:space="preserve">AHMAD NAZRIL NUR IRKHAM</t>
  </si>
  <si>
    <t xml:space="preserve">29038276153</t>
  </si>
  <si>
    <t xml:space="preserve">Operator Heating</t>
  </si>
  <si>
    <t xml:space="preserve">3525130603080005</t>
  </si>
  <si>
    <t xml:space="preserve">Laban, RT/RW 024/002, Laban, Menganti, Kab. Gresik</t>
  </si>
  <si>
    <t xml:space="preserve">MUHAMMAD RONI</t>
  </si>
  <si>
    <t xml:space="preserve">29066958321</t>
  </si>
  <si>
    <t xml:space="preserve">Operator Shearing</t>
  </si>
  <si>
    <t xml:space="preserve">3507060412880001</t>
  </si>
  <si>
    <t xml:space="preserve">Kemendung, RT/RW 005/001, Sidodadi, Taman, Kab. Sidoarjo</t>
  </si>
  <si>
    <t xml:space="preserve">HARIS AL AMIN</t>
  </si>
  <si>
    <t xml:space="preserve">29071997581</t>
  </si>
  <si>
    <t xml:space="preserve">Petugas Gudang</t>
  </si>
  <si>
    <t xml:space="preserve">3507242802970005</t>
  </si>
  <si>
    <t xml:space="preserve">Dsn. Gentong, RT/RW 002/002, Purwoasri, Singosari, Kab. Malang</t>
  </si>
  <si>
    <t xml:space="preserve">MUHAMMAD BADRI</t>
  </si>
  <si>
    <t xml:space="preserve">27024619196</t>
  </si>
  <si>
    <t xml:space="preserve">3507221512990001</t>
  </si>
  <si>
    <t xml:space="preserve">Loandeng Kidul, RT/RW 001/005, Kalisongo, Dau, Kab. Malang</t>
  </si>
  <si>
    <t xml:space="preserve">RIZOAF AL HAFNI FILAN</t>
  </si>
  <si>
    <t xml:space="preserve">25070132902</t>
  </si>
  <si>
    <t xml:space="preserve">3573011306010006</t>
  </si>
  <si>
    <t xml:space="preserve">Jl. L.A. Sucipto Gg. Makam No.3, RT/RW 006/002, Blimbing, Blimbing, Kota Malang</t>
  </si>
  <si>
    <t xml:space="preserve">DARY IZAH RACHMANDA</t>
  </si>
  <si>
    <t xml:space="preserve">22078469973</t>
  </si>
  <si>
    <t xml:space="preserve">3578231308990001</t>
  </si>
  <si>
    <t xml:space="preserve">Kebonsari Gang Inpres No. 19, RT/RW 001/002, Kebonsari, Jambangan, Kota Surabaya</t>
  </si>
  <si>
    <t xml:space="preserve">RIYAN EKO SAPUTRO</t>
  </si>
  <si>
    <t xml:space="preserve">23054946519</t>
  </si>
  <si>
    <t xml:space="preserve">3312180901940001</t>
  </si>
  <si>
    <t xml:space="preserve">Jl. Raya Sawojajar No. 03, RT/RW 004/001, Sawojajar, Kedungkandang, Kota Malang</t>
  </si>
  <si>
    <t xml:space="preserve">RENDY WAHYUL AZIZ</t>
  </si>
  <si>
    <t xml:space="preserve">20098624058</t>
  </si>
  <si>
    <t xml:space="preserve">Planning Dispatching Monitoring Staff</t>
  </si>
  <si>
    <t xml:space="preserve">3515132106880003</t>
  </si>
  <si>
    <t xml:space="preserve">Dsn. Banjarsari, RT/RW 008/003, Pertapan Maduretno, Taman, Kab. Sidoarjo</t>
  </si>
  <si>
    <t xml:space="preserve">0856-3455-763</t>
  </si>
  <si>
    <t xml:space="preserve">FEBRIAN MISBAHUL KHOIR</t>
  </si>
  <si>
    <t xml:space="preserve">20008514036</t>
  </si>
  <si>
    <t xml:space="preserve">3524060702900001</t>
  </si>
  <si>
    <t xml:space="preserve">Kalen, RT/RW 003/003, Kalen, Kedungpring, Kab. Lamongan</t>
  </si>
  <si>
    <t xml:space="preserve">ABDUL HALIM</t>
  </si>
  <si>
    <t xml:space="preserve">29065666683</t>
  </si>
  <si>
    <t xml:space="preserve">3578151810060001</t>
  </si>
  <si>
    <t xml:space="preserve">Kampung Pesapen 15, RT/RW 005/014, Krembangan Selatan, Krembangan, Kota Surabaya</t>
  </si>
  <si>
    <t xml:space="preserve">NURAJI DWI SETIAWAN</t>
  </si>
  <si>
    <t xml:space="preserve">22072386562</t>
  </si>
  <si>
    <t xml:space="preserve">Admin Planner Transport</t>
  </si>
  <si>
    <t xml:space="preserve">3515070601010003</t>
  </si>
  <si>
    <t xml:space="preserve">Sumorame, RT/RW 001/006, Sumorame, Candi, Kab. Sidoarjo</t>
  </si>
  <si>
    <t xml:space="preserve">MOHAMMAD NURSAHID ARDIANSYAH</t>
  </si>
  <si>
    <t xml:space="preserve">24022010276</t>
  </si>
  <si>
    <t xml:space="preserve">3515070307010004</t>
  </si>
  <si>
    <t xml:space="preserve">Durung Bedug Baru, RT/RW 024/005, Durungbedug, Candi, Kab. Sidoarjo</t>
  </si>
  <si>
    <t xml:space="preserve">SITI AMINAH</t>
  </si>
  <si>
    <t xml:space="preserve">22012679692</t>
  </si>
  <si>
    <t xml:space="preserve">3573054103800002</t>
  </si>
  <si>
    <t xml:space="preserve">Jl. Bantaran I A/18, RT/RW 001/001, Tulusrejo, Lowokwaru, Kota Malang</t>
  </si>
  <si>
    <t xml:space="preserve">896-3686-4129</t>
  </si>
  <si>
    <t xml:space="preserve">ERTA DWIYANTI</t>
  </si>
  <si>
    <t xml:space="preserve">27086876532</t>
  </si>
  <si>
    <t xml:space="preserve">Product Colour Consultan</t>
  </si>
  <si>
    <t xml:space="preserve">3516165112900002</t>
  </si>
  <si>
    <t xml:space="preserve">Dusun Kedung Klinter, RT/RW 002/001, Canggu, Jetis, Kab. Mojokerto</t>
  </si>
  <si>
    <t xml:space="preserve">INDRA AYU SRI SUWARTININGSIH</t>
  </si>
  <si>
    <t xml:space="preserve">26090973846</t>
  </si>
  <si>
    <t xml:space="preserve">3520054903970001</t>
  </si>
  <si>
    <t xml:space="preserve">Genengan, RT/RW 003/001, Genengan, Kawedanan, Kab. Magetan</t>
  </si>
  <si>
    <t xml:space="preserve">HANA YULIANI</t>
  </si>
  <si>
    <t xml:space="preserve">28095009751</t>
  </si>
  <si>
    <t xml:space="preserve">3506226906980001</t>
  </si>
  <si>
    <t xml:space="preserve">Dsn. Pucung, RT/RW 001/002, Jambean, Kras, Kab. Kediri</t>
  </si>
  <si>
    <t xml:space="preserve">QOIRIN NISA</t>
  </si>
  <si>
    <t xml:space="preserve">29071284781</t>
  </si>
  <si>
    <t xml:space="preserve">3506234910920002</t>
  </si>
  <si>
    <t xml:space="preserve">Dsn. Deyeng, RT/RW 002/005, Deyeng, Ringinrejo, Kab. Kediri</t>
  </si>
  <si>
    <t xml:space="preserve">RISA YULIANTO</t>
  </si>
  <si>
    <t xml:space="preserve">28091371894</t>
  </si>
  <si>
    <t xml:space="preserve">3571012903940005</t>
  </si>
  <si>
    <t xml:space="preserve">Bandar Lor Gg II B, RT/RW 012/002, Bandar Lor, Mojoroto, Kota Kediri</t>
  </si>
  <si>
    <t xml:space="preserve">SONI WIYARTO</t>
  </si>
  <si>
    <t xml:space="preserve">29005807787</t>
  </si>
  <si>
    <t xml:space="preserve">3503022006900002</t>
  </si>
  <si>
    <t xml:space="preserve">Dusun Bangunsari, RT/RW 025/002, Bangun, Munjungan, Kab. Trenggalek</t>
  </si>
  <si>
    <t xml:space="preserve">SHAFA NADIRA NUR AINI</t>
  </si>
  <si>
    <t xml:space="preserve">29056544209</t>
  </si>
  <si>
    <t xml:space="preserve">3515164611070002</t>
  </si>
  <si>
    <t xml:space="preserve">Jl. Jati Kepuh I/8A, RT/RW 005/002, Ganting, Gedangan, Kab. Sidoarjo</t>
  </si>
  <si>
    <t xml:space="preserve">SHAFIRA HERSANING PRASISTI</t>
  </si>
  <si>
    <t xml:space="preserve">0000106491216</t>
  </si>
  <si>
    <t xml:space="preserve">Maintenance - Admin</t>
  </si>
  <si>
    <t xml:space="preserve">3577034111960002</t>
  </si>
  <si>
    <t xml:space="preserve">Jl Ringin No. 8 RT 16 RW 5 Kejuron, Taman</t>
  </si>
  <si>
    <t xml:space="preserve">SHINDY FELINDA DEVI</t>
  </si>
  <si>
    <t xml:space="preserve">Marketing - Packer</t>
  </si>
  <si>
    <t xml:space="preserve">3524065212060002</t>
  </si>
  <si>
    <t xml:space="preserve">Bulu, RT/RW 003/004, Gunungrejo, Kedungpring, Lamongan</t>
  </si>
  <si>
    <t xml:space="preserve">SITI NURFITRIYAH</t>
  </si>
  <si>
    <t xml:space="preserve">24094079290</t>
  </si>
  <si>
    <t xml:space="preserve">3518106904990001</t>
  </si>
  <si>
    <t xml:space="preserve">Dsn. Jeruk Lor, RT/RW 003/005, Mabung, Baron, Kab. Nganjuk</t>
  </si>
  <si>
    <t xml:space="preserve">SRI UTAMI NINGSIH</t>
  </si>
  <si>
    <t xml:space="preserve">0000732221201</t>
  </si>
  <si>
    <t xml:space="preserve">3518035212030003</t>
  </si>
  <si>
    <t xml:space="preserve">Bumen, RT/RW 005/002, Sedangbumen, Berbek, Nganjuk</t>
  </si>
  <si>
    <t xml:space="preserve">TARISA MUJAYANA</t>
  </si>
  <si>
    <t xml:space="preserve">24090471281</t>
  </si>
  <si>
    <t xml:space="preserve">3520114308010003</t>
  </si>
  <si>
    <t xml:space="preserve">Made, RT/RW 004/001, Sumberejo, Madiun, Kab. Madiun</t>
  </si>
  <si>
    <t xml:space="preserve">SUCI RAMADHANI</t>
  </si>
  <si>
    <t xml:space="preserve">24042944401</t>
  </si>
  <si>
    <t xml:space="preserve">3578214101980003</t>
  </si>
  <si>
    <t xml:space="preserve">Pulosari 3/18, RT/RW 001/002, Gunungsari, Dukuh Pakis, Kota Surabaya</t>
  </si>
  <si>
    <t xml:space="preserve">SULISTIAWATI</t>
  </si>
  <si>
    <t xml:space="preserve">3578266409000003</t>
  </si>
  <si>
    <t xml:space="preserve">Jl. Suko Legok IV, RT/RW 016/006, Suko, Sukodono, Sidoarjo</t>
  </si>
  <si>
    <t xml:space="preserve">SUNDARI</t>
  </si>
  <si>
    <t xml:space="preserve">29029275243</t>
  </si>
  <si>
    <t xml:space="preserve">3515136702970007</t>
  </si>
  <si>
    <t xml:space="preserve">RT/RW 007/002, Taman, Taman, Kab. Sidoarjo</t>
  </si>
  <si>
    <t xml:space="preserve">SUWANDI</t>
  </si>
  <si>
    <t xml:space="preserve">0000730594179</t>
  </si>
  <si>
    <t xml:space="preserve">3517201207900001</t>
  </si>
  <si>
    <t xml:space="preserve">Dsn. Dempok RT/RW 006/004 Sidomulyo, Megaluh, Jombang</t>
  </si>
  <si>
    <t xml:space="preserve">SYABINA AYU PUTRI ARDANI</t>
  </si>
  <si>
    <t xml:space="preserve">27066568408</t>
  </si>
  <si>
    <t xml:space="preserve">3578024503030003</t>
  </si>
  <si>
    <t xml:space="preserve">SYAQIB AFYANSYAH</t>
  </si>
  <si>
    <t xml:space="preserve">0001833746174</t>
  </si>
  <si>
    <t xml:space="preserve">Gudang Jadi - Leader</t>
  </si>
  <si>
    <t xml:space="preserve">3515163004950004</t>
  </si>
  <si>
    <t xml:space="preserve">Jl. Mandala 399 RT/RW 013/004 Semambung, Gedegan, Sidoarjo</t>
  </si>
  <si>
    <t xml:space="preserve">HANDRI BAHTIAR</t>
  </si>
  <si>
    <t xml:space="preserve">27028051292</t>
  </si>
  <si>
    <t xml:space="preserve">Sales Promotion Klinik</t>
  </si>
  <si>
    <t xml:space="preserve">3507142411890001</t>
  </si>
  <si>
    <t xml:space="preserve">Perum Emerlad Garden Blok C 41, RT/RW 009/005, Bumiayu, Kedungkandang, Kota Malang</t>
  </si>
  <si>
    <t xml:space="preserve">IQVAL FIRMANSYAH</t>
  </si>
  <si>
    <t xml:space="preserve">27066372395</t>
  </si>
  <si>
    <t xml:space="preserve">Digital Marketing</t>
  </si>
  <si>
    <t xml:space="preserve">3573041107980006</t>
  </si>
  <si>
    <t xml:space="preserve">Jl. Raya Gadang No.227, RT/RW 001/001, Gadang, Sukun, Kota Malang</t>
  </si>
  <si>
    <t xml:space="preserve">TIARA INTAN NURAINI</t>
  </si>
  <si>
    <t xml:space="preserve">20041027674</t>
  </si>
  <si>
    <t xml:space="preserve">3515136607080004</t>
  </si>
  <si>
    <t xml:space="preserve">Bohar Utara, RT/RW 004/002, Bohar, Taman, Kab. Sidoarjo</t>
  </si>
  <si>
    <t xml:space="preserve">VIVIAN APRILIA SARI</t>
  </si>
  <si>
    <t xml:space="preserve">0002929018623</t>
  </si>
  <si>
    <t xml:space="preserve">3515154804010002</t>
  </si>
  <si>
    <t xml:space="preserve">Dsn. Jambe RT/RW 010/002 Banjarkemantren, Buduran, Sidoarjo</t>
  </si>
  <si>
    <t xml:space="preserve">WAHYUNING SABILILLAH</t>
  </si>
  <si>
    <t xml:space="preserve">27083667428</t>
  </si>
  <si>
    <t xml:space="preserve">3515166501070002</t>
  </si>
  <si>
    <t xml:space="preserve">RT/RW 002/001, Gedangan, Gedangan, Kab. Sidoarjo</t>
  </si>
  <si>
    <t xml:space="preserve">WILDAN PRATAMA ZUHRI</t>
  </si>
  <si>
    <t xml:space="preserve">26004765801</t>
  </si>
  <si>
    <t xml:space="preserve">3515141307070002</t>
  </si>
  <si>
    <t xml:space="preserve">Dsn. Dungsari, RT/RW 003/002, Kebohandom, Gedangan, Kab. Sidoarjo</t>
  </si>
  <si>
    <t xml:space="preserve">YOSSY PRATAMA</t>
  </si>
  <si>
    <t xml:space="preserve">28056945441</t>
  </si>
  <si>
    <t xml:space="preserve">3515131210980008</t>
  </si>
  <si>
    <t xml:space="preserve">Jl. Anggrek 17, RT/RW 008/001, Wage, Taman, Kab. Sidoarjo</t>
  </si>
  <si>
    <t xml:space="preserve">SHERLY KURNIAWATI PURNOMO</t>
  </si>
  <si>
    <t xml:space="preserve">24096739385</t>
  </si>
  <si>
    <t xml:space="preserve">3578086506960004</t>
  </si>
  <si>
    <t xml:space="preserve">RT/RW 007/001, Keboansikep, Gedangan, Kab. Sidoarjo</t>
  </si>
  <si>
    <t xml:space="preserve">FAJAR SODIQ SUDIBYO</t>
  </si>
  <si>
    <t xml:space="preserve">22058001061</t>
  </si>
  <si>
    <t xml:space="preserve">2 Program</t>
  </si>
  <si>
    <t xml:space="preserve">3578270805910002</t>
  </si>
  <si>
    <t xml:space="preserve">Dsn. Miagan, RT/RW 005/001, Miagan, Mojoagung, Kab. Jombang</t>
  </si>
  <si>
    <t xml:space="preserve">DEWI NAWANG WULAN</t>
  </si>
  <si>
    <t xml:space="preserve">28017534430</t>
  </si>
  <si>
    <t xml:space="preserve">Lead Sales Promotion Pusat</t>
  </si>
  <si>
    <t xml:space="preserve">3579036206970006</t>
  </si>
  <si>
    <t xml:space="preserve">Dsn. Karangjuwet, RT/RW 027/007, Donowarih, Karangploso, Kab. Malang</t>
  </si>
  <si>
    <t xml:space="preserve">FIRMAN YUDHA ARDIYANSYAH</t>
  </si>
  <si>
    <t xml:space="preserve">20091093911</t>
  </si>
  <si>
    <t xml:space="preserve">3515103108050002</t>
  </si>
  <si>
    <t xml:space="preserve">RT/RW 001/004, Wonoayu, Wonoayu, Kab. Sidoarjo</t>
  </si>
  <si>
    <t xml:space="preserve">HAIDHAR ALIY AS SODIQ</t>
  </si>
  <si>
    <t xml:space="preserve">21092692124</t>
  </si>
  <si>
    <t xml:space="preserve">3515070701060002</t>
  </si>
  <si>
    <t xml:space="preserve">Perum Citra Sentosa Mandiri Blok P-08, RT/RW 015/006, Jambangan, Candi, Kab. Sidoarjo</t>
  </si>
  <si>
    <t xml:space="preserve">YOYOK PRIBADI</t>
  </si>
  <si>
    <t xml:space="preserve">0000722953326</t>
  </si>
  <si>
    <t xml:space="preserve">3515131806940009</t>
  </si>
  <si>
    <t xml:space="preserve">Jl. Mawar No. 35 RT/RW 004/007 Wage, Taman, Sidoarjo</t>
  </si>
  <si>
    <t xml:space="preserve">SYAHRUL RAMADHAN</t>
  </si>
  <si>
    <t xml:space="preserve">24071746542</t>
  </si>
  <si>
    <t xml:space="preserve">3578200411040001</t>
  </si>
  <si>
    <t xml:space="preserve">Dk. Karangan, RT/RW 011/003, Babatan, Wiyung, Kota Surabaya</t>
  </si>
  <si>
    <t xml:space="preserve">DEDI PRASETYO</t>
  </si>
  <si>
    <t xml:space="preserve">21040665044</t>
  </si>
  <si>
    <t xml:space="preserve">3516080703050001</t>
  </si>
  <si>
    <t xml:space="preserve">Dsn. Gelang, RT/RW 003/006, Mojosulur, Mojosari, Kab. Mojokerto</t>
  </si>
  <si>
    <t xml:space="preserve">AFIF UBAIDILLAH</t>
  </si>
  <si>
    <t xml:space="preserve">0001043016838</t>
  </si>
  <si>
    <t xml:space="preserve">3514152309970003</t>
  </si>
  <si>
    <t xml:space="preserve">Pekebo, RT/RW 002/005, Oro-oro Ombo Kulon, Rembang, Pasuruan</t>
  </si>
  <si>
    <t xml:space="preserve">MEYLITA KHOLIFATUL KARINA</t>
  </si>
  <si>
    <t xml:space="preserve">0001662714202</t>
  </si>
  <si>
    <t xml:space="preserve">3516056905960003</t>
  </si>
  <si>
    <t xml:space="preserve">Dsn. Kembangsri, RT/RW 001/004, Kembangsri, Ngoro, Mojokerto</t>
  </si>
  <si>
    <t xml:space="preserve">JALALUDIN</t>
  </si>
  <si>
    <t xml:space="preserve">0000723580716</t>
  </si>
  <si>
    <t xml:space="preserve">3516080808880005</t>
  </si>
  <si>
    <t xml:space="preserve">Kebon, RT/RW 001/001, Kebondalem, Mojosari, Mojokerto</t>
  </si>
  <si>
    <t xml:space="preserve">AHMAD SOFWAN</t>
  </si>
  <si>
    <t xml:space="preserve">0002065342059</t>
  </si>
  <si>
    <t xml:space="preserve">3516071904940003</t>
  </si>
  <si>
    <t xml:space="preserve">Sumber Kembar, RT/RW 004/007, Wonodadi, Kutorejo, Mojokerto</t>
  </si>
  <si>
    <t xml:space="preserve">TEGAR OKTAVIANTO SIMBOLON</t>
  </si>
  <si>
    <t xml:space="preserve">23028535055</t>
  </si>
  <si>
    <t xml:space="preserve">3526040910020006</t>
  </si>
  <si>
    <t xml:space="preserve">Perum Guru Telang Indah, RT/RW 001/003, Telang, Kamal, Kab. Bangkalan</t>
  </si>
  <si>
    <t xml:space="preserve">ZANUAR ADI SUSENO</t>
  </si>
  <si>
    <t xml:space="preserve">22046358814</t>
  </si>
  <si>
    <t xml:space="preserve">3507191701030001</t>
  </si>
  <si>
    <t xml:space="preserve">Asrama Dodik Bela Negara BN 2, RT/RW 008/006, Kesatrian, Blimbing, Kota Malang</t>
  </si>
  <si>
    <t xml:space="preserve">MUHAMMAD FAREL SAPUTRA</t>
  </si>
  <si>
    <t xml:space="preserve">27065437985</t>
  </si>
  <si>
    <t xml:space="preserve">3516061702080002</t>
  </si>
  <si>
    <t xml:space="preserve">Kamotan Kulon, RT/RW 028/012, Randuharjo, Pungging, Kab. Mojokerto</t>
  </si>
  <si>
    <t xml:space="preserve">MINTARSIH</t>
  </si>
  <si>
    <t xml:space="preserve">0001535041618</t>
  </si>
  <si>
    <t xml:space="preserve">3502065206780002</t>
  </si>
  <si>
    <t xml:space="preserve">Dukuh Setumbal RT/RW 001/003 Jurug, Sooko, Ponorogo</t>
  </si>
  <si>
    <t xml:space="preserve">MIRA KHUSNIAWATI</t>
  </si>
  <si>
    <t xml:space="preserve">0001539286841</t>
  </si>
  <si>
    <t xml:space="preserve">3517116201880004</t>
  </si>
  <si>
    <t xml:space="preserve">Dsn. Grudo RT 001 RW 004 Madiopuro Sumobito Jombang</t>
  </si>
  <si>
    <t xml:space="preserve">MUFAROCHATUS ZAHRO</t>
  </si>
  <si>
    <t xml:space="preserve">22071739627</t>
  </si>
  <si>
    <t xml:space="preserve">3578037103990002</t>
  </si>
  <si>
    <t xml:space="preserve">Rungkut Kidul Gg Pesantren/29A, RT/RW 001/006, Rungkut Kidul, Rungkut, Kota Surabaya</t>
  </si>
  <si>
    <t xml:space="preserve">MUHAMMAD RICKY RIANTO</t>
  </si>
  <si>
    <t xml:space="preserve">0001535040325</t>
  </si>
  <si>
    <t xml:space="preserve">3515180205000005</t>
  </si>
  <si>
    <t xml:space="preserve">Wadungasri Dalam RT/RW 002/001 Wadungasri, Waru, Sidorajo</t>
  </si>
  <si>
    <t xml:space="preserve">MUSLICHA</t>
  </si>
  <si>
    <t xml:space="preserve">29066141725</t>
  </si>
  <si>
    <t xml:space="preserve">3578026803860002</t>
  </si>
  <si>
    <t xml:space="preserve">Jemur Ngawinan 2/22-A, RT/RW 006/002, Jemur Wonosari, Wonocolo, Kota Surabaya</t>
  </si>
  <si>
    <t xml:space="preserve">NADIATUL AMILIA</t>
  </si>
  <si>
    <t xml:space="preserve">21028639174</t>
  </si>
  <si>
    <t xml:space="preserve">3526136501070001</t>
  </si>
  <si>
    <t xml:space="preserve">Dsn. Bajur Barat, RT/RW 000/000, Batangan, Tanah Merah, Kab. Bangkalan</t>
  </si>
  <si>
    <t xml:space="preserve">NANDA ONKY STEFANI</t>
  </si>
  <si>
    <t xml:space="preserve">21001194707</t>
  </si>
  <si>
    <t xml:space="preserve">3524114506030003</t>
  </si>
  <si>
    <t xml:space="preserve">Dusun Dukuharum, RT/RW 008/003, Dukuharum, Megaluh, Kabupaten Jombang</t>
  </si>
  <si>
    <t xml:space="preserve">NANDA RIZKY RAHMADANI</t>
  </si>
  <si>
    <t xml:space="preserve">22092533327</t>
  </si>
  <si>
    <t xml:space="preserve">3578095411020004</t>
  </si>
  <si>
    <t xml:space="preserve">Klampis Ngasem II/11, RT/RW 003/002, Klampis Ngasem, Sukolilo, Kota Surabaya</t>
  </si>
  <si>
    <t xml:space="preserve">NARITA SEPTIA AYU SUGIHARSONO</t>
  </si>
  <si>
    <t xml:space="preserve">22000642569</t>
  </si>
  <si>
    <t xml:space="preserve">3524095709020001</t>
  </si>
  <si>
    <t xml:space="preserve">Rungkut Kidul 3 Gg. Majemuk 12, RT/RW 004/003, Rungkut Kidul, Rungkut, Kota Surabaya</t>
  </si>
  <si>
    <t xml:space="preserve">NAUFALLIZA ARISTIA MALIK</t>
  </si>
  <si>
    <t xml:space="preserve">20087766183</t>
  </si>
  <si>
    <t xml:space="preserve">3505115105010001</t>
  </si>
  <si>
    <t xml:space="preserve">Lingkungan Tawangbrak, RT/RW 001/005, Tawangsari, Garum, Kab. Blitar</t>
  </si>
  <si>
    <t xml:space="preserve">NAWANG PURBOWATI</t>
  </si>
  <si>
    <t xml:space="preserve">22094117698</t>
  </si>
  <si>
    <t xml:space="preserve">3522024102020003</t>
  </si>
  <si>
    <t xml:space="preserve">Dusun Plumping, RT/RW 014/003, Sukorejo, Tambakrejo, Kab. Bojonegoro</t>
  </si>
  <si>
    <t xml:space="preserve">NENI HARDHIYANTI DHANI I R</t>
  </si>
  <si>
    <t xml:space="preserve">0001539287256</t>
  </si>
  <si>
    <t xml:space="preserve">3524124311920003</t>
  </si>
  <si>
    <t xml:space="preserve">Caling RT/RW 002/004 Sidorejo, Sugio, Lamongan</t>
  </si>
  <si>
    <t xml:space="preserve">NILA ROHMAH MAZIYATI</t>
  </si>
  <si>
    <t xml:space="preserve">3515185412030003</t>
  </si>
  <si>
    <t xml:space="preserve">Wadungasri Dalam Rt 002 Rw 003 Wadungasri Waru Sidoarjo</t>
  </si>
  <si>
    <t xml:space="preserve">081252364108</t>
  </si>
  <si>
    <t xml:space="preserve">NILA ROWINDASARI</t>
  </si>
  <si>
    <t xml:space="preserve">0001394339703</t>
  </si>
  <si>
    <t xml:space="preserve">3578036705920003</t>
  </si>
  <si>
    <t xml:space="preserve">Rusun Penjaringansari FA-402 RT/RW 006/010 Penjaringan Sari, Rungkut, Surabaya</t>
  </si>
  <si>
    <t xml:space="preserve">NITA AYU WULANDARI</t>
  </si>
  <si>
    <t xml:space="preserve">20067198554</t>
  </si>
  <si>
    <t xml:space="preserve">3514166810000002</t>
  </si>
  <si>
    <t xml:space="preserve">Krajan, RT/RW 001/002, Ngempits, Kraton, Kab. Pasuruan</t>
  </si>
  <si>
    <t xml:space="preserve">NOPA PERDIANSAH</t>
  </si>
  <si>
    <t xml:space="preserve">27015751116</t>
  </si>
  <si>
    <t xml:space="preserve">3506180202000008</t>
  </si>
  <si>
    <t xml:space="preserve">Rungkut Kidul Pesantren 10-B, RT/RW 001/006, Rungkut Kidul, Rungkut, Kota Surabaya</t>
  </si>
  <si>
    <t xml:space="preserve">NOVIA SAFITRI</t>
  </si>
  <si>
    <t xml:space="preserve">0002736556749</t>
  </si>
  <si>
    <t xml:space="preserve">3515184201990004</t>
  </si>
  <si>
    <t xml:space="preserve">Brebek 1 Gg 1A /13 RT 003 RW 004 Berbek Waru Sidoarjo</t>
  </si>
  <si>
    <t xml:space="preserve">NUR AINI</t>
  </si>
  <si>
    <t xml:space="preserve">26001585174</t>
  </si>
  <si>
    <t xml:space="preserve">3518085111910004</t>
  </si>
  <si>
    <t xml:space="preserve">Dsn. Juwono, RT/RW 011/006, Juwono, Kertosono, Kab. Nganjuk</t>
  </si>
  <si>
    <t xml:space="preserve">NUR AINI ARFA ROMADLONI</t>
  </si>
  <si>
    <t xml:space="preserve">0001408854936</t>
  </si>
  <si>
    <t xml:space="preserve">3515175402940002</t>
  </si>
  <si>
    <t xml:space="preserve">Jl. H Syukur V/44A RT/RW 023/11 Sedati Gede, Sedati, Sidoarjo</t>
  </si>
  <si>
    <t xml:space="preserve">NUR FITRIYAH</t>
  </si>
  <si>
    <t xml:space="preserve">23028063461</t>
  </si>
  <si>
    <t xml:space="preserve">3509014206860003</t>
  </si>
  <si>
    <t xml:space="preserve">Dusun Krajan I, RT/RW 001/004, Keting, Jombang, Kab. Jember</t>
  </si>
  <si>
    <t xml:space="preserve">NURI FITRIANI</t>
  </si>
  <si>
    <t xml:space="preserve">25071732030</t>
  </si>
  <si>
    <t xml:space="preserve">3509054302970002</t>
  </si>
  <si>
    <t xml:space="preserve">Wedoro Utara VII, RT/RW 005/002, Wedoro, Waru, Kab. Sidoarjo</t>
  </si>
  <si>
    <t xml:space="preserve">NURUL FATMAWATI</t>
  </si>
  <si>
    <t xml:space="preserve">0001535038378</t>
  </si>
  <si>
    <t xml:space="preserve">3517204801890001</t>
  </si>
  <si>
    <t xml:space="preserve">Ngeni RT 001 RW 002 Kepuh Kiriman Waru Sidoarjo</t>
  </si>
  <si>
    <t xml:space="preserve">NURUL MUNZIAH</t>
  </si>
  <si>
    <t xml:space="preserve">29037618478</t>
  </si>
  <si>
    <t xml:space="preserve">3514235702070001</t>
  </si>
  <si>
    <t xml:space="preserve">Raket, RT/RW 003/003, Kawisrejo, Rejoso, Kab. Pasuruan</t>
  </si>
  <si>
    <t xml:space="preserve">OCTAFIA RISMA SAFITRI</t>
  </si>
  <si>
    <t xml:space="preserve">0003096281092</t>
  </si>
  <si>
    <t xml:space="preserve">3518016810010001</t>
  </si>
  <si>
    <t xml:space="preserve">Dsn. Suwaru RT 001 RW 007 Kebonagung, Sawahan Nganjuk</t>
  </si>
  <si>
    <t xml:space="preserve">OKKY SUSANTO</t>
  </si>
  <si>
    <t xml:space="preserve">27000505061</t>
  </si>
  <si>
    <t xml:space="preserve">3578250508020002</t>
  </si>
  <si>
    <t xml:space="preserve">Rungkut Tengah 1 B/33, RT/RW 001/005, Rungkut Tengah, Gunung Anyar, Kota Surabaya</t>
  </si>
  <si>
    <t xml:space="preserve">OKTA ARIVIANTO</t>
  </si>
  <si>
    <t xml:space="preserve">0000741112209</t>
  </si>
  <si>
    <t xml:space="preserve">Warehouse Pengiriman</t>
  </si>
  <si>
    <t xml:space="preserve">3521020308960003</t>
  </si>
  <si>
    <t xml:space="preserve">Poh Rendeng RT/RW 003/003 Tamanrejo, Tunjungan, Blora</t>
  </si>
  <si>
    <t xml:space="preserve">OKTI PUTRI SYAHIDA</t>
  </si>
  <si>
    <t xml:space="preserve">0001283443885</t>
  </si>
  <si>
    <t xml:space="preserve">3578246810010001</t>
  </si>
  <si>
    <t xml:space="preserve">Kutisari Utara 1/2B R 006 RW 002 Kutisari Tenggilis Mejoyo Surabaya</t>
  </si>
  <si>
    <t xml:space="preserve">PINGKAN NIKKA CELINE</t>
  </si>
  <si>
    <t xml:space="preserve">23087829310</t>
  </si>
  <si>
    <t xml:space="preserve">3506154107050018</t>
  </si>
  <si>
    <t xml:space="preserve">Dsn. Kunti, RT/RW 001/004, Mranggen, Purwoasri, Kab. Kediri</t>
  </si>
  <si>
    <t xml:space="preserve">PIPIT WULANDARI</t>
  </si>
  <si>
    <t xml:space="preserve">0001543137603</t>
  </si>
  <si>
    <t xml:space="preserve">3519137008900001</t>
  </si>
  <si>
    <t xml:space="preserve">Dsn Krajan RT/RW 011/004 Tanggir, Singgahan, Tuban</t>
  </si>
  <si>
    <t xml:space="preserve">22070790320</t>
  </si>
  <si>
    <t xml:space="preserve">Rungkut Tengah III/15, RT/RW 002/004, Rungkut Tengah, Gunung Anyar, Kota Surabaya</t>
  </si>
  <si>
    <t xml:space="preserve">RADITYA DWI PURNOMO</t>
  </si>
  <si>
    <t xml:space="preserve">21054584032</t>
  </si>
  <si>
    <t xml:space="preserve">3316081611050002</t>
  </si>
  <si>
    <t xml:space="preserve">Kelurahan Jepon, RT/RW 004/003, Jepon, Jepon, Kab. Blora</t>
  </si>
  <si>
    <t xml:space="preserve">RAFLI MAULANA</t>
  </si>
  <si>
    <t xml:space="preserve">0001888914778</t>
  </si>
  <si>
    <t xml:space="preserve">3578250503020003</t>
  </si>
  <si>
    <t xml:space="preserve">Rungkut Menanggal II-A Sekolahan 31 RT/RW 005/002 Rungkut Menanggal, Gunung Anyar, Surabaya</t>
  </si>
  <si>
    <t xml:space="preserve">RAHMA WIDIA SARI</t>
  </si>
  <si>
    <t xml:space="preserve">22004179291</t>
  </si>
  <si>
    <t xml:space="preserve">3503127103040001</t>
  </si>
  <si>
    <t xml:space="preserve">Dusun Pogalan, RT/RW 001/001, Pogalan, Pogalan, Kab. Trenggalek</t>
  </si>
  <si>
    <t xml:space="preserve">RATNA RIKA ENDRAWATI</t>
  </si>
  <si>
    <t xml:space="preserve">0001539287289</t>
  </si>
  <si>
    <t xml:space="preserve">3522086107900004</t>
  </si>
  <si>
    <t xml:space="preserve">Kedung Ringin RT/RW 009/002 Drokilo, Kedungadem, Bojonegoro</t>
  </si>
  <si>
    <t xml:space="preserve">RAVAEL WAHYU DWIYANTO</t>
  </si>
  <si>
    <t xml:space="preserve">21083572602</t>
  </si>
  <si>
    <t xml:space="preserve">3524252804070001</t>
  </si>
  <si>
    <t xml:space="preserve">Deketwetan, RT/RW 001/003, Deketwetan, Deket, Kab. Lamongan</t>
  </si>
  <si>
    <t xml:space="preserve">FATIMALA NURUL LAILI</t>
  </si>
  <si>
    <t xml:space="preserve">23054949562</t>
  </si>
  <si>
    <t xml:space="preserve">3525116606060002</t>
  </si>
  <si>
    <t xml:space="preserve">Banjarsari, RT/RW 003/002, Banjarsari, Cerme, Kab. Gresik</t>
  </si>
  <si>
    <t xml:space="preserve">DENDYN DWI MA'ARUF</t>
  </si>
  <si>
    <t xml:space="preserve">26092874314</t>
  </si>
  <si>
    <t xml:space="preserve">3516030801990001</t>
  </si>
  <si>
    <t xml:space="preserve">Belor, RT/RW 003/001, Kembang Belor, Pacet, Kab. Mojokerto</t>
  </si>
  <si>
    <t xml:space="preserve">YUGA PUTRA PRASETYO</t>
  </si>
  <si>
    <t xml:space="preserve">0002205584594</t>
  </si>
  <si>
    <t xml:space="preserve">3515022708960004</t>
  </si>
  <si>
    <t xml:space="preserve">Dsn Jedong RT/RW 007/002 Jedongcangkring, Prambon, Sidoarjo</t>
  </si>
  <si>
    <t xml:space="preserve">SITI ERLINA PUTRI</t>
  </si>
  <si>
    <t xml:space="preserve">21017993136</t>
  </si>
  <si>
    <t xml:space="preserve">1407096205990001</t>
  </si>
  <si>
    <t xml:space="preserve">Gg. Peston Dusun III, RT/RW 000/000, Dagang Kerawan, Tanjung Morawa, Kab. Deli Serdang</t>
  </si>
  <si>
    <t xml:space="preserve">25065198253</t>
  </si>
  <si>
    <t xml:space="preserve">1273045001010005</t>
  </si>
  <si>
    <t xml:space="preserve">Jl. Seksama Gg Raja Aceh No 10, RT/RW 000/000, Binjai, Medan Denai, Kota Medan</t>
  </si>
  <si>
    <t xml:space="preserve">FEBRI EKO SHANA WAHYUNA</t>
  </si>
  <si>
    <t xml:space="preserve">20092511426</t>
  </si>
  <si>
    <t xml:space="preserve">3516031010950001</t>
  </si>
  <si>
    <t xml:space="preserve">Dsn. Claket, RT/RW 002/004, Claket, Pacet, Kab. Mojokerto</t>
  </si>
  <si>
    <t xml:space="preserve">DENY INTAN NUR AINI</t>
  </si>
  <si>
    <t xml:space="preserve">22058273902</t>
  </si>
  <si>
    <t xml:space="preserve">3514126812030002</t>
  </si>
  <si>
    <t xml:space="preserve">Manduro MG., RT/RW 003/001, Manduro Manggunggajah, Ngoro, Kab. Mojokerto</t>
  </si>
  <si>
    <t xml:space="preserve">RELLY CAPRIO RISTA</t>
  </si>
  <si>
    <t xml:space="preserve">21096207100</t>
  </si>
  <si>
    <t xml:space="preserve">3516065903010002</t>
  </si>
  <si>
    <t xml:space="preserve">Dsn. Pekuwon, RT/RW 007/004, Pekuwon, Bangsal, Kab. Mojokerto</t>
  </si>
  <si>
    <t xml:space="preserve">FAHMI WAFIQ REGITA</t>
  </si>
  <si>
    <t xml:space="preserve">22019467232</t>
  </si>
  <si>
    <t xml:space="preserve">3515036709010007</t>
  </si>
  <si>
    <t xml:space="preserve">Jenggot, RT/RW 001/001, Jenggot, Krembung, Kab. Sidoarjo</t>
  </si>
  <si>
    <t xml:space="preserve">MOHAMED KAHFI KADHAFI</t>
  </si>
  <si>
    <t xml:space="preserve">24087632909</t>
  </si>
  <si>
    <t xml:space="preserve">3576022203000001</t>
  </si>
  <si>
    <t xml:space="preserve">Sentanan II / 12, RT/RW 002/002, Sentanan, Kranggan, Kota Mojokerto</t>
  </si>
  <si>
    <t xml:space="preserve">VRENDY DWI HERYANTO</t>
  </si>
  <si>
    <t xml:space="preserve">22079145608</t>
  </si>
  <si>
    <t xml:space="preserve">3516081307940006</t>
  </si>
  <si>
    <t xml:space="preserve">Randubango, RT/RW 015/005, Randubango, Mojosari, Kab. Mojokerto</t>
  </si>
  <si>
    <t xml:space="preserve">FARA DIAN ROMADONNI</t>
  </si>
  <si>
    <t xml:space="preserve">23031819588</t>
  </si>
  <si>
    <t xml:space="preserve">3516054301990001</t>
  </si>
  <si>
    <t xml:space="preserve">Ngijingan, RT/RW 001/001, Purwojati, Ngoro, Kab. Mojokerto</t>
  </si>
  <si>
    <t xml:space="preserve">BOBBY EKO FEBRIANTO</t>
  </si>
  <si>
    <t xml:space="preserve">23073403127</t>
  </si>
  <si>
    <t xml:space="preserve">3515021302970001</t>
  </si>
  <si>
    <t xml:space="preserve">Prambon, RT/RW 001/001, Prambon, Prambon, Kab. Sidoarjo</t>
  </si>
  <si>
    <t xml:space="preserve">27022005436</t>
  </si>
  <si>
    <t xml:space="preserve">SITI ZAIMATUT TAQIYAH</t>
  </si>
  <si>
    <t xml:space="preserve">0001084910624</t>
  </si>
  <si>
    <t xml:space="preserve">3317065408000001</t>
  </si>
  <si>
    <t xml:space="preserve">Sedan, RT/RW 003/004, Sedan, Sedan, Rembang</t>
  </si>
  <si>
    <t xml:space="preserve">SOLEHAH</t>
  </si>
  <si>
    <t xml:space="preserve">0003533369095</t>
  </si>
  <si>
    <t xml:space="preserve">6303145104020002</t>
  </si>
  <si>
    <t xml:space="preserve">Sungai Rangas</t>
  </si>
  <si>
    <t xml:space="preserve">Sungai Rangas, RT/RW 003/000, Sungai Rangas, Martapura Barat, Banjar</t>
  </si>
  <si>
    <t xml:space="preserve">ERIDAH WANI</t>
  </si>
  <si>
    <t xml:space="preserve">24059701082</t>
  </si>
  <si>
    <t xml:space="preserve">1277064310040002</t>
  </si>
  <si>
    <t xml:space="preserve">Joring Lombang</t>
  </si>
  <si>
    <t xml:space="preserve">Joring Lombang, RT/RW 000/000, Joring Lombang, Padangsidimpuan Angkola Julu, Kota Padang Sidempuan</t>
  </si>
  <si>
    <t xml:space="preserve">STELLA PRISCILIA NANUMENTE</t>
  </si>
  <si>
    <t xml:space="preserve">22007811379</t>
  </si>
  <si>
    <t xml:space="preserve">8171014303000006</t>
  </si>
  <si>
    <t xml:space="preserve">Soa Wakan, RT/RW 003/001, Amahusu, Nusaniwe, Kota Ambon</t>
  </si>
  <si>
    <t xml:space="preserve">SUKMAWATI.S</t>
  </si>
  <si>
    <t xml:space="preserve">29056353153</t>
  </si>
  <si>
    <t xml:space="preserve">7604046410970001</t>
  </si>
  <si>
    <t xml:space="preserve">Darma</t>
  </si>
  <si>
    <t xml:space="preserve">Batu-Batu, RT/RW 000/000, Darma, Polewali, Kab. Polewali Mandar</t>
  </si>
  <si>
    <t xml:space="preserve">SUPIANA</t>
  </si>
  <si>
    <t xml:space="preserve">6308045809010001</t>
  </si>
  <si>
    <t xml:space="preserve">Desa Jumba, RT/RW 004/000, Jumba, Amuntai Selatan, Hulu Sungai Utara</t>
  </si>
  <si>
    <t xml:space="preserve">6281528610918</t>
  </si>
  <si>
    <t xml:space="preserve">SUSAN MINARTI</t>
  </si>
  <si>
    <t xml:space="preserve">0000329487704</t>
  </si>
  <si>
    <t xml:space="preserve">1703015001930001</t>
  </si>
  <si>
    <t xml:space="preserve">Enggano</t>
  </si>
  <si>
    <t xml:space="preserve">Dusun Bunga No. 8, RT/RW 000/000, Apoho, Enggano, Bengkulu Utara</t>
  </si>
  <si>
    <t xml:space="preserve">SYAFIRA PARAH AULIA</t>
  </si>
  <si>
    <t xml:space="preserve">6402036705990003</t>
  </si>
  <si>
    <t xml:space="preserve">Jl. Gerbang Dayaku, RT/RW 007/003, Loa Duri Ilir, Loa Janan, Kutai Kartanegara</t>
  </si>
  <si>
    <t xml:space="preserve">6283153019265</t>
  </si>
  <si>
    <t xml:space="preserve">SYARIFAH ADELLA SALSABILA</t>
  </si>
  <si>
    <t xml:space="preserve">6171025604020005</t>
  </si>
  <si>
    <t xml:space="preserve">Jl. TJ. Raya II Gg. H. Arsad, RT/RW 003/004, Banjar Serasan, Pontianak Timur, Pontianak</t>
  </si>
  <si>
    <t xml:space="preserve">DEVIA RANI</t>
  </si>
  <si>
    <t xml:space="preserve">21036363179</t>
  </si>
  <si>
    <t xml:space="preserve">1171016801970002</t>
  </si>
  <si>
    <t xml:space="preserve">Perumahan Primadona Serumpun Gang Ikhlas 1, RT/RW 002/009, Sialangsakti, Tenayan Raya, Kota Pekanbaru</t>
  </si>
  <si>
    <t xml:space="preserve">SYARIFAH ZIHAN ZAFIRA</t>
  </si>
  <si>
    <t xml:space="preserve">0003290885234</t>
  </si>
  <si>
    <t xml:space="preserve">6171016808050007</t>
  </si>
  <si>
    <t xml:space="preserve">Jl. Tanjungpura Gg. Sampit, RT/RW 003/003, Benua Melayu Laut, Pontianak Selatan, Pontianak</t>
  </si>
  <si>
    <t xml:space="preserve">TALULA SOH PANIE</t>
  </si>
  <si>
    <t xml:space="preserve">5371045206970002</t>
  </si>
  <si>
    <t xml:space="preserve">Oebobo-Kupang</t>
  </si>
  <si>
    <t xml:space="preserve">Jln. Bhakti Karang, RT/RW 002/001, Fatululi, Oebobo, Kupang</t>
  </si>
  <si>
    <t xml:space="preserve">KHAMIM DIAN KURNIAWAN</t>
  </si>
  <si>
    <t xml:space="preserve">27006239726</t>
  </si>
  <si>
    <t xml:space="preserve">Analis kimia</t>
  </si>
  <si>
    <t xml:space="preserve">3578152204930003</t>
  </si>
  <si>
    <t xml:space="preserve">Sidorukun 3/45, RT/RW 006/001, Dupak, Krembangan, Kota Surabaya</t>
  </si>
  <si>
    <t xml:space="preserve">HERMAN SANTOSO</t>
  </si>
  <si>
    <t xml:space="preserve">25027354352</t>
  </si>
  <si>
    <t xml:space="preserve">3525132810860003</t>
  </si>
  <si>
    <t xml:space="preserve">Randupadangan, RT/RW 003/001, Randupadangan, Menganti, Kab. Gresik</t>
  </si>
  <si>
    <t xml:space="preserve">AHMAD ADAM ARDIANSYAH</t>
  </si>
  <si>
    <t xml:space="preserve">20090421776</t>
  </si>
  <si>
    <t xml:space="preserve">3524201904000001</t>
  </si>
  <si>
    <t xml:space="preserve">Kediren, RT/RW 002/002, Kediren, Kalitengah, Kab. Lamongan</t>
  </si>
  <si>
    <t xml:space="preserve">MOH. SOHIBUL RIDOQ</t>
  </si>
  <si>
    <t xml:space="preserve">22053492929</t>
  </si>
  <si>
    <t xml:space="preserve">3526032012070001</t>
  </si>
  <si>
    <t xml:space="preserve">Dsn. Pakem Bawah, RT/RW 000/000, Alaskembang, Burneh, Kab. Bangkalan</t>
  </si>
  <si>
    <t xml:space="preserve">859-1806-13079</t>
  </si>
  <si>
    <t xml:space="preserve">MUHAMMAD BILAL WAHYUDI</t>
  </si>
  <si>
    <t xml:space="preserve">28031687397</t>
  </si>
  <si>
    <t xml:space="preserve">3526020801040001</t>
  </si>
  <si>
    <t xml:space="preserve">Dsn. Tedunan, RT/RW 001/004, Socah, Socah, Kab. Bangkalan</t>
  </si>
  <si>
    <t xml:space="preserve">859-4343-6509</t>
  </si>
  <si>
    <t xml:space="preserve">AMMAR NOVEL</t>
  </si>
  <si>
    <t xml:space="preserve">27040633569</t>
  </si>
  <si>
    <t xml:space="preserve">3578102606940008</t>
  </si>
  <si>
    <t xml:space="preserve">Jojoran 3 / 69, RT/RW 015/012, Mojo, Gubeng, Kota Surabaya</t>
  </si>
  <si>
    <t xml:space="preserve">MOHAMMAD ANDRIANTO</t>
  </si>
  <si>
    <t xml:space="preserve">23092906007</t>
  </si>
  <si>
    <t xml:space="preserve">3578061007010004</t>
  </si>
  <si>
    <t xml:space="preserve">Kalibutuh Timur 2/6, RT/RW 005/007, Tembok Dukuh, Bubutan, Kota Surabaya</t>
  </si>
  <si>
    <t xml:space="preserve">JEREMIA CHRISTIAN BUDILAKSONO</t>
  </si>
  <si>
    <t xml:space="preserve">28006867177</t>
  </si>
  <si>
    <t xml:space="preserve">Operasional Staff</t>
  </si>
  <si>
    <t xml:space="preserve">3573022506990003</t>
  </si>
  <si>
    <t xml:space="preserve">Jl. Brigjen Slamet Riadi XVI/45, RT/RW 004/006, Oro Oro Dowo, Klojen, Kota Malang</t>
  </si>
  <si>
    <t xml:space="preserve">ACHMAD RIZALUDDIN</t>
  </si>
  <si>
    <t xml:space="preserve">23018063254</t>
  </si>
  <si>
    <t xml:space="preserve">3525082404030004</t>
  </si>
  <si>
    <t xml:space="preserve">Dusun Kemuning, RT/RW 002/005, Menunggal, Kedamean, Kab. Gresik</t>
  </si>
  <si>
    <t xml:space="preserve">RAUDAH</t>
  </si>
  <si>
    <t xml:space="preserve">23010742799</t>
  </si>
  <si>
    <t xml:space="preserve">6371054510940004</t>
  </si>
  <si>
    <t xml:space="preserve">Jl. Sutoyo S GG.12 No.40, RT/RW 022/002, Teluk Dalam, Banjarmasin Tengah, Kota Banjarmasin</t>
  </si>
  <si>
    <t xml:space="preserve">NURUL WAFIQ</t>
  </si>
  <si>
    <t xml:space="preserve">20077262570</t>
  </si>
  <si>
    <t xml:space="preserve">3517180505840003</t>
  </si>
  <si>
    <t xml:space="preserve">Dsn. Krembung, RT/RW 002/008, Mojokambang, Bandar Kedungmulyo, Kab. Jombang</t>
  </si>
  <si>
    <t xml:space="preserve">822-3381-9791</t>
  </si>
  <si>
    <t xml:space="preserve">AANG DWI RAMADHAN</t>
  </si>
  <si>
    <t xml:space="preserve">21065804649</t>
  </si>
  <si>
    <t xml:space="preserve">6402020901990001</t>
  </si>
  <si>
    <t xml:space="preserve">Loa Gagak</t>
  </si>
  <si>
    <t xml:space="preserve">Loa Gagak, RT/RW 021/000, Loa Kulu Kota, Loa Kulu, Kab. Kutai Kartanegara</t>
  </si>
  <si>
    <t xml:space="preserve">SYAHRIZAL AHMAD</t>
  </si>
  <si>
    <t xml:space="preserve">PT NIPSEA PAINT AND CHEMICALS (PALANGKA RAYA)</t>
  </si>
  <si>
    <t xml:space="preserve">28093195085</t>
  </si>
  <si>
    <t xml:space="preserve">6271011904970002</t>
  </si>
  <si>
    <t xml:space="preserve">Jl. Rta. Milono Km.5, 5/Candra Buana, RT/RW 001/015, Langkai, Pahandut, Kota Palangkaraya</t>
  </si>
  <si>
    <t xml:space="preserve">JUWITA ANGGREANI</t>
  </si>
  <si>
    <t xml:space="preserve">20016579055</t>
  </si>
  <si>
    <t xml:space="preserve">6206014907930001</t>
  </si>
  <si>
    <t xml:space="preserve">Jahanjang</t>
  </si>
  <si>
    <t xml:space="preserve">Jahanjang, RT/RW 002/001, Jahanjang, Kamipang, Kab. Katingan</t>
  </si>
  <si>
    <t xml:space="preserve">877-3461-6459</t>
  </si>
  <si>
    <t xml:space="preserve">SARIANA</t>
  </si>
  <si>
    <t xml:space="preserve">22081832538</t>
  </si>
  <si>
    <t xml:space="preserve">Head Trainer</t>
  </si>
  <si>
    <t xml:space="preserve">6304054203920005</t>
  </si>
  <si>
    <t xml:space="preserve">Ujung Panti</t>
  </si>
  <si>
    <t xml:space="preserve">Jl. Sepakat I A, RT/RW 003/001, Menteng, Jekan Raya, Kota Palangka Raya</t>
  </si>
  <si>
    <t xml:space="preserve">DIMAS PRAYOGA</t>
  </si>
  <si>
    <t xml:space="preserve">21079335548</t>
  </si>
  <si>
    <t xml:space="preserve">3516071703070001</t>
  </si>
  <si>
    <t xml:space="preserve">Ds.Payungrejo RT 04/RW 03 Kutorejo Mojokerto</t>
  </si>
  <si>
    <t xml:space="preserve">MOCH.SAYFUDIN</t>
  </si>
  <si>
    <t xml:space="preserve">26040155778</t>
  </si>
  <si>
    <t xml:space="preserve">3516073107940003</t>
  </si>
  <si>
    <t xml:space="preserve">Ds.Kepuharum RT 01/ RW 05 Kutorejo Mojokerto</t>
  </si>
  <si>
    <t xml:space="preserve">DODIK SUHERMAN</t>
  </si>
  <si>
    <t xml:space="preserve">28017884795</t>
  </si>
  <si>
    <t xml:space="preserve">3516050105880001</t>
  </si>
  <si>
    <t xml:space="preserve">Ds.Kembang ringgit RT 01/ RW 01 Pungging Mojokerto</t>
  </si>
  <si>
    <t xml:space="preserve">HANDOYO ARDIYANSYAH</t>
  </si>
  <si>
    <t xml:space="preserve">21037116241</t>
  </si>
  <si>
    <t xml:space="preserve">3515012504000003</t>
  </si>
  <si>
    <t xml:space="preserve">Segaran RT 04/RW 04 Dlanggu Mojokerto</t>
  </si>
  <si>
    <t xml:space="preserve">OBED SATRIA SAKTI PAMUNGKAS</t>
  </si>
  <si>
    <t xml:space="preserve">21024127238</t>
  </si>
  <si>
    <t xml:space="preserve">Magang GA</t>
  </si>
  <si>
    <t xml:space="preserve">3510161810060003</t>
  </si>
  <si>
    <t xml:space="preserve">Jl. Letkol Ngurah Rai No 14, RT/RW 004/003, Penganjuran, Banyuwangi, Kab. Banyuwangi</t>
  </si>
  <si>
    <t xml:space="preserve">REZA ADI FIRMANSYAH</t>
  </si>
  <si>
    <t xml:space="preserve">20046827567</t>
  </si>
  <si>
    <t xml:space="preserve">3578091806020004</t>
  </si>
  <si>
    <t xml:space="preserve">Gebang Lor 23E, RT/RW 001/001, Gebang Putih, Sukolilo, Kota Surabaya</t>
  </si>
  <si>
    <t xml:space="preserve">DUWI LESTARI</t>
  </si>
  <si>
    <t xml:space="preserve">20043103856</t>
  </si>
  <si>
    <t xml:space="preserve">Trainer</t>
  </si>
  <si>
    <t xml:space="preserve">3521106802900002</t>
  </si>
  <si>
    <t xml:space="preserve">Tempuran, RT/RW 002/012, Jegolan, Paron, Kab. Ngawi</t>
  </si>
  <si>
    <t xml:space="preserve">VITARANI DARTISTASARI</t>
  </si>
  <si>
    <t xml:space="preserve">29055798877</t>
  </si>
  <si>
    <t xml:space="preserve">3504146910970004</t>
  </si>
  <si>
    <t xml:space="preserve">Jl. Nusa Indah Dsn. Krandegan, RT/RW 004/002, Kalidawir, Kalidawir, Kab. Tulungagung</t>
  </si>
  <si>
    <t xml:space="preserve">NURUL ARIFAH</t>
  </si>
  <si>
    <t xml:space="preserve">24092424375</t>
  </si>
  <si>
    <t xml:space="preserve">3520167006950001</t>
  </si>
  <si>
    <t xml:space="preserve">Dukuh Danyang, RT/RW 023/004, Selotinatah, Ngariboyo, Kab. Magetan</t>
  </si>
  <si>
    <t xml:space="preserve">MARSINI</t>
  </si>
  <si>
    <t xml:space="preserve">24002547292</t>
  </si>
  <si>
    <t xml:space="preserve">3520164405940001</t>
  </si>
  <si>
    <t xml:space="preserve">Dusun Danyangan, RT/RW 023/004, Selotinatah, Ngariboyo, Kab. Magetan</t>
  </si>
  <si>
    <t xml:space="preserve">MARGUNA YASA SAPUTRA</t>
  </si>
  <si>
    <t xml:space="preserve">28042222310</t>
  </si>
  <si>
    <t xml:space="preserve">3524190512980003</t>
  </si>
  <si>
    <t xml:space="preserve">Wates, RT/RW 007/001, Kaliwates, Kembangbahu, Kab. Lamongan</t>
  </si>
  <si>
    <t xml:space="preserve">ABDUL WAHAB IRWAN ISWANTO</t>
  </si>
  <si>
    <t xml:space="preserve">25092745238</t>
  </si>
  <si>
    <t xml:space="preserve">SPB</t>
  </si>
  <si>
    <t xml:space="preserve">3578060411980005</t>
  </si>
  <si>
    <t xml:space="preserve">Kedung Anyar 2/58, RT/RW 004/012, Sawahan, Sawahan, Kota Surabaya</t>
  </si>
  <si>
    <t xml:space="preserve">ANGGA SUSILOWANTO</t>
  </si>
  <si>
    <t xml:space="preserve">20055257828</t>
  </si>
  <si>
    <t xml:space="preserve">3578042608890001</t>
  </si>
  <si>
    <t xml:space="preserve">Jetis Kulon 7/4 D, RT/RW 008/004, Wohokromo, Wonokromo, Kota Surabaya</t>
  </si>
  <si>
    <t xml:space="preserve">AHMAD BAGUS PERAKOSO</t>
  </si>
  <si>
    <t xml:space="preserve">24010672752</t>
  </si>
  <si>
    <t xml:space="preserve">3578042109020003</t>
  </si>
  <si>
    <t xml:space="preserve">Karangrejo Timur 3/27, RT/RW 001/003, Wonokromo, Wonokromo, Kota Surabaya</t>
  </si>
  <si>
    <t xml:space="preserve">DWI APRILYANO HARTANTO</t>
  </si>
  <si>
    <t xml:space="preserve">20088547492</t>
  </si>
  <si>
    <t xml:space="preserve">3578053004920001</t>
  </si>
  <si>
    <t xml:space="preserve">Rangkah Buntu I/73, RT/RW 006/006, Rangkah, Tambak Sari, Kota Surabaya</t>
  </si>
  <si>
    <t xml:space="preserve">IVAN MASFUCHAN ABDULLAH</t>
  </si>
  <si>
    <t xml:space="preserve">29075170281</t>
  </si>
  <si>
    <t xml:space="preserve">3578050209960002</t>
  </si>
  <si>
    <t xml:space="preserve">Plemahan Besar 8, RT/RW 004/010, Kedungdoro, Tegalsari, Kota Surabaya</t>
  </si>
  <si>
    <t xml:space="preserve">HARIS MAULANA AHSAN</t>
  </si>
  <si>
    <t xml:space="preserve">24006937515</t>
  </si>
  <si>
    <t xml:space="preserve">3578200402000004</t>
  </si>
  <si>
    <t xml:space="preserve">Dusun Kramat III/A, RT/RW 003/004, Jajartunggal, Wiyung, Kota Surabaya</t>
  </si>
  <si>
    <t xml:space="preserve">MUHAMMAD FAHRIZAL MAULANA</t>
  </si>
  <si>
    <t xml:space="preserve">20093983430</t>
  </si>
  <si>
    <t xml:space="preserve">3525162105010003</t>
  </si>
  <si>
    <t xml:space="preserve">Harun Tohir 3/8, RT/RW 003/004, Bedilan, Gresik, Kab. Gresik</t>
  </si>
  <si>
    <t xml:space="preserve">TIA DYAH PUSPITASARI</t>
  </si>
  <si>
    <t xml:space="preserve">21087186375</t>
  </si>
  <si>
    <t xml:space="preserve">Admin Operasional Transport</t>
  </si>
  <si>
    <t xml:space="preserve">3578144806040002</t>
  </si>
  <si>
    <t xml:space="preserve">Jl. Manukan Tirto Blok 22-B/4, RT/RW 006/008, Manukan Kulon, Tandes, Kota Surabaya</t>
  </si>
  <si>
    <t xml:space="preserve">ERIS HALIM PERMANA</t>
  </si>
  <si>
    <t xml:space="preserve">29098056265</t>
  </si>
  <si>
    <t xml:space="preserve">Checker logistik </t>
  </si>
  <si>
    <t xml:space="preserve">3515133105920001</t>
  </si>
  <si>
    <t xml:space="preserve">Wonocolo 5/32, RT/RW 003/001, Wonocolo, Taman, Kab. Sidoarjo</t>
  </si>
  <si>
    <t xml:space="preserve">PUTRI ANGGRAINI NINGSIH</t>
  </si>
  <si>
    <t xml:space="preserve">26050455478</t>
  </si>
  <si>
    <t xml:space="preserve">3506245102050001</t>
  </si>
  <si>
    <t xml:space="preserve">Dsn. Pasirharjo, RT/RW 003/005, Sumbersari, Udanawu, Kab. Blitar</t>
  </si>
  <si>
    <t xml:space="preserve">ANTIKA SURYAWATI</t>
  </si>
  <si>
    <t xml:space="preserve">21037674266</t>
  </si>
  <si>
    <t xml:space="preserve">3506186501940005</t>
  </si>
  <si>
    <t xml:space="preserve">Dusun Rejosari, RT/RW 009/004, Petiken, Driyorejo, Kab. Gresik</t>
  </si>
  <si>
    <t xml:space="preserve">PITER SUGIANTO</t>
  </si>
  <si>
    <t xml:space="preserve">22099123478</t>
  </si>
  <si>
    <t xml:space="preserve">3525150612920001</t>
  </si>
  <si>
    <t xml:space="preserve">Dsn. Randupukah, RT/RW 014/003, Gadung, Driyorejo, Kab. Gresik</t>
  </si>
  <si>
    <t xml:space="preserve">PUTRI SUWESTI NINGSIH</t>
  </si>
  <si>
    <t xml:space="preserve">25019610646</t>
  </si>
  <si>
    <t xml:space="preserve">Harian Borongan</t>
  </si>
  <si>
    <t xml:space="preserve">3524165303030002</t>
  </si>
  <si>
    <t xml:space="preserve">Kedungbunder, RT/RW 003/002, Kedungsoko, Mantup, Kab. Lamongan</t>
  </si>
  <si>
    <t xml:space="preserve">YOGA MAHENDRA RAMANDA PUTRA</t>
  </si>
  <si>
    <t xml:space="preserve">22087923264</t>
  </si>
  <si>
    <t xml:space="preserve">QC Inspector</t>
  </si>
  <si>
    <t xml:space="preserve">3578031012030001</t>
  </si>
  <si>
    <t xml:space="preserve">Wonorejo Indah Timur 4/9, RT/RW 003/008, Wonorejo, Rungkut, Kota Surabaya</t>
  </si>
  <si>
    <t xml:space="preserve">DIYO DWI ALFARIZI</t>
  </si>
  <si>
    <t xml:space="preserve">28070494787</t>
  </si>
  <si>
    <t xml:space="preserve">3515111902070001</t>
  </si>
  <si>
    <t xml:space="preserve">Dsn Ngagrok, RT/RW 002/005, Tempel, Krian, Kab. Sidoarjo</t>
  </si>
  <si>
    <t xml:space="preserve">SARIFFAL FABRIAN AL FATTIR</t>
  </si>
  <si>
    <t xml:space="preserve">23000244714</t>
  </si>
  <si>
    <t xml:space="preserve">3525132604070002</t>
  </si>
  <si>
    <t xml:space="preserve">Kedinding Tengah Baru I/37, RT/RW 011/002, Tanah Kali Kedinding, Kenjeran, Kota Surabaya</t>
  </si>
  <si>
    <t xml:space="preserve">MUCHAMMAD FIKTOR PUJIANTO</t>
  </si>
  <si>
    <t xml:space="preserve">26027301471</t>
  </si>
  <si>
    <t xml:space="preserve">3525131310940013</t>
  </si>
  <si>
    <t xml:space="preserve">Hendrosari, RT/RW 007/003, Hendrosari, Menganti, Kab. Gresik</t>
  </si>
  <si>
    <t xml:space="preserve">085258000206 / 08574678566</t>
  </si>
  <si>
    <t xml:space="preserve">DEVI PUTRI ANGGARINI</t>
  </si>
  <si>
    <t xml:space="preserve">29059796471</t>
  </si>
  <si>
    <t xml:space="preserve">3516145410990002</t>
  </si>
  <si>
    <t xml:space="preserve">Banci, RT/RW 018/005, Kemantren, Gedeg, Kab. Mojokerto</t>
  </si>
  <si>
    <t xml:space="preserve">NURMA MAQOINDA</t>
  </si>
  <si>
    <t xml:space="preserve">25089042902</t>
  </si>
  <si>
    <t xml:space="preserve">3516086909990001</t>
  </si>
  <si>
    <t xml:space="preserve">Sumberjo, RT/RW 002/001, Sumbertanggul, Mojosari, Kab. Mojokerto</t>
  </si>
  <si>
    <t xml:space="preserve">ALISYA RAHMA JUNIA</t>
  </si>
  <si>
    <t xml:space="preserve">25072520456</t>
  </si>
  <si>
    <t xml:space="preserve">3210045606020021</t>
  </si>
  <si>
    <t xml:space="preserve">Majalengka</t>
  </si>
  <si>
    <t xml:space="preserve">Taman Banten Lestari Blok C.17A/2, RT/RW 008/016, Unyur, Serang, Kota Serang</t>
  </si>
  <si>
    <t xml:space="preserve">KRISTIYORINI</t>
  </si>
  <si>
    <t xml:space="preserve">25004481832</t>
  </si>
  <si>
    <t xml:space="preserve">3578185406930001</t>
  </si>
  <si>
    <t xml:space="preserve">Asem Jajar 5/1 A, RT/RW 004/003, Tembok Dukuh, Bubutan, Kota Surabaya</t>
  </si>
  <si>
    <t xml:space="preserve">DHIMAS ARNANDO NAVI CAHYOWIDYO</t>
  </si>
  <si>
    <t xml:space="preserve">21092855445</t>
  </si>
  <si>
    <t xml:space="preserve">Operator Tubular</t>
  </si>
  <si>
    <t xml:space="preserve">3578212909960005</t>
  </si>
  <si>
    <t xml:space="preserve">Wonokitri 4/3.C, RT/RW 004/005, Gunungsari, Dukuh Pakis, Kota Surabaya</t>
  </si>
  <si>
    <t xml:space="preserve">THORIQUL HILMI AFAN MATHOVANI</t>
  </si>
  <si>
    <t xml:space="preserve">21089520284</t>
  </si>
  <si>
    <t xml:space="preserve">3578103003030005</t>
  </si>
  <si>
    <t xml:space="preserve">Sidokerto, RT/RW 002/006, Pulorejo, Dawar Blandong, Kab. Mojokerto</t>
  </si>
  <si>
    <t xml:space="preserve">ANGGA ANDRIANTO</t>
  </si>
  <si>
    <t xml:space="preserve">25076521328</t>
  </si>
  <si>
    <t xml:space="preserve">3505152802980005</t>
  </si>
  <si>
    <t xml:space="preserve">Perum GBA Bungah, RT/RW 017/006, Bungah, Bungah, Kab. Gresik</t>
  </si>
  <si>
    <t xml:space="preserve">GALIH ARIANTO</t>
  </si>
  <si>
    <t xml:space="preserve">23038988816</t>
  </si>
  <si>
    <t xml:space="preserve">3516072404060002</t>
  </si>
  <si>
    <t xml:space="preserve">Brubuh, RT/RW 001/010, Sampangagung, Kutorejo, Kab. Mojokerto</t>
  </si>
  <si>
    <t xml:space="preserve">CANDRA YUDHA PRATAMA</t>
  </si>
  <si>
    <t xml:space="preserve">27011207545</t>
  </si>
  <si>
    <t xml:space="preserve">3516071010030004</t>
  </si>
  <si>
    <t xml:space="preserve">Dsn. Jatisari, RT/RW 002/006, Pesanggrahan, Kutorejo, Kab. Mojokerto</t>
  </si>
  <si>
    <t xml:space="preserve">ADITYO DWI SAPUTRO</t>
  </si>
  <si>
    <t xml:space="preserve">22079852401</t>
  </si>
  <si>
    <t xml:space="preserve">3516102410070001</t>
  </si>
  <si>
    <t xml:space="preserve">RT/RW 008/001, Kutoporong, Bangsal, Kab. Mojokerto</t>
  </si>
  <si>
    <t xml:space="preserve">NAYAKA WAFAYONI HARJOKO</t>
  </si>
  <si>
    <t xml:space="preserve">23022342321</t>
  </si>
  <si>
    <t xml:space="preserve">3573041303050007</t>
  </si>
  <si>
    <t xml:space="preserve">Jl. Pelabuhan Bakahuni 1, RT/RW 002/006, Bakalankrajan, Sukun, Kota Malang</t>
  </si>
  <si>
    <t xml:space="preserve">MUKHAMAD RAFI ARANDI</t>
  </si>
  <si>
    <t xml:space="preserve">26011076031</t>
  </si>
  <si>
    <t xml:space="preserve">3514111106020005</t>
  </si>
  <si>
    <t xml:space="preserve">Dusun Kedawung, RT/RW 001/004, Tunggul Wulung, Pandaan, Kab. Pasuruan</t>
  </si>
  <si>
    <t xml:space="preserve">ILHAM LAZUARDI</t>
  </si>
  <si>
    <t xml:space="preserve">20089071401</t>
  </si>
  <si>
    <t xml:space="preserve">3516172210990002</t>
  </si>
  <si>
    <t xml:space="preserve">Guyangan, RT/RW 002/003, Madureso, Dawar Blandong, Kab. Mojokerto</t>
  </si>
  <si>
    <t xml:space="preserve">WIFQI ATHO'UR ROHMAN</t>
  </si>
  <si>
    <t xml:space="preserve">24001193932</t>
  </si>
  <si>
    <t xml:space="preserve">3507230310050002</t>
  </si>
  <si>
    <t xml:space="preserve">Dusun Ngijo, RT/RW 005/004, Ngijo, Karangploso, Kab. Malang</t>
  </si>
  <si>
    <t xml:space="preserve">AHMAD ZULFIDIYANTO</t>
  </si>
  <si>
    <t xml:space="preserve">25001249552</t>
  </si>
  <si>
    <t xml:space="preserve">3515132506960009</t>
  </si>
  <si>
    <t xml:space="preserve">Ketegan Barat III, RT/RW 002/001, Ketegan, Taman, Kab. Sidoarjo</t>
  </si>
  <si>
    <t xml:space="preserve">NOFA NUR ROFIQ</t>
  </si>
  <si>
    <t xml:space="preserve">28093891190</t>
  </si>
  <si>
    <t xml:space="preserve">3522041707050003</t>
  </si>
  <si>
    <t xml:space="preserve">Jampet, RT/RW 014/003, Jampet, Ngasem, Kab. Bojonegoro</t>
  </si>
  <si>
    <t xml:space="preserve">FARHAN AUNUR ZAHIR</t>
  </si>
  <si>
    <t xml:space="preserve">28033428013</t>
  </si>
  <si>
    <t xml:space="preserve">3515140110010002</t>
  </si>
  <si>
    <t xml:space="preserve">Perum Pondok Jati Blok DE-03, RT/RW 032/009, Jati, Sidoarjo, Kab. Sidoarjo</t>
  </si>
  <si>
    <t xml:space="preserve">RISA RAHMAWATI</t>
  </si>
  <si>
    <t xml:space="preserve">28075927125</t>
  </si>
  <si>
    <t xml:space="preserve">PCC</t>
  </si>
  <si>
    <t xml:space="preserve">3504187003030002</t>
  </si>
  <si>
    <t xml:space="preserve">Dsn. Kedung Dowo, RT/RW 001/002, Gesikan, Pakel, Kab. Tulungagung</t>
  </si>
  <si>
    <t xml:space="preserve">KISMIA DISANTI PUTRI S.AB</t>
  </si>
  <si>
    <t xml:space="preserve">26063836151</t>
  </si>
  <si>
    <t xml:space="preserve">Social Media Specialist</t>
  </si>
  <si>
    <t xml:space="preserve">3577016507980001</t>
  </si>
  <si>
    <t xml:space="preserve">Perum Grand Respatia.27, RT/RW 031/008, Josenan, Taman, Kota Madiun</t>
  </si>
  <si>
    <t xml:space="preserve">ANISA RIZKY AMALIA</t>
  </si>
  <si>
    <t xml:space="preserve">27018275480</t>
  </si>
  <si>
    <t xml:space="preserve">6471035003000002</t>
  </si>
  <si>
    <t xml:space="preserve">Jl. Batu Ratna No., RT/RW 015/000, Karang Joang, Balikpapan Utara, Kota Balikpapan</t>
  </si>
  <si>
    <t xml:space="preserve">NURLAILA</t>
  </si>
  <si>
    <t xml:space="preserve">21057164794</t>
  </si>
  <si>
    <t xml:space="preserve">6471026008000004</t>
  </si>
  <si>
    <t xml:space="preserve">Gunung Satu No.10, RT/RW 025/000, Baru Ilir, Balikpapan Barat, Kota Balikpapan</t>
  </si>
  <si>
    <t xml:space="preserve">NURLIA AGUSTIANI</t>
  </si>
  <si>
    <t xml:space="preserve">27038646317</t>
  </si>
  <si>
    <t xml:space="preserve">6471046208980003</t>
  </si>
  <si>
    <t xml:space="preserve">Jl. Jend. A. Yani No. 08, RT/RW 037/000, Karang Jati, Balikpapan Tengah, Kota Balikpapan</t>
  </si>
  <si>
    <t xml:space="preserve">ARUMNDANI SEKAR KUSUMA</t>
  </si>
  <si>
    <t xml:space="preserve">26099494013</t>
  </si>
  <si>
    <t xml:space="preserve">3505196509980002</t>
  </si>
  <si>
    <t xml:space="preserve">Rungkut Lor Gg. III-E / 4-H, RT/RW 004/006, Kalirungkut, Rungkut, Kota Surabaya</t>
  </si>
  <si>
    <t xml:space="preserve">ANDI SETIAWAN</t>
  </si>
  <si>
    <t xml:space="preserve">3524261507920003</t>
  </si>
  <si>
    <t xml:space="preserve">Soko, RT/RW 003/001, Soko, Glagah, Kab. Lamongan</t>
  </si>
  <si>
    <t xml:space="preserve">AHMAD MUSTOFA</t>
  </si>
  <si>
    <t xml:space="preserve">3578100605950008</t>
  </si>
  <si>
    <t xml:space="preserve">Gubeng Masjid 1/26, RT/RW 001/007, Pacarkeling, Tambaksari, Kota Surabaya</t>
  </si>
  <si>
    <t xml:space="preserve">DWIKI ERLANGGA</t>
  </si>
  <si>
    <t xml:space="preserve">22085012783</t>
  </si>
  <si>
    <t xml:space="preserve">3506042303980003</t>
  </si>
  <si>
    <t xml:space="preserve">Dusun Cakruk, RT/RW 001/005, Tales, Ngadiluwih, Kab. Kediri</t>
  </si>
  <si>
    <t xml:space="preserve">DANI SALAM</t>
  </si>
  <si>
    <t xml:space="preserve">26028430332</t>
  </si>
  <si>
    <t xml:space="preserve">3175060506040020</t>
  </si>
  <si>
    <t xml:space="preserve">Jl. Rambutan, RT/RW 001/001, Keleyan, Socah, Kab. Bangkalan</t>
  </si>
  <si>
    <t xml:space="preserve">MOH. FAUZAN ALFARIS</t>
  </si>
  <si>
    <t xml:space="preserve">20081875187</t>
  </si>
  <si>
    <t xml:space="preserve">3526032308070001</t>
  </si>
  <si>
    <t xml:space="preserve">ANDRIANZAH ADI SUBEKTI</t>
  </si>
  <si>
    <t xml:space="preserve">25068068806</t>
  </si>
  <si>
    <t xml:space="preserve">Operator Forklift FG Store</t>
  </si>
  <si>
    <t xml:space="preserve">3578111611920002</t>
  </si>
  <si>
    <t xml:space="preserve">Perum Taman Bunga Indah Blok DD 003, RT/RW 010/004, Kisik, Bungap, Kab. Gresik</t>
  </si>
  <si>
    <t xml:space="preserve">RENDY YOGA PRADANA</t>
  </si>
  <si>
    <t xml:space="preserve">29050426908</t>
  </si>
  <si>
    <t xml:space="preserve">3578010104930002</t>
  </si>
  <si>
    <t xml:space="preserve">Gempolumbung, RT/RW 001/004, Doyomulyo, Kembangbahu, Kab. Lamongan</t>
  </si>
  <si>
    <t xml:space="preserve">MUHAMMAD TAJJUL ARIFIN</t>
  </si>
  <si>
    <t xml:space="preserve">23080229806</t>
  </si>
  <si>
    <t xml:space="preserve">3516132807060002</t>
  </si>
  <si>
    <t xml:space="preserve">Kedungpring, RT/RW 003/003, Jampirogo, Sooko, Kab. Mojokerto</t>
  </si>
  <si>
    <t xml:space="preserve">HADI RUSADI</t>
  </si>
  <si>
    <t xml:space="preserve">25020716781</t>
  </si>
  <si>
    <t xml:space="preserve">SPB/SPG</t>
  </si>
  <si>
    <t xml:space="preserve">6308010307990004</t>
  </si>
  <si>
    <t xml:space="preserve">Barito Kuala</t>
  </si>
  <si>
    <t xml:space="preserve">Jelapati I, RT/RW 013/000, Jelapati, Tambun, Kab. Barito Kuala</t>
  </si>
  <si>
    <t xml:space="preserve">ARI DILAH QUR'ANI</t>
  </si>
  <si>
    <t xml:space="preserve">21026691215</t>
  </si>
  <si>
    <t xml:space="preserve">Admin (Intern)</t>
  </si>
  <si>
    <t xml:space="preserve">3578104203060004</t>
  </si>
  <si>
    <t xml:space="preserve">Gading 1/24, RT/RW 006/007, Gading, Tambaksari, Kota Surabaya</t>
  </si>
  <si>
    <t xml:space="preserve">JESSICA AMELIA PUTRI</t>
  </si>
  <si>
    <t xml:space="preserve">23053961367</t>
  </si>
  <si>
    <t xml:space="preserve">3515164406000004</t>
  </si>
  <si>
    <t xml:space="preserve">Jl. Berdikari 1/38, RT/RW 007/001, Bangsah, Gedangan, Kab. Sidoarjo</t>
  </si>
  <si>
    <t xml:space="preserve">GANA PRAYASA PUTRA</t>
  </si>
  <si>
    <t xml:space="preserve">24099465796</t>
  </si>
  <si>
    <t xml:space="preserve">3515132212950003</t>
  </si>
  <si>
    <t xml:space="preserve">Dsn. Gedangan, RT/RW 005/001, Gedangan, Campurdarat, Kab. Tulungagung</t>
  </si>
  <si>
    <t xml:space="preserve">RENALDI EKO PRASETYO</t>
  </si>
  <si>
    <t xml:space="preserve">3515171403990005</t>
  </si>
  <si>
    <t xml:space="preserve">Gununganyar Tengah 7B/20A Rt 003 Rw 002 Gunung Anyar Surabaya</t>
  </si>
  <si>
    <t xml:space="preserve">089514803784</t>
  </si>
  <si>
    <t xml:space="preserve">RESTI ROSALINA</t>
  </si>
  <si>
    <t xml:space="preserve">0001535038593</t>
  </si>
  <si>
    <t xml:space="preserve">3578226301870001</t>
  </si>
  <si>
    <t xml:space="preserve">Banyu Urip Wetan Tengah 6/35 RT 010 RW 007 Banyu Urip Sawahan Surabaya</t>
  </si>
  <si>
    <t xml:space="preserve">RESTU DEBORA SIREGAR</t>
  </si>
  <si>
    <t xml:space="preserve">27084271147</t>
  </si>
  <si>
    <t xml:space="preserve">1211106105970001</t>
  </si>
  <si>
    <t xml:space="preserve">Kedungdoro 6/1-A, RT/RW 006/011, Sawahan, Sawahan, Kota Surabaya</t>
  </si>
  <si>
    <t xml:space="preserve">RHAMATIKA WAHYUNINGSIH NURVIASARI</t>
  </si>
  <si>
    <t xml:space="preserve">0001702738484</t>
  </si>
  <si>
    <t xml:space="preserve">3517045707960001</t>
  </si>
  <si>
    <t xml:space="preserve">Dsn Pakel RT/RW 001/002 Pakel, Bareng, Jombang</t>
  </si>
  <si>
    <t xml:space="preserve">RICHLATAL ILMI</t>
  </si>
  <si>
    <t xml:space="preserve">0001440242998</t>
  </si>
  <si>
    <t xml:space="preserve">3578256203960002</t>
  </si>
  <si>
    <t xml:space="preserve">Gunung Anyar Tengah 7.B/20.A, RT/RW 003/002, Gunung Anyar, Gunung Anyar, Surabaya</t>
  </si>
  <si>
    <t xml:space="preserve">RICY FEBRIANTO</t>
  </si>
  <si>
    <t xml:space="preserve">0001536707935</t>
  </si>
  <si>
    <t xml:space="preserve">Warehouse Transfer</t>
  </si>
  <si>
    <t xml:space="preserve">3517022002990004</t>
  </si>
  <si>
    <t xml:space="preserve">Dsn. Gempolan, RT/RW 001/001, Gempol Legundi, Gudo, Jombang</t>
  </si>
  <si>
    <t xml:space="preserve">RISKA WAHYU UTAMI</t>
  </si>
  <si>
    <t xml:space="preserve">20023918682</t>
  </si>
  <si>
    <t xml:space="preserve">3521086710910001</t>
  </si>
  <si>
    <t xml:space="preserve">Dsn. Trawasan, RT/RW 004/002, Trawasan, Sumobito, Kab. Jombang</t>
  </si>
  <si>
    <t xml:space="preserve">RISMA PUJI RAHAYU</t>
  </si>
  <si>
    <t xml:space="preserve">27032010170</t>
  </si>
  <si>
    <t xml:space="preserve">3519154903010001</t>
  </si>
  <si>
    <t xml:space="preserve">Banyukambang, RT/RW 005/003, Banyukambang, Wonoasri, Kab. Madiun</t>
  </si>
  <si>
    <t xml:space="preserve">RIZA NUR ROSYIDAH</t>
  </si>
  <si>
    <t xml:space="preserve">22069524991</t>
  </si>
  <si>
    <t xml:space="preserve">3517116305990001</t>
  </si>
  <si>
    <t xml:space="preserve">Dsn. Bakalan, RT/RW 001/002, Bakalan, Sumobito, Kab. Jombang</t>
  </si>
  <si>
    <t xml:space="preserve">RIZKA PUTRI RAHAYU</t>
  </si>
  <si>
    <t xml:space="preserve">0001316410378</t>
  </si>
  <si>
    <t xml:space="preserve">3578256507880001</t>
  </si>
  <si>
    <t xml:space="preserve">Rungkut Tengah 3A/21 RT/RW 001/004 Rungkut Tengah, Gunung Anyar, Surabaya</t>
  </si>
  <si>
    <t xml:space="preserve">ROCHANA JULIATI</t>
  </si>
  <si>
    <t xml:space="preserve">0001539287458</t>
  </si>
  <si>
    <t xml:space="preserve">3578257107930001</t>
  </si>
  <si>
    <t xml:space="preserve">Siwalankerto Timur 3 No 26 RT 007 RW 005 Siwalankerto Wonocolo Surabaya</t>
  </si>
  <si>
    <t xml:space="preserve">ROCHMAT SETYOWAHYUDI</t>
  </si>
  <si>
    <t xml:space="preserve">0001044711314</t>
  </si>
  <si>
    <t xml:space="preserve">Assy. Operator</t>
  </si>
  <si>
    <t xml:space="preserve">3518061508030003</t>
  </si>
  <si>
    <t xml:space="preserve">Nglawak RT 001 RW 001 Nglawak Prambon Nganjuk</t>
  </si>
  <si>
    <t xml:space="preserve">RR. AYU ANGGRAINI PUSPITASARI</t>
  </si>
  <si>
    <t xml:space="preserve">21087734778</t>
  </si>
  <si>
    <t xml:space="preserve">3578255212020003</t>
  </si>
  <si>
    <t xml:space="preserve">Gununganyar Tambak Utara II, RT/RW 008/003, Gunung Anyar Tambak, Gunung Anyar, Kota Surabaya</t>
  </si>
  <si>
    <t xml:space="preserve">SAHMA WATI</t>
  </si>
  <si>
    <t xml:space="preserve">24085880061</t>
  </si>
  <si>
    <t xml:space="preserve">3578094910970002</t>
  </si>
  <si>
    <t xml:space="preserve">Klampis Ngasen 2/14-A, RT/RW 003/002, Klampis Ngasen, Sukolilo, Kota Surabaya</t>
  </si>
  <si>
    <t xml:space="preserve">SALAMAH</t>
  </si>
  <si>
    <t xml:space="preserve">0001535039447</t>
  </si>
  <si>
    <t xml:space="preserve">3525045011850001</t>
  </si>
  <si>
    <t xml:space="preserve">Jl. RA Kartini RT/RW 001/001 Tulangan, Tulangan, Sidoarjo</t>
  </si>
  <si>
    <t xml:space="preserve">SANTI AGUSTINA WIDIYANI</t>
  </si>
  <si>
    <t xml:space="preserve">26075677002</t>
  </si>
  <si>
    <t xml:space="preserve">3517045408010001</t>
  </si>
  <si>
    <t xml:space="preserve">Dsn. Pakel, RT/RW 001/002, Pakel, Bareng, Kab. Jombang</t>
  </si>
  <si>
    <t xml:space="preserve">SARPIAH</t>
  </si>
  <si>
    <t xml:space="preserve">0001395320499</t>
  </si>
  <si>
    <t xml:space="preserve">3578096502830004</t>
  </si>
  <si>
    <t xml:space="preserve">Menur 4/31-B RT/RW 005/001 Menur Pumpungan, Sukolilo, Surabaya</t>
  </si>
  <si>
    <t xml:space="preserve">SEPTI DIANA PUTRI</t>
  </si>
  <si>
    <t xml:space="preserve">0003527264349</t>
  </si>
  <si>
    <t xml:space="preserve">3519085309030001</t>
  </si>
  <si>
    <t xml:space="preserve">Kalicilik RT 005 RW 002 Kalicilik, Sukosewu, Bojonegoro</t>
  </si>
  <si>
    <t xml:space="preserve">SHELY AGUSTIN MISTI</t>
  </si>
  <si>
    <t xml:space="preserve">28042762467</t>
  </si>
  <si>
    <t xml:space="preserve">3519055408010001</t>
  </si>
  <si>
    <t xml:space="preserve">Seweru, RT/RW 029/006, Kare, Kare, Kab. Madiun</t>
  </si>
  <si>
    <t xml:space="preserve">SHERRIN MARETA KAYLA</t>
  </si>
  <si>
    <t xml:space="preserve">21097889778</t>
  </si>
  <si>
    <t xml:space="preserve">3506156603080003</t>
  </si>
  <si>
    <t xml:space="preserve">Dsn Purwodadi, RT/RW 001/001, Purwodadi, Purwoasri, Kab. Kediri</t>
  </si>
  <si>
    <t xml:space="preserve">SHINTA DWI NURTOYIBAH</t>
  </si>
  <si>
    <t xml:space="preserve">3515146503040003</t>
  </si>
  <si>
    <t xml:space="preserve">Legok Rt 018 Rw 006 Suko Sukodono Sidoarjo</t>
  </si>
  <si>
    <t xml:space="preserve">085334556725</t>
  </si>
  <si>
    <t xml:space="preserve">SILFIARISKA</t>
  </si>
  <si>
    <t xml:space="preserve">20067037131</t>
  </si>
  <si>
    <t xml:space="preserve">3515186702010006</t>
  </si>
  <si>
    <t xml:space="preserve">Berbek III B/54, RT/RW 006/003, Berbek, Waru, Kab. Sidoarjo</t>
  </si>
  <si>
    <t xml:space="preserve">SISKA RIKY FATMAWATI</t>
  </si>
  <si>
    <t xml:space="preserve">0001539286751</t>
  </si>
  <si>
    <t xml:space="preserve">Qa Inspector Ad1</t>
  </si>
  <si>
    <t xml:space="preserve">3519116205940001</t>
  </si>
  <si>
    <t xml:space="preserve">Dusun Sumberejo RT/RW 006/002 Kaliabu, Mejayan, Madiun</t>
  </si>
  <si>
    <t xml:space="preserve">SITI AISAH</t>
  </si>
  <si>
    <t xml:space="preserve">26019973072</t>
  </si>
  <si>
    <t xml:space="preserve">3509045205930006</t>
  </si>
  <si>
    <t xml:space="preserve">Dusun Khujan, RT/RW 001/001, Kepanjen, Gumuk Mas, Kab. Jember</t>
  </si>
  <si>
    <t xml:space="preserve">SITI FAIDDATUL UMMAH</t>
  </si>
  <si>
    <t xml:space="preserve">22080647969</t>
  </si>
  <si>
    <t xml:space="preserve">3522024504050005</t>
  </si>
  <si>
    <t xml:space="preserve">Kedungadem, RT/RW 014/003, Malingmati, Tambakrejo, Kab. Bojonegoro</t>
  </si>
  <si>
    <t xml:space="preserve">SITI RISMA KURNIA PUTRI</t>
  </si>
  <si>
    <t xml:space="preserve">25045009025</t>
  </si>
  <si>
    <t xml:space="preserve">3515116103050003</t>
  </si>
  <si>
    <t xml:space="preserve">Dsn. Areng Areng, RT/RW 001/002, Tropodo, Krian, Kab. Sidoarjo</t>
  </si>
  <si>
    <t xml:space="preserve">SONIA AGUSTINA DEWI</t>
  </si>
  <si>
    <t xml:space="preserve">25090561655</t>
  </si>
  <si>
    <t xml:space="preserve">3316086008980002</t>
  </si>
  <si>
    <t xml:space="preserve">RT/RW 004/003, Jepon, Jepon, Kab. Blora</t>
  </si>
  <si>
    <t xml:space="preserve">SRI ANIK</t>
  </si>
  <si>
    <t xml:space="preserve">26079169470</t>
  </si>
  <si>
    <t xml:space="preserve">3518025211830003</t>
  </si>
  <si>
    <t xml:space="preserve">Dusun Badong, RT/RW 002/002, Ngetos, Ngetos, Kab. Nganjuk</t>
  </si>
  <si>
    <t xml:space="preserve">SRI ASTUTIK</t>
  </si>
  <si>
    <t xml:space="preserve">0000732185482</t>
  </si>
  <si>
    <t xml:space="preserve">3518055401930001</t>
  </si>
  <si>
    <t xml:space="preserve">Dsn. Karang Anom RT/RW 002/002 Pacewetan, Pace, Nganjuk</t>
  </si>
  <si>
    <t xml:space="preserve">0002908183768</t>
  </si>
  <si>
    <t xml:space="preserve">6372025801830001</t>
  </si>
  <si>
    <t xml:space="preserve">Rungkut Kidul 3 Majemuk / 22-B RT/RW 004/003 Rungkut Kidul, Rungkut, Surabaya</t>
  </si>
  <si>
    <t xml:space="preserve">SRI NINGSIH</t>
  </si>
  <si>
    <t xml:space="preserve">26058989347</t>
  </si>
  <si>
    <t xml:space="preserve">3506154810890004</t>
  </si>
  <si>
    <t xml:space="preserve">Dsn. Dayu, RT/RW 002/001, Dayu, Purwoasri, Kab. Kediri</t>
  </si>
  <si>
    <t xml:space="preserve">SRI RAHAYU</t>
  </si>
  <si>
    <t xml:space="preserve">3517016307970004</t>
  </si>
  <si>
    <t xml:space="preserve">Kaliampo Rt 012 Rw 003 Kalipecabean Candi Sidoarjo</t>
  </si>
  <si>
    <t xml:space="preserve">083849010468</t>
  </si>
  <si>
    <t xml:space="preserve">26050333491</t>
  </si>
  <si>
    <t xml:space="preserve">3520105102970001</t>
  </si>
  <si>
    <t xml:space="preserve">Dk. Gandu, RT/RW 020/008, Bendo, Bendo, Kab. Magetan</t>
  </si>
  <si>
    <t xml:space="preserve">SRI WAHYUNI</t>
  </si>
  <si>
    <t xml:space="preserve">21041520850</t>
  </si>
  <si>
    <t xml:space="preserve">3522134311900003</t>
  </si>
  <si>
    <t xml:space="preserve">Jl.Sangin Gg Nangka Iii Rt 024 Rw 002 Sidobandung Balen Bojonegoro</t>
  </si>
  <si>
    <t xml:space="preserve">SRIATI</t>
  </si>
  <si>
    <t xml:space="preserve">0001539287559</t>
  </si>
  <si>
    <t xml:space="preserve">3522196911860002</t>
  </si>
  <si>
    <t xml:space="preserve">Dusun Gempol RT/RW 007/002 Ngasinan, Padangan, Bojonegoro</t>
  </si>
  <si>
    <t xml:space="preserve">20012580799</t>
  </si>
  <si>
    <t xml:space="preserve">3519085212880001</t>
  </si>
  <si>
    <t xml:space="preserve">Gununganyar, RT/RW 006/002, Gunung Anyar, Gunung Anyar, Kota Surabaya</t>
  </si>
  <si>
    <t xml:space="preserve">SUCI INDAH TRIANA</t>
  </si>
  <si>
    <t xml:space="preserve">27069864079</t>
  </si>
  <si>
    <t xml:space="preserve">3210166211970001</t>
  </si>
  <si>
    <t xml:space="preserve">Berbek IB/7A, RT/RW 004/001, Berbek, Waru, Kab. Sidoarjo</t>
  </si>
  <si>
    <t xml:space="preserve">SUCI WULANDARY</t>
  </si>
  <si>
    <t xml:space="preserve">3510164511040004</t>
  </si>
  <si>
    <t xml:space="preserve">Jl. Supriyadi No. 54 Rt 002 W 002 Penganjuran Banyuwangi</t>
  </si>
  <si>
    <t xml:space="preserve">08816381028</t>
  </si>
  <si>
    <t xml:space="preserve">SUGIARTI</t>
  </si>
  <si>
    <t xml:space="preserve">0001539070841</t>
  </si>
  <si>
    <t xml:space="preserve">3524186605900001</t>
  </si>
  <si>
    <t xml:space="preserve">Rungkut Tengah IA / 22 RT/RW 004/004 Rungkut Tengah, Gunung Anyar, Surabaya</t>
  </si>
  <si>
    <t xml:space="preserve">SUHARTINI</t>
  </si>
  <si>
    <t xml:space="preserve">0001539286479</t>
  </si>
  <si>
    <t xml:space="preserve">3578036809930003</t>
  </si>
  <si>
    <t xml:space="preserve">Wonorejo II/10-B RT/RW 004/001 Wonorejo, Rungkut, Surabaya</t>
  </si>
  <si>
    <t xml:space="preserve">SULASTRI</t>
  </si>
  <si>
    <t xml:space="preserve">0001535040055</t>
  </si>
  <si>
    <t xml:space="preserve">3578256004810001</t>
  </si>
  <si>
    <t xml:space="preserve">Rungkut Tengah 4A/5, RT/RW 044/002, Rungkut Tengah, Gunung Anyar, Surabaya</t>
  </si>
  <si>
    <t xml:space="preserve">SULIS</t>
  </si>
  <si>
    <t xml:space="preserve">0001171710606</t>
  </si>
  <si>
    <t xml:space="preserve">3517216508840001</t>
  </si>
  <si>
    <t xml:space="preserve">Bogo Rame RT/RW 016/008 Kedungbogo, Ngusikan, Jombang</t>
  </si>
  <si>
    <t xml:space="preserve">SULIS FAUZIYAH</t>
  </si>
  <si>
    <t xml:space="preserve">0002158664949</t>
  </si>
  <si>
    <t xml:space="preserve">3515186801870006</t>
  </si>
  <si>
    <t xml:space="preserve">Jl. Mas Ali Gg. H. Kholil RT/RW 006/003 Tambak Sumur, Waru, Sidoarjo</t>
  </si>
  <si>
    <t xml:space="preserve">SUMARNI</t>
  </si>
  <si>
    <t xml:space="preserve">0001703557934</t>
  </si>
  <si>
    <t xml:space="preserve">3527044905850007</t>
  </si>
  <si>
    <t xml:space="preserve">Mandala RT 000 RW 000 Sejati, Camplong, Sampang</t>
  </si>
  <si>
    <t xml:space="preserve">SUREMI INDRIATI</t>
  </si>
  <si>
    <t xml:space="preserve">20056965917</t>
  </si>
  <si>
    <t xml:space="preserve">3523117107890001</t>
  </si>
  <si>
    <t xml:space="preserve">Warang Rt 004 Rw 002 Sumurcinde Soko Tuban</t>
  </si>
  <si>
    <t xml:space="preserve">SURYA ADITYA</t>
  </si>
  <si>
    <t xml:space="preserve">0002164034046</t>
  </si>
  <si>
    <t xml:space="preserve">3515111904980003</t>
  </si>
  <si>
    <t xml:space="preserve">Dsn. Areng-Areng RT/RW 001/002 Tropodo, Krian, Sidoarjo</t>
  </si>
  <si>
    <t xml:space="preserve">SUSANTI</t>
  </si>
  <si>
    <t xml:space="preserve">0001539285265</t>
  </si>
  <si>
    <t xml:space="preserve">3523196006920001</t>
  </si>
  <si>
    <t xml:space="preserve">Dsn Nguleg RT/RW 006/002 Ngadipuro, Widang, Tuban</t>
  </si>
  <si>
    <t xml:space="preserve">SUTARTI</t>
  </si>
  <si>
    <t xml:space="preserve">0001539285355</t>
  </si>
  <si>
    <t xml:space="preserve">3502056009820001</t>
  </si>
  <si>
    <t xml:space="preserve">Dukuh Kori Wetan RT/RW 003/005 Kori, Sawoo, Ponorogo</t>
  </si>
  <si>
    <t xml:space="preserve">TIARA IMANDA</t>
  </si>
  <si>
    <t xml:space="preserve">0000787068922</t>
  </si>
  <si>
    <t xml:space="preserve">3578036205950001</t>
  </si>
  <si>
    <t xml:space="preserve">Kendangsari Gg 1/43-B RT 005 RW 005 Kendangsari, Tenggilis Mejoyo, Surabaya</t>
  </si>
  <si>
    <t xml:space="preserve">TIKA WIDYASTUTI</t>
  </si>
  <si>
    <t xml:space="preserve">0001539285671</t>
  </si>
  <si>
    <t xml:space="preserve">3521074103950001</t>
  </si>
  <si>
    <t xml:space="preserve">Kasreman RT/RW 001/001 Kasreman, Geneng, Ngawi</t>
  </si>
  <si>
    <t xml:space="preserve">AMINATUZ ZAHRO</t>
  </si>
  <si>
    <t xml:space="preserve">21035785294</t>
  </si>
  <si>
    <t xml:space="preserve">3525146609950009</t>
  </si>
  <si>
    <t xml:space="preserve">Jl. Kapten Dulasim I No. 30, RT/RW 004/010, Singosari, Kebomas, Kab. Gresik</t>
  </si>
  <si>
    <t xml:space="preserve">MUHAMAD FAIZIN</t>
  </si>
  <si>
    <t xml:space="preserve">25063718344</t>
  </si>
  <si>
    <t xml:space="preserve">3507232510060002</t>
  </si>
  <si>
    <t xml:space="preserve">Supiturang, RT/RW 002/009, Bocek, Karangploso, Kab. Malang</t>
  </si>
  <si>
    <t xml:space="preserve">0859-5664-6433</t>
  </si>
  <si>
    <t xml:space="preserve">HADI YULIANTO</t>
  </si>
  <si>
    <t xml:space="preserve">20049639191</t>
  </si>
  <si>
    <t xml:space="preserve">OPERATOR SHEARING</t>
  </si>
  <si>
    <t xml:space="preserve">3525060709940001</t>
  </si>
  <si>
    <t xml:space="preserve">Lebanisuko, RT/RW 009/002, Lebanisuko, Wringinanom, Kab. Gresik</t>
  </si>
  <si>
    <t xml:space="preserve">BAGOES ADI PRASETYO</t>
  </si>
  <si>
    <t xml:space="preserve">29054198763</t>
  </si>
  <si>
    <t xml:space="preserve">Planning, Dispatching, Monitoring</t>
  </si>
  <si>
    <t xml:space="preserve">3518040108000003</t>
  </si>
  <si>
    <t xml:space="preserve">Dusun Sono, RT/RW 001/001, Ngepeh, Loceret, Kab. Nganjuk</t>
  </si>
  <si>
    <t xml:space="preserve">FAISAL MUJTAMI</t>
  </si>
  <si>
    <t xml:space="preserve">25014846853</t>
  </si>
  <si>
    <t xml:space="preserve">3301130508990003</t>
  </si>
  <si>
    <t xml:space="preserve">Ciawitali, RT/RW 006/004, Rejodadi, Cimanggu, Kab. Cilacap</t>
  </si>
  <si>
    <t xml:space="preserve">M.TAUFIQURRAHMAN</t>
  </si>
  <si>
    <t xml:space="preserve">26064987820</t>
  </si>
  <si>
    <t xml:space="preserve">6303062710010002</t>
  </si>
  <si>
    <t xml:space="preserve">Karang Intan</t>
  </si>
  <si>
    <t xml:space="preserve">Jl. Barakat, RT/RW 001/000, Pulau Nyiur, Karang Intan, Kab. Banjar</t>
  </si>
  <si>
    <t xml:space="preserve">IRWANSYAH</t>
  </si>
  <si>
    <t xml:space="preserve">28029737489</t>
  </si>
  <si>
    <t xml:space="preserve">6371021609810003</t>
  </si>
  <si>
    <t xml:space="preserve">Jl. Sp. Wijaya, RT/RW 007/001, Landasan Ulin Utara, Liang Anggang, Kota Banjarbaru</t>
  </si>
  <si>
    <t xml:space="preserve">26090835723</t>
  </si>
  <si>
    <t xml:space="preserve">6203044310020001</t>
  </si>
  <si>
    <t xml:space="preserve">Selteras</t>
  </si>
  <si>
    <t xml:space="preserve">Selteras, RT/RW 013/006, Selteras, Kapuas Kuala, Kab. Kapuas</t>
  </si>
  <si>
    <t xml:space="preserve">RIZKY ABDILAH</t>
  </si>
  <si>
    <t xml:space="preserve">22046651364</t>
  </si>
  <si>
    <t xml:space="preserve">6213050505000006</t>
  </si>
  <si>
    <t xml:space="preserve">Ampah</t>
  </si>
  <si>
    <t xml:space="preserve">Janah Harapan, RT/RW 012/000, Ampah Kota, Dusun Tengah, Kab. Barito Timur</t>
  </si>
  <si>
    <t xml:space="preserve">APRIAN</t>
  </si>
  <si>
    <t xml:space="preserve">24024936312</t>
  </si>
  <si>
    <t xml:space="preserve">6301051906980001</t>
  </si>
  <si>
    <t xml:space="preserve">Bentuk Darat</t>
  </si>
  <si>
    <t xml:space="preserve">Jl. Semeru, RT/RW 023/005, Kemuning, Banjarbaru Selatan, Kota Banjarbaru</t>
  </si>
  <si>
    <t xml:space="preserve">MOCHAMAD SIROJUDIN</t>
  </si>
  <si>
    <t xml:space="preserve">23003477866</t>
  </si>
  <si>
    <t xml:space="preserve">3525140703970001</t>
  </si>
  <si>
    <t xml:space="preserve">Mangga No.52, RT/RW 005/002, Sukorejo, Kebomas, Kab. Gresik</t>
  </si>
  <si>
    <t xml:space="preserve">AMBRULLAH HADI</t>
  </si>
  <si>
    <t xml:space="preserve">PT NIPSEA PAINT AND CHEMICALS (SAMPIT)</t>
  </si>
  <si>
    <t xml:space="preserve">20032420448</t>
  </si>
  <si>
    <t xml:space="preserve">6202062408900001</t>
  </si>
  <si>
    <t xml:space="preserve">Kualakuayan</t>
  </si>
  <si>
    <t xml:space="preserve">Jl. Prakusuma Yuda, RT/RW 007/000, Raja, Arut Selatan, Kab. Kotawaringin Barat</t>
  </si>
  <si>
    <t xml:space="preserve">OQTAVIANI</t>
  </si>
  <si>
    <t xml:space="preserve">22007001594</t>
  </si>
  <si>
    <t xml:space="preserve">6202016410940002</t>
  </si>
  <si>
    <t xml:space="preserve">Bajarum</t>
  </si>
  <si>
    <t xml:space="preserve">Jl. Cilik Riwut Km 21, RT/RW 005/002, Bajarum, Kota Besi, Kab. Kotawaringin Timur</t>
  </si>
  <si>
    <t xml:space="preserve">KARTININGSIH SUPRIYANTO</t>
  </si>
  <si>
    <t xml:space="preserve">21065162319</t>
  </si>
  <si>
    <t xml:space="preserve">3578135610890001</t>
  </si>
  <si>
    <t xml:space="preserve">Petemon 3/33, RT/RW 002/010, Petemon, Sawahan, Kota Surabaya</t>
  </si>
  <si>
    <t xml:space="preserve">BAGUS TRISNA NOVRIAN WIDODO</t>
  </si>
  <si>
    <t xml:space="preserve">28018984713</t>
  </si>
  <si>
    <t xml:space="preserve">3578292711900002</t>
  </si>
  <si>
    <t xml:space="preserve">Tanah Merah Utara 5/14, RT/RW 008/009, Tanah Kali Kedinding, Kenjeran, Kota Surabaya</t>
  </si>
  <si>
    <t xml:space="preserve">ATHA MAULANA BASSAM</t>
  </si>
  <si>
    <t xml:space="preserve">29015596363</t>
  </si>
  <si>
    <t xml:space="preserve">IT Staff</t>
  </si>
  <si>
    <t xml:space="preserve">3525102105030001</t>
  </si>
  <si>
    <t xml:space="preserve">Jl. Tanjung Wira II No.43 GKB, RT/RW 002/012, Yosowilangun, Manyar, Kab. Gresik</t>
  </si>
  <si>
    <t xml:space="preserve">TANIA PEPRIYANTI</t>
  </si>
  <si>
    <t xml:space="preserve">27064689300</t>
  </si>
  <si>
    <t xml:space="preserve">6112074802990003</t>
  </si>
  <si>
    <t xml:space="preserve">Dusun Keramat I, RT/RW 002/001, Kuala Dua, Sungai Raya, Kab. Kubu Raya</t>
  </si>
  <si>
    <t xml:space="preserve">TANIA SAFITRI HANDAYANI</t>
  </si>
  <si>
    <t xml:space="preserve">0000832415319</t>
  </si>
  <si>
    <t xml:space="preserve">5201146002970001</t>
  </si>
  <si>
    <t xml:space="preserve">Ampenan</t>
  </si>
  <si>
    <t xml:space="preserve">Dusun Penyangget RT/RW 002/000, Senteluk, Batulayar, Lombok Barat</t>
  </si>
  <si>
    <t xml:space="preserve">TANYA WINDU SAPUTRI</t>
  </si>
  <si>
    <t xml:space="preserve">0001894708844</t>
  </si>
  <si>
    <t xml:space="preserve">6112016201020011</t>
  </si>
  <si>
    <t xml:space="preserve">Jl. Adisucipto Gg. Sakura No. 30, RT/RW 002/004, Sungai Raya, Sungai Raya, Kubu Raya</t>
  </si>
  <si>
    <t xml:space="preserve">TARI SURYANTI</t>
  </si>
  <si>
    <t xml:space="preserve">0001194036726</t>
  </si>
  <si>
    <t xml:space="preserve">6112095107980001</t>
  </si>
  <si>
    <t xml:space="preserve">Sepuk Laut</t>
  </si>
  <si>
    <t xml:space="preserve">Dusun Cendrawasih, RT/RW 002/001, Parit Keladi, Sungai Kakap, Kab. Kubu Raya</t>
  </si>
  <si>
    <t xml:space="preserve">PASYA INDRIANI PUTRI</t>
  </si>
  <si>
    <t xml:space="preserve">22012347649</t>
  </si>
  <si>
    <t xml:space="preserve">1271194303070004</t>
  </si>
  <si>
    <t xml:space="preserve">Jl. Rantang No 37, RT/RW 000/000, Sei Putih Tengah, Medan Petisah, Kota Medan</t>
  </si>
  <si>
    <t xml:space="preserve">TASYA PRATIWI CHANIAGO</t>
  </si>
  <si>
    <t xml:space="preserve">23079182109</t>
  </si>
  <si>
    <t xml:space="preserve">1271156503010002</t>
  </si>
  <si>
    <t xml:space="preserve">Jl. B Katamso Gg Kenangan Lembah No 5 A, RT/RW 000/000, Kampung Baru, Medan Maimun, Kota Medan</t>
  </si>
  <si>
    <t xml:space="preserve">TEOFANI CRISTIN KUSUMA AGATHA</t>
  </si>
  <si>
    <t xml:space="preserve">0001452636303</t>
  </si>
  <si>
    <t xml:space="preserve">3322185012050005</t>
  </si>
  <si>
    <t xml:space="preserve">Rejosari, RT/RW 001/002, Genuk, Ungaran Barat, Semarang</t>
  </si>
  <si>
    <t xml:space="preserve">TIARA AYU SUPRIANTI</t>
  </si>
  <si>
    <t xml:space="preserve">1671104410030004</t>
  </si>
  <si>
    <t xml:space="preserve">Jl. Kopral Urip No. 54, RT/RW 042/013, Plaju Ilir, Plaju, Palembang</t>
  </si>
  <si>
    <t xml:space="preserve">TILA SEFTIA</t>
  </si>
  <si>
    <t xml:space="preserve">0002612116899</t>
  </si>
  <si>
    <t xml:space="preserve">Pangkalanbun</t>
  </si>
  <si>
    <t xml:space="preserve">6201016809960003</t>
  </si>
  <si>
    <t xml:space="preserve">Kumai</t>
  </si>
  <si>
    <t xml:space="preserve">Jl.Masjid, RT/RW 007/003, Kumai Hilir, Kumai, Kotawaringin Barat</t>
  </si>
  <si>
    <t xml:space="preserve">TINO SYAH LEVI</t>
  </si>
  <si>
    <t xml:space="preserve">23012569085</t>
  </si>
  <si>
    <t xml:space="preserve">1671042310920013</t>
  </si>
  <si>
    <t xml:space="preserve">PALEMBANG</t>
  </si>
  <si>
    <t xml:space="preserve">JL. HUSIN BASRI PERUM GRIYA SUKA MULYA INDAH 7, RT 003/001, SUKAMULYA, SEMATANGBORANG, KOTA PALEMBANG</t>
  </si>
  <si>
    <t xml:space="preserve">082289003497</t>
  </si>
  <si>
    <t xml:space="preserve">TRI INTAN AMELIYA</t>
  </si>
  <si>
    <t xml:space="preserve">0002446300225</t>
  </si>
  <si>
    <t xml:space="preserve">1871014105030003</t>
  </si>
  <si>
    <t xml:space="preserve">JL Danau Batur No 34 LK II, RT/RW 002/000, Surabaya, Kedaton, Bandar Lampung</t>
  </si>
  <si>
    <t xml:space="preserve">LAILATUL JANNAH</t>
  </si>
  <si>
    <t xml:space="preserve">20078515867</t>
  </si>
  <si>
    <t xml:space="preserve">6204065910060003</t>
  </si>
  <si>
    <t xml:space="preserve">Jelapat</t>
  </si>
  <si>
    <t xml:space="preserve">Jl. Jelapat No. 1, RT/RW 001/001, Jelapat, Dusun Selatan, Kab. Barito Selatan</t>
  </si>
  <si>
    <t xml:space="preserve">TRISIA APRILIANA</t>
  </si>
  <si>
    <t xml:space="preserve">0002757683496</t>
  </si>
  <si>
    <t xml:space="preserve">3325075104980001</t>
  </si>
  <si>
    <t xml:space="preserve">Batang</t>
  </si>
  <si>
    <t xml:space="preserve">Dukuh Pancuran RT/RW 004/007, Plelen, Gringsing, Batang</t>
  </si>
  <si>
    <t xml:space="preserve">USRA</t>
  </si>
  <si>
    <t xml:space="preserve">0000963108977</t>
  </si>
  <si>
    <t xml:space="preserve">7604106506010001</t>
  </si>
  <si>
    <t xml:space="preserve">Luyo</t>
  </si>
  <si>
    <t xml:space="preserve">Patto Patto, RT/RW 000/000, Luyo, Luyo, Polewali Mandar</t>
  </si>
  <si>
    <t xml:space="preserve">VALDA MAULINI</t>
  </si>
  <si>
    <t xml:space="preserve">23042575409</t>
  </si>
  <si>
    <t xml:space="preserve">1671045706000007</t>
  </si>
  <si>
    <t xml:space="preserve">Jl. Dwikora Lr. Tinta Mas, RT/RW 012/003, Demang Lebar Daun, Ilir Barat I, Kota Palembang</t>
  </si>
  <si>
    <t xml:space="preserve">VENSKY VALENTINA</t>
  </si>
  <si>
    <t xml:space="preserve">0001887578493</t>
  </si>
  <si>
    <t xml:space="preserve">1271066612950004</t>
  </si>
  <si>
    <t xml:space="preserve">Jl. Mangaan III LR Purna LK XII, Mabar, Medan Deli, Medan</t>
  </si>
  <si>
    <t xml:space="preserve">TRI AJI PRATOMO</t>
  </si>
  <si>
    <t xml:space="preserve">20003486451</t>
  </si>
  <si>
    <t xml:space="preserve">3515110907040001</t>
  </si>
  <si>
    <t xml:space="preserve">RT/RW 010/004, Sedenganmijen, Krian, Kab. Sidoarjo</t>
  </si>
  <si>
    <t xml:space="preserve">ADITYA FIRMANSYAH</t>
  </si>
  <si>
    <t xml:space="preserve">28037606441</t>
  </si>
  <si>
    <t xml:space="preserve">3578010107030002</t>
  </si>
  <si>
    <t xml:space="preserve">Warukurung, RT/RW 002/001, Warugunung, Karang Pilang, Kota Surabaya</t>
  </si>
  <si>
    <t xml:space="preserve">MUHAMMAD ZAHIR AFNANI</t>
  </si>
  <si>
    <t xml:space="preserve">23043275604</t>
  </si>
  <si>
    <t xml:space="preserve">Operator Painting</t>
  </si>
  <si>
    <t xml:space="preserve">3578230404060002</t>
  </si>
  <si>
    <t xml:space="preserve">Jl. Bibis Karah No. 45, RT/RW 002/007, Karah, Jambangan, Kota Surabaya</t>
  </si>
  <si>
    <t xml:space="preserve">NUR WAHYUDI</t>
  </si>
  <si>
    <t xml:space="preserve">21077656124</t>
  </si>
  <si>
    <t xml:space="preserve">3525151702040004</t>
  </si>
  <si>
    <t xml:space="preserve">Driyorejo, RT/RW 002/005, Driyorejo, Driyorejo, Kab. Gresik</t>
  </si>
  <si>
    <t xml:space="preserve">MOCH.AGUS CAHYONO</t>
  </si>
  <si>
    <t xml:space="preserve">28015698570</t>
  </si>
  <si>
    <t xml:space="preserve">3514131708960002</t>
  </si>
  <si>
    <t xml:space="preserve">Kramattemenggung, RT/RW 008/003, Kramattemenggung, Tarik, Kab. Sidoarjo</t>
  </si>
  <si>
    <t xml:space="preserve">MOCHAMMAD FAHMI AULIYA</t>
  </si>
  <si>
    <t xml:space="preserve">20027206345</t>
  </si>
  <si>
    <t xml:space="preserve">3515180707930003</t>
  </si>
  <si>
    <t xml:space="preserve">Wedoro Masjid, RT/RW 002/005, Wedoro, Waru, Kab. Sidoarjo</t>
  </si>
  <si>
    <t xml:space="preserve">MOH. RIO AGENG AFANDY</t>
  </si>
  <si>
    <t xml:space="preserve">29011238296</t>
  </si>
  <si>
    <t xml:space="preserve">3509072708040001</t>
  </si>
  <si>
    <t xml:space="preserve">Dusun Semboro Lor, RT/RW 002/029, Semboro, Semboro, Kab. Jember</t>
  </si>
  <si>
    <t xml:space="preserve">DENI RUSALDI</t>
  </si>
  <si>
    <t xml:space="preserve">PT NIPSEA PAINT AND CHEMICALS (MADIUN)</t>
  </si>
  <si>
    <t xml:space="preserve">25077242954</t>
  </si>
  <si>
    <t xml:space="preserve">Operator Krani</t>
  </si>
  <si>
    <t xml:space="preserve">3519092112950001</t>
  </si>
  <si>
    <t xml:space="preserve">Eka Karya, RT/RW 026/007, Jiwan, Jiwan, Kab. Madiun</t>
  </si>
  <si>
    <t xml:space="preserve">RICKY SETIAWAN</t>
  </si>
  <si>
    <t xml:space="preserve">23016526693</t>
  </si>
  <si>
    <t xml:space="preserve">3520152103950001</t>
  </si>
  <si>
    <t xml:space="preserve">Ngelang, RT/RW 015/004, Ngelang, Kartoharjo, Kab. Magetan</t>
  </si>
  <si>
    <t xml:space="preserve">NANDA BIMA PRASETYO</t>
  </si>
  <si>
    <t xml:space="preserve">20008931734</t>
  </si>
  <si>
    <t xml:space="preserve">3506102403040002</t>
  </si>
  <si>
    <t xml:space="preserve">Jl. Kembang Sore, RT/RW 003/003, Banyuanyar, Gurah, Kab. Kediri</t>
  </si>
  <si>
    <t xml:space="preserve">HASAN SYAIFULLOH</t>
  </si>
  <si>
    <t xml:space="preserve">22006969421</t>
  </si>
  <si>
    <t xml:space="preserve">3506062110010005</t>
  </si>
  <si>
    <t xml:space="preserve">Dsn. Ngijo, RT/RW 035/009, Sumberagung, Wates, Kab. Kediri</t>
  </si>
  <si>
    <t xml:space="preserve">ZUMAROH</t>
  </si>
  <si>
    <t xml:space="preserve">25029108677</t>
  </si>
  <si>
    <t xml:space="preserve">3524136911910002</t>
  </si>
  <si>
    <t xml:space="preserve">Semeru 2, RT/RW 007/002, Bambe, Driyorejo, Kab. Gresik</t>
  </si>
  <si>
    <t xml:space="preserve">21033344762</t>
  </si>
  <si>
    <t xml:space="preserve">Boboh, RT/RW 001/001, Boboh, Menganti, Kab. Gresik</t>
  </si>
  <si>
    <t xml:space="preserve">LUVKAR BUDIARTO</t>
  </si>
  <si>
    <t xml:space="preserve">26039343626</t>
  </si>
  <si>
    <t xml:space="preserve">3525020310070002</t>
  </si>
  <si>
    <t xml:space="preserve">Dusun Patek, RT/RW 001/001, Banjaragung, Balongpanggang, Kab. Gresik</t>
  </si>
  <si>
    <t xml:space="preserve">WARDATUZ ZAHRO</t>
  </si>
  <si>
    <t xml:space="preserve">22004439735</t>
  </si>
  <si>
    <t xml:space="preserve">3517155910020001</t>
  </si>
  <si>
    <t xml:space="preserve">Dsn Tempel, RT/RW 004/001, Darurejo, Plandaan, Kab. Jombang</t>
  </si>
  <si>
    <t xml:space="preserve">LELA NURLINDA SARI</t>
  </si>
  <si>
    <t xml:space="preserve">29071072563</t>
  </si>
  <si>
    <t xml:space="preserve">3572024205990002</t>
  </si>
  <si>
    <t xml:space="preserve">Jl. Kaliprogo, RT/RW 002/003, Tanjungsari, Sukorejo, Kota Blitar</t>
  </si>
  <si>
    <t xml:space="preserve">HILMAN ZUHDY</t>
  </si>
  <si>
    <t xml:space="preserve">26069411800</t>
  </si>
  <si>
    <t xml:space="preserve">3578110510040001</t>
  </si>
  <si>
    <t xml:space="preserve">Purbalingga</t>
  </si>
  <si>
    <t xml:space="preserve">Kebondalem I/19, RT/RW 001/007, Simolawang, Simokerto, Kota Surabaya</t>
  </si>
  <si>
    <t xml:space="preserve">RASMI</t>
  </si>
  <si>
    <t xml:space="preserve">25037599004</t>
  </si>
  <si>
    <t xml:space="preserve">7315074606980001</t>
  </si>
  <si>
    <t xml:space="preserve">Salopi</t>
  </si>
  <si>
    <t xml:space="preserve">Salopi, RT/RW 002/001, Binanga Karaeng, Lembang, Kab. Pinrang</t>
  </si>
  <si>
    <t xml:space="preserve">JANUAR RIZKI</t>
  </si>
  <si>
    <t xml:space="preserve">28096465280</t>
  </si>
  <si>
    <t xml:space="preserve">6472030601030002</t>
  </si>
  <si>
    <t xml:space="preserve">Jl. KH. Wahid Hasyim 2 GG. L. RONG ABADI NC. 18, RT/RW 012/000, Sempaja Barat, Samarinda Utara, Kota Samarinda</t>
  </si>
  <si>
    <t xml:space="preserve">MOHAMMAD WISNU WARDANA</t>
  </si>
  <si>
    <t xml:space="preserve">29024287572</t>
  </si>
  <si>
    <t xml:space="preserve">3525022807040001</t>
  </si>
  <si>
    <t xml:space="preserve">Karang Semanding, RT/RW 001/001, Karangsemanding, Balongpanggang, Kab. Gresik</t>
  </si>
  <si>
    <t xml:space="preserve">DWI WAHYU HERLAMBANG</t>
  </si>
  <si>
    <t xml:space="preserve">21058624150</t>
  </si>
  <si>
    <t xml:space="preserve">3507230603890001</t>
  </si>
  <si>
    <t xml:space="preserve">Jl. Kertarejasa 22, RT/RW 002/003, Candirenggo, Singosari, Kab. Malang</t>
  </si>
  <si>
    <t xml:space="preserve">MUHAMMADIN</t>
  </si>
  <si>
    <t xml:space="preserve">22074564494</t>
  </si>
  <si>
    <t xml:space="preserve">3525151601040002</t>
  </si>
  <si>
    <t xml:space="preserve">Jl. Granit Kumala A.5.1/7KBD, RT/RW 003/010, Petiken, Driyorejo, Kab. Gresik</t>
  </si>
  <si>
    <t xml:space="preserve">DANDI FIRMANSYAH</t>
  </si>
  <si>
    <t xml:space="preserve">28056257287</t>
  </si>
  <si>
    <t xml:space="preserve">3525133112070001</t>
  </si>
  <si>
    <t xml:space="preserve">Boboh, RT/RW 002/001, Boboh, Menganti, Kab. Gresik</t>
  </si>
  <si>
    <t xml:space="preserve">20032032074</t>
  </si>
  <si>
    <t xml:space="preserve">Desa Gedangkulut, RT/RW 002/001, Gedangkulut, Cerme, Kab. Gresik</t>
  </si>
  <si>
    <t xml:space="preserve">NAVALA AUREL ANANDA ISMAIL</t>
  </si>
  <si>
    <t xml:space="preserve">22076170758</t>
  </si>
  <si>
    <t xml:space="preserve">3507196606030001</t>
  </si>
  <si>
    <t xml:space="preserve">Jl. S. Supriadi II D/1, RT/RW 002/003, Sukun, Sukun, Kota Malang</t>
  </si>
  <si>
    <t xml:space="preserve">MOHOLLI</t>
  </si>
  <si>
    <t xml:space="preserve">27077121513</t>
  </si>
  <si>
    <t xml:space="preserve">3526131011000011</t>
  </si>
  <si>
    <t xml:space="preserve">0877-6161-9288</t>
  </si>
  <si>
    <t xml:space="preserve">LUCIA ADELINA DEVITASARI</t>
  </si>
  <si>
    <t xml:space="preserve">24022849939</t>
  </si>
  <si>
    <t xml:space="preserve">Admin HSE</t>
  </si>
  <si>
    <t xml:space="preserve">3515086712020004</t>
  </si>
  <si>
    <t xml:space="preserve">Citra Golf Fajar E-1105, RT/RW 001/007, Gebang, Sidoarjo, Kab. Sidoarjo</t>
  </si>
  <si>
    <t xml:space="preserve">RIZAL PUTRA PRADANA</t>
  </si>
  <si>
    <t xml:space="preserve">20089261371</t>
  </si>
  <si>
    <t xml:space="preserve">3525111111990001</t>
  </si>
  <si>
    <t xml:space="preserve">Dusun Ngering, RT/RW 003/003, Sukoanyar, Germe, Kab. Gresik</t>
  </si>
  <si>
    <t xml:space="preserve">WANDIYO</t>
  </si>
  <si>
    <t xml:space="preserve">25004165915</t>
  </si>
  <si>
    <t xml:space="preserve">3326092104910002</t>
  </si>
  <si>
    <t xml:space="preserve">Pringsurat, RT/RW 010/004, Pringsurat, Kajen, Kab. Pekalongan</t>
  </si>
  <si>
    <t xml:space="preserve">WAHYU RAHMANDA PUTRA</t>
  </si>
  <si>
    <t xml:space="preserve">22001777490</t>
  </si>
  <si>
    <t xml:space="preserve">3525051411010001</t>
  </si>
  <si>
    <t xml:space="preserve">Jl. Ken Arok E 4/20 GWA, RT/RW 008/002, Sekarkurung, Kebomas, Kab. Gresik</t>
  </si>
  <si>
    <t xml:space="preserve">M AIMAN AWAL RAMADAN</t>
  </si>
  <si>
    <t xml:space="preserve">25009759230</t>
  </si>
  <si>
    <t xml:space="preserve">3524261610010001</t>
  </si>
  <si>
    <t xml:space="preserve">Lengkong, RT/RW 001/001, Wonorejo, Glagah, Kab. Lamongan</t>
  </si>
  <si>
    <t xml:space="preserve">WAWAN KURNIAWAN</t>
  </si>
  <si>
    <t xml:space="preserve">24050189616</t>
  </si>
  <si>
    <t xml:space="preserve">3525131309940001</t>
  </si>
  <si>
    <t xml:space="preserve">Ngebret, RT/RW 001/003, Morowudi, Cerme, Kab. Gresik</t>
  </si>
  <si>
    <t xml:space="preserve">FAIS ROHMATULLAH</t>
  </si>
  <si>
    <t xml:space="preserve">24023610326</t>
  </si>
  <si>
    <t xml:space="preserve">3525132904950001</t>
  </si>
  <si>
    <t xml:space="preserve">ANDRE SATRIYA ATMAJA</t>
  </si>
  <si>
    <t xml:space="preserve">26042147649</t>
  </si>
  <si>
    <t xml:space="preserve">3578302907900001</t>
  </si>
  <si>
    <t xml:space="preserve">Pakal Barat II A, RT/RW 002/003, Pakal, Pakal, Kota Surabaya</t>
  </si>
  <si>
    <t xml:space="preserve">MOKHAMMAD IVAN VIRDAUS</t>
  </si>
  <si>
    <t xml:space="preserve">22051583776</t>
  </si>
  <si>
    <t xml:space="preserve">3576021009980001</t>
  </si>
  <si>
    <t xml:space="preserve">Jl. Sekar Abang, RT/RW 003/002, Kedundung, Magersari, Kota Mojokerto</t>
  </si>
  <si>
    <t xml:space="preserve">DEWI RINDU SEPTY ANIS</t>
  </si>
  <si>
    <t xml:space="preserve">27049961659</t>
  </si>
  <si>
    <t xml:space="preserve">3515074609990001</t>
  </si>
  <si>
    <t xml:space="preserve">Pagerwojo, RT/RW 002/001, Gelam, Candi, Kab. Sidoarjo</t>
  </si>
  <si>
    <t xml:space="preserve">MOKHAMAD ABDUL ROFI</t>
  </si>
  <si>
    <t xml:space="preserve">22066108573</t>
  </si>
  <si>
    <t xml:space="preserve">3523131005080003</t>
  </si>
  <si>
    <t xml:space="preserve">Sambongggede, RT/RW 003/004, Sambongggede, Merakurak, Kab. Tuban</t>
  </si>
  <si>
    <t xml:space="preserve">ASPRI BAYUDHA</t>
  </si>
  <si>
    <t xml:space="preserve">22078814761</t>
  </si>
  <si>
    <t xml:space="preserve">3515030705930001</t>
  </si>
  <si>
    <t xml:space="preserve">Janti, RT/RW 006/002, Janti, Kec. Tarik, Kab. Sidoarjo</t>
  </si>
  <si>
    <t xml:space="preserve">SENDED</t>
  </si>
  <si>
    <t xml:space="preserve">ENO FEBRIANTORO</t>
  </si>
  <si>
    <t xml:space="preserve">27042243864</t>
  </si>
  <si>
    <t xml:space="preserve">3525110606060001</t>
  </si>
  <si>
    <t xml:space="preserve">Dusun Wedani, RT/RW 005/002, Wedani, Cerme, Kab. Gresik</t>
  </si>
  <si>
    <t xml:space="preserve">MOHAMMAD NASYIRUDDIN</t>
  </si>
  <si>
    <t xml:space="preserve">29008108186</t>
  </si>
  <si>
    <t xml:space="preserve">3525101604000004</t>
  </si>
  <si>
    <t xml:space="preserve">Jl. Dukuh Lestari Dusun Makam Panjang, RT/RW 003/004, Leran, Manyar, Kab. Gresik</t>
  </si>
  <si>
    <t xml:space="preserve">KASIYANTO</t>
  </si>
  <si>
    <t xml:space="preserve">26017945491</t>
  </si>
  <si>
    <t xml:space="preserve">3516132207830002</t>
  </si>
  <si>
    <t xml:space="preserve">Dusun Soogo, RT/RW 004/001, Balonggabus, Puri, Kab. Mojokerto</t>
  </si>
  <si>
    <t xml:space="preserve">OKI KUSUMA YUDHA</t>
  </si>
  <si>
    <t xml:space="preserve">28001722601</t>
  </si>
  <si>
    <t xml:space="preserve">Admin Gudang Bahan</t>
  </si>
  <si>
    <t xml:space="preserve">3515162401969675</t>
  </si>
  <si>
    <t xml:space="preserve">Jl. Raya Sidoarjo No. 36, RT/RW 004/004, Sidoarjo</t>
  </si>
  <si>
    <t xml:space="preserve">Raw Material Warehouse Admin</t>
  </si>
  <si>
    <t xml:space="preserve">M. NAFI'US SOFYANNAS THOHIRIN</t>
  </si>
  <si>
    <t xml:space="preserve">26045977945</t>
  </si>
  <si>
    <t xml:space="preserve">3515160412976913</t>
  </si>
  <si>
    <t xml:space="preserve">Jl. Raya Sidoarjo No. 87, RT/RW 009/002, Sidoarjo</t>
  </si>
  <si>
    <t xml:space="preserve">ACH ALFARISI</t>
  </si>
  <si>
    <t xml:space="preserve">22032194168</t>
  </si>
  <si>
    <t xml:space="preserve">3526130909000001</t>
  </si>
  <si>
    <t xml:space="preserve">Dsn. Karang, RT/RW 000/000, Poter, Tanah Merah, Kab. Bangkalan</t>
  </si>
  <si>
    <t xml:space="preserve">FAISOL LUTFI</t>
  </si>
  <si>
    <t xml:space="preserve">20006102776</t>
  </si>
  <si>
    <t xml:space="preserve">3526020807030002</t>
  </si>
  <si>
    <t xml:space="preserve">Dsn. Bandung Timur, RT/RW 001/001, Keleyan, Socah, Kab. Bangkalan</t>
  </si>
  <si>
    <t xml:space="preserve">BESARI</t>
  </si>
  <si>
    <t xml:space="preserve">29074995641</t>
  </si>
  <si>
    <t xml:space="preserve">3516111003900001</t>
  </si>
  <si>
    <t xml:space="preserve">Dsn. Setoyo, RT/RW 002/001, Balongmojo, Puri, Kab. Mojokerto</t>
  </si>
  <si>
    <t xml:space="preserve">FERDYANTO DWI CAHYO</t>
  </si>
  <si>
    <t xml:space="preserve">22020310303</t>
  </si>
  <si>
    <t xml:space="preserve">3516121812030001</t>
  </si>
  <si>
    <t xml:space="preserve">Kembang Kuning, RT/RW 004/002, Palongwono, Trowulan, Kab. Mojokerto</t>
  </si>
  <si>
    <t xml:space="preserve">LA ODE IDHAM ADI CHANDRA</t>
  </si>
  <si>
    <t xml:space="preserve">27023683147</t>
  </si>
  <si>
    <t xml:space="preserve">7471101207890001</t>
  </si>
  <si>
    <t xml:space="preserve">Jl. H.E.A. Mokodompit Lr. Perintis, RT/RW 014/005, Lalolara, Kec. Kambu, Kota Kendari</t>
  </si>
  <si>
    <t xml:space="preserve">DRAFTED KONTRAK SELANJUTNYA</t>
  </si>
  <si>
    <t xml:space="preserve">SALEH ILMI SIDIK RABRUSUN</t>
  </si>
  <si>
    <t xml:space="preserve">22076012277</t>
  </si>
  <si>
    <t xml:space="preserve">9101012012930001</t>
  </si>
  <si>
    <t xml:space="preserve">Jl. Garuda Mopah Lama No. 41, RT/RW 013/002, Rimba Jaya, Kec. Merauke, Kab. Merauke</t>
  </si>
  <si>
    <t xml:space="preserve">MUHAMMAD ALI BAHRUDIN</t>
  </si>
  <si>
    <t xml:space="preserve">27007933496</t>
  </si>
  <si>
    <t xml:space="preserve">3525022201030001</t>
  </si>
  <si>
    <t xml:space="preserve">Mojolebak, RT/RW 002/003, Mojogede, Balongpanggang, Kab. Gresik</t>
  </si>
  <si>
    <t xml:space="preserve">FARID MAULANA</t>
  </si>
  <si>
    <t xml:space="preserve">20050166799</t>
  </si>
  <si>
    <t xml:space="preserve">3525162405970121</t>
  </si>
  <si>
    <t xml:space="preserve">Jl. Abd. Rochim III/02, RT/RW 001/002, Yosowilangun, Manyar, Kab. Gresik</t>
  </si>
  <si>
    <t xml:space="preserve">ANDRIAN SATRIA ANGGADA</t>
  </si>
  <si>
    <t xml:space="preserve">28040767899</t>
  </si>
  <si>
    <t xml:space="preserve">3518111906030010</t>
  </si>
  <si>
    <t xml:space="preserve">Peganden, RT/RW 004/001, Peganden, Manyar, Kab. Gresik</t>
  </si>
  <si>
    <t xml:space="preserve">AGUNG ADI PRASETYO</t>
  </si>
  <si>
    <t xml:space="preserve">27030806958</t>
  </si>
  <si>
    <t xml:space="preserve">3525040108990002</t>
  </si>
  <si>
    <t xml:space="preserve">Wedani, RT/RW 004/002, Wedani, Cerme, Kab. Gresik</t>
  </si>
  <si>
    <t xml:space="preserve">EKO JUNIA ARIANTO</t>
  </si>
  <si>
    <t xml:space="preserve">21046717957</t>
  </si>
  <si>
    <t xml:space="preserve">3506172006870003</t>
  </si>
  <si>
    <t xml:space="preserve">Jl. Pangrango III No.6, RT/RW 005/001, Pare, Pare, Kab. Kediri</t>
  </si>
  <si>
    <t xml:space="preserve">ALRIZAL AUGUSTIAN YUDI PRATAMA</t>
  </si>
  <si>
    <t xml:space="preserve">26002437573</t>
  </si>
  <si>
    <t xml:space="preserve">3525152312000004</t>
  </si>
  <si>
    <t xml:space="preserve">Jl. Raya Biduri Bulan 12D/AA-14, RT/RW 004/011, Petiken, Driyorejo, Kab. Gresik</t>
  </si>
  <si>
    <t xml:space="preserve">CHRISTIAN DWI ISWAHYUDI</t>
  </si>
  <si>
    <t xml:space="preserve">28039597246</t>
  </si>
  <si>
    <t xml:space="preserve">3524220405030001</t>
  </si>
  <si>
    <t xml:space="preserve">Sidobecik, RT/RW 003/009, Pulorejo, Dawar Blandong, Kab. Mojokerto</t>
  </si>
  <si>
    <t xml:space="preserve">EKO PUTRO NUGROHO</t>
  </si>
  <si>
    <t xml:space="preserve">26057293417</t>
  </si>
  <si>
    <t xml:space="preserve">3525040402980001</t>
  </si>
  <si>
    <t xml:space="preserve">Dsn. Lundo, RT/RW 007/004, Lundo, Denjeng, Kab. Gresik</t>
  </si>
  <si>
    <t xml:space="preserve">NUR HUSEIN NASRULLOH</t>
  </si>
  <si>
    <t xml:space="preserve">22023297167</t>
  </si>
  <si>
    <t xml:space="preserve">3277012907030010</t>
  </si>
  <si>
    <t xml:space="preserve">Kihapit Barat, RT/RW 006/009, Leuwigajah, Cimahi Selatan, Kota Cimahi</t>
  </si>
  <si>
    <t xml:space="preserve">MOCH. FACHRI ALHARIS</t>
  </si>
  <si>
    <t xml:space="preserve">24033800545</t>
  </si>
  <si>
    <t xml:space="preserve">3578042307980005</t>
  </si>
  <si>
    <t xml:space="preserve">Darmawangsa 92B-D, RT/RW 012/001, Airlangga, Gubeng, Kota Surabaya</t>
  </si>
  <si>
    <t xml:space="preserve">KEVIN KURNIAWAN</t>
  </si>
  <si>
    <t xml:space="preserve">22028015619</t>
  </si>
  <si>
    <t xml:space="preserve">3319022707000007</t>
  </si>
  <si>
    <t xml:space="preserve">Mlati Norowito IX, RT/RW 001/009, Mlati Norowito, Kota Kudus, Kab. Kudus</t>
  </si>
  <si>
    <t xml:space="preserve">ILHAM SEPTIAN RIZKI</t>
  </si>
  <si>
    <t xml:space="preserve">23018374550</t>
  </si>
  <si>
    <t xml:space="preserve">3173082309981006</t>
  </si>
  <si>
    <t xml:space="preserve">Joglo, RT/RW 001/006, Joglo, Kembangan, Kota Jakarta Barat</t>
  </si>
  <si>
    <t xml:space="preserve">TITIK ALIANI</t>
  </si>
  <si>
    <t xml:space="preserve">28042891077</t>
  </si>
  <si>
    <t xml:space="preserve">3316084711880002</t>
  </si>
  <si>
    <t xml:space="preserve">TITIN AROFAH</t>
  </si>
  <si>
    <t xml:space="preserve">0001542229716</t>
  </si>
  <si>
    <t xml:space="preserve">3517217108860001</t>
  </si>
  <si>
    <t xml:space="preserve">Dsn Mernung Kidul RT/RW 018/007 Sumbernongko, Ngusikan, Jombang</t>
  </si>
  <si>
    <t xml:space="preserve">VICKY WIDYA WULAN LESTARI</t>
  </si>
  <si>
    <t xml:space="preserve">0002296453825</t>
  </si>
  <si>
    <t xml:space="preserve">3515176503970005</t>
  </si>
  <si>
    <t xml:space="preserve">Jl. H Syukur VI RT/RW 001/016 Sedatigede, Sedati, Sidoarjo</t>
  </si>
  <si>
    <t xml:space="preserve">VIDIA NARULITA</t>
  </si>
  <si>
    <t xml:space="preserve">21019918081</t>
  </si>
  <si>
    <t xml:space="preserve">3515044207030003</t>
  </si>
  <si>
    <t xml:space="preserve">Dusun Pojok, RT/RW 001/003, Lajuk, Porong, Kab. Sidoarjo</t>
  </si>
  <si>
    <t xml:space="preserve">089687549781</t>
  </si>
  <si>
    <t xml:space="preserve">VIONIKA LOUISE HERNOVANCA</t>
  </si>
  <si>
    <t xml:space="preserve">22013524787</t>
  </si>
  <si>
    <t xml:space="preserve">3505216502070001</t>
  </si>
  <si>
    <t xml:space="preserve">Dsn. Kalilegi, RT/RW 004/002, Banjarsari, Selorejo, Kab. Blitar</t>
  </si>
  <si>
    <t xml:space="preserve">VIVIN ANDRIANI</t>
  </si>
  <si>
    <t xml:space="preserve">0001539285287</t>
  </si>
  <si>
    <t xml:space="preserve">3521165911920001</t>
  </si>
  <si>
    <t xml:space="preserve">Pitu RT 002 RW 001 Pitu Ngawi</t>
  </si>
  <si>
    <t xml:space="preserve">WAHYU AHMAD WIDODO</t>
  </si>
  <si>
    <t xml:space="preserve">28018672621</t>
  </si>
  <si>
    <t xml:space="preserve">3518072208050001</t>
  </si>
  <si>
    <t xml:space="preserve">Dusun Bendo, RT/RW 003/002, Mojokendil, Ngronggot, Kab. Nganjuk</t>
  </si>
  <si>
    <t xml:space="preserve">WAHYU PRIHATIN</t>
  </si>
  <si>
    <t xml:space="preserve">0000737443833</t>
  </si>
  <si>
    <t xml:space="preserve">3520044906930001</t>
  </si>
  <si>
    <t xml:space="preserve">Dsn. Timang RT/RW 002/001 01 Waduk, Takeran, Magetan</t>
  </si>
  <si>
    <t xml:space="preserve">WAHYU SETYANINGSIH</t>
  </si>
  <si>
    <t xml:space="preserve">0001193420744</t>
  </si>
  <si>
    <t xml:space="preserve">3521064710910001</t>
  </si>
  <si>
    <t xml:space="preserve">Kendangsari Gg. XII No. 27 A, RT/RW 006/005, Kendangsari, Tenggilis Mejoyo, Surabaya</t>
  </si>
  <si>
    <t xml:space="preserve">WANDA ALIFIA NUR</t>
  </si>
  <si>
    <t xml:space="preserve">0001701372892</t>
  </si>
  <si>
    <t xml:space="preserve">3578175605040003</t>
  </si>
  <si>
    <t xml:space="preserve">Dk.Bl. Banteng Lor Gg Reformasi RT 003 RW 008 Bulak Banteng Kenjeran Surabaya</t>
  </si>
  <si>
    <t xml:space="preserve">WAWAN SUKARSONO</t>
  </si>
  <si>
    <t xml:space="preserve">0002681477908</t>
  </si>
  <si>
    <t xml:space="preserve">3512041705920001</t>
  </si>
  <si>
    <t xml:space="preserve">Kp. Mera'an Timur RT/RW 003/001 Sumber Pinang, Mlandingan, Situbondo</t>
  </si>
  <si>
    <t xml:space="preserve">WIDIYANTI</t>
  </si>
  <si>
    <t xml:space="preserve">21025521376</t>
  </si>
  <si>
    <t xml:space="preserve">3517127008900001</t>
  </si>
  <si>
    <t xml:space="preserve">Kedung Sumur, RT/RW 006/003, Canggu, Jetis, Kab. Mojokerto</t>
  </si>
  <si>
    <t xml:space="preserve">WIDYA AYUNING TYAS</t>
  </si>
  <si>
    <t xml:space="preserve">27018755191</t>
  </si>
  <si>
    <t xml:space="preserve">3524206711040001</t>
  </si>
  <si>
    <t xml:space="preserve">Butungan, RT/RW 002/002, Butungan, Kalitengah, Kab. Lamongan</t>
  </si>
  <si>
    <t xml:space="preserve">WINARSIH</t>
  </si>
  <si>
    <t xml:space="preserve">0001851265394</t>
  </si>
  <si>
    <t xml:space="preserve">3313054611940001</t>
  </si>
  <si>
    <t xml:space="preserve">Temenggungan RT/RW 003/004 Temenggungan, Karas, Magetan</t>
  </si>
  <si>
    <t xml:space="preserve">WIWIK INDAYANI</t>
  </si>
  <si>
    <t xml:space="preserve">0001535040696</t>
  </si>
  <si>
    <t xml:space="preserve">3578255707840001</t>
  </si>
  <si>
    <t xml:space="preserve">Jl. Amir Mahmud 7/17, RT/RW 004/002, Gunung Anyar, Gunung Anyar, Surabaya</t>
  </si>
  <si>
    <t xml:space="preserve">WIWIT FITRIA</t>
  </si>
  <si>
    <t xml:space="preserve">0001179332008</t>
  </si>
  <si>
    <t xml:space="preserve">3506165204860001</t>
  </si>
  <si>
    <t xml:space="preserve">Dsn. Ngino RT/RW 003/001 Ngino, Plemahan, Kediri</t>
  </si>
  <si>
    <t xml:space="preserve">WULAN WINDASARI</t>
  </si>
  <si>
    <t xml:space="preserve">28089257372</t>
  </si>
  <si>
    <t xml:space="preserve">3521105706970005</t>
  </si>
  <si>
    <t xml:space="preserve">Nanggalan, RT/RW 001/007, Babadan, Paron, Kab. Ngawi</t>
  </si>
  <si>
    <t xml:space="preserve">WULANDARI</t>
  </si>
  <si>
    <t xml:space="preserve">27023598376</t>
  </si>
  <si>
    <t xml:space="preserve">3517164605000004</t>
  </si>
  <si>
    <t xml:space="preserve">Soco, RT/RW 005/002, Pengampon, Kabuh, Kab. Jombang</t>
  </si>
  <si>
    <t xml:space="preserve">YANUAR WAHYU WIJAYANTI</t>
  </si>
  <si>
    <t xml:space="preserve">0001703557901</t>
  </si>
  <si>
    <t xml:space="preserve">3523076101830001</t>
  </si>
  <si>
    <t xml:space="preserve">Dsn Krajan RT/RW 007/004 Lajo Kidul, Singgahan, Tuban</t>
  </si>
  <si>
    <t xml:space="preserve">20037548214</t>
  </si>
  <si>
    <t xml:space="preserve">Lomaer, RT/RW 000/000, Lomaer, Blega, Kab. Bangkalan</t>
  </si>
  <si>
    <t xml:space="preserve">YEYEN DWI ATMOKO</t>
  </si>
  <si>
    <t xml:space="preserve">3522270904010001</t>
  </si>
  <si>
    <t xml:space="preserve">Krajan Rt 014 Rw 007 Klino Sekar Bojonegoro</t>
  </si>
  <si>
    <t xml:space="preserve">082232610212</t>
  </si>
  <si>
    <t xml:space="preserve">YULIA ESTI PRATIWI</t>
  </si>
  <si>
    <t xml:space="preserve">0000739422483</t>
  </si>
  <si>
    <t xml:space="preserve">3520027107010001</t>
  </si>
  <si>
    <t xml:space="preserve">Sundul RT/RW 012/005 Sundul, Parang, Magetan</t>
  </si>
  <si>
    <t xml:space="preserve">YULIANA</t>
  </si>
  <si>
    <t xml:space="preserve">0000786400119</t>
  </si>
  <si>
    <t xml:space="preserve">3578255207930003</t>
  </si>
  <si>
    <t xml:space="preserve">Rungkut Tengah I / 31 D RT/RW 004/004 Rungkut Tengah, Gunung Anyar</t>
  </si>
  <si>
    <t xml:space="preserve">YULIANA EKA PRAMUDIANTI</t>
  </si>
  <si>
    <t xml:space="preserve">0001484117728</t>
  </si>
  <si>
    <t xml:space="preserve">3578035207850002</t>
  </si>
  <si>
    <t xml:space="preserve">Rungkut Kidul Majemuk 3/18-B Rungkut Kidul, Rungkut, Surabaya</t>
  </si>
  <si>
    <t xml:space="preserve">25065328632</t>
  </si>
  <si>
    <t xml:space="preserve">Mejoyo GG 2/37, RT/RW 006/007, Kalirungkut, Rungkut, Kota Surabaya</t>
  </si>
  <si>
    <t xml:space="preserve">YUNITA SARI</t>
  </si>
  <si>
    <t xml:space="preserve">0001616929064</t>
  </si>
  <si>
    <t xml:space="preserve">3578036206930003</t>
  </si>
  <si>
    <t xml:space="preserve">Kedung Baruk 2/1 RT 004 RW 004 Kedung Baruk Rungkut Surabaya</t>
  </si>
  <si>
    <t xml:space="preserve">YUYUN ISTIQOMAH</t>
  </si>
  <si>
    <t xml:space="preserve">0001539285445</t>
  </si>
  <si>
    <t xml:space="preserve">3522085212910007</t>
  </si>
  <si>
    <t xml:space="preserve">Dsn Beton RT/RW 005/002 Megale, Kedungadem, Bojonegoro</t>
  </si>
  <si>
    <t xml:space="preserve">ZAHRA SALSABILA PRAYITNO</t>
  </si>
  <si>
    <t xml:space="preserve">26066785072</t>
  </si>
  <si>
    <t xml:space="preserve">3578037012050001</t>
  </si>
  <si>
    <t xml:space="preserve">ZAKARIA ASTOPO</t>
  </si>
  <si>
    <t xml:space="preserve">20081155626</t>
  </si>
  <si>
    <t xml:space="preserve">3515182912880007</t>
  </si>
  <si>
    <t xml:space="preserve">Jl. Sidosermo 4 Gg.15 Blok D-3, RT/RW 007/003, Sidosermo, Wonocolo, Kota Surabaya</t>
  </si>
  <si>
    <t xml:space="preserve">ZITIRA LILAIKA</t>
  </si>
  <si>
    <t xml:space="preserve">20060290846</t>
  </si>
  <si>
    <t xml:space="preserve">3524036611010001</t>
  </si>
  <si>
    <t xml:space="preserve">Karangpilang, RT/RW 005/001, Kedungrejo, Modo, Kab. Lamongan</t>
  </si>
  <si>
    <t xml:space="preserve">YUSUP RACHMADI</t>
  </si>
  <si>
    <t xml:space="preserve">0000678097012</t>
  </si>
  <si>
    <t xml:space="preserve">3506200907940002</t>
  </si>
  <si>
    <t xml:space="preserve">Dsn. Bulak RT 03 RW 07 Blimbing, Tarokan, Kediri</t>
  </si>
  <si>
    <t xml:space="preserve">AMUAJI</t>
  </si>
  <si>
    <t xml:space="preserve">26084550489</t>
  </si>
  <si>
    <t xml:space="preserve">ENAMEL</t>
  </si>
  <si>
    <t xml:space="preserve">3525111609710003</t>
  </si>
  <si>
    <t xml:space="preserve">Ndalem Permai, RT/RW 003/003, Cerme Kidul, Cerme, Kab. Gresik</t>
  </si>
  <si>
    <t xml:space="preserve">VIFAH AULIA</t>
  </si>
  <si>
    <t xml:space="preserve">0003399454462</t>
  </si>
  <si>
    <t xml:space="preserve">6371014107010463</t>
  </si>
  <si>
    <t xml:space="preserve">JL. Kelayan B GG. Mawar, RT/RW 021/002, Kelayan Tengah, Banjarmasin Selatan, Banjarmasin</t>
  </si>
  <si>
    <t xml:space="preserve">WAHYU TUNGGUL PAMUNGKAS</t>
  </si>
  <si>
    <t xml:space="preserve">3313094412930001</t>
  </si>
  <si>
    <t xml:space="preserve">DK Gabahan, RT/RW 005/006, Mulur, Bendosari, Sukoharjo</t>
  </si>
  <si>
    <t xml:space="preserve">WENI ARDIYANTI</t>
  </si>
  <si>
    <t xml:space="preserve">1702195809980003</t>
  </si>
  <si>
    <t xml:space="preserve">Curup</t>
  </si>
  <si>
    <t xml:space="preserve">Jl. Cendrawasih, RT/RW 002/003, Tangkerang Tengah, Marpoyan Damai, Pekanbaru</t>
  </si>
  <si>
    <t xml:space="preserve">6282284333089</t>
  </si>
  <si>
    <t xml:space="preserve">WENI LESTARI</t>
  </si>
  <si>
    <t xml:space="preserve">0001649438638</t>
  </si>
  <si>
    <t xml:space="preserve">1375035501920002</t>
  </si>
  <si>
    <t xml:space="preserve">Jl Kubu Tanjung, RT/RW 001/003, Kubu Tanjung, Aur Birugo Tigo Baleh, Bukit Tinggi</t>
  </si>
  <si>
    <t xml:space="preserve">WENY ETYA RINI</t>
  </si>
  <si>
    <t xml:space="preserve">0003045290275</t>
  </si>
  <si>
    <t xml:space="preserve">3404014506880007</t>
  </si>
  <si>
    <t xml:space="preserve">Kwarasan RT/RW 005/005, Nogotirto, Gamping, Sleman</t>
  </si>
  <si>
    <t xml:space="preserve">WIDIA FITRI</t>
  </si>
  <si>
    <t xml:space="preserve">22067389975</t>
  </si>
  <si>
    <t xml:space="preserve">2171114202959005</t>
  </si>
  <si>
    <t xml:space="preserve">Taman Kartini Raya Blok B No., RT/RW 001/014, Sungai Harapan, Sekupang, Kota Batam</t>
  </si>
  <si>
    <t xml:space="preserve">WIDIANA ANGGRAINI</t>
  </si>
  <si>
    <t xml:space="preserve">0003551589404</t>
  </si>
  <si>
    <t xml:space="preserve">1812054203060001</t>
  </si>
  <si>
    <t xml:space="preserve">Tunas Jaya</t>
  </si>
  <si>
    <t xml:space="preserve">Tunas Jaya, RT/RW 021/003, Tunas Jaya, Gunung Agung, Tulang Bawang Barat</t>
  </si>
  <si>
    <t xml:space="preserve">WIDYA MELIA PUTRI</t>
  </si>
  <si>
    <t xml:space="preserve">26034108562</t>
  </si>
  <si>
    <t xml:space="preserve">1405114105050002</t>
  </si>
  <si>
    <t xml:space="preserve">Rantau Baru</t>
  </si>
  <si>
    <t xml:space="preserve">RT/RW 008/003, Kiyap Jaya, Bandar Sei Kliang, Kab. Pelalawan</t>
  </si>
  <si>
    <t xml:space="preserve">WIJI ANGGI LESTARI</t>
  </si>
  <si>
    <t xml:space="preserve">0003224914187</t>
  </si>
  <si>
    <t xml:space="preserve">6472046111050005</t>
  </si>
  <si>
    <t xml:space="preserve">Jl. Jelawat Gg. 9, RT/RW 006/000, Sidomulyo, Samarinda Ilir, Samarinda</t>
  </si>
  <si>
    <t xml:space="preserve">WINNY JINGGA</t>
  </si>
  <si>
    <t xml:space="preserve">0002045006717</t>
  </si>
  <si>
    <t xml:space="preserve">1272014609050002</t>
  </si>
  <si>
    <t xml:space="preserve">Pematangsiantar</t>
  </si>
  <si>
    <t xml:space="preserve">Jl. Atletik No. 25, RT/RW 000/000, Bantan, Siantar Barat, Pematangsiantar</t>
  </si>
  <si>
    <t xml:space="preserve">WIRNA ANGGRIANI</t>
  </si>
  <si>
    <t xml:space="preserve">0002304871244</t>
  </si>
  <si>
    <t xml:space="preserve">7371074308980009</t>
  </si>
  <si>
    <t xml:space="preserve">Jl. Kangkung Timur No 15 RT/RW 004/003 , Tompo Balang, Bontoala, Makassar</t>
  </si>
  <si>
    <t xml:space="preserve">YOHANA DYAH AYU WULAN SAFITRI</t>
  </si>
  <si>
    <t xml:space="preserve">0001842366532</t>
  </si>
  <si>
    <t xml:space="preserve">3316145512020002</t>
  </si>
  <si>
    <t xml:space="preserve">Dukuh Jiken, RT/RW 003/007, Jiken, Jiken, Blora</t>
  </si>
  <si>
    <t xml:space="preserve">0000903062417</t>
  </si>
  <si>
    <t xml:space="preserve">6472054810030004</t>
  </si>
  <si>
    <t xml:space="preserve">Sukorejo, RT/RW 043/000, Lempake, Samarinda Utara, Samarinda</t>
  </si>
  <si>
    <t xml:space="preserve">YONA ANGGRIYANI</t>
  </si>
  <si>
    <t xml:space="preserve">6371014104020012</t>
  </si>
  <si>
    <t xml:space="preserve">Jl. Kelayan A II, RT/RW 012/001, Murung Raya, Banjarmasin Selatan, Banjarmasin</t>
  </si>
  <si>
    <t xml:space="preserve">6283142361171</t>
  </si>
  <si>
    <t xml:space="preserve">YUMIMA FUDIKOA</t>
  </si>
  <si>
    <t xml:space="preserve">5371044205960001</t>
  </si>
  <si>
    <t xml:space="preserve">Penfui Timur, RT/RW 014/004, Penfui Timur, Kupang Tengah, Kupang</t>
  </si>
  <si>
    <t xml:space="preserve">28084318848</t>
  </si>
  <si>
    <t xml:space="preserve">A. RAA'UF ABDUL MAJID</t>
  </si>
  <si>
    <t xml:space="preserve">25020089434</t>
  </si>
  <si>
    <t xml:space="preserve">3524252804060004</t>
  </si>
  <si>
    <t xml:space="preserve">Buden, RT/RW 002/003, Plosobuden, Kec. Deket, Kab. Lamongan</t>
  </si>
  <si>
    <t xml:space="preserve">YUSRIZAL ARGHOBI</t>
  </si>
  <si>
    <t xml:space="preserve">26081054851</t>
  </si>
  <si>
    <t xml:space="preserve">3518091009980001</t>
  </si>
  <si>
    <t xml:space="preserve">Dsn. Kandangrejo, RT/RW 020/006, Paron, Kec. Bagor, Kab. Nganjuk</t>
  </si>
  <si>
    <t xml:space="preserve">852-1169-0105</t>
  </si>
  <si>
    <t xml:space="preserve">PRIYO PRASTIKKO</t>
  </si>
  <si>
    <t xml:space="preserve">20017490753</t>
  </si>
  <si>
    <t xml:space="preserve">3575010204910001</t>
  </si>
  <si>
    <t xml:space="preserve">Jl Slamet Riyadi, RT/RW 002/001, Sebani, Kec. Gadingrejo, Kota Pasuruan</t>
  </si>
  <si>
    <t xml:space="preserve">YUMNI NOOR FAJRINA FATONI</t>
  </si>
  <si>
    <t xml:space="preserve">0001026979716</t>
  </si>
  <si>
    <t xml:space="preserve">3321116409970004</t>
  </si>
  <si>
    <t xml:space="preserve">Sampangan No.28 RT/RW 002/004, Bintoro, Demak, Demak</t>
  </si>
  <si>
    <t xml:space="preserve">SYIHABUDDIN IKHSAN</t>
  </si>
  <si>
    <t xml:space="preserve">29098935449</t>
  </si>
  <si>
    <t xml:space="preserve">3525162612030001</t>
  </si>
  <si>
    <t xml:space="preserve">Jl. Usman Sadar XXII/43, RT/RW 002/003, Sukorame, Kec. Gresik, Kab. Gresik</t>
  </si>
  <si>
    <t xml:space="preserve">MUHAMMAD ALTHAF PRADIPA</t>
  </si>
  <si>
    <t xml:space="preserve">22068315893</t>
  </si>
  <si>
    <t xml:space="preserve">3525102912030005</t>
  </si>
  <si>
    <t xml:space="preserve">Perum Banjarsari Blok A-21, RT/RW 007/002, Banjarsari, Kec. Manyar, Kab. Gresik</t>
  </si>
  <si>
    <t xml:space="preserve">APRILIA EKA NINGTIAS</t>
  </si>
  <si>
    <t xml:space="preserve">25071266110</t>
  </si>
  <si>
    <t xml:space="preserve">3578254604040003</t>
  </si>
  <si>
    <t xml:space="preserve">Kyai Satari Gg. Langgar 5.D, RT/RW 002/001, Rungkut Menanggal, Gunung Anyar, Kota Surabaya</t>
  </si>
  <si>
    <t xml:space="preserve">LIKA RATNA SARI</t>
  </si>
  <si>
    <t xml:space="preserve">26027371586</t>
  </si>
  <si>
    <t xml:space="preserve">3578011690673001</t>
  </si>
  <si>
    <t xml:space="preserve">Warugunung, RT/RW 005/003, Warugunung, Karang Pilang, Kota Surabaya</t>
  </si>
  <si>
    <t xml:space="preserve">WIWIT RAGIL KURNIAWAN</t>
  </si>
  <si>
    <t xml:space="preserve">29088649767</t>
  </si>
  <si>
    <t xml:space="preserve">3506244606040001</t>
  </si>
  <si>
    <t xml:space="preserve">Dsn. Padangan Kidul, RT/RW 002/002, Padangan, Kayen Kidul, Kab. Kediri</t>
  </si>
  <si>
    <t xml:space="preserve">MUHAMMAD FAJRUL FAW WAZ</t>
  </si>
  <si>
    <t xml:space="preserve">27062282772</t>
  </si>
  <si>
    <t xml:space="preserve">3525050702070004</t>
  </si>
  <si>
    <t xml:space="preserve">Sumari, RT/RW 004/002, Sumari, Duduksampeyan, Kab. Gresik</t>
  </si>
  <si>
    <t xml:space="preserve">28081377028</t>
  </si>
  <si>
    <t xml:space="preserve">3524052310070002</t>
  </si>
  <si>
    <t xml:space="preserve">Perumahan Istana Regency Jln. Krisna Kav. Blok E 04, RT/RW 010/010, Kembangan, Kec. Kebomas, Kab. Gresik</t>
  </si>
  <si>
    <t xml:space="preserve">RONI SULINGGA</t>
  </si>
  <si>
    <t xml:space="preserve">25019611594</t>
  </si>
  <si>
    <t xml:space="preserve">3516121901050002</t>
  </si>
  <si>
    <t xml:space="preserve">Dusun Tegalan, RT/RW 002/001, Trowulan, Trowulan, Kabupaten Mojokerto</t>
  </si>
  <si>
    <t xml:space="preserve">TEGUH RIYADI</t>
  </si>
  <si>
    <t xml:space="preserve">20082154544</t>
  </si>
  <si>
    <t xml:space="preserve">6205051012010001</t>
  </si>
  <si>
    <t xml:space="preserve">Muara Teweh</t>
  </si>
  <si>
    <t xml:space="preserve">Jl. Wonorejo, RT/RW 030/000, Melayu, Kec. Teweh Tengah, Kab. Barito Utara</t>
  </si>
  <si>
    <t xml:space="preserve">27002296044</t>
  </si>
  <si>
    <t xml:space="preserve">6311051009970002</t>
  </si>
  <si>
    <t xml:space="preserve">Loa Janan</t>
  </si>
  <si>
    <t xml:space="preserve">Jl. Cipto Mangunkusumo, RT/RW 020/000, Sengkotek, Loa Janan Ilir, Kota Samarinda</t>
  </si>
  <si>
    <t xml:space="preserve">MUHAMMAD RAMADHAN</t>
  </si>
  <si>
    <t xml:space="preserve">23027018510</t>
  </si>
  <si>
    <t xml:space="preserve">6304052311030004</t>
  </si>
  <si>
    <t xml:space="preserve">Komplek Persada Permai Baru II Jlr 8 No.04, RT/RW 039/000, Semangat Dalam, Kec. Alalak, Kab. Barito Kuala</t>
  </si>
  <si>
    <t xml:space="preserve">HELDA WATI</t>
  </si>
  <si>
    <t xml:space="preserve">26079497567</t>
  </si>
  <si>
    <t xml:space="preserve">6301034810960005</t>
  </si>
  <si>
    <t xml:space="preserve">Danau Waringin</t>
  </si>
  <si>
    <t xml:space="preserve">Danau Waringin, RT/RW 009/003, Pemuda, Kec. Pelaihari, Kab. Tanah Laut</t>
  </si>
  <si>
    <t xml:space="preserve">M. SARMIADI</t>
  </si>
  <si>
    <t xml:space="preserve">29022877725</t>
  </si>
  <si>
    <t xml:space="preserve">6372041811000002</t>
  </si>
  <si>
    <t xml:space="preserve">Landasan Ulin</t>
  </si>
  <si>
    <t xml:space="preserve">Jl. Sukamaju Komp. Angkasa Raya Permai No. 08, RT/RW 005/001, Landasan Ulin Utara, Kec. Liang Anggang, Kota Banjarbaru</t>
  </si>
  <si>
    <t xml:space="preserve">M. YUSUF RAHMAN</t>
  </si>
  <si>
    <t xml:space="preserve">21099663658</t>
  </si>
  <si>
    <t xml:space="preserve">6303032706020006</t>
  </si>
  <si>
    <t xml:space="preserve">Handil Bujur, RT/RW 006/000, Tambak Sirang Darat, Kec. Gambut, Kab. Banjar</t>
  </si>
  <si>
    <t xml:space="preserve">Baris</t>
  </si>
  <si>
    <t xml:space="preserve">Kolom</t>
  </si>
  <si>
    <t xml:space="preserve">Nilai lama</t>
  </si>
  <si>
    <t xml:space="preserve">Nilai baru</t>
  </si>
  <si>
    <t xml:space="preserve">Jenis perubahan</t>
  </si>
  <si>
    <t xml:space="preserve">Katholik</t>
  </si>
  <si>
    <t xml:space="preserve">Anomali: penulisan/nilai tidak valid</t>
  </si>
  <si>
    <t xml:space="preserve">Laki-Laki</t>
  </si>
  <si>
    <t xml:space="preserve">Anomali: penulisan</t>
  </si>
  <si>
    <t xml:space="preserve">Belum Menikah</t>
  </si>
  <si>
    <t xml:space="preserve">Belum Meikah</t>
  </si>
  <si>
    <t xml:space="preserve">Menikah</t>
  </si>
  <si>
    <t xml:space="preserve">MOHAMMAD ISMAIL</t>
  </si>
  <si>
    <t xml:space="preserve">Anomali: spasi</t>
  </si>
  <si>
    <t xml:space="preserve">PEREMPUAN</t>
  </si>
  <si>
    <t xml:space="preserve">KRISTEN</t>
  </si>
  <si>
    <t xml:space="preserve">ISLAM</t>
  </si>
  <si>
    <t xml:space="preserve">Putus PKS</t>
  </si>
  <si>
    <t xml:space="preserve">MENINGGAL</t>
  </si>
  <si>
    <t xml:space="preserve">LAKI-LAKI</t>
  </si>
  <si>
    <t xml:space="preserve">BELUM KAWIN</t>
  </si>
  <si>
    <t xml:space="preserve">KAWIN</t>
  </si>
  <si>
    <t xml:space="preserve">o</t>
  </si>
  <si>
    <t xml:space="preserve">None</t>
  </si>
  <si>
    <t xml:space="preserve">laki-laki</t>
  </si>
  <si>
    <t xml:space="preserve">CERAI HIDUP</t>
  </si>
  <si>
    <t xml:space="preserve">HINDU</t>
  </si>
  <si>
    <t xml:space="preserve">NIRMALA DYAH PITALOKA </t>
  </si>
  <si>
    <t xml:space="preserve">Prostestan</t>
  </si>
  <si>
    <t xml:space="preserve">Anomali: penulisan kota</t>
  </si>
  <si>
    <t xml:space="preserve">Metro lampung</t>
  </si>
  <si>
    <t xml:space="preserve">Pangkal pinang</t>
  </si>
  <si>
    <t xml:space="preserve">Tanjung pinang</t>
  </si>
  <si>
    <t xml:space="preserve">Jogja</t>
  </si>
  <si>
    <t xml:space="preserve">TEBING TINGGI</t>
  </si>
  <si>
    <t xml:space="preserve">JAYAPURA</t>
  </si>
  <si>
    <t xml:space="preserve">Tebingtinggi</t>
  </si>
  <si>
    <t xml:space="preserve">4.200.000</t>
  </si>
  <si>
    <t xml:space="preserve">4200000</t>
  </si>
  <si>
    <t xml:space="preserve">Anomali: angka tersimpan sebagai teks</t>
  </si>
  <si>
    <t xml:space="preserve">3.708.275</t>
  </si>
  <si>
    <t xml:space="preserve">3708275</t>
  </si>
  <si>
    <t xml:space="preserve">5.000.000</t>
  </si>
  <si>
    <t xml:space="preserve">5000000</t>
  </si>
  <si>
    <t xml:space="preserve">22022</t>
  </si>
  <si>
    <t xml:space="preserve">22056</t>
  </si>
  <si>
    <t xml:space="preserve">Anomali: nomor NO ganda</t>
  </si>
  <si>
    <t xml:space="preserve">22421</t>
  </si>
  <si>
    <t xml:space="preserve">22517</t>
  </si>
  <si>
    <t xml:space="preserve">22522</t>
  </si>
  <si>
    <t xml:space="preserve">22526</t>
  </si>
  <si>
    <t xml:space="preserve">22532</t>
  </si>
  <si>
    <t xml:space="preserve">22547</t>
  </si>
  <si>
    <t xml:space="preserve">Kosong diisi: kota</t>
  </si>
  <si>
    <t xml:space="preserve">Kosong diisi: tempat lahir (= kota kerja)</t>
  </si>
  <si>
    <t xml:space="preserve">Kosong diisi: jenis kelamin (dari nama)</t>
  </si>
  <si>
    <t xml:space="preserve">1996-01-24 00:00:00</t>
  </si>
  <si>
    <t xml:space="preserve">Kosong diisi: tanggal lahir (contoh)</t>
  </si>
  <si>
    <t xml:space="preserve">Kosong diisi: alamat (contoh)</t>
  </si>
  <si>
    <t xml:space="preserve">1997-12-04 00:00:00</t>
  </si>
  <si>
    <t xml:space="preserve">Kosong diisi: NIK (disusun dari wilayah + tgl lahir)</t>
  </si>
  <si>
    <t xml:space="preserve">Kosong diisi: status kawin (dari usia)</t>
  </si>
  <si>
    <t xml:space="preserve">Kosong diisi: agama (terbanyak)</t>
  </si>
  <si>
    <t xml:space="preserve">81201338908</t>
  </si>
  <si>
    <t xml:space="preserve">Kosong diisi: telepon (contoh)</t>
  </si>
  <si>
    <t xml:space="preserve">85186379402</t>
  </si>
  <si>
    <t xml:space="preserve">89654235116</t>
  </si>
  <si>
    <t xml:space="preserve">82155940781</t>
  </si>
  <si>
    <t xml:space="preserve">89518495931</t>
  </si>
  <si>
    <t xml:space="preserve">81234131647</t>
  </si>
  <si>
    <t xml:space="preserve">87825534192</t>
  </si>
  <si>
    <t xml:space="preserve">85227648350</t>
  </si>
  <si>
    <t xml:space="preserve">85205641395</t>
  </si>
  <si>
    <t xml:space="preserve">85176724238</t>
  </si>
  <si>
    <t xml:space="preserve">85396965328</t>
  </si>
  <si>
    <t xml:space="preserve">83110122691</t>
  </si>
  <si>
    <t xml:space="preserve">89569784801</t>
  </si>
  <si>
    <t xml:space="preserve">85351462704</t>
  </si>
  <si>
    <t xml:space="preserve">87728148932</t>
  </si>
  <si>
    <t xml:space="preserve">87828809570</t>
  </si>
  <si>
    <t xml:space="preserve">82154303911</t>
  </si>
  <si>
    <t xml:space="preserve">83118227824</t>
  </si>
  <si>
    <t xml:space="preserve">87796383465</t>
  </si>
  <si>
    <t xml:space="preserve">89887133150</t>
  </si>
  <si>
    <t xml:space="preserve">85293010310</t>
  </si>
  <si>
    <t xml:space="preserve">85818347382</t>
  </si>
  <si>
    <t xml:space="preserve">83137631165</t>
  </si>
  <si>
    <t xml:space="preserve">89667010651</t>
  </si>
  <si>
    <t xml:space="preserve">85233872624</t>
  </si>
  <si>
    <t xml:space="preserve">89831781080</t>
  </si>
  <si>
    <t xml:space="preserve">81332677360</t>
  </si>
  <si>
    <t xml:space="preserve">82360647468</t>
  </si>
  <si>
    <t xml:space="preserve">83123430980</t>
  </si>
  <si>
    <t xml:space="preserve">85800978820</t>
  </si>
  <si>
    <t xml:space="preserve">87712191361</t>
  </si>
  <si>
    <t xml:space="preserve">85299091699</t>
  </si>
  <si>
    <t xml:space="preserve">87754353462</t>
  </si>
  <si>
    <t xml:space="preserve">85775107991</t>
  </si>
  <si>
    <t xml:space="preserve">81383842513</t>
  </si>
  <si>
    <t xml:space="preserve">87842784980</t>
  </si>
  <si>
    <t xml:space="preserve">85712411824</t>
  </si>
  <si>
    <t xml:space="preserve">85793534874</t>
  </si>
  <si>
    <t xml:space="preserve">81216400524</t>
  </si>
  <si>
    <t xml:space="preserve">82378680112</t>
  </si>
  <si>
    <t xml:space="preserve">81259826204</t>
  </si>
  <si>
    <t xml:space="preserve">87805331586</t>
  </si>
  <si>
    <t xml:space="preserve">82232260256</t>
  </si>
  <si>
    <t xml:space="preserve">85242160733</t>
  </si>
  <si>
    <t xml:space="preserve">89854330365</t>
  </si>
  <si>
    <t xml:space="preserve">85314586850</t>
  </si>
  <si>
    <t xml:space="preserve">82142940196</t>
  </si>
  <si>
    <t xml:space="preserve">87856981693</t>
  </si>
  <si>
    <t xml:space="preserve">85306088356</t>
  </si>
  <si>
    <t xml:space="preserve">81359514846</t>
  </si>
  <si>
    <t xml:space="preserve">85864823662</t>
  </si>
  <si>
    <t xml:space="preserve">85768044369</t>
  </si>
  <si>
    <t xml:space="preserve">85877738721</t>
  </si>
  <si>
    <t xml:space="preserve">85789513433</t>
  </si>
  <si>
    <t xml:space="preserve">82200379176</t>
  </si>
  <si>
    <t xml:space="preserve">85167632016</t>
  </si>
  <si>
    <t xml:space="preserve">85228708317</t>
  </si>
  <si>
    <t xml:space="preserve">82278895798</t>
  </si>
  <si>
    <t xml:space="preserve">89687277434</t>
  </si>
  <si>
    <t xml:space="preserve">87773471434</t>
  </si>
  <si>
    <t xml:space="preserve">85858122362</t>
  </si>
  <si>
    <t xml:space="preserve">85116658760</t>
  </si>
  <si>
    <t xml:space="preserve">85166909670</t>
  </si>
  <si>
    <t xml:space="preserve">87846688937</t>
  </si>
  <si>
    <t xml:space="preserve">85246706562</t>
  </si>
  <si>
    <t xml:space="preserve">89829806990</t>
  </si>
  <si>
    <t xml:space="preserve">81362720465</t>
  </si>
  <si>
    <t xml:space="preserve">85175564641</t>
  </si>
  <si>
    <t xml:space="preserve">83108053100</t>
  </si>
  <si>
    <t xml:space="preserve">85230923271</t>
  </si>
  <si>
    <t xml:space="preserve">85174529912</t>
  </si>
  <si>
    <t xml:space="preserve">85719049663</t>
  </si>
  <si>
    <t xml:space="preserve">81393149190</t>
  </si>
  <si>
    <t xml:space="preserve">87886518506</t>
  </si>
  <si>
    <t xml:space="preserve">83116572628</t>
  </si>
  <si>
    <t xml:space="preserve">85398776945</t>
  </si>
  <si>
    <t xml:space="preserve">85214737996</t>
  </si>
  <si>
    <t xml:space="preserve">85807527354</t>
  </si>
  <si>
    <t xml:space="preserve">85849480831</t>
  </si>
  <si>
    <t xml:space="preserve">85267837770</t>
  </si>
  <si>
    <t xml:space="preserve">81343634957</t>
  </si>
  <si>
    <t xml:space="preserve">87756855744</t>
  </si>
  <si>
    <t xml:space="preserve">85331351823</t>
  </si>
  <si>
    <t xml:space="preserve">85174989413</t>
  </si>
  <si>
    <t xml:space="preserve">85735240824</t>
  </si>
  <si>
    <t xml:space="preserve">81208427109</t>
  </si>
  <si>
    <t xml:space="preserve">85777752047</t>
  </si>
  <si>
    <t xml:space="preserve">82116719022</t>
  </si>
  <si>
    <t xml:space="preserve">85713186999</t>
  </si>
  <si>
    <t xml:space="preserve">85286774964</t>
  </si>
  <si>
    <t xml:space="preserve">81291334123</t>
  </si>
  <si>
    <t xml:space="preserve">82381206797</t>
  </si>
  <si>
    <t xml:space="preserve">85703447134</t>
  </si>
  <si>
    <t xml:space="preserve">85161832421</t>
  </si>
  <si>
    <t xml:space="preserve">81224994717</t>
  </si>
  <si>
    <t xml:space="preserve">85764887719</t>
  </si>
  <si>
    <t xml:space="preserve">81265940139</t>
  </si>
  <si>
    <t xml:space="preserve">81149027874</t>
  </si>
  <si>
    <t xml:space="preserve">82396717565</t>
  </si>
  <si>
    <t xml:space="preserve">85812567468</t>
  </si>
  <si>
    <t xml:space="preserve">81271545168</t>
  </si>
  <si>
    <t xml:space="preserve">81187603859</t>
  </si>
  <si>
    <t xml:space="preserve">83170348247</t>
  </si>
  <si>
    <t xml:space="preserve">83110932480</t>
  </si>
  <si>
    <t xml:space="preserve">89613171274</t>
  </si>
  <si>
    <t xml:space="preserve">87746773782</t>
  </si>
  <si>
    <t xml:space="preserve">89539821465</t>
  </si>
  <si>
    <t xml:space="preserve">87740449972</t>
  </si>
  <si>
    <t xml:space="preserve">89887558867</t>
  </si>
  <si>
    <t xml:space="preserve">85833963605</t>
  </si>
  <si>
    <t xml:space="preserve">83166270289</t>
  </si>
  <si>
    <t xml:space="preserve">85817187026</t>
  </si>
  <si>
    <t xml:space="preserve">82217459615</t>
  </si>
  <si>
    <t xml:space="preserve">89557809134</t>
  </si>
  <si>
    <t xml:space="preserve">85216117240</t>
  </si>
  <si>
    <t xml:space="preserve">81250455623</t>
  </si>
  <si>
    <t xml:space="preserve">87769222196</t>
  </si>
  <si>
    <t xml:space="preserve">85279237474</t>
  </si>
  <si>
    <t xml:space="preserve">81174821759</t>
  </si>
  <si>
    <t xml:space="preserve">85764743671</t>
  </si>
  <si>
    <t xml:space="preserve">85269594406</t>
  </si>
  <si>
    <t xml:space="preserve">85309097439</t>
  </si>
  <si>
    <t xml:space="preserve">87833942104</t>
  </si>
  <si>
    <t xml:space="preserve">89809521456</t>
  </si>
  <si>
    <t xml:space="preserve">82332858842</t>
  </si>
  <si>
    <t xml:space="preserve">85374517123</t>
  </si>
  <si>
    <t xml:space="preserve">89585160481</t>
  </si>
  <si>
    <t xml:space="preserve">89854965137</t>
  </si>
  <si>
    <t xml:space="preserve">81198593174</t>
  </si>
  <si>
    <t xml:space="preserve">89612004711</t>
  </si>
  <si>
    <t xml:space="preserve">85282675869</t>
  </si>
  <si>
    <t xml:space="preserve">82261796405</t>
  </si>
  <si>
    <t xml:space="preserve">85177351585</t>
  </si>
  <si>
    <t xml:space="preserve">81264317139</t>
  </si>
  <si>
    <t xml:space="preserve">81105329318</t>
  </si>
  <si>
    <t xml:space="preserve">85193352904</t>
  </si>
  <si>
    <t xml:space="preserve">82228421020</t>
  </si>
  <si>
    <t xml:space="preserve">87839502402</t>
  </si>
  <si>
    <t xml:space="preserve">89681177589</t>
  </si>
  <si>
    <t xml:space="preserve">82178390847</t>
  </si>
  <si>
    <t xml:space="preserve">81107661771</t>
  </si>
  <si>
    <t xml:space="preserve">81359212499</t>
  </si>
  <si>
    <t xml:space="preserve">85869847896</t>
  </si>
  <si>
    <t xml:space="preserve">82118367365</t>
  </si>
  <si>
    <t xml:space="preserve">89866156545</t>
  </si>
  <si>
    <t xml:space="preserve">82271111615</t>
  </si>
  <si>
    <t xml:space="preserve">82280988516</t>
  </si>
  <si>
    <t xml:space="preserve">87860494519</t>
  </si>
  <si>
    <t xml:space="preserve">87732731585</t>
  </si>
  <si>
    <t xml:space="preserve">82149368998</t>
  </si>
  <si>
    <t xml:space="preserve">81194024455</t>
  </si>
  <si>
    <t xml:space="preserve">81122961201</t>
  </si>
  <si>
    <t xml:space="preserve">87736675254</t>
  </si>
  <si>
    <t xml:space="preserve">85899102290</t>
  </si>
  <si>
    <t xml:space="preserve">81347679764</t>
  </si>
  <si>
    <t xml:space="preserve">85181561497</t>
  </si>
  <si>
    <t xml:space="preserve">87740369003</t>
  </si>
  <si>
    <t xml:space="preserve">85732445107</t>
  </si>
  <si>
    <t xml:space="preserve">89622683885</t>
  </si>
  <si>
    <t xml:space="preserve">81360607159</t>
  </si>
  <si>
    <t xml:space="preserve">89696641605</t>
  </si>
  <si>
    <t xml:space="preserve">82397516136</t>
  </si>
  <si>
    <t xml:space="preserve">89581645352</t>
  </si>
  <si>
    <t xml:space="preserve">81381883552</t>
  </si>
  <si>
    <t xml:space="preserve">85212432921</t>
  </si>
  <si>
    <t xml:space="preserve">82377997995</t>
  </si>
  <si>
    <t xml:space="preserve">85827177449</t>
  </si>
  <si>
    <t xml:space="preserve">81258147700</t>
  </si>
  <si>
    <t xml:space="preserve">87841199867</t>
  </si>
  <si>
    <t xml:space="preserve">81279359782</t>
  </si>
  <si>
    <t xml:space="preserve">81271518203</t>
  </si>
  <si>
    <t xml:space="preserve">89878892554</t>
  </si>
  <si>
    <t xml:space="preserve">89565905151</t>
  </si>
  <si>
    <t xml:space="preserve">89544925192</t>
  </si>
  <si>
    <t xml:space="preserve">87846291486</t>
  </si>
  <si>
    <t xml:space="preserve">85828168505</t>
  </si>
  <si>
    <t xml:space="preserve">85723573322</t>
  </si>
  <si>
    <t xml:space="preserve">81341888059</t>
  </si>
  <si>
    <t xml:space="preserve">82296222927</t>
  </si>
  <si>
    <t xml:space="preserve">81265379473</t>
  </si>
  <si>
    <t xml:space="preserve">85247359774</t>
  </si>
  <si>
    <t xml:space="preserve">89588623924</t>
  </si>
  <si>
    <t xml:space="preserve">81275818141</t>
  </si>
  <si>
    <t xml:space="preserve">82347826137</t>
  </si>
  <si>
    <t xml:space="preserve">87806068536</t>
  </si>
  <si>
    <t xml:space="preserve">81353051522</t>
  </si>
  <si>
    <t xml:space="preserve">81247277901</t>
  </si>
  <si>
    <t xml:space="preserve">81143289861</t>
  </si>
  <si>
    <t xml:space="preserve">85734103697</t>
  </si>
  <si>
    <t xml:space="preserve">81317980893</t>
  </si>
  <si>
    <t xml:space="preserve">82246095396</t>
  </si>
  <si>
    <t xml:space="preserve">82318518888</t>
  </si>
  <si>
    <t xml:space="preserve">81167065405</t>
  </si>
  <si>
    <t xml:space="preserve">81353195205</t>
  </si>
  <si>
    <t xml:space="preserve">85827722170</t>
  </si>
  <si>
    <t xml:space="preserve">85730305486</t>
  </si>
  <si>
    <t xml:space="preserve">83140345054</t>
  </si>
  <si>
    <t xml:space="preserve">82156676527</t>
  </si>
  <si>
    <t xml:space="preserve">83158416169</t>
  </si>
  <si>
    <t xml:space="preserve">82384511544</t>
  </si>
  <si>
    <t xml:space="preserve">89896275705</t>
  </si>
  <si>
    <t xml:space="preserve">89640165820</t>
  </si>
  <si>
    <t xml:space="preserve">82297021355</t>
  </si>
  <si>
    <t xml:space="preserve">89590927557</t>
  </si>
  <si>
    <t xml:space="preserve">81392856543</t>
  </si>
  <si>
    <t xml:space="preserve">82102786814</t>
  </si>
  <si>
    <t xml:space="preserve">85373947312</t>
  </si>
  <si>
    <t xml:space="preserve">81372715518</t>
  </si>
  <si>
    <t xml:space="preserve">85742258313</t>
  </si>
  <si>
    <t xml:space="preserve">82237058957</t>
  </si>
  <si>
    <t xml:space="preserve">82291146786</t>
  </si>
  <si>
    <t xml:space="preserve">89691251778</t>
  </si>
  <si>
    <t xml:space="preserve">87828922680</t>
  </si>
  <si>
    <t xml:space="preserve">82182422535</t>
  </si>
  <si>
    <t xml:space="preserve">87741438424</t>
  </si>
  <si>
    <t xml:space="preserve">81382992299</t>
  </si>
  <si>
    <t xml:space="preserve">85890010943</t>
  </si>
  <si>
    <t xml:space="preserve">89690784473</t>
  </si>
  <si>
    <t xml:space="preserve">89547102767</t>
  </si>
  <si>
    <t xml:space="preserve">89835925556</t>
  </si>
  <si>
    <t xml:space="preserve">82258815371</t>
  </si>
  <si>
    <t xml:space="preserve">85373210469</t>
  </si>
  <si>
    <t xml:space="preserve">89632595327</t>
  </si>
  <si>
    <t xml:space="preserve">87777470168</t>
  </si>
  <si>
    <t xml:space="preserve">89833950047</t>
  </si>
  <si>
    <t xml:space="preserve">83148016245</t>
  </si>
  <si>
    <t xml:space="preserve">89550609835</t>
  </si>
  <si>
    <t xml:space="preserve">85716878499</t>
  </si>
  <si>
    <t xml:space="preserve">82121655852</t>
  </si>
  <si>
    <t xml:space="preserve">85198680002</t>
  </si>
  <si>
    <t xml:space="preserve">85878729825</t>
  </si>
  <si>
    <t xml:space="preserve">85826949588</t>
  </si>
  <si>
    <t xml:space="preserve">83194705516</t>
  </si>
  <si>
    <t xml:space="preserve">85709749930</t>
  </si>
  <si>
    <t xml:space="preserve">83128962309</t>
  </si>
  <si>
    <t xml:space="preserve">82130756263</t>
  </si>
  <si>
    <t xml:space="preserve">89689702838</t>
  </si>
  <si>
    <t xml:space="preserve">85878652785</t>
  </si>
  <si>
    <t xml:space="preserve">87849733484</t>
  </si>
  <si>
    <t xml:space="preserve">85244375758</t>
  </si>
  <si>
    <t xml:space="preserve">85341986652</t>
  </si>
  <si>
    <t xml:space="preserve">85704157473</t>
  </si>
  <si>
    <t xml:space="preserve">85184842199</t>
  </si>
  <si>
    <t xml:space="preserve">85230833016</t>
  </si>
  <si>
    <t xml:space="preserve">85871208267</t>
  </si>
  <si>
    <t xml:space="preserve">83134540193</t>
  </si>
  <si>
    <t xml:space="preserve">81226206724</t>
  </si>
  <si>
    <t xml:space="preserve">81204991547</t>
  </si>
  <si>
    <t xml:space="preserve">87772874315</t>
  </si>
  <si>
    <t xml:space="preserve">82374205493</t>
  </si>
  <si>
    <t xml:space="preserve">82396685161</t>
  </si>
  <si>
    <t xml:space="preserve">82327530463</t>
  </si>
  <si>
    <t xml:space="preserve">89845499045</t>
  </si>
  <si>
    <t xml:space="preserve">85201742684</t>
  </si>
  <si>
    <t xml:space="preserve">82145933272</t>
  </si>
  <si>
    <t xml:space="preserve">89895687833</t>
  </si>
  <si>
    <t xml:space="preserve">81387851910</t>
  </si>
  <si>
    <t xml:space="preserve">87739822587</t>
  </si>
  <si>
    <t xml:space="preserve">82139718707</t>
  </si>
  <si>
    <t xml:space="preserve">82286790874</t>
  </si>
  <si>
    <t xml:space="preserve">81164039106</t>
  </si>
  <si>
    <t xml:space="preserve">87818017046</t>
  </si>
  <si>
    <t xml:space="preserve">82326567661</t>
  </si>
  <si>
    <t xml:space="preserve">82251286823</t>
  </si>
  <si>
    <t xml:space="preserve">81104786863</t>
  </si>
  <si>
    <t xml:space="preserve">85275243106</t>
  </si>
  <si>
    <t xml:space="preserve">81133119079</t>
  </si>
  <si>
    <t xml:space="preserve">81230673830</t>
  </si>
  <si>
    <t xml:space="preserve">82284395995</t>
  </si>
  <si>
    <t xml:space="preserve">85242836440</t>
  </si>
  <si>
    <t xml:space="preserve">82368705685</t>
  </si>
  <si>
    <t xml:space="preserve">89662462873</t>
  </si>
  <si>
    <t xml:space="preserve">85242708668</t>
  </si>
  <si>
    <t xml:space="preserve">87726343517</t>
  </si>
  <si>
    <t xml:space="preserve">87818304699</t>
  </si>
  <si>
    <t xml:space="preserve">81213983735</t>
  </si>
  <si>
    <t xml:space="preserve">85703317393</t>
  </si>
  <si>
    <t xml:space="preserve">89538546785</t>
  </si>
  <si>
    <t xml:space="preserve">85745877175</t>
  </si>
  <si>
    <t xml:space="preserve">85155609320</t>
  </si>
  <si>
    <t xml:space="preserve">85389964235</t>
  </si>
  <si>
    <t xml:space="preserve">85269378547</t>
  </si>
  <si>
    <t xml:space="preserve">83172522872</t>
  </si>
  <si>
    <t xml:space="preserve">81280100623</t>
  </si>
  <si>
    <t xml:space="preserve">81320387509</t>
  </si>
  <si>
    <t xml:space="preserve">83170088600</t>
  </si>
  <si>
    <t xml:space="preserve">87748408621</t>
  </si>
  <si>
    <t xml:space="preserve">82182339845</t>
  </si>
  <si>
    <t xml:space="preserve">85361567933</t>
  </si>
  <si>
    <t xml:space="preserve">85710166687</t>
  </si>
  <si>
    <t xml:space="preserve">81202176591</t>
  </si>
  <si>
    <t xml:space="preserve">87703397401</t>
  </si>
  <si>
    <t xml:space="preserve">85389025039</t>
  </si>
  <si>
    <t xml:space="preserve">82261429396</t>
  </si>
  <si>
    <t xml:space="preserve">85862185016</t>
  </si>
  <si>
    <t xml:space="preserve">85215999650</t>
  </si>
  <si>
    <t xml:space="preserve">85377358662</t>
  </si>
  <si>
    <t xml:space="preserve">89519431142</t>
  </si>
  <si>
    <t xml:space="preserve">89526551104</t>
  </si>
  <si>
    <t xml:space="preserve">89854121267</t>
  </si>
  <si>
    <t xml:space="preserve">87761015819</t>
  </si>
  <si>
    <t xml:space="preserve">85860466183</t>
  </si>
  <si>
    <t xml:space="preserve">87726224447</t>
  </si>
  <si>
    <t xml:space="preserve">82212646471</t>
  </si>
  <si>
    <t xml:space="preserve">87843799371</t>
  </si>
  <si>
    <t xml:space="preserve">82240659657</t>
  </si>
  <si>
    <t xml:space="preserve">85869245937</t>
  </si>
  <si>
    <t xml:space="preserve">85826547935</t>
  </si>
  <si>
    <t xml:space="preserve">89546519398</t>
  </si>
  <si>
    <t xml:space="preserve">82380737416</t>
  </si>
  <si>
    <t xml:space="preserve">83124342661</t>
  </si>
  <si>
    <t xml:space="preserve">89897968868</t>
  </si>
  <si>
    <t xml:space="preserve">81258911352</t>
  </si>
  <si>
    <t xml:space="preserve">81296561014</t>
  </si>
  <si>
    <t xml:space="preserve">85288899375</t>
  </si>
  <si>
    <t xml:space="preserve">89579825071</t>
  </si>
  <si>
    <t xml:space="preserve">85761125457</t>
  </si>
  <si>
    <t xml:space="preserve">85187571775</t>
  </si>
  <si>
    <t xml:space="preserve">81340105123</t>
  </si>
  <si>
    <t xml:space="preserve">87728258673</t>
  </si>
  <si>
    <t xml:space="preserve">89522660937</t>
  </si>
  <si>
    <t xml:space="preserve">89660334191</t>
  </si>
  <si>
    <t xml:space="preserve">82355371478</t>
  </si>
  <si>
    <t xml:space="preserve">85896969155</t>
  </si>
  <si>
    <t xml:space="preserve">89892499125</t>
  </si>
  <si>
    <t xml:space="preserve">82134125286</t>
  </si>
  <si>
    <t xml:space="preserve">89692966278</t>
  </si>
  <si>
    <t xml:space="preserve">82382742257</t>
  </si>
  <si>
    <t xml:space="preserve">81250723688</t>
  </si>
  <si>
    <t xml:space="preserve">83167677219</t>
  </si>
  <si>
    <t xml:space="preserve">81134043842</t>
  </si>
  <si>
    <t xml:space="preserve">89897881914</t>
  </si>
  <si>
    <t xml:space="preserve">87880783613</t>
  </si>
  <si>
    <t xml:space="preserve">85707451713</t>
  </si>
  <si>
    <t xml:space="preserve">85195962923</t>
  </si>
  <si>
    <t xml:space="preserve">85109584982</t>
  </si>
  <si>
    <t xml:space="preserve">85844948126</t>
  </si>
  <si>
    <t xml:space="preserve">81242232536</t>
  </si>
  <si>
    <t xml:space="preserve">83129466711</t>
  </si>
  <si>
    <t xml:space="preserve">89584577590</t>
  </si>
  <si>
    <t xml:space="preserve">81375186363</t>
  </si>
  <si>
    <t xml:space="preserve">83145458929</t>
  </si>
  <si>
    <t xml:space="preserve">83150017012</t>
  </si>
  <si>
    <t xml:space="preserve">89870632424</t>
  </si>
  <si>
    <t xml:space="preserve">81354152064</t>
  </si>
  <si>
    <t xml:space="preserve">85261103712</t>
  </si>
  <si>
    <t xml:space="preserve">85287005162</t>
  </si>
  <si>
    <t xml:space="preserve">83113611155</t>
  </si>
  <si>
    <t xml:space="preserve">85726221890</t>
  </si>
  <si>
    <t xml:space="preserve">82375326973</t>
  </si>
  <si>
    <t xml:space="preserve">81312196565</t>
  </si>
  <si>
    <t xml:space="preserve">82234138999</t>
  </si>
  <si>
    <t xml:space="preserve">85704389836</t>
  </si>
  <si>
    <t xml:space="preserve">85703761379</t>
  </si>
  <si>
    <t xml:space="preserve">81380552696</t>
  </si>
  <si>
    <t xml:space="preserve">87882710910</t>
  </si>
  <si>
    <t xml:space="preserve">85330068486</t>
  </si>
  <si>
    <t xml:space="preserve">89661889241</t>
  </si>
  <si>
    <t xml:space="preserve">85718328569</t>
  </si>
  <si>
    <t xml:space="preserve">81346303161</t>
  </si>
  <si>
    <t xml:space="preserve">89899042102</t>
  </si>
  <si>
    <t xml:space="preserve">81127588425</t>
  </si>
  <si>
    <t xml:space="preserve">82241056481</t>
  </si>
  <si>
    <t xml:space="preserve">85391778507</t>
  </si>
  <si>
    <t xml:space="preserve">82352419138</t>
  </si>
  <si>
    <t xml:space="preserve">81100307562</t>
  </si>
  <si>
    <t xml:space="preserve">82308635365</t>
  </si>
  <si>
    <t xml:space="preserve">85319518023</t>
  </si>
  <si>
    <t xml:space="preserve">87706174451</t>
  </si>
  <si>
    <t xml:space="preserve">89805349493</t>
  </si>
  <si>
    <t xml:space="preserve">89859738320</t>
  </si>
  <si>
    <t xml:space="preserve">89603850506</t>
  </si>
  <si>
    <t xml:space="preserve">85713836702</t>
  </si>
  <si>
    <t xml:space="preserve">85310386571</t>
  </si>
  <si>
    <t xml:space="preserve">82182619906</t>
  </si>
  <si>
    <t xml:space="preserve">82234456557</t>
  </si>
  <si>
    <t xml:space="preserve">85331329121</t>
  </si>
  <si>
    <t xml:space="preserve">82377561853</t>
  </si>
  <si>
    <t xml:space="preserve">89847411249</t>
  </si>
  <si>
    <t xml:space="preserve">81235213568</t>
  </si>
  <si>
    <t xml:space="preserve">81244206788</t>
  </si>
  <si>
    <t xml:space="preserve">85217121003</t>
  </si>
  <si>
    <t xml:space="preserve">82236519941</t>
  </si>
  <si>
    <t xml:space="preserve">81113721510</t>
  </si>
  <si>
    <t xml:space="preserve">89802966706</t>
  </si>
  <si>
    <t xml:space="preserve">89625324472</t>
  </si>
  <si>
    <t xml:space="preserve">81299934768</t>
  </si>
  <si>
    <t xml:space="preserve">83101462638</t>
  </si>
  <si>
    <t xml:space="preserve">85280657875</t>
  </si>
  <si>
    <t xml:space="preserve">87756420593</t>
  </si>
  <si>
    <t xml:space="preserve">81140785932</t>
  </si>
  <si>
    <t xml:space="preserve">82133480396</t>
  </si>
  <si>
    <t xml:space="preserve">87822395590</t>
  </si>
  <si>
    <t xml:space="preserve">87899293784</t>
  </si>
  <si>
    <t xml:space="preserve">82370103930</t>
  </si>
  <si>
    <t xml:space="preserve">87770593252</t>
  </si>
  <si>
    <t xml:space="preserve">85800292185</t>
  </si>
  <si>
    <t xml:space="preserve">81356915452</t>
  </si>
  <si>
    <t xml:space="preserve">82367528953</t>
  </si>
  <si>
    <t xml:space="preserve">82364422096</t>
  </si>
  <si>
    <t xml:space="preserve">81229593917</t>
  </si>
  <si>
    <t xml:space="preserve">82251355215</t>
  </si>
  <si>
    <t xml:space="preserve">89804331541</t>
  </si>
  <si>
    <t xml:space="preserve">81106762676</t>
  </si>
  <si>
    <t xml:space="preserve">87886179327</t>
  </si>
  <si>
    <t xml:space="preserve">81304054115</t>
  </si>
  <si>
    <t xml:space="preserve">82362181599</t>
  </si>
  <si>
    <t xml:space="preserve">83106296201</t>
  </si>
  <si>
    <t xml:space="preserve">85833688444</t>
  </si>
  <si>
    <t xml:space="preserve">85210698720</t>
  </si>
  <si>
    <t xml:space="preserve">87806149731</t>
  </si>
  <si>
    <t xml:space="preserve">81132417146</t>
  </si>
  <si>
    <t xml:space="preserve">83174186256</t>
  </si>
  <si>
    <t xml:space="preserve">87827047743</t>
  </si>
  <si>
    <t xml:space="preserve">85390211586</t>
  </si>
  <si>
    <t xml:space="preserve">85280686879</t>
  </si>
  <si>
    <t xml:space="preserve">85274160898</t>
  </si>
  <si>
    <t xml:space="preserve">82217223320</t>
  </si>
  <si>
    <t xml:space="preserve">89616329451</t>
  </si>
  <si>
    <t xml:space="preserve">81368685487</t>
  </si>
  <si>
    <t xml:space="preserve">81199861622</t>
  </si>
  <si>
    <t xml:space="preserve">82119148564</t>
  </si>
  <si>
    <t xml:space="preserve">89579970246</t>
  </si>
  <si>
    <t xml:space="preserve">82299606530</t>
  </si>
  <si>
    <t xml:space="preserve">83145054447</t>
  </si>
  <si>
    <t xml:space="preserve">82132475469</t>
  </si>
  <si>
    <t xml:space="preserve">81337367850</t>
  </si>
  <si>
    <t xml:space="preserve">87721486289</t>
  </si>
  <si>
    <t xml:space="preserve">81123303070</t>
  </si>
  <si>
    <t xml:space="preserve">87834578610</t>
  </si>
  <si>
    <t xml:space="preserve">85257972798</t>
  </si>
  <si>
    <t xml:space="preserve">87852414060</t>
  </si>
  <si>
    <t xml:space="preserve">82393333468</t>
  </si>
  <si>
    <t xml:space="preserve">81107229034</t>
  </si>
  <si>
    <t xml:space="preserve">85746657437</t>
  </si>
  <si>
    <t xml:space="preserve">85789691085</t>
  </si>
  <si>
    <t xml:space="preserve">85741715454</t>
  </si>
  <si>
    <t xml:space="preserve">85343283096</t>
  </si>
  <si>
    <t xml:space="preserve">85820744666</t>
  </si>
  <si>
    <t xml:space="preserve">81299353875</t>
  </si>
  <si>
    <t xml:space="preserve">87742824172</t>
  </si>
  <si>
    <t xml:space="preserve">85382513534</t>
  </si>
  <si>
    <t xml:space="preserve">89655494717</t>
  </si>
  <si>
    <t xml:space="preserve">81299917381</t>
  </si>
  <si>
    <t xml:space="preserve">89584602235</t>
  </si>
  <si>
    <t xml:space="preserve">89697252175</t>
  </si>
  <si>
    <t xml:space="preserve">82350074329</t>
  </si>
  <si>
    <t xml:space="preserve">82371296666</t>
  </si>
  <si>
    <t xml:space="preserve">83160083505</t>
  </si>
  <si>
    <t xml:space="preserve">87730033542</t>
  </si>
  <si>
    <t xml:space="preserve">82168942104</t>
  </si>
  <si>
    <t xml:space="preserve">85778985625</t>
  </si>
  <si>
    <t xml:space="preserve">83153260332</t>
  </si>
  <si>
    <t xml:space="preserve">85109821506</t>
  </si>
  <si>
    <t xml:space="preserve">85389090100</t>
  </si>
  <si>
    <t xml:space="preserve">82167618472</t>
  </si>
  <si>
    <t xml:space="preserve">85104618499</t>
  </si>
  <si>
    <t xml:space="preserve">82261891411</t>
  </si>
  <si>
    <t xml:space="preserve">83139348356</t>
  </si>
  <si>
    <t xml:space="preserve">85720873753</t>
  </si>
  <si>
    <t xml:space="preserve">81101197218</t>
  </si>
  <si>
    <t xml:space="preserve">81314374470</t>
  </si>
  <si>
    <t xml:space="preserve">82120455611</t>
  </si>
  <si>
    <t xml:space="preserve">81202255794</t>
  </si>
  <si>
    <t xml:space="preserve">81355216674</t>
  </si>
  <si>
    <t xml:space="preserve">89576212021</t>
  </si>
  <si>
    <t xml:space="preserve">89697972965</t>
  </si>
  <si>
    <t xml:space="preserve">81127716701</t>
  </si>
  <si>
    <t xml:space="preserve">85350899358</t>
  </si>
  <si>
    <t xml:space="preserve">87791637562</t>
  </si>
  <si>
    <t xml:space="preserve">81202877217</t>
  </si>
  <si>
    <t xml:space="preserve">85835408386</t>
  </si>
  <si>
    <t xml:space="preserve">89531779717</t>
  </si>
  <si>
    <t xml:space="preserve">89851701660</t>
  </si>
  <si>
    <t xml:space="preserve">81119948837</t>
  </si>
  <si>
    <t xml:space="preserve">85850375899</t>
  </si>
  <si>
    <t xml:space="preserve">83157113055</t>
  </si>
  <si>
    <t xml:space="preserve">85788510272</t>
  </si>
  <si>
    <t xml:space="preserve">89614933163</t>
  </si>
  <si>
    <t xml:space="preserve">89835160917</t>
  </si>
  <si>
    <t xml:space="preserve">89898270808</t>
  </si>
  <si>
    <t xml:space="preserve">89697829221</t>
  </si>
  <si>
    <t xml:space="preserve">89599586693</t>
  </si>
  <si>
    <t xml:space="preserve">85365472269</t>
  </si>
  <si>
    <t xml:space="preserve">87748583339</t>
  </si>
  <si>
    <t xml:space="preserve">85752288515</t>
  </si>
  <si>
    <t xml:space="preserve">83199684608</t>
  </si>
  <si>
    <t xml:space="preserve">82106200342</t>
  </si>
  <si>
    <t xml:space="preserve">85742043805</t>
  </si>
  <si>
    <t xml:space="preserve">89819838638</t>
  </si>
  <si>
    <t xml:space="preserve">85706665800</t>
  </si>
  <si>
    <t xml:space="preserve">85339735989</t>
  </si>
  <si>
    <t xml:space="preserve">85134721228</t>
  </si>
  <si>
    <t xml:space="preserve">82160648422</t>
  </si>
  <si>
    <t xml:space="preserve">85305720259</t>
  </si>
  <si>
    <t xml:space="preserve">81294798515</t>
  </si>
  <si>
    <t xml:space="preserve">87732818268</t>
  </si>
  <si>
    <t xml:space="preserve">89515335554</t>
  </si>
  <si>
    <t xml:space="preserve">85198780157</t>
  </si>
  <si>
    <t xml:space="preserve">85299305616</t>
  </si>
  <si>
    <t xml:space="preserve">85384085887</t>
  </si>
  <si>
    <t xml:space="preserve">83104358112</t>
  </si>
  <si>
    <t xml:space="preserve">81113361386</t>
  </si>
  <si>
    <t xml:space="preserve">81320750110</t>
  </si>
  <si>
    <t xml:space="preserve">82348193466</t>
  </si>
  <si>
    <t xml:space="preserve">89866506180</t>
  </si>
  <si>
    <t xml:space="preserve">81390158144</t>
  </si>
  <si>
    <t xml:space="preserve">81347660728</t>
  </si>
  <si>
    <t xml:space="preserve">85226842450</t>
  </si>
  <si>
    <t xml:space="preserve">82210099688</t>
  </si>
  <si>
    <t xml:space="preserve">81343536822</t>
  </si>
  <si>
    <t xml:space="preserve">82339431290</t>
  </si>
  <si>
    <t xml:space="preserve">89881414139</t>
  </si>
  <si>
    <t xml:space="preserve">83155231491</t>
  </si>
  <si>
    <t xml:space="preserve">85157759492</t>
  </si>
  <si>
    <t xml:space="preserve">87856205336</t>
  </si>
  <si>
    <t xml:space="preserve">85352577754</t>
  </si>
  <si>
    <t xml:space="preserve">83181291428</t>
  </si>
  <si>
    <t xml:space="preserve">85141108099</t>
  </si>
  <si>
    <t xml:space="preserve">89593084887</t>
  </si>
  <si>
    <t xml:space="preserve">82256394278</t>
  </si>
  <si>
    <t xml:space="preserve">87716580392</t>
  </si>
  <si>
    <t xml:space="preserve">87727229927</t>
  </si>
  <si>
    <t xml:space="preserve">87803731453</t>
  </si>
  <si>
    <t xml:space="preserve">81238567700</t>
  </si>
  <si>
    <t xml:space="preserve">85818449892</t>
  </si>
  <si>
    <t xml:space="preserve">89565918463</t>
  </si>
  <si>
    <t xml:space="preserve">87765577908</t>
  </si>
  <si>
    <t xml:space="preserve">82272318432</t>
  </si>
  <si>
    <t xml:space="preserve">82325913651</t>
  </si>
  <si>
    <t xml:space="preserve">83177392603</t>
  </si>
  <si>
    <t xml:space="preserve">81229922809</t>
  </si>
  <si>
    <t xml:space="preserve">82202428699</t>
  </si>
  <si>
    <t xml:space="preserve">81141379772</t>
  </si>
  <si>
    <t xml:space="preserve">85269292984</t>
  </si>
  <si>
    <t xml:space="preserve">82357991366</t>
  </si>
  <si>
    <t xml:space="preserve">82210388629</t>
  </si>
  <si>
    <t xml:space="preserve">82127990881</t>
  </si>
  <si>
    <t xml:space="preserve">81372980686</t>
  </si>
  <si>
    <t xml:space="preserve">87808637659</t>
  </si>
  <si>
    <t xml:space="preserve">82162473149</t>
  </si>
  <si>
    <t xml:space="preserve">89643009818</t>
  </si>
  <si>
    <t xml:space="preserve">81163565126</t>
  </si>
  <si>
    <t xml:space="preserve">85348695946</t>
  </si>
  <si>
    <t xml:space="preserve">85168872588</t>
  </si>
  <si>
    <t xml:space="preserve">83144956213</t>
  </si>
  <si>
    <t xml:space="preserve">89821386589</t>
  </si>
  <si>
    <t xml:space="preserve">81226012796</t>
  </si>
  <si>
    <t xml:space="preserve">81314351906</t>
  </si>
  <si>
    <t xml:space="preserve">89598490277</t>
  </si>
  <si>
    <t xml:space="preserve">81138430988</t>
  </si>
  <si>
    <t xml:space="preserve">85292053021</t>
  </si>
  <si>
    <t xml:space="preserve">85365669380</t>
  </si>
  <si>
    <t xml:space="preserve">81318489554</t>
  </si>
  <si>
    <t xml:space="preserve">85293769042</t>
  </si>
  <si>
    <t xml:space="preserve">89681818451</t>
  </si>
  <si>
    <t xml:space="preserve">87748947697</t>
  </si>
  <si>
    <t xml:space="preserve">85257790714</t>
  </si>
  <si>
    <t xml:space="preserve">81363356588</t>
  </si>
  <si>
    <t xml:space="preserve">81143416518</t>
  </si>
  <si>
    <t xml:space="preserve">Kosong diisi: tipe kontrak (terbanyak)</t>
  </si>
  <si>
    <t xml:space="preserve">Kosong diisi: JKN (sesuai kebiasaan kolom)</t>
  </si>
  <si>
    <t xml:space="preserve">Kosong diisi: NO KPJ (contoh)</t>
  </si>
  <si>
    <t xml:space="preserve">5195401</t>
  </si>
  <si>
    <t xml:space="preserve">Kosong diisi: upah (modus site+posisi sejenis)</t>
  </si>
  <si>
    <t xml:space="preserve">2550274</t>
  </si>
  <si>
    <t xml:space="preserve">5176101</t>
  </si>
  <si>
    <t xml:space="preserve">4961753</t>
  </si>
  <si>
    <t xml:space="preserve">2651603</t>
  </si>
  <si>
    <t xml:space="preserve">2786977</t>
  </si>
  <si>
    <t xml:space="preserve">4874133</t>
  </si>
  <si>
    <t xml:space="preserve">5444909</t>
  </si>
  <si>
    <t xml:space="preserve">200000</t>
  </si>
  <si>
    <t xml:space="preserve">120000</t>
  </si>
  <si>
    <t xml:space="preserve">2800000</t>
  </si>
  <si>
    <t xml:space="preserve">211551</t>
  </si>
  <si>
    <t xml:space="preserve">132300</t>
  </si>
  <si>
    <t xml:space="preserve">135000</t>
  </si>
  <si>
    <t xml:space="preserve">2500000</t>
  </si>
  <si>
    <t xml:space="preserve">247216.23</t>
  </si>
  <si>
    <t xml:space="preserve">215000</t>
  </si>
  <si>
    <t xml:space="preserve">199823</t>
  </si>
  <si>
    <t xml:space="preserve">4500000</t>
  </si>
  <si>
    <t xml:space="preserve">112500</t>
  </si>
  <si>
    <t xml:space="preserve">165635</t>
  </si>
  <si>
    <t xml:space="preserve">5288796</t>
  </si>
  <si>
    <t xml:space="preserve">138915</t>
  </si>
  <si>
    <t xml:space="preserve">5191541</t>
  </si>
  <si>
    <t xml:space="preserve">Kosong diisi: NO KPJ (rumus lookup kosong diganti nilai)</t>
  </si>
  <si>
    <t xml:space="preserve">Kosong diisi: posisi (terbanyak di site yang sama)</t>
  </si>
  <si>
    <t xml:space="preserve">Kosong diisi: jabatan Inggris</t>
  </si>
  <si>
    <t xml:space="preserve">Kosong diisi: rumus disalin dari baris lain</t>
  </si>
  <si>
    <t xml:space="preserve">2026-10-16 00:00:00</t>
  </si>
  <si>
    <t xml:space="preserve">Kosong diisi: tanggal kontrak (DOJ, 1 tahun)</t>
  </si>
  <si>
    <t xml:space="preserve">2027-10-15 00:00:00</t>
  </si>
  <si>
    <t xml:space="preserve">Kosong diisi: berkas</t>
  </si>
  <si>
    <t xml:space="preserve">Kosong diisi: upah (rumus #REF! diganti nilai)</t>
  </si>
  <si>
    <t xml:space="preserve">60039</t>
  </si>
  <si>
    <t xml:space="preserve">30/01/1995</t>
  </si>
  <si>
    <t xml:space="preserve">1995-01-30</t>
  </si>
  <si>
    <t xml:space="preserve">Anomali: tanggal tersimpan sebagai teks</t>
  </si>
  <si>
    <t xml:space="preserve">17/03/2002</t>
  </si>
  <si>
    <t xml:space="preserve">2002-03-17</t>
  </si>
  <si>
    <t xml:space="preserve">03/02/2008</t>
  </si>
  <si>
    <t xml:space="preserve">2008-02-03</t>
  </si>
  <si>
    <t xml:space="preserve">09/01/1984</t>
  </si>
  <si>
    <t xml:space="preserve">1984-01-09</t>
  </si>
</sst>
</file>

<file path=xl/styles.xml><?xml version="1.0" encoding="utf-8"?>
<styleSheet xmlns="http://schemas.openxmlformats.org/spreadsheetml/2006/main">
  <numFmts count="15">
    <numFmt numFmtId="164" formatCode="&quot;&quot;"/>
    <numFmt numFmtId="165" formatCode="General"/>
    <numFmt numFmtId="166" formatCode="dd\/mm\/yy"/>
    <numFmt numFmtId="167" formatCode="m/d/yyyy"/>
    <numFmt numFmtId="168" formatCode="#,##0.00"/>
    <numFmt numFmtId="169" formatCode="@"/>
    <numFmt numFmtId="170" formatCode="dd\/mm\/yyyy"/>
    <numFmt numFmtId="171" formatCode="0"/>
    <numFmt numFmtId="172" formatCode="d/m/yyyy"/>
    <numFmt numFmtId="173" formatCode="d\-mmm"/>
    <numFmt numFmtId="174" formatCode="#,##0"/>
    <numFmt numFmtId="175" formatCode="&quot;Rp&quot;#,##0"/>
    <numFmt numFmtId="176" formatCode="d/m/yy"/>
    <numFmt numFmtId="177" formatCode="dd\-mm\-yyyy"/>
    <numFmt numFmtId="178" formatCode="yyyy\-mm\-dd\ h:mm:ss"/>
  </numFmts>
  <fonts count="1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0"/>
      <color theme="1"/>
      <name val="Tahoma"/>
      <family val="0"/>
      <charset val="1"/>
    </font>
    <font>
      <sz val="11"/>
      <color theme="1"/>
      <name val="&quot;Times New Roman&quot;"/>
      <family val="0"/>
      <charset val="1"/>
    </font>
    <font>
      <sz val="11"/>
      <color rgb="FF000000"/>
      <name val="Calibri"/>
      <family val="0"/>
      <charset val="1"/>
    </font>
    <font>
      <sz val="11"/>
      <color rgb="FF222222"/>
      <name val="Calibri"/>
      <family val="0"/>
      <charset val="1"/>
    </font>
    <font>
      <sz val="11"/>
      <color rgb="FF212529"/>
      <name val="Calibri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2"/>
    </font>
    <font>
      <b val="true"/>
      <sz val="11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FFF2A8"/>
        <bgColor rgb="FFF1F5F9"/>
      </patternFill>
    </fill>
    <fill>
      <patternFill patternType="solid">
        <fgColor rgb="FFFFFFFF"/>
        <bgColor rgb="FFF1F5F9"/>
      </patternFill>
    </fill>
    <fill>
      <patternFill patternType="solid">
        <fgColor rgb="FF00FF00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1F5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0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0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0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00B0F0"/>
          <bgColor rgb="FF000000"/>
        </patternFill>
      </fill>
    </dxf>
    <dxf>
      <fill>
        <patternFill patternType="solid">
          <fgColor rgb="FF00FF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2A8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1252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7E1CD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>
          <bgColor rgb="FF00FF00"/>
        </patternFill>
      </fill>
    </dxf>
    <dxf>
      <fill>
        <patternFill>
          <bgColor rgb="FFB7E1CD"/>
        </patternFill>
      </fill>
    </dxf>
    <dxf>
      <numFmt numFmtId="164" formatCode="&quot;&quot;"/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1F5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B7E1CD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22222"/>
      <rgbColor rgb="FF993300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E64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1" topLeftCell="O2" activePane="bottomRight" state="frozen"/>
      <selection pane="topLeft" activeCell="A1" activeCellId="0" sqref="A1"/>
      <selection pane="topRight" activeCell="O1" activeCellId="0" sqref="O1"/>
      <selection pane="bottomLeft" activeCell="A2" activeCellId="0" sqref="A2"/>
      <selection pane="bottomRight" activeCell="B11" activeCellId="0" sqref="B11"/>
    </sheetView>
  </sheetViews>
  <sheetFormatPr defaultColWidth="14.453125" defaultRowHeight="15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44.09"/>
    <col collapsed="false" customWidth="true" hidden="false" outlineLevel="0" max="3" min="3" style="0" width="11.27"/>
    <col collapsed="false" customWidth="true" hidden="false" outlineLevel="0" max="4" min="4" style="0" width="46.73"/>
    <col collapsed="false" customWidth="true" hidden="false" outlineLevel="0" max="5" min="5" style="0" width="16.09"/>
    <col collapsed="false" customWidth="true" hidden="false" outlineLevel="0" max="7" min="6" style="0" width="16.73"/>
    <col collapsed="false" customWidth="true" hidden="false" outlineLevel="0" max="8" min="8" style="0" width="21.27"/>
    <col collapsed="false" customWidth="true" hidden="false" outlineLevel="0" max="9" min="9" style="0" width="19.27"/>
    <col collapsed="false" customWidth="true" hidden="false" outlineLevel="0" max="11" min="10" style="0" width="12.09"/>
    <col collapsed="false" customWidth="true" hidden="false" outlineLevel="0" max="12" min="12" style="0" width="13.54"/>
    <col collapsed="false" customWidth="true" hidden="false" outlineLevel="0" max="14" min="13" style="0" width="19.54"/>
    <col collapsed="false" customWidth="true" hidden="false" outlineLevel="0" max="15" min="15" style="0" width="23.45"/>
    <col collapsed="false" customWidth="true" hidden="false" outlineLevel="0" max="16" min="16" style="0" width="18.09"/>
    <col collapsed="false" customWidth="true" hidden="false" outlineLevel="0" max="17" min="17" style="0" width="16.73"/>
    <col collapsed="false" customWidth="true" hidden="false" outlineLevel="0" max="18" min="18" style="0" width="15.45"/>
    <col collapsed="false" customWidth="true" hidden="false" outlineLevel="0" max="20" min="19" style="0" width="12.82"/>
    <col collapsed="false" customWidth="true" hidden="false" outlineLevel="0" max="21" min="21" style="0" width="133"/>
    <col collapsed="false" customWidth="true" hidden="false" outlineLevel="0" max="22" min="22" style="0" width="13.54"/>
    <col collapsed="false" customWidth="true" hidden="false" outlineLevel="0" max="23" min="23" style="0" width="26.54"/>
    <col collapsed="false" customWidth="true" hidden="false" outlineLevel="0" max="24" min="24" style="0" width="19.09"/>
    <col collapsed="false" customWidth="true" hidden="false" outlineLevel="0" max="25" min="25" style="0" width="26"/>
    <col collapsed="false" customWidth="true" hidden="false" outlineLevel="0" max="26" min="26" style="0" width="40.45"/>
    <col collapsed="false" customWidth="true" hidden="false" outlineLevel="0" max="27" min="27" style="0" width="21.09"/>
    <col collapsed="false" customWidth="true" hidden="false" outlineLevel="0" max="28" min="28" style="0" width="27"/>
    <col collapsed="false" customWidth="true" hidden="false" outlineLevel="0" max="29" min="29" style="0" width="13.54"/>
    <col collapsed="false" customWidth="true" hidden="false" outlineLevel="0" max="30" min="30" style="0" width="12.09"/>
    <col collapsed="false" customWidth="true" hidden="false" outlineLevel="0" max="31" min="31" style="0" width="14.82"/>
  </cols>
  <sheetData>
    <row r="1" customFormat="false" ht="14.25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3" t="s">
        <v>12</v>
      </c>
      <c r="N1" s="1" t="s">
        <v>13</v>
      </c>
      <c r="O1" s="1" t="s">
        <v>14</v>
      </c>
      <c r="P1" s="6" t="s">
        <v>15</v>
      </c>
      <c r="Q1" s="7" t="s">
        <v>16</v>
      </c>
      <c r="R1" s="1" t="s">
        <v>17</v>
      </c>
      <c r="S1" s="8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9" t="s">
        <v>23</v>
      </c>
      <c r="Y1" s="10" t="s">
        <v>24</v>
      </c>
      <c r="Z1" s="3" t="s">
        <v>25</v>
      </c>
      <c r="AA1" s="3" t="s">
        <v>26</v>
      </c>
      <c r="AB1" s="3" t="s">
        <v>27</v>
      </c>
      <c r="AC1" s="11" t="s">
        <v>28</v>
      </c>
      <c r="AD1" s="11" t="s">
        <v>29</v>
      </c>
      <c r="AE1" s="11" t="s">
        <v>30</v>
      </c>
    </row>
    <row r="2" customFormat="false" ht="15" hidden="false" customHeight="true" outlineLevel="0" collapsed="false">
      <c r="A2" s="12" t="n">
        <v>55</v>
      </c>
      <c r="B2" s="13" t="s">
        <v>31</v>
      </c>
      <c r="C2" s="14" t="n">
        <v>44368</v>
      </c>
      <c r="D2" s="13" t="s">
        <v>32</v>
      </c>
      <c r="E2" s="15" t="s">
        <v>33</v>
      </c>
      <c r="F2" s="15" t="n">
        <v>19808783999</v>
      </c>
      <c r="G2" s="13" t="s">
        <v>34</v>
      </c>
      <c r="H2" s="13" t="s">
        <v>35</v>
      </c>
      <c r="I2" s="13" t="str">
        <f aca="false">IF(C2=J2,"NEW KONTRAK","RE-KONTRAK")</f>
        <v>RE-KONTRAK</v>
      </c>
      <c r="J2" s="16" t="n">
        <f aca="false" t="array" ref="J2:J2">IFERROR(INDEX(AC2:AE2,IF(COUNTA(AC2:AE2)=0,"",MAX((AC2:AE2&lt;&gt;"")*(COLUMN(AC2:AE2)-(COLUMN(AC2)))))-1),"")</f>
        <v>45658</v>
      </c>
      <c r="K2" s="16" t="n">
        <f aca="false" t="array" ref="K2:K2">IFERROR(INDEX(AC2:AE2,IF(COUNTA(AC2:AE2)=0,"",MAX((AC2:AE2&lt;&gt;"")*(COLUMN(AC2:AE2)-(COLUMN(AC2)-1))))-1),"")</f>
        <v>46022</v>
      </c>
      <c r="L2" s="17" t="str">
        <f aca="false" t="array" ref="L2:L2">IFERROR(INDEX(AC2:AE2,IF(COUNTA(AC2:AE2)=0,"",MAX((AC2:AE2&lt;&gt;"")*(COLUMN(AC2:AE2)-(COLUMN(AC2)-2))))-1),"")</f>
        <v>ARCHIVED</v>
      </c>
      <c r="M2" s="13" t="n">
        <f aca="true">K2-TODAY()</f>
        <v>-302</v>
      </c>
      <c r="N2" s="18" t="s">
        <v>36</v>
      </c>
      <c r="O2" s="13" t="s">
        <v>37</v>
      </c>
      <c r="P2" s="19" t="n">
        <v>5300000</v>
      </c>
      <c r="Q2" s="20" t="s">
        <v>38</v>
      </c>
      <c r="R2" s="13" t="s">
        <v>39</v>
      </c>
      <c r="S2" s="14" t="n">
        <v>36218</v>
      </c>
      <c r="T2" s="13" t="s">
        <v>40</v>
      </c>
      <c r="U2" s="13" t="s">
        <v>41</v>
      </c>
      <c r="V2" s="13" t="s">
        <v>42</v>
      </c>
      <c r="W2" s="13" t="s">
        <v>43</v>
      </c>
      <c r="X2" s="21" t="n">
        <v>81229675744</v>
      </c>
      <c r="Y2" s="22" t="str">
        <f aca="false">O2</f>
        <v>External Logistic</v>
      </c>
      <c r="Z2" s="13" t="str">
        <f aca="false">IFERROR(__xludf.dummyfunction("if(BJ2="""","""",GOOGLETRANSLATE(BJ2,""auto"",""en""))"),"External Logistic")</f>
        <v>External Logistic</v>
      </c>
      <c r="AA2" s="23" t="str">
        <f aca="false">IF(C2="","", CHOOSE(MONTH(C2),"January","February","March","April","May","June","July","August","September","October","November","December")&amp;" "&amp;DAY(C2)&amp;MID("thstndrdth",MIN(9,2*RIGHT(DAY(C2))*(MOD(DAY(C2)-11,100)&gt;2)+1),2)&amp;","&amp;TEXT(C2," yyyy"))</f>
        <v>June 21st,2021</v>
      </c>
      <c r="AB2" s="15" t="str">
        <f aca="true">IF(S2="","",DATEDIF(S2,TODAY(),"Y")&amp;" Tahun, "&amp;DATEDIF(S2,TODAY(),"YM")&amp;" Bulan, "&amp;DATEDIF(S2,TODAY(),"MD")&amp;" Hari")</f>
        <v>27 Tahun, 8 Bulan, 2 Hari</v>
      </c>
      <c r="AC2" s="18" t="n">
        <v>45658</v>
      </c>
      <c r="AD2" s="18" t="n">
        <v>46022</v>
      </c>
      <c r="AE2" s="18" t="s">
        <v>44</v>
      </c>
    </row>
    <row r="3" customFormat="false" ht="15" hidden="false" customHeight="true" outlineLevel="0" collapsed="false">
      <c r="A3" s="12" t="n">
        <v>59</v>
      </c>
      <c r="B3" s="13" t="s">
        <v>45</v>
      </c>
      <c r="C3" s="14" t="n">
        <v>43222</v>
      </c>
      <c r="D3" s="13" t="s">
        <v>46</v>
      </c>
      <c r="E3" s="15" t="s">
        <v>47</v>
      </c>
      <c r="F3" s="15" t="str">
        <f aca="false">IFERROR(__xludf.dummyfunction("XLOOKUP(AJ3,IMPORTRANGE(""1XaInW9DU9nz21V0tYIfzFQ0He9kVQ_JF2mCXgZ3hqFA"",""REKAP ALL 2026 - Andika!G:G""),IMPORTRANGE(""1XaInW9DU9nz21V0tYIfzFQ0He9kVQ_JF2mCXgZ3hqFA"",""REKAP ALL 2026 - Andika!F:F""),"""",0)"),"18039550233")</f>
        <v>18039550233</v>
      </c>
      <c r="G3" s="13" t="s">
        <v>48</v>
      </c>
      <c r="H3" s="13" t="s">
        <v>49</v>
      </c>
      <c r="I3" s="13" t="str">
        <f aca="false">IF(C3=J3,"NEW KONTRAK","RE-KONTRAK")</f>
        <v>RE-KONTRAK</v>
      </c>
      <c r="J3" s="16" t="n">
        <f aca="false" t="array" ref="J3:J3">IFERROR(INDEX(AC3:AE3,IF(COUNTA(AC3:AE3)=0,"",MAX((AC3:AE3&lt;&gt;"")*(COLUMN(AC3:AE3)-(COLUMN(AC3)))))-1),"")</f>
        <v>45839</v>
      </c>
      <c r="K3" s="16" t="n">
        <f aca="false" t="array" ref="K3:K3">IFERROR(INDEX(AC3:AE3,IF(COUNTA(AC3:AE3)=0,"",MAX((AC3:AE3&lt;&gt;"")*(COLUMN(AC3:AE3)-(COLUMN(AC3)-1))))-1),"")</f>
        <v>46022</v>
      </c>
      <c r="L3" s="17" t="str">
        <f aca="false" t="array" ref="L3:L3">IFERROR(INDEX(AC3:AE3,IF(COUNTA(AC3:AE3)=0,"",MAX((AC3:AE3&lt;&gt;"")*(COLUMN(AC3:AE3)-(COLUMN(AC3)-2))))-1),"")</f>
        <v>ARCHIVED</v>
      </c>
      <c r="M3" s="13" t="n">
        <f aca="true">K3-TODAY()</f>
        <v>-302</v>
      </c>
      <c r="N3" s="18" t="s">
        <v>36</v>
      </c>
      <c r="O3" s="13" t="s">
        <v>50</v>
      </c>
      <c r="P3" s="19" t="n">
        <v>5195401</v>
      </c>
      <c r="Q3" s="20" t="s">
        <v>51</v>
      </c>
      <c r="R3" s="13" t="s">
        <v>52</v>
      </c>
      <c r="S3" s="14" t="n">
        <v>30062</v>
      </c>
      <c r="T3" s="13" t="s">
        <v>40</v>
      </c>
      <c r="U3" s="13" t="s">
        <v>53</v>
      </c>
      <c r="V3" s="13" t="s">
        <v>42</v>
      </c>
      <c r="W3" s="13" t="s">
        <v>54</v>
      </c>
      <c r="X3" s="21" t="n">
        <v>81259023889</v>
      </c>
      <c r="Y3" s="22" t="str">
        <f aca="false">O3</f>
        <v>Driver</v>
      </c>
      <c r="Z3" s="13" t="str">
        <f aca="false">IFERROR(__xludf.dummyfunction("if(BJ3="""","""",GOOGLETRANSLATE(BJ3,""auto"",""en""))"),"Driver")</f>
        <v>Driver</v>
      </c>
      <c r="AA3" s="23" t="str">
        <f aca="false">IF(C3="","", CHOOSE(MONTH(C3),"January","February","March","April","May","June","July","August","September","October","November","December")&amp;" "&amp;DAY(C3)&amp;MID("thstndrdth",MIN(9,2*RIGHT(DAY(C3))*(MOD(DAY(C3)-11,100)&gt;2)+1),2)&amp;","&amp;TEXT(C3," yyyy"))</f>
        <v>May 2nd,2018</v>
      </c>
      <c r="AB3" s="15" t="str">
        <f aca="true">IF(S3="","",DATEDIF(S3,TODAY(),"Y")&amp;" Tahun, "&amp;DATEDIF(S3,TODAY(),"YM")&amp;" Bulan, "&amp;DATEDIF(S3,TODAY(),"MD")&amp;" Hari")</f>
        <v>44 Tahun, 6 Bulan, 8 Hari</v>
      </c>
      <c r="AC3" s="18" t="n">
        <v>45839</v>
      </c>
      <c r="AD3" s="18" t="n">
        <v>46022</v>
      </c>
      <c r="AE3" s="18" t="s">
        <v>44</v>
      </c>
    </row>
    <row r="4" customFormat="false" ht="15" hidden="false" customHeight="true" outlineLevel="0" collapsed="false">
      <c r="A4" s="12" t="n">
        <v>62</v>
      </c>
      <c r="B4" s="13" t="s">
        <v>55</v>
      </c>
      <c r="C4" s="14" t="n">
        <v>44256</v>
      </c>
      <c r="D4" s="13" t="s">
        <v>56</v>
      </c>
      <c r="E4" s="15" t="s">
        <v>47</v>
      </c>
      <c r="F4" s="15" t="str">
        <f aca="false">IFERROR(__xludf.dummyfunction("XLOOKUP(AJ4,IMPORTRANGE(""1XaInW9DU9nz21V0tYIfzFQ0He9kVQ_JF2mCXgZ3hqFA"",""REKAP ALL 2026 - Andika!G:G""),IMPORTRANGE(""1XaInW9DU9nz21V0tYIfzFQ0He9kVQ_JF2mCXgZ3hqFA"",""REKAP ALL 2026 - Andika!F:F""),"""",0)"),"22078869454")</f>
        <v>22078869454</v>
      </c>
      <c r="G4" s="13" t="s">
        <v>57</v>
      </c>
      <c r="H4" s="13" t="s">
        <v>35</v>
      </c>
      <c r="I4" s="13" t="str">
        <f aca="false">IF(C4=J4,"NEW KONTRAK","RE-KONTRAK")</f>
        <v>RE-KONTRAK</v>
      </c>
      <c r="J4" s="16" t="n">
        <f aca="false" t="array" ref="J4:J4">IFERROR(INDEX(AC4:AE4,IF(COUNTA(AC4:AE4)=0,"",MAX((AC4:AE4&lt;&gt;"")*(COLUMN(AC4:AE4)-(COLUMN(AC4)))))-1),"")</f>
        <v>45839</v>
      </c>
      <c r="K4" s="16" t="n">
        <f aca="false" t="array" ref="K4:K4">IFERROR(INDEX(AC4:AE4,IF(COUNTA(AC4:AE4)=0,"",MAX((AC4:AE4&lt;&gt;"")*(COLUMN(AC4:AE4)-(COLUMN(AC4)-1))))-1),"")</f>
        <v>46022</v>
      </c>
      <c r="L4" s="17" t="str">
        <f aca="false" t="array" ref="L4:L4">IFERROR(INDEX(AC4:AE4,IF(COUNTA(AC4:AE4)=0,"",MAX((AC4:AE4&lt;&gt;"")*(COLUMN(AC4:AE4)-(COLUMN(AC4)-2))))-1),"")</f>
        <v>ARCHIVED</v>
      </c>
      <c r="M4" s="13" t="n">
        <f aca="true">K4-TODAY()</f>
        <v>-302</v>
      </c>
      <c r="N4" s="18" t="s">
        <v>36</v>
      </c>
      <c r="O4" s="13" t="s">
        <v>58</v>
      </c>
      <c r="P4" s="19" t="n">
        <v>210000</v>
      </c>
      <c r="Q4" s="20" t="s">
        <v>59</v>
      </c>
      <c r="R4" s="13" t="s">
        <v>60</v>
      </c>
      <c r="S4" s="14" t="n">
        <v>28851</v>
      </c>
      <c r="T4" s="13" t="s">
        <v>40</v>
      </c>
      <c r="U4" s="13" t="s">
        <v>61</v>
      </c>
      <c r="V4" s="13" t="s">
        <v>42</v>
      </c>
      <c r="W4" s="13" t="s">
        <v>54</v>
      </c>
      <c r="X4" s="21" t="n">
        <v>82264186795</v>
      </c>
      <c r="Y4" s="22" t="str">
        <f aca="false">O4</f>
        <v>Produksi</v>
      </c>
      <c r="Z4" s="13" t="str">
        <f aca="false">IFERROR(__xludf.dummyfunction("if(BJ4="""","""",GOOGLETRANSLATE(BJ4,""auto"",""en""))"),"Production")</f>
        <v>Production</v>
      </c>
      <c r="AA4" s="23" t="str">
        <f aca="false">IF(C4="","", CHOOSE(MONTH(C4),"January","February","March","April","May","June","July","August","September","October","November","December")&amp;" "&amp;DAY(C4)&amp;MID("thstndrdth",MIN(9,2*RIGHT(DAY(C4))*(MOD(DAY(C4)-11,100)&gt;2)+1),2)&amp;","&amp;TEXT(C4," yyyy"))</f>
        <v>March 1st,2021</v>
      </c>
      <c r="AB4" s="15" t="str">
        <f aca="true">IF(S4="","",DATEDIF(S4,TODAY(),"Y")&amp;" Tahun, "&amp;DATEDIF(S4,TODAY(),"YM")&amp;" Bulan, "&amp;DATEDIF(S4,TODAY(),"MD")&amp;" Hari")</f>
        <v>47 Tahun, 10 Bulan, 2 Hari</v>
      </c>
      <c r="AC4" s="18" t="n">
        <v>45839</v>
      </c>
      <c r="AD4" s="18" t="n">
        <v>46022</v>
      </c>
      <c r="AE4" s="18" t="s">
        <v>44</v>
      </c>
    </row>
    <row r="5" customFormat="false" ht="15" hidden="false" customHeight="true" outlineLevel="0" collapsed="false">
      <c r="A5" s="12" t="n">
        <v>63</v>
      </c>
      <c r="B5" s="13" t="s">
        <v>62</v>
      </c>
      <c r="C5" s="14" t="n">
        <v>43222</v>
      </c>
      <c r="D5" s="13" t="s">
        <v>46</v>
      </c>
      <c r="E5" s="15" t="s">
        <v>47</v>
      </c>
      <c r="F5" s="15" t="str">
        <f aca="false">IFERROR(__xludf.dummyfunction("XLOOKUP(AJ5,IMPORTRANGE(""1XaInW9DU9nz21V0tYIfzFQ0He9kVQ_JF2mCXgZ3hqFA"",""REKAP ALL 2026 - Andika!G:G""),IMPORTRANGE(""1XaInW9DU9nz21V0tYIfzFQ0He9kVQ_JF2mCXgZ3hqFA"",""REKAP ALL 2026 - Andika!F:F""),"""",0)"),"18039550126")</f>
        <v>18039550126</v>
      </c>
      <c r="G5" s="13" t="s">
        <v>63</v>
      </c>
      <c r="H5" s="13" t="s">
        <v>49</v>
      </c>
      <c r="I5" s="13" t="str">
        <f aca="false">IF(C5=J5,"NEW KONTRAK","RE-KONTRAK")</f>
        <v>RE-KONTRAK</v>
      </c>
      <c r="J5" s="16" t="n">
        <f aca="false" t="array" ref="J5:J5">IFERROR(INDEX(AC5:AE5,IF(COUNTA(AC5:AE5)=0,"",MAX((AC5:AE5&lt;&gt;"")*(COLUMN(AC5:AE5)-(COLUMN(AC5)))))-1),"")</f>
        <v>45839</v>
      </c>
      <c r="K5" s="16" t="n">
        <f aca="false" t="array" ref="K5:K5">IFERROR(INDEX(AC5:AE5,IF(COUNTA(AC5:AE5)=0,"",MAX((AC5:AE5&lt;&gt;"")*(COLUMN(AC5:AE5)-(COLUMN(AC5)-1))))-1),"")</f>
        <v>46022</v>
      </c>
      <c r="L5" s="17" t="str">
        <f aca="false" t="array" ref="L5:L5">IFERROR(INDEX(AC5:AE5,IF(COUNTA(AC5:AE5)=0,"",MAX((AC5:AE5&lt;&gt;"")*(COLUMN(AC5:AE5)-(COLUMN(AC5)-2))))-1),"")</f>
        <v>ARCHIVED</v>
      </c>
      <c r="M5" s="13" t="n">
        <f aca="true">K5-TODAY()</f>
        <v>-302</v>
      </c>
      <c r="N5" s="18" t="s">
        <v>36</v>
      </c>
      <c r="O5" s="13" t="s">
        <v>50</v>
      </c>
      <c r="P5" s="19" t="n">
        <v>5195401</v>
      </c>
      <c r="Q5" s="20" t="s">
        <v>64</v>
      </c>
      <c r="R5" s="13" t="s">
        <v>65</v>
      </c>
      <c r="S5" s="14" t="n">
        <v>30047</v>
      </c>
      <c r="T5" s="13" t="s">
        <v>40</v>
      </c>
      <c r="U5" s="13" t="s">
        <v>66</v>
      </c>
      <c r="V5" s="13" t="s">
        <v>42</v>
      </c>
      <c r="W5" s="13" t="s">
        <v>43</v>
      </c>
      <c r="X5" s="21" t="n">
        <v>81363615630</v>
      </c>
      <c r="Y5" s="22" t="str">
        <f aca="false">O5</f>
        <v>Driver</v>
      </c>
      <c r="Z5" s="13" t="str">
        <f aca="false">IFERROR(__xludf.dummyfunction("if(BJ5="""","""",GOOGLETRANSLATE(BJ5,""auto"",""en""))"),"Driver")</f>
        <v>Driver</v>
      </c>
      <c r="AA5" s="23" t="str">
        <f aca="false">IF(C5="","", CHOOSE(MONTH(C5),"January","February","March","April","May","June","July","August","September","October","November","December")&amp;" "&amp;DAY(C5)&amp;MID("thstndrdth",MIN(9,2*RIGHT(DAY(C5))*(MOD(DAY(C5)-11,100)&gt;2)+1),2)&amp;","&amp;TEXT(C5," yyyy"))</f>
        <v>May 2nd,2018</v>
      </c>
      <c r="AB5" s="15" t="str">
        <f aca="true">IF(S5="","",DATEDIF(S5,TODAY(),"Y")&amp;" Tahun, "&amp;DATEDIF(S5,TODAY(),"YM")&amp;" Bulan, "&amp;DATEDIF(S5,TODAY(),"MD")&amp;" Hari")</f>
        <v>44 Tahun, 6 Bulan, 23 Hari</v>
      </c>
      <c r="AC5" s="18" t="n">
        <v>45839</v>
      </c>
      <c r="AD5" s="18" t="n">
        <v>46022</v>
      </c>
      <c r="AE5" s="18" t="s">
        <v>44</v>
      </c>
    </row>
    <row r="6" customFormat="false" ht="15" hidden="false" customHeight="true" outlineLevel="0" collapsed="false">
      <c r="A6" s="12" t="n">
        <v>65</v>
      </c>
      <c r="B6" s="13" t="s">
        <v>67</v>
      </c>
      <c r="C6" s="14" t="n">
        <v>43222</v>
      </c>
      <c r="D6" s="13" t="s">
        <v>56</v>
      </c>
      <c r="E6" s="15" t="s">
        <v>47</v>
      </c>
      <c r="F6" s="15" t="str">
        <f aca="false">IFERROR(__xludf.dummyfunction("XLOOKUP(AJ6,IMPORTRANGE(""1XaInW9DU9nz21V0tYIfzFQ0He9kVQ_JF2mCXgZ3hqFA"",""REKAP ALL 2026 - Andika!G:G""),IMPORTRANGE(""1XaInW9DU9nz21V0tYIfzFQ0He9kVQ_JF2mCXgZ3hqFA"",""REKAP ALL 2026 - Andika!F:F""),"""",0)"),"22078869462")</f>
        <v>22078869462</v>
      </c>
      <c r="G6" s="13" t="s">
        <v>57</v>
      </c>
      <c r="H6" s="13" t="s">
        <v>35</v>
      </c>
      <c r="I6" s="13" t="str">
        <f aca="false">IF(C6=J6,"NEW KONTRAK","RE-KONTRAK")</f>
        <v>RE-KONTRAK</v>
      </c>
      <c r="J6" s="16" t="n">
        <f aca="false" t="array" ref="J6:J6">IFERROR(INDEX(AC6:AE6,IF(COUNTA(AC6:AE6)=0,"",MAX((AC6:AE6&lt;&gt;"")*(COLUMN(AC6:AE6)-(COLUMN(AC6)))))-1),"")</f>
        <v>45839</v>
      </c>
      <c r="K6" s="16" t="n">
        <f aca="false" t="array" ref="K6:K6">IFERROR(INDEX(AC6:AE6,IF(COUNTA(AC6:AE6)=0,"",MAX((AC6:AE6&lt;&gt;"")*(COLUMN(AC6:AE6)-(COLUMN(AC6)-1))))-1),"")</f>
        <v>46022</v>
      </c>
      <c r="L6" s="17" t="str">
        <f aca="false" t="array" ref="L6:L6">IFERROR(INDEX(AC6:AE6,IF(COUNTA(AC6:AE6)=0,"",MAX((AC6:AE6&lt;&gt;"")*(COLUMN(AC6:AE6)-(COLUMN(AC6)-2))))-1),"")</f>
        <v>ARCHIVED</v>
      </c>
      <c r="M6" s="13" t="n">
        <f aca="true">K6-TODAY()</f>
        <v>-302</v>
      </c>
      <c r="N6" s="18" t="s">
        <v>36</v>
      </c>
      <c r="O6" s="13" t="s">
        <v>58</v>
      </c>
      <c r="P6" s="19" t="n">
        <v>210000</v>
      </c>
      <c r="Q6" s="20" t="s">
        <v>68</v>
      </c>
      <c r="R6" s="13" t="s">
        <v>65</v>
      </c>
      <c r="S6" s="14" t="n">
        <v>26907</v>
      </c>
      <c r="T6" s="13" t="s">
        <v>40</v>
      </c>
      <c r="U6" s="13" t="s">
        <v>69</v>
      </c>
      <c r="V6" s="13" t="s">
        <v>42</v>
      </c>
      <c r="W6" s="13" t="s">
        <v>54</v>
      </c>
      <c r="X6" s="21" t="n">
        <v>82233212494</v>
      </c>
      <c r="Y6" s="22" t="str">
        <f aca="false">O6</f>
        <v>Produksi</v>
      </c>
      <c r="Z6" s="13" t="str">
        <f aca="false">IFERROR(__xludf.dummyfunction("if(BJ6="""","""",GOOGLETRANSLATE(BJ6,""auto"",""en""))"),"Production")</f>
        <v>Production</v>
      </c>
      <c r="AA6" s="23" t="str">
        <f aca="false">IF(C6="","", CHOOSE(MONTH(C6),"January","February","March","April","May","June","July","August","September","October","November","December")&amp;" "&amp;DAY(C6)&amp;MID("thstndrdth",MIN(9,2*RIGHT(DAY(C6))*(MOD(DAY(C6)-11,100)&gt;2)+1),2)&amp;","&amp;TEXT(C6," yyyy"))</f>
        <v>May 2nd,2018</v>
      </c>
      <c r="AB6" s="15" t="str">
        <f aca="true">IF(S6="","",DATEDIF(S6,TODAY(),"Y")&amp;" Tahun, "&amp;DATEDIF(S6,TODAY(),"YM")&amp;" Bulan, "&amp;DATEDIF(S6,TODAY(),"MD")&amp;" Hari")</f>
        <v>53 Tahun, 1 Bulan, 28 Hari</v>
      </c>
      <c r="AC6" s="18" t="n">
        <v>45839</v>
      </c>
      <c r="AD6" s="18" t="n">
        <v>46022</v>
      </c>
      <c r="AE6" s="18" t="s">
        <v>44</v>
      </c>
    </row>
    <row r="7" customFormat="false" ht="15" hidden="false" customHeight="true" outlineLevel="0" collapsed="false">
      <c r="A7" s="12" t="n">
        <v>69</v>
      </c>
      <c r="B7" s="13" t="s">
        <v>70</v>
      </c>
      <c r="C7" s="14" t="n">
        <v>43222</v>
      </c>
      <c r="D7" s="13" t="s">
        <v>46</v>
      </c>
      <c r="E7" s="15" t="s">
        <v>47</v>
      </c>
      <c r="F7" s="15" t="str">
        <f aca="false">IFERROR(__xludf.dummyfunction("XLOOKUP(AJ7,IMPORTRANGE(""1XaInW9DU9nz21V0tYIfzFQ0He9kVQ_JF2mCXgZ3hqFA"",""REKAP ALL 2026 - Andika!G:G""),IMPORTRANGE(""1XaInW9DU9nz21V0tYIfzFQ0He9kVQ_JF2mCXgZ3hqFA"",""REKAP ALL 2026 - Andika!F:F""),"""",0)"),"14020433299")</f>
        <v>14020433299</v>
      </c>
      <c r="G7" s="13" t="s">
        <v>71</v>
      </c>
      <c r="H7" s="13" t="s">
        <v>49</v>
      </c>
      <c r="I7" s="13" t="str">
        <f aca="false">IF(C7=J7,"NEW KONTRAK","RE-KONTRAK")</f>
        <v>RE-KONTRAK</v>
      </c>
      <c r="J7" s="16" t="n">
        <f aca="false" t="array" ref="J7:J7">IFERROR(INDEX(AC7:AE7,IF(COUNTA(AC7:AE7)=0,"",MAX((AC7:AE7&lt;&gt;"")*(COLUMN(AC7:AE7)-(COLUMN(AC7)))))-1),"")</f>
        <v>45839</v>
      </c>
      <c r="K7" s="16" t="n">
        <f aca="false" t="array" ref="K7:K7">IFERROR(INDEX(AC7:AE7,IF(COUNTA(AC7:AE7)=0,"",MAX((AC7:AE7&lt;&gt;"")*(COLUMN(AC7:AE7)-(COLUMN(AC7)-1))))-1),"")</f>
        <v>46022</v>
      </c>
      <c r="L7" s="17" t="str">
        <f aca="false" t="array" ref="L7:L7">IFERROR(INDEX(AC7:AE7,IF(COUNTA(AC7:AE7)=0,"",MAX((AC7:AE7&lt;&gt;"")*(COLUMN(AC7:AE7)-(COLUMN(AC7)-2))))-1),"")</f>
        <v>ARCHIVED</v>
      </c>
      <c r="M7" s="13" t="n">
        <f aca="true">K7-TODAY()</f>
        <v>-302</v>
      </c>
      <c r="N7" s="18" t="s">
        <v>36</v>
      </c>
      <c r="O7" s="13" t="s">
        <v>50</v>
      </c>
      <c r="P7" s="19" t="n">
        <v>5195401</v>
      </c>
      <c r="Q7" s="20" t="s">
        <v>72</v>
      </c>
      <c r="R7" s="13" t="s">
        <v>73</v>
      </c>
      <c r="S7" s="14" t="n">
        <v>33293</v>
      </c>
      <c r="T7" s="13" t="s">
        <v>40</v>
      </c>
      <c r="U7" s="13" t="s">
        <v>74</v>
      </c>
      <c r="V7" s="13" t="s">
        <v>42</v>
      </c>
      <c r="W7" s="13" t="s">
        <v>43</v>
      </c>
      <c r="X7" s="21" t="n">
        <v>85708106919</v>
      </c>
      <c r="Y7" s="22" t="str">
        <f aca="false">O7</f>
        <v>Driver</v>
      </c>
      <c r="Z7" s="13" t="str">
        <f aca="false">IFERROR(__xludf.dummyfunction("if(BJ7="""","""",GOOGLETRANSLATE(BJ7,""auto"",""en""))"),"Driver")</f>
        <v>Driver</v>
      </c>
      <c r="AA7" s="23" t="str">
        <f aca="false">IF(C7="","", CHOOSE(MONTH(C7),"January","February","March","April","May","June","July","August","September","October","November","December")&amp;" "&amp;DAY(C7)&amp;MID("thstndrdth",MIN(9,2*RIGHT(DAY(C7))*(MOD(DAY(C7)-11,100)&gt;2)+1),2)&amp;","&amp;TEXT(C7," yyyy"))</f>
        <v>May 2nd,2018</v>
      </c>
      <c r="AB7" s="15" t="str">
        <f aca="true">IF(S7="","",DATEDIF(S7,TODAY(),"Y")&amp;" Tahun, "&amp;DATEDIF(S7,TODAY(),"YM")&amp;" Bulan, "&amp;DATEDIF(S7,TODAY(),"MD")&amp;" Hari")</f>
        <v>35 Tahun, 8 Bulan, 5 Hari</v>
      </c>
      <c r="AC7" s="18" t="n">
        <v>45839</v>
      </c>
      <c r="AD7" s="18" t="n">
        <v>46022</v>
      </c>
      <c r="AE7" s="18" t="s">
        <v>44</v>
      </c>
    </row>
    <row r="8" customFormat="false" ht="15" hidden="false" customHeight="true" outlineLevel="0" collapsed="false">
      <c r="A8" s="12" t="n">
        <v>70</v>
      </c>
      <c r="B8" s="13" t="s">
        <v>75</v>
      </c>
      <c r="C8" s="14" t="n">
        <v>43222</v>
      </c>
      <c r="D8" s="13" t="s">
        <v>56</v>
      </c>
      <c r="E8" s="15" t="s">
        <v>47</v>
      </c>
      <c r="F8" s="15" t="str">
        <f aca="false">IFERROR(__xludf.dummyfunction("XLOOKUP(AJ8,IMPORTRANGE(""1XaInW9DU9nz21V0tYIfzFQ0He9kVQ_JF2mCXgZ3hqFA"",""REKAP ALL 2026 - Andika!G:G""),IMPORTRANGE(""1XaInW9DU9nz21V0tYIfzFQ0He9kVQ_JF2mCXgZ3hqFA"",""REKAP ALL 2026 - Andika!F:F""),"""",0)"),"22078869488")</f>
        <v>22078869488</v>
      </c>
      <c r="G8" s="13" t="s">
        <v>57</v>
      </c>
      <c r="H8" s="13" t="s">
        <v>35</v>
      </c>
      <c r="I8" s="13" t="str">
        <f aca="false">IF(C8=J8,"NEW KONTRAK","RE-KONTRAK")</f>
        <v>RE-KONTRAK</v>
      </c>
      <c r="J8" s="16" t="n">
        <f aca="false" t="array" ref="J8:J8">IFERROR(INDEX(AC8:AE8,IF(COUNTA(AC8:AE8)=0,"",MAX((AC8:AE8&lt;&gt;"")*(COLUMN(AC8:AE8)-(COLUMN(AC8)))))-1),"")</f>
        <v>45839</v>
      </c>
      <c r="K8" s="16" t="n">
        <f aca="false" t="array" ref="K8:K8">IFERROR(INDEX(AC8:AE8,IF(COUNTA(AC8:AE8)=0,"",MAX((AC8:AE8&lt;&gt;"")*(COLUMN(AC8:AE8)-(COLUMN(AC8)-1))))-1),"")</f>
        <v>46022</v>
      </c>
      <c r="L8" s="17" t="str">
        <f aca="false" t="array" ref="L8:L8">IFERROR(INDEX(AC8:AE8,IF(COUNTA(AC8:AE8)=0,"",MAX((AC8:AE8&lt;&gt;"")*(COLUMN(AC8:AE8)-(COLUMN(AC8)-2))))-1),"")</f>
        <v>ARCHIVED</v>
      </c>
      <c r="M8" s="13" t="n">
        <f aca="true">K8-TODAY()</f>
        <v>-302</v>
      </c>
      <c r="N8" s="18" t="s">
        <v>36</v>
      </c>
      <c r="O8" s="13" t="s">
        <v>76</v>
      </c>
      <c r="P8" s="19" t="n">
        <v>210000</v>
      </c>
      <c r="Q8" s="20" t="s">
        <v>77</v>
      </c>
      <c r="R8" s="13" t="s">
        <v>78</v>
      </c>
      <c r="S8" s="14" t="n">
        <v>28753</v>
      </c>
      <c r="T8" s="13" t="s">
        <v>40</v>
      </c>
      <c r="U8" s="13" t="s">
        <v>79</v>
      </c>
      <c r="V8" s="13" t="s">
        <v>42</v>
      </c>
      <c r="W8" s="13" t="s">
        <v>54</v>
      </c>
      <c r="X8" s="21" t="n">
        <v>85852533643</v>
      </c>
      <c r="Y8" s="22" t="str">
        <f aca="false">O8</f>
        <v>Operator Forklift</v>
      </c>
      <c r="Z8" s="13" t="str">
        <f aca="false">IFERROR(__xludf.dummyfunction("if(BJ8="""","""",GOOGLETRANSLATE(BJ8,""auto"",""en""))"),"Operator Forklift")</f>
        <v>Operator Forklift</v>
      </c>
      <c r="AA8" s="23" t="str">
        <f aca="false">IF(C8="","", CHOOSE(MONTH(C8),"January","February","March","April","May","June","July","August","September","October","November","December")&amp;" "&amp;DAY(C8)&amp;MID("thstndrdth",MIN(9,2*RIGHT(DAY(C8))*(MOD(DAY(C8)-11,100)&gt;2)+1),2)&amp;","&amp;TEXT(C8," yyyy"))</f>
        <v>May 2nd,2018</v>
      </c>
      <c r="AB8" s="15" t="str">
        <f aca="true">IF(S8="","",DATEDIF(S8,TODAY(),"Y")&amp;" Tahun, "&amp;DATEDIF(S8,TODAY(),"YM")&amp;" Bulan, "&amp;DATEDIF(S8,TODAY(),"MD")&amp;" Hari")</f>
        <v>48 Tahun, 1 Bulan, 9 Hari</v>
      </c>
      <c r="AC8" s="18" t="n">
        <v>45839</v>
      </c>
      <c r="AD8" s="18" t="n">
        <v>46022</v>
      </c>
      <c r="AE8" s="18" t="s">
        <v>44</v>
      </c>
    </row>
    <row r="9" customFormat="false" ht="15" hidden="false" customHeight="true" outlineLevel="0" collapsed="false">
      <c r="A9" s="12" t="n">
        <v>71</v>
      </c>
      <c r="B9" s="13" t="s">
        <v>80</v>
      </c>
      <c r="C9" s="14" t="n">
        <v>43222</v>
      </c>
      <c r="D9" s="13" t="s">
        <v>46</v>
      </c>
      <c r="E9" s="15" t="s">
        <v>47</v>
      </c>
      <c r="F9" s="15" t="str">
        <f aca="false">IFERROR(__xludf.dummyfunction("XLOOKUP(AJ9,IMPORTRANGE(""1XaInW9DU9nz21V0tYIfzFQ0He9kVQ_JF2mCXgZ3hqFA"",""REKAP ALL 2026 - Andika!G:G""),IMPORTRANGE(""1XaInW9DU9nz21V0tYIfzFQ0He9kVQ_JF2mCXgZ3hqFA"",""REKAP ALL 2026 - Andika!F:F""),"""",0)"),"18039550191")</f>
        <v>18039550191</v>
      </c>
      <c r="G9" s="13" t="s">
        <v>81</v>
      </c>
      <c r="H9" s="13" t="s">
        <v>49</v>
      </c>
      <c r="I9" s="13" t="str">
        <f aca="false">IF(C9=J9,"NEW KONTRAK","RE-KONTRAK")</f>
        <v>RE-KONTRAK</v>
      </c>
      <c r="J9" s="16" t="n">
        <f aca="false" t="array" ref="J9:J9">IFERROR(INDEX(AC9:AE9,IF(COUNTA(AC9:AE9)=0,"",MAX((AC9:AE9&lt;&gt;"")*(COLUMN(AC9:AE9)-(COLUMN(AC9)))))-1),"")</f>
        <v>45839</v>
      </c>
      <c r="K9" s="16" t="n">
        <f aca="false" t="array" ref="K9:K9">IFERROR(INDEX(AC9:AE9,IF(COUNTA(AC9:AE9)=0,"",MAX((AC9:AE9&lt;&gt;"")*(COLUMN(AC9:AE9)-(COLUMN(AC9)-1))))-1),"")</f>
        <v>46022</v>
      </c>
      <c r="L9" s="17" t="str">
        <f aca="false" t="array" ref="L9:L9">IFERROR(INDEX(AC9:AE9,IF(COUNTA(AC9:AE9)=0,"",MAX((AC9:AE9&lt;&gt;"")*(COLUMN(AC9:AE9)-(COLUMN(AC9)-2))))-1),"")</f>
        <v>ARCHIVED</v>
      </c>
      <c r="M9" s="13" t="n">
        <f aca="true">K9-TODAY()</f>
        <v>-302</v>
      </c>
      <c r="N9" s="18" t="s">
        <v>36</v>
      </c>
      <c r="O9" s="13" t="s">
        <v>50</v>
      </c>
      <c r="P9" s="19" t="n">
        <v>5195401</v>
      </c>
      <c r="Q9" s="20" t="s">
        <v>82</v>
      </c>
      <c r="R9" s="13" t="s">
        <v>83</v>
      </c>
      <c r="S9" s="14" t="n">
        <v>27133</v>
      </c>
      <c r="T9" s="13" t="s">
        <v>40</v>
      </c>
      <c r="U9" s="13" t="s">
        <v>84</v>
      </c>
      <c r="V9" s="13" t="s">
        <v>42</v>
      </c>
      <c r="W9" s="13" t="s">
        <v>54</v>
      </c>
      <c r="X9" s="21" t="n">
        <v>81231074321</v>
      </c>
      <c r="Y9" s="22" t="str">
        <f aca="false">O9</f>
        <v>Driver</v>
      </c>
      <c r="Z9" s="13" t="str">
        <f aca="false">IFERROR(__xludf.dummyfunction("if(BJ9="""","""",GOOGLETRANSLATE(BJ9,""auto"",""en""))"),"Driver")</f>
        <v>Driver</v>
      </c>
      <c r="AA9" s="23" t="str">
        <f aca="false">IF(C9="","", CHOOSE(MONTH(C9),"January","February","March","April","May","June","July","August","September","October","November","December")&amp;" "&amp;DAY(C9)&amp;MID("thstndrdth",MIN(9,2*RIGHT(DAY(C9))*(MOD(DAY(C9)-11,100)&gt;2)+1),2)&amp;","&amp;TEXT(C9," yyyy"))</f>
        <v>May 2nd,2018</v>
      </c>
      <c r="AB9" s="15" t="str">
        <f aca="true">IF(S9="","",DATEDIF(S9,TODAY(),"Y")&amp;" Tahun, "&amp;DATEDIF(S9,TODAY(),"YM")&amp;" Bulan, "&amp;DATEDIF(S9,TODAY(),"MD")&amp;" Hari")</f>
        <v>52 Tahun, 6 Bulan, 15 Hari</v>
      </c>
      <c r="AC9" s="18" t="n">
        <v>45839</v>
      </c>
      <c r="AD9" s="18" t="n">
        <v>46022</v>
      </c>
      <c r="AE9" s="18" t="s">
        <v>44</v>
      </c>
    </row>
    <row r="10" customFormat="false" ht="15" hidden="false" customHeight="true" outlineLevel="0" collapsed="false">
      <c r="A10" s="12" t="n">
        <v>72</v>
      </c>
      <c r="B10" s="13" t="s">
        <v>85</v>
      </c>
      <c r="C10" s="14" t="n">
        <v>43222</v>
      </c>
      <c r="D10" s="13" t="s">
        <v>56</v>
      </c>
      <c r="E10" s="15" t="s">
        <v>47</v>
      </c>
      <c r="F10" s="15" t="str">
        <f aca="false">IFERROR(__xludf.dummyfunction("XLOOKUP(AJ10,IMPORTRANGE(""1XaInW9DU9nz21V0tYIfzFQ0He9kVQ_JF2mCXgZ3hqFA"",""REKAP ALL 2026 - Andika!G:G""),IMPORTRANGE(""1XaInW9DU9nz21V0tYIfzFQ0He9kVQ_JF2mCXgZ3hqFA"",""REKAP ALL 2026 - Andika!F:F""),"""",0)"),"22078869496")</f>
        <v>22078869496</v>
      </c>
      <c r="G10" s="13" t="s">
        <v>57</v>
      </c>
      <c r="H10" s="13" t="s">
        <v>35</v>
      </c>
      <c r="I10" s="13" t="str">
        <f aca="false">IF(C10=J10,"NEW KONTRAK","RE-KONTRAK")</f>
        <v>RE-KONTRAK</v>
      </c>
      <c r="J10" s="16" t="n">
        <f aca="false" t="array" ref="J10:J10">IFERROR(INDEX(AC10:AE10,IF(COUNTA(AC10:AE10)=0,"",MAX((AC10:AE10&lt;&gt;"")*(COLUMN(AC10:AE10)-(COLUMN(AC10)))))-1),"")</f>
        <v>45839</v>
      </c>
      <c r="K10" s="16" t="n">
        <f aca="false" t="array" ref="K10:K10">IFERROR(INDEX(AC10:AE10,IF(COUNTA(AC10:AE10)=0,"",MAX((AC10:AE10&lt;&gt;"")*(COLUMN(AC10:AE10)-(COLUMN(AC10)-1))))-1),"")</f>
        <v>46022</v>
      </c>
      <c r="L10" s="17" t="str">
        <f aca="false" t="array" ref="L10:L10">IFERROR(INDEX(AC10:AE10,IF(COUNTA(AC10:AE10)=0,"",MAX((AC10:AE10&lt;&gt;"")*(COLUMN(AC10:AE10)-(COLUMN(AC10)-2))))-1),"")</f>
        <v>ARCHIVED</v>
      </c>
      <c r="M10" s="13" t="n">
        <f aca="true">K10-TODAY()</f>
        <v>-302</v>
      </c>
      <c r="N10" s="18" t="s">
        <v>36</v>
      </c>
      <c r="O10" s="13" t="s">
        <v>58</v>
      </c>
      <c r="P10" s="19" t="n">
        <v>210000</v>
      </c>
      <c r="Q10" s="20" t="s">
        <v>86</v>
      </c>
      <c r="R10" s="13" t="s">
        <v>65</v>
      </c>
      <c r="S10" s="14" t="n">
        <v>32809</v>
      </c>
      <c r="T10" s="13" t="s">
        <v>40</v>
      </c>
      <c r="U10" s="13" t="s">
        <v>87</v>
      </c>
      <c r="V10" s="13" t="s">
        <v>42</v>
      </c>
      <c r="W10" s="13" t="s">
        <v>43</v>
      </c>
      <c r="X10" s="21" t="n">
        <v>816232438</v>
      </c>
      <c r="Y10" s="22" t="str">
        <f aca="false">O10</f>
        <v>Produksi</v>
      </c>
      <c r="Z10" s="13" t="str">
        <f aca="false">IFERROR(__xludf.dummyfunction("if(BJ10="""","""",GOOGLETRANSLATE(BJ10,""auto"",""en""))"),"Production")</f>
        <v>Production</v>
      </c>
      <c r="AA10" s="23" t="str">
        <f aca="false">IF(C10="","", CHOOSE(MONTH(C10),"January","February","March","April","May","June","July","August","September","October","November","December")&amp;" "&amp;DAY(C10)&amp;MID("thstndrdth",MIN(9,2*RIGHT(DAY(C10))*(MOD(DAY(C10)-11,100)&gt;2)+1),2)&amp;","&amp;TEXT(C10," yyyy"))</f>
        <v>May 2nd,2018</v>
      </c>
      <c r="AB10" s="15" t="str">
        <f aca="true">IF(S10="","",DATEDIF(S10,TODAY(),"Y")&amp;" Tahun, "&amp;DATEDIF(S10,TODAY(),"YM")&amp;" Bulan, "&amp;DATEDIF(S10,TODAY(),"MD")&amp;" Hari")</f>
        <v>37 Tahun, 0 Bulan, 1 Hari</v>
      </c>
      <c r="AC10" s="18" t="n">
        <v>45839</v>
      </c>
      <c r="AD10" s="18" t="n">
        <v>46022</v>
      </c>
      <c r="AE10" s="18" t="s">
        <v>44</v>
      </c>
    </row>
    <row r="11" customFormat="false" ht="15" hidden="false" customHeight="true" outlineLevel="0" collapsed="false">
      <c r="A11" s="12" t="n">
        <v>73</v>
      </c>
      <c r="B11" s="13" t="s">
        <v>88</v>
      </c>
      <c r="C11" s="14" t="n">
        <v>43222</v>
      </c>
      <c r="D11" s="13" t="s">
        <v>56</v>
      </c>
      <c r="E11" s="15" t="s">
        <v>47</v>
      </c>
      <c r="F11" s="15" t="str">
        <f aca="false">IFERROR(__xludf.dummyfunction("XLOOKUP(AJ11,IMPORTRANGE(""1XaInW9DU9nz21V0tYIfzFQ0He9kVQ_JF2mCXgZ3hqFA"",""REKAP ALL 2026 - Andika!G:G""),IMPORTRANGE(""1XaInW9DU9nz21V0tYIfzFQ0He9kVQ_JF2mCXgZ3hqFA"",""REKAP ALL 2026 - Andika!F:F""),"""",0)"),"22078869389")</f>
        <v>22078869389</v>
      </c>
      <c r="G11" s="13" t="s">
        <v>57</v>
      </c>
      <c r="H11" s="13" t="s">
        <v>35</v>
      </c>
      <c r="I11" s="13" t="str">
        <f aca="false">IF(C11=J11,"NEW KONTRAK","RE-KONTRAK")</f>
        <v>RE-KONTRAK</v>
      </c>
      <c r="J11" s="16" t="n">
        <f aca="false" t="array" ref="J11:J11">IFERROR(INDEX(AC11:AE11,IF(COUNTA(AC11:AE11)=0,"",MAX((AC11:AE11&lt;&gt;"")*(COLUMN(AC11:AE11)-(COLUMN(AC11)))))-1),"")</f>
        <v>45839</v>
      </c>
      <c r="K11" s="16" t="n">
        <f aca="false" t="array" ref="K11:K11">IFERROR(INDEX(AC11:AE11,IF(COUNTA(AC11:AE11)=0,"",MAX((AC11:AE11&lt;&gt;"")*(COLUMN(AC11:AE11)-(COLUMN(AC11)-1))))-1),"")</f>
        <v>46022</v>
      </c>
      <c r="L11" s="17" t="str">
        <f aca="false" t="array" ref="L11:L11">IFERROR(INDEX(AC11:AE11,IF(COUNTA(AC11:AE11)=0,"",MAX((AC11:AE11&lt;&gt;"")*(COLUMN(AC11:AE11)-(COLUMN(AC11)-2))))-1),"")</f>
        <v>ARCHIVED</v>
      </c>
      <c r="M11" s="13" t="n">
        <f aca="true">K11-TODAY()</f>
        <v>-302</v>
      </c>
      <c r="N11" s="18" t="s">
        <v>36</v>
      </c>
      <c r="O11" s="13" t="s">
        <v>58</v>
      </c>
      <c r="P11" s="19" t="n">
        <v>210000</v>
      </c>
      <c r="Q11" s="20" t="s">
        <v>89</v>
      </c>
      <c r="R11" s="13" t="s">
        <v>65</v>
      </c>
      <c r="S11" s="14" t="n">
        <v>30053</v>
      </c>
      <c r="T11" s="13" t="s">
        <v>40</v>
      </c>
      <c r="U11" s="13" t="s">
        <v>90</v>
      </c>
      <c r="V11" s="13" t="s">
        <v>42</v>
      </c>
      <c r="W11" s="13" t="s">
        <v>54</v>
      </c>
      <c r="X11" s="21" t="n">
        <v>81231202488</v>
      </c>
      <c r="Y11" s="22" t="str">
        <f aca="false">O11</f>
        <v>Produksi</v>
      </c>
      <c r="Z11" s="13" t="str">
        <f aca="false">IFERROR(__xludf.dummyfunction("if(BJ11="""","""",GOOGLETRANSLATE(BJ11,""auto"",""en""))"),"Production")</f>
        <v>Production</v>
      </c>
      <c r="AA11" s="23" t="str">
        <f aca="false">IF(C11="","", CHOOSE(MONTH(C11),"January","February","March","April","May","June","July","August","September","October","November","December")&amp;" "&amp;DAY(C11)&amp;MID("thstndrdth",MIN(9,2*RIGHT(DAY(C11))*(MOD(DAY(C11)-11,100)&gt;2)+1),2)&amp;","&amp;TEXT(C11," yyyy"))</f>
        <v>May 2nd,2018</v>
      </c>
      <c r="AB11" s="15" t="str">
        <f aca="true">IF(S11="","",DATEDIF(S11,TODAY(),"Y")&amp;" Tahun, "&amp;DATEDIF(S11,TODAY(),"YM")&amp;" Bulan, "&amp;DATEDIF(S11,TODAY(),"MD")&amp;" Hari")</f>
        <v>44 Tahun, 6 Bulan, 17 Hari</v>
      </c>
      <c r="AC11" s="18" t="n">
        <v>45839</v>
      </c>
      <c r="AD11" s="18" t="n">
        <v>46022</v>
      </c>
      <c r="AE11" s="18" t="s">
        <v>44</v>
      </c>
    </row>
    <row r="12" customFormat="false" ht="15" hidden="false" customHeight="true" outlineLevel="0" collapsed="false">
      <c r="A12" s="12" t="n">
        <v>75</v>
      </c>
      <c r="B12" s="13" t="s">
        <v>91</v>
      </c>
      <c r="C12" s="14" t="n">
        <v>43222</v>
      </c>
      <c r="D12" s="13" t="s">
        <v>56</v>
      </c>
      <c r="E12" s="15" t="s">
        <v>47</v>
      </c>
      <c r="F12" s="15" t="str">
        <f aca="false">IFERROR(__xludf.dummyfunction("XLOOKUP(AJ12,IMPORTRANGE(""1XaInW9DU9nz21V0tYIfzFQ0He9kVQ_JF2mCXgZ3hqFA"",""REKAP ALL 2026 - Andika!G:G""),IMPORTRANGE(""1XaInW9DU9nz21V0tYIfzFQ0He9kVQ_JF2mCXgZ3hqFA"",""REKAP ALL 2026 - Andika!F:F""),"""",0)"),"22078869413")</f>
        <v>22078869413</v>
      </c>
      <c r="G12" s="13" t="s">
        <v>57</v>
      </c>
      <c r="H12" s="13" t="s">
        <v>35</v>
      </c>
      <c r="I12" s="13" t="str">
        <f aca="false">IF(C12=J12,"NEW KONTRAK","RE-KONTRAK")</f>
        <v>RE-KONTRAK</v>
      </c>
      <c r="J12" s="16" t="n">
        <f aca="false" t="array" ref="J12:J12">IFERROR(INDEX(AC12:AE12,IF(COUNTA(AC12:AE12)=0,"",MAX((AC12:AE12&lt;&gt;"")*(COLUMN(AC12:AE12)-(COLUMN(AC12)))))-1),"")</f>
        <v>45839</v>
      </c>
      <c r="K12" s="16" t="n">
        <f aca="false" t="array" ref="K12:K12">IFERROR(INDEX(AC12:AE12,IF(COUNTA(AC12:AE12)=0,"",MAX((AC12:AE12&lt;&gt;"")*(COLUMN(AC12:AE12)-(COLUMN(AC12)-1))))-1),"")</f>
        <v>46022</v>
      </c>
      <c r="L12" s="17" t="str">
        <f aca="false" t="array" ref="L12:L12">IFERROR(INDEX(AC12:AE12,IF(COUNTA(AC12:AE12)=0,"",MAX((AC12:AE12&lt;&gt;"")*(COLUMN(AC12:AE12)-(COLUMN(AC12)-2))))-1),"")</f>
        <v>ARCHIVED</v>
      </c>
      <c r="M12" s="13" t="n">
        <f aca="true">K12-TODAY()</f>
        <v>-302</v>
      </c>
      <c r="N12" s="18" t="s">
        <v>36</v>
      </c>
      <c r="O12" s="13" t="s">
        <v>58</v>
      </c>
      <c r="P12" s="19" t="n">
        <v>210000</v>
      </c>
      <c r="Q12" s="20" t="s">
        <v>92</v>
      </c>
      <c r="R12" s="13" t="s">
        <v>65</v>
      </c>
      <c r="S12" s="14" t="n">
        <v>32557</v>
      </c>
      <c r="T12" s="13" t="s">
        <v>40</v>
      </c>
      <c r="U12" s="13" t="s">
        <v>93</v>
      </c>
      <c r="V12" s="13" t="s">
        <v>42</v>
      </c>
      <c r="W12" s="13" t="s">
        <v>54</v>
      </c>
      <c r="X12" s="21" t="n">
        <v>8563160855</v>
      </c>
      <c r="Y12" s="22" t="str">
        <f aca="false">O12</f>
        <v>Produksi</v>
      </c>
      <c r="Z12" s="13" t="str">
        <f aca="false">IFERROR(__xludf.dummyfunction("if(BJ12="""","""",GOOGLETRANSLATE(BJ12,""auto"",""en""))"),"Production")</f>
        <v>Production</v>
      </c>
      <c r="AA12" s="23" t="str">
        <f aca="false">IF(C12="","", CHOOSE(MONTH(C12),"January","February","March","April","May","June","July","August","September","October","November","December")&amp;" "&amp;DAY(C12)&amp;MID("thstndrdth",MIN(9,2*RIGHT(DAY(C12))*(MOD(DAY(C12)-11,100)&gt;2)+1),2)&amp;","&amp;TEXT(C12," yyyy"))</f>
        <v>May 2nd,2018</v>
      </c>
      <c r="AB12" s="15" t="str">
        <f aca="true">IF(S12="","",DATEDIF(S12,TODAY(),"Y")&amp;" Tahun, "&amp;DATEDIF(S12,TODAY(),"YM")&amp;" Bulan, "&amp;DATEDIF(S12,TODAY(),"MD")&amp;" Hari")</f>
        <v>37 Tahun, 8 Bulan, 11 Hari</v>
      </c>
      <c r="AC12" s="18" t="n">
        <v>45839</v>
      </c>
      <c r="AD12" s="18" t="n">
        <v>46022</v>
      </c>
      <c r="AE12" s="18" t="s">
        <v>44</v>
      </c>
    </row>
    <row r="13" customFormat="false" ht="15" hidden="false" customHeight="true" outlineLevel="0" collapsed="false">
      <c r="A13" s="12" t="n">
        <v>129</v>
      </c>
      <c r="B13" s="13" t="s">
        <v>94</v>
      </c>
      <c r="C13" s="14" t="n">
        <v>44396</v>
      </c>
      <c r="D13" s="13" t="s">
        <v>32</v>
      </c>
      <c r="E13" s="15" t="s">
        <v>47</v>
      </c>
      <c r="F13" s="15" t="str">
        <f aca="false">IFERROR(__xludf.dummyfunction("XLOOKUP(AJ13,IMPORTRANGE(""1XaInW9DU9nz21V0tYIfzFQ0He9kVQ_JF2mCXgZ3hqFA"",""REKAP ALL 2026 - Andika!G:G""),IMPORTRANGE(""1XaInW9DU9nz21V0tYIfzFQ0He9kVQ_JF2mCXgZ3hqFA"",""REKAP ALL 2026 - Andika!F:F""),"""",0)"),"21056909977")</f>
        <v>21056909977</v>
      </c>
      <c r="G13" s="13" t="s">
        <v>95</v>
      </c>
      <c r="H13" s="13" t="s">
        <v>35</v>
      </c>
      <c r="I13" s="13" t="str">
        <f aca="false">IF(C13=J13,"NEW KONTRAK","RE-KONTRAK")</f>
        <v>RE-KONTRAK</v>
      </c>
      <c r="J13" s="16" t="n">
        <f aca="false" t="array" ref="J13:J13">IFERROR(INDEX(AC13:AE13,IF(COUNTA(AC13:AE13)=0,"",MAX((AC13:AE13&lt;&gt;"")*(COLUMN(AC13:AE13)-(COLUMN(AC13)))))-1),"")</f>
        <v>45658</v>
      </c>
      <c r="K13" s="16" t="n">
        <f aca="false" t="array" ref="K13:K13">IFERROR(INDEX(AC13:AE13,IF(COUNTA(AC13:AE13)=0,"",MAX((AC13:AE13&lt;&gt;"")*(COLUMN(AC13:AE13)-(COLUMN(AC13)-1))))-1),"")</f>
        <v>46022</v>
      </c>
      <c r="L13" s="17" t="str">
        <f aca="false" t="array" ref="L13:L13">IFERROR(INDEX(AC13:AE13,IF(COUNTA(AC13:AE13)=0,"",MAX((AC13:AE13&lt;&gt;"")*(COLUMN(AC13:AE13)-(COLUMN(AC13)-2))))-1),"")</f>
        <v>ARCHIVED</v>
      </c>
      <c r="M13" s="13" t="n">
        <f aca="true">K13-TODAY()</f>
        <v>-302</v>
      </c>
      <c r="N13" s="18" t="s">
        <v>36</v>
      </c>
      <c r="O13" s="13" t="s">
        <v>37</v>
      </c>
      <c r="P13" s="19" t="n">
        <v>5600000</v>
      </c>
      <c r="Q13" s="20" t="s">
        <v>96</v>
      </c>
      <c r="R13" s="13" t="s">
        <v>97</v>
      </c>
      <c r="S13" s="14" t="n">
        <v>34776</v>
      </c>
      <c r="T13" s="13" t="s">
        <v>40</v>
      </c>
      <c r="U13" s="13" t="s">
        <v>98</v>
      </c>
      <c r="V13" s="13" t="s">
        <v>99</v>
      </c>
      <c r="W13" s="13" t="s">
        <v>43</v>
      </c>
      <c r="X13" s="21" t="n">
        <v>81351443900</v>
      </c>
      <c r="Y13" s="22" t="str">
        <f aca="false">O13</f>
        <v>External Logistic</v>
      </c>
      <c r="Z13" s="13" t="str">
        <f aca="false">IFERROR(__xludf.dummyfunction("if(BJ13="""","""",GOOGLETRANSLATE(BJ13,""auto"",""en""))"),"External Logistic")</f>
        <v>External Logistic</v>
      </c>
      <c r="AA13" s="23" t="str">
        <f aca="false">IF(C13="","", CHOOSE(MONTH(C13),"January","February","March","April","May","June","July","August","September","October","November","December")&amp;" "&amp;DAY(C13)&amp;MID("thstndrdth",MIN(9,2*RIGHT(DAY(C13))*(MOD(DAY(C13)-11,100)&gt;2)+1),2)&amp;","&amp;TEXT(C13," yyyy"))</f>
        <v>July 19th,2021</v>
      </c>
      <c r="AB13" s="15" t="str">
        <f aca="true">IF(S13="","",DATEDIF(S13,TODAY(),"Y")&amp;" Tahun, "&amp;DATEDIF(S13,TODAY(),"YM")&amp;" Bulan, "&amp;DATEDIF(S13,TODAY(),"MD")&amp;" Hari")</f>
        <v>31 Tahun, 7 Bulan, 11 Hari</v>
      </c>
      <c r="AC13" s="18" t="n">
        <v>45658</v>
      </c>
      <c r="AD13" s="18" t="n">
        <v>46022</v>
      </c>
      <c r="AE13" s="18" t="s">
        <v>44</v>
      </c>
    </row>
    <row r="14" customFormat="false" ht="15" hidden="false" customHeight="true" outlineLevel="0" collapsed="false">
      <c r="A14" s="12" t="n">
        <v>136</v>
      </c>
      <c r="B14" s="13" t="s">
        <v>100</v>
      </c>
      <c r="C14" s="14" t="n">
        <v>44427</v>
      </c>
      <c r="D14" s="13" t="s">
        <v>101</v>
      </c>
      <c r="E14" s="15" t="s">
        <v>102</v>
      </c>
      <c r="F14" s="24" t="s">
        <v>103</v>
      </c>
      <c r="G14" s="13" t="s">
        <v>104</v>
      </c>
      <c r="H14" s="13" t="s">
        <v>35</v>
      </c>
      <c r="I14" s="13" t="str">
        <f aca="false">IF(C14=J14,"NEW KONTRAK","RE-KONTRAK")</f>
        <v>RE-KONTRAK</v>
      </c>
      <c r="J14" s="16" t="n">
        <f aca="false" t="array" ref="J14:J14">IFERROR(INDEX(AC14:AE14,IF(COUNTA(AC14:AE14)=0,"",MAX((AC14:AE14&lt;&gt;"")*(COLUMN(AC14:AE14)-(COLUMN(AC14)))))-1),"")</f>
        <v>45672</v>
      </c>
      <c r="K14" s="16" t="n">
        <f aca="false" t="array" ref="K14:K14">IFERROR(INDEX(AC14:AE14,IF(COUNTA(AC14:AE14)=0,"",MAX((AC14:AE14&lt;&gt;"")*(COLUMN(AC14:AE14)-(COLUMN(AC14)-1))))-1),"")</f>
        <v>46036</v>
      </c>
      <c r="L14" s="17" t="str">
        <f aca="false" t="array" ref="L14:L14">IFERROR(INDEX(AC14:AE14,IF(COUNTA(AC14:AE14)=0,"",MAX((AC14:AE14&lt;&gt;"")*(COLUMN(AC14:AE14)-(COLUMN(AC14)-2))))-1),"")</f>
        <v>ARCHIVED</v>
      </c>
      <c r="M14" s="13" t="n">
        <f aca="true">K14-TODAY()</f>
        <v>-288</v>
      </c>
      <c r="N14" s="18" t="s">
        <v>105</v>
      </c>
      <c r="O14" s="13" t="s">
        <v>106</v>
      </c>
      <c r="P14" s="19" t="n">
        <v>126000</v>
      </c>
      <c r="Q14" s="20" t="s">
        <v>107</v>
      </c>
      <c r="R14" s="13" t="s">
        <v>39</v>
      </c>
      <c r="S14" s="25" t="n">
        <v>37272</v>
      </c>
      <c r="T14" s="13" t="s">
        <v>108</v>
      </c>
      <c r="U14" s="13" t="s">
        <v>109</v>
      </c>
      <c r="V14" s="13" t="s">
        <v>42</v>
      </c>
      <c r="W14" s="13" t="s">
        <v>43</v>
      </c>
      <c r="X14" s="21" t="n">
        <v>81252169413</v>
      </c>
      <c r="Y14" s="22" t="str">
        <f aca="false">O14</f>
        <v>Produksi - Helper</v>
      </c>
      <c r="Z14" s="13" t="str">
        <f aca="false">IFERROR(__xludf.dummyfunction("if(BJ14="""","""",GOOGLETRANSLATE(BJ14,""auto"",""en""))"),"Production - Helper")</f>
        <v>Production - Helper</v>
      </c>
      <c r="AA14" s="23" t="str">
        <f aca="false">IF(C14="","", CHOOSE(MONTH(C14),"January","February","March","April","May","June","July","August","September","October","November","December")&amp;" "&amp;DAY(C14)&amp;MID("thstndrdth",MIN(9,2*RIGHT(DAY(C14))*(MOD(DAY(C14)-11,100)&gt;2)+1),2)&amp;","&amp;TEXT(C14," yyyy"))</f>
        <v>August 19th,2021</v>
      </c>
      <c r="AB14" s="15" t="str">
        <f aca="true">IF(S14="","",DATEDIF(S14,TODAY(),"Y")&amp;" Tahun, "&amp;DATEDIF(S14,TODAY(),"YM")&amp;" Bulan, "&amp;DATEDIF(S14,TODAY(),"MD")&amp;" Hari")</f>
        <v>24 Tahun, 9 Bulan, 13 Hari</v>
      </c>
      <c r="AC14" s="18" t="n">
        <v>45672</v>
      </c>
      <c r="AD14" s="18" t="n">
        <v>46036</v>
      </c>
      <c r="AE14" s="18" t="s">
        <v>44</v>
      </c>
    </row>
    <row r="15" customFormat="false" ht="15" hidden="false" customHeight="true" outlineLevel="0" collapsed="false">
      <c r="A15" s="12" t="n">
        <v>139</v>
      </c>
      <c r="B15" s="13" t="s">
        <v>110</v>
      </c>
      <c r="C15" s="14" t="n">
        <v>44427</v>
      </c>
      <c r="D15" s="13" t="s">
        <v>101</v>
      </c>
      <c r="E15" s="15" t="s">
        <v>102</v>
      </c>
      <c r="F15" s="15" t="str">
        <f aca="false">IFERROR(__xludf.dummyfunction("XLOOKUP(AJ15,IMPORTRANGE(""1XaInW9DU9nz21V0tYIfzFQ0He9kVQ_JF2mCXgZ3hqFA"",""REKAP ALL 2026 - Andika!G:G""),IMPORTRANGE(""1XaInW9DU9nz21V0tYIfzFQ0He9kVQ_JF2mCXgZ3hqFA"",""REKAP ALL 2026 - Andika!F:F""),"""",0)"),"21082691482")</f>
        <v>21082691482</v>
      </c>
      <c r="G15" s="13" t="s">
        <v>111</v>
      </c>
      <c r="H15" s="13" t="s">
        <v>35</v>
      </c>
      <c r="I15" s="13" t="str">
        <f aca="false">IF(C15=J15,"NEW KONTRAK","RE-KONTRAK")</f>
        <v>RE-KONTRAK</v>
      </c>
      <c r="J15" s="16" t="n">
        <f aca="false" t="array" ref="J15:J15">IFERROR(INDEX(AC15:AE15,IF(COUNTA(AC15:AE15)=0,"",MAX((AC15:AE15&lt;&gt;"")*(COLUMN(AC15:AE15)-(COLUMN(AC15)))))-1),"")</f>
        <v>45672</v>
      </c>
      <c r="K15" s="16" t="n">
        <f aca="false" t="array" ref="K15:K15">IFERROR(INDEX(AC15:AE15,IF(COUNTA(AC15:AE15)=0,"",MAX((AC15:AE15&lt;&gt;"")*(COLUMN(AC15:AE15)-(COLUMN(AC15)-1))))-1),"")</f>
        <v>46036</v>
      </c>
      <c r="L15" s="17" t="str">
        <f aca="false" t="array" ref="L15:L15">IFERROR(INDEX(AC15:AE15,IF(COUNTA(AC15:AE15)=0,"",MAX((AC15:AE15&lt;&gt;"")*(COLUMN(AC15:AE15)-(COLUMN(AC15)-2))))-1),"")</f>
        <v>ARCHIVED</v>
      </c>
      <c r="M15" s="13" t="n">
        <f aca="true">K15-TODAY()</f>
        <v>-288</v>
      </c>
      <c r="N15" s="18" t="s">
        <v>105</v>
      </c>
      <c r="O15" s="13" t="s">
        <v>106</v>
      </c>
      <c r="P15" s="19" t="n">
        <v>132300</v>
      </c>
      <c r="Q15" s="20" t="s">
        <v>112</v>
      </c>
      <c r="R15" s="13" t="s">
        <v>39</v>
      </c>
      <c r="S15" s="25" t="n">
        <v>36183</v>
      </c>
      <c r="T15" s="13" t="s">
        <v>108</v>
      </c>
      <c r="U15" s="13" t="s">
        <v>113</v>
      </c>
      <c r="V15" s="13" t="s">
        <v>42</v>
      </c>
      <c r="W15" s="13" t="s">
        <v>43</v>
      </c>
      <c r="X15" s="21" t="n">
        <v>89616082717</v>
      </c>
      <c r="Y15" s="22" t="str">
        <f aca="false">O15</f>
        <v>Produksi - Helper</v>
      </c>
      <c r="Z15" s="13" t="str">
        <f aca="false">IFERROR(__xludf.dummyfunction("if(BJ15="""","""",GOOGLETRANSLATE(BJ15,""auto"",""en""))"),"Production - Helper")</f>
        <v>Production - Helper</v>
      </c>
      <c r="AA15" s="23" t="str">
        <f aca="false">IF(C15="","", CHOOSE(MONTH(C15),"January","February","March","April","May","June","July","August","September","October","November","December")&amp;" "&amp;DAY(C15)&amp;MID("thstndrdth",MIN(9,2*RIGHT(DAY(C15))*(MOD(DAY(C15)-11,100)&gt;2)+1),2)&amp;","&amp;TEXT(C15," yyyy"))</f>
        <v>August 19th,2021</v>
      </c>
      <c r="AB15" s="15" t="str">
        <f aca="true">IF(S15="","",DATEDIF(S15,TODAY(),"Y")&amp;" Tahun, "&amp;DATEDIF(S15,TODAY(),"YM")&amp;" Bulan, "&amp;DATEDIF(S15,TODAY(),"MD")&amp;" Hari")</f>
        <v>27 Tahun, 9 Bulan, 6 Hari</v>
      </c>
      <c r="AC15" s="18" t="n">
        <v>45672</v>
      </c>
      <c r="AD15" s="18" t="n">
        <v>46036</v>
      </c>
      <c r="AE15" s="18" t="s">
        <v>44</v>
      </c>
    </row>
    <row r="16" customFormat="false" ht="15" hidden="false" customHeight="true" outlineLevel="0" collapsed="false">
      <c r="A16" s="12" t="n">
        <v>141</v>
      </c>
      <c r="B16" s="13" t="s">
        <v>114</v>
      </c>
      <c r="C16" s="14" t="n">
        <v>44427</v>
      </c>
      <c r="D16" s="13" t="s">
        <v>101</v>
      </c>
      <c r="E16" s="15" t="s">
        <v>33</v>
      </c>
      <c r="F16" s="24" t="s">
        <v>115</v>
      </c>
      <c r="G16" s="13" t="s">
        <v>116</v>
      </c>
      <c r="H16" s="13" t="s">
        <v>35</v>
      </c>
      <c r="I16" s="13" t="str">
        <f aca="false">IF(C16=J16,"NEW KONTRAK","RE-KONTRAK")</f>
        <v>RE-KONTRAK</v>
      </c>
      <c r="J16" s="16" t="n">
        <f aca="false" t="array" ref="J16:J16">IFERROR(INDEX(AC16:AE16,IF(COUNTA(AC16:AE16)=0,"",MAX((AC16:AE16&lt;&gt;"")*(COLUMN(AC16:AE16)-(COLUMN(AC16)))))-1),"")</f>
        <v>45672</v>
      </c>
      <c r="K16" s="16" t="n">
        <f aca="false" t="array" ref="K16:K16">IFERROR(INDEX(AC16:AE16,IF(COUNTA(AC16:AE16)=0,"",MAX((AC16:AE16&lt;&gt;"")*(COLUMN(AC16:AE16)-(COLUMN(AC16)-1))))-1),"")</f>
        <v>46036</v>
      </c>
      <c r="L16" s="17" t="str">
        <f aca="false" t="array" ref="L16:L16">IFERROR(INDEX(AC16:AE16,IF(COUNTA(AC16:AE16)=0,"",MAX((AC16:AE16&lt;&gt;"")*(COLUMN(AC16:AE16)-(COLUMN(AC16)-2))))-1),"")</f>
        <v>ARCHIVED</v>
      </c>
      <c r="M16" s="13" t="n">
        <f aca="true">K16-TODAY()</f>
        <v>-288</v>
      </c>
      <c r="N16" s="18" t="s">
        <v>105</v>
      </c>
      <c r="O16" s="13" t="s">
        <v>58</v>
      </c>
      <c r="P16" s="19" t="n">
        <v>126000</v>
      </c>
      <c r="Q16" s="20" t="s">
        <v>117</v>
      </c>
      <c r="R16" s="13" t="s">
        <v>39</v>
      </c>
      <c r="S16" s="25" t="n">
        <v>36299</v>
      </c>
      <c r="T16" s="13" t="s">
        <v>108</v>
      </c>
      <c r="U16" s="13" t="s">
        <v>118</v>
      </c>
      <c r="V16" s="13" t="s">
        <v>42</v>
      </c>
      <c r="W16" s="13" t="s">
        <v>43</v>
      </c>
      <c r="X16" s="21" t="n">
        <v>81553563621</v>
      </c>
      <c r="Y16" s="22" t="str">
        <f aca="false">O16</f>
        <v>Produksi</v>
      </c>
      <c r="Z16" s="13" t="str">
        <f aca="false">IFERROR(__xludf.dummyfunction("if(BJ16="""","""",GOOGLETRANSLATE(BJ16,""auto"",""en""))"),"Production")</f>
        <v>Production</v>
      </c>
      <c r="AA16" s="23" t="str">
        <f aca="false">IF(C16="","", CHOOSE(MONTH(C16),"January","February","March","April","May","June","July","August","September","October","November","December")&amp;" "&amp;DAY(C16)&amp;MID("thstndrdth",MIN(9,2*RIGHT(DAY(C16))*(MOD(DAY(C16)-11,100)&gt;2)+1),2)&amp;","&amp;TEXT(C16," yyyy"))</f>
        <v>August 19th,2021</v>
      </c>
      <c r="AB16" s="15" t="str">
        <f aca="true">IF(S16="","",DATEDIF(S16,TODAY(),"Y")&amp;" Tahun, "&amp;DATEDIF(S16,TODAY(),"YM")&amp;" Bulan, "&amp;DATEDIF(S16,TODAY(),"MD")&amp;" Hari")</f>
        <v>27 Tahun, 5 Bulan, 10 Hari</v>
      </c>
      <c r="AC16" s="18" t="n">
        <v>45672</v>
      </c>
      <c r="AD16" s="18" t="n">
        <v>46036</v>
      </c>
      <c r="AE16" s="18" t="s">
        <v>44</v>
      </c>
    </row>
    <row r="17" customFormat="false" ht="15" hidden="false" customHeight="true" outlineLevel="0" collapsed="false">
      <c r="A17" s="12" t="n">
        <v>143</v>
      </c>
      <c r="B17" s="13" t="s">
        <v>119</v>
      </c>
      <c r="C17" s="14" t="n">
        <v>44427</v>
      </c>
      <c r="D17" s="13" t="s">
        <v>101</v>
      </c>
      <c r="E17" s="15" t="s">
        <v>102</v>
      </c>
      <c r="F17" s="15" t="str">
        <f aca="false">IFERROR(__xludf.dummyfunction("XLOOKUP(AJ17,IMPORTRANGE(""1XaInW9DU9nz21V0tYIfzFQ0He9kVQ_JF2mCXgZ3hqFA"",""REKAP ALL 2026 - Andika!G:G""),IMPORTRANGE(""1XaInW9DU9nz21V0tYIfzFQ0He9kVQ_JF2mCXgZ3hqFA"",""REKAP ALL 2026 - Andika!F:F""),"""",0)"),"21082691391")</f>
        <v>21082691391</v>
      </c>
      <c r="G17" s="13" t="s">
        <v>120</v>
      </c>
      <c r="H17" s="13" t="s">
        <v>35</v>
      </c>
      <c r="I17" s="13" t="str">
        <f aca="false">IF(C17=J17,"NEW KONTRAK","RE-KONTRAK")</f>
        <v>RE-KONTRAK</v>
      </c>
      <c r="J17" s="16" t="n">
        <f aca="false" t="array" ref="J17:J17">IFERROR(INDEX(AC17:AE17,IF(COUNTA(AC17:AE17)=0,"",MAX((AC17:AE17&lt;&gt;"")*(COLUMN(AC17:AE17)-(COLUMN(AC17)))))-1),"")</f>
        <v>45672</v>
      </c>
      <c r="K17" s="16" t="n">
        <f aca="false" t="array" ref="K17:K17">IFERROR(INDEX(AC17:AE17,IF(COUNTA(AC17:AE17)=0,"",MAX((AC17:AE17&lt;&gt;"")*(COLUMN(AC17:AE17)-(COLUMN(AC17)-1))))-1),"")</f>
        <v>46036</v>
      </c>
      <c r="L17" s="17" t="str">
        <f aca="false" t="array" ref="L17:L17">IFERROR(INDEX(AC17:AE17,IF(COUNTA(AC17:AE17)=0,"",MAX((AC17:AE17&lt;&gt;"")*(COLUMN(AC17:AE17)-(COLUMN(AC17)-2))))-1),"")</f>
        <v>ARCHIVED</v>
      </c>
      <c r="M17" s="13" t="n">
        <f aca="true">K17-TODAY()</f>
        <v>-288</v>
      </c>
      <c r="N17" s="18" t="s">
        <v>105</v>
      </c>
      <c r="O17" s="13" t="s">
        <v>106</v>
      </c>
      <c r="P17" s="19" t="n">
        <v>132300</v>
      </c>
      <c r="Q17" s="20" t="s">
        <v>121</v>
      </c>
      <c r="R17" s="13" t="s">
        <v>39</v>
      </c>
      <c r="S17" s="25" t="n">
        <v>37035</v>
      </c>
      <c r="T17" s="13" t="s">
        <v>108</v>
      </c>
      <c r="U17" s="13" t="s">
        <v>122</v>
      </c>
      <c r="V17" s="13" t="s">
        <v>42</v>
      </c>
      <c r="W17" s="13" t="s">
        <v>43</v>
      </c>
      <c r="X17" s="21" t="n">
        <v>85733660978</v>
      </c>
      <c r="Y17" s="22" t="str">
        <f aca="false">O17</f>
        <v>Produksi - Helper</v>
      </c>
      <c r="Z17" s="13" t="str">
        <f aca="false">IFERROR(__xludf.dummyfunction("if(BJ17="""","""",GOOGLETRANSLATE(BJ17,""auto"",""en""))"),"Production - Helper")</f>
        <v>Production - Helper</v>
      </c>
      <c r="AA17" s="23" t="str">
        <f aca="false">IF(C17="","", CHOOSE(MONTH(C17),"January","February","March","April","May","June","July","August","September","October","November","December")&amp;" "&amp;DAY(C17)&amp;MID("thstndrdth",MIN(9,2*RIGHT(DAY(C17))*(MOD(DAY(C17)-11,100)&gt;2)+1),2)&amp;","&amp;TEXT(C17," yyyy"))</f>
        <v>August 19th,2021</v>
      </c>
      <c r="AB17" s="15" t="str">
        <f aca="true">IF(S17="","",DATEDIF(S17,TODAY(),"Y")&amp;" Tahun, "&amp;DATEDIF(S17,TODAY(),"YM")&amp;" Bulan, "&amp;DATEDIF(S17,TODAY(),"MD")&amp;" Hari")</f>
        <v>25 Tahun, 5 Bulan, 5 Hari</v>
      </c>
      <c r="AC17" s="18" t="n">
        <v>45672</v>
      </c>
      <c r="AD17" s="18" t="n">
        <v>46036</v>
      </c>
      <c r="AE17" s="18" t="s">
        <v>44</v>
      </c>
    </row>
    <row r="18" customFormat="false" ht="15" hidden="false" customHeight="true" outlineLevel="0" collapsed="false">
      <c r="A18" s="12" t="n">
        <v>158</v>
      </c>
      <c r="B18" s="13" t="s">
        <v>123</v>
      </c>
      <c r="C18" s="14" t="n">
        <v>44427</v>
      </c>
      <c r="D18" s="13" t="s">
        <v>101</v>
      </c>
      <c r="E18" s="15" t="s">
        <v>102</v>
      </c>
      <c r="F18" s="15" t="str">
        <f aca="false">IFERROR(__xludf.dummyfunction("XLOOKUP(AJ18,IMPORTRANGE(""1XaInW9DU9nz21V0tYIfzFQ0He9kVQ_JF2mCXgZ3hqFA"",""REKAP ALL 2026 - Andika!G:G""),IMPORTRANGE(""1XaInW9DU9nz21V0tYIfzFQ0He9kVQ_JF2mCXgZ3hqFA"",""REKAP ALL 2026 - Andika!F:F""),"""",0)"),"21082692217")</f>
        <v>21082692217</v>
      </c>
      <c r="G18" s="13" t="s">
        <v>124</v>
      </c>
      <c r="H18" s="13" t="s">
        <v>35</v>
      </c>
      <c r="I18" s="13" t="str">
        <f aca="false">IF(C18=J18,"NEW KONTRAK","RE-KONTRAK")</f>
        <v>RE-KONTRAK</v>
      </c>
      <c r="J18" s="16" t="n">
        <f aca="false" t="array" ref="J18:J18">IFERROR(INDEX(AC18:AE18,IF(COUNTA(AC18:AE18)=0,"",MAX((AC18:AE18&lt;&gt;"")*(COLUMN(AC18:AE18)-(COLUMN(AC18)))))-1),"")</f>
        <v>45672</v>
      </c>
      <c r="K18" s="16" t="n">
        <f aca="false" t="array" ref="K18:K18">IFERROR(INDEX(AC18:AE18,IF(COUNTA(AC18:AE18)=0,"",MAX((AC18:AE18&lt;&gt;"")*(COLUMN(AC18:AE18)-(COLUMN(AC18)-1))))-1),"")</f>
        <v>46036</v>
      </c>
      <c r="L18" s="17" t="str">
        <f aca="false" t="array" ref="L18:L18">IFERROR(INDEX(AC18:AE18,IF(COUNTA(AC18:AE18)=0,"",MAX((AC18:AE18&lt;&gt;"")*(COLUMN(AC18:AE18)-(COLUMN(AC18)-2))))-1),"")</f>
        <v>ARCHIVED</v>
      </c>
      <c r="M18" s="13" t="n">
        <f aca="true">K18-TODAY()</f>
        <v>-288</v>
      </c>
      <c r="N18" s="18" t="s">
        <v>105</v>
      </c>
      <c r="O18" s="13" t="s">
        <v>106</v>
      </c>
      <c r="P18" s="19" t="n">
        <v>132300</v>
      </c>
      <c r="Q18" s="20" t="s">
        <v>125</v>
      </c>
      <c r="R18" s="13" t="s">
        <v>39</v>
      </c>
      <c r="S18" s="25" t="n">
        <v>36791</v>
      </c>
      <c r="T18" s="13" t="s">
        <v>108</v>
      </c>
      <c r="U18" s="13" t="s">
        <v>126</v>
      </c>
      <c r="V18" s="13" t="s">
        <v>42</v>
      </c>
      <c r="W18" s="13" t="s">
        <v>43</v>
      </c>
      <c r="X18" s="21" t="n">
        <v>89678398724</v>
      </c>
      <c r="Y18" s="22" t="str">
        <f aca="false">O18</f>
        <v>Produksi - Helper</v>
      </c>
      <c r="Z18" s="13" t="str">
        <f aca="false">IFERROR(__xludf.dummyfunction("if(BJ18="""","""",GOOGLETRANSLATE(BJ18,""auto"",""en""))"),"Production - Helper")</f>
        <v>Production - Helper</v>
      </c>
      <c r="AA18" s="23" t="str">
        <f aca="false">IF(C18="","", CHOOSE(MONTH(C18),"January","February","March","April","May","June","July","August","September","October","November","December")&amp;" "&amp;DAY(C18)&amp;MID("thstndrdth",MIN(9,2*RIGHT(DAY(C18))*(MOD(DAY(C18)-11,100)&gt;2)+1),2)&amp;","&amp;TEXT(C18," yyyy"))</f>
        <v>August 19th,2021</v>
      </c>
      <c r="AB18" s="15" t="str">
        <f aca="true">IF(S18="","",DATEDIF(S18,TODAY(),"Y")&amp;" Tahun, "&amp;DATEDIF(S18,TODAY(),"YM")&amp;" Bulan, "&amp;DATEDIF(S18,TODAY(),"MD")&amp;" Hari")</f>
        <v>26 Tahun, 1 Bulan, 7 Hari</v>
      </c>
      <c r="AC18" s="18" t="n">
        <v>45672</v>
      </c>
      <c r="AD18" s="18" t="n">
        <v>46036</v>
      </c>
      <c r="AE18" s="18" t="s">
        <v>44</v>
      </c>
    </row>
    <row r="19" customFormat="false" ht="15" hidden="false" customHeight="true" outlineLevel="0" collapsed="false">
      <c r="A19" s="12" t="n">
        <v>161</v>
      </c>
      <c r="B19" s="13" t="s">
        <v>127</v>
      </c>
      <c r="C19" s="14" t="n">
        <v>44427</v>
      </c>
      <c r="D19" s="13" t="s">
        <v>101</v>
      </c>
      <c r="E19" s="15" t="s">
        <v>102</v>
      </c>
      <c r="F19" s="15" t="str">
        <f aca="false">IFERROR(__xludf.dummyfunction("XLOOKUP(AJ19,IMPORTRANGE(""1XaInW9DU9nz21V0tYIfzFQ0He9kVQ_JF2mCXgZ3hqFA"",""REKAP ALL 2026 - Andika!G:G""),IMPORTRANGE(""1XaInW9DU9nz21V0tYIfzFQ0He9kVQ_JF2mCXgZ3hqFA"",""REKAP ALL 2026 - Andika!F:F""),"""",0)"),"21039001611")</f>
        <v>21039001611</v>
      </c>
      <c r="G19" s="13" t="s">
        <v>128</v>
      </c>
      <c r="H19" s="13" t="s">
        <v>35</v>
      </c>
      <c r="I19" s="13" t="str">
        <f aca="false">IF(C19=J19,"NEW KONTRAK","RE-KONTRAK")</f>
        <v>RE-KONTRAK</v>
      </c>
      <c r="J19" s="16" t="n">
        <f aca="false" t="array" ref="J19:J19">IFERROR(INDEX(AC19:AE19,IF(COUNTA(AC19:AE19)=0,"",MAX((AC19:AE19&lt;&gt;"")*(COLUMN(AC19:AE19)-(COLUMN(AC19)))))-1),"")</f>
        <v>45672</v>
      </c>
      <c r="K19" s="16" t="n">
        <f aca="false" t="array" ref="K19:K19">IFERROR(INDEX(AC19:AE19,IF(COUNTA(AC19:AE19)=0,"",MAX((AC19:AE19&lt;&gt;"")*(COLUMN(AC19:AE19)-(COLUMN(AC19)-1))))-1),"")</f>
        <v>46036</v>
      </c>
      <c r="L19" s="17" t="str">
        <f aca="false" t="array" ref="L19:L19">IFERROR(INDEX(AC19:AE19,IF(COUNTA(AC19:AE19)=0,"",MAX((AC19:AE19&lt;&gt;"")*(COLUMN(AC19:AE19)-(COLUMN(AC19)-2))))-1),"")</f>
        <v>ARCHIVED</v>
      </c>
      <c r="M19" s="13" t="n">
        <f aca="true">K19-TODAY()</f>
        <v>-288</v>
      </c>
      <c r="N19" s="18" t="s">
        <v>105</v>
      </c>
      <c r="O19" s="13" t="s">
        <v>106</v>
      </c>
      <c r="P19" s="19" t="n">
        <v>132300</v>
      </c>
      <c r="Q19" s="20" t="s">
        <v>129</v>
      </c>
      <c r="R19" s="13" t="s">
        <v>52</v>
      </c>
      <c r="S19" s="25" t="n">
        <v>37164</v>
      </c>
      <c r="T19" s="13" t="s">
        <v>108</v>
      </c>
      <c r="U19" s="13" t="s">
        <v>130</v>
      </c>
      <c r="V19" s="13" t="s">
        <v>42</v>
      </c>
      <c r="W19" s="13" t="s">
        <v>43</v>
      </c>
      <c r="X19" s="21" t="n">
        <v>85885242571</v>
      </c>
      <c r="Y19" s="22" t="str">
        <f aca="false">O19</f>
        <v>Produksi - Helper</v>
      </c>
      <c r="Z19" s="13" t="str">
        <f aca="false">IFERROR(__xludf.dummyfunction("if(BJ19="""","""",GOOGLETRANSLATE(BJ19,""auto"",""en""))"),"Production - Helper")</f>
        <v>Production - Helper</v>
      </c>
      <c r="AA19" s="23" t="str">
        <f aca="false">IF(C19="","", CHOOSE(MONTH(C19),"January","February","March","April","May","June","July","August","September","October","November","December")&amp;" "&amp;DAY(C19)&amp;MID("thstndrdth",MIN(9,2*RIGHT(DAY(C19))*(MOD(DAY(C19)-11,100)&gt;2)+1),2)&amp;","&amp;TEXT(C19," yyyy"))</f>
        <v>August 19th,2021</v>
      </c>
      <c r="AB19" s="15" t="str">
        <f aca="true">IF(S19="","",DATEDIF(S19,TODAY(),"Y")&amp;" Tahun, "&amp;DATEDIF(S19,TODAY(),"YM")&amp;" Bulan, "&amp;DATEDIF(S19,TODAY(),"MD")&amp;" Hari")</f>
        <v>25 Tahun, 0 Bulan, 29 Hari</v>
      </c>
      <c r="AC19" s="18" t="n">
        <v>45672</v>
      </c>
      <c r="AD19" s="18" t="n">
        <v>46036</v>
      </c>
      <c r="AE19" s="18" t="s">
        <v>44</v>
      </c>
    </row>
    <row r="20" customFormat="false" ht="15" hidden="false" customHeight="true" outlineLevel="0" collapsed="false">
      <c r="A20" s="12" t="n">
        <v>162</v>
      </c>
      <c r="B20" s="13" t="s">
        <v>131</v>
      </c>
      <c r="C20" s="14" t="n">
        <v>44427</v>
      </c>
      <c r="D20" s="13" t="s">
        <v>101</v>
      </c>
      <c r="E20" s="15" t="s">
        <v>102</v>
      </c>
      <c r="F20" s="15" t="str">
        <f aca="false">IFERROR(__xludf.dummyfunction("XLOOKUP(AJ20,IMPORTRANGE(""1XaInW9DU9nz21V0tYIfzFQ0He9kVQ_JF2mCXgZ3hqFA"",""REKAP ALL 2026 - Andika!G:G""),IMPORTRANGE(""1XaInW9DU9nz21V0tYIfzFQ0He9kVQ_JF2mCXgZ3hqFA"",""REKAP ALL 2026 - Andika!F:F""),"""",0)"),"21082692845")</f>
        <v>21082692845</v>
      </c>
      <c r="G20" s="13" t="s">
        <v>132</v>
      </c>
      <c r="H20" s="13" t="s">
        <v>35</v>
      </c>
      <c r="I20" s="13" t="str">
        <f aca="false">IF(C20=J20,"NEW KONTRAK","RE-KONTRAK")</f>
        <v>RE-KONTRAK</v>
      </c>
      <c r="J20" s="16" t="n">
        <f aca="false" t="array" ref="J20:J20">IFERROR(INDEX(AC20:AE20,IF(COUNTA(AC20:AE20)=0,"",MAX((AC20:AE20&lt;&gt;"")*(COLUMN(AC20:AE20)-(COLUMN(AC20)))))-1),"")</f>
        <v>45672</v>
      </c>
      <c r="K20" s="16" t="n">
        <f aca="false" t="array" ref="K20:K20">IFERROR(INDEX(AC20:AE20,IF(COUNTA(AC20:AE20)=0,"",MAX((AC20:AE20&lt;&gt;"")*(COLUMN(AC20:AE20)-(COLUMN(AC20)-1))))-1),"")</f>
        <v>46036</v>
      </c>
      <c r="L20" s="17" t="str">
        <f aca="false" t="array" ref="L20:L20">IFERROR(INDEX(AC20:AE20,IF(COUNTA(AC20:AE20)=0,"",MAX((AC20:AE20&lt;&gt;"")*(COLUMN(AC20:AE20)-(COLUMN(AC20)-2))))-1),"")</f>
        <v>ARCHIVED</v>
      </c>
      <c r="M20" s="13" t="n">
        <f aca="true">K20-TODAY()</f>
        <v>-288</v>
      </c>
      <c r="N20" s="18" t="s">
        <v>105</v>
      </c>
      <c r="O20" s="13" t="s">
        <v>106</v>
      </c>
      <c r="P20" s="19" t="n">
        <v>132300</v>
      </c>
      <c r="Q20" s="20" t="s">
        <v>133</v>
      </c>
      <c r="R20" s="13" t="s">
        <v>73</v>
      </c>
      <c r="S20" s="25" t="n">
        <v>37590</v>
      </c>
      <c r="T20" s="13" t="s">
        <v>108</v>
      </c>
      <c r="U20" s="13" t="s">
        <v>134</v>
      </c>
      <c r="V20" s="13" t="s">
        <v>42</v>
      </c>
      <c r="W20" s="13" t="s">
        <v>43</v>
      </c>
      <c r="X20" s="21" t="n">
        <v>85731434723</v>
      </c>
      <c r="Y20" s="22" t="str">
        <f aca="false">O20</f>
        <v>Produksi - Helper</v>
      </c>
      <c r="Z20" s="13" t="str">
        <f aca="false">IFERROR(__xludf.dummyfunction("if(BJ20="""","""",GOOGLETRANSLATE(BJ20,""auto"",""en""))"),"Production - Helper")</f>
        <v>Production - Helper</v>
      </c>
      <c r="AA20" s="23" t="str">
        <f aca="false">IF(C20="","", CHOOSE(MONTH(C20),"January","February","March","April","May","June","July","August","September","October","November","December")&amp;" "&amp;DAY(C20)&amp;MID("thstndrdth",MIN(9,2*RIGHT(DAY(C20))*(MOD(DAY(C20)-11,100)&gt;2)+1),2)&amp;","&amp;TEXT(C20," yyyy"))</f>
        <v>August 19th,2021</v>
      </c>
      <c r="AB20" s="15" t="str">
        <f aca="true">IF(S20="","",DATEDIF(S20,TODAY(),"Y")&amp;" Tahun, "&amp;DATEDIF(S20,TODAY(),"YM")&amp;" Bulan, "&amp;DATEDIF(S20,TODAY(),"MD")&amp;" Hari")</f>
        <v>23 Tahun, 10 Bulan, 29 Hari</v>
      </c>
      <c r="AC20" s="18" t="n">
        <v>45672</v>
      </c>
      <c r="AD20" s="18" t="n">
        <v>46036</v>
      </c>
      <c r="AE20" s="18" t="s">
        <v>44</v>
      </c>
    </row>
    <row r="21" customFormat="false" ht="15" hidden="false" customHeight="true" outlineLevel="0" collapsed="false">
      <c r="A21" s="12" t="n">
        <v>163</v>
      </c>
      <c r="B21" s="13" t="s">
        <v>135</v>
      </c>
      <c r="C21" s="14" t="n">
        <v>44427</v>
      </c>
      <c r="D21" s="13" t="s">
        <v>101</v>
      </c>
      <c r="E21" s="15" t="s">
        <v>102</v>
      </c>
      <c r="F21" s="15" t="str">
        <f aca="false">IFERROR(__xludf.dummyfunction("XLOOKUP(AJ21,IMPORTRANGE(""1XaInW9DU9nz21V0tYIfzFQ0He9kVQ_JF2mCXgZ3hqFA"",""REKAP ALL 2026 - Andika!G:G""),IMPORTRANGE(""1XaInW9DU9nz21V0tYIfzFQ0He9kVQ_JF2mCXgZ3hqFA"",""REKAP ALL 2026 - Andika!F:F""),"""",0)"),"21026258141")</f>
        <v>21026258141</v>
      </c>
      <c r="G21" s="13" t="s">
        <v>136</v>
      </c>
      <c r="H21" s="13" t="s">
        <v>35</v>
      </c>
      <c r="I21" s="13" t="str">
        <f aca="false">IF(C21=J21,"NEW KONTRAK","RE-KONTRAK")</f>
        <v>RE-KONTRAK</v>
      </c>
      <c r="J21" s="16" t="n">
        <f aca="false" t="array" ref="J21:J21">IFERROR(INDEX(AC21:AE21,IF(COUNTA(AC21:AE21)=0,"",MAX((AC21:AE21&lt;&gt;"")*(COLUMN(AC21:AE21)-(COLUMN(AC21)))))-1),"")</f>
        <v>45672</v>
      </c>
      <c r="K21" s="16" t="n">
        <f aca="false" t="array" ref="K21:K21">IFERROR(INDEX(AC21:AE21,IF(COUNTA(AC21:AE21)=0,"",MAX((AC21:AE21&lt;&gt;"")*(COLUMN(AC21:AE21)-(COLUMN(AC21)-1))))-1),"")</f>
        <v>46036</v>
      </c>
      <c r="L21" s="17" t="str">
        <f aca="false" t="array" ref="L21:L21">IFERROR(INDEX(AC21:AE21,IF(COUNTA(AC21:AE21)=0,"",MAX((AC21:AE21&lt;&gt;"")*(COLUMN(AC21:AE21)-(COLUMN(AC21)-2))))-1),"")</f>
        <v>ARCHIVED</v>
      </c>
      <c r="M21" s="13" t="n">
        <f aca="true">K21-TODAY()</f>
        <v>-288</v>
      </c>
      <c r="N21" s="18" t="s">
        <v>105</v>
      </c>
      <c r="O21" s="13" t="s">
        <v>106</v>
      </c>
      <c r="P21" s="19" t="n">
        <v>132300</v>
      </c>
      <c r="Q21" s="20" t="s">
        <v>137</v>
      </c>
      <c r="R21" s="13" t="s">
        <v>39</v>
      </c>
      <c r="S21" s="25" t="n">
        <v>36964</v>
      </c>
      <c r="T21" s="13" t="s">
        <v>108</v>
      </c>
      <c r="U21" s="13" t="s">
        <v>138</v>
      </c>
      <c r="V21" s="13" t="s">
        <v>42</v>
      </c>
      <c r="W21" s="13" t="s">
        <v>43</v>
      </c>
      <c r="X21" s="21" t="n">
        <v>87866201632</v>
      </c>
      <c r="Y21" s="22" t="str">
        <f aca="false">O21</f>
        <v>Produksi - Helper</v>
      </c>
      <c r="Z21" s="13" t="str">
        <f aca="false">IFERROR(__xludf.dummyfunction("if(BJ21="""","""",GOOGLETRANSLATE(BJ21,""auto"",""en""))"),"Production - Helper")</f>
        <v>Production - Helper</v>
      </c>
      <c r="AA21" s="23" t="str">
        <f aca="false">IF(C21="","", CHOOSE(MONTH(C21),"January","February","March","April","May","June","July","August","September","October","November","December")&amp;" "&amp;DAY(C21)&amp;MID("thstndrdth",MIN(9,2*RIGHT(DAY(C21))*(MOD(DAY(C21)-11,100)&gt;2)+1),2)&amp;","&amp;TEXT(C21," yyyy"))</f>
        <v>August 19th,2021</v>
      </c>
      <c r="AB21" s="15" t="str">
        <f aca="true">IF(S21="","",DATEDIF(S21,TODAY(),"Y")&amp;" Tahun, "&amp;DATEDIF(S21,TODAY(),"YM")&amp;" Bulan, "&amp;DATEDIF(S21,TODAY(),"MD")&amp;" Hari")</f>
        <v>25 Tahun, 7 Bulan, 15 Hari</v>
      </c>
      <c r="AC21" s="18" t="n">
        <v>45672</v>
      </c>
      <c r="AD21" s="18" t="n">
        <v>46036</v>
      </c>
      <c r="AE21" s="18" t="s">
        <v>44</v>
      </c>
    </row>
    <row r="22" customFormat="false" ht="15" hidden="false" customHeight="true" outlineLevel="0" collapsed="false">
      <c r="A22" s="12" t="n">
        <v>166</v>
      </c>
      <c r="B22" s="13" t="s">
        <v>139</v>
      </c>
      <c r="C22" s="14" t="n">
        <v>44427</v>
      </c>
      <c r="D22" s="13" t="s">
        <v>101</v>
      </c>
      <c r="E22" s="15" t="s">
        <v>102</v>
      </c>
      <c r="F22" s="15" t="str">
        <f aca="false">IFERROR(__xludf.dummyfunction("XLOOKUP(AJ22,IMPORTRANGE(""1XaInW9DU9nz21V0tYIfzFQ0He9kVQ_JF2mCXgZ3hqFA"",""REKAP ALL 2026 - Andika!G:G""),IMPORTRANGE(""1XaInW9DU9nz21V0tYIfzFQ0He9kVQ_JF2mCXgZ3hqFA"",""REKAP ALL 2026 - Andika!F:F""),"""",0)"),"21082692183")</f>
        <v>21082692183</v>
      </c>
      <c r="G22" s="13" t="s">
        <v>140</v>
      </c>
      <c r="H22" s="13" t="s">
        <v>35</v>
      </c>
      <c r="I22" s="13" t="str">
        <f aca="false">IF(C22=J22,"NEW KONTRAK","RE-KONTRAK")</f>
        <v>RE-KONTRAK</v>
      </c>
      <c r="J22" s="16" t="n">
        <f aca="false" t="array" ref="J22:J22">IFERROR(INDEX(AC22:AE22,IF(COUNTA(AC22:AE22)=0,"",MAX((AC22:AE22&lt;&gt;"")*(COLUMN(AC22:AE22)-(COLUMN(AC22)))))-1),"")</f>
        <v>45672</v>
      </c>
      <c r="K22" s="16" t="n">
        <f aca="false" t="array" ref="K22:K22">IFERROR(INDEX(AC22:AE22,IF(COUNTA(AC22:AE22)=0,"",MAX((AC22:AE22&lt;&gt;"")*(COLUMN(AC22:AE22)-(COLUMN(AC22)-1))))-1),"")</f>
        <v>46036</v>
      </c>
      <c r="L22" s="17" t="str">
        <f aca="false" t="array" ref="L22:L22">IFERROR(INDEX(AC22:AE22,IF(COUNTA(AC22:AE22)=0,"",MAX((AC22:AE22&lt;&gt;"")*(COLUMN(AC22:AE22)-(COLUMN(AC22)-2))))-1),"")</f>
        <v>ARCHIVED</v>
      </c>
      <c r="M22" s="13" t="n">
        <f aca="true">K22-TODAY()</f>
        <v>-288</v>
      </c>
      <c r="N22" s="18" t="s">
        <v>105</v>
      </c>
      <c r="O22" s="13" t="s">
        <v>106</v>
      </c>
      <c r="P22" s="19" t="n">
        <v>132300</v>
      </c>
      <c r="Q22" s="20" t="s">
        <v>141</v>
      </c>
      <c r="R22" s="13" t="s">
        <v>39</v>
      </c>
      <c r="S22" s="25" t="n">
        <v>37356</v>
      </c>
      <c r="T22" s="13" t="s">
        <v>108</v>
      </c>
      <c r="U22" s="13" t="s">
        <v>142</v>
      </c>
      <c r="V22" s="13" t="s">
        <v>42</v>
      </c>
      <c r="W22" s="13" t="s">
        <v>43</v>
      </c>
      <c r="X22" s="21" t="n">
        <v>89668820183</v>
      </c>
      <c r="Y22" s="22" t="str">
        <f aca="false">O22</f>
        <v>Produksi - Helper</v>
      </c>
      <c r="Z22" s="13" t="str">
        <f aca="false">IFERROR(__xludf.dummyfunction("if(BJ22="""","""",GOOGLETRANSLATE(BJ22,""auto"",""en""))"),"Production - Helper")</f>
        <v>Production - Helper</v>
      </c>
      <c r="AA22" s="23" t="str">
        <f aca="false">IF(C22="","", CHOOSE(MONTH(C22),"January","February","March","April","May","June","July","August","September","October","November","December")&amp;" "&amp;DAY(C22)&amp;MID("thstndrdth",MIN(9,2*RIGHT(DAY(C22))*(MOD(DAY(C22)-11,100)&gt;2)+1),2)&amp;","&amp;TEXT(C22," yyyy"))</f>
        <v>August 19th,2021</v>
      </c>
      <c r="AB22" s="15" t="str">
        <f aca="true">IF(S22="","",DATEDIF(S22,TODAY(),"Y")&amp;" Tahun, "&amp;DATEDIF(S22,TODAY(),"YM")&amp;" Bulan, "&amp;DATEDIF(S22,TODAY(),"MD")&amp;" Hari")</f>
        <v>24 Tahun, 6 Bulan, 19 Hari</v>
      </c>
      <c r="AC22" s="18" t="n">
        <v>45672</v>
      </c>
      <c r="AD22" s="18" t="n">
        <v>46036</v>
      </c>
      <c r="AE22" s="18" t="s">
        <v>44</v>
      </c>
    </row>
    <row r="23" customFormat="false" ht="15" hidden="false" customHeight="true" outlineLevel="0" collapsed="false">
      <c r="A23" s="12" t="n">
        <v>191</v>
      </c>
      <c r="B23" s="13" t="s">
        <v>143</v>
      </c>
      <c r="C23" s="14" t="n">
        <v>43064</v>
      </c>
      <c r="D23" s="13" t="s">
        <v>144</v>
      </c>
      <c r="E23" s="15" t="s">
        <v>47</v>
      </c>
      <c r="F23" s="15" t="str">
        <f aca="false">IFERROR(__xludf.dummyfunction("XLOOKUP(AJ23,IMPORTRANGE(""1XaInW9DU9nz21V0tYIfzFQ0He9kVQ_JF2mCXgZ3hqFA"",""REKAP ALL 2026 - Andika!G:G""),IMPORTRANGE(""1XaInW9DU9nz21V0tYIfzFQ0He9kVQ_JF2mCXgZ3hqFA"",""REKAP ALL 2026 - Andika!F:F""),"""",0)"),"18002486274")</f>
        <v>18002486274</v>
      </c>
      <c r="G23" s="13" t="s">
        <v>145</v>
      </c>
      <c r="H23" s="13" t="s">
        <v>35</v>
      </c>
      <c r="I23" s="13" t="str">
        <f aca="false">IF(C23=J23,"NEW KONTRAK","RE-KONTRAK")</f>
        <v>RE-KONTRAK</v>
      </c>
      <c r="J23" s="16" t="n">
        <f aca="false" t="array" ref="J23:J23">IFERROR(INDEX(AC23:AE23,IF(COUNTA(AC23:AE23)=0,"",MAX((AC23:AE23&lt;&gt;"")*(COLUMN(AC23:AE23)-(COLUMN(AC23)))))-1),"")</f>
        <v>45658</v>
      </c>
      <c r="K23" s="16" t="n">
        <f aca="false" t="array" ref="K23:K23">IFERROR(INDEX(AC23:AE23,IF(COUNTA(AC23:AE23)=0,"",MAX((AC23:AE23&lt;&gt;"")*(COLUMN(AC23:AE23)-(COLUMN(AC23)-1))))-1),"")</f>
        <v>46022</v>
      </c>
      <c r="L23" s="17" t="str">
        <f aca="false" t="array" ref="L23:L23">IFERROR(INDEX(AC23:AE23,IF(COUNTA(AC23:AE23)=0,"",MAX((AC23:AE23&lt;&gt;"")*(COLUMN(AC23:AE23)-(COLUMN(AC23)-2))))-1),"")</f>
        <v>ARCHIVED</v>
      </c>
      <c r="M23" s="13" t="n">
        <f aca="true">K23-TODAY()</f>
        <v>-302</v>
      </c>
      <c r="N23" s="18" t="s">
        <v>36</v>
      </c>
      <c r="O23" s="13" t="s">
        <v>146</v>
      </c>
      <c r="P23" s="19" t="n">
        <v>5195401</v>
      </c>
      <c r="Q23" s="20" t="s">
        <v>147</v>
      </c>
      <c r="R23" s="13" t="s">
        <v>148</v>
      </c>
      <c r="S23" s="14" t="n">
        <v>34923</v>
      </c>
      <c r="T23" s="13" t="s">
        <v>40</v>
      </c>
      <c r="U23" s="13" t="s">
        <v>149</v>
      </c>
      <c r="V23" s="13" t="s">
        <v>42</v>
      </c>
      <c r="W23" s="13" t="s">
        <v>54</v>
      </c>
      <c r="X23" s="21" t="n">
        <v>85751831563</v>
      </c>
      <c r="Y23" s="22" t="str">
        <f aca="false">O23</f>
        <v>Enamel</v>
      </c>
      <c r="Z23" s="13" t="str">
        <f aca="false">IFERROR(__xludf.dummyfunction("if(BJ23="""","""",GOOGLETRANSLATE(BJ23,""auto"",""en""))"),"Enamel")</f>
        <v>Enamel</v>
      </c>
      <c r="AA23" s="23" t="str">
        <f aca="false">IF(C23="","", CHOOSE(MONTH(C23),"January","February","March","April","May","June","July","August","September","October","November","December")&amp;" "&amp;DAY(C23)&amp;MID("thstndrdth",MIN(9,2*RIGHT(DAY(C23))*(MOD(DAY(C23)-11,100)&gt;2)+1),2)&amp;","&amp;TEXT(C23," yyyy"))</f>
        <v>November 25th,2017</v>
      </c>
      <c r="AB23" s="15" t="str">
        <f aca="true">IF(S23="","",DATEDIF(S23,TODAY(),"Y")&amp;" Tahun, "&amp;DATEDIF(S23,TODAY(),"YM")&amp;" Bulan, "&amp;DATEDIF(S23,TODAY(),"MD")&amp;" Hari")</f>
        <v>31 Tahun, 2 Bulan, 17 Hari</v>
      </c>
      <c r="AC23" s="18" t="n">
        <v>45658</v>
      </c>
      <c r="AD23" s="18" t="n">
        <v>46022</v>
      </c>
      <c r="AE23" s="18" t="s">
        <v>44</v>
      </c>
    </row>
    <row r="24" customFormat="false" ht="15" hidden="false" customHeight="true" outlineLevel="0" collapsed="false">
      <c r="A24" s="12" t="n">
        <v>196</v>
      </c>
      <c r="B24" s="13" t="s">
        <v>150</v>
      </c>
      <c r="C24" s="14" t="n">
        <v>43171</v>
      </c>
      <c r="D24" s="13" t="s">
        <v>144</v>
      </c>
      <c r="E24" s="15" t="s">
        <v>47</v>
      </c>
      <c r="F24" s="15" t="str">
        <f aca="false">IFERROR(__xludf.dummyfunction("XLOOKUP(AJ24,IMPORTRANGE(""1XaInW9DU9nz21V0tYIfzFQ0He9kVQ_JF2mCXgZ3hqFA"",""REKAP ALL 2026 - Andika!G:G""),IMPORTRANGE(""1XaInW9DU9nz21V0tYIfzFQ0He9kVQ_JF2mCXgZ3hqFA"",""REKAP ALL 2026 - Andika!F:F""),"""",0)"),"18059506321")</f>
        <v>18059506321</v>
      </c>
      <c r="G24" s="13" t="s">
        <v>151</v>
      </c>
      <c r="H24" s="13" t="s">
        <v>35</v>
      </c>
      <c r="I24" s="13" t="str">
        <f aca="false">IF(C24=J24,"NEW KONTRAK","RE-KONTRAK")</f>
        <v>RE-KONTRAK</v>
      </c>
      <c r="J24" s="16" t="n">
        <f aca="false" t="array" ref="J24:J24">IFERROR(INDEX(AC24:AE24,IF(COUNTA(AC24:AE24)=0,"",MAX((AC24:AE24&lt;&gt;"")*(COLUMN(AC24:AE24)-(COLUMN(AC24)))))-1),"")</f>
        <v>45658</v>
      </c>
      <c r="K24" s="16" t="n">
        <f aca="false" t="array" ref="K24:K24">IFERROR(INDEX(AC24:AE24,IF(COUNTA(AC24:AE24)=0,"",MAX((AC24:AE24&lt;&gt;"")*(COLUMN(AC24:AE24)-(COLUMN(AC24)-1))))-1),"")</f>
        <v>46022</v>
      </c>
      <c r="L24" s="17" t="str">
        <f aca="false" t="array" ref="L24:L24">IFERROR(INDEX(AC24:AE24,IF(COUNTA(AC24:AE24)=0,"",MAX((AC24:AE24&lt;&gt;"")*(COLUMN(AC24:AE24)-(COLUMN(AC24)-2))))-1),"")</f>
        <v>ARCHIVED</v>
      </c>
      <c r="M24" s="13" t="n">
        <f aca="true">K24-TODAY()</f>
        <v>-302</v>
      </c>
      <c r="N24" s="18" t="s">
        <v>36</v>
      </c>
      <c r="O24" s="13" t="s">
        <v>146</v>
      </c>
      <c r="P24" s="19" t="n">
        <v>5195401</v>
      </c>
      <c r="Q24" s="20" t="s">
        <v>152</v>
      </c>
      <c r="R24" s="13" t="s">
        <v>78</v>
      </c>
      <c r="S24" s="14" t="n">
        <v>33970</v>
      </c>
      <c r="T24" s="13" t="s">
        <v>40</v>
      </c>
      <c r="U24" s="13" t="s">
        <v>153</v>
      </c>
      <c r="V24" s="13" t="s">
        <v>42</v>
      </c>
      <c r="W24" s="13" t="s">
        <v>43</v>
      </c>
      <c r="X24" s="21" t="n">
        <v>81353502887</v>
      </c>
      <c r="Y24" s="22" t="str">
        <f aca="false">O24</f>
        <v>Enamel</v>
      </c>
      <c r="Z24" s="13" t="str">
        <f aca="false">IFERROR(__xludf.dummyfunction("if(BJ24="""","""",GOOGLETRANSLATE(BJ24,""auto"",""en""))"),"Enamel")</f>
        <v>Enamel</v>
      </c>
      <c r="AA24" s="23" t="str">
        <f aca="false">IF(C24="","", CHOOSE(MONTH(C24),"January","February","March","April","May","June","July","August","September","October","November","December")&amp;" "&amp;DAY(C24)&amp;MID("thstndrdth",MIN(9,2*RIGHT(DAY(C24))*(MOD(DAY(C24)-11,100)&gt;2)+1),2)&amp;","&amp;TEXT(C24," yyyy"))</f>
        <v>March 12th,2018</v>
      </c>
      <c r="AB24" s="15" t="str">
        <f aca="true">IF(S24="","",DATEDIF(S24,TODAY(),"Y")&amp;" Tahun, "&amp;DATEDIF(S24,TODAY(),"YM")&amp;" Bulan, "&amp;DATEDIF(S24,TODAY(),"MD")&amp;" Hari")</f>
        <v>33 Tahun, 9 Bulan, 28 Hari</v>
      </c>
      <c r="AC24" s="18" t="n">
        <v>45658</v>
      </c>
      <c r="AD24" s="18" t="n">
        <v>46022</v>
      </c>
      <c r="AE24" s="18" t="s">
        <v>44</v>
      </c>
    </row>
    <row r="25" customFormat="false" ht="15" hidden="false" customHeight="true" outlineLevel="0" collapsed="false">
      <c r="A25" s="12" t="n">
        <v>197</v>
      </c>
      <c r="B25" s="13" t="s">
        <v>154</v>
      </c>
      <c r="C25" s="14" t="n">
        <v>43064</v>
      </c>
      <c r="D25" s="13" t="s">
        <v>144</v>
      </c>
      <c r="E25" s="15" t="s">
        <v>102</v>
      </c>
      <c r="F25" s="15" t="str">
        <f aca="false">IFERROR(__xludf.dummyfunction("XLOOKUP(AJ25,IMPORTRANGE(""1XaInW9DU9nz21V0tYIfzFQ0He9kVQ_JF2mCXgZ3hqFA"",""REKAP ALL 2026 - Andika!G:G""),IMPORTRANGE(""1XaInW9DU9nz21V0tYIfzFQ0He9kVQ_JF2mCXgZ3hqFA"",""REKAP ALL 2026 - Andika!F:F""),"""",0)"),"18002486365")</f>
        <v>18002486365</v>
      </c>
      <c r="G25" s="13" t="s">
        <v>155</v>
      </c>
      <c r="H25" s="13" t="s">
        <v>35</v>
      </c>
      <c r="I25" s="13" t="str">
        <f aca="false">IF(C25=J25,"NEW KONTRAK","RE-KONTRAK")</f>
        <v>RE-KONTRAK</v>
      </c>
      <c r="J25" s="16" t="n">
        <f aca="false" t="array" ref="J25:J25">IFERROR(INDEX(AC25:AE25,IF(COUNTA(AC25:AE25)=0,"",MAX((AC25:AE25&lt;&gt;"")*(COLUMN(AC25:AE25)-(COLUMN(AC25)))))-1),"")</f>
        <v>45658</v>
      </c>
      <c r="K25" s="16" t="n">
        <f aca="false" t="array" ref="K25:K25">IFERROR(INDEX(AC25:AE25,IF(COUNTA(AC25:AE25)=0,"",MAX((AC25:AE25&lt;&gt;"")*(COLUMN(AC25:AE25)-(COLUMN(AC25)-1))))-1),"")</f>
        <v>46022</v>
      </c>
      <c r="L25" s="17" t="str">
        <f aca="false" t="array" ref="L25:L25">IFERROR(INDEX(AC25:AE25,IF(COUNTA(AC25:AE25)=0,"",MAX((AC25:AE25&lt;&gt;"")*(COLUMN(AC25:AE25)-(COLUMN(AC25)-2))))-1),"")</f>
        <v>ARCHIVED</v>
      </c>
      <c r="M25" s="13" t="n">
        <f aca="true">K25-TODAY()</f>
        <v>-302</v>
      </c>
      <c r="N25" s="18" t="s">
        <v>36</v>
      </c>
      <c r="O25" s="13" t="s">
        <v>156</v>
      </c>
      <c r="P25" s="19" t="n">
        <v>5195401</v>
      </c>
      <c r="Q25" s="20" t="s">
        <v>157</v>
      </c>
      <c r="R25" s="13" t="s">
        <v>65</v>
      </c>
      <c r="S25" s="14" t="n">
        <v>34303</v>
      </c>
      <c r="T25" s="13" t="s">
        <v>40</v>
      </c>
      <c r="U25" s="13" t="s">
        <v>158</v>
      </c>
      <c r="V25" s="13" t="s">
        <v>42</v>
      </c>
      <c r="W25" s="13" t="s">
        <v>54</v>
      </c>
      <c r="X25" s="21" t="n">
        <v>82119451995</v>
      </c>
      <c r="Y25" s="22" t="str">
        <f aca="false">O25</f>
        <v>Emulsion</v>
      </c>
      <c r="Z25" s="13" t="str">
        <f aca="false">IFERROR(__xludf.dummyfunction("if(BJ25="""","""",GOOGLETRANSLATE(BJ25,""auto"",""en""))"),"Emulsion")</f>
        <v>Emulsion</v>
      </c>
      <c r="AA25" s="23" t="str">
        <f aca="false">IF(C25="","", CHOOSE(MONTH(C25),"January","February","March","April","May","June","July","August","September","October","November","December")&amp;" "&amp;DAY(C25)&amp;MID("thstndrdth",MIN(9,2*RIGHT(DAY(C25))*(MOD(DAY(C25)-11,100)&gt;2)+1),2)&amp;","&amp;TEXT(C25," yyyy"))</f>
        <v>November 25th,2017</v>
      </c>
      <c r="AB25" s="15" t="str">
        <f aca="true">IF(S25="","",DATEDIF(S25,TODAY(),"Y")&amp;" Tahun, "&amp;DATEDIF(S25,TODAY(),"YM")&amp;" Bulan, "&amp;DATEDIF(S25,TODAY(),"MD")&amp;" Hari")</f>
        <v>32 Tahun, 10 Bulan, 29 Hari</v>
      </c>
      <c r="AC25" s="18" t="n">
        <v>45658</v>
      </c>
      <c r="AD25" s="18" t="n">
        <v>46022</v>
      </c>
      <c r="AE25" s="18" t="s">
        <v>44</v>
      </c>
    </row>
    <row r="26" customFormat="false" ht="15" hidden="false" customHeight="true" outlineLevel="0" collapsed="false">
      <c r="A26" s="12" t="n">
        <v>198</v>
      </c>
      <c r="B26" s="13" t="s">
        <v>159</v>
      </c>
      <c r="C26" s="14" t="n">
        <v>43064</v>
      </c>
      <c r="D26" s="13" t="s">
        <v>144</v>
      </c>
      <c r="E26" s="15" t="s">
        <v>47</v>
      </c>
      <c r="F26" s="15" t="str">
        <f aca="false">IFERROR(__xludf.dummyfunction("XLOOKUP(AJ26,IMPORTRANGE(""1XaInW9DU9nz21V0tYIfzFQ0He9kVQ_JF2mCXgZ3hqFA"",""REKAP ALL 2026 - Andika!G:G""),IMPORTRANGE(""1XaInW9DU9nz21V0tYIfzFQ0He9kVQ_JF2mCXgZ3hqFA"",""REKAP ALL 2026 - Andika!F:F""),"""",0)"),"18002486373")</f>
        <v>18002486373</v>
      </c>
      <c r="G26" s="13" t="s">
        <v>160</v>
      </c>
      <c r="H26" s="13" t="s">
        <v>35</v>
      </c>
      <c r="I26" s="13" t="str">
        <f aca="false">IF(C26=J26,"NEW KONTRAK","RE-KONTRAK")</f>
        <v>RE-KONTRAK</v>
      </c>
      <c r="J26" s="16" t="n">
        <f aca="false" t="array" ref="J26:J26">IFERROR(INDEX(AC26:AE26,IF(COUNTA(AC26:AE26)=0,"",MAX((AC26:AE26&lt;&gt;"")*(COLUMN(AC26:AE26)-(COLUMN(AC26)))))-1),"")</f>
        <v>45658</v>
      </c>
      <c r="K26" s="16" t="n">
        <f aca="false" t="array" ref="K26:K26">IFERROR(INDEX(AC26:AE26,IF(COUNTA(AC26:AE26)=0,"",MAX((AC26:AE26&lt;&gt;"")*(COLUMN(AC26:AE26)-(COLUMN(AC26)-1))))-1),"")</f>
        <v>46022</v>
      </c>
      <c r="L26" s="17" t="str">
        <f aca="false" t="array" ref="L26:L26">IFERROR(INDEX(AC26:AE26,IF(COUNTA(AC26:AE26)=0,"",MAX((AC26:AE26&lt;&gt;"")*(COLUMN(AC26:AE26)-(COLUMN(AC26)-2))))-1),"")</f>
        <v>ARCHIVED</v>
      </c>
      <c r="M26" s="13" t="n">
        <f aca="true">K26-TODAY()</f>
        <v>-302</v>
      </c>
      <c r="N26" s="18" t="s">
        <v>36</v>
      </c>
      <c r="O26" s="13" t="s">
        <v>161</v>
      </c>
      <c r="P26" s="19" t="n">
        <v>5195401</v>
      </c>
      <c r="Q26" s="20" t="s">
        <v>162</v>
      </c>
      <c r="R26" s="13" t="s">
        <v>52</v>
      </c>
      <c r="S26" s="14" t="n">
        <v>32470</v>
      </c>
      <c r="T26" s="13" t="s">
        <v>40</v>
      </c>
      <c r="U26" s="13" t="s">
        <v>163</v>
      </c>
      <c r="V26" s="13" t="s">
        <v>42</v>
      </c>
      <c r="W26" s="13" t="s">
        <v>54</v>
      </c>
      <c r="X26" s="21" t="n">
        <v>83144436608</v>
      </c>
      <c r="Y26" s="22" t="str">
        <f aca="false">O26</f>
        <v>RM Store</v>
      </c>
      <c r="Z26" s="13" t="str">
        <f aca="false">IFERROR(__xludf.dummyfunction("if(BJ26="""","""",GOOGLETRANSLATE(BJ26,""auto"",""en""))"),"RM Store")</f>
        <v>RM Store</v>
      </c>
      <c r="AA26" s="23" t="str">
        <f aca="false">IF(C26="","", CHOOSE(MONTH(C26),"January","February","March","April","May","June","July","August","September","October","November","December")&amp;" "&amp;DAY(C26)&amp;MID("thstndrdth",MIN(9,2*RIGHT(DAY(C26))*(MOD(DAY(C26)-11,100)&gt;2)+1),2)&amp;","&amp;TEXT(C26," yyyy"))</f>
        <v>November 25th,2017</v>
      </c>
      <c r="AB26" s="15" t="str">
        <f aca="true">IF(S26="","",DATEDIF(S26,TODAY(),"Y")&amp;" Tahun, "&amp;DATEDIF(S26,TODAY(),"YM")&amp;" Bulan, "&amp;DATEDIF(S26,TODAY(),"MD")&amp;" Hari")</f>
        <v>37 Tahun, 11 Bulan, 6 Hari</v>
      </c>
      <c r="AC26" s="18" t="n">
        <v>45658</v>
      </c>
      <c r="AD26" s="18" t="n">
        <v>46022</v>
      </c>
      <c r="AE26" s="18" t="s">
        <v>44</v>
      </c>
    </row>
    <row r="27" customFormat="false" ht="15" hidden="false" customHeight="true" outlineLevel="0" collapsed="false">
      <c r="A27" s="12" t="n">
        <v>200</v>
      </c>
      <c r="B27" s="13" t="s">
        <v>164</v>
      </c>
      <c r="C27" s="14" t="n">
        <v>43064</v>
      </c>
      <c r="D27" s="13" t="s">
        <v>144</v>
      </c>
      <c r="E27" s="15" t="s">
        <v>33</v>
      </c>
      <c r="F27" s="24" t="s">
        <v>165</v>
      </c>
      <c r="G27" s="13" t="s">
        <v>166</v>
      </c>
      <c r="H27" s="13" t="s">
        <v>35</v>
      </c>
      <c r="I27" s="13" t="str">
        <f aca="false">IF(C27=J27,"NEW KONTRAK","RE-KONTRAK")</f>
        <v>RE-KONTRAK</v>
      </c>
      <c r="J27" s="16" t="n">
        <f aca="false" t="array" ref="J27:J27">IFERROR(INDEX(AC27:AE27,IF(COUNTA(AC27:AE27)=0,"",MAX((AC27:AE27&lt;&gt;"")*(COLUMN(AC27:AE27)-(COLUMN(AC27)))))-1),"")</f>
        <v>45658</v>
      </c>
      <c r="K27" s="16" t="n">
        <f aca="false" t="array" ref="K27:K27">IFERROR(INDEX(AC27:AE27,IF(COUNTA(AC27:AE27)=0,"",MAX((AC27:AE27&lt;&gt;"")*(COLUMN(AC27:AE27)-(COLUMN(AC27)-1))))-1),"")</f>
        <v>46022</v>
      </c>
      <c r="L27" s="17" t="str">
        <f aca="false" t="array" ref="L27:L27">IFERROR(INDEX(AC27:AE27,IF(COUNTA(AC27:AE27)=0,"",MAX((AC27:AE27&lt;&gt;"")*(COLUMN(AC27:AE27)-(COLUMN(AC27)-2))))-1),"")</f>
        <v>ARCHIVED</v>
      </c>
      <c r="M27" s="13" t="n">
        <f aca="true">K27-TODAY()</f>
        <v>-302</v>
      </c>
      <c r="N27" s="18" t="s">
        <v>36</v>
      </c>
      <c r="O27" s="13" t="s">
        <v>146</v>
      </c>
      <c r="P27" s="19" t="n">
        <v>5195401</v>
      </c>
      <c r="Q27" s="20" t="s">
        <v>167</v>
      </c>
      <c r="R27" s="13" t="s">
        <v>168</v>
      </c>
      <c r="S27" s="14" t="n">
        <v>34155</v>
      </c>
      <c r="T27" s="13" t="s">
        <v>40</v>
      </c>
      <c r="U27" s="13" t="s">
        <v>169</v>
      </c>
      <c r="V27" s="13" t="s">
        <v>42</v>
      </c>
      <c r="W27" s="13" t="s">
        <v>54</v>
      </c>
      <c r="X27" s="21" t="n">
        <v>85854867080</v>
      </c>
      <c r="Y27" s="22" t="str">
        <f aca="false">O27</f>
        <v>Enamel</v>
      </c>
      <c r="Z27" s="13" t="str">
        <f aca="false">IFERROR(__xludf.dummyfunction("if(BJ27="""","""",GOOGLETRANSLATE(BJ27,""auto"",""en""))"),"Enamel")</f>
        <v>Enamel</v>
      </c>
      <c r="AA27" s="23" t="str">
        <f aca="false">IF(C27="","", CHOOSE(MONTH(C27),"January","February","March","April","May","June","July","August","September","October","November","December")&amp;" "&amp;DAY(C27)&amp;MID("thstndrdth",MIN(9,2*RIGHT(DAY(C27))*(MOD(DAY(C27)-11,100)&gt;2)+1),2)&amp;","&amp;TEXT(C27," yyyy"))</f>
        <v>November 25th,2017</v>
      </c>
      <c r="AB27" s="15" t="str">
        <f aca="true">IF(S27="","",DATEDIF(S27,TODAY(),"Y")&amp;" Tahun, "&amp;DATEDIF(S27,TODAY(),"YM")&amp;" Bulan, "&amp;DATEDIF(S27,TODAY(),"MD")&amp;" Hari")</f>
        <v>33 Tahun, 3 Bulan, 24 Hari</v>
      </c>
      <c r="AC27" s="18" t="n">
        <v>45658</v>
      </c>
      <c r="AD27" s="18" t="n">
        <v>46022</v>
      </c>
      <c r="AE27" s="18" t="s">
        <v>44</v>
      </c>
    </row>
    <row r="28" customFormat="false" ht="15" hidden="false" customHeight="true" outlineLevel="0" collapsed="false">
      <c r="A28" s="12" t="n">
        <v>201</v>
      </c>
      <c r="B28" s="13" t="s">
        <v>170</v>
      </c>
      <c r="C28" s="14" t="n">
        <v>43064</v>
      </c>
      <c r="D28" s="13" t="s">
        <v>144</v>
      </c>
      <c r="E28" s="15" t="s">
        <v>47</v>
      </c>
      <c r="F28" s="24" t="s">
        <v>171</v>
      </c>
      <c r="G28" s="13" t="s">
        <v>172</v>
      </c>
      <c r="H28" s="13" t="s">
        <v>35</v>
      </c>
      <c r="I28" s="13" t="str">
        <f aca="false">IF(C28=J28,"NEW KONTRAK","RE-KONTRAK")</f>
        <v>RE-KONTRAK</v>
      </c>
      <c r="J28" s="16" t="n">
        <f aca="false" t="array" ref="J28:J28">IFERROR(INDEX(AC28:AE28,IF(COUNTA(AC28:AE28)=0,"",MAX((AC28:AE28&lt;&gt;"")*(COLUMN(AC28:AE28)-(COLUMN(AC28)))))-1),"")</f>
        <v>45658</v>
      </c>
      <c r="K28" s="16" t="n">
        <f aca="false" t="array" ref="K28:K28">IFERROR(INDEX(AC28:AE28,IF(COUNTA(AC28:AE28)=0,"",MAX((AC28:AE28&lt;&gt;"")*(COLUMN(AC28:AE28)-(COLUMN(AC28)-1))))-1),"")</f>
        <v>46022</v>
      </c>
      <c r="L28" s="17" t="str">
        <f aca="false" t="array" ref="L28:L28">IFERROR(INDEX(AC28:AE28,IF(COUNTA(AC28:AE28)=0,"",MAX((AC28:AE28&lt;&gt;"")*(COLUMN(AC28:AE28)-(COLUMN(AC28)-2))))-1),"")</f>
        <v>ARCHIVED</v>
      </c>
      <c r="M28" s="13" t="n">
        <f aca="true">K28-TODAY()</f>
        <v>-302</v>
      </c>
      <c r="N28" s="18" t="s">
        <v>36</v>
      </c>
      <c r="O28" s="13" t="s">
        <v>173</v>
      </c>
      <c r="P28" s="19" t="n">
        <v>5195401</v>
      </c>
      <c r="Q28" s="20" t="s">
        <v>174</v>
      </c>
      <c r="R28" s="13" t="s">
        <v>52</v>
      </c>
      <c r="S28" s="14" t="n">
        <v>34482</v>
      </c>
      <c r="T28" s="13" t="s">
        <v>40</v>
      </c>
      <c r="U28" s="13" t="s">
        <v>175</v>
      </c>
      <c r="V28" s="13" t="s">
        <v>42</v>
      </c>
      <c r="W28" s="13" t="s">
        <v>54</v>
      </c>
      <c r="X28" s="21" t="n">
        <v>85859694546</v>
      </c>
      <c r="Y28" s="22" t="str">
        <f aca="false">O28</f>
        <v>Office</v>
      </c>
      <c r="Z28" s="13" t="str">
        <f aca="false">IFERROR(__xludf.dummyfunction("if(BJ28="""","""",GOOGLETRANSLATE(BJ28,""auto"",""en""))"),"Office")</f>
        <v>Office</v>
      </c>
      <c r="AA28" s="23" t="str">
        <f aca="false">IF(C28="","", CHOOSE(MONTH(C28),"January","February","March","April","May","June","July","August","September","October","November","December")&amp;" "&amp;DAY(C28)&amp;MID("thstndrdth",MIN(9,2*RIGHT(DAY(C28))*(MOD(DAY(C28)-11,100)&gt;2)+1),2)&amp;","&amp;TEXT(C28," yyyy"))</f>
        <v>November 25th,2017</v>
      </c>
      <c r="AB28" s="15" t="str">
        <f aca="true">IF(S28="","",DATEDIF(S28,TODAY(),"Y")&amp;" Tahun, "&amp;DATEDIF(S28,TODAY(),"YM")&amp;" Bulan, "&amp;DATEDIF(S28,TODAY(),"MD")&amp;" Hari")</f>
        <v>32 Tahun, 5 Bulan, 1 Hari</v>
      </c>
      <c r="AC28" s="18" t="n">
        <v>45658</v>
      </c>
      <c r="AD28" s="18" t="n">
        <v>46022</v>
      </c>
      <c r="AE28" s="18" t="s">
        <v>44</v>
      </c>
    </row>
    <row r="29" customFormat="false" ht="15" hidden="false" customHeight="true" outlineLevel="0" collapsed="false">
      <c r="A29" s="12" t="n">
        <v>202</v>
      </c>
      <c r="B29" s="13" t="s">
        <v>176</v>
      </c>
      <c r="C29" s="14" t="n">
        <v>43064</v>
      </c>
      <c r="D29" s="13" t="s">
        <v>144</v>
      </c>
      <c r="E29" s="15" t="s">
        <v>47</v>
      </c>
      <c r="F29" s="15" t="str">
        <f aca="false">IFERROR(__xludf.dummyfunction("XLOOKUP(AJ29,IMPORTRANGE(""1XaInW9DU9nz21V0tYIfzFQ0He9kVQ_JF2mCXgZ3hqFA"",""REKAP ALL 2026 - Andika!G:G""),IMPORTRANGE(""1XaInW9DU9nz21V0tYIfzFQ0He9kVQ_JF2mCXgZ3hqFA"",""REKAP ALL 2026 - Andika!F:F""),"""",0)"),"18002486423")</f>
        <v>18002486423</v>
      </c>
      <c r="G29" s="13" t="s">
        <v>177</v>
      </c>
      <c r="H29" s="13" t="s">
        <v>35</v>
      </c>
      <c r="I29" s="13" t="str">
        <f aca="false">IF(C29=J29,"NEW KONTRAK","RE-KONTRAK")</f>
        <v>RE-KONTRAK</v>
      </c>
      <c r="J29" s="16" t="n">
        <f aca="false" t="array" ref="J29:J29">IFERROR(INDEX(AC29:AE29,IF(COUNTA(AC29:AE29)=0,"",MAX((AC29:AE29&lt;&gt;"")*(COLUMN(AC29:AE29)-(COLUMN(AC29)))))-1),"")</f>
        <v>45658</v>
      </c>
      <c r="K29" s="16" t="n">
        <f aca="false" t="array" ref="K29:K29">IFERROR(INDEX(AC29:AE29,IF(COUNTA(AC29:AE29)=0,"",MAX((AC29:AE29&lt;&gt;"")*(COLUMN(AC29:AE29)-(COLUMN(AC29)-1))))-1),"")</f>
        <v>46022</v>
      </c>
      <c r="L29" s="17" t="str">
        <f aca="false" t="array" ref="L29:L29">IFERROR(INDEX(AC29:AE29,IF(COUNTA(AC29:AE29)=0,"",MAX((AC29:AE29&lt;&gt;"")*(COLUMN(AC29:AE29)-(COLUMN(AC29)-2))))-1),"")</f>
        <v>ARCHIVED</v>
      </c>
      <c r="M29" s="13" t="n">
        <f aca="true">K29-TODAY()</f>
        <v>-302</v>
      </c>
      <c r="N29" s="18" t="s">
        <v>36</v>
      </c>
      <c r="O29" s="13" t="s">
        <v>156</v>
      </c>
      <c r="P29" s="19" t="n">
        <v>5195401</v>
      </c>
      <c r="Q29" s="20" t="s">
        <v>178</v>
      </c>
      <c r="R29" s="13" t="s">
        <v>179</v>
      </c>
      <c r="S29" s="14" t="n">
        <v>30229</v>
      </c>
      <c r="T29" s="13" t="s">
        <v>40</v>
      </c>
      <c r="U29" s="13" t="s">
        <v>180</v>
      </c>
      <c r="V29" s="13" t="s">
        <v>42</v>
      </c>
      <c r="W29" s="13" t="s">
        <v>54</v>
      </c>
      <c r="X29" s="21" t="n">
        <v>81232564690</v>
      </c>
      <c r="Y29" s="22" t="str">
        <f aca="false">O29</f>
        <v>Emulsion</v>
      </c>
      <c r="Z29" s="13" t="str">
        <f aca="false">IFERROR(__xludf.dummyfunction("if(BJ29="""","""",GOOGLETRANSLATE(BJ29,""auto"",""en""))"),"Emulsion")</f>
        <v>Emulsion</v>
      </c>
      <c r="AA29" s="23" t="str">
        <f aca="false">IF(C29="","", CHOOSE(MONTH(C29),"January","February","March","April","May","June","July","August","September","October","November","December")&amp;" "&amp;DAY(C29)&amp;MID("thstndrdth",MIN(9,2*RIGHT(DAY(C29))*(MOD(DAY(C29)-11,100)&gt;2)+1),2)&amp;","&amp;TEXT(C29," yyyy"))</f>
        <v>November 25th,2017</v>
      </c>
      <c r="AB29" s="15" t="str">
        <f aca="true">IF(S29="","",DATEDIF(S29,TODAY(),"Y")&amp;" Tahun, "&amp;DATEDIF(S29,TODAY(),"YM")&amp;" Bulan, "&amp;DATEDIF(S29,TODAY(),"MD")&amp;" Hari")</f>
        <v>44 Tahun, 0 Bulan, 24 Hari</v>
      </c>
      <c r="AC29" s="18" t="n">
        <v>45658</v>
      </c>
      <c r="AD29" s="18" t="n">
        <v>46022</v>
      </c>
      <c r="AE29" s="18" t="s">
        <v>44</v>
      </c>
    </row>
    <row r="30" customFormat="false" ht="15" hidden="false" customHeight="true" outlineLevel="0" collapsed="false">
      <c r="A30" s="12" t="n">
        <v>203</v>
      </c>
      <c r="B30" s="13" t="s">
        <v>181</v>
      </c>
      <c r="C30" s="14" t="n">
        <v>43064</v>
      </c>
      <c r="D30" s="13" t="s">
        <v>144</v>
      </c>
      <c r="E30" s="15" t="s">
        <v>33</v>
      </c>
      <c r="F30" s="15" t="str">
        <f aca="false">IFERROR(__xludf.dummyfunction("XLOOKUP(AJ30,IMPORTRANGE(""1XaInW9DU9nz21V0tYIfzFQ0He9kVQ_JF2mCXgZ3hqFA"",""REKAP ALL 2026 - Andika!G:G""),IMPORTRANGE(""1XaInW9DU9nz21V0tYIfzFQ0He9kVQ_JF2mCXgZ3hqFA"",""REKAP ALL 2026 - Andika!F:F""),"""",0)"),"18002486431")</f>
        <v>18002486431</v>
      </c>
      <c r="G30" s="13" t="s">
        <v>182</v>
      </c>
      <c r="H30" s="13" t="s">
        <v>35</v>
      </c>
      <c r="I30" s="13" t="str">
        <f aca="false">IF(C30=J30,"NEW KONTRAK","RE-KONTRAK")</f>
        <v>RE-KONTRAK</v>
      </c>
      <c r="J30" s="16" t="n">
        <f aca="false" t="array" ref="J30:J30">IFERROR(INDEX(AC30:AE30,IF(COUNTA(AC30:AE30)=0,"",MAX((AC30:AE30&lt;&gt;"")*(COLUMN(AC30:AE30)-(COLUMN(AC30)))))-1),"")</f>
        <v>45658</v>
      </c>
      <c r="K30" s="16" t="n">
        <f aca="false" t="array" ref="K30:K30">IFERROR(INDEX(AC30:AE30,IF(COUNTA(AC30:AE30)=0,"",MAX((AC30:AE30&lt;&gt;"")*(COLUMN(AC30:AE30)-(COLUMN(AC30)-1))))-1),"")</f>
        <v>46022</v>
      </c>
      <c r="L30" s="17" t="str">
        <f aca="false" t="array" ref="L30:L30">IFERROR(INDEX(AC30:AE30,IF(COUNTA(AC30:AE30)=0,"",MAX((AC30:AE30&lt;&gt;"")*(COLUMN(AC30:AE30)-(COLUMN(AC30)-2))))-1),"")</f>
        <v>ARCHIVED</v>
      </c>
      <c r="M30" s="13" t="n">
        <f aca="true">K30-TODAY()</f>
        <v>-302</v>
      </c>
      <c r="N30" s="18" t="s">
        <v>36</v>
      </c>
      <c r="O30" s="13" t="s">
        <v>146</v>
      </c>
      <c r="P30" s="19" t="n">
        <v>5195401</v>
      </c>
      <c r="Q30" s="20" t="s">
        <v>183</v>
      </c>
      <c r="R30" s="13" t="s">
        <v>60</v>
      </c>
      <c r="S30" s="14" t="n">
        <v>35670</v>
      </c>
      <c r="T30" s="13" t="s">
        <v>40</v>
      </c>
      <c r="U30" s="13" t="s">
        <v>184</v>
      </c>
      <c r="V30" s="13" t="s">
        <v>42</v>
      </c>
      <c r="W30" s="13" t="s">
        <v>54</v>
      </c>
      <c r="X30" s="21" t="n">
        <v>81515473208</v>
      </c>
      <c r="Y30" s="22" t="str">
        <f aca="false">O30</f>
        <v>Enamel</v>
      </c>
      <c r="Z30" s="13" t="str">
        <f aca="false">IFERROR(__xludf.dummyfunction("if(BJ30="""","""",GOOGLETRANSLATE(BJ30,""auto"",""en""))"),"Enamel")</f>
        <v>Enamel</v>
      </c>
      <c r="AA30" s="23" t="str">
        <f aca="false">IF(C30="","", CHOOSE(MONTH(C30),"January","February","March","April","May","June","July","August","September","October","November","December")&amp;" "&amp;DAY(C30)&amp;MID("thstndrdth",MIN(9,2*RIGHT(DAY(C30))*(MOD(DAY(C30)-11,100)&gt;2)+1),2)&amp;","&amp;TEXT(C30," yyyy"))</f>
        <v>November 25th,2017</v>
      </c>
      <c r="AB30" s="15" t="str">
        <f aca="true">IF(S30="","",DATEDIF(S30,TODAY(),"Y")&amp;" Tahun, "&amp;DATEDIF(S30,TODAY(),"YM")&amp;" Bulan, "&amp;DATEDIF(S30,TODAY(),"MD")&amp;" Hari")</f>
        <v>29 Tahun, 2 Bulan, 1 Hari</v>
      </c>
      <c r="AC30" s="18" t="n">
        <v>45658</v>
      </c>
      <c r="AD30" s="18" t="n">
        <v>46022</v>
      </c>
      <c r="AE30" s="18" t="s">
        <v>44</v>
      </c>
    </row>
    <row r="31" customFormat="false" ht="15" hidden="false" customHeight="true" outlineLevel="0" collapsed="false">
      <c r="A31" s="12" t="n">
        <v>204</v>
      </c>
      <c r="B31" s="13" t="s">
        <v>185</v>
      </c>
      <c r="C31" s="14" t="n">
        <v>43064</v>
      </c>
      <c r="D31" s="13" t="s">
        <v>144</v>
      </c>
      <c r="E31" s="15" t="s">
        <v>47</v>
      </c>
      <c r="F31" s="15" t="str">
        <f aca="false">IFERROR(__xludf.dummyfunction("XLOOKUP(AJ31,IMPORTRANGE(""1XaInW9DU9nz21V0tYIfzFQ0He9kVQ_JF2mCXgZ3hqFA"",""REKAP ALL 2026 - Andika!G:G""),IMPORTRANGE(""1XaInW9DU9nz21V0tYIfzFQ0He9kVQ_JF2mCXgZ3hqFA"",""REKAP ALL 2026 - Andika!F:F""),"""",0)"),"18002486449")</f>
        <v>18002486449</v>
      </c>
      <c r="G31" s="13" t="s">
        <v>186</v>
      </c>
      <c r="H31" s="13" t="s">
        <v>35</v>
      </c>
      <c r="I31" s="13" t="str">
        <f aca="false">IF(C31=J31,"NEW KONTRAK","RE-KONTRAK")</f>
        <v>RE-KONTRAK</v>
      </c>
      <c r="J31" s="16" t="n">
        <f aca="false" t="array" ref="J31:J31">IFERROR(INDEX(AC31:AE31,IF(COUNTA(AC31:AE31)=0,"",MAX((AC31:AE31&lt;&gt;"")*(COLUMN(AC31:AE31)-(COLUMN(AC31)))))-1),"")</f>
        <v>45658</v>
      </c>
      <c r="K31" s="16" t="n">
        <f aca="false" t="array" ref="K31:K31">IFERROR(INDEX(AC31:AE31,IF(COUNTA(AC31:AE31)=0,"",MAX((AC31:AE31&lt;&gt;"")*(COLUMN(AC31:AE31)-(COLUMN(AC31)-1))))-1),"")</f>
        <v>46022</v>
      </c>
      <c r="L31" s="17" t="str">
        <f aca="false" t="array" ref="L31:L31">IFERROR(INDEX(AC31:AE31,IF(COUNTA(AC31:AE31)=0,"",MAX((AC31:AE31&lt;&gt;"")*(COLUMN(AC31:AE31)-(COLUMN(AC31)-2))))-1),"")</f>
        <v>ARCHIVED</v>
      </c>
      <c r="M31" s="13" t="n">
        <f aca="true">K31-TODAY()</f>
        <v>-302</v>
      </c>
      <c r="N31" s="18" t="s">
        <v>36</v>
      </c>
      <c r="O31" s="13" t="s">
        <v>146</v>
      </c>
      <c r="P31" s="19" t="n">
        <v>5195401</v>
      </c>
      <c r="Q31" s="20" t="s">
        <v>187</v>
      </c>
      <c r="R31" s="13" t="s">
        <v>148</v>
      </c>
      <c r="S31" s="14" t="n">
        <v>32470</v>
      </c>
      <c r="T31" s="13" t="s">
        <v>40</v>
      </c>
      <c r="U31" s="13" t="s">
        <v>188</v>
      </c>
      <c r="V31" s="13" t="s">
        <v>42</v>
      </c>
      <c r="W31" s="13" t="s">
        <v>54</v>
      </c>
      <c r="X31" s="21" t="n">
        <v>81398477801</v>
      </c>
      <c r="Y31" s="22" t="str">
        <f aca="false">O31</f>
        <v>Enamel</v>
      </c>
      <c r="Z31" s="13" t="str">
        <f aca="false">IFERROR(__xludf.dummyfunction("if(BJ31="""","""",GOOGLETRANSLATE(BJ31,""auto"",""en""))"),"Enamel")</f>
        <v>Enamel</v>
      </c>
      <c r="AA31" s="23" t="str">
        <f aca="false">IF(C31="","", CHOOSE(MONTH(C31),"January","February","March","April","May","June","July","August","September","October","November","December")&amp;" "&amp;DAY(C31)&amp;MID("thstndrdth",MIN(9,2*RIGHT(DAY(C31))*(MOD(DAY(C31)-11,100)&gt;2)+1),2)&amp;","&amp;TEXT(C31," yyyy"))</f>
        <v>November 25th,2017</v>
      </c>
      <c r="AB31" s="15" t="str">
        <f aca="true">IF(S31="","",DATEDIF(S31,TODAY(),"Y")&amp;" Tahun, "&amp;DATEDIF(S31,TODAY(),"YM")&amp;" Bulan, "&amp;DATEDIF(S31,TODAY(),"MD")&amp;" Hari")</f>
        <v>37 Tahun, 11 Bulan, 6 Hari</v>
      </c>
      <c r="AC31" s="18" t="n">
        <v>45658</v>
      </c>
      <c r="AD31" s="18" t="n">
        <v>46022</v>
      </c>
      <c r="AE31" s="18" t="s">
        <v>44</v>
      </c>
    </row>
    <row r="32" customFormat="false" ht="15" hidden="false" customHeight="true" outlineLevel="0" collapsed="false">
      <c r="A32" s="12" t="n">
        <v>205</v>
      </c>
      <c r="B32" s="13" t="s">
        <v>189</v>
      </c>
      <c r="C32" s="14" t="n">
        <v>43064</v>
      </c>
      <c r="D32" s="13" t="s">
        <v>144</v>
      </c>
      <c r="E32" s="15" t="s">
        <v>47</v>
      </c>
      <c r="F32" s="15" t="str">
        <f aca="false">IFERROR(__xludf.dummyfunction("XLOOKUP(AJ32,IMPORTRANGE(""1XaInW9DU9nz21V0tYIfzFQ0He9kVQ_JF2mCXgZ3hqFA"",""REKAP ALL 2026 - Andika!G:G""),IMPORTRANGE(""1XaInW9DU9nz21V0tYIfzFQ0He9kVQ_JF2mCXgZ3hqFA"",""REKAP ALL 2026 - Andika!F:F""),"""",0)"),"14002597152")</f>
        <v>14002597152</v>
      </c>
      <c r="G32" s="13" t="s">
        <v>190</v>
      </c>
      <c r="H32" s="13" t="s">
        <v>35</v>
      </c>
      <c r="I32" s="13" t="str">
        <f aca="false">IF(C32=J32,"NEW KONTRAK","RE-KONTRAK")</f>
        <v>RE-KONTRAK</v>
      </c>
      <c r="J32" s="16" t="n">
        <f aca="false" t="array" ref="J32:J32">IFERROR(INDEX(AC32:AE32,IF(COUNTA(AC32:AE32)=0,"",MAX((AC32:AE32&lt;&gt;"")*(COLUMN(AC32:AE32)-(COLUMN(AC32)))))-1),"")</f>
        <v>45658</v>
      </c>
      <c r="K32" s="16" t="n">
        <f aca="false" t="array" ref="K32:K32">IFERROR(INDEX(AC32:AE32,IF(COUNTA(AC32:AE32)=0,"",MAX((AC32:AE32&lt;&gt;"")*(COLUMN(AC32:AE32)-(COLUMN(AC32)-1))))-1),"")</f>
        <v>46022</v>
      </c>
      <c r="L32" s="17" t="str">
        <f aca="false" t="array" ref="L32:L32">IFERROR(INDEX(AC32:AE32,IF(COUNTA(AC32:AE32)=0,"",MAX((AC32:AE32&lt;&gt;"")*(COLUMN(AC32:AE32)-(COLUMN(AC32)-2))))-1),"")</f>
        <v>ARCHIVED</v>
      </c>
      <c r="M32" s="13" t="n">
        <f aca="true">K32-TODAY()</f>
        <v>-302</v>
      </c>
      <c r="N32" s="18" t="s">
        <v>36</v>
      </c>
      <c r="O32" s="13" t="s">
        <v>156</v>
      </c>
      <c r="P32" s="19" t="n">
        <v>5195401</v>
      </c>
      <c r="Q32" s="20" t="s">
        <v>191</v>
      </c>
      <c r="R32" s="13" t="s">
        <v>78</v>
      </c>
      <c r="S32" s="14" t="n">
        <v>26000</v>
      </c>
      <c r="T32" s="13" t="s">
        <v>40</v>
      </c>
      <c r="U32" s="13" t="s">
        <v>192</v>
      </c>
      <c r="V32" s="13" t="s">
        <v>42</v>
      </c>
      <c r="W32" s="13" t="s">
        <v>54</v>
      </c>
      <c r="X32" s="21" t="n">
        <v>85707701344</v>
      </c>
      <c r="Y32" s="22" t="str">
        <f aca="false">O32</f>
        <v>Emulsion</v>
      </c>
      <c r="Z32" s="13" t="str">
        <f aca="false">IFERROR(__xludf.dummyfunction("if(BJ32="""","""",GOOGLETRANSLATE(BJ32,""auto"",""en""))"),"Emulsion")</f>
        <v>Emulsion</v>
      </c>
      <c r="AA32" s="23" t="str">
        <f aca="false">IF(C32="","", CHOOSE(MONTH(C32),"January","February","March","April","May","June","July","August","September","October","November","December")&amp;" "&amp;DAY(C32)&amp;MID("thstndrdth",MIN(9,2*RIGHT(DAY(C32))*(MOD(DAY(C32)-11,100)&gt;2)+1),2)&amp;","&amp;TEXT(C32," yyyy"))</f>
        <v>November 25th,2017</v>
      </c>
      <c r="AB32" s="15" t="str">
        <f aca="true">IF(S32="","",DATEDIF(S32,TODAY(),"Y")&amp;" Tahun, "&amp;DATEDIF(S32,TODAY(),"YM")&amp;" Bulan, "&amp;DATEDIF(S32,TODAY(),"MD")&amp;" Hari")</f>
        <v>55 Tahun, 7 Bulan, 21 Hari</v>
      </c>
      <c r="AC32" s="18" t="n">
        <v>45658</v>
      </c>
      <c r="AD32" s="18" t="n">
        <v>46022</v>
      </c>
      <c r="AE32" s="18" t="s">
        <v>44</v>
      </c>
    </row>
    <row r="33" customFormat="false" ht="15" hidden="false" customHeight="true" outlineLevel="0" collapsed="false">
      <c r="A33" s="12" t="n">
        <v>206</v>
      </c>
      <c r="B33" s="13" t="s">
        <v>193</v>
      </c>
      <c r="C33" s="14" t="n">
        <v>43064</v>
      </c>
      <c r="D33" s="13" t="s">
        <v>144</v>
      </c>
      <c r="E33" s="15" t="s">
        <v>47</v>
      </c>
      <c r="F33" s="15" t="str">
        <f aca="false">IFERROR(__xludf.dummyfunction("XLOOKUP(AJ33,IMPORTRANGE(""1XaInW9DU9nz21V0tYIfzFQ0He9kVQ_JF2mCXgZ3hqFA"",""REKAP ALL 2026 - Andika!G:G""),IMPORTRANGE(""1XaInW9DU9nz21V0tYIfzFQ0He9kVQ_JF2mCXgZ3hqFA"",""REKAP ALL 2026 - Andika!F:F""),"""",0)"),"18002486456")</f>
        <v>18002486456</v>
      </c>
      <c r="G33" s="13" t="s">
        <v>194</v>
      </c>
      <c r="H33" s="13" t="s">
        <v>35</v>
      </c>
      <c r="I33" s="13" t="str">
        <f aca="false">IF(C33=J33,"NEW KONTRAK","RE-KONTRAK")</f>
        <v>RE-KONTRAK</v>
      </c>
      <c r="J33" s="16" t="n">
        <f aca="false" t="array" ref="J33:J33">IFERROR(INDEX(AC33:AE33,IF(COUNTA(AC33:AE33)=0,"",MAX((AC33:AE33&lt;&gt;"")*(COLUMN(AC33:AE33)-(COLUMN(AC33)))))-1),"")</f>
        <v>45658</v>
      </c>
      <c r="K33" s="16" t="n">
        <f aca="false" t="array" ref="K33:K33">IFERROR(INDEX(AC33:AE33,IF(COUNTA(AC33:AE33)=0,"",MAX((AC33:AE33&lt;&gt;"")*(COLUMN(AC33:AE33)-(COLUMN(AC33)-1))))-1),"")</f>
        <v>46022</v>
      </c>
      <c r="L33" s="17" t="str">
        <f aca="false" t="array" ref="L33:L33">IFERROR(INDEX(AC33:AE33,IF(COUNTA(AC33:AE33)=0,"",MAX((AC33:AE33&lt;&gt;"")*(COLUMN(AC33:AE33)-(COLUMN(AC33)-2))))-1),"")</f>
        <v>ARCHIVED</v>
      </c>
      <c r="M33" s="13" t="n">
        <f aca="true">K33-TODAY()</f>
        <v>-302</v>
      </c>
      <c r="N33" s="18" t="s">
        <v>36</v>
      </c>
      <c r="O33" s="13" t="s">
        <v>146</v>
      </c>
      <c r="P33" s="19" t="n">
        <v>5195401</v>
      </c>
      <c r="Q33" s="20" t="s">
        <v>195</v>
      </c>
      <c r="R33" s="13" t="s">
        <v>65</v>
      </c>
      <c r="S33" s="14" t="n">
        <v>31960</v>
      </c>
      <c r="T33" s="13" t="s">
        <v>40</v>
      </c>
      <c r="U33" s="13" t="s">
        <v>196</v>
      </c>
      <c r="V33" s="13" t="s">
        <v>42</v>
      </c>
      <c r="W33" s="13" t="s">
        <v>54</v>
      </c>
      <c r="X33" s="21" t="n">
        <v>85648874718</v>
      </c>
      <c r="Y33" s="22" t="str">
        <f aca="false">O33</f>
        <v>Enamel</v>
      </c>
      <c r="Z33" s="13" t="str">
        <f aca="false">IFERROR(__xludf.dummyfunction("if(BJ33="""","""",GOOGLETRANSLATE(BJ33,""auto"",""en""))"),"Enamel")</f>
        <v>Enamel</v>
      </c>
      <c r="AA33" s="23" t="str">
        <f aca="false">IF(C33="","", CHOOSE(MONTH(C33),"January","February","March","April","May","June","July","August","September","October","November","December")&amp;" "&amp;DAY(C33)&amp;MID("thstndrdth",MIN(9,2*RIGHT(DAY(C33))*(MOD(DAY(C33)-11,100)&gt;2)+1),2)&amp;","&amp;TEXT(C33," yyyy"))</f>
        <v>November 25th,2017</v>
      </c>
      <c r="AB33" s="15" t="str">
        <f aca="true">IF(S33="","",DATEDIF(S33,TODAY(),"Y")&amp;" Tahun, "&amp;DATEDIF(S33,TODAY(),"YM")&amp;" Bulan, "&amp;DATEDIF(S33,TODAY(),"MD")&amp;" Hari")</f>
        <v>39 Tahun, 3 Bulan, 27 Hari</v>
      </c>
      <c r="AC33" s="18" t="n">
        <v>45658</v>
      </c>
      <c r="AD33" s="18" t="n">
        <v>46022</v>
      </c>
      <c r="AE33" s="18" t="s">
        <v>44</v>
      </c>
    </row>
    <row r="34" customFormat="false" ht="15" hidden="false" customHeight="true" outlineLevel="0" collapsed="false">
      <c r="A34" s="12" t="n">
        <v>213</v>
      </c>
      <c r="B34" s="13" t="s">
        <v>197</v>
      </c>
      <c r="C34" s="14" t="n">
        <v>43221</v>
      </c>
      <c r="D34" s="13" t="s">
        <v>144</v>
      </c>
      <c r="E34" s="15" t="s">
        <v>47</v>
      </c>
      <c r="F34" s="15" t="str">
        <f aca="false">IFERROR(__xludf.dummyfunction("XLOOKUP(AJ34,IMPORTRANGE(""1XaInW9DU9nz21V0tYIfzFQ0He9kVQ_JF2mCXgZ3hqFA"",""REKAP ALL 2026 - Andika!G:G""),IMPORTRANGE(""1XaInW9DU9nz21V0tYIfzFQ0He9kVQ_JF2mCXgZ3hqFA"",""REKAP ALL 2026 - Andika!F:F""),"""",0)"),"18059534349")</f>
        <v>18059534349</v>
      </c>
      <c r="G34" s="13" t="s">
        <v>198</v>
      </c>
      <c r="H34" s="13" t="s">
        <v>35</v>
      </c>
      <c r="I34" s="13" t="str">
        <f aca="false">IF(C34=J34,"NEW KONTRAK","RE-KONTRAK")</f>
        <v>RE-KONTRAK</v>
      </c>
      <c r="J34" s="16" t="n">
        <f aca="false" t="array" ref="J34:J34">IFERROR(INDEX(AC34:AE34,IF(COUNTA(AC34:AE34)=0,"",MAX((AC34:AE34&lt;&gt;"")*(COLUMN(AC34:AE34)-(COLUMN(AC34)))))-1),"")</f>
        <v>45658</v>
      </c>
      <c r="K34" s="16" t="n">
        <f aca="false" t="array" ref="K34:K34">IFERROR(INDEX(AC34:AE34,IF(COUNTA(AC34:AE34)=0,"",MAX((AC34:AE34&lt;&gt;"")*(COLUMN(AC34:AE34)-(COLUMN(AC34)-1))))-1),"")</f>
        <v>46022</v>
      </c>
      <c r="L34" s="17" t="str">
        <f aca="false" t="array" ref="L34:L34">IFERROR(INDEX(AC34:AE34,IF(COUNTA(AC34:AE34)=0,"",MAX((AC34:AE34&lt;&gt;"")*(COLUMN(AC34:AE34)-(COLUMN(AC34)-2))))-1),"")</f>
        <v>ARCHIVED</v>
      </c>
      <c r="M34" s="13" t="n">
        <f aca="true">K34-TODAY()</f>
        <v>-302</v>
      </c>
      <c r="N34" s="18" t="s">
        <v>36</v>
      </c>
      <c r="O34" s="13" t="s">
        <v>156</v>
      </c>
      <c r="P34" s="19" t="n">
        <v>5195401</v>
      </c>
      <c r="Q34" s="20" t="s">
        <v>199</v>
      </c>
      <c r="R34" s="13" t="s">
        <v>65</v>
      </c>
      <c r="S34" s="14" t="n">
        <v>31975</v>
      </c>
      <c r="T34" s="13" t="s">
        <v>40</v>
      </c>
      <c r="U34" s="13" t="s">
        <v>200</v>
      </c>
      <c r="V34" s="13" t="s">
        <v>42</v>
      </c>
      <c r="W34" s="13" t="s">
        <v>43</v>
      </c>
      <c r="X34" s="21" t="n">
        <v>89531126522</v>
      </c>
      <c r="Y34" s="22" t="str">
        <f aca="false">O34</f>
        <v>Emulsion</v>
      </c>
      <c r="Z34" s="13" t="str">
        <f aca="false">IFERROR(__xludf.dummyfunction("if(BJ34="""","""",GOOGLETRANSLATE(BJ34,""auto"",""en""))"),"Emulsion")</f>
        <v>Emulsion</v>
      </c>
      <c r="AA34" s="23" t="str">
        <f aca="false">IF(C34="","", CHOOSE(MONTH(C34),"January","February","March","April","May","June","July","August","September","October","November","December")&amp;" "&amp;DAY(C34)&amp;MID("thstndrdth",MIN(9,2*RIGHT(DAY(C34))*(MOD(DAY(C34)-11,100)&gt;2)+1),2)&amp;","&amp;TEXT(C34," yyyy"))</f>
        <v>May 1st,2018</v>
      </c>
      <c r="AB34" s="15" t="str">
        <f aca="true">IF(S34="","",DATEDIF(S34,TODAY(),"Y")&amp;" Tahun, "&amp;DATEDIF(S34,TODAY(),"YM")&amp;" Bulan, "&amp;DATEDIF(S34,TODAY(),"MD")&amp;" Hari")</f>
        <v>39 Tahun, 3 Bulan, 12 Hari</v>
      </c>
      <c r="AC34" s="18" t="n">
        <v>45658</v>
      </c>
      <c r="AD34" s="18" t="n">
        <v>46022</v>
      </c>
      <c r="AE34" s="18" t="s">
        <v>44</v>
      </c>
    </row>
    <row r="35" customFormat="false" ht="15" hidden="false" customHeight="true" outlineLevel="0" collapsed="false">
      <c r="A35" s="12" t="n">
        <v>218</v>
      </c>
      <c r="B35" s="13" t="s">
        <v>201</v>
      </c>
      <c r="C35" s="14" t="n">
        <v>43064</v>
      </c>
      <c r="D35" s="13" t="s">
        <v>144</v>
      </c>
      <c r="E35" s="15" t="s">
        <v>102</v>
      </c>
      <c r="F35" s="15" t="str">
        <f aca="false">IFERROR(__xludf.dummyfunction("XLOOKUP(AJ35,IMPORTRANGE(""1XaInW9DU9nz21V0tYIfzFQ0He9kVQ_JF2mCXgZ3hqFA"",""REKAP ALL 2026 - Andika!G:G""),IMPORTRANGE(""1XaInW9DU9nz21V0tYIfzFQ0He9kVQ_JF2mCXgZ3hqFA"",""REKAP ALL 2026 - Andika!F:F""),"""",0)"),"18002486514")</f>
        <v>18002486514</v>
      </c>
      <c r="G35" s="13" t="s">
        <v>202</v>
      </c>
      <c r="H35" s="13" t="s">
        <v>35</v>
      </c>
      <c r="I35" s="13" t="str">
        <f aca="false">IF(C35=J35,"NEW KONTRAK","RE-KONTRAK")</f>
        <v>RE-KONTRAK</v>
      </c>
      <c r="J35" s="16" t="n">
        <f aca="false" t="array" ref="J35:J35">IFERROR(INDEX(AC35:AE35,IF(COUNTA(AC35:AE35)=0,"",MAX((AC35:AE35&lt;&gt;"")*(COLUMN(AC35:AE35)-(COLUMN(AC35)))))-1),"")</f>
        <v>45658</v>
      </c>
      <c r="K35" s="16" t="n">
        <f aca="false" t="array" ref="K35:K35">IFERROR(INDEX(AC35:AE35,IF(COUNTA(AC35:AE35)=0,"",MAX((AC35:AE35&lt;&gt;"")*(COLUMN(AC35:AE35)-(COLUMN(AC35)-1))))-1),"")</f>
        <v>46022</v>
      </c>
      <c r="L35" s="17" t="str">
        <f aca="false" t="array" ref="L35:L35">IFERROR(INDEX(AC35:AE35,IF(COUNTA(AC35:AE35)=0,"",MAX((AC35:AE35&lt;&gt;"")*(COLUMN(AC35:AE35)-(COLUMN(AC35)-2))))-1),"")</f>
        <v>ARCHIVED</v>
      </c>
      <c r="M35" s="13" t="n">
        <f aca="true">K35-TODAY()</f>
        <v>-302</v>
      </c>
      <c r="N35" s="18" t="s">
        <v>36</v>
      </c>
      <c r="O35" s="13" t="s">
        <v>146</v>
      </c>
      <c r="P35" s="19" t="n">
        <v>5195401</v>
      </c>
      <c r="Q35" s="20" t="s">
        <v>203</v>
      </c>
      <c r="R35" s="13" t="s">
        <v>52</v>
      </c>
      <c r="S35" s="14" t="n">
        <v>23916</v>
      </c>
      <c r="T35" s="13" t="s">
        <v>40</v>
      </c>
      <c r="U35" s="13" t="s">
        <v>204</v>
      </c>
      <c r="V35" s="13" t="s">
        <v>42</v>
      </c>
      <c r="W35" s="13" t="s">
        <v>54</v>
      </c>
      <c r="X35" s="21" t="n">
        <v>87752222012</v>
      </c>
      <c r="Y35" s="22" t="str">
        <f aca="false">O35</f>
        <v>Enamel</v>
      </c>
      <c r="Z35" s="13" t="str">
        <f aca="false">IFERROR(__xludf.dummyfunction("if(BJ35="""","""",GOOGLETRANSLATE(BJ35,""auto"",""en""))"),"Enamel")</f>
        <v>Enamel</v>
      </c>
      <c r="AA35" s="23" t="str">
        <f aca="false">IF(C35="","", CHOOSE(MONTH(C35),"January","February","March","April","May","June","July","August","September","October","November","December")&amp;" "&amp;DAY(C35)&amp;MID("thstndrdth",MIN(9,2*RIGHT(DAY(C35))*(MOD(DAY(C35)-11,100)&gt;2)+1),2)&amp;","&amp;TEXT(C35," yyyy"))</f>
        <v>November 25th,2017</v>
      </c>
      <c r="AB35" s="15" t="str">
        <f aca="true">IF(S35="","",DATEDIF(S35,TODAY(),"Y")&amp;" Tahun, "&amp;DATEDIF(S35,TODAY(),"YM")&amp;" Bulan, "&amp;DATEDIF(S35,TODAY(),"MD")&amp;" Hari")</f>
        <v>61 Tahun, 4 Bulan, 6 Hari</v>
      </c>
      <c r="AC35" s="18" t="n">
        <v>45658</v>
      </c>
      <c r="AD35" s="18" t="n">
        <v>46022</v>
      </c>
      <c r="AE35" s="18" t="s">
        <v>44</v>
      </c>
    </row>
    <row r="36" customFormat="false" ht="15" hidden="false" customHeight="true" outlineLevel="0" collapsed="false">
      <c r="A36" s="12" t="n">
        <v>219</v>
      </c>
      <c r="B36" s="13" t="s">
        <v>205</v>
      </c>
      <c r="C36" s="14" t="n">
        <v>43064</v>
      </c>
      <c r="D36" s="13" t="s">
        <v>144</v>
      </c>
      <c r="E36" s="15" t="s">
        <v>47</v>
      </c>
      <c r="F36" s="15" t="str">
        <f aca="false">IFERROR(__xludf.dummyfunction("XLOOKUP(AJ36,IMPORTRANGE(""1XaInW9DU9nz21V0tYIfzFQ0He9kVQ_JF2mCXgZ3hqFA"",""REKAP ALL 2026 - Andika!G:G""),IMPORTRANGE(""1XaInW9DU9nz21V0tYIfzFQ0He9kVQ_JF2mCXgZ3hqFA"",""REKAP ALL 2026 - Andika!F:F""),"""",0)"),"18002486548")</f>
        <v>18002486548</v>
      </c>
      <c r="G36" s="13" t="s">
        <v>206</v>
      </c>
      <c r="H36" s="13" t="s">
        <v>35</v>
      </c>
      <c r="I36" s="13" t="str">
        <f aca="false">IF(C36=J36,"NEW KONTRAK","RE-KONTRAK")</f>
        <v>RE-KONTRAK</v>
      </c>
      <c r="J36" s="16" t="n">
        <f aca="false" t="array" ref="J36:J36">IFERROR(INDEX(AC36:AE36,IF(COUNTA(AC36:AE36)=0,"",MAX((AC36:AE36&lt;&gt;"")*(COLUMN(AC36:AE36)-(COLUMN(AC36)))))-1),"")</f>
        <v>45658</v>
      </c>
      <c r="K36" s="16" t="n">
        <f aca="false" t="array" ref="K36:K36">IFERROR(INDEX(AC36:AE36,IF(COUNTA(AC36:AE36)=0,"",MAX((AC36:AE36&lt;&gt;"")*(COLUMN(AC36:AE36)-(COLUMN(AC36)-1))))-1),"")</f>
        <v>46022</v>
      </c>
      <c r="L36" s="17" t="str">
        <f aca="false" t="array" ref="L36:L36">IFERROR(INDEX(AC36:AE36,IF(COUNTA(AC36:AE36)=0,"",MAX((AC36:AE36&lt;&gt;"")*(COLUMN(AC36:AE36)-(COLUMN(AC36)-2))))-1),"")</f>
        <v>ARCHIVED</v>
      </c>
      <c r="M36" s="13" t="n">
        <f aca="true">K36-TODAY()</f>
        <v>-302</v>
      </c>
      <c r="N36" s="18" t="s">
        <v>36</v>
      </c>
      <c r="O36" s="13" t="s">
        <v>173</v>
      </c>
      <c r="P36" s="19" t="n">
        <v>5195401</v>
      </c>
      <c r="Q36" s="20" t="s">
        <v>207</v>
      </c>
      <c r="R36" s="13" t="s">
        <v>78</v>
      </c>
      <c r="S36" s="14" t="n">
        <v>25394</v>
      </c>
      <c r="T36" s="13" t="s">
        <v>40</v>
      </c>
      <c r="U36" s="13" t="s">
        <v>208</v>
      </c>
      <c r="V36" s="13" t="s">
        <v>42</v>
      </c>
      <c r="W36" s="13" t="s">
        <v>54</v>
      </c>
      <c r="X36" s="21" t="n">
        <v>85730287837</v>
      </c>
      <c r="Y36" s="22" t="str">
        <f aca="false">O36</f>
        <v>Office</v>
      </c>
      <c r="Z36" s="13" t="str">
        <f aca="false">IFERROR(__xludf.dummyfunction("if(BJ36="""","""",GOOGLETRANSLATE(BJ36,""auto"",""en""))"),"Office")</f>
        <v>Office</v>
      </c>
      <c r="AA36" s="23" t="str">
        <f aca="false">IF(C36="","", CHOOSE(MONTH(C36),"January","February","March","April","May","June","July","August","September","October","November","December")&amp;" "&amp;DAY(C36)&amp;MID("thstndrdth",MIN(9,2*RIGHT(DAY(C36))*(MOD(DAY(C36)-11,100)&gt;2)+1),2)&amp;","&amp;TEXT(C36," yyyy"))</f>
        <v>November 25th,2017</v>
      </c>
      <c r="AB36" s="15" t="str">
        <f aca="true">IF(S36="","",DATEDIF(S36,TODAY(),"Y")&amp;" Tahun, "&amp;DATEDIF(S36,TODAY(),"YM")&amp;" Bulan, "&amp;DATEDIF(S36,TODAY(),"MD")&amp;" Hari")</f>
        <v>57 Tahun, 3 Bulan, 19 Hari</v>
      </c>
      <c r="AC36" s="18" t="n">
        <v>45658</v>
      </c>
      <c r="AD36" s="18" t="n">
        <v>46022</v>
      </c>
      <c r="AE36" s="18" t="s">
        <v>44</v>
      </c>
    </row>
    <row r="37" customFormat="false" ht="15" hidden="false" customHeight="true" outlineLevel="0" collapsed="false">
      <c r="A37" s="12" t="n">
        <v>222</v>
      </c>
      <c r="B37" s="13" t="s">
        <v>209</v>
      </c>
      <c r="C37" s="14" t="n">
        <v>43064</v>
      </c>
      <c r="D37" s="13" t="s">
        <v>144</v>
      </c>
      <c r="E37" s="15" t="s">
        <v>47</v>
      </c>
      <c r="F37" s="15" t="str">
        <f aca="false">IFERROR(__xludf.dummyfunction("XLOOKUP(AJ37,IMPORTRANGE(""1XaInW9DU9nz21V0tYIfzFQ0He9kVQ_JF2mCXgZ3hqFA"",""REKAP ALL 2026 - Andika!G:G""),IMPORTRANGE(""1XaInW9DU9nz21V0tYIfzFQ0He9kVQ_JF2mCXgZ3hqFA"",""REKAP ALL 2026 - Andika!F:F""),"""",0)"),"17034813935")</f>
        <v>17034813935</v>
      </c>
      <c r="G37" s="13" t="s">
        <v>210</v>
      </c>
      <c r="H37" s="13" t="s">
        <v>35</v>
      </c>
      <c r="I37" s="13" t="str">
        <f aca="false">IF(C37=J37,"NEW KONTRAK","RE-KONTRAK")</f>
        <v>RE-KONTRAK</v>
      </c>
      <c r="J37" s="16" t="n">
        <f aca="false" t="array" ref="J37:J37">IFERROR(INDEX(AC37:AE37,IF(COUNTA(AC37:AE37)=0,"",MAX((AC37:AE37&lt;&gt;"")*(COLUMN(AC37:AE37)-(COLUMN(AC37)))))-1),"")</f>
        <v>45658</v>
      </c>
      <c r="K37" s="16" t="n">
        <f aca="false" t="array" ref="K37:K37">IFERROR(INDEX(AC37:AE37,IF(COUNTA(AC37:AE37)=0,"",MAX((AC37:AE37&lt;&gt;"")*(COLUMN(AC37:AE37)-(COLUMN(AC37)-1))))-1),"")</f>
        <v>46022</v>
      </c>
      <c r="L37" s="17" t="str">
        <f aca="false" t="array" ref="L37:L37">IFERROR(INDEX(AC37:AE37,IF(COUNTA(AC37:AE37)=0,"",MAX((AC37:AE37&lt;&gt;"")*(COLUMN(AC37:AE37)-(COLUMN(AC37)-2))))-1),"")</f>
        <v>ARCHIVED</v>
      </c>
      <c r="M37" s="13" t="n">
        <f aca="true">K37-TODAY()</f>
        <v>-302</v>
      </c>
      <c r="N37" s="18" t="s">
        <v>36</v>
      </c>
      <c r="O37" s="13" t="s">
        <v>211</v>
      </c>
      <c r="P37" s="19" t="n">
        <v>5195401</v>
      </c>
      <c r="Q37" s="20" t="s">
        <v>212</v>
      </c>
      <c r="R37" s="13" t="s">
        <v>65</v>
      </c>
      <c r="S37" s="14" t="n">
        <v>31524</v>
      </c>
      <c r="T37" s="13" t="s">
        <v>40</v>
      </c>
      <c r="U37" s="13" t="s">
        <v>213</v>
      </c>
      <c r="V37" s="13" t="s">
        <v>42</v>
      </c>
      <c r="W37" s="13" t="s">
        <v>54</v>
      </c>
      <c r="X37" s="21" t="n">
        <v>85730422105</v>
      </c>
      <c r="Y37" s="22" t="str">
        <f aca="false">O37</f>
        <v>FG Store</v>
      </c>
      <c r="Z37" s="13" t="str">
        <f aca="false">IFERROR(__xludf.dummyfunction("if(BJ37="""","""",GOOGLETRANSLATE(BJ37,""auto"",""en""))"),"FG Store")</f>
        <v>FG Store</v>
      </c>
      <c r="AA37" s="23" t="str">
        <f aca="false">IF(C37="","", CHOOSE(MONTH(C37),"January","February","March","April","May","June","July","August","September","October","November","December")&amp;" "&amp;DAY(C37)&amp;MID("thstndrdth",MIN(9,2*RIGHT(DAY(C37))*(MOD(DAY(C37)-11,100)&gt;2)+1),2)&amp;","&amp;TEXT(C37," yyyy"))</f>
        <v>November 25th,2017</v>
      </c>
      <c r="AB37" s="15" t="str">
        <f aca="true">IF(S37="","",DATEDIF(S37,TODAY(),"Y")&amp;" Tahun, "&amp;DATEDIF(S37,TODAY(),"YM")&amp;" Bulan, "&amp;DATEDIF(S37,TODAY(),"MD")&amp;" Hari")</f>
        <v>40 Tahun, 6 Bulan, 7 Hari</v>
      </c>
      <c r="AC37" s="18" t="n">
        <v>45658</v>
      </c>
      <c r="AD37" s="18" t="n">
        <v>46022</v>
      </c>
      <c r="AE37" s="18" t="s">
        <v>44</v>
      </c>
    </row>
    <row r="38" customFormat="false" ht="15" hidden="false" customHeight="true" outlineLevel="0" collapsed="false">
      <c r="A38" s="12" t="n">
        <v>225</v>
      </c>
      <c r="B38" s="13" t="s">
        <v>214</v>
      </c>
      <c r="C38" s="14" t="n">
        <v>43064</v>
      </c>
      <c r="D38" s="13" t="s">
        <v>144</v>
      </c>
      <c r="E38" s="15" t="s">
        <v>47</v>
      </c>
      <c r="F38" s="15" t="str">
        <f aca="false">IFERROR(__xludf.dummyfunction("XLOOKUP(AJ38,IMPORTRANGE(""1XaInW9DU9nz21V0tYIfzFQ0He9kVQ_JF2mCXgZ3hqFA"",""REKAP ALL 2026 - Andika!G:G""),IMPORTRANGE(""1XaInW9DU9nz21V0tYIfzFQ0He9kVQ_JF2mCXgZ3hqFA"",""REKAP ALL 2026 - Andika!F:F""),"""",0)"),"18002486605")</f>
        <v>18002486605</v>
      </c>
      <c r="G38" s="13" t="s">
        <v>215</v>
      </c>
      <c r="H38" s="13" t="s">
        <v>35</v>
      </c>
      <c r="I38" s="13" t="str">
        <f aca="false">IF(C38=J38,"NEW KONTRAK","RE-KONTRAK")</f>
        <v>RE-KONTRAK</v>
      </c>
      <c r="J38" s="16" t="n">
        <f aca="false" t="array" ref="J38:J38">IFERROR(INDEX(AC38:AE38,IF(COUNTA(AC38:AE38)=0,"",MAX((AC38:AE38&lt;&gt;"")*(COLUMN(AC38:AE38)-(COLUMN(AC38)))))-1),"")</f>
        <v>45658</v>
      </c>
      <c r="K38" s="16" t="n">
        <f aca="false" t="array" ref="K38:K38">IFERROR(INDEX(AC38:AE38,IF(COUNTA(AC38:AE38)=0,"",MAX((AC38:AE38&lt;&gt;"")*(COLUMN(AC38:AE38)-(COLUMN(AC38)-1))))-1),"")</f>
        <v>46022</v>
      </c>
      <c r="L38" s="17" t="str">
        <f aca="false" t="array" ref="L38:L38">IFERROR(INDEX(AC38:AE38,IF(COUNTA(AC38:AE38)=0,"",MAX((AC38:AE38&lt;&gt;"")*(COLUMN(AC38:AE38)-(COLUMN(AC38)-2))))-1),"")</f>
        <v>ARCHIVED</v>
      </c>
      <c r="M38" s="13" t="n">
        <f aca="true">K38-TODAY()</f>
        <v>-302</v>
      </c>
      <c r="N38" s="18" t="s">
        <v>36</v>
      </c>
      <c r="O38" s="13" t="s">
        <v>173</v>
      </c>
      <c r="P38" s="19" t="n">
        <v>5195401</v>
      </c>
      <c r="Q38" s="20" t="s">
        <v>216</v>
      </c>
      <c r="R38" s="13" t="s">
        <v>52</v>
      </c>
      <c r="S38" s="14" t="n">
        <v>22462</v>
      </c>
      <c r="T38" s="13" t="s">
        <v>40</v>
      </c>
      <c r="U38" s="13" t="s">
        <v>217</v>
      </c>
      <c r="V38" s="13" t="s">
        <v>42</v>
      </c>
      <c r="W38" s="13" t="s">
        <v>54</v>
      </c>
      <c r="X38" s="21" t="n">
        <v>85755039604</v>
      </c>
      <c r="Y38" s="22" t="str">
        <f aca="false">O38</f>
        <v>Office</v>
      </c>
      <c r="Z38" s="13" t="str">
        <f aca="false">IFERROR(__xludf.dummyfunction("if(BJ38="""","""",GOOGLETRANSLATE(BJ38,""auto"",""en""))"),"Office")</f>
        <v>Office</v>
      </c>
      <c r="AA38" s="23" t="str">
        <f aca="false">IF(C38="","", CHOOSE(MONTH(C38),"January","February","March","April","May","June","July","August","September","October","November","December")&amp;" "&amp;DAY(C38)&amp;MID("thstndrdth",MIN(9,2*RIGHT(DAY(C38))*(MOD(DAY(C38)-11,100)&gt;2)+1),2)&amp;","&amp;TEXT(C38," yyyy"))</f>
        <v>November 25th,2017</v>
      </c>
      <c r="AB38" s="15" t="str">
        <f aca="true">IF(S38="","",DATEDIF(S38,TODAY(),"Y")&amp;" Tahun, "&amp;DATEDIF(S38,TODAY(),"YM")&amp;" Bulan, "&amp;DATEDIF(S38,TODAY(),"MD")&amp;" Hari")</f>
        <v>65 Tahun, 3 Bulan, 29 Hari</v>
      </c>
      <c r="AC38" s="18" t="n">
        <v>45658</v>
      </c>
      <c r="AD38" s="18" t="n">
        <v>46022</v>
      </c>
      <c r="AE38" s="18" t="s">
        <v>44</v>
      </c>
    </row>
    <row r="39" customFormat="false" ht="15" hidden="false" customHeight="true" outlineLevel="0" collapsed="false">
      <c r="A39" s="12" t="n">
        <v>227</v>
      </c>
      <c r="B39" s="13" t="s">
        <v>218</v>
      </c>
      <c r="C39" s="14" t="n">
        <v>43064</v>
      </c>
      <c r="D39" s="13" t="s">
        <v>144</v>
      </c>
      <c r="E39" s="15" t="s">
        <v>33</v>
      </c>
      <c r="F39" s="24" t="s">
        <v>219</v>
      </c>
      <c r="G39" s="13" t="s">
        <v>220</v>
      </c>
      <c r="H39" s="13" t="s">
        <v>35</v>
      </c>
      <c r="I39" s="13" t="str">
        <f aca="false">IF(C39=J39,"NEW KONTRAK","RE-KONTRAK")</f>
        <v>RE-KONTRAK</v>
      </c>
      <c r="J39" s="16" t="n">
        <f aca="false" t="array" ref="J39:J39">IFERROR(INDEX(AC39:AE39,IF(COUNTA(AC39:AE39)=0,"",MAX((AC39:AE39&lt;&gt;"")*(COLUMN(AC39:AE39)-(COLUMN(AC39)))))-1),"")</f>
        <v>45658</v>
      </c>
      <c r="K39" s="16" t="n">
        <f aca="false" t="array" ref="K39:K39">IFERROR(INDEX(AC39:AE39,IF(COUNTA(AC39:AE39)=0,"",MAX((AC39:AE39&lt;&gt;"")*(COLUMN(AC39:AE39)-(COLUMN(AC39)-1))))-1),"")</f>
        <v>46022</v>
      </c>
      <c r="L39" s="17" t="str">
        <f aca="false" t="array" ref="L39:L39">IFERROR(INDEX(AC39:AE39,IF(COUNTA(AC39:AE39)=0,"",MAX((AC39:AE39&lt;&gt;"")*(COLUMN(AC39:AE39)-(COLUMN(AC39)-2))))-1),"")</f>
        <v>ARCHIVED</v>
      </c>
      <c r="M39" s="13" t="n">
        <f aca="true">K39-TODAY()</f>
        <v>-302</v>
      </c>
      <c r="N39" s="18" t="s">
        <v>36</v>
      </c>
      <c r="O39" s="13" t="s">
        <v>211</v>
      </c>
      <c r="P39" s="19" t="n">
        <v>5195401</v>
      </c>
      <c r="Q39" s="20" t="s">
        <v>221</v>
      </c>
      <c r="R39" s="13" t="s">
        <v>222</v>
      </c>
      <c r="S39" s="14" t="n">
        <v>34103</v>
      </c>
      <c r="T39" s="13" t="s">
        <v>40</v>
      </c>
      <c r="U39" s="13" t="s">
        <v>223</v>
      </c>
      <c r="V39" s="13" t="s">
        <v>42</v>
      </c>
      <c r="W39" s="13" t="s">
        <v>54</v>
      </c>
      <c r="X39" s="21" t="n">
        <v>81225188835</v>
      </c>
      <c r="Y39" s="22" t="str">
        <f aca="false">O39</f>
        <v>FG Store</v>
      </c>
      <c r="Z39" s="13" t="str">
        <f aca="false">IFERROR(__xludf.dummyfunction("if(BJ39="""","""",GOOGLETRANSLATE(BJ39,""auto"",""en""))"),"FG Store")</f>
        <v>FG Store</v>
      </c>
      <c r="AA39" s="23" t="str">
        <f aca="false">IF(C39="","", CHOOSE(MONTH(C39),"January","February","March","April","May","June","July","August","September","October","November","December")&amp;" "&amp;DAY(C39)&amp;MID("thstndrdth",MIN(9,2*RIGHT(DAY(C39))*(MOD(DAY(C39)-11,100)&gt;2)+1),2)&amp;","&amp;TEXT(C39," yyyy"))</f>
        <v>November 25th,2017</v>
      </c>
      <c r="AB39" s="15" t="str">
        <f aca="true">IF(S39="","",DATEDIF(S39,TODAY(),"Y")&amp;" Tahun, "&amp;DATEDIF(S39,TODAY(),"YM")&amp;" Bulan, "&amp;DATEDIF(S39,TODAY(),"MD")&amp;" Hari")</f>
        <v>33 Tahun, 5 Bulan, 15 Hari</v>
      </c>
      <c r="AC39" s="18" t="n">
        <v>45658</v>
      </c>
      <c r="AD39" s="18" t="n">
        <v>46022</v>
      </c>
      <c r="AE39" s="18" t="s">
        <v>44</v>
      </c>
    </row>
    <row r="40" customFormat="false" ht="15" hidden="false" customHeight="true" outlineLevel="0" collapsed="false">
      <c r="A40" s="12" t="n">
        <v>230</v>
      </c>
      <c r="B40" s="13" t="s">
        <v>224</v>
      </c>
      <c r="C40" s="14" t="n">
        <v>43064</v>
      </c>
      <c r="D40" s="13" t="s">
        <v>144</v>
      </c>
      <c r="E40" s="15" t="s">
        <v>47</v>
      </c>
      <c r="F40" s="15" t="str">
        <f aca="false">IFERROR(__xludf.dummyfunction("XLOOKUP(AJ40,IMPORTRANGE(""1XaInW9DU9nz21V0tYIfzFQ0He9kVQ_JF2mCXgZ3hqFA"",""REKAP ALL 2026 - Andika!G:G""),IMPORTRANGE(""1XaInW9DU9nz21V0tYIfzFQ0He9kVQ_JF2mCXgZ3hqFA"",""REKAP ALL 2026 - Andika!F:F""),"""",0)"),"13041300891")</f>
        <v>13041300891</v>
      </c>
      <c r="G40" s="13" t="s">
        <v>225</v>
      </c>
      <c r="H40" s="13" t="s">
        <v>35</v>
      </c>
      <c r="I40" s="13" t="str">
        <f aca="false">IF(C40=J40,"NEW KONTRAK","RE-KONTRAK")</f>
        <v>RE-KONTRAK</v>
      </c>
      <c r="J40" s="16" t="n">
        <f aca="false" t="array" ref="J40:J40">IFERROR(INDEX(AC40:AE40,IF(COUNTA(AC40:AE40)=0,"",MAX((AC40:AE40&lt;&gt;"")*(COLUMN(AC40:AE40)-(COLUMN(AC40)))))-1),"")</f>
        <v>45658</v>
      </c>
      <c r="K40" s="16" t="n">
        <f aca="false" t="array" ref="K40:K40">IFERROR(INDEX(AC40:AE40,IF(COUNTA(AC40:AE40)=0,"",MAX((AC40:AE40&lt;&gt;"")*(COLUMN(AC40:AE40)-(COLUMN(AC40)-1))))-1),"")</f>
        <v>46022</v>
      </c>
      <c r="L40" s="17" t="str">
        <f aca="false" t="array" ref="L40:L40">IFERROR(INDEX(AC40:AE40,IF(COUNTA(AC40:AE40)=0,"",MAX((AC40:AE40&lt;&gt;"")*(COLUMN(AC40:AE40)-(COLUMN(AC40)-2))))-1),"")</f>
        <v>ARCHIVED</v>
      </c>
      <c r="M40" s="13" t="n">
        <f aca="true">K40-TODAY()</f>
        <v>-302</v>
      </c>
      <c r="N40" s="18" t="s">
        <v>36</v>
      </c>
      <c r="O40" s="13" t="s">
        <v>211</v>
      </c>
      <c r="P40" s="19" t="n">
        <v>5195401</v>
      </c>
      <c r="Q40" s="20" t="s">
        <v>226</v>
      </c>
      <c r="R40" s="13" t="s">
        <v>227</v>
      </c>
      <c r="S40" s="14" t="n">
        <v>34468</v>
      </c>
      <c r="T40" s="13" t="s">
        <v>40</v>
      </c>
      <c r="U40" s="13" t="s">
        <v>228</v>
      </c>
      <c r="V40" s="13" t="s">
        <v>42</v>
      </c>
      <c r="W40" s="13" t="s">
        <v>43</v>
      </c>
      <c r="X40" s="21" t="n">
        <v>81553339783</v>
      </c>
      <c r="Y40" s="22" t="str">
        <f aca="false">O40</f>
        <v>FG Store</v>
      </c>
      <c r="Z40" s="13" t="str">
        <f aca="false">IFERROR(__xludf.dummyfunction("if(BJ40="""","""",GOOGLETRANSLATE(BJ40,""auto"",""en""))"),"FG Store")</f>
        <v>FG Store</v>
      </c>
      <c r="AA40" s="23" t="str">
        <f aca="false">IF(C40="","", CHOOSE(MONTH(C40),"January","February","March","April","May","June","July","August","September","October","November","December")&amp;" "&amp;DAY(C40)&amp;MID("thstndrdth",MIN(9,2*RIGHT(DAY(C40))*(MOD(DAY(C40)-11,100)&gt;2)+1),2)&amp;","&amp;TEXT(C40," yyyy"))</f>
        <v>November 25th,2017</v>
      </c>
      <c r="AB40" s="15" t="str">
        <f aca="true">IF(S40="","",DATEDIF(S40,TODAY(),"Y")&amp;" Tahun, "&amp;DATEDIF(S40,TODAY(),"YM")&amp;" Bulan, "&amp;DATEDIF(S40,TODAY(),"MD")&amp;" Hari")</f>
        <v>32 Tahun, 5 Bulan, 15 Hari</v>
      </c>
      <c r="AC40" s="18" t="n">
        <v>45658</v>
      </c>
      <c r="AD40" s="18" t="n">
        <v>46022</v>
      </c>
      <c r="AE40" s="18" t="s">
        <v>44</v>
      </c>
    </row>
    <row r="41" customFormat="false" ht="15" hidden="false" customHeight="true" outlineLevel="0" collapsed="false">
      <c r="A41" s="12" t="n">
        <v>231</v>
      </c>
      <c r="B41" s="13" t="s">
        <v>229</v>
      </c>
      <c r="C41" s="14" t="n">
        <v>43496</v>
      </c>
      <c r="D41" s="13" t="s">
        <v>144</v>
      </c>
      <c r="E41" s="15" t="s">
        <v>47</v>
      </c>
      <c r="F41" s="15" t="str">
        <f aca="false">IFERROR(__xludf.dummyfunction("XLOOKUP(AJ41,IMPORTRANGE(""1XaInW9DU9nz21V0tYIfzFQ0He9kVQ_JF2mCXgZ3hqFA"",""REKAP ALL 2026 - Andika!G:G""),IMPORTRANGE(""1XaInW9DU9nz21V0tYIfzFQ0He9kVQ_JF2mCXgZ3hqFA"",""REKAP ALL 2026 - Andika!F:F""),"""",0)"),"14021571642")</f>
        <v>14021571642</v>
      </c>
      <c r="G41" s="13" t="s">
        <v>230</v>
      </c>
      <c r="H41" s="13" t="s">
        <v>35</v>
      </c>
      <c r="I41" s="13" t="str">
        <f aca="false">IF(C41=J41,"NEW KONTRAK","RE-KONTRAK")</f>
        <v>RE-KONTRAK</v>
      </c>
      <c r="J41" s="16" t="n">
        <f aca="false" t="array" ref="J41:J41">IFERROR(INDEX(AC41:AE41,IF(COUNTA(AC41:AE41)=0,"",MAX((AC41:AE41&lt;&gt;"")*(COLUMN(AC41:AE41)-(COLUMN(AC41)))))-1),"")</f>
        <v>45658</v>
      </c>
      <c r="K41" s="16" t="n">
        <f aca="false" t="array" ref="K41:K41">IFERROR(INDEX(AC41:AE41,IF(COUNTA(AC41:AE41)=0,"",MAX((AC41:AE41&lt;&gt;"")*(COLUMN(AC41:AE41)-(COLUMN(AC41)-1))))-1),"")</f>
        <v>46022</v>
      </c>
      <c r="L41" s="17" t="str">
        <f aca="false" t="array" ref="L41:L41">IFERROR(INDEX(AC41:AE41,IF(COUNTA(AC41:AE41)=0,"",MAX((AC41:AE41&lt;&gt;"")*(COLUMN(AC41:AE41)-(COLUMN(AC41)-2))))-1),"")</f>
        <v>ARCHIVED</v>
      </c>
      <c r="M41" s="13" t="n">
        <f aca="true">K41-TODAY()</f>
        <v>-302</v>
      </c>
      <c r="N41" s="18" t="s">
        <v>36</v>
      </c>
      <c r="O41" s="13" t="s">
        <v>156</v>
      </c>
      <c r="P41" s="19" t="n">
        <v>5195401</v>
      </c>
      <c r="Q41" s="20" t="s">
        <v>231</v>
      </c>
      <c r="R41" s="13" t="s">
        <v>232</v>
      </c>
      <c r="S41" s="14" t="n">
        <v>34188</v>
      </c>
      <c r="T41" s="13" t="s">
        <v>40</v>
      </c>
      <c r="U41" s="13" t="s">
        <v>233</v>
      </c>
      <c r="V41" s="13" t="s">
        <v>42</v>
      </c>
      <c r="W41" s="13" t="s">
        <v>54</v>
      </c>
      <c r="X41" s="21" t="n">
        <v>85790811436</v>
      </c>
      <c r="Y41" s="22" t="str">
        <f aca="false">O41</f>
        <v>Emulsion</v>
      </c>
      <c r="Z41" s="13" t="str">
        <f aca="false">IFERROR(__xludf.dummyfunction("if(BJ41="""","""",GOOGLETRANSLATE(BJ41,""auto"",""en""))"),"Emulsion")</f>
        <v>Emulsion</v>
      </c>
      <c r="AA41" s="23" t="str">
        <f aca="false">IF(C41="","", CHOOSE(MONTH(C41),"January","February","March","April","May","June","July","August","September","October","November","December")&amp;" "&amp;DAY(C41)&amp;MID("thstndrdth",MIN(9,2*RIGHT(DAY(C41))*(MOD(DAY(C41)-11,100)&gt;2)+1),2)&amp;","&amp;TEXT(C41," yyyy"))</f>
        <v>January 31st,2019</v>
      </c>
      <c r="AB41" s="15" t="str">
        <f aca="true">IF(S41="","",DATEDIF(S41,TODAY(),"Y")&amp;" Tahun, "&amp;DATEDIF(S41,TODAY(),"YM")&amp;" Bulan, "&amp;DATEDIF(S41,TODAY(),"MD")&amp;" Hari")</f>
        <v>33 Tahun, 2 Bulan, 22 Hari</v>
      </c>
      <c r="AC41" s="18" t="n">
        <v>45658</v>
      </c>
      <c r="AD41" s="18" t="n">
        <v>46022</v>
      </c>
      <c r="AE41" s="18" t="s">
        <v>44</v>
      </c>
    </row>
    <row r="42" customFormat="false" ht="15" hidden="false" customHeight="true" outlineLevel="0" collapsed="false">
      <c r="A42" s="12" t="n">
        <v>233</v>
      </c>
      <c r="B42" s="13" t="s">
        <v>234</v>
      </c>
      <c r="C42" s="14" t="n">
        <v>43542</v>
      </c>
      <c r="D42" s="13" t="s">
        <v>144</v>
      </c>
      <c r="E42" s="15" t="s">
        <v>47</v>
      </c>
      <c r="F42" s="15" t="str">
        <f aca="false">IFERROR(__xludf.dummyfunction("XLOOKUP(AJ42,IMPORTRANGE(""1XaInW9DU9nz21V0tYIfzFQ0He9kVQ_JF2mCXgZ3hqFA"",""REKAP ALL 2026 - Andika!G:G""),IMPORTRANGE(""1XaInW9DU9nz21V0tYIfzFQ0He9kVQ_JF2mCXgZ3hqFA"",""REKAP ALL 2026 - Andika!F:F""),"""",0)"),"18038939031")</f>
        <v>18038939031</v>
      </c>
      <c r="G42" s="13" t="s">
        <v>235</v>
      </c>
      <c r="H42" s="13" t="s">
        <v>35</v>
      </c>
      <c r="I42" s="13" t="str">
        <f aca="false">IF(C42=J42,"NEW KONTRAK","RE-KONTRAK")</f>
        <v>RE-KONTRAK</v>
      </c>
      <c r="J42" s="16" t="n">
        <f aca="false" t="array" ref="J42:J42">IFERROR(INDEX(AC42:AE42,IF(COUNTA(AC42:AE42)=0,"",MAX((AC42:AE42&lt;&gt;"")*(COLUMN(AC42:AE42)-(COLUMN(AC42)))))-1),"")</f>
        <v>45658</v>
      </c>
      <c r="K42" s="16" t="n">
        <f aca="false" t="array" ref="K42:K42">IFERROR(INDEX(AC42:AE42,IF(COUNTA(AC42:AE42)=0,"",MAX((AC42:AE42&lt;&gt;"")*(COLUMN(AC42:AE42)-(COLUMN(AC42)-1))))-1),"")</f>
        <v>46022</v>
      </c>
      <c r="L42" s="17" t="str">
        <f aca="false" t="array" ref="L42:L42">IFERROR(INDEX(AC42:AE42,IF(COUNTA(AC42:AE42)=0,"",MAX((AC42:AE42&lt;&gt;"")*(COLUMN(AC42:AE42)-(COLUMN(AC42)-2))))-1),"")</f>
        <v>ARCHIVED</v>
      </c>
      <c r="M42" s="13" t="n">
        <f aca="true">K42-TODAY()</f>
        <v>-302</v>
      </c>
      <c r="N42" s="18" t="s">
        <v>36</v>
      </c>
      <c r="O42" s="13" t="s">
        <v>146</v>
      </c>
      <c r="P42" s="19" t="n">
        <v>5195401</v>
      </c>
      <c r="Q42" s="20" t="s">
        <v>236</v>
      </c>
      <c r="R42" s="13" t="s">
        <v>148</v>
      </c>
      <c r="S42" s="14" t="n">
        <v>34574</v>
      </c>
      <c r="T42" s="13" t="s">
        <v>40</v>
      </c>
      <c r="U42" s="13" t="s">
        <v>237</v>
      </c>
      <c r="V42" s="13" t="s">
        <v>42</v>
      </c>
      <c r="W42" s="13" t="s">
        <v>43</v>
      </c>
      <c r="X42" s="21" t="n">
        <v>89654755629</v>
      </c>
      <c r="Y42" s="22" t="str">
        <f aca="false">O42</f>
        <v>Enamel</v>
      </c>
      <c r="Z42" s="13" t="str">
        <f aca="false">IFERROR(__xludf.dummyfunction("if(BJ42="""","""",GOOGLETRANSLATE(BJ42,""auto"",""en""))"),"Enamel")</f>
        <v>Enamel</v>
      </c>
      <c r="AA42" s="23" t="str">
        <f aca="false">IF(C42="","", CHOOSE(MONTH(C42),"January","February","March","April","May","June","July","August","September","October","November","December")&amp;" "&amp;DAY(C42)&amp;MID("thstndrdth",MIN(9,2*RIGHT(DAY(C42))*(MOD(DAY(C42)-11,100)&gt;2)+1),2)&amp;","&amp;TEXT(C42," yyyy"))</f>
        <v>March 18th,2019</v>
      </c>
      <c r="AB42" s="15" t="str">
        <f aca="true">IF(S42="","",DATEDIF(S42,TODAY(),"Y")&amp;" Tahun, "&amp;DATEDIF(S42,TODAY(),"YM")&amp;" Bulan, "&amp;DATEDIF(S42,TODAY(),"MD")&amp;" Hari")</f>
        <v>32 Tahun, 2 Bulan, 1 Hari</v>
      </c>
      <c r="AC42" s="18" t="n">
        <v>45658</v>
      </c>
      <c r="AD42" s="18" t="n">
        <v>46022</v>
      </c>
      <c r="AE42" s="18" t="s">
        <v>44</v>
      </c>
    </row>
    <row r="43" customFormat="false" ht="15" hidden="false" customHeight="true" outlineLevel="0" collapsed="false">
      <c r="A43" s="12" t="n">
        <v>235</v>
      </c>
      <c r="B43" s="13" t="s">
        <v>238</v>
      </c>
      <c r="C43" s="14" t="n">
        <v>43556</v>
      </c>
      <c r="D43" s="13" t="s">
        <v>144</v>
      </c>
      <c r="E43" s="15" t="s">
        <v>47</v>
      </c>
      <c r="F43" s="15" t="str">
        <f aca="false">IFERROR(__xludf.dummyfunction("XLOOKUP(AJ43,IMPORTRANGE(""1XaInW9DU9nz21V0tYIfzFQ0He9kVQ_JF2mCXgZ3hqFA"",""REKAP ALL 2026 - Andika!G:G""),IMPORTRANGE(""1XaInW9DU9nz21V0tYIfzFQ0He9kVQ_JF2mCXgZ3hqFA"",""REKAP ALL 2026 - Andika!F:F""),"""",0)"),"88N00204230")</f>
        <v>88N00204230</v>
      </c>
      <c r="G43" s="13" t="s">
        <v>239</v>
      </c>
      <c r="H43" s="13" t="s">
        <v>35</v>
      </c>
      <c r="I43" s="13" t="str">
        <f aca="false">IF(C43=J43,"NEW KONTRAK","RE-KONTRAK")</f>
        <v>RE-KONTRAK</v>
      </c>
      <c r="J43" s="16" t="n">
        <f aca="false" t="array" ref="J43:J43">IFERROR(INDEX(AC43:AE43,IF(COUNTA(AC43:AE43)=0,"",MAX((AC43:AE43&lt;&gt;"")*(COLUMN(AC43:AE43)-(COLUMN(AC43)))))-1),"")</f>
        <v>45658</v>
      </c>
      <c r="K43" s="16" t="n">
        <f aca="false" t="array" ref="K43:K43">IFERROR(INDEX(AC43:AE43,IF(COUNTA(AC43:AE43)=0,"",MAX((AC43:AE43&lt;&gt;"")*(COLUMN(AC43:AE43)-(COLUMN(AC43)-1))))-1),"")</f>
        <v>46022</v>
      </c>
      <c r="L43" s="17" t="str">
        <f aca="false" t="array" ref="L43:L43">IFERROR(INDEX(AC43:AE43,IF(COUNTA(AC43:AE43)=0,"",MAX((AC43:AE43&lt;&gt;"")*(COLUMN(AC43:AE43)-(COLUMN(AC43)-2))))-1),"")</f>
        <v>ARCHIVED</v>
      </c>
      <c r="M43" s="13" t="n">
        <f aca="true">K43-TODAY()</f>
        <v>-302</v>
      </c>
      <c r="N43" s="18" t="s">
        <v>36</v>
      </c>
      <c r="O43" s="13" t="s">
        <v>146</v>
      </c>
      <c r="P43" s="19" t="n">
        <v>5195401</v>
      </c>
      <c r="Q43" s="20" t="s">
        <v>240</v>
      </c>
      <c r="R43" s="13" t="s">
        <v>241</v>
      </c>
      <c r="S43" s="14" t="n">
        <v>23450</v>
      </c>
      <c r="T43" s="13" t="s">
        <v>40</v>
      </c>
      <c r="U43" s="13" t="s">
        <v>242</v>
      </c>
      <c r="V43" s="13" t="s">
        <v>42</v>
      </c>
      <c r="W43" s="13" t="s">
        <v>54</v>
      </c>
      <c r="X43" s="21" t="n">
        <v>85895001595</v>
      </c>
      <c r="Y43" s="22" t="str">
        <f aca="false">O43</f>
        <v>Enamel</v>
      </c>
      <c r="Z43" s="13" t="str">
        <f aca="false">IFERROR(__xludf.dummyfunction("if(BJ43="""","""",GOOGLETRANSLATE(BJ43,""auto"",""en""))"),"Enamel")</f>
        <v>Enamel</v>
      </c>
      <c r="AA43" s="23" t="str">
        <f aca="false">IF(C43="","", CHOOSE(MONTH(C43),"January","February","March","April","May","June","July","August","September","October","November","December")&amp;" "&amp;DAY(C43)&amp;MID("thstndrdth",MIN(9,2*RIGHT(DAY(C43))*(MOD(DAY(C43)-11,100)&gt;2)+1),2)&amp;","&amp;TEXT(C43," yyyy"))</f>
        <v>April 1st,2019</v>
      </c>
      <c r="AB43" s="15" t="str">
        <f aca="true">IF(S43="","",DATEDIF(S43,TODAY(),"Y")&amp;" Tahun, "&amp;DATEDIF(S43,TODAY(),"YM")&amp;" Bulan, "&amp;DATEDIF(S43,TODAY(),"MD")&amp;" Hari")</f>
        <v>62 Tahun, 7 Bulan, 15 Hari</v>
      </c>
      <c r="AC43" s="18" t="n">
        <v>45658</v>
      </c>
      <c r="AD43" s="18" t="n">
        <v>46022</v>
      </c>
      <c r="AE43" s="18" t="s">
        <v>44</v>
      </c>
    </row>
    <row r="44" customFormat="false" ht="15" hidden="false" customHeight="true" outlineLevel="0" collapsed="false">
      <c r="A44" s="12" t="n">
        <v>236</v>
      </c>
      <c r="B44" s="13" t="s">
        <v>243</v>
      </c>
      <c r="C44" s="14" t="n">
        <v>43654</v>
      </c>
      <c r="D44" s="13" t="s">
        <v>144</v>
      </c>
      <c r="E44" s="15" t="s">
        <v>102</v>
      </c>
      <c r="F44" s="15" t="str">
        <f aca="false">IFERROR(__xludf.dummyfunction("XLOOKUP(AJ44,IMPORTRANGE(""1XaInW9DU9nz21V0tYIfzFQ0He9kVQ_JF2mCXgZ3hqFA"",""REKAP ALL 2026 - Andika!G:G""),IMPORTRANGE(""1XaInW9DU9nz21V0tYIfzFQ0He9kVQ_JF2mCXgZ3hqFA"",""REKAP ALL 2026 - Andika!F:F""),"""",0)"),"11008341163")</f>
        <v>11008341163</v>
      </c>
      <c r="G44" s="13" t="s">
        <v>244</v>
      </c>
      <c r="H44" s="13" t="s">
        <v>35</v>
      </c>
      <c r="I44" s="13" t="str">
        <f aca="false">IF(C44=J44,"NEW KONTRAK","RE-KONTRAK")</f>
        <v>RE-KONTRAK</v>
      </c>
      <c r="J44" s="16" t="n">
        <f aca="false" t="array" ref="J44:J44">IFERROR(INDEX(AC44:AE44,IF(COUNTA(AC44:AE44)=0,"",MAX((AC44:AE44&lt;&gt;"")*(COLUMN(AC44:AE44)-(COLUMN(AC44)))))-1),"")</f>
        <v>45658</v>
      </c>
      <c r="K44" s="16" t="n">
        <f aca="false" t="array" ref="K44:K44">IFERROR(INDEX(AC44:AE44,IF(COUNTA(AC44:AE44)=0,"",MAX((AC44:AE44&lt;&gt;"")*(COLUMN(AC44:AE44)-(COLUMN(AC44)-1))))-1),"")</f>
        <v>46022</v>
      </c>
      <c r="L44" s="17" t="str">
        <f aca="false" t="array" ref="L44:L44">IFERROR(INDEX(AC44:AE44,IF(COUNTA(AC44:AE44)=0,"",MAX((AC44:AE44&lt;&gt;"")*(COLUMN(AC44:AE44)-(COLUMN(AC44)-2))))-1),"")</f>
        <v>ARCHIVED</v>
      </c>
      <c r="M44" s="13" t="n">
        <f aca="true">K44-TODAY()</f>
        <v>-302</v>
      </c>
      <c r="N44" s="18" t="s">
        <v>36</v>
      </c>
      <c r="O44" s="13" t="s">
        <v>146</v>
      </c>
      <c r="P44" s="19" t="n">
        <v>5195401</v>
      </c>
      <c r="Q44" s="20" t="s">
        <v>245</v>
      </c>
      <c r="R44" s="13" t="s">
        <v>246</v>
      </c>
      <c r="S44" s="14" t="n">
        <v>33747</v>
      </c>
      <c r="T44" s="13" t="s">
        <v>40</v>
      </c>
      <c r="U44" s="13" t="s">
        <v>247</v>
      </c>
      <c r="V44" s="13" t="s">
        <v>42</v>
      </c>
      <c r="W44" s="13" t="s">
        <v>54</v>
      </c>
      <c r="X44" s="21" t="n">
        <v>85784708800</v>
      </c>
      <c r="Y44" s="22" t="str">
        <f aca="false">O44</f>
        <v>Enamel</v>
      </c>
      <c r="Z44" s="13" t="str">
        <f aca="false">IFERROR(__xludf.dummyfunction("if(BJ44="""","""",GOOGLETRANSLATE(BJ44,""auto"",""en""))"),"Enamel")</f>
        <v>Enamel</v>
      </c>
      <c r="AA44" s="23" t="str">
        <f aca="false">IF(C44="","", CHOOSE(MONTH(C44),"January","February","March","April","May","June","July","August","September","October","November","December")&amp;" "&amp;DAY(C44)&amp;MID("thstndrdth",MIN(9,2*RIGHT(DAY(C44))*(MOD(DAY(C44)-11,100)&gt;2)+1),2)&amp;","&amp;TEXT(C44," yyyy"))</f>
        <v>July 8th,2019</v>
      </c>
      <c r="AB44" s="15" t="str">
        <f aca="true">IF(S44="","",DATEDIF(S44,TODAY(),"Y")&amp;" Tahun, "&amp;DATEDIF(S44,TODAY(),"YM")&amp;" Bulan, "&amp;DATEDIF(S44,TODAY(),"MD")&amp;" Hari")</f>
        <v>34 Tahun, 5 Bulan, 6 Hari</v>
      </c>
      <c r="AC44" s="18" t="n">
        <v>45658</v>
      </c>
      <c r="AD44" s="18" t="n">
        <v>46022</v>
      </c>
      <c r="AE44" s="18" t="s">
        <v>44</v>
      </c>
    </row>
    <row r="45" customFormat="false" ht="15" hidden="false" customHeight="true" outlineLevel="0" collapsed="false">
      <c r="A45" s="12" t="n">
        <v>240</v>
      </c>
      <c r="B45" s="13" t="s">
        <v>248</v>
      </c>
      <c r="C45" s="14" t="n">
        <v>43754</v>
      </c>
      <c r="D45" s="13" t="s">
        <v>144</v>
      </c>
      <c r="E45" s="15" t="s">
        <v>47</v>
      </c>
      <c r="F45" s="15" t="str">
        <f aca="false">IFERROR(__xludf.dummyfunction("XLOOKUP(AJ45,IMPORTRANGE(""1XaInW9DU9nz21V0tYIfzFQ0He9kVQ_JF2mCXgZ3hqFA"",""REKAP ALL 2026 - Andika!G:G""),IMPORTRANGE(""1XaInW9DU9nz21V0tYIfzFQ0He9kVQ_JF2mCXgZ3hqFA"",""REKAP ALL 2026 - Andika!F:F""),"""",0)"),"14017347775")</f>
        <v>14017347775</v>
      </c>
      <c r="G45" s="13" t="s">
        <v>249</v>
      </c>
      <c r="H45" s="13" t="s">
        <v>35</v>
      </c>
      <c r="I45" s="13" t="str">
        <f aca="false">IF(C45=J45,"NEW KONTRAK","RE-KONTRAK")</f>
        <v>RE-KONTRAK</v>
      </c>
      <c r="J45" s="16" t="n">
        <f aca="false" t="array" ref="J45:J45">IFERROR(INDEX(AC45:AE45,IF(COUNTA(AC45:AE45)=0,"",MAX((AC45:AE45&lt;&gt;"")*(COLUMN(AC45:AE45)-(COLUMN(AC45)))))-1),"")</f>
        <v>45658</v>
      </c>
      <c r="K45" s="16" t="n">
        <f aca="false" t="array" ref="K45:K45">IFERROR(INDEX(AC45:AE45,IF(COUNTA(AC45:AE45)=0,"",MAX((AC45:AE45&lt;&gt;"")*(COLUMN(AC45:AE45)-(COLUMN(AC45)-1))))-1),"")</f>
        <v>46022</v>
      </c>
      <c r="L45" s="17" t="str">
        <f aca="false" t="array" ref="L45:L45">IFERROR(INDEX(AC45:AE45,IF(COUNTA(AC45:AE45)=0,"",MAX((AC45:AE45&lt;&gt;"")*(COLUMN(AC45:AE45)-(COLUMN(AC45)-2))))-1),"")</f>
        <v>ARCHIVED</v>
      </c>
      <c r="M45" s="13" t="n">
        <f aca="true">K45-TODAY()</f>
        <v>-302</v>
      </c>
      <c r="N45" s="18" t="s">
        <v>36</v>
      </c>
      <c r="O45" s="13" t="s">
        <v>156</v>
      </c>
      <c r="P45" s="19" t="n">
        <v>5195401</v>
      </c>
      <c r="Q45" s="20" t="s">
        <v>250</v>
      </c>
      <c r="R45" s="13" t="s">
        <v>65</v>
      </c>
      <c r="S45" s="14" t="n">
        <v>32838</v>
      </c>
      <c r="T45" s="13" t="s">
        <v>40</v>
      </c>
      <c r="U45" s="13" t="s">
        <v>251</v>
      </c>
      <c r="V45" s="13" t="s">
        <v>42</v>
      </c>
      <c r="W45" s="13" t="s">
        <v>54</v>
      </c>
      <c r="X45" s="21" t="n">
        <v>83849829729</v>
      </c>
      <c r="Y45" s="22" t="str">
        <f aca="false">O45</f>
        <v>Emulsion</v>
      </c>
      <c r="Z45" s="13" t="str">
        <f aca="false">IFERROR(__xludf.dummyfunction("if(BJ45="""","""",GOOGLETRANSLATE(BJ45,""auto"",""en""))"),"Emulsion")</f>
        <v>Emulsion</v>
      </c>
      <c r="AA45" s="23" t="str">
        <f aca="false">IF(C45="","", CHOOSE(MONTH(C45),"January","February","March","April","May","June","July","August","September","October","November","December")&amp;" "&amp;DAY(C45)&amp;MID("thstndrdth",MIN(9,2*RIGHT(DAY(C45))*(MOD(DAY(C45)-11,100)&gt;2)+1),2)&amp;","&amp;TEXT(C45," yyyy"))</f>
        <v>October 16th,2019</v>
      </c>
      <c r="AB45" s="15" t="str">
        <f aca="true">IF(S45="","",DATEDIF(S45,TODAY(),"Y")&amp;" Tahun, "&amp;DATEDIF(S45,TODAY(),"YM")&amp;" Bulan, "&amp;DATEDIF(S45,TODAY(),"MD")&amp;" Hari")</f>
        <v>36 Tahun, 11 Bulan, 3 Hari</v>
      </c>
      <c r="AC45" s="18" t="n">
        <v>45658</v>
      </c>
      <c r="AD45" s="18" t="n">
        <v>46022</v>
      </c>
      <c r="AE45" s="18" t="s">
        <v>44</v>
      </c>
    </row>
    <row r="46" customFormat="false" ht="15" hidden="false" customHeight="true" outlineLevel="0" collapsed="false">
      <c r="A46" s="12" t="n">
        <v>242</v>
      </c>
      <c r="B46" s="13" t="s">
        <v>252</v>
      </c>
      <c r="C46" s="14" t="n">
        <v>43755</v>
      </c>
      <c r="D46" s="13" t="s">
        <v>144</v>
      </c>
      <c r="E46" s="15" t="s">
        <v>47</v>
      </c>
      <c r="F46" s="15" t="str">
        <f aca="false">IFERROR(__xludf.dummyfunction("XLOOKUP(AJ46,IMPORTRANGE(""1XaInW9DU9nz21V0tYIfzFQ0He9kVQ_JF2mCXgZ3hqFA"",""REKAP ALL 2026 - Andika!G:G""),IMPORTRANGE(""1XaInW9DU9nz21V0tYIfzFQ0He9kVQ_JF2mCXgZ3hqFA"",""REKAP ALL 2026 - Andika!F:F""),"""",0)"),"11023750265")</f>
        <v>11023750265</v>
      </c>
      <c r="G46" s="13" t="s">
        <v>253</v>
      </c>
      <c r="H46" s="13" t="s">
        <v>35</v>
      </c>
      <c r="I46" s="13" t="str">
        <f aca="false">IF(C46=J46,"NEW KONTRAK","RE-KONTRAK")</f>
        <v>RE-KONTRAK</v>
      </c>
      <c r="J46" s="16" t="n">
        <f aca="false" t="array" ref="J46:J46">IFERROR(INDEX(AC46:AE46,IF(COUNTA(AC46:AE46)=0,"",MAX((AC46:AE46&lt;&gt;"")*(COLUMN(AC46:AE46)-(COLUMN(AC46)))))-1),"")</f>
        <v>45658</v>
      </c>
      <c r="K46" s="16" t="n">
        <f aca="false" t="array" ref="K46:K46">IFERROR(INDEX(AC46:AE46,IF(COUNTA(AC46:AE46)=0,"",MAX((AC46:AE46&lt;&gt;"")*(COLUMN(AC46:AE46)-(COLUMN(AC46)-1))))-1),"")</f>
        <v>46022</v>
      </c>
      <c r="L46" s="17" t="str">
        <f aca="false" t="array" ref="L46:L46">IFERROR(INDEX(AC46:AE46,IF(COUNTA(AC46:AE46)=0,"",MAX((AC46:AE46&lt;&gt;"")*(COLUMN(AC46:AE46)-(COLUMN(AC46)-2))))-1),"")</f>
        <v>ARCHIVED</v>
      </c>
      <c r="M46" s="13" t="n">
        <f aca="true">K46-TODAY()</f>
        <v>-302</v>
      </c>
      <c r="N46" s="18" t="s">
        <v>36</v>
      </c>
      <c r="O46" s="13" t="s">
        <v>156</v>
      </c>
      <c r="P46" s="19" t="n">
        <v>5195401</v>
      </c>
      <c r="Q46" s="20" t="s">
        <v>254</v>
      </c>
      <c r="R46" s="13" t="s">
        <v>255</v>
      </c>
      <c r="S46" s="14" t="n">
        <v>33972</v>
      </c>
      <c r="T46" s="13" t="s">
        <v>40</v>
      </c>
      <c r="U46" s="13" t="s">
        <v>256</v>
      </c>
      <c r="V46" s="13" t="s">
        <v>42</v>
      </c>
      <c r="W46" s="13" t="s">
        <v>54</v>
      </c>
      <c r="X46" s="21" t="n">
        <v>85733832039</v>
      </c>
      <c r="Y46" s="22" t="str">
        <f aca="false">O46</f>
        <v>Emulsion</v>
      </c>
      <c r="Z46" s="13" t="str">
        <f aca="false">IFERROR(__xludf.dummyfunction("if(BJ46="""","""",GOOGLETRANSLATE(BJ46,""auto"",""en""))"),"Emulsion")</f>
        <v>Emulsion</v>
      </c>
      <c r="AA46" s="23" t="str">
        <f aca="false">IF(C46="","", CHOOSE(MONTH(C46),"January","February","March","April","May","June","July","August","September","October","November","December")&amp;" "&amp;DAY(C46)&amp;MID("thstndrdth",MIN(9,2*RIGHT(DAY(C46))*(MOD(DAY(C46)-11,100)&gt;2)+1),2)&amp;","&amp;TEXT(C46," yyyy"))</f>
        <v>October 17th,2019</v>
      </c>
      <c r="AB46" s="15" t="str">
        <f aca="true">IF(S46="","",DATEDIF(S46,TODAY(),"Y")&amp;" Tahun, "&amp;DATEDIF(S46,TODAY(),"YM")&amp;" Bulan, "&amp;DATEDIF(S46,TODAY(),"MD")&amp;" Hari")</f>
        <v>33 Tahun, 9 Bulan, 26 Hari</v>
      </c>
      <c r="AC46" s="18" t="n">
        <v>45658</v>
      </c>
      <c r="AD46" s="18" t="n">
        <v>46022</v>
      </c>
      <c r="AE46" s="18" t="s">
        <v>44</v>
      </c>
    </row>
    <row r="47" customFormat="false" ht="15" hidden="false" customHeight="true" outlineLevel="0" collapsed="false">
      <c r="A47" s="12" t="n">
        <v>243</v>
      </c>
      <c r="B47" s="13" t="s">
        <v>257</v>
      </c>
      <c r="C47" s="14" t="n">
        <v>43763</v>
      </c>
      <c r="D47" s="13" t="s">
        <v>144</v>
      </c>
      <c r="E47" s="15" t="s">
        <v>47</v>
      </c>
      <c r="F47" s="15" t="str">
        <f aca="false">IFERROR(__xludf.dummyfunction("XLOOKUP(AJ47,IMPORTRANGE(""1XaInW9DU9nz21V0tYIfzFQ0He9kVQ_JF2mCXgZ3hqFA"",""REKAP ALL 2026 - Andika!G:G""),IMPORTRANGE(""1XaInW9DU9nz21V0tYIfzFQ0He9kVQ_JF2mCXgZ3hqFA"",""REKAP ALL 2026 - Andika!F:F""),"""",0)"),"18002486613")</f>
        <v>18002486613</v>
      </c>
      <c r="G47" s="13" t="s">
        <v>258</v>
      </c>
      <c r="H47" s="13" t="s">
        <v>35</v>
      </c>
      <c r="I47" s="13" t="str">
        <f aca="false">IF(C47=J47,"NEW KONTRAK","RE-KONTRAK")</f>
        <v>RE-KONTRAK</v>
      </c>
      <c r="J47" s="16" t="n">
        <f aca="false" t="array" ref="J47:J47">IFERROR(INDEX(AC47:AE47,IF(COUNTA(AC47:AE47)=0,"",MAX((AC47:AE47&lt;&gt;"")*(COLUMN(AC47:AE47)-(COLUMN(AC47)))))-1),"")</f>
        <v>45658</v>
      </c>
      <c r="K47" s="16" t="n">
        <f aca="false" t="array" ref="K47:K47">IFERROR(INDEX(AC47:AE47,IF(COUNTA(AC47:AE47)=0,"",MAX((AC47:AE47&lt;&gt;"")*(COLUMN(AC47:AE47)-(COLUMN(AC47)-1))))-1),"")</f>
        <v>46022</v>
      </c>
      <c r="L47" s="17" t="str">
        <f aca="false" t="array" ref="L47:L47">IFERROR(INDEX(AC47:AE47,IF(COUNTA(AC47:AE47)=0,"",MAX((AC47:AE47&lt;&gt;"")*(COLUMN(AC47:AE47)-(COLUMN(AC47)-2))))-1),"")</f>
        <v>ARCHIVED</v>
      </c>
      <c r="M47" s="13" t="n">
        <f aca="true">K47-TODAY()</f>
        <v>-302</v>
      </c>
      <c r="N47" s="18" t="s">
        <v>36</v>
      </c>
      <c r="O47" s="13" t="s">
        <v>156</v>
      </c>
      <c r="P47" s="19" t="n">
        <v>5195401</v>
      </c>
      <c r="Q47" s="20" t="s">
        <v>259</v>
      </c>
      <c r="R47" s="13" t="s">
        <v>260</v>
      </c>
      <c r="S47" s="14" t="n">
        <v>29536</v>
      </c>
      <c r="T47" s="13" t="s">
        <v>40</v>
      </c>
      <c r="U47" s="13" t="s">
        <v>261</v>
      </c>
      <c r="V47" s="13" t="s">
        <v>42</v>
      </c>
      <c r="W47" s="13" t="s">
        <v>54</v>
      </c>
      <c r="X47" s="21" t="n">
        <v>85225903980</v>
      </c>
      <c r="Y47" s="22" t="str">
        <f aca="false">O47</f>
        <v>Emulsion</v>
      </c>
      <c r="Z47" s="13" t="str">
        <f aca="false">IFERROR(__xludf.dummyfunction("if(BJ47="""","""",GOOGLETRANSLATE(BJ47,""auto"",""en""))"),"Emulsion")</f>
        <v>Emulsion</v>
      </c>
      <c r="AA47" s="23" t="str">
        <f aca="false">IF(C47="","", CHOOSE(MONTH(C47),"January","February","March","April","May","June","July","August","September","October","November","December")&amp;" "&amp;DAY(C47)&amp;MID("thstndrdth",MIN(9,2*RIGHT(DAY(C47))*(MOD(DAY(C47)-11,100)&gt;2)+1),2)&amp;","&amp;TEXT(C47," yyyy"))</f>
        <v>October 25th,2019</v>
      </c>
      <c r="AB47" s="15" t="str">
        <f aca="true">IF(S47="","",DATEDIF(S47,TODAY(),"Y")&amp;" Tahun, "&amp;DATEDIF(S47,TODAY(),"YM")&amp;" Bulan, "&amp;DATEDIF(S47,TODAY(),"MD")&amp;" Hari")</f>
        <v>45 Tahun, 11 Bulan, 18 Hari</v>
      </c>
      <c r="AC47" s="18" t="n">
        <v>45658</v>
      </c>
      <c r="AD47" s="18" t="n">
        <v>46022</v>
      </c>
      <c r="AE47" s="18" t="s">
        <v>44</v>
      </c>
    </row>
    <row r="48" customFormat="false" ht="15" hidden="false" customHeight="true" outlineLevel="0" collapsed="false">
      <c r="A48" s="12" t="n">
        <v>244</v>
      </c>
      <c r="B48" s="13" t="s">
        <v>262</v>
      </c>
      <c r="C48" s="14" t="n">
        <v>42844</v>
      </c>
      <c r="D48" s="13" t="s">
        <v>144</v>
      </c>
      <c r="E48" s="15" t="s">
        <v>102</v>
      </c>
      <c r="F48" s="15" t="str">
        <f aca="false">IFERROR(__xludf.dummyfunction("XLOOKUP(AJ48,IMPORTRANGE(""1XaInW9DU9nz21V0tYIfzFQ0He9kVQ_JF2mCXgZ3hqFA"",""REKAP ALL 2026 - Andika!G:G""),IMPORTRANGE(""1XaInW9DU9nz21V0tYIfzFQ0He9kVQ_JF2mCXgZ3hqFA"",""REKAP ALL 2026 - Andika!F:F""),"""",0)"),"19098170913")</f>
        <v>19098170913</v>
      </c>
      <c r="G48" s="13" t="s">
        <v>263</v>
      </c>
      <c r="H48" s="13" t="s">
        <v>35</v>
      </c>
      <c r="I48" s="13" t="str">
        <f aca="false">IF(C48=J48,"NEW KONTRAK","RE-KONTRAK")</f>
        <v>RE-KONTRAK</v>
      </c>
      <c r="J48" s="16" t="n">
        <f aca="false" t="array" ref="J48:J48">IFERROR(INDEX(AC48:AE48,IF(COUNTA(AC48:AE48)=0,"",MAX((AC48:AE48&lt;&gt;"")*(COLUMN(AC48:AE48)-(COLUMN(AC48)))))-1),"")</f>
        <v>45658</v>
      </c>
      <c r="K48" s="16" t="n">
        <f aca="false" t="array" ref="K48:K48">IFERROR(INDEX(AC48:AE48,IF(COUNTA(AC48:AE48)=0,"",MAX((AC48:AE48&lt;&gt;"")*(COLUMN(AC48:AE48)-(COLUMN(AC48)-1))))-1),"")</f>
        <v>46022</v>
      </c>
      <c r="L48" s="17" t="str">
        <f aca="false" t="array" ref="L48:L48">IFERROR(INDEX(AC48:AE48,IF(COUNTA(AC48:AE48)=0,"",MAX((AC48:AE48&lt;&gt;"")*(COLUMN(AC48:AE48)-(COLUMN(AC48)-2))))-1),"")</f>
        <v>ARCHIVED</v>
      </c>
      <c r="M48" s="13" t="n">
        <f aca="true">K48-TODAY()</f>
        <v>-302</v>
      </c>
      <c r="N48" s="18" t="s">
        <v>36</v>
      </c>
      <c r="O48" s="13" t="s">
        <v>264</v>
      </c>
      <c r="P48" s="19" t="n">
        <v>5195401</v>
      </c>
      <c r="Q48" s="20" t="s">
        <v>265</v>
      </c>
      <c r="R48" s="13" t="s">
        <v>39</v>
      </c>
      <c r="S48" s="14" t="n">
        <v>35316</v>
      </c>
      <c r="T48" s="13" t="s">
        <v>40</v>
      </c>
      <c r="U48" s="13" t="s">
        <v>266</v>
      </c>
      <c r="V48" s="13" t="s">
        <v>42</v>
      </c>
      <c r="W48" s="13" t="s">
        <v>43</v>
      </c>
      <c r="X48" s="21" t="n">
        <v>89678648789</v>
      </c>
      <c r="Y48" s="22" t="str">
        <f aca="false">O48</f>
        <v>Premixing</v>
      </c>
      <c r="Z48" s="13" t="str">
        <f aca="false">IFERROR(__xludf.dummyfunction("if(BJ48="""","""",GOOGLETRANSLATE(BJ48,""auto"",""en""))"),"Premixing")</f>
        <v>Premixing</v>
      </c>
      <c r="AA48" s="23" t="str">
        <f aca="false">IF(C48="","", CHOOSE(MONTH(C48),"January","February","March","April","May","June","July","August","September","October","November","December")&amp;" "&amp;DAY(C48)&amp;MID("thstndrdth",MIN(9,2*RIGHT(DAY(C48))*(MOD(DAY(C48)-11,100)&gt;2)+1),2)&amp;","&amp;TEXT(C48," yyyy"))</f>
        <v>April 19th,2017</v>
      </c>
      <c r="AB48" s="15" t="str">
        <f aca="true">IF(S48="","",DATEDIF(S48,TODAY(),"Y")&amp;" Tahun, "&amp;DATEDIF(S48,TODAY(),"YM")&amp;" Bulan, "&amp;DATEDIF(S48,TODAY(),"MD")&amp;" Hari")</f>
        <v>30 Tahun, 1 Bulan, 21 Hari</v>
      </c>
      <c r="AC48" s="18" t="n">
        <v>45658</v>
      </c>
      <c r="AD48" s="18" t="n">
        <v>46022</v>
      </c>
      <c r="AE48" s="18" t="s">
        <v>44</v>
      </c>
    </row>
    <row r="49" customFormat="false" ht="15" hidden="false" customHeight="true" outlineLevel="0" collapsed="false">
      <c r="A49" s="12" t="n">
        <v>246</v>
      </c>
      <c r="B49" s="13" t="s">
        <v>267</v>
      </c>
      <c r="C49" s="14" t="n">
        <v>43770</v>
      </c>
      <c r="D49" s="13" t="s">
        <v>144</v>
      </c>
      <c r="E49" s="15" t="s">
        <v>102</v>
      </c>
      <c r="F49" s="15" t="str">
        <f aca="false">IFERROR(__xludf.dummyfunction("XLOOKUP(AJ49,IMPORTRANGE(""1XaInW9DU9nz21V0tYIfzFQ0He9kVQ_JF2mCXgZ3hqFA"",""REKAP ALL 2026 - Andika!G:G""),IMPORTRANGE(""1XaInW9DU9nz21V0tYIfzFQ0He9kVQ_JF2mCXgZ3hqFA"",""REKAP ALL 2026 - Andika!F:F""),"""",0)"),"18071569398")</f>
        <v>18071569398</v>
      </c>
      <c r="G49" s="13" t="s">
        <v>268</v>
      </c>
      <c r="H49" s="13" t="s">
        <v>35</v>
      </c>
      <c r="I49" s="13" t="str">
        <f aca="false">IF(C49=J49,"NEW KONTRAK","RE-KONTRAK")</f>
        <v>RE-KONTRAK</v>
      </c>
      <c r="J49" s="16" t="n">
        <f aca="false" t="array" ref="J49:J49">IFERROR(INDEX(AC49:AE49,IF(COUNTA(AC49:AE49)=0,"",MAX((AC49:AE49&lt;&gt;"")*(COLUMN(AC49:AE49)-(COLUMN(AC49)))))-1),"")</f>
        <v>45658</v>
      </c>
      <c r="K49" s="16" t="n">
        <f aca="false" t="array" ref="K49:K49">IFERROR(INDEX(AC49:AE49,IF(COUNTA(AC49:AE49)=0,"",MAX((AC49:AE49&lt;&gt;"")*(COLUMN(AC49:AE49)-(COLUMN(AC49)-1))))-1),"")</f>
        <v>46022</v>
      </c>
      <c r="L49" s="17" t="str">
        <f aca="false" t="array" ref="L49:L49">IFERROR(INDEX(AC49:AE49,IF(COUNTA(AC49:AE49)=0,"",MAX((AC49:AE49&lt;&gt;"")*(COLUMN(AC49:AE49)-(COLUMN(AC49)-2))))-1),"")</f>
        <v>ARCHIVED</v>
      </c>
      <c r="M49" s="13" t="n">
        <f aca="true">K49-TODAY()</f>
        <v>-302</v>
      </c>
      <c r="N49" s="18" t="s">
        <v>36</v>
      </c>
      <c r="O49" s="13" t="s">
        <v>156</v>
      </c>
      <c r="P49" s="19" t="n">
        <v>5195401</v>
      </c>
      <c r="Q49" s="20" t="s">
        <v>269</v>
      </c>
      <c r="R49" s="13" t="s">
        <v>232</v>
      </c>
      <c r="S49" s="14" t="n">
        <v>35542</v>
      </c>
      <c r="T49" s="13" t="s">
        <v>40</v>
      </c>
      <c r="U49" s="13" t="s">
        <v>270</v>
      </c>
      <c r="V49" s="13" t="s">
        <v>42</v>
      </c>
      <c r="W49" s="13" t="s">
        <v>43</v>
      </c>
      <c r="X49" s="21" t="n">
        <v>81515760279</v>
      </c>
      <c r="Y49" s="22" t="str">
        <f aca="false">O49</f>
        <v>Emulsion</v>
      </c>
      <c r="Z49" s="13" t="str">
        <f aca="false">IFERROR(__xludf.dummyfunction("if(BJ49="""","""",GOOGLETRANSLATE(BJ49,""auto"",""en""))"),"Emulsion")</f>
        <v>Emulsion</v>
      </c>
      <c r="AA49" s="23" t="str">
        <f aca="false">IF(C49="","", CHOOSE(MONTH(C49),"January","February","March","April","May","June","July","August","September","October","November","December")&amp;" "&amp;DAY(C49)&amp;MID("thstndrdth",MIN(9,2*RIGHT(DAY(C49))*(MOD(DAY(C49)-11,100)&gt;2)+1),2)&amp;","&amp;TEXT(C49," yyyy"))</f>
        <v>November 1st,2019</v>
      </c>
      <c r="AB49" s="15" t="str">
        <f aca="true">IF(S49="","",DATEDIF(S49,TODAY(),"Y")&amp;" Tahun, "&amp;DATEDIF(S49,TODAY(),"YM")&amp;" Bulan, "&amp;DATEDIF(S49,TODAY(),"MD")&amp;" Hari")</f>
        <v>29 Tahun, 6 Bulan, 7 Hari</v>
      </c>
      <c r="AC49" s="18" t="n">
        <v>45658</v>
      </c>
      <c r="AD49" s="18" t="n">
        <v>46022</v>
      </c>
      <c r="AE49" s="18" t="s">
        <v>44</v>
      </c>
    </row>
    <row r="50" customFormat="false" ht="15" hidden="false" customHeight="true" outlineLevel="0" collapsed="false">
      <c r="A50" s="12" t="n">
        <v>247</v>
      </c>
      <c r="B50" s="13" t="s">
        <v>271</v>
      </c>
      <c r="C50" s="14" t="n">
        <v>43770</v>
      </c>
      <c r="D50" s="13" t="s">
        <v>144</v>
      </c>
      <c r="E50" s="15" t="s">
        <v>47</v>
      </c>
      <c r="F50" s="15" t="str">
        <f aca="false">IFERROR(__xludf.dummyfunction("XLOOKUP(AJ50,IMPORTRANGE(""1XaInW9DU9nz21V0tYIfzFQ0He9kVQ_JF2mCXgZ3hqFA"",""REKAP ALL 2026 - Andika!G:G""),IMPORTRANGE(""1XaInW9DU9nz21V0tYIfzFQ0He9kVQ_JF2mCXgZ3hqFA"",""REKAP ALL 2026 - Andika!F:F""),"""",0)"),"18071569372")</f>
        <v>18071569372</v>
      </c>
      <c r="G50" s="13" t="s">
        <v>272</v>
      </c>
      <c r="H50" s="13" t="s">
        <v>35</v>
      </c>
      <c r="I50" s="13" t="str">
        <f aca="false">IF(C50=J50,"NEW KONTRAK","RE-KONTRAK")</f>
        <v>RE-KONTRAK</v>
      </c>
      <c r="J50" s="16" t="n">
        <f aca="false" t="array" ref="J50:J50">IFERROR(INDEX(AC50:AE50,IF(COUNTA(AC50:AE50)=0,"",MAX((AC50:AE50&lt;&gt;"")*(COLUMN(AC50:AE50)-(COLUMN(AC50)))))-1),"")</f>
        <v>45658</v>
      </c>
      <c r="K50" s="16" t="n">
        <f aca="false" t="array" ref="K50:K50">IFERROR(INDEX(AC50:AE50,IF(COUNTA(AC50:AE50)=0,"",MAX((AC50:AE50&lt;&gt;"")*(COLUMN(AC50:AE50)-(COLUMN(AC50)-1))))-1),"")</f>
        <v>46022</v>
      </c>
      <c r="L50" s="17" t="str">
        <f aca="false" t="array" ref="L50:L50">IFERROR(INDEX(AC50:AE50,IF(COUNTA(AC50:AE50)=0,"",MAX((AC50:AE50&lt;&gt;"")*(COLUMN(AC50:AE50)-(COLUMN(AC50)-2))))-1),"")</f>
        <v>ARCHIVED</v>
      </c>
      <c r="M50" s="13" t="n">
        <f aca="true">K50-TODAY()</f>
        <v>-302</v>
      </c>
      <c r="N50" s="18" t="s">
        <v>36</v>
      </c>
      <c r="O50" s="13" t="s">
        <v>156</v>
      </c>
      <c r="P50" s="19" t="n">
        <v>5195401</v>
      </c>
      <c r="Q50" s="20" t="s">
        <v>273</v>
      </c>
      <c r="R50" s="13" t="s">
        <v>274</v>
      </c>
      <c r="S50" s="14" t="n">
        <v>34482</v>
      </c>
      <c r="T50" s="13" t="s">
        <v>40</v>
      </c>
      <c r="U50" s="13" t="s">
        <v>275</v>
      </c>
      <c r="V50" s="13" t="s">
        <v>42</v>
      </c>
      <c r="W50" s="13" t="s">
        <v>43</v>
      </c>
      <c r="X50" s="21" t="n">
        <v>85733180454</v>
      </c>
      <c r="Y50" s="22" t="str">
        <f aca="false">O50</f>
        <v>Emulsion</v>
      </c>
      <c r="Z50" s="13" t="str">
        <f aca="false">IFERROR(__xludf.dummyfunction("if(BJ50="""","""",GOOGLETRANSLATE(BJ50,""auto"",""en""))"),"Emulsion")</f>
        <v>Emulsion</v>
      </c>
      <c r="AA50" s="23" t="str">
        <f aca="false">IF(C50="","", CHOOSE(MONTH(C50),"January","February","March","April","May","June","July","August","September","October","November","December")&amp;" "&amp;DAY(C50)&amp;MID("thstndrdth",MIN(9,2*RIGHT(DAY(C50))*(MOD(DAY(C50)-11,100)&gt;2)+1),2)&amp;","&amp;TEXT(C50," yyyy"))</f>
        <v>November 1st,2019</v>
      </c>
      <c r="AB50" s="15" t="str">
        <f aca="true">IF(S50="","",DATEDIF(S50,TODAY(),"Y")&amp;" Tahun, "&amp;DATEDIF(S50,TODAY(),"YM")&amp;" Bulan, "&amp;DATEDIF(S50,TODAY(),"MD")&amp;" Hari")</f>
        <v>32 Tahun, 5 Bulan, 1 Hari</v>
      </c>
      <c r="AC50" s="18" t="n">
        <v>45658</v>
      </c>
      <c r="AD50" s="18" t="n">
        <v>46022</v>
      </c>
      <c r="AE50" s="18" t="s">
        <v>44</v>
      </c>
    </row>
    <row r="51" customFormat="false" ht="15" hidden="false" customHeight="true" outlineLevel="0" collapsed="false">
      <c r="A51" s="12" t="n">
        <v>249</v>
      </c>
      <c r="B51" s="13" t="s">
        <v>276</v>
      </c>
      <c r="C51" s="14" t="n">
        <v>44047</v>
      </c>
      <c r="D51" s="13" t="s">
        <v>144</v>
      </c>
      <c r="E51" s="15" t="s">
        <v>47</v>
      </c>
      <c r="F51" s="15" t="str">
        <f aca="false">IFERROR(__xludf.dummyfunction("XLOOKUP(AJ51,IMPORTRANGE(""1XaInW9DU9nz21V0tYIfzFQ0He9kVQ_JF2mCXgZ3hqFA"",""REKAP ALL 2026 - Andika!G:G""),IMPORTRANGE(""1XaInW9DU9nz21V0tYIfzFQ0He9kVQ_JF2mCXgZ3hqFA"",""REKAP ALL 2026 - Andika!F:F""),"""",0)"),"19098171028")</f>
        <v>19098171028</v>
      </c>
      <c r="G51" s="13" t="s">
        <v>277</v>
      </c>
      <c r="H51" s="13" t="s">
        <v>35</v>
      </c>
      <c r="I51" s="13" t="str">
        <f aca="false">IF(C51=J51,"NEW KONTRAK","RE-KONTRAK")</f>
        <v>RE-KONTRAK</v>
      </c>
      <c r="J51" s="16" t="n">
        <f aca="false" t="array" ref="J51:J51">IFERROR(INDEX(AC51:AE51,IF(COUNTA(AC51:AE51)=0,"",MAX((AC51:AE51&lt;&gt;"")*(COLUMN(AC51:AE51)-(COLUMN(AC51)))))-1),"")</f>
        <v>45658</v>
      </c>
      <c r="K51" s="16" t="n">
        <f aca="false" t="array" ref="K51:K51">IFERROR(INDEX(AC51:AE51,IF(COUNTA(AC51:AE51)=0,"",MAX((AC51:AE51&lt;&gt;"")*(COLUMN(AC51:AE51)-(COLUMN(AC51)-1))))-1),"")</f>
        <v>46022</v>
      </c>
      <c r="L51" s="17" t="str">
        <f aca="false" t="array" ref="L51:L51">IFERROR(INDEX(AC51:AE51,IF(COUNTA(AC51:AE51)=0,"",MAX((AC51:AE51&lt;&gt;"")*(COLUMN(AC51:AE51)-(COLUMN(AC51)-2))))-1),"")</f>
        <v>ARCHIVED</v>
      </c>
      <c r="M51" s="13" t="n">
        <f aca="true">K51-TODAY()</f>
        <v>-302</v>
      </c>
      <c r="N51" s="18" t="s">
        <v>36</v>
      </c>
      <c r="O51" s="13" t="s">
        <v>161</v>
      </c>
      <c r="P51" s="19" t="n">
        <v>5195401</v>
      </c>
      <c r="Q51" s="20" t="s">
        <v>278</v>
      </c>
      <c r="R51" s="13" t="s">
        <v>65</v>
      </c>
      <c r="S51" s="14" t="n">
        <v>29258</v>
      </c>
      <c r="T51" s="13" t="s">
        <v>40</v>
      </c>
      <c r="U51" s="13" t="s">
        <v>279</v>
      </c>
      <c r="V51" s="13" t="s">
        <v>42</v>
      </c>
      <c r="W51" s="13" t="s">
        <v>43</v>
      </c>
      <c r="X51" s="21" t="n">
        <v>81554673080</v>
      </c>
      <c r="Y51" s="22" t="str">
        <f aca="false">O51</f>
        <v>RM Store</v>
      </c>
      <c r="Z51" s="13" t="str">
        <f aca="false">IFERROR(__xludf.dummyfunction("if(BJ51="""","""",GOOGLETRANSLATE(BJ51,""auto"",""en""))"),"RM Store")</f>
        <v>RM Store</v>
      </c>
      <c r="AA51" s="23" t="str">
        <f aca="false">IF(C51="","", CHOOSE(MONTH(C51),"January","February","March","April","May","June","July","August","September","October","November","December")&amp;" "&amp;DAY(C51)&amp;MID("thstndrdth",MIN(9,2*RIGHT(DAY(C51))*(MOD(DAY(C51)-11,100)&gt;2)+1),2)&amp;","&amp;TEXT(C51," yyyy"))</f>
        <v>August 4th,2020</v>
      </c>
      <c r="AB51" s="15" t="str">
        <f aca="true">IF(S51="","",DATEDIF(S51,TODAY(),"Y")&amp;" Tahun, "&amp;DATEDIF(S51,TODAY(),"YM")&amp;" Bulan, "&amp;DATEDIF(S51,TODAY(),"MD")&amp;" Hari")</f>
        <v>46 Tahun, 8 Bulan, 22 Hari</v>
      </c>
      <c r="AC51" s="18" t="n">
        <v>45658</v>
      </c>
      <c r="AD51" s="18" t="n">
        <v>46022</v>
      </c>
      <c r="AE51" s="18" t="s">
        <v>44</v>
      </c>
    </row>
    <row r="52" customFormat="false" ht="15" hidden="false" customHeight="true" outlineLevel="0" collapsed="false">
      <c r="A52" s="12" t="n">
        <v>253</v>
      </c>
      <c r="B52" s="13" t="s">
        <v>280</v>
      </c>
      <c r="C52" s="14" t="n">
        <v>43999</v>
      </c>
      <c r="D52" s="13" t="s">
        <v>144</v>
      </c>
      <c r="E52" s="15" t="s">
        <v>47</v>
      </c>
      <c r="F52" s="15" t="str">
        <f aca="false">IFERROR(__xludf.dummyfunction("XLOOKUP(AJ52,IMPORTRANGE(""1XaInW9DU9nz21V0tYIfzFQ0He9kVQ_JF2mCXgZ3hqFA"",""REKAP ALL 2026 - Andika!G:G""),IMPORTRANGE(""1XaInW9DU9nz21V0tYIfzFQ0He9kVQ_JF2mCXgZ3hqFA"",""REKAP ALL 2026 - Andika!F:F""),"""",0)"),"19004381356")</f>
        <v>19004381356</v>
      </c>
      <c r="G52" s="13" t="s">
        <v>281</v>
      </c>
      <c r="H52" s="13" t="s">
        <v>35</v>
      </c>
      <c r="I52" s="13" t="str">
        <f aca="false">IF(C52=J52,"NEW KONTRAK","RE-KONTRAK")</f>
        <v>RE-KONTRAK</v>
      </c>
      <c r="J52" s="16" t="n">
        <f aca="false" t="array" ref="J52:J52">IFERROR(INDEX(AC52:AE52,IF(COUNTA(AC52:AE52)=0,"",MAX((AC52:AE52&lt;&gt;"")*(COLUMN(AC52:AE52)-(COLUMN(AC52)))))-1),"")</f>
        <v>45658</v>
      </c>
      <c r="K52" s="16" t="n">
        <f aca="false" t="array" ref="K52:K52">IFERROR(INDEX(AC52:AE52,IF(COUNTA(AC52:AE52)=0,"",MAX((AC52:AE52&lt;&gt;"")*(COLUMN(AC52:AE52)-(COLUMN(AC52)-1))))-1),"")</f>
        <v>46022</v>
      </c>
      <c r="L52" s="17" t="str">
        <f aca="false" t="array" ref="L52:L52">IFERROR(INDEX(AC52:AE52,IF(COUNTA(AC52:AE52)=0,"",MAX((AC52:AE52&lt;&gt;"")*(COLUMN(AC52:AE52)-(COLUMN(AC52)-2))))-1),"")</f>
        <v>ARCHIVED</v>
      </c>
      <c r="M52" s="13" t="n">
        <f aca="true">K52-TODAY()</f>
        <v>-302</v>
      </c>
      <c r="N52" s="18" t="s">
        <v>36</v>
      </c>
      <c r="O52" s="13" t="s">
        <v>156</v>
      </c>
      <c r="P52" s="19" t="n">
        <v>5195401</v>
      </c>
      <c r="Q52" s="20" t="s">
        <v>282</v>
      </c>
      <c r="R52" s="13" t="s">
        <v>232</v>
      </c>
      <c r="S52" s="14" t="n">
        <v>29970</v>
      </c>
      <c r="T52" s="13" t="s">
        <v>40</v>
      </c>
      <c r="U52" s="13" t="s">
        <v>283</v>
      </c>
      <c r="V52" s="13" t="s">
        <v>42</v>
      </c>
      <c r="W52" s="13" t="s">
        <v>43</v>
      </c>
      <c r="X52" s="21" t="n">
        <v>81330175660</v>
      </c>
      <c r="Y52" s="22" t="str">
        <f aca="false">O52</f>
        <v>Emulsion</v>
      </c>
      <c r="Z52" s="13" t="str">
        <f aca="false">IFERROR(__xludf.dummyfunction("if(BJ52="""","""",GOOGLETRANSLATE(BJ52,""auto"",""en""))"),"Emulsion")</f>
        <v>Emulsion</v>
      </c>
      <c r="AA52" s="23" t="str">
        <f aca="false">IF(C52="","", CHOOSE(MONTH(C52),"January","February","March","April","May","June","July","August","September","October","November","December")&amp;" "&amp;DAY(C52)&amp;MID("thstndrdth",MIN(9,2*RIGHT(DAY(C52))*(MOD(DAY(C52)-11,100)&gt;2)+1),2)&amp;","&amp;TEXT(C52," yyyy"))</f>
        <v>June 17th,2020</v>
      </c>
      <c r="AB52" s="15" t="str">
        <f aca="true">IF(S52="","",DATEDIF(S52,TODAY(),"Y")&amp;" Tahun, "&amp;DATEDIF(S52,TODAY(),"YM")&amp;" Bulan, "&amp;DATEDIF(S52,TODAY(),"MD")&amp;" Hari")</f>
        <v>44 Tahun, 9 Bulan, 10 Hari</v>
      </c>
      <c r="AC52" s="18" t="n">
        <v>45658</v>
      </c>
      <c r="AD52" s="18" t="n">
        <v>46022</v>
      </c>
      <c r="AE52" s="18" t="s">
        <v>44</v>
      </c>
    </row>
    <row r="53" customFormat="false" ht="15" hidden="false" customHeight="true" outlineLevel="0" collapsed="false">
      <c r="A53" s="12" t="n">
        <v>259</v>
      </c>
      <c r="B53" s="13" t="s">
        <v>284</v>
      </c>
      <c r="C53" s="14" t="n">
        <v>44061</v>
      </c>
      <c r="D53" s="13" t="s">
        <v>144</v>
      </c>
      <c r="E53" s="15" t="s">
        <v>47</v>
      </c>
      <c r="F53" s="15" t="str">
        <f aca="false">IFERROR(__xludf.dummyfunction("XLOOKUP(AJ53,IMPORTRANGE(""1XaInW9DU9nz21V0tYIfzFQ0He9kVQ_JF2mCXgZ3hqFA"",""REKAP ALL 2026 - Andika!G:G""),IMPORTRANGE(""1XaInW9DU9nz21V0tYIfzFQ0He9kVQ_JF2mCXgZ3hqFA"",""REKAP ALL 2026 - Andika!F:F""),"""",0)"),"20070188170")</f>
        <v>20070188170</v>
      </c>
      <c r="G53" s="13" t="s">
        <v>285</v>
      </c>
      <c r="H53" s="13" t="s">
        <v>35</v>
      </c>
      <c r="I53" s="13" t="str">
        <f aca="false">IF(C53=J53,"NEW KONTRAK","RE-KONTRAK")</f>
        <v>RE-KONTRAK</v>
      </c>
      <c r="J53" s="16" t="n">
        <f aca="false" t="array" ref="J53:J53">IFERROR(INDEX(AC53:AE53,IF(COUNTA(AC53:AE53)=0,"",MAX((AC53:AE53&lt;&gt;"")*(COLUMN(AC53:AE53)-(COLUMN(AC53)))))-1),"")</f>
        <v>45658</v>
      </c>
      <c r="K53" s="16" t="n">
        <f aca="false" t="array" ref="K53:K53">IFERROR(INDEX(AC53:AE53,IF(COUNTA(AC53:AE53)=0,"",MAX((AC53:AE53&lt;&gt;"")*(COLUMN(AC53:AE53)-(COLUMN(AC53)-1))))-1),"")</f>
        <v>46022</v>
      </c>
      <c r="L53" s="17" t="str">
        <f aca="false" t="array" ref="L53:L53">IFERROR(INDEX(AC53:AE53,IF(COUNTA(AC53:AE53)=0,"",MAX((AC53:AE53&lt;&gt;"")*(COLUMN(AC53:AE53)-(COLUMN(AC53)-2))))-1),"")</f>
        <v>ARCHIVED</v>
      </c>
      <c r="M53" s="13" t="n">
        <f aca="true">K53-TODAY()</f>
        <v>-302</v>
      </c>
      <c r="N53" s="18" t="s">
        <v>36</v>
      </c>
      <c r="O53" s="13" t="s">
        <v>156</v>
      </c>
      <c r="P53" s="19" t="n">
        <v>5195401</v>
      </c>
      <c r="Q53" s="20" t="s">
        <v>286</v>
      </c>
      <c r="R53" s="13" t="s">
        <v>78</v>
      </c>
      <c r="S53" s="14" t="n">
        <v>35900</v>
      </c>
      <c r="T53" s="13" t="s">
        <v>40</v>
      </c>
      <c r="U53" s="13" t="s">
        <v>287</v>
      </c>
      <c r="V53" s="13" t="s">
        <v>42</v>
      </c>
      <c r="W53" s="13" t="s">
        <v>43</v>
      </c>
      <c r="X53" s="21" t="n">
        <v>8563471213</v>
      </c>
      <c r="Y53" s="22" t="str">
        <f aca="false">O53</f>
        <v>Emulsion</v>
      </c>
      <c r="Z53" s="13" t="str">
        <f aca="false">IFERROR(__xludf.dummyfunction("if(BJ53="""","""",GOOGLETRANSLATE(BJ53,""auto"",""en""))"),"Emulsion")</f>
        <v>Emulsion</v>
      </c>
      <c r="AA53" s="23" t="str">
        <f aca="false">IF(C53="","", CHOOSE(MONTH(C53),"January","February","March","April","May","June","July","August","September","October","November","December")&amp;" "&amp;DAY(C53)&amp;MID("thstndrdth",MIN(9,2*RIGHT(DAY(C53))*(MOD(DAY(C53)-11,100)&gt;2)+1),2)&amp;","&amp;TEXT(C53," yyyy"))</f>
        <v>August 18th,2020</v>
      </c>
      <c r="AB53" s="15" t="str">
        <f aca="true">IF(S53="","",DATEDIF(S53,TODAY(),"Y")&amp;" Tahun, "&amp;DATEDIF(S53,TODAY(),"YM")&amp;" Bulan, "&amp;DATEDIF(S53,TODAY(),"MD")&amp;" Hari")</f>
        <v>28 Tahun, 6 Bulan, 14 Hari</v>
      </c>
      <c r="AC53" s="18" t="n">
        <v>45658</v>
      </c>
      <c r="AD53" s="18" t="n">
        <v>46022</v>
      </c>
      <c r="AE53" s="18" t="s">
        <v>44</v>
      </c>
    </row>
    <row r="54" customFormat="false" ht="15" hidden="false" customHeight="true" outlineLevel="0" collapsed="false">
      <c r="A54" s="12" t="n">
        <v>261</v>
      </c>
      <c r="B54" s="13" t="s">
        <v>288</v>
      </c>
      <c r="C54" s="14" t="n">
        <v>44061</v>
      </c>
      <c r="D54" s="13" t="s">
        <v>144</v>
      </c>
      <c r="E54" s="15" t="s">
        <v>47</v>
      </c>
      <c r="F54" s="15" t="str">
        <f aca="false">IFERROR(__xludf.dummyfunction("XLOOKUP(AJ54,IMPORTRANGE(""1XaInW9DU9nz21V0tYIfzFQ0He9kVQ_JF2mCXgZ3hqFA"",""REKAP ALL 2026 - Andika!G:G""),IMPORTRANGE(""1XaInW9DU9nz21V0tYIfzFQ0He9kVQ_JF2mCXgZ3hqFA"",""REKAP ALL 2026 - Andika!F:F""),"""",0)"),"11015684811")</f>
        <v>11015684811</v>
      </c>
      <c r="G54" s="13" t="s">
        <v>289</v>
      </c>
      <c r="H54" s="13" t="s">
        <v>35</v>
      </c>
      <c r="I54" s="13" t="str">
        <f aca="false">IF(C54=J54,"NEW KONTRAK","RE-KONTRAK")</f>
        <v>RE-KONTRAK</v>
      </c>
      <c r="J54" s="16" t="n">
        <f aca="false" t="array" ref="J54:J54">IFERROR(INDEX(AC54:AE54,IF(COUNTA(AC54:AE54)=0,"",MAX((AC54:AE54&lt;&gt;"")*(COLUMN(AC54:AE54)-(COLUMN(AC54)))))-1),"")</f>
        <v>45658</v>
      </c>
      <c r="K54" s="16" t="n">
        <f aca="false" t="array" ref="K54:K54">IFERROR(INDEX(AC54:AE54,IF(COUNTA(AC54:AE54)=0,"",MAX((AC54:AE54&lt;&gt;"")*(COLUMN(AC54:AE54)-(COLUMN(AC54)-1))))-1),"")</f>
        <v>46022</v>
      </c>
      <c r="L54" s="17" t="str">
        <f aca="false" t="array" ref="L54:L54">IFERROR(INDEX(AC54:AE54,IF(COUNTA(AC54:AE54)=0,"",MAX((AC54:AE54&lt;&gt;"")*(COLUMN(AC54:AE54)-(COLUMN(AC54)-2))))-1),"")</f>
        <v>ARCHIVED</v>
      </c>
      <c r="M54" s="13" t="n">
        <f aca="true">K54-TODAY()</f>
        <v>-302</v>
      </c>
      <c r="N54" s="18" t="s">
        <v>36</v>
      </c>
      <c r="O54" s="13" t="s">
        <v>146</v>
      </c>
      <c r="P54" s="19" t="n">
        <v>5195401</v>
      </c>
      <c r="Q54" s="20" t="s">
        <v>290</v>
      </c>
      <c r="R54" s="13" t="s">
        <v>65</v>
      </c>
      <c r="S54" s="14" t="n">
        <v>31186</v>
      </c>
      <c r="T54" s="13" t="s">
        <v>40</v>
      </c>
      <c r="U54" s="13" t="s">
        <v>291</v>
      </c>
      <c r="V54" s="13" t="s">
        <v>42</v>
      </c>
      <c r="W54" s="13" t="s">
        <v>43</v>
      </c>
      <c r="X54" s="21" t="n">
        <v>89685462065</v>
      </c>
      <c r="Y54" s="22" t="str">
        <f aca="false">O54</f>
        <v>Enamel</v>
      </c>
      <c r="Z54" s="13" t="str">
        <f aca="false">IFERROR(__xludf.dummyfunction("if(BJ54="""","""",GOOGLETRANSLATE(BJ54,""auto"",""en""))"),"Enamel")</f>
        <v>Enamel</v>
      </c>
      <c r="AA54" s="23" t="str">
        <f aca="false">IF(C54="","", CHOOSE(MONTH(C54),"January","February","March","April","May","June","July","August","September","October","November","December")&amp;" "&amp;DAY(C54)&amp;MID("thstndrdth",MIN(9,2*RIGHT(DAY(C54))*(MOD(DAY(C54)-11,100)&gt;2)+1),2)&amp;","&amp;TEXT(C54," yyyy"))</f>
        <v>August 18th,2020</v>
      </c>
      <c r="AB54" s="15" t="str">
        <f aca="true">IF(S54="","",DATEDIF(S54,TODAY(),"Y")&amp;" Tahun, "&amp;DATEDIF(S54,TODAY(),"YM")&amp;" Bulan, "&amp;DATEDIF(S54,TODAY(),"MD")&amp;" Hari")</f>
        <v>41 Tahun, 5 Bulan, 10 Hari</v>
      </c>
      <c r="AC54" s="18" t="n">
        <v>45658</v>
      </c>
      <c r="AD54" s="18" t="n">
        <v>46022</v>
      </c>
      <c r="AE54" s="18" t="s">
        <v>44</v>
      </c>
    </row>
    <row r="55" customFormat="false" ht="15" hidden="false" customHeight="true" outlineLevel="0" collapsed="false">
      <c r="A55" s="12" t="n">
        <v>262</v>
      </c>
      <c r="B55" s="13" t="s">
        <v>292</v>
      </c>
      <c r="C55" s="14" t="n">
        <v>44061</v>
      </c>
      <c r="D55" s="13" t="s">
        <v>144</v>
      </c>
      <c r="E55" s="15" t="s">
        <v>47</v>
      </c>
      <c r="F55" s="15" t="str">
        <f aca="false">IFERROR(__xludf.dummyfunction("XLOOKUP(AJ55,IMPORTRANGE(""1XaInW9DU9nz21V0tYIfzFQ0He9kVQ_JF2mCXgZ3hqFA"",""REKAP ALL 2026 - Andika!G:G""),IMPORTRANGE(""1XaInW9DU9nz21V0tYIfzFQ0He9kVQ_JF2mCXgZ3hqFA"",""REKAP ALL 2026 - Andika!F:F""),"""",0)"),"20070188121")</f>
        <v>20070188121</v>
      </c>
      <c r="G55" s="13" t="s">
        <v>293</v>
      </c>
      <c r="H55" s="13" t="s">
        <v>35</v>
      </c>
      <c r="I55" s="13" t="str">
        <f aca="false">IF(C55=J55,"NEW KONTRAK","RE-KONTRAK")</f>
        <v>RE-KONTRAK</v>
      </c>
      <c r="J55" s="16" t="n">
        <f aca="false" t="array" ref="J55:J55">IFERROR(INDEX(AC55:AE55,IF(COUNTA(AC55:AE55)=0,"",MAX((AC55:AE55&lt;&gt;"")*(COLUMN(AC55:AE55)-(COLUMN(AC55)))))-1),"")</f>
        <v>45658</v>
      </c>
      <c r="K55" s="16" t="n">
        <f aca="false" t="array" ref="K55:K55">IFERROR(INDEX(AC55:AE55,IF(COUNTA(AC55:AE55)=0,"",MAX((AC55:AE55&lt;&gt;"")*(COLUMN(AC55:AE55)-(COLUMN(AC55)-1))))-1),"")</f>
        <v>46022</v>
      </c>
      <c r="L55" s="17" t="str">
        <f aca="false" t="array" ref="L55:L55">IFERROR(INDEX(AC55:AE55,IF(COUNTA(AC55:AE55)=0,"",MAX((AC55:AE55&lt;&gt;"")*(COLUMN(AC55:AE55)-(COLUMN(AC55)-2))))-1),"")</f>
        <v>ARCHIVED</v>
      </c>
      <c r="M55" s="13" t="n">
        <f aca="true">K55-TODAY()</f>
        <v>-302</v>
      </c>
      <c r="N55" s="18" t="s">
        <v>36</v>
      </c>
      <c r="O55" s="13" t="s">
        <v>146</v>
      </c>
      <c r="P55" s="19" t="n">
        <v>5195401</v>
      </c>
      <c r="Q55" s="20" t="s">
        <v>294</v>
      </c>
      <c r="R55" s="13" t="s">
        <v>148</v>
      </c>
      <c r="S55" s="14" t="n">
        <v>34708</v>
      </c>
      <c r="T55" s="13" t="s">
        <v>40</v>
      </c>
      <c r="U55" s="13" t="s">
        <v>295</v>
      </c>
      <c r="V55" s="13" t="s">
        <v>42</v>
      </c>
      <c r="W55" s="13" t="s">
        <v>54</v>
      </c>
      <c r="X55" s="21" t="n">
        <v>85649126638</v>
      </c>
      <c r="Y55" s="22" t="str">
        <f aca="false">O55</f>
        <v>Enamel</v>
      </c>
      <c r="Z55" s="13" t="str">
        <f aca="false">IFERROR(__xludf.dummyfunction("if(BJ55="""","""",GOOGLETRANSLATE(BJ55,""auto"",""en""))"),"Enamel")</f>
        <v>Enamel</v>
      </c>
      <c r="AA55" s="23" t="str">
        <f aca="false">IF(C55="","", CHOOSE(MONTH(C55),"January","February","March","April","May","June","July","August","September","October","November","December")&amp;" "&amp;DAY(C55)&amp;MID("thstndrdth",MIN(9,2*RIGHT(DAY(C55))*(MOD(DAY(C55)-11,100)&gt;2)+1),2)&amp;","&amp;TEXT(C55," yyyy"))</f>
        <v>August 18th,2020</v>
      </c>
      <c r="AB55" s="15" t="str">
        <f aca="true">IF(S55="","",DATEDIF(S55,TODAY(),"Y")&amp;" Tahun, "&amp;DATEDIF(S55,TODAY(),"YM")&amp;" Bulan, "&amp;DATEDIF(S55,TODAY(),"MD")&amp;" Hari")</f>
        <v>31 Tahun, 9 Bulan, 20 Hari</v>
      </c>
      <c r="AC55" s="18" t="n">
        <v>45658</v>
      </c>
      <c r="AD55" s="18" t="n">
        <v>46022</v>
      </c>
      <c r="AE55" s="18" t="s">
        <v>44</v>
      </c>
    </row>
    <row r="56" customFormat="false" ht="15" hidden="false" customHeight="true" outlineLevel="0" collapsed="false">
      <c r="A56" s="12" t="n">
        <v>263</v>
      </c>
      <c r="B56" s="13" t="s">
        <v>296</v>
      </c>
      <c r="C56" s="14" t="n">
        <v>44076</v>
      </c>
      <c r="D56" s="13" t="s">
        <v>144</v>
      </c>
      <c r="E56" s="15" t="s">
        <v>47</v>
      </c>
      <c r="F56" s="15" t="str">
        <f aca="false">IFERROR(__xludf.dummyfunction("XLOOKUP(AJ56,IMPORTRANGE(""1XaInW9DU9nz21V0tYIfzFQ0He9kVQ_JF2mCXgZ3hqFA"",""REKAP ALL 2026 - Andika!G:G""),IMPORTRANGE(""1XaInW9DU9nz21V0tYIfzFQ0He9kVQ_JF2mCXgZ3hqFA"",""REKAP ALL 2026 - Andika!F:F""),"""",0)"),"20079948947")</f>
        <v>20079948947</v>
      </c>
      <c r="G56" s="13" t="s">
        <v>297</v>
      </c>
      <c r="H56" s="13" t="s">
        <v>35</v>
      </c>
      <c r="I56" s="13" t="str">
        <f aca="false">IF(C56=J56,"NEW KONTRAK","RE-KONTRAK")</f>
        <v>RE-KONTRAK</v>
      </c>
      <c r="J56" s="16" t="n">
        <f aca="false" t="array" ref="J56:J56">IFERROR(INDEX(AC56:AE56,IF(COUNTA(AC56:AE56)=0,"",MAX((AC56:AE56&lt;&gt;"")*(COLUMN(AC56:AE56)-(COLUMN(AC56)))))-1),"")</f>
        <v>45658</v>
      </c>
      <c r="K56" s="16" t="n">
        <f aca="false" t="array" ref="K56:K56">IFERROR(INDEX(AC56:AE56,IF(COUNTA(AC56:AE56)=0,"",MAX((AC56:AE56&lt;&gt;"")*(COLUMN(AC56:AE56)-(COLUMN(AC56)-1))))-1),"")</f>
        <v>46022</v>
      </c>
      <c r="L56" s="17" t="str">
        <f aca="false" t="array" ref="L56:L56">IFERROR(INDEX(AC56:AE56,IF(COUNTA(AC56:AE56)=0,"",MAX((AC56:AE56&lt;&gt;"")*(COLUMN(AC56:AE56)-(COLUMN(AC56)-2))))-1),"")</f>
        <v>ARCHIVED</v>
      </c>
      <c r="M56" s="13" t="n">
        <f aca="true">K56-TODAY()</f>
        <v>-302</v>
      </c>
      <c r="N56" s="18" t="s">
        <v>36</v>
      </c>
      <c r="O56" s="13" t="s">
        <v>298</v>
      </c>
      <c r="P56" s="19" t="n">
        <v>5195401</v>
      </c>
      <c r="Q56" s="20" t="s">
        <v>299</v>
      </c>
      <c r="R56" s="13" t="s">
        <v>78</v>
      </c>
      <c r="S56" s="14" t="n">
        <v>23967</v>
      </c>
      <c r="T56" s="13" t="s">
        <v>40</v>
      </c>
      <c r="U56" s="13" t="s">
        <v>300</v>
      </c>
      <c r="V56" s="13" t="s">
        <v>42</v>
      </c>
      <c r="W56" s="13" t="s">
        <v>54</v>
      </c>
      <c r="X56" s="21" t="n">
        <v>89658099388</v>
      </c>
      <c r="Y56" s="22" t="str">
        <f aca="false">O56</f>
        <v>Maintenance</v>
      </c>
      <c r="Z56" s="13" t="str">
        <f aca="false">IFERROR(__xludf.dummyfunction("if(BJ56="""","""",GOOGLETRANSLATE(BJ56,""auto"",""en""))"),"Maintenance")</f>
        <v>Maintenance</v>
      </c>
      <c r="AA56" s="23" t="str">
        <f aca="false">IF(C56="","", CHOOSE(MONTH(C56),"January","February","March","April","May","June","July","August","September","October","November","December")&amp;" "&amp;DAY(C56)&amp;MID("thstndrdth",MIN(9,2*RIGHT(DAY(C56))*(MOD(DAY(C56)-11,100)&gt;2)+1),2)&amp;","&amp;TEXT(C56," yyyy"))</f>
        <v>September 2nd,2020</v>
      </c>
      <c r="AB56" s="15" t="str">
        <f aca="true">IF(S56="","",DATEDIF(S56,TODAY(),"Y")&amp;" Tahun, "&amp;DATEDIF(S56,TODAY(),"YM")&amp;" Bulan, "&amp;DATEDIF(S56,TODAY(),"MD")&amp;" Hari")</f>
        <v>61 Tahun, 2 Bulan, 16 Hari</v>
      </c>
      <c r="AC56" s="18" t="n">
        <v>45658</v>
      </c>
      <c r="AD56" s="18" t="n">
        <v>46022</v>
      </c>
      <c r="AE56" s="18" t="s">
        <v>44</v>
      </c>
    </row>
    <row r="57" customFormat="false" ht="15" hidden="false" customHeight="true" outlineLevel="0" collapsed="false">
      <c r="A57" s="12" t="n">
        <v>264</v>
      </c>
      <c r="B57" s="13" t="s">
        <v>301</v>
      </c>
      <c r="C57" s="14" t="n">
        <v>44105</v>
      </c>
      <c r="D57" s="13" t="s">
        <v>144</v>
      </c>
      <c r="E57" s="15" t="s">
        <v>47</v>
      </c>
      <c r="F57" s="15" t="str">
        <f aca="false">IFERROR(__xludf.dummyfunction("XLOOKUP(AJ57,IMPORTRANGE(""1XaInW9DU9nz21V0tYIfzFQ0He9kVQ_JF2mCXgZ3hqFA"",""REKAP ALL 2026 - Andika!G:G""),IMPORTRANGE(""1XaInW9DU9nz21V0tYIfzFQ0He9kVQ_JF2mCXgZ3hqFA"",""REKAP ALL 2026 - Andika!F:F""),"""",0)"),"20027341229")</f>
        <v>20027341229</v>
      </c>
      <c r="G57" s="13" t="s">
        <v>302</v>
      </c>
      <c r="H57" s="13" t="s">
        <v>35</v>
      </c>
      <c r="I57" s="13" t="str">
        <f aca="false">IF(C57=J57,"NEW KONTRAK","RE-KONTRAK")</f>
        <v>RE-KONTRAK</v>
      </c>
      <c r="J57" s="16" t="n">
        <f aca="false" t="array" ref="J57:J57">IFERROR(INDEX(AC57:AE57,IF(COUNTA(AC57:AE57)=0,"",MAX((AC57:AE57&lt;&gt;"")*(COLUMN(AC57:AE57)-(COLUMN(AC57)))))-1),"")</f>
        <v>45658</v>
      </c>
      <c r="K57" s="16" t="n">
        <f aca="false" t="array" ref="K57:K57">IFERROR(INDEX(AC57:AE57,IF(COUNTA(AC57:AE57)=0,"",MAX((AC57:AE57&lt;&gt;"")*(COLUMN(AC57:AE57)-(COLUMN(AC57)-1))))-1),"")</f>
        <v>46022</v>
      </c>
      <c r="L57" s="17" t="str">
        <f aca="false" t="array" ref="L57:L57">IFERROR(INDEX(AC57:AE57,IF(COUNTA(AC57:AE57)=0,"",MAX((AC57:AE57&lt;&gt;"")*(COLUMN(AC57:AE57)-(COLUMN(AC57)-2))))-1),"")</f>
        <v>ARCHIVED</v>
      </c>
      <c r="M57" s="13" t="n">
        <f aca="true">K57-TODAY()</f>
        <v>-302</v>
      </c>
      <c r="N57" s="18" t="s">
        <v>36</v>
      </c>
      <c r="O57" s="13" t="s">
        <v>156</v>
      </c>
      <c r="P57" s="19" t="n">
        <v>5195401</v>
      </c>
      <c r="Q57" s="20" t="s">
        <v>303</v>
      </c>
      <c r="R57" s="13" t="s">
        <v>65</v>
      </c>
      <c r="S57" s="14" t="n">
        <v>35543</v>
      </c>
      <c r="T57" s="13" t="s">
        <v>40</v>
      </c>
      <c r="U57" s="13" t="s">
        <v>304</v>
      </c>
      <c r="V57" s="13" t="s">
        <v>42</v>
      </c>
      <c r="W57" s="13" t="s">
        <v>54</v>
      </c>
      <c r="X57" s="21" t="n">
        <v>85335471427</v>
      </c>
      <c r="Y57" s="22" t="str">
        <f aca="false">O57</f>
        <v>Emulsion</v>
      </c>
      <c r="Z57" s="13" t="str">
        <f aca="false">IFERROR(__xludf.dummyfunction("if(BJ57="""","""",GOOGLETRANSLATE(BJ57,""auto"",""en""))"),"Emulsion")</f>
        <v>Emulsion</v>
      </c>
      <c r="AA57" s="23" t="str">
        <f aca="false">IF(C57="","", CHOOSE(MONTH(C57),"January","February","March","April","May","June","July","August","September","October","November","December")&amp;" "&amp;DAY(C57)&amp;MID("thstndrdth",MIN(9,2*RIGHT(DAY(C57))*(MOD(DAY(C57)-11,100)&gt;2)+1),2)&amp;","&amp;TEXT(C57," yyyy"))</f>
        <v>October 1st,2020</v>
      </c>
      <c r="AB57" s="15" t="str">
        <f aca="true">IF(S57="","",DATEDIF(S57,TODAY(),"Y")&amp;" Tahun, "&amp;DATEDIF(S57,TODAY(),"YM")&amp;" Bulan, "&amp;DATEDIF(S57,TODAY(),"MD")&amp;" Hari")</f>
        <v>29 Tahun, 6 Bulan, 6 Hari</v>
      </c>
      <c r="AC57" s="18" t="n">
        <v>45658</v>
      </c>
      <c r="AD57" s="18" t="n">
        <v>46022</v>
      </c>
      <c r="AE57" s="18" t="s">
        <v>44</v>
      </c>
    </row>
    <row r="58" customFormat="false" ht="15" hidden="false" customHeight="true" outlineLevel="0" collapsed="false">
      <c r="A58" s="12" t="n">
        <v>266</v>
      </c>
      <c r="B58" s="13" t="s">
        <v>305</v>
      </c>
      <c r="C58" s="14" t="n">
        <v>44113</v>
      </c>
      <c r="D58" s="13" t="s">
        <v>144</v>
      </c>
      <c r="E58" s="15" t="s">
        <v>102</v>
      </c>
      <c r="F58" s="15" t="str">
        <f aca="false">IFERROR(__xludf.dummyfunction("XLOOKUP(AJ58,IMPORTRANGE(""1XaInW9DU9nz21V0tYIfzFQ0He9kVQ_JF2mCXgZ3hqFA"",""REKAP ALL 2026 - Andika!G:G""),IMPORTRANGE(""1XaInW9DU9nz21V0tYIfzFQ0He9kVQ_JF2mCXgZ3hqFA"",""REKAP ALL 2026 - Andika!F:F""),"""",0)"),"20064110784")</f>
        <v>20064110784</v>
      </c>
      <c r="G58" s="13" t="s">
        <v>306</v>
      </c>
      <c r="H58" s="13" t="s">
        <v>35</v>
      </c>
      <c r="I58" s="13" t="str">
        <f aca="false">IF(C58=J58,"NEW KONTRAK","RE-KONTRAK")</f>
        <v>RE-KONTRAK</v>
      </c>
      <c r="J58" s="16" t="n">
        <f aca="false" t="array" ref="J58:J58">IFERROR(INDEX(AC58:AE58,IF(COUNTA(AC58:AE58)=0,"",MAX((AC58:AE58&lt;&gt;"")*(COLUMN(AC58:AE58)-(COLUMN(AC58)))))-1),"")</f>
        <v>45658</v>
      </c>
      <c r="K58" s="16" t="n">
        <f aca="false" t="array" ref="K58:K58">IFERROR(INDEX(AC58:AE58,IF(COUNTA(AC58:AE58)=0,"",MAX((AC58:AE58&lt;&gt;"")*(COLUMN(AC58:AE58)-(COLUMN(AC58)-1))))-1),"")</f>
        <v>46022</v>
      </c>
      <c r="L58" s="17" t="str">
        <f aca="false" t="array" ref="L58:L58">IFERROR(INDEX(AC58:AE58,IF(COUNTA(AC58:AE58)=0,"",MAX((AC58:AE58&lt;&gt;"")*(COLUMN(AC58:AE58)-(COLUMN(AC58)-2))))-1),"")</f>
        <v>ARCHIVED</v>
      </c>
      <c r="M58" s="13" t="n">
        <f aca="true">K58-TODAY()</f>
        <v>-302</v>
      </c>
      <c r="N58" s="18" t="s">
        <v>36</v>
      </c>
      <c r="O58" s="13" t="s">
        <v>211</v>
      </c>
      <c r="P58" s="19" t="n">
        <v>5195401</v>
      </c>
      <c r="Q58" s="20" t="s">
        <v>307</v>
      </c>
      <c r="R58" s="13" t="s">
        <v>65</v>
      </c>
      <c r="S58" s="14" t="n">
        <v>34450</v>
      </c>
      <c r="T58" s="13" t="s">
        <v>40</v>
      </c>
      <c r="U58" s="13" t="s">
        <v>308</v>
      </c>
      <c r="V58" s="13" t="s">
        <v>42</v>
      </c>
      <c r="W58" s="13" t="s">
        <v>54</v>
      </c>
      <c r="X58" s="21" t="n">
        <v>89530482488</v>
      </c>
      <c r="Y58" s="22" t="str">
        <f aca="false">O58</f>
        <v>FG Store</v>
      </c>
      <c r="Z58" s="13" t="str">
        <f aca="false">IFERROR(__xludf.dummyfunction("if(BJ58="""","""",GOOGLETRANSLATE(BJ58,""auto"",""en""))"),"FG Store")</f>
        <v>FG Store</v>
      </c>
      <c r="AA58" s="23" t="str">
        <f aca="false">IF(C58="","", CHOOSE(MONTH(C58),"January","February","March","April","May","June","July","August","September","October","November","December")&amp;" "&amp;DAY(C58)&amp;MID("thstndrdth",MIN(9,2*RIGHT(DAY(C58))*(MOD(DAY(C58)-11,100)&gt;2)+1),2)&amp;","&amp;TEXT(C58," yyyy"))</f>
        <v>October 9th,2020</v>
      </c>
      <c r="AB58" s="15" t="str">
        <f aca="true">IF(S58="","",DATEDIF(S58,TODAY(),"Y")&amp;" Tahun, "&amp;DATEDIF(S58,TODAY(),"YM")&amp;" Bulan, "&amp;DATEDIF(S58,TODAY(),"MD")&amp;" Hari")</f>
        <v>32 Tahun, 6 Bulan, 3 Hari</v>
      </c>
      <c r="AC58" s="18" t="n">
        <v>45658</v>
      </c>
      <c r="AD58" s="18" t="n">
        <v>46022</v>
      </c>
      <c r="AE58" s="18" t="s">
        <v>44</v>
      </c>
    </row>
    <row r="59" customFormat="false" ht="15" hidden="false" customHeight="true" outlineLevel="0" collapsed="false">
      <c r="A59" s="12" t="n">
        <v>267</v>
      </c>
      <c r="B59" s="13" t="s">
        <v>309</v>
      </c>
      <c r="C59" s="14" t="n">
        <v>44144</v>
      </c>
      <c r="D59" s="13" t="s">
        <v>144</v>
      </c>
      <c r="E59" s="15" t="s">
        <v>102</v>
      </c>
      <c r="F59" s="15" t="str">
        <f aca="false">IFERROR(__xludf.dummyfunction("XLOOKUP(AJ59,IMPORTRANGE(""1XaInW9DU9nz21V0tYIfzFQ0He9kVQ_JF2mCXgZ3hqFA"",""REKAP ALL 2026 - Andika!G:G""),IMPORTRANGE(""1XaInW9DU9nz21V0tYIfzFQ0He9kVQ_JF2mCXgZ3hqFA"",""REKAP ALL 2026 - Andika!F:F""),"""",0)"),"19067361006")</f>
        <v>19067361006</v>
      </c>
      <c r="G59" s="13" t="s">
        <v>310</v>
      </c>
      <c r="H59" s="13" t="s">
        <v>35</v>
      </c>
      <c r="I59" s="13" t="str">
        <f aca="false">IF(C59=J59,"NEW KONTRAK","RE-KONTRAK")</f>
        <v>RE-KONTRAK</v>
      </c>
      <c r="J59" s="16" t="n">
        <f aca="false" t="array" ref="J59:J59">IFERROR(INDEX(AC59:AE59,IF(COUNTA(AC59:AE59)=0,"",MAX((AC59:AE59&lt;&gt;"")*(COLUMN(AC59:AE59)-(COLUMN(AC59)))))-1),"")</f>
        <v>45658</v>
      </c>
      <c r="K59" s="16" t="n">
        <f aca="false" t="array" ref="K59:K59">IFERROR(INDEX(AC59:AE59,IF(COUNTA(AC59:AE59)=0,"",MAX((AC59:AE59&lt;&gt;"")*(COLUMN(AC59:AE59)-(COLUMN(AC59)-1))))-1),"")</f>
        <v>46022</v>
      </c>
      <c r="L59" s="17" t="str">
        <f aca="false" t="array" ref="L59:L59">IFERROR(INDEX(AC59:AE59,IF(COUNTA(AC59:AE59)=0,"",MAX((AC59:AE59&lt;&gt;"")*(COLUMN(AC59:AE59)-(COLUMN(AC59)-2))))-1),"")</f>
        <v>ARCHIVED</v>
      </c>
      <c r="M59" s="13" t="n">
        <f aca="true">K59-TODAY()</f>
        <v>-302</v>
      </c>
      <c r="N59" s="18" t="s">
        <v>36</v>
      </c>
      <c r="O59" s="13" t="s">
        <v>146</v>
      </c>
      <c r="P59" s="19" t="n">
        <v>5195401</v>
      </c>
      <c r="Q59" s="20" t="s">
        <v>311</v>
      </c>
      <c r="R59" s="13" t="s">
        <v>65</v>
      </c>
      <c r="S59" s="14" t="n">
        <v>32214</v>
      </c>
      <c r="T59" s="13" t="s">
        <v>40</v>
      </c>
      <c r="U59" s="13" t="s">
        <v>312</v>
      </c>
      <c r="V59" s="13" t="s">
        <v>42</v>
      </c>
      <c r="W59" s="13" t="s">
        <v>43</v>
      </c>
      <c r="X59" s="21" t="n">
        <v>81230979230</v>
      </c>
      <c r="Y59" s="22" t="str">
        <f aca="false">O59</f>
        <v>Enamel</v>
      </c>
      <c r="Z59" s="13" t="str">
        <f aca="false">IFERROR(__xludf.dummyfunction("if(BJ59="""","""",GOOGLETRANSLATE(BJ59,""auto"",""en""))"),"Enamel")</f>
        <v>Enamel</v>
      </c>
      <c r="AA59" s="23" t="str">
        <f aca="false">IF(C59="","", CHOOSE(MONTH(C59),"January","February","March","April","May","June","July","August","September","October","November","December")&amp;" "&amp;DAY(C59)&amp;MID("thstndrdth",MIN(9,2*RIGHT(DAY(C59))*(MOD(DAY(C59)-11,100)&gt;2)+1),2)&amp;","&amp;TEXT(C59," yyyy"))</f>
        <v>November 9th,2020</v>
      </c>
      <c r="AB59" s="15" t="str">
        <f aca="true">IF(S59="","",DATEDIF(S59,TODAY(),"Y")&amp;" Tahun, "&amp;DATEDIF(S59,TODAY(),"YM")&amp;" Bulan, "&amp;DATEDIF(S59,TODAY(),"MD")&amp;" Hari")</f>
        <v>38 Tahun, 7 Bulan, 17 Hari</v>
      </c>
      <c r="AC59" s="18" t="n">
        <v>45658</v>
      </c>
      <c r="AD59" s="18" t="n">
        <v>46022</v>
      </c>
      <c r="AE59" s="18" t="s">
        <v>44</v>
      </c>
    </row>
    <row r="60" customFormat="false" ht="15" hidden="false" customHeight="true" outlineLevel="0" collapsed="false">
      <c r="A60" s="12" t="n">
        <v>268</v>
      </c>
      <c r="B60" s="13" t="s">
        <v>313</v>
      </c>
      <c r="C60" s="14" t="n">
        <v>44144</v>
      </c>
      <c r="D60" s="13" t="s">
        <v>144</v>
      </c>
      <c r="E60" s="15" t="s">
        <v>47</v>
      </c>
      <c r="F60" s="15" t="str">
        <f aca="false">IFERROR(__xludf.dummyfunction("XLOOKUP(AJ60,IMPORTRANGE(""1XaInW9DU9nz21V0tYIfzFQ0He9kVQ_JF2mCXgZ3hqFA"",""REKAP ALL 2026 - Andika!G:G""),IMPORTRANGE(""1XaInW9DU9nz21V0tYIfzFQ0He9kVQ_JF2mCXgZ3hqFA"",""REKAP ALL 2026 - Andika!F:F""),"""",0)"),"20027341807")</f>
        <v>20027341807</v>
      </c>
      <c r="G60" s="13" t="s">
        <v>314</v>
      </c>
      <c r="H60" s="13" t="s">
        <v>35</v>
      </c>
      <c r="I60" s="13" t="str">
        <f aca="false">IF(C60=J60,"NEW KONTRAK","RE-KONTRAK")</f>
        <v>RE-KONTRAK</v>
      </c>
      <c r="J60" s="16" t="n">
        <f aca="false" t="array" ref="J60:J60">IFERROR(INDEX(AC60:AE60,IF(COUNTA(AC60:AE60)=0,"",MAX((AC60:AE60&lt;&gt;"")*(COLUMN(AC60:AE60)-(COLUMN(AC60)))))-1),"")</f>
        <v>45658</v>
      </c>
      <c r="K60" s="16" t="n">
        <f aca="false" t="array" ref="K60:K60">IFERROR(INDEX(AC60:AE60,IF(COUNTA(AC60:AE60)=0,"",MAX((AC60:AE60&lt;&gt;"")*(COLUMN(AC60:AE60)-(COLUMN(AC60)-1))))-1),"")</f>
        <v>46022</v>
      </c>
      <c r="L60" s="17" t="str">
        <f aca="false" t="array" ref="L60:L60">IFERROR(INDEX(AC60:AE60,IF(COUNTA(AC60:AE60)=0,"",MAX((AC60:AE60&lt;&gt;"")*(COLUMN(AC60:AE60)-(COLUMN(AC60)-2))))-1),"")</f>
        <v>ARCHIVED</v>
      </c>
      <c r="M60" s="13" t="n">
        <f aca="true">K60-TODAY()</f>
        <v>-302</v>
      </c>
      <c r="N60" s="18" t="s">
        <v>36</v>
      </c>
      <c r="O60" s="13" t="s">
        <v>146</v>
      </c>
      <c r="P60" s="19" t="n">
        <v>5195401</v>
      </c>
      <c r="Q60" s="20" t="s">
        <v>315</v>
      </c>
      <c r="R60" s="13" t="s">
        <v>65</v>
      </c>
      <c r="S60" s="14" t="n">
        <v>37181</v>
      </c>
      <c r="T60" s="13" t="s">
        <v>40</v>
      </c>
      <c r="U60" s="13" t="s">
        <v>316</v>
      </c>
      <c r="V60" s="13" t="s">
        <v>42</v>
      </c>
      <c r="W60" s="13" t="s">
        <v>43</v>
      </c>
      <c r="X60" s="21" t="n">
        <v>85232019887</v>
      </c>
      <c r="Y60" s="22" t="str">
        <f aca="false">O60</f>
        <v>Enamel</v>
      </c>
      <c r="Z60" s="13" t="str">
        <f aca="false">IFERROR(__xludf.dummyfunction("if(BJ60="""","""",GOOGLETRANSLATE(BJ60,""auto"",""en""))"),"Enamel")</f>
        <v>Enamel</v>
      </c>
      <c r="AA60" s="23" t="str">
        <f aca="false">IF(C60="","", CHOOSE(MONTH(C60),"January","February","March","April","May","June","July","August","September","October","November","December")&amp;" "&amp;DAY(C60)&amp;MID("thstndrdth",MIN(9,2*RIGHT(DAY(C60))*(MOD(DAY(C60)-11,100)&gt;2)+1),2)&amp;","&amp;TEXT(C60," yyyy"))</f>
        <v>November 9th,2020</v>
      </c>
      <c r="AB60" s="15" t="str">
        <f aca="true">IF(S60="","",DATEDIF(S60,TODAY(),"Y")&amp;" Tahun, "&amp;DATEDIF(S60,TODAY(),"YM")&amp;" Bulan, "&amp;DATEDIF(S60,TODAY(),"MD")&amp;" Hari")</f>
        <v>25 Tahun, 0 Bulan, 12 Hari</v>
      </c>
      <c r="AC60" s="18" t="n">
        <v>45658</v>
      </c>
      <c r="AD60" s="18" t="n">
        <v>46022</v>
      </c>
      <c r="AE60" s="18" t="s">
        <v>44</v>
      </c>
    </row>
    <row r="61" customFormat="false" ht="15" hidden="false" customHeight="true" outlineLevel="0" collapsed="false">
      <c r="A61" s="12" t="n">
        <v>271</v>
      </c>
      <c r="B61" s="13" t="s">
        <v>317</v>
      </c>
      <c r="C61" s="14" t="n">
        <v>44214</v>
      </c>
      <c r="D61" s="13" t="s">
        <v>144</v>
      </c>
      <c r="E61" s="15" t="s">
        <v>47</v>
      </c>
      <c r="F61" s="15" t="str">
        <f aca="false">IFERROR(__xludf.dummyfunction("XLOOKUP(AJ61,IMPORTRANGE(""1XaInW9DU9nz21V0tYIfzFQ0He9kVQ_JF2mCXgZ3hqFA"",""REKAP ALL 2026 - Andika!G:G""),IMPORTRANGE(""1XaInW9DU9nz21V0tYIfzFQ0He9kVQ_JF2mCXgZ3hqFA"",""REKAP ALL 2026 - Andika!F:F""),"""",0)"),"21014141168")</f>
        <v>21014141168</v>
      </c>
      <c r="G61" s="13" t="s">
        <v>318</v>
      </c>
      <c r="H61" s="13" t="s">
        <v>35</v>
      </c>
      <c r="I61" s="13" t="str">
        <f aca="false">IF(C61=J61,"NEW KONTRAK","RE-KONTRAK")</f>
        <v>RE-KONTRAK</v>
      </c>
      <c r="J61" s="16" t="n">
        <f aca="false" t="array" ref="J61:J61">IFERROR(INDEX(AC61:AE61,IF(COUNTA(AC61:AE61)=0,"",MAX((AC61:AE61&lt;&gt;"")*(COLUMN(AC61:AE61)-(COLUMN(AC61)))))-1),"")</f>
        <v>45658</v>
      </c>
      <c r="K61" s="16" t="n">
        <f aca="false" t="array" ref="K61:K61">IFERROR(INDEX(AC61:AE61,IF(COUNTA(AC61:AE61)=0,"",MAX((AC61:AE61&lt;&gt;"")*(COLUMN(AC61:AE61)-(COLUMN(AC61)-1))))-1),"")</f>
        <v>46022</v>
      </c>
      <c r="L61" s="17" t="str">
        <f aca="false" t="array" ref="L61:L61">IFERROR(INDEX(AC61:AE61,IF(COUNTA(AC61:AE61)=0,"",MAX((AC61:AE61&lt;&gt;"")*(COLUMN(AC61:AE61)-(COLUMN(AC61)-2))))-1),"")</f>
        <v>ARCHIVED</v>
      </c>
      <c r="M61" s="13" t="n">
        <f aca="true">K61-TODAY()</f>
        <v>-302</v>
      </c>
      <c r="N61" s="18" t="s">
        <v>36</v>
      </c>
      <c r="O61" s="13" t="s">
        <v>156</v>
      </c>
      <c r="P61" s="19" t="n">
        <v>5195401</v>
      </c>
      <c r="Q61" s="20" t="s">
        <v>319</v>
      </c>
      <c r="R61" s="13" t="s">
        <v>65</v>
      </c>
      <c r="S61" s="14" t="n">
        <v>29924</v>
      </c>
      <c r="T61" s="13" t="s">
        <v>40</v>
      </c>
      <c r="U61" s="13" t="s">
        <v>320</v>
      </c>
      <c r="V61" s="13" t="s">
        <v>42</v>
      </c>
      <c r="W61" s="13" t="s">
        <v>43</v>
      </c>
      <c r="X61" s="21" t="n">
        <v>85748978797</v>
      </c>
      <c r="Y61" s="22" t="str">
        <f aca="false">O61</f>
        <v>Emulsion</v>
      </c>
      <c r="Z61" s="13" t="str">
        <f aca="false">IFERROR(__xludf.dummyfunction("if(BJ61="""","""",GOOGLETRANSLATE(BJ61,""auto"",""en""))"),"Emulsion")</f>
        <v>Emulsion</v>
      </c>
      <c r="AA61" s="23" t="str">
        <f aca="false">IF(C61="","", CHOOSE(MONTH(C61),"January","February","March","April","May","June","July","August","September","October","November","December")&amp;" "&amp;DAY(C61)&amp;MID("thstndrdth",MIN(9,2*RIGHT(DAY(C61))*(MOD(DAY(C61)-11,100)&gt;2)+1),2)&amp;","&amp;TEXT(C61," yyyy"))</f>
        <v>January 18th,2021</v>
      </c>
      <c r="AB61" s="15" t="str">
        <f aca="true">IF(S61="","",DATEDIF(S61,TODAY(),"Y")&amp;" Tahun, "&amp;DATEDIF(S61,TODAY(),"YM")&amp;" Bulan, "&amp;DATEDIF(S61,TODAY(),"MD")&amp;" Hari")</f>
        <v>44 Tahun, 10 Bulan, 25 Hari</v>
      </c>
      <c r="AC61" s="18" t="n">
        <v>45658</v>
      </c>
      <c r="AD61" s="18" t="n">
        <v>46022</v>
      </c>
      <c r="AE61" s="18" t="s">
        <v>44</v>
      </c>
    </row>
    <row r="62" customFormat="false" ht="15" hidden="false" customHeight="true" outlineLevel="0" collapsed="false">
      <c r="A62" s="12" t="n">
        <v>272</v>
      </c>
      <c r="B62" s="13" t="s">
        <v>321</v>
      </c>
      <c r="C62" s="14" t="n">
        <v>44200</v>
      </c>
      <c r="D62" s="13" t="s">
        <v>144</v>
      </c>
      <c r="E62" s="15" t="s">
        <v>102</v>
      </c>
      <c r="F62" s="15" t="str">
        <f aca="false">IFERROR(__xludf.dummyfunction("XLOOKUP(AJ62,IMPORTRANGE(""1XaInW9DU9nz21V0tYIfzFQ0He9kVQ_JF2mCXgZ3hqFA"",""REKAP ALL 2026 - Andika!G:G""),IMPORTRANGE(""1XaInW9DU9nz21V0tYIfzFQ0He9kVQ_JF2mCXgZ3hqFA"",""REKAP ALL 2026 - Andika!F:F""),"""",0)"),"21014141176")</f>
        <v>21014141176</v>
      </c>
      <c r="G62" s="13" t="s">
        <v>322</v>
      </c>
      <c r="H62" s="13" t="s">
        <v>35</v>
      </c>
      <c r="I62" s="13" t="str">
        <f aca="false">IF(C62=J62,"NEW KONTRAK","RE-KONTRAK")</f>
        <v>RE-KONTRAK</v>
      </c>
      <c r="J62" s="16" t="n">
        <f aca="false" t="array" ref="J62:J62">IFERROR(INDEX(AC62:AE62,IF(COUNTA(AC62:AE62)=0,"",MAX((AC62:AE62&lt;&gt;"")*(COLUMN(AC62:AE62)-(COLUMN(AC62)))))-1),"")</f>
        <v>45658</v>
      </c>
      <c r="K62" s="16" t="n">
        <f aca="false" t="array" ref="K62:K62">IFERROR(INDEX(AC62:AE62,IF(COUNTA(AC62:AE62)=0,"",MAX((AC62:AE62&lt;&gt;"")*(COLUMN(AC62:AE62)-(COLUMN(AC62)-1))))-1),"")</f>
        <v>46022</v>
      </c>
      <c r="L62" s="17" t="str">
        <f aca="false" t="array" ref="L62:L62">IFERROR(INDEX(AC62:AE62,IF(COUNTA(AC62:AE62)=0,"",MAX((AC62:AE62&lt;&gt;"")*(COLUMN(AC62:AE62)-(COLUMN(AC62)-2))))-1),"")</f>
        <v>ARCHIVED</v>
      </c>
      <c r="M62" s="13" t="n">
        <f aca="true">K62-TODAY()</f>
        <v>-302</v>
      </c>
      <c r="N62" s="18" t="s">
        <v>36</v>
      </c>
      <c r="O62" s="13" t="s">
        <v>211</v>
      </c>
      <c r="P62" s="19" t="n">
        <v>5195401</v>
      </c>
      <c r="Q62" s="20" t="s">
        <v>323</v>
      </c>
      <c r="R62" s="13" t="s">
        <v>324</v>
      </c>
      <c r="S62" s="14" t="n">
        <v>36988</v>
      </c>
      <c r="T62" s="13" t="s">
        <v>40</v>
      </c>
      <c r="U62" s="13" t="s">
        <v>325</v>
      </c>
      <c r="V62" s="13" t="s">
        <v>42</v>
      </c>
      <c r="W62" s="13" t="s">
        <v>43</v>
      </c>
      <c r="X62" s="21" t="n">
        <v>81232593084</v>
      </c>
      <c r="Y62" s="22" t="str">
        <f aca="false">O62</f>
        <v>FG Store</v>
      </c>
      <c r="Z62" s="13" t="str">
        <f aca="false">IFERROR(__xludf.dummyfunction("if(BJ62="""","""",GOOGLETRANSLATE(BJ62,""auto"",""en""))"),"FG Store")</f>
        <v>FG Store</v>
      </c>
      <c r="AA62" s="23" t="str">
        <f aca="false">IF(C62="","", CHOOSE(MONTH(C62),"January","February","March","April","May","June","July","August","September","October","November","December")&amp;" "&amp;DAY(C62)&amp;MID("thstndrdth",MIN(9,2*RIGHT(DAY(C62))*(MOD(DAY(C62)-11,100)&gt;2)+1),2)&amp;","&amp;TEXT(C62," yyyy"))</f>
        <v>January 4th,2021</v>
      </c>
      <c r="AB62" s="15" t="str">
        <f aca="true">IF(S62="","",DATEDIF(S62,TODAY(),"Y")&amp;" Tahun, "&amp;DATEDIF(S62,TODAY(),"YM")&amp;" Bulan, "&amp;DATEDIF(S62,TODAY(),"MD")&amp;" Hari")</f>
        <v>25 Tahun, 6 Bulan, 22 Hari</v>
      </c>
      <c r="AC62" s="18" t="n">
        <v>45658</v>
      </c>
      <c r="AD62" s="18" t="n">
        <v>46022</v>
      </c>
      <c r="AE62" s="18" t="s">
        <v>44</v>
      </c>
    </row>
    <row r="63" customFormat="false" ht="15" hidden="false" customHeight="true" outlineLevel="0" collapsed="false">
      <c r="A63" s="12" t="n">
        <v>275</v>
      </c>
      <c r="B63" s="13" t="s">
        <v>326</v>
      </c>
      <c r="C63" s="14" t="n">
        <v>44209</v>
      </c>
      <c r="D63" s="13" t="s">
        <v>144</v>
      </c>
      <c r="E63" s="15" t="s">
        <v>33</v>
      </c>
      <c r="F63" s="24" t="s">
        <v>327</v>
      </c>
      <c r="G63" s="13" t="s">
        <v>328</v>
      </c>
      <c r="H63" s="13" t="s">
        <v>35</v>
      </c>
      <c r="I63" s="13" t="str">
        <f aca="false">IF(C63=J63,"NEW KONTRAK","RE-KONTRAK")</f>
        <v>RE-KONTRAK</v>
      </c>
      <c r="J63" s="16" t="n">
        <f aca="false" t="array" ref="J63:J63">IFERROR(INDEX(AC63:AE63,IF(COUNTA(AC63:AE63)=0,"",MAX((AC63:AE63&lt;&gt;"")*(COLUMN(AC63:AE63)-(COLUMN(AC63)))))-1),"")</f>
        <v>45658</v>
      </c>
      <c r="K63" s="16" t="n">
        <f aca="false" t="array" ref="K63:K63">IFERROR(INDEX(AC63:AE63,IF(COUNTA(AC63:AE63)=0,"",MAX((AC63:AE63&lt;&gt;"")*(COLUMN(AC63:AE63)-(COLUMN(AC63)-1))))-1),"")</f>
        <v>46022</v>
      </c>
      <c r="L63" s="17" t="str">
        <f aca="false" t="array" ref="L63:L63">IFERROR(INDEX(AC63:AE63,IF(COUNTA(AC63:AE63)=0,"",MAX((AC63:AE63&lt;&gt;"")*(COLUMN(AC63:AE63)-(COLUMN(AC63)-2))))-1),"")</f>
        <v>ARCHIVED</v>
      </c>
      <c r="M63" s="13" t="n">
        <f aca="true">K63-TODAY()</f>
        <v>-302</v>
      </c>
      <c r="N63" s="18" t="s">
        <v>36</v>
      </c>
      <c r="O63" s="13" t="s">
        <v>211</v>
      </c>
      <c r="P63" s="19" t="n">
        <v>5195401</v>
      </c>
      <c r="Q63" s="20" t="s">
        <v>329</v>
      </c>
      <c r="R63" s="13" t="s">
        <v>73</v>
      </c>
      <c r="S63" s="14" t="n">
        <v>35508</v>
      </c>
      <c r="T63" s="13" t="s">
        <v>40</v>
      </c>
      <c r="U63" s="13" t="s">
        <v>330</v>
      </c>
      <c r="V63" s="13" t="s">
        <v>42</v>
      </c>
      <c r="W63" s="13" t="s">
        <v>43</v>
      </c>
      <c r="X63" s="21" t="n">
        <v>85850051787</v>
      </c>
      <c r="Y63" s="22" t="str">
        <f aca="false">O63</f>
        <v>FG Store</v>
      </c>
      <c r="Z63" s="13" t="str">
        <f aca="false">IFERROR(__xludf.dummyfunction("if(BJ63="""","""",GOOGLETRANSLATE(BJ63,""auto"",""en""))"),"FG Store")</f>
        <v>FG Store</v>
      </c>
      <c r="AA63" s="23" t="str">
        <f aca="false">IF(C63="","", CHOOSE(MONTH(C63),"January","February","March","April","May","June","July","August","September","October","November","December")&amp;" "&amp;DAY(C63)&amp;MID("thstndrdth",MIN(9,2*RIGHT(DAY(C63))*(MOD(DAY(C63)-11,100)&gt;2)+1),2)&amp;","&amp;TEXT(C63," yyyy"))</f>
        <v>January 13th,2021</v>
      </c>
      <c r="AB63" s="15" t="str">
        <f aca="true">IF(S63="","",DATEDIF(S63,TODAY(),"Y")&amp;" Tahun, "&amp;DATEDIF(S63,TODAY(),"YM")&amp;" Bulan, "&amp;DATEDIF(S63,TODAY(),"MD")&amp;" Hari")</f>
        <v>29 Tahun, 7 Bulan, 10 Hari</v>
      </c>
      <c r="AC63" s="18" t="n">
        <v>45658</v>
      </c>
      <c r="AD63" s="18" t="n">
        <v>46022</v>
      </c>
      <c r="AE63" s="18" t="s">
        <v>44</v>
      </c>
    </row>
    <row r="64" customFormat="false" ht="15" hidden="false" customHeight="true" outlineLevel="0" collapsed="false">
      <c r="A64" s="12" t="n">
        <v>276</v>
      </c>
      <c r="B64" s="13" t="s">
        <v>331</v>
      </c>
      <c r="C64" s="14" t="n">
        <v>44221</v>
      </c>
      <c r="D64" s="13" t="s">
        <v>144</v>
      </c>
      <c r="E64" s="15" t="s">
        <v>47</v>
      </c>
      <c r="F64" s="15" t="str">
        <f aca="false">IFERROR(__xludf.dummyfunction("XLOOKUP(AJ64,IMPORTRANGE(""1XaInW9DU9nz21V0tYIfzFQ0He9kVQ_JF2mCXgZ3hqFA"",""REKAP ALL 2026 - Andika!G:G""),IMPORTRANGE(""1XaInW9DU9nz21V0tYIfzFQ0He9kVQ_JF2mCXgZ3hqFA"",""REKAP ALL 2026 - Andika!F:F""),"""",0)"),"21017015567")</f>
        <v>21017015567</v>
      </c>
      <c r="G64" s="13" t="s">
        <v>332</v>
      </c>
      <c r="H64" s="13" t="s">
        <v>35</v>
      </c>
      <c r="I64" s="13" t="str">
        <f aca="false">IF(C64=J64,"NEW KONTRAK","RE-KONTRAK")</f>
        <v>RE-KONTRAK</v>
      </c>
      <c r="J64" s="16" t="n">
        <f aca="false" t="array" ref="J64:J64">IFERROR(INDEX(AC64:AE64,IF(COUNTA(AC64:AE64)=0,"",MAX((AC64:AE64&lt;&gt;"")*(COLUMN(AC64:AE64)-(COLUMN(AC64)))))-1),"")</f>
        <v>45658</v>
      </c>
      <c r="K64" s="16" t="n">
        <f aca="false" t="array" ref="K64:K64">IFERROR(INDEX(AC64:AE64,IF(COUNTA(AC64:AE64)=0,"",MAX((AC64:AE64&lt;&gt;"")*(COLUMN(AC64:AE64)-(COLUMN(AC64)-1))))-1),"")</f>
        <v>46022</v>
      </c>
      <c r="L64" s="17" t="str">
        <f aca="false" t="array" ref="L64:L64">IFERROR(INDEX(AC64:AE64,IF(COUNTA(AC64:AE64)=0,"",MAX((AC64:AE64&lt;&gt;"")*(COLUMN(AC64:AE64)-(COLUMN(AC64)-2))))-1),"")</f>
        <v>ARCHIVED</v>
      </c>
      <c r="M64" s="13" t="n">
        <f aca="true">K64-TODAY()</f>
        <v>-302</v>
      </c>
      <c r="N64" s="18" t="s">
        <v>36</v>
      </c>
      <c r="O64" s="13" t="s">
        <v>146</v>
      </c>
      <c r="P64" s="19" t="n">
        <v>5195401</v>
      </c>
      <c r="Q64" s="20" t="s">
        <v>333</v>
      </c>
      <c r="R64" s="13" t="s">
        <v>65</v>
      </c>
      <c r="S64" s="14" t="n">
        <v>36667</v>
      </c>
      <c r="T64" s="13" t="s">
        <v>40</v>
      </c>
      <c r="U64" s="13" t="s">
        <v>334</v>
      </c>
      <c r="V64" s="13" t="s">
        <v>42</v>
      </c>
      <c r="W64" s="13" t="s">
        <v>43</v>
      </c>
      <c r="X64" s="21" t="n">
        <v>82336030832</v>
      </c>
      <c r="Y64" s="22" t="str">
        <f aca="false">O64</f>
        <v>Enamel</v>
      </c>
      <c r="Z64" s="13" t="str">
        <f aca="false">IFERROR(__xludf.dummyfunction("if(BJ64="""","""",GOOGLETRANSLATE(BJ64,""auto"",""en""))"),"Enamel")</f>
        <v>Enamel</v>
      </c>
      <c r="AA64" s="23" t="str">
        <f aca="false">IF(C64="","", CHOOSE(MONTH(C64),"January","February","March","April","May","June","July","August","September","October","November","December")&amp;" "&amp;DAY(C64)&amp;MID("thstndrdth",MIN(9,2*RIGHT(DAY(C64))*(MOD(DAY(C64)-11,100)&gt;2)+1),2)&amp;","&amp;TEXT(C64," yyyy"))</f>
        <v>January 25th,2021</v>
      </c>
      <c r="AB64" s="15" t="str">
        <f aca="true">IF(S64="","",DATEDIF(S64,TODAY(),"Y")&amp;" Tahun, "&amp;DATEDIF(S64,TODAY(),"YM")&amp;" Bulan, "&amp;DATEDIF(S64,TODAY(),"MD")&amp;" Hari")</f>
        <v>26 Tahun, 5 Bulan, 8 Hari</v>
      </c>
      <c r="AC64" s="18" t="n">
        <v>45658</v>
      </c>
      <c r="AD64" s="18" t="n">
        <v>46022</v>
      </c>
      <c r="AE64" s="18" t="s">
        <v>44</v>
      </c>
    </row>
    <row r="65" customFormat="false" ht="15" hidden="false" customHeight="true" outlineLevel="0" collapsed="false">
      <c r="A65" s="12" t="n">
        <v>277</v>
      </c>
      <c r="B65" s="13" t="s">
        <v>335</v>
      </c>
      <c r="C65" s="14" t="n">
        <v>44223</v>
      </c>
      <c r="D65" s="13" t="s">
        <v>144</v>
      </c>
      <c r="E65" s="15" t="s">
        <v>47</v>
      </c>
      <c r="F65" s="15" t="str">
        <f aca="false">IFERROR(__xludf.dummyfunction("XLOOKUP(AJ65,IMPORTRANGE(""1XaInW9DU9nz21V0tYIfzFQ0He9kVQ_JF2mCXgZ3hqFA"",""REKAP ALL 2026 - Andika!G:G""),IMPORTRANGE(""1XaInW9DU9nz21V0tYIfzFQ0He9kVQ_JF2mCXgZ3hqFA"",""REKAP ALL 2026 - Andika!F:F""),"""",0)"),"20089524225")</f>
        <v>20089524225</v>
      </c>
      <c r="G65" s="13" t="s">
        <v>336</v>
      </c>
      <c r="H65" s="13" t="s">
        <v>35</v>
      </c>
      <c r="I65" s="13" t="str">
        <f aca="false">IF(C65=J65,"NEW KONTRAK","RE-KONTRAK")</f>
        <v>RE-KONTRAK</v>
      </c>
      <c r="J65" s="16" t="n">
        <f aca="false" t="array" ref="J65:J65">IFERROR(INDEX(AC65:AE65,IF(COUNTA(AC65:AE65)=0,"",MAX((AC65:AE65&lt;&gt;"")*(COLUMN(AC65:AE65)-(COLUMN(AC65)))))-1),"")</f>
        <v>45658</v>
      </c>
      <c r="K65" s="16" t="n">
        <f aca="false" t="array" ref="K65:K65">IFERROR(INDEX(AC65:AE65,IF(COUNTA(AC65:AE65)=0,"",MAX((AC65:AE65&lt;&gt;"")*(COLUMN(AC65:AE65)-(COLUMN(AC65)-1))))-1),"")</f>
        <v>46022</v>
      </c>
      <c r="L65" s="17" t="str">
        <f aca="false" t="array" ref="L65:L65">IFERROR(INDEX(AC65:AE65,IF(COUNTA(AC65:AE65)=0,"",MAX((AC65:AE65&lt;&gt;"")*(COLUMN(AC65:AE65)-(COLUMN(AC65)-2))))-1),"")</f>
        <v>ARCHIVED</v>
      </c>
      <c r="M65" s="13" t="n">
        <f aca="true">K65-TODAY()</f>
        <v>-302</v>
      </c>
      <c r="N65" s="18" t="s">
        <v>36</v>
      </c>
      <c r="O65" s="13" t="s">
        <v>146</v>
      </c>
      <c r="P65" s="19" t="n">
        <v>5195401</v>
      </c>
      <c r="Q65" s="20" t="s">
        <v>337</v>
      </c>
      <c r="R65" s="13" t="s">
        <v>78</v>
      </c>
      <c r="S65" s="14" t="n">
        <v>37265</v>
      </c>
      <c r="T65" s="13" t="s">
        <v>40</v>
      </c>
      <c r="U65" s="13" t="s">
        <v>338</v>
      </c>
      <c r="V65" s="13" t="s">
        <v>42</v>
      </c>
      <c r="W65" s="13" t="s">
        <v>43</v>
      </c>
      <c r="X65" s="21" t="n">
        <v>85895643387</v>
      </c>
      <c r="Y65" s="22" t="str">
        <f aca="false">O65</f>
        <v>Enamel</v>
      </c>
      <c r="Z65" s="13" t="str">
        <f aca="false">IFERROR(__xludf.dummyfunction("if(BJ65="""","""",GOOGLETRANSLATE(BJ65,""auto"",""en""))"),"Enamel")</f>
        <v>Enamel</v>
      </c>
      <c r="AA65" s="23" t="str">
        <f aca="false">IF(C65="","", CHOOSE(MONTH(C65),"January","February","March","April","May","June","July","August","September","October","November","December")&amp;" "&amp;DAY(C65)&amp;MID("thstndrdth",MIN(9,2*RIGHT(DAY(C65))*(MOD(DAY(C65)-11,100)&gt;2)+1),2)&amp;","&amp;TEXT(C65," yyyy"))</f>
        <v>January 27th,2021</v>
      </c>
      <c r="AB65" s="15" t="str">
        <f aca="true">IF(S65="","",DATEDIF(S65,TODAY(),"Y")&amp;" Tahun, "&amp;DATEDIF(S65,TODAY(),"YM")&amp;" Bulan, "&amp;DATEDIF(S65,TODAY(),"MD")&amp;" Hari")</f>
        <v>24 Tahun, 9 Bulan, 20 Hari</v>
      </c>
      <c r="AC65" s="18" t="n">
        <v>45658</v>
      </c>
      <c r="AD65" s="18" t="n">
        <v>46022</v>
      </c>
      <c r="AE65" s="18" t="s">
        <v>44</v>
      </c>
    </row>
    <row r="66" customFormat="false" ht="15" hidden="false" customHeight="true" outlineLevel="0" collapsed="false">
      <c r="A66" s="12" t="n">
        <v>284</v>
      </c>
      <c r="B66" s="13" t="s">
        <v>339</v>
      </c>
      <c r="C66" s="14" t="n">
        <v>44197</v>
      </c>
      <c r="D66" s="13" t="s">
        <v>144</v>
      </c>
      <c r="E66" s="15" t="s">
        <v>47</v>
      </c>
      <c r="F66" s="15" t="str">
        <f aca="false">IFERROR(__xludf.dummyfunction("XLOOKUP(AJ66,IMPORTRANGE(""1XaInW9DU9nz21V0tYIfzFQ0He9kVQ_JF2mCXgZ3hqFA"",""REKAP ALL 2026 - Andika!G:G""),IMPORTRANGE(""1XaInW9DU9nz21V0tYIfzFQ0He9kVQ_JF2mCXgZ3hqFA"",""REKAP ALL 2026 - Andika!F:F""),"""",0)"),"19067361030")</f>
        <v>19067361030</v>
      </c>
      <c r="G66" s="13" t="s">
        <v>340</v>
      </c>
      <c r="H66" s="13" t="s">
        <v>35</v>
      </c>
      <c r="I66" s="13" t="str">
        <f aca="false">IF(C66=J66,"NEW KONTRAK","RE-KONTRAK")</f>
        <v>RE-KONTRAK</v>
      </c>
      <c r="J66" s="16" t="n">
        <f aca="false" t="array" ref="J66:J66">IFERROR(INDEX(AC66:AE66,IF(COUNTA(AC66:AE66)=0,"",MAX((AC66:AE66&lt;&gt;"")*(COLUMN(AC66:AE66)-(COLUMN(AC66)))))-1),"")</f>
        <v>45658</v>
      </c>
      <c r="K66" s="16" t="n">
        <f aca="false" t="array" ref="K66:K66">IFERROR(INDEX(AC66:AE66,IF(COUNTA(AC66:AE66)=0,"",MAX((AC66:AE66&lt;&gt;"")*(COLUMN(AC66:AE66)-(COLUMN(AC66)-1))))-1),"")</f>
        <v>46022</v>
      </c>
      <c r="L66" s="17" t="str">
        <f aca="false" t="array" ref="L66:L66">IFERROR(INDEX(AC66:AE66,IF(COUNTA(AC66:AE66)=0,"",MAX((AC66:AE66&lt;&gt;"")*(COLUMN(AC66:AE66)-(COLUMN(AC66)-2))))-1),"")</f>
        <v>ARCHIVED</v>
      </c>
      <c r="M66" s="13" t="n">
        <f aca="true">K66-TODAY()</f>
        <v>-302</v>
      </c>
      <c r="N66" s="18" t="s">
        <v>36</v>
      </c>
      <c r="O66" s="13" t="s">
        <v>146</v>
      </c>
      <c r="P66" s="19" t="n">
        <v>5195401</v>
      </c>
      <c r="Q66" s="20" t="s">
        <v>341</v>
      </c>
      <c r="R66" s="13" t="s">
        <v>78</v>
      </c>
      <c r="S66" s="14" t="n">
        <v>33608</v>
      </c>
      <c r="T66" s="13" t="s">
        <v>40</v>
      </c>
      <c r="U66" s="13" t="s">
        <v>342</v>
      </c>
      <c r="V66" s="13" t="s">
        <v>42</v>
      </c>
      <c r="W66" s="13" t="s">
        <v>54</v>
      </c>
      <c r="X66" s="21" t="n">
        <v>82257172376</v>
      </c>
      <c r="Y66" s="22" t="str">
        <f aca="false">O66</f>
        <v>Enamel</v>
      </c>
      <c r="Z66" s="13" t="str">
        <f aca="false">IFERROR(__xludf.dummyfunction("if(BJ66="""","""",GOOGLETRANSLATE(BJ66,""auto"",""en""))"),"Enamel")</f>
        <v>Enamel</v>
      </c>
      <c r="AA66" s="23" t="str">
        <f aca="false">IF(C66="","", CHOOSE(MONTH(C66),"January","February","March","April","May","June","July","August","September","October","November","December")&amp;" "&amp;DAY(C66)&amp;MID("thstndrdth",MIN(9,2*RIGHT(DAY(C66))*(MOD(DAY(C66)-11,100)&gt;2)+1),2)&amp;","&amp;TEXT(C66," yyyy"))</f>
        <v>January 1st,2021</v>
      </c>
      <c r="AB66" s="15" t="str">
        <f aca="true">IF(S66="","",DATEDIF(S66,TODAY(),"Y")&amp;" Tahun, "&amp;DATEDIF(S66,TODAY(),"YM")&amp;" Bulan, "&amp;DATEDIF(S66,TODAY(),"MD")&amp;" Hari")</f>
        <v>34 Tahun, 9 Bulan, 24 Hari</v>
      </c>
      <c r="AC66" s="18" t="n">
        <v>45658</v>
      </c>
      <c r="AD66" s="18" t="n">
        <v>46022</v>
      </c>
      <c r="AE66" s="18" t="s">
        <v>44</v>
      </c>
    </row>
    <row r="67" customFormat="false" ht="15" hidden="false" customHeight="true" outlineLevel="0" collapsed="false">
      <c r="A67" s="12" t="n">
        <v>287</v>
      </c>
      <c r="B67" s="13" t="s">
        <v>343</v>
      </c>
      <c r="C67" s="14" t="n">
        <v>44242</v>
      </c>
      <c r="D67" s="13" t="s">
        <v>144</v>
      </c>
      <c r="E67" s="15" t="s">
        <v>47</v>
      </c>
      <c r="F67" s="15" t="str">
        <f aca="false">IFERROR(__xludf.dummyfunction("XLOOKUP(AJ67,IMPORTRANGE(""1XaInW9DU9nz21V0tYIfzFQ0He9kVQ_JF2mCXgZ3hqFA"",""REKAP ALL 2026 - Andika!G:G""),IMPORTRANGE(""1XaInW9DU9nz21V0tYIfzFQ0He9kVQ_JF2mCXgZ3hqFA"",""REKAP ALL 2026 - Andika!F:F""),"""",0)"),"21017015468")</f>
        <v>21017015468</v>
      </c>
      <c r="G67" s="13" t="s">
        <v>344</v>
      </c>
      <c r="H67" s="13" t="s">
        <v>35</v>
      </c>
      <c r="I67" s="13" t="str">
        <f aca="false">IF(C67=J67,"NEW KONTRAK","RE-KONTRAK")</f>
        <v>RE-KONTRAK</v>
      </c>
      <c r="J67" s="16" t="n">
        <f aca="false" t="array" ref="J67:J67">IFERROR(INDEX(AC67:AE67,IF(COUNTA(AC67:AE67)=0,"",MAX((AC67:AE67&lt;&gt;"")*(COLUMN(AC67:AE67)-(COLUMN(AC67)))))-1),"")</f>
        <v>45658</v>
      </c>
      <c r="K67" s="16" t="n">
        <f aca="false" t="array" ref="K67:K67">IFERROR(INDEX(AC67:AE67,IF(COUNTA(AC67:AE67)=0,"",MAX((AC67:AE67&lt;&gt;"")*(COLUMN(AC67:AE67)-(COLUMN(AC67)-1))))-1),"")</f>
        <v>46022</v>
      </c>
      <c r="L67" s="17" t="str">
        <f aca="false" t="array" ref="L67:L67">IFERROR(INDEX(AC67:AE67,IF(COUNTA(AC67:AE67)=0,"",MAX((AC67:AE67&lt;&gt;"")*(COLUMN(AC67:AE67)-(COLUMN(AC67)-2))))-1),"")</f>
        <v>ARCHIVED</v>
      </c>
      <c r="M67" s="13" t="n">
        <f aca="true">K67-TODAY()</f>
        <v>-302</v>
      </c>
      <c r="N67" s="18" t="s">
        <v>36</v>
      </c>
      <c r="O67" s="13" t="s">
        <v>146</v>
      </c>
      <c r="P67" s="19" t="n">
        <v>5195401</v>
      </c>
      <c r="Q67" s="20" t="s">
        <v>345</v>
      </c>
      <c r="R67" s="13" t="s">
        <v>65</v>
      </c>
      <c r="S67" s="14" t="n">
        <v>37362</v>
      </c>
      <c r="T67" s="13" t="s">
        <v>40</v>
      </c>
      <c r="U67" s="13" t="s">
        <v>346</v>
      </c>
      <c r="V67" s="13" t="s">
        <v>42</v>
      </c>
      <c r="W67" s="13" t="s">
        <v>43</v>
      </c>
      <c r="X67" s="21" t="n">
        <v>881026241950</v>
      </c>
      <c r="Y67" s="22" t="str">
        <f aca="false">O67</f>
        <v>Enamel</v>
      </c>
      <c r="Z67" s="13" t="str">
        <f aca="false">IFERROR(__xludf.dummyfunction("if(BJ67="""","""",GOOGLETRANSLATE(BJ67,""auto"",""en""))"),"Enamel")</f>
        <v>Enamel</v>
      </c>
      <c r="AA67" s="23" t="str">
        <f aca="false">IF(C67="","", CHOOSE(MONTH(C67),"January","February","March","April","May","June","July","August","September","October","November","December")&amp;" "&amp;DAY(C67)&amp;MID("thstndrdth",MIN(9,2*RIGHT(DAY(C67))*(MOD(DAY(C67)-11,100)&gt;2)+1),2)&amp;","&amp;TEXT(C67," yyyy"))</f>
        <v>February 15th,2021</v>
      </c>
      <c r="AB67" s="15" t="str">
        <f aca="true">IF(S67="","",DATEDIF(S67,TODAY(),"Y")&amp;" Tahun, "&amp;DATEDIF(S67,TODAY(),"YM")&amp;" Bulan, "&amp;DATEDIF(S67,TODAY(),"MD")&amp;" Hari")</f>
        <v>24 Tahun, 6 Bulan, 13 Hari</v>
      </c>
      <c r="AC67" s="18" t="n">
        <v>45658</v>
      </c>
      <c r="AD67" s="18" t="n">
        <v>46022</v>
      </c>
      <c r="AE67" s="18" t="s">
        <v>44</v>
      </c>
    </row>
    <row r="68" customFormat="false" ht="15" hidden="false" customHeight="true" outlineLevel="0" collapsed="false">
      <c r="A68" s="12" t="n">
        <v>288</v>
      </c>
      <c r="B68" s="13" t="s">
        <v>347</v>
      </c>
      <c r="C68" s="14" t="n">
        <v>44265</v>
      </c>
      <c r="D68" s="13" t="s">
        <v>144</v>
      </c>
      <c r="E68" s="15" t="s">
        <v>47</v>
      </c>
      <c r="F68" s="15" t="str">
        <f aca="false">IFERROR(__xludf.dummyfunction("XLOOKUP(AJ68,IMPORTRANGE(""1XaInW9DU9nz21V0tYIfzFQ0He9kVQ_JF2mCXgZ3hqFA"",""REKAP ALL 2026 - Andika!G:G""),IMPORTRANGE(""1XaInW9DU9nz21V0tYIfzFQ0He9kVQ_JF2mCXgZ3hqFA"",""REKAP ALL 2026 - Andika!F:F""),"""",0)"),"14016835614")</f>
        <v>14016835614</v>
      </c>
      <c r="G68" s="13" t="s">
        <v>348</v>
      </c>
      <c r="H68" s="13" t="s">
        <v>35</v>
      </c>
      <c r="I68" s="13" t="str">
        <f aca="false">IF(C68=J68,"NEW KONTRAK","RE-KONTRAK")</f>
        <v>RE-KONTRAK</v>
      </c>
      <c r="J68" s="16" t="n">
        <f aca="false" t="array" ref="J68:J68">IFERROR(INDEX(AC68:AE68,IF(COUNTA(AC68:AE68)=0,"",MAX((AC68:AE68&lt;&gt;"")*(COLUMN(AC68:AE68)-(COLUMN(AC68)))))-1),"")</f>
        <v>45658</v>
      </c>
      <c r="K68" s="16" t="n">
        <f aca="false" t="array" ref="K68:K68">IFERROR(INDEX(AC68:AE68,IF(COUNTA(AC68:AE68)=0,"",MAX((AC68:AE68&lt;&gt;"")*(COLUMN(AC68:AE68)-(COLUMN(AC68)-1))))-1),"")</f>
        <v>46022</v>
      </c>
      <c r="L68" s="17" t="str">
        <f aca="false" t="array" ref="L68:L68">IFERROR(INDEX(AC68:AE68,IF(COUNTA(AC68:AE68)=0,"",MAX((AC68:AE68&lt;&gt;"")*(COLUMN(AC68:AE68)-(COLUMN(AC68)-2))))-1),"")</f>
        <v>ARCHIVED</v>
      </c>
      <c r="M68" s="13" t="n">
        <f aca="true">K68-TODAY()</f>
        <v>-302</v>
      </c>
      <c r="N68" s="18" t="s">
        <v>36</v>
      </c>
      <c r="O68" s="13" t="s">
        <v>211</v>
      </c>
      <c r="P68" s="19" t="n">
        <v>5195401</v>
      </c>
      <c r="Q68" s="20" t="s">
        <v>349</v>
      </c>
      <c r="R68" s="13" t="s">
        <v>65</v>
      </c>
      <c r="S68" s="14" t="n">
        <v>31644</v>
      </c>
      <c r="T68" s="13" t="s">
        <v>40</v>
      </c>
      <c r="U68" s="13" t="s">
        <v>350</v>
      </c>
      <c r="V68" s="13" t="s">
        <v>42</v>
      </c>
      <c r="W68" s="13" t="s">
        <v>54</v>
      </c>
      <c r="X68" s="21" t="n">
        <v>85831388267</v>
      </c>
      <c r="Y68" s="22" t="str">
        <f aca="false">O68</f>
        <v>FG Store</v>
      </c>
      <c r="Z68" s="13" t="str">
        <f aca="false">IFERROR(__xludf.dummyfunction("if(BJ68="""","""",GOOGLETRANSLATE(BJ68,""auto"",""en""))"),"FG Store")</f>
        <v>FG Store</v>
      </c>
      <c r="AA68" s="23" t="str">
        <f aca="false">IF(C68="","", CHOOSE(MONTH(C68),"January","February","March","April","May","June","July","August","September","October","November","December")&amp;" "&amp;DAY(C68)&amp;MID("thstndrdth",MIN(9,2*RIGHT(DAY(C68))*(MOD(DAY(C68)-11,100)&gt;2)+1),2)&amp;","&amp;TEXT(C68," yyyy"))</f>
        <v>March 10th,2021</v>
      </c>
      <c r="AB68" s="15" t="str">
        <f aca="true">IF(S68="","",DATEDIF(S68,TODAY(),"Y")&amp;" Tahun, "&amp;DATEDIF(S68,TODAY(),"YM")&amp;" Bulan, "&amp;DATEDIF(S68,TODAY(),"MD")&amp;" Hari")</f>
        <v>40 Tahun, 2 Bulan, 9 Hari</v>
      </c>
      <c r="AC68" s="18" t="n">
        <v>45658</v>
      </c>
      <c r="AD68" s="18" t="n">
        <v>46022</v>
      </c>
      <c r="AE68" s="18" t="s">
        <v>44</v>
      </c>
    </row>
    <row r="69" customFormat="false" ht="15" hidden="false" customHeight="true" outlineLevel="0" collapsed="false">
      <c r="A69" s="12" t="n">
        <v>290</v>
      </c>
      <c r="B69" s="13" t="s">
        <v>351</v>
      </c>
      <c r="C69" s="14" t="n">
        <v>44279</v>
      </c>
      <c r="D69" s="13" t="s">
        <v>144</v>
      </c>
      <c r="E69" s="15" t="s">
        <v>47</v>
      </c>
      <c r="F69" s="15" t="str">
        <f aca="false">IFERROR(__xludf.dummyfunction("XLOOKUP(AJ69,IMPORTRANGE(""1XaInW9DU9nz21V0tYIfzFQ0He9kVQ_JF2mCXgZ3hqFA"",""REKAP ALL 2026 - Andika!G:G""),IMPORTRANGE(""1XaInW9DU9nz21V0tYIfzFQ0He9kVQ_JF2mCXgZ3hqFA"",""REKAP ALL 2026 - Andika!F:F""),"""",0)"),"21024147502")</f>
        <v>21024147502</v>
      </c>
      <c r="G69" s="13" t="s">
        <v>352</v>
      </c>
      <c r="H69" s="13" t="s">
        <v>35</v>
      </c>
      <c r="I69" s="13" t="str">
        <f aca="false">IF(C69=J69,"NEW KONTRAK","RE-KONTRAK")</f>
        <v>RE-KONTRAK</v>
      </c>
      <c r="J69" s="16" t="n">
        <f aca="false" t="array" ref="J69:J69">IFERROR(INDEX(AC69:AE69,IF(COUNTA(AC69:AE69)=0,"",MAX((AC69:AE69&lt;&gt;"")*(COLUMN(AC69:AE69)-(COLUMN(AC69)))))-1),"")</f>
        <v>45658</v>
      </c>
      <c r="K69" s="16" t="n">
        <f aca="false" t="array" ref="K69:K69">IFERROR(INDEX(AC69:AE69,IF(COUNTA(AC69:AE69)=0,"",MAX((AC69:AE69&lt;&gt;"")*(COLUMN(AC69:AE69)-(COLUMN(AC69)-1))))-1),"")</f>
        <v>46022</v>
      </c>
      <c r="L69" s="17" t="str">
        <f aca="false" t="array" ref="L69:L69">IFERROR(INDEX(AC69:AE69,IF(COUNTA(AC69:AE69)=0,"",MAX((AC69:AE69&lt;&gt;"")*(COLUMN(AC69:AE69)-(COLUMN(AC69)-2))))-1),"")</f>
        <v>ARCHIVED</v>
      </c>
      <c r="M69" s="13" t="n">
        <f aca="true">K69-TODAY()</f>
        <v>-302</v>
      </c>
      <c r="N69" s="18" t="s">
        <v>36</v>
      </c>
      <c r="O69" s="13" t="s">
        <v>156</v>
      </c>
      <c r="P69" s="19" t="n">
        <v>5195401</v>
      </c>
      <c r="Q69" s="20" t="s">
        <v>353</v>
      </c>
      <c r="R69" s="13" t="s">
        <v>52</v>
      </c>
      <c r="S69" s="14" t="n">
        <v>34611</v>
      </c>
      <c r="T69" s="13" t="s">
        <v>40</v>
      </c>
      <c r="U69" s="13" t="s">
        <v>354</v>
      </c>
      <c r="V69" s="13" t="s">
        <v>42</v>
      </c>
      <c r="W69" s="13" t="s">
        <v>43</v>
      </c>
      <c r="X69" s="21" t="n">
        <v>85730558694</v>
      </c>
      <c r="Y69" s="22" t="str">
        <f aca="false">O69</f>
        <v>Emulsion</v>
      </c>
      <c r="Z69" s="13" t="str">
        <f aca="false">IFERROR(__xludf.dummyfunction("if(BJ69="""","""",GOOGLETRANSLATE(BJ69,""auto"",""en""))"),"Emulsion")</f>
        <v>Emulsion</v>
      </c>
      <c r="AA69" s="23" t="str">
        <f aca="false">IF(C69="","", CHOOSE(MONTH(C69),"January","February","March","April","May","June","July","August","September","October","November","December")&amp;" "&amp;DAY(C69)&amp;MID("thstndrdth",MIN(9,2*RIGHT(DAY(C69))*(MOD(DAY(C69)-11,100)&gt;2)+1),2)&amp;","&amp;TEXT(C69," yyyy"))</f>
        <v>March 24th,2021</v>
      </c>
      <c r="AB69" s="15" t="str">
        <f aca="true">IF(S69="","",DATEDIF(S69,TODAY(),"Y")&amp;" Tahun, "&amp;DATEDIF(S69,TODAY(),"YM")&amp;" Bulan, "&amp;DATEDIF(S69,TODAY(),"MD")&amp;" Hari")</f>
        <v>32 Tahun, 0 Bulan, 25 Hari</v>
      </c>
      <c r="AC69" s="18" t="n">
        <v>45658</v>
      </c>
      <c r="AD69" s="18" t="n">
        <v>46022</v>
      </c>
      <c r="AE69" s="18" t="s">
        <v>44</v>
      </c>
    </row>
    <row r="70" customFormat="false" ht="15" hidden="false" customHeight="true" outlineLevel="0" collapsed="false">
      <c r="A70" s="12" t="n">
        <v>292</v>
      </c>
      <c r="B70" s="13" t="s">
        <v>355</v>
      </c>
      <c r="C70" s="14" t="n">
        <v>44287</v>
      </c>
      <c r="D70" s="13" t="s">
        <v>144</v>
      </c>
      <c r="E70" s="15" t="s">
        <v>47</v>
      </c>
      <c r="F70" s="15" t="str">
        <f aca="false">IFERROR(__xludf.dummyfunction("XLOOKUP(AJ70,IMPORTRANGE(""1XaInW9DU9nz21V0tYIfzFQ0He9kVQ_JF2mCXgZ3hqFA"",""REKAP ALL 2026 - Andika!G:G""),IMPORTRANGE(""1XaInW9DU9nz21V0tYIfzFQ0He9kVQ_JF2mCXgZ3hqFA"",""REKAP ALL 2026 - Andika!F:F""),"""",0)"),"21031346287")</f>
        <v>21031346287</v>
      </c>
      <c r="G70" s="13" t="s">
        <v>356</v>
      </c>
      <c r="H70" s="13" t="s">
        <v>35</v>
      </c>
      <c r="I70" s="13" t="str">
        <f aca="false">IF(C70=J70,"NEW KONTRAK","RE-KONTRAK")</f>
        <v>RE-KONTRAK</v>
      </c>
      <c r="J70" s="16" t="n">
        <f aca="false" t="array" ref="J70:J70">IFERROR(INDEX(AC70:AE70,IF(COUNTA(AC70:AE70)=0,"",MAX((AC70:AE70&lt;&gt;"")*(COLUMN(AC70:AE70)-(COLUMN(AC70)))))-1),"")</f>
        <v>45658</v>
      </c>
      <c r="K70" s="16" t="n">
        <f aca="false" t="array" ref="K70:K70">IFERROR(INDEX(AC70:AE70,IF(COUNTA(AC70:AE70)=0,"",MAX((AC70:AE70&lt;&gt;"")*(COLUMN(AC70:AE70)-(COLUMN(AC70)-1))))-1),"")</f>
        <v>46022</v>
      </c>
      <c r="L70" s="17" t="str">
        <f aca="false" t="array" ref="L70:L70">IFERROR(INDEX(AC70:AE70,IF(COUNTA(AC70:AE70)=0,"",MAX((AC70:AE70&lt;&gt;"")*(COLUMN(AC70:AE70)-(COLUMN(AC70)-2))))-1),"")</f>
        <v>ARCHIVED</v>
      </c>
      <c r="M70" s="13" t="n">
        <f aca="true">K70-TODAY()</f>
        <v>-302</v>
      </c>
      <c r="N70" s="18" t="s">
        <v>36</v>
      </c>
      <c r="O70" s="13" t="s">
        <v>211</v>
      </c>
      <c r="P70" s="19" t="n">
        <v>5195401</v>
      </c>
      <c r="Q70" s="20" t="s">
        <v>357</v>
      </c>
      <c r="R70" s="13" t="s">
        <v>52</v>
      </c>
      <c r="S70" s="14" t="n">
        <v>33636</v>
      </c>
      <c r="T70" s="13" t="s">
        <v>40</v>
      </c>
      <c r="U70" s="13" t="s">
        <v>358</v>
      </c>
      <c r="V70" s="13" t="s">
        <v>42</v>
      </c>
      <c r="W70" s="13" t="s">
        <v>43</v>
      </c>
      <c r="X70" s="21" t="n">
        <v>81249861902</v>
      </c>
      <c r="Y70" s="22" t="str">
        <f aca="false">O70</f>
        <v>FG Store</v>
      </c>
      <c r="Z70" s="13" t="str">
        <f aca="false">IFERROR(__xludf.dummyfunction("if(BJ70="""","""",GOOGLETRANSLATE(BJ70,""auto"",""en""))"),"FG Store")</f>
        <v>FG Store</v>
      </c>
      <c r="AA70" s="23" t="str">
        <f aca="false">IF(C70="","", CHOOSE(MONTH(C70),"January","February","March","April","May","June","July","August","September","October","November","December")&amp;" "&amp;DAY(C70)&amp;MID("thstndrdth",MIN(9,2*RIGHT(DAY(C70))*(MOD(DAY(C70)-11,100)&gt;2)+1),2)&amp;","&amp;TEXT(C70," yyyy"))</f>
        <v>April 1st,2021</v>
      </c>
      <c r="AB70" s="15" t="str">
        <f aca="true">IF(S70="","",DATEDIF(S70,TODAY(),"Y")&amp;" Tahun, "&amp;DATEDIF(S70,TODAY(),"YM")&amp;" Bulan, "&amp;DATEDIF(S70,TODAY(),"MD")&amp;" Hari")</f>
        <v>34 Tahun, 8 Bulan, 27 Hari</v>
      </c>
      <c r="AC70" s="18" t="n">
        <v>45658</v>
      </c>
      <c r="AD70" s="18" t="n">
        <v>46022</v>
      </c>
      <c r="AE70" s="18" t="s">
        <v>44</v>
      </c>
    </row>
    <row r="71" customFormat="false" ht="15" hidden="false" customHeight="true" outlineLevel="0" collapsed="false">
      <c r="A71" s="12" t="n">
        <v>297</v>
      </c>
      <c r="B71" s="13" t="s">
        <v>359</v>
      </c>
      <c r="C71" s="14" t="n">
        <v>44298</v>
      </c>
      <c r="D71" s="13" t="s">
        <v>144</v>
      </c>
      <c r="E71" s="15" t="s">
        <v>47</v>
      </c>
      <c r="F71" s="15" t="str">
        <f aca="false">IFERROR(__xludf.dummyfunction("XLOOKUP(AJ71,IMPORTRANGE(""1XaInW9DU9nz21V0tYIfzFQ0He9kVQ_JF2mCXgZ3hqFA"",""REKAP ALL 2026 - Andika!G:G""),IMPORTRANGE(""1XaInW9DU9nz21V0tYIfzFQ0He9kVQ_JF2mCXgZ3hqFA"",""REKAP ALL 2026 - Andika!F:F""),"""",0)"),"21031346261")</f>
        <v>21031346261</v>
      </c>
      <c r="G71" s="13" t="s">
        <v>360</v>
      </c>
      <c r="H71" s="13" t="s">
        <v>35</v>
      </c>
      <c r="I71" s="13" t="str">
        <f aca="false">IF(C71=J71,"NEW KONTRAK","RE-KONTRAK")</f>
        <v>RE-KONTRAK</v>
      </c>
      <c r="J71" s="16" t="n">
        <f aca="false" t="array" ref="J71:J71">IFERROR(INDEX(AC71:AE71,IF(COUNTA(AC71:AE71)=0,"",MAX((AC71:AE71&lt;&gt;"")*(COLUMN(AC71:AE71)-(COLUMN(AC71)))))-1),"")</f>
        <v>45658</v>
      </c>
      <c r="K71" s="16" t="n">
        <f aca="false" t="array" ref="K71:K71">IFERROR(INDEX(AC71:AE71,IF(COUNTA(AC71:AE71)=0,"",MAX((AC71:AE71&lt;&gt;"")*(COLUMN(AC71:AE71)-(COLUMN(AC71)-1))))-1),"")</f>
        <v>46022</v>
      </c>
      <c r="L71" s="17" t="str">
        <f aca="false" t="array" ref="L71:L71">IFERROR(INDEX(AC71:AE71,IF(COUNTA(AC71:AE71)=0,"",MAX((AC71:AE71&lt;&gt;"")*(COLUMN(AC71:AE71)-(COLUMN(AC71)-2))))-1),"")</f>
        <v>ARCHIVED</v>
      </c>
      <c r="M71" s="13" t="n">
        <f aca="true">K71-TODAY()</f>
        <v>-302</v>
      </c>
      <c r="N71" s="18" t="s">
        <v>36</v>
      </c>
      <c r="O71" s="13" t="s">
        <v>161</v>
      </c>
      <c r="P71" s="19" t="n">
        <v>5195401</v>
      </c>
      <c r="Q71" s="20" t="s">
        <v>361</v>
      </c>
      <c r="R71" s="13" t="s">
        <v>78</v>
      </c>
      <c r="S71" s="14" t="n">
        <v>32092</v>
      </c>
      <c r="T71" s="13" t="s">
        <v>40</v>
      </c>
      <c r="U71" s="13" t="s">
        <v>362</v>
      </c>
      <c r="V71" s="13" t="s">
        <v>42</v>
      </c>
      <c r="W71" s="13" t="s">
        <v>43</v>
      </c>
      <c r="X71" s="21" t="n">
        <v>85749733643</v>
      </c>
      <c r="Y71" s="22" t="str">
        <f aca="false">O71</f>
        <v>RM Store</v>
      </c>
      <c r="Z71" s="13" t="str">
        <f aca="false">IFERROR(__xludf.dummyfunction("if(BJ71="""","""",GOOGLETRANSLATE(BJ71,""auto"",""en""))"),"RM Store")</f>
        <v>RM Store</v>
      </c>
      <c r="AA71" s="23" t="str">
        <f aca="false">IF(C71="","", CHOOSE(MONTH(C71),"January","February","March","April","May","June","July","August","September","October","November","December")&amp;" "&amp;DAY(C71)&amp;MID("thstndrdth",MIN(9,2*RIGHT(DAY(C71))*(MOD(DAY(C71)-11,100)&gt;2)+1),2)&amp;","&amp;TEXT(C71," yyyy"))</f>
        <v>April 12th,2021</v>
      </c>
      <c r="AB71" s="15" t="str">
        <f aca="true">IF(S71="","",DATEDIF(S71,TODAY(),"Y")&amp;" Tahun, "&amp;DATEDIF(S71,TODAY(),"YM")&amp;" Bulan, "&amp;DATEDIF(S71,TODAY(),"MD")&amp;" Hari")</f>
        <v>38 Tahun, 11 Bulan, 18 Hari</v>
      </c>
      <c r="AC71" s="18" t="n">
        <v>45658</v>
      </c>
      <c r="AD71" s="18" t="n">
        <v>46022</v>
      </c>
      <c r="AE71" s="18" t="s">
        <v>44</v>
      </c>
    </row>
    <row r="72" customFormat="false" ht="15" hidden="false" customHeight="true" outlineLevel="0" collapsed="false">
      <c r="A72" s="12" t="n">
        <v>299</v>
      </c>
      <c r="B72" s="13" t="s">
        <v>363</v>
      </c>
      <c r="C72" s="14" t="n">
        <v>44302</v>
      </c>
      <c r="D72" s="13" t="s">
        <v>144</v>
      </c>
      <c r="E72" s="15" t="s">
        <v>47</v>
      </c>
      <c r="F72" s="15" t="str">
        <f aca="false">IFERROR(__xludf.dummyfunction("XLOOKUP(AJ72,IMPORTRANGE(""1XaInW9DU9nz21V0tYIfzFQ0He9kVQ_JF2mCXgZ3hqFA"",""REKAP ALL 2026 - Andika!G:G""),IMPORTRANGE(""1XaInW9DU9nz21V0tYIfzFQ0He9kVQ_JF2mCXgZ3hqFA"",""REKAP ALL 2026 - Andika!F:F""),"""",0)"),"21031346220")</f>
        <v>21031346220</v>
      </c>
      <c r="G72" s="13" t="s">
        <v>364</v>
      </c>
      <c r="H72" s="13" t="s">
        <v>35</v>
      </c>
      <c r="I72" s="13" t="str">
        <f aca="false">IF(C72=J72,"NEW KONTRAK","RE-KONTRAK")</f>
        <v>RE-KONTRAK</v>
      </c>
      <c r="J72" s="16" t="n">
        <f aca="false" t="array" ref="J72:J72">IFERROR(INDEX(AC72:AE72,IF(COUNTA(AC72:AE72)=0,"",MAX((AC72:AE72&lt;&gt;"")*(COLUMN(AC72:AE72)-(COLUMN(AC72)))))-1),"")</f>
        <v>45658</v>
      </c>
      <c r="K72" s="16" t="n">
        <f aca="false" t="array" ref="K72:K72">IFERROR(INDEX(AC72:AE72,IF(COUNTA(AC72:AE72)=0,"",MAX((AC72:AE72&lt;&gt;"")*(COLUMN(AC72:AE72)-(COLUMN(AC72)-1))))-1),"")</f>
        <v>46022</v>
      </c>
      <c r="L72" s="17" t="str">
        <f aca="false" t="array" ref="L72:L72">IFERROR(INDEX(AC72:AE72,IF(COUNTA(AC72:AE72)=0,"",MAX((AC72:AE72&lt;&gt;"")*(COLUMN(AC72:AE72)-(COLUMN(AC72)-2))))-1),"")</f>
        <v>ARCHIVED</v>
      </c>
      <c r="M72" s="13" t="n">
        <f aca="true">K72-TODAY()</f>
        <v>-302</v>
      </c>
      <c r="N72" s="18" t="s">
        <v>36</v>
      </c>
      <c r="O72" s="13" t="s">
        <v>156</v>
      </c>
      <c r="P72" s="19" t="n">
        <v>5195401</v>
      </c>
      <c r="Q72" s="20" t="s">
        <v>365</v>
      </c>
      <c r="R72" s="13" t="s">
        <v>78</v>
      </c>
      <c r="S72" s="14" t="n">
        <v>36770</v>
      </c>
      <c r="T72" s="13" t="s">
        <v>40</v>
      </c>
      <c r="U72" s="13" t="s">
        <v>366</v>
      </c>
      <c r="V72" s="13" t="s">
        <v>42</v>
      </c>
      <c r="W72" s="13" t="s">
        <v>43</v>
      </c>
      <c r="X72" s="21" t="n">
        <v>87723715982</v>
      </c>
      <c r="Y72" s="22" t="str">
        <f aca="false">O72</f>
        <v>Emulsion</v>
      </c>
      <c r="Z72" s="13" t="str">
        <f aca="false">IFERROR(__xludf.dummyfunction("if(BJ72="""","""",GOOGLETRANSLATE(BJ72,""auto"",""en""))"),"Emulsion")</f>
        <v>Emulsion</v>
      </c>
      <c r="AA72" s="23" t="str">
        <f aca="false">IF(C72="","", CHOOSE(MONTH(C72),"January","February","March","April","May","June","July","August","September","October","November","December")&amp;" "&amp;DAY(C72)&amp;MID("thstndrdth",MIN(9,2*RIGHT(DAY(C72))*(MOD(DAY(C72)-11,100)&gt;2)+1),2)&amp;","&amp;TEXT(C72," yyyy"))</f>
        <v>April 16th,2021</v>
      </c>
      <c r="AB72" s="15" t="str">
        <f aca="true">IF(S72="","",DATEDIF(S72,TODAY(),"Y")&amp;" Tahun, "&amp;DATEDIF(S72,TODAY(),"YM")&amp;" Bulan, "&amp;DATEDIF(S72,TODAY(),"MD")&amp;" Hari")</f>
        <v>26 Tahun, 1 Bulan, 28 Hari</v>
      </c>
      <c r="AC72" s="18" t="n">
        <v>45658</v>
      </c>
      <c r="AD72" s="18" t="n">
        <v>46022</v>
      </c>
      <c r="AE72" s="18" t="s">
        <v>44</v>
      </c>
    </row>
    <row r="73" customFormat="false" ht="15" hidden="false" customHeight="true" outlineLevel="0" collapsed="false">
      <c r="A73" s="12" t="n">
        <v>300</v>
      </c>
      <c r="B73" s="13" t="s">
        <v>367</v>
      </c>
      <c r="C73" s="14" t="n">
        <v>44302</v>
      </c>
      <c r="D73" s="13" t="s">
        <v>144</v>
      </c>
      <c r="E73" s="15" t="s">
        <v>47</v>
      </c>
      <c r="F73" s="15" t="str">
        <f aca="false">IFERROR(__xludf.dummyfunction("XLOOKUP(AJ73,IMPORTRANGE(""1XaInW9DU9nz21V0tYIfzFQ0He9kVQ_JF2mCXgZ3hqFA"",""REKAP ALL 2026 - Andika!G:G""),IMPORTRANGE(""1XaInW9DU9nz21V0tYIfzFQ0He9kVQ_JF2mCXgZ3hqFA"",""REKAP ALL 2026 - Andika!F:F""),"""",0)"),"21031346295")</f>
        <v>21031346295</v>
      </c>
      <c r="G73" s="13" t="s">
        <v>368</v>
      </c>
      <c r="H73" s="13" t="s">
        <v>35</v>
      </c>
      <c r="I73" s="13" t="str">
        <f aca="false">IF(C73=J73,"NEW KONTRAK","RE-KONTRAK")</f>
        <v>RE-KONTRAK</v>
      </c>
      <c r="J73" s="16" t="n">
        <f aca="false" t="array" ref="J73:J73">IFERROR(INDEX(AC73:AE73,IF(COUNTA(AC73:AE73)=0,"",MAX((AC73:AE73&lt;&gt;"")*(COLUMN(AC73:AE73)-(COLUMN(AC73)))))-1),"")</f>
        <v>45658</v>
      </c>
      <c r="K73" s="16" t="n">
        <f aca="false" t="array" ref="K73:K73">IFERROR(INDEX(AC73:AE73,IF(COUNTA(AC73:AE73)=0,"",MAX((AC73:AE73&lt;&gt;"")*(COLUMN(AC73:AE73)-(COLUMN(AC73)-1))))-1),"")</f>
        <v>46022</v>
      </c>
      <c r="L73" s="17" t="str">
        <f aca="false" t="array" ref="L73:L73">IFERROR(INDEX(AC73:AE73,IF(COUNTA(AC73:AE73)=0,"",MAX((AC73:AE73&lt;&gt;"")*(COLUMN(AC73:AE73)-(COLUMN(AC73)-2))))-1),"")</f>
        <v>ARCHIVED</v>
      </c>
      <c r="M73" s="13" t="n">
        <f aca="true">K73-TODAY()</f>
        <v>-302</v>
      </c>
      <c r="N73" s="18" t="s">
        <v>36</v>
      </c>
      <c r="O73" s="13" t="s">
        <v>156</v>
      </c>
      <c r="P73" s="19" t="n">
        <v>5195401</v>
      </c>
      <c r="Q73" s="20" t="s">
        <v>369</v>
      </c>
      <c r="R73" s="13" t="s">
        <v>65</v>
      </c>
      <c r="S73" s="14" t="n">
        <v>36709</v>
      </c>
      <c r="T73" s="13" t="s">
        <v>40</v>
      </c>
      <c r="U73" s="13" t="s">
        <v>370</v>
      </c>
      <c r="V73" s="13" t="s">
        <v>42</v>
      </c>
      <c r="W73" s="13" t="s">
        <v>43</v>
      </c>
      <c r="X73" s="21" t="n">
        <v>81288543784</v>
      </c>
      <c r="Y73" s="22" t="str">
        <f aca="false">O73</f>
        <v>Emulsion</v>
      </c>
      <c r="Z73" s="13" t="str">
        <f aca="false">IFERROR(__xludf.dummyfunction("if(BJ73="""","""",GOOGLETRANSLATE(BJ73,""auto"",""en""))"),"Emulsion")</f>
        <v>Emulsion</v>
      </c>
      <c r="AA73" s="23" t="str">
        <f aca="false">IF(C73="","", CHOOSE(MONTH(C73),"January","February","March","April","May","June","July","August","September","October","November","December")&amp;" "&amp;DAY(C73)&amp;MID("thstndrdth",MIN(9,2*RIGHT(DAY(C73))*(MOD(DAY(C73)-11,100)&gt;2)+1),2)&amp;","&amp;TEXT(C73," yyyy"))</f>
        <v>April 16th,2021</v>
      </c>
      <c r="AB73" s="15" t="str">
        <f aca="true">IF(S73="","",DATEDIF(S73,TODAY(),"Y")&amp;" Tahun, "&amp;DATEDIF(S73,TODAY(),"YM")&amp;" Bulan, "&amp;DATEDIF(S73,TODAY(),"MD")&amp;" Hari")</f>
        <v>26 Tahun, 3 Bulan, 27 Hari</v>
      </c>
      <c r="AC73" s="18" t="n">
        <v>45658</v>
      </c>
      <c r="AD73" s="18" t="n">
        <v>46022</v>
      </c>
      <c r="AE73" s="18" t="s">
        <v>44</v>
      </c>
    </row>
    <row r="74" customFormat="false" ht="15" hidden="false" customHeight="true" outlineLevel="0" collapsed="false">
      <c r="A74" s="12" t="n">
        <v>302</v>
      </c>
      <c r="B74" s="13" t="s">
        <v>371</v>
      </c>
      <c r="C74" s="14" t="n">
        <v>44365</v>
      </c>
      <c r="D74" s="13" t="s">
        <v>144</v>
      </c>
      <c r="E74" s="15" t="s">
        <v>47</v>
      </c>
      <c r="F74" s="15" t="str">
        <f aca="false">IFERROR(__xludf.dummyfunction("XLOOKUP(AJ74,IMPORTRANGE(""1XaInW9DU9nz21V0tYIfzFQ0He9kVQ_JF2mCXgZ3hqFA"",""REKAP ALL 2026 - Andika!G:G""),IMPORTRANGE(""1XaInW9DU9nz21V0tYIfzFQ0He9kVQ_JF2mCXgZ3hqFA"",""REKAP ALL 2026 - Andika!F:F""),"""",0)"),"15060430236")</f>
        <v>15060430236</v>
      </c>
      <c r="G74" s="13" t="s">
        <v>372</v>
      </c>
      <c r="H74" s="13" t="s">
        <v>35</v>
      </c>
      <c r="I74" s="13" t="str">
        <f aca="false">IF(C74=J74,"NEW KONTRAK","RE-KONTRAK")</f>
        <v>RE-KONTRAK</v>
      </c>
      <c r="J74" s="16" t="n">
        <f aca="false" t="array" ref="J74:J74">IFERROR(INDEX(AC74:AE74,IF(COUNTA(AC74:AE74)=0,"",MAX((AC74:AE74&lt;&gt;"")*(COLUMN(AC74:AE74)-(COLUMN(AC74)))))-1),"")</f>
        <v>45658</v>
      </c>
      <c r="K74" s="16" t="n">
        <f aca="false" t="array" ref="K74:K74">IFERROR(INDEX(AC74:AE74,IF(COUNTA(AC74:AE74)=0,"",MAX((AC74:AE74&lt;&gt;"")*(COLUMN(AC74:AE74)-(COLUMN(AC74)-1))))-1),"")</f>
        <v>46022</v>
      </c>
      <c r="L74" s="17" t="str">
        <f aca="false" t="array" ref="L74:L74">IFERROR(INDEX(AC74:AE74,IF(COUNTA(AC74:AE74)=0,"",MAX((AC74:AE74&lt;&gt;"")*(COLUMN(AC74:AE74)-(COLUMN(AC74)-2))))-1),"")</f>
        <v>ARCHIVED</v>
      </c>
      <c r="M74" s="13" t="n">
        <f aca="true">K74-TODAY()</f>
        <v>-302</v>
      </c>
      <c r="N74" s="18" t="s">
        <v>36</v>
      </c>
      <c r="O74" s="13" t="s">
        <v>211</v>
      </c>
      <c r="P74" s="19" t="n">
        <v>5195401</v>
      </c>
      <c r="Q74" s="20" t="s">
        <v>373</v>
      </c>
      <c r="R74" s="13" t="s">
        <v>52</v>
      </c>
      <c r="S74" s="14" t="n">
        <v>35562</v>
      </c>
      <c r="T74" s="13" t="s">
        <v>40</v>
      </c>
      <c r="U74" s="13" t="s">
        <v>374</v>
      </c>
      <c r="V74" s="13" t="s">
        <v>42</v>
      </c>
      <c r="W74" s="13" t="s">
        <v>54</v>
      </c>
      <c r="X74" s="21" t="n">
        <v>81259469046</v>
      </c>
      <c r="Y74" s="22" t="str">
        <f aca="false">O74</f>
        <v>FG Store</v>
      </c>
      <c r="Z74" s="13" t="str">
        <f aca="false">IFERROR(__xludf.dummyfunction("if(BJ74="""","""",GOOGLETRANSLATE(BJ74,""auto"",""en""))"),"FG Store")</f>
        <v>FG Store</v>
      </c>
      <c r="AA74" s="23" t="str">
        <f aca="false">IF(C74="","", CHOOSE(MONTH(C74),"January","February","March","April","May","June","July","August","September","October","November","December")&amp;" "&amp;DAY(C74)&amp;MID("thstndrdth",MIN(9,2*RIGHT(DAY(C74))*(MOD(DAY(C74)-11,100)&gt;2)+1),2)&amp;","&amp;TEXT(C74," yyyy"))</f>
        <v>June 18th,2021</v>
      </c>
      <c r="AB74" s="15" t="str">
        <f aca="true">IF(S74="","",DATEDIF(S74,TODAY(),"Y")&amp;" Tahun, "&amp;DATEDIF(S74,TODAY(),"YM")&amp;" Bulan, "&amp;DATEDIF(S74,TODAY(),"MD")&amp;" Hari")</f>
        <v>29 Tahun, 5 Bulan, 17 Hari</v>
      </c>
      <c r="AC74" s="18" t="n">
        <v>45658</v>
      </c>
      <c r="AD74" s="18" t="n">
        <v>46022</v>
      </c>
      <c r="AE74" s="18" t="s">
        <v>44</v>
      </c>
    </row>
    <row r="75" customFormat="false" ht="15" hidden="false" customHeight="true" outlineLevel="0" collapsed="false">
      <c r="A75" s="12" t="n">
        <v>309</v>
      </c>
      <c r="B75" s="13" t="s">
        <v>375</v>
      </c>
      <c r="C75" s="14" t="n">
        <v>44354</v>
      </c>
      <c r="D75" s="13" t="s">
        <v>144</v>
      </c>
      <c r="E75" s="15" t="s">
        <v>47</v>
      </c>
      <c r="F75" s="15" t="str">
        <f aca="false">IFERROR(__xludf.dummyfunction("XLOOKUP(AJ75,IMPORTRANGE(""1XaInW9DU9nz21V0tYIfzFQ0He9kVQ_JF2mCXgZ3hqFA"",""REKAP ALL 2026 - Andika!G:G""),IMPORTRANGE(""1XaInW9DU9nz21V0tYIfzFQ0He9kVQ_JF2mCXgZ3hqFA"",""REKAP ALL 2026 - Andika!F:F""),"""",0)"),"21049049477")</f>
        <v>21049049477</v>
      </c>
      <c r="G75" s="13" t="s">
        <v>376</v>
      </c>
      <c r="H75" s="13" t="s">
        <v>35</v>
      </c>
      <c r="I75" s="13" t="str">
        <f aca="false">IF(C75=J75,"NEW KONTRAK","RE-KONTRAK")</f>
        <v>RE-KONTRAK</v>
      </c>
      <c r="J75" s="16" t="n">
        <f aca="false" t="array" ref="J75:J75">IFERROR(INDEX(AC75:AE75,IF(COUNTA(AC75:AE75)=0,"",MAX((AC75:AE75&lt;&gt;"")*(COLUMN(AC75:AE75)-(COLUMN(AC75)))))-1),"")</f>
        <v>45658</v>
      </c>
      <c r="K75" s="16" t="n">
        <f aca="false" t="array" ref="K75:K75">IFERROR(INDEX(AC75:AE75,IF(COUNTA(AC75:AE75)=0,"",MAX((AC75:AE75&lt;&gt;"")*(COLUMN(AC75:AE75)-(COLUMN(AC75)-1))))-1),"")</f>
        <v>46022</v>
      </c>
      <c r="L75" s="17" t="str">
        <f aca="false" t="array" ref="L75:L75">IFERROR(INDEX(AC75:AE75,IF(COUNTA(AC75:AE75)=0,"",MAX((AC75:AE75&lt;&gt;"")*(COLUMN(AC75:AE75)-(COLUMN(AC75)-2))))-1),"")</f>
        <v>ARCHIVED</v>
      </c>
      <c r="M75" s="13" t="n">
        <f aca="true">K75-TODAY()</f>
        <v>-302</v>
      </c>
      <c r="N75" s="18" t="s">
        <v>36</v>
      </c>
      <c r="O75" s="13" t="s">
        <v>146</v>
      </c>
      <c r="P75" s="19" t="n">
        <v>5195401</v>
      </c>
      <c r="Q75" s="20" t="s">
        <v>377</v>
      </c>
      <c r="R75" s="13" t="s">
        <v>260</v>
      </c>
      <c r="S75" s="14" t="n">
        <v>32979</v>
      </c>
      <c r="T75" s="13" t="s">
        <v>40</v>
      </c>
      <c r="U75" s="13" t="s">
        <v>378</v>
      </c>
      <c r="V75" s="13" t="s">
        <v>42</v>
      </c>
      <c r="W75" s="13" t="s">
        <v>43</v>
      </c>
      <c r="X75" s="21" t="n">
        <v>85607596782</v>
      </c>
      <c r="Y75" s="22" t="str">
        <f aca="false">O75</f>
        <v>Enamel</v>
      </c>
      <c r="Z75" s="13" t="str">
        <f aca="false">IFERROR(__xludf.dummyfunction("if(BJ75="""","""",GOOGLETRANSLATE(BJ75,""auto"",""en""))"),"Enamel")</f>
        <v>Enamel</v>
      </c>
      <c r="AA75" s="23" t="str">
        <f aca="false">IF(C75="","", CHOOSE(MONTH(C75),"January","February","March","April","May","June","July","August","September","October","November","December")&amp;" "&amp;DAY(C75)&amp;MID("thstndrdth",MIN(9,2*RIGHT(DAY(C75))*(MOD(DAY(C75)-11,100)&gt;2)+1),2)&amp;","&amp;TEXT(C75," yyyy"))</f>
        <v>June 7th,2021</v>
      </c>
      <c r="AB75" s="15" t="str">
        <f aca="true">IF(S75="","",DATEDIF(S75,TODAY(),"Y")&amp;" Tahun, "&amp;DATEDIF(S75,TODAY(),"YM")&amp;" Bulan, "&amp;DATEDIF(S75,TODAY(),"MD")&amp;" Hari")</f>
        <v>36 Tahun, 6 Bulan, 13 Hari</v>
      </c>
      <c r="AC75" s="18" t="n">
        <v>45658</v>
      </c>
      <c r="AD75" s="18" t="n">
        <v>46022</v>
      </c>
      <c r="AE75" s="18" t="s">
        <v>44</v>
      </c>
    </row>
    <row r="76" customFormat="false" ht="15" hidden="false" customHeight="true" outlineLevel="0" collapsed="false">
      <c r="A76" s="12" t="n">
        <v>385</v>
      </c>
      <c r="B76" s="13" t="s">
        <v>379</v>
      </c>
      <c r="C76" s="14" t="n">
        <v>44076</v>
      </c>
      <c r="D76" s="13" t="s">
        <v>380</v>
      </c>
      <c r="E76" s="15" t="s">
        <v>102</v>
      </c>
      <c r="F76" s="24" t="s">
        <v>381</v>
      </c>
      <c r="G76" s="13" t="s">
        <v>382</v>
      </c>
      <c r="H76" s="13" t="s">
        <v>49</v>
      </c>
      <c r="I76" s="13" t="str">
        <f aca="false">IF(C76=J76,"NEW KONTRAK","RE-KONTRAK")</f>
        <v>RE-KONTRAK</v>
      </c>
      <c r="J76" s="16" t="n">
        <f aca="false" t="array" ref="J76:J76">IFERROR(INDEX(AC76:AE76,IF(COUNTA(AC76:AE76)=0,"",MAX((AC76:AE76&lt;&gt;"")*(COLUMN(AC76:AE76)-(COLUMN(AC76)))))-1),"")</f>
        <v>45810</v>
      </c>
      <c r="K76" s="16" t="n">
        <f aca="false" t="array" ref="K76:K76">IFERROR(INDEX(AC76:AE76,IF(COUNTA(AC76:AE76)=0,"",MAX((AC76:AE76&lt;&gt;"")*(COLUMN(AC76:AE76)-(COLUMN(AC76)-1))))-1),"")</f>
        <v>45992</v>
      </c>
      <c r="L76" s="17" t="str">
        <f aca="false" t="array" ref="L76:L76">IFERROR(INDEX(AC76:AE76,IF(COUNTA(AC76:AE76)=0,"",MAX((AC76:AE76&lt;&gt;"")*(COLUMN(AC76:AE76)-(COLUMN(AC76)-2))))-1),"")</f>
        <v>ARCHIVED</v>
      </c>
      <c r="M76" s="13" t="n">
        <f aca="true">K76-TODAY()</f>
        <v>-332</v>
      </c>
      <c r="N76" s="18" t="s">
        <v>383</v>
      </c>
      <c r="O76" s="13" t="s">
        <v>384</v>
      </c>
      <c r="P76" s="19" t="n">
        <v>3100000</v>
      </c>
      <c r="Q76" s="20" t="s">
        <v>385</v>
      </c>
      <c r="R76" s="13" t="s">
        <v>232</v>
      </c>
      <c r="S76" s="14" t="n">
        <v>37255</v>
      </c>
      <c r="T76" s="13" t="s">
        <v>108</v>
      </c>
      <c r="U76" s="13" t="s">
        <v>386</v>
      </c>
      <c r="V76" s="13" t="s">
        <v>42</v>
      </c>
      <c r="W76" s="13" t="s">
        <v>43</v>
      </c>
      <c r="X76" s="21" t="n">
        <v>85856597009</v>
      </c>
      <c r="Y76" s="22" t="str">
        <f aca="false">O76</f>
        <v>Admin Legal</v>
      </c>
      <c r="Z76" s="13" t="str">
        <f aca="false">IFERROR(__xludf.dummyfunction("if(BJ76="""","""",GOOGLETRANSLATE(BJ76,""auto"",""en""))"),"Admin Legal")</f>
        <v>Admin Legal</v>
      </c>
      <c r="AA76" s="23" t="str">
        <f aca="false">IF(C76="","", CHOOSE(MONTH(C76),"January","February","March","April","May","June","July","August","September","October","November","December")&amp;" "&amp;DAY(C76)&amp;MID("thstndrdth",MIN(9,2*RIGHT(DAY(C76))*(MOD(DAY(C76)-11,100)&gt;2)+1),2)&amp;","&amp;TEXT(C76," yyyy"))</f>
        <v>September 2nd,2020</v>
      </c>
      <c r="AB76" s="15" t="str">
        <f aca="true">IF(S76="","",DATEDIF(S76,TODAY(),"Y")&amp;" Tahun, "&amp;DATEDIF(S76,TODAY(),"YM")&amp;" Bulan, "&amp;DATEDIF(S76,TODAY(),"MD")&amp;" Hari")</f>
        <v>24 Tahun, 9 Bulan, 29 Hari</v>
      </c>
      <c r="AC76" s="18" t="n">
        <v>45810</v>
      </c>
      <c r="AD76" s="18" t="n">
        <f aca="false">EDATE(AC76,6)-1</f>
        <v>45992</v>
      </c>
      <c r="AE76" s="18" t="s">
        <v>44</v>
      </c>
    </row>
    <row r="77" customFormat="false" ht="15" hidden="false" customHeight="true" outlineLevel="0" collapsed="false">
      <c r="A77" s="12" t="n">
        <v>477</v>
      </c>
      <c r="B77" s="13" t="s">
        <v>387</v>
      </c>
      <c r="C77" s="14" t="n">
        <v>44390</v>
      </c>
      <c r="D77" s="13" t="s">
        <v>380</v>
      </c>
      <c r="E77" s="15" t="s">
        <v>102</v>
      </c>
      <c r="F77" s="15" t="str">
        <f aca="false">IFERROR(__xludf.dummyfunction("XLOOKUP(AJ77,IMPORTRANGE(""1XaInW9DU9nz21V0tYIfzFQ0He9kVQ_JF2mCXgZ3hqFA"",""REKAP ALL 2026 - Andika!G:G""),IMPORTRANGE(""1XaInW9DU9nz21V0tYIfzFQ0He9kVQ_JF2mCXgZ3hqFA"",""REKAP ALL 2026 - Andika!F:F""),"""",0)"),"20012242366")</f>
        <v>20012242366</v>
      </c>
      <c r="G77" s="13" t="s">
        <v>388</v>
      </c>
      <c r="H77" s="13" t="s">
        <v>49</v>
      </c>
      <c r="I77" s="13" t="str">
        <f aca="false">IF(C77=J77,"NEW KONTRAK","RE-KONTRAK")</f>
        <v>RE-KONTRAK</v>
      </c>
      <c r="J77" s="16" t="n">
        <f aca="false" t="array" ref="J77:J77">IFERROR(INDEX(AC77:AE77,IF(COUNTA(AC77:AE77)=0,"",MAX((AC77:AE77&lt;&gt;"")*(COLUMN(AC77:AE77)-(COLUMN(AC77)))))-1),"")</f>
        <v>45851</v>
      </c>
      <c r="K77" s="16" t="n">
        <f aca="false" t="array" ref="K77:K77">IFERROR(INDEX(AC77:AE77,IF(COUNTA(AC77:AE77)=0,"",MAX((AC77:AE77&lt;&gt;"")*(COLUMN(AC77:AE77)-(COLUMN(AC77)-1))))-1),"")</f>
        <v>46034</v>
      </c>
      <c r="L77" s="17" t="str">
        <f aca="false" t="array" ref="L77:L77">IFERROR(INDEX(AC77:AE77,IF(COUNTA(AC77:AE77)=0,"",MAX((AC77:AE77&lt;&gt;"")*(COLUMN(AC77:AE77)-(COLUMN(AC77)-2))))-1),"")</f>
        <v>ARCHIVED</v>
      </c>
      <c r="M77" s="13" t="n">
        <f aca="true">K77-TODAY()</f>
        <v>-290</v>
      </c>
      <c r="N77" s="18" t="s">
        <v>383</v>
      </c>
      <c r="O77" s="13" t="s">
        <v>389</v>
      </c>
      <c r="P77" s="19" t="n">
        <v>3085000</v>
      </c>
      <c r="Q77" s="20" t="s">
        <v>390</v>
      </c>
      <c r="R77" s="13" t="s">
        <v>232</v>
      </c>
      <c r="S77" s="14" t="n">
        <v>37008</v>
      </c>
      <c r="T77" s="13" t="s">
        <v>108</v>
      </c>
      <c r="U77" s="13" t="s">
        <v>391</v>
      </c>
      <c r="V77" s="13" t="s">
        <v>42</v>
      </c>
      <c r="W77" s="13" t="s">
        <v>43</v>
      </c>
      <c r="X77" s="21" t="n">
        <v>85748362035</v>
      </c>
      <c r="Y77" s="22" t="str">
        <f aca="false">O77</f>
        <v>Packing</v>
      </c>
      <c r="Z77" s="13" t="str">
        <f aca="false">IFERROR(__xludf.dummyfunction("if(BJ77="""","""",GOOGLETRANSLATE(BJ77,""auto"",""en""))"),"Packing")</f>
        <v>Packing</v>
      </c>
      <c r="AA77" s="23" t="str">
        <f aca="false">IF(C77="","", CHOOSE(MONTH(C77),"January","February","March","April","May","June","July","August","September","October","November","December")&amp;" "&amp;DAY(C77)&amp;MID("thstndrdth",MIN(9,2*RIGHT(DAY(C77))*(MOD(DAY(C77)-11,100)&gt;2)+1),2)&amp;","&amp;TEXT(C77," yyyy"))</f>
        <v>July 13th,2021</v>
      </c>
      <c r="AB77" s="15" t="str">
        <f aca="true">IF(S77="","",DATEDIF(S77,TODAY(),"Y")&amp;" Tahun, "&amp;DATEDIF(S77,TODAY(),"YM")&amp;" Bulan, "&amp;DATEDIF(S77,TODAY(),"MD")&amp;" Hari")</f>
        <v>25 Tahun, 6 Bulan, 2 Hari</v>
      </c>
      <c r="AC77" s="18" t="n">
        <v>45851</v>
      </c>
      <c r="AD77" s="18" t="n">
        <v>46034</v>
      </c>
      <c r="AE77" s="18" t="s">
        <v>44</v>
      </c>
    </row>
    <row r="78" customFormat="false" ht="15" hidden="false" customHeight="true" outlineLevel="0" collapsed="false">
      <c r="A78" s="12" t="n">
        <v>539</v>
      </c>
      <c r="B78" s="13" t="s">
        <v>392</v>
      </c>
      <c r="C78" s="14" t="n">
        <v>44438</v>
      </c>
      <c r="D78" s="13" t="s">
        <v>393</v>
      </c>
      <c r="E78" s="15" t="s">
        <v>102</v>
      </c>
      <c r="F78" s="15" t="str">
        <f aca="false">IFERROR(__xludf.dummyfunction("XLOOKUP(AJ78,IMPORTRANGE(""1XaInW9DU9nz21V0tYIfzFQ0He9kVQ_JF2mCXgZ3hqFA"",""REKAP ALL 2026 - Andika!G:G""),IMPORTRANGE(""1XaInW9DU9nz21V0tYIfzFQ0He9kVQ_JF2mCXgZ3hqFA"",""REKAP ALL 2026 - Andika!F:F""),"""",0)"),"21072014513")</f>
        <v>21072014513</v>
      </c>
      <c r="G78" s="13" t="s">
        <v>394</v>
      </c>
      <c r="H78" s="13" t="s">
        <v>35</v>
      </c>
      <c r="I78" s="13" t="str">
        <f aca="false">IF(C78=J78,"NEW KONTRAK","RE-KONTRAK")</f>
        <v>RE-KONTRAK</v>
      </c>
      <c r="J78" s="16" t="n">
        <f aca="false" t="array" ref="J78:J78">IFERROR(INDEX(AC78:AE78,IF(COUNTA(AC78:AE78)=0,"",MAX((AC78:AE78&lt;&gt;"")*(COLUMN(AC78:AE78)-(COLUMN(AC78)))))-1),"")</f>
        <v>45452</v>
      </c>
      <c r="K78" s="16" t="n">
        <f aca="false" t="array" ref="K78:K78">IFERROR(INDEX(AC78:AE78,IF(COUNTA(AC78:AE78)=0,"",MAX((AC78:AE78&lt;&gt;"")*(COLUMN(AC78:AE78)-(COLUMN(AC78)-1))))-1),"")</f>
        <v>46181</v>
      </c>
      <c r="L78" s="17" t="str">
        <f aca="false" t="array" ref="L78:L78">IFERROR(INDEX(AC78:AE78,IF(COUNTA(AC78:AE78)=0,"",MAX((AC78:AE78&lt;&gt;"")*(COLUMN(AC78:AE78)-(COLUMN(AC78)-2))))-1),"")</f>
        <v>KEMBALI</v>
      </c>
      <c r="M78" s="13" t="n">
        <f aca="true">K78-TODAY()</f>
        <v>-143</v>
      </c>
      <c r="N78" s="18" t="s">
        <v>105</v>
      </c>
      <c r="O78" s="13" t="s">
        <v>58</v>
      </c>
      <c r="P78" s="19" t="n">
        <v>5191541</v>
      </c>
      <c r="Q78" s="20" t="s">
        <v>395</v>
      </c>
      <c r="R78" s="13" t="s">
        <v>39</v>
      </c>
      <c r="S78" s="14" t="n">
        <v>34393</v>
      </c>
      <c r="T78" s="13" t="s">
        <v>40</v>
      </c>
      <c r="U78" s="13" t="s">
        <v>396</v>
      </c>
      <c r="V78" s="13" t="s">
        <v>42</v>
      </c>
      <c r="W78" s="13" t="s">
        <v>54</v>
      </c>
      <c r="X78" s="21" t="n">
        <v>83833327971</v>
      </c>
      <c r="Y78" s="22" t="str">
        <f aca="false">O78</f>
        <v>Produksi</v>
      </c>
      <c r="Z78" s="13" t="str">
        <f aca="false">IFERROR(__xludf.dummyfunction("if(BJ78="""","""",GOOGLETRANSLATE(BJ78,""auto"",""en""))"),"Production")</f>
        <v>Production</v>
      </c>
      <c r="AA78" s="23" t="str">
        <f aca="false">IF(C78="","", CHOOSE(MONTH(C78),"January","February","March","April","May","June","July","August","September","October","November","December")&amp;" "&amp;DAY(C78)&amp;MID("thstndrdth",MIN(9,2*RIGHT(DAY(C78))*(MOD(DAY(C78)-11,100)&gt;2)+1),2)&amp;","&amp;TEXT(C78," yyyy"))</f>
        <v>August 30th,2021</v>
      </c>
      <c r="AB78" s="15" t="str">
        <f aca="true">IF(S78="","",DATEDIF(S78,TODAY(),"Y")&amp;" Tahun, "&amp;DATEDIF(S78,TODAY(),"YM")&amp;" Bulan, "&amp;DATEDIF(S78,TODAY(),"MD")&amp;" Hari")</f>
        <v>32 Tahun, 8 Bulan, 1 Hari</v>
      </c>
      <c r="AC78" s="18" t="n">
        <v>45452</v>
      </c>
      <c r="AD78" s="18" t="n">
        <v>46181</v>
      </c>
      <c r="AE78" s="13" t="s">
        <v>397</v>
      </c>
    </row>
    <row r="79" customFormat="false" ht="15" hidden="false" customHeight="true" outlineLevel="0" collapsed="false">
      <c r="A79" s="12" t="n">
        <v>578</v>
      </c>
      <c r="B79" s="13" t="s">
        <v>398</v>
      </c>
      <c r="C79" s="14" t="n">
        <v>44440</v>
      </c>
      <c r="D79" s="13" t="s">
        <v>101</v>
      </c>
      <c r="E79" s="15" t="s">
        <v>102</v>
      </c>
      <c r="F79" s="15" t="str">
        <f aca="false">IFERROR(__xludf.dummyfunction("XLOOKUP(AJ79,IMPORTRANGE(""1XaInW9DU9nz21V0tYIfzFQ0He9kVQ_JF2mCXgZ3hqFA"",""REKAP ALL 2026 - Andika!G:G""),IMPORTRANGE(""1XaInW9DU9nz21V0tYIfzFQ0He9kVQ_JF2mCXgZ3hqFA"",""REKAP ALL 2026 - Andika!F:F""),"""",0)"),"21082692829")</f>
        <v>21082692829</v>
      </c>
      <c r="G79" s="13" t="s">
        <v>399</v>
      </c>
      <c r="H79" s="13" t="s">
        <v>35</v>
      </c>
      <c r="I79" s="13" t="str">
        <f aca="false">IF(C79=J79,"NEW KONTRAK","RE-KONTRAK")</f>
        <v>RE-KONTRAK</v>
      </c>
      <c r="J79" s="16" t="n">
        <f aca="false" t="array" ref="J79:J79">IFERROR(INDEX(AC79:AE79,IF(COUNTA(AC79:AE79)=0,"",MAX((AC79:AE79&lt;&gt;"")*(COLUMN(AC79:AE79)-(COLUMN(AC79)))))-1),"")</f>
        <v>45672</v>
      </c>
      <c r="K79" s="16" t="n">
        <f aca="false" t="array" ref="K79:K79">IFERROR(INDEX(AC79:AE79,IF(COUNTA(AC79:AE79)=0,"",MAX((AC79:AE79&lt;&gt;"")*(COLUMN(AC79:AE79)-(COLUMN(AC79)-1))))-1),"")</f>
        <v>46036</v>
      </c>
      <c r="L79" s="17" t="str">
        <f aca="false" t="array" ref="L79:L79">IFERROR(INDEX(AC79:AE79,IF(COUNTA(AC79:AE79)=0,"",MAX((AC79:AE79&lt;&gt;"")*(COLUMN(AC79:AE79)-(COLUMN(AC79)-2))))-1),"")</f>
        <v>ARCHIVED</v>
      </c>
      <c r="M79" s="13" t="n">
        <f aca="true">K79-TODAY()</f>
        <v>-288</v>
      </c>
      <c r="N79" s="18" t="s">
        <v>105</v>
      </c>
      <c r="O79" s="13" t="s">
        <v>106</v>
      </c>
      <c r="P79" s="19" t="n">
        <v>132300</v>
      </c>
      <c r="Q79" s="20" t="s">
        <v>400</v>
      </c>
      <c r="R79" s="13" t="s">
        <v>401</v>
      </c>
      <c r="S79" s="25" t="n">
        <v>37028</v>
      </c>
      <c r="T79" s="13" t="s">
        <v>108</v>
      </c>
      <c r="U79" s="13" t="s">
        <v>402</v>
      </c>
      <c r="V79" s="13" t="s">
        <v>42</v>
      </c>
      <c r="W79" s="13" t="s">
        <v>43</v>
      </c>
      <c r="X79" s="21" t="n">
        <v>85236212774</v>
      </c>
      <c r="Y79" s="22" t="str">
        <f aca="false">O79</f>
        <v>Produksi - Helper</v>
      </c>
      <c r="Z79" s="13" t="str">
        <f aca="false">IFERROR(__xludf.dummyfunction("if(BJ79="""","""",GOOGLETRANSLATE(BJ79,""auto"",""en""))"),"Production - Helper")</f>
        <v>Production - Helper</v>
      </c>
      <c r="AA79" s="23" t="str">
        <f aca="false">IF(C79="","", CHOOSE(MONTH(C79),"January","February","March","April","May","June","July","August","September","October","November","December")&amp;" "&amp;DAY(C79)&amp;MID("thstndrdth",MIN(9,2*RIGHT(DAY(C79))*(MOD(DAY(C79)-11,100)&gt;2)+1),2)&amp;","&amp;TEXT(C79," yyyy"))</f>
        <v>September 1st,2021</v>
      </c>
      <c r="AB79" s="15" t="str">
        <f aca="true">IF(S79="","",DATEDIF(S79,TODAY(),"Y")&amp;" Tahun, "&amp;DATEDIF(S79,TODAY(),"YM")&amp;" Bulan, "&amp;DATEDIF(S79,TODAY(),"MD")&amp;" Hari")</f>
        <v>25 Tahun, 5 Bulan, 12 Hari</v>
      </c>
      <c r="AC79" s="18" t="n">
        <v>45672</v>
      </c>
      <c r="AD79" s="18" t="n">
        <v>46036</v>
      </c>
      <c r="AE79" s="18" t="s">
        <v>44</v>
      </c>
    </row>
    <row r="80" customFormat="false" ht="15" hidden="false" customHeight="true" outlineLevel="0" collapsed="false">
      <c r="A80" s="12" t="n">
        <v>607</v>
      </c>
      <c r="B80" s="13" t="s">
        <v>403</v>
      </c>
      <c r="C80" s="14" t="n">
        <v>43210</v>
      </c>
      <c r="D80" s="13" t="s">
        <v>404</v>
      </c>
      <c r="E80" s="15" t="s">
        <v>47</v>
      </c>
      <c r="F80" s="15" t="str">
        <f aca="false">IFERROR(__xludf.dummyfunction("XLOOKUP(AJ80,IMPORTRANGE(""1XaInW9DU9nz21V0tYIfzFQ0He9kVQ_JF2mCXgZ3hqFA"",""REKAP ALL 2026 - Andika!G:G""),IMPORTRANGE(""1XaInW9DU9nz21V0tYIfzFQ0He9kVQ_JF2mCXgZ3hqFA"",""REKAP ALL 2026 - Andika!F:F""),"""",0)"),"18041719347")</f>
        <v>18041719347</v>
      </c>
      <c r="G80" s="13" t="s">
        <v>405</v>
      </c>
      <c r="H80" s="13" t="s">
        <v>35</v>
      </c>
      <c r="I80" s="13" t="str">
        <f aca="false">IF(C80=J80,"NEW KONTRAK","RE-KONTRAK")</f>
        <v>RE-KONTRAK</v>
      </c>
      <c r="J80" s="16" t="n">
        <f aca="false" t="array" ref="J80:J80">IFERROR(INDEX(AC80:AE80,IF(COUNTA(AC80:AE80)=0,"",MAX((AC80:AE80&lt;&gt;"")*(COLUMN(AC80:AE80)-(COLUMN(AC80)))))-1),"")</f>
        <v>45658</v>
      </c>
      <c r="K80" s="16" t="n">
        <f aca="false" t="array" ref="K80:K80">IFERROR(INDEX(AC80:AE80,IF(COUNTA(AC80:AE80)=0,"",MAX((AC80:AE80&lt;&gt;"")*(COLUMN(AC80:AE80)-(COLUMN(AC80)-1))))-1),"")</f>
        <v>46022</v>
      </c>
      <c r="L80" s="17" t="str">
        <f aca="false" t="array" ref="L80:L80">IFERROR(INDEX(AC80:AE80,IF(COUNTA(AC80:AE80)=0,"",MAX((AC80:AE80&lt;&gt;"")*(COLUMN(AC80:AE80)-(COLUMN(AC80)-2))))-1),"")</f>
        <v>ARCHIVED</v>
      </c>
      <c r="M80" s="13" t="n">
        <f aca="true">K80-TODAY()</f>
        <v>-302</v>
      </c>
      <c r="N80" s="18" t="s">
        <v>36</v>
      </c>
      <c r="O80" s="13" t="s">
        <v>406</v>
      </c>
      <c r="P80" s="26" t="n">
        <v>5195401</v>
      </c>
      <c r="Q80" s="20" t="s">
        <v>407</v>
      </c>
      <c r="R80" s="13" t="s">
        <v>78</v>
      </c>
      <c r="S80" s="14" t="n">
        <v>31631</v>
      </c>
      <c r="T80" s="13" t="s">
        <v>40</v>
      </c>
      <c r="U80" s="13" t="s">
        <v>408</v>
      </c>
      <c r="V80" s="13" t="s">
        <v>42</v>
      </c>
      <c r="W80" s="13" t="s">
        <v>43</v>
      </c>
      <c r="X80" s="21" t="n">
        <v>85748657425</v>
      </c>
      <c r="Y80" s="22" t="str">
        <f aca="false">O80</f>
        <v>Utility</v>
      </c>
      <c r="Z80" s="13" t="str">
        <f aca="false">IFERROR(__xludf.dummyfunction("if(BJ80="""","""",GOOGLETRANSLATE(BJ80,""auto"",""en""))"),"Utility")</f>
        <v>Utility</v>
      </c>
      <c r="AA80" s="23" t="str">
        <f aca="false">IF(C80="","", CHOOSE(MONTH(C80),"January","February","March","April","May","June","July","August","September","October","November","December")&amp;" "&amp;DAY(C80)&amp;MID("thstndrdth",MIN(9,2*RIGHT(DAY(C80))*(MOD(DAY(C80)-11,100)&gt;2)+1),2)&amp;","&amp;TEXT(C80," yyyy"))</f>
        <v>April 20th,2018</v>
      </c>
      <c r="AB80" s="15" t="str">
        <f aca="true">IF(S80="","",DATEDIF(S80,TODAY(),"Y")&amp;" Tahun, "&amp;DATEDIF(S80,TODAY(),"YM")&amp;" Bulan, "&amp;DATEDIF(S80,TODAY(),"MD")&amp;" Hari")</f>
        <v>40 Tahun, 2 Bulan, 22 Hari</v>
      </c>
      <c r="AC80" s="18" t="n">
        <v>45658</v>
      </c>
      <c r="AD80" s="18" t="n">
        <v>46022</v>
      </c>
      <c r="AE80" s="18" t="s">
        <v>44</v>
      </c>
    </row>
    <row r="81" customFormat="false" ht="15" hidden="false" customHeight="true" outlineLevel="0" collapsed="false">
      <c r="A81" s="12" t="n">
        <v>609</v>
      </c>
      <c r="B81" s="13" t="s">
        <v>409</v>
      </c>
      <c r="C81" s="14" t="n">
        <v>43456</v>
      </c>
      <c r="D81" s="13" t="s">
        <v>404</v>
      </c>
      <c r="E81" s="15" t="s">
        <v>47</v>
      </c>
      <c r="F81" s="15" t="str">
        <f aca="false">IFERROR(__xludf.dummyfunction("XLOOKUP(AJ81,IMPORTRANGE(""1XaInW9DU9nz21V0tYIfzFQ0He9kVQ_JF2mCXgZ3hqFA"",""REKAP ALL 2026 - Andika!G:G""),IMPORTRANGE(""1XaInW9DU9nz21V0tYIfzFQ0He9kVQ_JF2mCXgZ3hqFA"",""REKAP ALL 2026 - Andika!F:F""),"""",0)"),"12000002043")</f>
        <v>12000002043</v>
      </c>
      <c r="G81" s="13" t="s">
        <v>410</v>
      </c>
      <c r="H81" s="13" t="s">
        <v>35</v>
      </c>
      <c r="I81" s="13" t="str">
        <f aca="false">IF(C81=J81,"NEW KONTRAK","RE-KONTRAK")</f>
        <v>RE-KONTRAK</v>
      </c>
      <c r="J81" s="16" t="n">
        <f aca="false" t="array" ref="J81:J81">IFERROR(INDEX(AC81:AE81,IF(COUNTA(AC81:AE81)=0,"",MAX((AC81:AE81&lt;&gt;"")*(COLUMN(AC81:AE81)-(COLUMN(AC81)))))-1),"")</f>
        <v>45658</v>
      </c>
      <c r="K81" s="16" t="n">
        <f aca="false" t="array" ref="K81:K81">IFERROR(INDEX(AC81:AE81,IF(COUNTA(AC81:AE81)=0,"",MAX((AC81:AE81&lt;&gt;"")*(COLUMN(AC81:AE81)-(COLUMN(AC81)-1))))-1),"")</f>
        <v>46022</v>
      </c>
      <c r="L81" s="17" t="str">
        <f aca="false" t="array" ref="L81:L81">IFERROR(INDEX(AC81:AE81,IF(COUNTA(AC81:AE81)=0,"",MAX((AC81:AE81&lt;&gt;"")*(COLUMN(AC81:AE81)-(COLUMN(AC81)-2))))-1),"")</f>
        <v>ARCHIVED</v>
      </c>
      <c r="M81" s="13" t="n">
        <f aca="true">K81-TODAY()</f>
        <v>-302</v>
      </c>
      <c r="N81" s="18" t="s">
        <v>36</v>
      </c>
      <c r="O81" s="13" t="s">
        <v>411</v>
      </c>
      <c r="P81" s="26" t="n">
        <v>5195401</v>
      </c>
      <c r="Q81" s="20" t="s">
        <v>412</v>
      </c>
      <c r="R81" s="13" t="s">
        <v>65</v>
      </c>
      <c r="S81" s="14" t="n">
        <v>31262</v>
      </c>
      <c r="T81" s="13" t="s">
        <v>40</v>
      </c>
      <c r="U81" s="13" t="s">
        <v>413</v>
      </c>
      <c r="V81" s="13" t="s">
        <v>42</v>
      </c>
      <c r="W81" s="13" t="s">
        <v>54</v>
      </c>
      <c r="X81" s="21" t="n">
        <v>85854815914</v>
      </c>
      <c r="Y81" s="22" t="str">
        <f aca="false">O81</f>
        <v>Dry Fact</v>
      </c>
      <c r="Z81" s="13" t="str">
        <f aca="false">IFERROR(__xludf.dummyfunction("if(BJ81="""","""",GOOGLETRANSLATE(BJ81,""auto"",""en""))"),"Dry Fact")</f>
        <v>Dry Fact</v>
      </c>
      <c r="AA81" s="23" t="str">
        <f aca="false">IF(C81="","", CHOOSE(MONTH(C81),"January","February","March","April","May","June","July","August","September","October","November","December")&amp;" "&amp;DAY(C81)&amp;MID("thstndrdth",MIN(9,2*RIGHT(DAY(C81))*(MOD(DAY(C81)-11,100)&gt;2)+1),2)&amp;","&amp;TEXT(C81," yyyy"))</f>
        <v>December 22nd,2018</v>
      </c>
      <c r="AB81" s="15" t="str">
        <f aca="true">IF(S81="","",DATEDIF(S81,TODAY(),"Y")&amp;" Tahun, "&amp;DATEDIF(S81,TODAY(),"YM")&amp;" Bulan, "&amp;DATEDIF(S81,TODAY(),"MD")&amp;" Hari")</f>
        <v>41 Tahun, 2 Bulan, 26 Hari</v>
      </c>
      <c r="AC81" s="18" t="n">
        <v>45658</v>
      </c>
      <c r="AD81" s="18" t="n">
        <v>46022</v>
      </c>
      <c r="AE81" s="18" t="s">
        <v>44</v>
      </c>
    </row>
    <row r="82" customFormat="false" ht="15" hidden="false" customHeight="true" outlineLevel="0" collapsed="false">
      <c r="A82" s="12" t="n">
        <v>610</v>
      </c>
      <c r="B82" s="13" t="s">
        <v>414</v>
      </c>
      <c r="C82" s="14" t="n">
        <v>43426</v>
      </c>
      <c r="D82" s="13" t="s">
        <v>404</v>
      </c>
      <c r="E82" s="15" t="s">
        <v>47</v>
      </c>
      <c r="F82" s="15" t="str">
        <f aca="false">IFERROR(__xludf.dummyfunction("XLOOKUP(AJ82,IMPORTRANGE(""1XaInW9DU9nz21V0tYIfzFQ0He9kVQ_JF2mCXgZ3hqFA"",""REKAP ALL 2026 - Andika!G:G""),IMPORTRANGE(""1XaInW9DU9nz21V0tYIfzFQ0He9kVQ_JF2mCXgZ3hqFA"",""REKAP ALL 2026 - Andika!F:F""),"""",0)"),"15013995665")</f>
        <v>15013995665</v>
      </c>
      <c r="G82" s="13" t="s">
        <v>415</v>
      </c>
      <c r="H82" s="13" t="s">
        <v>35</v>
      </c>
      <c r="I82" s="13" t="str">
        <f aca="false">IF(C82=J82,"NEW KONTRAK","RE-KONTRAK")</f>
        <v>RE-KONTRAK</v>
      </c>
      <c r="J82" s="16" t="n">
        <f aca="false" t="array" ref="J82:J82">IFERROR(INDEX(AC82:AE82,IF(COUNTA(AC82:AE82)=0,"",MAX((AC82:AE82&lt;&gt;"")*(COLUMN(AC82:AE82)-(COLUMN(AC82)))))-1),"")</f>
        <v>45658</v>
      </c>
      <c r="K82" s="16" t="n">
        <f aca="false" t="array" ref="K82:K82">IFERROR(INDEX(AC82:AE82,IF(COUNTA(AC82:AE82)=0,"",MAX((AC82:AE82&lt;&gt;"")*(COLUMN(AC82:AE82)-(COLUMN(AC82)-1))))-1),"")</f>
        <v>46022</v>
      </c>
      <c r="L82" s="17" t="str">
        <f aca="false" t="array" ref="L82:L82">IFERROR(INDEX(AC82:AE82,IF(COUNTA(AC82:AE82)=0,"",MAX((AC82:AE82&lt;&gt;"")*(COLUMN(AC82:AE82)-(COLUMN(AC82)-2))))-1),"")</f>
        <v>ARCHIVED</v>
      </c>
      <c r="M82" s="13" t="n">
        <f aca="true">K82-TODAY()</f>
        <v>-302</v>
      </c>
      <c r="N82" s="18" t="s">
        <v>36</v>
      </c>
      <c r="O82" s="13" t="s">
        <v>411</v>
      </c>
      <c r="P82" s="26" t="n">
        <v>5195401</v>
      </c>
      <c r="Q82" s="20" t="s">
        <v>416</v>
      </c>
      <c r="R82" s="13" t="s">
        <v>65</v>
      </c>
      <c r="S82" s="14" t="n">
        <v>32931</v>
      </c>
      <c r="T82" s="13" t="s">
        <v>40</v>
      </c>
      <c r="U82" s="13" t="s">
        <v>417</v>
      </c>
      <c r="V82" s="13" t="s">
        <v>42</v>
      </c>
      <c r="W82" s="13" t="s">
        <v>43</v>
      </c>
      <c r="X82" s="21" t="n">
        <v>85655560644</v>
      </c>
      <c r="Y82" s="22" t="str">
        <f aca="false">O82</f>
        <v>Dry Fact</v>
      </c>
      <c r="Z82" s="13" t="str">
        <f aca="false">IFERROR(__xludf.dummyfunction("if(BJ82="""","""",GOOGLETRANSLATE(BJ82,""auto"",""en""))"),"Dry Fact")</f>
        <v>Dry Fact</v>
      </c>
      <c r="AA82" s="23" t="str">
        <f aca="false">IF(C82="","", CHOOSE(MONTH(C82),"January","February","March","April","May","June","July","August","September","October","November","December")&amp;" "&amp;DAY(C82)&amp;MID("thstndrdth",MIN(9,2*RIGHT(DAY(C82))*(MOD(DAY(C82)-11,100)&gt;2)+1),2)&amp;","&amp;TEXT(C82," yyyy"))</f>
        <v>November 22nd,2018</v>
      </c>
      <c r="AB82" s="15" t="str">
        <f aca="true">IF(S82="","",DATEDIF(S82,TODAY(),"Y")&amp;" Tahun, "&amp;DATEDIF(S82,TODAY(),"YM")&amp;" Bulan, "&amp;DATEDIF(S82,TODAY(),"MD")&amp;" Hari")</f>
        <v>36 Tahun, 8 Bulan, 2 Hari</v>
      </c>
      <c r="AC82" s="18" t="n">
        <v>45658</v>
      </c>
      <c r="AD82" s="18" t="n">
        <v>46022</v>
      </c>
      <c r="AE82" s="18" t="s">
        <v>44</v>
      </c>
    </row>
    <row r="83" customFormat="false" ht="15" hidden="false" customHeight="true" outlineLevel="0" collapsed="false">
      <c r="A83" s="12" t="n">
        <v>611</v>
      </c>
      <c r="B83" s="13" t="s">
        <v>418</v>
      </c>
      <c r="C83" s="14" t="n">
        <v>43456</v>
      </c>
      <c r="D83" s="13" t="s">
        <v>404</v>
      </c>
      <c r="E83" s="15" t="s">
        <v>47</v>
      </c>
      <c r="F83" s="15" t="str">
        <f aca="false">IFERROR(__xludf.dummyfunction("XLOOKUP(AJ83,IMPORTRANGE(""1XaInW9DU9nz21V0tYIfzFQ0He9kVQ_JF2mCXgZ3hqFA"",""REKAP ALL 2026 - Andika!G:G""),IMPORTRANGE(""1XaInW9DU9nz21V0tYIfzFQ0He9kVQ_JF2mCXgZ3hqFA"",""REKAP ALL 2026 - Andika!F:F""),"""",0)"),"12018282223")</f>
        <v>12018282223</v>
      </c>
      <c r="G83" s="13" t="s">
        <v>419</v>
      </c>
      <c r="H83" s="13" t="s">
        <v>35</v>
      </c>
      <c r="I83" s="13" t="str">
        <f aca="false">IF(C83=J83,"NEW KONTRAK","RE-KONTRAK")</f>
        <v>RE-KONTRAK</v>
      </c>
      <c r="J83" s="16" t="n">
        <f aca="false" t="array" ref="J83:J83">IFERROR(INDEX(AC83:AE83,IF(COUNTA(AC83:AE83)=0,"",MAX((AC83:AE83&lt;&gt;"")*(COLUMN(AC83:AE83)-(COLUMN(AC83)))))-1),"")</f>
        <v>45658</v>
      </c>
      <c r="K83" s="16" t="n">
        <f aca="false" t="array" ref="K83:K83">IFERROR(INDEX(AC83:AE83,IF(COUNTA(AC83:AE83)=0,"",MAX((AC83:AE83&lt;&gt;"")*(COLUMN(AC83:AE83)-(COLUMN(AC83)-1))))-1),"")</f>
        <v>46022</v>
      </c>
      <c r="L83" s="17" t="str">
        <f aca="false" t="array" ref="L83:L83">IFERROR(INDEX(AC83:AE83,IF(COUNTA(AC83:AE83)=0,"",MAX((AC83:AE83&lt;&gt;"")*(COLUMN(AC83:AE83)-(COLUMN(AC83)-2))))-1),"")</f>
        <v>ARCHIVED</v>
      </c>
      <c r="M83" s="13" t="n">
        <f aca="true">K83-TODAY()</f>
        <v>-302</v>
      </c>
      <c r="N83" s="18" t="s">
        <v>36</v>
      </c>
      <c r="O83" s="13" t="s">
        <v>420</v>
      </c>
      <c r="P83" s="26" t="n">
        <v>5195401</v>
      </c>
      <c r="Q83" s="20" t="s">
        <v>421</v>
      </c>
      <c r="R83" s="13" t="s">
        <v>65</v>
      </c>
      <c r="S83" s="14" t="n">
        <v>32906</v>
      </c>
      <c r="T83" s="13" t="s">
        <v>40</v>
      </c>
      <c r="U83" s="13" t="s">
        <v>422</v>
      </c>
      <c r="V83" s="13" t="s">
        <v>42</v>
      </c>
      <c r="W83" s="13" t="s">
        <v>54</v>
      </c>
      <c r="X83" s="21" t="n">
        <v>859175730486</v>
      </c>
      <c r="Y83" s="22" t="str">
        <f aca="false">O83</f>
        <v>Gudang Bahan Penolong &amp; Spareparts</v>
      </c>
      <c r="Z83" s="13" t="str">
        <f aca="false">IFERROR(__xludf.dummyfunction("if(BJ83="""","""",GOOGLETRANSLATE(BJ83,""auto"",""en""))"),"Auxiliary Materials &amp; Spareparts Warehouse")</f>
        <v>Auxiliary Materials &amp; Spareparts Warehouse</v>
      </c>
      <c r="AA83" s="23" t="str">
        <f aca="false">IF(C83="","", CHOOSE(MONTH(C83),"January","February","March","April","May","June","July","August","September","October","November","December")&amp;" "&amp;DAY(C83)&amp;MID("thstndrdth",MIN(9,2*RIGHT(DAY(C83))*(MOD(DAY(C83)-11,100)&gt;2)+1),2)&amp;","&amp;TEXT(C83," yyyy"))</f>
        <v>December 22nd,2018</v>
      </c>
      <c r="AB83" s="15" t="str">
        <f aca="true">IF(S83="","",DATEDIF(S83,TODAY(),"Y")&amp;" Tahun, "&amp;DATEDIF(S83,TODAY(),"YM")&amp;" Bulan, "&amp;DATEDIF(S83,TODAY(),"MD")&amp;" Hari")</f>
        <v>36 Tahun, 8 Bulan, 27 Hari</v>
      </c>
      <c r="AC83" s="18" t="n">
        <v>45658</v>
      </c>
      <c r="AD83" s="18" t="n">
        <v>46022</v>
      </c>
      <c r="AE83" s="18" t="s">
        <v>44</v>
      </c>
    </row>
    <row r="84" customFormat="false" ht="15" hidden="false" customHeight="true" outlineLevel="0" collapsed="false">
      <c r="A84" s="12" t="n">
        <v>612</v>
      </c>
      <c r="B84" s="13" t="s">
        <v>423</v>
      </c>
      <c r="C84" s="14" t="n">
        <v>43426</v>
      </c>
      <c r="D84" s="13" t="s">
        <v>404</v>
      </c>
      <c r="E84" s="15" t="s">
        <v>47</v>
      </c>
      <c r="F84" s="15" t="str">
        <f aca="false">IFERROR(__xludf.dummyfunction("XLOOKUP(AJ84,IMPORTRANGE(""1XaInW9DU9nz21V0tYIfzFQ0He9kVQ_JF2mCXgZ3hqFA"",""REKAP ALL 2026 - Andika!G:G""),IMPORTRANGE(""1XaInW9DU9nz21V0tYIfzFQ0He9kVQ_JF2mCXgZ3hqFA"",""REKAP ALL 2026 - Andika!F:F""),"""",0)"),"07ND0030520")</f>
        <v>07ND0030520</v>
      </c>
      <c r="G84" s="13" t="s">
        <v>424</v>
      </c>
      <c r="H84" s="13" t="s">
        <v>35</v>
      </c>
      <c r="I84" s="13" t="str">
        <f aca="false">IF(C84=J84,"NEW KONTRAK","RE-KONTRAK")</f>
        <v>RE-KONTRAK</v>
      </c>
      <c r="J84" s="16" t="n">
        <f aca="false" t="array" ref="J84:J84">IFERROR(INDEX(AC84:AE84,IF(COUNTA(AC84:AE84)=0,"",MAX((AC84:AE84&lt;&gt;"")*(COLUMN(AC84:AE84)-(COLUMN(AC84)))))-1),"")</f>
        <v>45658</v>
      </c>
      <c r="K84" s="16" t="n">
        <f aca="false" t="array" ref="K84:K84">IFERROR(INDEX(AC84:AE84,IF(COUNTA(AC84:AE84)=0,"",MAX((AC84:AE84&lt;&gt;"")*(COLUMN(AC84:AE84)-(COLUMN(AC84)-1))))-1),"")</f>
        <v>46022</v>
      </c>
      <c r="L84" s="17" t="str">
        <f aca="false" t="array" ref="L84:L84">IFERROR(INDEX(AC84:AE84,IF(COUNTA(AC84:AE84)=0,"",MAX((AC84:AE84&lt;&gt;"")*(COLUMN(AC84:AE84)-(COLUMN(AC84)-2))))-1),"")</f>
        <v>ARCHIVED</v>
      </c>
      <c r="M84" s="13" t="n">
        <f aca="true">K84-TODAY()</f>
        <v>-302</v>
      </c>
      <c r="N84" s="18" t="s">
        <v>36</v>
      </c>
      <c r="O84" s="13" t="s">
        <v>411</v>
      </c>
      <c r="P84" s="26" t="n">
        <v>5195401</v>
      </c>
      <c r="Q84" s="20" t="s">
        <v>425</v>
      </c>
      <c r="R84" s="13" t="s">
        <v>65</v>
      </c>
      <c r="S84" s="14" t="n">
        <v>32427</v>
      </c>
      <c r="T84" s="13" t="s">
        <v>40</v>
      </c>
      <c r="U84" s="13" t="s">
        <v>426</v>
      </c>
      <c r="V84" s="13" t="s">
        <v>42</v>
      </c>
      <c r="W84" s="13" t="s">
        <v>43</v>
      </c>
      <c r="X84" s="21" t="n">
        <v>81259334644</v>
      </c>
      <c r="Y84" s="22" t="str">
        <f aca="false">O84</f>
        <v>Dry Fact</v>
      </c>
      <c r="Z84" s="13" t="str">
        <f aca="false">IFERROR(__xludf.dummyfunction("if(BJ84="""","""",GOOGLETRANSLATE(BJ84,""auto"",""en""))"),"Dry Fact")</f>
        <v>Dry Fact</v>
      </c>
      <c r="AA84" s="23" t="str">
        <f aca="false">IF(C84="","", CHOOSE(MONTH(C84),"January","February","March","April","May","June","July","August","September","October","November","December")&amp;" "&amp;DAY(C84)&amp;MID("thstndrdth",MIN(9,2*RIGHT(DAY(C84))*(MOD(DAY(C84)-11,100)&gt;2)+1),2)&amp;","&amp;TEXT(C84," yyyy"))</f>
        <v>November 22nd,2018</v>
      </c>
      <c r="AB84" s="15" t="str">
        <f aca="true">IF(S84="","",DATEDIF(S84,TODAY(),"Y")&amp;" Tahun, "&amp;DATEDIF(S84,TODAY(),"YM")&amp;" Bulan, "&amp;DATEDIF(S84,TODAY(),"MD")&amp;" Hari")</f>
        <v>38 Tahun, 0 Bulan, 18 Hari</v>
      </c>
      <c r="AC84" s="18" t="n">
        <v>45658</v>
      </c>
      <c r="AD84" s="18" t="n">
        <v>46022</v>
      </c>
      <c r="AE84" s="18" t="s">
        <v>44</v>
      </c>
    </row>
    <row r="85" customFormat="false" ht="15" hidden="false" customHeight="true" outlineLevel="0" collapsed="false">
      <c r="A85" s="12" t="n">
        <v>613</v>
      </c>
      <c r="B85" s="13" t="s">
        <v>427</v>
      </c>
      <c r="C85" s="14" t="n">
        <v>42965</v>
      </c>
      <c r="D85" s="13" t="s">
        <v>404</v>
      </c>
      <c r="E85" s="15" t="s">
        <v>47</v>
      </c>
      <c r="F85" s="15" t="str">
        <f aca="false">IFERROR(__xludf.dummyfunction("XLOOKUP(AJ85,IMPORTRANGE(""1XaInW9DU9nz21V0tYIfzFQ0He9kVQ_JF2mCXgZ3hqFA"",""REKAP ALL 2026 - Andika!G:G""),IMPORTRANGE(""1XaInW9DU9nz21V0tYIfzFQ0He9kVQ_JF2mCXgZ3hqFA"",""REKAP ALL 2026 - Andika!F:F""),"""",0)"),"17046004267")</f>
        <v>17046004267</v>
      </c>
      <c r="G85" s="13" t="s">
        <v>428</v>
      </c>
      <c r="H85" s="13" t="s">
        <v>35</v>
      </c>
      <c r="I85" s="13" t="str">
        <f aca="false">IF(C85=J85,"NEW KONTRAK","RE-KONTRAK")</f>
        <v>RE-KONTRAK</v>
      </c>
      <c r="J85" s="16" t="n">
        <f aca="false" t="array" ref="J85:J85">IFERROR(INDEX(AC85:AE85,IF(COUNTA(AC85:AE85)=0,"",MAX((AC85:AE85&lt;&gt;"")*(COLUMN(AC85:AE85)-(COLUMN(AC85)))))-1),"")</f>
        <v>45658</v>
      </c>
      <c r="K85" s="16" t="n">
        <f aca="false" t="array" ref="K85:K85">IFERROR(INDEX(AC85:AE85,IF(COUNTA(AC85:AE85)=0,"",MAX((AC85:AE85&lt;&gt;"")*(COLUMN(AC85:AE85)-(COLUMN(AC85)-1))))-1),"")</f>
        <v>46022</v>
      </c>
      <c r="L85" s="17" t="str">
        <f aca="false" t="array" ref="L85:L85">IFERROR(INDEX(AC85:AE85,IF(COUNTA(AC85:AE85)=0,"",MAX((AC85:AE85&lt;&gt;"")*(COLUMN(AC85:AE85)-(COLUMN(AC85)-2))))-1),"")</f>
        <v>ARCHIVED</v>
      </c>
      <c r="M85" s="13" t="n">
        <f aca="true">K85-TODAY()</f>
        <v>-302</v>
      </c>
      <c r="N85" s="18" t="s">
        <v>36</v>
      </c>
      <c r="O85" s="13" t="s">
        <v>406</v>
      </c>
      <c r="P85" s="26" t="n">
        <v>5195401</v>
      </c>
      <c r="Q85" s="20" t="s">
        <v>429</v>
      </c>
      <c r="R85" s="13" t="s">
        <v>73</v>
      </c>
      <c r="S85" s="14" t="n">
        <v>35525</v>
      </c>
      <c r="T85" s="13" t="s">
        <v>40</v>
      </c>
      <c r="U85" s="13" t="s">
        <v>430</v>
      </c>
      <c r="V85" s="13" t="s">
        <v>42</v>
      </c>
      <c r="W85" s="13" t="s">
        <v>43</v>
      </c>
      <c r="X85" s="21" t="n">
        <v>82140010606</v>
      </c>
      <c r="Y85" s="22" t="str">
        <f aca="false">O85</f>
        <v>Utility</v>
      </c>
      <c r="Z85" s="13" t="str">
        <f aca="false">IFERROR(__xludf.dummyfunction("if(BJ85="""","""",GOOGLETRANSLATE(BJ85,""auto"",""en""))"),"Utility")</f>
        <v>Utility</v>
      </c>
      <c r="AA85" s="23" t="str">
        <f aca="false">IF(C85="","", CHOOSE(MONTH(C85),"January","February","March","April","May","June","July","August","September","October","November","December")&amp;" "&amp;DAY(C85)&amp;MID("thstndrdth",MIN(9,2*RIGHT(DAY(C85))*(MOD(DAY(C85)-11,100)&gt;2)+1),2)&amp;","&amp;TEXT(C85," yyyy"))</f>
        <v>August 18th,2017</v>
      </c>
      <c r="AB85" s="15" t="str">
        <f aca="true">IF(S85="","",DATEDIF(S85,TODAY(),"Y")&amp;" Tahun, "&amp;DATEDIF(S85,TODAY(),"YM")&amp;" Bulan, "&amp;DATEDIF(S85,TODAY(),"MD")&amp;" Hari")</f>
        <v>29 Tahun, 6 Bulan, 24 Hari</v>
      </c>
      <c r="AC85" s="18" t="n">
        <v>45658</v>
      </c>
      <c r="AD85" s="18" t="n">
        <v>46022</v>
      </c>
      <c r="AE85" s="18" t="s">
        <v>44</v>
      </c>
    </row>
    <row r="86" customFormat="false" ht="15" hidden="false" customHeight="true" outlineLevel="0" collapsed="false">
      <c r="A86" s="12" t="n">
        <v>615</v>
      </c>
      <c r="B86" s="13" t="s">
        <v>431</v>
      </c>
      <c r="C86" s="14" t="n">
        <v>43395</v>
      </c>
      <c r="D86" s="13" t="s">
        <v>404</v>
      </c>
      <c r="E86" s="15" t="s">
        <v>47</v>
      </c>
      <c r="F86" s="15" t="str">
        <f aca="false">IFERROR(__xludf.dummyfunction("XLOOKUP(AJ86,IMPORTRANGE(""1XaInW9DU9nz21V0tYIfzFQ0He9kVQ_JF2mCXgZ3hqFA"",""REKAP ALL 2026 - Andika!G:G""),IMPORTRANGE(""1XaInW9DU9nz21V0tYIfzFQ0He9kVQ_JF2mCXgZ3hqFA"",""REKAP ALL 2026 - Andika!F:F""),"""",0)"),"13024280763")</f>
        <v>13024280763</v>
      </c>
      <c r="G86" s="13" t="s">
        <v>432</v>
      </c>
      <c r="H86" s="13" t="s">
        <v>35</v>
      </c>
      <c r="I86" s="13" t="str">
        <f aca="false">IF(C86=J86,"NEW KONTRAK","RE-KONTRAK")</f>
        <v>RE-KONTRAK</v>
      </c>
      <c r="J86" s="16" t="n">
        <f aca="false" t="array" ref="J86:J86">IFERROR(INDEX(AC86:AE86,IF(COUNTA(AC86:AE86)=0,"",MAX((AC86:AE86&lt;&gt;"")*(COLUMN(AC86:AE86)-(COLUMN(AC86)))))-1),"")</f>
        <v>45658</v>
      </c>
      <c r="K86" s="16" t="n">
        <f aca="false" t="array" ref="K86:K86">IFERROR(INDEX(AC86:AE86,IF(COUNTA(AC86:AE86)=0,"",MAX((AC86:AE86&lt;&gt;"")*(COLUMN(AC86:AE86)-(COLUMN(AC86)-1))))-1),"")</f>
        <v>46022</v>
      </c>
      <c r="L86" s="17" t="str">
        <f aca="false" t="array" ref="L86:L86">IFERROR(INDEX(AC86:AE86,IF(COUNTA(AC86:AE86)=0,"",MAX((AC86:AE86&lt;&gt;"")*(COLUMN(AC86:AE86)-(COLUMN(AC86)-2))))-1),"")</f>
        <v>ARCHIVED</v>
      </c>
      <c r="M86" s="13" t="n">
        <f aca="true">K86-TODAY()</f>
        <v>-302</v>
      </c>
      <c r="N86" s="18" t="s">
        <v>36</v>
      </c>
      <c r="O86" s="13" t="s">
        <v>433</v>
      </c>
      <c r="P86" s="26" t="n">
        <v>5195401</v>
      </c>
      <c r="Q86" s="20" t="s">
        <v>434</v>
      </c>
      <c r="R86" s="13" t="s">
        <v>148</v>
      </c>
      <c r="S86" s="14" t="n">
        <v>34622</v>
      </c>
      <c r="T86" s="13" t="s">
        <v>40</v>
      </c>
      <c r="U86" s="13" t="s">
        <v>435</v>
      </c>
      <c r="V86" s="13" t="s">
        <v>42</v>
      </c>
      <c r="W86" s="13" t="s">
        <v>43</v>
      </c>
      <c r="X86" s="21" t="n">
        <v>85856734694</v>
      </c>
      <c r="Y86" s="22" t="str">
        <f aca="false">O86</f>
        <v>Refinery</v>
      </c>
      <c r="Z86" s="13" t="str">
        <f aca="false">IFERROR(__xludf.dummyfunction("if(BJ86="""","""",GOOGLETRANSLATE(BJ86,""auto"",""en""))"),"Refinery")</f>
        <v>Refinery</v>
      </c>
      <c r="AA86" s="23" t="str">
        <f aca="false">IF(C86="","", CHOOSE(MONTH(C86),"January","February","March","April","May","June","July","August","September","October","November","December")&amp;" "&amp;DAY(C86)&amp;MID("thstndrdth",MIN(9,2*RIGHT(DAY(C86))*(MOD(DAY(C86)-11,100)&gt;2)+1),2)&amp;","&amp;TEXT(C86," yyyy"))</f>
        <v>October 22nd,2018</v>
      </c>
      <c r="AB86" s="15" t="str">
        <f aca="true">IF(S86="","",DATEDIF(S86,TODAY(),"Y")&amp;" Tahun, "&amp;DATEDIF(S86,TODAY(),"YM")&amp;" Bulan, "&amp;DATEDIF(S86,TODAY(),"MD")&amp;" Hari")</f>
        <v>32 Tahun, 0 Bulan, 14 Hari</v>
      </c>
      <c r="AC86" s="18" t="n">
        <v>45658</v>
      </c>
      <c r="AD86" s="18" t="n">
        <v>46022</v>
      </c>
      <c r="AE86" s="18" t="s">
        <v>44</v>
      </c>
    </row>
    <row r="87" customFormat="false" ht="15" hidden="false" customHeight="true" outlineLevel="0" collapsed="false">
      <c r="A87" s="12" t="n">
        <v>616</v>
      </c>
      <c r="B87" s="13" t="s">
        <v>436</v>
      </c>
      <c r="C87" s="14" t="n">
        <v>43456</v>
      </c>
      <c r="D87" s="13" t="s">
        <v>404</v>
      </c>
      <c r="E87" s="15" t="s">
        <v>47</v>
      </c>
      <c r="F87" s="15" t="str">
        <f aca="false">IFERROR(__xludf.dummyfunction("XLOOKUP(AJ87,IMPORTRANGE(""1XaInW9DU9nz21V0tYIfzFQ0He9kVQ_JF2mCXgZ3hqFA"",""REKAP ALL 2026 - Andika!G:G""),IMPORTRANGE(""1XaInW9DU9nz21V0tYIfzFQ0He9kVQ_JF2mCXgZ3hqFA"",""REKAP ALL 2026 - Andika!F:F""),"""",0)"),"12018282132")</f>
        <v>12018282132</v>
      </c>
      <c r="G87" s="13" t="s">
        <v>437</v>
      </c>
      <c r="H87" s="13" t="s">
        <v>35</v>
      </c>
      <c r="I87" s="13" t="str">
        <f aca="false">IF(C87=J87,"NEW KONTRAK","RE-KONTRAK")</f>
        <v>RE-KONTRAK</v>
      </c>
      <c r="J87" s="16" t="n">
        <f aca="false" t="array" ref="J87:J87">IFERROR(INDEX(AC87:AE87,IF(COUNTA(AC87:AE87)=0,"",MAX((AC87:AE87&lt;&gt;"")*(COLUMN(AC87:AE87)-(COLUMN(AC87)))))-1),"")</f>
        <v>45658</v>
      </c>
      <c r="K87" s="16" t="n">
        <f aca="false" t="array" ref="K87:K87">IFERROR(INDEX(AC87:AE87,IF(COUNTA(AC87:AE87)=0,"",MAX((AC87:AE87&lt;&gt;"")*(COLUMN(AC87:AE87)-(COLUMN(AC87)-1))))-1),"")</f>
        <v>46022</v>
      </c>
      <c r="L87" s="17" t="str">
        <f aca="false" t="array" ref="L87:L87">IFERROR(INDEX(AC87:AE87,IF(COUNTA(AC87:AE87)=0,"",MAX((AC87:AE87&lt;&gt;"")*(COLUMN(AC87:AE87)-(COLUMN(AC87)-2))))-1),"")</f>
        <v>ARCHIVED</v>
      </c>
      <c r="M87" s="13" t="n">
        <f aca="true">K87-TODAY()</f>
        <v>-302</v>
      </c>
      <c r="N87" s="18" t="s">
        <v>36</v>
      </c>
      <c r="O87" s="13" t="s">
        <v>433</v>
      </c>
      <c r="P87" s="26" t="n">
        <v>5195401</v>
      </c>
      <c r="Q87" s="20" t="s">
        <v>438</v>
      </c>
      <c r="R87" s="13" t="s">
        <v>65</v>
      </c>
      <c r="S87" s="14" t="n">
        <v>32791</v>
      </c>
      <c r="T87" s="13" t="s">
        <v>40</v>
      </c>
      <c r="U87" s="13" t="s">
        <v>439</v>
      </c>
      <c r="V87" s="13" t="s">
        <v>42</v>
      </c>
      <c r="W87" s="13" t="s">
        <v>54</v>
      </c>
      <c r="X87" s="21" t="n">
        <v>81226293763</v>
      </c>
      <c r="Y87" s="22" t="str">
        <f aca="false">O87</f>
        <v>Refinery</v>
      </c>
      <c r="Z87" s="13" t="str">
        <f aca="false">IFERROR(__xludf.dummyfunction("if(BJ87="""","""",GOOGLETRANSLATE(BJ87,""auto"",""en""))"),"Refinery")</f>
        <v>Refinery</v>
      </c>
      <c r="AA87" s="23" t="str">
        <f aca="false">IF(C87="","", CHOOSE(MONTH(C87),"January","February","March","April","May","June","July","August","September","October","November","December")&amp;" "&amp;DAY(C87)&amp;MID("thstndrdth",MIN(9,2*RIGHT(DAY(C87))*(MOD(DAY(C87)-11,100)&gt;2)+1),2)&amp;","&amp;TEXT(C87," yyyy"))</f>
        <v>December 22nd,2018</v>
      </c>
      <c r="AB87" s="15" t="str">
        <f aca="true">IF(S87="","",DATEDIF(S87,TODAY(),"Y")&amp;" Tahun, "&amp;DATEDIF(S87,TODAY(),"YM")&amp;" Bulan, "&amp;DATEDIF(S87,TODAY(),"MD")&amp;" Hari")</f>
        <v>37 Tahun, 0 Bulan, 19 Hari</v>
      </c>
      <c r="AC87" s="18" t="n">
        <v>45658</v>
      </c>
      <c r="AD87" s="18" t="n">
        <v>46022</v>
      </c>
      <c r="AE87" s="18" t="s">
        <v>44</v>
      </c>
    </row>
    <row r="88" customFormat="false" ht="15" hidden="false" customHeight="true" outlineLevel="0" collapsed="false">
      <c r="A88" s="12" t="n">
        <v>617</v>
      </c>
      <c r="B88" s="13" t="s">
        <v>440</v>
      </c>
      <c r="C88" s="14" t="n">
        <v>42756</v>
      </c>
      <c r="D88" s="13" t="s">
        <v>404</v>
      </c>
      <c r="E88" s="15" t="s">
        <v>47</v>
      </c>
      <c r="F88" s="15" t="str">
        <f aca="false">IFERROR(__xludf.dummyfunction("XLOOKUP(AJ88,IMPORTRANGE(""1XaInW9DU9nz21V0tYIfzFQ0He9kVQ_JF2mCXgZ3hqFA"",""REKAP ALL 2026 - Andika!G:G""),IMPORTRANGE(""1XaInW9DU9nz21V0tYIfzFQ0He9kVQ_JF2mCXgZ3hqFA"",""REKAP ALL 2026 - Andika!F:F""),"""",0)"),"06NE0059172")</f>
        <v>06NE0059172</v>
      </c>
      <c r="G88" s="13" t="s">
        <v>441</v>
      </c>
      <c r="H88" s="13" t="s">
        <v>35</v>
      </c>
      <c r="I88" s="13" t="str">
        <f aca="false">IF(C88=J88,"NEW KONTRAK","RE-KONTRAK")</f>
        <v>RE-KONTRAK</v>
      </c>
      <c r="J88" s="16" t="n">
        <f aca="false" t="array" ref="J88:J88">IFERROR(INDEX(AC88:AE88,IF(COUNTA(AC88:AE88)=0,"",MAX((AC88:AE88&lt;&gt;"")*(COLUMN(AC88:AE88)-(COLUMN(AC88)))))-1),"")</f>
        <v>45658</v>
      </c>
      <c r="K88" s="16" t="n">
        <f aca="false" t="array" ref="K88:K88">IFERROR(INDEX(AC88:AE88,IF(COUNTA(AC88:AE88)=0,"",MAX((AC88:AE88&lt;&gt;"")*(COLUMN(AC88:AE88)-(COLUMN(AC88)-1))))-1),"")</f>
        <v>46022</v>
      </c>
      <c r="L88" s="17" t="str">
        <f aca="false" t="array" ref="L88:L88">IFERROR(INDEX(AC88:AE88,IF(COUNTA(AC88:AE88)=0,"",MAX((AC88:AE88&lt;&gt;"")*(COLUMN(AC88:AE88)-(COLUMN(AC88)-2))))-1),"")</f>
        <v>ARCHIVED</v>
      </c>
      <c r="M88" s="13" t="n">
        <f aca="true">K88-TODAY()</f>
        <v>-302</v>
      </c>
      <c r="N88" s="18" t="s">
        <v>36</v>
      </c>
      <c r="O88" s="13" t="s">
        <v>411</v>
      </c>
      <c r="P88" s="26" t="n">
        <v>5195401</v>
      </c>
      <c r="Q88" s="20" t="s">
        <v>442</v>
      </c>
      <c r="R88" s="13" t="s">
        <v>65</v>
      </c>
      <c r="S88" s="14" t="n">
        <v>29582</v>
      </c>
      <c r="T88" s="13" t="s">
        <v>40</v>
      </c>
      <c r="U88" s="13" t="s">
        <v>443</v>
      </c>
      <c r="V88" s="13" t="s">
        <v>42</v>
      </c>
      <c r="W88" s="13" t="s">
        <v>54</v>
      </c>
      <c r="X88" s="21" t="n">
        <v>85745979633</v>
      </c>
      <c r="Y88" s="22" t="str">
        <f aca="false">O88</f>
        <v>Dry Fact</v>
      </c>
      <c r="Z88" s="13" t="str">
        <f aca="false">IFERROR(__xludf.dummyfunction("if(BJ88="""","""",GOOGLETRANSLATE(BJ88,""auto"",""en""))"),"Dry Fact")</f>
        <v>Dry Fact</v>
      </c>
      <c r="AA88" s="23" t="str">
        <f aca="false">IF(C88="","", CHOOSE(MONTH(C88),"January","February","March","April","May","June","July","August","September","October","November","December")&amp;" "&amp;DAY(C88)&amp;MID("thstndrdth",MIN(9,2*RIGHT(DAY(C88))*(MOD(DAY(C88)-11,100)&gt;2)+1),2)&amp;","&amp;TEXT(C88," yyyy"))</f>
        <v>January 21st,2017</v>
      </c>
      <c r="AB88" s="15" t="str">
        <f aca="true">IF(S88="","",DATEDIF(S88,TODAY(),"Y")&amp;" Tahun, "&amp;DATEDIF(S88,TODAY(),"YM")&amp;" Bulan, "&amp;DATEDIF(S88,TODAY(),"MD")&amp;" Hari")</f>
        <v>45 Tahun, 10 Bulan, 2 Hari</v>
      </c>
      <c r="AC88" s="18" t="n">
        <v>45658</v>
      </c>
      <c r="AD88" s="18" t="n">
        <v>46022</v>
      </c>
      <c r="AE88" s="18" t="s">
        <v>44</v>
      </c>
    </row>
    <row r="89" customFormat="false" ht="15" hidden="false" customHeight="true" outlineLevel="0" collapsed="false">
      <c r="A89" s="12" t="n">
        <v>618</v>
      </c>
      <c r="B89" s="13" t="s">
        <v>444</v>
      </c>
      <c r="C89" s="14" t="n">
        <v>43365</v>
      </c>
      <c r="D89" s="13" t="s">
        <v>404</v>
      </c>
      <c r="E89" s="15" t="s">
        <v>47</v>
      </c>
      <c r="F89" s="15" t="str">
        <f aca="false">IFERROR(__xludf.dummyfunction("XLOOKUP(AJ89,IMPORTRANGE(""1XaInW9DU9nz21V0tYIfzFQ0He9kVQ_JF2mCXgZ3hqFA"",""REKAP ALL 2026 - Andika!G:G""),IMPORTRANGE(""1XaInW9DU9nz21V0tYIfzFQ0He9kVQ_JF2mCXgZ3hqFA"",""REKAP ALL 2026 - Andika!F:F""),"""",0)"),"18085991810")</f>
        <v>18085991810</v>
      </c>
      <c r="G89" s="13" t="s">
        <v>445</v>
      </c>
      <c r="H89" s="13" t="s">
        <v>35</v>
      </c>
      <c r="I89" s="13" t="str">
        <f aca="false">IF(C89=J89,"NEW KONTRAK","RE-KONTRAK")</f>
        <v>RE-KONTRAK</v>
      </c>
      <c r="J89" s="16" t="n">
        <f aca="false" t="array" ref="J89:J89">IFERROR(INDEX(AC89:AE89,IF(COUNTA(AC89:AE89)=0,"",MAX((AC89:AE89&lt;&gt;"")*(COLUMN(AC89:AE89)-(COLUMN(AC89)))))-1),"")</f>
        <v>45658</v>
      </c>
      <c r="K89" s="16" t="n">
        <f aca="false" t="array" ref="K89:K89">IFERROR(INDEX(AC89:AE89,IF(COUNTA(AC89:AE89)=0,"",MAX((AC89:AE89&lt;&gt;"")*(COLUMN(AC89:AE89)-(COLUMN(AC89)-1))))-1),"")</f>
        <v>46022</v>
      </c>
      <c r="L89" s="17" t="str">
        <f aca="false" t="array" ref="L89:L89">IFERROR(INDEX(AC89:AE89,IF(COUNTA(AC89:AE89)=0,"",MAX((AC89:AE89&lt;&gt;"")*(COLUMN(AC89:AE89)-(COLUMN(AC89)-2))))-1),"")</f>
        <v>ARCHIVED</v>
      </c>
      <c r="M89" s="13" t="n">
        <f aca="true">K89-TODAY()</f>
        <v>-302</v>
      </c>
      <c r="N89" s="18" t="s">
        <v>36</v>
      </c>
      <c r="O89" s="13" t="s">
        <v>433</v>
      </c>
      <c r="P89" s="26" t="n">
        <v>5195401</v>
      </c>
      <c r="Q89" s="20" t="s">
        <v>446</v>
      </c>
      <c r="R89" s="13" t="s">
        <v>78</v>
      </c>
      <c r="S89" s="14" t="n">
        <v>35764</v>
      </c>
      <c r="T89" s="13" t="s">
        <v>40</v>
      </c>
      <c r="U89" s="13" t="s">
        <v>447</v>
      </c>
      <c r="V89" s="13" t="s">
        <v>42</v>
      </c>
      <c r="W89" s="13" t="s">
        <v>43</v>
      </c>
      <c r="X89" s="21" t="n">
        <v>83854665785</v>
      </c>
      <c r="Y89" s="22" t="str">
        <f aca="false">O89</f>
        <v>Refinery</v>
      </c>
      <c r="Z89" s="13" t="str">
        <f aca="false">IFERROR(__xludf.dummyfunction("if(BJ89="""","""",GOOGLETRANSLATE(BJ89,""auto"",""en""))"),"Refinery")</f>
        <v>Refinery</v>
      </c>
      <c r="AA89" s="23" t="str">
        <f aca="false">IF(C89="","", CHOOSE(MONTH(C89),"January","February","March","April","May","June","July","August","September","October","November","December")&amp;" "&amp;DAY(C89)&amp;MID("thstndrdth",MIN(9,2*RIGHT(DAY(C89))*(MOD(DAY(C89)-11,100)&gt;2)+1),2)&amp;","&amp;TEXT(C89," yyyy"))</f>
        <v>September 22nd,2018</v>
      </c>
      <c r="AB89" s="15" t="str">
        <f aca="true">IF(S89="","",DATEDIF(S89,TODAY(),"Y")&amp;" Tahun, "&amp;DATEDIF(S89,TODAY(),"YM")&amp;" Bulan, "&amp;DATEDIF(S89,TODAY(),"MD")&amp;" Hari")</f>
        <v>28 Tahun, 10 Bulan, 29 Hari</v>
      </c>
      <c r="AC89" s="18" t="n">
        <v>45658</v>
      </c>
      <c r="AD89" s="18" t="n">
        <v>46022</v>
      </c>
      <c r="AE89" s="18" t="s">
        <v>44</v>
      </c>
    </row>
    <row r="90" customFormat="false" ht="15" hidden="false" customHeight="true" outlineLevel="0" collapsed="false">
      <c r="A90" s="12" t="n">
        <v>619</v>
      </c>
      <c r="B90" s="13" t="s">
        <v>448</v>
      </c>
      <c r="C90" s="14" t="n">
        <v>43426</v>
      </c>
      <c r="D90" s="13" t="s">
        <v>404</v>
      </c>
      <c r="E90" s="15" t="s">
        <v>47</v>
      </c>
      <c r="F90" s="15" t="str">
        <f aca="false">IFERROR(__xludf.dummyfunction("XLOOKUP(AJ90,IMPORTRANGE(""1XaInW9DU9nz21V0tYIfzFQ0He9kVQ_JF2mCXgZ3hqFA"",""REKAP ALL 2026 - Andika!G:G""),IMPORTRANGE(""1XaInW9DU9nz21V0tYIfzFQ0He9kVQ_JF2mCXgZ3hqFA"",""REKAP ALL 2026 - Andika!F:F""),"""",0)"),"12031471795")</f>
        <v>12031471795</v>
      </c>
      <c r="G90" s="13" t="s">
        <v>449</v>
      </c>
      <c r="H90" s="13" t="s">
        <v>35</v>
      </c>
      <c r="I90" s="13" t="str">
        <f aca="false">IF(C90=J90,"NEW KONTRAK","RE-KONTRAK")</f>
        <v>RE-KONTRAK</v>
      </c>
      <c r="J90" s="16" t="n">
        <f aca="false" t="array" ref="J90:J90">IFERROR(INDEX(AC90:AE90,IF(COUNTA(AC90:AE90)=0,"",MAX((AC90:AE90&lt;&gt;"")*(COLUMN(AC90:AE90)-(COLUMN(AC90)))))-1),"")</f>
        <v>45658</v>
      </c>
      <c r="K90" s="16" t="n">
        <f aca="false" t="array" ref="K90:K90">IFERROR(INDEX(AC90:AE90,IF(COUNTA(AC90:AE90)=0,"",MAX((AC90:AE90&lt;&gt;"")*(COLUMN(AC90:AE90)-(COLUMN(AC90)-1))))-1),"")</f>
        <v>46022</v>
      </c>
      <c r="L90" s="17" t="str">
        <f aca="false" t="array" ref="L90:L90">IFERROR(INDEX(AC90:AE90,IF(COUNTA(AC90:AE90)=0,"",MAX((AC90:AE90&lt;&gt;"")*(COLUMN(AC90:AE90)-(COLUMN(AC90)-2))))-1),"")</f>
        <v>ARCHIVED</v>
      </c>
      <c r="M90" s="13" t="n">
        <f aca="true">K90-TODAY()</f>
        <v>-302</v>
      </c>
      <c r="N90" s="18" t="s">
        <v>36</v>
      </c>
      <c r="O90" s="13" t="s">
        <v>450</v>
      </c>
      <c r="P90" s="26" t="n">
        <v>5195401</v>
      </c>
      <c r="Q90" s="20" t="s">
        <v>451</v>
      </c>
      <c r="R90" s="13" t="s">
        <v>83</v>
      </c>
      <c r="S90" s="14" t="n">
        <v>32188</v>
      </c>
      <c r="T90" s="13" t="s">
        <v>40</v>
      </c>
      <c r="U90" s="13" t="s">
        <v>452</v>
      </c>
      <c r="V90" s="13" t="s">
        <v>42</v>
      </c>
      <c r="W90" s="13" t="s">
        <v>54</v>
      </c>
      <c r="X90" s="21" t="n">
        <v>83857284387</v>
      </c>
      <c r="Y90" s="22" t="str">
        <f aca="false">O90</f>
        <v>QC &amp; QA</v>
      </c>
      <c r="Z90" s="13" t="str">
        <f aca="false">IFERROR(__xludf.dummyfunction("if(BJ90="""","""",GOOGLETRANSLATE(BJ90,""auto"",""en""))"),"QC &amp; QA")</f>
        <v>QC &amp; QA</v>
      </c>
      <c r="AA90" s="23" t="str">
        <f aca="false">IF(C90="","", CHOOSE(MONTH(C90),"January","February","March","April","May","June","July","August","September","October","November","December")&amp;" "&amp;DAY(C90)&amp;MID("thstndrdth",MIN(9,2*RIGHT(DAY(C90))*(MOD(DAY(C90)-11,100)&gt;2)+1),2)&amp;","&amp;TEXT(C90," yyyy"))</f>
        <v>November 22nd,2018</v>
      </c>
      <c r="AB90" s="15" t="str">
        <f aca="true">IF(S90="","",DATEDIF(S90,TODAY(),"Y")&amp;" Tahun, "&amp;DATEDIF(S90,TODAY(),"YM")&amp;" Bulan, "&amp;DATEDIF(S90,TODAY(),"MD")&amp;" Hari")</f>
        <v>38 Tahun, 8 Bulan, 14 Hari</v>
      </c>
      <c r="AC90" s="18" t="n">
        <v>45658</v>
      </c>
      <c r="AD90" s="18" t="n">
        <v>46022</v>
      </c>
      <c r="AE90" s="18" t="s">
        <v>44</v>
      </c>
    </row>
    <row r="91" customFormat="false" ht="15" hidden="false" customHeight="true" outlineLevel="0" collapsed="false">
      <c r="A91" s="12" t="n">
        <v>620</v>
      </c>
      <c r="B91" s="13" t="s">
        <v>453</v>
      </c>
      <c r="C91" s="14" t="n">
        <v>43395</v>
      </c>
      <c r="D91" s="13" t="s">
        <v>404</v>
      </c>
      <c r="E91" s="15" t="s">
        <v>47</v>
      </c>
      <c r="F91" s="15" t="str">
        <f aca="false">IFERROR(__xludf.dummyfunction("XLOOKUP(AJ91,IMPORTRANGE(""1XaInW9DU9nz21V0tYIfzFQ0He9kVQ_JF2mCXgZ3hqFA"",""REKAP ALL 2026 - Andika!G:G""),IMPORTRANGE(""1XaInW9DU9nz21V0tYIfzFQ0He9kVQ_JF2mCXgZ3hqFA"",""REKAP ALL 2026 - Andika!F:F""),"""",0)"),"09003416261")</f>
        <v>09003416261</v>
      </c>
      <c r="G91" s="13" t="s">
        <v>454</v>
      </c>
      <c r="H91" s="13" t="s">
        <v>35</v>
      </c>
      <c r="I91" s="13" t="str">
        <f aca="false">IF(C91=J91,"NEW KONTRAK","RE-KONTRAK")</f>
        <v>RE-KONTRAK</v>
      </c>
      <c r="J91" s="16" t="n">
        <f aca="false" t="array" ref="J91:J91">IFERROR(INDEX(AC91:AE91,IF(COUNTA(AC91:AE91)=0,"",MAX((AC91:AE91&lt;&gt;"")*(COLUMN(AC91:AE91)-(COLUMN(AC91)))))-1),"")</f>
        <v>45658</v>
      </c>
      <c r="K91" s="16" t="n">
        <f aca="false" t="array" ref="K91:K91">IFERROR(INDEX(AC91:AE91,IF(COUNTA(AC91:AE91)=0,"",MAX((AC91:AE91&lt;&gt;"")*(COLUMN(AC91:AE91)-(COLUMN(AC91)-1))))-1),"")</f>
        <v>46022</v>
      </c>
      <c r="L91" s="17" t="str">
        <f aca="false" t="array" ref="L91:L91">IFERROR(INDEX(AC91:AE91,IF(COUNTA(AC91:AE91)=0,"",MAX((AC91:AE91&lt;&gt;"")*(COLUMN(AC91:AE91)-(COLUMN(AC91)-2))))-1),"")</f>
        <v>ARCHIVED</v>
      </c>
      <c r="M91" s="13" t="n">
        <f aca="true">K91-TODAY()</f>
        <v>-302</v>
      </c>
      <c r="N91" s="18" t="s">
        <v>36</v>
      </c>
      <c r="O91" s="13" t="s">
        <v>411</v>
      </c>
      <c r="P91" s="26" t="n">
        <v>5195401</v>
      </c>
      <c r="Q91" s="20" t="s">
        <v>455</v>
      </c>
      <c r="R91" s="13" t="s">
        <v>78</v>
      </c>
      <c r="S91" s="14" t="n">
        <v>32933</v>
      </c>
      <c r="T91" s="13" t="s">
        <v>40</v>
      </c>
      <c r="U91" s="13" t="s">
        <v>456</v>
      </c>
      <c r="V91" s="13" t="s">
        <v>42</v>
      </c>
      <c r="W91" s="13" t="s">
        <v>54</v>
      </c>
      <c r="X91" s="21" t="n">
        <v>85812449917</v>
      </c>
      <c r="Y91" s="22" t="str">
        <f aca="false">O91</f>
        <v>Dry Fact</v>
      </c>
      <c r="Z91" s="13" t="str">
        <f aca="false">IFERROR(__xludf.dummyfunction("if(BJ91="""","""",GOOGLETRANSLATE(BJ91,""auto"",""en""))"),"Dry Fact")</f>
        <v>Dry Fact</v>
      </c>
      <c r="AA91" s="23" t="str">
        <f aca="false">IF(C91="","", CHOOSE(MONTH(C91),"January","February","March","April","May","June","July","August","September","October","November","December")&amp;" "&amp;DAY(C91)&amp;MID("thstndrdth",MIN(9,2*RIGHT(DAY(C91))*(MOD(DAY(C91)-11,100)&gt;2)+1),2)&amp;","&amp;TEXT(C91," yyyy"))</f>
        <v>October 22nd,2018</v>
      </c>
      <c r="AB91" s="15" t="str">
        <f aca="true">IF(S91="","",DATEDIF(S91,TODAY(),"Y")&amp;" Tahun, "&amp;DATEDIF(S91,TODAY(),"YM")&amp;" Bulan, "&amp;DATEDIF(S91,TODAY(),"MD")&amp;" Hari")</f>
        <v>36 Tahun, 7 Bulan, 28 Hari</v>
      </c>
      <c r="AC91" s="18" t="n">
        <v>45658</v>
      </c>
      <c r="AD91" s="18" t="n">
        <v>46022</v>
      </c>
      <c r="AE91" s="18" t="s">
        <v>44</v>
      </c>
    </row>
    <row r="92" customFormat="false" ht="15" hidden="false" customHeight="true" outlineLevel="0" collapsed="false">
      <c r="A92" s="12" t="n">
        <v>621</v>
      </c>
      <c r="B92" s="13" t="s">
        <v>457</v>
      </c>
      <c r="C92" s="14" t="n">
        <v>43426</v>
      </c>
      <c r="D92" s="13" t="s">
        <v>404</v>
      </c>
      <c r="E92" s="15" t="s">
        <v>47</v>
      </c>
      <c r="F92" s="15" t="str">
        <f aca="false">IFERROR(__xludf.dummyfunction("XLOOKUP(AJ92,IMPORTRANGE(""1XaInW9DU9nz21V0tYIfzFQ0He9kVQ_JF2mCXgZ3hqFA"",""REKAP ALL 2026 - Andika!G:G""),IMPORTRANGE(""1XaInW9DU9nz21V0tYIfzFQ0He9kVQ_JF2mCXgZ3hqFA"",""REKAP ALL 2026 - Andika!F:F""),"""",0)"),"12006612969")</f>
        <v>12006612969</v>
      </c>
      <c r="G92" s="13" t="s">
        <v>458</v>
      </c>
      <c r="H92" s="13" t="s">
        <v>35</v>
      </c>
      <c r="I92" s="13" t="str">
        <f aca="false">IF(C92=J92,"NEW KONTRAK","RE-KONTRAK")</f>
        <v>RE-KONTRAK</v>
      </c>
      <c r="J92" s="16" t="n">
        <f aca="false" t="array" ref="J92:J92">IFERROR(INDEX(AC92:AE92,IF(COUNTA(AC92:AE92)=0,"",MAX((AC92:AE92&lt;&gt;"")*(COLUMN(AC92:AE92)-(COLUMN(AC92)))))-1),"")</f>
        <v>45658</v>
      </c>
      <c r="K92" s="16" t="n">
        <f aca="false" t="array" ref="K92:K92">IFERROR(INDEX(AC92:AE92,IF(COUNTA(AC92:AE92)=0,"",MAX((AC92:AE92&lt;&gt;"")*(COLUMN(AC92:AE92)-(COLUMN(AC92)-1))))-1),"")</f>
        <v>46022</v>
      </c>
      <c r="L92" s="17" t="str">
        <f aca="false" t="array" ref="L92:L92">IFERROR(INDEX(AC92:AE92,IF(COUNTA(AC92:AE92)=0,"",MAX((AC92:AE92&lt;&gt;"")*(COLUMN(AC92:AE92)-(COLUMN(AC92)-2))))-1),"")</f>
        <v>ARCHIVED</v>
      </c>
      <c r="M92" s="13" t="n">
        <f aca="true">K92-TODAY()</f>
        <v>-302</v>
      </c>
      <c r="N92" s="18" t="s">
        <v>36</v>
      </c>
      <c r="O92" s="13" t="s">
        <v>411</v>
      </c>
      <c r="P92" s="26" t="n">
        <v>5195401</v>
      </c>
      <c r="Q92" s="20" t="s">
        <v>459</v>
      </c>
      <c r="R92" s="13" t="s">
        <v>65</v>
      </c>
      <c r="S92" s="14" t="n">
        <v>28943</v>
      </c>
      <c r="T92" s="13" t="s">
        <v>40</v>
      </c>
      <c r="U92" s="13" t="s">
        <v>460</v>
      </c>
      <c r="V92" s="13" t="s">
        <v>42</v>
      </c>
      <c r="W92" s="13" t="s">
        <v>54</v>
      </c>
      <c r="X92" s="21" t="n">
        <v>87856309059</v>
      </c>
      <c r="Y92" s="22" t="str">
        <f aca="false">O92</f>
        <v>Dry Fact</v>
      </c>
      <c r="Z92" s="13" t="str">
        <f aca="false">IFERROR(__xludf.dummyfunction("if(BJ92="""","""",GOOGLETRANSLATE(BJ92,""auto"",""en""))"),"Dry Fact")</f>
        <v>Dry Fact</v>
      </c>
      <c r="AA92" s="23" t="str">
        <f aca="false">IF(C92="","", CHOOSE(MONTH(C92),"January","February","March","April","May","June","July","August","September","October","November","December")&amp;" "&amp;DAY(C92)&amp;MID("thstndrdth",MIN(9,2*RIGHT(DAY(C92))*(MOD(DAY(C92)-11,100)&gt;2)+1),2)&amp;","&amp;TEXT(C92," yyyy"))</f>
        <v>November 22nd,2018</v>
      </c>
      <c r="AB92" s="15" t="str">
        <f aca="true">IF(S92="","",DATEDIF(S92,TODAY(),"Y")&amp;" Tahun, "&amp;DATEDIF(S92,TODAY(),"YM")&amp;" Bulan, "&amp;DATEDIF(S92,TODAY(),"MD")&amp;" Hari")</f>
        <v>47 Tahun, 7 Bulan, 0 Hari</v>
      </c>
      <c r="AC92" s="18" t="n">
        <v>45658</v>
      </c>
      <c r="AD92" s="18" t="n">
        <v>46022</v>
      </c>
      <c r="AE92" s="18" t="s">
        <v>44</v>
      </c>
    </row>
    <row r="93" customFormat="false" ht="15" hidden="false" customHeight="true" outlineLevel="0" collapsed="false">
      <c r="A93" s="12" t="n">
        <v>623</v>
      </c>
      <c r="B93" s="13" t="s">
        <v>461</v>
      </c>
      <c r="C93" s="14" t="n">
        <v>43456</v>
      </c>
      <c r="D93" s="13" t="s">
        <v>404</v>
      </c>
      <c r="E93" s="15" t="s">
        <v>47</v>
      </c>
      <c r="F93" s="15" t="str">
        <f aca="false">IFERROR(__xludf.dummyfunction("XLOOKUP(AJ93,IMPORTRANGE(""1XaInW9DU9nz21V0tYIfzFQ0He9kVQ_JF2mCXgZ3hqFA"",""REKAP ALL 2026 - Andika!G:G""),IMPORTRANGE(""1XaInW9DU9nz21V0tYIfzFQ0He9kVQ_JF2mCXgZ3hqFA"",""REKAP ALL 2026 - Andika!F:F""),"""",0)"),"09018313321")</f>
        <v>09018313321</v>
      </c>
      <c r="G93" s="13" t="s">
        <v>462</v>
      </c>
      <c r="H93" s="13" t="s">
        <v>35</v>
      </c>
      <c r="I93" s="13" t="str">
        <f aca="false">IF(C93=J93,"NEW KONTRAK","RE-KONTRAK")</f>
        <v>RE-KONTRAK</v>
      </c>
      <c r="J93" s="16" t="n">
        <f aca="false" t="array" ref="J93:J93">IFERROR(INDEX(AC93:AE93,IF(COUNTA(AC93:AE93)=0,"",MAX((AC93:AE93&lt;&gt;"")*(COLUMN(AC93:AE93)-(COLUMN(AC93)))))-1),"")</f>
        <v>45658</v>
      </c>
      <c r="K93" s="16" t="n">
        <f aca="false" t="array" ref="K93:K93">IFERROR(INDEX(AC93:AE93,IF(COUNTA(AC93:AE93)=0,"",MAX((AC93:AE93&lt;&gt;"")*(COLUMN(AC93:AE93)-(COLUMN(AC93)-1))))-1),"")</f>
        <v>46022</v>
      </c>
      <c r="L93" s="17" t="str">
        <f aca="false" t="array" ref="L93:L93">IFERROR(INDEX(AC93:AE93,IF(COUNTA(AC93:AE93)=0,"",MAX((AC93:AE93&lt;&gt;"")*(COLUMN(AC93:AE93)-(COLUMN(AC93)-2))))-1),"")</f>
        <v>ARCHIVED</v>
      </c>
      <c r="M93" s="13" t="n">
        <f aca="true">K93-TODAY()</f>
        <v>-302</v>
      </c>
      <c r="N93" s="18" t="s">
        <v>36</v>
      </c>
      <c r="O93" s="13" t="s">
        <v>411</v>
      </c>
      <c r="P93" s="26" t="n">
        <v>5195401</v>
      </c>
      <c r="Q93" s="20" t="s">
        <v>463</v>
      </c>
      <c r="R93" s="13" t="s">
        <v>39</v>
      </c>
      <c r="S93" s="14" t="n">
        <v>31332</v>
      </c>
      <c r="T93" s="13" t="s">
        <v>40</v>
      </c>
      <c r="U93" s="13" t="s">
        <v>464</v>
      </c>
      <c r="V93" s="13" t="s">
        <v>42</v>
      </c>
      <c r="W93" s="13" t="s">
        <v>43</v>
      </c>
      <c r="X93" s="21" t="n">
        <v>85804099057</v>
      </c>
      <c r="Y93" s="22" t="str">
        <f aca="false">O93</f>
        <v>Dry Fact</v>
      </c>
      <c r="Z93" s="13" t="str">
        <f aca="false">IFERROR(__xludf.dummyfunction("if(BJ93="""","""",GOOGLETRANSLATE(BJ93,""auto"",""en""))"),"Dry Fact")</f>
        <v>Dry Fact</v>
      </c>
      <c r="AA93" s="23" t="str">
        <f aca="false">IF(C93="","", CHOOSE(MONTH(C93),"January","February","March","April","May","June","July","August","September","October","November","December")&amp;" "&amp;DAY(C93)&amp;MID("thstndrdth",MIN(9,2*RIGHT(DAY(C93))*(MOD(DAY(C93)-11,100)&gt;2)+1),2)&amp;","&amp;TEXT(C93," yyyy"))</f>
        <v>December 22nd,2018</v>
      </c>
      <c r="AB93" s="15" t="str">
        <f aca="true">IF(S93="","",DATEDIF(S93,TODAY(),"Y")&amp;" Tahun, "&amp;DATEDIF(S93,TODAY(),"YM")&amp;" Bulan, "&amp;DATEDIF(S93,TODAY(),"MD")&amp;" Hari")</f>
        <v>41 Tahun, 0 Bulan, 17 Hari</v>
      </c>
      <c r="AC93" s="18" t="n">
        <v>45658</v>
      </c>
      <c r="AD93" s="18" t="n">
        <v>46022</v>
      </c>
      <c r="AE93" s="18" t="s">
        <v>44</v>
      </c>
    </row>
    <row r="94" customFormat="false" ht="15" hidden="false" customHeight="true" outlineLevel="0" collapsed="false">
      <c r="A94" s="12" t="n">
        <v>624</v>
      </c>
      <c r="B94" s="13" t="s">
        <v>465</v>
      </c>
      <c r="C94" s="14" t="n">
        <v>43456</v>
      </c>
      <c r="D94" s="13" t="s">
        <v>404</v>
      </c>
      <c r="E94" s="15" t="s">
        <v>47</v>
      </c>
      <c r="F94" s="15" t="str">
        <f aca="false">IFERROR(__xludf.dummyfunction("XLOOKUP(AJ94,IMPORTRANGE(""1XaInW9DU9nz21V0tYIfzFQ0He9kVQ_JF2mCXgZ3hqFA"",""REKAP ALL 2026 - Andika!G:G""),IMPORTRANGE(""1XaInW9DU9nz21V0tYIfzFQ0He9kVQ_JF2mCXgZ3hqFA"",""REKAP ALL 2026 - Andika!F:F""),"""",0)"),"16035314463")</f>
        <v>16035314463</v>
      </c>
      <c r="G94" s="13" t="s">
        <v>466</v>
      </c>
      <c r="H94" s="13" t="s">
        <v>35</v>
      </c>
      <c r="I94" s="13" t="str">
        <f aca="false">IF(C94=J94,"NEW KONTRAK","RE-KONTRAK")</f>
        <v>RE-KONTRAK</v>
      </c>
      <c r="J94" s="16" t="n">
        <f aca="false" t="array" ref="J94:J94">IFERROR(INDEX(AC94:AE94,IF(COUNTA(AC94:AE94)=0,"",MAX((AC94:AE94&lt;&gt;"")*(COLUMN(AC94:AE94)-(COLUMN(AC94)))))-1),"")</f>
        <v>45658</v>
      </c>
      <c r="K94" s="16" t="n">
        <f aca="false" t="array" ref="K94:K94">IFERROR(INDEX(AC94:AE94,IF(COUNTA(AC94:AE94)=0,"",MAX((AC94:AE94&lt;&gt;"")*(COLUMN(AC94:AE94)-(COLUMN(AC94)-1))))-1),"")</f>
        <v>46022</v>
      </c>
      <c r="L94" s="17" t="str">
        <f aca="false" t="array" ref="L94:L94">IFERROR(INDEX(AC94:AE94,IF(COUNTA(AC94:AE94)=0,"",MAX((AC94:AE94&lt;&gt;"")*(COLUMN(AC94:AE94)-(COLUMN(AC94)-2))))-1),"")</f>
        <v>ARCHIVED</v>
      </c>
      <c r="M94" s="13" t="n">
        <f aca="true">K94-TODAY()</f>
        <v>-302</v>
      </c>
      <c r="N94" s="18" t="s">
        <v>36</v>
      </c>
      <c r="O94" s="13" t="s">
        <v>433</v>
      </c>
      <c r="P94" s="26" t="n">
        <v>5195401</v>
      </c>
      <c r="Q94" s="20" t="s">
        <v>467</v>
      </c>
      <c r="R94" s="13" t="s">
        <v>65</v>
      </c>
      <c r="S94" s="14" t="n">
        <v>34277</v>
      </c>
      <c r="T94" s="13" t="s">
        <v>40</v>
      </c>
      <c r="U94" s="13" t="s">
        <v>468</v>
      </c>
      <c r="V94" s="13" t="s">
        <v>42</v>
      </c>
      <c r="W94" s="13" t="s">
        <v>43</v>
      </c>
      <c r="X94" s="21" t="n">
        <v>85791144479</v>
      </c>
      <c r="Y94" s="22" t="str">
        <f aca="false">O94</f>
        <v>Refinery</v>
      </c>
      <c r="Z94" s="13" t="str">
        <f aca="false">IFERROR(__xludf.dummyfunction("if(BJ94="""","""",GOOGLETRANSLATE(BJ94,""auto"",""en""))"),"Refinery")</f>
        <v>Refinery</v>
      </c>
      <c r="AA94" s="23" t="str">
        <f aca="false">IF(C94="","", CHOOSE(MONTH(C94),"January","February","March","April","May","June","July","August","September","October","November","December")&amp;" "&amp;DAY(C94)&amp;MID("thstndrdth",MIN(9,2*RIGHT(DAY(C94))*(MOD(DAY(C94)-11,100)&gt;2)+1),2)&amp;","&amp;TEXT(C94," yyyy"))</f>
        <v>December 22nd,2018</v>
      </c>
      <c r="AB94" s="15" t="str">
        <f aca="true">IF(S94="","",DATEDIF(S94,TODAY(),"Y")&amp;" Tahun, "&amp;DATEDIF(S94,TODAY(),"YM")&amp;" Bulan, "&amp;DATEDIF(S94,TODAY(),"MD")&amp;" Hari")</f>
        <v>32 Tahun, 11 Bulan, 25 Hari</v>
      </c>
      <c r="AC94" s="18" t="n">
        <v>45658</v>
      </c>
      <c r="AD94" s="18" t="n">
        <v>46022</v>
      </c>
      <c r="AE94" s="18" t="s">
        <v>44</v>
      </c>
    </row>
    <row r="95" customFormat="false" ht="15" hidden="false" customHeight="true" outlineLevel="0" collapsed="false">
      <c r="A95" s="12" t="n">
        <v>625</v>
      </c>
      <c r="B95" s="13" t="s">
        <v>469</v>
      </c>
      <c r="C95" s="14" t="n">
        <v>43365</v>
      </c>
      <c r="D95" s="13" t="s">
        <v>404</v>
      </c>
      <c r="E95" s="15" t="s">
        <v>47</v>
      </c>
      <c r="F95" s="15" t="str">
        <f aca="false">IFERROR(__xludf.dummyfunction("XLOOKUP(AJ95,IMPORTRANGE(""1XaInW9DU9nz21V0tYIfzFQ0He9kVQ_JF2mCXgZ3hqFA"",""REKAP ALL 2026 - Andika!G:G""),IMPORTRANGE(""1XaInW9DU9nz21V0tYIfzFQ0He9kVQ_JF2mCXgZ3hqFA"",""REKAP ALL 2026 - Andika!F:F""),"""",0)"),"18085991851")</f>
        <v>18085991851</v>
      </c>
      <c r="G95" s="13" t="s">
        <v>470</v>
      </c>
      <c r="H95" s="13" t="s">
        <v>35</v>
      </c>
      <c r="I95" s="13" t="str">
        <f aca="false">IF(C95=J95,"NEW KONTRAK","RE-KONTRAK")</f>
        <v>RE-KONTRAK</v>
      </c>
      <c r="J95" s="16" t="n">
        <f aca="false" t="array" ref="J95:J95">IFERROR(INDEX(AC95:AE95,IF(COUNTA(AC95:AE95)=0,"",MAX((AC95:AE95&lt;&gt;"")*(COLUMN(AC95:AE95)-(COLUMN(AC95)))))-1),"")</f>
        <v>45658</v>
      </c>
      <c r="K95" s="16" t="n">
        <f aca="false" t="array" ref="K95:K95">IFERROR(INDEX(AC95:AE95,IF(COUNTA(AC95:AE95)=0,"",MAX((AC95:AE95&lt;&gt;"")*(COLUMN(AC95:AE95)-(COLUMN(AC95)-1))))-1),"")</f>
        <v>46022</v>
      </c>
      <c r="L95" s="17" t="str">
        <f aca="false" t="array" ref="L95:L95">IFERROR(INDEX(AC95:AE95,IF(COUNTA(AC95:AE95)=0,"",MAX((AC95:AE95&lt;&gt;"")*(COLUMN(AC95:AE95)-(COLUMN(AC95)-2))))-1),"")</f>
        <v>ARCHIVED</v>
      </c>
      <c r="M95" s="13" t="n">
        <f aca="true">K95-TODAY()</f>
        <v>-302</v>
      </c>
      <c r="N95" s="18" t="s">
        <v>36</v>
      </c>
      <c r="O95" s="13" t="s">
        <v>411</v>
      </c>
      <c r="P95" s="26" t="n">
        <v>5195401</v>
      </c>
      <c r="Q95" s="20" t="s">
        <v>471</v>
      </c>
      <c r="R95" s="13" t="s">
        <v>65</v>
      </c>
      <c r="S95" s="14" t="n">
        <v>36641</v>
      </c>
      <c r="T95" s="13" t="s">
        <v>40</v>
      </c>
      <c r="U95" s="13" t="s">
        <v>472</v>
      </c>
      <c r="V95" s="13" t="s">
        <v>42</v>
      </c>
      <c r="W95" s="13" t="s">
        <v>43</v>
      </c>
      <c r="X95" s="21" t="n">
        <v>82131506820</v>
      </c>
      <c r="Y95" s="22" t="str">
        <f aca="false">O95</f>
        <v>Dry Fact</v>
      </c>
      <c r="Z95" s="13" t="str">
        <f aca="false">IFERROR(__xludf.dummyfunction("if(BJ95="""","""",GOOGLETRANSLATE(BJ95,""auto"",""en""))"),"Dry Fact")</f>
        <v>Dry Fact</v>
      </c>
      <c r="AA95" s="23" t="str">
        <f aca="false">IF(C95="","", CHOOSE(MONTH(C95),"January","February","March","April","May","June","July","August","September","October","November","December")&amp;" "&amp;DAY(C95)&amp;MID("thstndrdth",MIN(9,2*RIGHT(DAY(C95))*(MOD(DAY(C95)-11,100)&gt;2)+1),2)&amp;","&amp;TEXT(C95," yyyy"))</f>
        <v>September 22nd,2018</v>
      </c>
      <c r="AB95" s="15" t="str">
        <f aca="true">IF(S95="","",DATEDIF(S95,TODAY(),"Y")&amp;" Tahun, "&amp;DATEDIF(S95,TODAY(),"YM")&amp;" Bulan, "&amp;DATEDIF(S95,TODAY(),"MD")&amp;" Hari")</f>
        <v>26 Tahun, 6 Bulan, 4 Hari</v>
      </c>
      <c r="AC95" s="18" t="n">
        <v>45658</v>
      </c>
      <c r="AD95" s="18" t="n">
        <v>46022</v>
      </c>
      <c r="AE95" s="18" t="s">
        <v>44</v>
      </c>
    </row>
    <row r="96" customFormat="false" ht="15" hidden="false" customHeight="true" outlineLevel="0" collapsed="false">
      <c r="A96" s="12" t="n">
        <v>626</v>
      </c>
      <c r="B96" s="13" t="s">
        <v>473</v>
      </c>
      <c r="C96" s="14" t="n">
        <v>43365</v>
      </c>
      <c r="D96" s="13" t="s">
        <v>404</v>
      </c>
      <c r="E96" s="15" t="s">
        <v>47</v>
      </c>
      <c r="F96" s="15" t="str">
        <f aca="false">IFERROR(__xludf.dummyfunction("XLOOKUP(AJ96,IMPORTRANGE(""1XaInW9DU9nz21V0tYIfzFQ0He9kVQ_JF2mCXgZ3hqFA"",""REKAP ALL 2026 - Andika!G:G""),IMPORTRANGE(""1XaInW9DU9nz21V0tYIfzFQ0He9kVQ_JF2mCXgZ3hqFA"",""REKAP ALL 2026 - Andika!F:F""),"""",0)"),"18085991836")</f>
        <v>18085991836</v>
      </c>
      <c r="G96" s="13" t="s">
        <v>474</v>
      </c>
      <c r="H96" s="13" t="s">
        <v>35</v>
      </c>
      <c r="I96" s="13" t="str">
        <f aca="false">IF(C96=J96,"NEW KONTRAK","RE-KONTRAK")</f>
        <v>RE-KONTRAK</v>
      </c>
      <c r="J96" s="16" t="n">
        <f aca="false" t="array" ref="J96:J96">IFERROR(INDEX(AC96:AE96,IF(COUNTA(AC96:AE96)=0,"",MAX((AC96:AE96&lt;&gt;"")*(COLUMN(AC96:AE96)-(COLUMN(AC96)))))-1),"")</f>
        <v>45658</v>
      </c>
      <c r="K96" s="16" t="n">
        <f aca="false" t="array" ref="K96:K96">IFERROR(INDEX(AC96:AE96,IF(COUNTA(AC96:AE96)=0,"",MAX((AC96:AE96&lt;&gt;"")*(COLUMN(AC96:AE96)-(COLUMN(AC96)-1))))-1),"")</f>
        <v>46022</v>
      </c>
      <c r="L96" s="17" t="str">
        <f aca="false" t="array" ref="L96:L96">IFERROR(INDEX(AC96:AE96,IF(COUNTA(AC96:AE96)=0,"",MAX((AC96:AE96&lt;&gt;"")*(COLUMN(AC96:AE96)-(COLUMN(AC96)-2))))-1),"")</f>
        <v>ARCHIVED</v>
      </c>
      <c r="M96" s="13" t="n">
        <f aca="true">K96-TODAY()</f>
        <v>-302</v>
      </c>
      <c r="N96" s="18" t="s">
        <v>36</v>
      </c>
      <c r="O96" s="13" t="s">
        <v>411</v>
      </c>
      <c r="P96" s="26" t="n">
        <v>5195401</v>
      </c>
      <c r="Q96" s="20" t="s">
        <v>475</v>
      </c>
      <c r="R96" s="13" t="s">
        <v>78</v>
      </c>
      <c r="S96" s="14" t="n">
        <v>34693</v>
      </c>
      <c r="T96" s="13" t="s">
        <v>40</v>
      </c>
      <c r="U96" s="13" t="s">
        <v>476</v>
      </c>
      <c r="V96" s="13" t="s">
        <v>42</v>
      </c>
      <c r="W96" s="13" t="s">
        <v>43</v>
      </c>
      <c r="X96" s="21" t="n">
        <v>85790704258</v>
      </c>
      <c r="Y96" s="22" t="str">
        <f aca="false">O96</f>
        <v>Dry Fact</v>
      </c>
      <c r="Z96" s="13" t="str">
        <f aca="false">IFERROR(__xludf.dummyfunction("if(BJ96="""","""",GOOGLETRANSLATE(BJ96,""auto"",""en""))"),"Dry Fact")</f>
        <v>Dry Fact</v>
      </c>
      <c r="AA96" s="23" t="str">
        <f aca="false">IF(C96="","", CHOOSE(MONTH(C96),"January","February","March","April","May","June","July","August","September","October","November","December")&amp;" "&amp;DAY(C96)&amp;MID("thstndrdth",MIN(9,2*RIGHT(DAY(C96))*(MOD(DAY(C96)-11,100)&gt;2)+1),2)&amp;","&amp;TEXT(C96," yyyy"))</f>
        <v>September 22nd,2018</v>
      </c>
      <c r="AB96" s="15" t="str">
        <f aca="true">IF(S96="","",DATEDIF(S96,TODAY(),"Y")&amp;" Tahun, "&amp;DATEDIF(S96,TODAY(),"YM")&amp;" Bulan, "&amp;DATEDIF(S96,TODAY(),"MD")&amp;" Hari")</f>
        <v>31 Tahun, 10 Bulan, 4 Hari</v>
      </c>
      <c r="AC96" s="18" t="n">
        <v>45658</v>
      </c>
      <c r="AD96" s="18" t="n">
        <v>46022</v>
      </c>
      <c r="AE96" s="18" t="s">
        <v>44</v>
      </c>
    </row>
    <row r="97" customFormat="false" ht="15" hidden="false" customHeight="true" outlineLevel="0" collapsed="false">
      <c r="A97" s="12" t="n">
        <v>627</v>
      </c>
      <c r="B97" s="13" t="s">
        <v>477</v>
      </c>
      <c r="C97" s="14" t="n">
        <v>43456</v>
      </c>
      <c r="D97" s="13" t="s">
        <v>404</v>
      </c>
      <c r="E97" s="15" t="s">
        <v>47</v>
      </c>
      <c r="F97" s="15" t="str">
        <f aca="false">IFERROR(__xludf.dummyfunction("XLOOKUP(AJ97,IMPORTRANGE(""1XaInW9DU9nz21V0tYIfzFQ0He9kVQ_JF2mCXgZ3hqFA"",""REKAP ALL 2026 - Andika!G:G""),IMPORTRANGE(""1XaInW9DU9nz21V0tYIfzFQ0He9kVQ_JF2mCXgZ3hqFA"",""REKAP ALL 2026 - Andika!F:F""),"""",0)"),"16015267491")</f>
        <v>16015267491</v>
      </c>
      <c r="G97" s="13" t="s">
        <v>478</v>
      </c>
      <c r="H97" s="13" t="s">
        <v>35</v>
      </c>
      <c r="I97" s="13" t="str">
        <f aca="false">IF(C97=J97,"NEW KONTRAK","RE-KONTRAK")</f>
        <v>RE-KONTRAK</v>
      </c>
      <c r="J97" s="16" t="n">
        <f aca="false" t="array" ref="J97:J97">IFERROR(INDEX(AC97:AE97,IF(COUNTA(AC97:AE97)=0,"",MAX((AC97:AE97&lt;&gt;"")*(COLUMN(AC97:AE97)-(COLUMN(AC97)))))-1),"")</f>
        <v>45658</v>
      </c>
      <c r="K97" s="16" t="n">
        <f aca="false" t="array" ref="K97:K97">IFERROR(INDEX(AC97:AE97,IF(COUNTA(AC97:AE97)=0,"",MAX((AC97:AE97&lt;&gt;"")*(COLUMN(AC97:AE97)-(COLUMN(AC97)-1))))-1),"")</f>
        <v>46022</v>
      </c>
      <c r="L97" s="17" t="str">
        <f aca="false" t="array" ref="L97:L97">IFERROR(INDEX(AC97:AE97,IF(COUNTA(AC97:AE97)=0,"",MAX((AC97:AE97&lt;&gt;"")*(COLUMN(AC97:AE97)-(COLUMN(AC97)-2))))-1),"")</f>
        <v>ARCHIVED</v>
      </c>
      <c r="M97" s="13" t="n">
        <f aca="true">K97-TODAY()</f>
        <v>-302</v>
      </c>
      <c r="N97" s="18" t="s">
        <v>36</v>
      </c>
      <c r="O97" s="13" t="s">
        <v>479</v>
      </c>
      <c r="P97" s="26" t="n">
        <v>5195401</v>
      </c>
      <c r="Q97" s="20" t="s">
        <v>480</v>
      </c>
      <c r="R97" s="13" t="s">
        <v>65</v>
      </c>
      <c r="S97" s="14" t="n">
        <v>31289</v>
      </c>
      <c r="T97" s="13" t="s">
        <v>40</v>
      </c>
      <c r="U97" s="13" t="s">
        <v>481</v>
      </c>
      <c r="V97" s="13" t="s">
        <v>42</v>
      </c>
      <c r="W97" s="13" t="s">
        <v>43</v>
      </c>
      <c r="X97" s="21" t="n">
        <v>82336991180</v>
      </c>
      <c r="Y97" s="22" t="str">
        <f aca="false">O97</f>
        <v>Bottling Rigid (BT2)</v>
      </c>
      <c r="Z97" s="13" t="str">
        <f aca="false">IFERROR(__xludf.dummyfunction("if(BJ97="""","""",GOOGLETRANSLATE(BJ97,""auto"",""en""))"),"Bottling Rigid (BT2)")</f>
        <v>Bottling Rigid (BT2)</v>
      </c>
      <c r="AA97" s="23" t="str">
        <f aca="false">IF(C97="","", CHOOSE(MONTH(C97),"January","February","March","April","May","June","July","August","September","October","November","December")&amp;" "&amp;DAY(C97)&amp;MID("thstndrdth",MIN(9,2*RIGHT(DAY(C97))*(MOD(DAY(C97)-11,100)&gt;2)+1),2)&amp;","&amp;TEXT(C97," yyyy"))</f>
        <v>December 22nd,2018</v>
      </c>
      <c r="AB97" s="15" t="str">
        <f aca="true">IF(S97="","",DATEDIF(S97,TODAY(),"Y")&amp;" Tahun, "&amp;DATEDIF(S97,TODAY(),"YM")&amp;" Bulan, "&amp;DATEDIF(S97,TODAY(),"MD")&amp;" Hari")</f>
        <v>41 Tahun, 1 Bulan, 29 Hari</v>
      </c>
      <c r="AC97" s="18" t="n">
        <v>45658</v>
      </c>
      <c r="AD97" s="18" t="n">
        <v>46022</v>
      </c>
      <c r="AE97" s="18" t="s">
        <v>44</v>
      </c>
    </row>
    <row r="98" customFormat="false" ht="15" hidden="false" customHeight="true" outlineLevel="0" collapsed="false">
      <c r="A98" s="12" t="n">
        <v>628</v>
      </c>
      <c r="B98" s="13" t="s">
        <v>482</v>
      </c>
      <c r="C98" s="14" t="n">
        <v>43456</v>
      </c>
      <c r="D98" s="13" t="s">
        <v>404</v>
      </c>
      <c r="E98" s="15" t="s">
        <v>47</v>
      </c>
      <c r="F98" s="15" t="str">
        <f aca="false">IFERROR(__xludf.dummyfunction("XLOOKUP(AJ98,IMPORTRANGE(""1XaInW9DU9nz21V0tYIfzFQ0He9kVQ_JF2mCXgZ3hqFA"",""REKAP ALL 2026 - Andika!G:G""),IMPORTRANGE(""1XaInW9DU9nz21V0tYIfzFQ0He9kVQ_JF2mCXgZ3hqFA"",""REKAP ALL 2026 - Andika!F:F""),"""",0)"),"16035314547")</f>
        <v>16035314547</v>
      </c>
      <c r="G98" s="13" t="s">
        <v>483</v>
      </c>
      <c r="H98" s="13" t="s">
        <v>35</v>
      </c>
      <c r="I98" s="13" t="str">
        <f aca="false">IF(C98=J98,"NEW KONTRAK","RE-KONTRAK")</f>
        <v>RE-KONTRAK</v>
      </c>
      <c r="J98" s="16" t="n">
        <f aca="false" t="array" ref="J98:J98">IFERROR(INDEX(AC98:AE98,IF(COUNTA(AC98:AE98)=0,"",MAX((AC98:AE98&lt;&gt;"")*(COLUMN(AC98:AE98)-(COLUMN(AC98)))))-1),"")</f>
        <v>45658</v>
      </c>
      <c r="K98" s="16" t="n">
        <f aca="false" t="array" ref="K98:K98">IFERROR(INDEX(AC98:AE98,IF(COUNTA(AC98:AE98)=0,"",MAX((AC98:AE98&lt;&gt;"")*(COLUMN(AC98:AE98)-(COLUMN(AC98)-1))))-1),"")</f>
        <v>46022</v>
      </c>
      <c r="L98" s="17" t="str">
        <f aca="false" t="array" ref="L98:L98">IFERROR(INDEX(AC98:AE98,IF(COUNTA(AC98:AE98)=0,"",MAX((AC98:AE98&lt;&gt;"")*(COLUMN(AC98:AE98)-(COLUMN(AC98)-2))))-1),"")</f>
        <v>ARCHIVED</v>
      </c>
      <c r="M98" s="13" t="n">
        <f aca="true">K98-TODAY()</f>
        <v>-302</v>
      </c>
      <c r="N98" s="18" t="s">
        <v>36</v>
      </c>
      <c r="O98" s="13" t="s">
        <v>406</v>
      </c>
      <c r="P98" s="26" t="n">
        <v>5195401</v>
      </c>
      <c r="Q98" s="20" t="s">
        <v>484</v>
      </c>
      <c r="R98" s="13" t="s">
        <v>65</v>
      </c>
      <c r="S98" s="14" t="n">
        <v>28425</v>
      </c>
      <c r="T98" s="13" t="s">
        <v>40</v>
      </c>
      <c r="U98" s="13" t="s">
        <v>485</v>
      </c>
      <c r="V98" s="13" t="s">
        <v>42</v>
      </c>
      <c r="W98" s="13" t="s">
        <v>54</v>
      </c>
      <c r="X98" s="21" t="n">
        <v>85708882999</v>
      </c>
      <c r="Y98" s="22" t="str">
        <f aca="false">O98</f>
        <v>Utility</v>
      </c>
      <c r="Z98" s="13" t="str">
        <f aca="false">IFERROR(__xludf.dummyfunction("if(BJ98="""","""",GOOGLETRANSLATE(BJ98,""auto"",""en""))"),"Utility")</f>
        <v>Utility</v>
      </c>
      <c r="AA98" s="23" t="str">
        <f aca="false">IF(C98="","", CHOOSE(MONTH(C98),"January","February","March","April","May","June","July","August","September","October","November","December")&amp;" "&amp;DAY(C98)&amp;MID("thstndrdth",MIN(9,2*RIGHT(DAY(C98))*(MOD(DAY(C98)-11,100)&gt;2)+1),2)&amp;","&amp;TEXT(C98," yyyy"))</f>
        <v>December 22nd,2018</v>
      </c>
      <c r="AB98" s="15" t="str">
        <f aca="true">IF(S98="","",DATEDIF(S98,TODAY(),"Y")&amp;" Tahun, "&amp;DATEDIF(S98,TODAY(),"YM")&amp;" Bulan, "&amp;DATEDIF(S98,TODAY(),"MD")&amp;" Hari")</f>
        <v>49 Tahun, 0 Bulan, 2 Hari</v>
      </c>
      <c r="AC98" s="18" t="n">
        <v>45658</v>
      </c>
      <c r="AD98" s="18" t="n">
        <v>46022</v>
      </c>
      <c r="AE98" s="18" t="s">
        <v>44</v>
      </c>
    </row>
    <row r="99" customFormat="false" ht="15" hidden="false" customHeight="true" outlineLevel="0" collapsed="false">
      <c r="A99" s="12" t="n">
        <v>630</v>
      </c>
      <c r="B99" s="13" t="s">
        <v>486</v>
      </c>
      <c r="C99" s="14" t="n">
        <v>43456</v>
      </c>
      <c r="D99" s="13" t="s">
        <v>404</v>
      </c>
      <c r="E99" s="15" t="s">
        <v>47</v>
      </c>
      <c r="F99" s="15" t="str">
        <f aca="false">IFERROR(__xludf.dummyfunction("XLOOKUP(AJ99,IMPORTRANGE(""1XaInW9DU9nz21V0tYIfzFQ0He9kVQ_JF2mCXgZ3hqFA"",""REKAP ALL 2026 - Andika!G:G""),IMPORTRANGE(""1XaInW9DU9nz21V0tYIfzFQ0He9kVQ_JF2mCXgZ3hqFA"",""REKAP ALL 2026 - Andika!F:F""),"""",0)"),"15041628833")</f>
        <v>15041628833</v>
      </c>
      <c r="G99" s="13" t="s">
        <v>487</v>
      </c>
      <c r="H99" s="13" t="s">
        <v>35</v>
      </c>
      <c r="I99" s="13" t="str">
        <f aca="false">IF(C99=J99,"NEW KONTRAK","RE-KONTRAK")</f>
        <v>RE-KONTRAK</v>
      </c>
      <c r="J99" s="16" t="n">
        <f aca="false" t="array" ref="J99:J99">IFERROR(INDEX(AC99:AE99,IF(COUNTA(AC99:AE99)=0,"",MAX((AC99:AE99&lt;&gt;"")*(COLUMN(AC99:AE99)-(COLUMN(AC99)))))-1),"")</f>
        <v>45658</v>
      </c>
      <c r="K99" s="16" t="n">
        <f aca="false" t="array" ref="K99:K99">IFERROR(INDEX(AC99:AE99,IF(COUNTA(AC99:AE99)=0,"",MAX((AC99:AE99&lt;&gt;"")*(COLUMN(AC99:AE99)-(COLUMN(AC99)-1))))-1),"")</f>
        <v>46022</v>
      </c>
      <c r="L99" s="17" t="str">
        <f aca="false" t="array" ref="L99:L99">IFERROR(INDEX(AC99:AE99,IF(COUNTA(AC99:AE99)=0,"",MAX((AC99:AE99&lt;&gt;"")*(COLUMN(AC99:AE99)-(COLUMN(AC99)-2))))-1),"")</f>
        <v>ARCHIVED</v>
      </c>
      <c r="M99" s="13" t="n">
        <f aca="true">K99-TODAY()</f>
        <v>-302</v>
      </c>
      <c r="N99" s="18" t="s">
        <v>36</v>
      </c>
      <c r="O99" s="13" t="s">
        <v>411</v>
      </c>
      <c r="P99" s="26" t="n">
        <v>5195401</v>
      </c>
      <c r="Q99" s="20" t="s">
        <v>488</v>
      </c>
      <c r="R99" s="13" t="s">
        <v>78</v>
      </c>
      <c r="S99" s="14" t="n">
        <v>35838</v>
      </c>
      <c r="T99" s="13" t="s">
        <v>40</v>
      </c>
      <c r="U99" s="13" t="s">
        <v>489</v>
      </c>
      <c r="V99" s="13" t="s">
        <v>42</v>
      </c>
      <c r="W99" s="13" t="s">
        <v>43</v>
      </c>
      <c r="X99" s="21" t="n">
        <v>81998140899</v>
      </c>
      <c r="Y99" s="22" t="str">
        <f aca="false">O99</f>
        <v>Dry Fact</v>
      </c>
      <c r="Z99" s="13" t="str">
        <f aca="false">IFERROR(__xludf.dummyfunction("if(BJ99="""","""",GOOGLETRANSLATE(BJ99,""auto"",""en""))"),"Dry Fact")</f>
        <v>Dry Fact</v>
      </c>
      <c r="AA99" s="23" t="str">
        <f aca="false">IF(C99="","", CHOOSE(MONTH(C99),"January","February","March","April","May","June","July","August","September","October","November","December")&amp;" "&amp;DAY(C99)&amp;MID("thstndrdth",MIN(9,2*RIGHT(DAY(C99))*(MOD(DAY(C99)-11,100)&gt;2)+1),2)&amp;","&amp;TEXT(C99," yyyy"))</f>
        <v>December 22nd,2018</v>
      </c>
      <c r="AB99" s="15" t="str">
        <f aca="true">IF(S99="","",DATEDIF(S99,TODAY(),"Y")&amp;" Tahun, "&amp;DATEDIF(S99,TODAY(),"YM")&amp;" Bulan, "&amp;DATEDIF(S99,TODAY(),"MD")&amp;" Hari")</f>
        <v>28 Tahun, 8 Bulan, 17 Hari</v>
      </c>
      <c r="AC99" s="18" t="n">
        <v>45658</v>
      </c>
      <c r="AD99" s="18" t="n">
        <v>46022</v>
      </c>
      <c r="AE99" s="18" t="s">
        <v>44</v>
      </c>
    </row>
    <row r="100" customFormat="false" ht="15" hidden="false" customHeight="true" outlineLevel="0" collapsed="false">
      <c r="A100" s="12" t="n">
        <v>631</v>
      </c>
      <c r="B100" s="13" t="s">
        <v>490</v>
      </c>
      <c r="C100" s="14" t="n">
        <v>43456</v>
      </c>
      <c r="D100" s="13" t="s">
        <v>404</v>
      </c>
      <c r="E100" s="15" t="s">
        <v>47</v>
      </c>
      <c r="F100" s="15" t="str">
        <f aca="false">IFERROR(__xludf.dummyfunction("XLOOKUP(AJ100,IMPORTRANGE(""1XaInW9DU9nz21V0tYIfzFQ0He9kVQ_JF2mCXgZ3hqFA"",""REKAP ALL 2026 - Andika!G:G""),IMPORTRANGE(""1XaInW9DU9nz21V0tYIfzFQ0He9kVQ_JF2mCXgZ3hqFA"",""REKAP ALL 2026 - Andika!F:F""),"""",0)"),"12000002068")</f>
        <v>12000002068</v>
      </c>
      <c r="G100" s="13" t="s">
        <v>491</v>
      </c>
      <c r="H100" s="13" t="s">
        <v>35</v>
      </c>
      <c r="I100" s="13" t="str">
        <f aca="false">IF(C100=J100,"NEW KONTRAK","RE-KONTRAK")</f>
        <v>RE-KONTRAK</v>
      </c>
      <c r="J100" s="16" t="n">
        <f aca="false" t="array" ref="J100:J100">IFERROR(INDEX(AC100:AE100,IF(COUNTA(AC100:AE100)=0,"",MAX((AC100:AE100&lt;&gt;"")*(COLUMN(AC100:AE100)-(COLUMN(AC100)))))-1),"")</f>
        <v>45658</v>
      </c>
      <c r="K100" s="16" t="n">
        <f aca="false" t="array" ref="K100:K100">IFERROR(INDEX(AC100:AE100,IF(COUNTA(AC100:AE100)=0,"",MAX((AC100:AE100&lt;&gt;"")*(COLUMN(AC100:AE100)-(COLUMN(AC100)-1))))-1),"")</f>
        <v>46022</v>
      </c>
      <c r="L100" s="17" t="str">
        <f aca="false" t="array" ref="L100:L100">IFERROR(INDEX(AC100:AE100,IF(COUNTA(AC100:AE100)=0,"",MAX((AC100:AE100&lt;&gt;"")*(COLUMN(AC100:AE100)-(COLUMN(AC100)-2))))-1),"")</f>
        <v>ARCHIVED</v>
      </c>
      <c r="M100" s="13" t="n">
        <f aca="true">K100-TODAY()</f>
        <v>-302</v>
      </c>
      <c r="N100" s="18" t="s">
        <v>36</v>
      </c>
      <c r="O100" s="13" t="s">
        <v>433</v>
      </c>
      <c r="P100" s="26" t="n">
        <v>5195401</v>
      </c>
      <c r="Q100" s="20" t="s">
        <v>492</v>
      </c>
      <c r="R100" s="13" t="s">
        <v>78</v>
      </c>
      <c r="S100" s="14" t="n">
        <v>26434</v>
      </c>
      <c r="T100" s="13" t="s">
        <v>40</v>
      </c>
      <c r="U100" s="13" t="s">
        <v>493</v>
      </c>
      <c r="V100" s="13" t="s">
        <v>42</v>
      </c>
      <c r="W100" s="13" t="s">
        <v>54</v>
      </c>
      <c r="X100" s="21" t="n">
        <v>85746230477</v>
      </c>
      <c r="Y100" s="22" t="str">
        <f aca="false">O100</f>
        <v>Refinery</v>
      </c>
      <c r="Z100" s="13" t="str">
        <f aca="false">IFERROR(__xludf.dummyfunction("if(BJ100="""","""",GOOGLETRANSLATE(BJ100,""auto"",""en""))"),"Refinery")</f>
        <v>Refinery</v>
      </c>
      <c r="AA100" s="23" t="str">
        <f aca="false">IF(C100="","", CHOOSE(MONTH(C100),"January","February","March","April","May","June","July","August","September","October","November","December")&amp;" "&amp;DAY(C100)&amp;MID("thstndrdth",MIN(9,2*RIGHT(DAY(C100))*(MOD(DAY(C100)-11,100)&gt;2)+1),2)&amp;","&amp;TEXT(C100," yyyy"))</f>
        <v>December 22nd,2018</v>
      </c>
      <c r="AB100" s="15" t="str">
        <f aca="true">IF(S100="","",DATEDIF(S100,TODAY(),"Y")&amp;" Tahun, "&amp;DATEDIF(S100,TODAY(),"YM")&amp;" Bulan, "&amp;DATEDIF(S100,TODAY(),"MD")&amp;" Hari")</f>
        <v>54 Tahun, 5 Bulan, 14 Hari</v>
      </c>
      <c r="AC100" s="18" t="n">
        <v>45658</v>
      </c>
      <c r="AD100" s="18" t="n">
        <v>46022</v>
      </c>
      <c r="AE100" s="18" t="s">
        <v>44</v>
      </c>
    </row>
    <row r="101" customFormat="false" ht="15" hidden="false" customHeight="true" outlineLevel="0" collapsed="false">
      <c r="A101" s="12" t="n">
        <v>632</v>
      </c>
      <c r="B101" s="13" t="s">
        <v>494</v>
      </c>
      <c r="C101" s="14" t="n">
        <v>43426</v>
      </c>
      <c r="D101" s="13" t="s">
        <v>404</v>
      </c>
      <c r="E101" s="15" t="s">
        <v>47</v>
      </c>
      <c r="F101" s="15" t="str">
        <f aca="false">IFERROR(__xludf.dummyfunction("XLOOKUP(AJ101,IMPORTRANGE(""1XaInW9DU9nz21V0tYIfzFQ0He9kVQ_JF2mCXgZ3hqFA"",""REKAP ALL 2026 - Andika!G:G""),IMPORTRANGE(""1XaInW9DU9nz21V0tYIfzFQ0He9kVQ_JF2mCXgZ3hqFA"",""REKAP ALL 2026 - Andika!F:F""),"""",0)"),"12008650918")</f>
        <v>12008650918</v>
      </c>
      <c r="G101" s="13" t="s">
        <v>495</v>
      </c>
      <c r="H101" s="13" t="s">
        <v>35</v>
      </c>
      <c r="I101" s="13" t="str">
        <f aca="false">IF(C101=J101,"NEW KONTRAK","RE-KONTRAK")</f>
        <v>RE-KONTRAK</v>
      </c>
      <c r="J101" s="16" t="n">
        <f aca="false" t="array" ref="J101:J101">IFERROR(INDEX(AC101:AE101,IF(COUNTA(AC101:AE101)=0,"",MAX((AC101:AE101&lt;&gt;"")*(COLUMN(AC101:AE101)-(COLUMN(AC101)))))-1),"")</f>
        <v>45658</v>
      </c>
      <c r="K101" s="16" t="n">
        <f aca="false" t="array" ref="K101:K101">IFERROR(INDEX(AC101:AE101,IF(COUNTA(AC101:AE101)=0,"",MAX((AC101:AE101&lt;&gt;"")*(COLUMN(AC101:AE101)-(COLUMN(AC101)-1))))-1),"")</f>
        <v>46022</v>
      </c>
      <c r="L101" s="17" t="str">
        <f aca="false" t="array" ref="L101:L101">IFERROR(INDEX(AC101:AE101,IF(COUNTA(AC101:AE101)=0,"",MAX((AC101:AE101&lt;&gt;"")*(COLUMN(AC101:AE101)-(COLUMN(AC101)-2))))-1),"")</f>
        <v>ARCHIVED</v>
      </c>
      <c r="M101" s="13" t="n">
        <f aca="true">K101-TODAY()</f>
        <v>-302</v>
      </c>
      <c r="N101" s="18" t="s">
        <v>36</v>
      </c>
      <c r="O101" s="13" t="s">
        <v>411</v>
      </c>
      <c r="P101" s="26" t="n">
        <v>5195401</v>
      </c>
      <c r="Q101" s="20" t="s">
        <v>496</v>
      </c>
      <c r="R101" s="13" t="s">
        <v>78</v>
      </c>
      <c r="S101" s="14" t="n">
        <v>33127</v>
      </c>
      <c r="T101" s="13" t="s">
        <v>40</v>
      </c>
      <c r="U101" s="13" t="s">
        <v>497</v>
      </c>
      <c r="V101" s="13" t="s">
        <v>42</v>
      </c>
      <c r="W101" s="13" t="s">
        <v>54</v>
      </c>
      <c r="X101" s="21" t="n">
        <v>85645076554</v>
      </c>
      <c r="Y101" s="22" t="str">
        <f aca="false">O101</f>
        <v>Dry Fact</v>
      </c>
      <c r="Z101" s="13" t="str">
        <f aca="false">IFERROR(__xludf.dummyfunction("if(BJ101="""","""",GOOGLETRANSLATE(BJ101,""auto"",""en""))"),"Dry Fact")</f>
        <v>Dry Fact</v>
      </c>
      <c r="AA101" s="23" t="str">
        <f aca="false">IF(C101="","", CHOOSE(MONTH(C101),"January","February","March","April","May","June","July","August","September","October","November","December")&amp;" "&amp;DAY(C101)&amp;MID("thstndrdth",MIN(9,2*RIGHT(DAY(C101))*(MOD(DAY(C101)-11,100)&gt;2)+1),2)&amp;","&amp;TEXT(C101," yyyy"))</f>
        <v>November 22nd,2018</v>
      </c>
      <c r="AB101" s="15" t="str">
        <f aca="true">IF(S101="","",DATEDIF(S101,TODAY(),"Y")&amp;" Tahun, "&amp;DATEDIF(S101,TODAY(),"YM")&amp;" Bulan, "&amp;DATEDIF(S101,TODAY(),"MD")&amp;" Hari")</f>
        <v>36 Tahun, 1 Bulan, 18 Hari</v>
      </c>
      <c r="AC101" s="18" t="n">
        <v>45658</v>
      </c>
      <c r="AD101" s="18" t="n">
        <v>46022</v>
      </c>
      <c r="AE101" s="18" t="s">
        <v>44</v>
      </c>
    </row>
    <row r="102" customFormat="false" ht="15" hidden="false" customHeight="true" outlineLevel="0" collapsed="false">
      <c r="A102" s="12" t="n">
        <v>633</v>
      </c>
      <c r="B102" s="13" t="s">
        <v>498</v>
      </c>
      <c r="C102" s="14" t="n">
        <v>43395</v>
      </c>
      <c r="D102" s="13" t="s">
        <v>404</v>
      </c>
      <c r="E102" s="15" t="s">
        <v>47</v>
      </c>
      <c r="F102" s="15" t="str">
        <f aca="false">IFERROR(__xludf.dummyfunction("XLOOKUP(AJ102,IMPORTRANGE(""1XaInW9DU9nz21V0tYIfzFQ0He9kVQ_JF2mCXgZ3hqFA"",""REKAP ALL 2026 - Andika!G:G""),IMPORTRANGE(""1XaInW9DU9nz21V0tYIfzFQ0He9kVQ_JF2mCXgZ3hqFA"",""REKAP ALL 2026 - Andika!F:F""),"""",0)"),"14039899449")</f>
        <v>14039899449</v>
      </c>
      <c r="G102" s="13" t="s">
        <v>499</v>
      </c>
      <c r="H102" s="13" t="s">
        <v>35</v>
      </c>
      <c r="I102" s="13" t="str">
        <f aca="false">IF(C102=J102,"NEW KONTRAK","RE-KONTRAK")</f>
        <v>RE-KONTRAK</v>
      </c>
      <c r="J102" s="16" t="n">
        <f aca="false" t="array" ref="J102:J102">IFERROR(INDEX(AC102:AE102,IF(COUNTA(AC102:AE102)=0,"",MAX((AC102:AE102&lt;&gt;"")*(COLUMN(AC102:AE102)-(COLUMN(AC102)))))-1),"")</f>
        <v>45658</v>
      </c>
      <c r="K102" s="16" t="n">
        <f aca="false" t="array" ref="K102:K102">IFERROR(INDEX(AC102:AE102,IF(COUNTA(AC102:AE102)=0,"",MAX((AC102:AE102&lt;&gt;"")*(COLUMN(AC102:AE102)-(COLUMN(AC102)-1))))-1),"")</f>
        <v>46022</v>
      </c>
      <c r="L102" s="17" t="str">
        <f aca="false" t="array" ref="L102:L102">IFERROR(INDEX(AC102:AE102,IF(COUNTA(AC102:AE102)=0,"",MAX((AC102:AE102&lt;&gt;"")*(COLUMN(AC102:AE102)-(COLUMN(AC102)-2))))-1),"")</f>
        <v>ARCHIVED</v>
      </c>
      <c r="M102" s="13" t="n">
        <f aca="true">K102-TODAY()</f>
        <v>-302</v>
      </c>
      <c r="N102" s="18" t="s">
        <v>36</v>
      </c>
      <c r="O102" s="13" t="s">
        <v>411</v>
      </c>
      <c r="P102" s="26" t="n">
        <v>5195401</v>
      </c>
      <c r="Q102" s="20" t="s">
        <v>500</v>
      </c>
      <c r="R102" s="13" t="s">
        <v>78</v>
      </c>
      <c r="S102" s="14" t="n">
        <v>33646</v>
      </c>
      <c r="T102" s="13" t="s">
        <v>40</v>
      </c>
      <c r="U102" s="13" t="s">
        <v>501</v>
      </c>
      <c r="V102" s="13" t="s">
        <v>42</v>
      </c>
      <c r="W102" s="13" t="s">
        <v>54</v>
      </c>
      <c r="X102" s="21" t="n">
        <v>85855717976</v>
      </c>
      <c r="Y102" s="22" t="str">
        <f aca="false">O102</f>
        <v>Dry Fact</v>
      </c>
      <c r="Z102" s="13" t="str">
        <f aca="false">IFERROR(__xludf.dummyfunction("if(BJ102="""","""",GOOGLETRANSLATE(BJ102,""auto"",""en""))"),"Dry Fact")</f>
        <v>Dry Fact</v>
      </c>
      <c r="AA102" s="23" t="str">
        <f aca="false">IF(C102="","", CHOOSE(MONTH(C102),"January","February","March","April","May","June","July","August","September","October","November","December")&amp;" "&amp;DAY(C102)&amp;MID("thstndrdth",MIN(9,2*RIGHT(DAY(C102))*(MOD(DAY(C102)-11,100)&gt;2)+1),2)&amp;","&amp;TEXT(C102," yyyy"))</f>
        <v>October 22nd,2018</v>
      </c>
      <c r="AB102" s="15" t="str">
        <f aca="true">IF(S102="","",DATEDIF(S102,TODAY(),"Y")&amp;" Tahun, "&amp;DATEDIF(S102,TODAY(),"YM")&amp;" Bulan, "&amp;DATEDIF(S102,TODAY(),"MD")&amp;" Hari")</f>
        <v>34 Tahun, 8 Bulan, 17 Hari</v>
      </c>
      <c r="AC102" s="18" t="n">
        <v>45658</v>
      </c>
      <c r="AD102" s="18" t="n">
        <v>46022</v>
      </c>
      <c r="AE102" s="18" t="s">
        <v>44</v>
      </c>
    </row>
    <row r="103" customFormat="false" ht="15" hidden="false" customHeight="true" outlineLevel="0" collapsed="false">
      <c r="A103" s="12" t="n">
        <v>636</v>
      </c>
      <c r="B103" s="13" t="s">
        <v>502</v>
      </c>
      <c r="C103" s="14" t="n">
        <v>43395</v>
      </c>
      <c r="D103" s="13" t="s">
        <v>404</v>
      </c>
      <c r="E103" s="15" t="s">
        <v>47</v>
      </c>
      <c r="F103" s="15" t="str">
        <f aca="false">IFERROR(__xludf.dummyfunction("XLOOKUP(AJ103,IMPORTRANGE(""1XaInW9DU9nz21V0tYIfzFQ0He9kVQ_JF2mCXgZ3hqFA"",""REKAP ALL 2026 - Andika!G:G""),IMPORTRANGE(""1XaInW9DU9nz21V0tYIfzFQ0He9kVQ_JF2mCXgZ3hqFA"",""REKAP ALL 2026 - Andika!F:F""),"""",0)"),"12018282157")</f>
        <v>12018282157</v>
      </c>
      <c r="G103" s="13" t="s">
        <v>503</v>
      </c>
      <c r="H103" s="13" t="s">
        <v>35</v>
      </c>
      <c r="I103" s="13" t="str">
        <f aca="false">IF(C103=J103,"NEW KONTRAK","RE-KONTRAK")</f>
        <v>RE-KONTRAK</v>
      </c>
      <c r="J103" s="16" t="n">
        <f aca="false" t="array" ref="J103:J103">IFERROR(INDEX(AC103:AE103,IF(COUNTA(AC103:AE103)=0,"",MAX((AC103:AE103&lt;&gt;"")*(COLUMN(AC103:AE103)-(COLUMN(AC103)))))-1),"")</f>
        <v>45658</v>
      </c>
      <c r="K103" s="16" t="n">
        <f aca="false" t="array" ref="K103:K103">IFERROR(INDEX(AC103:AE103,IF(COUNTA(AC103:AE103)=0,"",MAX((AC103:AE103&lt;&gt;"")*(COLUMN(AC103:AE103)-(COLUMN(AC103)-1))))-1),"")</f>
        <v>46022</v>
      </c>
      <c r="L103" s="17" t="str">
        <f aca="false" t="array" ref="L103:L103">IFERROR(INDEX(AC103:AE103,IF(COUNTA(AC103:AE103)=0,"",MAX((AC103:AE103&lt;&gt;"")*(COLUMN(AC103:AE103)-(COLUMN(AC103)-2))))-1),"")</f>
        <v>ARCHIVED</v>
      </c>
      <c r="M103" s="13" t="n">
        <f aca="true">K103-TODAY()</f>
        <v>-302</v>
      </c>
      <c r="N103" s="18" t="s">
        <v>36</v>
      </c>
      <c r="O103" s="13" t="s">
        <v>411</v>
      </c>
      <c r="P103" s="26" t="n">
        <v>5195401</v>
      </c>
      <c r="Q103" s="20" t="s">
        <v>504</v>
      </c>
      <c r="R103" s="13" t="s">
        <v>78</v>
      </c>
      <c r="S103" s="14" t="n">
        <v>30663</v>
      </c>
      <c r="T103" s="13" t="s">
        <v>40</v>
      </c>
      <c r="U103" s="13" t="s">
        <v>505</v>
      </c>
      <c r="V103" s="13" t="s">
        <v>42</v>
      </c>
      <c r="W103" s="13" t="s">
        <v>54</v>
      </c>
      <c r="X103" s="21" t="n">
        <v>895397011355</v>
      </c>
      <c r="Y103" s="22" t="str">
        <f aca="false">O103</f>
        <v>Dry Fact</v>
      </c>
      <c r="Z103" s="13" t="str">
        <f aca="false">IFERROR(__xludf.dummyfunction("if(BJ103="""","""",GOOGLETRANSLATE(BJ103,""auto"",""en""))"),"Dry Fact")</f>
        <v>Dry Fact</v>
      </c>
      <c r="AA103" s="23" t="str">
        <f aca="false">IF(C103="","", CHOOSE(MONTH(C103),"January","February","March","April","May","June","July","August","September","October","November","December")&amp;" "&amp;DAY(C103)&amp;MID("thstndrdth",MIN(9,2*RIGHT(DAY(C103))*(MOD(DAY(C103)-11,100)&gt;2)+1),2)&amp;","&amp;TEXT(C103," yyyy"))</f>
        <v>October 22nd,2018</v>
      </c>
      <c r="AB103" s="15" t="str">
        <f aca="true">IF(S103="","",DATEDIF(S103,TODAY(),"Y")&amp;" Tahun, "&amp;DATEDIF(S103,TODAY(),"YM")&amp;" Bulan, "&amp;DATEDIF(S103,TODAY(),"MD")&amp;" Hari")</f>
        <v>42 Tahun, 10 Bulan, 16 Hari</v>
      </c>
      <c r="AC103" s="18" t="n">
        <v>45658</v>
      </c>
      <c r="AD103" s="18" t="n">
        <v>46022</v>
      </c>
      <c r="AE103" s="18" t="s">
        <v>44</v>
      </c>
    </row>
    <row r="104" customFormat="false" ht="15" hidden="false" customHeight="true" outlineLevel="0" collapsed="false">
      <c r="A104" s="12" t="n">
        <v>638</v>
      </c>
      <c r="B104" s="13" t="s">
        <v>506</v>
      </c>
      <c r="C104" s="14" t="n">
        <v>43003</v>
      </c>
      <c r="D104" s="13" t="s">
        <v>404</v>
      </c>
      <c r="E104" s="15" t="s">
        <v>47</v>
      </c>
      <c r="F104" s="15" t="str">
        <f aca="false">IFERROR(__xludf.dummyfunction("XLOOKUP(AJ104,IMPORTRANGE(""1XaInW9DU9nz21V0tYIfzFQ0He9kVQ_JF2mCXgZ3hqFA"",""REKAP ALL 2026 - Andika!G:G""),IMPORTRANGE(""1XaInW9DU9nz21V0tYIfzFQ0He9kVQ_JF2mCXgZ3hqFA"",""REKAP ALL 2026 - Andika!F:F""),"""",0)"),"17059361869")</f>
        <v>17059361869</v>
      </c>
      <c r="G104" s="13" t="s">
        <v>507</v>
      </c>
      <c r="H104" s="13" t="s">
        <v>35</v>
      </c>
      <c r="I104" s="13" t="str">
        <f aca="false">IF(C104=J104,"NEW KONTRAK","RE-KONTRAK")</f>
        <v>RE-KONTRAK</v>
      </c>
      <c r="J104" s="16" t="n">
        <f aca="false" t="array" ref="J104:J104">IFERROR(INDEX(AC104:AE104,IF(COUNTA(AC104:AE104)=0,"",MAX((AC104:AE104&lt;&gt;"")*(COLUMN(AC104:AE104)-(COLUMN(AC104)))))-1),"")</f>
        <v>45658</v>
      </c>
      <c r="K104" s="16" t="n">
        <f aca="false" t="array" ref="K104:K104">IFERROR(INDEX(AC104:AE104,IF(COUNTA(AC104:AE104)=0,"",MAX((AC104:AE104&lt;&gt;"")*(COLUMN(AC104:AE104)-(COLUMN(AC104)-1))))-1),"")</f>
        <v>46022</v>
      </c>
      <c r="L104" s="17" t="str">
        <f aca="false" t="array" ref="L104:L104">IFERROR(INDEX(AC104:AE104,IF(COUNTA(AC104:AE104)=0,"",MAX((AC104:AE104&lt;&gt;"")*(COLUMN(AC104:AE104)-(COLUMN(AC104)-2))))-1),"")</f>
        <v>ARCHIVED</v>
      </c>
      <c r="M104" s="13" t="n">
        <f aca="true">K104-TODAY()</f>
        <v>-302</v>
      </c>
      <c r="N104" s="18" t="s">
        <v>36</v>
      </c>
      <c r="O104" s="13" t="s">
        <v>450</v>
      </c>
      <c r="P104" s="26" t="n">
        <v>5195401</v>
      </c>
      <c r="Q104" s="20" t="s">
        <v>508</v>
      </c>
      <c r="R104" s="13" t="s">
        <v>65</v>
      </c>
      <c r="S104" s="14" t="n">
        <v>34221</v>
      </c>
      <c r="T104" s="13" t="s">
        <v>108</v>
      </c>
      <c r="U104" s="13" t="s">
        <v>509</v>
      </c>
      <c r="V104" s="13" t="s">
        <v>42</v>
      </c>
      <c r="W104" s="13" t="s">
        <v>43</v>
      </c>
      <c r="X104" s="21" t="n">
        <v>81235579187</v>
      </c>
      <c r="Y104" s="22" t="str">
        <f aca="false">O104</f>
        <v>QC &amp; QA</v>
      </c>
      <c r="Z104" s="13" t="str">
        <f aca="false">IFERROR(__xludf.dummyfunction("if(BJ104="""","""",GOOGLETRANSLATE(BJ104,""auto"",""en""))"),"QC &amp; QA")</f>
        <v>QC &amp; QA</v>
      </c>
      <c r="AA104" s="23" t="str">
        <f aca="false">IF(C104="","", CHOOSE(MONTH(C104),"January","February","March","April","May","June","July","August","September","October","November","December")&amp;" "&amp;DAY(C104)&amp;MID("thstndrdth",MIN(9,2*RIGHT(DAY(C104))*(MOD(DAY(C104)-11,100)&gt;2)+1),2)&amp;","&amp;TEXT(C104," yyyy"))</f>
        <v>September 25th,2017</v>
      </c>
      <c r="AB104" s="15" t="str">
        <f aca="true">IF(S104="","",DATEDIF(S104,TODAY(),"Y")&amp;" Tahun, "&amp;DATEDIF(S104,TODAY(),"YM")&amp;" Bulan, "&amp;DATEDIF(S104,TODAY(),"MD")&amp;" Hari")</f>
        <v>33 Tahun, 1 Bulan, 20 Hari</v>
      </c>
      <c r="AC104" s="18" t="n">
        <v>45658</v>
      </c>
      <c r="AD104" s="18" t="n">
        <v>46022</v>
      </c>
      <c r="AE104" s="18" t="s">
        <v>44</v>
      </c>
    </row>
    <row r="105" customFormat="false" ht="15" hidden="false" customHeight="true" outlineLevel="0" collapsed="false">
      <c r="A105" s="12" t="n">
        <v>640</v>
      </c>
      <c r="B105" s="13" t="s">
        <v>510</v>
      </c>
      <c r="C105" s="14" t="n">
        <v>43210</v>
      </c>
      <c r="D105" s="13" t="s">
        <v>404</v>
      </c>
      <c r="E105" s="15" t="s">
        <v>47</v>
      </c>
      <c r="F105" s="15" t="str">
        <f aca="false">IFERROR(__xludf.dummyfunction("XLOOKUP(AJ105,IMPORTRANGE(""1XaInW9DU9nz21V0tYIfzFQ0He9kVQ_JF2mCXgZ3hqFA"",""REKAP ALL 2026 - Andika!G:G""),IMPORTRANGE(""1XaInW9DU9nz21V0tYIfzFQ0He9kVQ_JF2mCXgZ3hqFA"",""REKAP ALL 2026 - Andika!F:F""),"""",0)"),"18041719339")</f>
        <v>18041719339</v>
      </c>
      <c r="G105" s="13" t="s">
        <v>511</v>
      </c>
      <c r="H105" s="13" t="s">
        <v>35</v>
      </c>
      <c r="I105" s="13" t="str">
        <f aca="false">IF(C105=J105,"NEW KONTRAK","RE-KONTRAK")</f>
        <v>RE-KONTRAK</v>
      </c>
      <c r="J105" s="16" t="n">
        <f aca="false" t="array" ref="J105:J105">IFERROR(INDEX(AC105:AE105,IF(COUNTA(AC105:AE105)=0,"",MAX((AC105:AE105&lt;&gt;"")*(COLUMN(AC105:AE105)-(COLUMN(AC105)))))-1),"")</f>
        <v>45658</v>
      </c>
      <c r="K105" s="16" t="n">
        <f aca="false" t="array" ref="K105:K105">IFERROR(INDEX(AC105:AE105,IF(COUNTA(AC105:AE105)=0,"",MAX((AC105:AE105&lt;&gt;"")*(COLUMN(AC105:AE105)-(COLUMN(AC105)-1))))-1),"")</f>
        <v>46022</v>
      </c>
      <c r="L105" s="17" t="str">
        <f aca="false" t="array" ref="L105:L105">IFERROR(INDEX(AC105:AE105,IF(COUNTA(AC105:AE105)=0,"",MAX((AC105:AE105&lt;&gt;"")*(COLUMN(AC105:AE105)-(COLUMN(AC105)-2))))-1),"")</f>
        <v>ARCHIVED</v>
      </c>
      <c r="M105" s="13" t="n">
        <f aca="true">K105-TODAY()</f>
        <v>-302</v>
      </c>
      <c r="N105" s="18" t="s">
        <v>36</v>
      </c>
      <c r="O105" s="13" t="s">
        <v>512</v>
      </c>
      <c r="P105" s="26" t="n">
        <v>5195401</v>
      </c>
      <c r="Q105" s="20" t="s">
        <v>513</v>
      </c>
      <c r="R105" s="13" t="s">
        <v>52</v>
      </c>
      <c r="S105" s="14" t="n">
        <v>34856</v>
      </c>
      <c r="T105" s="13" t="s">
        <v>108</v>
      </c>
      <c r="U105" s="13" t="s">
        <v>514</v>
      </c>
      <c r="V105" s="13" t="s">
        <v>42</v>
      </c>
      <c r="W105" s="13" t="s">
        <v>43</v>
      </c>
      <c r="X105" s="21" t="n">
        <v>85706205464</v>
      </c>
      <c r="Y105" s="22" t="str">
        <f aca="false">O105</f>
        <v>Laboratorium</v>
      </c>
      <c r="Z105" s="13" t="str">
        <f aca="false">IFERROR(__xludf.dummyfunction("if(BJ105="""","""",GOOGLETRANSLATE(BJ105,""auto"",""en""))"),"Laboratory")</f>
        <v>Laboratory</v>
      </c>
      <c r="AA105" s="23" t="str">
        <f aca="false">IF(C105="","", CHOOSE(MONTH(C105),"January","February","March","April","May","June","July","August","September","October","November","December")&amp;" "&amp;DAY(C105)&amp;MID("thstndrdth",MIN(9,2*RIGHT(DAY(C105))*(MOD(DAY(C105)-11,100)&gt;2)+1),2)&amp;","&amp;TEXT(C105," yyyy"))</f>
        <v>April 20th,2018</v>
      </c>
      <c r="AB105" s="15" t="str">
        <f aca="true">IF(S105="","",DATEDIF(S105,TODAY(),"Y")&amp;" Tahun, "&amp;DATEDIF(S105,TODAY(),"YM")&amp;" Bulan, "&amp;DATEDIF(S105,TODAY(),"MD")&amp;" Hari")</f>
        <v>31 Tahun, 4 Bulan, 23 Hari</v>
      </c>
      <c r="AC105" s="18" t="n">
        <v>45658</v>
      </c>
      <c r="AD105" s="18" t="n">
        <v>46022</v>
      </c>
      <c r="AE105" s="18" t="s">
        <v>44</v>
      </c>
    </row>
    <row r="106" customFormat="false" ht="15" hidden="false" customHeight="true" outlineLevel="0" collapsed="false">
      <c r="A106" s="12" t="n">
        <v>642</v>
      </c>
      <c r="B106" s="13" t="s">
        <v>515</v>
      </c>
      <c r="C106" s="14" t="n">
        <v>43456</v>
      </c>
      <c r="D106" s="13" t="s">
        <v>404</v>
      </c>
      <c r="E106" s="15" t="s">
        <v>47</v>
      </c>
      <c r="F106" s="15" t="str">
        <f aca="false">IFERROR(__xludf.dummyfunction("XLOOKUP(AJ106,IMPORTRANGE(""1XaInW9DU9nz21V0tYIfzFQ0He9kVQ_JF2mCXgZ3hqFA"",""REKAP ALL 2026 - Andika!G:G""),IMPORTRANGE(""1XaInW9DU9nz21V0tYIfzFQ0He9kVQ_JF2mCXgZ3hqFA"",""REKAP ALL 2026 - Andika!F:F""),"""",0)"),"14031476345")</f>
        <v>14031476345</v>
      </c>
      <c r="G106" s="13" t="s">
        <v>516</v>
      </c>
      <c r="H106" s="13" t="s">
        <v>35</v>
      </c>
      <c r="I106" s="13" t="str">
        <f aca="false">IF(C106=J106,"NEW KONTRAK","RE-KONTRAK")</f>
        <v>RE-KONTRAK</v>
      </c>
      <c r="J106" s="16" t="n">
        <f aca="false" t="array" ref="J106:J106">IFERROR(INDEX(AC106:AE106,IF(COUNTA(AC106:AE106)=0,"",MAX((AC106:AE106&lt;&gt;"")*(COLUMN(AC106:AE106)-(COLUMN(AC106)))))-1),"")</f>
        <v>45658</v>
      </c>
      <c r="K106" s="16" t="n">
        <f aca="false" t="array" ref="K106:K106">IFERROR(INDEX(AC106:AE106,IF(COUNTA(AC106:AE106)=0,"",MAX((AC106:AE106&lt;&gt;"")*(COLUMN(AC106:AE106)-(COLUMN(AC106)-1))))-1),"")</f>
        <v>46022</v>
      </c>
      <c r="L106" s="17" t="str">
        <f aca="false" t="array" ref="L106:L106">IFERROR(INDEX(AC106:AE106,IF(COUNTA(AC106:AE106)=0,"",MAX((AC106:AE106&lt;&gt;"")*(COLUMN(AC106:AE106)-(COLUMN(AC106)-2))))-1),"")</f>
        <v>ARCHIVED</v>
      </c>
      <c r="M106" s="13" t="n">
        <f aca="true">K106-TODAY()</f>
        <v>-302</v>
      </c>
      <c r="N106" s="18" t="s">
        <v>36</v>
      </c>
      <c r="O106" s="13" t="s">
        <v>411</v>
      </c>
      <c r="P106" s="26" t="n">
        <v>5195401</v>
      </c>
      <c r="Q106" s="20" t="s">
        <v>517</v>
      </c>
      <c r="R106" s="13" t="s">
        <v>78</v>
      </c>
      <c r="S106" s="14" t="n">
        <v>33765</v>
      </c>
      <c r="T106" s="13" t="s">
        <v>40</v>
      </c>
      <c r="U106" s="13" t="s">
        <v>518</v>
      </c>
      <c r="V106" s="13" t="s">
        <v>42</v>
      </c>
      <c r="W106" s="13" t="s">
        <v>43</v>
      </c>
      <c r="X106" s="21" t="n">
        <v>87851503609</v>
      </c>
      <c r="Y106" s="22" t="str">
        <f aca="false">O106</f>
        <v>Dry Fact</v>
      </c>
      <c r="Z106" s="13" t="str">
        <f aca="false">IFERROR(__xludf.dummyfunction("if(BJ106="""","""",GOOGLETRANSLATE(BJ106,""auto"",""en""))"),"Dry Fact")</f>
        <v>Dry Fact</v>
      </c>
      <c r="AA106" s="23" t="str">
        <f aca="false">IF(C106="","", CHOOSE(MONTH(C106),"January","February","March","April","May","June","July","August","September","October","November","December")&amp;" "&amp;DAY(C106)&amp;MID("thstndrdth",MIN(9,2*RIGHT(DAY(C106))*(MOD(DAY(C106)-11,100)&gt;2)+1),2)&amp;","&amp;TEXT(C106," yyyy"))</f>
        <v>December 22nd,2018</v>
      </c>
      <c r="AB106" s="15" t="str">
        <f aca="true">IF(S106="","",DATEDIF(S106,TODAY(),"Y")&amp;" Tahun, "&amp;DATEDIF(S106,TODAY(),"YM")&amp;" Bulan, "&amp;DATEDIF(S106,TODAY(),"MD")&amp;" Hari")</f>
        <v>34 Tahun, 4 Bulan, 19 Hari</v>
      </c>
      <c r="AC106" s="18" t="n">
        <v>45658</v>
      </c>
      <c r="AD106" s="18" t="n">
        <v>46022</v>
      </c>
      <c r="AE106" s="18" t="s">
        <v>44</v>
      </c>
    </row>
    <row r="107" customFormat="false" ht="15" hidden="false" customHeight="true" outlineLevel="0" collapsed="false">
      <c r="A107" s="12" t="n">
        <v>643</v>
      </c>
      <c r="B107" s="13" t="s">
        <v>519</v>
      </c>
      <c r="C107" s="14" t="n">
        <v>43456</v>
      </c>
      <c r="D107" s="13" t="s">
        <v>404</v>
      </c>
      <c r="E107" s="15" t="s">
        <v>47</v>
      </c>
      <c r="F107" s="15" t="str">
        <f aca="false">IFERROR(__xludf.dummyfunction("XLOOKUP(AJ107,IMPORTRANGE(""1XaInW9DU9nz21V0tYIfzFQ0He9kVQ_JF2mCXgZ3hqFA"",""REKAP ALL 2026 - Andika!G:G""),IMPORTRANGE(""1XaInW9DU9nz21V0tYIfzFQ0He9kVQ_JF2mCXgZ3hqFA"",""REKAP ALL 2026 - Andika!F:F""),"""",0)"),"14026941196")</f>
        <v>14026941196</v>
      </c>
      <c r="G107" s="13" t="s">
        <v>520</v>
      </c>
      <c r="H107" s="13" t="s">
        <v>35</v>
      </c>
      <c r="I107" s="13" t="str">
        <f aca="false">IF(C107=J107,"NEW KONTRAK","RE-KONTRAK")</f>
        <v>RE-KONTRAK</v>
      </c>
      <c r="J107" s="16" t="n">
        <f aca="false" t="array" ref="J107:J107">IFERROR(INDEX(AC107:AE107,IF(COUNTA(AC107:AE107)=0,"",MAX((AC107:AE107&lt;&gt;"")*(COLUMN(AC107:AE107)-(COLUMN(AC107)))))-1),"")</f>
        <v>45658</v>
      </c>
      <c r="K107" s="16" t="n">
        <f aca="false" t="array" ref="K107:K107">IFERROR(INDEX(AC107:AE107,IF(COUNTA(AC107:AE107)=0,"",MAX((AC107:AE107&lt;&gt;"")*(COLUMN(AC107:AE107)-(COLUMN(AC107)-1))))-1),"")</f>
        <v>46022</v>
      </c>
      <c r="L107" s="17" t="str">
        <f aca="false" t="array" ref="L107:L107">IFERROR(INDEX(AC107:AE107,IF(COUNTA(AC107:AE107)=0,"",MAX((AC107:AE107&lt;&gt;"")*(COLUMN(AC107:AE107)-(COLUMN(AC107)-2))))-1),"")</f>
        <v>ARCHIVED</v>
      </c>
      <c r="M107" s="13" t="n">
        <f aca="true">K107-TODAY()</f>
        <v>-302</v>
      </c>
      <c r="N107" s="18" t="s">
        <v>36</v>
      </c>
      <c r="O107" s="13" t="s">
        <v>411</v>
      </c>
      <c r="P107" s="26" t="n">
        <v>5195401</v>
      </c>
      <c r="Q107" s="20" t="s">
        <v>521</v>
      </c>
      <c r="R107" s="13" t="s">
        <v>78</v>
      </c>
      <c r="S107" s="14" t="n">
        <v>30376</v>
      </c>
      <c r="T107" s="13" t="s">
        <v>40</v>
      </c>
      <c r="U107" s="13" t="s">
        <v>518</v>
      </c>
      <c r="V107" s="13" t="s">
        <v>42</v>
      </c>
      <c r="W107" s="13" t="s">
        <v>54</v>
      </c>
      <c r="X107" s="21" t="n">
        <v>85855739917</v>
      </c>
      <c r="Y107" s="22" t="str">
        <f aca="false">O107</f>
        <v>Dry Fact</v>
      </c>
      <c r="Z107" s="13" t="str">
        <f aca="false">IFERROR(__xludf.dummyfunction("if(BJ107="""","""",GOOGLETRANSLATE(BJ107,""auto"",""en""))"),"Dry Fact")</f>
        <v>Dry Fact</v>
      </c>
      <c r="AA107" s="23" t="str">
        <f aca="false">IF(C107="","", CHOOSE(MONTH(C107),"January","February","March","April","May","June","July","August","September","October","November","December")&amp;" "&amp;DAY(C107)&amp;MID("thstndrdth",MIN(9,2*RIGHT(DAY(C107))*(MOD(DAY(C107)-11,100)&gt;2)+1),2)&amp;","&amp;TEXT(C107," yyyy"))</f>
        <v>December 22nd,2018</v>
      </c>
      <c r="AB107" s="15" t="str">
        <f aca="true">IF(S107="","",DATEDIF(S107,TODAY(),"Y")&amp;" Tahun, "&amp;DATEDIF(S107,TODAY(),"YM")&amp;" Bulan, "&amp;DATEDIF(S107,TODAY(),"MD")&amp;" Hari")</f>
        <v>43 Tahun, 7 Bulan, 28 Hari</v>
      </c>
      <c r="AC107" s="18" t="n">
        <v>45658</v>
      </c>
      <c r="AD107" s="18" t="n">
        <v>46022</v>
      </c>
      <c r="AE107" s="18" t="s">
        <v>44</v>
      </c>
    </row>
    <row r="108" customFormat="false" ht="15" hidden="false" customHeight="true" outlineLevel="0" collapsed="false">
      <c r="A108" s="12" t="n">
        <v>645</v>
      </c>
      <c r="B108" s="13" t="s">
        <v>522</v>
      </c>
      <c r="C108" s="14" t="n">
        <v>43456</v>
      </c>
      <c r="D108" s="13" t="s">
        <v>404</v>
      </c>
      <c r="E108" s="15" t="s">
        <v>47</v>
      </c>
      <c r="F108" s="15" t="str">
        <f aca="false">IFERROR(__xludf.dummyfunction("XLOOKUP(AJ108,IMPORTRANGE(""1XaInW9DU9nz21V0tYIfzFQ0He9kVQ_JF2mCXgZ3hqFA"",""REKAP ALL 2026 - Andika!G:G""),IMPORTRANGE(""1XaInW9DU9nz21V0tYIfzFQ0He9kVQ_JF2mCXgZ3hqFA"",""REKAP ALL 2026 - Andika!F:F""),"""",0)"),"14009954018")</f>
        <v>14009954018</v>
      </c>
      <c r="G108" s="13" t="s">
        <v>523</v>
      </c>
      <c r="H108" s="13" t="s">
        <v>35</v>
      </c>
      <c r="I108" s="13" t="str">
        <f aca="false">IF(C108=J108,"NEW KONTRAK","RE-KONTRAK")</f>
        <v>RE-KONTRAK</v>
      </c>
      <c r="J108" s="16" t="n">
        <f aca="false" t="array" ref="J108:J108">IFERROR(INDEX(AC108:AE108,IF(COUNTA(AC108:AE108)=0,"",MAX((AC108:AE108&lt;&gt;"")*(COLUMN(AC108:AE108)-(COLUMN(AC108)))))-1),"")</f>
        <v>45658</v>
      </c>
      <c r="K108" s="16" t="n">
        <f aca="false" t="array" ref="K108:K108">IFERROR(INDEX(AC108:AE108,IF(COUNTA(AC108:AE108)=0,"",MAX((AC108:AE108&lt;&gt;"")*(COLUMN(AC108:AE108)-(COLUMN(AC108)-1))))-1),"")</f>
        <v>46022</v>
      </c>
      <c r="L108" s="17" t="str">
        <f aca="false" t="array" ref="L108:L108">IFERROR(INDEX(AC108:AE108,IF(COUNTA(AC108:AE108)=0,"",MAX((AC108:AE108&lt;&gt;"")*(COLUMN(AC108:AE108)-(COLUMN(AC108)-2))))-1),"")</f>
        <v>ARCHIVED</v>
      </c>
      <c r="M108" s="13" t="n">
        <f aca="true">K108-TODAY()</f>
        <v>-302</v>
      </c>
      <c r="N108" s="18" t="s">
        <v>36</v>
      </c>
      <c r="O108" s="13" t="s">
        <v>524</v>
      </c>
      <c r="P108" s="26" t="n">
        <v>5195401</v>
      </c>
      <c r="Q108" s="20" t="s">
        <v>525</v>
      </c>
      <c r="R108" s="13" t="s">
        <v>65</v>
      </c>
      <c r="S108" s="14" t="n">
        <v>28957</v>
      </c>
      <c r="T108" s="13" t="s">
        <v>40</v>
      </c>
      <c r="U108" s="13" t="s">
        <v>526</v>
      </c>
      <c r="V108" s="13" t="s">
        <v>42</v>
      </c>
      <c r="W108" s="13" t="s">
        <v>54</v>
      </c>
      <c r="X108" s="21" t="n">
        <v>85704880773</v>
      </c>
      <c r="Y108" s="22" t="str">
        <f aca="false">O108</f>
        <v>Logistik</v>
      </c>
      <c r="Z108" s="13" t="str">
        <f aca="false">IFERROR(__xludf.dummyfunction("if(BJ108="""","""",GOOGLETRANSLATE(BJ108,""auto"",""en""))"),"Logistics")</f>
        <v>Logistics</v>
      </c>
      <c r="AA108" s="23" t="str">
        <f aca="false">IF(C108="","", CHOOSE(MONTH(C108),"January","February","March","April","May","June","July","August","September","October","November","December")&amp;" "&amp;DAY(C108)&amp;MID("thstndrdth",MIN(9,2*RIGHT(DAY(C108))*(MOD(DAY(C108)-11,100)&gt;2)+1),2)&amp;","&amp;TEXT(C108," yyyy"))</f>
        <v>December 22nd,2018</v>
      </c>
      <c r="AB108" s="15" t="str">
        <f aca="true">IF(S108="","",DATEDIF(S108,TODAY(),"Y")&amp;" Tahun, "&amp;DATEDIF(S108,TODAY(),"YM")&amp;" Bulan, "&amp;DATEDIF(S108,TODAY(),"MD")&amp;" Hari")</f>
        <v>47 Tahun, 6 Bulan, 17 Hari</v>
      </c>
      <c r="AC108" s="18" t="n">
        <v>45658</v>
      </c>
      <c r="AD108" s="18" t="n">
        <v>46022</v>
      </c>
      <c r="AE108" s="18" t="s">
        <v>44</v>
      </c>
    </row>
    <row r="109" customFormat="false" ht="15" hidden="false" customHeight="true" outlineLevel="0" collapsed="false">
      <c r="A109" s="12" t="n">
        <v>646</v>
      </c>
      <c r="B109" s="13" t="s">
        <v>527</v>
      </c>
      <c r="C109" s="14" t="n">
        <v>42756</v>
      </c>
      <c r="D109" s="13" t="s">
        <v>404</v>
      </c>
      <c r="E109" s="15" t="s">
        <v>47</v>
      </c>
      <c r="F109" s="15" t="str">
        <f aca="false">IFERROR(__xludf.dummyfunction("XLOOKUP(AJ109,IMPORTRANGE(""1XaInW9DU9nz21V0tYIfzFQ0He9kVQ_JF2mCXgZ3hqFA"",""REKAP ALL 2026 - Andika!G:G""),IMPORTRANGE(""1XaInW9DU9nz21V0tYIfzFQ0He9kVQ_JF2mCXgZ3hqFA"",""REKAP ALL 2026 - Andika!F:F""),"""",0)"),"12007062628")</f>
        <v>12007062628</v>
      </c>
      <c r="G109" s="13" t="s">
        <v>528</v>
      </c>
      <c r="H109" s="13" t="s">
        <v>35</v>
      </c>
      <c r="I109" s="13" t="str">
        <f aca="false">IF(C109=J109,"NEW KONTRAK","RE-KONTRAK")</f>
        <v>RE-KONTRAK</v>
      </c>
      <c r="J109" s="16" t="n">
        <f aca="false" t="array" ref="J109:J109">IFERROR(INDEX(AC109:AE109,IF(COUNTA(AC109:AE109)=0,"",MAX((AC109:AE109&lt;&gt;"")*(COLUMN(AC109:AE109)-(COLUMN(AC109)))))-1),"")</f>
        <v>45658</v>
      </c>
      <c r="K109" s="16" t="n">
        <f aca="false" t="array" ref="K109:K109">IFERROR(INDEX(AC109:AE109,IF(COUNTA(AC109:AE109)=0,"",MAX((AC109:AE109&lt;&gt;"")*(COLUMN(AC109:AE109)-(COLUMN(AC109)-1))))-1),"")</f>
        <v>46022</v>
      </c>
      <c r="L109" s="17" t="str">
        <f aca="false" t="array" ref="L109:L109">IFERROR(INDEX(AC109:AE109,IF(COUNTA(AC109:AE109)=0,"",MAX((AC109:AE109&lt;&gt;"")*(COLUMN(AC109:AE109)-(COLUMN(AC109)-2))))-1),"")</f>
        <v>ARCHIVED</v>
      </c>
      <c r="M109" s="13" t="n">
        <f aca="true">K109-TODAY()</f>
        <v>-302</v>
      </c>
      <c r="N109" s="18" t="s">
        <v>36</v>
      </c>
      <c r="O109" s="13" t="s">
        <v>479</v>
      </c>
      <c r="P109" s="26" t="n">
        <v>5195401</v>
      </c>
      <c r="Q109" s="20" t="s">
        <v>529</v>
      </c>
      <c r="R109" s="13" t="s">
        <v>78</v>
      </c>
      <c r="S109" s="14" t="n">
        <v>32988</v>
      </c>
      <c r="T109" s="13" t="s">
        <v>40</v>
      </c>
      <c r="U109" s="13" t="s">
        <v>530</v>
      </c>
      <c r="V109" s="13" t="s">
        <v>42</v>
      </c>
      <c r="W109" s="13" t="s">
        <v>43</v>
      </c>
      <c r="X109" s="21" t="n">
        <v>85895558520</v>
      </c>
      <c r="Y109" s="22" t="str">
        <f aca="false">O109</f>
        <v>Bottling Rigid (BT2)</v>
      </c>
      <c r="Z109" s="13" t="str">
        <f aca="false">IFERROR(__xludf.dummyfunction("if(BJ109="""","""",GOOGLETRANSLATE(BJ109,""auto"",""en""))"),"Bottling Rigid (BT2)")</f>
        <v>Bottling Rigid (BT2)</v>
      </c>
      <c r="AA109" s="23" t="str">
        <f aca="false">IF(C109="","", CHOOSE(MONTH(C109),"January","February","March","April","May","June","July","August","September","October","November","December")&amp;" "&amp;DAY(C109)&amp;MID("thstndrdth",MIN(9,2*RIGHT(DAY(C109))*(MOD(DAY(C109)-11,100)&gt;2)+1),2)&amp;","&amp;TEXT(C109," yyyy"))</f>
        <v>January 21st,2017</v>
      </c>
      <c r="AB109" s="15" t="str">
        <f aca="true">IF(S109="","",DATEDIF(S109,TODAY(),"Y")&amp;" Tahun, "&amp;DATEDIF(S109,TODAY(),"YM")&amp;" Bulan, "&amp;DATEDIF(S109,TODAY(),"MD")&amp;" Hari")</f>
        <v>36 Tahun, 6 Bulan, 4 Hari</v>
      </c>
      <c r="AC109" s="18" t="n">
        <v>45658</v>
      </c>
      <c r="AD109" s="18" t="n">
        <v>46022</v>
      </c>
      <c r="AE109" s="18" t="s">
        <v>44</v>
      </c>
    </row>
    <row r="110" customFormat="false" ht="15" hidden="false" customHeight="true" outlineLevel="0" collapsed="false">
      <c r="A110" s="12" t="n">
        <v>648</v>
      </c>
      <c r="B110" s="13" t="s">
        <v>531</v>
      </c>
      <c r="C110" s="14" t="n">
        <v>43456</v>
      </c>
      <c r="D110" s="13" t="s">
        <v>404</v>
      </c>
      <c r="E110" s="15" t="s">
        <v>47</v>
      </c>
      <c r="F110" s="15" t="str">
        <f aca="false">IFERROR(__xludf.dummyfunction("XLOOKUP(AJ110,IMPORTRANGE(""1XaInW9DU9nz21V0tYIfzFQ0He9kVQ_JF2mCXgZ3hqFA"",""REKAP ALL 2026 - Andika!G:G""),IMPORTRANGE(""1XaInW9DU9nz21V0tYIfzFQ0He9kVQ_JF2mCXgZ3hqFA"",""REKAP ALL 2026 - Andika!F:F""),"""",0)"),"15033312602")</f>
        <v>15033312602</v>
      </c>
      <c r="G110" s="13" t="s">
        <v>532</v>
      </c>
      <c r="H110" s="13" t="s">
        <v>35</v>
      </c>
      <c r="I110" s="13" t="str">
        <f aca="false">IF(C110=J110,"NEW KONTRAK","RE-KONTRAK")</f>
        <v>RE-KONTRAK</v>
      </c>
      <c r="J110" s="16" t="n">
        <f aca="false" t="array" ref="J110:J110">IFERROR(INDEX(AC110:AE110,IF(COUNTA(AC110:AE110)=0,"",MAX((AC110:AE110&lt;&gt;"")*(COLUMN(AC110:AE110)-(COLUMN(AC110)))))-1),"")</f>
        <v>45658</v>
      </c>
      <c r="K110" s="16" t="n">
        <f aca="false" t="array" ref="K110:K110">IFERROR(INDEX(AC110:AE110,IF(COUNTA(AC110:AE110)=0,"",MAX((AC110:AE110&lt;&gt;"")*(COLUMN(AC110:AE110)-(COLUMN(AC110)-1))))-1),"")</f>
        <v>46022</v>
      </c>
      <c r="L110" s="17" t="str">
        <f aca="false" t="array" ref="L110:L110">IFERROR(INDEX(AC110:AE110,IF(COUNTA(AC110:AE110)=0,"",MAX((AC110:AE110&lt;&gt;"")*(COLUMN(AC110:AE110)-(COLUMN(AC110)-2))))-1),"")</f>
        <v>ARCHIVED</v>
      </c>
      <c r="M110" s="13" t="n">
        <f aca="true">K110-TODAY()</f>
        <v>-302</v>
      </c>
      <c r="N110" s="18" t="s">
        <v>36</v>
      </c>
      <c r="O110" s="13" t="s">
        <v>411</v>
      </c>
      <c r="P110" s="26" t="n">
        <v>5195401</v>
      </c>
      <c r="Q110" s="20" t="s">
        <v>533</v>
      </c>
      <c r="R110" s="13" t="s">
        <v>78</v>
      </c>
      <c r="S110" s="14" t="n">
        <v>35002</v>
      </c>
      <c r="T110" s="13" t="s">
        <v>40</v>
      </c>
      <c r="U110" s="13" t="s">
        <v>534</v>
      </c>
      <c r="V110" s="13" t="s">
        <v>42</v>
      </c>
      <c r="W110" s="13" t="s">
        <v>43</v>
      </c>
      <c r="X110" s="21" t="n">
        <v>85736603523</v>
      </c>
      <c r="Y110" s="22" t="str">
        <f aca="false">O110</f>
        <v>Dry Fact</v>
      </c>
      <c r="Z110" s="13" t="str">
        <f aca="false">IFERROR(__xludf.dummyfunction("if(BJ110="""","""",GOOGLETRANSLATE(BJ110,""auto"",""en""))"),"Dry Fact")</f>
        <v>Dry Fact</v>
      </c>
      <c r="AA110" s="23" t="str">
        <f aca="false">IF(C110="","", CHOOSE(MONTH(C110),"January","February","March","April","May","June","July","August","September","October","November","December")&amp;" "&amp;DAY(C110)&amp;MID("thstndrdth",MIN(9,2*RIGHT(DAY(C110))*(MOD(DAY(C110)-11,100)&gt;2)+1),2)&amp;","&amp;TEXT(C110," yyyy"))</f>
        <v>December 22nd,2018</v>
      </c>
      <c r="AB110" s="15" t="str">
        <f aca="true">IF(S110="","",DATEDIF(S110,TODAY(),"Y")&amp;" Tahun, "&amp;DATEDIF(S110,TODAY(),"YM")&amp;" Bulan, "&amp;DATEDIF(S110,TODAY(),"MD")&amp;" Hari")</f>
        <v>30 Tahun, 11 Bulan, 29 Hari</v>
      </c>
      <c r="AC110" s="18" t="n">
        <v>45658</v>
      </c>
      <c r="AD110" s="18" t="n">
        <v>46022</v>
      </c>
      <c r="AE110" s="18" t="s">
        <v>44</v>
      </c>
    </row>
    <row r="111" customFormat="false" ht="15" hidden="false" customHeight="true" outlineLevel="0" collapsed="false">
      <c r="A111" s="12" t="n">
        <v>649</v>
      </c>
      <c r="B111" s="13" t="s">
        <v>535</v>
      </c>
      <c r="C111" s="14" t="n">
        <v>43426</v>
      </c>
      <c r="D111" s="13" t="s">
        <v>404</v>
      </c>
      <c r="E111" s="15" t="s">
        <v>536</v>
      </c>
      <c r="F111" s="24" t="s">
        <v>537</v>
      </c>
      <c r="G111" s="13" t="s">
        <v>538</v>
      </c>
      <c r="H111" s="13" t="s">
        <v>35</v>
      </c>
      <c r="I111" s="13" t="str">
        <f aca="false">IF(C111=J111,"NEW KONTRAK","RE-KONTRAK")</f>
        <v>RE-KONTRAK</v>
      </c>
      <c r="J111" s="16" t="n">
        <f aca="false" t="array" ref="J111:J111">IFERROR(INDEX(AC111:AE111,IF(COUNTA(AC111:AE111)=0,"",MAX((AC111:AE111&lt;&gt;"")*(COLUMN(AC111:AE111)-(COLUMN(AC111)))))-1),"")</f>
        <v>45658</v>
      </c>
      <c r="K111" s="16" t="n">
        <f aca="false" t="array" ref="K111:K111">IFERROR(INDEX(AC111:AE111,IF(COUNTA(AC111:AE111)=0,"",MAX((AC111:AE111&lt;&gt;"")*(COLUMN(AC111:AE111)-(COLUMN(AC111)-1))))-1),"")</f>
        <v>46022</v>
      </c>
      <c r="L111" s="17" t="str">
        <f aca="false" t="array" ref="L111:L111">IFERROR(INDEX(AC111:AE111,IF(COUNTA(AC111:AE111)=0,"",MAX((AC111:AE111&lt;&gt;"")*(COLUMN(AC111:AE111)-(COLUMN(AC111)-2))))-1),"")</f>
        <v>ARCHIVED</v>
      </c>
      <c r="M111" s="13" t="n">
        <f aca="true">K111-TODAY()</f>
        <v>-302</v>
      </c>
      <c r="N111" s="18" t="s">
        <v>36</v>
      </c>
      <c r="O111" s="13" t="s">
        <v>539</v>
      </c>
      <c r="P111" s="27" t="n">
        <v>5195401</v>
      </c>
      <c r="Q111" s="20" t="s">
        <v>540</v>
      </c>
      <c r="R111" s="13" t="s">
        <v>73</v>
      </c>
      <c r="S111" s="14" t="n">
        <v>29587</v>
      </c>
      <c r="T111" s="13" t="s">
        <v>40</v>
      </c>
      <c r="U111" s="13" t="s">
        <v>541</v>
      </c>
      <c r="V111" s="13" t="s">
        <v>42</v>
      </c>
      <c r="W111" s="13" t="s">
        <v>54</v>
      </c>
      <c r="X111" s="21" t="n">
        <v>81554250708</v>
      </c>
      <c r="Y111" s="22" t="str">
        <f aca="false">O111</f>
        <v>Bongkaran Minyak</v>
      </c>
      <c r="Z111" s="13" t="str">
        <f aca="false">IFERROR(__xludf.dummyfunction("if(BJ111="""","""",GOOGLETRANSLATE(BJ111,""auto"",""en""))"),"Oil Unloading")</f>
        <v>Oil Unloading</v>
      </c>
      <c r="AA111" s="23" t="str">
        <f aca="false">IF(C111="","", CHOOSE(MONTH(C111),"January","February","March","April","May","June","July","August","September","October","November","December")&amp;" "&amp;DAY(C111)&amp;MID("thstndrdth",MIN(9,2*RIGHT(DAY(C111))*(MOD(DAY(C111)-11,100)&gt;2)+1),2)&amp;","&amp;TEXT(C111," yyyy"))</f>
        <v>November 22nd,2018</v>
      </c>
      <c r="AB111" s="15" t="str">
        <f aca="true">IF(S111="","",DATEDIF(S111,TODAY(),"Y")&amp;" Tahun, "&amp;DATEDIF(S111,TODAY(),"YM")&amp;" Bulan, "&amp;DATEDIF(S111,TODAY(),"MD")&amp;" Hari")</f>
        <v>45 Tahun, 9 Bulan, 28 Hari</v>
      </c>
      <c r="AC111" s="18" t="n">
        <v>45658</v>
      </c>
      <c r="AD111" s="18" t="n">
        <v>46022</v>
      </c>
      <c r="AE111" s="18" t="s">
        <v>44</v>
      </c>
    </row>
    <row r="112" customFormat="false" ht="15" hidden="false" customHeight="true" outlineLevel="0" collapsed="false">
      <c r="A112" s="12" t="n">
        <v>650</v>
      </c>
      <c r="B112" s="13" t="s">
        <v>542</v>
      </c>
      <c r="C112" s="14" t="n">
        <v>43456</v>
      </c>
      <c r="D112" s="13" t="s">
        <v>404</v>
      </c>
      <c r="E112" s="15" t="s">
        <v>47</v>
      </c>
      <c r="F112" s="15" t="str">
        <f aca="false">IFERROR(__xludf.dummyfunction("XLOOKUP(AJ112,IMPORTRANGE(""1XaInW9DU9nz21V0tYIfzFQ0He9kVQ_JF2mCXgZ3hqFA"",""REKAP ALL 2026 - Andika!G:G""),IMPORTRANGE(""1XaInW9DU9nz21V0tYIfzFQ0He9kVQ_JF2mCXgZ3hqFA"",""REKAP ALL 2026 - Andika!F:F""),"""",0)"),"12018282173")</f>
        <v>12018282173</v>
      </c>
      <c r="G112" s="13" t="s">
        <v>543</v>
      </c>
      <c r="H112" s="13" t="s">
        <v>35</v>
      </c>
      <c r="I112" s="13" t="str">
        <f aca="false">IF(C112=J112,"NEW KONTRAK","RE-KONTRAK")</f>
        <v>RE-KONTRAK</v>
      </c>
      <c r="J112" s="16" t="n">
        <f aca="false" t="array" ref="J112:J112">IFERROR(INDEX(AC112:AE112,IF(COUNTA(AC112:AE112)=0,"",MAX((AC112:AE112&lt;&gt;"")*(COLUMN(AC112:AE112)-(COLUMN(AC112)))))-1),"")</f>
        <v>45658</v>
      </c>
      <c r="K112" s="16" t="n">
        <f aca="false" t="array" ref="K112:K112">IFERROR(INDEX(AC112:AE112,IF(COUNTA(AC112:AE112)=0,"",MAX((AC112:AE112&lt;&gt;"")*(COLUMN(AC112:AE112)-(COLUMN(AC112)-1))))-1),"")</f>
        <v>46022</v>
      </c>
      <c r="L112" s="17" t="str">
        <f aca="false" t="array" ref="L112:L112">IFERROR(INDEX(AC112:AE112,IF(COUNTA(AC112:AE112)=0,"",MAX((AC112:AE112&lt;&gt;"")*(COLUMN(AC112:AE112)-(COLUMN(AC112)-2))))-1),"")</f>
        <v>ARCHIVED</v>
      </c>
      <c r="M112" s="13" t="n">
        <f aca="true">K112-TODAY()</f>
        <v>-302</v>
      </c>
      <c r="N112" s="18" t="s">
        <v>36</v>
      </c>
      <c r="O112" s="13" t="s">
        <v>411</v>
      </c>
      <c r="P112" s="26" t="n">
        <v>5195401</v>
      </c>
      <c r="Q112" s="20" t="s">
        <v>544</v>
      </c>
      <c r="R112" s="13" t="s">
        <v>65</v>
      </c>
      <c r="S112" s="14" t="n">
        <v>31168</v>
      </c>
      <c r="T112" s="13" t="s">
        <v>40</v>
      </c>
      <c r="U112" s="13" t="s">
        <v>545</v>
      </c>
      <c r="V112" s="13" t="s">
        <v>42</v>
      </c>
      <c r="W112" s="13" t="s">
        <v>43</v>
      </c>
      <c r="X112" s="21" t="n">
        <v>81330124972</v>
      </c>
      <c r="Y112" s="22" t="str">
        <f aca="false">O112</f>
        <v>Dry Fact</v>
      </c>
      <c r="Z112" s="13" t="str">
        <f aca="false">IFERROR(__xludf.dummyfunction("if(BJ112="""","""",GOOGLETRANSLATE(BJ112,""auto"",""en""))"),"Dry Fact")</f>
        <v>Dry Fact</v>
      </c>
      <c r="AA112" s="23" t="str">
        <f aca="false">IF(C112="","", CHOOSE(MONTH(C112),"January","February","March","April","May","June","July","August","September","October","November","December")&amp;" "&amp;DAY(C112)&amp;MID("thstndrdth",MIN(9,2*RIGHT(DAY(C112))*(MOD(DAY(C112)-11,100)&gt;2)+1),2)&amp;","&amp;TEXT(C112," yyyy"))</f>
        <v>December 22nd,2018</v>
      </c>
      <c r="AB112" s="15" t="str">
        <f aca="true">IF(S112="","",DATEDIF(S112,TODAY(),"Y")&amp;" Tahun, "&amp;DATEDIF(S112,TODAY(),"YM")&amp;" Bulan, "&amp;DATEDIF(S112,TODAY(),"MD")&amp;" Hari")</f>
        <v>41 Tahun, 5 Bulan, 28 Hari</v>
      </c>
      <c r="AC112" s="18" t="n">
        <v>45658</v>
      </c>
      <c r="AD112" s="18" t="n">
        <v>46022</v>
      </c>
      <c r="AE112" s="18" t="s">
        <v>44</v>
      </c>
    </row>
    <row r="113" customFormat="false" ht="15" hidden="false" customHeight="true" outlineLevel="0" collapsed="false">
      <c r="A113" s="12" t="n">
        <v>651</v>
      </c>
      <c r="B113" s="13" t="s">
        <v>546</v>
      </c>
      <c r="C113" s="14" t="n">
        <v>42756</v>
      </c>
      <c r="D113" s="13" t="s">
        <v>404</v>
      </c>
      <c r="E113" s="15" t="s">
        <v>47</v>
      </c>
      <c r="F113" s="15" t="str">
        <f aca="false">IFERROR(__xludf.dummyfunction("XLOOKUP(AJ113,IMPORTRANGE(""1XaInW9DU9nz21V0tYIfzFQ0He9kVQ_JF2mCXgZ3hqFA"",""REKAP ALL 2026 - Andika!G:G""),IMPORTRANGE(""1XaInW9DU9nz21V0tYIfzFQ0He9kVQ_JF2mCXgZ3hqFA"",""REKAP ALL 2026 - Andika!F:F""),"""",0)"),"10027917631")</f>
        <v>10027917631</v>
      </c>
      <c r="G113" s="13" t="s">
        <v>547</v>
      </c>
      <c r="H113" s="13" t="s">
        <v>35</v>
      </c>
      <c r="I113" s="13" t="str">
        <f aca="false">IF(C113=J113,"NEW KONTRAK","RE-KONTRAK")</f>
        <v>RE-KONTRAK</v>
      </c>
      <c r="J113" s="16" t="n">
        <f aca="false" t="array" ref="J113:J113">IFERROR(INDEX(AC113:AE113,IF(COUNTA(AC113:AE113)=0,"",MAX((AC113:AE113&lt;&gt;"")*(COLUMN(AC113:AE113)-(COLUMN(AC113)))))-1),"")</f>
        <v>45658</v>
      </c>
      <c r="K113" s="16" t="n">
        <f aca="false" t="array" ref="K113:K113">IFERROR(INDEX(AC113:AE113,IF(COUNTA(AC113:AE113)=0,"",MAX((AC113:AE113&lt;&gt;"")*(COLUMN(AC113:AE113)-(COLUMN(AC113)-1))))-1),"")</f>
        <v>46022</v>
      </c>
      <c r="L113" s="17" t="str">
        <f aca="false" t="array" ref="L113:L113">IFERROR(INDEX(AC113:AE113,IF(COUNTA(AC113:AE113)=0,"",MAX((AC113:AE113&lt;&gt;"")*(COLUMN(AC113:AE113)-(COLUMN(AC113)-2))))-1),"")</f>
        <v>ARCHIVED</v>
      </c>
      <c r="M113" s="13" t="n">
        <f aca="true">K113-TODAY()</f>
        <v>-302</v>
      </c>
      <c r="N113" s="18" t="s">
        <v>36</v>
      </c>
      <c r="O113" s="13" t="s">
        <v>479</v>
      </c>
      <c r="P113" s="26" t="n">
        <v>5195401</v>
      </c>
      <c r="Q113" s="20" t="s">
        <v>548</v>
      </c>
      <c r="R113" s="13" t="s">
        <v>65</v>
      </c>
      <c r="S113" s="14" t="n">
        <v>32882</v>
      </c>
      <c r="T113" s="13" t="s">
        <v>40</v>
      </c>
      <c r="U113" s="13" t="s">
        <v>549</v>
      </c>
      <c r="V113" s="13" t="s">
        <v>42</v>
      </c>
      <c r="W113" s="13" t="s">
        <v>43</v>
      </c>
      <c r="X113" s="21" t="n">
        <v>82132431567</v>
      </c>
      <c r="Y113" s="22" t="str">
        <f aca="false">O113</f>
        <v>Bottling Rigid (BT2)</v>
      </c>
      <c r="Z113" s="13" t="str">
        <f aca="false">IFERROR(__xludf.dummyfunction("if(BJ113="""","""",GOOGLETRANSLATE(BJ113,""auto"",""en""))"),"Bottling Rigid (BT2)")</f>
        <v>Bottling Rigid (BT2)</v>
      </c>
      <c r="AA113" s="23" t="str">
        <f aca="false">IF(C113="","", CHOOSE(MONTH(C113),"January","February","March","April","May","June","July","August","September","October","November","December")&amp;" "&amp;DAY(C113)&amp;MID("thstndrdth",MIN(9,2*RIGHT(DAY(C113))*(MOD(DAY(C113)-11,100)&gt;2)+1),2)&amp;","&amp;TEXT(C113," yyyy"))</f>
        <v>January 21st,2017</v>
      </c>
      <c r="AB113" s="15" t="str">
        <f aca="true">IF(S113="","",DATEDIF(S113,TODAY(),"Y")&amp;" Tahun, "&amp;DATEDIF(S113,TODAY(),"YM")&amp;" Bulan, "&amp;DATEDIF(S113,TODAY(),"MD")&amp;" Hari")</f>
        <v>36 Tahun, 9 Bulan, 20 Hari</v>
      </c>
      <c r="AC113" s="18" t="n">
        <v>45658</v>
      </c>
      <c r="AD113" s="18" t="n">
        <v>46022</v>
      </c>
      <c r="AE113" s="18" t="s">
        <v>44</v>
      </c>
    </row>
    <row r="114" customFormat="false" ht="15" hidden="false" customHeight="true" outlineLevel="0" collapsed="false">
      <c r="A114" s="12" t="n">
        <v>654</v>
      </c>
      <c r="B114" s="13" t="s">
        <v>550</v>
      </c>
      <c r="C114" s="14" t="n">
        <v>43456</v>
      </c>
      <c r="D114" s="13" t="s">
        <v>404</v>
      </c>
      <c r="E114" s="15" t="s">
        <v>47</v>
      </c>
      <c r="F114" s="15" t="str">
        <f aca="false">IFERROR(__xludf.dummyfunction("XLOOKUP(AJ114,IMPORTRANGE(""1XaInW9DU9nz21V0tYIfzFQ0He9kVQ_JF2mCXgZ3hqFA"",""REKAP ALL 2026 - Andika!G:G""),IMPORTRANGE(""1XaInW9DU9nz21V0tYIfzFQ0He9kVQ_JF2mCXgZ3hqFA"",""REKAP ALL 2026 - Andika!F:F""),"""",0)"),"13010122292")</f>
        <v>13010122292</v>
      </c>
      <c r="G114" s="13" t="s">
        <v>551</v>
      </c>
      <c r="H114" s="13" t="s">
        <v>35</v>
      </c>
      <c r="I114" s="13" t="str">
        <f aca="false">IF(C114=J114,"NEW KONTRAK","RE-KONTRAK")</f>
        <v>RE-KONTRAK</v>
      </c>
      <c r="J114" s="16" t="n">
        <f aca="false" t="array" ref="J114:J114">IFERROR(INDEX(AC114:AE114,IF(COUNTA(AC114:AE114)=0,"",MAX((AC114:AE114&lt;&gt;"")*(COLUMN(AC114:AE114)-(COLUMN(AC114)))))-1),"")</f>
        <v>45658</v>
      </c>
      <c r="K114" s="16" t="n">
        <f aca="false" t="array" ref="K114:K114">IFERROR(INDEX(AC114:AE114,IF(COUNTA(AC114:AE114)=0,"",MAX((AC114:AE114&lt;&gt;"")*(COLUMN(AC114:AE114)-(COLUMN(AC114)-1))))-1),"")</f>
        <v>46022</v>
      </c>
      <c r="L114" s="17" t="str">
        <f aca="false" t="array" ref="L114:L114">IFERROR(INDEX(AC114:AE114,IF(COUNTA(AC114:AE114)=0,"",MAX((AC114:AE114&lt;&gt;"")*(COLUMN(AC114:AE114)-(COLUMN(AC114)-2))))-1),"")</f>
        <v>ARCHIVED</v>
      </c>
      <c r="M114" s="13" t="n">
        <f aca="true">K114-TODAY()</f>
        <v>-302</v>
      </c>
      <c r="N114" s="18" t="s">
        <v>36</v>
      </c>
      <c r="O114" s="13" t="s">
        <v>406</v>
      </c>
      <c r="P114" s="26" t="n">
        <v>5195401</v>
      </c>
      <c r="Q114" s="20" t="s">
        <v>552</v>
      </c>
      <c r="R114" s="13" t="s">
        <v>553</v>
      </c>
      <c r="S114" s="14" t="n">
        <v>31330</v>
      </c>
      <c r="T114" s="13" t="s">
        <v>40</v>
      </c>
      <c r="U114" s="13" t="s">
        <v>554</v>
      </c>
      <c r="V114" s="13" t="s">
        <v>42</v>
      </c>
      <c r="W114" s="13" t="s">
        <v>54</v>
      </c>
      <c r="X114" s="21" t="n">
        <v>82139336434</v>
      </c>
      <c r="Y114" s="22" t="str">
        <f aca="false">O114</f>
        <v>Utility</v>
      </c>
      <c r="Z114" s="13" t="str">
        <f aca="false">IFERROR(__xludf.dummyfunction("if(BJ114="""","""",GOOGLETRANSLATE(BJ114,""auto"",""en""))"),"Utility")</f>
        <v>Utility</v>
      </c>
      <c r="AA114" s="23" t="str">
        <f aca="false">IF(C114="","", CHOOSE(MONTH(C114),"January","February","March","April","May","June","July","August","September","October","November","December")&amp;" "&amp;DAY(C114)&amp;MID("thstndrdth",MIN(9,2*RIGHT(DAY(C114))*(MOD(DAY(C114)-11,100)&gt;2)+1),2)&amp;","&amp;TEXT(C114," yyyy"))</f>
        <v>December 22nd,2018</v>
      </c>
      <c r="AB114" s="15" t="str">
        <f aca="true">IF(S114="","",DATEDIF(S114,TODAY(),"Y")&amp;" Tahun, "&amp;DATEDIF(S114,TODAY(),"YM")&amp;" Bulan, "&amp;DATEDIF(S114,TODAY(),"MD")&amp;" Hari")</f>
        <v>41 Tahun, 0 Bulan, 19 Hari</v>
      </c>
      <c r="AC114" s="18" t="n">
        <v>45658</v>
      </c>
      <c r="AD114" s="18" t="n">
        <v>46022</v>
      </c>
      <c r="AE114" s="18" t="s">
        <v>44</v>
      </c>
    </row>
    <row r="115" customFormat="false" ht="15" hidden="false" customHeight="true" outlineLevel="0" collapsed="false">
      <c r="A115" s="12" t="n">
        <v>655</v>
      </c>
      <c r="B115" s="13" t="s">
        <v>555</v>
      </c>
      <c r="C115" s="14" t="n">
        <v>43456</v>
      </c>
      <c r="D115" s="13" t="s">
        <v>404</v>
      </c>
      <c r="E115" s="15" t="s">
        <v>47</v>
      </c>
      <c r="F115" s="15" t="str">
        <f aca="false">IFERROR(__xludf.dummyfunction("XLOOKUP(AJ115,IMPORTRANGE(""1XaInW9DU9nz21V0tYIfzFQ0He9kVQ_JF2mCXgZ3hqFA"",""REKAP ALL 2026 - Andika!G:G""),IMPORTRANGE(""1XaInW9DU9nz21V0tYIfzFQ0He9kVQ_JF2mCXgZ3hqFA"",""REKAP ALL 2026 - Andika!F:F""),"""",0)"),"14031476360")</f>
        <v>14031476360</v>
      </c>
      <c r="G115" s="13" t="s">
        <v>556</v>
      </c>
      <c r="H115" s="13" t="s">
        <v>35</v>
      </c>
      <c r="I115" s="13" t="str">
        <f aca="false">IF(C115=J115,"NEW KONTRAK","RE-KONTRAK")</f>
        <v>RE-KONTRAK</v>
      </c>
      <c r="J115" s="16" t="n">
        <f aca="false" t="array" ref="J115:J115">IFERROR(INDEX(AC115:AE115,IF(COUNTA(AC115:AE115)=0,"",MAX((AC115:AE115&lt;&gt;"")*(COLUMN(AC115:AE115)-(COLUMN(AC115)))))-1),"")</f>
        <v>45658</v>
      </c>
      <c r="K115" s="16" t="n">
        <f aca="false" t="array" ref="K115:K115">IFERROR(INDEX(AC115:AE115,IF(COUNTA(AC115:AE115)=0,"",MAX((AC115:AE115&lt;&gt;"")*(COLUMN(AC115:AE115)-(COLUMN(AC115)-1))))-1),"")</f>
        <v>46022</v>
      </c>
      <c r="L115" s="17" t="str">
        <f aca="false" t="array" ref="L115:L115">IFERROR(INDEX(AC115:AE115,IF(COUNTA(AC115:AE115)=0,"",MAX((AC115:AE115&lt;&gt;"")*(COLUMN(AC115:AE115)-(COLUMN(AC115)-2))))-1),"")</f>
        <v>ARCHIVED</v>
      </c>
      <c r="M115" s="13" t="n">
        <f aca="true">K115-TODAY()</f>
        <v>-302</v>
      </c>
      <c r="N115" s="18" t="s">
        <v>36</v>
      </c>
      <c r="O115" s="13" t="s">
        <v>420</v>
      </c>
      <c r="P115" s="26" t="n">
        <v>5195401</v>
      </c>
      <c r="Q115" s="20" t="s">
        <v>557</v>
      </c>
      <c r="R115" s="13" t="s">
        <v>65</v>
      </c>
      <c r="S115" s="14" t="n">
        <v>33703</v>
      </c>
      <c r="T115" s="13" t="s">
        <v>40</v>
      </c>
      <c r="U115" s="13" t="s">
        <v>558</v>
      </c>
      <c r="V115" s="13" t="s">
        <v>42</v>
      </c>
      <c r="W115" s="13" t="s">
        <v>54</v>
      </c>
      <c r="X115" s="21" t="n">
        <v>81359986755</v>
      </c>
      <c r="Y115" s="22" t="str">
        <f aca="false">O115</f>
        <v>Gudang Bahan Penolong &amp; Spareparts</v>
      </c>
      <c r="Z115" s="13" t="str">
        <f aca="false">IFERROR(__xludf.dummyfunction("if(BJ115="""","""",GOOGLETRANSLATE(BJ115,""auto"",""en""))"),"Auxiliary Materials &amp; Spareparts Warehouse")</f>
        <v>Auxiliary Materials &amp; Spareparts Warehouse</v>
      </c>
      <c r="AA115" s="23" t="str">
        <f aca="false">IF(C115="","", CHOOSE(MONTH(C115),"January","February","March","April","May","June","July","August","September","October","November","December")&amp;" "&amp;DAY(C115)&amp;MID("thstndrdth",MIN(9,2*RIGHT(DAY(C115))*(MOD(DAY(C115)-11,100)&gt;2)+1),2)&amp;","&amp;TEXT(C115," yyyy"))</f>
        <v>December 22nd,2018</v>
      </c>
      <c r="AB115" s="15" t="str">
        <f aca="true">IF(S115="","",DATEDIF(S115,TODAY(),"Y")&amp;" Tahun, "&amp;DATEDIF(S115,TODAY(),"YM")&amp;" Bulan, "&amp;DATEDIF(S115,TODAY(),"MD")&amp;" Hari")</f>
        <v>34 Tahun, 6 Bulan, 20 Hari</v>
      </c>
      <c r="AC115" s="18" t="n">
        <v>45658</v>
      </c>
      <c r="AD115" s="18" t="n">
        <v>46022</v>
      </c>
      <c r="AE115" s="18" t="s">
        <v>44</v>
      </c>
    </row>
    <row r="116" customFormat="false" ht="15" hidden="false" customHeight="true" outlineLevel="0" collapsed="false">
      <c r="A116" s="12" t="n">
        <v>656</v>
      </c>
      <c r="B116" s="13" t="s">
        <v>559</v>
      </c>
      <c r="C116" s="14" t="n">
        <v>43456</v>
      </c>
      <c r="D116" s="13" t="s">
        <v>404</v>
      </c>
      <c r="E116" s="15" t="s">
        <v>47</v>
      </c>
      <c r="F116" s="15" t="str">
        <f aca="false">IFERROR(__xludf.dummyfunction("XLOOKUP(AJ116,IMPORTRANGE(""1XaInW9DU9nz21V0tYIfzFQ0He9kVQ_JF2mCXgZ3hqFA"",""REKAP ALL 2026 - Andika!G:G""),IMPORTRANGE(""1XaInW9DU9nz21V0tYIfzFQ0He9kVQ_JF2mCXgZ3hqFA"",""REKAP ALL 2026 - Andika!F:F""),"""",0)"),"12031471829")</f>
        <v>12031471829</v>
      </c>
      <c r="G116" s="13" t="s">
        <v>560</v>
      </c>
      <c r="H116" s="13" t="s">
        <v>35</v>
      </c>
      <c r="I116" s="13" t="str">
        <f aca="false">IF(C116=J116,"NEW KONTRAK","RE-KONTRAK")</f>
        <v>RE-KONTRAK</v>
      </c>
      <c r="J116" s="16" t="n">
        <f aca="false" t="array" ref="J116:J116">IFERROR(INDEX(AC116:AE116,IF(COUNTA(AC116:AE116)=0,"",MAX((AC116:AE116&lt;&gt;"")*(COLUMN(AC116:AE116)-(COLUMN(AC116)))))-1),"")</f>
        <v>45658</v>
      </c>
      <c r="K116" s="16" t="n">
        <f aca="false" t="array" ref="K116:K116">IFERROR(INDEX(AC116:AE116,IF(COUNTA(AC116:AE116)=0,"",MAX((AC116:AE116&lt;&gt;"")*(COLUMN(AC116:AE116)-(COLUMN(AC116)-1))))-1),"")</f>
        <v>46022</v>
      </c>
      <c r="L116" s="17" t="str">
        <f aca="false" t="array" ref="L116:L116">IFERROR(INDEX(AC116:AE116,IF(COUNTA(AC116:AE116)=0,"",MAX((AC116:AE116&lt;&gt;"")*(COLUMN(AC116:AE116)-(COLUMN(AC116)-2))))-1),"")</f>
        <v>ARCHIVED</v>
      </c>
      <c r="M116" s="13" t="n">
        <f aca="true">K116-TODAY()</f>
        <v>-302</v>
      </c>
      <c r="N116" s="18" t="s">
        <v>36</v>
      </c>
      <c r="O116" s="13" t="s">
        <v>539</v>
      </c>
      <c r="P116" s="26" t="n">
        <v>5195401</v>
      </c>
      <c r="Q116" s="20" t="s">
        <v>561</v>
      </c>
      <c r="R116" s="13" t="s">
        <v>65</v>
      </c>
      <c r="S116" s="14" t="n">
        <v>33499</v>
      </c>
      <c r="T116" s="13" t="s">
        <v>40</v>
      </c>
      <c r="U116" s="13" t="s">
        <v>562</v>
      </c>
      <c r="V116" s="13" t="s">
        <v>42</v>
      </c>
      <c r="W116" s="13" t="s">
        <v>54</v>
      </c>
      <c r="X116" s="21" t="n">
        <v>85748984339</v>
      </c>
      <c r="Y116" s="22" t="str">
        <f aca="false">O116</f>
        <v>Bongkaran Minyak</v>
      </c>
      <c r="Z116" s="13" t="str">
        <f aca="false">IFERROR(__xludf.dummyfunction("if(BJ116="""","""",GOOGLETRANSLATE(BJ116,""auto"",""en""))"),"Oil Unloading")</f>
        <v>Oil Unloading</v>
      </c>
      <c r="AA116" s="23" t="str">
        <f aca="false">IF(C116="","", CHOOSE(MONTH(C116),"January","February","March","April","May","June","July","August","September","October","November","December")&amp;" "&amp;DAY(C116)&amp;MID("thstndrdth",MIN(9,2*RIGHT(DAY(C116))*(MOD(DAY(C116)-11,100)&gt;2)+1),2)&amp;","&amp;TEXT(C116," yyyy"))</f>
        <v>December 22nd,2018</v>
      </c>
      <c r="AB116" s="15" t="str">
        <f aca="true">IF(S116="","",DATEDIF(S116,TODAY(),"Y")&amp;" Tahun, "&amp;DATEDIF(S116,TODAY(),"YM")&amp;" Bulan, "&amp;DATEDIF(S116,TODAY(),"MD")&amp;" Hari")</f>
        <v>35 Tahun, 1 Bulan, 11 Hari</v>
      </c>
      <c r="AC116" s="18" t="n">
        <v>45658</v>
      </c>
      <c r="AD116" s="18" t="n">
        <v>46022</v>
      </c>
      <c r="AE116" s="18" t="s">
        <v>44</v>
      </c>
    </row>
    <row r="117" customFormat="false" ht="15" hidden="false" customHeight="true" outlineLevel="0" collapsed="false">
      <c r="A117" s="12" t="n">
        <v>657</v>
      </c>
      <c r="B117" s="13" t="s">
        <v>563</v>
      </c>
      <c r="C117" s="14" t="n">
        <v>43546</v>
      </c>
      <c r="D117" s="13" t="s">
        <v>404</v>
      </c>
      <c r="E117" s="15" t="s">
        <v>102</v>
      </c>
      <c r="F117" s="15" t="str">
        <f aca="false">IFERROR(__xludf.dummyfunction("XLOOKUP(AJ117,IMPORTRANGE(""1XaInW9DU9nz21V0tYIfzFQ0He9kVQ_JF2mCXgZ3hqFA"",""REKAP ALL 2026 - Andika!G:G""),IMPORTRANGE(""1XaInW9DU9nz21V0tYIfzFQ0He9kVQ_JF2mCXgZ3hqFA"",""REKAP ALL 2026 - Andika!F:F""),"""",0)"),"19037335163")</f>
        <v>19037335163</v>
      </c>
      <c r="G117" s="13" t="s">
        <v>564</v>
      </c>
      <c r="H117" s="13" t="s">
        <v>35</v>
      </c>
      <c r="I117" s="13" t="str">
        <f aca="false">IF(C117=J117,"NEW KONTRAK","RE-KONTRAK")</f>
        <v>RE-KONTRAK</v>
      </c>
      <c r="J117" s="16" t="n">
        <f aca="false" t="array" ref="J117:J117">IFERROR(INDEX(AC117:AE117,IF(COUNTA(AC117:AE117)=0,"",MAX((AC117:AE117&lt;&gt;"")*(COLUMN(AC117:AE117)-(COLUMN(AC117)))))-1),"")</f>
        <v>45658</v>
      </c>
      <c r="K117" s="16" t="n">
        <f aca="false" t="array" ref="K117:K117">IFERROR(INDEX(AC117:AE117,IF(COUNTA(AC117:AE117)=0,"",MAX((AC117:AE117&lt;&gt;"")*(COLUMN(AC117:AE117)-(COLUMN(AC117)-1))))-1),"")</f>
        <v>46022</v>
      </c>
      <c r="L117" s="17" t="str">
        <f aca="false" t="array" ref="L117:L117">IFERROR(INDEX(AC117:AE117,IF(COUNTA(AC117:AE117)=0,"",MAX((AC117:AE117&lt;&gt;"")*(COLUMN(AC117:AE117)-(COLUMN(AC117)-2))))-1),"")</f>
        <v>ARCHIVED</v>
      </c>
      <c r="M117" s="13" t="n">
        <f aca="true">K117-TODAY()</f>
        <v>-302</v>
      </c>
      <c r="N117" s="18" t="s">
        <v>36</v>
      </c>
      <c r="O117" s="13" t="s">
        <v>539</v>
      </c>
      <c r="P117" s="27" t="n">
        <v>5195401</v>
      </c>
      <c r="Q117" s="20" t="s">
        <v>565</v>
      </c>
      <c r="R117" s="13" t="s">
        <v>65</v>
      </c>
      <c r="S117" s="14" t="n">
        <v>25544</v>
      </c>
      <c r="T117" s="13" t="s">
        <v>40</v>
      </c>
      <c r="U117" s="13" t="s">
        <v>566</v>
      </c>
      <c r="V117" s="13" t="s">
        <v>42</v>
      </c>
      <c r="W117" s="13" t="s">
        <v>54</v>
      </c>
      <c r="X117" s="21" t="n">
        <v>81358164005</v>
      </c>
      <c r="Y117" s="22" t="str">
        <f aca="false">O117</f>
        <v>Bongkaran Minyak</v>
      </c>
      <c r="Z117" s="13" t="str">
        <f aca="false">IFERROR(__xludf.dummyfunction("if(BJ117="""","""",GOOGLETRANSLATE(BJ117,""auto"",""en""))"),"Oil Unloading")</f>
        <v>Oil Unloading</v>
      </c>
      <c r="AA117" s="23" t="str">
        <f aca="false">IF(C117="","", CHOOSE(MONTH(C117),"January","February","March","April","May","June","July","August","September","October","November","December")&amp;" "&amp;DAY(C117)&amp;MID("thstndrdth",MIN(9,2*RIGHT(DAY(C117))*(MOD(DAY(C117)-11,100)&gt;2)+1),2)&amp;","&amp;TEXT(C117," yyyy"))</f>
        <v>March 22nd,2019</v>
      </c>
      <c r="AB117" s="15" t="str">
        <f aca="true">IF(S117="","",DATEDIF(S117,TODAY(),"Y")&amp;" Tahun, "&amp;DATEDIF(S117,TODAY(),"YM")&amp;" Bulan, "&amp;DATEDIF(S117,TODAY(),"MD")&amp;" Hari")</f>
        <v>56 Tahun, 10 Bulan, 22 Hari</v>
      </c>
      <c r="AC117" s="18" t="n">
        <v>45658</v>
      </c>
      <c r="AD117" s="18" t="n">
        <v>46022</v>
      </c>
      <c r="AE117" s="18" t="s">
        <v>44</v>
      </c>
    </row>
    <row r="118" customFormat="false" ht="15" hidden="false" customHeight="true" outlineLevel="0" collapsed="false">
      <c r="A118" s="12" t="n">
        <v>658</v>
      </c>
      <c r="B118" s="13" t="s">
        <v>567</v>
      </c>
      <c r="C118" s="14" t="n">
        <v>43546</v>
      </c>
      <c r="D118" s="13" t="s">
        <v>404</v>
      </c>
      <c r="E118" s="15" t="s">
        <v>47</v>
      </c>
      <c r="F118" s="15" t="str">
        <f aca="false">IFERROR(__xludf.dummyfunction("XLOOKUP(AJ118,IMPORTRANGE(""1XaInW9DU9nz21V0tYIfzFQ0He9kVQ_JF2mCXgZ3hqFA"",""REKAP ALL 2026 - Andika!G:G""),IMPORTRANGE(""1XaInW9DU9nz21V0tYIfzFQ0He9kVQ_JF2mCXgZ3hqFA"",""REKAP ALL 2026 - Andika!F:F""),"""",0)"),"12000002274")</f>
        <v>12000002274</v>
      </c>
      <c r="G118" s="13" t="s">
        <v>568</v>
      </c>
      <c r="H118" s="13" t="s">
        <v>35</v>
      </c>
      <c r="I118" s="13" t="str">
        <f aca="false">IF(C118=J118,"NEW KONTRAK","RE-KONTRAK")</f>
        <v>RE-KONTRAK</v>
      </c>
      <c r="J118" s="16" t="n">
        <f aca="false" t="array" ref="J118:J118">IFERROR(INDEX(AC118:AE118,IF(COUNTA(AC118:AE118)=0,"",MAX((AC118:AE118&lt;&gt;"")*(COLUMN(AC118:AE118)-(COLUMN(AC118)))))-1),"")</f>
        <v>45658</v>
      </c>
      <c r="K118" s="16" t="n">
        <f aca="false" t="array" ref="K118:K118">IFERROR(INDEX(AC118:AE118,IF(COUNTA(AC118:AE118)=0,"",MAX((AC118:AE118&lt;&gt;"")*(COLUMN(AC118:AE118)-(COLUMN(AC118)-1))))-1),"")</f>
        <v>46022</v>
      </c>
      <c r="L118" s="17" t="str">
        <f aca="false" t="array" ref="L118:L118">IFERROR(INDEX(AC118:AE118,IF(COUNTA(AC118:AE118)=0,"",MAX((AC118:AE118&lt;&gt;"")*(COLUMN(AC118:AE118)-(COLUMN(AC118)-2))))-1),"")</f>
        <v>ARCHIVED</v>
      </c>
      <c r="M118" s="13" t="n">
        <f aca="true">K118-TODAY()</f>
        <v>-302</v>
      </c>
      <c r="N118" s="18" t="s">
        <v>36</v>
      </c>
      <c r="O118" s="13" t="s">
        <v>450</v>
      </c>
      <c r="P118" s="26" t="n">
        <v>5195401</v>
      </c>
      <c r="Q118" s="20" t="s">
        <v>569</v>
      </c>
      <c r="R118" s="13" t="s">
        <v>65</v>
      </c>
      <c r="S118" s="14" t="n">
        <v>31224</v>
      </c>
      <c r="T118" s="13" t="s">
        <v>40</v>
      </c>
      <c r="U118" s="13" t="s">
        <v>570</v>
      </c>
      <c r="V118" s="13" t="s">
        <v>42</v>
      </c>
      <c r="W118" s="13" t="s">
        <v>54</v>
      </c>
      <c r="X118" s="21" t="n">
        <v>85967979184</v>
      </c>
      <c r="Y118" s="22" t="str">
        <f aca="false">O118</f>
        <v>QC &amp; QA</v>
      </c>
      <c r="Z118" s="13" t="str">
        <f aca="false">IFERROR(__xludf.dummyfunction("if(BJ118="""","""",GOOGLETRANSLATE(BJ118,""auto"",""en""))"),"QC &amp; QA")</f>
        <v>QC &amp; QA</v>
      </c>
      <c r="AA118" s="23" t="str">
        <f aca="false">IF(C118="","", CHOOSE(MONTH(C118),"January","February","March","April","May","June","July","August","September","October","November","December")&amp;" "&amp;DAY(C118)&amp;MID("thstndrdth",MIN(9,2*RIGHT(DAY(C118))*(MOD(DAY(C118)-11,100)&gt;2)+1),2)&amp;","&amp;TEXT(C118," yyyy"))</f>
        <v>March 22nd,2019</v>
      </c>
      <c r="AB118" s="15" t="str">
        <f aca="true">IF(S118="","",DATEDIF(S118,TODAY(),"Y")&amp;" Tahun, "&amp;DATEDIF(S118,TODAY(),"YM")&amp;" Bulan, "&amp;DATEDIF(S118,TODAY(),"MD")&amp;" Hari")</f>
        <v>41 Tahun, 4 Bulan, 3 Hari</v>
      </c>
      <c r="AC118" s="18" t="n">
        <v>45658</v>
      </c>
      <c r="AD118" s="18" t="n">
        <v>46022</v>
      </c>
      <c r="AE118" s="18" t="s">
        <v>44</v>
      </c>
    </row>
    <row r="119" customFormat="false" ht="15" hidden="false" customHeight="true" outlineLevel="0" collapsed="false">
      <c r="A119" s="12" t="n">
        <v>661</v>
      </c>
      <c r="B119" s="13" t="s">
        <v>571</v>
      </c>
      <c r="C119" s="14" t="n">
        <v>43760</v>
      </c>
      <c r="D119" s="13" t="s">
        <v>404</v>
      </c>
      <c r="E119" s="15" t="s">
        <v>47</v>
      </c>
      <c r="F119" s="15" t="str">
        <f aca="false">IFERROR(__xludf.dummyfunction("XLOOKUP(AJ119,IMPORTRANGE(""1XaInW9DU9nz21V0tYIfzFQ0He9kVQ_JF2mCXgZ3hqFA"",""REKAP ALL 2026 - Andika!G:G""),IMPORTRANGE(""1XaInW9DU9nz21V0tYIfzFQ0He9kVQ_JF2mCXgZ3hqFA"",""REKAP ALL 2026 - Andika!F:F""),"""",0)"),"19097950877")</f>
        <v>19097950877</v>
      </c>
      <c r="G119" s="13" t="s">
        <v>572</v>
      </c>
      <c r="H119" s="13" t="s">
        <v>35</v>
      </c>
      <c r="I119" s="13" t="str">
        <f aca="false">IF(C119=J119,"NEW KONTRAK","RE-KONTRAK")</f>
        <v>RE-KONTRAK</v>
      </c>
      <c r="J119" s="16" t="n">
        <f aca="false" t="array" ref="J119:J119">IFERROR(INDEX(AC119:AE119,IF(COUNTA(AC119:AE119)=0,"",MAX((AC119:AE119&lt;&gt;"")*(COLUMN(AC119:AE119)-(COLUMN(AC119)))))-1),"")</f>
        <v>45658</v>
      </c>
      <c r="K119" s="16" t="n">
        <f aca="false" t="array" ref="K119:K119">IFERROR(INDEX(AC119:AE119,IF(COUNTA(AC119:AE119)=0,"",MAX((AC119:AE119&lt;&gt;"")*(COLUMN(AC119:AE119)-(COLUMN(AC119)-1))))-1),"")</f>
        <v>46022</v>
      </c>
      <c r="L119" s="17" t="str">
        <f aca="false" t="array" ref="L119:L119">IFERROR(INDEX(AC119:AE119,IF(COUNTA(AC119:AE119)=0,"",MAX((AC119:AE119&lt;&gt;"")*(COLUMN(AC119:AE119)-(COLUMN(AC119)-2))))-1),"")</f>
        <v>ARCHIVED</v>
      </c>
      <c r="M119" s="13" t="n">
        <f aca="true">K119-TODAY()</f>
        <v>-302</v>
      </c>
      <c r="N119" s="18" t="s">
        <v>36</v>
      </c>
      <c r="O119" s="13" t="s">
        <v>573</v>
      </c>
      <c r="P119" s="26" t="n">
        <v>5195401</v>
      </c>
      <c r="Q119" s="20" t="s">
        <v>574</v>
      </c>
      <c r="R119" s="13" t="s">
        <v>78</v>
      </c>
      <c r="S119" s="14" t="n">
        <v>34639</v>
      </c>
      <c r="T119" s="13" t="s">
        <v>40</v>
      </c>
      <c r="U119" s="13" t="s">
        <v>575</v>
      </c>
      <c r="V119" s="13" t="s">
        <v>42</v>
      </c>
      <c r="W119" s="13" t="s">
        <v>43</v>
      </c>
      <c r="X119" s="21" t="n">
        <v>81554381615</v>
      </c>
      <c r="Y119" s="22" t="str">
        <f aca="false">O119</f>
        <v>Gudang Barang Jadi</v>
      </c>
      <c r="Z119" s="13" t="str">
        <f aca="false">IFERROR(__xludf.dummyfunction("if(BJ119="""","""",GOOGLETRANSLATE(BJ119,""auto"",""en""))"),"Finished Goods Warehouse")</f>
        <v>Finished Goods Warehouse</v>
      </c>
      <c r="AA119" s="23" t="str">
        <f aca="false">IF(C119="","", CHOOSE(MONTH(C119),"January","February","March","April","May","June","July","August","September","October","November","December")&amp;" "&amp;DAY(C119)&amp;MID("thstndrdth",MIN(9,2*RIGHT(DAY(C119))*(MOD(DAY(C119)-11,100)&gt;2)+1),2)&amp;","&amp;TEXT(C119," yyyy"))</f>
        <v>October 22nd,2019</v>
      </c>
      <c r="AB119" s="15" t="str">
        <f aca="true">IF(S119="","",DATEDIF(S119,TODAY(),"Y")&amp;" Tahun, "&amp;DATEDIF(S119,TODAY(),"YM")&amp;" Bulan, "&amp;DATEDIF(S119,TODAY(),"MD")&amp;" Hari")</f>
        <v>31 Tahun, 11 Bulan, 28 Hari</v>
      </c>
      <c r="AC119" s="18" t="n">
        <v>45658</v>
      </c>
      <c r="AD119" s="18" t="n">
        <v>46022</v>
      </c>
      <c r="AE119" s="18" t="s">
        <v>44</v>
      </c>
    </row>
    <row r="120" customFormat="false" ht="15" hidden="false" customHeight="true" outlineLevel="0" collapsed="false">
      <c r="A120" s="12" t="n">
        <v>662</v>
      </c>
      <c r="B120" s="13" t="s">
        <v>576</v>
      </c>
      <c r="C120" s="14" t="n">
        <v>43760</v>
      </c>
      <c r="D120" s="13" t="s">
        <v>404</v>
      </c>
      <c r="E120" s="15" t="s">
        <v>47</v>
      </c>
      <c r="F120" s="15" t="str">
        <f aca="false">IFERROR(__xludf.dummyfunction("XLOOKUP(AJ120,IMPORTRANGE(""1XaInW9DU9nz21V0tYIfzFQ0He9kVQ_JF2mCXgZ3hqFA"",""REKAP ALL 2026 - Andika!G:G""),IMPORTRANGE(""1XaInW9DU9nz21V0tYIfzFQ0He9kVQ_JF2mCXgZ3hqFA"",""REKAP ALL 2026 - Andika!F:F""),"""",0)"),"19097950885")</f>
        <v>19097950885</v>
      </c>
      <c r="G120" s="13" t="s">
        <v>577</v>
      </c>
      <c r="H120" s="13" t="s">
        <v>35</v>
      </c>
      <c r="I120" s="13" t="str">
        <f aca="false">IF(C120=J120,"NEW KONTRAK","RE-KONTRAK")</f>
        <v>RE-KONTRAK</v>
      </c>
      <c r="J120" s="16" t="n">
        <f aca="false" t="array" ref="J120:J120">IFERROR(INDEX(AC120:AE120,IF(COUNTA(AC120:AE120)=0,"",MAX((AC120:AE120&lt;&gt;"")*(COLUMN(AC120:AE120)-(COLUMN(AC120)))))-1),"")</f>
        <v>45658</v>
      </c>
      <c r="K120" s="16" t="n">
        <f aca="false" t="array" ref="K120:K120">IFERROR(INDEX(AC120:AE120,IF(COUNTA(AC120:AE120)=0,"",MAX((AC120:AE120&lt;&gt;"")*(COLUMN(AC120:AE120)-(COLUMN(AC120)-1))))-1),"")</f>
        <v>46022</v>
      </c>
      <c r="L120" s="17" t="str">
        <f aca="false" t="array" ref="L120:L120">IFERROR(INDEX(AC120:AE120,IF(COUNTA(AC120:AE120)=0,"",MAX((AC120:AE120&lt;&gt;"")*(COLUMN(AC120:AE120)-(COLUMN(AC120)-2))))-1),"")</f>
        <v>ARCHIVED</v>
      </c>
      <c r="M120" s="13" t="n">
        <f aca="true">K120-TODAY()</f>
        <v>-302</v>
      </c>
      <c r="N120" s="18" t="s">
        <v>36</v>
      </c>
      <c r="O120" s="13" t="s">
        <v>573</v>
      </c>
      <c r="P120" s="26" t="n">
        <v>5195401</v>
      </c>
      <c r="Q120" s="20" t="s">
        <v>578</v>
      </c>
      <c r="R120" s="13" t="s">
        <v>65</v>
      </c>
      <c r="S120" s="14" t="n">
        <v>29861</v>
      </c>
      <c r="T120" s="13" t="s">
        <v>40</v>
      </c>
      <c r="U120" s="13" t="s">
        <v>579</v>
      </c>
      <c r="V120" s="13" t="s">
        <v>42</v>
      </c>
      <c r="W120" s="13" t="s">
        <v>54</v>
      </c>
      <c r="X120" s="21" t="n">
        <v>81554327460</v>
      </c>
      <c r="Y120" s="22" t="str">
        <f aca="false">O120</f>
        <v>Gudang Barang Jadi</v>
      </c>
      <c r="Z120" s="13" t="str">
        <f aca="false">IFERROR(__xludf.dummyfunction("if(BJ120="""","""",GOOGLETRANSLATE(BJ120,""auto"",""en""))"),"Finished Goods Warehouse")</f>
        <v>Finished Goods Warehouse</v>
      </c>
      <c r="AA120" s="23" t="str">
        <f aca="false">IF(C120="","", CHOOSE(MONTH(C120),"January","February","March","April","May","June","July","August","September","October","November","December")&amp;" "&amp;DAY(C120)&amp;MID("thstndrdth",MIN(9,2*RIGHT(DAY(C120))*(MOD(DAY(C120)-11,100)&gt;2)+1),2)&amp;","&amp;TEXT(C120," yyyy"))</f>
        <v>October 22nd,2019</v>
      </c>
      <c r="AB120" s="15" t="str">
        <f aca="true">IF(S120="","",DATEDIF(S120,TODAY(),"Y")&amp;" Tahun, "&amp;DATEDIF(S120,TODAY(),"YM")&amp;" Bulan, "&amp;DATEDIF(S120,TODAY(),"MD")&amp;" Hari")</f>
        <v>45 Tahun, 0 Bulan, 27 Hari</v>
      </c>
      <c r="AC120" s="18" t="n">
        <v>45658</v>
      </c>
      <c r="AD120" s="18" t="n">
        <v>46022</v>
      </c>
      <c r="AE120" s="18" t="s">
        <v>44</v>
      </c>
    </row>
    <row r="121" customFormat="false" ht="15" hidden="false" customHeight="true" outlineLevel="0" collapsed="false">
      <c r="A121" s="12" t="n">
        <v>663</v>
      </c>
      <c r="B121" s="13" t="s">
        <v>580</v>
      </c>
      <c r="C121" s="14" t="n">
        <v>43760</v>
      </c>
      <c r="D121" s="13" t="s">
        <v>404</v>
      </c>
      <c r="E121" s="15" t="s">
        <v>47</v>
      </c>
      <c r="F121" s="15" t="str">
        <f aca="false">IFERROR(__xludf.dummyfunction("XLOOKUP(AJ121,IMPORTRANGE(""1XaInW9DU9nz21V0tYIfzFQ0He9kVQ_JF2mCXgZ3hqFA"",""REKAP ALL 2026 - Andika!G:G""),IMPORTRANGE(""1XaInW9DU9nz21V0tYIfzFQ0He9kVQ_JF2mCXgZ3hqFA"",""REKAP ALL 2026 - Andika!F:F""),"""",0)"),"19097950802")</f>
        <v>19097950802</v>
      </c>
      <c r="G121" s="13" t="s">
        <v>581</v>
      </c>
      <c r="H121" s="13" t="s">
        <v>35</v>
      </c>
      <c r="I121" s="13" t="str">
        <f aca="false">IF(C121=J121,"NEW KONTRAK","RE-KONTRAK")</f>
        <v>RE-KONTRAK</v>
      </c>
      <c r="J121" s="16" t="n">
        <f aca="false" t="array" ref="J121:J121">IFERROR(INDEX(AC121:AE121,IF(COUNTA(AC121:AE121)=0,"",MAX((AC121:AE121&lt;&gt;"")*(COLUMN(AC121:AE121)-(COLUMN(AC121)))))-1),"")</f>
        <v>45658</v>
      </c>
      <c r="K121" s="16" t="n">
        <f aca="false" t="array" ref="K121:K121">IFERROR(INDEX(AC121:AE121,IF(COUNTA(AC121:AE121)=0,"",MAX((AC121:AE121&lt;&gt;"")*(COLUMN(AC121:AE121)-(COLUMN(AC121)-1))))-1),"")</f>
        <v>46022</v>
      </c>
      <c r="L121" s="17" t="str">
        <f aca="false" t="array" ref="L121:L121">IFERROR(INDEX(AC121:AE121,IF(COUNTA(AC121:AE121)=0,"",MAX((AC121:AE121&lt;&gt;"")*(COLUMN(AC121:AE121)-(COLUMN(AC121)-2))))-1),"")</f>
        <v>ARCHIVED</v>
      </c>
      <c r="M121" s="13" t="n">
        <f aca="true">K121-TODAY()</f>
        <v>-302</v>
      </c>
      <c r="N121" s="18" t="s">
        <v>36</v>
      </c>
      <c r="O121" s="13" t="s">
        <v>573</v>
      </c>
      <c r="P121" s="26" t="n">
        <v>5195401</v>
      </c>
      <c r="Q121" s="20" t="s">
        <v>582</v>
      </c>
      <c r="R121" s="13" t="s">
        <v>78</v>
      </c>
      <c r="S121" s="14" t="n">
        <v>31769</v>
      </c>
      <c r="T121" s="13" t="s">
        <v>40</v>
      </c>
      <c r="U121" s="13" t="s">
        <v>583</v>
      </c>
      <c r="V121" s="13" t="s">
        <v>42</v>
      </c>
      <c r="W121" s="13" t="s">
        <v>54</v>
      </c>
      <c r="X121" s="21" t="n">
        <v>85749080772</v>
      </c>
      <c r="Y121" s="22" t="str">
        <f aca="false">O121</f>
        <v>Gudang Barang Jadi</v>
      </c>
      <c r="Z121" s="13" t="str">
        <f aca="false">IFERROR(__xludf.dummyfunction("if(BJ121="""","""",GOOGLETRANSLATE(BJ121,""auto"",""en""))"),"Finished Goods Warehouse")</f>
        <v>Finished Goods Warehouse</v>
      </c>
      <c r="AA121" s="23" t="str">
        <f aca="false">IF(C121="","", CHOOSE(MONTH(C121),"January","February","March","April","May","June","July","August","September","October","November","December")&amp;" "&amp;DAY(C121)&amp;MID("thstndrdth",MIN(9,2*RIGHT(DAY(C121))*(MOD(DAY(C121)-11,100)&gt;2)+1),2)&amp;","&amp;TEXT(C121," yyyy"))</f>
        <v>October 22nd,2019</v>
      </c>
      <c r="AB121" s="15" t="str">
        <f aca="true">IF(S121="","",DATEDIF(S121,TODAY(),"Y")&amp;" Tahun, "&amp;DATEDIF(S121,TODAY(),"YM")&amp;" Bulan, "&amp;DATEDIF(S121,TODAY(),"MD")&amp;" Hari")</f>
        <v>39 Tahun, 10 Bulan, 6 Hari</v>
      </c>
      <c r="AC121" s="18" t="n">
        <v>45658</v>
      </c>
      <c r="AD121" s="18" t="n">
        <v>46022</v>
      </c>
      <c r="AE121" s="18" t="s">
        <v>44</v>
      </c>
    </row>
    <row r="122" customFormat="false" ht="15" hidden="false" customHeight="true" outlineLevel="0" collapsed="false">
      <c r="A122" s="12" t="n">
        <v>664</v>
      </c>
      <c r="B122" s="13" t="s">
        <v>584</v>
      </c>
      <c r="C122" s="14" t="n">
        <v>43760</v>
      </c>
      <c r="D122" s="13" t="s">
        <v>404</v>
      </c>
      <c r="E122" s="15" t="s">
        <v>47</v>
      </c>
      <c r="F122" s="15" t="str">
        <f aca="false">IFERROR(__xludf.dummyfunction("XLOOKUP(AJ122,IMPORTRANGE(""1XaInW9DU9nz21V0tYIfzFQ0He9kVQ_JF2mCXgZ3hqFA"",""REKAP ALL 2026 - Andika!G:G""),IMPORTRANGE(""1XaInW9DU9nz21V0tYIfzFQ0He9kVQ_JF2mCXgZ3hqFA"",""REKAP ALL 2026 - Andika!F:F""),"""",0)"),"19097950851")</f>
        <v>19097950851</v>
      </c>
      <c r="G122" s="13" t="s">
        <v>585</v>
      </c>
      <c r="H122" s="13" t="s">
        <v>35</v>
      </c>
      <c r="I122" s="13" t="str">
        <f aca="false">IF(C122=J122,"NEW KONTRAK","RE-KONTRAK")</f>
        <v>RE-KONTRAK</v>
      </c>
      <c r="J122" s="16" t="n">
        <f aca="false" t="array" ref="J122:J122">IFERROR(INDEX(AC122:AE122,IF(COUNTA(AC122:AE122)=0,"",MAX((AC122:AE122&lt;&gt;"")*(COLUMN(AC122:AE122)-(COLUMN(AC122)))))-1),"")</f>
        <v>45658</v>
      </c>
      <c r="K122" s="16" t="n">
        <f aca="false" t="array" ref="K122:K122">IFERROR(INDEX(AC122:AE122,IF(COUNTA(AC122:AE122)=0,"",MAX((AC122:AE122&lt;&gt;"")*(COLUMN(AC122:AE122)-(COLUMN(AC122)-1))))-1),"")</f>
        <v>46022</v>
      </c>
      <c r="L122" s="17" t="str">
        <f aca="false" t="array" ref="L122:L122">IFERROR(INDEX(AC122:AE122,IF(COUNTA(AC122:AE122)=0,"",MAX((AC122:AE122&lt;&gt;"")*(COLUMN(AC122:AE122)-(COLUMN(AC122)-2))))-1),"")</f>
        <v>ARCHIVED</v>
      </c>
      <c r="M122" s="13" t="n">
        <f aca="true">K122-TODAY()</f>
        <v>-302</v>
      </c>
      <c r="N122" s="18" t="s">
        <v>36</v>
      </c>
      <c r="O122" s="13" t="s">
        <v>573</v>
      </c>
      <c r="P122" s="26" t="n">
        <v>5195401</v>
      </c>
      <c r="Q122" s="20" t="s">
        <v>586</v>
      </c>
      <c r="R122" s="13" t="s">
        <v>65</v>
      </c>
      <c r="S122" s="14" t="n">
        <v>31195</v>
      </c>
      <c r="T122" s="13" t="s">
        <v>40</v>
      </c>
      <c r="U122" s="13" t="s">
        <v>587</v>
      </c>
      <c r="V122" s="13" t="s">
        <v>42</v>
      </c>
      <c r="W122" s="13" t="s">
        <v>54</v>
      </c>
      <c r="X122" s="21" t="n">
        <v>85704866189</v>
      </c>
      <c r="Y122" s="22" t="str">
        <f aca="false">O122</f>
        <v>Gudang Barang Jadi</v>
      </c>
      <c r="Z122" s="13" t="str">
        <f aca="false">IFERROR(__xludf.dummyfunction("if(BJ122="""","""",GOOGLETRANSLATE(BJ122,""auto"",""en""))"),"Finished Goods Warehouse")</f>
        <v>Finished Goods Warehouse</v>
      </c>
      <c r="AA122" s="23" t="str">
        <f aca="false">IF(C122="","", CHOOSE(MONTH(C122),"January","February","March","April","May","June","July","August","September","October","November","December")&amp;" "&amp;DAY(C122)&amp;MID("thstndrdth",MIN(9,2*RIGHT(DAY(C122))*(MOD(DAY(C122)-11,100)&gt;2)+1),2)&amp;","&amp;TEXT(C122," yyyy"))</f>
        <v>October 22nd,2019</v>
      </c>
      <c r="AB122" s="15" t="str">
        <f aca="true">IF(S122="","",DATEDIF(S122,TODAY(),"Y")&amp;" Tahun, "&amp;DATEDIF(S122,TODAY(),"YM")&amp;" Bulan, "&amp;DATEDIF(S122,TODAY(),"MD")&amp;" Hari")</f>
        <v>41 Tahun, 5 Bulan, 1 Hari</v>
      </c>
      <c r="AC122" s="18" t="n">
        <v>45658</v>
      </c>
      <c r="AD122" s="18" t="n">
        <v>46022</v>
      </c>
      <c r="AE122" s="18" t="s">
        <v>44</v>
      </c>
    </row>
    <row r="123" customFormat="false" ht="15" hidden="false" customHeight="true" outlineLevel="0" collapsed="false">
      <c r="A123" s="12" t="n">
        <v>665</v>
      </c>
      <c r="B123" s="13" t="s">
        <v>588</v>
      </c>
      <c r="C123" s="14" t="n">
        <v>43760</v>
      </c>
      <c r="D123" s="13" t="s">
        <v>404</v>
      </c>
      <c r="E123" s="15" t="s">
        <v>47</v>
      </c>
      <c r="F123" s="15" t="str">
        <f aca="false">IFERROR(__xludf.dummyfunction("XLOOKUP(AJ123,IMPORTRANGE(""1XaInW9DU9nz21V0tYIfzFQ0He9kVQ_JF2mCXgZ3hqFA"",""REKAP ALL 2026 - Andika!G:G""),IMPORTRANGE(""1XaInW9DU9nz21V0tYIfzFQ0He9kVQ_JF2mCXgZ3hqFA"",""REKAP ALL 2026 - Andika!F:F""),"""",0)"),"13014972171")</f>
        <v>13014972171</v>
      </c>
      <c r="G123" s="13" t="s">
        <v>589</v>
      </c>
      <c r="H123" s="13" t="s">
        <v>35</v>
      </c>
      <c r="I123" s="13" t="str">
        <f aca="false">IF(C123=J123,"NEW KONTRAK","RE-KONTRAK")</f>
        <v>RE-KONTRAK</v>
      </c>
      <c r="J123" s="16" t="n">
        <f aca="false" t="array" ref="J123:J123">IFERROR(INDEX(AC123:AE123,IF(COUNTA(AC123:AE123)=0,"",MAX((AC123:AE123&lt;&gt;"")*(COLUMN(AC123:AE123)-(COLUMN(AC123)))))-1),"")</f>
        <v>45658</v>
      </c>
      <c r="K123" s="16" t="n">
        <f aca="false" t="array" ref="K123:K123">IFERROR(INDEX(AC123:AE123,IF(COUNTA(AC123:AE123)=0,"",MAX((AC123:AE123&lt;&gt;"")*(COLUMN(AC123:AE123)-(COLUMN(AC123)-1))))-1),"")</f>
        <v>46022</v>
      </c>
      <c r="L123" s="17" t="str">
        <f aca="false" t="array" ref="L123:L123">IFERROR(INDEX(AC123:AE123,IF(COUNTA(AC123:AE123)=0,"",MAX((AC123:AE123&lt;&gt;"")*(COLUMN(AC123:AE123)-(COLUMN(AC123)-2))))-1),"")</f>
        <v>ARCHIVED</v>
      </c>
      <c r="M123" s="13" t="n">
        <f aca="true">K123-TODAY()</f>
        <v>-302</v>
      </c>
      <c r="N123" s="18" t="s">
        <v>36</v>
      </c>
      <c r="O123" s="13" t="s">
        <v>573</v>
      </c>
      <c r="P123" s="26" t="n">
        <v>5195401</v>
      </c>
      <c r="Q123" s="20" t="s">
        <v>590</v>
      </c>
      <c r="R123" s="13" t="s">
        <v>65</v>
      </c>
      <c r="S123" s="14" t="n">
        <v>34479</v>
      </c>
      <c r="T123" s="13" t="s">
        <v>40</v>
      </c>
      <c r="U123" s="13" t="s">
        <v>591</v>
      </c>
      <c r="V123" s="13" t="s">
        <v>42</v>
      </c>
      <c r="W123" s="13" t="s">
        <v>43</v>
      </c>
      <c r="X123" s="21" t="n">
        <v>85748039557</v>
      </c>
      <c r="Y123" s="22" t="str">
        <f aca="false">O123</f>
        <v>Gudang Barang Jadi</v>
      </c>
      <c r="Z123" s="13" t="str">
        <f aca="false">IFERROR(__xludf.dummyfunction("if(BJ123="""","""",GOOGLETRANSLATE(BJ123,""auto"",""en""))"),"Finished Goods Warehouse")</f>
        <v>Finished Goods Warehouse</v>
      </c>
      <c r="AA123" s="23" t="str">
        <f aca="false">IF(C123="","", CHOOSE(MONTH(C123),"January","February","March","April","May","June","July","August","September","October","November","December")&amp;" "&amp;DAY(C123)&amp;MID("thstndrdth",MIN(9,2*RIGHT(DAY(C123))*(MOD(DAY(C123)-11,100)&gt;2)+1),2)&amp;","&amp;TEXT(C123," yyyy"))</f>
        <v>October 22nd,2019</v>
      </c>
      <c r="AB123" s="15" t="str">
        <f aca="true">IF(S123="","",DATEDIF(S123,TODAY(),"Y")&amp;" Tahun, "&amp;DATEDIF(S123,TODAY(),"YM")&amp;" Bulan, "&amp;DATEDIF(S123,TODAY(),"MD")&amp;" Hari")</f>
        <v>32 Tahun, 5 Bulan, 4 Hari</v>
      </c>
      <c r="AC123" s="18" t="n">
        <v>45658</v>
      </c>
      <c r="AD123" s="18" t="n">
        <v>46022</v>
      </c>
      <c r="AE123" s="18" t="s">
        <v>44</v>
      </c>
    </row>
    <row r="124" customFormat="false" ht="15" hidden="false" customHeight="true" outlineLevel="0" collapsed="false">
      <c r="A124" s="12" t="n">
        <v>666</v>
      </c>
      <c r="B124" s="13" t="s">
        <v>592</v>
      </c>
      <c r="C124" s="14" t="n">
        <v>43760</v>
      </c>
      <c r="D124" s="13" t="s">
        <v>404</v>
      </c>
      <c r="E124" s="15" t="s">
        <v>47</v>
      </c>
      <c r="F124" s="15" t="str">
        <f aca="false">IFERROR(__xludf.dummyfunction("XLOOKUP(AJ124,IMPORTRANGE(""1XaInW9DU9nz21V0tYIfzFQ0He9kVQ_JF2mCXgZ3hqFA"",""REKAP ALL 2026 - Andika!G:G""),IMPORTRANGE(""1XaInW9DU9nz21V0tYIfzFQ0He9kVQ_JF2mCXgZ3hqFA"",""REKAP ALL 2026 - Andika!F:F""),"""",0)"),"19097950836")</f>
        <v>19097950836</v>
      </c>
      <c r="G124" s="13" t="s">
        <v>593</v>
      </c>
      <c r="H124" s="13" t="s">
        <v>35</v>
      </c>
      <c r="I124" s="13" t="str">
        <f aca="false">IF(C124=J124,"NEW KONTRAK","RE-KONTRAK")</f>
        <v>RE-KONTRAK</v>
      </c>
      <c r="J124" s="16" t="n">
        <f aca="false" t="array" ref="J124:J124">IFERROR(INDEX(AC124:AE124,IF(COUNTA(AC124:AE124)=0,"",MAX((AC124:AE124&lt;&gt;"")*(COLUMN(AC124:AE124)-(COLUMN(AC124)))))-1),"")</f>
        <v>45658</v>
      </c>
      <c r="K124" s="16" t="n">
        <f aca="false" t="array" ref="K124:K124">IFERROR(INDEX(AC124:AE124,IF(COUNTA(AC124:AE124)=0,"",MAX((AC124:AE124&lt;&gt;"")*(COLUMN(AC124:AE124)-(COLUMN(AC124)-1))))-1),"")</f>
        <v>46022</v>
      </c>
      <c r="L124" s="17" t="str">
        <f aca="false" t="array" ref="L124:L124">IFERROR(INDEX(AC124:AE124,IF(COUNTA(AC124:AE124)=0,"",MAX((AC124:AE124&lt;&gt;"")*(COLUMN(AC124:AE124)-(COLUMN(AC124)-2))))-1),"")</f>
        <v>ARCHIVED</v>
      </c>
      <c r="M124" s="13" t="n">
        <f aca="true">K124-TODAY()</f>
        <v>-302</v>
      </c>
      <c r="N124" s="18" t="s">
        <v>36</v>
      </c>
      <c r="O124" s="13" t="s">
        <v>573</v>
      </c>
      <c r="P124" s="26" t="n">
        <v>5195401</v>
      </c>
      <c r="Q124" s="20" t="s">
        <v>594</v>
      </c>
      <c r="R124" s="13" t="s">
        <v>65</v>
      </c>
      <c r="S124" s="14" t="n">
        <v>34116</v>
      </c>
      <c r="T124" s="13" t="s">
        <v>40</v>
      </c>
      <c r="U124" s="13" t="s">
        <v>595</v>
      </c>
      <c r="V124" s="13" t="s">
        <v>42</v>
      </c>
      <c r="W124" s="13" t="s">
        <v>43</v>
      </c>
      <c r="X124" s="21" t="n">
        <v>85748093835</v>
      </c>
      <c r="Y124" s="22" t="str">
        <f aca="false">O124</f>
        <v>Gudang Barang Jadi</v>
      </c>
      <c r="Z124" s="13" t="str">
        <f aca="false">IFERROR(__xludf.dummyfunction("if(BJ124="""","""",GOOGLETRANSLATE(BJ124,""auto"",""en""))"),"Finished Goods Warehouse")</f>
        <v>Finished Goods Warehouse</v>
      </c>
      <c r="AA124" s="23" t="str">
        <f aca="false">IF(C124="","", CHOOSE(MONTH(C124),"January","February","March","April","May","June","July","August","September","October","November","December")&amp;" "&amp;DAY(C124)&amp;MID("thstndrdth",MIN(9,2*RIGHT(DAY(C124))*(MOD(DAY(C124)-11,100)&gt;2)+1),2)&amp;","&amp;TEXT(C124," yyyy"))</f>
        <v>October 22nd,2019</v>
      </c>
      <c r="AB124" s="15" t="str">
        <f aca="true">IF(S124="","",DATEDIF(S124,TODAY(),"Y")&amp;" Tahun, "&amp;DATEDIF(S124,TODAY(),"YM")&amp;" Bulan, "&amp;DATEDIF(S124,TODAY(),"MD")&amp;" Hari")</f>
        <v>33 Tahun, 5 Bulan, 2 Hari</v>
      </c>
      <c r="AC124" s="18" t="n">
        <v>45658</v>
      </c>
      <c r="AD124" s="18" t="n">
        <v>46022</v>
      </c>
      <c r="AE124" s="18" t="s">
        <v>44</v>
      </c>
    </row>
    <row r="125" customFormat="false" ht="15" hidden="false" customHeight="true" outlineLevel="0" collapsed="false">
      <c r="A125" s="12" t="n">
        <v>669</v>
      </c>
      <c r="B125" s="13" t="s">
        <v>596</v>
      </c>
      <c r="C125" s="14" t="n">
        <v>43760</v>
      </c>
      <c r="D125" s="13" t="s">
        <v>404</v>
      </c>
      <c r="E125" s="15" t="s">
        <v>47</v>
      </c>
      <c r="F125" s="15" t="str">
        <f aca="false">IFERROR(__xludf.dummyfunction("XLOOKUP(AJ125,IMPORTRANGE(""1XaInW9DU9nz21V0tYIfzFQ0He9kVQ_JF2mCXgZ3hqFA"",""REKAP ALL 2026 - Andika!G:G""),IMPORTRANGE(""1XaInW9DU9nz21V0tYIfzFQ0He9kVQ_JF2mCXgZ3hqFA"",""REKAP ALL 2026 - Andika!F:F""),"""",0)"),"19097950869")</f>
        <v>19097950869</v>
      </c>
      <c r="G125" s="13" t="s">
        <v>597</v>
      </c>
      <c r="H125" s="13" t="s">
        <v>35</v>
      </c>
      <c r="I125" s="13" t="str">
        <f aca="false">IF(C125=J125,"NEW KONTRAK","RE-KONTRAK")</f>
        <v>RE-KONTRAK</v>
      </c>
      <c r="J125" s="16" t="n">
        <f aca="false" t="array" ref="J125:J125">IFERROR(INDEX(AC125:AE125,IF(COUNTA(AC125:AE125)=0,"",MAX((AC125:AE125&lt;&gt;"")*(COLUMN(AC125:AE125)-(COLUMN(AC125)))))-1),"")</f>
        <v>45658</v>
      </c>
      <c r="K125" s="16" t="n">
        <f aca="false" t="array" ref="K125:K125">IFERROR(INDEX(AC125:AE125,IF(COUNTA(AC125:AE125)=0,"",MAX((AC125:AE125&lt;&gt;"")*(COLUMN(AC125:AE125)-(COLUMN(AC125)-1))))-1),"")</f>
        <v>46022</v>
      </c>
      <c r="L125" s="17" t="str">
        <f aca="false" t="array" ref="L125:L125">IFERROR(INDEX(AC125:AE125,IF(COUNTA(AC125:AE125)=0,"",MAX((AC125:AE125&lt;&gt;"")*(COLUMN(AC125:AE125)-(COLUMN(AC125)-2))))-1),"")</f>
        <v>ARCHIVED</v>
      </c>
      <c r="M125" s="13" t="n">
        <f aca="true">K125-TODAY()</f>
        <v>-302</v>
      </c>
      <c r="N125" s="18" t="s">
        <v>36</v>
      </c>
      <c r="O125" s="13" t="s">
        <v>573</v>
      </c>
      <c r="P125" s="26" t="n">
        <v>5195401</v>
      </c>
      <c r="Q125" s="20" t="s">
        <v>598</v>
      </c>
      <c r="R125" s="13" t="s">
        <v>65</v>
      </c>
      <c r="S125" s="14" t="n">
        <v>27856</v>
      </c>
      <c r="T125" s="13" t="s">
        <v>40</v>
      </c>
      <c r="U125" s="13" t="s">
        <v>599</v>
      </c>
      <c r="V125" s="13" t="s">
        <v>42</v>
      </c>
      <c r="W125" s="13" t="s">
        <v>43</v>
      </c>
      <c r="X125" s="21" t="n">
        <v>8121694325</v>
      </c>
      <c r="Y125" s="22" t="str">
        <f aca="false">O125</f>
        <v>Gudang Barang Jadi</v>
      </c>
      <c r="Z125" s="13" t="str">
        <f aca="false">IFERROR(__xludf.dummyfunction("if(BJ125="""","""",GOOGLETRANSLATE(BJ125,""auto"",""en""))"),"Finished Goods Warehouse")</f>
        <v>Finished Goods Warehouse</v>
      </c>
      <c r="AA125" s="23" t="str">
        <f aca="false">IF(C125="","", CHOOSE(MONTH(C125),"January","February","March","April","May","June","July","August","September","October","November","December")&amp;" "&amp;DAY(C125)&amp;MID("thstndrdth",MIN(9,2*RIGHT(DAY(C125))*(MOD(DAY(C125)-11,100)&gt;2)+1),2)&amp;","&amp;TEXT(C125," yyyy"))</f>
        <v>October 22nd,2019</v>
      </c>
      <c r="AB125" s="15" t="str">
        <f aca="true">IF(S125="","",DATEDIF(S125,TODAY(),"Y")&amp;" Tahun, "&amp;DATEDIF(S125,TODAY(),"YM")&amp;" Bulan, "&amp;DATEDIF(S125,TODAY(),"MD")&amp;" Hari")</f>
        <v>50 Tahun, 6 Bulan, 23 Hari</v>
      </c>
      <c r="AC125" s="18" t="n">
        <v>45658</v>
      </c>
      <c r="AD125" s="18" t="n">
        <v>46022</v>
      </c>
      <c r="AE125" s="18" t="s">
        <v>44</v>
      </c>
    </row>
    <row r="126" customFormat="false" ht="15" hidden="false" customHeight="true" outlineLevel="0" collapsed="false">
      <c r="A126" s="12" t="n">
        <v>672</v>
      </c>
      <c r="B126" s="13" t="s">
        <v>600</v>
      </c>
      <c r="C126" s="14" t="n">
        <v>43795</v>
      </c>
      <c r="D126" s="13" t="s">
        <v>404</v>
      </c>
      <c r="E126" s="15" t="s">
        <v>47</v>
      </c>
      <c r="F126" s="15" t="str">
        <f aca="false">IFERROR(__xludf.dummyfunction("XLOOKUP(AJ126,IMPORTRANGE(""1XaInW9DU9nz21V0tYIfzFQ0He9kVQ_JF2mCXgZ3hqFA"",""REKAP ALL 2026 - Andika!G:G""),IMPORTRANGE(""1XaInW9DU9nz21V0tYIfzFQ0He9kVQ_JF2mCXgZ3hqFA"",""REKAP ALL 2026 - Andika!F:F""),"""",0)"),"18070562808")</f>
        <v>18070562808</v>
      </c>
      <c r="G126" s="13" t="s">
        <v>601</v>
      </c>
      <c r="H126" s="13" t="s">
        <v>35</v>
      </c>
      <c r="I126" s="13" t="str">
        <f aca="false">IF(C126=J126,"NEW KONTRAK","RE-KONTRAK")</f>
        <v>RE-KONTRAK</v>
      </c>
      <c r="J126" s="16" t="n">
        <f aca="false" t="array" ref="J126:J126">IFERROR(INDEX(AC126:AE126,IF(COUNTA(AC126:AE126)=0,"",MAX((AC126:AE126&lt;&gt;"")*(COLUMN(AC126:AE126)-(COLUMN(AC126)))))-1),"")</f>
        <v>45658</v>
      </c>
      <c r="K126" s="16" t="n">
        <f aca="false" t="array" ref="K126:K126">IFERROR(INDEX(AC126:AE126,IF(COUNTA(AC126:AE126)=0,"",MAX((AC126:AE126&lt;&gt;"")*(COLUMN(AC126:AE126)-(COLUMN(AC126)-1))))-1),"")</f>
        <v>46022</v>
      </c>
      <c r="L126" s="17" t="str">
        <f aca="false" t="array" ref="L126:L126">IFERROR(INDEX(AC126:AE126,IF(COUNTA(AC126:AE126)=0,"",MAX((AC126:AE126&lt;&gt;"")*(COLUMN(AC126:AE126)-(COLUMN(AC126)-2))))-1),"")</f>
        <v>ARCHIVED</v>
      </c>
      <c r="M126" s="13" t="n">
        <f aca="true">K126-TODAY()</f>
        <v>-302</v>
      </c>
      <c r="N126" s="18" t="s">
        <v>36</v>
      </c>
      <c r="O126" s="13" t="s">
        <v>573</v>
      </c>
      <c r="P126" s="26" t="n">
        <v>5195401</v>
      </c>
      <c r="Q126" s="20" t="s">
        <v>602</v>
      </c>
      <c r="R126" s="13" t="s">
        <v>65</v>
      </c>
      <c r="S126" s="14" t="n">
        <v>36465</v>
      </c>
      <c r="T126" s="13" t="s">
        <v>40</v>
      </c>
      <c r="U126" s="13" t="s">
        <v>603</v>
      </c>
      <c r="V126" s="13" t="s">
        <v>42</v>
      </c>
      <c r="W126" s="13" t="s">
        <v>43</v>
      </c>
      <c r="X126" s="21" t="n">
        <v>8819790811</v>
      </c>
      <c r="Y126" s="22" t="str">
        <f aca="false">O126</f>
        <v>Gudang Barang Jadi</v>
      </c>
      <c r="Z126" s="13" t="str">
        <f aca="false">IFERROR(__xludf.dummyfunction("if(BJ126="""","""",GOOGLETRANSLATE(BJ126,""auto"",""en""))"),"Finished Goods Warehouse")</f>
        <v>Finished Goods Warehouse</v>
      </c>
      <c r="AA126" s="23" t="str">
        <f aca="false">IF(C126="","", CHOOSE(MONTH(C126),"January","February","March","April","May","June","July","August","September","October","November","December")&amp;" "&amp;DAY(C126)&amp;MID("thstndrdth",MIN(9,2*RIGHT(DAY(C126))*(MOD(DAY(C126)-11,100)&gt;2)+1),2)&amp;","&amp;TEXT(C126," yyyy"))</f>
        <v>November 26th,2019</v>
      </c>
      <c r="AB126" s="15" t="str">
        <f aca="true">IF(S126="","",DATEDIF(S126,TODAY(),"Y")&amp;" Tahun, "&amp;DATEDIF(S126,TODAY(),"YM")&amp;" Bulan, "&amp;DATEDIF(S126,TODAY(),"MD")&amp;" Hari")</f>
        <v>26 Tahun, 11 Bulan, 28 Hari</v>
      </c>
      <c r="AC126" s="18" t="n">
        <v>45658</v>
      </c>
      <c r="AD126" s="18" t="n">
        <v>46022</v>
      </c>
      <c r="AE126" s="18" t="s">
        <v>44</v>
      </c>
    </row>
    <row r="127" customFormat="false" ht="15" hidden="false" customHeight="true" outlineLevel="0" collapsed="false">
      <c r="A127" s="12" t="n">
        <v>675</v>
      </c>
      <c r="B127" s="13" t="s">
        <v>604</v>
      </c>
      <c r="C127" s="14" t="n">
        <v>43456</v>
      </c>
      <c r="D127" s="13" t="s">
        <v>404</v>
      </c>
      <c r="E127" s="15" t="s">
        <v>47</v>
      </c>
      <c r="F127" s="15" t="str">
        <f aca="false">IFERROR(__xludf.dummyfunction("XLOOKUP(AJ127,IMPORTRANGE(""1XaInW9DU9nz21V0tYIfzFQ0He9kVQ_JF2mCXgZ3hqFA"",""REKAP ALL 2026 - Andika!G:G""),IMPORTRANGE(""1XaInW9DU9nz21V0tYIfzFQ0He9kVQ_JF2mCXgZ3hqFA"",""REKAP ALL 2026 - Andika!F:F""),"""",0)"),"19011641198")</f>
        <v>19011641198</v>
      </c>
      <c r="G127" s="13" t="s">
        <v>605</v>
      </c>
      <c r="H127" s="13" t="s">
        <v>35</v>
      </c>
      <c r="I127" s="13" t="str">
        <f aca="false">IF(C127=J127,"NEW KONTRAK","RE-KONTRAK")</f>
        <v>RE-KONTRAK</v>
      </c>
      <c r="J127" s="16" t="n">
        <f aca="false" t="array" ref="J127:J127">IFERROR(INDEX(AC127:AE127,IF(COUNTA(AC127:AE127)=0,"",MAX((AC127:AE127&lt;&gt;"")*(COLUMN(AC127:AE127)-(COLUMN(AC127)))))-1),"")</f>
        <v>45658</v>
      </c>
      <c r="K127" s="16" t="n">
        <f aca="false" t="array" ref="K127:K127">IFERROR(INDEX(AC127:AE127,IF(COUNTA(AC127:AE127)=0,"",MAX((AC127:AE127&lt;&gt;"")*(COLUMN(AC127:AE127)-(COLUMN(AC127)-1))))-1),"")</f>
        <v>46022</v>
      </c>
      <c r="L127" s="17" t="str">
        <f aca="false" t="array" ref="L127:L127">IFERROR(INDEX(AC127:AE127,IF(COUNTA(AC127:AE127)=0,"",MAX((AC127:AE127&lt;&gt;"")*(COLUMN(AC127:AE127)-(COLUMN(AC127)-2))))-1),"")</f>
        <v>ARCHIVED</v>
      </c>
      <c r="M127" s="13" t="n">
        <f aca="true">K127-TODAY()</f>
        <v>-302</v>
      </c>
      <c r="N127" s="18" t="s">
        <v>36</v>
      </c>
      <c r="O127" s="13" t="s">
        <v>479</v>
      </c>
      <c r="P127" s="26" t="n">
        <v>5195401</v>
      </c>
      <c r="Q127" s="20" t="s">
        <v>606</v>
      </c>
      <c r="R127" s="13" t="s">
        <v>260</v>
      </c>
      <c r="S127" s="14" t="n">
        <v>34013</v>
      </c>
      <c r="T127" s="13" t="s">
        <v>40</v>
      </c>
      <c r="U127" s="13" t="s">
        <v>607</v>
      </c>
      <c r="V127" s="13" t="s">
        <v>42</v>
      </c>
      <c r="W127" s="28" t="s">
        <v>54</v>
      </c>
      <c r="X127" s="21" t="n">
        <v>85655676246</v>
      </c>
      <c r="Y127" s="22" t="str">
        <f aca="false">O127</f>
        <v>Bottling Rigid (BT2)</v>
      </c>
      <c r="Z127" s="13" t="str">
        <f aca="false">IFERROR(__xludf.dummyfunction("if(BJ127="""","""",GOOGLETRANSLATE(BJ127,""auto"",""en""))"),"Bottling Rigid (BT2)")</f>
        <v>Bottling Rigid (BT2)</v>
      </c>
      <c r="AA127" s="23" t="str">
        <f aca="false">IF(C127="","", CHOOSE(MONTH(C127),"January","February","March","April","May","June","July","August","September","October","November","December")&amp;" "&amp;DAY(C127)&amp;MID("thstndrdth",MIN(9,2*RIGHT(DAY(C127))*(MOD(DAY(C127)-11,100)&gt;2)+1),2)&amp;","&amp;TEXT(C127," yyyy"))</f>
        <v>December 22nd,2018</v>
      </c>
      <c r="AB127" s="15" t="str">
        <f aca="true">IF(S127="","",DATEDIF(S127,TODAY(),"Y")&amp;" Tahun, "&amp;DATEDIF(S127,TODAY(),"YM")&amp;" Bulan, "&amp;DATEDIF(S127,TODAY(),"MD")&amp;" Hari")</f>
        <v>33 Tahun, 8 Bulan, 16 Hari</v>
      </c>
      <c r="AC127" s="18" t="n">
        <v>45658</v>
      </c>
      <c r="AD127" s="18" t="n">
        <v>46022</v>
      </c>
      <c r="AE127" s="18" t="s">
        <v>44</v>
      </c>
    </row>
    <row r="128" customFormat="false" ht="15" hidden="false" customHeight="true" outlineLevel="0" collapsed="false">
      <c r="A128" s="12" t="n">
        <v>706</v>
      </c>
      <c r="B128" s="13" t="s">
        <v>608</v>
      </c>
      <c r="C128" s="14" t="n">
        <v>44368</v>
      </c>
      <c r="D128" s="13" t="s">
        <v>393</v>
      </c>
      <c r="E128" s="15" t="s">
        <v>47</v>
      </c>
      <c r="F128" s="15" t="str">
        <f aca="false">IFERROR(__xludf.dummyfunction("XLOOKUP(AJ128,IMPORTRANGE(""1XaInW9DU9nz21V0tYIfzFQ0He9kVQ_JF2mCXgZ3hqFA"",""REKAP ALL 2026 - Andika!G:G""),IMPORTRANGE(""1XaInW9DU9nz21V0tYIfzFQ0He9kVQ_JF2mCXgZ3hqFA"",""REKAP ALL 2026 - Andika!F:F""),"""",0)"),"21022868349")</f>
        <v>21022868349</v>
      </c>
      <c r="G128" s="13" t="s">
        <v>609</v>
      </c>
      <c r="H128" s="13" t="s">
        <v>35</v>
      </c>
      <c r="I128" s="13" t="str">
        <f aca="false">IF(C128=J128,"NEW KONTRAK","RE-KONTRAK")</f>
        <v>RE-KONTRAK</v>
      </c>
      <c r="J128" s="16" t="n">
        <f aca="false" t="array" ref="J128:J128">IFERROR(INDEX(AC128:AE128,IF(COUNTA(AC128:AE128)=0,"",MAX((AC128:AE128&lt;&gt;"")*(COLUMN(AC128:AE128)-(COLUMN(AC128)))))-1),"")</f>
        <v>45452</v>
      </c>
      <c r="K128" s="16" t="n">
        <f aca="false" t="array" ref="K128:K128">IFERROR(INDEX(AC128:AE128,IF(COUNTA(AC128:AE128)=0,"",MAX((AC128:AE128&lt;&gt;"")*(COLUMN(AC128:AE128)-(COLUMN(AC128)-1))))-1),"")</f>
        <v>46181</v>
      </c>
      <c r="L128" s="17" t="str">
        <f aca="false" t="array" ref="L128:L128">IFERROR(INDEX(AC128:AE128,IF(COUNTA(AC128:AE128)=0,"",MAX((AC128:AE128&lt;&gt;"")*(COLUMN(AC128:AE128)-(COLUMN(AC128)-2))))-1),"")</f>
        <v>KEMBALI</v>
      </c>
      <c r="M128" s="13" t="n">
        <f aca="true">K128-TODAY()</f>
        <v>-143</v>
      </c>
      <c r="N128" s="18" t="s">
        <v>105</v>
      </c>
      <c r="O128" s="13" t="s">
        <v>58</v>
      </c>
      <c r="P128" s="19" t="n">
        <v>5191541</v>
      </c>
      <c r="Q128" s="20" t="s">
        <v>610</v>
      </c>
      <c r="R128" s="13" t="s">
        <v>39</v>
      </c>
      <c r="S128" s="14" t="n">
        <v>37020</v>
      </c>
      <c r="T128" s="13" t="s">
        <v>40</v>
      </c>
      <c r="U128" s="13" t="s">
        <v>611</v>
      </c>
      <c r="V128" s="13" t="s">
        <v>42</v>
      </c>
      <c r="W128" s="13" t="s">
        <v>43</v>
      </c>
      <c r="X128" s="21" t="n">
        <v>81217110344</v>
      </c>
      <c r="Y128" s="22" t="str">
        <f aca="false">O128</f>
        <v>Produksi</v>
      </c>
      <c r="Z128" s="13" t="str">
        <f aca="false">IFERROR(__xludf.dummyfunction("if(BJ128="""","""",GOOGLETRANSLATE(BJ128,""auto"",""en""))"),"Production")</f>
        <v>Production</v>
      </c>
      <c r="AA128" s="23" t="str">
        <f aca="false">IF(C128="","", CHOOSE(MONTH(C128),"January","February","March","April","May","June","July","August","September","October","November","December")&amp;" "&amp;DAY(C128)&amp;MID("thstndrdth",MIN(9,2*RIGHT(DAY(C128))*(MOD(DAY(C128)-11,100)&gt;2)+1),2)&amp;","&amp;TEXT(C128," yyyy"))</f>
        <v>June 21st,2021</v>
      </c>
      <c r="AB128" s="15" t="str">
        <f aca="true">IF(S128="","",DATEDIF(S128,TODAY(),"Y")&amp;" Tahun, "&amp;DATEDIF(S128,TODAY(),"YM")&amp;" Bulan, "&amp;DATEDIF(S128,TODAY(),"MD")&amp;" Hari")</f>
        <v>25 Tahun, 5 Bulan, 20 Hari</v>
      </c>
      <c r="AC128" s="18" t="n">
        <v>45452</v>
      </c>
      <c r="AD128" s="18" t="n">
        <v>46181</v>
      </c>
      <c r="AE128" s="13" t="s">
        <v>397</v>
      </c>
    </row>
    <row r="129" customFormat="false" ht="15" hidden="false" customHeight="true" outlineLevel="0" collapsed="false">
      <c r="A129" s="12" t="n">
        <v>729</v>
      </c>
      <c r="B129" s="13" t="s">
        <v>612</v>
      </c>
      <c r="C129" s="14" t="n">
        <v>44243</v>
      </c>
      <c r="D129" s="13" t="s">
        <v>613</v>
      </c>
      <c r="E129" s="15" t="s">
        <v>47</v>
      </c>
      <c r="F129" s="15" t="str">
        <f aca="false">IFERROR(__xludf.dummyfunction("XLOOKUP(AJ129,IMPORTRANGE(""1XaInW9DU9nz21V0tYIfzFQ0He9kVQ_JF2mCXgZ3hqFA"",""REKAP ALL 2026 - Andika!G:G""),IMPORTRANGE(""1XaInW9DU9nz21V0tYIfzFQ0He9kVQ_JF2mCXgZ3hqFA"",""REKAP ALL 2026 - Andika!F:F""),"""",0)"),"21018750139")</f>
        <v>21018750139</v>
      </c>
      <c r="G129" s="13" t="s">
        <v>614</v>
      </c>
      <c r="H129" s="13" t="s">
        <v>35</v>
      </c>
      <c r="I129" s="13" t="str">
        <f aca="false">IF(C129=J129,"NEW KONTRAK","RE-KONTRAK")</f>
        <v>RE-KONTRAK</v>
      </c>
      <c r="J129" s="16" t="n">
        <f aca="false" t="array" ref="J129:J129">IFERROR(INDEX(AC129:AE129,IF(COUNTA(AC129:AE129)=0,"",MAX((AC129:AE129&lt;&gt;"")*(COLUMN(AC129:AE129)-(COLUMN(AC129)))))-1),"")</f>
        <v>45885</v>
      </c>
      <c r="K129" s="16" t="n">
        <f aca="false" t="array" ref="K129:K129">IFERROR(INDEX(AC129:AE129,IF(COUNTA(AC129:AE129)=0,"",MAX((AC129:AE129&lt;&gt;"")*(COLUMN(AC129:AE129)-(COLUMN(AC129)-1))))-1),"")</f>
        <v>46068</v>
      </c>
      <c r="L129" s="17" t="str">
        <f aca="false" t="array" ref="L129:L129">IFERROR(INDEX(AC129:AE129,IF(COUNTA(AC129:AE129)=0,"",MAX((AC129:AE129&lt;&gt;"")*(COLUMN(AC129:AE129)-(COLUMN(AC129)-2))))-1),"")</f>
        <v>ARCHIVED</v>
      </c>
      <c r="M129" s="13" t="n">
        <f aca="true">K129-TODAY()</f>
        <v>-256</v>
      </c>
      <c r="N129" s="18" t="s">
        <v>615</v>
      </c>
      <c r="O129" s="13" t="s">
        <v>58</v>
      </c>
      <c r="P129" s="19" t="n">
        <v>5176101</v>
      </c>
      <c r="Q129" s="20" t="s">
        <v>616</v>
      </c>
      <c r="R129" s="13" t="s">
        <v>73</v>
      </c>
      <c r="S129" s="14" t="n">
        <v>31136</v>
      </c>
      <c r="T129" s="13" t="s">
        <v>40</v>
      </c>
      <c r="U129" s="13" t="s">
        <v>617</v>
      </c>
      <c r="V129" s="13" t="s">
        <v>42</v>
      </c>
      <c r="W129" s="13" t="s">
        <v>54</v>
      </c>
      <c r="X129" s="21" t="n">
        <v>85960508806</v>
      </c>
      <c r="Y129" s="22" t="str">
        <f aca="false">O129</f>
        <v>Produksi</v>
      </c>
      <c r="Z129" s="13" t="str">
        <f aca="false">IFERROR(__xludf.dummyfunction("if(BJ129="""","""",GOOGLETRANSLATE(BJ129,""auto"",""en""))"),"Production")</f>
        <v>Production</v>
      </c>
      <c r="AA129" s="23" t="str">
        <f aca="false">IF(C129="","", CHOOSE(MONTH(C129),"January","February","March","April","May","June","July","August","September","October","November","December")&amp;" "&amp;DAY(C129)&amp;MID("thstndrdth",MIN(9,2*RIGHT(DAY(C129))*(MOD(DAY(C129)-11,100)&gt;2)+1),2)&amp;","&amp;TEXT(C129," yyyy"))</f>
        <v>February 16th,2021</v>
      </c>
      <c r="AB129" s="15" t="str">
        <f aca="true">IF(S129="","",DATEDIF(S129,TODAY(),"Y")&amp;" Tahun, "&amp;DATEDIF(S129,TODAY(),"YM")&amp;" Bulan, "&amp;DATEDIF(S129,TODAY(),"MD")&amp;" Hari")</f>
        <v>41 Tahun, 6 Bulan, 29 Hari</v>
      </c>
      <c r="AC129" s="18" t="n">
        <v>45885</v>
      </c>
      <c r="AD129" s="18" t="n">
        <v>46068</v>
      </c>
      <c r="AE129" s="18" t="s">
        <v>44</v>
      </c>
    </row>
    <row r="130" customFormat="false" ht="15" hidden="false" customHeight="true" outlineLevel="0" collapsed="false">
      <c r="A130" s="12" t="n">
        <v>731</v>
      </c>
      <c r="B130" s="13" t="s">
        <v>618</v>
      </c>
      <c r="C130" s="14" t="n">
        <v>44243</v>
      </c>
      <c r="D130" s="13" t="s">
        <v>613</v>
      </c>
      <c r="E130" s="15" t="s">
        <v>47</v>
      </c>
      <c r="F130" s="15" t="str">
        <f aca="false">IFERROR(__xludf.dummyfunction("XLOOKUP(AJ130,IMPORTRANGE(""1XaInW9DU9nz21V0tYIfzFQ0He9kVQ_JF2mCXgZ3hqFA"",""REKAP ALL 2026 - Andika!G:G""),IMPORTRANGE(""1XaInW9DU9nz21V0tYIfzFQ0He9kVQ_JF2mCXgZ3hqFA"",""REKAP ALL 2026 - Andika!F:F""),"""",0)"),"21018749776")</f>
        <v>21018749776</v>
      </c>
      <c r="G130" s="13" t="s">
        <v>619</v>
      </c>
      <c r="H130" s="13" t="s">
        <v>35</v>
      </c>
      <c r="I130" s="13" t="str">
        <f aca="false">IF(C130=J130,"NEW KONTRAK","RE-KONTRAK")</f>
        <v>RE-KONTRAK</v>
      </c>
      <c r="J130" s="16" t="n">
        <f aca="false" t="array" ref="J130:J130">IFERROR(INDEX(AC130:AE130,IF(COUNTA(AC130:AE130)=0,"",MAX((AC130:AE130&lt;&gt;"")*(COLUMN(AC130:AE130)-(COLUMN(AC130)))))-1),"")</f>
        <v>45885</v>
      </c>
      <c r="K130" s="16" t="n">
        <f aca="false" t="array" ref="K130:K130">IFERROR(INDEX(AC130:AE130,IF(COUNTA(AC130:AE130)=0,"",MAX((AC130:AE130&lt;&gt;"")*(COLUMN(AC130:AE130)-(COLUMN(AC130)-1))))-1),"")</f>
        <v>46068</v>
      </c>
      <c r="L130" s="17" t="str">
        <f aca="false" t="array" ref="L130:L130">IFERROR(INDEX(AC130:AE130,IF(COUNTA(AC130:AE130)=0,"",MAX((AC130:AE130&lt;&gt;"")*(COLUMN(AC130:AE130)-(COLUMN(AC130)-2))))-1),"")</f>
        <v>ARCHIVED</v>
      </c>
      <c r="M130" s="13" t="n">
        <f aca="true">K130-TODAY()</f>
        <v>-256</v>
      </c>
      <c r="N130" s="18" t="s">
        <v>615</v>
      </c>
      <c r="O130" s="13" t="s">
        <v>58</v>
      </c>
      <c r="P130" s="19" t="n">
        <v>5176101</v>
      </c>
      <c r="Q130" s="20" t="s">
        <v>620</v>
      </c>
      <c r="R130" s="13" t="s">
        <v>232</v>
      </c>
      <c r="S130" s="14" t="n">
        <v>32958</v>
      </c>
      <c r="T130" s="13" t="s">
        <v>40</v>
      </c>
      <c r="U130" s="13" t="s">
        <v>621</v>
      </c>
      <c r="V130" s="13" t="s">
        <v>42</v>
      </c>
      <c r="W130" s="13" t="s">
        <v>54</v>
      </c>
      <c r="X130" s="21" t="n">
        <v>82140056529</v>
      </c>
      <c r="Y130" s="22" t="str">
        <f aca="false">O130</f>
        <v>Produksi</v>
      </c>
      <c r="Z130" s="13" t="str">
        <f aca="false">IFERROR(__xludf.dummyfunction("if(BJ130="""","""",GOOGLETRANSLATE(BJ130,""auto"",""en""))"),"Production")</f>
        <v>Production</v>
      </c>
      <c r="AA130" s="23" t="str">
        <f aca="false">IF(C130="","", CHOOSE(MONTH(C130),"January","February","March","April","May","June","July","August","September","October","November","December")&amp;" "&amp;DAY(C130)&amp;MID("thstndrdth",MIN(9,2*RIGHT(DAY(C130))*(MOD(DAY(C130)-11,100)&gt;2)+1),2)&amp;","&amp;TEXT(C130," yyyy"))</f>
        <v>February 16th,2021</v>
      </c>
      <c r="AB130" s="15" t="str">
        <f aca="true">IF(S130="","",DATEDIF(S130,TODAY(),"Y")&amp;" Tahun, "&amp;DATEDIF(S130,TODAY(),"YM")&amp;" Bulan, "&amp;DATEDIF(S130,TODAY(),"MD")&amp;" Hari")</f>
        <v>36 Tahun, 7 Bulan, 3 Hari</v>
      </c>
      <c r="AC130" s="18" t="n">
        <v>45885</v>
      </c>
      <c r="AD130" s="18" t="n">
        <v>46068</v>
      </c>
      <c r="AE130" s="18" t="s">
        <v>44</v>
      </c>
    </row>
    <row r="131" customFormat="false" ht="15" hidden="false" customHeight="true" outlineLevel="0" collapsed="false">
      <c r="A131" s="12" t="n">
        <v>732</v>
      </c>
      <c r="B131" s="13" t="s">
        <v>622</v>
      </c>
      <c r="C131" s="14" t="n">
        <v>44243</v>
      </c>
      <c r="D131" s="13" t="s">
        <v>613</v>
      </c>
      <c r="E131" s="15" t="s">
        <v>47</v>
      </c>
      <c r="F131" s="15" t="str">
        <f aca="false">IFERROR(__xludf.dummyfunction("XLOOKUP(AJ131,IMPORTRANGE(""1XaInW9DU9nz21V0tYIfzFQ0He9kVQ_JF2mCXgZ3hqFA"",""REKAP ALL 2026 - Andika!G:G""),IMPORTRANGE(""1XaInW9DU9nz21V0tYIfzFQ0He9kVQ_JF2mCXgZ3hqFA"",""REKAP ALL 2026 - Andika!F:F""),"""",0)"),"11038775984")</f>
        <v>11038775984</v>
      </c>
      <c r="G131" s="13" t="s">
        <v>623</v>
      </c>
      <c r="H131" s="13" t="s">
        <v>35</v>
      </c>
      <c r="I131" s="13" t="str">
        <f aca="false">IF(C131=J131,"NEW KONTRAK","RE-KONTRAK")</f>
        <v>RE-KONTRAK</v>
      </c>
      <c r="J131" s="16" t="n">
        <f aca="false" t="array" ref="J131:J131">IFERROR(INDEX(AC131:AE131,IF(COUNTA(AC131:AE131)=0,"",MAX((AC131:AE131&lt;&gt;"")*(COLUMN(AC131:AE131)-(COLUMN(AC131)))))-1),"")</f>
        <v>45885</v>
      </c>
      <c r="K131" s="16" t="n">
        <f aca="false" t="array" ref="K131:K131">IFERROR(INDEX(AC131:AE131,IF(COUNTA(AC131:AE131)=0,"",MAX((AC131:AE131&lt;&gt;"")*(COLUMN(AC131:AE131)-(COLUMN(AC131)-1))))-1),"")</f>
        <v>46068</v>
      </c>
      <c r="L131" s="17" t="str">
        <f aca="false" t="array" ref="L131:L131">IFERROR(INDEX(AC131:AE131,IF(COUNTA(AC131:AE131)=0,"",MAX((AC131:AE131&lt;&gt;"")*(COLUMN(AC131:AE131)-(COLUMN(AC131)-2))))-1),"")</f>
        <v>ARCHIVED</v>
      </c>
      <c r="M131" s="13" t="n">
        <f aca="true">K131-TODAY()</f>
        <v>-256</v>
      </c>
      <c r="N131" s="18" t="s">
        <v>615</v>
      </c>
      <c r="O131" s="13" t="s">
        <v>624</v>
      </c>
      <c r="P131" s="19" t="n">
        <v>5176101</v>
      </c>
      <c r="Q131" s="20" t="s">
        <v>625</v>
      </c>
      <c r="R131" s="13" t="s">
        <v>232</v>
      </c>
      <c r="S131" s="14" t="n">
        <v>34051</v>
      </c>
      <c r="T131" s="13" t="s">
        <v>40</v>
      </c>
      <c r="U131" s="13" t="s">
        <v>626</v>
      </c>
      <c r="V131" s="13" t="s">
        <v>42</v>
      </c>
      <c r="W131" s="13" t="s">
        <v>54</v>
      </c>
      <c r="X131" s="21" t="n">
        <v>81529209757</v>
      </c>
      <c r="Y131" s="22" t="str">
        <f aca="false">O131</f>
        <v>Quality Control</v>
      </c>
      <c r="Z131" s="13" t="str">
        <f aca="false">IFERROR(__xludf.dummyfunction("if(BJ131="""","""",GOOGLETRANSLATE(BJ131,""auto"",""en""))"),"Quality Control")</f>
        <v>Quality Control</v>
      </c>
      <c r="AA131" s="23" t="str">
        <f aca="false">IF(C131="","", CHOOSE(MONTH(C131),"January","February","March","April","May","June","July","August","September","October","November","December")&amp;" "&amp;DAY(C131)&amp;MID("thstndrdth",MIN(9,2*RIGHT(DAY(C131))*(MOD(DAY(C131)-11,100)&gt;2)+1),2)&amp;","&amp;TEXT(C131," yyyy"))</f>
        <v>February 16th,2021</v>
      </c>
      <c r="AB131" s="15" t="str">
        <f aca="true">IF(S131="","",DATEDIF(S131,TODAY(),"Y")&amp;" Tahun, "&amp;DATEDIF(S131,TODAY(),"YM")&amp;" Bulan, "&amp;DATEDIF(S131,TODAY(),"MD")&amp;" Hari")</f>
        <v>33 Tahun, 7 Bulan, 6 Hari</v>
      </c>
      <c r="AC131" s="18" t="n">
        <v>45885</v>
      </c>
      <c r="AD131" s="18" t="n">
        <v>46068</v>
      </c>
      <c r="AE131" s="18" t="s">
        <v>44</v>
      </c>
    </row>
    <row r="132" customFormat="false" ht="15" hidden="false" customHeight="true" outlineLevel="0" collapsed="false">
      <c r="A132" s="12" t="n">
        <v>734</v>
      </c>
      <c r="B132" s="13" t="s">
        <v>627</v>
      </c>
      <c r="C132" s="14" t="n">
        <v>44243</v>
      </c>
      <c r="D132" s="13" t="s">
        <v>613</v>
      </c>
      <c r="E132" s="15" t="s">
        <v>47</v>
      </c>
      <c r="F132" s="15" t="str">
        <f aca="false">IFERROR(__xludf.dummyfunction("XLOOKUP(AJ132,IMPORTRANGE(""1XaInW9DU9nz21V0tYIfzFQ0He9kVQ_JF2mCXgZ3hqFA"",""REKAP ALL 2026 - Andika!G:G""),IMPORTRANGE(""1XaInW9DU9nz21V0tYIfzFQ0He9kVQ_JF2mCXgZ3hqFA"",""REKAP ALL 2026 - Andika!F:F""),"""",0)"),"21018749800")</f>
        <v>21018749800</v>
      </c>
      <c r="G132" s="13" t="s">
        <v>628</v>
      </c>
      <c r="H132" s="13" t="s">
        <v>35</v>
      </c>
      <c r="I132" s="13" t="str">
        <f aca="false">IF(C132=J132,"NEW KONTRAK","RE-KONTRAK")</f>
        <v>RE-KONTRAK</v>
      </c>
      <c r="J132" s="16" t="n">
        <f aca="false" t="array" ref="J132:J132">IFERROR(INDEX(AC132:AE132,IF(COUNTA(AC132:AE132)=0,"",MAX((AC132:AE132&lt;&gt;"")*(COLUMN(AC132:AE132)-(COLUMN(AC132)))))-1),"")</f>
        <v>45885</v>
      </c>
      <c r="K132" s="16" t="n">
        <f aca="false" t="array" ref="K132:K132">IFERROR(INDEX(AC132:AE132,IF(COUNTA(AC132:AE132)=0,"",MAX((AC132:AE132&lt;&gt;"")*(COLUMN(AC132:AE132)-(COLUMN(AC132)-1))))-1),"")</f>
        <v>46068</v>
      </c>
      <c r="L132" s="17" t="str">
        <f aca="false" t="array" ref="L132:L132">IFERROR(INDEX(AC132:AE132,IF(COUNTA(AC132:AE132)=0,"",MAX((AC132:AE132&lt;&gt;"")*(COLUMN(AC132:AE132)-(COLUMN(AC132)-2))))-1),"")</f>
        <v>ARCHIVED</v>
      </c>
      <c r="M132" s="13" t="n">
        <f aca="true">K132-TODAY()</f>
        <v>-256</v>
      </c>
      <c r="N132" s="18" t="s">
        <v>615</v>
      </c>
      <c r="O132" s="13" t="s">
        <v>58</v>
      </c>
      <c r="P132" s="19" t="n">
        <v>5176101</v>
      </c>
      <c r="Q132" s="20" t="s">
        <v>629</v>
      </c>
      <c r="R132" s="13" t="s">
        <v>39</v>
      </c>
      <c r="S132" s="14" t="n">
        <v>35389</v>
      </c>
      <c r="T132" s="13" t="s">
        <v>40</v>
      </c>
      <c r="U132" s="13" t="s">
        <v>630</v>
      </c>
      <c r="V132" s="13" t="s">
        <v>42</v>
      </c>
      <c r="W132" s="13" t="s">
        <v>54</v>
      </c>
      <c r="X132" s="21" t="n">
        <v>85784510311</v>
      </c>
      <c r="Y132" s="22" t="str">
        <f aca="false">O132</f>
        <v>Produksi</v>
      </c>
      <c r="Z132" s="13" t="str">
        <f aca="false">IFERROR(__xludf.dummyfunction("if(BJ132="""","""",GOOGLETRANSLATE(BJ132,""auto"",""en""))"),"Production")</f>
        <v>Production</v>
      </c>
      <c r="AA132" s="23" t="str">
        <f aca="false">IF(C132="","", CHOOSE(MONTH(C132),"January","February","March","April","May","June","July","August","September","October","November","December")&amp;" "&amp;DAY(C132)&amp;MID("thstndrdth",MIN(9,2*RIGHT(DAY(C132))*(MOD(DAY(C132)-11,100)&gt;2)+1),2)&amp;","&amp;TEXT(C132," yyyy"))</f>
        <v>February 16th,2021</v>
      </c>
      <c r="AB132" s="15" t="str">
        <f aca="true">IF(S132="","",DATEDIF(S132,TODAY(),"Y")&amp;" Tahun, "&amp;DATEDIF(S132,TODAY(),"YM")&amp;" Bulan, "&amp;DATEDIF(S132,TODAY(),"MD")&amp;" Hari")</f>
        <v>29 Tahun, 11 Bulan, 9 Hari</v>
      </c>
      <c r="AC132" s="18" t="n">
        <v>45885</v>
      </c>
      <c r="AD132" s="18" t="n">
        <v>46068</v>
      </c>
      <c r="AE132" s="18" t="s">
        <v>44</v>
      </c>
    </row>
    <row r="133" customFormat="false" ht="15" hidden="false" customHeight="true" outlineLevel="0" collapsed="false">
      <c r="A133" s="12" t="n">
        <v>736</v>
      </c>
      <c r="B133" s="13" t="s">
        <v>631</v>
      </c>
      <c r="C133" s="14" t="n">
        <v>44243</v>
      </c>
      <c r="D133" s="13" t="s">
        <v>613</v>
      </c>
      <c r="E133" s="15" t="s">
        <v>47</v>
      </c>
      <c r="F133" s="15" t="str">
        <f aca="false">IFERROR(__xludf.dummyfunction("XLOOKUP(AJ133,IMPORTRANGE(""1XaInW9DU9nz21V0tYIfzFQ0He9kVQ_JF2mCXgZ3hqFA"",""REKAP ALL 2026 - Andika!G:G""),IMPORTRANGE(""1XaInW9DU9nz21V0tYIfzFQ0He9kVQ_JF2mCXgZ3hqFA"",""REKAP ALL 2026 - Andika!F:F""),"""",0)"),"16049706399")</f>
        <v>16049706399</v>
      </c>
      <c r="G133" s="13" t="s">
        <v>632</v>
      </c>
      <c r="H133" s="13" t="s">
        <v>35</v>
      </c>
      <c r="I133" s="13" t="str">
        <f aca="false">IF(C133=J133,"NEW KONTRAK","RE-KONTRAK")</f>
        <v>RE-KONTRAK</v>
      </c>
      <c r="J133" s="16" t="n">
        <f aca="false" t="array" ref="J133:J133">IFERROR(INDEX(AC133:AE133,IF(COUNTA(AC133:AE133)=0,"",MAX((AC133:AE133&lt;&gt;"")*(COLUMN(AC133:AE133)-(COLUMN(AC133)))))-1),"")</f>
        <v>45885</v>
      </c>
      <c r="K133" s="16" t="n">
        <f aca="false" t="array" ref="K133:K133">IFERROR(INDEX(AC133:AE133,IF(COUNTA(AC133:AE133)=0,"",MAX((AC133:AE133&lt;&gt;"")*(COLUMN(AC133:AE133)-(COLUMN(AC133)-1))))-1),"")</f>
        <v>46068</v>
      </c>
      <c r="L133" s="17" t="str">
        <f aca="false" t="array" ref="L133:L133">IFERROR(INDEX(AC133:AE133,IF(COUNTA(AC133:AE133)=0,"",MAX((AC133:AE133&lt;&gt;"")*(COLUMN(AC133:AE133)-(COLUMN(AC133)-2))))-1),"")</f>
        <v>ARCHIVED</v>
      </c>
      <c r="M133" s="13" t="n">
        <f aca="true">K133-TODAY()</f>
        <v>-256</v>
      </c>
      <c r="N133" s="18" t="s">
        <v>615</v>
      </c>
      <c r="O133" s="13" t="s">
        <v>624</v>
      </c>
      <c r="P133" s="19" t="n">
        <v>5176101</v>
      </c>
      <c r="Q133" s="20" t="s">
        <v>633</v>
      </c>
      <c r="R133" s="13" t="s">
        <v>232</v>
      </c>
      <c r="S133" s="14" t="n">
        <v>31523</v>
      </c>
      <c r="T133" s="13" t="s">
        <v>40</v>
      </c>
      <c r="U133" s="13" t="s">
        <v>634</v>
      </c>
      <c r="V133" s="13" t="s">
        <v>42</v>
      </c>
      <c r="W133" s="13" t="s">
        <v>54</v>
      </c>
      <c r="X133" s="21" t="n">
        <v>85730524942</v>
      </c>
      <c r="Y133" s="22" t="str">
        <f aca="false">O133</f>
        <v>Quality Control</v>
      </c>
      <c r="Z133" s="13" t="str">
        <f aca="false">IFERROR(__xludf.dummyfunction("if(BJ133="""","""",GOOGLETRANSLATE(BJ133,""auto"",""en""))"),"Quality Control")</f>
        <v>Quality Control</v>
      </c>
      <c r="AA133" s="23" t="str">
        <f aca="false">IF(C133="","", CHOOSE(MONTH(C133),"January","February","March","April","May","June","July","August","September","October","November","December")&amp;" "&amp;DAY(C133)&amp;MID("thstndrdth",MIN(9,2*RIGHT(DAY(C133))*(MOD(DAY(C133)-11,100)&gt;2)+1),2)&amp;","&amp;TEXT(C133," yyyy"))</f>
        <v>February 16th,2021</v>
      </c>
      <c r="AB133" s="15" t="str">
        <f aca="true">IF(S133="","",DATEDIF(S133,TODAY(),"Y")&amp;" Tahun, "&amp;DATEDIF(S133,TODAY(),"YM")&amp;" Bulan, "&amp;DATEDIF(S133,TODAY(),"MD")&amp;" Hari")</f>
        <v>40 Tahun, 6 Bulan, 8 Hari</v>
      </c>
      <c r="AC133" s="18" t="n">
        <v>45885</v>
      </c>
      <c r="AD133" s="18" t="n">
        <v>46068</v>
      </c>
      <c r="AE133" s="18" t="s">
        <v>44</v>
      </c>
    </row>
    <row r="134" customFormat="false" ht="15" hidden="false" customHeight="true" outlineLevel="0" collapsed="false">
      <c r="A134" s="12" t="n">
        <v>738</v>
      </c>
      <c r="B134" s="13" t="s">
        <v>635</v>
      </c>
      <c r="C134" s="14" t="n">
        <v>44243</v>
      </c>
      <c r="D134" s="13" t="s">
        <v>613</v>
      </c>
      <c r="E134" s="15" t="s">
        <v>47</v>
      </c>
      <c r="F134" s="15" t="str">
        <f aca="false">IFERROR(__xludf.dummyfunction("XLOOKUP(AJ134,IMPORTRANGE(""1XaInW9DU9nz21V0tYIfzFQ0He9kVQ_JF2mCXgZ3hqFA"",""REKAP ALL 2026 - Andika!G:G""),IMPORTRANGE(""1XaInW9DU9nz21V0tYIfzFQ0He9kVQ_JF2mCXgZ3hqFA"",""REKAP ALL 2026 - Andika!F:F""),"""",0)"),"16031398841")</f>
        <v>16031398841</v>
      </c>
      <c r="G134" s="13" t="s">
        <v>636</v>
      </c>
      <c r="H134" s="13" t="s">
        <v>35</v>
      </c>
      <c r="I134" s="13" t="str">
        <f aca="false">IF(C134=J134,"NEW KONTRAK","RE-KONTRAK")</f>
        <v>RE-KONTRAK</v>
      </c>
      <c r="J134" s="16" t="n">
        <f aca="false" t="array" ref="J134:J134">IFERROR(INDEX(AC134:AE134,IF(COUNTA(AC134:AE134)=0,"",MAX((AC134:AE134&lt;&gt;"")*(COLUMN(AC134:AE134)-(COLUMN(AC134)))))-1),"")</f>
        <v>45885</v>
      </c>
      <c r="K134" s="16" t="n">
        <f aca="false" t="array" ref="K134:K134">IFERROR(INDEX(AC134:AE134,IF(COUNTA(AC134:AE134)=0,"",MAX((AC134:AE134&lt;&gt;"")*(COLUMN(AC134:AE134)-(COLUMN(AC134)-1))))-1),"")</f>
        <v>46068</v>
      </c>
      <c r="L134" s="17" t="str">
        <f aca="false" t="array" ref="L134:L134">IFERROR(INDEX(AC134:AE134,IF(COUNTA(AC134:AE134)=0,"",MAX((AC134:AE134&lt;&gt;"")*(COLUMN(AC134:AE134)-(COLUMN(AC134)-2))))-1),"")</f>
        <v>ARCHIVED</v>
      </c>
      <c r="M134" s="13" t="n">
        <f aca="true">K134-TODAY()</f>
        <v>-256</v>
      </c>
      <c r="N134" s="18" t="s">
        <v>615</v>
      </c>
      <c r="O134" s="13" t="s">
        <v>637</v>
      </c>
      <c r="P134" s="19" t="n">
        <v>5176101</v>
      </c>
      <c r="Q134" s="20" t="s">
        <v>638</v>
      </c>
      <c r="R134" s="13" t="s">
        <v>39</v>
      </c>
      <c r="S134" s="14" t="n">
        <v>35836</v>
      </c>
      <c r="T134" s="13" t="s">
        <v>40</v>
      </c>
      <c r="U134" s="13" t="s">
        <v>639</v>
      </c>
      <c r="V134" s="13" t="s">
        <v>42</v>
      </c>
      <c r="W134" s="13" t="s">
        <v>43</v>
      </c>
      <c r="X134" s="21" t="n">
        <v>87702733211</v>
      </c>
      <c r="Y134" s="22" t="str">
        <f aca="false">O134</f>
        <v>WTP</v>
      </c>
      <c r="Z134" s="13" t="str">
        <f aca="false">IFERROR(__xludf.dummyfunction("if(BJ134="""","""",GOOGLETRANSLATE(BJ134,""auto"",""en""))"),"WTP")</f>
        <v>WTP</v>
      </c>
      <c r="AA134" s="23" t="str">
        <f aca="false">IF(C134="","", CHOOSE(MONTH(C134),"January","February","March","April","May","June","July","August","September","October","November","December")&amp;" "&amp;DAY(C134)&amp;MID("thstndrdth",MIN(9,2*RIGHT(DAY(C134))*(MOD(DAY(C134)-11,100)&gt;2)+1),2)&amp;","&amp;TEXT(C134," yyyy"))</f>
        <v>February 16th,2021</v>
      </c>
      <c r="AB134" s="15" t="str">
        <f aca="true">IF(S134="","",DATEDIF(S134,TODAY(),"Y")&amp;" Tahun, "&amp;DATEDIF(S134,TODAY(),"YM")&amp;" Bulan, "&amp;DATEDIF(S134,TODAY(),"MD")&amp;" Hari")</f>
        <v>28 Tahun, 8 Bulan, 19 Hari</v>
      </c>
      <c r="AC134" s="18" t="n">
        <v>45885</v>
      </c>
      <c r="AD134" s="18" t="n">
        <v>46068</v>
      </c>
      <c r="AE134" s="18" t="s">
        <v>44</v>
      </c>
    </row>
    <row r="135" customFormat="false" ht="15" hidden="false" customHeight="true" outlineLevel="0" collapsed="false">
      <c r="A135" s="12" t="n">
        <v>741</v>
      </c>
      <c r="B135" s="13" t="s">
        <v>640</v>
      </c>
      <c r="C135" s="14" t="n">
        <v>44243</v>
      </c>
      <c r="D135" s="13" t="s">
        <v>613</v>
      </c>
      <c r="E135" s="15" t="s">
        <v>47</v>
      </c>
      <c r="F135" s="15" t="str">
        <f aca="false">IFERROR(__xludf.dummyfunction("XLOOKUP(AJ135,IMPORTRANGE(""1XaInW9DU9nz21V0tYIfzFQ0He9kVQ_JF2mCXgZ3hqFA"",""REKAP ALL 2026 - Andika!G:G""),IMPORTRANGE(""1XaInW9DU9nz21V0tYIfzFQ0He9kVQ_JF2mCXgZ3hqFA"",""REKAP ALL 2026 - Andika!F:F""),"""",0)"),"25012463631")</f>
        <v>25012463631</v>
      </c>
      <c r="G135" s="13" t="s">
        <v>641</v>
      </c>
      <c r="H135" s="13" t="s">
        <v>35</v>
      </c>
      <c r="I135" s="13" t="str">
        <f aca="false">IF(C135=J135,"NEW KONTRAK","RE-KONTRAK")</f>
        <v>RE-KONTRAK</v>
      </c>
      <c r="J135" s="16" t="n">
        <f aca="false" t="array" ref="J135:J135">IFERROR(INDEX(AC135:AE135,IF(COUNTA(AC135:AE135)=0,"",MAX((AC135:AE135&lt;&gt;"")*(COLUMN(AC135:AE135)-(COLUMN(AC135)))))-1),"")</f>
        <v>45885</v>
      </c>
      <c r="K135" s="16" t="n">
        <f aca="false" t="array" ref="K135:K135">IFERROR(INDEX(AC135:AE135,IF(COUNTA(AC135:AE135)=0,"",MAX((AC135:AE135&lt;&gt;"")*(COLUMN(AC135:AE135)-(COLUMN(AC135)-1))))-1),"")</f>
        <v>46068</v>
      </c>
      <c r="L135" s="17" t="str">
        <f aca="false" t="array" ref="L135:L135">IFERROR(INDEX(AC135:AE135,IF(COUNTA(AC135:AE135)=0,"",MAX((AC135:AE135&lt;&gt;"")*(COLUMN(AC135:AE135)-(COLUMN(AC135)-2))))-1),"")</f>
        <v>ARCHIVED</v>
      </c>
      <c r="M135" s="13" t="n">
        <f aca="true">K135-TODAY()</f>
        <v>-256</v>
      </c>
      <c r="N135" s="18" t="s">
        <v>615</v>
      </c>
      <c r="O135" s="13" t="s">
        <v>58</v>
      </c>
      <c r="P135" s="19" t="n">
        <v>5176101</v>
      </c>
      <c r="Q135" s="20" t="s">
        <v>642</v>
      </c>
      <c r="R135" s="13" t="s">
        <v>232</v>
      </c>
      <c r="S135" s="14" t="n">
        <v>34227</v>
      </c>
      <c r="T135" s="13" t="s">
        <v>40</v>
      </c>
      <c r="U135" s="13" t="s">
        <v>643</v>
      </c>
      <c r="V135" s="13" t="s">
        <v>42</v>
      </c>
      <c r="W135" s="13" t="s">
        <v>43</v>
      </c>
      <c r="X135" s="21" t="n">
        <v>87758728324</v>
      </c>
      <c r="Y135" s="22" t="str">
        <f aca="false">O135</f>
        <v>Produksi</v>
      </c>
      <c r="Z135" s="13" t="str">
        <f aca="false">IFERROR(__xludf.dummyfunction("if(BJ135="""","""",GOOGLETRANSLATE(BJ135,""auto"",""en""))"),"Production")</f>
        <v>Production</v>
      </c>
      <c r="AA135" s="23" t="str">
        <f aca="false">IF(C135="","", CHOOSE(MONTH(C135),"January","February","March","April","May","June","July","August","September","October","November","December")&amp;" "&amp;DAY(C135)&amp;MID("thstndrdth",MIN(9,2*RIGHT(DAY(C135))*(MOD(DAY(C135)-11,100)&gt;2)+1),2)&amp;","&amp;TEXT(C135," yyyy"))</f>
        <v>February 16th,2021</v>
      </c>
      <c r="AB135" s="15" t="str">
        <f aca="true">IF(S135="","",DATEDIF(S135,TODAY(),"Y")&amp;" Tahun, "&amp;DATEDIF(S135,TODAY(),"YM")&amp;" Bulan, "&amp;DATEDIF(S135,TODAY(),"MD")&amp;" Hari")</f>
        <v>33 Tahun, 1 Bulan, 14 Hari</v>
      </c>
      <c r="AC135" s="18" t="n">
        <v>45885</v>
      </c>
      <c r="AD135" s="18" t="n">
        <v>46068</v>
      </c>
      <c r="AE135" s="18" t="s">
        <v>44</v>
      </c>
    </row>
    <row r="136" customFormat="false" ht="15" hidden="false" customHeight="true" outlineLevel="0" collapsed="false">
      <c r="A136" s="12" t="n">
        <v>743</v>
      </c>
      <c r="B136" s="13" t="s">
        <v>644</v>
      </c>
      <c r="C136" s="14" t="n">
        <v>44243</v>
      </c>
      <c r="D136" s="13" t="s">
        <v>613</v>
      </c>
      <c r="E136" s="15" t="s">
        <v>47</v>
      </c>
      <c r="F136" s="15" t="str">
        <f aca="false">IFERROR(__xludf.dummyfunction("XLOOKUP(AJ136,IMPORTRANGE(""1XaInW9DU9nz21V0tYIfzFQ0He9kVQ_JF2mCXgZ3hqFA"",""REKAP ALL 2026 - Andika!G:G""),IMPORTRANGE(""1XaInW9DU9nz21V0tYIfzFQ0He9kVQ_JF2mCXgZ3hqFA"",""REKAP ALL 2026 - Andika!F:F""),"""",0)"),"16049706464")</f>
        <v>16049706464</v>
      </c>
      <c r="G136" s="13" t="s">
        <v>645</v>
      </c>
      <c r="H136" s="13" t="s">
        <v>35</v>
      </c>
      <c r="I136" s="13" t="str">
        <f aca="false">IF(C136=J136,"NEW KONTRAK","RE-KONTRAK")</f>
        <v>RE-KONTRAK</v>
      </c>
      <c r="J136" s="16" t="n">
        <f aca="false" t="array" ref="J136:J136">IFERROR(INDEX(AC136:AE136,IF(COUNTA(AC136:AE136)=0,"",MAX((AC136:AE136&lt;&gt;"")*(COLUMN(AC136:AE136)-(COLUMN(AC136)))))-1),"")</f>
        <v>45885</v>
      </c>
      <c r="K136" s="16" t="n">
        <f aca="false" t="array" ref="K136:K136">IFERROR(INDEX(AC136:AE136,IF(COUNTA(AC136:AE136)=0,"",MAX((AC136:AE136&lt;&gt;"")*(COLUMN(AC136:AE136)-(COLUMN(AC136)-1))))-1),"")</f>
        <v>46068</v>
      </c>
      <c r="L136" s="17" t="str">
        <f aca="false" t="array" ref="L136:L136">IFERROR(INDEX(AC136:AE136,IF(COUNTA(AC136:AE136)=0,"",MAX((AC136:AE136&lt;&gt;"")*(COLUMN(AC136:AE136)-(COLUMN(AC136)-2))))-1),"")</f>
        <v>ARCHIVED</v>
      </c>
      <c r="M136" s="13" t="n">
        <f aca="true">K136-TODAY()</f>
        <v>-256</v>
      </c>
      <c r="N136" s="18" t="s">
        <v>615</v>
      </c>
      <c r="O136" s="13" t="s">
        <v>646</v>
      </c>
      <c r="P136" s="19" t="n">
        <v>5176101</v>
      </c>
      <c r="Q136" s="20" t="s">
        <v>647</v>
      </c>
      <c r="R136" s="13" t="s">
        <v>232</v>
      </c>
      <c r="S136" s="14" t="n">
        <v>30855</v>
      </c>
      <c r="T136" s="13" t="s">
        <v>40</v>
      </c>
      <c r="U136" s="13" t="s">
        <v>648</v>
      </c>
      <c r="V136" s="13" t="s">
        <v>42</v>
      </c>
      <c r="W136" s="13" t="s">
        <v>54</v>
      </c>
      <c r="X136" s="21" t="n">
        <v>85876852825</v>
      </c>
      <c r="Y136" s="22" t="str">
        <f aca="false">O136</f>
        <v>Lab.</v>
      </c>
      <c r="Z136" s="13" t="str">
        <f aca="false">IFERROR(__xludf.dummyfunction("if(BJ136="""","""",GOOGLETRANSLATE(BJ136,""auto"",""en""))"),"Lab.")</f>
        <v>Lab.</v>
      </c>
      <c r="AA136" s="23" t="str">
        <f aca="false">IF(C136="","", CHOOSE(MONTH(C136),"January","February","March","April","May","June","July","August","September","October","November","December")&amp;" "&amp;DAY(C136)&amp;MID("thstndrdth",MIN(9,2*RIGHT(DAY(C136))*(MOD(DAY(C136)-11,100)&gt;2)+1),2)&amp;","&amp;TEXT(C136," yyyy"))</f>
        <v>February 16th,2021</v>
      </c>
      <c r="AB136" s="15" t="str">
        <f aca="true">IF(S136="","",DATEDIF(S136,TODAY(),"Y")&amp;" Tahun, "&amp;DATEDIF(S136,TODAY(),"YM")&amp;" Bulan, "&amp;DATEDIF(S136,TODAY(),"MD")&amp;" Hari")</f>
        <v>42 Tahun, 4 Bulan, 7 Hari</v>
      </c>
      <c r="AC136" s="18" t="n">
        <v>45885</v>
      </c>
      <c r="AD136" s="18" t="n">
        <v>46068</v>
      </c>
      <c r="AE136" s="18" t="s">
        <v>44</v>
      </c>
    </row>
    <row r="137" customFormat="false" ht="15" hidden="false" customHeight="true" outlineLevel="0" collapsed="false">
      <c r="A137" s="12" t="n">
        <v>744</v>
      </c>
      <c r="B137" s="13" t="s">
        <v>649</v>
      </c>
      <c r="C137" s="14" t="n">
        <v>44243</v>
      </c>
      <c r="D137" s="13" t="s">
        <v>613</v>
      </c>
      <c r="E137" s="15" t="s">
        <v>47</v>
      </c>
      <c r="F137" s="15" t="str">
        <f aca="false">IFERROR(__xludf.dummyfunction("XLOOKUP(AJ137,IMPORTRANGE(""1XaInW9DU9nz21V0tYIfzFQ0He9kVQ_JF2mCXgZ3hqFA"",""REKAP ALL 2026 - Andika!G:G""),IMPORTRANGE(""1XaInW9DU9nz21V0tYIfzFQ0He9kVQ_JF2mCXgZ3hqFA"",""REKAP ALL 2026 - Andika!F:F""),"""",0)"),"26005755199")</f>
        <v>26005755199</v>
      </c>
      <c r="G137" s="13" t="s">
        <v>650</v>
      </c>
      <c r="H137" s="13" t="s">
        <v>35</v>
      </c>
      <c r="I137" s="13" t="str">
        <f aca="false">IF(C137=J137,"NEW KONTRAK","RE-KONTRAK")</f>
        <v>RE-KONTRAK</v>
      </c>
      <c r="J137" s="16" t="n">
        <f aca="false" t="array" ref="J137:J137">IFERROR(INDEX(AC137:AE137,IF(COUNTA(AC137:AE137)=0,"",MAX((AC137:AE137&lt;&gt;"")*(COLUMN(AC137:AE137)-(COLUMN(AC137)))))-1),"")</f>
        <v>45885</v>
      </c>
      <c r="K137" s="16" t="n">
        <f aca="false" t="array" ref="K137:K137">IFERROR(INDEX(AC137:AE137,IF(COUNTA(AC137:AE137)=0,"",MAX((AC137:AE137&lt;&gt;"")*(COLUMN(AC137:AE137)-(COLUMN(AC137)-1))))-1),"")</f>
        <v>46068</v>
      </c>
      <c r="L137" s="17" t="str">
        <f aca="false" t="array" ref="L137:L137">IFERROR(INDEX(AC137:AE137,IF(COUNTA(AC137:AE137)=0,"",MAX((AC137:AE137&lt;&gt;"")*(COLUMN(AC137:AE137)-(COLUMN(AC137)-2))))-1),"")</f>
        <v>ARCHIVED</v>
      </c>
      <c r="M137" s="13" t="n">
        <f aca="true">K137-TODAY()</f>
        <v>-256</v>
      </c>
      <c r="N137" s="18" t="s">
        <v>615</v>
      </c>
      <c r="O137" s="13" t="s">
        <v>58</v>
      </c>
      <c r="P137" s="19" t="n">
        <v>5176101</v>
      </c>
      <c r="Q137" s="20" t="s">
        <v>651</v>
      </c>
      <c r="R137" s="13" t="s">
        <v>232</v>
      </c>
      <c r="S137" s="14" t="n">
        <v>35320</v>
      </c>
      <c r="T137" s="13" t="s">
        <v>40</v>
      </c>
      <c r="U137" s="13" t="s">
        <v>652</v>
      </c>
      <c r="V137" s="13" t="s">
        <v>42</v>
      </c>
      <c r="W137" s="13" t="s">
        <v>54</v>
      </c>
      <c r="X137" s="21" t="n">
        <v>82333927498</v>
      </c>
      <c r="Y137" s="22" t="str">
        <f aca="false">O137</f>
        <v>Produksi</v>
      </c>
      <c r="Z137" s="13" t="str">
        <f aca="false">IFERROR(__xludf.dummyfunction("if(BJ137="""","""",GOOGLETRANSLATE(BJ137,""auto"",""en""))"),"Production")</f>
        <v>Production</v>
      </c>
      <c r="AA137" s="23" t="str">
        <f aca="false">IF(C137="","", CHOOSE(MONTH(C137),"January","February","March","April","May","June","July","August","September","October","November","December")&amp;" "&amp;DAY(C137)&amp;MID("thstndrdth",MIN(9,2*RIGHT(DAY(C137))*(MOD(DAY(C137)-11,100)&gt;2)+1),2)&amp;","&amp;TEXT(C137," yyyy"))</f>
        <v>February 16th,2021</v>
      </c>
      <c r="AB137" s="15" t="str">
        <f aca="true">IF(S137="","",DATEDIF(S137,TODAY(),"Y")&amp;" Tahun, "&amp;DATEDIF(S137,TODAY(),"YM")&amp;" Bulan, "&amp;DATEDIF(S137,TODAY(),"MD")&amp;" Hari")</f>
        <v>30 Tahun, 1 Bulan, 17 Hari</v>
      </c>
      <c r="AC137" s="18" t="n">
        <v>45885</v>
      </c>
      <c r="AD137" s="18" t="n">
        <v>46068</v>
      </c>
      <c r="AE137" s="18" t="s">
        <v>44</v>
      </c>
    </row>
    <row r="138" customFormat="false" ht="15" hidden="false" customHeight="true" outlineLevel="0" collapsed="false">
      <c r="A138" s="12" t="n">
        <v>746</v>
      </c>
      <c r="B138" s="13" t="s">
        <v>653</v>
      </c>
      <c r="C138" s="14" t="n">
        <v>44243</v>
      </c>
      <c r="D138" s="13" t="s">
        <v>613</v>
      </c>
      <c r="E138" s="15" t="s">
        <v>47</v>
      </c>
      <c r="F138" s="15" t="str">
        <f aca="false">IFERROR(__xludf.dummyfunction("XLOOKUP(AJ138,IMPORTRANGE(""1XaInW9DU9nz21V0tYIfzFQ0He9kVQ_JF2mCXgZ3hqFA"",""REKAP ALL 2026 - Andika!G:G""),IMPORTRANGE(""1XaInW9DU9nz21V0tYIfzFQ0He9kVQ_JF2mCXgZ3hqFA"",""REKAP ALL 2026 - Andika!F:F""),"""",0)"),"26020755216")</f>
        <v>26020755216</v>
      </c>
      <c r="G138" s="13" t="s">
        <v>654</v>
      </c>
      <c r="H138" s="13" t="s">
        <v>35</v>
      </c>
      <c r="I138" s="13" t="str">
        <f aca="false">IF(C138=J138,"NEW KONTRAK","RE-KONTRAK")</f>
        <v>RE-KONTRAK</v>
      </c>
      <c r="J138" s="16" t="n">
        <f aca="false" t="array" ref="J138:J138">IFERROR(INDEX(AC138:AE138,IF(COUNTA(AC138:AE138)=0,"",MAX((AC138:AE138&lt;&gt;"")*(COLUMN(AC138:AE138)-(COLUMN(AC138)))))-1),"")</f>
        <v>45885</v>
      </c>
      <c r="K138" s="16" t="n">
        <f aca="false" t="array" ref="K138:K138">IFERROR(INDEX(AC138:AE138,IF(COUNTA(AC138:AE138)=0,"",MAX((AC138:AE138&lt;&gt;"")*(COLUMN(AC138:AE138)-(COLUMN(AC138)-1))))-1),"")</f>
        <v>46068</v>
      </c>
      <c r="L138" s="17" t="str">
        <f aca="false" t="array" ref="L138:L138">IFERROR(INDEX(AC138:AE138,IF(COUNTA(AC138:AE138)=0,"",MAX((AC138:AE138&lt;&gt;"")*(COLUMN(AC138:AE138)-(COLUMN(AC138)-2))))-1),"")</f>
        <v>ARCHIVED</v>
      </c>
      <c r="M138" s="13" t="n">
        <f aca="true">K138-TODAY()</f>
        <v>-256</v>
      </c>
      <c r="N138" s="18" t="s">
        <v>615</v>
      </c>
      <c r="O138" s="13" t="s">
        <v>58</v>
      </c>
      <c r="P138" s="19" t="n">
        <v>5176101</v>
      </c>
      <c r="Q138" s="20" t="s">
        <v>655</v>
      </c>
      <c r="R138" s="13" t="s">
        <v>39</v>
      </c>
      <c r="S138" s="14" t="n">
        <v>30719</v>
      </c>
      <c r="T138" s="13" t="s">
        <v>40</v>
      </c>
      <c r="U138" s="13" t="s">
        <v>656</v>
      </c>
      <c r="V138" s="13" t="s">
        <v>42</v>
      </c>
      <c r="W138" s="13" t="s">
        <v>54</v>
      </c>
      <c r="X138" s="21" t="n">
        <v>85648668238</v>
      </c>
      <c r="Y138" s="22" t="str">
        <f aca="false">O138</f>
        <v>Produksi</v>
      </c>
      <c r="Z138" s="13" t="str">
        <f aca="false">IFERROR(__xludf.dummyfunction("if(BJ138="""","""",GOOGLETRANSLATE(BJ138,""auto"",""en""))"),"Production")</f>
        <v>Production</v>
      </c>
      <c r="AA138" s="23" t="str">
        <f aca="false">IF(C138="","", CHOOSE(MONTH(C138),"January","February","March","April","May","June","July","August","September","October","November","December")&amp;" "&amp;DAY(C138)&amp;MID("thstndrdth",MIN(9,2*RIGHT(DAY(C138))*(MOD(DAY(C138)-11,100)&gt;2)+1),2)&amp;","&amp;TEXT(C138," yyyy"))</f>
        <v>February 16th,2021</v>
      </c>
      <c r="AB138" s="15" t="str">
        <f aca="true">IF(S138="","",DATEDIF(S138,TODAY(),"Y")&amp;" Tahun, "&amp;DATEDIF(S138,TODAY(),"YM")&amp;" Bulan, "&amp;DATEDIF(S138,TODAY(),"MD")&amp;" Hari")</f>
        <v>42 Tahun, 8 Bulan, 22 Hari</v>
      </c>
      <c r="AC138" s="18" t="n">
        <v>45885</v>
      </c>
      <c r="AD138" s="18" t="n">
        <v>46068</v>
      </c>
      <c r="AE138" s="18" t="s">
        <v>44</v>
      </c>
    </row>
    <row r="139" customFormat="false" ht="15" hidden="false" customHeight="true" outlineLevel="0" collapsed="false">
      <c r="A139" s="12" t="n">
        <v>747</v>
      </c>
      <c r="B139" s="13" t="s">
        <v>657</v>
      </c>
      <c r="C139" s="14" t="n">
        <v>44243</v>
      </c>
      <c r="D139" s="13" t="s">
        <v>613</v>
      </c>
      <c r="E139" s="15" t="s">
        <v>47</v>
      </c>
      <c r="F139" s="15" t="str">
        <f aca="false">IFERROR(__xludf.dummyfunction("XLOOKUP(AJ139,IMPORTRANGE(""1XaInW9DU9nz21V0tYIfzFQ0He9kVQ_JF2mCXgZ3hqFA"",""REKAP ALL 2026 - Andika!G:G""),IMPORTRANGE(""1XaInW9DU9nz21V0tYIfzFQ0He9kVQ_JF2mCXgZ3hqFA"",""REKAP ALL 2026 - Andika!F:F""),"""",0)"),"21018749966")</f>
        <v>21018749966</v>
      </c>
      <c r="G139" s="13" t="s">
        <v>658</v>
      </c>
      <c r="H139" s="13" t="s">
        <v>35</v>
      </c>
      <c r="I139" s="13" t="str">
        <f aca="false">IF(C139=J139,"NEW KONTRAK","RE-KONTRAK")</f>
        <v>RE-KONTRAK</v>
      </c>
      <c r="J139" s="16" t="n">
        <f aca="false" t="array" ref="J139:J139">IFERROR(INDEX(AC139:AE139,IF(COUNTA(AC139:AE139)=0,"",MAX((AC139:AE139&lt;&gt;"")*(COLUMN(AC139:AE139)-(COLUMN(AC139)))))-1),"")</f>
        <v>45885</v>
      </c>
      <c r="K139" s="16" t="n">
        <f aca="false" t="array" ref="K139:K139">IFERROR(INDEX(AC139:AE139,IF(COUNTA(AC139:AE139)=0,"",MAX((AC139:AE139&lt;&gt;"")*(COLUMN(AC139:AE139)-(COLUMN(AC139)-1))))-1),"")</f>
        <v>46068</v>
      </c>
      <c r="L139" s="17" t="str">
        <f aca="false" t="array" ref="L139:L139">IFERROR(INDEX(AC139:AE139,IF(COUNTA(AC139:AE139)=0,"",MAX((AC139:AE139&lt;&gt;"")*(COLUMN(AC139:AE139)-(COLUMN(AC139)-2))))-1),"")</f>
        <v>ARCHIVED</v>
      </c>
      <c r="M139" s="13" t="n">
        <f aca="true">K139-TODAY()</f>
        <v>-256</v>
      </c>
      <c r="N139" s="18" t="s">
        <v>615</v>
      </c>
      <c r="O139" s="13" t="s">
        <v>58</v>
      </c>
      <c r="P139" s="19" t="n">
        <v>5176101</v>
      </c>
      <c r="Q139" s="20" t="s">
        <v>659</v>
      </c>
      <c r="R139" s="13" t="s">
        <v>52</v>
      </c>
      <c r="S139" s="14" t="n">
        <v>33136</v>
      </c>
      <c r="T139" s="13" t="s">
        <v>40</v>
      </c>
      <c r="U139" s="13" t="s">
        <v>660</v>
      </c>
      <c r="V139" s="13" t="s">
        <v>42</v>
      </c>
      <c r="W139" s="13" t="s">
        <v>43</v>
      </c>
      <c r="X139" s="21" t="n">
        <v>81556455077</v>
      </c>
      <c r="Y139" s="22" t="str">
        <f aca="false">O139</f>
        <v>Produksi</v>
      </c>
      <c r="Z139" s="13" t="str">
        <f aca="false">IFERROR(__xludf.dummyfunction("if(BJ139="""","""",GOOGLETRANSLATE(BJ139,""auto"",""en""))"),"Production")</f>
        <v>Production</v>
      </c>
      <c r="AA139" s="23" t="str">
        <f aca="false">IF(C139="","", CHOOSE(MONTH(C139),"January","February","March","April","May","June","July","August","September","October","November","December")&amp;" "&amp;DAY(C139)&amp;MID("thstndrdth",MIN(9,2*RIGHT(DAY(C139))*(MOD(DAY(C139)-11,100)&gt;2)+1),2)&amp;","&amp;TEXT(C139," yyyy"))</f>
        <v>February 16th,2021</v>
      </c>
      <c r="AB139" s="15" t="str">
        <f aca="true">IF(S139="","",DATEDIF(S139,TODAY(),"Y")&amp;" Tahun, "&amp;DATEDIF(S139,TODAY(),"YM")&amp;" Bulan, "&amp;DATEDIF(S139,TODAY(),"MD")&amp;" Hari")</f>
        <v>36 Tahun, 1 Bulan, 9 Hari</v>
      </c>
      <c r="AC139" s="18" t="n">
        <v>45885</v>
      </c>
      <c r="AD139" s="18" t="n">
        <v>46068</v>
      </c>
      <c r="AE139" s="18" t="s">
        <v>44</v>
      </c>
    </row>
    <row r="140" customFormat="false" ht="15" hidden="false" customHeight="true" outlineLevel="0" collapsed="false">
      <c r="A140" s="12" t="n">
        <v>749</v>
      </c>
      <c r="B140" s="13" t="s">
        <v>661</v>
      </c>
      <c r="C140" s="14" t="n">
        <v>45965</v>
      </c>
      <c r="D140" s="13" t="s">
        <v>613</v>
      </c>
      <c r="E140" s="15" t="s">
        <v>47</v>
      </c>
      <c r="F140" s="15" t="str">
        <f aca="false">IFERROR(__xludf.dummyfunction("XLOOKUP(AJ140,IMPORTRANGE(""1XaInW9DU9nz21V0tYIfzFQ0He9kVQ_JF2mCXgZ3hqFA"",""REKAP ALL 2026 - Andika!G:G""),IMPORTRANGE(""1XaInW9DU9nz21V0tYIfzFQ0He9kVQ_JF2mCXgZ3hqFA"",""REKAP ALL 2026 - Andika!F:F""),"""",0)"),"17035258080")</f>
        <v>17035258080</v>
      </c>
      <c r="G140" s="13" t="s">
        <v>662</v>
      </c>
      <c r="H140" s="13" t="s">
        <v>35</v>
      </c>
      <c r="I140" s="13" t="str">
        <f aca="false">IF(C140=J140,"NEW KONTRAK","RE-KONTRAK")</f>
        <v>NEW KONTRAK</v>
      </c>
      <c r="J140" s="16" t="n">
        <f aca="false" t="array" ref="J140:J140">IFERROR(INDEX(AC140:AE140,IF(COUNTA(AC140:AE140)=0,"",MAX((AC140:AE140&lt;&gt;"")*(COLUMN(AC140:AE140)-(COLUMN(AC140)))))-1),"")</f>
        <v>45965</v>
      </c>
      <c r="K140" s="16" t="n">
        <f aca="false" t="array" ref="K140:K140">IFERROR(INDEX(AC140:AE140,IF(COUNTA(AC140:AE140)=0,"",MAX((AC140:AE140&lt;&gt;"")*(COLUMN(AC140:AE140)-(COLUMN(AC140)-1))))-1),"")</f>
        <v>46037</v>
      </c>
      <c r="L140" s="17" t="str">
        <f aca="false" t="array" ref="L140:L140">IFERROR(INDEX(AC140:AE140,IF(COUNTA(AC140:AE140)=0,"",MAX((AC140:AE140&lt;&gt;"")*(COLUMN(AC140:AE140)-(COLUMN(AC140)-2))))-1),"")</f>
        <v>ARCHIVED</v>
      </c>
      <c r="M140" s="13" t="n">
        <f aca="true">K140-TODAY()</f>
        <v>-287</v>
      </c>
      <c r="N140" s="18" t="s">
        <v>615</v>
      </c>
      <c r="O140" s="13" t="s">
        <v>58</v>
      </c>
      <c r="P140" s="19" t="n">
        <v>5176101</v>
      </c>
      <c r="Q140" s="20" t="s">
        <v>663</v>
      </c>
      <c r="R140" s="13" t="s">
        <v>232</v>
      </c>
      <c r="S140" s="14" t="n">
        <v>26908</v>
      </c>
      <c r="T140" s="13" t="s">
        <v>40</v>
      </c>
      <c r="U140" s="13" t="s">
        <v>664</v>
      </c>
      <c r="V140" s="13" t="s">
        <v>42</v>
      </c>
      <c r="W140" s="13" t="s">
        <v>54</v>
      </c>
      <c r="X140" s="21" t="n">
        <v>85707413182</v>
      </c>
      <c r="Y140" s="22" t="str">
        <f aca="false">O140</f>
        <v>Produksi</v>
      </c>
      <c r="Z140" s="13" t="str">
        <f aca="false">IFERROR(__xludf.dummyfunction("if(BJ140="""","""",GOOGLETRANSLATE(BJ140,""auto"",""en""))"),"Production")</f>
        <v>Production</v>
      </c>
      <c r="AA140" s="23" t="str">
        <f aca="false">IF(C140="","", CHOOSE(MONTH(C140),"January","February","March","April","May","June","July","August","September","October","November","December")&amp;" "&amp;DAY(C140)&amp;MID("thstndrdth",MIN(9,2*RIGHT(DAY(C140))*(MOD(DAY(C140)-11,100)&gt;2)+1),2)&amp;","&amp;TEXT(C140," yyyy"))</f>
        <v>November 4th,2025</v>
      </c>
      <c r="AB140" s="15" t="str">
        <f aca="true">IF(S140="","",DATEDIF(S140,TODAY(),"Y")&amp;" Tahun, "&amp;DATEDIF(S140,TODAY(),"YM")&amp;" Bulan, "&amp;DATEDIF(S140,TODAY(),"MD")&amp;" Hari")</f>
        <v>53 Tahun, 1 Bulan, 28 Hari</v>
      </c>
      <c r="AC140" s="18" t="n">
        <v>45965</v>
      </c>
      <c r="AD140" s="18" t="n">
        <v>46037</v>
      </c>
      <c r="AE140" s="13" t="s">
        <v>44</v>
      </c>
    </row>
    <row r="141" customFormat="false" ht="15" hidden="false" customHeight="true" outlineLevel="0" collapsed="false">
      <c r="A141" s="12" t="n">
        <v>751</v>
      </c>
      <c r="B141" s="13" t="s">
        <v>665</v>
      </c>
      <c r="C141" s="14" t="n">
        <v>44243</v>
      </c>
      <c r="D141" s="13" t="s">
        <v>613</v>
      </c>
      <c r="E141" s="15" t="s">
        <v>47</v>
      </c>
      <c r="F141" s="15" t="str">
        <f aca="false">IFERROR(__xludf.dummyfunction("XLOOKUP(AJ141,IMPORTRANGE(""1XaInW9DU9nz21V0tYIfzFQ0He9kVQ_JF2mCXgZ3hqFA"",""REKAP ALL 2026 - Andika!G:G""),IMPORTRANGE(""1XaInW9DU9nz21V0tYIfzFQ0He9kVQ_JF2mCXgZ3hqFA"",""REKAP ALL 2026 - Andika!F:F""),"""",0)"),"21018749990")</f>
        <v>21018749990</v>
      </c>
      <c r="G141" s="13" t="s">
        <v>666</v>
      </c>
      <c r="H141" s="13" t="s">
        <v>35</v>
      </c>
      <c r="I141" s="13" t="str">
        <f aca="false">IF(C141=J141,"NEW KONTRAK","RE-KONTRAK")</f>
        <v>RE-KONTRAK</v>
      </c>
      <c r="J141" s="16" t="n">
        <f aca="false" t="array" ref="J141:J141">IFERROR(INDEX(AC141:AE141,IF(COUNTA(AC141:AE141)=0,"",MAX((AC141:AE141&lt;&gt;"")*(COLUMN(AC141:AE141)-(COLUMN(AC141)))))-1),"")</f>
        <v>45885</v>
      </c>
      <c r="K141" s="16" t="n">
        <f aca="false" t="array" ref="K141:K141">IFERROR(INDEX(AC141:AE141,IF(COUNTA(AC141:AE141)=0,"",MAX((AC141:AE141&lt;&gt;"")*(COLUMN(AC141:AE141)-(COLUMN(AC141)-1))))-1),"")</f>
        <v>46068</v>
      </c>
      <c r="L141" s="17" t="str">
        <f aca="false" t="array" ref="L141:L141">IFERROR(INDEX(AC141:AE141,IF(COUNTA(AC141:AE141)=0,"",MAX((AC141:AE141&lt;&gt;"")*(COLUMN(AC141:AE141)-(COLUMN(AC141)-2))))-1),"")</f>
        <v>ARCHIVED</v>
      </c>
      <c r="M141" s="13" t="n">
        <f aca="true">K141-TODAY()</f>
        <v>-256</v>
      </c>
      <c r="N141" s="18" t="s">
        <v>615</v>
      </c>
      <c r="O141" s="13" t="s">
        <v>624</v>
      </c>
      <c r="P141" s="19" t="n">
        <v>5176101</v>
      </c>
      <c r="Q141" s="20" t="s">
        <v>667</v>
      </c>
      <c r="R141" s="13" t="s">
        <v>232</v>
      </c>
      <c r="S141" s="14" t="n">
        <v>31370</v>
      </c>
      <c r="T141" s="13" t="s">
        <v>40</v>
      </c>
      <c r="U141" s="13" t="s">
        <v>668</v>
      </c>
      <c r="V141" s="13" t="s">
        <v>42</v>
      </c>
      <c r="W141" s="13" t="s">
        <v>54</v>
      </c>
      <c r="X141" s="21" t="n">
        <v>85608923981</v>
      </c>
      <c r="Y141" s="22" t="str">
        <f aca="false">O141</f>
        <v>Quality Control</v>
      </c>
      <c r="Z141" s="13" t="str">
        <f aca="false">IFERROR(__xludf.dummyfunction("if(BJ141="""","""",GOOGLETRANSLATE(BJ141,""auto"",""en""))"),"Quality Control")</f>
        <v>Quality Control</v>
      </c>
      <c r="AA141" s="23" t="str">
        <f aca="false">IF(C141="","", CHOOSE(MONTH(C141),"January","February","March","April","May","June","July","August","September","October","November","December")&amp;" "&amp;DAY(C141)&amp;MID("thstndrdth",MIN(9,2*RIGHT(DAY(C141))*(MOD(DAY(C141)-11,100)&gt;2)+1),2)&amp;","&amp;TEXT(C141," yyyy"))</f>
        <v>February 16th,2021</v>
      </c>
      <c r="AB141" s="15" t="str">
        <f aca="true">IF(S141="","",DATEDIF(S141,TODAY(),"Y")&amp;" Tahun, "&amp;DATEDIF(S141,TODAY(),"YM")&amp;" Bulan, "&amp;DATEDIF(S141,TODAY(),"MD")&amp;" Hari")</f>
        <v>40 Tahun, 11 Bulan, 10 Hari</v>
      </c>
      <c r="AC141" s="18" t="n">
        <v>45885</v>
      </c>
      <c r="AD141" s="18" t="n">
        <v>46068</v>
      </c>
      <c r="AE141" s="18" t="s">
        <v>44</v>
      </c>
    </row>
    <row r="142" customFormat="false" ht="15" hidden="false" customHeight="true" outlineLevel="0" collapsed="false">
      <c r="A142" s="12" t="n">
        <v>753</v>
      </c>
      <c r="B142" s="13" t="s">
        <v>669</v>
      </c>
      <c r="C142" s="14" t="n">
        <v>44243</v>
      </c>
      <c r="D142" s="13" t="s">
        <v>613</v>
      </c>
      <c r="E142" s="15" t="s">
        <v>47</v>
      </c>
      <c r="F142" s="15" t="str">
        <f aca="false">IFERROR(__xludf.dummyfunction("XLOOKUP(AJ142,IMPORTRANGE(""1XaInW9DU9nz21V0tYIfzFQ0He9kVQ_JF2mCXgZ3hqFA"",""REKAP ALL 2026 - Andika!G:G""),IMPORTRANGE(""1XaInW9DU9nz21V0tYIfzFQ0He9kVQ_JF2mCXgZ3hqFA"",""REKAP ALL 2026 - Andika!F:F""),"""",0)"),"21018750014")</f>
        <v>21018750014</v>
      </c>
      <c r="G142" s="13" t="s">
        <v>670</v>
      </c>
      <c r="H142" s="13" t="s">
        <v>35</v>
      </c>
      <c r="I142" s="13" t="str">
        <f aca="false">IF(C142=J142,"NEW KONTRAK","RE-KONTRAK")</f>
        <v>RE-KONTRAK</v>
      </c>
      <c r="J142" s="16" t="n">
        <f aca="false" t="array" ref="J142:J142">IFERROR(INDEX(AC142:AE142,IF(COUNTA(AC142:AE142)=0,"",MAX((AC142:AE142&lt;&gt;"")*(COLUMN(AC142:AE142)-(COLUMN(AC142)))))-1),"")</f>
        <v>45885</v>
      </c>
      <c r="K142" s="16" t="n">
        <f aca="false" t="array" ref="K142:K142">IFERROR(INDEX(AC142:AE142,IF(COUNTA(AC142:AE142)=0,"",MAX((AC142:AE142&lt;&gt;"")*(COLUMN(AC142:AE142)-(COLUMN(AC142)-1))))-1),"")</f>
        <v>46068</v>
      </c>
      <c r="L142" s="17" t="str">
        <f aca="false" t="array" ref="L142:L142">IFERROR(INDEX(AC142:AE142,IF(COUNTA(AC142:AE142)=0,"",MAX((AC142:AE142&lt;&gt;"")*(COLUMN(AC142:AE142)-(COLUMN(AC142)-2))))-1),"")</f>
        <v>ARCHIVED</v>
      </c>
      <c r="M142" s="13" t="n">
        <f aca="true">K142-TODAY()</f>
        <v>-256</v>
      </c>
      <c r="N142" s="18" t="s">
        <v>615</v>
      </c>
      <c r="O142" s="13" t="s">
        <v>58</v>
      </c>
      <c r="P142" s="19" t="n">
        <v>5176101</v>
      </c>
      <c r="Q142" s="20" t="s">
        <v>671</v>
      </c>
      <c r="R142" s="13" t="s">
        <v>232</v>
      </c>
      <c r="S142" s="14" t="n">
        <v>33059</v>
      </c>
      <c r="T142" s="13" t="s">
        <v>40</v>
      </c>
      <c r="U142" s="13" t="s">
        <v>672</v>
      </c>
      <c r="V142" s="13" t="s">
        <v>42</v>
      </c>
      <c r="W142" s="13" t="s">
        <v>54</v>
      </c>
      <c r="X142" s="21" t="n">
        <v>82132936893</v>
      </c>
      <c r="Y142" s="22" t="str">
        <f aca="false">O142</f>
        <v>Produksi</v>
      </c>
      <c r="Z142" s="13" t="str">
        <f aca="false">IFERROR(__xludf.dummyfunction("if(BJ142="""","""",GOOGLETRANSLATE(BJ142,""auto"",""en""))"),"Production")</f>
        <v>Production</v>
      </c>
      <c r="AA142" s="23" t="str">
        <f aca="false">IF(C142="","", CHOOSE(MONTH(C142),"January","February","March","April","May","June","July","August","September","October","November","December")&amp;" "&amp;DAY(C142)&amp;MID("thstndrdth",MIN(9,2*RIGHT(DAY(C142))*(MOD(DAY(C142)-11,100)&gt;2)+1),2)&amp;","&amp;TEXT(C142," yyyy"))</f>
        <v>February 16th,2021</v>
      </c>
      <c r="AB142" s="15" t="str">
        <f aca="true">IF(S142="","",DATEDIF(S142,TODAY(),"Y")&amp;" Tahun, "&amp;DATEDIF(S142,TODAY(),"YM")&amp;" Bulan, "&amp;DATEDIF(S142,TODAY(),"MD")&amp;" Hari")</f>
        <v>36 Tahun, 3 Bulan, 24 Hari</v>
      </c>
      <c r="AC142" s="18" t="n">
        <v>45885</v>
      </c>
      <c r="AD142" s="18" t="n">
        <v>46068</v>
      </c>
      <c r="AE142" s="18" t="s">
        <v>44</v>
      </c>
    </row>
    <row r="143" customFormat="false" ht="15" hidden="false" customHeight="true" outlineLevel="0" collapsed="false">
      <c r="A143" s="12" t="n">
        <v>754</v>
      </c>
      <c r="B143" s="13" t="s">
        <v>673</v>
      </c>
      <c r="C143" s="14" t="n">
        <v>44243</v>
      </c>
      <c r="D143" s="13" t="s">
        <v>613</v>
      </c>
      <c r="E143" s="15" t="s">
        <v>47</v>
      </c>
      <c r="F143" s="15" t="str">
        <f aca="false">IFERROR(__xludf.dummyfunction("XLOOKUP(AJ143,IMPORTRANGE(""1XaInW9DU9nz21V0tYIfzFQ0He9kVQ_JF2mCXgZ3hqFA"",""REKAP ALL 2026 - Andika!G:G""),IMPORTRANGE(""1XaInW9DU9nz21V0tYIfzFQ0He9kVQ_JF2mCXgZ3hqFA"",""REKAP ALL 2026 - Andika!F:F""),"""",0)"),"19079920583")</f>
        <v>19079920583</v>
      </c>
      <c r="G143" s="13" t="s">
        <v>674</v>
      </c>
      <c r="H143" s="13" t="s">
        <v>35</v>
      </c>
      <c r="I143" s="13" t="str">
        <f aca="false">IF(C143=J143,"NEW KONTRAK","RE-KONTRAK")</f>
        <v>RE-KONTRAK</v>
      </c>
      <c r="J143" s="16" t="n">
        <f aca="false" t="array" ref="J143:J143">IFERROR(INDEX(AC143:AE143,IF(COUNTA(AC143:AE143)=0,"",MAX((AC143:AE143&lt;&gt;"")*(COLUMN(AC143:AE143)-(COLUMN(AC143)))))-1),"")</f>
        <v>45885</v>
      </c>
      <c r="K143" s="16" t="n">
        <f aca="false" t="array" ref="K143:K143">IFERROR(INDEX(AC143:AE143,IF(COUNTA(AC143:AE143)=0,"",MAX((AC143:AE143&lt;&gt;"")*(COLUMN(AC143:AE143)-(COLUMN(AC143)-1))))-1),"")</f>
        <v>46068</v>
      </c>
      <c r="L143" s="17" t="str">
        <f aca="false" t="array" ref="L143:L143">IFERROR(INDEX(AC143:AE143,IF(COUNTA(AC143:AE143)=0,"",MAX((AC143:AE143&lt;&gt;"")*(COLUMN(AC143:AE143)-(COLUMN(AC143)-2))))-1),"")</f>
        <v>ARCHIVED</v>
      </c>
      <c r="M143" s="13" t="n">
        <f aca="true">K143-TODAY()</f>
        <v>-256</v>
      </c>
      <c r="N143" s="18" t="s">
        <v>615</v>
      </c>
      <c r="O143" s="13" t="s">
        <v>58</v>
      </c>
      <c r="P143" s="19" t="n">
        <v>5176101</v>
      </c>
      <c r="Q143" s="20" t="s">
        <v>675</v>
      </c>
      <c r="R143" s="13" t="s">
        <v>232</v>
      </c>
      <c r="S143" s="14" t="n">
        <v>36267</v>
      </c>
      <c r="T143" s="13" t="s">
        <v>40</v>
      </c>
      <c r="U143" s="13" t="s">
        <v>639</v>
      </c>
      <c r="V143" s="13" t="s">
        <v>42</v>
      </c>
      <c r="W143" s="13" t="s">
        <v>43</v>
      </c>
      <c r="X143" s="21" t="n">
        <v>85732491300</v>
      </c>
      <c r="Y143" s="22" t="str">
        <f aca="false">O143</f>
        <v>Produksi</v>
      </c>
      <c r="Z143" s="13" t="str">
        <f aca="false">IFERROR(__xludf.dummyfunction("if(BJ143="""","""",GOOGLETRANSLATE(BJ143,""auto"",""en""))"),"Production")</f>
        <v>Production</v>
      </c>
      <c r="AA143" s="23" t="str">
        <f aca="false">IF(C143="","", CHOOSE(MONTH(C143),"January","February","March","April","May","June","July","August","September","October","November","December")&amp;" "&amp;DAY(C143)&amp;MID("thstndrdth",MIN(9,2*RIGHT(DAY(C143))*(MOD(DAY(C143)-11,100)&gt;2)+1),2)&amp;","&amp;TEXT(C143," yyyy"))</f>
        <v>February 16th,2021</v>
      </c>
      <c r="AB143" s="15" t="str">
        <f aca="true">IF(S143="","",DATEDIF(S143,TODAY(),"Y")&amp;" Tahun, "&amp;DATEDIF(S143,TODAY(),"YM")&amp;" Bulan, "&amp;DATEDIF(S143,TODAY(),"MD")&amp;" Hari")</f>
        <v>27 Tahun, 6 Bulan, 12 Hari</v>
      </c>
      <c r="AC143" s="18" t="n">
        <v>45885</v>
      </c>
      <c r="AD143" s="18" t="n">
        <v>46068</v>
      </c>
      <c r="AE143" s="18" t="s">
        <v>44</v>
      </c>
    </row>
    <row r="144" customFormat="false" ht="15" hidden="false" customHeight="true" outlineLevel="0" collapsed="false">
      <c r="A144" s="12" t="n">
        <v>756</v>
      </c>
      <c r="B144" s="13" t="s">
        <v>676</v>
      </c>
      <c r="C144" s="14" t="n">
        <v>44243</v>
      </c>
      <c r="D144" s="13" t="s">
        <v>613</v>
      </c>
      <c r="E144" s="15" t="s">
        <v>47</v>
      </c>
      <c r="F144" s="15" t="str">
        <f aca="false">IFERROR(__xludf.dummyfunction("XLOOKUP(AJ144,IMPORTRANGE(""1XaInW9DU9nz21V0tYIfzFQ0He9kVQ_JF2mCXgZ3hqFA"",""REKAP ALL 2026 - Andika!G:G""),IMPORTRANGE(""1XaInW9DU9nz21V0tYIfzFQ0He9kVQ_JF2mCXgZ3hqFA"",""REKAP ALL 2026 - Andika!F:F""),"""",0)"),"03NC0049950")</f>
        <v>03NC0049950</v>
      </c>
      <c r="G144" s="13" t="s">
        <v>677</v>
      </c>
      <c r="H144" s="13" t="s">
        <v>35</v>
      </c>
      <c r="I144" s="13" t="str">
        <f aca="false">IF(C144=J144,"NEW KONTRAK","RE-KONTRAK")</f>
        <v>RE-KONTRAK</v>
      </c>
      <c r="J144" s="16" t="n">
        <f aca="false" t="array" ref="J144:J144">IFERROR(INDEX(AC144:AE144,IF(COUNTA(AC144:AE144)=0,"",MAX((AC144:AE144&lt;&gt;"")*(COLUMN(AC144:AE144)-(COLUMN(AC144)))))-1),"")</f>
        <v>45885</v>
      </c>
      <c r="K144" s="16" t="n">
        <f aca="false" t="array" ref="K144:K144">IFERROR(INDEX(AC144:AE144,IF(COUNTA(AC144:AE144)=0,"",MAX((AC144:AE144&lt;&gt;"")*(COLUMN(AC144:AE144)-(COLUMN(AC144)-1))))-1),"")</f>
        <v>46068</v>
      </c>
      <c r="L144" s="17" t="str">
        <f aca="false" t="array" ref="L144:L144">IFERROR(INDEX(AC144:AE144,IF(COUNTA(AC144:AE144)=0,"",MAX((AC144:AE144&lt;&gt;"")*(COLUMN(AC144:AE144)-(COLUMN(AC144)-2))))-1),"")</f>
        <v>ARCHIVED</v>
      </c>
      <c r="M144" s="13" t="n">
        <f aca="true">K144-TODAY()</f>
        <v>-256</v>
      </c>
      <c r="N144" s="18" t="s">
        <v>615</v>
      </c>
      <c r="O144" s="13" t="s">
        <v>58</v>
      </c>
      <c r="P144" s="19" t="n">
        <v>5176101</v>
      </c>
      <c r="Q144" s="20" t="s">
        <v>678</v>
      </c>
      <c r="R144" s="13" t="s">
        <v>65</v>
      </c>
      <c r="S144" s="14" t="n">
        <v>30075</v>
      </c>
      <c r="T144" s="13" t="s">
        <v>40</v>
      </c>
      <c r="U144" s="13" t="s">
        <v>679</v>
      </c>
      <c r="V144" s="13" t="s">
        <v>42</v>
      </c>
      <c r="W144" s="13" t="s">
        <v>54</v>
      </c>
      <c r="X144" s="21" t="n">
        <v>85733553832</v>
      </c>
      <c r="Y144" s="22" t="str">
        <f aca="false">O144</f>
        <v>Produksi</v>
      </c>
      <c r="Z144" s="13" t="str">
        <f aca="false">IFERROR(__xludf.dummyfunction("if(BJ144="""","""",GOOGLETRANSLATE(BJ144,""auto"",""en""))"),"Production")</f>
        <v>Production</v>
      </c>
      <c r="AA144" s="23" t="str">
        <f aca="false">IF(C144="","", CHOOSE(MONTH(C144),"January","February","March","April","May","June","July","August","September","October","November","December")&amp;" "&amp;DAY(C144)&amp;MID("thstndrdth",MIN(9,2*RIGHT(DAY(C144))*(MOD(DAY(C144)-11,100)&gt;2)+1),2)&amp;","&amp;TEXT(C144," yyyy"))</f>
        <v>February 16th,2021</v>
      </c>
      <c r="AB144" s="15" t="str">
        <f aca="true">IF(S144="","",DATEDIF(S144,TODAY(),"Y")&amp;" Tahun, "&amp;DATEDIF(S144,TODAY(),"YM")&amp;" Bulan, "&amp;DATEDIF(S144,TODAY(),"MD")&amp;" Hari")</f>
        <v>44 Tahun, 5 Bulan, 25 Hari</v>
      </c>
      <c r="AC144" s="18" t="n">
        <v>45885</v>
      </c>
      <c r="AD144" s="18" t="n">
        <v>46068</v>
      </c>
      <c r="AE144" s="18" t="s">
        <v>44</v>
      </c>
    </row>
    <row r="145" customFormat="false" ht="15" hidden="false" customHeight="true" outlineLevel="0" collapsed="false">
      <c r="A145" s="12" t="n">
        <v>757</v>
      </c>
      <c r="B145" s="13" t="s">
        <v>680</v>
      </c>
      <c r="C145" s="14" t="n">
        <v>44243</v>
      </c>
      <c r="D145" s="13" t="s">
        <v>613</v>
      </c>
      <c r="E145" s="15" t="s">
        <v>47</v>
      </c>
      <c r="F145" s="15" t="str">
        <f aca="false">IFERROR(__xludf.dummyfunction("XLOOKUP(AJ145,IMPORTRANGE(""1XaInW9DU9nz21V0tYIfzFQ0He9kVQ_JF2mCXgZ3hqFA"",""REKAP ALL 2026 - Andika!G:G""),IMPORTRANGE(""1XaInW9DU9nz21V0tYIfzFQ0He9kVQ_JF2mCXgZ3hqFA"",""REKAP ALL 2026 - Andika!F:F""),"""",0)"),"13001795056")</f>
        <v>13001795056</v>
      </c>
      <c r="G145" s="13" t="s">
        <v>681</v>
      </c>
      <c r="H145" s="13" t="s">
        <v>35</v>
      </c>
      <c r="I145" s="13" t="str">
        <f aca="false">IF(C145=J145,"NEW KONTRAK","RE-KONTRAK")</f>
        <v>RE-KONTRAK</v>
      </c>
      <c r="J145" s="16" t="n">
        <f aca="false" t="array" ref="J145:J145">IFERROR(INDEX(AC145:AE145,IF(COUNTA(AC145:AE145)=0,"",MAX((AC145:AE145&lt;&gt;"")*(COLUMN(AC145:AE145)-(COLUMN(AC145)))))-1),"")</f>
        <v>45885</v>
      </c>
      <c r="K145" s="16" t="n">
        <f aca="false" t="array" ref="K145:K145">IFERROR(INDEX(AC145:AE145,IF(COUNTA(AC145:AE145)=0,"",MAX((AC145:AE145&lt;&gt;"")*(COLUMN(AC145:AE145)-(COLUMN(AC145)-1))))-1),"")</f>
        <v>46068</v>
      </c>
      <c r="L145" s="17" t="str">
        <f aca="false" t="array" ref="L145:L145">IFERROR(INDEX(AC145:AE145,IF(COUNTA(AC145:AE145)=0,"",MAX((AC145:AE145&lt;&gt;"")*(COLUMN(AC145:AE145)-(COLUMN(AC145)-2))))-1),"")</f>
        <v>ARCHIVED</v>
      </c>
      <c r="M145" s="13" t="n">
        <f aca="true">K145-TODAY()</f>
        <v>-256</v>
      </c>
      <c r="N145" s="18" t="s">
        <v>615</v>
      </c>
      <c r="O145" s="13" t="s">
        <v>624</v>
      </c>
      <c r="P145" s="19" t="n">
        <v>5176101</v>
      </c>
      <c r="Q145" s="20" t="s">
        <v>682</v>
      </c>
      <c r="R145" s="13" t="s">
        <v>232</v>
      </c>
      <c r="S145" s="14" t="n">
        <v>33916</v>
      </c>
      <c r="T145" s="13" t="s">
        <v>40</v>
      </c>
      <c r="U145" s="13" t="s">
        <v>683</v>
      </c>
      <c r="V145" s="13" t="s">
        <v>42</v>
      </c>
      <c r="W145" s="13" t="s">
        <v>54</v>
      </c>
      <c r="X145" s="21" t="n">
        <v>85232567500</v>
      </c>
      <c r="Y145" s="22" t="str">
        <f aca="false">O145</f>
        <v>Quality Control</v>
      </c>
      <c r="Z145" s="13" t="str">
        <f aca="false">IFERROR(__xludf.dummyfunction("if(BJ145="""","""",GOOGLETRANSLATE(BJ145,""auto"",""en""))"),"Quality Control")</f>
        <v>Quality Control</v>
      </c>
      <c r="AA145" s="23" t="str">
        <f aca="false">IF(C145="","", CHOOSE(MONTH(C145),"January","February","March","April","May","June","July","August","September","October","November","December")&amp;" "&amp;DAY(C145)&amp;MID("thstndrdth",MIN(9,2*RIGHT(DAY(C145))*(MOD(DAY(C145)-11,100)&gt;2)+1),2)&amp;","&amp;TEXT(C145," yyyy"))</f>
        <v>February 16th,2021</v>
      </c>
      <c r="AB145" s="15" t="str">
        <f aca="true">IF(S145="","",DATEDIF(S145,TODAY(),"Y")&amp;" Tahun, "&amp;DATEDIF(S145,TODAY(),"YM")&amp;" Bulan, "&amp;DATEDIF(S145,TODAY(),"MD")&amp;" Hari")</f>
        <v>33 Tahun, 11 Bulan, 21 Hari</v>
      </c>
      <c r="AC145" s="18" t="n">
        <v>45885</v>
      </c>
      <c r="AD145" s="18" t="n">
        <v>46068</v>
      </c>
      <c r="AE145" s="18" t="s">
        <v>44</v>
      </c>
    </row>
    <row r="146" customFormat="false" ht="15" hidden="false" customHeight="true" outlineLevel="0" collapsed="false">
      <c r="A146" s="12" t="n">
        <v>759</v>
      </c>
      <c r="B146" s="13" t="s">
        <v>684</v>
      </c>
      <c r="C146" s="14" t="n">
        <v>44264</v>
      </c>
      <c r="D146" s="13" t="s">
        <v>613</v>
      </c>
      <c r="E146" s="15" t="s">
        <v>47</v>
      </c>
      <c r="F146" s="15" t="str">
        <f aca="false">IFERROR(__xludf.dummyfunction("XLOOKUP(AJ146,IMPORTRANGE(""1XaInW9DU9nz21V0tYIfzFQ0He9kVQ_JF2mCXgZ3hqFA"",""REKAP ALL 2026 - Andika!G:G""),IMPORTRANGE(""1XaInW9DU9nz21V0tYIfzFQ0He9kVQ_JF2mCXgZ3hqFA"",""REKAP ALL 2026 - Andika!F:F""),"""",0)"),"21018750089")</f>
        <v>21018750089</v>
      </c>
      <c r="G146" s="13" t="s">
        <v>685</v>
      </c>
      <c r="H146" s="13" t="s">
        <v>35</v>
      </c>
      <c r="I146" s="13" t="str">
        <f aca="false">IF(C146=J146,"NEW KONTRAK","RE-KONTRAK")</f>
        <v>RE-KONTRAK</v>
      </c>
      <c r="J146" s="16" t="n">
        <f aca="false" t="array" ref="J146:J146">IFERROR(INDEX(AC146:AE146,IF(COUNTA(AC146:AE146)=0,"",MAX((AC146:AE146&lt;&gt;"")*(COLUMN(AC146:AE146)-(COLUMN(AC146)))))-1),"")</f>
        <v>45885</v>
      </c>
      <c r="K146" s="16" t="n">
        <f aca="false" t="array" ref="K146:K146">IFERROR(INDEX(AC146:AE146,IF(COUNTA(AC146:AE146)=0,"",MAX((AC146:AE146&lt;&gt;"")*(COLUMN(AC146:AE146)-(COLUMN(AC146)-1))))-1),"")</f>
        <v>46068</v>
      </c>
      <c r="L146" s="17" t="str">
        <f aca="false" t="array" ref="L146:L146">IFERROR(INDEX(AC146:AE146,IF(COUNTA(AC146:AE146)=0,"",MAX((AC146:AE146&lt;&gt;"")*(COLUMN(AC146:AE146)-(COLUMN(AC146)-2))))-1),"")</f>
        <v>ARCHIVED</v>
      </c>
      <c r="M146" s="13" t="n">
        <f aca="true">K146-TODAY()</f>
        <v>-256</v>
      </c>
      <c r="N146" s="18" t="s">
        <v>615</v>
      </c>
      <c r="O146" s="13" t="s">
        <v>624</v>
      </c>
      <c r="P146" s="19" t="n">
        <v>5176101</v>
      </c>
      <c r="Q146" s="20" t="s">
        <v>686</v>
      </c>
      <c r="R146" s="13" t="s">
        <v>39</v>
      </c>
      <c r="S146" s="14" t="n">
        <v>35088</v>
      </c>
      <c r="T146" s="13" t="s">
        <v>40</v>
      </c>
      <c r="U146" s="13" t="s">
        <v>687</v>
      </c>
      <c r="V146" s="13" t="s">
        <v>42</v>
      </c>
      <c r="W146" s="13" t="s">
        <v>43</v>
      </c>
      <c r="X146" s="21" t="n">
        <v>87758352457</v>
      </c>
      <c r="Y146" s="22" t="str">
        <f aca="false">O146</f>
        <v>Quality Control</v>
      </c>
      <c r="Z146" s="13" t="str">
        <f aca="false">IFERROR(__xludf.dummyfunction("if(BJ146="""","""",GOOGLETRANSLATE(BJ146,""auto"",""en""))"),"Quality Control")</f>
        <v>Quality Control</v>
      </c>
      <c r="AA146" s="23" t="str">
        <f aca="false">IF(C146="","", CHOOSE(MONTH(C146),"January","February","March","April","May","June","July","August","September","October","November","December")&amp;" "&amp;DAY(C146)&amp;MID("thstndrdth",MIN(9,2*RIGHT(DAY(C146))*(MOD(DAY(C146)-11,100)&gt;2)+1),2)&amp;","&amp;TEXT(C146," yyyy"))</f>
        <v>March 9th,2021</v>
      </c>
      <c r="AB146" s="15" t="str">
        <f aca="true">IF(S146="","",DATEDIF(S146,TODAY(),"Y")&amp;" Tahun, "&amp;DATEDIF(S146,TODAY(),"YM")&amp;" Bulan, "&amp;DATEDIF(S146,TODAY(),"MD")&amp;" Hari")</f>
        <v>30 Tahun, 9 Bulan, 5 Hari</v>
      </c>
      <c r="AC146" s="18" t="n">
        <v>45885</v>
      </c>
      <c r="AD146" s="18" t="n">
        <v>46068</v>
      </c>
      <c r="AE146" s="18" t="s">
        <v>44</v>
      </c>
    </row>
    <row r="147" customFormat="false" ht="15" hidden="false" customHeight="true" outlineLevel="0" collapsed="false">
      <c r="A147" s="12" t="n">
        <v>760</v>
      </c>
      <c r="B147" s="13" t="s">
        <v>688</v>
      </c>
      <c r="C147" s="14" t="n">
        <v>44333</v>
      </c>
      <c r="D147" s="13" t="s">
        <v>613</v>
      </c>
      <c r="E147" s="15" t="s">
        <v>47</v>
      </c>
      <c r="F147" s="15" t="str">
        <f aca="false">IFERROR(__xludf.dummyfunction("XLOOKUP(AJ147,IMPORTRANGE(""1XaInW9DU9nz21V0tYIfzFQ0He9kVQ_JF2mCXgZ3hqFA"",""REKAP ALL 2026 - Andika!G:G""),IMPORTRANGE(""1XaInW9DU9nz21V0tYIfzFQ0He9kVQ_JF2mCXgZ3hqFA"",""REKAP ALL 2026 - Andika!F:F""),"""",0)"),"20072797374")</f>
        <v>20072797374</v>
      </c>
      <c r="G147" s="13" t="s">
        <v>689</v>
      </c>
      <c r="H147" s="13" t="s">
        <v>35</v>
      </c>
      <c r="I147" s="13" t="str">
        <f aca="false">IF(C147=J147,"NEW KONTRAK","RE-KONTRAK")</f>
        <v>RE-KONTRAK</v>
      </c>
      <c r="J147" s="16" t="n">
        <f aca="false" t="array" ref="J147:J147">IFERROR(INDEX(AC147:AE147,IF(COUNTA(AC147:AE147)=0,"",MAX((AC147:AE147&lt;&gt;"")*(COLUMN(AC147:AE147)-(COLUMN(AC147)))))-1),"")</f>
        <v>45885</v>
      </c>
      <c r="K147" s="16" t="n">
        <f aca="false" t="array" ref="K147:K147">IFERROR(INDEX(AC147:AE147,IF(COUNTA(AC147:AE147)=0,"",MAX((AC147:AE147&lt;&gt;"")*(COLUMN(AC147:AE147)-(COLUMN(AC147)-1))))-1),"")</f>
        <v>46068</v>
      </c>
      <c r="L147" s="17" t="str">
        <f aca="false" t="array" ref="L147:L147">IFERROR(INDEX(AC147:AE147,IF(COUNTA(AC147:AE147)=0,"",MAX((AC147:AE147&lt;&gt;"")*(COLUMN(AC147:AE147)-(COLUMN(AC147)-2))))-1),"")</f>
        <v>ARCHIVED</v>
      </c>
      <c r="M147" s="13" t="n">
        <f aca="true">K147-TODAY()</f>
        <v>-256</v>
      </c>
      <c r="N147" s="18" t="s">
        <v>615</v>
      </c>
      <c r="O147" s="13" t="s">
        <v>50</v>
      </c>
      <c r="P147" s="19" t="n">
        <v>5176101</v>
      </c>
      <c r="Q147" s="20" t="s">
        <v>690</v>
      </c>
      <c r="R147" s="13" t="s">
        <v>232</v>
      </c>
      <c r="S147" s="14" t="n">
        <v>33794</v>
      </c>
      <c r="T147" s="13" t="s">
        <v>40</v>
      </c>
      <c r="U147" s="13" t="s">
        <v>691</v>
      </c>
      <c r="V147" s="13" t="s">
        <v>42</v>
      </c>
      <c r="W147" s="13" t="s">
        <v>54</v>
      </c>
      <c r="X147" s="21" t="n">
        <v>82336244222</v>
      </c>
      <c r="Y147" s="22" t="str">
        <f aca="false">O147</f>
        <v>Driver</v>
      </c>
      <c r="Z147" s="13" t="str">
        <f aca="false">IFERROR(__xludf.dummyfunction("if(BJ147="""","""",GOOGLETRANSLATE(BJ147,""auto"",""en""))"),"Driver")</f>
        <v>Driver</v>
      </c>
      <c r="AA147" s="23" t="str">
        <f aca="false">IF(C147="","", CHOOSE(MONTH(C147),"January","February","March","April","May","June","July","August","September","October","November","December")&amp;" "&amp;DAY(C147)&amp;MID("thstndrdth",MIN(9,2*RIGHT(DAY(C147))*(MOD(DAY(C147)-11,100)&gt;2)+1),2)&amp;","&amp;TEXT(C147," yyyy"))</f>
        <v>May 17th,2021</v>
      </c>
      <c r="AB147" s="15" t="str">
        <f aca="true">IF(S147="","",DATEDIF(S147,TODAY(),"Y")&amp;" Tahun, "&amp;DATEDIF(S147,TODAY(),"YM")&amp;" Bulan, "&amp;DATEDIF(S147,TODAY(),"MD")&amp;" Hari")</f>
        <v>34 Tahun, 3 Bulan, 20 Hari</v>
      </c>
      <c r="AC147" s="18" t="n">
        <v>45885</v>
      </c>
      <c r="AD147" s="18" t="n">
        <v>46068</v>
      </c>
      <c r="AE147" s="18" t="s">
        <v>44</v>
      </c>
    </row>
    <row r="148" customFormat="false" ht="15" hidden="false" customHeight="true" outlineLevel="0" collapsed="false">
      <c r="A148" s="12" t="n">
        <v>762</v>
      </c>
      <c r="B148" s="13" t="s">
        <v>692</v>
      </c>
      <c r="C148" s="14" t="n">
        <v>44333</v>
      </c>
      <c r="D148" s="13" t="s">
        <v>613</v>
      </c>
      <c r="E148" s="15" t="s">
        <v>47</v>
      </c>
      <c r="F148" s="15" t="str">
        <f aca="false">IFERROR(__xludf.dummyfunction("XLOOKUP(AJ148,IMPORTRANGE(""1XaInW9DU9nz21V0tYIfzFQ0He9kVQ_JF2mCXgZ3hqFA"",""REKAP ALL 2026 - Andika!G:G""),IMPORTRANGE(""1XaInW9DU9nz21V0tYIfzFQ0He9kVQ_JF2mCXgZ3hqFA"",""REKAP ALL 2026 - Andika!F:F""),"""",0)"),"25133237013")</f>
        <v>25133237013</v>
      </c>
      <c r="G148" s="13" t="s">
        <v>693</v>
      </c>
      <c r="H148" s="13" t="s">
        <v>35</v>
      </c>
      <c r="I148" s="13" t="str">
        <f aca="false">IF(C148=J148,"NEW KONTRAK","RE-KONTRAK")</f>
        <v>RE-KONTRAK</v>
      </c>
      <c r="J148" s="16" t="n">
        <f aca="false" t="array" ref="J148:J148">IFERROR(INDEX(AC148:AE148,IF(COUNTA(AC148:AE148)=0,"",MAX((AC148:AE148&lt;&gt;"")*(COLUMN(AC148:AE148)-(COLUMN(AC148)))))-1),"")</f>
        <v>45704</v>
      </c>
      <c r="K148" s="16" t="n">
        <f aca="false" t="array" ref="K148:K148">IFERROR(INDEX(AC148:AE148,IF(COUNTA(AC148:AE148)=0,"",MAX((AC148:AE148&lt;&gt;"")*(COLUMN(AC148:AE148)-(COLUMN(AC148)-1))))-1),"")</f>
        <v>45884</v>
      </c>
      <c r="L148" s="17" t="str">
        <f aca="false" t="array" ref="L148:L148">IFERROR(INDEX(AC148:AE148,IF(COUNTA(AC148:AE148)=0,"",MAX((AC148:AE148&lt;&gt;"")*(COLUMN(AC148:AE148)-(COLUMN(AC148)-2))))-1),"")</f>
        <v>ARCHIVED</v>
      </c>
      <c r="M148" s="13" t="n">
        <f aca="true">K148-TODAY()</f>
        <v>-440</v>
      </c>
      <c r="N148" s="18" t="s">
        <v>615</v>
      </c>
      <c r="O148" s="13" t="s">
        <v>58</v>
      </c>
      <c r="P148" s="19" t="n">
        <v>5176101</v>
      </c>
      <c r="Q148" s="20" t="s">
        <v>694</v>
      </c>
      <c r="R148" s="13" t="s">
        <v>232</v>
      </c>
      <c r="S148" s="14" t="n">
        <v>36382</v>
      </c>
      <c r="T148" s="13" t="s">
        <v>40</v>
      </c>
      <c r="U148" s="13" t="s">
        <v>691</v>
      </c>
      <c r="V148" s="13" t="s">
        <v>42</v>
      </c>
      <c r="W148" s="13" t="s">
        <v>43</v>
      </c>
      <c r="X148" s="21" t="n">
        <v>85719574865</v>
      </c>
      <c r="Y148" s="22" t="str">
        <f aca="false">O148</f>
        <v>Produksi</v>
      </c>
      <c r="Z148" s="13" t="str">
        <f aca="false">IFERROR(__xludf.dummyfunction("if(BJ148="""","""",GOOGLETRANSLATE(BJ148,""auto"",""en""))"),"Production")</f>
        <v>Production</v>
      </c>
      <c r="AA148" s="23" t="str">
        <f aca="false">IF(C148="","", CHOOSE(MONTH(C148),"January","February","March","April","May","June","July","August","September","October","November","December")&amp;" "&amp;DAY(C148)&amp;MID("thstndrdth",MIN(9,2*RIGHT(DAY(C148))*(MOD(DAY(C148)-11,100)&gt;2)+1),2)&amp;","&amp;TEXT(C148," yyyy"))</f>
        <v>May 17th,2021</v>
      </c>
      <c r="AB148" s="15" t="str">
        <f aca="true">IF(S148="","",DATEDIF(S148,TODAY(),"Y")&amp;" Tahun, "&amp;DATEDIF(S148,TODAY(),"YM")&amp;" Bulan, "&amp;DATEDIF(S148,TODAY(),"MD")&amp;" Hari")</f>
        <v>27 Tahun, 2 Bulan, 19 Hari</v>
      </c>
      <c r="AC148" s="18" t="n">
        <v>45704</v>
      </c>
      <c r="AD148" s="18" t="n">
        <v>45884</v>
      </c>
      <c r="AE148" s="18" t="s">
        <v>44</v>
      </c>
    </row>
    <row r="149" customFormat="false" ht="15" hidden="false" customHeight="true" outlineLevel="0" collapsed="false">
      <c r="A149" s="12" t="n">
        <v>764</v>
      </c>
      <c r="B149" s="13" t="s">
        <v>695</v>
      </c>
      <c r="C149" s="14" t="n">
        <v>44306</v>
      </c>
      <c r="D149" s="13" t="s">
        <v>613</v>
      </c>
      <c r="E149" s="15" t="s">
        <v>47</v>
      </c>
      <c r="F149" s="15" t="str">
        <f aca="false">IFERROR(__xludf.dummyfunction("XLOOKUP(AJ149,IMPORTRANGE(""1XaInW9DU9nz21V0tYIfzFQ0He9kVQ_JF2mCXgZ3hqFA"",""REKAP ALL 2026 - Andika!G:G""),IMPORTRANGE(""1XaInW9DU9nz21V0tYIfzFQ0He9kVQ_JF2mCXgZ3hqFA"",""REKAP ALL 2026 - Andika!F:F""),"""",0)"),"21038785610")</f>
        <v>21038785610</v>
      </c>
      <c r="G149" s="13" t="s">
        <v>696</v>
      </c>
      <c r="H149" s="13" t="s">
        <v>35</v>
      </c>
      <c r="I149" s="13" t="str">
        <f aca="false">IF(C149=J149,"NEW KONTRAK","RE-KONTRAK")</f>
        <v>RE-KONTRAK</v>
      </c>
      <c r="J149" s="16" t="n">
        <f aca="false" t="array" ref="J149:J149">IFERROR(INDEX(AC149:AE149,IF(COUNTA(AC149:AE149)=0,"",MAX((AC149:AE149&lt;&gt;"")*(COLUMN(AC149:AE149)-(COLUMN(AC149)))))-1),"")</f>
        <v>45885</v>
      </c>
      <c r="K149" s="16" t="n">
        <f aca="false" t="array" ref="K149:K149">IFERROR(INDEX(AC149:AE149,IF(COUNTA(AC149:AE149)=0,"",MAX((AC149:AE149&lt;&gt;"")*(COLUMN(AC149:AE149)-(COLUMN(AC149)-1))))-1),"")</f>
        <v>46068</v>
      </c>
      <c r="L149" s="17" t="str">
        <f aca="false" t="array" ref="L149:L149">IFERROR(INDEX(AC149:AE149,IF(COUNTA(AC149:AE149)=0,"",MAX((AC149:AE149&lt;&gt;"")*(COLUMN(AC149:AE149)-(COLUMN(AC149)-2))))-1),"")</f>
        <v>ARCHIVED</v>
      </c>
      <c r="M149" s="13" t="n">
        <f aca="true">K149-TODAY()</f>
        <v>-256</v>
      </c>
      <c r="N149" s="18" t="s">
        <v>615</v>
      </c>
      <c r="O149" s="13" t="s">
        <v>58</v>
      </c>
      <c r="P149" s="19" t="n">
        <v>5176101</v>
      </c>
      <c r="Q149" s="20" t="s">
        <v>697</v>
      </c>
      <c r="R149" s="13" t="s">
        <v>232</v>
      </c>
      <c r="S149" s="14" t="n">
        <v>32256</v>
      </c>
      <c r="T149" s="13" t="s">
        <v>40</v>
      </c>
      <c r="U149" s="13" t="s">
        <v>698</v>
      </c>
      <c r="V149" s="13" t="s">
        <v>42</v>
      </c>
      <c r="W149" s="13" t="s">
        <v>54</v>
      </c>
      <c r="X149" s="21" t="n">
        <v>82139902922</v>
      </c>
      <c r="Y149" s="22" t="str">
        <f aca="false">O149</f>
        <v>Produksi</v>
      </c>
      <c r="Z149" s="13" t="str">
        <f aca="false">IFERROR(__xludf.dummyfunction("if(BJ149="""","""",GOOGLETRANSLATE(BJ149,""auto"",""en""))"),"Production")</f>
        <v>Production</v>
      </c>
      <c r="AA149" s="23" t="str">
        <f aca="false">IF(C149="","", CHOOSE(MONTH(C149),"January","February","March","April","May","June","July","August","September","October","November","December")&amp;" "&amp;DAY(C149)&amp;MID("thstndrdth",MIN(9,2*RIGHT(DAY(C149))*(MOD(DAY(C149)-11,100)&gt;2)+1),2)&amp;","&amp;TEXT(C149," yyyy"))</f>
        <v>April 20th,2021</v>
      </c>
      <c r="AB149" s="15" t="str">
        <f aca="true">IF(S149="","",DATEDIF(S149,TODAY(),"Y")&amp;" Tahun, "&amp;DATEDIF(S149,TODAY(),"YM")&amp;" Bulan, "&amp;DATEDIF(S149,TODAY(),"MD")&amp;" Hari")</f>
        <v>38 Tahun, 6 Bulan, 6 Hari</v>
      </c>
      <c r="AC149" s="18" t="n">
        <v>45885</v>
      </c>
      <c r="AD149" s="18" t="n">
        <v>46068</v>
      </c>
      <c r="AE149" s="18" t="s">
        <v>44</v>
      </c>
    </row>
    <row r="150" customFormat="false" ht="15" hidden="false" customHeight="true" outlineLevel="0" collapsed="false">
      <c r="A150" s="12" t="n">
        <v>766</v>
      </c>
      <c r="B150" s="13" t="s">
        <v>699</v>
      </c>
      <c r="C150" s="14" t="n">
        <v>44363</v>
      </c>
      <c r="D150" s="13" t="s">
        <v>613</v>
      </c>
      <c r="E150" s="15" t="s">
        <v>47</v>
      </c>
      <c r="F150" s="15" t="str">
        <f aca="false">IFERROR(__xludf.dummyfunction("XLOOKUP(AJ150,IMPORTRANGE(""1XaInW9DU9nz21V0tYIfzFQ0He9kVQ_JF2mCXgZ3hqFA"",""REKAP ALL 2026 - Andika!G:G""),IMPORTRANGE(""1XaInW9DU9nz21V0tYIfzFQ0He9kVQ_JF2mCXgZ3hqFA"",""REKAP ALL 2026 - Andika!F:F""),"""",0)"),"19076660919")</f>
        <v>19076660919</v>
      </c>
      <c r="G150" s="13" t="s">
        <v>700</v>
      </c>
      <c r="H150" s="13" t="s">
        <v>35</v>
      </c>
      <c r="I150" s="13" t="str">
        <f aca="false">IF(C150=J150,"NEW KONTRAK","RE-KONTRAK")</f>
        <v>RE-KONTRAK</v>
      </c>
      <c r="J150" s="16" t="n">
        <f aca="false" t="array" ref="J150:J150">IFERROR(INDEX(AC150:AE150,IF(COUNTA(AC150:AE150)=0,"",MAX((AC150:AE150&lt;&gt;"")*(COLUMN(AC150:AE150)-(COLUMN(AC150)))))-1),"")</f>
        <v>45885</v>
      </c>
      <c r="K150" s="16" t="n">
        <f aca="false" t="array" ref="K150:K150">IFERROR(INDEX(AC150:AE150,IF(COUNTA(AC150:AE150)=0,"",MAX((AC150:AE150&lt;&gt;"")*(COLUMN(AC150:AE150)-(COLUMN(AC150)-1))))-1),"")</f>
        <v>46068</v>
      </c>
      <c r="L150" s="17" t="str">
        <f aca="false" t="array" ref="L150:L150">IFERROR(INDEX(AC150:AE150,IF(COUNTA(AC150:AE150)=0,"",MAX((AC150:AE150&lt;&gt;"")*(COLUMN(AC150:AE150)-(COLUMN(AC150)-2))))-1),"")</f>
        <v>ARCHIVED</v>
      </c>
      <c r="M150" s="13" t="n">
        <f aca="true">K150-TODAY()</f>
        <v>-256</v>
      </c>
      <c r="N150" s="18" t="s">
        <v>615</v>
      </c>
      <c r="O150" s="13" t="s">
        <v>58</v>
      </c>
      <c r="P150" s="19" t="n">
        <v>5176101</v>
      </c>
      <c r="Q150" s="20" t="s">
        <v>701</v>
      </c>
      <c r="R150" s="13" t="s">
        <v>324</v>
      </c>
      <c r="S150" s="14" t="n">
        <v>29860</v>
      </c>
      <c r="T150" s="13" t="s">
        <v>40</v>
      </c>
      <c r="U150" s="13" t="s">
        <v>702</v>
      </c>
      <c r="V150" s="13" t="s">
        <v>42</v>
      </c>
      <c r="W150" s="13" t="s">
        <v>54</v>
      </c>
      <c r="X150" s="21" t="n">
        <v>81331545787</v>
      </c>
      <c r="Y150" s="22" t="str">
        <f aca="false">O150</f>
        <v>Produksi</v>
      </c>
      <c r="Z150" s="13" t="str">
        <f aca="false">IFERROR(__xludf.dummyfunction("if(BJ150="""","""",GOOGLETRANSLATE(BJ150,""auto"",""en""))"),"Production")</f>
        <v>Production</v>
      </c>
      <c r="AA150" s="23" t="str">
        <f aca="false">IF(C150="","", CHOOSE(MONTH(C150),"January","February","March","April","May","June","July","August","September","October","November","December")&amp;" "&amp;DAY(C150)&amp;MID("thstndrdth",MIN(9,2*RIGHT(DAY(C150))*(MOD(DAY(C150)-11,100)&gt;2)+1),2)&amp;","&amp;TEXT(C150," yyyy"))</f>
        <v>June 16th,2021</v>
      </c>
      <c r="AB150" s="15" t="str">
        <f aca="true">IF(S150="","",DATEDIF(S150,TODAY(),"Y")&amp;" Tahun, "&amp;DATEDIF(S150,TODAY(),"YM")&amp;" Bulan, "&amp;DATEDIF(S150,TODAY(),"MD")&amp;" Hari")</f>
        <v>45 Tahun, 0 Bulan, 28 Hari</v>
      </c>
      <c r="AC150" s="18" t="n">
        <v>45885</v>
      </c>
      <c r="AD150" s="18" t="n">
        <v>46068</v>
      </c>
      <c r="AE150" s="18" t="s">
        <v>44</v>
      </c>
    </row>
    <row r="151" customFormat="false" ht="15" hidden="false" customHeight="true" outlineLevel="0" collapsed="false">
      <c r="A151" s="12" t="n">
        <v>767</v>
      </c>
      <c r="B151" s="13" t="s">
        <v>703</v>
      </c>
      <c r="C151" s="14" t="n">
        <v>44243</v>
      </c>
      <c r="D151" s="13" t="s">
        <v>613</v>
      </c>
      <c r="E151" s="15" t="s">
        <v>704</v>
      </c>
      <c r="F151" s="24" t="s">
        <v>705</v>
      </c>
      <c r="G151" s="13" t="s">
        <v>706</v>
      </c>
      <c r="H151" s="13" t="s">
        <v>35</v>
      </c>
      <c r="I151" s="13" t="str">
        <f aca="false">IF(C151=J151,"NEW KONTRAK","RE-KONTRAK")</f>
        <v>RE-KONTRAK</v>
      </c>
      <c r="J151" s="16" t="n">
        <f aca="false" t="array" ref="J151:J151">IFERROR(INDEX(AC151:AE151,IF(COUNTA(AC151:AE151)=0,"",MAX((AC151:AE151&lt;&gt;"")*(COLUMN(AC151:AE151)-(COLUMN(AC151)))))-1),"")</f>
        <v>45704</v>
      </c>
      <c r="K151" s="16" t="n">
        <f aca="false" t="array" ref="K151:K151">IFERROR(INDEX(AC151:AE151,IF(COUNTA(AC151:AE151)=0,"",MAX((AC151:AE151&lt;&gt;"")*(COLUMN(AC151:AE151)-(COLUMN(AC151)-1))))-1),"")</f>
        <v>45884</v>
      </c>
      <c r="L151" s="17" t="str">
        <f aca="false" t="array" ref="L151:L151">IFERROR(INDEX(AC151:AE151,IF(COUNTA(AC151:AE151)=0,"",MAX((AC151:AE151&lt;&gt;"")*(COLUMN(AC151:AE151)-(COLUMN(AC151)-2))))-1),"")</f>
        <v>ARCHIVED</v>
      </c>
      <c r="M151" s="13" t="n">
        <f aca="true">K151-TODAY()</f>
        <v>-440</v>
      </c>
      <c r="N151" s="18" t="s">
        <v>615</v>
      </c>
      <c r="O151" s="13" t="s">
        <v>58</v>
      </c>
      <c r="P151" s="19" t="n">
        <v>4856026</v>
      </c>
      <c r="Q151" s="20" t="s">
        <v>707</v>
      </c>
      <c r="R151" s="13" t="s">
        <v>232</v>
      </c>
      <c r="S151" s="14" t="n">
        <v>35367</v>
      </c>
      <c r="T151" s="13" t="s">
        <v>40</v>
      </c>
      <c r="U151" s="13" t="s">
        <v>708</v>
      </c>
      <c r="V151" s="13" t="s">
        <v>42</v>
      </c>
      <c r="W151" s="13" t="s">
        <v>43</v>
      </c>
      <c r="X151" s="21" t="n">
        <v>82145400426</v>
      </c>
      <c r="Y151" s="22" t="str">
        <f aca="false">O151</f>
        <v>Produksi</v>
      </c>
      <c r="Z151" s="13" t="str">
        <f aca="false">IFERROR(__xludf.dummyfunction("if(BJ151="""","""",GOOGLETRANSLATE(BJ151,""auto"",""en""))"),"Production")</f>
        <v>Production</v>
      </c>
      <c r="AA151" s="23" t="str">
        <f aca="false">IF(C151="","", CHOOSE(MONTH(C151),"January","February","March","April","May","June","July","August","September","October","November","December")&amp;" "&amp;DAY(C151)&amp;MID("thstndrdth",MIN(9,2*RIGHT(DAY(C151))*(MOD(DAY(C151)-11,100)&gt;2)+1),2)&amp;","&amp;TEXT(C151," yyyy"))</f>
        <v>February 16th,2021</v>
      </c>
      <c r="AB151" s="15" t="str">
        <f aca="true">IF(S151="","",DATEDIF(S151,TODAY(),"Y")&amp;" Tahun, "&amp;DATEDIF(S151,TODAY(),"YM")&amp;" Bulan, "&amp;DATEDIF(S151,TODAY(),"MD")&amp;" Hari")</f>
        <v>30 Tahun, 0 Bulan, 0 Hari</v>
      </c>
      <c r="AC151" s="18" t="n">
        <v>45704</v>
      </c>
      <c r="AD151" s="18" t="n">
        <v>45884</v>
      </c>
      <c r="AE151" s="18" t="s">
        <v>44</v>
      </c>
    </row>
    <row r="152" customFormat="false" ht="15" hidden="false" customHeight="true" outlineLevel="0" collapsed="false">
      <c r="A152" s="12" t="n">
        <v>768</v>
      </c>
      <c r="B152" s="13" t="s">
        <v>709</v>
      </c>
      <c r="C152" s="14" t="n">
        <v>45965</v>
      </c>
      <c r="D152" s="13" t="s">
        <v>613</v>
      </c>
      <c r="E152" s="15" t="s">
        <v>47</v>
      </c>
      <c r="F152" s="15" t="str">
        <f aca="false">IFERROR(__xludf.dummyfunction("XLOOKUP(AJ152,IMPORTRANGE(""1XaInW9DU9nz21V0tYIfzFQ0He9kVQ_JF2mCXgZ3hqFA"",""REKAP ALL 2026 - Andika!G:G""),IMPORTRANGE(""1XaInW9DU9nz21V0tYIfzFQ0He9kVQ_JF2mCXgZ3hqFA"",""REKAP ALL 2026 - Andika!F:F""),"""",0)"),"25133237203")</f>
        <v>25133237203</v>
      </c>
      <c r="G152" s="13" t="s">
        <v>710</v>
      </c>
      <c r="H152" s="13" t="s">
        <v>35</v>
      </c>
      <c r="I152" s="13" t="str">
        <f aca="false">IF(C152=J152,"NEW KONTRAK","RE-KONTRAK")</f>
        <v>NEW KONTRAK</v>
      </c>
      <c r="J152" s="16" t="n">
        <f aca="false" t="array" ref="J152:J152">IFERROR(INDEX(AC152:AE152,IF(COUNTA(AC152:AE152)=0,"",MAX((AC152:AE152&lt;&gt;"")*(COLUMN(AC152:AE152)-(COLUMN(AC152)))))-1),"")</f>
        <v>45965</v>
      </c>
      <c r="K152" s="16" t="n">
        <f aca="false" t="array" ref="K152:K152">IFERROR(INDEX(AC152:AE152,IF(COUNTA(AC152:AE152)=0,"",MAX((AC152:AE152&lt;&gt;"")*(COLUMN(AC152:AE152)-(COLUMN(AC152)-1))))-1),"")</f>
        <v>46037</v>
      </c>
      <c r="L152" s="17" t="str">
        <f aca="false" t="array" ref="L152:L152">IFERROR(INDEX(AC152:AE152,IF(COUNTA(AC152:AE152)=0,"",MAX((AC152:AE152&lt;&gt;"")*(COLUMN(AC152:AE152)-(COLUMN(AC152)-2))))-1),"")</f>
        <v>ARCHIVED</v>
      </c>
      <c r="M152" s="13" t="n">
        <f aca="true">K152-TODAY()</f>
        <v>-287</v>
      </c>
      <c r="N152" s="18" t="s">
        <v>615</v>
      </c>
      <c r="O152" s="13" t="s">
        <v>58</v>
      </c>
      <c r="P152" s="19" t="n">
        <v>5176101</v>
      </c>
      <c r="Q152" s="20" t="s">
        <v>711</v>
      </c>
      <c r="R152" s="13" t="s">
        <v>39</v>
      </c>
      <c r="S152" s="14" t="n">
        <v>29125</v>
      </c>
      <c r="T152" s="13" t="s">
        <v>40</v>
      </c>
      <c r="U152" s="13" t="s">
        <v>712</v>
      </c>
      <c r="V152" s="13" t="s">
        <v>42</v>
      </c>
      <c r="W152" s="13" t="s">
        <v>54</v>
      </c>
      <c r="X152" s="21" t="n">
        <v>81554442819</v>
      </c>
      <c r="Y152" s="22" t="str">
        <f aca="false">O152</f>
        <v>Produksi</v>
      </c>
      <c r="Z152" s="13" t="str">
        <f aca="false">IFERROR(__xludf.dummyfunction("if(BJ152="""","""",GOOGLETRANSLATE(BJ152,""auto"",""en""))"),"Production")</f>
        <v>Production</v>
      </c>
      <c r="AA152" s="23" t="str">
        <f aca="false">IF(C152="","", CHOOSE(MONTH(C152),"January","February","March","April","May","June","July","August","September","October","November","December")&amp;" "&amp;DAY(C152)&amp;MID("thstndrdth",MIN(9,2*RIGHT(DAY(C152))*(MOD(DAY(C152)-11,100)&gt;2)+1),2)&amp;","&amp;TEXT(C152," yyyy"))</f>
        <v>November 4th,2025</v>
      </c>
      <c r="AB152" s="15" t="str">
        <f aca="true">IF(S152="","",DATEDIF(S152,TODAY(),"Y")&amp;" Tahun, "&amp;DATEDIF(S152,TODAY(),"YM")&amp;" Bulan, "&amp;DATEDIF(S152,TODAY(),"MD")&amp;" Hari")</f>
        <v>47 Tahun, 1 Bulan, 2 Hari</v>
      </c>
      <c r="AC152" s="18" t="n">
        <v>45965</v>
      </c>
      <c r="AD152" s="18" t="n">
        <v>46037</v>
      </c>
      <c r="AE152" s="13" t="s">
        <v>44</v>
      </c>
    </row>
    <row r="153" customFormat="false" ht="15" hidden="false" customHeight="true" outlineLevel="0" collapsed="false">
      <c r="A153" s="12" t="n">
        <v>769</v>
      </c>
      <c r="B153" s="13" t="s">
        <v>713</v>
      </c>
      <c r="C153" s="14" t="n">
        <v>44243</v>
      </c>
      <c r="D153" s="13" t="s">
        <v>613</v>
      </c>
      <c r="E153" s="15" t="s">
        <v>47</v>
      </c>
      <c r="F153" s="15" t="str">
        <f aca="false">IFERROR(__xludf.dummyfunction("XLOOKUP(AJ153,IMPORTRANGE(""1XaInW9DU9nz21V0tYIfzFQ0He9kVQ_JF2mCXgZ3hqFA"",""REKAP ALL 2026 - Andika!G:G""),IMPORTRANGE(""1XaInW9DU9nz21V0tYIfzFQ0He9kVQ_JF2mCXgZ3hqFA"",""REKAP ALL 2026 - Andika!F:F""),"""",0)"),"16049706472")</f>
        <v>16049706472</v>
      </c>
      <c r="G153" s="13" t="s">
        <v>714</v>
      </c>
      <c r="H153" s="13" t="s">
        <v>35</v>
      </c>
      <c r="I153" s="13" t="str">
        <f aca="false">IF(C153=J153,"NEW KONTRAK","RE-KONTRAK")</f>
        <v>RE-KONTRAK</v>
      </c>
      <c r="J153" s="16" t="n">
        <f aca="false" t="array" ref="J153:J153">IFERROR(INDEX(AC153:AE153,IF(COUNTA(AC153:AE153)=0,"",MAX((AC153:AE153&lt;&gt;"")*(COLUMN(AC153:AE153)-(COLUMN(AC153)))))-1),"")</f>
        <v>45885</v>
      </c>
      <c r="K153" s="16" t="n">
        <f aca="false" t="array" ref="K153:K153">IFERROR(INDEX(AC153:AE153,IF(COUNTA(AC153:AE153)=0,"",MAX((AC153:AE153&lt;&gt;"")*(COLUMN(AC153:AE153)-(COLUMN(AC153)-1))))-1),"")</f>
        <v>46068</v>
      </c>
      <c r="L153" s="17" t="str">
        <f aca="false" t="array" ref="L153:L153">IFERROR(INDEX(AC153:AE153,IF(COUNTA(AC153:AE153)=0,"",MAX((AC153:AE153&lt;&gt;"")*(COLUMN(AC153:AE153)-(COLUMN(AC153)-2))))-1),"")</f>
        <v>ARCHIVED</v>
      </c>
      <c r="M153" s="13" t="n">
        <f aca="true">K153-TODAY()</f>
        <v>-256</v>
      </c>
      <c r="N153" s="18" t="s">
        <v>615</v>
      </c>
      <c r="O153" s="13" t="s">
        <v>624</v>
      </c>
      <c r="P153" s="19" t="n">
        <v>5176101</v>
      </c>
      <c r="Q153" s="20" t="s">
        <v>715</v>
      </c>
      <c r="R153" s="13" t="s">
        <v>232</v>
      </c>
      <c r="S153" s="14" t="n">
        <v>33209</v>
      </c>
      <c r="T153" s="13" t="s">
        <v>40</v>
      </c>
      <c r="U153" s="13" t="s">
        <v>716</v>
      </c>
      <c r="V153" s="13" t="s">
        <v>42</v>
      </c>
      <c r="W153" s="13" t="s">
        <v>43</v>
      </c>
      <c r="X153" s="21" t="n">
        <v>85706628622</v>
      </c>
      <c r="Y153" s="22" t="str">
        <f aca="false">O153</f>
        <v>Quality Control</v>
      </c>
      <c r="Z153" s="13" t="str">
        <f aca="false">IFERROR(__xludf.dummyfunction("if(BJ153="""","""",GOOGLETRANSLATE(BJ153,""auto"",""en""))"),"Quality Control")</f>
        <v>Quality Control</v>
      </c>
      <c r="AA153" s="23" t="str">
        <f aca="false">IF(C153="","", CHOOSE(MONTH(C153),"January","February","March","April","May","June","July","August","September","October","November","December")&amp;" "&amp;DAY(C153)&amp;MID("thstndrdth",MIN(9,2*RIGHT(DAY(C153))*(MOD(DAY(C153)-11,100)&gt;2)+1),2)&amp;","&amp;TEXT(C153," yyyy"))</f>
        <v>February 16th,2021</v>
      </c>
      <c r="AB153" s="15" t="str">
        <f aca="true">IF(S153="","",DATEDIF(S153,TODAY(),"Y")&amp;" Tahun, "&amp;DATEDIF(S153,TODAY(),"YM")&amp;" Bulan, "&amp;DATEDIF(S153,TODAY(),"MD")&amp;" Hari")</f>
        <v>35 Tahun, 10 Bulan, 27 Hari</v>
      </c>
      <c r="AC153" s="18" t="n">
        <v>45885</v>
      </c>
      <c r="AD153" s="18" t="n">
        <v>46068</v>
      </c>
      <c r="AE153" s="18" t="s">
        <v>44</v>
      </c>
    </row>
    <row r="154" customFormat="false" ht="15" hidden="false" customHeight="true" outlineLevel="0" collapsed="false">
      <c r="A154" s="12" t="n">
        <v>772</v>
      </c>
      <c r="B154" s="13" t="s">
        <v>717</v>
      </c>
      <c r="C154" s="14" t="n">
        <v>44243</v>
      </c>
      <c r="D154" s="13" t="s">
        <v>613</v>
      </c>
      <c r="E154" s="15" t="s">
        <v>47</v>
      </c>
      <c r="F154" s="15" t="str">
        <f aca="false">IFERROR(__xludf.dummyfunction("XLOOKUP(AJ154,IMPORTRANGE(""1XaInW9DU9nz21V0tYIfzFQ0He9kVQ_JF2mCXgZ3hqFA"",""REKAP ALL 2026 - Andika!G:G""),IMPORTRANGE(""1XaInW9DU9nz21V0tYIfzFQ0He9kVQ_JF2mCXgZ3hqFA"",""REKAP ALL 2026 - Andika!F:F""),"""",0)"),"99N50031357")</f>
        <v>99N50031357</v>
      </c>
      <c r="G154" s="13" t="s">
        <v>718</v>
      </c>
      <c r="H154" s="13" t="s">
        <v>35</v>
      </c>
      <c r="I154" s="13" t="str">
        <f aca="false">IF(C154=J154,"NEW KONTRAK","RE-KONTRAK")</f>
        <v>RE-KONTRAK</v>
      </c>
      <c r="J154" s="16" t="n">
        <f aca="false" t="array" ref="J154:J154">IFERROR(INDEX(AC154:AE154,IF(COUNTA(AC154:AE154)=0,"",MAX((AC154:AE154&lt;&gt;"")*(COLUMN(AC154:AE154)-(COLUMN(AC154)))))-1),"")</f>
        <v>45885</v>
      </c>
      <c r="K154" s="16" t="n">
        <f aca="false" t="array" ref="K154:K154">IFERROR(INDEX(AC154:AE154,IF(COUNTA(AC154:AE154)=0,"",MAX((AC154:AE154&lt;&gt;"")*(COLUMN(AC154:AE154)-(COLUMN(AC154)-1))))-1),"")</f>
        <v>46068</v>
      </c>
      <c r="L154" s="17" t="str">
        <f aca="false" t="array" ref="L154:L154">IFERROR(INDEX(AC154:AE154,IF(COUNTA(AC154:AE154)=0,"",MAX((AC154:AE154&lt;&gt;"")*(COLUMN(AC154:AE154)-(COLUMN(AC154)-2))))-1),"")</f>
        <v>ARCHIVED</v>
      </c>
      <c r="M154" s="13" t="n">
        <f aca="true">K154-TODAY()</f>
        <v>-256</v>
      </c>
      <c r="N154" s="18" t="s">
        <v>615</v>
      </c>
      <c r="O154" s="13" t="s">
        <v>719</v>
      </c>
      <c r="P154" s="19" t="n">
        <v>5176101</v>
      </c>
      <c r="Q154" s="20" t="s">
        <v>720</v>
      </c>
      <c r="R154" s="13" t="s">
        <v>232</v>
      </c>
      <c r="S154" s="14" t="n">
        <v>28144</v>
      </c>
      <c r="T154" s="13" t="s">
        <v>40</v>
      </c>
      <c r="U154" s="13" t="s">
        <v>664</v>
      </c>
      <c r="V154" s="13" t="s">
        <v>42</v>
      </c>
      <c r="W154" s="13" t="s">
        <v>54</v>
      </c>
      <c r="X154" s="21" t="n">
        <v>85655034626</v>
      </c>
      <c r="Y154" s="22" t="str">
        <f aca="false">O154</f>
        <v>Cleaning Service</v>
      </c>
      <c r="Z154" s="13" t="str">
        <f aca="false">IFERROR(__xludf.dummyfunction("if(BJ154="""","""",GOOGLETRANSLATE(BJ154,""auto"",""en""))"),"Cleaning Service")</f>
        <v>Cleaning Service</v>
      </c>
      <c r="AA154" s="23" t="str">
        <f aca="false">IF(C154="","", CHOOSE(MONTH(C154),"January","February","March","April","May","June","July","August","September","October","November","December")&amp;" "&amp;DAY(C154)&amp;MID("thstndrdth",MIN(9,2*RIGHT(DAY(C154))*(MOD(DAY(C154)-11,100)&gt;2)+1),2)&amp;","&amp;TEXT(C154," yyyy"))</f>
        <v>February 16th,2021</v>
      </c>
      <c r="AB154" s="15" t="str">
        <f aca="true">IF(S154="","",DATEDIF(S154,TODAY(),"Y")&amp;" Tahun, "&amp;DATEDIF(S154,TODAY(),"YM")&amp;" Bulan, "&amp;DATEDIF(S154,TODAY(),"MD")&amp;" Hari")</f>
        <v>49 Tahun, 9 Bulan, 10 Hari</v>
      </c>
      <c r="AC154" s="18" t="n">
        <v>45885</v>
      </c>
      <c r="AD154" s="18" t="n">
        <v>46068</v>
      </c>
      <c r="AE154" s="18" t="s">
        <v>44</v>
      </c>
    </row>
    <row r="155" customFormat="false" ht="15" hidden="false" customHeight="true" outlineLevel="0" collapsed="false">
      <c r="A155" s="12" t="n">
        <v>773</v>
      </c>
      <c r="B155" s="13" t="s">
        <v>721</v>
      </c>
      <c r="C155" s="14" t="n">
        <v>44243</v>
      </c>
      <c r="D155" s="13" t="s">
        <v>613</v>
      </c>
      <c r="E155" s="15" t="s">
        <v>47</v>
      </c>
      <c r="F155" s="15" t="str">
        <f aca="false">IFERROR(__xludf.dummyfunction("XLOOKUP(AJ155,IMPORTRANGE(""1XaInW9DU9nz21V0tYIfzFQ0He9kVQ_JF2mCXgZ3hqFA"",""REKAP ALL 2026 - Andika!G:G""),IMPORTRANGE(""1XaInW9DU9nz21V0tYIfzFQ0He9kVQ_JF2mCXgZ3hqFA"",""REKAP ALL 2026 - Andika!F:F""),"""",0)"),"21018750113")</f>
        <v>21018750113</v>
      </c>
      <c r="G155" s="13" t="s">
        <v>722</v>
      </c>
      <c r="H155" s="13" t="s">
        <v>35</v>
      </c>
      <c r="I155" s="13" t="str">
        <f aca="false">IF(C155=J155,"NEW KONTRAK","RE-KONTRAK")</f>
        <v>RE-KONTRAK</v>
      </c>
      <c r="J155" s="16" t="n">
        <f aca="false" t="array" ref="J155:J155">IFERROR(INDEX(AC155:AE155,IF(COUNTA(AC155:AE155)=0,"",MAX((AC155:AE155&lt;&gt;"")*(COLUMN(AC155:AE155)-(COLUMN(AC155)))))-1),"")</f>
        <v>45885</v>
      </c>
      <c r="K155" s="16" t="n">
        <f aca="false" t="array" ref="K155:K155">IFERROR(INDEX(AC155:AE155,IF(COUNTA(AC155:AE155)=0,"",MAX((AC155:AE155&lt;&gt;"")*(COLUMN(AC155:AE155)-(COLUMN(AC155)-1))))-1),"")</f>
        <v>46068</v>
      </c>
      <c r="L155" s="17" t="str">
        <f aca="false" t="array" ref="L155:L155">IFERROR(INDEX(AC155:AE155,IF(COUNTA(AC155:AE155)=0,"",MAX((AC155:AE155&lt;&gt;"")*(COLUMN(AC155:AE155)-(COLUMN(AC155)-2))))-1),"")</f>
        <v>ARCHIVED</v>
      </c>
      <c r="M155" s="13" t="n">
        <f aca="true">K155-TODAY()</f>
        <v>-256</v>
      </c>
      <c r="N155" s="18" t="s">
        <v>615</v>
      </c>
      <c r="O155" s="13" t="s">
        <v>719</v>
      </c>
      <c r="P155" s="19" t="n">
        <v>5176101</v>
      </c>
      <c r="Q155" s="20" t="s">
        <v>723</v>
      </c>
      <c r="R155" s="13" t="s">
        <v>232</v>
      </c>
      <c r="S155" s="14" t="n">
        <v>31236</v>
      </c>
      <c r="T155" s="13" t="s">
        <v>40</v>
      </c>
      <c r="U155" s="13" t="s">
        <v>724</v>
      </c>
      <c r="V155" s="13" t="s">
        <v>42</v>
      </c>
      <c r="W155" s="13" t="s">
        <v>54</v>
      </c>
      <c r="X155" s="21" t="n">
        <v>85730430017</v>
      </c>
      <c r="Y155" s="22" t="str">
        <f aca="false">O155</f>
        <v>Cleaning Service</v>
      </c>
      <c r="Z155" s="13" t="str">
        <f aca="false">IFERROR(__xludf.dummyfunction("if(BJ155="""","""",GOOGLETRANSLATE(BJ155,""auto"",""en""))"),"Cleaning Service")</f>
        <v>Cleaning Service</v>
      </c>
      <c r="AA155" s="23" t="str">
        <f aca="false">IF(C155="","", CHOOSE(MONTH(C155),"January","February","March","April","May","June","July","August","September","October","November","December")&amp;" "&amp;DAY(C155)&amp;MID("thstndrdth",MIN(9,2*RIGHT(DAY(C155))*(MOD(DAY(C155)-11,100)&gt;2)+1),2)&amp;","&amp;TEXT(C155," yyyy"))</f>
        <v>February 16th,2021</v>
      </c>
      <c r="AB155" s="15" t="str">
        <f aca="true">IF(S155="","",DATEDIF(S155,TODAY(),"Y")&amp;" Tahun, "&amp;DATEDIF(S155,TODAY(),"YM")&amp;" Bulan, "&amp;DATEDIF(S155,TODAY(),"MD")&amp;" Hari")</f>
        <v>41 Tahun, 3 Bulan, 21 Hari</v>
      </c>
      <c r="AC155" s="18" t="n">
        <v>45885</v>
      </c>
      <c r="AD155" s="18" t="n">
        <v>46068</v>
      </c>
      <c r="AE155" s="18" t="s">
        <v>44</v>
      </c>
    </row>
    <row r="156" customFormat="false" ht="15" hidden="false" customHeight="true" outlineLevel="0" collapsed="false">
      <c r="A156" s="12" t="n">
        <v>963</v>
      </c>
      <c r="B156" s="13" t="s">
        <v>725</v>
      </c>
      <c r="C156" s="14" t="n">
        <v>41184</v>
      </c>
      <c r="D156" s="13" t="s">
        <v>726</v>
      </c>
      <c r="E156" s="15" t="s">
        <v>47</v>
      </c>
      <c r="F156" s="15" t="str">
        <f aca="false">IFERROR(__xludf.dummyfunction("XLOOKUP(AJ156,IMPORTRANGE(""1XaInW9DU9nz21V0tYIfzFQ0He9kVQ_JF2mCXgZ3hqFA"",""REKAP ALL 2026 - Andika!G:G""),IMPORTRANGE(""1XaInW9DU9nz21V0tYIfzFQ0He9kVQ_JF2mCXgZ3hqFA"",""REKAP ALL 2026 - Andika!F:F""),"""",0)"),"12036162217")</f>
        <v>12036162217</v>
      </c>
      <c r="G156" s="13" t="s">
        <v>727</v>
      </c>
      <c r="H156" s="13" t="s">
        <v>35</v>
      </c>
      <c r="I156" s="13" t="str">
        <f aca="false">IF(C156=J156,"NEW KONTRAK","RE-KONTRAK")</f>
        <v>RE-KONTRAK</v>
      </c>
      <c r="J156" s="16" t="n">
        <f aca="false" t="array" ref="J156:J156">IFERROR(INDEX(AC156:AE156,IF(COUNTA(AC156:AE156)=0,"",MAX((AC156:AE156&lt;&gt;"")*(COLUMN(AC156:AE156)-(COLUMN(AC156)))))-1),"")</f>
        <v>45566</v>
      </c>
      <c r="K156" s="16" t="n">
        <f aca="false" t="array" ref="K156:K156">IFERROR(INDEX(AC156:AE156,IF(COUNTA(AC156:AE156)=0,"",MAX((AC156:AE156&lt;&gt;"")*(COLUMN(AC156:AE156)-(COLUMN(AC156)-1))))-1),"")</f>
        <v>45930</v>
      </c>
      <c r="L156" s="17" t="str">
        <f aca="false" t="array" ref="L156:L156">IFERROR(INDEX(AC156:AE156,IF(COUNTA(AC156:AE156)=0,"",MAX((AC156:AE156&lt;&gt;"")*(COLUMN(AC156:AE156)-(COLUMN(AC156)-2))))-1),"")</f>
        <v>ARCHIVED</v>
      </c>
      <c r="M156" s="13" t="n">
        <f aca="true">K156-TODAY()</f>
        <v>-394</v>
      </c>
      <c r="N156" s="18" t="s">
        <v>728</v>
      </c>
      <c r="O156" s="13" t="s">
        <v>729</v>
      </c>
      <c r="P156" s="19" t="n">
        <v>5288796</v>
      </c>
      <c r="Q156" s="20" t="s">
        <v>730</v>
      </c>
      <c r="R156" s="13" t="s">
        <v>78</v>
      </c>
      <c r="S156" s="14" t="n">
        <v>30497</v>
      </c>
      <c r="T156" s="13" t="s">
        <v>40</v>
      </c>
      <c r="U156" s="13" t="s">
        <v>731</v>
      </c>
      <c r="V156" s="13" t="s">
        <v>42</v>
      </c>
      <c r="W156" s="13" t="s">
        <v>54</v>
      </c>
      <c r="X156" s="21" t="n">
        <v>81359177394</v>
      </c>
      <c r="Y156" s="22" t="str">
        <f aca="false">O156</f>
        <v>Helper/Gudang</v>
      </c>
      <c r="Z156" s="13" t="str">
        <f aca="false">IFERROR(__xludf.dummyfunction("if(BJ156="""","""",GOOGLETRANSLATE(BJ156,""auto"",""en""))"),"Helper/Gudang")</f>
        <v>Helper/Gudang</v>
      </c>
      <c r="AA156" s="23" t="str">
        <f aca="false">IF(C156="","", CHOOSE(MONTH(C156),"January","February","March","April","May","June","July","August","September","October","November","December")&amp;" "&amp;DAY(C156)&amp;MID("thstndrdth",MIN(9,2*RIGHT(DAY(C156))*(MOD(DAY(C156)-11,100)&gt;2)+1),2)&amp;","&amp;TEXT(C156," yyyy"))</f>
        <v>October 2nd,2012</v>
      </c>
      <c r="AB156" s="15" t="str">
        <f aca="true">IF(S156="","",DATEDIF(S156,TODAY(),"Y")&amp;" Tahun, "&amp;DATEDIF(S156,TODAY(),"YM")&amp;" Bulan, "&amp;DATEDIF(S156,TODAY(),"MD")&amp;" Hari")</f>
        <v>43 Tahun, 3 Bulan, 29 Hari</v>
      </c>
      <c r="AC156" s="18" t="n">
        <v>45566</v>
      </c>
      <c r="AD156" s="18" t="n">
        <v>45930</v>
      </c>
      <c r="AE156" s="18" t="s">
        <v>44</v>
      </c>
    </row>
    <row r="157" customFormat="false" ht="15" hidden="false" customHeight="true" outlineLevel="0" collapsed="false">
      <c r="A157" s="12" t="n">
        <v>965</v>
      </c>
      <c r="B157" s="13" t="s">
        <v>732</v>
      </c>
      <c r="C157" s="14" t="n">
        <v>42795</v>
      </c>
      <c r="D157" s="13" t="s">
        <v>726</v>
      </c>
      <c r="E157" s="15" t="s">
        <v>47</v>
      </c>
      <c r="F157" s="15" t="str">
        <f aca="false">IFERROR(__xludf.dummyfunction("XLOOKUP(AJ157,IMPORTRANGE(""1XaInW9DU9nz21V0tYIfzFQ0He9kVQ_JF2mCXgZ3hqFA"",""REKAP ALL 2026 - Andika!G:G""),IMPORTRANGE(""1XaInW9DU9nz21V0tYIfzFQ0He9kVQ_JF2mCXgZ3hqFA"",""REKAP ALL 2026 - Andika!F:F""),"""",0)"),"17029186701")</f>
        <v>17029186701</v>
      </c>
      <c r="G157" s="13" t="s">
        <v>733</v>
      </c>
      <c r="H157" s="13" t="s">
        <v>35</v>
      </c>
      <c r="I157" s="13" t="str">
        <f aca="false">IF(C157=J157,"NEW KONTRAK","RE-KONTRAK")</f>
        <v>RE-KONTRAK</v>
      </c>
      <c r="J157" s="16" t="n">
        <f aca="false" t="array" ref="J157:J157">IFERROR(INDEX(AC157:AE157,IF(COUNTA(AC157:AE157)=0,"",MAX((AC157:AE157&lt;&gt;"")*(COLUMN(AC157:AE157)-(COLUMN(AC157)))))-1),"")</f>
        <v>45566</v>
      </c>
      <c r="K157" s="16" t="n">
        <f aca="false" t="array" ref="K157:K157">IFERROR(INDEX(AC157:AE157,IF(COUNTA(AC157:AE157)=0,"",MAX((AC157:AE157&lt;&gt;"")*(COLUMN(AC157:AE157)-(COLUMN(AC157)-1))))-1),"")</f>
        <v>45930</v>
      </c>
      <c r="L157" s="17" t="str">
        <f aca="false" t="array" ref="L157:L157">IFERROR(INDEX(AC157:AE157,IF(COUNTA(AC157:AE157)=0,"",MAX((AC157:AE157&lt;&gt;"")*(COLUMN(AC157:AE157)-(COLUMN(AC157)-2))))-1),"")</f>
        <v>ARCHIVED</v>
      </c>
      <c r="M157" s="13" t="n">
        <f aca="true">K157-TODAY()</f>
        <v>-394</v>
      </c>
      <c r="N157" s="18" t="s">
        <v>728</v>
      </c>
      <c r="O157" s="13" t="s">
        <v>729</v>
      </c>
      <c r="P157" s="19" t="n">
        <v>5288796</v>
      </c>
      <c r="Q157" s="20" t="s">
        <v>734</v>
      </c>
      <c r="R157" s="13" t="s">
        <v>735</v>
      </c>
      <c r="S157" s="14" t="n">
        <v>31406</v>
      </c>
      <c r="T157" s="13" t="s">
        <v>40</v>
      </c>
      <c r="U157" s="13" t="s">
        <v>736</v>
      </c>
      <c r="V157" s="13" t="s">
        <v>42</v>
      </c>
      <c r="W157" s="13" t="s">
        <v>43</v>
      </c>
      <c r="X157" s="21" t="n">
        <v>81336149336</v>
      </c>
      <c r="Y157" s="22" t="str">
        <f aca="false">O157</f>
        <v>Helper/Gudang</v>
      </c>
      <c r="Z157" s="13" t="str">
        <f aca="false">IFERROR(__xludf.dummyfunction("if(BJ157="""","""",GOOGLETRANSLATE(BJ157,""auto"",""en""))"),"Helper/Gudang")</f>
        <v>Helper/Gudang</v>
      </c>
      <c r="AA157" s="23" t="str">
        <f aca="false">IF(C157="","", CHOOSE(MONTH(C157),"January","February","March","April","May","June","July","August","September","October","November","December")&amp;" "&amp;DAY(C157)&amp;MID("thstndrdth",MIN(9,2*RIGHT(DAY(C157))*(MOD(DAY(C157)-11,100)&gt;2)+1),2)&amp;","&amp;TEXT(C157," yyyy"))</f>
        <v>March 1st,2017</v>
      </c>
      <c r="AB157" s="15" t="str">
        <f aca="true">IF(S157="","",DATEDIF(S157,TODAY(),"Y")&amp;" Tahun, "&amp;DATEDIF(S157,TODAY(),"YM")&amp;" Bulan, "&amp;DATEDIF(S157,TODAY(),"MD")&amp;" Hari")</f>
        <v>40 Tahun, 10 Bulan, 4 Hari</v>
      </c>
      <c r="AC157" s="18" t="n">
        <v>45566</v>
      </c>
      <c r="AD157" s="18" t="n">
        <v>45930</v>
      </c>
      <c r="AE157" s="18" t="s">
        <v>44</v>
      </c>
    </row>
    <row r="158" customFormat="false" ht="15" hidden="false" customHeight="true" outlineLevel="0" collapsed="false">
      <c r="A158" s="12" t="n">
        <v>967</v>
      </c>
      <c r="B158" s="13" t="s">
        <v>737</v>
      </c>
      <c r="C158" s="14" t="n">
        <v>43871</v>
      </c>
      <c r="D158" s="13" t="s">
        <v>726</v>
      </c>
      <c r="E158" s="15" t="s">
        <v>47</v>
      </c>
      <c r="F158" s="15" t="str">
        <f aca="false">IFERROR(__xludf.dummyfunction("XLOOKUP(AJ158,IMPORTRANGE(""1XaInW9DU9nz21V0tYIfzFQ0He9kVQ_JF2mCXgZ3hqFA"",""REKAP ALL 2026 - Andika!G:G""),IMPORTRANGE(""1XaInW9DU9nz21V0tYIfzFQ0He9kVQ_JF2mCXgZ3hqFA"",""REKAP ALL 2026 - Andika!F:F""),"""",0)"),"20034106334")</f>
        <v>20034106334</v>
      </c>
      <c r="G158" s="13" t="s">
        <v>738</v>
      </c>
      <c r="H158" s="13" t="s">
        <v>35</v>
      </c>
      <c r="I158" s="13" t="str">
        <f aca="false">IF(C158=J158,"NEW KONTRAK","RE-KONTRAK")</f>
        <v>RE-KONTRAK</v>
      </c>
      <c r="J158" s="16" t="n">
        <f aca="false" t="array" ref="J158:J158">IFERROR(INDEX(AC158:AE158,IF(COUNTA(AC158:AE158)=0,"",MAX((AC158:AE158&lt;&gt;"")*(COLUMN(AC158:AE158)-(COLUMN(AC158)))))-1),"")</f>
        <v>45566</v>
      </c>
      <c r="K158" s="16" t="n">
        <f aca="false" t="array" ref="K158:K158">IFERROR(INDEX(AC158:AE158,IF(COUNTA(AC158:AE158)=0,"",MAX((AC158:AE158&lt;&gt;"")*(COLUMN(AC158:AE158)-(COLUMN(AC158)-1))))-1),"")</f>
        <v>45930</v>
      </c>
      <c r="L158" s="17" t="str">
        <f aca="false" t="array" ref="L158:L158">IFERROR(INDEX(AC158:AE158,IF(COUNTA(AC158:AE158)=0,"",MAX((AC158:AE158&lt;&gt;"")*(COLUMN(AC158:AE158)-(COLUMN(AC158)-2))))-1),"")</f>
        <v>ARCHIVED</v>
      </c>
      <c r="M158" s="13" t="n">
        <f aca="true">K158-TODAY()</f>
        <v>-394</v>
      </c>
      <c r="N158" s="18" t="s">
        <v>728</v>
      </c>
      <c r="O158" s="13" t="s">
        <v>729</v>
      </c>
      <c r="P158" s="19" t="n">
        <v>5288796</v>
      </c>
      <c r="Q158" s="20" t="s">
        <v>739</v>
      </c>
      <c r="R158" s="13" t="s">
        <v>39</v>
      </c>
      <c r="S158" s="14" t="n">
        <v>35888</v>
      </c>
      <c r="T158" s="13" t="s">
        <v>40</v>
      </c>
      <c r="U158" s="13" t="s">
        <v>740</v>
      </c>
      <c r="V158" s="13" t="s">
        <v>42</v>
      </c>
      <c r="W158" s="13" t="s">
        <v>43</v>
      </c>
      <c r="X158" s="21" t="n">
        <v>81235495365</v>
      </c>
      <c r="Y158" s="22" t="str">
        <f aca="false">O158</f>
        <v>Helper/Gudang</v>
      </c>
      <c r="Z158" s="13" t="str">
        <f aca="false">IFERROR(__xludf.dummyfunction("if(BJ158="""","""",GOOGLETRANSLATE(BJ158,""auto"",""en""))"),"Helper/Gudang")</f>
        <v>Helper/Gudang</v>
      </c>
      <c r="AA158" s="23" t="str">
        <f aca="false">IF(C158="","", CHOOSE(MONTH(C158),"January","February","March","April","May","June","July","August","September","October","November","December")&amp;" "&amp;DAY(C158)&amp;MID("thstndrdth",MIN(9,2*RIGHT(DAY(C158))*(MOD(DAY(C158)-11,100)&gt;2)+1),2)&amp;","&amp;TEXT(C158," yyyy"))</f>
        <v>February 10th,2020</v>
      </c>
      <c r="AB158" s="15" t="str">
        <f aca="true">IF(S158="","",DATEDIF(S158,TODAY(),"Y")&amp;" Tahun, "&amp;DATEDIF(S158,TODAY(),"YM")&amp;" Bulan, "&amp;DATEDIF(S158,TODAY(),"MD")&amp;" Hari")</f>
        <v>28 Tahun, 6 Bulan, 26 Hari</v>
      </c>
      <c r="AC158" s="18" t="n">
        <v>45566</v>
      </c>
      <c r="AD158" s="18" t="n">
        <v>45930</v>
      </c>
      <c r="AE158" s="18" t="s">
        <v>44</v>
      </c>
    </row>
    <row r="159" customFormat="false" ht="15" hidden="false" customHeight="true" outlineLevel="0" collapsed="false">
      <c r="A159" s="12" t="n">
        <v>1357</v>
      </c>
      <c r="B159" s="13" t="s">
        <v>741</v>
      </c>
      <c r="C159" s="14" t="n">
        <v>42464</v>
      </c>
      <c r="D159" s="13" t="s">
        <v>742</v>
      </c>
      <c r="E159" s="15" t="s">
        <v>47</v>
      </c>
      <c r="F159" s="15" t="str">
        <f aca="false">IFERROR(__xludf.dummyfunction("XLOOKUP(AJ159,IMPORTRANGE(""1XaInW9DU9nz21V0tYIfzFQ0He9kVQ_JF2mCXgZ3hqFA"",""REKAP ALL 2026 - Andika!G:G""),IMPORTRANGE(""1XaInW9DU9nz21V0tYIfzFQ0He9kVQ_JF2mCXgZ3hqFA"",""REKAP ALL 2026 - Andika!F:F""),"""",0)"),"14009598229")</f>
        <v>14009598229</v>
      </c>
      <c r="G159" s="13" t="s">
        <v>743</v>
      </c>
      <c r="H159" s="13" t="s">
        <v>35</v>
      </c>
      <c r="I159" s="13" t="str">
        <f aca="false">IF(C159=J159,"NEW KONTRAK","RE-KONTRAK")</f>
        <v>RE-KONTRAK</v>
      </c>
      <c r="J159" s="16" t="n">
        <f aca="false" t="array" ref="J159:J159">IFERROR(INDEX(AC159:AE159,IF(COUNTA(AC159:AE159)=0,"",MAX((AC159:AE159&lt;&gt;"")*(COLUMN(AC159:AE159)-(COLUMN(AC159)))))-1),"")</f>
        <v>45556</v>
      </c>
      <c r="K159" s="16" t="n">
        <f aca="false" t="array" ref="K159:K159">IFERROR(INDEX(AC159:AE159,IF(COUNTA(AC159:AE159)=0,"",MAX((AC159:AE159&lt;&gt;"")*(COLUMN(AC159:AE159)-(COLUMN(AC159)-1))))-1),"")</f>
        <v>45920</v>
      </c>
      <c r="L159" s="17" t="str">
        <f aca="false" t="array" ref="L159:L159">IFERROR(INDEX(AC159:AE159,IF(COUNTA(AC159:AE159)=0,"",MAX((AC159:AE159&lt;&gt;"")*(COLUMN(AC159:AE159)-(COLUMN(AC159)-2))))-1),"")</f>
        <v>ARCHIVED</v>
      </c>
      <c r="M159" s="13" t="n">
        <f aca="true">K159-TODAY()</f>
        <v>-404</v>
      </c>
      <c r="N159" s="18" t="s">
        <v>615</v>
      </c>
      <c r="O159" s="13" t="s">
        <v>50</v>
      </c>
      <c r="P159" s="27" t="n">
        <v>2550274</v>
      </c>
      <c r="Q159" s="20" t="s">
        <v>744</v>
      </c>
      <c r="R159" s="13" t="s">
        <v>260</v>
      </c>
      <c r="S159" s="14" t="n">
        <v>23026</v>
      </c>
      <c r="T159" s="13" t="s">
        <v>40</v>
      </c>
      <c r="U159" s="13" t="s">
        <v>745</v>
      </c>
      <c r="V159" s="13" t="s">
        <v>42</v>
      </c>
      <c r="W159" s="13" t="s">
        <v>54</v>
      </c>
      <c r="X159" s="21" t="n">
        <v>81559625774</v>
      </c>
      <c r="Y159" s="22" t="str">
        <f aca="false">O159</f>
        <v>Driver</v>
      </c>
      <c r="Z159" s="13" t="str">
        <f aca="false">IFERROR(__xludf.dummyfunction("if(BJ159="""","""",GOOGLETRANSLATE(BJ159,""auto"",""en""))"),"Driver")</f>
        <v>Driver</v>
      </c>
      <c r="AA159" s="23" t="str">
        <f aca="false">IF(C159="","", CHOOSE(MONTH(C159),"January","February","March","April","May","June","July","August","September","October","November","December")&amp;" "&amp;DAY(C159)&amp;MID("thstndrdth",MIN(9,2*RIGHT(DAY(C159))*(MOD(DAY(C159)-11,100)&gt;2)+1),2)&amp;","&amp;TEXT(C159," yyyy"))</f>
        <v>April 4th,2016</v>
      </c>
      <c r="AB159" s="15" t="str">
        <f aca="true">IF(S159="","",DATEDIF(S159,TODAY(),"Y")&amp;" Tahun, "&amp;DATEDIF(S159,TODAY(),"YM")&amp;" Bulan, "&amp;DATEDIF(S159,TODAY(),"MD")&amp;" Hari")</f>
        <v>63 Tahun, 9 Bulan, 14 Hari</v>
      </c>
      <c r="AC159" s="18" t="n">
        <v>45556</v>
      </c>
      <c r="AD159" s="18" t="n">
        <v>45920</v>
      </c>
      <c r="AE159" s="18" t="s">
        <v>44</v>
      </c>
    </row>
    <row r="160" customFormat="false" ht="15" hidden="false" customHeight="true" outlineLevel="0" collapsed="false">
      <c r="A160" s="12" t="n">
        <v>1370</v>
      </c>
      <c r="B160" s="13" t="s">
        <v>746</v>
      </c>
      <c r="C160" s="14" t="n">
        <v>45614</v>
      </c>
      <c r="D160" s="13" t="s">
        <v>747</v>
      </c>
      <c r="E160" s="15" t="s">
        <v>47</v>
      </c>
      <c r="F160" s="15" t="str">
        <f aca="false">IFERROR(__xludf.dummyfunction("XLOOKUP(AJ160,IMPORTRANGE(""1XaInW9DU9nz21V0tYIfzFQ0He9kVQ_JF2mCXgZ3hqFA"",""REKAP ALL 2026 - Andika!G:G""),IMPORTRANGE(""1XaInW9DU9nz21V0tYIfzFQ0He9kVQ_JF2mCXgZ3hqFA"",""REKAP ALL 2026 - Andika!F:F""),"""",0)"),"21031354901")</f>
        <v>21031354901</v>
      </c>
      <c r="G160" s="13" t="s">
        <v>748</v>
      </c>
      <c r="H160" s="13" t="s">
        <v>35</v>
      </c>
      <c r="I160" s="13" t="str">
        <f aca="false">IF(C160=J160,"NEW KONTRAK","RE-KONTRAK")</f>
        <v>RE-KONTRAK</v>
      </c>
      <c r="J160" s="16" t="n">
        <f aca="false" t="array" ref="J160:J160">IFERROR(INDEX(AC160:AE160,IF(COUNTA(AC160:AE160)=0,"",MAX((AC160:AE160&lt;&gt;"")*(COLUMN(AC160:AE160)-(COLUMN(AC160)))))-1),"")</f>
        <v>45658</v>
      </c>
      <c r="K160" s="16" t="n">
        <f aca="false" t="array" ref="K160:K160">IFERROR(INDEX(AC160:AE160,IF(COUNTA(AC160:AE160)=0,"",MAX((AC160:AE160&lt;&gt;"")*(COLUMN(AC160:AE160)-(COLUMN(AC160)-1))))-1),"")</f>
        <v>45747</v>
      </c>
      <c r="L160" s="17" t="str">
        <f aca="false" t="array" ref="L160:L160">IFERROR(INDEX(AC160:AE160,IF(COUNTA(AC160:AE160)=0,"",MAX((AC160:AE160&lt;&gt;"")*(COLUMN(AC160:AE160)-(COLUMN(AC160)-2))))-1),"")</f>
        <v>ARCHIVED</v>
      </c>
      <c r="M160" s="13" t="n">
        <f aca="true">K160-TODAY()</f>
        <v>-577</v>
      </c>
      <c r="N160" s="18" t="s">
        <v>749</v>
      </c>
      <c r="O160" s="13" t="s">
        <v>750</v>
      </c>
      <c r="P160" s="19" t="n">
        <v>3724437.2</v>
      </c>
      <c r="Q160" s="20" t="s">
        <v>751</v>
      </c>
      <c r="R160" s="13" t="s">
        <v>752</v>
      </c>
      <c r="S160" s="14" t="n">
        <v>36018</v>
      </c>
      <c r="T160" s="13" t="s">
        <v>108</v>
      </c>
      <c r="U160" s="13" t="s">
        <v>753</v>
      </c>
      <c r="V160" s="13" t="s">
        <v>42</v>
      </c>
      <c r="W160" s="13" t="s">
        <v>43</v>
      </c>
      <c r="X160" s="21" t="n">
        <v>81296836566</v>
      </c>
      <c r="Y160" s="22" t="str">
        <f aca="false">O160</f>
        <v>Admin</v>
      </c>
      <c r="Z160" s="13" t="str">
        <f aca="false">IFERROR(__xludf.dummyfunction("if(BJ160="""","""",GOOGLETRANSLATE(BJ160,""auto"",""en""))"),"Admin")</f>
        <v>Admin</v>
      </c>
      <c r="AA160" s="23" t="str">
        <f aca="false">IF(C160="","", CHOOSE(MONTH(C160),"January","February","March","April","May","June","July","August","September","October","November","December")&amp;" "&amp;DAY(C160)&amp;MID("thstndrdth",MIN(9,2*RIGHT(DAY(C160))*(MOD(DAY(C160)-11,100)&gt;2)+1),2)&amp;","&amp;TEXT(C160," yyyy"))</f>
        <v>November 18th,2024</v>
      </c>
      <c r="AB160" s="15" t="str">
        <f aca="true">IF(S160="","",DATEDIF(S160,TODAY(),"Y")&amp;" Tahun, "&amp;DATEDIF(S160,TODAY(),"YM")&amp;" Bulan, "&amp;DATEDIF(S160,TODAY(),"MD")&amp;" Hari")</f>
        <v>28 Tahun, 2 Bulan, 18 Hari</v>
      </c>
      <c r="AC160" s="18" t="n">
        <v>45658</v>
      </c>
      <c r="AD160" s="18" t="n">
        <v>45747</v>
      </c>
      <c r="AE160" s="18" t="s">
        <v>44</v>
      </c>
    </row>
    <row r="161" customFormat="false" ht="15" hidden="false" customHeight="true" outlineLevel="0" collapsed="false">
      <c r="A161" s="12" t="n">
        <v>1375</v>
      </c>
      <c r="B161" s="13" t="s">
        <v>754</v>
      </c>
      <c r="C161" s="14" t="n">
        <v>43587</v>
      </c>
      <c r="D161" s="13" t="s">
        <v>755</v>
      </c>
      <c r="E161" s="15" t="s">
        <v>47</v>
      </c>
      <c r="F161" s="15" t="str">
        <f aca="false">IFERROR(__xludf.dummyfunction("XLOOKUP(AJ161,IMPORTRANGE(""1XaInW9DU9nz21V0tYIfzFQ0He9kVQ_JF2mCXgZ3hqFA"",""REKAP ALL 2026 - Andika!G:G""),IMPORTRANGE(""1XaInW9DU9nz21V0tYIfzFQ0He9kVQ_JF2mCXgZ3hqFA"",""REKAP ALL 2026 - Andika!F:F""),"""",0)"),"19043385590")</f>
        <v>19043385590</v>
      </c>
      <c r="G161" s="13" t="s">
        <v>756</v>
      </c>
      <c r="H161" s="13" t="s">
        <v>35</v>
      </c>
      <c r="I161" s="13" t="str">
        <f aca="false">IF(C161=J161,"NEW KONTRAK","RE-KONTRAK")</f>
        <v>RE-KONTRAK</v>
      </c>
      <c r="J161" s="16" t="n">
        <f aca="false" t="array" ref="J161:J161">IFERROR(INDEX(AC161:AE161,IF(COUNTA(AC161:AE161)=0,"",MAX((AC161:AE161&lt;&gt;"")*(COLUMN(AC161:AE161)-(COLUMN(AC161)))))-1),"")</f>
        <v>45799</v>
      </c>
      <c r="K161" s="16" t="n">
        <f aca="false" t="array" ref="K161:K161">IFERROR(INDEX(AC161:AE161,IF(COUNTA(AC161:AE161)=0,"",MAX((AC161:AE161&lt;&gt;"")*(COLUMN(AC161:AE161)-(COLUMN(AC161)-1))))-1),"")</f>
        <v>46528</v>
      </c>
      <c r="L161" s="17" t="str">
        <f aca="false" t="array" ref="L161:L161">IFERROR(INDEX(AC161:AE161,IF(COUNTA(AC161:AE161)=0,"",MAX((AC161:AE161&lt;&gt;"")*(COLUMN(AC161:AE161)-(COLUMN(AC161)-2))))-1),"")</f>
        <v>KEMBALI</v>
      </c>
      <c r="M161" s="13" t="n">
        <f aca="true">K161-TODAY()</f>
        <v>204</v>
      </c>
      <c r="N161" s="18" t="s">
        <v>105</v>
      </c>
      <c r="O161" s="13" t="s">
        <v>757</v>
      </c>
      <c r="P161" s="19" t="n">
        <v>4870511</v>
      </c>
      <c r="Q161" s="20" t="s">
        <v>758</v>
      </c>
      <c r="R161" s="13" t="s">
        <v>39</v>
      </c>
      <c r="S161" s="14" t="n">
        <v>36019</v>
      </c>
      <c r="T161" s="13" t="s">
        <v>40</v>
      </c>
      <c r="U161" s="13" t="s">
        <v>759</v>
      </c>
      <c r="V161" s="13" t="s">
        <v>42</v>
      </c>
      <c r="W161" s="13" t="s">
        <v>43</v>
      </c>
      <c r="X161" s="21" t="n">
        <v>85655536153</v>
      </c>
      <c r="Y161" s="22" t="str">
        <f aca="false">O161</f>
        <v>Inputor</v>
      </c>
      <c r="Z161" s="13" t="str">
        <f aca="false">IFERROR(__xludf.dummyfunction("if(BJ161="""","""",GOOGLETRANSLATE(BJ161,""auto"",""en""))"),"Inputor")</f>
        <v>Inputor</v>
      </c>
      <c r="AA161" s="23" t="str">
        <f aca="false">IF(C161="","", CHOOSE(MONTH(C161),"January","February","March","April","May","June","July","August","September","October","November","December")&amp;" "&amp;DAY(C161)&amp;MID("thstndrdth",MIN(9,2*RIGHT(DAY(C161))*(MOD(DAY(C161)-11,100)&gt;2)+1),2)&amp;","&amp;TEXT(C161," yyyy"))</f>
        <v>May 2nd,2019</v>
      </c>
      <c r="AB161" s="15" t="str">
        <f aca="true">IF(S161="","",DATEDIF(S161,TODAY(),"Y")&amp;" Tahun, "&amp;DATEDIF(S161,TODAY(),"YM")&amp;" Bulan, "&amp;DATEDIF(S161,TODAY(),"MD")&amp;" Hari")</f>
        <v>28 Tahun, 2 Bulan, 17 Hari</v>
      </c>
      <c r="AC161" s="18" t="n">
        <v>45799</v>
      </c>
      <c r="AD161" s="18" t="n">
        <v>46528</v>
      </c>
      <c r="AE161" s="13" t="s">
        <v>397</v>
      </c>
    </row>
    <row r="162" customFormat="false" ht="15" hidden="false" customHeight="true" outlineLevel="0" collapsed="false">
      <c r="A162" s="12" t="n">
        <v>1398</v>
      </c>
      <c r="B162" s="13" t="s">
        <v>760</v>
      </c>
      <c r="C162" s="14" t="n">
        <v>44166</v>
      </c>
      <c r="D162" s="13" t="s">
        <v>761</v>
      </c>
      <c r="E162" s="15" t="s">
        <v>47</v>
      </c>
      <c r="F162" s="15" t="str">
        <f aca="false">IFERROR(__xludf.dummyfunction("XLOOKUP(AJ162,IMPORTRANGE(""1XaInW9DU9nz21V0tYIfzFQ0He9kVQ_JF2mCXgZ3hqFA"",""REKAP ALL 2026 - Andika!G:G""),IMPORTRANGE(""1XaInW9DU9nz21V0tYIfzFQ0He9kVQ_JF2mCXgZ3hqFA"",""REKAP ALL 2026 - Andika!F:F""),"""",0)"),"18063134219")</f>
        <v>18063134219</v>
      </c>
      <c r="G162" s="13" t="s">
        <v>762</v>
      </c>
      <c r="H162" s="13" t="s">
        <v>49</v>
      </c>
      <c r="I162" s="13" t="str">
        <f aca="false">IF(C162=J162,"NEW KONTRAK","RE-KONTRAK")</f>
        <v>RE-KONTRAK</v>
      </c>
      <c r="J162" s="16" t="n">
        <f aca="false" t="array" ref="J162:J162">IFERROR(INDEX(AC162:AE162,IF(COUNTA(AC162:AE162)=0,"",MAX((AC162:AE162&lt;&gt;"")*(COLUMN(AC162:AE162)-(COLUMN(AC162)))))-1),"")</f>
        <v>45611</v>
      </c>
      <c r="K162" s="16" t="n">
        <f aca="false" t="array" ref="K162:K162">IFERROR(INDEX(AC162:AE162,IF(COUNTA(AC162:AE162)=0,"",MAX((AC162:AE162&lt;&gt;"")*(COLUMN(AC162:AE162)-(COLUMN(AC162)-1))))-1),"")</f>
        <v>45975</v>
      </c>
      <c r="L162" s="17" t="str">
        <f aca="false" t="array" ref="L162:L162">IFERROR(INDEX(AC162:AE162,IF(COUNTA(AC162:AE162)=0,"",MAX((AC162:AE162&lt;&gt;"")*(COLUMN(AC162:AE162)-(COLUMN(AC162)-2))))-1),"")</f>
        <v>ARCHIVED</v>
      </c>
      <c r="M162" s="13" t="n">
        <f aca="true">K162-TODAY()</f>
        <v>-349</v>
      </c>
      <c r="N162" s="18" t="s">
        <v>763</v>
      </c>
      <c r="O162" s="13" t="s">
        <v>764</v>
      </c>
      <c r="P162" s="19" t="n">
        <v>5729876</v>
      </c>
      <c r="Q162" s="20" t="s">
        <v>765</v>
      </c>
      <c r="R162" s="13" t="s">
        <v>78</v>
      </c>
      <c r="S162" s="14" t="n">
        <v>33065</v>
      </c>
      <c r="T162" s="13" t="s">
        <v>40</v>
      </c>
      <c r="U162" s="13" t="s">
        <v>766</v>
      </c>
      <c r="V162" s="28" t="s">
        <v>42</v>
      </c>
      <c r="W162" s="13" t="s">
        <v>54</v>
      </c>
      <c r="X162" s="21" t="n">
        <v>85775099972</v>
      </c>
      <c r="Y162" s="22" t="str">
        <f aca="false">O162</f>
        <v>Operator</v>
      </c>
      <c r="Z162" s="13" t="str">
        <f aca="false">IFERROR(__xludf.dummyfunction("if(BJ162="""","""",GOOGLETRANSLATE(BJ162,""auto"",""en""))"),"Operator")</f>
        <v>Operator</v>
      </c>
      <c r="AA162" s="23" t="str">
        <f aca="false">IF(C162="","", CHOOSE(MONTH(C162),"January","February","March","April","May","June","July","August","September","October","November","December")&amp;" "&amp;DAY(C162)&amp;MID("thstndrdth",MIN(9,2*RIGHT(DAY(C162))*(MOD(DAY(C162)-11,100)&gt;2)+1),2)&amp;","&amp;TEXT(C162," yyyy"))</f>
        <v>December 1st,2020</v>
      </c>
      <c r="AB162" s="15" t="str">
        <f aca="true">IF(S162="","",DATEDIF(S162,TODAY(),"Y")&amp;" Tahun, "&amp;DATEDIF(S162,TODAY(),"YM")&amp;" Bulan, "&amp;DATEDIF(S162,TODAY(),"MD")&amp;" Hari")</f>
        <v>36 Tahun, 3 Bulan, 18 Hari</v>
      </c>
      <c r="AC162" s="18" t="n">
        <v>45611</v>
      </c>
      <c r="AD162" s="18" t="n">
        <v>45975</v>
      </c>
      <c r="AE162" s="18" t="s">
        <v>44</v>
      </c>
    </row>
    <row r="163" customFormat="false" ht="15" hidden="false" customHeight="true" outlineLevel="0" collapsed="false">
      <c r="A163" s="12" t="n">
        <v>1400</v>
      </c>
      <c r="B163" s="13" t="s">
        <v>767</v>
      </c>
      <c r="C163" s="14" t="n">
        <v>44166</v>
      </c>
      <c r="D163" s="13" t="s">
        <v>761</v>
      </c>
      <c r="E163" s="15" t="s">
        <v>47</v>
      </c>
      <c r="F163" s="24" t="s">
        <v>768</v>
      </c>
      <c r="G163" s="13" t="s">
        <v>769</v>
      </c>
      <c r="H163" s="13" t="s">
        <v>49</v>
      </c>
      <c r="I163" s="13" t="str">
        <f aca="false">IF(C163=J163,"NEW KONTRAK","RE-KONTRAK")</f>
        <v>RE-KONTRAK</v>
      </c>
      <c r="J163" s="16" t="n">
        <f aca="false" t="array" ref="J163:J163">IFERROR(INDEX(AC163:AE163,IF(COUNTA(AC163:AE163)=0,"",MAX((AC163:AE163&lt;&gt;"")*(COLUMN(AC163:AE163)-(COLUMN(AC163)))))-1),"")</f>
        <v>45611</v>
      </c>
      <c r="K163" s="16" t="n">
        <f aca="false" t="array" ref="K163:K163">IFERROR(INDEX(AC163:AE163,IF(COUNTA(AC163:AE163)=0,"",MAX((AC163:AE163&lt;&gt;"")*(COLUMN(AC163:AE163)-(COLUMN(AC163)-1))))-1),"")</f>
        <v>45975</v>
      </c>
      <c r="L163" s="17" t="str">
        <f aca="false" t="array" ref="L163:L163">IFERROR(INDEX(AC163:AE163,IF(COUNTA(AC163:AE163)=0,"",MAX((AC163:AE163&lt;&gt;"")*(COLUMN(AC163:AE163)-(COLUMN(AC163)-2))))-1),"")</f>
        <v>ARCHIVED</v>
      </c>
      <c r="M163" s="13" t="n">
        <f aca="true">K163-TODAY()</f>
        <v>-349</v>
      </c>
      <c r="N163" s="18" t="s">
        <v>763</v>
      </c>
      <c r="O163" s="13" t="s">
        <v>50</v>
      </c>
      <c r="P163" s="19" t="n">
        <v>5729876</v>
      </c>
      <c r="Q163" s="20" t="s">
        <v>770</v>
      </c>
      <c r="R163" s="13" t="s">
        <v>771</v>
      </c>
      <c r="S163" s="14" t="n">
        <v>27772</v>
      </c>
      <c r="T163" s="13" t="s">
        <v>40</v>
      </c>
      <c r="U163" s="13" t="s">
        <v>772</v>
      </c>
      <c r="V163" s="28" t="s">
        <v>42</v>
      </c>
      <c r="W163" s="13" t="s">
        <v>54</v>
      </c>
      <c r="X163" s="21" t="n">
        <v>82124414082</v>
      </c>
      <c r="Y163" s="22" t="str">
        <f aca="false">O163</f>
        <v>Driver</v>
      </c>
      <c r="Z163" s="13" t="str">
        <f aca="false">IFERROR(__xludf.dummyfunction("if(BJ163="""","""",GOOGLETRANSLATE(BJ163,""auto"",""en""))"),"Driver")</f>
        <v>Driver</v>
      </c>
      <c r="AA163" s="23" t="str">
        <f aca="false">IF(C163="","", CHOOSE(MONTH(C163),"January","February","March","April","May","June","July","August","September","October","November","December")&amp;" "&amp;DAY(C163)&amp;MID("thstndrdth",MIN(9,2*RIGHT(DAY(C163))*(MOD(DAY(C163)-11,100)&gt;2)+1),2)&amp;","&amp;TEXT(C163," yyyy"))</f>
        <v>December 1st,2020</v>
      </c>
      <c r="AB163" s="15" t="str">
        <f aca="true">IF(S163="","",DATEDIF(S163,TODAY(),"Y")&amp;" Tahun, "&amp;DATEDIF(S163,TODAY(),"YM")&amp;" Bulan, "&amp;DATEDIF(S163,TODAY(),"MD")&amp;" Hari")</f>
        <v>50 Tahun, 9 Bulan, 16 Hari</v>
      </c>
      <c r="AC163" s="18" t="n">
        <v>45611</v>
      </c>
      <c r="AD163" s="18" t="n">
        <v>45975</v>
      </c>
      <c r="AE163" s="18" t="s">
        <v>44</v>
      </c>
    </row>
    <row r="164" customFormat="false" ht="15" hidden="false" customHeight="true" outlineLevel="0" collapsed="false">
      <c r="A164" s="12" t="n">
        <v>1405</v>
      </c>
      <c r="B164" s="13" t="s">
        <v>773</v>
      </c>
      <c r="C164" s="14" t="n">
        <v>44105</v>
      </c>
      <c r="D164" s="13" t="s">
        <v>774</v>
      </c>
      <c r="E164" s="15" t="s">
        <v>47</v>
      </c>
      <c r="F164" s="15" t="str">
        <f aca="false">IFERROR(__xludf.dummyfunction("XLOOKUP(AJ164,IMPORTRANGE(""1XaInW9DU9nz21V0tYIfzFQ0He9kVQ_JF2mCXgZ3hqFA"",""REKAP ALL 2026 - Andika!G:G""),IMPORTRANGE(""1XaInW9DU9nz21V0tYIfzFQ0He9kVQ_JF2mCXgZ3hqFA"",""REKAP ALL 2026 - Andika!F:F""),"""",0)"),"14008726177")</f>
        <v>14008726177</v>
      </c>
      <c r="G164" s="13" t="s">
        <v>775</v>
      </c>
      <c r="H164" s="13" t="s">
        <v>49</v>
      </c>
      <c r="I164" s="13" t="str">
        <f aca="false">IF(C164=J164,"NEW KONTRAK","RE-KONTRAK")</f>
        <v>RE-KONTRAK</v>
      </c>
      <c r="J164" s="16" t="n">
        <f aca="false" t="array" ref="J164:J164">IFERROR(INDEX(AC164:AE164,IF(COUNTA(AC164:AE164)=0,"",MAX((AC164:AE164&lt;&gt;"")*(COLUMN(AC164:AE164)-(COLUMN(AC164)))))-1),"")</f>
        <v>45566</v>
      </c>
      <c r="K164" s="16" t="n">
        <f aca="false" t="array" ref="K164:K164">IFERROR(INDEX(AC164:AE164,IF(COUNTA(AC164:AE164)=0,"",MAX((AC164:AE164&lt;&gt;"")*(COLUMN(AC164:AE164)-(COLUMN(AC164)-1))))-1),"")</f>
        <v>45930</v>
      </c>
      <c r="L164" s="17" t="str">
        <f aca="false" t="array" ref="L164:L164">IFERROR(INDEX(AC164:AE164,IF(COUNTA(AC164:AE164)=0,"",MAX((AC164:AE164&lt;&gt;"")*(COLUMN(AC164:AE164)-(COLUMN(AC164)-2))))-1),"")</f>
        <v>ARCHIVED</v>
      </c>
      <c r="M164" s="13" t="n">
        <f aca="true">K164-TODAY()</f>
        <v>-394</v>
      </c>
      <c r="N164" s="18" t="s">
        <v>36</v>
      </c>
      <c r="O164" s="29" t="s">
        <v>298</v>
      </c>
      <c r="P164" s="19" t="n">
        <v>5195500</v>
      </c>
      <c r="Q164" s="20" t="s">
        <v>776</v>
      </c>
      <c r="R164" s="13" t="s">
        <v>78</v>
      </c>
      <c r="S164" s="14" t="n">
        <v>30906</v>
      </c>
      <c r="T164" s="13" t="s">
        <v>40</v>
      </c>
      <c r="U164" s="13" t="s">
        <v>777</v>
      </c>
      <c r="V164" s="13" t="s">
        <v>42</v>
      </c>
      <c r="W164" s="13" t="s">
        <v>54</v>
      </c>
      <c r="X164" s="21" t="n">
        <v>85777348045</v>
      </c>
      <c r="Y164" s="22" t="str">
        <f aca="false">O164</f>
        <v>Maintenance</v>
      </c>
      <c r="Z164" s="13" t="str">
        <f aca="false">IFERROR(__xludf.dummyfunction("if(BJ164="""","""",GOOGLETRANSLATE(BJ164,""auto"",""en""))"),"Maintenance")</f>
        <v>Maintenance</v>
      </c>
      <c r="AA164" s="23" t="str">
        <f aca="false">IF(C164="","", CHOOSE(MONTH(C164),"January","February","March","April","May","June","July","August","September","October","November","December")&amp;" "&amp;DAY(C164)&amp;MID("thstndrdth",MIN(9,2*RIGHT(DAY(C164))*(MOD(DAY(C164)-11,100)&gt;2)+1),2)&amp;","&amp;TEXT(C164," yyyy"))</f>
        <v>October 1st,2020</v>
      </c>
      <c r="AB164" s="15" t="str">
        <f aca="true">IF(S164="","",DATEDIF(S164,TODAY(),"Y")&amp;" Tahun, "&amp;DATEDIF(S164,TODAY(),"YM")&amp;" Bulan, "&amp;DATEDIF(S164,TODAY(),"MD")&amp;" Hari")</f>
        <v>42 Tahun, 2 Bulan, 17 Hari</v>
      </c>
      <c r="AC164" s="18" t="n">
        <v>45566</v>
      </c>
      <c r="AD164" s="18" t="n">
        <v>45930</v>
      </c>
      <c r="AE164" s="18" t="s">
        <v>44</v>
      </c>
    </row>
    <row r="165" customFormat="false" ht="15" hidden="false" customHeight="true" outlineLevel="0" collapsed="false">
      <c r="A165" s="12" t="n">
        <v>1407</v>
      </c>
      <c r="B165" s="13" t="s">
        <v>778</v>
      </c>
      <c r="C165" s="14" t="n">
        <v>44105</v>
      </c>
      <c r="D165" s="13" t="s">
        <v>774</v>
      </c>
      <c r="E165" s="15" t="s">
        <v>47</v>
      </c>
      <c r="F165" s="15" t="str">
        <f aca="false">IFERROR(__xludf.dummyfunction("XLOOKUP(AJ165,IMPORTRANGE(""1XaInW9DU9nz21V0tYIfzFQ0He9kVQ_JF2mCXgZ3hqFA"",""REKAP ALL 2026 - Andika!G:G""),IMPORTRANGE(""1XaInW9DU9nz21V0tYIfzFQ0He9kVQ_JF2mCXgZ3hqFA"",""REKAP ALL 2026 - Andika!F:F""),"""",0)"),"14020580537")</f>
        <v>14020580537</v>
      </c>
      <c r="G165" s="13" t="s">
        <v>779</v>
      </c>
      <c r="H165" s="13" t="s">
        <v>49</v>
      </c>
      <c r="I165" s="13" t="str">
        <f aca="false">IF(C165=J165,"NEW KONTRAK","RE-KONTRAK")</f>
        <v>RE-KONTRAK</v>
      </c>
      <c r="J165" s="16" t="n">
        <f aca="false" t="array" ref="J165:J165">IFERROR(INDEX(AC165:AE165,IF(COUNTA(AC165:AE165)=0,"",MAX((AC165:AE165&lt;&gt;"")*(COLUMN(AC165:AE165)-(COLUMN(AC165)))))-1),"")</f>
        <v>45566</v>
      </c>
      <c r="K165" s="16" t="n">
        <f aca="false" t="array" ref="K165:K165">IFERROR(INDEX(AC165:AE165,IF(COUNTA(AC165:AE165)=0,"",MAX((AC165:AE165&lt;&gt;"")*(COLUMN(AC165:AE165)-(COLUMN(AC165)-1))))-1),"")</f>
        <v>45930</v>
      </c>
      <c r="L165" s="17" t="str">
        <f aca="false" t="array" ref="L165:L165">IFERROR(INDEX(AC165:AE165,IF(COUNTA(AC165:AE165)=0,"",MAX((AC165:AE165&lt;&gt;"")*(COLUMN(AC165:AE165)-(COLUMN(AC165)-2))))-1),"")</f>
        <v>ARCHIVED</v>
      </c>
      <c r="M165" s="13" t="n">
        <f aca="true">K165-TODAY()</f>
        <v>-394</v>
      </c>
      <c r="N165" s="18" t="s">
        <v>36</v>
      </c>
      <c r="O165" s="29" t="s">
        <v>780</v>
      </c>
      <c r="P165" s="19" t="n">
        <v>5195500</v>
      </c>
      <c r="Q165" s="20" t="s">
        <v>781</v>
      </c>
      <c r="R165" s="13" t="s">
        <v>65</v>
      </c>
      <c r="S165" s="14" t="n">
        <v>32150</v>
      </c>
      <c r="T165" s="13" t="s">
        <v>40</v>
      </c>
      <c r="U165" s="13" t="s">
        <v>782</v>
      </c>
      <c r="V165" s="13" t="s">
        <v>42</v>
      </c>
      <c r="W165" s="13" t="s">
        <v>54</v>
      </c>
      <c r="X165" s="21" t="n">
        <v>85731244962</v>
      </c>
      <c r="Y165" s="22" t="str">
        <f aca="false">O165</f>
        <v>Shearing</v>
      </c>
      <c r="Z165" s="13" t="str">
        <f aca="false">IFERROR(__xludf.dummyfunction("if(BJ165="""","""",GOOGLETRANSLATE(BJ165,""auto"",""en""))"),"Shearing")</f>
        <v>Shearing</v>
      </c>
      <c r="AA165" s="23" t="str">
        <f aca="false">IF(C165="","", CHOOSE(MONTH(C165),"January","February","March","April","May","June","July","August","September","October","November","December")&amp;" "&amp;DAY(C165)&amp;MID("thstndrdth",MIN(9,2*RIGHT(DAY(C165))*(MOD(DAY(C165)-11,100)&gt;2)+1),2)&amp;","&amp;TEXT(C165," yyyy"))</f>
        <v>October 1st,2020</v>
      </c>
      <c r="AB165" s="15" t="str">
        <f aca="true">IF(S165="","",DATEDIF(S165,TODAY(),"Y")&amp;" Tahun, "&amp;DATEDIF(S165,TODAY(),"YM")&amp;" Bulan, "&amp;DATEDIF(S165,TODAY(),"MD")&amp;" Hari")</f>
        <v>38 Tahun, 9 Bulan, 21 Hari</v>
      </c>
      <c r="AC165" s="18" t="n">
        <v>45566</v>
      </c>
      <c r="AD165" s="18" t="n">
        <v>45930</v>
      </c>
      <c r="AE165" s="18" t="s">
        <v>44</v>
      </c>
    </row>
    <row r="166" customFormat="false" ht="15" hidden="false" customHeight="true" outlineLevel="0" collapsed="false">
      <c r="A166" s="12" t="n">
        <v>1408</v>
      </c>
      <c r="B166" s="13" t="s">
        <v>783</v>
      </c>
      <c r="C166" s="14" t="n">
        <v>44200</v>
      </c>
      <c r="D166" s="13" t="s">
        <v>774</v>
      </c>
      <c r="E166" s="15" t="s">
        <v>47</v>
      </c>
      <c r="F166" s="15" t="str">
        <f aca="false">IFERROR(__xludf.dummyfunction("XLOOKUP(AJ166,IMPORTRANGE(""1XaInW9DU9nz21V0tYIfzFQ0He9kVQ_JF2mCXgZ3hqFA"",""REKAP ALL 2026 - Andika!G:G""),IMPORTRANGE(""1XaInW9DU9nz21V0tYIfzFQ0He9kVQ_JF2mCXgZ3hqFA"",""REKAP ALL 2026 - Andika!F:F""),"""",0)"),"16051850176")</f>
        <v>16051850176</v>
      </c>
      <c r="G166" s="13" t="s">
        <v>784</v>
      </c>
      <c r="H166" s="13" t="s">
        <v>49</v>
      </c>
      <c r="I166" s="13" t="str">
        <f aca="false">IF(C166=J166,"NEW KONTRAK","RE-KONTRAK")</f>
        <v>RE-KONTRAK</v>
      </c>
      <c r="J166" s="16" t="n">
        <f aca="false" t="array" ref="J166:J166">IFERROR(INDEX(AC166:AE166,IF(COUNTA(AC166:AE166)=0,"",MAX((AC166:AE166&lt;&gt;"")*(COLUMN(AC166:AE166)-(COLUMN(AC166)))))-1),"")</f>
        <v>45566</v>
      </c>
      <c r="K166" s="16" t="n">
        <f aca="false" t="array" ref="K166:K166">IFERROR(INDEX(AC166:AE166,IF(COUNTA(AC166:AE166)=0,"",MAX((AC166:AE166&lt;&gt;"")*(COLUMN(AC166:AE166)-(COLUMN(AC166)-1))))-1),"")</f>
        <v>45930</v>
      </c>
      <c r="L166" s="17" t="str">
        <f aca="false" t="array" ref="L166:L166">IFERROR(INDEX(AC166:AE166,IF(COUNTA(AC166:AE166)=0,"",MAX((AC166:AE166&lt;&gt;"")*(COLUMN(AC166:AE166)-(COLUMN(AC166)-2))))-1),"")</f>
        <v>ARCHIVED</v>
      </c>
      <c r="M166" s="13" t="n">
        <f aca="true">K166-TODAY()</f>
        <v>-394</v>
      </c>
      <c r="N166" s="18" t="s">
        <v>36</v>
      </c>
      <c r="O166" s="29" t="s">
        <v>785</v>
      </c>
      <c r="P166" s="19" t="n">
        <v>5195500</v>
      </c>
      <c r="Q166" s="20" t="s">
        <v>786</v>
      </c>
      <c r="R166" s="13" t="s">
        <v>260</v>
      </c>
      <c r="S166" s="14" t="n">
        <v>30190</v>
      </c>
      <c r="T166" s="13" t="s">
        <v>40</v>
      </c>
      <c r="U166" s="13" t="s">
        <v>787</v>
      </c>
      <c r="V166" s="13" t="s">
        <v>42</v>
      </c>
      <c r="W166" s="13" t="s">
        <v>54</v>
      </c>
      <c r="X166" s="21" t="n">
        <v>895638010402</v>
      </c>
      <c r="Y166" s="22" t="str">
        <f aca="false">O166</f>
        <v>Gudang</v>
      </c>
      <c r="Z166" s="13" t="str">
        <f aca="false">IFERROR(__xludf.dummyfunction("if(BJ166="""","""",GOOGLETRANSLATE(BJ166,""auto"",""en""))"),"Warehouse")</f>
        <v>Warehouse</v>
      </c>
      <c r="AA166" s="23" t="str">
        <f aca="false">IF(C166="","", CHOOSE(MONTH(C166),"January","February","March","April","May","June","July","August","September","October","November","December")&amp;" "&amp;DAY(C166)&amp;MID("thstndrdth",MIN(9,2*RIGHT(DAY(C166))*(MOD(DAY(C166)-11,100)&gt;2)+1),2)&amp;","&amp;TEXT(C166," yyyy"))</f>
        <v>January 4th,2021</v>
      </c>
      <c r="AB166" s="15" t="str">
        <f aca="true">IF(S166="","",DATEDIF(S166,TODAY(),"Y")&amp;" Tahun, "&amp;DATEDIF(S166,TODAY(),"YM")&amp;" Bulan, "&amp;DATEDIF(S166,TODAY(),"MD")&amp;" Hari")</f>
        <v>44 Tahun, 2 Bulan, 2 Hari</v>
      </c>
      <c r="AC166" s="18" t="n">
        <v>45566</v>
      </c>
      <c r="AD166" s="18" t="n">
        <v>45930</v>
      </c>
      <c r="AE166" s="18" t="s">
        <v>44</v>
      </c>
    </row>
    <row r="167" customFormat="false" ht="15" hidden="false" customHeight="true" outlineLevel="0" collapsed="false">
      <c r="A167" s="12" t="n">
        <v>1410</v>
      </c>
      <c r="B167" s="13" t="s">
        <v>788</v>
      </c>
      <c r="C167" s="14" t="n">
        <v>44105</v>
      </c>
      <c r="D167" s="13" t="s">
        <v>774</v>
      </c>
      <c r="E167" s="15" t="s">
        <v>789</v>
      </c>
      <c r="F167" s="15" t="str">
        <f aca="false">IFERROR(__xludf.dummyfunction("XLOOKUP(AJ167,IMPORTRANGE(""1XaInW9DU9nz21V0tYIfzFQ0He9kVQ_JF2mCXgZ3hqFA"",""REKAP ALL 2026 - Andika!G:G""),IMPORTRANGE(""1XaInW9DU9nz21V0tYIfzFQ0He9kVQ_JF2mCXgZ3hqFA"",""REKAP ALL 2026 - Andika!F:F""),"""",0)"),"14020580529")</f>
        <v>14020580529</v>
      </c>
      <c r="G167" s="13" t="s">
        <v>790</v>
      </c>
      <c r="H167" s="13" t="s">
        <v>49</v>
      </c>
      <c r="I167" s="13" t="str">
        <f aca="false">IF(C167=J167,"NEW KONTRAK","RE-KONTRAK")</f>
        <v>RE-KONTRAK</v>
      </c>
      <c r="J167" s="16" t="n">
        <f aca="false" t="array" ref="J167:J167">IFERROR(INDEX(AC167:AE167,IF(COUNTA(AC167:AE167)=0,"",MAX((AC167:AE167&lt;&gt;"")*(COLUMN(AC167:AE167)-(COLUMN(AC167)))))-1),"")</f>
        <v>45566</v>
      </c>
      <c r="K167" s="16" t="n">
        <f aca="false" t="array" ref="K167:K167">IFERROR(INDEX(AC167:AE167,IF(COUNTA(AC167:AE167)=0,"",MAX((AC167:AE167&lt;&gt;"")*(COLUMN(AC167:AE167)-(COLUMN(AC167)-1))))-1),"")</f>
        <v>45930</v>
      </c>
      <c r="L167" s="17" t="str">
        <f aca="false" t="array" ref="L167:L167">IFERROR(INDEX(AC167:AE167,IF(COUNTA(AC167:AE167)=0,"",MAX((AC167:AE167&lt;&gt;"")*(COLUMN(AC167:AE167)-(COLUMN(AC167)-2))))-1),"")</f>
        <v>ARCHIVED</v>
      </c>
      <c r="M167" s="13" t="n">
        <f aca="true">K167-TODAY()</f>
        <v>-394</v>
      </c>
      <c r="N167" s="18" t="s">
        <v>36</v>
      </c>
      <c r="O167" s="13" t="s">
        <v>58</v>
      </c>
      <c r="P167" s="19" t="n">
        <v>4874133</v>
      </c>
      <c r="Q167" s="20" t="s">
        <v>791</v>
      </c>
      <c r="R167" s="13" t="s">
        <v>65</v>
      </c>
      <c r="S167" s="14" t="n">
        <v>26508</v>
      </c>
      <c r="T167" s="13" t="s">
        <v>40</v>
      </c>
      <c r="U167" s="13" t="s">
        <v>792</v>
      </c>
      <c r="V167" s="13" t="s">
        <v>42</v>
      </c>
      <c r="W167" s="13" t="s">
        <v>54</v>
      </c>
      <c r="X167" s="21" t="n">
        <v>85732573954</v>
      </c>
      <c r="Y167" s="22" t="str">
        <f aca="false">O167</f>
        <v>Produksi</v>
      </c>
      <c r="Z167" s="13" t="str">
        <f aca="false">IFERROR(__xludf.dummyfunction("if(BJ167="""","""",GOOGLETRANSLATE(BJ167,""auto"",""en""))"),"Production")</f>
        <v>Production</v>
      </c>
      <c r="AA167" s="23" t="str">
        <f aca="false">IF(C167="","", CHOOSE(MONTH(C167),"January","February","March","April","May","June","July","August","September","October","November","December")&amp;" "&amp;DAY(C167)&amp;MID("thstndrdth",MIN(9,2*RIGHT(DAY(C167))*(MOD(DAY(C167)-11,100)&gt;2)+1),2)&amp;","&amp;TEXT(C167," yyyy"))</f>
        <v>October 1st,2020</v>
      </c>
      <c r="AB167" s="15" t="str">
        <f aca="true">IF(S167="","",DATEDIF(S167,TODAY(),"Y")&amp;" Tahun, "&amp;DATEDIF(S167,TODAY(),"YM")&amp;" Bulan, "&amp;DATEDIF(S167,TODAY(),"MD")&amp;" Hari")</f>
        <v>54 Tahun, 3 Bulan, 1 Hari</v>
      </c>
      <c r="AC167" s="18" t="n">
        <v>45566</v>
      </c>
      <c r="AD167" s="18" t="n">
        <v>45930</v>
      </c>
      <c r="AE167" s="18" t="s">
        <v>44</v>
      </c>
    </row>
    <row r="168" customFormat="false" ht="15" hidden="false" customHeight="true" outlineLevel="0" collapsed="false">
      <c r="A168" s="12" t="n">
        <v>1411</v>
      </c>
      <c r="B168" s="13" t="s">
        <v>793</v>
      </c>
      <c r="C168" s="14" t="n">
        <v>44105</v>
      </c>
      <c r="D168" s="13" t="s">
        <v>774</v>
      </c>
      <c r="E168" s="15" t="s">
        <v>47</v>
      </c>
      <c r="F168" s="15" t="str">
        <f aca="false">IFERROR(__xludf.dummyfunction("XLOOKUP(AJ168,IMPORTRANGE(""1XaInW9DU9nz21V0tYIfzFQ0He9kVQ_JF2mCXgZ3hqFA"",""REKAP ALL 2026 - Andika!G:G""),IMPORTRANGE(""1XaInW9DU9nz21V0tYIfzFQ0He9kVQ_JF2mCXgZ3hqFA"",""REKAP ALL 2026 - Andika!F:F""),"""",0)"),"14026225814")</f>
        <v>14026225814</v>
      </c>
      <c r="G168" s="13" t="s">
        <v>794</v>
      </c>
      <c r="H168" s="13" t="s">
        <v>49</v>
      </c>
      <c r="I168" s="13" t="str">
        <f aca="false">IF(C168=J168,"NEW KONTRAK","RE-KONTRAK")</f>
        <v>RE-KONTRAK</v>
      </c>
      <c r="J168" s="16" t="n">
        <f aca="false" t="array" ref="J168:J168">IFERROR(INDEX(AC168:AE168,IF(COUNTA(AC168:AE168)=0,"",MAX((AC168:AE168&lt;&gt;"")*(COLUMN(AC168:AE168)-(COLUMN(AC168)))))-1),"")</f>
        <v>45566</v>
      </c>
      <c r="K168" s="16" t="n">
        <f aca="false" t="array" ref="K168:K168">IFERROR(INDEX(AC168:AE168,IF(COUNTA(AC168:AE168)=0,"",MAX((AC168:AE168&lt;&gt;"")*(COLUMN(AC168:AE168)-(COLUMN(AC168)-1))))-1),"")</f>
        <v>45930</v>
      </c>
      <c r="L168" s="17" t="str">
        <f aca="false" t="array" ref="L168:L168">IFERROR(INDEX(AC168:AE168,IF(COUNTA(AC168:AE168)=0,"",MAX((AC168:AE168&lt;&gt;"")*(COLUMN(AC168:AE168)-(COLUMN(AC168)-2))))-1),"")</f>
        <v>ARCHIVED</v>
      </c>
      <c r="M168" s="13" t="n">
        <f aca="true">K168-TODAY()</f>
        <v>-394</v>
      </c>
      <c r="N168" s="18" t="s">
        <v>36</v>
      </c>
      <c r="O168" s="13" t="s">
        <v>795</v>
      </c>
      <c r="P168" s="19" t="n">
        <v>5195500</v>
      </c>
      <c r="Q168" s="20" t="s">
        <v>796</v>
      </c>
      <c r="R168" s="13" t="s">
        <v>65</v>
      </c>
      <c r="S168" s="14" t="n">
        <v>30524</v>
      </c>
      <c r="T168" s="13" t="s">
        <v>40</v>
      </c>
      <c r="U168" s="13" t="s">
        <v>797</v>
      </c>
      <c r="V168" s="13" t="s">
        <v>42</v>
      </c>
      <c r="W168" s="13" t="s">
        <v>54</v>
      </c>
      <c r="X168" s="21" t="n">
        <v>81358088829</v>
      </c>
      <c r="Y168" s="22" t="str">
        <f aca="false">O168</f>
        <v>Painting</v>
      </c>
      <c r="Z168" s="13" t="str">
        <f aca="false">IFERROR(__xludf.dummyfunction("if(BJ168="""","""",GOOGLETRANSLATE(BJ168,""auto"",""en""))"),"Painting")</f>
        <v>Painting</v>
      </c>
      <c r="AA168" s="23" t="str">
        <f aca="false">IF(C168="","", CHOOSE(MONTH(C168),"January","February","March","April","May","June","July","August","September","October","November","December")&amp;" "&amp;DAY(C168)&amp;MID("thstndrdth",MIN(9,2*RIGHT(DAY(C168))*(MOD(DAY(C168)-11,100)&gt;2)+1),2)&amp;","&amp;TEXT(C168," yyyy"))</f>
        <v>October 1st,2020</v>
      </c>
      <c r="AB168" s="15" t="str">
        <f aca="true">IF(S168="","",DATEDIF(S168,TODAY(),"Y")&amp;" Tahun, "&amp;DATEDIF(S168,TODAY(),"YM")&amp;" Bulan, "&amp;DATEDIF(S168,TODAY(),"MD")&amp;" Hari")</f>
        <v>43 Tahun, 3 Bulan, 2 Hari</v>
      </c>
      <c r="AC168" s="18" t="n">
        <v>45566</v>
      </c>
      <c r="AD168" s="18" t="n">
        <v>45930</v>
      </c>
      <c r="AE168" s="18" t="s">
        <v>44</v>
      </c>
    </row>
    <row r="169" customFormat="false" ht="15" hidden="false" customHeight="true" outlineLevel="0" collapsed="false">
      <c r="A169" s="12" t="n">
        <v>1412</v>
      </c>
      <c r="B169" s="13" t="s">
        <v>798</v>
      </c>
      <c r="C169" s="14" t="n">
        <v>44105</v>
      </c>
      <c r="D169" s="13" t="s">
        <v>774</v>
      </c>
      <c r="E169" s="15" t="s">
        <v>47</v>
      </c>
      <c r="F169" s="15" t="str">
        <f aca="false">IFERROR(__xludf.dummyfunction("XLOOKUP(AJ169,IMPORTRANGE(""1XaInW9DU9nz21V0tYIfzFQ0He9kVQ_JF2mCXgZ3hqFA"",""REKAP ALL 2026 - Andika!G:G""),IMPORTRANGE(""1XaInW9DU9nz21V0tYIfzFQ0He9kVQ_JF2mCXgZ3hqFA"",""REKAP ALL 2026 - Andika!F:F""),"""",0)"),"15008495564")</f>
        <v>15008495564</v>
      </c>
      <c r="G169" s="13" t="s">
        <v>799</v>
      </c>
      <c r="H169" s="13" t="s">
        <v>49</v>
      </c>
      <c r="I169" s="13" t="str">
        <f aca="false">IF(C169=J169,"NEW KONTRAK","RE-KONTRAK")</f>
        <v>RE-KONTRAK</v>
      </c>
      <c r="J169" s="16" t="n">
        <f aca="false" t="array" ref="J169:J169">IFERROR(INDEX(AC169:AE169,IF(COUNTA(AC169:AE169)=0,"",MAX((AC169:AE169&lt;&gt;"")*(COLUMN(AC169:AE169)-(COLUMN(AC169)))))-1),"")</f>
        <v>45566</v>
      </c>
      <c r="K169" s="16" t="n">
        <f aca="false" t="array" ref="K169:K169">IFERROR(INDEX(AC169:AE169,IF(COUNTA(AC169:AE169)=0,"",MAX((AC169:AE169&lt;&gt;"")*(COLUMN(AC169:AE169)-(COLUMN(AC169)-1))))-1),"")</f>
        <v>45930</v>
      </c>
      <c r="L169" s="17" t="str">
        <f aca="false" t="array" ref="L169:L169">IFERROR(INDEX(AC169:AE169,IF(COUNTA(AC169:AE169)=0,"",MAX((AC169:AE169&lt;&gt;"")*(COLUMN(AC169:AE169)-(COLUMN(AC169)-2))))-1),"")</f>
        <v>ARCHIVED</v>
      </c>
      <c r="M169" s="13" t="n">
        <f aca="true">K169-TODAY()</f>
        <v>-394</v>
      </c>
      <c r="N169" s="18" t="s">
        <v>36</v>
      </c>
      <c r="O169" s="13" t="s">
        <v>800</v>
      </c>
      <c r="P169" s="19" t="n">
        <v>5195500</v>
      </c>
      <c r="Q169" s="20" t="s">
        <v>801</v>
      </c>
      <c r="R169" s="13" t="s">
        <v>39</v>
      </c>
      <c r="S169" s="14" t="n">
        <v>32737</v>
      </c>
      <c r="T169" s="13" t="s">
        <v>40</v>
      </c>
      <c r="U169" s="13" t="s">
        <v>802</v>
      </c>
      <c r="V169" s="13" t="s">
        <v>42</v>
      </c>
      <c r="W169" s="13" t="s">
        <v>54</v>
      </c>
      <c r="X169" s="21" t="n">
        <v>85648339948</v>
      </c>
      <c r="Y169" s="22" t="str">
        <f aca="false">O169</f>
        <v>Eye Foreming</v>
      </c>
      <c r="Z169" s="13" t="str">
        <f aca="false">IFERROR(__xludf.dummyfunction("if(BJ169="""","""",GOOGLETRANSLATE(BJ169,""auto"",""en""))"),"Eye Foreming")</f>
        <v>Eye Foreming</v>
      </c>
      <c r="AA169" s="23" t="str">
        <f aca="false">IF(C169="","", CHOOSE(MONTH(C169),"January","February","March","April","May","June","July","August","September","October","November","December")&amp;" "&amp;DAY(C169)&amp;MID("thstndrdth",MIN(9,2*RIGHT(DAY(C169))*(MOD(DAY(C169)-11,100)&gt;2)+1),2)&amp;","&amp;TEXT(C169," yyyy"))</f>
        <v>October 1st,2020</v>
      </c>
      <c r="AB169" s="15" t="str">
        <f aca="true">IF(S169="","",DATEDIF(S169,TODAY(),"Y")&amp;" Tahun, "&amp;DATEDIF(S169,TODAY(),"YM")&amp;" Bulan, "&amp;DATEDIF(S169,TODAY(),"MD")&amp;" Hari")</f>
        <v>37 Tahun, 2 Bulan, 12 Hari</v>
      </c>
      <c r="AC169" s="18" t="n">
        <v>45566</v>
      </c>
      <c r="AD169" s="18" t="n">
        <v>45930</v>
      </c>
      <c r="AE169" s="18" t="s">
        <v>44</v>
      </c>
    </row>
    <row r="170" customFormat="false" ht="15" hidden="false" customHeight="true" outlineLevel="0" collapsed="false">
      <c r="A170" s="12" t="n">
        <v>1413</v>
      </c>
      <c r="B170" s="13" t="s">
        <v>803</v>
      </c>
      <c r="C170" s="14" t="n">
        <v>44105</v>
      </c>
      <c r="D170" s="13" t="s">
        <v>774</v>
      </c>
      <c r="E170" s="15" t="s">
        <v>47</v>
      </c>
      <c r="F170" s="15" t="str">
        <f aca="false">IFERROR(__xludf.dummyfunction("XLOOKUP(AJ170,IMPORTRANGE(""1XaInW9DU9nz21V0tYIfzFQ0He9kVQ_JF2mCXgZ3hqFA"",""REKAP ALL 2026 - Andika!G:G""),IMPORTRANGE(""1XaInW9DU9nz21V0tYIfzFQ0He9kVQ_JF2mCXgZ3hqFA"",""REKAP ALL 2026 - Andika!F:F""),"""",0)"),"10021076004")</f>
        <v>10021076004</v>
      </c>
      <c r="G170" s="13" t="s">
        <v>804</v>
      </c>
      <c r="H170" s="13" t="s">
        <v>49</v>
      </c>
      <c r="I170" s="13" t="str">
        <f aca="false">IF(C170=J170,"NEW KONTRAK","RE-KONTRAK")</f>
        <v>RE-KONTRAK</v>
      </c>
      <c r="J170" s="16" t="n">
        <f aca="false" t="array" ref="J170:J170">IFERROR(INDEX(AC170:AE170,IF(COUNTA(AC170:AE170)=0,"",MAX((AC170:AE170&lt;&gt;"")*(COLUMN(AC170:AE170)-(COLUMN(AC170)))))-1),"")</f>
        <v>45566</v>
      </c>
      <c r="K170" s="16" t="n">
        <f aca="false" t="array" ref="K170:K170">IFERROR(INDEX(AC170:AE170,IF(COUNTA(AC170:AE170)=0,"",MAX((AC170:AE170&lt;&gt;"")*(COLUMN(AC170:AE170)-(COLUMN(AC170)-1))))-1),"")</f>
        <v>45930</v>
      </c>
      <c r="L170" s="17" t="str">
        <f aca="false" t="array" ref="L170:L170">IFERROR(INDEX(AC170:AE170,IF(COUNTA(AC170:AE170)=0,"",MAX((AC170:AE170&lt;&gt;"")*(COLUMN(AC170:AE170)-(COLUMN(AC170)-2))))-1),"")</f>
        <v>ARCHIVED</v>
      </c>
      <c r="M170" s="13" t="n">
        <f aca="true">K170-TODAY()</f>
        <v>-394</v>
      </c>
      <c r="N170" s="18" t="s">
        <v>36</v>
      </c>
      <c r="O170" s="13" t="s">
        <v>780</v>
      </c>
      <c r="P170" s="19" t="n">
        <v>5195500</v>
      </c>
      <c r="Q170" s="20" t="s">
        <v>805</v>
      </c>
      <c r="R170" s="13" t="s">
        <v>65</v>
      </c>
      <c r="S170" s="14" t="n">
        <v>25034</v>
      </c>
      <c r="T170" s="13" t="s">
        <v>40</v>
      </c>
      <c r="U170" s="13" t="s">
        <v>485</v>
      </c>
      <c r="V170" s="13" t="s">
        <v>42</v>
      </c>
      <c r="W170" s="13" t="s">
        <v>54</v>
      </c>
      <c r="X170" s="21" t="n">
        <v>85732286278</v>
      </c>
      <c r="Y170" s="22" t="str">
        <f aca="false">O170</f>
        <v>Shearing</v>
      </c>
      <c r="Z170" s="13" t="str">
        <f aca="false">IFERROR(__xludf.dummyfunction("if(BJ170="""","""",GOOGLETRANSLATE(BJ170,""auto"",""en""))"),"Shearing")</f>
        <v>Shearing</v>
      </c>
      <c r="AA170" s="23" t="str">
        <f aca="false">IF(C170="","", CHOOSE(MONTH(C170),"January","February","March","April","May","June","July","August","September","October","November","December")&amp;" "&amp;DAY(C170)&amp;MID("thstndrdth",MIN(9,2*RIGHT(DAY(C170))*(MOD(DAY(C170)-11,100)&gt;2)+1),2)&amp;","&amp;TEXT(C170," yyyy"))</f>
        <v>October 1st,2020</v>
      </c>
      <c r="AB170" s="15" t="str">
        <f aca="true">IF(S170="","",DATEDIF(S170,TODAY(),"Y")&amp;" Tahun, "&amp;DATEDIF(S170,TODAY(),"YM")&amp;" Bulan, "&amp;DATEDIF(S170,TODAY(),"MD")&amp;" Hari")</f>
        <v>58 Tahun, 3 Bulan, 14 Hari</v>
      </c>
      <c r="AC170" s="18" t="n">
        <v>45566</v>
      </c>
      <c r="AD170" s="18" t="n">
        <v>45930</v>
      </c>
      <c r="AE170" s="18" t="s">
        <v>44</v>
      </c>
    </row>
    <row r="171" customFormat="false" ht="15" hidden="false" customHeight="true" outlineLevel="0" collapsed="false">
      <c r="A171" s="12" t="n">
        <v>1414</v>
      </c>
      <c r="B171" s="13" t="s">
        <v>806</v>
      </c>
      <c r="C171" s="14" t="n">
        <v>44105</v>
      </c>
      <c r="D171" s="13" t="s">
        <v>774</v>
      </c>
      <c r="E171" s="15" t="s">
        <v>47</v>
      </c>
      <c r="F171" s="15" t="str">
        <f aca="false">IFERROR(__xludf.dummyfunction("XLOOKUP(AJ171,IMPORTRANGE(""1XaInW9DU9nz21V0tYIfzFQ0He9kVQ_JF2mCXgZ3hqFA"",""REKAP ALL 2026 - Andika!G:G""),IMPORTRANGE(""1XaInW9DU9nz21V0tYIfzFQ0He9kVQ_JF2mCXgZ3hqFA"",""REKAP ALL 2026 - Andika!F:F""),"""",0)"),"15008495556")</f>
        <v>15008495556</v>
      </c>
      <c r="G171" s="13" t="s">
        <v>807</v>
      </c>
      <c r="H171" s="13" t="s">
        <v>49</v>
      </c>
      <c r="I171" s="13" t="str">
        <f aca="false">IF(C171=J171,"NEW KONTRAK","RE-KONTRAK")</f>
        <v>RE-KONTRAK</v>
      </c>
      <c r="J171" s="16" t="n">
        <f aca="false" t="array" ref="J171:J171">IFERROR(INDEX(AC171:AE171,IF(COUNTA(AC171:AE171)=0,"",MAX((AC171:AE171&lt;&gt;"")*(COLUMN(AC171:AE171)-(COLUMN(AC171)))))-1),"")</f>
        <v>45566</v>
      </c>
      <c r="K171" s="16" t="n">
        <f aca="false" t="array" ref="K171:K171">IFERROR(INDEX(AC171:AE171,IF(COUNTA(AC171:AE171)=0,"",MAX((AC171:AE171&lt;&gt;"")*(COLUMN(AC171:AE171)-(COLUMN(AC171)-1))))-1),"")</f>
        <v>45930</v>
      </c>
      <c r="L171" s="17" t="str">
        <f aca="false" t="array" ref="L171:L171">IFERROR(INDEX(AC171:AE171,IF(COUNTA(AC171:AE171)=0,"",MAX((AC171:AE171&lt;&gt;"")*(COLUMN(AC171:AE171)-(COLUMN(AC171)-2))))-1),"")</f>
        <v>ARCHIVED</v>
      </c>
      <c r="M171" s="13" t="n">
        <f aca="true">K171-TODAY()</f>
        <v>-394</v>
      </c>
      <c r="N171" s="18" t="s">
        <v>36</v>
      </c>
      <c r="O171" s="13" t="s">
        <v>624</v>
      </c>
      <c r="P171" s="19" t="n">
        <v>5195500</v>
      </c>
      <c r="Q171" s="20" t="s">
        <v>808</v>
      </c>
      <c r="R171" s="13" t="s">
        <v>148</v>
      </c>
      <c r="S171" s="14" t="n">
        <v>31329</v>
      </c>
      <c r="T171" s="13" t="s">
        <v>40</v>
      </c>
      <c r="U171" s="13" t="s">
        <v>809</v>
      </c>
      <c r="V171" s="13" t="s">
        <v>42</v>
      </c>
      <c r="W171" s="13" t="s">
        <v>54</v>
      </c>
      <c r="X171" s="21" t="n">
        <v>85732286311</v>
      </c>
      <c r="Y171" s="22" t="str">
        <f aca="false">O171</f>
        <v>Quality Control</v>
      </c>
      <c r="Z171" s="13" t="str">
        <f aca="false">IFERROR(__xludf.dummyfunction("if(BJ171="""","""",GOOGLETRANSLATE(BJ171,""auto"",""en""))"),"Quality Control")</f>
        <v>Quality Control</v>
      </c>
      <c r="AA171" s="23" t="str">
        <f aca="false">IF(C171="","", CHOOSE(MONTH(C171),"January","February","March","April","May","June","July","August","September","October","November","December")&amp;" "&amp;DAY(C171)&amp;MID("thstndrdth",MIN(9,2*RIGHT(DAY(C171))*(MOD(DAY(C171)-11,100)&gt;2)+1),2)&amp;","&amp;TEXT(C171," yyyy"))</f>
        <v>October 1st,2020</v>
      </c>
      <c r="AB171" s="15" t="str">
        <f aca="true">IF(S171="","",DATEDIF(S171,TODAY(),"Y")&amp;" Tahun, "&amp;DATEDIF(S171,TODAY(),"YM")&amp;" Bulan, "&amp;DATEDIF(S171,TODAY(),"MD")&amp;" Hari")</f>
        <v>41 Tahun, 0 Bulan, 20 Hari</v>
      </c>
      <c r="AC171" s="18" t="n">
        <v>45566</v>
      </c>
      <c r="AD171" s="18" t="n">
        <v>45930</v>
      </c>
      <c r="AE171" s="18" t="s">
        <v>44</v>
      </c>
    </row>
    <row r="172" customFormat="false" ht="15" hidden="false" customHeight="true" outlineLevel="0" collapsed="false">
      <c r="A172" s="12" t="n">
        <v>1415</v>
      </c>
      <c r="B172" s="13" t="s">
        <v>810</v>
      </c>
      <c r="C172" s="14" t="n">
        <v>44105</v>
      </c>
      <c r="D172" s="13" t="s">
        <v>774</v>
      </c>
      <c r="E172" s="15" t="s">
        <v>47</v>
      </c>
      <c r="F172" s="15" t="str">
        <f aca="false">IFERROR(__xludf.dummyfunction("XLOOKUP(AJ172,IMPORTRANGE(""1XaInW9DU9nz21V0tYIfzFQ0He9kVQ_JF2mCXgZ3hqFA"",""REKAP ALL 2026 - Andika!G:G""),IMPORTRANGE(""1XaInW9DU9nz21V0tYIfzFQ0He9kVQ_JF2mCXgZ3hqFA"",""REKAP ALL 2026 - Andika!F:F""),"""",0)"),"14023518740")</f>
        <v>14023518740</v>
      </c>
      <c r="G172" s="13" t="s">
        <v>811</v>
      </c>
      <c r="H172" s="13" t="s">
        <v>49</v>
      </c>
      <c r="I172" s="13" t="str">
        <f aca="false">IF(C172=J172,"NEW KONTRAK","RE-KONTRAK")</f>
        <v>RE-KONTRAK</v>
      </c>
      <c r="J172" s="16" t="n">
        <f aca="false" t="array" ref="J172:J172">IFERROR(INDEX(AC172:AE172,IF(COUNTA(AC172:AE172)=0,"",MAX((AC172:AE172&lt;&gt;"")*(COLUMN(AC172:AE172)-(COLUMN(AC172)))))-1),"")</f>
        <v>45566</v>
      </c>
      <c r="K172" s="16" t="n">
        <f aca="false" t="array" ref="K172:K172">IFERROR(INDEX(AC172:AE172,IF(COUNTA(AC172:AE172)=0,"",MAX((AC172:AE172&lt;&gt;"")*(COLUMN(AC172:AE172)-(COLUMN(AC172)-1))))-1),"")</f>
        <v>45930</v>
      </c>
      <c r="L172" s="17" t="str">
        <f aca="false" t="array" ref="L172:L172">IFERROR(INDEX(AC172:AE172,IF(COUNTA(AC172:AE172)=0,"",MAX((AC172:AE172&lt;&gt;"")*(COLUMN(AC172:AE172)-(COLUMN(AC172)-2))))-1),"")</f>
        <v>ARCHIVED</v>
      </c>
      <c r="M172" s="13" t="n">
        <f aca="true">K172-TODAY()</f>
        <v>-394</v>
      </c>
      <c r="N172" s="18" t="s">
        <v>36</v>
      </c>
      <c r="O172" s="13" t="s">
        <v>812</v>
      </c>
      <c r="P172" s="19" t="n">
        <v>5195500</v>
      </c>
      <c r="Q172" s="20" t="s">
        <v>813</v>
      </c>
      <c r="R172" s="13" t="s">
        <v>148</v>
      </c>
      <c r="S172" s="14" t="n">
        <v>29429</v>
      </c>
      <c r="T172" s="13" t="s">
        <v>40</v>
      </c>
      <c r="U172" s="13" t="s">
        <v>814</v>
      </c>
      <c r="V172" s="13" t="s">
        <v>42</v>
      </c>
      <c r="W172" s="13" t="s">
        <v>54</v>
      </c>
      <c r="X172" s="21" t="n">
        <v>89669040171</v>
      </c>
      <c r="Y172" s="22" t="str">
        <f aca="false">O172</f>
        <v>Heating</v>
      </c>
      <c r="Z172" s="13" t="str">
        <f aca="false">IFERROR(__xludf.dummyfunction("if(BJ172="""","""",GOOGLETRANSLATE(BJ172,""auto"",""en""))"),"Heating")</f>
        <v>Heating</v>
      </c>
      <c r="AA172" s="23" t="str">
        <f aca="false">IF(C172="","", CHOOSE(MONTH(C172),"January","February","March","April","May","June","July","August","September","October","November","December")&amp;" "&amp;DAY(C172)&amp;MID("thstndrdth",MIN(9,2*RIGHT(DAY(C172))*(MOD(DAY(C172)-11,100)&gt;2)+1),2)&amp;","&amp;TEXT(C172," yyyy"))</f>
        <v>October 1st,2020</v>
      </c>
      <c r="AB172" s="15" t="str">
        <f aca="true">IF(S172="","",DATEDIF(S172,TODAY(),"Y")&amp;" Tahun, "&amp;DATEDIF(S172,TODAY(),"YM")&amp;" Bulan, "&amp;DATEDIF(S172,TODAY(),"MD")&amp;" Hari")</f>
        <v>46 Tahun, 3 Bulan, 2 Hari</v>
      </c>
      <c r="AC172" s="18" t="n">
        <v>45566</v>
      </c>
      <c r="AD172" s="18" t="n">
        <v>45930</v>
      </c>
      <c r="AE172" s="18" t="s">
        <v>44</v>
      </c>
    </row>
    <row r="173" customFormat="false" ht="15" hidden="false" customHeight="true" outlineLevel="0" collapsed="false">
      <c r="A173" s="12" t="n">
        <v>1416</v>
      </c>
      <c r="B173" s="13" t="s">
        <v>815</v>
      </c>
      <c r="C173" s="14" t="n">
        <v>44105</v>
      </c>
      <c r="D173" s="13" t="s">
        <v>774</v>
      </c>
      <c r="E173" s="15" t="s">
        <v>47</v>
      </c>
      <c r="F173" s="15" t="str">
        <f aca="false">IFERROR(__xludf.dummyfunction("XLOOKUP(AJ173,IMPORTRANGE(""1XaInW9DU9nz21V0tYIfzFQ0He9kVQ_JF2mCXgZ3hqFA"",""REKAP ALL 2026 - Andika!G:G""),IMPORTRANGE(""1XaInW9DU9nz21V0tYIfzFQ0He9kVQ_JF2mCXgZ3hqFA"",""REKAP ALL 2026 - Andika!F:F""),"""",0)"),"09026133034")</f>
        <v>09026133034</v>
      </c>
      <c r="G173" s="13" t="s">
        <v>816</v>
      </c>
      <c r="H173" s="13" t="s">
        <v>49</v>
      </c>
      <c r="I173" s="13" t="str">
        <f aca="false">IF(C173=J173,"NEW KONTRAK","RE-KONTRAK")</f>
        <v>RE-KONTRAK</v>
      </c>
      <c r="J173" s="16" t="n">
        <f aca="false" t="array" ref="J173:J173">IFERROR(INDEX(AC173:AE173,IF(COUNTA(AC173:AE173)=0,"",MAX((AC173:AE173&lt;&gt;"")*(COLUMN(AC173:AE173)-(COLUMN(AC173)))))-1),"")</f>
        <v>45566</v>
      </c>
      <c r="K173" s="16" t="n">
        <f aca="false" t="array" ref="K173:K173">IFERROR(INDEX(AC173:AE173,IF(COUNTA(AC173:AE173)=0,"",MAX((AC173:AE173&lt;&gt;"")*(COLUMN(AC173:AE173)-(COLUMN(AC173)-1))))-1),"")</f>
        <v>45930</v>
      </c>
      <c r="L173" s="17" t="str">
        <f aca="false" t="array" ref="L173:L173">IFERROR(INDEX(AC173:AE173,IF(COUNTA(AC173:AE173)=0,"",MAX((AC173:AE173&lt;&gt;"")*(COLUMN(AC173:AE173)-(COLUMN(AC173)-2))))-1),"")</f>
        <v>ARCHIVED</v>
      </c>
      <c r="M173" s="13" t="n">
        <f aca="true">K173-TODAY()</f>
        <v>-394</v>
      </c>
      <c r="N173" s="18" t="s">
        <v>36</v>
      </c>
      <c r="O173" s="13" t="s">
        <v>624</v>
      </c>
      <c r="P173" s="19" t="n">
        <v>5195500</v>
      </c>
      <c r="Q173" s="20" t="s">
        <v>817</v>
      </c>
      <c r="R173" s="13" t="s">
        <v>78</v>
      </c>
      <c r="S173" s="14" t="n">
        <v>32595</v>
      </c>
      <c r="T173" s="13" t="s">
        <v>40</v>
      </c>
      <c r="U173" s="13" t="s">
        <v>818</v>
      </c>
      <c r="V173" s="13" t="s">
        <v>42</v>
      </c>
      <c r="W173" s="13" t="s">
        <v>54</v>
      </c>
      <c r="X173" s="21" t="n">
        <v>85755226089</v>
      </c>
      <c r="Y173" s="22" t="str">
        <f aca="false">O173</f>
        <v>Quality Control</v>
      </c>
      <c r="Z173" s="13" t="str">
        <f aca="false">IFERROR(__xludf.dummyfunction("if(BJ173="""","""",GOOGLETRANSLATE(BJ173,""auto"",""en""))"),"Quality Control")</f>
        <v>Quality Control</v>
      </c>
      <c r="AA173" s="23" t="str">
        <f aca="false">IF(C173="","", CHOOSE(MONTH(C173),"January","February","March","April","May","June","July","August","September","October","November","December")&amp;" "&amp;DAY(C173)&amp;MID("thstndrdth",MIN(9,2*RIGHT(DAY(C173))*(MOD(DAY(C173)-11,100)&gt;2)+1),2)&amp;","&amp;TEXT(C173," yyyy"))</f>
        <v>October 1st,2020</v>
      </c>
      <c r="AB173" s="15" t="str">
        <f aca="true">IF(S173="","",DATEDIF(S173,TODAY(),"Y")&amp;" Tahun, "&amp;DATEDIF(S173,TODAY(),"YM")&amp;" Bulan, "&amp;DATEDIF(S173,TODAY(),"MD")&amp;" Hari")</f>
        <v>37 Tahun, 7 Bulan, 1 Hari</v>
      </c>
      <c r="AC173" s="18" t="n">
        <v>45566</v>
      </c>
      <c r="AD173" s="18" t="n">
        <v>45930</v>
      </c>
      <c r="AE173" s="18" t="s">
        <v>44</v>
      </c>
    </row>
    <row r="174" customFormat="false" ht="15" hidden="false" customHeight="true" outlineLevel="0" collapsed="false">
      <c r="A174" s="12" t="n">
        <v>1417</v>
      </c>
      <c r="B174" s="13" t="s">
        <v>819</v>
      </c>
      <c r="C174" s="14" t="n">
        <v>44105</v>
      </c>
      <c r="D174" s="13" t="s">
        <v>774</v>
      </c>
      <c r="E174" s="15" t="s">
        <v>47</v>
      </c>
      <c r="F174" s="15" t="str">
        <f aca="false">IFERROR(__xludf.dummyfunction("XLOOKUP(AJ174,IMPORTRANGE(""1XaInW9DU9nz21V0tYIfzFQ0He9kVQ_JF2mCXgZ3hqFA"",""REKAP ALL 2026 - Andika!G:G""),IMPORTRANGE(""1XaInW9DU9nz21V0tYIfzFQ0He9kVQ_JF2mCXgZ3hqFA"",""REKAP ALL 2026 - Andika!F:F""),"""",0)"),"16015595495")</f>
        <v>16015595495</v>
      </c>
      <c r="G174" s="13" t="s">
        <v>820</v>
      </c>
      <c r="H174" s="13" t="s">
        <v>49</v>
      </c>
      <c r="I174" s="13" t="str">
        <f aca="false">IF(C174=J174,"NEW KONTRAK","RE-KONTRAK")</f>
        <v>RE-KONTRAK</v>
      </c>
      <c r="J174" s="16" t="n">
        <f aca="false" t="array" ref="J174:J174">IFERROR(INDEX(AC174:AE174,IF(COUNTA(AC174:AE174)=0,"",MAX((AC174:AE174&lt;&gt;"")*(COLUMN(AC174:AE174)-(COLUMN(AC174)))))-1),"")</f>
        <v>45566</v>
      </c>
      <c r="K174" s="16" t="n">
        <f aca="false" t="array" ref="K174:K174">IFERROR(INDEX(AC174:AE174,IF(COUNTA(AC174:AE174)=0,"",MAX((AC174:AE174&lt;&gt;"")*(COLUMN(AC174:AE174)-(COLUMN(AC174)-1))))-1),"")</f>
        <v>45930</v>
      </c>
      <c r="L174" s="17" t="str">
        <f aca="false" t="array" ref="L174:L174">IFERROR(INDEX(AC174:AE174,IF(COUNTA(AC174:AE174)=0,"",MAX((AC174:AE174&lt;&gt;"")*(COLUMN(AC174:AE174)-(COLUMN(AC174)-2))))-1),"")</f>
        <v>ARCHIVED</v>
      </c>
      <c r="M174" s="13" t="n">
        <f aca="true">K174-TODAY()</f>
        <v>-394</v>
      </c>
      <c r="N174" s="18" t="s">
        <v>36</v>
      </c>
      <c r="O174" s="13" t="s">
        <v>780</v>
      </c>
      <c r="P174" s="19" t="n">
        <v>5195500</v>
      </c>
      <c r="Q174" s="20" t="s">
        <v>821</v>
      </c>
      <c r="R174" s="13" t="s">
        <v>65</v>
      </c>
      <c r="S174" s="14" t="n">
        <v>34313</v>
      </c>
      <c r="T174" s="13" t="s">
        <v>40</v>
      </c>
      <c r="U174" s="13" t="s">
        <v>822</v>
      </c>
      <c r="V174" s="13" t="s">
        <v>42</v>
      </c>
      <c r="W174" s="13" t="s">
        <v>54</v>
      </c>
      <c r="X174" s="21" t="n">
        <v>85745849261</v>
      </c>
      <c r="Y174" s="22" t="str">
        <f aca="false">O174</f>
        <v>Shearing</v>
      </c>
      <c r="Z174" s="13" t="str">
        <f aca="false">IFERROR(__xludf.dummyfunction("if(BJ174="""","""",GOOGLETRANSLATE(BJ174,""auto"",""en""))"),"Shearing")</f>
        <v>Shearing</v>
      </c>
      <c r="AA174" s="23" t="str">
        <f aca="false">IF(C174="","", CHOOSE(MONTH(C174),"January","February","March","April","May","June","July","August","September","October","November","December")&amp;" "&amp;DAY(C174)&amp;MID("thstndrdth",MIN(9,2*RIGHT(DAY(C174))*(MOD(DAY(C174)-11,100)&gt;2)+1),2)&amp;","&amp;TEXT(C174," yyyy"))</f>
        <v>October 1st,2020</v>
      </c>
      <c r="AB174" s="15" t="str">
        <f aca="true">IF(S174="","",DATEDIF(S174,TODAY(),"Y")&amp;" Tahun, "&amp;DATEDIF(S174,TODAY(),"YM")&amp;" Bulan, "&amp;DATEDIF(S174,TODAY(),"MD")&amp;" Hari")</f>
        <v>32 Tahun, 10 Bulan, 19 Hari</v>
      </c>
      <c r="AC174" s="18" t="n">
        <v>45566</v>
      </c>
      <c r="AD174" s="18" t="n">
        <v>45930</v>
      </c>
      <c r="AE174" s="18" t="s">
        <v>44</v>
      </c>
    </row>
    <row r="175" customFormat="false" ht="15" hidden="false" customHeight="true" outlineLevel="0" collapsed="false">
      <c r="A175" s="12" t="n">
        <v>1418</v>
      </c>
      <c r="B175" s="13" t="s">
        <v>823</v>
      </c>
      <c r="C175" s="14" t="n">
        <v>44105</v>
      </c>
      <c r="D175" s="13" t="s">
        <v>774</v>
      </c>
      <c r="E175" s="15" t="s">
        <v>47</v>
      </c>
      <c r="F175" s="15" t="str">
        <f aca="false">IFERROR(__xludf.dummyfunction("XLOOKUP(AJ175,IMPORTRANGE(""1XaInW9DU9nz21V0tYIfzFQ0He9kVQ_JF2mCXgZ3hqFA"",""REKAP ALL 2026 - Andika!G:G""),IMPORTRANGE(""1XaInW9DU9nz21V0tYIfzFQ0He9kVQ_JF2mCXgZ3hqFA"",""REKAP ALL 2026 - Andika!F:F""),"""",0)"),"00NC0137686")</f>
        <v>00NC0137686</v>
      </c>
      <c r="G175" s="13" t="s">
        <v>824</v>
      </c>
      <c r="H175" s="13" t="s">
        <v>49</v>
      </c>
      <c r="I175" s="13" t="str">
        <f aca="false">IF(C175=J175,"NEW KONTRAK","RE-KONTRAK")</f>
        <v>RE-KONTRAK</v>
      </c>
      <c r="J175" s="16" t="n">
        <f aca="false" t="array" ref="J175:J175">IFERROR(INDEX(AC175:AE175,IF(COUNTA(AC175:AE175)=0,"",MAX((AC175:AE175&lt;&gt;"")*(COLUMN(AC175:AE175)-(COLUMN(AC175)))))-1),"")</f>
        <v>45566</v>
      </c>
      <c r="K175" s="16" t="n">
        <f aca="false" t="array" ref="K175:K175">IFERROR(INDEX(AC175:AE175,IF(COUNTA(AC175:AE175)=0,"",MAX((AC175:AE175&lt;&gt;"")*(COLUMN(AC175:AE175)-(COLUMN(AC175)-1))))-1),"")</f>
        <v>45930</v>
      </c>
      <c r="L175" s="17" t="str">
        <f aca="false" t="array" ref="L175:L175">IFERROR(INDEX(AC175:AE175,IF(COUNTA(AC175:AE175)=0,"",MAX((AC175:AE175&lt;&gt;"")*(COLUMN(AC175:AE175)-(COLUMN(AC175)-2))))-1),"")</f>
        <v>ARCHIVED</v>
      </c>
      <c r="M175" s="13" t="n">
        <f aca="true">K175-TODAY()</f>
        <v>-394</v>
      </c>
      <c r="N175" s="18" t="s">
        <v>36</v>
      </c>
      <c r="O175" s="13" t="s">
        <v>780</v>
      </c>
      <c r="P175" s="19" t="n">
        <v>5195500</v>
      </c>
      <c r="Q175" s="20" t="s">
        <v>825</v>
      </c>
      <c r="R175" s="13" t="s">
        <v>826</v>
      </c>
      <c r="S175" s="14" t="n">
        <v>30011</v>
      </c>
      <c r="T175" s="13" t="s">
        <v>40</v>
      </c>
      <c r="U175" s="13" t="s">
        <v>827</v>
      </c>
      <c r="V175" s="13" t="s">
        <v>42</v>
      </c>
      <c r="W175" s="13" t="s">
        <v>54</v>
      </c>
      <c r="X175" s="21" t="n">
        <v>82257109552</v>
      </c>
      <c r="Y175" s="22" t="str">
        <f aca="false">O175</f>
        <v>Shearing</v>
      </c>
      <c r="Z175" s="13" t="str">
        <f aca="false">IFERROR(__xludf.dummyfunction("if(BJ175="""","""",GOOGLETRANSLATE(BJ175,""auto"",""en""))"),"Shearing")</f>
        <v>Shearing</v>
      </c>
      <c r="AA175" s="23" t="str">
        <f aca="false">IF(C175="","", CHOOSE(MONTH(C175),"January","February","March","April","May","June","July","August","September","October","November","December")&amp;" "&amp;DAY(C175)&amp;MID("thstndrdth",MIN(9,2*RIGHT(DAY(C175))*(MOD(DAY(C175)-11,100)&gt;2)+1),2)&amp;","&amp;TEXT(C175," yyyy"))</f>
        <v>October 1st,2020</v>
      </c>
      <c r="AB175" s="15" t="str">
        <f aca="true">IF(S175="","",DATEDIF(S175,TODAY(),"Y")&amp;" Tahun, "&amp;DATEDIF(S175,TODAY(),"YM")&amp;" Bulan, "&amp;DATEDIF(S175,TODAY(),"MD")&amp;" Hari")</f>
        <v>44 Tahun, 7 Bulan, 28 Hari</v>
      </c>
      <c r="AC175" s="18" t="n">
        <v>45566</v>
      </c>
      <c r="AD175" s="18" t="n">
        <v>45930</v>
      </c>
      <c r="AE175" s="18" t="s">
        <v>44</v>
      </c>
    </row>
    <row r="176" customFormat="false" ht="15" hidden="false" customHeight="true" outlineLevel="0" collapsed="false">
      <c r="A176" s="12" t="n">
        <v>1419</v>
      </c>
      <c r="B176" s="13" t="s">
        <v>828</v>
      </c>
      <c r="C176" s="14" t="n">
        <v>44200</v>
      </c>
      <c r="D176" s="13" t="s">
        <v>774</v>
      </c>
      <c r="E176" s="15" t="s">
        <v>47</v>
      </c>
      <c r="F176" s="15" t="str">
        <f aca="false">IFERROR(__xludf.dummyfunction("XLOOKUP(AJ176,IMPORTRANGE(""1XaInW9DU9nz21V0tYIfzFQ0He9kVQ_JF2mCXgZ3hqFA"",""REKAP ALL 2026 - Andika!G:G""),IMPORTRANGE(""1XaInW9DU9nz21V0tYIfzFQ0He9kVQ_JF2mCXgZ3hqFA"",""REKAP ALL 2026 - Andika!F:F""),"""",0)"),"21011132525")</f>
        <v>21011132525</v>
      </c>
      <c r="G176" s="13" t="s">
        <v>829</v>
      </c>
      <c r="H176" s="13" t="s">
        <v>49</v>
      </c>
      <c r="I176" s="13" t="str">
        <f aca="false">IF(C176=J176,"NEW KONTRAK","RE-KONTRAK")</f>
        <v>RE-KONTRAK</v>
      </c>
      <c r="J176" s="16" t="n">
        <f aca="false" t="array" ref="J176:J176">IFERROR(INDEX(AC176:AE176,IF(COUNTA(AC176:AE176)=0,"",MAX((AC176:AE176&lt;&gt;"")*(COLUMN(AC176:AE176)-(COLUMN(AC176)))))-1),"")</f>
        <v>45566</v>
      </c>
      <c r="K176" s="16" t="n">
        <f aca="false" t="array" ref="K176:K176">IFERROR(INDEX(AC176:AE176,IF(COUNTA(AC176:AE176)=0,"",MAX((AC176:AE176&lt;&gt;"")*(COLUMN(AC176:AE176)-(COLUMN(AC176)-1))))-1),"")</f>
        <v>45930</v>
      </c>
      <c r="L176" s="17" t="str">
        <f aca="false" t="array" ref="L176:L176">IFERROR(INDEX(AC176:AE176,IF(COUNTA(AC176:AE176)=0,"",MAX((AC176:AE176&lt;&gt;"")*(COLUMN(AC176:AE176)-(COLUMN(AC176)-2))))-1),"")</f>
        <v>ARCHIVED</v>
      </c>
      <c r="M176" s="13" t="n">
        <f aca="true">K176-TODAY()</f>
        <v>-394</v>
      </c>
      <c r="N176" s="18" t="s">
        <v>36</v>
      </c>
      <c r="O176" s="13" t="s">
        <v>830</v>
      </c>
      <c r="P176" s="19" t="n">
        <v>5195500</v>
      </c>
      <c r="Q176" s="20" t="s">
        <v>831</v>
      </c>
      <c r="R176" s="13" t="s">
        <v>232</v>
      </c>
      <c r="S176" s="14" t="n">
        <v>30965</v>
      </c>
      <c r="T176" s="13" t="s">
        <v>40</v>
      </c>
      <c r="U176" s="13" t="s">
        <v>832</v>
      </c>
      <c r="V176" s="13" t="s">
        <v>42</v>
      </c>
      <c r="W176" s="13" t="s">
        <v>43</v>
      </c>
      <c r="X176" s="21" t="n">
        <v>83135002219</v>
      </c>
      <c r="Y176" s="22" t="str">
        <f aca="false">O176</f>
        <v>Flatbar</v>
      </c>
      <c r="Z176" s="13" t="str">
        <f aca="false">IFERROR(__xludf.dummyfunction("if(BJ176="""","""",GOOGLETRANSLATE(BJ176,""auto"",""en""))"),"Flatbar")</f>
        <v>Flatbar</v>
      </c>
      <c r="AA176" s="23" t="str">
        <f aca="false">IF(C176="","", CHOOSE(MONTH(C176),"January","February","March","April","May","June","July","August","September","October","November","December")&amp;" "&amp;DAY(C176)&amp;MID("thstndrdth",MIN(9,2*RIGHT(DAY(C176))*(MOD(DAY(C176)-11,100)&gt;2)+1),2)&amp;","&amp;TEXT(C176," yyyy"))</f>
        <v>January 4th,2021</v>
      </c>
      <c r="AB176" s="15" t="str">
        <f aca="true">IF(S176="","",DATEDIF(S176,TODAY(),"Y")&amp;" Tahun, "&amp;DATEDIF(S176,TODAY(),"YM")&amp;" Bulan, "&amp;DATEDIF(S176,TODAY(),"MD")&amp;" Hari")</f>
        <v>42 Tahun, 0 Bulan, 19 Hari</v>
      </c>
      <c r="AC176" s="18" t="n">
        <v>45566</v>
      </c>
      <c r="AD176" s="18" t="n">
        <v>45930</v>
      </c>
      <c r="AE176" s="18" t="s">
        <v>44</v>
      </c>
    </row>
    <row r="177" customFormat="false" ht="15" hidden="false" customHeight="true" outlineLevel="0" collapsed="false">
      <c r="A177" s="12" t="n">
        <v>1420</v>
      </c>
      <c r="B177" s="13" t="s">
        <v>833</v>
      </c>
      <c r="C177" s="14" t="n">
        <v>44105</v>
      </c>
      <c r="D177" s="13" t="s">
        <v>774</v>
      </c>
      <c r="E177" s="15" t="s">
        <v>47</v>
      </c>
      <c r="F177" s="15" t="str">
        <f aca="false">IFERROR(__xludf.dummyfunction("XLOOKUP(AJ177,IMPORTRANGE(""1XaInW9DU9nz21V0tYIfzFQ0He9kVQ_JF2mCXgZ3hqFA"",""REKAP ALL 2026 - Andika!G:G""),IMPORTRANGE(""1XaInW9DU9nz21V0tYIfzFQ0He9kVQ_JF2mCXgZ3hqFA"",""REKAP ALL 2026 - Andika!F:F""),"""",0)"),"10036766557")</f>
        <v>10036766557</v>
      </c>
      <c r="G177" s="13" t="s">
        <v>834</v>
      </c>
      <c r="H177" s="13" t="s">
        <v>49</v>
      </c>
      <c r="I177" s="13" t="str">
        <f aca="false">IF(C177=J177,"NEW KONTRAK","RE-KONTRAK")</f>
        <v>RE-KONTRAK</v>
      </c>
      <c r="J177" s="16" t="n">
        <f aca="false" t="array" ref="J177:J177">IFERROR(INDEX(AC177:AE177,IF(COUNTA(AC177:AE177)=0,"",MAX((AC177:AE177&lt;&gt;"")*(COLUMN(AC177:AE177)-(COLUMN(AC177)))))-1),"")</f>
        <v>45566</v>
      </c>
      <c r="K177" s="16" t="n">
        <f aca="false" t="array" ref="K177:K177">IFERROR(INDEX(AC177:AE177,IF(COUNTA(AC177:AE177)=0,"",MAX((AC177:AE177&lt;&gt;"")*(COLUMN(AC177:AE177)-(COLUMN(AC177)-1))))-1),"")</f>
        <v>45930</v>
      </c>
      <c r="L177" s="17" t="str">
        <f aca="false" t="array" ref="L177:L177">IFERROR(INDEX(AC177:AE177,IF(COUNTA(AC177:AE177)=0,"",MAX((AC177:AE177&lt;&gt;"")*(COLUMN(AC177:AE177)-(COLUMN(AC177)-2))))-1),"")</f>
        <v>ARCHIVED</v>
      </c>
      <c r="M177" s="13" t="n">
        <f aca="true">K177-TODAY()</f>
        <v>-394</v>
      </c>
      <c r="N177" s="18" t="s">
        <v>36</v>
      </c>
      <c r="O177" s="13" t="s">
        <v>624</v>
      </c>
      <c r="P177" s="19" t="n">
        <v>5195500</v>
      </c>
      <c r="Q177" s="20" t="s">
        <v>835</v>
      </c>
      <c r="R177" s="13" t="s">
        <v>65</v>
      </c>
      <c r="S177" s="14" t="n">
        <v>33171</v>
      </c>
      <c r="T177" s="13" t="s">
        <v>40</v>
      </c>
      <c r="U177" s="13" t="s">
        <v>836</v>
      </c>
      <c r="V177" s="13" t="s">
        <v>42</v>
      </c>
      <c r="W177" s="13" t="s">
        <v>43</v>
      </c>
      <c r="X177" s="21" t="n">
        <v>85961180839</v>
      </c>
      <c r="Y177" s="22" t="str">
        <f aca="false">O177</f>
        <v>Quality Control</v>
      </c>
      <c r="Z177" s="13" t="str">
        <f aca="false">IFERROR(__xludf.dummyfunction("if(BJ177="""","""",GOOGLETRANSLATE(BJ177,""auto"",""en""))"),"Quality Control")</f>
        <v>Quality Control</v>
      </c>
      <c r="AA177" s="23" t="str">
        <f aca="false">IF(C177="","", CHOOSE(MONTH(C177),"January","February","March","April","May","June","July","August","September","October","November","December")&amp;" "&amp;DAY(C177)&amp;MID("thstndrdth",MIN(9,2*RIGHT(DAY(C177))*(MOD(DAY(C177)-11,100)&gt;2)+1),2)&amp;","&amp;TEXT(C177," yyyy"))</f>
        <v>October 1st,2020</v>
      </c>
      <c r="AB177" s="15" t="str">
        <f aca="true">IF(S177="","",DATEDIF(S177,TODAY(),"Y")&amp;" Tahun, "&amp;DATEDIF(S177,TODAY(),"YM")&amp;" Bulan, "&amp;DATEDIF(S177,TODAY(),"MD")&amp;" Hari")</f>
        <v>36 Tahun, 0 Bulan, 4 Hari</v>
      </c>
      <c r="AC177" s="18" t="n">
        <v>45566</v>
      </c>
      <c r="AD177" s="18" t="n">
        <v>45930</v>
      </c>
      <c r="AE177" s="18" t="s">
        <v>44</v>
      </c>
    </row>
    <row r="178" customFormat="false" ht="15" hidden="false" customHeight="true" outlineLevel="0" collapsed="false">
      <c r="A178" s="12" t="n">
        <v>1421</v>
      </c>
      <c r="B178" s="13" t="s">
        <v>837</v>
      </c>
      <c r="C178" s="14" t="n">
        <v>44105</v>
      </c>
      <c r="D178" s="13" t="s">
        <v>774</v>
      </c>
      <c r="E178" s="15" t="s">
        <v>47</v>
      </c>
      <c r="F178" s="15" t="str">
        <f aca="false">IFERROR(__xludf.dummyfunction("XLOOKUP(AJ178,IMPORTRANGE(""1XaInW9DU9nz21V0tYIfzFQ0He9kVQ_JF2mCXgZ3hqFA"",""REKAP ALL 2026 - Andika!G:G""),IMPORTRANGE(""1XaInW9DU9nz21V0tYIfzFQ0He9kVQ_JF2mCXgZ3hqFA"",""REKAP ALL 2026 - Andika!F:F""),"""",0)"),"14023518765")</f>
        <v>14023518765</v>
      </c>
      <c r="G178" s="13" t="s">
        <v>838</v>
      </c>
      <c r="H178" s="13" t="s">
        <v>49</v>
      </c>
      <c r="I178" s="13" t="str">
        <f aca="false">IF(C178=J178,"NEW KONTRAK","RE-KONTRAK")</f>
        <v>RE-KONTRAK</v>
      </c>
      <c r="J178" s="16" t="n">
        <f aca="false" t="array" ref="J178:J178">IFERROR(INDEX(AC178:AE178,IF(COUNTA(AC178:AE178)=0,"",MAX((AC178:AE178&lt;&gt;"")*(COLUMN(AC178:AE178)-(COLUMN(AC178)))))-1),"")</f>
        <v>45566</v>
      </c>
      <c r="K178" s="16" t="n">
        <f aca="false" t="array" ref="K178:K178">IFERROR(INDEX(AC178:AE178,IF(COUNTA(AC178:AE178)=0,"",MAX((AC178:AE178&lt;&gt;"")*(COLUMN(AC178:AE178)-(COLUMN(AC178)-1))))-1),"")</f>
        <v>45930</v>
      </c>
      <c r="L178" s="17" t="str">
        <f aca="false" t="array" ref="L178:L178">IFERROR(INDEX(AC178:AE178,IF(COUNTA(AC178:AE178)=0,"",MAX((AC178:AE178&lt;&gt;"")*(COLUMN(AC178:AE178)-(COLUMN(AC178)-2))))-1),"")</f>
        <v>ARCHIVED</v>
      </c>
      <c r="M178" s="13" t="n">
        <f aca="true">K178-TODAY()</f>
        <v>-394</v>
      </c>
      <c r="N178" s="18" t="s">
        <v>36</v>
      </c>
      <c r="O178" s="13" t="s">
        <v>839</v>
      </c>
      <c r="P178" s="19" t="n">
        <v>5195500</v>
      </c>
      <c r="Q178" s="20" t="s">
        <v>840</v>
      </c>
      <c r="R178" s="13" t="s">
        <v>65</v>
      </c>
      <c r="S178" s="14" t="n">
        <v>30039</v>
      </c>
      <c r="T178" s="13" t="s">
        <v>40</v>
      </c>
      <c r="U178" s="13" t="s">
        <v>841</v>
      </c>
      <c r="V178" s="13" t="s">
        <v>42</v>
      </c>
      <c r="W178" s="13" t="s">
        <v>54</v>
      </c>
      <c r="X178" s="21" t="n">
        <v>85235009004</v>
      </c>
      <c r="Y178" s="22" t="str">
        <f aca="false">O178</f>
        <v>Bengkel</v>
      </c>
      <c r="Z178" s="13" t="str">
        <f aca="false">IFERROR(__xludf.dummyfunction("if(BJ178="""","""",GOOGLETRANSLATE(BJ178,""auto"",""en""))"),"Workshop")</f>
        <v>Workshop</v>
      </c>
      <c r="AA178" s="23" t="str">
        <f aca="false">IF(C178="","", CHOOSE(MONTH(C178),"January","February","March","April","May","June","July","August","September","October","November","December")&amp;" "&amp;DAY(C178)&amp;MID("thstndrdth",MIN(9,2*RIGHT(DAY(C178))*(MOD(DAY(C178)-11,100)&gt;2)+1),2)&amp;","&amp;TEXT(C178," yyyy"))</f>
        <v>October 1st,2020</v>
      </c>
      <c r="AB178" s="15" t="str">
        <f aca="true">IF(S178="","",DATEDIF(S178,TODAY(),"Y")&amp;" Tahun, "&amp;DATEDIF(S178,TODAY(),"YM")&amp;" Bulan, "&amp;DATEDIF(S178,TODAY(),"MD")&amp;" Hari")</f>
        <v>44 Tahun, 7 Bulan, 0 Hari</v>
      </c>
      <c r="AC178" s="18" t="n">
        <v>45566</v>
      </c>
      <c r="AD178" s="18" t="n">
        <v>45930</v>
      </c>
      <c r="AE178" s="18" t="s">
        <v>44</v>
      </c>
    </row>
    <row r="179" customFormat="false" ht="15" hidden="false" customHeight="true" outlineLevel="0" collapsed="false">
      <c r="A179" s="12" t="n">
        <v>1422</v>
      </c>
      <c r="B179" s="13" t="s">
        <v>842</v>
      </c>
      <c r="C179" s="14" t="n">
        <v>44105</v>
      </c>
      <c r="D179" s="13" t="s">
        <v>774</v>
      </c>
      <c r="E179" s="15" t="s">
        <v>47</v>
      </c>
      <c r="F179" s="15" t="str">
        <f aca="false">IFERROR(__xludf.dummyfunction("XLOOKUP(AJ179,IMPORTRANGE(""1XaInW9DU9nz21V0tYIfzFQ0He9kVQ_JF2mCXgZ3hqFA"",""REKAP ALL 2026 - Andika!G:G""),IMPORTRANGE(""1XaInW9DU9nz21V0tYIfzFQ0He9kVQ_JF2mCXgZ3hqFA"",""REKAP ALL 2026 - Andika!F:F""),"""",0)"),"14008726250")</f>
        <v>14008726250</v>
      </c>
      <c r="G179" s="13" t="s">
        <v>843</v>
      </c>
      <c r="H179" s="13" t="s">
        <v>49</v>
      </c>
      <c r="I179" s="13" t="str">
        <f aca="false">IF(C179=J179,"NEW KONTRAK","RE-KONTRAK")</f>
        <v>RE-KONTRAK</v>
      </c>
      <c r="J179" s="16" t="n">
        <f aca="false" t="array" ref="J179:J179">IFERROR(INDEX(AC179:AE179,IF(COUNTA(AC179:AE179)=0,"",MAX((AC179:AE179&lt;&gt;"")*(COLUMN(AC179:AE179)-(COLUMN(AC179)))))-1),"")</f>
        <v>45566</v>
      </c>
      <c r="K179" s="16" t="n">
        <f aca="false" t="array" ref="K179:K179">IFERROR(INDEX(AC179:AE179,IF(COUNTA(AC179:AE179)=0,"",MAX((AC179:AE179&lt;&gt;"")*(COLUMN(AC179:AE179)-(COLUMN(AC179)-1))))-1),"")</f>
        <v>45930</v>
      </c>
      <c r="L179" s="17" t="str">
        <f aca="false" t="array" ref="L179:L179">IFERROR(INDEX(AC179:AE179,IF(COUNTA(AC179:AE179)=0,"",MAX((AC179:AE179&lt;&gt;"")*(COLUMN(AC179:AE179)-(COLUMN(AC179)-2))))-1),"")</f>
        <v>ARCHIVED</v>
      </c>
      <c r="M179" s="13" t="n">
        <f aca="true">K179-TODAY()</f>
        <v>-394</v>
      </c>
      <c r="N179" s="18" t="s">
        <v>36</v>
      </c>
      <c r="O179" s="13" t="s">
        <v>839</v>
      </c>
      <c r="P179" s="19" t="n">
        <v>5195500</v>
      </c>
      <c r="Q179" s="20" t="s">
        <v>844</v>
      </c>
      <c r="R179" s="13" t="s">
        <v>232</v>
      </c>
      <c r="S179" s="14" t="n">
        <v>34244</v>
      </c>
      <c r="T179" s="13" t="s">
        <v>40</v>
      </c>
      <c r="U179" s="13" t="s">
        <v>845</v>
      </c>
      <c r="V179" s="13" t="s">
        <v>42</v>
      </c>
      <c r="W179" s="13" t="s">
        <v>43</v>
      </c>
      <c r="X179" s="21" t="n">
        <v>87752636479</v>
      </c>
      <c r="Y179" s="22" t="str">
        <f aca="false">O179</f>
        <v>Bengkel</v>
      </c>
      <c r="Z179" s="13" t="str">
        <f aca="false">IFERROR(__xludf.dummyfunction("if(BJ179="""","""",GOOGLETRANSLATE(BJ179,""auto"",""en""))"),"Workshop")</f>
        <v>Workshop</v>
      </c>
      <c r="AA179" s="23" t="str">
        <f aca="false">IF(C179="","", CHOOSE(MONTH(C179),"January","February","March","April","May","June","July","August","September","October","November","December")&amp;" "&amp;DAY(C179)&amp;MID("thstndrdth",MIN(9,2*RIGHT(DAY(C179))*(MOD(DAY(C179)-11,100)&gt;2)+1),2)&amp;","&amp;TEXT(C179," yyyy"))</f>
        <v>October 1st,2020</v>
      </c>
      <c r="AB179" s="15" t="str">
        <f aca="true">IF(S179="","",DATEDIF(S179,TODAY(),"Y")&amp;" Tahun, "&amp;DATEDIF(S179,TODAY(),"YM")&amp;" Bulan, "&amp;DATEDIF(S179,TODAY(),"MD")&amp;" Hari")</f>
        <v>33 Tahun, 0 Bulan, 27 Hari</v>
      </c>
      <c r="AC179" s="18" t="n">
        <v>45566</v>
      </c>
      <c r="AD179" s="18" t="n">
        <v>45930</v>
      </c>
      <c r="AE179" s="18" t="s">
        <v>44</v>
      </c>
    </row>
    <row r="180" customFormat="false" ht="15" hidden="false" customHeight="true" outlineLevel="0" collapsed="false">
      <c r="A180" s="12" t="n">
        <v>1423</v>
      </c>
      <c r="B180" s="13" t="s">
        <v>846</v>
      </c>
      <c r="C180" s="14" t="n">
        <v>44105</v>
      </c>
      <c r="D180" s="13" t="s">
        <v>774</v>
      </c>
      <c r="E180" s="15" t="s">
        <v>47</v>
      </c>
      <c r="F180" s="15" t="str">
        <f aca="false">IFERROR(__xludf.dummyfunction("XLOOKUP(AJ180,IMPORTRANGE(""1XaInW9DU9nz21V0tYIfzFQ0He9kVQ_JF2mCXgZ3hqFA"",""REKAP ALL 2026 - Andika!G:G""),IMPORTRANGE(""1XaInW9DU9nz21V0tYIfzFQ0He9kVQ_JF2mCXgZ3hqFA"",""REKAP ALL 2026 - Andika!F:F""),"""",0)"),"14026839309")</f>
        <v>14026839309</v>
      </c>
      <c r="G180" s="13" t="s">
        <v>847</v>
      </c>
      <c r="H180" s="13" t="s">
        <v>49</v>
      </c>
      <c r="I180" s="13" t="str">
        <f aca="false">IF(C180=J180,"NEW KONTRAK","RE-KONTRAK")</f>
        <v>RE-KONTRAK</v>
      </c>
      <c r="J180" s="16" t="n">
        <f aca="false" t="array" ref="J180:J180">IFERROR(INDEX(AC180:AE180,IF(COUNTA(AC180:AE180)=0,"",MAX((AC180:AE180&lt;&gt;"")*(COLUMN(AC180:AE180)-(COLUMN(AC180)))))-1),"")</f>
        <v>45566</v>
      </c>
      <c r="K180" s="16" t="n">
        <f aca="false" t="array" ref="K180:K180">IFERROR(INDEX(AC180:AE180,IF(COUNTA(AC180:AE180)=0,"",MAX((AC180:AE180&lt;&gt;"")*(COLUMN(AC180:AE180)-(COLUMN(AC180)-1))))-1),"")</f>
        <v>45930</v>
      </c>
      <c r="L180" s="17" t="str">
        <f aca="false" t="array" ref="L180:L180">IFERROR(INDEX(AC180:AE180,IF(COUNTA(AC180:AE180)=0,"",MAX((AC180:AE180&lt;&gt;"")*(COLUMN(AC180:AE180)-(COLUMN(AC180)-2))))-1),"")</f>
        <v>ARCHIVED</v>
      </c>
      <c r="M180" s="13" t="n">
        <f aca="true">K180-TODAY()</f>
        <v>-394</v>
      </c>
      <c r="N180" s="18" t="s">
        <v>36</v>
      </c>
      <c r="O180" s="13" t="s">
        <v>795</v>
      </c>
      <c r="P180" s="19" t="n">
        <v>5195500</v>
      </c>
      <c r="Q180" s="20" t="s">
        <v>848</v>
      </c>
      <c r="R180" s="13" t="s">
        <v>65</v>
      </c>
      <c r="S180" s="14" t="n">
        <v>24821</v>
      </c>
      <c r="T180" s="13" t="s">
        <v>40</v>
      </c>
      <c r="U180" s="13" t="s">
        <v>849</v>
      </c>
      <c r="V180" s="13" t="s">
        <v>42</v>
      </c>
      <c r="W180" s="13" t="s">
        <v>54</v>
      </c>
      <c r="X180" s="30" t="n">
        <v>81201338908</v>
      </c>
      <c r="Y180" s="22" t="str">
        <f aca="false">O180</f>
        <v>Painting</v>
      </c>
      <c r="Z180" s="13" t="str">
        <f aca="false">IFERROR(__xludf.dummyfunction("if(BJ180="""","""",GOOGLETRANSLATE(BJ180,""auto"",""en""))"),"Painting")</f>
        <v>Painting</v>
      </c>
      <c r="AA180" s="23" t="str">
        <f aca="false">IF(C180="","", CHOOSE(MONTH(C180),"January","February","March","April","May","June","July","August","September","October","November","December")&amp;" "&amp;DAY(C180)&amp;MID("thstndrdth",MIN(9,2*RIGHT(DAY(C180))*(MOD(DAY(C180)-11,100)&gt;2)+1),2)&amp;","&amp;TEXT(C180," yyyy"))</f>
        <v>October 1st,2020</v>
      </c>
      <c r="AB180" s="15" t="str">
        <f aca="true">IF(S180="","",DATEDIF(S180,TODAY(),"Y")&amp;" Tahun, "&amp;DATEDIF(S180,TODAY(),"YM")&amp;" Bulan, "&amp;DATEDIF(S180,TODAY(),"MD")&amp;" Hari")</f>
        <v>58 Tahun, 10 Bulan, 14 Hari</v>
      </c>
      <c r="AC180" s="18" t="n">
        <v>45566</v>
      </c>
      <c r="AD180" s="18" t="n">
        <v>45930</v>
      </c>
      <c r="AE180" s="18" t="s">
        <v>44</v>
      </c>
    </row>
    <row r="181" customFormat="false" ht="15" hidden="false" customHeight="true" outlineLevel="0" collapsed="false">
      <c r="A181" s="12" t="n">
        <v>1424</v>
      </c>
      <c r="B181" s="13" t="s">
        <v>850</v>
      </c>
      <c r="C181" s="14" t="n">
        <v>44105</v>
      </c>
      <c r="D181" s="13" t="s">
        <v>774</v>
      </c>
      <c r="E181" s="15" t="s">
        <v>47</v>
      </c>
      <c r="F181" s="15" t="str">
        <f aca="false">IFERROR(__xludf.dummyfunction("XLOOKUP(AJ181,IMPORTRANGE(""1XaInW9DU9nz21V0tYIfzFQ0He9kVQ_JF2mCXgZ3hqFA"",""REKAP ALL 2026 - Andika!G:G""),IMPORTRANGE(""1XaInW9DU9nz21V0tYIfzFQ0He9kVQ_JF2mCXgZ3hqFA"",""REKAP ALL 2026 - Andika!F:F""),"""",0)"),"14008726243")</f>
        <v>14008726243</v>
      </c>
      <c r="G181" s="13" t="s">
        <v>851</v>
      </c>
      <c r="H181" s="13" t="s">
        <v>49</v>
      </c>
      <c r="I181" s="13" t="str">
        <f aca="false">IF(C181=J181,"NEW KONTRAK","RE-KONTRAK")</f>
        <v>RE-KONTRAK</v>
      </c>
      <c r="J181" s="16" t="n">
        <f aca="false" t="array" ref="J181:J181">IFERROR(INDEX(AC181:AE181,IF(COUNTA(AC181:AE181)=0,"",MAX((AC181:AE181&lt;&gt;"")*(COLUMN(AC181:AE181)-(COLUMN(AC181)))))-1),"")</f>
        <v>45566</v>
      </c>
      <c r="K181" s="16" t="n">
        <f aca="false" t="array" ref="K181:K181">IFERROR(INDEX(AC181:AE181,IF(COUNTA(AC181:AE181)=0,"",MAX((AC181:AE181&lt;&gt;"")*(COLUMN(AC181:AE181)-(COLUMN(AC181)-1))))-1),"")</f>
        <v>45930</v>
      </c>
      <c r="L181" s="17" t="str">
        <f aca="false" t="array" ref="L181:L181">IFERROR(INDEX(AC181:AE181,IF(COUNTA(AC181:AE181)=0,"",MAX((AC181:AE181&lt;&gt;"")*(COLUMN(AC181:AE181)-(COLUMN(AC181)-2))))-1),"")</f>
        <v>ARCHIVED</v>
      </c>
      <c r="M181" s="13" t="n">
        <f aca="true">K181-TODAY()</f>
        <v>-394</v>
      </c>
      <c r="N181" s="18" t="s">
        <v>36</v>
      </c>
      <c r="O181" s="13" t="s">
        <v>852</v>
      </c>
      <c r="P181" s="19" t="n">
        <v>5195500</v>
      </c>
      <c r="Q181" s="20" t="s">
        <v>853</v>
      </c>
      <c r="R181" s="13" t="s">
        <v>83</v>
      </c>
      <c r="S181" s="14" t="n">
        <v>25847</v>
      </c>
      <c r="T181" s="13" t="s">
        <v>40</v>
      </c>
      <c r="U181" s="13" t="s">
        <v>854</v>
      </c>
      <c r="V181" s="13" t="s">
        <v>42</v>
      </c>
      <c r="W181" s="13" t="s">
        <v>54</v>
      </c>
      <c r="X181" s="21" t="n">
        <v>81235772638</v>
      </c>
      <c r="Y181" s="22" t="str">
        <f aca="false">O181</f>
        <v>Pu</v>
      </c>
      <c r="Z181" s="13" t="str">
        <f aca="false">IFERROR(__xludf.dummyfunction("if(BJ181="""","""",GOOGLETRANSLATE(BJ181,""auto"",""en""))"),"Could")</f>
        <v>Could</v>
      </c>
      <c r="AA181" s="23" t="str">
        <f aca="false">IF(C181="","", CHOOSE(MONTH(C181),"January","February","March","April","May","June","July","August","September","October","November","December")&amp;" "&amp;DAY(C181)&amp;MID("thstndrdth",MIN(9,2*RIGHT(DAY(C181))*(MOD(DAY(C181)-11,100)&gt;2)+1),2)&amp;","&amp;TEXT(C181," yyyy"))</f>
        <v>October 1st,2020</v>
      </c>
      <c r="AB181" s="15" t="str">
        <f aca="true">IF(S181="","",DATEDIF(S181,TODAY(),"Y")&amp;" Tahun, "&amp;DATEDIF(S181,TODAY(),"YM")&amp;" Bulan, "&amp;DATEDIF(S181,TODAY(),"MD")&amp;" Hari")</f>
        <v>56 Tahun, 0 Bulan, 23 Hari</v>
      </c>
      <c r="AC181" s="18" t="n">
        <v>45566</v>
      </c>
      <c r="AD181" s="18" t="n">
        <v>45930</v>
      </c>
      <c r="AE181" s="18" t="s">
        <v>44</v>
      </c>
    </row>
    <row r="182" customFormat="false" ht="15" hidden="false" customHeight="true" outlineLevel="0" collapsed="false">
      <c r="A182" s="12" t="n">
        <v>1425</v>
      </c>
      <c r="B182" s="13" t="s">
        <v>855</v>
      </c>
      <c r="C182" s="14" t="n">
        <v>44343</v>
      </c>
      <c r="D182" s="13" t="s">
        <v>774</v>
      </c>
      <c r="E182" s="15" t="s">
        <v>47</v>
      </c>
      <c r="F182" s="15" t="str">
        <f aca="false">IFERROR(__xludf.dummyfunction("XLOOKUP(AJ182,IMPORTRANGE(""1XaInW9DU9nz21V0tYIfzFQ0He9kVQ_JF2mCXgZ3hqFA"",""REKAP ALL 2026 - Andika!G:G""),IMPORTRANGE(""1XaInW9DU9nz21V0tYIfzFQ0He9kVQ_JF2mCXgZ3hqFA"",""REKAP ALL 2026 - Andika!F:F""),"""",0)"),"21049050020")</f>
        <v>21049050020</v>
      </c>
      <c r="G182" s="13" t="s">
        <v>856</v>
      </c>
      <c r="H182" s="13" t="s">
        <v>49</v>
      </c>
      <c r="I182" s="13" t="str">
        <f aca="false">IF(C182=J182,"NEW KONTRAK","RE-KONTRAK")</f>
        <v>RE-KONTRAK</v>
      </c>
      <c r="J182" s="16" t="n">
        <f aca="false" t="array" ref="J182:J182">IFERROR(INDEX(AC182:AE182,IF(COUNTA(AC182:AE182)=0,"",MAX((AC182:AE182&lt;&gt;"")*(COLUMN(AC182:AE182)-(COLUMN(AC182)))))-1),"")</f>
        <v>45566</v>
      </c>
      <c r="K182" s="16" t="n">
        <f aca="false" t="array" ref="K182:K182">IFERROR(INDEX(AC182:AE182,IF(COUNTA(AC182:AE182)=0,"",MAX((AC182:AE182&lt;&gt;"")*(COLUMN(AC182:AE182)-(COLUMN(AC182)-1))))-1),"")</f>
        <v>45930</v>
      </c>
      <c r="L182" s="17" t="str">
        <f aca="false" t="array" ref="L182:L182">IFERROR(INDEX(AC182:AE182,IF(COUNTA(AC182:AE182)=0,"",MAX((AC182:AE182&lt;&gt;"")*(COLUMN(AC182:AE182)-(COLUMN(AC182)-2))))-1),"")</f>
        <v>ARCHIVED</v>
      </c>
      <c r="M182" s="13" t="n">
        <f aca="true">K182-TODAY()</f>
        <v>-394</v>
      </c>
      <c r="N182" s="18" t="s">
        <v>36</v>
      </c>
      <c r="O182" s="13" t="s">
        <v>298</v>
      </c>
      <c r="P182" s="19" t="n">
        <v>5195500</v>
      </c>
      <c r="Q182" s="20" t="s">
        <v>857</v>
      </c>
      <c r="R182" s="13" t="s">
        <v>260</v>
      </c>
      <c r="S182" s="14" t="n">
        <v>34097</v>
      </c>
      <c r="T182" s="13" t="s">
        <v>40</v>
      </c>
      <c r="U182" s="13" t="s">
        <v>858</v>
      </c>
      <c r="V182" s="13" t="s">
        <v>42</v>
      </c>
      <c r="W182" s="13" t="s">
        <v>43</v>
      </c>
      <c r="X182" s="21" t="n">
        <v>82234141818</v>
      </c>
      <c r="Y182" s="22" t="str">
        <f aca="false">O182</f>
        <v>Maintenance</v>
      </c>
      <c r="Z182" s="13" t="str">
        <f aca="false">IFERROR(__xludf.dummyfunction("if(BJ182="""","""",GOOGLETRANSLATE(BJ182,""auto"",""en""))"),"Maintenance")</f>
        <v>Maintenance</v>
      </c>
      <c r="AA182" s="23" t="str">
        <f aca="false">IF(C182="","", CHOOSE(MONTH(C182),"January","February","March","April","May","June","July","August","September","October","November","December")&amp;" "&amp;DAY(C182)&amp;MID("thstndrdth",MIN(9,2*RIGHT(DAY(C182))*(MOD(DAY(C182)-11,100)&gt;2)+1),2)&amp;","&amp;TEXT(C182," yyyy"))</f>
        <v>May 27th,2021</v>
      </c>
      <c r="AB182" s="15" t="str">
        <f aca="true">IF(S182="","",DATEDIF(S182,TODAY(),"Y")&amp;" Tahun, "&amp;DATEDIF(S182,TODAY(),"YM")&amp;" Bulan, "&amp;DATEDIF(S182,TODAY(),"MD")&amp;" Hari")</f>
        <v>33 Tahun, 5 Bulan, 21 Hari</v>
      </c>
      <c r="AC182" s="18" t="n">
        <v>45566</v>
      </c>
      <c r="AD182" s="18" t="n">
        <v>45930</v>
      </c>
      <c r="AE182" s="18" t="s">
        <v>44</v>
      </c>
    </row>
    <row r="183" customFormat="false" ht="15" hidden="false" customHeight="true" outlineLevel="0" collapsed="false">
      <c r="A183" s="12" t="n">
        <v>1426</v>
      </c>
      <c r="B183" s="13" t="s">
        <v>859</v>
      </c>
      <c r="C183" s="14" t="n">
        <v>44105</v>
      </c>
      <c r="D183" s="13" t="s">
        <v>774</v>
      </c>
      <c r="E183" s="15" t="s">
        <v>47</v>
      </c>
      <c r="F183" s="15" t="str">
        <f aca="false">IFERROR(__xludf.dummyfunction("XLOOKUP(AJ183,IMPORTRANGE(""1XaInW9DU9nz21V0tYIfzFQ0He9kVQ_JF2mCXgZ3hqFA"",""REKAP ALL 2026 - Andika!G:G""),IMPORTRANGE(""1XaInW9DU9nz21V0tYIfzFQ0He9kVQ_JF2mCXgZ3hqFA"",""REKAP ALL 2026 - Andika!F:F""),"""",0)"),"14023518732")</f>
        <v>14023518732</v>
      </c>
      <c r="G183" s="13" t="s">
        <v>860</v>
      </c>
      <c r="H183" s="13" t="s">
        <v>49</v>
      </c>
      <c r="I183" s="13" t="str">
        <f aca="false">IF(C183=J183,"NEW KONTRAK","RE-KONTRAK")</f>
        <v>RE-KONTRAK</v>
      </c>
      <c r="J183" s="16" t="n">
        <f aca="false" t="array" ref="J183:J183">IFERROR(INDEX(AC183:AE183,IF(COUNTA(AC183:AE183)=0,"",MAX((AC183:AE183&lt;&gt;"")*(COLUMN(AC183:AE183)-(COLUMN(AC183)))))-1),"")</f>
        <v>45566</v>
      </c>
      <c r="K183" s="16" t="n">
        <f aca="false" t="array" ref="K183:K183">IFERROR(INDEX(AC183:AE183,IF(COUNTA(AC183:AE183)=0,"",MAX((AC183:AE183&lt;&gt;"")*(COLUMN(AC183:AE183)-(COLUMN(AC183)-1))))-1),"")</f>
        <v>45930</v>
      </c>
      <c r="L183" s="17" t="str">
        <f aca="false" t="array" ref="L183:L183">IFERROR(INDEX(AC183:AE183,IF(COUNTA(AC183:AE183)=0,"",MAX((AC183:AE183&lt;&gt;"")*(COLUMN(AC183:AE183)-(COLUMN(AC183)-2))))-1),"")</f>
        <v>ARCHIVED</v>
      </c>
      <c r="M183" s="13" t="n">
        <f aca="true">K183-TODAY()</f>
        <v>-394</v>
      </c>
      <c r="N183" s="18" t="s">
        <v>36</v>
      </c>
      <c r="O183" s="13" t="s">
        <v>812</v>
      </c>
      <c r="P183" s="19" t="n">
        <v>5195500</v>
      </c>
      <c r="Q183" s="20" t="s">
        <v>861</v>
      </c>
      <c r="R183" s="13" t="s">
        <v>65</v>
      </c>
      <c r="S183" s="14" t="n">
        <v>28739</v>
      </c>
      <c r="T183" s="13" t="s">
        <v>40</v>
      </c>
      <c r="U183" s="13" t="s">
        <v>545</v>
      </c>
      <c r="V183" s="13" t="s">
        <v>42</v>
      </c>
      <c r="W183" s="13" t="s">
        <v>54</v>
      </c>
      <c r="X183" s="21" t="n">
        <v>85607423092</v>
      </c>
      <c r="Y183" s="22" t="str">
        <f aca="false">O183</f>
        <v>Heating</v>
      </c>
      <c r="Z183" s="13" t="str">
        <f aca="false">IFERROR(__xludf.dummyfunction("if(BJ183="""","""",GOOGLETRANSLATE(BJ183,""auto"",""en""))"),"Heating")</f>
        <v>Heating</v>
      </c>
      <c r="AA183" s="23" t="str">
        <f aca="false">IF(C183="","", CHOOSE(MONTH(C183),"January","February","March","April","May","June","July","August","September","October","November","December")&amp;" "&amp;DAY(C183)&amp;MID("thstndrdth",MIN(9,2*RIGHT(DAY(C183))*(MOD(DAY(C183)-11,100)&gt;2)+1),2)&amp;","&amp;TEXT(C183," yyyy"))</f>
        <v>October 1st,2020</v>
      </c>
      <c r="AB183" s="15" t="str">
        <f aca="true">IF(S183="","",DATEDIF(S183,TODAY(),"Y")&amp;" Tahun, "&amp;DATEDIF(S183,TODAY(),"YM")&amp;" Bulan, "&amp;DATEDIF(S183,TODAY(),"MD")&amp;" Hari")</f>
        <v>48 Tahun, 1 Bulan, 23 Hari</v>
      </c>
      <c r="AC183" s="18" t="n">
        <v>45566</v>
      </c>
      <c r="AD183" s="18" t="n">
        <v>45930</v>
      </c>
      <c r="AE183" s="18" t="s">
        <v>44</v>
      </c>
    </row>
    <row r="184" customFormat="false" ht="15" hidden="false" customHeight="true" outlineLevel="0" collapsed="false">
      <c r="A184" s="12" t="n">
        <v>1427</v>
      </c>
      <c r="B184" s="13" t="s">
        <v>862</v>
      </c>
      <c r="C184" s="14" t="n">
        <v>44105</v>
      </c>
      <c r="D184" s="13" t="s">
        <v>774</v>
      </c>
      <c r="E184" s="15" t="s">
        <v>789</v>
      </c>
      <c r="F184" s="15" t="str">
        <f aca="false">IFERROR(__xludf.dummyfunction("XLOOKUP(AJ184,IMPORTRANGE(""1XaInW9DU9nz21V0tYIfzFQ0He9kVQ_JF2mCXgZ3hqFA"",""REKAP ALL 2026 - Andika!G:G""),IMPORTRANGE(""1XaInW9DU9nz21V0tYIfzFQ0He9kVQ_JF2mCXgZ3hqFA"",""REKAP ALL 2026 - Andika!F:F""),"""",0)"),"10023954984")</f>
        <v>10023954984</v>
      </c>
      <c r="G184" s="13" t="s">
        <v>863</v>
      </c>
      <c r="H184" s="13" t="s">
        <v>49</v>
      </c>
      <c r="I184" s="13" t="str">
        <f aca="false">IF(C184=J184,"NEW KONTRAK","RE-KONTRAK")</f>
        <v>RE-KONTRAK</v>
      </c>
      <c r="J184" s="16" t="n">
        <f aca="false" t="array" ref="J184:J184">IFERROR(INDEX(AC184:AE184,IF(COUNTA(AC184:AE184)=0,"",MAX((AC184:AE184&lt;&gt;"")*(COLUMN(AC184:AE184)-(COLUMN(AC184)))))-1),"")</f>
        <v>45566</v>
      </c>
      <c r="K184" s="16" t="n">
        <f aca="false" t="array" ref="K184:K184">IFERROR(INDEX(AC184:AE184,IF(COUNTA(AC184:AE184)=0,"",MAX((AC184:AE184&lt;&gt;"")*(COLUMN(AC184:AE184)-(COLUMN(AC184)-1))))-1),"")</f>
        <v>45930</v>
      </c>
      <c r="L184" s="17" t="str">
        <f aca="false" t="array" ref="L184:L184">IFERROR(INDEX(AC184:AE184,IF(COUNTA(AC184:AE184)=0,"",MAX((AC184:AE184&lt;&gt;"")*(COLUMN(AC184:AE184)-(COLUMN(AC184)-2))))-1),"")</f>
        <v>ARCHIVED</v>
      </c>
      <c r="M184" s="13" t="n">
        <f aca="true">K184-TODAY()</f>
        <v>-394</v>
      </c>
      <c r="N184" s="18" t="s">
        <v>36</v>
      </c>
      <c r="O184" s="13" t="s">
        <v>795</v>
      </c>
      <c r="P184" s="19" t="n">
        <v>5195500</v>
      </c>
      <c r="Q184" s="20" t="s">
        <v>864</v>
      </c>
      <c r="R184" s="13" t="s">
        <v>826</v>
      </c>
      <c r="S184" s="14" t="n">
        <v>28455</v>
      </c>
      <c r="T184" s="13" t="s">
        <v>40</v>
      </c>
      <c r="U184" s="13" t="s">
        <v>865</v>
      </c>
      <c r="V184" s="13" t="s">
        <v>42</v>
      </c>
      <c r="W184" s="13" t="s">
        <v>54</v>
      </c>
      <c r="X184" s="21" t="n">
        <v>881036778940</v>
      </c>
      <c r="Y184" s="22" t="str">
        <f aca="false">O184</f>
        <v>Painting</v>
      </c>
      <c r="Z184" s="13" t="str">
        <f aca="false">IFERROR(__xludf.dummyfunction("if(BJ184="""","""",GOOGLETRANSLATE(BJ184,""auto"",""en""))"),"Painting")</f>
        <v>Painting</v>
      </c>
      <c r="AA184" s="23" t="str">
        <f aca="false">IF(C184="","", CHOOSE(MONTH(C184),"January","February","March","April","May","June","July","August","September","October","November","December")&amp;" "&amp;DAY(C184)&amp;MID("thstndrdth",MIN(9,2*RIGHT(DAY(C184))*(MOD(DAY(C184)-11,100)&gt;2)+1),2)&amp;","&amp;TEXT(C184," yyyy"))</f>
        <v>October 1st,2020</v>
      </c>
      <c r="AB184" s="15" t="str">
        <f aca="true">IF(S184="","",DATEDIF(S184,TODAY(),"Y")&amp;" Tahun, "&amp;DATEDIF(S184,TODAY(),"YM")&amp;" Bulan, "&amp;DATEDIF(S184,TODAY(),"MD")&amp;" Hari")</f>
        <v>48 Tahun, 11 Bulan, 3 Hari</v>
      </c>
      <c r="AC184" s="18" t="n">
        <v>45566</v>
      </c>
      <c r="AD184" s="18" t="n">
        <v>45930</v>
      </c>
      <c r="AE184" s="18" t="s">
        <v>44</v>
      </c>
    </row>
    <row r="185" customFormat="false" ht="15" hidden="false" customHeight="true" outlineLevel="0" collapsed="false">
      <c r="A185" s="12" t="n">
        <v>1428</v>
      </c>
      <c r="B185" s="13" t="s">
        <v>85</v>
      </c>
      <c r="C185" s="14" t="n">
        <v>44105</v>
      </c>
      <c r="D185" s="13" t="s">
        <v>774</v>
      </c>
      <c r="E185" s="15" t="s">
        <v>47</v>
      </c>
      <c r="F185" s="15" t="str">
        <f aca="false">IFERROR(__xludf.dummyfunction("XLOOKUP(AJ185,IMPORTRANGE(""1XaInW9DU9nz21V0tYIfzFQ0He9kVQ_JF2mCXgZ3hqFA"",""REKAP ALL 2026 - Andika!G:G""),IMPORTRANGE(""1XaInW9DU9nz21V0tYIfzFQ0He9kVQ_JF2mCXgZ3hqFA"",""REKAP ALL 2026 - Andika!F:F""),"""",0)"),"14008726219")</f>
        <v>14008726219</v>
      </c>
      <c r="G185" s="13" t="s">
        <v>866</v>
      </c>
      <c r="H185" s="13" t="s">
        <v>49</v>
      </c>
      <c r="I185" s="13" t="str">
        <f aca="false">IF(C185=J185,"NEW KONTRAK","RE-KONTRAK")</f>
        <v>RE-KONTRAK</v>
      </c>
      <c r="J185" s="16" t="n">
        <f aca="false" t="array" ref="J185:J185">IFERROR(INDEX(AC185:AE185,IF(COUNTA(AC185:AE185)=0,"",MAX((AC185:AE185&lt;&gt;"")*(COLUMN(AC185:AE185)-(COLUMN(AC185)))))-1),"")</f>
        <v>45566</v>
      </c>
      <c r="K185" s="16" t="n">
        <f aca="false" t="array" ref="K185:K185">IFERROR(INDEX(AC185:AE185,IF(COUNTA(AC185:AE185)=0,"",MAX((AC185:AE185&lt;&gt;"")*(COLUMN(AC185:AE185)-(COLUMN(AC185)-1))))-1),"")</f>
        <v>45930</v>
      </c>
      <c r="L185" s="17" t="str">
        <f aca="false" t="array" ref="L185:L185">IFERROR(INDEX(AC185:AE185,IF(COUNTA(AC185:AE185)=0,"",MAX((AC185:AE185&lt;&gt;"")*(COLUMN(AC185:AE185)-(COLUMN(AC185)-2))))-1),"")</f>
        <v>ARCHIVED</v>
      </c>
      <c r="M185" s="13" t="n">
        <f aca="true">K185-TODAY()</f>
        <v>-394</v>
      </c>
      <c r="N185" s="18" t="s">
        <v>36</v>
      </c>
      <c r="O185" s="13" t="s">
        <v>298</v>
      </c>
      <c r="P185" s="19" t="n">
        <v>5195500</v>
      </c>
      <c r="Q185" s="20" t="s">
        <v>867</v>
      </c>
      <c r="R185" s="13" t="s">
        <v>401</v>
      </c>
      <c r="S185" s="14" t="n">
        <v>28982</v>
      </c>
      <c r="T185" s="13" t="s">
        <v>40</v>
      </c>
      <c r="U185" s="13" t="s">
        <v>868</v>
      </c>
      <c r="V185" s="13" t="s">
        <v>42</v>
      </c>
      <c r="W185" s="13" t="s">
        <v>54</v>
      </c>
      <c r="X185" s="21" t="n">
        <v>85790999812</v>
      </c>
      <c r="Y185" s="22" t="str">
        <f aca="false">O185</f>
        <v>Maintenance</v>
      </c>
      <c r="Z185" s="13" t="str">
        <f aca="false">IFERROR(__xludf.dummyfunction("if(BJ185="""","""",GOOGLETRANSLATE(BJ185,""auto"",""en""))"),"Maintenance")</f>
        <v>Maintenance</v>
      </c>
      <c r="AA185" s="23" t="str">
        <f aca="false">IF(C185="","", CHOOSE(MONTH(C185),"January","February","March","April","May","June","July","August","September","October","November","December")&amp;" "&amp;DAY(C185)&amp;MID("thstndrdth",MIN(9,2*RIGHT(DAY(C185))*(MOD(DAY(C185)-11,100)&gt;2)+1),2)&amp;","&amp;TEXT(C185," yyyy"))</f>
        <v>October 1st,2020</v>
      </c>
      <c r="AB185" s="15" t="str">
        <f aca="true">IF(S185="","",DATEDIF(S185,TODAY(),"Y")&amp;" Tahun, "&amp;DATEDIF(S185,TODAY(),"YM")&amp;" Bulan, "&amp;DATEDIF(S185,TODAY(),"MD")&amp;" Hari")</f>
        <v>47 Tahun, 5 Bulan, 22 Hari</v>
      </c>
      <c r="AC185" s="18" t="n">
        <v>45566</v>
      </c>
      <c r="AD185" s="18" t="n">
        <v>45930</v>
      </c>
      <c r="AE185" s="18" t="s">
        <v>44</v>
      </c>
    </row>
    <row r="186" customFormat="false" ht="15" hidden="false" customHeight="true" outlineLevel="0" collapsed="false">
      <c r="A186" s="12" t="n">
        <v>1429</v>
      </c>
      <c r="B186" s="13" t="s">
        <v>869</v>
      </c>
      <c r="C186" s="14" t="n">
        <v>44105</v>
      </c>
      <c r="D186" s="13" t="s">
        <v>774</v>
      </c>
      <c r="E186" s="15" t="s">
        <v>47</v>
      </c>
      <c r="F186" s="15" t="str">
        <f aca="false">IFERROR(__xludf.dummyfunction("XLOOKUP(AJ186,IMPORTRANGE(""1XaInW9DU9nz21V0tYIfzFQ0He9kVQ_JF2mCXgZ3hqFA"",""REKAP ALL 2026 - Andika!G:G""),IMPORTRANGE(""1XaInW9DU9nz21V0tYIfzFQ0He9kVQ_JF2mCXgZ3hqFA"",""REKAP ALL 2026 - Andika!F:F""),"""",0)"),"14020580594")</f>
        <v>14020580594</v>
      </c>
      <c r="G186" s="13" t="s">
        <v>870</v>
      </c>
      <c r="H186" s="13" t="s">
        <v>49</v>
      </c>
      <c r="I186" s="13" t="str">
        <f aca="false">IF(C186=J186,"NEW KONTRAK","RE-KONTRAK")</f>
        <v>RE-KONTRAK</v>
      </c>
      <c r="J186" s="16" t="n">
        <f aca="false" t="array" ref="J186:J186">IFERROR(INDEX(AC186:AE186,IF(COUNTA(AC186:AE186)=0,"",MAX((AC186:AE186&lt;&gt;"")*(COLUMN(AC186:AE186)-(COLUMN(AC186)))))-1),"")</f>
        <v>45566</v>
      </c>
      <c r="K186" s="16" t="n">
        <f aca="false" t="array" ref="K186:K186">IFERROR(INDEX(AC186:AE186,IF(COUNTA(AC186:AE186)=0,"",MAX((AC186:AE186&lt;&gt;"")*(COLUMN(AC186:AE186)-(COLUMN(AC186)-1))))-1),"")</f>
        <v>45930</v>
      </c>
      <c r="L186" s="17" t="str">
        <f aca="false" t="array" ref="L186:L186">IFERROR(INDEX(AC186:AE186,IF(COUNTA(AC186:AE186)=0,"",MAX((AC186:AE186&lt;&gt;"")*(COLUMN(AC186:AE186)-(COLUMN(AC186)-2))))-1),"")</f>
        <v>ARCHIVED</v>
      </c>
      <c r="M186" s="13" t="n">
        <f aca="true">K186-TODAY()</f>
        <v>-394</v>
      </c>
      <c r="N186" s="18" t="s">
        <v>36</v>
      </c>
      <c r="O186" s="13" t="s">
        <v>871</v>
      </c>
      <c r="P186" s="19" t="n">
        <v>5195500</v>
      </c>
      <c r="Q186" s="20" t="s">
        <v>872</v>
      </c>
      <c r="R186" s="13" t="s">
        <v>65</v>
      </c>
      <c r="S186" s="14" t="n">
        <v>26782</v>
      </c>
      <c r="T186" s="13" t="s">
        <v>40</v>
      </c>
      <c r="U186" s="13" t="s">
        <v>873</v>
      </c>
      <c r="V186" s="13" t="s">
        <v>42</v>
      </c>
      <c r="W186" s="13" t="s">
        <v>54</v>
      </c>
      <c r="X186" s="21" t="n">
        <v>81232106973</v>
      </c>
      <c r="Y186" s="22" t="str">
        <f aca="false">O186</f>
        <v>Cutting</v>
      </c>
      <c r="Z186" s="13" t="str">
        <f aca="false">IFERROR(__xludf.dummyfunction("if(BJ186="""","""",GOOGLETRANSLATE(BJ186,""auto"",""en""))"),"Cutting")</f>
        <v>Cutting</v>
      </c>
      <c r="AA186" s="23" t="str">
        <f aca="false">IF(C186="","", CHOOSE(MONTH(C186),"January","February","March","April","May","June","July","August","September","October","November","December")&amp;" "&amp;DAY(C186)&amp;MID("thstndrdth",MIN(9,2*RIGHT(DAY(C186))*(MOD(DAY(C186)-11,100)&gt;2)+1),2)&amp;","&amp;TEXT(C186," yyyy"))</f>
        <v>October 1st,2020</v>
      </c>
      <c r="AB186" s="15" t="str">
        <f aca="true">IF(S186="","",DATEDIF(S186,TODAY(),"Y")&amp;" Tahun, "&amp;DATEDIF(S186,TODAY(),"YM")&amp;" Bulan, "&amp;DATEDIF(S186,TODAY(),"MD")&amp;" Hari")</f>
        <v>53 Tahun, 6 Bulan, 1 Hari</v>
      </c>
      <c r="AC186" s="18" t="n">
        <v>45566</v>
      </c>
      <c r="AD186" s="18" t="n">
        <v>45930</v>
      </c>
      <c r="AE186" s="18" t="s">
        <v>44</v>
      </c>
    </row>
    <row r="187" customFormat="false" ht="15" hidden="false" customHeight="true" outlineLevel="0" collapsed="false">
      <c r="A187" s="12" t="n">
        <v>1430</v>
      </c>
      <c r="B187" s="13" t="s">
        <v>874</v>
      </c>
      <c r="C187" s="14" t="n">
        <v>44200</v>
      </c>
      <c r="D187" s="13" t="s">
        <v>774</v>
      </c>
      <c r="E187" s="15" t="s">
        <v>536</v>
      </c>
      <c r="F187" s="24" t="s">
        <v>875</v>
      </c>
      <c r="G187" s="13" t="s">
        <v>876</v>
      </c>
      <c r="H187" s="13" t="s">
        <v>49</v>
      </c>
      <c r="I187" s="13" t="str">
        <f aca="false">IF(C187=J187,"NEW KONTRAK","RE-KONTRAK")</f>
        <v>RE-KONTRAK</v>
      </c>
      <c r="J187" s="16" t="n">
        <f aca="false" t="array" ref="J187:J187">IFERROR(INDEX(AC187:AE187,IF(COUNTA(AC187:AE187)=0,"",MAX((AC187:AE187&lt;&gt;"")*(COLUMN(AC187:AE187)-(COLUMN(AC187)))))-1),"")</f>
        <v>45566</v>
      </c>
      <c r="K187" s="16" t="n">
        <f aca="false" t="array" ref="K187:K187">IFERROR(INDEX(AC187:AE187,IF(COUNTA(AC187:AE187)=0,"",MAX((AC187:AE187&lt;&gt;"")*(COLUMN(AC187:AE187)-(COLUMN(AC187)-1))))-1),"")</f>
        <v>45930</v>
      </c>
      <c r="L187" s="17" t="str">
        <f aca="false" t="array" ref="L187:L187">IFERROR(INDEX(AC187:AE187,IF(COUNTA(AC187:AE187)=0,"",MAX((AC187:AE187&lt;&gt;"")*(COLUMN(AC187:AE187)-(COLUMN(AC187)-2))))-1),"")</f>
        <v>ARCHIVED</v>
      </c>
      <c r="M187" s="13" t="n">
        <f aca="true">K187-TODAY()</f>
        <v>-394</v>
      </c>
      <c r="N187" s="18" t="s">
        <v>36</v>
      </c>
      <c r="O187" s="13" t="s">
        <v>877</v>
      </c>
      <c r="P187" s="19" t="n">
        <v>3500000</v>
      </c>
      <c r="Q187" s="20" t="s">
        <v>878</v>
      </c>
      <c r="R187" s="13" t="s">
        <v>879</v>
      </c>
      <c r="S187" s="14" t="n">
        <v>25255</v>
      </c>
      <c r="T187" s="13" t="s">
        <v>40</v>
      </c>
      <c r="U187" s="13" t="s">
        <v>880</v>
      </c>
      <c r="V187" s="13" t="s">
        <v>42</v>
      </c>
      <c r="W187" s="13" t="s">
        <v>54</v>
      </c>
      <c r="X187" s="21" t="n">
        <v>85732289951</v>
      </c>
      <c r="Y187" s="22" t="str">
        <f aca="false">O187</f>
        <v>OB</v>
      </c>
      <c r="Z187" s="13" t="str">
        <f aca="false">IFERROR(__xludf.dummyfunction("if(BJ187="""","""",GOOGLETRANSLATE(BJ187,""auto"",""en""))"),"ABOUT")</f>
        <v>ABOUT</v>
      </c>
      <c r="AA187" s="23" t="str">
        <f aca="false">IF(C187="","", CHOOSE(MONTH(C187),"January","February","March","April","May","June","July","August","September","October","November","December")&amp;" "&amp;DAY(C187)&amp;MID("thstndrdth",MIN(9,2*RIGHT(DAY(C187))*(MOD(DAY(C187)-11,100)&gt;2)+1),2)&amp;","&amp;TEXT(C187," yyyy"))</f>
        <v>January 4th,2021</v>
      </c>
      <c r="AB187" s="15" t="str">
        <f aca="true">IF(S187="","",DATEDIF(S187,TODAY(),"Y")&amp;" Tahun, "&amp;DATEDIF(S187,TODAY(),"YM")&amp;" Bulan, "&amp;DATEDIF(S187,TODAY(),"MD")&amp;" Hari")</f>
        <v>57 Tahun, 8 Bulan, 8 Hari</v>
      </c>
      <c r="AC187" s="18" t="n">
        <v>45566</v>
      </c>
      <c r="AD187" s="18" t="n">
        <v>45930</v>
      </c>
      <c r="AE187" s="18" t="s">
        <v>44</v>
      </c>
    </row>
    <row r="188" customFormat="false" ht="15" hidden="false" customHeight="true" outlineLevel="0" collapsed="false">
      <c r="A188" s="12" t="n">
        <v>1431</v>
      </c>
      <c r="B188" s="13" t="s">
        <v>881</v>
      </c>
      <c r="C188" s="14" t="n">
        <v>44105</v>
      </c>
      <c r="D188" s="13" t="s">
        <v>774</v>
      </c>
      <c r="E188" s="15" t="s">
        <v>789</v>
      </c>
      <c r="F188" s="15" t="str">
        <f aca="false">IFERROR(__xludf.dummyfunction("XLOOKUP(AJ188,IMPORTRANGE(""1XaInW9DU9nz21V0tYIfzFQ0He9kVQ_JF2mCXgZ3hqFA"",""REKAP ALL 2026 - Andika!G:G""),IMPORTRANGE(""1XaInW9DU9nz21V0tYIfzFQ0He9kVQ_JF2mCXgZ3hqFA"",""REKAP ALL 2026 - Andika!F:F""),"""",0)"),"14020580545")</f>
        <v>14020580545</v>
      </c>
      <c r="G188" s="13" t="s">
        <v>882</v>
      </c>
      <c r="H188" s="13" t="s">
        <v>49</v>
      </c>
      <c r="I188" s="13" t="str">
        <f aca="false">IF(C188=J188,"NEW KONTRAK","RE-KONTRAK")</f>
        <v>RE-KONTRAK</v>
      </c>
      <c r="J188" s="16" t="n">
        <f aca="false" t="array" ref="J188:J188">IFERROR(INDEX(AC188:AE188,IF(COUNTA(AC188:AE188)=0,"",MAX((AC188:AE188&lt;&gt;"")*(COLUMN(AC188:AE188)-(COLUMN(AC188)))))-1),"")</f>
        <v>45566</v>
      </c>
      <c r="K188" s="16" t="n">
        <f aca="false" t="array" ref="K188:K188">IFERROR(INDEX(AC188:AE188,IF(COUNTA(AC188:AE188)=0,"",MAX((AC188:AE188&lt;&gt;"")*(COLUMN(AC188:AE188)-(COLUMN(AC188)-1))))-1),"")</f>
        <v>45930</v>
      </c>
      <c r="L188" s="17" t="str">
        <f aca="false" t="array" ref="L188:L188">IFERROR(INDEX(AC188:AE188,IF(COUNTA(AC188:AE188)=0,"",MAX((AC188:AE188&lt;&gt;"")*(COLUMN(AC188:AE188)-(COLUMN(AC188)-2))))-1),"")</f>
        <v>ARCHIVED</v>
      </c>
      <c r="M188" s="13" t="n">
        <f aca="true">K188-TODAY()</f>
        <v>-394</v>
      </c>
      <c r="N188" s="18" t="s">
        <v>36</v>
      </c>
      <c r="O188" s="13" t="s">
        <v>58</v>
      </c>
      <c r="P188" s="19" t="n">
        <v>4874133</v>
      </c>
      <c r="Q188" s="20" t="s">
        <v>883</v>
      </c>
      <c r="R188" s="13" t="s">
        <v>65</v>
      </c>
      <c r="S188" s="14" t="n">
        <v>25146</v>
      </c>
      <c r="T188" s="13" t="s">
        <v>40</v>
      </c>
      <c r="U188" s="13" t="s">
        <v>545</v>
      </c>
      <c r="V188" s="13" t="s">
        <v>42</v>
      </c>
      <c r="W188" s="13" t="s">
        <v>54</v>
      </c>
      <c r="X188" s="21" t="n">
        <v>895384126662</v>
      </c>
      <c r="Y188" s="22" t="str">
        <f aca="false">O188</f>
        <v>Produksi</v>
      </c>
      <c r="Z188" s="13" t="str">
        <f aca="false">IFERROR(__xludf.dummyfunction("if(BJ188="""","""",GOOGLETRANSLATE(BJ188,""auto"",""en""))"),"Production")</f>
        <v>Production</v>
      </c>
      <c r="AA188" s="23" t="str">
        <f aca="false">IF(C188="","", CHOOSE(MONTH(C188),"January","February","March","April","May","June","July","August","September","October","November","December")&amp;" "&amp;DAY(C188)&amp;MID("thstndrdth",MIN(9,2*RIGHT(DAY(C188))*(MOD(DAY(C188)-11,100)&gt;2)+1),2)&amp;","&amp;TEXT(C188," yyyy"))</f>
        <v>October 1st,2020</v>
      </c>
      <c r="AB188" s="15" t="str">
        <f aca="true">IF(S188="","",DATEDIF(S188,TODAY(),"Y")&amp;" Tahun, "&amp;DATEDIF(S188,TODAY(),"YM")&amp;" Bulan, "&amp;DATEDIF(S188,TODAY(),"MD")&amp;" Hari")</f>
        <v>57 Tahun, 11 Bulan, 25 Hari</v>
      </c>
      <c r="AC188" s="18" t="n">
        <v>45566</v>
      </c>
      <c r="AD188" s="18" t="n">
        <v>45930</v>
      </c>
      <c r="AE188" s="18" t="s">
        <v>44</v>
      </c>
    </row>
    <row r="189" customFormat="false" ht="15" hidden="false" customHeight="true" outlineLevel="0" collapsed="false">
      <c r="A189" s="12" t="n">
        <v>1457</v>
      </c>
      <c r="B189" s="13" t="s">
        <v>884</v>
      </c>
      <c r="C189" s="14" t="n">
        <v>43467</v>
      </c>
      <c r="D189" s="13" t="s">
        <v>885</v>
      </c>
      <c r="E189" s="15" t="s">
        <v>47</v>
      </c>
      <c r="F189" s="15" t="str">
        <f aca="false">IFERROR(__xludf.dummyfunction("XLOOKUP(AJ189,IMPORTRANGE(""1XaInW9DU9nz21V0tYIfzFQ0He9kVQ_JF2mCXgZ3hqFA"",""REKAP ALL 2026 - Andika!G:G""),IMPORTRANGE(""1XaInW9DU9nz21V0tYIfzFQ0He9kVQ_JF2mCXgZ3hqFA"",""REKAP ALL 2026 - Andika!F:F""),"""",0)"),"15047559933")</f>
        <v>15047559933</v>
      </c>
      <c r="G189" s="13" t="s">
        <v>886</v>
      </c>
      <c r="H189" s="13" t="s">
        <v>35</v>
      </c>
      <c r="I189" s="13" t="str">
        <f aca="false">IF(C189=J189,"NEW KONTRAK","RE-KONTRAK")</f>
        <v>RE-KONTRAK</v>
      </c>
      <c r="J189" s="16" t="n">
        <f aca="false" t="array" ref="J189:J189">IFERROR(INDEX(AC189:AE189,IF(COUNTA(AC189:AE189)=0,"",MAX((AC189:AE189&lt;&gt;"")*(COLUMN(AC189:AE189)-(COLUMN(AC189)))))-1),"")</f>
        <v>45839</v>
      </c>
      <c r="K189" s="16" t="n">
        <f aca="false" t="array" ref="K189:K189">IFERROR(INDEX(AC189:AE189,IF(COUNTA(AC189:AE189)=0,"",MAX((AC189:AE189&lt;&gt;"")*(COLUMN(AC189:AE189)-(COLUMN(AC189)-1))))-1),"")</f>
        <v>46022</v>
      </c>
      <c r="L189" s="17" t="str">
        <f aca="false" t="array" ref="L189:L189">IFERROR(INDEX(AC189:AE189,IF(COUNTA(AC189:AE189)=0,"",MAX((AC189:AE189&lt;&gt;"")*(COLUMN(AC189:AE189)-(COLUMN(AC189)-2))))-1),"")</f>
        <v>ARCHIVED</v>
      </c>
      <c r="M189" s="13" t="n">
        <f aca="true">K189-TODAY()</f>
        <v>-302</v>
      </c>
      <c r="N189" s="18" t="s">
        <v>728</v>
      </c>
      <c r="O189" s="13" t="s">
        <v>58</v>
      </c>
      <c r="P189" s="27" t="n">
        <v>5176101</v>
      </c>
      <c r="Q189" s="20" t="s">
        <v>887</v>
      </c>
      <c r="R189" s="13" t="s">
        <v>65</v>
      </c>
      <c r="S189" s="14" t="n">
        <v>34308</v>
      </c>
      <c r="T189" s="13" t="s">
        <v>40</v>
      </c>
      <c r="U189" s="13" t="s">
        <v>888</v>
      </c>
      <c r="V189" s="13" t="s">
        <v>42</v>
      </c>
      <c r="W189" s="13" t="s">
        <v>43</v>
      </c>
      <c r="X189" s="21" t="n">
        <v>81216222865</v>
      </c>
      <c r="Y189" s="22" t="str">
        <f aca="false">O189</f>
        <v>Produksi</v>
      </c>
      <c r="Z189" s="13" t="str">
        <f aca="false">IFERROR(__xludf.dummyfunction("if(BJ189="""","""",GOOGLETRANSLATE(BJ189,""auto"",""en""))"),"Production")</f>
        <v>Production</v>
      </c>
      <c r="AA189" s="23" t="str">
        <f aca="false">IF(C189="","", CHOOSE(MONTH(C189),"January","February","March","April","May","June","July","August","September","October","November","December")&amp;" "&amp;DAY(C189)&amp;MID("thstndrdth",MIN(9,2*RIGHT(DAY(C189))*(MOD(DAY(C189)-11,100)&gt;2)+1),2)&amp;","&amp;TEXT(C189," yyyy"))</f>
        <v>January 2nd,2019</v>
      </c>
      <c r="AB189" s="15" t="str">
        <f aca="true">IF(S189="","",DATEDIF(S189,TODAY(),"Y")&amp;" Tahun, "&amp;DATEDIF(S189,TODAY(),"YM")&amp;" Bulan, "&amp;DATEDIF(S189,TODAY(),"MD")&amp;" Hari")</f>
        <v>32 Tahun, 10 Bulan, 24 Hari</v>
      </c>
      <c r="AC189" s="18" t="n">
        <v>45839</v>
      </c>
      <c r="AD189" s="18" t="n">
        <v>46022</v>
      </c>
      <c r="AE189" s="18" t="s">
        <v>44</v>
      </c>
    </row>
    <row r="190" customFormat="false" ht="15" hidden="false" customHeight="true" outlineLevel="0" collapsed="false">
      <c r="A190" s="12" t="n">
        <v>1459</v>
      </c>
      <c r="B190" s="13" t="s">
        <v>889</v>
      </c>
      <c r="C190" s="14" t="n">
        <v>43467</v>
      </c>
      <c r="D190" s="13" t="s">
        <v>885</v>
      </c>
      <c r="E190" s="15" t="s">
        <v>47</v>
      </c>
      <c r="F190" s="15" t="str">
        <f aca="false">IFERROR(__xludf.dummyfunction("XLOOKUP(AJ190,IMPORTRANGE(""1XaInW9DU9nz21V0tYIfzFQ0He9kVQ_JF2mCXgZ3hqFA"",""REKAP ALL 2026 - Andika!G:G""),IMPORTRANGE(""1XaInW9DU9nz21V0tYIfzFQ0He9kVQ_JF2mCXgZ3hqFA"",""REKAP ALL 2026 - Andika!F:F""),"""",0)"),"19000866475")</f>
        <v>19000866475</v>
      </c>
      <c r="G190" s="13" t="s">
        <v>890</v>
      </c>
      <c r="H190" s="13" t="s">
        <v>35</v>
      </c>
      <c r="I190" s="13" t="str">
        <f aca="false">IF(C190=J190,"NEW KONTRAK","RE-KONTRAK")</f>
        <v>RE-KONTRAK</v>
      </c>
      <c r="J190" s="16" t="n">
        <f aca="false" t="array" ref="J190:J190">IFERROR(INDEX(AC190:AE190,IF(COUNTA(AC190:AE190)=0,"",MAX((AC190:AE190&lt;&gt;"")*(COLUMN(AC190:AE190)-(COLUMN(AC190)))))-1),"")</f>
        <v>45658</v>
      </c>
      <c r="K190" s="16" t="n">
        <f aca="false" t="array" ref="K190:K190">IFERROR(INDEX(AC190:AE190,IF(COUNTA(AC190:AE190)=0,"",MAX((AC190:AE190&lt;&gt;"")*(COLUMN(AC190:AE190)-(COLUMN(AC190)-1))))-1),"")</f>
        <v>46022</v>
      </c>
      <c r="L190" s="17" t="str">
        <f aca="false" t="array" ref="L190:L190">IFERROR(INDEX(AC190:AE190,IF(COUNTA(AC190:AE190)=0,"",MAX((AC190:AE190&lt;&gt;"")*(COLUMN(AC190:AE190)-(COLUMN(AC190)-2))))-1),"")</f>
        <v>ARCHIVED</v>
      </c>
      <c r="M190" s="13" t="n">
        <f aca="true">K190-TODAY()</f>
        <v>-302</v>
      </c>
      <c r="N190" s="18" t="s">
        <v>728</v>
      </c>
      <c r="O190" s="13" t="s">
        <v>58</v>
      </c>
      <c r="P190" s="27" t="n">
        <v>5176101</v>
      </c>
      <c r="Q190" s="20" t="s">
        <v>891</v>
      </c>
      <c r="R190" s="13" t="s">
        <v>73</v>
      </c>
      <c r="S190" s="14" t="n">
        <v>35201</v>
      </c>
      <c r="T190" s="13" t="s">
        <v>40</v>
      </c>
      <c r="U190" s="13" t="s">
        <v>892</v>
      </c>
      <c r="V190" s="13" t="s">
        <v>42</v>
      </c>
      <c r="W190" s="13" t="s">
        <v>54</v>
      </c>
      <c r="X190" s="21" t="n">
        <v>81515613932</v>
      </c>
      <c r="Y190" s="22" t="str">
        <f aca="false">O190</f>
        <v>Produksi</v>
      </c>
      <c r="Z190" s="13" t="str">
        <f aca="false">IFERROR(__xludf.dummyfunction("if(BJ190="""","""",GOOGLETRANSLATE(BJ190,""auto"",""en""))"),"Production")</f>
        <v>Production</v>
      </c>
      <c r="AA190" s="23" t="str">
        <f aca="false">IF(C190="","", CHOOSE(MONTH(C190),"January","February","March","April","May","June","July","August","September","October","November","December")&amp;" "&amp;DAY(C190)&amp;MID("thstndrdth",MIN(9,2*RIGHT(DAY(C190))*(MOD(DAY(C190)-11,100)&gt;2)+1),2)&amp;","&amp;TEXT(C190," yyyy"))</f>
        <v>January 2nd,2019</v>
      </c>
      <c r="AB190" s="15" t="str">
        <f aca="true">IF(S190="","",DATEDIF(S190,TODAY(),"Y")&amp;" Tahun, "&amp;DATEDIF(S190,TODAY(),"YM")&amp;" Bulan, "&amp;DATEDIF(S190,TODAY(),"MD")&amp;" Hari")</f>
        <v>30 Tahun, 5 Bulan, 13 Hari</v>
      </c>
      <c r="AC190" s="18" t="n">
        <v>45658</v>
      </c>
      <c r="AD190" s="18" t="n">
        <v>46022</v>
      </c>
      <c r="AE190" s="18" t="s">
        <v>44</v>
      </c>
    </row>
    <row r="191" customFormat="false" ht="15" hidden="false" customHeight="true" outlineLevel="0" collapsed="false">
      <c r="A191" s="12" t="n">
        <v>1461</v>
      </c>
      <c r="B191" s="13" t="s">
        <v>893</v>
      </c>
      <c r="C191" s="14" t="n">
        <v>43467</v>
      </c>
      <c r="D191" s="13" t="s">
        <v>885</v>
      </c>
      <c r="E191" s="15" t="s">
        <v>47</v>
      </c>
      <c r="F191" s="15" t="str">
        <f aca="false">IFERROR(__xludf.dummyfunction("XLOOKUP(AJ191,IMPORTRANGE(""1XaInW9DU9nz21V0tYIfzFQ0He9kVQ_JF2mCXgZ3hqFA"",""REKAP ALL 2026 - Andika!G:G""),IMPORTRANGE(""1XaInW9DU9nz21V0tYIfzFQ0He9kVQ_JF2mCXgZ3hqFA"",""REKAP ALL 2026 - Andika!F:F""),"""",0)"),"19000866988")</f>
        <v>19000866988</v>
      </c>
      <c r="G191" s="13" t="s">
        <v>894</v>
      </c>
      <c r="H191" s="13" t="s">
        <v>35</v>
      </c>
      <c r="I191" s="13" t="str">
        <f aca="false">IF(C191=J191,"NEW KONTRAK","RE-KONTRAK")</f>
        <v>RE-KONTRAK</v>
      </c>
      <c r="J191" s="16" t="n">
        <f aca="false" t="array" ref="J191:J191">IFERROR(INDEX(AC191:AE191,IF(COUNTA(AC191:AE191)=0,"",MAX((AC191:AE191&lt;&gt;"")*(COLUMN(AC191:AE191)-(COLUMN(AC191)))))-1),"")</f>
        <v>45839</v>
      </c>
      <c r="K191" s="16" t="n">
        <f aca="false" t="array" ref="K191:K191">IFERROR(INDEX(AC191:AE191,IF(COUNTA(AC191:AE191)=0,"",MAX((AC191:AE191&lt;&gt;"")*(COLUMN(AC191:AE191)-(COLUMN(AC191)-1))))-1),"")</f>
        <v>46022</v>
      </c>
      <c r="L191" s="17" t="str">
        <f aca="false" t="array" ref="L191:L191">IFERROR(INDEX(AC191:AE191,IF(COUNTA(AC191:AE191)=0,"",MAX((AC191:AE191&lt;&gt;"")*(COLUMN(AC191:AE191)-(COLUMN(AC191)-2))))-1),"")</f>
        <v>ARCHIVED</v>
      </c>
      <c r="M191" s="13" t="n">
        <f aca="true">K191-TODAY()</f>
        <v>-302</v>
      </c>
      <c r="N191" s="18" t="s">
        <v>728</v>
      </c>
      <c r="O191" s="13" t="s">
        <v>58</v>
      </c>
      <c r="P191" s="27" t="n">
        <v>5176101</v>
      </c>
      <c r="Q191" s="20" t="s">
        <v>895</v>
      </c>
      <c r="R191" s="13" t="s">
        <v>52</v>
      </c>
      <c r="S191" s="14" t="n">
        <v>30129</v>
      </c>
      <c r="T191" s="13" t="s">
        <v>40</v>
      </c>
      <c r="U191" s="13" t="s">
        <v>896</v>
      </c>
      <c r="V191" s="13" t="s">
        <v>42</v>
      </c>
      <c r="W191" s="13" t="s">
        <v>897</v>
      </c>
      <c r="X191" s="21" t="n">
        <v>89513058080</v>
      </c>
      <c r="Y191" s="22" t="str">
        <f aca="false">O191</f>
        <v>Produksi</v>
      </c>
      <c r="Z191" s="13" t="str">
        <f aca="false">IFERROR(__xludf.dummyfunction("if(BJ191="""","""",GOOGLETRANSLATE(BJ191,""auto"",""en""))"),"Production")</f>
        <v>Production</v>
      </c>
      <c r="AA191" s="23" t="str">
        <f aca="false">IF(C191="","", CHOOSE(MONTH(C191),"January","February","March","April","May","June","July","August","September","October","November","December")&amp;" "&amp;DAY(C191)&amp;MID("thstndrdth",MIN(9,2*RIGHT(DAY(C191))*(MOD(DAY(C191)-11,100)&gt;2)+1),2)&amp;","&amp;TEXT(C191," yyyy"))</f>
        <v>January 2nd,2019</v>
      </c>
      <c r="AB191" s="15" t="str">
        <f aca="true">IF(S191="","",DATEDIF(S191,TODAY(),"Y")&amp;" Tahun, "&amp;DATEDIF(S191,TODAY(),"YM")&amp;" Bulan, "&amp;DATEDIF(S191,TODAY(),"MD")&amp;" Hari")</f>
        <v>44 Tahun, 4 Bulan, 2 Hari</v>
      </c>
      <c r="AC191" s="18" t="n">
        <v>45839</v>
      </c>
      <c r="AD191" s="18" t="n">
        <v>46022</v>
      </c>
      <c r="AE191" s="18" t="s">
        <v>44</v>
      </c>
    </row>
    <row r="192" customFormat="false" ht="15" hidden="false" customHeight="true" outlineLevel="0" collapsed="false">
      <c r="A192" s="12" t="n">
        <v>1463</v>
      </c>
      <c r="B192" s="13" t="s">
        <v>898</v>
      </c>
      <c r="C192" s="14" t="n">
        <v>43467</v>
      </c>
      <c r="D192" s="13" t="s">
        <v>885</v>
      </c>
      <c r="E192" s="15" t="s">
        <v>47</v>
      </c>
      <c r="F192" s="15" t="str">
        <f aca="false">IFERROR(__xludf.dummyfunction("XLOOKUP(AJ192,IMPORTRANGE(""1XaInW9DU9nz21V0tYIfzFQ0He9kVQ_JF2mCXgZ3hqFA"",""REKAP ALL 2026 - Andika!G:G""),IMPORTRANGE(""1XaInW9DU9nz21V0tYIfzFQ0He9kVQ_JF2mCXgZ3hqFA"",""REKAP ALL 2026 - Andika!F:F""),"""",0)"),"15008841544")</f>
        <v>15008841544</v>
      </c>
      <c r="G192" s="13" t="s">
        <v>899</v>
      </c>
      <c r="H192" s="13" t="s">
        <v>35</v>
      </c>
      <c r="I192" s="13" t="str">
        <f aca="false">IF(C192=J192,"NEW KONTRAK","RE-KONTRAK")</f>
        <v>RE-KONTRAK</v>
      </c>
      <c r="J192" s="16" t="n">
        <f aca="false" t="array" ref="J192:J192">IFERROR(INDEX(AC192:AE192,IF(COUNTA(AC192:AE192)=0,"",MAX((AC192:AE192&lt;&gt;"")*(COLUMN(AC192:AE192)-(COLUMN(AC192)))))-1),"")</f>
        <v>45658</v>
      </c>
      <c r="K192" s="16" t="n">
        <f aca="false" t="array" ref="K192:K192">IFERROR(INDEX(AC192:AE192,IF(COUNTA(AC192:AE192)=0,"",MAX((AC192:AE192&lt;&gt;"")*(COLUMN(AC192:AE192)-(COLUMN(AC192)-1))))-1),"")</f>
        <v>46022</v>
      </c>
      <c r="L192" s="17" t="str">
        <f aca="false" t="array" ref="L192:L192">IFERROR(INDEX(AC192:AE192,IF(COUNTA(AC192:AE192)=0,"",MAX((AC192:AE192&lt;&gt;"")*(COLUMN(AC192:AE192)-(COLUMN(AC192)-2))))-1),"")</f>
        <v>ARCHIVED</v>
      </c>
      <c r="M192" s="13" t="n">
        <f aca="true">K192-TODAY()</f>
        <v>-302</v>
      </c>
      <c r="N192" s="18" t="s">
        <v>728</v>
      </c>
      <c r="O192" s="13" t="s">
        <v>58</v>
      </c>
      <c r="P192" s="27" t="n">
        <v>5176101</v>
      </c>
      <c r="Q192" s="20" t="s">
        <v>900</v>
      </c>
      <c r="R192" s="13" t="s">
        <v>52</v>
      </c>
      <c r="S192" s="14" t="n">
        <v>34357</v>
      </c>
      <c r="T192" s="13" t="s">
        <v>40</v>
      </c>
      <c r="U192" s="13" t="s">
        <v>901</v>
      </c>
      <c r="V192" s="13" t="s">
        <v>42</v>
      </c>
      <c r="W192" s="13" t="s">
        <v>43</v>
      </c>
      <c r="X192" s="21" t="n">
        <v>83830801656</v>
      </c>
      <c r="Y192" s="22" t="str">
        <f aca="false">O192</f>
        <v>Produksi</v>
      </c>
      <c r="Z192" s="13" t="str">
        <f aca="false">IFERROR(__xludf.dummyfunction("if(BJ192="""","""",GOOGLETRANSLATE(BJ192,""auto"",""en""))"),"Production")</f>
        <v>Production</v>
      </c>
      <c r="AA192" s="23" t="str">
        <f aca="false">IF(C192="","", CHOOSE(MONTH(C192),"January","February","March","April","May","June","July","August","September","October","November","December")&amp;" "&amp;DAY(C192)&amp;MID("thstndrdth",MIN(9,2*RIGHT(DAY(C192))*(MOD(DAY(C192)-11,100)&gt;2)+1),2)&amp;","&amp;TEXT(C192," yyyy"))</f>
        <v>January 2nd,2019</v>
      </c>
      <c r="AB192" s="15" t="str">
        <f aca="true">IF(S192="","",DATEDIF(S192,TODAY(),"Y")&amp;" Tahun, "&amp;DATEDIF(S192,TODAY(),"YM")&amp;" Bulan, "&amp;DATEDIF(S192,TODAY(),"MD")&amp;" Hari")</f>
        <v>32 Tahun, 9 Bulan, 6 Hari</v>
      </c>
      <c r="AC192" s="18" t="n">
        <v>45658</v>
      </c>
      <c r="AD192" s="18" t="n">
        <v>46022</v>
      </c>
      <c r="AE192" s="18" t="s">
        <v>44</v>
      </c>
    </row>
    <row r="193" customFormat="false" ht="15" hidden="false" customHeight="true" outlineLevel="0" collapsed="false">
      <c r="A193" s="12" t="n">
        <v>1464</v>
      </c>
      <c r="B193" s="13" t="s">
        <v>902</v>
      </c>
      <c r="C193" s="14" t="n">
        <v>43467</v>
      </c>
      <c r="D193" s="13" t="s">
        <v>885</v>
      </c>
      <c r="E193" s="15" t="s">
        <v>47</v>
      </c>
      <c r="F193" s="15" t="str">
        <f aca="false">IFERROR(__xludf.dummyfunction("XLOOKUP(AJ193,IMPORTRANGE(""1XaInW9DU9nz21V0tYIfzFQ0He9kVQ_JF2mCXgZ3hqFA"",""REKAP ALL 2026 - Andika!G:G""),IMPORTRANGE(""1XaInW9DU9nz21V0tYIfzFQ0He9kVQ_JF2mCXgZ3hqFA"",""REKAP ALL 2026 - Andika!F:F""),"""",0)"),"19000866541")</f>
        <v>19000866541</v>
      </c>
      <c r="G193" s="13" t="s">
        <v>903</v>
      </c>
      <c r="H193" s="13" t="s">
        <v>35</v>
      </c>
      <c r="I193" s="13" t="str">
        <f aca="false">IF(C193=J193,"NEW KONTRAK","RE-KONTRAK")</f>
        <v>RE-KONTRAK</v>
      </c>
      <c r="J193" s="16" t="n">
        <f aca="false" t="array" ref="J193:J193">IFERROR(INDEX(AC193:AE193,IF(COUNTA(AC193:AE193)=0,"",MAX((AC193:AE193&lt;&gt;"")*(COLUMN(AC193:AE193)-(COLUMN(AC193)))))-1),"")</f>
        <v>45658</v>
      </c>
      <c r="K193" s="16" t="n">
        <f aca="false" t="array" ref="K193:K193">IFERROR(INDEX(AC193:AE193,IF(COUNTA(AC193:AE193)=0,"",MAX((AC193:AE193&lt;&gt;"")*(COLUMN(AC193:AE193)-(COLUMN(AC193)-1))))-1),"")</f>
        <v>46022</v>
      </c>
      <c r="L193" s="17" t="str">
        <f aca="false" t="array" ref="L193:L193">IFERROR(INDEX(AC193:AE193,IF(COUNTA(AC193:AE193)=0,"",MAX((AC193:AE193&lt;&gt;"")*(COLUMN(AC193:AE193)-(COLUMN(AC193)-2))))-1),"")</f>
        <v>ARCHIVED</v>
      </c>
      <c r="M193" s="13" t="n">
        <f aca="true">K193-TODAY()</f>
        <v>-302</v>
      </c>
      <c r="N193" s="18" t="s">
        <v>728</v>
      </c>
      <c r="O193" s="13" t="s">
        <v>58</v>
      </c>
      <c r="P193" s="27" t="n">
        <v>5176101</v>
      </c>
      <c r="Q193" s="20" t="s">
        <v>904</v>
      </c>
      <c r="R193" s="13" t="s">
        <v>39</v>
      </c>
      <c r="S193" s="14" t="n">
        <v>34506</v>
      </c>
      <c r="T193" s="13" t="s">
        <v>40</v>
      </c>
      <c r="U193" s="13" t="s">
        <v>905</v>
      </c>
      <c r="V193" s="13" t="s">
        <v>42</v>
      </c>
      <c r="W193" s="13" t="s">
        <v>54</v>
      </c>
      <c r="X193" s="21" t="n">
        <v>85645764811</v>
      </c>
      <c r="Y193" s="22" t="str">
        <f aca="false">O193</f>
        <v>Produksi</v>
      </c>
      <c r="Z193" s="13" t="str">
        <f aca="false">IFERROR(__xludf.dummyfunction("if(BJ193="""","""",GOOGLETRANSLATE(BJ193,""auto"",""en""))"),"Production")</f>
        <v>Production</v>
      </c>
      <c r="AA193" s="23" t="str">
        <f aca="false">IF(C193="","", CHOOSE(MONTH(C193),"January","February","March","April","May","June","July","August","September","October","November","December")&amp;" "&amp;DAY(C193)&amp;MID("thstndrdth",MIN(9,2*RIGHT(DAY(C193))*(MOD(DAY(C193)-11,100)&gt;2)+1),2)&amp;","&amp;TEXT(C193," yyyy"))</f>
        <v>January 2nd,2019</v>
      </c>
      <c r="AB193" s="15" t="str">
        <f aca="true">IF(S193="","",DATEDIF(S193,TODAY(),"Y")&amp;" Tahun, "&amp;DATEDIF(S193,TODAY(),"YM")&amp;" Bulan, "&amp;DATEDIF(S193,TODAY(),"MD")&amp;" Hari")</f>
        <v>32 Tahun, 4 Bulan, 8 Hari</v>
      </c>
      <c r="AC193" s="18" t="n">
        <v>45658</v>
      </c>
      <c r="AD193" s="18" t="n">
        <v>46022</v>
      </c>
      <c r="AE193" s="18" t="s">
        <v>44</v>
      </c>
    </row>
    <row r="194" customFormat="false" ht="15" hidden="false" customHeight="true" outlineLevel="0" collapsed="false">
      <c r="A194" s="12" t="n">
        <v>1466</v>
      </c>
      <c r="B194" s="13" t="s">
        <v>906</v>
      </c>
      <c r="C194" s="14" t="n">
        <v>43467</v>
      </c>
      <c r="D194" s="13" t="s">
        <v>885</v>
      </c>
      <c r="E194" s="15" t="s">
        <v>47</v>
      </c>
      <c r="F194" s="15" t="str">
        <f aca="false">IFERROR(__xludf.dummyfunction("XLOOKUP(AJ194,IMPORTRANGE(""1XaInW9DU9nz21V0tYIfzFQ0He9kVQ_JF2mCXgZ3hqFA"",""REKAP ALL 2026 - Andika!G:G""),IMPORTRANGE(""1XaInW9DU9nz21V0tYIfzFQ0He9kVQ_JF2mCXgZ3hqFA"",""REKAP ALL 2026 - Andika!F:F""),"""",0)"),"19000866566")</f>
        <v>19000866566</v>
      </c>
      <c r="G194" s="13" t="s">
        <v>907</v>
      </c>
      <c r="H194" s="13" t="s">
        <v>35</v>
      </c>
      <c r="I194" s="13" t="str">
        <f aca="false">IF(C194=J194,"NEW KONTRAK","RE-KONTRAK")</f>
        <v>RE-KONTRAK</v>
      </c>
      <c r="J194" s="16" t="n">
        <f aca="false" t="array" ref="J194:J194">IFERROR(INDEX(AC194:AE194,IF(COUNTA(AC194:AE194)=0,"",MAX((AC194:AE194&lt;&gt;"")*(COLUMN(AC194:AE194)-(COLUMN(AC194)))))-1),"")</f>
        <v>45839</v>
      </c>
      <c r="K194" s="16" t="n">
        <f aca="false" t="array" ref="K194:K194">IFERROR(INDEX(AC194:AE194,IF(COUNTA(AC194:AE194)=0,"",MAX((AC194:AE194&lt;&gt;"")*(COLUMN(AC194:AE194)-(COLUMN(AC194)-1))))-1),"")</f>
        <v>46022</v>
      </c>
      <c r="L194" s="17" t="str">
        <f aca="false" t="array" ref="L194:L194">IFERROR(INDEX(AC194:AE194,IF(COUNTA(AC194:AE194)=0,"",MAX((AC194:AE194&lt;&gt;"")*(COLUMN(AC194:AE194)-(COLUMN(AC194)-2))))-1),"")</f>
        <v>ARCHIVED</v>
      </c>
      <c r="M194" s="13" t="n">
        <f aca="true">K194-TODAY()</f>
        <v>-302</v>
      </c>
      <c r="N194" s="18" t="s">
        <v>728</v>
      </c>
      <c r="O194" s="13" t="s">
        <v>58</v>
      </c>
      <c r="P194" s="27" t="n">
        <v>5176101</v>
      </c>
      <c r="Q194" s="20" t="s">
        <v>908</v>
      </c>
      <c r="R194" s="13" t="s">
        <v>52</v>
      </c>
      <c r="S194" s="14" t="n">
        <v>30093</v>
      </c>
      <c r="T194" s="13" t="s">
        <v>40</v>
      </c>
      <c r="U194" s="13" t="s">
        <v>909</v>
      </c>
      <c r="V194" s="13" t="s">
        <v>42</v>
      </c>
      <c r="W194" s="13" t="s">
        <v>54</v>
      </c>
      <c r="X194" s="21" t="n">
        <v>85648503823</v>
      </c>
      <c r="Y194" s="22" t="str">
        <f aca="false">O194</f>
        <v>Produksi</v>
      </c>
      <c r="Z194" s="13" t="str">
        <f aca="false">IFERROR(__xludf.dummyfunction("if(BJ194="""","""",GOOGLETRANSLATE(BJ194,""auto"",""en""))"),"Production")</f>
        <v>Production</v>
      </c>
      <c r="AA194" s="23" t="str">
        <f aca="false">IF(C194="","", CHOOSE(MONTH(C194),"January","February","March","April","May","June","July","August","September","October","November","December")&amp;" "&amp;DAY(C194)&amp;MID("thstndrdth",MIN(9,2*RIGHT(DAY(C194))*(MOD(DAY(C194)-11,100)&gt;2)+1),2)&amp;","&amp;TEXT(C194," yyyy"))</f>
        <v>January 2nd,2019</v>
      </c>
      <c r="AB194" s="15" t="str">
        <f aca="true">IF(S194="","",DATEDIF(S194,TODAY(),"Y")&amp;" Tahun, "&amp;DATEDIF(S194,TODAY(),"YM")&amp;" Bulan, "&amp;DATEDIF(S194,TODAY(),"MD")&amp;" Hari")</f>
        <v>44 Tahun, 5 Bulan, 7 Hari</v>
      </c>
      <c r="AC194" s="18" t="n">
        <v>45839</v>
      </c>
      <c r="AD194" s="18" t="n">
        <v>46022</v>
      </c>
      <c r="AE194" s="18" t="s">
        <v>44</v>
      </c>
    </row>
    <row r="195" customFormat="false" ht="15" hidden="false" customHeight="true" outlineLevel="0" collapsed="false">
      <c r="A195" s="12" t="n">
        <v>1469</v>
      </c>
      <c r="B195" s="13" t="s">
        <v>910</v>
      </c>
      <c r="C195" s="14" t="n">
        <v>44018</v>
      </c>
      <c r="D195" s="13" t="s">
        <v>885</v>
      </c>
      <c r="E195" s="15" t="s">
        <v>47</v>
      </c>
      <c r="F195" s="15" t="str">
        <f aca="false">IFERROR(__xludf.dummyfunction("XLOOKUP(AJ195,IMPORTRANGE(""1XaInW9DU9nz21V0tYIfzFQ0He9kVQ_JF2mCXgZ3hqFA"",""REKAP ALL 2026 - Andika!G:G""),IMPORTRANGE(""1XaInW9DU9nz21V0tYIfzFQ0He9kVQ_JF2mCXgZ3hqFA"",""REKAP ALL 2026 - Andika!F:F""),"""",0)"),"17011689134")</f>
        <v>17011689134</v>
      </c>
      <c r="G195" s="13" t="s">
        <v>911</v>
      </c>
      <c r="H195" s="13" t="s">
        <v>35</v>
      </c>
      <c r="I195" s="13" t="str">
        <f aca="false">IF(C195=J195,"NEW KONTRAK","RE-KONTRAK")</f>
        <v>RE-KONTRAK</v>
      </c>
      <c r="J195" s="16" t="n">
        <f aca="false" t="array" ref="J195:J195">IFERROR(INDEX(AC195:AE195,IF(COUNTA(AC195:AE195)=0,"",MAX((AC195:AE195&lt;&gt;"")*(COLUMN(AC195:AE195)-(COLUMN(AC195)))))-1),"")</f>
        <v>45839</v>
      </c>
      <c r="K195" s="16" t="n">
        <f aca="false" t="array" ref="K195:K195">IFERROR(INDEX(AC195:AE195,IF(COUNTA(AC195:AE195)=0,"",MAX((AC195:AE195&lt;&gt;"")*(COLUMN(AC195:AE195)-(COLUMN(AC195)-1))))-1),"")</f>
        <v>46022</v>
      </c>
      <c r="L195" s="17" t="str">
        <f aca="false" t="array" ref="L195:L195">IFERROR(INDEX(AC195:AE195,IF(COUNTA(AC195:AE195)=0,"",MAX((AC195:AE195&lt;&gt;"")*(COLUMN(AC195:AE195)-(COLUMN(AC195)-2))))-1),"")</f>
        <v>ARCHIVED</v>
      </c>
      <c r="M195" s="13" t="n">
        <f aca="true">K195-TODAY()</f>
        <v>-302</v>
      </c>
      <c r="N195" s="18" t="s">
        <v>728</v>
      </c>
      <c r="O195" s="13" t="s">
        <v>58</v>
      </c>
      <c r="P195" s="27" t="n">
        <v>5176101</v>
      </c>
      <c r="Q195" s="20" t="s">
        <v>912</v>
      </c>
      <c r="R195" s="13" t="s">
        <v>52</v>
      </c>
      <c r="S195" s="14" t="n">
        <v>32093</v>
      </c>
      <c r="T195" s="13" t="s">
        <v>40</v>
      </c>
      <c r="U195" s="13" t="s">
        <v>913</v>
      </c>
      <c r="V195" s="13" t="s">
        <v>42</v>
      </c>
      <c r="W195" s="13" t="s">
        <v>54</v>
      </c>
      <c r="X195" s="21" t="n">
        <v>895396030147</v>
      </c>
      <c r="Y195" s="22" t="str">
        <f aca="false">O195</f>
        <v>Produksi</v>
      </c>
      <c r="Z195" s="13" t="str">
        <f aca="false">IFERROR(__xludf.dummyfunction("if(BJ195="""","""",GOOGLETRANSLATE(BJ195,""auto"",""en""))"),"Production")</f>
        <v>Production</v>
      </c>
      <c r="AA195" s="23" t="str">
        <f aca="false">IF(C195="","", CHOOSE(MONTH(C195),"January","February","March","April","May","June","July","August","September","October","November","December")&amp;" "&amp;DAY(C195)&amp;MID("thstndrdth",MIN(9,2*RIGHT(DAY(C195))*(MOD(DAY(C195)-11,100)&gt;2)+1),2)&amp;","&amp;TEXT(C195," yyyy"))</f>
        <v>July 6th,2020</v>
      </c>
      <c r="AB195" s="15" t="str">
        <f aca="true">IF(S195="","",DATEDIF(S195,TODAY(),"Y")&amp;" Tahun, "&amp;DATEDIF(S195,TODAY(),"YM")&amp;" Bulan, "&amp;DATEDIF(S195,TODAY(),"MD")&amp;" Hari")</f>
        <v>38 Tahun, 11 Bulan, 17 Hari</v>
      </c>
      <c r="AC195" s="18" t="n">
        <v>45839</v>
      </c>
      <c r="AD195" s="18" t="n">
        <v>46022</v>
      </c>
      <c r="AE195" s="18" t="s">
        <v>44</v>
      </c>
    </row>
    <row r="196" customFormat="false" ht="15" hidden="false" customHeight="true" outlineLevel="0" collapsed="false">
      <c r="A196" s="12" t="n">
        <v>1473</v>
      </c>
      <c r="B196" s="13" t="s">
        <v>914</v>
      </c>
      <c r="C196" s="14" t="n">
        <v>43467</v>
      </c>
      <c r="D196" s="13" t="s">
        <v>885</v>
      </c>
      <c r="E196" s="15" t="s">
        <v>47</v>
      </c>
      <c r="F196" s="15" t="str">
        <f aca="false">IFERROR(__xludf.dummyfunction("XLOOKUP(AJ196,IMPORTRANGE(""1XaInW9DU9nz21V0tYIfzFQ0He9kVQ_JF2mCXgZ3hqFA"",""REKAP ALL 2026 - Andika!G:G""),IMPORTRANGE(""1XaInW9DU9nz21V0tYIfzFQ0He9kVQ_JF2mCXgZ3hqFA"",""REKAP ALL 2026 - Andika!F:F""),"""",0)"),"19000866418")</f>
        <v>19000866418</v>
      </c>
      <c r="G196" s="13" t="s">
        <v>915</v>
      </c>
      <c r="H196" s="13" t="s">
        <v>35</v>
      </c>
      <c r="I196" s="13" t="str">
        <f aca="false">IF(C196=J196,"NEW KONTRAK","RE-KONTRAK")</f>
        <v>RE-KONTRAK</v>
      </c>
      <c r="J196" s="16" t="n">
        <f aca="false" t="array" ref="J196:J196">IFERROR(INDEX(AC196:AE196,IF(COUNTA(AC196:AE196)=0,"",MAX((AC196:AE196&lt;&gt;"")*(COLUMN(AC196:AE196)-(COLUMN(AC196)))))-1),"")</f>
        <v>45839</v>
      </c>
      <c r="K196" s="16" t="n">
        <f aca="false" t="array" ref="K196:K196">IFERROR(INDEX(AC196:AE196,IF(COUNTA(AC196:AE196)=0,"",MAX((AC196:AE196&lt;&gt;"")*(COLUMN(AC196:AE196)-(COLUMN(AC196)-1))))-1),"")</f>
        <v>46022</v>
      </c>
      <c r="L196" s="17" t="str">
        <f aca="false" t="array" ref="L196:L196">IFERROR(INDEX(AC196:AE196,IF(COUNTA(AC196:AE196)=0,"",MAX((AC196:AE196&lt;&gt;"")*(COLUMN(AC196:AE196)-(COLUMN(AC196)-2))))-1),"")</f>
        <v>ARCHIVED</v>
      </c>
      <c r="M196" s="13" t="n">
        <f aca="true">K196-TODAY()</f>
        <v>-302</v>
      </c>
      <c r="N196" s="18" t="s">
        <v>728</v>
      </c>
      <c r="O196" s="13" t="s">
        <v>58</v>
      </c>
      <c r="P196" s="27" t="n">
        <v>5176101</v>
      </c>
      <c r="Q196" s="20" t="s">
        <v>916</v>
      </c>
      <c r="R196" s="13" t="s">
        <v>52</v>
      </c>
      <c r="S196" s="14" t="n">
        <v>32250</v>
      </c>
      <c r="T196" s="13" t="s">
        <v>40</v>
      </c>
      <c r="U196" s="13" t="s">
        <v>917</v>
      </c>
      <c r="V196" s="13" t="s">
        <v>42</v>
      </c>
      <c r="W196" s="13" t="s">
        <v>54</v>
      </c>
      <c r="X196" s="21" t="n">
        <v>81217196776</v>
      </c>
      <c r="Y196" s="22" t="str">
        <f aca="false">O196</f>
        <v>Produksi</v>
      </c>
      <c r="Z196" s="13" t="str">
        <f aca="false">IFERROR(__xludf.dummyfunction("if(BJ196="""","""",GOOGLETRANSLATE(BJ196,""auto"",""en""))"),"Production")</f>
        <v>Production</v>
      </c>
      <c r="AA196" s="23" t="str">
        <f aca="false">IF(C196="","", CHOOSE(MONTH(C196),"January","February","March","April","May","June","July","August","September","October","November","December")&amp;" "&amp;DAY(C196)&amp;MID("thstndrdth",MIN(9,2*RIGHT(DAY(C196))*(MOD(DAY(C196)-11,100)&gt;2)+1),2)&amp;","&amp;TEXT(C196," yyyy"))</f>
        <v>January 2nd,2019</v>
      </c>
      <c r="AB196" s="15" t="str">
        <f aca="true">IF(S196="","",DATEDIF(S196,TODAY(),"Y")&amp;" Tahun, "&amp;DATEDIF(S196,TODAY(),"YM")&amp;" Bulan, "&amp;DATEDIF(S196,TODAY(),"MD")&amp;" Hari")</f>
        <v>38 Tahun, 6 Bulan, 12 Hari</v>
      </c>
      <c r="AC196" s="18" t="n">
        <v>45839</v>
      </c>
      <c r="AD196" s="18" t="n">
        <v>46022</v>
      </c>
      <c r="AE196" s="18" t="s">
        <v>44</v>
      </c>
    </row>
    <row r="197" customFormat="false" ht="15" hidden="false" customHeight="true" outlineLevel="0" collapsed="false">
      <c r="A197" s="12" t="n">
        <v>1474</v>
      </c>
      <c r="B197" s="13" t="s">
        <v>918</v>
      </c>
      <c r="C197" s="14" t="n">
        <v>43467</v>
      </c>
      <c r="D197" s="13" t="s">
        <v>885</v>
      </c>
      <c r="E197" s="15" t="s">
        <v>47</v>
      </c>
      <c r="F197" s="15" t="str">
        <f aca="false">IFERROR(__xludf.dummyfunction("XLOOKUP(AJ197,IMPORTRANGE(""1XaInW9DU9nz21V0tYIfzFQ0He9kVQ_JF2mCXgZ3hqFA"",""REKAP ALL 2026 - Andika!G:G""),IMPORTRANGE(""1XaInW9DU9nz21V0tYIfzFQ0He9kVQ_JF2mCXgZ3hqFA"",""REKAP ALL 2026 - Andika!F:F""),"""",0)"),"19000866434")</f>
        <v>19000866434</v>
      </c>
      <c r="G197" s="13" t="s">
        <v>919</v>
      </c>
      <c r="H197" s="13" t="s">
        <v>35</v>
      </c>
      <c r="I197" s="13" t="str">
        <f aca="false">IF(C197=J197,"NEW KONTRAK","RE-KONTRAK")</f>
        <v>RE-KONTRAK</v>
      </c>
      <c r="J197" s="16" t="n">
        <f aca="false" t="array" ref="J197:J197">IFERROR(INDEX(AC197:AE197,IF(COUNTA(AC197:AE197)=0,"",MAX((AC197:AE197&lt;&gt;"")*(COLUMN(AC197:AE197)-(COLUMN(AC197)))))-1),"")</f>
        <v>45839</v>
      </c>
      <c r="K197" s="16" t="n">
        <f aca="false" t="array" ref="K197:K197">IFERROR(INDEX(AC197:AE197,IF(COUNTA(AC197:AE197)=0,"",MAX((AC197:AE197&lt;&gt;"")*(COLUMN(AC197:AE197)-(COLUMN(AC197)-1))))-1),"")</f>
        <v>46022</v>
      </c>
      <c r="L197" s="17" t="str">
        <f aca="false" t="array" ref="L197:L197">IFERROR(INDEX(AC197:AE197,IF(COUNTA(AC197:AE197)=0,"",MAX((AC197:AE197&lt;&gt;"")*(COLUMN(AC197:AE197)-(COLUMN(AC197)-2))))-1),"")</f>
        <v>ARCHIVED</v>
      </c>
      <c r="M197" s="13" t="n">
        <f aca="true">K197-TODAY()</f>
        <v>-302</v>
      </c>
      <c r="N197" s="18" t="s">
        <v>728</v>
      </c>
      <c r="O197" s="13" t="s">
        <v>58</v>
      </c>
      <c r="P197" s="27" t="n">
        <v>5176101</v>
      </c>
      <c r="Q197" s="20" t="s">
        <v>920</v>
      </c>
      <c r="R197" s="13" t="s">
        <v>52</v>
      </c>
      <c r="S197" s="14" t="n">
        <v>35284</v>
      </c>
      <c r="T197" s="13" t="s">
        <v>40</v>
      </c>
      <c r="U197" s="13" t="s">
        <v>921</v>
      </c>
      <c r="V197" s="13" t="s">
        <v>42</v>
      </c>
      <c r="W197" s="13" t="s">
        <v>43</v>
      </c>
      <c r="X197" s="21" t="n">
        <v>81249537713</v>
      </c>
      <c r="Y197" s="22" t="str">
        <f aca="false">O197</f>
        <v>Produksi</v>
      </c>
      <c r="Z197" s="13" t="str">
        <f aca="false">IFERROR(__xludf.dummyfunction("if(BJ197="""","""",GOOGLETRANSLATE(BJ197,""auto"",""en""))"),"Production")</f>
        <v>Production</v>
      </c>
      <c r="AA197" s="23" t="str">
        <f aca="false">IF(C197="","", CHOOSE(MONTH(C197),"January","February","March","April","May","June","July","August","September","October","November","December")&amp;" "&amp;DAY(C197)&amp;MID("thstndrdth",MIN(9,2*RIGHT(DAY(C197))*(MOD(DAY(C197)-11,100)&gt;2)+1),2)&amp;","&amp;TEXT(C197," yyyy"))</f>
        <v>January 2nd,2019</v>
      </c>
      <c r="AB197" s="15" t="str">
        <f aca="true">IF(S197="","",DATEDIF(S197,TODAY(),"Y")&amp;" Tahun, "&amp;DATEDIF(S197,TODAY(),"YM")&amp;" Bulan, "&amp;DATEDIF(S197,TODAY(),"MD")&amp;" Hari")</f>
        <v>30 Tahun, 2 Bulan, 22 Hari</v>
      </c>
      <c r="AC197" s="18" t="n">
        <v>45839</v>
      </c>
      <c r="AD197" s="18" t="n">
        <v>46022</v>
      </c>
      <c r="AE197" s="18" t="s">
        <v>44</v>
      </c>
    </row>
    <row r="198" customFormat="false" ht="15" hidden="false" customHeight="true" outlineLevel="0" collapsed="false">
      <c r="A198" s="12" t="n">
        <v>1477</v>
      </c>
      <c r="B198" s="13" t="s">
        <v>922</v>
      </c>
      <c r="C198" s="14" t="n">
        <v>43467</v>
      </c>
      <c r="D198" s="13" t="s">
        <v>885</v>
      </c>
      <c r="E198" s="15" t="s">
        <v>47</v>
      </c>
      <c r="F198" s="15" t="str">
        <f aca="false">IFERROR(__xludf.dummyfunction("XLOOKUP(AJ198,IMPORTRANGE(""1XaInW9DU9nz21V0tYIfzFQ0He9kVQ_JF2mCXgZ3hqFA"",""REKAP ALL 2026 - Andika!G:G""),IMPORTRANGE(""1XaInW9DU9nz21V0tYIfzFQ0He9kVQ_JF2mCXgZ3hqFA"",""REKAP ALL 2026 - Andika!F:F""),"""",0)"),"19000866939")</f>
        <v>19000866939</v>
      </c>
      <c r="G198" s="13" t="s">
        <v>923</v>
      </c>
      <c r="H198" s="13" t="s">
        <v>35</v>
      </c>
      <c r="I198" s="13" t="str">
        <f aca="false">IF(C198=J198,"NEW KONTRAK","RE-KONTRAK")</f>
        <v>RE-KONTRAK</v>
      </c>
      <c r="J198" s="16" t="n">
        <f aca="false" t="array" ref="J198:J198">IFERROR(INDEX(AC198:AE198,IF(COUNTA(AC198:AE198)=0,"",MAX((AC198:AE198&lt;&gt;"")*(COLUMN(AC198:AE198)-(COLUMN(AC198)))))-1),"")</f>
        <v>45839</v>
      </c>
      <c r="K198" s="16" t="n">
        <f aca="false" t="array" ref="K198:K198">IFERROR(INDEX(AC198:AE198,IF(COUNTA(AC198:AE198)=0,"",MAX((AC198:AE198&lt;&gt;"")*(COLUMN(AC198:AE198)-(COLUMN(AC198)-1))))-1),"")</f>
        <v>46022</v>
      </c>
      <c r="L198" s="17" t="str">
        <f aca="false" t="array" ref="L198:L198">IFERROR(INDEX(AC198:AE198,IF(COUNTA(AC198:AE198)=0,"",MAX((AC198:AE198&lt;&gt;"")*(COLUMN(AC198:AE198)-(COLUMN(AC198)-2))))-1),"")</f>
        <v>ARCHIVED</v>
      </c>
      <c r="M198" s="13" t="n">
        <f aca="true">K198-TODAY()</f>
        <v>-302</v>
      </c>
      <c r="N198" s="18" t="s">
        <v>728</v>
      </c>
      <c r="O198" s="13" t="s">
        <v>58</v>
      </c>
      <c r="P198" s="27" t="n">
        <v>5176101</v>
      </c>
      <c r="Q198" s="20" t="s">
        <v>924</v>
      </c>
      <c r="R198" s="13" t="s">
        <v>52</v>
      </c>
      <c r="S198" s="14" t="n">
        <v>34100</v>
      </c>
      <c r="T198" s="13" t="s">
        <v>40</v>
      </c>
      <c r="U198" s="13" t="s">
        <v>925</v>
      </c>
      <c r="V198" s="13" t="s">
        <v>42</v>
      </c>
      <c r="W198" s="13" t="s">
        <v>54</v>
      </c>
      <c r="X198" s="21" t="n">
        <v>895328398600</v>
      </c>
      <c r="Y198" s="22" t="str">
        <f aca="false">O198</f>
        <v>Produksi</v>
      </c>
      <c r="Z198" s="13" t="str">
        <f aca="false">IFERROR(__xludf.dummyfunction("if(BJ198="""","""",GOOGLETRANSLATE(BJ198,""auto"",""en""))"),"Production")</f>
        <v>Production</v>
      </c>
      <c r="AA198" s="23" t="str">
        <f aca="false">IF(C198="","", CHOOSE(MONTH(C198),"January","February","March","April","May","June","July","August","September","October","November","December")&amp;" "&amp;DAY(C198)&amp;MID("thstndrdth",MIN(9,2*RIGHT(DAY(C198))*(MOD(DAY(C198)-11,100)&gt;2)+1),2)&amp;","&amp;TEXT(C198," yyyy"))</f>
        <v>January 2nd,2019</v>
      </c>
      <c r="AB198" s="15" t="str">
        <f aca="true">IF(S198="","",DATEDIF(S198,TODAY(),"Y")&amp;" Tahun, "&amp;DATEDIF(S198,TODAY(),"YM")&amp;" Bulan, "&amp;DATEDIF(S198,TODAY(),"MD")&amp;" Hari")</f>
        <v>33 Tahun, 5 Bulan, 18 Hari</v>
      </c>
      <c r="AC198" s="18" t="n">
        <v>45839</v>
      </c>
      <c r="AD198" s="18" t="n">
        <v>46022</v>
      </c>
      <c r="AE198" s="18" t="s">
        <v>44</v>
      </c>
    </row>
    <row r="199" customFormat="false" ht="15" hidden="false" customHeight="true" outlineLevel="0" collapsed="false">
      <c r="A199" s="12" t="n">
        <v>1479</v>
      </c>
      <c r="B199" s="13" t="s">
        <v>926</v>
      </c>
      <c r="C199" s="14" t="n">
        <v>43467</v>
      </c>
      <c r="D199" s="13" t="s">
        <v>885</v>
      </c>
      <c r="E199" s="15" t="s">
        <v>47</v>
      </c>
      <c r="F199" s="15" t="str">
        <f aca="false">IFERROR(__xludf.dummyfunction("XLOOKUP(AJ199,IMPORTRANGE(""1XaInW9DU9nz21V0tYIfzFQ0He9kVQ_JF2mCXgZ3hqFA"",""REKAP ALL 2026 - Andika!G:G""),IMPORTRANGE(""1XaInW9DU9nz21V0tYIfzFQ0He9kVQ_JF2mCXgZ3hqFA"",""REKAP ALL 2026 - Andika!F:F""),"""",0)"),"19000866392")</f>
        <v>19000866392</v>
      </c>
      <c r="G199" s="13" t="s">
        <v>927</v>
      </c>
      <c r="H199" s="13" t="s">
        <v>35</v>
      </c>
      <c r="I199" s="13" t="str">
        <f aca="false">IF(C199=J199,"NEW KONTRAK","RE-KONTRAK")</f>
        <v>RE-KONTRAK</v>
      </c>
      <c r="J199" s="16" t="n">
        <f aca="false" t="array" ref="J199:J199">IFERROR(INDEX(AC199:AE199,IF(COUNTA(AC199:AE199)=0,"",MAX((AC199:AE199&lt;&gt;"")*(COLUMN(AC199:AE199)-(COLUMN(AC199)))))-1),"")</f>
        <v>45658</v>
      </c>
      <c r="K199" s="16" t="n">
        <f aca="false" t="array" ref="K199:K199">IFERROR(INDEX(AC199:AE199,IF(COUNTA(AC199:AE199)=0,"",MAX((AC199:AE199&lt;&gt;"")*(COLUMN(AC199:AE199)-(COLUMN(AC199)-1))))-1),"")</f>
        <v>46022</v>
      </c>
      <c r="L199" s="17" t="str">
        <f aca="false" t="array" ref="L199:L199">IFERROR(INDEX(AC199:AE199,IF(COUNTA(AC199:AE199)=0,"",MAX((AC199:AE199&lt;&gt;"")*(COLUMN(AC199:AE199)-(COLUMN(AC199)-2))))-1),"")</f>
        <v>ARCHIVED</v>
      </c>
      <c r="M199" s="13" t="n">
        <f aca="true">K199-TODAY()</f>
        <v>-302</v>
      </c>
      <c r="N199" s="18" t="s">
        <v>728</v>
      </c>
      <c r="O199" s="13" t="s">
        <v>58</v>
      </c>
      <c r="P199" s="27" t="n">
        <v>5176101</v>
      </c>
      <c r="Q199" s="20" t="s">
        <v>928</v>
      </c>
      <c r="R199" s="13" t="s">
        <v>83</v>
      </c>
      <c r="S199" s="14" t="n">
        <v>35088</v>
      </c>
      <c r="T199" s="13" t="s">
        <v>40</v>
      </c>
      <c r="U199" s="13" t="s">
        <v>929</v>
      </c>
      <c r="V199" s="13" t="s">
        <v>42</v>
      </c>
      <c r="W199" s="13" t="s">
        <v>43</v>
      </c>
      <c r="X199" s="21" t="n">
        <v>88228088948</v>
      </c>
      <c r="Y199" s="22" t="str">
        <f aca="false">O199</f>
        <v>Produksi</v>
      </c>
      <c r="Z199" s="13" t="str">
        <f aca="false">IFERROR(__xludf.dummyfunction("if(BJ199="""","""",GOOGLETRANSLATE(BJ199,""auto"",""en""))"),"Production")</f>
        <v>Production</v>
      </c>
      <c r="AA199" s="23" t="str">
        <f aca="false">IF(C199="","", CHOOSE(MONTH(C199),"January","February","March","April","May","June","July","August","September","October","November","December")&amp;" "&amp;DAY(C199)&amp;MID("thstndrdth",MIN(9,2*RIGHT(DAY(C199))*(MOD(DAY(C199)-11,100)&gt;2)+1),2)&amp;","&amp;TEXT(C199," yyyy"))</f>
        <v>January 2nd,2019</v>
      </c>
      <c r="AB199" s="15" t="str">
        <f aca="true">IF(S199="","",DATEDIF(S199,TODAY(),"Y")&amp;" Tahun, "&amp;DATEDIF(S199,TODAY(),"YM")&amp;" Bulan, "&amp;DATEDIF(S199,TODAY(),"MD")&amp;" Hari")</f>
        <v>30 Tahun, 9 Bulan, 5 Hari</v>
      </c>
      <c r="AC199" s="18" t="n">
        <v>45658</v>
      </c>
      <c r="AD199" s="18" t="n">
        <v>46022</v>
      </c>
      <c r="AE199" s="18" t="s">
        <v>44</v>
      </c>
    </row>
    <row r="200" customFormat="false" ht="15" hidden="false" customHeight="true" outlineLevel="0" collapsed="false">
      <c r="A200" s="12" t="n">
        <v>1480</v>
      </c>
      <c r="B200" s="13" t="s">
        <v>930</v>
      </c>
      <c r="C200" s="14" t="n">
        <v>43467</v>
      </c>
      <c r="D200" s="13" t="s">
        <v>885</v>
      </c>
      <c r="E200" s="15" t="s">
        <v>47</v>
      </c>
      <c r="F200" s="15" t="str">
        <f aca="false">IFERROR(__xludf.dummyfunction("XLOOKUP(AJ200,IMPORTRANGE(""1XaInW9DU9nz21V0tYIfzFQ0He9kVQ_JF2mCXgZ3hqFA"",""REKAP ALL 2026 - Andika!G:G""),IMPORTRANGE(""1XaInW9DU9nz21V0tYIfzFQ0He9kVQ_JF2mCXgZ3hqFA"",""REKAP ALL 2026 - Andika!F:F""),"""",0)"),"19000866731")</f>
        <v>19000866731</v>
      </c>
      <c r="G200" s="13" t="s">
        <v>931</v>
      </c>
      <c r="H200" s="13" t="s">
        <v>35</v>
      </c>
      <c r="I200" s="13" t="str">
        <f aca="false">IF(C200=J200,"NEW KONTRAK","RE-KONTRAK")</f>
        <v>RE-KONTRAK</v>
      </c>
      <c r="J200" s="16" t="n">
        <f aca="false" t="array" ref="J200:J200">IFERROR(INDEX(AC200:AE200,IF(COUNTA(AC200:AE200)=0,"",MAX((AC200:AE200&lt;&gt;"")*(COLUMN(AC200:AE200)-(COLUMN(AC200)))))-1),"")</f>
        <v>45658</v>
      </c>
      <c r="K200" s="16" t="n">
        <f aca="false" t="array" ref="K200:K200">IFERROR(INDEX(AC200:AE200,IF(COUNTA(AC200:AE200)=0,"",MAX((AC200:AE200&lt;&gt;"")*(COLUMN(AC200:AE200)-(COLUMN(AC200)-1))))-1),"")</f>
        <v>46022</v>
      </c>
      <c r="L200" s="17" t="str">
        <f aca="false" t="array" ref="L200:L200">IFERROR(INDEX(AC200:AE200,IF(COUNTA(AC200:AE200)=0,"",MAX((AC200:AE200&lt;&gt;"")*(COLUMN(AC200:AE200)-(COLUMN(AC200)-2))))-1),"")</f>
        <v>ARCHIVED</v>
      </c>
      <c r="M200" s="13" t="n">
        <f aca="true">K200-TODAY()</f>
        <v>-302</v>
      </c>
      <c r="N200" s="18" t="s">
        <v>728</v>
      </c>
      <c r="O200" s="13" t="s">
        <v>58</v>
      </c>
      <c r="P200" s="27" t="n">
        <v>5176101</v>
      </c>
      <c r="Q200" s="20" t="s">
        <v>932</v>
      </c>
      <c r="R200" s="13" t="s">
        <v>826</v>
      </c>
      <c r="S200" s="14" t="n">
        <v>32885</v>
      </c>
      <c r="T200" s="13" t="s">
        <v>40</v>
      </c>
      <c r="U200" s="13" t="s">
        <v>933</v>
      </c>
      <c r="V200" s="13" t="s">
        <v>42</v>
      </c>
      <c r="W200" s="13" t="s">
        <v>43</v>
      </c>
      <c r="X200" s="21" t="n">
        <v>85746315896</v>
      </c>
      <c r="Y200" s="22" t="str">
        <f aca="false">O200</f>
        <v>Produksi</v>
      </c>
      <c r="Z200" s="13" t="str">
        <f aca="false">IFERROR(__xludf.dummyfunction("if(BJ200="""","""",GOOGLETRANSLATE(BJ200,""auto"",""en""))"),"Production")</f>
        <v>Production</v>
      </c>
      <c r="AA200" s="23" t="str">
        <f aca="false">IF(C200="","", CHOOSE(MONTH(C200),"January","February","March","April","May","June","July","August","September","October","November","December")&amp;" "&amp;DAY(C200)&amp;MID("thstndrdth",MIN(9,2*RIGHT(DAY(C200))*(MOD(DAY(C200)-11,100)&gt;2)+1),2)&amp;","&amp;TEXT(C200," yyyy"))</f>
        <v>January 2nd,2019</v>
      </c>
      <c r="AB200" s="15" t="str">
        <f aca="true">IF(S200="","",DATEDIF(S200,TODAY(),"Y")&amp;" Tahun, "&amp;DATEDIF(S200,TODAY(),"YM")&amp;" Bulan, "&amp;DATEDIF(S200,TODAY(),"MD")&amp;" Hari")</f>
        <v>36 Tahun, 9 Bulan, 17 Hari</v>
      </c>
      <c r="AC200" s="18" t="n">
        <v>45658</v>
      </c>
      <c r="AD200" s="18" t="n">
        <v>46022</v>
      </c>
      <c r="AE200" s="18" t="s">
        <v>44</v>
      </c>
    </row>
    <row r="201" customFormat="false" ht="15" hidden="false" customHeight="true" outlineLevel="0" collapsed="false">
      <c r="A201" s="12" t="n">
        <v>1482</v>
      </c>
      <c r="B201" s="13" t="s">
        <v>934</v>
      </c>
      <c r="C201" s="14" t="n">
        <v>43843</v>
      </c>
      <c r="D201" s="13" t="s">
        <v>885</v>
      </c>
      <c r="E201" s="15" t="s">
        <v>47</v>
      </c>
      <c r="F201" s="15" t="str">
        <f aca="false">IFERROR(__xludf.dummyfunction("XLOOKUP(AJ201,IMPORTRANGE(""1XaInW9DU9nz21V0tYIfzFQ0He9kVQ_JF2mCXgZ3hqFA"",""REKAP ALL 2026 - Andika!G:G""),IMPORTRANGE(""1XaInW9DU9nz21V0tYIfzFQ0He9kVQ_JF2mCXgZ3hqFA"",""REKAP ALL 2026 - Andika!F:F""),"""",0)"),"20023283789")</f>
        <v>20023283789</v>
      </c>
      <c r="G201" s="13" t="s">
        <v>935</v>
      </c>
      <c r="H201" s="13" t="s">
        <v>35</v>
      </c>
      <c r="I201" s="13" t="str">
        <f aca="false">IF(C201=J201,"NEW KONTRAK","RE-KONTRAK")</f>
        <v>RE-KONTRAK</v>
      </c>
      <c r="J201" s="16" t="n">
        <f aca="false" t="array" ref="J201:J201">IFERROR(INDEX(AC201:AE201,IF(COUNTA(AC201:AE201)=0,"",MAX((AC201:AE201&lt;&gt;"")*(COLUMN(AC201:AE201)-(COLUMN(AC201)))))-1),"")</f>
        <v>45658</v>
      </c>
      <c r="K201" s="16" t="n">
        <f aca="false" t="array" ref="K201:K201">IFERROR(INDEX(AC201:AE201,IF(COUNTA(AC201:AE201)=0,"",MAX((AC201:AE201&lt;&gt;"")*(COLUMN(AC201:AE201)-(COLUMN(AC201)-1))))-1),"")</f>
        <v>46022</v>
      </c>
      <c r="L201" s="17" t="str">
        <f aca="false" t="array" ref="L201:L201">IFERROR(INDEX(AC201:AE201,IF(COUNTA(AC201:AE201)=0,"",MAX((AC201:AE201&lt;&gt;"")*(COLUMN(AC201:AE201)-(COLUMN(AC201)-2))))-1),"")</f>
        <v>ARCHIVED</v>
      </c>
      <c r="M201" s="13" t="n">
        <f aca="true">K201-TODAY()</f>
        <v>-302</v>
      </c>
      <c r="N201" s="18" t="s">
        <v>728</v>
      </c>
      <c r="O201" s="13" t="s">
        <v>58</v>
      </c>
      <c r="P201" s="27" t="n">
        <v>5176101</v>
      </c>
      <c r="Q201" s="20" t="s">
        <v>936</v>
      </c>
      <c r="R201" s="13" t="s">
        <v>83</v>
      </c>
      <c r="S201" s="14" t="n">
        <v>34612</v>
      </c>
      <c r="T201" s="13" t="s">
        <v>40</v>
      </c>
      <c r="U201" s="13" t="s">
        <v>937</v>
      </c>
      <c r="V201" s="13" t="s">
        <v>42</v>
      </c>
      <c r="W201" s="13" t="s">
        <v>54</v>
      </c>
      <c r="X201" s="21" t="n">
        <v>85748999264</v>
      </c>
      <c r="Y201" s="22" t="str">
        <f aca="false">O201</f>
        <v>Produksi</v>
      </c>
      <c r="Z201" s="13" t="str">
        <f aca="false">IFERROR(__xludf.dummyfunction("if(BJ201="""","""",GOOGLETRANSLATE(BJ201,""auto"",""en""))"),"Production")</f>
        <v>Production</v>
      </c>
      <c r="AA201" s="23" t="str">
        <f aca="false">IF(C201="","", CHOOSE(MONTH(C201),"January","February","March","April","May","June","July","August","September","October","November","December")&amp;" "&amp;DAY(C201)&amp;MID("thstndrdth",MIN(9,2*RIGHT(DAY(C201))*(MOD(DAY(C201)-11,100)&gt;2)+1),2)&amp;","&amp;TEXT(C201," yyyy"))</f>
        <v>January 13th,2020</v>
      </c>
      <c r="AB201" s="15" t="str">
        <f aca="true">IF(S201="","",DATEDIF(S201,TODAY(),"Y")&amp;" Tahun, "&amp;DATEDIF(S201,TODAY(),"YM")&amp;" Bulan, "&amp;DATEDIF(S201,TODAY(),"MD")&amp;" Hari")</f>
        <v>32 Tahun, 0 Bulan, 24 Hari</v>
      </c>
      <c r="AC201" s="18" t="n">
        <v>45658</v>
      </c>
      <c r="AD201" s="18" t="n">
        <v>46022</v>
      </c>
      <c r="AE201" s="18" t="s">
        <v>44</v>
      </c>
    </row>
    <row r="202" customFormat="false" ht="15" hidden="false" customHeight="true" outlineLevel="0" collapsed="false">
      <c r="A202" s="12" t="n">
        <v>1484</v>
      </c>
      <c r="B202" s="13" t="s">
        <v>938</v>
      </c>
      <c r="C202" s="14" t="n">
        <v>43467</v>
      </c>
      <c r="D202" s="13" t="s">
        <v>885</v>
      </c>
      <c r="E202" s="15" t="s">
        <v>47</v>
      </c>
      <c r="F202" s="15" t="str">
        <f aca="false">IFERROR(__xludf.dummyfunction("XLOOKUP(AJ202,IMPORTRANGE(""1XaInW9DU9nz21V0tYIfzFQ0He9kVQ_JF2mCXgZ3hqFA"",""REKAP ALL 2026 - Andika!G:G""),IMPORTRANGE(""1XaInW9DU9nz21V0tYIfzFQ0He9kVQ_JF2mCXgZ3hqFA"",""REKAP ALL 2026 - Andika!F:F""),"""",0)"),"15008841098")</f>
        <v>15008841098</v>
      </c>
      <c r="G202" s="13" t="s">
        <v>939</v>
      </c>
      <c r="H202" s="13" t="s">
        <v>35</v>
      </c>
      <c r="I202" s="13" t="str">
        <f aca="false">IF(C202=J202,"NEW KONTRAK","RE-KONTRAK")</f>
        <v>RE-KONTRAK</v>
      </c>
      <c r="J202" s="16" t="n">
        <f aca="false" t="array" ref="J202:J202">IFERROR(INDEX(AC202:AE202,IF(COUNTA(AC202:AE202)=0,"",MAX((AC202:AE202&lt;&gt;"")*(COLUMN(AC202:AE202)-(COLUMN(AC202)))))-1),"")</f>
        <v>45658</v>
      </c>
      <c r="K202" s="16" t="n">
        <f aca="false" t="array" ref="K202:K202">IFERROR(INDEX(AC202:AE202,IF(COUNTA(AC202:AE202)=0,"",MAX((AC202:AE202&lt;&gt;"")*(COLUMN(AC202:AE202)-(COLUMN(AC202)-1))))-1),"")</f>
        <v>46022</v>
      </c>
      <c r="L202" s="17" t="str">
        <f aca="false" t="array" ref="L202:L202">IFERROR(INDEX(AC202:AE202,IF(COUNTA(AC202:AE202)=0,"",MAX((AC202:AE202&lt;&gt;"")*(COLUMN(AC202:AE202)-(COLUMN(AC202)-2))))-1),"")</f>
        <v>ARCHIVED</v>
      </c>
      <c r="M202" s="13" t="n">
        <f aca="true">K202-TODAY()</f>
        <v>-302</v>
      </c>
      <c r="N202" s="18" t="s">
        <v>728</v>
      </c>
      <c r="O202" s="13" t="s">
        <v>58</v>
      </c>
      <c r="P202" s="27" t="n">
        <v>5176101</v>
      </c>
      <c r="Q202" s="20" t="s">
        <v>940</v>
      </c>
      <c r="R202" s="13" t="s">
        <v>260</v>
      </c>
      <c r="S202" s="14" t="n">
        <v>29713</v>
      </c>
      <c r="T202" s="13" t="s">
        <v>40</v>
      </c>
      <c r="U202" s="13" t="s">
        <v>941</v>
      </c>
      <c r="V202" s="13" t="s">
        <v>42</v>
      </c>
      <c r="W202" s="13" t="s">
        <v>54</v>
      </c>
      <c r="X202" s="21" t="n">
        <v>81329558828</v>
      </c>
      <c r="Y202" s="22" t="str">
        <f aca="false">O202</f>
        <v>Produksi</v>
      </c>
      <c r="Z202" s="13" t="str">
        <f aca="false">IFERROR(__xludf.dummyfunction("if(BJ202="""","""",GOOGLETRANSLATE(BJ202,""auto"",""en""))"),"Production")</f>
        <v>Production</v>
      </c>
      <c r="AA202" s="23" t="str">
        <f aca="false">IF(C202="","", CHOOSE(MONTH(C202),"January","February","March","April","May","June","July","August","September","October","November","December")&amp;" "&amp;DAY(C202)&amp;MID("thstndrdth",MIN(9,2*RIGHT(DAY(C202))*(MOD(DAY(C202)-11,100)&gt;2)+1),2)&amp;","&amp;TEXT(C202," yyyy"))</f>
        <v>January 2nd,2019</v>
      </c>
      <c r="AB202" s="15" t="str">
        <f aca="true">IF(S202="","",DATEDIF(S202,TODAY(),"Y")&amp;" Tahun, "&amp;DATEDIF(S202,TODAY(),"YM")&amp;" Bulan, "&amp;DATEDIF(S202,TODAY(),"MD")&amp;" Hari")</f>
        <v>45 Tahun, 5 Bulan, 22 Hari</v>
      </c>
      <c r="AC202" s="18" t="n">
        <v>45658</v>
      </c>
      <c r="AD202" s="18" t="n">
        <v>46022</v>
      </c>
      <c r="AE202" s="18" t="s">
        <v>44</v>
      </c>
    </row>
    <row r="203" customFormat="false" ht="15" hidden="false" customHeight="true" outlineLevel="0" collapsed="false">
      <c r="A203" s="12" t="n">
        <v>1485</v>
      </c>
      <c r="B203" s="13" t="s">
        <v>942</v>
      </c>
      <c r="C203" s="14" t="n">
        <v>43467</v>
      </c>
      <c r="D203" s="13" t="s">
        <v>885</v>
      </c>
      <c r="E203" s="15" t="s">
        <v>47</v>
      </c>
      <c r="F203" s="15" t="str">
        <f aca="false">IFERROR(__xludf.dummyfunction("XLOOKUP(AJ203,IMPORTRANGE(""1XaInW9DU9nz21V0tYIfzFQ0He9kVQ_JF2mCXgZ3hqFA"",""REKAP ALL 2026 - Andika!G:G""),IMPORTRANGE(""1XaInW9DU9nz21V0tYIfzFQ0He9kVQ_JF2mCXgZ3hqFA"",""REKAP ALL 2026 - Andika!F:F""),"""",0)"),"19000866681")</f>
        <v>19000866681</v>
      </c>
      <c r="G203" s="13" t="s">
        <v>943</v>
      </c>
      <c r="H203" s="13" t="s">
        <v>35</v>
      </c>
      <c r="I203" s="13" t="str">
        <f aca="false">IF(C203=J203,"NEW KONTRAK","RE-KONTRAK")</f>
        <v>RE-KONTRAK</v>
      </c>
      <c r="J203" s="16" t="n">
        <f aca="false" t="array" ref="J203:J203">IFERROR(INDEX(AC203:AE203,IF(COUNTA(AC203:AE203)=0,"",MAX((AC203:AE203&lt;&gt;"")*(COLUMN(AC203:AE203)-(COLUMN(AC203)))))-1),"")</f>
        <v>45658</v>
      </c>
      <c r="K203" s="16" t="n">
        <f aca="false" t="array" ref="K203:K203">IFERROR(INDEX(AC203:AE203,IF(COUNTA(AC203:AE203)=0,"",MAX((AC203:AE203&lt;&gt;"")*(COLUMN(AC203:AE203)-(COLUMN(AC203)-1))))-1),"")</f>
        <v>46022</v>
      </c>
      <c r="L203" s="17" t="str">
        <f aca="false" t="array" ref="L203:L203">IFERROR(INDEX(AC203:AE203,IF(COUNTA(AC203:AE203)=0,"",MAX((AC203:AE203&lt;&gt;"")*(COLUMN(AC203:AE203)-(COLUMN(AC203)-2))))-1),"")</f>
        <v>ARCHIVED</v>
      </c>
      <c r="M203" s="13" t="n">
        <f aca="true">K203-TODAY()</f>
        <v>-302</v>
      </c>
      <c r="N203" s="18" t="s">
        <v>728</v>
      </c>
      <c r="O203" s="13" t="s">
        <v>58</v>
      </c>
      <c r="P203" s="27" t="n">
        <v>5176101</v>
      </c>
      <c r="Q203" s="20" t="s">
        <v>944</v>
      </c>
      <c r="R203" s="13" t="s">
        <v>52</v>
      </c>
      <c r="S203" s="14" t="n">
        <v>29326</v>
      </c>
      <c r="T203" s="13" t="s">
        <v>40</v>
      </c>
      <c r="U203" s="13" t="s">
        <v>945</v>
      </c>
      <c r="V203" s="13" t="s">
        <v>42</v>
      </c>
      <c r="W203" s="13" t="s">
        <v>54</v>
      </c>
      <c r="X203" s="21" t="n">
        <v>85231993601</v>
      </c>
      <c r="Y203" s="22" t="str">
        <f aca="false">O203</f>
        <v>Produksi</v>
      </c>
      <c r="Z203" s="13" t="str">
        <f aca="false">IFERROR(__xludf.dummyfunction("if(BJ203="""","""",GOOGLETRANSLATE(BJ203,""auto"",""en""))"),"Production")</f>
        <v>Production</v>
      </c>
      <c r="AA203" s="23" t="str">
        <f aca="false">IF(C203="","", CHOOSE(MONTH(C203),"January","February","March","April","May","June","July","August","September","October","November","December")&amp;" "&amp;DAY(C203)&amp;MID("thstndrdth",MIN(9,2*RIGHT(DAY(C203))*(MOD(DAY(C203)-11,100)&gt;2)+1),2)&amp;","&amp;TEXT(C203," yyyy"))</f>
        <v>January 2nd,2019</v>
      </c>
      <c r="AB203" s="15" t="str">
        <f aca="true">IF(S203="","",DATEDIF(S203,TODAY(),"Y")&amp;" Tahun, "&amp;DATEDIF(S203,TODAY(),"YM")&amp;" Bulan, "&amp;DATEDIF(S203,TODAY(),"MD")&amp;" Hari")</f>
        <v>46 Tahun, 6 Bulan, 14 Hari</v>
      </c>
      <c r="AC203" s="18" t="n">
        <v>45658</v>
      </c>
      <c r="AD203" s="18" t="n">
        <v>46022</v>
      </c>
      <c r="AE203" s="18" t="s">
        <v>44</v>
      </c>
    </row>
    <row r="204" customFormat="false" ht="15" hidden="false" customHeight="true" outlineLevel="0" collapsed="false">
      <c r="A204" s="12" t="n">
        <v>1487</v>
      </c>
      <c r="B204" s="13" t="s">
        <v>946</v>
      </c>
      <c r="C204" s="14" t="n">
        <v>43467</v>
      </c>
      <c r="D204" s="13" t="s">
        <v>885</v>
      </c>
      <c r="E204" s="15" t="s">
        <v>47</v>
      </c>
      <c r="F204" s="15" t="str">
        <f aca="false">IFERROR(__xludf.dummyfunction("XLOOKUP(AJ204,IMPORTRANGE(""1XaInW9DU9nz21V0tYIfzFQ0He9kVQ_JF2mCXgZ3hqFA"",""REKAP ALL 2026 - Andika!G:G""),IMPORTRANGE(""1XaInW9DU9nz21V0tYIfzFQ0He9kVQ_JF2mCXgZ3hqFA"",""REKAP ALL 2026 - Andika!F:F""),"""",0)"),"19000866707")</f>
        <v>19000866707</v>
      </c>
      <c r="G204" s="13" t="s">
        <v>947</v>
      </c>
      <c r="H204" s="13" t="s">
        <v>35</v>
      </c>
      <c r="I204" s="13" t="str">
        <f aca="false">IF(C204=J204,"NEW KONTRAK","RE-KONTRAK")</f>
        <v>RE-KONTRAK</v>
      </c>
      <c r="J204" s="16" t="n">
        <f aca="false" t="array" ref="J204:J204">IFERROR(INDEX(AC204:AE204,IF(COUNTA(AC204:AE204)=0,"",MAX((AC204:AE204&lt;&gt;"")*(COLUMN(AC204:AE204)-(COLUMN(AC204)))))-1),"")</f>
        <v>45658</v>
      </c>
      <c r="K204" s="16" t="n">
        <f aca="false" t="array" ref="K204:K204">IFERROR(INDEX(AC204:AE204,IF(COUNTA(AC204:AE204)=0,"",MAX((AC204:AE204&lt;&gt;"")*(COLUMN(AC204:AE204)-(COLUMN(AC204)-1))))-1),"")</f>
        <v>46022</v>
      </c>
      <c r="L204" s="17" t="str">
        <f aca="false" t="array" ref="L204:L204">IFERROR(INDEX(AC204:AE204,IF(COUNTA(AC204:AE204)=0,"",MAX((AC204:AE204&lt;&gt;"")*(COLUMN(AC204:AE204)-(COLUMN(AC204)-2))))-1),"")</f>
        <v>ARCHIVED</v>
      </c>
      <c r="M204" s="13" t="n">
        <f aca="true">K204-TODAY()</f>
        <v>-302</v>
      </c>
      <c r="N204" s="18" t="s">
        <v>728</v>
      </c>
      <c r="O204" s="13" t="s">
        <v>58</v>
      </c>
      <c r="P204" s="27" t="n">
        <v>5176101</v>
      </c>
      <c r="Q204" s="20" t="s">
        <v>948</v>
      </c>
      <c r="R204" s="13" t="s">
        <v>260</v>
      </c>
      <c r="S204" s="14" t="n">
        <v>34108</v>
      </c>
      <c r="T204" s="13" t="s">
        <v>40</v>
      </c>
      <c r="U204" s="13" t="s">
        <v>949</v>
      </c>
      <c r="V204" s="13" t="s">
        <v>42</v>
      </c>
      <c r="W204" s="13" t="s">
        <v>43</v>
      </c>
      <c r="X204" s="21" t="n">
        <v>81515715200</v>
      </c>
      <c r="Y204" s="22" t="str">
        <f aca="false">O204</f>
        <v>Produksi</v>
      </c>
      <c r="Z204" s="13" t="str">
        <f aca="false">IFERROR(__xludf.dummyfunction("if(BJ204="""","""",GOOGLETRANSLATE(BJ204,""auto"",""en""))"),"Production")</f>
        <v>Production</v>
      </c>
      <c r="AA204" s="23" t="str">
        <f aca="false">IF(C204="","", CHOOSE(MONTH(C204),"January","February","March","April","May","June","July","August","September","October","November","December")&amp;" "&amp;DAY(C204)&amp;MID("thstndrdth",MIN(9,2*RIGHT(DAY(C204))*(MOD(DAY(C204)-11,100)&gt;2)+1),2)&amp;","&amp;TEXT(C204," yyyy"))</f>
        <v>January 2nd,2019</v>
      </c>
      <c r="AB204" s="15" t="str">
        <f aca="true">IF(S204="","",DATEDIF(S204,TODAY(),"Y")&amp;" Tahun, "&amp;DATEDIF(S204,TODAY(),"YM")&amp;" Bulan, "&amp;DATEDIF(S204,TODAY(),"MD")&amp;" Hari")</f>
        <v>33 Tahun, 5 Bulan, 10 Hari</v>
      </c>
      <c r="AC204" s="18" t="n">
        <v>45658</v>
      </c>
      <c r="AD204" s="18" t="n">
        <v>46022</v>
      </c>
      <c r="AE204" s="18" t="s">
        <v>44</v>
      </c>
    </row>
    <row r="205" customFormat="false" ht="15" hidden="false" customHeight="true" outlineLevel="0" collapsed="false">
      <c r="A205" s="12" t="n">
        <v>1488</v>
      </c>
      <c r="B205" s="13" t="s">
        <v>950</v>
      </c>
      <c r="C205" s="14" t="n">
        <v>43843</v>
      </c>
      <c r="D205" s="13" t="s">
        <v>885</v>
      </c>
      <c r="E205" s="15" t="s">
        <v>47</v>
      </c>
      <c r="F205" s="15" t="str">
        <f aca="false">IFERROR(__xludf.dummyfunction("XLOOKUP(AJ205,IMPORTRANGE(""1XaInW9DU9nz21V0tYIfzFQ0He9kVQ_JF2mCXgZ3hqFA"",""REKAP ALL 2026 - Andika!G:G""),IMPORTRANGE(""1XaInW9DU9nz21V0tYIfzFQ0He9kVQ_JF2mCXgZ3hqFA"",""REKAP ALL 2026 - Andika!F:F""),"""",0)"),"20023283755")</f>
        <v>20023283755</v>
      </c>
      <c r="G205" s="13" t="s">
        <v>951</v>
      </c>
      <c r="H205" s="13" t="s">
        <v>35</v>
      </c>
      <c r="I205" s="13" t="str">
        <f aca="false">IF(C205=J205,"NEW KONTRAK","RE-KONTRAK")</f>
        <v>RE-KONTRAK</v>
      </c>
      <c r="J205" s="16" t="n">
        <f aca="false" t="array" ref="J205:J205">IFERROR(INDEX(AC205:AE205,IF(COUNTA(AC205:AE205)=0,"",MAX((AC205:AE205&lt;&gt;"")*(COLUMN(AC205:AE205)-(COLUMN(AC205)))))-1),"")</f>
        <v>45839</v>
      </c>
      <c r="K205" s="16" t="n">
        <f aca="false" t="array" ref="K205:K205">IFERROR(INDEX(AC205:AE205,IF(COUNTA(AC205:AE205)=0,"",MAX((AC205:AE205&lt;&gt;"")*(COLUMN(AC205:AE205)-(COLUMN(AC205)-1))))-1),"")</f>
        <v>46022</v>
      </c>
      <c r="L205" s="17" t="str">
        <f aca="false" t="array" ref="L205:L205">IFERROR(INDEX(AC205:AE205,IF(COUNTA(AC205:AE205)=0,"",MAX((AC205:AE205&lt;&gt;"")*(COLUMN(AC205:AE205)-(COLUMN(AC205)-2))))-1),"")</f>
        <v>ARCHIVED</v>
      </c>
      <c r="M205" s="13" t="n">
        <f aca="true">K205-TODAY()</f>
        <v>-302</v>
      </c>
      <c r="N205" s="18" t="s">
        <v>728</v>
      </c>
      <c r="O205" s="13" t="s">
        <v>58</v>
      </c>
      <c r="P205" s="27" t="n">
        <v>5176101</v>
      </c>
      <c r="Q205" s="20" t="s">
        <v>952</v>
      </c>
      <c r="R205" s="13" t="s">
        <v>52</v>
      </c>
      <c r="S205" s="14" t="n">
        <v>30062</v>
      </c>
      <c r="T205" s="13" t="s">
        <v>40</v>
      </c>
      <c r="U205" s="13" t="s">
        <v>953</v>
      </c>
      <c r="V205" s="13" t="s">
        <v>42</v>
      </c>
      <c r="W205" s="13" t="s">
        <v>54</v>
      </c>
      <c r="X205" s="21" t="n">
        <v>81703934510</v>
      </c>
      <c r="Y205" s="22" t="str">
        <f aca="false">O205</f>
        <v>Produksi</v>
      </c>
      <c r="Z205" s="13" t="str">
        <f aca="false">IFERROR(__xludf.dummyfunction("if(BJ205="""","""",GOOGLETRANSLATE(BJ205,""auto"",""en""))"),"Production")</f>
        <v>Production</v>
      </c>
      <c r="AA205" s="23" t="str">
        <f aca="false">IF(C205="","", CHOOSE(MONTH(C205),"January","February","March","April","May","June","July","August","September","October","November","December")&amp;" "&amp;DAY(C205)&amp;MID("thstndrdth",MIN(9,2*RIGHT(DAY(C205))*(MOD(DAY(C205)-11,100)&gt;2)+1),2)&amp;","&amp;TEXT(C205," yyyy"))</f>
        <v>January 13th,2020</v>
      </c>
      <c r="AB205" s="15" t="str">
        <f aca="true">IF(S205="","",DATEDIF(S205,TODAY(),"Y")&amp;" Tahun, "&amp;DATEDIF(S205,TODAY(),"YM")&amp;" Bulan, "&amp;DATEDIF(S205,TODAY(),"MD")&amp;" Hari")</f>
        <v>44 Tahun, 6 Bulan, 8 Hari</v>
      </c>
      <c r="AC205" s="18" t="n">
        <v>45839</v>
      </c>
      <c r="AD205" s="18" t="n">
        <v>46022</v>
      </c>
      <c r="AE205" s="18" t="s">
        <v>44</v>
      </c>
    </row>
    <row r="206" customFormat="false" ht="15" hidden="false" customHeight="true" outlineLevel="0" collapsed="false">
      <c r="A206" s="12" t="n">
        <v>1489</v>
      </c>
      <c r="B206" s="13" t="s">
        <v>954</v>
      </c>
      <c r="C206" s="14" t="n">
        <v>43467</v>
      </c>
      <c r="D206" s="13" t="s">
        <v>885</v>
      </c>
      <c r="E206" s="15" t="s">
        <v>789</v>
      </c>
      <c r="F206" s="24" t="s">
        <v>955</v>
      </c>
      <c r="G206" s="13" t="s">
        <v>956</v>
      </c>
      <c r="H206" s="13" t="s">
        <v>35</v>
      </c>
      <c r="I206" s="13" t="str">
        <f aca="false">IF(C206=J206,"NEW KONTRAK","RE-KONTRAK")</f>
        <v>RE-KONTRAK</v>
      </c>
      <c r="J206" s="16" t="n">
        <f aca="false" t="array" ref="J206:J206">IFERROR(INDEX(AC206:AE206,IF(COUNTA(AC206:AE206)=0,"",MAX((AC206:AE206&lt;&gt;"")*(COLUMN(AC206:AE206)-(COLUMN(AC206)))))-1),"")</f>
        <v>45839</v>
      </c>
      <c r="K206" s="16" t="n">
        <f aca="false" t="array" ref="K206:K206">IFERROR(INDEX(AC206:AE206,IF(COUNTA(AC206:AE206)=0,"",MAX((AC206:AE206&lt;&gt;"")*(COLUMN(AC206:AE206)-(COLUMN(AC206)-1))))-1),"")</f>
        <v>46022</v>
      </c>
      <c r="L206" s="17" t="str">
        <f aca="false" t="array" ref="L206:L206">IFERROR(INDEX(AC206:AE206,IF(COUNTA(AC206:AE206)=0,"",MAX((AC206:AE206&lt;&gt;"")*(COLUMN(AC206:AE206)-(COLUMN(AC206)-2))))-1),"")</f>
        <v>ARCHIVED</v>
      </c>
      <c r="M206" s="13" t="n">
        <f aca="true">K206-TODAY()</f>
        <v>-302</v>
      </c>
      <c r="N206" s="18" t="s">
        <v>728</v>
      </c>
      <c r="O206" s="13" t="s">
        <v>58</v>
      </c>
      <c r="P206" s="27" t="n">
        <v>5176101</v>
      </c>
      <c r="Q206" s="20" t="s">
        <v>957</v>
      </c>
      <c r="R206" s="13" t="s">
        <v>958</v>
      </c>
      <c r="S206" s="14" t="n">
        <v>35692</v>
      </c>
      <c r="T206" s="13" t="s">
        <v>40</v>
      </c>
      <c r="U206" s="13" t="s">
        <v>959</v>
      </c>
      <c r="V206" s="13" t="s">
        <v>42</v>
      </c>
      <c r="W206" s="13" t="s">
        <v>43</v>
      </c>
      <c r="X206" s="21" t="n">
        <v>85708559048</v>
      </c>
      <c r="Y206" s="22" t="str">
        <f aca="false">O206</f>
        <v>Produksi</v>
      </c>
      <c r="Z206" s="13" t="str">
        <f aca="false">IFERROR(__xludf.dummyfunction("if(BJ206="""","""",GOOGLETRANSLATE(BJ206,""auto"",""en""))"),"Production")</f>
        <v>Production</v>
      </c>
      <c r="AA206" s="23" t="str">
        <f aca="false">IF(C206="","", CHOOSE(MONTH(C206),"January","February","March","April","May","June","July","August","September","October","November","December")&amp;" "&amp;DAY(C206)&amp;MID("thstndrdth",MIN(9,2*RIGHT(DAY(C206))*(MOD(DAY(C206)-11,100)&gt;2)+1),2)&amp;","&amp;TEXT(C206," yyyy"))</f>
        <v>January 2nd,2019</v>
      </c>
      <c r="AB206" s="15" t="str">
        <f aca="true">IF(S206="","",DATEDIF(S206,TODAY(),"Y")&amp;" Tahun, "&amp;DATEDIF(S206,TODAY(),"YM")&amp;" Bulan, "&amp;DATEDIF(S206,TODAY(),"MD")&amp;" Hari")</f>
        <v>29 Tahun, 1 Bulan, 10 Hari</v>
      </c>
      <c r="AC206" s="18" t="n">
        <v>45839</v>
      </c>
      <c r="AD206" s="18" t="n">
        <v>46022</v>
      </c>
      <c r="AE206" s="18" t="s">
        <v>44</v>
      </c>
    </row>
    <row r="207" customFormat="false" ht="15" hidden="false" customHeight="true" outlineLevel="0" collapsed="false">
      <c r="A207" s="12" t="n">
        <v>1490</v>
      </c>
      <c r="B207" s="13" t="s">
        <v>960</v>
      </c>
      <c r="C207" s="14" t="n">
        <v>43507</v>
      </c>
      <c r="D207" s="13" t="s">
        <v>961</v>
      </c>
      <c r="E207" s="15" t="s">
        <v>47</v>
      </c>
      <c r="F207" s="15" t="str">
        <f aca="false">IFERROR(__xludf.dummyfunction("XLOOKUP(AJ207,IMPORTRANGE(""1XaInW9DU9nz21V0tYIfzFQ0He9kVQ_JF2mCXgZ3hqFA"",""REKAP ALL 2026 - Andika!G:G""),IMPORTRANGE(""1XaInW9DU9nz21V0tYIfzFQ0He9kVQ_JF2mCXgZ3hqFA"",""REKAP ALL 2026 - Andika!F:F""),"""",0)"),"17007101714")</f>
        <v>17007101714</v>
      </c>
      <c r="G207" s="13" t="s">
        <v>962</v>
      </c>
      <c r="H207" s="13" t="s">
        <v>963</v>
      </c>
      <c r="I207" s="13" t="str">
        <f aca="false">IF(C207=J207,"NEW KONTRAK","RE-KONTRAK")</f>
        <v>RE-KONTRAK</v>
      </c>
      <c r="J207" s="16" t="n">
        <f aca="false" t="array" ref="J207:J207">IFERROR(INDEX(AC207:AE207,IF(COUNTA(AC207:AE207)=0,"",MAX((AC207:AE207&lt;&gt;"")*(COLUMN(AC207:AE207)-(COLUMN(AC207)))))-1),"")</f>
        <v>45748</v>
      </c>
      <c r="K207" s="16" t="n">
        <f aca="false" t="array" ref="K207:K207">IFERROR(INDEX(AC207:AE207,IF(COUNTA(AC207:AE207)=0,"",MAX((AC207:AE207&lt;&gt;"")*(COLUMN(AC207:AE207)-(COLUMN(AC207)-1))))-1),"")</f>
        <v>46022</v>
      </c>
      <c r="L207" s="17" t="str">
        <f aca="false" t="array" ref="L207:L207">IFERROR(INDEX(AC207:AE207,IF(COUNTA(AC207:AE207)=0,"",MAX((AC207:AE207&lt;&gt;"")*(COLUMN(AC207:AE207)-(COLUMN(AC207)-2))))-1),"")</f>
        <v>ARCHIVED</v>
      </c>
      <c r="M207" s="13" t="n">
        <f aca="true">K207-TODAY()</f>
        <v>-302</v>
      </c>
      <c r="N207" s="18" t="s">
        <v>728</v>
      </c>
      <c r="O207" s="13" t="s">
        <v>964</v>
      </c>
      <c r="P207" s="19" t="n">
        <v>4961753</v>
      </c>
      <c r="Q207" s="20" t="s">
        <v>965</v>
      </c>
      <c r="R207" s="13" t="s">
        <v>52</v>
      </c>
      <c r="S207" s="14" t="n">
        <v>30721</v>
      </c>
      <c r="T207" s="13" t="s">
        <v>40</v>
      </c>
      <c r="U207" s="13" t="s">
        <v>966</v>
      </c>
      <c r="V207" s="13" t="s">
        <v>42</v>
      </c>
      <c r="W207" s="13" t="s">
        <v>54</v>
      </c>
      <c r="X207" s="21" t="n">
        <v>81358433338</v>
      </c>
      <c r="Y207" s="22" t="str">
        <f aca="false">O207</f>
        <v>Koordinator</v>
      </c>
      <c r="Z207" s="13" t="str">
        <f aca="false">IFERROR(__xludf.dummyfunction("if(BJ207="""","""",GOOGLETRANSLATE(BJ207,""auto"",""en""))"),"Coordinator")</f>
        <v>Coordinator</v>
      </c>
      <c r="AA207" s="23" t="str">
        <f aca="false">IF(C207="","", CHOOSE(MONTH(C207),"January","February","March","April","May","June","July","August","September","October","November","December")&amp;" "&amp;DAY(C207)&amp;MID("thstndrdth",MIN(9,2*RIGHT(DAY(C207))*(MOD(DAY(C207)-11,100)&gt;2)+1),2)&amp;","&amp;TEXT(C207," yyyy"))</f>
        <v>February 11th,2019</v>
      </c>
      <c r="AB207" s="15" t="str">
        <f aca="true">IF(S207="","",DATEDIF(S207,TODAY(),"Y")&amp;" Tahun, "&amp;DATEDIF(S207,TODAY(),"YM")&amp;" Bulan, "&amp;DATEDIF(S207,TODAY(),"MD")&amp;" Hari")</f>
        <v>42 Tahun, 8 Bulan, 20 Hari</v>
      </c>
      <c r="AC207" s="18" t="n">
        <v>45748</v>
      </c>
      <c r="AD207" s="18" t="n">
        <v>46022</v>
      </c>
      <c r="AE207" s="18" t="s">
        <v>44</v>
      </c>
    </row>
    <row r="208" customFormat="false" ht="15" hidden="false" customHeight="true" outlineLevel="0" collapsed="false">
      <c r="A208" s="12" t="n">
        <v>1492</v>
      </c>
      <c r="B208" s="13" t="s">
        <v>967</v>
      </c>
      <c r="C208" s="14" t="n">
        <v>43467</v>
      </c>
      <c r="D208" s="13" t="s">
        <v>885</v>
      </c>
      <c r="E208" s="15" t="s">
        <v>47</v>
      </c>
      <c r="F208" s="15" t="str">
        <f aca="false">IFERROR(__xludf.dummyfunction("XLOOKUP(AJ208,IMPORTRANGE(""1XaInW9DU9nz21V0tYIfzFQ0He9kVQ_JF2mCXgZ3hqFA"",""REKAP ALL 2026 - Andika!G:G""),IMPORTRANGE(""1XaInW9DU9nz21V0tYIfzFQ0He9kVQ_JF2mCXgZ3hqFA"",""REKAP ALL 2026 - Andika!F:F""),"""",0)"),"19000866632")</f>
        <v>19000866632</v>
      </c>
      <c r="G208" s="13" t="s">
        <v>968</v>
      </c>
      <c r="H208" s="13" t="s">
        <v>35</v>
      </c>
      <c r="I208" s="13" t="str">
        <f aca="false">IF(C208=J208,"NEW KONTRAK","RE-KONTRAK")</f>
        <v>RE-KONTRAK</v>
      </c>
      <c r="J208" s="16" t="n">
        <f aca="false" t="array" ref="J208:J208">IFERROR(INDEX(AC208:AE208,IF(COUNTA(AC208:AE208)=0,"",MAX((AC208:AE208&lt;&gt;"")*(COLUMN(AC208:AE208)-(COLUMN(AC208)))))-1),"")</f>
        <v>45658</v>
      </c>
      <c r="K208" s="16" t="n">
        <f aca="false" t="array" ref="K208:K208">IFERROR(INDEX(AC208:AE208,IF(COUNTA(AC208:AE208)=0,"",MAX((AC208:AE208&lt;&gt;"")*(COLUMN(AC208:AE208)-(COLUMN(AC208)-1))))-1),"")</f>
        <v>46022</v>
      </c>
      <c r="L208" s="17" t="str">
        <f aca="false" t="array" ref="L208:L208">IFERROR(INDEX(AC208:AE208,IF(COUNTA(AC208:AE208)=0,"",MAX((AC208:AE208&lt;&gt;"")*(COLUMN(AC208:AE208)-(COLUMN(AC208)-2))))-1),"")</f>
        <v>ARCHIVED</v>
      </c>
      <c r="M208" s="13" t="n">
        <f aca="true">K208-TODAY()</f>
        <v>-302</v>
      </c>
      <c r="N208" s="18" t="s">
        <v>728</v>
      </c>
      <c r="O208" s="13" t="s">
        <v>58</v>
      </c>
      <c r="P208" s="27" t="n">
        <v>5176101</v>
      </c>
      <c r="Q208" s="20" t="s">
        <v>969</v>
      </c>
      <c r="R208" s="13" t="s">
        <v>73</v>
      </c>
      <c r="S208" s="14" t="n">
        <v>28539</v>
      </c>
      <c r="T208" s="13" t="s">
        <v>40</v>
      </c>
      <c r="U208" s="13" t="s">
        <v>970</v>
      </c>
      <c r="V208" s="13" t="s">
        <v>42</v>
      </c>
      <c r="W208" s="13" t="s">
        <v>54</v>
      </c>
      <c r="X208" s="21" t="n">
        <v>81217500127</v>
      </c>
      <c r="Y208" s="22" t="str">
        <f aca="false">O208</f>
        <v>Produksi</v>
      </c>
      <c r="Z208" s="13" t="str">
        <f aca="false">IFERROR(__xludf.dummyfunction("if(BJ208="""","""",GOOGLETRANSLATE(BJ208,""auto"",""en""))"),"Production")</f>
        <v>Production</v>
      </c>
      <c r="AA208" s="23" t="str">
        <f aca="false">IF(C208="","", CHOOSE(MONTH(C208),"January","February","March","April","May","June","July","August","September","October","November","December")&amp;" "&amp;DAY(C208)&amp;MID("thstndrdth",MIN(9,2*RIGHT(DAY(C208))*(MOD(DAY(C208)-11,100)&gt;2)+1),2)&amp;","&amp;TEXT(C208," yyyy"))</f>
        <v>January 2nd,2019</v>
      </c>
      <c r="AB208" s="15" t="str">
        <f aca="true">IF(S208="","",DATEDIF(S208,TODAY(),"Y")&amp;" Tahun, "&amp;DATEDIF(S208,TODAY(),"YM")&amp;" Bulan, "&amp;DATEDIF(S208,TODAY(),"MD")&amp;" Hari")</f>
        <v>48 Tahun, 8 Bulan, 11 Hari</v>
      </c>
      <c r="AC208" s="18" t="n">
        <v>45658</v>
      </c>
      <c r="AD208" s="18" t="n">
        <v>46022</v>
      </c>
      <c r="AE208" s="18" t="s">
        <v>44</v>
      </c>
    </row>
    <row r="209" customFormat="false" ht="15" hidden="false" customHeight="true" outlineLevel="0" collapsed="false">
      <c r="A209" s="12" t="n">
        <v>1494</v>
      </c>
      <c r="B209" s="13" t="s">
        <v>971</v>
      </c>
      <c r="C209" s="14" t="n">
        <v>43467</v>
      </c>
      <c r="D209" s="13" t="s">
        <v>885</v>
      </c>
      <c r="E209" s="15" t="s">
        <v>47</v>
      </c>
      <c r="F209" s="15" t="str">
        <f aca="false">IFERROR(__xludf.dummyfunction("XLOOKUP(AJ209,IMPORTRANGE(""1XaInW9DU9nz21V0tYIfzFQ0He9kVQ_JF2mCXgZ3hqFA"",""REKAP ALL 2026 - Andika!G:G""),IMPORTRANGE(""1XaInW9DU9nz21V0tYIfzFQ0He9kVQ_JF2mCXgZ3hqFA"",""REKAP ALL 2026 - Andika!F:F""),"""",0)"),"17021488253")</f>
        <v>17021488253</v>
      </c>
      <c r="G209" s="13" t="s">
        <v>972</v>
      </c>
      <c r="H209" s="13" t="s">
        <v>35</v>
      </c>
      <c r="I209" s="13" t="str">
        <f aca="false">IF(C209=J209,"NEW KONTRAK","RE-KONTRAK")</f>
        <v>RE-KONTRAK</v>
      </c>
      <c r="J209" s="16" t="n">
        <f aca="false" t="array" ref="J209:J209">IFERROR(INDEX(AC209:AE209,IF(COUNTA(AC209:AE209)=0,"",MAX((AC209:AE209&lt;&gt;"")*(COLUMN(AC209:AE209)-(COLUMN(AC209)))))-1),"")</f>
        <v>45658</v>
      </c>
      <c r="K209" s="16" t="n">
        <f aca="false" t="array" ref="K209:K209">IFERROR(INDEX(AC209:AE209,IF(COUNTA(AC209:AE209)=0,"",MAX((AC209:AE209&lt;&gt;"")*(COLUMN(AC209:AE209)-(COLUMN(AC209)-1))))-1),"")</f>
        <v>46022</v>
      </c>
      <c r="L209" s="17" t="str">
        <f aca="false" t="array" ref="L209:L209">IFERROR(INDEX(AC209:AE209,IF(COUNTA(AC209:AE209)=0,"",MAX((AC209:AE209&lt;&gt;"")*(COLUMN(AC209:AE209)-(COLUMN(AC209)-2))))-1),"")</f>
        <v>ARCHIVED</v>
      </c>
      <c r="M209" s="13" t="n">
        <f aca="true">K209-TODAY()</f>
        <v>-302</v>
      </c>
      <c r="N209" s="18" t="s">
        <v>728</v>
      </c>
      <c r="O209" s="13" t="s">
        <v>58</v>
      </c>
      <c r="P209" s="27" t="n">
        <v>5176101</v>
      </c>
      <c r="Q209" s="20" t="s">
        <v>973</v>
      </c>
      <c r="R209" s="13" t="s">
        <v>39</v>
      </c>
      <c r="S209" s="14" t="n">
        <v>30336</v>
      </c>
      <c r="T209" s="13" t="s">
        <v>40</v>
      </c>
      <c r="U209" s="13" t="s">
        <v>974</v>
      </c>
      <c r="V209" s="13" t="s">
        <v>42</v>
      </c>
      <c r="W209" s="13" t="s">
        <v>54</v>
      </c>
      <c r="X209" s="21" t="n">
        <v>89612381742</v>
      </c>
      <c r="Y209" s="22" t="str">
        <f aca="false">O209</f>
        <v>Produksi</v>
      </c>
      <c r="Z209" s="13" t="str">
        <f aca="false">IFERROR(__xludf.dummyfunction("if(BJ209="""","""",GOOGLETRANSLATE(BJ209,""auto"",""en""))"),"Production")</f>
        <v>Production</v>
      </c>
      <c r="AA209" s="23" t="str">
        <f aca="false">IF(C209="","", CHOOSE(MONTH(C209),"January","February","March","April","May","June","July","August","September","October","November","December")&amp;" "&amp;DAY(C209)&amp;MID("thstndrdth",MIN(9,2*RIGHT(DAY(C209))*(MOD(DAY(C209)-11,100)&gt;2)+1),2)&amp;","&amp;TEXT(C209," yyyy"))</f>
        <v>January 2nd,2019</v>
      </c>
      <c r="AB209" s="15" t="str">
        <f aca="true">IF(S209="","",DATEDIF(S209,TODAY(),"Y")&amp;" Tahun, "&amp;DATEDIF(S209,TODAY(),"YM")&amp;" Bulan, "&amp;DATEDIF(S209,TODAY(),"MD")&amp;" Hari")</f>
        <v>43 Tahun, 9 Bulan, 9 Hari</v>
      </c>
      <c r="AC209" s="18" t="n">
        <v>45658</v>
      </c>
      <c r="AD209" s="18" t="n">
        <v>46022</v>
      </c>
      <c r="AE209" s="18" t="s">
        <v>44</v>
      </c>
    </row>
    <row r="210" customFormat="false" ht="15" hidden="false" customHeight="true" outlineLevel="0" collapsed="false">
      <c r="A210" s="12" t="n">
        <v>1495</v>
      </c>
      <c r="B210" s="13" t="s">
        <v>975</v>
      </c>
      <c r="C210" s="14" t="n">
        <v>43815</v>
      </c>
      <c r="D210" s="13" t="s">
        <v>961</v>
      </c>
      <c r="E210" s="15" t="s">
        <v>47</v>
      </c>
      <c r="F210" s="15" t="str">
        <f aca="false">IFERROR(__xludf.dummyfunction("XLOOKUP(AJ210,IMPORTRANGE(""1XaInW9DU9nz21V0tYIfzFQ0He9kVQ_JF2mCXgZ3hqFA"",""REKAP ALL 2026 - Andika!G:G""),IMPORTRANGE(""1XaInW9DU9nz21V0tYIfzFQ0He9kVQ_JF2mCXgZ3hqFA"",""REKAP ALL 2026 - Andika!F:F""),"""",0)"),"20002501193")</f>
        <v>20002501193</v>
      </c>
      <c r="G210" s="13" t="s">
        <v>976</v>
      </c>
      <c r="H210" s="13" t="s">
        <v>963</v>
      </c>
      <c r="I210" s="13" t="str">
        <f aca="false">IF(C210=J210,"NEW KONTRAK","RE-KONTRAK")</f>
        <v>RE-KONTRAK</v>
      </c>
      <c r="J210" s="16" t="n">
        <f aca="false" t="array" ref="J210:J210">IFERROR(INDEX(AC210:AE210,IF(COUNTA(AC210:AE210)=0,"",MAX((AC210:AE210&lt;&gt;"")*(COLUMN(AC210:AE210)-(COLUMN(AC210)))))-1),"")</f>
        <v>45658</v>
      </c>
      <c r="K210" s="16" t="n">
        <f aca="false" t="array" ref="K210:K210">IFERROR(INDEX(AC210:AE210,IF(COUNTA(AC210:AE210)=0,"",MAX((AC210:AE210&lt;&gt;"")*(COLUMN(AC210:AE210)-(COLUMN(AC210)-1))))-1),"")</f>
        <v>46022</v>
      </c>
      <c r="L210" s="17" t="str">
        <f aca="false" t="array" ref="L210:L210">IFERROR(INDEX(AC210:AE210,IF(COUNTA(AC210:AE210)=0,"",MAX((AC210:AE210&lt;&gt;"")*(COLUMN(AC210:AE210)-(COLUMN(AC210)-2))))-1),"")</f>
        <v>ARCHIVED</v>
      </c>
      <c r="M210" s="13" t="n">
        <f aca="true">K210-TODAY()</f>
        <v>-302</v>
      </c>
      <c r="N210" s="18" t="s">
        <v>728</v>
      </c>
      <c r="O210" s="13" t="s">
        <v>977</v>
      </c>
      <c r="P210" s="19" t="n">
        <v>4961753</v>
      </c>
      <c r="Q210" s="20" t="s">
        <v>978</v>
      </c>
      <c r="R210" s="13" t="s">
        <v>260</v>
      </c>
      <c r="S210" s="14" t="n">
        <v>34843</v>
      </c>
      <c r="T210" s="13" t="s">
        <v>108</v>
      </c>
      <c r="U210" s="13" t="s">
        <v>979</v>
      </c>
      <c r="V210" s="13" t="s">
        <v>42</v>
      </c>
      <c r="W210" s="13" t="s">
        <v>43</v>
      </c>
      <c r="X210" s="21" t="n">
        <v>85161240595</v>
      </c>
      <c r="Y210" s="22" t="str">
        <f aca="false">O210</f>
        <v>QA</v>
      </c>
      <c r="Z210" s="13" t="str">
        <f aca="false">IFERROR(__xludf.dummyfunction("if(BJ210="""","""",GOOGLETRANSLATE(BJ210,""auto"",""en""))"),"QA")</f>
        <v>QA</v>
      </c>
      <c r="AA210" s="23" t="str">
        <f aca="false">IF(C210="","", CHOOSE(MONTH(C210),"January","February","March","April","May","June","July","August","September","October","November","December")&amp;" "&amp;DAY(C210)&amp;MID("thstndrdth",MIN(9,2*RIGHT(DAY(C210))*(MOD(DAY(C210)-11,100)&gt;2)+1),2)&amp;","&amp;TEXT(C210," yyyy"))</f>
        <v>December 16th,2019</v>
      </c>
      <c r="AB210" s="15" t="str">
        <f aca="true">IF(S210="","",DATEDIF(S210,TODAY(),"Y")&amp;" Tahun, "&amp;DATEDIF(S210,TODAY(),"YM")&amp;" Bulan, "&amp;DATEDIF(S210,TODAY(),"MD")&amp;" Hari")</f>
        <v>31 Tahun, 5 Bulan, 5 Hari</v>
      </c>
      <c r="AC210" s="18" t="n">
        <v>45658</v>
      </c>
      <c r="AD210" s="18" t="n">
        <v>46022</v>
      </c>
      <c r="AE210" s="18" t="s">
        <v>44</v>
      </c>
    </row>
    <row r="211" customFormat="false" ht="15" hidden="false" customHeight="true" outlineLevel="0" collapsed="false">
      <c r="A211" s="12" t="n">
        <v>1498</v>
      </c>
      <c r="B211" s="13" t="s">
        <v>980</v>
      </c>
      <c r="C211" s="14" t="n">
        <v>43467</v>
      </c>
      <c r="D211" s="13" t="s">
        <v>885</v>
      </c>
      <c r="E211" s="15" t="s">
        <v>47</v>
      </c>
      <c r="F211" s="15" t="str">
        <f aca="false">IFERROR(__xludf.dummyfunction("XLOOKUP(AJ211,IMPORTRANGE(""1XaInW9DU9nz21V0tYIfzFQ0He9kVQ_JF2mCXgZ3hqFA"",""REKAP ALL 2026 - Andika!G:G""),IMPORTRANGE(""1XaInW9DU9nz21V0tYIfzFQ0He9kVQ_JF2mCXgZ3hqFA"",""REKAP ALL 2026 - Andika!F:F""),"""",0)"),"19000867101")</f>
        <v>19000867101</v>
      </c>
      <c r="G211" s="13" t="s">
        <v>981</v>
      </c>
      <c r="H211" s="13" t="s">
        <v>35</v>
      </c>
      <c r="I211" s="13" t="str">
        <f aca="false">IF(C211=J211,"NEW KONTRAK","RE-KONTRAK")</f>
        <v>RE-KONTRAK</v>
      </c>
      <c r="J211" s="16" t="n">
        <f aca="false" t="array" ref="J211:J211">IFERROR(INDEX(AC211:AE211,IF(COUNTA(AC211:AE211)=0,"",MAX((AC211:AE211&lt;&gt;"")*(COLUMN(AC211:AE211)-(COLUMN(AC211)))))-1),"")</f>
        <v>45839</v>
      </c>
      <c r="K211" s="16" t="n">
        <f aca="false" t="array" ref="K211:K211">IFERROR(INDEX(AC211:AE211,IF(COUNTA(AC211:AE211)=0,"",MAX((AC211:AE211&lt;&gt;"")*(COLUMN(AC211:AE211)-(COLUMN(AC211)-1))))-1),"")</f>
        <v>46022</v>
      </c>
      <c r="L211" s="17" t="str">
        <f aca="false" t="array" ref="L211:L211">IFERROR(INDEX(AC211:AE211,IF(COUNTA(AC211:AE211)=0,"",MAX((AC211:AE211&lt;&gt;"")*(COLUMN(AC211:AE211)-(COLUMN(AC211)-2))))-1),"")</f>
        <v>ARCHIVED</v>
      </c>
      <c r="M211" s="13" t="n">
        <f aca="true">K211-TODAY()</f>
        <v>-302</v>
      </c>
      <c r="N211" s="18" t="s">
        <v>728</v>
      </c>
      <c r="O211" s="13" t="s">
        <v>58</v>
      </c>
      <c r="P211" s="27" t="n">
        <v>5176101</v>
      </c>
      <c r="Q211" s="20" t="s">
        <v>982</v>
      </c>
      <c r="R211" s="13" t="s">
        <v>39</v>
      </c>
      <c r="S211" s="14" t="n">
        <v>34070</v>
      </c>
      <c r="T211" s="13" t="s">
        <v>40</v>
      </c>
      <c r="U211" s="13" t="s">
        <v>983</v>
      </c>
      <c r="V211" s="13" t="s">
        <v>42</v>
      </c>
      <c r="W211" s="13" t="s">
        <v>43</v>
      </c>
      <c r="X211" s="21" t="n">
        <v>89676301716</v>
      </c>
      <c r="Y211" s="22" t="str">
        <f aca="false">O211</f>
        <v>Produksi</v>
      </c>
      <c r="Z211" s="13" t="str">
        <f aca="false">IFERROR(__xludf.dummyfunction("if(BJ211="""","""",GOOGLETRANSLATE(BJ211,""auto"",""en""))"),"Production")</f>
        <v>Production</v>
      </c>
      <c r="AA211" s="23" t="str">
        <f aca="false">IF(C211="","", CHOOSE(MONTH(C211),"January","February","March","April","May","June","July","August","September","October","November","December")&amp;" "&amp;DAY(C211)&amp;MID("thstndrdth",MIN(9,2*RIGHT(DAY(C211))*(MOD(DAY(C211)-11,100)&gt;2)+1),2)&amp;","&amp;TEXT(C211," yyyy"))</f>
        <v>January 2nd,2019</v>
      </c>
      <c r="AB211" s="15" t="str">
        <f aca="true">IF(S211="","",DATEDIF(S211,TODAY(),"Y")&amp;" Tahun, "&amp;DATEDIF(S211,TODAY(),"YM")&amp;" Bulan, "&amp;DATEDIF(S211,TODAY(),"MD")&amp;" Hari")</f>
        <v>33 Tahun, 6 Bulan, 18 Hari</v>
      </c>
      <c r="AC211" s="18" t="n">
        <v>45839</v>
      </c>
      <c r="AD211" s="18" t="n">
        <v>46022</v>
      </c>
      <c r="AE211" s="18" t="s">
        <v>44</v>
      </c>
    </row>
    <row r="212" customFormat="false" ht="15" hidden="false" customHeight="true" outlineLevel="0" collapsed="false">
      <c r="A212" s="12" t="n">
        <v>1499</v>
      </c>
      <c r="B212" s="13" t="s">
        <v>984</v>
      </c>
      <c r="C212" s="14" t="n">
        <v>43467</v>
      </c>
      <c r="D212" s="13" t="s">
        <v>885</v>
      </c>
      <c r="E212" s="15" t="s">
        <v>47</v>
      </c>
      <c r="F212" s="15" t="str">
        <f aca="false">IFERROR(__xludf.dummyfunction("XLOOKUP(AJ212,IMPORTRANGE(""1XaInW9DU9nz21V0tYIfzFQ0He9kVQ_JF2mCXgZ3hqFA"",""REKAP ALL 2026 - Andika!G:G""),IMPORTRANGE(""1XaInW9DU9nz21V0tYIfzFQ0He9kVQ_JF2mCXgZ3hqFA"",""REKAP ALL 2026 - Andika!F:F""),"""",0)"),"19000866848")</f>
        <v>19000866848</v>
      </c>
      <c r="G212" s="13" t="s">
        <v>985</v>
      </c>
      <c r="H212" s="13" t="s">
        <v>35</v>
      </c>
      <c r="I212" s="13" t="str">
        <f aca="false">IF(C212=J212,"NEW KONTRAK","RE-KONTRAK")</f>
        <v>RE-KONTRAK</v>
      </c>
      <c r="J212" s="16" t="n">
        <f aca="false" t="array" ref="J212:J212">IFERROR(INDEX(AC212:AE212,IF(COUNTA(AC212:AE212)=0,"",MAX((AC212:AE212&lt;&gt;"")*(COLUMN(AC212:AE212)-(COLUMN(AC212)))))-1),"")</f>
        <v>45839</v>
      </c>
      <c r="K212" s="16" t="n">
        <f aca="false" t="array" ref="K212:K212">IFERROR(INDEX(AC212:AE212,IF(COUNTA(AC212:AE212)=0,"",MAX((AC212:AE212&lt;&gt;"")*(COLUMN(AC212:AE212)-(COLUMN(AC212)-1))))-1),"")</f>
        <v>46022</v>
      </c>
      <c r="L212" s="17" t="str">
        <f aca="false" t="array" ref="L212:L212">IFERROR(INDEX(AC212:AE212,IF(COUNTA(AC212:AE212)=0,"",MAX((AC212:AE212&lt;&gt;"")*(COLUMN(AC212:AE212)-(COLUMN(AC212)-2))))-1),"")</f>
        <v>ARCHIVED</v>
      </c>
      <c r="M212" s="13" t="n">
        <f aca="true">K212-TODAY()</f>
        <v>-302</v>
      </c>
      <c r="N212" s="18" t="s">
        <v>728</v>
      </c>
      <c r="O212" s="13" t="s">
        <v>58</v>
      </c>
      <c r="P212" s="27" t="n">
        <v>5176101</v>
      </c>
      <c r="Q212" s="20" t="s">
        <v>986</v>
      </c>
      <c r="R212" s="13" t="s">
        <v>52</v>
      </c>
      <c r="S212" s="14" t="n">
        <v>34552</v>
      </c>
      <c r="T212" s="13" t="s">
        <v>40</v>
      </c>
      <c r="U212" s="13" t="s">
        <v>987</v>
      </c>
      <c r="V212" s="13" t="s">
        <v>42</v>
      </c>
      <c r="W212" s="13" t="s">
        <v>54</v>
      </c>
      <c r="X212" s="21" t="n">
        <v>89616384149</v>
      </c>
      <c r="Y212" s="22" t="str">
        <f aca="false">O212</f>
        <v>Produksi</v>
      </c>
      <c r="Z212" s="13" t="str">
        <f aca="false">IFERROR(__xludf.dummyfunction("if(BJ212="""","""",GOOGLETRANSLATE(BJ212,""auto"",""en""))"),"Production")</f>
        <v>Production</v>
      </c>
      <c r="AA212" s="23" t="str">
        <f aca="false">IF(C212="","", CHOOSE(MONTH(C212),"January","February","March","April","May","June","July","August","September","October","November","December")&amp;" "&amp;DAY(C212)&amp;MID("thstndrdth",MIN(9,2*RIGHT(DAY(C212))*(MOD(DAY(C212)-11,100)&gt;2)+1),2)&amp;","&amp;TEXT(C212," yyyy"))</f>
        <v>January 2nd,2019</v>
      </c>
      <c r="AB212" s="15" t="str">
        <f aca="true">IF(S212="","",DATEDIF(S212,TODAY(),"Y")&amp;" Tahun, "&amp;DATEDIF(S212,TODAY(),"YM")&amp;" Bulan, "&amp;DATEDIF(S212,TODAY(),"MD")&amp;" Hari")</f>
        <v>32 Tahun, 2 Bulan, 23 Hari</v>
      </c>
      <c r="AC212" s="18" t="n">
        <v>45839</v>
      </c>
      <c r="AD212" s="18" t="n">
        <v>46022</v>
      </c>
      <c r="AE212" s="18" t="s">
        <v>44</v>
      </c>
    </row>
    <row r="213" customFormat="false" ht="15" hidden="false" customHeight="true" outlineLevel="0" collapsed="false">
      <c r="A213" s="12" t="n">
        <v>1500</v>
      </c>
      <c r="B213" s="13" t="s">
        <v>988</v>
      </c>
      <c r="C213" s="14" t="n">
        <v>43467</v>
      </c>
      <c r="D213" s="13" t="s">
        <v>885</v>
      </c>
      <c r="E213" s="15" t="s">
        <v>47</v>
      </c>
      <c r="F213" s="15" t="str">
        <f aca="false">IFERROR(__xludf.dummyfunction("XLOOKUP(AJ213,IMPORTRANGE(""1XaInW9DU9nz21V0tYIfzFQ0He9kVQ_JF2mCXgZ3hqFA"",""REKAP ALL 2026 - Andika!G:G""),IMPORTRANGE(""1XaInW9DU9nz21V0tYIfzFQ0He9kVQ_JF2mCXgZ3hqFA"",""REKAP ALL 2026 - Andika!F:F""),"""",0)"),"19000866855")</f>
        <v>19000866855</v>
      </c>
      <c r="G213" s="13" t="s">
        <v>989</v>
      </c>
      <c r="H213" s="13" t="s">
        <v>35</v>
      </c>
      <c r="I213" s="13" t="str">
        <f aca="false">IF(C213=J213,"NEW KONTRAK","RE-KONTRAK")</f>
        <v>RE-KONTRAK</v>
      </c>
      <c r="J213" s="16" t="n">
        <f aca="false" t="array" ref="J213:J213">IFERROR(INDEX(AC213:AE213,IF(COUNTA(AC213:AE213)=0,"",MAX((AC213:AE213&lt;&gt;"")*(COLUMN(AC213:AE213)-(COLUMN(AC213)))))-1),"")</f>
        <v>45839</v>
      </c>
      <c r="K213" s="16" t="n">
        <f aca="false" t="array" ref="K213:K213">IFERROR(INDEX(AC213:AE213,IF(COUNTA(AC213:AE213)=0,"",MAX((AC213:AE213&lt;&gt;"")*(COLUMN(AC213:AE213)-(COLUMN(AC213)-1))))-1),"")</f>
        <v>46022</v>
      </c>
      <c r="L213" s="17" t="str">
        <f aca="false" t="array" ref="L213:L213">IFERROR(INDEX(AC213:AE213,IF(COUNTA(AC213:AE213)=0,"",MAX((AC213:AE213&lt;&gt;"")*(COLUMN(AC213:AE213)-(COLUMN(AC213)-2))))-1),"")</f>
        <v>ARCHIVED</v>
      </c>
      <c r="M213" s="13" t="n">
        <f aca="true">K213-TODAY()</f>
        <v>-302</v>
      </c>
      <c r="N213" s="18" t="s">
        <v>728</v>
      </c>
      <c r="O213" s="13" t="s">
        <v>58</v>
      </c>
      <c r="P213" s="27" t="n">
        <v>5176101</v>
      </c>
      <c r="Q213" s="20" t="s">
        <v>990</v>
      </c>
      <c r="R213" s="13" t="s">
        <v>52</v>
      </c>
      <c r="S213" s="14" t="n">
        <v>29567</v>
      </c>
      <c r="T213" s="13" t="s">
        <v>40</v>
      </c>
      <c r="U213" s="13" t="s">
        <v>991</v>
      </c>
      <c r="V213" s="13" t="s">
        <v>42</v>
      </c>
      <c r="W213" s="13" t="s">
        <v>54</v>
      </c>
      <c r="X213" s="21" t="n">
        <v>85764094346</v>
      </c>
      <c r="Y213" s="22" t="str">
        <f aca="false">O213</f>
        <v>Produksi</v>
      </c>
      <c r="Z213" s="13" t="str">
        <f aca="false">IFERROR(__xludf.dummyfunction("if(BJ213="""","""",GOOGLETRANSLATE(BJ213,""auto"",""en""))"),"Production")</f>
        <v>Production</v>
      </c>
      <c r="AA213" s="23" t="str">
        <f aca="false">IF(C213="","", CHOOSE(MONTH(C213),"January","February","March","April","May","June","July","August","September","October","November","December")&amp;" "&amp;DAY(C213)&amp;MID("thstndrdth",MIN(9,2*RIGHT(DAY(C213))*(MOD(DAY(C213)-11,100)&gt;2)+1),2)&amp;","&amp;TEXT(C213," yyyy"))</f>
        <v>January 2nd,2019</v>
      </c>
      <c r="AB213" s="15" t="str">
        <f aca="true">IF(S213="","",DATEDIF(S213,TODAY(),"Y")&amp;" Tahun, "&amp;DATEDIF(S213,TODAY(),"YM")&amp;" Bulan, "&amp;DATEDIF(S213,TODAY(),"MD")&amp;" Hari")</f>
        <v>45 Tahun, 10 Bulan, 17 Hari</v>
      </c>
      <c r="AC213" s="18" t="n">
        <v>45839</v>
      </c>
      <c r="AD213" s="18" t="n">
        <v>46022</v>
      </c>
      <c r="AE213" s="18" t="s">
        <v>44</v>
      </c>
    </row>
    <row r="214" customFormat="false" ht="15" hidden="false" customHeight="true" outlineLevel="0" collapsed="false">
      <c r="A214" s="12" t="n">
        <v>1504</v>
      </c>
      <c r="B214" s="13" t="s">
        <v>992</v>
      </c>
      <c r="C214" s="14" t="n">
        <v>44158</v>
      </c>
      <c r="D214" s="13" t="s">
        <v>961</v>
      </c>
      <c r="E214" s="15" t="s">
        <v>47</v>
      </c>
      <c r="F214" s="15" t="str">
        <f aca="false">IFERROR(__xludf.dummyfunction("XLOOKUP(AJ214,IMPORTRANGE(""1XaInW9DU9nz21V0tYIfzFQ0He9kVQ_JF2mCXgZ3hqFA"",""REKAP ALL 2026 - Andika!G:G""),IMPORTRANGE(""1XaInW9DU9nz21V0tYIfzFQ0He9kVQ_JF2mCXgZ3hqFA"",""REKAP ALL 2026 - Andika!F:F""),"""",0)"),"21012841827")</f>
        <v>21012841827</v>
      </c>
      <c r="G214" s="13" t="s">
        <v>993</v>
      </c>
      <c r="H214" s="13" t="s">
        <v>35</v>
      </c>
      <c r="I214" s="13" t="str">
        <f aca="false">IF(C214=J214,"NEW KONTRAK","RE-KONTRAK")</f>
        <v>RE-KONTRAK</v>
      </c>
      <c r="J214" s="16" t="n">
        <f aca="false" t="array" ref="J214:J214">IFERROR(INDEX(AC214:AE214,IF(COUNTA(AC214:AE214)=0,"",MAX((AC214:AE214&lt;&gt;"")*(COLUMN(AC214:AE214)-(COLUMN(AC214)))))-1),"")</f>
        <v>45658</v>
      </c>
      <c r="K214" s="16" t="n">
        <f aca="false" t="array" ref="K214:K214">IFERROR(INDEX(AC214:AE214,IF(COUNTA(AC214:AE214)=0,"",MAX((AC214:AE214&lt;&gt;"")*(COLUMN(AC214:AE214)-(COLUMN(AC214)-1))))-1),"")</f>
        <v>46022</v>
      </c>
      <c r="L214" s="17" t="str">
        <f aca="false" t="array" ref="L214:L214">IFERROR(INDEX(AC214:AE214,IF(COUNTA(AC214:AE214)=0,"",MAX((AC214:AE214&lt;&gt;"")*(COLUMN(AC214:AE214)-(COLUMN(AC214)-2))))-1),"")</f>
        <v>ARCHIVED</v>
      </c>
      <c r="M214" s="13" t="n">
        <f aca="true">K214-TODAY()</f>
        <v>-302</v>
      </c>
      <c r="N214" s="18" t="s">
        <v>728</v>
      </c>
      <c r="O214" s="13" t="s">
        <v>977</v>
      </c>
      <c r="P214" s="27" t="n">
        <v>4961753</v>
      </c>
      <c r="Q214" s="20" t="s">
        <v>994</v>
      </c>
      <c r="R214" s="13" t="s">
        <v>83</v>
      </c>
      <c r="S214" s="14" t="n">
        <v>35041</v>
      </c>
      <c r="T214" s="13" t="s">
        <v>40</v>
      </c>
      <c r="U214" s="13" t="s">
        <v>995</v>
      </c>
      <c r="V214" s="13" t="s">
        <v>42</v>
      </c>
      <c r="W214" s="13" t="s">
        <v>54</v>
      </c>
      <c r="X214" s="21" t="n">
        <v>81252053415</v>
      </c>
      <c r="Y214" s="22" t="str">
        <f aca="false">O214</f>
        <v>QA</v>
      </c>
      <c r="Z214" s="13" t="str">
        <f aca="false">IFERROR(__xludf.dummyfunction("if(BJ214="""","""",GOOGLETRANSLATE(BJ214,""auto"",""en""))"),"QA")</f>
        <v>QA</v>
      </c>
      <c r="AA214" s="23" t="str">
        <f aca="false">IF(C214="","", CHOOSE(MONTH(C214),"January","February","March","April","May","June","July","August","September","October","November","December")&amp;" "&amp;DAY(C214)&amp;MID("thstndrdth",MIN(9,2*RIGHT(DAY(C214))*(MOD(DAY(C214)-11,100)&gt;2)+1),2)&amp;","&amp;TEXT(C214," yyyy"))</f>
        <v>November 23rd,2020</v>
      </c>
      <c r="AB214" s="15" t="str">
        <f aca="true">IF(S214="","",DATEDIF(S214,TODAY(),"Y")&amp;" Tahun, "&amp;DATEDIF(S214,TODAY(),"YM")&amp;" Bulan, "&amp;DATEDIF(S214,TODAY(),"MD")&amp;" Hari")</f>
        <v>30 Tahun, 10 Bulan, 21 Hari</v>
      </c>
      <c r="AC214" s="18" t="n">
        <v>45658</v>
      </c>
      <c r="AD214" s="18" t="n">
        <v>46022</v>
      </c>
      <c r="AE214" s="18" t="s">
        <v>44</v>
      </c>
    </row>
    <row r="215" customFormat="false" ht="15" hidden="false" customHeight="true" outlineLevel="0" collapsed="false">
      <c r="A215" s="12" t="n">
        <v>1505</v>
      </c>
      <c r="B215" s="13" t="s">
        <v>996</v>
      </c>
      <c r="C215" s="14" t="n">
        <v>43467</v>
      </c>
      <c r="D215" s="13" t="s">
        <v>885</v>
      </c>
      <c r="E215" s="15" t="s">
        <v>47</v>
      </c>
      <c r="F215" s="15" t="str">
        <f aca="false">IFERROR(__xludf.dummyfunction("XLOOKUP(AJ215,IMPORTRANGE(""1XaInW9DU9nz21V0tYIfzFQ0He9kVQ_JF2mCXgZ3hqFA"",""REKAP ALL 2026 - Andika!G:G""),IMPORTRANGE(""1XaInW9DU9nz21V0tYIfzFQ0He9kVQ_JF2mCXgZ3hqFA"",""REKAP ALL 2026 - Andika!F:F""),"""",0)"),"19000867135")</f>
        <v>19000867135</v>
      </c>
      <c r="G215" s="13" t="s">
        <v>997</v>
      </c>
      <c r="H215" s="13" t="s">
        <v>35</v>
      </c>
      <c r="I215" s="13" t="str">
        <f aca="false">IF(C215=J215,"NEW KONTRAK","RE-KONTRAK")</f>
        <v>RE-KONTRAK</v>
      </c>
      <c r="J215" s="16" t="n">
        <f aca="false" t="array" ref="J215:J215">IFERROR(INDEX(AC215:AE215,IF(COUNTA(AC215:AE215)=0,"",MAX((AC215:AE215&lt;&gt;"")*(COLUMN(AC215:AE215)-(COLUMN(AC215)))))-1),"")</f>
        <v>45658</v>
      </c>
      <c r="K215" s="16" t="n">
        <f aca="false" t="array" ref="K215:K215">IFERROR(INDEX(AC215:AE215,IF(COUNTA(AC215:AE215)=0,"",MAX((AC215:AE215&lt;&gt;"")*(COLUMN(AC215:AE215)-(COLUMN(AC215)-1))))-1),"")</f>
        <v>46022</v>
      </c>
      <c r="L215" s="17" t="str">
        <f aca="false" t="array" ref="L215:L215">IFERROR(INDEX(AC215:AE215,IF(COUNTA(AC215:AE215)=0,"",MAX((AC215:AE215&lt;&gt;"")*(COLUMN(AC215:AE215)-(COLUMN(AC215)-2))))-1),"")</f>
        <v>ARCHIVED</v>
      </c>
      <c r="M215" s="13" t="n">
        <f aca="true">K215-TODAY()</f>
        <v>-302</v>
      </c>
      <c r="N215" s="18" t="s">
        <v>728</v>
      </c>
      <c r="O215" s="13" t="s">
        <v>58</v>
      </c>
      <c r="P215" s="27" t="n">
        <v>5176101</v>
      </c>
      <c r="Q215" s="20" t="s">
        <v>998</v>
      </c>
      <c r="R215" s="13" t="s">
        <v>39</v>
      </c>
      <c r="S215" s="14" t="n">
        <v>36179</v>
      </c>
      <c r="T215" s="13" t="s">
        <v>40</v>
      </c>
      <c r="U215" s="13" t="s">
        <v>999</v>
      </c>
      <c r="V215" s="13" t="s">
        <v>42</v>
      </c>
      <c r="W215" s="13" t="s">
        <v>43</v>
      </c>
      <c r="X215" s="21" t="n">
        <v>8990478829</v>
      </c>
      <c r="Y215" s="22" t="str">
        <f aca="false">O215</f>
        <v>Produksi</v>
      </c>
      <c r="Z215" s="13" t="str">
        <f aca="false">IFERROR(__xludf.dummyfunction("if(BJ215="""","""",GOOGLETRANSLATE(BJ215,""auto"",""en""))"),"Production")</f>
        <v>Production</v>
      </c>
      <c r="AA215" s="23" t="str">
        <f aca="false">IF(C215="","", CHOOSE(MONTH(C215),"January","February","March","April","May","June","July","August","September","October","November","December")&amp;" "&amp;DAY(C215)&amp;MID("thstndrdth",MIN(9,2*RIGHT(DAY(C215))*(MOD(DAY(C215)-11,100)&gt;2)+1),2)&amp;","&amp;TEXT(C215," yyyy"))</f>
        <v>January 2nd,2019</v>
      </c>
      <c r="AB215" s="15" t="str">
        <f aca="true">IF(S215="","",DATEDIF(S215,TODAY(),"Y")&amp;" Tahun, "&amp;DATEDIF(S215,TODAY(),"YM")&amp;" Bulan, "&amp;DATEDIF(S215,TODAY(),"MD")&amp;" Hari")</f>
        <v>27 Tahun, 9 Bulan, 10 Hari</v>
      </c>
      <c r="AC215" s="18" t="n">
        <v>45658</v>
      </c>
      <c r="AD215" s="18" t="n">
        <v>46022</v>
      </c>
      <c r="AE215" s="18" t="s">
        <v>44</v>
      </c>
    </row>
    <row r="216" customFormat="false" ht="15" hidden="false" customHeight="true" outlineLevel="0" collapsed="false">
      <c r="A216" s="12" t="n">
        <v>1506</v>
      </c>
      <c r="B216" s="13" t="s">
        <v>1000</v>
      </c>
      <c r="C216" s="14" t="n">
        <v>43467</v>
      </c>
      <c r="D216" s="13" t="s">
        <v>885</v>
      </c>
      <c r="E216" s="15" t="s">
        <v>47</v>
      </c>
      <c r="F216" s="15" t="str">
        <f aca="false">IFERROR(__xludf.dummyfunction("XLOOKUP(AJ216,IMPORTRANGE(""1XaInW9DU9nz21V0tYIfzFQ0He9kVQ_JF2mCXgZ3hqFA"",""REKAP ALL 2026 - Andika!G:G""),IMPORTRANGE(""1XaInW9DU9nz21V0tYIfzFQ0He9kVQ_JF2mCXgZ3hqFA"",""REKAP ALL 2026 - Andika!F:F""),"""",0)"),"19000867168")</f>
        <v>19000867168</v>
      </c>
      <c r="G216" s="13" t="s">
        <v>1001</v>
      </c>
      <c r="H216" s="13" t="s">
        <v>35</v>
      </c>
      <c r="I216" s="13" t="str">
        <f aca="false">IF(C216=J216,"NEW KONTRAK","RE-KONTRAK")</f>
        <v>RE-KONTRAK</v>
      </c>
      <c r="J216" s="16" t="n">
        <f aca="false" t="array" ref="J216:J216">IFERROR(INDEX(AC216:AE216,IF(COUNTA(AC216:AE216)=0,"",MAX((AC216:AE216&lt;&gt;"")*(COLUMN(AC216:AE216)-(COLUMN(AC216)))))-1),"")</f>
        <v>45658</v>
      </c>
      <c r="K216" s="16" t="n">
        <f aca="false" t="array" ref="K216:K216">IFERROR(INDEX(AC216:AE216,IF(COUNTA(AC216:AE216)=0,"",MAX((AC216:AE216&lt;&gt;"")*(COLUMN(AC216:AE216)-(COLUMN(AC216)-1))))-1),"")</f>
        <v>46022</v>
      </c>
      <c r="L216" s="17" t="str">
        <f aca="false" t="array" ref="L216:L216">IFERROR(INDEX(AC216:AE216,IF(COUNTA(AC216:AE216)=0,"",MAX((AC216:AE216&lt;&gt;"")*(COLUMN(AC216:AE216)-(COLUMN(AC216)-2))))-1),"")</f>
        <v>ARCHIVED</v>
      </c>
      <c r="M216" s="13" t="n">
        <f aca="true">K216-TODAY()</f>
        <v>-302</v>
      </c>
      <c r="N216" s="18" t="s">
        <v>728</v>
      </c>
      <c r="O216" s="13" t="s">
        <v>58</v>
      </c>
      <c r="P216" s="27" t="n">
        <v>5176101</v>
      </c>
      <c r="Q216" s="20" t="s">
        <v>1002</v>
      </c>
      <c r="R216" s="13" t="s">
        <v>39</v>
      </c>
      <c r="S216" s="14" t="n">
        <v>35463</v>
      </c>
      <c r="T216" s="13" t="s">
        <v>40</v>
      </c>
      <c r="U216" s="13" t="s">
        <v>1003</v>
      </c>
      <c r="V216" s="13" t="s">
        <v>42</v>
      </c>
      <c r="W216" s="13" t="s">
        <v>43</v>
      </c>
      <c r="X216" s="21" t="n">
        <v>85731423138</v>
      </c>
      <c r="Y216" s="22" t="str">
        <f aca="false">O216</f>
        <v>Produksi</v>
      </c>
      <c r="Z216" s="13" t="str">
        <f aca="false">IFERROR(__xludf.dummyfunction("if(BJ216="""","""",GOOGLETRANSLATE(BJ216,""auto"",""en""))"),"Production")</f>
        <v>Production</v>
      </c>
      <c r="AA216" s="23" t="str">
        <f aca="false">IF(C216="","", CHOOSE(MONTH(C216),"January","February","March","April","May","June","July","August","September","October","November","December")&amp;" "&amp;DAY(C216)&amp;MID("thstndrdth",MIN(9,2*RIGHT(DAY(C216))*(MOD(DAY(C216)-11,100)&gt;2)+1),2)&amp;","&amp;TEXT(C216," yyyy"))</f>
        <v>January 2nd,2019</v>
      </c>
      <c r="AB216" s="15" t="str">
        <f aca="true">IF(S216="","",DATEDIF(S216,TODAY(),"Y")&amp;" Tahun, "&amp;DATEDIF(S216,TODAY(),"YM")&amp;" Bulan, "&amp;DATEDIF(S216,TODAY(),"MD")&amp;" Hari")</f>
        <v>29 Tahun, 8 Bulan, 27 Hari</v>
      </c>
      <c r="AC216" s="18" t="n">
        <v>45658</v>
      </c>
      <c r="AD216" s="18" t="n">
        <v>46022</v>
      </c>
      <c r="AE216" s="18" t="s">
        <v>44</v>
      </c>
    </row>
    <row r="217" customFormat="false" ht="15" hidden="false" customHeight="true" outlineLevel="0" collapsed="false">
      <c r="A217" s="12" t="n">
        <v>1509</v>
      </c>
      <c r="B217" s="13" t="s">
        <v>1004</v>
      </c>
      <c r="C217" s="14" t="n">
        <v>43467</v>
      </c>
      <c r="D217" s="13" t="s">
        <v>885</v>
      </c>
      <c r="E217" s="15" t="s">
        <v>47</v>
      </c>
      <c r="F217" s="15" t="str">
        <f aca="false">IFERROR(__xludf.dummyfunction("XLOOKUP(AJ217,IMPORTRANGE(""1XaInW9DU9nz21V0tYIfzFQ0He9kVQ_JF2mCXgZ3hqFA"",""REKAP ALL 2026 - Andika!G:G""),IMPORTRANGE(""1XaInW9DU9nz21V0tYIfzFQ0He9kVQ_JF2mCXgZ3hqFA"",""REKAP ALL 2026 - Andika!F:F""),"""",0)"),"17021488378")</f>
        <v>17021488378</v>
      </c>
      <c r="G217" s="13" t="s">
        <v>1005</v>
      </c>
      <c r="H217" s="13" t="s">
        <v>35</v>
      </c>
      <c r="I217" s="13" t="str">
        <f aca="false">IF(C217=J217,"NEW KONTRAK","RE-KONTRAK")</f>
        <v>RE-KONTRAK</v>
      </c>
      <c r="J217" s="16" t="n">
        <f aca="false" t="array" ref="J217:J217">IFERROR(INDEX(AC217:AE217,IF(COUNTA(AC217:AE217)=0,"",MAX((AC217:AE217&lt;&gt;"")*(COLUMN(AC217:AE217)-(COLUMN(AC217)))))-1),"")</f>
        <v>45658</v>
      </c>
      <c r="K217" s="16" t="n">
        <f aca="false" t="array" ref="K217:K217">IFERROR(INDEX(AC217:AE217,IF(COUNTA(AC217:AE217)=0,"",MAX((AC217:AE217&lt;&gt;"")*(COLUMN(AC217:AE217)-(COLUMN(AC217)-1))))-1),"")</f>
        <v>46022</v>
      </c>
      <c r="L217" s="17" t="str">
        <f aca="false" t="array" ref="L217:L217">IFERROR(INDEX(AC217:AE217,IF(COUNTA(AC217:AE217)=0,"",MAX((AC217:AE217&lt;&gt;"")*(COLUMN(AC217:AE217)-(COLUMN(AC217)-2))))-1),"")</f>
        <v>ARCHIVED</v>
      </c>
      <c r="M217" s="13" t="n">
        <f aca="true">K217-TODAY()</f>
        <v>-302</v>
      </c>
      <c r="N217" s="18" t="s">
        <v>728</v>
      </c>
      <c r="O217" s="13" t="s">
        <v>58</v>
      </c>
      <c r="P217" s="27" t="n">
        <v>5176101</v>
      </c>
      <c r="Q217" s="20" t="s">
        <v>1006</v>
      </c>
      <c r="R217" s="13" t="s">
        <v>39</v>
      </c>
      <c r="S217" s="14" t="n">
        <v>35332</v>
      </c>
      <c r="T217" s="13" t="s">
        <v>40</v>
      </c>
      <c r="U217" s="13" t="s">
        <v>1007</v>
      </c>
      <c r="V217" s="13" t="s">
        <v>42</v>
      </c>
      <c r="W217" s="13" t="s">
        <v>54</v>
      </c>
      <c r="X217" s="21" t="n">
        <v>89523368244</v>
      </c>
      <c r="Y217" s="22" t="str">
        <f aca="false">O217</f>
        <v>Produksi</v>
      </c>
      <c r="Z217" s="13" t="str">
        <f aca="false">IFERROR(__xludf.dummyfunction("if(BJ217="""","""",GOOGLETRANSLATE(BJ217,""auto"",""en""))"),"Production")</f>
        <v>Production</v>
      </c>
      <c r="AA217" s="23" t="str">
        <f aca="false">IF(C217="","", CHOOSE(MONTH(C217),"January","February","March","April","May","June","July","August","September","October","November","December")&amp;" "&amp;DAY(C217)&amp;MID("thstndrdth",MIN(9,2*RIGHT(DAY(C217))*(MOD(DAY(C217)-11,100)&gt;2)+1),2)&amp;","&amp;TEXT(C217," yyyy"))</f>
        <v>January 2nd,2019</v>
      </c>
      <c r="AB217" s="15" t="str">
        <f aca="true">IF(S217="","",DATEDIF(S217,TODAY(),"Y")&amp;" Tahun, "&amp;DATEDIF(S217,TODAY(),"YM")&amp;" Bulan, "&amp;DATEDIF(S217,TODAY(),"MD")&amp;" Hari")</f>
        <v>30 Tahun, 1 Bulan, 5 Hari</v>
      </c>
      <c r="AC217" s="18" t="n">
        <v>45658</v>
      </c>
      <c r="AD217" s="18" t="n">
        <v>46022</v>
      </c>
      <c r="AE217" s="18" t="s">
        <v>44</v>
      </c>
    </row>
    <row r="218" customFormat="false" ht="15" hidden="false" customHeight="true" outlineLevel="0" collapsed="false">
      <c r="A218" s="12" t="n">
        <v>1510</v>
      </c>
      <c r="B218" s="13" t="s">
        <v>1008</v>
      </c>
      <c r="C218" s="14" t="n">
        <v>43843</v>
      </c>
      <c r="D218" s="13" t="s">
        <v>885</v>
      </c>
      <c r="E218" s="15" t="s">
        <v>47</v>
      </c>
      <c r="F218" s="15" t="str">
        <f aca="false">IFERROR(__xludf.dummyfunction("XLOOKUP(AJ218,IMPORTRANGE(""1XaInW9DU9nz21V0tYIfzFQ0He9kVQ_JF2mCXgZ3hqFA"",""REKAP ALL 2026 - Andika!G:G""),IMPORTRANGE(""1XaInW9DU9nz21V0tYIfzFQ0He9kVQ_JF2mCXgZ3hqFA"",""REKAP ALL 2026 - Andika!F:F""),"""",0)"),"20013359151")</f>
        <v>20013359151</v>
      </c>
      <c r="G218" s="13" t="s">
        <v>1009</v>
      </c>
      <c r="H218" s="13" t="s">
        <v>35</v>
      </c>
      <c r="I218" s="13" t="str">
        <f aca="false">IF(C218=J218,"NEW KONTRAK","RE-KONTRAK")</f>
        <v>RE-KONTRAK</v>
      </c>
      <c r="J218" s="16" t="n">
        <f aca="false" t="array" ref="J218:J218">IFERROR(INDEX(AC218:AE218,IF(COUNTA(AC218:AE218)=0,"",MAX((AC218:AE218&lt;&gt;"")*(COLUMN(AC218:AE218)-(COLUMN(AC218)))))-1),"")</f>
        <v>45658</v>
      </c>
      <c r="K218" s="16" t="n">
        <f aca="false" t="array" ref="K218:K218">IFERROR(INDEX(AC218:AE218,IF(COUNTA(AC218:AE218)=0,"",MAX((AC218:AE218&lt;&gt;"")*(COLUMN(AC218:AE218)-(COLUMN(AC218)-1))))-1),"")</f>
        <v>46022</v>
      </c>
      <c r="L218" s="17" t="str">
        <f aca="false" t="array" ref="L218:L218">IFERROR(INDEX(AC218:AE218,IF(COUNTA(AC218:AE218)=0,"",MAX((AC218:AE218&lt;&gt;"")*(COLUMN(AC218:AE218)-(COLUMN(AC218)-2))))-1),"")</f>
        <v>ARCHIVED</v>
      </c>
      <c r="M218" s="13" t="n">
        <f aca="true">K218-TODAY()</f>
        <v>-302</v>
      </c>
      <c r="N218" s="18" t="s">
        <v>728</v>
      </c>
      <c r="O218" s="13" t="s">
        <v>58</v>
      </c>
      <c r="P218" s="27" t="n">
        <v>5176101</v>
      </c>
      <c r="Q218" s="20" t="s">
        <v>1010</v>
      </c>
      <c r="R218" s="13" t="s">
        <v>65</v>
      </c>
      <c r="S218" s="14" t="n">
        <v>34502</v>
      </c>
      <c r="T218" s="13" t="s">
        <v>40</v>
      </c>
      <c r="U218" s="13" t="s">
        <v>1011</v>
      </c>
      <c r="V218" s="13" t="s">
        <v>42</v>
      </c>
      <c r="W218" s="13" t="s">
        <v>54</v>
      </c>
      <c r="X218" s="21" t="n">
        <v>82233299949</v>
      </c>
      <c r="Y218" s="22" t="str">
        <f aca="false">O218</f>
        <v>Produksi</v>
      </c>
      <c r="Z218" s="13" t="str">
        <f aca="false">IFERROR(__xludf.dummyfunction("if(BJ218="""","""",GOOGLETRANSLATE(BJ218,""auto"",""en""))"),"Production")</f>
        <v>Production</v>
      </c>
      <c r="AA218" s="23" t="str">
        <f aca="false">IF(C218="","", CHOOSE(MONTH(C218),"January","February","March","April","May","June","July","August","September","October","November","December")&amp;" "&amp;DAY(C218)&amp;MID("thstndrdth",MIN(9,2*RIGHT(DAY(C218))*(MOD(DAY(C218)-11,100)&gt;2)+1),2)&amp;","&amp;TEXT(C218," yyyy"))</f>
        <v>January 13th,2020</v>
      </c>
      <c r="AB218" s="15" t="str">
        <f aca="true">IF(S218="","",DATEDIF(S218,TODAY(),"Y")&amp;" Tahun, "&amp;DATEDIF(S218,TODAY(),"YM")&amp;" Bulan, "&amp;DATEDIF(S218,TODAY(),"MD")&amp;" Hari")</f>
        <v>32 Tahun, 4 Bulan, 12 Hari</v>
      </c>
      <c r="AC218" s="18" t="n">
        <v>45658</v>
      </c>
      <c r="AD218" s="18" t="n">
        <v>46022</v>
      </c>
      <c r="AE218" s="18" t="s">
        <v>44</v>
      </c>
    </row>
    <row r="219" customFormat="false" ht="15" hidden="false" customHeight="true" outlineLevel="0" collapsed="false">
      <c r="A219" s="12" t="n">
        <v>1512</v>
      </c>
      <c r="B219" s="13" t="s">
        <v>1012</v>
      </c>
      <c r="C219" s="14" t="n">
        <v>43467</v>
      </c>
      <c r="D219" s="13" t="s">
        <v>885</v>
      </c>
      <c r="E219" s="15" t="s">
        <v>47</v>
      </c>
      <c r="F219" s="15" t="str">
        <f aca="false">IFERROR(__xludf.dummyfunction("XLOOKUP(AJ219,IMPORTRANGE(""1XaInW9DU9nz21V0tYIfzFQ0He9kVQ_JF2mCXgZ3hqFA"",""REKAP ALL 2026 - Andika!G:G""),IMPORTRANGE(""1XaInW9DU9nz21V0tYIfzFQ0He9kVQ_JF2mCXgZ3hqFA"",""REKAP ALL 2026 - Andika!F:F""),"""",0)"),"19000867481")</f>
        <v>19000867481</v>
      </c>
      <c r="G219" s="13" t="s">
        <v>1013</v>
      </c>
      <c r="H219" s="13" t="s">
        <v>35</v>
      </c>
      <c r="I219" s="13" t="str">
        <f aca="false">IF(C219=J219,"NEW KONTRAK","RE-KONTRAK")</f>
        <v>RE-KONTRAK</v>
      </c>
      <c r="J219" s="16" t="n">
        <f aca="false" t="array" ref="J219:J219">IFERROR(INDEX(AC219:AE219,IF(COUNTA(AC219:AE219)=0,"",MAX((AC219:AE219&lt;&gt;"")*(COLUMN(AC219:AE219)-(COLUMN(AC219)))))-1),"")</f>
        <v>45658</v>
      </c>
      <c r="K219" s="16" t="n">
        <f aca="false" t="array" ref="K219:K219">IFERROR(INDEX(AC219:AE219,IF(COUNTA(AC219:AE219)=0,"",MAX((AC219:AE219&lt;&gt;"")*(COLUMN(AC219:AE219)-(COLUMN(AC219)-1))))-1),"")</f>
        <v>46022</v>
      </c>
      <c r="L219" s="17" t="str">
        <f aca="false" t="array" ref="L219:L219">IFERROR(INDEX(AC219:AE219,IF(COUNTA(AC219:AE219)=0,"",MAX((AC219:AE219&lt;&gt;"")*(COLUMN(AC219:AE219)-(COLUMN(AC219)-2))))-1),"")</f>
        <v>ARCHIVED</v>
      </c>
      <c r="M219" s="13" t="n">
        <f aca="true">K219-TODAY()</f>
        <v>-302</v>
      </c>
      <c r="N219" s="18" t="s">
        <v>728</v>
      </c>
      <c r="O219" s="13" t="s">
        <v>58</v>
      </c>
      <c r="P219" s="27" t="n">
        <v>5176101</v>
      </c>
      <c r="Q219" s="20" t="s">
        <v>1014</v>
      </c>
      <c r="R219" s="13" t="s">
        <v>73</v>
      </c>
      <c r="S219" s="14" t="n">
        <v>34207</v>
      </c>
      <c r="T219" s="13" t="s">
        <v>40</v>
      </c>
      <c r="U219" s="13" t="s">
        <v>1015</v>
      </c>
      <c r="V219" s="13" t="s">
        <v>42</v>
      </c>
      <c r="W219" s="13" t="s">
        <v>43</v>
      </c>
      <c r="X219" s="21" t="n">
        <v>85733138578</v>
      </c>
      <c r="Y219" s="22" t="str">
        <f aca="false">O219</f>
        <v>Produksi</v>
      </c>
      <c r="Z219" s="13" t="str">
        <f aca="false">IFERROR(__xludf.dummyfunction("if(BJ219="""","""",GOOGLETRANSLATE(BJ219,""auto"",""en""))"),"Production")</f>
        <v>Production</v>
      </c>
      <c r="AA219" s="23" t="str">
        <f aca="false">IF(C219="","", CHOOSE(MONTH(C219),"January","February","March","April","May","June","July","August","September","October","November","December")&amp;" "&amp;DAY(C219)&amp;MID("thstndrdth",MIN(9,2*RIGHT(DAY(C219))*(MOD(DAY(C219)-11,100)&gt;2)+1),2)&amp;","&amp;TEXT(C219," yyyy"))</f>
        <v>January 2nd,2019</v>
      </c>
      <c r="AB219" s="15" t="str">
        <f aca="true">IF(S219="","",DATEDIF(S219,TODAY(),"Y")&amp;" Tahun, "&amp;DATEDIF(S219,TODAY(),"YM")&amp;" Bulan, "&amp;DATEDIF(S219,TODAY(),"MD")&amp;" Hari")</f>
        <v>33 Tahun, 2 Bulan, 3 Hari</v>
      </c>
      <c r="AC219" s="18" t="n">
        <v>45658</v>
      </c>
      <c r="AD219" s="18" t="n">
        <v>46022</v>
      </c>
      <c r="AE219" s="18" t="s">
        <v>44</v>
      </c>
    </row>
    <row r="220" customFormat="false" ht="15" hidden="false" customHeight="true" outlineLevel="0" collapsed="false">
      <c r="A220" s="12" t="n">
        <v>1514</v>
      </c>
      <c r="B220" s="13" t="s">
        <v>1016</v>
      </c>
      <c r="C220" s="14" t="n">
        <v>43467</v>
      </c>
      <c r="D220" s="13" t="s">
        <v>885</v>
      </c>
      <c r="E220" s="15" t="s">
        <v>47</v>
      </c>
      <c r="F220" s="15" t="str">
        <f aca="false">IFERROR(__xludf.dummyfunction("XLOOKUP(AJ220,IMPORTRANGE(""1XaInW9DU9nz21V0tYIfzFQ0He9kVQ_JF2mCXgZ3hqFA"",""REKAP ALL 2026 - Andika!G:G""),IMPORTRANGE(""1XaInW9DU9nz21V0tYIfzFQ0He9kVQ_JF2mCXgZ3hqFA"",""REKAP ALL 2026 - Andika!F:F""),"""",0)"),"19000867499")</f>
        <v>19000867499</v>
      </c>
      <c r="G220" s="13" t="s">
        <v>1017</v>
      </c>
      <c r="H220" s="13" t="s">
        <v>35</v>
      </c>
      <c r="I220" s="13" t="str">
        <f aca="false">IF(C220=J220,"NEW KONTRAK","RE-KONTRAK")</f>
        <v>RE-KONTRAK</v>
      </c>
      <c r="J220" s="16" t="n">
        <f aca="false" t="array" ref="J220:J220">IFERROR(INDEX(AC220:AE220,IF(COUNTA(AC220:AE220)=0,"",MAX((AC220:AE220&lt;&gt;"")*(COLUMN(AC220:AE220)-(COLUMN(AC220)))))-1),"")</f>
        <v>45658</v>
      </c>
      <c r="K220" s="16" t="n">
        <f aca="false" t="array" ref="K220:K220">IFERROR(INDEX(AC220:AE220,IF(COUNTA(AC220:AE220)=0,"",MAX((AC220:AE220&lt;&gt;"")*(COLUMN(AC220:AE220)-(COLUMN(AC220)-1))))-1),"")</f>
        <v>46022</v>
      </c>
      <c r="L220" s="17" t="str">
        <f aca="false" t="array" ref="L220:L220">IFERROR(INDEX(AC220:AE220,IF(COUNTA(AC220:AE220)=0,"",MAX((AC220:AE220&lt;&gt;"")*(COLUMN(AC220:AE220)-(COLUMN(AC220)-2))))-1),"")</f>
        <v>ARCHIVED</v>
      </c>
      <c r="M220" s="13" t="n">
        <f aca="true">K220-TODAY()</f>
        <v>-302</v>
      </c>
      <c r="N220" s="18" t="s">
        <v>728</v>
      </c>
      <c r="O220" s="13" t="s">
        <v>58</v>
      </c>
      <c r="P220" s="27" t="n">
        <v>5176101</v>
      </c>
      <c r="Q220" s="20" t="s">
        <v>1018</v>
      </c>
      <c r="R220" s="13" t="s">
        <v>73</v>
      </c>
      <c r="S220" s="14" t="n">
        <v>32354</v>
      </c>
      <c r="T220" s="13" t="s">
        <v>40</v>
      </c>
      <c r="U220" s="13" t="s">
        <v>1019</v>
      </c>
      <c r="V220" s="13" t="s">
        <v>42</v>
      </c>
      <c r="W220" s="13" t="s">
        <v>54</v>
      </c>
      <c r="X220" s="21" t="n">
        <v>85330057745</v>
      </c>
      <c r="Y220" s="22" t="str">
        <f aca="false">O220</f>
        <v>Produksi</v>
      </c>
      <c r="Z220" s="13" t="str">
        <f aca="false">IFERROR(__xludf.dummyfunction("if(BJ220="""","""",GOOGLETRANSLATE(BJ220,""auto"",""en""))"),"Production")</f>
        <v>Production</v>
      </c>
      <c r="AA220" s="23" t="str">
        <f aca="false">IF(C220="","", CHOOSE(MONTH(C220),"January","February","March","April","May","June","July","August","September","October","November","December")&amp;" "&amp;DAY(C220)&amp;MID("thstndrdth",MIN(9,2*RIGHT(DAY(C220))*(MOD(DAY(C220)-11,100)&gt;2)+1),2)&amp;","&amp;TEXT(C220," yyyy"))</f>
        <v>January 2nd,2019</v>
      </c>
      <c r="AB220" s="15" t="str">
        <f aca="true">IF(S220="","",DATEDIF(S220,TODAY(),"Y")&amp;" Tahun, "&amp;DATEDIF(S220,TODAY(),"YM")&amp;" Bulan, "&amp;DATEDIF(S220,TODAY(),"MD")&amp;" Hari")</f>
        <v>38 Tahun, 2 Bulan, 29 Hari</v>
      </c>
      <c r="AC220" s="18" t="n">
        <v>45658</v>
      </c>
      <c r="AD220" s="18" t="n">
        <v>46022</v>
      </c>
      <c r="AE220" s="18" t="s">
        <v>44</v>
      </c>
    </row>
    <row r="221" customFormat="false" ht="15" hidden="false" customHeight="true" outlineLevel="0" collapsed="false">
      <c r="A221" s="12" t="n">
        <v>1515</v>
      </c>
      <c r="B221" s="13" t="s">
        <v>1020</v>
      </c>
      <c r="C221" s="14" t="n">
        <v>43467</v>
      </c>
      <c r="D221" s="13" t="s">
        <v>885</v>
      </c>
      <c r="E221" s="15" t="s">
        <v>47</v>
      </c>
      <c r="F221" s="15" t="str">
        <f aca="false">IFERROR(__xludf.dummyfunction("XLOOKUP(AJ221,IMPORTRANGE(""1XaInW9DU9nz21V0tYIfzFQ0He9kVQ_JF2mCXgZ3hqFA"",""REKAP ALL 2026 - Andika!G:G""),IMPORTRANGE(""1XaInW9DU9nz21V0tYIfzFQ0He9kVQ_JF2mCXgZ3hqFA"",""REKAP ALL 2026 - Andika!F:F""),"""",0)"),"17011689159")</f>
        <v>17011689159</v>
      </c>
      <c r="G221" s="13" t="s">
        <v>1021</v>
      </c>
      <c r="H221" s="13" t="s">
        <v>35</v>
      </c>
      <c r="I221" s="13" t="str">
        <f aca="false">IF(C221=J221,"NEW KONTRAK","RE-KONTRAK")</f>
        <v>RE-KONTRAK</v>
      </c>
      <c r="J221" s="16" t="n">
        <f aca="false" t="array" ref="J221:J221">IFERROR(INDEX(AC221:AE221,IF(COUNTA(AC221:AE221)=0,"",MAX((AC221:AE221&lt;&gt;"")*(COLUMN(AC221:AE221)-(COLUMN(AC221)))))-1),"")</f>
        <v>45658</v>
      </c>
      <c r="K221" s="16" t="n">
        <f aca="false" t="array" ref="K221:K221">IFERROR(INDEX(AC221:AE221,IF(COUNTA(AC221:AE221)=0,"",MAX((AC221:AE221&lt;&gt;"")*(COLUMN(AC221:AE221)-(COLUMN(AC221)-1))))-1),"")</f>
        <v>46022</v>
      </c>
      <c r="L221" s="17" t="str">
        <f aca="false" t="array" ref="L221:L221">IFERROR(INDEX(AC221:AE221,IF(COUNTA(AC221:AE221)=0,"",MAX((AC221:AE221&lt;&gt;"")*(COLUMN(AC221:AE221)-(COLUMN(AC221)-2))))-1),"")</f>
        <v>ARCHIVED</v>
      </c>
      <c r="M221" s="13" t="n">
        <f aca="true">K221-TODAY()</f>
        <v>-302</v>
      </c>
      <c r="N221" s="18" t="s">
        <v>728</v>
      </c>
      <c r="O221" s="13" t="s">
        <v>58</v>
      </c>
      <c r="P221" s="27" t="n">
        <v>5176101</v>
      </c>
      <c r="Q221" s="20" t="s">
        <v>1022</v>
      </c>
      <c r="R221" s="13" t="s">
        <v>52</v>
      </c>
      <c r="S221" s="14" t="n">
        <v>35473</v>
      </c>
      <c r="T221" s="13" t="s">
        <v>40</v>
      </c>
      <c r="U221" s="13" t="s">
        <v>1023</v>
      </c>
      <c r="V221" s="13" t="s">
        <v>42</v>
      </c>
      <c r="W221" s="13" t="s">
        <v>43</v>
      </c>
      <c r="X221" s="21" t="n">
        <v>8983009498</v>
      </c>
      <c r="Y221" s="22" t="str">
        <f aca="false">O221</f>
        <v>Produksi</v>
      </c>
      <c r="Z221" s="13" t="str">
        <f aca="false">IFERROR(__xludf.dummyfunction("if(BJ221="""","""",GOOGLETRANSLATE(BJ221,""auto"",""en""))"),"Production")</f>
        <v>Production</v>
      </c>
      <c r="AA221" s="23" t="str">
        <f aca="false">IF(C221="","", CHOOSE(MONTH(C221),"January","February","March","April","May","June","July","August","September","October","November","December")&amp;" "&amp;DAY(C221)&amp;MID("thstndrdth",MIN(9,2*RIGHT(DAY(C221))*(MOD(DAY(C221)-11,100)&gt;2)+1),2)&amp;","&amp;TEXT(C221," yyyy"))</f>
        <v>January 2nd,2019</v>
      </c>
      <c r="AB221" s="15" t="str">
        <f aca="true">IF(S221="","",DATEDIF(S221,TODAY(),"Y")&amp;" Tahun, "&amp;DATEDIF(S221,TODAY(),"YM")&amp;" Bulan, "&amp;DATEDIF(S221,TODAY(),"MD")&amp;" Hari")</f>
        <v>29 Tahun, 8 Bulan, 17 Hari</v>
      </c>
      <c r="AC221" s="18" t="n">
        <v>45658</v>
      </c>
      <c r="AD221" s="18" t="n">
        <v>46022</v>
      </c>
      <c r="AE221" s="18" t="s">
        <v>44</v>
      </c>
    </row>
    <row r="222" customFormat="false" ht="15" hidden="false" customHeight="true" outlineLevel="0" collapsed="false">
      <c r="A222" s="12" t="n">
        <v>1516</v>
      </c>
      <c r="B222" s="13" t="s">
        <v>1024</v>
      </c>
      <c r="C222" s="14" t="n">
        <v>43476</v>
      </c>
      <c r="D222" s="13" t="s">
        <v>885</v>
      </c>
      <c r="E222" s="15" t="s">
        <v>47</v>
      </c>
      <c r="F222" s="15" t="str">
        <f aca="false">IFERROR(__xludf.dummyfunction("XLOOKUP(AJ222,IMPORTRANGE(""1XaInW9DU9nz21V0tYIfzFQ0He9kVQ_JF2mCXgZ3hqFA"",""REKAP ALL 2026 - Andika!G:G""),IMPORTRANGE(""1XaInW9DU9nz21V0tYIfzFQ0He9kVQ_JF2mCXgZ3hqFA"",""REKAP ALL 2026 - Andika!F:F""),"""",0)"),"19012095899")</f>
        <v>19012095899</v>
      </c>
      <c r="G222" s="13" t="s">
        <v>1025</v>
      </c>
      <c r="H222" s="13" t="s">
        <v>35</v>
      </c>
      <c r="I222" s="13" t="str">
        <f aca="false">IF(C222=J222,"NEW KONTRAK","RE-KONTRAK")</f>
        <v>RE-KONTRAK</v>
      </c>
      <c r="J222" s="16" t="n">
        <f aca="false" t="array" ref="J222:J222">IFERROR(INDEX(AC222:AE222,IF(COUNTA(AC222:AE222)=0,"",MAX((AC222:AE222&lt;&gt;"")*(COLUMN(AC222:AE222)-(COLUMN(AC222)))))-1),"")</f>
        <v>45658</v>
      </c>
      <c r="K222" s="16" t="n">
        <f aca="false" t="array" ref="K222:K222">IFERROR(INDEX(AC222:AE222,IF(COUNTA(AC222:AE222)=0,"",MAX((AC222:AE222&lt;&gt;"")*(COLUMN(AC222:AE222)-(COLUMN(AC222)-1))))-1),"")</f>
        <v>46022</v>
      </c>
      <c r="L222" s="17" t="str">
        <f aca="false" t="array" ref="L222:L222">IFERROR(INDEX(AC222:AE222,IF(COUNTA(AC222:AE222)=0,"",MAX((AC222:AE222&lt;&gt;"")*(COLUMN(AC222:AE222)-(COLUMN(AC222)-2))))-1),"")</f>
        <v>ARCHIVED</v>
      </c>
      <c r="M222" s="13" t="n">
        <f aca="true">K222-TODAY()</f>
        <v>-302</v>
      </c>
      <c r="N222" s="18" t="s">
        <v>728</v>
      </c>
      <c r="O222" s="13" t="s">
        <v>58</v>
      </c>
      <c r="P222" s="27" t="n">
        <v>5176101</v>
      </c>
      <c r="Q222" s="20" t="s">
        <v>1026</v>
      </c>
      <c r="R222" s="13" t="s">
        <v>73</v>
      </c>
      <c r="S222" s="14" t="n">
        <v>36676</v>
      </c>
      <c r="T222" s="13" t="s">
        <v>40</v>
      </c>
      <c r="U222" s="13" t="s">
        <v>1027</v>
      </c>
      <c r="V222" s="13" t="s">
        <v>42</v>
      </c>
      <c r="W222" s="13" t="s">
        <v>43</v>
      </c>
      <c r="X222" s="21" t="n">
        <v>89678668028</v>
      </c>
      <c r="Y222" s="22" t="str">
        <f aca="false">O222</f>
        <v>Produksi</v>
      </c>
      <c r="Z222" s="13" t="str">
        <f aca="false">IFERROR(__xludf.dummyfunction("if(BJ222="""","""",GOOGLETRANSLATE(BJ222,""auto"",""en""))"),"Production")</f>
        <v>Production</v>
      </c>
      <c r="AA222" s="23" t="str">
        <f aca="false">IF(C222="","", CHOOSE(MONTH(C222),"January","February","March","April","May","June","July","August","September","October","November","December")&amp;" "&amp;DAY(C222)&amp;MID("thstndrdth",MIN(9,2*RIGHT(DAY(C222))*(MOD(DAY(C222)-11,100)&gt;2)+1),2)&amp;","&amp;TEXT(C222," yyyy"))</f>
        <v>January 11th,2019</v>
      </c>
      <c r="AB222" s="15" t="str">
        <f aca="true">IF(S222="","",DATEDIF(S222,TODAY(),"Y")&amp;" Tahun, "&amp;DATEDIF(S222,TODAY(),"YM")&amp;" Bulan, "&amp;DATEDIF(S222,TODAY(),"MD")&amp;" Hari")</f>
        <v>26 Tahun, 4 Bulan, 29 Hari</v>
      </c>
      <c r="AC222" s="18" t="n">
        <v>45658</v>
      </c>
      <c r="AD222" s="18" t="n">
        <v>46022</v>
      </c>
      <c r="AE222" s="18" t="s">
        <v>44</v>
      </c>
    </row>
    <row r="223" customFormat="false" ht="15" hidden="false" customHeight="true" outlineLevel="0" collapsed="false">
      <c r="A223" s="12" t="n">
        <v>1517</v>
      </c>
      <c r="B223" s="13" t="s">
        <v>1028</v>
      </c>
      <c r="C223" s="14" t="n">
        <v>43467</v>
      </c>
      <c r="D223" s="13" t="s">
        <v>885</v>
      </c>
      <c r="E223" s="15" t="s">
        <v>47</v>
      </c>
      <c r="F223" s="15" t="str">
        <f aca="false">IFERROR(__xludf.dummyfunction("XLOOKUP(AJ223,IMPORTRANGE(""1XaInW9DU9nz21V0tYIfzFQ0He9kVQ_JF2mCXgZ3hqFA"",""REKAP ALL 2026 - Andika!G:G""),IMPORTRANGE(""1XaInW9DU9nz21V0tYIfzFQ0He9kVQ_JF2mCXgZ3hqFA"",""REKAP ALL 2026 - Andika!F:F""),"""",0)"),"19000867192")</f>
        <v>19000867192</v>
      </c>
      <c r="G223" s="13" t="s">
        <v>1029</v>
      </c>
      <c r="H223" s="13" t="s">
        <v>35</v>
      </c>
      <c r="I223" s="13" t="str">
        <f aca="false">IF(C223=J223,"NEW KONTRAK","RE-KONTRAK")</f>
        <v>RE-KONTRAK</v>
      </c>
      <c r="J223" s="16" t="n">
        <f aca="false" t="array" ref="J223:J223">IFERROR(INDEX(AC223:AE223,IF(COUNTA(AC223:AE223)=0,"",MAX((AC223:AE223&lt;&gt;"")*(COLUMN(AC223:AE223)-(COLUMN(AC223)))))-1),"")</f>
        <v>45839</v>
      </c>
      <c r="K223" s="16" t="n">
        <f aca="false" t="array" ref="K223:K223">IFERROR(INDEX(AC223:AE223,IF(COUNTA(AC223:AE223)=0,"",MAX((AC223:AE223&lt;&gt;"")*(COLUMN(AC223:AE223)-(COLUMN(AC223)-1))))-1),"")</f>
        <v>46022</v>
      </c>
      <c r="L223" s="17" t="str">
        <f aca="false" t="array" ref="L223:L223">IFERROR(INDEX(AC223:AE223,IF(COUNTA(AC223:AE223)=0,"",MAX((AC223:AE223&lt;&gt;"")*(COLUMN(AC223:AE223)-(COLUMN(AC223)-2))))-1),"")</f>
        <v>ARCHIVED</v>
      </c>
      <c r="M223" s="13" t="n">
        <f aca="true">K223-TODAY()</f>
        <v>-302</v>
      </c>
      <c r="N223" s="18" t="s">
        <v>728</v>
      </c>
      <c r="O223" s="13" t="s">
        <v>58</v>
      </c>
      <c r="P223" s="27" t="n">
        <v>5176101</v>
      </c>
      <c r="Q223" s="20" t="s">
        <v>1030</v>
      </c>
      <c r="R223" s="13" t="s">
        <v>83</v>
      </c>
      <c r="S223" s="14" t="n">
        <v>35661</v>
      </c>
      <c r="T223" s="13" t="s">
        <v>40</v>
      </c>
      <c r="U223" s="13" t="s">
        <v>1031</v>
      </c>
      <c r="V223" s="13" t="s">
        <v>42</v>
      </c>
      <c r="W223" s="13" t="s">
        <v>43</v>
      </c>
      <c r="X223" s="21" t="n">
        <v>81252710485</v>
      </c>
      <c r="Y223" s="22" t="str">
        <f aca="false">O223</f>
        <v>Produksi</v>
      </c>
      <c r="Z223" s="13" t="str">
        <f aca="false">IFERROR(__xludf.dummyfunction("if(BJ223="""","""",GOOGLETRANSLATE(BJ223,""auto"",""en""))"),"Production")</f>
        <v>Production</v>
      </c>
      <c r="AA223" s="23" t="str">
        <f aca="false">IF(C223="","", CHOOSE(MONTH(C223),"January","February","March","April","May","June","July","August","September","October","November","December")&amp;" "&amp;DAY(C223)&amp;MID("thstndrdth",MIN(9,2*RIGHT(DAY(C223))*(MOD(DAY(C223)-11,100)&gt;2)+1),2)&amp;","&amp;TEXT(C223," yyyy"))</f>
        <v>January 2nd,2019</v>
      </c>
      <c r="AB223" s="15" t="str">
        <f aca="true">IF(S223="","",DATEDIF(S223,TODAY(),"Y")&amp;" Tahun, "&amp;DATEDIF(S223,TODAY(),"YM")&amp;" Bulan, "&amp;DATEDIF(S223,TODAY(),"MD")&amp;" Hari")</f>
        <v>29 Tahun, 2 Bulan, 10 Hari</v>
      </c>
      <c r="AC223" s="18" t="n">
        <v>45839</v>
      </c>
      <c r="AD223" s="18" t="n">
        <v>46022</v>
      </c>
      <c r="AE223" s="18" t="s">
        <v>44</v>
      </c>
    </row>
    <row r="224" customFormat="false" ht="15" hidden="false" customHeight="true" outlineLevel="0" collapsed="false">
      <c r="A224" s="12" t="n">
        <v>1518</v>
      </c>
      <c r="B224" s="13" t="s">
        <v>1032</v>
      </c>
      <c r="C224" s="14" t="n">
        <v>43467</v>
      </c>
      <c r="D224" s="13" t="s">
        <v>885</v>
      </c>
      <c r="E224" s="15" t="s">
        <v>47</v>
      </c>
      <c r="F224" s="15" t="str">
        <f aca="false">IFERROR(__xludf.dummyfunction("XLOOKUP(AJ224,IMPORTRANGE(""1XaInW9DU9nz21V0tYIfzFQ0He9kVQ_JF2mCXgZ3hqFA"",""REKAP ALL 2026 - Andika!G:G""),IMPORTRANGE(""1XaInW9DU9nz21V0tYIfzFQ0He9kVQ_JF2mCXgZ3hqFA"",""REKAP ALL 2026 - Andika!F:F""),"""",0)"),"19000867218")</f>
        <v>19000867218</v>
      </c>
      <c r="G224" s="13" t="s">
        <v>1033</v>
      </c>
      <c r="H224" s="13" t="s">
        <v>35</v>
      </c>
      <c r="I224" s="13" t="str">
        <f aca="false">IF(C224=J224,"NEW KONTRAK","RE-KONTRAK")</f>
        <v>RE-KONTRAK</v>
      </c>
      <c r="J224" s="16" t="n">
        <f aca="false" t="array" ref="J224:J224">IFERROR(INDEX(AC224:AE224,IF(COUNTA(AC224:AE224)=0,"",MAX((AC224:AE224&lt;&gt;"")*(COLUMN(AC224:AE224)-(COLUMN(AC224)))))-1),"")</f>
        <v>45658</v>
      </c>
      <c r="K224" s="16" t="n">
        <f aca="false" t="array" ref="K224:K224">IFERROR(INDEX(AC224:AE224,IF(COUNTA(AC224:AE224)=0,"",MAX((AC224:AE224&lt;&gt;"")*(COLUMN(AC224:AE224)-(COLUMN(AC224)-1))))-1),"")</f>
        <v>46022</v>
      </c>
      <c r="L224" s="17" t="str">
        <f aca="false" t="array" ref="L224:L224">IFERROR(INDEX(AC224:AE224,IF(COUNTA(AC224:AE224)=0,"",MAX((AC224:AE224&lt;&gt;"")*(COLUMN(AC224:AE224)-(COLUMN(AC224)-2))))-1),"")</f>
        <v>ARCHIVED</v>
      </c>
      <c r="M224" s="13" t="n">
        <f aca="true">K224-TODAY()</f>
        <v>-302</v>
      </c>
      <c r="N224" s="18" t="s">
        <v>728</v>
      </c>
      <c r="O224" s="13" t="s">
        <v>58</v>
      </c>
      <c r="P224" s="27" t="n">
        <v>5176101</v>
      </c>
      <c r="Q224" s="20" t="s">
        <v>1034</v>
      </c>
      <c r="R224" s="13" t="s">
        <v>39</v>
      </c>
      <c r="S224" s="14" t="n">
        <v>34066</v>
      </c>
      <c r="T224" s="13" t="s">
        <v>40</v>
      </c>
      <c r="U224" s="13" t="s">
        <v>1035</v>
      </c>
      <c r="V224" s="13" t="s">
        <v>42</v>
      </c>
      <c r="W224" s="13" t="s">
        <v>43</v>
      </c>
      <c r="X224" s="21" t="n">
        <v>89616206594</v>
      </c>
      <c r="Y224" s="22" t="str">
        <f aca="false">O224</f>
        <v>Produksi</v>
      </c>
      <c r="Z224" s="13" t="str">
        <f aca="false">IFERROR(__xludf.dummyfunction("if(BJ224="""","""",GOOGLETRANSLATE(BJ224,""auto"",""en""))"),"Production")</f>
        <v>Production</v>
      </c>
      <c r="AA224" s="23" t="str">
        <f aca="false">IF(C224="","", CHOOSE(MONTH(C224),"January","February","March","April","May","June","July","August","September","October","November","December")&amp;" "&amp;DAY(C224)&amp;MID("thstndrdth",MIN(9,2*RIGHT(DAY(C224))*(MOD(DAY(C224)-11,100)&gt;2)+1),2)&amp;","&amp;TEXT(C224," yyyy"))</f>
        <v>January 2nd,2019</v>
      </c>
      <c r="AB224" s="15" t="str">
        <f aca="true">IF(S224="","",DATEDIF(S224,TODAY(),"Y")&amp;" Tahun, "&amp;DATEDIF(S224,TODAY(),"YM")&amp;" Bulan, "&amp;DATEDIF(S224,TODAY(),"MD")&amp;" Hari")</f>
        <v>33 Tahun, 6 Bulan, 22 Hari</v>
      </c>
      <c r="AC224" s="18" t="n">
        <v>45658</v>
      </c>
      <c r="AD224" s="18" t="n">
        <v>46022</v>
      </c>
      <c r="AE224" s="18" t="s">
        <v>44</v>
      </c>
    </row>
    <row r="225" customFormat="false" ht="15" hidden="false" customHeight="true" outlineLevel="0" collapsed="false">
      <c r="A225" s="12" t="n">
        <v>1519</v>
      </c>
      <c r="B225" s="13" t="s">
        <v>1036</v>
      </c>
      <c r="C225" s="14" t="n">
        <v>43476</v>
      </c>
      <c r="D225" s="13" t="s">
        <v>885</v>
      </c>
      <c r="E225" s="15" t="s">
        <v>47</v>
      </c>
      <c r="F225" s="15" t="str">
        <f aca="false">IFERROR(__xludf.dummyfunction("XLOOKUP(AJ225,IMPORTRANGE(""1XaInW9DU9nz21V0tYIfzFQ0He9kVQ_JF2mCXgZ3hqFA"",""REKAP ALL 2026 - Andika!G:G""),IMPORTRANGE(""1XaInW9DU9nz21V0tYIfzFQ0He9kVQ_JF2mCXgZ3hqFA"",""REKAP ALL 2026 - Andika!F:F""),"""",0)"),"16015881218")</f>
        <v>16015881218</v>
      </c>
      <c r="G225" s="13" t="s">
        <v>1037</v>
      </c>
      <c r="H225" s="13" t="s">
        <v>35</v>
      </c>
      <c r="I225" s="13" t="str">
        <f aca="false">IF(C225=J225,"NEW KONTRAK","RE-KONTRAK")</f>
        <v>RE-KONTRAK</v>
      </c>
      <c r="J225" s="16" t="n">
        <f aca="false" t="array" ref="J225:J225">IFERROR(INDEX(AC225:AE225,IF(COUNTA(AC225:AE225)=0,"",MAX((AC225:AE225&lt;&gt;"")*(COLUMN(AC225:AE225)-(COLUMN(AC225)))))-1),"")</f>
        <v>45658</v>
      </c>
      <c r="K225" s="16" t="n">
        <f aca="false" t="array" ref="K225:K225">IFERROR(INDEX(AC225:AE225,IF(COUNTA(AC225:AE225)=0,"",MAX((AC225:AE225&lt;&gt;"")*(COLUMN(AC225:AE225)-(COLUMN(AC225)-1))))-1),"")</f>
        <v>46022</v>
      </c>
      <c r="L225" s="17" t="str">
        <f aca="false" t="array" ref="L225:L225">IFERROR(INDEX(AC225:AE225,IF(COUNTA(AC225:AE225)=0,"",MAX((AC225:AE225&lt;&gt;"")*(COLUMN(AC225:AE225)-(COLUMN(AC225)-2))))-1),"")</f>
        <v>ARCHIVED</v>
      </c>
      <c r="M225" s="13" t="n">
        <f aca="true">K225-TODAY()</f>
        <v>-302</v>
      </c>
      <c r="N225" s="18" t="s">
        <v>728</v>
      </c>
      <c r="O225" s="13" t="s">
        <v>58</v>
      </c>
      <c r="P225" s="27" t="n">
        <v>5176101</v>
      </c>
      <c r="Q225" s="20" t="s">
        <v>1038</v>
      </c>
      <c r="R225" s="13" t="s">
        <v>260</v>
      </c>
      <c r="S225" s="14" t="n">
        <v>33111</v>
      </c>
      <c r="T225" s="13" t="s">
        <v>40</v>
      </c>
      <c r="U225" s="13" t="s">
        <v>1039</v>
      </c>
      <c r="V225" s="13" t="s">
        <v>42</v>
      </c>
      <c r="W225" s="13" t="s">
        <v>54</v>
      </c>
      <c r="X225" s="21" t="n">
        <v>85230271404</v>
      </c>
      <c r="Y225" s="22" t="str">
        <f aca="false">O225</f>
        <v>Produksi</v>
      </c>
      <c r="Z225" s="13" t="str">
        <f aca="false">IFERROR(__xludf.dummyfunction("if(BJ225="""","""",GOOGLETRANSLATE(BJ225,""auto"",""en""))"),"Production")</f>
        <v>Production</v>
      </c>
      <c r="AA225" s="23" t="str">
        <f aca="false">IF(C225="","", CHOOSE(MONTH(C225),"January","February","March","April","May","June","July","August","September","October","November","December")&amp;" "&amp;DAY(C225)&amp;MID("thstndrdth",MIN(9,2*RIGHT(DAY(C225))*(MOD(DAY(C225)-11,100)&gt;2)+1),2)&amp;","&amp;TEXT(C225," yyyy"))</f>
        <v>January 11th,2019</v>
      </c>
      <c r="AB225" s="15" t="str">
        <f aca="true">IF(S225="","",DATEDIF(S225,TODAY(),"Y")&amp;" Tahun, "&amp;DATEDIF(S225,TODAY(),"YM")&amp;" Bulan, "&amp;DATEDIF(S225,TODAY(),"MD")&amp;" Hari")</f>
        <v>36 Tahun, 2 Bulan, 3 Hari</v>
      </c>
      <c r="AC225" s="18" t="n">
        <v>45658</v>
      </c>
      <c r="AD225" s="18" t="n">
        <v>46022</v>
      </c>
      <c r="AE225" s="18" t="s">
        <v>44</v>
      </c>
    </row>
    <row r="226" customFormat="false" ht="15" hidden="false" customHeight="true" outlineLevel="0" collapsed="false">
      <c r="A226" s="12" t="n">
        <v>1521</v>
      </c>
      <c r="B226" s="13" t="s">
        <v>1040</v>
      </c>
      <c r="C226" s="14" t="n">
        <v>43467</v>
      </c>
      <c r="D226" s="13" t="s">
        <v>885</v>
      </c>
      <c r="E226" s="15" t="s">
        <v>47</v>
      </c>
      <c r="F226" s="15" t="str">
        <f aca="false">IFERROR(__xludf.dummyfunction("XLOOKUP(AJ226,IMPORTRANGE(""1XaInW9DU9nz21V0tYIfzFQ0He9kVQ_JF2mCXgZ3hqFA"",""REKAP ALL 2026 - Andika!G:G""),IMPORTRANGE(""1XaInW9DU9nz21V0tYIfzFQ0He9kVQ_JF2mCXgZ3hqFA"",""REKAP ALL 2026 - Andika!F:F""),"""",0)"),"19000867291")</f>
        <v>19000867291</v>
      </c>
      <c r="G226" s="13" t="s">
        <v>1041</v>
      </c>
      <c r="H226" s="13" t="s">
        <v>35</v>
      </c>
      <c r="I226" s="13" t="str">
        <f aca="false">IF(C226=J226,"NEW KONTRAK","RE-KONTRAK")</f>
        <v>RE-KONTRAK</v>
      </c>
      <c r="J226" s="16" t="n">
        <f aca="false" t="array" ref="J226:J226">IFERROR(INDEX(AC226:AE226,IF(COUNTA(AC226:AE226)=0,"",MAX((AC226:AE226&lt;&gt;"")*(COLUMN(AC226:AE226)-(COLUMN(AC226)))))-1),"")</f>
        <v>45658</v>
      </c>
      <c r="K226" s="16" t="n">
        <f aca="false" t="array" ref="K226:K226">IFERROR(INDEX(AC226:AE226,IF(COUNTA(AC226:AE226)=0,"",MAX((AC226:AE226&lt;&gt;"")*(COLUMN(AC226:AE226)-(COLUMN(AC226)-1))))-1),"")</f>
        <v>46022</v>
      </c>
      <c r="L226" s="17" t="str">
        <f aca="false" t="array" ref="L226:L226">IFERROR(INDEX(AC226:AE226,IF(COUNTA(AC226:AE226)=0,"",MAX((AC226:AE226&lt;&gt;"")*(COLUMN(AC226:AE226)-(COLUMN(AC226)-2))))-1),"")</f>
        <v>ARCHIVED</v>
      </c>
      <c r="M226" s="13" t="n">
        <f aca="true">K226-TODAY()</f>
        <v>-302</v>
      </c>
      <c r="N226" s="18" t="s">
        <v>728</v>
      </c>
      <c r="O226" s="13" t="s">
        <v>58</v>
      </c>
      <c r="P226" s="27" t="n">
        <v>5176101</v>
      </c>
      <c r="Q226" s="20" t="s">
        <v>1042</v>
      </c>
      <c r="R226" s="13" t="s">
        <v>246</v>
      </c>
      <c r="S226" s="14" t="n">
        <v>30430</v>
      </c>
      <c r="T226" s="13" t="s">
        <v>40</v>
      </c>
      <c r="U226" s="13" t="s">
        <v>1043</v>
      </c>
      <c r="V226" s="13" t="s">
        <v>42</v>
      </c>
      <c r="W226" s="13" t="s">
        <v>54</v>
      </c>
      <c r="X226" s="21" t="n">
        <v>85232744411</v>
      </c>
      <c r="Y226" s="22" t="str">
        <f aca="false">O226</f>
        <v>Produksi</v>
      </c>
      <c r="Z226" s="13" t="str">
        <f aca="false">IFERROR(__xludf.dummyfunction("if(BJ226="""","""",GOOGLETRANSLATE(BJ226,""auto"",""en""))"),"Production")</f>
        <v>Production</v>
      </c>
      <c r="AA226" s="23" t="str">
        <f aca="false">IF(C226="","", CHOOSE(MONTH(C226),"January","February","March","April","May","June","July","August","September","October","November","December")&amp;" "&amp;DAY(C226)&amp;MID("thstndrdth",MIN(9,2*RIGHT(DAY(C226))*(MOD(DAY(C226)-11,100)&gt;2)+1),2)&amp;","&amp;TEXT(C226," yyyy"))</f>
        <v>January 2nd,2019</v>
      </c>
      <c r="AB226" s="15" t="str">
        <f aca="true">IF(S226="","",DATEDIF(S226,TODAY(),"Y")&amp;" Tahun, "&amp;DATEDIF(S226,TODAY(),"YM")&amp;" Bulan, "&amp;DATEDIF(S226,TODAY(),"MD")&amp;" Hari")</f>
        <v>43 Tahun, 6 Bulan, 5 Hari</v>
      </c>
      <c r="AC226" s="18" t="n">
        <v>45658</v>
      </c>
      <c r="AD226" s="18" t="n">
        <v>46022</v>
      </c>
      <c r="AE226" s="18" t="s">
        <v>44</v>
      </c>
    </row>
    <row r="227" customFormat="false" ht="15" hidden="false" customHeight="true" outlineLevel="0" collapsed="false">
      <c r="A227" s="12" t="n">
        <v>1524</v>
      </c>
      <c r="B227" s="13" t="s">
        <v>1044</v>
      </c>
      <c r="C227" s="14" t="n">
        <v>43467</v>
      </c>
      <c r="D227" s="13" t="s">
        <v>885</v>
      </c>
      <c r="E227" s="15" t="s">
        <v>47</v>
      </c>
      <c r="F227" s="15" t="str">
        <f aca="false">IFERROR(__xludf.dummyfunction("XLOOKUP(AJ227,IMPORTRANGE(""1XaInW9DU9nz21V0tYIfzFQ0He9kVQ_JF2mCXgZ3hqFA"",""REKAP ALL 2026 - Andika!G:G""),IMPORTRANGE(""1XaInW9DU9nz21V0tYIfzFQ0He9kVQ_JF2mCXgZ3hqFA"",""REKAP ALL 2026 - Andika!F:F""),"""",0)"),"17056561321")</f>
        <v>17056561321</v>
      </c>
      <c r="G227" s="13" t="s">
        <v>1045</v>
      </c>
      <c r="H227" s="13" t="s">
        <v>35</v>
      </c>
      <c r="I227" s="13" t="str">
        <f aca="false">IF(C227=J227,"NEW KONTRAK","RE-KONTRAK")</f>
        <v>RE-KONTRAK</v>
      </c>
      <c r="J227" s="16" t="n">
        <f aca="false" t="array" ref="J227:J227">IFERROR(INDEX(AC227:AE227,IF(COUNTA(AC227:AE227)=0,"",MAX((AC227:AE227&lt;&gt;"")*(COLUMN(AC227:AE227)-(COLUMN(AC227)))))-1),"")</f>
        <v>45839</v>
      </c>
      <c r="K227" s="16" t="n">
        <f aca="false" t="array" ref="K227:K227">IFERROR(INDEX(AC227:AE227,IF(COUNTA(AC227:AE227)=0,"",MAX((AC227:AE227&lt;&gt;"")*(COLUMN(AC227:AE227)-(COLUMN(AC227)-1))))-1),"")</f>
        <v>46022</v>
      </c>
      <c r="L227" s="17" t="str">
        <f aca="false" t="array" ref="L227:L227">IFERROR(INDEX(AC227:AE227,IF(COUNTA(AC227:AE227)=0,"",MAX((AC227:AE227&lt;&gt;"")*(COLUMN(AC227:AE227)-(COLUMN(AC227)-2))))-1),"")</f>
        <v>ARCHIVED</v>
      </c>
      <c r="M227" s="13" t="n">
        <f aca="true">K227-TODAY()</f>
        <v>-302</v>
      </c>
      <c r="N227" s="18" t="s">
        <v>728</v>
      </c>
      <c r="O227" s="13" t="s">
        <v>58</v>
      </c>
      <c r="P227" s="27" t="n">
        <v>5176101</v>
      </c>
      <c r="Q227" s="20" t="s">
        <v>1046</v>
      </c>
      <c r="R227" s="13" t="s">
        <v>73</v>
      </c>
      <c r="S227" s="14" t="n">
        <v>28894</v>
      </c>
      <c r="T227" s="13" t="s">
        <v>40</v>
      </c>
      <c r="U227" s="13" t="s">
        <v>1047</v>
      </c>
      <c r="V227" s="13" t="s">
        <v>42</v>
      </c>
      <c r="W227" s="13" t="s">
        <v>54</v>
      </c>
      <c r="X227" s="21" t="n">
        <v>89637714866</v>
      </c>
      <c r="Y227" s="22" t="str">
        <f aca="false">O227</f>
        <v>Produksi</v>
      </c>
      <c r="Z227" s="13" t="str">
        <f aca="false">IFERROR(__xludf.dummyfunction("if(BJ227="""","""",GOOGLETRANSLATE(BJ227,""auto"",""en""))"),"Production")</f>
        <v>Production</v>
      </c>
      <c r="AA227" s="23" t="str">
        <f aca="false">IF(C227="","", CHOOSE(MONTH(C227),"January","February","March","April","May","June","July","August","September","October","November","December")&amp;" "&amp;DAY(C227)&amp;MID("thstndrdth",MIN(9,2*RIGHT(DAY(C227))*(MOD(DAY(C227)-11,100)&gt;2)+1),2)&amp;","&amp;TEXT(C227," yyyy"))</f>
        <v>January 2nd,2019</v>
      </c>
      <c r="AB227" s="15" t="str">
        <f aca="true">IF(S227="","",DATEDIF(S227,TODAY(),"Y")&amp;" Tahun, "&amp;DATEDIF(S227,TODAY(),"YM")&amp;" Bulan, "&amp;DATEDIF(S227,TODAY(),"MD")&amp;" Hari")</f>
        <v>47 Tahun, 8 Bulan, 21 Hari</v>
      </c>
      <c r="AC227" s="18" t="n">
        <v>45839</v>
      </c>
      <c r="AD227" s="18" t="n">
        <v>46022</v>
      </c>
      <c r="AE227" s="18" t="s">
        <v>44</v>
      </c>
    </row>
    <row r="228" customFormat="false" ht="15" hidden="false" customHeight="true" outlineLevel="0" collapsed="false">
      <c r="A228" s="12" t="n">
        <v>1525</v>
      </c>
      <c r="B228" s="13" t="s">
        <v>1048</v>
      </c>
      <c r="C228" s="14" t="n">
        <v>43467</v>
      </c>
      <c r="D228" s="13" t="s">
        <v>885</v>
      </c>
      <c r="E228" s="15" t="s">
        <v>47</v>
      </c>
      <c r="F228" s="15" t="str">
        <f aca="false">IFERROR(__xludf.dummyfunction("XLOOKUP(AJ228,IMPORTRANGE(""1XaInW9DU9nz21V0tYIfzFQ0He9kVQ_JF2mCXgZ3hqFA"",""REKAP ALL 2026 - Andika!G:G""),IMPORTRANGE(""1XaInW9DU9nz21V0tYIfzFQ0He9kVQ_JF2mCXgZ3hqFA"",""REKAP ALL 2026 - Andika!F:F""),"""",0)"),"19000867531")</f>
        <v>19000867531</v>
      </c>
      <c r="G228" s="13" t="s">
        <v>1049</v>
      </c>
      <c r="H228" s="13" t="s">
        <v>35</v>
      </c>
      <c r="I228" s="13" t="str">
        <f aca="false">IF(C228=J228,"NEW KONTRAK","RE-KONTRAK")</f>
        <v>RE-KONTRAK</v>
      </c>
      <c r="J228" s="16" t="n">
        <f aca="false" t="array" ref="J228:J228">IFERROR(INDEX(AC228:AE228,IF(COUNTA(AC228:AE228)=0,"",MAX((AC228:AE228&lt;&gt;"")*(COLUMN(AC228:AE228)-(COLUMN(AC228)))))-1),"")</f>
        <v>45839</v>
      </c>
      <c r="K228" s="16" t="n">
        <f aca="false" t="array" ref="K228:K228">IFERROR(INDEX(AC228:AE228,IF(COUNTA(AC228:AE228)=0,"",MAX((AC228:AE228&lt;&gt;"")*(COLUMN(AC228:AE228)-(COLUMN(AC228)-1))))-1),"")</f>
        <v>46022</v>
      </c>
      <c r="L228" s="17" t="str">
        <f aca="false" t="array" ref="L228:L228">IFERROR(INDEX(AC228:AE228,IF(COUNTA(AC228:AE228)=0,"",MAX((AC228:AE228&lt;&gt;"")*(COLUMN(AC228:AE228)-(COLUMN(AC228)-2))))-1),"")</f>
        <v>ARCHIVED</v>
      </c>
      <c r="M228" s="13" t="n">
        <f aca="true">K228-TODAY()</f>
        <v>-302</v>
      </c>
      <c r="N228" s="18" t="s">
        <v>728</v>
      </c>
      <c r="O228" s="13" t="s">
        <v>58</v>
      </c>
      <c r="P228" s="27" t="n">
        <v>5176101</v>
      </c>
      <c r="Q228" s="20" t="s">
        <v>1050</v>
      </c>
      <c r="R228" s="13" t="s">
        <v>39</v>
      </c>
      <c r="S228" s="14" t="n">
        <v>33410</v>
      </c>
      <c r="T228" s="13" t="s">
        <v>40</v>
      </c>
      <c r="U228" s="13" t="s">
        <v>1051</v>
      </c>
      <c r="V228" s="13" t="s">
        <v>42</v>
      </c>
      <c r="W228" s="13" t="s">
        <v>54</v>
      </c>
      <c r="X228" s="21" t="n">
        <v>83848891006</v>
      </c>
      <c r="Y228" s="22" t="str">
        <f aca="false">O228</f>
        <v>Produksi</v>
      </c>
      <c r="Z228" s="13" t="str">
        <f aca="false">IFERROR(__xludf.dummyfunction("if(BJ228="""","""",GOOGLETRANSLATE(BJ228,""auto"",""en""))"),"Production")</f>
        <v>Production</v>
      </c>
      <c r="AA228" s="23" t="str">
        <f aca="false">IF(C228="","", CHOOSE(MONTH(C228),"January","February","March","April","May","June","July","August","September","October","November","December")&amp;" "&amp;DAY(C228)&amp;MID("thstndrdth",MIN(9,2*RIGHT(DAY(C228))*(MOD(DAY(C228)-11,100)&gt;2)+1),2)&amp;","&amp;TEXT(C228," yyyy"))</f>
        <v>January 2nd,2019</v>
      </c>
      <c r="AB228" s="15" t="str">
        <f aca="true">IF(S228="","",DATEDIF(S228,TODAY(),"Y")&amp;" Tahun, "&amp;DATEDIF(S228,TODAY(),"YM")&amp;" Bulan, "&amp;DATEDIF(S228,TODAY(),"MD")&amp;" Hari")</f>
        <v>35 Tahun, 4 Bulan, 8 Hari</v>
      </c>
      <c r="AC228" s="18" t="n">
        <v>45839</v>
      </c>
      <c r="AD228" s="18" t="n">
        <v>46022</v>
      </c>
      <c r="AE228" s="18" t="s">
        <v>44</v>
      </c>
    </row>
    <row r="229" customFormat="false" ht="15" hidden="false" customHeight="true" outlineLevel="0" collapsed="false">
      <c r="A229" s="12" t="n">
        <v>1527</v>
      </c>
      <c r="B229" s="13" t="s">
        <v>1052</v>
      </c>
      <c r="C229" s="14" t="n">
        <v>43467</v>
      </c>
      <c r="D229" s="13" t="s">
        <v>885</v>
      </c>
      <c r="E229" s="15" t="s">
        <v>47</v>
      </c>
      <c r="F229" s="15" t="str">
        <f aca="false">IFERROR(__xludf.dummyfunction("XLOOKUP(AJ229,IMPORTRANGE(""1XaInW9DU9nz21V0tYIfzFQ0He9kVQ_JF2mCXgZ3hqFA"",""REKAP ALL 2026 - Andika!G:G""),IMPORTRANGE(""1XaInW9DU9nz21V0tYIfzFQ0He9kVQ_JF2mCXgZ3hqFA"",""REKAP ALL 2026 - Andika!F:F""),"""",0)"),"15008841205")</f>
        <v>15008841205</v>
      </c>
      <c r="G229" s="13" t="s">
        <v>1053</v>
      </c>
      <c r="H229" s="13" t="s">
        <v>35</v>
      </c>
      <c r="I229" s="13" t="str">
        <f aca="false">IF(C229=J229,"NEW KONTRAK","RE-KONTRAK")</f>
        <v>RE-KONTRAK</v>
      </c>
      <c r="J229" s="16" t="n">
        <f aca="false" t="array" ref="J229:J229">IFERROR(INDEX(AC229:AE229,IF(COUNTA(AC229:AE229)=0,"",MAX((AC229:AE229&lt;&gt;"")*(COLUMN(AC229:AE229)-(COLUMN(AC229)))))-1),"")</f>
        <v>45658</v>
      </c>
      <c r="K229" s="16" t="n">
        <f aca="false" t="array" ref="K229:K229">IFERROR(INDEX(AC229:AE229,IF(COUNTA(AC229:AE229)=0,"",MAX((AC229:AE229&lt;&gt;"")*(COLUMN(AC229:AE229)-(COLUMN(AC229)-1))))-1),"")</f>
        <v>46022</v>
      </c>
      <c r="L229" s="17" t="str">
        <f aca="false" t="array" ref="L229:L229">IFERROR(INDEX(AC229:AE229,IF(COUNTA(AC229:AE229)=0,"",MAX((AC229:AE229&lt;&gt;"")*(COLUMN(AC229:AE229)-(COLUMN(AC229)-2))))-1),"")</f>
        <v>ARCHIVED</v>
      </c>
      <c r="M229" s="13" t="n">
        <f aca="true">K229-TODAY()</f>
        <v>-302</v>
      </c>
      <c r="N229" s="18" t="s">
        <v>728</v>
      </c>
      <c r="O229" s="13" t="s">
        <v>58</v>
      </c>
      <c r="P229" s="27" t="n">
        <v>5176101</v>
      </c>
      <c r="Q229" s="20" t="s">
        <v>1054</v>
      </c>
      <c r="R229" s="13" t="s">
        <v>52</v>
      </c>
      <c r="S229" s="14" t="n">
        <v>31242</v>
      </c>
      <c r="T229" s="13" t="s">
        <v>40</v>
      </c>
      <c r="U229" s="13" t="s">
        <v>1055</v>
      </c>
      <c r="V229" s="13" t="s">
        <v>42</v>
      </c>
      <c r="W229" s="13" t="s">
        <v>54</v>
      </c>
      <c r="X229" s="21" t="n">
        <v>85748242003</v>
      </c>
      <c r="Y229" s="22" t="str">
        <f aca="false">O229</f>
        <v>Produksi</v>
      </c>
      <c r="Z229" s="13" t="str">
        <f aca="false">IFERROR(__xludf.dummyfunction("if(BJ229="""","""",GOOGLETRANSLATE(BJ229,""auto"",""en""))"),"Production")</f>
        <v>Production</v>
      </c>
      <c r="AA229" s="23" t="str">
        <f aca="false">IF(C229="","", CHOOSE(MONTH(C229),"January","February","March","April","May","June","July","August","September","October","November","December")&amp;" "&amp;DAY(C229)&amp;MID("thstndrdth",MIN(9,2*RIGHT(DAY(C229))*(MOD(DAY(C229)-11,100)&gt;2)+1),2)&amp;","&amp;TEXT(C229," yyyy"))</f>
        <v>January 2nd,2019</v>
      </c>
      <c r="AB229" s="15" t="str">
        <f aca="true">IF(S229="","",DATEDIF(S229,TODAY(),"Y")&amp;" Tahun, "&amp;DATEDIF(S229,TODAY(),"YM")&amp;" Bulan, "&amp;DATEDIF(S229,TODAY(),"MD")&amp;" Hari")</f>
        <v>41 Tahun, 3 Bulan, 15 Hari</v>
      </c>
      <c r="AC229" s="18" t="n">
        <v>45658</v>
      </c>
      <c r="AD229" s="18" t="n">
        <v>46022</v>
      </c>
      <c r="AE229" s="18" t="s">
        <v>44</v>
      </c>
    </row>
    <row r="230" customFormat="false" ht="15" hidden="false" customHeight="true" outlineLevel="0" collapsed="false">
      <c r="A230" s="12" t="n">
        <v>1528</v>
      </c>
      <c r="B230" s="13" t="s">
        <v>1056</v>
      </c>
      <c r="C230" s="14" t="n">
        <v>43467</v>
      </c>
      <c r="D230" s="13" t="s">
        <v>961</v>
      </c>
      <c r="E230" s="15" t="s">
        <v>47</v>
      </c>
      <c r="F230" s="15" t="str">
        <f aca="false">IFERROR(__xludf.dummyfunction("XLOOKUP(AJ230,IMPORTRANGE(""1XaInW9DU9nz21V0tYIfzFQ0He9kVQ_JF2mCXgZ3hqFA"",""REKAP ALL 2026 - Andika!G:G""),IMPORTRANGE(""1XaInW9DU9nz21V0tYIfzFQ0He9kVQ_JF2mCXgZ3hqFA"",""REKAP ALL 2026 - Andika!F:F""),"""",0)"),"19000867598")</f>
        <v>19000867598</v>
      </c>
      <c r="G230" s="13" t="s">
        <v>1057</v>
      </c>
      <c r="H230" s="13" t="s">
        <v>963</v>
      </c>
      <c r="I230" s="13" t="str">
        <f aca="false">IF(C230=J230,"NEW KONTRAK","RE-KONTRAK")</f>
        <v>RE-KONTRAK</v>
      </c>
      <c r="J230" s="16" t="n">
        <f aca="false" t="array" ref="J230:J230">IFERROR(INDEX(AC230:AE230,IF(COUNTA(AC230:AE230)=0,"",MAX((AC230:AE230&lt;&gt;"")*(COLUMN(AC230:AE230)-(COLUMN(AC230)))))-1),"")</f>
        <v>45658</v>
      </c>
      <c r="K230" s="16" t="n">
        <f aca="false" t="array" ref="K230:K230">IFERROR(INDEX(AC230:AE230,IF(COUNTA(AC230:AE230)=0,"",MAX((AC230:AE230&lt;&gt;"")*(COLUMN(AC230:AE230)-(COLUMN(AC230)-1))))-1),"")</f>
        <v>46022</v>
      </c>
      <c r="L230" s="17" t="str">
        <f aca="false" t="array" ref="L230:L230">IFERROR(INDEX(AC230:AE230,IF(COUNTA(AC230:AE230)=0,"",MAX((AC230:AE230&lt;&gt;"")*(COLUMN(AC230:AE230)-(COLUMN(AC230)-2))))-1),"")</f>
        <v>ARCHIVED</v>
      </c>
      <c r="M230" s="13" t="n">
        <f aca="true">K230-TODAY()</f>
        <v>-302</v>
      </c>
      <c r="N230" s="18" t="s">
        <v>728</v>
      </c>
      <c r="O230" s="13" t="s">
        <v>1058</v>
      </c>
      <c r="P230" s="19" t="n">
        <v>4961753</v>
      </c>
      <c r="Q230" s="20" t="s">
        <v>1059</v>
      </c>
      <c r="R230" s="13" t="s">
        <v>83</v>
      </c>
      <c r="S230" s="14" t="n">
        <v>32742</v>
      </c>
      <c r="T230" s="13" t="s">
        <v>40</v>
      </c>
      <c r="U230" s="13" t="s">
        <v>1060</v>
      </c>
      <c r="V230" s="13" t="s">
        <v>99</v>
      </c>
      <c r="W230" s="13" t="s">
        <v>54</v>
      </c>
      <c r="X230" s="21" t="n">
        <v>87859390666</v>
      </c>
      <c r="Y230" s="22" t="str">
        <f aca="false">O230</f>
        <v>PRO Adminitration</v>
      </c>
      <c r="Z230" s="13" t="str">
        <f aca="false">IFERROR(__xludf.dummyfunction("if(BJ230="""","""",GOOGLETRANSLATE(BJ230,""auto"",""en""))"),"PRO Adminitration")</f>
        <v>PRO Adminitration</v>
      </c>
      <c r="AA230" s="23" t="str">
        <f aca="false">IF(C230="","", CHOOSE(MONTH(C230),"January","February","March","April","May","June","July","August","September","October","November","December")&amp;" "&amp;DAY(C230)&amp;MID("thstndrdth",MIN(9,2*RIGHT(DAY(C230))*(MOD(DAY(C230)-11,100)&gt;2)+1),2)&amp;","&amp;TEXT(C230," yyyy"))</f>
        <v>January 2nd,2019</v>
      </c>
      <c r="AB230" s="15" t="str">
        <f aca="true">IF(S230="","",DATEDIF(S230,TODAY(),"Y")&amp;" Tahun, "&amp;DATEDIF(S230,TODAY(),"YM")&amp;" Bulan, "&amp;DATEDIF(S230,TODAY(),"MD")&amp;" Hari")</f>
        <v>37 Tahun, 2 Bulan, 7 Hari</v>
      </c>
      <c r="AC230" s="18" t="n">
        <v>45658</v>
      </c>
      <c r="AD230" s="18" t="n">
        <v>46022</v>
      </c>
      <c r="AE230" s="18" t="s">
        <v>44</v>
      </c>
    </row>
    <row r="231" customFormat="false" ht="15" hidden="false" customHeight="true" outlineLevel="0" collapsed="false">
      <c r="A231" s="12" t="n">
        <v>1534</v>
      </c>
      <c r="B231" s="13" t="s">
        <v>1061</v>
      </c>
      <c r="C231" s="14" t="n">
        <v>43843</v>
      </c>
      <c r="D231" s="13" t="s">
        <v>885</v>
      </c>
      <c r="E231" s="15" t="s">
        <v>47</v>
      </c>
      <c r="F231" s="15" t="str">
        <f aca="false">IFERROR(__xludf.dummyfunction("XLOOKUP(AJ231,IMPORTRANGE(""1XaInW9DU9nz21V0tYIfzFQ0He9kVQ_JF2mCXgZ3hqFA"",""REKAP ALL 2026 - Andika!G:G""),IMPORTRANGE(""1XaInW9DU9nz21V0tYIfzFQ0He9kVQ_JF2mCXgZ3hqFA"",""REKAP ALL 2026 - Andika!F:F""),"""",0)"),"20023283763")</f>
        <v>20023283763</v>
      </c>
      <c r="G231" s="13" t="s">
        <v>1062</v>
      </c>
      <c r="H231" s="13" t="s">
        <v>35</v>
      </c>
      <c r="I231" s="13" t="str">
        <f aca="false">IF(C231=J231,"NEW KONTRAK","RE-KONTRAK")</f>
        <v>RE-KONTRAK</v>
      </c>
      <c r="J231" s="16" t="n">
        <f aca="false" t="array" ref="J231:J231">IFERROR(INDEX(AC231:AE231,IF(COUNTA(AC231:AE231)=0,"",MAX((AC231:AE231&lt;&gt;"")*(COLUMN(AC231:AE231)-(COLUMN(AC231)))))-1),"")</f>
        <v>45839</v>
      </c>
      <c r="K231" s="16" t="n">
        <f aca="false" t="array" ref="K231:K231">IFERROR(INDEX(AC231:AE231,IF(COUNTA(AC231:AE231)=0,"",MAX((AC231:AE231&lt;&gt;"")*(COLUMN(AC231:AE231)-(COLUMN(AC231)-1))))-1),"")</f>
        <v>46022</v>
      </c>
      <c r="L231" s="17" t="str">
        <f aca="false" t="array" ref="L231:L231">IFERROR(INDEX(AC231:AE231,IF(COUNTA(AC231:AE231)=0,"",MAX((AC231:AE231&lt;&gt;"")*(COLUMN(AC231:AE231)-(COLUMN(AC231)-2))))-1),"")</f>
        <v>ARCHIVED</v>
      </c>
      <c r="M231" s="13" t="n">
        <f aca="true">K231-TODAY()</f>
        <v>-302</v>
      </c>
      <c r="N231" s="18" t="s">
        <v>728</v>
      </c>
      <c r="O231" s="13" t="s">
        <v>58</v>
      </c>
      <c r="P231" s="27" t="n">
        <v>5176101</v>
      </c>
      <c r="Q231" s="20" t="s">
        <v>1063</v>
      </c>
      <c r="R231" s="13" t="s">
        <v>52</v>
      </c>
      <c r="S231" s="14" t="n">
        <v>30283</v>
      </c>
      <c r="T231" s="13" t="s">
        <v>40</v>
      </c>
      <c r="U231" s="13" t="s">
        <v>1064</v>
      </c>
      <c r="V231" s="13" t="s">
        <v>42</v>
      </c>
      <c r="W231" s="13" t="s">
        <v>54</v>
      </c>
      <c r="X231" s="21" t="n">
        <v>85655344417</v>
      </c>
      <c r="Y231" s="22" t="str">
        <f aca="false">O231</f>
        <v>Produksi</v>
      </c>
      <c r="Z231" s="13" t="str">
        <f aca="false">IFERROR(__xludf.dummyfunction("if(BJ231="""","""",GOOGLETRANSLATE(BJ231,""auto"",""en""))"),"Production")</f>
        <v>Production</v>
      </c>
      <c r="AA231" s="23" t="str">
        <f aca="false">IF(C231="","", CHOOSE(MONTH(C231),"January","February","March","April","May","June","July","August","September","October","November","December")&amp;" "&amp;DAY(C231)&amp;MID("thstndrdth",MIN(9,2*RIGHT(DAY(C231))*(MOD(DAY(C231)-11,100)&gt;2)+1),2)&amp;","&amp;TEXT(C231," yyyy"))</f>
        <v>January 13th,2020</v>
      </c>
      <c r="AB231" s="15" t="str">
        <f aca="true">IF(S231="","",DATEDIF(S231,TODAY(),"Y")&amp;" Tahun, "&amp;DATEDIF(S231,TODAY(),"YM")&amp;" Bulan, "&amp;DATEDIF(S231,TODAY(),"MD")&amp;" Hari")</f>
        <v>43 Tahun, 11 Bulan, 1 Hari</v>
      </c>
      <c r="AC231" s="18" t="n">
        <v>45839</v>
      </c>
      <c r="AD231" s="18" t="n">
        <v>46022</v>
      </c>
      <c r="AE231" s="18" t="s">
        <v>44</v>
      </c>
    </row>
    <row r="232" customFormat="false" ht="15" hidden="false" customHeight="true" outlineLevel="0" collapsed="false">
      <c r="A232" s="12" t="n">
        <v>1541</v>
      </c>
      <c r="B232" s="13" t="s">
        <v>1065</v>
      </c>
      <c r="C232" s="14" t="n">
        <v>44173</v>
      </c>
      <c r="D232" s="13" t="s">
        <v>1066</v>
      </c>
      <c r="E232" s="15" t="s">
        <v>47</v>
      </c>
      <c r="F232" s="15" t="str">
        <f aca="false">IFERROR(__xludf.dummyfunction("XLOOKUP(AJ232,IMPORTRANGE(""1XaInW9DU9nz21V0tYIfzFQ0He9kVQ_JF2mCXgZ3hqFA"",""REKAP ALL 2026 - Andika!G:G""),IMPORTRANGE(""1XaInW9DU9nz21V0tYIfzFQ0He9kVQ_JF2mCXgZ3hqFA"",""REKAP ALL 2026 - Andika!F:F""),"""",0)"),"22046708735")</f>
        <v>22046708735</v>
      </c>
      <c r="G232" s="13" t="s">
        <v>1067</v>
      </c>
      <c r="H232" s="13" t="s">
        <v>35</v>
      </c>
      <c r="I232" s="13" t="str">
        <f aca="false">IF(C232=J232,"NEW KONTRAK","RE-KONTRAK")</f>
        <v>RE-KONTRAK</v>
      </c>
      <c r="J232" s="16" t="n">
        <f aca="false" t="array" ref="J232:J232">IFERROR(INDEX(AC232:AE232,IF(COUNTA(AC232:AE232)=0,"",MAX((AC232:AE232&lt;&gt;"")*(COLUMN(AC232:AE232)-(COLUMN(AC232)))))-1),"")</f>
        <v>45658</v>
      </c>
      <c r="K232" s="16" t="n">
        <f aca="false" t="array" ref="K232:K232">IFERROR(INDEX(AC232:AE232,IF(COUNTA(AC232:AE232)=0,"",MAX((AC232:AE232&lt;&gt;"")*(COLUMN(AC232:AE232)-(COLUMN(AC232)-1))))-1),"")</f>
        <v>46022</v>
      </c>
      <c r="L232" s="17" t="str">
        <f aca="false" t="array" ref="L232:L232">IFERROR(INDEX(AC232:AE232,IF(COUNTA(AC232:AE232)=0,"",MAX((AC232:AE232&lt;&gt;"")*(COLUMN(AC232:AE232)-(COLUMN(AC232)-2))))-1),"")</f>
        <v>ARCHIVED</v>
      </c>
      <c r="M232" s="13" t="n">
        <f aca="true">K232-TODAY()</f>
        <v>-302</v>
      </c>
      <c r="N232" s="18" t="s">
        <v>615</v>
      </c>
      <c r="O232" s="13" t="s">
        <v>1068</v>
      </c>
      <c r="P232" s="19" t="n">
        <v>5176101</v>
      </c>
      <c r="Q232" s="20" t="s">
        <v>1069</v>
      </c>
      <c r="R232" s="13" t="s">
        <v>73</v>
      </c>
      <c r="S232" s="14" t="n">
        <v>37153</v>
      </c>
      <c r="T232" s="13" t="s">
        <v>108</v>
      </c>
      <c r="U232" s="13" t="s">
        <v>1070</v>
      </c>
      <c r="V232" s="13" t="s">
        <v>42</v>
      </c>
      <c r="W232" s="13" t="s">
        <v>43</v>
      </c>
      <c r="X232" s="21" t="n">
        <v>85749254924</v>
      </c>
      <c r="Y232" s="22" t="str">
        <f aca="false">O232</f>
        <v>Production Packer</v>
      </c>
      <c r="Z232" s="13" t="str">
        <f aca="false">IFERROR(__xludf.dummyfunction("if(BJ232="""","""",GOOGLETRANSLATE(BJ232,""auto"",""en""))"),"Production Packer")</f>
        <v>Production Packer</v>
      </c>
      <c r="AA232" s="23" t="str">
        <f aca="false">IF(C232="","", CHOOSE(MONTH(C232),"January","February","March","April","May","June","July","August","September","October","November","December")&amp;" "&amp;DAY(C232)&amp;MID("thstndrdth",MIN(9,2*RIGHT(DAY(C232))*(MOD(DAY(C232)-11,100)&gt;2)+1),2)&amp;","&amp;TEXT(C232," yyyy"))</f>
        <v>December 8th,2020</v>
      </c>
      <c r="AB232" s="15" t="str">
        <f aca="true">IF(S232="","",DATEDIF(S232,TODAY(),"Y")&amp;" Tahun, "&amp;DATEDIF(S232,TODAY(),"YM")&amp;" Bulan, "&amp;DATEDIF(S232,TODAY(),"MD")&amp;" Hari")</f>
        <v>25 Tahun, 1 Bulan, 10 Hari</v>
      </c>
      <c r="AC232" s="18" t="n">
        <v>45658</v>
      </c>
      <c r="AD232" s="18" t="n">
        <v>46022</v>
      </c>
      <c r="AE232" s="18" t="s">
        <v>44</v>
      </c>
    </row>
    <row r="233" customFormat="false" ht="15" hidden="false" customHeight="true" outlineLevel="0" collapsed="false">
      <c r="A233" s="12" t="n">
        <v>1542</v>
      </c>
      <c r="B233" s="13" t="s">
        <v>1071</v>
      </c>
      <c r="C233" s="14" t="n">
        <v>44151</v>
      </c>
      <c r="D233" s="13" t="s">
        <v>1066</v>
      </c>
      <c r="E233" s="15" t="s">
        <v>1072</v>
      </c>
      <c r="F233" s="24" t="s">
        <v>1073</v>
      </c>
      <c r="G233" s="13" t="s">
        <v>1074</v>
      </c>
      <c r="H233" s="13" t="s">
        <v>35</v>
      </c>
      <c r="I233" s="13" t="str">
        <f aca="false">IF(C233=J233,"NEW KONTRAK","RE-KONTRAK")</f>
        <v>RE-KONTRAK</v>
      </c>
      <c r="J233" s="16" t="n">
        <f aca="false" t="array" ref="J233:J233">IFERROR(INDEX(AC233:AE233,IF(COUNTA(AC233:AE233)=0,"",MAX((AC233:AE233&lt;&gt;"")*(COLUMN(AC233:AE233)-(COLUMN(AC233)))))-1),"")</f>
        <v>45658</v>
      </c>
      <c r="K233" s="16" t="n">
        <f aca="false" t="array" ref="K233:K233">IFERROR(INDEX(AC233:AE233,IF(COUNTA(AC233:AE233)=0,"",MAX((AC233:AE233&lt;&gt;"")*(COLUMN(AC233:AE233)-(COLUMN(AC233)-1))))-1),"")</f>
        <v>46022</v>
      </c>
      <c r="L233" s="17" t="str">
        <f aca="false" t="array" ref="L233:L233">IFERROR(INDEX(AC233:AE233,IF(COUNTA(AC233:AE233)=0,"",MAX((AC233:AE233&lt;&gt;"")*(COLUMN(AC233:AE233)-(COLUMN(AC233)-2))))-1),"")</f>
        <v>ARCHIVED</v>
      </c>
      <c r="M233" s="13" t="n">
        <f aca="true">K233-TODAY()</f>
        <v>-302</v>
      </c>
      <c r="N233" s="18" t="s">
        <v>615</v>
      </c>
      <c r="O233" s="13" t="s">
        <v>1068</v>
      </c>
      <c r="P233" s="19" t="n">
        <v>4856026</v>
      </c>
      <c r="Q233" s="20" t="s">
        <v>1075</v>
      </c>
      <c r="R233" s="13" t="s">
        <v>232</v>
      </c>
      <c r="S233" s="14" t="n">
        <v>35814</v>
      </c>
      <c r="T233" s="13" t="s">
        <v>108</v>
      </c>
      <c r="U233" s="13" t="s">
        <v>1076</v>
      </c>
      <c r="V233" s="13" t="s">
        <v>42</v>
      </c>
      <c r="W233" s="13" t="s">
        <v>43</v>
      </c>
      <c r="X233" s="21" t="n">
        <v>85645344884</v>
      </c>
      <c r="Y233" s="22" t="str">
        <f aca="false">O233</f>
        <v>Production Packer</v>
      </c>
      <c r="Z233" s="13" t="str">
        <f aca="false">IFERROR(__xludf.dummyfunction("if(BJ233="""","""",GOOGLETRANSLATE(BJ233,""auto"",""en""))"),"Production Packer")</f>
        <v>Production Packer</v>
      </c>
      <c r="AA233" s="23" t="str">
        <f aca="false">IF(C233="","", CHOOSE(MONTH(C233),"January","February","March","April","May","June","July","August","September","October","November","December")&amp;" "&amp;DAY(C233)&amp;MID("thstndrdth",MIN(9,2*RIGHT(DAY(C233))*(MOD(DAY(C233)-11,100)&gt;2)+1),2)&amp;","&amp;TEXT(C233," yyyy"))</f>
        <v>November 16th,2020</v>
      </c>
      <c r="AB233" s="15" t="str">
        <f aca="true">IF(S233="","",DATEDIF(S233,TODAY(),"Y")&amp;" Tahun, "&amp;DATEDIF(S233,TODAY(),"YM")&amp;" Bulan, "&amp;DATEDIF(S233,TODAY(),"MD")&amp;" Hari")</f>
        <v>28 Tahun, 9 Bulan, 10 Hari</v>
      </c>
      <c r="AC233" s="18" t="n">
        <v>45658</v>
      </c>
      <c r="AD233" s="18" t="n">
        <v>46022</v>
      </c>
      <c r="AE233" s="18" t="s">
        <v>44</v>
      </c>
    </row>
    <row r="234" customFormat="false" ht="15" hidden="false" customHeight="true" outlineLevel="0" collapsed="false">
      <c r="A234" s="12" t="n">
        <v>1543</v>
      </c>
      <c r="B234" s="13" t="s">
        <v>1077</v>
      </c>
      <c r="C234" s="14" t="n">
        <v>44182</v>
      </c>
      <c r="D234" s="13" t="s">
        <v>1066</v>
      </c>
      <c r="E234" s="15" t="s">
        <v>47</v>
      </c>
      <c r="F234" s="15" t="str">
        <f aca="false">IFERROR(__xludf.dummyfunction("XLOOKUP(AJ234,IMPORTRANGE(""1XaInW9DU9nz21V0tYIfzFQ0He9kVQ_JF2mCXgZ3hqFA"",""REKAP ALL 2026 - Andika!G:G""),IMPORTRANGE(""1XaInW9DU9nz21V0tYIfzFQ0He9kVQ_JF2mCXgZ3hqFA"",""REKAP ALL 2026 - Andika!F:F""),"""",0)"),"22046708388")</f>
        <v>22046708388</v>
      </c>
      <c r="G234" s="13" t="s">
        <v>1078</v>
      </c>
      <c r="H234" s="13" t="s">
        <v>35</v>
      </c>
      <c r="I234" s="13" t="str">
        <f aca="false">IF(C234=J234,"NEW KONTRAK","RE-KONTRAK")</f>
        <v>RE-KONTRAK</v>
      </c>
      <c r="J234" s="16" t="n">
        <f aca="false" t="array" ref="J234:J234">IFERROR(INDEX(AC234:AE234,IF(COUNTA(AC234:AE234)=0,"",MAX((AC234:AE234&lt;&gt;"")*(COLUMN(AC234:AE234)-(COLUMN(AC234)))))-1),"")</f>
        <v>45658</v>
      </c>
      <c r="K234" s="16" t="n">
        <f aca="false" t="array" ref="K234:K234">IFERROR(INDEX(AC234:AE234,IF(COUNTA(AC234:AE234)=0,"",MAX((AC234:AE234&lt;&gt;"")*(COLUMN(AC234:AE234)-(COLUMN(AC234)-1))))-1),"")</f>
        <v>46022</v>
      </c>
      <c r="L234" s="17" t="str">
        <f aca="false" t="array" ref="L234:L234">IFERROR(INDEX(AC234:AE234,IF(COUNTA(AC234:AE234)=0,"",MAX((AC234:AE234&lt;&gt;"")*(COLUMN(AC234:AE234)-(COLUMN(AC234)-2))))-1),"")</f>
        <v>ARCHIVED</v>
      </c>
      <c r="M234" s="13" t="n">
        <f aca="true">K234-TODAY()</f>
        <v>-302</v>
      </c>
      <c r="N234" s="18" t="s">
        <v>615</v>
      </c>
      <c r="O234" s="13" t="s">
        <v>1068</v>
      </c>
      <c r="P234" s="19" t="n">
        <v>5176101</v>
      </c>
      <c r="Q234" s="20" t="s">
        <v>1079</v>
      </c>
      <c r="R234" s="13" t="s">
        <v>78</v>
      </c>
      <c r="S234" s="14" t="n">
        <v>36652</v>
      </c>
      <c r="T234" s="13" t="s">
        <v>108</v>
      </c>
      <c r="U234" s="13" t="s">
        <v>1080</v>
      </c>
      <c r="V234" s="13" t="s">
        <v>42</v>
      </c>
      <c r="W234" s="13" t="s">
        <v>43</v>
      </c>
      <c r="X234" s="21" t="n">
        <v>85706322495</v>
      </c>
      <c r="Y234" s="22" t="str">
        <f aca="false">O234</f>
        <v>Production Packer</v>
      </c>
      <c r="Z234" s="13" t="str">
        <f aca="false">IFERROR(__xludf.dummyfunction("if(BJ234="""","""",GOOGLETRANSLATE(BJ234,""auto"",""en""))"),"Production Packer")</f>
        <v>Production Packer</v>
      </c>
      <c r="AA234" s="23" t="str">
        <f aca="false">IF(C234="","", CHOOSE(MONTH(C234),"January","February","March","April","May","June","July","August","September","October","November","December")&amp;" "&amp;DAY(C234)&amp;MID("thstndrdth",MIN(9,2*RIGHT(DAY(C234))*(MOD(DAY(C234)-11,100)&gt;2)+1),2)&amp;","&amp;TEXT(C234," yyyy"))</f>
        <v>December 17th,2020</v>
      </c>
      <c r="AB234" s="15" t="str">
        <f aca="true">IF(S234="","",DATEDIF(S234,TODAY(),"Y")&amp;" Tahun, "&amp;DATEDIF(S234,TODAY(),"YM")&amp;" Bulan, "&amp;DATEDIF(S234,TODAY(),"MD")&amp;" Hari")</f>
        <v>26 Tahun, 5 Bulan, 23 Hari</v>
      </c>
      <c r="AC234" s="18" t="n">
        <v>45658</v>
      </c>
      <c r="AD234" s="18" t="n">
        <v>46022</v>
      </c>
      <c r="AE234" s="18" t="s">
        <v>44</v>
      </c>
    </row>
    <row r="235" customFormat="false" ht="15.75" hidden="false" customHeight="true" outlineLevel="0" collapsed="false">
      <c r="A235" s="12" t="n">
        <v>1550</v>
      </c>
      <c r="B235" s="13" t="s">
        <v>1081</v>
      </c>
      <c r="C235" s="14" t="n">
        <v>44151</v>
      </c>
      <c r="D235" s="13" t="s">
        <v>1066</v>
      </c>
      <c r="E235" s="15" t="s">
        <v>47</v>
      </c>
      <c r="F235" s="15" t="str">
        <f aca="false">IFERROR(__xludf.dummyfunction("XLOOKUP(AJ235,IMPORTRANGE(""1XaInW9DU9nz21V0tYIfzFQ0He9kVQ_JF2mCXgZ3hqFA"",""REKAP ALL 2026 - Andika!G:G""),IMPORTRANGE(""1XaInW9DU9nz21V0tYIfzFQ0He9kVQ_JF2mCXgZ3hqFA"",""REKAP ALL 2026 - Andika!F:F""),"""",0)"),"24195984323")</f>
        <v>24195984323</v>
      </c>
      <c r="G235" s="13" t="s">
        <v>1082</v>
      </c>
      <c r="H235" s="13" t="s">
        <v>35</v>
      </c>
      <c r="I235" s="13" t="str">
        <f aca="false">IF(C235=J235,"NEW KONTRAK","RE-KONTRAK")</f>
        <v>RE-KONTRAK</v>
      </c>
      <c r="J235" s="16" t="n">
        <f aca="false" t="array" ref="J235:J235">IFERROR(INDEX(AC235:AE235,IF(COUNTA(AC235:AE235)=0,"",MAX((AC235:AE235&lt;&gt;"")*(COLUMN(AC235:AE235)-(COLUMN(AC235)))))-1),"")</f>
        <v>45658</v>
      </c>
      <c r="K235" s="16" t="n">
        <f aca="false" t="array" ref="K235:K235">IFERROR(INDEX(AC235:AE235,IF(COUNTA(AC235:AE235)=0,"",MAX((AC235:AE235&lt;&gt;"")*(COLUMN(AC235:AE235)-(COLUMN(AC235)-1))))-1),"")</f>
        <v>46022</v>
      </c>
      <c r="L235" s="17" t="str">
        <f aca="false" t="array" ref="L235:L235">IFERROR(INDEX(AC235:AE235,IF(COUNTA(AC235:AE235)=0,"",MAX((AC235:AE235&lt;&gt;"")*(COLUMN(AC235:AE235)-(COLUMN(AC235)-2))))-1),"")</f>
        <v>ARCHIVED</v>
      </c>
      <c r="M235" s="13" t="n">
        <f aca="true">K235-TODAY()</f>
        <v>-302</v>
      </c>
      <c r="N235" s="18" t="s">
        <v>615</v>
      </c>
      <c r="O235" s="13" t="s">
        <v>1068</v>
      </c>
      <c r="P235" s="19" t="n">
        <v>5176101</v>
      </c>
      <c r="Q235" s="20" t="s">
        <v>1083</v>
      </c>
      <c r="R235" s="13" t="s">
        <v>232</v>
      </c>
      <c r="S235" s="14" t="n">
        <v>36693</v>
      </c>
      <c r="T235" s="13" t="s">
        <v>108</v>
      </c>
      <c r="U235" s="13" t="s">
        <v>1084</v>
      </c>
      <c r="V235" s="13" t="s">
        <v>42</v>
      </c>
      <c r="W235" s="13" t="s">
        <v>43</v>
      </c>
      <c r="X235" s="21" t="n">
        <v>85730030773</v>
      </c>
      <c r="Y235" s="22" t="str">
        <f aca="false">O235</f>
        <v>Production Packer</v>
      </c>
      <c r="Z235" s="13" t="str">
        <f aca="false">IFERROR(__xludf.dummyfunction("if(BJ235="""","""",GOOGLETRANSLATE(BJ235,""auto"",""en""))"),"Production Packer")</f>
        <v>Production Packer</v>
      </c>
      <c r="AA235" s="23" t="str">
        <f aca="false">IF(C235="","", CHOOSE(MONTH(C235),"January","February","March","April","May","June","July","August","September","October","November","December")&amp;" "&amp;DAY(C235)&amp;MID("thstndrdth",MIN(9,2*RIGHT(DAY(C235))*(MOD(DAY(C235)-11,100)&gt;2)+1),2)&amp;","&amp;TEXT(C235," yyyy"))</f>
        <v>November 16th,2020</v>
      </c>
      <c r="AB235" s="15" t="str">
        <f aca="true">IF(S235="","",DATEDIF(S235,TODAY(),"Y")&amp;" Tahun, "&amp;DATEDIF(S235,TODAY(),"YM")&amp;" Bulan, "&amp;DATEDIF(S235,TODAY(),"MD")&amp;" Hari")</f>
        <v>26 Tahun, 4 Bulan, 13 Hari</v>
      </c>
      <c r="AC235" s="18" t="n">
        <v>45658</v>
      </c>
      <c r="AD235" s="18" t="n">
        <v>46022</v>
      </c>
      <c r="AE235" s="18" t="s">
        <v>44</v>
      </c>
    </row>
    <row r="236" customFormat="false" ht="15.75" hidden="false" customHeight="true" outlineLevel="0" collapsed="false">
      <c r="A236" s="12" t="n">
        <v>1551</v>
      </c>
      <c r="B236" s="13" t="s">
        <v>1085</v>
      </c>
      <c r="C236" s="14" t="n">
        <v>44172</v>
      </c>
      <c r="D236" s="13" t="s">
        <v>1066</v>
      </c>
      <c r="E236" s="15" t="s">
        <v>47</v>
      </c>
      <c r="F236" s="15" t="str">
        <f aca="false">IFERROR(__xludf.dummyfunction("XLOOKUP(AJ236,IMPORTRANGE(""1XaInW9DU9nz21V0tYIfzFQ0He9kVQ_JF2mCXgZ3hqFA"",""REKAP ALL 2026 - Andika!G:G""),IMPORTRANGE(""1XaInW9DU9nz21V0tYIfzFQ0He9kVQ_JF2mCXgZ3hqFA"",""REKAP ALL 2026 - Andika!F:F""),"""",0)"),"21003177041")</f>
        <v>21003177041</v>
      </c>
      <c r="G236" s="13" t="s">
        <v>1086</v>
      </c>
      <c r="H236" s="13" t="s">
        <v>35</v>
      </c>
      <c r="I236" s="13" t="str">
        <f aca="false">IF(C236=J236,"NEW KONTRAK","RE-KONTRAK")</f>
        <v>RE-KONTRAK</v>
      </c>
      <c r="J236" s="16" t="n">
        <f aca="false" t="array" ref="J236:J236">IFERROR(INDEX(AC236:AE236,IF(COUNTA(AC236:AE236)=0,"",MAX((AC236:AE236&lt;&gt;"")*(COLUMN(AC236:AE236)-(COLUMN(AC236)))))-1),"")</f>
        <v>45658</v>
      </c>
      <c r="K236" s="16" t="n">
        <f aca="false" t="array" ref="K236:K236">IFERROR(INDEX(AC236:AE236,IF(COUNTA(AC236:AE236)=0,"",MAX((AC236:AE236&lt;&gt;"")*(COLUMN(AC236:AE236)-(COLUMN(AC236)-1))))-1),"")</f>
        <v>46022</v>
      </c>
      <c r="L236" s="17" t="str">
        <f aca="false" t="array" ref="L236:L236">IFERROR(INDEX(AC236:AE236,IF(COUNTA(AC236:AE236)=0,"",MAX((AC236:AE236&lt;&gt;"")*(COLUMN(AC236:AE236)-(COLUMN(AC236)-2))))-1),"")</f>
        <v>ARCHIVED</v>
      </c>
      <c r="M236" s="13" t="n">
        <f aca="true">K236-TODAY()</f>
        <v>-302</v>
      </c>
      <c r="N236" s="18" t="s">
        <v>615</v>
      </c>
      <c r="O236" s="13" t="s">
        <v>1068</v>
      </c>
      <c r="P236" s="19" t="n">
        <v>5176101</v>
      </c>
      <c r="Q236" s="20" t="s">
        <v>1087</v>
      </c>
      <c r="R236" s="13" t="s">
        <v>232</v>
      </c>
      <c r="S236" s="14" t="n">
        <v>35419</v>
      </c>
      <c r="T236" s="13" t="s">
        <v>108</v>
      </c>
      <c r="U236" s="13" t="s">
        <v>1088</v>
      </c>
      <c r="V236" s="13" t="s">
        <v>42</v>
      </c>
      <c r="W236" s="13" t="s">
        <v>43</v>
      </c>
      <c r="X236" s="21" t="n">
        <v>81234778626</v>
      </c>
      <c r="Y236" s="22" t="str">
        <f aca="false">O236</f>
        <v>Production Packer</v>
      </c>
      <c r="Z236" s="13" t="str">
        <f aca="false">IFERROR(__xludf.dummyfunction("if(BJ236="""","""",GOOGLETRANSLATE(BJ236,""auto"",""en""))"),"Production Packer")</f>
        <v>Production Packer</v>
      </c>
      <c r="AA236" s="23" t="str">
        <f aca="false">IF(C236="","", CHOOSE(MONTH(C236),"January","February","March","April","May","June","July","August","September","October","November","December")&amp;" "&amp;DAY(C236)&amp;MID("thstndrdth",MIN(9,2*RIGHT(DAY(C236))*(MOD(DAY(C236)-11,100)&gt;2)+1),2)&amp;","&amp;TEXT(C236," yyyy"))</f>
        <v>December 7th,2020</v>
      </c>
      <c r="AB236" s="15" t="str">
        <f aca="true">IF(S236="","",DATEDIF(S236,TODAY(),"Y")&amp;" Tahun, "&amp;DATEDIF(S236,TODAY(),"YM")&amp;" Bulan, "&amp;DATEDIF(S236,TODAY(),"MD")&amp;" Hari")</f>
        <v>29 Tahun, 10 Bulan, 9 Hari</v>
      </c>
      <c r="AC236" s="18" t="n">
        <v>45658</v>
      </c>
      <c r="AD236" s="18" t="n">
        <v>46022</v>
      </c>
      <c r="AE236" s="18" t="s">
        <v>44</v>
      </c>
    </row>
    <row r="237" customFormat="false" ht="15.75" hidden="false" customHeight="true" outlineLevel="0" collapsed="false">
      <c r="A237" s="12" t="n">
        <v>1552</v>
      </c>
      <c r="B237" s="13" t="s">
        <v>1089</v>
      </c>
      <c r="C237" s="14" t="n">
        <v>44180</v>
      </c>
      <c r="D237" s="13" t="s">
        <v>1066</v>
      </c>
      <c r="E237" s="15" t="s">
        <v>47</v>
      </c>
      <c r="F237" s="15" t="str">
        <f aca="false">IFERROR(__xludf.dummyfunction("XLOOKUP(AJ237,IMPORTRANGE(""1XaInW9DU9nz21V0tYIfzFQ0He9kVQ_JF2mCXgZ3hqFA"",""REKAP ALL 2026 - Andika!G:G""),IMPORTRANGE(""1XaInW9DU9nz21V0tYIfzFQ0He9kVQ_JF2mCXgZ3hqFA"",""REKAP ALL 2026 - Andika!F:F""),"""",0)"),"22046708602")</f>
        <v>22046708602</v>
      </c>
      <c r="G237" s="13" t="s">
        <v>1090</v>
      </c>
      <c r="H237" s="13" t="s">
        <v>35</v>
      </c>
      <c r="I237" s="13" t="str">
        <f aca="false">IF(C237=J237,"NEW KONTRAK","RE-KONTRAK")</f>
        <v>RE-KONTRAK</v>
      </c>
      <c r="J237" s="16" t="n">
        <f aca="false" t="array" ref="J237:J237">IFERROR(INDEX(AC237:AE237,IF(COUNTA(AC237:AE237)=0,"",MAX((AC237:AE237&lt;&gt;"")*(COLUMN(AC237:AE237)-(COLUMN(AC237)))))-1),"")</f>
        <v>45658</v>
      </c>
      <c r="K237" s="16" t="n">
        <f aca="false" t="array" ref="K237:K237">IFERROR(INDEX(AC237:AE237,IF(COUNTA(AC237:AE237)=0,"",MAX((AC237:AE237&lt;&gt;"")*(COLUMN(AC237:AE237)-(COLUMN(AC237)-1))))-1),"")</f>
        <v>46022</v>
      </c>
      <c r="L237" s="17" t="str">
        <f aca="false" t="array" ref="L237:L237">IFERROR(INDEX(AC237:AE237,IF(COUNTA(AC237:AE237)=0,"",MAX((AC237:AE237&lt;&gt;"")*(COLUMN(AC237:AE237)-(COLUMN(AC237)-2))))-1),"")</f>
        <v>ARCHIVED</v>
      </c>
      <c r="M237" s="13" t="n">
        <f aca="true">K237-TODAY()</f>
        <v>-302</v>
      </c>
      <c r="N237" s="18" t="s">
        <v>615</v>
      </c>
      <c r="O237" s="13" t="s">
        <v>1068</v>
      </c>
      <c r="P237" s="19" t="n">
        <v>5176101</v>
      </c>
      <c r="Q237" s="20" t="s">
        <v>1091</v>
      </c>
      <c r="R237" s="13" t="s">
        <v>232</v>
      </c>
      <c r="S237" s="14" t="n">
        <v>36751</v>
      </c>
      <c r="T237" s="13" t="s">
        <v>108</v>
      </c>
      <c r="U237" s="13" t="s">
        <v>1092</v>
      </c>
      <c r="V237" s="13" t="s">
        <v>42</v>
      </c>
      <c r="W237" s="13" t="s">
        <v>43</v>
      </c>
      <c r="X237" s="21" t="n">
        <v>85850816530</v>
      </c>
      <c r="Y237" s="22" t="str">
        <f aca="false">O237</f>
        <v>Production Packer</v>
      </c>
      <c r="Z237" s="13" t="str">
        <f aca="false">IFERROR(__xludf.dummyfunction("if(BJ237="""","""",GOOGLETRANSLATE(BJ237,""auto"",""en""))"),"Production Packer")</f>
        <v>Production Packer</v>
      </c>
      <c r="AA237" s="23" t="str">
        <f aca="false">IF(C237="","", CHOOSE(MONTH(C237),"January","February","March","April","May","June","July","August","September","October","November","December")&amp;" "&amp;DAY(C237)&amp;MID("thstndrdth",MIN(9,2*RIGHT(DAY(C237))*(MOD(DAY(C237)-11,100)&gt;2)+1),2)&amp;","&amp;TEXT(C237," yyyy"))</f>
        <v>December 15th,2020</v>
      </c>
      <c r="AB237" s="15" t="str">
        <f aca="true">IF(S237="","",DATEDIF(S237,TODAY(),"Y")&amp;" Tahun, "&amp;DATEDIF(S237,TODAY(),"YM")&amp;" Bulan, "&amp;DATEDIF(S237,TODAY(),"MD")&amp;" Hari")</f>
        <v>26 Tahun, 2 Bulan, 16 Hari</v>
      </c>
      <c r="AC237" s="18" t="n">
        <v>45658</v>
      </c>
      <c r="AD237" s="18" t="n">
        <v>46022</v>
      </c>
      <c r="AE237" s="18" t="s">
        <v>44</v>
      </c>
    </row>
    <row r="238" customFormat="false" ht="15.75" hidden="false" customHeight="true" outlineLevel="0" collapsed="false">
      <c r="A238" s="12" t="n">
        <v>1554</v>
      </c>
      <c r="B238" s="13" t="s">
        <v>1093</v>
      </c>
      <c r="C238" s="14" t="n">
        <v>44166</v>
      </c>
      <c r="D238" s="13" t="s">
        <v>1066</v>
      </c>
      <c r="E238" s="15" t="s">
        <v>47</v>
      </c>
      <c r="F238" s="15" t="str">
        <f aca="false">IFERROR(__xludf.dummyfunction("XLOOKUP(AJ238,IMPORTRANGE(""1XaInW9DU9nz21V0tYIfzFQ0He9kVQ_JF2mCXgZ3hqFA"",""REKAP ALL 2026 - Andika!G:G""),IMPORTRANGE(""1XaInW9DU9nz21V0tYIfzFQ0He9kVQ_JF2mCXgZ3hqFA"",""REKAP ALL 2026 - Andika!F:F""),"""",0)"),"22046708628")</f>
        <v>22046708628</v>
      </c>
      <c r="G238" s="13" t="s">
        <v>1094</v>
      </c>
      <c r="H238" s="13" t="s">
        <v>35</v>
      </c>
      <c r="I238" s="13" t="str">
        <f aca="false">IF(C238=J238,"NEW KONTRAK","RE-KONTRAK")</f>
        <v>RE-KONTRAK</v>
      </c>
      <c r="J238" s="16" t="n">
        <f aca="false" t="array" ref="J238:J238">IFERROR(INDEX(AC238:AE238,IF(COUNTA(AC238:AE238)=0,"",MAX((AC238:AE238&lt;&gt;"")*(COLUMN(AC238:AE238)-(COLUMN(AC238)))))-1),"")</f>
        <v>45658</v>
      </c>
      <c r="K238" s="16" t="n">
        <f aca="false" t="array" ref="K238:K238">IFERROR(INDEX(AC238:AE238,IF(COUNTA(AC238:AE238)=0,"",MAX((AC238:AE238&lt;&gt;"")*(COLUMN(AC238:AE238)-(COLUMN(AC238)-1))))-1),"")</f>
        <v>46022</v>
      </c>
      <c r="L238" s="17" t="str">
        <f aca="false" t="array" ref="L238:L238">IFERROR(INDEX(AC238:AE238,IF(COUNTA(AC238:AE238)=0,"",MAX((AC238:AE238&lt;&gt;"")*(COLUMN(AC238:AE238)-(COLUMN(AC238)-2))))-1),"")</f>
        <v>ARCHIVED</v>
      </c>
      <c r="M238" s="13" t="n">
        <f aca="true">K238-TODAY()</f>
        <v>-302</v>
      </c>
      <c r="N238" s="18" t="s">
        <v>615</v>
      </c>
      <c r="O238" s="13" t="s">
        <v>1068</v>
      </c>
      <c r="P238" s="19" t="n">
        <v>5176101</v>
      </c>
      <c r="Q238" s="20" t="s">
        <v>1095</v>
      </c>
      <c r="R238" s="13" t="s">
        <v>232</v>
      </c>
      <c r="S238" s="14" t="n">
        <v>37228</v>
      </c>
      <c r="T238" s="13" t="s">
        <v>108</v>
      </c>
      <c r="U238" s="13" t="s">
        <v>1096</v>
      </c>
      <c r="V238" s="13" t="s">
        <v>42</v>
      </c>
      <c r="W238" s="13" t="s">
        <v>43</v>
      </c>
      <c r="X238" s="21" t="n">
        <v>85776335642</v>
      </c>
      <c r="Y238" s="22" t="str">
        <f aca="false">O238</f>
        <v>Production Packer</v>
      </c>
      <c r="Z238" s="13" t="str">
        <f aca="false">IFERROR(__xludf.dummyfunction("if(BJ238="""","""",GOOGLETRANSLATE(BJ238,""auto"",""en""))"),"Production Packer")</f>
        <v>Production Packer</v>
      </c>
      <c r="AA238" s="23" t="str">
        <f aca="false">IF(C238="","", CHOOSE(MONTH(C238),"January","February","March","April","May","June","July","August","September","October","November","December")&amp;" "&amp;DAY(C238)&amp;MID("thstndrdth",MIN(9,2*RIGHT(DAY(C238))*(MOD(DAY(C238)-11,100)&gt;2)+1),2)&amp;","&amp;TEXT(C238," yyyy"))</f>
        <v>December 1st,2020</v>
      </c>
      <c r="AB238" s="15" t="str">
        <f aca="true">IF(S238="","",DATEDIF(S238,TODAY(),"Y")&amp;" Tahun, "&amp;DATEDIF(S238,TODAY(),"YM")&amp;" Bulan, "&amp;DATEDIF(S238,TODAY(),"MD")&amp;" Hari")</f>
        <v>24 Tahun, 10 Bulan, 26 Hari</v>
      </c>
      <c r="AC238" s="18" t="n">
        <v>45658</v>
      </c>
      <c r="AD238" s="18" t="n">
        <v>46022</v>
      </c>
      <c r="AE238" s="18" t="s">
        <v>44</v>
      </c>
    </row>
    <row r="239" customFormat="false" ht="15.75" hidden="false" customHeight="true" outlineLevel="0" collapsed="false">
      <c r="A239" s="12" t="n">
        <v>1556</v>
      </c>
      <c r="B239" s="13" t="s">
        <v>1097</v>
      </c>
      <c r="C239" s="14" t="n">
        <v>44180</v>
      </c>
      <c r="D239" s="13" t="s">
        <v>1066</v>
      </c>
      <c r="E239" s="15" t="s">
        <v>47</v>
      </c>
      <c r="F239" s="15" t="str">
        <f aca="false">IFERROR(__xludf.dummyfunction("XLOOKUP(AJ239,IMPORTRANGE(""1XaInW9DU9nz21V0tYIfzFQ0He9kVQ_JF2mCXgZ3hqFA"",""REKAP ALL 2026 - Andika!G:G""),IMPORTRANGE(""1XaInW9DU9nz21V0tYIfzFQ0He9kVQ_JF2mCXgZ3hqFA"",""REKAP ALL 2026 - Andika!F:F""),"""",0)"),"21003177512")</f>
        <v>21003177512</v>
      </c>
      <c r="G239" s="13" t="s">
        <v>1098</v>
      </c>
      <c r="H239" s="13" t="s">
        <v>35</v>
      </c>
      <c r="I239" s="13" t="str">
        <f aca="false">IF(C239=J239,"NEW KONTRAK","RE-KONTRAK")</f>
        <v>RE-KONTRAK</v>
      </c>
      <c r="J239" s="16" t="n">
        <f aca="false" t="array" ref="J239:J239">IFERROR(INDEX(AC239:AE239,IF(COUNTA(AC239:AE239)=0,"",MAX((AC239:AE239&lt;&gt;"")*(COLUMN(AC239:AE239)-(COLUMN(AC239)))))-1),"")</f>
        <v>45658</v>
      </c>
      <c r="K239" s="16" t="n">
        <f aca="false" t="array" ref="K239:K239">IFERROR(INDEX(AC239:AE239,IF(COUNTA(AC239:AE239)=0,"",MAX((AC239:AE239&lt;&gt;"")*(COLUMN(AC239:AE239)-(COLUMN(AC239)-1))))-1),"")</f>
        <v>46022</v>
      </c>
      <c r="L239" s="17" t="str">
        <f aca="false" t="array" ref="L239:L239">IFERROR(INDEX(AC239:AE239,IF(COUNTA(AC239:AE239)=0,"",MAX((AC239:AE239&lt;&gt;"")*(COLUMN(AC239:AE239)-(COLUMN(AC239)-2))))-1),"")</f>
        <v>ARCHIVED</v>
      </c>
      <c r="M239" s="13" t="n">
        <f aca="true">K239-TODAY()</f>
        <v>-302</v>
      </c>
      <c r="N239" s="18" t="s">
        <v>615</v>
      </c>
      <c r="O239" s="13" t="s">
        <v>1068</v>
      </c>
      <c r="P239" s="19" t="n">
        <v>5176101</v>
      </c>
      <c r="Q239" s="20" t="s">
        <v>1099</v>
      </c>
      <c r="R239" s="13" t="s">
        <v>232</v>
      </c>
      <c r="S239" s="14" t="n">
        <v>37151</v>
      </c>
      <c r="T239" s="13" t="s">
        <v>108</v>
      </c>
      <c r="U239" s="13" t="s">
        <v>1100</v>
      </c>
      <c r="V239" s="13" t="s">
        <v>42</v>
      </c>
      <c r="W239" s="13" t="s">
        <v>43</v>
      </c>
      <c r="X239" s="21" t="n">
        <v>85745228436</v>
      </c>
      <c r="Y239" s="22" t="str">
        <f aca="false">O239</f>
        <v>Production Packer</v>
      </c>
      <c r="Z239" s="13" t="str">
        <f aca="false">IFERROR(__xludf.dummyfunction("if(BJ239="""","""",GOOGLETRANSLATE(BJ239,""auto"",""en""))"),"Production Packer")</f>
        <v>Production Packer</v>
      </c>
      <c r="AA239" s="23" t="str">
        <f aca="false">IF(C239="","", CHOOSE(MONTH(C239),"January","February","March","April","May","June","July","August","September","October","November","December")&amp;" "&amp;DAY(C239)&amp;MID("thstndrdth",MIN(9,2*RIGHT(DAY(C239))*(MOD(DAY(C239)-11,100)&gt;2)+1),2)&amp;","&amp;TEXT(C239," yyyy"))</f>
        <v>December 15th,2020</v>
      </c>
      <c r="AB239" s="15" t="str">
        <f aca="true">IF(S239="","",DATEDIF(S239,TODAY(),"Y")&amp;" Tahun, "&amp;DATEDIF(S239,TODAY(),"YM")&amp;" Bulan, "&amp;DATEDIF(S239,TODAY(),"MD")&amp;" Hari")</f>
        <v>25 Tahun, 1 Bulan, 12 Hari</v>
      </c>
      <c r="AC239" s="18" t="n">
        <v>45658</v>
      </c>
      <c r="AD239" s="18" t="n">
        <v>46022</v>
      </c>
      <c r="AE239" s="18" t="s">
        <v>44</v>
      </c>
    </row>
    <row r="240" customFormat="false" ht="15.75" hidden="false" customHeight="true" outlineLevel="0" collapsed="false">
      <c r="A240" s="12" t="n">
        <v>1557</v>
      </c>
      <c r="B240" s="13" t="s">
        <v>1101</v>
      </c>
      <c r="C240" s="14" t="n">
        <v>44166</v>
      </c>
      <c r="D240" s="13" t="s">
        <v>1066</v>
      </c>
      <c r="E240" s="15" t="s">
        <v>47</v>
      </c>
      <c r="F240" s="15" t="str">
        <f aca="false">IFERROR(__xludf.dummyfunction("XLOOKUP(AJ240,IMPORTRANGE(""1XaInW9DU9nz21V0tYIfzFQ0He9kVQ_JF2mCXgZ3hqFA"",""REKAP ALL 2026 - Andika!G:G""),IMPORTRANGE(""1XaInW9DU9nz21V0tYIfzFQ0He9kVQ_JF2mCXgZ3hqFA"",""REKAP ALL 2026 - Andika!F:F""),"""",0)"),"25180537323")</f>
        <v>25180537323</v>
      </c>
      <c r="G240" s="13" t="s">
        <v>1102</v>
      </c>
      <c r="H240" s="13" t="s">
        <v>35</v>
      </c>
      <c r="I240" s="13" t="str">
        <f aca="false">IF(C240=J240,"NEW KONTRAK","RE-KONTRAK")</f>
        <v>RE-KONTRAK</v>
      </c>
      <c r="J240" s="16" t="n">
        <f aca="false" t="array" ref="J240:J240">IFERROR(INDEX(AC240:AE240,IF(COUNTA(AC240:AE240)=0,"",MAX((AC240:AE240&lt;&gt;"")*(COLUMN(AC240:AE240)-(COLUMN(AC240)))))-1),"")</f>
        <v>45658</v>
      </c>
      <c r="K240" s="16" t="n">
        <f aca="false" t="array" ref="K240:K240">IFERROR(INDEX(AC240:AE240,IF(COUNTA(AC240:AE240)=0,"",MAX((AC240:AE240&lt;&gt;"")*(COLUMN(AC240:AE240)-(COLUMN(AC240)-1))))-1),"")</f>
        <v>46022</v>
      </c>
      <c r="L240" s="17" t="str">
        <f aca="false" t="array" ref="L240:L240">IFERROR(INDEX(AC240:AE240,IF(COUNTA(AC240:AE240)=0,"",MAX((AC240:AE240&lt;&gt;"")*(COLUMN(AC240:AE240)-(COLUMN(AC240)-2))))-1),"")</f>
        <v>ARCHIVED</v>
      </c>
      <c r="M240" s="13" t="n">
        <f aca="true">K240-TODAY()</f>
        <v>-302</v>
      </c>
      <c r="N240" s="18" t="s">
        <v>615</v>
      </c>
      <c r="O240" s="13" t="s">
        <v>1068</v>
      </c>
      <c r="P240" s="19" t="n">
        <v>5176101</v>
      </c>
      <c r="Q240" s="20" t="s">
        <v>1103</v>
      </c>
      <c r="R240" s="13" t="s">
        <v>232</v>
      </c>
      <c r="S240" s="14" t="n">
        <v>36334</v>
      </c>
      <c r="T240" s="13" t="s">
        <v>108</v>
      </c>
      <c r="U240" s="13" t="s">
        <v>1104</v>
      </c>
      <c r="V240" s="13" t="s">
        <v>42</v>
      </c>
      <c r="W240" s="13" t="s">
        <v>43</v>
      </c>
      <c r="X240" s="21" t="n">
        <v>85850133858</v>
      </c>
      <c r="Y240" s="22" t="str">
        <f aca="false">O240</f>
        <v>Production Packer</v>
      </c>
      <c r="Z240" s="13" t="str">
        <f aca="false">IFERROR(__xludf.dummyfunction("if(BJ240="""","""",GOOGLETRANSLATE(BJ240,""auto"",""en""))"),"Production Packer")</f>
        <v>Production Packer</v>
      </c>
      <c r="AA240" s="23" t="str">
        <f aca="false">IF(C240="","", CHOOSE(MONTH(C240),"January","February","March","April","May","June","July","August","September","October","November","December")&amp;" "&amp;DAY(C240)&amp;MID("thstndrdth",MIN(9,2*RIGHT(DAY(C240))*(MOD(DAY(C240)-11,100)&gt;2)+1),2)&amp;","&amp;TEXT(C240," yyyy"))</f>
        <v>December 1st,2020</v>
      </c>
      <c r="AB240" s="15" t="str">
        <f aca="true">IF(S240="","",DATEDIF(S240,TODAY(),"Y")&amp;" Tahun, "&amp;DATEDIF(S240,TODAY(),"YM")&amp;" Bulan, "&amp;DATEDIF(S240,TODAY(),"MD")&amp;" Hari")</f>
        <v>27 Tahun, 4 Bulan, 6 Hari</v>
      </c>
      <c r="AC240" s="18" t="n">
        <v>45658</v>
      </c>
      <c r="AD240" s="18" t="n">
        <v>46022</v>
      </c>
      <c r="AE240" s="18" t="s">
        <v>44</v>
      </c>
    </row>
    <row r="241" customFormat="false" ht="15.75" hidden="false" customHeight="true" outlineLevel="0" collapsed="false">
      <c r="A241" s="12" t="n">
        <v>1565</v>
      </c>
      <c r="B241" s="13" t="s">
        <v>1105</v>
      </c>
      <c r="C241" s="14" t="n">
        <v>44169</v>
      </c>
      <c r="D241" s="13" t="s">
        <v>1066</v>
      </c>
      <c r="E241" s="15" t="s">
        <v>47</v>
      </c>
      <c r="F241" s="15" t="str">
        <f aca="false">IFERROR(__xludf.dummyfunction("XLOOKUP(AJ241,IMPORTRANGE(""1XaInW9DU9nz21V0tYIfzFQ0He9kVQ_JF2mCXgZ3hqFA"",""REKAP ALL 2026 - Andika!G:G""),IMPORTRANGE(""1XaInW9DU9nz21V0tYIfzFQ0He9kVQ_JF2mCXgZ3hqFA"",""REKAP ALL 2026 - Andika!F:F""),"""",0)"),"21087534281")</f>
        <v>21087534281</v>
      </c>
      <c r="G241" s="13" t="s">
        <v>1106</v>
      </c>
      <c r="H241" s="13" t="s">
        <v>35</v>
      </c>
      <c r="I241" s="13" t="str">
        <f aca="false">IF(C241=J241,"NEW KONTRAK","RE-KONTRAK")</f>
        <v>RE-KONTRAK</v>
      </c>
      <c r="J241" s="16" t="n">
        <f aca="false" t="array" ref="J241:J241">IFERROR(INDEX(AC241:AE241,IF(COUNTA(AC241:AE241)=0,"",MAX((AC241:AE241&lt;&gt;"")*(COLUMN(AC241:AE241)-(COLUMN(AC241)))))-1),"")</f>
        <v>45658</v>
      </c>
      <c r="K241" s="16" t="n">
        <f aca="false" t="array" ref="K241:K241">IFERROR(INDEX(AC241:AE241,IF(COUNTA(AC241:AE241)=0,"",MAX((AC241:AE241&lt;&gt;"")*(COLUMN(AC241:AE241)-(COLUMN(AC241)-1))))-1),"")</f>
        <v>46022</v>
      </c>
      <c r="L241" s="17" t="str">
        <f aca="false" t="array" ref="L241:L241">IFERROR(INDEX(AC241:AE241,IF(COUNTA(AC241:AE241)=0,"",MAX((AC241:AE241&lt;&gt;"")*(COLUMN(AC241:AE241)-(COLUMN(AC241)-2))))-1),"")</f>
        <v>ARCHIVED</v>
      </c>
      <c r="M241" s="13" t="n">
        <f aca="true">K241-TODAY()</f>
        <v>-302</v>
      </c>
      <c r="N241" s="18" t="s">
        <v>615</v>
      </c>
      <c r="O241" s="13" t="s">
        <v>1068</v>
      </c>
      <c r="P241" s="19" t="n">
        <v>5176101</v>
      </c>
      <c r="Q241" s="20" t="s">
        <v>1107</v>
      </c>
      <c r="R241" s="13" t="s">
        <v>232</v>
      </c>
      <c r="S241" s="14" t="n">
        <v>36913</v>
      </c>
      <c r="T241" s="13" t="s">
        <v>108</v>
      </c>
      <c r="U241" s="13" t="s">
        <v>1108</v>
      </c>
      <c r="V241" s="13" t="s">
        <v>42</v>
      </c>
      <c r="W241" s="13" t="s">
        <v>43</v>
      </c>
      <c r="X241" s="21" t="n">
        <v>85784905759</v>
      </c>
      <c r="Y241" s="22" t="str">
        <f aca="false">O241</f>
        <v>Production Packer</v>
      </c>
      <c r="Z241" s="13" t="str">
        <f aca="false">IFERROR(__xludf.dummyfunction("if(BJ241="""","""",GOOGLETRANSLATE(BJ241,""auto"",""en""))"),"Production Packer")</f>
        <v>Production Packer</v>
      </c>
      <c r="AA241" s="23" t="str">
        <f aca="false">IF(C241="","", CHOOSE(MONTH(C241),"January","February","March","April","May","June","July","August","September","October","November","December")&amp;" "&amp;DAY(C241)&amp;MID("thstndrdth",MIN(9,2*RIGHT(DAY(C241))*(MOD(DAY(C241)-11,100)&gt;2)+1),2)&amp;","&amp;TEXT(C241," yyyy"))</f>
        <v>December 4th,2020</v>
      </c>
      <c r="AB241" s="15" t="str">
        <f aca="true">IF(S241="","",DATEDIF(S241,TODAY(),"Y")&amp;" Tahun, "&amp;DATEDIF(S241,TODAY(),"YM")&amp;" Bulan, "&amp;DATEDIF(S241,TODAY(),"MD")&amp;" Hari")</f>
        <v>25 Tahun, 9 Bulan, 7 Hari</v>
      </c>
      <c r="AC241" s="18" t="n">
        <v>45658</v>
      </c>
      <c r="AD241" s="18" t="n">
        <v>46022</v>
      </c>
      <c r="AE241" s="18" t="s">
        <v>44</v>
      </c>
    </row>
    <row r="242" customFormat="false" ht="15.75" hidden="false" customHeight="true" outlineLevel="0" collapsed="false">
      <c r="A242" s="12" t="n">
        <v>1570</v>
      </c>
      <c r="B242" s="13" t="s">
        <v>1109</v>
      </c>
      <c r="C242" s="14" t="n">
        <v>44179</v>
      </c>
      <c r="D242" s="13" t="s">
        <v>1066</v>
      </c>
      <c r="E242" s="15" t="s">
        <v>47</v>
      </c>
      <c r="F242" s="15" t="str">
        <f aca="false">IFERROR(__xludf.dummyfunction("XLOOKUP(AJ242,IMPORTRANGE(""1XaInW9DU9nz21V0tYIfzFQ0He9kVQ_JF2mCXgZ3hqFA"",""REKAP ALL 2026 - Andika!G:G""),IMPORTRANGE(""1XaInW9DU9nz21V0tYIfzFQ0He9kVQ_JF2mCXgZ3hqFA"",""REKAP ALL 2026 - Andika!F:F""),"""",0)"),"22046708487")</f>
        <v>22046708487</v>
      </c>
      <c r="G242" s="13" t="s">
        <v>1110</v>
      </c>
      <c r="H242" s="13" t="s">
        <v>35</v>
      </c>
      <c r="I242" s="13" t="str">
        <f aca="false">IF(C242=J242,"NEW KONTRAK","RE-KONTRAK")</f>
        <v>RE-KONTRAK</v>
      </c>
      <c r="J242" s="16" t="n">
        <f aca="false" t="array" ref="J242:J242">IFERROR(INDEX(AC242:AE242,IF(COUNTA(AC242:AE242)=0,"",MAX((AC242:AE242&lt;&gt;"")*(COLUMN(AC242:AE242)-(COLUMN(AC242)))))-1),"")</f>
        <v>45658</v>
      </c>
      <c r="K242" s="16" t="n">
        <f aca="false" t="array" ref="K242:K242">IFERROR(INDEX(AC242:AE242,IF(COUNTA(AC242:AE242)=0,"",MAX((AC242:AE242&lt;&gt;"")*(COLUMN(AC242:AE242)-(COLUMN(AC242)-1))))-1),"")</f>
        <v>46022</v>
      </c>
      <c r="L242" s="17" t="str">
        <f aca="false" t="array" ref="L242:L242">IFERROR(INDEX(AC242:AE242,IF(COUNTA(AC242:AE242)=0,"",MAX((AC242:AE242&lt;&gt;"")*(COLUMN(AC242:AE242)-(COLUMN(AC242)-2))))-1),"")</f>
        <v>ARCHIVED</v>
      </c>
      <c r="M242" s="13" t="n">
        <f aca="true">K242-TODAY()</f>
        <v>-302</v>
      </c>
      <c r="N242" s="18" t="s">
        <v>615</v>
      </c>
      <c r="O242" s="13" t="s">
        <v>1068</v>
      </c>
      <c r="P242" s="19" t="n">
        <v>5176101</v>
      </c>
      <c r="Q242" s="20" t="s">
        <v>1111</v>
      </c>
      <c r="R242" s="13" t="s">
        <v>232</v>
      </c>
      <c r="S242" s="14" t="n">
        <v>35939</v>
      </c>
      <c r="T242" s="13" t="s">
        <v>108</v>
      </c>
      <c r="U242" s="13" t="s">
        <v>1112</v>
      </c>
      <c r="V242" s="13" t="s">
        <v>42</v>
      </c>
      <c r="W242" s="13" t="s">
        <v>43</v>
      </c>
      <c r="X242" s="21" t="n">
        <v>85871279442</v>
      </c>
      <c r="Y242" s="22" t="str">
        <f aca="false">O242</f>
        <v>Production Packer</v>
      </c>
      <c r="Z242" s="13" t="str">
        <f aca="false">IFERROR(__xludf.dummyfunction("if(BJ242="""","""",GOOGLETRANSLATE(BJ242,""auto"",""en""))"),"Production Packer")</f>
        <v>Production Packer</v>
      </c>
      <c r="AA242" s="23" t="str">
        <f aca="false">IF(C242="","", CHOOSE(MONTH(C242),"January","February","March","April","May","June","July","August","September","October","November","December")&amp;" "&amp;DAY(C242)&amp;MID("thstndrdth",MIN(9,2*RIGHT(DAY(C242))*(MOD(DAY(C242)-11,100)&gt;2)+1),2)&amp;","&amp;TEXT(C242," yyyy"))</f>
        <v>December 14th,2020</v>
      </c>
      <c r="AB242" s="15" t="str">
        <f aca="true">IF(S242="","",DATEDIF(S242,TODAY(),"Y")&amp;" Tahun, "&amp;DATEDIF(S242,TODAY(),"YM")&amp;" Bulan, "&amp;DATEDIF(S242,TODAY(),"MD")&amp;" Hari")</f>
        <v>28 Tahun, 5 Bulan, 5 Hari</v>
      </c>
      <c r="AC242" s="18" t="n">
        <v>45658</v>
      </c>
      <c r="AD242" s="18" t="n">
        <v>46022</v>
      </c>
      <c r="AE242" s="18" t="s">
        <v>44</v>
      </c>
    </row>
    <row r="243" customFormat="false" ht="15.75" hidden="false" customHeight="true" outlineLevel="0" collapsed="false">
      <c r="A243" s="12" t="n">
        <v>1573</v>
      </c>
      <c r="B243" s="13" t="s">
        <v>1113</v>
      </c>
      <c r="C243" s="14" t="n">
        <v>44173</v>
      </c>
      <c r="D243" s="13" t="s">
        <v>1066</v>
      </c>
      <c r="E243" s="15" t="s">
        <v>102</v>
      </c>
      <c r="F243" s="24" t="s">
        <v>1114</v>
      </c>
      <c r="G243" s="13" t="s">
        <v>1115</v>
      </c>
      <c r="H243" s="13" t="s">
        <v>35</v>
      </c>
      <c r="I243" s="13" t="str">
        <f aca="false">IF(C243=J243,"NEW KONTRAK","RE-KONTRAK")</f>
        <v>RE-KONTRAK</v>
      </c>
      <c r="J243" s="16" t="n">
        <f aca="false" t="array" ref="J243:J243">IFERROR(INDEX(AC243:AE243,IF(COUNTA(AC243:AE243)=0,"",MAX((AC243:AE243&lt;&gt;"")*(COLUMN(AC243:AE243)-(COLUMN(AC243)))))-1),"")</f>
        <v>45658</v>
      </c>
      <c r="K243" s="16" t="n">
        <f aca="false" t="array" ref="K243:K243">IFERROR(INDEX(AC243:AE243,IF(COUNTA(AC243:AE243)=0,"",MAX((AC243:AE243&lt;&gt;"")*(COLUMN(AC243:AE243)-(COLUMN(AC243)-1))))-1),"")</f>
        <v>46022</v>
      </c>
      <c r="L243" s="17" t="str">
        <f aca="false" t="array" ref="L243:L243">IFERROR(INDEX(AC243:AE243,IF(COUNTA(AC243:AE243)=0,"",MAX((AC243:AE243&lt;&gt;"")*(COLUMN(AC243:AE243)-(COLUMN(AC243)-2))))-1),"")</f>
        <v>ARCHIVED</v>
      </c>
      <c r="M243" s="13" t="n">
        <f aca="true">K243-TODAY()</f>
        <v>-302</v>
      </c>
      <c r="N243" s="18" t="s">
        <v>615</v>
      </c>
      <c r="O243" s="13" t="s">
        <v>1068</v>
      </c>
      <c r="P243" s="19" t="n">
        <v>5176101</v>
      </c>
      <c r="Q243" s="20" t="s">
        <v>1116</v>
      </c>
      <c r="R243" s="13" t="s">
        <v>232</v>
      </c>
      <c r="S243" s="14" t="n">
        <v>36113</v>
      </c>
      <c r="T243" s="13" t="s">
        <v>108</v>
      </c>
      <c r="U243" s="13" t="s">
        <v>1117</v>
      </c>
      <c r="V243" s="13" t="s">
        <v>42</v>
      </c>
      <c r="W243" s="13" t="s">
        <v>43</v>
      </c>
      <c r="X243" s="21" t="n">
        <v>85732363330</v>
      </c>
      <c r="Y243" s="22" t="str">
        <f aca="false">O243</f>
        <v>Production Packer</v>
      </c>
      <c r="Z243" s="13" t="str">
        <f aca="false">IFERROR(__xludf.dummyfunction("if(BJ243="""","""",GOOGLETRANSLATE(BJ243,""auto"",""en""))"),"Production Packer")</f>
        <v>Production Packer</v>
      </c>
      <c r="AA243" s="23" t="str">
        <f aca="false">IF(C243="","", CHOOSE(MONTH(C243),"January","February","March","April","May","June","July","August","September","October","November","December")&amp;" "&amp;DAY(C243)&amp;MID("thstndrdth",MIN(9,2*RIGHT(DAY(C243))*(MOD(DAY(C243)-11,100)&gt;2)+1),2)&amp;","&amp;TEXT(C243," yyyy"))</f>
        <v>December 8th,2020</v>
      </c>
      <c r="AB243" s="15" t="str">
        <f aca="true">IF(S243="","",DATEDIF(S243,TODAY(),"Y")&amp;" Tahun, "&amp;DATEDIF(S243,TODAY(),"YM")&amp;" Bulan, "&amp;DATEDIF(S243,TODAY(),"MD")&amp;" Hari")</f>
        <v>27 Tahun, 11 Bulan, 15 Hari</v>
      </c>
      <c r="AC243" s="18" t="n">
        <v>45658</v>
      </c>
      <c r="AD243" s="18" t="n">
        <v>46022</v>
      </c>
      <c r="AE243" s="18" t="s">
        <v>44</v>
      </c>
    </row>
    <row r="244" customFormat="false" ht="15.75" hidden="false" customHeight="true" outlineLevel="0" collapsed="false">
      <c r="A244" s="12" t="n">
        <v>1574</v>
      </c>
      <c r="B244" s="13" t="s">
        <v>1118</v>
      </c>
      <c r="C244" s="14" t="n">
        <v>44180</v>
      </c>
      <c r="D244" s="13" t="s">
        <v>1066</v>
      </c>
      <c r="E244" s="15" t="s">
        <v>47</v>
      </c>
      <c r="F244" s="15" t="str">
        <f aca="false">IFERROR(__xludf.dummyfunction("XLOOKUP(AJ244,IMPORTRANGE(""1XaInW9DU9nz21V0tYIfzFQ0He9kVQ_JF2mCXgZ3hqFA"",""REKAP ALL 2026 - Andika!G:G""),IMPORTRANGE(""1XaInW9DU9nz21V0tYIfzFQ0He9kVQ_JF2mCXgZ3hqFA"",""REKAP ALL 2026 - Andika!F:F""),"""",0)"),"21003176803")</f>
        <v>21003176803</v>
      </c>
      <c r="G244" s="13" t="s">
        <v>1119</v>
      </c>
      <c r="H244" s="13" t="s">
        <v>35</v>
      </c>
      <c r="I244" s="13" t="str">
        <f aca="false">IF(C244=J244,"NEW KONTRAK","RE-KONTRAK")</f>
        <v>RE-KONTRAK</v>
      </c>
      <c r="J244" s="16" t="n">
        <f aca="false" t="array" ref="J244:J244">IFERROR(INDEX(AC244:AE244,IF(COUNTA(AC244:AE244)=0,"",MAX((AC244:AE244&lt;&gt;"")*(COLUMN(AC244:AE244)-(COLUMN(AC244)))))-1),"")</f>
        <v>45658</v>
      </c>
      <c r="K244" s="16" t="n">
        <f aca="false" t="array" ref="K244:K244">IFERROR(INDEX(AC244:AE244,IF(COUNTA(AC244:AE244)=0,"",MAX((AC244:AE244&lt;&gt;"")*(COLUMN(AC244:AE244)-(COLUMN(AC244)-1))))-1),"")</f>
        <v>46022</v>
      </c>
      <c r="L244" s="17" t="str">
        <f aca="false" t="array" ref="L244:L244">IFERROR(INDEX(AC244:AE244,IF(COUNTA(AC244:AE244)=0,"",MAX((AC244:AE244&lt;&gt;"")*(COLUMN(AC244:AE244)-(COLUMN(AC244)-2))))-1),"")</f>
        <v>ARCHIVED</v>
      </c>
      <c r="M244" s="13" t="n">
        <f aca="true">K244-TODAY()</f>
        <v>-302</v>
      </c>
      <c r="N244" s="18" t="s">
        <v>615</v>
      </c>
      <c r="O244" s="13" t="s">
        <v>1068</v>
      </c>
      <c r="P244" s="19" t="n">
        <v>5176101</v>
      </c>
      <c r="Q244" s="20" t="s">
        <v>1120</v>
      </c>
      <c r="R244" s="13" t="s">
        <v>232</v>
      </c>
      <c r="S244" s="14" t="n">
        <v>35188</v>
      </c>
      <c r="T244" s="13" t="s">
        <v>108</v>
      </c>
      <c r="U244" s="13" t="s">
        <v>1121</v>
      </c>
      <c r="V244" s="13" t="s">
        <v>42</v>
      </c>
      <c r="W244" s="13" t="s">
        <v>54</v>
      </c>
      <c r="X244" s="21" t="n">
        <v>89516505219</v>
      </c>
      <c r="Y244" s="22" t="str">
        <f aca="false">O244</f>
        <v>Production Packer</v>
      </c>
      <c r="Z244" s="13" t="str">
        <f aca="false">IFERROR(__xludf.dummyfunction("if(BJ244="""","""",GOOGLETRANSLATE(BJ244,""auto"",""en""))"),"Production Packer")</f>
        <v>Production Packer</v>
      </c>
      <c r="AA244" s="23" t="str">
        <f aca="false">IF(C244="","", CHOOSE(MONTH(C244),"January","February","March","April","May","June","July","August","September","October","November","December")&amp;" "&amp;DAY(C244)&amp;MID("thstndrdth",MIN(9,2*RIGHT(DAY(C244))*(MOD(DAY(C244)-11,100)&gt;2)+1),2)&amp;","&amp;TEXT(C244," yyyy"))</f>
        <v>December 15th,2020</v>
      </c>
      <c r="AB244" s="15" t="str">
        <f aca="true">IF(S244="","",DATEDIF(S244,TODAY(),"Y")&amp;" Tahun, "&amp;DATEDIF(S244,TODAY(),"YM")&amp;" Bulan, "&amp;DATEDIF(S244,TODAY(),"MD")&amp;" Hari")</f>
        <v>30 Tahun, 5 Bulan, 26 Hari</v>
      </c>
      <c r="AC244" s="18" t="n">
        <v>45658</v>
      </c>
      <c r="AD244" s="18" t="n">
        <v>46022</v>
      </c>
      <c r="AE244" s="18" t="s">
        <v>44</v>
      </c>
    </row>
    <row r="245" customFormat="false" ht="15.75" hidden="false" customHeight="true" outlineLevel="0" collapsed="false">
      <c r="A245" s="12" t="n">
        <v>1579</v>
      </c>
      <c r="B245" s="13" t="s">
        <v>1122</v>
      </c>
      <c r="C245" s="14" t="n">
        <v>44140</v>
      </c>
      <c r="D245" s="13" t="s">
        <v>1066</v>
      </c>
      <c r="E245" s="15" t="s">
        <v>47</v>
      </c>
      <c r="F245" s="15" t="str">
        <f aca="false">IFERROR(__xludf.dummyfunction("XLOOKUP(AJ245,IMPORTRANGE(""1XaInW9DU9nz21V0tYIfzFQ0He9kVQ_JF2mCXgZ3hqFA"",""REKAP ALL 2026 - Andika!G:G""),IMPORTRANGE(""1XaInW9DU9nz21V0tYIfzFQ0He9kVQ_JF2mCXgZ3hqFA"",""REKAP ALL 2026 - Andika!F:F""),"""",0)"),"20091161669")</f>
        <v>20091161669</v>
      </c>
      <c r="G245" s="13" t="s">
        <v>1123</v>
      </c>
      <c r="H245" s="13" t="s">
        <v>35</v>
      </c>
      <c r="I245" s="13" t="str">
        <f aca="false">IF(C245=J245,"NEW KONTRAK","RE-KONTRAK")</f>
        <v>RE-KONTRAK</v>
      </c>
      <c r="J245" s="16" t="n">
        <f aca="false" t="array" ref="J245:J245">IFERROR(INDEX(AC245:AE245,IF(COUNTA(AC245:AE245)=0,"",MAX((AC245:AE245&lt;&gt;"")*(COLUMN(AC245:AE245)-(COLUMN(AC245)))))-1),"")</f>
        <v>45658</v>
      </c>
      <c r="K245" s="16" t="n">
        <f aca="false" t="array" ref="K245:K245">IFERROR(INDEX(AC245:AE245,IF(COUNTA(AC245:AE245)=0,"",MAX((AC245:AE245&lt;&gt;"")*(COLUMN(AC245:AE245)-(COLUMN(AC245)-1))))-1),"")</f>
        <v>46022</v>
      </c>
      <c r="L245" s="17" t="str">
        <f aca="false" t="array" ref="L245:L245">IFERROR(INDEX(AC245:AE245,IF(COUNTA(AC245:AE245)=0,"",MAX((AC245:AE245&lt;&gt;"")*(COLUMN(AC245:AE245)-(COLUMN(AC245)-2))))-1),"")</f>
        <v>ARCHIVED</v>
      </c>
      <c r="M245" s="13" t="n">
        <f aca="true">K245-TODAY()</f>
        <v>-302</v>
      </c>
      <c r="N245" s="18" t="s">
        <v>615</v>
      </c>
      <c r="O245" s="13" t="s">
        <v>1068</v>
      </c>
      <c r="P245" s="19" t="n">
        <v>5176101</v>
      </c>
      <c r="Q245" s="20" t="s">
        <v>1124</v>
      </c>
      <c r="R245" s="13" t="s">
        <v>232</v>
      </c>
      <c r="S245" s="14" t="n">
        <v>35519</v>
      </c>
      <c r="T245" s="13" t="s">
        <v>108</v>
      </c>
      <c r="U245" s="13" t="s">
        <v>1125</v>
      </c>
      <c r="V245" s="13" t="s">
        <v>42</v>
      </c>
      <c r="W245" s="13" t="s">
        <v>54</v>
      </c>
      <c r="X245" s="21" t="n">
        <v>85606171697</v>
      </c>
      <c r="Y245" s="22" t="str">
        <f aca="false">O245</f>
        <v>Production Packer</v>
      </c>
      <c r="Z245" s="13" t="str">
        <f aca="false">IFERROR(__xludf.dummyfunction("if(BJ245="""","""",GOOGLETRANSLATE(BJ245,""auto"",""en""))"),"Production Packer")</f>
        <v>Production Packer</v>
      </c>
      <c r="AA245" s="23" t="str">
        <f aca="false">IF(C245="","", CHOOSE(MONTH(C245),"January","February","March","April","May","June","July","August","September","October","November","December")&amp;" "&amp;DAY(C245)&amp;MID("thstndrdth",MIN(9,2*RIGHT(DAY(C245))*(MOD(DAY(C245)-11,100)&gt;2)+1),2)&amp;","&amp;TEXT(C245," yyyy"))</f>
        <v>November 5th,2020</v>
      </c>
      <c r="AB245" s="15" t="str">
        <f aca="true">IF(S245="","",DATEDIF(S245,TODAY(),"Y")&amp;" Tahun, "&amp;DATEDIF(S245,TODAY(),"YM")&amp;" Bulan, "&amp;DATEDIF(S245,TODAY(),"MD")&amp;" Hari")</f>
        <v>29 Tahun, 6 Bulan, 29 Hari</v>
      </c>
      <c r="AC245" s="18" t="n">
        <v>45658</v>
      </c>
      <c r="AD245" s="18" t="n">
        <v>46022</v>
      </c>
      <c r="AE245" s="18" t="s">
        <v>44</v>
      </c>
    </row>
    <row r="246" customFormat="false" ht="15.75" hidden="false" customHeight="true" outlineLevel="0" collapsed="false">
      <c r="A246" s="12" t="n">
        <v>1581</v>
      </c>
      <c r="B246" s="13" t="s">
        <v>1126</v>
      </c>
      <c r="C246" s="14" t="n">
        <v>44176</v>
      </c>
      <c r="D246" s="13" t="s">
        <v>1066</v>
      </c>
      <c r="E246" s="15" t="s">
        <v>47</v>
      </c>
      <c r="F246" s="15" t="str">
        <f aca="false">IFERROR(__xludf.dummyfunction("XLOOKUP(AJ246,IMPORTRANGE(""1XaInW9DU9nz21V0tYIfzFQ0He9kVQ_JF2mCXgZ3hqFA"",""REKAP ALL 2026 - Andika!G:G""),IMPORTRANGE(""1XaInW9DU9nz21V0tYIfzFQ0He9kVQ_JF2mCXgZ3hqFA"",""REKAP ALL 2026 - Andika!F:F""),"""",0)"),"25099757293")</f>
        <v>25099757293</v>
      </c>
      <c r="G246" s="13" t="s">
        <v>1127</v>
      </c>
      <c r="H246" s="13" t="s">
        <v>35</v>
      </c>
      <c r="I246" s="13" t="str">
        <f aca="false">IF(C246=J246,"NEW KONTRAK","RE-KONTRAK")</f>
        <v>RE-KONTRAK</v>
      </c>
      <c r="J246" s="16" t="n">
        <f aca="false" t="array" ref="J246:J246">IFERROR(INDEX(AC246:AE246,IF(COUNTA(AC246:AE246)=0,"",MAX((AC246:AE246&lt;&gt;"")*(COLUMN(AC246:AE246)-(COLUMN(AC246)))))-1),"")</f>
        <v>45658</v>
      </c>
      <c r="K246" s="16" t="n">
        <f aca="false" t="array" ref="K246:K246">IFERROR(INDEX(AC246:AE246,IF(COUNTA(AC246:AE246)=0,"",MAX((AC246:AE246&lt;&gt;"")*(COLUMN(AC246:AE246)-(COLUMN(AC246)-1))))-1),"")</f>
        <v>46022</v>
      </c>
      <c r="L246" s="17" t="str">
        <f aca="false" t="array" ref="L246:L246">IFERROR(INDEX(AC246:AE246,IF(COUNTA(AC246:AE246)=0,"",MAX((AC246:AE246&lt;&gt;"")*(COLUMN(AC246:AE246)-(COLUMN(AC246)-2))))-1),"")</f>
        <v>ARCHIVED</v>
      </c>
      <c r="M246" s="13" t="n">
        <f aca="true">K246-TODAY()</f>
        <v>-302</v>
      </c>
      <c r="N246" s="18" t="s">
        <v>615</v>
      </c>
      <c r="O246" s="13" t="s">
        <v>1068</v>
      </c>
      <c r="P246" s="19" t="n">
        <v>5176101</v>
      </c>
      <c r="Q246" s="20" t="s">
        <v>1128</v>
      </c>
      <c r="R246" s="13" t="s">
        <v>232</v>
      </c>
      <c r="S246" s="14" t="n">
        <v>37332</v>
      </c>
      <c r="T246" s="13" t="s">
        <v>108</v>
      </c>
      <c r="U246" s="13" t="s">
        <v>1129</v>
      </c>
      <c r="V246" s="13" t="s">
        <v>42</v>
      </c>
      <c r="W246" s="13" t="s">
        <v>43</v>
      </c>
      <c r="X246" s="21" t="n">
        <v>89654628478</v>
      </c>
      <c r="Y246" s="22" t="str">
        <f aca="false">O246</f>
        <v>Production Packer</v>
      </c>
      <c r="Z246" s="13" t="str">
        <f aca="false">IFERROR(__xludf.dummyfunction("if(BJ246="""","""",GOOGLETRANSLATE(BJ246,""auto"",""en""))"),"Production Packer")</f>
        <v>Production Packer</v>
      </c>
      <c r="AA246" s="23" t="str">
        <f aca="false">IF(C246="","", CHOOSE(MONTH(C246),"January","February","March","April","May","June","July","August","September","October","November","December")&amp;" "&amp;DAY(C246)&amp;MID("thstndrdth",MIN(9,2*RIGHT(DAY(C246))*(MOD(DAY(C246)-11,100)&gt;2)+1),2)&amp;","&amp;TEXT(C246," yyyy"))</f>
        <v>December 11th,2020</v>
      </c>
      <c r="AB246" s="15" t="str">
        <f aca="true">IF(S246="","",DATEDIF(S246,TODAY(),"Y")&amp;" Tahun, "&amp;DATEDIF(S246,TODAY(),"YM")&amp;" Bulan, "&amp;DATEDIF(S246,TODAY(),"MD")&amp;" Hari")</f>
        <v>24 Tahun, 7 Bulan, 12 Hari</v>
      </c>
      <c r="AC246" s="18" t="n">
        <v>45658</v>
      </c>
      <c r="AD246" s="18" t="n">
        <v>46022</v>
      </c>
      <c r="AE246" s="18" t="s">
        <v>44</v>
      </c>
    </row>
    <row r="247" customFormat="false" ht="15.75" hidden="false" customHeight="true" outlineLevel="0" collapsed="false">
      <c r="A247" s="12" t="n">
        <v>1582</v>
      </c>
      <c r="B247" s="13" t="s">
        <v>1130</v>
      </c>
      <c r="C247" s="14" t="n">
        <v>44176</v>
      </c>
      <c r="D247" s="13" t="s">
        <v>1066</v>
      </c>
      <c r="E247" s="15" t="s">
        <v>47</v>
      </c>
      <c r="F247" s="15" t="str">
        <f aca="false">IFERROR(__xludf.dummyfunction("XLOOKUP(AJ247,IMPORTRANGE(""1XaInW9DU9nz21V0tYIfzFQ0He9kVQ_JF2mCXgZ3hqFA"",""REKAP ALL 2026 - Andika!G:G""),IMPORTRANGE(""1XaInW9DU9nz21V0tYIfzFQ0He9kVQ_JF2mCXgZ3hqFA"",""REKAP ALL 2026 - Andika!F:F""),"""",0)"),"20029271119")</f>
        <v>20029271119</v>
      </c>
      <c r="G247" s="13" t="s">
        <v>1131</v>
      </c>
      <c r="H247" s="13" t="s">
        <v>35</v>
      </c>
      <c r="I247" s="13" t="str">
        <f aca="false">IF(C247=J247,"NEW KONTRAK","RE-KONTRAK")</f>
        <v>RE-KONTRAK</v>
      </c>
      <c r="J247" s="16" t="n">
        <f aca="false" t="array" ref="J247:J247">IFERROR(INDEX(AC247:AE247,IF(COUNTA(AC247:AE247)=0,"",MAX((AC247:AE247&lt;&gt;"")*(COLUMN(AC247:AE247)-(COLUMN(AC247)))))-1),"")</f>
        <v>45658</v>
      </c>
      <c r="K247" s="16" t="n">
        <f aca="false" t="array" ref="K247:K247">IFERROR(INDEX(AC247:AE247,IF(COUNTA(AC247:AE247)=0,"",MAX((AC247:AE247&lt;&gt;"")*(COLUMN(AC247:AE247)-(COLUMN(AC247)-1))))-1),"")</f>
        <v>46022</v>
      </c>
      <c r="L247" s="17" t="str">
        <f aca="false" t="array" ref="L247:L247">IFERROR(INDEX(AC247:AE247,IF(COUNTA(AC247:AE247)=0,"",MAX((AC247:AE247&lt;&gt;"")*(COLUMN(AC247:AE247)-(COLUMN(AC247)-2))))-1),"")</f>
        <v>ARCHIVED</v>
      </c>
      <c r="M247" s="13" t="n">
        <f aca="true">K247-TODAY()</f>
        <v>-302</v>
      </c>
      <c r="N247" s="18" t="s">
        <v>615</v>
      </c>
      <c r="O247" s="13" t="s">
        <v>1068</v>
      </c>
      <c r="P247" s="19" t="n">
        <v>5176101</v>
      </c>
      <c r="Q247" s="20" t="s">
        <v>1132</v>
      </c>
      <c r="R247" s="13" t="s">
        <v>232</v>
      </c>
      <c r="S247" s="14" t="n">
        <v>36594</v>
      </c>
      <c r="T247" s="13" t="s">
        <v>108</v>
      </c>
      <c r="U247" s="13" t="s">
        <v>1133</v>
      </c>
      <c r="V247" s="13" t="s">
        <v>42</v>
      </c>
      <c r="W247" s="13" t="s">
        <v>43</v>
      </c>
      <c r="X247" s="21" t="n">
        <v>85856325697</v>
      </c>
      <c r="Y247" s="22" t="str">
        <f aca="false">O247</f>
        <v>Production Packer</v>
      </c>
      <c r="Z247" s="13" t="str">
        <f aca="false">IFERROR(__xludf.dummyfunction("if(BJ247="""","""",GOOGLETRANSLATE(BJ247,""auto"",""en""))"),"Production Packer")</f>
        <v>Production Packer</v>
      </c>
      <c r="AA247" s="23" t="str">
        <f aca="false">IF(C247="","", CHOOSE(MONTH(C247),"January","February","March","April","May","June","July","August","September","October","November","December")&amp;" "&amp;DAY(C247)&amp;MID("thstndrdth",MIN(9,2*RIGHT(DAY(C247))*(MOD(DAY(C247)-11,100)&gt;2)+1),2)&amp;","&amp;TEXT(C247," yyyy"))</f>
        <v>December 11th,2020</v>
      </c>
      <c r="AB247" s="15" t="str">
        <f aca="true">IF(S247="","",DATEDIF(S247,TODAY(),"Y")&amp;" Tahun, "&amp;DATEDIF(S247,TODAY(),"YM")&amp;" Bulan, "&amp;DATEDIF(S247,TODAY(),"MD")&amp;" Hari")</f>
        <v>26 Tahun, 7 Bulan, 20 Hari</v>
      </c>
      <c r="AC247" s="18" t="n">
        <v>45658</v>
      </c>
      <c r="AD247" s="18" t="n">
        <v>46022</v>
      </c>
      <c r="AE247" s="18" t="s">
        <v>44</v>
      </c>
    </row>
    <row r="248" customFormat="false" ht="15.75" hidden="false" customHeight="true" outlineLevel="0" collapsed="false">
      <c r="A248" s="12" t="n">
        <v>1585</v>
      </c>
      <c r="B248" s="13" t="s">
        <v>1134</v>
      </c>
      <c r="C248" s="14" t="n">
        <v>44179</v>
      </c>
      <c r="D248" s="13" t="s">
        <v>1066</v>
      </c>
      <c r="E248" s="15" t="s">
        <v>47</v>
      </c>
      <c r="F248" s="15" t="str">
        <f aca="false">IFERROR(__xludf.dummyfunction("XLOOKUP(AJ248,IMPORTRANGE(""1XaInW9DU9nz21V0tYIfzFQ0He9kVQ_JF2mCXgZ3hqFA"",""REKAP ALL 2026 - Andika!G:G""),IMPORTRANGE(""1XaInW9DU9nz21V0tYIfzFQ0He9kVQ_JF2mCXgZ3hqFA"",""REKAP ALL 2026 - Andika!F:F""),"""",0)"),"22046708719")</f>
        <v>22046708719</v>
      </c>
      <c r="G248" s="13" t="s">
        <v>1135</v>
      </c>
      <c r="H248" s="13" t="s">
        <v>35</v>
      </c>
      <c r="I248" s="13" t="str">
        <f aca="false">IF(C248=J248,"NEW KONTRAK","RE-KONTRAK")</f>
        <v>RE-KONTRAK</v>
      </c>
      <c r="J248" s="16" t="n">
        <f aca="false" t="array" ref="J248:J248">IFERROR(INDEX(AC248:AE248,IF(COUNTA(AC248:AE248)=0,"",MAX((AC248:AE248&lt;&gt;"")*(COLUMN(AC248:AE248)-(COLUMN(AC248)))))-1),"")</f>
        <v>45658</v>
      </c>
      <c r="K248" s="16" t="n">
        <f aca="false" t="array" ref="K248:K248">IFERROR(INDEX(AC248:AE248,IF(COUNTA(AC248:AE248)=0,"",MAX((AC248:AE248&lt;&gt;"")*(COLUMN(AC248:AE248)-(COLUMN(AC248)-1))))-1),"")</f>
        <v>46022</v>
      </c>
      <c r="L248" s="17" t="str">
        <f aca="false" t="array" ref="L248:L248">IFERROR(INDEX(AC248:AE248,IF(COUNTA(AC248:AE248)=0,"",MAX((AC248:AE248&lt;&gt;"")*(COLUMN(AC248:AE248)-(COLUMN(AC248)-2))))-1),"")</f>
        <v>ARCHIVED</v>
      </c>
      <c r="M248" s="13" t="n">
        <f aca="true">K248-TODAY()</f>
        <v>-302</v>
      </c>
      <c r="N248" s="18" t="s">
        <v>615</v>
      </c>
      <c r="O248" s="13" t="s">
        <v>1068</v>
      </c>
      <c r="P248" s="19" t="n">
        <v>5176101</v>
      </c>
      <c r="Q248" s="20" t="s">
        <v>1136</v>
      </c>
      <c r="R248" s="13" t="s">
        <v>232</v>
      </c>
      <c r="S248" s="14" t="n">
        <v>36838</v>
      </c>
      <c r="T248" s="13" t="s">
        <v>108</v>
      </c>
      <c r="U248" s="13" t="s">
        <v>1137</v>
      </c>
      <c r="V248" s="13" t="s">
        <v>42</v>
      </c>
      <c r="W248" s="13" t="s">
        <v>43</v>
      </c>
      <c r="X248" s="21" t="n">
        <v>81330461546</v>
      </c>
      <c r="Y248" s="22" t="str">
        <f aca="false">O248</f>
        <v>Production Packer</v>
      </c>
      <c r="Z248" s="13" t="str">
        <f aca="false">IFERROR(__xludf.dummyfunction("if(BJ248="""","""",GOOGLETRANSLATE(BJ248,""auto"",""en""))"),"Production Packer")</f>
        <v>Production Packer</v>
      </c>
      <c r="AA248" s="23" t="str">
        <f aca="false">IF(C248="","", CHOOSE(MONTH(C248),"January","February","March","April","May","June","July","August","September","October","November","December")&amp;" "&amp;DAY(C248)&amp;MID("thstndrdth",MIN(9,2*RIGHT(DAY(C248))*(MOD(DAY(C248)-11,100)&gt;2)+1),2)&amp;","&amp;TEXT(C248," yyyy"))</f>
        <v>December 14th,2020</v>
      </c>
      <c r="AB248" s="15" t="str">
        <f aca="true">IF(S248="","",DATEDIF(S248,TODAY(),"Y")&amp;" Tahun, "&amp;DATEDIF(S248,TODAY(),"YM")&amp;" Bulan, "&amp;DATEDIF(S248,TODAY(),"MD")&amp;" Hari")</f>
        <v>25 Tahun, 11 Bulan, 21 Hari</v>
      </c>
      <c r="AC248" s="18" t="n">
        <v>45658</v>
      </c>
      <c r="AD248" s="18" t="n">
        <v>46022</v>
      </c>
      <c r="AE248" s="18" t="s">
        <v>44</v>
      </c>
    </row>
    <row r="249" customFormat="false" ht="15.75" hidden="false" customHeight="true" outlineLevel="0" collapsed="false">
      <c r="A249" s="12" t="n">
        <v>1586</v>
      </c>
      <c r="B249" s="13" t="s">
        <v>1138</v>
      </c>
      <c r="C249" s="14" t="n">
        <v>44168</v>
      </c>
      <c r="D249" s="13" t="s">
        <v>1066</v>
      </c>
      <c r="E249" s="15" t="s">
        <v>47</v>
      </c>
      <c r="F249" s="15" t="str">
        <f aca="false">IFERROR(__xludf.dummyfunction("XLOOKUP(AJ249,IMPORTRANGE(""1XaInW9DU9nz21V0tYIfzFQ0He9kVQ_JF2mCXgZ3hqFA"",""REKAP ALL 2026 - Andika!G:G""),IMPORTRANGE(""1XaInW9DU9nz21V0tYIfzFQ0He9kVQ_JF2mCXgZ3hqFA"",""REKAP ALL 2026 - Andika!F:F""),"""",0)"),"22058868286")</f>
        <v>22058868286</v>
      </c>
      <c r="G249" s="13" t="s">
        <v>1139</v>
      </c>
      <c r="H249" s="13" t="s">
        <v>35</v>
      </c>
      <c r="I249" s="13" t="str">
        <f aca="false">IF(C249=J249,"NEW KONTRAK","RE-KONTRAK")</f>
        <v>RE-KONTRAK</v>
      </c>
      <c r="J249" s="16" t="n">
        <f aca="false" t="array" ref="J249:J249">IFERROR(INDEX(AC249:AE249,IF(COUNTA(AC249:AE249)=0,"",MAX((AC249:AE249&lt;&gt;"")*(COLUMN(AC249:AE249)-(COLUMN(AC249)))))-1),"")</f>
        <v>45658</v>
      </c>
      <c r="K249" s="16" t="n">
        <f aca="false" t="array" ref="K249:K249">IFERROR(INDEX(AC249:AE249,IF(COUNTA(AC249:AE249)=0,"",MAX((AC249:AE249&lt;&gt;"")*(COLUMN(AC249:AE249)-(COLUMN(AC249)-1))))-1),"")</f>
        <v>46022</v>
      </c>
      <c r="L249" s="17" t="str">
        <f aca="false" t="array" ref="L249:L249">IFERROR(INDEX(AC249:AE249,IF(COUNTA(AC249:AE249)=0,"",MAX((AC249:AE249&lt;&gt;"")*(COLUMN(AC249:AE249)-(COLUMN(AC249)-2))))-1),"")</f>
        <v>ARCHIVED</v>
      </c>
      <c r="M249" s="13" t="n">
        <f aca="true">K249-TODAY()</f>
        <v>-302</v>
      </c>
      <c r="N249" s="18" t="s">
        <v>615</v>
      </c>
      <c r="O249" s="13" t="s">
        <v>1140</v>
      </c>
      <c r="P249" s="19" t="n">
        <v>5176101</v>
      </c>
      <c r="Q249" s="20" t="s">
        <v>1141</v>
      </c>
      <c r="R249" s="13" t="s">
        <v>73</v>
      </c>
      <c r="S249" s="14" t="n">
        <v>36967</v>
      </c>
      <c r="T249" s="13" t="s">
        <v>40</v>
      </c>
      <c r="U249" s="13" t="s">
        <v>1142</v>
      </c>
      <c r="V249" s="13" t="s">
        <v>42</v>
      </c>
      <c r="W249" s="13" t="s">
        <v>43</v>
      </c>
      <c r="X249" s="21" t="n">
        <v>85746710319</v>
      </c>
      <c r="Y249" s="22" t="str">
        <f aca="false">O249</f>
        <v>GBJ Helper</v>
      </c>
      <c r="Z249" s="13" t="str">
        <f aca="false">IFERROR(__xludf.dummyfunction("if(BJ249="""","""",GOOGLETRANSLATE(BJ249,""auto"",""en""))"),"GBJ Helper")</f>
        <v>GBJ Helper</v>
      </c>
      <c r="AA249" s="23" t="str">
        <f aca="false">IF(C249="","", CHOOSE(MONTH(C249),"January","February","March","April","May","June","July","August","September","October","November","December")&amp;" "&amp;DAY(C249)&amp;MID("thstndrdth",MIN(9,2*RIGHT(DAY(C249))*(MOD(DAY(C249)-11,100)&gt;2)+1),2)&amp;","&amp;TEXT(C249," yyyy"))</f>
        <v>December 3rd,2020</v>
      </c>
      <c r="AB249" s="15" t="str">
        <f aca="true">IF(S249="","",DATEDIF(S249,TODAY(),"Y")&amp;" Tahun, "&amp;DATEDIF(S249,TODAY(),"YM")&amp;" Bulan, "&amp;DATEDIF(S249,TODAY(),"MD")&amp;" Hari")</f>
        <v>25 Tahun, 7 Bulan, 12 Hari</v>
      </c>
      <c r="AC249" s="18" t="n">
        <v>45658</v>
      </c>
      <c r="AD249" s="18" t="n">
        <v>46022</v>
      </c>
      <c r="AE249" s="18" t="s">
        <v>44</v>
      </c>
    </row>
    <row r="250" customFormat="false" ht="15.75" hidden="false" customHeight="true" outlineLevel="0" collapsed="false">
      <c r="A250" s="12" t="n">
        <v>1590</v>
      </c>
      <c r="B250" s="13" t="s">
        <v>1143</v>
      </c>
      <c r="C250" s="14" t="n">
        <v>44179</v>
      </c>
      <c r="D250" s="13" t="s">
        <v>1066</v>
      </c>
      <c r="E250" s="15" t="s">
        <v>47</v>
      </c>
      <c r="F250" s="15" t="str">
        <f aca="false">IFERROR(__xludf.dummyfunction("XLOOKUP(AJ250,IMPORTRANGE(""1XaInW9DU9nz21V0tYIfzFQ0He9kVQ_JF2mCXgZ3hqFA"",""REKAP ALL 2026 - Andika!G:G""),IMPORTRANGE(""1XaInW9DU9nz21V0tYIfzFQ0He9kVQ_JF2mCXgZ3hqFA"",""REKAP ALL 2026 - Andika!F:F""),"""",0)"),"21003176688")</f>
        <v>21003176688</v>
      </c>
      <c r="G250" s="13" t="s">
        <v>1144</v>
      </c>
      <c r="H250" s="13" t="s">
        <v>35</v>
      </c>
      <c r="I250" s="13" t="str">
        <f aca="false">IF(C250=J250,"NEW KONTRAK","RE-KONTRAK")</f>
        <v>RE-KONTRAK</v>
      </c>
      <c r="J250" s="16" t="n">
        <f aca="false" t="array" ref="J250:J250">IFERROR(INDEX(AC250:AE250,IF(COUNTA(AC250:AE250)=0,"",MAX((AC250:AE250&lt;&gt;"")*(COLUMN(AC250:AE250)-(COLUMN(AC250)))))-1),"")</f>
        <v>45658</v>
      </c>
      <c r="K250" s="16" t="n">
        <f aca="false" t="array" ref="K250:K250">IFERROR(INDEX(AC250:AE250,IF(COUNTA(AC250:AE250)=0,"",MAX((AC250:AE250&lt;&gt;"")*(COLUMN(AC250:AE250)-(COLUMN(AC250)-1))))-1),"")</f>
        <v>46022</v>
      </c>
      <c r="L250" s="17" t="str">
        <f aca="false" t="array" ref="L250:L250">IFERROR(INDEX(AC250:AE250,IF(COUNTA(AC250:AE250)=0,"",MAX((AC250:AE250&lt;&gt;"")*(COLUMN(AC250:AE250)-(COLUMN(AC250)-2))))-1),"")</f>
        <v>ARCHIVED</v>
      </c>
      <c r="M250" s="13" t="n">
        <f aca="true">K250-TODAY()</f>
        <v>-302</v>
      </c>
      <c r="N250" s="18" t="s">
        <v>615</v>
      </c>
      <c r="O250" s="13" t="s">
        <v>1068</v>
      </c>
      <c r="P250" s="19" t="n">
        <v>5176101</v>
      </c>
      <c r="Q250" s="20" t="s">
        <v>1145</v>
      </c>
      <c r="R250" s="13" t="s">
        <v>232</v>
      </c>
      <c r="S250" s="14" t="n">
        <v>37587</v>
      </c>
      <c r="T250" s="13" t="s">
        <v>108</v>
      </c>
      <c r="U250" s="13" t="s">
        <v>1146</v>
      </c>
      <c r="V250" s="13" t="s">
        <v>42</v>
      </c>
      <c r="W250" s="13" t="s">
        <v>43</v>
      </c>
      <c r="X250" s="21" t="n">
        <v>83853221722</v>
      </c>
      <c r="Y250" s="22" t="str">
        <f aca="false">O250</f>
        <v>Production Packer</v>
      </c>
      <c r="Z250" s="13" t="str">
        <f aca="false">IFERROR(__xludf.dummyfunction("if(BJ250="""","""",GOOGLETRANSLATE(BJ250,""auto"",""en""))"),"Production Packer")</f>
        <v>Production Packer</v>
      </c>
      <c r="AA250" s="23" t="str">
        <f aca="false">IF(C250="","", CHOOSE(MONTH(C250),"January","February","March","April","May","June","July","August","September","October","November","December")&amp;" "&amp;DAY(C250)&amp;MID("thstndrdth",MIN(9,2*RIGHT(DAY(C250))*(MOD(DAY(C250)-11,100)&gt;2)+1),2)&amp;","&amp;TEXT(C250," yyyy"))</f>
        <v>December 14th,2020</v>
      </c>
      <c r="AB250" s="15" t="str">
        <f aca="true">IF(S250="","",DATEDIF(S250,TODAY(),"Y")&amp;" Tahun, "&amp;DATEDIF(S250,TODAY(),"YM")&amp;" Bulan, "&amp;DATEDIF(S250,TODAY(),"MD")&amp;" Hari")</f>
        <v>23 Tahun, 11 Bulan, 2 Hari</v>
      </c>
      <c r="AC250" s="18" t="n">
        <v>45658</v>
      </c>
      <c r="AD250" s="18" t="n">
        <v>46022</v>
      </c>
      <c r="AE250" s="18" t="s">
        <v>44</v>
      </c>
    </row>
    <row r="251" customFormat="false" ht="15.75" hidden="false" customHeight="true" outlineLevel="0" collapsed="false">
      <c r="A251" s="12" t="n">
        <v>1594</v>
      </c>
      <c r="B251" s="13" t="s">
        <v>1147</v>
      </c>
      <c r="C251" s="14" t="n">
        <v>44151</v>
      </c>
      <c r="D251" s="13" t="s">
        <v>1066</v>
      </c>
      <c r="E251" s="15" t="s">
        <v>47</v>
      </c>
      <c r="F251" s="15" t="str">
        <f aca="false">IFERROR(__xludf.dummyfunction("XLOOKUP(AJ251,IMPORTRANGE(""1XaInW9DU9nz21V0tYIfzFQ0He9kVQ_JF2mCXgZ3hqFA"",""REKAP ALL 2026 - Andika!G:G""),IMPORTRANGE(""1XaInW9DU9nz21V0tYIfzFQ0He9kVQ_JF2mCXgZ3hqFA"",""REKAP ALL 2026 - Andika!F:F""),"""",0)"),"22046708586")</f>
        <v>22046708586</v>
      </c>
      <c r="G251" s="13" t="s">
        <v>1148</v>
      </c>
      <c r="H251" s="13" t="s">
        <v>35</v>
      </c>
      <c r="I251" s="13" t="str">
        <f aca="false">IF(C251=J251,"NEW KONTRAK","RE-KONTRAK")</f>
        <v>RE-KONTRAK</v>
      </c>
      <c r="J251" s="16" t="n">
        <f aca="false" t="array" ref="J251:J251">IFERROR(INDEX(AC251:AE251,IF(COUNTA(AC251:AE251)=0,"",MAX((AC251:AE251&lt;&gt;"")*(COLUMN(AC251:AE251)-(COLUMN(AC251)))))-1),"")</f>
        <v>45658</v>
      </c>
      <c r="K251" s="16" t="n">
        <f aca="false" t="array" ref="K251:K251">IFERROR(INDEX(AC251:AE251,IF(COUNTA(AC251:AE251)=0,"",MAX((AC251:AE251&lt;&gt;"")*(COLUMN(AC251:AE251)-(COLUMN(AC251)-1))))-1),"")</f>
        <v>46022</v>
      </c>
      <c r="L251" s="17" t="str">
        <f aca="false" t="array" ref="L251:L251">IFERROR(INDEX(AC251:AE251,IF(COUNTA(AC251:AE251)=0,"",MAX((AC251:AE251&lt;&gt;"")*(COLUMN(AC251:AE251)-(COLUMN(AC251)-2))))-1),"")</f>
        <v>ARCHIVED</v>
      </c>
      <c r="M251" s="13" t="n">
        <f aca="true">K251-TODAY()</f>
        <v>-302</v>
      </c>
      <c r="N251" s="18" t="s">
        <v>615</v>
      </c>
      <c r="O251" s="13" t="s">
        <v>1068</v>
      </c>
      <c r="P251" s="19" t="n">
        <v>5176101</v>
      </c>
      <c r="Q251" s="20" t="s">
        <v>1149</v>
      </c>
      <c r="R251" s="13" t="s">
        <v>232</v>
      </c>
      <c r="S251" s="14" t="n">
        <v>36980</v>
      </c>
      <c r="T251" s="13" t="s">
        <v>108</v>
      </c>
      <c r="U251" s="13" t="s">
        <v>1150</v>
      </c>
      <c r="V251" s="13" t="s">
        <v>42</v>
      </c>
      <c r="W251" s="13" t="s">
        <v>43</v>
      </c>
      <c r="X251" s="21" t="n">
        <v>85732348576</v>
      </c>
      <c r="Y251" s="22" t="str">
        <f aca="false">O251</f>
        <v>Production Packer</v>
      </c>
      <c r="Z251" s="13" t="str">
        <f aca="false">IFERROR(__xludf.dummyfunction("if(BJ251="""","""",GOOGLETRANSLATE(BJ251,""auto"",""en""))"),"Production Packer")</f>
        <v>Production Packer</v>
      </c>
      <c r="AA251" s="23" t="str">
        <f aca="false">IF(C251="","", CHOOSE(MONTH(C251),"January","February","March","April","May","June","July","August","September","October","November","December")&amp;" "&amp;DAY(C251)&amp;MID("thstndrdth",MIN(9,2*RIGHT(DAY(C251))*(MOD(DAY(C251)-11,100)&gt;2)+1),2)&amp;","&amp;TEXT(C251," yyyy"))</f>
        <v>November 16th,2020</v>
      </c>
      <c r="AB251" s="15" t="str">
        <f aca="true">IF(S251="","",DATEDIF(S251,TODAY(),"Y")&amp;" Tahun, "&amp;DATEDIF(S251,TODAY(),"YM")&amp;" Bulan, "&amp;DATEDIF(S251,TODAY(),"MD")&amp;" Hari")</f>
        <v>25 Tahun, 6 Bulan, 29 Hari</v>
      </c>
      <c r="AC251" s="18" t="n">
        <v>45658</v>
      </c>
      <c r="AD251" s="18" t="n">
        <v>46022</v>
      </c>
      <c r="AE251" s="18" t="s">
        <v>44</v>
      </c>
    </row>
    <row r="252" customFormat="false" ht="15.75" hidden="false" customHeight="true" outlineLevel="0" collapsed="false">
      <c r="A252" s="12" t="n">
        <v>1597</v>
      </c>
      <c r="B252" s="13" t="s">
        <v>1151</v>
      </c>
      <c r="C252" s="14" t="n">
        <v>44166</v>
      </c>
      <c r="D252" s="13" t="s">
        <v>1066</v>
      </c>
      <c r="E252" s="15" t="s">
        <v>47</v>
      </c>
      <c r="F252" s="15" t="str">
        <f aca="false">IFERROR(__xludf.dummyfunction("XLOOKUP(AJ252,IMPORTRANGE(""1XaInW9DU9nz21V0tYIfzFQ0He9kVQ_JF2mCXgZ3hqFA"",""REKAP ALL 2026 - Andika!G:G""),IMPORTRANGE(""1XaInW9DU9nz21V0tYIfzFQ0He9kVQ_JF2mCXgZ3hqFA"",""REKAP ALL 2026 - Andika!F:F""),"""",0)"),"19057038994")</f>
        <v>19057038994</v>
      </c>
      <c r="G252" s="13" t="s">
        <v>1152</v>
      </c>
      <c r="H252" s="13" t="s">
        <v>35</v>
      </c>
      <c r="I252" s="13" t="str">
        <f aca="false">IF(C252=J252,"NEW KONTRAK","RE-KONTRAK")</f>
        <v>RE-KONTRAK</v>
      </c>
      <c r="J252" s="16" t="n">
        <f aca="false" t="array" ref="J252:J252">IFERROR(INDEX(AC252:AE252,IF(COUNTA(AC252:AE252)=0,"",MAX((AC252:AE252&lt;&gt;"")*(COLUMN(AC252:AE252)-(COLUMN(AC252)))))-1),"")</f>
        <v>45658</v>
      </c>
      <c r="K252" s="16" t="n">
        <f aca="false" t="array" ref="K252:K252">IFERROR(INDEX(AC252:AE252,IF(COUNTA(AC252:AE252)=0,"",MAX((AC252:AE252&lt;&gt;"")*(COLUMN(AC252:AE252)-(COLUMN(AC252)-1))))-1),"")</f>
        <v>46022</v>
      </c>
      <c r="L252" s="17" t="str">
        <f aca="false" t="array" ref="L252:L252">IFERROR(INDEX(AC252:AE252,IF(COUNTA(AC252:AE252)=0,"",MAX((AC252:AE252&lt;&gt;"")*(COLUMN(AC252:AE252)-(COLUMN(AC252)-2))))-1),"")</f>
        <v>ARCHIVED</v>
      </c>
      <c r="M252" s="13" t="n">
        <f aca="true">K252-TODAY()</f>
        <v>-302</v>
      </c>
      <c r="N252" s="18" t="s">
        <v>615</v>
      </c>
      <c r="O252" s="13" t="s">
        <v>1068</v>
      </c>
      <c r="P252" s="19" t="n">
        <v>5176101</v>
      </c>
      <c r="Q252" s="20" t="s">
        <v>1153</v>
      </c>
      <c r="R252" s="13" t="s">
        <v>232</v>
      </c>
      <c r="S252" s="14" t="n">
        <v>37193</v>
      </c>
      <c r="T252" s="13" t="s">
        <v>108</v>
      </c>
      <c r="U252" s="13" t="s">
        <v>1154</v>
      </c>
      <c r="V252" s="13" t="s">
        <v>42</v>
      </c>
      <c r="W252" s="13" t="s">
        <v>43</v>
      </c>
      <c r="X252" s="21" t="n">
        <v>85850159088</v>
      </c>
      <c r="Y252" s="22" t="str">
        <f aca="false">O252</f>
        <v>Production Packer</v>
      </c>
      <c r="Z252" s="13" t="str">
        <f aca="false">IFERROR(__xludf.dummyfunction("if(BJ252="""","""",GOOGLETRANSLATE(BJ252,""auto"",""en""))"),"Production Packer")</f>
        <v>Production Packer</v>
      </c>
      <c r="AA252" s="23" t="str">
        <f aca="false">IF(C252="","", CHOOSE(MONTH(C252),"January","February","March","April","May","June","July","August","September","October","November","December")&amp;" "&amp;DAY(C252)&amp;MID("thstndrdth",MIN(9,2*RIGHT(DAY(C252))*(MOD(DAY(C252)-11,100)&gt;2)+1),2)&amp;","&amp;TEXT(C252," yyyy"))</f>
        <v>December 1st,2020</v>
      </c>
      <c r="AB252" s="15" t="str">
        <f aca="true">IF(S252="","",DATEDIF(S252,TODAY(),"Y")&amp;" Tahun, "&amp;DATEDIF(S252,TODAY(),"YM")&amp;" Bulan, "&amp;DATEDIF(S252,TODAY(),"MD")&amp;" Hari")</f>
        <v>25 Tahun, 0 Bulan, 0 Hari</v>
      </c>
      <c r="AC252" s="18" t="n">
        <v>45658</v>
      </c>
      <c r="AD252" s="18" t="n">
        <v>46022</v>
      </c>
      <c r="AE252" s="18" t="s">
        <v>44</v>
      </c>
    </row>
    <row r="253" customFormat="false" ht="15.75" hidden="false" customHeight="true" outlineLevel="0" collapsed="false">
      <c r="A253" s="12" t="n">
        <v>1600</v>
      </c>
      <c r="B253" s="13" t="s">
        <v>1155</v>
      </c>
      <c r="C253" s="14" t="n">
        <v>44179</v>
      </c>
      <c r="D253" s="13" t="s">
        <v>1066</v>
      </c>
      <c r="E253" s="15" t="s">
        <v>102</v>
      </c>
      <c r="F253" s="24" t="s">
        <v>1156</v>
      </c>
      <c r="G253" s="13" t="s">
        <v>1157</v>
      </c>
      <c r="H253" s="13" t="s">
        <v>35</v>
      </c>
      <c r="I253" s="13" t="str">
        <f aca="false">IF(C253=J253,"NEW KONTRAK","RE-KONTRAK")</f>
        <v>RE-KONTRAK</v>
      </c>
      <c r="J253" s="16" t="n">
        <f aca="false" t="array" ref="J253:J253">IFERROR(INDEX(AC253:AE253,IF(COUNTA(AC253:AE253)=0,"",MAX((AC253:AE253&lt;&gt;"")*(COLUMN(AC253:AE253)-(COLUMN(AC253)))))-1),"")</f>
        <v>45658</v>
      </c>
      <c r="K253" s="16" t="n">
        <f aca="false" t="array" ref="K253:K253">IFERROR(INDEX(AC253:AE253,IF(COUNTA(AC253:AE253)=0,"",MAX((AC253:AE253&lt;&gt;"")*(COLUMN(AC253:AE253)-(COLUMN(AC253)-1))))-1),"")</f>
        <v>46022</v>
      </c>
      <c r="L253" s="17" t="str">
        <f aca="false" t="array" ref="L253:L253">IFERROR(INDEX(AC253:AE253,IF(COUNTA(AC253:AE253)=0,"",MAX((AC253:AE253&lt;&gt;"")*(COLUMN(AC253:AE253)-(COLUMN(AC253)-2))))-1),"")</f>
        <v>ARCHIVED</v>
      </c>
      <c r="M253" s="13" t="n">
        <f aca="true">K253-TODAY()</f>
        <v>-302</v>
      </c>
      <c r="N253" s="18" t="s">
        <v>615</v>
      </c>
      <c r="O253" s="13" t="s">
        <v>1068</v>
      </c>
      <c r="P253" s="19" t="n">
        <v>5176101</v>
      </c>
      <c r="Q253" s="20" t="s">
        <v>1158</v>
      </c>
      <c r="R253" s="13" t="s">
        <v>232</v>
      </c>
      <c r="S253" s="14" t="n">
        <v>36626</v>
      </c>
      <c r="T253" s="13" t="s">
        <v>108</v>
      </c>
      <c r="U253" s="13" t="s">
        <v>1159</v>
      </c>
      <c r="V253" s="13" t="s">
        <v>42</v>
      </c>
      <c r="W253" s="13" t="s">
        <v>43</v>
      </c>
      <c r="X253" s="21" t="n">
        <v>85807118628</v>
      </c>
      <c r="Y253" s="22" t="str">
        <f aca="false">O253</f>
        <v>Production Packer</v>
      </c>
      <c r="Z253" s="13" t="str">
        <f aca="false">IFERROR(__xludf.dummyfunction("if(BJ253="""","""",GOOGLETRANSLATE(BJ253,""auto"",""en""))"),"Production Packer")</f>
        <v>Production Packer</v>
      </c>
      <c r="AA253" s="23" t="str">
        <f aca="false">IF(C253="","", CHOOSE(MONTH(C253),"January","February","March","April","May","June","July","August","September","October","November","December")&amp;" "&amp;DAY(C253)&amp;MID("thstndrdth",MIN(9,2*RIGHT(DAY(C253))*(MOD(DAY(C253)-11,100)&gt;2)+1),2)&amp;","&amp;TEXT(C253," yyyy"))</f>
        <v>December 14th,2020</v>
      </c>
      <c r="AB253" s="15" t="str">
        <f aca="true">IF(S253="","",DATEDIF(S253,TODAY(),"Y")&amp;" Tahun, "&amp;DATEDIF(S253,TODAY(),"YM")&amp;" Bulan, "&amp;DATEDIF(S253,TODAY(),"MD")&amp;" Hari")</f>
        <v>26 Tahun, 6 Bulan, 19 Hari</v>
      </c>
      <c r="AC253" s="18" t="n">
        <v>45658</v>
      </c>
      <c r="AD253" s="18" t="n">
        <v>46022</v>
      </c>
      <c r="AE253" s="18" t="s">
        <v>44</v>
      </c>
    </row>
    <row r="254" customFormat="false" ht="15.75" hidden="false" customHeight="true" outlineLevel="0" collapsed="false">
      <c r="A254" s="12" t="n">
        <v>1602</v>
      </c>
      <c r="B254" s="13" t="s">
        <v>1160</v>
      </c>
      <c r="C254" s="14" t="n">
        <v>44169</v>
      </c>
      <c r="D254" s="13" t="s">
        <v>1066</v>
      </c>
      <c r="E254" s="15" t="s">
        <v>47</v>
      </c>
      <c r="F254" s="15" t="str">
        <f aca="false">IFERROR(__xludf.dummyfunction("XLOOKUP(AJ254,IMPORTRANGE(""1XaInW9DU9nz21V0tYIfzFQ0He9kVQ_JF2mCXgZ3hqFA"",""REKAP ALL 2026 - Andika!G:G""),IMPORTRANGE(""1XaInW9DU9nz21V0tYIfzFQ0He9kVQ_JF2mCXgZ3hqFA"",""REKAP ALL 2026 - Andika!F:F""),"""",0)"),"22046708669")</f>
        <v>22046708669</v>
      </c>
      <c r="G254" s="13" t="s">
        <v>1161</v>
      </c>
      <c r="H254" s="13" t="s">
        <v>35</v>
      </c>
      <c r="I254" s="13" t="str">
        <f aca="false">IF(C254=J254,"NEW KONTRAK","RE-KONTRAK")</f>
        <v>RE-KONTRAK</v>
      </c>
      <c r="J254" s="16" t="n">
        <f aca="false" t="array" ref="J254:J254">IFERROR(INDEX(AC254:AE254,IF(COUNTA(AC254:AE254)=0,"",MAX((AC254:AE254&lt;&gt;"")*(COLUMN(AC254:AE254)-(COLUMN(AC254)))))-1),"")</f>
        <v>45658</v>
      </c>
      <c r="K254" s="16" t="n">
        <f aca="false" t="array" ref="K254:K254">IFERROR(INDEX(AC254:AE254,IF(COUNTA(AC254:AE254)=0,"",MAX((AC254:AE254&lt;&gt;"")*(COLUMN(AC254:AE254)-(COLUMN(AC254)-1))))-1),"")</f>
        <v>46022</v>
      </c>
      <c r="L254" s="17" t="str">
        <f aca="false" t="array" ref="L254:L254">IFERROR(INDEX(AC254:AE254,IF(COUNTA(AC254:AE254)=0,"",MAX((AC254:AE254&lt;&gt;"")*(COLUMN(AC254:AE254)-(COLUMN(AC254)-2))))-1),"")</f>
        <v>ARCHIVED</v>
      </c>
      <c r="M254" s="13" t="n">
        <f aca="true">K254-TODAY()</f>
        <v>-302</v>
      </c>
      <c r="N254" s="18" t="s">
        <v>615</v>
      </c>
      <c r="O254" s="13" t="s">
        <v>1068</v>
      </c>
      <c r="P254" s="19" t="n">
        <v>5176101</v>
      </c>
      <c r="Q254" s="20" t="s">
        <v>1162</v>
      </c>
      <c r="R254" s="13" t="s">
        <v>232</v>
      </c>
      <c r="S254" s="14" t="n">
        <v>37373</v>
      </c>
      <c r="T254" s="13" t="s">
        <v>108</v>
      </c>
      <c r="U254" s="13" t="s">
        <v>1163</v>
      </c>
      <c r="V254" s="13" t="s">
        <v>42</v>
      </c>
      <c r="W254" s="13" t="s">
        <v>43</v>
      </c>
      <c r="X254" s="21" t="n">
        <v>85708665608</v>
      </c>
      <c r="Y254" s="22" t="str">
        <f aca="false">O254</f>
        <v>Production Packer</v>
      </c>
      <c r="Z254" s="13" t="str">
        <f aca="false">IFERROR(__xludf.dummyfunction("if(BJ254="""","""",GOOGLETRANSLATE(BJ254,""auto"",""en""))"),"Production Packer")</f>
        <v>Production Packer</v>
      </c>
      <c r="AA254" s="23" t="str">
        <f aca="false">IF(C254="","", CHOOSE(MONTH(C254),"January","February","March","April","May","June","July","August","September","October","November","December")&amp;" "&amp;DAY(C254)&amp;MID("thstndrdth",MIN(9,2*RIGHT(DAY(C254))*(MOD(DAY(C254)-11,100)&gt;2)+1),2)&amp;","&amp;TEXT(C254," yyyy"))</f>
        <v>December 4th,2020</v>
      </c>
      <c r="AB254" s="15" t="str">
        <f aca="true">IF(S254="","",DATEDIF(S254,TODAY(),"Y")&amp;" Tahun, "&amp;DATEDIF(S254,TODAY(),"YM")&amp;" Bulan, "&amp;DATEDIF(S254,TODAY(),"MD")&amp;" Hari")</f>
        <v>24 Tahun, 6 Bulan, 2 Hari</v>
      </c>
      <c r="AC254" s="18" t="n">
        <v>45658</v>
      </c>
      <c r="AD254" s="18" t="n">
        <v>46022</v>
      </c>
      <c r="AE254" s="18" t="s">
        <v>44</v>
      </c>
    </row>
    <row r="255" customFormat="false" ht="15.75" hidden="false" customHeight="true" outlineLevel="0" collapsed="false">
      <c r="A255" s="12" t="n">
        <v>1612</v>
      </c>
      <c r="B255" s="13" t="s">
        <v>1164</v>
      </c>
      <c r="C255" s="14" t="n">
        <v>44166</v>
      </c>
      <c r="D255" s="13" t="s">
        <v>1066</v>
      </c>
      <c r="E255" s="15" t="s">
        <v>47</v>
      </c>
      <c r="F255" s="15" t="str">
        <f aca="false">IFERROR(__xludf.dummyfunction("XLOOKUP(AJ255,IMPORTRANGE(""1XaInW9DU9nz21V0tYIfzFQ0He9kVQ_JF2mCXgZ3hqFA"",""REKAP ALL 2026 - Andika!G:G""),IMPORTRANGE(""1XaInW9DU9nz21V0tYIfzFQ0He9kVQ_JF2mCXgZ3hqFA"",""REKAP ALL 2026 - Andika!F:F""),"""",0)"),"21003177025")</f>
        <v>21003177025</v>
      </c>
      <c r="G255" s="13" t="s">
        <v>1165</v>
      </c>
      <c r="H255" s="13" t="s">
        <v>35</v>
      </c>
      <c r="I255" s="13" t="str">
        <f aca="false">IF(C255=J255,"NEW KONTRAK","RE-KONTRAK")</f>
        <v>RE-KONTRAK</v>
      </c>
      <c r="J255" s="16" t="n">
        <f aca="false" t="array" ref="J255:J255">IFERROR(INDEX(AC255:AE255,IF(COUNTA(AC255:AE255)=0,"",MAX((AC255:AE255&lt;&gt;"")*(COLUMN(AC255:AE255)-(COLUMN(AC255)))))-1),"")</f>
        <v>45658</v>
      </c>
      <c r="K255" s="16" t="n">
        <f aca="false" t="array" ref="K255:K255">IFERROR(INDEX(AC255:AE255,IF(COUNTA(AC255:AE255)=0,"",MAX((AC255:AE255&lt;&gt;"")*(COLUMN(AC255:AE255)-(COLUMN(AC255)-1))))-1),"")</f>
        <v>46022</v>
      </c>
      <c r="L255" s="17" t="str">
        <f aca="false" t="array" ref="L255:L255">IFERROR(INDEX(AC255:AE255,IF(COUNTA(AC255:AE255)=0,"",MAX((AC255:AE255&lt;&gt;"")*(COLUMN(AC255:AE255)-(COLUMN(AC255)-2))))-1),"")</f>
        <v>ARCHIVED</v>
      </c>
      <c r="M255" s="13" t="n">
        <f aca="true">K255-TODAY()</f>
        <v>-302</v>
      </c>
      <c r="N255" s="18" t="s">
        <v>615</v>
      </c>
      <c r="O255" s="13" t="s">
        <v>1166</v>
      </c>
      <c r="P255" s="19" t="n">
        <v>5176101</v>
      </c>
      <c r="Q255" s="20" t="s">
        <v>1167</v>
      </c>
      <c r="R255" s="13" t="s">
        <v>232</v>
      </c>
      <c r="S255" s="14" t="n">
        <v>33334</v>
      </c>
      <c r="T255" s="13" t="s">
        <v>108</v>
      </c>
      <c r="U255" s="13" t="s">
        <v>1168</v>
      </c>
      <c r="V255" s="13" t="s">
        <v>42</v>
      </c>
      <c r="W255" s="13" t="s">
        <v>54</v>
      </c>
      <c r="X255" s="21" t="n">
        <v>81216885248</v>
      </c>
      <c r="Y255" s="22" t="str">
        <f aca="false">O255</f>
        <v>Production Rework Helper</v>
      </c>
      <c r="Z255" s="13" t="str">
        <f aca="false">IFERROR(__xludf.dummyfunction("if(BJ255="""","""",GOOGLETRANSLATE(BJ255,""auto"",""en""))"),"Production Rework Helper")</f>
        <v>Production Rework Helper</v>
      </c>
      <c r="AA255" s="23" t="str">
        <f aca="false">IF(C255="","", CHOOSE(MONTH(C255),"January","February","March","April","May","June","July","August","September","October","November","December")&amp;" "&amp;DAY(C255)&amp;MID("thstndrdth",MIN(9,2*RIGHT(DAY(C255))*(MOD(DAY(C255)-11,100)&gt;2)+1),2)&amp;","&amp;TEXT(C255," yyyy"))</f>
        <v>December 1st,2020</v>
      </c>
      <c r="AB255" s="15" t="str">
        <f aca="true">IF(S255="","",DATEDIF(S255,TODAY(),"Y")&amp;" Tahun, "&amp;DATEDIF(S255,TODAY(),"YM")&amp;" Bulan, "&amp;DATEDIF(S255,TODAY(),"MD")&amp;" Hari")</f>
        <v>35 Tahun, 6 Bulan, 23 Hari</v>
      </c>
      <c r="AC255" s="18" t="n">
        <v>45658</v>
      </c>
      <c r="AD255" s="18" t="n">
        <v>46022</v>
      </c>
      <c r="AE255" s="18" t="s">
        <v>44</v>
      </c>
    </row>
    <row r="256" customFormat="false" ht="15.75" hidden="false" customHeight="true" outlineLevel="0" collapsed="false">
      <c r="A256" s="12" t="n">
        <v>1615</v>
      </c>
      <c r="B256" s="13" t="s">
        <v>1169</v>
      </c>
      <c r="C256" s="14" t="n">
        <v>44154</v>
      </c>
      <c r="D256" s="13" t="s">
        <v>1066</v>
      </c>
      <c r="E256" s="15" t="s">
        <v>47</v>
      </c>
      <c r="F256" s="15" t="str">
        <f aca="false">IFERROR(__xludf.dummyfunction("XLOOKUP(AJ256,IMPORTRANGE(""1XaInW9DU9nz21V0tYIfzFQ0He9kVQ_JF2mCXgZ3hqFA"",""REKAP ALL 2026 - Andika!G:G""),IMPORTRANGE(""1XaInW9DU9nz21V0tYIfzFQ0He9kVQ_JF2mCXgZ3hqFA"",""REKAP ALL 2026 - Andika!F:F""),"""",0)"),"21003176886")</f>
        <v>21003176886</v>
      </c>
      <c r="G256" s="13" t="s">
        <v>1170</v>
      </c>
      <c r="H256" s="13" t="s">
        <v>35</v>
      </c>
      <c r="I256" s="13" t="str">
        <f aca="false">IF(C256=J256,"NEW KONTRAK","RE-KONTRAK")</f>
        <v>RE-KONTRAK</v>
      </c>
      <c r="J256" s="16" t="n">
        <f aca="false" t="array" ref="J256:J256">IFERROR(INDEX(AC256:AE256,IF(COUNTA(AC256:AE256)=0,"",MAX((AC256:AE256&lt;&gt;"")*(COLUMN(AC256:AE256)-(COLUMN(AC256)))))-1),"")</f>
        <v>45658</v>
      </c>
      <c r="K256" s="16" t="n">
        <f aca="false" t="array" ref="K256:K256">IFERROR(INDEX(AC256:AE256,IF(COUNTA(AC256:AE256)=0,"",MAX((AC256:AE256&lt;&gt;"")*(COLUMN(AC256:AE256)-(COLUMN(AC256)-1))))-1),"")</f>
        <v>46022</v>
      </c>
      <c r="L256" s="17" t="str">
        <f aca="false" t="array" ref="L256:L256">IFERROR(INDEX(AC256:AE256,IF(COUNTA(AC256:AE256)=0,"",MAX((AC256:AE256&lt;&gt;"")*(COLUMN(AC256:AE256)-(COLUMN(AC256)-2))))-1),"")</f>
        <v>ARCHIVED</v>
      </c>
      <c r="M256" s="13" t="n">
        <f aca="true">K256-TODAY()</f>
        <v>-302</v>
      </c>
      <c r="N256" s="18" t="s">
        <v>615</v>
      </c>
      <c r="O256" s="13" t="s">
        <v>1068</v>
      </c>
      <c r="P256" s="19" t="n">
        <v>5176101</v>
      </c>
      <c r="Q256" s="20" t="s">
        <v>1171</v>
      </c>
      <c r="R256" s="13" t="s">
        <v>232</v>
      </c>
      <c r="S256" s="14" t="n">
        <v>37007</v>
      </c>
      <c r="T256" s="13" t="s">
        <v>108</v>
      </c>
      <c r="U256" s="13" t="s">
        <v>1172</v>
      </c>
      <c r="V256" s="13" t="s">
        <v>42</v>
      </c>
      <c r="W256" s="13" t="s">
        <v>43</v>
      </c>
      <c r="X256" s="21" t="n">
        <v>87834954485</v>
      </c>
      <c r="Y256" s="22" t="str">
        <f aca="false">O256</f>
        <v>Production Packer</v>
      </c>
      <c r="Z256" s="13" t="str">
        <f aca="false">IFERROR(__xludf.dummyfunction("if(BJ256="""","""",GOOGLETRANSLATE(BJ256,""auto"",""en""))"),"Production Packer")</f>
        <v>Production Packer</v>
      </c>
      <c r="AA256" s="23" t="str">
        <f aca="false">IF(C256="","", CHOOSE(MONTH(C256),"January","February","March","April","May","June","July","August","September","October","November","December")&amp;" "&amp;DAY(C256)&amp;MID("thstndrdth",MIN(9,2*RIGHT(DAY(C256))*(MOD(DAY(C256)-11,100)&gt;2)+1),2)&amp;","&amp;TEXT(C256," yyyy"))</f>
        <v>November 19th,2020</v>
      </c>
      <c r="AB256" s="15" t="str">
        <f aca="true">IF(S256="","",DATEDIF(S256,TODAY(),"Y")&amp;" Tahun, "&amp;DATEDIF(S256,TODAY(),"YM")&amp;" Bulan, "&amp;DATEDIF(S256,TODAY(),"MD")&amp;" Hari")</f>
        <v>25 Tahun, 6 Bulan, 3 Hari</v>
      </c>
      <c r="AC256" s="18" t="n">
        <v>45658</v>
      </c>
      <c r="AD256" s="18" t="n">
        <v>46022</v>
      </c>
      <c r="AE256" s="18" t="s">
        <v>44</v>
      </c>
    </row>
    <row r="257" customFormat="false" ht="15.75" hidden="false" customHeight="true" outlineLevel="0" collapsed="false">
      <c r="A257" s="12" t="n">
        <v>1618</v>
      </c>
      <c r="B257" s="13" t="s">
        <v>1173</v>
      </c>
      <c r="C257" s="14" t="n">
        <v>44207</v>
      </c>
      <c r="D257" s="13" t="s">
        <v>1066</v>
      </c>
      <c r="E257" s="15" t="s">
        <v>47</v>
      </c>
      <c r="F257" s="15" t="str">
        <f aca="false">IFERROR(__xludf.dummyfunction("XLOOKUP(AJ257,IMPORTRANGE(""1XaInW9DU9nz21V0tYIfzFQ0He9kVQ_JF2mCXgZ3hqFA"",""REKAP ALL 2026 - Andika!G:G""),IMPORTRANGE(""1XaInW9DU9nz21V0tYIfzFQ0He9kVQ_JF2mCXgZ3hqFA"",""REKAP ALL 2026 - Andika!F:F""),"""",0)"),"21012844953")</f>
        <v>21012844953</v>
      </c>
      <c r="G257" s="13" t="s">
        <v>1174</v>
      </c>
      <c r="H257" s="13" t="s">
        <v>35</v>
      </c>
      <c r="I257" s="13" t="str">
        <f aca="false">IF(C257=J257,"NEW KONTRAK","RE-KONTRAK")</f>
        <v>RE-KONTRAK</v>
      </c>
      <c r="J257" s="16" t="n">
        <f aca="false" t="array" ref="J257:J257">IFERROR(INDEX(AC257:AE257,IF(COUNTA(AC257:AE257)=0,"",MAX((AC257:AE257&lt;&gt;"")*(COLUMN(AC257:AE257)-(COLUMN(AC257)))))-1),"")</f>
        <v>45658</v>
      </c>
      <c r="K257" s="16" t="n">
        <f aca="false" t="array" ref="K257:K257">IFERROR(INDEX(AC257:AE257,IF(COUNTA(AC257:AE257)=0,"",MAX((AC257:AE257&lt;&gt;"")*(COLUMN(AC257:AE257)-(COLUMN(AC257)-1))))-1),"")</f>
        <v>46022</v>
      </c>
      <c r="L257" s="17" t="str">
        <f aca="false" t="array" ref="L257:L257">IFERROR(INDEX(AC257:AE257,IF(COUNTA(AC257:AE257)=0,"",MAX((AC257:AE257&lt;&gt;"")*(COLUMN(AC257:AE257)-(COLUMN(AC257)-2))))-1),"")</f>
        <v>ARCHIVED</v>
      </c>
      <c r="M257" s="13" t="n">
        <f aca="true">K257-TODAY()</f>
        <v>-302</v>
      </c>
      <c r="N257" s="18" t="s">
        <v>615</v>
      </c>
      <c r="O257" s="13" t="s">
        <v>1175</v>
      </c>
      <c r="P257" s="19" t="n">
        <v>5176101</v>
      </c>
      <c r="Q257" s="20" t="s">
        <v>1176</v>
      </c>
      <c r="R257" s="13" t="s">
        <v>232</v>
      </c>
      <c r="S257" s="14" t="n">
        <v>36370</v>
      </c>
      <c r="T257" s="13" t="s">
        <v>40</v>
      </c>
      <c r="U257" s="13" t="s">
        <v>1177</v>
      </c>
      <c r="V257" s="13" t="s">
        <v>42</v>
      </c>
      <c r="W257" s="13" t="s">
        <v>43</v>
      </c>
      <c r="X257" s="21" t="n">
        <v>81515639478</v>
      </c>
      <c r="Y257" s="22" t="str">
        <f aca="false">O257</f>
        <v>Rajang Sachet</v>
      </c>
      <c r="Z257" s="13" t="str">
        <f aca="false">IFERROR(__xludf.dummyfunction("if(BJ257="""","""",GOOGLETRANSLATE(BJ257,""auto"",""en""))"),"Rajang Sachet")</f>
        <v>Rajang Sachet</v>
      </c>
      <c r="AA257" s="23" t="str">
        <f aca="false">IF(C257="","", CHOOSE(MONTH(C257),"January","February","March","April","May","June","July","August","September","October","November","December")&amp;" "&amp;DAY(C257)&amp;MID("thstndrdth",MIN(9,2*RIGHT(DAY(C257))*(MOD(DAY(C257)-11,100)&gt;2)+1),2)&amp;","&amp;TEXT(C257," yyyy"))</f>
        <v>January 11th,2021</v>
      </c>
      <c r="AB257" s="15" t="str">
        <f aca="true">IF(S257="","",DATEDIF(S257,TODAY(),"Y")&amp;" Tahun, "&amp;DATEDIF(S257,TODAY(),"YM")&amp;" Bulan, "&amp;DATEDIF(S257,TODAY(),"MD")&amp;" Hari")</f>
        <v>27 Tahun, 3 Bulan, 0 Hari</v>
      </c>
      <c r="AC257" s="18" t="n">
        <v>45658</v>
      </c>
      <c r="AD257" s="18" t="n">
        <v>46022</v>
      </c>
      <c r="AE257" s="18" t="s">
        <v>44</v>
      </c>
    </row>
    <row r="258" customFormat="false" ht="15.75" hidden="false" customHeight="true" outlineLevel="0" collapsed="false">
      <c r="A258" s="12" t="n">
        <v>1621</v>
      </c>
      <c r="B258" s="13" t="s">
        <v>1178</v>
      </c>
      <c r="C258" s="14" t="n">
        <v>44228</v>
      </c>
      <c r="D258" s="13" t="s">
        <v>1066</v>
      </c>
      <c r="E258" s="15" t="s">
        <v>102</v>
      </c>
      <c r="F258" s="15" t="str">
        <f aca="false">IFERROR(__xludf.dummyfunction("XLOOKUP(AJ258,IMPORTRANGE(""1XaInW9DU9nz21V0tYIfzFQ0He9kVQ_JF2mCXgZ3hqFA"",""REKAP ALL 2026 - Andika!G:G""),IMPORTRANGE(""1XaInW9DU9nz21V0tYIfzFQ0He9kVQ_JF2mCXgZ3hqFA"",""REKAP ALL 2026 - Andika!F:F""),"""",0)"),"22058868245")</f>
        <v>22058868245</v>
      </c>
      <c r="G258" s="13" t="s">
        <v>1179</v>
      </c>
      <c r="H258" s="13" t="s">
        <v>35</v>
      </c>
      <c r="I258" s="13" t="str">
        <f aca="false">IF(C258=J258,"NEW KONTRAK","RE-KONTRAK")</f>
        <v>RE-KONTRAK</v>
      </c>
      <c r="J258" s="16" t="n">
        <f aca="false" t="array" ref="J258:J258">IFERROR(INDEX(AC258:AE258,IF(COUNTA(AC258:AE258)=0,"",MAX((AC258:AE258&lt;&gt;"")*(COLUMN(AC258:AE258)-(COLUMN(AC258)))))-1),"")</f>
        <v>45658</v>
      </c>
      <c r="K258" s="16" t="n">
        <f aca="false" t="array" ref="K258:K258">IFERROR(INDEX(AC258:AE258,IF(COUNTA(AC258:AE258)=0,"",MAX((AC258:AE258&lt;&gt;"")*(COLUMN(AC258:AE258)-(COLUMN(AC258)-1))))-1),"")</f>
        <v>46022</v>
      </c>
      <c r="L258" s="17" t="str">
        <f aca="false" t="array" ref="L258:L258">IFERROR(INDEX(AC258:AE258,IF(COUNTA(AC258:AE258)=0,"",MAX((AC258:AE258&lt;&gt;"")*(COLUMN(AC258:AE258)-(COLUMN(AC258)-2))))-1),"")</f>
        <v>ARCHIVED</v>
      </c>
      <c r="M258" s="13" t="n">
        <f aca="true">K258-TODAY()</f>
        <v>-302</v>
      </c>
      <c r="N258" s="18" t="s">
        <v>615</v>
      </c>
      <c r="O258" s="13" t="s">
        <v>1068</v>
      </c>
      <c r="P258" s="19" t="n">
        <v>5176101</v>
      </c>
      <c r="Q258" s="20" t="s">
        <v>1180</v>
      </c>
      <c r="R258" s="13" t="s">
        <v>232</v>
      </c>
      <c r="S258" s="14" t="n">
        <v>37165</v>
      </c>
      <c r="T258" s="13" t="s">
        <v>40</v>
      </c>
      <c r="U258" s="13" t="s">
        <v>1181</v>
      </c>
      <c r="V258" s="13" t="s">
        <v>42</v>
      </c>
      <c r="W258" s="13" t="s">
        <v>43</v>
      </c>
      <c r="X258" s="21" t="n">
        <v>85816531296</v>
      </c>
      <c r="Y258" s="22" t="str">
        <f aca="false">O258</f>
        <v>Production Packer</v>
      </c>
      <c r="Z258" s="13" t="str">
        <f aca="false">IFERROR(__xludf.dummyfunction("if(BJ258="""","""",GOOGLETRANSLATE(BJ258,""auto"",""en""))"),"Production Packer")</f>
        <v>Production Packer</v>
      </c>
      <c r="AA258" s="23" t="str">
        <f aca="false">IF(C258="","", CHOOSE(MONTH(C258),"January","February","March","April","May","June","July","August","September","October","November","December")&amp;" "&amp;DAY(C258)&amp;MID("thstndrdth",MIN(9,2*RIGHT(DAY(C258))*(MOD(DAY(C258)-11,100)&gt;2)+1),2)&amp;","&amp;TEXT(C258," yyyy"))</f>
        <v>February 1st,2021</v>
      </c>
      <c r="AB258" s="15" t="str">
        <f aca="true">IF(S258="","",DATEDIF(S258,TODAY(),"Y")&amp;" Tahun, "&amp;DATEDIF(S258,TODAY(),"YM")&amp;" Bulan, "&amp;DATEDIF(S258,TODAY(),"MD")&amp;" Hari")</f>
        <v>25 Tahun, 0 Bulan, 28 Hari</v>
      </c>
      <c r="AC258" s="18" t="n">
        <v>45658</v>
      </c>
      <c r="AD258" s="18" t="n">
        <v>46022</v>
      </c>
      <c r="AE258" s="18" t="s">
        <v>44</v>
      </c>
    </row>
    <row r="259" customFormat="false" ht="15.75" hidden="false" customHeight="true" outlineLevel="0" collapsed="false">
      <c r="A259" s="12" t="n">
        <v>1629</v>
      </c>
      <c r="B259" s="13" t="s">
        <v>1182</v>
      </c>
      <c r="C259" s="14" t="n">
        <v>44137</v>
      </c>
      <c r="D259" s="13" t="s">
        <v>1066</v>
      </c>
      <c r="E259" s="15" t="s">
        <v>47</v>
      </c>
      <c r="F259" s="15" t="str">
        <f aca="false">IFERROR(__xludf.dummyfunction("XLOOKUP(AJ259,IMPORTRANGE(""1XaInW9DU9nz21V0tYIfzFQ0He9kVQ_JF2mCXgZ3hqFA"",""REKAP ALL 2026 - Andika!G:G""),IMPORTRANGE(""1XaInW9DU9nz21V0tYIfzFQ0He9kVQ_JF2mCXgZ3hqFA"",""REKAP ALL 2026 - Andika!F:F""),"""",0)"),"20091161743")</f>
        <v>20091161743</v>
      </c>
      <c r="G259" s="13" t="s">
        <v>1183</v>
      </c>
      <c r="H259" s="13" t="s">
        <v>35</v>
      </c>
      <c r="I259" s="13" t="str">
        <f aca="false">IF(C259=J259,"NEW KONTRAK","RE-KONTRAK")</f>
        <v>RE-KONTRAK</v>
      </c>
      <c r="J259" s="16" t="n">
        <f aca="false" t="array" ref="J259:J259">IFERROR(INDEX(AC259:AE259,IF(COUNTA(AC259:AE259)=0,"",MAX((AC259:AE259&lt;&gt;"")*(COLUMN(AC259:AE259)-(COLUMN(AC259)))))-1),"")</f>
        <v>45658</v>
      </c>
      <c r="K259" s="16" t="n">
        <f aca="false" t="array" ref="K259:K259">IFERROR(INDEX(AC259:AE259,IF(COUNTA(AC259:AE259)=0,"",MAX((AC259:AE259&lt;&gt;"")*(COLUMN(AC259:AE259)-(COLUMN(AC259)-1))))-1),"")</f>
        <v>46022</v>
      </c>
      <c r="L259" s="17" t="str">
        <f aca="false" t="array" ref="L259:L259">IFERROR(INDEX(AC259:AE259,IF(COUNTA(AC259:AE259)=0,"",MAX((AC259:AE259&lt;&gt;"")*(COLUMN(AC259:AE259)-(COLUMN(AC259)-2))))-1),"")</f>
        <v>ARCHIVED</v>
      </c>
      <c r="M259" s="13" t="n">
        <f aca="true">K259-TODAY()</f>
        <v>-302</v>
      </c>
      <c r="N259" s="18" t="s">
        <v>615</v>
      </c>
      <c r="O259" s="13" t="s">
        <v>1184</v>
      </c>
      <c r="P259" s="19" t="n">
        <v>5176101</v>
      </c>
      <c r="Q259" s="20" t="s">
        <v>1185</v>
      </c>
      <c r="R259" s="13" t="s">
        <v>232</v>
      </c>
      <c r="S259" s="14" t="n">
        <v>32372</v>
      </c>
      <c r="T259" s="13" t="s">
        <v>40</v>
      </c>
      <c r="U259" s="13" t="s">
        <v>1186</v>
      </c>
      <c r="V259" s="13" t="s">
        <v>42</v>
      </c>
      <c r="W259" s="13" t="s">
        <v>54</v>
      </c>
      <c r="X259" s="21" t="n">
        <v>8990678564</v>
      </c>
      <c r="Y259" s="22" t="str">
        <f aca="false">O259</f>
        <v>Production RMP Helper (Green Bean Area)</v>
      </c>
      <c r="Z259" s="13" t="str">
        <f aca="false">IFERROR(__xludf.dummyfunction("if(BJ259="""","""",GOOGLETRANSLATE(BJ259,""auto"",""en""))"),"Production RMP Helper (Green Bean Area)")</f>
        <v>Production RMP Helper (Green Bean Area)</v>
      </c>
      <c r="AA259" s="23" t="str">
        <f aca="false">IF(C259="","", CHOOSE(MONTH(C259),"January","February","March","April","May","June","July","August","September","October","November","December")&amp;" "&amp;DAY(C259)&amp;MID("thstndrdth",MIN(9,2*RIGHT(DAY(C259))*(MOD(DAY(C259)-11,100)&gt;2)+1),2)&amp;","&amp;TEXT(C259," yyyy"))</f>
        <v>November 2nd,2020</v>
      </c>
      <c r="AB259" s="15" t="str">
        <f aca="true">IF(S259="","",DATEDIF(S259,TODAY(),"Y")&amp;" Tahun, "&amp;DATEDIF(S259,TODAY(),"YM")&amp;" Bulan, "&amp;DATEDIF(S259,TODAY(),"MD")&amp;" Hari")</f>
        <v>38 Tahun, 2 Bulan, 12 Hari</v>
      </c>
      <c r="AC259" s="18" t="n">
        <v>45658</v>
      </c>
      <c r="AD259" s="18" t="n">
        <v>46022</v>
      </c>
      <c r="AE259" s="18" t="s">
        <v>44</v>
      </c>
    </row>
    <row r="260" customFormat="false" ht="15.75" hidden="false" customHeight="true" outlineLevel="0" collapsed="false">
      <c r="A260" s="12" t="n">
        <v>1631</v>
      </c>
      <c r="B260" s="13" t="s">
        <v>1187</v>
      </c>
      <c r="C260" s="14" t="n">
        <v>44172</v>
      </c>
      <c r="D260" s="13" t="s">
        <v>1066</v>
      </c>
      <c r="E260" s="15" t="s">
        <v>47</v>
      </c>
      <c r="F260" s="15" t="str">
        <f aca="false">IFERROR(__xludf.dummyfunction("XLOOKUP(AJ260,IMPORTRANGE(""1XaInW9DU9nz21V0tYIfzFQ0He9kVQ_JF2mCXgZ3hqFA"",""REKAP ALL 2026 - Andika!G:G""),IMPORTRANGE(""1XaInW9DU9nz21V0tYIfzFQ0He9kVQ_JF2mCXgZ3hqFA"",""REKAP ALL 2026 - Andika!F:F""),"""",0)"),"21003176589")</f>
        <v>21003176589</v>
      </c>
      <c r="G260" s="13" t="s">
        <v>1188</v>
      </c>
      <c r="H260" s="13" t="s">
        <v>35</v>
      </c>
      <c r="I260" s="13" t="str">
        <f aca="false">IF(C260=J260,"NEW KONTRAK","RE-KONTRAK")</f>
        <v>RE-KONTRAK</v>
      </c>
      <c r="J260" s="16" t="n">
        <f aca="false" t="array" ref="J260:J260">IFERROR(INDEX(AC260:AE260,IF(COUNTA(AC260:AE260)=0,"",MAX((AC260:AE260&lt;&gt;"")*(COLUMN(AC260:AE260)-(COLUMN(AC260)))))-1),"")</f>
        <v>45658</v>
      </c>
      <c r="K260" s="16" t="n">
        <f aca="false" t="array" ref="K260:K260">IFERROR(INDEX(AC260:AE260,IF(COUNTA(AC260:AE260)=0,"",MAX((AC260:AE260&lt;&gt;"")*(COLUMN(AC260:AE260)-(COLUMN(AC260)-1))))-1),"")</f>
        <v>46022</v>
      </c>
      <c r="L260" s="17" t="str">
        <f aca="false" t="array" ref="L260:L260">IFERROR(INDEX(AC260:AE260,IF(COUNTA(AC260:AE260)=0,"",MAX((AC260:AE260&lt;&gt;"")*(COLUMN(AC260:AE260)-(COLUMN(AC260)-2))))-1),"")</f>
        <v>ARCHIVED</v>
      </c>
      <c r="M260" s="13" t="n">
        <f aca="true">K260-TODAY()</f>
        <v>-302</v>
      </c>
      <c r="N260" s="18" t="s">
        <v>615</v>
      </c>
      <c r="O260" s="13" t="s">
        <v>1068</v>
      </c>
      <c r="P260" s="19" t="n">
        <v>5176101</v>
      </c>
      <c r="Q260" s="20" t="s">
        <v>1189</v>
      </c>
      <c r="R260" s="13" t="s">
        <v>232</v>
      </c>
      <c r="S260" s="14" t="n">
        <v>37509</v>
      </c>
      <c r="T260" s="13" t="s">
        <v>108</v>
      </c>
      <c r="U260" s="13" t="s">
        <v>1190</v>
      </c>
      <c r="V260" s="13" t="s">
        <v>42</v>
      </c>
      <c r="W260" s="13" t="s">
        <v>43</v>
      </c>
      <c r="X260" s="21" t="n">
        <v>82139325122</v>
      </c>
      <c r="Y260" s="22" t="str">
        <f aca="false">O260</f>
        <v>Production Packer</v>
      </c>
      <c r="Z260" s="13" t="str">
        <f aca="false">IFERROR(__xludf.dummyfunction("if(BJ260="""","""",GOOGLETRANSLATE(BJ260,""auto"",""en""))"),"Production Packer")</f>
        <v>Production Packer</v>
      </c>
      <c r="AA260" s="23" t="str">
        <f aca="false">IF(C260="","", CHOOSE(MONTH(C260),"January","February","March","April","May","June","July","August","September","October","November","December")&amp;" "&amp;DAY(C260)&amp;MID("thstndrdth",MIN(9,2*RIGHT(DAY(C260))*(MOD(DAY(C260)-11,100)&gt;2)+1),2)&amp;","&amp;TEXT(C260," yyyy"))</f>
        <v>December 7th,2020</v>
      </c>
      <c r="AB260" s="15" t="str">
        <f aca="true">IF(S260="","",DATEDIF(S260,TODAY(),"Y")&amp;" Tahun, "&amp;DATEDIF(S260,TODAY(),"YM")&amp;" Bulan, "&amp;DATEDIF(S260,TODAY(),"MD")&amp;" Hari")</f>
        <v>24 Tahun, 1 Bulan, 19 Hari</v>
      </c>
      <c r="AC260" s="18" t="n">
        <v>45658</v>
      </c>
      <c r="AD260" s="18" t="n">
        <v>46022</v>
      </c>
      <c r="AE260" s="18" t="s">
        <v>44</v>
      </c>
    </row>
    <row r="261" customFormat="false" ht="15.75" hidden="false" customHeight="true" outlineLevel="0" collapsed="false">
      <c r="A261" s="12" t="n">
        <v>1633</v>
      </c>
      <c r="B261" s="13" t="s">
        <v>1191</v>
      </c>
      <c r="C261" s="14" t="n">
        <v>44166</v>
      </c>
      <c r="D261" s="13" t="s">
        <v>1066</v>
      </c>
      <c r="E261" s="15" t="s">
        <v>47</v>
      </c>
      <c r="F261" s="15" t="str">
        <f aca="false">IFERROR(__xludf.dummyfunction("XLOOKUP(AJ261,IMPORTRANGE(""1XaInW9DU9nz21V0tYIfzFQ0He9kVQ_JF2mCXgZ3hqFA"",""REKAP ALL 2026 - Andika!G:G""),IMPORTRANGE(""1XaInW9DU9nz21V0tYIfzFQ0He9kVQ_JF2mCXgZ3hqFA"",""REKAP ALL 2026 - Andika!F:F""),"""",0)"),"11007012112")</f>
        <v>11007012112</v>
      </c>
      <c r="G261" s="13" t="s">
        <v>1192</v>
      </c>
      <c r="H261" s="13" t="s">
        <v>35</v>
      </c>
      <c r="I261" s="13" t="str">
        <f aca="false">IF(C261=J261,"NEW KONTRAK","RE-KONTRAK")</f>
        <v>RE-KONTRAK</v>
      </c>
      <c r="J261" s="16" t="n">
        <f aca="false" t="array" ref="J261:J261">IFERROR(INDEX(AC261:AE261,IF(COUNTA(AC261:AE261)=0,"",MAX((AC261:AE261&lt;&gt;"")*(COLUMN(AC261:AE261)-(COLUMN(AC261)))))-1),"")</f>
        <v>45658</v>
      </c>
      <c r="K261" s="16" t="n">
        <f aca="false" t="array" ref="K261:K261">IFERROR(INDEX(AC261:AE261,IF(COUNTA(AC261:AE261)=0,"",MAX((AC261:AE261&lt;&gt;"")*(COLUMN(AC261:AE261)-(COLUMN(AC261)-1))))-1),"")</f>
        <v>46022</v>
      </c>
      <c r="L261" s="17" t="str">
        <f aca="false" t="array" ref="L261:L261">IFERROR(INDEX(AC261:AE261,IF(COUNTA(AC261:AE261)=0,"",MAX((AC261:AE261&lt;&gt;"")*(COLUMN(AC261:AE261)-(COLUMN(AC261)-2))))-1),"")</f>
        <v>ARCHIVED</v>
      </c>
      <c r="M261" s="13" t="n">
        <f aca="true">K261-TODAY()</f>
        <v>-302</v>
      </c>
      <c r="N261" s="18" t="s">
        <v>615</v>
      </c>
      <c r="O261" s="13" t="s">
        <v>1193</v>
      </c>
      <c r="P261" s="19" t="n">
        <v>5176101</v>
      </c>
      <c r="Q261" s="20" t="s">
        <v>1194</v>
      </c>
      <c r="R261" s="13" t="s">
        <v>232</v>
      </c>
      <c r="S261" s="14" t="n">
        <v>32723</v>
      </c>
      <c r="T261" s="13" t="s">
        <v>40</v>
      </c>
      <c r="U261" s="13" t="s">
        <v>1195</v>
      </c>
      <c r="V261" s="13" t="s">
        <v>42</v>
      </c>
      <c r="W261" s="13" t="s">
        <v>54</v>
      </c>
      <c r="X261" s="21" t="n">
        <v>85648515777</v>
      </c>
      <c r="Y261" s="22" t="str">
        <f aca="false">O261</f>
        <v>Production Packing Helper</v>
      </c>
      <c r="Z261" s="13" t="str">
        <f aca="false">IFERROR(__xludf.dummyfunction("if(BJ261="""","""",GOOGLETRANSLATE(BJ261,""auto"",""en""))"),"Production Packing Helper")</f>
        <v>Production Packing Helper</v>
      </c>
      <c r="AA261" s="23" t="str">
        <f aca="false">IF(C261="","", CHOOSE(MONTH(C261),"January","February","March","April","May","June","July","August","September","October","November","December")&amp;" "&amp;DAY(C261)&amp;MID("thstndrdth",MIN(9,2*RIGHT(DAY(C261))*(MOD(DAY(C261)-11,100)&gt;2)+1),2)&amp;","&amp;TEXT(C261," yyyy"))</f>
        <v>December 1st,2020</v>
      </c>
      <c r="AB261" s="15" t="str">
        <f aca="true">IF(S261="","",DATEDIF(S261,TODAY(),"Y")&amp;" Tahun, "&amp;DATEDIF(S261,TODAY(),"YM")&amp;" Bulan, "&amp;DATEDIF(S261,TODAY(),"MD")&amp;" Hari")</f>
        <v>37 Tahun, 2 Bulan, 26 Hari</v>
      </c>
      <c r="AC261" s="18" t="n">
        <v>45658</v>
      </c>
      <c r="AD261" s="18" t="n">
        <v>46022</v>
      </c>
      <c r="AE261" s="18" t="s">
        <v>44</v>
      </c>
    </row>
    <row r="262" customFormat="false" ht="15.75" hidden="false" customHeight="true" outlineLevel="0" collapsed="false">
      <c r="A262" s="12" t="n">
        <v>1638</v>
      </c>
      <c r="B262" s="13" t="s">
        <v>1196</v>
      </c>
      <c r="C262" s="14" t="n">
        <v>44140</v>
      </c>
      <c r="D262" s="13" t="s">
        <v>1066</v>
      </c>
      <c r="E262" s="15" t="s">
        <v>33</v>
      </c>
      <c r="F262" s="24" t="s">
        <v>1197</v>
      </c>
      <c r="G262" s="13" t="s">
        <v>1198</v>
      </c>
      <c r="H262" s="13" t="s">
        <v>35</v>
      </c>
      <c r="I262" s="13" t="str">
        <f aca="false">IF(C262=J262,"NEW KONTRAK","RE-KONTRAK")</f>
        <v>RE-KONTRAK</v>
      </c>
      <c r="J262" s="16" t="n">
        <f aca="false" t="array" ref="J262:J262">IFERROR(INDEX(AC262:AE262,IF(COUNTA(AC262:AE262)=0,"",MAX((AC262:AE262&lt;&gt;"")*(COLUMN(AC262:AE262)-(COLUMN(AC262)))))-1),"")</f>
        <v>45658</v>
      </c>
      <c r="K262" s="16" t="n">
        <f aca="false" t="array" ref="K262:K262">IFERROR(INDEX(AC262:AE262,IF(COUNTA(AC262:AE262)=0,"",MAX((AC262:AE262&lt;&gt;"")*(COLUMN(AC262:AE262)-(COLUMN(AC262)-1))))-1),"")</f>
        <v>46022</v>
      </c>
      <c r="L262" s="17" t="str">
        <f aca="false" t="array" ref="L262:L262">IFERROR(INDEX(AC262:AE262,IF(COUNTA(AC262:AE262)=0,"",MAX((AC262:AE262&lt;&gt;"")*(COLUMN(AC262:AE262)-(COLUMN(AC262)-2))))-1),"")</f>
        <v>ARCHIVED</v>
      </c>
      <c r="M262" s="13" t="n">
        <f aca="true">K262-TODAY()</f>
        <v>-302</v>
      </c>
      <c r="N262" s="18" t="s">
        <v>615</v>
      </c>
      <c r="O262" s="13" t="s">
        <v>1166</v>
      </c>
      <c r="P262" s="19" t="n">
        <v>4856026</v>
      </c>
      <c r="Q262" s="20" t="s">
        <v>1199</v>
      </c>
      <c r="R262" s="13" t="s">
        <v>232</v>
      </c>
      <c r="S262" s="14" t="n">
        <v>33898</v>
      </c>
      <c r="T262" s="13" t="s">
        <v>108</v>
      </c>
      <c r="U262" s="13" t="s">
        <v>1200</v>
      </c>
      <c r="V262" s="13" t="s">
        <v>42</v>
      </c>
      <c r="W262" s="13" t="s">
        <v>54</v>
      </c>
      <c r="X262" s="21" t="n">
        <v>85645940495</v>
      </c>
      <c r="Y262" s="22" t="str">
        <f aca="false">O262</f>
        <v>Production Rework Helper</v>
      </c>
      <c r="Z262" s="13" t="str">
        <f aca="false">IFERROR(__xludf.dummyfunction("if(BJ262="""","""",GOOGLETRANSLATE(BJ262,""auto"",""en""))"),"Production Rework Helper")</f>
        <v>Production Rework Helper</v>
      </c>
      <c r="AA262" s="23" t="str">
        <f aca="false">IF(C262="","", CHOOSE(MONTH(C262),"January","February","March","April","May","June","July","August","September","October","November","December")&amp;" "&amp;DAY(C262)&amp;MID("thstndrdth",MIN(9,2*RIGHT(DAY(C262))*(MOD(DAY(C262)-11,100)&gt;2)+1),2)&amp;","&amp;TEXT(C262," yyyy"))</f>
        <v>November 5th,2020</v>
      </c>
      <c r="AB262" s="15" t="str">
        <f aca="true">IF(S262="","",DATEDIF(S262,TODAY(),"Y")&amp;" Tahun, "&amp;DATEDIF(S262,TODAY(),"YM")&amp;" Bulan, "&amp;DATEDIF(S262,TODAY(),"MD")&amp;" Hari")</f>
        <v>34 Tahun, 0 Bulan, 8 Hari</v>
      </c>
      <c r="AC262" s="18" t="n">
        <v>45658</v>
      </c>
      <c r="AD262" s="18" t="n">
        <v>46022</v>
      </c>
      <c r="AE262" s="18" t="s">
        <v>44</v>
      </c>
    </row>
    <row r="263" customFormat="false" ht="15.75" hidden="false" customHeight="true" outlineLevel="0" collapsed="false">
      <c r="A263" s="12" t="n">
        <v>1644</v>
      </c>
      <c r="B263" s="13" t="s">
        <v>1201</v>
      </c>
      <c r="C263" s="14" t="n">
        <v>44151</v>
      </c>
      <c r="D263" s="13" t="s">
        <v>1066</v>
      </c>
      <c r="E263" s="15" t="s">
        <v>47</v>
      </c>
      <c r="F263" s="15" t="str">
        <f aca="false">IFERROR(__xludf.dummyfunction("XLOOKUP(AJ263,IMPORTRANGE(""1XaInW9DU9nz21V0tYIfzFQ0He9kVQ_JF2mCXgZ3hqFA"",""REKAP ALL 2026 - Andika!G:G""),IMPORTRANGE(""1XaInW9DU9nz21V0tYIfzFQ0He9kVQ_JF2mCXgZ3hqFA"",""REKAP ALL 2026 - Andika!F:F""),"""",0)"),"17036358558")</f>
        <v>17036358558</v>
      </c>
      <c r="G263" s="13" t="s">
        <v>1202</v>
      </c>
      <c r="H263" s="13" t="s">
        <v>35</v>
      </c>
      <c r="I263" s="13" t="str">
        <f aca="false">IF(C263=J263,"NEW KONTRAK","RE-KONTRAK")</f>
        <v>RE-KONTRAK</v>
      </c>
      <c r="J263" s="16" t="n">
        <f aca="false" t="array" ref="J263:J263">IFERROR(INDEX(AC263:AE263,IF(COUNTA(AC263:AE263)=0,"",MAX((AC263:AE263&lt;&gt;"")*(COLUMN(AC263:AE263)-(COLUMN(AC263)))))-1),"")</f>
        <v>45658</v>
      </c>
      <c r="K263" s="16" t="n">
        <f aca="false" t="array" ref="K263:K263">IFERROR(INDEX(AC263:AE263,IF(COUNTA(AC263:AE263)=0,"",MAX((AC263:AE263&lt;&gt;"")*(COLUMN(AC263:AE263)-(COLUMN(AC263)-1))))-1),"")</f>
        <v>46022</v>
      </c>
      <c r="L263" s="17" t="str">
        <f aca="false" t="array" ref="L263:L263">IFERROR(INDEX(AC263:AE263,IF(COUNTA(AC263:AE263)=0,"",MAX((AC263:AE263&lt;&gt;"")*(COLUMN(AC263:AE263)-(COLUMN(AC263)-2))))-1),"")</f>
        <v>ARCHIVED</v>
      </c>
      <c r="M263" s="13" t="n">
        <f aca="true">K263-TODAY()</f>
        <v>-302</v>
      </c>
      <c r="N263" s="18" t="s">
        <v>615</v>
      </c>
      <c r="O263" s="13" t="s">
        <v>1203</v>
      </c>
      <c r="P263" s="19" t="n">
        <v>5176101</v>
      </c>
      <c r="Q263" s="20" t="s">
        <v>1204</v>
      </c>
      <c r="R263" s="13" t="s">
        <v>232</v>
      </c>
      <c r="S263" s="14" t="n">
        <v>33531</v>
      </c>
      <c r="T263" s="13" t="s">
        <v>40</v>
      </c>
      <c r="U263" s="13" t="s">
        <v>1205</v>
      </c>
      <c r="V263" s="13" t="s">
        <v>42</v>
      </c>
      <c r="W263" s="13" t="s">
        <v>43</v>
      </c>
      <c r="X263" s="21" t="n">
        <v>85655243693</v>
      </c>
      <c r="Y263" s="22" t="str">
        <f aca="false">O263</f>
        <v>Procuction Dumping Helper</v>
      </c>
      <c r="Z263" s="13" t="str">
        <f aca="false">IFERROR(__xludf.dummyfunction("if(BJ263="""","""",GOOGLETRANSLATE(BJ263,""auto"",""en""))"),"Procuction Dumping Helper")</f>
        <v>Procuction Dumping Helper</v>
      </c>
      <c r="AA263" s="23" t="str">
        <f aca="false">IF(C263="","", CHOOSE(MONTH(C263),"January","February","March","April","May","June","July","August","September","October","November","December")&amp;" "&amp;DAY(C263)&amp;MID("thstndrdth",MIN(9,2*RIGHT(DAY(C263))*(MOD(DAY(C263)-11,100)&gt;2)+1),2)&amp;","&amp;TEXT(C263," yyyy"))</f>
        <v>November 16th,2020</v>
      </c>
      <c r="AB263" s="15" t="str">
        <f aca="true">IF(S263="","",DATEDIF(S263,TODAY(),"Y")&amp;" Tahun, "&amp;DATEDIF(S263,TODAY(),"YM")&amp;" Bulan, "&amp;DATEDIF(S263,TODAY(),"MD")&amp;" Hari")</f>
        <v>35 Tahun, 0 Bulan, 9 Hari</v>
      </c>
      <c r="AC263" s="18" t="n">
        <v>45658</v>
      </c>
      <c r="AD263" s="18" t="n">
        <v>46022</v>
      </c>
      <c r="AE263" s="18" t="s">
        <v>44</v>
      </c>
    </row>
    <row r="264" customFormat="false" ht="15.75" hidden="false" customHeight="true" outlineLevel="0" collapsed="false">
      <c r="A264" s="12" t="n">
        <v>1648</v>
      </c>
      <c r="B264" s="13" t="s">
        <v>1206</v>
      </c>
      <c r="C264" s="14" t="n">
        <v>44188</v>
      </c>
      <c r="D264" s="13" t="s">
        <v>1066</v>
      </c>
      <c r="E264" s="15" t="s">
        <v>47</v>
      </c>
      <c r="F264" s="15" t="str">
        <f aca="false">IFERROR(__xludf.dummyfunction("XLOOKUP(AJ264,IMPORTRANGE(""1XaInW9DU9nz21V0tYIfzFQ0He9kVQ_JF2mCXgZ3hqFA"",""REKAP ALL 2026 - Andika!G:G""),IMPORTRANGE(""1XaInW9DU9nz21V0tYIfzFQ0He9kVQ_JF2mCXgZ3hqFA"",""REKAP ALL 2026 - Andika!F:F""),"""",0)"),"18068951310")</f>
        <v>18068951310</v>
      </c>
      <c r="G264" s="13" t="s">
        <v>1207</v>
      </c>
      <c r="H264" s="13" t="s">
        <v>35</v>
      </c>
      <c r="I264" s="13" t="str">
        <f aca="false">IF(C264=J264,"NEW KONTRAK","RE-KONTRAK")</f>
        <v>RE-KONTRAK</v>
      </c>
      <c r="J264" s="16" t="n">
        <f aca="false" t="array" ref="J264:J264">IFERROR(INDEX(AC264:AE264,IF(COUNTA(AC264:AE264)=0,"",MAX((AC264:AE264&lt;&gt;"")*(COLUMN(AC264:AE264)-(COLUMN(AC264)))))-1),"")</f>
        <v>45658</v>
      </c>
      <c r="K264" s="16" t="n">
        <f aca="false" t="array" ref="K264:K264">IFERROR(INDEX(AC264:AE264,IF(COUNTA(AC264:AE264)=0,"",MAX((AC264:AE264&lt;&gt;"")*(COLUMN(AC264:AE264)-(COLUMN(AC264)-1))))-1),"")</f>
        <v>46022</v>
      </c>
      <c r="L264" s="17" t="str">
        <f aca="false" t="array" ref="L264:L264">IFERROR(INDEX(AC264:AE264,IF(COUNTA(AC264:AE264)=0,"",MAX((AC264:AE264&lt;&gt;"")*(COLUMN(AC264:AE264)-(COLUMN(AC264)-2))))-1),"")</f>
        <v>ARCHIVED</v>
      </c>
      <c r="M264" s="13" t="n">
        <f aca="true">K264-TODAY()</f>
        <v>-302</v>
      </c>
      <c r="N264" s="18" t="s">
        <v>615</v>
      </c>
      <c r="O264" s="13" t="s">
        <v>1068</v>
      </c>
      <c r="P264" s="19" t="n">
        <v>5176101</v>
      </c>
      <c r="Q264" s="20" t="s">
        <v>1208</v>
      </c>
      <c r="R264" s="13" t="s">
        <v>65</v>
      </c>
      <c r="S264" s="14" t="n">
        <v>35068</v>
      </c>
      <c r="T264" s="13" t="s">
        <v>40</v>
      </c>
      <c r="U264" s="13" t="s">
        <v>1209</v>
      </c>
      <c r="V264" s="13" t="s">
        <v>42</v>
      </c>
      <c r="W264" s="13" t="s">
        <v>54</v>
      </c>
      <c r="X264" s="21" t="n">
        <v>85854164407</v>
      </c>
      <c r="Y264" s="22" t="str">
        <f aca="false">O264</f>
        <v>Production Packer</v>
      </c>
      <c r="Z264" s="13" t="str">
        <f aca="false">IFERROR(__xludf.dummyfunction("if(BJ264="""","""",GOOGLETRANSLATE(BJ264,""auto"",""en""))"),"Production Packer")</f>
        <v>Production Packer</v>
      </c>
      <c r="AA264" s="23" t="str">
        <f aca="false">IF(C264="","", CHOOSE(MONTH(C264),"January","February","March","April","May","June","July","August","September","October","November","December")&amp;" "&amp;DAY(C264)&amp;MID("thstndrdth",MIN(9,2*RIGHT(DAY(C264))*(MOD(DAY(C264)-11,100)&gt;2)+1),2)&amp;","&amp;TEXT(C264," yyyy"))</f>
        <v>December 23rd,2020</v>
      </c>
      <c r="AB264" s="15" t="str">
        <f aca="true">IF(S264="","",DATEDIF(S264,TODAY(),"Y")&amp;" Tahun, "&amp;DATEDIF(S264,TODAY(),"YM")&amp;" Bulan, "&amp;DATEDIF(S264,TODAY(),"MD")&amp;" Hari")</f>
        <v>30 Tahun, 9 Bulan, 25 Hari</v>
      </c>
      <c r="AC264" s="18" t="n">
        <v>45658</v>
      </c>
      <c r="AD264" s="18" t="n">
        <v>46022</v>
      </c>
      <c r="AE264" s="18" t="s">
        <v>44</v>
      </c>
    </row>
    <row r="265" customFormat="false" ht="15.75" hidden="false" customHeight="true" outlineLevel="0" collapsed="false">
      <c r="A265" s="12" t="n">
        <v>1649</v>
      </c>
      <c r="B265" s="13" t="s">
        <v>1210</v>
      </c>
      <c r="C265" s="14" t="n">
        <v>44169</v>
      </c>
      <c r="D265" s="13" t="s">
        <v>1066</v>
      </c>
      <c r="E265" s="15" t="s">
        <v>47</v>
      </c>
      <c r="F265" s="15" t="str">
        <f aca="false">IFERROR(__xludf.dummyfunction("XLOOKUP(AJ265,IMPORTRANGE(""1XaInW9DU9nz21V0tYIfzFQ0He9kVQ_JF2mCXgZ3hqFA"",""REKAP ALL 2026 - Andika!G:G""),IMPORTRANGE(""1XaInW9DU9nz21V0tYIfzFQ0He9kVQ_JF2mCXgZ3hqFA"",""REKAP ALL 2026 - Andika!F:F""),"""",0)"),"21003177504")</f>
        <v>21003177504</v>
      </c>
      <c r="G265" s="13" t="s">
        <v>1211</v>
      </c>
      <c r="H265" s="13" t="s">
        <v>35</v>
      </c>
      <c r="I265" s="13" t="str">
        <f aca="false">IF(C265=J265,"NEW KONTRAK","RE-KONTRAK")</f>
        <v>RE-KONTRAK</v>
      </c>
      <c r="J265" s="16" t="n">
        <f aca="false" t="array" ref="J265:J265">IFERROR(INDEX(AC265:AE265,IF(COUNTA(AC265:AE265)=0,"",MAX((AC265:AE265&lt;&gt;"")*(COLUMN(AC265:AE265)-(COLUMN(AC265)))))-1),"")</f>
        <v>45658</v>
      </c>
      <c r="K265" s="16" t="n">
        <f aca="false" t="array" ref="K265:K265">IFERROR(INDEX(AC265:AE265,IF(COUNTA(AC265:AE265)=0,"",MAX((AC265:AE265&lt;&gt;"")*(COLUMN(AC265:AE265)-(COLUMN(AC265)-1))))-1),"")</f>
        <v>46022</v>
      </c>
      <c r="L265" s="17" t="str">
        <f aca="false" t="array" ref="L265:L265">IFERROR(INDEX(AC265:AE265,IF(COUNTA(AC265:AE265)=0,"",MAX((AC265:AE265&lt;&gt;"")*(COLUMN(AC265:AE265)-(COLUMN(AC265)-2))))-1),"")</f>
        <v>ARCHIVED</v>
      </c>
      <c r="M265" s="13" t="n">
        <f aca="true">K265-TODAY()</f>
        <v>-302</v>
      </c>
      <c r="N265" s="18" t="s">
        <v>615</v>
      </c>
      <c r="O265" s="13" t="s">
        <v>1212</v>
      </c>
      <c r="P265" s="19" t="n">
        <v>5281023.49</v>
      </c>
      <c r="Q265" s="20" t="s">
        <v>1213</v>
      </c>
      <c r="R265" s="13" t="s">
        <v>1214</v>
      </c>
      <c r="S265" s="14" t="n">
        <v>35608</v>
      </c>
      <c r="T265" s="13" t="s">
        <v>40</v>
      </c>
      <c r="U265" s="13" t="s">
        <v>1215</v>
      </c>
      <c r="V265" s="28" t="s">
        <v>1216</v>
      </c>
      <c r="W265" s="13" t="s">
        <v>43</v>
      </c>
      <c r="X265" s="21" t="n">
        <v>81233917761</v>
      </c>
      <c r="Y265" s="22" t="str">
        <f aca="false">O265</f>
        <v>GBJ Checker Out</v>
      </c>
      <c r="Z265" s="13" t="str">
        <f aca="false">IFERROR(__xludf.dummyfunction("if(BJ265="""","""",GOOGLETRANSLATE(BJ265,""auto"",""en""))"),"GBJ Checker Out")</f>
        <v>GBJ Checker Out</v>
      </c>
      <c r="AA265" s="23" t="str">
        <f aca="false">IF(C265="","", CHOOSE(MONTH(C265),"January","February","March","April","May","June","July","August","September","October","November","December")&amp;" "&amp;DAY(C265)&amp;MID("thstndrdth",MIN(9,2*RIGHT(DAY(C265))*(MOD(DAY(C265)-11,100)&gt;2)+1),2)&amp;","&amp;TEXT(C265," yyyy"))</f>
        <v>December 4th,2020</v>
      </c>
      <c r="AB265" s="15" t="str">
        <f aca="true">IF(S265="","",DATEDIF(S265,TODAY(),"Y")&amp;" Tahun, "&amp;DATEDIF(S265,TODAY(),"YM")&amp;" Bulan, "&amp;DATEDIF(S265,TODAY(),"MD")&amp;" Hari")</f>
        <v>29 Tahun, 4 Bulan, 2 Hari</v>
      </c>
      <c r="AC265" s="18" t="n">
        <v>45658</v>
      </c>
      <c r="AD265" s="18" t="n">
        <v>46022</v>
      </c>
      <c r="AE265" s="18" t="s">
        <v>44</v>
      </c>
    </row>
    <row r="266" customFormat="false" ht="15.75" hidden="false" customHeight="true" outlineLevel="0" collapsed="false">
      <c r="A266" s="12" t="n">
        <v>1650</v>
      </c>
      <c r="B266" s="13" t="s">
        <v>1217</v>
      </c>
      <c r="C266" s="14" t="n">
        <v>44169</v>
      </c>
      <c r="D266" s="13" t="s">
        <v>1066</v>
      </c>
      <c r="E266" s="15" t="s">
        <v>47</v>
      </c>
      <c r="F266" s="15" t="str">
        <f aca="false">IFERROR(__xludf.dummyfunction("XLOOKUP(AJ266,IMPORTRANGE(""1XaInW9DU9nz21V0tYIfzFQ0He9kVQ_JF2mCXgZ3hqFA"",""REKAP ALL 2026 - Andika!G:G""),IMPORTRANGE(""1XaInW9DU9nz21V0tYIfzFQ0He9kVQ_JF2mCXgZ3hqFA"",""REKAP ALL 2026 - Andika!F:F""),"""",0)"),"22058868302")</f>
        <v>22058868302</v>
      </c>
      <c r="G266" s="13" t="s">
        <v>1218</v>
      </c>
      <c r="H266" s="13" t="s">
        <v>35</v>
      </c>
      <c r="I266" s="13" t="str">
        <f aca="false">IF(C266=J266,"NEW KONTRAK","RE-KONTRAK")</f>
        <v>RE-KONTRAK</v>
      </c>
      <c r="J266" s="16" t="n">
        <f aca="false" t="array" ref="J266:J266">IFERROR(INDEX(AC266:AE266,IF(COUNTA(AC266:AE266)=0,"",MAX((AC266:AE266&lt;&gt;"")*(COLUMN(AC266:AE266)-(COLUMN(AC266)))))-1),"")</f>
        <v>45658</v>
      </c>
      <c r="K266" s="16" t="n">
        <f aca="false" t="array" ref="K266:K266">IFERROR(INDEX(AC266:AE266,IF(COUNTA(AC266:AE266)=0,"",MAX((AC266:AE266&lt;&gt;"")*(COLUMN(AC266:AE266)-(COLUMN(AC266)-1))))-1),"")</f>
        <v>46022</v>
      </c>
      <c r="L266" s="17" t="str">
        <f aca="false" t="array" ref="L266:L266">IFERROR(INDEX(AC266:AE266,IF(COUNTA(AC266:AE266)=0,"",MAX((AC266:AE266&lt;&gt;"")*(COLUMN(AC266:AE266)-(COLUMN(AC266)-2))))-1),"")</f>
        <v>ARCHIVED</v>
      </c>
      <c r="M266" s="13" t="n">
        <f aca="true">K266-TODAY()</f>
        <v>-302</v>
      </c>
      <c r="N266" s="18" t="s">
        <v>615</v>
      </c>
      <c r="O266" s="13" t="s">
        <v>1140</v>
      </c>
      <c r="P266" s="19" t="n">
        <v>5176101</v>
      </c>
      <c r="Q266" s="20" t="s">
        <v>1219</v>
      </c>
      <c r="R266" s="13" t="s">
        <v>232</v>
      </c>
      <c r="S266" s="14" t="n">
        <v>34507</v>
      </c>
      <c r="T266" s="13" t="s">
        <v>40</v>
      </c>
      <c r="U266" s="13" t="s">
        <v>1220</v>
      </c>
      <c r="V266" s="13" t="s">
        <v>42</v>
      </c>
      <c r="W266" s="13" t="s">
        <v>43</v>
      </c>
      <c r="X266" s="21" t="n">
        <v>85731835350</v>
      </c>
      <c r="Y266" s="22" t="str">
        <f aca="false">O266</f>
        <v>GBJ Helper</v>
      </c>
      <c r="Z266" s="13" t="str">
        <f aca="false">IFERROR(__xludf.dummyfunction("if(BJ266="""","""",GOOGLETRANSLATE(BJ266,""auto"",""en""))"),"GBJ Helper")</f>
        <v>GBJ Helper</v>
      </c>
      <c r="AA266" s="23" t="str">
        <f aca="false">IF(C266="","", CHOOSE(MONTH(C266),"January","February","March","April","May","June","July","August","September","October","November","December")&amp;" "&amp;DAY(C266)&amp;MID("thstndrdth",MIN(9,2*RIGHT(DAY(C266))*(MOD(DAY(C266)-11,100)&gt;2)+1),2)&amp;","&amp;TEXT(C266," yyyy"))</f>
        <v>December 4th,2020</v>
      </c>
      <c r="AB266" s="15" t="str">
        <f aca="true">IF(S266="","",DATEDIF(S266,TODAY(),"Y")&amp;" Tahun, "&amp;DATEDIF(S266,TODAY(),"YM")&amp;" Bulan, "&amp;DATEDIF(S266,TODAY(),"MD")&amp;" Hari")</f>
        <v>32 Tahun, 4 Bulan, 7 Hari</v>
      </c>
      <c r="AC266" s="18" t="n">
        <v>45658</v>
      </c>
      <c r="AD266" s="18" t="n">
        <v>46022</v>
      </c>
      <c r="AE266" s="18" t="s">
        <v>44</v>
      </c>
    </row>
    <row r="267" customFormat="false" ht="15.75" hidden="false" customHeight="true" outlineLevel="0" collapsed="false">
      <c r="A267" s="12" t="n">
        <v>1651</v>
      </c>
      <c r="B267" s="13" t="s">
        <v>1221</v>
      </c>
      <c r="C267" s="14" t="n">
        <v>44166</v>
      </c>
      <c r="D267" s="13" t="s">
        <v>1066</v>
      </c>
      <c r="E267" s="15" t="s">
        <v>47</v>
      </c>
      <c r="F267" s="15" t="str">
        <f aca="false">IFERROR(__xludf.dummyfunction("XLOOKUP(AJ267,IMPORTRANGE(""1XaInW9DU9nz21V0tYIfzFQ0He9kVQ_JF2mCXgZ3hqFA"",""REKAP ALL 2026 - Andika!G:G""),IMPORTRANGE(""1XaInW9DU9nz21V0tYIfzFQ0He9kVQ_JF2mCXgZ3hqFA"",""REKAP ALL 2026 - Andika!F:F""),"""",0)"),"22058868252")</f>
        <v>22058868252</v>
      </c>
      <c r="G267" s="13" t="s">
        <v>1222</v>
      </c>
      <c r="H267" s="13" t="s">
        <v>35</v>
      </c>
      <c r="I267" s="13" t="str">
        <f aca="false">IF(C267=J267,"NEW KONTRAK","RE-KONTRAK")</f>
        <v>RE-KONTRAK</v>
      </c>
      <c r="J267" s="16" t="n">
        <f aca="false" t="array" ref="J267:J267">IFERROR(INDEX(AC267:AE267,IF(COUNTA(AC267:AE267)=0,"",MAX((AC267:AE267&lt;&gt;"")*(COLUMN(AC267:AE267)-(COLUMN(AC267)))))-1),"")</f>
        <v>45658</v>
      </c>
      <c r="K267" s="16" t="n">
        <f aca="false" t="array" ref="K267:K267">IFERROR(INDEX(AC267:AE267,IF(COUNTA(AC267:AE267)=0,"",MAX((AC267:AE267&lt;&gt;"")*(COLUMN(AC267:AE267)-(COLUMN(AC267)-1))))-1),"")</f>
        <v>46022</v>
      </c>
      <c r="L267" s="17" t="str">
        <f aca="false" t="array" ref="L267:L267">IFERROR(INDEX(AC267:AE267,IF(COUNTA(AC267:AE267)=0,"",MAX((AC267:AE267&lt;&gt;"")*(COLUMN(AC267:AE267)-(COLUMN(AC267)-2))))-1),"")</f>
        <v>ARCHIVED</v>
      </c>
      <c r="M267" s="13" t="n">
        <f aca="true">K267-TODAY()</f>
        <v>-302</v>
      </c>
      <c r="N267" s="18" t="s">
        <v>615</v>
      </c>
      <c r="O267" s="13" t="s">
        <v>1140</v>
      </c>
      <c r="P267" s="19" t="n">
        <v>5176101</v>
      </c>
      <c r="Q267" s="20" t="s">
        <v>1223</v>
      </c>
      <c r="R267" s="13" t="s">
        <v>232</v>
      </c>
      <c r="S267" s="14" t="n">
        <v>35179</v>
      </c>
      <c r="T267" s="13" t="s">
        <v>40</v>
      </c>
      <c r="U267" s="13" t="s">
        <v>1224</v>
      </c>
      <c r="V267" s="13" t="s">
        <v>42</v>
      </c>
      <c r="W267" s="13" t="s">
        <v>43</v>
      </c>
      <c r="X267" s="21" t="n">
        <v>85648212126</v>
      </c>
      <c r="Y267" s="22" t="str">
        <f aca="false">O267</f>
        <v>GBJ Helper</v>
      </c>
      <c r="Z267" s="13" t="str">
        <f aca="false">IFERROR(__xludf.dummyfunction("if(BJ267="""","""",GOOGLETRANSLATE(BJ267,""auto"",""en""))"),"GBJ Helper")</f>
        <v>GBJ Helper</v>
      </c>
      <c r="AA267" s="23" t="str">
        <f aca="false">IF(C267="","", CHOOSE(MONTH(C267),"January","February","March","April","May","June","July","August","September","October","November","December")&amp;" "&amp;DAY(C267)&amp;MID("thstndrdth",MIN(9,2*RIGHT(DAY(C267))*(MOD(DAY(C267)-11,100)&gt;2)+1),2)&amp;","&amp;TEXT(C267," yyyy"))</f>
        <v>December 1st,2020</v>
      </c>
      <c r="AB267" s="15" t="str">
        <f aca="true">IF(S267="","",DATEDIF(S267,TODAY(),"Y")&amp;" Tahun, "&amp;DATEDIF(S267,TODAY(),"YM")&amp;" Bulan, "&amp;DATEDIF(S267,TODAY(),"MD")&amp;" Hari")</f>
        <v>30 Tahun, 6 Bulan, 5 Hari</v>
      </c>
      <c r="AC267" s="18" t="n">
        <v>45658</v>
      </c>
      <c r="AD267" s="18" t="n">
        <v>46022</v>
      </c>
      <c r="AE267" s="18" t="s">
        <v>44</v>
      </c>
    </row>
    <row r="268" customFormat="false" ht="15.75" hidden="false" customHeight="true" outlineLevel="0" collapsed="false">
      <c r="A268" s="12" t="n">
        <v>1653</v>
      </c>
      <c r="B268" s="13" t="s">
        <v>1225</v>
      </c>
      <c r="C268" s="14" t="n">
        <v>44200</v>
      </c>
      <c r="D268" s="13" t="s">
        <v>1066</v>
      </c>
      <c r="E268" s="15" t="s">
        <v>47</v>
      </c>
      <c r="F268" s="15" t="str">
        <f aca="false">IFERROR(__xludf.dummyfunction("XLOOKUP(AJ268,IMPORTRANGE(""1XaInW9DU9nz21V0tYIfzFQ0He9kVQ_JF2mCXgZ3hqFA"",""REKAP ALL 2026 - Andika!G:G""),IMPORTRANGE(""1XaInW9DU9nz21V0tYIfzFQ0He9kVQ_JF2mCXgZ3hqFA"",""REKAP ALL 2026 - Andika!F:F""),"""",0)"),"21012844896")</f>
        <v>21012844896</v>
      </c>
      <c r="G268" s="13" t="s">
        <v>1226</v>
      </c>
      <c r="H268" s="13" t="s">
        <v>35</v>
      </c>
      <c r="I268" s="13" t="str">
        <f aca="false">IF(C268=J268,"NEW KONTRAK","RE-KONTRAK")</f>
        <v>RE-KONTRAK</v>
      </c>
      <c r="J268" s="16" t="n">
        <f aca="false" t="array" ref="J268:J268">IFERROR(INDEX(AC268:AE268,IF(COUNTA(AC268:AE268)=0,"",MAX((AC268:AE268&lt;&gt;"")*(COLUMN(AC268:AE268)-(COLUMN(AC268)))))-1),"")</f>
        <v>45658</v>
      </c>
      <c r="K268" s="16" t="n">
        <f aca="false" t="array" ref="K268:K268">IFERROR(INDEX(AC268:AE268,IF(COUNTA(AC268:AE268)=0,"",MAX((AC268:AE268&lt;&gt;"")*(COLUMN(AC268:AE268)-(COLUMN(AC268)-1))))-1),"")</f>
        <v>46022</v>
      </c>
      <c r="L268" s="17" t="str">
        <f aca="false" t="array" ref="L268:L268">IFERROR(INDEX(AC268:AE268,IF(COUNTA(AC268:AE268)=0,"",MAX((AC268:AE268&lt;&gt;"")*(COLUMN(AC268:AE268)-(COLUMN(AC268)-2))))-1),"")</f>
        <v>ARCHIVED</v>
      </c>
      <c r="M268" s="13" t="n">
        <f aca="true">K268-TODAY()</f>
        <v>-302</v>
      </c>
      <c r="N268" s="18" t="s">
        <v>615</v>
      </c>
      <c r="O268" s="13" t="s">
        <v>1227</v>
      </c>
      <c r="P268" s="19" t="n">
        <v>5176101</v>
      </c>
      <c r="Q268" s="20" t="s">
        <v>1228</v>
      </c>
      <c r="R268" s="13" t="s">
        <v>232</v>
      </c>
      <c r="S268" s="14" t="n">
        <v>36112</v>
      </c>
      <c r="T268" s="13" t="s">
        <v>40</v>
      </c>
      <c r="U268" s="13" t="s">
        <v>1229</v>
      </c>
      <c r="V268" s="13" t="s">
        <v>42</v>
      </c>
      <c r="W268" s="13" t="s">
        <v>43</v>
      </c>
      <c r="X268" s="21" t="n">
        <v>85606807037</v>
      </c>
      <c r="Y268" s="22" t="str">
        <f aca="false">O268</f>
        <v>Cleaning AC</v>
      </c>
      <c r="Z268" s="13" t="str">
        <f aca="false">IFERROR(__xludf.dummyfunction("if(BJ268="""","""",GOOGLETRANSLATE(BJ268,""auto"",""en""))"),"Cleaning AC")</f>
        <v>Cleaning AC</v>
      </c>
      <c r="AA268" s="23" t="str">
        <f aca="false">IF(C268="","", CHOOSE(MONTH(C268),"January","February","March","April","May","June","July","August","September","October","November","December")&amp;" "&amp;DAY(C268)&amp;MID("thstndrdth",MIN(9,2*RIGHT(DAY(C268))*(MOD(DAY(C268)-11,100)&gt;2)+1),2)&amp;","&amp;TEXT(C268," yyyy"))</f>
        <v>January 4th,2021</v>
      </c>
      <c r="AB268" s="15" t="str">
        <f aca="true">IF(S268="","",DATEDIF(S268,TODAY(),"Y")&amp;" Tahun, "&amp;DATEDIF(S268,TODAY(),"YM")&amp;" Bulan, "&amp;DATEDIF(S268,TODAY(),"MD")&amp;" Hari")</f>
        <v>27 Tahun, 11 Bulan, 16 Hari</v>
      </c>
      <c r="AC268" s="18" t="n">
        <v>45658</v>
      </c>
      <c r="AD268" s="18" t="n">
        <v>46022</v>
      </c>
      <c r="AE268" s="18" t="s">
        <v>44</v>
      </c>
    </row>
    <row r="269" customFormat="false" ht="15.75" hidden="false" customHeight="true" outlineLevel="0" collapsed="false">
      <c r="A269" s="12" t="n">
        <v>1654</v>
      </c>
      <c r="B269" s="13" t="s">
        <v>1230</v>
      </c>
      <c r="C269" s="14" t="n">
        <v>44179</v>
      </c>
      <c r="D269" s="13" t="s">
        <v>1066</v>
      </c>
      <c r="E269" s="15" t="s">
        <v>47</v>
      </c>
      <c r="F269" s="15" t="str">
        <f aca="false">IFERROR(__xludf.dummyfunction("XLOOKUP(AJ269,IMPORTRANGE(""1XaInW9DU9nz21V0tYIfzFQ0He9kVQ_JF2mCXgZ3hqFA"",""REKAP ALL 2026 - Andika!G:G""),IMPORTRANGE(""1XaInW9DU9nz21V0tYIfzFQ0He9kVQ_JF2mCXgZ3hqFA"",""REKAP ALL 2026 - Andika!F:F""),"""",0)"),"22046708412")</f>
        <v>22046708412</v>
      </c>
      <c r="G269" s="13" t="s">
        <v>1231</v>
      </c>
      <c r="H269" s="13" t="s">
        <v>35</v>
      </c>
      <c r="I269" s="13" t="str">
        <f aca="false">IF(C269=J269,"NEW KONTRAK","RE-KONTRAK")</f>
        <v>RE-KONTRAK</v>
      </c>
      <c r="J269" s="16" t="n">
        <f aca="false" t="array" ref="J269:J269">IFERROR(INDEX(AC269:AE269,IF(COUNTA(AC269:AE269)=0,"",MAX((AC269:AE269&lt;&gt;"")*(COLUMN(AC269:AE269)-(COLUMN(AC269)))))-1),"")</f>
        <v>45658</v>
      </c>
      <c r="K269" s="16" t="n">
        <f aca="false" t="array" ref="K269:K269">IFERROR(INDEX(AC269:AE269,IF(COUNTA(AC269:AE269)=0,"",MAX((AC269:AE269&lt;&gt;"")*(COLUMN(AC269:AE269)-(COLUMN(AC269)-1))))-1),"")</f>
        <v>46022</v>
      </c>
      <c r="L269" s="17" t="str">
        <f aca="false" t="array" ref="L269:L269">IFERROR(INDEX(AC269:AE269,IF(COUNTA(AC269:AE269)=0,"",MAX((AC269:AE269&lt;&gt;"")*(COLUMN(AC269:AE269)-(COLUMN(AC269)-2))))-1),"")</f>
        <v>ARCHIVED</v>
      </c>
      <c r="M269" s="13" t="n">
        <f aca="true">K269-TODAY()</f>
        <v>-302</v>
      </c>
      <c r="N269" s="18" t="s">
        <v>615</v>
      </c>
      <c r="O269" s="13" t="s">
        <v>1068</v>
      </c>
      <c r="P269" s="19" t="n">
        <v>5176101</v>
      </c>
      <c r="Q269" s="20" t="s">
        <v>1232</v>
      </c>
      <c r="R269" s="13" t="s">
        <v>232</v>
      </c>
      <c r="S269" s="14" t="n">
        <v>37106</v>
      </c>
      <c r="T269" s="13" t="s">
        <v>108</v>
      </c>
      <c r="U269" s="13" t="s">
        <v>1233</v>
      </c>
      <c r="V269" s="13" t="s">
        <v>42</v>
      </c>
      <c r="W269" s="13" t="s">
        <v>43</v>
      </c>
      <c r="X269" s="21" t="n">
        <v>85850050096</v>
      </c>
      <c r="Y269" s="22" t="str">
        <f aca="false">O269</f>
        <v>Production Packer</v>
      </c>
      <c r="Z269" s="13" t="str">
        <f aca="false">IFERROR(__xludf.dummyfunction("if(BJ269="""","""",GOOGLETRANSLATE(BJ269,""auto"",""en""))"),"Production Packer")</f>
        <v>Production Packer</v>
      </c>
      <c r="AA269" s="23" t="str">
        <f aca="false">IF(C269="","", CHOOSE(MONTH(C269),"January","February","March","April","May","June","July","August","September","October","November","December")&amp;" "&amp;DAY(C269)&amp;MID("thstndrdth",MIN(9,2*RIGHT(DAY(C269))*(MOD(DAY(C269)-11,100)&gt;2)+1),2)&amp;","&amp;TEXT(C269," yyyy"))</f>
        <v>December 14th,2020</v>
      </c>
      <c r="AB269" s="15" t="str">
        <f aca="true">IF(S269="","",DATEDIF(S269,TODAY(),"Y")&amp;" Tahun, "&amp;DATEDIF(S269,TODAY(),"YM")&amp;" Bulan, "&amp;DATEDIF(S269,TODAY(),"MD")&amp;" Hari")</f>
        <v>25 Tahun, 2 Bulan, 26 Hari</v>
      </c>
      <c r="AC269" s="18" t="n">
        <v>45658</v>
      </c>
      <c r="AD269" s="18" t="n">
        <v>46022</v>
      </c>
      <c r="AE269" s="18" t="s">
        <v>44</v>
      </c>
    </row>
    <row r="270" customFormat="false" ht="15.75" hidden="false" customHeight="true" outlineLevel="0" collapsed="false">
      <c r="A270" s="12" t="n">
        <v>1656</v>
      </c>
      <c r="B270" s="13" t="s">
        <v>1234</v>
      </c>
      <c r="C270" s="14" t="n">
        <v>44166</v>
      </c>
      <c r="D270" s="13" t="s">
        <v>1066</v>
      </c>
      <c r="E270" s="15" t="s">
        <v>47</v>
      </c>
      <c r="F270" s="15" t="str">
        <f aca="false">IFERROR(__xludf.dummyfunction("XLOOKUP(AJ270,IMPORTRANGE(""1XaInW9DU9nz21V0tYIfzFQ0He9kVQ_JF2mCXgZ3hqFA"",""REKAP ALL 2026 - Andika!G:G""),IMPORTRANGE(""1XaInW9DU9nz21V0tYIfzFQ0He9kVQ_JF2mCXgZ3hqFA"",""REKAP ALL 2026 - Andika!F:F""),"""",0)"),"21003177595")</f>
        <v>21003177595</v>
      </c>
      <c r="G270" s="13" t="s">
        <v>1235</v>
      </c>
      <c r="H270" s="13" t="s">
        <v>35</v>
      </c>
      <c r="I270" s="13" t="str">
        <f aca="false">IF(C270=J270,"NEW KONTRAK","RE-KONTRAK")</f>
        <v>RE-KONTRAK</v>
      </c>
      <c r="J270" s="16" t="n">
        <f aca="false" t="array" ref="J270:J270">IFERROR(INDEX(AC270:AE270,IF(COUNTA(AC270:AE270)=0,"",MAX((AC270:AE270&lt;&gt;"")*(COLUMN(AC270:AE270)-(COLUMN(AC270)))))-1),"")</f>
        <v>45658</v>
      </c>
      <c r="K270" s="16" t="n">
        <f aca="false" t="array" ref="K270:K270">IFERROR(INDEX(AC270:AE270,IF(COUNTA(AC270:AE270)=0,"",MAX((AC270:AE270&lt;&gt;"")*(COLUMN(AC270:AE270)-(COLUMN(AC270)-1))))-1),"")</f>
        <v>46022</v>
      </c>
      <c r="L270" s="17" t="str">
        <f aca="false" t="array" ref="L270:L270">IFERROR(INDEX(AC270:AE270,IF(COUNTA(AC270:AE270)=0,"",MAX((AC270:AE270&lt;&gt;"")*(COLUMN(AC270:AE270)-(COLUMN(AC270)-2))))-1),"")</f>
        <v>ARCHIVED</v>
      </c>
      <c r="M270" s="13" t="n">
        <f aca="true">K270-TODAY()</f>
        <v>-302</v>
      </c>
      <c r="N270" s="18" t="s">
        <v>615</v>
      </c>
      <c r="O270" s="13" t="s">
        <v>1193</v>
      </c>
      <c r="P270" s="19" t="n">
        <v>5176101</v>
      </c>
      <c r="Q270" s="20" t="s">
        <v>1236</v>
      </c>
      <c r="R270" s="13" t="s">
        <v>232</v>
      </c>
      <c r="S270" s="14" t="n">
        <v>36948</v>
      </c>
      <c r="T270" s="13" t="s">
        <v>40</v>
      </c>
      <c r="U270" s="13" t="s">
        <v>1237</v>
      </c>
      <c r="V270" s="13" t="s">
        <v>42</v>
      </c>
      <c r="W270" s="13" t="s">
        <v>43</v>
      </c>
      <c r="X270" s="21" t="n">
        <v>81553135626</v>
      </c>
      <c r="Y270" s="22" t="str">
        <f aca="false">O270</f>
        <v>Production Packing Helper</v>
      </c>
      <c r="Z270" s="13" t="str">
        <f aca="false">IFERROR(__xludf.dummyfunction("if(BJ270="""","""",GOOGLETRANSLATE(BJ270,""auto"",""en""))"),"Production Packing Helper")</f>
        <v>Production Packing Helper</v>
      </c>
      <c r="AA270" s="23" t="str">
        <f aca="false">IF(C270="","", CHOOSE(MONTH(C270),"January","February","March","April","May","June","July","August","September","October","November","December")&amp;" "&amp;DAY(C270)&amp;MID("thstndrdth",MIN(9,2*RIGHT(DAY(C270))*(MOD(DAY(C270)-11,100)&gt;2)+1),2)&amp;","&amp;TEXT(C270," yyyy"))</f>
        <v>December 1st,2020</v>
      </c>
      <c r="AB270" s="15" t="str">
        <f aca="true">IF(S270="","",DATEDIF(S270,TODAY(),"Y")&amp;" Tahun, "&amp;DATEDIF(S270,TODAY(),"YM")&amp;" Bulan, "&amp;DATEDIF(S270,TODAY(),"MD")&amp;" Hari")</f>
        <v>25 Tahun, 8 Bulan, 3 Hari</v>
      </c>
      <c r="AC270" s="18" t="n">
        <v>45658</v>
      </c>
      <c r="AD270" s="18" t="n">
        <v>46022</v>
      </c>
      <c r="AE270" s="18" t="s">
        <v>44</v>
      </c>
    </row>
    <row r="271" customFormat="false" ht="15.75" hidden="false" customHeight="true" outlineLevel="0" collapsed="false">
      <c r="A271" s="12" t="n">
        <v>1659</v>
      </c>
      <c r="B271" s="13" t="s">
        <v>1238</v>
      </c>
      <c r="C271" s="14" t="n">
        <v>44210</v>
      </c>
      <c r="D271" s="13" t="s">
        <v>1066</v>
      </c>
      <c r="E271" s="15" t="s">
        <v>47</v>
      </c>
      <c r="F271" s="15" t="str">
        <f aca="false">IFERROR(__xludf.dummyfunction("XLOOKUP(AJ271,IMPORTRANGE(""1XaInW9DU9nz21V0tYIfzFQ0He9kVQ_JF2mCXgZ3hqFA"",""REKAP ALL 2026 - Andika!G:G""),IMPORTRANGE(""1XaInW9DU9nz21V0tYIfzFQ0He9kVQ_JF2mCXgZ3hqFA"",""REKAP ALL 2026 - Andika!F:F""),"""",0)"),"18054109519")</f>
        <v>18054109519</v>
      </c>
      <c r="G271" s="13" t="s">
        <v>1239</v>
      </c>
      <c r="H271" s="13" t="s">
        <v>35</v>
      </c>
      <c r="I271" s="13" t="str">
        <f aca="false">IF(C271=J271,"NEW KONTRAK","RE-KONTRAK")</f>
        <v>RE-KONTRAK</v>
      </c>
      <c r="J271" s="16" t="n">
        <f aca="false" t="array" ref="J271:J271">IFERROR(INDEX(AC271:AE271,IF(COUNTA(AC271:AE271)=0,"",MAX((AC271:AE271&lt;&gt;"")*(COLUMN(AC271:AE271)-(COLUMN(AC271)))))-1),"")</f>
        <v>45658</v>
      </c>
      <c r="K271" s="16" t="n">
        <f aca="false" t="array" ref="K271:K271">IFERROR(INDEX(AC271:AE271,IF(COUNTA(AC271:AE271)=0,"",MAX((AC271:AE271&lt;&gt;"")*(COLUMN(AC271:AE271)-(COLUMN(AC271)-1))))-1),"")</f>
        <v>46022</v>
      </c>
      <c r="L271" s="17" t="str">
        <f aca="false" t="array" ref="L271:L271">IFERROR(INDEX(AC271:AE271,IF(COUNTA(AC271:AE271)=0,"",MAX((AC271:AE271&lt;&gt;"")*(COLUMN(AC271:AE271)-(COLUMN(AC271)-2))))-1),"")</f>
        <v>ARCHIVED</v>
      </c>
      <c r="M271" s="13" t="n">
        <f aca="true">K271-TODAY()</f>
        <v>-302</v>
      </c>
      <c r="N271" s="18" t="s">
        <v>615</v>
      </c>
      <c r="O271" s="13" t="s">
        <v>1227</v>
      </c>
      <c r="P271" s="19" t="n">
        <v>5176101</v>
      </c>
      <c r="Q271" s="20" t="s">
        <v>1240</v>
      </c>
      <c r="R271" s="13" t="s">
        <v>232</v>
      </c>
      <c r="S271" s="14" t="n">
        <v>36217</v>
      </c>
      <c r="T271" s="13" t="s">
        <v>40</v>
      </c>
      <c r="U271" s="13" t="s">
        <v>1241</v>
      </c>
      <c r="V271" s="13" t="s">
        <v>42</v>
      </c>
      <c r="W271" s="13" t="s">
        <v>43</v>
      </c>
      <c r="X271" s="21" t="n">
        <v>85790214226</v>
      </c>
      <c r="Y271" s="22" t="str">
        <f aca="false">O271</f>
        <v>Cleaning AC</v>
      </c>
      <c r="Z271" s="13" t="str">
        <f aca="false">IFERROR(__xludf.dummyfunction("if(BJ271="""","""",GOOGLETRANSLATE(BJ271,""auto"",""en""))"),"Cleaning AC")</f>
        <v>Cleaning AC</v>
      </c>
      <c r="AA271" s="23" t="str">
        <f aca="false">IF(C271="","", CHOOSE(MONTH(C271),"January","February","March","April","May","June","July","August","September","October","November","December")&amp;" "&amp;DAY(C271)&amp;MID("thstndrdth",MIN(9,2*RIGHT(DAY(C271))*(MOD(DAY(C271)-11,100)&gt;2)+1),2)&amp;","&amp;TEXT(C271," yyyy"))</f>
        <v>January 14th,2021</v>
      </c>
      <c r="AB271" s="15" t="str">
        <f aca="true">IF(S271="","",DATEDIF(S271,TODAY(),"Y")&amp;" Tahun, "&amp;DATEDIF(S271,TODAY(),"YM")&amp;" Bulan, "&amp;DATEDIF(S271,TODAY(),"MD")&amp;" Hari")</f>
        <v>27 Tahun, 8 Bulan, 3 Hari</v>
      </c>
      <c r="AC271" s="18" t="n">
        <v>45658</v>
      </c>
      <c r="AD271" s="18" t="n">
        <v>46022</v>
      </c>
      <c r="AE271" s="18" t="s">
        <v>44</v>
      </c>
    </row>
    <row r="272" customFormat="false" ht="15.75" hidden="false" customHeight="true" outlineLevel="0" collapsed="false">
      <c r="A272" s="12" t="n">
        <v>1661</v>
      </c>
      <c r="B272" s="13" t="s">
        <v>1242</v>
      </c>
      <c r="C272" s="14" t="n">
        <v>44176</v>
      </c>
      <c r="D272" s="13" t="s">
        <v>1066</v>
      </c>
      <c r="E272" s="15" t="s">
        <v>47</v>
      </c>
      <c r="F272" s="15" t="str">
        <f aca="false">IFERROR(__xludf.dummyfunction("XLOOKUP(AJ272,IMPORTRANGE(""1XaInW9DU9nz21V0tYIfzFQ0He9kVQ_JF2mCXgZ3hqFA"",""REKAP ALL 2026 - Andika!G:G""),IMPORTRANGE(""1XaInW9DU9nz21V0tYIfzFQ0He9kVQ_JF2mCXgZ3hqFA"",""REKAP ALL 2026 - Andika!F:F""),"""",0)"),"21003177009")</f>
        <v>21003177009</v>
      </c>
      <c r="G272" s="13" t="s">
        <v>1243</v>
      </c>
      <c r="H272" s="13" t="s">
        <v>35</v>
      </c>
      <c r="I272" s="13" t="str">
        <f aca="false">IF(C272=J272,"NEW KONTRAK","RE-KONTRAK")</f>
        <v>RE-KONTRAK</v>
      </c>
      <c r="J272" s="16" t="n">
        <f aca="false" t="array" ref="J272:J272">IFERROR(INDEX(AC272:AE272,IF(COUNTA(AC272:AE272)=0,"",MAX((AC272:AE272&lt;&gt;"")*(COLUMN(AC272:AE272)-(COLUMN(AC272)))))-1),"")</f>
        <v>45658</v>
      </c>
      <c r="K272" s="16" t="n">
        <f aca="false" t="array" ref="K272:K272">IFERROR(INDEX(AC272:AE272,IF(COUNTA(AC272:AE272)=0,"",MAX((AC272:AE272&lt;&gt;"")*(COLUMN(AC272:AE272)-(COLUMN(AC272)-1))))-1),"")</f>
        <v>46022</v>
      </c>
      <c r="L272" s="17" t="str">
        <f aca="false" t="array" ref="L272:L272">IFERROR(INDEX(AC272:AE272,IF(COUNTA(AC272:AE272)=0,"",MAX((AC272:AE272&lt;&gt;"")*(COLUMN(AC272:AE272)-(COLUMN(AC272)-2))))-1),"")</f>
        <v>ARCHIVED</v>
      </c>
      <c r="M272" s="13" t="n">
        <f aca="true">K272-TODAY()</f>
        <v>-302</v>
      </c>
      <c r="N272" s="18" t="s">
        <v>615</v>
      </c>
      <c r="O272" s="13" t="s">
        <v>1166</v>
      </c>
      <c r="P272" s="19" t="n">
        <v>5176101</v>
      </c>
      <c r="Q272" s="20" t="s">
        <v>1244</v>
      </c>
      <c r="R272" s="13" t="s">
        <v>232</v>
      </c>
      <c r="S272" s="14" t="n">
        <v>37017</v>
      </c>
      <c r="T272" s="13" t="s">
        <v>108</v>
      </c>
      <c r="U272" s="13" t="s">
        <v>1245</v>
      </c>
      <c r="V272" s="13" t="s">
        <v>42</v>
      </c>
      <c r="W272" s="13" t="s">
        <v>43</v>
      </c>
      <c r="X272" s="21" t="n">
        <v>85655648260</v>
      </c>
      <c r="Y272" s="22" t="str">
        <f aca="false">O272</f>
        <v>Production Rework Helper</v>
      </c>
      <c r="Z272" s="13" t="str">
        <f aca="false">IFERROR(__xludf.dummyfunction("if(BJ272="""","""",GOOGLETRANSLATE(BJ272,""auto"",""en""))"),"Production Rework Helper")</f>
        <v>Production Rework Helper</v>
      </c>
      <c r="AA272" s="23" t="str">
        <f aca="false">IF(C272="","", CHOOSE(MONTH(C272),"January","February","March","April","May","June","July","August","September","October","November","December")&amp;" "&amp;DAY(C272)&amp;MID("thstndrdth",MIN(9,2*RIGHT(DAY(C272))*(MOD(DAY(C272)-11,100)&gt;2)+1),2)&amp;","&amp;TEXT(C272," yyyy"))</f>
        <v>December 11th,2020</v>
      </c>
      <c r="AB272" s="15" t="str">
        <f aca="true">IF(S272="","",DATEDIF(S272,TODAY(),"Y")&amp;" Tahun, "&amp;DATEDIF(S272,TODAY(),"YM")&amp;" Bulan, "&amp;DATEDIF(S272,TODAY(),"MD")&amp;" Hari")</f>
        <v>25 Tahun, 5 Bulan, 23 Hari</v>
      </c>
      <c r="AC272" s="18" t="n">
        <v>45658</v>
      </c>
      <c r="AD272" s="18" t="n">
        <v>46022</v>
      </c>
      <c r="AE272" s="18" t="s">
        <v>44</v>
      </c>
    </row>
    <row r="273" customFormat="false" ht="15.75" hidden="false" customHeight="true" outlineLevel="0" collapsed="false">
      <c r="A273" s="12" t="n">
        <v>1662</v>
      </c>
      <c r="B273" s="13" t="s">
        <v>1246</v>
      </c>
      <c r="C273" s="14" t="n">
        <v>44169</v>
      </c>
      <c r="D273" s="13" t="s">
        <v>1066</v>
      </c>
      <c r="E273" s="15" t="s">
        <v>47</v>
      </c>
      <c r="F273" s="15" t="str">
        <f aca="false">IFERROR(__xludf.dummyfunction("XLOOKUP(AJ273,IMPORTRANGE(""1XaInW9DU9nz21V0tYIfzFQ0He9kVQ_JF2mCXgZ3hqFA"",""REKAP ALL 2026 - Andika!G:G""),IMPORTRANGE(""1XaInW9DU9nz21V0tYIfzFQ0He9kVQ_JF2mCXgZ3hqFA"",""REKAP ALL 2026 - Andika!F:F""),"""",0)"),"21003177256")</f>
        <v>21003177256</v>
      </c>
      <c r="G273" s="13" t="s">
        <v>1247</v>
      </c>
      <c r="H273" s="13" t="s">
        <v>35</v>
      </c>
      <c r="I273" s="13" t="str">
        <f aca="false">IF(C273=J273,"NEW KONTRAK","RE-KONTRAK")</f>
        <v>RE-KONTRAK</v>
      </c>
      <c r="J273" s="16" t="n">
        <f aca="false" t="array" ref="J273:J273">IFERROR(INDEX(AC273:AE273,IF(COUNTA(AC273:AE273)=0,"",MAX((AC273:AE273&lt;&gt;"")*(COLUMN(AC273:AE273)-(COLUMN(AC273)))))-1),"")</f>
        <v>45658</v>
      </c>
      <c r="K273" s="16" t="n">
        <f aca="false" t="array" ref="K273:K273">IFERROR(INDEX(AC273:AE273,IF(COUNTA(AC273:AE273)=0,"",MAX((AC273:AE273&lt;&gt;"")*(COLUMN(AC273:AE273)-(COLUMN(AC273)-1))))-1),"")</f>
        <v>46022</v>
      </c>
      <c r="L273" s="17" t="str">
        <f aca="false" t="array" ref="L273:L273">IFERROR(INDEX(AC273:AE273,IF(COUNTA(AC273:AE273)=0,"",MAX((AC273:AE273&lt;&gt;"")*(COLUMN(AC273:AE273)-(COLUMN(AC273)-2))))-1),"")</f>
        <v>ARCHIVED</v>
      </c>
      <c r="M273" s="13" t="n">
        <f aca="true">K273-TODAY()</f>
        <v>-302</v>
      </c>
      <c r="N273" s="18" t="s">
        <v>615</v>
      </c>
      <c r="O273" s="13" t="s">
        <v>1193</v>
      </c>
      <c r="P273" s="19" t="n">
        <v>5176101</v>
      </c>
      <c r="Q273" s="20" t="s">
        <v>1248</v>
      </c>
      <c r="R273" s="13" t="s">
        <v>232</v>
      </c>
      <c r="S273" s="14" t="n">
        <v>34426</v>
      </c>
      <c r="T273" s="13" t="s">
        <v>40</v>
      </c>
      <c r="U273" s="13" t="s">
        <v>1249</v>
      </c>
      <c r="V273" s="13" t="s">
        <v>42</v>
      </c>
      <c r="W273" s="13" t="s">
        <v>43</v>
      </c>
      <c r="X273" s="21" t="n">
        <v>85731605897</v>
      </c>
      <c r="Y273" s="22" t="str">
        <f aca="false">O273</f>
        <v>Production Packing Helper</v>
      </c>
      <c r="Z273" s="13" t="str">
        <f aca="false">IFERROR(__xludf.dummyfunction("if(BJ273="""","""",GOOGLETRANSLATE(BJ273,""auto"",""en""))"),"Production Packing Helper")</f>
        <v>Production Packing Helper</v>
      </c>
      <c r="AA273" s="23" t="str">
        <f aca="false">IF(C273="","", CHOOSE(MONTH(C273),"January","February","March","April","May","June","July","August","September","October","November","December")&amp;" "&amp;DAY(C273)&amp;MID("thstndrdth",MIN(9,2*RIGHT(DAY(C273))*(MOD(DAY(C273)-11,100)&gt;2)+1),2)&amp;","&amp;TEXT(C273," yyyy"))</f>
        <v>December 4th,2020</v>
      </c>
      <c r="AB273" s="15" t="str">
        <f aca="true">IF(S273="","",DATEDIF(S273,TODAY(),"Y")&amp;" Tahun, "&amp;DATEDIF(S273,TODAY(),"YM")&amp;" Bulan, "&amp;DATEDIF(S273,TODAY(),"MD")&amp;" Hari")</f>
        <v>32 Tahun, 6 Bulan, 27 Hari</v>
      </c>
      <c r="AC273" s="18" t="n">
        <v>45658</v>
      </c>
      <c r="AD273" s="18" t="n">
        <v>46022</v>
      </c>
      <c r="AE273" s="18" t="s">
        <v>44</v>
      </c>
    </row>
    <row r="274" customFormat="false" ht="15.75" hidden="false" customHeight="true" outlineLevel="0" collapsed="false">
      <c r="A274" s="12" t="n">
        <v>1669</v>
      </c>
      <c r="B274" s="13" t="s">
        <v>1250</v>
      </c>
      <c r="C274" s="14" t="n">
        <v>44207</v>
      </c>
      <c r="D274" s="13" t="s">
        <v>1066</v>
      </c>
      <c r="E274" s="15" t="s">
        <v>47</v>
      </c>
      <c r="F274" s="15" t="str">
        <f aca="false">IFERROR(__xludf.dummyfunction("XLOOKUP(AJ274,IMPORTRANGE(""1XaInW9DU9nz21V0tYIfzFQ0He9kVQ_JF2mCXgZ3hqFA"",""REKAP ALL 2026 - Andika!G:G""),IMPORTRANGE(""1XaInW9DU9nz21V0tYIfzFQ0He9kVQ_JF2mCXgZ3hqFA"",""REKAP ALL 2026 - Andika!F:F""),"""",0)"),"21012844268")</f>
        <v>21012844268</v>
      </c>
      <c r="G274" s="13" t="s">
        <v>1251</v>
      </c>
      <c r="H274" s="13" t="s">
        <v>35</v>
      </c>
      <c r="I274" s="13" t="str">
        <f aca="false">IF(C274=J274,"NEW KONTRAK","RE-KONTRAK")</f>
        <v>RE-KONTRAK</v>
      </c>
      <c r="J274" s="16" t="n">
        <f aca="false" t="array" ref="J274:J274">IFERROR(INDEX(AC274:AE274,IF(COUNTA(AC274:AE274)=0,"",MAX((AC274:AE274&lt;&gt;"")*(COLUMN(AC274:AE274)-(COLUMN(AC274)))))-1),"")</f>
        <v>45658</v>
      </c>
      <c r="K274" s="16" t="n">
        <f aca="false" t="array" ref="K274:K274">IFERROR(INDEX(AC274:AE274,IF(COUNTA(AC274:AE274)=0,"",MAX((AC274:AE274&lt;&gt;"")*(COLUMN(AC274:AE274)-(COLUMN(AC274)-1))))-1),"")</f>
        <v>46022</v>
      </c>
      <c r="L274" s="17" t="str">
        <f aca="false" t="array" ref="L274:L274">IFERROR(INDEX(AC274:AE274,IF(COUNTA(AC274:AE274)=0,"",MAX((AC274:AE274&lt;&gt;"")*(COLUMN(AC274:AE274)-(COLUMN(AC274)-2))))-1),"")</f>
        <v>ARCHIVED</v>
      </c>
      <c r="M274" s="13" t="n">
        <f aca="true">K274-TODAY()</f>
        <v>-302</v>
      </c>
      <c r="N274" s="18" t="s">
        <v>615</v>
      </c>
      <c r="O274" s="13" t="s">
        <v>1140</v>
      </c>
      <c r="P274" s="19" t="n">
        <v>5176101</v>
      </c>
      <c r="Q274" s="20" t="s">
        <v>1252</v>
      </c>
      <c r="R274" s="13" t="s">
        <v>232</v>
      </c>
      <c r="S274" s="14" t="n">
        <v>34801</v>
      </c>
      <c r="T274" s="13" t="s">
        <v>40</v>
      </c>
      <c r="U274" s="13" t="s">
        <v>1253</v>
      </c>
      <c r="V274" s="13" t="s">
        <v>42</v>
      </c>
      <c r="W274" s="13" t="s">
        <v>43</v>
      </c>
      <c r="X274" s="21" t="n">
        <v>82335048154</v>
      </c>
      <c r="Y274" s="22" t="str">
        <f aca="false">O274</f>
        <v>GBJ Helper</v>
      </c>
      <c r="Z274" s="13" t="str">
        <f aca="false">IFERROR(__xludf.dummyfunction("if(BJ274="""","""",GOOGLETRANSLATE(BJ274,""auto"",""en""))"),"GBJ Helper")</f>
        <v>GBJ Helper</v>
      </c>
      <c r="AA274" s="23" t="str">
        <f aca="false">IF(C274="","", CHOOSE(MONTH(C274),"January","February","March","April","May","June","July","August","September","October","November","December")&amp;" "&amp;DAY(C274)&amp;MID("thstndrdth",MIN(9,2*RIGHT(DAY(C274))*(MOD(DAY(C274)-11,100)&gt;2)+1),2)&amp;","&amp;TEXT(C274," yyyy"))</f>
        <v>January 11th,2021</v>
      </c>
      <c r="AB274" s="15" t="str">
        <f aca="true">IF(S274="","",DATEDIF(S274,TODAY(),"Y")&amp;" Tahun, "&amp;DATEDIF(S274,TODAY(),"YM")&amp;" Bulan, "&amp;DATEDIF(S274,TODAY(),"MD")&amp;" Hari")</f>
        <v>31 Tahun, 6 Bulan, 17 Hari</v>
      </c>
      <c r="AC274" s="18" t="n">
        <v>45658</v>
      </c>
      <c r="AD274" s="18" t="n">
        <v>46022</v>
      </c>
      <c r="AE274" s="18" t="s">
        <v>44</v>
      </c>
    </row>
    <row r="275" customFormat="false" ht="15.75" hidden="false" customHeight="true" outlineLevel="0" collapsed="false">
      <c r="A275" s="12" t="n">
        <v>1671</v>
      </c>
      <c r="B275" s="13" t="s">
        <v>1254</v>
      </c>
      <c r="C275" s="14" t="n">
        <v>44140</v>
      </c>
      <c r="D275" s="13" t="s">
        <v>1066</v>
      </c>
      <c r="E275" s="15" t="s">
        <v>47</v>
      </c>
      <c r="F275" s="15" t="str">
        <f aca="false">IFERROR(__xludf.dummyfunction("XLOOKUP(AJ275,IMPORTRANGE(""1XaInW9DU9nz21V0tYIfzFQ0He9kVQ_JF2mCXgZ3hqFA"",""REKAP ALL 2026 - Andika!G:G""),IMPORTRANGE(""1XaInW9DU9nz21V0tYIfzFQ0He9kVQ_JF2mCXgZ3hqFA"",""REKAP ALL 2026 - Andika!F:F""),"""",0)"),"20091161529")</f>
        <v>20091161529</v>
      </c>
      <c r="G275" s="13" t="s">
        <v>1255</v>
      </c>
      <c r="H275" s="13" t="s">
        <v>35</v>
      </c>
      <c r="I275" s="13" t="str">
        <f aca="false">IF(C275=J275,"NEW KONTRAK","RE-KONTRAK")</f>
        <v>RE-KONTRAK</v>
      </c>
      <c r="J275" s="16" t="n">
        <f aca="false" t="array" ref="J275:J275">IFERROR(INDEX(AC275:AE275,IF(COUNTA(AC275:AE275)=0,"",MAX((AC275:AE275&lt;&gt;"")*(COLUMN(AC275:AE275)-(COLUMN(AC275)))))-1),"")</f>
        <v>45658</v>
      </c>
      <c r="K275" s="16" t="n">
        <f aca="false" t="array" ref="K275:K275">IFERROR(INDEX(AC275:AE275,IF(COUNTA(AC275:AE275)=0,"",MAX((AC275:AE275&lt;&gt;"")*(COLUMN(AC275:AE275)-(COLUMN(AC275)-1))))-1),"")</f>
        <v>46022</v>
      </c>
      <c r="L275" s="17" t="str">
        <f aca="false" t="array" ref="L275:L275">IFERROR(INDEX(AC275:AE275,IF(COUNTA(AC275:AE275)=0,"",MAX((AC275:AE275&lt;&gt;"")*(COLUMN(AC275:AE275)-(COLUMN(AC275)-2))))-1),"")</f>
        <v>ARCHIVED</v>
      </c>
      <c r="M275" s="13" t="n">
        <f aca="true">K275-TODAY()</f>
        <v>-302</v>
      </c>
      <c r="N275" s="18" t="s">
        <v>615</v>
      </c>
      <c r="O275" s="13" t="s">
        <v>1166</v>
      </c>
      <c r="P275" s="19" t="n">
        <v>5176101</v>
      </c>
      <c r="Q275" s="20" t="s">
        <v>1256</v>
      </c>
      <c r="R275" s="13" t="s">
        <v>232</v>
      </c>
      <c r="S275" s="14" t="n">
        <v>34520</v>
      </c>
      <c r="T275" s="13" t="s">
        <v>108</v>
      </c>
      <c r="U275" s="13" t="s">
        <v>1137</v>
      </c>
      <c r="V275" s="13" t="s">
        <v>42</v>
      </c>
      <c r="W275" s="13" t="s">
        <v>54</v>
      </c>
      <c r="X275" s="21" t="n">
        <v>82230883009</v>
      </c>
      <c r="Y275" s="22" t="str">
        <f aca="false">O275</f>
        <v>Production Rework Helper</v>
      </c>
      <c r="Z275" s="13" t="str">
        <f aca="false">IFERROR(__xludf.dummyfunction("if(BJ275="""","""",GOOGLETRANSLATE(BJ275,""auto"",""en""))"),"Production Rework Helper")</f>
        <v>Production Rework Helper</v>
      </c>
      <c r="AA275" s="23" t="str">
        <f aca="false">IF(C275="","", CHOOSE(MONTH(C275),"January","February","March","April","May","June","July","August","September","October","November","December")&amp;" "&amp;DAY(C275)&amp;MID("thstndrdth",MIN(9,2*RIGHT(DAY(C275))*(MOD(DAY(C275)-11,100)&gt;2)+1),2)&amp;","&amp;TEXT(C275," yyyy"))</f>
        <v>November 5th,2020</v>
      </c>
      <c r="AB275" s="15" t="str">
        <f aca="true">IF(S275="","",DATEDIF(S275,TODAY(),"Y")&amp;" Tahun, "&amp;DATEDIF(S275,TODAY(),"YM")&amp;" Bulan, "&amp;DATEDIF(S275,TODAY(),"MD")&amp;" Hari")</f>
        <v>32 Tahun, 3 Bulan, 24 Hari</v>
      </c>
      <c r="AC275" s="18" t="n">
        <v>45658</v>
      </c>
      <c r="AD275" s="18" t="n">
        <v>46022</v>
      </c>
      <c r="AE275" s="18" t="s">
        <v>44</v>
      </c>
    </row>
    <row r="276" customFormat="false" ht="15.75" hidden="false" customHeight="true" outlineLevel="0" collapsed="false">
      <c r="A276" s="12" t="n">
        <v>1675</v>
      </c>
      <c r="B276" s="13" t="s">
        <v>1257</v>
      </c>
      <c r="C276" s="14" t="n">
        <v>44140</v>
      </c>
      <c r="D276" s="13" t="s">
        <v>1066</v>
      </c>
      <c r="E276" s="15" t="s">
        <v>47</v>
      </c>
      <c r="F276" s="15" t="str">
        <f aca="false">IFERROR(__xludf.dummyfunction("XLOOKUP(AJ276,IMPORTRANGE(""1XaInW9DU9nz21V0tYIfzFQ0He9kVQ_JF2mCXgZ3hqFA"",""REKAP ALL 2026 - Andika!G:G""),IMPORTRANGE(""1XaInW9DU9nz21V0tYIfzFQ0He9kVQ_JF2mCXgZ3hqFA"",""REKAP ALL 2026 - Andika!F:F""),"""",0)"),"22046708362")</f>
        <v>22046708362</v>
      </c>
      <c r="G276" s="13" t="s">
        <v>1258</v>
      </c>
      <c r="H276" s="13" t="s">
        <v>35</v>
      </c>
      <c r="I276" s="13" t="str">
        <f aca="false">IF(C276=J276,"NEW KONTRAK","RE-KONTRAK")</f>
        <v>RE-KONTRAK</v>
      </c>
      <c r="J276" s="16" t="n">
        <f aca="false" t="array" ref="J276:J276">IFERROR(INDEX(AC276:AE276,IF(COUNTA(AC276:AE276)=0,"",MAX((AC276:AE276&lt;&gt;"")*(COLUMN(AC276:AE276)-(COLUMN(AC276)))))-1),"")</f>
        <v>45658</v>
      </c>
      <c r="K276" s="16" t="n">
        <f aca="false" t="array" ref="K276:K276">IFERROR(INDEX(AC276:AE276,IF(COUNTA(AC276:AE276)=0,"",MAX((AC276:AE276&lt;&gt;"")*(COLUMN(AC276:AE276)-(COLUMN(AC276)-1))))-1),"")</f>
        <v>46022</v>
      </c>
      <c r="L276" s="17" t="str">
        <f aca="false" t="array" ref="L276:L276">IFERROR(INDEX(AC276:AE276,IF(COUNTA(AC276:AE276)=0,"",MAX((AC276:AE276&lt;&gt;"")*(COLUMN(AC276:AE276)-(COLUMN(AC276)-2))))-1),"")</f>
        <v>ARCHIVED</v>
      </c>
      <c r="M276" s="13" t="n">
        <f aca="true">K276-TODAY()</f>
        <v>-302</v>
      </c>
      <c r="N276" s="18" t="s">
        <v>615</v>
      </c>
      <c r="O276" s="13" t="s">
        <v>1068</v>
      </c>
      <c r="P276" s="19" t="n">
        <v>5176101</v>
      </c>
      <c r="Q276" s="20" t="s">
        <v>1259</v>
      </c>
      <c r="R276" s="13" t="s">
        <v>232</v>
      </c>
      <c r="S276" s="14" t="n">
        <v>35800</v>
      </c>
      <c r="T276" s="13" t="s">
        <v>108</v>
      </c>
      <c r="U276" s="13" t="s">
        <v>1260</v>
      </c>
      <c r="V276" s="13" t="s">
        <v>42</v>
      </c>
      <c r="W276" s="13" t="s">
        <v>43</v>
      </c>
      <c r="X276" s="21" t="n">
        <v>85706669351</v>
      </c>
      <c r="Y276" s="22" t="str">
        <f aca="false">O276</f>
        <v>Production Packer</v>
      </c>
      <c r="Z276" s="13" t="str">
        <f aca="false">IFERROR(__xludf.dummyfunction("if(BJ276="""","""",GOOGLETRANSLATE(BJ276,""auto"",""en""))"),"Production Packer")</f>
        <v>Production Packer</v>
      </c>
      <c r="AA276" s="23" t="str">
        <f aca="false">IF(C276="","", CHOOSE(MONTH(C276),"January","February","March","April","May","June","July","August","September","October","November","December")&amp;" "&amp;DAY(C276)&amp;MID("thstndrdth",MIN(9,2*RIGHT(DAY(C276))*(MOD(DAY(C276)-11,100)&gt;2)+1),2)&amp;","&amp;TEXT(C276," yyyy"))</f>
        <v>November 5th,2020</v>
      </c>
      <c r="AB276" s="15" t="str">
        <f aca="true">IF(S276="","",DATEDIF(S276,TODAY(),"Y")&amp;" Tahun, "&amp;DATEDIF(S276,TODAY(),"YM")&amp;" Bulan, "&amp;DATEDIF(S276,TODAY(),"MD")&amp;" Hari")</f>
        <v>28 Tahun, 9 Bulan, 24 Hari</v>
      </c>
      <c r="AC276" s="18" t="n">
        <v>45658</v>
      </c>
      <c r="AD276" s="18" t="n">
        <v>46022</v>
      </c>
      <c r="AE276" s="18" t="s">
        <v>44</v>
      </c>
    </row>
    <row r="277" customFormat="false" ht="15.75" hidden="false" customHeight="true" outlineLevel="0" collapsed="false">
      <c r="A277" s="12" t="n">
        <v>1676</v>
      </c>
      <c r="B277" s="13" t="s">
        <v>1261</v>
      </c>
      <c r="C277" s="14" t="n">
        <v>44183</v>
      </c>
      <c r="D277" s="13" t="s">
        <v>1066</v>
      </c>
      <c r="E277" s="15" t="s">
        <v>47</v>
      </c>
      <c r="F277" s="15" t="str">
        <f aca="false">IFERROR(__xludf.dummyfunction("XLOOKUP(AJ277,IMPORTRANGE(""1XaInW9DU9nz21V0tYIfzFQ0He9kVQ_JF2mCXgZ3hqFA"",""REKAP ALL 2026 - Andika!G:G""),IMPORTRANGE(""1XaInW9DU9nz21V0tYIfzFQ0He9kVQ_JF2mCXgZ3hqFA"",""REKAP ALL 2026 - Andika!F:F""),"""",0)"),"22046708552")</f>
        <v>22046708552</v>
      </c>
      <c r="G277" s="13" t="s">
        <v>1262</v>
      </c>
      <c r="H277" s="13" t="s">
        <v>35</v>
      </c>
      <c r="I277" s="13" t="str">
        <f aca="false">IF(C277=J277,"NEW KONTRAK","RE-KONTRAK")</f>
        <v>RE-KONTRAK</v>
      </c>
      <c r="J277" s="16" t="n">
        <f aca="false" t="array" ref="J277:J277">IFERROR(INDEX(AC277:AE277,IF(COUNTA(AC277:AE277)=0,"",MAX((AC277:AE277&lt;&gt;"")*(COLUMN(AC277:AE277)-(COLUMN(AC277)))))-1),"")</f>
        <v>45658</v>
      </c>
      <c r="K277" s="16" t="n">
        <f aca="false" t="array" ref="K277:K277">IFERROR(INDEX(AC277:AE277,IF(COUNTA(AC277:AE277)=0,"",MAX((AC277:AE277&lt;&gt;"")*(COLUMN(AC277:AE277)-(COLUMN(AC277)-1))))-1),"")</f>
        <v>46022</v>
      </c>
      <c r="L277" s="17" t="str">
        <f aca="false" t="array" ref="L277:L277">IFERROR(INDEX(AC277:AE277,IF(COUNTA(AC277:AE277)=0,"",MAX((AC277:AE277&lt;&gt;"")*(COLUMN(AC277:AE277)-(COLUMN(AC277)-2))))-1),"")</f>
        <v>ARCHIVED</v>
      </c>
      <c r="M277" s="13" t="n">
        <f aca="true">K277-TODAY()</f>
        <v>-302</v>
      </c>
      <c r="N277" s="18" t="s">
        <v>615</v>
      </c>
      <c r="O277" s="13" t="s">
        <v>1068</v>
      </c>
      <c r="P277" s="19" t="n">
        <v>5176101</v>
      </c>
      <c r="Q277" s="20" t="s">
        <v>1263</v>
      </c>
      <c r="R277" s="13" t="s">
        <v>73</v>
      </c>
      <c r="S277" s="14" t="n">
        <v>35518</v>
      </c>
      <c r="T277" s="13" t="s">
        <v>108</v>
      </c>
      <c r="U277" s="13" t="s">
        <v>1264</v>
      </c>
      <c r="V277" s="13" t="s">
        <v>42</v>
      </c>
      <c r="W277" s="13" t="s">
        <v>54</v>
      </c>
      <c r="X277" s="21" t="n">
        <v>85832738533</v>
      </c>
      <c r="Y277" s="22" t="str">
        <f aca="false">O277</f>
        <v>Production Packer</v>
      </c>
      <c r="Z277" s="13" t="str">
        <f aca="false">IFERROR(__xludf.dummyfunction("if(BJ277="""","""",GOOGLETRANSLATE(BJ277,""auto"",""en""))"),"Production Packer")</f>
        <v>Production Packer</v>
      </c>
      <c r="AA277" s="23" t="str">
        <f aca="false">IF(C277="","", CHOOSE(MONTH(C277),"January","February","March","April","May","June","July","August","September","October","November","December")&amp;" "&amp;DAY(C277)&amp;MID("thstndrdth",MIN(9,2*RIGHT(DAY(C277))*(MOD(DAY(C277)-11,100)&gt;2)+1),2)&amp;","&amp;TEXT(C277," yyyy"))</f>
        <v>December 18th,2020</v>
      </c>
      <c r="AB277" s="15" t="str">
        <f aca="true">IF(S277="","",DATEDIF(S277,TODAY(),"Y")&amp;" Tahun, "&amp;DATEDIF(S277,TODAY(),"YM")&amp;" Bulan, "&amp;DATEDIF(S277,TODAY(),"MD")&amp;" Hari")</f>
        <v>29 Tahun, 7 Bulan, 0 Hari</v>
      </c>
      <c r="AC277" s="18" t="n">
        <v>45658</v>
      </c>
      <c r="AD277" s="18" t="n">
        <v>46022</v>
      </c>
      <c r="AE277" s="18" t="s">
        <v>44</v>
      </c>
    </row>
    <row r="278" customFormat="false" ht="15.75" hidden="false" customHeight="true" outlineLevel="0" collapsed="false">
      <c r="A278" s="12" t="n">
        <v>1679</v>
      </c>
      <c r="B278" s="13" t="s">
        <v>1265</v>
      </c>
      <c r="C278" s="14" t="n">
        <v>44169</v>
      </c>
      <c r="D278" s="13" t="s">
        <v>1066</v>
      </c>
      <c r="E278" s="15" t="s">
        <v>47</v>
      </c>
      <c r="F278" s="15" t="str">
        <f aca="false">IFERROR(__xludf.dummyfunction("XLOOKUP(AJ278,IMPORTRANGE(""1XaInW9DU9nz21V0tYIfzFQ0He9kVQ_JF2mCXgZ3hqFA"",""REKAP ALL 2026 - Andika!G:G""),IMPORTRANGE(""1XaInW9DU9nz21V0tYIfzFQ0He9kVQ_JF2mCXgZ3hqFA"",""REKAP ALL 2026 - Andika!F:F""),"""",0)"),"15060632492")</f>
        <v>15060632492</v>
      </c>
      <c r="G278" s="13" t="s">
        <v>1266</v>
      </c>
      <c r="H278" s="13" t="s">
        <v>35</v>
      </c>
      <c r="I278" s="13" t="str">
        <f aca="false">IF(C278=J278,"NEW KONTRAK","RE-KONTRAK")</f>
        <v>RE-KONTRAK</v>
      </c>
      <c r="J278" s="16" t="n">
        <f aca="false" t="array" ref="J278:J278">IFERROR(INDEX(AC278:AE278,IF(COUNTA(AC278:AE278)=0,"",MAX((AC278:AE278&lt;&gt;"")*(COLUMN(AC278:AE278)-(COLUMN(AC278)))))-1),"")</f>
        <v>45658</v>
      </c>
      <c r="K278" s="16" t="n">
        <f aca="false" t="array" ref="K278:K278">IFERROR(INDEX(AC278:AE278,IF(COUNTA(AC278:AE278)=0,"",MAX((AC278:AE278&lt;&gt;"")*(COLUMN(AC278:AE278)-(COLUMN(AC278)-1))))-1),"")</f>
        <v>46022</v>
      </c>
      <c r="L278" s="17" t="str">
        <f aca="false" t="array" ref="L278:L278">IFERROR(INDEX(AC278:AE278,IF(COUNTA(AC278:AE278)=0,"",MAX((AC278:AE278&lt;&gt;"")*(COLUMN(AC278:AE278)-(COLUMN(AC278)-2))))-1),"")</f>
        <v>ARCHIVED</v>
      </c>
      <c r="M278" s="13" t="n">
        <f aca="true">K278-TODAY()</f>
        <v>-302</v>
      </c>
      <c r="N278" s="18" t="s">
        <v>615</v>
      </c>
      <c r="O278" s="13" t="s">
        <v>1193</v>
      </c>
      <c r="P278" s="19" t="n">
        <v>5176101</v>
      </c>
      <c r="Q278" s="20" t="s">
        <v>1267</v>
      </c>
      <c r="R278" s="13" t="s">
        <v>232</v>
      </c>
      <c r="S278" s="14" t="n">
        <v>35614</v>
      </c>
      <c r="T278" s="13" t="s">
        <v>40</v>
      </c>
      <c r="U278" s="13" t="s">
        <v>1268</v>
      </c>
      <c r="V278" s="13" t="s">
        <v>42</v>
      </c>
      <c r="W278" s="13" t="s">
        <v>43</v>
      </c>
      <c r="X278" s="21" t="n">
        <v>81359246226</v>
      </c>
      <c r="Y278" s="22" t="str">
        <f aca="false">O278</f>
        <v>Production Packing Helper</v>
      </c>
      <c r="Z278" s="13" t="str">
        <f aca="false">IFERROR(__xludf.dummyfunction("if(BJ278="""","""",GOOGLETRANSLATE(BJ278,""auto"",""en""))"),"Production Packing Helper")</f>
        <v>Production Packing Helper</v>
      </c>
      <c r="AA278" s="23" t="str">
        <f aca="false">IF(C278="","", CHOOSE(MONTH(C278),"January","February","March","April","May","June","July","August","September","October","November","December")&amp;" "&amp;DAY(C278)&amp;MID("thstndrdth",MIN(9,2*RIGHT(DAY(C278))*(MOD(DAY(C278)-11,100)&gt;2)+1),2)&amp;","&amp;TEXT(C278," yyyy"))</f>
        <v>December 4th,2020</v>
      </c>
      <c r="AB278" s="15" t="str">
        <f aca="true">IF(S278="","",DATEDIF(S278,TODAY(),"Y")&amp;" Tahun, "&amp;DATEDIF(S278,TODAY(),"YM")&amp;" Bulan, "&amp;DATEDIF(S278,TODAY(),"MD")&amp;" Hari")</f>
        <v>29 Tahun, 3 Bulan, 26 Hari</v>
      </c>
      <c r="AC278" s="18" t="n">
        <v>45658</v>
      </c>
      <c r="AD278" s="18" t="n">
        <v>46022</v>
      </c>
      <c r="AE278" s="18" t="s">
        <v>44</v>
      </c>
    </row>
    <row r="279" customFormat="false" ht="15.75" hidden="false" customHeight="true" outlineLevel="0" collapsed="false">
      <c r="A279" s="12" t="n">
        <v>1681</v>
      </c>
      <c r="B279" s="13" t="s">
        <v>1269</v>
      </c>
      <c r="C279" s="14" t="n">
        <v>44172</v>
      </c>
      <c r="D279" s="13" t="s">
        <v>1066</v>
      </c>
      <c r="E279" s="15" t="s">
        <v>47</v>
      </c>
      <c r="F279" s="15" t="str">
        <f aca="false">IFERROR(__xludf.dummyfunction("XLOOKUP(AJ279,IMPORTRANGE(""1XaInW9DU9nz21V0tYIfzFQ0He9kVQ_JF2mCXgZ3hqFA"",""REKAP ALL 2026 - Andika!G:G""),IMPORTRANGE(""1XaInW9DU9nz21V0tYIfzFQ0He9kVQ_JF2mCXgZ3hqFA"",""REKAP ALL 2026 - Andika!F:F""),"""",0)"),"21003176712")</f>
        <v>21003176712</v>
      </c>
      <c r="G279" s="13" t="s">
        <v>1270</v>
      </c>
      <c r="H279" s="13" t="s">
        <v>35</v>
      </c>
      <c r="I279" s="13" t="str">
        <f aca="false">IF(C279=J279,"NEW KONTRAK","RE-KONTRAK")</f>
        <v>RE-KONTRAK</v>
      </c>
      <c r="J279" s="16" t="n">
        <f aca="false" t="array" ref="J279:J279">IFERROR(INDEX(AC279:AE279,IF(COUNTA(AC279:AE279)=0,"",MAX((AC279:AE279&lt;&gt;"")*(COLUMN(AC279:AE279)-(COLUMN(AC279)))))-1),"")</f>
        <v>45658</v>
      </c>
      <c r="K279" s="16" t="n">
        <f aca="false" t="array" ref="K279:K279">IFERROR(INDEX(AC279:AE279,IF(COUNTA(AC279:AE279)=0,"",MAX((AC279:AE279&lt;&gt;"")*(COLUMN(AC279:AE279)-(COLUMN(AC279)-1))))-1),"")</f>
        <v>46022</v>
      </c>
      <c r="L279" s="17" t="str">
        <f aca="false" t="array" ref="L279:L279">IFERROR(INDEX(AC279:AE279,IF(COUNTA(AC279:AE279)=0,"",MAX((AC279:AE279&lt;&gt;"")*(COLUMN(AC279:AE279)-(COLUMN(AC279)-2))))-1),"")</f>
        <v>ARCHIVED</v>
      </c>
      <c r="M279" s="13" t="n">
        <f aca="true">K279-TODAY()</f>
        <v>-302</v>
      </c>
      <c r="N279" s="18" t="s">
        <v>615</v>
      </c>
      <c r="O279" s="13" t="s">
        <v>1193</v>
      </c>
      <c r="P279" s="19" t="n">
        <v>5176101</v>
      </c>
      <c r="Q279" s="20" t="s">
        <v>1271</v>
      </c>
      <c r="R279" s="13" t="s">
        <v>232</v>
      </c>
      <c r="S279" s="14" t="n">
        <v>35249</v>
      </c>
      <c r="T279" s="13" t="s">
        <v>40</v>
      </c>
      <c r="U279" s="13" t="s">
        <v>1272</v>
      </c>
      <c r="V279" s="13" t="s">
        <v>42</v>
      </c>
      <c r="W279" s="13" t="s">
        <v>54</v>
      </c>
      <c r="X279" s="21" t="n">
        <v>85546264755</v>
      </c>
      <c r="Y279" s="22" t="str">
        <f aca="false">O279</f>
        <v>Production Packing Helper</v>
      </c>
      <c r="Z279" s="13" t="str">
        <f aca="false">IFERROR(__xludf.dummyfunction("if(BJ279="""","""",GOOGLETRANSLATE(BJ279,""auto"",""en""))"),"Production Packing Helper")</f>
        <v>Production Packing Helper</v>
      </c>
      <c r="AA279" s="23" t="str">
        <f aca="false">IF(C279="","", CHOOSE(MONTH(C279),"January","February","March","April","May","June","July","August","September","October","November","December")&amp;" "&amp;DAY(C279)&amp;MID("thstndrdth",MIN(9,2*RIGHT(DAY(C279))*(MOD(DAY(C279)-11,100)&gt;2)+1),2)&amp;","&amp;TEXT(C279," yyyy"))</f>
        <v>December 7th,2020</v>
      </c>
      <c r="AB279" s="15" t="str">
        <f aca="true">IF(S279="","",DATEDIF(S279,TODAY(),"Y")&amp;" Tahun, "&amp;DATEDIF(S279,TODAY(),"YM")&amp;" Bulan, "&amp;DATEDIF(S279,TODAY(),"MD")&amp;" Hari")</f>
        <v>30 Tahun, 3 Bulan, 26 Hari</v>
      </c>
      <c r="AC279" s="18" t="n">
        <v>45658</v>
      </c>
      <c r="AD279" s="18" t="n">
        <v>46022</v>
      </c>
      <c r="AE279" s="18" t="s">
        <v>44</v>
      </c>
    </row>
    <row r="280" customFormat="false" ht="15.75" hidden="false" customHeight="true" outlineLevel="0" collapsed="false">
      <c r="A280" s="12" t="n">
        <v>1683</v>
      </c>
      <c r="B280" s="13" t="s">
        <v>1273</v>
      </c>
      <c r="C280" s="14" t="n">
        <v>44207</v>
      </c>
      <c r="D280" s="13" t="s">
        <v>1066</v>
      </c>
      <c r="E280" s="15" t="s">
        <v>47</v>
      </c>
      <c r="F280" s="15" t="str">
        <f aca="false">IFERROR(__xludf.dummyfunction("XLOOKUP(AJ280,IMPORTRANGE(""1XaInW9DU9nz21V0tYIfzFQ0He9kVQ_JF2mCXgZ3hqFA"",""REKAP ALL 2026 - Andika!G:G""),IMPORTRANGE(""1XaInW9DU9nz21V0tYIfzFQ0He9kVQ_JF2mCXgZ3hqFA"",""REKAP ALL 2026 - Andika!F:F""),"""",0)"),"21012844698")</f>
        <v>21012844698</v>
      </c>
      <c r="G280" s="13" t="s">
        <v>1274</v>
      </c>
      <c r="H280" s="13" t="s">
        <v>35</v>
      </c>
      <c r="I280" s="13" t="str">
        <f aca="false">IF(C280=J280,"NEW KONTRAK","RE-KONTRAK")</f>
        <v>RE-KONTRAK</v>
      </c>
      <c r="J280" s="16" t="n">
        <f aca="false" t="array" ref="J280:J280">IFERROR(INDEX(AC280:AE280,IF(COUNTA(AC280:AE280)=0,"",MAX((AC280:AE280&lt;&gt;"")*(COLUMN(AC280:AE280)-(COLUMN(AC280)))))-1),"")</f>
        <v>45658</v>
      </c>
      <c r="K280" s="16" t="n">
        <f aca="false" t="array" ref="K280:K280">IFERROR(INDEX(AC280:AE280,IF(COUNTA(AC280:AE280)=0,"",MAX((AC280:AE280&lt;&gt;"")*(COLUMN(AC280:AE280)-(COLUMN(AC280)-1))))-1),"")</f>
        <v>46022</v>
      </c>
      <c r="L280" s="17" t="str">
        <f aca="false" t="array" ref="L280:L280">IFERROR(INDEX(AC280:AE280,IF(COUNTA(AC280:AE280)=0,"",MAX((AC280:AE280&lt;&gt;"")*(COLUMN(AC280:AE280)-(COLUMN(AC280)-2))))-1),"")</f>
        <v>ARCHIVED</v>
      </c>
      <c r="M280" s="13" t="n">
        <f aca="true">K280-TODAY()</f>
        <v>-302</v>
      </c>
      <c r="N280" s="18" t="s">
        <v>615</v>
      </c>
      <c r="O280" s="13" t="s">
        <v>1193</v>
      </c>
      <c r="P280" s="19" t="n">
        <v>5176101</v>
      </c>
      <c r="Q280" s="20" t="s">
        <v>1275</v>
      </c>
      <c r="R280" s="13" t="s">
        <v>879</v>
      </c>
      <c r="S280" s="14" t="n">
        <v>34390</v>
      </c>
      <c r="T280" s="13" t="s">
        <v>40</v>
      </c>
      <c r="U280" s="13" t="s">
        <v>1276</v>
      </c>
      <c r="V280" s="13" t="s">
        <v>42</v>
      </c>
      <c r="W280" s="13" t="s">
        <v>54</v>
      </c>
      <c r="X280" s="21" t="n">
        <v>87759346760</v>
      </c>
      <c r="Y280" s="22" t="str">
        <f aca="false">O280</f>
        <v>Production Packing Helper</v>
      </c>
      <c r="Z280" s="13" t="str">
        <f aca="false">IFERROR(__xludf.dummyfunction("if(BJ280="""","""",GOOGLETRANSLATE(BJ280,""auto"",""en""))"),"Production Packing Helper")</f>
        <v>Production Packing Helper</v>
      </c>
      <c r="AA280" s="23" t="str">
        <f aca="false">IF(C280="","", CHOOSE(MONTH(C280),"January","February","March","April","May","June","July","August","September","October","November","December")&amp;" "&amp;DAY(C280)&amp;MID("thstndrdth",MIN(9,2*RIGHT(DAY(C280))*(MOD(DAY(C280)-11,100)&gt;2)+1),2)&amp;","&amp;TEXT(C280," yyyy"))</f>
        <v>January 11th,2021</v>
      </c>
      <c r="AB280" s="15" t="str">
        <f aca="true">IF(S280="","",DATEDIF(S280,TODAY(),"Y")&amp;" Tahun, "&amp;DATEDIF(S280,TODAY(),"YM")&amp;" Bulan, "&amp;DATEDIF(S280,TODAY(),"MD")&amp;" Hari")</f>
        <v>32 Tahun, 8 Bulan, 4 Hari</v>
      </c>
      <c r="AC280" s="18" t="n">
        <v>45658</v>
      </c>
      <c r="AD280" s="18" t="n">
        <v>46022</v>
      </c>
      <c r="AE280" s="18" t="s">
        <v>44</v>
      </c>
    </row>
    <row r="281" customFormat="false" ht="15.75" hidden="false" customHeight="true" outlineLevel="0" collapsed="false">
      <c r="A281" s="12" t="n">
        <v>1686</v>
      </c>
      <c r="B281" s="13" t="s">
        <v>1277</v>
      </c>
      <c r="C281" s="14" t="n">
        <v>44359</v>
      </c>
      <c r="D281" s="13" t="s">
        <v>1066</v>
      </c>
      <c r="E281" s="15" t="s">
        <v>47</v>
      </c>
      <c r="F281" s="15" t="str">
        <f aca="false">IFERROR(__xludf.dummyfunction("XLOOKUP(AJ281,IMPORTRANGE(""1XaInW9DU9nz21V0tYIfzFQ0He9kVQ_JF2mCXgZ3hqFA"",""REKAP ALL 2026 - Andika!G:G""),IMPORTRANGE(""1XaInW9DU9nz21V0tYIfzFQ0He9kVQ_JF2mCXgZ3hqFA"",""REKAP ALL 2026 - Andika!F:F""),"""",0)"),"21050452982")</f>
        <v>21050452982</v>
      </c>
      <c r="G281" s="13" t="s">
        <v>1278</v>
      </c>
      <c r="H281" s="13" t="s">
        <v>35</v>
      </c>
      <c r="I281" s="13" t="str">
        <f aca="false">IF(C281=J281,"NEW KONTRAK","RE-KONTRAK")</f>
        <v>RE-KONTRAK</v>
      </c>
      <c r="J281" s="16" t="n">
        <f aca="false" t="array" ref="J281:J281">IFERROR(INDEX(AC281:AE281,IF(COUNTA(AC281:AE281)=0,"",MAX((AC281:AE281&lt;&gt;"")*(COLUMN(AC281:AE281)-(COLUMN(AC281)))))-1),"")</f>
        <v>45658</v>
      </c>
      <c r="K281" s="16" t="n">
        <f aca="false" t="array" ref="K281:K281">IFERROR(INDEX(AC281:AE281,IF(COUNTA(AC281:AE281)=0,"",MAX((AC281:AE281&lt;&gt;"")*(COLUMN(AC281:AE281)-(COLUMN(AC281)-1))))-1),"")</f>
        <v>46022</v>
      </c>
      <c r="L281" s="17" t="str">
        <f aca="false" t="array" ref="L281:L281">IFERROR(INDEX(AC281:AE281,IF(COUNTA(AC281:AE281)=0,"",MAX((AC281:AE281&lt;&gt;"")*(COLUMN(AC281:AE281)-(COLUMN(AC281)-2))))-1),"")</f>
        <v>ARCHIVED</v>
      </c>
      <c r="M281" s="13" t="n">
        <f aca="true">K281-TODAY()</f>
        <v>-302</v>
      </c>
      <c r="N281" s="18" t="s">
        <v>615</v>
      </c>
      <c r="O281" s="13" t="s">
        <v>1193</v>
      </c>
      <c r="P281" s="19" t="n">
        <v>5176101</v>
      </c>
      <c r="Q281" s="20" t="s">
        <v>1279</v>
      </c>
      <c r="R281" s="13" t="s">
        <v>232</v>
      </c>
      <c r="S281" s="14" t="n">
        <v>35373</v>
      </c>
      <c r="T281" s="13" t="s">
        <v>40</v>
      </c>
      <c r="U281" s="13" t="s">
        <v>1280</v>
      </c>
      <c r="V281" s="13" t="s">
        <v>42</v>
      </c>
      <c r="W281" s="13" t="s">
        <v>54</v>
      </c>
      <c r="X281" s="21" t="n">
        <v>82237357288</v>
      </c>
      <c r="Y281" s="22" t="str">
        <f aca="false">O281</f>
        <v>Production Packing Helper</v>
      </c>
      <c r="Z281" s="13" t="str">
        <f aca="false">IFERROR(__xludf.dummyfunction("if(BJ281="""","""",GOOGLETRANSLATE(BJ281,""auto"",""en""))"),"Production Packing Helper")</f>
        <v>Production Packing Helper</v>
      </c>
      <c r="AA281" s="23" t="str">
        <f aca="false">IF(C281="","", CHOOSE(MONTH(C281),"January","February","March","April","May","June","July","August","September","October","November","December")&amp;" "&amp;DAY(C281)&amp;MID("thstndrdth",MIN(9,2*RIGHT(DAY(C281))*(MOD(DAY(C281)-11,100)&gt;2)+1),2)&amp;","&amp;TEXT(C281," yyyy"))</f>
        <v>June 12th,2021</v>
      </c>
      <c r="AB281" s="15" t="str">
        <f aca="true">IF(S281="","",DATEDIF(S281,TODAY(),"Y")&amp;" Tahun, "&amp;DATEDIF(S281,TODAY(),"YM")&amp;" Bulan, "&amp;DATEDIF(S281,TODAY(),"MD")&amp;" Hari")</f>
        <v>29 Tahun, 11 Bulan, 25 Hari</v>
      </c>
      <c r="AC281" s="18" t="n">
        <v>45658</v>
      </c>
      <c r="AD281" s="18" t="n">
        <v>46022</v>
      </c>
      <c r="AE281" s="18" t="s">
        <v>44</v>
      </c>
    </row>
    <row r="282" customFormat="false" ht="15.75" hidden="false" customHeight="true" outlineLevel="0" collapsed="false">
      <c r="A282" s="12" t="n">
        <v>1688</v>
      </c>
      <c r="B282" s="13" t="s">
        <v>1281</v>
      </c>
      <c r="C282" s="14" t="n">
        <v>44176</v>
      </c>
      <c r="D282" s="13" t="s">
        <v>1066</v>
      </c>
      <c r="E282" s="15" t="s">
        <v>47</v>
      </c>
      <c r="F282" s="15" t="str">
        <f aca="false">IFERROR(__xludf.dummyfunction("XLOOKUP(AJ282,IMPORTRANGE(""1XaInW9DU9nz21V0tYIfzFQ0He9kVQ_JF2mCXgZ3hqFA"",""REKAP ALL 2026 - Andika!G:G""),IMPORTRANGE(""1XaInW9DU9nz21V0tYIfzFQ0He9kVQ_JF2mCXgZ3hqFA"",""REKAP ALL 2026 - Andika!F:F""),"""",0)"),"21012844367")</f>
        <v>21012844367</v>
      </c>
      <c r="G282" s="13" t="s">
        <v>1282</v>
      </c>
      <c r="H282" s="13" t="s">
        <v>35</v>
      </c>
      <c r="I282" s="13" t="str">
        <f aca="false">IF(C282=J282,"NEW KONTRAK","RE-KONTRAK")</f>
        <v>RE-KONTRAK</v>
      </c>
      <c r="J282" s="16" t="n">
        <f aca="false" t="array" ref="J282:J282">IFERROR(INDEX(AC282:AE282,IF(COUNTA(AC282:AE282)=0,"",MAX((AC282:AE282&lt;&gt;"")*(COLUMN(AC282:AE282)-(COLUMN(AC282)))))-1),"")</f>
        <v>45658</v>
      </c>
      <c r="K282" s="16" t="n">
        <f aca="false" t="array" ref="K282:K282">IFERROR(INDEX(AC282:AE282,IF(COUNTA(AC282:AE282)=0,"",MAX((AC282:AE282&lt;&gt;"")*(COLUMN(AC282:AE282)-(COLUMN(AC282)-1))))-1),"")</f>
        <v>46022</v>
      </c>
      <c r="L282" s="17" t="str">
        <f aca="false" t="array" ref="L282:L282">IFERROR(INDEX(AC282:AE282,IF(COUNTA(AC282:AE282)=0,"",MAX((AC282:AE282&lt;&gt;"")*(COLUMN(AC282:AE282)-(COLUMN(AC282)-2))))-1),"")</f>
        <v>ARCHIVED</v>
      </c>
      <c r="M282" s="13" t="n">
        <f aca="true">K282-TODAY()</f>
        <v>-302</v>
      </c>
      <c r="N282" s="18" t="s">
        <v>615</v>
      </c>
      <c r="O282" s="13" t="s">
        <v>1166</v>
      </c>
      <c r="P282" s="19" t="n">
        <v>5176101</v>
      </c>
      <c r="Q282" s="20" t="s">
        <v>1283</v>
      </c>
      <c r="R282" s="13" t="s">
        <v>232</v>
      </c>
      <c r="S282" s="14" t="n">
        <v>35581</v>
      </c>
      <c r="T282" s="13" t="s">
        <v>108</v>
      </c>
      <c r="U282" s="13" t="s">
        <v>1284</v>
      </c>
      <c r="V282" s="13" t="s">
        <v>42</v>
      </c>
      <c r="W282" s="13" t="s">
        <v>43</v>
      </c>
      <c r="X282" s="21" t="n">
        <v>85604435773</v>
      </c>
      <c r="Y282" s="22" t="str">
        <f aca="false">O282</f>
        <v>Production Rework Helper</v>
      </c>
      <c r="Z282" s="13" t="str">
        <f aca="false">IFERROR(__xludf.dummyfunction("if(BJ282="""","""",GOOGLETRANSLATE(BJ282,""auto"",""en""))"),"Production Rework Helper")</f>
        <v>Production Rework Helper</v>
      </c>
      <c r="AA282" s="23" t="str">
        <f aca="false">IF(C282="","", CHOOSE(MONTH(C282),"January","February","March","April","May","June","July","August","September","October","November","December")&amp;" "&amp;DAY(C282)&amp;MID("thstndrdth",MIN(9,2*RIGHT(DAY(C282))*(MOD(DAY(C282)-11,100)&gt;2)+1),2)&amp;","&amp;TEXT(C282," yyyy"))</f>
        <v>December 11th,2020</v>
      </c>
      <c r="AB282" s="15" t="str">
        <f aca="true">IF(S282="","",DATEDIF(S282,TODAY(),"Y")&amp;" Tahun, "&amp;DATEDIF(S282,TODAY(),"YM")&amp;" Bulan, "&amp;DATEDIF(S282,TODAY(),"MD")&amp;" Hari")</f>
        <v>29 Tahun, 4 Bulan, 28 Hari</v>
      </c>
      <c r="AC282" s="18" t="n">
        <v>45658</v>
      </c>
      <c r="AD282" s="18" t="n">
        <v>46022</v>
      </c>
      <c r="AE282" s="18" t="s">
        <v>44</v>
      </c>
    </row>
    <row r="283" customFormat="false" ht="15.75" hidden="false" customHeight="true" outlineLevel="0" collapsed="false">
      <c r="A283" s="12" t="n">
        <v>1689</v>
      </c>
      <c r="B283" s="13" t="s">
        <v>1285</v>
      </c>
      <c r="C283" s="14" t="n">
        <v>44074</v>
      </c>
      <c r="D283" s="13" t="s">
        <v>1066</v>
      </c>
      <c r="E283" s="15" t="s">
        <v>47</v>
      </c>
      <c r="F283" s="15" t="str">
        <f aca="false">IFERROR(__xludf.dummyfunction("XLOOKUP(AJ283,IMPORTRANGE(""1XaInW9DU9nz21V0tYIfzFQ0He9kVQ_JF2mCXgZ3hqFA"",""REKAP ALL 2026 - Andika!G:G""),IMPORTRANGE(""1XaInW9DU9nz21V0tYIfzFQ0He9kVQ_JF2mCXgZ3hqFA"",""REKAP ALL 2026 - Andika!F:F""),"""",0)"),"20070196157")</f>
        <v>20070196157</v>
      </c>
      <c r="G283" s="13" t="s">
        <v>1286</v>
      </c>
      <c r="H283" s="13" t="s">
        <v>35</v>
      </c>
      <c r="I283" s="13" t="str">
        <f aca="false">IF(C283=J283,"NEW KONTRAK","RE-KONTRAK")</f>
        <v>RE-KONTRAK</v>
      </c>
      <c r="J283" s="16" t="n">
        <f aca="false" t="array" ref="J283:J283">IFERROR(INDEX(AC283:AE283,IF(COUNTA(AC283:AE283)=0,"",MAX((AC283:AE283&lt;&gt;"")*(COLUMN(AC283:AE283)-(COLUMN(AC283)))))-1),"")</f>
        <v>45658</v>
      </c>
      <c r="K283" s="16" t="n">
        <f aca="false" t="array" ref="K283:K283">IFERROR(INDEX(AC283:AE283,IF(COUNTA(AC283:AE283)=0,"",MAX((AC283:AE283&lt;&gt;"")*(COLUMN(AC283:AE283)-(COLUMN(AC283)-1))))-1),"")</f>
        <v>46022</v>
      </c>
      <c r="L283" s="17" t="str">
        <f aca="false" t="array" ref="L283:L283">IFERROR(INDEX(AC283:AE283,IF(COUNTA(AC283:AE283)=0,"",MAX((AC283:AE283&lt;&gt;"")*(COLUMN(AC283:AE283)-(COLUMN(AC283)-2))))-1),"")</f>
        <v>ARCHIVED</v>
      </c>
      <c r="M283" s="13" t="n">
        <f aca="true">K283-TODAY()</f>
        <v>-302</v>
      </c>
      <c r="N283" s="18" t="s">
        <v>615</v>
      </c>
      <c r="O283" s="13" t="s">
        <v>1287</v>
      </c>
      <c r="P283" s="19" t="n">
        <v>5176101</v>
      </c>
      <c r="Q283" s="20" t="s">
        <v>1288</v>
      </c>
      <c r="R283" s="13" t="s">
        <v>52</v>
      </c>
      <c r="S283" s="14" t="n">
        <v>31895</v>
      </c>
      <c r="T283" s="13" t="s">
        <v>40</v>
      </c>
      <c r="U283" s="13" t="s">
        <v>1289</v>
      </c>
      <c r="V283" s="13" t="s">
        <v>42</v>
      </c>
      <c r="W283" s="13" t="s">
        <v>54</v>
      </c>
      <c r="X283" s="21" t="n">
        <v>87858888357</v>
      </c>
      <c r="Y283" s="22" t="str">
        <f aca="false">O283</f>
        <v>Office Boy</v>
      </c>
      <c r="Z283" s="13" t="str">
        <f aca="false">IFERROR(__xludf.dummyfunction("if(BJ283="""","""",GOOGLETRANSLATE(BJ283,""auto"",""en""))"),"Office Boy")</f>
        <v>Office Boy</v>
      </c>
      <c r="AA283" s="23" t="str">
        <f aca="false">IF(C283="","", CHOOSE(MONTH(C283),"January","February","March","April","May","June","July","August","September","October","November","December")&amp;" "&amp;DAY(C283)&amp;MID("thstndrdth",MIN(9,2*RIGHT(DAY(C283))*(MOD(DAY(C283)-11,100)&gt;2)+1),2)&amp;","&amp;TEXT(C283," yyyy"))</f>
        <v>August 31st,2020</v>
      </c>
      <c r="AB283" s="15" t="str">
        <f aca="true">IF(S283="","",DATEDIF(S283,TODAY(),"Y")&amp;" Tahun, "&amp;DATEDIF(S283,TODAY(),"YM")&amp;" Bulan, "&amp;DATEDIF(S283,TODAY(),"MD")&amp;" Hari")</f>
        <v>39 Tahun, 6 Bulan, 1 Hari</v>
      </c>
      <c r="AC283" s="18" t="n">
        <v>45658</v>
      </c>
      <c r="AD283" s="18" t="n">
        <v>46022</v>
      </c>
      <c r="AE283" s="18" t="s">
        <v>44</v>
      </c>
    </row>
    <row r="284" customFormat="false" ht="15.75" hidden="false" customHeight="true" outlineLevel="0" collapsed="false">
      <c r="A284" s="12" t="n">
        <v>1728</v>
      </c>
      <c r="B284" s="13" t="s">
        <v>1290</v>
      </c>
      <c r="C284" s="14" t="n">
        <v>44013</v>
      </c>
      <c r="D284" s="13" t="s">
        <v>1291</v>
      </c>
      <c r="E284" s="15" t="s">
        <v>33</v>
      </c>
      <c r="F284" s="15" t="str">
        <f aca="false">IFERROR(__xludf.dummyfunction("XLOOKUP(AJ284,IMPORTRANGE(""1XaInW9DU9nz21V0tYIfzFQ0He9kVQ_JF2mCXgZ3hqFA"",""REKAP ALL 2026 - Andika!G:G""),IMPORTRANGE(""1XaInW9DU9nz21V0tYIfzFQ0He9kVQ_JF2mCXgZ3hqFA"",""REKAP ALL 2026 - Andika!F:F""),"""",0)"),"19040888620")</f>
        <v>19040888620</v>
      </c>
      <c r="G284" s="13" t="s">
        <v>1292</v>
      </c>
      <c r="H284" s="13" t="s">
        <v>35</v>
      </c>
      <c r="I284" s="13" t="str">
        <f aca="false">IF(C284=J284,"NEW KONTRAK","RE-KONTRAK")</f>
        <v>RE-KONTRAK</v>
      </c>
      <c r="J284" s="16" t="n">
        <f aca="false" t="array" ref="J284:J284">IFERROR(INDEX(AC284:AE284,IF(COUNTA(AC284:AE284)=0,"",MAX((AC284:AE284&lt;&gt;"")*(COLUMN(AC284:AE284)-(COLUMN(AC284)))))-1),"")</f>
        <v>45870</v>
      </c>
      <c r="K284" s="16" t="n">
        <f aca="false" t="array" ref="K284:K284">IFERROR(INDEX(AC284:AE284,IF(COUNTA(AC284:AE284)=0,"",MAX((AC284:AE284&lt;&gt;"")*(COLUMN(AC284:AE284)-(COLUMN(AC284)-1))))-1),"")</f>
        <v>45991</v>
      </c>
      <c r="L284" s="17" t="str">
        <f aca="false" t="array" ref="L284:L284">IFERROR(INDEX(AC284:AE284,IF(COUNTA(AC284:AE284)=0,"",MAX((AC284:AE284&lt;&gt;"")*(COLUMN(AC284:AE284)-(COLUMN(AC284)-2))))-1),"")</f>
        <v>ARCHIVED</v>
      </c>
      <c r="M284" s="13" t="n">
        <f aca="true">K284-TODAY()</f>
        <v>-333</v>
      </c>
      <c r="N284" s="18" t="s">
        <v>1293</v>
      </c>
      <c r="O284" s="13" t="s">
        <v>719</v>
      </c>
      <c r="P284" s="27" t="n">
        <v>2651603</v>
      </c>
      <c r="Q284" s="20" t="s">
        <v>1294</v>
      </c>
      <c r="R284" s="13" t="s">
        <v>260</v>
      </c>
      <c r="S284" s="14" t="n">
        <v>32212</v>
      </c>
      <c r="T284" s="13" t="s">
        <v>40</v>
      </c>
      <c r="U284" s="13" t="s">
        <v>1295</v>
      </c>
      <c r="V284" s="13" t="s">
        <v>42</v>
      </c>
      <c r="W284" s="13" t="s">
        <v>43</v>
      </c>
      <c r="X284" s="21" t="n">
        <v>81242238611</v>
      </c>
      <c r="Y284" s="22" t="str">
        <f aca="false">O284</f>
        <v>Cleaning Service</v>
      </c>
      <c r="Z284" s="13" t="str">
        <f aca="false">IFERROR(__xludf.dummyfunction("if(BJ284="""","""",GOOGLETRANSLATE(BJ284,""auto"",""en""))"),"Cleaning Service")</f>
        <v>Cleaning Service</v>
      </c>
      <c r="AA284" s="23" t="str">
        <f aca="false">IF(C284="","", CHOOSE(MONTH(C284),"January","February","March","April","May","June","July","August","September","October","November","December")&amp;" "&amp;DAY(C284)&amp;MID("thstndrdth",MIN(9,2*RIGHT(DAY(C284))*(MOD(DAY(C284)-11,100)&gt;2)+1),2)&amp;","&amp;TEXT(C284," yyyy"))</f>
        <v>July 1st,2020</v>
      </c>
      <c r="AB284" s="15" t="str">
        <f aca="true">IF(S284="","",DATEDIF(S284,TODAY(),"Y")&amp;" Tahun, "&amp;DATEDIF(S284,TODAY(),"YM")&amp;" Bulan, "&amp;DATEDIF(S284,TODAY(),"MD")&amp;" Hari")</f>
        <v>38 Tahun, 7 Bulan, 19 Hari</v>
      </c>
      <c r="AC284" s="18" t="n">
        <v>45870</v>
      </c>
      <c r="AD284" s="18" t="n">
        <v>45991</v>
      </c>
      <c r="AE284" s="18" t="s">
        <v>44</v>
      </c>
    </row>
    <row r="285" customFormat="false" ht="15.75" hidden="false" customHeight="true" outlineLevel="0" collapsed="false">
      <c r="A285" s="12" t="n">
        <v>1729</v>
      </c>
      <c r="B285" s="13" t="s">
        <v>1296</v>
      </c>
      <c r="C285" s="14" t="n">
        <v>44013</v>
      </c>
      <c r="D285" s="13" t="s">
        <v>1291</v>
      </c>
      <c r="E285" s="15" t="s">
        <v>47</v>
      </c>
      <c r="F285" s="15" t="str">
        <f aca="false">IFERROR(__xludf.dummyfunction("XLOOKUP(AJ285,IMPORTRANGE(""1XaInW9DU9nz21V0tYIfzFQ0He9kVQ_JF2mCXgZ3hqFA"",""REKAP ALL 2026 - Andika!G:G""),IMPORTRANGE(""1XaInW9DU9nz21V0tYIfzFQ0He9kVQ_JF2mCXgZ3hqFA"",""REKAP ALL 2026 - Andika!F:F""),"""",0)"),"20055632804")</f>
        <v>20055632804</v>
      </c>
      <c r="G285" s="13" t="s">
        <v>1297</v>
      </c>
      <c r="H285" s="13" t="s">
        <v>35</v>
      </c>
      <c r="I285" s="13" t="str">
        <f aca="false">IF(C285=J285,"NEW KONTRAK","RE-KONTRAK")</f>
        <v>RE-KONTRAK</v>
      </c>
      <c r="J285" s="16" t="n">
        <f aca="false" t="array" ref="J285:J285">IFERROR(INDEX(AC285:AE285,IF(COUNTA(AC285:AE285)=0,"",MAX((AC285:AE285&lt;&gt;"")*(COLUMN(AC285:AE285)-(COLUMN(AC285)))))-1),"")</f>
        <v>45870</v>
      </c>
      <c r="K285" s="16" t="n">
        <f aca="false" t="array" ref="K285:K285">IFERROR(INDEX(AC285:AE285,IF(COUNTA(AC285:AE285)=0,"",MAX((AC285:AE285&lt;&gt;"")*(COLUMN(AC285:AE285)-(COLUMN(AC285)-1))))-1),"")</f>
        <v>45991</v>
      </c>
      <c r="L285" s="17" t="str">
        <f aca="false" t="array" ref="L285:L285">IFERROR(INDEX(AC285:AE285,IF(COUNTA(AC285:AE285)=0,"",MAX((AC285:AE285&lt;&gt;"")*(COLUMN(AC285:AE285)-(COLUMN(AC285)-2))))-1),"")</f>
        <v>ARCHIVED</v>
      </c>
      <c r="M285" s="13" t="n">
        <f aca="true">K285-TODAY()</f>
        <v>-333</v>
      </c>
      <c r="N285" s="18" t="s">
        <v>1293</v>
      </c>
      <c r="O285" s="13" t="s">
        <v>50</v>
      </c>
      <c r="P285" s="19" t="n">
        <v>2651603</v>
      </c>
      <c r="Q285" s="20" t="s">
        <v>1298</v>
      </c>
      <c r="R285" s="13" t="s">
        <v>401</v>
      </c>
      <c r="S285" s="14" t="n">
        <v>35227</v>
      </c>
      <c r="T285" s="13" t="s">
        <v>40</v>
      </c>
      <c r="U285" s="13" t="s">
        <v>1299</v>
      </c>
      <c r="V285" s="13" t="s">
        <v>42</v>
      </c>
      <c r="W285" s="13" t="s">
        <v>43</v>
      </c>
      <c r="X285" s="21" t="n">
        <v>82231157852</v>
      </c>
      <c r="Y285" s="22" t="str">
        <f aca="false">O285</f>
        <v>Driver</v>
      </c>
      <c r="Z285" s="13" t="str">
        <f aca="false">IFERROR(__xludf.dummyfunction("if(BJ285="""","""",GOOGLETRANSLATE(BJ285,""auto"",""en""))"),"Driver")</f>
        <v>Driver</v>
      </c>
      <c r="AA285" s="23" t="str">
        <f aca="false">IF(C285="","", CHOOSE(MONTH(C285),"January","February","March","April","May","June","July","August","September","October","November","December")&amp;" "&amp;DAY(C285)&amp;MID("thstndrdth",MIN(9,2*RIGHT(DAY(C285))*(MOD(DAY(C285)-11,100)&gt;2)+1),2)&amp;","&amp;TEXT(C285," yyyy"))</f>
        <v>July 1st,2020</v>
      </c>
      <c r="AB285" s="15" t="str">
        <f aca="true">IF(S285="","",DATEDIF(S285,TODAY(),"Y")&amp;" Tahun, "&amp;DATEDIF(S285,TODAY(),"YM")&amp;" Bulan, "&amp;DATEDIF(S285,TODAY(),"MD")&amp;" Hari")</f>
        <v>30 Tahun, 4 Bulan, 18 Hari</v>
      </c>
      <c r="AC285" s="18" t="n">
        <v>45870</v>
      </c>
      <c r="AD285" s="18" t="n">
        <v>45991</v>
      </c>
      <c r="AE285" s="18" t="s">
        <v>44</v>
      </c>
    </row>
    <row r="286" customFormat="false" ht="15.75" hidden="false" customHeight="true" outlineLevel="0" collapsed="false">
      <c r="A286" s="12" t="n">
        <v>1730</v>
      </c>
      <c r="B286" s="13" t="s">
        <v>1300</v>
      </c>
      <c r="C286" s="14" t="n">
        <v>44013</v>
      </c>
      <c r="D286" s="13" t="s">
        <v>1291</v>
      </c>
      <c r="E286" s="15" t="s">
        <v>47</v>
      </c>
      <c r="F286" s="15" t="str">
        <f aca="false">IFERROR(__xludf.dummyfunction("XLOOKUP(AJ286,IMPORTRANGE(""1XaInW9DU9nz21V0tYIfzFQ0He9kVQ_JF2mCXgZ3hqFA"",""REKAP ALL 2026 - Andika!G:G""),IMPORTRANGE(""1XaInW9DU9nz21V0tYIfzFQ0He9kVQ_JF2mCXgZ3hqFA"",""REKAP ALL 2026 - Andika!F:F""),"""",0)"),"20055632754")</f>
        <v>20055632754</v>
      </c>
      <c r="G286" s="13" t="s">
        <v>1301</v>
      </c>
      <c r="H286" s="13" t="s">
        <v>35</v>
      </c>
      <c r="I286" s="13" t="str">
        <f aca="false">IF(C286=J286,"NEW KONTRAK","RE-KONTRAK")</f>
        <v>RE-KONTRAK</v>
      </c>
      <c r="J286" s="16" t="n">
        <f aca="false" t="array" ref="J286:J286">IFERROR(INDEX(AC286:AE286,IF(COUNTA(AC286:AE286)=0,"",MAX((AC286:AE286&lt;&gt;"")*(COLUMN(AC286:AE286)-(COLUMN(AC286)))))-1),"")</f>
        <v>45870</v>
      </c>
      <c r="K286" s="16" t="n">
        <f aca="false" t="array" ref="K286:K286">IFERROR(INDEX(AC286:AE286,IF(COUNTA(AC286:AE286)=0,"",MAX((AC286:AE286&lt;&gt;"")*(COLUMN(AC286:AE286)-(COLUMN(AC286)-1))))-1),"")</f>
        <v>45991</v>
      </c>
      <c r="L286" s="17" t="str">
        <f aca="false" t="array" ref="L286:L286">IFERROR(INDEX(AC286:AE286,IF(COUNTA(AC286:AE286)=0,"",MAX((AC286:AE286&lt;&gt;"")*(COLUMN(AC286:AE286)-(COLUMN(AC286)-2))))-1),"")</f>
        <v>ARCHIVED</v>
      </c>
      <c r="M286" s="13" t="n">
        <f aca="true">K286-TODAY()</f>
        <v>-333</v>
      </c>
      <c r="N286" s="13" t="s">
        <v>401</v>
      </c>
      <c r="O286" s="13" t="s">
        <v>1302</v>
      </c>
      <c r="P286" s="19" t="n">
        <v>2530313</v>
      </c>
      <c r="Q286" s="20" t="s">
        <v>1303</v>
      </c>
      <c r="R286" s="13" t="s">
        <v>401</v>
      </c>
      <c r="S286" s="14" t="n">
        <v>36749</v>
      </c>
      <c r="T286" s="13" t="s">
        <v>40</v>
      </c>
      <c r="U286" s="13" t="s">
        <v>1304</v>
      </c>
      <c r="V286" s="13" t="s">
        <v>42</v>
      </c>
      <c r="W286" s="13" t="s">
        <v>43</v>
      </c>
      <c r="X286" s="21" t="n">
        <v>82231316392</v>
      </c>
      <c r="Y286" s="22" t="str">
        <f aca="false">O286</f>
        <v>Security</v>
      </c>
      <c r="Z286" s="13" t="str">
        <f aca="false">IFERROR(__xludf.dummyfunction("if(BJ286="""","""",GOOGLETRANSLATE(BJ286,""auto"",""en""))"),"Security")</f>
        <v>Security</v>
      </c>
      <c r="AA286" s="23" t="str">
        <f aca="false">IF(C286="","", CHOOSE(MONTH(C286),"January","February","March","April","May","June","July","August","September","October","November","December")&amp;" "&amp;DAY(C286)&amp;MID("thstndrdth",MIN(9,2*RIGHT(DAY(C286))*(MOD(DAY(C286)-11,100)&gt;2)+1),2)&amp;","&amp;TEXT(C286," yyyy"))</f>
        <v>July 1st,2020</v>
      </c>
      <c r="AB286" s="15" t="str">
        <f aca="true">IF(S286="","",DATEDIF(S286,TODAY(),"Y")&amp;" Tahun, "&amp;DATEDIF(S286,TODAY(),"YM")&amp;" Bulan, "&amp;DATEDIF(S286,TODAY(),"MD")&amp;" Hari")</f>
        <v>26 Tahun, 2 Bulan, 18 Hari</v>
      </c>
      <c r="AC286" s="18" t="n">
        <v>45870</v>
      </c>
      <c r="AD286" s="18" t="n">
        <v>45991</v>
      </c>
      <c r="AE286" s="18" t="s">
        <v>44</v>
      </c>
    </row>
    <row r="287" customFormat="false" ht="15.75" hidden="false" customHeight="true" outlineLevel="0" collapsed="false">
      <c r="A287" s="12" t="n">
        <v>1731</v>
      </c>
      <c r="B287" s="13" t="s">
        <v>1305</v>
      </c>
      <c r="C287" s="14" t="n">
        <v>44013</v>
      </c>
      <c r="D287" s="13" t="s">
        <v>1291</v>
      </c>
      <c r="E287" s="15" t="s">
        <v>47</v>
      </c>
      <c r="F287" s="15" t="str">
        <f aca="false">IFERROR(__xludf.dummyfunction("XLOOKUP(AJ287,IMPORTRANGE(""1XaInW9DU9nz21V0tYIfzFQ0He9kVQ_JF2mCXgZ3hqFA"",""REKAP ALL 2026 - Andika!G:G""),IMPORTRANGE(""1XaInW9DU9nz21V0tYIfzFQ0He9kVQ_JF2mCXgZ3hqFA"",""REKAP ALL 2026 - Andika!F:F""),"""",0)"),"20055632895")</f>
        <v>20055632895</v>
      </c>
      <c r="G287" s="13" t="s">
        <v>1306</v>
      </c>
      <c r="H287" s="13" t="s">
        <v>35</v>
      </c>
      <c r="I287" s="13" t="str">
        <f aca="false">IF(C287=J287,"NEW KONTRAK","RE-KONTRAK")</f>
        <v>RE-KONTRAK</v>
      </c>
      <c r="J287" s="16" t="n">
        <f aca="false" t="array" ref="J287:J287">IFERROR(INDEX(AC287:AE287,IF(COUNTA(AC287:AE287)=0,"",MAX((AC287:AE287&lt;&gt;"")*(COLUMN(AC287:AE287)-(COLUMN(AC287)))))-1),"")</f>
        <v>45870</v>
      </c>
      <c r="K287" s="16" t="n">
        <f aca="false" t="array" ref="K287:K287">IFERROR(INDEX(AC287:AE287,IF(COUNTA(AC287:AE287)=0,"",MAX((AC287:AE287&lt;&gt;"")*(COLUMN(AC287:AE287)-(COLUMN(AC287)-1))))-1),"")</f>
        <v>45991</v>
      </c>
      <c r="L287" s="17" t="str">
        <f aca="false" t="array" ref="L287:L287">IFERROR(INDEX(AC287:AE287,IF(COUNTA(AC287:AE287)=0,"",MAX((AC287:AE287&lt;&gt;"")*(COLUMN(AC287:AE287)-(COLUMN(AC287)-2))))-1),"")</f>
        <v>ARCHIVED</v>
      </c>
      <c r="M287" s="13" t="n">
        <f aca="true">K287-TODAY()</f>
        <v>-333</v>
      </c>
      <c r="N287" s="18" t="s">
        <v>1293</v>
      </c>
      <c r="O287" s="13" t="s">
        <v>1302</v>
      </c>
      <c r="P287" s="19" t="n">
        <v>2651603</v>
      </c>
      <c r="Q287" s="20" t="s">
        <v>1307</v>
      </c>
      <c r="R287" s="13" t="s">
        <v>1308</v>
      </c>
      <c r="S287" s="14" t="n">
        <v>28660</v>
      </c>
      <c r="T287" s="13" t="s">
        <v>40</v>
      </c>
      <c r="U287" s="13" t="s">
        <v>1309</v>
      </c>
      <c r="V287" s="13" t="s">
        <v>1310</v>
      </c>
      <c r="W287" s="13" t="s">
        <v>54</v>
      </c>
      <c r="X287" s="21" t="n">
        <v>85737917020</v>
      </c>
      <c r="Y287" s="22" t="str">
        <f aca="false">O287</f>
        <v>Security</v>
      </c>
      <c r="Z287" s="13" t="str">
        <f aca="false">IFERROR(__xludf.dummyfunction("if(BJ287="""","""",GOOGLETRANSLATE(BJ287,""auto"",""en""))"),"Security")</f>
        <v>Security</v>
      </c>
      <c r="AA287" s="23" t="str">
        <f aca="false">IF(C287="","", CHOOSE(MONTH(C287),"January","February","March","April","May","June","July","August","September","October","November","December")&amp;" "&amp;DAY(C287)&amp;MID("thstndrdth",MIN(9,2*RIGHT(DAY(C287))*(MOD(DAY(C287)-11,100)&gt;2)+1),2)&amp;","&amp;TEXT(C287," yyyy"))</f>
        <v>July 1st,2020</v>
      </c>
      <c r="AB287" s="15" t="str">
        <f aca="true">IF(S287="","",DATEDIF(S287,TODAY(),"Y")&amp;" Tahun, "&amp;DATEDIF(S287,TODAY(),"YM")&amp;" Bulan, "&amp;DATEDIF(S287,TODAY(),"MD")&amp;" Hari")</f>
        <v>48 Tahun, 4 Bulan, 10 Hari</v>
      </c>
      <c r="AC287" s="18" t="n">
        <v>45870</v>
      </c>
      <c r="AD287" s="18" t="n">
        <v>45991</v>
      </c>
      <c r="AE287" s="18" t="s">
        <v>44</v>
      </c>
    </row>
    <row r="288" customFormat="false" ht="15.75" hidden="false" customHeight="true" outlineLevel="0" collapsed="false">
      <c r="A288" s="12" t="n">
        <v>1732</v>
      </c>
      <c r="B288" s="13" t="s">
        <v>1311</v>
      </c>
      <c r="C288" s="14" t="n">
        <v>44013</v>
      </c>
      <c r="D288" s="13" t="s">
        <v>1291</v>
      </c>
      <c r="E288" s="15" t="s">
        <v>47</v>
      </c>
      <c r="F288" s="15" t="str">
        <f aca="false">IFERROR(__xludf.dummyfunction("XLOOKUP(AJ288,IMPORTRANGE(""1XaInW9DU9nz21V0tYIfzFQ0He9kVQ_JF2mCXgZ3hqFA"",""REKAP ALL 2026 - Andika!G:G""),IMPORTRANGE(""1XaInW9DU9nz21V0tYIfzFQ0He9kVQ_JF2mCXgZ3hqFA"",""REKAP ALL 2026 - Andika!F:F""),"""",0)"),"20055632796")</f>
        <v>20055632796</v>
      </c>
      <c r="G288" s="13" t="s">
        <v>1312</v>
      </c>
      <c r="H288" s="13" t="s">
        <v>35</v>
      </c>
      <c r="I288" s="13" t="str">
        <f aca="false">IF(C288=J288,"NEW KONTRAK","RE-KONTRAK")</f>
        <v>RE-KONTRAK</v>
      </c>
      <c r="J288" s="16" t="n">
        <f aca="false" t="array" ref="J288:J288">IFERROR(INDEX(AC288:AE288,IF(COUNTA(AC288:AE288)=0,"",MAX((AC288:AE288&lt;&gt;"")*(COLUMN(AC288:AE288)-(COLUMN(AC288)))))-1),"")</f>
        <v>45870</v>
      </c>
      <c r="K288" s="16" t="n">
        <f aca="false" t="array" ref="K288:K288">IFERROR(INDEX(AC288:AE288,IF(COUNTA(AC288:AE288)=0,"",MAX((AC288:AE288&lt;&gt;"")*(COLUMN(AC288:AE288)-(COLUMN(AC288)-1))))-1),"")</f>
        <v>45991</v>
      </c>
      <c r="L288" s="17" t="str">
        <f aca="false" t="array" ref="L288:L288">IFERROR(INDEX(AC288:AE288,IF(COUNTA(AC288:AE288)=0,"",MAX((AC288:AE288&lt;&gt;"")*(COLUMN(AC288:AE288)-(COLUMN(AC288)-2))))-1),"")</f>
        <v>ARCHIVED</v>
      </c>
      <c r="M288" s="13" t="n">
        <f aca="true">K288-TODAY()</f>
        <v>-333</v>
      </c>
      <c r="N288" s="18" t="s">
        <v>1293</v>
      </c>
      <c r="O288" s="13" t="s">
        <v>1302</v>
      </c>
      <c r="P288" s="19" t="n">
        <v>2651603</v>
      </c>
      <c r="Q288" s="20" t="s">
        <v>1313</v>
      </c>
      <c r="R288" s="13" t="s">
        <v>260</v>
      </c>
      <c r="S288" s="14" t="n">
        <v>30667</v>
      </c>
      <c r="T288" s="13" t="s">
        <v>40</v>
      </c>
      <c r="U288" s="13" t="s">
        <v>1314</v>
      </c>
      <c r="V288" s="13" t="s">
        <v>42</v>
      </c>
      <c r="W288" s="13" t="s">
        <v>54</v>
      </c>
      <c r="X288" s="21" t="n">
        <v>85649009337</v>
      </c>
      <c r="Y288" s="22" t="str">
        <f aca="false">O288</f>
        <v>Security</v>
      </c>
      <c r="Z288" s="13" t="str">
        <f aca="false">IFERROR(__xludf.dummyfunction("if(BJ288="""","""",GOOGLETRANSLATE(BJ288,""auto"",""en""))"),"Security")</f>
        <v>Security</v>
      </c>
      <c r="AA288" s="23" t="str">
        <f aca="false">IF(C288="","", CHOOSE(MONTH(C288),"January","February","March","April","May","June","July","August","September","October","November","December")&amp;" "&amp;DAY(C288)&amp;MID("thstndrdth",MIN(9,2*RIGHT(DAY(C288))*(MOD(DAY(C288)-11,100)&gt;2)+1),2)&amp;","&amp;TEXT(C288," yyyy"))</f>
        <v>July 1st,2020</v>
      </c>
      <c r="AB288" s="15" t="str">
        <f aca="true">IF(S288="","",DATEDIF(S288,TODAY(),"Y")&amp;" Tahun, "&amp;DATEDIF(S288,TODAY(),"YM")&amp;" Bulan, "&amp;DATEDIF(S288,TODAY(),"MD")&amp;" Hari")</f>
        <v>42 Tahun, 10 Bulan, 12 Hari</v>
      </c>
      <c r="AC288" s="18" t="n">
        <v>45870</v>
      </c>
      <c r="AD288" s="18" t="n">
        <v>45991</v>
      </c>
      <c r="AE288" s="18" t="s">
        <v>44</v>
      </c>
    </row>
    <row r="289" customFormat="false" ht="15.75" hidden="false" customHeight="true" outlineLevel="0" collapsed="false">
      <c r="A289" s="12" t="n">
        <v>1733</v>
      </c>
      <c r="B289" s="13" t="s">
        <v>1315</v>
      </c>
      <c r="C289" s="14" t="n">
        <v>44013</v>
      </c>
      <c r="D289" s="13" t="s">
        <v>1291</v>
      </c>
      <c r="E289" s="15" t="s">
        <v>47</v>
      </c>
      <c r="F289" s="15" t="str">
        <f aca="false">IFERROR(__xludf.dummyfunction("XLOOKUP(AJ289,IMPORTRANGE(""1XaInW9DU9nz21V0tYIfzFQ0He9kVQ_JF2mCXgZ3hqFA"",""REKAP ALL 2026 - Andika!G:G""),IMPORTRANGE(""1XaInW9DU9nz21V0tYIfzFQ0He9kVQ_JF2mCXgZ3hqFA"",""REKAP ALL 2026 - Andika!F:F""),"""",0)"),"20055632788")</f>
        <v>20055632788</v>
      </c>
      <c r="G289" s="13" t="s">
        <v>1316</v>
      </c>
      <c r="H289" s="13" t="s">
        <v>35</v>
      </c>
      <c r="I289" s="13" t="str">
        <f aca="false">IF(C289=J289,"NEW KONTRAK","RE-KONTRAK")</f>
        <v>RE-KONTRAK</v>
      </c>
      <c r="J289" s="16" t="n">
        <f aca="false" t="array" ref="J289:J289">IFERROR(INDEX(AC289:AE289,IF(COUNTA(AC289:AE289)=0,"",MAX((AC289:AE289&lt;&gt;"")*(COLUMN(AC289:AE289)-(COLUMN(AC289)))))-1),"")</f>
        <v>45870</v>
      </c>
      <c r="K289" s="16" t="n">
        <f aca="false" t="array" ref="K289:K289">IFERROR(INDEX(AC289:AE289,IF(COUNTA(AC289:AE289)=0,"",MAX((AC289:AE289&lt;&gt;"")*(COLUMN(AC289:AE289)-(COLUMN(AC289)-1))))-1),"")</f>
        <v>45991</v>
      </c>
      <c r="L289" s="17" t="str">
        <f aca="false" t="array" ref="L289:L289">IFERROR(INDEX(AC289:AE289,IF(COUNTA(AC289:AE289)=0,"",MAX((AC289:AE289&lt;&gt;"")*(COLUMN(AC289:AE289)-(COLUMN(AC289)-2))))-1),"")</f>
        <v>ARCHIVED</v>
      </c>
      <c r="M289" s="13" t="n">
        <f aca="true">K289-TODAY()</f>
        <v>-333</v>
      </c>
      <c r="N289" s="18" t="s">
        <v>1293</v>
      </c>
      <c r="O289" s="13" t="s">
        <v>1302</v>
      </c>
      <c r="P289" s="19" t="n">
        <v>2651603</v>
      </c>
      <c r="Q289" s="20" t="s">
        <v>1317</v>
      </c>
      <c r="R289" s="13" t="s">
        <v>260</v>
      </c>
      <c r="S289" s="14" t="n">
        <v>29010</v>
      </c>
      <c r="T289" s="13" t="s">
        <v>40</v>
      </c>
      <c r="U289" s="13" t="s">
        <v>1318</v>
      </c>
      <c r="V289" s="13" t="s">
        <v>42</v>
      </c>
      <c r="W289" s="13" t="s">
        <v>54</v>
      </c>
      <c r="X289" s="21" t="n">
        <v>85608551909</v>
      </c>
      <c r="Y289" s="22" t="str">
        <f aca="false">O289</f>
        <v>Security</v>
      </c>
      <c r="Z289" s="13" t="str">
        <f aca="false">IFERROR(__xludf.dummyfunction("if(BJ289="""","""",GOOGLETRANSLATE(BJ289,""auto"",""en""))"),"Security")</f>
        <v>Security</v>
      </c>
      <c r="AA289" s="23" t="str">
        <f aca="false">IF(C289="","", CHOOSE(MONTH(C289),"January","February","March","April","May","June","July","August","September","October","November","December")&amp;" "&amp;DAY(C289)&amp;MID("thstndrdth",MIN(9,2*RIGHT(DAY(C289))*(MOD(DAY(C289)-11,100)&gt;2)+1),2)&amp;","&amp;TEXT(C289," yyyy"))</f>
        <v>July 1st,2020</v>
      </c>
      <c r="AB289" s="15" t="str">
        <f aca="true">IF(S289="","",DATEDIF(S289,TODAY(),"Y")&amp;" Tahun, "&amp;DATEDIF(S289,TODAY(),"YM")&amp;" Bulan, "&amp;DATEDIF(S289,TODAY(),"MD")&amp;" Hari")</f>
        <v>47 Tahun, 4 Bulan, 25 Hari</v>
      </c>
      <c r="AC289" s="18" t="n">
        <v>45870</v>
      </c>
      <c r="AD289" s="18" t="n">
        <v>45991</v>
      </c>
      <c r="AE289" s="18" t="s">
        <v>44</v>
      </c>
    </row>
    <row r="290" customFormat="false" ht="15.75" hidden="false" customHeight="true" outlineLevel="0" collapsed="false">
      <c r="A290" s="12" t="n">
        <v>1735</v>
      </c>
      <c r="B290" s="13" t="s">
        <v>1319</v>
      </c>
      <c r="C290" s="14" t="n">
        <v>44013</v>
      </c>
      <c r="D290" s="13" t="s">
        <v>1291</v>
      </c>
      <c r="E290" s="15" t="s">
        <v>33</v>
      </c>
      <c r="F290" s="15" t="str">
        <f aca="false">IFERROR(__xludf.dummyfunction("XLOOKUP(AJ290,IMPORTRANGE(""1XaInW9DU9nz21V0tYIfzFQ0He9kVQ_JF2mCXgZ3hqFA"",""REKAP ALL 2026 - Andika!G:G""),IMPORTRANGE(""1XaInW9DU9nz21V0tYIfzFQ0He9kVQ_JF2mCXgZ3hqFA"",""REKAP ALL 2026 - Andika!F:F""),"""",0)"),"20055632838")</f>
        <v>20055632838</v>
      </c>
      <c r="G290" s="13" t="s">
        <v>1320</v>
      </c>
      <c r="H290" s="13" t="s">
        <v>35</v>
      </c>
      <c r="I290" s="13" t="str">
        <f aca="false">IF(C290=J290,"NEW KONTRAK","RE-KONTRAK")</f>
        <v>RE-KONTRAK</v>
      </c>
      <c r="J290" s="16" t="n">
        <f aca="false" t="array" ref="J290:J290">IFERROR(INDEX(AC290:AE290,IF(COUNTA(AC290:AE290)=0,"",MAX((AC290:AE290&lt;&gt;"")*(COLUMN(AC290:AE290)-(COLUMN(AC290)))))-1),"")</f>
        <v>45870</v>
      </c>
      <c r="K290" s="16" t="n">
        <f aca="false" t="array" ref="K290:K290">IFERROR(INDEX(AC290:AE290,IF(COUNTA(AC290:AE290)=0,"",MAX((AC290:AE290&lt;&gt;"")*(COLUMN(AC290:AE290)-(COLUMN(AC290)-1))))-1),"")</f>
        <v>45991</v>
      </c>
      <c r="L290" s="17" t="str">
        <f aca="false" t="array" ref="L290:L290">IFERROR(INDEX(AC290:AE290,IF(COUNTA(AC290:AE290)=0,"",MAX((AC290:AE290&lt;&gt;"")*(COLUMN(AC290:AE290)-(COLUMN(AC290)-2))))-1),"")</f>
        <v>ARCHIVED</v>
      </c>
      <c r="M290" s="13" t="n">
        <f aca="true">K290-TODAY()</f>
        <v>-333</v>
      </c>
      <c r="N290" s="18" t="s">
        <v>1293</v>
      </c>
      <c r="O290" s="13" t="s">
        <v>1302</v>
      </c>
      <c r="P290" s="27" t="n">
        <v>2651603</v>
      </c>
      <c r="Q290" s="20" t="s">
        <v>1321</v>
      </c>
      <c r="R290" s="13" t="s">
        <v>255</v>
      </c>
      <c r="S290" s="14" t="n">
        <v>29614</v>
      </c>
      <c r="T290" s="13" t="s">
        <v>40</v>
      </c>
      <c r="U290" s="13" t="s">
        <v>1322</v>
      </c>
      <c r="V290" s="13" t="s">
        <v>42</v>
      </c>
      <c r="W290" s="13" t="s">
        <v>54</v>
      </c>
      <c r="X290" s="21" t="n">
        <v>81216762295</v>
      </c>
      <c r="Y290" s="22" t="str">
        <f aca="false">O290</f>
        <v>Security</v>
      </c>
      <c r="Z290" s="13" t="str">
        <f aca="false">IFERROR(__xludf.dummyfunction("if(BJ290="""","""",GOOGLETRANSLATE(BJ290,""auto"",""en""))"),"Security")</f>
        <v>Security</v>
      </c>
      <c r="AA290" s="23" t="str">
        <f aca="false">IF(C290="","", CHOOSE(MONTH(C290),"January","February","March","April","May","June","July","August","September","October","November","December")&amp;" "&amp;DAY(C290)&amp;MID("thstndrdth",MIN(9,2*RIGHT(DAY(C290))*(MOD(DAY(C290)-11,100)&gt;2)+1),2)&amp;","&amp;TEXT(C290," yyyy"))</f>
        <v>July 1st,2020</v>
      </c>
      <c r="AB290" s="15" t="str">
        <f aca="true">IF(S290="","",DATEDIF(S290,TODAY(),"Y")&amp;" Tahun, "&amp;DATEDIF(S290,TODAY(),"YM")&amp;" Bulan, "&amp;DATEDIF(S290,TODAY(),"MD")&amp;" Hari")</f>
        <v>45 Tahun, 9 Bulan, 1 Hari</v>
      </c>
      <c r="AC290" s="18" t="n">
        <v>45870</v>
      </c>
      <c r="AD290" s="18" t="n">
        <v>45991</v>
      </c>
      <c r="AE290" s="18" t="s">
        <v>44</v>
      </c>
    </row>
    <row r="291" customFormat="false" ht="15.75" hidden="false" customHeight="true" outlineLevel="0" collapsed="false">
      <c r="A291" s="12" t="n">
        <v>1736</v>
      </c>
      <c r="B291" s="13" t="s">
        <v>1323</v>
      </c>
      <c r="C291" s="14" t="n">
        <v>44197</v>
      </c>
      <c r="D291" s="13" t="s">
        <v>1291</v>
      </c>
      <c r="E291" s="15" t="s">
        <v>47</v>
      </c>
      <c r="F291" s="15" t="str">
        <f aca="false">IFERROR(__xludf.dummyfunction("XLOOKUP(AJ291,IMPORTRANGE(""1XaInW9DU9nz21V0tYIfzFQ0He9kVQ_JF2mCXgZ3hqFA"",""REKAP ALL 2026 - Andika!G:G""),IMPORTRANGE(""1XaInW9DU9nz21V0tYIfzFQ0He9kVQ_JF2mCXgZ3hqFA"",""REKAP ALL 2026 - Andika!F:F""),"""",0)"),"21017360591")</f>
        <v>21017360591</v>
      </c>
      <c r="G291" s="13" t="s">
        <v>1324</v>
      </c>
      <c r="H291" s="13" t="s">
        <v>35</v>
      </c>
      <c r="I291" s="13" t="str">
        <f aca="false">IF(C291=J291,"NEW KONTRAK","RE-KONTRAK")</f>
        <v>RE-KONTRAK</v>
      </c>
      <c r="J291" s="16" t="n">
        <f aca="false" t="array" ref="J291:J291">IFERROR(INDEX(AC291:AE291,IF(COUNTA(AC291:AE291)=0,"",MAX((AC291:AE291&lt;&gt;"")*(COLUMN(AC291:AE291)-(COLUMN(AC291)))))-1),"")</f>
        <v>45870</v>
      </c>
      <c r="K291" s="16" t="n">
        <f aca="false" t="array" ref="K291:K291">IFERROR(INDEX(AC291:AE291,IF(COUNTA(AC291:AE291)=0,"",MAX((AC291:AE291&lt;&gt;"")*(COLUMN(AC291:AE291)-(COLUMN(AC291)-1))))-1),"")</f>
        <v>45991</v>
      </c>
      <c r="L291" s="17" t="str">
        <f aca="false" t="array" ref="L291:L291">IFERROR(INDEX(AC291:AE291,IF(COUNTA(AC291:AE291)=0,"",MAX((AC291:AE291&lt;&gt;"")*(COLUMN(AC291:AE291)-(COLUMN(AC291)-2))))-1),"")</f>
        <v>ARCHIVED</v>
      </c>
      <c r="M291" s="13" t="n">
        <f aca="true">K291-TODAY()</f>
        <v>-333</v>
      </c>
      <c r="N291" s="13" t="s">
        <v>60</v>
      </c>
      <c r="O291" s="13" t="s">
        <v>1302</v>
      </c>
      <c r="P291" s="19" t="n">
        <v>2628190</v>
      </c>
      <c r="Q291" s="20" t="s">
        <v>1325</v>
      </c>
      <c r="R291" s="13" t="s">
        <v>60</v>
      </c>
      <c r="S291" s="14" t="n">
        <v>33034</v>
      </c>
      <c r="T291" s="13" t="s">
        <v>40</v>
      </c>
      <c r="U291" s="13" t="s">
        <v>1326</v>
      </c>
      <c r="V291" s="13" t="s">
        <v>42</v>
      </c>
      <c r="W291" s="13" t="s">
        <v>43</v>
      </c>
      <c r="X291" s="21" t="n">
        <v>85678545331</v>
      </c>
      <c r="Y291" s="22" t="str">
        <f aca="false">O291</f>
        <v>Security</v>
      </c>
      <c r="Z291" s="13" t="str">
        <f aca="false">IFERROR(__xludf.dummyfunction("if(BJ291="""","""",GOOGLETRANSLATE(BJ291,""auto"",""en""))"),"Security")</f>
        <v>Security</v>
      </c>
      <c r="AA291" s="23" t="str">
        <f aca="false">IF(C291="","", CHOOSE(MONTH(C291),"January","February","March","April","May","June","July","August","September","October","November","December")&amp;" "&amp;DAY(C291)&amp;MID("thstndrdth",MIN(9,2*RIGHT(DAY(C291))*(MOD(DAY(C291)-11,100)&gt;2)+1),2)&amp;","&amp;TEXT(C291," yyyy"))</f>
        <v>January 1st,2021</v>
      </c>
      <c r="AB291" s="15" t="str">
        <f aca="true">IF(S291="","",DATEDIF(S291,TODAY(),"Y")&amp;" Tahun, "&amp;DATEDIF(S291,TODAY(),"YM")&amp;" Bulan, "&amp;DATEDIF(S291,TODAY(),"MD")&amp;" Hari")</f>
        <v>36 Tahun, 4 Bulan, 19 Hari</v>
      </c>
      <c r="AC291" s="18" t="n">
        <v>45870</v>
      </c>
      <c r="AD291" s="18" t="n">
        <v>45991</v>
      </c>
      <c r="AE291" s="18" t="s">
        <v>44</v>
      </c>
    </row>
    <row r="292" customFormat="false" ht="15.75" hidden="false" customHeight="true" outlineLevel="0" collapsed="false">
      <c r="A292" s="12" t="n">
        <v>1737</v>
      </c>
      <c r="B292" s="13" t="s">
        <v>1327</v>
      </c>
      <c r="C292" s="14" t="n">
        <v>44287</v>
      </c>
      <c r="D292" s="13" t="s">
        <v>1291</v>
      </c>
      <c r="E292" s="15" t="s">
        <v>47</v>
      </c>
      <c r="F292" s="15" t="str">
        <f aca="false">IFERROR(__xludf.dummyfunction("XLOOKUP(AJ292,IMPORTRANGE(""1XaInW9DU9nz21V0tYIfzFQ0He9kVQ_JF2mCXgZ3hqFA"",""REKAP ALL 2026 - Andika!G:G""),IMPORTRANGE(""1XaInW9DU9nz21V0tYIfzFQ0He9kVQ_JF2mCXgZ3hqFA"",""REKAP ALL 2026 - Andika!F:F""),"""",0)"),"21031355197")</f>
        <v>21031355197</v>
      </c>
      <c r="G292" s="13" t="s">
        <v>1328</v>
      </c>
      <c r="H292" s="13" t="s">
        <v>35</v>
      </c>
      <c r="I292" s="13" t="str">
        <f aca="false">IF(C292=J292,"NEW KONTRAK","RE-KONTRAK")</f>
        <v>RE-KONTRAK</v>
      </c>
      <c r="J292" s="16" t="n">
        <f aca="false" t="array" ref="J292:J292">IFERROR(INDEX(AC292:AE292,IF(COUNTA(AC292:AE292)=0,"",MAX((AC292:AE292&lt;&gt;"")*(COLUMN(AC292:AE292)-(COLUMN(AC292)))))-1),"")</f>
        <v>45870</v>
      </c>
      <c r="K292" s="16" t="n">
        <f aca="false" t="array" ref="K292:K292">IFERROR(INDEX(AC292:AE292,IF(COUNTA(AC292:AE292)=0,"",MAX((AC292:AE292&lt;&gt;"")*(COLUMN(AC292:AE292)-(COLUMN(AC292)-1))))-1),"")</f>
        <v>45991</v>
      </c>
      <c r="L292" s="17" t="str">
        <f aca="false" t="array" ref="L292:L292">IFERROR(INDEX(AC292:AE292,IF(COUNTA(AC292:AE292)=0,"",MAX((AC292:AE292&lt;&gt;"")*(COLUMN(AC292:AE292)-(COLUMN(AC292)-2))))-1),"")</f>
        <v>ARCHIVED</v>
      </c>
      <c r="M292" s="13" t="n">
        <f aca="true">K292-TODAY()</f>
        <v>-333</v>
      </c>
      <c r="N292" s="18" t="s">
        <v>1293</v>
      </c>
      <c r="O292" s="13" t="s">
        <v>719</v>
      </c>
      <c r="P292" s="19" t="n">
        <v>2651603</v>
      </c>
      <c r="Q292" s="20" t="s">
        <v>1329</v>
      </c>
      <c r="R292" s="13" t="s">
        <v>260</v>
      </c>
      <c r="S292" s="14" t="n">
        <v>36601</v>
      </c>
      <c r="T292" s="13" t="s">
        <v>40</v>
      </c>
      <c r="U292" s="13" t="s">
        <v>1330</v>
      </c>
      <c r="V292" s="13" t="s">
        <v>42</v>
      </c>
      <c r="W292" s="13" t="s">
        <v>43</v>
      </c>
      <c r="X292" s="21" t="n">
        <v>81357287695</v>
      </c>
      <c r="Y292" s="22" t="str">
        <f aca="false">O292</f>
        <v>Cleaning Service</v>
      </c>
      <c r="Z292" s="13" t="str">
        <f aca="false">IFERROR(__xludf.dummyfunction("if(BJ292="""","""",GOOGLETRANSLATE(BJ292,""auto"",""en""))"),"Cleaning Service")</f>
        <v>Cleaning Service</v>
      </c>
      <c r="AA292" s="23" t="str">
        <f aca="false">IF(C292="","", CHOOSE(MONTH(C292),"January","February","March","April","May","June","July","August","September","October","November","December")&amp;" "&amp;DAY(C292)&amp;MID("thstndrdth",MIN(9,2*RIGHT(DAY(C292))*(MOD(DAY(C292)-11,100)&gt;2)+1),2)&amp;","&amp;TEXT(C292," yyyy"))</f>
        <v>April 1st,2021</v>
      </c>
      <c r="AB292" s="15" t="str">
        <f aca="true">IF(S292="","",DATEDIF(S292,TODAY(),"Y")&amp;" Tahun, "&amp;DATEDIF(S292,TODAY(),"YM")&amp;" Bulan, "&amp;DATEDIF(S292,TODAY(),"MD")&amp;" Hari")</f>
        <v>26 Tahun, 7 Bulan, 13 Hari</v>
      </c>
      <c r="AC292" s="18" t="n">
        <v>45870</v>
      </c>
      <c r="AD292" s="18" t="n">
        <v>45991</v>
      </c>
      <c r="AE292" s="18" t="s">
        <v>44</v>
      </c>
    </row>
    <row r="293" customFormat="false" ht="15.75" hidden="false" customHeight="true" outlineLevel="0" collapsed="false">
      <c r="A293" s="12" t="n">
        <v>1738</v>
      </c>
      <c r="B293" s="13" t="s">
        <v>1331</v>
      </c>
      <c r="C293" s="14" t="n">
        <v>44287</v>
      </c>
      <c r="D293" s="13" t="s">
        <v>1291</v>
      </c>
      <c r="E293" s="15" t="s">
        <v>47</v>
      </c>
      <c r="F293" s="15" t="str">
        <f aca="false">IFERROR(__xludf.dummyfunction("XLOOKUP(AJ293,IMPORTRANGE(""1XaInW9DU9nz21V0tYIfzFQ0He9kVQ_JF2mCXgZ3hqFA"",""REKAP ALL 2026 - Andika!G:G""),IMPORTRANGE(""1XaInW9DU9nz21V0tYIfzFQ0He9kVQ_JF2mCXgZ3hqFA"",""REKAP ALL 2026 - Andika!F:F""),"""",0)"),"21038785008")</f>
        <v>21038785008</v>
      </c>
      <c r="G293" s="13" t="s">
        <v>1332</v>
      </c>
      <c r="H293" s="13" t="s">
        <v>35</v>
      </c>
      <c r="I293" s="13" t="str">
        <f aca="false">IF(C293=J293,"NEW KONTRAK","RE-KONTRAK")</f>
        <v>RE-KONTRAK</v>
      </c>
      <c r="J293" s="16" t="n">
        <f aca="false" t="array" ref="J293:J293">IFERROR(INDEX(AC293:AE293,IF(COUNTA(AC293:AE293)=0,"",MAX((AC293:AE293&lt;&gt;"")*(COLUMN(AC293:AE293)-(COLUMN(AC293)))))-1),"")</f>
        <v>45870</v>
      </c>
      <c r="K293" s="16" t="n">
        <f aca="false" t="array" ref="K293:K293">IFERROR(INDEX(AC293:AE293,IF(COUNTA(AC293:AE293)=0,"",MAX((AC293:AE293&lt;&gt;"")*(COLUMN(AC293:AE293)-(COLUMN(AC293)-1))))-1),"")</f>
        <v>45991</v>
      </c>
      <c r="L293" s="17" t="str">
        <f aca="false" t="array" ref="L293:L293">IFERROR(INDEX(AC293:AE293,IF(COUNTA(AC293:AE293)=0,"",MAX((AC293:AE293&lt;&gt;"")*(COLUMN(AC293:AE293)-(COLUMN(AC293)-2))))-1),"")</f>
        <v>ARCHIVED</v>
      </c>
      <c r="M293" s="13" t="n">
        <f aca="true">K293-TODAY()</f>
        <v>-333</v>
      </c>
      <c r="N293" s="18" t="s">
        <v>1293</v>
      </c>
      <c r="O293" s="13" t="s">
        <v>1333</v>
      </c>
      <c r="P293" s="19" t="n">
        <v>2651603</v>
      </c>
      <c r="Q293" s="20" t="s">
        <v>1334</v>
      </c>
      <c r="R293" s="13" t="s">
        <v>1335</v>
      </c>
      <c r="S293" s="14" t="n">
        <v>36923</v>
      </c>
      <c r="T293" s="13" t="s">
        <v>40</v>
      </c>
      <c r="U293" s="13" t="s">
        <v>1336</v>
      </c>
      <c r="V293" s="13" t="s">
        <v>42</v>
      </c>
      <c r="W293" s="13" t="s">
        <v>43</v>
      </c>
      <c r="X293" s="21" t="n">
        <v>89618660061</v>
      </c>
      <c r="Y293" s="22" t="str">
        <f aca="false">O293</f>
        <v>Pramusaji / OB</v>
      </c>
      <c r="Z293" s="13" t="str">
        <f aca="false">IFERROR(__xludf.dummyfunction("if(BJ293="""","""",GOOGLETRANSLATE(BJ293,""auto"",""en""))"),"Pramusaji / OB")</f>
        <v>Pramusaji / OB</v>
      </c>
      <c r="AA293" s="23" t="str">
        <f aca="false">IF(C293="","", CHOOSE(MONTH(C293),"January","February","March","April","May","June","July","August","September","October","November","December")&amp;" "&amp;DAY(C293)&amp;MID("thstndrdth",MIN(9,2*RIGHT(DAY(C293))*(MOD(DAY(C293)-11,100)&gt;2)+1),2)&amp;","&amp;TEXT(C293," yyyy"))</f>
        <v>April 1st,2021</v>
      </c>
      <c r="AB293" s="15" t="str">
        <f aca="true">IF(S293="","",DATEDIF(S293,TODAY(),"Y")&amp;" Tahun, "&amp;DATEDIF(S293,TODAY(),"YM")&amp;" Bulan, "&amp;DATEDIF(S293,TODAY(),"MD")&amp;" Hari")</f>
        <v>25 Tahun, 8 Bulan, 28 Hari</v>
      </c>
      <c r="AC293" s="18" t="n">
        <v>45870</v>
      </c>
      <c r="AD293" s="18" t="n">
        <v>45991</v>
      </c>
      <c r="AE293" s="18" t="s">
        <v>44</v>
      </c>
    </row>
    <row r="294" customFormat="false" ht="15.75" hidden="false" customHeight="true" outlineLevel="0" collapsed="false">
      <c r="A294" s="12" t="n">
        <v>1825</v>
      </c>
      <c r="B294" s="13" t="s">
        <v>1337</v>
      </c>
      <c r="C294" s="14" t="n">
        <v>44370</v>
      </c>
      <c r="D294" s="13" t="s">
        <v>1338</v>
      </c>
      <c r="E294" s="15" t="s">
        <v>33</v>
      </c>
      <c r="F294" s="24" t="s">
        <v>1339</v>
      </c>
      <c r="G294" s="13" t="s">
        <v>1340</v>
      </c>
      <c r="H294" s="13" t="s">
        <v>1341</v>
      </c>
      <c r="I294" s="13" t="str">
        <f aca="false">IF(C294=J294,"NEW KONTRAK","RE-KONTRAK")</f>
        <v>RE-KONTRAK</v>
      </c>
      <c r="J294" s="16" t="n">
        <f aca="false" t="array" ref="J294:J294">IFERROR(INDEX(AC294:AE294,IF(COUNTA(AC294:AE294)=0,"",MAX((AC294:AE294&lt;&gt;"")*(COLUMN(AC294:AE294)-(COLUMN(AC294)))))-1),"")</f>
        <v>45480</v>
      </c>
      <c r="K294" s="16" t="n">
        <f aca="false" t="array" ref="K294:K294">IFERROR(INDEX(AC294:AE294,IF(COUNTA(AC294:AE294)=0,"",MAX((AC294:AE294&lt;&gt;"")*(COLUMN(AC294:AE294)-(COLUMN(AC294)-1))))-1),"")</f>
        <v>45844</v>
      </c>
      <c r="L294" s="17" t="str">
        <f aca="false" t="array" ref="L294:L294">IFERROR(INDEX(AC294:AE294,IF(COUNTA(AC294:AE294)=0,"",MAX((AC294:AE294&lt;&gt;"")*(COLUMN(AC294:AE294)-(COLUMN(AC294)-2))))-1),"")</f>
        <v>ARCHIVED</v>
      </c>
      <c r="M294" s="13" t="n">
        <f aca="true">K294-TODAY()</f>
        <v>-480</v>
      </c>
      <c r="N294" s="18" t="s">
        <v>615</v>
      </c>
      <c r="O294" s="13" t="s">
        <v>389</v>
      </c>
      <c r="P294" s="27" t="n">
        <v>2786977</v>
      </c>
      <c r="Q294" s="20" t="s">
        <v>1342</v>
      </c>
      <c r="R294" s="13" t="s">
        <v>232</v>
      </c>
      <c r="S294" s="14" t="n">
        <v>33332</v>
      </c>
      <c r="T294" s="13" t="s">
        <v>40</v>
      </c>
      <c r="U294" s="13" t="s">
        <v>1343</v>
      </c>
      <c r="V294" s="13" t="s">
        <v>42</v>
      </c>
      <c r="W294" s="13" t="s">
        <v>54</v>
      </c>
      <c r="X294" s="21" t="n">
        <v>85336182061</v>
      </c>
      <c r="Y294" s="22" t="str">
        <f aca="false">O294</f>
        <v>Packing</v>
      </c>
      <c r="Z294" s="13" t="str">
        <f aca="false">IFERROR(__xludf.dummyfunction("if(BJ294="""","""",GOOGLETRANSLATE(BJ294,""auto"",""en""))"),"Packing")</f>
        <v>Packing</v>
      </c>
      <c r="AA294" s="23" t="str">
        <f aca="false">IF(C294="","", CHOOSE(MONTH(C294),"January","February","March","April","May","June","July","August","September","October","November","December")&amp;" "&amp;DAY(C294)&amp;MID("thstndrdth",MIN(9,2*RIGHT(DAY(C294))*(MOD(DAY(C294)-11,100)&gt;2)+1),2)&amp;","&amp;TEXT(C294," yyyy"))</f>
        <v>June 23rd,2021</v>
      </c>
      <c r="AB294" s="15" t="str">
        <f aca="true">IF(S294="","",DATEDIF(S294,TODAY(),"Y")&amp;" Tahun, "&amp;DATEDIF(S294,TODAY(),"YM")&amp;" Bulan, "&amp;DATEDIF(S294,TODAY(),"MD")&amp;" Hari")</f>
        <v>35 Tahun, 6 Bulan, 25 Hari</v>
      </c>
      <c r="AC294" s="18" t="n">
        <v>45480</v>
      </c>
      <c r="AD294" s="18" t="n">
        <v>45844</v>
      </c>
      <c r="AE294" s="18" t="s">
        <v>44</v>
      </c>
    </row>
    <row r="295" customFormat="false" ht="15.75" hidden="false" customHeight="true" outlineLevel="0" collapsed="false">
      <c r="A295" s="12" t="n">
        <v>1830</v>
      </c>
      <c r="B295" s="13" t="s">
        <v>1344</v>
      </c>
      <c r="C295" s="14" t="n">
        <v>44370</v>
      </c>
      <c r="D295" s="13" t="s">
        <v>1338</v>
      </c>
      <c r="E295" s="15" t="s">
        <v>33</v>
      </c>
      <c r="F295" s="24" t="s">
        <v>1345</v>
      </c>
      <c r="G295" s="13" t="s">
        <v>1346</v>
      </c>
      <c r="H295" s="13" t="s">
        <v>1341</v>
      </c>
      <c r="I295" s="13" t="str">
        <f aca="false">IF(C295=J295,"NEW KONTRAK","RE-KONTRAK")</f>
        <v>RE-KONTRAK</v>
      </c>
      <c r="J295" s="16" t="n">
        <f aca="false" t="array" ref="J295:J295">IFERROR(INDEX(AC295:AE295,IF(COUNTA(AC295:AE295)=0,"",MAX((AC295:AE295&lt;&gt;"")*(COLUMN(AC295:AE295)-(COLUMN(AC295)))))-1),"")</f>
        <v>45480</v>
      </c>
      <c r="K295" s="16" t="n">
        <f aca="false" t="array" ref="K295:K295">IFERROR(INDEX(AC295:AE295,IF(COUNTA(AC295:AE295)=0,"",MAX((AC295:AE295&lt;&gt;"")*(COLUMN(AC295:AE295)-(COLUMN(AC295)-1))))-1),"")</f>
        <v>45844</v>
      </c>
      <c r="L295" s="17" t="str">
        <f aca="false" t="array" ref="L295:L295">IFERROR(INDEX(AC295:AE295,IF(COUNTA(AC295:AE295)=0,"",MAX((AC295:AE295&lt;&gt;"")*(COLUMN(AC295:AE295)-(COLUMN(AC295)-2))))-1),"")</f>
        <v>ARCHIVED</v>
      </c>
      <c r="M295" s="13" t="n">
        <f aca="true">K295-TODAY()</f>
        <v>-480</v>
      </c>
      <c r="N295" s="18" t="s">
        <v>615</v>
      </c>
      <c r="O295" s="13" t="s">
        <v>389</v>
      </c>
      <c r="P295" s="27" t="n">
        <v>2786977</v>
      </c>
      <c r="Q295" s="20" t="s">
        <v>1347</v>
      </c>
      <c r="R295" s="13" t="s">
        <v>232</v>
      </c>
      <c r="S295" s="14" t="n">
        <v>37258</v>
      </c>
      <c r="T295" s="13" t="s">
        <v>40</v>
      </c>
      <c r="U295" s="13" t="s">
        <v>1348</v>
      </c>
      <c r="V295" s="13" t="s">
        <v>42</v>
      </c>
      <c r="W295" s="13" t="s">
        <v>43</v>
      </c>
      <c r="X295" s="21" t="n">
        <v>85856592716</v>
      </c>
      <c r="Y295" s="22" t="str">
        <f aca="false">O295</f>
        <v>Packing</v>
      </c>
      <c r="Z295" s="13" t="str">
        <f aca="false">IFERROR(__xludf.dummyfunction("if(BJ295="""","""",GOOGLETRANSLATE(BJ295,""auto"",""en""))"),"Packing")</f>
        <v>Packing</v>
      </c>
      <c r="AA295" s="23" t="str">
        <f aca="false">IF(C295="","", CHOOSE(MONTH(C295),"January","February","March","April","May","June","July","August","September","October","November","December")&amp;" "&amp;DAY(C295)&amp;MID("thstndrdth",MIN(9,2*RIGHT(DAY(C295))*(MOD(DAY(C295)-11,100)&gt;2)+1),2)&amp;","&amp;TEXT(C295," yyyy"))</f>
        <v>June 23rd,2021</v>
      </c>
      <c r="AB295" s="15" t="str">
        <f aca="true">IF(S295="","",DATEDIF(S295,TODAY(),"Y")&amp;" Tahun, "&amp;DATEDIF(S295,TODAY(),"YM")&amp;" Bulan, "&amp;DATEDIF(S295,TODAY(),"MD")&amp;" Hari")</f>
        <v>24 Tahun, 9 Bulan, 27 Hari</v>
      </c>
      <c r="AC295" s="18" t="n">
        <v>45480</v>
      </c>
      <c r="AD295" s="18" t="n">
        <v>45844</v>
      </c>
      <c r="AE295" s="18" t="s">
        <v>44</v>
      </c>
    </row>
    <row r="296" customFormat="false" ht="15.75" hidden="false" customHeight="true" outlineLevel="0" collapsed="false">
      <c r="A296" s="12" t="n">
        <v>5040</v>
      </c>
      <c r="B296" s="13" t="s">
        <v>1349</v>
      </c>
      <c r="C296" s="14" t="n">
        <v>44599</v>
      </c>
      <c r="D296" s="13" t="s">
        <v>101</v>
      </c>
      <c r="E296" s="15" t="s">
        <v>47</v>
      </c>
      <c r="F296" s="15" t="str">
        <f aca="false">IFERROR(__xludf.dummyfunction("XLOOKUP(AJ296,IMPORTRANGE(""1XaInW9DU9nz21V0tYIfzFQ0He9kVQ_JF2mCXgZ3hqFA"",""REKAP ALL 2026 - Andika!G:G""),IMPORTRANGE(""1XaInW9DU9nz21V0tYIfzFQ0He9kVQ_JF2mCXgZ3hqFA"",""REKAP ALL 2026 - Andika!F:F""),"""",0)"),"22015025822")</f>
        <v>22015025822</v>
      </c>
      <c r="G296" s="13" t="s">
        <v>1350</v>
      </c>
      <c r="H296" s="13" t="s">
        <v>35</v>
      </c>
      <c r="I296" s="13" t="str">
        <f aca="false">IF(C296=J296,"NEW KONTRAK","RE-KONTRAK")</f>
        <v>RE-KONTRAK</v>
      </c>
      <c r="J296" s="16" t="n">
        <f aca="false" t="array" ref="J296:J296">IFERROR(INDEX(AC296:AE296,IF(COUNTA(AC296:AE296)=0,"",MAX((AC296:AE296&lt;&gt;"")*(COLUMN(AC296:AE296)-(COLUMN(AC296)))))-1),"")</f>
        <v>45672</v>
      </c>
      <c r="K296" s="16" t="n">
        <f aca="false" t="array" ref="K296:K296">IFERROR(INDEX(AC296:AE296,IF(COUNTA(AC296:AE296)=0,"",MAX((AC296:AE296&lt;&gt;"")*(COLUMN(AC296:AE296)-(COLUMN(AC296)-1))))-1),"")</f>
        <v>46036</v>
      </c>
      <c r="L296" s="17" t="str">
        <f aca="false" t="array" ref="L296:L296">IFERROR(INDEX(AC296:AE296,IF(COUNTA(AC296:AE296)=0,"",MAX((AC296:AE296&lt;&gt;"")*(COLUMN(AC296:AE296)-(COLUMN(AC296)-2))))-1),"")</f>
        <v>ARCHIVED</v>
      </c>
      <c r="M296" s="13" t="n">
        <f aca="true">K296-TODAY()</f>
        <v>-288</v>
      </c>
      <c r="N296" s="18" t="s">
        <v>105</v>
      </c>
      <c r="O296" s="13" t="s">
        <v>1351</v>
      </c>
      <c r="P296" s="31" t="n">
        <v>176400</v>
      </c>
      <c r="Q296" s="20" t="s">
        <v>1352</v>
      </c>
      <c r="R296" s="13" t="s">
        <v>39</v>
      </c>
      <c r="S296" s="25" t="n">
        <v>37438</v>
      </c>
      <c r="T296" s="13" t="s">
        <v>40</v>
      </c>
      <c r="U296" s="13" t="s">
        <v>1353</v>
      </c>
      <c r="V296" s="13" t="s">
        <v>42</v>
      </c>
      <c r="W296" s="13" t="s">
        <v>43</v>
      </c>
      <c r="X296" s="21" t="n">
        <v>881027740468</v>
      </c>
      <c r="Y296" s="22" t="str">
        <f aca="false">O296</f>
        <v>Gudang Jadi - Operator Forklift</v>
      </c>
      <c r="Z296" s="13" t="str">
        <f aca="false">IFERROR(__xludf.dummyfunction("if(BJ296="""","""",GOOGLETRANSLATE(BJ296,""auto"",""en""))"),"Ready-Made Warehouse - Forklift Operator")</f>
        <v>Ready-Made Warehouse - Forklift Operator</v>
      </c>
      <c r="AA296" s="23" t="str">
        <f aca="false">IF(C296="","", CHOOSE(MONTH(C296),"January","February","March","April","May","June","July","August","September","October","November","December")&amp;" "&amp;DAY(C296)&amp;MID("thstndrdth",MIN(9,2*RIGHT(DAY(C296))*(MOD(DAY(C296)-11,100)&gt;2)+1),2)&amp;","&amp;TEXT(C296," yyyy"))</f>
        <v>February 7th,2022</v>
      </c>
      <c r="AB296" s="15" t="str">
        <f aca="true">IF(S296="","",DATEDIF(S296,TODAY(),"Y")&amp;" Tahun, "&amp;DATEDIF(S296,TODAY(),"YM")&amp;" Bulan, "&amp;DATEDIF(S296,TODAY(),"MD")&amp;" Hari")</f>
        <v>24 Tahun, 3 Bulan, 28 Hari</v>
      </c>
      <c r="AC296" s="18" t="n">
        <v>45672</v>
      </c>
      <c r="AD296" s="18" t="n">
        <v>46036</v>
      </c>
      <c r="AE296" s="18" t="s">
        <v>44</v>
      </c>
    </row>
    <row r="297" customFormat="false" ht="15.75" hidden="false" customHeight="true" outlineLevel="0" collapsed="false">
      <c r="A297" s="12" t="n">
        <v>1856</v>
      </c>
      <c r="B297" s="13" t="s">
        <v>1354</v>
      </c>
      <c r="C297" s="14" t="n">
        <v>43845</v>
      </c>
      <c r="D297" s="13" t="s">
        <v>101</v>
      </c>
      <c r="E297" s="15" t="s">
        <v>47</v>
      </c>
      <c r="F297" s="15" t="str">
        <f aca="false">IFERROR(__xludf.dummyfunction("XLOOKUP(AJ297,IMPORTRANGE(""1XaInW9DU9nz21V0tYIfzFQ0He9kVQ_JF2mCXgZ3hqFA"",""REKAP ALL 2026 - Andika!G:G""),IMPORTRANGE(""1XaInW9DU9nz21V0tYIfzFQ0He9kVQ_JF2mCXgZ3hqFA"",""REKAP ALL 2026 - Andika!F:F""),"""",0)"),"17006085892")</f>
        <v>17006085892</v>
      </c>
      <c r="G297" s="13" t="s">
        <v>1355</v>
      </c>
      <c r="H297" s="13" t="s">
        <v>35</v>
      </c>
      <c r="I297" s="13" t="str">
        <f aca="false">IF(C297=J297,"NEW KONTRAK","RE-KONTRAK")</f>
        <v>RE-KONTRAK</v>
      </c>
      <c r="J297" s="16" t="n">
        <f aca="false" t="array" ref="J297:J297">IFERROR(INDEX(AC297:AE297,IF(COUNTA(AC297:AE297)=0,"",MAX((AC297:AE297&lt;&gt;"")*(COLUMN(AC297:AE297)-(COLUMN(AC297)))))-1),"")</f>
        <v>45672</v>
      </c>
      <c r="K297" s="16" t="n">
        <f aca="false" t="array" ref="K297:K297">IFERROR(INDEX(AC297:AE297,IF(COUNTA(AC297:AE297)=0,"",MAX((AC297:AE297&lt;&gt;"")*(COLUMN(AC297:AE297)-(COLUMN(AC297)-1))))-1),"")</f>
        <v>46036</v>
      </c>
      <c r="L297" s="17" t="str">
        <f aca="false" t="array" ref="L297:L297">IFERROR(INDEX(AC297:AE297,IF(COUNTA(AC297:AE297)=0,"",MAX((AC297:AE297&lt;&gt;"")*(COLUMN(AC297:AE297)-(COLUMN(AC297)-2))))-1),"")</f>
        <v>ARCHIVED</v>
      </c>
      <c r="M297" s="13" t="n">
        <f aca="true">K297-TODAY()</f>
        <v>-288</v>
      </c>
      <c r="N297" s="18" t="s">
        <v>105</v>
      </c>
      <c r="O297" s="13" t="s">
        <v>106</v>
      </c>
      <c r="P297" s="31" t="n">
        <v>138915</v>
      </c>
      <c r="Q297" s="20" t="s">
        <v>1356</v>
      </c>
      <c r="R297" s="13" t="s">
        <v>1357</v>
      </c>
      <c r="S297" s="25" t="n">
        <v>35577</v>
      </c>
      <c r="T297" s="13" t="s">
        <v>40</v>
      </c>
      <c r="U297" s="13" t="s">
        <v>1358</v>
      </c>
      <c r="V297" s="13" t="s">
        <v>42</v>
      </c>
      <c r="W297" s="13" t="s">
        <v>43</v>
      </c>
      <c r="X297" s="21" t="n">
        <v>8979282903</v>
      </c>
      <c r="Y297" s="22" t="str">
        <f aca="false">O297</f>
        <v>Produksi - Helper</v>
      </c>
      <c r="Z297" s="13" t="str">
        <f aca="false">IFERROR(__xludf.dummyfunction("if(BJ297="""","""",GOOGLETRANSLATE(BJ297,""auto"",""en""))"),"Production - Helper")</f>
        <v>Production - Helper</v>
      </c>
      <c r="AA297" s="23" t="str">
        <f aca="false">IF(C297="","", CHOOSE(MONTH(C297),"January","February","March","April","May","June","July","August","September","October","November","December")&amp;" "&amp;DAY(C297)&amp;MID("thstndrdth",MIN(9,2*RIGHT(DAY(C297))*(MOD(DAY(C297)-11,100)&gt;2)+1),2)&amp;","&amp;TEXT(C297," yyyy"))</f>
        <v>January 15th,2020</v>
      </c>
      <c r="AB297" s="15" t="str">
        <f aca="true">IF(S297="","",DATEDIF(S297,TODAY(),"Y")&amp;" Tahun, "&amp;DATEDIF(S297,TODAY(),"YM")&amp;" Bulan, "&amp;DATEDIF(S297,TODAY(),"MD")&amp;" Hari")</f>
        <v>29 Tahun, 5 Bulan, 2 Hari</v>
      </c>
      <c r="AC297" s="18" t="n">
        <v>45672</v>
      </c>
      <c r="AD297" s="18" t="n">
        <v>46036</v>
      </c>
      <c r="AE297" s="18" t="s">
        <v>44</v>
      </c>
    </row>
    <row r="298" customFormat="false" ht="15.75" hidden="false" customHeight="true" outlineLevel="0" collapsed="false">
      <c r="A298" s="12" t="n">
        <v>1863</v>
      </c>
      <c r="B298" s="13" t="s">
        <v>1359</v>
      </c>
      <c r="C298" s="14" t="n">
        <v>44033</v>
      </c>
      <c r="D298" s="13" t="s">
        <v>101</v>
      </c>
      <c r="E298" s="15" t="s">
        <v>33</v>
      </c>
      <c r="F298" s="24" t="s">
        <v>1360</v>
      </c>
      <c r="G298" s="13" t="s">
        <v>1361</v>
      </c>
      <c r="H298" s="13" t="s">
        <v>35</v>
      </c>
      <c r="I298" s="13" t="str">
        <f aca="false">IF(C298=J298,"NEW KONTRAK","RE-KONTRAK")</f>
        <v>RE-KONTRAK</v>
      </c>
      <c r="J298" s="16" t="n">
        <f aca="false" t="array" ref="J298:J298">IFERROR(INDEX(AC298:AE298,IF(COUNTA(AC298:AE298)=0,"",MAX((AC298:AE298&lt;&gt;"")*(COLUMN(AC298:AE298)-(COLUMN(AC298)))))-1),"")</f>
        <v>45672</v>
      </c>
      <c r="K298" s="16" t="n">
        <f aca="false" t="array" ref="K298:K298">IFERROR(INDEX(AC298:AE298,IF(COUNTA(AC298:AE298)=0,"",MAX((AC298:AE298&lt;&gt;"")*(COLUMN(AC298:AE298)-(COLUMN(AC298)-1))))-1),"")</f>
        <v>46036</v>
      </c>
      <c r="L298" s="17" t="str">
        <f aca="false" t="array" ref="L298:L298">IFERROR(INDEX(AC298:AE298,IF(COUNTA(AC298:AE298)=0,"",MAX((AC298:AE298&lt;&gt;"")*(COLUMN(AC298:AE298)-(COLUMN(AC298)-2))))-1),"")</f>
        <v>ARCHIVED</v>
      </c>
      <c r="M298" s="13" t="n">
        <f aca="true">K298-TODAY()</f>
        <v>-288</v>
      </c>
      <c r="N298" s="18" t="s">
        <v>105</v>
      </c>
      <c r="O298" s="13" t="s">
        <v>58</v>
      </c>
      <c r="P298" s="19" t="n">
        <v>126000</v>
      </c>
      <c r="Q298" s="20" t="s">
        <v>1362</v>
      </c>
      <c r="R298" s="13" t="s">
        <v>148</v>
      </c>
      <c r="S298" s="25" t="n">
        <v>37100</v>
      </c>
      <c r="T298" s="13" t="s">
        <v>40</v>
      </c>
      <c r="U298" s="13" t="s">
        <v>1363</v>
      </c>
      <c r="V298" s="13" t="s">
        <v>42</v>
      </c>
      <c r="W298" s="13" t="s">
        <v>43</v>
      </c>
      <c r="X298" s="21" t="n">
        <v>88230687971</v>
      </c>
      <c r="Y298" s="22" t="str">
        <f aca="false">O298</f>
        <v>Produksi</v>
      </c>
      <c r="Z298" s="13" t="str">
        <f aca="false">IFERROR(__xludf.dummyfunction("if(BJ298="""","""",GOOGLETRANSLATE(BJ298,""auto"",""en""))"),"Production")</f>
        <v>Production</v>
      </c>
      <c r="AA298" s="23" t="str">
        <f aca="false">IF(C298="","", CHOOSE(MONTH(C298),"January","February","March","April","May","June","July","August","September","October","November","December")&amp;" "&amp;DAY(C298)&amp;MID("thstndrdth",MIN(9,2*RIGHT(DAY(C298))*(MOD(DAY(C298)-11,100)&gt;2)+1),2)&amp;","&amp;TEXT(C298," yyyy"))</f>
        <v>July 21st,2020</v>
      </c>
      <c r="AB298" s="15" t="str">
        <f aca="true">IF(S298="","",DATEDIF(S298,TODAY(),"Y")&amp;" Tahun, "&amp;DATEDIF(S298,TODAY(),"YM")&amp;" Bulan, "&amp;DATEDIF(S298,TODAY(),"MD")&amp;" Hari")</f>
        <v>25 Tahun, 3 Bulan, 1 Hari</v>
      </c>
      <c r="AC298" s="18" t="n">
        <v>45672</v>
      </c>
      <c r="AD298" s="18" t="n">
        <v>46036</v>
      </c>
      <c r="AE298" s="18" t="s">
        <v>44</v>
      </c>
    </row>
    <row r="299" customFormat="false" ht="15.75" hidden="false" customHeight="true" outlineLevel="0" collapsed="false">
      <c r="A299" s="12" t="n">
        <v>2623</v>
      </c>
      <c r="B299" s="13" t="s">
        <v>1364</v>
      </c>
      <c r="C299" s="14" t="n">
        <v>44418</v>
      </c>
      <c r="D299" s="13" t="s">
        <v>101</v>
      </c>
      <c r="E299" s="15" t="s">
        <v>47</v>
      </c>
      <c r="F299" s="15" t="str">
        <f aca="false">IFERROR(__xludf.dummyfunction("XLOOKUP(AJ299,IMPORTRANGE(""1XaInW9DU9nz21V0tYIfzFQ0He9kVQ_JF2mCXgZ3hqFA"",""REKAP ALL 2026 - Andika!G:G""),IMPORTRANGE(""1XaInW9DU9nz21V0tYIfzFQ0He9kVQ_JF2mCXgZ3hqFA"",""REKAP ALL 2026 - Andika!F:F""),"""",0)"),"20064053067")</f>
        <v>20064053067</v>
      </c>
      <c r="G299" s="13" t="s">
        <v>1365</v>
      </c>
      <c r="H299" s="13" t="s">
        <v>35</v>
      </c>
      <c r="I299" s="13" t="str">
        <f aca="false">IF(C299=J299,"NEW KONTRAK","RE-KONTRAK")</f>
        <v>RE-KONTRAK</v>
      </c>
      <c r="J299" s="16" t="n">
        <f aca="false" t="array" ref="J299:J299">IFERROR(INDEX(AC299:AE299,IF(COUNTA(AC299:AE299)=0,"",MAX((AC299:AE299&lt;&gt;"")*(COLUMN(AC299:AE299)-(COLUMN(AC299)))))-1),"")</f>
        <v>45672</v>
      </c>
      <c r="K299" s="16" t="n">
        <f aca="false" t="array" ref="K299:K299">IFERROR(INDEX(AC299:AE299,IF(COUNTA(AC299:AE299)=0,"",MAX((AC299:AE299&lt;&gt;"")*(COLUMN(AC299:AE299)-(COLUMN(AC299)-1))))-1),"")</f>
        <v>46036</v>
      </c>
      <c r="L299" s="17" t="str">
        <f aca="false" t="array" ref="L299:L299">IFERROR(INDEX(AC299:AE299,IF(COUNTA(AC299:AE299)=0,"",MAX((AC299:AE299&lt;&gt;"")*(COLUMN(AC299:AE299)-(COLUMN(AC299)-2))))-1),"")</f>
        <v>ARCHIVED</v>
      </c>
      <c r="M299" s="13" t="n">
        <f aca="true">K299-TODAY()</f>
        <v>-288</v>
      </c>
      <c r="N299" s="18" t="s">
        <v>105</v>
      </c>
      <c r="O299" s="13" t="s">
        <v>106</v>
      </c>
      <c r="P299" s="31" t="n">
        <v>138915</v>
      </c>
      <c r="Q299" s="20" t="s">
        <v>1366</v>
      </c>
      <c r="R299" s="13" t="s">
        <v>39</v>
      </c>
      <c r="S299" s="25" t="n">
        <v>34729</v>
      </c>
      <c r="T299" s="13" t="s">
        <v>40</v>
      </c>
      <c r="U299" s="13" t="s">
        <v>1367</v>
      </c>
      <c r="V299" s="13" t="s">
        <v>42</v>
      </c>
      <c r="W299" s="13" t="s">
        <v>43</v>
      </c>
      <c r="X299" s="21" t="n">
        <v>85731983354</v>
      </c>
      <c r="Y299" s="22" t="str">
        <f aca="false">O299</f>
        <v>Produksi - Helper</v>
      </c>
      <c r="Z299" s="13" t="str">
        <f aca="false">IFERROR(__xludf.dummyfunction("if(BJ299="""","""",GOOGLETRANSLATE(BJ299,""auto"",""en""))"),"Production - Helper")</f>
        <v>Production - Helper</v>
      </c>
      <c r="AA299" s="23" t="str">
        <f aca="false">IF(C299="","", CHOOSE(MONTH(C299),"January","February","March","April","May","June","July","August","September","October","November","December")&amp;" "&amp;DAY(C299)&amp;MID("thstndrdth",MIN(9,2*RIGHT(DAY(C299))*(MOD(DAY(C299)-11,100)&gt;2)+1),2)&amp;","&amp;TEXT(C299," yyyy"))</f>
        <v>August 10th,2021</v>
      </c>
      <c r="AB299" s="15" t="str">
        <f aca="true">IF(S299="","",DATEDIF(S299,TODAY(),"Y")&amp;" Tahun, "&amp;DATEDIF(S299,TODAY(),"YM")&amp;" Bulan, "&amp;DATEDIF(S299,TODAY(),"MD")&amp;" Hari")</f>
        <v>31 Tahun, 8 Bulan, 29 Hari</v>
      </c>
      <c r="AC299" s="18" t="n">
        <v>45672</v>
      </c>
      <c r="AD299" s="18" t="n">
        <v>46036</v>
      </c>
      <c r="AE299" s="18" t="s">
        <v>44</v>
      </c>
    </row>
    <row r="300" customFormat="false" ht="15.75" hidden="false" customHeight="true" outlineLevel="0" collapsed="false">
      <c r="A300" s="32" t="n">
        <v>9870</v>
      </c>
      <c r="B300" s="33" t="s">
        <v>1368</v>
      </c>
      <c r="C300" s="34" t="n">
        <v>44950</v>
      </c>
      <c r="D300" s="33" t="s">
        <v>101</v>
      </c>
      <c r="E300" s="35" t="s">
        <v>47</v>
      </c>
      <c r="F300" s="35" t="str">
        <f aca="false">IFERROR(__xludf.dummyfunction("XLOOKUP(AJ300,IMPORTRANGE(""1XaInW9DU9nz21V0tYIfzFQ0He9kVQ_JF2mCXgZ3hqFA"",""REKAP ALL 2026 - Andika!G:G""),IMPORTRANGE(""1XaInW9DU9nz21V0tYIfzFQ0He9kVQ_JF2mCXgZ3hqFA"",""REKAP ALL 2026 - Andika!F:F""),"""",0)"),"23019105750")</f>
        <v>23019105750</v>
      </c>
      <c r="G300" s="33" t="s">
        <v>1369</v>
      </c>
      <c r="H300" s="33" t="s">
        <v>35</v>
      </c>
      <c r="I300" s="33" t="str">
        <f aca="false">IF(C300=J300,"NEW KONTRAK","RE-KONTRAK")</f>
        <v>RE-KONTRAK</v>
      </c>
      <c r="J300" s="36" t="n">
        <f aca="false" t="array" ref="J300:J300">IFERROR(INDEX(AC300:AE300,IF(COUNTA(AC300:AE300)=0,"",MAX((AC300:AE300&lt;&gt;"")*(COLUMN(AC300:AE300)-(COLUMN(AC300)))))-1),"")</f>
        <v>45672</v>
      </c>
      <c r="K300" s="36" t="n">
        <f aca="false" t="array" ref="K300:K300">IFERROR(INDEX(AC300:AE300,IF(COUNTA(AC300:AE300)=0,"",MAX((AC300:AE300&lt;&gt;"")*(COLUMN(AC300:AE300)-(COLUMN(AC300)-1))))-1),"")</f>
        <v>46036</v>
      </c>
      <c r="L300" s="37" t="str">
        <f aca="false" t="array" ref="L300:L300">IFERROR(INDEX(AC300:AE300,IF(COUNTA(AC300:AE300)=0,"",MAX((AC300:AE300&lt;&gt;"")*(COLUMN(AC300:AE300)-(COLUMN(AC300)-2))))-1),"")</f>
        <v>ARCHIVED</v>
      </c>
      <c r="M300" s="33" t="n">
        <f aca="true">K300-TODAY()</f>
        <v>-288</v>
      </c>
      <c r="N300" s="38" t="s">
        <v>105</v>
      </c>
      <c r="O300" s="33" t="s">
        <v>106</v>
      </c>
      <c r="P300" s="39" t="n">
        <v>138915</v>
      </c>
      <c r="Q300" s="40" t="s">
        <v>1370</v>
      </c>
      <c r="R300" s="33" t="s">
        <v>52</v>
      </c>
      <c r="S300" s="41" t="n">
        <v>36355</v>
      </c>
      <c r="T300" s="33" t="s">
        <v>40</v>
      </c>
      <c r="U300" s="33" t="s">
        <v>1371</v>
      </c>
      <c r="V300" s="33" t="s">
        <v>42</v>
      </c>
      <c r="W300" s="33" t="s">
        <v>43</v>
      </c>
      <c r="X300" s="42" t="n">
        <v>8978100568</v>
      </c>
      <c r="Y300" s="43" t="str">
        <f aca="false">O300</f>
        <v>Produksi - Helper</v>
      </c>
      <c r="Z300" s="33" t="str">
        <f aca="false">IFERROR(__xludf.dummyfunction("if(BJ300="""","""",GOOGLETRANSLATE(BJ300,""auto"",""en""))"),"Production - Helper")</f>
        <v>Production - Helper</v>
      </c>
      <c r="AA300" s="44" t="str">
        <f aca="false">IF(C300="","", CHOOSE(MONTH(C300),"January","February","March","April","May","June","July","August","September","October","November","December")&amp;" "&amp;DAY(C300)&amp;MID("thstndrdth",MIN(9,2*RIGHT(DAY(C300))*(MOD(DAY(C300)-11,100)&gt;2)+1),2)&amp;","&amp;TEXT(C300," yyyy"))</f>
        <v>January 24th,2023</v>
      </c>
      <c r="AB300" s="35" t="str">
        <f aca="true">IF(S300="","",DATEDIF(S300,TODAY(),"Y")&amp;" Tahun, "&amp;DATEDIF(S300,TODAY(),"YM")&amp;" Bulan, "&amp;DATEDIF(S300,TODAY(),"MD")&amp;" Hari")</f>
        <v>27 Tahun, 3 Bulan, 15 Hari</v>
      </c>
      <c r="AC300" s="38" t="n">
        <v>45672</v>
      </c>
      <c r="AD300" s="38" t="n">
        <v>46036</v>
      </c>
      <c r="AE300" s="38" t="s">
        <v>44</v>
      </c>
    </row>
    <row r="301" customFormat="false" ht="15.75" hidden="false" customHeight="true" outlineLevel="0" collapsed="false">
      <c r="A301" s="12" t="n">
        <v>1869</v>
      </c>
      <c r="B301" s="13" t="s">
        <v>1372</v>
      </c>
      <c r="C301" s="14" t="n">
        <v>43845</v>
      </c>
      <c r="D301" s="13" t="s">
        <v>101</v>
      </c>
      <c r="E301" s="15" t="s">
        <v>33</v>
      </c>
      <c r="F301" s="24" t="s">
        <v>1373</v>
      </c>
      <c r="G301" s="13" t="s">
        <v>1374</v>
      </c>
      <c r="H301" s="13" t="s">
        <v>35</v>
      </c>
      <c r="I301" s="13" t="str">
        <f aca="false">IF(C301=J301,"NEW KONTRAK","RE-KONTRAK")</f>
        <v>RE-KONTRAK</v>
      </c>
      <c r="J301" s="16" t="n">
        <f aca="false" t="array" ref="J301:J301">IFERROR(INDEX(AC301:AE301,IF(COUNTA(AC301:AE301)=0,"",MAX((AC301:AE301&lt;&gt;"")*(COLUMN(AC301:AE301)-(COLUMN(AC301)))))-1),"")</f>
        <v>45672</v>
      </c>
      <c r="K301" s="16" t="n">
        <f aca="false" t="array" ref="K301:K301">IFERROR(INDEX(AC301:AE301,IF(COUNTA(AC301:AE301)=0,"",MAX((AC301:AE301&lt;&gt;"")*(COLUMN(AC301:AE301)-(COLUMN(AC301)-1))))-1),"")</f>
        <v>46036</v>
      </c>
      <c r="L301" s="17" t="str">
        <f aca="false" t="array" ref="L301:L301">IFERROR(INDEX(AC301:AE301,IF(COUNTA(AC301:AE301)=0,"",MAX((AC301:AE301&lt;&gt;"")*(COLUMN(AC301:AE301)-(COLUMN(AC301)-2))))-1),"")</f>
        <v>ARCHIVED</v>
      </c>
      <c r="M301" s="13" t="n">
        <f aca="true">K301-TODAY()</f>
        <v>-288</v>
      </c>
      <c r="N301" s="18" t="s">
        <v>105</v>
      </c>
      <c r="O301" s="13" t="s">
        <v>58</v>
      </c>
      <c r="P301" s="19" t="n">
        <v>126000</v>
      </c>
      <c r="Q301" s="20" t="s">
        <v>1375</v>
      </c>
      <c r="R301" s="13" t="s">
        <v>39</v>
      </c>
      <c r="S301" s="25" t="n">
        <v>36596</v>
      </c>
      <c r="T301" s="13" t="s">
        <v>108</v>
      </c>
      <c r="U301" s="13" t="s">
        <v>1376</v>
      </c>
      <c r="V301" s="13" t="s">
        <v>42</v>
      </c>
      <c r="W301" s="13" t="s">
        <v>43</v>
      </c>
      <c r="X301" s="21" t="n">
        <v>89625444637</v>
      </c>
      <c r="Y301" s="22" t="str">
        <f aca="false">O301</f>
        <v>Produksi</v>
      </c>
      <c r="Z301" s="13" t="str">
        <f aca="false">IFERROR(__xludf.dummyfunction("if(BJ301="""","""",GOOGLETRANSLATE(BJ301,""auto"",""en""))"),"Production")</f>
        <v>Production</v>
      </c>
      <c r="AA301" s="23" t="str">
        <f aca="false">IF(C301="","", CHOOSE(MONTH(C301),"January","February","March","April","May","June","July","August","September","October","November","December")&amp;" "&amp;DAY(C301)&amp;MID("thstndrdth",MIN(9,2*RIGHT(DAY(C301))*(MOD(DAY(C301)-11,100)&gt;2)+1),2)&amp;","&amp;TEXT(C301," yyyy"))</f>
        <v>January 15th,2020</v>
      </c>
      <c r="AB301" s="15" t="str">
        <f aca="true">IF(S301="","",DATEDIF(S301,TODAY(),"Y")&amp;" Tahun, "&amp;DATEDIF(S301,TODAY(),"YM")&amp;" Bulan, "&amp;DATEDIF(S301,TODAY(),"MD")&amp;" Hari")</f>
        <v>26 Tahun, 7 Bulan, 18 Hari</v>
      </c>
      <c r="AC301" s="18" t="n">
        <v>45672</v>
      </c>
      <c r="AD301" s="18" t="n">
        <v>46036</v>
      </c>
      <c r="AE301" s="18" t="s">
        <v>44</v>
      </c>
    </row>
    <row r="302" customFormat="false" ht="15.75" hidden="false" customHeight="true" outlineLevel="0" collapsed="false">
      <c r="A302" s="12" t="n">
        <v>10068</v>
      </c>
      <c r="B302" s="13" t="s">
        <v>1377</v>
      </c>
      <c r="C302" s="14" t="n">
        <v>44963</v>
      </c>
      <c r="D302" s="13" t="s">
        <v>101</v>
      </c>
      <c r="E302" s="15" t="s">
        <v>47</v>
      </c>
      <c r="F302" s="15" t="str">
        <f aca="false">IFERROR(__xludf.dummyfunction("XLOOKUP(AJ302,IMPORTRANGE(""1XaInW9DU9nz21V0tYIfzFQ0He9kVQ_JF2mCXgZ3hqFA"",""REKAP ALL 2026 - Andika!G:G""),IMPORTRANGE(""1XaInW9DU9nz21V0tYIfzFQ0He9kVQ_JF2mCXgZ3hqFA"",""REKAP ALL 2026 - Andika!F:F""),"""",0)"),"23031604178")</f>
        <v>23031604178</v>
      </c>
      <c r="G302" s="13" t="s">
        <v>1378</v>
      </c>
      <c r="H302" s="13" t="s">
        <v>35</v>
      </c>
      <c r="I302" s="13" t="str">
        <f aca="false">IF(C302=J302,"NEW KONTRAK","RE-KONTRAK")</f>
        <v>RE-KONTRAK</v>
      </c>
      <c r="J302" s="16" t="n">
        <f aca="false" t="array" ref="J302:J302">IFERROR(INDEX(AC302:AE302,IF(COUNTA(AC302:AE302)=0,"",MAX((AC302:AE302&lt;&gt;"")*(COLUMN(AC302:AE302)-(COLUMN(AC302)))))-1),"")</f>
        <v>45672</v>
      </c>
      <c r="K302" s="16" t="n">
        <f aca="false" t="array" ref="K302:K302">IFERROR(INDEX(AC302:AE302,IF(COUNTA(AC302:AE302)=0,"",MAX((AC302:AE302&lt;&gt;"")*(COLUMN(AC302:AE302)-(COLUMN(AC302)-1))))-1),"")</f>
        <v>46036</v>
      </c>
      <c r="L302" s="17" t="str">
        <f aca="false" t="array" ref="L302:L302">IFERROR(INDEX(AC302:AE302,IF(COUNTA(AC302:AE302)=0,"",MAX((AC302:AE302&lt;&gt;"")*(COLUMN(AC302:AE302)-(COLUMN(AC302)-2))))-1),"")</f>
        <v>ARCHIVED</v>
      </c>
      <c r="M302" s="13" t="n">
        <f aca="true">K302-TODAY()</f>
        <v>-288</v>
      </c>
      <c r="N302" s="18" t="s">
        <v>105</v>
      </c>
      <c r="O302" s="13" t="s">
        <v>106</v>
      </c>
      <c r="P302" s="31" t="n">
        <v>138915</v>
      </c>
      <c r="Q302" s="20" t="s">
        <v>1379</v>
      </c>
      <c r="R302" s="13" t="s">
        <v>39</v>
      </c>
      <c r="S302" s="25" t="n">
        <v>37520</v>
      </c>
      <c r="T302" s="13" t="s">
        <v>40</v>
      </c>
      <c r="U302" s="13" t="s">
        <v>1380</v>
      </c>
      <c r="V302" s="13" t="s">
        <v>42</v>
      </c>
      <c r="W302" s="13" t="s">
        <v>43</v>
      </c>
      <c r="X302" s="21" t="n">
        <v>87757766748</v>
      </c>
      <c r="Y302" s="22" t="str">
        <f aca="false">O302</f>
        <v>Produksi - Helper</v>
      </c>
      <c r="Z302" s="13" t="str">
        <f aca="false">IFERROR(__xludf.dummyfunction("if(BJ302="""","""",GOOGLETRANSLATE(BJ302,""auto"",""en""))"),"Production - Helper")</f>
        <v>Production - Helper</v>
      </c>
      <c r="AA302" s="23" t="str">
        <f aca="false">IF(C302="","", CHOOSE(MONTH(C302),"January","February","March","April","May","June","July","August","September","October","November","December")&amp;" "&amp;DAY(C302)&amp;MID("thstndrdth",MIN(9,2*RIGHT(DAY(C302))*(MOD(DAY(C302)-11,100)&gt;2)+1),2)&amp;","&amp;TEXT(C302," yyyy"))</f>
        <v>February 6th,2023</v>
      </c>
      <c r="AB302" s="15" t="str">
        <f aca="true">IF(S302="","",DATEDIF(S302,TODAY(),"Y")&amp;" Tahun, "&amp;DATEDIF(S302,TODAY(),"YM")&amp;" Bulan, "&amp;DATEDIF(S302,TODAY(),"MD")&amp;" Hari")</f>
        <v>24 Tahun, 1 Bulan, 8 Hari</v>
      </c>
      <c r="AC302" s="18" t="n">
        <v>45672</v>
      </c>
      <c r="AD302" s="18" t="n">
        <v>46036</v>
      </c>
      <c r="AE302" s="18" t="s">
        <v>44</v>
      </c>
    </row>
    <row r="303" customFormat="false" ht="15.75" hidden="false" customHeight="true" outlineLevel="0" collapsed="false">
      <c r="A303" s="12" t="n">
        <v>1872</v>
      </c>
      <c r="B303" s="13" t="s">
        <v>1381</v>
      </c>
      <c r="C303" s="14" t="n">
        <v>43845</v>
      </c>
      <c r="D303" s="13" t="s">
        <v>101</v>
      </c>
      <c r="E303" s="15" t="s">
        <v>102</v>
      </c>
      <c r="F303" s="24" t="s">
        <v>1382</v>
      </c>
      <c r="G303" s="13" t="s">
        <v>1383</v>
      </c>
      <c r="H303" s="13" t="s">
        <v>35</v>
      </c>
      <c r="I303" s="13" t="str">
        <f aca="false">IF(C303=J303,"NEW KONTRAK","RE-KONTRAK")</f>
        <v>RE-KONTRAK</v>
      </c>
      <c r="J303" s="16" t="n">
        <f aca="false" t="array" ref="J303:J303">IFERROR(INDEX(AC303:AE303,IF(COUNTA(AC303:AE303)=0,"",MAX((AC303:AE303&lt;&gt;"")*(COLUMN(AC303:AE303)-(COLUMN(AC303)))))-1),"")</f>
        <v>45672</v>
      </c>
      <c r="K303" s="16" t="n">
        <f aca="false" t="array" ref="K303:K303">IFERROR(INDEX(AC303:AE303,IF(COUNTA(AC303:AE303)=0,"",MAX((AC303:AE303&lt;&gt;"")*(COLUMN(AC303:AE303)-(COLUMN(AC303)-1))))-1),"")</f>
        <v>46036</v>
      </c>
      <c r="L303" s="17" t="str">
        <f aca="false" t="array" ref="L303:L303">IFERROR(INDEX(AC303:AE303,IF(COUNTA(AC303:AE303)=0,"",MAX((AC303:AE303&lt;&gt;"")*(COLUMN(AC303:AE303)-(COLUMN(AC303)-2))))-1),"")</f>
        <v>ARCHIVED</v>
      </c>
      <c r="M303" s="13" t="n">
        <f aca="true">K303-TODAY()</f>
        <v>-288</v>
      </c>
      <c r="N303" s="18" t="s">
        <v>105</v>
      </c>
      <c r="O303" s="13" t="s">
        <v>106</v>
      </c>
      <c r="P303" s="19" t="n">
        <v>126000</v>
      </c>
      <c r="Q303" s="20" t="s">
        <v>1384</v>
      </c>
      <c r="R303" s="13" t="s">
        <v>39</v>
      </c>
      <c r="S303" s="25" t="n">
        <v>36981</v>
      </c>
      <c r="T303" s="13" t="s">
        <v>108</v>
      </c>
      <c r="U303" s="13" t="s">
        <v>1385</v>
      </c>
      <c r="V303" s="13" t="s">
        <v>42</v>
      </c>
      <c r="W303" s="13" t="s">
        <v>43</v>
      </c>
      <c r="X303" s="21" t="n">
        <v>88805244528</v>
      </c>
      <c r="Y303" s="22" t="str">
        <f aca="false">O303</f>
        <v>Produksi - Helper</v>
      </c>
      <c r="Z303" s="13" t="str">
        <f aca="false">IFERROR(__xludf.dummyfunction("if(BJ303="""","""",GOOGLETRANSLATE(BJ303,""auto"",""en""))"),"Production - Helper")</f>
        <v>Production - Helper</v>
      </c>
      <c r="AA303" s="23" t="str">
        <f aca="false">IF(C303="","", CHOOSE(MONTH(C303),"January","February","March","April","May","June","July","August","September","October","November","December")&amp;" "&amp;DAY(C303)&amp;MID("thstndrdth",MIN(9,2*RIGHT(DAY(C303))*(MOD(DAY(C303)-11,100)&gt;2)+1),2)&amp;","&amp;TEXT(C303," yyyy"))</f>
        <v>January 15th,2020</v>
      </c>
      <c r="AB303" s="15" t="str">
        <f aca="true">IF(S303="","",DATEDIF(S303,TODAY(),"Y")&amp;" Tahun, "&amp;DATEDIF(S303,TODAY(),"YM")&amp;" Bulan, "&amp;DATEDIF(S303,TODAY(),"MD")&amp;" Hari")</f>
        <v>25 Tahun, 6 Bulan, 28 Hari</v>
      </c>
      <c r="AC303" s="18" t="n">
        <v>45672</v>
      </c>
      <c r="AD303" s="18" t="n">
        <v>46036</v>
      </c>
      <c r="AE303" s="18" t="s">
        <v>44</v>
      </c>
    </row>
    <row r="304" customFormat="false" ht="15.75" hidden="false" customHeight="true" outlineLevel="0" collapsed="false">
      <c r="A304" s="12" t="n">
        <v>9871</v>
      </c>
      <c r="B304" s="13" t="s">
        <v>1386</v>
      </c>
      <c r="C304" s="14" t="n">
        <v>44949</v>
      </c>
      <c r="D304" s="13" t="s">
        <v>101</v>
      </c>
      <c r="E304" s="15" t="s">
        <v>47</v>
      </c>
      <c r="F304" s="15" t="str">
        <f aca="false">IFERROR(__xludf.dummyfunction("XLOOKUP(AJ304,IMPORTRANGE(""1XaInW9DU9nz21V0tYIfzFQ0He9kVQ_JF2mCXgZ3hqFA"",""REKAP ALL 2026 - Andika!G:G""),IMPORTRANGE(""1XaInW9DU9nz21V0tYIfzFQ0He9kVQ_JF2mCXgZ3hqFA"",""REKAP ALL 2026 - Andika!F:F""),"""",0)"),"23019105867")</f>
        <v>23019105867</v>
      </c>
      <c r="G304" s="13" t="s">
        <v>1387</v>
      </c>
      <c r="H304" s="13" t="s">
        <v>35</v>
      </c>
      <c r="I304" s="13" t="str">
        <f aca="false">IF(C304=J304,"NEW KONTRAK","RE-KONTRAK")</f>
        <v>RE-KONTRAK</v>
      </c>
      <c r="J304" s="16" t="n">
        <f aca="false" t="array" ref="J304:J304">IFERROR(INDEX(AC304:AE304,IF(COUNTA(AC304:AE304)=0,"",MAX((AC304:AE304&lt;&gt;"")*(COLUMN(AC304:AE304)-(COLUMN(AC304)))))-1),"")</f>
        <v>45672</v>
      </c>
      <c r="K304" s="16" t="n">
        <f aca="false" t="array" ref="K304:K304">IFERROR(INDEX(AC304:AE304,IF(COUNTA(AC304:AE304)=0,"",MAX((AC304:AE304&lt;&gt;"")*(COLUMN(AC304:AE304)-(COLUMN(AC304)-1))))-1),"")</f>
        <v>46036</v>
      </c>
      <c r="L304" s="17" t="str">
        <f aca="false" t="array" ref="L304:L304">IFERROR(INDEX(AC304:AE304,IF(COUNTA(AC304:AE304)=0,"",MAX((AC304:AE304&lt;&gt;"")*(COLUMN(AC304:AE304)-(COLUMN(AC304)-2))))-1),"")</f>
        <v>ARCHIVED</v>
      </c>
      <c r="M304" s="13" t="n">
        <f aca="true">K304-TODAY()</f>
        <v>-288</v>
      </c>
      <c r="N304" s="18" t="s">
        <v>105</v>
      </c>
      <c r="O304" s="13" t="s">
        <v>106</v>
      </c>
      <c r="P304" s="31" t="n">
        <v>138915</v>
      </c>
      <c r="Q304" s="20" t="s">
        <v>1388</v>
      </c>
      <c r="R304" s="13" t="s">
        <v>39</v>
      </c>
      <c r="S304" s="25" t="n">
        <v>37841</v>
      </c>
      <c r="T304" s="13" t="s">
        <v>40</v>
      </c>
      <c r="U304" s="13" t="s">
        <v>1389</v>
      </c>
      <c r="V304" s="13" t="s">
        <v>42</v>
      </c>
      <c r="W304" s="13" t="s">
        <v>43</v>
      </c>
      <c r="X304" s="21" t="n">
        <v>89515764866</v>
      </c>
      <c r="Y304" s="22" t="str">
        <f aca="false">O304</f>
        <v>Produksi - Helper</v>
      </c>
      <c r="Z304" s="13" t="str">
        <f aca="false">IFERROR(__xludf.dummyfunction("if(BJ304="""","""",GOOGLETRANSLATE(BJ304,""auto"",""en""))"),"Production - Helper")</f>
        <v>Production - Helper</v>
      </c>
      <c r="AA304" s="23" t="str">
        <f aca="false">IF(C304="","", CHOOSE(MONTH(C304),"January","February","March","April","May","June","July","August","September","October","November","December")&amp;" "&amp;DAY(C304)&amp;MID("thstndrdth",MIN(9,2*RIGHT(DAY(C304))*(MOD(DAY(C304)-11,100)&gt;2)+1),2)&amp;","&amp;TEXT(C304," yyyy"))</f>
        <v>January 23rd,2023</v>
      </c>
      <c r="AB304" s="15" t="str">
        <f aca="true">IF(S304="","",DATEDIF(S304,TODAY(),"Y")&amp;" Tahun, "&amp;DATEDIF(S304,TODAY(),"YM")&amp;" Bulan, "&amp;DATEDIF(S304,TODAY(),"MD")&amp;" Hari")</f>
        <v>23 Tahun, 2 Bulan, 21 Hari</v>
      </c>
      <c r="AC304" s="18" t="n">
        <v>45672</v>
      </c>
      <c r="AD304" s="18" t="n">
        <v>46036</v>
      </c>
      <c r="AE304" s="18" t="s">
        <v>44</v>
      </c>
    </row>
    <row r="305" customFormat="false" ht="15.75" hidden="false" customHeight="true" outlineLevel="0" collapsed="false">
      <c r="A305" s="12" t="n">
        <v>2336</v>
      </c>
      <c r="B305" s="13" t="s">
        <v>1390</v>
      </c>
      <c r="C305" s="14" t="n">
        <v>44455</v>
      </c>
      <c r="D305" s="13" t="s">
        <v>101</v>
      </c>
      <c r="E305" s="15" t="s">
        <v>47</v>
      </c>
      <c r="F305" s="15" t="str">
        <f aca="false">IFERROR(__xludf.dummyfunction("XLOOKUP(AJ305,IMPORTRANGE(""1XaInW9DU9nz21V0tYIfzFQ0He9kVQ_JF2mCXgZ3hqFA"",""REKAP ALL 2026 - Andika!G:G""),IMPORTRANGE(""1XaInW9DU9nz21V0tYIfzFQ0He9kVQ_JF2mCXgZ3hqFA"",""REKAP ALL 2026 - Andika!F:F""),"""",0)"),"21082693025")</f>
        <v>21082693025</v>
      </c>
      <c r="G305" s="13" t="s">
        <v>1391</v>
      </c>
      <c r="H305" s="13" t="s">
        <v>35</v>
      </c>
      <c r="I305" s="13" t="str">
        <f aca="false">IF(C305=J305,"NEW KONTRAK","RE-KONTRAK")</f>
        <v>RE-KONTRAK</v>
      </c>
      <c r="J305" s="16" t="n">
        <f aca="false" t="array" ref="J305:J305">IFERROR(INDEX(AC305:AE305,IF(COUNTA(AC305:AE305)=0,"",MAX((AC305:AE305&lt;&gt;"")*(COLUMN(AC305:AE305)-(COLUMN(AC305)))))-1),"")</f>
        <v>45672</v>
      </c>
      <c r="K305" s="16" t="n">
        <f aca="false" t="array" ref="K305:K305">IFERROR(INDEX(AC305:AE305,IF(COUNTA(AC305:AE305)=0,"",MAX((AC305:AE305&lt;&gt;"")*(COLUMN(AC305:AE305)-(COLUMN(AC305)-1))))-1),"")</f>
        <v>46036</v>
      </c>
      <c r="L305" s="17" t="str">
        <f aca="false" t="array" ref="L305:L305">IFERROR(INDEX(AC305:AE305,IF(COUNTA(AC305:AE305)=0,"",MAX((AC305:AE305&lt;&gt;"")*(COLUMN(AC305:AE305)-(COLUMN(AC305)-2))))-1),"")</f>
        <v>ARCHIVED</v>
      </c>
      <c r="M305" s="13" t="n">
        <f aca="true">K305-TODAY()</f>
        <v>-288</v>
      </c>
      <c r="N305" s="18" t="s">
        <v>105</v>
      </c>
      <c r="O305" s="13" t="s">
        <v>1392</v>
      </c>
      <c r="P305" s="31" t="n">
        <v>162068</v>
      </c>
      <c r="Q305" s="20" t="s">
        <v>1393</v>
      </c>
      <c r="R305" s="13" t="s">
        <v>826</v>
      </c>
      <c r="S305" s="25" t="n">
        <v>35848</v>
      </c>
      <c r="T305" s="13" t="s">
        <v>40</v>
      </c>
      <c r="U305" s="13" t="s">
        <v>1394</v>
      </c>
      <c r="V305" s="13" t="s">
        <v>42</v>
      </c>
      <c r="W305" s="13" t="s">
        <v>43</v>
      </c>
      <c r="X305" s="21" t="n">
        <v>895378087590</v>
      </c>
      <c r="Y305" s="22" t="str">
        <f aca="false">O305</f>
        <v>Gudang RMPM - Leader</v>
      </c>
      <c r="Z305" s="13" t="str">
        <f aca="false">IFERROR(__xludf.dummyfunction("if(BJ305="""","""",GOOGLETRANSLATE(BJ305,""auto"",""en""))"),"RMPM Warehouse - Leader")</f>
        <v>RMPM Warehouse - Leader</v>
      </c>
      <c r="AA305" s="23" t="str">
        <f aca="false">IF(C305="","", CHOOSE(MONTH(C305),"January","February","March","April","May","June","July","August","September","October","November","December")&amp;" "&amp;DAY(C305)&amp;MID("thstndrdth",MIN(9,2*RIGHT(DAY(C305))*(MOD(DAY(C305)-11,100)&gt;2)+1),2)&amp;","&amp;TEXT(C305," yyyy"))</f>
        <v>September 16th,2021</v>
      </c>
      <c r="AB305" s="15" t="str">
        <f aca="true">IF(S305="","",DATEDIF(S305,TODAY(),"Y")&amp;" Tahun, "&amp;DATEDIF(S305,TODAY(),"YM")&amp;" Bulan, "&amp;DATEDIF(S305,TODAY(),"MD")&amp;" Hari")</f>
        <v>28 Tahun, 8 Bulan, 7 Hari</v>
      </c>
      <c r="AC305" s="18" t="n">
        <v>45672</v>
      </c>
      <c r="AD305" s="18" t="n">
        <v>46036</v>
      </c>
      <c r="AE305" s="18" t="s">
        <v>44</v>
      </c>
    </row>
    <row r="306" customFormat="false" ht="15.75" hidden="false" customHeight="true" outlineLevel="0" collapsed="false">
      <c r="A306" s="12" t="n">
        <v>2396</v>
      </c>
      <c r="B306" s="13" t="s">
        <v>1395</v>
      </c>
      <c r="C306" s="14" t="n">
        <v>44406</v>
      </c>
      <c r="D306" s="13" t="s">
        <v>101</v>
      </c>
      <c r="E306" s="15" t="s">
        <v>47</v>
      </c>
      <c r="F306" s="15" t="str">
        <f aca="false">IFERROR(__xludf.dummyfunction("XLOOKUP(AJ306,IMPORTRANGE(""1XaInW9DU9nz21V0tYIfzFQ0He9kVQ_JF2mCXgZ3hqFA"",""REKAP ALL 2026 - Andika!G:G""),IMPORTRANGE(""1XaInW9DU9nz21V0tYIfzFQ0He9kVQ_JF2mCXgZ3hqFA"",""REKAP ALL 2026 - Andika!F:F""),"""",0)"),"21068421276")</f>
        <v>21068421276</v>
      </c>
      <c r="G306" s="13" t="s">
        <v>1396</v>
      </c>
      <c r="H306" s="13" t="s">
        <v>35</v>
      </c>
      <c r="I306" s="13" t="str">
        <f aca="false">IF(C306=J306,"NEW KONTRAK","RE-KONTRAK")</f>
        <v>RE-KONTRAK</v>
      </c>
      <c r="J306" s="16" t="n">
        <f aca="false" t="array" ref="J306:J306">IFERROR(INDEX(AC306:AE306,IF(COUNTA(AC306:AE306)=0,"",MAX((AC306:AE306&lt;&gt;"")*(COLUMN(AC306:AE306)-(COLUMN(AC306)))))-1),"")</f>
        <v>45672</v>
      </c>
      <c r="K306" s="16" t="n">
        <f aca="false" t="array" ref="K306:K306">IFERROR(INDEX(AC306:AE306,IF(COUNTA(AC306:AE306)=0,"",MAX((AC306:AE306&lt;&gt;"")*(COLUMN(AC306:AE306)-(COLUMN(AC306)-1))))-1),"")</f>
        <v>46036</v>
      </c>
      <c r="L306" s="17" t="str">
        <f aca="false" t="array" ref="L306:L306">IFERROR(INDEX(AC306:AE306,IF(COUNTA(AC306:AE306)=0,"",MAX((AC306:AE306&lt;&gt;"")*(COLUMN(AC306:AE306)-(COLUMN(AC306)-2))))-1),"")</f>
        <v>ARCHIVED</v>
      </c>
      <c r="M306" s="13" t="n">
        <f aca="true">K306-TODAY()</f>
        <v>-288</v>
      </c>
      <c r="N306" s="18" t="s">
        <v>105</v>
      </c>
      <c r="O306" s="13" t="s">
        <v>106</v>
      </c>
      <c r="P306" s="31" t="n">
        <v>138915</v>
      </c>
      <c r="Q306" s="20" t="s">
        <v>1397</v>
      </c>
      <c r="R306" s="13" t="s">
        <v>52</v>
      </c>
      <c r="S306" s="25" t="n">
        <v>37625</v>
      </c>
      <c r="T306" s="13" t="s">
        <v>40</v>
      </c>
      <c r="U306" s="13" t="s">
        <v>1398</v>
      </c>
      <c r="V306" s="13" t="s">
        <v>42</v>
      </c>
      <c r="W306" s="13" t="s">
        <v>43</v>
      </c>
      <c r="X306" s="21" t="n">
        <v>895346357626</v>
      </c>
      <c r="Y306" s="22" t="str">
        <f aca="false">O306</f>
        <v>Produksi - Helper</v>
      </c>
      <c r="Z306" s="13" t="str">
        <f aca="false">IFERROR(__xludf.dummyfunction("if(BJ306="""","""",GOOGLETRANSLATE(BJ306,""auto"",""en""))"),"Production - Helper")</f>
        <v>Production - Helper</v>
      </c>
      <c r="AA306" s="23" t="str">
        <f aca="false">IF(C306="","", CHOOSE(MONTH(C306),"January","February","March","April","May","June","July","August","September","October","November","December")&amp;" "&amp;DAY(C306)&amp;MID("thstndrdth",MIN(9,2*RIGHT(DAY(C306))*(MOD(DAY(C306)-11,100)&gt;2)+1),2)&amp;","&amp;TEXT(C306," yyyy"))</f>
        <v>July 29th,2021</v>
      </c>
      <c r="AB306" s="15" t="str">
        <f aca="true">IF(S306="","",DATEDIF(S306,TODAY(),"Y")&amp;" Tahun, "&amp;DATEDIF(S306,TODAY(),"YM")&amp;" Bulan, "&amp;DATEDIF(S306,TODAY(),"MD")&amp;" Hari")</f>
        <v>23 Tahun, 9 Bulan, 25 Hari</v>
      </c>
      <c r="AC306" s="18" t="n">
        <v>45672</v>
      </c>
      <c r="AD306" s="18" t="n">
        <v>46036</v>
      </c>
      <c r="AE306" s="18" t="s">
        <v>44</v>
      </c>
    </row>
    <row r="307" customFormat="false" ht="15.75" hidden="false" customHeight="true" outlineLevel="0" collapsed="false">
      <c r="A307" s="12" t="n">
        <v>1862</v>
      </c>
      <c r="B307" s="13" t="s">
        <v>1399</v>
      </c>
      <c r="C307" s="14" t="n">
        <v>43994</v>
      </c>
      <c r="D307" s="13" t="s">
        <v>101</v>
      </c>
      <c r="E307" s="15" t="s">
        <v>47</v>
      </c>
      <c r="F307" s="15" t="str">
        <f aca="false">IFERROR(__xludf.dummyfunction("XLOOKUP(AJ307,IMPORTRANGE(""1XaInW9DU9nz21V0tYIfzFQ0He9kVQ_JF2mCXgZ3hqFA"",""REKAP ALL 2026 - Andika!G:G""),IMPORTRANGE(""1XaInW9DU9nz21V0tYIfzFQ0He9kVQ_JF2mCXgZ3hqFA"",""REKAP ALL 2026 - Andika!F:F""),"""",0)"),"20043782356")</f>
        <v>20043782356</v>
      </c>
      <c r="G307" s="13" t="s">
        <v>1400</v>
      </c>
      <c r="H307" s="13" t="s">
        <v>35</v>
      </c>
      <c r="I307" s="13" t="str">
        <f aca="false">IF(C307=J307,"NEW KONTRAK","RE-KONTRAK")</f>
        <v>RE-KONTRAK</v>
      </c>
      <c r="J307" s="16" t="n">
        <f aca="false" t="array" ref="J307:J307">IFERROR(INDEX(AC307:AE307,IF(COUNTA(AC307:AE307)=0,"",MAX((AC307:AE307&lt;&gt;"")*(COLUMN(AC307:AE307)-(COLUMN(AC307)))))-1),"")</f>
        <v>45672</v>
      </c>
      <c r="K307" s="16" t="n">
        <f aca="false" t="array" ref="K307:K307">IFERROR(INDEX(AC307:AE307,IF(COUNTA(AC307:AE307)=0,"",MAX((AC307:AE307&lt;&gt;"")*(COLUMN(AC307:AE307)-(COLUMN(AC307)-1))))-1),"")</f>
        <v>46036</v>
      </c>
      <c r="L307" s="17" t="str">
        <f aca="false" t="array" ref="L307:L307">IFERROR(INDEX(AC307:AE307,IF(COUNTA(AC307:AE307)=0,"",MAX((AC307:AE307&lt;&gt;"")*(COLUMN(AC307:AE307)-(COLUMN(AC307)-2))))-1),"")</f>
        <v>ARCHIVED</v>
      </c>
      <c r="M307" s="13" t="n">
        <f aca="true">K307-TODAY()</f>
        <v>-288</v>
      </c>
      <c r="N307" s="18" t="s">
        <v>105</v>
      </c>
      <c r="O307" s="13" t="s">
        <v>1401</v>
      </c>
      <c r="P307" s="31" t="n">
        <v>138915</v>
      </c>
      <c r="Q307" s="20" t="s">
        <v>1402</v>
      </c>
      <c r="R307" s="13" t="s">
        <v>39</v>
      </c>
      <c r="S307" s="25" t="n">
        <v>36849</v>
      </c>
      <c r="T307" s="13" t="s">
        <v>40</v>
      </c>
      <c r="U307" s="13" t="s">
        <v>1403</v>
      </c>
      <c r="V307" s="13" t="s">
        <v>42</v>
      </c>
      <c r="W307" s="13" t="s">
        <v>43</v>
      </c>
      <c r="X307" s="21" t="n">
        <v>8970643866</v>
      </c>
      <c r="Y307" s="22" t="str">
        <f aca="false">O307</f>
        <v>Gudang Jadi - Helper</v>
      </c>
      <c r="Z307" s="13" t="str">
        <f aca="false">IFERROR(__xludf.dummyfunction("if(BJ307="""","""",GOOGLETRANSLATE(BJ307,""auto"",""en""))"),"Ready-Made Warehouse - Helper")</f>
        <v>Ready-Made Warehouse - Helper</v>
      </c>
      <c r="AA307" s="23" t="str">
        <f aca="false">IF(C307="","", CHOOSE(MONTH(C307),"January","February","March","April","May","June","July","August","September","October","November","December")&amp;" "&amp;DAY(C307)&amp;MID("thstndrdth",MIN(9,2*RIGHT(DAY(C307))*(MOD(DAY(C307)-11,100)&gt;2)+1),2)&amp;","&amp;TEXT(C307," yyyy"))</f>
        <v>June 12th,2020</v>
      </c>
      <c r="AB307" s="15" t="str">
        <f aca="true">IF(S307="","",DATEDIF(S307,TODAY(),"Y")&amp;" Tahun, "&amp;DATEDIF(S307,TODAY(),"YM")&amp;" Bulan, "&amp;DATEDIF(S307,TODAY(),"MD")&amp;" Hari")</f>
        <v>25 Tahun, 11 Bulan, 10 Hari</v>
      </c>
      <c r="AC307" s="18" t="n">
        <v>45672</v>
      </c>
      <c r="AD307" s="18" t="n">
        <v>46036</v>
      </c>
      <c r="AE307" s="18" t="s">
        <v>44</v>
      </c>
    </row>
    <row r="308" customFormat="false" ht="15.75" hidden="false" customHeight="true" outlineLevel="0" collapsed="false">
      <c r="A308" s="12" t="n">
        <v>1880</v>
      </c>
      <c r="B308" s="13" t="s">
        <v>1404</v>
      </c>
      <c r="C308" s="14" t="n">
        <v>44005</v>
      </c>
      <c r="D308" s="13" t="s">
        <v>101</v>
      </c>
      <c r="E308" s="15" t="s">
        <v>102</v>
      </c>
      <c r="F308" s="15" t="str">
        <f aca="false">IFERROR(__xludf.dummyfunction("XLOOKUP(AJ308,IMPORTRANGE(""1XaInW9DU9nz21V0tYIfzFQ0He9kVQ_JF2mCXgZ3hqFA"",""REKAP ALL 2026 - Andika!G:G""),IMPORTRANGE(""1XaInW9DU9nz21V0tYIfzFQ0He9kVQ_JF2mCXgZ3hqFA"",""REKAP ALL 2026 - Andika!F:F""),"""",0)"),"15059292431")</f>
        <v>15059292431</v>
      </c>
      <c r="G308" s="13" t="s">
        <v>1405</v>
      </c>
      <c r="H308" s="13" t="s">
        <v>35</v>
      </c>
      <c r="I308" s="13" t="str">
        <f aca="false">IF(C308=J308,"NEW KONTRAK","RE-KONTRAK")</f>
        <v>RE-KONTRAK</v>
      </c>
      <c r="J308" s="16" t="n">
        <f aca="false" t="array" ref="J308:J308">IFERROR(INDEX(AC308:AE308,IF(COUNTA(AC308:AE308)=0,"",MAX((AC308:AE308&lt;&gt;"")*(COLUMN(AC308:AE308)-(COLUMN(AC308)))))-1),"")</f>
        <v>45672</v>
      </c>
      <c r="K308" s="16" t="n">
        <f aca="false" t="array" ref="K308:K308">IFERROR(INDEX(AC308:AE308,IF(COUNTA(AC308:AE308)=0,"",MAX((AC308:AE308&lt;&gt;"")*(COLUMN(AC308:AE308)-(COLUMN(AC308)-1))))-1),"")</f>
        <v>46036</v>
      </c>
      <c r="L308" s="17" t="str">
        <f aca="false" t="array" ref="L308:L308">IFERROR(INDEX(AC308:AE308,IF(COUNTA(AC308:AE308)=0,"",MAX((AC308:AE308&lt;&gt;"")*(COLUMN(AC308:AE308)-(COLUMN(AC308)-2))))-1),"")</f>
        <v>ARCHIVED</v>
      </c>
      <c r="M308" s="13" t="n">
        <f aca="true">K308-TODAY()</f>
        <v>-288</v>
      </c>
      <c r="N308" s="18" t="s">
        <v>105</v>
      </c>
      <c r="O308" s="13" t="s">
        <v>106</v>
      </c>
      <c r="P308" s="19" t="n">
        <v>132300</v>
      </c>
      <c r="Q308" s="20" t="s">
        <v>1406</v>
      </c>
      <c r="R308" s="13" t="s">
        <v>52</v>
      </c>
      <c r="S308" s="25" t="n">
        <v>35400</v>
      </c>
      <c r="T308" s="13" t="s">
        <v>108</v>
      </c>
      <c r="U308" s="13" t="s">
        <v>1407</v>
      </c>
      <c r="V308" s="13" t="s">
        <v>42</v>
      </c>
      <c r="W308" s="13" t="s">
        <v>43</v>
      </c>
      <c r="X308" s="21" t="n">
        <v>83849607968</v>
      </c>
      <c r="Y308" s="22" t="str">
        <f aca="false">O308</f>
        <v>Produksi - Helper</v>
      </c>
      <c r="Z308" s="13" t="str">
        <f aca="false">IFERROR(__xludf.dummyfunction("if(BJ308="""","""",GOOGLETRANSLATE(BJ308,""auto"",""en""))"),"Production - Helper")</f>
        <v>Production - Helper</v>
      </c>
      <c r="AA308" s="23" t="str">
        <f aca="false">IF(C308="","", CHOOSE(MONTH(C308),"January","February","March","April","May","June","July","August","September","October","November","December")&amp;" "&amp;DAY(C308)&amp;MID("thstndrdth",MIN(9,2*RIGHT(DAY(C308))*(MOD(DAY(C308)-11,100)&gt;2)+1),2)&amp;","&amp;TEXT(C308," yyyy"))</f>
        <v>June 23rd,2020</v>
      </c>
      <c r="AB308" s="15" t="str">
        <f aca="true">IF(S308="","",DATEDIF(S308,TODAY(),"Y")&amp;" Tahun, "&amp;DATEDIF(S308,TODAY(),"YM")&amp;" Bulan, "&amp;DATEDIF(S308,TODAY(),"MD")&amp;" Hari")</f>
        <v>29 Tahun, 10 Bulan, 28 Hari</v>
      </c>
      <c r="AC308" s="18" t="n">
        <v>45672</v>
      </c>
      <c r="AD308" s="18" t="n">
        <v>46036</v>
      </c>
      <c r="AE308" s="18" t="s">
        <v>44</v>
      </c>
    </row>
    <row r="309" customFormat="false" ht="15.75" hidden="false" customHeight="true" outlineLevel="0" collapsed="false">
      <c r="A309" s="12" t="n">
        <v>2447</v>
      </c>
      <c r="B309" s="13" t="s">
        <v>1408</v>
      </c>
      <c r="C309" s="14" t="n">
        <v>44407</v>
      </c>
      <c r="D309" s="13" t="s">
        <v>101</v>
      </c>
      <c r="E309" s="15" t="s">
        <v>47</v>
      </c>
      <c r="F309" s="15" t="str">
        <f aca="false">IFERROR(__xludf.dummyfunction("XLOOKUP(AJ309,IMPORTRANGE(""1XaInW9DU9nz21V0tYIfzFQ0He9kVQ_JF2mCXgZ3hqFA"",""REKAP ALL 2026 - Andika!G:G""),IMPORTRANGE(""1XaInW9DU9nz21V0tYIfzFQ0He9kVQ_JF2mCXgZ3hqFA"",""REKAP ALL 2026 - Andika!F:F""),"""",0)"),"21068420401")</f>
        <v>21068420401</v>
      </c>
      <c r="G309" s="13" t="s">
        <v>1409</v>
      </c>
      <c r="H309" s="13" t="s">
        <v>35</v>
      </c>
      <c r="I309" s="13" t="str">
        <f aca="false">IF(C309=J309,"NEW KONTRAK","RE-KONTRAK")</f>
        <v>RE-KONTRAK</v>
      </c>
      <c r="J309" s="16" t="n">
        <f aca="false" t="array" ref="J309:J309">IFERROR(INDEX(AC309:AE309,IF(COUNTA(AC309:AE309)=0,"",MAX((AC309:AE309&lt;&gt;"")*(COLUMN(AC309:AE309)-(COLUMN(AC309)))))-1),"")</f>
        <v>45672</v>
      </c>
      <c r="K309" s="16" t="n">
        <f aca="false" t="array" ref="K309:K309">IFERROR(INDEX(AC309:AE309,IF(COUNTA(AC309:AE309)=0,"",MAX((AC309:AE309&lt;&gt;"")*(COLUMN(AC309:AE309)-(COLUMN(AC309)-1))))-1),"")</f>
        <v>46036</v>
      </c>
      <c r="L309" s="17" t="str">
        <f aca="false" t="array" ref="L309:L309">IFERROR(INDEX(AC309:AE309,IF(COUNTA(AC309:AE309)=0,"",MAX((AC309:AE309&lt;&gt;"")*(COLUMN(AC309:AE309)-(COLUMN(AC309)-2))))-1),"")</f>
        <v>ARCHIVED</v>
      </c>
      <c r="M309" s="13" t="n">
        <f aca="true">K309-TODAY()</f>
        <v>-288</v>
      </c>
      <c r="N309" s="18" t="s">
        <v>105</v>
      </c>
      <c r="O309" s="13" t="s">
        <v>106</v>
      </c>
      <c r="P309" s="31" t="n">
        <v>138915</v>
      </c>
      <c r="Q309" s="20" t="s">
        <v>1410</v>
      </c>
      <c r="R309" s="13" t="s">
        <v>39</v>
      </c>
      <c r="S309" s="25" t="n">
        <v>37666</v>
      </c>
      <c r="T309" s="13" t="s">
        <v>108</v>
      </c>
      <c r="U309" s="13" t="s">
        <v>1411</v>
      </c>
      <c r="V309" s="13" t="s">
        <v>42</v>
      </c>
      <c r="W309" s="13" t="s">
        <v>43</v>
      </c>
      <c r="X309" s="21" t="n">
        <v>895331601371</v>
      </c>
      <c r="Y309" s="22" t="str">
        <f aca="false">O309</f>
        <v>Produksi - Helper</v>
      </c>
      <c r="Z309" s="13" t="str">
        <f aca="false">IFERROR(__xludf.dummyfunction("if(BJ309="""","""",GOOGLETRANSLATE(BJ309,""auto"",""en""))"),"Production - Helper")</f>
        <v>Production - Helper</v>
      </c>
      <c r="AA309" s="23" t="str">
        <f aca="false">IF(C309="","", CHOOSE(MONTH(C309),"January","February","March","April","May","June","July","August","September","October","November","December")&amp;" "&amp;DAY(C309)&amp;MID("thstndrdth",MIN(9,2*RIGHT(DAY(C309))*(MOD(DAY(C309)-11,100)&gt;2)+1),2)&amp;","&amp;TEXT(C309," yyyy"))</f>
        <v>July 30th,2021</v>
      </c>
      <c r="AB309" s="15" t="str">
        <f aca="true">IF(S309="","",DATEDIF(S309,TODAY(),"Y")&amp;" Tahun, "&amp;DATEDIF(S309,TODAY(),"YM")&amp;" Bulan, "&amp;DATEDIF(S309,TODAY(),"MD")&amp;" Hari")</f>
        <v>23 Tahun, 8 Bulan, 15 Hari</v>
      </c>
      <c r="AC309" s="18" t="n">
        <v>45672</v>
      </c>
      <c r="AD309" s="18" t="n">
        <v>46036</v>
      </c>
      <c r="AE309" s="18" t="s">
        <v>44</v>
      </c>
    </row>
    <row r="310" customFormat="false" ht="15.75" hidden="false" customHeight="true" outlineLevel="0" collapsed="false">
      <c r="A310" s="12" t="n">
        <v>2398</v>
      </c>
      <c r="B310" s="13" t="s">
        <v>1412</v>
      </c>
      <c r="C310" s="14" t="n">
        <v>44406</v>
      </c>
      <c r="D310" s="13" t="s">
        <v>101</v>
      </c>
      <c r="E310" s="15" t="s">
        <v>47</v>
      </c>
      <c r="F310" s="15" t="str">
        <f aca="false">IFERROR(__xludf.dummyfunction("XLOOKUP(AJ310,IMPORTRANGE(""1XaInW9DU9nz21V0tYIfzFQ0He9kVQ_JF2mCXgZ3hqFA"",""REKAP ALL 2026 - Andika!G:G""),IMPORTRANGE(""1XaInW9DU9nz21V0tYIfzFQ0He9kVQ_JF2mCXgZ3hqFA"",""REKAP ALL 2026 - Andika!F:F""),"""",0)"),"21068419585")</f>
        <v>21068419585</v>
      </c>
      <c r="G310" s="13" t="s">
        <v>1413</v>
      </c>
      <c r="H310" s="13" t="s">
        <v>35</v>
      </c>
      <c r="I310" s="13" t="str">
        <f aca="false">IF(C310=J310,"NEW KONTRAK","RE-KONTRAK")</f>
        <v>RE-KONTRAK</v>
      </c>
      <c r="J310" s="16" t="n">
        <f aca="false" t="array" ref="J310:J310">IFERROR(INDEX(AC310:AE310,IF(COUNTA(AC310:AE310)=0,"",MAX((AC310:AE310&lt;&gt;"")*(COLUMN(AC310:AE310)-(COLUMN(AC310)))))-1),"")</f>
        <v>45672</v>
      </c>
      <c r="K310" s="16" t="n">
        <f aca="false" t="array" ref="K310:K310">IFERROR(INDEX(AC310:AE310,IF(COUNTA(AC310:AE310)=0,"",MAX((AC310:AE310&lt;&gt;"")*(COLUMN(AC310:AE310)-(COLUMN(AC310)-1))))-1),"")</f>
        <v>46036</v>
      </c>
      <c r="L310" s="17" t="str">
        <f aca="false" t="array" ref="L310:L310">IFERROR(INDEX(AC310:AE310,IF(COUNTA(AC310:AE310)=0,"",MAX((AC310:AE310&lt;&gt;"")*(COLUMN(AC310:AE310)-(COLUMN(AC310)-2))))-1),"")</f>
        <v>ARCHIVED</v>
      </c>
      <c r="M310" s="13" t="n">
        <f aca="true">K310-TODAY()</f>
        <v>-288</v>
      </c>
      <c r="N310" s="18" t="s">
        <v>105</v>
      </c>
      <c r="O310" s="13" t="s">
        <v>106</v>
      </c>
      <c r="P310" s="31" t="n">
        <v>138915</v>
      </c>
      <c r="Q310" s="20" t="s">
        <v>1414</v>
      </c>
      <c r="R310" s="13" t="s">
        <v>78</v>
      </c>
      <c r="S310" s="25" t="n">
        <v>37725</v>
      </c>
      <c r="T310" s="13" t="s">
        <v>108</v>
      </c>
      <c r="U310" s="13" t="s">
        <v>1415</v>
      </c>
      <c r="V310" s="13" t="s">
        <v>42</v>
      </c>
      <c r="W310" s="13" t="s">
        <v>43</v>
      </c>
      <c r="X310" s="21" t="n">
        <v>85850701306</v>
      </c>
      <c r="Y310" s="22" t="str">
        <f aca="false">O310</f>
        <v>Produksi - Helper</v>
      </c>
      <c r="Z310" s="13" t="str">
        <f aca="false">IFERROR(__xludf.dummyfunction("if(BJ310="""","""",GOOGLETRANSLATE(BJ310,""auto"",""en""))"),"Production - Helper")</f>
        <v>Production - Helper</v>
      </c>
      <c r="AA310" s="23" t="str">
        <f aca="false">IF(C310="","", CHOOSE(MONTH(C310),"January","February","March","April","May","June","July","August","September","October","November","December")&amp;" "&amp;DAY(C310)&amp;MID("thstndrdth",MIN(9,2*RIGHT(DAY(C310))*(MOD(DAY(C310)-11,100)&gt;2)+1),2)&amp;","&amp;TEXT(C310," yyyy"))</f>
        <v>July 29th,2021</v>
      </c>
      <c r="AB310" s="15" t="str">
        <f aca="true">IF(S310="","",DATEDIF(S310,TODAY(),"Y")&amp;" Tahun, "&amp;DATEDIF(S310,TODAY(),"YM")&amp;" Bulan, "&amp;DATEDIF(S310,TODAY(),"MD")&amp;" Hari")</f>
        <v>23 Tahun, 6 Bulan, 15 Hari</v>
      </c>
      <c r="AC310" s="18" t="n">
        <v>45672</v>
      </c>
      <c r="AD310" s="18" t="n">
        <v>46036</v>
      </c>
      <c r="AE310" s="18" t="s">
        <v>44</v>
      </c>
    </row>
    <row r="311" customFormat="false" ht="15.75" hidden="false" customHeight="true" outlineLevel="0" collapsed="false">
      <c r="A311" s="12" t="n">
        <v>2539</v>
      </c>
      <c r="B311" s="13" t="s">
        <v>1416</v>
      </c>
      <c r="C311" s="14" t="n">
        <v>44413</v>
      </c>
      <c r="D311" s="13" t="s">
        <v>101</v>
      </c>
      <c r="E311" s="15" t="s">
        <v>47</v>
      </c>
      <c r="F311" s="15" t="str">
        <f aca="false">IFERROR(__xludf.dummyfunction("XLOOKUP(AJ311,IMPORTRANGE(""1XaInW9DU9nz21V0tYIfzFQ0He9kVQ_JF2mCXgZ3hqFA"",""REKAP ALL 2026 - Andika!G:G""),IMPORTRANGE(""1XaInW9DU9nz21V0tYIfzFQ0He9kVQ_JF2mCXgZ3hqFA"",""REKAP ALL 2026 - Andika!F:F""),"""",0)"),"21068420203")</f>
        <v>21068420203</v>
      </c>
      <c r="G311" s="13" t="s">
        <v>1417</v>
      </c>
      <c r="H311" s="13" t="s">
        <v>35</v>
      </c>
      <c r="I311" s="13" t="str">
        <f aca="false">IF(C311=J311,"NEW KONTRAK","RE-KONTRAK")</f>
        <v>RE-KONTRAK</v>
      </c>
      <c r="J311" s="16" t="n">
        <f aca="false" t="array" ref="J311:J311">IFERROR(INDEX(AC311:AE311,IF(COUNTA(AC311:AE311)=0,"",MAX((AC311:AE311&lt;&gt;"")*(COLUMN(AC311:AE311)-(COLUMN(AC311)))))-1),"")</f>
        <v>45672</v>
      </c>
      <c r="K311" s="16" t="n">
        <f aca="false" t="array" ref="K311:K311">IFERROR(INDEX(AC311:AE311,IF(COUNTA(AC311:AE311)=0,"",MAX((AC311:AE311&lt;&gt;"")*(COLUMN(AC311:AE311)-(COLUMN(AC311)-1))))-1),"")</f>
        <v>46036</v>
      </c>
      <c r="L311" s="17" t="str">
        <f aca="false" t="array" ref="L311:L311">IFERROR(INDEX(AC311:AE311,IF(COUNTA(AC311:AE311)=0,"",MAX((AC311:AE311&lt;&gt;"")*(COLUMN(AC311:AE311)-(COLUMN(AC311)-2))))-1),"")</f>
        <v>ARCHIVED</v>
      </c>
      <c r="M311" s="13" t="n">
        <f aca="true">K311-TODAY()</f>
        <v>-288</v>
      </c>
      <c r="N311" s="18" t="s">
        <v>105</v>
      </c>
      <c r="O311" s="13" t="s">
        <v>106</v>
      </c>
      <c r="P311" s="31" t="n">
        <v>138915</v>
      </c>
      <c r="Q311" s="20" t="s">
        <v>1418</v>
      </c>
      <c r="R311" s="13" t="s">
        <v>73</v>
      </c>
      <c r="S311" s="25" t="n">
        <v>36388</v>
      </c>
      <c r="T311" s="13" t="s">
        <v>40</v>
      </c>
      <c r="U311" s="13" t="s">
        <v>1419</v>
      </c>
      <c r="V311" s="13" t="s">
        <v>42</v>
      </c>
      <c r="W311" s="13" t="s">
        <v>43</v>
      </c>
      <c r="X311" s="21" t="n">
        <v>85704603071</v>
      </c>
      <c r="Y311" s="22" t="str">
        <f aca="false">O311</f>
        <v>Produksi - Helper</v>
      </c>
      <c r="Z311" s="13" t="str">
        <f aca="false">IFERROR(__xludf.dummyfunction("if(BJ311="""","""",GOOGLETRANSLATE(BJ311,""auto"",""en""))"),"Production - Helper")</f>
        <v>Production - Helper</v>
      </c>
      <c r="AA311" s="23" t="str">
        <f aca="false">IF(C311="","", CHOOSE(MONTH(C311),"January","February","March","April","May","June","July","August","September","October","November","December")&amp;" "&amp;DAY(C311)&amp;MID("thstndrdth",MIN(9,2*RIGHT(DAY(C311))*(MOD(DAY(C311)-11,100)&gt;2)+1),2)&amp;","&amp;TEXT(C311," yyyy"))</f>
        <v>August 5th,2021</v>
      </c>
      <c r="AB311" s="15" t="str">
        <f aca="true">IF(S311="","",DATEDIF(S311,TODAY(),"Y")&amp;" Tahun, "&amp;DATEDIF(S311,TODAY(),"YM")&amp;" Bulan, "&amp;DATEDIF(S311,TODAY(),"MD")&amp;" Hari")</f>
        <v>27 Tahun, 2 Bulan, 13 Hari</v>
      </c>
      <c r="AC311" s="18" t="n">
        <v>45672</v>
      </c>
      <c r="AD311" s="18" t="n">
        <v>46036</v>
      </c>
      <c r="AE311" s="18" t="s">
        <v>44</v>
      </c>
    </row>
    <row r="312" customFormat="false" ht="15.75" hidden="false" customHeight="true" outlineLevel="0" collapsed="false">
      <c r="A312" s="12" t="n">
        <v>12368</v>
      </c>
      <c r="B312" s="13" t="s">
        <v>1420</v>
      </c>
      <c r="C312" s="14" t="n">
        <v>45108</v>
      </c>
      <c r="D312" s="13" t="s">
        <v>101</v>
      </c>
      <c r="E312" s="15" t="s">
        <v>47</v>
      </c>
      <c r="F312" s="15" t="str">
        <f aca="false">IFERROR(__xludf.dummyfunction("XLOOKUP(AJ312,IMPORTRANGE(""1XaInW9DU9nz21V0tYIfzFQ0He9kVQ_JF2mCXgZ3hqFA"",""REKAP ALL 2026 - Andika!G:G""),IMPORTRANGE(""1XaInW9DU9nz21V0tYIfzFQ0He9kVQ_JF2mCXgZ3hqFA"",""REKAP ALL 2026 - Andika!F:F""),"""",0)"),"23113700571")</f>
        <v>23113700571</v>
      </c>
      <c r="G312" s="13" t="s">
        <v>1421</v>
      </c>
      <c r="H312" s="13" t="s">
        <v>35</v>
      </c>
      <c r="I312" s="13" t="str">
        <f aca="false">IF(C312=J312,"NEW KONTRAK","RE-KONTRAK")</f>
        <v>RE-KONTRAK</v>
      </c>
      <c r="J312" s="16" t="n">
        <f aca="false" t="array" ref="J312:J312">IFERROR(INDEX(AC312:AE312,IF(COUNTA(AC312:AE312)=0,"",MAX((AC312:AE312&lt;&gt;"")*(COLUMN(AC312:AE312)-(COLUMN(AC312)))))-1),"")</f>
        <v>45672</v>
      </c>
      <c r="K312" s="16" t="n">
        <f aca="false" t="array" ref="K312:K312">IFERROR(INDEX(AC312:AE312,IF(COUNTA(AC312:AE312)=0,"",MAX((AC312:AE312&lt;&gt;"")*(COLUMN(AC312:AE312)-(COLUMN(AC312)-1))))-1),"")</f>
        <v>46036</v>
      </c>
      <c r="L312" s="17" t="str">
        <f aca="false" t="array" ref="L312:L312">IFERROR(INDEX(AC312:AE312,IF(COUNTA(AC312:AE312)=0,"",MAX((AC312:AE312&lt;&gt;"")*(COLUMN(AC312:AE312)-(COLUMN(AC312)-2))))-1),"")</f>
        <v>ARCHIVED</v>
      </c>
      <c r="M312" s="13" t="n">
        <f aca="true">K312-TODAY()</f>
        <v>-288</v>
      </c>
      <c r="N312" s="18" t="s">
        <v>105</v>
      </c>
      <c r="O312" s="13" t="s">
        <v>106</v>
      </c>
      <c r="P312" s="31" t="n">
        <v>138915</v>
      </c>
      <c r="Q312" s="20" t="s">
        <v>1422</v>
      </c>
      <c r="R312" s="13" t="s">
        <v>83</v>
      </c>
      <c r="S312" s="25" t="n">
        <v>36501</v>
      </c>
      <c r="T312" s="13" t="s">
        <v>40</v>
      </c>
      <c r="U312" s="13" t="s">
        <v>1423</v>
      </c>
      <c r="V312" s="13" t="s">
        <v>42</v>
      </c>
      <c r="W312" s="13" t="s">
        <v>43</v>
      </c>
      <c r="X312" s="21" t="n">
        <v>83849997409</v>
      </c>
      <c r="Y312" s="22" t="str">
        <f aca="false">O312</f>
        <v>Produksi - Helper</v>
      </c>
      <c r="Z312" s="13" t="str">
        <f aca="false">IFERROR(__xludf.dummyfunction("if(BJ312="""","""",GOOGLETRANSLATE(BJ312,""auto"",""en""))"),"Production - Helper")</f>
        <v>Production - Helper</v>
      </c>
      <c r="AA312" s="23" t="str">
        <f aca="false">IF(C312="","", CHOOSE(MONTH(C312),"January","February","March","April","May","June","July","August","September","October","November","December")&amp;" "&amp;DAY(C312)&amp;MID("thstndrdth",MIN(9,2*RIGHT(DAY(C312))*(MOD(DAY(C312)-11,100)&gt;2)+1),2)&amp;","&amp;TEXT(C312," yyyy"))</f>
        <v>July 1st,2023</v>
      </c>
      <c r="AB312" s="15" t="str">
        <f aca="true">IF(S312="","",DATEDIF(S312,TODAY(),"Y")&amp;" Tahun, "&amp;DATEDIF(S312,TODAY(),"YM")&amp;" Bulan, "&amp;DATEDIF(S312,TODAY(),"MD")&amp;" Hari")</f>
        <v>26 Tahun, 10 Bulan, 22 Hari</v>
      </c>
      <c r="AC312" s="18" t="n">
        <v>45672</v>
      </c>
      <c r="AD312" s="18" t="n">
        <v>46036</v>
      </c>
      <c r="AE312" s="18" t="s">
        <v>44</v>
      </c>
    </row>
    <row r="313" customFormat="false" ht="15.75" hidden="false" customHeight="true" outlineLevel="0" collapsed="false">
      <c r="A313" s="12" t="n">
        <v>2625</v>
      </c>
      <c r="B313" s="13" t="s">
        <v>1424</v>
      </c>
      <c r="C313" s="14" t="n">
        <v>44418</v>
      </c>
      <c r="D313" s="13" t="s">
        <v>101</v>
      </c>
      <c r="E313" s="15" t="s">
        <v>47</v>
      </c>
      <c r="F313" s="15" t="str">
        <f aca="false">IFERROR(__xludf.dummyfunction("XLOOKUP(AJ313,IMPORTRANGE(""1XaInW9DU9nz21V0tYIfzFQ0He9kVQ_JF2mCXgZ3hqFA"",""REKAP ALL 2026 - Andika!G:G""),IMPORTRANGE(""1XaInW9DU9nz21V0tYIfzFQ0He9kVQ_JF2mCXgZ3hqFA"",""REKAP ALL 2026 - Andika!F:F""),"""",0)"),"21068420096")</f>
        <v>21068420096</v>
      </c>
      <c r="G313" s="13" t="s">
        <v>1425</v>
      </c>
      <c r="H313" s="13" t="s">
        <v>35</v>
      </c>
      <c r="I313" s="13" t="str">
        <f aca="false">IF(C313=J313,"NEW KONTRAK","RE-KONTRAK")</f>
        <v>RE-KONTRAK</v>
      </c>
      <c r="J313" s="16" t="n">
        <f aca="false" t="array" ref="J313:J313">IFERROR(INDEX(AC313:AE313,IF(COUNTA(AC313:AE313)=0,"",MAX((AC313:AE313&lt;&gt;"")*(COLUMN(AC313:AE313)-(COLUMN(AC313)))))-1),"")</f>
        <v>45672</v>
      </c>
      <c r="K313" s="16" t="n">
        <f aca="false" t="array" ref="K313:K313">IFERROR(INDEX(AC313:AE313,IF(COUNTA(AC313:AE313)=0,"",MAX((AC313:AE313&lt;&gt;"")*(COLUMN(AC313:AE313)-(COLUMN(AC313)-1))))-1),"")</f>
        <v>46036</v>
      </c>
      <c r="L313" s="17" t="str">
        <f aca="false" t="array" ref="L313:L313">IFERROR(INDEX(AC313:AE313,IF(COUNTA(AC313:AE313)=0,"",MAX((AC313:AE313&lt;&gt;"")*(COLUMN(AC313:AE313)-(COLUMN(AC313)-2))))-1),"")</f>
        <v>ARCHIVED</v>
      </c>
      <c r="M313" s="13" t="n">
        <f aca="true">K313-TODAY()</f>
        <v>-288</v>
      </c>
      <c r="N313" s="18" t="s">
        <v>105</v>
      </c>
      <c r="O313" s="13" t="s">
        <v>106</v>
      </c>
      <c r="P313" s="31" t="n">
        <v>138915</v>
      </c>
      <c r="Q313" s="20" t="s">
        <v>1426</v>
      </c>
      <c r="R313" s="13" t="s">
        <v>324</v>
      </c>
      <c r="S313" s="25" t="n">
        <v>36935</v>
      </c>
      <c r="T313" s="13" t="s">
        <v>40</v>
      </c>
      <c r="U313" s="13" t="s">
        <v>1427</v>
      </c>
      <c r="V313" s="13" t="s">
        <v>42</v>
      </c>
      <c r="W313" s="13" t="s">
        <v>43</v>
      </c>
      <c r="X313" s="21" t="n">
        <v>8977394362</v>
      </c>
      <c r="Y313" s="22" t="str">
        <f aca="false">O313</f>
        <v>Produksi - Helper</v>
      </c>
      <c r="Z313" s="13" t="str">
        <f aca="false">IFERROR(__xludf.dummyfunction("if(BJ313="""","""",GOOGLETRANSLATE(BJ313,""auto"",""en""))"),"Production - Helper")</f>
        <v>Production - Helper</v>
      </c>
      <c r="AA313" s="23" t="str">
        <f aca="false">IF(C313="","", CHOOSE(MONTH(C313),"January","February","March","April","May","June","July","August","September","October","November","December")&amp;" "&amp;DAY(C313)&amp;MID("thstndrdth",MIN(9,2*RIGHT(DAY(C313))*(MOD(DAY(C313)-11,100)&gt;2)+1),2)&amp;","&amp;TEXT(C313," yyyy"))</f>
        <v>August 10th,2021</v>
      </c>
      <c r="AB313" s="15" t="str">
        <f aca="true">IF(S313="","",DATEDIF(S313,TODAY(),"Y")&amp;" Tahun, "&amp;DATEDIF(S313,TODAY(),"YM")&amp;" Bulan, "&amp;DATEDIF(S313,TODAY(),"MD")&amp;" Hari")</f>
        <v>25 Tahun, 8 Bulan, 16 Hari</v>
      </c>
      <c r="AC313" s="18" t="n">
        <v>45672</v>
      </c>
      <c r="AD313" s="18" t="n">
        <v>46036</v>
      </c>
      <c r="AE313" s="18" t="s">
        <v>44</v>
      </c>
    </row>
    <row r="314" customFormat="false" ht="15.75" hidden="false" customHeight="true" outlineLevel="0" collapsed="false">
      <c r="A314" s="12" t="n">
        <v>2511</v>
      </c>
      <c r="B314" s="13" t="s">
        <v>1428</v>
      </c>
      <c r="C314" s="14" t="n">
        <v>44411</v>
      </c>
      <c r="D314" s="13" t="s">
        <v>101</v>
      </c>
      <c r="E314" s="15" t="s">
        <v>47</v>
      </c>
      <c r="F314" s="15" t="str">
        <f aca="false">IFERROR(__xludf.dummyfunction("XLOOKUP(AJ314,IMPORTRANGE(""1XaInW9DU9nz21V0tYIfzFQ0He9kVQ_JF2mCXgZ3hqFA"",""REKAP ALL 2026 - Andika!G:G""),IMPORTRANGE(""1XaInW9DU9nz21V0tYIfzFQ0He9kVQ_JF2mCXgZ3hqFA"",""REKAP ALL 2026 - Andika!F:F""),"""",0)"),"21068419726")</f>
        <v>21068419726</v>
      </c>
      <c r="G314" s="13" t="s">
        <v>1429</v>
      </c>
      <c r="H314" s="13" t="s">
        <v>35</v>
      </c>
      <c r="I314" s="13" t="str">
        <f aca="false">IF(C314=J314,"NEW KONTRAK","RE-KONTRAK")</f>
        <v>RE-KONTRAK</v>
      </c>
      <c r="J314" s="16" t="n">
        <f aca="false" t="array" ref="J314:J314">IFERROR(INDEX(AC314:AE314,IF(COUNTA(AC314:AE314)=0,"",MAX((AC314:AE314&lt;&gt;"")*(COLUMN(AC314:AE314)-(COLUMN(AC314)))))-1),"")</f>
        <v>45672</v>
      </c>
      <c r="K314" s="16" t="n">
        <f aca="false" t="array" ref="K314:K314">IFERROR(INDEX(AC314:AE314,IF(COUNTA(AC314:AE314)=0,"",MAX((AC314:AE314&lt;&gt;"")*(COLUMN(AC314:AE314)-(COLUMN(AC314)-1))))-1),"")</f>
        <v>46036</v>
      </c>
      <c r="L314" s="17" t="str">
        <f aca="false" t="array" ref="L314:L314">IFERROR(INDEX(AC314:AE314,IF(COUNTA(AC314:AE314)=0,"",MAX((AC314:AE314&lt;&gt;"")*(COLUMN(AC314:AE314)-(COLUMN(AC314)-2))))-1),"")</f>
        <v>ARCHIVED</v>
      </c>
      <c r="M314" s="13" t="n">
        <f aca="true">K314-TODAY()</f>
        <v>-288</v>
      </c>
      <c r="N314" s="18" t="s">
        <v>105</v>
      </c>
      <c r="O314" s="13" t="s">
        <v>106</v>
      </c>
      <c r="P314" s="31" t="n">
        <v>138915</v>
      </c>
      <c r="Q314" s="20" t="s">
        <v>1430</v>
      </c>
      <c r="R314" s="13" t="s">
        <v>39</v>
      </c>
      <c r="S314" s="25" t="n">
        <v>35884</v>
      </c>
      <c r="T314" s="13" t="s">
        <v>40</v>
      </c>
      <c r="U314" s="13" t="s">
        <v>1431</v>
      </c>
      <c r="V314" s="13" t="s">
        <v>42</v>
      </c>
      <c r="W314" s="13" t="s">
        <v>43</v>
      </c>
      <c r="X314" s="21" t="n">
        <v>81556869670</v>
      </c>
      <c r="Y314" s="22" t="str">
        <f aca="false">O314</f>
        <v>Produksi - Helper</v>
      </c>
      <c r="Z314" s="13" t="str">
        <f aca="false">IFERROR(__xludf.dummyfunction("if(BJ314="""","""",GOOGLETRANSLATE(BJ314,""auto"",""en""))"),"Production - Helper")</f>
        <v>Production - Helper</v>
      </c>
      <c r="AA314" s="23" t="str">
        <f aca="false">IF(C314="","", CHOOSE(MONTH(C314),"January","February","March","April","May","June","July","August","September","October","November","December")&amp;" "&amp;DAY(C314)&amp;MID("thstndrdth",MIN(9,2*RIGHT(DAY(C314))*(MOD(DAY(C314)-11,100)&gt;2)+1),2)&amp;","&amp;TEXT(C314," yyyy"))</f>
        <v>August 3rd,2021</v>
      </c>
      <c r="AB314" s="15" t="str">
        <f aca="true">IF(S314="","",DATEDIF(S314,TODAY(),"Y")&amp;" Tahun, "&amp;DATEDIF(S314,TODAY(),"YM")&amp;" Bulan, "&amp;DATEDIF(S314,TODAY(),"MD")&amp;" Hari")</f>
        <v>28 Tahun, 6 Bulan, 29 Hari</v>
      </c>
      <c r="AC314" s="18" t="n">
        <v>45672</v>
      </c>
      <c r="AD314" s="18" t="n">
        <v>46036</v>
      </c>
      <c r="AE314" s="18" t="s">
        <v>44</v>
      </c>
    </row>
    <row r="315" customFormat="false" ht="15.75" hidden="false" customHeight="true" outlineLevel="0" collapsed="false">
      <c r="A315" s="12" t="n">
        <v>1901</v>
      </c>
      <c r="B315" s="13" t="s">
        <v>1432</v>
      </c>
      <c r="C315" s="14" t="n">
        <v>43845</v>
      </c>
      <c r="D315" s="13" t="s">
        <v>101</v>
      </c>
      <c r="E315" s="15" t="s">
        <v>102</v>
      </c>
      <c r="F315" s="15" t="str">
        <f aca="false">IFERROR(__xludf.dummyfunction("XLOOKUP(AJ315,IMPORTRANGE(""1XaInW9DU9nz21V0tYIfzFQ0He9kVQ_JF2mCXgZ3hqFA"",""REKAP ALL 2026 - Andika!G:G""),IMPORTRANGE(""1XaInW9DU9nz21V0tYIfzFQ0He9kVQ_JF2mCXgZ3hqFA"",""REKAP ALL 2026 - Andika!F:F""),"""",0)"),"20021313752")</f>
        <v>20021313752</v>
      </c>
      <c r="G315" s="13" t="s">
        <v>1433</v>
      </c>
      <c r="H315" s="13" t="s">
        <v>35</v>
      </c>
      <c r="I315" s="13" t="str">
        <f aca="false">IF(C315=J315,"NEW KONTRAK","RE-KONTRAK")</f>
        <v>RE-KONTRAK</v>
      </c>
      <c r="J315" s="16" t="n">
        <f aca="false" t="array" ref="J315:J315">IFERROR(INDEX(AC315:AE315,IF(COUNTA(AC315:AE315)=0,"",MAX((AC315:AE315&lt;&gt;"")*(COLUMN(AC315:AE315)-(COLUMN(AC315)))))-1),"")</f>
        <v>45672</v>
      </c>
      <c r="K315" s="16" t="n">
        <f aca="false" t="array" ref="K315:K315">IFERROR(INDEX(AC315:AE315,IF(COUNTA(AC315:AE315)=0,"",MAX((AC315:AE315&lt;&gt;"")*(COLUMN(AC315:AE315)-(COLUMN(AC315)-1))))-1),"")</f>
        <v>46036</v>
      </c>
      <c r="L315" s="17" t="str">
        <f aca="false" t="array" ref="L315:L315">IFERROR(INDEX(AC315:AE315,IF(COUNTA(AC315:AE315)=0,"",MAX((AC315:AE315&lt;&gt;"")*(COLUMN(AC315:AE315)-(COLUMN(AC315)-2))))-1),"")</f>
        <v>ARCHIVED</v>
      </c>
      <c r="M315" s="13" t="n">
        <f aca="true">K315-TODAY()</f>
        <v>-288</v>
      </c>
      <c r="N315" s="18" t="s">
        <v>105</v>
      </c>
      <c r="O315" s="13" t="s">
        <v>1434</v>
      </c>
      <c r="P315" s="19" t="n">
        <v>132300</v>
      </c>
      <c r="Q315" s="20" t="s">
        <v>1435</v>
      </c>
      <c r="R315" s="13" t="s">
        <v>39</v>
      </c>
      <c r="S315" s="25" t="n">
        <v>36757</v>
      </c>
      <c r="T315" s="13" t="s">
        <v>108</v>
      </c>
      <c r="U315" s="13" t="s">
        <v>1436</v>
      </c>
      <c r="V315" s="13" t="s">
        <v>42</v>
      </c>
      <c r="W315" s="13" t="s">
        <v>43</v>
      </c>
      <c r="X315" s="21" t="n">
        <v>89680402192</v>
      </c>
      <c r="Y315" s="22" t="str">
        <f aca="false">O315</f>
        <v>E-Commerce - Packer</v>
      </c>
      <c r="Z315" s="13" t="str">
        <f aca="false">IFERROR(__xludf.dummyfunction("if(BJ315="""","""",GOOGLETRANSLATE(BJ315,""auto"",""en""))"),"E-Commerce - Packer")</f>
        <v>E-Commerce - Packer</v>
      </c>
      <c r="AA315" s="23" t="str">
        <f aca="false">IF(C315="","", CHOOSE(MONTH(C315),"January","February","March","April","May","June","July","August","September","October","November","December")&amp;" "&amp;DAY(C315)&amp;MID("thstndrdth",MIN(9,2*RIGHT(DAY(C315))*(MOD(DAY(C315)-11,100)&gt;2)+1),2)&amp;","&amp;TEXT(C315," yyyy"))</f>
        <v>January 15th,2020</v>
      </c>
      <c r="AB315" s="15" t="str">
        <f aca="true">IF(S315="","",DATEDIF(S315,TODAY(),"Y")&amp;" Tahun, "&amp;DATEDIF(S315,TODAY(),"YM")&amp;" Bulan, "&amp;DATEDIF(S315,TODAY(),"MD")&amp;" Hari")</f>
        <v>26 Tahun, 2 Bulan, 10 Hari</v>
      </c>
      <c r="AC315" s="18" t="n">
        <v>45672</v>
      </c>
      <c r="AD315" s="18" t="n">
        <v>46036</v>
      </c>
      <c r="AE315" s="18" t="s">
        <v>44</v>
      </c>
    </row>
    <row r="316" customFormat="false" ht="15.75" hidden="false" customHeight="true" outlineLevel="0" collapsed="false">
      <c r="A316" s="12" t="n">
        <v>1866</v>
      </c>
      <c r="B316" s="13" t="s">
        <v>1437</v>
      </c>
      <c r="C316" s="14" t="n">
        <v>44033</v>
      </c>
      <c r="D316" s="13" t="s">
        <v>101</v>
      </c>
      <c r="E316" s="15" t="s">
        <v>47</v>
      </c>
      <c r="F316" s="15" t="str">
        <f aca="false">IFERROR(__xludf.dummyfunction("XLOOKUP(AJ316,IMPORTRANGE(""1XaInW9DU9nz21V0tYIfzFQ0He9kVQ_JF2mCXgZ3hqFA"",""REKAP ALL 2026 - Andika!G:G""),IMPORTRANGE(""1XaInW9DU9nz21V0tYIfzFQ0He9kVQ_JF2mCXgZ3hqFA"",""REKAP ALL 2026 - Andika!F:F""),"""",0)"),"20061339071")</f>
        <v>20061339071</v>
      </c>
      <c r="G316" s="13" t="s">
        <v>1438</v>
      </c>
      <c r="H316" s="13" t="s">
        <v>35</v>
      </c>
      <c r="I316" s="13" t="str">
        <f aca="false">IF(C316=J316,"NEW KONTRAK","RE-KONTRAK")</f>
        <v>RE-KONTRAK</v>
      </c>
      <c r="J316" s="16" t="n">
        <f aca="false" t="array" ref="J316:J316">IFERROR(INDEX(AC316:AE316,IF(COUNTA(AC316:AE316)=0,"",MAX((AC316:AE316&lt;&gt;"")*(COLUMN(AC316:AE316)-(COLUMN(AC316)))))-1),"")</f>
        <v>45672</v>
      </c>
      <c r="K316" s="16" t="n">
        <f aca="false" t="array" ref="K316:K316">IFERROR(INDEX(AC316:AE316,IF(COUNTA(AC316:AE316)=0,"",MAX((AC316:AE316&lt;&gt;"")*(COLUMN(AC316:AE316)-(COLUMN(AC316)-1))))-1),"")</f>
        <v>46036</v>
      </c>
      <c r="L316" s="17" t="str">
        <f aca="false" t="array" ref="L316:L316">IFERROR(INDEX(AC316:AE316,IF(COUNTA(AC316:AE316)=0,"",MAX((AC316:AE316&lt;&gt;"")*(COLUMN(AC316:AE316)-(COLUMN(AC316)-2))))-1),"")</f>
        <v>ARCHIVED</v>
      </c>
      <c r="M316" s="13" t="n">
        <f aca="true">K316-TODAY()</f>
        <v>-288</v>
      </c>
      <c r="N316" s="18" t="s">
        <v>105</v>
      </c>
      <c r="O316" s="13" t="s">
        <v>106</v>
      </c>
      <c r="P316" s="31" t="n">
        <v>138915</v>
      </c>
      <c r="Q316" s="20" t="s">
        <v>1439</v>
      </c>
      <c r="R316" s="13" t="s">
        <v>52</v>
      </c>
      <c r="S316" s="25" t="n">
        <v>35338</v>
      </c>
      <c r="T316" s="13" t="s">
        <v>40</v>
      </c>
      <c r="U316" s="13" t="s">
        <v>1440</v>
      </c>
      <c r="V316" s="13" t="s">
        <v>42</v>
      </c>
      <c r="W316" s="13" t="s">
        <v>43</v>
      </c>
      <c r="X316" s="21" t="n">
        <v>85777514906</v>
      </c>
      <c r="Y316" s="22" t="str">
        <f aca="false">O316</f>
        <v>Produksi - Helper</v>
      </c>
      <c r="Z316" s="13" t="str">
        <f aca="false">IFERROR(__xludf.dummyfunction("if(BJ316="""","""",GOOGLETRANSLATE(BJ316,""auto"",""en""))"),"Production - Helper")</f>
        <v>Production - Helper</v>
      </c>
      <c r="AA316" s="23" t="str">
        <f aca="false">IF(C316="","", CHOOSE(MONTH(C316),"January","February","March","April","May","June","July","August","September","October","November","December")&amp;" "&amp;DAY(C316)&amp;MID("thstndrdth",MIN(9,2*RIGHT(DAY(C316))*(MOD(DAY(C316)-11,100)&gt;2)+1),2)&amp;","&amp;TEXT(C316," yyyy"))</f>
        <v>July 21st,2020</v>
      </c>
      <c r="AB316" s="15" t="str">
        <f aca="true">IF(S316="","",DATEDIF(S316,TODAY(),"Y")&amp;" Tahun, "&amp;DATEDIF(S316,TODAY(),"YM")&amp;" Bulan, "&amp;DATEDIF(S316,TODAY(),"MD")&amp;" Hari")</f>
        <v>30 Tahun, 0 Bulan, 29 Hari</v>
      </c>
      <c r="AC316" s="18" t="n">
        <v>45672</v>
      </c>
      <c r="AD316" s="18" t="n">
        <v>46036</v>
      </c>
      <c r="AE316" s="18" t="s">
        <v>44</v>
      </c>
    </row>
    <row r="317" customFormat="false" ht="15.75" hidden="false" customHeight="true" outlineLevel="0" collapsed="false">
      <c r="A317" s="12" t="n">
        <v>1867</v>
      </c>
      <c r="B317" s="13" t="s">
        <v>1441</v>
      </c>
      <c r="C317" s="14" t="n">
        <v>43845</v>
      </c>
      <c r="D317" s="13" t="s">
        <v>101</v>
      </c>
      <c r="E317" s="15" t="s">
        <v>47</v>
      </c>
      <c r="F317" s="15" t="str">
        <f aca="false">IFERROR(__xludf.dummyfunction("XLOOKUP(AJ317,IMPORTRANGE(""1XaInW9DU9nz21V0tYIfzFQ0He9kVQ_JF2mCXgZ3hqFA"",""REKAP ALL 2026 - Andika!G:G""),IMPORTRANGE(""1XaInW9DU9nz21V0tYIfzFQ0He9kVQ_JF2mCXgZ3hqFA"",""REKAP ALL 2026 - Andika!F:F""),"""",0)"),"20021315807")</f>
        <v>20021315807</v>
      </c>
      <c r="G317" s="13" t="s">
        <v>1442</v>
      </c>
      <c r="H317" s="13" t="s">
        <v>35</v>
      </c>
      <c r="I317" s="13" t="str">
        <f aca="false">IF(C317=J317,"NEW KONTRAK","RE-KONTRAK")</f>
        <v>RE-KONTRAK</v>
      </c>
      <c r="J317" s="16" t="n">
        <f aca="false" t="array" ref="J317:J317">IFERROR(INDEX(AC317:AE317,IF(COUNTA(AC317:AE317)=0,"",MAX((AC317:AE317&lt;&gt;"")*(COLUMN(AC317:AE317)-(COLUMN(AC317)))))-1),"")</f>
        <v>45672</v>
      </c>
      <c r="K317" s="16" t="n">
        <f aca="false" t="array" ref="K317:K317">IFERROR(INDEX(AC317:AE317,IF(COUNTA(AC317:AE317)=0,"",MAX((AC317:AE317&lt;&gt;"")*(COLUMN(AC317:AE317)-(COLUMN(AC317)-1))))-1),"")</f>
        <v>46036</v>
      </c>
      <c r="L317" s="17" t="str">
        <f aca="false" t="array" ref="L317:L317">IFERROR(INDEX(AC317:AE317,IF(COUNTA(AC317:AE317)=0,"",MAX((AC317:AE317&lt;&gt;"")*(COLUMN(AC317:AE317)-(COLUMN(AC317)-2))))-1),"")</f>
        <v>ARCHIVED</v>
      </c>
      <c r="M317" s="13" t="n">
        <f aca="true">K317-TODAY()</f>
        <v>-288</v>
      </c>
      <c r="N317" s="18" t="s">
        <v>105</v>
      </c>
      <c r="O317" s="13" t="s">
        <v>106</v>
      </c>
      <c r="P317" s="31" t="n">
        <v>138915</v>
      </c>
      <c r="Q317" s="20" t="s">
        <v>1443</v>
      </c>
      <c r="R317" s="13" t="s">
        <v>39</v>
      </c>
      <c r="S317" s="25" t="n">
        <v>36652</v>
      </c>
      <c r="T317" s="13" t="s">
        <v>40</v>
      </c>
      <c r="U317" s="13" t="s">
        <v>1444</v>
      </c>
      <c r="V317" s="13" t="s">
        <v>42</v>
      </c>
      <c r="W317" s="13" t="s">
        <v>43</v>
      </c>
      <c r="X317" s="21" t="n">
        <v>85733049735</v>
      </c>
      <c r="Y317" s="22" t="str">
        <f aca="false">O317</f>
        <v>Produksi - Helper</v>
      </c>
      <c r="Z317" s="13" t="str">
        <f aca="false">IFERROR(__xludf.dummyfunction("if(BJ317="""","""",GOOGLETRANSLATE(BJ317,""auto"",""en""))"),"Production - Helper")</f>
        <v>Production - Helper</v>
      </c>
      <c r="AA317" s="23" t="str">
        <f aca="false">IF(C317="","", CHOOSE(MONTH(C317),"January","February","March","April","May","June","July","August","September","October","November","December")&amp;" "&amp;DAY(C317)&amp;MID("thstndrdth",MIN(9,2*RIGHT(DAY(C317))*(MOD(DAY(C317)-11,100)&gt;2)+1),2)&amp;","&amp;TEXT(C317," yyyy"))</f>
        <v>January 15th,2020</v>
      </c>
      <c r="AB317" s="15" t="str">
        <f aca="true">IF(S317="","",DATEDIF(S317,TODAY(),"Y")&amp;" Tahun, "&amp;DATEDIF(S317,TODAY(),"YM")&amp;" Bulan, "&amp;DATEDIF(S317,TODAY(),"MD")&amp;" Hari")</f>
        <v>26 Tahun, 5 Bulan, 23 Hari</v>
      </c>
      <c r="AC317" s="18" t="n">
        <v>45672</v>
      </c>
      <c r="AD317" s="18" t="n">
        <v>46036</v>
      </c>
      <c r="AE317" s="18" t="s">
        <v>44</v>
      </c>
    </row>
    <row r="318" customFormat="false" ht="15.75" hidden="false" customHeight="true" outlineLevel="0" collapsed="false">
      <c r="A318" s="12" t="n">
        <v>1906</v>
      </c>
      <c r="B318" s="13" t="s">
        <v>1445</v>
      </c>
      <c r="C318" s="14" t="n">
        <v>43845</v>
      </c>
      <c r="D318" s="13" t="s">
        <v>101</v>
      </c>
      <c r="E318" s="15" t="s">
        <v>33</v>
      </c>
      <c r="F318" s="24" t="s">
        <v>1446</v>
      </c>
      <c r="G318" s="13" t="s">
        <v>1447</v>
      </c>
      <c r="H318" s="13" t="s">
        <v>35</v>
      </c>
      <c r="I318" s="13" t="str">
        <f aca="false">IF(C318=J318,"NEW KONTRAK","RE-KONTRAK")</f>
        <v>RE-KONTRAK</v>
      </c>
      <c r="J318" s="16" t="n">
        <f aca="false" t="array" ref="J318:J318">IFERROR(INDEX(AC318:AE318,IF(COUNTA(AC318:AE318)=0,"",MAX((AC318:AE318&lt;&gt;"")*(COLUMN(AC318:AE318)-(COLUMN(AC318)))))-1),"")</f>
        <v>45672</v>
      </c>
      <c r="K318" s="16" t="n">
        <f aca="false" t="array" ref="K318:K318">IFERROR(INDEX(AC318:AE318,IF(COUNTA(AC318:AE318)=0,"",MAX((AC318:AE318&lt;&gt;"")*(COLUMN(AC318:AE318)-(COLUMN(AC318)-1))))-1),"")</f>
        <v>46036</v>
      </c>
      <c r="L318" s="17" t="str">
        <f aca="false" t="array" ref="L318:L318">IFERROR(INDEX(AC318:AE318,IF(COUNTA(AC318:AE318)=0,"",MAX((AC318:AE318&lt;&gt;"")*(COLUMN(AC318:AE318)-(COLUMN(AC318)-2))))-1),"")</f>
        <v>ARCHIVED</v>
      </c>
      <c r="M318" s="13" t="n">
        <f aca="true">K318-TODAY()</f>
        <v>-288</v>
      </c>
      <c r="N318" s="18" t="s">
        <v>105</v>
      </c>
      <c r="O318" s="13" t="s">
        <v>58</v>
      </c>
      <c r="P318" s="19" t="n">
        <v>126000</v>
      </c>
      <c r="Q318" s="20" t="s">
        <v>1448</v>
      </c>
      <c r="R318" s="13" t="s">
        <v>83</v>
      </c>
      <c r="S318" s="25" t="n">
        <v>36697</v>
      </c>
      <c r="T318" s="13" t="s">
        <v>108</v>
      </c>
      <c r="U318" s="13" t="s">
        <v>1449</v>
      </c>
      <c r="V318" s="13" t="s">
        <v>42</v>
      </c>
      <c r="W318" s="13" t="s">
        <v>43</v>
      </c>
      <c r="X318" s="21" t="n">
        <v>85606078636</v>
      </c>
      <c r="Y318" s="22" t="str">
        <f aca="false">O318</f>
        <v>Produksi</v>
      </c>
      <c r="Z318" s="13" t="str">
        <f aca="false">IFERROR(__xludf.dummyfunction("if(BJ318="""","""",GOOGLETRANSLATE(BJ318,""auto"",""en""))"),"Production")</f>
        <v>Production</v>
      </c>
      <c r="AA318" s="23" t="str">
        <f aca="false">IF(C318="","", CHOOSE(MONTH(C318),"January","February","March","April","May","June","July","August","September","October","November","December")&amp;" "&amp;DAY(C318)&amp;MID("thstndrdth",MIN(9,2*RIGHT(DAY(C318))*(MOD(DAY(C318)-11,100)&gt;2)+1),2)&amp;","&amp;TEXT(C318," yyyy"))</f>
        <v>January 15th,2020</v>
      </c>
      <c r="AB318" s="15" t="str">
        <f aca="true">IF(S318="","",DATEDIF(S318,TODAY(),"Y")&amp;" Tahun, "&amp;DATEDIF(S318,TODAY(),"YM")&amp;" Bulan, "&amp;DATEDIF(S318,TODAY(),"MD")&amp;" Hari")</f>
        <v>26 Tahun, 4 Bulan, 9 Hari</v>
      </c>
      <c r="AC318" s="18" t="n">
        <v>45672</v>
      </c>
      <c r="AD318" s="18" t="n">
        <v>46036</v>
      </c>
      <c r="AE318" s="18" t="s">
        <v>44</v>
      </c>
    </row>
    <row r="319" customFormat="false" ht="15.75" hidden="false" customHeight="true" outlineLevel="0" collapsed="false">
      <c r="A319" s="12" t="n">
        <v>22669</v>
      </c>
      <c r="B319" s="45" t="s">
        <v>1450</v>
      </c>
      <c r="C319" s="14" t="n">
        <v>46241</v>
      </c>
      <c r="D319" s="13" t="s">
        <v>101</v>
      </c>
      <c r="E319" s="13" t="s">
        <v>47</v>
      </c>
      <c r="F319" s="24" t="s">
        <v>1451</v>
      </c>
      <c r="G319" s="13" t="s">
        <v>1452</v>
      </c>
      <c r="H319" s="13" t="s">
        <v>35</v>
      </c>
      <c r="I319" s="13" t="str">
        <f aca="false">IF(C319=J319,"NEW KONTRAK","RE-KONTRAK")</f>
        <v>NEW KONTRAK</v>
      </c>
      <c r="J319" s="16" t="n">
        <f aca="false" t="array" ref="J319:J319">IFERROR(INDEX(AC319:AE319,IF(COUNTA(AC319:AE319)=0,"",MAX((AC319:AE319&lt;&gt;"")*(COLUMN(AC319:AE319)-(COLUMN(AC319)))))-1),"")</f>
        <v>46241</v>
      </c>
      <c r="K319" s="16" t="n">
        <f aca="false" t="array" ref="K319:K319">IFERROR(INDEX(AC319:AE319,IF(COUNTA(AC319:AE319)=0,"",MAX((AC319:AE319&lt;&gt;"")*(COLUMN(AC319:AE319)-(COLUMN(AC319)-1))))-1),"")</f>
        <v>46402</v>
      </c>
      <c r="L319" s="17" t="str">
        <f aca="false" t="array" ref="L319:L319">IFERROR(INDEX(AC319:AE319,IF(COUNTA(AC319:AE319)=0,"",MAX((AC319:AE319&lt;&gt;"")*(COLUMN(AC319:AE319)-(COLUMN(AC319)-2))))-1),"")</f>
        <v>ARCHIVED</v>
      </c>
      <c r="M319" s="13" t="n">
        <f aca="true">K319-TODAY()</f>
        <v>78</v>
      </c>
      <c r="N319" s="18" t="s">
        <v>105</v>
      </c>
      <c r="O319" s="13" t="s">
        <v>1453</v>
      </c>
      <c r="P319" s="26" t="n">
        <v>138915</v>
      </c>
      <c r="Q319" s="20" t="s">
        <v>1454</v>
      </c>
      <c r="R319" s="13" t="s">
        <v>39</v>
      </c>
      <c r="S319" s="25" t="n">
        <v>37000</v>
      </c>
      <c r="T319" s="13" t="s">
        <v>40</v>
      </c>
      <c r="U319" s="13" t="s">
        <v>1455</v>
      </c>
      <c r="V319" s="13" t="s">
        <v>42</v>
      </c>
      <c r="W319" s="13" t="s">
        <v>43</v>
      </c>
      <c r="X319" s="21" t="n">
        <v>85649211201</v>
      </c>
      <c r="Y319" s="22" t="str">
        <f aca="false">O319</f>
        <v>Helper Produksi</v>
      </c>
      <c r="Z319" s="13" t="str">
        <f aca="false">IFERROR(__xludf.dummyfunction("if(BJ319="""","""",GOOGLETRANSLATE(BJ319,""auto"",""en""))"),"Production Helper")</f>
        <v>Production Helper</v>
      </c>
      <c r="AA319" s="23" t="str">
        <f aca="false">IF(C319="","", CHOOSE(MONTH(C319),"January","February","March","April","May","June","July","August","September","October","November","December")&amp;" "&amp;DAY(C319)&amp;MID("thstndrdth",MIN(9,2*RIGHT(DAY(C319))*(MOD(DAY(C319)-11,100)&gt;2)+1),2)&amp;","&amp;TEXT(C319," yyyy"))</f>
        <v>August 7th,2026</v>
      </c>
      <c r="AB319" s="15" t="str">
        <f aca="true">IF(S319="","",DATEDIF(S319,TODAY(),"Y")&amp;" Tahun, "&amp;DATEDIF(S319,TODAY(),"YM")&amp;" Bulan, "&amp;DATEDIF(S319,TODAY(),"MD")&amp;" Hari")</f>
        <v>25 Tahun, 6 Bulan, 10 Hari</v>
      </c>
      <c r="AC319" s="14" t="n">
        <v>46241</v>
      </c>
      <c r="AD319" s="18" t="n">
        <v>46402</v>
      </c>
      <c r="AE319" s="45" t="s">
        <v>44</v>
      </c>
    </row>
    <row r="320" customFormat="false" ht="15.75" hidden="false" customHeight="true" outlineLevel="0" collapsed="false">
      <c r="A320" s="12" t="n">
        <v>1912</v>
      </c>
      <c r="B320" s="13" t="s">
        <v>1456</v>
      </c>
      <c r="C320" s="14" t="n">
        <v>43845</v>
      </c>
      <c r="D320" s="13" t="s">
        <v>101</v>
      </c>
      <c r="E320" s="15" t="s">
        <v>33</v>
      </c>
      <c r="F320" s="24" t="s">
        <v>1457</v>
      </c>
      <c r="G320" s="13" t="s">
        <v>1458</v>
      </c>
      <c r="H320" s="13" t="s">
        <v>35</v>
      </c>
      <c r="I320" s="13" t="str">
        <f aca="false">IF(C320=J320,"NEW KONTRAK","RE-KONTRAK")</f>
        <v>RE-KONTRAK</v>
      </c>
      <c r="J320" s="16" t="n">
        <f aca="false" t="array" ref="J320:J320">IFERROR(INDEX(AC320:AE320,IF(COUNTA(AC320:AE320)=0,"",MAX((AC320:AE320&lt;&gt;"")*(COLUMN(AC320:AE320)-(COLUMN(AC320)))))-1),"")</f>
        <v>45672</v>
      </c>
      <c r="K320" s="16" t="n">
        <f aca="false" t="array" ref="K320:K320">IFERROR(INDEX(AC320:AE320,IF(COUNTA(AC320:AE320)=0,"",MAX((AC320:AE320&lt;&gt;"")*(COLUMN(AC320:AE320)-(COLUMN(AC320)-1))))-1),"")</f>
        <v>46036</v>
      </c>
      <c r="L320" s="17" t="str">
        <f aca="false" t="array" ref="L320:L320">IFERROR(INDEX(AC320:AE320,IF(COUNTA(AC320:AE320)=0,"",MAX((AC320:AE320&lt;&gt;"")*(COLUMN(AC320:AE320)-(COLUMN(AC320)-2))))-1),"")</f>
        <v>ARCHIVED</v>
      </c>
      <c r="M320" s="13" t="n">
        <f aca="true">K320-TODAY()</f>
        <v>-288</v>
      </c>
      <c r="N320" s="18" t="s">
        <v>105</v>
      </c>
      <c r="O320" s="13" t="s">
        <v>58</v>
      </c>
      <c r="P320" s="19" t="n">
        <v>126000</v>
      </c>
      <c r="Q320" s="20" t="s">
        <v>1459</v>
      </c>
      <c r="R320" s="13" t="s">
        <v>232</v>
      </c>
      <c r="S320" s="25" t="n">
        <v>36904</v>
      </c>
      <c r="T320" s="13" t="s">
        <v>108</v>
      </c>
      <c r="U320" s="13" t="s">
        <v>1460</v>
      </c>
      <c r="V320" s="13" t="s">
        <v>42</v>
      </c>
      <c r="W320" s="13" t="s">
        <v>43</v>
      </c>
      <c r="X320" s="21" t="n">
        <v>81334506630</v>
      </c>
      <c r="Y320" s="22" t="str">
        <f aca="false">O320</f>
        <v>Produksi</v>
      </c>
      <c r="Z320" s="13" t="str">
        <f aca="false">IFERROR(__xludf.dummyfunction("if(BJ320="""","""",GOOGLETRANSLATE(BJ320,""auto"",""en""))"),"Production")</f>
        <v>Production</v>
      </c>
      <c r="AA320" s="23" t="str">
        <f aca="false">IF(C320="","", CHOOSE(MONTH(C320),"January","February","March","April","May","June","July","August","September","October","November","December")&amp;" "&amp;DAY(C320)&amp;MID("thstndrdth",MIN(9,2*RIGHT(DAY(C320))*(MOD(DAY(C320)-11,100)&gt;2)+1),2)&amp;","&amp;TEXT(C320," yyyy"))</f>
        <v>January 15th,2020</v>
      </c>
      <c r="AB320" s="15" t="str">
        <f aca="true">IF(S320="","",DATEDIF(S320,TODAY(),"Y")&amp;" Tahun, "&amp;DATEDIF(S320,TODAY(),"YM")&amp;" Bulan, "&amp;DATEDIF(S320,TODAY(),"MD")&amp;" Hari")</f>
        <v>25 Tahun, 9 Bulan, 16 Hari</v>
      </c>
      <c r="AC320" s="18" t="n">
        <v>45672</v>
      </c>
      <c r="AD320" s="18" t="n">
        <v>46036</v>
      </c>
      <c r="AE320" s="18" t="s">
        <v>44</v>
      </c>
    </row>
    <row r="321" customFormat="false" ht="15.75" hidden="false" customHeight="true" outlineLevel="0" collapsed="false">
      <c r="A321" s="12" t="n">
        <v>2626</v>
      </c>
      <c r="B321" s="13" t="s">
        <v>1461</v>
      </c>
      <c r="C321" s="14" t="n">
        <v>44418</v>
      </c>
      <c r="D321" s="13" t="s">
        <v>101</v>
      </c>
      <c r="E321" s="15" t="s">
        <v>47</v>
      </c>
      <c r="F321" s="15" t="str">
        <f aca="false">IFERROR(__xludf.dummyfunction("XLOOKUP(AJ321,IMPORTRANGE(""1XaInW9DU9nz21V0tYIfzFQ0He9kVQ_JF2mCXgZ3hqFA"",""REKAP ALL 2026 - Andika!G:G""),IMPORTRANGE(""1XaInW9DU9nz21V0tYIfzFQ0He9kVQ_JF2mCXgZ3hqFA"",""REKAP ALL 2026 - Andika!F:F""),"""",0)"),"21068419858")</f>
        <v>21068419858</v>
      </c>
      <c r="G321" s="13" t="s">
        <v>1462</v>
      </c>
      <c r="H321" s="13" t="s">
        <v>35</v>
      </c>
      <c r="I321" s="13" t="str">
        <f aca="false">IF(C321=J321,"NEW KONTRAK","RE-KONTRAK")</f>
        <v>RE-KONTRAK</v>
      </c>
      <c r="J321" s="16" t="n">
        <f aca="false" t="array" ref="J321:J321">IFERROR(INDEX(AC321:AE321,IF(COUNTA(AC321:AE321)=0,"",MAX((AC321:AE321&lt;&gt;"")*(COLUMN(AC321:AE321)-(COLUMN(AC321)))))-1),"")</f>
        <v>45672</v>
      </c>
      <c r="K321" s="16" t="n">
        <f aca="false" t="array" ref="K321:K321">IFERROR(INDEX(AC321:AE321,IF(COUNTA(AC321:AE321)=0,"",MAX((AC321:AE321&lt;&gt;"")*(COLUMN(AC321:AE321)-(COLUMN(AC321)-1))))-1),"")</f>
        <v>46036</v>
      </c>
      <c r="L321" s="17" t="str">
        <f aca="false" t="array" ref="L321:L321">IFERROR(INDEX(AC321:AE321,IF(COUNTA(AC321:AE321)=0,"",MAX((AC321:AE321&lt;&gt;"")*(COLUMN(AC321:AE321)-(COLUMN(AC321)-2))))-1),"")</f>
        <v>ARCHIVED</v>
      </c>
      <c r="M321" s="13" t="n">
        <f aca="true">K321-TODAY()</f>
        <v>-288</v>
      </c>
      <c r="N321" s="18" t="s">
        <v>105</v>
      </c>
      <c r="O321" s="13" t="s">
        <v>106</v>
      </c>
      <c r="P321" s="31" t="n">
        <v>138915</v>
      </c>
      <c r="Q321" s="20" t="s">
        <v>1463</v>
      </c>
      <c r="R321" s="13" t="s">
        <v>83</v>
      </c>
      <c r="S321" s="25" t="n">
        <v>34387</v>
      </c>
      <c r="T321" s="13" t="s">
        <v>108</v>
      </c>
      <c r="U321" s="13" t="s">
        <v>1464</v>
      </c>
      <c r="V321" s="13" t="s">
        <v>42</v>
      </c>
      <c r="W321" s="13" t="s">
        <v>43</v>
      </c>
      <c r="X321" s="21" t="n">
        <v>83831739440</v>
      </c>
      <c r="Y321" s="22" t="str">
        <f aca="false">O321</f>
        <v>Produksi - Helper</v>
      </c>
      <c r="Z321" s="13" t="str">
        <f aca="false">IFERROR(__xludf.dummyfunction("if(BJ321="""","""",GOOGLETRANSLATE(BJ321,""auto"",""en""))"),"Production - Helper")</f>
        <v>Production - Helper</v>
      </c>
      <c r="AA321" s="23" t="str">
        <f aca="false">IF(C321="","", CHOOSE(MONTH(C321),"January","February","March","April","May","June","July","August","September","October","November","December")&amp;" "&amp;DAY(C321)&amp;MID("thstndrdth",MIN(9,2*RIGHT(DAY(C321))*(MOD(DAY(C321)-11,100)&gt;2)+1),2)&amp;","&amp;TEXT(C321," yyyy"))</f>
        <v>August 10th,2021</v>
      </c>
      <c r="AB321" s="15" t="str">
        <f aca="true">IF(S321="","",DATEDIF(S321,TODAY(),"Y")&amp;" Tahun, "&amp;DATEDIF(S321,TODAY(),"YM")&amp;" Bulan, "&amp;DATEDIF(S321,TODAY(),"MD")&amp;" Hari")</f>
        <v>32 Tahun, 8 Bulan, 7 Hari</v>
      </c>
      <c r="AC321" s="18" t="n">
        <v>45672</v>
      </c>
      <c r="AD321" s="18" t="n">
        <v>46036</v>
      </c>
      <c r="AE321" s="18" t="s">
        <v>44</v>
      </c>
    </row>
    <row r="322" customFormat="false" ht="15.75" hidden="false" customHeight="true" outlineLevel="0" collapsed="false">
      <c r="A322" s="12" t="n">
        <v>1871</v>
      </c>
      <c r="B322" s="13" t="s">
        <v>1465</v>
      </c>
      <c r="C322" s="14" t="n">
        <v>43845</v>
      </c>
      <c r="D322" s="13" t="s">
        <v>101</v>
      </c>
      <c r="E322" s="15" t="s">
        <v>47</v>
      </c>
      <c r="F322" s="15" t="str">
        <f aca="false">IFERROR(__xludf.dummyfunction("XLOOKUP(AJ322,IMPORTRANGE(""1XaInW9DU9nz21V0tYIfzFQ0He9kVQ_JF2mCXgZ3hqFA"",""REKAP ALL 2026 - Andika!G:G""),IMPORTRANGE(""1XaInW9DU9nz21V0tYIfzFQ0He9kVQ_JF2mCXgZ3hqFA"",""REKAP ALL 2026 - Andika!F:F""),"""",0)"),"20021315872")</f>
        <v>20021315872</v>
      </c>
      <c r="G322" s="13" t="s">
        <v>1466</v>
      </c>
      <c r="H322" s="13" t="s">
        <v>35</v>
      </c>
      <c r="I322" s="13" t="str">
        <f aca="false">IF(C322=J322,"NEW KONTRAK","RE-KONTRAK")</f>
        <v>RE-KONTRAK</v>
      </c>
      <c r="J322" s="16" t="n">
        <f aca="false" t="array" ref="J322:J322">IFERROR(INDEX(AC322:AE322,IF(COUNTA(AC322:AE322)=0,"",MAX((AC322:AE322&lt;&gt;"")*(COLUMN(AC322:AE322)-(COLUMN(AC322)))))-1),"")</f>
        <v>45672</v>
      </c>
      <c r="K322" s="16" t="n">
        <f aca="false" t="array" ref="K322:K322">IFERROR(INDEX(AC322:AE322,IF(COUNTA(AC322:AE322)=0,"",MAX((AC322:AE322&lt;&gt;"")*(COLUMN(AC322:AE322)-(COLUMN(AC322)-1))))-1),"")</f>
        <v>46036</v>
      </c>
      <c r="L322" s="17" t="str">
        <f aca="false" t="array" ref="L322:L322">IFERROR(INDEX(AC322:AE322,IF(COUNTA(AC322:AE322)=0,"",MAX((AC322:AE322&lt;&gt;"")*(COLUMN(AC322:AE322)-(COLUMN(AC322)-2))))-1),"")</f>
        <v>ARCHIVED</v>
      </c>
      <c r="M322" s="13" t="n">
        <f aca="true">K322-TODAY()</f>
        <v>-288</v>
      </c>
      <c r="N322" s="18" t="s">
        <v>105</v>
      </c>
      <c r="O322" s="13" t="s">
        <v>1467</v>
      </c>
      <c r="P322" s="31" t="n">
        <v>162068</v>
      </c>
      <c r="Q322" s="20" t="s">
        <v>1468</v>
      </c>
      <c r="R322" s="13" t="s">
        <v>83</v>
      </c>
      <c r="S322" s="25" t="n">
        <v>36541</v>
      </c>
      <c r="T322" s="13" t="s">
        <v>40</v>
      </c>
      <c r="U322" s="13" t="s">
        <v>1469</v>
      </c>
      <c r="V322" s="13" t="s">
        <v>42</v>
      </c>
      <c r="W322" s="13" t="s">
        <v>43</v>
      </c>
      <c r="X322" s="21" t="n">
        <v>89530377576</v>
      </c>
      <c r="Y322" s="22" t="str">
        <f aca="false">O322</f>
        <v>Maintenance - Leader</v>
      </c>
      <c r="Z322" s="13" t="str">
        <f aca="false">IFERROR(__xludf.dummyfunction("if(BJ322="""","""",GOOGLETRANSLATE(BJ322,""auto"",""en""))"),"Maintenance - Leader")</f>
        <v>Maintenance - Leader</v>
      </c>
      <c r="AA322" s="23" t="str">
        <f aca="false">IF(C322="","", CHOOSE(MONTH(C322),"January","February","March","April","May","June","July","August","September","October","November","December")&amp;" "&amp;DAY(C322)&amp;MID("thstndrdth",MIN(9,2*RIGHT(DAY(C322))*(MOD(DAY(C322)-11,100)&gt;2)+1),2)&amp;","&amp;TEXT(C322," yyyy"))</f>
        <v>January 15th,2020</v>
      </c>
      <c r="AB322" s="15" t="str">
        <f aca="true">IF(S322="","",DATEDIF(S322,TODAY(),"Y")&amp;" Tahun, "&amp;DATEDIF(S322,TODAY(),"YM")&amp;" Bulan, "&amp;DATEDIF(S322,TODAY(),"MD")&amp;" Hari")</f>
        <v>26 Tahun, 9 Bulan, 13 Hari</v>
      </c>
      <c r="AC322" s="18" t="n">
        <v>45672</v>
      </c>
      <c r="AD322" s="18" t="n">
        <v>46036</v>
      </c>
      <c r="AE322" s="18" t="s">
        <v>44</v>
      </c>
    </row>
    <row r="323" customFormat="false" ht="15.75" hidden="false" customHeight="true" outlineLevel="0" collapsed="false">
      <c r="A323" s="12" t="n">
        <v>1873</v>
      </c>
      <c r="B323" s="13" t="s">
        <v>1470</v>
      </c>
      <c r="C323" s="14" t="n">
        <v>43844</v>
      </c>
      <c r="D323" s="13" t="s">
        <v>101</v>
      </c>
      <c r="E323" s="15" t="s">
        <v>47</v>
      </c>
      <c r="F323" s="15" t="str">
        <f aca="false">IFERROR(__xludf.dummyfunction("XLOOKUP(AJ323,IMPORTRANGE(""1XaInW9DU9nz21V0tYIfzFQ0He9kVQ_JF2mCXgZ3hqFA"",""REKAP ALL 2026 - Andika!G:G""),IMPORTRANGE(""1XaInW9DU9nz21V0tYIfzFQ0He9kVQ_JF2mCXgZ3hqFA"",""REKAP ALL 2026 - Andika!F:F""),"""",0)"),"20021313430")</f>
        <v>20021313430</v>
      </c>
      <c r="G323" s="13" t="s">
        <v>1471</v>
      </c>
      <c r="H323" s="13" t="s">
        <v>35</v>
      </c>
      <c r="I323" s="13" t="str">
        <f aca="false">IF(C323=J323,"NEW KONTRAK","RE-KONTRAK")</f>
        <v>RE-KONTRAK</v>
      </c>
      <c r="J323" s="16" t="n">
        <f aca="false" t="array" ref="J323:J323">IFERROR(INDEX(AC323:AE323,IF(COUNTA(AC323:AE323)=0,"",MAX((AC323:AE323&lt;&gt;"")*(COLUMN(AC323:AE323)-(COLUMN(AC323)))))-1),"")</f>
        <v>45672</v>
      </c>
      <c r="K323" s="16" t="n">
        <f aca="false" t="array" ref="K323:K323">IFERROR(INDEX(AC323:AE323,IF(COUNTA(AC323:AE323)=0,"",MAX((AC323:AE323&lt;&gt;"")*(COLUMN(AC323:AE323)-(COLUMN(AC323)-1))))-1),"")</f>
        <v>46036</v>
      </c>
      <c r="L323" s="17" t="str">
        <f aca="false" t="array" ref="L323:L323">IFERROR(INDEX(AC323:AE323,IF(COUNTA(AC323:AE323)=0,"",MAX((AC323:AE323&lt;&gt;"")*(COLUMN(AC323:AE323)-(COLUMN(AC323)-2))))-1),"")</f>
        <v>ARCHIVED</v>
      </c>
      <c r="M323" s="13" t="n">
        <f aca="true">K323-TODAY()</f>
        <v>-288</v>
      </c>
      <c r="N323" s="18" t="s">
        <v>105</v>
      </c>
      <c r="O323" s="13" t="s">
        <v>106</v>
      </c>
      <c r="P323" s="31" t="n">
        <v>138915</v>
      </c>
      <c r="Q323" s="20" t="s">
        <v>1472</v>
      </c>
      <c r="R323" s="13" t="s">
        <v>39</v>
      </c>
      <c r="S323" s="25" t="n">
        <v>35079</v>
      </c>
      <c r="T323" s="13" t="s">
        <v>108</v>
      </c>
      <c r="U323" s="13" t="s">
        <v>1473</v>
      </c>
      <c r="V323" s="13" t="s">
        <v>42</v>
      </c>
      <c r="W323" s="13" t="s">
        <v>43</v>
      </c>
      <c r="X323" s="21" t="n">
        <v>85941393652</v>
      </c>
      <c r="Y323" s="22" t="str">
        <f aca="false">O323</f>
        <v>Produksi - Helper</v>
      </c>
      <c r="Z323" s="13" t="str">
        <f aca="false">IFERROR(__xludf.dummyfunction("if(BJ323="""","""",GOOGLETRANSLATE(BJ323,""auto"",""en""))"),"Production - Helper")</f>
        <v>Production - Helper</v>
      </c>
      <c r="AA323" s="23" t="str">
        <f aca="false">IF(C323="","", CHOOSE(MONTH(C323),"January","February","March","April","May","June","July","August","September","October","November","December")&amp;" "&amp;DAY(C323)&amp;MID("thstndrdth",MIN(9,2*RIGHT(DAY(C323))*(MOD(DAY(C323)-11,100)&gt;2)+1),2)&amp;","&amp;TEXT(C323," yyyy"))</f>
        <v>January 14th,2020</v>
      </c>
      <c r="AB323" s="15" t="str">
        <f aca="true">IF(S323="","",DATEDIF(S323,TODAY(),"Y")&amp;" Tahun, "&amp;DATEDIF(S323,TODAY(),"YM")&amp;" Bulan, "&amp;DATEDIF(S323,TODAY(),"MD")&amp;" Hari")</f>
        <v>30 Tahun, 9 Bulan, 14 Hari</v>
      </c>
      <c r="AC323" s="18" t="n">
        <v>45672</v>
      </c>
      <c r="AD323" s="18" t="n">
        <v>46036</v>
      </c>
      <c r="AE323" s="18" t="s">
        <v>44</v>
      </c>
    </row>
    <row r="324" customFormat="false" ht="15.75" hidden="false" customHeight="true" outlineLevel="0" collapsed="false">
      <c r="A324" s="12" t="n">
        <v>5239</v>
      </c>
      <c r="B324" s="13" t="s">
        <v>1474</v>
      </c>
      <c r="C324" s="14" t="n">
        <v>44610</v>
      </c>
      <c r="D324" s="13" t="s">
        <v>101</v>
      </c>
      <c r="E324" s="15" t="s">
        <v>47</v>
      </c>
      <c r="F324" s="15" t="str">
        <f aca="false">IFERROR(__xludf.dummyfunction("XLOOKUP(AJ324,IMPORTRANGE(""1XaInW9DU9nz21V0tYIfzFQ0He9kVQ_JF2mCXgZ3hqFA"",""REKAP ALL 2026 - Andika!G:G""),IMPORTRANGE(""1XaInW9DU9nz21V0tYIfzFQ0He9kVQ_JF2mCXgZ3hqFA"",""REKAP ALL 2026 - Andika!F:F""),"""",0)"),"22024908596")</f>
        <v>22024908596</v>
      </c>
      <c r="G324" s="13" t="s">
        <v>1475</v>
      </c>
      <c r="H324" s="13" t="s">
        <v>35</v>
      </c>
      <c r="I324" s="13" t="str">
        <f aca="false">IF(C324=J324,"NEW KONTRAK","RE-KONTRAK")</f>
        <v>RE-KONTRAK</v>
      </c>
      <c r="J324" s="16" t="n">
        <f aca="false" t="array" ref="J324:J324">IFERROR(INDEX(AC324:AE324,IF(COUNTA(AC324:AE324)=0,"",MAX((AC324:AE324&lt;&gt;"")*(COLUMN(AC324:AE324)-(COLUMN(AC324)))))-1),"")</f>
        <v>45672</v>
      </c>
      <c r="K324" s="16" t="n">
        <f aca="false" t="array" ref="K324:K324">IFERROR(INDEX(AC324:AE324,IF(COUNTA(AC324:AE324)=0,"",MAX((AC324:AE324&lt;&gt;"")*(COLUMN(AC324:AE324)-(COLUMN(AC324)-1))))-1),"")</f>
        <v>46036</v>
      </c>
      <c r="L324" s="17" t="str">
        <f aca="false" t="array" ref="L324:L324">IFERROR(INDEX(AC324:AE324,IF(COUNTA(AC324:AE324)=0,"",MAX((AC324:AE324&lt;&gt;"")*(COLUMN(AC324:AE324)-(COLUMN(AC324)-2))))-1),"")</f>
        <v>ARCHIVED</v>
      </c>
      <c r="M324" s="13" t="n">
        <f aca="true">K324-TODAY()</f>
        <v>-288</v>
      </c>
      <c r="N324" s="18" t="s">
        <v>105</v>
      </c>
      <c r="O324" s="13" t="s">
        <v>1476</v>
      </c>
      <c r="P324" s="31" t="n">
        <v>138915</v>
      </c>
      <c r="Q324" s="20" t="s">
        <v>1477</v>
      </c>
      <c r="R324" s="13" t="s">
        <v>52</v>
      </c>
      <c r="S324" s="25" t="n">
        <v>37096</v>
      </c>
      <c r="T324" s="13" t="s">
        <v>40</v>
      </c>
      <c r="U324" s="13" t="s">
        <v>1478</v>
      </c>
      <c r="V324" s="13" t="s">
        <v>42</v>
      </c>
      <c r="W324" s="13" t="s">
        <v>43</v>
      </c>
      <c r="X324" s="21" t="n">
        <v>81991820456</v>
      </c>
      <c r="Y324" s="22" t="str">
        <f aca="false">O324</f>
        <v>Gudang RMPM - Helper</v>
      </c>
      <c r="Z324" s="13" t="str">
        <f aca="false">IFERROR(__xludf.dummyfunction("if(BJ324="""","""",GOOGLETRANSLATE(BJ324,""auto"",""en""))"),"RMPM Warehouse - Helper")</f>
        <v>RMPM Warehouse - Helper</v>
      </c>
      <c r="AA324" s="23" t="str">
        <f aca="false">IF(C324="","", CHOOSE(MONTH(C324),"January","February","March","April","May","June","July","August","September","October","November","December")&amp;" "&amp;DAY(C324)&amp;MID("thstndrdth",MIN(9,2*RIGHT(DAY(C324))*(MOD(DAY(C324)-11,100)&gt;2)+1),2)&amp;","&amp;TEXT(C324," yyyy"))</f>
        <v>February 18th,2022</v>
      </c>
      <c r="AB324" s="15" t="str">
        <f aca="true">IF(S324="","",DATEDIF(S324,TODAY(),"Y")&amp;" Tahun, "&amp;DATEDIF(S324,TODAY(),"YM")&amp;" Bulan, "&amp;DATEDIF(S324,TODAY(),"MD")&amp;" Hari")</f>
        <v>25 Tahun, 3 Bulan, 5 Hari</v>
      </c>
      <c r="AC324" s="18" t="n">
        <v>45672</v>
      </c>
      <c r="AD324" s="18" t="n">
        <v>46036</v>
      </c>
      <c r="AE324" s="18" t="s">
        <v>44</v>
      </c>
    </row>
    <row r="325" customFormat="false" ht="15.75" hidden="false" customHeight="true" outlineLevel="0" collapsed="false">
      <c r="A325" s="12" t="n">
        <v>1921</v>
      </c>
      <c r="B325" s="13" t="s">
        <v>1479</v>
      </c>
      <c r="C325" s="14" t="n">
        <v>44006</v>
      </c>
      <c r="D325" s="13" t="s">
        <v>101</v>
      </c>
      <c r="E325" s="15" t="s">
        <v>102</v>
      </c>
      <c r="F325" s="15" t="str">
        <f aca="false">IFERROR(__xludf.dummyfunction("XLOOKUP(AJ325,IMPORTRANGE(""1XaInW9DU9nz21V0tYIfzFQ0He9kVQ_JF2mCXgZ3hqFA"",""REKAP ALL 2026 - Andika!G:G""),IMPORTRANGE(""1XaInW9DU9nz21V0tYIfzFQ0He9kVQ_JF2mCXgZ3hqFA"",""REKAP ALL 2026 - Andika!F:F""),"""",0)"),"20003124094")</f>
        <v>20003124094</v>
      </c>
      <c r="G325" s="13" t="s">
        <v>1480</v>
      </c>
      <c r="H325" s="13" t="s">
        <v>35</v>
      </c>
      <c r="I325" s="13" t="str">
        <f aca="false">IF(C325=J325,"NEW KONTRAK","RE-KONTRAK")</f>
        <v>RE-KONTRAK</v>
      </c>
      <c r="J325" s="16" t="n">
        <f aca="false" t="array" ref="J325:J325">IFERROR(INDEX(AC325:AE325,IF(COUNTA(AC325:AE325)=0,"",MAX((AC325:AE325&lt;&gt;"")*(COLUMN(AC325:AE325)-(COLUMN(AC325)))))-1),"")</f>
        <v>45672</v>
      </c>
      <c r="K325" s="16" t="n">
        <f aca="false" t="array" ref="K325:K325">IFERROR(INDEX(AC325:AE325,IF(COUNTA(AC325:AE325)=0,"",MAX((AC325:AE325&lt;&gt;"")*(COLUMN(AC325:AE325)-(COLUMN(AC325)-1))))-1),"")</f>
        <v>46036</v>
      </c>
      <c r="L325" s="17" t="str">
        <f aca="false" t="array" ref="L325:L325">IFERROR(INDEX(AC325:AE325,IF(COUNTA(AC325:AE325)=0,"",MAX((AC325:AE325&lt;&gt;"")*(COLUMN(AC325:AE325)-(COLUMN(AC325)-2))))-1),"")</f>
        <v>ARCHIVED</v>
      </c>
      <c r="M325" s="13" t="n">
        <f aca="true">K325-TODAY()</f>
        <v>-288</v>
      </c>
      <c r="N325" s="18" t="s">
        <v>105</v>
      </c>
      <c r="O325" s="13" t="s">
        <v>106</v>
      </c>
      <c r="P325" s="19" t="n">
        <v>132300</v>
      </c>
      <c r="Q325" s="20" t="s">
        <v>1481</v>
      </c>
      <c r="R325" s="13" t="s">
        <v>52</v>
      </c>
      <c r="S325" s="25" t="n">
        <v>36586</v>
      </c>
      <c r="T325" s="13" t="s">
        <v>108</v>
      </c>
      <c r="U325" s="13" t="s">
        <v>1482</v>
      </c>
      <c r="V325" s="13" t="s">
        <v>42</v>
      </c>
      <c r="W325" s="13" t="s">
        <v>43</v>
      </c>
      <c r="X325" s="21" t="n">
        <v>89673473432</v>
      </c>
      <c r="Y325" s="22" t="str">
        <f aca="false">O325</f>
        <v>Produksi - Helper</v>
      </c>
      <c r="Z325" s="13" t="str">
        <f aca="false">IFERROR(__xludf.dummyfunction("if(BJ325="""","""",GOOGLETRANSLATE(BJ325,""auto"",""en""))"),"Production - Helper")</f>
        <v>Production - Helper</v>
      </c>
      <c r="AA325" s="23" t="str">
        <f aca="false">IF(C325="","", CHOOSE(MONTH(C325),"January","February","March","April","May","June","July","August","September","October","November","December")&amp;" "&amp;DAY(C325)&amp;MID("thstndrdth",MIN(9,2*RIGHT(DAY(C325))*(MOD(DAY(C325)-11,100)&gt;2)+1),2)&amp;","&amp;TEXT(C325," yyyy"))</f>
        <v>June 24th,2020</v>
      </c>
      <c r="AB325" s="15" t="str">
        <f aca="true">IF(S325="","",DATEDIF(S325,TODAY(),"Y")&amp;" Tahun, "&amp;DATEDIF(S325,TODAY(),"YM")&amp;" Bulan, "&amp;DATEDIF(S325,TODAY(),"MD")&amp;" Hari")</f>
        <v>26 Tahun, 7 Bulan, 28 Hari</v>
      </c>
      <c r="AC325" s="18" t="n">
        <v>45672</v>
      </c>
      <c r="AD325" s="18" t="n">
        <v>46036</v>
      </c>
      <c r="AE325" s="18" t="s">
        <v>44</v>
      </c>
    </row>
    <row r="326" customFormat="false" ht="15.75" hidden="false" customHeight="true" outlineLevel="0" collapsed="false">
      <c r="A326" s="12" t="n">
        <v>1926</v>
      </c>
      <c r="B326" s="13" t="s">
        <v>1483</v>
      </c>
      <c r="C326" s="14" t="n">
        <v>43845</v>
      </c>
      <c r="D326" s="13" t="s">
        <v>101</v>
      </c>
      <c r="E326" s="15" t="s">
        <v>102</v>
      </c>
      <c r="F326" s="15" t="str">
        <f aca="false">IFERROR(__xludf.dummyfunction("XLOOKUP(AJ326,IMPORTRANGE(""1XaInW9DU9nz21V0tYIfzFQ0He9kVQ_JF2mCXgZ3hqFA"",""REKAP ALL 2026 - Andika!G:G""),IMPORTRANGE(""1XaInW9DU9nz21V0tYIfzFQ0He9kVQ_JF2mCXgZ3hqFA"",""REKAP ALL 2026 - Andika!F:F""),"""",0)"),"20021314024")</f>
        <v>20021314024</v>
      </c>
      <c r="G326" s="13" t="s">
        <v>1484</v>
      </c>
      <c r="H326" s="13" t="s">
        <v>35</v>
      </c>
      <c r="I326" s="13" t="str">
        <f aca="false">IF(C326=J326,"NEW KONTRAK","RE-KONTRAK")</f>
        <v>RE-KONTRAK</v>
      </c>
      <c r="J326" s="16" t="n">
        <f aca="false" t="array" ref="J326:J326">IFERROR(INDEX(AC326:AE326,IF(COUNTA(AC326:AE326)=0,"",MAX((AC326:AE326&lt;&gt;"")*(COLUMN(AC326:AE326)-(COLUMN(AC326)))))-1),"")</f>
        <v>45672</v>
      </c>
      <c r="K326" s="16" t="n">
        <f aca="false" t="array" ref="K326:K326">IFERROR(INDEX(AC326:AE326,IF(COUNTA(AC326:AE326)=0,"",MAX((AC326:AE326&lt;&gt;"")*(COLUMN(AC326:AE326)-(COLUMN(AC326)-1))))-1),"")</f>
        <v>46036</v>
      </c>
      <c r="L326" s="17" t="str">
        <f aca="false" t="array" ref="L326:L326">IFERROR(INDEX(AC326:AE326,IF(COUNTA(AC326:AE326)=0,"",MAX((AC326:AE326&lt;&gt;"")*(COLUMN(AC326:AE326)-(COLUMN(AC326)-2))))-1),"")</f>
        <v>ARCHIVED</v>
      </c>
      <c r="M326" s="13" t="n">
        <f aca="true">K326-TODAY()</f>
        <v>-288</v>
      </c>
      <c r="N326" s="18" t="s">
        <v>105</v>
      </c>
      <c r="O326" s="13" t="s">
        <v>106</v>
      </c>
      <c r="P326" s="19" t="n">
        <v>132300</v>
      </c>
      <c r="Q326" s="20" t="s">
        <v>1485</v>
      </c>
      <c r="R326" s="13" t="s">
        <v>39</v>
      </c>
      <c r="S326" s="25" t="n">
        <v>36062</v>
      </c>
      <c r="T326" s="13" t="s">
        <v>108</v>
      </c>
      <c r="U326" s="13" t="s">
        <v>1486</v>
      </c>
      <c r="V326" s="13" t="s">
        <v>42</v>
      </c>
      <c r="W326" s="13" t="s">
        <v>43</v>
      </c>
      <c r="X326" s="21" t="n">
        <v>81558144655</v>
      </c>
      <c r="Y326" s="22" t="str">
        <f aca="false">O326</f>
        <v>Produksi - Helper</v>
      </c>
      <c r="Z326" s="13" t="str">
        <f aca="false">IFERROR(__xludf.dummyfunction("if(BJ326="""","""",GOOGLETRANSLATE(BJ326,""auto"",""en""))"),"Production - Helper")</f>
        <v>Production - Helper</v>
      </c>
      <c r="AA326" s="23" t="str">
        <f aca="false">IF(C326="","", CHOOSE(MONTH(C326),"January","February","March","April","May","June","July","August","September","October","November","December")&amp;" "&amp;DAY(C326)&amp;MID("thstndrdth",MIN(9,2*RIGHT(DAY(C326))*(MOD(DAY(C326)-11,100)&gt;2)+1),2)&amp;","&amp;TEXT(C326," yyyy"))</f>
        <v>January 15th,2020</v>
      </c>
      <c r="AB326" s="15" t="str">
        <f aca="true">IF(S326="","",DATEDIF(S326,TODAY(),"Y")&amp;" Tahun, "&amp;DATEDIF(S326,TODAY(),"YM")&amp;" Bulan, "&amp;DATEDIF(S326,TODAY(),"MD")&amp;" Hari")</f>
        <v>28 Tahun, 1 Bulan, 5 Hari</v>
      </c>
      <c r="AC326" s="18" t="n">
        <v>45672</v>
      </c>
      <c r="AD326" s="18" t="n">
        <v>46036</v>
      </c>
      <c r="AE326" s="18" t="s">
        <v>44</v>
      </c>
    </row>
    <row r="327" customFormat="false" ht="15.75" hidden="false" customHeight="true" outlineLevel="0" collapsed="false">
      <c r="A327" s="12" t="n">
        <v>1927</v>
      </c>
      <c r="B327" s="13" t="s">
        <v>1487</v>
      </c>
      <c r="C327" s="14" t="n">
        <v>43845</v>
      </c>
      <c r="D327" s="13" t="s">
        <v>101</v>
      </c>
      <c r="E327" s="15" t="s">
        <v>102</v>
      </c>
      <c r="F327" s="15" t="str">
        <f aca="false">IFERROR(__xludf.dummyfunction("XLOOKUP(AJ327,IMPORTRANGE(""1XaInW9DU9nz21V0tYIfzFQ0He9kVQ_JF2mCXgZ3hqFA"",""REKAP ALL 2026 - Andika!G:G""),IMPORTRANGE(""1XaInW9DU9nz21V0tYIfzFQ0He9kVQ_JF2mCXgZ3hqFA"",""REKAP ALL 2026 - Andika!F:F""),"""",0)"),"20021313463")</f>
        <v>20021313463</v>
      </c>
      <c r="G327" s="13" t="s">
        <v>1488</v>
      </c>
      <c r="H327" s="13" t="s">
        <v>35</v>
      </c>
      <c r="I327" s="13" t="str">
        <f aca="false">IF(C327=J327,"NEW KONTRAK","RE-KONTRAK")</f>
        <v>RE-KONTRAK</v>
      </c>
      <c r="J327" s="16" t="n">
        <f aca="false" t="array" ref="J327:J327">IFERROR(INDEX(AC327:AE327,IF(COUNTA(AC327:AE327)=0,"",MAX((AC327:AE327&lt;&gt;"")*(COLUMN(AC327:AE327)-(COLUMN(AC327)))))-1),"")</f>
        <v>45672</v>
      </c>
      <c r="K327" s="16" t="n">
        <f aca="false" t="array" ref="K327:K327">IFERROR(INDEX(AC327:AE327,IF(COUNTA(AC327:AE327)=0,"",MAX((AC327:AE327&lt;&gt;"")*(COLUMN(AC327:AE327)-(COLUMN(AC327)-1))))-1),"")</f>
        <v>46036</v>
      </c>
      <c r="L327" s="17" t="str">
        <f aca="false" t="array" ref="L327:L327">IFERROR(INDEX(AC327:AE327,IF(COUNTA(AC327:AE327)=0,"",MAX((AC327:AE327&lt;&gt;"")*(COLUMN(AC327:AE327)-(COLUMN(AC327)-2))))-1),"")</f>
        <v>ARCHIVED</v>
      </c>
      <c r="M327" s="13" t="n">
        <f aca="true">K327-TODAY()</f>
        <v>-288</v>
      </c>
      <c r="N327" s="18" t="s">
        <v>105</v>
      </c>
      <c r="O327" s="13" t="s">
        <v>106</v>
      </c>
      <c r="P327" s="19" t="n">
        <v>132300</v>
      </c>
      <c r="Q327" s="20" t="s">
        <v>1489</v>
      </c>
      <c r="R327" s="13" t="s">
        <v>73</v>
      </c>
      <c r="S327" s="25" t="n">
        <v>30321</v>
      </c>
      <c r="T327" s="13" t="s">
        <v>108</v>
      </c>
      <c r="U327" s="13" t="s">
        <v>1490</v>
      </c>
      <c r="V327" s="13" t="s">
        <v>42</v>
      </c>
      <c r="W327" s="13" t="s">
        <v>54</v>
      </c>
      <c r="X327" s="21" t="n">
        <v>81259992078</v>
      </c>
      <c r="Y327" s="22" t="str">
        <f aca="false">O327</f>
        <v>Produksi - Helper</v>
      </c>
      <c r="Z327" s="13" t="str">
        <f aca="false">IFERROR(__xludf.dummyfunction("if(BJ327="""","""",GOOGLETRANSLATE(BJ327,""auto"",""en""))"),"Production - Helper")</f>
        <v>Production - Helper</v>
      </c>
      <c r="AA327" s="23" t="str">
        <f aca="false">IF(C327="","", CHOOSE(MONTH(C327),"January","February","March","April","May","June","July","August","September","October","November","December")&amp;" "&amp;DAY(C327)&amp;MID("thstndrdth",MIN(9,2*RIGHT(DAY(C327))*(MOD(DAY(C327)-11,100)&gt;2)+1),2)&amp;","&amp;TEXT(C327," yyyy"))</f>
        <v>January 15th,2020</v>
      </c>
      <c r="AB327" s="15" t="str">
        <f aca="true">IF(S327="","",DATEDIF(S327,TODAY(),"Y")&amp;" Tahun, "&amp;DATEDIF(S327,TODAY(),"YM")&amp;" Bulan, "&amp;DATEDIF(S327,TODAY(),"MD")&amp;" Hari")</f>
        <v>43 Tahun, 9 Bulan, 24 Hari</v>
      </c>
      <c r="AC327" s="18" t="n">
        <v>45672</v>
      </c>
      <c r="AD327" s="18" t="n">
        <v>46036</v>
      </c>
      <c r="AE327" s="18" t="s">
        <v>44</v>
      </c>
    </row>
    <row r="328" customFormat="false" ht="15.75" hidden="false" customHeight="true" outlineLevel="0" collapsed="false">
      <c r="A328" s="12" t="n">
        <v>1929</v>
      </c>
      <c r="B328" s="13" t="s">
        <v>1491</v>
      </c>
      <c r="C328" s="14" t="n">
        <v>43845</v>
      </c>
      <c r="D328" s="13" t="s">
        <v>101</v>
      </c>
      <c r="E328" s="15" t="s">
        <v>102</v>
      </c>
      <c r="F328" s="15" t="str">
        <f aca="false">IFERROR(__xludf.dummyfunction("XLOOKUP(AJ328,IMPORTRANGE(""1XaInW9DU9nz21V0tYIfzFQ0He9kVQ_JF2mCXgZ3hqFA"",""REKAP ALL 2026 - Andika!G:G""),IMPORTRANGE(""1XaInW9DU9nz21V0tYIfzFQ0He9kVQ_JF2mCXgZ3hqFA"",""REKAP ALL 2026 - Andika!F:F""),"""",0)"),"20021316219")</f>
        <v>20021316219</v>
      </c>
      <c r="G328" s="13" t="s">
        <v>1492</v>
      </c>
      <c r="H328" s="13" t="s">
        <v>35</v>
      </c>
      <c r="I328" s="13" t="str">
        <f aca="false">IF(C328=J328,"NEW KONTRAK","RE-KONTRAK")</f>
        <v>RE-KONTRAK</v>
      </c>
      <c r="J328" s="16" t="n">
        <f aca="false" t="array" ref="J328:J328">IFERROR(INDEX(AC328:AE328,IF(COUNTA(AC328:AE328)=0,"",MAX((AC328:AE328&lt;&gt;"")*(COLUMN(AC328:AE328)-(COLUMN(AC328)))))-1),"")</f>
        <v>45672</v>
      </c>
      <c r="K328" s="16" t="n">
        <f aca="false" t="array" ref="K328:K328">IFERROR(INDEX(AC328:AE328,IF(COUNTA(AC328:AE328)=0,"",MAX((AC328:AE328&lt;&gt;"")*(COLUMN(AC328:AE328)-(COLUMN(AC328)-1))))-1),"")</f>
        <v>46036</v>
      </c>
      <c r="L328" s="17" t="str">
        <f aca="false" t="array" ref="L328:L328">IFERROR(INDEX(AC328:AE328,IF(COUNTA(AC328:AE328)=0,"",MAX((AC328:AE328&lt;&gt;"")*(COLUMN(AC328:AE328)-(COLUMN(AC328)-2))))-1),"")</f>
        <v>ARCHIVED</v>
      </c>
      <c r="M328" s="13" t="n">
        <f aca="true">K328-TODAY()</f>
        <v>-288</v>
      </c>
      <c r="N328" s="18" t="s">
        <v>105</v>
      </c>
      <c r="O328" s="13" t="s">
        <v>106</v>
      </c>
      <c r="P328" s="19" t="n">
        <v>132300</v>
      </c>
      <c r="Q328" s="20" t="s">
        <v>1493</v>
      </c>
      <c r="R328" s="13" t="s">
        <v>39</v>
      </c>
      <c r="S328" s="25" t="n">
        <v>36678</v>
      </c>
      <c r="T328" s="13" t="s">
        <v>108</v>
      </c>
      <c r="U328" s="13" t="s">
        <v>1494</v>
      </c>
      <c r="V328" s="13" t="s">
        <v>42</v>
      </c>
      <c r="W328" s="13" t="s">
        <v>43</v>
      </c>
      <c r="X328" s="21" t="n">
        <v>88996435161</v>
      </c>
      <c r="Y328" s="22" t="str">
        <f aca="false">O328</f>
        <v>Produksi - Helper</v>
      </c>
      <c r="Z328" s="13" t="str">
        <f aca="false">IFERROR(__xludf.dummyfunction("if(BJ328="""","""",GOOGLETRANSLATE(BJ328,""auto"",""en""))"),"Production - Helper")</f>
        <v>Production - Helper</v>
      </c>
      <c r="AA328" s="23" t="str">
        <f aca="false">IF(C328="","", CHOOSE(MONTH(C328),"January","February","March","April","May","June","July","August","September","October","November","December")&amp;" "&amp;DAY(C328)&amp;MID("thstndrdth",MIN(9,2*RIGHT(DAY(C328))*(MOD(DAY(C328)-11,100)&gt;2)+1),2)&amp;","&amp;TEXT(C328," yyyy"))</f>
        <v>January 15th,2020</v>
      </c>
      <c r="AB328" s="15" t="str">
        <f aca="true">IF(S328="","",DATEDIF(S328,TODAY(),"Y")&amp;" Tahun, "&amp;DATEDIF(S328,TODAY(),"YM")&amp;" Bulan, "&amp;DATEDIF(S328,TODAY(),"MD")&amp;" Hari")</f>
        <v>26 Tahun, 4 Bulan, 28 Hari</v>
      </c>
      <c r="AC328" s="18" t="n">
        <v>45672</v>
      </c>
      <c r="AD328" s="18" t="n">
        <v>46036</v>
      </c>
      <c r="AE328" s="18" t="s">
        <v>44</v>
      </c>
    </row>
    <row r="329" customFormat="false" ht="15.75" hidden="false" customHeight="true" outlineLevel="0" collapsed="false">
      <c r="A329" s="12" t="n">
        <v>1935</v>
      </c>
      <c r="B329" s="13" t="s">
        <v>1495</v>
      </c>
      <c r="C329" s="14" t="n">
        <v>43845</v>
      </c>
      <c r="D329" s="13" t="s">
        <v>101</v>
      </c>
      <c r="E329" s="15" t="s">
        <v>102</v>
      </c>
      <c r="F329" s="15" t="str">
        <f aca="false">IFERROR(__xludf.dummyfunction("XLOOKUP(AJ329,IMPORTRANGE(""1XaInW9DU9nz21V0tYIfzFQ0He9kVQ_JF2mCXgZ3hqFA"",""REKAP ALL 2026 - Andika!G:G""),IMPORTRANGE(""1XaInW9DU9nz21V0tYIfzFQ0He9kVQ_JF2mCXgZ3hqFA"",""REKAP ALL 2026 - Andika!F:F""),"""",0)"),"20021313505")</f>
        <v>20021313505</v>
      </c>
      <c r="G329" s="13" t="s">
        <v>1496</v>
      </c>
      <c r="H329" s="13" t="s">
        <v>35</v>
      </c>
      <c r="I329" s="13" t="str">
        <f aca="false">IF(C329=J329,"NEW KONTRAK","RE-KONTRAK")</f>
        <v>RE-KONTRAK</v>
      </c>
      <c r="J329" s="16" t="n">
        <f aca="false" t="array" ref="J329:J329">IFERROR(INDEX(AC329:AE329,IF(COUNTA(AC329:AE329)=0,"",MAX((AC329:AE329&lt;&gt;"")*(COLUMN(AC329:AE329)-(COLUMN(AC329)))))-1),"")</f>
        <v>45672</v>
      </c>
      <c r="K329" s="16" t="n">
        <f aca="false" t="array" ref="K329:K329">IFERROR(INDEX(AC329:AE329,IF(COUNTA(AC329:AE329)=0,"",MAX((AC329:AE329&lt;&gt;"")*(COLUMN(AC329:AE329)-(COLUMN(AC329)-1))))-1),"")</f>
        <v>46036</v>
      </c>
      <c r="L329" s="17" t="str">
        <f aca="false" t="array" ref="L329:L329">IFERROR(INDEX(AC329:AE329,IF(COUNTA(AC329:AE329)=0,"",MAX((AC329:AE329&lt;&gt;"")*(COLUMN(AC329:AE329)-(COLUMN(AC329)-2))))-1),"")</f>
        <v>ARCHIVED</v>
      </c>
      <c r="M329" s="13" t="n">
        <f aca="true">K329-TODAY()</f>
        <v>-288</v>
      </c>
      <c r="N329" s="18" t="s">
        <v>105</v>
      </c>
      <c r="O329" s="13" t="s">
        <v>106</v>
      </c>
      <c r="P329" s="19" t="n">
        <v>132300</v>
      </c>
      <c r="Q329" s="20" t="s">
        <v>1497</v>
      </c>
      <c r="R329" s="13" t="s">
        <v>39</v>
      </c>
      <c r="S329" s="25" t="n">
        <v>36311</v>
      </c>
      <c r="T329" s="13" t="s">
        <v>40</v>
      </c>
      <c r="U329" s="13" t="s">
        <v>1498</v>
      </c>
      <c r="V329" s="13" t="s">
        <v>42</v>
      </c>
      <c r="W329" s="13" t="s">
        <v>43</v>
      </c>
      <c r="X329" s="21" t="n">
        <v>859180745484</v>
      </c>
      <c r="Y329" s="22" t="str">
        <f aca="false">O329</f>
        <v>Produksi - Helper</v>
      </c>
      <c r="Z329" s="13" t="str">
        <f aca="false">IFERROR(__xludf.dummyfunction("if(BJ329="""","""",GOOGLETRANSLATE(BJ329,""auto"",""en""))"),"Production - Helper")</f>
        <v>Production - Helper</v>
      </c>
      <c r="AA329" s="23" t="str">
        <f aca="false">IF(C329="","", CHOOSE(MONTH(C329),"January","February","March","April","May","June","July","August","September","October","November","December")&amp;" "&amp;DAY(C329)&amp;MID("thstndrdth",MIN(9,2*RIGHT(DAY(C329))*(MOD(DAY(C329)-11,100)&gt;2)+1),2)&amp;","&amp;TEXT(C329," yyyy"))</f>
        <v>January 15th,2020</v>
      </c>
      <c r="AB329" s="15" t="str">
        <f aca="true">IF(S329="","",DATEDIF(S329,TODAY(),"Y")&amp;" Tahun, "&amp;DATEDIF(S329,TODAY(),"YM")&amp;" Bulan, "&amp;DATEDIF(S329,TODAY(),"MD")&amp;" Hari")</f>
        <v>27 Tahun, 4 Bulan, 28 Hari</v>
      </c>
      <c r="AC329" s="18" t="n">
        <v>45672</v>
      </c>
      <c r="AD329" s="18" t="n">
        <v>46036</v>
      </c>
      <c r="AE329" s="18" t="s">
        <v>44</v>
      </c>
    </row>
    <row r="330" customFormat="false" ht="15.75" hidden="false" customHeight="true" outlineLevel="0" collapsed="false">
      <c r="A330" s="12" t="n">
        <v>1937</v>
      </c>
      <c r="B330" s="13" t="s">
        <v>1499</v>
      </c>
      <c r="C330" s="14" t="n">
        <v>43845</v>
      </c>
      <c r="D330" s="13" t="s">
        <v>101</v>
      </c>
      <c r="E330" s="15" t="s">
        <v>102</v>
      </c>
      <c r="F330" s="15" t="str">
        <f aca="false">IFERROR(__xludf.dummyfunction("XLOOKUP(AJ330,IMPORTRANGE(""1XaInW9DU9nz21V0tYIfzFQ0He9kVQ_JF2mCXgZ3hqFA"",""REKAP ALL 2026 - Andika!G:G""),IMPORTRANGE(""1XaInW9DU9nz21V0tYIfzFQ0He9kVQ_JF2mCXgZ3hqFA"",""REKAP ALL 2026 - Andika!F:F""),"""",0)"),"20021315492")</f>
        <v>20021315492</v>
      </c>
      <c r="G330" s="13" t="s">
        <v>1500</v>
      </c>
      <c r="H330" s="13" t="s">
        <v>35</v>
      </c>
      <c r="I330" s="13" t="str">
        <f aca="false">IF(C330=J330,"NEW KONTRAK","RE-KONTRAK")</f>
        <v>RE-KONTRAK</v>
      </c>
      <c r="J330" s="16" t="n">
        <f aca="false" t="array" ref="J330:J330">IFERROR(INDEX(AC330:AE330,IF(COUNTA(AC330:AE330)=0,"",MAX((AC330:AE330&lt;&gt;"")*(COLUMN(AC330:AE330)-(COLUMN(AC330)))))-1),"")</f>
        <v>45672</v>
      </c>
      <c r="K330" s="16" t="n">
        <f aca="false" t="array" ref="K330:K330">IFERROR(INDEX(AC330:AE330,IF(COUNTA(AC330:AE330)=0,"",MAX((AC330:AE330&lt;&gt;"")*(COLUMN(AC330:AE330)-(COLUMN(AC330)-1))))-1),"")</f>
        <v>46036</v>
      </c>
      <c r="L330" s="17" t="str">
        <f aca="false" t="array" ref="L330:L330">IFERROR(INDEX(AC330:AE330,IF(COUNTA(AC330:AE330)=0,"",MAX((AC330:AE330&lt;&gt;"")*(COLUMN(AC330:AE330)-(COLUMN(AC330)-2))))-1),"")</f>
        <v>ARCHIVED</v>
      </c>
      <c r="M330" s="13" t="n">
        <f aca="true">K330-TODAY()</f>
        <v>-288</v>
      </c>
      <c r="N330" s="18" t="s">
        <v>105</v>
      </c>
      <c r="O330" s="13" t="s">
        <v>106</v>
      </c>
      <c r="P330" s="19" t="n">
        <v>132300</v>
      </c>
      <c r="Q330" s="20" t="s">
        <v>1501</v>
      </c>
      <c r="R330" s="13" t="s">
        <v>52</v>
      </c>
      <c r="S330" s="25" t="n">
        <v>30938</v>
      </c>
      <c r="T330" s="13" t="s">
        <v>108</v>
      </c>
      <c r="U330" s="13" t="s">
        <v>1502</v>
      </c>
      <c r="V330" s="13" t="s">
        <v>42</v>
      </c>
      <c r="W330" s="13" t="s">
        <v>54</v>
      </c>
      <c r="X330" s="21" t="n">
        <v>85730404096</v>
      </c>
      <c r="Y330" s="22" t="str">
        <f aca="false">O330</f>
        <v>Produksi - Helper</v>
      </c>
      <c r="Z330" s="13" t="str">
        <f aca="false">IFERROR(__xludf.dummyfunction("if(BJ330="""","""",GOOGLETRANSLATE(BJ330,""auto"",""en""))"),"Production - Helper")</f>
        <v>Production - Helper</v>
      </c>
      <c r="AA330" s="23" t="str">
        <f aca="false">IF(C330="","", CHOOSE(MONTH(C330),"January","February","March","April","May","June","July","August","September","October","November","December")&amp;" "&amp;DAY(C330)&amp;MID("thstndrdth",MIN(9,2*RIGHT(DAY(C330))*(MOD(DAY(C330)-11,100)&gt;2)+1),2)&amp;","&amp;TEXT(C330," yyyy"))</f>
        <v>January 15th,2020</v>
      </c>
      <c r="AB330" s="15" t="str">
        <f aca="true">IF(S330="","",DATEDIF(S330,TODAY(),"Y")&amp;" Tahun, "&amp;DATEDIF(S330,TODAY(),"YM")&amp;" Bulan, "&amp;DATEDIF(S330,TODAY(),"MD")&amp;" Hari")</f>
        <v>42 Tahun, 1 Bulan, 16 Hari</v>
      </c>
      <c r="AC330" s="18" t="n">
        <v>45672</v>
      </c>
      <c r="AD330" s="18" t="n">
        <v>46036</v>
      </c>
      <c r="AE330" s="18" t="s">
        <v>44</v>
      </c>
    </row>
    <row r="331" customFormat="false" ht="15.75" hidden="false" customHeight="true" outlineLevel="0" collapsed="false">
      <c r="A331" s="12" t="n">
        <v>1939</v>
      </c>
      <c r="B331" s="13" t="s">
        <v>1503</v>
      </c>
      <c r="C331" s="14" t="n">
        <v>43994</v>
      </c>
      <c r="D331" s="13" t="s">
        <v>101</v>
      </c>
      <c r="E331" s="15" t="s">
        <v>102</v>
      </c>
      <c r="F331" s="15" t="str">
        <f aca="false">IFERROR(__xludf.dummyfunction("XLOOKUP(AJ331,IMPORTRANGE(""1XaInW9DU9nz21V0tYIfzFQ0He9kVQ_JF2mCXgZ3hqFA"",""REKAP ALL 2026 - Andika!G:G""),IMPORTRANGE(""1XaInW9DU9nz21V0tYIfzFQ0He9kVQ_JF2mCXgZ3hqFA"",""REKAP ALL 2026 - Andika!F:F""),"""",0)"),"20043782414")</f>
        <v>20043782414</v>
      </c>
      <c r="G331" s="13" t="s">
        <v>1504</v>
      </c>
      <c r="H331" s="13" t="s">
        <v>35</v>
      </c>
      <c r="I331" s="13" t="str">
        <f aca="false">IF(C331=J331,"NEW KONTRAK","RE-KONTRAK")</f>
        <v>RE-KONTRAK</v>
      </c>
      <c r="J331" s="16" t="n">
        <f aca="false" t="array" ref="J331:J331">IFERROR(INDEX(AC331:AE331,IF(COUNTA(AC331:AE331)=0,"",MAX((AC331:AE331&lt;&gt;"")*(COLUMN(AC331:AE331)-(COLUMN(AC331)))))-1),"")</f>
        <v>45672</v>
      </c>
      <c r="K331" s="16" t="n">
        <f aca="false" t="array" ref="K331:K331">IFERROR(INDEX(AC331:AE331,IF(COUNTA(AC331:AE331)=0,"",MAX((AC331:AE331&lt;&gt;"")*(COLUMN(AC331:AE331)-(COLUMN(AC331)-1))))-1),"")</f>
        <v>46036</v>
      </c>
      <c r="L331" s="17" t="str">
        <f aca="false" t="array" ref="L331:L331">IFERROR(INDEX(AC331:AE331,IF(COUNTA(AC331:AE331)=0,"",MAX((AC331:AE331&lt;&gt;"")*(COLUMN(AC331:AE331)-(COLUMN(AC331)-2))))-1),"")</f>
        <v>ARCHIVED</v>
      </c>
      <c r="M331" s="13" t="n">
        <f aca="true">K331-TODAY()</f>
        <v>-288</v>
      </c>
      <c r="N331" s="18" t="s">
        <v>105</v>
      </c>
      <c r="O331" s="13" t="s">
        <v>106</v>
      </c>
      <c r="P331" s="19" t="n">
        <v>132300</v>
      </c>
      <c r="Q331" s="20" t="s">
        <v>1505</v>
      </c>
      <c r="R331" s="13" t="s">
        <v>324</v>
      </c>
      <c r="S331" s="25" t="n">
        <v>37236</v>
      </c>
      <c r="T331" s="13" t="s">
        <v>108</v>
      </c>
      <c r="U331" s="13" t="s">
        <v>1506</v>
      </c>
      <c r="V331" s="13" t="s">
        <v>42</v>
      </c>
      <c r="W331" s="13" t="s">
        <v>43</v>
      </c>
      <c r="X331" s="21" t="n">
        <v>895341227530</v>
      </c>
      <c r="Y331" s="22" t="str">
        <f aca="false">O331</f>
        <v>Produksi - Helper</v>
      </c>
      <c r="Z331" s="13" t="str">
        <f aca="false">IFERROR(__xludf.dummyfunction("if(BJ331="""","""",GOOGLETRANSLATE(BJ331,""auto"",""en""))"),"Production - Helper")</f>
        <v>Production - Helper</v>
      </c>
      <c r="AA331" s="23" t="str">
        <f aca="false">IF(C331="","", CHOOSE(MONTH(C331),"January","February","March","April","May","June","July","August","September","October","November","December")&amp;" "&amp;DAY(C331)&amp;MID("thstndrdth",MIN(9,2*RIGHT(DAY(C331))*(MOD(DAY(C331)-11,100)&gt;2)+1),2)&amp;","&amp;TEXT(C331," yyyy"))</f>
        <v>June 12th,2020</v>
      </c>
      <c r="AB331" s="15" t="str">
        <f aca="true">IF(S331="","",DATEDIF(S331,TODAY(),"Y")&amp;" Tahun, "&amp;DATEDIF(S331,TODAY(),"YM")&amp;" Bulan, "&amp;DATEDIF(S331,TODAY(),"MD")&amp;" Hari")</f>
        <v>24 Tahun, 10 Bulan, 18 Hari</v>
      </c>
      <c r="AC331" s="18" t="n">
        <v>45672</v>
      </c>
      <c r="AD331" s="18" t="n">
        <v>46036</v>
      </c>
      <c r="AE331" s="18" t="s">
        <v>44</v>
      </c>
    </row>
    <row r="332" customFormat="false" ht="15.75" hidden="false" customHeight="true" outlineLevel="0" collapsed="false">
      <c r="A332" s="12" t="n">
        <v>1940</v>
      </c>
      <c r="B332" s="13" t="s">
        <v>1507</v>
      </c>
      <c r="C332" s="14" t="n">
        <v>43845</v>
      </c>
      <c r="D332" s="13" t="s">
        <v>101</v>
      </c>
      <c r="E332" s="15" t="s">
        <v>102</v>
      </c>
      <c r="F332" s="15" t="str">
        <f aca="false">IFERROR(__xludf.dummyfunction("XLOOKUP(AJ332,IMPORTRANGE(""1XaInW9DU9nz21V0tYIfzFQ0He9kVQ_JF2mCXgZ3hqFA"",""REKAP ALL 2026 - Andika!G:G""),IMPORTRANGE(""1XaInW9DU9nz21V0tYIfzFQ0He9kVQ_JF2mCXgZ3hqFA"",""REKAP ALL 2026 - Andika!F:F""),"""",0)"),"18003539162")</f>
        <v>18003539162</v>
      </c>
      <c r="G332" s="13" t="s">
        <v>1508</v>
      </c>
      <c r="H332" s="13" t="s">
        <v>35</v>
      </c>
      <c r="I332" s="13" t="str">
        <f aca="false">IF(C332=J332,"NEW KONTRAK","RE-KONTRAK")</f>
        <v>RE-KONTRAK</v>
      </c>
      <c r="J332" s="16" t="n">
        <f aca="false" t="array" ref="J332:J332">IFERROR(INDEX(AC332:AE332,IF(COUNTA(AC332:AE332)=0,"",MAX((AC332:AE332&lt;&gt;"")*(COLUMN(AC332:AE332)-(COLUMN(AC332)))))-1),"")</f>
        <v>45672</v>
      </c>
      <c r="K332" s="16" t="n">
        <f aca="false" t="array" ref="K332:K332">IFERROR(INDEX(AC332:AE332,IF(COUNTA(AC332:AE332)=0,"",MAX((AC332:AE332&lt;&gt;"")*(COLUMN(AC332:AE332)-(COLUMN(AC332)-1))))-1),"")</f>
        <v>46036</v>
      </c>
      <c r="L332" s="17" t="str">
        <f aca="false" t="array" ref="L332:L332">IFERROR(INDEX(AC332:AE332,IF(COUNTA(AC332:AE332)=0,"",MAX((AC332:AE332&lt;&gt;"")*(COLUMN(AC332:AE332)-(COLUMN(AC332)-2))))-1),"")</f>
        <v>ARCHIVED</v>
      </c>
      <c r="M332" s="13" t="n">
        <f aca="true">K332-TODAY()</f>
        <v>-288</v>
      </c>
      <c r="N332" s="18" t="s">
        <v>105</v>
      </c>
      <c r="O332" s="13" t="s">
        <v>106</v>
      </c>
      <c r="P332" s="19" t="n">
        <v>132300</v>
      </c>
      <c r="Q332" s="20" t="s">
        <v>1509</v>
      </c>
      <c r="R332" s="13" t="s">
        <v>39</v>
      </c>
      <c r="S332" s="25" t="n">
        <v>35936</v>
      </c>
      <c r="T332" s="13" t="s">
        <v>40</v>
      </c>
      <c r="U332" s="13" t="s">
        <v>1510</v>
      </c>
      <c r="V332" s="13" t="s">
        <v>42</v>
      </c>
      <c r="W332" s="13" t="s">
        <v>43</v>
      </c>
      <c r="X332" s="21" t="n">
        <v>85608621682</v>
      </c>
      <c r="Y332" s="22" t="str">
        <f aca="false">O332</f>
        <v>Produksi - Helper</v>
      </c>
      <c r="Z332" s="13" t="str">
        <f aca="false">IFERROR(__xludf.dummyfunction("if(BJ332="""","""",GOOGLETRANSLATE(BJ332,""auto"",""en""))"),"Production - Helper")</f>
        <v>Production - Helper</v>
      </c>
      <c r="AA332" s="23" t="str">
        <f aca="false">IF(C332="","", CHOOSE(MONTH(C332),"January","February","March","April","May","June","July","August","September","October","November","December")&amp;" "&amp;DAY(C332)&amp;MID("thstndrdth",MIN(9,2*RIGHT(DAY(C332))*(MOD(DAY(C332)-11,100)&gt;2)+1),2)&amp;","&amp;TEXT(C332," yyyy"))</f>
        <v>January 15th,2020</v>
      </c>
      <c r="AB332" s="15" t="str">
        <f aca="true">IF(S332="","",DATEDIF(S332,TODAY(),"Y")&amp;" Tahun, "&amp;DATEDIF(S332,TODAY(),"YM")&amp;" Bulan, "&amp;DATEDIF(S332,TODAY(),"MD")&amp;" Hari")</f>
        <v>28 Tahun, 5 Bulan, 8 Hari</v>
      </c>
      <c r="AC332" s="18" t="n">
        <v>45672</v>
      </c>
      <c r="AD332" s="18" t="n">
        <v>46036</v>
      </c>
      <c r="AE332" s="18" t="s">
        <v>44</v>
      </c>
    </row>
    <row r="333" customFormat="false" ht="15.75" hidden="false" customHeight="true" outlineLevel="0" collapsed="false">
      <c r="A333" s="12" t="n">
        <v>1941</v>
      </c>
      <c r="B333" s="13" t="s">
        <v>1511</v>
      </c>
      <c r="C333" s="14" t="n">
        <v>43845</v>
      </c>
      <c r="D333" s="13" t="s">
        <v>101</v>
      </c>
      <c r="E333" s="15" t="s">
        <v>102</v>
      </c>
      <c r="F333" s="15" t="str">
        <f aca="false">IFERROR(__xludf.dummyfunction("XLOOKUP(AJ333,IMPORTRANGE(""1XaInW9DU9nz21V0tYIfzFQ0He9kVQ_JF2mCXgZ3hqFA"",""REKAP ALL 2026 - Andika!G:G""),IMPORTRANGE(""1XaInW9DU9nz21V0tYIfzFQ0He9kVQ_JF2mCXgZ3hqFA"",""REKAP ALL 2026 - Andika!F:F""),"""",0)"),"20021314016")</f>
        <v>20021314016</v>
      </c>
      <c r="G333" s="13" t="s">
        <v>1512</v>
      </c>
      <c r="H333" s="13" t="s">
        <v>35</v>
      </c>
      <c r="I333" s="13" t="str">
        <f aca="false">IF(C333=J333,"NEW KONTRAK","RE-KONTRAK")</f>
        <v>RE-KONTRAK</v>
      </c>
      <c r="J333" s="16" t="n">
        <f aca="false" t="array" ref="J333:J333">IFERROR(INDEX(AC333:AE333,IF(COUNTA(AC333:AE333)=0,"",MAX((AC333:AE333&lt;&gt;"")*(COLUMN(AC333:AE333)-(COLUMN(AC333)))))-1),"")</f>
        <v>45672</v>
      </c>
      <c r="K333" s="16" t="n">
        <f aca="false" t="array" ref="K333:K333">IFERROR(INDEX(AC333:AE333,IF(COUNTA(AC333:AE333)=0,"",MAX((AC333:AE333&lt;&gt;"")*(COLUMN(AC333:AE333)-(COLUMN(AC333)-1))))-1),"")</f>
        <v>46036</v>
      </c>
      <c r="L333" s="17" t="str">
        <f aca="false" t="array" ref="L333:L333">IFERROR(INDEX(AC333:AE333,IF(COUNTA(AC333:AE333)=0,"",MAX((AC333:AE333&lt;&gt;"")*(COLUMN(AC333:AE333)-(COLUMN(AC333)-2))))-1),"")</f>
        <v>ARCHIVED</v>
      </c>
      <c r="M333" s="13" t="n">
        <f aca="true">K333-TODAY()</f>
        <v>-288</v>
      </c>
      <c r="N333" s="18" t="s">
        <v>105</v>
      </c>
      <c r="O333" s="13" t="s">
        <v>106</v>
      </c>
      <c r="P333" s="19" t="n">
        <v>132300</v>
      </c>
      <c r="Q333" s="20" t="s">
        <v>1513</v>
      </c>
      <c r="R333" s="13" t="s">
        <v>52</v>
      </c>
      <c r="S333" s="25" t="n">
        <v>37117</v>
      </c>
      <c r="T333" s="13" t="s">
        <v>108</v>
      </c>
      <c r="U333" s="13" t="s">
        <v>1514</v>
      </c>
      <c r="V333" s="13" t="s">
        <v>42</v>
      </c>
      <c r="W333" s="13" t="s">
        <v>43</v>
      </c>
      <c r="X333" s="21" t="n">
        <v>89678398724</v>
      </c>
      <c r="Y333" s="22" t="str">
        <f aca="false">O333</f>
        <v>Produksi - Helper</v>
      </c>
      <c r="Z333" s="13" t="str">
        <f aca="false">IFERROR(__xludf.dummyfunction("if(BJ333="""","""",GOOGLETRANSLATE(BJ333,""auto"",""en""))"),"Production - Helper")</f>
        <v>Production - Helper</v>
      </c>
      <c r="AA333" s="23" t="str">
        <f aca="false">IF(C333="","", CHOOSE(MONTH(C333),"January","February","March","April","May","June","July","August","September","October","November","December")&amp;" "&amp;DAY(C333)&amp;MID("thstndrdth",MIN(9,2*RIGHT(DAY(C333))*(MOD(DAY(C333)-11,100)&gt;2)+1),2)&amp;","&amp;TEXT(C333," yyyy"))</f>
        <v>January 15th,2020</v>
      </c>
      <c r="AB333" s="15" t="str">
        <f aca="true">IF(S333="","",DATEDIF(S333,TODAY(),"Y")&amp;" Tahun, "&amp;DATEDIF(S333,TODAY(),"YM")&amp;" Bulan, "&amp;DATEDIF(S333,TODAY(),"MD")&amp;" Hari")</f>
        <v>25 Tahun, 2 Bulan, 15 Hari</v>
      </c>
      <c r="AC333" s="18" t="n">
        <v>45672</v>
      </c>
      <c r="AD333" s="18" t="n">
        <v>46036</v>
      </c>
      <c r="AE333" s="18" t="s">
        <v>44</v>
      </c>
    </row>
    <row r="334" customFormat="false" ht="15.75" hidden="false" customHeight="true" outlineLevel="0" collapsed="false">
      <c r="A334" s="12" t="n">
        <v>1945</v>
      </c>
      <c r="B334" s="13" t="s">
        <v>1515</v>
      </c>
      <c r="C334" s="14" t="n">
        <v>44033</v>
      </c>
      <c r="D334" s="13" t="s">
        <v>101</v>
      </c>
      <c r="E334" s="15" t="s">
        <v>102</v>
      </c>
      <c r="F334" s="15" t="str">
        <f aca="false">IFERROR(__xludf.dummyfunction("XLOOKUP(AJ334,IMPORTRANGE(""1XaInW9DU9nz21V0tYIfzFQ0He9kVQ_JF2mCXgZ3hqFA"",""REKAP ALL 2026 - Andika!G:G""),IMPORTRANGE(""1XaInW9DU9nz21V0tYIfzFQ0He9kVQ_JF2mCXgZ3hqFA"",""REKAP ALL 2026 - Andika!F:F""),"""",0)"),"20061339113")</f>
        <v>20061339113</v>
      </c>
      <c r="G334" s="13" t="s">
        <v>1516</v>
      </c>
      <c r="H334" s="13" t="s">
        <v>35</v>
      </c>
      <c r="I334" s="13" t="str">
        <f aca="false">IF(C334=J334,"NEW KONTRAK","RE-KONTRAK")</f>
        <v>RE-KONTRAK</v>
      </c>
      <c r="J334" s="16" t="n">
        <f aca="false" t="array" ref="J334:J334">IFERROR(INDEX(AC334:AE334,IF(COUNTA(AC334:AE334)=0,"",MAX((AC334:AE334&lt;&gt;"")*(COLUMN(AC334:AE334)-(COLUMN(AC334)))))-1),"")</f>
        <v>45672</v>
      </c>
      <c r="K334" s="16" t="n">
        <f aca="false" t="array" ref="K334:K334">IFERROR(INDEX(AC334:AE334,IF(COUNTA(AC334:AE334)=0,"",MAX((AC334:AE334&lt;&gt;"")*(COLUMN(AC334:AE334)-(COLUMN(AC334)-1))))-1),"")</f>
        <v>46036</v>
      </c>
      <c r="L334" s="17" t="str">
        <f aca="false" t="array" ref="L334:L334">IFERROR(INDEX(AC334:AE334,IF(COUNTA(AC334:AE334)=0,"",MAX((AC334:AE334&lt;&gt;"")*(COLUMN(AC334:AE334)-(COLUMN(AC334)-2))))-1),"")</f>
        <v>ARCHIVED</v>
      </c>
      <c r="M334" s="13" t="n">
        <f aca="true">K334-TODAY()</f>
        <v>-288</v>
      </c>
      <c r="N334" s="18" t="s">
        <v>105</v>
      </c>
      <c r="O334" s="13" t="s">
        <v>106</v>
      </c>
      <c r="P334" s="19" t="n">
        <v>132300</v>
      </c>
      <c r="Q334" s="20" t="s">
        <v>1517</v>
      </c>
      <c r="R334" s="13" t="s">
        <v>39</v>
      </c>
      <c r="S334" s="25" t="n">
        <v>36839</v>
      </c>
      <c r="T334" s="13" t="s">
        <v>40</v>
      </c>
      <c r="U334" s="13" t="s">
        <v>1518</v>
      </c>
      <c r="V334" s="13" t="s">
        <v>42</v>
      </c>
      <c r="W334" s="13" t="s">
        <v>43</v>
      </c>
      <c r="X334" s="21" t="n">
        <v>8983964846</v>
      </c>
      <c r="Y334" s="22" t="str">
        <f aca="false">O334</f>
        <v>Produksi - Helper</v>
      </c>
      <c r="Z334" s="13" t="str">
        <f aca="false">IFERROR(__xludf.dummyfunction("if(BJ334="""","""",GOOGLETRANSLATE(BJ334,""auto"",""en""))"),"Production - Helper")</f>
        <v>Production - Helper</v>
      </c>
      <c r="AA334" s="23" t="str">
        <f aca="false">IF(C334="","", CHOOSE(MONTH(C334),"January","February","March","April","May","June","July","August","September","October","November","December")&amp;" "&amp;DAY(C334)&amp;MID("thstndrdth",MIN(9,2*RIGHT(DAY(C334))*(MOD(DAY(C334)-11,100)&gt;2)+1),2)&amp;","&amp;TEXT(C334," yyyy"))</f>
        <v>July 21st,2020</v>
      </c>
      <c r="AB334" s="15" t="str">
        <f aca="true">IF(S334="","",DATEDIF(S334,TODAY(),"Y")&amp;" Tahun, "&amp;DATEDIF(S334,TODAY(),"YM")&amp;" Bulan, "&amp;DATEDIF(S334,TODAY(),"MD")&amp;" Hari")</f>
        <v>25 Tahun, 11 Bulan, 20 Hari</v>
      </c>
      <c r="AC334" s="18" t="n">
        <v>45672</v>
      </c>
      <c r="AD334" s="18" t="n">
        <v>46036</v>
      </c>
      <c r="AE334" s="18" t="s">
        <v>44</v>
      </c>
    </row>
    <row r="335" customFormat="false" ht="15.75" hidden="false" customHeight="true" outlineLevel="0" collapsed="false">
      <c r="A335" s="12" t="n">
        <v>1946</v>
      </c>
      <c r="B335" s="13" t="s">
        <v>1519</v>
      </c>
      <c r="C335" s="14" t="n">
        <v>43845</v>
      </c>
      <c r="D335" s="13" t="s">
        <v>101</v>
      </c>
      <c r="E335" s="15" t="s">
        <v>102</v>
      </c>
      <c r="F335" s="24" t="s">
        <v>1520</v>
      </c>
      <c r="G335" s="13" t="s">
        <v>1521</v>
      </c>
      <c r="H335" s="13" t="s">
        <v>35</v>
      </c>
      <c r="I335" s="13" t="str">
        <f aca="false">IF(C335=J335,"NEW KONTRAK","RE-KONTRAK")</f>
        <v>RE-KONTRAK</v>
      </c>
      <c r="J335" s="16" t="n">
        <f aca="false" t="array" ref="J335:J335">IFERROR(INDEX(AC335:AE335,IF(COUNTA(AC335:AE335)=0,"",MAX((AC335:AE335&lt;&gt;"")*(COLUMN(AC335:AE335)-(COLUMN(AC335)))))-1),"")</f>
        <v>45672</v>
      </c>
      <c r="K335" s="16" t="n">
        <f aca="false" t="array" ref="K335:K335">IFERROR(INDEX(AC335:AE335,IF(COUNTA(AC335:AE335)=0,"",MAX((AC335:AE335&lt;&gt;"")*(COLUMN(AC335:AE335)-(COLUMN(AC335)-1))))-1),"")</f>
        <v>46036</v>
      </c>
      <c r="L335" s="17" t="str">
        <f aca="false" t="array" ref="L335:L335">IFERROR(INDEX(AC335:AE335,IF(COUNTA(AC335:AE335)=0,"",MAX((AC335:AE335&lt;&gt;"")*(COLUMN(AC335:AE335)-(COLUMN(AC335)-2))))-1),"")</f>
        <v>ARCHIVED</v>
      </c>
      <c r="M335" s="13" t="n">
        <f aca="true">K335-TODAY()</f>
        <v>-288</v>
      </c>
      <c r="N335" s="18" t="s">
        <v>105</v>
      </c>
      <c r="O335" s="13" t="s">
        <v>58</v>
      </c>
      <c r="P335" s="19" t="n">
        <v>126000</v>
      </c>
      <c r="Q335" s="20" t="s">
        <v>1522</v>
      </c>
      <c r="R335" s="13" t="s">
        <v>39</v>
      </c>
      <c r="S335" s="25" t="n">
        <v>36003</v>
      </c>
      <c r="T335" s="13" t="s">
        <v>108</v>
      </c>
      <c r="U335" s="13" t="s">
        <v>1523</v>
      </c>
      <c r="V335" s="13" t="s">
        <v>42</v>
      </c>
      <c r="W335" s="13" t="s">
        <v>43</v>
      </c>
      <c r="X335" s="21" t="n">
        <v>87756536627</v>
      </c>
      <c r="Y335" s="22" t="str">
        <f aca="false">O335</f>
        <v>Produksi</v>
      </c>
      <c r="Z335" s="13" t="str">
        <f aca="false">IFERROR(__xludf.dummyfunction("if(BJ335="""","""",GOOGLETRANSLATE(BJ335,""auto"",""en""))"),"Production")</f>
        <v>Production</v>
      </c>
      <c r="AA335" s="23" t="str">
        <f aca="false">IF(C335="","", CHOOSE(MONTH(C335),"January","February","March","April","May","June","July","August","September","October","November","December")&amp;" "&amp;DAY(C335)&amp;MID("thstndrdth",MIN(9,2*RIGHT(DAY(C335))*(MOD(DAY(C335)-11,100)&gt;2)+1),2)&amp;","&amp;TEXT(C335," yyyy"))</f>
        <v>January 15th,2020</v>
      </c>
      <c r="AB335" s="15" t="str">
        <f aca="true">IF(S335="","",DATEDIF(S335,TODAY(),"Y")&amp;" Tahun, "&amp;DATEDIF(S335,TODAY(),"YM")&amp;" Bulan, "&amp;DATEDIF(S335,TODAY(),"MD")&amp;" Hari")</f>
        <v>28 Tahun, 3 Bulan, 2 Hari</v>
      </c>
      <c r="AC335" s="18" t="n">
        <v>45672</v>
      </c>
      <c r="AD335" s="18" t="n">
        <v>46036</v>
      </c>
      <c r="AE335" s="18" t="s">
        <v>44</v>
      </c>
    </row>
    <row r="336" customFormat="false" ht="15.75" hidden="false" customHeight="true" outlineLevel="0" collapsed="false">
      <c r="A336" s="12" t="n">
        <v>1947</v>
      </c>
      <c r="B336" s="13" t="s">
        <v>1524</v>
      </c>
      <c r="C336" s="14" t="n">
        <v>44005</v>
      </c>
      <c r="D336" s="13" t="s">
        <v>101</v>
      </c>
      <c r="E336" s="15" t="s">
        <v>102</v>
      </c>
      <c r="F336" s="15" t="str">
        <f aca="false">IFERROR(__xludf.dummyfunction("XLOOKUP(AJ336,IMPORTRANGE(""1XaInW9DU9nz21V0tYIfzFQ0He9kVQ_JF2mCXgZ3hqFA"",""REKAP ALL 2026 - Andika!G:G""),IMPORTRANGE(""1XaInW9DU9nz21V0tYIfzFQ0He9kVQ_JF2mCXgZ3hqFA"",""REKAP ALL 2026 - Andika!F:F""),"""",0)"),"20056450404")</f>
        <v>20056450404</v>
      </c>
      <c r="G336" s="13" t="s">
        <v>1525</v>
      </c>
      <c r="H336" s="13" t="s">
        <v>35</v>
      </c>
      <c r="I336" s="13" t="str">
        <f aca="false">IF(C336=J336,"NEW KONTRAK","RE-KONTRAK")</f>
        <v>RE-KONTRAK</v>
      </c>
      <c r="J336" s="16" t="n">
        <f aca="false" t="array" ref="J336:J336">IFERROR(INDEX(AC336:AE336,IF(COUNTA(AC336:AE336)=0,"",MAX((AC336:AE336&lt;&gt;"")*(COLUMN(AC336:AE336)-(COLUMN(AC336)))))-1),"")</f>
        <v>45672</v>
      </c>
      <c r="K336" s="16" t="n">
        <f aca="false" t="array" ref="K336:K336">IFERROR(INDEX(AC336:AE336,IF(COUNTA(AC336:AE336)=0,"",MAX((AC336:AE336&lt;&gt;"")*(COLUMN(AC336:AE336)-(COLUMN(AC336)-1))))-1),"")</f>
        <v>46036</v>
      </c>
      <c r="L336" s="17" t="str">
        <f aca="false" t="array" ref="L336:L336">IFERROR(INDEX(AC336:AE336,IF(COUNTA(AC336:AE336)=0,"",MAX((AC336:AE336&lt;&gt;"")*(COLUMN(AC336:AE336)-(COLUMN(AC336)-2))))-1),"")</f>
        <v>ARCHIVED</v>
      </c>
      <c r="M336" s="13" t="n">
        <f aca="true">K336-TODAY()</f>
        <v>-288</v>
      </c>
      <c r="N336" s="18" t="s">
        <v>105</v>
      </c>
      <c r="O336" s="13" t="s">
        <v>106</v>
      </c>
      <c r="P336" s="19" t="n">
        <v>132300</v>
      </c>
      <c r="Q336" s="20" t="s">
        <v>1526</v>
      </c>
      <c r="R336" s="13" t="s">
        <v>39</v>
      </c>
      <c r="S336" s="25" t="n">
        <v>35741</v>
      </c>
      <c r="T336" s="13" t="s">
        <v>40</v>
      </c>
      <c r="U336" s="13" t="s">
        <v>1527</v>
      </c>
      <c r="V336" s="13" t="s">
        <v>42</v>
      </c>
      <c r="W336" s="13" t="s">
        <v>43</v>
      </c>
      <c r="X336" s="21" t="n">
        <v>89695615697</v>
      </c>
      <c r="Y336" s="22" t="str">
        <f aca="false">O336</f>
        <v>Produksi - Helper</v>
      </c>
      <c r="Z336" s="13" t="str">
        <f aca="false">IFERROR(__xludf.dummyfunction("if(BJ336="""","""",GOOGLETRANSLATE(BJ336,""auto"",""en""))"),"Production - Helper")</f>
        <v>Production - Helper</v>
      </c>
      <c r="AA336" s="23" t="str">
        <f aca="false">IF(C336="","", CHOOSE(MONTH(C336),"January","February","March","April","May","June","July","August","September","October","November","December")&amp;" "&amp;DAY(C336)&amp;MID("thstndrdth",MIN(9,2*RIGHT(DAY(C336))*(MOD(DAY(C336)-11,100)&gt;2)+1),2)&amp;","&amp;TEXT(C336," yyyy"))</f>
        <v>June 23rd,2020</v>
      </c>
      <c r="AB336" s="15" t="str">
        <f aca="true">IF(S336="","",DATEDIF(S336,TODAY(),"Y")&amp;" Tahun, "&amp;DATEDIF(S336,TODAY(),"YM")&amp;" Bulan, "&amp;DATEDIF(S336,TODAY(),"MD")&amp;" Hari")</f>
        <v>28 Tahun, 11 Bulan, 22 Hari</v>
      </c>
      <c r="AC336" s="18" t="n">
        <v>45672</v>
      </c>
      <c r="AD336" s="18" t="n">
        <v>46036</v>
      </c>
      <c r="AE336" s="18" t="s">
        <v>44</v>
      </c>
    </row>
    <row r="337" customFormat="false" ht="15.75" hidden="false" customHeight="true" outlineLevel="0" collapsed="false">
      <c r="A337" s="12" t="n">
        <v>1951</v>
      </c>
      <c r="B337" s="13" t="s">
        <v>1528</v>
      </c>
      <c r="C337" s="14" t="n">
        <v>43845</v>
      </c>
      <c r="D337" s="13" t="s">
        <v>101</v>
      </c>
      <c r="E337" s="15" t="s">
        <v>33</v>
      </c>
      <c r="F337" s="24" t="s">
        <v>1529</v>
      </c>
      <c r="G337" s="13" t="s">
        <v>1530</v>
      </c>
      <c r="H337" s="13" t="s">
        <v>35</v>
      </c>
      <c r="I337" s="13" t="str">
        <f aca="false">IF(C337=J337,"NEW KONTRAK","RE-KONTRAK")</f>
        <v>RE-KONTRAK</v>
      </c>
      <c r="J337" s="16" t="n">
        <f aca="false" t="array" ref="J337:J337">IFERROR(INDEX(AC337:AE337,IF(COUNTA(AC337:AE337)=0,"",MAX((AC337:AE337&lt;&gt;"")*(COLUMN(AC337:AE337)-(COLUMN(AC337)))))-1),"")</f>
        <v>45672</v>
      </c>
      <c r="K337" s="16" t="n">
        <f aca="false" t="array" ref="K337:K337">IFERROR(INDEX(AC337:AE337,IF(COUNTA(AC337:AE337)=0,"",MAX((AC337:AE337&lt;&gt;"")*(COLUMN(AC337:AE337)-(COLUMN(AC337)-1))))-1),"")</f>
        <v>46036</v>
      </c>
      <c r="L337" s="17" t="str">
        <f aca="false" t="array" ref="L337:L337">IFERROR(INDEX(AC337:AE337,IF(COUNTA(AC337:AE337)=0,"",MAX((AC337:AE337&lt;&gt;"")*(COLUMN(AC337:AE337)-(COLUMN(AC337)-2))))-1),"")</f>
        <v>ARCHIVED</v>
      </c>
      <c r="M337" s="13" t="n">
        <f aca="true">K337-TODAY()</f>
        <v>-288</v>
      </c>
      <c r="N337" s="18" t="s">
        <v>105</v>
      </c>
      <c r="O337" s="13" t="s">
        <v>1531</v>
      </c>
      <c r="P337" s="19" t="n">
        <v>126000</v>
      </c>
      <c r="Q337" s="20" t="s">
        <v>1532</v>
      </c>
      <c r="R337" s="13" t="s">
        <v>39</v>
      </c>
      <c r="S337" s="25" t="n">
        <v>34995</v>
      </c>
      <c r="T337" s="13" t="s">
        <v>108</v>
      </c>
      <c r="U337" s="13" t="s">
        <v>1533</v>
      </c>
      <c r="V337" s="13" t="s">
        <v>42</v>
      </c>
      <c r="W337" s="13" t="s">
        <v>54</v>
      </c>
      <c r="X337" s="21" t="n">
        <v>895330645200</v>
      </c>
      <c r="Y337" s="22" t="str">
        <f aca="false">O337</f>
        <v>Packer</v>
      </c>
      <c r="Z337" s="13" t="str">
        <f aca="false">IFERROR(__xludf.dummyfunction("if(BJ337="""","""",GOOGLETRANSLATE(BJ337,""auto"",""en""))"),"Packer")</f>
        <v>Packer</v>
      </c>
      <c r="AA337" s="23" t="str">
        <f aca="false">IF(C337="","", CHOOSE(MONTH(C337),"January","February","March","April","May","June","July","August","September","October","November","December")&amp;" "&amp;DAY(C337)&amp;MID("thstndrdth",MIN(9,2*RIGHT(DAY(C337))*(MOD(DAY(C337)-11,100)&gt;2)+1),2)&amp;","&amp;TEXT(C337," yyyy"))</f>
        <v>January 15th,2020</v>
      </c>
      <c r="AB337" s="15" t="str">
        <f aca="true">IF(S337="","",DATEDIF(S337,TODAY(),"Y")&amp;" Tahun, "&amp;DATEDIF(S337,TODAY(),"YM")&amp;" Bulan, "&amp;DATEDIF(S337,TODAY(),"MD")&amp;" Hari")</f>
        <v>31 Tahun, 0 Bulan, 6 Hari</v>
      </c>
      <c r="AC337" s="18" t="n">
        <v>45672</v>
      </c>
      <c r="AD337" s="18" t="n">
        <v>46036</v>
      </c>
      <c r="AE337" s="18" t="s">
        <v>44</v>
      </c>
    </row>
    <row r="338" customFormat="false" ht="15.75" hidden="false" customHeight="true" outlineLevel="0" collapsed="false">
      <c r="A338" s="12" t="n">
        <v>1960</v>
      </c>
      <c r="B338" s="13" t="s">
        <v>1534</v>
      </c>
      <c r="C338" s="14" t="n">
        <v>43845</v>
      </c>
      <c r="D338" s="13" t="s">
        <v>101</v>
      </c>
      <c r="E338" s="15" t="s">
        <v>102</v>
      </c>
      <c r="F338" s="15" t="str">
        <f aca="false">IFERROR(__xludf.dummyfunction("XLOOKUP(AJ338,IMPORTRANGE(""1XaInW9DU9nz21V0tYIfzFQ0He9kVQ_JF2mCXgZ3hqFA"",""REKAP ALL 2026 - Andika!G:G""),IMPORTRANGE(""1XaInW9DU9nz21V0tYIfzFQ0He9kVQ_JF2mCXgZ3hqFA"",""REKAP ALL 2026 - Andika!F:F""),"""",0)"),"20021316458")</f>
        <v>20021316458</v>
      </c>
      <c r="G338" s="13" t="s">
        <v>1535</v>
      </c>
      <c r="H338" s="13" t="s">
        <v>35</v>
      </c>
      <c r="I338" s="13" t="str">
        <f aca="false">IF(C338=J338,"NEW KONTRAK","RE-KONTRAK")</f>
        <v>RE-KONTRAK</v>
      </c>
      <c r="J338" s="16" t="n">
        <f aca="false" t="array" ref="J338:J338">IFERROR(INDEX(AC338:AE338,IF(COUNTA(AC338:AE338)=0,"",MAX((AC338:AE338&lt;&gt;"")*(COLUMN(AC338:AE338)-(COLUMN(AC338)))))-1),"")</f>
        <v>45672</v>
      </c>
      <c r="K338" s="16" t="n">
        <f aca="false" t="array" ref="K338:K338">IFERROR(INDEX(AC338:AE338,IF(COUNTA(AC338:AE338)=0,"",MAX((AC338:AE338&lt;&gt;"")*(COLUMN(AC338:AE338)-(COLUMN(AC338)-1))))-1),"")</f>
        <v>46036</v>
      </c>
      <c r="L338" s="17" t="str">
        <f aca="false" t="array" ref="L338:L338">IFERROR(INDEX(AC338:AE338,IF(COUNTA(AC338:AE338)=0,"",MAX((AC338:AE338&lt;&gt;"")*(COLUMN(AC338:AE338)-(COLUMN(AC338)-2))))-1),"")</f>
        <v>ARCHIVED</v>
      </c>
      <c r="M338" s="13" t="n">
        <f aca="true">K338-TODAY()</f>
        <v>-288</v>
      </c>
      <c r="N338" s="18" t="s">
        <v>105</v>
      </c>
      <c r="O338" s="13" t="s">
        <v>106</v>
      </c>
      <c r="P338" s="19" t="n">
        <v>132300</v>
      </c>
      <c r="Q338" s="20" t="s">
        <v>1536</v>
      </c>
      <c r="R338" s="13" t="s">
        <v>39</v>
      </c>
      <c r="S338" s="25" t="n">
        <v>35955</v>
      </c>
      <c r="T338" s="13" t="s">
        <v>108</v>
      </c>
      <c r="U338" s="13" t="s">
        <v>1537</v>
      </c>
      <c r="V338" s="13" t="s">
        <v>42</v>
      </c>
      <c r="W338" s="13" t="s">
        <v>43</v>
      </c>
      <c r="X338" s="21" t="n">
        <v>81932123636</v>
      </c>
      <c r="Y338" s="22" t="str">
        <f aca="false">O338</f>
        <v>Produksi - Helper</v>
      </c>
      <c r="Z338" s="13" t="str">
        <f aca="false">IFERROR(__xludf.dummyfunction("if(BJ338="""","""",GOOGLETRANSLATE(BJ338,""auto"",""en""))"),"Production - Helper")</f>
        <v>Production - Helper</v>
      </c>
      <c r="AA338" s="23" t="str">
        <f aca="false">IF(C338="","", CHOOSE(MONTH(C338),"January","February","March","April","May","June","July","August","September","October","November","December")&amp;" "&amp;DAY(C338)&amp;MID("thstndrdth",MIN(9,2*RIGHT(DAY(C338))*(MOD(DAY(C338)-11,100)&gt;2)+1),2)&amp;","&amp;TEXT(C338," yyyy"))</f>
        <v>January 15th,2020</v>
      </c>
      <c r="AB338" s="15" t="str">
        <f aca="true">IF(S338="","",DATEDIF(S338,TODAY(),"Y")&amp;" Tahun, "&amp;DATEDIF(S338,TODAY(),"YM")&amp;" Bulan, "&amp;DATEDIF(S338,TODAY(),"MD")&amp;" Hari")</f>
        <v>28 Tahun, 4 Bulan, 20 Hari</v>
      </c>
      <c r="AC338" s="18" t="n">
        <v>45672</v>
      </c>
      <c r="AD338" s="18" t="n">
        <v>46036</v>
      </c>
      <c r="AE338" s="18" t="s">
        <v>44</v>
      </c>
    </row>
    <row r="339" customFormat="false" ht="15.75" hidden="false" customHeight="true" outlineLevel="0" collapsed="false">
      <c r="A339" s="12" t="n">
        <v>3211</v>
      </c>
      <c r="B339" s="13" t="s">
        <v>1538</v>
      </c>
      <c r="C339" s="14" t="n">
        <v>44441</v>
      </c>
      <c r="D339" s="13" t="s">
        <v>101</v>
      </c>
      <c r="E339" s="15" t="s">
        <v>47</v>
      </c>
      <c r="F339" s="15" t="str">
        <f aca="false">IFERROR(__xludf.dummyfunction("XLOOKUP(AJ339,IMPORTRANGE(""1XaInW9DU9nz21V0tYIfzFQ0He9kVQ_JF2mCXgZ3hqFA"",""REKAP ALL 2026 - Andika!G:G""),IMPORTRANGE(""1XaInW9DU9nz21V0tYIfzFQ0He9kVQ_JF2mCXgZ3hqFA"",""REKAP ALL 2026 - Andika!F:F""),"""",0)"),"21082691763")</f>
        <v>21082691763</v>
      </c>
      <c r="G339" s="13" t="s">
        <v>1539</v>
      </c>
      <c r="H339" s="13" t="s">
        <v>35</v>
      </c>
      <c r="I339" s="13" t="str">
        <f aca="false">IF(C339=J339,"NEW KONTRAK","RE-KONTRAK")</f>
        <v>RE-KONTRAK</v>
      </c>
      <c r="J339" s="16" t="n">
        <f aca="false" t="array" ref="J339:J339">IFERROR(INDEX(AC339:AE339,IF(COUNTA(AC339:AE339)=0,"",MAX((AC339:AE339&lt;&gt;"")*(COLUMN(AC339:AE339)-(COLUMN(AC339)))))-1),"")</f>
        <v>45672</v>
      </c>
      <c r="K339" s="16" t="n">
        <f aca="false" t="array" ref="K339:K339">IFERROR(INDEX(AC339:AE339,IF(COUNTA(AC339:AE339)=0,"",MAX((AC339:AE339&lt;&gt;"")*(COLUMN(AC339:AE339)-(COLUMN(AC339)-1))))-1),"")</f>
        <v>46036</v>
      </c>
      <c r="L339" s="17" t="str">
        <f aca="false" t="array" ref="L339:L339">IFERROR(INDEX(AC339:AE339,IF(COUNTA(AC339:AE339)=0,"",MAX((AC339:AE339&lt;&gt;"")*(COLUMN(AC339:AE339)-(COLUMN(AC339)-2))))-1),"")</f>
        <v>ARCHIVED</v>
      </c>
      <c r="M339" s="13" t="n">
        <f aca="true">K339-TODAY()</f>
        <v>-288</v>
      </c>
      <c r="N339" s="18" t="s">
        <v>105</v>
      </c>
      <c r="O339" s="13" t="s">
        <v>106</v>
      </c>
      <c r="P339" s="31" t="n">
        <v>138915</v>
      </c>
      <c r="Q339" s="20" t="s">
        <v>1540</v>
      </c>
      <c r="R339" s="13" t="s">
        <v>52</v>
      </c>
      <c r="S339" s="25" t="n">
        <v>37120</v>
      </c>
      <c r="T339" s="13" t="s">
        <v>40</v>
      </c>
      <c r="U339" s="13" t="s">
        <v>1541</v>
      </c>
      <c r="V339" s="13" t="s">
        <v>42</v>
      </c>
      <c r="W339" s="13" t="s">
        <v>43</v>
      </c>
      <c r="X339" s="21" t="n">
        <v>88989700898</v>
      </c>
      <c r="Y339" s="22" t="str">
        <f aca="false">O339</f>
        <v>Produksi - Helper</v>
      </c>
      <c r="Z339" s="13" t="str">
        <f aca="false">IFERROR(__xludf.dummyfunction("if(BJ339="""","""",GOOGLETRANSLATE(BJ339,""auto"",""en""))"),"Production - Helper")</f>
        <v>Production - Helper</v>
      </c>
      <c r="AA339" s="23" t="str">
        <f aca="false">IF(C339="","", CHOOSE(MONTH(C339),"January","February","March","April","May","June","July","August","September","October","November","December")&amp;" "&amp;DAY(C339)&amp;MID("thstndrdth",MIN(9,2*RIGHT(DAY(C339))*(MOD(DAY(C339)-11,100)&gt;2)+1),2)&amp;","&amp;TEXT(C339," yyyy"))</f>
        <v>September 2nd,2021</v>
      </c>
      <c r="AB339" s="15" t="str">
        <f aca="true">IF(S339="","",DATEDIF(S339,TODAY(),"Y")&amp;" Tahun, "&amp;DATEDIF(S339,TODAY(),"YM")&amp;" Bulan, "&amp;DATEDIF(S339,TODAY(),"MD")&amp;" Hari")</f>
        <v>25 Tahun, 2 Bulan, 12 Hari</v>
      </c>
      <c r="AC339" s="18" t="n">
        <v>45672</v>
      </c>
      <c r="AD339" s="18" t="n">
        <v>46036</v>
      </c>
      <c r="AE339" s="18" t="s">
        <v>44</v>
      </c>
    </row>
    <row r="340" customFormat="false" ht="15.75" hidden="false" customHeight="true" outlineLevel="0" collapsed="false">
      <c r="A340" s="12" t="n">
        <v>1966</v>
      </c>
      <c r="B340" s="13" t="s">
        <v>1542</v>
      </c>
      <c r="C340" s="14" t="n">
        <v>43845</v>
      </c>
      <c r="D340" s="13" t="s">
        <v>101</v>
      </c>
      <c r="E340" s="15" t="s">
        <v>102</v>
      </c>
      <c r="F340" s="15" t="str">
        <f aca="false">IFERROR(__xludf.dummyfunction("XLOOKUP(AJ340,IMPORTRANGE(""1XaInW9DU9nz21V0tYIfzFQ0He9kVQ_JF2mCXgZ3hqFA"",""REKAP ALL 2026 - Andika!G:G""),IMPORTRANGE(""1XaInW9DU9nz21V0tYIfzFQ0He9kVQ_JF2mCXgZ3hqFA"",""REKAP ALL 2026 - Andika!F:F""),"""",0)"),"20021316599")</f>
        <v>20021316599</v>
      </c>
      <c r="G340" s="13" t="s">
        <v>1543</v>
      </c>
      <c r="H340" s="13" t="s">
        <v>35</v>
      </c>
      <c r="I340" s="13" t="str">
        <f aca="false">IF(C340=J340,"NEW KONTRAK","RE-KONTRAK")</f>
        <v>RE-KONTRAK</v>
      </c>
      <c r="J340" s="16" t="n">
        <f aca="false" t="array" ref="J340:J340">IFERROR(INDEX(AC340:AE340,IF(COUNTA(AC340:AE340)=0,"",MAX((AC340:AE340&lt;&gt;"")*(COLUMN(AC340:AE340)-(COLUMN(AC340)))))-1),"")</f>
        <v>45672</v>
      </c>
      <c r="K340" s="16" t="n">
        <f aca="false" t="array" ref="K340:K340">IFERROR(INDEX(AC340:AE340,IF(COUNTA(AC340:AE340)=0,"",MAX((AC340:AE340&lt;&gt;"")*(COLUMN(AC340:AE340)-(COLUMN(AC340)-1))))-1),"")</f>
        <v>46036</v>
      </c>
      <c r="L340" s="17" t="str">
        <f aca="false" t="array" ref="L340:L340">IFERROR(INDEX(AC340:AE340,IF(COUNTA(AC340:AE340)=0,"",MAX((AC340:AE340&lt;&gt;"")*(COLUMN(AC340:AE340)-(COLUMN(AC340)-2))))-1),"")</f>
        <v>ARCHIVED</v>
      </c>
      <c r="M340" s="13" t="n">
        <f aca="true">K340-TODAY()</f>
        <v>-288</v>
      </c>
      <c r="N340" s="18" t="s">
        <v>105</v>
      </c>
      <c r="O340" s="13" t="s">
        <v>106</v>
      </c>
      <c r="P340" s="19" t="n">
        <v>132300</v>
      </c>
      <c r="Q340" s="20" t="s">
        <v>1544</v>
      </c>
      <c r="R340" s="13" t="s">
        <v>735</v>
      </c>
      <c r="S340" s="25" t="n">
        <v>34991</v>
      </c>
      <c r="T340" s="13" t="s">
        <v>108</v>
      </c>
      <c r="U340" s="13" t="s">
        <v>1545</v>
      </c>
      <c r="V340" s="13" t="s">
        <v>42</v>
      </c>
      <c r="W340" s="13" t="s">
        <v>54</v>
      </c>
      <c r="X340" s="21" t="n">
        <v>85755358981</v>
      </c>
      <c r="Y340" s="22" t="str">
        <f aca="false">O340</f>
        <v>Produksi - Helper</v>
      </c>
      <c r="Z340" s="13" t="str">
        <f aca="false">IFERROR(__xludf.dummyfunction("if(BJ340="""","""",GOOGLETRANSLATE(BJ340,""auto"",""en""))"),"Production - Helper")</f>
        <v>Production - Helper</v>
      </c>
      <c r="AA340" s="23" t="str">
        <f aca="false">IF(C340="","", CHOOSE(MONTH(C340),"January","February","March","April","May","June","July","August","September","October","November","December")&amp;" "&amp;DAY(C340)&amp;MID("thstndrdth",MIN(9,2*RIGHT(DAY(C340))*(MOD(DAY(C340)-11,100)&gt;2)+1),2)&amp;","&amp;TEXT(C340," yyyy"))</f>
        <v>January 15th,2020</v>
      </c>
      <c r="AB340" s="15" t="str">
        <f aca="true">IF(S340="","",DATEDIF(S340,TODAY(),"Y")&amp;" Tahun, "&amp;DATEDIF(S340,TODAY(),"YM")&amp;" Bulan, "&amp;DATEDIF(S340,TODAY(),"MD")&amp;" Hari")</f>
        <v>31 Tahun, 0 Bulan, 10 Hari</v>
      </c>
      <c r="AC340" s="18" t="n">
        <v>45672</v>
      </c>
      <c r="AD340" s="18" t="n">
        <v>46036</v>
      </c>
      <c r="AE340" s="18" t="s">
        <v>44</v>
      </c>
    </row>
    <row r="341" customFormat="false" ht="15.75" hidden="false" customHeight="true" outlineLevel="0" collapsed="false">
      <c r="A341" s="12" t="n">
        <v>1967</v>
      </c>
      <c r="B341" s="13" t="s">
        <v>1546</v>
      </c>
      <c r="C341" s="14" t="n">
        <v>44005</v>
      </c>
      <c r="D341" s="13" t="s">
        <v>101</v>
      </c>
      <c r="E341" s="15" t="s">
        <v>102</v>
      </c>
      <c r="F341" s="15" t="str">
        <f aca="false">IFERROR(__xludf.dummyfunction("XLOOKUP(AJ341,IMPORTRANGE(""1XaInW9DU9nz21V0tYIfzFQ0He9kVQ_JF2mCXgZ3hqFA"",""REKAP ALL 2026 - Andika!G:G""),IMPORTRANGE(""1XaInW9DU9nz21V0tYIfzFQ0He9kVQ_JF2mCXgZ3hqFA"",""REKAP ALL 2026 - Andika!F:F""),"""",0)"),"19008759581")</f>
        <v>19008759581</v>
      </c>
      <c r="G341" s="13" t="s">
        <v>1547</v>
      </c>
      <c r="H341" s="13" t="s">
        <v>35</v>
      </c>
      <c r="I341" s="13" t="str">
        <f aca="false">IF(C341=J341,"NEW KONTRAK","RE-KONTRAK")</f>
        <v>RE-KONTRAK</v>
      </c>
      <c r="J341" s="16" t="n">
        <f aca="false" t="array" ref="J341:J341">IFERROR(INDEX(AC341:AE341,IF(COUNTA(AC341:AE341)=0,"",MAX((AC341:AE341&lt;&gt;"")*(COLUMN(AC341:AE341)-(COLUMN(AC341)))))-1),"")</f>
        <v>45672</v>
      </c>
      <c r="K341" s="16" t="n">
        <f aca="false" t="array" ref="K341:K341">IFERROR(INDEX(AC341:AE341,IF(COUNTA(AC341:AE341)=0,"",MAX((AC341:AE341&lt;&gt;"")*(COLUMN(AC341:AE341)-(COLUMN(AC341)-1))))-1),"")</f>
        <v>46036</v>
      </c>
      <c r="L341" s="17" t="str">
        <f aca="false" t="array" ref="L341:L341">IFERROR(INDEX(AC341:AE341,IF(COUNTA(AC341:AE341)=0,"",MAX((AC341:AE341&lt;&gt;"")*(COLUMN(AC341:AE341)-(COLUMN(AC341)-2))))-1),"")</f>
        <v>ARCHIVED</v>
      </c>
      <c r="M341" s="13" t="n">
        <f aca="true">K341-TODAY()</f>
        <v>-288</v>
      </c>
      <c r="N341" s="18" t="s">
        <v>105</v>
      </c>
      <c r="O341" s="13" t="s">
        <v>106</v>
      </c>
      <c r="P341" s="19" t="n">
        <v>132300</v>
      </c>
      <c r="Q341" s="20" t="s">
        <v>1548</v>
      </c>
      <c r="R341" s="13" t="s">
        <v>39</v>
      </c>
      <c r="S341" s="25" t="n">
        <v>36299</v>
      </c>
      <c r="T341" s="13" t="s">
        <v>108</v>
      </c>
      <c r="U341" s="13" t="s">
        <v>1549</v>
      </c>
      <c r="V341" s="13" t="s">
        <v>42</v>
      </c>
      <c r="W341" s="13" t="s">
        <v>43</v>
      </c>
      <c r="X341" s="21" t="n">
        <v>89677886230</v>
      </c>
      <c r="Y341" s="22" t="str">
        <f aca="false">O341</f>
        <v>Produksi - Helper</v>
      </c>
      <c r="Z341" s="13" t="str">
        <f aca="false">IFERROR(__xludf.dummyfunction("if(BJ341="""","""",GOOGLETRANSLATE(BJ341,""auto"",""en""))"),"Production - Helper")</f>
        <v>Production - Helper</v>
      </c>
      <c r="AA341" s="23" t="str">
        <f aca="false">IF(C341="","", CHOOSE(MONTH(C341),"January","February","March","April","May","June","July","August","September","October","November","December")&amp;" "&amp;DAY(C341)&amp;MID("thstndrdth",MIN(9,2*RIGHT(DAY(C341))*(MOD(DAY(C341)-11,100)&gt;2)+1),2)&amp;","&amp;TEXT(C341," yyyy"))</f>
        <v>June 23rd,2020</v>
      </c>
      <c r="AB341" s="15" t="str">
        <f aca="true">IF(S341="","",DATEDIF(S341,TODAY(),"Y")&amp;" Tahun, "&amp;DATEDIF(S341,TODAY(),"YM")&amp;" Bulan, "&amp;DATEDIF(S341,TODAY(),"MD")&amp;" Hari")</f>
        <v>27 Tahun, 5 Bulan, 10 Hari</v>
      </c>
      <c r="AC341" s="18" t="n">
        <v>45672</v>
      </c>
      <c r="AD341" s="18" t="n">
        <v>46036</v>
      </c>
      <c r="AE341" s="18" t="s">
        <v>44</v>
      </c>
    </row>
    <row r="342" customFormat="false" ht="15.75" hidden="false" customHeight="true" outlineLevel="0" collapsed="false">
      <c r="A342" s="12" t="n">
        <v>1972</v>
      </c>
      <c r="B342" s="13" t="s">
        <v>1550</v>
      </c>
      <c r="C342" s="14" t="n">
        <v>43994</v>
      </c>
      <c r="D342" s="13" t="s">
        <v>101</v>
      </c>
      <c r="E342" s="15" t="s">
        <v>102</v>
      </c>
      <c r="F342" s="15" t="str">
        <f aca="false">IFERROR(__xludf.dummyfunction("XLOOKUP(AJ342,IMPORTRANGE(""1XaInW9DU9nz21V0tYIfzFQ0He9kVQ_JF2mCXgZ3hqFA"",""REKAP ALL 2026 - Andika!G:G""),IMPORTRANGE(""1XaInW9DU9nz21V0tYIfzFQ0He9kVQ_JF2mCXgZ3hqFA"",""REKAP ALL 2026 - Andika!F:F""),"""",0)"),"20043782117")</f>
        <v>20043782117</v>
      </c>
      <c r="G342" s="13" t="s">
        <v>1551</v>
      </c>
      <c r="H342" s="13" t="s">
        <v>35</v>
      </c>
      <c r="I342" s="13" t="str">
        <f aca="false">IF(C342=J342,"NEW KONTRAK","RE-KONTRAK")</f>
        <v>RE-KONTRAK</v>
      </c>
      <c r="J342" s="16" t="n">
        <f aca="false" t="array" ref="J342:J342">IFERROR(INDEX(AC342:AE342,IF(COUNTA(AC342:AE342)=0,"",MAX((AC342:AE342&lt;&gt;"")*(COLUMN(AC342:AE342)-(COLUMN(AC342)))))-1),"")</f>
        <v>45672</v>
      </c>
      <c r="K342" s="16" t="n">
        <f aca="false" t="array" ref="K342:K342">IFERROR(INDEX(AC342:AE342,IF(COUNTA(AC342:AE342)=0,"",MAX((AC342:AE342&lt;&gt;"")*(COLUMN(AC342:AE342)-(COLUMN(AC342)-1))))-1),"")</f>
        <v>46036</v>
      </c>
      <c r="L342" s="17" t="str">
        <f aca="false" t="array" ref="L342:L342">IFERROR(INDEX(AC342:AE342,IF(COUNTA(AC342:AE342)=0,"",MAX((AC342:AE342&lt;&gt;"")*(COLUMN(AC342:AE342)-(COLUMN(AC342)-2))))-1),"")</f>
        <v>ARCHIVED</v>
      </c>
      <c r="M342" s="13" t="n">
        <f aca="true">K342-TODAY()</f>
        <v>-288</v>
      </c>
      <c r="N342" s="18" t="s">
        <v>105</v>
      </c>
      <c r="O342" s="13" t="s">
        <v>106</v>
      </c>
      <c r="P342" s="19" t="n">
        <v>132300</v>
      </c>
      <c r="Q342" s="20" t="s">
        <v>1552</v>
      </c>
      <c r="R342" s="13" t="s">
        <v>39</v>
      </c>
      <c r="S342" s="25" t="n">
        <v>36690</v>
      </c>
      <c r="T342" s="13" t="s">
        <v>40</v>
      </c>
      <c r="U342" s="13" t="s">
        <v>1553</v>
      </c>
      <c r="V342" s="13" t="s">
        <v>42</v>
      </c>
      <c r="W342" s="13" t="s">
        <v>43</v>
      </c>
      <c r="X342" s="21" t="n">
        <v>87863302703</v>
      </c>
      <c r="Y342" s="22" t="str">
        <f aca="false">O342</f>
        <v>Produksi - Helper</v>
      </c>
      <c r="Z342" s="13" t="str">
        <f aca="false">IFERROR(__xludf.dummyfunction("if(BJ342="""","""",GOOGLETRANSLATE(BJ342,""auto"",""en""))"),"Production - Helper")</f>
        <v>Production - Helper</v>
      </c>
      <c r="AA342" s="23" t="str">
        <f aca="false">IF(C342="","", CHOOSE(MONTH(C342),"January","February","March","April","May","June","July","August","September","October","November","December")&amp;" "&amp;DAY(C342)&amp;MID("thstndrdth",MIN(9,2*RIGHT(DAY(C342))*(MOD(DAY(C342)-11,100)&gt;2)+1),2)&amp;","&amp;TEXT(C342," yyyy"))</f>
        <v>June 12th,2020</v>
      </c>
      <c r="AB342" s="15" t="str">
        <f aca="true">IF(S342="","",DATEDIF(S342,TODAY(),"Y")&amp;" Tahun, "&amp;DATEDIF(S342,TODAY(),"YM")&amp;" Bulan, "&amp;DATEDIF(S342,TODAY(),"MD")&amp;" Hari")</f>
        <v>26 Tahun, 4 Bulan, 16 Hari</v>
      </c>
      <c r="AC342" s="18" t="n">
        <v>45672</v>
      </c>
      <c r="AD342" s="18" t="n">
        <v>46036</v>
      </c>
      <c r="AE342" s="18" t="s">
        <v>44</v>
      </c>
    </row>
    <row r="343" customFormat="false" ht="15.75" hidden="false" customHeight="true" outlineLevel="0" collapsed="false">
      <c r="A343" s="12" t="n">
        <v>3212</v>
      </c>
      <c r="B343" s="13" t="s">
        <v>1554</v>
      </c>
      <c r="C343" s="14" t="n">
        <v>44441</v>
      </c>
      <c r="D343" s="13" t="s">
        <v>101</v>
      </c>
      <c r="E343" s="15" t="s">
        <v>47</v>
      </c>
      <c r="F343" s="15" t="str">
        <f aca="false">IFERROR(__xludf.dummyfunction("XLOOKUP(AJ343,IMPORTRANGE(""1XaInW9DU9nz21V0tYIfzFQ0He9kVQ_JF2mCXgZ3hqFA"",""REKAP ALL 2026 - Andika!G:G""),IMPORTRANGE(""1XaInW9DU9nz21V0tYIfzFQ0He9kVQ_JF2mCXgZ3hqFA"",""REKAP ALL 2026 - Andika!F:F""),"""",0)"),"21082691680")</f>
        <v>21082691680</v>
      </c>
      <c r="G343" s="13" t="s">
        <v>1555</v>
      </c>
      <c r="H343" s="13" t="s">
        <v>35</v>
      </c>
      <c r="I343" s="13" t="str">
        <f aca="false">IF(C343=J343,"NEW KONTRAK","RE-KONTRAK")</f>
        <v>RE-KONTRAK</v>
      </c>
      <c r="J343" s="16" t="n">
        <f aca="false" t="array" ref="J343:J343">IFERROR(INDEX(AC343:AE343,IF(COUNTA(AC343:AE343)=0,"",MAX((AC343:AE343&lt;&gt;"")*(COLUMN(AC343:AE343)-(COLUMN(AC343)))))-1),"")</f>
        <v>45672</v>
      </c>
      <c r="K343" s="16" t="n">
        <f aca="false" t="array" ref="K343:K343">IFERROR(INDEX(AC343:AE343,IF(COUNTA(AC343:AE343)=0,"",MAX((AC343:AE343&lt;&gt;"")*(COLUMN(AC343:AE343)-(COLUMN(AC343)-1))))-1),"")</f>
        <v>46036</v>
      </c>
      <c r="L343" s="17" t="str">
        <f aca="false" t="array" ref="L343:L343">IFERROR(INDEX(AC343:AE343,IF(COUNTA(AC343:AE343)=0,"",MAX((AC343:AE343&lt;&gt;"")*(COLUMN(AC343:AE343)-(COLUMN(AC343)-2))))-1),"")</f>
        <v>ARCHIVED</v>
      </c>
      <c r="M343" s="13" t="n">
        <f aca="true">K343-TODAY()</f>
        <v>-288</v>
      </c>
      <c r="N343" s="18" t="s">
        <v>105</v>
      </c>
      <c r="O343" s="13" t="s">
        <v>106</v>
      </c>
      <c r="P343" s="31" t="n">
        <v>138915</v>
      </c>
      <c r="Q343" s="20" t="s">
        <v>1556</v>
      </c>
      <c r="R343" s="13" t="s">
        <v>39</v>
      </c>
      <c r="S343" s="25" t="n">
        <v>34960</v>
      </c>
      <c r="T343" s="13" t="s">
        <v>108</v>
      </c>
      <c r="U343" s="13" t="s">
        <v>1557</v>
      </c>
      <c r="V343" s="13" t="s">
        <v>42</v>
      </c>
      <c r="W343" s="13" t="s">
        <v>54</v>
      </c>
      <c r="X343" s="21" t="n">
        <v>81234132468</v>
      </c>
      <c r="Y343" s="22" t="str">
        <f aca="false">O343</f>
        <v>Produksi - Helper</v>
      </c>
      <c r="Z343" s="13" t="str">
        <f aca="false">IFERROR(__xludf.dummyfunction("if(BJ343="""","""",GOOGLETRANSLATE(BJ343,""auto"",""en""))"),"Production - Helper")</f>
        <v>Production - Helper</v>
      </c>
      <c r="AA343" s="23" t="str">
        <f aca="false">IF(C343="","", CHOOSE(MONTH(C343),"January","February","March","April","May","June","July","August","September","October","November","December")&amp;" "&amp;DAY(C343)&amp;MID("thstndrdth",MIN(9,2*RIGHT(DAY(C343))*(MOD(DAY(C343)-11,100)&gt;2)+1),2)&amp;","&amp;TEXT(C343," yyyy"))</f>
        <v>September 2nd,2021</v>
      </c>
      <c r="AB343" s="15" t="str">
        <f aca="true">IF(S343="","",DATEDIF(S343,TODAY(),"Y")&amp;" Tahun, "&amp;DATEDIF(S343,TODAY(),"YM")&amp;" Bulan, "&amp;DATEDIF(S343,TODAY(),"MD")&amp;" Hari")</f>
        <v>31 Tahun, 1 Bulan, 11 Hari</v>
      </c>
      <c r="AC343" s="18" t="n">
        <v>45672</v>
      </c>
      <c r="AD343" s="18" t="n">
        <v>46036</v>
      </c>
      <c r="AE343" s="18" t="s">
        <v>44</v>
      </c>
    </row>
    <row r="344" customFormat="false" ht="15.75" hidden="false" customHeight="true" outlineLevel="0" collapsed="false">
      <c r="A344" s="12" t="n">
        <v>1977</v>
      </c>
      <c r="B344" s="13" t="s">
        <v>1558</v>
      </c>
      <c r="C344" s="14" t="n">
        <v>43845</v>
      </c>
      <c r="D344" s="13" t="s">
        <v>101</v>
      </c>
      <c r="E344" s="15" t="s">
        <v>33</v>
      </c>
      <c r="F344" s="24" t="s">
        <v>1559</v>
      </c>
      <c r="G344" s="13" t="s">
        <v>1560</v>
      </c>
      <c r="H344" s="13" t="s">
        <v>35</v>
      </c>
      <c r="I344" s="13" t="str">
        <f aca="false">IF(C344=J344,"NEW KONTRAK","RE-KONTRAK")</f>
        <v>RE-KONTRAK</v>
      </c>
      <c r="J344" s="16" t="n">
        <f aca="false" t="array" ref="J344:J344">IFERROR(INDEX(AC344:AE344,IF(COUNTA(AC344:AE344)=0,"",MAX((AC344:AE344&lt;&gt;"")*(COLUMN(AC344:AE344)-(COLUMN(AC344)))))-1),"")</f>
        <v>45672</v>
      </c>
      <c r="K344" s="16" t="n">
        <f aca="false" t="array" ref="K344:K344">IFERROR(INDEX(AC344:AE344,IF(COUNTA(AC344:AE344)=0,"",MAX((AC344:AE344&lt;&gt;"")*(COLUMN(AC344:AE344)-(COLUMN(AC344)-1))))-1),"")</f>
        <v>46036</v>
      </c>
      <c r="L344" s="17" t="str">
        <f aca="false" t="array" ref="L344:L344">IFERROR(INDEX(AC344:AE344,IF(COUNTA(AC344:AE344)=0,"",MAX((AC344:AE344&lt;&gt;"")*(COLUMN(AC344:AE344)-(COLUMN(AC344)-2))))-1),"")</f>
        <v>ARCHIVED</v>
      </c>
      <c r="M344" s="13" t="n">
        <f aca="true">K344-TODAY()</f>
        <v>-288</v>
      </c>
      <c r="N344" s="18" t="s">
        <v>105</v>
      </c>
      <c r="O344" s="13" t="s">
        <v>58</v>
      </c>
      <c r="P344" s="19" t="n">
        <v>126000</v>
      </c>
      <c r="Q344" s="20" t="s">
        <v>1561</v>
      </c>
      <c r="R344" s="13" t="s">
        <v>39</v>
      </c>
      <c r="S344" s="25" t="n">
        <v>36413</v>
      </c>
      <c r="T344" s="13" t="s">
        <v>108</v>
      </c>
      <c r="U344" s="13" t="s">
        <v>1562</v>
      </c>
      <c r="V344" s="13" t="s">
        <v>42</v>
      </c>
      <c r="W344" s="13" t="s">
        <v>43</v>
      </c>
      <c r="X344" s="21" t="n">
        <v>85815112492</v>
      </c>
      <c r="Y344" s="22" t="str">
        <f aca="false">O344</f>
        <v>Produksi</v>
      </c>
      <c r="Z344" s="13" t="str">
        <f aca="false">IFERROR(__xludf.dummyfunction("if(BJ344="""","""",GOOGLETRANSLATE(BJ344,""auto"",""en""))"),"Production")</f>
        <v>Production</v>
      </c>
      <c r="AA344" s="23" t="str">
        <f aca="false">IF(C344="","", CHOOSE(MONTH(C344),"January","February","March","April","May","June","July","August","September","October","November","December")&amp;" "&amp;DAY(C344)&amp;MID("thstndrdth",MIN(9,2*RIGHT(DAY(C344))*(MOD(DAY(C344)-11,100)&gt;2)+1),2)&amp;","&amp;TEXT(C344," yyyy"))</f>
        <v>January 15th,2020</v>
      </c>
      <c r="AB344" s="15" t="str">
        <f aca="true">IF(S344="","",DATEDIF(S344,TODAY(),"Y")&amp;" Tahun, "&amp;DATEDIF(S344,TODAY(),"YM")&amp;" Bulan, "&amp;DATEDIF(S344,TODAY(),"MD")&amp;" Hari")</f>
        <v>27 Tahun, 1 Bulan, 19 Hari</v>
      </c>
      <c r="AC344" s="18" t="n">
        <v>45672</v>
      </c>
      <c r="AD344" s="18" t="n">
        <v>46036</v>
      </c>
      <c r="AE344" s="18" t="s">
        <v>44</v>
      </c>
    </row>
    <row r="345" customFormat="false" ht="15.75" hidden="false" customHeight="true" outlineLevel="0" collapsed="false">
      <c r="A345" s="12" t="n">
        <v>1979</v>
      </c>
      <c r="B345" s="13" t="s">
        <v>1563</v>
      </c>
      <c r="C345" s="14" t="n">
        <v>43845</v>
      </c>
      <c r="D345" s="13" t="s">
        <v>101</v>
      </c>
      <c r="E345" s="15" t="s">
        <v>102</v>
      </c>
      <c r="F345" s="15" t="str">
        <f aca="false">IFERROR(__xludf.dummyfunction("XLOOKUP(AJ345,IMPORTRANGE(""1XaInW9DU9nz21V0tYIfzFQ0He9kVQ_JF2mCXgZ3hqFA"",""REKAP ALL 2026 - Andika!G:G""),IMPORTRANGE(""1XaInW9DU9nz21V0tYIfzFQ0He9kVQ_JF2mCXgZ3hqFA"",""REKAP ALL 2026 - Andika!F:F""),"""",0)"),"20021314412")</f>
        <v>20021314412</v>
      </c>
      <c r="G345" s="13" t="s">
        <v>1564</v>
      </c>
      <c r="H345" s="13" t="s">
        <v>35</v>
      </c>
      <c r="I345" s="13" t="str">
        <f aca="false">IF(C345=J345,"NEW KONTRAK","RE-KONTRAK")</f>
        <v>RE-KONTRAK</v>
      </c>
      <c r="J345" s="16" t="n">
        <f aca="false" t="array" ref="J345:J345">IFERROR(INDEX(AC345:AE345,IF(COUNTA(AC345:AE345)=0,"",MAX((AC345:AE345&lt;&gt;"")*(COLUMN(AC345:AE345)-(COLUMN(AC345)))))-1),"")</f>
        <v>45672</v>
      </c>
      <c r="K345" s="16" t="n">
        <f aca="false" t="array" ref="K345:K345">IFERROR(INDEX(AC345:AE345,IF(COUNTA(AC345:AE345)=0,"",MAX((AC345:AE345&lt;&gt;"")*(COLUMN(AC345:AE345)-(COLUMN(AC345)-1))))-1),"")</f>
        <v>46036</v>
      </c>
      <c r="L345" s="17" t="str">
        <f aca="false" t="array" ref="L345:L345">IFERROR(INDEX(AC345:AE345,IF(COUNTA(AC345:AE345)=0,"",MAX((AC345:AE345&lt;&gt;"")*(COLUMN(AC345:AE345)-(COLUMN(AC345)-2))))-1),"")</f>
        <v>ARCHIVED</v>
      </c>
      <c r="M345" s="13" t="n">
        <f aca="true">K345-TODAY()</f>
        <v>-288</v>
      </c>
      <c r="N345" s="18" t="s">
        <v>105</v>
      </c>
      <c r="O345" s="13" t="s">
        <v>106</v>
      </c>
      <c r="P345" s="19" t="n">
        <v>132300</v>
      </c>
      <c r="Q345" s="20" t="s">
        <v>1565</v>
      </c>
      <c r="R345" s="13" t="s">
        <v>39</v>
      </c>
      <c r="S345" s="25" t="n">
        <v>36306</v>
      </c>
      <c r="T345" s="13" t="s">
        <v>40</v>
      </c>
      <c r="U345" s="13" t="s">
        <v>1566</v>
      </c>
      <c r="V345" s="13" t="s">
        <v>42</v>
      </c>
      <c r="W345" s="13" t="s">
        <v>43</v>
      </c>
      <c r="X345" s="21" t="n">
        <v>82331647674</v>
      </c>
      <c r="Y345" s="22" t="str">
        <f aca="false">O345</f>
        <v>Produksi - Helper</v>
      </c>
      <c r="Z345" s="13" t="str">
        <f aca="false">IFERROR(__xludf.dummyfunction("if(BJ345="""","""",GOOGLETRANSLATE(BJ345,""auto"",""en""))"),"Production - Helper")</f>
        <v>Production - Helper</v>
      </c>
      <c r="AA345" s="23" t="str">
        <f aca="false">IF(C345="","", CHOOSE(MONTH(C345),"January","February","March","April","May","June","July","August","September","October","November","December")&amp;" "&amp;DAY(C345)&amp;MID("thstndrdth",MIN(9,2*RIGHT(DAY(C345))*(MOD(DAY(C345)-11,100)&gt;2)+1),2)&amp;","&amp;TEXT(C345," yyyy"))</f>
        <v>January 15th,2020</v>
      </c>
      <c r="AB345" s="15" t="str">
        <f aca="true">IF(S345="","",DATEDIF(S345,TODAY(),"Y")&amp;" Tahun, "&amp;DATEDIF(S345,TODAY(),"YM")&amp;" Bulan, "&amp;DATEDIF(S345,TODAY(),"MD")&amp;" Hari")</f>
        <v>27 Tahun, 5 Bulan, 3 Hari</v>
      </c>
      <c r="AC345" s="18" t="n">
        <v>45672</v>
      </c>
      <c r="AD345" s="18" t="n">
        <v>46036</v>
      </c>
      <c r="AE345" s="18" t="s">
        <v>44</v>
      </c>
    </row>
    <row r="346" customFormat="false" ht="15.75" hidden="false" customHeight="true" outlineLevel="0" collapsed="false">
      <c r="A346" s="12" t="n">
        <v>1981</v>
      </c>
      <c r="B346" s="13" t="s">
        <v>1567</v>
      </c>
      <c r="C346" s="14" t="n">
        <v>43845</v>
      </c>
      <c r="D346" s="13" t="s">
        <v>101</v>
      </c>
      <c r="E346" s="15" t="s">
        <v>102</v>
      </c>
      <c r="F346" s="15" t="str">
        <f aca="false">IFERROR(__xludf.dummyfunction("XLOOKUP(AJ346,IMPORTRANGE(""1XaInW9DU9nz21V0tYIfzFQ0He9kVQ_JF2mCXgZ3hqFA"",""REKAP ALL 2026 - Andika!G:G""),IMPORTRANGE(""1XaInW9DU9nz21V0tYIfzFQ0He9kVQ_JF2mCXgZ3hqFA"",""REKAP ALL 2026 - Andika!F:F""),"""",0)"),"20021314917")</f>
        <v>20021314917</v>
      </c>
      <c r="G346" s="13" t="s">
        <v>1568</v>
      </c>
      <c r="H346" s="13" t="s">
        <v>35</v>
      </c>
      <c r="I346" s="13" t="str">
        <f aca="false">IF(C346=J346,"NEW KONTRAK","RE-KONTRAK")</f>
        <v>RE-KONTRAK</v>
      </c>
      <c r="J346" s="16" t="n">
        <f aca="false" t="array" ref="J346:J346">IFERROR(INDEX(AC346:AE346,IF(COUNTA(AC346:AE346)=0,"",MAX((AC346:AE346&lt;&gt;"")*(COLUMN(AC346:AE346)-(COLUMN(AC346)))))-1),"")</f>
        <v>45672</v>
      </c>
      <c r="K346" s="16" t="n">
        <f aca="false" t="array" ref="K346:K346">IFERROR(INDEX(AC346:AE346,IF(COUNTA(AC346:AE346)=0,"",MAX((AC346:AE346&lt;&gt;"")*(COLUMN(AC346:AE346)-(COLUMN(AC346)-1))))-1),"")</f>
        <v>46036</v>
      </c>
      <c r="L346" s="17" t="str">
        <f aca="false" t="array" ref="L346:L346">IFERROR(INDEX(AC346:AE346,IF(COUNTA(AC346:AE346)=0,"",MAX((AC346:AE346&lt;&gt;"")*(COLUMN(AC346:AE346)-(COLUMN(AC346)-2))))-1),"")</f>
        <v>ARCHIVED</v>
      </c>
      <c r="M346" s="13" t="n">
        <f aca="true">K346-TODAY()</f>
        <v>-288</v>
      </c>
      <c r="N346" s="18" t="s">
        <v>105</v>
      </c>
      <c r="O346" s="13" t="s">
        <v>106</v>
      </c>
      <c r="P346" s="19" t="n">
        <v>132300</v>
      </c>
      <c r="Q346" s="20" t="s">
        <v>1569</v>
      </c>
      <c r="R346" s="13" t="s">
        <v>39</v>
      </c>
      <c r="S346" s="25" t="n">
        <v>36651</v>
      </c>
      <c r="T346" s="13" t="s">
        <v>108</v>
      </c>
      <c r="U346" s="13" t="s">
        <v>1570</v>
      </c>
      <c r="V346" s="13" t="s">
        <v>42</v>
      </c>
      <c r="W346" s="13" t="s">
        <v>43</v>
      </c>
      <c r="X346" s="21" t="n">
        <v>89699863207</v>
      </c>
      <c r="Y346" s="22" t="str">
        <f aca="false">O346</f>
        <v>Produksi - Helper</v>
      </c>
      <c r="Z346" s="13" t="str">
        <f aca="false">IFERROR(__xludf.dummyfunction("if(BJ346="""","""",GOOGLETRANSLATE(BJ346,""auto"",""en""))"),"Production - Helper")</f>
        <v>Production - Helper</v>
      </c>
      <c r="AA346" s="23" t="str">
        <f aca="false">IF(C346="","", CHOOSE(MONTH(C346),"January","February","March","April","May","June","July","August","September","October","November","December")&amp;" "&amp;DAY(C346)&amp;MID("thstndrdth",MIN(9,2*RIGHT(DAY(C346))*(MOD(DAY(C346)-11,100)&gt;2)+1),2)&amp;","&amp;TEXT(C346," yyyy"))</f>
        <v>January 15th,2020</v>
      </c>
      <c r="AB346" s="15" t="str">
        <f aca="true">IF(S346="","",DATEDIF(S346,TODAY(),"Y")&amp;" Tahun, "&amp;DATEDIF(S346,TODAY(),"YM")&amp;" Bulan, "&amp;DATEDIF(S346,TODAY(),"MD")&amp;" Hari")</f>
        <v>26 Tahun, 5 Bulan, 24 Hari</v>
      </c>
      <c r="AC346" s="18" t="n">
        <v>45672</v>
      </c>
      <c r="AD346" s="18" t="n">
        <v>46036</v>
      </c>
      <c r="AE346" s="18" t="s">
        <v>44</v>
      </c>
    </row>
    <row r="347" customFormat="false" ht="15.75" hidden="false" customHeight="true" outlineLevel="0" collapsed="false">
      <c r="A347" s="12" t="n">
        <v>1989</v>
      </c>
      <c r="B347" s="13" t="s">
        <v>1571</v>
      </c>
      <c r="C347" s="14" t="n">
        <v>43845</v>
      </c>
      <c r="D347" s="13" t="s">
        <v>101</v>
      </c>
      <c r="E347" s="15" t="s">
        <v>102</v>
      </c>
      <c r="F347" s="15" t="str">
        <f aca="false">IFERROR(__xludf.dummyfunction("XLOOKUP(AJ347,IMPORTRANGE(""1XaInW9DU9nz21V0tYIfzFQ0He9kVQ_JF2mCXgZ3hqFA"",""REKAP ALL 2026 - Andika!G:G""),IMPORTRANGE(""1XaInW9DU9nz21V0tYIfzFQ0He9kVQ_JF2mCXgZ3hqFA"",""REKAP ALL 2026 - Andika!F:F""),"""",0)"),"20021313554")</f>
        <v>20021313554</v>
      </c>
      <c r="G347" s="13" t="s">
        <v>1572</v>
      </c>
      <c r="H347" s="13" t="s">
        <v>35</v>
      </c>
      <c r="I347" s="13" t="str">
        <f aca="false">IF(C347=J347,"NEW KONTRAK","RE-KONTRAK")</f>
        <v>RE-KONTRAK</v>
      </c>
      <c r="J347" s="16" t="n">
        <f aca="false" t="array" ref="J347:J347">IFERROR(INDEX(AC347:AE347,IF(COUNTA(AC347:AE347)=0,"",MAX((AC347:AE347&lt;&gt;"")*(COLUMN(AC347:AE347)-(COLUMN(AC347)))))-1),"")</f>
        <v>45672</v>
      </c>
      <c r="K347" s="16" t="n">
        <f aca="false" t="array" ref="K347:K347">IFERROR(INDEX(AC347:AE347,IF(COUNTA(AC347:AE347)=0,"",MAX((AC347:AE347&lt;&gt;"")*(COLUMN(AC347:AE347)-(COLUMN(AC347)-1))))-1),"")</f>
        <v>46036</v>
      </c>
      <c r="L347" s="17" t="str">
        <f aca="false" t="array" ref="L347:L347">IFERROR(INDEX(AC347:AE347,IF(COUNTA(AC347:AE347)=0,"",MAX((AC347:AE347&lt;&gt;"")*(COLUMN(AC347:AE347)-(COLUMN(AC347)-2))))-1),"")</f>
        <v>ARCHIVED</v>
      </c>
      <c r="M347" s="13" t="n">
        <f aca="true">K347-TODAY()</f>
        <v>-288</v>
      </c>
      <c r="N347" s="18" t="s">
        <v>105</v>
      </c>
      <c r="O347" s="13" t="s">
        <v>106</v>
      </c>
      <c r="P347" s="19" t="n">
        <v>132300</v>
      </c>
      <c r="Q347" s="20" t="s">
        <v>1573</v>
      </c>
      <c r="R347" s="13" t="s">
        <v>39</v>
      </c>
      <c r="S347" s="25" t="n">
        <v>36788</v>
      </c>
      <c r="T347" s="13" t="s">
        <v>40</v>
      </c>
      <c r="U347" s="13" t="s">
        <v>1574</v>
      </c>
      <c r="V347" s="13" t="s">
        <v>42</v>
      </c>
      <c r="W347" s="13" t="s">
        <v>43</v>
      </c>
      <c r="X347" s="21" t="n">
        <v>895411288662</v>
      </c>
      <c r="Y347" s="22" t="str">
        <f aca="false">O347</f>
        <v>Produksi - Helper</v>
      </c>
      <c r="Z347" s="13" t="str">
        <f aca="false">IFERROR(__xludf.dummyfunction("if(BJ347="""","""",GOOGLETRANSLATE(BJ347,""auto"",""en""))"),"Production - Helper")</f>
        <v>Production - Helper</v>
      </c>
      <c r="AA347" s="23" t="str">
        <f aca="false">IF(C347="","", CHOOSE(MONTH(C347),"January","February","March","April","May","June","July","August","September","October","November","December")&amp;" "&amp;DAY(C347)&amp;MID("thstndrdth",MIN(9,2*RIGHT(DAY(C347))*(MOD(DAY(C347)-11,100)&gt;2)+1),2)&amp;","&amp;TEXT(C347," yyyy"))</f>
        <v>January 15th,2020</v>
      </c>
      <c r="AB347" s="15" t="str">
        <f aca="true">IF(S347="","",DATEDIF(S347,TODAY(),"Y")&amp;" Tahun, "&amp;DATEDIF(S347,TODAY(),"YM")&amp;" Bulan, "&amp;DATEDIF(S347,TODAY(),"MD")&amp;" Hari")</f>
        <v>26 Tahun, 1 Bulan, 10 Hari</v>
      </c>
      <c r="AC347" s="18" t="n">
        <v>45672</v>
      </c>
      <c r="AD347" s="18" t="n">
        <v>46036</v>
      </c>
      <c r="AE347" s="18" t="s">
        <v>44</v>
      </c>
    </row>
    <row r="348" customFormat="false" ht="15.75" hidden="false" customHeight="true" outlineLevel="0" collapsed="false">
      <c r="A348" s="12" t="n">
        <v>1992</v>
      </c>
      <c r="B348" s="13" t="s">
        <v>1575</v>
      </c>
      <c r="C348" s="14" t="n">
        <v>43845</v>
      </c>
      <c r="D348" s="13" t="s">
        <v>101</v>
      </c>
      <c r="E348" s="15" t="s">
        <v>102</v>
      </c>
      <c r="F348" s="15" t="str">
        <f aca="false">IFERROR(__xludf.dummyfunction("XLOOKUP(AJ348,IMPORTRANGE(""1XaInW9DU9nz21V0tYIfzFQ0He9kVQ_JF2mCXgZ3hqFA"",""REKAP ALL 2026 - Andika!G:G""),IMPORTRANGE(""1XaInW9DU9nz21V0tYIfzFQ0He9kVQ_JF2mCXgZ3hqFA"",""REKAP ALL 2026 - Andika!F:F""),"""",0)"),"20021314842")</f>
        <v>20021314842</v>
      </c>
      <c r="G348" s="13" t="s">
        <v>1576</v>
      </c>
      <c r="H348" s="13" t="s">
        <v>35</v>
      </c>
      <c r="I348" s="13" t="str">
        <f aca="false">IF(C348=J348,"NEW KONTRAK","RE-KONTRAK")</f>
        <v>RE-KONTRAK</v>
      </c>
      <c r="J348" s="16" t="n">
        <f aca="false" t="array" ref="J348:J348">IFERROR(INDEX(AC348:AE348,IF(COUNTA(AC348:AE348)=0,"",MAX((AC348:AE348&lt;&gt;"")*(COLUMN(AC348:AE348)-(COLUMN(AC348)))))-1),"")</f>
        <v>45672</v>
      </c>
      <c r="K348" s="16" t="n">
        <f aca="false" t="array" ref="K348:K348">IFERROR(INDEX(AC348:AE348,IF(COUNTA(AC348:AE348)=0,"",MAX((AC348:AE348&lt;&gt;"")*(COLUMN(AC348:AE348)-(COLUMN(AC348)-1))))-1),"")</f>
        <v>46036</v>
      </c>
      <c r="L348" s="17" t="str">
        <f aca="false" t="array" ref="L348:L348">IFERROR(INDEX(AC348:AE348,IF(COUNTA(AC348:AE348)=0,"",MAX((AC348:AE348&lt;&gt;"")*(COLUMN(AC348:AE348)-(COLUMN(AC348)-2))))-1),"")</f>
        <v>ARCHIVED</v>
      </c>
      <c r="M348" s="13" t="n">
        <f aca="true">K348-TODAY()</f>
        <v>-288</v>
      </c>
      <c r="N348" s="18" t="s">
        <v>105</v>
      </c>
      <c r="O348" s="13" t="s">
        <v>106</v>
      </c>
      <c r="P348" s="19" t="n">
        <v>132300</v>
      </c>
      <c r="Q348" s="20" t="s">
        <v>1577</v>
      </c>
      <c r="R348" s="13" t="s">
        <v>52</v>
      </c>
      <c r="S348" s="25" t="n">
        <v>36432</v>
      </c>
      <c r="T348" s="13" t="s">
        <v>40</v>
      </c>
      <c r="U348" s="13" t="s">
        <v>1578</v>
      </c>
      <c r="V348" s="13" t="s">
        <v>42</v>
      </c>
      <c r="W348" s="13" t="s">
        <v>43</v>
      </c>
      <c r="X348" s="21" t="n">
        <v>89616773106</v>
      </c>
      <c r="Y348" s="22" t="str">
        <f aca="false">O348</f>
        <v>Produksi - Helper</v>
      </c>
      <c r="Z348" s="13" t="str">
        <f aca="false">IFERROR(__xludf.dummyfunction("if(BJ348="""","""",GOOGLETRANSLATE(BJ348,""auto"",""en""))"),"Production - Helper")</f>
        <v>Production - Helper</v>
      </c>
      <c r="AA348" s="23" t="str">
        <f aca="false">IF(C348="","", CHOOSE(MONTH(C348),"January","February","March","April","May","June","July","August","September","October","November","December")&amp;" "&amp;DAY(C348)&amp;MID("thstndrdth",MIN(9,2*RIGHT(DAY(C348))*(MOD(DAY(C348)-11,100)&gt;2)+1),2)&amp;","&amp;TEXT(C348," yyyy"))</f>
        <v>January 15th,2020</v>
      </c>
      <c r="AB348" s="15" t="str">
        <f aca="true">IF(S348="","",DATEDIF(S348,TODAY(),"Y")&amp;" Tahun, "&amp;DATEDIF(S348,TODAY(),"YM")&amp;" Bulan, "&amp;DATEDIF(S348,TODAY(),"MD")&amp;" Hari")</f>
        <v>27 Tahun, 1 Bulan, 0 Hari</v>
      </c>
      <c r="AC348" s="18" t="n">
        <v>45672</v>
      </c>
      <c r="AD348" s="18" t="n">
        <v>46036</v>
      </c>
      <c r="AE348" s="18" t="s">
        <v>44</v>
      </c>
    </row>
    <row r="349" customFormat="false" ht="15.75" hidden="false" customHeight="true" outlineLevel="0" collapsed="false">
      <c r="A349" s="12" t="n">
        <v>1994</v>
      </c>
      <c r="B349" s="13" t="s">
        <v>1579</v>
      </c>
      <c r="C349" s="14" t="n">
        <v>43845</v>
      </c>
      <c r="D349" s="13" t="s">
        <v>101</v>
      </c>
      <c r="E349" s="15" t="s">
        <v>33</v>
      </c>
      <c r="F349" s="24" t="s">
        <v>1580</v>
      </c>
      <c r="G349" s="13" t="s">
        <v>1581</v>
      </c>
      <c r="H349" s="13" t="s">
        <v>35</v>
      </c>
      <c r="I349" s="13" t="str">
        <f aca="false">IF(C349=J349,"NEW KONTRAK","RE-KONTRAK")</f>
        <v>RE-KONTRAK</v>
      </c>
      <c r="J349" s="16" t="n">
        <f aca="false" t="array" ref="J349:J349">IFERROR(INDEX(AC349:AE349,IF(COUNTA(AC349:AE349)=0,"",MAX((AC349:AE349&lt;&gt;"")*(COLUMN(AC349:AE349)-(COLUMN(AC349)))))-1),"")</f>
        <v>45672</v>
      </c>
      <c r="K349" s="16" t="n">
        <f aca="false" t="array" ref="K349:K349">IFERROR(INDEX(AC349:AE349,IF(COUNTA(AC349:AE349)=0,"",MAX((AC349:AE349&lt;&gt;"")*(COLUMN(AC349:AE349)-(COLUMN(AC349)-1))))-1),"")</f>
        <v>46036</v>
      </c>
      <c r="L349" s="17" t="str">
        <f aca="false" t="array" ref="L349:L349">IFERROR(INDEX(AC349:AE349,IF(COUNTA(AC349:AE349)=0,"",MAX((AC349:AE349&lt;&gt;"")*(COLUMN(AC349:AE349)-(COLUMN(AC349)-2))))-1),"")</f>
        <v>ARCHIVED</v>
      </c>
      <c r="M349" s="13" t="n">
        <f aca="true">K349-TODAY()</f>
        <v>-288</v>
      </c>
      <c r="N349" s="18" t="s">
        <v>105</v>
      </c>
      <c r="O349" s="13" t="s">
        <v>58</v>
      </c>
      <c r="P349" s="19" t="n">
        <v>126000</v>
      </c>
      <c r="Q349" s="20" t="s">
        <v>1582</v>
      </c>
      <c r="R349" s="13" t="s">
        <v>735</v>
      </c>
      <c r="S349" s="25" t="n">
        <v>36618</v>
      </c>
      <c r="T349" s="13" t="s">
        <v>40</v>
      </c>
      <c r="U349" s="13" t="s">
        <v>1583</v>
      </c>
      <c r="V349" s="13" t="s">
        <v>42</v>
      </c>
      <c r="W349" s="13" t="s">
        <v>43</v>
      </c>
      <c r="X349" s="21" t="n">
        <v>87851304446</v>
      </c>
      <c r="Y349" s="22" t="str">
        <f aca="false">O349</f>
        <v>Produksi</v>
      </c>
      <c r="Z349" s="13" t="str">
        <f aca="false">IFERROR(__xludf.dummyfunction("if(BJ349="""","""",GOOGLETRANSLATE(BJ349,""auto"",""en""))"),"Production")</f>
        <v>Production</v>
      </c>
      <c r="AA349" s="23" t="str">
        <f aca="false">IF(C349="","", CHOOSE(MONTH(C349),"January","February","March","April","May","June","July","August","September","October","November","December")&amp;" "&amp;DAY(C349)&amp;MID("thstndrdth",MIN(9,2*RIGHT(DAY(C349))*(MOD(DAY(C349)-11,100)&gt;2)+1),2)&amp;","&amp;TEXT(C349," yyyy"))</f>
        <v>January 15th,2020</v>
      </c>
      <c r="AB349" s="15" t="str">
        <f aca="true">IF(S349="","",DATEDIF(S349,TODAY(),"Y")&amp;" Tahun, "&amp;DATEDIF(S349,TODAY(),"YM")&amp;" Bulan, "&amp;DATEDIF(S349,TODAY(),"MD")&amp;" Hari")</f>
        <v>26 Tahun, 6 Bulan, 27 Hari</v>
      </c>
      <c r="AC349" s="18" t="n">
        <v>45672</v>
      </c>
      <c r="AD349" s="18" t="n">
        <v>46036</v>
      </c>
      <c r="AE349" s="18" t="s">
        <v>44</v>
      </c>
    </row>
    <row r="350" customFormat="false" ht="15.75" hidden="false" customHeight="true" outlineLevel="0" collapsed="false">
      <c r="A350" s="12" t="n">
        <v>1996</v>
      </c>
      <c r="B350" s="13" t="s">
        <v>1584</v>
      </c>
      <c r="C350" s="14" t="n">
        <v>43845</v>
      </c>
      <c r="D350" s="13" t="s">
        <v>101</v>
      </c>
      <c r="E350" s="15" t="s">
        <v>102</v>
      </c>
      <c r="F350" s="15" t="str">
        <f aca="false">IFERROR(__xludf.dummyfunction("XLOOKUP(AJ350,IMPORTRANGE(""1XaInW9DU9nz21V0tYIfzFQ0He9kVQ_JF2mCXgZ3hqFA"",""REKAP ALL 2026 - Andika!G:G""),IMPORTRANGE(""1XaInW9DU9nz21V0tYIfzFQ0He9kVQ_JF2mCXgZ3hqFA"",""REKAP ALL 2026 - Andika!F:F""),"""",0)"),"15059286425")</f>
        <v>15059286425</v>
      </c>
      <c r="G350" s="13" t="s">
        <v>1585</v>
      </c>
      <c r="H350" s="13" t="s">
        <v>35</v>
      </c>
      <c r="I350" s="13" t="str">
        <f aca="false">IF(C350=J350,"NEW KONTRAK","RE-KONTRAK")</f>
        <v>RE-KONTRAK</v>
      </c>
      <c r="J350" s="16" t="n">
        <f aca="false" t="array" ref="J350:J350">IFERROR(INDEX(AC350:AE350,IF(COUNTA(AC350:AE350)=0,"",MAX((AC350:AE350&lt;&gt;"")*(COLUMN(AC350:AE350)-(COLUMN(AC350)))))-1),"")</f>
        <v>45672</v>
      </c>
      <c r="K350" s="16" t="n">
        <f aca="false" t="array" ref="K350:K350">IFERROR(INDEX(AC350:AE350,IF(COUNTA(AC350:AE350)=0,"",MAX((AC350:AE350&lt;&gt;"")*(COLUMN(AC350:AE350)-(COLUMN(AC350)-1))))-1),"")</f>
        <v>46036</v>
      </c>
      <c r="L350" s="17" t="str">
        <f aca="false" t="array" ref="L350:L350">IFERROR(INDEX(AC350:AE350,IF(COUNTA(AC350:AE350)=0,"",MAX((AC350:AE350&lt;&gt;"")*(COLUMN(AC350:AE350)-(COLUMN(AC350)-2))))-1),"")</f>
        <v>ARCHIVED</v>
      </c>
      <c r="M350" s="13" t="n">
        <f aca="true">K350-TODAY()</f>
        <v>-288</v>
      </c>
      <c r="N350" s="18" t="s">
        <v>105</v>
      </c>
      <c r="O350" s="13" t="s">
        <v>106</v>
      </c>
      <c r="P350" s="19" t="n">
        <v>132300</v>
      </c>
      <c r="Q350" s="20" t="s">
        <v>1586</v>
      </c>
      <c r="R350" s="13" t="s">
        <v>39</v>
      </c>
      <c r="S350" s="25" t="n">
        <v>35769</v>
      </c>
      <c r="T350" s="13" t="s">
        <v>40</v>
      </c>
      <c r="U350" s="13" t="s">
        <v>1587</v>
      </c>
      <c r="V350" s="13" t="s">
        <v>42</v>
      </c>
      <c r="W350" s="13" t="s">
        <v>43</v>
      </c>
      <c r="X350" s="21" t="n">
        <v>87856997205</v>
      </c>
      <c r="Y350" s="22" t="str">
        <f aca="false">O350</f>
        <v>Produksi - Helper</v>
      </c>
      <c r="Z350" s="13" t="str">
        <f aca="false">IFERROR(__xludf.dummyfunction("if(BJ350="""","""",GOOGLETRANSLATE(BJ350,""auto"",""en""))"),"Production - Helper")</f>
        <v>Production - Helper</v>
      </c>
      <c r="AA350" s="23" t="str">
        <f aca="false">IF(C350="","", CHOOSE(MONTH(C350),"January","February","March","April","May","June","July","August","September","October","November","December")&amp;" "&amp;DAY(C350)&amp;MID("thstndrdth",MIN(9,2*RIGHT(DAY(C350))*(MOD(DAY(C350)-11,100)&gt;2)+1),2)&amp;","&amp;TEXT(C350," yyyy"))</f>
        <v>January 15th,2020</v>
      </c>
      <c r="AB350" s="15" t="str">
        <f aca="true">IF(S350="","",DATEDIF(S350,TODAY(),"Y")&amp;" Tahun, "&amp;DATEDIF(S350,TODAY(),"YM")&amp;" Bulan, "&amp;DATEDIF(S350,TODAY(),"MD")&amp;" Hari")</f>
        <v>28 Tahun, 10 Bulan, 24 Hari</v>
      </c>
      <c r="AC350" s="18" t="n">
        <v>45672</v>
      </c>
      <c r="AD350" s="18" t="n">
        <v>46036</v>
      </c>
      <c r="AE350" s="18" t="s">
        <v>44</v>
      </c>
    </row>
    <row r="351" customFormat="false" ht="15.75" hidden="false" customHeight="true" outlineLevel="0" collapsed="false">
      <c r="A351" s="12" t="n">
        <v>1997</v>
      </c>
      <c r="B351" s="13" t="s">
        <v>1588</v>
      </c>
      <c r="C351" s="14" t="n">
        <v>43845</v>
      </c>
      <c r="D351" s="13" t="s">
        <v>101</v>
      </c>
      <c r="E351" s="15" t="s">
        <v>102</v>
      </c>
      <c r="F351" s="15" t="str">
        <f aca="false">IFERROR(__xludf.dummyfunction("XLOOKUP(AJ351,IMPORTRANGE(""1XaInW9DU9nz21V0tYIfzFQ0He9kVQ_JF2mCXgZ3hqFA"",""REKAP ALL 2026 - Andika!G:G""),IMPORTRANGE(""1XaInW9DU9nz21V0tYIfzFQ0He9kVQ_JF2mCXgZ3hqFA"",""REKAP ALL 2026 - Andika!F:F""),"""",0)"),"20021314719")</f>
        <v>20021314719</v>
      </c>
      <c r="G351" s="13" t="s">
        <v>1589</v>
      </c>
      <c r="H351" s="13" t="s">
        <v>35</v>
      </c>
      <c r="I351" s="13" t="str">
        <f aca="false">IF(C351=J351,"NEW KONTRAK","RE-KONTRAK")</f>
        <v>RE-KONTRAK</v>
      </c>
      <c r="J351" s="16" t="n">
        <f aca="false" t="array" ref="J351:J351">IFERROR(INDEX(AC351:AE351,IF(COUNTA(AC351:AE351)=0,"",MAX((AC351:AE351&lt;&gt;"")*(COLUMN(AC351:AE351)-(COLUMN(AC351)))))-1),"")</f>
        <v>45672</v>
      </c>
      <c r="K351" s="16" t="n">
        <f aca="false" t="array" ref="K351:K351">IFERROR(INDEX(AC351:AE351,IF(COUNTA(AC351:AE351)=0,"",MAX((AC351:AE351&lt;&gt;"")*(COLUMN(AC351:AE351)-(COLUMN(AC351)-1))))-1),"")</f>
        <v>46036</v>
      </c>
      <c r="L351" s="17" t="str">
        <f aca="false" t="array" ref="L351:L351">IFERROR(INDEX(AC351:AE351,IF(COUNTA(AC351:AE351)=0,"",MAX((AC351:AE351&lt;&gt;"")*(COLUMN(AC351:AE351)-(COLUMN(AC351)-2))))-1),"")</f>
        <v>ARCHIVED</v>
      </c>
      <c r="M351" s="13" t="n">
        <f aca="true">K351-TODAY()</f>
        <v>-288</v>
      </c>
      <c r="N351" s="18" t="s">
        <v>105</v>
      </c>
      <c r="O351" s="13" t="s">
        <v>106</v>
      </c>
      <c r="P351" s="19" t="n">
        <v>132300</v>
      </c>
      <c r="Q351" s="20" t="s">
        <v>1590</v>
      </c>
      <c r="R351" s="13" t="s">
        <v>324</v>
      </c>
      <c r="S351" s="25" t="n">
        <v>36384</v>
      </c>
      <c r="T351" s="13" t="s">
        <v>40</v>
      </c>
      <c r="U351" s="13" t="s">
        <v>1591</v>
      </c>
      <c r="V351" s="13" t="s">
        <v>42</v>
      </c>
      <c r="W351" s="13" t="s">
        <v>43</v>
      </c>
      <c r="X351" s="21" t="n">
        <v>89616873686</v>
      </c>
      <c r="Y351" s="22" t="str">
        <f aca="false">O351</f>
        <v>Produksi - Helper</v>
      </c>
      <c r="Z351" s="13" t="str">
        <f aca="false">IFERROR(__xludf.dummyfunction("if(BJ351="""","""",GOOGLETRANSLATE(BJ351,""auto"",""en""))"),"Production - Helper")</f>
        <v>Production - Helper</v>
      </c>
      <c r="AA351" s="23" t="str">
        <f aca="false">IF(C351="","", CHOOSE(MONTH(C351),"January","February","March","April","May","June","July","August","September","October","November","December")&amp;" "&amp;DAY(C351)&amp;MID("thstndrdth",MIN(9,2*RIGHT(DAY(C351))*(MOD(DAY(C351)-11,100)&gt;2)+1),2)&amp;","&amp;TEXT(C351," yyyy"))</f>
        <v>January 15th,2020</v>
      </c>
      <c r="AB351" s="15" t="str">
        <f aca="true">IF(S351="","",DATEDIF(S351,TODAY(),"Y")&amp;" Tahun, "&amp;DATEDIF(S351,TODAY(),"YM")&amp;" Bulan, "&amp;DATEDIF(S351,TODAY(),"MD")&amp;" Hari")</f>
        <v>27 Tahun, 2 Bulan, 17 Hari</v>
      </c>
      <c r="AC351" s="18" t="n">
        <v>45672</v>
      </c>
      <c r="AD351" s="18" t="n">
        <v>46036</v>
      </c>
      <c r="AE351" s="18" t="s">
        <v>44</v>
      </c>
    </row>
    <row r="352" customFormat="false" ht="15.75" hidden="false" customHeight="true" outlineLevel="0" collapsed="false">
      <c r="A352" s="12" t="n">
        <v>1998</v>
      </c>
      <c r="B352" s="13" t="s">
        <v>1592</v>
      </c>
      <c r="C352" s="14" t="n">
        <v>43845</v>
      </c>
      <c r="D352" s="13" t="s">
        <v>101</v>
      </c>
      <c r="E352" s="15" t="s">
        <v>102</v>
      </c>
      <c r="F352" s="15" t="str">
        <f aca="false">IFERROR(__xludf.dummyfunction("XLOOKUP(AJ352,IMPORTRANGE(""1XaInW9DU9nz21V0tYIfzFQ0He9kVQ_JF2mCXgZ3hqFA"",""REKAP ALL 2026 - Andika!G:G""),IMPORTRANGE(""1XaInW9DU9nz21V0tYIfzFQ0He9kVQ_JF2mCXgZ3hqFA"",""REKAP ALL 2026 - Andika!F:F""),"""",0)"),"20021316235")</f>
        <v>20021316235</v>
      </c>
      <c r="G352" s="13" t="s">
        <v>1593</v>
      </c>
      <c r="H352" s="13" t="s">
        <v>35</v>
      </c>
      <c r="I352" s="13" t="str">
        <f aca="false">IF(C352=J352,"NEW KONTRAK","RE-KONTRAK")</f>
        <v>RE-KONTRAK</v>
      </c>
      <c r="J352" s="16" t="n">
        <f aca="false" t="array" ref="J352:J352">IFERROR(INDEX(AC352:AE352,IF(COUNTA(AC352:AE352)=0,"",MAX((AC352:AE352&lt;&gt;"")*(COLUMN(AC352:AE352)-(COLUMN(AC352)))))-1),"")</f>
        <v>45672</v>
      </c>
      <c r="K352" s="16" t="n">
        <f aca="false" t="array" ref="K352:K352">IFERROR(INDEX(AC352:AE352,IF(COUNTA(AC352:AE352)=0,"",MAX((AC352:AE352&lt;&gt;"")*(COLUMN(AC352:AE352)-(COLUMN(AC352)-1))))-1),"")</f>
        <v>46036</v>
      </c>
      <c r="L352" s="17" t="str">
        <f aca="false" t="array" ref="L352:L352">IFERROR(INDEX(AC352:AE352,IF(COUNTA(AC352:AE352)=0,"",MAX((AC352:AE352&lt;&gt;"")*(COLUMN(AC352:AE352)-(COLUMN(AC352)-2))))-1),"")</f>
        <v>ARCHIVED</v>
      </c>
      <c r="M352" s="13" t="n">
        <f aca="true">K352-TODAY()</f>
        <v>-288</v>
      </c>
      <c r="N352" s="18" t="s">
        <v>105</v>
      </c>
      <c r="O352" s="13" t="s">
        <v>106</v>
      </c>
      <c r="P352" s="19" t="n">
        <v>132300</v>
      </c>
      <c r="Q352" s="20" t="s">
        <v>1594</v>
      </c>
      <c r="R352" s="13" t="s">
        <v>73</v>
      </c>
      <c r="S352" s="25" t="n">
        <v>36500</v>
      </c>
      <c r="T352" s="13" t="s">
        <v>40</v>
      </c>
      <c r="U352" s="13" t="s">
        <v>1595</v>
      </c>
      <c r="V352" s="13" t="s">
        <v>42</v>
      </c>
      <c r="W352" s="13" t="s">
        <v>43</v>
      </c>
      <c r="X352" s="21" t="n">
        <v>89612282704</v>
      </c>
      <c r="Y352" s="22" t="str">
        <f aca="false">O352</f>
        <v>Produksi - Helper</v>
      </c>
      <c r="Z352" s="13" t="str">
        <f aca="false">IFERROR(__xludf.dummyfunction("if(BJ352="""","""",GOOGLETRANSLATE(BJ352,""auto"",""en""))"),"Production - Helper")</f>
        <v>Production - Helper</v>
      </c>
      <c r="AA352" s="23" t="str">
        <f aca="false">IF(C352="","", CHOOSE(MONTH(C352),"January","February","March","April","May","June","July","August","September","October","November","December")&amp;" "&amp;DAY(C352)&amp;MID("thstndrdth",MIN(9,2*RIGHT(DAY(C352))*(MOD(DAY(C352)-11,100)&gt;2)+1),2)&amp;","&amp;TEXT(C352," yyyy"))</f>
        <v>January 15th,2020</v>
      </c>
      <c r="AB352" s="15" t="str">
        <f aca="true">IF(S352="","",DATEDIF(S352,TODAY(),"Y")&amp;" Tahun, "&amp;DATEDIF(S352,TODAY(),"YM")&amp;" Bulan, "&amp;DATEDIF(S352,TODAY(),"MD")&amp;" Hari")</f>
        <v>26 Tahun, 10 Bulan, 23 Hari</v>
      </c>
      <c r="AC352" s="18" t="n">
        <v>45672</v>
      </c>
      <c r="AD352" s="18" t="n">
        <v>46036</v>
      </c>
      <c r="AE352" s="18" t="s">
        <v>44</v>
      </c>
    </row>
    <row r="353" customFormat="false" ht="15.75" hidden="false" customHeight="true" outlineLevel="0" collapsed="false">
      <c r="A353" s="12" t="n">
        <v>1875</v>
      </c>
      <c r="B353" s="13" t="s">
        <v>1596</v>
      </c>
      <c r="C353" s="14" t="n">
        <v>43845</v>
      </c>
      <c r="D353" s="13" t="s">
        <v>101</v>
      </c>
      <c r="E353" s="15" t="s">
        <v>47</v>
      </c>
      <c r="F353" s="15" t="str">
        <f aca="false">IFERROR(__xludf.dummyfunction("XLOOKUP(AJ353,IMPORTRANGE(""1XaInW9DU9nz21V0tYIfzFQ0He9kVQ_JF2mCXgZ3hqFA"",""REKAP ALL 2026 - Andika!G:G""),IMPORTRANGE(""1XaInW9DU9nz21V0tYIfzFQ0He9kVQ_JF2mCXgZ3hqFA"",""REKAP ALL 2026 - Andika!F:F""),"""",0)"),"20021313364")</f>
        <v>20021313364</v>
      </c>
      <c r="G353" s="13" t="s">
        <v>1597</v>
      </c>
      <c r="H353" s="13" t="s">
        <v>35</v>
      </c>
      <c r="I353" s="13" t="str">
        <f aca="false">IF(C353=J353,"NEW KONTRAK","RE-KONTRAK")</f>
        <v>RE-KONTRAK</v>
      </c>
      <c r="J353" s="16" t="n">
        <f aca="false" t="array" ref="J353:J353">IFERROR(INDEX(AC353:AE353,IF(COUNTA(AC353:AE353)=0,"",MAX((AC353:AE353&lt;&gt;"")*(COLUMN(AC353:AE353)-(COLUMN(AC353)))))-1),"")</f>
        <v>45672</v>
      </c>
      <c r="K353" s="16" t="n">
        <f aca="false" t="array" ref="K353:K353">IFERROR(INDEX(AC353:AE353,IF(COUNTA(AC353:AE353)=0,"",MAX((AC353:AE353&lt;&gt;"")*(COLUMN(AC353:AE353)-(COLUMN(AC353)-1))))-1),"")</f>
        <v>46036</v>
      </c>
      <c r="L353" s="17" t="str">
        <f aca="false" t="array" ref="L353:L353">IFERROR(INDEX(AC353:AE353,IF(COUNTA(AC353:AE353)=0,"",MAX((AC353:AE353&lt;&gt;"")*(COLUMN(AC353:AE353)-(COLUMN(AC353)-2))))-1),"")</f>
        <v>ARCHIVED</v>
      </c>
      <c r="M353" s="13" t="n">
        <f aca="true">K353-TODAY()</f>
        <v>-288</v>
      </c>
      <c r="N353" s="18" t="s">
        <v>105</v>
      </c>
      <c r="O353" s="13" t="s">
        <v>106</v>
      </c>
      <c r="P353" s="31" t="n">
        <v>138915</v>
      </c>
      <c r="Q353" s="20" t="s">
        <v>1598</v>
      </c>
      <c r="R353" s="13" t="s">
        <v>39</v>
      </c>
      <c r="S353" s="25" t="n">
        <v>35810</v>
      </c>
      <c r="T353" s="13" t="s">
        <v>40</v>
      </c>
      <c r="U353" s="13" t="s">
        <v>1599</v>
      </c>
      <c r="V353" s="13" t="s">
        <v>42</v>
      </c>
      <c r="W353" s="13" t="s">
        <v>43</v>
      </c>
      <c r="X353" s="21" t="n">
        <v>81917966026</v>
      </c>
      <c r="Y353" s="22" t="str">
        <f aca="false">O353</f>
        <v>Produksi - Helper</v>
      </c>
      <c r="Z353" s="13" t="str">
        <f aca="false">IFERROR(__xludf.dummyfunction("if(BJ353="""","""",GOOGLETRANSLATE(BJ353,""auto"",""en""))"),"Production - Helper")</f>
        <v>Production - Helper</v>
      </c>
      <c r="AA353" s="23" t="str">
        <f aca="false">IF(C353="","", CHOOSE(MONTH(C353),"January","February","March","April","May","June","July","August","September","October","November","December")&amp;" "&amp;DAY(C353)&amp;MID("thstndrdth",MIN(9,2*RIGHT(DAY(C353))*(MOD(DAY(C353)-11,100)&gt;2)+1),2)&amp;","&amp;TEXT(C353," yyyy"))</f>
        <v>January 15th,2020</v>
      </c>
      <c r="AB353" s="15" t="str">
        <f aca="true">IF(S353="","",DATEDIF(S353,TODAY(),"Y")&amp;" Tahun, "&amp;DATEDIF(S353,TODAY(),"YM")&amp;" Bulan, "&amp;DATEDIF(S353,TODAY(),"MD")&amp;" Hari")</f>
        <v>28 Tahun, 9 Bulan, 14 Hari</v>
      </c>
      <c r="AC353" s="18" t="n">
        <v>45672</v>
      </c>
      <c r="AD353" s="18" t="n">
        <v>46036</v>
      </c>
      <c r="AE353" s="18" t="s">
        <v>44</v>
      </c>
    </row>
    <row r="354" customFormat="false" ht="15.75" hidden="false" customHeight="true" outlineLevel="0" collapsed="false">
      <c r="A354" s="12" t="n">
        <v>1876</v>
      </c>
      <c r="B354" s="13" t="s">
        <v>1600</v>
      </c>
      <c r="C354" s="14" t="n">
        <v>44033</v>
      </c>
      <c r="D354" s="13" t="s">
        <v>101</v>
      </c>
      <c r="E354" s="15" t="s">
        <v>47</v>
      </c>
      <c r="F354" s="15" t="str">
        <f aca="false">IFERROR(__xludf.dummyfunction("XLOOKUP(AJ354,IMPORTRANGE(""1XaInW9DU9nz21V0tYIfzFQ0He9kVQ_JF2mCXgZ3hqFA"",""REKAP ALL 2026 - Andika!G:G""),IMPORTRANGE(""1XaInW9DU9nz21V0tYIfzFQ0He9kVQ_JF2mCXgZ3hqFA"",""REKAP ALL 2026 - Andika!F:F""),"""",0)"),"20061339220")</f>
        <v>20061339220</v>
      </c>
      <c r="G354" s="13" t="s">
        <v>1601</v>
      </c>
      <c r="H354" s="13" t="s">
        <v>35</v>
      </c>
      <c r="I354" s="13" t="str">
        <f aca="false">IF(C354=J354,"NEW KONTRAK","RE-KONTRAK")</f>
        <v>RE-KONTRAK</v>
      </c>
      <c r="J354" s="16" t="n">
        <f aca="false" t="array" ref="J354:J354">IFERROR(INDEX(AC354:AE354,IF(COUNTA(AC354:AE354)=0,"",MAX((AC354:AE354&lt;&gt;"")*(COLUMN(AC354:AE354)-(COLUMN(AC354)))))-1),"")</f>
        <v>45672</v>
      </c>
      <c r="K354" s="16" t="n">
        <f aca="false" t="array" ref="K354:K354">IFERROR(INDEX(AC354:AE354,IF(COUNTA(AC354:AE354)=0,"",MAX((AC354:AE354&lt;&gt;"")*(COLUMN(AC354:AE354)-(COLUMN(AC354)-1))))-1),"")</f>
        <v>46036</v>
      </c>
      <c r="L354" s="17" t="str">
        <f aca="false" t="array" ref="L354:L354">IFERROR(INDEX(AC354:AE354,IF(COUNTA(AC354:AE354)=0,"",MAX((AC354:AE354&lt;&gt;"")*(COLUMN(AC354:AE354)-(COLUMN(AC354)-2))))-1),"")</f>
        <v>ARCHIVED</v>
      </c>
      <c r="M354" s="13" t="n">
        <f aca="true">K354-TODAY()</f>
        <v>-288</v>
      </c>
      <c r="N354" s="18" t="s">
        <v>105</v>
      </c>
      <c r="O354" s="13" t="s">
        <v>106</v>
      </c>
      <c r="P354" s="31" t="n">
        <v>138915</v>
      </c>
      <c r="Q354" s="20" t="s">
        <v>1602</v>
      </c>
      <c r="R354" s="13" t="s">
        <v>78</v>
      </c>
      <c r="S354" s="25" t="n">
        <v>36284</v>
      </c>
      <c r="T354" s="13" t="s">
        <v>108</v>
      </c>
      <c r="U354" s="13" t="s">
        <v>1603</v>
      </c>
      <c r="V354" s="13" t="s">
        <v>42</v>
      </c>
      <c r="W354" s="13" t="s">
        <v>43</v>
      </c>
      <c r="X354" s="21" t="n">
        <v>87728938398</v>
      </c>
      <c r="Y354" s="22" t="str">
        <f aca="false">O354</f>
        <v>Produksi - Helper</v>
      </c>
      <c r="Z354" s="13" t="str">
        <f aca="false">IFERROR(__xludf.dummyfunction("if(BJ354="""","""",GOOGLETRANSLATE(BJ354,""auto"",""en""))"),"Production - Helper")</f>
        <v>Production - Helper</v>
      </c>
      <c r="AA354" s="23" t="str">
        <f aca="false">IF(C354="","", CHOOSE(MONTH(C354),"January","February","March","April","May","June","July","August","September","October","November","December")&amp;" "&amp;DAY(C354)&amp;MID("thstndrdth",MIN(9,2*RIGHT(DAY(C354))*(MOD(DAY(C354)-11,100)&gt;2)+1),2)&amp;","&amp;TEXT(C354," yyyy"))</f>
        <v>July 21st,2020</v>
      </c>
      <c r="AB354" s="15" t="str">
        <f aca="true">IF(S354="","",DATEDIF(S354,TODAY(),"Y")&amp;" Tahun, "&amp;DATEDIF(S354,TODAY(),"YM")&amp;" Bulan, "&amp;DATEDIF(S354,TODAY(),"MD")&amp;" Hari")</f>
        <v>27 Tahun, 5 Bulan, 25 Hari</v>
      </c>
      <c r="AC354" s="18" t="n">
        <v>45672</v>
      </c>
      <c r="AD354" s="18" t="n">
        <v>46036</v>
      </c>
      <c r="AE354" s="18" t="s">
        <v>44</v>
      </c>
    </row>
    <row r="355" customFormat="false" ht="15.75" hidden="false" customHeight="true" outlineLevel="0" collapsed="false">
      <c r="A355" s="12" t="n">
        <v>2003</v>
      </c>
      <c r="B355" s="13" t="s">
        <v>1604</v>
      </c>
      <c r="C355" s="14" t="n">
        <v>43845</v>
      </c>
      <c r="D355" s="13" t="s">
        <v>101</v>
      </c>
      <c r="E355" s="15" t="s">
        <v>102</v>
      </c>
      <c r="F355" s="15" t="str">
        <f aca="false">IFERROR(__xludf.dummyfunction("XLOOKUP(AJ355,IMPORTRANGE(""1XaInW9DU9nz21V0tYIfzFQ0He9kVQ_JF2mCXgZ3hqFA"",""REKAP ALL 2026 - Andika!G:G""),IMPORTRANGE(""1XaInW9DU9nz21V0tYIfzFQ0He9kVQ_JF2mCXgZ3hqFA"",""REKAP ALL 2026 - Andika!F:F""),"""",0)"),"20021315393")</f>
        <v>20021315393</v>
      </c>
      <c r="G355" s="13" t="s">
        <v>1605</v>
      </c>
      <c r="H355" s="13" t="s">
        <v>35</v>
      </c>
      <c r="I355" s="13" t="str">
        <f aca="false">IF(C355=J355,"NEW KONTRAK","RE-KONTRAK")</f>
        <v>RE-KONTRAK</v>
      </c>
      <c r="J355" s="16" t="n">
        <f aca="false" t="array" ref="J355:J355">IFERROR(INDEX(AC355:AE355,IF(COUNTA(AC355:AE355)=0,"",MAX((AC355:AE355&lt;&gt;"")*(COLUMN(AC355:AE355)-(COLUMN(AC355)))))-1),"")</f>
        <v>45672</v>
      </c>
      <c r="K355" s="16" t="n">
        <f aca="false" t="array" ref="K355:K355">IFERROR(INDEX(AC355:AE355,IF(COUNTA(AC355:AE355)=0,"",MAX((AC355:AE355&lt;&gt;"")*(COLUMN(AC355:AE355)-(COLUMN(AC355)-1))))-1),"")</f>
        <v>46036</v>
      </c>
      <c r="L355" s="17" t="str">
        <f aca="false" t="array" ref="L355:L355">IFERROR(INDEX(AC355:AE355,IF(COUNTA(AC355:AE355)=0,"",MAX((AC355:AE355&lt;&gt;"")*(COLUMN(AC355:AE355)-(COLUMN(AC355)-2))))-1),"")</f>
        <v>ARCHIVED</v>
      </c>
      <c r="M355" s="13" t="n">
        <f aca="true">K355-TODAY()</f>
        <v>-288</v>
      </c>
      <c r="N355" s="18" t="s">
        <v>105</v>
      </c>
      <c r="O355" s="13" t="s">
        <v>106</v>
      </c>
      <c r="P355" s="19" t="n">
        <v>132300</v>
      </c>
      <c r="Q355" s="20" t="s">
        <v>1606</v>
      </c>
      <c r="R355" s="13" t="s">
        <v>39</v>
      </c>
      <c r="S355" s="25" t="n">
        <v>36918</v>
      </c>
      <c r="T355" s="13" t="s">
        <v>40</v>
      </c>
      <c r="U355" s="13" t="s">
        <v>1607</v>
      </c>
      <c r="V355" s="13" t="s">
        <v>42</v>
      </c>
      <c r="W355" s="13" t="s">
        <v>43</v>
      </c>
      <c r="X355" s="21" t="n">
        <v>81235371131</v>
      </c>
      <c r="Y355" s="22" t="str">
        <f aca="false">O355</f>
        <v>Produksi - Helper</v>
      </c>
      <c r="Z355" s="13" t="str">
        <f aca="false">IFERROR(__xludf.dummyfunction("if(BJ355="""","""",GOOGLETRANSLATE(BJ355,""auto"",""en""))"),"Production - Helper")</f>
        <v>Production - Helper</v>
      </c>
      <c r="AA355" s="23" t="str">
        <f aca="false">IF(C355="","", CHOOSE(MONTH(C355),"January","February","March","April","May","June","July","August","September","October","November","December")&amp;" "&amp;DAY(C355)&amp;MID("thstndrdth",MIN(9,2*RIGHT(DAY(C355))*(MOD(DAY(C355)-11,100)&gt;2)+1),2)&amp;","&amp;TEXT(C355," yyyy"))</f>
        <v>January 15th,2020</v>
      </c>
      <c r="AB355" s="15" t="str">
        <f aca="true">IF(S355="","",DATEDIF(S355,TODAY(),"Y")&amp;" Tahun, "&amp;DATEDIF(S355,TODAY(),"YM")&amp;" Bulan, "&amp;DATEDIF(S355,TODAY(),"MD")&amp;" Hari")</f>
        <v>25 Tahun, 9 Bulan, 2 Hari</v>
      </c>
      <c r="AC355" s="18" t="n">
        <v>45672</v>
      </c>
      <c r="AD355" s="18" t="n">
        <v>46036</v>
      </c>
      <c r="AE355" s="18" t="s">
        <v>44</v>
      </c>
    </row>
    <row r="356" customFormat="false" ht="15.75" hidden="false" customHeight="true" outlineLevel="0" collapsed="false">
      <c r="A356" s="12" t="n">
        <v>2004</v>
      </c>
      <c r="B356" s="13" t="s">
        <v>1608</v>
      </c>
      <c r="C356" s="14" t="n">
        <v>43994</v>
      </c>
      <c r="D356" s="13" t="s">
        <v>101</v>
      </c>
      <c r="E356" s="15" t="s">
        <v>102</v>
      </c>
      <c r="F356" s="15" t="str">
        <f aca="false">IFERROR(__xludf.dummyfunction("XLOOKUP(AJ356,IMPORTRANGE(""1XaInW9DU9nz21V0tYIfzFQ0He9kVQ_JF2mCXgZ3hqFA"",""REKAP ALL 2026 - Andika!G:G""),IMPORTRANGE(""1XaInW9DU9nz21V0tYIfzFQ0He9kVQ_JF2mCXgZ3hqFA"",""REKAP ALL 2026 - Andika!F:F""),"""",0)"),"20021313455")</f>
        <v>20021313455</v>
      </c>
      <c r="G356" s="13" t="s">
        <v>1609</v>
      </c>
      <c r="H356" s="13" t="s">
        <v>35</v>
      </c>
      <c r="I356" s="13" t="str">
        <f aca="false">IF(C356=J356,"NEW KONTRAK","RE-KONTRAK")</f>
        <v>RE-KONTRAK</v>
      </c>
      <c r="J356" s="16" t="n">
        <f aca="false" t="array" ref="J356:J356">IFERROR(INDEX(AC356:AE356,IF(COUNTA(AC356:AE356)=0,"",MAX((AC356:AE356&lt;&gt;"")*(COLUMN(AC356:AE356)-(COLUMN(AC356)))))-1),"")</f>
        <v>45672</v>
      </c>
      <c r="K356" s="16" t="n">
        <f aca="false" t="array" ref="K356:K356">IFERROR(INDEX(AC356:AE356,IF(COUNTA(AC356:AE356)=0,"",MAX((AC356:AE356&lt;&gt;"")*(COLUMN(AC356:AE356)-(COLUMN(AC356)-1))))-1),"")</f>
        <v>46036</v>
      </c>
      <c r="L356" s="17" t="str">
        <f aca="false" t="array" ref="L356:L356">IFERROR(INDEX(AC356:AE356,IF(COUNTA(AC356:AE356)=0,"",MAX((AC356:AE356&lt;&gt;"")*(COLUMN(AC356:AE356)-(COLUMN(AC356)-2))))-1),"")</f>
        <v>ARCHIVED</v>
      </c>
      <c r="M356" s="13" t="n">
        <f aca="true">K356-TODAY()</f>
        <v>-288</v>
      </c>
      <c r="N356" s="18" t="s">
        <v>105</v>
      </c>
      <c r="O356" s="13" t="s">
        <v>106</v>
      </c>
      <c r="P356" s="19" t="n">
        <v>132300</v>
      </c>
      <c r="Q356" s="20" t="s">
        <v>1610</v>
      </c>
      <c r="R356" s="13" t="s">
        <v>1611</v>
      </c>
      <c r="S356" s="25" t="n">
        <v>36939</v>
      </c>
      <c r="T356" s="13" t="s">
        <v>40</v>
      </c>
      <c r="U356" s="13" t="s">
        <v>1612</v>
      </c>
      <c r="V356" s="13" t="s">
        <v>42</v>
      </c>
      <c r="W356" s="13" t="s">
        <v>43</v>
      </c>
      <c r="X356" s="21" t="n">
        <v>82330422979</v>
      </c>
      <c r="Y356" s="22" t="str">
        <f aca="false">O356</f>
        <v>Produksi - Helper</v>
      </c>
      <c r="Z356" s="13" t="str">
        <f aca="false">IFERROR(__xludf.dummyfunction("if(BJ356="""","""",GOOGLETRANSLATE(BJ356,""auto"",""en""))"),"Production - Helper")</f>
        <v>Production - Helper</v>
      </c>
      <c r="AA356" s="23" t="str">
        <f aca="false">IF(C356="","", CHOOSE(MONTH(C356),"January","February","March","April","May","June","July","August","September","October","November","December")&amp;" "&amp;DAY(C356)&amp;MID("thstndrdth",MIN(9,2*RIGHT(DAY(C356))*(MOD(DAY(C356)-11,100)&gt;2)+1),2)&amp;","&amp;TEXT(C356," yyyy"))</f>
        <v>June 12th,2020</v>
      </c>
      <c r="AB356" s="15" t="str">
        <f aca="true">IF(S356="","",DATEDIF(S356,TODAY(),"Y")&amp;" Tahun, "&amp;DATEDIF(S356,TODAY(),"YM")&amp;" Bulan, "&amp;DATEDIF(S356,TODAY(),"MD")&amp;" Hari")</f>
        <v>25 Tahun, 8 Bulan, 12 Hari</v>
      </c>
      <c r="AC356" s="18" t="n">
        <v>45672</v>
      </c>
      <c r="AD356" s="18" t="n">
        <v>46036</v>
      </c>
      <c r="AE356" s="18" t="s">
        <v>44</v>
      </c>
    </row>
    <row r="357" customFormat="false" ht="15.75" hidden="false" customHeight="true" outlineLevel="0" collapsed="false">
      <c r="A357" s="12" t="n">
        <v>2006</v>
      </c>
      <c r="B357" s="13" t="s">
        <v>1613</v>
      </c>
      <c r="C357" s="14" t="n">
        <v>43845</v>
      </c>
      <c r="D357" s="13" t="s">
        <v>101</v>
      </c>
      <c r="E357" s="15" t="s">
        <v>102</v>
      </c>
      <c r="F357" s="15" t="str">
        <f aca="false">IFERROR(__xludf.dummyfunction("XLOOKUP(AJ357,IMPORTRANGE(""1XaInW9DU9nz21V0tYIfzFQ0He9kVQ_JF2mCXgZ3hqFA"",""REKAP ALL 2026 - Andika!G:G""),IMPORTRANGE(""1XaInW9DU9nz21V0tYIfzFQ0He9kVQ_JF2mCXgZ3hqFA"",""REKAP ALL 2026 - Andika!F:F""),"""",0)"),"20021313679")</f>
        <v>20021313679</v>
      </c>
      <c r="G357" s="13" t="s">
        <v>1614</v>
      </c>
      <c r="H357" s="13" t="s">
        <v>35</v>
      </c>
      <c r="I357" s="13" t="str">
        <f aca="false">IF(C357=J357,"NEW KONTRAK","RE-KONTRAK")</f>
        <v>RE-KONTRAK</v>
      </c>
      <c r="J357" s="16" t="n">
        <f aca="false" t="array" ref="J357:J357">IFERROR(INDEX(AC357:AE357,IF(COUNTA(AC357:AE357)=0,"",MAX((AC357:AE357&lt;&gt;"")*(COLUMN(AC357:AE357)-(COLUMN(AC357)))))-1),"")</f>
        <v>45672</v>
      </c>
      <c r="K357" s="16" t="n">
        <f aca="false" t="array" ref="K357:K357">IFERROR(INDEX(AC357:AE357,IF(COUNTA(AC357:AE357)=0,"",MAX((AC357:AE357&lt;&gt;"")*(COLUMN(AC357:AE357)-(COLUMN(AC357)-1))))-1),"")</f>
        <v>46036</v>
      </c>
      <c r="L357" s="17" t="str">
        <f aca="false" t="array" ref="L357:L357">IFERROR(INDEX(AC357:AE357,IF(COUNTA(AC357:AE357)=0,"",MAX((AC357:AE357&lt;&gt;"")*(COLUMN(AC357:AE357)-(COLUMN(AC357)-2))))-1),"")</f>
        <v>ARCHIVED</v>
      </c>
      <c r="M357" s="13" t="n">
        <f aca="true">K357-TODAY()</f>
        <v>-288</v>
      </c>
      <c r="N357" s="18" t="s">
        <v>105</v>
      </c>
      <c r="O357" s="13" t="s">
        <v>106</v>
      </c>
      <c r="P357" s="19" t="n">
        <v>132300</v>
      </c>
      <c r="Q357" s="20" t="s">
        <v>1615</v>
      </c>
      <c r="R357" s="13" t="s">
        <v>39</v>
      </c>
      <c r="S357" s="25" t="n">
        <v>36205</v>
      </c>
      <c r="T357" s="13" t="s">
        <v>108</v>
      </c>
      <c r="U357" s="13" t="s">
        <v>1616</v>
      </c>
      <c r="V357" s="13" t="s">
        <v>42</v>
      </c>
      <c r="W357" s="13" t="s">
        <v>43</v>
      </c>
      <c r="X357" s="21" t="n">
        <v>82331706768</v>
      </c>
      <c r="Y357" s="22" t="str">
        <f aca="false">O357</f>
        <v>Produksi - Helper</v>
      </c>
      <c r="Z357" s="13" t="str">
        <f aca="false">IFERROR(__xludf.dummyfunction("if(BJ357="""","""",GOOGLETRANSLATE(BJ357,""auto"",""en""))"),"Production - Helper")</f>
        <v>Production - Helper</v>
      </c>
      <c r="AA357" s="23" t="str">
        <f aca="false">IF(C357="","", CHOOSE(MONTH(C357),"January","February","March","April","May","June","July","August","September","October","November","December")&amp;" "&amp;DAY(C357)&amp;MID("thstndrdth",MIN(9,2*RIGHT(DAY(C357))*(MOD(DAY(C357)-11,100)&gt;2)+1),2)&amp;","&amp;TEXT(C357," yyyy"))</f>
        <v>January 15th,2020</v>
      </c>
      <c r="AB357" s="15" t="str">
        <f aca="true">IF(S357="","",DATEDIF(S357,TODAY(),"Y")&amp;" Tahun, "&amp;DATEDIF(S357,TODAY(),"YM")&amp;" Bulan, "&amp;DATEDIF(S357,TODAY(),"MD")&amp;" Hari")</f>
        <v>27 Tahun, 8 Bulan, 15 Hari</v>
      </c>
      <c r="AC357" s="18" t="n">
        <v>45672</v>
      </c>
      <c r="AD357" s="18" t="n">
        <v>46036</v>
      </c>
      <c r="AE357" s="18" t="s">
        <v>44</v>
      </c>
    </row>
    <row r="358" customFormat="false" ht="15.75" hidden="false" customHeight="true" outlineLevel="0" collapsed="false">
      <c r="A358" s="12" t="n">
        <v>2010</v>
      </c>
      <c r="B358" s="13" t="s">
        <v>1617</v>
      </c>
      <c r="C358" s="14" t="n">
        <v>43994</v>
      </c>
      <c r="D358" s="13" t="s">
        <v>101</v>
      </c>
      <c r="E358" s="15" t="s">
        <v>33</v>
      </c>
      <c r="F358" s="24" t="s">
        <v>1618</v>
      </c>
      <c r="G358" s="13" t="s">
        <v>1619</v>
      </c>
      <c r="H358" s="13" t="s">
        <v>35</v>
      </c>
      <c r="I358" s="13" t="str">
        <f aca="false">IF(C358=J358,"NEW KONTRAK","RE-KONTRAK")</f>
        <v>RE-KONTRAK</v>
      </c>
      <c r="J358" s="16" t="n">
        <f aca="false" t="array" ref="J358:J358">IFERROR(INDEX(AC358:AE358,IF(COUNTA(AC358:AE358)=0,"",MAX((AC358:AE358&lt;&gt;"")*(COLUMN(AC358:AE358)-(COLUMN(AC358)))))-1),"")</f>
        <v>45672</v>
      </c>
      <c r="K358" s="16" t="n">
        <f aca="false" t="array" ref="K358:K358">IFERROR(INDEX(AC358:AE358,IF(COUNTA(AC358:AE358)=0,"",MAX((AC358:AE358&lt;&gt;"")*(COLUMN(AC358:AE358)-(COLUMN(AC358)-1))))-1),"")</f>
        <v>46036</v>
      </c>
      <c r="L358" s="17" t="str">
        <f aca="false" t="array" ref="L358:L358">IFERROR(INDEX(AC358:AE358,IF(COUNTA(AC358:AE358)=0,"",MAX((AC358:AE358&lt;&gt;"")*(COLUMN(AC358:AE358)-(COLUMN(AC358)-2))))-1),"")</f>
        <v>ARCHIVED</v>
      </c>
      <c r="M358" s="13" t="n">
        <f aca="true">K358-TODAY()</f>
        <v>-288</v>
      </c>
      <c r="N358" s="18" t="s">
        <v>105</v>
      </c>
      <c r="O358" s="13" t="s">
        <v>58</v>
      </c>
      <c r="P358" s="19" t="n">
        <v>126000</v>
      </c>
      <c r="Q358" s="20" t="s">
        <v>1620</v>
      </c>
      <c r="R358" s="13" t="s">
        <v>39</v>
      </c>
      <c r="S358" s="25" t="n">
        <v>36986</v>
      </c>
      <c r="T358" s="13" t="s">
        <v>108</v>
      </c>
      <c r="U358" s="13" t="s">
        <v>1621</v>
      </c>
      <c r="V358" s="13" t="s">
        <v>42</v>
      </c>
      <c r="W358" s="13" t="s">
        <v>43</v>
      </c>
      <c r="X358" s="21" t="n">
        <v>81333273086</v>
      </c>
      <c r="Y358" s="22" t="str">
        <f aca="false">O358</f>
        <v>Produksi</v>
      </c>
      <c r="Z358" s="13" t="str">
        <f aca="false">IFERROR(__xludf.dummyfunction("if(BJ358="""","""",GOOGLETRANSLATE(BJ358,""auto"",""en""))"),"Production")</f>
        <v>Production</v>
      </c>
      <c r="AA358" s="23" t="str">
        <f aca="false">IF(C358="","", CHOOSE(MONTH(C358),"January","February","March","April","May","June","July","August","September","October","November","December")&amp;" "&amp;DAY(C358)&amp;MID("thstndrdth",MIN(9,2*RIGHT(DAY(C358))*(MOD(DAY(C358)-11,100)&gt;2)+1),2)&amp;","&amp;TEXT(C358," yyyy"))</f>
        <v>June 12th,2020</v>
      </c>
      <c r="AB358" s="15" t="str">
        <f aca="true">IF(S358="","",DATEDIF(S358,TODAY(),"Y")&amp;" Tahun, "&amp;DATEDIF(S358,TODAY(),"YM")&amp;" Bulan, "&amp;DATEDIF(S358,TODAY(),"MD")&amp;" Hari")</f>
        <v>25 Tahun, 6 Bulan, 24 Hari</v>
      </c>
      <c r="AC358" s="18" t="n">
        <v>45672</v>
      </c>
      <c r="AD358" s="18" t="n">
        <v>46036</v>
      </c>
      <c r="AE358" s="18" t="s">
        <v>44</v>
      </c>
    </row>
    <row r="359" customFormat="false" ht="15.75" hidden="false" customHeight="true" outlineLevel="0" collapsed="false">
      <c r="A359" s="12" t="n">
        <v>2019</v>
      </c>
      <c r="B359" s="13" t="s">
        <v>1622</v>
      </c>
      <c r="C359" s="14" t="n">
        <v>43845</v>
      </c>
      <c r="D359" s="13" t="s">
        <v>101</v>
      </c>
      <c r="E359" s="15" t="s">
        <v>102</v>
      </c>
      <c r="F359" s="15" t="str">
        <f aca="false">IFERROR(__xludf.dummyfunction("XLOOKUP(AJ359,IMPORTRANGE(""1XaInW9DU9nz21V0tYIfzFQ0He9kVQ_JF2mCXgZ3hqFA"",""REKAP ALL 2026 - Andika!G:G""),IMPORTRANGE(""1XaInW9DU9nz21V0tYIfzFQ0He9kVQ_JF2mCXgZ3hqFA"",""REKAP ALL 2026 - Andika!F:F""),"""",0)"),"20021314511")</f>
        <v>20021314511</v>
      </c>
      <c r="G359" s="13" t="s">
        <v>1623</v>
      </c>
      <c r="H359" s="13" t="s">
        <v>35</v>
      </c>
      <c r="I359" s="13" t="str">
        <f aca="false">IF(C359=J359,"NEW KONTRAK","RE-KONTRAK")</f>
        <v>RE-KONTRAK</v>
      </c>
      <c r="J359" s="16" t="n">
        <f aca="false" t="array" ref="J359:J359">IFERROR(INDEX(AC359:AE359,IF(COUNTA(AC359:AE359)=0,"",MAX((AC359:AE359&lt;&gt;"")*(COLUMN(AC359:AE359)-(COLUMN(AC359)))))-1),"")</f>
        <v>45672</v>
      </c>
      <c r="K359" s="16" t="n">
        <f aca="false" t="array" ref="K359:K359">IFERROR(INDEX(AC359:AE359,IF(COUNTA(AC359:AE359)=0,"",MAX((AC359:AE359&lt;&gt;"")*(COLUMN(AC359:AE359)-(COLUMN(AC359)-1))))-1),"")</f>
        <v>46036</v>
      </c>
      <c r="L359" s="17" t="str">
        <f aca="false" t="array" ref="L359:L359">IFERROR(INDEX(AC359:AE359,IF(COUNTA(AC359:AE359)=0,"",MAX((AC359:AE359&lt;&gt;"")*(COLUMN(AC359:AE359)-(COLUMN(AC359)-2))))-1),"")</f>
        <v>ARCHIVED</v>
      </c>
      <c r="M359" s="13" t="n">
        <f aca="true">K359-TODAY()</f>
        <v>-288</v>
      </c>
      <c r="N359" s="18" t="s">
        <v>105</v>
      </c>
      <c r="O359" s="13" t="s">
        <v>106</v>
      </c>
      <c r="P359" s="19" t="n">
        <v>132300</v>
      </c>
      <c r="Q359" s="20" t="s">
        <v>1624</v>
      </c>
      <c r="R359" s="13" t="s">
        <v>39</v>
      </c>
      <c r="S359" s="25" t="n">
        <v>36492</v>
      </c>
      <c r="T359" s="13" t="s">
        <v>108</v>
      </c>
      <c r="U359" s="13" t="s">
        <v>1625</v>
      </c>
      <c r="V359" s="13" t="s">
        <v>42</v>
      </c>
      <c r="W359" s="13" t="s">
        <v>43</v>
      </c>
      <c r="X359" s="21" t="n">
        <v>8887047938</v>
      </c>
      <c r="Y359" s="22" t="str">
        <f aca="false">O359</f>
        <v>Produksi - Helper</v>
      </c>
      <c r="Z359" s="13" t="str">
        <f aca="false">IFERROR(__xludf.dummyfunction("if(BJ359="""","""",GOOGLETRANSLATE(BJ359,""auto"",""en""))"),"Production - Helper")</f>
        <v>Production - Helper</v>
      </c>
      <c r="AA359" s="23" t="str">
        <f aca="false">IF(C359="","", CHOOSE(MONTH(C359),"January","February","March","April","May","June","July","August","September","October","November","December")&amp;" "&amp;DAY(C359)&amp;MID("thstndrdth",MIN(9,2*RIGHT(DAY(C359))*(MOD(DAY(C359)-11,100)&gt;2)+1),2)&amp;","&amp;TEXT(C359," yyyy"))</f>
        <v>January 15th,2020</v>
      </c>
      <c r="AB359" s="15" t="str">
        <f aca="true">IF(S359="","",DATEDIF(S359,TODAY(),"Y")&amp;" Tahun, "&amp;DATEDIF(S359,TODAY(),"YM")&amp;" Bulan, "&amp;DATEDIF(S359,TODAY(),"MD")&amp;" Hari")</f>
        <v>26 Tahun, 11 Bulan, 1 Hari</v>
      </c>
      <c r="AC359" s="18" t="n">
        <v>45672</v>
      </c>
      <c r="AD359" s="18" t="n">
        <v>46036</v>
      </c>
      <c r="AE359" s="18" t="s">
        <v>44</v>
      </c>
    </row>
    <row r="360" customFormat="false" ht="15.75" hidden="false" customHeight="true" outlineLevel="0" collapsed="false">
      <c r="A360" s="12" t="n">
        <v>12370</v>
      </c>
      <c r="B360" s="13" t="s">
        <v>1626</v>
      </c>
      <c r="C360" s="14" t="n">
        <v>45108</v>
      </c>
      <c r="D360" s="13" t="s">
        <v>101</v>
      </c>
      <c r="E360" s="15" t="s">
        <v>47</v>
      </c>
      <c r="F360" s="15" t="str">
        <f aca="false">IFERROR(__xludf.dummyfunction("XLOOKUP(AJ360,IMPORTRANGE(""1XaInW9DU9nz21V0tYIfzFQ0He9kVQ_JF2mCXgZ3hqFA"",""REKAP ALL 2026 - Andika!G:G""),IMPORTRANGE(""1XaInW9DU9nz21V0tYIfzFQ0He9kVQ_JF2mCXgZ3hqFA"",""REKAP ALL 2026 - Andika!F:F""),"""",0)"),"23113700498")</f>
        <v>23113700498</v>
      </c>
      <c r="G360" s="13" t="s">
        <v>1627</v>
      </c>
      <c r="H360" s="13" t="s">
        <v>35</v>
      </c>
      <c r="I360" s="13" t="str">
        <f aca="false">IF(C360=J360,"NEW KONTRAK","RE-KONTRAK")</f>
        <v>RE-KONTRAK</v>
      </c>
      <c r="J360" s="16" t="n">
        <f aca="false" t="array" ref="J360:J360">IFERROR(INDEX(AC360:AE360,IF(COUNTA(AC360:AE360)=0,"",MAX((AC360:AE360&lt;&gt;"")*(COLUMN(AC360:AE360)-(COLUMN(AC360)))))-1),"")</f>
        <v>45672</v>
      </c>
      <c r="K360" s="16" t="n">
        <f aca="false" t="array" ref="K360:K360">IFERROR(INDEX(AC360:AE360,IF(COUNTA(AC360:AE360)=0,"",MAX((AC360:AE360&lt;&gt;"")*(COLUMN(AC360:AE360)-(COLUMN(AC360)-1))))-1),"")</f>
        <v>46036</v>
      </c>
      <c r="L360" s="17" t="str">
        <f aca="false" t="array" ref="L360:L360">IFERROR(INDEX(AC360:AE360,IF(COUNTA(AC360:AE360)=0,"",MAX((AC360:AE360&lt;&gt;"")*(COLUMN(AC360:AE360)-(COLUMN(AC360)-2))))-1),"")</f>
        <v>ARCHIVED</v>
      </c>
      <c r="M360" s="13" t="n">
        <f aca="true">K360-TODAY()</f>
        <v>-288</v>
      </c>
      <c r="N360" s="18" t="s">
        <v>105</v>
      </c>
      <c r="O360" s="13" t="s">
        <v>106</v>
      </c>
      <c r="P360" s="31" t="n">
        <v>138915</v>
      </c>
      <c r="Q360" s="20" t="s">
        <v>1628</v>
      </c>
      <c r="R360" s="13" t="s">
        <v>39</v>
      </c>
      <c r="S360" s="25" t="n">
        <v>37539</v>
      </c>
      <c r="T360" s="13" t="s">
        <v>40</v>
      </c>
      <c r="U360" s="13" t="s">
        <v>1629</v>
      </c>
      <c r="V360" s="13" t="s">
        <v>42</v>
      </c>
      <c r="W360" s="13" t="s">
        <v>43</v>
      </c>
      <c r="X360" s="21" t="n">
        <v>81233538952</v>
      </c>
      <c r="Y360" s="22" t="str">
        <f aca="false">O360</f>
        <v>Produksi - Helper</v>
      </c>
      <c r="Z360" s="13" t="str">
        <f aca="false">IFERROR(__xludf.dummyfunction("if(BJ360="""","""",GOOGLETRANSLATE(BJ360,""auto"",""en""))"),"Production - Helper")</f>
        <v>Production - Helper</v>
      </c>
      <c r="AA360" s="23" t="str">
        <f aca="false">IF(C360="","", CHOOSE(MONTH(C360),"January","February","March","April","May","June","July","August","September","October","November","December")&amp;" "&amp;DAY(C360)&amp;MID("thstndrdth",MIN(9,2*RIGHT(DAY(C360))*(MOD(DAY(C360)-11,100)&gt;2)+1),2)&amp;","&amp;TEXT(C360," yyyy"))</f>
        <v>July 1st,2023</v>
      </c>
      <c r="AB360" s="15" t="str">
        <f aca="true">IF(S360="","",DATEDIF(S360,TODAY(),"Y")&amp;" Tahun, "&amp;DATEDIF(S360,TODAY(),"YM")&amp;" Bulan, "&amp;DATEDIF(S360,TODAY(),"MD")&amp;" Hari")</f>
        <v>24 Tahun, 0 Bulan, 19 Hari</v>
      </c>
      <c r="AC360" s="18" t="n">
        <v>45672</v>
      </c>
      <c r="AD360" s="18" t="n">
        <v>46036</v>
      </c>
      <c r="AE360" s="18" t="s">
        <v>44</v>
      </c>
    </row>
    <row r="361" customFormat="false" ht="15.75" hidden="false" customHeight="true" outlineLevel="0" collapsed="false">
      <c r="A361" s="12" t="n">
        <v>2054</v>
      </c>
      <c r="B361" s="13" t="s">
        <v>1630</v>
      </c>
      <c r="C361" s="14" t="n">
        <v>43845</v>
      </c>
      <c r="D361" s="13" t="s">
        <v>101</v>
      </c>
      <c r="E361" s="15" t="s">
        <v>102</v>
      </c>
      <c r="F361" s="15" t="str">
        <f aca="false">IFERROR(__xludf.dummyfunction("XLOOKUP(AJ361,IMPORTRANGE(""1XaInW9DU9nz21V0tYIfzFQ0He9kVQ_JF2mCXgZ3hqFA"",""REKAP ALL 2026 - Andika!G:G""),IMPORTRANGE(""1XaInW9DU9nz21V0tYIfzFQ0He9kVQ_JF2mCXgZ3hqFA"",""REKAP ALL 2026 - Andika!F:F""),"""",0)"),"20021314768")</f>
        <v>20021314768</v>
      </c>
      <c r="G361" s="13" t="s">
        <v>1631</v>
      </c>
      <c r="H361" s="13" t="s">
        <v>35</v>
      </c>
      <c r="I361" s="13" t="str">
        <f aca="false">IF(C361=J361,"NEW KONTRAK","RE-KONTRAK")</f>
        <v>RE-KONTRAK</v>
      </c>
      <c r="J361" s="16" t="n">
        <f aca="false" t="array" ref="J361:J361">IFERROR(INDEX(AC361:AE361,IF(COUNTA(AC361:AE361)=0,"",MAX((AC361:AE361&lt;&gt;"")*(COLUMN(AC361:AE361)-(COLUMN(AC361)))))-1),"")</f>
        <v>45672</v>
      </c>
      <c r="K361" s="16" t="n">
        <f aca="false" t="array" ref="K361:K361">IFERROR(INDEX(AC361:AE361,IF(COUNTA(AC361:AE361)=0,"",MAX((AC361:AE361&lt;&gt;"")*(COLUMN(AC361:AE361)-(COLUMN(AC361)-1))))-1),"")</f>
        <v>46036</v>
      </c>
      <c r="L361" s="17" t="str">
        <f aca="false" t="array" ref="L361:L361">IFERROR(INDEX(AC361:AE361,IF(COUNTA(AC361:AE361)=0,"",MAX((AC361:AE361&lt;&gt;"")*(COLUMN(AC361:AE361)-(COLUMN(AC361)-2))))-1),"")</f>
        <v>ARCHIVED</v>
      </c>
      <c r="M361" s="13" t="n">
        <f aca="true">K361-TODAY()</f>
        <v>-288</v>
      </c>
      <c r="N361" s="18" t="s">
        <v>105</v>
      </c>
      <c r="O361" s="13" t="s">
        <v>106</v>
      </c>
      <c r="P361" s="19" t="n">
        <v>132300</v>
      </c>
      <c r="Q361" s="20" t="s">
        <v>1632</v>
      </c>
      <c r="R361" s="13" t="s">
        <v>73</v>
      </c>
      <c r="S361" s="25" t="n">
        <v>34782</v>
      </c>
      <c r="T361" s="13" t="s">
        <v>108</v>
      </c>
      <c r="U361" s="13" t="s">
        <v>1633</v>
      </c>
      <c r="V361" s="13" t="s">
        <v>42</v>
      </c>
      <c r="W361" s="13" t="s">
        <v>43</v>
      </c>
      <c r="X361" s="21" t="n">
        <v>85731390372</v>
      </c>
      <c r="Y361" s="22" t="str">
        <f aca="false">O361</f>
        <v>Produksi - Helper</v>
      </c>
      <c r="Z361" s="13" t="str">
        <f aca="false">IFERROR(__xludf.dummyfunction("if(BJ361="""","""",GOOGLETRANSLATE(BJ361,""auto"",""en""))"),"Production - Helper")</f>
        <v>Production - Helper</v>
      </c>
      <c r="AA361" s="23" t="str">
        <f aca="false">IF(C361="","", CHOOSE(MONTH(C361),"January","February","March","April","May","June","July","August","September","October","November","December")&amp;" "&amp;DAY(C361)&amp;MID("thstndrdth",MIN(9,2*RIGHT(DAY(C361))*(MOD(DAY(C361)-11,100)&gt;2)+1),2)&amp;","&amp;TEXT(C361," yyyy"))</f>
        <v>January 15th,2020</v>
      </c>
      <c r="AB361" s="15" t="str">
        <f aca="true">IF(S361="","",DATEDIF(S361,TODAY(),"Y")&amp;" Tahun, "&amp;DATEDIF(S361,TODAY(),"YM")&amp;" Bulan, "&amp;DATEDIF(S361,TODAY(),"MD")&amp;" Hari")</f>
        <v>31 Tahun, 7 Bulan, 5 Hari</v>
      </c>
      <c r="AC361" s="18" t="n">
        <v>45672</v>
      </c>
      <c r="AD361" s="18" t="n">
        <v>46036</v>
      </c>
      <c r="AE361" s="18" t="s">
        <v>44</v>
      </c>
    </row>
    <row r="362" customFormat="false" ht="15.75" hidden="false" customHeight="true" outlineLevel="0" collapsed="false">
      <c r="A362" s="12" t="n">
        <v>2057</v>
      </c>
      <c r="B362" s="13" t="s">
        <v>1634</v>
      </c>
      <c r="C362" s="14" t="n">
        <v>43845</v>
      </c>
      <c r="D362" s="13" t="s">
        <v>101</v>
      </c>
      <c r="E362" s="15" t="s">
        <v>33</v>
      </c>
      <c r="F362" s="24" t="s">
        <v>1635</v>
      </c>
      <c r="G362" s="13" t="s">
        <v>1636</v>
      </c>
      <c r="H362" s="13" t="s">
        <v>35</v>
      </c>
      <c r="I362" s="13" t="str">
        <f aca="false">IF(C362=J362,"NEW KONTRAK","RE-KONTRAK")</f>
        <v>RE-KONTRAK</v>
      </c>
      <c r="J362" s="16" t="n">
        <f aca="false" t="array" ref="J362:J362">IFERROR(INDEX(AC362:AE362,IF(COUNTA(AC362:AE362)=0,"",MAX((AC362:AE362&lt;&gt;"")*(COLUMN(AC362:AE362)-(COLUMN(AC362)))))-1),"")</f>
        <v>45672</v>
      </c>
      <c r="K362" s="16" t="n">
        <f aca="false" t="array" ref="K362:K362">IFERROR(INDEX(AC362:AE362,IF(COUNTA(AC362:AE362)=0,"",MAX((AC362:AE362&lt;&gt;"")*(COLUMN(AC362:AE362)-(COLUMN(AC362)-1))))-1),"")</f>
        <v>46036</v>
      </c>
      <c r="L362" s="17" t="str">
        <f aca="false" t="array" ref="L362:L362">IFERROR(INDEX(AC362:AE362,IF(COUNTA(AC362:AE362)=0,"",MAX((AC362:AE362&lt;&gt;"")*(COLUMN(AC362:AE362)-(COLUMN(AC362)-2))))-1),"")</f>
        <v>ARCHIVED</v>
      </c>
      <c r="M362" s="13" t="n">
        <f aca="true">K362-TODAY()</f>
        <v>-288</v>
      </c>
      <c r="N362" s="18" t="s">
        <v>105</v>
      </c>
      <c r="O362" s="13" t="s">
        <v>58</v>
      </c>
      <c r="P362" s="19" t="n">
        <v>126000</v>
      </c>
      <c r="Q362" s="20" t="s">
        <v>1637</v>
      </c>
      <c r="R362" s="13" t="s">
        <v>39</v>
      </c>
      <c r="S362" s="25" t="n">
        <v>36715</v>
      </c>
      <c r="T362" s="13" t="s">
        <v>108</v>
      </c>
      <c r="U362" s="13" t="s">
        <v>1638</v>
      </c>
      <c r="V362" s="13" t="s">
        <v>42</v>
      </c>
      <c r="W362" s="13" t="s">
        <v>43</v>
      </c>
      <c r="X362" s="21" t="n">
        <v>8563282011</v>
      </c>
      <c r="Y362" s="22" t="str">
        <f aca="false">O362</f>
        <v>Produksi</v>
      </c>
      <c r="Z362" s="13" t="str">
        <f aca="false">IFERROR(__xludf.dummyfunction("if(BJ362="""","""",GOOGLETRANSLATE(BJ362,""auto"",""en""))"),"Production")</f>
        <v>Production</v>
      </c>
      <c r="AA362" s="23" t="str">
        <f aca="false">IF(C362="","", CHOOSE(MONTH(C362),"January","February","March","April","May","June","July","August","September","October","November","December")&amp;" "&amp;DAY(C362)&amp;MID("thstndrdth",MIN(9,2*RIGHT(DAY(C362))*(MOD(DAY(C362)-11,100)&gt;2)+1),2)&amp;","&amp;TEXT(C362," yyyy"))</f>
        <v>January 15th,2020</v>
      </c>
      <c r="AB362" s="15" t="str">
        <f aca="true">IF(S362="","",DATEDIF(S362,TODAY(),"Y")&amp;" Tahun, "&amp;DATEDIF(S362,TODAY(),"YM")&amp;" Bulan, "&amp;DATEDIF(S362,TODAY(),"MD")&amp;" Hari")</f>
        <v>26 Tahun, 3 Bulan, 21 Hari</v>
      </c>
      <c r="AC362" s="18" t="n">
        <v>45672</v>
      </c>
      <c r="AD362" s="18" t="n">
        <v>46036</v>
      </c>
      <c r="AE362" s="18" t="s">
        <v>44</v>
      </c>
    </row>
    <row r="363" customFormat="false" ht="15.75" hidden="false" customHeight="true" outlineLevel="0" collapsed="false">
      <c r="A363" s="12" t="n">
        <v>2067</v>
      </c>
      <c r="B363" s="13" t="s">
        <v>1639</v>
      </c>
      <c r="C363" s="14" t="n">
        <v>43845</v>
      </c>
      <c r="D363" s="13" t="s">
        <v>101</v>
      </c>
      <c r="E363" s="15" t="s">
        <v>102</v>
      </c>
      <c r="F363" s="15" t="str">
        <f aca="false">IFERROR(__xludf.dummyfunction("XLOOKUP(AJ363,IMPORTRANGE(""1XaInW9DU9nz21V0tYIfzFQ0He9kVQ_JF2mCXgZ3hqFA"",""REKAP ALL 2026 - Andika!G:G""),IMPORTRANGE(""1XaInW9DU9nz21V0tYIfzFQ0He9kVQ_JF2mCXgZ3hqFA"",""REKAP ALL 2026 - Andika!F:F""),"""",0)"),"20021315229")</f>
        <v>20021315229</v>
      </c>
      <c r="G363" s="13" t="s">
        <v>1640</v>
      </c>
      <c r="H363" s="13" t="s">
        <v>35</v>
      </c>
      <c r="I363" s="13" t="str">
        <f aca="false">IF(C363=J363,"NEW KONTRAK","RE-KONTRAK")</f>
        <v>RE-KONTRAK</v>
      </c>
      <c r="J363" s="16" t="n">
        <f aca="false" t="array" ref="J363:J363">IFERROR(INDEX(AC363:AE363,IF(COUNTA(AC363:AE363)=0,"",MAX((AC363:AE363&lt;&gt;"")*(COLUMN(AC363:AE363)-(COLUMN(AC363)))))-1),"")</f>
        <v>45672</v>
      </c>
      <c r="K363" s="16" t="n">
        <f aca="false" t="array" ref="K363:K363">IFERROR(INDEX(AC363:AE363,IF(COUNTA(AC363:AE363)=0,"",MAX((AC363:AE363&lt;&gt;"")*(COLUMN(AC363:AE363)-(COLUMN(AC363)-1))))-1),"")</f>
        <v>46036</v>
      </c>
      <c r="L363" s="17" t="str">
        <f aca="false" t="array" ref="L363:L363">IFERROR(INDEX(AC363:AE363,IF(COUNTA(AC363:AE363)=0,"",MAX((AC363:AE363&lt;&gt;"")*(COLUMN(AC363:AE363)-(COLUMN(AC363)-2))))-1),"")</f>
        <v>ARCHIVED</v>
      </c>
      <c r="M363" s="13" t="n">
        <f aca="true">K363-TODAY()</f>
        <v>-288</v>
      </c>
      <c r="N363" s="18" t="s">
        <v>105</v>
      </c>
      <c r="O363" s="13" t="s">
        <v>106</v>
      </c>
      <c r="P363" s="19" t="n">
        <v>132300</v>
      </c>
      <c r="Q363" s="20" t="s">
        <v>1641</v>
      </c>
      <c r="R363" s="13" t="s">
        <v>52</v>
      </c>
      <c r="S363" s="25" t="n">
        <v>36820</v>
      </c>
      <c r="T363" s="13" t="s">
        <v>40</v>
      </c>
      <c r="U363" s="13" t="s">
        <v>1642</v>
      </c>
      <c r="V363" s="13" t="s">
        <v>42</v>
      </c>
      <c r="W363" s="13" t="s">
        <v>43</v>
      </c>
      <c r="X363" s="21" t="n">
        <v>85608360639</v>
      </c>
      <c r="Y363" s="22" t="str">
        <f aca="false">O363</f>
        <v>Produksi - Helper</v>
      </c>
      <c r="Z363" s="13" t="str">
        <f aca="false">IFERROR(__xludf.dummyfunction("if(BJ363="""","""",GOOGLETRANSLATE(BJ363,""auto"",""en""))"),"Production - Helper")</f>
        <v>Production - Helper</v>
      </c>
      <c r="AA363" s="23" t="str">
        <f aca="false">IF(C363="","", CHOOSE(MONTH(C363),"January","February","March","April","May","June","July","August","September","October","November","December")&amp;" "&amp;DAY(C363)&amp;MID("thstndrdth",MIN(9,2*RIGHT(DAY(C363))*(MOD(DAY(C363)-11,100)&gt;2)+1),2)&amp;","&amp;TEXT(C363," yyyy"))</f>
        <v>January 15th,2020</v>
      </c>
      <c r="AB363" s="15" t="str">
        <f aca="true">IF(S363="","",DATEDIF(S363,TODAY(),"Y")&amp;" Tahun, "&amp;DATEDIF(S363,TODAY(),"YM")&amp;" Bulan, "&amp;DATEDIF(S363,TODAY(),"MD")&amp;" Hari")</f>
        <v>26 Tahun, 0 Bulan, 8 Hari</v>
      </c>
      <c r="AC363" s="18" t="n">
        <v>45672</v>
      </c>
      <c r="AD363" s="18" t="n">
        <v>46036</v>
      </c>
      <c r="AE363" s="18" t="s">
        <v>44</v>
      </c>
    </row>
    <row r="364" customFormat="false" ht="15.75" hidden="false" customHeight="true" outlineLevel="0" collapsed="false">
      <c r="A364" s="12" t="n">
        <v>2069</v>
      </c>
      <c r="B364" s="13" t="s">
        <v>1643</v>
      </c>
      <c r="C364" s="14" t="n">
        <v>43845</v>
      </c>
      <c r="D364" s="13" t="s">
        <v>101</v>
      </c>
      <c r="E364" s="15" t="s">
        <v>102</v>
      </c>
      <c r="F364" s="15" t="str">
        <f aca="false">IFERROR(__xludf.dummyfunction("XLOOKUP(AJ364,IMPORTRANGE(""1XaInW9DU9nz21V0tYIfzFQ0He9kVQ_JF2mCXgZ3hqFA"",""REKAP ALL 2026 - Andika!G:G""),IMPORTRANGE(""1XaInW9DU9nz21V0tYIfzFQ0He9kVQ_JF2mCXgZ3hqFA"",""REKAP ALL 2026 - Andika!F:F""),"""",0)"),"20021315377")</f>
        <v>20021315377</v>
      </c>
      <c r="G364" s="13" t="s">
        <v>1644</v>
      </c>
      <c r="H364" s="13" t="s">
        <v>35</v>
      </c>
      <c r="I364" s="13" t="str">
        <f aca="false">IF(C364=J364,"NEW KONTRAK","RE-KONTRAK")</f>
        <v>RE-KONTRAK</v>
      </c>
      <c r="J364" s="16" t="n">
        <f aca="false" t="array" ref="J364:J364">IFERROR(INDEX(AC364:AE364,IF(COUNTA(AC364:AE364)=0,"",MAX((AC364:AE364&lt;&gt;"")*(COLUMN(AC364:AE364)-(COLUMN(AC364)))))-1),"")</f>
        <v>45672</v>
      </c>
      <c r="K364" s="16" t="n">
        <f aca="false" t="array" ref="K364:K364">IFERROR(INDEX(AC364:AE364,IF(COUNTA(AC364:AE364)=0,"",MAX((AC364:AE364&lt;&gt;"")*(COLUMN(AC364:AE364)-(COLUMN(AC364)-1))))-1),"")</f>
        <v>46036</v>
      </c>
      <c r="L364" s="17" t="str">
        <f aca="false" t="array" ref="L364:L364">IFERROR(INDEX(AC364:AE364,IF(COUNTA(AC364:AE364)=0,"",MAX((AC364:AE364&lt;&gt;"")*(COLUMN(AC364:AE364)-(COLUMN(AC364)-2))))-1),"")</f>
        <v>ARCHIVED</v>
      </c>
      <c r="M364" s="13" t="n">
        <f aca="true">K364-TODAY()</f>
        <v>-288</v>
      </c>
      <c r="N364" s="18" t="s">
        <v>105</v>
      </c>
      <c r="O364" s="13" t="s">
        <v>106</v>
      </c>
      <c r="P364" s="19" t="n">
        <v>132300</v>
      </c>
      <c r="Q364" s="20" t="s">
        <v>1645</v>
      </c>
      <c r="R364" s="13" t="s">
        <v>52</v>
      </c>
      <c r="S364" s="25" t="n">
        <v>36160</v>
      </c>
      <c r="T364" s="13" t="s">
        <v>40</v>
      </c>
      <c r="U364" s="13" t="s">
        <v>1646</v>
      </c>
      <c r="V364" s="13" t="s">
        <v>42</v>
      </c>
      <c r="W364" s="13" t="s">
        <v>43</v>
      </c>
      <c r="X364" s="21" t="n">
        <v>8980301200</v>
      </c>
      <c r="Y364" s="22" t="str">
        <f aca="false">O364</f>
        <v>Produksi - Helper</v>
      </c>
      <c r="Z364" s="13" t="str">
        <f aca="false">IFERROR(__xludf.dummyfunction("if(BJ364="""","""",GOOGLETRANSLATE(BJ364,""auto"",""en""))"),"Production - Helper")</f>
        <v>Production - Helper</v>
      </c>
      <c r="AA364" s="23" t="str">
        <f aca="false">IF(C364="","", CHOOSE(MONTH(C364),"January","February","March","April","May","June","July","August","September","October","November","December")&amp;" "&amp;DAY(C364)&amp;MID("thstndrdth",MIN(9,2*RIGHT(DAY(C364))*(MOD(DAY(C364)-11,100)&gt;2)+1),2)&amp;","&amp;TEXT(C364," yyyy"))</f>
        <v>January 15th,2020</v>
      </c>
      <c r="AB364" s="15" t="str">
        <f aca="true">IF(S364="","",DATEDIF(S364,TODAY(),"Y")&amp;" Tahun, "&amp;DATEDIF(S364,TODAY(),"YM")&amp;" Bulan, "&amp;DATEDIF(S364,TODAY(),"MD")&amp;" Hari")</f>
        <v>27 Tahun, 9 Bulan, 28 Hari</v>
      </c>
      <c r="AC364" s="18" t="n">
        <v>45672</v>
      </c>
      <c r="AD364" s="18" t="n">
        <v>46036</v>
      </c>
      <c r="AE364" s="18" t="s">
        <v>44</v>
      </c>
    </row>
    <row r="365" customFormat="false" ht="15.75" hidden="false" customHeight="true" outlineLevel="0" collapsed="false">
      <c r="A365" s="12" t="n">
        <v>12371</v>
      </c>
      <c r="B365" s="13" t="s">
        <v>1647</v>
      </c>
      <c r="C365" s="14" t="n">
        <v>45108</v>
      </c>
      <c r="D365" s="13" t="s">
        <v>101</v>
      </c>
      <c r="E365" s="15" t="s">
        <v>47</v>
      </c>
      <c r="F365" s="15" t="str">
        <f aca="false">IFERROR(__xludf.dummyfunction("XLOOKUP(AJ365,IMPORTRANGE(""1XaInW9DU9nz21V0tYIfzFQ0He9kVQ_JF2mCXgZ3hqFA"",""REKAP ALL 2026 - Andika!G:G""),IMPORTRANGE(""1XaInW9DU9nz21V0tYIfzFQ0He9kVQ_JF2mCXgZ3hqFA"",""REKAP ALL 2026 - Andika!F:F""),"""",0)"),"23113700761")</f>
        <v>23113700761</v>
      </c>
      <c r="G365" s="13" t="s">
        <v>1648</v>
      </c>
      <c r="H365" s="13" t="s">
        <v>35</v>
      </c>
      <c r="I365" s="13" t="str">
        <f aca="false">IF(C365=J365,"NEW KONTRAK","RE-KONTRAK")</f>
        <v>RE-KONTRAK</v>
      </c>
      <c r="J365" s="16" t="n">
        <f aca="false" t="array" ref="J365:J365">IFERROR(INDEX(AC365:AE365,IF(COUNTA(AC365:AE365)=0,"",MAX((AC365:AE365&lt;&gt;"")*(COLUMN(AC365:AE365)-(COLUMN(AC365)))))-1),"")</f>
        <v>45672</v>
      </c>
      <c r="K365" s="16" t="n">
        <f aca="false" t="array" ref="K365:K365">IFERROR(INDEX(AC365:AE365,IF(COUNTA(AC365:AE365)=0,"",MAX((AC365:AE365&lt;&gt;"")*(COLUMN(AC365:AE365)-(COLUMN(AC365)-1))))-1),"")</f>
        <v>46036</v>
      </c>
      <c r="L365" s="17" t="str">
        <f aca="false" t="array" ref="L365:L365">IFERROR(INDEX(AC365:AE365,IF(COUNTA(AC365:AE365)=0,"",MAX((AC365:AE365&lt;&gt;"")*(COLUMN(AC365:AE365)-(COLUMN(AC365)-2))))-1),"")</f>
        <v>ARCHIVED</v>
      </c>
      <c r="M365" s="13" t="n">
        <f aca="true">K365-TODAY()</f>
        <v>-288</v>
      </c>
      <c r="N365" s="18" t="s">
        <v>105</v>
      </c>
      <c r="O365" s="13" t="s">
        <v>106</v>
      </c>
      <c r="P365" s="31" t="n">
        <v>138915</v>
      </c>
      <c r="Q365" s="20" t="s">
        <v>1649</v>
      </c>
      <c r="R365" s="13" t="s">
        <v>39</v>
      </c>
      <c r="S365" s="25" t="n">
        <v>37996</v>
      </c>
      <c r="T365" s="13" t="s">
        <v>108</v>
      </c>
      <c r="U365" s="13" t="s">
        <v>1650</v>
      </c>
      <c r="V365" s="13" t="s">
        <v>42</v>
      </c>
      <c r="W365" s="13" t="s">
        <v>43</v>
      </c>
      <c r="X365" s="21" t="n">
        <v>8315816562</v>
      </c>
      <c r="Y365" s="22" t="str">
        <f aca="false">O365</f>
        <v>Produksi - Helper</v>
      </c>
      <c r="Z365" s="13" t="str">
        <f aca="false">IFERROR(__xludf.dummyfunction("if(BJ365="""","""",GOOGLETRANSLATE(BJ365,""auto"",""en""))"),"Production - Helper")</f>
        <v>Production - Helper</v>
      </c>
      <c r="AA365" s="23" t="str">
        <f aca="false">IF(C365="","", CHOOSE(MONTH(C365),"January","February","March","April","May","June","July","August","September","October","November","December")&amp;" "&amp;DAY(C365)&amp;MID("thstndrdth",MIN(9,2*RIGHT(DAY(C365))*(MOD(DAY(C365)-11,100)&gt;2)+1),2)&amp;","&amp;TEXT(C365," yyyy"))</f>
        <v>July 1st,2023</v>
      </c>
      <c r="AB365" s="15" t="str">
        <f aca="true">IF(S365="","",DATEDIF(S365,TODAY(),"Y")&amp;" Tahun, "&amp;DATEDIF(S365,TODAY(),"YM")&amp;" Bulan, "&amp;DATEDIF(S365,TODAY(),"MD")&amp;" Hari")</f>
        <v>22 Tahun, 9 Bulan, 19 Hari</v>
      </c>
      <c r="AC365" s="18" t="n">
        <v>45672</v>
      </c>
      <c r="AD365" s="18" t="n">
        <v>46036</v>
      </c>
      <c r="AE365" s="18" t="s">
        <v>44</v>
      </c>
    </row>
    <row r="366" customFormat="false" ht="15.75" hidden="false" customHeight="true" outlineLevel="0" collapsed="false">
      <c r="A366" s="12" t="n">
        <v>2081</v>
      </c>
      <c r="B366" s="13" t="s">
        <v>1651</v>
      </c>
      <c r="C366" s="14" t="n">
        <v>44005</v>
      </c>
      <c r="D366" s="13" t="s">
        <v>101</v>
      </c>
      <c r="E366" s="15" t="s">
        <v>102</v>
      </c>
      <c r="F366" s="15" t="str">
        <f aca="false">IFERROR(__xludf.dummyfunction("XLOOKUP(AJ366,IMPORTRANGE(""1XaInW9DU9nz21V0tYIfzFQ0He9kVQ_JF2mCXgZ3hqFA"",""REKAP ALL 2026 - Andika!G:G""),IMPORTRANGE(""1XaInW9DU9nz21V0tYIfzFQ0He9kVQ_JF2mCXgZ3hqFA"",""REKAP ALL 2026 - Andika!F:F""),"""",0)"),"20061338883")</f>
        <v>20061338883</v>
      </c>
      <c r="G366" s="13" t="s">
        <v>1652</v>
      </c>
      <c r="H366" s="13" t="s">
        <v>35</v>
      </c>
      <c r="I366" s="13" t="str">
        <f aca="false">IF(C366=J366,"NEW KONTRAK","RE-KONTRAK")</f>
        <v>RE-KONTRAK</v>
      </c>
      <c r="J366" s="16" t="n">
        <f aca="false" t="array" ref="J366:J366">IFERROR(INDEX(AC366:AE366,IF(COUNTA(AC366:AE366)=0,"",MAX((AC366:AE366&lt;&gt;"")*(COLUMN(AC366:AE366)-(COLUMN(AC366)))))-1),"")</f>
        <v>45672</v>
      </c>
      <c r="K366" s="16" t="n">
        <f aca="false" t="array" ref="K366:K366">IFERROR(INDEX(AC366:AE366,IF(COUNTA(AC366:AE366)=0,"",MAX((AC366:AE366&lt;&gt;"")*(COLUMN(AC366:AE366)-(COLUMN(AC366)-1))))-1),"")</f>
        <v>46036</v>
      </c>
      <c r="L366" s="17" t="str">
        <f aca="false" t="array" ref="L366:L366">IFERROR(INDEX(AC366:AE366,IF(COUNTA(AC366:AE366)=0,"",MAX((AC366:AE366&lt;&gt;"")*(COLUMN(AC366:AE366)-(COLUMN(AC366)-2))))-1),"")</f>
        <v>ARCHIVED</v>
      </c>
      <c r="M366" s="13" t="n">
        <f aca="true">K366-TODAY()</f>
        <v>-288</v>
      </c>
      <c r="N366" s="18" t="s">
        <v>105</v>
      </c>
      <c r="O366" s="13" t="s">
        <v>106</v>
      </c>
      <c r="P366" s="19" t="n">
        <v>132300</v>
      </c>
      <c r="Q366" s="20" t="s">
        <v>1653</v>
      </c>
      <c r="R366" s="13" t="s">
        <v>52</v>
      </c>
      <c r="S366" s="25" t="n">
        <v>36793</v>
      </c>
      <c r="T366" s="13" t="s">
        <v>108</v>
      </c>
      <c r="U366" s="13" t="s">
        <v>1654</v>
      </c>
      <c r="V366" s="13" t="s">
        <v>42</v>
      </c>
      <c r="W366" s="13" t="s">
        <v>43</v>
      </c>
      <c r="X366" s="21" t="n">
        <v>8997613062</v>
      </c>
      <c r="Y366" s="22" t="str">
        <f aca="false">O366</f>
        <v>Produksi - Helper</v>
      </c>
      <c r="Z366" s="13" t="str">
        <f aca="false">IFERROR(__xludf.dummyfunction("if(BJ366="""","""",GOOGLETRANSLATE(BJ366,""auto"",""en""))"),"Production - Helper")</f>
        <v>Production - Helper</v>
      </c>
      <c r="AA366" s="23" t="str">
        <f aca="false">IF(C366="","", CHOOSE(MONTH(C366),"January","February","March","April","May","June","July","August","September","October","November","December")&amp;" "&amp;DAY(C366)&amp;MID("thstndrdth",MIN(9,2*RIGHT(DAY(C366))*(MOD(DAY(C366)-11,100)&gt;2)+1),2)&amp;","&amp;TEXT(C366," yyyy"))</f>
        <v>June 23rd,2020</v>
      </c>
      <c r="AB366" s="15" t="str">
        <f aca="true">IF(S366="","",DATEDIF(S366,TODAY(),"Y")&amp;" Tahun, "&amp;DATEDIF(S366,TODAY(),"YM")&amp;" Bulan, "&amp;DATEDIF(S366,TODAY(),"MD")&amp;" Hari")</f>
        <v>26 Tahun, 1 Bulan, 5 Hari</v>
      </c>
      <c r="AC366" s="18" t="n">
        <v>45672</v>
      </c>
      <c r="AD366" s="18" t="n">
        <v>46036</v>
      </c>
      <c r="AE366" s="18" t="s">
        <v>44</v>
      </c>
    </row>
    <row r="367" customFormat="false" ht="15.75" hidden="false" customHeight="true" outlineLevel="0" collapsed="false">
      <c r="A367" s="12" t="n">
        <v>2086</v>
      </c>
      <c r="B367" s="13" t="s">
        <v>1655</v>
      </c>
      <c r="C367" s="14" t="n">
        <v>43845</v>
      </c>
      <c r="D367" s="13" t="s">
        <v>101</v>
      </c>
      <c r="E367" s="15" t="s">
        <v>102</v>
      </c>
      <c r="F367" s="15" t="str">
        <f aca="false">IFERROR(__xludf.dummyfunction("XLOOKUP(AJ367,IMPORTRANGE(""1XaInW9DU9nz21V0tYIfzFQ0He9kVQ_JF2mCXgZ3hqFA"",""REKAP ALL 2026 - Andika!G:G""),IMPORTRANGE(""1XaInW9DU9nz21V0tYIfzFQ0He9kVQ_JF2mCXgZ3hqFA"",""REKAP ALL 2026 - Andika!F:F""),"""",0)"),"20021315971")</f>
        <v>20021315971</v>
      </c>
      <c r="G367" s="13" t="s">
        <v>1656</v>
      </c>
      <c r="H367" s="13" t="s">
        <v>35</v>
      </c>
      <c r="I367" s="13" t="str">
        <f aca="false">IF(C367=J367,"NEW KONTRAK","RE-KONTRAK")</f>
        <v>RE-KONTRAK</v>
      </c>
      <c r="J367" s="16" t="n">
        <f aca="false" t="array" ref="J367:J367">IFERROR(INDEX(AC367:AE367,IF(COUNTA(AC367:AE367)=0,"",MAX((AC367:AE367&lt;&gt;"")*(COLUMN(AC367:AE367)-(COLUMN(AC367)))))-1),"")</f>
        <v>45672</v>
      </c>
      <c r="K367" s="16" t="n">
        <f aca="false" t="array" ref="K367:K367">IFERROR(INDEX(AC367:AE367,IF(COUNTA(AC367:AE367)=0,"",MAX((AC367:AE367&lt;&gt;"")*(COLUMN(AC367:AE367)-(COLUMN(AC367)-1))))-1),"")</f>
        <v>46036</v>
      </c>
      <c r="L367" s="17" t="str">
        <f aca="false" t="array" ref="L367:L367">IFERROR(INDEX(AC367:AE367,IF(COUNTA(AC367:AE367)=0,"",MAX((AC367:AE367&lt;&gt;"")*(COLUMN(AC367:AE367)-(COLUMN(AC367)-2))))-1),"")</f>
        <v>ARCHIVED</v>
      </c>
      <c r="M367" s="13" t="n">
        <f aca="true">K367-TODAY()</f>
        <v>-288</v>
      </c>
      <c r="N367" s="18" t="s">
        <v>105</v>
      </c>
      <c r="O367" s="13" t="s">
        <v>106</v>
      </c>
      <c r="P367" s="19" t="n">
        <v>132300</v>
      </c>
      <c r="Q367" s="20" t="s">
        <v>1657</v>
      </c>
      <c r="R367" s="13" t="s">
        <v>39</v>
      </c>
      <c r="S367" s="25" t="n">
        <v>36896</v>
      </c>
      <c r="T367" s="13" t="s">
        <v>108</v>
      </c>
      <c r="U367" s="13" t="s">
        <v>1658</v>
      </c>
      <c r="V367" s="13" t="s">
        <v>42</v>
      </c>
      <c r="W367" s="13" t="s">
        <v>43</v>
      </c>
      <c r="X367" s="21" t="n">
        <v>87814463394</v>
      </c>
      <c r="Y367" s="22" t="str">
        <f aca="false">O367</f>
        <v>Produksi - Helper</v>
      </c>
      <c r="Z367" s="13" t="str">
        <f aca="false">IFERROR(__xludf.dummyfunction("if(BJ367="""","""",GOOGLETRANSLATE(BJ367,""auto"",""en""))"),"Production - Helper")</f>
        <v>Production - Helper</v>
      </c>
      <c r="AA367" s="23" t="str">
        <f aca="false">IF(C367="","", CHOOSE(MONTH(C367),"January","February","March","April","May","June","July","August","September","October","November","December")&amp;" "&amp;DAY(C367)&amp;MID("thstndrdth",MIN(9,2*RIGHT(DAY(C367))*(MOD(DAY(C367)-11,100)&gt;2)+1),2)&amp;","&amp;TEXT(C367," yyyy"))</f>
        <v>January 15th,2020</v>
      </c>
      <c r="AB367" s="15" t="str">
        <f aca="true">IF(S367="","",DATEDIF(S367,TODAY(),"Y")&amp;" Tahun, "&amp;DATEDIF(S367,TODAY(),"YM")&amp;" Bulan, "&amp;DATEDIF(S367,TODAY(),"MD")&amp;" Hari")</f>
        <v>25 Tahun, 9 Bulan, 24 Hari</v>
      </c>
      <c r="AC367" s="18" t="n">
        <v>45672</v>
      </c>
      <c r="AD367" s="18" t="n">
        <v>46036</v>
      </c>
      <c r="AE367" s="18" t="s">
        <v>44</v>
      </c>
    </row>
    <row r="368" customFormat="false" ht="15.75" hidden="false" customHeight="true" outlineLevel="0" collapsed="false">
      <c r="A368" s="12" t="n">
        <v>2087</v>
      </c>
      <c r="B368" s="13" t="s">
        <v>1659</v>
      </c>
      <c r="C368" s="14" t="n">
        <v>43845</v>
      </c>
      <c r="D368" s="13" t="s">
        <v>101</v>
      </c>
      <c r="E368" s="15" t="s">
        <v>102</v>
      </c>
      <c r="F368" s="15" t="str">
        <f aca="false">IFERROR(__xludf.dummyfunction("XLOOKUP(AJ368,IMPORTRANGE(""1XaInW9DU9nz21V0tYIfzFQ0He9kVQ_JF2mCXgZ3hqFA"",""REKAP ALL 2026 - Andika!G:G""),IMPORTRANGE(""1XaInW9DU9nz21V0tYIfzFQ0He9kVQ_JF2mCXgZ3hqFA"",""REKAP ALL 2026 - Andika!F:F""),"""",0)"),"20021315989")</f>
        <v>20021315989</v>
      </c>
      <c r="G368" s="13" t="s">
        <v>1660</v>
      </c>
      <c r="H368" s="13" t="s">
        <v>35</v>
      </c>
      <c r="I368" s="13" t="str">
        <f aca="false">IF(C368=J368,"NEW KONTRAK","RE-KONTRAK")</f>
        <v>RE-KONTRAK</v>
      </c>
      <c r="J368" s="16" t="n">
        <f aca="false" t="array" ref="J368:J368">IFERROR(INDEX(AC368:AE368,IF(COUNTA(AC368:AE368)=0,"",MAX((AC368:AE368&lt;&gt;"")*(COLUMN(AC368:AE368)-(COLUMN(AC368)))))-1),"")</f>
        <v>45672</v>
      </c>
      <c r="K368" s="16" t="n">
        <f aca="false" t="array" ref="K368:K368">IFERROR(INDEX(AC368:AE368,IF(COUNTA(AC368:AE368)=0,"",MAX((AC368:AE368&lt;&gt;"")*(COLUMN(AC368:AE368)-(COLUMN(AC368)-1))))-1),"")</f>
        <v>46036</v>
      </c>
      <c r="L368" s="17" t="str">
        <f aca="false" t="array" ref="L368:L368">IFERROR(INDEX(AC368:AE368,IF(COUNTA(AC368:AE368)=0,"",MAX((AC368:AE368&lt;&gt;"")*(COLUMN(AC368:AE368)-(COLUMN(AC368)-2))))-1),"")</f>
        <v>ARCHIVED</v>
      </c>
      <c r="M368" s="13" t="n">
        <f aca="true">K368-TODAY()</f>
        <v>-288</v>
      </c>
      <c r="N368" s="18" t="s">
        <v>105</v>
      </c>
      <c r="O368" s="13" t="s">
        <v>106</v>
      </c>
      <c r="P368" s="19" t="n">
        <v>132300</v>
      </c>
      <c r="Q368" s="20" t="s">
        <v>1661</v>
      </c>
      <c r="R368" s="13" t="s">
        <v>39</v>
      </c>
      <c r="S368" s="25" t="n">
        <v>35233</v>
      </c>
      <c r="T368" s="13" t="s">
        <v>108</v>
      </c>
      <c r="U368" s="13" t="s">
        <v>1662</v>
      </c>
      <c r="V368" s="13" t="s">
        <v>42</v>
      </c>
      <c r="W368" s="13" t="s">
        <v>43</v>
      </c>
      <c r="X368" s="21" t="n">
        <v>895345418062</v>
      </c>
      <c r="Y368" s="22" t="str">
        <f aca="false">O368</f>
        <v>Produksi - Helper</v>
      </c>
      <c r="Z368" s="13" t="str">
        <f aca="false">IFERROR(__xludf.dummyfunction("if(BJ368="""","""",GOOGLETRANSLATE(BJ368,""auto"",""en""))"),"Production - Helper")</f>
        <v>Production - Helper</v>
      </c>
      <c r="AA368" s="23" t="str">
        <f aca="false">IF(C368="","", CHOOSE(MONTH(C368),"January","February","March","April","May","June","July","August","September","October","November","December")&amp;" "&amp;DAY(C368)&amp;MID("thstndrdth",MIN(9,2*RIGHT(DAY(C368))*(MOD(DAY(C368)-11,100)&gt;2)+1),2)&amp;","&amp;TEXT(C368," yyyy"))</f>
        <v>January 15th,2020</v>
      </c>
      <c r="AB368" s="15" t="str">
        <f aca="true">IF(S368="","",DATEDIF(S368,TODAY(),"Y")&amp;" Tahun, "&amp;DATEDIF(S368,TODAY(),"YM")&amp;" Bulan, "&amp;DATEDIF(S368,TODAY(),"MD")&amp;" Hari")</f>
        <v>30 Tahun, 4 Bulan, 12 Hari</v>
      </c>
      <c r="AC368" s="18" t="n">
        <v>45672</v>
      </c>
      <c r="AD368" s="18" t="n">
        <v>46036</v>
      </c>
      <c r="AE368" s="18" t="s">
        <v>44</v>
      </c>
    </row>
    <row r="369" customFormat="false" ht="15.75" hidden="false" customHeight="true" outlineLevel="0" collapsed="false">
      <c r="A369" s="12" t="n">
        <v>2089</v>
      </c>
      <c r="B369" s="13" t="s">
        <v>1663</v>
      </c>
      <c r="C369" s="14" t="n">
        <v>44005</v>
      </c>
      <c r="D369" s="13" t="s">
        <v>101</v>
      </c>
      <c r="E369" s="15" t="s">
        <v>102</v>
      </c>
      <c r="F369" s="15" t="str">
        <f aca="false">IFERROR(__xludf.dummyfunction("XLOOKUP(AJ369,IMPORTRANGE(""1XaInW9DU9nz21V0tYIfzFQ0He9kVQ_JF2mCXgZ3hqFA"",""REKAP ALL 2026 - Andika!G:G""),IMPORTRANGE(""1XaInW9DU9nz21V0tYIfzFQ0He9kVQ_JF2mCXgZ3hqFA"",""REKAP ALL 2026 - Andika!F:F""),"""",0)"),"17000987796")</f>
        <v>17000987796</v>
      </c>
      <c r="G369" s="13" t="s">
        <v>1664</v>
      </c>
      <c r="H369" s="13" t="s">
        <v>35</v>
      </c>
      <c r="I369" s="13" t="str">
        <f aca="false">IF(C369=J369,"NEW KONTRAK","RE-KONTRAK")</f>
        <v>RE-KONTRAK</v>
      </c>
      <c r="J369" s="16" t="n">
        <f aca="false" t="array" ref="J369:J369">IFERROR(INDEX(AC369:AE369,IF(COUNTA(AC369:AE369)=0,"",MAX((AC369:AE369&lt;&gt;"")*(COLUMN(AC369:AE369)-(COLUMN(AC369)))))-1),"")</f>
        <v>45672</v>
      </c>
      <c r="K369" s="16" t="n">
        <f aca="false" t="array" ref="K369:K369">IFERROR(INDEX(AC369:AE369,IF(COUNTA(AC369:AE369)=0,"",MAX((AC369:AE369&lt;&gt;"")*(COLUMN(AC369:AE369)-(COLUMN(AC369)-1))))-1),"")</f>
        <v>46036</v>
      </c>
      <c r="L369" s="17" t="str">
        <f aca="false" t="array" ref="L369:L369">IFERROR(INDEX(AC369:AE369,IF(COUNTA(AC369:AE369)=0,"",MAX((AC369:AE369&lt;&gt;"")*(COLUMN(AC369:AE369)-(COLUMN(AC369)-2))))-1),"")</f>
        <v>ARCHIVED</v>
      </c>
      <c r="M369" s="13" t="n">
        <f aca="true">K369-TODAY()</f>
        <v>-288</v>
      </c>
      <c r="N369" s="18" t="s">
        <v>105</v>
      </c>
      <c r="O369" s="13" t="s">
        <v>106</v>
      </c>
      <c r="P369" s="19" t="n">
        <v>132300</v>
      </c>
      <c r="Q369" s="20" t="s">
        <v>1665</v>
      </c>
      <c r="R369" s="13" t="s">
        <v>39</v>
      </c>
      <c r="S369" s="25" t="n">
        <v>35624</v>
      </c>
      <c r="T369" s="13" t="s">
        <v>108</v>
      </c>
      <c r="U369" s="13" t="s">
        <v>1666</v>
      </c>
      <c r="V369" s="13" t="s">
        <v>42</v>
      </c>
      <c r="W369" s="13" t="s">
        <v>43</v>
      </c>
      <c r="X369" s="21" t="n">
        <v>89636188689</v>
      </c>
      <c r="Y369" s="22" t="str">
        <f aca="false">O369</f>
        <v>Produksi - Helper</v>
      </c>
      <c r="Z369" s="13" t="str">
        <f aca="false">IFERROR(__xludf.dummyfunction("if(BJ369="""","""",GOOGLETRANSLATE(BJ369,""auto"",""en""))"),"Production - Helper")</f>
        <v>Production - Helper</v>
      </c>
      <c r="AA369" s="23" t="str">
        <f aca="false">IF(C369="","", CHOOSE(MONTH(C369),"January","February","March","April","May","June","July","August","September","October","November","December")&amp;" "&amp;DAY(C369)&amp;MID("thstndrdth",MIN(9,2*RIGHT(DAY(C369))*(MOD(DAY(C369)-11,100)&gt;2)+1),2)&amp;","&amp;TEXT(C369," yyyy"))</f>
        <v>June 23rd,2020</v>
      </c>
      <c r="AB369" s="15" t="str">
        <f aca="true">IF(S369="","",DATEDIF(S369,TODAY(),"Y")&amp;" Tahun, "&amp;DATEDIF(S369,TODAY(),"YM")&amp;" Bulan, "&amp;DATEDIF(S369,TODAY(),"MD")&amp;" Hari")</f>
        <v>29 Tahun, 3 Bulan, 16 Hari</v>
      </c>
      <c r="AC369" s="18" t="n">
        <v>45672</v>
      </c>
      <c r="AD369" s="18" t="n">
        <v>46036</v>
      </c>
      <c r="AE369" s="18" t="s">
        <v>44</v>
      </c>
    </row>
    <row r="370" customFormat="false" ht="15.75" hidden="false" customHeight="true" outlineLevel="0" collapsed="false">
      <c r="A370" s="12" t="n">
        <v>2090</v>
      </c>
      <c r="B370" s="13" t="s">
        <v>1667</v>
      </c>
      <c r="C370" s="14" t="n">
        <v>43845</v>
      </c>
      <c r="D370" s="13" t="s">
        <v>101</v>
      </c>
      <c r="E370" s="15" t="s">
        <v>102</v>
      </c>
      <c r="F370" s="15" t="str">
        <f aca="false">IFERROR(__xludf.dummyfunction("XLOOKUP(AJ370,IMPORTRANGE(""1XaInW9DU9nz21V0tYIfzFQ0He9kVQ_JF2mCXgZ3hqFA"",""REKAP ALL 2026 - Andika!G:G""),IMPORTRANGE(""1XaInW9DU9nz21V0tYIfzFQ0He9kVQ_JF2mCXgZ3hqFA"",""REKAP ALL 2026 - Andika!F:F""),"""",0)"),"20021314123")</f>
        <v>20021314123</v>
      </c>
      <c r="G370" s="13" t="s">
        <v>1668</v>
      </c>
      <c r="H370" s="13" t="s">
        <v>35</v>
      </c>
      <c r="I370" s="13" t="str">
        <f aca="false">IF(C370=J370,"NEW KONTRAK","RE-KONTRAK")</f>
        <v>RE-KONTRAK</v>
      </c>
      <c r="J370" s="16" t="n">
        <f aca="false" t="array" ref="J370:J370">IFERROR(INDEX(AC370:AE370,IF(COUNTA(AC370:AE370)=0,"",MAX((AC370:AE370&lt;&gt;"")*(COLUMN(AC370:AE370)-(COLUMN(AC370)))))-1),"")</f>
        <v>45672</v>
      </c>
      <c r="K370" s="16" t="n">
        <f aca="false" t="array" ref="K370:K370">IFERROR(INDEX(AC370:AE370,IF(COUNTA(AC370:AE370)=0,"",MAX((AC370:AE370&lt;&gt;"")*(COLUMN(AC370:AE370)-(COLUMN(AC370)-1))))-1),"")</f>
        <v>46036</v>
      </c>
      <c r="L370" s="17" t="str">
        <f aca="false" t="array" ref="L370:L370">IFERROR(INDEX(AC370:AE370,IF(COUNTA(AC370:AE370)=0,"",MAX((AC370:AE370&lt;&gt;"")*(COLUMN(AC370:AE370)-(COLUMN(AC370)-2))))-1),"")</f>
        <v>ARCHIVED</v>
      </c>
      <c r="M370" s="13" t="n">
        <f aca="true">K370-TODAY()</f>
        <v>-288</v>
      </c>
      <c r="N370" s="18" t="s">
        <v>105</v>
      </c>
      <c r="O370" s="13" t="s">
        <v>106</v>
      </c>
      <c r="P370" s="19" t="n">
        <v>132300</v>
      </c>
      <c r="Q370" s="20" t="s">
        <v>1669</v>
      </c>
      <c r="R370" s="13" t="s">
        <v>39</v>
      </c>
      <c r="S370" s="25" t="n">
        <v>36962</v>
      </c>
      <c r="T370" s="13" t="s">
        <v>108</v>
      </c>
      <c r="U370" s="13" t="s">
        <v>1670</v>
      </c>
      <c r="V370" s="13" t="s">
        <v>42</v>
      </c>
      <c r="W370" s="13" t="s">
        <v>43</v>
      </c>
      <c r="X370" s="21" t="n">
        <v>81333207690</v>
      </c>
      <c r="Y370" s="22" t="str">
        <f aca="false">O370</f>
        <v>Produksi - Helper</v>
      </c>
      <c r="Z370" s="13" t="str">
        <f aca="false">IFERROR(__xludf.dummyfunction("if(BJ370="""","""",GOOGLETRANSLATE(BJ370,""auto"",""en""))"),"Production - Helper")</f>
        <v>Production - Helper</v>
      </c>
      <c r="AA370" s="23" t="str">
        <f aca="false">IF(C370="","", CHOOSE(MONTH(C370),"January","February","March","April","May","June","July","August","September","October","November","December")&amp;" "&amp;DAY(C370)&amp;MID("thstndrdth",MIN(9,2*RIGHT(DAY(C370))*(MOD(DAY(C370)-11,100)&gt;2)+1),2)&amp;","&amp;TEXT(C370," yyyy"))</f>
        <v>January 15th,2020</v>
      </c>
      <c r="AB370" s="15" t="str">
        <f aca="true">IF(S370="","",DATEDIF(S370,TODAY(),"Y")&amp;" Tahun, "&amp;DATEDIF(S370,TODAY(),"YM")&amp;" Bulan, "&amp;DATEDIF(S370,TODAY(),"MD")&amp;" Hari")</f>
        <v>25 Tahun, 7 Bulan, 17 Hari</v>
      </c>
      <c r="AC370" s="18" t="n">
        <v>45672</v>
      </c>
      <c r="AD370" s="18" t="n">
        <v>46036</v>
      </c>
      <c r="AE370" s="18" t="s">
        <v>44</v>
      </c>
    </row>
    <row r="371" customFormat="false" ht="15.75" hidden="false" customHeight="true" outlineLevel="0" collapsed="false">
      <c r="A371" s="12" t="n">
        <v>2091</v>
      </c>
      <c r="B371" s="13" t="s">
        <v>1671</v>
      </c>
      <c r="C371" s="14" t="n">
        <v>43845</v>
      </c>
      <c r="D371" s="13" t="s">
        <v>101</v>
      </c>
      <c r="E371" s="15" t="s">
        <v>102</v>
      </c>
      <c r="F371" s="15" t="str">
        <f aca="false">IFERROR(__xludf.dummyfunction("XLOOKUP(AJ371,IMPORTRANGE(""1XaInW9DU9nz21V0tYIfzFQ0He9kVQ_JF2mCXgZ3hqFA"",""REKAP ALL 2026 - Andika!G:G""),IMPORTRANGE(""1XaInW9DU9nz21V0tYIfzFQ0He9kVQ_JF2mCXgZ3hqFA"",""REKAP ALL 2026 - Andika!F:F""),"""",0)"),"19002065837")</f>
        <v>19002065837</v>
      </c>
      <c r="G371" s="13" t="s">
        <v>1672</v>
      </c>
      <c r="H371" s="13" t="s">
        <v>35</v>
      </c>
      <c r="I371" s="13" t="str">
        <f aca="false">IF(C371=J371,"NEW KONTRAK","RE-KONTRAK")</f>
        <v>RE-KONTRAK</v>
      </c>
      <c r="J371" s="16" t="n">
        <f aca="false" t="array" ref="J371:J371">IFERROR(INDEX(AC371:AE371,IF(COUNTA(AC371:AE371)=0,"",MAX((AC371:AE371&lt;&gt;"")*(COLUMN(AC371:AE371)-(COLUMN(AC371)))))-1),"")</f>
        <v>45672</v>
      </c>
      <c r="K371" s="16" t="n">
        <f aca="false" t="array" ref="K371:K371">IFERROR(INDEX(AC371:AE371,IF(COUNTA(AC371:AE371)=0,"",MAX((AC371:AE371&lt;&gt;"")*(COLUMN(AC371:AE371)-(COLUMN(AC371)-1))))-1),"")</f>
        <v>46036</v>
      </c>
      <c r="L371" s="17" t="str">
        <f aca="false" t="array" ref="L371:L371">IFERROR(INDEX(AC371:AE371,IF(COUNTA(AC371:AE371)=0,"",MAX((AC371:AE371&lt;&gt;"")*(COLUMN(AC371:AE371)-(COLUMN(AC371)-2))))-1),"")</f>
        <v>ARCHIVED</v>
      </c>
      <c r="M371" s="13" t="n">
        <f aca="true">K371-TODAY()</f>
        <v>-288</v>
      </c>
      <c r="N371" s="18" t="s">
        <v>105</v>
      </c>
      <c r="O371" s="13" t="s">
        <v>106</v>
      </c>
      <c r="P371" s="19" t="n">
        <v>132300</v>
      </c>
      <c r="Q371" s="20" t="s">
        <v>1673</v>
      </c>
      <c r="R371" s="13" t="s">
        <v>73</v>
      </c>
      <c r="S371" s="25" t="n">
        <v>36294</v>
      </c>
      <c r="T371" s="13" t="s">
        <v>108</v>
      </c>
      <c r="U371" s="13" t="s">
        <v>1674</v>
      </c>
      <c r="V371" s="13" t="s">
        <v>42</v>
      </c>
      <c r="W371" s="13" t="s">
        <v>43</v>
      </c>
      <c r="X371" s="21" t="n">
        <v>81999534201</v>
      </c>
      <c r="Y371" s="22" t="str">
        <f aca="false">O371</f>
        <v>Produksi - Helper</v>
      </c>
      <c r="Z371" s="13" t="str">
        <f aca="false">IFERROR(__xludf.dummyfunction("if(BJ371="""","""",GOOGLETRANSLATE(BJ371,""auto"",""en""))"),"Production - Helper")</f>
        <v>Production - Helper</v>
      </c>
      <c r="AA371" s="23" t="str">
        <f aca="false">IF(C371="","", CHOOSE(MONTH(C371),"January","February","March","April","May","June","July","August","September","October","November","December")&amp;" "&amp;DAY(C371)&amp;MID("thstndrdth",MIN(9,2*RIGHT(DAY(C371))*(MOD(DAY(C371)-11,100)&gt;2)+1),2)&amp;","&amp;TEXT(C371," yyyy"))</f>
        <v>January 15th,2020</v>
      </c>
      <c r="AB371" s="15" t="str">
        <f aca="true">IF(S371="","",DATEDIF(S371,TODAY(),"Y")&amp;" Tahun, "&amp;DATEDIF(S371,TODAY(),"YM")&amp;" Bulan, "&amp;DATEDIF(S371,TODAY(),"MD")&amp;" Hari")</f>
        <v>27 Tahun, 5 Bulan, 15 Hari</v>
      </c>
      <c r="AC371" s="18" t="n">
        <v>45672</v>
      </c>
      <c r="AD371" s="18" t="n">
        <v>46036</v>
      </c>
      <c r="AE371" s="18" t="s">
        <v>44</v>
      </c>
    </row>
    <row r="372" customFormat="false" ht="15.75" hidden="false" customHeight="true" outlineLevel="0" collapsed="false">
      <c r="A372" s="12" t="n">
        <v>22652</v>
      </c>
      <c r="B372" s="45" t="s">
        <v>1675</v>
      </c>
      <c r="C372" s="14" t="n">
        <v>46244</v>
      </c>
      <c r="D372" s="13" t="s">
        <v>101</v>
      </c>
      <c r="E372" s="15" t="s">
        <v>47</v>
      </c>
      <c r="F372" s="24" t="s">
        <v>1676</v>
      </c>
      <c r="G372" s="13" t="s">
        <v>1452</v>
      </c>
      <c r="H372" s="13" t="s">
        <v>35</v>
      </c>
      <c r="I372" s="13" t="str">
        <f aca="false">IF(C372=J372,"NEW KONTRAK","RE-KONTRAK")</f>
        <v>NEW KONTRAK</v>
      </c>
      <c r="J372" s="16" t="n">
        <f aca="false" t="array" ref="J372:J372">IFERROR(INDEX(AC372:AE372,IF(COUNTA(AC372:AE372)=0,"",MAX((AC372:AE372&lt;&gt;"")*(COLUMN(AC372:AE372)-(COLUMN(AC372)))))-1),"")</f>
        <v>46244</v>
      </c>
      <c r="K372" s="16" t="n">
        <f aca="false" t="array" ref="K372:K372">IFERROR(INDEX(AC372:AE372,IF(COUNTA(AC372:AE372)=0,"",MAX((AC372:AE372&lt;&gt;"")*(COLUMN(AC372:AE372)-(COLUMN(AC372)-1))))-1),"")</f>
        <v>46402</v>
      </c>
      <c r="L372" s="17" t="str">
        <f aca="false" t="array" ref="L372:L372">IFERROR(INDEX(AC372:AE372,IF(COUNTA(AC372:AE372)=0,"",MAX((AC372:AE372&lt;&gt;"")*(COLUMN(AC372:AE372)-(COLUMN(AC372)-2))))-1),"")</f>
        <v>ARCHIVED</v>
      </c>
      <c r="M372" s="13" t="n">
        <f aca="true">K372-TODAY()</f>
        <v>78</v>
      </c>
      <c r="N372" s="18" t="s">
        <v>105</v>
      </c>
      <c r="O372" s="13" t="s">
        <v>1453</v>
      </c>
      <c r="P372" s="26" t="n">
        <v>138915</v>
      </c>
      <c r="Q372" s="20" t="s">
        <v>1677</v>
      </c>
      <c r="R372" s="13" t="s">
        <v>52</v>
      </c>
      <c r="S372" s="25" t="n">
        <v>36305</v>
      </c>
      <c r="T372" s="13" t="s">
        <v>108</v>
      </c>
      <c r="U372" s="13" t="s">
        <v>1678</v>
      </c>
      <c r="V372" s="13" t="s">
        <v>42</v>
      </c>
      <c r="W372" s="13" t="s">
        <v>54</v>
      </c>
      <c r="X372" s="21" t="n">
        <v>85745165100</v>
      </c>
      <c r="Y372" s="22" t="str">
        <f aca="false">O372</f>
        <v>Helper Produksi</v>
      </c>
      <c r="Z372" s="13" t="str">
        <f aca="false">IFERROR(__xludf.dummyfunction("if(BJ372="""","""",GOOGLETRANSLATE(BJ372,""auto"",""en""))"),"Production Helper")</f>
        <v>Production Helper</v>
      </c>
      <c r="AA372" s="23" t="str">
        <f aca="false">IF(C372="","", CHOOSE(MONTH(C372),"January","February","March","April","May","June","July","August","September","October","November","December")&amp;" "&amp;DAY(C372)&amp;MID("thstndrdth",MIN(9,2*RIGHT(DAY(C372))*(MOD(DAY(C372)-11,100)&gt;2)+1),2)&amp;","&amp;TEXT(C372," yyyy"))</f>
        <v>August 10th,2026</v>
      </c>
      <c r="AB372" s="15" t="str">
        <f aca="true">IF(S372="","",DATEDIF(S372,TODAY(),"Y")&amp;" Tahun, "&amp;DATEDIF(S372,TODAY(),"YM")&amp;" Bulan, "&amp;DATEDIF(S372,TODAY(),"MD")&amp;" Hari")</f>
        <v>27 Tahun, 5 Bulan, 4 Hari</v>
      </c>
      <c r="AC372" s="14" t="n">
        <v>46244</v>
      </c>
      <c r="AD372" s="18" t="n">
        <v>46402</v>
      </c>
      <c r="AE372" s="45" t="s">
        <v>44</v>
      </c>
    </row>
    <row r="373" customFormat="false" ht="15.75" hidden="false" customHeight="true" outlineLevel="0" collapsed="false">
      <c r="A373" s="12" t="n">
        <v>22546</v>
      </c>
      <c r="B373" s="45" t="s">
        <v>1679</v>
      </c>
      <c r="C373" s="14" t="n">
        <v>46219</v>
      </c>
      <c r="D373" s="13" t="s">
        <v>101</v>
      </c>
      <c r="E373" s="15" t="s">
        <v>47</v>
      </c>
      <c r="F373" s="24" t="s">
        <v>1680</v>
      </c>
      <c r="G373" s="28" t="s">
        <v>57</v>
      </c>
      <c r="H373" s="13" t="s">
        <v>35</v>
      </c>
      <c r="I373" s="13" t="str">
        <f aca="false">IF(C373=J373,"NEW KONTRAK","RE-KONTRAK")</f>
        <v>NEW KONTRAK</v>
      </c>
      <c r="J373" s="16" t="n">
        <f aca="false" t="array" ref="J373:J373">IFERROR(INDEX(AC373:AE373,IF(COUNTA(AC373:AE373)=0,"",MAX((AC373:AE373&lt;&gt;"")*(COLUMN(AC373:AE373)-(COLUMN(AC373)))))-1),"")</f>
        <v>46219</v>
      </c>
      <c r="K373" s="16" t="n">
        <f aca="false" t="array" ref="K373:K373">IFERROR(INDEX(AC373:AE373,IF(COUNTA(AC373:AE373)=0,"",MAX((AC373:AE373&lt;&gt;"")*(COLUMN(AC373:AE373)-(COLUMN(AC373)-1))))-1),"")</f>
        <v>46402</v>
      </c>
      <c r="L373" s="17" t="str">
        <f aca="false" t="array" ref="L373:L373">IFERROR(INDEX(AC373:AE373,IF(COUNTA(AC373:AE373)=0,"",MAX((AC373:AE373&lt;&gt;"")*(COLUMN(AC373:AE373)-(COLUMN(AC373)-2))))-1),"")</f>
        <v>KEMBALI</v>
      </c>
      <c r="M373" s="13" t="n">
        <f aca="true">K373-TODAY()</f>
        <v>78</v>
      </c>
      <c r="N373" s="18" t="s">
        <v>105</v>
      </c>
      <c r="O373" s="13" t="s">
        <v>1453</v>
      </c>
      <c r="P373" s="26" t="n">
        <v>138915</v>
      </c>
      <c r="Q373" s="20" t="s">
        <v>1681</v>
      </c>
      <c r="R373" s="16" t="s">
        <v>39</v>
      </c>
      <c r="S373" s="46" t="n">
        <v>38121</v>
      </c>
      <c r="T373" s="13" t="s">
        <v>108</v>
      </c>
      <c r="U373" s="17" t="s">
        <v>1682</v>
      </c>
      <c r="V373" s="15" t="s">
        <v>42</v>
      </c>
      <c r="W373" s="13" t="s">
        <v>43</v>
      </c>
      <c r="X373" s="21" t="n">
        <v>81357918185</v>
      </c>
      <c r="Y373" s="22" t="str">
        <f aca="false">O373</f>
        <v>Helper Produksi</v>
      </c>
      <c r="Z373" s="13" t="str">
        <f aca="false">IFERROR(__xludf.dummyfunction("if(BJ373="""","""",GOOGLETRANSLATE(BJ373,""auto"",""en""))"),"Production Helper")</f>
        <v>Production Helper</v>
      </c>
      <c r="AA373" s="23" t="str">
        <f aca="false">IF(C373="","", CHOOSE(MONTH(C373),"January","February","March","April","May","June","July","August","September","October","November","December")&amp;" "&amp;DAY(C373)&amp;MID("thstndrdth",MIN(9,2*RIGHT(DAY(C373))*(MOD(DAY(C373)-11,100)&gt;2)+1),2)&amp;","&amp;TEXT(C373," yyyy"))</f>
        <v>July 16th,2026</v>
      </c>
      <c r="AB373" s="15" t="str">
        <f aca="true">IF(S373="","",DATEDIF(S373,TODAY(),"Y")&amp;" Tahun, "&amp;DATEDIF(S373,TODAY(),"YM")&amp;" Bulan, "&amp;DATEDIF(S373,TODAY(),"MD")&amp;" Hari")</f>
        <v>22 Tahun, 5 Bulan, 15 Hari</v>
      </c>
      <c r="AC373" s="14" t="n">
        <v>46219</v>
      </c>
      <c r="AD373" s="18" t="n">
        <v>46402</v>
      </c>
      <c r="AE373" s="13" t="s">
        <v>397</v>
      </c>
    </row>
    <row r="374" customFormat="false" ht="15.75" hidden="false" customHeight="true" outlineLevel="0" collapsed="false">
      <c r="A374" s="12" t="n">
        <v>2109</v>
      </c>
      <c r="B374" s="13" t="s">
        <v>1683</v>
      </c>
      <c r="C374" s="14" t="n">
        <v>44407</v>
      </c>
      <c r="D374" s="13" t="s">
        <v>101</v>
      </c>
      <c r="E374" s="15" t="s">
        <v>102</v>
      </c>
      <c r="F374" s="15" t="str">
        <f aca="false">IFERROR(__xludf.dummyfunction("XLOOKUP(AJ374,IMPORTRANGE(""1XaInW9DU9nz21V0tYIfzFQ0He9kVQ_JF2mCXgZ3hqFA"",""REKAP ALL 2026 - Andika!G:G""),IMPORTRANGE(""1XaInW9DU9nz21V0tYIfzFQ0He9kVQ_JF2mCXgZ3hqFA"",""REKAP ALL 2026 - Andika!F:F""),"""",0)"),"21082691672")</f>
        <v>21082691672</v>
      </c>
      <c r="G374" s="13" t="s">
        <v>1684</v>
      </c>
      <c r="H374" s="13" t="s">
        <v>35</v>
      </c>
      <c r="I374" s="13" t="str">
        <f aca="false">IF(C374=J374,"NEW KONTRAK","RE-KONTRAK")</f>
        <v>RE-KONTRAK</v>
      </c>
      <c r="J374" s="16" t="n">
        <f aca="false" t="array" ref="J374:J374">IFERROR(INDEX(AC374:AE374,IF(COUNTA(AC374:AE374)=0,"",MAX((AC374:AE374&lt;&gt;"")*(COLUMN(AC374:AE374)-(COLUMN(AC374)))))-1),"")</f>
        <v>45672</v>
      </c>
      <c r="K374" s="16" t="n">
        <f aca="false" t="array" ref="K374:K374">IFERROR(INDEX(AC374:AE374,IF(COUNTA(AC374:AE374)=0,"",MAX((AC374:AE374&lt;&gt;"")*(COLUMN(AC374:AE374)-(COLUMN(AC374)-1))))-1),"")</f>
        <v>46036</v>
      </c>
      <c r="L374" s="17" t="str">
        <f aca="false" t="array" ref="L374:L374">IFERROR(INDEX(AC374:AE374,IF(COUNTA(AC374:AE374)=0,"",MAX((AC374:AE374&lt;&gt;"")*(COLUMN(AC374:AE374)-(COLUMN(AC374)-2))))-1),"")</f>
        <v>ARCHIVED</v>
      </c>
      <c r="M374" s="13" t="n">
        <f aca="true">K374-TODAY()</f>
        <v>-288</v>
      </c>
      <c r="N374" s="18" t="s">
        <v>105</v>
      </c>
      <c r="O374" s="13" t="s">
        <v>106</v>
      </c>
      <c r="P374" s="19" t="n">
        <v>132300</v>
      </c>
      <c r="Q374" s="20" t="s">
        <v>1685</v>
      </c>
      <c r="R374" s="13" t="s">
        <v>39</v>
      </c>
      <c r="S374" s="25" t="n">
        <v>37104</v>
      </c>
      <c r="T374" s="13" t="s">
        <v>108</v>
      </c>
      <c r="U374" s="13" t="s">
        <v>1686</v>
      </c>
      <c r="V374" s="13" t="s">
        <v>42</v>
      </c>
      <c r="W374" s="13" t="s">
        <v>43</v>
      </c>
      <c r="X374" s="21" t="n">
        <v>81999945230</v>
      </c>
      <c r="Y374" s="22" t="str">
        <f aca="false">O374</f>
        <v>Produksi - Helper</v>
      </c>
      <c r="Z374" s="13" t="str">
        <f aca="false">IFERROR(__xludf.dummyfunction("if(BJ374="""","""",GOOGLETRANSLATE(BJ374,""auto"",""en""))"),"Production - Helper")</f>
        <v>Production - Helper</v>
      </c>
      <c r="AA374" s="23" t="str">
        <f aca="false">IF(C374="","", CHOOSE(MONTH(C374),"January","February","March","April","May","June","July","August","September","October","November","December")&amp;" "&amp;DAY(C374)&amp;MID("thstndrdth",MIN(9,2*RIGHT(DAY(C374))*(MOD(DAY(C374)-11,100)&gt;2)+1),2)&amp;","&amp;TEXT(C374," yyyy"))</f>
        <v>July 30th,2021</v>
      </c>
      <c r="AB374" s="15" t="str">
        <f aca="true">IF(S374="","",DATEDIF(S374,TODAY(),"Y")&amp;" Tahun, "&amp;DATEDIF(S374,TODAY(),"YM")&amp;" Bulan, "&amp;DATEDIF(S374,TODAY(),"MD")&amp;" Hari")</f>
        <v>25 Tahun, 2 Bulan, 28 Hari</v>
      </c>
      <c r="AC374" s="18" t="n">
        <v>45672</v>
      </c>
      <c r="AD374" s="18" t="n">
        <v>46036</v>
      </c>
      <c r="AE374" s="18" t="s">
        <v>44</v>
      </c>
    </row>
    <row r="375" customFormat="false" ht="15.75" hidden="false" customHeight="true" outlineLevel="0" collapsed="false">
      <c r="A375" s="12" t="n">
        <v>2113</v>
      </c>
      <c r="B375" s="13" t="s">
        <v>1687</v>
      </c>
      <c r="C375" s="14" t="n">
        <v>43987</v>
      </c>
      <c r="D375" s="13" t="s">
        <v>101</v>
      </c>
      <c r="E375" s="15" t="s">
        <v>33</v>
      </c>
      <c r="F375" s="24" t="s">
        <v>1688</v>
      </c>
      <c r="G375" s="13" t="s">
        <v>1689</v>
      </c>
      <c r="H375" s="13" t="s">
        <v>35</v>
      </c>
      <c r="I375" s="13" t="str">
        <f aca="false">IF(C375=J375,"NEW KONTRAK","RE-KONTRAK")</f>
        <v>RE-KONTRAK</v>
      </c>
      <c r="J375" s="16" t="n">
        <f aca="false" t="array" ref="J375:J375">IFERROR(INDEX(AC375:AE375,IF(COUNTA(AC375:AE375)=0,"",MAX((AC375:AE375&lt;&gt;"")*(COLUMN(AC375:AE375)-(COLUMN(AC375)))))-1),"")</f>
        <v>45672</v>
      </c>
      <c r="K375" s="16" t="n">
        <f aca="false" t="array" ref="K375:K375">IFERROR(INDEX(AC375:AE375,IF(COUNTA(AC375:AE375)=0,"",MAX((AC375:AE375&lt;&gt;"")*(COLUMN(AC375:AE375)-(COLUMN(AC375)-1))))-1),"")</f>
        <v>46036</v>
      </c>
      <c r="L375" s="17" t="str">
        <f aca="false" t="array" ref="L375:L375">IFERROR(INDEX(AC375:AE375,IF(COUNTA(AC375:AE375)=0,"",MAX((AC375:AE375&lt;&gt;"")*(COLUMN(AC375:AE375)-(COLUMN(AC375)-2))))-1),"")</f>
        <v>ARCHIVED</v>
      </c>
      <c r="M375" s="13" t="n">
        <f aca="true">K375-TODAY()</f>
        <v>-288</v>
      </c>
      <c r="N375" s="18" t="s">
        <v>105</v>
      </c>
      <c r="O375" s="13" t="s">
        <v>58</v>
      </c>
      <c r="P375" s="19" t="n">
        <v>126000</v>
      </c>
      <c r="Q375" s="20" t="s">
        <v>1690</v>
      </c>
      <c r="R375" s="13" t="s">
        <v>241</v>
      </c>
      <c r="S375" s="25" t="n">
        <v>36651</v>
      </c>
      <c r="T375" s="13" t="s">
        <v>108</v>
      </c>
      <c r="U375" s="13" t="s">
        <v>1691</v>
      </c>
      <c r="V375" s="13" t="s">
        <v>42</v>
      </c>
      <c r="W375" s="13" t="s">
        <v>43</v>
      </c>
      <c r="X375" s="21" t="n">
        <v>85748038236</v>
      </c>
      <c r="Y375" s="22" t="str">
        <f aca="false">O375</f>
        <v>Produksi</v>
      </c>
      <c r="Z375" s="13" t="str">
        <f aca="false">IFERROR(__xludf.dummyfunction("if(BJ375="""","""",GOOGLETRANSLATE(BJ375,""auto"",""en""))"),"Production")</f>
        <v>Production</v>
      </c>
      <c r="AA375" s="23" t="str">
        <f aca="false">IF(C375="","", CHOOSE(MONTH(C375),"January","February","March","April","May","June","July","August","September","October","November","December")&amp;" "&amp;DAY(C375)&amp;MID("thstndrdth",MIN(9,2*RIGHT(DAY(C375))*(MOD(DAY(C375)-11,100)&gt;2)+1),2)&amp;","&amp;TEXT(C375," yyyy"))</f>
        <v>June 5th,2020</v>
      </c>
      <c r="AB375" s="15" t="str">
        <f aca="true">IF(S375="","",DATEDIF(S375,TODAY(),"Y")&amp;" Tahun, "&amp;DATEDIF(S375,TODAY(),"YM")&amp;" Bulan, "&amp;DATEDIF(S375,TODAY(),"MD")&amp;" Hari")</f>
        <v>26 Tahun, 5 Bulan, 24 Hari</v>
      </c>
      <c r="AC375" s="18" t="n">
        <v>45672</v>
      </c>
      <c r="AD375" s="18" t="n">
        <v>46036</v>
      </c>
      <c r="AE375" s="18" t="s">
        <v>44</v>
      </c>
    </row>
    <row r="376" customFormat="false" ht="15.75" hidden="false" customHeight="true" outlineLevel="0" collapsed="false">
      <c r="A376" s="12" t="n">
        <v>1878</v>
      </c>
      <c r="B376" s="13" t="s">
        <v>1692</v>
      </c>
      <c r="C376" s="14" t="n">
        <v>43845</v>
      </c>
      <c r="D376" s="13" t="s">
        <v>101</v>
      </c>
      <c r="E376" s="15" t="s">
        <v>47</v>
      </c>
      <c r="F376" s="15" t="str">
        <f aca="false">IFERROR(__xludf.dummyfunction("XLOOKUP(AJ376,IMPORTRANGE(""1XaInW9DU9nz21V0tYIfzFQ0He9kVQ_JF2mCXgZ3hqFA"",""REKAP ALL 2026 - Andika!G:G""),IMPORTRANGE(""1XaInW9DU9nz21V0tYIfzFQ0He9kVQ_JF2mCXgZ3hqFA"",""REKAP ALL 2026 - Andika!F:F""),"""",0)"),"20021313380")</f>
        <v>20021313380</v>
      </c>
      <c r="G376" s="13" t="s">
        <v>1693</v>
      </c>
      <c r="H376" s="13" t="s">
        <v>35</v>
      </c>
      <c r="I376" s="13" t="str">
        <f aca="false">IF(C376=J376,"NEW KONTRAK","RE-KONTRAK")</f>
        <v>RE-KONTRAK</v>
      </c>
      <c r="J376" s="16" t="n">
        <f aca="false" t="array" ref="J376:J376">IFERROR(INDEX(AC376:AE376,IF(COUNTA(AC376:AE376)=0,"",MAX((AC376:AE376&lt;&gt;"")*(COLUMN(AC376:AE376)-(COLUMN(AC376)))))-1),"")</f>
        <v>45672</v>
      </c>
      <c r="K376" s="16" t="n">
        <f aca="false" t="array" ref="K376:K376">IFERROR(INDEX(AC376:AE376,IF(COUNTA(AC376:AE376)=0,"",MAX((AC376:AE376&lt;&gt;"")*(COLUMN(AC376:AE376)-(COLUMN(AC376)-1))))-1),"")</f>
        <v>46036</v>
      </c>
      <c r="L376" s="17" t="str">
        <f aca="false" t="array" ref="L376:L376">IFERROR(INDEX(AC376:AE376,IF(COUNTA(AC376:AE376)=0,"",MAX((AC376:AE376&lt;&gt;"")*(COLUMN(AC376:AE376)-(COLUMN(AC376)-2))))-1),"")</f>
        <v>ARCHIVED</v>
      </c>
      <c r="M376" s="13" t="n">
        <f aca="true">K376-TODAY()</f>
        <v>-288</v>
      </c>
      <c r="N376" s="18" t="s">
        <v>105</v>
      </c>
      <c r="O376" s="13" t="s">
        <v>106</v>
      </c>
      <c r="P376" s="31" t="n">
        <v>138915</v>
      </c>
      <c r="Q376" s="20" t="s">
        <v>1694</v>
      </c>
      <c r="R376" s="13" t="s">
        <v>1695</v>
      </c>
      <c r="S376" s="25" t="n">
        <v>36597</v>
      </c>
      <c r="T376" s="13" t="s">
        <v>108</v>
      </c>
      <c r="U376" s="13" t="s">
        <v>1696</v>
      </c>
      <c r="V376" s="13" t="s">
        <v>42</v>
      </c>
      <c r="W376" s="13" t="s">
        <v>43</v>
      </c>
      <c r="X376" s="21" t="n">
        <v>895631419742</v>
      </c>
      <c r="Y376" s="22" t="str">
        <f aca="false">O376</f>
        <v>Produksi - Helper</v>
      </c>
      <c r="Z376" s="13" t="str">
        <f aca="false">IFERROR(__xludf.dummyfunction("if(BJ376="""","""",GOOGLETRANSLATE(BJ376,""auto"",""en""))"),"Production - Helper")</f>
        <v>Production - Helper</v>
      </c>
      <c r="AA376" s="23" t="str">
        <f aca="false">IF(C376="","", CHOOSE(MONTH(C376),"January","February","March","April","May","June","July","August","September","October","November","December")&amp;" "&amp;DAY(C376)&amp;MID("thstndrdth",MIN(9,2*RIGHT(DAY(C376))*(MOD(DAY(C376)-11,100)&gt;2)+1),2)&amp;","&amp;TEXT(C376," yyyy"))</f>
        <v>January 15th,2020</v>
      </c>
      <c r="AB376" s="15" t="str">
        <f aca="true">IF(S376="","",DATEDIF(S376,TODAY(),"Y")&amp;" Tahun, "&amp;DATEDIF(S376,TODAY(),"YM")&amp;" Bulan, "&amp;DATEDIF(S376,TODAY(),"MD")&amp;" Hari")</f>
        <v>26 Tahun, 7 Bulan, 17 Hari</v>
      </c>
      <c r="AC376" s="18" t="n">
        <v>45672</v>
      </c>
      <c r="AD376" s="18" t="n">
        <v>46036</v>
      </c>
      <c r="AE376" s="18" t="s">
        <v>44</v>
      </c>
    </row>
    <row r="377" customFormat="false" ht="15.75" hidden="false" customHeight="true" outlineLevel="0" collapsed="false">
      <c r="A377" s="12" t="n">
        <v>2115</v>
      </c>
      <c r="B377" s="13" t="s">
        <v>1697</v>
      </c>
      <c r="C377" s="14" t="n">
        <v>43845</v>
      </c>
      <c r="D377" s="13" t="s">
        <v>101</v>
      </c>
      <c r="E377" s="15" t="s">
        <v>102</v>
      </c>
      <c r="F377" s="15" t="str">
        <f aca="false">IFERROR(__xludf.dummyfunction("XLOOKUP(AJ377,IMPORTRANGE(""1XaInW9DU9nz21V0tYIfzFQ0He9kVQ_JF2mCXgZ3hqFA"",""REKAP ALL 2026 - Andika!G:G""),IMPORTRANGE(""1XaInW9DU9nz21V0tYIfzFQ0He9kVQ_JF2mCXgZ3hqFA"",""REKAP ALL 2026 - Andika!F:F""),"""",0)"),"20021314933")</f>
        <v>20021314933</v>
      </c>
      <c r="G377" s="13" t="s">
        <v>1698</v>
      </c>
      <c r="H377" s="13" t="s">
        <v>35</v>
      </c>
      <c r="I377" s="13" t="str">
        <f aca="false">IF(C377=J377,"NEW KONTRAK","RE-KONTRAK")</f>
        <v>RE-KONTRAK</v>
      </c>
      <c r="J377" s="16" t="n">
        <f aca="false" t="array" ref="J377:J377">IFERROR(INDEX(AC377:AE377,IF(COUNTA(AC377:AE377)=0,"",MAX((AC377:AE377&lt;&gt;"")*(COLUMN(AC377:AE377)-(COLUMN(AC377)))))-1),"")</f>
        <v>45672</v>
      </c>
      <c r="K377" s="16" t="n">
        <f aca="false" t="array" ref="K377:K377">IFERROR(INDEX(AC377:AE377,IF(COUNTA(AC377:AE377)=0,"",MAX((AC377:AE377&lt;&gt;"")*(COLUMN(AC377:AE377)-(COLUMN(AC377)-1))))-1),"")</f>
        <v>46036</v>
      </c>
      <c r="L377" s="17" t="str">
        <f aca="false" t="array" ref="L377:L377">IFERROR(INDEX(AC377:AE377,IF(COUNTA(AC377:AE377)=0,"",MAX((AC377:AE377&lt;&gt;"")*(COLUMN(AC377:AE377)-(COLUMN(AC377)-2))))-1),"")</f>
        <v>ARCHIVED</v>
      </c>
      <c r="M377" s="13" t="n">
        <f aca="true">K377-TODAY()</f>
        <v>-288</v>
      </c>
      <c r="N377" s="18" t="s">
        <v>105</v>
      </c>
      <c r="O377" s="13" t="s">
        <v>106</v>
      </c>
      <c r="P377" s="19" t="n">
        <v>132300</v>
      </c>
      <c r="Q377" s="20" t="s">
        <v>1699</v>
      </c>
      <c r="R377" s="13" t="s">
        <v>39</v>
      </c>
      <c r="S377" s="25" t="n">
        <v>35454</v>
      </c>
      <c r="T377" s="13" t="s">
        <v>108</v>
      </c>
      <c r="U377" s="13" t="s">
        <v>1700</v>
      </c>
      <c r="V377" s="13" t="s">
        <v>42</v>
      </c>
      <c r="W377" s="13" t="s">
        <v>43</v>
      </c>
      <c r="X377" s="21" t="n">
        <v>81703403656</v>
      </c>
      <c r="Y377" s="22" t="str">
        <f aca="false">O377</f>
        <v>Produksi - Helper</v>
      </c>
      <c r="Z377" s="13" t="str">
        <f aca="false">IFERROR(__xludf.dummyfunction("if(BJ377="""","""",GOOGLETRANSLATE(BJ377,""auto"",""en""))"),"Production - Helper")</f>
        <v>Production - Helper</v>
      </c>
      <c r="AA377" s="23" t="str">
        <f aca="false">IF(C377="","", CHOOSE(MONTH(C377),"January","February","March","April","May","June","July","August","September","October","November","December")&amp;" "&amp;DAY(C377)&amp;MID("thstndrdth",MIN(9,2*RIGHT(DAY(C377))*(MOD(DAY(C377)-11,100)&gt;2)+1),2)&amp;","&amp;TEXT(C377," yyyy"))</f>
        <v>January 15th,2020</v>
      </c>
      <c r="AB377" s="15" t="str">
        <f aca="true">IF(S377="","",DATEDIF(S377,TODAY(),"Y")&amp;" Tahun, "&amp;DATEDIF(S377,TODAY(),"YM")&amp;" Bulan, "&amp;DATEDIF(S377,TODAY(),"MD")&amp;" Hari")</f>
        <v>29 Tahun, 9 Bulan, 5 Hari</v>
      </c>
      <c r="AC377" s="18" t="n">
        <v>45672</v>
      </c>
      <c r="AD377" s="18" t="n">
        <v>46036</v>
      </c>
      <c r="AE377" s="18" t="s">
        <v>44</v>
      </c>
    </row>
    <row r="378" customFormat="false" ht="15.75" hidden="false" customHeight="true" outlineLevel="0" collapsed="false">
      <c r="A378" s="12" t="n">
        <v>2118</v>
      </c>
      <c r="B378" s="13" t="s">
        <v>1701</v>
      </c>
      <c r="C378" s="14" t="n">
        <v>44027</v>
      </c>
      <c r="D378" s="13" t="s">
        <v>101</v>
      </c>
      <c r="E378" s="15" t="s">
        <v>102</v>
      </c>
      <c r="F378" s="15" t="str">
        <f aca="false">IFERROR(__xludf.dummyfunction("XLOOKUP(AJ378,IMPORTRANGE(""1XaInW9DU9nz21V0tYIfzFQ0He9kVQ_JF2mCXgZ3hqFA"",""REKAP ALL 2026 - Andika!G:G""),IMPORTRANGE(""1XaInW9DU9nz21V0tYIfzFQ0He9kVQ_JF2mCXgZ3hqFA"",""REKAP ALL 2026 - Andika!F:F""),"""",0)"),"20061339022")</f>
        <v>20061339022</v>
      </c>
      <c r="G378" s="13" t="s">
        <v>1702</v>
      </c>
      <c r="H378" s="13" t="s">
        <v>35</v>
      </c>
      <c r="I378" s="13" t="str">
        <f aca="false">IF(C378=J378,"NEW KONTRAK","RE-KONTRAK")</f>
        <v>RE-KONTRAK</v>
      </c>
      <c r="J378" s="16" t="n">
        <f aca="false" t="array" ref="J378:J378">IFERROR(INDEX(AC378:AE378,IF(COUNTA(AC378:AE378)=0,"",MAX((AC378:AE378&lt;&gt;"")*(COLUMN(AC378:AE378)-(COLUMN(AC378)))))-1),"")</f>
        <v>45672</v>
      </c>
      <c r="K378" s="16" t="n">
        <f aca="false" t="array" ref="K378:K378">IFERROR(INDEX(AC378:AE378,IF(COUNTA(AC378:AE378)=0,"",MAX((AC378:AE378&lt;&gt;"")*(COLUMN(AC378:AE378)-(COLUMN(AC378)-1))))-1),"")</f>
        <v>46036</v>
      </c>
      <c r="L378" s="17" t="str">
        <f aca="false" t="array" ref="L378:L378">IFERROR(INDEX(AC378:AE378,IF(COUNTA(AC378:AE378)=0,"",MAX((AC378:AE378&lt;&gt;"")*(COLUMN(AC378:AE378)-(COLUMN(AC378)-2))))-1),"")</f>
        <v>ARCHIVED</v>
      </c>
      <c r="M378" s="13" t="n">
        <f aca="true">K378-TODAY()</f>
        <v>-288</v>
      </c>
      <c r="N378" s="18" t="s">
        <v>105</v>
      </c>
      <c r="O378" s="13" t="s">
        <v>106</v>
      </c>
      <c r="P378" s="19" t="n">
        <v>132300</v>
      </c>
      <c r="Q378" s="20" t="s">
        <v>1703</v>
      </c>
      <c r="R378" s="13" t="s">
        <v>52</v>
      </c>
      <c r="S378" s="25" t="n">
        <v>36491</v>
      </c>
      <c r="T378" s="13" t="s">
        <v>40</v>
      </c>
      <c r="U378" s="13" t="s">
        <v>1704</v>
      </c>
      <c r="V378" s="13" t="s">
        <v>42</v>
      </c>
      <c r="W378" s="13" t="s">
        <v>43</v>
      </c>
      <c r="X378" s="21" t="n">
        <v>8976452496</v>
      </c>
      <c r="Y378" s="22" t="str">
        <f aca="false">O378</f>
        <v>Produksi - Helper</v>
      </c>
      <c r="Z378" s="13" t="str">
        <f aca="false">IFERROR(__xludf.dummyfunction("if(BJ378="""","""",GOOGLETRANSLATE(BJ378,""auto"",""en""))"),"Production - Helper")</f>
        <v>Production - Helper</v>
      </c>
      <c r="AA378" s="23" t="str">
        <f aca="false">IF(C378="","", CHOOSE(MONTH(C378),"January","February","March","April","May","June","July","August","September","October","November","December")&amp;" "&amp;DAY(C378)&amp;MID("thstndrdth",MIN(9,2*RIGHT(DAY(C378))*(MOD(DAY(C378)-11,100)&gt;2)+1),2)&amp;","&amp;TEXT(C378," yyyy"))</f>
        <v>July 15th,2020</v>
      </c>
      <c r="AB378" s="15" t="str">
        <f aca="true">IF(S378="","",DATEDIF(S378,TODAY(),"Y")&amp;" Tahun, "&amp;DATEDIF(S378,TODAY(),"YM")&amp;" Bulan, "&amp;DATEDIF(S378,TODAY(),"MD")&amp;" Hari")</f>
        <v>26 Tahun, 11 Bulan, 2 Hari</v>
      </c>
      <c r="AC378" s="18" t="n">
        <v>45672</v>
      </c>
      <c r="AD378" s="18" t="n">
        <v>46036</v>
      </c>
      <c r="AE378" s="18" t="s">
        <v>44</v>
      </c>
    </row>
    <row r="379" customFormat="false" ht="15.75" hidden="false" customHeight="true" outlineLevel="0" collapsed="false">
      <c r="A379" s="12" t="n">
        <v>2119</v>
      </c>
      <c r="B379" s="13" t="s">
        <v>1705</v>
      </c>
      <c r="C379" s="14" t="n">
        <v>43845</v>
      </c>
      <c r="D379" s="13" t="s">
        <v>101</v>
      </c>
      <c r="E379" s="15" t="s">
        <v>102</v>
      </c>
      <c r="F379" s="15" t="str">
        <f aca="false">IFERROR(__xludf.dummyfunction("XLOOKUP(AJ379,IMPORTRANGE(""1XaInW9DU9nz21V0tYIfzFQ0He9kVQ_JF2mCXgZ3hqFA"",""REKAP ALL 2026 - Andika!G:G""),IMPORTRANGE(""1XaInW9DU9nz21V0tYIfzFQ0He9kVQ_JF2mCXgZ3hqFA"",""REKAP ALL 2026 - Andika!F:F""),"""",0)"),"20021314693")</f>
        <v>20021314693</v>
      </c>
      <c r="G379" s="13" t="s">
        <v>1706</v>
      </c>
      <c r="H379" s="13" t="s">
        <v>35</v>
      </c>
      <c r="I379" s="13" t="str">
        <f aca="false">IF(C379=J379,"NEW KONTRAK","RE-KONTRAK")</f>
        <v>RE-KONTRAK</v>
      </c>
      <c r="J379" s="16" t="n">
        <f aca="false" t="array" ref="J379:J379">IFERROR(INDEX(AC379:AE379,IF(COUNTA(AC379:AE379)=0,"",MAX((AC379:AE379&lt;&gt;"")*(COLUMN(AC379:AE379)-(COLUMN(AC379)))))-1),"")</f>
        <v>45672</v>
      </c>
      <c r="K379" s="16" t="n">
        <f aca="false" t="array" ref="K379:K379">IFERROR(INDEX(AC379:AE379,IF(COUNTA(AC379:AE379)=0,"",MAX((AC379:AE379&lt;&gt;"")*(COLUMN(AC379:AE379)-(COLUMN(AC379)-1))))-1),"")</f>
        <v>46036</v>
      </c>
      <c r="L379" s="17" t="str">
        <f aca="false" t="array" ref="L379:L379">IFERROR(INDEX(AC379:AE379,IF(COUNTA(AC379:AE379)=0,"",MAX((AC379:AE379&lt;&gt;"")*(COLUMN(AC379:AE379)-(COLUMN(AC379)-2))))-1),"")</f>
        <v>ARCHIVED</v>
      </c>
      <c r="M379" s="13" t="n">
        <f aca="true">K379-TODAY()</f>
        <v>-288</v>
      </c>
      <c r="N379" s="18" t="s">
        <v>105</v>
      </c>
      <c r="O379" s="13" t="s">
        <v>106</v>
      </c>
      <c r="P379" s="19" t="n">
        <v>132300</v>
      </c>
      <c r="Q379" s="20" t="s">
        <v>1707</v>
      </c>
      <c r="R379" s="13" t="s">
        <v>39</v>
      </c>
      <c r="S379" s="25" t="n">
        <v>35974</v>
      </c>
      <c r="T379" s="13" t="s">
        <v>40</v>
      </c>
      <c r="U379" s="13" t="s">
        <v>1708</v>
      </c>
      <c r="V379" s="13" t="s">
        <v>42</v>
      </c>
      <c r="W379" s="13" t="s">
        <v>43</v>
      </c>
      <c r="X379" s="21" t="n">
        <v>89677103460</v>
      </c>
      <c r="Y379" s="22" t="str">
        <f aca="false">O379</f>
        <v>Produksi - Helper</v>
      </c>
      <c r="Z379" s="13" t="str">
        <f aca="false">IFERROR(__xludf.dummyfunction("if(BJ379="""","""",GOOGLETRANSLATE(BJ379,""auto"",""en""))"),"Production - Helper")</f>
        <v>Production - Helper</v>
      </c>
      <c r="AA379" s="23" t="str">
        <f aca="false">IF(C379="","", CHOOSE(MONTH(C379),"January","February","March","April","May","June","July","August","September","October","November","December")&amp;" "&amp;DAY(C379)&amp;MID("thstndrdth",MIN(9,2*RIGHT(DAY(C379))*(MOD(DAY(C379)-11,100)&gt;2)+1),2)&amp;","&amp;TEXT(C379," yyyy"))</f>
        <v>January 15th,2020</v>
      </c>
      <c r="AB379" s="15" t="str">
        <f aca="true">IF(S379="","",DATEDIF(S379,TODAY(),"Y")&amp;" Tahun, "&amp;DATEDIF(S379,TODAY(),"YM")&amp;" Bulan, "&amp;DATEDIF(S379,TODAY(),"MD")&amp;" Hari")</f>
        <v>28 Tahun, 4 Bulan, 1 Hari</v>
      </c>
      <c r="AC379" s="18" t="n">
        <v>45672</v>
      </c>
      <c r="AD379" s="18" t="n">
        <v>46036</v>
      </c>
      <c r="AE379" s="18" t="s">
        <v>44</v>
      </c>
    </row>
    <row r="380" customFormat="false" ht="15.75" hidden="false" customHeight="true" outlineLevel="0" collapsed="false">
      <c r="A380" s="12" t="n">
        <v>22660</v>
      </c>
      <c r="B380" s="45" t="s">
        <v>1709</v>
      </c>
      <c r="C380" s="14" t="n">
        <v>46244</v>
      </c>
      <c r="D380" s="13" t="s">
        <v>101</v>
      </c>
      <c r="E380" s="15" t="s">
        <v>47</v>
      </c>
      <c r="F380" s="24" t="s">
        <v>1710</v>
      </c>
      <c r="G380" s="13" t="s">
        <v>1452</v>
      </c>
      <c r="H380" s="13" t="s">
        <v>35</v>
      </c>
      <c r="I380" s="13" t="str">
        <f aca="false">IF(C380=J380,"NEW KONTRAK","RE-KONTRAK")</f>
        <v>NEW KONTRAK</v>
      </c>
      <c r="J380" s="16" t="n">
        <f aca="false" t="array" ref="J380:J380">IFERROR(INDEX(AC380:AE380,IF(COUNTA(AC380:AE380)=0,"",MAX((AC380:AE380&lt;&gt;"")*(COLUMN(AC380:AE380)-(COLUMN(AC380)))))-1),"")</f>
        <v>46244</v>
      </c>
      <c r="K380" s="16" t="n">
        <f aca="false" t="array" ref="K380:K380">IFERROR(INDEX(AC380:AE380,IF(COUNTA(AC380:AE380)=0,"",MAX((AC380:AE380&lt;&gt;"")*(COLUMN(AC380:AE380)-(COLUMN(AC380)-1))))-1),"")</f>
        <v>46402</v>
      </c>
      <c r="L380" s="17" t="str">
        <f aca="false" t="array" ref="L380:L380">IFERROR(INDEX(AC380:AE380,IF(COUNTA(AC380:AE380)=0,"",MAX((AC380:AE380&lt;&gt;"")*(COLUMN(AC380:AE380)-(COLUMN(AC380)-2))))-1),"")</f>
        <v>ARCHIVED</v>
      </c>
      <c r="M380" s="13" t="n">
        <f aca="true">K380-TODAY()</f>
        <v>78</v>
      </c>
      <c r="N380" s="18" t="s">
        <v>105</v>
      </c>
      <c r="O380" s="13" t="s">
        <v>1453</v>
      </c>
      <c r="P380" s="26" t="n">
        <v>138915</v>
      </c>
      <c r="Q380" s="20" t="s">
        <v>1711</v>
      </c>
      <c r="R380" s="13" t="s">
        <v>52</v>
      </c>
      <c r="S380" s="25" t="n">
        <v>37706</v>
      </c>
      <c r="T380" s="13" t="s">
        <v>108</v>
      </c>
      <c r="U380" s="13" t="s">
        <v>1712</v>
      </c>
      <c r="V380" s="13" t="s">
        <v>42</v>
      </c>
      <c r="W380" s="13" t="s">
        <v>43</v>
      </c>
      <c r="X380" s="21" t="n">
        <v>85852895057</v>
      </c>
      <c r="Y380" s="22" t="str">
        <f aca="false">O380</f>
        <v>Helper Produksi</v>
      </c>
      <c r="Z380" s="13" t="str">
        <f aca="false">IFERROR(__xludf.dummyfunction("if(BJ380="""","""",GOOGLETRANSLATE(BJ380,""auto"",""en""))"),"Production Helper")</f>
        <v>Production Helper</v>
      </c>
      <c r="AA380" s="23" t="str">
        <f aca="false">IF(C380="","", CHOOSE(MONTH(C380),"January","February","March","April","May","June","July","August","September","October","November","December")&amp;" "&amp;DAY(C380)&amp;MID("thstndrdth",MIN(9,2*RIGHT(DAY(C380))*(MOD(DAY(C380)-11,100)&gt;2)+1),2)&amp;","&amp;TEXT(C380," yyyy"))</f>
        <v>August 10th,2026</v>
      </c>
      <c r="AB380" s="15" t="str">
        <f aca="true">IF(S380="","",DATEDIF(S380,TODAY(),"Y")&amp;" Tahun, "&amp;DATEDIF(S380,TODAY(),"YM")&amp;" Bulan, "&amp;DATEDIF(S380,TODAY(),"MD")&amp;" Hari")</f>
        <v>23 Tahun, 7 Bulan, 3 Hari</v>
      </c>
      <c r="AC380" s="14" t="n">
        <v>46244</v>
      </c>
      <c r="AD380" s="18" t="n">
        <v>46402</v>
      </c>
      <c r="AE380" s="45" t="s">
        <v>44</v>
      </c>
    </row>
    <row r="381" customFormat="false" ht="15.75" hidden="false" customHeight="true" outlineLevel="0" collapsed="false">
      <c r="A381" s="12" t="n">
        <v>7832</v>
      </c>
      <c r="B381" s="13" t="s">
        <v>1713</v>
      </c>
      <c r="C381" s="14" t="n">
        <v>44795</v>
      </c>
      <c r="D381" s="13" t="s">
        <v>101</v>
      </c>
      <c r="E381" s="15" t="s">
        <v>47</v>
      </c>
      <c r="F381" s="15" t="str">
        <f aca="false">IFERROR(__xludf.dummyfunction("XLOOKUP(AJ381,IMPORTRANGE(""1XaInW9DU9nz21V0tYIfzFQ0He9kVQ_JF2mCXgZ3hqFA"",""REKAP ALL 2026 - Andika!G:G""),IMPORTRANGE(""1XaInW9DU9nz21V0tYIfzFQ0He9kVQ_JF2mCXgZ3hqFA"",""REKAP ALL 2026 - Andika!F:F""),"""",0)"),"22099843322")</f>
        <v>22099843322</v>
      </c>
      <c r="G381" s="13" t="s">
        <v>1714</v>
      </c>
      <c r="H381" s="13" t="s">
        <v>35</v>
      </c>
      <c r="I381" s="13" t="str">
        <f aca="false">IF(C381=J381,"NEW KONTRAK","RE-KONTRAK")</f>
        <v>RE-KONTRAK</v>
      </c>
      <c r="J381" s="16" t="n">
        <f aca="false" t="array" ref="J381:J381">IFERROR(INDEX(AC381:AE381,IF(COUNTA(AC381:AE381)=0,"",MAX((AC381:AE381&lt;&gt;"")*(COLUMN(AC381:AE381)-(COLUMN(AC381)))))-1),"")</f>
        <v>45672</v>
      </c>
      <c r="K381" s="16" t="n">
        <f aca="false" t="array" ref="K381:K381">IFERROR(INDEX(AC381:AE381,IF(COUNTA(AC381:AE381)=0,"",MAX((AC381:AE381&lt;&gt;"")*(COLUMN(AC381:AE381)-(COLUMN(AC381)-1))))-1),"")</f>
        <v>46036</v>
      </c>
      <c r="L381" s="17" t="str">
        <f aca="false" t="array" ref="L381:L381">IFERROR(INDEX(AC381:AE381,IF(COUNTA(AC381:AE381)=0,"",MAX((AC381:AE381&lt;&gt;"")*(COLUMN(AC381:AE381)-(COLUMN(AC381)-2))))-1),"")</f>
        <v>ARCHIVED</v>
      </c>
      <c r="M381" s="13" t="n">
        <f aca="true">K381-TODAY()</f>
        <v>-288</v>
      </c>
      <c r="N381" s="18" t="s">
        <v>105</v>
      </c>
      <c r="O381" s="13" t="s">
        <v>106</v>
      </c>
      <c r="P381" s="31" t="n">
        <v>138915</v>
      </c>
      <c r="Q381" s="20" t="s">
        <v>1715</v>
      </c>
      <c r="R381" s="13" t="s">
        <v>39</v>
      </c>
      <c r="S381" s="25" t="n">
        <v>37042</v>
      </c>
      <c r="T381" s="13" t="s">
        <v>40</v>
      </c>
      <c r="U381" s="13" t="s">
        <v>1716</v>
      </c>
      <c r="V381" s="13" t="s">
        <v>42</v>
      </c>
      <c r="W381" s="13" t="s">
        <v>43</v>
      </c>
      <c r="X381" s="21" t="n">
        <v>81934951883</v>
      </c>
      <c r="Y381" s="22" t="str">
        <f aca="false">O381</f>
        <v>Produksi - Helper</v>
      </c>
      <c r="Z381" s="13" t="str">
        <f aca="false">IFERROR(__xludf.dummyfunction("if(BJ381="""","""",GOOGLETRANSLATE(BJ381,""auto"",""en""))"),"Production - Helper")</f>
        <v>Production - Helper</v>
      </c>
      <c r="AA381" s="23" t="str">
        <f aca="false">IF(C381="","", CHOOSE(MONTH(C381),"January","February","March","April","May","June","July","August","September","October","November","December")&amp;" "&amp;DAY(C381)&amp;MID("thstndrdth",MIN(9,2*RIGHT(DAY(C381))*(MOD(DAY(C381)-11,100)&gt;2)+1),2)&amp;","&amp;TEXT(C381," yyyy"))</f>
        <v>August 22nd,2022</v>
      </c>
      <c r="AB381" s="15" t="str">
        <f aca="true">IF(S381="","",DATEDIF(S381,TODAY(),"Y")&amp;" Tahun, "&amp;DATEDIF(S381,TODAY(),"YM")&amp;" Bulan, "&amp;DATEDIF(S381,TODAY(),"MD")&amp;" Hari")</f>
        <v>25 Tahun, 4 Bulan, 28 Hari</v>
      </c>
      <c r="AC381" s="18" t="n">
        <v>45672</v>
      </c>
      <c r="AD381" s="18" t="n">
        <v>46036</v>
      </c>
      <c r="AE381" s="18" t="s">
        <v>44</v>
      </c>
    </row>
    <row r="382" customFormat="false" ht="15.75" hidden="false" customHeight="true" outlineLevel="0" collapsed="false">
      <c r="A382" s="12" t="n">
        <v>2124</v>
      </c>
      <c r="B382" s="13" t="s">
        <v>1717</v>
      </c>
      <c r="C382" s="14" t="n">
        <v>43845</v>
      </c>
      <c r="D382" s="13" t="s">
        <v>101</v>
      </c>
      <c r="E382" s="15" t="s">
        <v>102</v>
      </c>
      <c r="F382" s="15" t="str">
        <f aca="false">IFERROR(__xludf.dummyfunction("XLOOKUP(AJ382,IMPORTRANGE(""1XaInW9DU9nz21V0tYIfzFQ0He9kVQ_JF2mCXgZ3hqFA"",""REKAP ALL 2026 - Andika!G:G""),IMPORTRANGE(""1XaInW9DU9nz21V0tYIfzFQ0He9kVQ_JF2mCXgZ3hqFA"",""REKAP ALL 2026 - Andika!F:F""),"""",0)"),"20021315401")</f>
        <v>20021315401</v>
      </c>
      <c r="G382" s="13" t="s">
        <v>1718</v>
      </c>
      <c r="H382" s="13" t="s">
        <v>35</v>
      </c>
      <c r="I382" s="13" t="str">
        <f aca="false">IF(C382=J382,"NEW KONTRAK","RE-KONTRAK")</f>
        <v>RE-KONTRAK</v>
      </c>
      <c r="J382" s="16" t="n">
        <f aca="false" t="array" ref="J382:J382">IFERROR(INDEX(AC382:AE382,IF(COUNTA(AC382:AE382)=0,"",MAX((AC382:AE382&lt;&gt;"")*(COLUMN(AC382:AE382)-(COLUMN(AC382)))))-1),"")</f>
        <v>45672</v>
      </c>
      <c r="K382" s="16" t="n">
        <f aca="false" t="array" ref="K382:K382">IFERROR(INDEX(AC382:AE382,IF(COUNTA(AC382:AE382)=0,"",MAX((AC382:AE382&lt;&gt;"")*(COLUMN(AC382:AE382)-(COLUMN(AC382)-1))))-1),"")</f>
        <v>46036</v>
      </c>
      <c r="L382" s="17" t="str">
        <f aca="false" t="array" ref="L382:L382">IFERROR(INDEX(AC382:AE382,IF(COUNTA(AC382:AE382)=0,"",MAX((AC382:AE382&lt;&gt;"")*(COLUMN(AC382:AE382)-(COLUMN(AC382)-2))))-1),"")</f>
        <v>ARCHIVED</v>
      </c>
      <c r="M382" s="13" t="n">
        <f aca="true">K382-TODAY()</f>
        <v>-288</v>
      </c>
      <c r="N382" s="18" t="s">
        <v>105</v>
      </c>
      <c r="O382" s="13" t="s">
        <v>106</v>
      </c>
      <c r="P382" s="19" t="n">
        <v>132300</v>
      </c>
      <c r="Q382" s="20" t="s">
        <v>1719</v>
      </c>
      <c r="R382" s="13" t="s">
        <v>39</v>
      </c>
      <c r="S382" s="25" t="n">
        <v>33361</v>
      </c>
      <c r="T382" s="13" t="s">
        <v>108</v>
      </c>
      <c r="U382" s="13" t="s">
        <v>1638</v>
      </c>
      <c r="V382" s="13" t="s">
        <v>42</v>
      </c>
      <c r="W382" s="13" t="s">
        <v>54</v>
      </c>
      <c r="X382" s="21" t="n">
        <v>8814968766</v>
      </c>
      <c r="Y382" s="22" t="str">
        <f aca="false">O382</f>
        <v>Produksi - Helper</v>
      </c>
      <c r="Z382" s="13" t="str">
        <f aca="false">IFERROR(__xludf.dummyfunction("if(BJ382="""","""",GOOGLETRANSLATE(BJ382,""auto"",""en""))"),"Production - Helper")</f>
        <v>Production - Helper</v>
      </c>
      <c r="AA382" s="23" t="str">
        <f aca="false">IF(C382="","", CHOOSE(MONTH(C382),"January","February","March","April","May","June","July","August","September","October","November","December")&amp;" "&amp;DAY(C382)&amp;MID("thstndrdth",MIN(9,2*RIGHT(DAY(C382))*(MOD(DAY(C382)-11,100)&gt;2)+1),2)&amp;","&amp;TEXT(C382," yyyy"))</f>
        <v>January 15th,2020</v>
      </c>
      <c r="AB382" s="15" t="str">
        <f aca="true">IF(S382="","",DATEDIF(S382,TODAY(),"Y")&amp;" Tahun, "&amp;DATEDIF(S382,TODAY(),"YM")&amp;" Bulan, "&amp;DATEDIF(S382,TODAY(),"MD")&amp;" Hari")</f>
        <v>35 Tahun, 5 Bulan, 26 Hari</v>
      </c>
      <c r="AC382" s="18" t="n">
        <v>45672</v>
      </c>
      <c r="AD382" s="18" t="n">
        <v>46036</v>
      </c>
      <c r="AE382" s="18" t="s">
        <v>44</v>
      </c>
    </row>
    <row r="383" customFormat="false" ht="15.75" hidden="false" customHeight="true" outlineLevel="0" collapsed="false">
      <c r="A383" s="12" t="n">
        <v>21700</v>
      </c>
      <c r="B383" s="13" t="s">
        <v>1720</v>
      </c>
      <c r="C383" s="16" t="n">
        <v>46024</v>
      </c>
      <c r="D383" s="13" t="s">
        <v>1721</v>
      </c>
      <c r="E383" s="15" t="s">
        <v>47</v>
      </c>
      <c r="F383" s="15" t="str">
        <f aca="false">IFERROR(__xludf.dummyfunction("XLOOKUP(AJ383,IMPORTRANGE(""1XaInW9DU9nz21V0tYIfzFQ0He9kVQ_JF2mCXgZ3hqFA"",""REKAP ALL 2026 - Andika!G:G""),IMPORTRANGE(""1XaInW9DU9nz21V0tYIfzFQ0He9kVQ_JF2mCXgZ3hqFA"",""REKAP ALL 2026 - Andika!F:F""),"""",0)"),"26020754490")</f>
        <v>26020754490</v>
      </c>
      <c r="G383" s="28" t="s">
        <v>57</v>
      </c>
      <c r="H383" s="13" t="s">
        <v>35</v>
      </c>
      <c r="I383" s="13" t="str">
        <f aca="false">IF(C383=J383,"NEW KONTRAK","RE-KONTRAK")</f>
        <v>NEW KONTRAK</v>
      </c>
      <c r="J383" s="16" t="n">
        <f aca="false" t="array" ref="J383:J383">IFERROR(INDEX(AC383:AE383,IF(COUNTA(AC383:AE383)=0,"",MAX((AC383:AE383&lt;&gt;"")*(COLUMN(AC383:AE383)-(COLUMN(AC383)))))-1),"")</f>
        <v>46024</v>
      </c>
      <c r="K383" s="16" t="n">
        <f aca="false" t="array" ref="K383:K383">IFERROR(INDEX(AC383:AE383,IF(COUNTA(AC383:AE383)=0,"",MAX((AC383:AE383&lt;&gt;"")*(COLUMN(AC383:AE383)-(COLUMN(AC383)-1))))-1),"")</f>
        <v>46113</v>
      </c>
      <c r="L383" s="17" t="str">
        <f aca="false" t="array" ref="L383:L383">IFERROR(INDEX(AC383:AE383,IF(COUNTA(AC383:AE383)=0,"",MAX((AC383:AE383&lt;&gt;"")*(COLUMN(AC383:AE383)-(COLUMN(AC383)-2))))-1),"")</f>
        <v>ARCHIVED</v>
      </c>
      <c r="M383" s="13" t="n">
        <f aca="true">K383-TODAY()</f>
        <v>-211</v>
      </c>
      <c r="N383" s="18" t="s">
        <v>728</v>
      </c>
      <c r="O383" s="13" t="s">
        <v>1722</v>
      </c>
      <c r="P383" s="19" t="n">
        <v>5444909</v>
      </c>
      <c r="Q383" s="47" t="s">
        <v>1723</v>
      </c>
      <c r="R383" s="13" t="s">
        <v>260</v>
      </c>
      <c r="S383" s="16" t="n">
        <v>36782</v>
      </c>
      <c r="T383" s="28" t="s">
        <v>40</v>
      </c>
      <c r="U383" s="13" t="s">
        <v>1724</v>
      </c>
      <c r="V383" s="13" t="s">
        <v>42</v>
      </c>
      <c r="W383" s="13" t="s">
        <v>43</v>
      </c>
      <c r="X383" s="21" t="s">
        <v>1725</v>
      </c>
      <c r="Y383" s="22" t="str">
        <f aca="false">O383</f>
        <v>Printing</v>
      </c>
      <c r="Z383" s="13" t="str">
        <f aca="false">IFERROR(__xludf.dummyfunction("if(BJ383="""","""",GOOGLETRANSLATE(BJ383,""auto"",""en""))"),"Printing")</f>
        <v>Printing</v>
      </c>
      <c r="AA383" s="23" t="str">
        <f aca="false">IF(C383="","", CHOOSE(MONTH(C383),"January","February","March","April","May","June","July","August","September","October","November","December")&amp;" "&amp;DAY(C383)&amp;MID("thstndrdth",MIN(9,2*RIGHT(DAY(C383))*(MOD(DAY(C383)-11,100)&gt;2)+1),2)&amp;","&amp;TEXT(C383," yyyy"))</f>
        <v>January 2nd,2026</v>
      </c>
      <c r="AB383" s="15" t="str">
        <f aca="true">IF(S383="","",DATEDIF(S383,TODAY(),"Y")&amp;" Tahun, "&amp;DATEDIF(S383,TODAY(),"YM")&amp;" Bulan, "&amp;DATEDIF(S383,TODAY(),"MD")&amp;" Hari")</f>
        <v>26 Tahun, 1 Bulan, 16 Hari</v>
      </c>
      <c r="AC383" s="18" t="n">
        <v>46024</v>
      </c>
      <c r="AD383" s="18" t="n">
        <f aca="false">EDATE(AC383,3)-1</f>
        <v>46113</v>
      </c>
      <c r="AE383" s="18" t="s">
        <v>44</v>
      </c>
    </row>
    <row r="384" customFormat="false" ht="15.75" hidden="false" customHeight="true" outlineLevel="0" collapsed="false">
      <c r="A384" s="12" t="n">
        <v>22426</v>
      </c>
      <c r="B384" s="13" t="s">
        <v>1726</v>
      </c>
      <c r="C384" s="14" t="n">
        <v>46186</v>
      </c>
      <c r="D384" s="13" t="s">
        <v>1721</v>
      </c>
      <c r="E384" s="15" t="s">
        <v>47</v>
      </c>
      <c r="F384" s="24" t="s">
        <v>1727</v>
      </c>
      <c r="G384" s="24" t="s">
        <v>57</v>
      </c>
      <c r="H384" s="13" t="s">
        <v>35</v>
      </c>
      <c r="I384" s="13" t="str">
        <f aca="false">IF(C384=J384,"NEW KONTRAK","RE-KONTRAK")</f>
        <v>NEW KONTRAK</v>
      </c>
      <c r="J384" s="16" t="n">
        <f aca="false" t="array" ref="J384:J384">IFERROR(INDEX(AC384:AE384,IF(COUNTA(AC384:AE384)=0,"",MAX((AC384:AE384&lt;&gt;"")*(COLUMN(AC384:AE384)-(COLUMN(AC384)))))-1),"")</f>
        <v>46186</v>
      </c>
      <c r="K384" s="16" t="n">
        <f aca="false" t="array" ref="K384:K384">IFERROR(INDEX(AC384:AE384,IF(COUNTA(AC384:AE384)=0,"",MAX((AC384:AE384&lt;&gt;"")*(COLUMN(AC384:AE384)-(COLUMN(AC384)-1))))-1),"")</f>
        <v>46277</v>
      </c>
      <c r="L384" s="17" t="str">
        <f aca="false" t="array" ref="L384:L384">IFERROR(INDEX(AC384:AE384,IF(COUNTA(AC384:AE384)=0,"",MAX((AC384:AE384&lt;&gt;"")*(COLUMN(AC384:AE384)-(COLUMN(AC384)-2))))-1),"")</f>
        <v>KEMBALI</v>
      </c>
      <c r="M384" s="13" t="n">
        <f aca="true">K384-TODAY()</f>
        <v>-47</v>
      </c>
      <c r="N384" s="18" t="s">
        <v>728</v>
      </c>
      <c r="O384" s="13" t="s">
        <v>624</v>
      </c>
      <c r="P384" s="19" t="n">
        <v>5288796</v>
      </c>
      <c r="Q384" s="47" t="s">
        <v>1728</v>
      </c>
      <c r="R384" s="13" t="s">
        <v>39</v>
      </c>
      <c r="S384" s="16" t="n">
        <v>35379</v>
      </c>
      <c r="T384" s="28" t="s">
        <v>40</v>
      </c>
      <c r="U384" s="13" t="s">
        <v>1729</v>
      </c>
      <c r="V384" s="13" t="s">
        <v>42</v>
      </c>
      <c r="W384" s="13" t="s">
        <v>43</v>
      </c>
      <c r="X384" s="30" t="n">
        <v>85186379402</v>
      </c>
      <c r="Y384" s="22" t="str">
        <f aca="false">O384</f>
        <v>Quality Control</v>
      </c>
      <c r="Z384" s="13" t="str">
        <f aca="false">IFERROR(__xludf.dummyfunction("if(BJ384="""","""",GOOGLETRANSLATE(BJ384,""auto"",""en""))"),"Quality Control")</f>
        <v>Quality Control</v>
      </c>
      <c r="AA384" s="23" t="str">
        <f aca="false">IF(C384="","", CHOOSE(MONTH(C384),"January","February","March","April","May","June","July","August","September","October","November","December")&amp;" "&amp;DAY(C384)&amp;MID("thstndrdth",MIN(9,2*RIGHT(DAY(C384))*(MOD(DAY(C384)-11,100)&gt;2)+1),2)&amp;","&amp;TEXT(C384," yyyy"))</f>
        <v>June 13th,2026</v>
      </c>
      <c r="AB384" s="15" t="str">
        <f aca="true">IF(S384="","",DATEDIF(S384,TODAY(),"Y")&amp;" Tahun, "&amp;DATEDIF(S384,TODAY(),"YM")&amp;" Bulan, "&amp;DATEDIF(S384,TODAY(),"MD")&amp;" Hari")</f>
        <v>29 Tahun, 11 Bulan, 19 Hari</v>
      </c>
      <c r="AC384" s="14" t="n">
        <v>46186</v>
      </c>
      <c r="AD384" s="18" t="n">
        <f aca="false">EDATE(AC384,3)-1</f>
        <v>46277</v>
      </c>
      <c r="AE384" s="13" t="s">
        <v>397</v>
      </c>
    </row>
    <row r="385" customFormat="false" ht="15.75" hidden="false" customHeight="true" outlineLevel="0" collapsed="false">
      <c r="A385" s="12" t="n">
        <v>22835</v>
      </c>
      <c r="B385" s="13" t="s">
        <v>1730</v>
      </c>
      <c r="C385" s="14" t="n">
        <v>46279</v>
      </c>
      <c r="D385" s="13" t="s">
        <v>1721</v>
      </c>
      <c r="E385" s="13" t="s">
        <v>47</v>
      </c>
      <c r="F385" s="24" t="s">
        <v>1731</v>
      </c>
      <c r="G385" s="13" t="s">
        <v>1452</v>
      </c>
      <c r="H385" s="13" t="s">
        <v>35</v>
      </c>
      <c r="I385" s="13" t="str">
        <f aca="false">IF(C385=J385,"NEW KONTRAK","RE-KONTRAK")</f>
        <v>NEW KONTRAK</v>
      </c>
      <c r="J385" s="16" t="n">
        <f aca="false" t="array" ref="J385:J385">IFERROR(INDEX(AC385:AE385,IF(COUNTA(AC385:AE385)=0,"",MAX((AC385:AE385&lt;&gt;"")*(COLUMN(AC385:AE385)-(COLUMN(AC385)))))-1),"")</f>
        <v>46279</v>
      </c>
      <c r="K385" s="16" t="n">
        <f aca="false" t="array" ref="K385:K385">IFERROR(INDEX(AC385:AE385,IF(COUNTA(AC385:AE385)=0,"",MAX((AC385:AE385&lt;&gt;"")*(COLUMN(AC385:AE385)-(COLUMN(AC385)-1))))-1),"")</f>
        <v>46386</v>
      </c>
      <c r="L385" s="17" t="str">
        <f aca="false" t="array" ref="L385:L385">IFERROR(INDEX(AC385:AE385,IF(COUNTA(AC385:AE385)=0,"",MAX((AC385:AE385&lt;&gt;"")*(COLUMN(AC385:AE385)-(COLUMN(AC385)-2))))-1),"")</f>
        <v>ARCHIVED</v>
      </c>
      <c r="M385" s="13" t="n">
        <f aca="true">K385-TODAY()</f>
        <v>62</v>
      </c>
      <c r="N385" s="18" t="s">
        <v>728</v>
      </c>
      <c r="O385" s="13" t="s">
        <v>1732</v>
      </c>
      <c r="P385" s="26" t="n">
        <v>5444909</v>
      </c>
      <c r="Q385" s="20" t="s">
        <v>1733</v>
      </c>
      <c r="R385" s="48" t="s">
        <v>246</v>
      </c>
      <c r="S385" s="25" t="n">
        <v>35908</v>
      </c>
      <c r="T385" s="13" t="s">
        <v>40</v>
      </c>
      <c r="U385" s="13" t="s">
        <v>1734</v>
      </c>
      <c r="V385" s="13" t="s">
        <v>42</v>
      </c>
      <c r="W385" s="28" t="s">
        <v>43</v>
      </c>
      <c r="X385" s="21" t="n">
        <v>83161808271</v>
      </c>
      <c r="Y385" s="22" t="str">
        <f aca="false">O385</f>
        <v>Bm.Operator</v>
      </c>
      <c r="Z385" s="13" t="str">
        <f aca="false">IFERROR(__xludf.dummyfunction("if(BJ385="""","""",GOOGLETRANSLATE(BJ385,""auto"",""en""))"),"Bm.Operator")</f>
        <v>Bm.Operator</v>
      </c>
      <c r="AA385" s="23" t="str">
        <f aca="false">IF(C385="","", CHOOSE(MONTH(C385),"January","February","March","April","May","June","July","August","September","October","November","December")&amp;" "&amp;DAY(C385)&amp;MID("thstndrdth",MIN(9,2*RIGHT(DAY(C385))*(MOD(DAY(C385)-11,100)&gt;2)+1),2)&amp;","&amp;TEXT(C385," yyyy"))</f>
        <v>September 14th,2026</v>
      </c>
      <c r="AB385" s="15" t="str">
        <f aca="true">IF(S385="","",DATEDIF(S385,TODAY(),"Y")&amp;" Tahun, "&amp;DATEDIF(S385,TODAY(),"YM")&amp;" Bulan, "&amp;DATEDIF(S385,TODAY(),"MD")&amp;" Hari")</f>
        <v>28 Tahun, 6 Bulan, 6 Hari</v>
      </c>
      <c r="AC385" s="14" t="n">
        <v>46279</v>
      </c>
      <c r="AD385" s="18" t="n">
        <v>46386</v>
      </c>
      <c r="AE385" s="13" t="s">
        <v>44</v>
      </c>
    </row>
    <row r="386" customFormat="false" ht="15.75" hidden="false" customHeight="true" outlineLevel="0" collapsed="false">
      <c r="A386" s="12" t="n">
        <v>2140</v>
      </c>
      <c r="B386" s="13" t="s">
        <v>1735</v>
      </c>
      <c r="C386" s="14" t="n">
        <v>41646</v>
      </c>
      <c r="D386" s="13" t="s">
        <v>1721</v>
      </c>
      <c r="E386" s="15" t="s">
        <v>789</v>
      </c>
      <c r="F386" s="24" t="s">
        <v>1736</v>
      </c>
      <c r="G386" s="13" t="s">
        <v>1737</v>
      </c>
      <c r="H386" s="13" t="s">
        <v>35</v>
      </c>
      <c r="I386" s="13" t="str">
        <f aca="false">IF(C386=J386,"NEW KONTRAK","RE-KONTRAK")</f>
        <v>RE-KONTRAK</v>
      </c>
      <c r="J386" s="16" t="n">
        <f aca="false" t="array" ref="J386:J386">IFERROR(INDEX(AC386:AE386,IF(COUNTA(AC386:AE386)=0,"",MAX((AC386:AE386&lt;&gt;"")*(COLUMN(AC386:AE386)-(COLUMN(AC386)))))-1),"")</f>
        <v>45659</v>
      </c>
      <c r="K386" s="16" t="n">
        <f aca="false" t="array" ref="K386:K386">IFERROR(INDEX(AC386:AE386,IF(COUNTA(AC386:AE386)=0,"",MAX((AC386:AE386&lt;&gt;"")*(COLUMN(AC386:AE386)-(COLUMN(AC386)-1))))-1),"")</f>
        <v>46015</v>
      </c>
      <c r="L386" s="17" t="str">
        <f aca="false" t="array" ref="L386:L386">IFERROR(INDEX(AC386:AE386,IF(COUNTA(AC386:AE386)=0,"",MAX((AC386:AE386&lt;&gt;"")*(COLUMN(AC386:AE386)-(COLUMN(AC386)-2))))-1),"")</f>
        <v>ARCHIVED</v>
      </c>
      <c r="M386" s="13" t="n">
        <f aca="true">K386-TODAY()</f>
        <v>-309</v>
      </c>
      <c r="N386" s="18" t="s">
        <v>728</v>
      </c>
      <c r="O386" s="13" t="s">
        <v>1738</v>
      </c>
      <c r="P386" s="19" t="n">
        <v>5444909</v>
      </c>
      <c r="Q386" s="20" t="s">
        <v>1739</v>
      </c>
      <c r="R386" s="13" t="s">
        <v>241</v>
      </c>
      <c r="S386" s="14" t="n">
        <v>36270</v>
      </c>
      <c r="T386" s="13" t="s">
        <v>108</v>
      </c>
      <c r="U386" s="13" t="s">
        <v>1740</v>
      </c>
      <c r="V386" s="13" t="s">
        <v>42</v>
      </c>
      <c r="W386" s="13" t="s">
        <v>43</v>
      </c>
      <c r="X386" s="21" t="n">
        <v>85730317663</v>
      </c>
      <c r="Y386" s="22" t="str">
        <f aca="false">O386</f>
        <v>IM Operator</v>
      </c>
      <c r="Z386" s="13" t="str">
        <f aca="false">IFERROR(__xludf.dummyfunction("if(BJ386="""","""",GOOGLETRANSLATE(BJ386,""auto"",""en""))"),"IM Operator")</f>
        <v>IM Operator</v>
      </c>
      <c r="AA386" s="23" t="str">
        <f aca="false">IF(C386="","", CHOOSE(MONTH(C386),"January","February","March","April","May","June","July","August","September","October","November","December")&amp;" "&amp;DAY(C386)&amp;MID("thstndrdth",MIN(9,2*RIGHT(DAY(C386))*(MOD(DAY(C386)-11,100)&gt;2)+1),2)&amp;","&amp;TEXT(C386," yyyy"))</f>
        <v>January 7th,2014</v>
      </c>
      <c r="AB386" s="15" t="str">
        <f aca="true">IF(S386="","",DATEDIF(S386,TODAY(),"Y")&amp;" Tahun, "&amp;DATEDIF(S386,TODAY(),"YM")&amp;" Bulan, "&amp;DATEDIF(S386,TODAY(),"MD")&amp;" Hari")</f>
        <v>27 Tahun, 6 Bulan, 9 Hari</v>
      </c>
      <c r="AC386" s="18" t="n">
        <v>45659</v>
      </c>
      <c r="AD386" s="18" t="n">
        <v>46015</v>
      </c>
      <c r="AE386" s="18" t="s">
        <v>44</v>
      </c>
    </row>
    <row r="387" customFormat="false" ht="15.75" hidden="false" customHeight="true" outlineLevel="0" collapsed="false">
      <c r="A387" s="12" t="n">
        <v>2148</v>
      </c>
      <c r="B387" s="45" t="s">
        <v>1741</v>
      </c>
      <c r="C387" s="14" t="n">
        <v>44531</v>
      </c>
      <c r="D387" s="13" t="s">
        <v>1721</v>
      </c>
      <c r="E387" s="15" t="s">
        <v>1742</v>
      </c>
      <c r="F387" s="15" t="str">
        <f aca="false">IFERROR(__xludf.dummyfunction("XLOOKUP(AJ387,IMPORTRANGE(""1XaInW9DU9nz21V0tYIfzFQ0He9kVQ_JF2mCXgZ3hqFA"",""REKAP ALL 2026 - Andika!G:G""),IMPORTRANGE(""1XaInW9DU9nz21V0tYIfzFQ0He9kVQ_JF2mCXgZ3hqFA"",""REKAP ALL 2026 - Andika!F:F""),"""",0)"),"21096161852")</f>
        <v>21096161852</v>
      </c>
      <c r="G387" s="13" t="s">
        <v>1743</v>
      </c>
      <c r="H387" s="13" t="s">
        <v>35</v>
      </c>
      <c r="I387" s="13" t="str">
        <f aca="false">IF(C387=J387,"NEW KONTRAK","RE-KONTRAK")</f>
        <v>RE-KONTRAK</v>
      </c>
      <c r="J387" s="16" t="n">
        <f aca="false" t="array" ref="J387:J387">IFERROR(INDEX(AC387:AE387,IF(COUNTA(AC387:AE387)=0,"",MAX((AC387:AE387&lt;&gt;"")*(COLUMN(AC387:AE387)-(COLUMN(AC387)))))-1),"")</f>
        <v>45659</v>
      </c>
      <c r="K387" s="16" t="n">
        <f aca="false" t="array" ref="K387:K387">IFERROR(INDEX(AC387:AE387,IF(COUNTA(AC387:AE387)=0,"",MAX((AC387:AE387&lt;&gt;"")*(COLUMN(AC387:AE387)-(COLUMN(AC387)-1))))-1),"")</f>
        <v>46015</v>
      </c>
      <c r="L387" s="17" t="str">
        <f aca="false" t="array" ref="L387:L387">IFERROR(INDEX(AC387:AE387,IF(COUNTA(AC387:AE387)=0,"",MAX((AC387:AE387&lt;&gt;"")*(COLUMN(AC387:AE387)-(COLUMN(AC387)-2))))-1),"")</f>
        <v>ARCHIVED</v>
      </c>
      <c r="M387" s="13" t="n">
        <f aca="true">K387-TODAY()</f>
        <v>-309</v>
      </c>
      <c r="N387" s="18" t="s">
        <v>728</v>
      </c>
      <c r="O387" s="13" t="s">
        <v>1744</v>
      </c>
      <c r="P387" s="19" t="n">
        <v>5444909</v>
      </c>
      <c r="Q387" s="20" t="s">
        <v>1745</v>
      </c>
      <c r="R387" s="13" t="s">
        <v>73</v>
      </c>
      <c r="S387" s="14" t="n">
        <v>34673</v>
      </c>
      <c r="T387" s="13" t="s">
        <v>108</v>
      </c>
      <c r="U387" s="13" t="s">
        <v>1746</v>
      </c>
      <c r="V387" s="13" t="s">
        <v>42</v>
      </c>
      <c r="W387" s="13" t="s">
        <v>43</v>
      </c>
      <c r="X387" s="21" t="n">
        <v>81554219662</v>
      </c>
      <c r="Y387" s="22" t="str">
        <f aca="false">O387</f>
        <v>Print Operator</v>
      </c>
      <c r="Z387" s="13" t="str">
        <f aca="false">IFERROR(__xludf.dummyfunction("if(BJ387="""","""",GOOGLETRANSLATE(BJ387,""auto"",""en""))"),"Print Operator")</f>
        <v>Print Operator</v>
      </c>
      <c r="AA387" s="23" t="str">
        <f aca="false">IF(C387="","", CHOOSE(MONTH(C387),"January","February","March","April","May","June","July","August","September","October","November","December")&amp;" "&amp;DAY(C387)&amp;MID("thstndrdth",MIN(9,2*RIGHT(DAY(C387))*(MOD(DAY(C387)-11,100)&gt;2)+1),2)&amp;","&amp;TEXT(C387," yyyy"))</f>
        <v>December 1st,2021</v>
      </c>
      <c r="AB387" s="15" t="str">
        <f aca="true">IF(S387="","",DATEDIF(S387,TODAY(),"Y")&amp;" Tahun, "&amp;DATEDIF(S387,TODAY(),"YM")&amp;" Bulan, "&amp;DATEDIF(S387,TODAY(),"MD")&amp;" Hari")</f>
        <v>31 Tahun, 10 Bulan, 24 Hari</v>
      </c>
      <c r="AC387" s="18" t="n">
        <v>45659</v>
      </c>
      <c r="AD387" s="18" t="n">
        <v>46015</v>
      </c>
      <c r="AE387" s="18" t="s">
        <v>44</v>
      </c>
    </row>
    <row r="388" customFormat="false" ht="15.75" hidden="false" customHeight="true" outlineLevel="0" collapsed="false">
      <c r="A388" s="12" t="n">
        <v>22973</v>
      </c>
      <c r="B388" s="13" t="s">
        <v>1747</v>
      </c>
      <c r="C388" s="14" t="n">
        <v>46307</v>
      </c>
      <c r="D388" s="13" t="s">
        <v>1721</v>
      </c>
      <c r="E388" s="13" t="s">
        <v>47</v>
      </c>
      <c r="F388" s="24" t="s">
        <v>1748</v>
      </c>
      <c r="G388" s="13" t="s">
        <v>1127</v>
      </c>
      <c r="H388" s="13" t="s">
        <v>35</v>
      </c>
      <c r="I388" s="13" t="str">
        <f aca="false">IF(C388=J388,"NEW KONTRAK","RE-KONTRAK")</f>
        <v>NEW KONTRAK</v>
      </c>
      <c r="J388" s="16" t="n">
        <f aca="false" t="array" ref="J388:J388">IFERROR(INDEX(AC388:AE388,IF(COUNTA(AC388:AE388)=0,"",MAX((AC388:AE388&lt;&gt;"")*(COLUMN(AC388:AE388)-(COLUMN(AC388)))))-1),"")</f>
        <v>46307</v>
      </c>
      <c r="K388" s="16" t="n">
        <f aca="false" t="array" ref="K388:K388">IFERROR(INDEX(AC388:AE388,IF(COUNTA(AC388:AE388)=0,"",MAX((AC388:AE388&lt;&gt;"")*(COLUMN(AC388:AE388)-(COLUMN(AC388)-1))))-1),"")</f>
        <v>46386</v>
      </c>
      <c r="L388" s="17" t="str">
        <f aca="false" t="array" ref="L388:L388">IFERROR(INDEX(AC388:AE388,IF(COUNTA(AC388:AE388)=0,"",MAX((AC388:AE388&lt;&gt;"")*(COLUMN(AC388:AE388)-(COLUMN(AC388)-2))))-1),"")</f>
        <v>PRINTED</v>
      </c>
      <c r="M388" s="13" t="n">
        <f aca="true">K388-TODAY()</f>
        <v>62</v>
      </c>
      <c r="N388" s="18" t="s">
        <v>728</v>
      </c>
      <c r="O388" s="13" t="s">
        <v>1749</v>
      </c>
      <c r="P388" s="26" t="n">
        <v>5444909</v>
      </c>
      <c r="Q388" s="20" t="s">
        <v>1750</v>
      </c>
      <c r="R388" s="13" t="s">
        <v>52</v>
      </c>
      <c r="S388" s="25" t="n">
        <v>36063</v>
      </c>
      <c r="T388" s="13" t="s">
        <v>40</v>
      </c>
      <c r="U388" s="13" t="s">
        <v>1751</v>
      </c>
      <c r="V388" s="13" t="s">
        <v>42</v>
      </c>
      <c r="W388" s="13" t="s">
        <v>43</v>
      </c>
      <c r="X388" s="21" t="n">
        <v>89649988841</v>
      </c>
      <c r="Y388" s="22" t="str">
        <f aca="false">O388</f>
        <v>BM Operator</v>
      </c>
      <c r="Z388" s="13" t="str">
        <f aca="false">IFERROR(__xludf.dummyfunction("if(BJ388="""","""",GOOGLETRANSLATE(BJ388,""auto"",""en""))"),"BM Operator")</f>
        <v>BM Operator</v>
      </c>
      <c r="AA388" s="23" t="str">
        <f aca="false">IF(C388="","", CHOOSE(MONTH(C388),"January","February","March","April","May","June","July","August","September","October","November","December")&amp;" "&amp;DAY(C388)&amp;MID("thstndrdth",MIN(9,2*RIGHT(DAY(C388))*(MOD(DAY(C388)-11,100)&gt;2)+1),2)&amp;","&amp;TEXT(C388," yyyy"))</f>
        <v>October 12th,2026</v>
      </c>
      <c r="AB388" s="15" t="str">
        <f aca="true">IF(S388="","",DATEDIF(S388,TODAY(),"Y")&amp;" Tahun, "&amp;DATEDIF(S388,TODAY(),"YM")&amp;" Bulan, "&amp;DATEDIF(S388,TODAY(),"MD")&amp;" Hari")</f>
        <v>28 Tahun, 1 Bulan, 4 Hari</v>
      </c>
      <c r="AC388" s="14" t="n">
        <v>46307</v>
      </c>
      <c r="AD388" s="18" t="n">
        <v>46386</v>
      </c>
      <c r="AE388" s="13" t="s">
        <v>1752</v>
      </c>
    </row>
    <row r="389" customFormat="false" ht="15.75" hidden="false" customHeight="true" outlineLevel="0" collapsed="false">
      <c r="A389" s="12" t="n">
        <v>22847</v>
      </c>
      <c r="B389" s="13" t="s">
        <v>1753</v>
      </c>
      <c r="C389" s="14" t="n">
        <v>46279</v>
      </c>
      <c r="D389" s="13" t="s">
        <v>1721</v>
      </c>
      <c r="E389" s="13" t="s">
        <v>47</v>
      </c>
      <c r="F389" s="24" t="s">
        <v>1754</v>
      </c>
      <c r="G389" s="13" t="s">
        <v>1452</v>
      </c>
      <c r="H389" s="13" t="s">
        <v>35</v>
      </c>
      <c r="I389" s="13" t="str">
        <f aca="false">IF(C389=J389,"NEW KONTRAK","RE-KONTRAK")</f>
        <v>NEW KONTRAK</v>
      </c>
      <c r="J389" s="16" t="n">
        <f aca="false" t="array" ref="J389:J389">IFERROR(INDEX(AC389:AE389,IF(COUNTA(AC389:AE389)=0,"",MAX((AC389:AE389&lt;&gt;"")*(COLUMN(AC389:AE389)-(COLUMN(AC389)))))-1),"")</f>
        <v>46279</v>
      </c>
      <c r="K389" s="16" t="n">
        <f aca="false" t="array" ref="K389:K389">IFERROR(INDEX(AC389:AE389,IF(COUNTA(AC389:AE389)=0,"",MAX((AC389:AE389&lt;&gt;"")*(COLUMN(AC389:AE389)-(COLUMN(AC389)-1))))-1),"")</f>
        <v>46386</v>
      </c>
      <c r="L389" s="17" t="str">
        <f aca="false" t="array" ref="L389:L389">IFERROR(INDEX(AC389:AE389,IF(COUNTA(AC389:AE389)=0,"",MAX((AC389:AE389&lt;&gt;"")*(COLUMN(AC389:AE389)-(COLUMN(AC389)-2))))-1),"")</f>
        <v>ARCHIVED</v>
      </c>
      <c r="M389" s="13" t="n">
        <f aca="true">K389-TODAY()</f>
        <v>62</v>
      </c>
      <c r="N389" s="18" t="s">
        <v>728</v>
      </c>
      <c r="O389" s="13" t="s">
        <v>1755</v>
      </c>
      <c r="P389" s="26" t="n">
        <v>5444909</v>
      </c>
      <c r="Q389" s="20" t="s">
        <v>1756</v>
      </c>
      <c r="R389" s="48" t="s">
        <v>52</v>
      </c>
      <c r="S389" s="25" t="n">
        <v>36797</v>
      </c>
      <c r="T389" s="13" t="s">
        <v>108</v>
      </c>
      <c r="U389" s="13" t="s">
        <v>1757</v>
      </c>
      <c r="V389" s="13" t="s">
        <v>42</v>
      </c>
      <c r="W389" s="28" t="s">
        <v>43</v>
      </c>
      <c r="X389" s="21" t="n">
        <v>81515470988</v>
      </c>
      <c r="Y389" s="22" t="str">
        <f aca="false">O389</f>
        <v>Im.Operator</v>
      </c>
      <c r="Z389" s="13" t="str">
        <f aca="false">IFERROR(__xludf.dummyfunction("if(BJ389="""","""",GOOGLETRANSLATE(BJ389,""auto"",""en""))"),"Im.Operator")</f>
        <v>Im.Operator</v>
      </c>
      <c r="AA389" s="23" t="str">
        <f aca="false">IF(C389="","", CHOOSE(MONTH(C389),"January","February","March","April","May","June","July","August","September","October","November","December")&amp;" "&amp;DAY(C389)&amp;MID("thstndrdth",MIN(9,2*RIGHT(DAY(C389))*(MOD(DAY(C389)-11,100)&gt;2)+1),2)&amp;","&amp;TEXT(C389," yyyy"))</f>
        <v>September 14th,2026</v>
      </c>
      <c r="AB389" s="15" t="str">
        <f aca="true">IF(S389="","",DATEDIF(S389,TODAY(),"Y")&amp;" Tahun, "&amp;DATEDIF(S389,TODAY(),"YM")&amp;" Bulan, "&amp;DATEDIF(S389,TODAY(),"MD")&amp;" Hari")</f>
        <v>26 Tahun, 1 Bulan, 1 Hari</v>
      </c>
      <c r="AC389" s="14" t="n">
        <v>46279</v>
      </c>
      <c r="AD389" s="18" t="n">
        <v>46386</v>
      </c>
      <c r="AE389" s="13" t="s">
        <v>44</v>
      </c>
    </row>
    <row r="390" customFormat="false" ht="15.75" hidden="false" customHeight="true" outlineLevel="0" collapsed="false">
      <c r="A390" s="12" t="n">
        <v>21679</v>
      </c>
      <c r="B390" s="13" t="s">
        <v>1758</v>
      </c>
      <c r="C390" s="16" t="n">
        <v>46024</v>
      </c>
      <c r="D390" s="13" t="s">
        <v>1721</v>
      </c>
      <c r="E390" s="15" t="s">
        <v>47</v>
      </c>
      <c r="F390" s="15" t="str">
        <f aca="false">IFERROR(__xludf.dummyfunction("XLOOKUP(AJ390,IMPORTRANGE(""1XaInW9DU9nz21V0tYIfzFQ0He9kVQ_JF2mCXgZ3hqFA"",""REKAP ALL 2026 - Andika!G:G""),IMPORTRANGE(""1XaInW9DU9nz21V0tYIfzFQ0He9kVQ_JF2mCXgZ3hqFA"",""REKAP ALL 2026 - Andika!F:F""),"""",0)"),"26020754508")</f>
        <v>26020754508</v>
      </c>
      <c r="G390" s="28" t="s">
        <v>57</v>
      </c>
      <c r="H390" s="13" t="s">
        <v>35</v>
      </c>
      <c r="I390" s="13" t="str">
        <f aca="false">IF(C390=J390,"NEW KONTRAK","RE-KONTRAK")</f>
        <v>NEW KONTRAK</v>
      </c>
      <c r="J390" s="16" t="n">
        <f aca="false" t="array" ref="J390:J390">IFERROR(INDEX(AC390:AE390,IF(COUNTA(AC390:AE390)=0,"",MAX((AC390:AE390&lt;&gt;"")*(COLUMN(AC390:AE390)-(COLUMN(AC390)))))-1),"")</f>
        <v>46024</v>
      </c>
      <c r="K390" s="16" t="n">
        <f aca="false" t="array" ref="K390:K390">IFERROR(INDEX(AC390:AE390,IF(COUNTA(AC390:AE390)=0,"",MAX((AC390:AE390&lt;&gt;"")*(COLUMN(AC390:AE390)-(COLUMN(AC390)-1))))-1),"")</f>
        <v>46113</v>
      </c>
      <c r="L390" s="17" t="str">
        <f aca="false" t="array" ref="L390:L390">IFERROR(INDEX(AC390:AE390,IF(COUNTA(AC390:AE390)=0,"",MAX((AC390:AE390&lt;&gt;"")*(COLUMN(AC390:AE390)-(COLUMN(AC390)-2))))-1),"")</f>
        <v>ARCHIVED</v>
      </c>
      <c r="M390" s="13" t="n">
        <f aca="true">K390-TODAY()</f>
        <v>-211</v>
      </c>
      <c r="N390" s="18" t="s">
        <v>728</v>
      </c>
      <c r="O390" s="13" t="s">
        <v>1759</v>
      </c>
      <c r="P390" s="19" t="n">
        <v>5444909</v>
      </c>
      <c r="Q390" s="47" t="s">
        <v>1760</v>
      </c>
      <c r="R390" s="13" t="s">
        <v>83</v>
      </c>
      <c r="S390" s="16" t="n">
        <v>34262</v>
      </c>
      <c r="T390" s="13" t="s">
        <v>108</v>
      </c>
      <c r="U390" s="13" t="s">
        <v>1761</v>
      </c>
      <c r="V390" s="13" t="s">
        <v>42</v>
      </c>
      <c r="W390" s="13" t="s">
        <v>54</v>
      </c>
      <c r="X390" s="21" t="s">
        <v>1762</v>
      </c>
      <c r="Y390" s="22" t="str">
        <f aca="false">O390</f>
        <v>Assy.Transfer</v>
      </c>
      <c r="Z390" s="13" t="str">
        <f aca="false">IFERROR(__xludf.dummyfunction("if(BJ390="""","""",GOOGLETRANSLATE(BJ390,""auto"",""en""))"),"Assy.Transfer")</f>
        <v>Assy.Transfer</v>
      </c>
      <c r="AA390" s="23" t="str">
        <f aca="false">IF(C390="","", CHOOSE(MONTH(C390),"January","February","March","April","May","June","July","August","September","October","November","December")&amp;" "&amp;DAY(C390)&amp;MID("thstndrdth",MIN(9,2*RIGHT(DAY(C390))*(MOD(DAY(C390)-11,100)&gt;2)+1),2)&amp;","&amp;TEXT(C390," yyyy"))</f>
        <v>January 2nd,2026</v>
      </c>
      <c r="AB390" s="15" t="str">
        <f aca="true">IF(S390="","",DATEDIF(S390,TODAY(),"Y")&amp;" Tahun, "&amp;DATEDIF(S390,TODAY(),"YM")&amp;" Bulan, "&amp;DATEDIF(S390,TODAY(),"MD")&amp;" Hari")</f>
        <v>33 Tahun, 0 Bulan, 9 Hari</v>
      </c>
      <c r="AC390" s="18" t="n">
        <v>46024</v>
      </c>
      <c r="AD390" s="18" t="n">
        <f aca="false">EDATE(AC390,3)-1</f>
        <v>46113</v>
      </c>
      <c r="AE390" s="18" t="s">
        <v>44</v>
      </c>
    </row>
    <row r="391" customFormat="false" ht="15.75" hidden="false" customHeight="true" outlineLevel="0" collapsed="false">
      <c r="A391" s="12" t="n">
        <v>2130</v>
      </c>
      <c r="B391" s="13" t="s">
        <v>1763</v>
      </c>
      <c r="C391" s="14" t="n">
        <v>44564</v>
      </c>
      <c r="D391" s="13" t="s">
        <v>1721</v>
      </c>
      <c r="E391" s="15" t="s">
        <v>47</v>
      </c>
      <c r="F391" s="15" t="str">
        <f aca="false">IFERROR(__xludf.dummyfunction("XLOOKUP(AJ391,IMPORTRANGE(""1XaInW9DU9nz21V0tYIfzFQ0He9kVQ_JF2mCXgZ3hqFA"",""REKAP ALL 2026 - Andika!G:G""),IMPORTRANGE(""1XaInW9DU9nz21V0tYIfzFQ0He9kVQ_JF2mCXgZ3hqFA"",""REKAP ALL 2026 - Andika!F:F""),"""",0)"),"22015020252")</f>
        <v>22015020252</v>
      </c>
      <c r="G391" s="13" t="s">
        <v>1764</v>
      </c>
      <c r="H391" s="13" t="s">
        <v>35</v>
      </c>
      <c r="I391" s="13" t="str">
        <f aca="false">IF(C391=J391,"NEW KONTRAK","RE-KONTRAK")</f>
        <v>RE-KONTRAK</v>
      </c>
      <c r="J391" s="16" t="n">
        <f aca="false" t="array" ref="J391:J391">IFERROR(INDEX(AC391:AE391,IF(COUNTA(AC391:AE391)=0,"",MAX((AC391:AE391&lt;&gt;"")*(COLUMN(AC391:AE391)-(COLUMN(AC391)))))-1),"")</f>
        <v>45659</v>
      </c>
      <c r="K391" s="16" t="n">
        <f aca="false" t="array" ref="K391:K391">IFERROR(INDEX(AC391:AE391,IF(COUNTA(AC391:AE391)=0,"",MAX((AC391:AE391&lt;&gt;"")*(COLUMN(AC391:AE391)-(COLUMN(AC391)-1))))-1),"")</f>
        <v>46015</v>
      </c>
      <c r="L391" s="17" t="str">
        <f aca="false" t="array" ref="L391:L391">IFERROR(INDEX(AC391:AE391,IF(COUNTA(AC391:AE391)=0,"",MAX((AC391:AE391&lt;&gt;"")*(COLUMN(AC391:AE391)-(COLUMN(AC391)-2))))-1),"")</f>
        <v>ARCHIVED</v>
      </c>
      <c r="M391" s="13" t="n">
        <f aca="true">K391-TODAY()</f>
        <v>-309</v>
      </c>
      <c r="N391" s="18" t="s">
        <v>728</v>
      </c>
      <c r="O391" s="13" t="s">
        <v>1765</v>
      </c>
      <c r="P391" s="19" t="n">
        <v>5444909</v>
      </c>
      <c r="Q391" s="20" t="s">
        <v>1766</v>
      </c>
      <c r="R391" s="13" t="s">
        <v>179</v>
      </c>
      <c r="S391" s="14" t="n">
        <v>34845</v>
      </c>
      <c r="T391" s="13" t="s">
        <v>108</v>
      </c>
      <c r="U391" s="13" t="s">
        <v>1767</v>
      </c>
      <c r="V391" s="13" t="s">
        <v>42</v>
      </c>
      <c r="W391" s="13" t="s">
        <v>54</v>
      </c>
      <c r="X391" s="21" t="n">
        <v>85855906830</v>
      </c>
      <c r="Y391" s="22" t="str">
        <f aca="false">O391</f>
        <v>Assy Operator</v>
      </c>
      <c r="Z391" s="13" t="str">
        <f aca="false">IFERROR(__xludf.dummyfunction("if(BJ391="""","""",GOOGLETRANSLATE(BJ391,""auto"",""en""))"),"Assy Operator")</f>
        <v>Assy Operator</v>
      </c>
      <c r="AA391" s="23" t="str">
        <f aca="false">IF(C391="","", CHOOSE(MONTH(C391),"January","February","March","April","May","June","July","August","September","October","November","December")&amp;" "&amp;DAY(C391)&amp;MID("thstndrdth",MIN(9,2*RIGHT(DAY(C391))*(MOD(DAY(C391)-11,100)&gt;2)+1),2)&amp;","&amp;TEXT(C391," yyyy"))</f>
        <v>January 3rd,2022</v>
      </c>
      <c r="AB391" s="15" t="str">
        <f aca="true">IF(S391="","",DATEDIF(S391,TODAY(),"Y")&amp;" Tahun, "&amp;DATEDIF(S391,TODAY(),"YM")&amp;" Bulan, "&amp;DATEDIF(S391,TODAY(),"MD")&amp;" Hari")</f>
        <v>31 Tahun, 5 Bulan, 3 Hari</v>
      </c>
      <c r="AC391" s="18" t="n">
        <v>45659</v>
      </c>
      <c r="AD391" s="18" t="n">
        <v>46015</v>
      </c>
      <c r="AE391" s="18" t="s">
        <v>44</v>
      </c>
    </row>
    <row r="392" customFormat="false" ht="15.75" hidden="false" customHeight="true" outlineLevel="0" collapsed="false">
      <c r="A392" s="12" t="n">
        <v>2131</v>
      </c>
      <c r="B392" s="13" t="s">
        <v>1768</v>
      </c>
      <c r="C392" s="14" t="n">
        <v>44564</v>
      </c>
      <c r="D392" s="13" t="s">
        <v>1721</v>
      </c>
      <c r="E392" s="15" t="s">
        <v>47</v>
      </c>
      <c r="F392" s="15" t="str">
        <f aca="false">IFERROR(__xludf.dummyfunction("XLOOKUP(AJ392,IMPORTRANGE(""1XaInW9DU9nz21V0tYIfzFQ0He9kVQ_JF2mCXgZ3hqFA"",""REKAP ALL 2026 - Andika!G:G""),IMPORTRANGE(""1XaInW9DU9nz21V0tYIfzFQ0He9kVQ_JF2mCXgZ3hqFA"",""REKAP ALL 2026 - Andika!F:F""),"""",0)"),"16016731396")</f>
        <v>16016731396</v>
      </c>
      <c r="G392" s="13" t="s">
        <v>1769</v>
      </c>
      <c r="H392" s="13" t="s">
        <v>35</v>
      </c>
      <c r="I392" s="13" t="str">
        <f aca="false">IF(C392=J392,"NEW KONTRAK","RE-KONTRAK")</f>
        <v>RE-KONTRAK</v>
      </c>
      <c r="J392" s="16" t="n">
        <f aca="false" t="array" ref="J392:J392">IFERROR(INDEX(AC392:AE392,IF(COUNTA(AC392:AE392)=0,"",MAX((AC392:AE392&lt;&gt;"")*(COLUMN(AC392:AE392)-(COLUMN(AC392)))))-1),"")</f>
        <v>45659</v>
      </c>
      <c r="K392" s="16" t="n">
        <f aca="false" t="array" ref="K392:K392">IFERROR(INDEX(AC392:AE392,IF(COUNTA(AC392:AE392)=0,"",MAX((AC392:AE392&lt;&gt;"")*(COLUMN(AC392:AE392)-(COLUMN(AC392)-1))))-1),"")</f>
        <v>46015</v>
      </c>
      <c r="L392" s="17" t="str">
        <f aca="false" t="array" ref="L392:L392">IFERROR(INDEX(AC392:AE392,IF(COUNTA(AC392:AE392)=0,"",MAX((AC392:AE392&lt;&gt;"")*(COLUMN(AC392:AE392)-(COLUMN(AC392)-2))))-1),"")</f>
        <v>ARCHIVED</v>
      </c>
      <c r="M392" s="13" t="n">
        <f aca="true">K392-TODAY()</f>
        <v>-309</v>
      </c>
      <c r="N392" s="18" t="s">
        <v>728</v>
      </c>
      <c r="O392" s="13" t="s">
        <v>1744</v>
      </c>
      <c r="P392" s="19" t="n">
        <v>5444909</v>
      </c>
      <c r="Q392" s="20" t="s">
        <v>1770</v>
      </c>
      <c r="R392" s="13" t="s">
        <v>148</v>
      </c>
      <c r="S392" s="14" t="n">
        <v>34595</v>
      </c>
      <c r="T392" s="13" t="s">
        <v>40</v>
      </c>
      <c r="U392" s="13" t="s">
        <v>1771</v>
      </c>
      <c r="V392" s="13" t="s">
        <v>42</v>
      </c>
      <c r="W392" s="13" t="s">
        <v>43</v>
      </c>
      <c r="X392" s="21" t="n">
        <v>81559614702</v>
      </c>
      <c r="Y392" s="22" t="str">
        <f aca="false">O392</f>
        <v>Print Operator</v>
      </c>
      <c r="Z392" s="13" t="str">
        <f aca="false">IFERROR(__xludf.dummyfunction("if(BJ392="""","""",GOOGLETRANSLATE(BJ392,""auto"",""en""))"),"Print Operator")</f>
        <v>Print Operator</v>
      </c>
      <c r="AA392" s="23" t="str">
        <f aca="false">IF(C392="","", CHOOSE(MONTH(C392),"January","February","March","April","May","June","July","August","September","October","November","December")&amp;" "&amp;DAY(C392)&amp;MID("thstndrdth",MIN(9,2*RIGHT(DAY(C392))*(MOD(DAY(C392)-11,100)&gt;2)+1),2)&amp;","&amp;TEXT(C392," yyyy"))</f>
        <v>January 3rd,2022</v>
      </c>
      <c r="AB392" s="15" t="str">
        <f aca="true">IF(S392="","",DATEDIF(S392,TODAY(),"Y")&amp;" Tahun, "&amp;DATEDIF(S392,TODAY(),"YM")&amp;" Bulan, "&amp;DATEDIF(S392,TODAY(),"MD")&amp;" Hari")</f>
        <v>32 Tahun, 1 Bulan, 11 Hari</v>
      </c>
      <c r="AC392" s="18" t="n">
        <v>45659</v>
      </c>
      <c r="AD392" s="18" t="n">
        <v>46015</v>
      </c>
      <c r="AE392" s="18" t="s">
        <v>44</v>
      </c>
    </row>
    <row r="393" customFormat="false" ht="15.75" hidden="false" customHeight="true" outlineLevel="0" collapsed="false">
      <c r="A393" s="12" t="n">
        <v>21710</v>
      </c>
      <c r="B393" s="13" t="s">
        <v>1772</v>
      </c>
      <c r="C393" s="16" t="n">
        <v>46024</v>
      </c>
      <c r="D393" s="13" t="s">
        <v>1721</v>
      </c>
      <c r="E393" s="15" t="s">
        <v>47</v>
      </c>
      <c r="F393" s="15" t="str">
        <f aca="false">IFERROR(__xludf.dummyfunction("XLOOKUP(AJ393,IMPORTRANGE(""1XaInW9DU9nz21V0tYIfzFQ0He9kVQ_JF2mCXgZ3hqFA"",""REKAP ALL 2026 - Andika!G:G""),IMPORTRANGE(""1XaInW9DU9nz21V0tYIfzFQ0He9kVQ_JF2mCXgZ3hqFA"",""REKAP ALL 2026 - Andika!F:F""),"""",0)"),"26020754623")</f>
        <v>26020754623</v>
      </c>
      <c r="G393" s="28" t="s">
        <v>57</v>
      </c>
      <c r="H393" s="13" t="s">
        <v>35</v>
      </c>
      <c r="I393" s="13" t="str">
        <f aca="false">IF(C393=J393,"NEW KONTRAK","RE-KONTRAK")</f>
        <v>NEW KONTRAK</v>
      </c>
      <c r="J393" s="16" t="n">
        <f aca="false" t="array" ref="J393:J393">IFERROR(INDEX(AC393:AE393,IF(COUNTA(AC393:AE393)=0,"",MAX((AC393:AE393&lt;&gt;"")*(COLUMN(AC393:AE393)-(COLUMN(AC393)))))-1),"")</f>
        <v>46024</v>
      </c>
      <c r="K393" s="16" t="n">
        <f aca="false" t="array" ref="K393:K393">IFERROR(INDEX(AC393:AE393,IF(COUNTA(AC393:AE393)=0,"",MAX((AC393:AE393&lt;&gt;"")*(COLUMN(AC393:AE393)-(COLUMN(AC393)-1))))-1),"")</f>
        <v>46113</v>
      </c>
      <c r="L393" s="17" t="str">
        <f aca="false" t="array" ref="L393:L393">IFERROR(INDEX(AC393:AE393,IF(COUNTA(AC393:AE393)=0,"",MAX((AC393:AE393&lt;&gt;"")*(COLUMN(AC393:AE393)-(COLUMN(AC393)-2))))-1),"")</f>
        <v>ARCHIVED</v>
      </c>
      <c r="M393" s="13" t="n">
        <f aca="true">K393-TODAY()</f>
        <v>-211</v>
      </c>
      <c r="N393" s="18" t="s">
        <v>728</v>
      </c>
      <c r="O393" s="13" t="s">
        <v>1773</v>
      </c>
      <c r="P393" s="19" t="n">
        <v>5444909</v>
      </c>
      <c r="Q393" s="47" t="s">
        <v>1774</v>
      </c>
      <c r="R393" s="13" t="s">
        <v>73</v>
      </c>
      <c r="S393" s="16" t="n">
        <v>37759</v>
      </c>
      <c r="T393" s="28" t="s">
        <v>40</v>
      </c>
      <c r="U393" s="13" t="s">
        <v>1775</v>
      </c>
      <c r="V393" s="13" t="s">
        <v>42</v>
      </c>
      <c r="W393" s="13" t="s">
        <v>43</v>
      </c>
      <c r="X393" s="21" t="s">
        <v>1776</v>
      </c>
      <c r="Y393" s="22" t="str">
        <f aca="false">O393</f>
        <v>Warehouse</v>
      </c>
      <c r="Z393" s="13" t="str">
        <f aca="false">IFERROR(__xludf.dummyfunction("if(BJ393="""","""",GOOGLETRANSLATE(BJ393,""auto"",""en""))"),"Warehouse")</f>
        <v>Warehouse</v>
      </c>
      <c r="AA393" s="23" t="str">
        <f aca="false">IF(C393="","", CHOOSE(MONTH(C393),"January","February","March","April","May","June","July","August","September","October","November","December")&amp;" "&amp;DAY(C393)&amp;MID("thstndrdth",MIN(9,2*RIGHT(DAY(C393))*(MOD(DAY(C393)-11,100)&gt;2)+1),2)&amp;","&amp;TEXT(C393," yyyy"))</f>
        <v>January 2nd,2026</v>
      </c>
      <c r="AB393" s="15" t="str">
        <f aca="true">IF(S393="","",DATEDIF(S393,TODAY(),"Y")&amp;" Tahun, "&amp;DATEDIF(S393,TODAY(),"YM")&amp;" Bulan, "&amp;DATEDIF(S393,TODAY(),"MD")&amp;" Hari")</f>
        <v>23 Tahun, 5 Bulan, 11 Hari</v>
      </c>
      <c r="AC393" s="18" t="n">
        <v>46024</v>
      </c>
      <c r="AD393" s="18" t="n">
        <f aca="false">EDATE(AC393,3)-1</f>
        <v>46113</v>
      </c>
      <c r="AE393" s="18" t="s">
        <v>44</v>
      </c>
    </row>
    <row r="394" customFormat="false" ht="15.75" hidden="false" customHeight="true" outlineLevel="0" collapsed="false">
      <c r="A394" s="12" t="n">
        <v>2176</v>
      </c>
      <c r="B394" s="13" t="s">
        <v>1777</v>
      </c>
      <c r="C394" s="14" t="n">
        <v>44505</v>
      </c>
      <c r="D394" s="13" t="s">
        <v>1721</v>
      </c>
      <c r="E394" s="15" t="s">
        <v>1778</v>
      </c>
      <c r="F394" s="24" t="s">
        <v>1779</v>
      </c>
      <c r="G394" s="13" t="s">
        <v>1780</v>
      </c>
      <c r="H394" s="13" t="s">
        <v>35</v>
      </c>
      <c r="I394" s="13" t="str">
        <f aca="false">IF(C394=J394,"NEW KONTRAK","RE-KONTRAK")</f>
        <v>RE-KONTRAK</v>
      </c>
      <c r="J394" s="16" t="n">
        <f aca="false" t="array" ref="J394:J394">IFERROR(INDEX(AC394:AE394,IF(COUNTA(AC394:AE394)=0,"",MAX((AC394:AE394&lt;&gt;"")*(COLUMN(AC394:AE394)-(COLUMN(AC394)))))-1),"")</f>
        <v>45659</v>
      </c>
      <c r="K394" s="16" t="n">
        <f aca="false" t="array" ref="K394:K394">IFERROR(INDEX(AC394:AE394,IF(COUNTA(AC394:AE394)=0,"",MAX((AC394:AE394&lt;&gt;"")*(COLUMN(AC394:AE394)-(COLUMN(AC394)-1))))-1),"")</f>
        <v>46015</v>
      </c>
      <c r="L394" s="17" t="str">
        <f aca="false" t="array" ref="L394:L394">IFERROR(INDEX(AC394:AE394,IF(COUNTA(AC394:AE394)=0,"",MAX((AC394:AE394&lt;&gt;"")*(COLUMN(AC394:AE394)-(COLUMN(AC394)-2))))-1),"")</f>
        <v>ARCHIVED</v>
      </c>
      <c r="M394" s="13" t="n">
        <f aca="true">K394-TODAY()</f>
        <v>-309</v>
      </c>
      <c r="N394" s="18" t="s">
        <v>728</v>
      </c>
      <c r="O394" s="13" t="s">
        <v>1738</v>
      </c>
      <c r="P394" s="19" t="n">
        <v>5444909</v>
      </c>
      <c r="Q394" s="20" t="s">
        <v>1781</v>
      </c>
      <c r="R394" s="13" t="s">
        <v>255</v>
      </c>
      <c r="S394" s="14" t="n">
        <v>30769</v>
      </c>
      <c r="T394" s="13" t="s">
        <v>108</v>
      </c>
      <c r="U394" s="13" t="s">
        <v>1782</v>
      </c>
      <c r="V394" s="13" t="s">
        <v>42</v>
      </c>
      <c r="W394" s="13" t="s">
        <v>54</v>
      </c>
      <c r="X394" s="21" t="n">
        <v>88217696391</v>
      </c>
      <c r="Y394" s="22" t="str">
        <f aca="false">O394</f>
        <v>IM Operator</v>
      </c>
      <c r="Z394" s="13" t="str">
        <f aca="false">IFERROR(__xludf.dummyfunction("if(BJ394="""","""",GOOGLETRANSLATE(BJ394,""auto"",""en""))"),"IM Operator")</f>
        <v>IM Operator</v>
      </c>
      <c r="AA394" s="23" t="str">
        <f aca="false">IF(C394="","", CHOOSE(MONTH(C394),"January","February","March","April","May","June","July","August","September","October","November","December")&amp;" "&amp;DAY(C394)&amp;MID("thstndrdth",MIN(9,2*RIGHT(DAY(C394))*(MOD(DAY(C394)-11,100)&gt;2)+1),2)&amp;","&amp;TEXT(C394," yyyy"))</f>
        <v>November 5th,2021</v>
      </c>
      <c r="AB394" s="15" t="str">
        <f aca="true">IF(S394="","",DATEDIF(S394,TODAY(),"Y")&amp;" Tahun, "&amp;DATEDIF(S394,TODAY(),"YM")&amp;" Bulan, "&amp;DATEDIF(S394,TODAY(),"MD")&amp;" Hari")</f>
        <v>42 Tahun, 7 Bulan, 1 Hari</v>
      </c>
      <c r="AC394" s="18" t="n">
        <v>45659</v>
      </c>
      <c r="AD394" s="18" t="n">
        <v>46015</v>
      </c>
      <c r="AE394" s="18" t="s">
        <v>44</v>
      </c>
    </row>
    <row r="395" customFormat="false" ht="15.75" hidden="false" customHeight="true" outlineLevel="0" collapsed="false">
      <c r="A395" s="12" t="n">
        <v>4668</v>
      </c>
      <c r="B395" s="13" t="s">
        <v>1783</v>
      </c>
      <c r="C395" s="14" t="n">
        <v>44564</v>
      </c>
      <c r="D395" s="13" t="s">
        <v>1721</v>
      </c>
      <c r="E395" s="15" t="s">
        <v>47</v>
      </c>
      <c r="F395" s="15" t="str">
        <f aca="false">IFERROR(__xludf.dummyfunction("XLOOKUP(AJ395,IMPORTRANGE(""1XaInW9DU9nz21V0tYIfzFQ0He9kVQ_JF2mCXgZ3hqFA"",""REKAP ALL 2026 - Andika!G:G""),IMPORTRANGE(""1XaInW9DU9nz21V0tYIfzFQ0He9kVQ_JF2mCXgZ3hqFA"",""REKAP ALL 2026 - Andika!F:F""),"""",0)"),"22015019981")</f>
        <v>22015019981</v>
      </c>
      <c r="G395" s="13" t="s">
        <v>1784</v>
      </c>
      <c r="H395" s="13" t="s">
        <v>35</v>
      </c>
      <c r="I395" s="13" t="str">
        <f aca="false">IF(C395=J395,"NEW KONTRAK","RE-KONTRAK")</f>
        <v>RE-KONTRAK</v>
      </c>
      <c r="J395" s="16" t="n">
        <f aca="false" t="array" ref="J395:J395">IFERROR(INDEX(AC395:AE395,IF(COUNTA(AC395:AE395)=0,"",MAX((AC395:AE395&lt;&gt;"")*(COLUMN(AC395:AE395)-(COLUMN(AC395)))))-1),"")</f>
        <v>45659</v>
      </c>
      <c r="K395" s="16" t="n">
        <f aca="false" t="array" ref="K395:K395">IFERROR(INDEX(AC395:AE395,IF(COUNTA(AC395:AE395)=0,"",MAX((AC395:AE395&lt;&gt;"")*(COLUMN(AC395:AE395)-(COLUMN(AC395)-1))))-1),"")</f>
        <v>46021</v>
      </c>
      <c r="L395" s="17" t="str">
        <f aca="false" t="array" ref="L395:L395">IFERROR(INDEX(AC395:AE395,IF(COUNTA(AC395:AE395)=0,"",MAX((AC395:AE395&lt;&gt;"")*(COLUMN(AC395:AE395)-(COLUMN(AC395)-2))))-1),"")</f>
        <v>KEMBALI</v>
      </c>
      <c r="M395" s="13" t="n">
        <f aca="true">K395-TODAY()</f>
        <v>-303</v>
      </c>
      <c r="N395" s="18" t="s">
        <v>728</v>
      </c>
      <c r="O395" s="13" t="s">
        <v>1765</v>
      </c>
      <c r="P395" s="19" t="n">
        <v>5444909</v>
      </c>
      <c r="Q395" s="20" t="s">
        <v>1785</v>
      </c>
      <c r="R395" s="13" t="s">
        <v>255</v>
      </c>
      <c r="S395" s="14" t="n">
        <v>37435</v>
      </c>
      <c r="T395" s="13" t="s">
        <v>108</v>
      </c>
      <c r="U395" s="13" t="s">
        <v>1786</v>
      </c>
      <c r="V395" s="13" t="s">
        <v>42</v>
      </c>
      <c r="W395" s="13" t="s">
        <v>43</v>
      </c>
      <c r="X395" s="21" t="n">
        <v>81949328755</v>
      </c>
      <c r="Y395" s="22" t="str">
        <f aca="false">O395</f>
        <v>Assy Operator</v>
      </c>
      <c r="Z395" s="13" t="str">
        <f aca="false">IFERROR(__xludf.dummyfunction("if(BJ395="""","""",GOOGLETRANSLATE(BJ395,""auto"",""en""))"),"Assy Operator")</f>
        <v>Assy Operator</v>
      </c>
      <c r="AA395" s="23" t="str">
        <f aca="false">IF(C395="","", CHOOSE(MONTH(C395),"January","February","March","April","May","June","July","August","September","October","November","December")&amp;" "&amp;DAY(C395)&amp;MID("thstndrdth",MIN(9,2*RIGHT(DAY(C395))*(MOD(DAY(C395)-11,100)&gt;2)+1),2)&amp;","&amp;TEXT(C395," yyyy"))</f>
        <v>January 3rd,2022</v>
      </c>
      <c r="AB395" s="15" t="str">
        <f aca="true">IF(S395="","",DATEDIF(S395,TODAY(),"Y")&amp;" Tahun, "&amp;DATEDIF(S395,TODAY(),"YM")&amp;" Bulan, "&amp;DATEDIF(S395,TODAY(),"MD")&amp;" Hari")</f>
        <v>24 Tahun, 4 Bulan, 1 Hari</v>
      </c>
      <c r="AC395" s="18" t="n">
        <v>45659</v>
      </c>
      <c r="AD395" s="18" t="n">
        <v>46021</v>
      </c>
      <c r="AE395" s="13" t="s">
        <v>397</v>
      </c>
    </row>
    <row r="396" customFormat="false" ht="15.75" hidden="false" customHeight="true" outlineLevel="0" collapsed="false">
      <c r="A396" s="12" t="n">
        <v>10190</v>
      </c>
      <c r="B396" s="13" t="s">
        <v>1787</v>
      </c>
      <c r="C396" s="14" t="n">
        <v>44986</v>
      </c>
      <c r="D396" s="13" t="s">
        <v>1721</v>
      </c>
      <c r="E396" s="15" t="s">
        <v>47</v>
      </c>
      <c r="F396" s="15" t="str">
        <f aca="false">IFERROR(__xludf.dummyfunction("XLOOKUP(AJ396,IMPORTRANGE(""1XaInW9DU9nz21V0tYIfzFQ0He9kVQ_JF2mCXgZ3hqFA"",""REKAP ALL 2026 - Andika!G:G""),IMPORTRANGE(""1XaInW9DU9nz21V0tYIfzFQ0He9kVQ_JF2mCXgZ3hqFA"",""REKAP ALL 2026 - Andika!F:F""),"""",0)"),"23031596036")</f>
        <v>23031596036</v>
      </c>
      <c r="G396" s="13" t="s">
        <v>1788</v>
      </c>
      <c r="H396" s="13" t="s">
        <v>35</v>
      </c>
      <c r="I396" s="13" t="str">
        <f aca="false">IF(C396=J396,"NEW KONTRAK","RE-KONTRAK")</f>
        <v>RE-KONTRAK</v>
      </c>
      <c r="J396" s="16" t="n">
        <f aca="false" t="array" ref="J396:J396">IFERROR(INDEX(AC396:AE396,IF(COUNTA(AC396:AE396)=0,"",MAX((AC396:AE396&lt;&gt;"")*(COLUMN(AC396:AE396)-(COLUMN(AC396)))))-1),"")</f>
        <v>45659</v>
      </c>
      <c r="K396" s="16" t="n">
        <f aca="false" t="array" ref="K396:K396">IFERROR(INDEX(AC396:AE396,IF(COUNTA(AC396:AE396)=0,"",MAX((AC396:AE396&lt;&gt;"")*(COLUMN(AC396:AE396)-(COLUMN(AC396)-1))))-1),"")</f>
        <v>46021</v>
      </c>
      <c r="L396" s="17" t="str">
        <f aca="false" t="array" ref="L396:L396">IFERROR(INDEX(AC396:AE396,IF(COUNTA(AC396:AE396)=0,"",MAX((AC396:AE396&lt;&gt;"")*(COLUMN(AC396:AE396)-(COLUMN(AC396)-2))))-1),"")</f>
        <v>KEMBALI</v>
      </c>
      <c r="M396" s="13" t="n">
        <f aca="true">K396-TODAY()</f>
        <v>-303</v>
      </c>
      <c r="N396" s="18" t="s">
        <v>728</v>
      </c>
      <c r="O396" s="13" t="s">
        <v>1789</v>
      </c>
      <c r="P396" s="19" t="n">
        <v>5444909</v>
      </c>
      <c r="Q396" s="20" t="s">
        <v>1790</v>
      </c>
      <c r="R396" s="13" t="s">
        <v>274</v>
      </c>
      <c r="S396" s="14" t="n">
        <v>37808</v>
      </c>
      <c r="T396" s="13" t="s">
        <v>40</v>
      </c>
      <c r="U396" s="13" t="s">
        <v>1791</v>
      </c>
      <c r="V396" s="13" t="s">
        <v>42</v>
      </c>
      <c r="W396" s="13" t="s">
        <v>43</v>
      </c>
      <c r="X396" s="21" t="n">
        <v>85608549061</v>
      </c>
      <c r="Y396" s="22" t="str">
        <f aca="false">O396</f>
        <v>Assy Transfer</v>
      </c>
      <c r="Z396" s="13" t="str">
        <f aca="false">IFERROR(__xludf.dummyfunction("if(BJ396="""","""",GOOGLETRANSLATE(BJ396,""auto"",""en""))"),"Assy Transfer")</f>
        <v>Assy Transfer</v>
      </c>
      <c r="AA396" s="23" t="str">
        <f aca="false">IF(C396="","", CHOOSE(MONTH(C396),"January","February","March","April","May","June","July","August","September","October","November","December")&amp;" "&amp;DAY(C396)&amp;MID("thstndrdth",MIN(9,2*RIGHT(DAY(C396))*(MOD(DAY(C396)-11,100)&gt;2)+1),2)&amp;","&amp;TEXT(C396," yyyy"))</f>
        <v>March 1st,2023</v>
      </c>
      <c r="AB396" s="15" t="str">
        <f aca="true">IF(S396="","",DATEDIF(S396,TODAY(),"Y")&amp;" Tahun, "&amp;DATEDIF(S396,TODAY(),"YM")&amp;" Bulan, "&amp;DATEDIF(S396,TODAY(),"MD")&amp;" Hari")</f>
        <v>23 Tahun, 3 Bulan, 23 Hari</v>
      </c>
      <c r="AC396" s="18" t="n">
        <v>45659</v>
      </c>
      <c r="AD396" s="18" t="n">
        <v>46021</v>
      </c>
      <c r="AE396" s="13" t="s">
        <v>397</v>
      </c>
    </row>
    <row r="397" customFormat="false" ht="15.75" hidden="false" customHeight="true" outlineLevel="0" collapsed="false">
      <c r="A397" s="12" t="n">
        <v>20359</v>
      </c>
      <c r="B397" s="13" t="s">
        <v>1792</v>
      </c>
      <c r="C397" s="16" t="n">
        <v>45870</v>
      </c>
      <c r="D397" s="13" t="s">
        <v>1721</v>
      </c>
      <c r="E397" s="15" t="s">
        <v>47</v>
      </c>
      <c r="F397" s="15" t="str">
        <f aca="false">IFERROR(__xludf.dummyfunction("XLOOKUP(AJ397,IMPORTRANGE(""1XaInW9DU9nz21V0tYIfzFQ0He9kVQ_JF2mCXgZ3hqFA"",""REKAP ALL 2026 - Andika!G:G""),IMPORTRANGE(""1XaInW9DU9nz21V0tYIfzFQ0He9kVQ_JF2mCXgZ3hqFA"",""REKAP ALL 2026 - Andika!F:F""),"""",0)"),"25115945872")</f>
        <v>25115945872</v>
      </c>
      <c r="G397" s="13" t="s">
        <v>1793</v>
      </c>
      <c r="H397" s="13" t="s">
        <v>35</v>
      </c>
      <c r="I397" s="13" t="str">
        <f aca="false">IF(C397=J397,"NEW KONTRAK","RE-KONTRAK")</f>
        <v>NEW KONTRAK</v>
      </c>
      <c r="J397" s="16" t="n">
        <f aca="false" t="array" ref="J397:J397">IFERROR(INDEX(AC397:AE397,IF(COUNTA(AC397:AE397)=0,"",MAX((AC397:AE397&lt;&gt;"")*(COLUMN(AC397:AE397)-(COLUMN(AC397)))))-1),"")</f>
        <v>45870</v>
      </c>
      <c r="K397" s="16" t="n">
        <f aca="false" t="array" ref="K397:K397">IFERROR(INDEX(AC397:AE397,IF(COUNTA(AC397:AE397)=0,"",MAX((AC397:AE397&lt;&gt;"")*(COLUMN(AC397:AE397)-(COLUMN(AC397)-1))))-1),"")</f>
        <v>46021</v>
      </c>
      <c r="L397" s="17" t="str">
        <f aca="false" t="array" ref="L397:L397">IFERROR(INDEX(AC397:AE397,IF(COUNTA(AC397:AE397)=0,"",MAX((AC397:AE397&lt;&gt;"")*(COLUMN(AC397:AE397)-(COLUMN(AC397)-2))))-1),"")</f>
        <v>KEMBALI</v>
      </c>
      <c r="M397" s="13" t="n">
        <f aca="true">K397-TODAY()</f>
        <v>-303</v>
      </c>
      <c r="N397" s="18" t="s">
        <v>728</v>
      </c>
      <c r="O397" s="13" t="s">
        <v>1794</v>
      </c>
      <c r="P397" s="19" t="n">
        <v>5444909</v>
      </c>
      <c r="Q397" s="20" t="s">
        <v>1795</v>
      </c>
      <c r="R397" s="13" t="s">
        <v>52</v>
      </c>
      <c r="S397" s="16" t="n">
        <v>38436</v>
      </c>
      <c r="T397" s="28" t="s">
        <v>40</v>
      </c>
      <c r="U397" s="13" t="s">
        <v>1796</v>
      </c>
      <c r="V397" s="13" t="s">
        <v>42</v>
      </c>
      <c r="W397" s="13" t="s">
        <v>43</v>
      </c>
      <c r="X397" s="21" t="n">
        <v>85608549061</v>
      </c>
      <c r="Y397" s="22" t="str">
        <f aca="false">O397</f>
        <v>Teknis Mpc</v>
      </c>
      <c r="Z397" s="13" t="str">
        <f aca="false">IFERROR(__xludf.dummyfunction("if(BJ397="""","""",GOOGLETRANSLATE(BJ397,""auto"",""en""))"),"Mpc Technical")</f>
        <v>Mpc Technical</v>
      </c>
      <c r="AA397" s="23" t="str">
        <f aca="false">IF(C397="","", CHOOSE(MONTH(C397),"January","February","March","April","May","June","July","August","September","October","November","December")&amp;" "&amp;DAY(C397)&amp;MID("thstndrdth",MIN(9,2*RIGHT(DAY(C397))*(MOD(DAY(C397)-11,100)&gt;2)+1),2)&amp;","&amp;TEXT(C397," yyyy"))</f>
        <v>August 1st,2025</v>
      </c>
      <c r="AB397" s="15" t="str">
        <f aca="true">IF(S397="","",DATEDIF(S397,TODAY(),"Y")&amp;" Tahun, "&amp;DATEDIF(S397,TODAY(),"YM")&amp;" Bulan, "&amp;DATEDIF(S397,TODAY(),"MD")&amp;" Hari")</f>
        <v>21 Tahun, 7 Bulan, 4 Hari</v>
      </c>
      <c r="AC397" s="18" t="n">
        <v>45870</v>
      </c>
      <c r="AD397" s="18" t="n">
        <v>46021</v>
      </c>
      <c r="AE397" s="13" t="s">
        <v>397</v>
      </c>
    </row>
    <row r="398" customFormat="false" ht="15.75" hidden="false" customHeight="true" outlineLevel="0" collapsed="false">
      <c r="A398" s="12" t="n">
        <v>22974</v>
      </c>
      <c r="B398" s="13" t="s">
        <v>1797</v>
      </c>
      <c r="C398" s="14" t="n">
        <v>46307</v>
      </c>
      <c r="D398" s="13" t="s">
        <v>1721</v>
      </c>
      <c r="E398" s="13" t="s">
        <v>47</v>
      </c>
      <c r="F398" s="24" t="s">
        <v>1798</v>
      </c>
      <c r="G398" s="13" t="s">
        <v>1127</v>
      </c>
      <c r="H398" s="13" t="s">
        <v>35</v>
      </c>
      <c r="I398" s="13" t="str">
        <f aca="false">IF(C398=J398,"NEW KONTRAK","RE-KONTRAK")</f>
        <v>NEW KONTRAK</v>
      </c>
      <c r="J398" s="16" t="n">
        <f aca="false" t="array" ref="J398:J398">IFERROR(INDEX(AC398:AE398,IF(COUNTA(AC398:AE398)=0,"",MAX((AC398:AE398&lt;&gt;"")*(COLUMN(AC398:AE398)-(COLUMN(AC398)))))-1),"")</f>
        <v>46307</v>
      </c>
      <c r="K398" s="16" t="n">
        <f aca="false" t="array" ref="K398:K398">IFERROR(INDEX(AC398:AE398,IF(COUNTA(AC398:AE398)=0,"",MAX((AC398:AE398&lt;&gt;"")*(COLUMN(AC398:AE398)-(COLUMN(AC398)-1))))-1),"")</f>
        <v>46386</v>
      </c>
      <c r="L398" s="17" t="str">
        <f aca="false" t="array" ref="L398:L398">IFERROR(INDEX(AC398:AE398,IF(COUNTA(AC398:AE398)=0,"",MAX((AC398:AE398&lt;&gt;"")*(COLUMN(AC398:AE398)-(COLUMN(AC398)-2))))-1),"")</f>
        <v>PRINTED</v>
      </c>
      <c r="M398" s="13" t="n">
        <f aca="true">K398-TODAY()</f>
        <v>62</v>
      </c>
      <c r="N398" s="18" t="s">
        <v>728</v>
      </c>
      <c r="O398" s="13" t="s">
        <v>1738</v>
      </c>
      <c r="P398" s="26" t="n">
        <v>5444909</v>
      </c>
      <c r="Q398" s="20" t="s">
        <v>1799</v>
      </c>
      <c r="R398" s="13" t="s">
        <v>52</v>
      </c>
      <c r="S398" s="25" t="n">
        <v>33746</v>
      </c>
      <c r="T398" s="13" t="s">
        <v>108</v>
      </c>
      <c r="U398" s="13" t="s">
        <v>1800</v>
      </c>
      <c r="V398" s="13" t="s">
        <v>42</v>
      </c>
      <c r="W398" s="13" t="s">
        <v>54</v>
      </c>
      <c r="X398" s="21" t="n">
        <v>87855810033</v>
      </c>
      <c r="Y398" s="22" t="str">
        <f aca="false">O398</f>
        <v>IM Operator</v>
      </c>
      <c r="Z398" s="13" t="str">
        <f aca="false">IFERROR(__xludf.dummyfunction("if(BJ398="""","""",GOOGLETRANSLATE(BJ398,""auto"",""en""))"),"IM Operator")</f>
        <v>IM Operator</v>
      </c>
      <c r="AA398" s="23" t="str">
        <f aca="false">IF(C398="","", CHOOSE(MONTH(C398),"January","February","March","April","May","June","July","August","September","October","November","December")&amp;" "&amp;DAY(C398)&amp;MID("thstndrdth",MIN(9,2*RIGHT(DAY(C398))*(MOD(DAY(C398)-11,100)&gt;2)+1),2)&amp;","&amp;TEXT(C398," yyyy"))</f>
        <v>October 12th,2026</v>
      </c>
      <c r="AB398" s="15" t="str">
        <f aca="true">IF(S398="","",DATEDIF(S398,TODAY(),"Y")&amp;" Tahun, "&amp;DATEDIF(S398,TODAY(),"YM")&amp;" Bulan, "&amp;DATEDIF(S398,TODAY(),"MD")&amp;" Hari")</f>
        <v>34 Tahun, 5 Bulan, 7 Hari</v>
      </c>
      <c r="AC398" s="14" t="n">
        <v>46307</v>
      </c>
      <c r="AD398" s="18" t="n">
        <v>46386</v>
      </c>
      <c r="AE398" s="13" t="s">
        <v>1752</v>
      </c>
    </row>
    <row r="399" customFormat="false" ht="15.75" hidden="false" customHeight="true" outlineLevel="0" collapsed="false">
      <c r="A399" s="12" t="n">
        <v>22702</v>
      </c>
      <c r="B399" s="13" t="s">
        <v>1801</v>
      </c>
      <c r="C399" s="14" t="n">
        <v>46251</v>
      </c>
      <c r="D399" s="13" t="s">
        <v>1721</v>
      </c>
      <c r="E399" s="13" t="s">
        <v>47</v>
      </c>
      <c r="F399" s="24" t="s">
        <v>1802</v>
      </c>
      <c r="G399" s="13" t="s">
        <v>1452</v>
      </c>
      <c r="H399" s="13" t="s">
        <v>35</v>
      </c>
      <c r="I399" s="13" t="str">
        <f aca="false">IF(C399=J399,"NEW KONTRAK","RE-KONTRAK")</f>
        <v>NEW KONTRAK</v>
      </c>
      <c r="J399" s="16" t="n">
        <f aca="false" t="array" ref="J399:J399">IFERROR(INDEX(AC399:AE399,IF(COUNTA(AC399:AE399)=0,"",MAX((AC399:AE399&lt;&gt;"")*(COLUMN(AC399:AE399)-(COLUMN(AC399)))))-1),"")</f>
        <v>46251</v>
      </c>
      <c r="K399" s="16" t="n">
        <f aca="false" t="array" ref="K399:K399">IFERROR(INDEX(AC399:AE399,IF(COUNTA(AC399:AE399)=0,"",MAX((AC399:AE399&lt;&gt;"")*(COLUMN(AC399:AE399)-(COLUMN(AC399)-1))))-1),"")</f>
        <v>46342</v>
      </c>
      <c r="L399" s="17" t="str">
        <f aca="false" t="array" ref="L399:L399">IFERROR(INDEX(AC399:AE399,IF(COUNTA(AC399:AE399)=0,"",MAX((AC399:AE399&lt;&gt;"")*(COLUMN(AC399:AE399)-(COLUMN(AC399)-2))))-1),"")</f>
        <v>ARCHIVED</v>
      </c>
      <c r="M399" s="13" t="n">
        <f aca="true">K399-TODAY()</f>
        <v>18</v>
      </c>
      <c r="N399" s="18" t="s">
        <v>728</v>
      </c>
      <c r="O399" s="13" t="s">
        <v>1803</v>
      </c>
      <c r="P399" s="26" t="n">
        <v>5444909</v>
      </c>
      <c r="Q399" s="20" t="s">
        <v>1804</v>
      </c>
      <c r="R399" s="13" t="s">
        <v>39</v>
      </c>
      <c r="S399" s="25" t="n">
        <v>38630</v>
      </c>
      <c r="T399" s="13" t="s">
        <v>108</v>
      </c>
      <c r="U399" s="13" t="s">
        <v>1805</v>
      </c>
      <c r="V399" s="13" t="s">
        <v>42</v>
      </c>
      <c r="W399" s="13" t="s">
        <v>54</v>
      </c>
      <c r="X399" s="21" t="n">
        <v>88972053513</v>
      </c>
      <c r="Y399" s="22" t="str">
        <f aca="false">O399</f>
        <v>Injectition Moulding</v>
      </c>
      <c r="Z399" s="13" t="str">
        <f aca="false">IFERROR(__xludf.dummyfunction("if(BJ399="""","""",GOOGLETRANSLATE(BJ399,""auto"",""en""))"),"Injectition Moulding")</f>
        <v>Injectition Moulding</v>
      </c>
      <c r="AA399" s="23" t="str">
        <f aca="false">IF(C399="","", CHOOSE(MONTH(C399),"January","February","March","April","May","June","July","August","September","October","November","December")&amp;" "&amp;DAY(C399)&amp;MID("thstndrdth",MIN(9,2*RIGHT(DAY(C399))*(MOD(DAY(C399)-11,100)&gt;2)+1),2)&amp;","&amp;TEXT(C399," yyyy"))</f>
        <v>August 17th,2026</v>
      </c>
      <c r="AB399" s="15" t="str">
        <f aca="true">IF(S399="","",DATEDIF(S399,TODAY(),"Y")&amp;" Tahun, "&amp;DATEDIF(S399,TODAY(),"YM")&amp;" Bulan, "&amp;DATEDIF(S399,TODAY(),"MD")&amp;" Hari")</f>
        <v>21 Tahun, 0 Bulan, 24 Hari</v>
      </c>
      <c r="AC399" s="14" t="n">
        <v>46251</v>
      </c>
      <c r="AD399" s="18" t="n">
        <f aca="false">EDATE(AC399,3)-1</f>
        <v>46342</v>
      </c>
      <c r="AE399" s="45" t="s">
        <v>44</v>
      </c>
    </row>
    <row r="400" customFormat="false" ht="15.75" hidden="false" customHeight="true" outlineLevel="0" collapsed="false">
      <c r="A400" s="12" t="n">
        <v>22697</v>
      </c>
      <c r="B400" s="13" t="s">
        <v>1806</v>
      </c>
      <c r="C400" s="14" t="n">
        <v>46251</v>
      </c>
      <c r="D400" s="13" t="s">
        <v>1721</v>
      </c>
      <c r="E400" s="13" t="s">
        <v>47</v>
      </c>
      <c r="F400" s="24" t="s">
        <v>1807</v>
      </c>
      <c r="G400" s="13" t="s">
        <v>1452</v>
      </c>
      <c r="H400" s="13" t="s">
        <v>35</v>
      </c>
      <c r="I400" s="13" t="str">
        <f aca="false">IF(C400=J400,"NEW KONTRAK","RE-KONTRAK")</f>
        <v>NEW KONTRAK</v>
      </c>
      <c r="J400" s="16" t="n">
        <f aca="false" t="array" ref="J400:J400">IFERROR(INDEX(AC400:AE400,IF(COUNTA(AC400:AE400)=0,"",MAX((AC400:AE400&lt;&gt;"")*(COLUMN(AC400:AE400)-(COLUMN(AC400)))))-1),"")</f>
        <v>46251</v>
      </c>
      <c r="K400" s="16" t="n">
        <f aca="false" t="array" ref="K400:K400">IFERROR(INDEX(AC400:AE400,IF(COUNTA(AC400:AE400)=0,"",MAX((AC400:AE400&lt;&gt;"")*(COLUMN(AC400:AE400)-(COLUMN(AC400)-1))))-1),"")</f>
        <v>46342</v>
      </c>
      <c r="L400" s="17" t="str">
        <f aca="false" t="array" ref="L400:L400">IFERROR(INDEX(AC400:AE400,IF(COUNTA(AC400:AE400)=0,"",MAX((AC400:AE400&lt;&gt;"")*(COLUMN(AC400:AE400)-(COLUMN(AC400)-2))))-1),"")</f>
        <v>ARCHIVED</v>
      </c>
      <c r="M400" s="13" t="n">
        <f aca="true">K400-TODAY()</f>
        <v>18</v>
      </c>
      <c r="N400" s="18" t="s">
        <v>728</v>
      </c>
      <c r="O400" s="13" t="s">
        <v>1803</v>
      </c>
      <c r="P400" s="26" t="n">
        <v>5444909</v>
      </c>
      <c r="Q400" s="20" t="s">
        <v>1808</v>
      </c>
      <c r="R400" s="13" t="s">
        <v>52</v>
      </c>
      <c r="S400" s="25" t="n">
        <v>35775</v>
      </c>
      <c r="T400" s="13" t="s">
        <v>108</v>
      </c>
      <c r="U400" s="13" t="s">
        <v>1809</v>
      </c>
      <c r="V400" s="13" t="s">
        <v>42</v>
      </c>
      <c r="W400" s="13" t="s">
        <v>54</v>
      </c>
      <c r="X400" s="21" t="n">
        <v>89675812486</v>
      </c>
      <c r="Y400" s="22" t="str">
        <f aca="false">O400</f>
        <v>Injectition Moulding</v>
      </c>
      <c r="Z400" s="13" t="str">
        <f aca="false">IFERROR(__xludf.dummyfunction("if(BJ400="""","""",GOOGLETRANSLATE(BJ400,""auto"",""en""))"),"Injectition Moulding")</f>
        <v>Injectition Moulding</v>
      </c>
      <c r="AA400" s="23" t="str">
        <f aca="false">IF(C400="","", CHOOSE(MONTH(C400),"January","February","March","April","May","June","July","August","September","October","November","December")&amp;" "&amp;DAY(C400)&amp;MID("thstndrdth",MIN(9,2*RIGHT(DAY(C400))*(MOD(DAY(C400)-11,100)&gt;2)+1),2)&amp;","&amp;TEXT(C400," yyyy"))</f>
        <v>August 17th,2026</v>
      </c>
      <c r="AB400" s="15" t="str">
        <f aca="true">IF(S400="","",DATEDIF(S400,TODAY(),"Y")&amp;" Tahun, "&amp;DATEDIF(S400,TODAY(),"YM")&amp;" Bulan, "&amp;DATEDIF(S400,TODAY(),"MD")&amp;" Hari")</f>
        <v>28 Tahun, 10 Bulan, 18 Hari</v>
      </c>
      <c r="AC400" s="14" t="n">
        <v>46251</v>
      </c>
      <c r="AD400" s="18" t="n">
        <f aca="false">EDATE(AC400,3)-1</f>
        <v>46342</v>
      </c>
      <c r="AE400" s="45" t="s">
        <v>44</v>
      </c>
    </row>
    <row r="401" customFormat="false" ht="15.75" hidden="false" customHeight="true" outlineLevel="0" collapsed="false">
      <c r="A401" s="12" t="n">
        <v>2134</v>
      </c>
      <c r="B401" s="13" t="s">
        <v>1810</v>
      </c>
      <c r="C401" s="14" t="n">
        <v>44564</v>
      </c>
      <c r="D401" s="13" t="s">
        <v>1721</v>
      </c>
      <c r="E401" s="15" t="s">
        <v>47</v>
      </c>
      <c r="F401" s="15" t="str">
        <f aca="false">IFERROR(__xludf.dummyfunction("XLOOKUP(AJ401,IMPORTRANGE(""1XaInW9DU9nz21V0tYIfzFQ0He9kVQ_JF2mCXgZ3hqFA"",""REKAP ALL 2026 - Andika!G:G""),IMPORTRANGE(""1XaInW9DU9nz21V0tYIfzFQ0He9kVQ_JF2mCXgZ3hqFA"",""REKAP ALL 2026 - Andika!F:F""),"""",0)"),"19018857458")</f>
        <v>19018857458</v>
      </c>
      <c r="G401" s="13" t="s">
        <v>1811</v>
      </c>
      <c r="H401" s="13" t="s">
        <v>35</v>
      </c>
      <c r="I401" s="13" t="str">
        <f aca="false">IF(C401=J401,"NEW KONTRAK","RE-KONTRAK")</f>
        <v>RE-KONTRAK</v>
      </c>
      <c r="J401" s="16" t="n">
        <f aca="false" t="array" ref="J401:J401">IFERROR(INDEX(AC401:AE401,IF(COUNTA(AC401:AE401)=0,"",MAX((AC401:AE401&lt;&gt;"")*(COLUMN(AC401:AE401)-(COLUMN(AC401)))))-1),"")</f>
        <v>45659</v>
      </c>
      <c r="K401" s="16" t="n">
        <f aca="false" t="array" ref="K401:K401">IFERROR(INDEX(AC401:AE401,IF(COUNTA(AC401:AE401)=0,"",MAX((AC401:AE401&lt;&gt;"")*(COLUMN(AC401:AE401)-(COLUMN(AC401)-1))))-1),"")</f>
        <v>46015</v>
      </c>
      <c r="L401" s="17" t="str">
        <f aca="false" t="array" ref="L401:L401">IFERROR(INDEX(AC401:AE401,IF(COUNTA(AC401:AE401)=0,"",MAX((AC401:AE401&lt;&gt;"")*(COLUMN(AC401:AE401)-(COLUMN(AC401)-2))))-1),"")</f>
        <v>ARCHIVED</v>
      </c>
      <c r="M401" s="13" t="n">
        <f aca="true">K401-TODAY()</f>
        <v>-309</v>
      </c>
      <c r="N401" s="18" t="s">
        <v>728</v>
      </c>
      <c r="O401" s="13" t="s">
        <v>1812</v>
      </c>
      <c r="P401" s="19" t="n">
        <v>5444909</v>
      </c>
      <c r="Q401" s="20" t="s">
        <v>1813</v>
      </c>
      <c r="R401" s="13" t="s">
        <v>52</v>
      </c>
      <c r="S401" s="14" t="n">
        <v>34530</v>
      </c>
      <c r="T401" s="13" t="s">
        <v>40</v>
      </c>
      <c r="U401" s="13" t="s">
        <v>1814</v>
      </c>
      <c r="V401" s="13" t="s">
        <v>42</v>
      </c>
      <c r="W401" s="13" t="s">
        <v>43</v>
      </c>
      <c r="X401" s="21" t="n">
        <v>81331733785</v>
      </c>
      <c r="Y401" s="22" t="str">
        <f aca="false">O401</f>
        <v>Qa Inspector Im</v>
      </c>
      <c r="Z401" s="13" t="str">
        <f aca="false">IFERROR(__xludf.dummyfunction("if(BJ401="""","""",GOOGLETRANSLATE(BJ401,""auto"",""en""))"),"Qa Inspector Im")</f>
        <v>Qa Inspector Im</v>
      </c>
      <c r="AA401" s="23" t="str">
        <f aca="false">IF(C401="","", CHOOSE(MONTH(C401),"January","February","March","April","May","June","July","August","September","October","November","December")&amp;" "&amp;DAY(C401)&amp;MID("thstndrdth",MIN(9,2*RIGHT(DAY(C401))*(MOD(DAY(C401)-11,100)&gt;2)+1),2)&amp;","&amp;TEXT(C401," yyyy"))</f>
        <v>January 3rd,2022</v>
      </c>
      <c r="AB401" s="15" t="str">
        <f aca="true">IF(S401="","",DATEDIF(S401,TODAY(),"Y")&amp;" Tahun, "&amp;DATEDIF(S401,TODAY(),"YM")&amp;" Bulan, "&amp;DATEDIF(S401,TODAY(),"MD")&amp;" Hari")</f>
        <v>32 Tahun, 3 Bulan, 14 Hari</v>
      </c>
      <c r="AC401" s="18" t="n">
        <v>45659</v>
      </c>
      <c r="AD401" s="18" t="n">
        <v>46015</v>
      </c>
      <c r="AE401" s="18" t="s">
        <v>44</v>
      </c>
    </row>
    <row r="402" customFormat="false" ht="15.75" hidden="false" customHeight="true" outlineLevel="0" collapsed="false">
      <c r="A402" s="12" t="n">
        <v>2204</v>
      </c>
      <c r="B402" s="13" t="s">
        <v>1815</v>
      </c>
      <c r="C402" s="14" t="n">
        <v>44350</v>
      </c>
      <c r="D402" s="13" t="s">
        <v>1721</v>
      </c>
      <c r="E402" s="15" t="s">
        <v>33</v>
      </c>
      <c r="F402" s="24" t="s">
        <v>1816</v>
      </c>
      <c r="G402" s="13" t="s">
        <v>1817</v>
      </c>
      <c r="H402" s="13" t="s">
        <v>35</v>
      </c>
      <c r="I402" s="13" t="str">
        <f aca="false">IF(C402=J402,"NEW KONTRAK","RE-KONTRAK")</f>
        <v>RE-KONTRAK</v>
      </c>
      <c r="J402" s="16" t="n">
        <f aca="false" t="array" ref="J402:J402">IFERROR(INDEX(AC402:AE402,IF(COUNTA(AC402:AE402)=0,"",MAX((AC402:AE402&lt;&gt;"")*(COLUMN(AC402:AE402)-(COLUMN(AC402)))))-1),"")</f>
        <v>45659</v>
      </c>
      <c r="K402" s="16" t="n">
        <f aca="false" t="array" ref="K402:K402">IFERROR(INDEX(AC402:AE402,IF(COUNTA(AC402:AE402)=0,"",MAX((AC402:AE402&lt;&gt;"")*(COLUMN(AC402:AE402)-(COLUMN(AC402)-1))))-1),"")</f>
        <v>46015</v>
      </c>
      <c r="L402" s="17" t="str">
        <f aca="false" t="array" ref="L402:L402">IFERROR(INDEX(AC402:AE402,IF(COUNTA(AC402:AE402)=0,"",MAX((AC402:AE402&lt;&gt;"")*(COLUMN(AC402:AE402)-(COLUMN(AC402)-2))))-1),"")</f>
        <v>ARCHIVED</v>
      </c>
      <c r="M402" s="13" t="n">
        <f aca="true">K402-TODAY()</f>
        <v>-309</v>
      </c>
      <c r="N402" s="18" t="s">
        <v>728</v>
      </c>
      <c r="O402" s="13" t="s">
        <v>1738</v>
      </c>
      <c r="P402" s="19" t="n">
        <v>5444909</v>
      </c>
      <c r="Q402" s="20" t="s">
        <v>1818</v>
      </c>
      <c r="R402" s="13" t="s">
        <v>73</v>
      </c>
      <c r="S402" s="14" t="n">
        <v>35200</v>
      </c>
      <c r="T402" s="13" t="s">
        <v>108</v>
      </c>
      <c r="U402" s="13" t="s">
        <v>1819</v>
      </c>
      <c r="V402" s="13" t="s">
        <v>42</v>
      </c>
      <c r="W402" s="13" t="s">
        <v>43</v>
      </c>
      <c r="X402" s="21" t="n">
        <v>89523823272</v>
      </c>
      <c r="Y402" s="22" t="str">
        <f aca="false">O402</f>
        <v>IM Operator</v>
      </c>
      <c r="Z402" s="13" t="str">
        <f aca="false">IFERROR(__xludf.dummyfunction("if(BJ402="""","""",GOOGLETRANSLATE(BJ402,""auto"",""en""))"),"IM Operator")</f>
        <v>IM Operator</v>
      </c>
      <c r="AA402" s="23" t="str">
        <f aca="false">IF(C402="","", CHOOSE(MONTH(C402),"January","February","March","April","May","June","July","August","September","October","November","December")&amp;" "&amp;DAY(C402)&amp;MID("thstndrdth",MIN(9,2*RIGHT(DAY(C402))*(MOD(DAY(C402)-11,100)&gt;2)+1),2)&amp;","&amp;TEXT(C402," yyyy"))</f>
        <v>June 3rd,2021</v>
      </c>
      <c r="AB402" s="15" t="str">
        <f aca="true">IF(S402="","",DATEDIF(S402,TODAY(),"Y")&amp;" Tahun, "&amp;DATEDIF(S402,TODAY(),"YM")&amp;" Bulan, "&amp;DATEDIF(S402,TODAY(),"MD")&amp;" Hari")</f>
        <v>30 Tahun, 5 Bulan, 14 Hari</v>
      </c>
      <c r="AC402" s="18" t="n">
        <v>45659</v>
      </c>
      <c r="AD402" s="18" t="n">
        <v>46015</v>
      </c>
      <c r="AE402" s="18" t="s">
        <v>44</v>
      </c>
    </row>
    <row r="403" customFormat="false" ht="15.75" hidden="false" customHeight="true" outlineLevel="0" collapsed="false">
      <c r="A403" s="12" t="n">
        <v>22704</v>
      </c>
      <c r="B403" s="13" t="s">
        <v>1820</v>
      </c>
      <c r="C403" s="14" t="n">
        <v>46251</v>
      </c>
      <c r="D403" s="13" t="s">
        <v>1721</v>
      </c>
      <c r="E403" s="13" t="s">
        <v>47</v>
      </c>
      <c r="F403" s="24" t="s">
        <v>1821</v>
      </c>
      <c r="G403" s="13" t="s">
        <v>1452</v>
      </c>
      <c r="H403" s="13" t="s">
        <v>35</v>
      </c>
      <c r="I403" s="13" t="str">
        <f aca="false">IF(C403=J403,"NEW KONTRAK","RE-KONTRAK")</f>
        <v>NEW KONTRAK</v>
      </c>
      <c r="J403" s="16" t="n">
        <f aca="false" t="array" ref="J403:J403">IFERROR(INDEX(AC403:AE403,IF(COUNTA(AC403:AE403)=0,"",MAX((AC403:AE403&lt;&gt;"")*(COLUMN(AC403:AE403)-(COLUMN(AC403)))))-1),"")</f>
        <v>46251</v>
      </c>
      <c r="K403" s="16" t="n">
        <f aca="false" t="array" ref="K403:K403">IFERROR(INDEX(AC403:AE403,IF(COUNTA(AC403:AE403)=0,"",MAX((AC403:AE403&lt;&gt;"")*(COLUMN(AC403:AE403)-(COLUMN(AC403)-1))))-1),"")</f>
        <v>46342</v>
      </c>
      <c r="L403" s="17" t="str">
        <f aca="false" t="array" ref="L403:L403">IFERROR(INDEX(AC403:AE403,IF(COUNTA(AC403:AE403)=0,"",MAX((AC403:AE403&lt;&gt;"")*(COLUMN(AC403:AE403)-(COLUMN(AC403)-2))))-1),"")</f>
        <v>ARCHIVED</v>
      </c>
      <c r="M403" s="13" t="n">
        <f aca="true">K403-TODAY()</f>
        <v>18</v>
      </c>
      <c r="N403" s="18" t="s">
        <v>728</v>
      </c>
      <c r="O403" s="13" t="s">
        <v>1822</v>
      </c>
      <c r="P403" s="26" t="n">
        <v>5444909</v>
      </c>
      <c r="Q403" s="20" t="s">
        <v>1823</v>
      </c>
      <c r="R403" s="13" t="s">
        <v>52</v>
      </c>
      <c r="S403" s="25" t="n">
        <v>37222</v>
      </c>
      <c r="T403" s="13" t="s">
        <v>108</v>
      </c>
      <c r="U403" s="13" t="s">
        <v>1824</v>
      </c>
      <c r="V403" s="13" t="s">
        <v>42</v>
      </c>
      <c r="W403" s="13" t="s">
        <v>43</v>
      </c>
      <c r="X403" s="21" t="n">
        <v>85772378926</v>
      </c>
      <c r="Y403" s="22" t="str">
        <f aca="false">O403</f>
        <v>Assembling</v>
      </c>
      <c r="Z403" s="13" t="str">
        <f aca="false">IFERROR(__xludf.dummyfunction("if(BJ403="""","""",GOOGLETRANSLATE(BJ403,""auto"",""en""))"),"Assembling")</f>
        <v>Assembling</v>
      </c>
      <c r="AA403" s="23" t="str">
        <f aca="false">IF(C403="","", CHOOSE(MONTH(C403),"January","February","March","April","May","June","July","August","September","October","November","December")&amp;" "&amp;DAY(C403)&amp;MID("thstndrdth",MIN(9,2*RIGHT(DAY(C403))*(MOD(DAY(C403)-11,100)&gt;2)+1),2)&amp;","&amp;TEXT(C403," yyyy"))</f>
        <v>August 17th,2026</v>
      </c>
      <c r="AB403" s="15" t="str">
        <f aca="true">IF(S403="","",DATEDIF(S403,TODAY(),"Y")&amp;" Tahun, "&amp;DATEDIF(S403,TODAY(),"YM")&amp;" Bulan, "&amp;DATEDIF(S403,TODAY(),"MD")&amp;" Hari")</f>
        <v>24 Tahun, 11 Bulan, 2 Hari</v>
      </c>
      <c r="AC403" s="14" t="n">
        <v>46251</v>
      </c>
      <c r="AD403" s="18" t="n">
        <f aca="false">EDATE(AC403,3)-1</f>
        <v>46342</v>
      </c>
      <c r="AE403" s="45" t="s">
        <v>44</v>
      </c>
    </row>
    <row r="404" customFormat="false" ht="15.75" hidden="false" customHeight="true" outlineLevel="0" collapsed="false">
      <c r="A404" s="12" t="n">
        <v>15658</v>
      </c>
      <c r="B404" s="13" t="s">
        <v>1825</v>
      </c>
      <c r="C404" s="14" t="n">
        <v>45446</v>
      </c>
      <c r="D404" s="13" t="s">
        <v>1721</v>
      </c>
      <c r="E404" s="15" t="s">
        <v>47</v>
      </c>
      <c r="F404" s="15" t="str">
        <f aca="false">IFERROR(__xludf.dummyfunction("XLOOKUP(AJ404,IMPORTRANGE(""1XaInW9DU9nz21V0tYIfzFQ0He9kVQ_JF2mCXgZ3hqFA"",""REKAP ALL 2026 - Andika!G:G""),IMPORTRANGE(""1XaInW9DU9nz21V0tYIfzFQ0He9kVQ_JF2mCXgZ3hqFA"",""REKAP ALL 2026 - Andika!F:F""),"""",0)"),"24091262642")</f>
        <v>24091262642</v>
      </c>
      <c r="G404" s="15" t="s">
        <v>1826</v>
      </c>
      <c r="H404" s="13" t="s">
        <v>35</v>
      </c>
      <c r="I404" s="13" t="str">
        <f aca="false">IF(C404=J404,"NEW KONTRAK","RE-KONTRAK")</f>
        <v>RE-KONTRAK</v>
      </c>
      <c r="J404" s="16" t="n">
        <f aca="false" t="array" ref="J404:J404">IFERROR(INDEX(AC404:AE404,IF(COUNTA(AC404:AE404)=0,"",MAX((AC404:AE404&lt;&gt;"")*(COLUMN(AC404:AE404)-(COLUMN(AC404)))))-1),"")</f>
        <v>45659</v>
      </c>
      <c r="K404" s="16" t="n">
        <f aca="false" t="array" ref="K404:K404">IFERROR(INDEX(AC404:AE404,IF(COUNTA(AC404:AE404)=0,"",MAX((AC404:AE404&lt;&gt;"")*(COLUMN(AC404:AE404)-(COLUMN(AC404)-1))))-1),"")</f>
        <v>46021</v>
      </c>
      <c r="L404" s="17" t="str">
        <f aca="false" t="array" ref="L404:L404">IFERROR(INDEX(AC404:AE404,IF(COUNTA(AC404:AE404)=0,"",MAX((AC404:AE404&lt;&gt;"")*(COLUMN(AC404:AE404)-(COLUMN(AC404)-2))))-1),"")</f>
        <v>KEMBALI</v>
      </c>
      <c r="M404" s="13" t="n">
        <f aca="true">K404-TODAY()</f>
        <v>-303</v>
      </c>
      <c r="N404" s="18" t="s">
        <v>728</v>
      </c>
      <c r="O404" s="13" t="s">
        <v>1827</v>
      </c>
      <c r="P404" s="19" t="n">
        <v>5444909</v>
      </c>
      <c r="Q404" s="20" t="s">
        <v>1828</v>
      </c>
      <c r="R404" s="13" t="s">
        <v>260</v>
      </c>
      <c r="S404" s="14" t="n">
        <v>35558</v>
      </c>
      <c r="T404" s="13" t="s">
        <v>108</v>
      </c>
      <c r="U404" s="13" t="s">
        <v>1829</v>
      </c>
      <c r="V404" s="13" t="s">
        <v>42</v>
      </c>
      <c r="W404" s="13" t="s">
        <v>54</v>
      </c>
      <c r="X404" s="21" t="n">
        <v>85762185279</v>
      </c>
      <c r="Y404" s="22" t="str">
        <f aca="false">O404</f>
        <v>Printing Operator</v>
      </c>
      <c r="Z404" s="13" t="str">
        <f aca="false">IFERROR(__xludf.dummyfunction("if(BJ404="""","""",GOOGLETRANSLATE(BJ404,""auto"",""en""))"),"Printing Operator")</f>
        <v>Printing Operator</v>
      </c>
      <c r="AA404" s="23" t="str">
        <f aca="false">IF(C404="","", CHOOSE(MONTH(C404),"January","February","March","April","May","June","July","August","September","October","November","December")&amp;" "&amp;DAY(C404)&amp;MID("thstndrdth",MIN(9,2*RIGHT(DAY(C404))*(MOD(DAY(C404)-11,100)&gt;2)+1),2)&amp;","&amp;TEXT(C404," yyyy"))</f>
        <v>June 3rd,2024</v>
      </c>
      <c r="AB404" s="15" t="str">
        <f aca="true">IF(S404="","",DATEDIF(S404,TODAY(),"Y")&amp;" Tahun, "&amp;DATEDIF(S404,TODAY(),"YM")&amp;" Bulan, "&amp;DATEDIF(S404,TODAY(),"MD")&amp;" Hari")</f>
        <v>29 Tahun, 5 Bulan, 21 Hari</v>
      </c>
      <c r="AC404" s="18" t="n">
        <v>45659</v>
      </c>
      <c r="AD404" s="18" t="n">
        <v>46021</v>
      </c>
      <c r="AE404" s="13" t="s">
        <v>397</v>
      </c>
    </row>
    <row r="405" customFormat="false" ht="15.75" hidden="false" customHeight="true" outlineLevel="0" collapsed="false">
      <c r="A405" s="12" t="n">
        <v>22975</v>
      </c>
      <c r="B405" s="13" t="s">
        <v>1830</v>
      </c>
      <c r="C405" s="14" t="n">
        <v>46307</v>
      </c>
      <c r="D405" s="13" t="s">
        <v>1721</v>
      </c>
      <c r="E405" s="13" t="s">
        <v>47</v>
      </c>
      <c r="F405" s="24" t="s">
        <v>1831</v>
      </c>
      <c r="G405" s="13" t="s">
        <v>1127</v>
      </c>
      <c r="H405" s="13" t="s">
        <v>35</v>
      </c>
      <c r="I405" s="13" t="str">
        <f aca="false">IF(C405=J405,"NEW KONTRAK","RE-KONTRAK")</f>
        <v>NEW KONTRAK</v>
      </c>
      <c r="J405" s="16" t="n">
        <f aca="false" t="array" ref="J405:J405">IFERROR(INDEX(AC405:AE405,IF(COUNTA(AC405:AE405)=0,"",MAX((AC405:AE405&lt;&gt;"")*(COLUMN(AC405:AE405)-(COLUMN(AC405)))))-1),"")</f>
        <v>46307</v>
      </c>
      <c r="K405" s="16" t="n">
        <f aca="false" t="array" ref="K405:K405">IFERROR(INDEX(AC405:AE405,IF(COUNTA(AC405:AE405)=0,"",MAX((AC405:AE405&lt;&gt;"")*(COLUMN(AC405:AE405)-(COLUMN(AC405)-1))))-1),"")</f>
        <v>46386</v>
      </c>
      <c r="L405" s="17" t="str">
        <f aca="false" t="array" ref="L405:L405">IFERROR(INDEX(AC405:AE405,IF(COUNTA(AC405:AE405)=0,"",MAX((AC405:AE405&lt;&gt;"")*(COLUMN(AC405:AE405)-(COLUMN(AC405)-2))))-1),"")</f>
        <v>PRINTED</v>
      </c>
      <c r="M405" s="13" t="n">
        <f aca="true">K405-TODAY()</f>
        <v>62</v>
      </c>
      <c r="N405" s="18" t="s">
        <v>728</v>
      </c>
      <c r="O405" s="13" t="s">
        <v>1732</v>
      </c>
      <c r="P405" s="26" t="n">
        <v>5444909</v>
      </c>
      <c r="Q405" s="20" t="s">
        <v>1832</v>
      </c>
      <c r="R405" s="13" t="s">
        <v>274</v>
      </c>
      <c r="S405" s="25" t="n">
        <v>32596</v>
      </c>
      <c r="T405" s="13" t="s">
        <v>108</v>
      </c>
      <c r="U405" s="13" t="s">
        <v>1833</v>
      </c>
      <c r="V405" s="13" t="s">
        <v>42</v>
      </c>
      <c r="W405" s="13" t="s">
        <v>54</v>
      </c>
      <c r="X405" s="21" t="n">
        <v>85732989557</v>
      </c>
      <c r="Y405" s="22" t="str">
        <f aca="false">O405</f>
        <v>Bm.Operator</v>
      </c>
      <c r="Z405" s="13" t="str">
        <f aca="false">IFERROR(__xludf.dummyfunction("if(BJ405="""","""",GOOGLETRANSLATE(BJ405,""auto"",""en""))"),"Bm.Operator")</f>
        <v>Bm.Operator</v>
      </c>
      <c r="AA405" s="23" t="str">
        <f aca="false">IF(C405="","", CHOOSE(MONTH(C405),"January","February","March","April","May","June","July","August","September","October","November","December")&amp;" "&amp;DAY(C405)&amp;MID("thstndrdth",MIN(9,2*RIGHT(DAY(C405))*(MOD(DAY(C405)-11,100)&gt;2)+1),2)&amp;","&amp;TEXT(C405," yyyy"))</f>
        <v>October 12th,2026</v>
      </c>
      <c r="AB405" s="15" t="str">
        <f aca="true">IF(S405="","",DATEDIF(S405,TODAY(),"Y")&amp;" Tahun, "&amp;DATEDIF(S405,TODAY(),"YM")&amp;" Bulan, "&amp;DATEDIF(S405,TODAY(),"MD")&amp;" Hari")</f>
        <v>37 Tahun, 7 Bulan, 0 Hari</v>
      </c>
      <c r="AC405" s="14" t="n">
        <v>46307</v>
      </c>
      <c r="AD405" s="18" t="n">
        <v>46386</v>
      </c>
      <c r="AE405" s="13" t="s">
        <v>1752</v>
      </c>
    </row>
    <row r="406" customFormat="false" ht="15.75" hidden="false" customHeight="true" outlineLevel="0" collapsed="false">
      <c r="A406" s="12" t="n">
        <v>2218</v>
      </c>
      <c r="B406" s="13" t="s">
        <v>1834</v>
      </c>
      <c r="C406" s="14" t="n">
        <v>44564</v>
      </c>
      <c r="D406" s="13" t="s">
        <v>1721</v>
      </c>
      <c r="E406" s="15" t="s">
        <v>33</v>
      </c>
      <c r="F406" s="24" t="s">
        <v>1835</v>
      </c>
      <c r="G406" s="13" t="s">
        <v>1836</v>
      </c>
      <c r="H406" s="13" t="s">
        <v>35</v>
      </c>
      <c r="I406" s="13" t="str">
        <f aca="false">IF(C406=J406,"NEW KONTRAK","RE-KONTRAK")</f>
        <v>RE-KONTRAK</v>
      </c>
      <c r="J406" s="16" t="n">
        <f aca="false" t="array" ref="J406:J406">IFERROR(INDEX(AC406:AE406,IF(COUNTA(AC406:AE406)=0,"",MAX((AC406:AE406&lt;&gt;"")*(COLUMN(AC406:AE406)-(COLUMN(AC406)))))-1),"")</f>
        <v>45659</v>
      </c>
      <c r="K406" s="16" t="n">
        <f aca="false" t="array" ref="K406:K406">IFERROR(INDEX(AC406:AE406,IF(COUNTA(AC406:AE406)=0,"",MAX((AC406:AE406&lt;&gt;"")*(COLUMN(AC406:AE406)-(COLUMN(AC406)-1))))-1),"")</f>
        <v>46015</v>
      </c>
      <c r="L406" s="17" t="str">
        <f aca="false" t="array" ref="L406:L406">IFERROR(INDEX(AC406:AE406,IF(COUNTA(AC406:AE406)=0,"",MAX((AC406:AE406&lt;&gt;"")*(COLUMN(AC406:AE406)-(COLUMN(AC406)-2))))-1),"")</f>
        <v>ARCHIVED</v>
      </c>
      <c r="M406" s="13" t="n">
        <f aca="true">K406-TODAY()</f>
        <v>-309</v>
      </c>
      <c r="N406" s="18" t="s">
        <v>728</v>
      </c>
      <c r="O406" s="13" t="s">
        <v>1738</v>
      </c>
      <c r="P406" s="19" t="n">
        <v>5444909</v>
      </c>
      <c r="Q406" s="20" t="s">
        <v>1837</v>
      </c>
      <c r="R406" s="13" t="s">
        <v>255</v>
      </c>
      <c r="S406" s="14" t="n">
        <v>35578</v>
      </c>
      <c r="T406" s="13" t="s">
        <v>108</v>
      </c>
      <c r="U406" s="13" t="s">
        <v>1838</v>
      </c>
      <c r="V406" s="13" t="s">
        <v>42</v>
      </c>
      <c r="W406" s="13" t="s">
        <v>43</v>
      </c>
      <c r="X406" s="21" t="n">
        <v>89679851496</v>
      </c>
      <c r="Y406" s="22" t="str">
        <f aca="false">O406</f>
        <v>IM Operator</v>
      </c>
      <c r="Z406" s="13" t="str">
        <f aca="false">IFERROR(__xludf.dummyfunction("if(BJ406="""","""",GOOGLETRANSLATE(BJ406,""auto"",""en""))"),"IM Operator")</f>
        <v>IM Operator</v>
      </c>
      <c r="AA406" s="23" t="str">
        <f aca="false">IF(C406="","", CHOOSE(MONTH(C406),"January","February","March","April","May","June","July","August","September","October","November","December")&amp;" "&amp;DAY(C406)&amp;MID("thstndrdth",MIN(9,2*RIGHT(DAY(C406))*(MOD(DAY(C406)-11,100)&gt;2)+1),2)&amp;","&amp;TEXT(C406," yyyy"))</f>
        <v>January 3rd,2022</v>
      </c>
      <c r="AB406" s="15" t="str">
        <f aca="true">IF(S406="","",DATEDIF(S406,TODAY(),"Y")&amp;" Tahun, "&amp;DATEDIF(S406,TODAY(),"YM")&amp;" Bulan, "&amp;DATEDIF(S406,TODAY(),"MD")&amp;" Hari")</f>
        <v>29 Tahun, 5 Bulan, 1 Hari</v>
      </c>
      <c r="AC406" s="18" t="n">
        <v>45659</v>
      </c>
      <c r="AD406" s="18" t="n">
        <v>46015</v>
      </c>
      <c r="AE406" s="18" t="s">
        <v>44</v>
      </c>
    </row>
    <row r="407" customFormat="false" ht="15.75" hidden="false" customHeight="true" outlineLevel="0" collapsed="false">
      <c r="A407" s="12" t="n">
        <v>22976</v>
      </c>
      <c r="B407" s="13" t="s">
        <v>1839</v>
      </c>
      <c r="C407" s="14" t="n">
        <v>46307</v>
      </c>
      <c r="D407" s="13" t="s">
        <v>1721</v>
      </c>
      <c r="E407" s="13" t="s">
        <v>47</v>
      </c>
      <c r="F407" s="24" t="s">
        <v>1840</v>
      </c>
      <c r="G407" s="13" t="s">
        <v>1127</v>
      </c>
      <c r="H407" s="13" t="s">
        <v>35</v>
      </c>
      <c r="I407" s="13" t="str">
        <f aca="false">IF(C407=J407,"NEW KONTRAK","RE-KONTRAK")</f>
        <v>NEW KONTRAK</v>
      </c>
      <c r="J407" s="16" t="n">
        <f aca="false" t="array" ref="J407:J407">IFERROR(INDEX(AC407:AE407,IF(COUNTA(AC407:AE407)=0,"",MAX((AC407:AE407&lt;&gt;"")*(COLUMN(AC407:AE407)-(COLUMN(AC407)))))-1),"")</f>
        <v>46307</v>
      </c>
      <c r="K407" s="16" t="n">
        <f aca="false" t="array" ref="K407:K407">IFERROR(INDEX(AC407:AE407,IF(COUNTA(AC407:AE407)=0,"",MAX((AC407:AE407&lt;&gt;"")*(COLUMN(AC407:AE407)-(COLUMN(AC407)-1))))-1),"")</f>
        <v>46386</v>
      </c>
      <c r="L407" s="17" t="str">
        <f aca="false" t="array" ref="L407:L407">IFERROR(INDEX(AC407:AE407,IF(COUNTA(AC407:AE407)=0,"",MAX((AC407:AE407&lt;&gt;"")*(COLUMN(AC407:AE407)-(COLUMN(AC407)-2))))-1),"")</f>
        <v>PRINTED</v>
      </c>
      <c r="M407" s="13" t="n">
        <f aca="true">K407-TODAY()</f>
        <v>62</v>
      </c>
      <c r="N407" s="18" t="s">
        <v>728</v>
      </c>
      <c r="O407" s="13" t="s">
        <v>1738</v>
      </c>
      <c r="P407" s="26" t="n">
        <v>5444909</v>
      </c>
      <c r="Q407" s="20" t="s">
        <v>1841</v>
      </c>
      <c r="R407" s="13" t="s">
        <v>1842</v>
      </c>
      <c r="S407" s="25" t="n">
        <v>37768</v>
      </c>
      <c r="T407" s="13" t="s">
        <v>108</v>
      </c>
      <c r="U407" s="13" t="s">
        <v>1843</v>
      </c>
      <c r="V407" s="13" t="s">
        <v>42</v>
      </c>
      <c r="W407" s="13" t="s">
        <v>43</v>
      </c>
      <c r="X407" s="21" t="n">
        <v>81952411611</v>
      </c>
      <c r="Y407" s="22" t="str">
        <f aca="false">O407</f>
        <v>IM Operator</v>
      </c>
      <c r="Z407" s="13" t="str">
        <f aca="false">IFERROR(__xludf.dummyfunction("if(BJ407="""","""",GOOGLETRANSLATE(BJ407,""auto"",""en""))"),"IM Operator")</f>
        <v>IM Operator</v>
      </c>
      <c r="AA407" s="23" t="str">
        <f aca="false">IF(C407="","", CHOOSE(MONTH(C407),"January","February","March","April","May","June","July","August","September","October","November","December")&amp;" "&amp;DAY(C407)&amp;MID("thstndrdth",MIN(9,2*RIGHT(DAY(C407))*(MOD(DAY(C407)-11,100)&gt;2)+1),2)&amp;","&amp;TEXT(C407," yyyy"))</f>
        <v>October 12th,2026</v>
      </c>
      <c r="AB407" s="15" t="str">
        <f aca="true">IF(S407="","",DATEDIF(S407,TODAY(),"Y")&amp;" Tahun, "&amp;DATEDIF(S407,TODAY(),"YM")&amp;" Bulan, "&amp;DATEDIF(S407,TODAY(),"MD")&amp;" Hari")</f>
        <v>23 Tahun, 5 Bulan, 2 Hari</v>
      </c>
      <c r="AC407" s="14" t="n">
        <v>46307</v>
      </c>
      <c r="AD407" s="18" t="n">
        <v>46386</v>
      </c>
      <c r="AE407" s="13" t="s">
        <v>1752</v>
      </c>
    </row>
    <row r="408" customFormat="false" ht="15.75" hidden="false" customHeight="true" outlineLevel="0" collapsed="false">
      <c r="A408" s="12" t="n">
        <v>22871</v>
      </c>
      <c r="B408" s="13" t="s">
        <v>1844</v>
      </c>
      <c r="C408" s="14" t="n">
        <v>46279</v>
      </c>
      <c r="D408" s="13" t="s">
        <v>1721</v>
      </c>
      <c r="E408" s="13" t="s">
        <v>47</v>
      </c>
      <c r="F408" s="24" t="s">
        <v>1845</v>
      </c>
      <c r="G408" s="13" t="s">
        <v>1452</v>
      </c>
      <c r="H408" s="13" t="s">
        <v>35</v>
      </c>
      <c r="I408" s="13" t="str">
        <f aca="false">IF(C408=J408,"NEW KONTRAK","RE-KONTRAK")</f>
        <v>NEW KONTRAK</v>
      </c>
      <c r="J408" s="16" t="n">
        <f aca="false" t="array" ref="J408:J408">IFERROR(INDEX(AC408:AE408,IF(COUNTA(AC408:AE408)=0,"",MAX((AC408:AE408&lt;&gt;"")*(COLUMN(AC408:AE408)-(COLUMN(AC408)))))-1),"")</f>
        <v>46279</v>
      </c>
      <c r="K408" s="16" t="n">
        <f aca="false" t="array" ref="K408:K408">IFERROR(INDEX(AC408:AE408,IF(COUNTA(AC408:AE408)=0,"",MAX((AC408:AE408&lt;&gt;"")*(COLUMN(AC408:AE408)-(COLUMN(AC408)-1))))-1),"")</f>
        <v>46386</v>
      </c>
      <c r="L408" s="17" t="str">
        <f aca="false" t="array" ref="L408:L408">IFERROR(INDEX(AC408:AE408,IF(COUNTA(AC408:AE408)=0,"",MAX((AC408:AE408&lt;&gt;"")*(COLUMN(AC408:AE408)-(COLUMN(AC408)-2))))-1),"")</f>
        <v>ARCHIVED</v>
      </c>
      <c r="M408" s="13" t="n">
        <f aca="true">K408-TODAY()</f>
        <v>62</v>
      </c>
      <c r="N408" s="18" t="s">
        <v>728</v>
      </c>
      <c r="O408" s="13" t="s">
        <v>1755</v>
      </c>
      <c r="P408" s="26" t="n">
        <v>5444909</v>
      </c>
      <c r="Q408" s="20" t="s">
        <v>1846</v>
      </c>
      <c r="R408" s="13" t="s">
        <v>735</v>
      </c>
      <c r="S408" s="25" t="n">
        <v>34065</v>
      </c>
      <c r="T408" s="13" t="s">
        <v>108</v>
      </c>
      <c r="U408" s="13" t="s">
        <v>1847</v>
      </c>
      <c r="V408" s="13" t="s">
        <v>42</v>
      </c>
      <c r="W408" s="13" t="s">
        <v>54</v>
      </c>
      <c r="X408" s="30" t="n">
        <v>89654235116</v>
      </c>
      <c r="Y408" s="22" t="str">
        <f aca="false">O408</f>
        <v>Im.Operator</v>
      </c>
      <c r="Z408" s="13" t="str">
        <f aca="false">IFERROR(__xludf.dummyfunction("if(BJ408="""","""",GOOGLETRANSLATE(BJ408,""auto"",""en""))"),"Im.Operator")</f>
        <v>Im.Operator</v>
      </c>
      <c r="AA408" s="23" t="str">
        <f aca="false">IF(C408="","", CHOOSE(MONTH(C408),"January","February","March","April","May","June","July","August","September","October","November","December")&amp;" "&amp;DAY(C408)&amp;MID("thstndrdth",MIN(9,2*RIGHT(DAY(C408))*(MOD(DAY(C408)-11,100)&gt;2)+1),2)&amp;","&amp;TEXT(C408," yyyy"))</f>
        <v>September 14th,2026</v>
      </c>
      <c r="AB408" s="15" t="str">
        <f aca="true">IF(S408="","",DATEDIF(S408,TODAY(),"Y")&amp;" Tahun, "&amp;DATEDIF(S408,TODAY(),"YM")&amp;" Bulan, "&amp;DATEDIF(S408,TODAY(),"MD")&amp;" Hari")</f>
        <v>33 Tahun, 6 Bulan, 23 Hari</v>
      </c>
      <c r="AC408" s="14" t="n">
        <v>46279</v>
      </c>
      <c r="AD408" s="18" t="n">
        <v>46386</v>
      </c>
      <c r="AE408" s="13" t="s">
        <v>44</v>
      </c>
    </row>
    <row r="409" customFormat="false" ht="15.75" hidden="false" customHeight="true" outlineLevel="0" collapsed="false">
      <c r="A409" s="12" t="n">
        <v>22977</v>
      </c>
      <c r="B409" s="13" t="s">
        <v>1848</v>
      </c>
      <c r="C409" s="14" t="n">
        <v>46307</v>
      </c>
      <c r="D409" s="13" t="s">
        <v>1721</v>
      </c>
      <c r="E409" s="13" t="s">
        <v>47</v>
      </c>
      <c r="F409" s="24" t="s">
        <v>1849</v>
      </c>
      <c r="G409" s="13" t="s">
        <v>1127</v>
      </c>
      <c r="H409" s="13" t="s">
        <v>35</v>
      </c>
      <c r="I409" s="13" t="str">
        <f aca="false">IF(C409=J409,"NEW KONTRAK","RE-KONTRAK")</f>
        <v>NEW KONTRAK</v>
      </c>
      <c r="J409" s="16" t="n">
        <f aca="false" t="array" ref="J409:J409">IFERROR(INDEX(AC409:AE409,IF(COUNTA(AC409:AE409)=0,"",MAX((AC409:AE409&lt;&gt;"")*(COLUMN(AC409:AE409)-(COLUMN(AC409)))))-1),"")</f>
        <v>46307</v>
      </c>
      <c r="K409" s="16" t="n">
        <f aca="false" t="array" ref="K409:K409">IFERROR(INDEX(AC409:AE409,IF(COUNTA(AC409:AE409)=0,"",MAX((AC409:AE409&lt;&gt;"")*(COLUMN(AC409:AE409)-(COLUMN(AC409)-1))))-1),"")</f>
        <v>46386</v>
      </c>
      <c r="L409" s="17" t="str">
        <f aca="false" t="array" ref="L409:L409">IFERROR(INDEX(AC409:AE409,IF(COUNTA(AC409:AE409)=0,"",MAX((AC409:AE409&lt;&gt;"")*(COLUMN(AC409:AE409)-(COLUMN(AC409)-2))))-1),"")</f>
        <v>PRINTED</v>
      </c>
      <c r="M409" s="13" t="n">
        <f aca="true">K409-TODAY()</f>
        <v>62</v>
      </c>
      <c r="N409" s="18" t="s">
        <v>728</v>
      </c>
      <c r="O409" s="13" t="s">
        <v>1738</v>
      </c>
      <c r="P409" s="26" t="n">
        <v>5444909</v>
      </c>
      <c r="Q409" s="20" t="s">
        <v>1850</v>
      </c>
      <c r="R409" s="13" t="s">
        <v>73</v>
      </c>
      <c r="S409" s="25" t="n">
        <v>37059</v>
      </c>
      <c r="T409" s="13" t="s">
        <v>108</v>
      </c>
      <c r="U409" s="13" t="s">
        <v>1851</v>
      </c>
      <c r="V409" s="13" t="s">
        <v>42</v>
      </c>
      <c r="W409" s="13" t="s">
        <v>43</v>
      </c>
      <c r="X409" s="21" t="n">
        <v>8165454726</v>
      </c>
      <c r="Y409" s="22" t="str">
        <f aca="false">O409</f>
        <v>IM Operator</v>
      </c>
      <c r="Z409" s="13" t="str">
        <f aca="false">IFERROR(__xludf.dummyfunction("if(BJ409="""","""",GOOGLETRANSLATE(BJ409,""auto"",""en""))"),"IM Operator")</f>
        <v>IM Operator</v>
      </c>
      <c r="AA409" s="23" t="str">
        <f aca="false">IF(C409="","", CHOOSE(MONTH(C409),"January","February","March","April","May","June","July","August","September","October","November","December")&amp;" "&amp;DAY(C409)&amp;MID("thstndrdth",MIN(9,2*RIGHT(DAY(C409))*(MOD(DAY(C409)-11,100)&gt;2)+1),2)&amp;","&amp;TEXT(C409," yyyy"))</f>
        <v>October 12th,2026</v>
      </c>
      <c r="AB409" s="15" t="str">
        <f aca="true">IF(S409="","",DATEDIF(S409,TODAY(),"Y")&amp;" Tahun, "&amp;DATEDIF(S409,TODAY(),"YM")&amp;" Bulan, "&amp;DATEDIF(S409,TODAY(),"MD")&amp;" Hari")</f>
        <v>25 Tahun, 4 Bulan, 12 Hari</v>
      </c>
      <c r="AC409" s="14" t="n">
        <v>46307</v>
      </c>
      <c r="AD409" s="18" t="n">
        <v>46386</v>
      </c>
      <c r="AE409" s="13" t="s">
        <v>1752</v>
      </c>
    </row>
    <row r="410" customFormat="false" ht="15.75" hidden="false" customHeight="true" outlineLevel="0" collapsed="false">
      <c r="A410" s="12" t="n">
        <v>22978</v>
      </c>
      <c r="B410" s="13" t="s">
        <v>1852</v>
      </c>
      <c r="C410" s="14" t="n">
        <v>46307</v>
      </c>
      <c r="D410" s="13" t="s">
        <v>1721</v>
      </c>
      <c r="E410" s="13" t="s">
        <v>47</v>
      </c>
      <c r="F410" s="24" t="s">
        <v>1853</v>
      </c>
      <c r="G410" s="13" t="s">
        <v>1127</v>
      </c>
      <c r="H410" s="13" t="s">
        <v>35</v>
      </c>
      <c r="I410" s="13" t="str">
        <f aca="false">IF(C410=J410,"NEW KONTRAK","RE-KONTRAK")</f>
        <v>NEW KONTRAK</v>
      </c>
      <c r="J410" s="16" t="n">
        <f aca="false" t="array" ref="J410:J410">IFERROR(INDEX(AC410:AE410,IF(COUNTA(AC410:AE410)=0,"",MAX((AC410:AE410&lt;&gt;"")*(COLUMN(AC410:AE410)-(COLUMN(AC410)))))-1),"")</f>
        <v>46307</v>
      </c>
      <c r="K410" s="16" t="n">
        <f aca="false" t="array" ref="K410:K410">IFERROR(INDEX(AC410:AE410,IF(COUNTA(AC410:AE410)=0,"",MAX((AC410:AE410&lt;&gt;"")*(COLUMN(AC410:AE410)-(COLUMN(AC410)-1))))-1),"")</f>
        <v>46386</v>
      </c>
      <c r="L410" s="17" t="str">
        <f aca="false" t="array" ref="L410:L410">IFERROR(INDEX(AC410:AE410,IF(COUNTA(AC410:AE410)=0,"",MAX((AC410:AE410&lt;&gt;"")*(COLUMN(AC410:AE410)-(COLUMN(AC410)-2))))-1),"")</f>
        <v>PRINTED</v>
      </c>
      <c r="M410" s="13" t="n">
        <f aca="true">K410-TODAY()</f>
        <v>62</v>
      </c>
      <c r="N410" s="18" t="s">
        <v>728</v>
      </c>
      <c r="O410" s="13" t="s">
        <v>1738</v>
      </c>
      <c r="P410" s="26" t="n">
        <v>5444909</v>
      </c>
      <c r="Q410" s="20" t="s">
        <v>1854</v>
      </c>
      <c r="R410" s="13" t="s">
        <v>52</v>
      </c>
      <c r="S410" s="25" t="n">
        <v>36982</v>
      </c>
      <c r="T410" s="13" t="s">
        <v>108</v>
      </c>
      <c r="U410" s="13" t="s">
        <v>1855</v>
      </c>
      <c r="V410" s="13" t="s">
        <v>42</v>
      </c>
      <c r="W410" s="13" t="s">
        <v>43</v>
      </c>
      <c r="X410" s="21" t="n">
        <v>89635695214</v>
      </c>
      <c r="Y410" s="22" t="str">
        <f aca="false">O410</f>
        <v>IM Operator</v>
      </c>
      <c r="Z410" s="13" t="str">
        <f aca="false">IFERROR(__xludf.dummyfunction("if(BJ410="""","""",GOOGLETRANSLATE(BJ410,""auto"",""en""))"),"IM Operator")</f>
        <v>IM Operator</v>
      </c>
      <c r="AA410" s="23" t="str">
        <f aca="false">IF(C410="","", CHOOSE(MONTH(C410),"January","February","March","April","May","June","July","August","September","October","November","December")&amp;" "&amp;DAY(C410)&amp;MID("thstndrdth",MIN(9,2*RIGHT(DAY(C410))*(MOD(DAY(C410)-11,100)&gt;2)+1),2)&amp;","&amp;TEXT(C410," yyyy"))</f>
        <v>October 12th,2026</v>
      </c>
      <c r="AB410" s="15" t="str">
        <f aca="true">IF(S410="","",DATEDIF(S410,TODAY(),"Y")&amp;" Tahun, "&amp;DATEDIF(S410,TODAY(),"YM")&amp;" Bulan, "&amp;DATEDIF(S410,TODAY(),"MD")&amp;" Hari")</f>
        <v>25 Tahun, 6 Bulan, 28 Hari</v>
      </c>
      <c r="AC410" s="14" t="n">
        <v>46307</v>
      </c>
      <c r="AD410" s="18" t="n">
        <v>46386</v>
      </c>
      <c r="AE410" s="13" t="s">
        <v>1752</v>
      </c>
    </row>
    <row r="411" customFormat="false" ht="15.75" hidden="false" customHeight="true" outlineLevel="0" collapsed="false">
      <c r="A411" s="12" t="n">
        <v>22979</v>
      </c>
      <c r="B411" s="13" t="s">
        <v>1856</v>
      </c>
      <c r="C411" s="14" t="n">
        <v>46307</v>
      </c>
      <c r="D411" s="13" t="s">
        <v>1721</v>
      </c>
      <c r="E411" s="13" t="s">
        <v>47</v>
      </c>
      <c r="F411" s="24" t="s">
        <v>1857</v>
      </c>
      <c r="G411" s="13" t="s">
        <v>1127</v>
      </c>
      <c r="H411" s="13" t="s">
        <v>35</v>
      </c>
      <c r="I411" s="13" t="str">
        <f aca="false">IF(C411=J411,"NEW KONTRAK","RE-KONTRAK")</f>
        <v>NEW KONTRAK</v>
      </c>
      <c r="J411" s="16" t="n">
        <f aca="false" t="array" ref="J411:J411">IFERROR(INDEX(AC411:AE411,IF(COUNTA(AC411:AE411)=0,"",MAX((AC411:AE411&lt;&gt;"")*(COLUMN(AC411:AE411)-(COLUMN(AC411)))))-1),"")</f>
        <v>46307</v>
      </c>
      <c r="K411" s="16" t="n">
        <f aca="false" t="array" ref="K411:K411">IFERROR(INDEX(AC411:AE411,IF(COUNTA(AC411:AE411)=0,"",MAX((AC411:AE411&lt;&gt;"")*(COLUMN(AC411:AE411)-(COLUMN(AC411)-1))))-1),"")</f>
        <v>46386</v>
      </c>
      <c r="L411" s="17" t="str">
        <f aca="false" t="array" ref="L411:L411">IFERROR(INDEX(AC411:AE411,IF(COUNTA(AC411:AE411)=0,"",MAX((AC411:AE411&lt;&gt;"")*(COLUMN(AC411:AE411)-(COLUMN(AC411)-2))))-1),"")</f>
        <v>PRINTED</v>
      </c>
      <c r="M411" s="13" t="n">
        <f aca="true">K411-TODAY()</f>
        <v>62</v>
      </c>
      <c r="N411" s="18" t="s">
        <v>728</v>
      </c>
      <c r="O411" s="13" t="s">
        <v>1822</v>
      </c>
      <c r="P411" s="26" t="n">
        <v>5444909</v>
      </c>
      <c r="Q411" s="20" t="s">
        <v>1858</v>
      </c>
      <c r="R411" s="13" t="s">
        <v>52</v>
      </c>
      <c r="S411" s="25" t="n">
        <v>37768</v>
      </c>
      <c r="T411" s="13" t="s">
        <v>108</v>
      </c>
      <c r="U411" s="13" t="s">
        <v>1859</v>
      </c>
      <c r="V411" s="13" t="s">
        <v>42</v>
      </c>
      <c r="W411" s="13" t="s">
        <v>43</v>
      </c>
      <c r="X411" s="21" t="n">
        <v>81450381958</v>
      </c>
      <c r="Y411" s="22" t="str">
        <f aca="false">O411</f>
        <v>Assembling</v>
      </c>
      <c r="Z411" s="13" t="str">
        <f aca="false">IFERROR(__xludf.dummyfunction("if(BJ411="""","""",GOOGLETRANSLATE(BJ411,""auto"",""en""))"),"Assembling")</f>
        <v>Assembling</v>
      </c>
      <c r="AA411" s="23" t="str">
        <f aca="false">IF(C411="","", CHOOSE(MONTH(C411),"January","February","March","April","May","June","July","August","September","October","November","December")&amp;" "&amp;DAY(C411)&amp;MID("thstndrdth",MIN(9,2*RIGHT(DAY(C411))*(MOD(DAY(C411)-11,100)&gt;2)+1),2)&amp;","&amp;TEXT(C411," yyyy"))</f>
        <v>October 12th,2026</v>
      </c>
      <c r="AB411" s="15" t="str">
        <f aca="true">IF(S411="","",DATEDIF(S411,TODAY(),"Y")&amp;" Tahun, "&amp;DATEDIF(S411,TODAY(),"YM")&amp;" Bulan, "&amp;DATEDIF(S411,TODAY(),"MD")&amp;" Hari")</f>
        <v>23 Tahun, 5 Bulan, 2 Hari</v>
      </c>
      <c r="AC411" s="14" t="n">
        <v>46307</v>
      </c>
      <c r="AD411" s="18" t="n">
        <v>46386</v>
      </c>
      <c r="AE411" s="13" t="s">
        <v>1752</v>
      </c>
    </row>
    <row r="412" customFormat="false" ht="15.75" hidden="false" customHeight="true" outlineLevel="0" collapsed="false">
      <c r="A412" s="12" t="n">
        <v>22862</v>
      </c>
      <c r="B412" s="13" t="s">
        <v>1860</v>
      </c>
      <c r="C412" s="14" t="n">
        <v>46279</v>
      </c>
      <c r="D412" s="13" t="s">
        <v>1721</v>
      </c>
      <c r="E412" s="13" t="s">
        <v>47</v>
      </c>
      <c r="F412" s="24" t="s">
        <v>1861</v>
      </c>
      <c r="G412" s="13" t="s">
        <v>1452</v>
      </c>
      <c r="H412" s="13" t="s">
        <v>35</v>
      </c>
      <c r="I412" s="13" t="str">
        <f aca="false">IF(C412=J412,"NEW KONTRAK","RE-KONTRAK")</f>
        <v>NEW KONTRAK</v>
      </c>
      <c r="J412" s="16" t="n">
        <f aca="false" t="array" ref="J412:J412">IFERROR(INDEX(AC412:AE412,IF(COUNTA(AC412:AE412)=0,"",MAX((AC412:AE412&lt;&gt;"")*(COLUMN(AC412:AE412)-(COLUMN(AC412)))))-1),"")</f>
        <v>46279</v>
      </c>
      <c r="K412" s="16" t="n">
        <f aca="false" t="array" ref="K412:K412">IFERROR(INDEX(AC412:AE412,IF(COUNTA(AC412:AE412)=0,"",MAX((AC412:AE412&lt;&gt;"")*(COLUMN(AC412:AE412)-(COLUMN(AC412)-1))))-1),"")</f>
        <v>46386</v>
      </c>
      <c r="L412" s="17" t="str">
        <f aca="false" t="array" ref="L412:L412">IFERROR(INDEX(AC412:AE412,IF(COUNTA(AC412:AE412)=0,"",MAX((AC412:AE412&lt;&gt;"")*(COLUMN(AC412:AE412)-(COLUMN(AC412)-2))))-1),"")</f>
        <v>ARCHIVED</v>
      </c>
      <c r="M412" s="13" t="n">
        <f aca="true">K412-TODAY()</f>
        <v>62</v>
      </c>
      <c r="N412" s="18" t="s">
        <v>728</v>
      </c>
      <c r="O412" s="13" t="s">
        <v>1755</v>
      </c>
      <c r="P412" s="26" t="n">
        <v>5444909</v>
      </c>
      <c r="Q412" s="20" t="s">
        <v>1862</v>
      </c>
      <c r="R412" s="48" t="s">
        <v>826</v>
      </c>
      <c r="S412" s="25" t="n">
        <v>38121</v>
      </c>
      <c r="T412" s="13" t="s">
        <v>108</v>
      </c>
      <c r="U412" s="13" t="s">
        <v>1863</v>
      </c>
      <c r="V412" s="13" t="s">
        <v>42</v>
      </c>
      <c r="W412" s="28" t="s">
        <v>43</v>
      </c>
      <c r="X412" s="21" t="n">
        <v>88803242532</v>
      </c>
      <c r="Y412" s="22" t="str">
        <f aca="false">O412</f>
        <v>Im.Operator</v>
      </c>
      <c r="Z412" s="13" t="str">
        <f aca="false">IFERROR(__xludf.dummyfunction("if(BJ412="""","""",GOOGLETRANSLATE(BJ412,""auto"",""en""))"),"Im.Operator")</f>
        <v>Im.Operator</v>
      </c>
      <c r="AA412" s="23" t="str">
        <f aca="false">IF(C412="","", CHOOSE(MONTH(C412),"January","February","March","April","May","June","July","August","September","October","November","December")&amp;" "&amp;DAY(C412)&amp;MID("thstndrdth",MIN(9,2*RIGHT(DAY(C412))*(MOD(DAY(C412)-11,100)&gt;2)+1),2)&amp;","&amp;TEXT(C412," yyyy"))</f>
        <v>September 14th,2026</v>
      </c>
      <c r="AB412" s="15" t="str">
        <f aca="true">IF(S412="","",DATEDIF(S412,TODAY(),"Y")&amp;" Tahun, "&amp;DATEDIF(S412,TODAY(),"YM")&amp;" Bulan, "&amp;DATEDIF(S412,TODAY(),"MD")&amp;" Hari")</f>
        <v>22 Tahun, 5 Bulan, 15 Hari</v>
      </c>
      <c r="AC412" s="14" t="n">
        <v>46279</v>
      </c>
      <c r="AD412" s="18" t="n">
        <v>46386</v>
      </c>
      <c r="AE412" s="13" t="s">
        <v>44</v>
      </c>
    </row>
    <row r="413" customFormat="false" ht="15.75" hidden="false" customHeight="true" outlineLevel="0" collapsed="false">
      <c r="A413" s="12" t="n">
        <v>22692</v>
      </c>
      <c r="B413" s="13" t="s">
        <v>1864</v>
      </c>
      <c r="C413" s="14" t="n">
        <v>46251</v>
      </c>
      <c r="D413" s="13" t="s">
        <v>1721</v>
      </c>
      <c r="E413" s="13" t="s">
        <v>47</v>
      </c>
      <c r="F413" s="24" t="s">
        <v>1865</v>
      </c>
      <c r="G413" s="13" t="s">
        <v>1452</v>
      </c>
      <c r="H413" s="13" t="s">
        <v>35</v>
      </c>
      <c r="I413" s="13" t="str">
        <f aca="false">IF(C413=J413,"NEW KONTRAK","RE-KONTRAK")</f>
        <v>NEW KONTRAK</v>
      </c>
      <c r="J413" s="16" t="n">
        <f aca="false" t="array" ref="J413:J413">IFERROR(INDEX(AC413:AE413,IF(COUNTA(AC413:AE413)=0,"",MAX((AC413:AE413&lt;&gt;"")*(COLUMN(AC413:AE413)-(COLUMN(AC413)))))-1),"")</f>
        <v>46251</v>
      </c>
      <c r="K413" s="16" t="n">
        <f aca="false" t="array" ref="K413:K413">IFERROR(INDEX(AC413:AE413,IF(COUNTA(AC413:AE413)=0,"",MAX((AC413:AE413&lt;&gt;"")*(COLUMN(AC413:AE413)-(COLUMN(AC413)-1))))-1),"")</f>
        <v>46342</v>
      </c>
      <c r="L413" s="17" t="str">
        <f aca="false" t="array" ref="L413:L413">IFERROR(INDEX(AC413:AE413,IF(COUNTA(AC413:AE413)=0,"",MAX((AC413:AE413&lt;&gt;"")*(COLUMN(AC413:AE413)-(COLUMN(AC413)-2))))-1),"")</f>
        <v>KEMBALI</v>
      </c>
      <c r="M413" s="13" t="n">
        <f aca="true">K413-TODAY()</f>
        <v>18</v>
      </c>
      <c r="N413" s="18" t="s">
        <v>728</v>
      </c>
      <c r="O413" s="13" t="s">
        <v>1803</v>
      </c>
      <c r="P413" s="26" t="n">
        <v>5444909</v>
      </c>
      <c r="Q413" s="20" t="s">
        <v>1866</v>
      </c>
      <c r="R413" s="13" t="s">
        <v>52</v>
      </c>
      <c r="S413" s="25" t="n">
        <v>30292</v>
      </c>
      <c r="T413" s="13" t="s">
        <v>108</v>
      </c>
      <c r="U413" s="13" t="s">
        <v>1867</v>
      </c>
      <c r="V413" s="13" t="s">
        <v>42</v>
      </c>
      <c r="W413" s="13" t="s">
        <v>54</v>
      </c>
      <c r="X413" s="21" t="n">
        <v>85606533991</v>
      </c>
      <c r="Y413" s="22" t="str">
        <f aca="false">O413</f>
        <v>Injectition Moulding</v>
      </c>
      <c r="Z413" s="13" t="str">
        <f aca="false">IFERROR(__xludf.dummyfunction("if(BJ413="""","""",GOOGLETRANSLATE(BJ413,""auto"",""en""))"),"Injectition Moulding")</f>
        <v>Injectition Moulding</v>
      </c>
      <c r="AA413" s="23" t="str">
        <f aca="false">IF(C413="","", CHOOSE(MONTH(C413),"January","February","March","April","May","June","July","August","September","October","November","December")&amp;" "&amp;DAY(C413)&amp;MID("thstndrdth",MIN(9,2*RIGHT(DAY(C413))*(MOD(DAY(C413)-11,100)&gt;2)+1),2)&amp;","&amp;TEXT(C413," yyyy"))</f>
        <v>August 17th,2026</v>
      </c>
      <c r="AB413" s="15" t="str">
        <f aca="true">IF(S413="","",DATEDIF(S413,TODAY(),"Y")&amp;" Tahun, "&amp;DATEDIF(S413,TODAY(),"YM")&amp;" Bulan, "&amp;DATEDIF(S413,TODAY(),"MD")&amp;" Hari")</f>
        <v>43 Tahun, 10 Bulan, 22 Hari</v>
      </c>
      <c r="AC413" s="14" t="n">
        <v>46251</v>
      </c>
      <c r="AD413" s="18" t="n">
        <f aca="false">EDATE(AC413,3)-1</f>
        <v>46342</v>
      </c>
      <c r="AE413" s="13" t="s">
        <v>397</v>
      </c>
    </row>
    <row r="414" customFormat="false" ht="15.75" hidden="false" customHeight="true" outlineLevel="0" collapsed="false">
      <c r="A414" s="12" t="n">
        <v>9692</v>
      </c>
      <c r="B414" s="13" t="s">
        <v>1868</v>
      </c>
      <c r="C414" s="14" t="n">
        <v>44935</v>
      </c>
      <c r="D414" s="13" t="s">
        <v>1721</v>
      </c>
      <c r="E414" s="15" t="s">
        <v>47</v>
      </c>
      <c r="F414" s="15" t="str">
        <f aca="false">IFERROR(__xludf.dummyfunction("XLOOKUP(AJ414,IMPORTRANGE(""1XaInW9DU9nz21V0tYIfzFQ0He9kVQ_JF2mCXgZ3hqFA"",""REKAP ALL 2026 - Andika!G:G""),IMPORTRANGE(""1XaInW9DU9nz21V0tYIfzFQ0He9kVQ_JF2mCXgZ3hqFA"",""REKAP ALL 2026 - Andika!F:F""),"""",0)"),"23006030342")</f>
        <v>23006030342</v>
      </c>
      <c r="G414" s="13" t="s">
        <v>1869</v>
      </c>
      <c r="H414" s="13" t="s">
        <v>35</v>
      </c>
      <c r="I414" s="13" t="str">
        <f aca="false">IF(C414=J414,"NEW KONTRAK","RE-KONTRAK")</f>
        <v>RE-KONTRAK</v>
      </c>
      <c r="J414" s="16" t="n">
        <f aca="false" t="array" ref="J414:J414">IFERROR(INDEX(AC414:AE414,IF(COUNTA(AC414:AE414)=0,"",MAX((AC414:AE414&lt;&gt;"")*(COLUMN(AC414:AE414)-(COLUMN(AC414)))))-1),"")</f>
        <v>45659</v>
      </c>
      <c r="K414" s="16" t="n">
        <f aca="false" t="array" ref="K414:K414">IFERROR(INDEX(AC414:AE414,IF(COUNTA(AC414:AE414)=0,"",MAX((AC414:AE414&lt;&gt;"")*(COLUMN(AC414:AE414)-(COLUMN(AC414)-1))))-1),"")</f>
        <v>46021</v>
      </c>
      <c r="L414" s="17" t="str">
        <f aca="false" t="array" ref="L414:L414">IFERROR(INDEX(AC414:AE414,IF(COUNTA(AC414:AE414)=0,"",MAX((AC414:AE414&lt;&gt;"")*(COLUMN(AC414:AE414)-(COLUMN(AC414)-2))))-1),"")</f>
        <v>KEMBALI</v>
      </c>
      <c r="M414" s="13" t="n">
        <f aca="true">K414-TODAY()</f>
        <v>-303</v>
      </c>
      <c r="N414" s="18" t="s">
        <v>728</v>
      </c>
      <c r="O414" s="13" t="s">
        <v>1870</v>
      </c>
      <c r="P414" s="19" t="n">
        <v>5444909</v>
      </c>
      <c r="Q414" s="20" t="s">
        <v>1871</v>
      </c>
      <c r="R414" s="13" t="s">
        <v>78</v>
      </c>
      <c r="S414" s="14" t="n">
        <v>33370</v>
      </c>
      <c r="T414" s="13" t="s">
        <v>108</v>
      </c>
      <c r="U414" s="13" t="s">
        <v>1872</v>
      </c>
      <c r="V414" s="13" t="s">
        <v>42</v>
      </c>
      <c r="W414" s="13" t="s">
        <v>54</v>
      </c>
      <c r="X414" s="21" t="n">
        <v>85745905775</v>
      </c>
      <c r="Y414" s="22" t="str">
        <f aca="false">O414</f>
        <v>Bm Operator</v>
      </c>
      <c r="Z414" s="13" t="str">
        <f aca="false">IFERROR(__xludf.dummyfunction("if(BJ414="""","""",GOOGLETRANSLATE(BJ414,""auto"",""en""))"),"Bm Operator")</f>
        <v>Bm Operator</v>
      </c>
      <c r="AA414" s="23" t="str">
        <f aca="false">IF(C414="","", CHOOSE(MONTH(C414),"January","February","March","April","May","June","July","August","September","October","November","December")&amp;" "&amp;DAY(C414)&amp;MID("thstndrdth",MIN(9,2*RIGHT(DAY(C414))*(MOD(DAY(C414)-11,100)&gt;2)+1),2)&amp;","&amp;TEXT(C414," yyyy"))</f>
        <v>January 9th,2023</v>
      </c>
      <c r="AB414" s="15" t="str">
        <f aca="true">IF(S414="","",DATEDIF(S414,TODAY(),"Y")&amp;" Tahun, "&amp;DATEDIF(S414,TODAY(),"YM")&amp;" Bulan, "&amp;DATEDIF(S414,TODAY(),"MD")&amp;" Hari")</f>
        <v>35 Tahun, 5 Bulan, 17 Hari</v>
      </c>
      <c r="AC414" s="18" t="n">
        <v>45659</v>
      </c>
      <c r="AD414" s="18" t="n">
        <v>46021</v>
      </c>
      <c r="AE414" s="13" t="s">
        <v>397</v>
      </c>
    </row>
    <row r="415" customFormat="false" ht="15.75" hidden="false" customHeight="true" outlineLevel="0" collapsed="false">
      <c r="A415" s="12" t="n">
        <v>22856</v>
      </c>
      <c r="B415" s="13" t="s">
        <v>1873</v>
      </c>
      <c r="C415" s="14" t="n">
        <v>46279</v>
      </c>
      <c r="D415" s="13" t="s">
        <v>1721</v>
      </c>
      <c r="E415" s="13" t="s">
        <v>47</v>
      </c>
      <c r="F415" s="24" t="s">
        <v>1874</v>
      </c>
      <c r="G415" s="13" t="s">
        <v>1452</v>
      </c>
      <c r="H415" s="13" t="s">
        <v>35</v>
      </c>
      <c r="I415" s="13" t="str">
        <f aca="false">IF(C415=J415,"NEW KONTRAK","RE-KONTRAK")</f>
        <v>NEW KONTRAK</v>
      </c>
      <c r="J415" s="16" t="n">
        <f aca="false" t="array" ref="J415:J415">IFERROR(INDEX(AC415:AE415,IF(COUNTA(AC415:AE415)=0,"",MAX((AC415:AE415&lt;&gt;"")*(COLUMN(AC415:AE415)-(COLUMN(AC415)))))-1),"")</f>
        <v>46279</v>
      </c>
      <c r="K415" s="16" t="n">
        <f aca="false" t="array" ref="K415:K415">IFERROR(INDEX(AC415:AE415,IF(COUNTA(AC415:AE415)=0,"",MAX((AC415:AE415&lt;&gt;"")*(COLUMN(AC415:AE415)-(COLUMN(AC415)-1))))-1),"")</f>
        <v>46386</v>
      </c>
      <c r="L415" s="17" t="str">
        <f aca="false" t="array" ref="L415:L415">IFERROR(INDEX(AC415:AE415,IF(COUNTA(AC415:AE415)=0,"",MAX((AC415:AE415&lt;&gt;"")*(COLUMN(AC415:AE415)-(COLUMN(AC415)-2))))-1),"")</f>
        <v>ARCHIVED</v>
      </c>
      <c r="M415" s="13" t="n">
        <f aca="true">K415-TODAY()</f>
        <v>62</v>
      </c>
      <c r="N415" s="18" t="s">
        <v>728</v>
      </c>
      <c r="O415" s="13" t="s">
        <v>1755</v>
      </c>
      <c r="P415" s="26" t="n">
        <v>5444909</v>
      </c>
      <c r="Q415" s="20" t="s">
        <v>1875</v>
      </c>
      <c r="R415" s="48" t="s">
        <v>65</v>
      </c>
      <c r="S415" s="25" t="n">
        <v>32689</v>
      </c>
      <c r="T415" s="13" t="s">
        <v>108</v>
      </c>
      <c r="U415" s="13" t="s">
        <v>1876</v>
      </c>
      <c r="V415" s="13" t="s">
        <v>42</v>
      </c>
      <c r="W415" s="28" t="s">
        <v>54</v>
      </c>
      <c r="X415" s="30" t="n">
        <v>82155940781</v>
      </c>
      <c r="Y415" s="22" t="str">
        <f aca="false">O415</f>
        <v>Im.Operator</v>
      </c>
      <c r="Z415" s="13" t="str">
        <f aca="false">IFERROR(__xludf.dummyfunction("if(BJ415="""","""",GOOGLETRANSLATE(BJ415,""auto"",""en""))"),"Im.Operator")</f>
        <v>Im.Operator</v>
      </c>
      <c r="AA415" s="23" t="str">
        <f aca="false">IF(C415="","", CHOOSE(MONTH(C415),"January","February","March","April","May","June","July","August","September","October","November","December")&amp;" "&amp;DAY(C415)&amp;MID("thstndrdth",MIN(9,2*RIGHT(DAY(C415))*(MOD(DAY(C415)-11,100)&gt;2)+1),2)&amp;","&amp;TEXT(C415," yyyy"))</f>
        <v>September 14th,2026</v>
      </c>
      <c r="AB415" s="15" t="str">
        <f aca="true">IF(S415="","",DATEDIF(S415,TODAY(),"Y")&amp;" Tahun, "&amp;DATEDIF(S415,TODAY(),"YM")&amp;" Bulan, "&amp;DATEDIF(S415,TODAY(),"MD")&amp;" Hari")</f>
        <v>37 Tahun, 3 Bulan, 29 Hari</v>
      </c>
      <c r="AC415" s="14" t="n">
        <v>46279</v>
      </c>
      <c r="AD415" s="18" t="n">
        <v>46386</v>
      </c>
      <c r="AE415" s="13" t="s">
        <v>44</v>
      </c>
    </row>
    <row r="416" customFormat="false" ht="15.75" hidden="false" customHeight="true" outlineLevel="0" collapsed="false">
      <c r="A416" s="12" t="n">
        <v>2252</v>
      </c>
      <c r="B416" s="13" t="s">
        <v>1877</v>
      </c>
      <c r="C416" s="14" t="n">
        <v>43549</v>
      </c>
      <c r="D416" s="13" t="s">
        <v>1721</v>
      </c>
      <c r="E416" s="15" t="s">
        <v>102</v>
      </c>
      <c r="F416" s="15" t="str">
        <f aca="false">IFERROR(__xludf.dummyfunction("XLOOKUP(AJ416,IMPORTRANGE(""1XaInW9DU9nz21V0tYIfzFQ0He9kVQ_JF2mCXgZ3hqFA"",""REKAP ALL 2026 - Andika!G:G""),IMPORTRANGE(""1XaInW9DU9nz21V0tYIfzFQ0He9kVQ_JF2mCXgZ3hqFA"",""REKAP ALL 2026 - Andika!F:F""),"""",0)"),"21024147171")</f>
        <v>21024147171</v>
      </c>
      <c r="G416" s="13" t="s">
        <v>1878</v>
      </c>
      <c r="H416" s="13" t="s">
        <v>35</v>
      </c>
      <c r="I416" s="13" t="str">
        <f aca="false">IF(C416=J416,"NEW KONTRAK","RE-KONTRAK")</f>
        <v>RE-KONTRAK</v>
      </c>
      <c r="J416" s="16" t="n">
        <f aca="false" t="array" ref="J416:J416">IFERROR(INDEX(AC416:AE416,IF(COUNTA(AC416:AE416)=0,"",MAX((AC416:AE416&lt;&gt;"")*(COLUMN(AC416:AE416)-(COLUMN(AC416)))))-1),"")</f>
        <v>45659</v>
      </c>
      <c r="K416" s="16" t="n">
        <f aca="false" t="array" ref="K416:K416">IFERROR(INDEX(AC416:AE416,IF(COUNTA(AC416:AE416)=0,"",MAX((AC416:AE416&lt;&gt;"")*(COLUMN(AC416:AE416)-(COLUMN(AC416)-1))))-1),"")</f>
        <v>46015</v>
      </c>
      <c r="L416" s="17" t="str">
        <f aca="false" t="array" ref="L416:L416">IFERROR(INDEX(AC416:AE416,IF(COUNTA(AC416:AE416)=0,"",MAX((AC416:AE416&lt;&gt;"")*(COLUMN(AC416:AE416)-(COLUMN(AC416)-2))))-1),"")</f>
        <v>ARCHIVED</v>
      </c>
      <c r="M416" s="13" t="n">
        <f aca="true">K416-TODAY()</f>
        <v>-309</v>
      </c>
      <c r="N416" s="18" t="s">
        <v>728</v>
      </c>
      <c r="O416" s="13" t="s">
        <v>1738</v>
      </c>
      <c r="P416" s="19" t="n">
        <v>5444909</v>
      </c>
      <c r="Q416" s="20" t="s">
        <v>1879</v>
      </c>
      <c r="R416" s="13" t="s">
        <v>78</v>
      </c>
      <c r="S416" s="14" t="n">
        <v>35747</v>
      </c>
      <c r="T416" s="13" t="s">
        <v>108</v>
      </c>
      <c r="U416" s="13" t="s">
        <v>1880</v>
      </c>
      <c r="V416" s="13" t="s">
        <v>42</v>
      </c>
      <c r="W416" s="13" t="s">
        <v>43</v>
      </c>
      <c r="X416" s="21" t="n">
        <v>81559613634</v>
      </c>
      <c r="Y416" s="22" t="str">
        <f aca="false">O416</f>
        <v>IM Operator</v>
      </c>
      <c r="Z416" s="13" t="str">
        <f aca="false">IFERROR(__xludf.dummyfunction("if(BJ416="""","""",GOOGLETRANSLATE(BJ416,""auto"",""en""))"),"IM Operator")</f>
        <v>IM Operator</v>
      </c>
      <c r="AA416" s="23" t="str">
        <f aca="false">IF(C416="","", CHOOSE(MONTH(C416),"January","February","March","April","May","June","July","August","September","October","November","December")&amp;" "&amp;DAY(C416)&amp;MID("thstndrdth",MIN(9,2*RIGHT(DAY(C416))*(MOD(DAY(C416)-11,100)&gt;2)+1),2)&amp;","&amp;TEXT(C416," yyyy"))</f>
        <v>March 25th,2019</v>
      </c>
      <c r="AB416" s="15" t="str">
        <f aca="true">IF(S416="","",DATEDIF(S416,TODAY(),"Y")&amp;" Tahun, "&amp;DATEDIF(S416,TODAY(),"YM")&amp;" Bulan, "&amp;DATEDIF(S416,TODAY(),"MD")&amp;" Hari")</f>
        <v>28 Tahun, 11 Bulan, 16 Hari</v>
      </c>
      <c r="AC416" s="18" t="n">
        <v>45659</v>
      </c>
      <c r="AD416" s="18" t="n">
        <v>46015</v>
      </c>
      <c r="AE416" s="18" t="s">
        <v>44</v>
      </c>
    </row>
    <row r="417" customFormat="false" ht="15.75" hidden="false" customHeight="true" outlineLevel="0" collapsed="false">
      <c r="A417" s="12" t="n">
        <v>2253</v>
      </c>
      <c r="B417" s="13" t="s">
        <v>1881</v>
      </c>
      <c r="C417" s="14" t="n">
        <v>43990</v>
      </c>
      <c r="D417" s="13" t="s">
        <v>1721</v>
      </c>
      <c r="E417" s="15" t="s">
        <v>789</v>
      </c>
      <c r="F417" s="15" t="str">
        <f aca="false">IFERROR(__xludf.dummyfunction("XLOOKUP(AJ417,IMPORTRANGE(""1XaInW9DU9nz21V0tYIfzFQ0He9kVQ_JF2mCXgZ3hqFA"",""REKAP ALL 2026 - Andika!G:G""),IMPORTRANGE(""1XaInW9DU9nz21V0tYIfzFQ0He9kVQ_JF2mCXgZ3hqFA"",""REKAP ALL 2026 - Andika!F:F""),"""",0)"),"21096162033")</f>
        <v>21096162033</v>
      </c>
      <c r="G417" s="13" t="s">
        <v>1882</v>
      </c>
      <c r="H417" s="13" t="s">
        <v>35</v>
      </c>
      <c r="I417" s="13" t="str">
        <f aca="false">IF(C417=J417,"NEW KONTRAK","RE-KONTRAK")</f>
        <v>RE-KONTRAK</v>
      </c>
      <c r="J417" s="16" t="n">
        <f aca="false" t="array" ref="J417:J417">IFERROR(INDEX(AC417:AE417,IF(COUNTA(AC417:AE417)=0,"",MAX((AC417:AE417&lt;&gt;"")*(COLUMN(AC417:AE417)-(COLUMN(AC417)))))-1),"")</f>
        <v>45659</v>
      </c>
      <c r="K417" s="16" t="n">
        <f aca="false" t="array" ref="K417:K417">IFERROR(INDEX(AC417:AE417,IF(COUNTA(AC417:AE417)=0,"",MAX((AC417:AE417&lt;&gt;"")*(COLUMN(AC417:AE417)-(COLUMN(AC417)-1))))-1),"")</f>
        <v>46015</v>
      </c>
      <c r="L417" s="17" t="str">
        <f aca="false" t="array" ref="L417:L417">IFERROR(INDEX(AC417:AE417,IF(COUNTA(AC417:AE417)=0,"",MAX((AC417:AE417&lt;&gt;"")*(COLUMN(AC417:AE417)-(COLUMN(AC417)-2))))-1),"")</f>
        <v>ARCHIVED</v>
      </c>
      <c r="M417" s="13" t="n">
        <f aca="true">K417-TODAY()</f>
        <v>-309</v>
      </c>
      <c r="N417" s="18" t="s">
        <v>728</v>
      </c>
      <c r="O417" s="13" t="s">
        <v>1765</v>
      </c>
      <c r="P417" s="19" t="n">
        <v>5444909</v>
      </c>
      <c r="Q417" s="20" t="s">
        <v>1883</v>
      </c>
      <c r="R417" s="13" t="s">
        <v>52</v>
      </c>
      <c r="S417" s="14" t="n">
        <v>36253</v>
      </c>
      <c r="T417" s="13" t="s">
        <v>108</v>
      </c>
      <c r="U417" s="13" t="s">
        <v>1884</v>
      </c>
      <c r="V417" s="13" t="s">
        <v>42</v>
      </c>
      <c r="W417" s="13" t="s">
        <v>43</v>
      </c>
      <c r="X417" s="21" t="n">
        <v>89618050815</v>
      </c>
      <c r="Y417" s="22" t="str">
        <f aca="false">O417</f>
        <v>Assy Operator</v>
      </c>
      <c r="Z417" s="13" t="str">
        <f aca="false">IFERROR(__xludf.dummyfunction("if(BJ417="""","""",GOOGLETRANSLATE(BJ417,""auto"",""en""))"),"Assy Operator")</f>
        <v>Assy Operator</v>
      </c>
      <c r="AA417" s="23" t="str">
        <f aca="false">IF(C417="","", CHOOSE(MONTH(C417),"January","February","March","April","May","June","July","August","September","October","November","December")&amp;" "&amp;DAY(C417)&amp;MID("thstndrdth",MIN(9,2*RIGHT(DAY(C417))*(MOD(DAY(C417)-11,100)&gt;2)+1),2)&amp;","&amp;TEXT(C417," yyyy"))</f>
        <v>June 8th,2020</v>
      </c>
      <c r="AB417" s="15" t="str">
        <f aca="true">IF(S417="","",DATEDIF(S417,TODAY(),"Y")&amp;" Tahun, "&amp;DATEDIF(S417,TODAY(),"YM")&amp;" Bulan, "&amp;DATEDIF(S417,TODAY(),"MD")&amp;" Hari")</f>
        <v>27 Tahun, 6 Bulan, 26 Hari</v>
      </c>
      <c r="AC417" s="18" t="n">
        <v>45659</v>
      </c>
      <c r="AD417" s="18" t="n">
        <v>46015</v>
      </c>
      <c r="AE417" s="18" t="s">
        <v>44</v>
      </c>
    </row>
    <row r="418" customFormat="false" ht="15.75" hidden="false" customHeight="true" outlineLevel="0" collapsed="false">
      <c r="A418" s="12" t="n">
        <v>22980</v>
      </c>
      <c r="B418" s="13" t="s">
        <v>1885</v>
      </c>
      <c r="C418" s="14" t="n">
        <v>46307</v>
      </c>
      <c r="D418" s="13" t="s">
        <v>1721</v>
      </c>
      <c r="E418" s="13" t="s">
        <v>47</v>
      </c>
      <c r="F418" s="24" t="s">
        <v>1886</v>
      </c>
      <c r="G418" s="13" t="s">
        <v>1127</v>
      </c>
      <c r="H418" s="13" t="s">
        <v>35</v>
      </c>
      <c r="I418" s="13" t="str">
        <f aca="false">IF(C418=J418,"NEW KONTRAK","RE-KONTRAK")</f>
        <v>NEW KONTRAK</v>
      </c>
      <c r="J418" s="16" t="n">
        <f aca="false" t="array" ref="J418:J418">IFERROR(INDEX(AC418:AE418,IF(COUNTA(AC418:AE418)=0,"",MAX((AC418:AE418&lt;&gt;"")*(COLUMN(AC418:AE418)-(COLUMN(AC418)))))-1),"")</f>
        <v>46307</v>
      </c>
      <c r="K418" s="16" t="n">
        <f aca="false" t="array" ref="K418:K418">IFERROR(INDEX(AC418:AE418,IF(COUNTA(AC418:AE418)=0,"",MAX((AC418:AE418&lt;&gt;"")*(COLUMN(AC418:AE418)-(COLUMN(AC418)-1))))-1),"")</f>
        <v>46386</v>
      </c>
      <c r="L418" s="17" t="str">
        <f aca="false" t="array" ref="L418:L418">IFERROR(INDEX(AC418:AE418,IF(COUNTA(AC418:AE418)=0,"",MAX((AC418:AE418&lt;&gt;"")*(COLUMN(AC418:AE418)-(COLUMN(AC418)-2))))-1),"")</f>
        <v>PRINTED</v>
      </c>
      <c r="M418" s="13" t="n">
        <f aca="true">K418-TODAY()</f>
        <v>62</v>
      </c>
      <c r="N418" s="18" t="s">
        <v>728</v>
      </c>
      <c r="O418" s="13" t="s">
        <v>1738</v>
      </c>
      <c r="P418" s="26" t="n">
        <v>5444909</v>
      </c>
      <c r="Q418" s="20" t="s">
        <v>1887</v>
      </c>
      <c r="R418" s="13" t="s">
        <v>52</v>
      </c>
      <c r="S418" s="25" t="n">
        <v>34622</v>
      </c>
      <c r="T418" s="13" t="s">
        <v>108</v>
      </c>
      <c r="U418" s="13" t="s">
        <v>1888</v>
      </c>
      <c r="V418" s="13" t="s">
        <v>42</v>
      </c>
      <c r="W418" s="13" t="s">
        <v>54</v>
      </c>
      <c r="X418" s="21" t="n">
        <v>8998840915</v>
      </c>
      <c r="Y418" s="22" t="str">
        <f aca="false">O418</f>
        <v>IM Operator</v>
      </c>
      <c r="Z418" s="13" t="str">
        <f aca="false">IFERROR(__xludf.dummyfunction("if(BJ418="""","""",GOOGLETRANSLATE(BJ418,""auto"",""en""))"),"IM Operator")</f>
        <v>IM Operator</v>
      </c>
      <c r="AA418" s="23" t="str">
        <f aca="false">IF(C418="","", CHOOSE(MONTH(C418),"January","February","March","April","May","June","July","August","September","October","November","December")&amp;" "&amp;DAY(C418)&amp;MID("thstndrdth",MIN(9,2*RIGHT(DAY(C418))*(MOD(DAY(C418)-11,100)&gt;2)+1),2)&amp;","&amp;TEXT(C418," yyyy"))</f>
        <v>October 12th,2026</v>
      </c>
      <c r="AB418" s="15" t="str">
        <f aca="true">IF(S418="","",DATEDIF(S418,TODAY(),"Y")&amp;" Tahun, "&amp;DATEDIF(S418,TODAY(),"YM")&amp;" Bulan, "&amp;DATEDIF(S418,TODAY(),"MD")&amp;" Hari")</f>
        <v>32 Tahun, 0 Bulan, 14 Hari</v>
      </c>
      <c r="AC418" s="14" t="n">
        <v>46307</v>
      </c>
      <c r="AD418" s="18" t="n">
        <v>46386</v>
      </c>
      <c r="AE418" s="13" t="s">
        <v>1752</v>
      </c>
    </row>
    <row r="419" customFormat="false" ht="15.75" hidden="false" customHeight="true" outlineLevel="0" collapsed="false">
      <c r="A419" s="12" t="n">
        <v>2257</v>
      </c>
      <c r="B419" s="13" t="s">
        <v>1889</v>
      </c>
      <c r="C419" s="14" t="n">
        <v>43467</v>
      </c>
      <c r="D419" s="13" t="s">
        <v>1721</v>
      </c>
      <c r="E419" s="15" t="s">
        <v>33</v>
      </c>
      <c r="F419" s="24" t="s">
        <v>1890</v>
      </c>
      <c r="G419" s="13" t="s">
        <v>1891</v>
      </c>
      <c r="H419" s="13" t="s">
        <v>35</v>
      </c>
      <c r="I419" s="13" t="str">
        <f aca="false">IF(C419=J419,"NEW KONTRAK","RE-KONTRAK")</f>
        <v>RE-KONTRAK</v>
      </c>
      <c r="J419" s="16" t="n">
        <f aca="false" t="array" ref="J419:J419">IFERROR(INDEX(AC419:AE419,IF(COUNTA(AC419:AE419)=0,"",MAX((AC419:AE419&lt;&gt;"")*(COLUMN(AC419:AE419)-(COLUMN(AC419)))))-1),"")</f>
        <v>45659</v>
      </c>
      <c r="K419" s="16" t="n">
        <f aca="false" t="array" ref="K419:K419">IFERROR(INDEX(AC419:AE419,IF(COUNTA(AC419:AE419)=0,"",MAX((AC419:AE419&lt;&gt;"")*(COLUMN(AC419:AE419)-(COLUMN(AC419)-1))))-1),"")</f>
        <v>46015</v>
      </c>
      <c r="L419" s="17" t="str">
        <f aca="false" t="array" ref="L419:L419">IFERROR(INDEX(AC419:AE419,IF(COUNTA(AC419:AE419)=0,"",MAX((AC419:AE419&lt;&gt;"")*(COLUMN(AC419:AE419)-(COLUMN(AC419)-2))))-1),"")</f>
        <v>ARCHIVED</v>
      </c>
      <c r="M419" s="13" t="n">
        <f aca="true">K419-TODAY()</f>
        <v>-309</v>
      </c>
      <c r="N419" s="18" t="s">
        <v>728</v>
      </c>
      <c r="O419" s="13" t="s">
        <v>1738</v>
      </c>
      <c r="P419" s="19" t="n">
        <v>5444909</v>
      </c>
      <c r="Q419" s="20" t="s">
        <v>1892</v>
      </c>
      <c r="R419" s="13" t="s">
        <v>958</v>
      </c>
      <c r="S419" s="14" t="n">
        <v>34275</v>
      </c>
      <c r="T419" s="13" t="s">
        <v>108</v>
      </c>
      <c r="U419" s="13" t="s">
        <v>1893</v>
      </c>
      <c r="V419" s="13" t="s">
        <v>42</v>
      </c>
      <c r="W419" s="13" t="s">
        <v>54</v>
      </c>
      <c r="X419" s="21" t="n">
        <v>82139096006</v>
      </c>
      <c r="Y419" s="22" t="str">
        <f aca="false">O419</f>
        <v>IM Operator</v>
      </c>
      <c r="Z419" s="13" t="str">
        <f aca="false">IFERROR(__xludf.dummyfunction("if(BJ419="""","""",GOOGLETRANSLATE(BJ419,""auto"",""en""))"),"IM Operator")</f>
        <v>IM Operator</v>
      </c>
      <c r="AA419" s="23" t="str">
        <f aca="false">IF(C419="","", CHOOSE(MONTH(C419),"January","February","March","April","May","June","July","August","September","October","November","December")&amp;" "&amp;DAY(C419)&amp;MID("thstndrdth",MIN(9,2*RIGHT(DAY(C419))*(MOD(DAY(C419)-11,100)&gt;2)+1),2)&amp;","&amp;TEXT(C419," yyyy"))</f>
        <v>January 2nd,2019</v>
      </c>
      <c r="AB419" s="15" t="str">
        <f aca="true">IF(S419="","",DATEDIF(S419,TODAY(),"Y")&amp;" Tahun, "&amp;DATEDIF(S419,TODAY(),"YM")&amp;" Bulan, "&amp;DATEDIF(S419,TODAY(),"MD")&amp;" Hari")</f>
        <v>32 Tahun, 11 Bulan, 27 Hari</v>
      </c>
      <c r="AC419" s="18" t="n">
        <v>45659</v>
      </c>
      <c r="AD419" s="18" t="n">
        <v>46015</v>
      </c>
      <c r="AE419" s="18" t="s">
        <v>44</v>
      </c>
    </row>
    <row r="420" customFormat="false" ht="15.75" hidden="false" customHeight="true" outlineLevel="0" collapsed="false">
      <c r="A420" s="12" t="n">
        <v>15626</v>
      </c>
      <c r="B420" s="13" t="s">
        <v>1894</v>
      </c>
      <c r="C420" s="14" t="n">
        <v>45446</v>
      </c>
      <c r="D420" s="13" t="s">
        <v>1721</v>
      </c>
      <c r="E420" s="15" t="s">
        <v>47</v>
      </c>
      <c r="F420" s="15" t="str">
        <f aca="false">IFERROR(__xludf.dummyfunction("XLOOKUP(AJ420,IMPORTRANGE(""1XaInW9DU9nz21V0tYIfzFQ0He9kVQ_JF2mCXgZ3hqFA"",""REKAP ALL 2026 - Andika!G:G""),IMPORTRANGE(""1XaInW9DU9nz21V0tYIfzFQ0He9kVQ_JF2mCXgZ3hqFA"",""REKAP ALL 2026 - Andika!F:F""),"""",0)"),"24091262543")</f>
        <v>24091262543</v>
      </c>
      <c r="G420" s="15" t="s">
        <v>1895</v>
      </c>
      <c r="H420" s="13" t="s">
        <v>35</v>
      </c>
      <c r="I420" s="13" t="str">
        <f aca="false">IF(C420=J420,"NEW KONTRAK","RE-KONTRAK")</f>
        <v>RE-KONTRAK</v>
      </c>
      <c r="J420" s="16" t="n">
        <f aca="false" t="array" ref="J420:J420">IFERROR(INDEX(AC420:AE420,IF(COUNTA(AC420:AE420)=0,"",MAX((AC420:AE420&lt;&gt;"")*(COLUMN(AC420:AE420)-(COLUMN(AC420)))))-1),"")</f>
        <v>45659</v>
      </c>
      <c r="K420" s="16" t="n">
        <f aca="false" t="array" ref="K420:K420">IFERROR(INDEX(AC420:AE420,IF(COUNTA(AC420:AE420)=0,"",MAX((AC420:AE420&lt;&gt;"")*(COLUMN(AC420:AE420)-(COLUMN(AC420)-1))))-1),"")</f>
        <v>46021</v>
      </c>
      <c r="L420" s="17" t="str">
        <f aca="false" t="array" ref="L420:L420">IFERROR(INDEX(AC420:AE420,IF(COUNTA(AC420:AE420)=0,"",MAX((AC420:AE420&lt;&gt;"")*(COLUMN(AC420:AE420)-(COLUMN(AC420)-2))))-1),"")</f>
        <v>KEMBALI</v>
      </c>
      <c r="M420" s="13" t="n">
        <f aca="true">K420-TODAY()</f>
        <v>-303</v>
      </c>
      <c r="N420" s="18" t="s">
        <v>728</v>
      </c>
      <c r="O420" s="13" t="s">
        <v>1870</v>
      </c>
      <c r="P420" s="19" t="n">
        <v>5444909</v>
      </c>
      <c r="Q420" s="20" t="s">
        <v>1896</v>
      </c>
      <c r="R420" s="13" t="s">
        <v>401</v>
      </c>
      <c r="S420" s="14" t="n">
        <v>34753</v>
      </c>
      <c r="T420" s="13" t="s">
        <v>108</v>
      </c>
      <c r="U420" s="13" t="s">
        <v>1897</v>
      </c>
      <c r="V420" s="13" t="s">
        <v>42</v>
      </c>
      <c r="W420" s="13" t="s">
        <v>54</v>
      </c>
      <c r="X420" s="21" t="n">
        <v>81802314251</v>
      </c>
      <c r="Y420" s="22" t="str">
        <f aca="false">O420</f>
        <v>Bm Operator</v>
      </c>
      <c r="Z420" s="13" t="str">
        <f aca="false">IFERROR(__xludf.dummyfunction("if(BJ420="""","""",GOOGLETRANSLATE(BJ420,""auto"",""en""))"),"Bm Operator")</f>
        <v>Bm Operator</v>
      </c>
      <c r="AA420" s="23" t="str">
        <f aca="false">IF(C420="","", CHOOSE(MONTH(C420),"January","February","March","April","May","June","July","August","September","October","November","December")&amp;" "&amp;DAY(C420)&amp;MID("thstndrdth",MIN(9,2*RIGHT(DAY(C420))*(MOD(DAY(C420)-11,100)&gt;2)+1),2)&amp;","&amp;TEXT(C420," yyyy"))</f>
        <v>June 3rd,2024</v>
      </c>
      <c r="AB420" s="15" t="str">
        <f aca="true">IF(S420="","",DATEDIF(S420,TODAY(),"Y")&amp;" Tahun, "&amp;DATEDIF(S420,TODAY(),"YM")&amp;" Bulan, "&amp;DATEDIF(S420,TODAY(),"MD")&amp;" Hari")</f>
        <v>31 Tahun, 8 Bulan, 6 Hari</v>
      </c>
      <c r="AC420" s="18" t="n">
        <v>45659</v>
      </c>
      <c r="AD420" s="18" t="n">
        <v>46021</v>
      </c>
      <c r="AE420" s="13" t="s">
        <v>397</v>
      </c>
    </row>
    <row r="421" customFormat="false" ht="15.75" hidden="false" customHeight="true" outlineLevel="0" collapsed="false">
      <c r="A421" s="12" t="n">
        <v>22322</v>
      </c>
      <c r="B421" s="13" t="s">
        <v>1898</v>
      </c>
      <c r="C421" s="16" t="n">
        <v>46167.2916666667</v>
      </c>
      <c r="D421" s="13" t="s">
        <v>1721</v>
      </c>
      <c r="E421" s="15" t="s">
        <v>47</v>
      </c>
      <c r="F421" s="24" t="s">
        <v>1899</v>
      </c>
      <c r="G421" s="24" t="s">
        <v>57</v>
      </c>
      <c r="H421" s="13" t="s">
        <v>35</v>
      </c>
      <c r="I421" s="13" t="str">
        <f aca="false">IF(C421=J421,"NEW KONTRAK","RE-KONTRAK")</f>
        <v>NEW KONTRAK</v>
      </c>
      <c r="J421" s="16" t="n">
        <f aca="false" t="array" ref="J421:J421">IFERROR(INDEX(AC421:AE421,IF(COUNTA(AC421:AE421)=0,"",MAX((AC421:AE421&lt;&gt;"")*(COLUMN(AC421:AE421)-(COLUMN(AC421)))))-1),"")</f>
        <v>46167.2916666667</v>
      </c>
      <c r="K421" s="16" t="n">
        <f aca="false" t="array" ref="K421:K421">IFERROR(INDEX(AC421:AE421,IF(COUNTA(AC421:AE421)=0,"",MAX((AC421:AE421&lt;&gt;"")*(COLUMN(AC421:AE421)-(COLUMN(AC421)-1))))-1),"")</f>
        <v>46258</v>
      </c>
      <c r="L421" s="17" t="str">
        <f aca="false" t="array" ref="L421:L421">IFERROR(INDEX(AC421:AE421,IF(COUNTA(AC421:AE421)=0,"",MAX((AC421:AE421&lt;&gt;"")*(COLUMN(AC421:AE421)-(COLUMN(AC421)-2))))-1),"")</f>
        <v>KEMBALI</v>
      </c>
      <c r="M421" s="13" t="n">
        <f aca="true">K421-TODAY()</f>
        <v>-66</v>
      </c>
      <c r="N421" s="18" t="s">
        <v>728</v>
      </c>
      <c r="O421" s="13" t="s">
        <v>1900</v>
      </c>
      <c r="P421" s="19" t="n">
        <v>5444909</v>
      </c>
      <c r="Q421" s="20" t="s">
        <v>1901</v>
      </c>
      <c r="R421" s="13" t="s">
        <v>73</v>
      </c>
      <c r="S421" s="14" t="n">
        <v>37694</v>
      </c>
      <c r="T421" s="13" t="s">
        <v>108</v>
      </c>
      <c r="U421" s="13" t="s">
        <v>1902</v>
      </c>
      <c r="V421" s="13" t="s">
        <v>42</v>
      </c>
      <c r="W421" s="13" t="s">
        <v>43</v>
      </c>
      <c r="X421" s="21" t="n">
        <v>82139382429</v>
      </c>
      <c r="Y421" s="22" t="str">
        <f aca="false">O421</f>
        <v>Quality</v>
      </c>
      <c r="Z421" s="13" t="str">
        <f aca="false">IFERROR(__xludf.dummyfunction("if(BJ421="""","""",GOOGLETRANSLATE(BJ421,""auto"",""en""))"),"Quality")</f>
        <v>Quality</v>
      </c>
      <c r="AA421" s="23" t="str">
        <f aca="false">IF(C421="","", CHOOSE(MONTH(C421),"January","February","March","April","May","June","July","August","September","October","November","December")&amp;" "&amp;DAY(C421)&amp;MID("thstndrdth",MIN(9,2*RIGHT(DAY(C421))*(MOD(DAY(C421)-11,100)&gt;2)+1),2)&amp;","&amp;TEXT(C421," yyyy"))</f>
        <v>May 25th,2026</v>
      </c>
      <c r="AB421" s="15" t="str">
        <f aca="true">IF(S421="","",DATEDIF(S421,TODAY(),"Y")&amp;" Tahun, "&amp;DATEDIF(S421,TODAY(),"YM")&amp;" Bulan, "&amp;DATEDIF(S421,TODAY(),"MD")&amp;" Hari")</f>
        <v>23 Tahun, 7 Bulan, 15 Hari</v>
      </c>
      <c r="AC421" s="46" t="n">
        <v>46167.2916666667</v>
      </c>
      <c r="AD421" s="18" t="n">
        <f aca="false">EDATE(AC421,3)-1</f>
        <v>46258</v>
      </c>
      <c r="AE421" s="13" t="s">
        <v>397</v>
      </c>
    </row>
    <row r="422" customFormat="false" ht="15.75" hidden="false" customHeight="true" outlineLevel="0" collapsed="false">
      <c r="A422" s="12" t="n">
        <v>22719</v>
      </c>
      <c r="B422" s="13" t="s">
        <v>1903</v>
      </c>
      <c r="C422" s="14" t="n">
        <v>46251</v>
      </c>
      <c r="D422" s="13" t="s">
        <v>1721</v>
      </c>
      <c r="E422" s="13" t="s">
        <v>47</v>
      </c>
      <c r="F422" s="24" t="s">
        <v>1904</v>
      </c>
      <c r="G422" s="13" t="s">
        <v>1452</v>
      </c>
      <c r="H422" s="13" t="s">
        <v>35</v>
      </c>
      <c r="I422" s="13" t="str">
        <f aca="false">IF(C422=J422,"NEW KONTRAK","RE-KONTRAK")</f>
        <v>NEW KONTRAK</v>
      </c>
      <c r="J422" s="16" t="n">
        <f aca="false" t="array" ref="J422:J422">IFERROR(INDEX(AC422:AE422,IF(COUNTA(AC422:AE422)=0,"",MAX((AC422:AE422&lt;&gt;"")*(COLUMN(AC422:AE422)-(COLUMN(AC422)))))-1),"")</f>
        <v>46251</v>
      </c>
      <c r="K422" s="16" t="n">
        <f aca="false" t="array" ref="K422:K422">IFERROR(INDEX(AC422:AE422,IF(COUNTA(AC422:AE422)=0,"",MAX((AC422:AE422&lt;&gt;"")*(COLUMN(AC422:AE422)-(COLUMN(AC422)-1))))-1),"")</f>
        <v>46342</v>
      </c>
      <c r="L422" s="17" t="str">
        <f aca="false" t="array" ref="L422:L422">IFERROR(INDEX(AC422:AE422,IF(COUNTA(AC422:AE422)=0,"",MAX((AC422:AE422&lt;&gt;"")*(COLUMN(AC422:AE422)-(COLUMN(AC422)-2))))-1),"")</f>
        <v>ARCHIVED</v>
      </c>
      <c r="M422" s="13" t="n">
        <f aca="true">K422-TODAY()</f>
        <v>18</v>
      </c>
      <c r="N422" s="18" t="s">
        <v>728</v>
      </c>
      <c r="O422" s="13" t="s">
        <v>1905</v>
      </c>
      <c r="P422" s="26" t="n">
        <v>5444909</v>
      </c>
      <c r="Q422" s="20" t="s">
        <v>1906</v>
      </c>
      <c r="R422" s="13" t="s">
        <v>52</v>
      </c>
      <c r="S422" s="25" t="n">
        <v>36997</v>
      </c>
      <c r="T422" s="13" t="s">
        <v>40</v>
      </c>
      <c r="U422" s="13" t="s">
        <v>1907</v>
      </c>
      <c r="V422" s="13" t="s">
        <v>42</v>
      </c>
      <c r="W422" s="13" t="s">
        <v>43</v>
      </c>
      <c r="X422" s="21" t="n">
        <v>88226048368</v>
      </c>
      <c r="Y422" s="22" t="str">
        <f aca="false">O422</f>
        <v>Mpc</v>
      </c>
      <c r="Z422" s="13" t="str">
        <f aca="false">IFERROR(__xludf.dummyfunction("if(BJ422="""","""",GOOGLETRANSLATE(BJ422,""auto"",""en""))"),"Mpc")</f>
        <v>Mpc</v>
      </c>
      <c r="AA422" s="23" t="str">
        <f aca="false">IF(C422="","", CHOOSE(MONTH(C422),"January","February","March","April","May","June","July","August","September","October","November","December")&amp;" "&amp;DAY(C422)&amp;MID("thstndrdth",MIN(9,2*RIGHT(DAY(C422))*(MOD(DAY(C422)-11,100)&gt;2)+1),2)&amp;","&amp;TEXT(C422," yyyy"))</f>
        <v>August 17th,2026</v>
      </c>
      <c r="AB422" s="15" t="str">
        <f aca="true">IF(S422="","",DATEDIF(S422,TODAY(),"Y")&amp;" Tahun, "&amp;DATEDIF(S422,TODAY(),"YM")&amp;" Bulan, "&amp;DATEDIF(S422,TODAY(),"MD")&amp;" Hari")</f>
        <v>25 Tahun, 6 Bulan, 13 Hari</v>
      </c>
      <c r="AC422" s="14" t="n">
        <v>46251</v>
      </c>
      <c r="AD422" s="18" t="n">
        <f aca="false">EDATE(AC422,3)-1</f>
        <v>46342</v>
      </c>
      <c r="AE422" s="45" t="s">
        <v>44</v>
      </c>
    </row>
    <row r="423" customFormat="false" ht="15.75" hidden="false" customHeight="true" outlineLevel="0" collapsed="false">
      <c r="A423" s="12" t="n">
        <v>22686</v>
      </c>
      <c r="B423" s="13" t="s">
        <v>1908</v>
      </c>
      <c r="C423" s="14" t="n">
        <v>46251</v>
      </c>
      <c r="D423" s="13" t="s">
        <v>1721</v>
      </c>
      <c r="E423" s="13" t="s">
        <v>47</v>
      </c>
      <c r="F423" s="24" t="s">
        <v>1909</v>
      </c>
      <c r="G423" s="13" t="s">
        <v>1452</v>
      </c>
      <c r="H423" s="13" t="s">
        <v>35</v>
      </c>
      <c r="I423" s="13" t="str">
        <f aca="false">IF(C423=J423,"NEW KONTRAK","RE-KONTRAK")</f>
        <v>NEW KONTRAK</v>
      </c>
      <c r="J423" s="16" t="n">
        <f aca="false" t="array" ref="J423:J423">IFERROR(INDEX(AC423:AE423,IF(COUNTA(AC423:AE423)=0,"",MAX((AC423:AE423&lt;&gt;"")*(COLUMN(AC423:AE423)-(COLUMN(AC423)))))-1),"")</f>
        <v>46251</v>
      </c>
      <c r="K423" s="16" t="n">
        <f aca="false" t="array" ref="K423:K423">IFERROR(INDEX(AC423:AE423,IF(COUNTA(AC423:AE423)=0,"",MAX((AC423:AE423&lt;&gt;"")*(COLUMN(AC423:AE423)-(COLUMN(AC423)-1))))-1),"")</f>
        <v>46342</v>
      </c>
      <c r="L423" s="17" t="str">
        <f aca="false" t="array" ref="L423:L423">IFERROR(INDEX(AC423:AE423,IF(COUNTA(AC423:AE423)=0,"",MAX((AC423:AE423&lt;&gt;"")*(COLUMN(AC423:AE423)-(COLUMN(AC423)-2))))-1),"")</f>
        <v>KEMBALI</v>
      </c>
      <c r="M423" s="13" t="n">
        <f aca="true">K423-TODAY()</f>
        <v>18</v>
      </c>
      <c r="N423" s="18" t="s">
        <v>728</v>
      </c>
      <c r="O423" s="13" t="s">
        <v>1803</v>
      </c>
      <c r="P423" s="26" t="n">
        <v>5444909</v>
      </c>
      <c r="Q423" s="20" t="s">
        <v>1910</v>
      </c>
      <c r="R423" s="13" t="s">
        <v>227</v>
      </c>
      <c r="S423" s="25" t="n">
        <v>35247</v>
      </c>
      <c r="T423" s="13" t="s">
        <v>108</v>
      </c>
      <c r="U423" s="13" t="s">
        <v>1911</v>
      </c>
      <c r="V423" s="13" t="s">
        <v>42</v>
      </c>
      <c r="W423" s="13" t="s">
        <v>54</v>
      </c>
      <c r="X423" s="21" t="n">
        <v>87846027060</v>
      </c>
      <c r="Y423" s="22" t="str">
        <f aca="false">O423</f>
        <v>Injectition Moulding</v>
      </c>
      <c r="Z423" s="13" t="str">
        <f aca="false">IFERROR(__xludf.dummyfunction("if(BJ423="""","""",GOOGLETRANSLATE(BJ423,""auto"",""en""))"),"Injectition Moulding")</f>
        <v>Injectition Moulding</v>
      </c>
      <c r="AA423" s="23" t="str">
        <f aca="false">IF(C423="","", CHOOSE(MONTH(C423),"January","February","March","April","May","June","July","August","September","October","November","December")&amp;" "&amp;DAY(C423)&amp;MID("thstndrdth",MIN(9,2*RIGHT(DAY(C423))*(MOD(DAY(C423)-11,100)&gt;2)+1),2)&amp;","&amp;TEXT(C423," yyyy"))</f>
        <v>August 17th,2026</v>
      </c>
      <c r="AB423" s="15" t="str">
        <f aca="true">IF(S423="","",DATEDIF(S423,TODAY(),"Y")&amp;" Tahun, "&amp;DATEDIF(S423,TODAY(),"YM")&amp;" Bulan, "&amp;DATEDIF(S423,TODAY(),"MD")&amp;" Hari")</f>
        <v>30 Tahun, 3 Bulan, 28 Hari</v>
      </c>
      <c r="AC423" s="14" t="n">
        <v>46251</v>
      </c>
      <c r="AD423" s="18" t="n">
        <f aca="false">EDATE(AC423,3)-1</f>
        <v>46342</v>
      </c>
      <c r="AE423" s="13" t="s">
        <v>397</v>
      </c>
    </row>
    <row r="424" customFormat="false" ht="15.75" hidden="false" customHeight="true" outlineLevel="0" collapsed="false">
      <c r="A424" s="12" t="n">
        <v>4663</v>
      </c>
      <c r="B424" s="13" t="s">
        <v>1912</v>
      </c>
      <c r="C424" s="14" t="n">
        <v>44505</v>
      </c>
      <c r="D424" s="13" t="s">
        <v>1721</v>
      </c>
      <c r="E424" s="15" t="s">
        <v>47</v>
      </c>
      <c r="F424" s="15" t="str">
        <f aca="false">IFERROR(__xludf.dummyfunction("XLOOKUP(AJ424,IMPORTRANGE(""1XaInW9DU9nz21V0tYIfzFQ0He9kVQ_JF2mCXgZ3hqFA"",""REKAP ALL 2026 - Andika!G:G""),IMPORTRANGE(""1XaInW9DU9nz21V0tYIfzFQ0He9kVQ_JF2mCXgZ3hqFA"",""REKAP ALL 2026 - Andika!F:F""),"""",0)"),"22015019908")</f>
        <v>22015019908</v>
      </c>
      <c r="G424" s="13" t="s">
        <v>1913</v>
      </c>
      <c r="H424" s="13" t="s">
        <v>35</v>
      </c>
      <c r="I424" s="13" t="str">
        <f aca="false">IF(C424=J424,"NEW KONTRAK","RE-KONTRAK")</f>
        <v>RE-KONTRAK</v>
      </c>
      <c r="J424" s="16" t="n">
        <f aca="false" t="array" ref="J424:J424">IFERROR(INDEX(AC424:AE424,IF(COUNTA(AC424:AE424)=0,"",MAX((AC424:AE424&lt;&gt;"")*(COLUMN(AC424:AE424)-(COLUMN(AC424)))))-1),"")</f>
        <v>45659</v>
      </c>
      <c r="K424" s="16" t="n">
        <f aca="false" t="array" ref="K424:K424">IFERROR(INDEX(AC424:AE424,IF(COUNTA(AC424:AE424)=0,"",MAX((AC424:AE424&lt;&gt;"")*(COLUMN(AC424:AE424)-(COLUMN(AC424)-1))))-1),"")</f>
        <v>46021</v>
      </c>
      <c r="L424" s="17" t="str">
        <f aca="false" t="array" ref="L424:L424">IFERROR(INDEX(AC424:AE424,IF(COUNTA(AC424:AE424)=0,"",MAX((AC424:AE424&lt;&gt;"")*(COLUMN(AC424:AE424)-(COLUMN(AC424)-2))))-1),"")</f>
        <v>KEMBALI</v>
      </c>
      <c r="M424" s="13" t="n">
        <f aca="true">K424-TODAY()</f>
        <v>-303</v>
      </c>
      <c r="N424" s="18" t="s">
        <v>728</v>
      </c>
      <c r="O424" s="13" t="s">
        <v>1914</v>
      </c>
      <c r="P424" s="19" t="n">
        <v>5444909</v>
      </c>
      <c r="Q424" s="20" t="s">
        <v>1915</v>
      </c>
      <c r="R424" s="13" t="s">
        <v>52</v>
      </c>
      <c r="S424" s="14" t="n">
        <v>35328</v>
      </c>
      <c r="T424" s="13" t="s">
        <v>108</v>
      </c>
      <c r="U424" s="13" t="s">
        <v>1916</v>
      </c>
      <c r="V424" s="13" t="s">
        <v>42</v>
      </c>
      <c r="W424" s="13" t="s">
        <v>54</v>
      </c>
      <c r="X424" s="21" t="n">
        <v>89668992199</v>
      </c>
      <c r="Y424" s="22" t="str">
        <f aca="false">O424</f>
        <v>Im Operator</v>
      </c>
      <c r="Z424" s="13" t="str">
        <f aca="false">IFERROR(__xludf.dummyfunction("if(BJ424="""","""",GOOGLETRANSLATE(BJ424,""auto"",""en""))"),"Im Operator")</f>
        <v>Im Operator</v>
      </c>
      <c r="AA424" s="23" t="str">
        <f aca="false">IF(C424="","", CHOOSE(MONTH(C424),"January","February","March","April","May","June","July","August","September","October","November","December")&amp;" "&amp;DAY(C424)&amp;MID("thstndrdth",MIN(9,2*RIGHT(DAY(C424))*(MOD(DAY(C424)-11,100)&gt;2)+1),2)&amp;","&amp;TEXT(C424," yyyy"))</f>
        <v>November 5th,2021</v>
      </c>
      <c r="AB424" s="15" t="str">
        <f aca="true">IF(S424="","",DATEDIF(S424,TODAY(),"Y")&amp;" Tahun, "&amp;DATEDIF(S424,TODAY(),"YM")&amp;" Bulan, "&amp;DATEDIF(S424,TODAY(),"MD")&amp;" Hari")</f>
        <v>30 Tahun, 1 Bulan, 9 Hari</v>
      </c>
      <c r="AC424" s="18" t="n">
        <v>45659</v>
      </c>
      <c r="AD424" s="18" t="n">
        <v>46021</v>
      </c>
      <c r="AE424" s="13" t="s">
        <v>397</v>
      </c>
    </row>
    <row r="425" customFormat="false" ht="15.75" hidden="false" customHeight="true" outlineLevel="0" collapsed="false">
      <c r="A425" s="12" t="n">
        <v>21691</v>
      </c>
      <c r="B425" s="13" t="s">
        <v>1917</v>
      </c>
      <c r="C425" s="16" t="n">
        <v>46024</v>
      </c>
      <c r="D425" s="13" t="s">
        <v>1721</v>
      </c>
      <c r="E425" s="15" t="s">
        <v>47</v>
      </c>
      <c r="F425" s="15" t="str">
        <f aca="false">IFERROR(__xludf.dummyfunction("XLOOKUP(AJ425,IMPORTRANGE(""1XaInW9DU9nz21V0tYIfzFQ0He9kVQ_JF2mCXgZ3hqFA"",""REKAP ALL 2026 - Andika!G:G""),IMPORTRANGE(""1XaInW9DU9nz21V0tYIfzFQ0He9kVQ_JF2mCXgZ3hqFA"",""REKAP ALL 2026 - Andika!F:F""),"""",0)"),"26020754920")</f>
        <v>26020754920</v>
      </c>
      <c r="G425" s="28" t="s">
        <v>57</v>
      </c>
      <c r="H425" s="13" t="s">
        <v>35</v>
      </c>
      <c r="I425" s="13" t="str">
        <f aca="false">IF(C425=J425,"NEW KONTRAK","RE-KONTRAK")</f>
        <v>NEW KONTRAK</v>
      </c>
      <c r="J425" s="16" t="n">
        <f aca="false" t="array" ref="J425:J425">IFERROR(INDEX(AC425:AE425,IF(COUNTA(AC425:AE425)=0,"",MAX((AC425:AE425&lt;&gt;"")*(COLUMN(AC425:AE425)-(COLUMN(AC425)))))-1),"")</f>
        <v>46024</v>
      </c>
      <c r="K425" s="16" t="n">
        <f aca="false" t="array" ref="K425:K425">IFERROR(INDEX(AC425:AE425,IF(COUNTA(AC425:AE425)=0,"",MAX((AC425:AE425&lt;&gt;"")*(COLUMN(AC425:AE425)-(COLUMN(AC425)-1))))-1),"")</f>
        <v>46113</v>
      </c>
      <c r="L425" s="17" t="str">
        <f aca="false" t="array" ref="L425:L425">IFERROR(INDEX(AC425:AE425,IF(COUNTA(AC425:AE425)=0,"",MAX((AC425:AE425&lt;&gt;"")*(COLUMN(AC425:AE425)-(COLUMN(AC425)-2))))-1),"")</f>
        <v>ARCHIVED</v>
      </c>
      <c r="M425" s="13" t="n">
        <f aca="true">K425-TODAY()</f>
        <v>-211</v>
      </c>
      <c r="N425" s="18" t="s">
        <v>728</v>
      </c>
      <c r="O425" s="13" t="s">
        <v>1918</v>
      </c>
      <c r="P425" s="19" t="n">
        <v>5444909</v>
      </c>
      <c r="Q425" s="47" t="s">
        <v>1919</v>
      </c>
      <c r="R425" s="13" t="s">
        <v>52</v>
      </c>
      <c r="S425" s="16" t="n">
        <v>36403</v>
      </c>
      <c r="T425" s="28" t="s">
        <v>40</v>
      </c>
      <c r="U425" s="13" t="s">
        <v>1920</v>
      </c>
      <c r="V425" s="13" t="s">
        <v>42</v>
      </c>
      <c r="W425" s="13" t="s">
        <v>43</v>
      </c>
      <c r="X425" s="21" t="s">
        <v>1921</v>
      </c>
      <c r="Y425" s="22" t="str">
        <f aca="false">O425</f>
        <v>Assembling.Operator</v>
      </c>
      <c r="Z425" s="13" t="str">
        <f aca="false">IFERROR(__xludf.dummyfunction("if(BJ425="""","""",GOOGLETRANSLATE(BJ425,""auto"",""en""))"),"Assembling.Operator")</f>
        <v>Assembling.Operator</v>
      </c>
      <c r="AA425" s="23" t="str">
        <f aca="false">IF(C425="","", CHOOSE(MONTH(C425),"January","February","March","April","May","June","July","August","September","October","November","December")&amp;" "&amp;DAY(C425)&amp;MID("thstndrdth",MIN(9,2*RIGHT(DAY(C425))*(MOD(DAY(C425)-11,100)&gt;2)+1),2)&amp;","&amp;TEXT(C425," yyyy"))</f>
        <v>January 2nd,2026</v>
      </c>
      <c r="AB425" s="15" t="str">
        <f aca="true">IF(S425="","",DATEDIF(S425,TODAY(),"Y")&amp;" Tahun, "&amp;DATEDIF(S425,TODAY(),"YM")&amp;" Bulan, "&amp;DATEDIF(S425,TODAY(),"MD")&amp;" Hari")</f>
        <v>27 Tahun, 1 Bulan, 28 Hari</v>
      </c>
      <c r="AC425" s="18" t="n">
        <v>46024</v>
      </c>
      <c r="AD425" s="18" t="n">
        <f aca="false">EDATE(AC425,3)-1</f>
        <v>46113</v>
      </c>
      <c r="AE425" s="18" t="s">
        <v>44</v>
      </c>
    </row>
    <row r="426" customFormat="false" ht="15.75" hidden="false" customHeight="true" outlineLevel="0" collapsed="false">
      <c r="A426" s="12" t="n">
        <v>8035</v>
      </c>
      <c r="B426" s="13" t="s">
        <v>1922</v>
      </c>
      <c r="C426" s="14" t="n">
        <v>44784</v>
      </c>
      <c r="D426" s="13" t="s">
        <v>1721</v>
      </c>
      <c r="E426" s="15" t="s">
        <v>47</v>
      </c>
      <c r="F426" s="15" t="str">
        <f aca="false">IFERROR(__xludf.dummyfunction("XLOOKUP(AJ426,IMPORTRANGE(""1XaInW9DU9nz21V0tYIfzFQ0He9kVQ_JF2mCXgZ3hqFA"",""REKAP ALL 2026 - Andika!G:G""),IMPORTRANGE(""1XaInW9DU9nz21V0tYIfzFQ0He9kVQ_JF2mCXgZ3hqFA"",""REKAP ALL 2026 - Andika!F:F""),"""",0)"),"22099823191")</f>
        <v>22099823191</v>
      </c>
      <c r="G426" s="13" t="s">
        <v>1923</v>
      </c>
      <c r="H426" s="13" t="s">
        <v>35</v>
      </c>
      <c r="I426" s="13" t="str">
        <f aca="false">IF(C426=J426,"NEW KONTRAK","RE-KONTRAK")</f>
        <v>RE-KONTRAK</v>
      </c>
      <c r="J426" s="16" t="n">
        <f aca="false" t="array" ref="J426:J426">IFERROR(INDEX(AC426:AE426,IF(COUNTA(AC426:AE426)=0,"",MAX((AC426:AE426&lt;&gt;"")*(COLUMN(AC426:AE426)-(COLUMN(AC426)))))-1),"")</f>
        <v>45659</v>
      </c>
      <c r="K426" s="16" t="n">
        <f aca="false" t="array" ref="K426:K426">IFERROR(INDEX(AC426:AE426,IF(COUNTA(AC426:AE426)=0,"",MAX((AC426:AE426&lt;&gt;"")*(COLUMN(AC426:AE426)-(COLUMN(AC426)-1))))-1),"")</f>
        <v>46021</v>
      </c>
      <c r="L426" s="17" t="str">
        <f aca="false" t="array" ref="L426:L426">IFERROR(INDEX(AC426:AE426,IF(COUNTA(AC426:AE426)=0,"",MAX((AC426:AE426&lt;&gt;"")*(COLUMN(AC426:AE426)-(COLUMN(AC426)-2))))-1),"")</f>
        <v>KEMBALI</v>
      </c>
      <c r="M426" s="13" t="n">
        <f aca="true">K426-TODAY()</f>
        <v>-303</v>
      </c>
      <c r="N426" s="18" t="s">
        <v>728</v>
      </c>
      <c r="O426" s="13" t="s">
        <v>1744</v>
      </c>
      <c r="P426" s="19" t="n">
        <v>5444909</v>
      </c>
      <c r="Q426" s="20" t="s">
        <v>1924</v>
      </c>
      <c r="R426" s="13" t="s">
        <v>39</v>
      </c>
      <c r="S426" s="14" t="n">
        <v>36842</v>
      </c>
      <c r="T426" s="13" t="s">
        <v>40</v>
      </c>
      <c r="U426" s="13" t="s">
        <v>1925</v>
      </c>
      <c r="V426" s="13" t="s">
        <v>42</v>
      </c>
      <c r="W426" s="13" t="s">
        <v>43</v>
      </c>
      <c r="X426" s="21" t="n">
        <v>87840181996</v>
      </c>
      <c r="Y426" s="22" t="str">
        <f aca="false">O426</f>
        <v>Print Operator</v>
      </c>
      <c r="Z426" s="13" t="str">
        <f aca="false">IFERROR(__xludf.dummyfunction("if(BJ426="""","""",GOOGLETRANSLATE(BJ426,""auto"",""en""))"),"Print Operator")</f>
        <v>Print Operator</v>
      </c>
      <c r="AA426" s="23" t="str">
        <f aca="false">IF(C426="","", CHOOSE(MONTH(C426),"January","February","March","April","May","June","July","August","September","October","November","December")&amp;" "&amp;DAY(C426)&amp;MID("thstndrdth",MIN(9,2*RIGHT(DAY(C426))*(MOD(DAY(C426)-11,100)&gt;2)+1),2)&amp;","&amp;TEXT(C426," yyyy"))</f>
        <v>August 11th,2022</v>
      </c>
      <c r="AB426" s="15" t="str">
        <f aca="true">IF(S426="","",DATEDIF(S426,TODAY(),"Y")&amp;" Tahun, "&amp;DATEDIF(S426,TODAY(),"YM")&amp;" Bulan, "&amp;DATEDIF(S426,TODAY(),"MD")&amp;" Hari")</f>
        <v>25 Tahun, 11 Bulan, 17 Hari</v>
      </c>
      <c r="AC426" s="18" t="n">
        <v>45659</v>
      </c>
      <c r="AD426" s="18" t="n">
        <v>46021</v>
      </c>
      <c r="AE426" s="13" t="s">
        <v>397</v>
      </c>
    </row>
    <row r="427" customFormat="false" ht="15.75" hidden="false" customHeight="true" outlineLevel="0" collapsed="false">
      <c r="A427" s="12" t="n">
        <v>22981</v>
      </c>
      <c r="B427" s="13" t="s">
        <v>1926</v>
      </c>
      <c r="C427" s="14" t="n">
        <v>46307</v>
      </c>
      <c r="D427" s="13" t="s">
        <v>1721</v>
      </c>
      <c r="E427" s="13" t="s">
        <v>47</v>
      </c>
      <c r="F427" s="24" t="s">
        <v>1927</v>
      </c>
      <c r="G427" s="13" t="s">
        <v>1127</v>
      </c>
      <c r="H427" s="13" t="s">
        <v>35</v>
      </c>
      <c r="I427" s="13" t="str">
        <f aca="false">IF(C427=J427,"NEW KONTRAK","RE-KONTRAK")</f>
        <v>NEW KONTRAK</v>
      </c>
      <c r="J427" s="16" t="n">
        <f aca="false" t="array" ref="J427:J427">IFERROR(INDEX(AC427:AE427,IF(COUNTA(AC427:AE427)=0,"",MAX((AC427:AE427&lt;&gt;"")*(COLUMN(AC427:AE427)-(COLUMN(AC427)))))-1),"")</f>
        <v>46307</v>
      </c>
      <c r="K427" s="16" t="n">
        <f aca="false" t="array" ref="K427:K427">IFERROR(INDEX(AC427:AE427,IF(COUNTA(AC427:AE427)=0,"",MAX((AC427:AE427&lt;&gt;"")*(COLUMN(AC427:AE427)-(COLUMN(AC427)-1))))-1),"")</f>
        <v>46386</v>
      </c>
      <c r="L427" s="17" t="str">
        <f aca="false" t="array" ref="L427:L427">IFERROR(INDEX(AC427:AE427,IF(COUNTA(AC427:AE427)=0,"",MAX((AC427:AE427&lt;&gt;"")*(COLUMN(AC427:AE427)-(COLUMN(AC427)-2))))-1),"")</f>
        <v>PRINTED</v>
      </c>
      <c r="M427" s="13" t="n">
        <f aca="true">K427-TODAY()</f>
        <v>62</v>
      </c>
      <c r="N427" s="18" t="s">
        <v>728</v>
      </c>
      <c r="O427" s="13" t="s">
        <v>1738</v>
      </c>
      <c r="P427" s="26" t="n">
        <v>5444909</v>
      </c>
      <c r="Q427" s="20" t="s">
        <v>1928</v>
      </c>
      <c r="R427" s="13" t="s">
        <v>1842</v>
      </c>
      <c r="S427" s="25" t="n">
        <v>37479</v>
      </c>
      <c r="T427" s="13" t="s">
        <v>108</v>
      </c>
      <c r="U427" s="13" t="s">
        <v>1929</v>
      </c>
      <c r="V427" s="13" t="s">
        <v>42</v>
      </c>
      <c r="W427" s="13" t="s">
        <v>54</v>
      </c>
      <c r="X427" s="21" t="n">
        <v>85230398170</v>
      </c>
      <c r="Y427" s="22" t="str">
        <f aca="false">O427</f>
        <v>IM Operator</v>
      </c>
      <c r="Z427" s="13" t="str">
        <f aca="false">IFERROR(__xludf.dummyfunction("if(BJ427="""","""",GOOGLETRANSLATE(BJ427,""auto"",""en""))"),"IM Operator")</f>
        <v>IM Operator</v>
      </c>
      <c r="AA427" s="23" t="str">
        <f aca="false">IF(C427="","", CHOOSE(MONTH(C427),"January","February","March","April","May","June","July","August","September","October","November","December")&amp;" "&amp;DAY(C427)&amp;MID("thstndrdth",MIN(9,2*RIGHT(DAY(C427))*(MOD(DAY(C427)-11,100)&gt;2)+1),2)&amp;","&amp;TEXT(C427," yyyy"))</f>
        <v>October 12th,2026</v>
      </c>
      <c r="AB427" s="15" t="str">
        <f aca="true">IF(S427="","",DATEDIF(S427,TODAY(),"Y")&amp;" Tahun, "&amp;DATEDIF(S427,TODAY(),"YM")&amp;" Bulan, "&amp;DATEDIF(S427,TODAY(),"MD")&amp;" Hari")</f>
        <v>24 Tahun, 2 Bulan, 18 Hari</v>
      </c>
      <c r="AC427" s="14" t="n">
        <v>46307</v>
      </c>
      <c r="AD427" s="18" t="n">
        <v>46386</v>
      </c>
      <c r="AE427" s="13" t="s">
        <v>1752</v>
      </c>
    </row>
    <row r="428" customFormat="false" ht="15.75" hidden="false" customHeight="true" outlineLevel="0" collapsed="false">
      <c r="A428" s="12" t="n">
        <v>22710</v>
      </c>
      <c r="B428" s="13" t="s">
        <v>1930</v>
      </c>
      <c r="C428" s="14" t="n">
        <v>46251</v>
      </c>
      <c r="D428" s="13" t="s">
        <v>1721</v>
      </c>
      <c r="E428" s="13" t="s">
        <v>47</v>
      </c>
      <c r="F428" s="24" t="s">
        <v>1931</v>
      </c>
      <c r="G428" s="13" t="s">
        <v>1452</v>
      </c>
      <c r="H428" s="13" t="s">
        <v>35</v>
      </c>
      <c r="I428" s="13" t="str">
        <f aca="false">IF(C428=J428,"NEW KONTRAK","RE-KONTRAK")</f>
        <v>NEW KONTRAK</v>
      </c>
      <c r="J428" s="16" t="n">
        <f aca="false" t="array" ref="J428:J428">IFERROR(INDEX(AC428:AE428,IF(COUNTA(AC428:AE428)=0,"",MAX((AC428:AE428&lt;&gt;"")*(COLUMN(AC428:AE428)-(COLUMN(AC428)))))-1),"")</f>
        <v>46251</v>
      </c>
      <c r="K428" s="16" t="n">
        <f aca="false" t="array" ref="K428:K428">IFERROR(INDEX(AC428:AE428,IF(COUNTA(AC428:AE428)=0,"",MAX((AC428:AE428&lt;&gt;"")*(COLUMN(AC428:AE428)-(COLUMN(AC428)-1))))-1),"")</f>
        <v>46342</v>
      </c>
      <c r="L428" s="17" t="str">
        <f aca="false" t="array" ref="L428:L428">IFERROR(INDEX(AC428:AE428,IF(COUNTA(AC428:AE428)=0,"",MAX((AC428:AE428&lt;&gt;"")*(COLUMN(AC428:AE428)-(COLUMN(AC428)-2))))-1),"")</f>
        <v>KEMBALI</v>
      </c>
      <c r="M428" s="13" t="n">
        <f aca="true">K428-TODAY()</f>
        <v>18</v>
      </c>
      <c r="N428" s="18" t="s">
        <v>728</v>
      </c>
      <c r="O428" s="13" t="s">
        <v>1932</v>
      </c>
      <c r="P428" s="26" t="n">
        <v>5444909</v>
      </c>
      <c r="Q428" s="20" t="s">
        <v>1933</v>
      </c>
      <c r="R428" s="13" t="s">
        <v>83</v>
      </c>
      <c r="S428" s="25" t="n">
        <v>35713</v>
      </c>
      <c r="T428" s="13" t="s">
        <v>108</v>
      </c>
      <c r="U428" s="13" t="s">
        <v>1934</v>
      </c>
      <c r="V428" s="13" t="s">
        <v>42</v>
      </c>
      <c r="W428" s="13" t="s">
        <v>54</v>
      </c>
      <c r="X428" s="21" t="n">
        <v>88234843428</v>
      </c>
      <c r="Y428" s="22" t="str">
        <f aca="false">O428</f>
        <v>Blow Moulding</v>
      </c>
      <c r="Z428" s="13" t="str">
        <f aca="false">IFERROR(__xludf.dummyfunction("if(BJ428="""","""",GOOGLETRANSLATE(BJ428,""auto"",""en""))"),"Blow Moulding")</f>
        <v>Blow Moulding</v>
      </c>
      <c r="AA428" s="23" t="str">
        <f aca="false">IF(C428="","", CHOOSE(MONTH(C428),"January","February","March","April","May","June","July","August","September","October","November","December")&amp;" "&amp;DAY(C428)&amp;MID("thstndrdth",MIN(9,2*RIGHT(DAY(C428))*(MOD(DAY(C428)-11,100)&gt;2)+1),2)&amp;","&amp;TEXT(C428," yyyy"))</f>
        <v>August 17th,2026</v>
      </c>
      <c r="AB428" s="15" t="str">
        <f aca="true">IF(S428="","",DATEDIF(S428,TODAY(),"Y")&amp;" Tahun, "&amp;DATEDIF(S428,TODAY(),"YM")&amp;" Bulan, "&amp;DATEDIF(S428,TODAY(),"MD")&amp;" Hari")</f>
        <v>29 Tahun, 0 Bulan, 19 Hari</v>
      </c>
      <c r="AC428" s="14" t="n">
        <v>46251</v>
      </c>
      <c r="AD428" s="18" t="n">
        <f aca="false">EDATE(AC428,3)-1</f>
        <v>46342</v>
      </c>
      <c r="AE428" s="13" t="s">
        <v>397</v>
      </c>
    </row>
    <row r="429" customFormat="false" ht="15.75" hidden="false" customHeight="true" outlineLevel="0" collapsed="false">
      <c r="A429" s="12" t="n">
        <v>22688</v>
      </c>
      <c r="B429" s="13" t="s">
        <v>1935</v>
      </c>
      <c r="C429" s="14" t="n">
        <v>46251</v>
      </c>
      <c r="D429" s="13" t="s">
        <v>1721</v>
      </c>
      <c r="E429" s="13" t="s">
        <v>47</v>
      </c>
      <c r="F429" s="24" t="s">
        <v>1936</v>
      </c>
      <c r="G429" s="13" t="s">
        <v>1452</v>
      </c>
      <c r="H429" s="13" t="s">
        <v>35</v>
      </c>
      <c r="I429" s="13" t="str">
        <f aca="false">IF(C429=J429,"NEW KONTRAK","RE-KONTRAK")</f>
        <v>NEW KONTRAK</v>
      </c>
      <c r="J429" s="16" t="n">
        <f aca="false" t="array" ref="J429:J429">IFERROR(INDEX(AC429:AE429,IF(COUNTA(AC429:AE429)=0,"",MAX((AC429:AE429&lt;&gt;"")*(COLUMN(AC429:AE429)-(COLUMN(AC429)))))-1),"")</f>
        <v>46251</v>
      </c>
      <c r="K429" s="16" t="n">
        <f aca="false" t="array" ref="K429:K429">IFERROR(INDEX(AC429:AE429,IF(COUNTA(AC429:AE429)=0,"",MAX((AC429:AE429&lt;&gt;"")*(COLUMN(AC429:AE429)-(COLUMN(AC429)-1))))-1),"")</f>
        <v>46342</v>
      </c>
      <c r="L429" s="17" t="str">
        <f aca="false" t="array" ref="L429:L429">IFERROR(INDEX(AC429:AE429,IF(COUNTA(AC429:AE429)=0,"",MAX((AC429:AE429&lt;&gt;"")*(COLUMN(AC429:AE429)-(COLUMN(AC429)-2))))-1),"")</f>
        <v>ARCHIVED</v>
      </c>
      <c r="M429" s="13" t="n">
        <f aca="true">K429-TODAY()</f>
        <v>18</v>
      </c>
      <c r="N429" s="18" t="s">
        <v>728</v>
      </c>
      <c r="O429" s="13" t="s">
        <v>1803</v>
      </c>
      <c r="P429" s="26" t="n">
        <v>5444909</v>
      </c>
      <c r="Q429" s="20" t="s">
        <v>1937</v>
      </c>
      <c r="R429" s="13" t="s">
        <v>232</v>
      </c>
      <c r="S429" s="25" t="n">
        <v>34558</v>
      </c>
      <c r="T429" s="13" t="s">
        <v>108</v>
      </c>
      <c r="U429" s="13" t="s">
        <v>1938</v>
      </c>
      <c r="V429" s="13" t="s">
        <v>42</v>
      </c>
      <c r="W429" s="13" t="s">
        <v>54</v>
      </c>
      <c r="X429" s="21" t="n">
        <v>85736421101</v>
      </c>
      <c r="Y429" s="22" t="str">
        <f aca="false">O429</f>
        <v>Injectition Moulding</v>
      </c>
      <c r="Z429" s="13" t="str">
        <f aca="false">IFERROR(__xludf.dummyfunction("if(BJ429="""","""",GOOGLETRANSLATE(BJ429,""auto"",""en""))"),"Injectition Moulding")</f>
        <v>Injectition Moulding</v>
      </c>
      <c r="AA429" s="23" t="str">
        <f aca="false">IF(C429="","", CHOOSE(MONTH(C429),"January","February","March","April","May","June","July","August","September","October","November","December")&amp;" "&amp;DAY(C429)&amp;MID("thstndrdth",MIN(9,2*RIGHT(DAY(C429))*(MOD(DAY(C429)-11,100)&gt;2)+1),2)&amp;","&amp;TEXT(C429," yyyy"))</f>
        <v>August 17th,2026</v>
      </c>
      <c r="AB429" s="15" t="str">
        <f aca="true">IF(S429="","",DATEDIF(S429,TODAY(),"Y")&amp;" Tahun, "&amp;DATEDIF(S429,TODAY(),"YM")&amp;" Bulan, "&amp;DATEDIF(S429,TODAY(),"MD")&amp;" Hari")</f>
        <v>32 Tahun, 2 Bulan, 17 Hari</v>
      </c>
      <c r="AC429" s="14" t="n">
        <v>46251</v>
      </c>
      <c r="AD429" s="18" t="n">
        <f aca="false">EDATE(AC429,3)-1</f>
        <v>46342</v>
      </c>
      <c r="AE429" s="45" t="s">
        <v>44</v>
      </c>
    </row>
    <row r="430" customFormat="false" ht="15.75" hidden="false" customHeight="true" outlineLevel="0" collapsed="false">
      <c r="A430" s="12" t="n">
        <v>16372</v>
      </c>
      <c r="B430" s="13" t="s">
        <v>1939</v>
      </c>
      <c r="C430" s="14" t="n">
        <v>45488</v>
      </c>
      <c r="D430" s="13" t="s">
        <v>1721</v>
      </c>
      <c r="E430" s="15" t="s">
        <v>47</v>
      </c>
      <c r="F430" s="15" t="str">
        <f aca="false">IFERROR(__xludf.dummyfunction("XLOOKUP(AJ430,IMPORTRANGE(""1XaInW9DU9nz21V0tYIfzFQ0He9kVQ_JF2mCXgZ3hqFA"",""REKAP ALL 2026 - Andika!G:G""),IMPORTRANGE(""1XaInW9DU9nz21V0tYIfzFQ0He9kVQ_JF2mCXgZ3hqFA"",""REKAP ALL 2026 - Andika!F:F""),"""",0)"),"24105107544")</f>
        <v>24105107544</v>
      </c>
      <c r="G430" s="15" t="s">
        <v>1940</v>
      </c>
      <c r="H430" s="13" t="s">
        <v>35</v>
      </c>
      <c r="I430" s="13" t="str">
        <f aca="false">IF(C430=J430,"NEW KONTRAK","RE-KONTRAK")</f>
        <v>RE-KONTRAK</v>
      </c>
      <c r="J430" s="16" t="n">
        <f aca="false" t="array" ref="J430:J430">IFERROR(INDEX(AC430:AE430,IF(COUNTA(AC430:AE430)=0,"",MAX((AC430:AE430&lt;&gt;"")*(COLUMN(AC430:AE430)-(COLUMN(AC430)))))-1),"")</f>
        <v>45659</v>
      </c>
      <c r="K430" s="16" t="n">
        <f aca="false" t="array" ref="K430:K430">IFERROR(INDEX(AC430:AE430,IF(COUNTA(AC430:AE430)=0,"",MAX((AC430:AE430&lt;&gt;"")*(COLUMN(AC430:AE430)-(COLUMN(AC430)-1))))-1),"")</f>
        <v>46021</v>
      </c>
      <c r="L430" s="17" t="str">
        <f aca="false" t="array" ref="L430:L430">IFERROR(INDEX(AC430:AE430,IF(COUNTA(AC430:AE430)=0,"",MAX((AC430:AE430&lt;&gt;"")*(COLUMN(AC430:AE430)-(COLUMN(AC430)-2))))-1),"")</f>
        <v>KEMBALI</v>
      </c>
      <c r="M430" s="13" t="n">
        <f aca="true">K430-TODAY()</f>
        <v>-303</v>
      </c>
      <c r="N430" s="18" t="s">
        <v>728</v>
      </c>
      <c r="O430" s="13" t="s">
        <v>1914</v>
      </c>
      <c r="P430" s="19" t="n">
        <v>5444909</v>
      </c>
      <c r="Q430" s="49" t="s">
        <v>1941</v>
      </c>
      <c r="R430" s="13" t="s">
        <v>83</v>
      </c>
      <c r="S430" s="14" t="n">
        <v>37568</v>
      </c>
      <c r="T430" s="13" t="s">
        <v>108</v>
      </c>
      <c r="U430" s="13" t="s">
        <v>1942</v>
      </c>
      <c r="V430" s="13" t="s">
        <v>42</v>
      </c>
      <c r="W430" s="13" t="s">
        <v>43</v>
      </c>
      <c r="X430" s="21" t="n">
        <v>89612083584</v>
      </c>
      <c r="Y430" s="22" t="str">
        <f aca="false">O430</f>
        <v>Im Operator</v>
      </c>
      <c r="Z430" s="13" t="str">
        <f aca="false">IFERROR(__xludf.dummyfunction("if(BJ430="""","""",GOOGLETRANSLATE(BJ430,""auto"",""en""))"),"Im Operator")</f>
        <v>Im Operator</v>
      </c>
      <c r="AA430" s="23" t="str">
        <f aca="false">IF(C430="","", CHOOSE(MONTH(C430),"January","February","March","April","May","June","July","August","September","October","November","December")&amp;" "&amp;DAY(C430)&amp;MID("thstndrdth",MIN(9,2*RIGHT(DAY(C430))*(MOD(DAY(C430)-11,100)&gt;2)+1),2)&amp;","&amp;TEXT(C430," yyyy"))</f>
        <v>July 15th,2024</v>
      </c>
      <c r="AB430" s="15" t="str">
        <f aca="true">IF(S430="","",DATEDIF(S430,TODAY(),"Y")&amp;" Tahun, "&amp;DATEDIF(S430,TODAY(),"YM")&amp;" Bulan, "&amp;DATEDIF(S430,TODAY(),"MD")&amp;" Hari")</f>
        <v>23 Tahun, 11 Bulan, 21 Hari</v>
      </c>
      <c r="AC430" s="18" t="n">
        <v>45659</v>
      </c>
      <c r="AD430" s="18" t="n">
        <v>46021</v>
      </c>
      <c r="AE430" s="13" t="s">
        <v>397</v>
      </c>
    </row>
    <row r="431" customFormat="false" ht="15.75" hidden="false" customHeight="true" outlineLevel="0" collapsed="false">
      <c r="A431" s="12" t="n">
        <v>16351</v>
      </c>
      <c r="B431" s="13" t="s">
        <v>1943</v>
      </c>
      <c r="C431" s="14" t="n">
        <v>45488</v>
      </c>
      <c r="D431" s="13" t="s">
        <v>1721</v>
      </c>
      <c r="E431" s="15" t="s">
        <v>47</v>
      </c>
      <c r="F431" s="15" t="str">
        <f aca="false">IFERROR(__xludf.dummyfunction("XLOOKUP(AJ431,IMPORTRANGE(""1XaInW9DU9nz21V0tYIfzFQ0He9kVQ_JF2mCXgZ3hqFA"",""REKAP ALL 2026 - Andika!G:G""),IMPORTRANGE(""1XaInW9DU9nz21V0tYIfzFQ0He9kVQ_JF2mCXgZ3hqFA"",""REKAP ALL 2026 - Andika!F:F""),"""",0)"),"24105107551")</f>
        <v>24105107551</v>
      </c>
      <c r="G431" s="15" t="s">
        <v>1944</v>
      </c>
      <c r="H431" s="13" t="s">
        <v>35</v>
      </c>
      <c r="I431" s="13" t="str">
        <f aca="false">IF(C431=J431,"NEW KONTRAK","RE-KONTRAK")</f>
        <v>RE-KONTRAK</v>
      </c>
      <c r="J431" s="16" t="n">
        <f aca="false" t="array" ref="J431:J431">IFERROR(INDEX(AC431:AE431,IF(COUNTA(AC431:AE431)=0,"",MAX((AC431:AE431&lt;&gt;"")*(COLUMN(AC431:AE431)-(COLUMN(AC431)))))-1),"")</f>
        <v>45659</v>
      </c>
      <c r="K431" s="16" t="n">
        <f aca="false" t="array" ref="K431:K431">IFERROR(INDEX(AC431:AE431,IF(COUNTA(AC431:AE431)=0,"",MAX((AC431:AE431&lt;&gt;"")*(COLUMN(AC431:AE431)-(COLUMN(AC431)-1))))-1),"")</f>
        <v>46021</v>
      </c>
      <c r="L431" s="17" t="str">
        <f aca="false" t="array" ref="L431:L431">IFERROR(INDEX(AC431:AE431,IF(COUNTA(AC431:AE431)=0,"",MAX((AC431:AE431&lt;&gt;"")*(COLUMN(AC431:AE431)-(COLUMN(AC431)-2))))-1),"")</f>
        <v>KEMBALI</v>
      </c>
      <c r="M431" s="13" t="n">
        <f aca="true">K431-TODAY()</f>
        <v>-303</v>
      </c>
      <c r="N431" s="18" t="s">
        <v>728</v>
      </c>
      <c r="O431" s="13" t="s">
        <v>1870</v>
      </c>
      <c r="P431" s="19" t="n">
        <v>5444909</v>
      </c>
      <c r="Q431" s="49" t="s">
        <v>1945</v>
      </c>
      <c r="R431" s="13" t="s">
        <v>78</v>
      </c>
      <c r="S431" s="14" t="n">
        <v>37131</v>
      </c>
      <c r="T431" s="13" t="s">
        <v>108</v>
      </c>
      <c r="U431" s="13" t="s">
        <v>1946</v>
      </c>
      <c r="V431" s="13" t="s">
        <v>42</v>
      </c>
      <c r="W431" s="13" t="s">
        <v>43</v>
      </c>
      <c r="X431" s="21" t="n">
        <v>85748124418</v>
      </c>
      <c r="Y431" s="22" t="str">
        <f aca="false">O431</f>
        <v>Bm Operator</v>
      </c>
      <c r="Z431" s="13" t="str">
        <f aca="false">IFERROR(__xludf.dummyfunction("if(BJ431="""","""",GOOGLETRANSLATE(BJ431,""auto"",""en""))"),"Bm Operator")</f>
        <v>Bm Operator</v>
      </c>
      <c r="AA431" s="23" t="str">
        <f aca="false">IF(C431="","", CHOOSE(MONTH(C431),"January","February","March","April","May","June","July","August","September","October","November","December")&amp;" "&amp;DAY(C431)&amp;MID("thstndrdth",MIN(9,2*RIGHT(DAY(C431))*(MOD(DAY(C431)-11,100)&gt;2)+1),2)&amp;","&amp;TEXT(C431," yyyy"))</f>
        <v>July 15th,2024</v>
      </c>
      <c r="AB431" s="15" t="str">
        <f aca="true">IF(S431="","",DATEDIF(S431,TODAY(),"Y")&amp;" Tahun, "&amp;DATEDIF(S431,TODAY(),"YM")&amp;" Bulan, "&amp;DATEDIF(S431,TODAY(),"MD")&amp;" Hari")</f>
        <v>25 Tahun, 2 Bulan, 1 Hari</v>
      </c>
      <c r="AC431" s="18" t="n">
        <v>45659</v>
      </c>
      <c r="AD431" s="18" t="n">
        <v>46021</v>
      </c>
      <c r="AE431" s="13" t="s">
        <v>397</v>
      </c>
    </row>
    <row r="432" customFormat="false" ht="15.75" hidden="false" customHeight="true" outlineLevel="0" collapsed="false">
      <c r="A432" s="12" t="n">
        <v>22873</v>
      </c>
      <c r="B432" s="13" t="s">
        <v>1947</v>
      </c>
      <c r="C432" s="14" t="n">
        <v>46279</v>
      </c>
      <c r="D432" s="13" t="s">
        <v>1721</v>
      </c>
      <c r="E432" s="13" t="s">
        <v>47</v>
      </c>
      <c r="F432" s="24" t="s">
        <v>1948</v>
      </c>
      <c r="G432" s="13" t="s">
        <v>1452</v>
      </c>
      <c r="H432" s="13" t="s">
        <v>35</v>
      </c>
      <c r="I432" s="13" t="str">
        <f aca="false">IF(C432=J432,"NEW KONTRAK","RE-KONTRAK")</f>
        <v>NEW KONTRAK</v>
      </c>
      <c r="J432" s="16" t="n">
        <f aca="false" t="array" ref="J432:J432">IFERROR(INDEX(AC432:AE432,IF(COUNTA(AC432:AE432)=0,"",MAX((AC432:AE432&lt;&gt;"")*(COLUMN(AC432:AE432)-(COLUMN(AC432)))))-1),"")</f>
        <v>46279</v>
      </c>
      <c r="K432" s="16" t="n">
        <f aca="false" t="array" ref="K432:K432">IFERROR(INDEX(AC432:AE432,IF(COUNTA(AC432:AE432)=0,"",MAX((AC432:AE432&lt;&gt;"")*(COLUMN(AC432:AE432)-(COLUMN(AC432)-1))))-1),"")</f>
        <v>46386</v>
      </c>
      <c r="L432" s="17" t="str">
        <f aca="false" t="array" ref="L432:L432">IFERROR(INDEX(AC432:AE432,IF(COUNTA(AC432:AE432)=0,"",MAX((AC432:AE432&lt;&gt;"")*(COLUMN(AC432:AE432)-(COLUMN(AC432)-2))))-1),"")</f>
        <v>ARCHIVED</v>
      </c>
      <c r="M432" s="13" t="n">
        <f aca="true">K432-TODAY()</f>
        <v>62</v>
      </c>
      <c r="N432" s="18" t="s">
        <v>728</v>
      </c>
      <c r="O432" s="13" t="s">
        <v>1755</v>
      </c>
      <c r="P432" s="26" t="n">
        <v>5444909</v>
      </c>
      <c r="Q432" s="20" t="s">
        <v>1949</v>
      </c>
      <c r="R432" s="13" t="s">
        <v>1357</v>
      </c>
      <c r="S432" s="25" t="n">
        <v>35822</v>
      </c>
      <c r="T432" s="13" t="s">
        <v>108</v>
      </c>
      <c r="U432" s="13" t="s">
        <v>1950</v>
      </c>
      <c r="V432" s="13" t="s">
        <v>42</v>
      </c>
      <c r="W432" s="13" t="s">
        <v>54</v>
      </c>
      <c r="X432" s="30" t="n">
        <v>89518495931</v>
      </c>
      <c r="Y432" s="22" t="str">
        <f aca="false">O432</f>
        <v>Im.Operator</v>
      </c>
      <c r="Z432" s="13" t="str">
        <f aca="false">IFERROR(__xludf.dummyfunction("if(BJ432="""","""",GOOGLETRANSLATE(BJ432,""auto"",""en""))"),"Im.Operator")</f>
        <v>Im.Operator</v>
      </c>
      <c r="AA432" s="23" t="str">
        <f aca="false">IF(C432="","", CHOOSE(MONTH(C432),"January","February","March","April","May","June","July","August","September","October","November","December")&amp;" "&amp;DAY(C432)&amp;MID("thstndrdth",MIN(9,2*RIGHT(DAY(C432))*(MOD(DAY(C432)-11,100)&gt;2)+1),2)&amp;","&amp;TEXT(C432," yyyy"))</f>
        <v>September 14th,2026</v>
      </c>
      <c r="AB432" s="15" t="str">
        <f aca="true">IF(S432="","",DATEDIF(S432,TODAY(),"Y")&amp;" Tahun, "&amp;DATEDIF(S432,TODAY(),"YM")&amp;" Bulan, "&amp;DATEDIF(S432,TODAY(),"MD")&amp;" Hari")</f>
        <v>28 Tahun, 9 Bulan, 2 Hari</v>
      </c>
      <c r="AC432" s="14" t="n">
        <v>46279</v>
      </c>
      <c r="AD432" s="18" t="n">
        <v>46386</v>
      </c>
      <c r="AE432" s="13" t="s">
        <v>44</v>
      </c>
    </row>
    <row r="433" customFormat="false" ht="15.75" hidden="false" customHeight="true" outlineLevel="0" collapsed="false">
      <c r="A433" s="12" t="n">
        <v>2279</v>
      </c>
      <c r="B433" s="13" t="s">
        <v>1951</v>
      </c>
      <c r="C433" s="14" t="n">
        <v>44505</v>
      </c>
      <c r="D433" s="13" t="s">
        <v>1721</v>
      </c>
      <c r="E433" s="15" t="s">
        <v>102</v>
      </c>
      <c r="F433" s="15" t="str">
        <f aca="false">IFERROR(__xludf.dummyfunction("XLOOKUP(AJ433,IMPORTRANGE(""1XaInW9DU9nz21V0tYIfzFQ0He9kVQ_JF2mCXgZ3hqFA"",""REKAP ALL 2026 - Andika!G:G""),IMPORTRANGE(""1XaInW9DU9nz21V0tYIfzFQ0He9kVQ_JF2mCXgZ3hqFA"",""REKAP ALL 2026 - Andika!F:F""),"""",0)"),"20061383129")</f>
        <v>20061383129</v>
      </c>
      <c r="G433" s="13" t="s">
        <v>1952</v>
      </c>
      <c r="H433" s="13" t="s">
        <v>35</v>
      </c>
      <c r="I433" s="13" t="str">
        <f aca="false">IF(C433=J433,"NEW KONTRAK","RE-KONTRAK")</f>
        <v>RE-KONTRAK</v>
      </c>
      <c r="J433" s="16" t="n">
        <f aca="false" t="array" ref="J433:J433">IFERROR(INDEX(AC433:AE433,IF(COUNTA(AC433:AE433)=0,"",MAX((AC433:AE433&lt;&gt;"")*(COLUMN(AC433:AE433)-(COLUMN(AC433)))))-1),"")</f>
        <v>45659</v>
      </c>
      <c r="K433" s="16" t="n">
        <f aca="false" t="array" ref="K433:K433">IFERROR(INDEX(AC433:AE433,IF(COUNTA(AC433:AE433)=0,"",MAX((AC433:AE433&lt;&gt;"")*(COLUMN(AC433:AE433)-(COLUMN(AC433)-1))))-1),"")</f>
        <v>46015</v>
      </c>
      <c r="L433" s="17" t="str">
        <f aca="false" t="array" ref="L433:L433">IFERROR(INDEX(AC433:AE433,IF(COUNTA(AC433:AE433)=0,"",MAX((AC433:AE433&lt;&gt;"")*(COLUMN(AC433:AE433)-(COLUMN(AC433)-2))))-1),"")</f>
        <v>ARCHIVED</v>
      </c>
      <c r="M433" s="13" t="n">
        <f aca="true">K433-TODAY()</f>
        <v>-309</v>
      </c>
      <c r="N433" s="18" t="s">
        <v>728</v>
      </c>
      <c r="O433" s="13" t="s">
        <v>1749</v>
      </c>
      <c r="P433" s="19" t="n">
        <v>5444909</v>
      </c>
      <c r="Q433" s="20" t="s">
        <v>1953</v>
      </c>
      <c r="R433" s="13" t="s">
        <v>260</v>
      </c>
      <c r="S433" s="14" t="n">
        <v>33715</v>
      </c>
      <c r="T433" s="13" t="s">
        <v>108</v>
      </c>
      <c r="U433" s="13" t="s">
        <v>1954</v>
      </c>
      <c r="V433" s="13" t="s">
        <v>42</v>
      </c>
      <c r="W433" s="13" t="s">
        <v>54</v>
      </c>
      <c r="X433" s="21" t="n">
        <v>85704358740</v>
      </c>
      <c r="Y433" s="22" t="str">
        <f aca="false">O433</f>
        <v>BM Operator</v>
      </c>
      <c r="Z433" s="13" t="str">
        <f aca="false">IFERROR(__xludf.dummyfunction("if(BJ433="""","""",GOOGLETRANSLATE(BJ433,""auto"",""en""))"),"BM Operator")</f>
        <v>BM Operator</v>
      </c>
      <c r="AA433" s="23" t="str">
        <f aca="false">IF(C433="","", CHOOSE(MONTH(C433),"January","February","March","April","May","June","July","August","September","October","November","December")&amp;" "&amp;DAY(C433)&amp;MID("thstndrdth",MIN(9,2*RIGHT(DAY(C433))*(MOD(DAY(C433)-11,100)&gt;2)+1),2)&amp;","&amp;TEXT(C433," yyyy"))</f>
        <v>November 5th,2021</v>
      </c>
      <c r="AB433" s="15" t="str">
        <f aca="true">IF(S433="","",DATEDIF(S433,TODAY(),"Y")&amp;" Tahun, "&amp;DATEDIF(S433,TODAY(),"YM")&amp;" Bulan, "&amp;DATEDIF(S433,TODAY(),"MD")&amp;" Hari")</f>
        <v>34 Tahun, 6 Bulan, 8 Hari</v>
      </c>
      <c r="AC433" s="18" t="n">
        <v>45659</v>
      </c>
      <c r="AD433" s="18" t="n">
        <v>46015</v>
      </c>
      <c r="AE433" s="18" t="s">
        <v>44</v>
      </c>
    </row>
    <row r="434" customFormat="false" ht="15.75" hidden="false" customHeight="true" outlineLevel="0" collapsed="false">
      <c r="A434" s="12" t="n">
        <v>22715</v>
      </c>
      <c r="B434" s="13" t="s">
        <v>1955</v>
      </c>
      <c r="C434" s="14" t="n">
        <v>46251</v>
      </c>
      <c r="D434" s="13" t="s">
        <v>1721</v>
      </c>
      <c r="E434" s="13" t="s">
        <v>47</v>
      </c>
      <c r="F434" s="24" t="s">
        <v>1956</v>
      </c>
      <c r="G434" s="13" t="s">
        <v>1452</v>
      </c>
      <c r="H434" s="13" t="s">
        <v>35</v>
      </c>
      <c r="I434" s="13" t="str">
        <f aca="false">IF(C434=J434,"NEW KONTRAK","RE-KONTRAK")</f>
        <v>NEW KONTRAK</v>
      </c>
      <c r="J434" s="16" t="n">
        <f aca="false" t="array" ref="J434:J434">IFERROR(INDEX(AC434:AE434,IF(COUNTA(AC434:AE434)=0,"",MAX((AC434:AE434&lt;&gt;"")*(COLUMN(AC434:AE434)-(COLUMN(AC434)))))-1),"")</f>
        <v>46251</v>
      </c>
      <c r="K434" s="16" t="n">
        <f aca="false" t="array" ref="K434:K434">IFERROR(INDEX(AC434:AE434,IF(COUNTA(AC434:AE434)=0,"",MAX((AC434:AE434&lt;&gt;"")*(COLUMN(AC434:AE434)-(COLUMN(AC434)-1))))-1),"")</f>
        <v>46342</v>
      </c>
      <c r="L434" s="17" t="str">
        <f aca="false" t="array" ref="L434:L434">IFERROR(INDEX(AC434:AE434,IF(COUNTA(AC434:AE434)=0,"",MAX((AC434:AE434&lt;&gt;"")*(COLUMN(AC434:AE434)-(COLUMN(AC434)-2))))-1),"")</f>
        <v>KEMBALI</v>
      </c>
      <c r="M434" s="13" t="n">
        <f aca="true">K434-TODAY()</f>
        <v>18</v>
      </c>
      <c r="N434" s="18" t="s">
        <v>728</v>
      </c>
      <c r="O434" s="13" t="s">
        <v>1722</v>
      </c>
      <c r="P434" s="26" t="n">
        <v>5444909</v>
      </c>
      <c r="Q434" s="20" t="s">
        <v>1957</v>
      </c>
      <c r="R434" s="13" t="s">
        <v>1214</v>
      </c>
      <c r="S434" s="25" t="n">
        <v>38725</v>
      </c>
      <c r="T434" s="13" t="s">
        <v>40</v>
      </c>
      <c r="U434" s="13" t="s">
        <v>1958</v>
      </c>
      <c r="V434" s="13" t="s">
        <v>42</v>
      </c>
      <c r="W434" s="13" t="s">
        <v>54</v>
      </c>
      <c r="X434" s="21" t="n">
        <v>85385618494</v>
      </c>
      <c r="Y434" s="22" t="str">
        <f aca="false">O434</f>
        <v>Printing</v>
      </c>
      <c r="Z434" s="13" t="str">
        <f aca="false">IFERROR(__xludf.dummyfunction("if(BJ434="""","""",GOOGLETRANSLATE(BJ434,""auto"",""en""))"),"Printing")</f>
        <v>Printing</v>
      </c>
      <c r="AA434" s="23" t="str">
        <f aca="false">IF(C434="","", CHOOSE(MONTH(C434),"January","February","March","April","May","June","July","August","September","October","November","December")&amp;" "&amp;DAY(C434)&amp;MID("thstndrdth",MIN(9,2*RIGHT(DAY(C434))*(MOD(DAY(C434)-11,100)&gt;2)+1),2)&amp;","&amp;TEXT(C434," yyyy"))</f>
        <v>August 17th,2026</v>
      </c>
      <c r="AB434" s="15" t="str">
        <f aca="true">IF(S434="","",DATEDIF(S434,TODAY(),"Y")&amp;" Tahun, "&amp;DATEDIF(S434,TODAY(),"YM")&amp;" Bulan, "&amp;DATEDIF(S434,TODAY(),"MD")&amp;" Hari")</f>
        <v>20 Tahun, 9 Bulan, 21 Hari</v>
      </c>
      <c r="AC434" s="14" t="n">
        <v>46251</v>
      </c>
      <c r="AD434" s="18" t="n">
        <f aca="false">EDATE(AC434,3)-1</f>
        <v>46342</v>
      </c>
      <c r="AE434" s="13" t="s">
        <v>397</v>
      </c>
    </row>
    <row r="435" customFormat="false" ht="15.75" hidden="false" customHeight="true" outlineLevel="0" collapsed="false">
      <c r="A435" s="12" t="n">
        <v>16381</v>
      </c>
      <c r="B435" s="13" t="s">
        <v>1959</v>
      </c>
      <c r="C435" s="14" t="n">
        <v>45488</v>
      </c>
      <c r="D435" s="13" t="s">
        <v>1721</v>
      </c>
      <c r="E435" s="15" t="s">
        <v>47</v>
      </c>
      <c r="F435" s="15" t="str">
        <f aca="false">IFERROR(__xludf.dummyfunction("XLOOKUP(AJ435,IMPORTRANGE(""1XaInW9DU9nz21V0tYIfzFQ0He9kVQ_JF2mCXgZ3hqFA"",""REKAP ALL 2026 - Andika!G:G""),IMPORTRANGE(""1XaInW9DU9nz21V0tYIfzFQ0He9kVQ_JF2mCXgZ3hqFA"",""REKAP ALL 2026 - Andika!F:F""),"""",0)"),"24105107791")</f>
        <v>24105107791</v>
      </c>
      <c r="G435" s="15" t="s">
        <v>1960</v>
      </c>
      <c r="H435" s="13" t="s">
        <v>35</v>
      </c>
      <c r="I435" s="13" t="str">
        <f aca="false">IF(C435=J435,"NEW KONTRAK","RE-KONTRAK")</f>
        <v>RE-KONTRAK</v>
      </c>
      <c r="J435" s="16" t="n">
        <f aca="false" t="array" ref="J435:J435">IFERROR(INDEX(AC435:AE435,IF(COUNTA(AC435:AE435)=0,"",MAX((AC435:AE435&lt;&gt;"")*(COLUMN(AC435:AE435)-(COLUMN(AC435)))))-1),"")</f>
        <v>45659</v>
      </c>
      <c r="K435" s="16" t="n">
        <f aca="false" t="array" ref="K435:K435">IFERROR(INDEX(AC435:AE435,IF(COUNTA(AC435:AE435)=0,"",MAX((AC435:AE435&lt;&gt;"")*(COLUMN(AC435:AE435)-(COLUMN(AC435)-1))))-1),"")</f>
        <v>46021</v>
      </c>
      <c r="L435" s="17" t="str">
        <f aca="false" t="array" ref="L435:L435">IFERROR(INDEX(AC435:AE435,IF(COUNTA(AC435:AE435)=0,"",MAX((AC435:AE435&lt;&gt;"")*(COLUMN(AC435:AE435)-(COLUMN(AC435)-2))))-1),"")</f>
        <v>KEMBALI</v>
      </c>
      <c r="M435" s="13" t="n">
        <f aca="true">K435-TODAY()</f>
        <v>-303</v>
      </c>
      <c r="N435" s="18" t="s">
        <v>728</v>
      </c>
      <c r="O435" s="13" t="s">
        <v>1827</v>
      </c>
      <c r="P435" s="19" t="n">
        <v>5444909</v>
      </c>
      <c r="Q435" s="49" t="s">
        <v>1961</v>
      </c>
      <c r="R435" s="13" t="s">
        <v>274</v>
      </c>
      <c r="S435" s="14" t="n">
        <v>36881</v>
      </c>
      <c r="T435" s="13" t="s">
        <v>108</v>
      </c>
      <c r="U435" s="13" t="s">
        <v>1962</v>
      </c>
      <c r="V435" s="13" t="s">
        <v>42</v>
      </c>
      <c r="W435" s="13" t="s">
        <v>43</v>
      </c>
      <c r="X435" s="21" t="n">
        <v>8950399155</v>
      </c>
      <c r="Y435" s="22" t="str">
        <f aca="false">O435</f>
        <v>Printing Operator</v>
      </c>
      <c r="Z435" s="13" t="str">
        <f aca="false">IFERROR(__xludf.dummyfunction("if(BJ435="""","""",GOOGLETRANSLATE(BJ435,""auto"",""en""))"),"Printing Operator")</f>
        <v>Printing Operator</v>
      </c>
      <c r="AA435" s="23" t="str">
        <f aca="false">IF(C435="","", CHOOSE(MONTH(C435),"January","February","March","April","May","June","July","August","September","October","November","December")&amp;" "&amp;DAY(C435)&amp;MID("thstndrdth",MIN(9,2*RIGHT(DAY(C435))*(MOD(DAY(C435)-11,100)&gt;2)+1),2)&amp;","&amp;TEXT(C435," yyyy"))</f>
        <v>July 15th,2024</v>
      </c>
      <c r="AB435" s="15" t="str">
        <f aca="true">IF(S435="","",DATEDIF(S435,TODAY(),"Y")&amp;" Tahun, "&amp;DATEDIF(S435,TODAY(),"YM")&amp;" Bulan, "&amp;DATEDIF(S435,TODAY(),"MD")&amp;" Hari")</f>
        <v>25 Tahun, 10 Bulan, 8 Hari</v>
      </c>
      <c r="AC435" s="18" t="n">
        <v>45659</v>
      </c>
      <c r="AD435" s="18" t="n">
        <v>46021</v>
      </c>
      <c r="AE435" s="13" t="s">
        <v>397</v>
      </c>
    </row>
    <row r="436" customFormat="false" ht="15.75" hidden="false" customHeight="true" outlineLevel="0" collapsed="false">
      <c r="A436" s="12" t="n">
        <v>22836</v>
      </c>
      <c r="B436" s="13" t="s">
        <v>1963</v>
      </c>
      <c r="C436" s="14" t="n">
        <v>46279</v>
      </c>
      <c r="D436" s="13" t="s">
        <v>1721</v>
      </c>
      <c r="E436" s="13" t="s">
        <v>47</v>
      </c>
      <c r="F436" s="24" t="s">
        <v>1964</v>
      </c>
      <c r="G436" s="13" t="s">
        <v>1452</v>
      </c>
      <c r="H436" s="13" t="s">
        <v>35</v>
      </c>
      <c r="I436" s="13" t="str">
        <f aca="false">IF(C436=J436,"NEW KONTRAK","RE-KONTRAK")</f>
        <v>NEW KONTRAK</v>
      </c>
      <c r="J436" s="16" t="n">
        <f aca="false" t="array" ref="J436:J436">IFERROR(INDEX(AC436:AE436,IF(COUNTA(AC436:AE436)=0,"",MAX((AC436:AE436&lt;&gt;"")*(COLUMN(AC436:AE436)-(COLUMN(AC436)))))-1),"")</f>
        <v>46279</v>
      </c>
      <c r="K436" s="16" t="n">
        <f aca="false" t="array" ref="K436:K436">IFERROR(INDEX(AC436:AE436,IF(COUNTA(AC436:AE436)=0,"",MAX((AC436:AE436&lt;&gt;"")*(COLUMN(AC436:AE436)-(COLUMN(AC436)-1))))-1),"")</f>
        <v>46386</v>
      </c>
      <c r="L436" s="17" t="str">
        <f aca="false" t="array" ref="L436:L436">IFERROR(INDEX(AC436:AE436,IF(COUNTA(AC436:AE436)=0,"",MAX((AC436:AE436&lt;&gt;"")*(COLUMN(AC436:AE436)-(COLUMN(AC436)-2))))-1),"")</f>
        <v>ARCHIVED</v>
      </c>
      <c r="M436" s="13" t="n">
        <f aca="true">K436-TODAY()</f>
        <v>62</v>
      </c>
      <c r="N436" s="18" t="s">
        <v>728</v>
      </c>
      <c r="O436" s="13" t="s">
        <v>1755</v>
      </c>
      <c r="P436" s="26" t="n">
        <v>5444909</v>
      </c>
      <c r="Q436" s="20" t="s">
        <v>1965</v>
      </c>
      <c r="R436" s="48" t="s">
        <v>879</v>
      </c>
      <c r="S436" s="25" t="n">
        <v>33702</v>
      </c>
      <c r="T436" s="13" t="s">
        <v>108</v>
      </c>
      <c r="U436" s="13" t="s">
        <v>1966</v>
      </c>
      <c r="V436" s="13" t="s">
        <v>42</v>
      </c>
      <c r="W436" s="13" t="s">
        <v>897</v>
      </c>
      <c r="X436" s="21" t="n">
        <v>81332414273</v>
      </c>
      <c r="Y436" s="22" t="str">
        <f aca="false">O436</f>
        <v>Im.Operator</v>
      </c>
      <c r="Z436" s="13" t="str">
        <f aca="false">IFERROR(__xludf.dummyfunction("if(BJ436="""","""",GOOGLETRANSLATE(BJ436,""auto"",""en""))"),"Im.Operator")</f>
        <v>Im.Operator</v>
      </c>
      <c r="AA436" s="23" t="str">
        <f aca="false">IF(C436="","", CHOOSE(MONTH(C436),"January","February","March","April","May","June","July","August","September","October","November","December")&amp;" "&amp;DAY(C436)&amp;MID("thstndrdth",MIN(9,2*RIGHT(DAY(C436))*(MOD(DAY(C436)-11,100)&gt;2)+1),2)&amp;","&amp;TEXT(C436," yyyy"))</f>
        <v>September 14th,2026</v>
      </c>
      <c r="AB436" s="15" t="str">
        <f aca="true">IF(S436="","",DATEDIF(S436,TODAY(),"Y")&amp;" Tahun, "&amp;DATEDIF(S436,TODAY(),"YM")&amp;" Bulan, "&amp;DATEDIF(S436,TODAY(),"MD")&amp;" Hari")</f>
        <v>34 Tahun, 6 Bulan, 21 Hari</v>
      </c>
      <c r="AC436" s="14" t="n">
        <v>46279</v>
      </c>
      <c r="AD436" s="18" t="n">
        <v>46386</v>
      </c>
      <c r="AE436" s="13" t="s">
        <v>44</v>
      </c>
    </row>
    <row r="437" customFormat="false" ht="15.75" hidden="false" customHeight="true" outlineLevel="0" collapsed="false">
      <c r="A437" s="12" t="n">
        <v>2150</v>
      </c>
      <c r="B437" s="13" t="s">
        <v>1967</v>
      </c>
      <c r="C437" s="14" t="n">
        <v>44563</v>
      </c>
      <c r="D437" s="13" t="s">
        <v>1721</v>
      </c>
      <c r="E437" s="15" t="s">
        <v>47</v>
      </c>
      <c r="F437" s="15" t="str">
        <f aca="false">IFERROR(__xludf.dummyfunction("XLOOKUP(AJ437,IMPORTRANGE(""1XaInW9DU9nz21V0tYIfzFQ0He9kVQ_JF2mCXgZ3hqFA"",""REKAP ALL 2026 - Andika!G:G""),IMPORTRANGE(""1XaInW9DU9nz21V0tYIfzFQ0He9kVQ_JF2mCXgZ3hqFA"",""REKAP ALL 2026 - Andika!F:F""),"""",0)"),"22015020286")</f>
        <v>22015020286</v>
      </c>
      <c r="G437" s="13" t="s">
        <v>1968</v>
      </c>
      <c r="H437" s="13" t="s">
        <v>35</v>
      </c>
      <c r="I437" s="13" t="str">
        <f aca="false">IF(C437=J437,"NEW KONTRAK","RE-KONTRAK")</f>
        <v>RE-KONTRAK</v>
      </c>
      <c r="J437" s="16" t="n">
        <f aca="false" t="array" ref="J437:J437">IFERROR(INDEX(AC437:AE437,IF(COUNTA(AC437:AE437)=0,"",MAX((AC437:AE437&lt;&gt;"")*(COLUMN(AC437:AE437)-(COLUMN(AC437)))))-1),"")</f>
        <v>45659</v>
      </c>
      <c r="K437" s="16" t="n">
        <f aca="false" t="array" ref="K437:K437">IFERROR(INDEX(AC437:AE437,IF(COUNTA(AC437:AE437)=0,"",MAX((AC437:AE437&lt;&gt;"")*(COLUMN(AC437:AE437)-(COLUMN(AC437)-1))))-1),"")</f>
        <v>46021</v>
      </c>
      <c r="L437" s="17" t="str">
        <f aca="false" t="array" ref="L437:L437">IFERROR(INDEX(AC437:AE437,IF(COUNTA(AC437:AE437)=0,"",MAX((AC437:AE437&lt;&gt;"")*(COLUMN(AC437:AE437)-(COLUMN(AC437)-2))))-1),"")</f>
        <v>KEMBALI</v>
      </c>
      <c r="M437" s="13" t="n">
        <f aca="true">K437-TODAY()</f>
        <v>-303</v>
      </c>
      <c r="N437" s="18" t="s">
        <v>728</v>
      </c>
      <c r="O437" s="13" t="s">
        <v>1914</v>
      </c>
      <c r="P437" s="19" t="n">
        <v>5444909</v>
      </c>
      <c r="Q437" s="20" t="s">
        <v>1969</v>
      </c>
      <c r="R437" s="13" t="s">
        <v>39</v>
      </c>
      <c r="S437" s="14" t="n">
        <v>36620</v>
      </c>
      <c r="T437" s="13" t="s">
        <v>108</v>
      </c>
      <c r="U437" s="13" t="s">
        <v>1970</v>
      </c>
      <c r="V437" s="13" t="s">
        <v>42</v>
      </c>
      <c r="W437" s="13" t="s">
        <v>43</v>
      </c>
      <c r="X437" s="21" t="n">
        <v>89676315875</v>
      </c>
      <c r="Y437" s="22" t="str">
        <f aca="false">O437</f>
        <v>Im Operator</v>
      </c>
      <c r="Z437" s="13" t="str">
        <f aca="false">IFERROR(__xludf.dummyfunction("if(BJ437="""","""",GOOGLETRANSLATE(BJ437,""auto"",""en""))"),"Im Operator")</f>
        <v>Im Operator</v>
      </c>
      <c r="AA437" s="23" t="str">
        <f aca="false">IF(C437="","", CHOOSE(MONTH(C437),"January","February","March","April","May","June","July","August","September","October","November","December")&amp;" "&amp;DAY(C437)&amp;MID("thstndrdth",MIN(9,2*RIGHT(DAY(C437))*(MOD(DAY(C437)-11,100)&gt;2)+1),2)&amp;","&amp;TEXT(C437," yyyy"))</f>
        <v>January 2nd,2022</v>
      </c>
      <c r="AB437" s="15" t="str">
        <f aca="true">IF(S437="","",DATEDIF(S437,TODAY(),"Y")&amp;" Tahun, "&amp;DATEDIF(S437,TODAY(),"YM")&amp;" Bulan, "&amp;DATEDIF(S437,TODAY(),"MD")&amp;" Hari")</f>
        <v>26 Tahun, 6 Bulan, 25 Hari</v>
      </c>
      <c r="AC437" s="18" t="n">
        <v>45659</v>
      </c>
      <c r="AD437" s="18" t="n">
        <v>46021</v>
      </c>
      <c r="AE437" s="13" t="s">
        <v>397</v>
      </c>
    </row>
    <row r="438" customFormat="false" ht="15.75" hidden="false" customHeight="true" outlineLevel="0" collapsed="false">
      <c r="A438" s="12" t="n">
        <v>15659</v>
      </c>
      <c r="B438" s="13" t="s">
        <v>1971</v>
      </c>
      <c r="C438" s="14" t="n">
        <v>45446</v>
      </c>
      <c r="D438" s="13" t="s">
        <v>1721</v>
      </c>
      <c r="E438" s="15" t="s">
        <v>47</v>
      </c>
      <c r="F438" s="15" t="str">
        <f aca="false">IFERROR(__xludf.dummyfunction("XLOOKUP(AJ438,IMPORTRANGE(""1XaInW9DU9nz21V0tYIfzFQ0He9kVQ_JF2mCXgZ3hqFA"",""REKAP ALL 2026 - Andika!G:G""),IMPORTRANGE(""1XaInW9DU9nz21V0tYIfzFQ0He9kVQ_JF2mCXgZ3hqFA"",""REKAP ALL 2026 - Andika!F:F""),"""",0)"),"24091262733")</f>
        <v>24091262733</v>
      </c>
      <c r="G438" s="15" t="s">
        <v>1972</v>
      </c>
      <c r="H438" s="13" t="s">
        <v>35</v>
      </c>
      <c r="I438" s="13" t="str">
        <f aca="false">IF(C438=J438,"NEW KONTRAK","RE-KONTRAK")</f>
        <v>RE-KONTRAK</v>
      </c>
      <c r="J438" s="16" t="n">
        <f aca="false" t="array" ref="J438:J438">IFERROR(INDEX(AC438:AE438,IF(COUNTA(AC438:AE438)=0,"",MAX((AC438:AE438&lt;&gt;"")*(COLUMN(AC438:AE438)-(COLUMN(AC438)))))-1),"")</f>
        <v>45659</v>
      </c>
      <c r="K438" s="16" t="n">
        <f aca="false" t="array" ref="K438:K438">IFERROR(INDEX(AC438:AE438,IF(COUNTA(AC438:AE438)=0,"",MAX((AC438:AE438&lt;&gt;"")*(COLUMN(AC438:AE438)-(COLUMN(AC438)-1))))-1),"")</f>
        <v>46021</v>
      </c>
      <c r="L438" s="17" t="str">
        <f aca="false" t="array" ref="L438:L438">IFERROR(INDEX(AC438:AE438,IF(COUNTA(AC438:AE438)=0,"",MAX((AC438:AE438&lt;&gt;"")*(COLUMN(AC438:AE438)-(COLUMN(AC438)-2))))-1),"")</f>
        <v>KEMBALI</v>
      </c>
      <c r="M438" s="13" t="n">
        <f aca="true">K438-TODAY()</f>
        <v>-303</v>
      </c>
      <c r="N438" s="18" t="s">
        <v>728</v>
      </c>
      <c r="O438" s="13" t="s">
        <v>1827</v>
      </c>
      <c r="P438" s="19" t="n">
        <v>5444909</v>
      </c>
      <c r="Q438" s="20" t="s">
        <v>1973</v>
      </c>
      <c r="R438" s="13" t="s">
        <v>52</v>
      </c>
      <c r="S438" s="14" t="n">
        <v>34623</v>
      </c>
      <c r="T438" s="13" t="s">
        <v>108</v>
      </c>
      <c r="U438" s="13" t="s">
        <v>1974</v>
      </c>
      <c r="V438" s="13" t="s">
        <v>42</v>
      </c>
      <c r="W438" s="13" t="s">
        <v>54</v>
      </c>
      <c r="X438" s="21" t="n">
        <v>895623397355</v>
      </c>
      <c r="Y438" s="22" t="str">
        <f aca="false">O438</f>
        <v>Printing Operator</v>
      </c>
      <c r="Z438" s="13" t="str">
        <f aca="false">IFERROR(__xludf.dummyfunction("if(BJ438="""","""",GOOGLETRANSLATE(BJ438,""auto"",""en""))"),"Printing Operator")</f>
        <v>Printing Operator</v>
      </c>
      <c r="AA438" s="23" t="str">
        <f aca="false">IF(C438="","", CHOOSE(MONTH(C438),"January","February","March","April","May","June","July","August","September","October","November","December")&amp;" "&amp;DAY(C438)&amp;MID("thstndrdth",MIN(9,2*RIGHT(DAY(C438))*(MOD(DAY(C438)-11,100)&gt;2)+1),2)&amp;","&amp;TEXT(C438," yyyy"))</f>
        <v>June 3rd,2024</v>
      </c>
      <c r="AB438" s="15" t="str">
        <f aca="true">IF(S438="","",DATEDIF(S438,TODAY(),"Y")&amp;" Tahun, "&amp;DATEDIF(S438,TODAY(),"YM")&amp;" Bulan, "&amp;DATEDIF(S438,TODAY(),"MD")&amp;" Hari")</f>
        <v>32 Tahun, 0 Bulan, 13 Hari</v>
      </c>
      <c r="AC438" s="18" t="n">
        <v>45659</v>
      </c>
      <c r="AD438" s="18" t="n">
        <v>46021</v>
      </c>
      <c r="AE438" s="13" t="s">
        <v>397</v>
      </c>
    </row>
    <row r="439" customFormat="false" ht="15.75" hidden="false" customHeight="true" outlineLevel="0" collapsed="false">
      <c r="A439" s="12" t="n">
        <v>2292</v>
      </c>
      <c r="B439" s="13" t="s">
        <v>1975</v>
      </c>
      <c r="C439" s="14" t="n">
        <v>42682</v>
      </c>
      <c r="D439" s="13" t="s">
        <v>1721</v>
      </c>
      <c r="E439" s="15" t="s">
        <v>33</v>
      </c>
      <c r="F439" s="24" t="s">
        <v>1976</v>
      </c>
      <c r="G439" s="13" t="s">
        <v>1977</v>
      </c>
      <c r="H439" s="13" t="s">
        <v>35</v>
      </c>
      <c r="I439" s="13" t="str">
        <f aca="false">IF(C439=J439,"NEW KONTRAK","RE-KONTRAK")</f>
        <v>RE-KONTRAK</v>
      </c>
      <c r="J439" s="16" t="n">
        <f aca="false" t="array" ref="J439:J439">IFERROR(INDEX(AC439:AE439,IF(COUNTA(AC439:AE439)=0,"",MAX((AC439:AE439&lt;&gt;"")*(COLUMN(AC439:AE439)-(COLUMN(AC439)))))-1),"")</f>
        <v>45659</v>
      </c>
      <c r="K439" s="16" t="n">
        <f aca="false" t="array" ref="K439:K439">IFERROR(INDEX(AC439:AE439,IF(COUNTA(AC439:AE439)=0,"",MAX((AC439:AE439&lt;&gt;"")*(COLUMN(AC439:AE439)-(COLUMN(AC439)-1))))-1),"")</f>
        <v>46015</v>
      </c>
      <c r="L439" s="17" t="str">
        <f aca="false" t="array" ref="L439:L439">IFERROR(INDEX(AC439:AE439,IF(COUNTA(AC439:AE439)=0,"",MAX((AC439:AE439&lt;&gt;"")*(COLUMN(AC439:AE439)-(COLUMN(AC439)-2))))-1),"")</f>
        <v>ARCHIVED</v>
      </c>
      <c r="M439" s="13" t="n">
        <f aca="true">K439-TODAY()</f>
        <v>-309</v>
      </c>
      <c r="N439" s="18" t="s">
        <v>728</v>
      </c>
      <c r="O439" s="13" t="s">
        <v>1738</v>
      </c>
      <c r="P439" s="19" t="n">
        <v>5444909</v>
      </c>
      <c r="Q439" s="20" t="s">
        <v>1978</v>
      </c>
      <c r="R439" s="13" t="s">
        <v>1979</v>
      </c>
      <c r="S439" s="14" t="n">
        <v>32120</v>
      </c>
      <c r="T439" s="13" t="s">
        <v>108</v>
      </c>
      <c r="U439" s="13" t="s">
        <v>1980</v>
      </c>
      <c r="V439" s="13" t="s">
        <v>99</v>
      </c>
      <c r="W439" s="13" t="s">
        <v>54</v>
      </c>
      <c r="X439" s="21" t="n">
        <v>87851461443</v>
      </c>
      <c r="Y439" s="22" t="str">
        <f aca="false">O439</f>
        <v>IM Operator</v>
      </c>
      <c r="Z439" s="13" t="str">
        <f aca="false">IFERROR(__xludf.dummyfunction("if(BJ439="""","""",GOOGLETRANSLATE(BJ439,""auto"",""en""))"),"IM Operator")</f>
        <v>IM Operator</v>
      </c>
      <c r="AA439" s="23" t="str">
        <f aca="false">IF(C439="","", CHOOSE(MONTH(C439),"January","February","March","April","May","June","July","August","September","October","November","December")&amp;" "&amp;DAY(C439)&amp;MID("thstndrdth",MIN(9,2*RIGHT(DAY(C439))*(MOD(DAY(C439)-11,100)&gt;2)+1),2)&amp;","&amp;TEXT(C439," yyyy"))</f>
        <v>November 8th,2016</v>
      </c>
      <c r="AB439" s="15" t="str">
        <f aca="true">IF(S439="","",DATEDIF(S439,TODAY(),"Y")&amp;" Tahun, "&amp;DATEDIF(S439,TODAY(),"YM")&amp;" Bulan, "&amp;DATEDIF(S439,TODAY(),"MD")&amp;" Hari")</f>
        <v>38 Tahun, 10 Bulan, 20 Hari</v>
      </c>
      <c r="AC439" s="18" t="n">
        <v>45659</v>
      </c>
      <c r="AD439" s="18" t="n">
        <v>46015</v>
      </c>
      <c r="AE439" s="18" t="s">
        <v>44</v>
      </c>
    </row>
    <row r="440" customFormat="false" ht="15.75" hidden="false" customHeight="true" outlineLevel="0" collapsed="false">
      <c r="A440" s="12" t="n">
        <v>4674</v>
      </c>
      <c r="B440" s="13" t="s">
        <v>1981</v>
      </c>
      <c r="C440" s="14" t="n">
        <v>44563</v>
      </c>
      <c r="D440" s="13" t="s">
        <v>1721</v>
      </c>
      <c r="E440" s="15" t="s">
        <v>47</v>
      </c>
      <c r="F440" s="15" t="str">
        <f aca="false">IFERROR(__xludf.dummyfunction("XLOOKUP(AJ440,IMPORTRANGE(""1XaInW9DU9nz21V0tYIfzFQ0He9kVQ_JF2mCXgZ3hqFA"",""REKAP ALL 2026 - Andika!G:G""),IMPORTRANGE(""1XaInW9DU9nz21V0tYIfzFQ0He9kVQ_JF2mCXgZ3hqFA"",""REKAP ALL 2026 - Andika!F:F""),"""",0)"),"21096161969")</f>
        <v>21096161969</v>
      </c>
      <c r="G440" s="13" t="s">
        <v>1982</v>
      </c>
      <c r="H440" s="13" t="s">
        <v>35</v>
      </c>
      <c r="I440" s="13" t="str">
        <f aca="false">IF(C440=J440,"NEW KONTRAK","RE-KONTRAK")</f>
        <v>RE-KONTRAK</v>
      </c>
      <c r="J440" s="16" t="n">
        <f aca="false" t="array" ref="J440:J440">IFERROR(INDEX(AC440:AE440,IF(COUNTA(AC440:AE440)=0,"",MAX((AC440:AE440&lt;&gt;"")*(COLUMN(AC440:AE440)-(COLUMN(AC440)))))-1),"")</f>
        <v>45659</v>
      </c>
      <c r="K440" s="16" t="n">
        <f aca="false" t="array" ref="K440:K440">IFERROR(INDEX(AC440:AE440,IF(COUNTA(AC440:AE440)=0,"",MAX((AC440:AE440&lt;&gt;"")*(COLUMN(AC440:AE440)-(COLUMN(AC440)-1))))-1),"")</f>
        <v>46021</v>
      </c>
      <c r="L440" s="17" t="str">
        <f aca="false" t="array" ref="L440:L440">IFERROR(INDEX(AC440:AE440,IF(COUNTA(AC440:AE440)=0,"",MAX((AC440:AE440&lt;&gt;"")*(COLUMN(AC440:AE440)-(COLUMN(AC440)-2))))-1),"")</f>
        <v>KEMBALI</v>
      </c>
      <c r="M440" s="13" t="n">
        <f aca="true">K440-TODAY()</f>
        <v>-303</v>
      </c>
      <c r="N440" s="18" t="s">
        <v>728</v>
      </c>
      <c r="O440" s="13" t="s">
        <v>1765</v>
      </c>
      <c r="P440" s="19" t="n">
        <v>5444909</v>
      </c>
      <c r="Q440" s="20" t="s">
        <v>1983</v>
      </c>
      <c r="R440" s="13" t="s">
        <v>255</v>
      </c>
      <c r="S440" s="14" t="n">
        <v>35656</v>
      </c>
      <c r="T440" s="13" t="s">
        <v>108</v>
      </c>
      <c r="U440" s="13" t="s">
        <v>1984</v>
      </c>
      <c r="V440" s="13" t="s">
        <v>42</v>
      </c>
      <c r="W440" s="13" t="s">
        <v>54</v>
      </c>
      <c r="X440" s="21" t="n">
        <v>83856423895</v>
      </c>
      <c r="Y440" s="22" t="str">
        <f aca="false">O440</f>
        <v>Assy Operator</v>
      </c>
      <c r="Z440" s="13" t="str">
        <f aca="false">IFERROR(__xludf.dummyfunction("if(BJ440="""","""",GOOGLETRANSLATE(BJ440,""auto"",""en""))"),"Assy Operator")</f>
        <v>Assy Operator</v>
      </c>
      <c r="AA440" s="23" t="str">
        <f aca="false">IF(C440="","", CHOOSE(MONTH(C440),"January","February","March","April","May","June","July","August","September","October","November","December")&amp;" "&amp;DAY(C440)&amp;MID("thstndrdth",MIN(9,2*RIGHT(DAY(C440))*(MOD(DAY(C440)-11,100)&gt;2)+1),2)&amp;","&amp;TEXT(C440," yyyy"))</f>
        <v>January 2nd,2022</v>
      </c>
      <c r="AB440" s="15" t="str">
        <f aca="true">IF(S440="","",DATEDIF(S440,TODAY(),"Y")&amp;" Tahun, "&amp;DATEDIF(S440,TODAY(),"YM")&amp;" Bulan, "&amp;DATEDIF(S440,TODAY(),"MD")&amp;" Hari")</f>
        <v>29 Tahun, 2 Bulan, 15 Hari</v>
      </c>
      <c r="AC440" s="18" t="n">
        <v>45659</v>
      </c>
      <c r="AD440" s="18" t="n">
        <v>46021</v>
      </c>
      <c r="AE440" s="13" t="s">
        <v>397</v>
      </c>
    </row>
    <row r="441" customFormat="false" ht="15.75" hidden="false" customHeight="true" outlineLevel="0" collapsed="false">
      <c r="A441" s="12" t="n">
        <v>2152</v>
      </c>
      <c r="B441" s="13" t="s">
        <v>1985</v>
      </c>
      <c r="C441" s="14" t="n">
        <v>44563</v>
      </c>
      <c r="D441" s="13" t="s">
        <v>1721</v>
      </c>
      <c r="E441" s="15" t="s">
        <v>47</v>
      </c>
      <c r="F441" s="15" t="str">
        <f aca="false">IFERROR(__xludf.dummyfunction("XLOOKUP(AJ441,IMPORTRANGE(""1XaInW9DU9nz21V0tYIfzFQ0He9kVQ_JF2mCXgZ3hqFA"",""REKAP ALL 2026 - Andika!G:G""),IMPORTRANGE(""1XaInW9DU9nz21V0tYIfzFQ0He9kVQ_JF2mCXgZ3hqFA"",""REKAP ALL 2026 - Andika!F:F""),"""",0)"),"21096162165")</f>
        <v>21096162165</v>
      </c>
      <c r="G441" s="13" t="s">
        <v>1986</v>
      </c>
      <c r="H441" s="13" t="s">
        <v>35</v>
      </c>
      <c r="I441" s="13" t="str">
        <f aca="false">IF(C441=J441,"NEW KONTRAK","RE-KONTRAK")</f>
        <v>RE-KONTRAK</v>
      </c>
      <c r="J441" s="16" t="n">
        <f aca="false" t="array" ref="J441:J441">IFERROR(INDEX(AC441:AE441,IF(COUNTA(AC441:AE441)=0,"",MAX((AC441:AE441&lt;&gt;"")*(COLUMN(AC441:AE441)-(COLUMN(AC441)))))-1),"")</f>
        <v>45659</v>
      </c>
      <c r="K441" s="16" t="n">
        <f aca="false" t="array" ref="K441:K441">IFERROR(INDEX(AC441:AE441,IF(COUNTA(AC441:AE441)=0,"",MAX((AC441:AE441&lt;&gt;"")*(COLUMN(AC441:AE441)-(COLUMN(AC441)-1))))-1),"")</f>
        <v>46021</v>
      </c>
      <c r="L441" s="17" t="str">
        <f aca="false" t="array" ref="L441:L441">IFERROR(INDEX(AC441:AE441,IF(COUNTA(AC441:AE441)=0,"",MAX((AC441:AE441&lt;&gt;"")*(COLUMN(AC441:AE441)-(COLUMN(AC441)-2))))-1),"")</f>
        <v>KEMBALI</v>
      </c>
      <c r="M441" s="13" t="n">
        <f aca="true">K441-TODAY()</f>
        <v>-303</v>
      </c>
      <c r="N441" s="18" t="s">
        <v>728</v>
      </c>
      <c r="O441" s="13" t="s">
        <v>1765</v>
      </c>
      <c r="P441" s="19" t="n">
        <v>5444909</v>
      </c>
      <c r="Q441" s="20" t="s">
        <v>1987</v>
      </c>
      <c r="R441" s="13" t="s">
        <v>52</v>
      </c>
      <c r="S441" s="14" t="n">
        <v>32478</v>
      </c>
      <c r="T441" s="13" t="s">
        <v>108</v>
      </c>
      <c r="U441" s="13" t="s">
        <v>1988</v>
      </c>
      <c r="V441" s="13" t="s">
        <v>42</v>
      </c>
      <c r="W441" s="13" t="s">
        <v>54</v>
      </c>
      <c r="X441" s="21" t="n">
        <v>895355287729</v>
      </c>
      <c r="Y441" s="22" t="str">
        <f aca="false">O441</f>
        <v>Assy Operator</v>
      </c>
      <c r="Z441" s="13" t="str">
        <f aca="false">IFERROR(__xludf.dummyfunction("if(BJ441="""","""",GOOGLETRANSLATE(BJ441,""auto"",""en""))"),"Assy Operator")</f>
        <v>Assy Operator</v>
      </c>
      <c r="AA441" s="23" t="str">
        <f aca="false">IF(C441="","", CHOOSE(MONTH(C441),"January","February","March","April","May","June","July","August","September","October","November","December")&amp;" "&amp;DAY(C441)&amp;MID("thstndrdth",MIN(9,2*RIGHT(DAY(C441))*(MOD(DAY(C441)-11,100)&gt;2)+1),2)&amp;","&amp;TEXT(C441," yyyy"))</f>
        <v>January 2nd,2022</v>
      </c>
      <c r="AB441" s="15" t="str">
        <f aca="true">IF(S441="","",DATEDIF(S441,TODAY(),"Y")&amp;" Tahun, "&amp;DATEDIF(S441,TODAY(),"YM")&amp;" Bulan, "&amp;DATEDIF(S441,TODAY(),"MD")&amp;" Hari")</f>
        <v>37 Tahun, 10 Bulan, 28 Hari</v>
      </c>
      <c r="AC441" s="18" t="n">
        <v>45659</v>
      </c>
      <c r="AD441" s="18" t="n">
        <v>46021</v>
      </c>
      <c r="AE441" s="13" t="s">
        <v>397</v>
      </c>
    </row>
    <row r="442" customFormat="false" ht="15.75" hidden="false" customHeight="true" outlineLevel="0" collapsed="false">
      <c r="A442" s="12" t="n">
        <v>4630</v>
      </c>
      <c r="B442" s="13" t="s">
        <v>1989</v>
      </c>
      <c r="C442" s="14" t="n">
        <v>44563</v>
      </c>
      <c r="D442" s="13" t="s">
        <v>1721</v>
      </c>
      <c r="E442" s="15" t="s">
        <v>47</v>
      </c>
      <c r="F442" s="15" t="str">
        <f aca="false">IFERROR(__xludf.dummyfunction("XLOOKUP(AJ442,IMPORTRANGE(""1XaInW9DU9nz21V0tYIfzFQ0He9kVQ_JF2mCXgZ3hqFA"",""REKAP ALL 2026 - Andika!G:G""),IMPORTRANGE(""1XaInW9DU9nz21V0tYIfzFQ0He9kVQ_JF2mCXgZ3hqFA"",""REKAP ALL 2026 - Andika!F:F""),"""",0)"),"22015020005")</f>
        <v>22015020005</v>
      </c>
      <c r="G442" s="13" t="s">
        <v>1990</v>
      </c>
      <c r="H442" s="13" t="s">
        <v>35</v>
      </c>
      <c r="I442" s="13" t="str">
        <f aca="false">IF(C442=J442,"NEW KONTRAK","RE-KONTRAK")</f>
        <v>RE-KONTRAK</v>
      </c>
      <c r="J442" s="16" t="n">
        <f aca="false" t="array" ref="J442:J442">IFERROR(INDEX(AC442:AE442,IF(COUNTA(AC442:AE442)=0,"",MAX((AC442:AE442&lt;&gt;"")*(COLUMN(AC442:AE442)-(COLUMN(AC442)))))-1),"")</f>
        <v>45659</v>
      </c>
      <c r="K442" s="16" t="n">
        <f aca="false" t="array" ref="K442:K442">IFERROR(INDEX(AC442:AE442,IF(COUNTA(AC442:AE442)=0,"",MAX((AC442:AE442&lt;&gt;"")*(COLUMN(AC442:AE442)-(COLUMN(AC442)-1))))-1),"")</f>
        <v>46021</v>
      </c>
      <c r="L442" s="17" t="str">
        <f aca="false" t="array" ref="L442:L442">IFERROR(INDEX(AC442:AE442,IF(COUNTA(AC442:AE442)=0,"",MAX((AC442:AE442&lt;&gt;"")*(COLUMN(AC442:AE442)-(COLUMN(AC442)-2))))-1),"")</f>
        <v>KEMBALI</v>
      </c>
      <c r="M442" s="13" t="n">
        <f aca="true">K442-TODAY()</f>
        <v>-303</v>
      </c>
      <c r="N442" s="18" t="s">
        <v>728</v>
      </c>
      <c r="O442" s="13" t="s">
        <v>1765</v>
      </c>
      <c r="P442" s="19" t="n">
        <v>5444909</v>
      </c>
      <c r="Q442" s="20" t="s">
        <v>1991</v>
      </c>
      <c r="R442" s="13" t="s">
        <v>227</v>
      </c>
      <c r="S442" s="14" t="n">
        <v>35644</v>
      </c>
      <c r="T442" s="13" t="s">
        <v>108</v>
      </c>
      <c r="U442" s="13" t="s">
        <v>1992</v>
      </c>
      <c r="V442" s="13" t="s">
        <v>42</v>
      </c>
      <c r="W442" s="13" t="s">
        <v>54</v>
      </c>
      <c r="X442" s="21" t="n">
        <v>83874711262</v>
      </c>
      <c r="Y442" s="22" t="str">
        <f aca="false">O442</f>
        <v>Assy Operator</v>
      </c>
      <c r="Z442" s="13" t="str">
        <f aca="false">IFERROR(__xludf.dummyfunction("if(BJ442="""","""",GOOGLETRANSLATE(BJ442,""auto"",""en""))"),"Assy Operator")</f>
        <v>Assy Operator</v>
      </c>
      <c r="AA442" s="23" t="str">
        <f aca="false">IF(C442="","", CHOOSE(MONTH(C442),"January","February","March","April","May","June","July","August","September","October","November","December")&amp;" "&amp;DAY(C442)&amp;MID("thstndrdth",MIN(9,2*RIGHT(DAY(C442))*(MOD(DAY(C442)-11,100)&gt;2)+1),2)&amp;","&amp;TEXT(C442," yyyy"))</f>
        <v>January 2nd,2022</v>
      </c>
      <c r="AB442" s="15" t="str">
        <f aca="true">IF(S442="","",DATEDIF(S442,TODAY(),"Y")&amp;" Tahun, "&amp;DATEDIF(S442,TODAY(),"YM")&amp;" Bulan, "&amp;DATEDIF(S442,TODAY(),"MD")&amp;" Hari")</f>
        <v>29 Tahun, 2 Bulan, 27 Hari</v>
      </c>
      <c r="AC442" s="18" t="n">
        <v>45659</v>
      </c>
      <c r="AD442" s="18" t="n">
        <v>46021</v>
      </c>
      <c r="AE442" s="13" t="s">
        <v>397</v>
      </c>
    </row>
    <row r="443" customFormat="false" ht="15.75" hidden="false" customHeight="true" outlineLevel="0" collapsed="false">
      <c r="A443" s="12" t="n">
        <v>2301</v>
      </c>
      <c r="B443" s="13" t="s">
        <v>1993</v>
      </c>
      <c r="C443" s="14" t="n">
        <v>41547</v>
      </c>
      <c r="D443" s="13" t="s">
        <v>1721</v>
      </c>
      <c r="E443" s="15" t="s">
        <v>789</v>
      </c>
      <c r="F443" s="15" t="str">
        <f aca="false">IFERROR(__xludf.dummyfunction("XLOOKUP(AJ443,IMPORTRANGE(""1XaInW9DU9nz21V0tYIfzFQ0He9kVQ_JF2mCXgZ3hqFA"",""REKAP ALL 2026 - Andika!G:G""),IMPORTRANGE(""1XaInW9DU9nz21V0tYIfzFQ0He9kVQ_JF2mCXgZ3hqFA"",""REKAP ALL 2026 - Andika!F:F""),"""",0)"),"19018857425")</f>
        <v>19018857425</v>
      </c>
      <c r="G443" s="13" t="s">
        <v>1994</v>
      </c>
      <c r="H443" s="13" t="s">
        <v>35</v>
      </c>
      <c r="I443" s="13" t="str">
        <f aca="false">IF(C443=J443,"NEW KONTRAK","RE-KONTRAK")</f>
        <v>RE-KONTRAK</v>
      </c>
      <c r="J443" s="16" t="n">
        <f aca="false" t="array" ref="J443:J443">IFERROR(INDEX(AC443:AE443,IF(COUNTA(AC443:AE443)=0,"",MAX((AC443:AE443&lt;&gt;"")*(COLUMN(AC443:AE443)-(COLUMN(AC443)))))-1),"")</f>
        <v>45659</v>
      </c>
      <c r="K443" s="16" t="n">
        <f aca="false" t="array" ref="K443:K443">IFERROR(INDEX(AC443:AE443,IF(COUNTA(AC443:AE443)=0,"",MAX((AC443:AE443&lt;&gt;"")*(COLUMN(AC443:AE443)-(COLUMN(AC443)-1))))-1),"")</f>
        <v>46015</v>
      </c>
      <c r="L443" s="17" t="str">
        <f aca="false" t="array" ref="L443:L443">IFERROR(INDEX(AC443:AE443,IF(COUNTA(AC443:AE443)=0,"",MAX((AC443:AE443&lt;&gt;"")*(COLUMN(AC443:AE443)-(COLUMN(AC443)-2))))-1),"")</f>
        <v>ARCHIVED</v>
      </c>
      <c r="M443" s="13" t="n">
        <f aca="true">K443-TODAY()</f>
        <v>-309</v>
      </c>
      <c r="N443" s="18" t="s">
        <v>728</v>
      </c>
      <c r="O443" s="13" t="s">
        <v>1995</v>
      </c>
      <c r="P443" s="19" t="n">
        <v>5444909</v>
      </c>
      <c r="Q443" s="20" t="s">
        <v>1996</v>
      </c>
      <c r="R443" s="13" t="s">
        <v>83</v>
      </c>
      <c r="S443" s="14" t="n">
        <v>36637</v>
      </c>
      <c r="T443" s="13" t="s">
        <v>40</v>
      </c>
      <c r="U443" s="13" t="s">
        <v>1997</v>
      </c>
      <c r="V443" s="13" t="s">
        <v>42</v>
      </c>
      <c r="W443" s="13" t="s">
        <v>43</v>
      </c>
      <c r="X443" s="21" t="n">
        <v>85736452320</v>
      </c>
      <c r="Y443" s="22" t="str">
        <f aca="false">O443</f>
        <v>MPC Teknisi</v>
      </c>
      <c r="Z443" s="13" t="str">
        <f aca="false">IFERROR(__xludf.dummyfunction("if(BJ443="""","""",GOOGLETRANSLATE(BJ443,""auto"",""en""))"),"MPC Technician")</f>
        <v>MPC Technician</v>
      </c>
      <c r="AA443" s="23" t="str">
        <f aca="false">IF(C443="","", CHOOSE(MONTH(C443),"January","February","March","April","May","June","July","August","September","October","November","December")&amp;" "&amp;DAY(C443)&amp;MID("thstndrdth",MIN(9,2*RIGHT(DAY(C443))*(MOD(DAY(C443)-11,100)&gt;2)+1),2)&amp;","&amp;TEXT(C443," yyyy"))</f>
        <v>September 30th,2013</v>
      </c>
      <c r="AB443" s="15" t="str">
        <f aca="true">IF(S443="","",DATEDIF(S443,TODAY(),"Y")&amp;" Tahun, "&amp;DATEDIF(S443,TODAY(),"YM")&amp;" Bulan, "&amp;DATEDIF(S443,TODAY(),"MD")&amp;" Hari")</f>
        <v>26 Tahun, 6 Bulan, 8 Hari</v>
      </c>
      <c r="AC443" s="18" t="n">
        <v>45659</v>
      </c>
      <c r="AD443" s="18" t="n">
        <v>46015</v>
      </c>
      <c r="AE443" s="18" t="s">
        <v>44</v>
      </c>
    </row>
    <row r="444" customFormat="false" ht="15.75" hidden="false" customHeight="true" outlineLevel="0" collapsed="false">
      <c r="A444" s="12" t="n">
        <v>22982</v>
      </c>
      <c r="B444" s="13" t="s">
        <v>1998</v>
      </c>
      <c r="C444" s="14" t="n">
        <v>46307</v>
      </c>
      <c r="D444" s="13" t="s">
        <v>1721</v>
      </c>
      <c r="E444" s="13" t="s">
        <v>47</v>
      </c>
      <c r="F444" s="24" t="s">
        <v>1999</v>
      </c>
      <c r="G444" s="13" t="s">
        <v>1127</v>
      </c>
      <c r="H444" s="13" t="s">
        <v>35</v>
      </c>
      <c r="I444" s="13" t="str">
        <f aca="false">IF(C444=J444,"NEW KONTRAK","RE-KONTRAK")</f>
        <v>NEW KONTRAK</v>
      </c>
      <c r="J444" s="16" t="n">
        <f aca="false" t="array" ref="J444:J444">IFERROR(INDEX(AC444:AE444,IF(COUNTA(AC444:AE444)=0,"",MAX((AC444:AE444&lt;&gt;"")*(COLUMN(AC444:AE444)-(COLUMN(AC444)))))-1),"")</f>
        <v>46307</v>
      </c>
      <c r="K444" s="16" t="n">
        <f aca="false" t="array" ref="K444:K444">IFERROR(INDEX(AC444:AE444,IF(COUNTA(AC444:AE444)=0,"",MAX((AC444:AE444&lt;&gt;"")*(COLUMN(AC444:AE444)-(COLUMN(AC444)-1))))-1),"")</f>
        <v>46386</v>
      </c>
      <c r="L444" s="17" t="str">
        <f aca="false" t="array" ref="L444:L444">IFERROR(INDEX(AC444:AE444,IF(COUNTA(AC444:AE444)=0,"",MAX((AC444:AE444&lt;&gt;"")*(COLUMN(AC444:AE444)-(COLUMN(AC444)-2))))-1),"")</f>
        <v>PRINTED</v>
      </c>
      <c r="M444" s="13" t="n">
        <f aca="true">K444-TODAY()</f>
        <v>62</v>
      </c>
      <c r="N444" s="18" t="s">
        <v>728</v>
      </c>
      <c r="O444" s="13" t="s">
        <v>1738</v>
      </c>
      <c r="P444" s="26" t="n">
        <v>5444909</v>
      </c>
      <c r="Q444" s="20" t="s">
        <v>2000</v>
      </c>
      <c r="R444" s="13" t="s">
        <v>2001</v>
      </c>
      <c r="S444" s="25" t="n">
        <v>35156</v>
      </c>
      <c r="T444" s="13" t="s">
        <v>108</v>
      </c>
      <c r="U444" s="13" t="s">
        <v>2002</v>
      </c>
      <c r="V444" s="13" t="s">
        <v>42</v>
      </c>
      <c r="W444" s="13" t="s">
        <v>54</v>
      </c>
      <c r="X444" s="21" t="n">
        <v>895700115751</v>
      </c>
      <c r="Y444" s="22" t="str">
        <f aca="false">O444</f>
        <v>IM Operator</v>
      </c>
      <c r="Z444" s="13" t="str">
        <f aca="false">IFERROR(__xludf.dummyfunction("if(BJ444="""","""",GOOGLETRANSLATE(BJ444,""auto"",""en""))"),"IM Operator")</f>
        <v>IM Operator</v>
      </c>
      <c r="AA444" s="23" t="str">
        <f aca="false">IF(C444="","", CHOOSE(MONTH(C444),"January","February","March","April","May","June","July","August","September","October","November","December")&amp;" "&amp;DAY(C444)&amp;MID("thstndrdth",MIN(9,2*RIGHT(DAY(C444))*(MOD(DAY(C444)-11,100)&gt;2)+1),2)&amp;","&amp;TEXT(C444," yyyy"))</f>
        <v>October 12th,2026</v>
      </c>
      <c r="AB444" s="15" t="str">
        <f aca="true">IF(S444="","",DATEDIF(S444,TODAY(),"Y")&amp;" Tahun, "&amp;DATEDIF(S444,TODAY(),"YM")&amp;" Bulan, "&amp;DATEDIF(S444,TODAY(),"MD")&amp;" Hari")</f>
        <v>30 Tahun, 6 Bulan, 28 Hari</v>
      </c>
      <c r="AC444" s="14" t="n">
        <v>46307</v>
      </c>
      <c r="AD444" s="18" t="n">
        <v>46386</v>
      </c>
      <c r="AE444" s="13" t="s">
        <v>1752</v>
      </c>
    </row>
    <row r="445" customFormat="false" ht="15.75" hidden="false" customHeight="true" outlineLevel="0" collapsed="false">
      <c r="A445" s="12" t="n">
        <v>22983</v>
      </c>
      <c r="B445" s="13" t="s">
        <v>2003</v>
      </c>
      <c r="C445" s="14" t="n">
        <v>46307</v>
      </c>
      <c r="D445" s="13" t="s">
        <v>1721</v>
      </c>
      <c r="E445" s="13" t="s">
        <v>47</v>
      </c>
      <c r="F445" s="24" t="s">
        <v>2004</v>
      </c>
      <c r="G445" s="13" t="s">
        <v>1127</v>
      </c>
      <c r="H445" s="13" t="s">
        <v>35</v>
      </c>
      <c r="I445" s="13" t="str">
        <f aca="false">IF(C445=J445,"NEW KONTRAK","RE-KONTRAK")</f>
        <v>NEW KONTRAK</v>
      </c>
      <c r="J445" s="16" t="n">
        <f aca="false" t="array" ref="J445:J445">IFERROR(INDEX(AC445:AE445,IF(COUNTA(AC445:AE445)=0,"",MAX((AC445:AE445&lt;&gt;"")*(COLUMN(AC445:AE445)-(COLUMN(AC445)))))-1),"")</f>
        <v>46307</v>
      </c>
      <c r="K445" s="16" t="n">
        <f aca="false" t="array" ref="K445:K445">IFERROR(INDEX(AC445:AE445,IF(COUNTA(AC445:AE445)=0,"",MAX((AC445:AE445&lt;&gt;"")*(COLUMN(AC445:AE445)-(COLUMN(AC445)-1))))-1),"")</f>
        <v>46386</v>
      </c>
      <c r="L445" s="17" t="str">
        <f aca="false" t="array" ref="L445:L445">IFERROR(INDEX(AC445:AE445,IF(COUNTA(AC445:AE445)=0,"",MAX((AC445:AE445&lt;&gt;"")*(COLUMN(AC445:AE445)-(COLUMN(AC445)-2))))-1),"")</f>
        <v>PRINTED</v>
      </c>
      <c r="M445" s="13" t="n">
        <f aca="true">K445-TODAY()</f>
        <v>62</v>
      </c>
      <c r="N445" s="18" t="s">
        <v>728</v>
      </c>
      <c r="O445" s="13" t="s">
        <v>1738</v>
      </c>
      <c r="P445" s="26" t="n">
        <v>5444909</v>
      </c>
      <c r="Q445" s="20" t="s">
        <v>2005</v>
      </c>
      <c r="R445" s="13" t="s">
        <v>52</v>
      </c>
      <c r="S445" s="25" t="n">
        <v>33582</v>
      </c>
      <c r="T445" s="13" t="s">
        <v>108</v>
      </c>
      <c r="U445" s="13" t="s">
        <v>2006</v>
      </c>
      <c r="V445" s="13" t="s">
        <v>42</v>
      </c>
      <c r="W445" s="13" t="s">
        <v>54</v>
      </c>
      <c r="X445" s="21" t="n">
        <v>85607760038</v>
      </c>
      <c r="Y445" s="22" t="str">
        <f aca="false">O445</f>
        <v>IM Operator</v>
      </c>
      <c r="Z445" s="13" t="str">
        <f aca="false">IFERROR(__xludf.dummyfunction("if(BJ445="""","""",GOOGLETRANSLATE(BJ445,""auto"",""en""))"),"IM Operator")</f>
        <v>IM Operator</v>
      </c>
      <c r="AA445" s="23" t="str">
        <f aca="false">IF(C445="","", CHOOSE(MONTH(C445),"January","February","March","April","May","June","July","August","September","October","November","December")&amp;" "&amp;DAY(C445)&amp;MID("thstndrdth",MIN(9,2*RIGHT(DAY(C445))*(MOD(DAY(C445)-11,100)&gt;2)+1),2)&amp;","&amp;TEXT(C445," yyyy"))</f>
        <v>October 12th,2026</v>
      </c>
      <c r="AB445" s="15" t="str">
        <f aca="true">IF(S445="","",DATEDIF(S445,TODAY(),"Y")&amp;" Tahun, "&amp;DATEDIF(S445,TODAY(),"YM")&amp;" Bulan, "&amp;DATEDIF(S445,TODAY(),"MD")&amp;" Hari")</f>
        <v>34 Tahun, 10 Bulan, 19 Hari</v>
      </c>
      <c r="AC445" s="14" t="n">
        <v>46307</v>
      </c>
      <c r="AD445" s="18" t="n">
        <v>46386</v>
      </c>
      <c r="AE445" s="13" t="s">
        <v>1752</v>
      </c>
    </row>
    <row r="446" customFormat="false" ht="15.75" hidden="false" customHeight="true" outlineLevel="0" collapsed="false">
      <c r="A446" s="12" t="n">
        <v>2307</v>
      </c>
      <c r="B446" s="13" t="s">
        <v>2007</v>
      </c>
      <c r="C446" s="14" t="n">
        <v>43922</v>
      </c>
      <c r="D446" s="13" t="s">
        <v>1721</v>
      </c>
      <c r="E446" s="15" t="s">
        <v>1778</v>
      </c>
      <c r="F446" s="24" t="s">
        <v>2008</v>
      </c>
      <c r="G446" s="13" t="s">
        <v>2009</v>
      </c>
      <c r="H446" s="13" t="s">
        <v>49</v>
      </c>
      <c r="I446" s="13" t="str">
        <f aca="false">IF(C446=J446,"NEW KONTRAK","RE-KONTRAK")</f>
        <v>RE-KONTRAK</v>
      </c>
      <c r="J446" s="16" t="n">
        <f aca="false" t="array" ref="J446:J446">IFERROR(INDEX(AC446:AE446,IF(COUNTA(AC446:AE446)=0,"",MAX((AC446:AE446&lt;&gt;"")*(COLUMN(AC446:AE446)-(COLUMN(AC446)))))-1),"")</f>
        <v>45659</v>
      </c>
      <c r="K446" s="16" t="n">
        <f aca="false" t="array" ref="K446:K446">IFERROR(INDEX(AC446:AE446,IF(COUNTA(AC446:AE446)=0,"",MAX((AC446:AE446&lt;&gt;"")*(COLUMN(AC446:AE446)-(COLUMN(AC446)-1))))-1),"")</f>
        <v>46015</v>
      </c>
      <c r="L446" s="17" t="str">
        <f aca="false" t="array" ref="L446:L446">IFERROR(INDEX(AC446:AE446,IF(COUNTA(AC446:AE446)=0,"",MAX((AC446:AE446&lt;&gt;"")*(COLUMN(AC446:AE446)-(COLUMN(AC446)-2))))-1),"")</f>
        <v>ARCHIVED</v>
      </c>
      <c r="M446" s="13" t="n">
        <f aca="true">K446-TODAY()</f>
        <v>-309</v>
      </c>
      <c r="N446" s="18" t="s">
        <v>728</v>
      </c>
      <c r="O446" s="13" t="s">
        <v>719</v>
      </c>
      <c r="P446" s="19" t="n">
        <v>5444909</v>
      </c>
      <c r="Q446" s="20" t="s">
        <v>2010</v>
      </c>
      <c r="R446" s="13" t="s">
        <v>148</v>
      </c>
      <c r="S446" s="14" t="n">
        <v>28550</v>
      </c>
      <c r="T446" s="13" t="s">
        <v>40</v>
      </c>
      <c r="U446" s="13" t="s">
        <v>2011</v>
      </c>
      <c r="V446" s="13" t="s">
        <v>42</v>
      </c>
      <c r="W446" s="13" t="s">
        <v>54</v>
      </c>
      <c r="X446" s="21" t="n">
        <v>85606189800</v>
      </c>
      <c r="Y446" s="22" t="str">
        <f aca="false">O446</f>
        <v>Cleaning Service</v>
      </c>
      <c r="Z446" s="13" t="str">
        <f aca="false">IFERROR(__xludf.dummyfunction("if(BJ446="""","""",GOOGLETRANSLATE(BJ446,""auto"",""en""))"),"Cleaning Service")</f>
        <v>Cleaning Service</v>
      </c>
      <c r="AA446" s="23" t="str">
        <f aca="false">IF(C446="","", CHOOSE(MONTH(C446),"January","February","March","April","May","June","July","August","September","October","November","December")&amp;" "&amp;DAY(C446)&amp;MID("thstndrdth",MIN(9,2*RIGHT(DAY(C446))*(MOD(DAY(C446)-11,100)&gt;2)+1),2)&amp;","&amp;TEXT(C446," yyyy"))</f>
        <v>April 1st,2020</v>
      </c>
      <c r="AB446" s="15" t="str">
        <f aca="true">IF(S446="","",DATEDIF(S446,TODAY(),"Y")&amp;" Tahun, "&amp;DATEDIF(S446,TODAY(),"YM")&amp;" Bulan, "&amp;DATEDIF(S446,TODAY(),"MD")&amp;" Hari")</f>
        <v>48 Tahun, 7 Bulan, 28 Hari</v>
      </c>
      <c r="AC446" s="18" t="n">
        <v>45659</v>
      </c>
      <c r="AD446" s="18" t="n">
        <v>46015</v>
      </c>
      <c r="AE446" s="18" t="s">
        <v>44</v>
      </c>
    </row>
    <row r="447" customFormat="false" ht="15.75" hidden="false" customHeight="true" outlineLevel="0" collapsed="false">
      <c r="A447" s="12" t="n">
        <v>2308</v>
      </c>
      <c r="B447" s="13" t="s">
        <v>2012</v>
      </c>
      <c r="C447" s="14" t="n">
        <v>42039</v>
      </c>
      <c r="D447" s="13" t="s">
        <v>1721</v>
      </c>
      <c r="E447" s="15" t="s">
        <v>1778</v>
      </c>
      <c r="F447" s="24" t="s">
        <v>2013</v>
      </c>
      <c r="G447" s="13" t="s">
        <v>2014</v>
      </c>
      <c r="H447" s="13" t="s">
        <v>49</v>
      </c>
      <c r="I447" s="13" t="str">
        <f aca="false">IF(C447=J447,"NEW KONTRAK","RE-KONTRAK")</f>
        <v>RE-KONTRAK</v>
      </c>
      <c r="J447" s="16" t="n">
        <f aca="false" t="array" ref="J447:J447">IFERROR(INDEX(AC447:AE447,IF(COUNTA(AC447:AE447)=0,"",MAX((AC447:AE447&lt;&gt;"")*(COLUMN(AC447:AE447)-(COLUMN(AC447)))))-1),"")</f>
        <v>45659</v>
      </c>
      <c r="K447" s="16" t="n">
        <f aca="false" t="array" ref="K447:K447">IFERROR(INDEX(AC447:AE447,IF(COUNTA(AC447:AE447)=0,"",MAX((AC447:AE447&lt;&gt;"")*(COLUMN(AC447:AE447)-(COLUMN(AC447)-1))))-1),"")</f>
        <v>46015</v>
      </c>
      <c r="L447" s="17" t="str">
        <f aca="false" t="array" ref="L447:L447">IFERROR(INDEX(AC447:AE447,IF(COUNTA(AC447:AE447)=0,"",MAX((AC447:AE447&lt;&gt;"")*(COLUMN(AC447:AE447)-(COLUMN(AC447)-2))))-1),"")</f>
        <v>ARCHIVED</v>
      </c>
      <c r="M447" s="13" t="n">
        <f aca="true">K447-TODAY()</f>
        <v>-309</v>
      </c>
      <c r="N447" s="18" t="s">
        <v>728</v>
      </c>
      <c r="O447" s="13" t="s">
        <v>719</v>
      </c>
      <c r="P447" s="19" t="n">
        <v>5444909</v>
      </c>
      <c r="Q447" s="20" t="s">
        <v>2015</v>
      </c>
      <c r="R447" s="13" t="s">
        <v>52</v>
      </c>
      <c r="S447" s="14" t="n">
        <v>33646</v>
      </c>
      <c r="T447" s="13" t="s">
        <v>40</v>
      </c>
      <c r="U447" s="13" t="s">
        <v>2016</v>
      </c>
      <c r="V447" s="13" t="s">
        <v>42</v>
      </c>
      <c r="W447" s="13" t="s">
        <v>54</v>
      </c>
      <c r="X447" s="21" t="n">
        <v>89628114946</v>
      </c>
      <c r="Y447" s="22" t="str">
        <f aca="false">O447</f>
        <v>Cleaning Service</v>
      </c>
      <c r="Z447" s="13" t="str">
        <f aca="false">IFERROR(__xludf.dummyfunction("if(BJ447="""","""",GOOGLETRANSLATE(BJ447,""auto"",""en""))"),"Cleaning Service")</f>
        <v>Cleaning Service</v>
      </c>
      <c r="AA447" s="23" t="str">
        <f aca="false">IF(C447="","", CHOOSE(MONTH(C447),"January","February","March","April","May","June","July","August","September","October","November","December")&amp;" "&amp;DAY(C447)&amp;MID("thstndrdth",MIN(9,2*RIGHT(DAY(C447))*(MOD(DAY(C447)-11,100)&gt;2)+1),2)&amp;","&amp;TEXT(C447," yyyy"))</f>
        <v>February 4th,2015</v>
      </c>
      <c r="AB447" s="15" t="str">
        <f aca="true">IF(S447="","",DATEDIF(S447,TODAY(),"Y")&amp;" Tahun, "&amp;DATEDIF(S447,TODAY(),"YM")&amp;" Bulan, "&amp;DATEDIF(S447,TODAY(),"MD")&amp;" Hari")</f>
        <v>34 Tahun, 8 Bulan, 17 Hari</v>
      </c>
      <c r="AC447" s="18" t="n">
        <v>45659</v>
      </c>
      <c r="AD447" s="18" t="n">
        <v>46015</v>
      </c>
      <c r="AE447" s="18" t="s">
        <v>44</v>
      </c>
    </row>
    <row r="448" customFormat="false" ht="15.75" hidden="false" customHeight="true" outlineLevel="0" collapsed="false">
      <c r="A448" s="12" t="n">
        <v>2309</v>
      </c>
      <c r="B448" s="13" t="s">
        <v>2017</v>
      </c>
      <c r="C448" s="14" t="n">
        <v>42370</v>
      </c>
      <c r="D448" s="13" t="s">
        <v>1721</v>
      </c>
      <c r="E448" s="15" t="s">
        <v>1778</v>
      </c>
      <c r="F448" s="24" t="s">
        <v>2018</v>
      </c>
      <c r="G448" s="13" t="s">
        <v>2019</v>
      </c>
      <c r="H448" s="13" t="s">
        <v>49</v>
      </c>
      <c r="I448" s="13" t="str">
        <f aca="false">IF(C448=J448,"NEW KONTRAK","RE-KONTRAK")</f>
        <v>RE-KONTRAK</v>
      </c>
      <c r="J448" s="16" t="n">
        <f aca="false" t="array" ref="J448:J448">IFERROR(INDEX(AC448:AE448,IF(COUNTA(AC448:AE448)=0,"",MAX((AC448:AE448&lt;&gt;"")*(COLUMN(AC448:AE448)-(COLUMN(AC448)))))-1),"")</f>
        <v>45659</v>
      </c>
      <c r="K448" s="16" t="n">
        <f aca="false" t="array" ref="K448:K448">IFERROR(INDEX(AC448:AE448,IF(COUNTA(AC448:AE448)=0,"",MAX((AC448:AE448&lt;&gt;"")*(COLUMN(AC448:AE448)-(COLUMN(AC448)-1))))-1),"")</f>
        <v>46015</v>
      </c>
      <c r="L448" s="17" t="str">
        <f aca="false" t="array" ref="L448:L448">IFERROR(INDEX(AC448:AE448,IF(COUNTA(AC448:AE448)=0,"",MAX((AC448:AE448&lt;&gt;"")*(COLUMN(AC448:AE448)-(COLUMN(AC448)-2))))-1),"")</f>
        <v>ARCHIVED</v>
      </c>
      <c r="M448" s="13" t="n">
        <f aca="true">K448-TODAY()</f>
        <v>-309</v>
      </c>
      <c r="N448" s="18" t="s">
        <v>728</v>
      </c>
      <c r="O448" s="13" t="s">
        <v>719</v>
      </c>
      <c r="P448" s="19" t="n">
        <v>5444909</v>
      </c>
      <c r="Q448" s="20" t="s">
        <v>2020</v>
      </c>
      <c r="R448" s="13" t="s">
        <v>39</v>
      </c>
      <c r="S448" s="14" t="n">
        <v>27492</v>
      </c>
      <c r="T448" s="13" t="s">
        <v>40</v>
      </c>
      <c r="U448" s="13" t="s">
        <v>2021</v>
      </c>
      <c r="V448" s="13" t="s">
        <v>42</v>
      </c>
      <c r="W448" s="13" t="s">
        <v>54</v>
      </c>
      <c r="X448" s="21" t="n">
        <v>81331413270</v>
      </c>
      <c r="Y448" s="22" t="str">
        <f aca="false">O448</f>
        <v>Cleaning Service</v>
      </c>
      <c r="Z448" s="13" t="str">
        <f aca="false">IFERROR(__xludf.dummyfunction("if(BJ448="""","""",GOOGLETRANSLATE(BJ448,""auto"",""en""))"),"Cleaning Service")</f>
        <v>Cleaning Service</v>
      </c>
      <c r="AA448" s="23" t="str">
        <f aca="false">IF(C448="","", CHOOSE(MONTH(C448),"January","February","March","April","May","June","July","August","September","October","November","December")&amp;" "&amp;DAY(C448)&amp;MID("thstndrdth",MIN(9,2*RIGHT(DAY(C448))*(MOD(DAY(C448)-11,100)&gt;2)+1),2)&amp;","&amp;TEXT(C448," yyyy"))</f>
        <v>January 1st,2016</v>
      </c>
      <c r="AB448" s="15" t="str">
        <f aca="true">IF(S448="","",DATEDIF(S448,TODAY(),"Y")&amp;" Tahun, "&amp;DATEDIF(S448,TODAY(),"YM")&amp;" Bulan, "&amp;DATEDIF(S448,TODAY(),"MD")&amp;" Hari")</f>
        <v>51 Tahun, 6 Bulan, 21 Hari</v>
      </c>
      <c r="AC448" s="18" t="n">
        <v>45659</v>
      </c>
      <c r="AD448" s="18" t="n">
        <v>46015</v>
      </c>
      <c r="AE448" s="18" t="s">
        <v>44</v>
      </c>
    </row>
    <row r="449" customFormat="false" ht="15.75" hidden="false" customHeight="true" outlineLevel="0" collapsed="false">
      <c r="A449" s="12" t="n">
        <v>2310</v>
      </c>
      <c r="B449" s="13" t="s">
        <v>2022</v>
      </c>
      <c r="C449" s="14" t="n">
        <v>41922</v>
      </c>
      <c r="D449" s="13" t="s">
        <v>1721</v>
      </c>
      <c r="E449" s="15" t="s">
        <v>1778</v>
      </c>
      <c r="F449" s="24" t="s">
        <v>2023</v>
      </c>
      <c r="G449" s="13" t="s">
        <v>2024</v>
      </c>
      <c r="H449" s="13" t="s">
        <v>49</v>
      </c>
      <c r="I449" s="13" t="str">
        <f aca="false">IF(C449=J449,"NEW KONTRAK","RE-KONTRAK")</f>
        <v>RE-KONTRAK</v>
      </c>
      <c r="J449" s="16" t="n">
        <f aca="false" t="array" ref="J449:J449">IFERROR(INDEX(AC449:AE449,IF(COUNTA(AC449:AE449)=0,"",MAX((AC449:AE449&lt;&gt;"")*(COLUMN(AC449:AE449)-(COLUMN(AC449)))))-1),"")</f>
        <v>45659</v>
      </c>
      <c r="K449" s="16" t="n">
        <f aca="false" t="array" ref="K449:K449">IFERROR(INDEX(AC449:AE449,IF(COUNTA(AC449:AE449)=0,"",MAX((AC449:AE449&lt;&gt;"")*(COLUMN(AC449:AE449)-(COLUMN(AC449)-1))))-1),"")</f>
        <v>46015</v>
      </c>
      <c r="L449" s="17" t="str">
        <f aca="false" t="array" ref="L449:L449">IFERROR(INDEX(AC449:AE449,IF(COUNTA(AC449:AE449)=0,"",MAX((AC449:AE449&lt;&gt;"")*(COLUMN(AC449:AE449)-(COLUMN(AC449)-2))))-1),"")</f>
        <v>ARCHIVED</v>
      </c>
      <c r="M449" s="13" t="n">
        <f aca="true">K449-TODAY()</f>
        <v>-309</v>
      </c>
      <c r="N449" s="18" t="s">
        <v>728</v>
      </c>
      <c r="O449" s="13" t="s">
        <v>719</v>
      </c>
      <c r="P449" s="19" t="n">
        <v>5444909</v>
      </c>
      <c r="Q449" s="20" t="s">
        <v>2025</v>
      </c>
      <c r="R449" s="13" t="s">
        <v>39</v>
      </c>
      <c r="S449" s="14" t="n">
        <v>31169</v>
      </c>
      <c r="T449" s="13" t="s">
        <v>40</v>
      </c>
      <c r="U449" s="13" t="s">
        <v>2026</v>
      </c>
      <c r="V449" s="13" t="s">
        <v>42</v>
      </c>
      <c r="W449" s="13" t="s">
        <v>54</v>
      </c>
      <c r="X449" s="21" t="n">
        <v>85732525159</v>
      </c>
      <c r="Y449" s="22" t="str">
        <f aca="false">O449</f>
        <v>Cleaning Service</v>
      </c>
      <c r="Z449" s="13" t="str">
        <f aca="false">IFERROR(__xludf.dummyfunction("if(BJ449="""","""",GOOGLETRANSLATE(BJ449,""auto"",""en""))"),"Cleaning Service")</f>
        <v>Cleaning Service</v>
      </c>
      <c r="AA449" s="23" t="str">
        <f aca="false">IF(C449="","", CHOOSE(MONTH(C449),"January","February","March","April","May","June","July","August","September","October","November","December")&amp;" "&amp;DAY(C449)&amp;MID("thstndrdth",MIN(9,2*RIGHT(DAY(C449))*(MOD(DAY(C449)-11,100)&gt;2)+1),2)&amp;","&amp;TEXT(C449," yyyy"))</f>
        <v>October 10th,2014</v>
      </c>
      <c r="AB449" s="15" t="str">
        <f aca="true">IF(S449="","",DATEDIF(S449,TODAY(),"Y")&amp;" Tahun, "&amp;DATEDIF(S449,TODAY(),"YM")&amp;" Bulan, "&amp;DATEDIF(S449,TODAY(),"MD")&amp;" Hari")</f>
        <v>41 Tahun, 5 Bulan, 27 Hari</v>
      </c>
      <c r="AC449" s="18" t="n">
        <v>45659</v>
      </c>
      <c r="AD449" s="18" t="n">
        <v>46015</v>
      </c>
      <c r="AE449" s="18" t="s">
        <v>44</v>
      </c>
    </row>
    <row r="450" customFormat="false" ht="15.75" hidden="false" customHeight="true" outlineLevel="0" collapsed="false">
      <c r="A450" s="12" t="n">
        <v>2311</v>
      </c>
      <c r="B450" s="13" t="s">
        <v>2027</v>
      </c>
      <c r="C450" s="14" t="n">
        <v>41227</v>
      </c>
      <c r="D450" s="13" t="s">
        <v>1721</v>
      </c>
      <c r="E450" s="15" t="s">
        <v>1778</v>
      </c>
      <c r="F450" s="24" t="s">
        <v>2028</v>
      </c>
      <c r="G450" s="13" t="s">
        <v>2029</v>
      </c>
      <c r="H450" s="13" t="s">
        <v>49</v>
      </c>
      <c r="I450" s="13" t="str">
        <f aca="false">IF(C450=J450,"NEW KONTRAK","RE-KONTRAK")</f>
        <v>RE-KONTRAK</v>
      </c>
      <c r="J450" s="16" t="n">
        <f aca="false" t="array" ref="J450:J450">IFERROR(INDEX(AC450:AE450,IF(COUNTA(AC450:AE450)=0,"",MAX((AC450:AE450&lt;&gt;"")*(COLUMN(AC450:AE450)-(COLUMN(AC450)))))-1),"")</f>
        <v>45659</v>
      </c>
      <c r="K450" s="16" t="n">
        <f aca="false" t="array" ref="K450:K450">IFERROR(INDEX(AC450:AE450,IF(COUNTA(AC450:AE450)=0,"",MAX((AC450:AE450&lt;&gt;"")*(COLUMN(AC450:AE450)-(COLUMN(AC450)-1))))-1),"")</f>
        <v>46015</v>
      </c>
      <c r="L450" s="17" t="str">
        <f aca="false" t="array" ref="L450:L450">IFERROR(INDEX(AC450:AE450,IF(COUNTA(AC450:AE450)=0,"",MAX((AC450:AE450&lt;&gt;"")*(COLUMN(AC450:AE450)-(COLUMN(AC450)-2))))-1),"")</f>
        <v>ARCHIVED</v>
      </c>
      <c r="M450" s="13" t="n">
        <f aca="true">K450-TODAY()</f>
        <v>-309</v>
      </c>
      <c r="N450" s="18" t="s">
        <v>728</v>
      </c>
      <c r="O450" s="13" t="s">
        <v>719</v>
      </c>
      <c r="P450" s="19" t="n">
        <v>5444909</v>
      </c>
      <c r="Q450" s="20" t="s">
        <v>2030</v>
      </c>
      <c r="R450" s="13" t="s">
        <v>879</v>
      </c>
      <c r="S450" s="14" t="n">
        <v>26703</v>
      </c>
      <c r="T450" s="13" t="s">
        <v>40</v>
      </c>
      <c r="U450" s="13" t="s">
        <v>2031</v>
      </c>
      <c r="V450" s="13" t="s">
        <v>42</v>
      </c>
      <c r="W450" s="13" t="s">
        <v>54</v>
      </c>
      <c r="X450" s="21" t="n">
        <v>895623371342</v>
      </c>
      <c r="Y450" s="22" t="str">
        <f aca="false">O450</f>
        <v>Cleaning Service</v>
      </c>
      <c r="Z450" s="13" t="str">
        <f aca="false">IFERROR(__xludf.dummyfunction("if(BJ450="""","""",GOOGLETRANSLATE(BJ450,""auto"",""en""))"),"Cleaning Service")</f>
        <v>Cleaning Service</v>
      </c>
      <c r="AA450" s="23" t="str">
        <f aca="false">IF(C450="","", CHOOSE(MONTH(C450),"January","February","March","April","May","June","July","August","September","October","November","December")&amp;" "&amp;DAY(C450)&amp;MID("thstndrdth",MIN(9,2*RIGHT(DAY(C450))*(MOD(DAY(C450)-11,100)&gt;2)+1),2)&amp;","&amp;TEXT(C450," yyyy"))</f>
        <v>November 14th,2012</v>
      </c>
      <c r="AB450" s="15" t="str">
        <f aca="true">IF(S450="","",DATEDIF(S450,TODAY(),"Y")&amp;" Tahun, "&amp;DATEDIF(S450,TODAY(),"YM")&amp;" Bulan, "&amp;DATEDIF(S450,TODAY(),"MD")&amp;" Hari")</f>
        <v>53 Tahun, 8 Bulan, 21 Hari</v>
      </c>
      <c r="AC450" s="18" t="n">
        <v>45659</v>
      </c>
      <c r="AD450" s="18" t="n">
        <v>46015</v>
      </c>
      <c r="AE450" s="18" t="s">
        <v>44</v>
      </c>
    </row>
    <row r="451" customFormat="false" ht="15.75" hidden="false" customHeight="true" outlineLevel="0" collapsed="false">
      <c r="A451" s="12" t="n">
        <v>3058</v>
      </c>
      <c r="B451" s="13" t="s">
        <v>2032</v>
      </c>
      <c r="C451" s="14" t="n">
        <v>44363</v>
      </c>
      <c r="D451" s="13" t="s">
        <v>2033</v>
      </c>
      <c r="E451" s="15" t="s">
        <v>47</v>
      </c>
      <c r="F451" s="15" t="str">
        <f aca="false">IFERROR(__xludf.dummyfunction("XLOOKUP(AJ451,IMPORTRANGE(""1XaInW9DU9nz21V0tYIfzFQ0He9kVQ_JF2mCXgZ3hqFA"",""REKAP ALL 2026 - Andika!G:G""),IMPORTRANGE(""1XaInW9DU9nz21V0tYIfzFQ0He9kVQ_JF2mCXgZ3hqFA"",""REKAP ALL 2026 - Andika!F:F""),"""",0)"),"21038786659")</f>
        <v>21038786659</v>
      </c>
      <c r="G451" s="13" t="s">
        <v>2034</v>
      </c>
      <c r="H451" s="13" t="s">
        <v>2035</v>
      </c>
      <c r="I451" s="13" t="str">
        <f aca="false">IF(C451=J451,"NEW KONTRAK","RE-KONTRAK")</f>
        <v>RE-KONTRAK</v>
      </c>
      <c r="J451" s="16" t="n">
        <f aca="false" t="array" ref="J451:J451">IFERROR(INDEX(AC451:AE451,IF(COUNTA(AC451:AE451)=0,"",MAX((AC451:AE451&lt;&gt;"")*(COLUMN(AC451:AE451)-(COLUMN(AC451)))))-1),"")</f>
        <v>45744</v>
      </c>
      <c r="K451" s="16" t="n">
        <f aca="false" t="array" ref="K451:K451">IFERROR(INDEX(AC451:AE451,IF(COUNTA(AC451:AE451)=0,"",MAX((AC451:AE451&lt;&gt;"")*(COLUMN(AC451:AE451)-(COLUMN(AC451)-1))))-1),"")</f>
        <v>45915</v>
      </c>
      <c r="L451" s="17" t="str">
        <f aca="false" t="array" ref="L451:L451">IFERROR(INDEX(AC451:AE451,IF(COUNTA(AC451:AE451)=0,"",MAX((AC451:AE451&lt;&gt;"")*(COLUMN(AC451:AE451)-(COLUMN(AC451)-2))))-1),"")</f>
        <v>ARCHIVED</v>
      </c>
      <c r="M451" s="13" t="n">
        <f aca="true">K451-TODAY()</f>
        <v>-409</v>
      </c>
      <c r="N451" s="18" t="s">
        <v>2036</v>
      </c>
      <c r="O451" s="13" t="s">
        <v>2037</v>
      </c>
      <c r="P451" s="19" t="n">
        <v>3921000</v>
      </c>
      <c r="Q451" s="20" t="s">
        <v>2038</v>
      </c>
      <c r="R451" s="13" t="s">
        <v>2039</v>
      </c>
      <c r="S451" s="14" t="n">
        <v>37332</v>
      </c>
      <c r="T451" s="13" t="s">
        <v>108</v>
      </c>
      <c r="U451" s="13" t="s">
        <v>2040</v>
      </c>
      <c r="V451" s="13" t="s">
        <v>42</v>
      </c>
      <c r="W451" s="13" t="s">
        <v>43</v>
      </c>
      <c r="X451" s="21" t="n">
        <v>85395762588</v>
      </c>
      <c r="Y451" s="22" t="str">
        <f aca="false">O451</f>
        <v>SPG/BA</v>
      </c>
      <c r="Z451" s="13" t="str">
        <f aca="false">IFERROR(__xludf.dummyfunction("if(BJ451="""","""",GOOGLETRANSLATE(BJ451,""auto"",""en""))"),"SPG/BA")</f>
        <v>SPG/BA</v>
      </c>
      <c r="AA451" s="23" t="str">
        <f aca="false">IF(C451="","", CHOOSE(MONTH(C451),"January","February","March","April","May","June","July","August","September","October","November","December")&amp;" "&amp;DAY(C451)&amp;MID("thstndrdth",MIN(9,2*RIGHT(DAY(C451))*(MOD(DAY(C451)-11,100)&gt;2)+1),2)&amp;","&amp;TEXT(C451," yyyy"))</f>
        <v>June 16th,2021</v>
      </c>
      <c r="AB451" s="15" t="str">
        <f aca="true">IF(S451="","",DATEDIF(S451,TODAY(),"Y")&amp;" Tahun, "&amp;DATEDIF(S451,TODAY(),"YM")&amp;" Bulan, "&amp;DATEDIF(S451,TODAY(),"MD")&amp;" Hari")</f>
        <v>24 Tahun, 7 Bulan, 12 Hari</v>
      </c>
      <c r="AC451" s="18" t="n">
        <v>45744</v>
      </c>
      <c r="AD451" s="18" t="n">
        <v>45915</v>
      </c>
      <c r="AE451" s="18" t="s">
        <v>44</v>
      </c>
    </row>
    <row r="452" customFormat="false" ht="15.75" hidden="false" customHeight="true" outlineLevel="0" collapsed="false">
      <c r="A452" s="12" t="n">
        <v>1881</v>
      </c>
      <c r="B452" s="13" t="s">
        <v>2041</v>
      </c>
      <c r="C452" s="14" t="n">
        <v>44006</v>
      </c>
      <c r="D452" s="13" t="s">
        <v>101</v>
      </c>
      <c r="E452" s="15" t="s">
        <v>47</v>
      </c>
      <c r="F452" s="15" t="str">
        <f aca="false">IFERROR(__xludf.dummyfunction("XLOOKUP(AJ452,IMPORTRANGE(""1XaInW9DU9nz21V0tYIfzFQ0He9kVQ_JF2mCXgZ3hqFA"",""REKAP ALL 2026 - Andika!G:G""),IMPORTRANGE(""1XaInW9DU9nz21V0tYIfzFQ0He9kVQ_JF2mCXgZ3hqFA"",""REKAP ALL 2026 - Andika!F:F""),"""",0)"),"20056450735")</f>
        <v>20056450735</v>
      </c>
      <c r="G452" s="13" t="s">
        <v>2042</v>
      </c>
      <c r="H452" s="13" t="s">
        <v>35</v>
      </c>
      <c r="I452" s="13" t="str">
        <f aca="false">IF(C452=J452,"NEW KONTRAK","RE-KONTRAK")</f>
        <v>RE-KONTRAK</v>
      </c>
      <c r="J452" s="16" t="n">
        <f aca="false" t="array" ref="J452:J452">IFERROR(INDEX(AC452:AE452,IF(COUNTA(AC452:AE452)=0,"",MAX((AC452:AE452&lt;&gt;"")*(COLUMN(AC452:AE452)-(COLUMN(AC452)))))-1),"")</f>
        <v>45672</v>
      </c>
      <c r="K452" s="16" t="n">
        <f aca="false" t="array" ref="K452:K452">IFERROR(INDEX(AC452:AE452,IF(COUNTA(AC452:AE452)=0,"",MAX((AC452:AE452&lt;&gt;"")*(COLUMN(AC452:AE452)-(COLUMN(AC452)-1))))-1),"")</f>
        <v>46036</v>
      </c>
      <c r="L452" s="17" t="str">
        <f aca="false" t="array" ref="L452:L452">IFERROR(INDEX(AC452:AE452,IF(COUNTA(AC452:AE452)=0,"",MAX((AC452:AE452&lt;&gt;"")*(COLUMN(AC452:AE452)-(COLUMN(AC452)-2))))-1),"")</f>
        <v>ARCHIVED</v>
      </c>
      <c r="M452" s="13" t="n">
        <f aca="true">K452-TODAY()</f>
        <v>-288</v>
      </c>
      <c r="N452" s="18" t="s">
        <v>105</v>
      </c>
      <c r="O452" s="13" t="s">
        <v>106</v>
      </c>
      <c r="P452" s="31" t="n">
        <v>138915</v>
      </c>
      <c r="Q452" s="20" t="s">
        <v>2043</v>
      </c>
      <c r="R452" s="13" t="s">
        <v>39</v>
      </c>
      <c r="S452" s="25" t="n">
        <v>36678</v>
      </c>
      <c r="T452" s="13" t="s">
        <v>40</v>
      </c>
      <c r="U452" s="13" t="s">
        <v>2044</v>
      </c>
      <c r="V452" s="13" t="s">
        <v>42</v>
      </c>
      <c r="W452" s="13" t="s">
        <v>43</v>
      </c>
      <c r="X452" s="21" t="n">
        <v>89665346996</v>
      </c>
      <c r="Y452" s="22" t="str">
        <f aca="false">O452</f>
        <v>Produksi - Helper</v>
      </c>
      <c r="Z452" s="13" t="str">
        <f aca="false">IFERROR(__xludf.dummyfunction("if(BJ452="""","""",GOOGLETRANSLATE(BJ452,""auto"",""en""))"),"Production - Helper")</f>
        <v>Production - Helper</v>
      </c>
      <c r="AA452" s="23" t="str">
        <f aca="false">IF(C452="","", CHOOSE(MONTH(C452),"January","February","March","April","May","June","July","August","September","October","November","December")&amp;" "&amp;DAY(C452)&amp;MID("thstndrdth",MIN(9,2*RIGHT(DAY(C452))*(MOD(DAY(C452)-11,100)&gt;2)+1),2)&amp;","&amp;TEXT(C452," yyyy"))</f>
        <v>June 24th,2020</v>
      </c>
      <c r="AB452" s="15" t="str">
        <f aca="true">IF(S452="","",DATEDIF(S452,TODAY(),"Y")&amp;" Tahun, "&amp;DATEDIF(S452,TODAY(),"YM")&amp;" Bulan, "&amp;DATEDIF(S452,TODAY(),"MD")&amp;" Hari")</f>
        <v>26 Tahun, 4 Bulan, 28 Hari</v>
      </c>
      <c r="AC452" s="18" t="n">
        <v>45672</v>
      </c>
      <c r="AD452" s="18" t="n">
        <v>46036</v>
      </c>
      <c r="AE452" s="18" t="s">
        <v>44</v>
      </c>
    </row>
    <row r="453" customFormat="false" ht="15.75" hidden="false" customHeight="true" outlineLevel="0" collapsed="false">
      <c r="A453" s="12" t="n">
        <v>2338</v>
      </c>
      <c r="B453" s="13" t="s">
        <v>2045</v>
      </c>
      <c r="C453" s="14" t="n">
        <v>44461</v>
      </c>
      <c r="D453" s="13" t="s">
        <v>2046</v>
      </c>
      <c r="E453" s="15" t="s">
        <v>789</v>
      </c>
      <c r="F453" s="24" t="s">
        <v>2047</v>
      </c>
      <c r="G453" s="13" t="s">
        <v>2048</v>
      </c>
      <c r="H453" s="13" t="s">
        <v>35</v>
      </c>
      <c r="I453" s="13" t="str">
        <f aca="false">IF(C453=J453,"NEW KONTRAK","RE-KONTRAK")</f>
        <v>RE-KONTRAK</v>
      </c>
      <c r="J453" s="16" t="n">
        <f aca="false" t="array" ref="J453:J453">IFERROR(INDEX(AC453:AE453,IF(COUNTA(AC453:AE453)=0,"",MAX((AC453:AE453&lt;&gt;"")*(COLUMN(AC453:AE453)-(COLUMN(AC453)))))-1),"")</f>
        <v>45839</v>
      </c>
      <c r="K453" s="16" t="n">
        <f aca="false" t="array" ref="K453:K453">IFERROR(INDEX(AC453:AE453,IF(COUNTA(AC453:AE453)=0,"",MAX((AC453:AE453&lt;&gt;"")*(COLUMN(AC453:AE453)-(COLUMN(AC453)-1))))-1),"")</f>
        <v>45961</v>
      </c>
      <c r="L453" s="17" t="str">
        <f aca="false" t="array" ref="L453:L453">IFERROR(INDEX(AC453:AE453,IF(COUNTA(AC453:AE453)=0,"",MAX((AC453:AE453&lt;&gt;"")*(COLUMN(AC453:AE453)-(COLUMN(AC453)-2))))-1),"")</f>
        <v>ARCHIVED</v>
      </c>
      <c r="M453" s="13" t="n">
        <f aca="true">K453-TODAY()</f>
        <v>-363</v>
      </c>
      <c r="N453" s="18" t="s">
        <v>36</v>
      </c>
      <c r="O453" s="13" t="s">
        <v>2049</v>
      </c>
      <c r="P453" s="19" t="s">
        <v>2050</v>
      </c>
      <c r="Q453" s="20" t="s">
        <v>2051</v>
      </c>
      <c r="R453" s="13" t="s">
        <v>274</v>
      </c>
      <c r="S453" s="14" t="n">
        <v>35592</v>
      </c>
      <c r="T453" s="13" t="s">
        <v>40</v>
      </c>
      <c r="U453" s="13" t="s">
        <v>2052</v>
      </c>
      <c r="V453" s="28" t="s">
        <v>42</v>
      </c>
      <c r="W453" s="13" t="s">
        <v>43</v>
      </c>
      <c r="X453" s="21" t="n">
        <v>87731713541</v>
      </c>
      <c r="Y453" s="22" t="str">
        <f aca="false">O453</f>
        <v>Produksi Extrude</v>
      </c>
      <c r="Z453" s="13" t="str">
        <f aca="false">IFERROR(__xludf.dummyfunction("if(BJ453="""","""",GOOGLETRANSLATE(BJ453,""auto"",""en""))"),"Extrude Production")</f>
        <v>Extrude Production</v>
      </c>
      <c r="AA453" s="23" t="str">
        <f aca="false">IF(C453="","", CHOOSE(MONTH(C453),"January","February","March","April","May","June","July","August","September","October","November","December")&amp;" "&amp;DAY(C453)&amp;MID("thstndrdth",MIN(9,2*RIGHT(DAY(C453))*(MOD(DAY(C453)-11,100)&gt;2)+1),2)&amp;","&amp;TEXT(C453," yyyy"))</f>
        <v>September 22nd,2021</v>
      </c>
      <c r="AB453" s="15" t="str">
        <f aca="true">IF(S453="","",DATEDIF(S453,TODAY(),"Y")&amp;" Tahun, "&amp;DATEDIF(S453,TODAY(),"YM")&amp;" Bulan, "&amp;DATEDIF(S453,TODAY(),"MD")&amp;" Hari")</f>
        <v>29 Tahun, 4 Bulan, 18 Hari</v>
      </c>
      <c r="AC453" s="18" t="n">
        <v>45839</v>
      </c>
      <c r="AD453" s="18" t="n">
        <v>45961</v>
      </c>
      <c r="AE453" s="18" t="s">
        <v>44</v>
      </c>
    </row>
    <row r="454" customFormat="false" ht="15.75" hidden="false" customHeight="true" outlineLevel="0" collapsed="false">
      <c r="A454" s="12" t="n">
        <v>2340</v>
      </c>
      <c r="B454" s="13" t="s">
        <v>2053</v>
      </c>
      <c r="C454" s="14" t="n">
        <v>44461</v>
      </c>
      <c r="D454" s="13" t="s">
        <v>2046</v>
      </c>
      <c r="E454" s="15" t="s">
        <v>102</v>
      </c>
      <c r="F454" s="15" t="str">
        <f aca="false">IFERROR(__xludf.dummyfunction("XLOOKUP(AJ454,IMPORTRANGE(""1XaInW9DU9nz21V0tYIfzFQ0He9kVQ_JF2mCXgZ3hqFA"",""REKAP ALL 2026 - Andika!G:G""),IMPORTRANGE(""1XaInW9DU9nz21V0tYIfzFQ0He9kVQ_JF2mCXgZ3hqFA"",""REKAP ALL 2026 - Andika!F:F""),"""",0)"),"21094560568")</f>
        <v>21094560568</v>
      </c>
      <c r="G454" s="13" t="s">
        <v>2054</v>
      </c>
      <c r="H454" s="13" t="s">
        <v>35</v>
      </c>
      <c r="I454" s="13" t="str">
        <f aca="false">IF(C454=J454,"NEW KONTRAK","RE-KONTRAK")</f>
        <v>RE-KONTRAK</v>
      </c>
      <c r="J454" s="16" t="n">
        <f aca="false" t="array" ref="J454:J454">IFERROR(INDEX(AC454:AE454,IF(COUNTA(AC454:AE454)=0,"",MAX((AC454:AE454&lt;&gt;"")*(COLUMN(AC454:AE454)-(COLUMN(AC454)))))-1),"")</f>
        <v>45839</v>
      </c>
      <c r="K454" s="16" t="n">
        <f aca="false" t="array" ref="K454:K454">IFERROR(INDEX(AC454:AE454,IF(COUNTA(AC454:AE454)=0,"",MAX((AC454:AE454&lt;&gt;"")*(COLUMN(AC454:AE454)-(COLUMN(AC454)-1))))-1),"")</f>
        <v>45961</v>
      </c>
      <c r="L454" s="17" t="str">
        <f aca="false" t="array" ref="L454:L454">IFERROR(INDEX(AC454:AE454,IF(COUNTA(AC454:AE454)=0,"",MAX((AC454:AE454&lt;&gt;"")*(COLUMN(AC454:AE454)-(COLUMN(AC454)-2))))-1),"")</f>
        <v>ARCHIVED</v>
      </c>
      <c r="M454" s="13" t="n">
        <f aca="true">K454-TODAY()</f>
        <v>-363</v>
      </c>
      <c r="N454" s="18" t="s">
        <v>36</v>
      </c>
      <c r="O454" s="13" t="s">
        <v>2055</v>
      </c>
      <c r="P454" s="19" t="s">
        <v>2050</v>
      </c>
      <c r="Q454" s="20" t="s">
        <v>2056</v>
      </c>
      <c r="R454" s="13" t="s">
        <v>78</v>
      </c>
      <c r="S454" s="14" t="n">
        <v>36198</v>
      </c>
      <c r="T454" s="13" t="s">
        <v>40</v>
      </c>
      <c r="U454" s="13" t="s">
        <v>2057</v>
      </c>
      <c r="V454" s="28" t="s">
        <v>42</v>
      </c>
      <c r="W454" s="13" t="s">
        <v>54</v>
      </c>
      <c r="X454" s="21" t="n">
        <v>85820042870</v>
      </c>
      <c r="Y454" s="22" t="str">
        <f aca="false">O454</f>
        <v>Assembly</v>
      </c>
      <c r="Z454" s="13" t="str">
        <f aca="false">IFERROR(__xludf.dummyfunction("if(BJ454="""","""",GOOGLETRANSLATE(BJ454,""auto"",""en""))"),"Assembly")</f>
        <v>Assembly</v>
      </c>
      <c r="AA454" s="23" t="str">
        <f aca="false">IF(C454="","", CHOOSE(MONTH(C454),"January","February","March","April","May","June","July","August","September","October","November","December")&amp;" "&amp;DAY(C454)&amp;MID("thstndrdth",MIN(9,2*RIGHT(DAY(C454))*(MOD(DAY(C454)-11,100)&gt;2)+1),2)&amp;","&amp;TEXT(C454," yyyy"))</f>
        <v>September 22nd,2021</v>
      </c>
      <c r="AB454" s="15" t="str">
        <f aca="true">IF(S454="","",DATEDIF(S454,TODAY(),"Y")&amp;" Tahun, "&amp;DATEDIF(S454,TODAY(),"YM")&amp;" Bulan, "&amp;DATEDIF(S454,TODAY(),"MD")&amp;" Hari")</f>
        <v>27 Tahun, 8 Bulan, 22 Hari</v>
      </c>
      <c r="AC454" s="18" t="n">
        <v>45839</v>
      </c>
      <c r="AD454" s="18" t="n">
        <v>45961</v>
      </c>
      <c r="AE454" s="18" t="s">
        <v>44</v>
      </c>
    </row>
    <row r="455" customFormat="false" ht="15.75" hidden="false" customHeight="true" outlineLevel="0" collapsed="false">
      <c r="A455" s="12" t="n">
        <v>2341</v>
      </c>
      <c r="B455" s="13" t="s">
        <v>2058</v>
      </c>
      <c r="C455" s="14" t="n">
        <v>44461</v>
      </c>
      <c r="D455" s="13" t="s">
        <v>2046</v>
      </c>
      <c r="E455" s="15" t="s">
        <v>102</v>
      </c>
      <c r="F455" s="24" t="s">
        <v>2059</v>
      </c>
      <c r="G455" s="13" t="s">
        <v>2060</v>
      </c>
      <c r="H455" s="13" t="s">
        <v>35</v>
      </c>
      <c r="I455" s="13" t="str">
        <f aca="false">IF(C455=J455,"NEW KONTRAK","RE-KONTRAK")</f>
        <v>RE-KONTRAK</v>
      </c>
      <c r="J455" s="16" t="n">
        <f aca="false" t="array" ref="J455:J455">IFERROR(INDEX(AC455:AE455,IF(COUNTA(AC455:AE455)=0,"",MAX((AC455:AE455&lt;&gt;"")*(COLUMN(AC455:AE455)-(COLUMN(AC455)))))-1),"")</f>
        <v>45839</v>
      </c>
      <c r="K455" s="16" t="n">
        <f aca="false" t="array" ref="K455:K455">IFERROR(INDEX(AC455:AE455,IF(COUNTA(AC455:AE455)=0,"",MAX((AC455:AE455&lt;&gt;"")*(COLUMN(AC455:AE455)-(COLUMN(AC455)-1))))-1),"")</f>
        <v>45961</v>
      </c>
      <c r="L455" s="17" t="str">
        <f aca="false" t="array" ref="L455:L455">IFERROR(INDEX(AC455:AE455,IF(COUNTA(AC455:AE455)=0,"",MAX((AC455:AE455&lt;&gt;"")*(COLUMN(AC455:AE455)-(COLUMN(AC455)-2))))-1),"")</f>
        <v>ARCHIVED</v>
      </c>
      <c r="M455" s="13" t="n">
        <f aca="true">K455-TODAY()</f>
        <v>-363</v>
      </c>
      <c r="N455" s="18" t="s">
        <v>36</v>
      </c>
      <c r="O455" s="13" t="s">
        <v>2055</v>
      </c>
      <c r="P455" s="19" t="s">
        <v>2050</v>
      </c>
      <c r="Q455" s="20" t="s">
        <v>2061</v>
      </c>
      <c r="R455" s="13" t="s">
        <v>60</v>
      </c>
      <c r="S455" s="14" t="n">
        <v>34374</v>
      </c>
      <c r="T455" s="13" t="s">
        <v>40</v>
      </c>
      <c r="U455" s="13" t="s">
        <v>2062</v>
      </c>
      <c r="V455" s="28" t="s">
        <v>42</v>
      </c>
      <c r="W455" s="13" t="s">
        <v>43</v>
      </c>
      <c r="X455" s="21" t="n">
        <v>81222548097</v>
      </c>
      <c r="Y455" s="22" t="str">
        <f aca="false">O455</f>
        <v>Assembly</v>
      </c>
      <c r="Z455" s="13" t="str">
        <f aca="false">IFERROR(__xludf.dummyfunction("if(BJ455="""","""",GOOGLETRANSLATE(BJ455,""auto"",""en""))"),"Assembly")</f>
        <v>Assembly</v>
      </c>
      <c r="AA455" s="23" t="str">
        <f aca="false">IF(C455="","", CHOOSE(MONTH(C455),"January","February","March","April","May","June","July","August","September","October","November","December")&amp;" "&amp;DAY(C455)&amp;MID("thstndrdth",MIN(9,2*RIGHT(DAY(C455))*(MOD(DAY(C455)-11,100)&gt;2)+1),2)&amp;","&amp;TEXT(C455," yyyy"))</f>
        <v>September 22nd,2021</v>
      </c>
      <c r="AB455" s="15" t="str">
        <f aca="true">IF(S455="","",DATEDIF(S455,TODAY(),"Y")&amp;" Tahun, "&amp;DATEDIF(S455,TODAY(),"YM")&amp;" Bulan, "&amp;DATEDIF(S455,TODAY(),"MD")&amp;" Hari")</f>
        <v>32 Tahun, 8 Bulan, 20 Hari</v>
      </c>
      <c r="AC455" s="18" t="n">
        <v>45839</v>
      </c>
      <c r="AD455" s="18" t="n">
        <v>45961</v>
      </c>
      <c r="AE455" s="18" t="s">
        <v>44</v>
      </c>
    </row>
    <row r="456" customFormat="false" ht="15.75" hidden="false" customHeight="true" outlineLevel="0" collapsed="false">
      <c r="A456" s="12" t="n">
        <v>2357</v>
      </c>
      <c r="B456" s="13" t="s">
        <v>2063</v>
      </c>
      <c r="C456" s="14" t="n">
        <v>44461</v>
      </c>
      <c r="D456" s="13" t="s">
        <v>2046</v>
      </c>
      <c r="E456" s="15" t="s">
        <v>102</v>
      </c>
      <c r="F456" s="15" t="str">
        <f aca="false">IFERROR(__xludf.dummyfunction("XLOOKUP(AJ456,IMPORTRANGE(""1XaInW9DU9nz21V0tYIfzFQ0He9kVQ_JF2mCXgZ3hqFA"",""REKAP ALL 2026 - Andika!G:G""),IMPORTRANGE(""1XaInW9DU9nz21V0tYIfzFQ0He9kVQ_JF2mCXgZ3hqFA"",""REKAP ALL 2026 - Andika!F:F""),"""",0)"),"21094560428")</f>
        <v>21094560428</v>
      </c>
      <c r="G456" s="13" t="s">
        <v>2064</v>
      </c>
      <c r="H456" s="13" t="s">
        <v>35</v>
      </c>
      <c r="I456" s="13" t="str">
        <f aca="false">IF(C456=J456,"NEW KONTRAK","RE-KONTRAK")</f>
        <v>RE-KONTRAK</v>
      </c>
      <c r="J456" s="16" t="n">
        <f aca="false" t="array" ref="J456:J456">IFERROR(INDEX(AC456:AE456,IF(COUNTA(AC456:AE456)=0,"",MAX((AC456:AE456&lt;&gt;"")*(COLUMN(AC456:AE456)-(COLUMN(AC456)))))-1),"")</f>
        <v>45839</v>
      </c>
      <c r="K456" s="16" t="n">
        <f aca="false" t="array" ref="K456:K456">IFERROR(INDEX(AC456:AE456,IF(COUNTA(AC456:AE456)=0,"",MAX((AC456:AE456&lt;&gt;"")*(COLUMN(AC456:AE456)-(COLUMN(AC456)-1))))-1),"")</f>
        <v>45961</v>
      </c>
      <c r="L456" s="17" t="str">
        <f aca="false" t="array" ref="L456:L456">IFERROR(INDEX(AC456:AE456,IF(COUNTA(AC456:AE456)=0,"",MAX((AC456:AE456&lt;&gt;"")*(COLUMN(AC456:AE456)-(COLUMN(AC456)-2))))-1),"")</f>
        <v>ARCHIVED</v>
      </c>
      <c r="M456" s="13" t="n">
        <f aca="true">K456-TODAY()</f>
        <v>-363</v>
      </c>
      <c r="N456" s="18" t="s">
        <v>36</v>
      </c>
      <c r="O456" s="13" t="s">
        <v>2055</v>
      </c>
      <c r="P456" s="19" t="s">
        <v>2050</v>
      </c>
      <c r="Q456" s="20" t="s">
        <v>2065</v>
      </c>
      <c r="R456" s="13" t="s">
        <v>232</v>
      </c>
      <c r="S456" s="14" t="n">
        <v>36987</v>
      </c>
      <c r="T456" s="13" t="s">
        <v>40</v>
      </c>
      <c r="U456" s="13" t="s">
        <v>2066</v>
      </c>
      <c r="V456" s="28" t="s">
        <v>42</v>
      </c>
      <c r="W456" s="13" t="s">
        <v>43</v>
      </c>
      <c r="X456" s="21" t="n">
        <v>89621110541</v>
      </c>
      <c r="Y456" s="22" t="str">
        <f aca="false">O456</f>
        <v>Assembly</v>
      </c>
      <c r="Z456" s="13" t="str">
        <f aca="false">IFERROR(__xludf.dummyfunction("if(BJ456="""","""",GOOGLETRANSLATE(BJ456,""auto"",""en""))"),"Assembly")</f>
        <v>Assembly</v>
      </c>
      <c r="AA456" s="23" t="str">
        <f aca="false">IF(C456="","", CHOOSE(MONTH(C456),"January","February","March","April","May","June","July","August","September","October","November","December")&amp;" "&amp;DAY(C456)&amp;MID("thstndrdth",MIN(9,2*RIGHT(DAY(C456))*(MOD(DAY(C456)-11,100)&gt;2)+1),2)&amp;","&amp;TEXT(C456," yyyy"))</f>
        <v>September 22nd,2021</v>
      </c>
      <c r="AB456" s="15" t="str">
        <f aca="true">IF(S456="","",DATEDIF(S456,TODAY(),"Y")&amp;" Tahun, "&amp;DATEDIF(S456,TODAY(),"YM")&amp;" Bulan, "&amp;DATEDIF(S456,TODAY(),"MD")&amp;" Hari")</f>
        <v>25 Tahun, 6 Bulan, 23 Hari</v>
      </c>
      <c r="AC456" s="18" t="n">
        <v>45839</v>
      </c>
      <c r="AD456" s="18" t="n">
        <v>45961</v>
      </c>
      <c r="AE456" s="18" t="s">
        <v>44</v>
      </c>
    </row>
    <row r="457" customFormat="false" ht="15.75" hidden="false" customHeight="true" outlineLevel="0" collapsed="false">
      <c r="A457" s="12" t="n">
        <v>2359</v>
      </c>
      <c r="B457" s="13" t="s">
        <v>2067</v>
      </c>
      <c r="C457" s="14" t="n">
        <v>44461</v>
      </c>
      <c r="D457" s="13" t="s">
        <v>2046</v>
      </c>
      <c r="E457" s="15" t="s">
        <v>789</v>
      </c>
      <c r="F457" s="24" t="s">
        <v>2068</v>
      </c>
      <c r="G457" s="13" t="s">
        <v>2069</v>
      </c>
      <c r="H457" s="13" t="s">
        <v>35</v>
      </c>
      <c r="I457" s="13" t="str">
        <f aca="false">IF(C457=J457,"NEW KONTRAK","RE-KONTRAK")</f>
        <v>RE-KONTRAK</v>
      </c>
      <c r="J457" s="16" t="n">
        <f aca="false" t="array" ref="J457:J457">IFERROR(INDEX(AC457:AE457,IF(COUNTA(AC457:AE457)=0,"",MAX((AC457:AE457&lt;&gt;"")*(COLUMN(AC457:AE457)-(COLUMN(AC457)))))-1),"")</f>
        <v>45839</v>
      </c>
      <c r="K457" s="16" t="n">
        <f aca="false" t="array" ref="K457:K457">IFERROR(INDEX(AC457:AE457,IF(COUNTA(AC457:AE457)=0,"",MAX((AC457:AE457&lt;&gt;"")*(COLUMN(AC457:AE457)-(COLUMN(AC457)-1))))-1),"")</f>
        <v>45961</v>
      </c>
      <c r="L457" s="17" t="str">
        <f aca="false" t="array" ref="L457:L457">IFERROR(INDEX(AC457:AE457,IF(COUNTA(AC457:AE457)=0,"",MAX((AC457:AE457&lt;&gt;"")*(COLUMN(AC457:AE457)-(COLUMN(AC457)-2))))-1),"")</f>
        <v>ARCHIVED</v>
      </c>
      <c r="M457" s="13" t="n">
        <f aca="true">K457-TODAY()</f>
        <v>-363</v>
      </c>
      <c r="N457" s="18" t="s">
        <v>36</v>
      </c>
      <c r="O457" s="13" t="s">
        <v>2049</v>
      </c>
      <c r="P457" s="19" t="s">
        <v>2050</v>
      </c>
      <c r="Q457" s="20" t="s">
        <v>2070</v>
      </c>
      <c r="R457" s="13" t="s">
        <v>232</v>
      </c>
      <c r="S457" s="14" t="n">
        <v>34498</v>
      </c>
      <c r="T457" s="13" t="s">
        <v>40</v>
      </c>
      <c r="U457" s="13" t="s">
        <v>2071</v>
      </c>
      <c r="V457" s="28" t="s">
        <v>42</v>
      </c>
      <c r="W457" s="13" t="s">
        <v>54</v>
      </c>
      <c r="X457" s="21" t="n">
        <v>87856522956</v>
      </c>
      <c r="Y457" s="22" t="str">
        <f aca="false">O457</f>
        <v>Produksi Extrude</v>
      </c>
      <c r="Z457" s="13" t="str">
        <f aca="false">IFERROR(__xludf.dummyfunction("if(BJ457="""","""",GOOGLETRANSLATE(BJ457,""auto"",""en""))"),"Extrude Production")</f>
        <v>Extrude Production</v>
      </c>
      <c r="AA457" s="23" t="str">
        <f aca="false">IF(C457="","", CHOOSE(MONTH(C457),"January","February","March","April","May","June","July","August","September","October","November","December")&amp;" "&amp;DAY(C457)&amp;MID("thstndrdth",MIN(9,2*RIGHT(DAY(C457))*(MOD(DAY(C457)-11,100)&gt;2)+1),2)&amp;","&amp;TEXT(C457," yyyy"))</f>
        <v>September 22nd,2021</v>
      </c>
      <c r="AB457" s="15" t="str">
        <f aca="true">IF(S457="","",DATEDIF(S457,TODAY(),"Y")&amp;" Tahun, "&amp;DATEDIF(S457,TODAY(),"YM")&amp;" Bulan, "&amp;DATEDIF(S457,TODAY(),"MD")&amp;" Hari")</f>
        <v>32 Tahun, 4 Bulan, 16 Hari</v>
      </c>
      <c r="AC457" s="18" t="n">
        <v>45839</v>
      </c>
      <c r="AD457" s="18" t="n">
        <v>45961</v>
      </c>
      <c r="AE457" s="18" t="s">
        <v>44</v>
      </c>
    </row>
    <row r="458" customFormat="false" ht="15.75" hidden="false" customHeight="true" outlineLevel="0" collapsed="false">
      <c r="A458" s="12" t="n">
        <v>2392</v>
      </c>
      <c r="B458" s="13" t="s">
        <v>2072</v>
      </c>
      <c r="C458" s="14" t="n">
        <v>44405</v>
      </c>
      <c r="D458" s="13" t="s">
        <v>101</v>
      </c>
      <c r="E458" s="15" t="s">
        <v>33</v>
      </c>
      <c r="F458" s="24" t="s">
        <v>2073</v>
      </c>
      <c r="G458" s="13" t="s">
        <v>2074</v>
      </c>
      <c r="H458" s="13" t="s">
        <v>35</v>
      </c>
      <c r="I458" s="13" t="str">
        <f aca="false">IF(C458=J458,"NEW KONTRAK","RE-KONTRAK")</f>
        <v>RE-KONTRAK</v>
      </c>
      <c r="J458" s="16" t="n">
        <f aca="false" t="array" ref="J458:J458">IFERROR(INDEX(AC458:AE458,IF(COUNTA(AC458:AE458)=0,"",MAX((AC458:AE458&lt;&gt;"")*(COLUMN(AC458:AE458)-(COLUMN(AC458)))))-1),"")</f>
        <v>45672</v>
      </c>
      <c r="K458" s="16" t="n">
        <f aca="false" t="array" ref="K458:K458">IFERROR(INDEX(AC458:AE458,IF(COUNTA(AC458:AE458)=0,"",MAX((AC458:AE458&lt;&gt;"")*(COLUMN(AC458:AE458)-(COLUMN(AC458)-1))))-1),"")</f>
        <v>46036</v>
      </c>
      <c r="L458" s="17" t="str">
        <f aca="false" t="array" ref="L458:L458">IFERROR(INDEX(AC458:AE458,IF(COUNTA(AC458:AE458)=0,"",MAX((AC458:AE458&lt;&gt;"")*(COLUMN(AC458:AE458)-(COLUMN(AC458)-2))))-1),"")</f>
        <v>ARCHIVED</v>
      </c>
      <c r="M458" s="13" t="n">
        <f aca="true">K458-TODAY()</f>
        <v>-288</v>
      </c>
      <c r="N458" s="18" t="s">
        <v>105</v>
      </c>
      <c r="O458" s="13" t="s">
        <v>1531</v>
      </c>
      <c r="P458" s="19" t="n">
        <v>126000</v>
      </c>
      <c r="Q458" s="20" t="s">
        <v>2075</v>
      </c>
      <c r="R458" s="13" t="s">
        <v>39</v>
      </c>
      <c r="S458" s="25" t="n">
        <v>34906</v>
      </c>
      <c r="T458" s="13" t="s">
        <v>108</v>
      </c>
      <c r="U458" s="13" t="s">
        <v>2076</v>
      </c>
      <c r="V458" s="13" t="s">
        <v>42</v>
      </c>
      <c r="W458" s="13" t="s">
        <v>43</v>
      </c>
      <c r="X458" s="21" t="n">
        <v>89677204720</v>
      </c>
      <c r="Y458" s="22" t="str">
        <f aca="false">O458</f>
        <v>Packer</v>
      </c>
      <c r="Z458" s="13" t="str">
        <f aca="false">IFERROR(__xludf.dummyfunction("if(BJ458="""","""",GOOGLETRANSLATE(BJ458,""auto"",""en""))"),"Packer")</f>
        <v>Packer</v>
      </c>
      <c r="AA458" s="23" t="str">
        <f aca="false">IF(C458="","", CHOOSE(MONTH(C458),"January","February","March","April","May","June","July","August","September","October","November","December")&amp;" "&amp;DAY(C458)&amp;MID("thstndrdth",MIN(9,2*RIGHT(DAY(C458))*(MOD(DAY(C458)-11,100)&gt;2)+1),2)&amp;","&amp;TEXT(C458," yyyy"))</f>
        <v>July 28th,2021</v>
      </c>
      <c r="AB458" s="15" t="str">
        <f aca="true">IF(S458="","",DATEDIF(S458,TODAY(),"Y")&amp;" Tahun, "&amp;DATEDIF(S458,TODAY(),"YM")&amp;" Bulan, "&amp;DATEDIF(S458,TODAY(),"MD")&amp;" Hari")</f>
        <v>31 Tahun, 3 Bulan, 3 Hari</v>
      </c>
      <c r="AC458" s="18" t="n">
        <v>45672</v>
      </c>
      <c r="AD458" s="18" t="n">
        <v>46036</v>
      </c>
      <c r="AE458" s="18" t="s">
        <v>44</v>
      </c>
    </row>
    <row r="459" customFormat="false" ht="15.75" hidden="false" customHeight="true" outlineLevel="0" collapsed="false">
      <c r="A459" s="12" t="n">
        <v>10898</v>
      </c>
      <c r="B459" s="13" t="s">
        <v>2077</v>
      </c>
      <c r="C459" s="14" t="n">
        <v>45068</v>
      </c>
      <c r="D459" s="13" t="s">
        <v>101</v>
      </c>
      <c r="E459" s="15" t="s">
        <v>47</v>
      </c>
      <c r="F459" s="15" t="str">
        <f aca="false">IFERROR(__xludf.dummyfunction("XLOOKUP(AJ459,IMPORTRANGE(""1XaInW9DU9nz21V0tYIfzFQ0He9kVQ_JF2mCXgZ3hqFA"",""REKAP ALL 2026 - Andika!G:G""),IMPORTRANGE(""1XaInW9DU9nz21V0tYIfzFQ0He9kVQ_JF2mCXgZ3hqFA"",""REKAP ALL 2026 - Andika!F:F""),"""",0)"),"23076924739")</f>
        <v>23076924739</v>
      </c>
      <c r="G459" s="13" t="s">
        <v>2078</v>
      </c>
      <c r="H459" s="13" t="s">
        <v>35</v>
      </c>
      <c r="I459" s="13" t="str">
        <f aca="false">IF(C459=J459,"NEW KONTRAK","RE-KONTRAK")</f>
        <v>RE-KONTRAK</v>
      </c>
      <c r="J459" s="16" t="n">
        <f aca="false" t="array" ref="J459:J459">IFERROR(INDEX(AC459:AE459,IF(COUNTA(AC459:AE459)=0,"",MAX((AC459:AE459&lt;&gt;"")*(COLUMN(AC459:AE459)-(COLUMN(AC459)))))-1),"")</f>
        <v>45672</v>
      </c>
      <c r="K459" s="16" t="n">
        <f aca="false" t="array" ref="K459:K459">IFERROR(INDEX(AC459:AE459,IF(COUNTA(AC459:AE459)=0,"",MAX((AC459:AE459&lt;&gt;"")*(COLUMN(AC459:AE459)-(COLUMN(AC459)-1))))-1),"")</f>
        <v>46036</v>
      </c>
      <c r="L459" s="17" t="str">
        <f aca="false" t="array" ref="L459:L459">IFERROR(INDEX(AC459:AE459,IF(COUNTA(AC459:AE459)=0,"",MAX((AC459:AE459&lt;&gt;"")*(COLUMN(AC459:AE459)-(COLUMN(AC459)-2))))-1),"")</f>
        <v>ARCHIVED</v>
      </c>
      <c r="M459" s="13" t="n">
        <f aca="true">K459-TODAY()</f>
        <v>-288</v>
      </c>
      <c r="N459" s="18" t="s">
        <v>105</v>
      </c>
      <c r="O459" s="13" t="s">
        <v>1476</v>
      </c>
      <c r="P459" s="31" t="n">
        <v>138915</v>
      </c>
      <c r="Q459" s="20" t="s">
        <v>2079</v>
      </c>
      <c r="R459" s="13" t="s">
        <v>39</v>
      </c>
      <c r="S459" s="25" t="n">
        <v>37908</v>
      </c>
      <c r="T459" s="13" t="s">
        <v>40</v>
      </c>
      <c r="U459" s="13" t="s">
        <v>2080</v>
      </c>
      <c r="V459" s="13" t="s">
        <v>42</v>
      </c>
      <c r="W459" s="13" t="s">
        <v>43</v>
      </c>
      <c r="X459" s="21" t="n">
        <v>87853003581</v>
      </c>
      <c r="Y459" s="22" t="str">
        <f aca="false">O459</f>
        <v>Gudang RMPM - Helper</v>
      </c>
      <c r="Z459" s="13" t="str">
        <f aca="false">IFERROR(__xludf.dummyfunction("if(BJ459="""","""",GOOGLETRANSLATE(BJ459,""auto"",""en""))"),"RMPM Warehouse - Helper")</f>
        <v>RMPM Warehouse - Helper</v>
      </c>
      <c r="AA459" s="23" t="str">
        <f aca="false">IF(C459="","", CHOOSE(MONTH(C459),"January","February","March","April","May","June","July","August","September","October","November","December")&amp;" "&amp;DAY(C459)&amp;MID("thstndrdth",MIN(9,2*RIGHT(DAY(C459))*(MOD(DAY(C459)-11,100)&gt;2)+1),2)&amp;","&amp;TEXT(C459," yyyy"))</f>
        <v>May 22nd,2023</v>
      </c>
      <c r="AB459" s="15" t="str">
        <f aca="true">IF(S459="","",DATEDIF(S459,TODAY(),"Y")&amp;" Tahun, "&amp;DATEDIF(S459,TODAY(),"YM")&amp;" Bulan, "&amp;DATEDIF(S459,TODAY(),"MD")&amp;" Hari")</f>
        <v>23 Tahun, 0 Bulan, 15 Hari</v>
      </c>
      <c r="AC459" s="18" t="n">
        <v>45672</v>
      </c>
      <c r="AD459" s="18" t="n">
        <v>46036</v>
      </c>
      <c r="AE459" s="18" t="s">
        <v>44</v>
      </c>
    </row>
    <row r="460" customFormat="false" ht="15.75" hidden="false" customHeight="true" outlineLevel="0" collapsed="false">
      <c r="A460" s="12" t="n">
        <v>4969</v>
      </c>
      <c r="B460" s="13" t="s">
        <v>2081</v>
      </c>
      <c r="C460" s="14" t="n">
        <v>44594</v>
      </c>
      <c r="D460" s="13" t="s">
        <v>101</v>
      </c>
      <c r="E460" s="15" t="s">
        <v>47</v>
      </c>
      <c r="F460" s="15" t="str">
        <f aca="false">IFERROR(__xludf.dummyfunction("XLOOKUP(AJ460,IMPORTRANGE(""1XaInW9DU9nz21V0tYIfzFQ0He9kVQ_JF2mCXgZ3hqFA"",""REKAP ALL 2026 - Andika!G:G""),IMPORTRANGE(""1XaInW9DU9nz21V0tYIfzFQ0He9kVQ_JF2mCXgZ3hqFA"",""REKAP ALL 2026 - Andika!F:F""),"""",0)"),"22015025988")</f>
        <v>22015025988</v>
      </c>
      <c r="G460" s="13" t="s">
        <v>2082</v>
      </c>
      <c r="H460" s="13" t="s">
        <v>35</v>
      </c>
      <c r="I460" s="13" t="str">
        <f aca="false">IF(C460=J460,"NEW KONTRAK","RE-KONTRAK")</f>
        <v>RE-KONTRAK</v>
      </c>
      <c r="J460" s="16" t="n">
        <f aca="false" t="array" ref="J460:J460">IFERROR(INDEX(AC460:AE460,IF(COUNTA(AC460:AE460)=0,"",MAX((AC460:AE460&lt;&gt;"")*(COLUMN(AC460:AE460)-(COLUMN(AC460)))))-1),"")</f>
        <v>45672</v>
      </c>
      <c r="K460" s="16" t="n">
        <f aca="false" t="array" ref="K460:K460">IFERROR(INDEX(AC460:AE460,IF(COUNTA(AC460:AE460)=0,"",MAX((AC460:AE460&lt;&gt;"")*(COLUMN(AC460:AE460)-(COLUMN(AC460)-1))))-1),"")</f>
        <v>46036</v>
      </c>
      <c r="L460" s="17" t="str">
        <f aca="false" t="array" ref="L460:L460">IFERROR(INDEX(AC460:AE460,IF(COUNTA(AC460:AE460)=0,"",MAX((AC460:AE460&lt;&gt;"")*(COLUMN(AC460:AE460)-(COLUMN(AC460)-2))))-1),"")</f>
        <v>ARCHIVED</v>
      </c>
      <c r="M460" s="13" t="n">
        <f aca="true">K460-TODAY()</f>
        <v>-288</v>
      </c>
      <c r="N460" s="18" t="s">
        <v>105</v>
      </c>
      <c r="O460" s="13" t="s">
        <v>106</v>
      </c>
      <c r="P460" s="31" t="n">
        <v>138915</v>
      </c>
      <c r="Q460" s="20" t="s">
        <v>2083</v>
      </c>
      <c r="R460" s="13" t="s">
        <v>52</v>
      </c>
      <c r="S460" s="25" t="n">
        <v>36761</v>
      </c>
      <c r="T460" s="13" t="s">
        <v>108</v>
      </c>
      <c r="U460" s="13" t="s">
        <v>2084</v>
      </c>
      <c r="V460" s="13" t="s">
        <v>42</v>
      </c>
      <c r="W460" s="13" t="s">
        <v>43</v>
      </c>
      <c r="X460" s="21" t="n">
        <v>85257261713</v>
      </c>
      <c r="Y460" s="22" t="str">
        <f aca="false">O460</f>
        <v>Produksi - Helper</v>
      </c>
      <c r="Z460" s="13" t="str">
        <f aca="false">IFERROR(__xludf.dummyfunction("if(BJ460="""","""",GOOGLETRANSLATE(BJ460,""auto"",""en""))"),"Production - Helper")</f>
        <v>Production - Helper</v>
      </c>
      <c r="AA460" s="23" t="str">
        <f aca="false">IF(C460="","", CHOOSE(MONTH(C460),"January","February","March","April","May","June","July","August","September","October","November","December")&amp;" "&amp;DAY(C460)&amp;MID("thstndrdth",MIN(9,2*RIGHT(DAY(C460))*(MOD(DAY(C460)-11,100)&gt;2)+1),2)&amp;","&amp;TEXT(C460," yyyy"))</f>
        <v>February 2nd,2022</v>
      </c>
      <c r="AB460" s="15" t="str">
        <f aca="true">IF(S460="","",DATEDIF(S460,TODAY(),"Y")&amp;" Tahun, "&amp;DATEDIF(S460,TODAY(),"YM")&amp;" Bulan, "&amp;DATEDIF(S460,TODAY(),"MD")&amp;" Hari")</f>
        <v>26 Tahun, 2 Bulan, 6 Hari</v>
      </c>
      <c r="AC460" s="18" t="n">
        <v>45672</v>
      </c>
      <c r="AD460" s="18" t="n">
        <v>46036</v>
      </c>
      <c r="AE460" s="18" t="s">
        <v>44</v>
      </c>
    </row>
    <row r="461" customFormat="false" ht="15.75" hidden="false" customHeight="true" outlineLevel="0" collapsed="false">
      <c r="A461" s="12" t="n">
        <v>1884</v>
      </c>
      <c r="B461" s="13" t="s">
        <v>2085</v>
      </c>
      <c r="C461" s="14" t="n">
        <v>43845</v>
      </c>
      <c r="D461" s="13" t="s">
        <v>101</v>
      </c>
      <c r="E461" s="15" t="s">
        <v>47</v>
      </c>
      <c r="F461" s="15" t="str">
        <f aca="false">IFERROR(__xludf.dummyfunction("XLOOKUP(AJ461,IMPORTRANGE(""1XaInW9DU9nz21V0tYIfzFQ0He9kVQ_JF2mCXgZ3hqFA"",""REKAP ALL 2026 - Andika!G:G""),IMPORTRANGE(""1XaInW9DU9nz21V0tYIfzFQ0He9kVQ_JF2mCXgZ3hqFA"",""REKAP ALL 2026 - Andika!F:F""),"""",0)"),"20021315583")</f>
        <v>20021315583</v>
      </c>
      <c r="G461" s="13" t="s">
        <v>2086</v>
      </c>
      <c r="H461" s="13" t="s">
        <v>35</v>
      </c>
      <c r="I461" s="13" t="str">
        <f aca="false">IF(C461=J461,"NEW KONTRAK","RE-KONTRAK")</f>
        <v>RE-KONTRAK</v>
      </c>
      <c r="J461" s="16" t="n">
        <f aca="false" t="array" ref="J461:J461">IFERROR(INDEX(AC461:AE461,IF(COUNTA(AC461:AE461)=0,"",MAX((AC461:AE461&lt;&gt;"")*(COLUMN(AC461:AE461)-(COLUMN(AC461)))))-1),"")</f>
        <v>45672</v>
      </c>
      <c r="K461" s="16" t="n">
        <f aca="false" t="array" ref="K461:K461">IFERROR(INDEX(AC461:AE461,IF(COUNTA(AC461:AE461)=0,"",MAX((AC461:AE461&lt;&gt;"")*(COLUMN(AC461:AE461)-(COLUMN(AC461)-1))))-1),"")</f>
        <v>46036</v>
      </c>
      <c r="L461" s="17" t="str">
        <f aca="false" t="array" ref="L461:L461">IFERROR(INDEX(AC461:AE461,IF(COUNTA(AC461:AE461)=0,"",MAX((AC461:AE461&lt;&gt;"")*(COLUMN(AC461:AE461)-(COLUMN(AC461)-2))))-1),"")</f>
        <v>ARCHIVED</v>
      </c>
      <c r="M461" s="13" t="n">
        <f aca="true">K461-TODAY()</f>
        <v>-288</v>
      </c>
      <c r="N461" s="18" t="s">
        <v>105</v>
      </c>
      <c r="O461" s="13" t="s">
        <v>106</v>
      </c>
      <c r="P461" s="31" t="n">
        <v>138915</v>
      </c>
      <c r="Q461" s="20" t="s">
        <v>2087</v>
      </c>
      <c r="R461" s="13" t="s">
        <v>52</v>
      </c>
      <c r="S461" s="25" t="n">
        <v>34201</v>
      </c>
      <c r="T461" s="13" t="s">
        <v>108</v>
      </c>
      <c r="U461" s="13" t="s">
        <v>2088</v>
      </c>
      <c r="V461" s="13" t="s">
        <v>42</v>
      </c>
      <c r="W461" s="13" t="s">
        <v>43</v>
      </c>
      <c r="X461" s="21" t="n">
        <v>89676111554</v>
      </c>
      <c r="Y461" s="22" t="str">
        <f aca="false">O461</f>
        <v>Produksi - Helper</v>
      </c>
      <c r="Z461" s="13" t="str">
        <f aca="false">IFERROR(__xludf.dummyfunction("if(BJ461="""","""",GOOGLETRANSLATE(BJ461,""auto"",""en""))"),"Production - Helper")</f>
        <v>Production - Helper</v>
      </c>
      <c r="AA461" s="23" t="str">
        <f aca="false">IF(C461="","", CHOOSE(MONTH(C461),"January","February","March","April","May","June","July","August","September","October","November","December")&amp;" "&amp;DAY(C461)&amp;MID("thstndrdth",MIN(9,2*RIGHT(DAY(C461))*(MOD(DAY(C461)-11,100)&gt;2)+1),2)&amp;","&amp;TEXT(C461," yyyy"))</f>
        <v>January 15th,2020</v>
      </c>
      <c r="AB461" s="15" t="str">
        <f aca="true">IF(S461="","",DATEDIF(S461,TODAY(),"Y")&amp;" Tahun, "&amp;DATEDIF(S461,TODAY(),"YM")&amp;" Bulan, "&amp;DATEDIF(S461,TODAY(),"MD")&amp;" Hari")</f>
        <v>33 Tahun, 2 Bulan, 9 Hari</v>
      </c>
      <c r="AC461" s="18" t="n">
        <v>45672</v>
      </c>
      <c r="AD461" s="18" t="n">
        <v>46036</v>
      </c>
      <c r="AE461" s="18" t="s">
        <v>44</v>
      </c>
    </row>
    <row r="462" customFormat="false" ht="15.75" hidden="false" customHeight="true" outlineLevel="0" collapsed="false">
      <c r="A462" s="12" t="n">
        <v>2545</v>
      </c>
      <c r="B462" s="13" t="s">
        <v>2089</v>
      </c>
      <c r="C462" s="14" t="n">
        <v>44413</v>
      </c>
      <c r="D462" s="13" t="s">
        <v>101</v>
      </c>
      <c r="E462" s="15" t="s">
        <v>47</v>
      </c>
      <c r="F462" s="15" t="str">
        <f aca="false">IFERROR(__xludf.dummyfunction("XLOOKUP(AJ462,IMPORTRANGE(""1XaInW9DU9nz21V0tYIfzFQ0He9kVQ_JF2mCXgZ3hqFA"",""REKAP ALL 2026 - Andika!G:G""),IMPORTRANGE(""1XaInW9DU9nz21V0tYIfzFQ0He9kVQ_JF2mCXgZ3hqFA"",""REKAP ALL 2026 - Andika!F:F""),"""",0)"),"21068419296")</f>
        <v>21068419296</v>
      </c>
      <c r="G462" s="13" t="s">
        <v>2090</v>
      </c>
      <c r="H462" s="13" t="s">
        <v>35</v>
      </c>
      <c r="I462" s="13" t="str">
        <f aca="false">IF(C462=J462,"NEW KONTRAK","RE-KONTRAK")</f>
        <v>RE-KONTRAK</v>
      </c>
      <c r="J462" s="16" t="n">
        <f aca="false" t="array" ref="J462:J462">IFERROR(INDEX(AC462:AE462,IF(COUNTA(AC462:AE462)=0,"",MAX((AC462:AE462&lt;&gt;"")*(COLUMN(AC462:AE462)-(COLUMN(AC462)))))-1),"")</f>
        <v>45672</v>
      </c>
      <c r="K462" s="16" t="n">
        <f aca="false" t="array" ref="K462:K462">IFERROR(INDEX(AC462:AE462,IF(COUNTA(AC462:AE462)=0,"",MAX((AC462:AE462&lt;&gt;"")*(COLUMN(AC462:AE462)-(COLUMN(AC462)-1))))-1),"")</f>
        <v>46036</v>
      </c>
      <c r="L462" s="17" t="str">
        <f aca="false" t="array" ref="L462:L462">IFERROR(INDEX(AC462:AE462,IF(COUNTA(AC462:AE462)=0,"",MAX((AC462:AE462&lt;&gt;"")*(COLUMN(AC462:AE462)-(COLUMN(AC462)-2))))-1),"")</f>
        <v>ARCHIVED</v>
      </c>
      <c r="M462" s="13" t="n">
        <f aca="true">K462-TODAY()</f>
        <v>-288</v>
      </c>
      <c r="N462" s="18" t="s">
        <v>105</v>
      </c>
      <c r="O462" s="13" t="s">
        <v>2091</v>
      </c>
      <c r="P462" s="31" t="n">
        <v>138915</v>
      </c>
      <c r="Q462" s="20" t="s">
        <v>2092</v>
      </c>
      <c r="R462" s="13" t="s">
        <v>39</v>
      </c>
      <c r="S462" s="25" t="n">
        <v>37381</v>
      </c>
      <c r="T462" s="13" t="s">
        <v>108</v>
      </c>
      <c r="U462" s="13" t="s">
        <v>2093</v>
      </c>
      <c r="V462" s="13" t="s">
        <v>42</v>
      </c>
      <c r="W462" s="13" t="s">
        <v>43</v>
      </c>
      <c r="X462" s="21" t="n">
        <v>85731167538</v>
      </c>
      <c r="Y462" s="22" t="str">
        <f aca="false">O462</f>
        <v>RND - Helper</v>
      </c>
      <c r="Z462" s="13" t="str">
        <f aca="false">IFERROR(__xludf.dummyfunction("if(BJ462="""","""",GOOGLETRANSLATE(BJ462,""auto"",""en""))"),"RND - Helper")</f>
        <v>RND - Helper</v>
      </c>
      <c r="AA462" s="23" t="str">
        <f aca="false">IF(C462="","", CHOOSE(MONTH(C462),"January","February","March","April","May","June","July","August","September","October","November","December")&amp;" "&amp;DAY(C462)&amp;MID("thstndrdth",MIN(9,2*RIGHT(DAY(C462))*(MOD(DAY(C462)-11,100)&gt;2)+1),2)&amp;","&amp;TEXT(C462," yyyy"))</f>
        <v>August 5th,2021</v>
      </c>
      <c r="AB462" s="15" t="str">
        <f aca="true">IF(S462="","",DATEDIF(S462,TODAY(),"Y")&amp;" Tahun, "&amp;DATEDIF(S462,TODAY(),"YM")&amp;" Bulan, "&amp;DATEDIF(S462,TODAY(),"MD")&amp;" Hari")</f>
        <v>24 Tahun, 5 Bulan, 24 Hari</v>
      </c>
      <c r="AC462" s="18" t="n">
        <v>45672</v>
      </c>
      <c r="AD462" s="18" t="n">
        <v>46036</v>
      </c>
      <c r="AE462" s="18" t="s">
        <v>44</v>
      </c>
    </row>
    <row r="463" customFormat="false" ht="15.75" hidden="false" customHeight="true" outlineLevel="0" collapsed="false">
      <c r="A463" s="12" t="n">
        <v>2665</v>
      </c>
      <c r="B463" s="13" t="s">
        <v>2094</v>
      </c>
      <c r="C463" s="14" t="n">
        <v>44421</v>
      </c>
      <c r="D463" s="13" t="s">
        <v>101</v>
      </c>
      <c r="E463" s="15" t="s">
        <v>47</v>
      </c>
      <c r="F463" s="15" t="str">
        <f aca="false">IFERROR(__xludf.dummyfunction("XLOOKUP(AJ463,IMPORTRANGE(""1XaInW9DU9nz21V0tYIfzFQ0He9kVQ_JF2mCXgZ3hqFA"",""REKAP ALL 2026 - Andika!G:G""),IMPORTRANGE(""1XaInW9DU9nz21V0tYIfzFQ0He9kVQ_JF2mCXgZ3hqFA"",""REKAP ALL 2026 - Andika!F:F""),"""",0)"),"21068420104")</f>
        <v>21068420104</v>
      </c>
      <c r="G463" s="13" t="s">
        <v>2095</v>
      </c>
      <c r="H463" s="13" t="s">
        <v>35</v>
      </c>
      <c r="I463" s="13" t="str">
        <f aca="false">IF(C463=J463,"NEW KONTRAK","RE-KONTRAK")</f>
        <v>RE-KONTRAK</v>
      </c>
      <c r="J463" s="16" t="n">
        <f aca="false" t="array" ref="J463:J463">IFERROR(INDEX(AC463:AE463,IF(COUNTA(AC463:AE463)=0,"",MAX((AC463:AE463&lt;&gt;"")*(COLUMN(AC463:AE463)-(COLUMN(AC463)))))-1),"")</f>
        <v>45672</v>
      </c>
      <c r="K463" s="16" t="n">
        <f aca="false" t="array" ref="K463:K463">IFERROR(INDEX(AC463:AE463,IF(COUNTA(AC463:AE463)=0,"",MAX((AC463:AE463&lt;&gt;"")*(COLUMN(AC463:AE463)-(COLUMN(AC463)-1))))-1),"")</f>
        <v>46036</v>
      </c>
      <c r="L463" s="17" t="str">
        <f aca="false" t="array" ref="L463:L463">IFERROR(INDEX(AC463:AE463,IF(COUNTA(AC463:AE463)=0,"",MAX((AC463:AE463&lt;&gt;"")*(COLUMN(AC463:AE463)-(COLUMN(AC463)-2))))-1),"")</f>
        <v>ARCHIVED</v>
      </c>
      <c r="M463" s="13" t="n">
        <f aca="true">K463-TODAY()</f>
        <v>-288</v>
      </c>
      <c r="N463" s="18" t="s">
        <v>105</v>
      </c>
      <c r="O463" s="13" t="s">
        <v>106</v>
      </c>
      <c r="P463" s="31" t="n">
        <v>138915</v>
      </c>
      <c r="Q463" s="20" t="s">
        <v>2096</v>
      </c>
      <c r="R463" s="13" t="s">
        <v>52</v>
      </c>
      <c r="S463" s="25" t="n">
        <v>36730</v>
      </c>
      <c r="T463" s="13" t="s">
        <v>108</v>
      </c>
      <c r="U463" s="13" t="s">
        <v>2097</v>
      </c>
      <c r="V463" s="13" t="s">
        <v>42</v>
      </c>
      <c r="W463" s="13" t="s">
        <v>43</v>
      </c>
      <c r="X463" s="21" t="n">
        <v>83854085160</v>
      </c>
      <c r="Y463" s="22" t="str">
        <f aca="false">O463</f>
        <v>Produksi - Helper</v>
      </c>
      <c r="Z463" s="13" t="str">
        <f aca="false">IFERROR(__xludf.dummyfunction("if(BJ463="""","""",GOOGLETRANSLATE(BJ463,""auto"",""en""))"),"Production - Helper")</f>
        <v>Production - Helper</v>
      </c>
      <c r="AA463" s="23" t="str">
        <f aca="false">IF(C463="","", CHOOSE(MONTH(C463),"January","February","March","April","May","June","July","August","September","October","November","December")&amp;" "&amp;DAY(C463)&amp;MID("thstndrdth",MIN(9,2*RIGHT(DAY(C463))*(MOD(DAY(C463)-11,100)&gt;2)+1),2)&amp;","&amp;TEXT(C463," yyyy"))</f>
        <v>August 13th,2021</v>
      </c>
      <c r="AB463" s="15" t="str">
        <f aca="true">IF(S463="","",DATEDIF(S463,TODAY(),"Y")&amp;" Tahun, "&amp;DATEDIF(S463,TODAY(),"YM")&amp;" Bulan, "&amp;DATEDIF(S463,TODAY(),"MD")&amp;" Hari")</f>
        <v>26 Tahun, 3 Bulan, 6 Hari</v>
      </c>
      <c r="AC463" s="18" t="n">
        <v>45672</v>
      </c>
      <c r="AD463" s="18" t="n">
        <v>46036</v>
      </c>
      <c r="AE463" s="18" t="s">
        <v>44</v>
      </c>
    </row>
    <row r="464" customFormat="false" ht="15.75" hidden="false" customHeight="true" outlineLevel="0" collapsed="false">
      <c r="A464" s="12" t="n">
        <v>2417</v>
      </c>
      <c r="B464" s="13" t="s">
        <v>2098</v>
      </c>
      <c r="C464" s="14" t="n">
        <v>44406</v>
      </c>
      <c r="D464" s="13" t="s">
        <v>101</v>
      </c>
      <c r="E464" s="15" t="s">
        <v>33</v>
      </c>
      <c r="F464" s="24" t="s">
        <v>2099</v>
      </c>
      <c r="G464" s="13" t="s">
        <v>2100</v>
      </c>
      <c r="H464" s="13" t="s">
        <v>35</v>
      </c>
      <c r="I464" s="13" t="str">
        <f aca="false">IF(C464=J464,"NEW KONTRAK","RE-KONTRAK")</f>
        <v>RE-KONTRAK</v>
      </c>
      <c r="J464" s="16" t="n">
        <f aca="false" t="array" ref="J464:J464">IFERROR(INDEX(AC464:AE464,IF(COUNTA(AC464:AE464)=0,"",MAX((AC464:AE464&lt;&gt;"")*(COLUMN(AC464:AE464)-(COLUMN(AC464)))))-1),"")</f>
        <v>45672</v>
      </c>
      <c r="K464" s="16" t="n">
        <f aca="false" t="array" ref="K464:K464">IFERROR(INDEX(AC464:AE464,IF(COUNTA(AC464:AE464)=0,"",MAX((AC464:AE464&lt;&gt;"")*(COLUMN(AC464:AE464)-(COLUMN(AC464)-1))))-1),"")</f>
        <v>46036</v>
      </c>
      <c r="L464" s="17" t="str">
        <f aca="false" t="array" ref="L464:L464">IFERROR(INDEX(AC464:AE464,IF(COUNTA(AC464:AE464)=0,"",MAX((AC464:AE464&lt;&gt;"")*(COLUMN(AC464:AE464)-(COLUMN(AC464)-2))))-1),"")</f>
        <v>ARCHIVED</v>
      </c>
      <c r="M464" s="13" t="n">
        <f aca="true">K464-TODAY()</f>
        <v>-288</v>
      </c>
      <c r="N464" s="18" t="s">
        <v>105</v>
      </c>
      <c r="O464" s="13" t="s">
        <v>58</v>
      </c>
      <c r="P464" s="19" t="n">
        <v>126000</v>
      </c>
      <c r="Q464" s="20" t="s">
        <v>2101</v>
      </c>
      <c r="R464" s="13" t="s">
        <v>73</v>
      </c>
      <c r="S464" s="25" t="n">
        <v>36673</v>
      </c>
      <c r="T464" s="13" t="s">
        <v>108</v>
      </c>
      <c r="U464" s="13" t="s">
        <v>2102</v>
      </c>
      <c r="V464" s="13" t="s">
        <v>42</v>
      </c>
      <c r="W464" s="13" t="s">
        <v>43</v>
      </c>
      <c r="X464" s="21" t="n">
        <v>85733922066</v>
      </c>
      <c r="Y464" s="22" t="str">
        <f aca="false">O464</f>
        <v>Produksi</v>
      </c>
      <c r="Z464" s="13" t="str">
        <f aca="false">IFERROR(__xludf.dummyfunction("if(BJ464="""","""",GOOGLETRANSLATE(BJ464,""auto"",""en""))"),"Production")</f>
        <v>Production</v>
      </c>
      <c r="AA464" s="23" t="str">
        <f aca="false">IF(C464="","", CHOOSE(MONTH(C464),"January","February","March","April","May","June","July","August","September","October","November","December")&amp;" "&amp;DAY(C464)&amp;MID("thstndrdth",MIN(9,2*RIGHT(DAY(C464))*(MOD(DAY(C464)-11,100)&gt;2)+1),2)&amp;","&amp;TEXT(C464," yyyy"))</f>
        <v>July 29th,2021</v>
      </c>
      <c r="AB464" s="15" t="str">
        <f aca="true">IF(S464="","",DATEDIF(S464,TODAY(),"Y")&amp;" Tahun, "&amp;DATEDIF(S464,TODAY(),"YM")&amp;" Bulan, "&amp;DATEDIF(S464,TODAY(),"MD")&amp;" Hari")</f>
        <v>26 Tahun, 5 Bulan, 2 Hari</v>
      </c>
      <c r="AC464" s="18" t="n">
        <v>45672</v>
      </c>
      <c r="AD464" s="18" t="n">
        <v>46036</v>
      </c>
      <c r="AE464" s="18" t="s">
        <v>44</v>
      </c>
    </row>
    <row r="465" customFormat="false" ht="15.75" hidden="false" customHeight="true" outlineLevel="0" collapsed="false">
      <c r="A465" s="12" t="n">
        <v>3533</v>
      </c>
      <c r="B465" s="13" t="s">
        <v>2103</v>
      </c>
      <c r="C465" s="14" t="n">
        <v>44490</v>
      </c>
      <c r="D465" s="13" t="s">
        <v>101</v>
      </c>
      <c r="E465" s="15" t="s">
        <v>47</v>
      </c>
      <c r="F465" s="15" t="str">
        <f aca="false">IFERROR(__xludf.dummyfunction("XLOOKUP(AJ465,IMPORTRANGE(""1XaInW9DU9nz21V0tYIfzFQ0He9kVQ_JF2mCXgZ3hqFA"",""REKAP ALL 2026 - Andika!G:G""),IMPORTRANGE(""1XaInW9DU9nz21V0tYIfzFQ0He9kVQ_JF2mCXgZ3hqFA"",""REKAP ALL 2026 - Andika!F:F""),"""",0)"),"22000065155")</f>
        <v>22000065155</v>
      </c>
      <c r="G465" s="13" t="s">
        <v>2104</v>
      </c>
      <c r="H465" s="13" t="s">
        <v>35</v>
      </c>
      <c r="I465" s="13" t="str">
        <f aca="false">IF(C465=J465,"NEW KONTRAK","RE-KONTRAK")</f>
        <v>RE-KONTRAK</v>
      </c>
      <c r="J465" s="16" t="n">
        <f aca="false" t="array" ref="J465:J465">IFERROR(INDEX(AC465:AE465,IF(COUNTA(AC465:AE465)=0,"",MAX((AC465:AE465&lt;&gt;"")*(COLUMN(AC465:AE465)-(COLUMN(AC465)))))-1),"")</f>
        <v>45672</v>
      </c>
      <c r="K465" s="16" t="n">
        <f aca="false" t="array" ref="K465:K465">IFERROR(INDEX(AC465:AE465,IF(COUNTA(AC465:AE465)=0,"",MAX((AC465:AE465&lt;&gt;"")*(COLUMN(AC465:AE465)-(COLUMN(AC465)-1))))-1),"")</f>
        <v>46036</v>
      </c>
      <c r="L465" s="17" t="str">
        <f aca="false" t="array" ref="L465:L465">IFERROR(INDEX(AC465:AE465,IF(COUNTA(AC465:AE465)=0,"",MAX((AC465:AE465&lt;&gt;"")*(COLUMN(AC465:AE465)-(COLUMN(AC465)-2))))-1),"")</f>
        <v>ARCHIVED</v>
      </c>
      <c r="M465" s="13" t="n">
        <f aca="true">K465-TODAY()</f>
        <v>-288</v>
      </c>
      <c r="N465" s="18" t="s">
        <v>105</v>
      </c>
      <c r="O465" s="13" t="s">
        <v>106</v>
      </c>
      <c r="P465" s="31" t="n">
        <v>138915</v>
      </c>
      <c r="Q465" s="20" t="s">
        <v>2105</v>
      </c>
      <c r="R465" s="13" t="s">
        <v>232</v>
      </c>
      <c r="S465" s="25" t="n">
        <v>37355</v>
      </c>
      <c r="T465" s="13" t="s">
        <v>108</v>
      </c>
      <c r="U465" s="13" t="s">
        <v>2106</v>
      </c>
      <c r="V465" s="13" t="s">
        <v>42</v>
      </c>
      <c r="W465" s="13" t="s">
        <v>43</v>
      </c>
      <c r="X465" s="21" t="n">
        <v>88217473800</v>
      </c>
      <c r="Y465" s="22" t="str">
        <f aca="false">O465</f>
        <v>Produksi - Helper</v>
      </c>
      <c r="Z465" s="13" t="str">
        <f aca="false">IFERROR(__xludf.dummyfunction("if(BJ465="""","""",GOOGLETRANSLATE(BJ465,""auto"",""en""))"),"Production - Helper")</f>
        <v>Production - Helper</v>
      </c>
      <c r="AA465" s="23" t="str">
        <f aca="false">IF(C465="","", CHOOSE(MONTH(C465),"January","February","March","April","May","June","July","August","September","October","November","December")&amp;" "&amp;DAY(C465)&amp;MID("thstndrdth",MIN(9,2*RIGHT(DAY(C465))*(MOD(DAY(C465)-11,100)&gt;2)+1),2)&amp;","&amp;TEXT(C465," yyyy"))</f>
        <v>October 21st,2021</v>
      </c>
      <c r="AB465" s="15" t="str">
        <f aca="true">IF(S465="","",DATEDIF(S465,TODAY(),"Y")&amp;" Tahun, "&amp;DATEDIF(S465,TODAY(),"YM")&amp;" Bulan, "&amp;DATEDIF(S465,TODAY(),"MD")&amp;" Hari")</f>
        <v>24 Tahun, 6 Bulan, 20 Hari</v>
      </c>
      <c r="AC465" s="18" t="n">
        <v>45672</v>
      </c>
      <c r="AD465" s="18" t="n">
        <v>46036</v>
      </c>
      <c r="AE465" s="18" t="s">
        <v>44</v>
      </c>
    </row>
    <row r="466" customFormat="false" ht="15.75" hidden="false" customHeight="true" outlineLevel="0" collapsed="false">
      <c r="A466" s="12" t="n">
        <v>2424</v>
      </c>
      <c r="B466" s="13" t="s">
        <v>2107</v>
      </c>
      <c r="C466" s="14" t="n">
        <v>44406</v>
      </c>
      <c r="D466" s="13" t="s">
        <v>101</v>
      </c>
      <c r="E466" s="15" t="s">
        <v>102</v>
      </c>
      <c r="F466" s="15" t="str">
        <f aca="false">IFERROR(__xludf.dummyfunction("XLOOKUP(AJ466,IMPORTRANGE(""1XaInW9DU9nz21V0tYIfzFQ0He9kVQ_JF2mCXgZ3hqFA"",""REKAP ALL 2026 - Andika!G:G""),IMPORTRANGE(""1XaInW9DU9nz21V0tYIfzFQ0He9kVQ_JF2mCXgZ3hqFA"",""REKAP ALL 2026 - Andika!F:F""),"""",0)"),"21068419569")</f>
        <v>21068419569</v>
      </c>
      <c r="G466" s="13" t="s">
        <v>2108</v>
      </c>
      <c r="H466" s="13" t="s">
        <v>35</v>
      </c>
      <c r="I466" s="13" t="str">
        <f aca="false">IF(C466=J466,"NEW KONTRAK","RE-KONTRAK")</f>
        <v>RE-KONTRAK</v>
      </c>
      <c r="J466" s="16" t="n">
        <f aca="false" t="array" ref="J466:J466">IFERROR(INDEX(AC466:AE466,IF(COUNTA(AC466:AE466)=0,"",MAX((AC466:AE466&lt;&gt;"")*(COLUMN(AC466:AE466)-(COLUMN(AC466)))))-1),"")</f>
        <v>45672</v>
      </c>
      <c r="K466" s="16" t="n">
        <f aca="false" t="array" ref="K466:K466">IFERROR(INDEX(AC466:AE466,IF(COUNTA(AC466:AE466)=0,"",MAX((AC466:AE466&lt;&gt;"")*(COLUMN(AC466:AE466)-(COLUMN(AC466)-1))))-1),"")</f>
        <v>46036</v>
      </c>
      <c r="L466" s="17" t="str">
        <f aca="false" t="array" ref="L466:L466">IFERROR(INDEX(AC466:AE466,IF(COUNTA(AC466:AE466)=0,"",MAX((AC466:AE466&lt;&gt;"")*(COLUMN(AC466:AE466)-(COLUMN(AC466)-2))))-1),"")</f>
        <v>ARCHIVED</v>
      </c>
      <c r="M466" s="13" t="n">
        <f aca="true">K466-TODAY()</f>
        <v>-288</v>
      </c>
      <c r="N466" s="18" t="s">
        <v>105</v>
      </c>
      <c r="O466" s="13" t="s">
        <v>106</v>
      </c>
      <c r="P466" s="19" t="n">
        <v>132300</v>
      </c>
      <c r="Q466" s="20" t="s">
        <v>2109</v>
      </c>
      <c r="R466" s="13" t="s">
        <v>39</v>
      </c>
      <c r="S466" s="25" t="n">
        <v>36889</v>
      </c>
      <c r="T466" s="13" t="s">
        <v>40</v>
      </c>
      <c r="U466" s="13" t="s">
        <v>2110</v>
      </c>
      <c r="V466" s="13" t="s">
        <v>42</v>
      </c>
      <c r="W466" s="13" t="s">
        <v>43</v>
      </c>
      <c r="X466" s="21" t="n">
        <v>881036001438</v>
      </c>
      <c r="Y466" s="22" t="str">
        <f aca="false">O466</f>
        <v>Produksi - Helper</v>
      </c>
      <c r="Z466" s="13" t="str">
        <f aca="false">IFERROR(__xludf.dummyfunction("if(BJ466="""","""",GOOGLETRANSLATE(BJ466,""auto"",""en""))"),"Production - Helper")</f>
        <v>Production - Helper</v>
      </c>
      <c r="AA466" s="23" t="str">
        <f aca="false">IF(C466="","", CHOOSE(MONTH(C466),"January","February","March","April","May","June","July","August","September","October","November","December")&amp;" "&amp;DAY(C466)&amp;MID("thstndrdth",MIN(9,2*RIGHT(DAY(C466))*(MOD(DAY(C466)-11,100)&gt;2)+1),2)&amp;","&amp;TEXT(C466," yyyy"))</f>
        <v>July 29th,2021</v>
      </c>
      <c r="AB466" s="15" t="str">
        <f aca="true">IF(S466="","",DATEDIF(S466,TODAY(),"Y")&amp;" Tahun, "&amp;DATEDIF(S466,TODAY(),"YM")&amp;" Bulan, "&amp;DATEDIF(S466,TODAY(),"MD")&amp;" Hari")</f>
        <v>25 Tahun, 10 Bulan, 0 Hari</v>
      </c>
      <c r="AC466" s="18" t="n">
        <v>45672</v>
      </c>
      <c r="AD466" s="18" t="n">
        <v>46036</v>
      </c>
      <c r="AE466" s="18" t="s">
        <v>44</v>
      </c>
    </row>
    <row r="467" customFormat="false" ht="15.75" hidden="false" customHeight="true" outlineLevel="0" collapsed="false">
      <c r="A467" s="12" t="n">
        <v>2428</v>
      </c>
      <c r="B467" s="13" t="s">
        <v>2111</v>
      </c>
      <c r="C467" s="14" t="n">
        <v>44406</v>
      </c>
      <c r="D467" s="13" t="s">
        <v>101</v>
      </c>
      <c r="E467" s="15" t="s">
        <v>102</v>
      </c>
      <c r="F467" s="15" t="str">
        <f aca="false">IFERROR(__xludf.dummyfunction("XLOOKUP(AJ467,IMPORTRANGE(""1XaInW9DU9nz21V0tYIfzFQ0He9kVQ_JF2mCXgZ3hqFA"",""REKAP ALL 2026 - Andika!G:G""),IMPORTRANGE(""1XaInW9DU9nz21V0tYIfzFQ0He9kVQ_JF2mCXgZ3hqFA"",""REKAP ALL 2026 - Andika!F:F""),"""",0)"),"21068421086")</f>
        <v>21068421086</v>
      </c>
      <c r="G467" s="13" t="s">
        <v>2112</v>
      </c>
      <c r="H467" s="13" t="s">
        <v>35</v>
      </c>
      <c r="I467" s="13" t="str">
        <f aca="false">IF(C467=J467,"NEW KONTRAK","RE-KONTRAK")</f>
        <v>RE-KONTRAK</v>
      </c>
      <c r="J467" s="16" t="n">
        <f aca="false" t="array" ref="J467:J467">IFERROR(INDEX(AC467:AE467,IF(COUNTA(AC467:AE467)=0,"",MAX((AC467:AE467&lt;&gt;"")*(COLUMN(AC467:AE467)-(COLUMN(AC467)))))-1),"")</f>
        <v>45672</v>
      </c>
      <c r="K467" s="16" t="n">
        <f aca="false" t="array" ref="K467:K467">IFERROR(INDEX(AC467:AE467,IF(COUNTA(AC467:AE467)=0,"",MAX((AC467:AE467&lt;&gt;"")*(COLUMN(AC467:AE467)-(COLUMN(AC467)-1))))-1),"")</f>
        <v>46036</v>
      </c>
      <c r="L467" s="17" t="str">
        <f aca="false" t="array" ref="L467:L467">IFERROR(INDEX(AC467:AE467,IF(COUNTA(AC467:AE467)=0,"",MAX((AC467:AE467&lt;&gt;"")*(COLUMN(AC467:AE467)-(COLUMN(AC467)-2))))-1),"")</f>
        <v>ARCHIVED</v>
      </c>
      <c r="M467" s="13" t="n">
        <f aca="true">K467-TODAY()</f>
        <v>-288</v>
      </c>
      <c r="N467" s="18" t="s">
        <v>105</v>
      </c>
      <c r="O467" s="13" t="s">
        <v>106</v>
      </c>
      <c r="P467" s="19" t="n">
        <v>132300</v>
      </c>
      <c r="Q467" s="20" t="s">
        <v>2113</v>
      </c>
      <c r="R467" s="13" t="s">
        <v>39</v>
      </c>
      <c r="S467" s="25" t="n">
        <v>36569</v>
      </c>
      <c r="T467" s="13" t="s">
        <v>40</v>
      </c>
      <c r="U467" s="13" t="s">
        <v>2114</v>
      </c>
      <c r="V467" s="13" t="s">
        <v>42</v>
      </c>
      <c r="W467" s="13" t="s">
        <v>43</v>
      </c>
      <c r="X467" s="21" t="n">
        <v>89519252144</v>
      </c>
      <c r="Y467" s="22" t="str">
        <f aca="false">O467</f>
        <v>Produksi - Helper</v>
      </c>
      <c r="Z467" s="13" t="str">
        <f aca="false">IFERROR(__xludf.dummyfunction("if(BJ467="""","""",GOOGLETRANSLATE(BJ467,""auto"",""en""))"),"Production - Helper")</f>
        <v>Production - Helper</v>
      </c>
      <c r="AA467" s="23" t="str">
        <f aca="false">IF(C467="","", CHOOSE(MONTH(C467),"January","February","March","April","May","June","July","August","September","October","November","December")&amp;" "&amp;DAY(C467)&amp;MID("thstndrdth",MIN(9,2*RIGHT(DAY(C467))*(MOD(DAY(C467)-11,100)&gt;2)+1),2)&amp;","&amp;TEXT(C467," yyyy"))</f>
        <v>July 29th,2021</v>
      </c>
      <c r="AB467" s="15" t="str">
        <f aca="true">IF(S467="","",DATEDIF(S467,TODAY(),"Y")&amp;" Tahun, "&amp;DATEDIF(S467,TODAY(),"YM")&amp;" Bulan, "&amp;DATEDIF(S467,TODAY(),"MD")&amp;" Hari")</f>
        <v>26 Tahun, 8 Bulan, 16 Hari</v>
      </c>
      <c r="AC467" s="18" t="n">
        <v>45672</v>
      </c>
      <c r="AD467" s="18" t="n">
        <v>46036</v>
      </c>
      <c r="AE467" s="18" t="s">
        <v>44</v>
      </c>
    </row>
    <row r="468" customFormat="false" ht="15.75" hidden="false" customHeight="true" outlineLevel="0" collapsed="false">
      <c r="A468" s="12" t="n">
        <v>2429</v>
      </c>
      <c r="B468" s="13" t="s">
        <v>2115</v>
      </c>
      <c r="C468" s="14" t="n">
        <v>44406</v>
      </c>
      <c r="D468" s="13" t="s">
        <v>101</v>
      </c>
      <c r="E468" s="15" t="s">
        <v>102</v>
      </c>
      <c r="F468" s="15" t="str">
        <f aca="false">IFERROR(__xludf.dummyfunction("XLOOKUP(AJ468,IMPORTRANGE(""1XaInW9DU9nz21V0tYIfzFQ0He9kVQ_JF2mCXgZ3hqFA"",""REKAP ALL 2026 - Andika!G:G""),IMPORTRANGE(""1XaInW9DU9nz21V0tYIfzFQ0He9kVQ_JF2mCXgZ3hqFA"",""REKAP ALL 2026 - Andika!F:F""),"""",0)"),"21068419171")</f>
        <v>21068419171</v>
      </c>
      <c r="G468" s="13" t="s">
        <v>2116</v>
      </c>
      <c r="H468" s="13" t="s">
        <v>35</v>
      </c>
      <c r="I468" s="13" t="str">
        <f aca="false">IF(C468=J468,"NEW KONTRAK","RE-KONTRAK")</f>
        <v>RE-KONTRAK</v>
      </c>
      <c r="J468" s="16" t="n">
        <f aca="false" t="array" ref="J468:J468">IFERROR(INDEX(AC468:AE468,IF(COUNTA(AC468:AE468)=0,"",MAX((AC468:AE468&lt;&gt;"")*(COLUMN(AC468:AE468)-(COLUMN(AC468)))))-1),"")</f>
        <v>45672</v>
      </c>
      <c r="K468" s="16" t="n">
        <f aca="false" t="array" ref="K468:K468">IFERROR(INDEX(AC468:AE468,IF(COUNTA(AC468:AE468)=0,"",MAX((AC468:AE468&lt;&gt;"")*(COLUMN(AC468:AE468)-(COLUMN(AC468)-1))))-1),"")</f>
        <v>46036</v>
      </c>
      <c r="L468" s="17" t="str">
        <f aca="false" t="array" ref="L468:L468">IFERROR(INDEX(AC468:AE468,IF(COUNTA(AC468:AE468)=0,"",MAX((AC468:AE468&lt;&gt;"")*(COLUMN(AC468:AE468)-(COLUMN(AC468)-2))))-1),"")</f>
        <v>ARCHIVED</v>
      </c>
      <c r="M468" s="13" t="n">
        <f aca="true">K468-TODAY()</f>
        <v>-288</v>
      </c>
      <c r="N468" s="18" t="s">
        <v>105</v>
      </c>
      <c r="O468" s="13" t="s">
        <v>106</v>
      </c>
      <c r="P468" s="19" t="n">
        <v>132300</v>
      </c>
      <c r="Q468" s="20" t="s">
        <v>2117</v>
      </c>
      <c r="R468" s="13" t="s">
        <v>232</v>
      </c>
      <c r="S468" s="25" t="n">
        <v>36486</v>
      </c>
      <c r="T468" s="13" t="s">
        <v>40</v>
      </c>
      <c r="U468" s="13" t="s">
        <v>2118</v>
      </c>
      <c r="V468" s="13" t="s">
        <v>42</v>
      </c>
      <c r="W468" s="13" t="s">
        <v>43</v>
      </c>
      <c r="X468" s="21" t="n">
        <v>87855865039</v>
      </c>
      <c r="Y468" s="22" t="str">
        <f aca="false">O468</f>
        <v>Produksi - Helper</v>
      </c>
      <c r="Z468" s="13" t="str">
        <f aca="false">IFERROR(__xludf.dummyfunction("if(BJ468="""","""",GOOGLETRANSLATE(BJ468,""auto"",""en""))"),"Production - Helper")</f>
        <v>Production - Helper</v>
      </c>
      <c r="AA468" s="23" t="str">
        <f aca="false">IF(C468="","", CHOOSE(MONTH(C468),"January","February","March","April","May","June","July","August","September","October","November","December")&amp;" "&amp;DAY(C468)&amp;MID("thstndrdth",MIN(9,2*RIGHT(DAY(C468))*(MOD(DAY(C468)-11,100)&gt;2)+1),2)&amp;","&amp;TEXT(C468," yyyy"))</f>
        <v>July 29th,2021</v>
      </c>
      <c r="AB468" s="15" t="str">
        <f aca="true">IF(S468="","",DATEDIF(S468,TODAY(),"Y")&amp;" Tahun, "&amp;DATEDIF(S468,TODAY(),"YM")&amp;" Bulan, "&amp;DATEDIF(S468,TODAY(),"MD")&amp;" Hari")</f>
        <v>26 Tahun, 11 Bulan, 7 Hari</v>
      </c>
      <c r="AC468" s="18" t="n">
        <v>45672</v>
      </c>
      <c r="AD468" s="18" t="n">
        <v>46036</v>
      </c>
      <c r="AE468" s="18" t="s">
        <v>44</v>
      </c>
    </row>
    <row r="469" customFormat="false" ht="15.75" hidden="false" customHeight="true" outlineLevel="0" collapsed="false">
      <c r="A469" s="12" t="n">
        <v>2440</v>
      </c>
      <c r="B469" s="13" t="s">
        <v>2119</v>
      </c>
      <c r="C469" s="14" t="n">
        <v>44406</v>
      </c>
      <c r="D469" s="13" t="s">
        <v>101</v>
      </c>
      <c r="E469" s="15" t="s">
        <v>102</v>
      </c>
      <c r="F469" s="15" t="str">
        <f aca="false">IFERROR(__xludf.dummyfunction("XLOOKUP(AJ469,IMPORTRANGE(""1XaInW9DU9nz21V0tYIfzFQ0He9kVQ_JF2mCXgZ3hqFA"",""REKAP ALL 2026 - Andika!G:G""),IMPORTRANGE(""1XaInW9DU9nz21V0tYIfzFQ0He9kVQ_JF2mCXgZ3hqFA"",""REKAP ALL 2026 - Andika!F:F""),"""",0)"),"21068419080")</f>
        <v>21068419080</v>
      </c>
      <c r="G469" s="13" t="s">
        <v>2120</v>
      </c>
      <c r="H469" s="13" t="s">
        <v>35</v>
      </c>
      <c r="I469" s="13" t="str">
        <f aca="false">IF(C469=J469,"NEW KONTRAK","RE-KONTRAK")</f>
        <v>RE-KONTRAK</v>
      </c>
      <c r="J469" s="16" t="n">
        <f aca="false" t="array" ref="J469:J469">IFERROR(INDEX(AC469:AE469,IF(COUNTA(AC469:AE469)=0,"",MAX((AC469:AE469&lt;&gt;"")*(COLUMN(AC469:AE469)-(COLUMN(AC469)))))-1),"")</f>
        <v>45672</v>
      </c>
      <c r="K469" s="16" t="n">
        <f aca="false" t="array" ref="K469:K469">IFERROR(INDEX(AC469:AE469,IF(COUNTA(AC469:AE469)=0,"",MAX((AC469:AE469&lt;&gt;"")*(COLUMN(AC469:AE469)-(COLUMN(AC469)-1))))-1),"")</f>
        <v>46036</v>
      </c>
      <c r="L469" s="17" t="str">
        <f aca="false" t="array" ref="L469:L469">IFERROR(INDEX(AC469:AE469,IF(COUNTA(AC469:AE469)=0,"",MAX((AC469:AE469&lt;&gt;"")*(COLUMN(AC469:AE469)-(COLUMN(AC469)-2))))-1),"")</f>
        <v>ARCHIVED</v>
      </c>
      <c r="M469" s="13" t="n">
        <f aca="true">K469-TODAY()</f>
        <v>-288</v>
      </c>
      <c r="N469" s="18" t="s">
        <v>105</v>
      </c>
      <c r="O469" s="13" t="s">
        <v>106</v>
      </c>
      <c r="P469" s="19" t="n">
        <v>132300</v>
      </c>
      <c r="Q469" s="20" t="s">
        <v>2121</v>
      </c>
      <c r="R469" s="13" t="s">
        <v>73</v>
      </c>
      <c r="S469" s="25" t="n">
        <v>37542</v>
      </c>
      <c r="T469" s="13" t="s">
        <v>108</v>
      </c>
      <c r="U469" s="13" t="s">
        <v>2122</v>
      </c>
      <c r="V469" s="13" t="s">
        <v>42</v>
      </c>
      <c r="W469" s="13" t="s">
        <v>43</v>
      </c>
      <c r="X469" s="21" t="n">
        <v>85893228314</v>
      </c>
      <c r="Y469" s="22" t="str">
        <f aca="false">O469</f>
        <v>Produksi - Helper</v>
      </c>
      <c r="Z469" s="13" t="str">
        <f aca="false">IFERROR(__xludf.dummyfunction("if(BJ469="""","""",GOOGLETRANSLATE(BJ469,""auto"",""en""))"),"Production - Helper")</f>
        <v>Production - Helper</v>
      </c>
      <c r="AA469" s="23" t="str">
        <f aca="false">IF(C469="","", CHOOSE(MONTH(C469),"January","February","March","April","May","June","July","August","September","October","November","December")&amp;" "&amp;DAY(C469)&amp;MID("thstndrdth",MIN(9,2*RIGHT(DAY(C469))*(MOD(DAY(C469)-11,100)&gt;2)+1),2)&amp;","&amp;TEXT(C469," yyyy"))</f>
        <v>July 29th,2021</v>
      </c>
      <c r="AB469" s="15" t="str">
        <f aca="true">IF(S469="","",DATEDIF(S469,TODAY(),"Y")&amp;" Tahun, "&amp;DATEDIF(S469,TODAY(),"YM")&amp;" Bulan, "&amp;DATEDIF(S469,TODAY(),"MD")&amp;" Hari")</f>
        <v>24 Tahun, 0 Bulan, 16 Hari</v>
      </c>
      <c r="AC469" s="18" t="n">
        <v>45672</v>
      </c>
      <c r="AD469" s="18" t="n">
        <v>46036</v>
      </c>
      <c r="AE469" s="18" t="s">
        <v>44</v>
      </c>
    </row>
    <row r="470" customFormat="false" ht="15.75" hidden="false" customHeight="true" outlineLevel="0" collapsed="false">
      <c r="A470" s="12" t="n">
        <v>2445</v>
      </c>
      <c r="B470" s="13" t="s">
        <v>2123</v>
      </c>
      <c r="C470" s="14" t="n">
        <v>44406</v>
      </c>
      <c r="D470" s="13" t="s">
        <v>101</v>
      </c>
      <c r="E470" s="15" t="s">
        <v>102</v>
      </c>
      <c r="F470" s="15" t="str">
        <f aca="false">IFERROR(__xludf.dummyfunction("XLOOKUP(AJ470,IMPORTRANGE(""1XaInW9DU9nz21V0tYIfzFQ0He9kVQ_JF2mCXgZ3hqFA"",""REKAP ALL 2026 - Andika!G:G""),IMPORTRANGE(""1XaInW9DU9nz21V0tYIfzFQ0He9kVQ_JF2mCXgZ3hqFA"",""REKAP ALL 2026 - Andika!F:F""),"""",0)"),"21082692662")</f>
        <v>21082692662</v>
      </c>
      <c r="G470" s="13" t="s">
        <v>2124</v>
      </c>
      <c r="H470" s="13" t="s">
        <v>35</v>
      </c>
      <c r="I470" s="13" t="str">
        <f aca="false">IF(C470=J470,"NEW KONTRAK","RE-KONTRAK")</f>
        <v>RE-KONTRAK</v>
      </c>
      <c r="J470" s="16" t="n">
        <f aca="false" t="array" ref="J470:J470">IFERROR(INDEX(AC470:AE470,IF(COUNTA(AC470:AE470)=0,"",MAX((AC470:AE470&lt;&gt;"")*(COLUMN(AC470:AE470)-(COLUMN(AC470)))))-1),"")</f>
        <v>45672</v>
      </c>
      <c r="K470" s="16" t="n">
        <f aca="false" t="array" ref="K470:K470">IFERROR(INDEX(AC470:AE470,IF(COUNTA(AC470:AE470)=0,"",MAX((AC470:AE470&lt;&gt;"")*(COLUMN(AC470:AE470)-(COLUMN(AC470)-1))))-1),"")</f>
        <v>46036</v>
      </c>
      <c r="L470" s="17" t="str">
        <f aca="false" t="array" ref="L470:L470">IFERROR(INDEX(AC470:AE470,IF(COUNTA(AC470:AE470)=0,"",MAX((AC470:AE470&lt;&gt;"")*(COLUMN(AC470:AE470)-(COLUMN(AC470)-2))))-1),"")</f>
        <v>ARCHIVED</v>
      </c>
      <c r="M470" s="13" t="n">
        <f aca="true">K470-TODAY()</f>
        <v>-288</v>
      </c>
      <c r="N470" s="18" t="s">
        <v>105</v>
      </c>
      <c r="O470" s="13" t="s">
        <v>106</v>
      </c>
      <c r="P470" s="19" t="n">
        <v>132300</v>
      </c>
      <c r="Q470" s="20" t="s">
        <v>2125</v>
      </c>
      <c r="R470" s="13" t="s">
        <v>39</v>
      </c>
      <c r="S470" s="25" t="n">
        <v>35984</v>
      </c>
      <c r="T470" s="13" t="s">
        <v>40</v>
      </c>
      <c r="U470" s="13" t="s">
        <v>2126</v>
      </c>
      <c r="V470" s="13" t="s">
        <v>42</v>
      </c>
      <c r="W470" s="13" t="s">
        <v>43</v>
      </c>
      <c r="X470" s="21" t="n">
        <v>85731938766</v>
      </c>
      <c r="Y470" s="22" t="str">
        <f aca="false">O470</f>
        <v>Produksi - Helper</v>
      </c>
      <c r="Z470" s="13" t="str">
        <f aca="false">IFERROR(__xludf.dummyfunction("if(BJ470="""","""",GOOGLETRANSLATE(BJ470,""auto"",""en""))"),"Production - Helper")</f>
        <v>Production - Helper</v>
      </c>
      <c r="AA470" s="23" t="str">
        <f aca="false">IF(C470="","", CHOOSE(MONTH(C470),"January","February","March","April","May","June","July","August","September","October","November","December")&amp;" "&amp;DAY(C470)&amp;MID("thstndrdth",MIN(9,2*RIGHT(DAY(C470))*(MOD(DAY(C470)-11,100)&gt;2)+1),2)&amp;","&amp;TEXT(C470," yyyy"))</f>
        <v>July 29th,2021</v>
      </c>
      <c r="AB470" s="15" t="str">
        <f aca="true">IF(S470="","",DATEDIF(S470,TODAY(),"Y")&amp;" Tahun, "&amp;DATEDIF(S470,TODAY(),"YM")&amp;" Bulan, "&amp;DATEDIF(S470,TODAY(),"MD")&amp;" Hari")</f>
        <v>28 Tahun, 3 Bulan, 21 Hari</v>
      </c>
      <c r="AC470" s="18" t="n">
        <v>45672</v>
      </c>
      <c r="AD470" s="18" t="n">
        <v>46036</v>
      </c>
      <c r="AE470" s="18" t="s">
        <v>44</v>
      </c>
    </row>
    <row r="471" customFormat="false" ht="15.75" hidden="false" customHeight="true" outlineLevel="0" collapsed="false">
      <c r="A471" s="12" t="n">
        <v>19918</v>
      </c>
      <c r="B471" s="13" t="s">
        <v>2127</v>
      </c>
      <c r="C471" s="16" t="n">
        <v>45793</v>
      </c>
      <c r="D471" s="13" t="s">
        <v>101</v>
      </c>
      <c r="E471" s="15" t="s">
        <v>47</v>
      </c>
      <c r="F471" s="15" t="str">
        <f aca="false">IFERROR(__xludf.dummyfunction("XLOOKUP(AJ471,IMPORTRANGE(""1XaInW9DU9nz21V0tYIfzFQ0He9kVQ_JF2mCXgZ3hqFA"",""REKAP ALL 2026 - Andika!G:G""),IMPORTRANGE(""1XaInW9DU9nz21V0tYIfzFQ0He9kVQ_JF2mCXgZ3hqFA"",""REKAP ALL 2026 - Andika!F:F""),"""",0)"),"25079805468")</f>
        <v>25079805468</v>
      </c>
      <c r="G471" s="13" t="s">
        <v>2128</v>
      </c>
      <c r="H471" s="13" t="s">
        <v>35</v>
      </c>
      <c r="I471" s="13" t="str">
        <f aca="false">IF(C471=J471,"NEW KONTRAK","RE-KONTRAK")</f>
        <v>NEW KONTRAK</v>
      </c>
      <c r="J471" s="16" t="n">
        <f aca="false" t="array" ref="J471:J471">IFERROR(INDEX(AC471:AE471,IF(COUNTA(AC471:AE471)=0,"",MAX((AC471:AE471&lt;&gt;"")*(COLUMN(AC471:AE471)-(COLUMN(AC471)))))-1),"")</f>
        <v>45793</v>
      </c>
      <c r="K471" s="16" t="n">
        <f aca="false" t="array" ref="K471:K471">IFERROR(INDEX(AC471:AE471,IF(COUNTA(AC471:AE471)=0,"",MAX((AC471:AE471&lt;&gt;"")*(COLUMN(AC471:AE471)-(COLUMN(AC471)-1))))-1),"")</f>
        <v>46036</v>
      </c>
      <c r="L471" s="17" t="str">
        <f aca="false" t="array" ref="L471:L471">IFERROR(INDEX(AC471:AE471,IF(COUNTA(AC471:AE471)=0,"",MAX((AC471:AE471&lt;&gt;"")*(COLUMN(AC471:AE471)-(COLUMN(AC471)-2))))-1),"")</f>
        <v>ARCHIVED</v>
      </c>
      <c r="M471" s="13" t="n">
        <f aca="true">K471-TODAY()</f>
        <v>-288</v>
      </c>
      <c r="N471" s="18" t="s">
        <v>105</v>
      </c>
      <c r="O471" s="13" t="s">
        <v>1434</v>
      </c>
      <c r="P471" s="19" t="n">
        <v>138915</v>
      </c>
      <c r="Q471" s="20" t="s">
        <v>2129</v>
      </c>
      <c r="R471" s="13" t="s">
        <v>241</v>
      </c>
      <c r="S471" s="25" t="n">
        <v>38109</v>
      </c>
      <c r="T471" s="13" t="s">
        <v>40</v>
      </c>
      <c r="U471" s="13" t="s">
        <v>2130</v>
      </c>
      <c r="V471" s="13" t="s">
        <v>42</v>
      </c>
      <c r="W471" s="13" t="s">
        <v>43</v>
      </c>
      <c r="X471" s="21" t="n">
        <v>895401469564</v>
      </c>
      <c r="Y471" s="22" t="str">
        <f aca="false">O471</f>
        <v>E-Commerce - Packer</v>
      </c>
      <c r="Z471" s="13" t="str">
        <f aca="false">IFERROR(__xludf.dummyfunction("if(BJ471="""","""",GOOGLETRANSLATE(BJ471,""auto"",""en""))"),"E-Commerce - Packer")</f>
        <v>E-Commerce - Packer</v>
      </c>
      <c r="AA471" s="23" t="str">
        <f aca="false">IF(C471="","", CHOOSE(MONTH(C471),"January","February","March","April","May","June","July","August","September","October","November","December")&amp;" "&amp;DAY(C471)&amp;MID("thstndrdth",MIN(9,2*RIGHT(DAY(C471))*(MOD(DAY(C471)-11,100)&gt;2)+1),2)&amp;","&amp;TEXT(C471," yyyy"))</f>
        <v>May 16th,2025</v>
      </c>
      <c r="AB471" s="15" t="str">
        <f aca="true">IF(S471="","",DATEDIF(S471,TODAY(),"Y")&amp;" Tahun, "&amp;DATEDIF(S471,TODAY(),"YM")&amp;" Bulan, "&amp;DATEDIF(S471,TODAY(),"MD")&amp;" Hari")</f>
        <v>22 Tahun, 5 Bulan, 27 Hari</v>
      </c>
      <c r="AC471" s="18" t="n">
        <v>45793</v>
      </c>
      <c r="AD471" s="18" t="n">
        <v>46036</v>
      </c>
      <c r="AE471" s="18" t="s">
        <v>44</v>
      </c>
    </row>
    <row r="472" customFormat="false" ht="15.75" hidden="false" customHeight="true" outlineLevel="0" collapsed="false">
      <c r="A472" s="12" t="n">
        <v>12374</v>
      </c>
      <c r="B472" s="13" t="s">
        <v>2131</v>
      </c>
      <c r="C472" s="14" t="n">
        <v>45108</v>
      </c>
      <c r="D472" s="13" t="s">
        <v>101</v>
      </c>
      <c r="E472" s="15" t="s">
        <v>47</v>
      </c>
      <c r="F472" s="15" t="str">
        <f aca="false">IFERROR(__xludf.dummyfunction("XLOOKUP(AJ472,IMPORTRANGE(""1XaInW9DU9nz21V0tYIfzFQ0He9kVQ_JF2mCXgZ3hqFA"",""REKAP ALL 2026 - Andika!G:G""),IMPORTRANGE(""1XaInW9DU9nz21V0tYIfzFQ0He9kVQ_JF2mCXgZ3hqFA"",""REKAP ALL 2026 - Andika!F:F""),"""",0)"),"23113700852")</f>
        <v>23113700852</v>
      </c>
      <c r="G472" s="13" t="s">
        <v>2132</v>
      </c>
      <c r="H472" s="13" t="s">
        <v>35</v>
      </c>
      <c r="I472" s="13" t="str">
        <f aca="false">IF(C472=J472,"NEW KONTRAK","RE-KONTRAK")</f>
        <v>RE-KONTRAK</v>
      </c>
      <c r="J472" s="16" t="n">
        <f aca="false" t="array" ref="J472:J472">IFERROR(INDEX(AC472:AE472,IF(COUNTA(AC472:AE472)=0,"",MAX((AC472:AE472&lt;&gt;"")*(COLUMN(AC472:AE472)-(COLUMN(AC472)))))-1),"")</f>
        <v>45672</v>
      </c>
      <c r="K472" s="16" t="n">
        <f aca="false" t="array" ref="K472:K472">IFERROR(INDEX(AC472:AE472,IF(COUNTA(AC472:AE472)=0,"",MAX((AC472:AE472&lt;&gt;"")*(COLUMN(AC472:AE472)-(COLUMN(AC472)-1))))-1),"")</f>
        <v>46036</v>
      </c>
      <c r="L472" s="17" t="str">
        <f aca="false" t="array" ref="L472:L472">IFERROR(INDEX(AC472:AE472,IF(COUNTA(AC472:AE472)=0,"",MAX((AC472:AE472&lt;&gt;"")*(COLUMN(AC472:AE472)-(COLUMN(AC472)-2))))-1),"")</f>
        <v>ARCHIVED</v>
      </c>
      <c r="M472" s="13" t="n">
        <f aca="true">K472-TODAY()</f>
        <v>-288</v>
      </c>
      <c r="N472" s="18" t="s">
        <v>105</v>
      </c>
      <c r="O472" s="13" t="s">
        <v>106</v>
      </c>
      <c r="P472" s="31" t="n">
        <v>138915</v>
      </c>
      <c r="Q472" s="20" t="s">
        <v>2133</v>
      </c>
      <c r="R472" s="13" t="s">
        <v>168</v>
      </c>
      <c r="S472" s="25" t="n">
        <v>36709</v>
      </c>
      <c r="T472" s="13" t="s">
        <v>108</v>
      </c>
      <c r="U472" s="13" t="s">
        <v>2134</v>
      </c>
      <c r="V472" s="13" t="s">
        <v>42</v>
      </c>
      <c r="W472" s="13" t="s">
        <v>43</v>
      </c>
      <c r="X472" s="21" t="n">
        <v>85749511926</v>
      </c>
      <c r="Y472" s="22" t="str">
        <f aca="false">O472</f>
        <v>Produksi - Helper</v>
      </c>
      <c r="Z472" s="13" t="str">
        <f aca="false">IFERROR(__xludf.dummyfunction("if(BJ472="""","""",GOOGLETRANSLATE(BJ472,""auto"",""en""))"),"Production - Helper")</f>
        <v>Production - Helper</v>
      </c>
      <c r="AA472" s="23" t="str">
        <f aca="false">IF(C472="","", CHOOSE(MONTH(C472),"January","February","March","April","May","June","July","August","September","October","November","December")&amp;" "&amp;DAY(C472)&amp;MID("thstndrdth",MIN(9,2*RIGHT(DAY(C472))*(MOD(DAY(C472)-11,100)&gt;2)+1),2)&amp;","&amp;TEXT(C472," yyyy"))</f>
        <v>July 1st,2023</v>
      </c>
      <c r="AB472" s="15" t="str">
        <f aca="true">IF(S472="","",DATEDIF(S472,TODAY(),"Y")&amp;" Tahun, "&amp;DATEDIF(S472,TODAY(),"YM")&amp;" Bulan, "&amp;DATEDIF(S472,TODAY(),"MD")&amp;" Hari")</f>
        <v>26 Tahun, 3 Bulan, 27 Hari</v>
      </c>
      <c r="AC472" s="18" t="n">
        <v>45672</v>
      </c>
      <c r="AD472" s="18" t="n">
        <v>46036</v>
      </c>
      <c r="AE472" s="18" t="s">
        <v>44</v>
      </c>
    </row>
    <row r="473" customFormat="false" ht="15.75" hidden="false" customHeight="true" outlineLevel="0" collapsed="false">
      <c r="A473" s="12" t="n">
        <v>12375</v>
      </c>
      <c r="B473" s="13" t="s">
        <v>2135</v>
      </c>
      <c r="C473" s="14" t="n">
        <v>45108</v>
      </c>
      <c r="D473" s="13" t="s">
        <v>101</v>
      </c>
      <c r="E473" s="15" t="s">
        <v>47</v>
      </c>
      <c r="F473" s="15" t="str">
        <f aca="false">IFERROR(__xludf.dummyfunction("XLOOKUP(AJ473,IMPORTRANGE(""1XaInW9DU9nz21V0tYIfzFQ0He9kVQ_JF2mCXgZ3hqFA"",""REKAP ALL 2026 - Andika!G:G""),IMPORTRANGE(""1XaInW9DU9nz21V0tYIfzFQ0He9kVQ_JF2mCXgZ3hqFA"",""REKAP ALL 2026 - Andika!F:F""),"""",0)"),"23113700787")</f>
        <v>23113700787</v>
      </c>
      <c r="G473" s="13" t="s">
        <v>2136</v>
      </c>
      <c r="H473" s="13" t="s">
        <v>35</v>
      </c>
      <c r="I473" s="13" t="str">
        <f aca="false">IF(C473=J473,"NEW KONTRAK","RE-KONTRAK")</f>
        <v>RE-KONTRAK</v>
      </c>
      <c r="J473" s="16" t="n">
        <f aca="false" t="array" ref="J473:J473">IFERROR(INDEX(AC473:AE473,IF(COUNTA(AC473:AE473)=0,"",MAX((AC473:AE473&lt;&gt;"")*(COLUMN(AC473:AE473)-(COLUMN(AC473)))))-1),"")</f>
        <v>45672</v>
      </c>
      <c r="K473" s="16" t="n">
        <f aca="false" t="array" ref="K473:K473">IFERROR(INDEX(AC473:AE473,IF(COUNTA(AC473:AE473)=0,"",MAX((AC473:AE473&lt;&gt;"")*(COLUMN(AC473:AE473)-(COLUMN(AC473)-1))))-1),"")</f>
        <v>46036</v>
      </c>
      <c r="L473" s="17" t="str">
        <f aca="false" t="array" ref="L473:L473">IFERROR(INDEX(AC473:AE473,IF(COUNTA(AC473:AE473)=0,"",MAX((AC473:AE473&lt;&gt;"")*(COLUMN(AC473:AE473)-(COLUMN(AC473)-2))))-1),"")</f>
        <v>ARCHIVED</v>
      </c>
      <c r="M473" s="13" t="n">
        <f aca="true">K473-TODAY()</f>
        <v>-288</v>
      </c>
      <c r="N473" s="18" t="s">
        <v>105</v>
      </c>
      <c r="O473" s="13" t="s">
        <v>106</v>
      </c>
      <c r="P473" s="31" t="n">
        <v>138915</v>
      </c>
      <c r="Q473" s="20" t="s">
        <v>2137</v>
      </c>
      <c r="R473" s="13" t="s">
        <v>52</v>
      </c>
      <c r="S473" s="25" t="n">
        <v>33236</v>
      </c>
      <c r="T473" s="13" t="s">
        <v>40</v>
      </c>
      <c r="U473" s="13" t="s">
        <v>2138</v>
      </c>
      <c r="V473" s="13" t="s">
        <v>42</v>
      </c>
      <c r="W473" s="13" t="s">
        <v>54</v>
      </c>
      <c r="X473" s="21" t="n">
        <v>82247770441</v>
      </c>
      <c r="Y473" s="22" t="str">
        <f aca="false">O473</f>
        <v>Produksi - Helper</v>
      </c>
      <c r="Z473" s="13" t="str">
        <f aca="false">IFERROR(__xludf.dummyfunction("if(BJ473="""","""",GOOGLETRANSLATE(BJ473,""auto"",""en""))"),"Production - Helper")</f>
        <v>Production - Helper</v>
      </c>
      <c r="AA473" s="23" t="str">
        <f aca="false">IF(C473="","", CHOOSE(MONTH(C473),"January","February","March","April","May","June","July","August","September","October","November","December")&amp;" "&amp;DAY(C473)&amp;MID("thstndrdth",MIN(9,2*RIGHT(DAY(C473))*(MOD(DAY(C473)-11,100)&gt;2)+1),2)&amp;","&amp;TEXT(C473," yyyy"))</f>
        <v>July 1st,2023</v>
      </c>
      <c r="AB473" s="15" t="str">
        <f aca="true">IF(S473="","",DATEDIF(S473,TODAY(),"Y")&amp;" Tahun, "&amp;DATEDIF(S473,TODAY(),"YM")&amp;" Bulan, "&amp;DATEDIF(S473,TODAY(),"MD")&amp;" Hari")</f>
        <v>35 Tahun, 10 Bulan, 0 Hari</v>
      </c>
      <c r="AC473" s="18" t="n">
        <v>45672</v>
      </c>
      <c r="AD473" s="18" t="n">
        <v>46036</v>
      </c>
      <c r="AE473" s="18" t="s">
        <v>44</v>
      </c>
    </row>
    <row r="474" customFormat="false" ht="15.75" hidden="false" customHeight="true" outlineLevel="0" collapsed="false">
      <c r="A474" s="12" t="n">
        <v>2459</v>
      </c>
      <c r="B474" s="13" t="s">
        <v>2139</v>
      </c>
      <c r="C474" s="14" t="n">
        <v>44407</v>
      </c>
      <c r="D474" s="13" t="s">
        <v>101</v>
      </c>
      <c r="E474" s="15" t="s">
        <v>102</v>
      </c>
      <c r="F474" s="15" t="str">
        <f aca="false">IFERROR(__xludf.dummyfunction("XLOOKUP(AJ474,IMPORTRANGE(""1XaInW9DU9nz21V0tYIfzFQ0He9kVQ_JF2mCXgZ3hqFA"",""REKAP ALL 2026 - Andika!G:G""),IMPORTRANGE(""1XaInW9DU9nz21V0tYIfzFQ0He9kVQ_JF2mCXgZ3hqFA"",""REKAP ALL 2026 - Andika!F:F""),"""",0)"),"21068419387")</f>
        <v>21068419387</v>
      </c>
      <c r="G474" s="13" t="s">
        <v>2140</v>
      </c>
      <c r="H474" s="13" t="s">
        <v>35</v>
      </c>
      <c r="I474" s="13" t="str">
        <f aca="false">IF(C474=J474,"NEW KONTRAK","RE-KONTRAK")</f>
        <v>RE-KONTRAK</v>
      </c>
      <c r="J474" s="16" t="n">
        <f aca="false" t="array" ref="J474:J474">IFERROR(INDEX(AC474:AE474,IF(COUNTA(AC474:AE474)=0,"",MAX((AC474:AE474&lt;&gt;"")*(COLUMN(AC474:AE474)-(COLUMN(AC474)))))-1),"")</f>
        <v>45672</v>
      </c>
      <c r="K474" s="16" t="n">
        <f aca="false" t="array" ref="K474:K474">IFERROR(INDEX(AC474:AE474,IF(COUNTA(AC474:AE474)=0,"",MAX((AC474:AE474&lt;&gt;"")*(COLUMN(AC474:AE474)-(COLUMN(AC474)-1))))-1),"")</f>
        <v>46036</v>
      </c>
      <c r="L474" s="17" t="str">
        <f aca="false" t="array" ref="L474:L474">IFERROR(INDEX(AC474:AE474,IF(COUNTA(AC474:AE474)=0,"",MAX((AC474:AE474&lt;&gt;"")*(COLUMN(AC474:AE474)-(COLUMN(AC474)-2))))-1),"")</f>
        <v>ARCHIVED</v>
      </c>
      <c r="M474" s="13" t="n">
        <f aca="true">K474-TODAY()</f>
        <v>-288</v>
      </c>
      <c r="N474" s="18" t="s">
        <v>105</v>
      </c>
      <c r="O474" s="13" t="s">
        <v>106</v>
      </c>
      <c r="P474" s="19" t="n">
        <v>132300</v>
      </c>
      <c r="Q474" s="20" t="s">
        <v>2141</v>
      </c>
      <c r="R474" s="13" t="s">
        <v>39</v>
      </c>
      <c r="S474" s="25" t="n">
        <v>36627</v>
      </c>
      <c r="T474" s="13" t="s">
        <v>108</v>
      </c>
      <c r="U474" s="13" t="s">
        <v>2142</v>
      </c>
      <c r="V474" s="13" t="s">
        <v>42</v>
      </c>
      <c r="W474" s="13" t="s">
        <v>43</v>
      </c>
      <c r="X474" s="21" t="n">
        <v>85895625871</v>
      </c>
      <c r="Y474" s="22" t="str">
        <f aca="false">O474</f>
        <v>Produksi - Helper</v>
      </c>
      <c r="Z474" s="13" t="str">
        <f aca="false">IFERROR(__xludf.dummyfunction("if(BJ474="""","""",GOOGLETRANSLATE(BJ474,""auto"",""en""))"),"Production - Helper")</f>
        <v>Production - Helper</v>
      </c>
      <c r="AA474" s="23" t="str">
        <f aca="false">IF(C474="","", CHOOSE(MONTH(C474),"January","February","March","April","May","June","July","August","September","October","November","December")&amp;" "&amp;DAY(C474)&amp;MID("thstndrdth",MIN(9,2*RIGHT(DAY(C474))*(MOD(DAY(C474)-11,100)&gt;2)+1),2)&amp;","&amp;TEXT(C474," yyyy"))</f>
        <v>July 30th,2021</v>
      </c>
      <c r="AB474" s="15" t="str">
        <f aca="true">IF(S474="","",DATEDIF(S474,TODAY(),"Y")&amp;" Tahun, "&amp;DATEDIF(S474,TODAY(),"YM")&amp;" Bulan, "&amp;DATEDIF(S474,TODAY(),"MD")&amp;" Hari")</f>
        <v>26 Tahun, 6 Bulan, 18 Hari</v>
      </c>
      <c r="AC474" s="18" t="n">
        <v>45672</v>
      </c>
      <c r="AD474" s="18" t="n">
        <v>46036</v>
      </c>
      <c r="AE474" s="18" t="s">
        <v>44</v>
      </c>
    </row>
    <row r="475" customFormat="false" ht="15.75" hidden="false" customHeight="true" outlineLevel="0" collapsed="false">
      <c r="A475" s="12" t="n">
        <v>2460</v>
      </c>
      <c r="B475" s="13" t="s">
        <v>2143</v>
      </c>
      <c r="C475" s="14" t="n">
        <v>44407</v>
      </c>
      <c r="D475" s="13" t="s">
        <v>101</v>
      </c>
      <c r="E475" s="15" t="s">
        <v>102</v>
      </c>
      <c r="F475" s="15" t="str">
        <f aca="false">IFERROR(__xludf.dummyfunction("XLOOKUP(AJ475,IMPORTRANGE(""1XaInW9DU9nz21V0tYIfzFQ0He9kVQ_JF2mCXgZ3hqFA"",""REKAP ALL 2026 - Andika!G:G""),IMPORTRANGE(""1XaInW9DU9nz21V0tYIfzFQ0He9kVQ_JF2mCXgZ3hqFA"",""REKAP ALL 2026 - Andika!F:F""),"""",0)"),"21068420880")</f>
        <v>21068420880</v>
      </c>
      <c r="G475" s="13" t="s">
        <v>2144</v>
      </c>
      <c r="H475" s="13" t="s">
        <v>35</v>
      </c>
      <c r="I475" s="13" t="str">
        <f aca="false">IF(C475=J475,"NEW KONTRAK","RE-KONTRAK")</f>
        <v>RE-KONTRAK</v>
      </c>
      <c r="J475" s="16" t="n">
        <f aca="false" t="array" ref="J475:J475">IFERROR(INDEX(AC475:AE475,IF(COUNTA(AC475:AE475)=0,"",MAX((AC475:AE475&lt;&gt;"")*(COLUMN(AC475:AE475)-(COLUMN(AC475)))))-1),"")</f>
        <v>45672</v>
      </c>
      <c r="K475" s="16" t="n">
        <f aca="false" t="array" ref="K475:K475">IFERROR(INDEX(AC475:AE475,IF(COUNTA(AC475:AE475)=0,"",MAX((AC475:AE475&lt;&gt;"")*(COLUMN(AC475:AE475)-(COLUMN(AC475)-1))))-1),"")</f>
        <v>46036</v>
      </c>
      <c r="L475" s="17" t="str">
        <f aca="false" t="array" ref="L475:L475">IFERROR(INDEX(AC475:AE475,IF(COUNTA(AC475:AE475)=0,"",MAX((AC475:AE475&lt;&gt;"")*(COLUMN(AC475:AE475)-(COLUMN(AC475)-2))))-1),"")</f>
        <v>ARCHIVED</v>
      </c>
      <c r="M475" s="13" t="n">
        <f aca="true">K475-TODAY()</f>
        <v>-288</v>
      </c>
      <c r="N475" s="18" t="s">
        <v>105</v>
      </c>
      <c r="O475" s="13" t="s">
        <v>106</v>
      </c>
      <c r="P475" s="19" t="n">
        <v>132300</v>
      </c>
      <c r="Q475" s="20" t="s">
        <v>2145</v>
      </c>
      <c r="R475" s="13" t="s">
        <v>39</v>
      </c>
      <c r="S475" s="25" t="n">
        <v>37524</v>
      </c>
      <c r="T475" s="13" t="s">
        <v>108</v>
      </c>
      <c r="U475" s="13" t="s">
        <v>2146</v>
      </c>
      <c r="V475" s="13" t="s">
        <v>42</v>
      </c>
      <c r="W475" s="13" t="s">
        <v>43</v>
      </c>
      <c r="X475" s="21" t="n">
        <v>895411304806</v>
      </c>
      <c r="Y475" s="22" t="str">
        <f aca="false">O475</f>
        <v>Produksi - Helper</v>
      </c>
      <c r="Z475" s="13" t="str">
        <f aca="false">IFERROR(__xludf.dummyfunction("if(BJ475="""","""",GOOGLETRANSLATE(BJ475,""auto"",""en""))"),"Production - Helper")</f>
        <v>Production - Helper</v>
      </c>
      <c r="AA475" s="23" t="str">
        <f aca="false">IF(C475="","", CHOOSE(MONTH(C475),"January","February","March","April","May","June","July","August","September","October","November","December")&amp;" "&amp;DAY(C475)&amp;MID("thstndrdth",MIN(9,2*RIGHT(DAY(C475))*(MOD(DAY(C475)-11,100)&gt;2)+1),2)&amp;","&amp;TEXT(C475," yyyy"))</f>
        <v>July 30th,2021</v>
      </c>
      <c r="AB475" s="15" t="str">
        <f aca="true">IF(S475="","",DATEDIF(S475,TODAY(),"Y")&amp;" Tahun, "&amp;DATEDIF(S475,TODAY(),"YM")&amp;" Bulan, "&amp;DATEDIF(S475,TODAY(),"MD")&amp;" Hari")</f>
        <v>24 Tahun, 1 Bulan, 4 Hari</v>
      </c>
      <c r="AC475" s="18" t="n">
        <v>45672</v>
      </c>
      <c r="AD475" s="18" t="n">
        <v>46036</v>
      </c>
      <c r="AE475" s="18" t="s">
        <v>44</v>
      </c>
    </row>
    <row r="476" customFormat="false" ht="15.75" hidden="false" customHeight="true" outlineLevel="0" collapsed="false">
      <c r="A476" s="12" t="n">
        <v>3126</v>
      </c>
      <c r="B476" s="13" t="s">
        <v>2147</v>
      </c>
      <c r="C476" s="14" t="n">
        <v>44231</v>
      </c>
      <c r="D476" s="13" t="s">
        <v>2148</v>
      </c>
      <c r="E476" s="15" t="s">
        <v>47</v>
      </c>
      <c r="F476" s="15" t="str">
        <f aca="false">IFERROR(__xludf.dummyfunction("XLOOKUP(AJ476,IMPORTRANGE(""1XaInW9DU9nz21V0tYIfzFQ0He9kVQ_JF2mCXgZ3hqFA"",""REKAP ALL 2026 - Andika!G:G""),IMPORTRANGE(""1XaInW9DU9nz21V0tYIfzFQ0He9kVQ_JF2mCXgZ3hqFA"",""REKAP ALL 2026 - Andika!F:F""),"""",0)"),"20056734187")</f>
        <v>20056734187</v>
      </c>
      <c r="G476" s="13" t="s">
        <v>2149</v>
      </c>
      <c r="H476" s="13" t="s">
        <v>49</v>
      </c>
      <c r="I476" s="13" t="str">
        <f aca="false">IF(C476=J476,"NEW KONTRAK","RE-KONTRAK")</f>
        <v>RE-KONTRAK</v>
      </c>
      <c r="J476" s="16" t="n">
        <f aca="false" t="array" ref="J476:J476">IFERROR(INDEX(AC476:AE476,IF(COUNTA(AC476:AE476)=0,"",MAX((AC476:AE476&lt;&gt;"")*(COLUMN(AC476:AE476)-(COLUMN(AC476)))))-1),"")</f>
        <v>45672</v>
      </c>
      <c r="K476" s="16" t="n">
        <f aca="false" t="array" ref="K476:K476">IFERROR(INDEX(AC476:AE476,IF(COUNTA(AC476:AE476)=0,"",MAX((AC476:AE476&lt;&gt;"")*(COLUMN(AC476:AE476)-(COLUMN(AC476)-1))))-1),"")</f>
        <v>46036</v>
      </c>
      <c r="L476" s="17" t="str">
        <f aca="false" t="array" ref="L476:L476">IFERROR(INDEX(AC476:AE476,IF(COUNTA(AC476:AE476)=0,"",MAX((AC476:AE476&lt;&gt;"")*(COLUMN(AC476:AE476)-(COLUMN(AC476)-2))))-1),"")</f>
        <v>ARCHIVED</v>
      </c>
      <c r="M476" s="13" t="n">
        <f aca="true">K476-TODAY()</f>
        <v>-288</v>
      </c>
      <c r="N476" s="50" t="s">
        <v>105</v>
      </c>
      <c r="O476" s="13" t="s">
        <v>1467</v>
      </c>
      <c r="P476" s="19" t="n">
        <v>189630</v>
      </c>
      <c r="Q476" s="20" t="s">
        <v>2150</v>
      </c>
      <c r="R476" s="13" t="s">
        <v>39</v>
      </c>
      <c r="S476" s="25" t="n">
        <v>36559</v>
      </c>
      <c r="T476" s="13" t="s">
        <v>40</v>
      </c>
      <c r="U476" s="13" t="s">
        <v>2151</v>
      </c>
      <c r="V476" s="13" t="s">
        <v>42</v>
      </c>
      <c r="W476" s="13" t="s">
        <v>43</v>
      </c>
      <c r="X476" s="21" t="n">
        <v>82233064559</v>
      </c>
      <c r="Y476" s="22" t="str">
        <f aca="false">O476</f>
        <v>Maintenance - Leader</v>
      </c>
      <c r="Z476" s="13" t="str">
        <f aca="false">IFERROR(__xludf.dummyfunction("if(BJ476="""","""",GOOGLETRANSLATE(BJ476,""auto"",""en""))"),"Maintenance - Leader")</f>
        <v>Maintenance - Leader</v>
      </c>
      <c r="AA476" s="23" t="str">
        <f aca="false">IF(C476="","", CHOOSE(MONTH(C476),"January","February","March","April","May","June","July","August","September","October","November","December")&amp;" "&amp;DAY(C476)&amp;MID("thstndrdth",MIN(9,2*RIGHT(DAY(C476))*(MOD(DAY(C476)-11,100)&gt;2)+1),2)&amp;","&amp;TEXT(C476," yyyy"))</f>
        <v>February 4th,2021</v>
      </c>
      <c r="AB476" s="15" t="str">
        <f aca="true">IF(S476="","",DATEDIF(S476,TODAY(),"Y")&amp;" Tahun, "&amp;DATEDIF(S476,TODAY(),"YM")&amp;" Bulan, "&amp;DATEDIF(S476,TODAY(),"MD")&amp;" Hari")</f>
        <v>26 Tahun, 8 Bulan, 26 Hari</v>
      </c>
      <c r="AC476" s="18" t="n">
        <v>45672</v>
      </c>
      <c r="AD476" s="18" t="n">
        <v>46036</v>
      </c>
      <c r="AE476" s="18" t="s">
        <v>44</v>
      </c>
    </row>
    <row r="477" customFormat="false" ht="15.75" hidden="false" customHeight="true" outlineLevel="0" collapsed="false">
      <c r="A477" s="12" t="n">
        <v>2473</v>
      </c>
      <c r="B477" s="13" t="s">
        <v>2152</v>
      </c>
      <c r="C477" s="14" t="n">
        <v>44407</v>
      </c>
      <c r="D477" s="13" t="s">
        <v>101</v>
      </c>
      <c r="E477" s="15" t="s">
        <v>102</v>
      </c>
      <c r="F477" s="15" t="str">
        <f aca="false">IFERROR(__xludf.dummyfunction("XLOOKUP(AJ477,IMPORTRANGE(""1XaInW9DU9nz21V0tYIfzFQ0He9kVQ_JF2mCXgZ3hqFA"",""REKAP ALL 2026 - Andika!G:G""),IMPORTRANGE(""1XaInW9DU9nz21V0tYIfzFQ0He9kVQ_JF2mCXgZ3hqFA"",""REKAP ALL 2026 - Andika!F:F""),"""",0)"),"21068421664")</f>
        <v>21068421664</v>
      </c>
      <c r="G477" s="13" t="s">
        <v>2153</v>
      </c>
      <c r="H477" s="13" t="s">
        <v>35</v>
      </c>
      <c r="I477" s="13" t="str">
        <f aca="false">IF(C477=J477,"NEW KONTRAK","RE-KONTRAK")</f>
        <v>RE-KONTRAK</v>
      </c>
      <c r="J477" s="16" t="n">
        <f aca="false" t="array" ref="J477:J477">IFERROR(INDEX(AC477:AE477,IF(COUNTA(AC477:AE477)=0,"",MAX((AC477:AE477&lt;&gt;"")*(COLUMN(AC477:AE477)-(COLUMN(AC477)))))-1),"")</f>
        <v>45672</v>
      </c>
      <c r="K477" s="16" t="n">
        <f aca="false" t="array" ref="K477:K477">IFERROR(INDEX(AC477:AE477,IF(COUNTA(AC477:AE477)=0,"",MAX((AC477:AE477&lt;&gt;"")*(COLUMN(AC477:AE477)-(COLUMN(AC477)-1))))-1),"")</f>
        <v>46036</v>
      </c>
      <c r="L477" s="17" t="str">
        <f aca="false" t="array" ref="L477:L477">IFERROR(INDEX(AC477:AE477,IF(COUNTA(AC477:AE477)=0,"",MAX((AC477:AE477&lt;&gt;"")*(COLUMN(AC477:AE477)-(COLUMN(AC477)-2))))-1),"")</f>
        <v>ARCHIVED</v>
      </c>
      <c r="M477" s="13" t="n">
        <f aca="true">K477-TODAY()</f>
        <v>-288</v>
      </c>
      <c r="N477" s="18" t="s">
        <v>105</v>
      </c>
      <c r="O477" s="13" t="s">
        <v>106</v>
      </c>
      <c r="P477" s="19" t="n">
        <v>132300</v>
      </c>
      <c r="Q477" s="20" t="s">
        <v>2154</v>
      </c>
      <c r="R477" s="13" t="s">
        <v>39</v>
      </c>
      <c r="S477" s="25" t="n">
        <v>36585</v>
      </c>
      <c r="T477" s="13" t="s">
        <v>108</v>
      </c>
      <c r="U477" s="13" t="s">
        <v>2155</v>
      </c>
      <c r="V477" s="13" t="s">
        <v>42</v>
      </c>
      <c r="W477" s="13" t="s">
        <v>43</v>
      </c>
      <c r="X477" s="21" t="n">
        <v>85731204859</v>
      </c>
      <c r="Y477" s="22" t="str">
        <f aca="false">O477</f>
        <v>Produksi - Helper</v>
      </c>
      <c r="Z477" s="13" t="str">
        <f aca="false">IFERROR(__xludf.dummyfunction("if(BJ477="""","""",GOOGLETRANSLATE(BJ477,""auto"",""en""))"),"Production - Helper")</f>
        <v>Production - Helper</v>
      </c>
      <c r="AA477" s="23" t="str">
        <f aca="false">IF(C477="","", CHOOSE(MONTH(C477),"January","February","March","April","May","June","July","August","September","October","November","December")&amp;" "&amp;DAY(C477)&amp;MID("thstndrdth",MIN(9,2*RIGHT(DAY(C477))*(MOD(DAY(C477)-11,100)&gt;2)+1),2)&amp;","&amp;TEXT(C477," yyyy"))</f>
        <v>July 30th,2021</v>
      </c>
      <c r="AB477" s="15" t="str">
        <f aca="true">IF(S477="","",DATEDIF(S477,TODAY(),"Y")&amp;" Tahun, "&amp;DATEDIF(S477,TODAY(),"YM")&amp;" Bulan, "&amp;DATEDIF(S477,TODAY(),"MD")&amp;" Hari")</f>
        <v>26 Tahun, 8 Bulan, 0 Hari</v>
      </c>
      <c r="AC477" s="18" t="n">
        <v>45672</v>
      </c>
      <c r="AD477" s="18" t="n">
        <v>46036</v>
      </c>
      <c r="AE477" s="18" t="s">
        <v>44</v>
      </c>
    </row>
    <row r="478" customFormat="false" ht="15.75" hidden="false" customHeight="true" outlineLevel="0" collapsed="false">
      <c r="A478" s="12" t="n">
        <v>2482</v>
      </c>
      <c r="B478" s="13" t="s">
        <v>2156</v>
      </c>
      <c r="C478" s="14" t="n">
        <v>44408</v>
      </c>
      <c r="D478" s="13" t="s">
        <v>101</v>
      </c>
      <c r="E478" s="15" t="s">
        <v>102</v>
      </c>
      <c r="F478" s="15" t="str">
        <f aca="false">IFERROR(__xludf.dummyfunction("XLOOKUP(AJ478,IMPORTRANGE(""1XaInW9DU9nz21V0tYIfzFQ0He9kVQ_JF2mCXgZ3hqFA"",""REKAP ALL 2026 - Andika!G:G""),IMPORTRANGE(""1XaInW9DU9nz21V0tYIfzFQ0He9kVQ_JF2mCXgZ3hqFA"",""REKAP ALL 2026 - Andika!F:F""),"""",0)"),"21068420013")</f>
        <v>21068420013</v>
      </c>
      <c r="G478" s="13" t="s">
        <v>2157</v>
      </c>
      <c r="H478" s="13" t="s">
        <v>35</v>
      </c>
      <c r="I478" s="13" t="str">
        <f aca="false">IF(C478=J478,"NEW KONTRAK","RE-KONTRAK")</f>
        <v>RE-KONTRAK</v>
      </c>
      <c r="J478" s="16" t="n">
        <f aca="false" t="array" ref="J478:J478">IFERROR(INDEX(AC478:AE478,IF(COUNTA(AC478:AE478)=0,"",MAX((AC478:AE478&lt;&gt;"")*(COLUMN(AC478:AE478)-(COLUMN(AC478)))))-1),"")</f>
        <v>45672</v>
      </c>
      <c r="K478" s="16" t="n">
        <f aca="false" t="array" ref="K478:K478">IFERROR(INDEX(AC478:AE478,IF(COUNTA(AC478:AE478)=0,"",MAX((AC478:AE478&lt;&gt;"")*(COLUMN(AC478:AE478)-(COLUMN(AC478)-1))))-1),"")</f>
        <v>46036</v>
      </c>
      <c r="L478" s="17" t="str">
        <f aca="false" t="array" ref="L478:L478">IFERROR(INDEX(AC478:AE478,IF(COUNTA(AC478:AE478)=0,"",MAX((AC478:AE478&lt;&gt;"")*(COLUMN(AC478:AE478)-(COLUMN(AC478)-2))))-1),"")</f>
        <v>ARCHIVED</v>
      </c>
      <c r="M478" s="13" t="n">
        <f aca="true">K478-TODAY()</f>
        <v>-288</v>
      </c>
      <c r="N478" s="18" t="s">
        <v>105</v>
      </c>
      <c r="O478" s="13" t="s">
        <v>106</v>
      </c>
      <c r="P478" s="19" t="n">
        <v>132300</v>
      </c>
      <c r="Q478" s="20" t="s">
        <v>2158</v>
      </c>
      <c r="R478" s="13" t="s">
        <v>39</v>
      </c>
      <c r="S478" s="25" t="n">
        <v>35201</v>
      </c>
      <c r="T478" s="13" t="s">
        <v>108</v>
      </c>
      <c r="U478" s="13" t="s">
        <v>2159</v>
      </c>
      <c r="V478" s="13" t="s">
        <v>42</v>
      </c>
      <c r="W478" s="13" t="s">
        <v>54</v>
      </c>
      <c r="X478" s="21" t="n">
        <v>85831612302</v>
      </c>
      <c r="Y478" s="22" t="str">
        <f aca="false">O478</f>
        <v>Produksi - Helper</v>
      </c>
      <c r="Z478" s="13" t="str">
        <f aca="false">IFERROR(__xludf.dummyfunction("if(BJ478="""","""",GOOGLETRANSLATE(BJ478,""auto"",""en""))"),"Production - Helper")</f>
        <v>Production - Helper</v>
      </c>
      <c r="AA478" s="23" t="str">
        <f aca="false">IF(C478="","", CHOOSE(MONTH(C478),"January","February","March","April","May","June","July","August","September","October","November","December")&amp;" "&amp;DAY(C478)&amp;MID("thstndrdth",MIN(9,2*RIGHT(DAY(C478))*(MOD(DAY(C478)-11,100)&gt;2)+1),2)&amp;","&amp;TEXT(C478," yyyy"))</f>
        <v>July 31st,2021</v>
      </c>
      <c r="AB478" s="15" t="str">
        <f aca="true">IF(S478="","",DATEDIF(S478,TODAY(),"Y")&amp;" Tahun, "&amp;DATEDIF(S478,TODAY(),"YM")&amp;" Bulan, "&amp;DATEDIF(S478,TODAY(),"MD")&amp;" Hari")</f>
        <v>30 Tahun, 5 Bulan, 13 Hari</v>
      </c>
      <c r="AC478" s="18" t="n">
        <v>45672</v>
      </c>
      <c r="AD478" s="18" t="n">
        <v>46036</v>
      </c>
      <c r="AE478" s="18" t="s">
        <v>44</v>
      </c>
    </row>
    <row r="479" customFormat="false" ht="15.75" hidden="false" customHeight="true" outlineLevel="0" collapsed="false">
      <c r="A479" s="12" t="n">
        <v>2489</v>
      </c>
      <c r="B479" s="13" t="s">
        <v>2160</v>
      </c>
      <c r="C479" s="14" t="n">
        <v>44408</v>
      </c>
      <c r="D479" s="13" t="s">
        <v>101</v>
      </c>
      <c r="E479" s="15" t="s">
        <v>33</v>
      </c>
      <c r="F479" s="24" t="s">
        <v>2161</v>
      </c>
      <c r="G479" s="13" t="s">
        <v>2162</v>
      </c>
      <c r="H479" s="13" t="s">
        <v>35</v>
      </c>
      <c r="I479" s="13" t="str">
        <f aca="false">IF(C479=J479,"NEW KONTRAK","RE-KONTRAK")</f>
        <v>RE-KONTRAK</v>
      </c>
      <c r="J479" s="16" t="n">
        <f aca="false" t="array" ref="J479:J479">IFERROR(INDEX(AC479:AE479,IF(COUNTA(AC479:AE479)=0,"",MAX((AC479:AE479&lt;&gt;"")*(COLUMN(AC479:AE479)-(COLUMN(AC479)))))-1),"")</f>
        <v>45672</v>
      </c>
      <c r="K479" s="16" t="n">
        <f aca="false" t="array" ref="K479:K479">IFERROR(INDEX(AC479:AE479,IF(COUNTA(AC479:AE479)=0,"",MAX((AC479:AE479&lt;&gt;"")*(COLUMN(AC479:AE479)-(COLUMN(AC479)-1))))-1),"")</f>
        <v>46036</v>
      </c>
      <c r="L479" s="17" t="str">
        <f aca="false" t="array" ref="L479:L479">IFERROR(INDEX(AC479:AE479,IF(COUNTA(AC479:AE479)=0,"",MAX((AC479:AE479&lt;&gt;"")*(COLUMN(AC479:AE479)-(COLUMN(AC479)-2))))-1),"")</f>
        <v>ARCHIVED</v>
      </c>
      <c r="M479" s="13" t="n">
        <f aca="true">K479-TODAY()</f>
        <v>-288</v>
      </c>
      <c r="N479" s="18" t="s">
        <v>105</v>
      </c>
      <c r="O479" s="13" t="s">
        <v>58</v>
      </c>
      <c r="P479" s="19" t="n">
        <v>126000</v>
      </c>
      <c r="Q479" s="20" t="s">
        <v>2163</v>
      </c>
      <c r="R479" s="13" t="s">
        <v>39</v>
      </c>
      <c r="S479" s="25" t="n">
        <v>37467</v>
      </c>
      <c r="T479" s="13" t="s">
        <v>108</v>
      </c>
      <c r="U479" s="13" t="s">
        <v>2164</v>
      </c>
      <c r="V479" s="13" t="s">
        <v>42</v>
      </c>
      <c r="W479" s="13" t="s">
        <v>43</v>
      </c>
      <c r="X479" s="21" t="n">
        <v>87754232028</v>
      </c>
      <c r="Y479" s="22" t="str">
        <f aca="false">O479</f>
        <v>Produksi</v>
      </c>
      <c r="Z479" s="13" t="str">
        <f aca="false">IFERROR(__xludf.dummyfunction("if(BJ479="""","""",GOOGLETRANSLATE(BJ479,""auto"",""en""))"),"Production")</f>
        <v>Production</v>
      </c>
      <c r="AA479" s="23" t="str">
        <f aca="false">IF(C479="","", CHOOSE(MONTH(C479),"January","February","March","April","May","June","July","August","September","October","November","December")&amp;" "&amp;DAY(C479)&amp;MID("thstndrdth",MIN(9,2*RIGHT(DAY(C479))*(MOD(DAY(C479)-11,100)&gt;2)+1),2)&amp;","&amp;TEXT(C479," yyyy"))</f>
        <v>July 31st,2021</v>
      </c>
      <c r="AB479" s="15" t="str">
        <f aca="true">IF(S479="","",DATEDIF(S479,TODAY(),"Y")&amp;" Tahun, "&amp;DATEDIF(S479,TODAY(),"YM")&amp;" Bulan, "&amp;DATEDIF(S479,TODAY(),"MD")&amp;" Hari")</f>
        <v>24 Tahun, 2 Bulan, 29 Hari</v>
      </c>
      <c r="AC479" s="18" t="n">
        <v>45672</v>
      </c>
      <c r="AD479" s="18" t="n">
        <v>46036</v>
      </c>
      <c r="AE479" s="18" t="s">
        <v>44</v>
      </c>
    </row>
    <row r="480" customFormat="false" ht="15.75" hidden="false" customHeight="true" outlineLevel="0" collapsed="false">
      <c r="A480" s="12" t="n">
        <v>2490</v>
      </c>
      <c r="B480" s="13" t="s">
        <v>2165</v>
      </c>
      <c r="C480" s="14" t="n">
        <v>44408</v>
      </c>
      <c r="D480" s="13" t="s">
        <v>101</v>
      </c>
      <c r="E480" s="15" t="s">
        <v>102</v>
      </c>
      <c r="F480" s="15" t="str">
        <f aca="false">IFERROR(__xludf.dummyfunction("XLOOKUP(AJ480,IMPORTRANGE(""1XaInW9DU9nz21V0tYIfzFQ0He9kVQ_JF2mCXgZ3hqFA"",""REKAP ALL 2026 - Andika!G:G""),IMPORTRANGE(""1XaInW9DU9nz21V0tYIfzFQ0He9kVQ_JF2mCXgZ3hqFA"",""REKAP ALL 2026 - Andika!F:F""),"""",0)"),"21068420708")</f>
        <v>21068420708</v>
      </c>
      <c r="G480" s="13" t="s">
        <v>2166</v>
      </c>
      <c r="H480" s="13" t="s">
        <v>35</v>
      </c>
      <c r="I480" s="13" t="str">
        <f aca="false">IF(C480=J480,"NEW KONTRAK","RE-KONTRAK")</f>
        <v>RE-KONTRAK</v>
      </c>
      <c r="J480" s="16" t="n">
        <f aca="false" t="array" ref="J480:J480">IFERROR(INDEX(AC480:AE480,IF(COUNTA(AC480:AE480)=0,"",MAX((AC480:AE480&lt;&gt;"")*(COLUMN(AC480:AE480)-(COLUMN(AC480)))))-1),"")</f>
        <v>45672</v>
      </c>
      <c r="K480" s="16" t="n">
        <f aca="false" t="array" ref="K480:K480">IFERROR(INDEX(AC480:AE480,IF(COUNTA(AC480:AE480)=0,"",MAX((AC480:AE480&lt;&gt;"")*(COLUMN(AC480:AE480)-(COLUMN(AC480)-1))))-1),"")</f>
        <v>46036</v>
      </c>
      <c r="L480" s="17" t="str">
        <f aca="false" t="array" ref="L480:L480">IFERROR(INDEX(AC480:AE480,IF(COUNTA(AC480:AE480)=0,"",MAX((AC480:AE480&lt;&gt;"")*(COLUMN(AC480:AE480)-(COLUMN(AC480)-2))))-1),"")</f>
        <v>ARCHIVED</v>
      </c>
      <c r="M480" s="13" t="n">
        <f aca="true">K480-TODAY()</f>
        <v>-288</v>
      </c>
      <c r="N480" s="18" t="s">
        <v>105</v>
      </c>
      <c r="O480" s="13" t="s">
        <v>106</v>
      </c>
      <c r="P480" s="19" t="n">
        <v>132300</v>
      </c>
      <c r="Q480" s="20" t="s">
        <v>2167</v>
      </c>
      <c r="R480" s="13" t="s">
        <v>260</v>
      </c>
      <c r="S480" s="25" t="n">
        <v>36306</v>
      </c>
      <c r="T480" s="13" t="s">
        <v>108</v>
      </c>
      <c r="U480" s="13" t="s">
        <v>2168</v>
      </c>
      <c r="V480" s="13" t="s">
        <v>42</v>
      </c>
      <c r="W480" s="13" t="s">
        <v>43</v>
      </c>
      <c r="X480" s="21" t="n">
        <v>85741730682</v>
      </c>
      <c r="Y480" s="22" t="str">
        <f aca="false">O480</f>
        <v>Produksi - Helper</v>
      </c>
      <c r="Z480" s="13" t="str">
        <f aca="false">IFERROR(__xludf.dummyfunction("if(BJ480="""","""",GOOGLETRANSLATE(BJ480,""auto"",""en""))"),"Production - Helper")</f>
        <v>Production - Helper</v>
      </c>
      <c r="AA480" s="23" t="str">
        <f aca="false">IF(C480="","", CHOOSE(MONTH(C480),"January","February","March","April","May","June","July","August","September","October","November","December")&amp;" "&amp;DAY(C480)&amp;MID("thstndrdth",MIN(9,2*RIGHT(DAY(C480))*(MOD(DAY(C480)-11,100)&gt;2)+1),2)&amp;","&amp;TEXT(C480," yyyy"))</f>
        <v>July 31st,2021</v>
      </c>
      <c r="AB480" s="15" t="str">
        <f aca="true">IF(S480="","",DATEDIF(S480,TODAY(),"Y")&amp;" Tahun, "&amp;DATEDIF(S480,TODAY(),"YM")&amp;" Bulan, "&amp;DATEDIF(S480,TODAY(),"MD")&amp;" Hari")</f>
        <v>27 Tahun, 5 Bulan, 3 Hari</v>
      </c>
      <c r="AC480" s="18" t="n">
        <v>45672</v>
      </c>
      <c r="AD480" s="18" t="n">
        <v>46036</v>
      </c>
      <c r="AE480" s="18" t="s">
        <v>44</v>
      </c>
    </row>
    <row r="481" customFormat="false" ht="15.75" hidden="false" customHeight="true" outlineLevel="0" collapsed="false">
      <c r="A481" s="12" t="n">
        <v>1891</v>
      </c>
      <c r="B481" s="13" t="s">
        <v>2169</v>
      </c>
      <c r="C481" s="14" t="n">
        <v>43845</v>
      </c>
      <c r="D481" s="13" t="s">
        <v>101</v>
      </c>
      <c r="E481" s="15" t="s">
        <v>47</v>
      </c>
      <c r="F481" s="15" t="str">
        <f aca="false">IFERROR(__xludf.dummyfunction("XLOOKUP(AJ481,IMPORTRANGE(""1XaInW9DU9nz21V0tYIfzFQ0He9kVQ_JF2mCXgZ3hqFA"",""REKAP ALL 2026 - Andika!G:G""),IMPORTRANGE(""1XaInW9DU9nz21V0tYIfzFQ0He9kVQ_JF2mCXgZ3hqFA"",""REKAP ALL 2026 - Andika!F:F""),"""",0)"),"20021313885")</f>
        <v>20021313885</v>
      </c>
      <c r="G481" s="13" t="s">
        <v>2170</v>
      </c>
      <c r="H481" s="13" t="s">
        <v>35</v>
      </c>
      <c r="I481" s="13" t="str">
        <f aca="false">IF(C481=J481,"NEW KONTRAK","RE-KONTRAK")</f>
        <v>RE-KONTRAK</v>
      </c>
      <c r="J481" s="16" t="n">
        <f aca="false" t="array" ref="J481:J481">IFERROR(INDEX(AC481:AE481,IF(COUNTA(AC481:AE481)=0,"",MAX((AC481:AE481&lt;&gt;"")*(COLUMN(AC481:AE481)-(COLUMN(AC481)))))-1),"")</f>
        <v>45672</v>
      </c>
      <c r="K481" s="16" t="n">
        <f aca="false" t="array" ref="K481:K481">IFERROR(INDEX(AC481:AE481,IF(COUNTA(AC481:AE481)=0,"",MAX((AC481:AE481&lt;&gt;"")*(COLUMN(AC481:AE481)-(COLUMN(AC481)-1))))-1),"")</f>
        <v>46036</v>
      </c>
      <c r="L481" s="17" t="str">
        <f aca="false" t="array" ref="L481:L481">IFERROR(INDEX(AC481:AE481,IF(COUNTA(AC481:AE481)=0,"",MAX((AC481:AE481&lt;&gt;"")*(COLUMN(AC481:AE481)-(COLUMN(AC481)-2))))-1),"")</f>
        <v>ARCHIVED</v>
      </c>
      <c r="M481" s="13" t="n">
        <f aca="true">K481-TODAY()</f>
        <v>-288</v>
      </c>
      <c r="N481" s="18" t="s">
        <v>105</v>
      </c>
      <c r="O481" s="13" t="s">
        <v>106</v>
      </c>
      <c r="P481" s="31" t="n">
        <v>138915</v>
      </c>
      <c r="Q481" s="20" t="s">
        <v>2171</v>
      </c>
      <c r="R481" s="13" t="s">
        <v>39</v>
      </c>
      <c r="S481" s="25" t="n">
        <v>37039</v>
      </c>
      <c r="T481" s="13" t="s">
        <v>108</v>
      </c>
      <c r="U481" s="13" t="s">
        <v>2172</v>
      </c>
      <c r="V481" s="13" t="s">
        <v>42</v>
      </c>
      <c r="W481" s="13" t="s">
        <v>43</v>
      </c>
      <c r="X481" s="21" t="n">
        <v>8883037439</v>
      </c>
      <c r="Y481" s="22" t="str">
        <f aca="false">O481</f>
        <v>Produksi - Helper</v>
      </c>
      <c r="Z481" s="13" t="str">
        <f aca="false">IFERROR(__xludf.dummyfunction("if(BJ481="""","""",GOOGLETRANSLATE(BJ481,""auto"",""en""))"),"Production - Helper")</f>
        <v>Production - Helper</v>
      </c>
      <c r="AA481" s="23" t="str">
        <f aca="false">IF(C481="","", CHOOSE(MONTH(C481),"January","February","March","April","May","June","July","August","September","October","November","December")&amp;" "&amp;DAY(C481)&amp;MID("thstndrdth",MIN(9,2*RIGHT(DAY(C481))*(MOD(DAY(C481)-11,100)&gt;2)+1),2)&amp;","&amp;TEXT(C481," yyyy"))</f>
        <v>January 15th,2020</v>
      </c>
      <c r="AB481" s="15" t="str">
        <f aca="true">IF(S481="","",DATEDIF(S481,TODAY(),"Y")&amp;" Tahun, "&amp;DATEDIF(S481,TODAY(),"YM")&amp;" Bulan, "&amp;DATEDIF(S481,TODAY(),"MD")&amp;" Hari")</f>
        <v>25 Tahun, 5 Bulan, 1 Hari</v>
      </c>
      <c r="AC481" s="18" t="n">
        <v>45672</v>
      </c>
      <c r="AD481" s="18" t="n">
        <v>46036</v>
      </c>
      <c r="AE481" s="18" t="s">
        <v>44</v>
      </c>
    </row>
    <row r="482" customFormat="false" ht="15.75" hidden="false" customHeight="true" outlineLevel="0" collapsed="false">
      <c r="A482" s="12" t="n">
        <v>5282</v>
      </c>
      <c r="B482" s="13" t="s">
        <v>2173</v>
      </c>
      <c r="C482" s="14" t="n">
        <v>44621</v>
      </c>
      <c r="D482" s="13" t="s">
        <v>101</v>
      </c>
      <c r="E482" s="15" t="s">
        <v>47</v>
      </c>
      <c r="F482" s="15" t="str">
        <f aca="false">IFERROR(__xludf.dummyfunction("XLOOKUP(AJ482,IMPORTRANGE(""1XaInW9DU9nz21V0tYIfzFQ0He9kVQ_JF2mCXgZ3hqFA"",""REKAP ALL 2026 - Andika!G:G""),IMPORTRANGE(""1XaInW9DU9nz21V0tYIfzFQ0He9kVQ_JF2mCXgZ3hqFA"",""REKAP ALL 2026 - Andika!F:F""),"""",0)"),"22024908638")</f>
        <v>22024908638</v>
      </c>
      <c r="G482" s="13" t="s">
        <v>2174</v>
      </c>
      <c r="H482" s="13" t="s">
        <v>35</v>
      </c>
      <c r="I482" s="13" t="str">
        <f aca="false">IF(C482=J482,"NEW KONTRAK","RE-KONTRAK")</f>
        <v>RE-KONTRAK</v>
      </c>
      <c r="J482" s="16" t="n">
        <f aca="false" t="array" ref="J482:J482">IFERROR(INDEX(AC482:AE482,IF(COUNTA(AC482:AE482)=0,"",MAX((AC482:AE482&lt;&gt;"")*(COLUMN(AC482:AE482)-(COLUMN(AC482)))))-1),"")</f>
        <v>45672</v>
      </c>
      <c r="K482" s="16" t="n">
        <f aca="false" t="array" ref="K482:K482">IFERROR(INDEX(AC482:AE482,IF(COUNTA(AC482:AE482)=0,"",MAX((AC482:AE482&lt;&gt;"")*(COLUMN(AC482:AE482)-(COLUMN(AC482)-1))))-1),"")</f>
        <v>46036</v>
      </c>
      <c r="L482" s="17" t="str">
        <f aca="false" t="array" ref="L482:L482">IFERROR(INDEX(AC482:AE482,IF(COUNTA(AC482:AE482)=0,"",MAX((AC482:AE482&lt;&gt;"")*(COLUMN(AC482:AE482)-(COLUMN(AC482)-2))))-1),"")</f>
        <v>ARCHIVED</v>
      </c>
      <c r="M482" s="13" t="n">
        <f aca="true">K482-TODAY()</f>
        <v>-288</v>
      </c>
      <c r="N482" s="18" t="s">
        <v>105</v>
      </c>
      <c r="O482" s="13" t="s">
        <v>2175</v>
      </c>
      <c r="P482" s="31" t="n">
        <v>176400</v>
      </c>
      <c r="Q482" s="20" t="s">
        <v>2176</v>
      </c>
      <c r="R482" s="13" t="s">
        <v>232</v>
      </c>
      <c r="S482" s="25" t="n">
        <v>31457</v>
      </c>
      <c r="T482" s="13" t="s">
        <v>40</v>
      </c>
      <c r="U482" s="13" t="s">
        <v>2177</v>
      </c>
      <c r="V482" s="13" t="s">
        <v>42</v>
      </c>
      <c r="W482" s="13" t="s">
        <v>43</v>
      </c>
      <c r="X482" s="21" t="n">
        <v>85806924892</v>
      </c>
      <c r="Y482" s="22" t="str">
        <f aca="false">O482</f>
        <v>Gudang RMPM - Operator Forklift</v>
      </c>
      <c r="Z482" s="13" t="str">
        <f aca="false">IFERROR(__xludf.dummyfunction("if(BJ482="""","""",GOOGLETRANSLATE(BJ482,""auto"",""en""))"),"RMPM Warehouse - Forklift Operator")</f>
        <v>RMPM Warehouse - Forklift Operator</v>
      </c>
      <c r="AA482" s="23" t="str">
        <f aca="false">IF(C482="","", CHOOSE(MONTH(C482),"January","February","March","April","May","June","July","August","September","October","November","December")&amp;" "&amp;DAY(C482)&amp;MID("thstndrdth",MIN(9,2*RIGHT(DAY(C482))*(MOD(DAY(C482)-11,100)&gt;2)+1),2)&amp;","&amp;TEXT(C482," yyyy"))</f>
        <v>March 1st,2022</v>
      </c>
      <c r="AB482" s="15" t="str">
        <f aca="true">IF(S482="","",DATEDIF(S482,TODAY(),"Y")&amp;" Tahun, "&amp;DATEDIF(S482,TODAY(),"YM")&amp;" Bulan, "&amp;DATEDIF(S482,TODAY(),"MD")&amp;" Hari")</f>
        <v>40 Tahun, 8 Bulan, 15 Hari</v>
      </c>
      <c r="AC482" s="18" t="n">
        <v>45672</v>
      </c>
      <c r="AD482" s="18" t="n">
        <v>46036</v>
      </c>
      <c r="AE482" s="18" t="s">
        <v>44</v>
      </c>
    </row>
    <row r="483" customFormat="false" ht="15.75" hidden="false" customHeight="true" outlineLevel="0" collapsed="false">
      <c r="A483" s="12" t="n">
        <v>2512</v>
      </c>
      <c r="B483" s="13" t="s">
        <v>2178</v>
      </c>
      <c r="C483" s="14" t="n">
        <v>44411</v>
      </c>
      <c r="D483" s="13" t="s">
        <v>101</v>
      </c>
      <c r="E483" s="15" t="s">
        <v>102</v>
      </c>
      <c r="F483" s="15" t="str">
        <f aca="false">IFERROR(__xludf.dummyfunction("XLOOKUP(AJ483,IMPORTRANGE(""1XaInW9DU9nz21V0tYIfzFQ0He9kVQ_JF2mCXgZ3hqFA"",""REKAP ALL 2026 - Andika!G:G""),IMPORTRANGE(""1XaInW9DU9nz21V0tYIfzFQ0He9kVQ_JF2mCXgZ3hqFA"",""REKAP ALL 2026 - Andika!F:F""),"""",0)"),"21068419221")</f>
        <v>21068419221</v>
      </c>
      <c r="G483" s="13" t="s">
        <v>2179</v>
      </c>
      <c r="H483" s="13" t="s">
        <v>35</v>
      </c>
      <c r="I483" s="13" t="str">
        <f aca="false">IF(C483=J483,"NEW KONTRAK","RE-KONTRAK")</f>
        <v>RE-KONTRAK</v>
      </c>
      <c r="J483" s="16" t="n">
        <f aca="false" t="array" ref="J483:J483">IFERROR(INDEX(AC483:AE483,IF(COUNTA(AC483:AE483)=0,"",MAX((AC483:AE483&lt;&gt;"")*(COLUMN(AC483:AE483)-(COLUMN(AC483)))))-1),"")</f>
        <v>45672</v>
      </c>
      <c r="K483" s="16" t="n">
        <f aca="false" t="array" ref="K483:K483">IFERROR(INDEX(AC483:AE483,IF(COUNTA(AC483:AE483)=0,"",MAX((AC483:AE483&lt;&gt;"")*(COLUMN(AC483:AE483)-(COLUMN(AC483)-1))))-1),"")</f>
        <v>46036</v>
      </c>
      <c r="L483" s="17" t="str">
        <f aca="false" t="array" ref="L483:L483">IFERROR(INDEX(AC483:AE483,IF(COUNTA(AC483:AE483)=0,"",MAX((AC483:AE483&lt;&gt;"")*(COLUMN(AC483:AE483)-(COLUMN(AC483)-2))))-1),"")</f>
        <v>ARCHIVED</v>
      </c>
      <c r="M483" s="13" t="n">
        <f aca="true">K483-TODAY()</f>
        <v>-288</v>
      </c>
      <c r="N483" s="18" t="s">
        <v>105</v>
      </c>
      <c r="O483" s="13" t="s">
        <v>106</v>
      </c>
      <c r="P483" s="31" t="n">
        <v>138915</v>
      </c>
      <c r="Q483" s="20" t="s">
        <v>2180</v>
      </c>
      <c r="R483" s="13" t="s">
        <v>255</v>
      </c>
      <c r="S483" s="25" t="n">
        <v>36352</v>
      </c>
      <c r="T483" s="13" t="s">
        <v>108</v>
      </c>
      <c r="U483" s="13" t="s">
        <v>2181</v>
      </c>
      <c r="V483" s="13" t="s">
        <v>42</v>
      </c>
      <c r="W483" s="13" t="s">
        <v>43</v>
      </c>
      <c r="X483" s="21" t="n">
        <v>87854666612</v>
      </c>
      <c r="Y483" s="22" t="str">
        <f aca="false">O483</f>
        <v>Produksi - Helper</v>
      </c>
      <c r="Z483" s="13" t="str">
        <f aca="false">IFERROR(__xludf.dummyfunction("if(BJ483="""","""",GOOGLETRANSLATE(BJ483,""auto"",""en""))"),"Production - Helper")</f>
        <v>Production - Helper</v>
      </c>
      <c r="AA483" s="23" t="str">
        <f aca="false">IF(C483="","", CHOOSE(MONTH(C483),"January","February","March","April","May","June","July","August","September","October","November","December")&amp;" "&amp;DAY(C483)&amp;MID("thstndrdth",MIN(9,2*RIGHT(DAY(C483))*(MOD(DAY(C483)-11,100)&gt;2)+1),2)&amp;","&amp;TEXT(C483," yyyy"))</f>
        <v>August 3rd,2021</v>
      </c>
      <c r="AB483" s="15" t="str">
        <f aca="true">IF(S483="","",DATEDIF(S483,TODAY(),"Y")&amp;" Tahun, "&amp;DATEDIF(S483,TODAY(),"YM")&amp;" Bulan, "&amp;DATEDIF(S483,TODAY(),"MD")&amp;" Hari")</f>
        <v>27 Tahun, 3 Bulan, 18 Hari</v>
      </c>
      <c r="AC483" s="18" t="n">
        <v>45672</v>
      </c>
      <c r="AD483" s="18" t="n">
        <v>46036</v>
      </c>
      <c r="AE483" s="18" t="s">
        <v>44</v>
      </c>
    </row>
    <row r="484" customFormat="false" ht="15.75" hidden="false" customHeight="true" outlineLevel="0" collapsed="false">
      <c r="A484" s="12" t="n">
        <v>2517</v>
      </c>
      <c r="B484" s="13" t="s">
        <v>2182</v>
      </c>
      <c r="C484" s="14" t="n">
        <v>44411</v>
      </c>
      <c r="D484" s="13" t="s">
        <v>101</v>
      </c>
      <c r="E484" s="15" t="s">
        <v>102</v>
      </c>
      <c r="F484" s="15" t="str">
        <f aca="false">IFERROR(__xludf.dummyfunction("XLOOKUP(AJ484,IMPORTRANGE(""1XaInW9DU9nz21V0tYIfzFQ0He9kVQ_JF2mCXgZ3hqFA"",""REKAP ALL 2026 - Andika!G:G""),IMPORTRANGE(""1XaInW9DU9nz21V0tYIfzFQ0He9kVQ_JF2mCXgZ3hqFA"",""REKAP ALL 2026 - Andika!F:F""),"""",0)"),"21068420450")</f>
        <v>21068420450</v>
      </c>
      <c r="G484" s="13" t="s">
        <v>2183</v>
      </c>
      <c r="H484" s="13" t="s">
        <v>35</v>
      </c>
      <c r="I484" s="13" t="str">
        <f aca="false">IF(C484=J484,"NEW KONTRAK","RE-KONTRAK")</f>
        <v>RE-KONTRAK</v>
      </c>
      <c r="J484" s="16" t="n">
        <f aca="false" t="array" ref="J484:J484">IFERROR(INDEX(AC484:AE484,IF(COUNTA(AC484:AE484)=0,"",MAX((AC484:AE484&lt;&gt;"")*(COLUMN(AC484:AE484)-(COLUMN(AC484)))))-1),"")</f>
        <v>45672</v>
      </c>
      <c r="K484" s="16" t="n">
        <f aca="false" t="array" ref="K484:K484">IFERROR(INDEX(AC484:AE484,IF(COUNTA(AC484:AE484)=0,"",MAX((AC484:AE484&lt;&gt;"")*(COLUMN(AC484:AE484)-(COLUMN(AC484)-1))))-1),"")</f>
        <v>46036</v>
      </c>
      <c r="L484" s="17" t="str">
        <f aca="false" t="array" ref="L484:L484">IFERROR(INDEX(AC484:AE484,IF(COUNTA(AC484:AE484)=0,"",MAX((AC484:AE484&lt;&gt;"")*(COLUMN(AC484:AE484)-(COLUMN(AC484)-2))))-1),"")</f>
        <v>ARCHIVED</v>
      </c>
      <c r="M484" s="13" t="n">
        <f aca="true">K484-TODAY()</f>
        <v>-288</v>
      </c>
      <c r="N484" s="18" t="s">
        <v>105</v>
      </c>
      <c r="O484" s="13" t="s">
        <v>106</v>
      </c>
      <c r="P484" s="19" t="n">
        <v>132300</v>
      </c>
      <c r="Q484" s="20" t="s">
        <v>2184</v>
      </c>
      <c r="R484" s="13" t="s">
        <v>39</v>
      </c>
      <c r="S484" s="25" t="n">
        <v>37428</v>
      </c>
      <c r="T484" s="13" t="s">
        <v>108</v>
      </c>
      <c r="U484" s="13" t="s">
        <v>2185</v>
      </c>
      <c r="V484" s="13" t="s">
        <v>42</v>
      </c>
      <c r="W484" s="13" t="s">
        <v>43</v>
      </c>
      <c r="X484" s="21" t="n">
        <v>895631417021</v>
      </c>
      <c r="Y484" s="22" t="str">
        <f aca="false">O484</f>
        <v>Produksi - Helper</v>
      </c>
      <c r="Z484" s="13" t="str">
        <f aca="false">IFERROR(__xludf.dummyfunction("if(BJ484="""","""",GOOGLETRANSLATE(BJ484,""auto"",""en""))"),"Production - Helper")</f>
        <v>Production - Helper</v>
      </c>
      <c r="AA484" s="23" t="str">
        <f aca="false">IF(C484="","", CHOOSE(MONTH(C484),"January","February","March","April","May","June","July","August","September","October","November","December")&amp;" "&amp;DAY(C484)&amp;MID("thstndrdth",MIN(9,2*RIGHT(DAY(C484))*(MOD(DAY(C484)-11,100)&gt;2)+1),2)&amp;","&amp;TEXT(C484," yyyy"))</f>
        <v>August 3rd,2021</v>
      </c>
      <c r="AB484" s="15" t="str">
        <f aca="true">IF(S484="","",DATEDIF(S484,TODAY(),"Y")&amp;" Tahun, "&amp;DATEDIF(S484,TODAY(),"YM")&amp;" Bulan, "&amp;DATEDIF(S484,TODAY(),"MD")&amp;" Hari")</f>
        <v>24 Tahun, 4 Bulan, 8 Hari</v>
      </c>
      <c r="AC484" s="18" t="n">
        <v>45672</v>
      </c>
      <c r="AD484" s="18" t="n">
        <v>46036</v>
      </c>
      <c r="AE484" s="18" t="s">
        <v>44</v>
      </c>
    </row>
    <row r="485" customFormat="false" ht="15.75" hidden="false" customHeight="true" outlineLevel="0" collapsed="false">
      <c r="A485" s="12" t="n">
        <v>2524</v>
      </c>
      <c r="B485" s="13" t="s">
        <v>2186</v>
      </c>
      <c r="C485" s="14" t="n">
        <v>44411</v>
      </c>
      <c r="D485" s="13" t="s">
        <v>101</v>
      </c>
      <c r="E485" s="15" t="s">
        <v>102</v>
      </c>
      <c r="F485" s="15" t="str">
        <f aca="false">IFERROR(__xludf.dummyfunction("XLOOKUP(AJ485,IMPORTRANGE(""1XaInW9DU9nz21V0tYIfzFQ0He9kVQ_JF2mCXgZ3hqFA"",""REKAP ALL 2026 - Andika!G:G""),IMPORTRANGE(""1XaInW9DU9nz21V0tYIfzFQ0He9kVQ_JF2mCXgZ3hqFA"",""REKAP ALL 2026 - Andika!F:F""),"""",0)"),"21068419403")</f>
        <v>21068419403</v>
      </c>
      <c r="G485" s="13" t="s">
        <v>2187</v>
      </c>
      <c r="H485" s="13" t="s">
        <v>35</v>
      </c>
      <c r="I485" s="13" t="str">
        <f aca="false">IF(C485=J485,"NEW KONTRAK","RE-KONTRAK")</f>
        <v>RE-KONTRAK</v>
      </c>
      <c r="J485" s="16" t="n">
        <f aca="false" t="array" ref="J485:J485">IFERROR(INDEX(AC485:AE485,IF(COUNTA(AC485:AE485)=0,"",MAX((AC485:AE485&lt;&gt;"")*(COLUMN(AC485:AE485)-(COLUMN(AC485)))))-1),"")</f>
        <v>45672</v>
      </c>
      <c r="K485" s="16" t="n">
        <f aca="false" t="array" ref="K485:K485">IFERROR(INDEX(AC485:AE485,IF(COUNTA(AC485:AE485)=0,"",MAX((AC485:AE485&lt;&gt;"")*(COLUMN(AC485:AE485)-(COLUMN(AC485)-1))))-1),"")</f>
        <v>46036</v>
      </c>
      <c r="L485" s="17" t="str">
        <f aca="false" t="array" ref="L485:L485">IFERROR(INDEX(AC485:AE485,IF(COUNTA(AC485:AE485)=0,"",MAX((AC485:AE485&lt;&gt;"")*(COLUMN(AC485:AE485)-(COLUMN(AC485)-2))))-1),"")</f>
        <v>ARCHIVED</v>
      </c>
      <c r="M485" s="13" t="n">
        <f aca="true">K485-TODAY()</f>
        <v>-288</v>
      </c>
      <c r="N485" s="18" t="s">
        <v>105</v>
      </c>
      <c r="O485" s="13" t="s">
        <v>106</v>
      </c>
      <c r="P485" s="19" t="n">
        <v>132300</v>
      </c>
      <c r="Q485" s="20" t="s">
        <v>2188</v>
      </c>
      <c r="R485" s="13" t="s">
        <v>39</v>
      </c>
      <c r="S485" s="25" t="n">
        <v>37072</v>
      </c>
      <c r="T485" s="13" t="s">
        <v>108</v>
      </c>
      <c r="U485" s="13" t="s">
        <v>2189</v>
      </c>
      <c r="V485" s="13" t="s">
        <v>42</v>
      </c>
      <c r="W485" s="13" t="s">
        <v>43</v>
      </c>
      <c r="X485" s="21" t="n">
        <v>81334750355</v>
      </c>
      <c r="Y485" s="22" t="str">
        <f aca="false">O485</f>
        <v>Produksi - Helper</v>
      </c>
      <c r="Z485" s="13" t="str">
        <f aca="false">IFERROR(__xludf.dummyfunction("if(BJ485="""","""",GOOGLETRANSLATE(BJ485,""auto"",""en""))"),"Production - Helper")</f>
        <v>Production - Helper</v>
      </c>
      <c r="AA485" s="23" t="str">
        <f aca="false">IF(C485="","", CHOOSE(MONTH(C485),"January","February","March","April","May","June","July","August","September","October","November","December")&amp;" "&amp;DAY(C485)&amp;MID("thstndrdth",MIN(9,2*RIGHT(DAY(C485))*(MOD(DAY(C485)-11,100)&gt;2)+1),2)&amp;","&amp;TEXT(C485," yyyy"))</f>
        <v>August 3rd,2021</v>
      </c>
      <c r="AB485" s="15" t="str">
        <f aca="true">IF(S485="","",DATEDIF(S485,TODAY(),"Y")&amp;" Tahun, "&amp;DATEDIF(S485,TODAY(),"YM")&amp;" Bulan, "&amp;DATEDIF(S485,TODAY(),"MD")&amp;" Hari")</f>
        <v>25 Tahun, 3 Bulan, 29 Hari</v>
      </c>
      <c r="AC485" s="18" t="n">
        <v>45672</v>
      </c>
      <c r="AD485" s="18" t="n">
        <v>46036</v>
      </c>
      <c r="AE485" s="18" t="s">
        <v>44</v>
      </c>
    </row>
    <row r="486" customFormat="false" ht="15.75" hidden="false" customHeight="true" outlineLevel="0" collapsed="false">
      <c r="A486" s="12" t="n">
        <v>2530</v>
      </c>
      <c r="B486" s="13" t="s">
        <v>2190</v>
      </c>
      <c r="C486" s="14" t="n">
        <v>44411</v>
      </c>
      <c r="D486" s="13" t="s">
        <v>101</v>
      </c>
      <c r="E486" s="15" t="s">
        <v>33</v>
      </c>
      <c r="F486" s="24" t="s">
        <v>2191</v>
      </c>
      <c r="G486" s="13" t="s">
        <v>2192</v>
      </c>
      <c r="H486" s="13" t="s">
        <v>35</v>
      </c>
      <c r="I486" s="13" t="str">
        <f aca="false">IF(C486=J486,"NEW KONTRAK","RE-KONTRAK")</f>
        <v>RE-KONTRAK</v>
      </c>
      <c r="J486" s="16" t="n">
        <f aca="false" t="array" ref="J486:J486">IFERROR(INDEX(AC486:AE486,IF(COUNTA(AC486:AE486)=0,"",MAX((AC486:AE486&lt;&gt;"")*(COLUMN(AC486:AE486)-(COLUMN(AC486)))))-1),"")</f>
        <v>45672</v>
      </c>
      <c r="K486" s="16" t="n">
        <f aca="false" t="array" ref="K486:K486">IFERROR(INDEX(AC486:AE486,IF(COUNTA(AC486:AE486)=0,"",MAX((AC486:AE486&lt;&gt;"")*(COLUMN(AC486:AE486)-(COLUMN(AC486)-1))))-1),"")</f>
        <v>46036</v>
      </c>
      <c r="L486" s="17" t="str">
        <f aca="false" t="array" ref="L486:L486">IFERROR(INDEX(AC486:AE486,IF(COUNTA(AC486:AE486)=0,"",MAX((AC486:AE486&lt;&gt;"")*(COLUMN(AC486:AE486)-(COLUMN(AC486)-2))))-1),"")</f>
        <v>ARCHIVED</v>
      </c>
      <c r="M486" s="13" t="n">
        <f aca="true">K486-TODAY()</f>
        <v>-288</v>
      </c>
      <c r="N486" s="18" t="s">
        <v>105</v>
      </c>
      <c r="O486" s="13" t="s">
        <v>58</v>
      </c>
      <c r="P486" s="19" t="n">
        <v>126000</v>
      </c>
      <c r="Q486" s="20" t="s">
        <v>2193</v>
      </c>
      <c r="R486" s="13" t="s">
        <v>260</v>
      </c>
      <c r="S486" s="25" t="n">
        <v>36534</v>
      </c>
      <c r="T486" s="13" t="s">
        <v>108</v>
      </c>
      <c r="U486" s="13" t="s">
        <v>2194</v>
      </c>
      <c r="V486" s="13" t="s">
        <v>42</v>
      </c>
      <c r="W486" s="13" t="s">
        <v>43</v>
      </c>
      <c r="X486" s="21" t="n">
        <v>87886110357</v>
      </c>
      <c r="Y486" s="22" t="str">
        <f aca="false">O486</f>
        <v>Produksi</v>
      </c>
      <c r="Z486" s="13" t="str">
        <f aca="false">IFERROR(__xludf.dummyfunction("if(BJ486="""","""",GOOGLETRANSLATE(BJ486,""auto"",""en""))"),"Production")</f>
        <v>Production</v>
      </c>
      <c r="AA486" s="23" t="str">
        <f aca="false">IF(C486="","", CHOOSE(MONTH(C486),"January","February","March","April","May","June","July","August","September","October","November","December")&amp;" "&amp;DAY(C486)&amp;MID("thstndrdth",MIN(9,2*RIGHT(DAY(C486))*(MOD(DAY(C486)-11,100)&gt;2)+1),2)&amp;","&amp;TEXT(C486," yyyy"))</f>
        <v>August 3rd,2021</v>
      </c>
      <c r="AB486" s="15" t="str">
        <f aca="true">IF(S486="","",DATEDIF(S486,TODAY(),"Y")&amp;" Tahun, "&amp;DATEDIF(S486,TODAY(),"YM")&amp;" Bulan, "&amp;DATEDIF(S486,TODAY(),"MD")&amp;" Hari")</f>
        <v>26 Tahun, 9 Bulan, 20 Hari</v>
      </c>
      <c r="AC486" s="18" t="n">
        <v>45672</v>
      </c>
      <c r="AD486" s="18" t="n">
        <v>46036</v>
      </c>
      <c r="AE486" s="18" t="s">
        <v>44</v>
      </c>
    </row>
    <row r="487" customFormat="false" ht="15.75" hidden="false" customHeight="true" outlineLevel="0" collapsed="false">
      <c r="A487" s="12" t="n">
        <v>2533</v>
      </c>
      <c r="B487" s="13" t="s">
        <v>2195</v>
      </c>
      <c r="C487" s="14" t="n">
        <v>44411</v>
      </c>
      <c r="D487" s="13" t="s">
        <v>101</v>
      </c>
      <c r="E487" s="15" t="s">
        <v>102</v>
      </c>
      <c r="F487" s="15" t="str">
        <f aca="false">IFERROR(__xludf.dummyfunction("XLOOKUP(AJ487,IMPORTRANGE(""1XaInW9DU9nz21V0tYIfzFQ0He9kVQ_JF2mCXgZ3hqFA"",""REKAP ALL 2026 - Andika!G:G""),IMPORTRANGE(""1XaInW9DU9nz21V0tYIfzFQ0He9kVQ_JF2mCXgZ3hqFA"",""REKAP ALL 2026 - Andika!F:F""),"""",0)"),"21068422050")</f>
        <v>21068422050</v>
      </c>
      <c r="G487" s="13" t="s">
        <v>2196</v>
      </c>
      <c r="H487" s="13" t="s">
        <v>35</v>
      </c>
      <c r="I487" s="13" t="str">
        <f aca="false">IF(C487=J487,"NEW KONTRAK","RE-KONTRAK")</f>
        <v>RE-KONTRAK</v>
      </c>
      <c r="J487" s="16" t="n">
        <f aca="false" t="array" ref="J487:J487">IFERROR(INDEX(AC487:AE487,IF(COUNTA(AC487:AE487)=0,"",MAX((AC487:AE487&lt;&gt;"")*(COLUMN(AC487:AE487)-(COLUMN(AC487)))))-1),"")</f>
        <v>45672</v>
      </c>
      <c r="K487" s="16" t="n">
        <f aca="false" t="array" ref="K487:K487">IFERROR(INDEX(AC487:AE487,IF(COUNTA(AC487:AE487)=0,"",MAX((AC487:AE487&lt;&gt;"")*(COLUMN(AC487:AE487)-(COLUMN(AC487)-1))))-1),"")</f>
        <v>46036</v>
      </c>
      <c r="L487" s="17" t="str">
        <f aca="false" t="array" ref="L487:L487">IFERROR(INDEX(AC487:AE487,IF(COUNTA(AC487:AE487)=0,"",MAX((AC487:AE487&lt;&gt;"")*(COLUMN(AC487:AE487)-(COLUMN(AC487)-2))))-1),"")</f>
        <v>ARCHIVED</v>
      </c>
      <c r="M487" s="13" t="n">
        <f aca="true">K487-TODAY()</f>
        <v>-288</v>
      </c>
      <c r="N487" s="18" t="s">
        <v>105</v>
      </c>
      <c r="O487" s="13" t="s">
        <v>106</v>
      </c>
      <c r="P487" s="19" t="n">
        <v>132300</v>
      </c>
      <c r="Q487" s="20" t="s">
        <v>2197</v>
      </c>
      <c r="R487" s="13" t="s">
        <v>39</v>
      </c>
      <c r="S487" s="25" t="n">
        <v>36902</v>
      </c>
      <c r="T487" s="13" t="s">
        <v>40</v>
      </c>
      <c r="U487" s="13" t="s">
        <v>2198</v>
      </c>
      <c r="V487" s="13" t="s">
        <v>42</v>
      </c>
      <c r="W487" s="13" t="s">
        <v>43</v>
      </c>
      <c r="X487" s="21" t="n">
        <v>82131851671</v>
      </c>
      <c r="Y487" s="22" t="str">
        <f aca="false">O487</f>
        <v>Produksi - Helper</v>
      </c>
      <c r="Z487" s="13" t="str">
        <f aca="false">IFERROR(__xludf.dummyfunction("if(BJ487="""","""",GOOGLETRANSLATE(BJ487,""auto"",""en""))"),"Production - Helper")</f>
        <v>Production - Helper</v>
      </c>
      <c r="AA487" s="23" t="str">
        <f aca="false">IF(C487="","", CHOOSE(MONTH(C487),"January","February","March","April","May","June","July","August","September","October","November","December")&amp;" "&amp;DAY(C487)&amp;MID("thstndrdth",MIN(9,2*RIGHT(DAY(C487))*(MOD(DAY(C487)-11,100)&gt;2)+1),2)&amp;","&amp;TEXT(C487," yyyy"))</f>
        <v>August 3rd,2021</v>
      </c>
      <c r="AB487" s="15" t="str">
        <f aca="true">IF(S487="","",DATEDIF(S487,TODAY(),"Y")&amp;" Tahun, "&amp;DATEDIF(S487,TODAY(),"YM")&amp;" Bulan, "&amp;DATEDIF(S487,TODAY(),"MD")&amp;" Hari")</f>
        <v>25 Tahun, 9 Bulan, 18 Hari</v>
      </c>
      <c r="AC487" s="18" t="n">
        <v>45672</v>
      </c>
      <c r="AD487" s="18" t="n">
        <v>46036</v>
      </c>
      <c r="AE487" s="18" t="s">
        <v>44</v>
      </c>
    </row>
    <row r="488" customFormat="false" ht="15.75" hidden="false" customHeight="true" outlineLevel="0" collapsed="false">
      <c r="A488" s="12" t="n">
        <v>1892</v>
      </c>
      <c r="B488" s="13" t="s">
        <v>2199</v>
      </c>
      <c r="C488" s="14" t="n">
        <v>43845</v>
      </c>
      <c r="D488" s="13" t="s">
        <v>101</v>
      </c>
      <c r="E488" s="15" t="s">
        <v>47</v>
      </c>
      <c r="F488" s="15" t="str">
        <f aca="false">IFERROR(__xludf.dummyfunction("XLOOKUP(AJ488,IMPORTRANGE(""1XaInW9DU9nz21V0tYIfzFQ0He9kVQ_JF2mCXgZ3hqFA"",""REKAP ALL 2026 - Andika!G:G""),IMPORTRANGE(""1XaInW9DU9nz21V0tYIfzFQ0He9kVQ_JF2mCXgZ3hqFA"",""REKAP ALL 2026 - Andika!F:F""),"""",0)"),"20021313760")</f>
        <v>20021313760</v>
      </c>
      <c r="G488" s="13" t="s">
        <v>2200</v>
      </c>
      <c r="H488" s="13" t="s">
        <v>35</v>
      </c>
      <c r="I488" s="13" t="str">
        <f aca="false">IF(C488=J488,"NEW KONTRAK","RE-KONTRAK")</f>
        <v>RE-KONTRAK</v>
      </c>
      <c r="J488" s="16" t="n">
        <f aca="false" t="array" ref="J488:J488">IFERROR(INDEX(AC488:AE488,IF(COUNTA(AC488:AE488)=0,"",MAX((AC488:AE488&lt;&gt;"")*(COLUMN(AC488:AE488)-(COLUMN(AC488)))))-1),"")</f>
        <v>45672</v>
      </c>
      <c r="K488" s="16" t="n">
        <f aca="false" t="array" ref="K488:K488">IFERROR(INDEX(AC488:AE488,IF(COUNTA(AC488:AE488)=0,"",MAX((AC488:AE488&lt;&gt;"")*(COLUMN(AC488:AE488)-(COLUMN(AC488)-1))))-1),"")</f>
        <v>46036</v>
      </c>
      <c r="L488" s="17" t="str">
        <f aca="false" t="array" ref="L488:L488">IFERROR(INDEX(AC488:AE488,IF(COUNTA(AC488:AE488)=0,"",MAX((AC488:AE488&lt;&gt;"")*(COLUMN(AC488:AE488)-(COLUMN(AC488)-2))))-1),"")</f>
        <v>ARCHIVED</v>
      </c>
      <c r="M488" s="13" t="n">
        <f aca="true">K488-TODAY()</f>
        <v>-288</v>
      </c>
      <c r="N488" s="18" t="s">
        <v>105</v>
      </c>
      <c r="O488" s="13" t="s">
        <v>1351</v>
      </c>
      <c r="P488" s="31" t="n">
        <v>176400</v>
      </c>
      <c r="Q488" s="20" t="s">
        <v>2201</v>
      </c>
      <c r="R488" s="13" t="s">
        <v>39</v>
      </c>
      <c r="S488" s="25" t="n">
        <v>34619</v>
      </c>
      <c r="T488" s="13" t="s">
        <v>40</v>
      </c>
      <c r="U488" s="13" t="s">
        <v>2202</v>
      </c>
      <c r="V488" s="13" t="s">
        <v>42</v>
      </c>
      <c r="W488" s="13" t="s">
        <v>43</v>
      </c>
      <c r="X488" s="21" t="n">
        <v>81252056370</v>
      </c>
      <c r="Y488" s="22" t="str">
        <f aca="false">O488</f>
        <v>Gudang Jadi - Operator Forklift</v>
      </c>
      <c r="Z488" s="13" t="str">
        <f aca="false">IFERROR(__xludf.dummyfunction("if(BJ488="""","""",GOOGLETRANSLATE(BJ488,""auto"",""en""))"),"Ready-Made Warehouse - Forklift Operator")</f>
        <v>Ready-Made Warehouse - Forklift Operator</v>
      </c>
      <c r="AA488" s="23" t="str">
        <f aca="false">IF(C488="","", CHOOSE(MONTH(C488),"January","February","March","April","May","June","July","August","September","October","November","December")&amp;" "&amp;DAY(C488)&amp;MID("thstndrdth",MIN(9,2*RIGHT(DAY(C488))*(MOD(DAY(C488)-11,100)&gt;2)+1),2)&amp;","&amp;TEXT(C488," yyyy"))</f>
        <v>January 15th,2020</v>
      </c>
      <c r="AB488" s="15" t="str">
        <f aca="true">IF(S488="","",DATEDIF(S488,TODAY(),"Y")&amp;" Tahun, "&amp;DATEDIF(S488,TODAY(),"YM")&amp;" Bulan, "&amp;DATEDIF(S488,TODAY(),"MD")&amp;" Hari")</f>
        <v>32 Tahun, 0 Bulan, 17 Hari</v>
      </c>
      <c r="AC488" s="18" t="n">
        <v>45672</v>
      </c>
      <c r="AD488" s="18" t="n">
        <v>46036</v>
      </c>
      <c r="AE488" s="18" t="s">
        <v>44</v>
      </c>
    </row>
    <row r="489" customFormat="false" ht="15.75" hidden="false" customHeight="true" outlineLevel="0" collapsed="false">
      <c r="A489" s="12" t="n">
        <v>2543</v>
      </c>
      <c r="B489" s="13" t="s">
        <v>2203</v>
      </c>
      <c r="C489" s="14" t="n">
        <v>44413</v>
      </c>
      <c r="D489" s="13" t="s">
        <v>101</v>
      </c>
      <c r="E489" s="15" t="s">
        <v>33</v>
      </c>
      <c r="F489" s="24" t="s">
        <v>2204</v>
      </c>
      <c r="G489" s="13" t="s">
        <v>2205</v>
      </c>
      <c r="H489" s="13" t="s">
        <v>35</v>
      </c>
      <c r="I489" s="13" t="str">
        <f aca="false">IF(C489=J489,"NEW KONTRAK","RE-KONTRAK")</f>
        <v>RE-KONTRAK</v>
      </c>
      <c r="J489" s="16" t="n">
        <f aca="false" t="array" ref="J489:J489">IFERROR(INDEX(AC489:AE489,IF(COUNTA(AC489:AE489)=0,"",MAX((AC489:AE489&lt;&gt;"")*(COLUMN(AC489:AE489)-(COLUMN(AC489)))))-1),"")</f>
        <v>45672</v>
      </c>
      <c r="K489" s="16" t="n">
        <f aca="false" t="array" ref="K489:K489">IFERROR(INDEX(AC489:AE489,IF(COUNTA(AC489:AE489)=0,"",MAX((AC489:AE489&lt;&gt;"")*(COLUMN(AC489:AE489)-(COLUMN(AC489)-1))))-1),"")</f>
        <v>46036</v>
      </c>
      <c r="L489" s="17" t="str">
        <f aca="false" t="array" ref="L489:L489">IFERROR(INDEX(AC489:AE489,IF(COUNTA(AC489:AE489)=0,"",MAX((AC489:AE489&lt;&gt;"")*(COLUMN(AC489:AE489)-(COLUMN(AC489)-2))))-1),"")</f>
        <v>ARCHIVED</v>
      </c>
      <c r="M489" s="13" t="n">
        <f aca="true">K489-TODAY()</f>
        <v>-288</v>
      </c>
      <c r="N489" s="18" t="s">
        <v>105</v>
      </c>
      <c r="O489" s="13" t="s">
        <v>1531</v>
      </c>
      <c r="P489" s="19" t="n">
        <v>126000</v>
      </c>
      <c r="Q489" s="20" t="s">
        <v>2206</v>
      </c>
      <c r="R489" s="13" t="s">
        <v>78</v>
      </c>
      <c r="S489" s="25" t="n">
        <v>37116</v>
      </c>
      <c r="T489" s="13" t="s">
        <v>108</v>
      </c>
      <c r="U489" s="13" t="s">
        <v>2207</v>
      </c>
      <c r="V489" s="13" t="s">
        <v>42</v>
      </c>
      <c r="W489" s="13" t="s">
        <v>43</v>
      </c>
      <c r="X489" s="21" t="n">
        <v>85704715507</v>
      </c>
      <c r="Y489" s="22" t="str">
        <f aca="false">O489</f>
        <v>Packer</v>
      </c>
      <c r="Z489" s="13" t="str">
        <f aca="false">IFERROR(__xludf.dummyfunction("if(BJ489="""","""",GOOGLETRANSLATE(BJ489,""auto"",""en""))"),"Packer")</f>
        <v>Packer</v>
      </c>
      <c r="AA489" s="23" t="str">
        <f aca="false">IF(C489="","", CHOOSE(MONTH(C489),"January","February","March","April","May","June","July","August","September","October","November","December")&amp;" "&amp;DAY(C489)&amp;MID("thstndrdth",MIN(9,2*RIGHT(DAY(C489))*(MOD(DAY(C489)-11,100)&gt;2)+1),2)&amp;","&amp;TEXT(C489," yyyy"))</f>
        <v>August 5th,2021</v>
      </c>
      <c r="AB489" s="15" t="str">
        <f aca="true">IF(S489="","",DATEDIF(S489,TODAY(),"Y")&amp;" Tahun, "&amp;DATEDIF(S489,TODAY(),"YM")&amp;" Bulan, "&amp;DATEDIF(S489,TODAY(),"MD")&amp;" Hari")</f>
        <v>25 Tahun, 2 Bulan, 16 Hari</v>
      </c>
      <c r="AC489" s="18" t="n">
        <v>45672</v>
      </c>
      <c r="AD489" s="18" t="n">
        <v>46036</v>
      </c>
      <c r="AE489" s="18" t="s">
        <v>44</v>
      </c>
    </row>
    <row r="490" customFormat="false" ht="15.75" hidden="false" customHeight="true" outlineLevel="0" collapsed="false">
      <c r="A490" s="12" t="n">
        <v>1895</v>
      </c>
      <c r="B490" s="13" t="s">
        <v>2208</v>
      </c>
      <c r="C490" s="14" t="n">
        <v>43845</v>
      </c>
      <c r="D490" s="13" t="s">
        <v>101</v>
      </c>
      <c r="E490" s="15" t="s">
        <v>47</v>
      </c>
      <c r="F490" s="15" t="str">
        <f aca="false">IFERROR(__xludf.dummyfunction("XLOOKUP(AJ490,IMPORTRANGE(""1XaInW9DU9nz21V0tYIfzFQ0He9kVQ_JF2mCXgZ3hqFA"",""REKAP ALL 2026 - Andika!G:G""),IMPORTRANGE(""1XaInW9DU9nz21V0tYIfzFQ0He9kVQ_JF2mCXgZ3hqFA"",""REKAP ALL 2026 - Andika!F:F""),"""",0)"),"20021315021")</f>
        <v>20021315021</v>
      </c>
      <c r="G490" s="13" t="s">
        <v>2209</v>
      </c>
      <c r="H490" s="13" t="s">
        <v>35</v>
      </c>
      <c r="I490" s="13" t="str">
        <f aca="false">IF(C490=J490,"NEW KONTRAK","RE-KONTRAK")</f>
        <v>RE-KONTRAK</v>
      </c>
      <c r="J490" s="16" t="n">
        <f aca="false" t="array" ref="J490:J490">IFERROR(INDEX(AC490:AE490,IF(COUNTA(AC490:AE490)=0,"",MAX((AC490:AE490&lt;&gt;"")*(COLUMN(AC490:AE490)-(COLUMN(AC490)))))-1),"")</f>
        <v>45672</v>
      </c>
      <c r="K490" s="16" t="n">
        <f aca="false" t="array" ref="K490:K490">IFERROR(INDEX(AC490:AE490,IF(COUNTA(AC490:AE490)=0,"",MAX((AC490:AE490&lt;&gt;"")*(COLUMN(AC490:AE490)-(COLUMN(AC490)-1))))-1),"")</f>
        <v>46036</v>
      </c>
      <c r="L490" s="17" t="str">
        <f aca="false" t="array" ref="L490:L490">IFERROR(INDEX(AC490:AE490,IF(COUNTA(AC490:AE490)=0,"",MAX((AC490:AE490&lt;&gt;"")*(COLUMN(AC490:AE490)-(COLUMN(AC490)-2))))-1),"")</f>
        <v>ARCHIVED</v>
      </c>
      <c r="M490" s="13" t="n">
        <f aca="true">K490-TODAY()</f>
        <v>-288</v>
      </c>
      <c r="N490" s="18" t="s">
        <v>105</v>
      </c>
      <c r="O490" s="13" t="s">
        <v>106</v>
      </c>
      <c r="P490" s="31" t="n">
        <v>138915</v>
      </c>
      <c r="Q490" s="20" t="s">
        <v>2210</v>
      </c>
      <c r="R490" s="13" t="s">
        <v>52</v>
      </c>
      <c r="S490" s="25" t="n">
        <v>36679</v>
      </c>
      <c r="T490" s="13" t="s">
        <v>108</v>
      </c>
      <c r="U490" s="13" t="s">
        <v>2211</v>
      </c>
      <c r="V490" s="13" t="s">
        <v>42</v>
      </c>
      <c r="W490" s="13" t="s">
        <v>43</v>
      </c>
      <c r="X490" s="21" t="n">
        <v>85646132978</v>
      </c>
      <c r="Y490" s="22" t="str">
        <f aca="false">O490</f>
        <v>Produksi - Helper</v>
      </c>
      <c r="Z490" s="13" t="str">
        <f aca="false">IFERROR(__xludf.dummyfunction("if(BJ490="""","""",GOOGLETRANSLATE(BJ490,""auto"",""en""))"),"Production - Helper")</f>
        <v>Production - Helper</v>
      </c>
      <c r="AA490" s="23" t="str">
        <f aca="false">IF(C490="","", CHOOSE(MONTH(C490),"January","February","March","April","May","June","July","August","September","October","November","December")&amp;" "&amp;DAY(C490)&amp;MID("thstndrdth",MIN(9,2*RIGHT(DAY(C490))*(MOD(DAY(C490)-11,100)&gt;2)+1),2)&amp;","&amp;TEXT(C490," yyyy"))</f>
        <v>January 15th,2020</v>
      </c>
      <c r="AB490" s="15" t="str">
        <f aca="true">IF(S490="","",DATEDIF(S490,TODAY(),"Y")&amp;" Tahun, "&amp;DATEDIF(S490,TODAY(),"YM")&amp;" Bulan, "&amp;DATEDIF(S490,TODAY(),"MD")&amp;" Hari")</f>
        <v>26 Tahun, 4 Bulan, 27 Hari</v>
      </c>
      <c r="AC490" s="18" t="n">
        <v>45672</v>
      </c>
      <c r="AD490" s="18" t="n">
        <v>46036</v>
      </c>
      <c r="AE490" s="18" t="s">
        <v>44</v>
      </c>
    </row>
    <row r="491" customFormat="false" ht="15.75" hidden="false" customHeight="true" outlineLevel="0" collapsed="false">
      <c r="A491" s="12" t="n">
        <v>22617</v>
      </c>
      <c r="B491" s="45" t="s">
        <v>2212</v>
      </c>
      <c r="C491" s="14" t="n">
        <v>46230</v>
      </c>
      <c r="D491" s="13" t="s">
        <v>101</v>
      </c>
      <c r="E491" s="13" t="s">
        <v>47</v>
      </c>
      <c r="F491" s="24" t="s">
        <v>2213</v>
      </c>
      <c r="G491" s="13" t="s">
        <v>1452</v>
      </c>
      <c r="H491" s="13" t="s">
        <v>35</v>
      </c>
      <c r="I491" s="13" t="str">
        <f aca="false">IF(C491=J491,"NEW KONTRAK","RE-KONTRAK")</f>
        <v>NEW KONTRAK</v>
      </c>
      <c r="J491" s="16" t="n">
        <f aca="false" t="array" ref="J491:J491">IFERROR(INDEX(AC491:AE491,IF(COUNTA(AC491:AE491)=0,"",MAX((AC491:AE491&lt;&gt;"")*(COLUMN(AC491:AE491)-(COLUMN(AC491)))))-1),"")</f>
        <v>46230</v>
      </c>
      <c r="K491" s="16" t="n">
        <f aca="false" t="array" ref="K491:K491">IFERROR(INDEX(AC491:AE491,IF(COUNTA(AC491:AE491)=0,"",MAX((AC491:AE491&lt;&gt;"")*(COLUMN(AC491:AE491)-(COLUMN(AC491)-1))))-1),"")</f>
        <v>46321</v>
      </c>
      <c r="L491" s="17" t="str">
        <f aca="false" t="array" ref="L491:L491">IFERROR(INDEX(AC491:AE491,IF(COUNTA(AC491:AE491)=0,"",MAX((AC491:AE491&lt;&gt;"")*(COLUMN(AC491:AE491)-(COLUMN(AC491)-2))))-1),"")</f>
        <v>KEMBALI</v>
      </c>
      <c r="M491" s="13" t="n">
        <f aca="true">K491-TODAY()</f>
        <v>-3</v>
      </c>
      <c r="N491" s="18" t="s">
        <v>105</v>
      </c>
      <c r="O491" s="13" t="s">
        <v>1453</v>
      </c>
      <c r="P491" s="26" t="n">
        <v>138915</v>
      </c>
      <c r="Q491" s="20" t="s">
        <v>2214</v>
      </c>
      <c r="R491" s="13" t="s">
        <v>39</v>
      </c>
      <c r="S491" s="25" t="n">
        <v>38445</v>
      </c>
      <c r="T491" s="13" t="s">
        <v>108</v>
      </c>
      <c r="U491" s="13" t="s">
        <v>2215</v>
      </c>
      <c r="V491" s="13" t="s">
        <v>42</v>
      </c>
      <c r="W491" s="13" t="s">
        <v>43</v>
      </c>
      <c r="X491" s="21" t="n">
        <v>82338782202</v>
      </c>
      <c r="Y491" s="22" t="str">
        <f aca="false">O491</f>
        <v>Helper Produksi</v>
      </c>
      <c r="Z491" s="13" t="str">
        <f aca="false">IFERROR(__xludf.dummyfunction("if(BJ491="""","""",GOOGLETRANSLATE(BJ491,""auto"",""en""))"),"Production Helper")</f>
        <v>Production Helper</v>
      </c>
      <c r="AA491" s="23" t="str">
        <f aca="false">IF(C491="","", CHOOSE(MONTH(C491),"January","February","March","April","May","June","July","August","September","October","November","December")&amp;" "&amp;DAY(C491)&amp;MID("thstndrdth",MIN(9,2*RIGHT(DAY(C491))*(MOD(DAY(C491)-11,100)&gt;2)+1),2)&amp;","&amp;TEXT(C491," yyyy"))</f>
        <v>July 27th,2026</v>
      </c>
      <c r="AB491" s="15" t="str">
        <f aca="true">IF(S491="","",DATEDIF(S491,TODAY(),"Y")&amp;" Tahun, "&amp;DATEDIF(S491,TODAY(),"YM")&amp;" Bulan, "&amp;DATEDIF(S491,TODAY(),"MD")&amp;" Hari")</f>
        <v>21 Tahun, 6 Bulan, 26 Hari</v>
      </c>
      <c r="AC491" s="14" t="n">
        <v>46230</v>
      </c>
      <c r="AD491" s="18" t="n">
        <f aca="false">EDATE(AC491,3)-1</f>
        <v>46321</v>
      </c>
      <c r="AE491" s="13" t="s">
        <v>397</v>
      </c>
    </row>
    <row r="492" customFormat="false" ht="15.75" hidden="false" customHeight="true" outlineLevel="0" collapsed="false">
      <c r="A492" s="12" t="n">
        <v>1897</v>
      </c>
      <c r="B492" s="13" t="s">
        <v>2216</v>
      </c>
      <c r="C492" s="14" t="n">
        <v>43845</v>
      </c>
      <c r="D492" s="13" t="s">
        <v>101</v>
      </c>
      <c r="E492" s="15" t="s">
        <v>47</v>
      </c>
      <c r="F492" s="15" t="str">
        <f aca="false">IFERROR(__xludf.dummyfunction("XLOOKUP(AJ492,IMPORTRANGE(""1XaInW9DU9nz21V0tYIfzFQ0He9kVQ_JF2mCXgZ3hqFA"",""REKAP ALL 2026 - Andika!G:G""),IMPORTRANGE(""1XaInW9DU9nz21V0tYIfzFQ0He9kVQ_JF2mCXgZ3hqFA"",""REKAP ALL 2026 - Andika!F:F""),"""",0)"),"20021314560")</f>
        <v>20021314560</v>
      </c>
      <c r="G492" s="13" t="s">
        <v>2217</v>
      </c>
      <c r="H492" s="13" t="s">
        <v>35</v>
      </c>
      <c r="I492" s="13" t="str">
        <f aca="false">IF(C492=J492,"NEW KONTRAK","RE-KONTRAK")</f>
        <v>RE-KONTRAK</v>
      </c>
      <c r="J492" s="16" t="n">
        <f aca="false" t="array" ref="J492:J492">IFERROR(INDEX(AC492:AE492,IF(COUNTA(AC492:AE492)=0,"",MAX((AC492:AE492&lt;&gt;"")*(COLUMN(AC492:AE492)-(COLUMN(AC492)))))-1),"")</f>
        <v>45672</v>
      </c>
      <c r="K492" s="16" t="n">
        <f aca="false" t="array" ref="K492:K492">IFERROR(INDEX(AC492:AE492,IF(COUNTA(AC492:AE492)=0,"",MAX((AC492:AE492&lt;&gt;"")*(COLUMN(AC492:AE492)-(COLUMN(AC492)-1))))-1),"")</f>
        <v>46036</v>
      </c>
      <c r="L492" s="17" t="str">
        <f aca="false" t="array" ref="L492:L492">IFERROR(INDEX(AC492:AE492,IF(COUNTA(AC492:AE492)=0,"",MAX((AC492:AE492&lt;&gt;"")*(COLUMN(AC492:AE492)-(COLUMN(AC492)-2))))-1),"")</f>
        <v>ARCHIVED</v>
      </c>
      <c r="M492" s="13" t="n">
        <f aca="true">K492-TODAY()</f>
        <v>-288</v>
      </c>
      <c r="N492" s="18" t="s">
        <v>105</v>
      </c>
      <c r="O492" s="13" t="s">
        <v>1434</v>
      </c>
      <c r="P492" s="19" t="n">
        <v>138915</v>
      </c>
      <c r="Q492" s="20" t="s">
        <v>2218</v>
      </c>
      <c r="R492" s="13" t="s">
        <v>39</v>
      </c>
      <c r="S492" s="25" t="n">
        <v>36130</v>
      </c>
      <c r="T492" s="13" t="s">
        <v>108</v>
      </c>
      <c r="U492" s="13" t="s">
        <v>2219</v>
      </c>
      <c r="V492" s="13" t="s">
        <v>42</v>
      </c>
      <c r="W492" s="13" t="s">
        <v>43</v>
      </c>
      <c r="X492" s="21" t="n">
        <v>89665713494</v>
      </c>
      <c r="Y492" s="22" t="str">
        <f aca="false">O492</f>
        <v>E-Commerce - Packer</v>
      </c>
      <c r="Z492" s="13" t="str">
        <f aca="false">IFERROR(__xludf.dummyfunction("if(BJ492="""","""",GOOGLETRANSLATE(BJ492,""auto"",""en""))"),"E-Commerce - Packer")</f>
        <v>E-Commerce - Packer</v>
      </c>
      <c r="AA492" s="23" t="str">
        <f aca="false">IF(C492="","", CHOOSE(MONTH(C492),"January","February","March","April","May","June","July","August","September","October","November","December")&amp;" "&amp;DAY(C492)&amp;MID("thstndrdth",MIN(9,2*RIGHT(DAY(C492))*(MOD(DAY(C492)-11,100)&gt;2)+1),2)&amp;","&amp;TEXT(C492," yyyy"))</f>
        <v>January 15th,2020</v>
      </c>
      <c r="AB492" s="15" t="str">
        <f aca="true">IF(S492="","",DATEDIF(S492,TODAY(),"Y")&amp;" Tahun, "&amp;DATEDIF(S492,TODAY(),"YM")&amp;" Bulan, "&amp;DATEDIF(S492,TODAY(),"MD")&amp;" Hari")</f>
        <v>27 Tahun, 10 Bulan, 28 Hari</v>
      </c>
      <c r="AC492" s="18" t="n">
        <v>45672</v>
      </c>
      <c r="AD492" s="18" t="n">
        <v>46036</v>
      </c>
      <c r="AE492" s="18" t="s">
        <v>44</v>
      </c>
    </row>
    <row r="493" customFormat="false" ht="15.75" hidden="false" customHeight="true" outlineLevel="0" collapsed="false">
      <c r="A493" s="12" t="n">
        <v>2561</v>
      </c>
      <c r="B493" s="13" t="s">
        <v>2220</v>
      </c>
      <c r="C493" s="14" t="n">
        <v>44413</v>
      </c>
      <c r="D493" s="13" t="s">
        <v>101</v>
      </c>
      <c r="E493" s="15" t="s">
        <v>102</v>
      </c>
      <c r="F493" s="15" t="str">
        <f aca="false">IFERROR(__xludf.dummyfunction("XLOOKUP(AJ493,IMPORTRANGE(""1XaInW9DU9nz21V0tYIfzFQ0He9kVQ_JF2mCXgZ3hqFA"",""REKAP ALL 2026 - Andika!G:G""),IMPORTRANGE(""1XaInW9DU9nz21V0tYIfzFQ0He9kVQ_JF2mCXgZ3hqFA"",""REKAP ALL 2026 - Andika!F:F""),"""",0)"),"21068420716")</f>
        <v>21068420716</v>
      </c>
      <c r="G493" s="13" t="s">
        <v>2221</v>
      </c>
      <c r="H493" s="13" t="s">
        <v>35</v>
      </c>
      <c r="I493" s="13" t="str">
        <f aca="false">IF(C493=J493,"NEW KONTRAK","RE-KONTRAK")</f>
        <v>RE-KONTRAK</v>
      </c>
      <c r="J493" s="16" t="n">
        <f aca="false" t="array" ref="J493:J493">IFERROR(INDEX(AC493:AE493,IF(COUNTA(AC493:AE493)=0,"",MAX((AC493:AE493&lt;&gt;"")*(COLUMN(AC493:AE493)-(COLUMN(AC493)))))-1),"")</f>
        <v>45672</v>
      </c>
      <c r="K493" s="16" t="n">
        <f aca="false" t="array" ref="K493:K493">IFERROR(INDEX(AC493:AE493,IF(COUNTA(AC493:AE493)=0,"",MAX((AC493:AE493&lt;&gt;"")*(COLUMN(AC493:AE493)-(COLUMN(AC493)-1))))-1),"")</f>
        <v>46036</v>
      </c>
      <c r="L493" s="17" t="str">
        <f aca="false" t="array" ref="L493:L493">IFERROR(INDEX(AC493:AE493,IF(COUNTA(AC493:AE493)=0,"",MAX((AC493:AE493&lt;&gt;"")*(COLUMN(AC493:AE493)-(COLUMN(AC493)-2))))-1),"")</f>
        <v>ARCHIVED</v>
      </c>
      <c r="M493" s="13" t="n">
        <f aca="true">K493-TODAY()</f>
        <v>-288</v>
      </c>
      <c r="N493" s="18" t="s">
        <v>105</v>
      </c>
      <c r="O493" s="13" t="s">
        <v>106</v>
      </c>
      <c r="P493" s="19" t="n">
        <v>132300</v>
      </c>
      <c r="Q493" s="20" t="s">
        <v>2222</v>
      </c>
      <c r="R493" s="13" t="s">
        <v>39</v>
      </c>
      <c r="S493" s="25" t="n">
        <v>37838</v>
      </c>
      <c r="T493" s="13" t="s">
        <v>108</v>
      </c>
      <c r="U493" s="13" t="s">
        <v>2223</v>
      </c>
      <c r="V493" s="13" t="s">
        <v>42</v>
      </c>
      <c r="W493" s="13" t="s">
        <v>43</v>
      </c>
      <c r="X493" s="21" t="n">
        <v>85935379093</v>
      </c>
      <c r="Y493" s="22" t="str">
        <f aca="false">O493</f>
        <v>Produksi - Helper</v>
      </c>
      <c r="Z493" s="13" t="str">
        <f aca="false">IFERROR(__xludf.dummyfunction("if(BJ493="""","""",GOOGLETRANSLATE(BJ493,""auto"",""en""))"),"Production - Helper")</f>
        <v>Production - Helper</v>
      </c>
      <c r="AA493" s="23" t="str">
        <f aca="false">IF(C493="","", CHOOSE(MONTH(C493),"January","February","March","April","May","June","July","August","September","October","November","December")&amp;" "&amp;DAY(C493)&amp;MID("thstndrdth",MIN(9,2*RIGHT(DAY(C493))*(MOD(DAY(C493)-11,100)&gt;2)+1),2)&amp;","&amp;TEXT(C493," yyyy"))</f>
        <v>August 5th,2021</v>
      </c>
      <c r="AB493" s="15" t="str">
        <f aca="true">IF(S493="","",DATEDIF(S493,TODAY(),"Y")&amp;" Tahun, "&amp;DATEDIF(S493,TODAY(),"YM")&amp;" Bulan, "&amp;DATEDIF(S493,TODAY(),"MD")&amp;" Hari")</f>
        <v>23 Tahun, 2 Bulan, 24 Hari</v>
      </c>
      <c r="AC493" s="18" t="n">
        <v>45672</v>
      </c>
      <c r="AD493" s="18" t="n">
        <v>46036</v>
      </c>
      <c r="AE493" s="18" t="s">
        <v>44</v>
      </c>
    </row>
    <row r="494" customFormat="false" ht="15.75" hidden="false" customHeight="true" outlineLevel="0" collapsed="false">
      <c r="A494" s="12" t="n">
        <v>2571</v>
      </c>
      <c r="B494" s="13" t="s">
        <v>2224</v>
      </c>
      <c r="C494" s="14" t="n">
        <v>44413</v>
      </c>
      <c r="D494" s="13" t="s">
        <v>101</v>
      </c>
      <c r="E494" s="15" t="s">
        <v>102</v>
      </c>
      <c r="F494" s="15" t="str">
        <f aca="false">IFERROR(__xludf.dummyfunction("XLOOKUP(AJ494,IMPORTRANGE(""1XaInW9DU9nz21V0tYIfzFQ0He9kVQ_JF2mCXgZ3hqFA"",""REKAP ALL 2026 - Andika!G:G""),IMPORTRANGE(""1XaInW9DU9nz21V0tYIfzFQ0He9kVQ_JF2mCXgZ3hqFA"",""REKAP ALL 2026 - Andika!F:F""),"""",0)"),"21068420526")</f>
        <v>21068420526</v>
      </c>
      <c r="G494" s="13" t="s">
        <v>2225</v>
      </c>
      <c r="H494" s="13" t="s">
        <v>35</v>
      </c>
      <c r="I494" s="13" t="str">
        <f aca="false">IF(C494=J494,"NEW KONTRAK","RE-KONTRAK")</f>
        <v>RE-KONTRAK</v>
      </c>
      <c r="J494" s="16" t="n">
        <f aca="false" t="array" ref="J494:J494">IFERROR(INDEX(AC494:AE494,IF(COUNTA(AC494:AE494)=0,"",MAX((AC494:AE494&lt;&gt;"")*(COLUMN(AC494:AE494)-(COLUMN(AC494)))))-1),"")</f>
        <v>45672</v>
      </c>
      <c r="K494" s="16" t="n">
        <f aca="false" t="array" ref="K494:K494">IFERROR(INDEX(AC494:AE494,IF(COUNTA(AC494:AE494)=0,"",MAX((AC494:AE494&lt;&gt;"")*(COLUMN(AC494:AE494)-(COLUMN(AC494)-1))))-1),"")</f>
        <v>46036</v>
      </c>
      <c r="L494" s="17" t="str">
        <f aca="false" t="array" ref="L494:L494">IFERROR(INDEX(AC494:AE494,IF(COUNTA(AC494:AE494)=0,"",MAX((AC494:AE494&lt;&gt;"")*(COLUMN(AC494:AE494)-(COLUMN(AC494)-2))))-1),"")</f>
        <v>ARCHIVED</v>
      </c>
      <c r="M494" s="13" t="n">
        <f aca="true">K494-TODAY()</f>
        <v>-288</v>
      </c>
      <c r="N494" s="18" t="s">
        <v>105</v>
      </c>
      <c r="O494" s="13" t="s">
        <v>106</v>
      </c>
      <c r="P494" s="19" t="n">
        <v>132300</v>
      </c>
      <c r="Q494" s="20" t="s">
        <v>2226</v>
      </c>
      <c r="R494" s="13" t="s">
        <v>241</v>
      </c>
      <c r="S494" s="25" t="n">
        <v>37490</v>
      </c>
      <c r="T494" s="13" t="s">
        <v>108</v>
      </c>
      <c r="U494" s="13" t="s">
        <v>2227</v>
      </c>
      <c r="V494" s="13" t="s">
        <v>42</v>
      </c>
      <c r="W494" s="13" t="s">
        <v>43</v>
      </c>
      <c r="X494" s="21" t="n">
        <v>81234954581</v>
      </c>
      <c r="Y494" s="22" t="str">
        <f aca="false">O494</f>
        <v>Produksi - Helper</v>
      </c>
      <c r="Z494" s="13" t="str">
        <f aca="false">IFERROR(__xludf.dummyfunction("if(BJ494="""","""",GOOGLETRANSLATE(BJ494,""auto"",""en""))"),"Production - Helper")</f>
        <v>Production - Helper</v>
      </c>
      <c r="AA494" s="23" t="str">
        <f aca="false">IF(C494="","", CHOOSE(MONTH(C494),"January","February","March","April","May","June","July","August","September","October","November","December")&amp;" "&amp;DAY(C494)&amp;MID("thstndrdth",MIN(9,2*RIGHT(DAY(C494))*(MOD(DAY(C494)-11,100)&gt;2)+1),2)&amp;","&amp;TEXT(C494," yyyy"))</f>
        <v>August 5th,2021</v>
      </c>
      <c r="AB494" s="15" t="str">
        <f aca="true">IF(S494="","",DATEDIF(S494,TODAY(),"Y")&amp;" Tahun, "&amp;DATEDIF(S494,TODAY(),"YM")&amp;" Bulan, "&amp;DATEDIF(S494,TODAY(),"MD")&amp;" Hari")</f>
        <v>24 Tahun, 2 Bulan, 7 Hari</v>
      </c>
      <c r="AC494" s="18" t="n">
        <v>45672</v>
      </c>
      <c r="AD494" s="18" t="n">
        <v>46036</v>
      </c>
      <c r="AE494" s="18" t="s">
        <v>44</v>
      </c>
    </row>
    <row r="495" customFormat="false" ht="15.75" hidden="false" customHeight="true" outlineLevel="0" collapsed="false">
      <c r="A495" s="12" t="n">
        <v>2577</v>
      </c>
      <c r="B495" s="13" t="s">
        <v>2228</v>
      </c>
      <c r="C495" s="14" t="n">
        <v>44413</v>
      </c>
      <c r="D495" s="13" t="s">
        <v>101</v>
      </c>
      <c r="E495" s="15" t="s">
        <v>102</v>
      </c>
      <c r="F495" s="15" t="str">
        <f aca="false">IFERROR(__xludf.dummyfunction("XLOOKUP(AJ495,IMPORTRANGE(""1XaInW9DU9nz21V0tYIfzFQ0He9kVQ_JF2mCXgZ3hqFA"",""REKAP ALL 2026 - Andika!G:G""),IMPORTRANGE(""1XaInW9DU9nz21V0tYIfzFQ0He9kVQ_JF2mCXgZ3hqFA"",""REKAP ALL 2026 - Andika!F:F""),"""",0)"),"21068421045")</f>
        <v>21068421045</v>
      </c>
      <c r="G495" s="13" t="s">
        <v>2229</v>
      </c>
      <c r="H495" s="13" t="s">
        <v>35</v>
      </c>
      <c r="I495" s="13" t="str">
        <f aca="false">IF(C495=J495,"NEW KONTRAK","RE-KONTRAK")</f>
        <v>RE-KONTRAK</v>
      </c>
      <c r="J495" s="16" t="n">
        <f aca="false" t="array" ref="J495:J495">IFERROR(INDEX(AC495:AE495,IF(COUNTA(AC495:AE495)=0,"",MAX((AC495:AE495&lt;&gt;"")*(COLUMN(AC495:AE495)-(COLUMN(AC495)))))-1),"")</f>
        <v>45672</v>
      </c>
      <c r="K495" s="16" t="n">
        <f aca="false" t="array" ref="K495:K495">IFERROR(INDEX(AC495:AE495,IF(COUNTA(AC495:AE495)=0,"",MAX((AC495:AE495&lt;&gt;"")*(COLUMN(AC495:AE495)-(COLUMN(AC495)-1))))-1),"")</f>
        <v>46036</v>
      </c>
      <c r="L495" s="17" t="str">
        <f aca="false" t="array" ref="L495:L495">IFERROR(INDEX(AC495:AE495,IF(COUNTA(AC495:AE495)=0,"",MAX((AC495:AE495&lt;&gt;"")*(COLUMN(AC495:AE495)-(COLUMN(AC495)-2))))-1),"")</f>
        <v>ARCHIVED</v>
      </c>
      <c r="M495" s="13" t="n">
        <f aca="true">K495-TODAY()</f>
        <v>-288</v>
      </c>
      <c r="N495" s="18" t="s">
        <v>105</v>
      </c>
      <c r="O495" s="13" t="s">
        <v>106</v>
      </c>
      <c r="P495" s="19" t="n">
        <v>132300</v>
      </c>
      <c r="Q495" s="20" t="s">
        <v>2230</v>
      </c>
      <c r="R495" s="13" t="s">
        <v>39</v>
      </c>
      <c r="S495" s="25" t="n">
        <v>36283</v>
      </c>
      <c r="T495" s="13" t="s">
        <v>108</v>
      </c>
      <c r="U495" s="13" t="s">
        <v>2231</v>
      </c>
      <c r="V495" s="13" t="s">
        <v>42</v>
      </c>
      <c r="W495" s="13" t="s">
        <v>43</v>
      </c>
      <c r="X495" s="21" t="n">
        <v>83831872097</v>
      </c>
      <c r="Y495" s="22" t="str">
        <f aca="false">O495</f>
        <v>Produksi - Helper</v>
      </c>
      <c r="Z495" s="13" t="str">
        <f aca="false">IFERROR(__xludf.dummyfunction("if(BJ495="""","""",GOOGLETRANSLATE(BJ495,""auto"",""en""))"),"Production - Helper")</f>
        <v>Production - Helper</v>
      </c>
      <c r="AA495" s="23" t="str">
        <f aca="false">IF(C495="","", CHOOSE(MONTH(C495),"January","February","March","April","May","June","July","August","September","October","November","December")&amp;" "&amp;DAY(C495)&amp;MID("thstndrdth",MIN(9,2*RIGHT(DAY(C495))*(MOD(DAY(C495)-11,100)&gt;2)+1),2)&amp;","&amp;TEXT(C495," yyyy"))</f>
        <v>August 5th,2021</v>
      </c>
      <c r="AB495" s="15" t="str">
        <f aca="true">IF(S495="","",DATEDIF(S495,TODAY(),"Y")&amp;" Tahun, "&amp;DATEDIF(S495,TODAY(),"YM")&amp;" Bulan, "&amp;DATEDIF(S495,TODAY(),"MD")&amp;" Hari")</f>
        <v>27 Tahun, 5 Bulan, 26 Hari</v>
      </c>
      <c r="AC495" s="18" t="n">
        <v>45672</v>
      </c>
      <c r="AD495" s="18" t="n">
        <v>46036</v>
      </c>
      <c r="AE495" s="18" t="s">
        <v>44</v>
      </c>
    </row>
    <row r="496" customFormat="false" ht="15.75" hidden="false" customHeight="true" outlineLevel="0" collapsed="false">
      <c r="A496" s="12" t="n">
        <v>2581</v>
      </c>
      <c r="B496" s="13" t="s">
        <v>2232</v>
      </c>
      <c r="C496" s="14" t="n">
        <v>44413</v>
      </c>
      <c r="D496" s="13" t="s">
        <v>101</v>
      </c>
      <c r="E496" s="15" t="s">
        <v>102</v>
      </c>
      <c r="F496" s="15" t="str">
        <f aca="false">IFERROR(__xludf.dummyfunction("XLOOKUP(AJ496,IMPORTRANGE(""1XaInW9DU9nz21V0tYIfzFQ0He9kVQ_JF2mCXgZ3hqFA"",""REKAP ALL 2026 - Andika!G:G""),IMPORTRANGE(""1XaInW9DU9nz21V0tYIfzFQ0He9kVQ_JF2mCXgZ3hqFA"",""REKAP ALL 2026 - Andika!F:F""),"""",0)"),"21068421011")</f>
        <v>21068421011</v>
      </c>
      <c r="G496" s="13" t="s">
        <v>2233</v>
      </c>
      <c r="H496" s="13" t="s">
        <v>35</v>
      </c>
      <c r="I496" s="13" t="str">
        <f aca="false">IF(C496=J496,"NEW KONTRAK","RE-KONTRAK")</f>
        <v>RE-KONTRAK</v>
      </c>
      <c r="J496" s="16" t="n">
        <f aca="false" t="array" ref="J496:J496">IFERROR(INDEX(AC496:AE496,IF(COUNTA(AC496:AE496)=0,"",MAX((AC496:AE496&lt;&gt;"")*(COLUMN(AC496:AE496)-(COLUMN(AC496)))))-1),"")</f>
        <v>45672</v>
      </c>
      <c r="K496" s="16" t="n">
        <f aca="false" t="array" ref="K496:K496">IFERROR(INDEX(AC496:AE496,IF(COUNTA(AC496:AE496)=0,"",MAX((AC496:AE496&lt;&gt;"")*(COLUMN(AC496:AE496)-(COLUMN(AC496)-1))))-1),"")</f>
        <v>46036</v>
      </c>
      <c r="L496" s="17" t="str">
        <f aca="false" t="array" ref="L496:L496">IFERROR(INDEX(AC496:AE496,IF(COUNTA(AC496:AE496)=0,"",MAX((AC496:AE496&lt;&gt;"")*(COLUMN(AC496:AE496)-(COLUMN(AC496)-2))))-1),"")</f>
        <v>ARCHIVED</v>
      </c>
      <c r="M496" s="13" t="n">
        <f aca="true">K496-TODAY()</f>
        <v>-288</v>
      </c>
      <c r="N496" s="18" t="s">
        <v>105</v>
      </c>
      <c r="O496" s="13" t="s">
        <v>106</v>
      </c>
      <c r="P496" s="19" t="n">
        <v>132300</v>
      </c>
      <c r="Q496" s="20" t="s">
        <v>2234</v>
      </c>
      <c r="R496" s="13" t="s">
        <v>78</v>
      </c>
      <c r="S496" s="25" t="n">
        <v>34190</v>
      </c>
      <c r="T496" s="13" t="s">
        <v>40</v>
      </c>
      <c r="U496" s="13" t="s">
        <v>2235</v>
      </c>
      <c r="V496" s="13" t="s">
        <v>42</v>
      </c>
      <c r="W496" s="13" t="s">
        <v>43</v>
      </c>
      <c r="X496" s="21" t="n">
        <v>895330559050</v>
      </c>
      <c r="Y496" s="22" t="str">
        <f aca="false">O496</f>
        <v>Produksi - Helper</v>
      </c>
      <c r="Z496" s="13" t="str">
        <f aca="false">IFERROR(__xludf.dummyfunction("if(BJ496="""","""",GOOGLETRANSLATE(BJ496,""auto"",""en""))"),"Production - Helper")</f>
        <v>Production - Helper</v>
      </c>
      <c r="AA496" s="23" t="str">
        <f aca="false">IF(C496="","", CHOOSE(MONTH(C496),"January","February","March","April","May","June","July","August","September","October","November","December")&amp;" "&amp;DAY(C496)&amp;MID("thstndrdth",MIN(9,2*RIGHT(DAY(C496))*(MOD(DAY(C496)-11,100)&gt;2)+1),2)&amp;","&amp;TEXT(C496," yyyy"))</f>
        <v>August 5th,2021</v>
      </c>
      <c r="AB496" s="15" t="str">
        <f aca="true">IF(S496="","",DATEDIF(S496,TODAY(),"Y")&amp;" Tahun, "&amp;DATEDIF(S496,TODAY(),"YM")&amp;" Bulan, "&amp;DATEDIF(S496,TODAY(),"MD")&amp;" Hari")</f>
        <v>33 Tahun, 2 Bulan, 20 Hari</v>
      </c>
      <c r="AC496" s="18" t="n">
        <v>45672</v>
      </c>
      <c r="AD496" s="18" t="n">
        <v>46036</v>
      </c>
      <c r="AE496" s="18" t="s">
        <v>44</v>
      </c>
    </row>
    <row r="497" customFormat="false" ht="15.75" hidden="false" customHeight="true" outlineLevel="0" collapsed="false">
      <c r="A497" s="12" t="n">
        <v>2583</v>
      </c>
      <c r="B497" s="13" t="s">
        <v>2236</v>
      </c>
      <c r="C497" s="14" t="n">
        <v>44413</v>
      </c>
      <c r="D497" s="13" t="s">
        <v>101</v>
      </c>
      <c r="E497" s="15" t="s">
        <v>102</v>
      </c>
      <c r="F497" s="15" t="str">
        <f aca="false">IFERROR(__xludf.dummyfunction("XLOOKUP(AJ497,IMPORTRANGE(""1XaInW9DU9nz21V0tYIfzFQ0He9kVQ_JF2mCXgZ3hqFA"",""REKAP ALL 2026 - Andika!G:G""),IMPORTRANGE(""1XaInW9DU9nz21V0tYIfzFQ0He9kVQ_JF2mCXgZ3hqFA"",""REKAP ALL 2026 - Andika!F:F""),"""",0)"),"21068421060")</f>
        <v>21068421060</v>
      </c>
      <c r="G497" s="13" t="s">
        <v>2237</v>
      </c>
      <c r="H497" s="13" t="s">
        <v>35</v>
      </c>
      <c r="I497" s="13" t="str">
        <f aca="false">IF(C497=J497,"NEW KONTRAK","RE-KONTRAK")</f>
        <v>RE-KONTRAK</v>
      </c>
      <c r="J497" s="16" t="n">
        <f aca="false" t="array" ref="J497:J497">IFERROR(INDEX(AC497:AE497,IF(COUNTA(AC497:AE497)=0,"",MAX((AC497:AE497&lt;&gt;"")*(COLUMN(AC497:AE497)-(COLUMN(AC497)))))-1),"")</f>
        <v>45672</v>
      </c>
      <c r="K497" s="16" t="n">
        <f aca="false" t="array" ref="K497:K497">IFERROR(INDEX(AC497:AE497,IF(COUNTA(AC497:AE497)=0,"",MAX((AC497:AE497&lt;&gt;"")*(COLUMN(AC497:AE497)-(COLUMN(AC497)-1))))-1),"")</f>
        <v>46036</v>
      </c>
      <c r="L497" s="17" t="str">
        <f aca="false" t="array" ref="L497:L497">IFERROR(INDEX(AC497:AE497,IF(COUNTA(AC497:AE497)=0,"",MAX((AC497:AE497&lt;&gt;"")*(COLUMN(AC497:AE497)-(COLUMN(AC497)-2))))-1),"")</f>
        <v>ARCHIVED</v>
      </c>
      <c r="M497" s="13" t="n">
        <f aca="true">K497-TODAY()</f>
        <v>-288</v>
      </c>
      <c r="N497" s="18" t="s">
        <v>105</v>
      </c>
      <c r="O497" s="13" t="s">
        <v>106</v>
      </c>
      <c r="P497" s="19" t="n">
        <v>132300</v>
      </c>
      <c r="Q497" s="20" t="s">
        <v>2238</v>
      </c>
      <c r="R497" s="13" t="s">
        <v>39</v>
      </c>
      <c r="S497" s="25" t="n">
        <v>37219</v>
      </c>
      <c r="T497" s="13" t="s">
        <v>40</v>
      </c>
      <c r="U497" s="13" t="s">
        <v>2239</v>
      </c>
      <c r="V497" s="13" t="s">
        <v>42</v>
      </c>
      <c r="W497" s="13" t="s">
        <v>43</v>
      </c>
      <c r="X497" s="21" t="n">
        <v>89523367951</v>
      </c>
      <c r="Y497" s="22" t="str">
        <f aca="false">O497</f>
        <v>Produksi - Helper</v>
      </c>
      <c r="Z497" s="13" t="str">
        <f aca="false">IFERROR(__xludf.dummyfunction("if(BJ497="""","""",GOOGLETRANSLATE(BJ497,""auto"",""en""))"),"Production - Helper")</f>
        <v>Production - Helper</v>
      </c>
      <c r="AA497" s="23" t="str">
        <f aca="false">IF(C497="","", CHOOSE(MONTH(C497),"January","February","March","April","May","June","July","August","September","October","November","December")&amp;" "&amp;DAY(C497)&amp;MID("thstndrdth",MIN(9,2*RIGHT(DAY(C497))*(MOD(DAY(C497)-11,100)&gt;2)+1),2)&amp;","&amp;TEXT(C497," yyyy"))</f>
        <v>August 5th,2021</v>
      </c>
      <c r="AB497" s="15" t="str">
        <f aca="true">IF(S497="","",DATEDIF(S497,TODAY(),"Y")&amp;" Tahun, "&amp;DATEDIF(S497,TODAY(),"YM")&amp;" Bulan, "&amp;DATEDIF(S497,TODAY(),"MD")&amp;" Hari")</f>
        <v>24 Tahun, 11 Bulan, 5 Hari</v>
      </c>
      <c r="AC497" s="18" t="n">
        <v>45672</v>
      </c>
      <c r="AD497" s="18" t="n">
        <v>46036</v>
      </c>
      <c r="AE497" s="18" t="s">
        <v>44</v>
      </c>
    </row>
    <row r="498" customFormat="false" ht="15.75" hidden="false" customHeight="true" outlineLevel="0" collapsed="false">
      <c r="A498" s="12" t="n">
        <v>2586</v>
      </c>
      <c r="B498" s="13" t="s">
        <v>2240</v>
      </c>
      <c r="C498" s="14" t="n">
        <v>44413</v>
      </c>
      <c r="D498" s="13" t="s">
        <v>101</v>
      </c>
      <c r="E498" s="15" t="s">
        <v>102</v>
      </c>
      <c r="F498" s="15" t="str">
        <f aca="false">IFERROR(__xludf.dummyfunction("XLOOKUP(AJ498,IMPORTRANGE(""1XaInW9DU9nz21V0tYIfzFQ0He9kVQ_JF2mCXgZ3hqFA"",""REKAP ALL 2026 - Andika!G:G""),IMPORTRANGE(""1XaInW9DU9nz21V0tYIfzFQ0He9kVQ_JF2mCXgZ3hqFA"",""REKAP ALL 2026 - Andika!F:F""),"""",0)"),"21068421219")</f>
        <v>21068421219</v>
      </c>
      <c r="G498" s="13" t="s">
        <v>2241</v>
      </c>
      <c r="H498" s="13" t="s">
        <v>35</v>
      </c>
      <c r="I498" s="13" t="str">
        <f aca="false">IF(C498=J498,"NEW KONTRAK","RE-KONTRAK")</f>
        <v>RE-KONTRAK</v>
      </c>
      <c r="J498" s="16" t="n">
        <f aca="false" t="array" ref="J498:J498">IFERROR(INDEX(AC498:AE498,IF(COUNTA(AC498:AE498)=0,"",MAX((AC498:AE498&lt;&gt;"")*(COLUMN(AC498:AE498)-(COLUMN(AC498)))))-1),"")</f>
        <v>45672</v>
      </c>
      <c r="K498" s="16" t="n">
        <f aca="false" t="array" ref="K498:K498">IFERROR(INDEX(AC498:AE498,IF(COUNTA(AC498:AE498)=0,"",MAX((AC498:AE498&lt;&gt;"")*(COLUMN(AC498:AE498)-(COLUMN(AC498)-1))))-1),"")</f>
        <v>46036</v>
      </c>
      <c r="L498" s="17" t="str">
        <f aca="false" t="array" ref="L498:L498">IFERROR(INDEX(AC498:AE498,IF(COUNTA(AC498:AE498)=0,"",MAX((AC498:AE498&lt;&gt;"")*(COLUMN(AC498:AE498)-(COLUMN(AC498)-2))))-1),"")</f>
        <v>ARCHIVED</v>
      </c>
      <c r="M498" s="13" t="n">
        <f aca="true">K498-TODAY()</f>
        <v>-288</v>
      </c>
      <c r="N498" s="18" t="s">
        <v>105</v>
      </c>
      <c r="O498" s="13" t="s">
        <v>106</v>
      </c>
      <c r="P498" s="19" t="n">
        <v>132300</v>
      </c>
      <c r="Q498" s="20" t="s">
        <v>2242</v>
      </c>
      <c r="R498" s="13" t="s">
        <v>52</v>
      </c>
      <c r="S498" s="25" t="n">
        <v>36507</v>
      </c>
      <c r="T498" s="13" t="s">
        <v>40</v>
      </c>
      <c r="U498" s="13" t="s">
        <v>2243</v>
      </c>
      <c r="V498" s="13" t="s">
        <v>42</v>
      </c>
      <c r="W498" s="13" t="s">
        <v>43</v>
      </c>
      <c r="X498" s="21" t="n">
        <v>85755083813</v>
      </c>
      <c r="Y498" s="22" t="str">
        <f aca="false">O498</f>
        <v>Produksi - Helper</v>
      </c>
      <c r="Z498" s="13" t="str">
        <f aca="false">IFERROR(__xludf.dummyfunction("if(BJ498="""","""",GOOGLETRANSLATE(BJ498,""auto"",""en""))"),"Production - Helper")</f>
        <v>Production - Helper</v>
      </c>
      <c r="AA498" s="23" t="str">
        <f aca="false">IF(C498="","", CHOOSE(MONTH(C498),"January","February","March","April","May","June","July","August","September","October","November","December")&amp;" "&amp;DAY(C498)&amp;MID("thstndrdth",MIN(9,2*RIGHT(DAY(C498))*(MOD(DAY(C498)-11,100)&gt;2)+1),2)&amp;","&amp;TEXT(C498," yyyy"))</f>
        <v>August 5th,2021</v>
      </c>
      <c r="AB498" s="15" t="str">
        <f aca="true">IF(S498="","",DATEDIF(S498,TODAY(),"Y")&amp;" Tahun, "&amp;DATEDIF(S498,TODAY(),"YM")&amp;" Bulan, "&amp;DATEDIF(S498,TODAY(),"MD")&amp;" Hari")</f>
        <v>26 Tahun, 10 Bulan, 16 Hari</v>
      </c>
      <c r="AC498" s="18" t="n">
        <v>45672</v>
      </c>
      <c r="AD498" s="18" t="n">
        <v>46036</v>
      </c>
      <c r="AE498" s="18" t="s">
        <v>44</v>
      </c>
    </row>
    <row r="499" customFormat="false" ht="15.75" hidden="false" customHeight="true" outlineLevel="0" collapsed="false">
      <c r="A499" s="12" t="n">
        <v>3160</v>
      </c>
      <c r="B499" s="13" t="s">
        <v>2244</v>
      </c>
      <c r="C499" s="14" t="n">
        <v>44431</v>
      </c>
      <c r="D499" s="13" t="s">
        <v>101</v>
      </c>
      <c r="E499" s="15" t="s">
        <v>47</v>
      </c>
      <c r="F499" s="15" t="str">
        <f aca="false">IFERROR(__xludf.dummyfunction("XLOOKUP(AJ499,IMPORTRANGE(""1XaInW9DU9nz21V0tYIfzFQ0He9kVQ_JF2mCXgZ3hqFA"",""REKAP ALL 2026 - Andika!G:G""),IMPORTRANGE(""1XaInW9DU9nz21V0tYIfzFQ0He9kVQ_JF2mCXgZ3hqFA"",""REKAP ALL 2026 - Andika!F:F""),"""",0)"),"21082690997")</f>
        <v>21082690997</v>
      </c>
      <c r="G499" s="13" t="s">
        <v>2245</v>
      </c>
      <c r="H499" s="13" t="s">
        <v>35</v>
      </c>
      <c r="I499" s="13" t="str">
        <f aca="false">IF(C499=J499,"NEW KONTRAK","RE-KONTRAK")</f>
        <v>RE-KONTRAK</v>
      </c>
      <c r="J499" s="16" t="n">
        <f aca="false" t="array" ref="J499:J499">IFERROR(INDEX(AC499:AE499,IF(COUNTA(AC499:AE499)=0,"",MAX((AC499:AE499&lt;&gt;"")*(COLUMN(AC499:AE499)-(COLUMN(AC499)))))-1),"")</f>
        <v>45672</v>
      </c>
      <c r="K499" s="16" t="n">
        <f aca="false" t="array" ref="K499:K499">IFERROR(INDEX(AC499:AE499,IF(COUNTA(AC499:AE499)=0,"",MAX((AC499:AE499&lt;&gt;"")*(COLUMN(AC499:AE499)-(COLUMN(AC499)-1))))-1),"")</f>
        <v>46036</v>
      </c>
      <c r="L499" s="17" t="str">
        <f aca="false" t="array" ref="L499:L499">IFERROR(INDEX(AC499:AE499,IF(COUNTA(AC499:AE499)=0,"",MAX((AC499:AE499&lt;&gt;"")*(COLUMN(AC499:AE499)-(COLUMN(AC499)-2))))-1),"")</f>
        <v>ARCHIVED</v>
      </c>
      <c r="M499" s="13" t="n">
        <f aca="true">K499-TODAY()</f>
        <v>-288</v>
      </c>
      <c r="N499" s="18" t="s">
        <v>105</v>
      </c>
      <c r="O499" s="13" t="s">
        <v>106</v>
      </c>
      <c r="P499" s="31" t="n">
        <v>138915</v>
      </c>
      <c r="Q499" s="20" t="s">
        <v>2246</v>
      </c>
      <c r="R499" s="13" t="s">
        <v>39</v>
      </c>
      <c r="S499" s="25" t="n">
        <v>36117</v>
      </c>
      <c r="T499" s="13" t="s">
        <v>108</v>
      </c>
      <c r="U499" s="13" t="s">
        <v>2247</v>
      </c>
      <c r="V499" s="13" t="s">
        <v>42</v>
      </c>
      <c r="W499" s="13" t="s">
        <v>43</v>
      </c>
      <c r="X499" s="21" t="n">
        <v>81995199252</v>
      </c>
      <c r="Y499" s="22" t="str">
        <f aca="false">O499</f>
        <v>Produksi - Helper</v>
      </c>
      <c r="Z499" s="13" t="str">
        <f aca="false">IFERROR(__xludf.dummyfunction("if(BJ499="""","""",GOOGLETRANSLATE(BJ499,""auto"",""en""))"),"Production - Helper")</f>
        <v>Production - Helper</v>
      </c>
      <c r="AA499" s="23" t="str">
        <f aca="false">IF(C499="","", CHOOSE(MONTH(C499),"January","February","March","April","May","June","July","August","September","October","November","December")&amp;" "&amp;DAY(C499)&amp;MID("thstndrdth",MIN(9,2*RIGHT(DAY(C499))*(MOD(DAY(C499)-11,100)&gt;2)+1),2)&amp;","&amp;TEXT(C499," yyyy"))</f>
        <v>August 23rd,2021</v>
      </c>
      <c r="AB499" s="15" t="str">
        <f aca="true">IF(S499="","",DATEDIF(S499,TODAY(),"Y")&amp;" Tahun, "&amp;DATEDIF(S499,TODAY(),"YM")&amp;" Bulan, "&amp;DATEDIF(S499,TODAY(),"MD")&amp;" Hari")</f>
        <v>27 Tahun, 11 Bulan, 11 Hari</v>
      </c>
      <c r="AC499" s="18" t="n">
        <v>45672</v>
      </c>
      <c r="AD499" s="18" t="n">
        <v>46036</v>
      </c>
      <c r="AE499" s="18" t="s">
        <v>44</v>
      </c>
    </row>
    <row r="500" customFormat="false" ht="15.75" hidden="false" customHeight="true" outlineLevel="0" collapsed="false">
      <c r="A500" s="12" t="n">
        <v>2607</v>
      </c>
      <c r="B500" s="13" t="s">
        <v>2248</v>
      </c>
      <c r="C500" s="14" t="n">
        <v>44413</v>
      </c>
      <c r="D500" s="13" t="s">
        <v>101</v>
      </c>
      <c r="E500" s="15" t="s">
        <v>102</v>
      </c>
      <c r="F500" s="15" t="str">
        <f aca="false">IFERROR(__xludf.dummyfunction("XLOOKUP(AJ500,IMPORTRANGE(""1XaInW9DU9nz21V0tYIfzFQ0He9kVQ_JF2mCXgZ3hqFA"",""REKAP ALL 2026 - Andika!G:G""),IMPORTRANGE(""1XaInW9DU9nz21V0tYIfzFQ0He9kVQ_JF2mCXgZ3hqFA"",""REKAP ALL 2026 - Andika!F:F""),"""",0)"),"21068419130")</f>
        <v>21068419130</v>
      </c>
      <c r="G500" s="13" t="s">
        <v>2249</v>
      </c>
      <c r="H500" s="13" t="s">
        <v>35</v>
      </c>
      <c r="I500" s="13" t="str">
        <f aca="false">IF(C500=J500,"NEW KONTRAK","RE-KONTRAK")</f>
        <v>RE-KONTRAK</v>
      </c>
      <c r="J500" s="16" t="n">
        <f aca="false" t="array" ref="J500:J500">IFERROR(INDEX(AC500:AE500,IF(COUNTA(AC500:AE500)=0,"",MAX((AC500:AE500&lt;&gt;"")*(COLUMN(AC500:AE500)-(COLUMN(AC500)))))-1),"")</f>
        <v>45672</v>
      </c>
      <c r="K500" s="16" t="n">
        <f aca="false" t="array" ref="K500:K500">IFERROR(INDEX(AC500:AE500,IF(COUNTA(AC500:AE500)=0,"",MAX((AC500:AE500&lt;&gt;"")*(COLUMN(AC500:AE500)-(COLUMN(AC500)-1))))-1),"")</f>
        <v>46036</v>
      </c>
      <c r="L500" s="17" t="str">
        <f aca="false" t="array" ref="L500:L500">IFERROR(INDEX(AC500:AE500,IF(COUNTA(AC500:AE500)=0,"",MAX((AC500:AE500&lt;&gt;"")*(COLUMN(AC500:AE500)-(COLUMN(AC500)-2))))-1),"")</f>
        <v>ARCHIVED</v>
      </c>
      <c r="M500" s="13" t="n">
        <f aca="true">K500-TODAY()</f>
        <v>-288</v>
      </c>
      <c r="N500" s="18" t="s">
        <v>105</v>
      </c>
      <c r="O500" s="13" t="s">
        <v>106</v>
      </c>
      <c r="P500" s="19" t="n">
        <v>132300</v>
      </c>
      <c r="Q500" s="20" t="s">
        <v>2250</v>
      </c>
      <c r="R500" s="13" t="s">
        <v>78</v>
      </c>
      <c r="S500" s="25" t="n">
        <v>35966</v>
      </c>
      <c r="T500" s="13" t="s">
        <v>108</v>
      </c>
      <c r="U500" s="13" t="s">
        <v>1431</v>
      </c>
      <c r="V500" s="13" t="s">
        <v>42</v>
      </c>
      <c r="W500" s="13" t="s">
        <v>43</v>
      </c>
      <c r="X500" s="21" t="n">
        <v>85814562453</v>
      </c>
      <c r="Y500" s="22" t="str">
        <f aca="false">O500</f>
        <v>Produksi - Helper</v>
      </c>
      <c r="Z500" s="13" t="str">
        <f aca="false">IFERROR(__xludf.dummyfunction("if(BJ500="""","""",GOOGLETRANSLATE(BJ500,""auto"",""en""))"),"Production - Helper")</f>
        <v>Production - Helper</v>
      </c>
      <c r="AA500" s="23" t="str">
        <f aca="false">IF(C500="","", CHOOSE(MONTH(C500),"January","February","March","April","May","June","July","August","September","October","November","December")&amp;" "&amp;DAY(C500)&amp;MID("thstndrdth",MIN(9,2*RIGHT(DAY(C500))*(MOD(DAY(C500)-11,100)&gt;2)+1),2)&amp;","&amp;TEXT(C500," yyyy"))</f>
        <v>August 5th,2021</v>
      </c>
      <c r="AB500" s="15" t="str">
        <f aca="true">IF(S500="","",DATEDIF(S500,TODAY(),"Y")&amp;" Tahun, "&amp;DATEDIF(S500,TODAY(),"YM")&amp;" Bulan, "&amp;DATEDIF(S500,TODAY(),"MD")&amp;" Hari")</f>
        <v>28 Tahun, 4 Bulan, 9 Hari</v>
      </c>
      <c r="AC500" s="18" t="n">
        <v>45672</v>
      </c>
      <c r="AD500" s="18" t="n">
        <v>46036</v>
      </c>
      <c r="AE500" s="18" t="s">
        <v>44</v>
      </c>
    </row>
    <row r="501" customFormat="false" ht="15.75" hidden="false" customHeight="true" outlineLevel="0" collapsed="false">
      <c r="A501" s="12" t="n">
        <v>12376</v>
      </c>
      <c r="B501" s="13" t="s">
        <v>2251</v>
      </c>
      <c r="C501" s="14" t="n">
        <v>45108</v>
      </c>
      <c r="D501" s="13" t="s">
        <v>101</v>
      </c>
      <c r="E501" s="15" t="s">
        <v>47</v>
      </c>
      <c r="F501" s="15" t="str">
        <f aca="false">IFERROR(__xludf.dummyfunction("XLOOKUP(AJ501,IMPORTRANGE(""1XaInW9DU9nz21V0tYIfzFQ0He9kVQ_JF2mCXgZ3hqFA"",""REKAP ALL 2026 - Andika!G:G""),IMPORTRANGE(""1XaInW9DU9nz21V0tYIfzFQ0He9kVQ_JF2mCXgZ3hqFA"",""REKAP ALL 2026 - Andika!F:F""),"""",0)"),"23113700720")</f>
        <v>23113700720</v>
      </c>
      <c r="G501" s="13" t="s">
        <v>2252</v>
      </c>
      <c r="H501" s="13" t="s">
        <v>35</v>
      </c>
      <c r="I501" s="13" t="str">
        <f aca="false">IF(C501=J501,"NEW KONTRAK","RE-KONTRAK")</f>
        <v>RE-KONTRAK</v>
      </c>
      <c r="J501" s="16" t="n">
        <f aca="false" t="array" ref="J501:J501">IFERROR(INDEX(AC501:AE501,IF(COUNTA(AC501:AE501)=0,"",MAX((AC501:AE501&lt;&gt;"")*(COLUMN(AC501:AE501)-(COLUMN(AC501)))))-1),"")</f>
        <v>45672</v>
      </c>
      <c r="K501" s="16" t="n">
        <f aca="false" t="array" ref="K501:K501">IFERROR(INDEX(AC501:AE501,IF(COUNTA(AC501:AE501)=0,"",MAX((AC501:AE501&lt;&gt;"")*(COLUMN(AC501:AE501)-(COLUMN(AC501)-1))))-1),"")</f>
        <v>46036</v>
      </c>
      <c r="L501" s="17" t="str">
        <f aca="false" t="array" ref="L501:L501">IFERROR(INDEX(AC501:AE501,IF(COUNTA(AC501:AE501)=0,"",MAX((AC501:AE501&lt;&gt;"")*(COLUMN(AC501:AE501)-(COLUMN(AC501)-2))))-1),"")</f>
        <v>ARCHIVED</v>
      </c>
      <c r="M501" s="13" t="n">
        <f aca="true">K501-TODAY()</f>
        <v>-288</v>
      </c>
      <c r="N501" s="18" t="s">
        <v>105</v>
      </c>
      <c r="O501" s="13" t="s">
        <v>106</v>
      </c>
      <c r="P501" s="31" t="n">
        <v>138915</v>
      </c>
      <c r="Q501" s="20" t="s">
        <v>2253</v>
      </c>
      <c r="R501" s="13" t="s">
        <v>52</v>
      </c>
      <c r="S501" s="25" t="n">
        <v>36032</v>
      </c>
      <c r="T501" s="13" t="s">
        <v>108</v>
      </c>
      <c r="U501" s="13" t="s">
        <v>2254</v>
      </c>
      <c r="V501" s="13" t="s">
        <v>42</v>
      </c>
      <c r="W501" s="13" t="s">
        <v>43</v>
      </c>
      <c r="X501" s="21" t="n">
        <v>8884937778</v>
      </c>
      <c r="Y501" s="22" t="str">
        <f aca="false">O501</f>
        <v>Produksi - Helper</v>
      </c>
      <c r="Z501" s="13" t="str">
        <f aca="false">IFERROR(__xludf.dummyfunction("if(BJ501="""","""",GOOGLETRANSLATE(BJ501,""auto"",""en""))"),"Production - Helper")</f>
        <v>Production - Helper</v>
      </c>
      <c r="AA501" s="23" t="str">
        <f aca="false">IF(C501="","", CHOOSE(MONTH(C501),"January","February","March","April","May","June","July","August","September","October","November","December")&amp;" "&amp;DAY(C501)&amp;MID("thstndrdth",MIN(9,2*RIGHT(DAY(C501))*(MOD(DAY(C501)-11,100)&gt;2)+1),2)&amp;","&amp;TEXT(C501," yyyy"))</f>
        <v>July 1st,2023</v>
      </c>
      <c r="AB501" s="15" t="str">
        <f aca="true">IF(S501="","",DATEDIF(S501,TODAY(),"Y")&amp;" Tahun, "&amp;DATEDIF(S501,TODAY(),"YM")&amp;" Bulan, "&amp;DATEDIF(S501,TODAY(),"MD")&amp;" Hari")</f>
        <v>28 Tahun, 2 Bulan, 4 Hari</v>
      </c>
      <c r="AC501" s="18" t="n">
        <v>45672</v>
      </c>
      <c r="AD501" s="18" t="n">
        <v>46036</v>
      </c>
      <c r="AE501" s="18" t="s">
        <v>44</v>
      </c>
    </row>
    <row r="502" customFormat="false" ht="15.75" hidden="false" customHeight="true" outlineLevel="0" collapsed="false">
      <c r="A502" s="12" t="n">
        <v>12377</v>
      </c>
      <c r="B502" s="13" t="s">
        <v>2255</v>
      </c>
      <c r="C502" s="14" t="n">
        <v>45108</v>
      </c>
      <c r="D502" s="13" t="s">
        <v>101</v>
      </c>
      <c r="E502" s="15" t="s">
        <v>47</v>
      </c>
      <c r="F502" s="15" t="str">
        <f aca="false">IFERROR(__xludf.dummyfunction("XLOOKUP(AJ502,IMPORTRANGE(""1XaInW9DU9nz21V0tYIfzFQ0He9kVQ_JF2mCXgZ3hqFA"",""REKAP ALL 2026 - Andika!G:G""),IMPORTRANGE(""1XaInW9DU9nz21V0tYIfzFQ0He9kVQ_JF2mCXgZ3hqFA"",""REKAP ALL 2026 - Andika!F:F""),"""",0)"),"23113700845")</f>
        <v>23113700845</v>
      </c>
      <c r="G502" s="13" t="s">
        <v>2256</v>
      </c>
      <c r="H502" s="13" t="s">
        <v>35</v>
      </c>
      <c r="I502" s="13" t="str">
        <f aca="false">IF(C502=J502,"NEW KONTRAK","RE-KONTRAK")</f>
        <v>RE-KONTRAK</v>
      </c>
      <c r="J502" s="16" t="n">
        <f aca="false" t="array" ref="J502:J502">IFERROR(INDEX(AC502:AE502,IF(COUNTA(AC502:AE502)=0,"",MAX((AC502:AE502&lt;&gt;"")*(COLUMN(AC502:AE502)-(COLUMN(AC502)))))-1),"")</f>
        <v>45672</v>
      </c>
      <c r="K502" s="16" t="n">
        <f aca="false" t="array" ref="K502:K502">IFERROR(INDEX(AC502:AE502,IF(COUNTA(AC502:AE502)=0,"",MAX((AC502:AE502&lt;&gt;"")*(COLUMN(AC502:AE502)-(COLUMN(AC502)-1))))-1),"")</f>
        <v>46036</v>
      </c>
      <c r="L502" s="17" t="str">
        <f aca="false" t="array" ref="L502:L502">IFERROR(INDEX(AC502:AE502,IF(COUNTA(AC502:AE502)=0,"",MAX((AC502:AE502&lt;&gt;"")*(COLUMN(AC502:AE502)-(COLUMN(AC502)-2))))-1),"")</f>
        <v>ARCHIVED</v>
      </c>
      <c r="M502" s="13" t="n">
        <f aca="true">K502-TODAY()</f>
        <v>-288</v>
      </c>
      <c r="N502" s="18" t="s">
        <v>105</v>
      </c>
      <c r="O502" s="13" t="s">
        <v>106</v>
      </c>
      <c r="P502" s="31" t="n">
        <v>138915</v>
      </c>
      <c r="Q502" s="20" t="s">
        <v>2257</v>
      </c>
      <c r="R502" s="13" t="s">
        <v>39</v>
      </c>
      <c r="S502" s="25" t="n">
        <v>35359</v>
      </c>
      <c r="T502" s="13" t="s">
        <v>40</v>
      </c>
      <c r="U502" s="13" t="s">
        <v>2258</v>
      </c>
      <c r="V502" s="13" t="s">
        <v>42</v>
      </c>
      <c r="W502" s="13" t="s">
        <v>43</v>
      </c>
      <c r="X502" s="21" t="n">
        <v>85331874882</v>
      </c>
      <c r="Y502" s="22" t="str">
        <f aca="false">O502</f>
        <v>Produksi - Helper</v>
      </c>
      <c r="Z502" s="13" t="str">
        <f aca="false">IFERROR(__xludf.dummyfunction("if(BJ502="""","""",GOOGLETRANSLATE(BJ502,""auto"",""en""))"),"Production - Helper")</f>
        <v>Production - Helper</v>
      </c>
      <c r="AA502" s="23" t="str">
        <f aca="false">IF(C502="","", CHOOSE(MONTH(C502),"January","February","March","April","May","June","July","August","September","October","November","December")&amp;" "&amp;DAY(C502)&amp;MID("thstndrdth",MIN(9,2*RIGHT(DAY(C502))*(MOD(DAY(C502)-11,100)&gt;2)+1),2)&amp;","&amp;TEXT(C502," yyyy"))</f>
        <v>July 1st,2023</v>
      </c>
      <c r="AB502" s="15" t="str">
        <f aca="true">IF(S502="","",DATEDIF(S502,TODAY(),"Y")&amp;" Tahun, "&amp;DATEDIF(S502,TODAY(),"YM")&amp;" Bulan, "&amp;DATEDIF(S502,TODAY(),"MD")&amp;" Hari")</f>
        <v>30 Tahun, 0 Bulan, 8 Hari</v>
      </c>
      <c r="AC502" s="18" t="n">
        <v>45672</v>
      </c>
      <c r="AD502" s="18" t="n">
        <v>46036</v>
      </c>
      <c r="AE502" s="18" t="s">
        <v>44</v>
      </c>
    </row>
    <row r="503" customFormat="false" ht="15.75" hidden="false" customHeight="true" outlineLevel="0" collapsed="false">
      <c r="A503" s="12" t="n">
        <v>2549</v>
      </c>
      <c r="B503" s="13" t="s">
        <v>2259</v>
      </c>
      <c r="C503" s="14" t="n">
        <v>44413</v>
      </c>
      <c r="D503" s="13" t="s">
        <v>101</v>
      </c>
      <c r="E503" s="15" t="s">
        <v>47</v>
      </c>
      <c r="F503" s="15" t="str">
        <f aca="false">IFERROR(__xludf.dummyfunction("XLOOKUP(AJ503,IMPORTRANGE(""1XaInW9DU9nz21V0tYIfzFQ0He9kVQ_JF2mCXgZ3hqFA"",""REKAP ALL 2026 - Andika!G:G""),IMPORTRANGE(""1XaInW9DU9nz21V0tYIfzFQ0He9kVQ_JF2mCXgZ3hqFA"",""REKAP ALL 2026 - Andika!F:F""),"""",0)"),"21068419957")</f>
        <v>21068419957</v>
      </c>
      <c r="G503" s="13" t="s">
        <v>2260</v>
      </c>
      <c r="H503" s="13" t="s">
        <v>35</v>
      </c>
      <c r="I503" s="13" t="str">
        <f aca="false">IF(C503=J503,"NEW KONTRAK","RE-KONTRAK")</f>
        <v>RE-KONTRAK</v>
      </c>
      <c r="J503" s="16" t="n">
        <f aca="false" t="array" ref="J503:J503">IFERROR(INDEX(AC503:AE503,IF(COUNTA(AC503:AE503)=0,"",MAX((AC503:AE503&lt;&gt;"")*(COLUMN(AC503:AE503)-(COLUMN(AC503)))))-1),"")</f>
        <v>45672</v>
      </c>
      <c r="K503" s="16" t="n">
        <f aca="false" t="array" ref="K503:K503">IFERROR(INDEX(AC503:AE503,IF(COUNTA(AC503:AE503)=0,"",MAX((AC503:AE503&lt;&gt;"")*(COLUMN(AC503:AE503)-(COLUMN(AC503)-1))))-1),"")</f>
        <v>46036</v>
      </c>
      <c r="L503" s="17" t="str">
        <f aca="false" t="array" ref="L503:L503">IFERROR(INDEX(AC503:AE503,IF(COUNTA(AC503:AE503)=0,"",MAX((AC503:AE503&lt;&gt;"")*(COLUMN(AC503:AE503)-(COLUMN(AC503)-2))))-1),"")</f>
        <v>ARCHIVED</v>
      </c>
      <c r="M503" s="13" t="n">
        <f aca="true">K503-TODAY()</f>
        <v>-288</v>
      </c>
      <c r="N503" s="18" t="s">
        <v>105</v>
      </c>
      <c r="O503" s="13" t="s">
        <v>106</v>
      </c>
      <c r="P503" s="31" t="n">
        <v>138915</v>
      </c>
      <c r="Q503" s="20" t="s">
        <v>2261</v>
      </c>
      <c r="R503" s="13" t="s">
        <v>39</v>
      </c>
      <c r="S503" s="25" t="n">
        <v>35803</v>
      </c>
      <c r="T503" s="13" t="s">
        <v>40</v>
      </c>
      <c r="U503" s="13" t="s">
        <v>2262</v>
      </c>
      <c r="V503" s="13" t="s">
        <v>42</v>
      </c>
      <c r="W503" s="13" t="s">
        <v>43</v>
      </c>
      <c r="X503" s="21" t="n">
        <v>895377170478</v>
      </c>
      <c r="Y503" s="22" t="str">
        <f aca="false">O503</f>
        <v>Produksi - Helper</v>
      </c>
      <c r="Z503" s="13" t="str">
        <f aca="false">IFERROR(__xludf.dummyfunction("if(BJ503="""","""",GOOGLETRANSLATE(BJ503,""auto"",""en""))"),"Production - Helper")</f>
        <v>Production - Helper</v>
      </c>
      <c r="AA503" s="23" t="str">
        <f aca="false">IF(C503="","", CHOOSE(MONTH(C503),"January","February","March","April","May","June","July","August","September","October","November","December")&amp;" "&amp;DAY(C503)&amp;MID("thstndrdth",MIN(9,2*RIGHT(DAY(C503))*(MOD(DAY(C503)-11,100)&gt;2)+1),2)&amp;","&amp;TEXT(C503," yyyy"))</f>
        <v>August 5th,2021</v>
      </c>
      <c r="AB503" s="15" t="str">
        <f aca="true">IF(S503="","",DATEDIF(S503,TODAY(),"Y")&amp;" Tahun, "&amp;DATEDIF(S503,TODAY(),"YM")&amp;" Bulan, "&amp;DATEDIF(S503,TODAY(),"MD")&amp;" Hari")</f>
        <v>28 Tahun, 9 Bulan, 21 Hari</v>
      </c>
      <c r="AC503" s="18" t="n">
        <v>45672</v>
      </c>
      <c r="AD503" s="18" t="n">
        <v>46036</v>
      </c>
      <c r="AE503" s="18" t="s">
        <v>44</v>
      </c>
    </row>
    <row r="504" customFormat="false" ht="15.75" hidden="false" customHeight="true" outlineLevel="0" collapsed="false">
      <c r="A504" s="12" t="n">
        <v>2631</v>
      </c>
      <c r="B504" s="13" t="s">
        <v>2263</v>
      </c>
      <c r="C504" s="14" t="n">
        <v>44418</v>
      </c>
      <c r="D504" s="13" t="s">
        <v>101</v>
      </c>
      <c r="E504" s="15" t="s">
        <v>102</v>
      </c>
      <c r="F504" s="24" t="s">
        <v>2264</v>
      </c>
      <c r="G504" s="13" t="s">
        <v>2265</v>
      </c>
      <c r="H504" s="13" t="s">
        <v>35</v>
      </c>
      <c r="I504" s="13" t="str">
        <f aca="false">IF(C504=J504,"NEW KONTRAK","RE-KONTRAK")</f>
        <v>RE-KONTRAK</v>
      </c>
      <c r="J504" s="16" t="n">
        <f aca="false" t="array" ref="J504:J504">IFERROR(INDEX(AC504:AE504,IF(COUNTA(AC504:AE504)=0,"",MAX((AC504:AE504&lt;&gt;"")*(COLUMN(AC504:AE504)-(COLUMN(AC504)))))-1),"")</f>
        <v>45672</v>
      </c>
      <c r="K504" s="16" t="n">
        <f aca="false" t="array" ref="K504:K504">IFERROR(INDEX(AC504:AE504,IF(COUNTA(AC504:AE504)=0,"",MAX((AC504:AE504&lt;&gt;"")*(COLUMN(AC504:AE504)-(COLUMN(AC504)-1))))-1),"")</f>
        <v>46036</v>
      </c>
      <c r="L504" s="17" t="str">
        <f aca="false" t="array" ref="L504:L504">IFERROR(INDEX(AC504:AE504,IF(COUNTA(AC504:AE504)=0,"",MAX((AC504:AE504&lt;&gt;"")*(COLUMN(AC504:AE504)-(COLUMN(AC504)-2))))-1),"")</f>
        <v>ARCHIVED</v>
      </c>
      <c r="M504" s="13" t="n">
        <f aca="true">K504-TODAY()</f>
        <v>-288</v>
      </c>
      <c r="N504" s="18" t="s">
        <v>105</v>
      </c>
      <c r="O504" s="13" t="s">
        <v>106</v>
      </c>
      <c r="P504" s="19" t="n">
        <v>132300</v>
      </c>
      <c r="Q504" s="20" t="s">
        <v>2266</v>
      </c>
      <c r="R504" s="13" t="s">
        <v>232</v>
      </c>
      <c r="S504" s="25" t="n">
        <v>36721</v>
      </c>
      <c r="T504" s="13" t="s">
        <v>108</v>
      </c>
      <c r="U504" s="13" t="s">
        <v>2267</v>
      </c>
      <c r="V504" s="13" t="s">
        <v>42</v>
      </c>
      <c r="W504" s="13" t="s">
        <v>43</v>
      </c>
      <c r="X504" s="21" t="n">
        <v>85604451783</v>
      </c>
      <c r="Y504" s="22" t="str">
        <f aca="false">O504</f>
        <v>Produksi - Helper</v>
      </c>
      <c r="Z504" s="13" t="str">
        <f aca="false">IFERROR(__xludf.dummyfunction("if(BJ504="""","""",GOOGLETRANSLATE(BJ504,""auto"",""en""))"),"Production - Helper")</f>
        <v>Production - Helper</v>
      </c>
      <c r="AA504" s="23" t="str">
        <f aca="false">IF(C504="","", CHOOSE(MONTH(C504),"January","February","March","April","May","June","July","August","September","October","November","December")&amp;" "&amp;DAY(C504)&amp;MID("thstndrdth",MIN(9,2*RIGHT(DAY(C504))*(MOD(DAY(C504)-11,100)&gt;2)+1),2)&amp;","&amp;TEXT(C504," yyyy"))</f>
        <v>August 10th,2021</v>
      </c>
      <c r="AB504" s="15" t="str">
        <f aca="true">IF(S504="","",DATEDIF(S504,TODAY(),"Y")&amp;" Tahun, "&amp;DATEDIF(S504,TODAY(),"YM")&amp;" Bulan, "&amp;DATEDIF(S504,TODAY(),"MD")&amp;" Hari")</f>
        <v>26 Tahun, 3 Bulan, 15 Hari</v>
      </c>
      <c r="AC504" s="18" t="n">
        <v>45672</v>
      </c>
      <c r="AD504" s="18" t="n">
        <v>46036</v>
      </c>
      <c r="AE504" s="18" t="s">
        <v>44</v>
      </c>
    </row>
    <row r="505" customFormat="false" ht="15.75" hidden="false" customHeight="true" outlineLevel="0" collapsed="false">
      <c r="A505" s="12" t="n">
        <v>2645</v>
      </c>
      <c r="B505" s="13" t="s">
        <v>2268</v>
      </c>
      <c r="C505" s="14" t="n">
        <v>44418</v>
      </c>
      <c r="D505" s="13" t="s">
        <v>101</v>
      </c>
      <c r="E505" s="15" t="s">
        <v>102</v>
      </c>
      <c r="F505" s="15" t="str">
        <f aca="false">IFERROR(__xludf.dummyfunction("XLOOKUP(AJ505,IMPORTRANGE(""1XaInW9DU9nz21V0tYIfzFQ0He9kVQ_JF2mCXgZ3hqFA"",""REKAP ALL 2026 - Andika!G:G""),IMPORTRANGE(""1XaInW9DU9nz21V0tYIfzFQ0He9kVQ_JF2mCXgZ3hqFA"",""REKAP ALL 2026 - Andika!F:F""),"""",0)"),"21055465328")</f>
        <v>21055465328</v>
      </c>
      <c r="G505" s="13" t="s">
        <v>2269</v>
      </c>
      <c r="H505" s="13" t="s">
        <v>35</v>
      </c>
      <c r="I505" s="13" t="str">
        <f aca="false">IF(C505=J505,"NEW KONTRAK","RE-KONTRAK")</f>
        <v>RE-KONTRAK</v>
      </c>
      <c r="J505" s="16" t="n">
        <f aca="false" t="array" ref="J505:J505">IFERROR(INDEX(AC505:AE505,IF(COUNTA(AC505:AE505)=0,"",MAX((AC505:AE505&lt;&gt;"")*(COLUMN(AC505:AE505)-(COLUMN(AC505)))))-1),"")</f>
        <v>45672</v>
      </c>
      <c r="K505" s="16" t="n">
        <f aca="false" t="array" ref="K505:K505">IFERROR(INDEX(AC505:AE505,IF(COUNTA(AC505:AE505)=0,"",MAX((AC505:AE505&lt;&gt;"")*(COLUMN(AC505:AE505)-(COLUMN(AC505)-1))))-1),"")</f>
        <v>46036</v>
      </c>
      <c r="L505" s="17" t="str">
        <f aca="false" t="array" ref="L505:L505">IFERROR(INDEX(AC505:AE505,IF(COUNTA(AC505:AE505)=0,"",MAX((AC505:AE505&lt;&gt;"")*(COLUMN(AC505:AE505)-(COLUMN(AC505)-2))))-1),"")</f>
        <v>ARCHIVED</v>
      </c>
      <c r="M505" s="13" t="n">
        <f aca="true">K505-TODAY()</f>
        <v>-288</v>
      </c>
      <c r="N505" s="18" t="s">
        <v>105</v>
      </c>
      <c r="O505" s="13" t="s">
        <v>106</v>
      </c>
      <c r="P505" s="19" t="n">
        <v>132300</v>
      </c>
      <c r="Q505" s="20" t="s">
        <v>2270</v>
      </c>
      <c r="R505" s="13" t="s">
        <v>168</v>
      </c>
      <c r="S505" s="25" t="n">
        <v>35571</v>
      </c>
      <c r="T505" s="13" t="s">
        <v>108</v>
      </c>
      <c r="U505" s="13" t="s">
        <v>2271</v>
      </c>
      <c r="V505" s="13" t="s">
        <v>42</v>
      </c>
      <c r="W505" s="13" t="s">
        <v>54</v>
      </c>
      <c r="X505" s="21" t="n">
        <v>82132892946</v>
      </c>
      <c r="Y505" s="22" t="str">
        <f aca="false">O505</f>
        <v>Produksi - Helper</v>
      </c>
      <c r="Z505" s="13" t="str">
        <f aca="false">IFERROR(__xludf.dummyfunction("if(BJ505="""","""",GOOGLETRANSLATE(BJ505,""auto"",""en""))"),"Production - Helper")</f>
        <v>Production - Helper</v>
      </c>
      <c r="AA505" s="23" t="str">
        <f aca="false">IF(C505="","", CHOOSE(MONTH(C505),"January","February","March","April","May","June","July","August","September","October","November","December")&amp;" "&amp;DAY(C505)&amp;MID("thstndrdth",MIN(9,2*RIGHT(DAY(C505))*(MOD(DAY(C505)-11,100)&gt;2)+1),2)&amp;","&amp;TEXT(C505," yyyy"))</f>
        <v>August 10th,2021</v>
      </c>
      <c r="AB505" s="15" t="str">
        <f aca="true">IF(S505="","",DATEDIF(S505,TODAY(),"Y")&amp;" Tahun, "&amp;DATEDIF(S505,TODAY(),"YM")&amp;" Bulan, "&amp;DATEDIF(S505,TODAY(),"MD")&amp;" Hari")</f>
        <v>29 Tahun, 5 Bulan, 8 Hari</v>
      </c>
      <c r="AC505" s="18" t="n">
        <v>45672</v>
      </c>
      <c r="AD505" s="18" t="n">
        <v>46036</v>
      </c>
      <c r="AE505" s="18" t="s">
        <v>44</v>
      </c>
    </row>
    <row r="506" customFormat="false" ht="15.75" hidden="false" customHeight="true" outlineLevel="0" collapsed="false">
      <c r="A506" s="12" t="n">
        <v>2656</v>
      </c>
      <c r="B506" s="13" t="s">
        <v>2272</v>
      </c>
      <c r="C506" s="14" t="n">
        <v>44418</v>
      </c>
      <c r="D506" s="13" t="s">
        <v>101</v>
      </c>
      <c r="E506" s="15" t="s">
        <v>102</v>
      </c>
      <c r="F506" s="15" t="str">
        <f aca="false">IFERROR(__xludf.dummyfunction("XLOOKUP(AJ506,IMPORTRANGE(""1XaInW9DU9nz21V0tYIfzFQ0He9kVQ_JF2mCXgZ3hqFA"",""REKAP ALL 2026 - Andika!G:G""),IMPORTRANGE(""1XaInW9DU9nz21V0tYIfzFQ0He9kVQ_JF2mCXgZ3hqFA"",""REKAP ALL 2026 - Andika!F:F""),"""",0)"),"21068421904")</f>
        <v>21068421904</v>
      </c>
      <c r="G506" s="13" t="s">
        <v>2273</v>
      </c>
      <c r="H506" s="13" t="s">
        <v>35</v>
      </c>
      <c r="I506" s="13" t="str">
        <f aca="false">IF(C506=J506,"NEW KONTRAK","RE-KONTRAK")</f>
        <v>RE-KONTRAK</v>
      </c>
      <c r="J506" s="16" t="n">
        <f aca="false" t="array" ref="J506:J506">IFERROR(INDEX(AC506:AE506,IF(COUNTA(AC506:AE506)=0,"",MAX((AC506:AE506&lt;&gt;"")*(COLUMN(AC506:AE506)-(COLUMN(AC506)))))-1),"")</f>
        <v>45672</v>
      </c>
      <c r="K506" s="16" t="n">
        <f aca="false" t="array" ref="K506:K506">IFERROR(INDEX(AC506:AE506,IF(COUNTA(AC506:AE506)=0,"",MAX((AC506:AE506&lt;&gt;"")*(COLUMN(AC506:AE506)-(COLUMN(AC506)-1))))-1),"")</f>
        <v>46036</v>
      </c>
      <c r="L506" s="17" t="str">
        <f aca="false" t="array" ref="L506:L506">IFERROR(INDEX(AC506:AE506,IF(COUNTA(AC506:AE506)=0,"",MAX((AC506:AE506&lt;&gt;"")*(COLUMN(AC506:AE506)-(COLUMN(AC506)-2))))-1),"")</f>
        <v>ARCHIVED</v>
      </c>
      <c r="M506" s="13" t="n">
        <f aca="true">K506-TODAY()</f>
        <v>-288</v>
      </c>
      <c r="N506" s="18" t="s">
        <v>105</v>
      </c>
      <c r="O506" s="13" t="s">
        <v>106</v>
      </c>
      <c r="P506" s="19" t="n">
        <v>132300</v>
      </c>
      <c r="Q506" s="20" t="s">
        <v>2274</v>
      </c>
      <c r="R506" s="13" t="s">
        <v>255</v>
      </c>
      <c r="S506" s="25" t="n">
        <v>36727</v>
      </c>
      <c r="T506" s="13" t="s">
        <v>108</v>
      </c>
      <c r="U506" s="13" t="s">
        <v>2275</v>
      </c>
      <c r="V506" s="13" t="s">
        <v>42</v>
      </c>
      <c r="W506" s="13" t="s">
        <v>43</v>
      </c>
      <c r="X506" s="21" t="n">
        <v>85536919996</v>
      </c>
      <c r="Y506" s="22" t="str">
        <f aca="false">O506</f>
        <v>Produksi - Helper</v>
      </c>
      <c r="Z506" s="13" t="str">
        <f aca="false">IFERROR(__xludf.dummyfunction("if(BJ506="""","""",GOOGLETRANSLATE(BJ506,""auto"",""en""))"),"Production - Helper")</f>
        <v>Production - Helper</v>
      </c>
      <c r="AA506" s="23" t="str">
        <f aca="false">IF(C506="","", CHOOSE(MONTH(C506),"January","February","March","April","May","June","July","August","September","October","November","December")&amp;" "&amp;DAY(C506)&amp;MID("thstndrdth",MIN(9,2*RIGHT(DAY(C506))*(MOD(DAY(C506)-11,100)&gt;2)+1),2)&amp;","&amp;TEXT(C506," yyyy"))</f>
        <v>August 10th,2021</v>
      </c>
      <c r="AB506" s="15" t="str">
        <f aca="true">IF(S506="","",DATEDIF(S506,TODAY(),"Y")&amp;" Tahun, "&amp;DATEDIF(S506,TODAY(),"YM")&amp;" Bulan, "&amp;DATEDIF(S506,TODAY(),"MD")&amp;" Hari")</f>
        <v>26 Tahun, 3 Bulan, 9 Hari</v>
      </c>
      <c r="AC506" s="18" t="n">
        <v>45672</v>
      </c>
      <c r="AD506" s="18" t="n">
        <v>46036</v>
      </c>
      <c r="AE506" s="18" t="s">
        <v>44</v>
      </c>
    </row>
    <row r="507" customFormat="false" ht="15.75" hidden="false" customHeight="true" outlineLevel="0" collapsed="false">
      <c r="A507" s="12" t="n">
        <v>2657</v>
      </c>
      <c r="B507" s="13" t="s">
        <v>2276</v>
      </c>
      <c r="C507" s="14" t="n">
        <v>44418</v>
      </c>
      <c r="D507" s="13" t="s">
        <v>101</v>
      </c>
      <c r="E507" s="15" t="s">
        <v>102</v>
      </c>
      <c r="F507" s="15" t="str">
        <f aca="false">IFERROR(__xludf.dummyfunction("XLOOKUP(AJ507,IMPORTRANGE(""1XaInW9DU9nz21V0tYIfzFQ0He9kVQ_JF2mCXgZ3hqFA"",""REKAP ALL 2026 - Andika!G:G""),IMPORTRANGE(""1XaInW9DU9nz21V0tYIfzFQ0He9kVQ_JF2mCXgZ3hqFA"",""REKAP ALL 2026 - Andika!F:F""),"""",0)"),"21068421995")</f>
        <v>21068421995</v>
      </c>
      <c r="G507" s="13" t="s">
        <v>2277</v>
      </c>
      <c r="H507" s="13" t="s">
        <v>35</v>
      </c>
      <c r="I507" s="13" t="str">
        <f aca="false">IF(C507=J507,"NEW KONTRAK","RE-KONTRAK")</f>
        <v>RE-KONTRAK</v>
      </c>
      <c r="J507" s="16" t="n">
        <f aca="false" t="array" ref="J507:J507">IFERROR(INDEX(AC507:AE507,IF(COUNTA(AC507:AE507)=0,"",MAX((AC507:AE507&lt;&gt;"")*(COLUMN(AC507:AE507)-(COLUMN(AC507)))))-1),"")</f>
        <v>45672</v>
      </c>
      <c r="K507" s="16" t="n">
        <f aca="false" t="array" ref="K507:K507">IFERROR(INDEX(AC507:AE507,IF(COUNTA(AC507:AE507)=0,"",MAX((AC507:AE507&lt;&gt;"")*(COLUMN(AC507:AE507)-(COLUMN(AC507)-1))))-1),"")</f>
        <v>46036</v>
      </c>
      <c r="L507" s="17" t="str">
        <f aca="false" t="array" ref="L507:L507">IFERROR(INDEX(AC507:AE507,IF(COUNTA(AC507:AE507)=0,"",MAX((AC507:AE507&lt;&gt;"")*(COLUMN(AC507:AE507)-(COLUMN(AC507)-2))))-1),"")</f>
        <v>ARCHIVED</v>
      </c>
      <c r="M507" s="13" t="n">
        <f aca="true">K507-TODAY()</f>
        <v>-288</v>
      </c>
      <c r="N507" s="18" t="s">
        <v>105</v>
      </c>
      <c r="O507" s="13" t="s">
        <v>106</v>
      </c>
      <c r="P507" s="19" t="n">
        <v>132300</v>
      </c>
      <c r="Q507" s="20" t="s">
        <v>2278</v>
      </c>
      <c r="R507" s="13" t="s">
        <v>52</v>
      </c>
      <c r="S507" s="25" t="n">
        <v>37595</v>
      </c>
      <c r="T507" s="13" t="s">
        <v>108</v>
      </c>
      <c r="U507" s="13" t="s">
        <v>2279</v>
      </c>
      <c r="V507" s="13" t="s">
        <v>42</v>
      </c>
      <c r="W507" s="13" t="s">
        <v>43</v>
      </c>
      <c r="X507" s="21" t="n">
        <v>81333511505</v>
      </c>
      <c r="Y507" s="22" t="str">
        <f aca="false">O507</f>
        <v>Produksi - Helper</v>
      </c>
      <c r="Z507" s="13" t="str">
        <f aca="false">IFERROR(__xludf.dummyfunction("if(BJ507="""","""",GOOGLETRANSLATE(BJ507,""auto"",""en""))"),"Production - Helper")</f>
        <v>Production - Helper</v>
      </c>
      <c r="AA507" s="23" t="str">
        <f aca="false">IF(C507="","", CHOOSE(MONTH(C507),"January","February","March","April","May","June","July","August","September","October","November","December")&amp;" "&amp;DAY(C507)&amp;MID("thstndrdth",MIN(9,2*RIGHT(DAY(C507))*(MOD(DAY(C507)-11,100)&gt;2)+1),2)&amp;","&amp;TEXT(C507," yyyy"))</f>
        <v>August 10th,2021</v>
      </c>
      <c r="AB507" s="15" t="str">
        <f aca="true">IF(S507="","",DATEDIF(S507,TODAY(),"Y")&amp;" Tahun, "&amp;DATEDIF(S507,TODAY(),"YM")&amp;" Bulan, "&amp;DATEDIF(S507,TODAY(),"MD")&amp;" Hari")</f>
        <v>23 Tahun, 10 Bulan, 24 Hari</v>
      </c>
      <c r="AC507" s="18" t="n">
        <v>45672</v>
      </c>
      <c r="AD507" s="18" t="n">
        <v>46036</v>
      </c>
      <c r="AE507" s="18" t="s">
        <v>44</v>
      </c>
    </row>
    <row r="508" customFormat="false" ht="15.75" hidden="false" customHeight="true" outlineLevel="0" collapsed="false">
      <c r="A508" s="12" t="n">
        <v>2659</v>
      </c>
      <c r="B508" s="13" t="s">
        <v>2280</v>
      </c>
      <c r="C508" s="14" t="n">
        <v>44418</v>
      </c>
      <c r="D508" s="13" t="s">
        <v>101</v>
      </c>
      <c r="E508" s="15" t="s">
        <v>102</v>
      </c>
      <c r="F508" s="15" t="str">
        <f aca="false">IFERROR(__xludf.dummyfunction("XLOOKUP(AJ508,IMPORTRANGE(""1XaInW9DU9nz21V0tYIfzFQ0He9kVQ_JF2mCXgZ3hqFA"",""REKAP ALL 2026 - Andika!G:G""),IMPORTRANGE(""1XaInW9DU9nz21V0tYIfzFQ0He9kVQ_JF2mCXgZ3hqFA"",""REKAP ALL 2026 - Andika!F:F""),"""",0)"),"21068419122")</f>
        <v>21068419122</v>
      </c>
      <c r="G508" s="13" t="s">
        <v>2281</v>
      </c>
      <c r="H508" s="13" t="s">
        <v>35</v>
      </c>
      <c r="I508" s="13" t="str">
        <f aca="false">IF(C508=J508,"NEW KONTRAK","RE-KONTRAK")</f>
        <v>RE-KONTRAK</v>
      </c>
      <c r="J508" s="16" t="n">
        <f aca="false" t="array" ref="J508:J508">IFERROR(INDEX(AC508:AE508,IF(COUNTA(AC508:AE508)=0,"",MAX((AC508:AE508&lt;&gt;"")*(COLUMN(AC508:AE508)-(COLUMN(AC508)))))-1),"")</f>
        <v>45672</v>
      </c>
      <c r="K508" s="16" t="n">
        <f aca="false" t="array" ref="K508:K508">IFERROR(INDEX(AC508:AE508,IF(COUNTA(AC508:AE508)=0,"",MAX((AC508:AE508&lt;&gt;"")*(COLUMN(AC508:AE508)-(COLUMN(AC508)-1))))-1),"")</f>
        <v>46036</v>
      </c>
      <c r="L508" s="17" t="str">
        <f aca="false" t="array" ref="L508:L508">IFERROR(INDEX(AC508:AE508,IF(COUNTA(AC508:AE508)=0,"",MAX((AC508:AE508&lt;&gt;"")*(COLUMN(AC508:AE508)-(COLUMN(AC508)-2))))-1),"")</f>
        <v>ARCHIVED</v>
      </c>
      <c r="M508" s="13" t="n">
        <f aca="true">K508-TODAY()</f>
        <v>-288</v>
      </c>
      <c r="N508" s="18" t="s">
        <v>105</v>
      </c>
      <c r="O508" s="13" t="s">
        <v>106</v>
      </c>
      <c r="P508" s="19" t="n">
        <v>132300</v>
      </c>
      <c r="Q508" s="20" t="s">
        <v>2282</v>
      </c>
      <c r="R508" s="13" t="s">
        <v>39</v>
      </c>
      <c r="S508" s="25" t="n">
        <v>36484</v>
      </c>
      <c r="T508" s="13" t="s">
        <v>108</v>
      </c>
      <c r="U508" s="13" t="s">
        <v>2283</v>
      </c>
      <c r="V508" s="13" t="s">
        <v>42</v>
      </c>
      <c r="W508" s="13" t="s">
        <v>43</v>
      </c>
      <c r="X508" s="21" t="n">
        <v>881026757362</v>
      </c>
      <c r="Y508" s="22" t="str">
        <f aca="false">O508</f>
        <v>Produksi - Helper</v>
      </c>
      <c r="Z508" s="13" t="str">
        <f aca="false">IFERROR(__xludf.dummyfunction("if(BJ508="""","""",GOOGLETRANSLATE(BJ508,""auto"",""en""))"),"Production - Helper")</f>
        <v>Production - Helper</v>
      </c>
      <c r="AA508" s="23" t="str">
        <f aca="false">IF(C508="","", CHOOSE(MONTH(C508),"January","February","March","April","May","June","July","August","September","October","November","December")&amp;" "&amp;DAY(C508)&amp;MID("thstndrdth",MIN(9,2*RIGHT(DAY(C508))*(MOD(DAY(C508)-11,100)&gt;2)+1),2)&amp;","&amp;TEXT(C508," yyyy"))</f>
        <v>August 10th,2021</v>
      </c>
      <c r="AB508" s="15" t="str">
        <f aca="true">IF(S508="","",DATEDIF(S508,TODAY(),"Y")&amp;" Tahun, "&amp;DATEDIF(S508,TODAY(),"YM")&amp;" Bulan, "&amp;DATEDIF(S508,TODAY(),"MD")&amp;" Hari")</f>
        <v>26 Tahun, 11 Bulan, 9 Hari</v>
      </c>
      <c r="AC508" s="18" t="n">
        <v>45672</v>
      </c>
      <c r="AD508" s="18" t="n">
        <v>46036</v>
      </c>
      <c r="AE508" s="18" t="s">
        <v>44</v>
      </c>
    </row>
    <row r="509" customFormat="false" ht="15.75" hidden="false" customHeight="true" outlineLevel="0" collapsed="false">
      <c r="A509" s="12" t="n">
        <v>3137</v>
      </c>
      <c r="B509" s="13" t="s">
        <v>2284</v>
      </c>
      <c r="C509" s="14" t="n">
        <v>44427</v>
      </c>
      <c r="D509" s="13" t="s">
        <v>101</v>
      </c>
      <c r="E509" s="15" t="s">
        <v>47</v>
      </c>
      <c r="F509" s="15" t="str">
        <f aca="false">IFERROR(__xludf.dummyfunction("XLOOKUP(AJ509,IMPORTRANGE(""1XaInW9DU9nz21V0tYIfzFQ0He9kVQ_JF2mCXgZ3hqFA"",""REKAP ALL 2026 - Andika!G:G""),IMPORTRANGE(""1XaInW9DU9nz21V0tYIfzFQ0He9kVQ_JF2mCXgZ3hqFA"",""REKAP ALL 2026 - Andika!F:F""),"""",0)"),"21082691946")</f>
        <v>21082691946</v>
      </c>
      <c r="G509" s="13" t="s">
        <v>2285</v>
      </c>
      <c r="H509" s="13" t="s">
        <v>35</v>
      </c>
      <c r="I509" s="13" t="str">
        <f aca="false">IF(C509=J509,"NEW KONTRAK","RE-KONTRAK")</f>
        <v>RE-KONTRAK</v>
      </c>
      <c r="J509" s="16" t="n">
        <f aca="false" t="array" ref="J509:J509">IFERROR(INDEX(AC509:AE509,IF(COUNTA(AC509:AE509)=0,"",MAX((AC509:AE509&lt;&gt;"")*(COLUMN(AC509:AE509)-(COLUMN(AC509)))))-1),"")</f>
        <v>45672</v>
      </c>
      <c r="K509" s="16" t="n">
        <f aca="false" t="array" ref="K509:K509">IFERROR(INDEX(AC509:AE509,IF(COUNTA(AC509:AE509)=0,"",MAX((AC509:AE509&lt;&gt;"")*(COLUMN(AC509:AE509)-(COLUMN(AC509)-1))))-1),"")</f>
        <v>46036</v>
      </c>
      <c r="L509" s="17" t="str">
        <f aca="false" t="array" ref="L509:L509">IFERROR(INDEX(AC509:AE509,IF(COUNTA(AC509:AE509)=0,"",MAX((AC509:AE509&lt;&gt;"")*(COLUMN(AC509:AE509)-(COLUMN(AC509)-2))))-1),"")</f>
        <v>ARCHIVED</v>
      </c>
      <c r="M509" s="13" t="n">
        <f aca="true">K509-TODAY()</f>
        <v>-288</v>
      </c>
      <c r="N509" s="18" t="s">
        <v>105</v>
      </c>
      <c r="O509" s="13" t="s">
        <v>106</v>
      </c>
      <c r="P509" s="31" t="n">
        <v>138915</v>
      </c>
      <c r="Q509" s="20" t="s">
        <v>2286</v>
      </c>
      <c r="R509" s="13" t="s">
        <v>39</v>
      </c>
      <c r="S509" s="25" t="n">
        <v>37122</v>
      </c>
      <c r="T509" s="13" t="s">
        <v>108</v>
      </c>
      <c r="U509" s="13" t="s">
        <v>2287</v>
      </c>
      <c r="V509" s="13" t="s">
        <v>42</v>
      </c>
      <c r="W509" s="13" t="s">
        <v>43</v>
      </c>
      <c r="X509" s="21" t="n">
        <v>85649512710</v>
      </c>
      <c r="Y509" s="22" t="str">
        <f aca="false">O509</f>
        <v>Produksi - Helper</v>
      </c>
      <c r="Z509" s="13" t="str">
        <f aca="false">IFERROR(__xludf.dummyfunction("if(BJ509="""","""",GOOGLETRANSLATE(BJ509,""auto"",""en""))"),"Production - Helper")</f>
        <v>Production - Helper</v>
      </c>
      <c r="AA509" s="23" t="str">
        <f aca="false">IF(C509="","", CHOOSE(MONTH(C509),"January","February","March","April","May","June","July","August","September","October","November","December")&amp;" "&amp;DAY(C509)&amp;MID("thstndrdth",MIN(9,2*RIGHT(DAY(C509))*(MOD(DAY(C509)-11,100)&gt;2)+1),2)&amp;","&amp;TEXT(C509," yyyy"))</f>
        <v>August 19th,2021</v>
      </c>
      <c r="AB509" s="15" t="str">
        <f aca="true">IF(S509="","",DATEDIF(S509,TODAY(),"Y")&amp;" Tahun, "&amp;DATEDIF(S509,TODAY(),"YM")&amp;" Bulan, "&amp;DATEDIF(S509,TODAY(),"MD")&amp;" Hari")</f>
        <v>25 Tahun, 2 Bulan, 10 Hari</v>
      </c>
      <c r="AC509" s="18" t="n">
        <v>45672</v>
      </c>
      <c r="AD509" s="18" t="n">
        <v>46036</v>
      </c>
      <c r="AE509" s="18" t="s">
        <v>44</v>
      </c>
    </row>
    <row r="510" customFormat="false" ht="15.75" hidden="false" customHeight="true" outlineLevel="0" collapsed="false">
      <c r="A510" s="12" t="n">
        <v>2666</v>
      </c>
      <c r="B510" s="13" t="s">
        <v>2288</v>
      </c>
      <c r="C510" s="14" t="n">
        <v>44421</v>
      </c>
      <c r="D510" s="13" t="s">
        <v>101</v>
      </c>
      <c r="E510" s="15" t="s">
        <v>33</v>
      </c>
      <c r="F510" s="24" t="s">
        <v>2289</v>
      </c>
      <c r="G510" s="13" t="s">
        <v>2290</v>
      </c>
      <c r="H510" s="13" t="s">
        <v>35</v>
      </c>
      <c r="I510" s="13" t="str">
        <f aca="false">IF(C510=J510,"NEW KONTRAK","RE-KONTRAK")</f>
        <v>RE-KONTRAK</v>
      </c>
      <c r="J510" s="16" t="n">
        <f aca="false" t="array" ref="J510:J510">IFERROR(INDEX(AC510:AE510,IF(COUNTA(AC510:AE510)=0,"",MAX((AC510:AE510&lt;&gt;"")*(COLUMN(AC510:AE510)-(COLUMN(AC510)))))-1),"")</f>
        <v>45672</v>
      </c>
      <c r="K510" s="16" t="n">
        <f aca="false" t="array" ref="K510:K510">IFERROR(INDEX(AC510:AE510,IF(COUNTA(AC510:AE510)=0,"",MAX((AC510:AE510&lt;&gt;"")*(COLUMN(AC510:AE510)-(COLUMN(AC510)-1))))-1),"")</f>
        <v>46036</v>
      </c>
      <c r="L510" s="17" t="str">
        <f aca="false" t="array" ref="L510:L510">IFERROR(INDEX(AC510:AE510,IF(COUNTA(AC510:AE510)=0,"",MAX((AC510:AE510&lt;&gt;"")*(COLUMN(AC510:AE510)-(COLUMN(AC510)-2))))-1),"")</f>
        <v>ARCHIVED</v>
      </c>
      <c r="M510" s="13" t="n">
        <f aca="true">K510-TODAY()</f>
        <v>-288</v>
      </c>
      <c r="N510" s="18" t="s">
        <v>105</v>
      </c>
      <c r="O510" s="13" t="s">
        <v>58</v>
      </c>
      <c r="P510" s="19" t="n">
        <v>126000</v>
      </c>
      <c r="Q510" s="20" t="s">
        <v>2291</v>
      </c>
      <c r="R510" s="13" t="s">
        <v>52</v>
      </c>
      <c r="S510" s="25" t="n">
        <v>35773</v>
      </c>
      <c r="T510" s="13" t="s">
        <v>40</v>
      </c>
      <c r="U510" s="13" t="s">
        <v>2292</v>
      </c>
      <c r="V510" s="28" t="s">
        <v>42</v>
      </c>
      <c r="W510" s="13" t="s">
        <v>43</v>
      </c>
      <c r="X510" s="21" t="n">
        <v>85606215372</v>
      </c>
      <c r="Y510" s="22" t="str">
        <f aca="false">O510</f>
        <v>Produksi</v>
      </c>
      <c r="Z510" s="13" t="str">
        <f aca="false">IFERROR(__xludf.dummyfunction("if(BJ510="""","""",GOOGLETRANSLATE(BJ510,""auto"",""en""))"),"Production")</f>
        <v>Production</v>
      </c>
      <c r="AA510" s="23" t="str">
        <f aca="false">IF(C510="","", CHOOSE(MONTH(C510),"January","February","March","April","May","June","July","August","September","October","November","December")&amp;" "&amp;DAY(C510)&amp;MID("thstndrdth",MIN(9,2*RIGHT(DAY(C510))*(MOD(DAY(C510)-11,100)&gt;2)+1),2)&amp;","&amp;TEXT(C510," yyyy"))</f>
        <v>August 13th,2021</v>
      </c>
      <c r="AB510" s="15" t="str">
        <f aca="true">IF(S510="","",DATEDIF(S510,TODAY(),"Y")&amp;" Tahun, "&amp;DATEDIF(S510,TODAY(),"YM")&amp;" Bulan, "&amp;DATEDIF(S510,TODAY(),"MD")&amp;" Hari")</f>
        <v>28 Tahun, 10 Bulan, 20 Hari</v>
      </c>
      <c r="AC510" s="18" t="n">
        <v>45672</v>
      </c>
      <c r="AD510" s="18" t="n">
        <v>46036</v>
      </c>
      <c r="AE510" s="18" t="s">
        <v>44</v>
      </c>
    </row>
    <row r="511" customFormat="false" ht="15.75" hidden="false" customHeight="true" outlineLevel="0" collapsed="false">
      <c r="A511" s="12" t="n">
        <v>2679</v>
      </c>
      <c r="B511" s="13" t="s">
        <v>2293</v>
      </c>
      <c r="C511" s="14" t="n">
        <v>44013</v>
      </c>
      <c r="D511" s="13" t="s">
        <v>2294</v>
      </c>
      <c r="E511" s="15" t="s">
        <v>47</v>
      </c>
      <c r="F511" s="15" t="str">
        <f aca="false">IFERROR(__xludf.dummyfunction("XLOOKUP(AJ511,IMPORTRANGE(""1XaInW9DU9nz21V0tYIfzFQ0He9kVQ_JF2mCXgZ3hqFA"",""REKAP ALL 2026 - Andika!G:G""),IMPORTRANGE(""1XaInW9DU9nz21V0tYIfzFQ0He9kVQ_JF2mCXgZ3hqFA"",""REKAP ALL 2026 - Andika!F:F""),"""",0)"),"20065101360")</f>
        <v>20065101360</v>
      </c>
      <c r="G511" s="13" t="s">
        <v>2295</v>
      </c>
      <c r="H511" s="13" t="s">
        <v>2296</v>
      </c>
      <c r="I511" s="13" t="str">
        <f aca="false">IF(C511=J511,"NEW KONTRAK","RE-KONTRAK")</f>
        <v>RE-KONTRAK</v>
      </c>
      <c r="J511" s="16" t="n">
        <f aca="false" t="array" ref="J511:J511">IFERROR(INDEX(AC511:AE511,IF(COUNTA(AC511:AE511)=0,"",MAX((AC511:AE511&lt;&gt;"")*(COLUMN(AC511:AE511)-(COLUMN(AC511)))))-1),"")</f>
        <v>45844</v>
      </c>
      <c r="K511" s="16" t="n">
        <f aca="false" t="array" ref="K511:K511">IFERROR(INDEX(AC511:AE511,IF(COUNTA(AC511:AE511)=0,"",MAX((AC511:AE511&lt;&gt;"")*(COLUMN(AC511:AE511)-(COLUMN(AC511)-1))))-1),"")</f>
        <v>45935</v>
      </c>
      <c r="L511" s="17" t="str">
        <f aca="false" t="array" ref="L511:L511">IFERROR(INDEX(AC511:AE511,IF(COUNTA(AC511:AE511)=0,"",MAX((AC511:AE511&lt;&gt;"")*(COLUMN(AC511:AE511)-(COLUMN(AC511)-2))))-1),"")</f>
        <v>KEMBALI</v>
      </c>
      <c r="M511" s="13" t="n">
        <f aca="true">K511-TODAY()</f>
        <v>-389</v>
      </c>
      <c r="N511" s="18" t="s">
        <v>615</v>
      </c>
      <c r="O511" s="13" t="s">
        <v>2297</v>
      </c>
      <c r="P511" s="19" t="n">
        <v>165635</v>
      </c>
      <c r="Q511" s="20" t="s">
        <v>2298</v>
      </c>
      <c r="R511" s="13" t="s">
        <v>232</v>
      </c>
      <c r="S511" s="14" t="n">
        <v>30612</v>
      </c>
      <c r="T511" s="13" t="s">
        <v>40</v>
      </c>
      <c r="U511" s="13" t="s">
        <v>2299</v>
      </c>
      <c r="V511" s="13" t="s">
        <v>42</v>
      </c>
      <c r="W511" s="13" t="s">
        <v>54</v>
      </c>
      <c r="X511" s="21" t="n">
        <v>81334694853</v>
      </c>
      <c r="Y511" s="22" t="str">
        <f aca="false">O511</f>
        <v>Borongan muat</v>
      </c>
      <c r="Z511" s="13" t="str">
        <f aca="false">IFERROR(__xludf.dummyfunction("if(BJ511="""","""",GOOGLETRANSLATE(BJ511,""auto"",""en""))"),"Bulk loading")</f>
        <v>Bulk loading</v>
      </c>
      <c r="AA511" s="23" t="str">
        <f aca="false">IF(C511="","", CHOOSE(MONTH(C511),"January","February","March","April","May","June","July","August","September","October","November","December")&amp;" "&amp;DAY(C511)&amp;MID("thstndrdth",MIN(9,2*RIGHT(DAY(C511))*(MOD(DAY(C511)-11,100)&gt;2)+1),2)&amp;","&amp;TEXT(C511," yyyy"))</f>
        <v>July 1st,2020</v>
      </c>
      <c r="AB511" s="15" t="str">
        <f aca="true">IF(S511="","",DATEDIF(S511,TODAY(),"Y")&amp;" Tahun, "&amp;DATEDIF(S511,TODAY(),"YM")&amp;" Bulan, "&amp;DATEDIF(S511,TODAY(),"MD")&amp;" Hari")</f>
        <v>43 Tahun, 0 Bulan, 6 Hari</v>
      </c>
      <c r="AC511" s="18" t="n">
        <v>45844</v>
      </c>
      <c r="AD511" s="18" t="n">
        <v>45935</v>
      </c>
      <c r="AE511" s="13" t="s">
        <v>397</v>
      </c>
    </row>
    <row r="512" customFormat="false" ht="15.75" hidden="false" customHeight="true" outlineLevel="0" collapsed="false">
      <c r="A512" s="12" t="n">
        <v>2680</v>
      </c>
      <c r="B512" s="13" t="s">
        <v>2300</v>
      </c>
      <c r="C512" s="14" t="n">
        <v>44013</v>
      </c>
      <c r="D512" s="13" t="s">
        <v>2294</v>
      </c>
      <c r="E512" s="15" t="s">
        <v>47</v>
      </c>
      <c r="F512" s="15" t="str">
        <f aca="false">IFERROR(__xludf.dummyfunction("XLOOKUP(AJ512,IMPORTRANGE(""1XaInW9DU9nz21V0tYIfzFQ0He9kVQ_JF2mCXgZ3hqFA"",""REKAP ALL 2026 - Andika!G:G""),IMPORTRANGE(""1XaInW9DU9nz21V0tYIfzFQ0He9kVQ_JF2mCXgZ3hqFA"",""REKAP ALL 2026 - Andika!F:F""),"""",0)"),"20065099291")</f>
        <v>20065099291</v>
      </c>
      <c r="G512" s="13" t="s">
        <v>2301</v>
      </c>
      <c r="H512" s="13" t="s">
        <v>2296</v>
      </c>
      <c r="I512" s="13" t="str">
        <f aca="false">IF(C512=J512,"NEW KONTRAK","RE-KONTRAK")</f>
        <v>RE-KONTRAK</v>
      </c>
      <c r="J512" s="16" t="n">
        <f aca="false" t="array" ref="J512:J512">IFERROR(INDEX(AC512:AE512,IF(COUNTA(AC512:AE512)=0,"",MAX((AC512:AE512&lt;&gt;"")*(COLUMN(AC512:AE512)-(COLUMN(AC512)))))-1),"")</f>
        <v>45844</v>
      </c>
      <c r="K512" s="16" t="n">
        <f aca="false" t="array" ref="K512:K512">IFERROR(INDEX(AC512:AE512,IF(COUNTA(AC512:AE512)=0,"",MAX((AC512:AE512&lt;&gt;"")*(COLUMN(AC512:AE512)-(COLUMN(AC512)-1))))-1),"")</f>
        <v>45935</v>
      </c>
      <c r="L512" s="17" t="str">
        <f aca="false" t="array" ref="L512:L512">IFERROR(INDEX(AC512:AE512,IF(COUNTA(AC512:AE512)=0,"",MAX((AC512:AE512&lt;&gt;"")*(COLUMN(AC512:AE512)-(COLUMN(AC512)-2))))-1),"")</f>
        <v>KEMBALI</v>
      </c>
      <c r="M512" s="13" t="n">
        <f aca="true">K512-TODAY()</f>
        <v>-389</v>
      </c>
      <c r="N512" s="18" t="s">
        <v>615</v>
      </c>
      <c r="O512" s="13" t="s">
        <v>2297</v>
      </c>
      <c r="P512" s="19" t="n">
        <v>165635</v>
      </c>
      <c r="Q512" s="20" t="s">
        <v>2302</v>
      </c>
      <c r="R512" s="13" t="s">
        <v>232</v>
      </c>
      <c r="S512" s="14" t="n">
        <v>26305</v>
      </c>
      <c r="T512" s="13" t="s">
        <v>40</v>
      </c>
      <c r="U512" s="13" t="s">
        <v>2303</v>
      </c>
      <c r="V512" s="13" t="s">
        <v>42</v>
      </c>
      <c r="W512" s="13" t="s">
        <v>54</v>
      </c>
      <c r="X512" s="21" t="n">
        <v>82323986409</v>
      </c>
      <c r="Y512" s="22" t="str">
        <f aca="false">O512</f>
        <v>Borongan muat</v>
      </c>
      <c r="Z512" s="13" t="str">
        <f aca="false">IFERROR(__xludf.dummyfunction("if(BJ512="""","""",GOOGLETRANSLATE(BJ512,""auto"",""en""))"),"Bulk loading")</f>
        <v>Bulk loading</v>
      </c>
      <c r="AA512" s="23" t="str">
        <f aca="false">IF(C512="","", CHOOSE(MONTH(C512),"January","February","March","April","May","June","July","August","September","October","November","December")&amp;" "&amp;DAY(C512)&amp;MID("thstndrdth",MIN(9,2*RIGHT(DAY(C512))*(MOD(DAY(C512)-11,100)&gt;2)+1),2)&amp;","&amp;TEXT(C512," yyyy"))</f>
        <v>July 1st,2020</v>
      </c>
      <c r="AB512" s="15" t="str">
        <f aca="true">IF(S512="","",DATEDIF(S512,TODAY(),"Y")&amp;" Tahun, "&amp;DATEDIF(S512,TODAY(),"YM")&amp;" Bulan, "&amp;DATEDIF(S512,TODAY(),"MD")&amp;" Hari")</f>
        <v>54 Tahun, 9 Bulan, 22 Hari</v>
      </c>
      <c r="AC512" s="18" t="n">
        <v>45844</v>
      </c>
      <c r="AD512" s="18" t="n">
        <v>45935</v>
      </c>
      <c r="AE512" s="13" t="s">
        <v>397</v>
      </c>
    </row>
    <row r="513" customFormat="false" ht="15.75" hidden="false" customHeight="true" outlineLevel="0" collapsed="false">
      <c r="A513" s="12" t="n">
        <v>2681</v>
      </c>
      <c r="B513" s="13" t="s">
        <v>2304</v>
      </c>
      <c r="C513" s="14" t="n">
        <v>44013</v>
      </c>
      <c r="D513" s="13" t="s">
        <v>2294</v>
      </c>
      <c r="E513" s="15" t="s">
        <v>47</v>
      </c>
      <c r="F513" s="15" t="str">
        <f aca="false">IFERROR(__xludf.dummyfunction("XLOOKUP(AJ513,IMPORTRANGE(""1XaInW9DU9nz21V0tYIfzFQ0He9kVQ_JF2mCXgZ3hqFA"",""REKAP ALL 2026 - Andika!G:G""),IMPORTRANGE(""1XaInW9DU9nz21V0tYIfzFQ0He9kVQ_JF2mCXgZ3hqFA"",""REKAP ALL 2026 - Andika!F:F""),"""",0)"),"20065099416")</f>
        <v>20065099416</v>
      </c>
      <c r="G513" s="13" t="s">
        <v>2305</v>
      </c>
      <c r="H513" s="13" t="s">
        <v>2296</v>
      </c>
      <c r="I513" s="13" t="str">
        <f aca="false">IF(C513=J513,"NEW KONTRAK","RE-KONTRAK")</f>
        <v>RE-KONTRAK</v>
      </c>
      <c r="J513" s="16" t="n">
        <f aca="false" t="array" ref="J513:J513">IFERROR(INDEX(AC513:AE513,IF(COUNTA(AC513:AE513)=0,"",MAX((AC513:AE513&lt;&gt;"")*(COLUMN(AC513:AE513)-(COLUMN(AC513)))))-1),"")</f>
        <v>45844</v>
      </c>
      <c r="K513" s="16" t="n">
        <f aca="false" t="array" ref="K513:K513">IFERROR(INDEX(AC513:AE513,IF(COUNTA(AC513:AE513)=0,"",MAX((AC513:AE513&lt;&gt;"")*(COLUMN(AC513:AE513)-(COLUMN(AC513)-1))))-1),"")</f>
        <v>45935</v>
      </c>
      <c r="L513" s="17" t="str">
        <f aca="false" t="array" ref="L513:L513">IFERROR(INDEX(AC513:AE513,IF(COUNTA(AC513:AE513)=0,"",MAX((AC513:AE513&lt;&gt;"")*(COLUMN(AC513:AE513)-(COLUMN(AC513)-2))))-1),"")</f>
        <v>KEMBALI</v>
      </c>
      <c r="M513" s="13" t="n">
        <f aca="true">K513-TODAY()</f>
        <v>-389</v>
      </c>
      <c r="N513" s="18" t="s">
        <v>615</v>
      </c>
      <c r="O513" s="13" t="s">
        <v>2297</v>
      </c>
      <c r="P513" s="19" t="n">
        <v>165635</v>
      </c>
      <c r="Q513" s="20" t="s">
        <v>2306</v>
      </c>
      <c r="R513" s="13" t="s">
        <v>232</v>
      </c>
      <c r="S513" s="14" t="n">
        <v>27903</v>
      </c>
      <c r="T513" s="13" t="s">
        <v>40</v>
      </c>
      <c r="U513" s="13" t="s">
        <v>2307</v>
      </c>
      <c r="V513" s="13" t="s">
        <v>42</v>
      </c>
      <c r="W513" s="13" t="s">
        <v>54</v>
      </c>
      <c r="X513" s="30" t="n">
        <v>81234131647</v>
      </c>
      <c r="Y513" s="22" t="str">
        <f aca="false">O513</f>
        <v>Borongan muat</v>
      </c>
      <c r="Z513" s="13" t="str">
        <f aca="false">IFERROR(__xludf.dummyfunction("if(BJ513="""","""",GOOGLETRANSLATE(BJ513,""auto"",""en""))"),"Bulk loading")</f>
        <v>Bulk loading</v>
      </c>
      <c r="AA513" s="23" t="str">
        <f aca="false">IF(C513="","", CHOOSE(MONTH(C513),"January","February","March","April","May","June","July","August","September","October","November","December")&amp;" "&amp;DAY(C513)&amp;MID("thstndrdth",MIN(9,2*RIGHT(DAY(C513))*(MOD(DAY(C513)-11,100)&gt;2)+1),2)&amp;","&amp;TEXT(C513," yyyy"))</f>
        <v>July 1st,2020</v>
      </c>
      <c r="AB513" s="15" t="str">
        <f aca="true">IF(S513="","",DATEDIF(S513,TODAY(),"Y")&amp;" Tahun, "&amp;DATEDIF(S513,TODAY(),"YM")&amp;" Bulan, "&amp;DATEDIF(S513,TODAY(),"MD")&amp;" Hari")</f>
        <v>50 Tahun, 5 Bulan, 6 Hari</v>
      </c>
      <c r="AC513" s="18" t="n">
        <v>45844</v>
      </c>
      <c r="AD513" s="18" t="n">
        <v>45935</v>
      </c>
      <c r="AE513" s="13" t="s">
        <v>397</v>
      </c>
    </row>
    <row r="514" customFormat="false" ht="15.75" hidden="false" customHeight="true" outlineLevel="0" collapsed="false">
      <c r="A514" s="12" t="n">
        <v>2682</v>
      </c>
      <c r="B514" s="13" t="s">
        <v>2308</v>
      </c>
      <c r="C514" s="14" t="n">
        <v>44013</v>
      </c>
      <c r="D514" s="13" t="s">
        <v>2294</v>
      </c>
      <c r="E514" s="15" t="s">
        <v>47</v>
      </c>
      <c r="F514" s="15" t="str">
        <f aca="false">IFERROR(__xludf.dummyfunction("XLOOKUP(AJ514,IMPORTRANGE(""1XaInW9DU9nz21V0tYIfzFQ0He9kVQ_JF2mCXgZ3hqFA"",""REKAP ALL 2026 - Andika!G:G""),IMPORTRANGE(""1XaInW9DU9nz21V0tYIfzFQ0He9kVQ_JF2mCXgZ3hqFA"",""REKAP ALL 2026 - Andika!F:F""),"""",0)"),"20065100768")</f>
        <v>20065100768</v>
      </c>
      <c r="G514" s="13" t="s">
        <v>2309</v>
      </c>
      <c r="H514" s="13" t="s">
        <v>2296</v>
      </c>
      <c r="I514" s="13" t="str">
        <f aca="false">IF(C514=J514,"NEW KONTRAK","RE-KONTRAK")</f>
        <v>RE-KONTRAK</v>
      </c>
      <c r="J514" s="16" t="n">
        <f aca="false" t="array" ref="J514:J514">IFERROR(INDEX(AC514:AE514,IF(COUNTA(AC514:AE514)=0,"",MAX((AC514:AE514&lt;&gt;"")*(COLUMN(AC514:AE514)-(COLUMN(AC514)))))-1),"")</f>
        <v>45844</v>
      </c>
      <c r="K514" s="16" t="n">
        <f aca="false" t="array" ref="K514:K514">IFERROR(INDEX(AC514:AE514,IF(COUNTA(AC514:AE514)=0,"",MAX((AC514:AE514&lt;&gt;"")*(COLUMN(AC514:AE514)-(COLUMN(AC514)-1))))-1),"")</f>
        <v>45935</v>
      </c>
      <c r="L514" s="17" t="str">
        <f aca="false" t="array" ref="L514:L514">IFERROR(INDEX(AC514:AE514,IF(COUNTA(AC514:AE514)=0,"",MAX((AC514:AE514&lt;&gt;"")*(COLUMN(AC514:AE514)-(COLUMN(AC514)-2))))-1),"")</f>
        <v>KEMBALI</v>
      </c>
      <c r="M514" s="13" t="n">
        <f aca="true">K514-TODAY()</f>
        <v>-389</v>
      </c>
      <c r="N514" s="18" t="s">
        <v>615</v>
      </c>
      <c r="O514" s="13" t="s">
        <v>2297</v>
      </c>
      <c r="P514" s="19" t="n">
        <v>165635</v>
      </c>
      <c r="Q514" s="20" t="s">
        <v>2310</v>
      </c>
      <c r="R514" s="13" t="s">
        <v>232</v>
      </c>
      <c r="S514" s="14" t="n">
        <v>27090</v>
      </c>
      <c r="T514" s="13" t="s">
        <v>40</v>
      </c>
      <c r="U514" s="13" t="s">
        <v>2311</v>
      </c>
      <c r="V514" s="13" t="s">
        <v>42</v>
      </c>
      <c r="W514" s="13" t="s">
        <v>54</v>
      </c>
      <c r="X514" s="30" t="n">
        <v>87825534192</v>
      </c>
      <c r="Y514" s="22" t="str">
        <f aca="false">O514</f>
        <v>Borongan muat</v>
      </c>
      <c r="Z514" s="13" t="str">
        <f aca="false">IFERROR(__xludf.dummyfunction("if(BJ514="""","""",GOOGLETRANSLATE(BJ514,""auto"",""en""))"),"Bulk loading")</f>
        <v>Bulk loading</v>
      </c>
      <c r="AA514" s="23" t="str">
        <f aca="false">IF(C514="","", CHOOSE(MONTH(C514),"January","February","March","April","May","June","July","August","September","October","November","December")&amp;" "&amp;DAY(C514)&amp;MID("thstndrdth",MIN(9,2*RIGHT(DAY(C514))*(MOD(DAY(C514)-11,100)&gt;2)+1),2)&amp;","&amp;TEXT(C514," yyyy"))</f>
        <v>July 1st,2020</v>
      </c>
      <c r="AB514" s="15" t="str">
        <f aca="true">IF(S514="","",DATEDIF(S514,TODAY(),"Y")&amp;" Tahun, "&amp;DATEDIF(S514,TODAY(),"YM")&amp;" Bulan, "&amp;DATEDIF(S514,TODAY(),"MD")&amp;" Hari")</f>
        <v>52 Tahun, 7 Bulan, 27 Hari</v>
      </c>
      <c r="AC514" s="18" t="n">
        <v>45844</v>
      </c>
      <c r="AD514" s="18" t="n">
        <v>45935</v>
      </c>
      <c r="AE514" s="13" t="s">
        <v>397</v>
      </c>
    </row>
    <row r="515" customFormat="false" ht="15.75" hidden="false" customHeight="true" outlineLevel="0" collapsed="false">
      <c r="A515" s="12" t="n">
        <v>2683</v>
      </c>
      <c r="B515" s="13" t="s">
        <v>2312</v>
      </c>
      <c r="C515" s="14" t="n">
        <v>44013</v>
      </c>
      <c r="D515" s="13" t="s">
        <v>2294</v>
      </c>
      <c r="E515" s="15" t="s">
        <v>47</v>
      </c>
      <c r="F515" s="15" t="str">
        <f aca="false">IFERROR(__xludf.dummyfunction("XLOOKUP(AJ515,IMPORTRANGE(""1XaInW9DU9nz21V0tYIfzFQ0He9kVQ_JF2mCXgZ3hqFA"",""REKAP ALL 2026 - Andika!G:G""),IMPORTRANGE(""1XaInW9DU9nz21V0tYIfzFQ0He9kVQ_JF2mCXgZ3hqFA"",""REKAP ALL 2026 - Andika!F:F""),"""",0)"),"20065099663")</f>
        <v>20065099663</v>
      </c>
      <c r="G515" s="13" t="s">
        <v>2313</v>
      </c>
      <c r="H515" s="13" t="s">
        <v>2296</v>
      </c>
      <c r="I515" s="13" t="str">
        <f aca="false">IF(C515=J515,"NEW KONTRAK","RE-KONTRAK")</f>
        <v>RE-KONTRAK</v>
      </c>
      <c r="J515" s="16" t="n">
        <f aca="false" t="array" ref="J515:J515">IFERROR(INDEX(AC515:AE515,IF(COUNTA(AC515:AE515)=0,"",MAX((AC515:AE515&lt;&gt;"")*(COLUMN(AC515:AE515)-(COLUMN(AC515)))))-1),"")</f>
        <v>45844</v>
      </c>
      <c r="K515" s="16" t="n">
        <f aca="false" t="array" ref="K515:K515">IFERROR(INDEX(AC515:AE515,IF(COUNTA(AC515:AE515)=0,"",MAX((AC515:AE515&lt;&gt;"")*(COLUMN(AC515:AE515)-(COLUMN(AC515)-1))))-1),"")</f>
        <v>45935</v>
      </c>
      <c r="L515" s="17" t="str">
        <f aca="false" t="array" ref="L515:L515">IFERROR(INDEX(AC515:AE515,IF(COUNTA(AC515:AE515)=0,"",MAX((AC515:AE515&lt;&gt;"")*(COLUMN(AC515:AE515)-(COLUMN(AC515)-2))))-1),"")</f>
        <v>KEMBALI</v>
      </c>
      <c r="M515" s="13" t="n">
        <f aca="true">K515-TODAY()</f>
        <v>-389</v>
      </c>
      <c r="N515" s="18" t="s">
        <v>615</v>
      </c>
      <c r="O515" s="13" t="s">
        <v>2297</v>
      </c>
      <c r="P515" s="19" t="n">
        <v>165635</v>
      </c>
      <c r="Q515" s="20" t="s">
        <v>2314</v>
      </c>
      <c r="R515" s="13" t="s">
        <v>232</v>
      </c>
      <c r="S515" s="14" t="n">
        <v>24747</v>
      </c>
      <c r="T515" s="13" t="s">
        <v>40</v>
      </c>
      <c r="U515" s="13" t="s">
        <v>2315</v>
      </c>
      <c r="V515" s="13" t="s">
        <v>42</v>
      </c>
      <c r="W515" s="13" t="s">
        <v>54</v>
      </c>
      <c r="X515" s="21" t="n">
        <v>85608635245</v>
      </c>
      <c r="Y515" s="22" t="str">
        <f aca="false">O515</f>
        <v>Borongan muat</v>
      </c>
      <c r="Z515" s="13" t="str">
        <f aca="false">IFERROR(__xludf.dummyfunction("if(BJ515="""","""",GOOGLETRANSLATE(BJ515,""auto"",""en""))"),"Bulk loading")</f>
        <v>Bulk loading</v>
      </c>
      <c r="AA515" s="23" t="str">
        <f aca="false">IF(C515="","", CHOOSE(MONTH(C515),"January","February","March","April","May","June","July","August","September","October","November","December")&amp;" "&amp;DAY(C515)&amp;MID("thstndrdth",MIN(9,2*RIGHT(DAY(C515))*(MOD(DAY(C515)-11,100)&gt;2)+1),2)&amp;","&amp;TEXT(C515," yyyy"))</f>
        <v>July 1st,2020</v>
      </c>
      <c r="AB515" s="15" t="str">
        <f aca="true">IF(S515="","",DATEDIF(S515,TODAY(),"Y")&amp;" Tahun, "&amp;DATEDIF(S515,TODAY(),"YM")&amp;" Bulan, "&amp;DATEDIF(S515,TODAY(),"MD")&amp;" Hari")</f>
        <v>59 Tahun, 0 Bulan, 27 Hari</v>
      </c>
      <c r="AC515" s="18" t="n">
        <v>45844</v>
      </c>
      <c r="AD515" s="18" t="n">
        <v>45935</v>
      </c>
      <c r="AE515" s="13" t="s">
        <v>397</v>
      </c>
    </row>
    <row r="516" customFormat="false" ht="15.75" hidden="false" customHeight="true" outlineLevel="0" collapsed="false">
      <c r="A516" s="12" t="n">
        <v>2684</v>
      </c>
      <c r="B516" s="13" t="s">
        <v>2316</v>
      </c>
      <c r="C516" s="14" t="n">
        <v>44013</v>
      </c>
      <c r="D516" s="13" t="s">
        <v>2294</v>
      </c>
      <c r="E516" s="15" t="s">
        <v>47</v>
      </c>
      <c r="F516" s="15" t="str">
        <f aca="false">IFERROR(__xludf.dummyfunction("XLOOKUP(AJ516,IMPORTRANGE(""1XaInW9DU9nz21V0tYIfzFQ0He9kVQ_JF2mCXgZ3hqFA"",""REKAP ALL 2026 - Andika!G:G""),IMPORTRANGE(""1XaInW9DU9nz21V0tYIfzFQ0He9kVQ_JF2mCXgZ3hqFA"",""REKAP ALL 2026 - Andika!F:F""),"""",0)"),"20065099796")</f>
        <v>20065099796</v>
      </c>
      <c r="G516" s="13" t="s">
        <v>2317</v>
      </c>
      <c r="H516" s="13" t="s">
        <v>2296</v>
      </c>
      <c r="I516" s="13" t="str">
        <f aca="false">IF(C516=J516,"NEW KONTRAK","RE-KONTRAK")</f>
        <v>RE-KONTRAK</v>
      </c>
      <c r="J516" s="16" t="n">
        <f aca="false" t="array" ref="J516:J516">IFERROR(INDEX(AC516:AE516,IF(COUNTA(AC516:AE516)=0,"",MAX((AC516:AE516&lt;&gt;"")*(COLUMN(AC516:AE516)-(COLUMN(AC516)))))-1),"")</f>
        <v>45844</v>
      </c>
      <c r="K516" s="16" t="n">
        <f aca="false" t="array" ref="K516:K516">IFERROR(INDEX(AC516:AE516,IF(COUNTA(AC516:AE516)=0,"",MAX((AC516:AE516&lt;&gt;"")*(COLUMN(AC516:AE516)-(COLUMN(AC516)-1))))-1),"")</f>
        <v>45935</v>
      </c>
      <c r="L516" s="17" t="str">
        <f aca="false" t="array" ref="L516:L516">IFERROR(INDEX(AC516:AE516,IF(COUNTA(AC516:AE516)=0,"",MAX((AC516:AE516&lt;&gt;"")*(COLUMN(AC516:AE516)-(COLUMN(AC516)-2))))-1),"")</f>
        <v>KEMBALI</v>
      </c>
      <c r="M516" s="13" t="n">
        <f aca="true">K516-TODAY()</f>
        <v>-389</v>
      </c>
      <c r="N516" s="18" t="s">
        <v>615</v>
      </c>
      <c r="O516" s="13" t="s">
        <v>2297</v>
      </c>
      <c r="P516" s="19" t="n">
        <v>165635</v>
      </c>
      <c r="Q516" s="20" t="s">
        <v>2318</v>
      </c>
      <c r="R516" s="13" t="s">
        <v>39</v>
      </c>
      <c r="S516" s="14" t="n">
        <v>28746</v>
      </c>
      <c r="T516" s="13" t="s">
        <v>40</v>
      </c>
      <c r="U516" s="13" t="s">
        <v>2319</v>
      </c>
      <c r="V516" s="13" t="s">
        <v>42</v>
      </c>
      <c r="W516" s="13" t="s">
        <v>54</v>
      </c>
      <c r="X516" s="21" t="n">
        <v>85745930654</v>
      </c>
      <c r="Y516" s="22" t="str">
        <f aca="false">O516</f>
        <v>Borongan muat</v>
      </c>
      <c r="Z516" s="13" t="str">
        <f aca="false">IFERROR(__xludf.dummyfunction("if(BJ516="""","""",GOOGLETRANSLATE(BJ516,""auto"",""en""))"),"Bulk loading")</f>
        <v>Bulk loading</v>
      </c>
      <c r="AA516" s="23" t="str">
        <f aca="false">IF(C516="","", CHOOSE(MONTH(C516),"January","February","March","April","May","June","July","August","September","October","November","December")&amp;" "&amp;DAY(C516)&amp;MID("thstndrdth",MIN(9,2*RIGHT(DAY(C516))*(MOD(DAY(C516)-11,100)&gt;2)+1),2)&amp;","&amp;TEXT(C516," yyyy"))</f>
        <v>July 1st,2020</v>
      </c>
      <c r="AB516" s="15" t="str">
        <f aca="true">IF(S516="","",DATEDIF(S516,TODAY(),"Y")&amp;" Tahun, "&amp;DATEDIF(S516,TODAY(),"YM")&amp;" Bulan, "&amp;DATEDIF(S516,TODAY(),"MD")&amp;" Hari")</f>
        <v>48 Tahun, 1 Bulan, 16 Hari</v>
      </c>
      <c r="AC516" s="18" t="n">
        <v>45844</v>
      </c>
      <c r="AD516" s="18" t="n">
        <v>45935</v>
      </c>
      <c r="AE516" s="13" t="s">
        <v>397</v>
      </c>
    </row>
    <row r="517" customFormat="false" ht="15.75" hidden="false" customHeight="true" outlineLevel="0" collapsed="false">
      <c r="A517" s="12" t="n">
        <v>2687</v>
      </c>
      <c r="B517" s="13" t="s">
        <v>2320</v>
      </c>
      <c r="C517" s="14" t="n">
        <v>44013</v>
      </c>
      <c r="D517" s="13" t="s">
        <v>2294</v>
      </c>
      <c r="E517" s="15" t="s">
        <v>47</v>
      </c>
      <c r="F517" s="15" t="str">
        <f aca="false">IFERROR(__xludf.dummyfunction("XLOOKUP(AJ517,IMPORTRANGE(""1XaInW9DU9nz21V0tYIfzFQ0He9kVQ_JF2mCXgZ3hqFA"",""REKAP ALL 2026 - Andika!G:G""),IMPORTRANGE(""1XaInW9DU9nz21V0tYIfzFQ0He9kVQ_JF2mCXgZ3hqFA"",""REKAP ALL 2026 - Andika!F:F""),"""",0)"),"20065101162")</f>
        <v>20065101162</v>
      </c>
      <c r="G517" s="13" t="s">
        <v>2321</v>
      </c>
      <c r="H517" s="13" t="s">
        <v>2296</v>
      </c>
      <c r="I517" s="13" t="str">
        <f aca="false">IF(C517=J517,"NEW KONTRAK","RE-KONTRAK")</f>
        <v>RE-KONTRAK</v>
      </c>
      <c r="J517" s="16" t="n">
        <f aca="false" t="array" ref="J517:J517">IFERROR(INDEX(AC517:AE517,IF(COUNTA(AC517:AE517)=0,"",MAX((AC517:AE517&lt;&gt;"")*(COLUMN(AC517:AE517)-(COLUMN(AC517)))))-1),"")</f>
        <v>45844</v>
      </c>
      <c r="K517" s="16" t="n">
        <f aca="false" t="array" ref="K517:K517">IFERROR(INDEX(AC517:AE517,IF(COUNTA(AC517:AE517)=0,"",MAX((AC517:AE517&lt;&gt;"")*(COLUMN(AC517:AE517)-(COLUMN(AC517)-1))))-1),"")</f>
        <v>45935</v>
      </c>
      <c r="L517" s="17" t="str">
        <f aca="false" t="array" ref="L517:L517">IFERROR(INDEX(AC517:AE517,IF(COUNTA(AC517:AE517)=0,"",MAX((AC517:AE517&lt;&gt;"")*(COLUMN(AC517:AE517)-(COLUMN(AC517)-2))))-1),"")</f>
        <v>KEMBALI</v>
      </c>
      <c r="M517" s="13" t="n">
        <f aca="true">K517-TODAY()</f>
        <v>-389</v>
      </c>
      <c r="N517" s="18" t="s">
        <v>615</v>
      </c>
      <c r="O517" s="13" t="s">
        <v>2297</v>
      </c>
      <c r="P517" s="19" t="n">
        <v>165635</v>
      </c>
      <c r="Q517" s="20" t="s">
        <v>2322</v>
      </c>
      <c r="R517" s="13" t="s">
        <v>232</v>
      </c>
      <c r="S517" s="14" t="n">
        <v>33476</v>
      </c>
      <c r="T517" s="13" t="s">
        <v>40</v>
      </c>
      <c r="U517" s="13" t="s">
        <v>2323</v>
      </c>
      <c r="V517" s="13" t="s">
        <v>42</v>
      </c>
      <c r="W517" s="13" t="s">
        <v>54</v>
      </c>
      <c r="X517" s="21" t="n">
        <v>82333882903</v>
      </c>
      <c r="Y517" s="22" t="str">
        <f aca="false">O517</f>
        <v>Borongan muat</v>
      </c>
      <c r="Z517" s="13" t="str">
        <f aca="false">IFERROR(__xludf.dummyfunction("if(BJ517="""","""",GOOGLETRANSLATE(BJ517,""auto"",""en""))"),"Bulk loading")</f>
        <v>Bulk loading</v>
      </c>
      <c r="AA517" s="23" t="str">
        <f aca="false">IF(C517="","", CHOOSE(MONTH(C517),"January","February","March","April","May","June","July","August","September","October","November","December")&amp;" "&amp;DAY(C517)&amp;MID("thstndrdth",MIN(9,2*RIGHT(DAY(C517))*(MOD(DAY(C517)-11,100)&gt;2)+1),2)&amp;","&amp;TEXT(C517," yyyy"))</f>
        <v>July 1st,2020</v>
      </c>
      <c r="AB517" s="15" t="str">
        <f aca="true">IF(S517="","",DATEDIF(S517,TODAY(),"Y")&amp;" Tahun, "&amp;DATEDIF(S517,TODAY(),"YM")&amp;" Bulan, "&amp;DATEDIF(S517,TODAY(),"MD")&amp;" Hari")</f>
        <v>35 Tahun, 2 Bulan, 3 Hari</v>
      </c>
      <c r="AC517" s="18" t="n">
        <v>45844</v>
      </c>
      <c r="AD517" s="18" t="n">
        <v>45935</v>
      </c>
      <c r="AE517" s="13" t="s">
        <v>397</v>
      </c>
    </row>
    <row r="518" customFormat="false" ht="15.75" hidden="false" customHeight="true" outlineLevel="0" collapsed="false">
      <c r="A518" s="12" t="n">
        <v>2688</v>
      </c>
      <c r="B518" s="13" t="s">
        <v>2324</v>
      </c>
      <c r="C518" s="14" t="n">
        <v>44013</v>
      </c>
      <c r="D518" s="13" t="s">
        <v>2294</v>
      </c>
      <c r="E518" s="15" t="s">
        <v>47</v>
      </c>
      <c r="F518" s="15" t="str">
        <f aca="false">IFERROR(__xludf.dummyfunction("XLOOKUP(AJ518,IMPORTRANGE(""1XaInW9DU9nz21V0tYIfzFQ0He9kVQ_JF2mCXgZ3hqFA"",""REKAP ALL 2026 - Andika!G:G""),IMPORTRANGE(""1XaInW9DU9nz21V0tYIfzFQ0He9kVQ_JF2mCXgZ3hqFA"",""REKAP ALL 2026 - Andika!F:F""),"""",0)"),"20065101204")</f>
        <v>20065101204</v>
      </c>
      <c r="G518" s="13" t="s">
        <v>2325</v>
      </c>
      <c r="H518" s="13" t="s">
        <v>2296</v>
      </c>
      <c r="I518" s="13" t="str">
        <f aca="false">IF(C518=J518,"NEW KONTRAK","RE-KONTRAK")</f>
        <v>RE-KONTRAK</v>
      </c>
      <c r="J518" s="16" t="n">
        <f aca="false" t="array" ref="J518:J518">IFERROR(INDEX(AC518:AE518,IF(COUNTA(AC518:AE518)=0,"",MAX((AC518:AE518&lt;&gt;"")*(COLUMN(AC518:AE518)-(COLUMN(AC518)))))-1),"")</f>
        <v>45844</v>
      </c>
      <c r="K518" s="16" t="n">
        <f aca="false" t="array" ref="K518:K518">IFERROR(INDEX(AC518:AE518,IF(COUNTA(AC518:AE518)=0,"",MAX((AC518:AE518&lt;&gt;"")*(COLUMN(AC518:AE518)-(COLUMN(AC518)-1))))-1),"")</f>
        <v>45935</v>
      </c>
      <c r="L518" s="17" t="str">
        <f aca="false" t="array" ref="L518:L518">IFERROR(INDEX(AC518:AE518,IF(COUNTA(AC518:AE518)=0,"",MAX((AC518:AE518&lt;&gt;"")*(COLUMN(AC518:AE518)-(COLUMN(AC518)-2))))-1),"")</f>
        <v>KEMBALI</v>
      </c>
      <c r="M518" s="13" t="n">
        <f aca="true">K518-TODAY()</f>
        <v>-389</v>
      </c>
      <c r="N518" s="18" t="s">
        <v>615</v>
      </c>
      <c r="O518" s="13" t="s">
        <v>2297</v>
      </c>
      <c r="P518" s="19" t="n">
        <v>165635</v>
      </c>
      <c r="Q518" s="20" t="s">
        <v>2326</v>
      </c>
      <c r="R518" s="13" t="s">
        <v>232</v>
      </c>
      <c r="S518" s="14" t="n">
        <v>31921</v>
      </c>
      <c r="T518" s="13" t="s">
        <v>40</v>
      </c>
      <c r="U518" s="13" t="s">
        <v>2323</v>
      </c>
      <c r="V518" s="13" t="s">
        <v>42</v>
      </c>
      <c r="W518" s="13" t="s">
        <v>43</v>
      </c>
      <c r="X518" s="21" t="n">
        <v>81238359918</v>
      </c>
      <c r="Y518" s="22" t="str">
        <f aca="false">O518</f>
        <v>Borongan muat</v>
      </c>
      <c r="Z518" s="13" t="str">
        <f aca="false">IFERROR(__xludf.dummyfunction("if(BJ518="""","""",GOOGLETRANSLATE(BJ518,""auto"",""en""))"),"Bulk loading")</f>
        <v>Bulk loading</v>
      </c>
      <c r="AA518" s="23" t="str">
        <f aca="false">IF(C518="","", CHOOSE(MONTH(C518),"January","February","March","April","May","June","July","August","September","October","November","December")&amp;" "&amp;DAY(C518)&amp;MID("thstndrdth",MIN(9,2*RIGHT(DAY(C518))*(MOD(DAY(C518)-11,100)&gt;2)+1),2)&amp;","&amp;TEXT(C518," yyyy"))</f>
        <v>July 1st,2020</v>
      </c>
      <c r="AB518" s="15" t="str">
        <f aca="true">IF(S518="","",DATEDIF(S518,TODAY(),"Y")&amp;" Tahun, "&amp;DATEDIF(S518,TODAY(),"YM")&amp;" Bulan, "&amp;DATEDIF(S518,TODAY(),"MD")&amp;" Hari")</f>
        <v>39 Tahun, 5 Bulan, 5 Hari</v>
      </c>
      <c r="AC518" s="18" t="n">
        <v>45844</v>
      </c>
      <c r="AD518" s="18" t="n">
        <v>45935</v>
      </c>
      <c r="AE518" s="13" t="s">
        <v>397</v>
      </c>
    </row>
    <row r="519" customFormat="false" ht="15.75" hidden="false" customHeight="true" outlineLevel="0" collapsed="false">
      <c r="A519" s="12" t="n">
        <v>2689</v>
      </c>
      <c r="B519" s="13" t="s">
        <v>2327</v>
      </c>
      <c r="C519" s="14" t="n">
        <v>44013</v>
      </c>
      <c r="D519" s="13" t="s">
        <v>2294</v>
      </c>
      <c r="E519" s="15" t="s">
        <v>47</v>
      </c>
      <c r="F519" s="15" t="str">
        <f aca="false">IFERROR(__xludf.dummyfunction("XLOOKUP(AJ519,IMPORTRANGE(""1XaInW9DU9nz21V0tYIfzFQ0He9kVQ_JF2mCXgZ3hqFA"",""REKAP ALL 2026 - Andika!G:G""),IMPORTRANGE(""1XaInW9DU9nz21V0tYIfzFQ0He9kVQ_JF2mCXgZ3hqFA"",""REKAP ALL 2026 - Andika!F:F""),"""",0)"),"20065101220")</f>
        <v>20065101220</v>
      </c>
      <c r="G519" s="13" t="s">
        <v>2328</v>
      </c>
      <c r="H519" s="13" t="s">
        <v>2296</v>
      </c>
      <c r="I519" s="13" t="str">
        <f aca="false">IF(C519=J519,"NEW KONTRAK","RE-KONTRAK")</f>
        <v>RE-KONTRAK</v>
      </c>
      <c r="J519" s="16" t="n">
        <f aca="false" t="array" ref="J519:J519">IFERROR(INDEX(AC519:AE519,IF(COUNTA(AC519:AE519)=0,"",MAX((AC519:AE519&lt;&gt;"")*(COLUMN(AC519:AE519)-(COLUMN(AC519)))))-1),"")</f>
        <v>45844</v>
      </c>
      <c r="K519" s="16" t="n">
        <f aca="false" t="array" ref="K519:K519">IFERROR(INDEX(AC519:AE519,IF(COUNTA(AC519:AE519)=0,"",MAX((AC519:AE519&lt;&gt;"")*(COLUMN(AC519:AE519)-(COLUMN(AC519)-1))))-1),"")</f>
        <v>45935</v>
      </c>
      <c r="L519" s="17" t="str">
        <f aca="false" t="array" ref="L519:L519">IFERROR(INDEX(AC519:AE519,IF(COUNTA(AC519:AE519)=0,"",MAX((AC519:AE519&lt;&gt;"")*(COLUMN(AC519:AE519)-(COLUMN(AC519)-2))))-1),"")</f>
        <v>KEMBALI</v>
      </c>
      <c r="M519" s="13" t="n">
        <f aca="true">K519-TODAY()</f>
        <v>-389</v>
      </c>
      <c r="N519" s="18" t="s">
        <v>615</v>
      </c>
      <c r="O519" s="13" t="s">
        <v>2297</v>
      </c>
      <c r="P519" s="19" t="n">
        <v>165635</v>
      </c>
      <c r="Q519" s="20" t="s">
        <v>2329</v>
      </c>
      <c r="R519" s="13" t="s">
        <v>232</v>
      </c>
      <c r="S519" s="14" t="n">
        <v>25449</v>
      </c>
      <c r="T519" s="13" t="s">
        <v>40</v>
      </c>
      <c r="U519" s="13" t="s">
        <v>2330</v>
      </c>
      <c r="V519" s="13" t="s">
        <v>42</v>
      </c>
      <c r="W519" s="13" t="s">
        <v>54</v>
      </c>
      <c r="X519" s="21" t="n">
        <v>85749914494</v>
      </c>
      <c r="Y519" s="22" t="str">
        <f aca="false">O519</f>
        <v>Borongan muat</v>
      </c>
      <c r="Z519" s="13" t="str">
        <f aca="false">IFERROR(__xludf.dummyfunction("if(BJ519="""","""",GOOGLETRANSLATE(BJ519,""auto"",""en""))"),"Bulk loading")</f>
        <v>Bulk loading</v>
      </c>
      <c r="AA519" s="23" t="str">
        <f aca="false">IF(C519="","", CHOOSE(MONTH(C519),"January","February","March","April","May","June","July","August","September","October","November","December")&amp;" "&amp;DAY(C519)&amp;MID("thstndrdth",MIN(9,2*RIGHT(DAY(C519))*(MOD(DAY(C519)-11,100)&gt;2)+1),2)&amp;","&amp;TEXT(C519," yyyy"))</f>
        <v>July 1st,2020</v>
      </c>
      <c r="AB519" s="15" t="str">
        <f aca="true">IF(S519="","",DATEDIF(S519,TODAY(),"Y")&amp;" Tahun, "&amp;DATEDIF(S519,TODAY(),"YM")&amp;" Bulan, "&amp;DATEDIF(S519,TODAY(),"MD")&amp;" Hari")</f>
        <v>57 Tahun, 1 Bulan, 26 Hari</v>
      </c>
      <c r="AC519" s="18" t="n">
        <v>45844</v>
      </c>
      <c r="AD519" s="18" t="n">
        <v>45935</v>
      </c>
      <c r="AE519" s="13" t="s">
        <v>397</v>
      </c>
    </row>
    <row r="520" customFormat="false" ht="15.75" hidden="false" customHeight="true" outlineLevel="0" collapsed="false">
      <c r="A520" s="12" t="n">
        <v>2725</v>
      </c>
      <c r="B520" s="13" t="s">
        <v>2331</v>
      </c>
      <c r="C520" s="14" t="n">
        <v>44019</v>
      </c>
      <c r="D520" s="13" t="s">
        <v>2332</v>
      </c>
      <c r="E520" s="15" t="s">
        <v>47</v>
      </c>
      <c r="F520" s="15" t="str">
        <f aca="false">IFERROR(__xludf.dummyfunction("XLOOKUP(AJ520,IMPORTRANGE(""1XaInW9DU9nz21V0tYIfzFQ0He9kVQ_JF2mCXgZ3hqFA"",""REKAP ALL 2026 - Andika!G:G""),IMPORTRANGE(""1XaInW9DU9nz21V0tYIfzFQ0He9kVQ_JF2mCXgZ3hqFA"",""REKAP ALL 2026 - Andika!F:F""),"""",0)"),"20065101980")</f>
        <v>20065101980</v>
      </c>
      <c r="G520" s="13" t="s">
        <v>2333</v>
      </c>
      <c r="H520" s="13" t="s">
        <v>2334</v>
      </c>
      <c r="I520" s="13" t="str">
        <f aca="false">IF(C520=J520,"NEW KONTRAK","RE-KONTRAK")</f>
        <v>RE-KONTRAK</v>
      </c>
      <c r="J520" s="16" t="n">
        <f aca="false" t="array" ref="J520:J520">IFERROR(INDEX(AC520:AE520,IF(COUNTA(AC520:AE520)=0,"",MAX((AC520:AE520&lt;&gt;"")*(COLUMN(AC520:AE520)-(COLUMN(AC520)))))-1),"")</f>
        <v>45844</v>
      </c>
      <c r="K520" s="16" t="n">
        <f aca="false" t="array" ref="K520:K520">IFERROR(INDEX(AC520:AE520,IF(COUNTA(AC520:AE520)=0,"",MAX((AC520:AE520&lt;&gt;"")*(COLUMN(AC520:AE520)-(COLUMN(AC520)-1))))-1),"")</f>
        <v>45935</v>
      </c>
      <c r="L520" s="17" t="str">
        <f aca="false" t="array" ref="L520:L520">IFERROR(INDEX(AC520:AE520,IF(COUNTA(AC520:AE520)=0,"",MAX((AC520:AE520&lt;&gt;"")*(COLUMN(AC520:AE520)-(COLUMN(AC520)-2))))-1),"")</f>
        <v>KEMBALI</v>
      </c>
      <c r="M520" s="13" t="n">
        <f aca="true">K520-TODAY()</f>
        <v>-389</v>
      </c>
      <c r="N520" s="18" t="s">
        <v>615</v>
      </c>
      <c r="O520" s="13" t="s">
        <v>2335</v>
      </c>
      <c r="P520" s="19" t="n">
        <v>160000</v>
      </c>
      <c r="Q520" s="20" t="s">
        <v>2336</v>
      </c>
      <c r="R520" s="13" t="s">
        <v>232</v>
      </c>
      <c r="S520" s="14" t="n">
        <v>27276</v>
      </c>
      <c r="T520" s="13" t="s">
        <v>40</v>
      </c>
      <c r="U520" s="13" t="s">
        <v>2337</v>
      </c>
      <c r="V520" s="13" t="s">
        <v>42</v>
      </c>
      <c r="W520" s="13" t="s">
        <v>54</v>
      </c>
      <c r="X520" s="21" t="n">
        <v>82139246738</v>
      </c>
      <c r="Y520" s="22" t="str">
        <f aca="false">O520</f>
        <v>Project Management</v>
      </c>
      <c r="Z520" s="13" t="str">
        <f aca="false">IFERROR(__xludf.dummyfunction("if(BJ520="""","""",GOOGLETRANSLATE(BJ520,""auto"",""en""))"),"Project Management")</f>
        <v>Project Management</v>
      </c>
      <c r="AA520" s="23" t="str">
        <f aca="false">IF(C520="","", CHOOSE(MONTH(C520),"January","February","March","April","May","June","July","August","September","October","November","December")&amp;" "&amp;DAY(C520)&amp;MID("thstndrdth",MIN(9,2*RIGHT(DAY(C520))*(MOD(DAY(C520)-11,100)&gt;2)+1),2)&amp;","&amp;TEXT(C520," yyyy"))</f>
        <v>July 7th,2020</v>
      </c>
      <c r="AB520" s="15" t="str">
        <f aca="true">IF(S520="","",DATEDIF(S520,TODAY(),"Y")&amp;" Tahun, "&amp;DATEDIF(S520,TODAY(),"YM")&amp;" Bulan, "&amp;DATEDIF(S520,TODAY(),"MD")&amp;" Hari")</f>
        <v>52 Tahun, 1 Bulan, 25 Hari</v>
      </c>
      <c r="AC520" s="18" t="n">
        <v>45844</v>
      </c>
      <c r="AD520" s="18" t="n">
        <v>45935</v>
      </c>
      <c r="AE520" s="13" t="s">
        <v>397</v>
      </c>
    </row>
    <row r="521" customFormat="false" ht="15.75" hidden="false" customHeight="true" outlineLevel="0" collapsed="false">
      <c r="A521" s="12" t="n">
        <v>2930</v>
      </c>
      <c r="B521" s="13" t="s">
        <v>2338</v>
      </c>
      <c r="C521" s="14" t="n">
        <v>44039</v>
      </c>
      <c r="D521" s="13" t="s">
        <v>2332</v>
      </c>
      <c r="E521" s="15" t="s">
        <v>47</v>
      </c>
      <c r="F521" s="15" t="str">
        <f aca="false">IFERROR(__xludf.dummyfunction("XLOOKUP(AJ521,IMPORTRANGE(""1XaInW9DU9nz21V0tYIfzFQ0He9kVQ_JF2mCXgZ3hqFA"",""REKAP ALL 2026 - Andika!G:G""),IMPORTRANGE(""1XaInW9DU9nz21V0tYIfzFQ0He9kVQ_JF2mCXgZ3hqFA"",""REKAP ALL 2026 - Andika!F:F""),"""",0)"),"20065101238")</f>
        <v>20065101238</v>
      </c>
      <c r="G521" s="13" t="s">
        <v>2339</v>
      </c>
      <c r="H521" s="13" t="s">
        <v>2334</v>
      </c>
      <c r="I521" s="13" t="str">
        <f aca="false">IF(C521=J521,"NEW KONTRAK","RE-KONTRAK")</f>
        <v>RE-KONTRAK</v>
      </c>
      <c r="J521" s="16" t="n">
        <f aca="false" t="array" ref="J521:J521">IFERROR(INDEX(AC521:AE521,IF(COUNTA(AC521:AE521)=0,"",MAX((AC521:AE521&lt;&gt;"")*(COLUMN(AC521:AE521)-(COLUMN(AC521)))))-1),"")</f>
        <v>45844</v>
      </c>
      <c r="K521" s="16" t="n">
        <f aca="false" t="array" ref="K521:K521">IFERROR(INDEX(AC521:AE521,IF(COUNTA(AC521:AE521)=0,"",MAX((AC521:AE521&lt;&gt;"")*(COLUMN(AC521:AE521)-(COLUMN(AC521)-1))))-1),"")</f>
        <v>45935</v>
      </c>
      <c r="L521" s="17" t="str">
        <f aca="false" t="array" ref="L521:L521">IFERROR(INDEX(AC521:AE521,IF(COUNTA(AC521:AE521)=0,"",MAX((AC521:AE521&lt;&gt;"")*(COLUMN(AC521:AE521)-(COLUMN(AC521)-2))))-1),"")</f>
        <v>ARCHIVED</v>
      </c>
      <c r="M521" s="13" t="n">
        <f aca="true">K521-TODAY()</f>
        <v>-389</v>
      </c>
      <c r="N521" s="18" t="s">
        <v>615</v>
      </c>
      <c r="O521" s="13" t="s">
        <v>2335</v>
      </c>
      <c r="P521" s="19" t="n">
        <v>160000</v>
      </c>
      <c r="Q521" s="20" t="s">
        <v>2340</v>
      </c>
      <c r="R521" s="13" t="s">
        <v>232</v>
      </c>
      <c r="S521" s="14" t="n">
        <v>36412</v>
      </c>
      <c r="T521" s="13" t="s">
        <v>40</v>
      </c>
      <c r="U521" s="13" t="s">
        <v>2341</v>
      </c>
      <c r="V521" s="13" t="s">
        <v>42</v>
      </c>
      <c r="W521" s="13" t="s">
        <v>43</v>
      </c>
      <c r="X521" s="21" t="n">
        <v>85645202066</v>
      </c>
      <c r="Y521" s="22" t="str">
        <f aca="false">O521</f>
        <v>Project Management</v>
      </c>
      <c r="Z521" s="13" t="str">
        <f aca="false">IFERROR(__xludf.dummyfunction("if(BJ521="""","""",GOOGLETRANSLATE(BJ521,""auto"",""en""))"),"Project Management")</f>
        <v>Project Management</v>
      </c>
      <c r="AA521" s="23" t="str">
        <f aca="false">IF(C521="","", CHOOSE(MONTH(C521),"January","February","March","April","May","June","July","August","September","October","November","December")&amp;" "&amp;DAY(C521)&amp;MID("thstndrdth",MIN(9,2*RIGHT(DAY(C521))*(MOD(DAY(C521)-11,100)&gt;2)+1),2)&amp;","&amp;TEXT(C521," yyyy"))</f>
        <v>July 27th,2020</v>
      </c>
      <c r="AB521" s="15" t="str">
        <f aca="true">IF(S521="","",DATEDIF(S521,TODAY(),"Y")&amp;" Tahun, "&amp;DATEDIF(S521,TODAY(),"YM")&amp;" Bulan, "&amp;DATEDIF(S521,TODAY(),"MD")&amp;" Hari")</f>
        <v>27 Tahun, 1 Bulan, 20 Hari</v>
      </c>
      <c r="AC521" s="18" t="n">
        <v>45844</v>
      </c>
      <c r="AD521" s="18" t="n">
        <v>45935</v>
      </c>
      <c r="AE521" s="18" t="s">
        <v>44</v>
      </c>
    </row>
    <row r="522" customFormat="false" ht="15.75" hidden="false" customHeight="true" outlineLevel="0" collapsed="false">
      <c r="A522" s="12" t="n">
        <v>2947</v>
      </c>
      <c r="B522" s="13" t="s">
        <v>2342</v>
      </c>
      <c r="C522" s="14" t="n">
        <v>44063</v>
      </c>
      <c r="D522" s="13" t="s">
        <v>1338</v>
      </c>
      <c r="E522" s="15" t="s">
        <v>33</v>
      </c>
      <c r="F522" s="24" t="s">
        <v>2343</v>
      </c>
      <c r="G522" s="13" t="s">
        <v>2344</v>
      </c>
      <c r="H522" s="13" t="s">
        <v>2345</v>
      </c>
      <c r="I522" s="13" t="str">
        <f aca="false">IF(C522=J522,"NEW KONTRAK","RE-KONTRAK")</f>
        <v>RE-KONTRAK</v>
      </c>
      <c r="J522" s="16" t="n">
        <f aca="false" t="array" ref="J522:J522">IFERROR(INDEX(AC522:AE522,IF(COUNTA(AC522:AE522)=0,"",MAX((AC522:AE522&lt;&gt;"")*(COLUMN(AC522:AE522)-(COLUMN(AC522)))))-1),"")</f>
        <v>45480</v>
      </c>
      <c r="K522" s="16" t="n">
        <f aca="false" t="array" ref="K522:K522">IFERROR(INDEX(AC522:AE522,IF(COUNTA(AC522:AE522)=0,"",MAX((AC522:AE522&lt;&gt;"")*(COLUMN(AC522:AE522)-(COLUMN(AC522)-1))))-1),"")</f>
        <v>45844</v>
      </c>
      <c r="L522" s="17" t="str">
        <f aca="false" t="array" ref="L522:L522">IFERROR(INDEX(AC522:AE522,IF(COUNTA(AC522:AE522)=0,"",MAX((AC522:AE522&lt;&gt;"")*(COLUMN(AC522:AE522)-(COLUMN(AC522)-2))))-1),"")</f>
        <v>ARCHIVED</v>
      </c>
      <c r="M522" s="13" t="n">
        <f aca="true">K522-TODAY()</f>
        <v>-480</v>
      </c>
      <c r="N522" s="18" t="s">
        <v>615</v>
      </c>
      <c r="O522" s="13" t="s">
        <v>389</v>
      </c>
      <c r="P522" s="27" t="n">
        <v>2786977</v>
      </c>
      <c r="Q522" s="20" t="s">
        <v>2346</v>
      </c>
      <c r="R522" s="13" t="s">
        <v>232</v>
      </c>
      <c r="S522" s="14" t="n">
        <v>31701</v>
      </c>
      <c r="T522" s="13" t="s">
        <v>40</v>
      </c>
      <c r="U522" s="13" t="s">
        <v>2347</v>
      </c>
      <c r="V522" s="13" t="s">
        <v>42</v>
      </c>
      <c r="W522" s="13" t="s">
        <v>54</v>
      </c>
      <c r="X522" s="21" t="n">
        <v>87754225518</v>
      </c>
      <c r="Y522" s="22" t="str">
        <f aca="false">O522</f>
        <v>Packing</v>
      </c>
      <c r="Z522" s="13" t="str">
        <f aca="false">IFERROR(__xludf.dummyfunction("if(BJ522="""","""",GOOGLETRANSLATE(BJ522,""auto"",""en""))"),"Packing")</f>
        <v>Packing</v>
      </c>
      <c r="AA522" s="23" t="str">
        <f aca="false">IF(C522="","", CHOOSE(MONTH(C522),"January","February","March","April","May","June","July","August","September","October","November","December")&amp;" "&amp;DAY(C522)&amp;MID("thstndrdth",MIN(9,2*RIGHT(DAY(C522))*(MOD(DAY(C522)-11,100)&gt;2)+1),2)&amp;","&amp;TEXT(C522," yyyy"))</f>
        <v>August 20th,2020</v>
      </c>
      <c r="AB522" s="15" t="str">
        <f aca="true">IF(S522="","",DATEDIF(S522,TODAY(),"Y")&amp;" Tahun, "&amp;DATEDIF(S522,TODAY(),"YM")&amp;" Bulan, "&amp;DATEDIF(S522,TODAY(),"MD")&amp;" Hari")</f>
        <v>40 Tahun, 0 Bulan, 13 Hari</v>
      </c>
      <c r="AC522" s="18" t="n">
        <v>45480</v>
      </c>
      <c r="AD522" s="18" t="n">
        <v>45844</v>
      </c>
      <c r="AE522" s="18" t="s">
        <v>44</v>
      </c>
    </row>
    <row r="523" customFormat="false" ht="15.75" hidden="false" customHeight="true" outlineLevel="0" collapsed="false">
      <c r="A523" s="12" t="n">
        <v>2958</v>
      </c>
      <c r="B523" s="13" t="s">
        <v>2348</v>
      </c>
      <c r="C523" s="14" t="n">
        <v>44138</v>
      </c>
      <c r="D523" s="13" t="s">
        <v>1338</v>
      </c>
      <c r="E523" s="15" t="s">
        <v>47</v>
      </c>
      <c r="F523" s="24" t="s">
        <v>2349</v>
      </c>
      <c r="G523" s="13" t="s">
        <v>2350</v>
      </c>
      <c r="H523" s="13" t="s">
        <v>2296</v>
      </c>
      <c r="I523" s="13" t="str">
        <f aca="false">IF(C523=J523,"NEW KONTRAK","RE-KONTRAK")</f>
        <v>RE-KONTRAK</v>
      </c>
      <c r="J523" s="16" t="n">
        <f aca="false" t="array" ref="J523:J523">IFERROR(INDEX(AC523:AE523,IF(COUNTA(AC523:AE523)=0,"",MAX((AC523:AE523&lt;&gt;"")*(COLUMN(AC523:AE523)-(COLUMN(AC523)))))-1),"")</f>
        <v>45844</v>
      </c>
      <c r="K523" s="16" t="n">
        <f aca="false" t="array" ref="K523:K523">IFERROR(INDEX(AC523:AE523,IF(COUNTA(AC523:AE523)=0,"",MAX((AC523:AE523&lt;&gt;"")*(COLUMN(AC523:AE523)-(COLUMN(AC523)-1))))-1),"")</f>
        <v>45935</v>
      </c>
      <c r="L523" s="17" t="str">
        <f aca="false" t="array" ref="L523:L523">IFERROR(INDEX(AC523:AE523,IF(COUNTA(AC523:AE523)=0,"",MAX((AC523:AE523&lt;&gt;"")*(COLUMN(AC523:AE523)-(COLUMN(AC523)-2))))-1),"")</f>
        <v>KEMBALI</v>
      </c>
      <c r="M523" s="13" t="n">
        <f aca="true">K523-TODAY()</f>
        <v>-389</v>
      </c>
      <c r="N523" s="18" t="s">
        <v>615</v>
      </c>
      <c r="O523" s="13" t="s">
        <v>2297</v>
      </c>
      <c r="P523" s="19" t="s">
        <v>2351</v>
      </c>
      <c r="Q523" s="20" t="s">
        <v>2352</v>
      </c>
      <c r="R523" s="13" t="s">
        <v>232</v>
      </c>
      <c r="S523" s="14" t="n">
        <v>26945</v>
      </c>
      <c r="T523" s="13" t="s">
        <v>40</v>
      </c>
      <c r="U523" s="13" t="s">
        <v>2353</v>
      </c>
      <c r="V523" s="13" t="s">
        <v>42</v>
      </c>
      <c r="W523" s="13" t="s">
        <v>54</v>
      </c>
      <c r="X523" s="21" t="n">
        <v>85608635476</v>
      </c>
      <c r="Y523" s="22" t="str">
        <f aca="false">O523</f>
        <v>Borongan muat</v>
      </c>
      <c r="Z523" s="13" t="str">
        <f aca="false">IFERROR(__xludf.dummyfunction("if(BJ523="""","""",GOOGLETRANSLATE(BJ523,""auto"",""en""))"),"Bulk loading")</f>
        <v>Bulk loading</v>
      </c>
      <c r="AA523" s="23" t="str">
        <f aca="false">IF(C523="","", CHOOSE(MONTH(C523),"January","February","March","April","May","June","July","August","September","October","November","December")&amp;" "&amp;DAY(C523)&amp;MID("thstndrdth",MIN(9,2*RIGHT(DAY(C523))*(MOD(DAY(C523)-11,100)&gt;2)+1),2)&amp;","&amp;TEXT(C523," yyyy"))</f>
        <v>November 3rd,2020</v>
      </c>
      <c r="AB523" s="15" t="str">
        <f aca="true">IF(S523="","",DATEDIF(S523,TODAY(),"Y")&amp;" Tahun, "&amp;DATEDIF(S523,TODAY(),"YM")&amp;" Bulan, "&amp;DATEDIF(S523,TODAY(),"MD")&amp;" Hari")</f>
        <v>53 Tahun, 0 Bulan, 21 Hari</v>
      </c>
      <c r="AC523" s="18" t="n">
        <v>45844</v>
      </c>
      <c r="AD523" s="18" t="n">
        <v>45935</v>
      </c>
      <c r="AE523" s="13" t="s">
        <v>397</v>
      </c>
    </row>
    <row r="524" customFormat="false" ht="15.75" hidden="false" customHeight="true" outlineLevel="0" collapsed="false">
      <c r="A524" s="12" t="n">
        <v>17668</v>
      </c>
      <c r="B524" s="13" t="s">
        <v>2354</v>
      </c>
      <c r="C524" s="14" t="n">
        <v>45569</v>
      </c>
      <c r="D524" s="13" t="s">
        <v>2033</v>
      </c>
      <c r="E524" s="15" t="s">
        <v>47</v>
      </c>
      <c r="F524" s="15" t="str">
        <f aca="false">IFERROR(__xludf.dummyfunction("XLOOKUP(AJ524,IMPORTRANGE(""1XaInW9DU9nz21V0tYIfzFQ0He9kVQ_JF2mCXgZ3hqFA"",""REKAP ALL 2026 - Andika!G:G""),IMPORTRANGE(""1XaInW9DU9nz21V0tYIfzFQ0He9kVQ_JF2mCXgZ3hqFA"",""REKAP ALL 2026 - Andika!F:F""),"""",0)"),"24154920813")</f>
        <v>24154920813</v>
      </c>
      <c r="G524" s="15" t="s">
        <v>2355</v>
      </c>
      <c r="H524" s="13" t="s">
        <v>2035</v>
      </c>
      <c r="I524" s="13" t="str">
        <f aca="false">IF(C524=J524,"NEW KONTRAK","RE-KONTRAK")</f>
        <v>RE-KONTRAK</v>
      </c>
      <c r="J524" s="16" t="n">
        <f aca="false" t="array" ref="J524:J524">IFERROR(INDEX(AC524:AE524,IF(COUNTA(AC524:AE524)=0,"",MAX((AC524:AE524&lt;&gt;"")*(COLUMN(AC524:AE524)-(COLUMN(AC524)))))-1),"")</f>
        <v>45744</v>
      </c>
      <c r="K524" s="16" t="n">
        <f aca="false" t="array" ref="K524:K524">IFERROR(INDEX(AC524:AE524,IF(COUNTA(AC524:AE524)=0,"",MAX((AC524:AE524&lt;&gt;"")*(COLUMN(AC524:AE524)-(COLUMN(AC524)-1))))-1),"")</f>
        <v>45915</v>
      </c>
      <c r="L524" s="17" t="str">
        <f aca="false" t="array" ref="L524:L524">IFERROR(INDEX(AC524:AE524,IF(COUNTA(AC524:AE524)=0,"",MAX((AC524:AE524&lt;&gt;"")*(COLUMN(AC524:AE524)-(COLUMN(AC524)-2))))-1),"")</f>
        <v>ARCHIVED</v>
      </c>
      <c r="M524" s="13" t="n">
        <f aca="true">K524-TODAY()</f>
        <v>-409</v>
      </c>
      <c r="N524" s="18" t="s">
        <v>2356</v>
      </c>
      <c r="O524" s="13" t="s">
        <v>2357</v>
      </c>
      <c r="P524" s="19" t="n">
        <v>4148179</v>
      </c>
      <c r="Q524" s="20" t="s">
        <v>2358</v>
      </c>
      <c r="R524" s="13" t="s">
        <v>2359</v>
      </c>
      <c r="S524" s="14" t="n">
        <v>35142</v>
      </c>
      <c r="T524" s="13" t="s">
        <v>108</v>
      </c>
      <c r="U524" s="13" t="s">
        <v>2360</v>
      </c>
      <c r="V524" s="13" t="s">
        <v>42</v>
      </c>
      <c r="W524" s="13" t="s">
        <v>54</v>
      </c>
      <c r="X524" s="21" t="n">
        <v>88245396779</v>
      </c>
      <c r="Y524" s="22" t="str">
        <f aca="false">O524</f>
        <v>BA Promotor</v>
      </c>
      <c r="Z524" s="13" t="str">
        <f aca="false">IFERROR(__xludf.dummyfunction("if(BJ524="""","""",GOOGLETRANSLATE(BJ524,""auto"",""en""))"),"BA Promoter")</f>
        <v>BA Promoter</v>
      </c>
      <c r="AA524" s="23" t="str">
        <f aca="false">IF(C524="","", CHOOSE(MONTH(C524),"January","February","March","April","May","June","July","August","September","October","November","December")&amp;" "&amp;DAY(C524)&amp;MID("thstndrdth",MIN(9,2*RIGHT(DAY(C524))*(MOD(DAY(C524)-11,100)&gt;2)+1),2)&amp;","&amp;TEXT(C524," yyyy"))</f>
        <v>October 4th,2024</v>
      </c>
      <c r="AB524" s="15" t="str">
        <f aca="true">IF(S524="","",DATEDIF(S524,TODAY(),"Y")&amp;" Tahun, "&amp;DATEDIF(S524,TODAY(),"YM")&amp;" Bulan, "&amp;DATEDIF(S524,TODAY(),"MD")&amp;" Hari")</f>
        <v>30 Tahun, 7 Bulan, 11 Hari</v>
      </c>
      <c r="AC524" s="18" t="n">
        <v>45744</v>
      </c>
      <c r="AD524" s="18" t="n">
        <v>45915</v>
      </c>
      <c r="AE524" s="18" t="s">
        <v>44</v>
      </c>
    </row>
    <row r="525" customFormat="false" ht="15.75" hidden="false" customHeight="true" outlineLevel="0" collapsed="false">
      <c r="A525" s="12" t="n">
        <v>12734</v>
      </c>
      <c r="B525" s="13" t="s">
        <v>2361</v>
      </c>
      <c r="C525" s="14" t="n">
        <v>45152</v>
      </c>
      <c r="D525" s="13" t="s">
        <v>2033</v>
      </c>
      <c r="E525" s="15" t="s">
        <v>47</v>
      </c>
      <c r="F525" s="15" t="str">
        <f aca="false">IFERROR(__xludf.dummyfunction("XLOOKUP(AJ525,IMPORTRANGE(""1XaInW9DU9nz21V0tYIfzFQ0He9kVQ_JF2mCXgZ3hqFA"",""REKAP ALL 2026 - Andika!G:G""),IMPORTRANGE(""1XaInW9DU9nz21V0tYIfzFQ0He9kVQ_JF2mCXgZ3hqFA"",""REKAP ALL 2026 - Andika!F:F""),"""",0)"),"23132324270")</f>
        <v>23132324270</v>
      </c>
      <c r="G525" s="13" t="s">
        <v>2362</v>
      </c>
      <c r="H525" s="13" t="s">
        <v>2035</v>
      </c>
      <c r="I525" s="13" t="str">
        <f aca="false">IF(C525=J525,"NEW KONTRAK","RE-KONTRAK")</f>
        <v>RE-KONTRAK</v>
      </c>
      <c r="J525" s="16" t="n">
        <f aca="false" t="array" ref="J525:J525">IFERROR(INDEX(AC525:AE525,IF(COUNTA(AC525:AE525)=0,"",MAX((AC525:AE525&lt;&gt;"")*(COLUMN(AC525:AE525)-(COLUMN(AC525)))))-1),"")</f>
        <v>45744</v>
      </c>
      <c r="K525" s="16" t="n">
        <f aca="false" t="array" ref="K525:K525">IFERROR(INDEX(AC525:AE525,IF(COUNTA(AC525:AE525)=0,"",MAX((AC525:AE525&lt;&gt;"")*(COLUMN(AC525:AE525)-(COLUMN(AC525)-1))))-1),"")</f>
        <v>45915</v>
      </c>
      <c r="L525" s="17" t="str">
        <f aca="false" t="array" ref="L525:L525">IFERROR(INDEX(AC525:AE525,IF(COUNTA(AC525:AE525)=0,"",MAX((AC525:AE525&lt;&gt;"")*(COLUMN(AC525:AE525)-(COLUMN(AC525)-2))))-1),"")</f>
        <v>ARCHIVED</v>
      </c>
      <c r="M525" s="13" t="n">
        <f aca="true">K525-TODAY()</f>
        <v>-409</v>
      </c>
      <c r="N525" s="18" t="s">
        <v>2363</v>
      </c>
      <c r="O525" s="13" t="s">
        <v>2037</v>
      </c>
      <c r="P525" s="19" t="n">
        <v>4335198</v>
      </c>
      <c r="Q525" s="20" t="s">
        <v>2364</v>
      </c>
      <c r="R525" s="13" t="s">
        <v>2363</v>
      </c>
      <c r="S525" s="14" t="n">
        <v>38494</v>
      </c>
      <c r="T525" s="13" t="s">
        <v>108</v>
      </c>
      <c r="U525" s="13" t="s">
        <v>2365</v>
      </c>
      <c r="V525" s="13" t="s">
        <v>42</v>
      </c>
      <c r="W525" s="13" t="s">
        <v>43</v>
      </c>
      <c r="X525" s="21" t="n">
        <v>83176016094</v>
      </c>
      <c r="Y525" s="22" t="str">
        <f aca="false">O525</f>
        <v>SPG/BA</v>
      </c>
      <c r="Z525" s="13" t="str">
        <f aca="false">IFERROR(__xludf.dummyfunction("if(BJ525="""","""",GOOGLETRANSLATE(BJ525,""auto"",""en""))"),"SPG/BA")</f>
        <v>SPG/BA</v>
      </c>
      <c r="AA525" s="23" t="str">
        <f aca="false">IF(C525="","", CHOOSE(MONTH(C525),"January","February","March","April","May","June","July","August","September","October","November","December")&amp;" "&amp;DAY(C525)&amp;MID("thstndrdth",MIN(9,2*RIGHT(DAY(C525))*(MOD(DAY(C525)-11,100)&gt;2)+1),2)&amp;","&amp;TEXT(C525," yyyy"))</f>
        <v>August 14th,2023</v>
      </c>
      <c r="AB525" s="15" t="str">
        <f aca="true">IF(S525="","",DATEDIF(S525,TODAY(),"Y")&amp;" Tahun, "&amp;DATEDIF(S525,TODAY(),"YM")&amp;" Bulan, "&amp;DATEDIF(S525,TODAY(),"MD")&amp;" Hari")</f>
        <v>21 Tahun, 5 Bulan, 7 Hari</v>
      </c>
      <c r="AC525" s="18" t="n">
        <v>45744</v>
      </c>
      <c r="AD525" s="18" t="n">
        <v>45915</v>
      </c>
      <c r="AE525" s="18" t="s">
        <v>44</v>
      </c>
    </row>
    <row r="526" customFormat="false" ht="15.75" hidden="false" customHeight="true" outlineLevel="0" collapsed="false">
      <c r="A526" s="12" t="n">
        <v>3041</v>
      </c>
      <c r="B526" s="13" t="s">
        <v>2366</v>
      </c>
      <c r="C526" s="14" t="n">
        <v>44292</v>
      </c>
      <c r="D526" s="13" t="s">
        <v>2033</v>
      </c>
      <c r="E526" s="15" t="s">
        <v>33</v>
      </c>
      <c r="F526" s="24" t="s">
        <v>2367</v>
      </c>
      <c r="G526" s="13" t="s">
        <v>2368</v>
      </c>
      <c r="H526" s="13" t="s">
        <v>2035</v>
      </c>
      <c r="I526" s="13" t="str">
        <f aca="false">IF(C526=J526,"NEW KONTRAK","RE-KONTRAK")</f>
        <v>RE-KONTRAK</v>
      </c>
      <c r="J526" s="16" t="n">
        <f aca="false" t="array" ref="J526:J526">IFERROR(INDEX(AC526:AE526,IF(COUNTA(AC526:AE526)=0,"",MAX((AC526:AE526&lt;&gt;"")*(COLUMN(AC526:AE526)-(COLUMN(AC526)))))-1),"")</f>
        <v>45744</v>
      </c>
      <c r="K526" s="16" t="n">
        <f aca="false" t="array" ref="K526:K526">IFERROR(INDEX(AC526:AE526,IF(COUNTA(AC526:AE526)=0,"",MAX((AC526:AE526&lt;&gt;"")*(COLUMN(AC526:AE526)-(COLUMN(AC526)-1))))-1),"")</f>
        <v>45915</v>
      </c>
      <c r="L526" s="17" t="str">
        <f aca="false" t="array" ref="L526:L526">IFERROR(INDEX(AC526:AE526,IF(COUNTA(AC526:AE526)=0,"",MAX((AC526:AE526&lt;&gt;"")*(COLUMN(AC526:AE526)-(COLUMN(AC526)-2))))-1),"")</f>
        <v>ARCHIVED</v>
      </c>
      <c r="M526" s="13" t="n">
        <f aca="true">K526-TODAY()</f>
        <v>-409</v>
      </c>
      <c r="N526" s="18" t="s">
        <v>2369</v>
      </c>
      <c r="O526" s="13" t="s">
        <v>2037</v>
      </c>
      <c r="P526" s="19" t="n">
        <v>3650340</v>
      </c>
      <c r="Q526" s="20" t="s">
        <v>2370</v>
      </c>
      <c r="R526" s="13" t="s">
        <v>2369</v>
      </c>
      <c r="S526" s="14" t="n">
        <v>34373</v>
      </c>
      <c r="T526" s="13" t="s">
        <v>108</v>
      </c>
      <c r="U526" s="13" t="s">
        <v>2371</v>
      </c>
      <c r="V526" s="13" t="s">
        <v>42</v>
      </c>
      <c r="W526" s="13" t="s">
        <v>54</v>
      </c>
      <c r="X526" s="21" t="n">
        <v>82259071294</v>
      </c>
      <c r="Y526" s="22" t="str">
        <f aca="false">O526</f>
        <v>SPG/BA</v>
      </c>
      <c r="Z526" s="13" t="str">
        <f aca="false">IFERROR(__xludf.dummyfunction("if(BJ526="""","""",GOOGLETRANSLATE(BJ526,""auto"",""en""))"),"SPG/BA")</f>
        <v>SPG/BA</v>
      </c>
      <c r="AA526" s="23" t="str">
        <f aca="false">IF(C526="","", CHOOSE(MONTH(C526),"January","February","March","April","May","June","July","August","September","October","November","December")&amp;" "&amp;DAY(C526)&amp;MID("thstndrdth",MIN(9,2*RIGHT(DAY(C526))*(MOD(DAY(C526)-11,100)&gt;2)+1),2)&amp;","&amp;TEXT(C526," yyyy"))</f>
        <v>April 6th,2021</v>
      </c>
      <c r="AB526" s="15" t="str">
        <f aca="true">IF(S526="","",DATEDIF(S526,TODAY(),"Y")&amp;" Tahun, "&amp;DATEDIF(S526,TODAY(),"YM")&amp;" Bulan, "&amp;DATEDIF(S526,TODAY(),"MD")&amp;" Hari")</f>
        <v>32 Tahun, 8 Bulan, 21 Hari</v>
      </c>
      <c r="AC526" s="18" t="n">
        <v>45744</v>
      </c>
      <c r="AD526" s="18" t="n">
        <v>45915</v>
      </c>
      <c r="AE526" s="18" t="s">
        <v>44</v>
      </c>
    </row>
    <row r="527" customFormat="false" ht="15.75" hidden="false" customHeight="true" outlineLevel="0" collapsed="false">
      <c r="A527" s="12" t="n">
        <v>20573</v>
      </c>
      <c r="B527" s="13" t="s">
        <v>2372</v>
      </c>
      <c r="C527" s="14" t="n">
        <v>45881</v>
      </c>
      <c r="D527" s="13" t="s">
        <v>2033</v>
      </c>
      <c r="E527" s="15" t="s">
        <v>47</v>
      </c>
      <c r="F527" s="15" t="str">
        <f aca="false">IFERROR(__xludf.dummyfunction("XLOOKUP(AJ527,IMPORTRANGE(""1XaInW9DU9nz21V0tYIfzFQ0He9kVQ_JF2mCXgZ3hqFA"",""REKAP ALL 2026 - Andika!G:G""),IMPORTRANGE(""1XaInW9DU9nz21V0tYIfzFQ0He9kVQ_JF2mCXgZ3hqFA"",""REKAP ALL 2026 - Andika!F:F""),"""",0)"),"26005755900")</f>
        <v>26005755900</v>
      </c>
      <c r="G527" s="13" t="s">
        <v>1127</v>
      </c>
      <c r="H527" s="13" t="s">
        <v>2035</v>
      </c>
      <c r="I527" s="13" t="str">
        <f aca="false">IF(C527=J527,"NEW KONTRAK","RE-KONTRAK")</f>
        <v>NEW KONTRAK</v>
      </c>
      <c r="J527" s="16" t="n">
        <f aca="false" t="array" ref="J527:J527">IFERROR(INDEX(AC527:AE527,IF(COUNTA(AC527:AE527)=0,"",MAX((AC527:AE527&lt;&gt;"")*(COLUMN(AC527:AE527)-(COLUMN(AC527)))))-1),"")</f>
        <v>45881</v>
      </c>
      <c r="K527" s="16" t="n">
        <f aca="false" t="array" ref="K527:K527">IFERROR(INDEX(AC527:AE527,IF(COUNTA(AC527:AE527)=0,"",MAX((AC527:AE527&lt;&gt;"")*(COLUMN(AC527:AE527)-(COLUMN(AC527)-1))))-1),"")</f>
        <v>45915</v>
      </c>
      <c r="L527" s="17" t="str">
        <f aca="false" t="array" ref="L527:L527">IFERROR(INDEX(AC527:AE527,IF(COUNTA(AC527:AE527)=0,"",MAX((AC527:AE527&lt;&gt;"")*(COLUMN(AC527:AE527)-(COLUMN(AC527)-2))))-1),"")</f>
        <v>ARCHIVED</v>
      </c>
      <c r="M527" s="13" t="n">
        <f aca="true">K527-TODAY()</f>
        <v>-409</v>
      </c>
      <c r="N527" s="51" t="s">
        <v>2373</v>
      </c>
      <c r="O527" s="13" t="s">
        <v>2037</v>
      </c>
      <c r="P527" s="19" t="n">
        <v>2570000</v>
      </c>
      <c r="Q527" s="47" t="s">
        <v>2374</v>
      </c>
      <c r="R527" s="13" t="s">
        <v>97</v>
      </c>
      <c r="S527" s="16" t="n">
        <v>38363</v>
      </c>
      <c r="T527" s="13" t="s">
        <v>108</v>
      </c>
      <c r="U527" s="13" t="s">
        <v>2375</v>
      </c>
      <c r="V527" s="13" t="s">
        <v>42</v>
      </c>
      <c r="W527" s="13" t="s">
        <v>43</v>
      </c>
      <c r="X527" s="21" t="n">
        <v>81226896158</v>
      </c>
      <c r="Y527" s="22" t="str">
        <f aca="false">O527</f>
        <v>SPG/BA</v>
      </c>
      <c r="Z527" s="13" t="str">
        <f aca="false">IFERROR(__xludf.dummyfunction("if(BJ527="""","""",GOOGLETRANSLATE(BJ527,""auto"",""en""))"),"SPG/BA")</f>
        <v>SPG/BA</v>
      </c>
      <c r="AA527" s="23" t="str">
        <f aca="false">IF(C527="","", CHOOSE(MONTH(C527),"January","February","March","April","May","June","July","August","September","October","November","December")&amp;" "&amp;DAY(C527)&amp;MID("thstndrdth",MIN(9,2*RIGHT(DAY(C527))*(MOD(DAY(C527)-11,100)&gt;2)+1),2)&amp;","&amp;TEXT(C527," yyyy"))</f>
        <v>August 12th,2025</v>
      </c>
      <c r="AB527" s="15" t="str">
        <f aca="true">IF(S527="","",DATEDIF(S527,TODAY(),"Y")&amp;" Tahun, "&amp;DATEDIF(S527,TODAY(),"YM")&amp;" Bulan, "&amp;DATEDIF(S527,TODAY(),"MD")&amp;" Hari")</f>
        <v>21 Tahun, 9 Bulan, 18 Hari</v>
      </c>
      <c r="AC527" s="18" t="n">
        <v>45881</v>
      </c>
      <c r="AD527" s="18" t="n">
        <v>45915</v>
      </c>
      <c r="AE527" s="18" t="s">
        <v>44</v>
      </c>
    </row>
    <row r="528" customFormat="false" ht="15.75" hidden="false" customHeight="true" outlineLevel="0" collapsed="false">
      <c r="A528" s="12" t="n">
        <v>20570</v>
      </c>
      <c r="B528" s="13" t="s">
        <v>2376</v>
      </c>
      <c r="C528" s="14" t="n">
        <v>45877</v>
      </c>
      <c r="D528" s="13" t="s">
        <v>2033</v>
      </c>
      <c r="E528" s="15" t="s">
        <v>47</v>
      </c>
      <c r="F528" s="15" t="str">
        <f aca="false">IFERROR(__xludf.dummyfunction("XLOOKUP(AJ528,IMPORTRANGE(""1XaInW9DU9nz21V0tYIfzFQ0He9kVQ_JF2mCXgZ3hqFA"",""REKAP ALL 2026 - Andika!G:G""),IMPORTRANGE(""1XaInW9DU9nz21V0tYIfzFQ0He9kVQ_JF2mCXgZ3hqFA"",""REKAP ALL 2026 - Andika!F:F""),"""",0)"),"26005755835")</f>
        <v>26005755835</v>
      </c>
      <c r="G528" s="13" t="s">
        <v>1127</v>
      </c>
      <c r="H528" s="13" t="s">
        <v>2035</v>
      </c>
      <c r="I528" s="13" t="str">
        <f aca="false">IF(C528=J528,"NEW KONTRAK","RE-KONTRAK")</f>
        <v>NEW KONTRAK</v>
      </c>
      <c r="J528" s="16" t="n">
        <f aca="false" t="array" ref="J528:J528">IFERROR(INDEX(AC528:AE528,IF(COUNTA(AC528:AE528)=0,"",MAX((AC528:AE528&lt;&gt;"")*(COLUMN(AC528:AE528)-(COLUMN(AC528)))))-1),"")</f>
        <v>45877</v>
      </c>
      <c r="K528" s="16" t="n">
        <f aca="false" t="array" ref="K528:K528">IFERROR(INDEX(AC528:AE528,IF(COUNTA(AC528:AE528)=0,"",MAX((AC528:AE528&lt;&gt;"")*(COLUMN(AC528:AE528)-(COLUMN(AC528)-1))))-1),"")</f>
        <v>45915</v>
      </c>
      <c r="L528" s="17" t="str">
        <f aca="false" t="array" ref="L528:L528">IFERROR(INDEX(AC528:AE528,IF(COUNTA(AC528:AE528)=0,"",MAX((AC528:AE528&lt;&gt;"")*(COLUMN(AC528:AE528)-(COLUMN(AC528)-2))))-1),"")</f>
        <v>ARCHIVED</v>
      </c>
      <c r="M528" s="13" t="n">
        <f aca="true">K528-TODAY()</f>
        <v>-409</v>
      </c>
      <c r="N528" s="51" t="s">
        <v>2377</v>
      </c>
      <c r="O528" s="13" t="s">
        <v>2037</v>
      </c>
      <c r="P528" s="19" t="n">
        <v>4155318</v>
      </c>
      <c r="Q528" s="47" t="s">
        <v>2378</v>
      </c>
      <c r="R528" s="13" t="s">
        <v>2379</v>
      </c>
      <c r="S528" s="16" t="n">
        <v>38030</v>
      </c>
      <c r="T528" s="13" t="s">
        <v>108</v>
      </c>
      <c r="U528" s="13" t="s">
        <v>2380</v>
      </c>
      <c r="V528" s="13" t="s">
        <v>42</v>
      </c>
      <c r="W528" s="13" t="s">
        <v>43</v>
      </c>
      <c r="X528" s="21" t="n">
        <v>83153820067</v>
      </c>
      <c r="Y528" s="22" t="str">
        <f aca="false">O528</f>
        <v>SPG/BA</v>
      </c>
      <c r="Z528" s="13" t="str">
        <f aca="false">IFERROR(__xludf.dummyfunction("if(BJ528="""","""",GOOGLETRANSLATE(BJ528,""auto"",""en""))"),"SPG/BA")</f>
        <v>SPG/BA</v>
      </c>
      <c r="AA528" s="23" t="str">
        <f aca="false">IF(C528="","", CHOOSE(MONTH(C528),"January","February","March","April","May","June","July","August","September","October","November","December")&amp;" "&amp;DAY(C528)&amp;MID("thstndrdth",MIN(9,2*RIGHT(DAY(C528))*(MOD(DAY(C528)-11,100)&gt;2)+1),2)&amp;","&amp;TEXT(C528," yyyy"))</f>
        <v>August 8th,2025</v>
      </c>
      <c r="AB528" s="15" t="str">
        <f aca="true">IF(S528="","",DATEDIF(S528,TODAY(),"Y")&amp;" Tahun, "&amp;DATEDIF(S528,TODAY(),"YM")&amp;" Bulan, "&amp;DATEDIF(S528,TODAY(),"MD")&amp;" Hari")</f>
        <v>22 Tahun, 8 Bulan, 16 Hari</v>
      </c>
      <c r="AC528" s="18" t="n">
        <v>45877</v>
      </c>
      <c r="AD528" s="18" t="n">
        <v>45915</v>
      </c>
      <c r="AE528" s="18" t="s">
        <v>44</v>
      </c>
    </row>
    <row r="529" customFormat="false" ht="15.75" hidden="false" customHeight="true" outlineLevel="0" collapsed="false">
      <c r="A529" s="12" t="n">
        <v>22900</v>
      </c>
      <c r="B529" s="13" t="s">
        <v>2381</v>
      </c>
      <c r="C529" s="14" t="n">
        <v>46266</v>
      </c>
      <c r="D529" s="13" t="s">
        <v>2033</v>
      </c>
      <c r="E529" s="13" t="s">
        <v>47</v>
      </c>
      <c r="F529" s="24" t="s">
        <v>2382</v>
      </c>
      <c r="G529" s="13" t="s">
        <v>1452</v>
      </c>
      <c r="H529" s="13" t="s">
        <v>35</v>
      </c>
      <c r="I529" s="13" t="str">
        <f aca="false">IF(C529=J529,"NEW KONTRAK","RE-KONTRAK")</f>
        <v>NEW KONTRAK</v>
      </c>
      <c r="J529" s="16" t="n">
        <f aca="false" t="array" ref="J529:J529">IFERROR(INDEX(AC529:AE529,IF(COUNTA(AC529:AE529)=0,"",MAX((AC529:AE529&lt;&gt;"")*(COLUMN(AC529:AE529)-(COLUMN(AC529)))))-1),"")</f>
        <v>46266</v>
      </c>
      <c r="K529" s="16" t="n">
        <f aca="false" t="array" ref="K529:K529">IFERROR(INDEX(AC529:AE529,IF(COUNTA(AC529:AE529)=0,"",MAX((AC529:AE529&lt;&gt;"")*(COLUMN(AC529:AE529)-(COLUMN(AC529)-1))))-1),"")</f>
        <v>46402</v>
      </c>
      <c r="L529" s="17" t="str">
        <f aca="false" t="array" ref="L529:L529">IFERROR(INDEX(AC529:AE529,IF(COUNTA(AC529:AE529)=0,"",MAX((AC529:AE529&lt;&gt;"")*(COLUMN(AC529:AE529)-(COLUMN(AC529)-2))))-1),"")</f>
        <v>KEMBALI ONLINE</v>
      </c>
      <c r="M529" s="13" t="n">
        <f aca="true">K529-TODAY()</f>
        <v>78</v>
      </c>
      <c r="N529" s="13" t="s">
        <v>2383</v>
      </c>
      <c r="O529" s="13" t="s">
        <v>2384</v>
      </c>
      <c r="P529" s="26" t="n">
        <v>3998179</v>
      </c>
      <c r="Q529" s="20" t="s">
        <v>2385</v>
      </c>
      <c r="R529" s="13" t="s">
        <v>2383</v>
      </c>
      <c r="S529" s="25" t="n">
        <v>37500</v>
      </c>
      <c r="T529" s="13" t="s">
        <v>108</v>
      </c>
      <c r="U529" s="13" t="s">
        <v>2386</v>
      </c>
      <c r="V529" s="13" t="s">
        <v>42</v>
      </c>
      <c r="W529" s="13" t="s">
        <v>43</v>
      </c>
      <c r="X529" s="21" t="n">
        <v>87819288121</v>
      </c>
      <c r="Y529" s="22" t="str">
        <f aca="false">O529</f>
        <v>SPG</v>
      </c>
      <c r="Z529" s="13" t="str">
        <f aca="false">IFERROR(__xludf.dummyfunction("if(BJ529="""","""",GOOGLETRANSLATE(BJ529,""auto"",""en""))"),"SPG")</f>
        <v>SPG</v>
      </c>
      <c r="AA529" s="23" t="str">
        <f aca="false">IF(C529="","", CHOOSE(MONTH(C529),"January","February","March","April","May","June","July","August","September","October","November","December")&amp;" "&amp;DAY(C529)&amp;MID("thstndrdth",MIN(9,2*RIGHT(DAY(C529))*(MOD(DAY(C529)-11,100)&gt;2)+1),2)&amp;","&amp;TEXT(C529," yyyy"))</f>
        <v>September 1st,2026</v>
      </c>
      <c r="AB529" s="15" t="str">
        <f aca="true">IF(S529="","",DATEDIF(S529,TODAY(),"Y")&amp;" Tahun, "&amp;DATEDIF(S529,TODAY(),"YM")&amp;" Bulan, "&amp;DATEDIF(S529,TODAY(),"MD")&amp;" Hari")</f>
        <v>24 Tahun, 1 Bulan, 28 Hari</v>
      </c>
      <c r="AC529" s="14" t="n">
        <v>46266</v>
      </c>
      <c r="AD529" s="18" t="n">
        <v>46402</v>
      </c>
      <c r="AE529" s="13" t="s">
        <v>2387</v>
      </c>
    </row>
    <row r="530" customFormat="false" ht="15.75" hidden="false" customHeight="true" outlineLevel="0" collapsed="false">
      <c r="A530" s="12" t="n">
        <v>3053</v>
      </c>
      <c r="B530" s="13" t="s">
        <v>2388</v>
      </c>
      <c r="C530" s="14" t="n">
        <v>44033</v>
      </c>
      <c r="D530" s="13" t="s">
        <v>2033</v>
      </c>
      <c r="E530" s="15" t="s">
        <v>102</v>
      </c>
      <c r="F530" s="15" t="str">
        <f aca="false">IFERROR(__xludf.dummyfunction("XLOOKUP(AJ530,IMPORTRANGE(""1XaInW9DU9nz21V0tYIfzFQ0He9kVQ_JF2mCXgZ3hqFA"",""REKAP ALL 2026 - Andika!G:G""),IMPORTRANGE(""1XaInW9DU9nz21V0tYIfzFQ0He9kVQ_JF2mCXgZ3hqFA"",""REKAP ALL 2026 - Andika!F:F""),"""",0)"),"21024739027")</f>
        <v>21024739027</v>
      </c>
      <c r="G530" s="13" t="s">
        <v>2389</v>
      </c>
      <c r="H530" s="13" t="s">
        <v>2035</v>
      </c>
      <c r="I530" s="13" t="str">
        <f aca="false">IF(C530=J530,"NEW KONTRAK","RE-KONTRAK")</f>
        <v>RE-KONTRAK</v>
      </c>
      <c r="J530" s="16" t="n">
        <f aca="false" t="array" ref="J530:J530">IFERROR(INDEX(AC530:AE530,IF(COUNTA(AC530:AE530)=0,"",MAX((AC530:AE530&lt;&gt;"")*(COLUMN(AC530:AE530)-(COLUMN(AC530)))))-1),"")</f>
        <v>45744</v>
      </c>
      <c r="K530" s="16" t="n">
        <f aca="false" t="array" ref="K530:K530">IFERROR(INDEX(AC530:AE530,IF(COUNTA(AC530:AE530)=0,"",MAX((AC530:AE530&lt;&gt;"")*(COLUMN(AC530:AE530)-(COLUMN(AC530)-1))))-1),"")</f>
        <v>45915</v>
      </c>
      <c r="L530" s="17" t="str">
        <f aca="false" t="array" ref="L530:L530">IFERROR(INDEX(AC530:AE530,IF(COUNTA(AC530:AE530)=0,"",MAX((AC530:AE530&lt;&gt;"")*(COLUMN(AC530:AE530)-(COLUMN(AC530)-2))))-1),"")</f>
        <v>ARCHIVED</v>
      </c>
      <c r="M530" s="13" t="n">
        <f aca="true">K530-TODAY()</f>
        <v>-409</v>
      </c>
      <c r="N530" s="18" t="s">
        <v>2390</v>
      </c>
      <c r="O530" s="13" t="s">
        <v>2037</v>
      </c>
      <c r="P530" s="19" t="n">
        <v>3916635</v>
      </c>
      <c r="Q530" s="20" t="s">
        <v>2391</v>
      </c>
      <c r="R530" s="13" t="s">
        <v>2392</v>
      </c>
      <c r="S530" s="14" t="n">
        <v>33978</v>
      </c>
      <c r="T530" s="13" t="s">
        <v>108</v>
      </c>
      <c r="U530" s="13" t="s">
        <v>2393</v>
      </c>
      <c r="V530" s="13" t="s">
        <v>42</v>
      </c>
      <c r="W530" s="13" t="s">
        <v>54</v>
      </c>
      <c r="X530" s="21" t="n">
        <v>88747377511</v>
      </c>
      <c r="Y530" s="22" t="str">
        <f aca="false">O530</f>
        <v>SPG/BA</v>
      </c>
      <c r="Z530" s="13" t="str">
        <f aca="false">IFERROR(__xludf.dummyfunction("if(BJ530="""","""",GOOGLETRANSLATE(BJ530,""auto"",""en""))"),"SPG/BA")</f>
        <v>SPG/BA</v>
      </c>
      <c r="AA530" s="23" t="str">
        <f aca="false">IF(C530="","", CHOOSE(MONTH(C530),"January","February","March","April","May","June","July","August","September","October","November","December")&amp;" "&amp;DAY(C530)&amp;MID("thstndrdth",MIN(9,2*RIGHT(DAY(C530))*(MOD(DAY(C530)-11,100)&gt;2)+1),2)&amp;","&amp;TEXT(C530," yyyy"))</f>
        <v>July 21st,2020</v>
      </c>
      <c r="AB530" s="15" t="str">
        <f aca="true">IF(S530="","",DATEDIF(S530,TODAY(),"Y")&amp;" Tahun, "&amp;DATEDIF(S530,TODAY(),"YM")&amp;" Bulan, "&amp;DATEDIF(S530,TODAY(),"MD")&amp;" Hari")</f>
        <v>33 Tahun, 9 Bulan, 20 Hari</v>
      </c>
      <c r="AC530" s="18" t="n">
        <v>45744</v>
      </c>
      <c r="AD530" s="18" t="n">
        <v>45915</v>
      </c>
      <c r="AE530" s="18" t="s">
        <v>44</v>
      </c>
    </row>
    <row r="531" customFormat="false" ht="15.75" hidden="false" customHeight="true" outlineLevel="0" collapsed="false">
      <c r="A531" s="12" t="n">
        <v>3055</v>
      </c>
      <c r="B531" s="13" t="s">
        <v>2394</v>
      </c>
      <c r="C531" s="14" t="n">
        <v>44275</v>
      </c>
      <c r="D531" s="13" t="s">
        <v>2033</v>
      </c>
      <c r="E531" s="15" t="s">
        <v>102</v>
      </c>
      <c r="F531" s="15" t="str">
        <f aca="false">IFERROR(__xludf.dummyfunction("XLOOKUP(AJ531,IMPORTRANGE(""1XaInW9DU9nz21V0tYIfzFQ0He9kVQ_JF2mCXgZ3hqFA"",""REKAP ALL 2026 - Andika!G:G""),IMPORTRANGE(""1XaInW9DU9nz21V0tYIfzFQ0He9kVQ_JF2mCXgZ3hqFA"",""REKAP ALL 2026 - Andika!F:F""),"""",0)"),"16038175119")</f>
        <v>16038175119</v>
      </c>
      <c r="G531" s="13" t="s">
        <v>2395</v>
      </c>
      <c r="H531" s="13" t="s">
        <v>2035</v>
      </c>
      <c r="I531" s="13" t="str">
        <f aca="false">IF(C531=J531,"NEW KONTRAK","RE-KONTRAK")</f>
        <v>RE-KONTRAK</v>
      </c>
      <c r="J531" s="16" t="n">
        <f aca="false" t="array" ref="J531:J531">IFERROR(INDEX(AC531:AE531,IF(COUNTA(AC531:AE531)=0,"",MAX((AC531:AE531&lt;&gt;"")*(COLUMN(AC531:AE531)-(COLUMN(AC531)))))-1),"")</f>
        <v>45744</v>
      </c>
      <c r="K531" s="16" t="n">
        <f aca="false" t="array" ref="K531:K531">IFERROR(INDEX(AC531:AE531,IF(COUNTA(AC531:AE531)=0,"",MAX((AC531:AE531&lt;&gt;"")*(COLUMN(AC531:AE531)-(COLUMN(AC531)-1))))-1),"")</f>
        <v>45915</v>
      </c>
      <c r="L531" s="17" t="str">
        <f aca="false" t="array" ref="L531:L531">IFERROR(INDEX(AC531:AE531,IF(COUNTA(AC531:AE531)=0,"",MAX((AC531:AE531&lt;&gt;"")*(COLUMN(AC531:AE531)-(COLUMN(AC531)-2))))-1),"")</f>
        <v>ARCHIVED</v>
      </c>
      <c r="M531" s="13" t="n">
        <f aca="true">K531-TODAY()</f>
        <v>-409</v>
      </c>
      <c r="N531" s="18" t="s">
        <v>2363</v>
      </c>
      <c r="O531" s="13" t="s">
        <v>2037</v>
      </c>
      <c r="P531" s="19" t="n">
        <v>4014072</v>
      </c>
      <c r="Q531" s="20" t="s">
        <v>2396</v>
      </c>
      <c r="R531" s="13" t="s">
        <v>2363</v>
      </c>
      <c r="S531" s="14" t="n">
        <v>35570</v>
      </c>
      <c r="T531" s="13" t="s">
        <v>108</v>
      </c>
      <c r="U531" s="13" t="s">
        <v>2397</v>
      </c>
      <c r="V531" s="13" t="s">
        <v>42</v>
      </c>
      <c r="W531" s="13" t="s">
        <v>43</v>
      </c>
      <c r="X531" s="21" t="n">
        <v>82383788074</v>
      </c>
      <c r="Y531" s="22" t="str">
        <f aca="false">O531</f>
        <v>SPG/BA</v>
      </c>
      <c r="Z531" s="13" t="str">
        <f aca="false">IFERROR(__xludf.dummyfunction("if(BJ531="""","""",GOOGLETRANSLATE(BJ531,""auto"",""en""))"),"SPG/BA")</f>
        <v>SPG/BA</v>
      </c>
      <c r="AA531" s="23" t="str">
        <f aca="false">IF(C531="","", CHOOSE(MONTH(C531),"January","February","March","April","May","June","July","August","September","October","November","December")&amp;" "&amp;DAY(C531)&amp;MID("thstndrdth",MIN(9,2*RIGHT(DAY(C531))*(MOD(DAY(C531)-11,100)&gt;2)+1),2)&amp;","&amp;TEXT(C531," yyyy"))</f>
        <v>March 20th,2021</v>
      </c>
      <c r="AB531" s="15" t="str">
        <f aca="true">IF(S531="","",DATEDIF(S531,TODAY(),"Y")&amp;" Tahun, "&amp;DATEDIF(S531,TODAY(),"YM")&amp;" Bulan, "&amp;DATEDIF(S531,TODAY(),"MD")&amp;" Hari")</f>
        <v>29 Tahun, 5 Bulan, 9 Hari</v>
      </c>
      <c r="AC531" s="18" t="n">
        <v>45744</v>
      </c>
      <c r="AD531" s="18" t="n">
        <v>45915</v>
      </c>
      <c r="AE531" s="18" t="s">
        <v>44</v>
      </c>
    </row>
    <row r="532" customFormat="false" ht="15.75" hidden="false" customHeight="true" outlineLevel="0" collapsed="false">
      <c r="A532" s="12" t="n">
        <v>10553</v>
      </c>
      <c r="B532" s="13" t="s">
        <v>2398</v>
      </c>
      <c r="C532" s="14" t="n">
        <v>45033</v>
      </c>
      <c r="D532" s="13" t="s">
        <v>2033</v>
      </c>
      <c r="E532" s="15" t="s">
        <v>47</v>
      </c>
      <c r="F532" s="15" t="str">
        <f aca="false">IFERROR(__xludf.dummyfunction("XLOOKUP(AJ532,IMPORTRANGE(""1XaInW9DU9nz21V0tYIfzFQ0He9kVQ_JF2mCXgZ3hqFA"",""REKAP ALL 2026 - Andika!G:G""),IMPORTRANGE(""1XaInW9DU9nz21V0tYIfzFQ0He9kVQ_JF2mCXgZ3hqFA"",""REKAP ALL 2026 - Andika!F:F""),"""",0)"),"23057165385")</f>
        <v>23057165385</v>
      </c>
      <c r="G532" s="13" t="s">
        <v>2399</v>
      </c>
      <c r="H532" s="13" t="s">
        <v>2035</v>
      </c>
      <c r="I532" s="13" t="str">
        <f aca="false">IF(C532=J532,"NEW KONTRAK","RE-KONTRAK")</f>
        <v>RE-KONTRAK</v>
      </c>
      <c r="J532" s="16" t="n">
        <f aca="false" t="array" ref="J532:J532">IFERROR(INDEX(AC532:AE532,IF(COUNTA(AC532:AE532)=0,"",MAX((AC532:AE532&lt;&gt;"")*(COLUMN(AC532:AE532)-(COLUMN(AC532)))))-1),"")</f>
        <v>45744</v>
      </c>
      <c r="K532" s="16" t="n">
        <f aca="false" t="array" ref="K532:K532">IFERROR(INDEX(AC532:AE532,IF(COUNTA(AC532:AE532)=0,"",MAX((AC532:AE532&lt;&gt;"")*(COLUMN(AC532:AE532)-(COLUMN(AC532)-1))))-1),"")</f>
        <v>45915</v>
      </c>
      <c r="L532" s="17" t="str">
        <f aca="false" t="array" ref="L532:L532">IFERROR(INDEX(AC532:AE532,IF(COUNTA(AC532:AE532)=0,"",MAX((AC532:AE532&lt;&gt;"")*(COLUMN(AC532:AE532)-(COLUMN(AC532)-2))))-1),"")</f>
        <v>ARCHIVED</v>
      </c>
      <c r="M532" s="13" t="n">
        <f aca="true">K532-TODAY()</f>
        <v>-409</v>
      </c>
      <c r="N532" s="18" t="s">
        <v>2373</v>
      </c>
      <c r="O532" s="13" t="s">
        <v>2037</v>
      </c>
      <c r="P532" s="19" t="n">
        <v>2570000</v>
      </c>
      <c r="Q532" s="20" t="s">
        <v>2400</v>
      </c>
      <c r="R532" s="13" t="s">
        <v>97</v>
      </c>
      <c r="S532" s="14" t="n">
        <v>29335</v>
      </c>
      <c r="T532" s="13" t="s">
        <v>108</v>
      </c>
      <c r="U532" s="13" t="s">
        <v>2401</v>
      </c>
      <c r="V532" s="13" t="s">
        <v>42</v>
      </c>
      <c r="W532" s="13" t="s">
        <v>2402</v>
      </c>
      <c r="X532" s="21" t="n">
        <v>81227169910</v>
      </c>
      <c r="Y532" s="22" t="str">
        <f aca="false">O532</f>
        <v>SPG/BA</v>
      </c>
      <c r="Z532" s="13" t="str">
        <f aca="false">IFERROR(__xludf.dummyfunction("if(BJ532="""","""",GOOGLETRANSLATE(BJ532,""auto"",""en""))"),"SPG/BA")</f>
        <v>SPG/BA</v>
      </c>
      <c r="AA532" s="23" t="str">
        <f aca="false">IF(C532="","", CHOOSE(MONTH(C532),"January","February","March","April","May","June","July","August","September","October","November","December")&amp;" "&amp;DAY(C532)&amp;MID("thstndrdth",MIN(9,2*RIGHT(DAY(C532))*(MOD(DAY(C532)-11,100)&gt;2)+1),2)&amp;","&amp;TEXT(C532," yyyy"))</f>
        <v>April 17th,2023</v>
      </c>
      <c r="AB532" s="15" t="str">
        <f aca="true">IF(S532="","",DATEDIF(S532,TODAY(),"Y")&amp;" Tahun, "&amp;DATEDIF(S532,TODAY(),"YM")&amp;" Bulan, "&amp;DATEDIF(S532,TODAY(),"MD")&amp;" Hari")</f>
        <v>46 Tahun, 6 Bulan, 5 Hari</v>
      </c>
      <c r="AC532" s="18" t="n">
        <v>45744</v>
      </c>
      <c r="AD532" s="18" t="n">
        <v>45915</v>
      </c>
      <c r="AE532" s="18" t="s">
        <v>44</v>
      </c>
    </row>
    <row r="533" customFormat="false" ht="15.75" hidden="false" customHeight="true" outlineLevel="0" collapsed="false">
      <c r="A533" s="12" t="n">
        <v>22744</v>
      </c>
      <c r="B533" s="13" t="s">
        <v>2403</v>
      </c>
      <c r="C533" s="14" t="n">
        <v>46240</v>
      </c>
      <c r="D533" s="13" t="s">
        <v>2033</v>
      </c>
      <c r="E533" s="13" t="s">
        <v>47</v>
      </c>
      <c r="F533" s="24" t="s">
        <v>2404</v>
      </c>
      <c r="G533" s="13" t="s">
        <v>1452</v>
      </c>
      <c r="H533" s="13" t="s">
        <v>35</v>
      </c>
      <c r="I533" s="13" t="str">
        <f aca="false">IF(C533=J533,"NEW KONTRAK","RE-KONTRAK")</f>
        <v>NEW KONTRAK</v>
      </c>
      <c r="J533" s="16" t="n">
        <f aca="false" t="array" ref="J533:J533">IFERROR(INDEX(AC533:AE533,IF(COUNTA(AC533:AE533)=0,"",MAX((AC533:AE533&lt;&gt;"")*(COLUMN(AC533:AE533)-(COLUMN(AC533)))))-1),"")</f>
        <v>46240</v>
      </c>
      <c r="K533" s="16" t="n">
        <f aca="false" t="array" ref="K533:K533">IFERROR(INDEX(AC533:AE533,IF(COUNTA(AC533:AE533)=0,"",MAX((AC533:AE533&lt;&gt;"")*(COLUMN(AC533:AE533)-(COLUMN(AC533)-1))))-1),"")</f>
        <v>46402</v>
      </c>
      <c r="L533" s="17" t="str">
        <f aca="false" t="array" ref="L533:L533">IFERROR(INDEX(AC533:AE533,IF(COUNTA(AC533:AE533)=0,"",MAX((AC533:AE533&lt;&gt;"")*(COLUMN(AC533:AE533)-(COLUMN(AC533)-2))))-1),"")</f>
        <v>KEMBALI</v>
      </c>
      <c r="M533" s="13" t="n">
        <f aca="true">K533-TODAY()</f>
        <v>78</v>
      </c>
      <c r="N533" s="18" t="s">
        <v>2356</v>
      </c>
      <c r="O533" s="13" t="s">
        <v>2405</v>
      </c>
      <c r="P533" s="19" t="n">
        <v>4148179</v>
      </c>
      <c r="Q533" s="20" t="s">
        <v>2406</v>
      </c>
      <c r="R533" s="13" t="s">
        <v>2356</v>
      </c>
      <c r="S533" s="25" t="n">
        <v>37990</v>
      </c>
      <c r="T533" s="13" t="s">
        <v>40</v>
      </c>
      <c r="U533" s="13" t="s">
        <v>2407</v>
      </c>
      <c r="V533" s="13" t="s">
        <v>42</v>
      </c>
      <c r="W533" s="13" t="s">
        <v>43</v>
      </c>
      <c r="X533" s="21" t="n">
        <v>82343190181</v>
      </c>
      <c r="Y533" s="22" t="str">
        <f aca="false">O533</f>
        <v>BA PROMOTOR</v>
      </c>
      <c r="Z533" s="13" t="str">
        <f aca="false">IFERROR(__xludf.dummyfunction("if(BJ533="""","""",GOOGLETRANSLATE(BJ533,""auto"",""en""))"),"BA PROMOTER")</f>
        <v>BA PROMOTER</v>
      </c>
      <c r="AA533" s="23" t="str">
        <f aca="false">IF(C533="","", CHOOSE(MONTH(C533),"January","February","March","April","May","June","July","August","September","October","November","December")&amp;" "&amp;DAY(C533)&amp;MID("thstndrdth",MIN(9,2*RIGHT(DAY(C533))*(MOD(DAY(C533)-11,100)&gt;2)+1),2)&amp;","&amp;TEXT(C533," yyyy"))</f>
        <v>August 6th,2026</v>
      </c>
      <c r="AB533" s="15" t="str">
        <f aca="true">IF(S533="","",DATEDIF(S533,TODAY(),"Y")&amp;" Tahun, "&amp;DATEDIF(S533,TODAY(),"YM")&amp;" Bulan, "&amp;DATEDIF(S533,TODAY(),"MD")&amp;" Hari")</f>
        <v>22 Tahun, 9 Bulan, 25 Hari</v>
      </c>
      <c r="AC533" s="14" t="n">
        <v>46240</v>
      </c>
      <c r="AD533" s="18" t="n">
        <v>46402</v>
      </c>
      <c r="AE533" s="13" t="s">
        <v>397</v>
      </c>
    </row>
    <row r="534" customFormat="false" ht="15.75" hidden="false" customHeight="true" outlineLevel="0" collapsed="false">
      <c r="A534" s="12" t="n">
        <v>3064</v>
      </c>
      <c r="B534" s="13" t="s">
        <v>2408</v>
      </c>
      <c r="C534" s="14" t="n">
        <v>44337</v>
      </c>
      <c r="D534" s="13" t="s">
        <v>2033</v>
      </c>
      <c r="E534" s="15" t="s">
        <v>33</v>
      </c>
      <c r="F534" s="24" t="s">
        <v>2409</v>
      </c>
      <c r="G534" s="13" t="s">
        <v>2410</v>
      </c>
      <c r="H534" s="13" t="s">
        <v>2035</v>
      </c>
      <c r="I534" s="13" t="str">
        <f aca="false">IF(C534=J534,"NEW KONTRAK","RE-KONTRAK")</f>
        <v>RE-KONTRAK</v>
      </c>
      <c r="J534" s="16" t="n">
        <f aca="false" t="array" ref="J534:J534">IFERROR(INDEX(AC534:AE534,IF(COUNTA(AC534:AE534)=0,"",MAX((AC534:AE534&lt;&gt;"")*(COLUMN(AC534:AE534)-(COLUMN(AC534)))))-1),"")</f>
        <v>45744</v>
      </c>
      <c r="K534" s="16" t="n">
        <f aca="false" t="array" ref="K534:K534">IFERROR(INDEX(AC534:AE534,IF(COUNTA(AC534:AE534)=0,"",MAX((AC534:AE534&lt;&gt;"")*(COLUMN(AC534:AE534)-(COLUMN(AC534)-1))))-1),"")</f>
        <v>45915</v>
      </c>
      <c r="L534" s="17" t="str">
        <f aca="false" t="array" ref="L534:L534">IFERROR(INDEX(AC534:AE534,IF(COUNTA(AC534:AE534)=0,"",MAX((AC534:AE534&lt;&gt;"")*(COLUMN(AC534:AE534)-(COLUMN(AC534)-2))))-1),"")</f>
        <v>ARCHIVED</v>
      </c>
      <c r="M534" s="13" t="n">
        <f aca="true">K534-TODAY()</f>
        <v>-409</v>
      </c>
      <c r="N534" s="18" t="s">
        <v>2373</v>
      </c>
      <c r="O534" s="13" t="s">
        <v>2037</v>
      </c>
      <c r="P534" s="19" t="n">
        <v>2569070</v>
      </c>
      <c r="Q534" s="20" t="s">
        <v>2411</v>
      </c>
      <c r="R534" s="13" t="s">
        <v>222</v>
      </c>
      <c r="S534" s="14" t="n">
        <v>36235</v>
      </c>
      <c r="T534" s="13" t="s">
        <v>108</v>
      </c>
      <c r="U534" s="13" t="s">
        <v>2412</v>
      </c>
      <c r="V534" s="13" t="s">
        <v>42</v>
      </c>
      <c r="W534" s="13" t="s">
        <v>43</v>
      </c>
      <c r="X534" s="21" t="n">
        <v>85641082066</v>
      </c>
      <c r="Y534" s="22" t="str">
        <f aca="false">O534</f>
        <v>SPG/BA</v>
      </c>
      <c r="Z534" s="13" t="str">
        <f aca="false">IFERROR(__xludf.dummyfunction("if(BJ534="""","""",GOOGLETRANSLATE(BJ534,""auto"",""en""))"),"SPG/BA")</f>
        <v>SPG/BA</v>
      </c>
      <c r="AA534" s="23" t="str">
        <f aca="false">IF(C534="","", CHOOSE(MONTH(C534),"January","February","March","April","May","June","July","August","September","October","November","December")&amp;" "&amp;DAY(C534)&amp;MID("thstndrdth",MIN(9,2*RIGHT(DAY(C534))*(MOD(DAY(C534)-11,100)&gt;2)+1),2)&amp;","&amp;TEXT(C534," yyyy"))</f>
        <v>May 21st,2021</v>
      </c>
      <c r="AB534" s="15" t="str">
        <f aca="true">IF(S534="","",DATEDIF(S534,TODAY(),"Y")&amp;" Tahun, "&amp;DATEDIF(S534,TODAY(),"YM")&amp;" Bulan, "&amp;DATEDIF(S534,TODAY(),"MD")&amp;" Hari")</f>
        <v>27 Tahun, 7 Bulan, 13 Hari</v>
      </c>
      <c r="AC534" s="18" t="n">
        <v>45744</v>
      </c>
      <c r="AD534" s="18" t="n">
        <v>45915</v>
      </c>
      <c r="AE534" s="18" t="s">
        <v>44</v>
      </c>
    </row>
    <row r="535" customFormat="false" ht="15.75" hidden="false" customHeight="true" outlineLevel="0" collapsed="false">
      <c r="A535" s="12" t="n">
        <v>21047</v>
      </c>
      <c r="B535" s="13" t="s">
        <v>2413</v>
      </c>
      <c r="C535" s="16" t="n">
        <v>45938</v>
      </c>
      <c r="D535" s="13" t="s">
        <v>2033</v>
      </c>
      <c r="E535" s="15" t="s">
        <v>47</v>
      </c>
      <c r="F535" s="15" t="str">
        <f aca="false">IFERROR(__xludf.dummyfunction("XLOOKUP(AJ535,IMPORTRANGE(""1XaInW9DU9nz21V0tYIfzFQ0He9kVQ_JF2mCXgZ3hqFA"",""REKAP ALL 2026 - Andika!G:G""),IMPORTRANGE(""1XaInW9DU9nz21V0tYIfzFQ0He9kVQ_JF2mCXgZ3hqFA"",""REKAP ALL 2026 - Andika!F:F""),"""",0)"),"25157577773")</f>
        <v>25157577773</v>
      </c>
      <c r="G535" s="13" t="s">
        <v>1127</v>
      </c>
      <c r="H535" s="13" t="s">
        <v>35</v>
      </c>
      <c r="I535" s="13" t="str">
        <f aca="false">IF(C535=J535,"NEW KONTRAK","RE-KONTRAK")</f>
        <v>NEW KONTRAK</v>
      </c>
      <c r="J535" s="16" t="n">
        <f aca="false" t="array" ref="J535:J535">IFERROR(INDEX(AC535:AE535,IF(COUNTA(AC535:AE535)=0,"",MAX((AC535:AE535&lt;&gt;"")*(COLUMN(AC535:AE535)-(COLUMN(AC535)))))-1),"")</f>
        <v>45938</v>
      </c>
      <c r="K535" s="16" t="n">
        <f aca="false" t="array" ref="K535:K535">IFERROR(INDEX(AC535:AE535,IF(COUNTA(AC535:AE535)=0,"",MAX((AC535:AE535&lt;&gt;"")*(COLUMN(AC535:AE535)-(COLUMN(AC535)-1))))-1),"")</f>
        <v>46037</v>
      </c>
      <c r="L535" s="17" t="str">
        <f aca="false" t="array" ref="L535:L535">IFERROR(INDEX(AC535:AE535,IF(COUNTA(AC535:AE535)=0,"",MAX((AC535:AE535&lt;&gt;"")*(COLUMN(AC535:AE535)-(COLUMN(AC535)-2))))-1),"")</f>
        <v>ARCHIVED</v>
      </c>
      <c r="M535" s="13" t="n">
        <f aca="true">K535-TODAY()</f>
        <v>-287</v>
      </c>
      <c r="N535" s="18" t="s">
        <v>2414</v>
      </c>
      <c r="O535" s="13" t="s">
        <v>2037</v>
      </c>
      <c r="P535" s="19" t="n">
        <v>2474599</v>
      </c>
      <c r="Q535" s="47" t="s">
        <v>2415</v>
      </c>
      <c r="R535" s="13" t="s">
        <v>2416</v>
      </c>
      <c r="S535" s="14" t="n">
        <v>33461</v>
      </c>
      <c r="T535" s="13" t="s">
        <v>108</v>
      </c>
      <c r="U535" s="13" t="s">
        <v>2417</v>
      </c>
      <c r="V535" s="13" t="s">
        <v>42</v>
      </c>
      <c r="W535" s="13" t="s">
        <v>54</v>
      </c>
      <c r="X535" s="21" t="s">
        <v>2418</v>
      </c>
      <c r="Y535" s="22" t="str">
        <f aca="false">O535</f>
        <v>SPG/BA</v>
      </c>
      <c r="Z535" s="13" t="str">
        <f aca="false">IFERROR(__xludf.dummyfunction("if(BJ535="""","""",GOOGLETRANSLATE(BJ535,""auto"",""en""))"),"SPG/BA")</f>
        <v>SPG/BA</v>
      </c>
      <c r="AA535" s="23" t="str">
        <f aca="false">IF(C535="","", CHOOSE(MONTH(C535),"January","February","March","April","May","June","July","August","September","October","November","December")&amp;" "&amp;DAY(C535)&amp;MID("thstndrdth",MIN(9,2*RIGHT(DAY(C535))*(MOD(DAY(C535)-11,100)&gt;2)+1),2)&amp;","&amp;TEXT(C535," yyyy"))</f>
        <v>October 8th,2025</v>
      </c>
      <c r="AB535" s="15" t="str">
        <f aca="true">IF(S535="","",DATEDIF(S535,TODAY(),"Y")&amp;" Tahun, "&amp;DATEDIF(S535,TODAY(),"YM")&amp;" Bulan, "&amp;DATEDIF(S535,TODAY(),"MD")&amp;" Hari")</f>
        <v>35 Tahun, 2 Bulan, 18 Hari</v>
      </c>
      <c r="AC535" s="18" t="n">
        <v>45938</v>
      </c>
      <c r="AD535" s="18" t="n">
        <v>46037</v>
      </c>
      <c r="AE535" s="13" t="s">
        <v>44</v>
      </c>
    </row>
    <row r="536" customFormat="false" ht="15.75" hidden="false" customHeight="true" outlineLevel="0" collapsed="false">
      <c r="A536" s="12" t="n">
        <v>23016</v>
      </c>
      <c r="B536" s="13" t="s">
        <v>2419</v>
      </c>
      <c r="C536" s="14" t="n">
        <v>46302</v>
      </c>
      <c r="D536" s="13" t="s">
        <v>2033</v>
      </c>
      <c r="E536" s="13" t="s">
        <v>47</v>
      </c>
      <c r="F536" s="24" t="s">
        <v>2420</v>
      </c>
      <c r="G536" s="13" t="s">
        <v>1127</v>
      </c>
      <c r="H536" s="13" t="s">
        <v>35</v>
      </c>
      <c r="I536" s="13" t="str">
        <f aca="false">IF(C536=J536,"NEW KONTRAK","RE-KONTRAK")</f>
        <v>NEW KONTRAK</v>
      </c>
      <c r="J536" s="16" t="n">
        <f aca="false" t="array" ref="J536:J536">IFERROR(INDEX(AC536:AE536,IF(COUNTA(AC536:AE536)=0,"",MAX((AC536:AE536&lt;&gt;"")*(COLUMN(AC536:AE536)-(COLUMN(AC536)))))-1),"")</f>
        <v>46302</v>
      </c>
      <c r="K536" s="16" t="n">
        <f aca="false" t="array" ref="K536:K536">IFERROR(INDEX(AC536:AE536,IF(COUNTA(AC536:AE536)=0,"",MAX((AC536:AE536&lt;&gt;"")*(COLUMN(AC536:AE536)-(COLUMN(AC536)-1))))-1),"")</f>
        <v>46402</v>
      </c>
      <c r="L536" s="17" t="str">
        <f aca="false" t="array" ref="L536:L536">IFERROR(INDEX(AC536:AE536,IF(COUNTA(AC536:AE536)=0,"",MAX((AC536:AE536&lt;&gt;"")*(COLUMN(AC536:AE536)-(COLUMN(AC536)-2))))-1),"")</f>
        <v>DRAFTED ONLINE</v>
      </c>
      <c r="M536" s="13" t="n">
        <f aca="true">K536-TODAY()</f>
        <v>78</v>
      </c>
      <c r="N536" s="13" t="s">
        <v>2421</v>
      </c>
      <c r="O536" s="13" t="s">
        <v>2384</v>
      </c>
      <c r="P536" s="26" t="n">
        <v>3367913</v>
      </c>
      <c r="Q536" s="20" t="s">
        <v>2422</v>
      </c>
      <c r="R536" s="13" t="s">
        <v>2363</v>
      </c>
      <c r="S536" s="25" t="n">
        <v>38096</v>
      </c>
      <c r="T536" s="13" t="s">
        <v>108</v>
      </c>
      <c r="U536" s="13" t="s">
        <v>2423</v>
      </c>
      <c r="V536" s="13" t="s">
        <v>42</v>
      </c>
      <c r="W536" s="13" t="s">
        <v>43</v>
      </c>
      <c r="X536" s="21" t="n">
        <v>83132372667</v>
      </c>
      <c r="Y536" s="22" t="str">
        <f aca="false">O536</f>
        <v>SPG</v>
      </c>
      <c r="Z536" s="13" t="str">
        <f aca="false">IFERROR(__xludf.dummyfunction("if(BJ536="""","""",GOOGLETRANSLATE(BJ536,""auto"",""en""))"),"SPG")</f>
        <v>SPG</v>
      </c>
      <c r="AA536" s="23" t="str">
        <f aca="false">IF(C536="","", CHOOSE(MONTH(C536),"January","February","March","April","May","June","July","August","September","October","November","December")&amp;" "&amp;DAY(C536)&amp;MID("thstndrdth",MIN(9,2*RIGHT(DAY(C536))*(MOD(DAY(C536)-11,100)&gt;2)+1),2)&amp;","&amp;TEXT(C536," yyyy"))</f>
        <v>October 7th,2026</v>
      </c>
      <c r="AB536" s="15" t="str">
        <f aca="true">IF(S536="","",DATEDIF(S536,TODAY(),"Y")&amp;" Tahun, "&amp;DATEDIF(S536,TODAY(),"YM")&amp;" Bulan, "&amp;DATEDIF(S536,TODAY(),"MD")&amp;" Hari")</f>
        <v>22 Tahun, 6 Bulan, 10 Hari</v>
      </c>
      <c r="AC536" s="14" t="n">
        <v>46302</v>
      </c>
      <c r="AD536" s="18" t="n">
        <v>46402</v>
      </c>
      <c r="AE536" s="13" t="s">
        <v>2424</v>
      </c>
    </row>
    <row r="537" customFormat="false" ht="15.75" hidden="false" customHeight="true" outlineLevel="0" collapsed="false">
      <c r="A537" s="12" t="n">
        <v>22739</v>
      </c>
      <c r="B537" s="13" t="s">
        <v>2425</v>
      </c>
      <c r="C537" s="14" t="n">
        <v>46234</v>
      </c>
      <c r="D537" s="13" t="s">
        <v>2033</v>
      </c>
      <c r="E537" s="13" t="s">
        <v>47</v>
      </c>
      <c r="F537" s="24" t="s">
        <v>2426</v>
      </c>
      <c r="G537" s="13" t="s">
        <v>1452</v>
      </c>
      <c r="H537" s="13" t="s">
        <v>35</v>
      </c>
      <c r="I537" s="13" t="str">
        <f aca="false">IF(C537=J537,"NEW KONTRAK","RE-KONTRAK")</f>
        <v>NEW KONTRAK</v>
      </c>
      <c r="J537" s="16" t="n">
        <f aca="false" t="array" ref="J537:J537">IFERROR(INDEX(AC537:AE537,IF(COUNTA(AC537:AE537)=0,"",MAX((AC537:AE537&lt;&gt;"")*(COLUMN(AC537:AE537)-(COLUMN(AC537)))))-1),"")</f>
        <v>46234</v>
      </c>
      <c r="K537" s="16" t="n">
        <f aca="false" t="array" ref="K537:K537">IFERROR(INDEX(AC537:AE537,IF(COUNTA(AC537:AE537)=0,"",MAX((AC537:AE537&lt;&gt;"")*(COLUMN(AC537:AE537)-(COLUMN(AC537)-1))))-1),"")</f>
        <v>46402</v>
      </c>
      <c r="L537" s="17" t="str">
        <f aca="false" t="array" ref="L537:L537">IFERROR(INDEX(AC537:AE537,IF(COUNTA(AC537:AE537)=0,"",MAX((AC537:AE537&lt;&gt;"")*(COLUMN(AC537:AE537)-(COLUMN(AC537)-2))))-1),"")</f>
        <v>KEMBALI</v>
      </c>
      <c r="M537" s="13" t="n">
        <f aca="true">K537-TODAY()</f>
        <v>78</v>
      </c>
      <c r="N537" s="18" t="s">
        <v>2427</v>
      </c>
      <c r="O537" s="13" t="s">
        <v>2384</v>
      </c>
      <c r="P537" s="19" t="n">
        <v>3619466.72</v>
      </c>
      <c r="Q537" s="20" t="s">
        <v>2428</v>
      </c>
      <c r="R537" s="13" t="s">
        <v>2429</v>
      </c>
      <c r="S537" s="25" t="n">
        <v>37446</v>
      </c>
      <c r="T537" s="13" t="s">
        <v>108</v>
      </c>
      <c r="U537" s="13" t="s">
        <v>2430</v>
      </c>
      <c r="V537" s="13" t="s">
        <v>42</v>
      </c>
      <c r="W537" s="13" t="s">
        <v>43</v>
      </c>
      <c r="X537" s="21" t="n">
        <v>87855033616</v>
      </c>
      <c r="Y537" s="22" t="str">
        <f aca="false">O537</f>
        <v>SPG</v>
      </c>
      <c r="Z537" s="13" t="str">
        <f aca="false">IFERROR(__xludf.dummyfunction("if(BJ537="""","""",GOOGLETRANSLATE(BJ537,""auto"",""en""))"),"SPG")</f>
        <v>SPG</v>
      </c>
      <c r="AA537" s="23" t="str">
        <f aca="false">IF(C537="","", CHOOSE(MONTH(C537),"January","February","March","April","May","June","July","August","September","October","November","December")&amp;" "&amp;DAY(C537)&amp;MID("thstndrdth",MIN(9,2*RIGHT(DAY(C537))*(MOD(DAY(C537)-11,100)&gt;2)+1),2)&amp;","&amp;TEXT(C537," yyyy"))</f>
        <v>July 31st,2026</v>
      </c>
      <c r="AB537" s="15" t="str">
        <f aca="true">IF(S537="","",DATEDIF(S537,TODAY(),"Y")&amp;" Tahun, "&amp;DATEDIF(S537,TODAY(),"YM")&amp;" Bulan, "&amp;DATEDIF(S537,TODAY(),"MD")&amp;" Hari")</f>
        <v>24 Tahun, 3 Bulan, 20 Hari</v>
      </c>
      <c r="AC537" s="14" t="n">
        <v>46234</v>
      </c>
      <c r="AD537" s="18" t="n">
        <v>46402</v>
      </c>
      <c r="AE537" s="13" t="s">
        <v>397</v>
      </c>
    </row>
    <row r="538" customFormat="false" ht="15.75" hidden="false" customHeight="true" outlineLevel="0" collapsed="false">
      <c r="A538" s="12" t="n">
        <v>9874</v>
      </c>
      <c r="B538" s="13" t="s">
        <v>2431</v>
      </c>
      <c r="C538" s="14" t="n">
        <v>44949</v>
      </c>
      <c r="D538" s="13" t="s">
        <v>101</v>
      </c>
      <c r="E538" s="15" t="s">
        <v>47</v>
      </c>
      <c r="F538" s="15" t="str">
        <f aca="false">IFERROR(__xludf.dummyfunction("XLOOKUP(AJ538,IMPORTRANGE(""1XaInW9DU9nz21V0tYIfzFQ0He9kVQ_JF2mCXgZ3hqFA"",""REKAP ALL 2026 - Andika!G:G""),IMPORTRANGE(""1XaInW9DU9nz21V0tYIfzFQ0He9kVQ_JF2mCXgZ3hqFA"",""REKAP ALL 2026 - Andika!F:F""),"""",0)"),"23019105859")</f>
        <v>23019105859</v>
      </c>
      <c r="G538" s="13" t="s">
        <v>2432</v>
      </c>
      <c r="H538" s="13" t="s">
        <v>35</v>
      </c>
      <c r="I538" s="13" t="str">
        <f aca="false">IF(C538=J538,"NEW KONTRAK","RE-KONTRAK")</f>
        <v>RE-KONTRAK</v>
      </c>
      <c r="J538" s="16" t="n">
        <f aca="false" t="array" ref="J538:J538">IFERROR(INDEX(AC538:AE538,IF(COUNTA(AC538:AE538)=0,"",MAX((AC538:AE538&lt;&gt;"")*(COLUMN(AC538:AE538)-(COLUMN(AC538)))))-1),"")</f>
        <v>45672</v>
      </c>
      <c r="K538" s="16" t="n">
        <f aca="false" t="array" ref="K538:K538">IFERROR(INDEX(AC538:AE538,IF(COUNTA(AC538:AE538)=0,"",MAX((AC538:AE538&lt;&gt;"")*(COLUMN(AC538:AE538)-(COLUMN(AC538)-1))))-1),"")</f>
        <v>46036</v>
      </c>
      <c r="L538" s="17" t="str">
        <f aca="false" t="array" ref="L538:L538">IFERROR(INDEX(AC538:AE538,IF(COUNTA(AC538:AE538)=0,"",MAX((AC538:AE538&lt;&gt;"")*(COLUMN(AC538:AE538)-(COLUMN(AC538)-2))))-1),"")</f>
        <v>ARCHIVED</v>
      </c>
      <c r="M538" s="13" t="n">
        <f aca="true">K538-TODAY()</f>
        <v>-288</v>
      </c>
      <c r="N538" s="18" t="s">
        <v>105</v>
      </c>
      <c r="O538" s="13" t="s">
        <v>106</v>
      </c>
      <c r="P538" s="31" t="n">
        <v>138915</v>
      </c>
      <c r="Q538" s="20" t="s">
        <v>2433</v>
      </c>
      <c r="R538" s="13" t="s">
        <v>2434</v>
      </c>
      <c r="S538" s="25" t="n">
        <v>37965</v>
      </c>
      <c r="T538" s="13" t="s">
        <v>40</v>
      </c>
      <c r="U538" s="13" t="s">
        <v>2435</v>
      </c>
      <c r="V538" s="13" t="s">
        <v>42</v>
      </c>
      <c r="W538" s="13" t="s">
        <v>43</v>
      </c>
      <c r="X538" s="21" t="n">
        <v>89528037214</v>
      </c>
      <c r="Y538" s="22" t="str">
        <f aca="false">O538</f>
        <v>Produksi - Helper</v>
      </c>
      <c r="Z538" s="13" t="str">
        <f aca="false">IFERROR(__xludf.dummyfunction("if(BJ538="""","""",GOOGLETRANSLATE(BJ538,""auto"",""en""))"),"Production - Helper")</f>
        <v>Production - Helper</v>
      </c>
      <c r="AA538" s="23" t="str">
        <f aca="false">IF(C538="","", CHOOSE(MONTH(C538),"January","February","March","April","May","June","July","August","September","October","November","December")&amp;" "&amp;DAY(C538)&amp;MID("thstndrdth",MIN(9,2*RIGHT(DAY(C538))*(MOD(DAY(C538)-11,100)&gt;2)+1),2)&amp;","&amp;TEXT(C538," yyyy"))</f>
        <v>January 23rd,2023</v>
      </c>
      <c r="AB538" s="15" t="str">
        <f aca="true">IF(S538="","",DATEDIF(S538,TODAY(),"Y")&amp;" Tahun, "&amp;DATEDIF(S538,TODAY(),"YM")&amp;" Bulan, "&amp;DATEDIF(S538,TODAY(),"MD")&amp;" Hari")</f>
        <v>22 Tahun, 10 Bulan, 19 Hari</v>
      </c>
      <c r="AC538" s="18" t="n">
        <v>45672</v>
      </c>
      <c r="AD538" s="18" t="n">
        <v>46036</v>
      </c>
      <c r="AE538" s="18" t="s">
        <v>44</v>
      </c>
    </row>
    <row r="539" customFormat="false" ht="15.75" hidden="false" customHeight="true" outlineLevel="0" collapsed="false">
      <c r="A539" s="12" t="n">
        <v>22548</v>
      </c>
      <c r="B539" s="45" t="s">
        <v>2436</v>
      </c>
      <c r="C539" s="14" t="n">
        <v>46219</v>
      </c>
      <c r="D539" s="13" t="s">
        <v>101</v>
      </c>
      <c r="E539" s="15" t="s">
        <v>47</v>
      </c>
      <c r="F539" s="24" t="s">
        <v>2437</v>
      </c>
      <c r="G539" s="28" t="s">
        <v>57</v>
      </c>
      <c r="H539" s="13" t="s">
        <v>35</v>
      </c>
      <c r="I539" s="13" t="str">
        <f aca="false">IF(C539=J539,"NEW KONTRAK","RE-KONTRAK")</f>
        <v>NEW KONTRAK</v>
      </c>
      <c r="J539" s="16" t="n">
        <f aca="false" t="array" ref="J539:J539">IFERROR(INDEX(AC539:AE539,IF(COUNTA(AC539:AE539)=0,"",MAX((AC539:AE539&lt;&gt;"")*(COLUMN(AC539:AE539)-(COLUMN(AC539)))))-1),"")</f>
        <v>46219</v>
      </c>
      <c r="K539" s="16" t="n">
        <f aca="false" t="array" ref="K539:K539">IFERROR(INDEX(AC539:AE539,IF(COUNTA(AC539:AE539)=0,"",MAX((AC539:AE539&lt;&gt;"")*(COLUMN(AC539:AE539)-(COLUMN(AC539)-1))))-1),"")</f>
        <v>46402</v>
      </c>
      <c r="L539" s="17" t="str">
        <f aca="false" t="array" ref="L539:L539">IFERROR(INDEX(AC539:AE539,IF(COUNTA(AC539:AE539)=0,"",MAX((AC539:AE539&lt;&gt;"")*(COLUMN(AC539:AE539)-(COLUMN(AC539)-2))))-1),"")</f>
        <v>KEMBALI</v>
      </c>
      <c r="M539" s="13" t="n">
        <f aca="true">K539-TODAY()</f>
        <v>78</v>
      </c>
      <c r="N539" s="18" t="s">
        <v>105</v>
      </c>
      <c r="O539" s="13" t="s">
        <v>1453</v>
      </c>
      <c r="P539" s="26" t="n">
        <v>138915</v>
      </c>
      <c r="Q539" s="20" t="s">
        <v>2438</v>
      </c>
      <c r="R539" s="16" t="s">
        <v>232</v>
      </c>
      <c r="S539" s="25" t="n">
        <v>39458</v>
      </c>
      <c r="T539" s="13" t="s">
        <v>108</v>
      </c>
      <c r="U539" s="17" t="s">
        <v>2439</v>
      </c>
      <c r="V539" s="15" t="s">
        <v>42</v>
      </c>
      <c r="W539" s="13" t="s">
        <v>43</v>
      </c>
      <c r="X539" s="21" t="n">
        <v>85732921081</v>
      </c>
      <c r="Y539" s="22" t="str">
        <f aca="false">O539</f>
        <v>Helper Produksi</v>
      </c>
      <c r="Z539" s="13" t="str">
        <f aca="false">IFERROR(__xludf.dummyfunction("if(BJ539="""","""",GOOGLETRANSLATE(BJ539,""auto"",""en""))"),"Production Helper")</f>
        <v>Production Helper</v>
      </c>
      <c r="AA539" s="23" t="str">
        <f aca="false">IF(C539="","", CHOOSE(MONTH(C539),"January","February","March","April","May","June","July","August","September","October","November","December")&amp;" "&amp;DAY(C539)&amp;MID("thstndrdth",MIN(9,2*RIGHT(DAY(C539))*(MOD(DAY(C539)-11,100)&gt;2)+1),2)&amp;","&amp;TEXT(C539," yyyy"))</f>
        <v>July 16th,2026</v>
      </c>
      <c r="AB539" s="15" t="str">
        <f aca="true">IF(S539="","",DATEDIF(S539,TODAY(),"Y")&amp;" Tahun, "&amp;DATEDIF(S539,TODAY(),"YM")&amp;" Bulan, "&amp;DATEDIF(S539,TODAY(),"MD")&amp;" Hari")</f>
        <v>18 Tahun, 9 Bulan, 18 Hari</v>
      </c>
      <c r="AC539" s="14" t="n">
        <v>46219</v>
      </c>
      <c r="AD539" s="18" t="n">
        <v>46402</v>
      </c>
      <c r="AE539" s="13" t="s">
        <v>397</v>
      </c>
    </row>
    <row r="540" customFormat="false" ht="15.75" hidden="false" customHeight="true" outlineLevel="0" collapsed="false">
      <c r="A540" s="12" t="n">
        <v>22659</v>
      </c>
      <c r="B540" s="45" t="s">
        <v>2440</v>
      </c>
      <c r="C540" s="14" t="n">
        <v>46244</v>
      </c>
      <c r="D540" s="13" t="s">
        <v>101</v>
      </c>
      <c r="E540" s="15" t="s">
        <v>47</v>
      </c>
      <c r="F540" s="24" t="s">
        <v>2441</v>
      </c>
      <c r="G540" s="13" t="s">
        <v>1452</v>
      </c>
      <c r="H540" s="13" t="s">
        <v>35</v>
      </c>
      <c r="I540" s="13" t="str">
        <f aca="false">IF(C540=J540,"NEW KONTRAK","RE-KONTRAK")</f>
        <v>NEW KONTRAK</v>
      </c>
      <c r="J540" s="16" t="n">
        <f aca="false" t="array" ref="J540:J540">IFERROR(INDEX(AC540:AE540,IF(COUNTA(AC540:AE540)=0,"",MAX((AC540:AE540&lt;&gt;"")*(COLUMN(AC540:AE540)-(COLUMN(AC540)))))-1),"")</f>
        <v>46244</v>
      </c>
      <c r="K540" s="16" t="n">
        <f aca="false" t="array" ref="K540:K540">IFERROR(INDEX(AC540:AE540,IF(COUNTA(AC540:AE540)=0,"",MAX((AC540:AE540&lt;&gt;"")*(COLUMN(AC540:AE540)-(COLUMN(AC540)-1))))-1),"")</f>
        <v>46402</v>
      </c>
      <c r="L540" s="17" t="str">
        <f aca="false" t="array" ref="L540:L540">IFERROR(INDEX(AC540:AE540,IF(COUNTA(AC540:AE540)=0,"",MAX((AC540:AE540&lt;&gt;"")*(COLUMN(AC540:AE540)-(COLUMN(AC540)-2))))-1),"")</f>
        <v>ARCHIVED</v>
      </c>
      <c r="M540" s="13" t="n">
        <f aca="true">K540-TODAY()</f>
        <v>78</v>
      </c>
      <c r="N540" s="18" t="s">
        <v>105</v>
      </c>
      <c r="O540" s="13" t="s">
        <v>1453</v>
      </c>
      <c r="P540" s="26" t="n">
        <v>138915</v>
      </c>
      <c r="Q540" s="20" t="s">
        <v>2442</v>
      </c>
      <c r="R540" s="13" t="s">
        <v>246</v>
      </c>
      <c r="S540" s="25" t="n">
        <v>38278</v>
      </c>
      <c r="T540" s="13" t="s">
        <v>108</v>
      </c>
      <c r="U540" s="13" t="s">
        <v>2443</v>
      </c>
      <c r="V540" s="13" t="s">
        <v>42</v>
      </c>
      <c r="W540" s="13" t="s">
        <v>43</v>
      </c>
      <c r="X540" s="21" t="n">
        <v>8819401241</v>
      </c>
      <c r="Y540" s="22" t="str">
        <f aca="false">O540</f>
        <v>Helper Produksi</v>
      </c>
      <c r="Z540" s="13" t="str">
        <f aca="false">IFERROR(__xludf.dummyfunction("if(BJ540="""","""",GOOGLETRANSLATE(BJ540,""auto"",""en""))"),"Production Helper")</f>
        <v>Production Helper</v>
      </c>
      <c r="AA540" s="23" t="str">
        <f aca="false">IF(C540="","", CHOOSE(MONTH(C540),"January","February","March","April","May","June","July","August","September","October","November","December")&amp;" "&amp;DAY(C540)&amp;MID("thstndrdth",MIN(9,2*RIGHT(DAY(C540))*(MOD(DAY(C540)-11,100)&gt;2)+1),2)&amp;","&amp;TEXT(C540," yyyy"))</f>
        <v>August 10th,2026</v>
      </c>
      <c r="AB540" s="15" t="str">
        <f aca="true">IF(S540="","",DATEDIF(S540,TODAY(),"Y")&amp;" Tahun, "&amp;DATEDIF(S540,TODAY(),"YM")&amp;" Bulan, "&amp;DATEDIF(S540,TODAY(),"MD")&amp;" Hari")</f>
        <v>22 Tahun, 0 Bulan, 11 Hari</v>
      </c>
      <c r="AC540" s="14" t="n">
        <v>46244</v>
      </c>
      <c r="AD540" s="18" t="n">
        <v>46402</v>
      </c>
      <c r="AE540" s="45" t="s">
        <v>44</v>
      </c>
    </row>
    <row r="541" customFormat="false" ht="15.75" hidden="false" customHeight="true" outlineLevel="0" collapsed="false">
      <c r="A541" s="12" t="n">
        <v>3140</v>
      </c>
      <c r="B541" s="13" t="s">
        <v>2444</v>
      </c>
      <c r="C541" s="14" t="n">
        <v>44427</v>
      </c>
      <c r="D541" s="13" t="s">
        <v>101</v>
      </c>
      <c r="E541" s="15" t="s">
        <v>102</v>
      </c>
      <c r="F541" s="15" t="str">
        <f aca="false">IFERROR(__xludf.dummyfunction("XLOOKUP(AJ541,IMPORTRANGE(""1XaInW9DU9nz21V0tYIfzFQ0He9kVQ_JF2mCXgZ3hqFA"",""REKAP ALL 2026 - Andika!G:G""),IMPORTRANGE(""1XaInW9DU9nz21V0tYIfzFQ0He9kVQ_JF2mCXgZ3hqFA"",""REKAP ALL 2026 - Andika!F:F""),"""",0)"),"22000065171")</f>
        <v>22000065171</v>
      </c>
      <c r="G541" s="13" t="s">
        <v>2445</v>
      </c>
      <c r="H541" s="13" t="s">
        <v>35</v>
      </c>
      <c r="I541" s="13" t="str">
        <f aca="false">IF(C541=J541,"NEW KONTRAK","RE-KONTRAK")</f>
        <v>RE-KONTRAK</v>
      </c>
      <c r="J541" s="16" t="n">
        <f aca="false" t="array" ref="J541:J541">IFERROR(INDEX(AC541:AE541,IF(COUNTA(AC541:AE541)=0,"",MAX((AC541:AE541&lt;&gt;"")*(COLUMN(AC541:AE541)-(COLUMN(AC541)))))-1),"")</f>
        <v>45672</v>
      </c>
      <c r="K541" s="16" t="n">
        <f aca="false" t="array" ref="K541:K541">IFERROR(INDEX(AC541:AE541,IF(COUNTA(AC541:AE541)=0,"",MAX((AC541:AE541&lt;&gt;"")*(COLUMN(AC541:AE541)-(COLUMN(AC541)-1))))-1),"")</f>
        <v>46036</v>
      </c>
      <c r="L541" s="17" t="str">
        <f aca="false" t="array" ref="L541:L541">IFERROR(INDEX(AC541:AE541,IF(COUNTA(AC541:AE541)=0,"",MAX((AC541:AE541&lt;&gt;"")*(COLUMN(AC541:AE541)-(COLUMN(AC541)-2))))-1),"")</f>
        <v>ARCHIVED</v>
      </c>
      <c r="M541" s="13" t="n">
        <f aca="true">K541-TODAY()</f>
        <v>-288</v>
      </c>
      <c r="N541" s="18" t="s">
        <v>105</v>
      </c>
      <c r="O541" s="13" t="s">
        <v>106</v>
      </c>
      <c r="P541" s="19" t="n">
        <v>132300</v>
      </c>
      <c r="Q541" s="20" t="s">
        <v>2446</v>
      </c>
      <c r="R541" s="13" t="s">
        <v>255</v>
      </c>
      <c r="S541" s="25" t="n">
        <v>36168</v>
      </c>
      <c r="T541" s="13" t="s">
        <v>108</v>
      </c>
      <c r="U541" s="13" t="s">
        <v>2447</v>
      </c>
      <c r="V541" s="13" t="s">
        <v>42</v>
      </c>
      <c r="W541" s="13" t="s">
        <v>43</v>
      </c>
      <c r="X541" s="21" t="n">
        <v>81232664315</v>
      </c>
      <c r="Y541" s="22" t="str">
        <f aca="false">O541</f>
        <v>Produksi - Helper</v>
      </c>
      <c r="Z541" s="13" t="str">
        <f aca="false">IFERROR(__xludf.dummyfunction("if(BJ541="""","""",GOOGLETRANSLATE(BJ541,""auto"",""en""))"),"Production - Helper")</f>
        <v>Production - Helper</v>
      </c>
      <c r="AA541" s="23" t="str">
        <f aca="false">IF(C541="","", CHOOSE(MONTH(C541),"January","February","March","April","May","June","July","August","September","October","November","December")&amp;" "&amp;DAY(C541)&amp;MID("thstndrdth",MIN(9,2*RIGHT(DAY(C541))*(MOD(DAY(C541)-11,100)&gt;2)+1),2)&amp;","&amp;TEXT(C541," yyyy"))</f>
        <v>August 19th,2021</v>
      </c>
      <c r="AB541" s="15" t="str">
        <f aca="true">IF(S541="","",DATEDIF(S541,TODAY(),"Y")&amp;" Tahun, "&amp;DATEDIF(S541,TODAY(),"YM")&amp;" Bulan, "&amp;DATEDIF(S541,TODAY(),"MD")&amp;" Hari")</f>
        <v>27 Tahun, 9 Bulan, 21 Hari</v>
      </c>
      <c r="AC541" s="18" t="n">
        <v>45672</v>
      </c>
      <c r="AD541" s="18" t="n">
        <v>46036</v>
      </c>
      <c r="AE541" s="18" t="s">
        <v>44</v>
      </c>
    </row>
    <row r="542" customFormat="false" ht="15.75" hidden="false" customHeight="true" outlineLevel="0" collapsed="false">
      <c r="A542" s="12" t="n">
        <v>3150</v>
      </c>
      <c r="B542" s="13" t="s">
        <v>2448</v>
      </c>
      <c r="C542" s="14" t="n">
        <v>44427</v>
      </c>
      <c r="D542" s="13" t="s">
        <v>101</v>
      </c>
      <c r="E542" s="15" t="s">
        <v>102</v>
      </c>
      <c r="F542" s="24" t="s">
        <v>2449</v>
      </c>
      <c r="G542" s="13" t="s">
        <v>2450</v>
      </c>
      <c r="H542" s="13" t="s">
        <v>35</v>
      </c>
      <c r="I542" s="13" t="str">
        <f aca="false">IF(C542=J542,"NEW KONTRAK","RE-KONTRAK")</f>
        <v>RE-KONTRAK</v>
      </c>
      <c r="J542" s="16" t="n">
        <f aca="false" t="array" ref="J542:J542">IFERROR(INDEX(AC542:AE542,IF(COUNTA(AC542:AE542)=0,"",MAX((AC542:AE542&lt;&gt;"")*(COLUMN(AC542:AE542)-(COLUMN(AC542)))))-1),"")</f>
        <v>45672</v>
      </c>
      <c r="K542" s="16" t="n">
        <f aca="false" t="array" ref="K542:K542">IFERROR(INDEX(AC542:AE542,IF(COUNTA(AC542:AE542)=0,"",MAX((AC542:AE542&lt;&gt;"")*(COLUMN(AC542:AE542)-(COLUMN(AC542)-1))))-1),"")</f>
        <v>46036</v>
      </c>
      <c r="L542" s="17" t="str">
        <f aca="false" t="array" ref="L542:L542">IFERROR(INDEX(AC542:AE542,IF(COUNTA(AC542:AE542)=0,"",MAX((AC542:AE542&lt;&gt;"")*(COLUMN(AC542:AE542)-(COLUMN(AC542)-2))))-1),"")</f>
        <v>ARCHIVED</v>
      </c>
      <c r="M542" s="13" t="n">
        <f aca="true">K542-TODAY()</f>
        <v>-288</v>
      </c>
      <c r="N542" s="18" t="s">
        <v>105</v>
      </c>
      <c r="O542" s="13" t="s">
        <v>106</v>
      </c>
      <c r="P542" s="19" t="n">
        <v>126000</v>
      </c>
      <c r="Q542" s="20" t="s">
        <v>2451</v>
      </c>
      <c r="R542" s="13" t="s">
        <v>39</v>
      </c>
      <c r="S542" s="25" t="n">
        <v>36424</v>
      </c>
      <c r="T542" s="13" t="s">
        <v>108</v>
      </c>
      <c r="U542" s="13" t="s">
        <v>2452</v>
      </c>
      <c r="V542" s="13" t="s">
        <v>42</v>
      </c>
      <c r="W542" s="13" t="s">
        <v>43</v>
      </c>
      <c r="X542" s="21" t="n">
        <v>85791957646</v>
      </c>
      <c r="Y542" s="22" t="str">
        <f aca="false">O542</f>
        <v>Produksi - Helper</v>
      </c>
      <c r="Z542" s="13" t="str">
        <f aca="false">IFERROR(__xludf.dummyfunction("if(BJ542="""","""",GOOGLETRANSLATE(BJ542,""auto"",""en""))"),"Production - Helper")</f>
        <v>Production - Helper</v>
      </c>
      <c r="AA542" s="23" t="str">
        <f aca="false">IF(C542="","", CHOOSE(MONTH(C542),"January","February","March","April","May","June","July","August","September","October","November","December")&amp;" "&amp;DAY(C542)&amp;MID("thstndrdth",MIN(9,2*RIGHT(DAY(C542))*(MOD(DAY(C542)-11,100)&gt;2)+1),2)&amp;","&amp;TEXT(C542," yyyy"))</f>
        <v>August 19th,2021</v>
      </c>
      <c r="AB542" s="15" t="str">
        <f aca="true">IF(S542="","",DATEDIF(S542,TODAY(),"Y")&amp;" Tahun, "&amp;DATEDIF(S542,TODAY(),"YM")&amp;" Bulan, "&amp;DATEDIF(S542,TODAY(),"MD")&amp;" Hari")</f>
        <v>27 Tahun, 1 Bulan, 8 Hari</v>
      </c>
      <c r="AC542" s="18" t="n">
        <v>45672</v>
      </c>
      <c r="AD542" s="18" t="n">
        <v>46036</v>
      </c>
      <c r="AE542" s="18" t="s">
        <v>44</v>
      </c>
    </row>
    <row r="543" customFormat="false" ht="15.75" hidden="false" customHeight="true" outlineLevel="0" collapsed="false">
      <c r="A543" s="12" t="n">
        <v>3151</v>
      </c>
      <c r="B543" s="13" t="s">
        <v>2453</v>
      </c>
      <c r="C543" s="14" t="n">
        <v>44427</v>
      </c>
      <c r="D543" s="13" t="s">
        <v>101</v>
      </c>
      <c r="E543" s="15" t="s">
        <v>102</v>
      </c>
      <c r="F543" s="15" t="str">
        <f aca="false">IFERROR(__xludf.dummyfunction("XLOOKUP(AJ543,IMPORTRANGE(""1XaInW9DU9nz21V0tYIfzFQ0He9kVQ_JF2mCXgZ3hqFA"",""REKAP ALL 2026 - Andika!G:G""),IMPORTRANGE(""1XaInW9DU9nz21V0tYIfzFQ0He9kVQ_JF2mCXgZ3hqFA"",""REKAP ALL 2026 - Andika!F:F""),"""",0)"),"21082693058")</f>
        <v>21082693058</v>
      </c>
      <c r="G543" s="13" t="s">
        <v>2454</v>
      </c>
      <c r="H543" s="13" t="s">
        <v>35</v>
      </c>
      <c r="I543" s="13" t="str">
        <f aca="false">IF(C543=J543,"NEW KONTRAK","RE-KONTRAK")</f>
        <v>RE-KONTRAK</v>
      </c>
      <c r="J543" s="16" t="n">
        <f aca="false" t="array" ref="J543:J543">IFERROR(INDEX(AC543:AE543,IF(COUNTA(AC543:AE543)=0,"",MAX((AC543:AE543&lt;&gt;"")*(COLUMN(AC543:AE543)-(COLUMN(AC543)))))-1),"")</f>
        <v>45672</v>
      </c>
      <c r="K543" s="16" t="n">
        <f aca="false" t="array" ref="K543:K543">IFERROR(INDEX(AC543:AE543,IF(COUNTA(AC543:AE543)=0,"",MAX((AC543:AE543&lt;&gt;"")*(COLUMN(AC543:AE543)-(COLUMN(AC543)-1))))-1),"")</f>
        <v>46036</v>
      </c>
      <c r="L543" s="17" t="str">
        <f aca="false" t="array" ref="L543:L543">IFERROR(INDEX(AC543:AE543,IF(COUNTA(AC543:AE543)=0,"",MAX((AC543:AE543&lt;&gt;"")*(COLUMN(AC543:AE543)-(COLUMN(AC543)-2))))-1),"")</f>
        <v>ARCHIVED</v>
      </c>
      <c r="M543" s="13" t="n">
        <f aca="true">K543-TODAY()</f>
        <v>-288</v>
      </c>
      <c r="N543" s="18" t="s">
        <v>105</v>
      </c>
      <c r="O543" s="13" t="s">
        <v>106</v>
      </c>
      <c r="P543" s="19" t="n">
        <v>132300</v>
      </c>
      <c r="Q543" s="20" t="s">
        <v>2455</v>
      </c>
      <c r="R543" s="13" t="s">
        <v>39</v>
      </c>
      <c r="S543" s="25" t="n">
        <v>36164</v>
      </c>
      <c r="T543" s="13" t="s">
        <v>108</v>
      </c>
      <c r="U543" s="13" t="s">
        <v>2456</v>
      </c>
      <c r="V543" s="13" t="s">
        <v>42</v>
      </c>
      <c r="W543" s="13" t="s">
        <v>54</v>
      </c>
      <c r="X543" s="21" t="n">
        <v>87756996193</v>
      </c>
      <c r="Y543" s="22" t="str">
        <f aca="false">O543</f>
        <v>Produksi - Helper</v>
      </c>
      <c r="Z543" s="13" t="str">
        <f aca="false">IFERROR(__xludf.dummyfunction("if(BJ543="""","""",GOOGLETRANSLATE(BJ543,""auto"",""en""))"),"Production - Helper")</f>
        <v>Production - Helper</v>
      </c>
      <c r="AA543" s="23" t="str">
        <f aca="false">IF(C543="","", CHOOSE(MONTH(C543),"January","February","March","April","May","June","July","August","September","October","November","December")&amp;" "&amp;DAY(C543)&amp;MID("thstndrdth",MIN(9,2*RIGHT(DAY(C543))*(MOD(DAY(C543)-11,100)&gt;2)+1),2)&amp;","&amp;TEXT(C543," yyyy"))</f>
        <v>August 19th,2021</v>
      </c>
      <c r="AB543" s="15" t="str">
        <f aca="true">IF(S543="","",DATEDIF(S543,TODAY(),"Y")&amp;" Tahun, "&amp;DATEDIF(S543,TODAY(),"YM")&amp;" Bulan, "&amp;DATEDIF(S543,TODAY(),"MD")&amp;" Hari")</f>
        <v>27 Tahun, 9 Bulan, 25 Hari</v>
      </c>
      <c r="AC543" s="18" t="n">
        <v>45672</v>
      </c>
      <c r="AD543" s="18" t="n">
        <v>46036</v>
      </c>
      <c r="AE543" s="18" t="s">
        <v>44</v>
      </c>
    </row>
    <row r="544" customFormat="false" ht="15.75" hidden="false" customHeight="true" outlineLevel="0" collapsed="false">
      <c r="A544" s="12" t="n">
        <v>3158</v>
      </c>
      <c r="B544" s="13" t="s">
        <v>2457</v>
      </c>
      <c r="C544" s="14" t="n">
        <v>44431</v>
      </c>
      <c r="D544" s="13" t="s">
        <v>101</v>
      </c>
      <c r="E544" s="15" t="s">
        <v>33</v>
      </c>
      <c r="F544" s="24" t="s">
        <v>2458</v>
      </c>
      <c r="G544" s="13" t="s">
        <v>2459</v>
      </c>
      <c r="H544" s="13" t="s">
        <v>35</v>
      </c>
      <c r="I544" s="13" t="str">
        <f aca="false">IF(C544=J544,"NEW KONTRAK","RE-KONTRAK")</f>
        <v>RE-KONTRAK</v>
      </c>
      <c r="J544" s="16" t="n">
        <f aca="false" t="array" ref="J544:J544">IFERROR(INDEX(AC544:AE544,IF(COUNTA(AC544:AE544)=0,"",MAX((AC544:AE544&lt;&gt;"")*(COLUMN(AC544:AE544)-(COLUMN(AC544)))))-1),"")</f>
        <v>45672</v>
      </c>
      <c r="K544" s="16" t="n">
        <f aca="false" t="array" ref="K544:K544">IFERROR(INDEX(AC544:AE544,IF(COUNTA(AC544:AE544)=0,"",MAX((AC544:AE544&lt;&gt;"")*(COLUMN(AC544:AE544)-(COLUMN(AC544)-1))))-1),"")</f>
        <v>46036</v>
      </c>
      <c r="L544" s="17" t="str">
        <f aca="false" t="array" ref="L544:L544">IFERROR(INDEX(AC544:AE544,IF(COUNTA(AC544:AE544)=0,"",MAX((AC544:AE544&lt;&gt;"")*(COLUMN(AC544:AE544)-(COLUMN(AC544)-2))))-1),"")</f>
        <v>ARCHIVED</v>
      </c>
      <c r="M544" s="13" t="n">
        <f aca="true">K544-TODAY()</f>
        <v>-288</v>
      </c>
      <c r="N544" s="18" t="s">
        <v>105</v>
      </c>
      <c r="O544" s="13" t="s">
        <v>58</v>
      </c>
      <c r="P544" s="19" t="n">
        <v>126000</v>
      </c>
      <c r="Q544" s="20" t="s">
        <v>2460</v>
      </c>
      <c r="R544" s="13" t="s">
        <v>39</v>
      </c>
      <c r="S544" s="25" t="n">
        <v>37955</v>
      </c>
      <c r="T544" s="13" t="s">
        <v>108</v>
      </c>
      <c r="U544" s="13" t="s">
        <v>2461</v>
      </c>
      <c r="V544" s="13" t="s">
        <v>42</v>
      </c>
      <c r="W544" s="13" t="s">
        <v>43</v>
      </c>
      <c r="X544" s="21" t="n">
        <v>89675888294</v>
      </c>
      <c r="Y544" s="22" t="str">
        <f aca="false">O544</f>
        <v>Produksi</v>
      </c>
      <c r="Z544" s="13" t="str">
        <f aca="false">IFERROR(__xludf.dummyfunction("if(BJ544="""","""",GOOGLETRANSLATE(BJ544,""auto"",""en""))"),"Production")</f>
        <v>Production</v>
      </c>
      <c r="AA544" s="23" t="str">
        <f aca="false">IF(C544="","", CHOOSE(MONTH(C544),"January","February","March","April","May","June","July","August","September","October","November","December")&amp;" "&amp;DAY(C544)&amp;MID("thstndrdth",MIN(9,2*RIGHT(DAY(C544))*(MOD(DAY(C544)-11,100)&gt;2)+1),2)&amp;","&amp;TEXT(C544," yyyy"))</f>
        <v>August 23rd,2021</v>
      </c>
      <c r="AB544" s="15" t="str">
        <f aca="true">IF(S544="","",DATEDIF(S544,TODAY(),"Y")&amp;" Tahun, "&amp;DATEDIF(S544,TODAY(),"YM")&amp;" Bulan, "&amp;DATEDIF(S544,TODAY(),"MD")&amp;" Hari")</f>
        <v>22 Tahun, 10 Bulan, 29 Hari</v>
      </c>
      <c r="AC544" s="18" t="n">
        <v>45672</v>
      </c>
      <c r="AD544" s="18" t="n">
        <v>46036</v>
      </c>
      <c r="AE544" s="18" t="s">
        <v>44</v>
      </c>
    </row>
    <row r="545" customFormat="false" ht="15.75" hidden="false" customHeight="true" outlineLevel="0" collapsed="false">
      <c r="A545" s="12" t="n">
        <v>10856</v>
      </c>
      <c r="B545" s="13" t="s">
        <v>2462</v>
      </c>
      <c r="C545" s="14" t="n">
        <v>45078</v>
      </c>
      <c r="D545" s="13" t="s">
        <v>101</v>
      </c>
      <c r="E545" s="15" t="s">
        <v>47</v>
      </c>
      <c r="F545" s="15" t="str">
        <f aca="false">IFERROR(__xludf.dummyfunction("XLOOKUP(AJ545,IMPORTRANGE(""1XaInW9DU9nz21V0tYIfzFQ0He9kVQ_JF2mCXgZ3hqFA"",""REKAP ALL 2026 - Andika!G:G""),IMPORTRANGE(""1XaInW9DU9nz21V0tYIfzFQ0He9kVQ_JF2mCXgZ3hqFA"",""REKAP ALL 2026 - Andika!F:F""),"""",0)"),"23076924259")</f>
        <v>23076924259</v>
      </c>
      <c r="G545" s="13" t="s">
        <v>2463</v>
      </c>
      <c r="H545" s="13" t="s">
        <v>35</v>
      </c>
      <c r="I545" s="13" t="str">
        <f aca="false">IF(C545=J545,"NEW KONTRAK","RE-KONTRAK")</f>
        <v>RE-KONTRAK</v>
      </c>
      <c r="J545" s="16" t="n">
        <f aca="false" t="array" ref="J545:J545">IFERROR(INDEX(AC545:AE545,IF(COUNTA(AC545:AE545)=0,"",MAX((AC545:AE545&lt;&gt;"")*(COLUMN(AC545:AE545)-(COLUMN(AC545)))))-1),"")</f>
        <v>45672</v>
      </c>
      <c r="K545" s="16" t="n">
        <f aca="false" t="array" ref="K545:K545">IFERROR(INDEX(AC545:AE545,IF(COUNTA(AC545:AE545)=0,"",MAX((AC545:AE545&lt;&gt;"")*(COLUMN(AC545:AE545)-(COLUMN(AC545)-1))))-1),"")</f>
        <v>46036</v>
      </c>
      <c r="L545" s="17" t="str">
        <f aca="false" t="array" ref="L545:L545">IFERROR(INDEX(AC545:AE545,IF(COUNTA(AC545:AE545)=0,"",MAX((AC545:AE545&lt;&gt;"")*(COLUMN(AC545:AE545)-(COLUMN(AC545)-2))))-1),"")</f>
        <v>ARCHIVED</v>
      </c>
      <c r="M545" s="13" t="n">
        <f aca="true">K545-TODAY()</f>
        <v>-288</v>
      </c>
      <c r="N545" s="18" t="s">
        <v>105</v>
      </c>
      <c r="O545" s="13" t="s">
        <v>106</v>
      </c>
      <c r="P545" s="31" t="n">
        <v>138915</v>
      </c>
      <c r="Q545" s="20" t="s">
        <v>2464</v>
      </c>
      <c r="R545" s="13" t="s">
        <v>39</v>
      </c>
      <c r="S545" s="25" t="n">
        <v>38249</v>
      </c>
      <c r="T545" s="13" t="s">
        <v>40</v>
      </c>
      <c r="U545" s="13" t="s">
        <v>2465</v>
      </c>
      <c r="V545" s="13" t="s">
        <v>42</v>
      </c>
      <c r="W545" s="13" t="s">
        <v>43</v>
      </c>
      <c r="X545" s="21" t="n">
        <v>89699957916</v>
      </c>
      <c r="Y545" s="22" t="str">
        <f aca="false">O545</f>
        <v>Produksi - Helper</v>
      </c>
      <c r="Z545" s="13" t="str">
        <f aca="false">IFERROR(__xludf.dummyfunction("if(BJ545="""","""",GOOGLETRANSLATE(BJ545,""auto"",""en""))"),"Production - Helper")</f>
        <v>Production - Helper</v>
      </c>
      <c r="AA545" s="23" t="str">
        <f aca="false">IF(C545="","", CHOOSE(MONTH(C545),"January","February","March","April","May","June","July","August","September","October","November","December")&amp;" "&amp;DAY(C545)&amp;MID("thstndrdth",MIN(9,2*RIGHT(DAY(C545))*(MOD(DAY(C545)-11,100)&gt;2)+1),2)&amp;","&amp;TEXT(C545," yyyy"))</f>
        <v>June 1st,2023</v>
      </c>
      <c r="AB545" s="15" t="str">
        <f aca="true">IF(S545="","",DATEDIF(S545,TODAY(),"Y")&amp;" Tahun, "&amp;DATEDIF(S545,TODAY(),"YM")&amp;" Bulan, "&amp;DATEDIF(S545,TODAY(),"MD")&amp;" Hari")</f>
        <v>22 Tahun, 1 Bulan, 10 Hari</v>
      </c>
      <c r="AC545" s="18" t="n">
        <v>45672</v>
      </c>
      <c r="AD545" s="18" t="n">
        <v>46036</v>
      </c>
      <c r="AE545" s="18" t="s">
        <v>44</v>
      </c>
    </row>
    <row r="546" customFormat="false" ht="15.75" hidden="false" customHeight="true" outlineLevel="0" collapsed="false">
      <c r="A546" s="12" t="n">
        <v>3184</v>
      </c>
      <c r="B546" s="13" t="s">
        <v>2466</v>
      </c>
      <c r="C546" s="14" t="n">
        <v>44432</v>
      </c>
      <c r="D546" s="13" t="s">
        <v>101</v>
      </c>
      <c r="E546" s="15" t="s">
        <v>2467</v>
      </c>
      <c r="F546" s="15" t="str">
        <f aca="false">IFERROR(__xludf.dummyfunction("XLOOKUP(AJ546,IMPORTRANGE(""1XaInW9DU9nz21V0tYIfzFQ0He9kVQ_JF2mCXgZ3hqFA"",""REKAP ALL 2026 - Andika!G:G""),IMPORTRANGE(""1XaInW9DU9nz21V0tYIfzFQ0He9kVQ_JF2mCXgZ3hqFA"",""REKAP ALL 2026 - Andika!F:F""),"""",0)"),"21082691730")</f>
        <v>21082691730</v>
      </c>
      <c r="G546" s="13" t="s">
        <v>2468</v>
      </c>
      <c r="H546" s="13" t="s">
        <v>35</v>
      </c>
      <c r="I546" s="13" t="str">
        <f aca="false">IF(C546=J546,"NEW KONTRAK","RE-KONTRAK")</f>
        <v>RE-KONTRAK</v>
      </c>
      <c r="J546" s="16" t="n">
        <f aca="false" t="array" ref="J546:J546">IFERROR(INDEX(AC546:AE546,IF(COUNTA(AC546:AE546)=0,"",MAX((AC546:AE546&lt;&gt;"")*(COLUMN(AC546:AE546)-(COLUMN(AC546)))))-1),"")</f>
        <v>45672</v>
      </c>
      <c r="K546" s="16" t="n">
        <f aca="false" t="array" ref="K546:K546">IFERROR(INDEX(AC546:AE546,IF(COUNTA(AC546:AE546)=0,"",MAX((AC546:AE546&lt;&gt;"")*(COLUMN(AC546:AE546)-(COLUMN(AC546)-1))))-1),"")</f>
        <v>46036</v>
      </c>
      <c r="L546" s="17" t="str">
        <f aca="false" t="array" ref="L546:L546">IFERROR(INDEX(AC546:AE546,IF(COUNTA(AC546:AE546)=0,"",MAX((AC546:AE546&lt;&gt;"")*(COLUMN(AC546:AE546)-(COLUMN(AC546)-2))))-1),"")</f>
        <v>ARCHIVED</v>
      </c>
      <c r="M546" s="13" t="n">
        <f aca="true">K546-TODAY()</f>
        <v>-288</v>
      </c>
      <c r="N546" s="18" t="s">
        <v>105</v>
      </c>
      <c r="O546" s="13" t="s">
        <v>106</v>
      </c>
      <c r="P546" s="31" t="n">
        <v>138915</v>
      </c>
      <c r="Q546" s="20" t="s">
        <v>2469</v>
      </c>
      <c r="R546" s="13" t="s">
        <v>39</v>
      </c>
      <c r="S546" s="25" t="n">
        <v>36279</v>
      </c>
      <c r="T546" s="13" t="s">
        <v>108</v>
      </c>
      <c r="U546" s="13" t="s">
        <v>2470</v>
      </c>
      <c r="V546" s="13" t="s">
        <v>42</v>
      </c>
      <c r="W546" s="13" t="s">
        <v>43</v>
      </c>
      <c r="X546" s="21" t="n">
        <v>89530449311</v>
      </c>
      <c r="Y546" s="22" t="str">
        <f aca="false">O546</f>
        <v>Produksi - Helper</v>
      </c>
      <c r="Z546" s="13" t="str">
        <f aca="false">IFERROR(__xludf.dummyfunction("if(BJ546="""","""",GOOGLETRANSLATE(BJ546,""auto"",""en""))"),"Production - Helper")</f>
        <v>Production - Helper</v>
      </c>
      <c r="AA546" s="23" t="str">
        <f aca="false">IF(C546="","", CHOOSE(MONTH(C546),"January","February","March","April","May","June","July","August","September","October","November","December")&amp;" "&amp;DAY(C546)&amp;MID("thstndrdth",MIN(9,2*RIGHT(DAY(C546))*(MOD(DAY(C546)-11,100)&gt;2)+1),2)&amp;","&amp;TEXT(C546," yyyy"))</f>
        <v>August 24th,2021</v>
      </c>
      <c r="AB546" s="15" t="str">
        <f aca="true">IF(S546="","",DATEDIF(S546,TODAY(),"Y")&amp;" Tahun, "&amp;DATEDIF(S546,TODAY(),"YM")&amp;" Bulan, "&amp;DATEDIF(S546,TODAY(),"MD")&amp;" Hari")</f>
        <v>27 Tahun, 6 Bulan, 0 Hari</v>
      </c>
      <c r="AC546" s="18" t="n">
        <v>45672</v>
      </c>
      <c r="AD546" s="18" t="n">
        <v>46036</v>
      </c>
      <c r="AE546" s="18" t="s">
        <v>44</v>
      </c>
    </row>
    <row r="547" customFormat="false" ht="15.75" hidden="false" customHeight="true" outlineLevel="0" collapsed="false">
      <c r="A547" s="12" t="n">
        <v>1902</v>
      </c>
      <c r="B547" s="13" t="s">
        <v>2471</v>
      </c>
      <c r="C547" s="14" t="n">
        <v>43845</v>
      </c>
      <c r="D547" s="13" t="s">
        <v>101</v>
      </c>
      <c r="E547" s="15" t="s">
        <v>47</v>
      </c>
      <c r="F547" s="15" t="str">
        <f aca="false">IFERROR(__xludf.dummyfunction("XLOOKUP(AJ547,IMPORTRANGE(""1XaInW9DU9nz21V0tYIfzFQ0He9kVQ_JF2mCXgZ3hqFA"",""REKAP ALL 2026 - Andika!G:G""),IMPORTRANGE(""1XaInW9DU9nz21V0tYIfzFQ0He9kVQ_JF2mCXgZ3hqFA"",""REKAP ALL 2026 - Andika!F:F""),"""",0)"),"20021314628")</f>
        <v>20021314628</v>
      </c>
      <c r="G547" s="13" t="s">
        <v>2472</v>
      </c>
      <c r="H547" s="13" t="s">
        <v>35</v>
      </c>
      <c r="I547" s="13" t="str">
        <f aca="false">IF(C547=J547,"NEW KONTRAK","RE-KONTRAK")</f>
        <v>RE-KONTRAK</v>
      </c>
      <c r="J547" s="16" t="n">
        <f aca="false" t="array" ref="J547:J547">IFERROR(INDEX(AC547:AE547,IF(COUNTA(AC547:AE547)=0,"",MAX((AC547:AE547&lt;&gt;"")*(COLUMN(AC547:AE547)-(COLUMN(AC547)))))-1),"")</f>
        <v>45672</v>
      </c>
      <c r="K547" s="16" t="n">
        <f aca="false" t="array" ref="K547:K547">IFERROR(INDEX(AC547:AE547,IF(COUNTA(AC547:AE547)=0,"",MAX((AC547:AE547&lt;&gt;"")*(COLUMN(AC547:AE547)-(COLUMN(AC547)-1))))-1),"")</f>
        <v>46036</v>
      </c>
      <c r="L547" s="17" t="str">
        <f aca="false" t="array" ref="L547:L547">IFERROR(INDEX(AC547:AE547,IF(COUNTA(AC547:AE547)=0,"",MAX((AC547:AE547&lt;&gt;"")*(COLUMN(AC547:AE547)-(COLUMN(AC547)-2))))-1),"")</f>
        <v>ARCHIVED</v>
      </c>
      <c r="M547" s="13" t="n">
        <f aca="true">K547-TODAY()</f>
        <v>-288</v>
      </c>
      <c r="N547" s="18" t="s">
        <v>105</v>
      </c>
      <c r="O547" s="13" t="s">
        <v>106</v>
      </c>
      <c r="P547" s="31" t="n">
        <v>138915</v>
      </c>
      <c r="Q547" s="20" t="s">
        <v>2473</v>
      </c>
      <c r="R547" s="13" t="s">
        <v>52</v>
      </c>
      <c r="S547" s="25" t="n">
        <v>30873</v>
      </c>
      <c r="T547" s="13" t="s">
        <v>108</v>
      </c>
      <c r="U547" s="13" t="s">
        <v>2474</v>
      </c>
      <c r="V547" s="13" t="s">
        <v>99</v>
      </c>
      <c r="W547" s="13" t="s">
        <v>54</v>
      </c>
      <c r="X547" s="21" t="n">
        <v>81216627987</v>
      </c>
      <c r="Y547" s="22" t="str">
        <f aca="false">O547</f>
        <v>Produksi - Helper</v>
      </c>
      <c r="Z547" s="13" t="str">
        <f aca="false">IFERROR(__xludf.dummyfunction("if(BJ547="""","""",GOOGLETRANSLATE(BJ547,""auto"",""en""))"),"Production - Helper")</f>
        <v>Production - Helper</v>
      </c>
      <c r="AA547" s="23" t="str">
        <f aca="false">IF(C547="","", CHOOSE(MONTH(C547),"January","February","March","April","May","June","July","August","September","October","November","December")&amp;" "&amp;DAY(C547)&amp;MID("thstndrdth",MIN(9,2*RIGHT(DAY(C547))*(MOD(DAY(C547)-11,100)&gt;2)+1),2)&amp;","&amp;TEXT(C547," yyyy"))</f>
        <v>January 15th,2020</v>
      </c>
      <c r="AB547" s="15" t="str">
        <f aca="true">IF(S547="","",DATEDIF(S547,TODAY(),"Y")&amp;" Tahun, "&amp;DATEDIF(S547,TODAY(),"YM")&amp;" Bulan, "&amp;DATEDIF(S547,TODAY(),"MD")&amp;" Hari")</f>
        <v>42 Tahun, 3 Bulan, 19 Hari</v>
      </c>
      <c r="AC547" s="18" t="n">
        <v>45672</v>
      </c>
      <c r="AD547" s="18" t="n">
        <v>46036</v>
      </c>
      <c r="AE547" s="18" t="s">
        <v>44</v>
      </c>
    </row>
    <row r="548" customFormat="false" ht="15.75" hidden="false" customHeight="true" outlineLevel="0" collapsed="false">
      <c r="A548" s="12" t="n">
        <v>3196</v>
      </c>
      <c r="B548" s="13" t="s">
        <v>2475</v>
      </c>
      <c r="C548" s="14" t="n">
        <v>44432</v>
      </c>
      <c r="D548" s="13" t="s">
        <v>101</v>
      </c>
      <c r="E548" s="15" t="s">
        <v>102</v>
      </c>
      <c r="F548" s="15" t="str">
        <f aca="false">IFERROR(__xludf.dummyfunction("XLOOKUP(AJ548,IMPORTRANGE(""1XaInW9DU9nz21V0tYIfzFQ0He9kVQ_JF2mCXgZ3hqFA"",""REKAP ALL 2026 - Andika!G:G""),IMPORTRANGE(""1XaInW9DU9nz21V0tYIfzFQ0He9kVQ_JF2mCXgZ3hqFA"",""REKAP ALL 2026 - Andika!F:F""),"""",0)"),"21082691201")</f>
        <v>21082691201</v>
      </c>
      <c r="G548" s="13" t="s">
        <v>2476</v>
      </c>
      <c r="H548" s="13" t="s">
        <v>35</v>
      </c>
      <c r="I548" s="13" t="str">
        <f aca="false">IF(C548=J548,"NEW KONTRAK","RE-KONTRAK")</f>
        <v>RE-KONTRAK</v>
      </c>
      <c r="J548" s="16" t="n">
        <f aca="false" t="array" ref="J548:J548">IFERROR(INDEX(AC548:AE548,IF(COUNTA(AC548:AE548)=0,"",MAX((AC548:AE548&lt;&gt;"")*(COLUMN(AC548:AE548)-(COLUMN(AC548)))))-1),"")</f>
        <v>45672</v>
      </c>
      <c r="K548" s="16" t="n">
        <f aca="false" t="array" ref="K548:K548">IFERROR(INDEX(AC548:AE548,IF(COUNTA(AC548:AE548)=0,"",MAX((AC548:AE548&lt;&gt;"")*(COLUMN(AC548:AE548)-(COLUMN(AC548)-1))))-1),"")</f>
        <v>46036</v>
      </c>
      <c r="L548" s="17" t="str">
        <f aca="false" t="array" ref="L548:L548">IFERROR(INDEX(AC548:AE548,IF(COUNTA(AC548:AE548)=0,"",MAX((AC548:AE548&lt;&gt;"")*(COLUMN(AC548:AE548)-(COLUMN(AC548)-2))))-1),"")</f>
        <v>ARCHIVED</v>
      </c>
      <c r="M548" s="13" t="n">
        <f aca="true">K548-TODAY()</f>
        <v>-288</v>
      </c>
      <c r="N548" s="18" t="s">
        <v>105</v>
      </c>
      <c r="O548" s="13" t="s">
        <v>106</v>
      </c>
      <c r="P548" s="19" t="n">
        <v>132300</v>
      </c>
      <c r="Q548" s="20" t="s">
        <v>2477</v>
      </c>
      <c r="R548" s="13" t="s">
        <v>39</v>
      </c>
      <c r="S548" s="25" t="n">
        <v>37451</v>
      </c>
      <c r="T548" s="13" t="s">
        <v>108</v>
      </c>
      <c r="U548" s="13" t="s">
        <v>2478</v>
      </c>
      <c r="V548" s="13" t="s">
        <v>42</v>
      </c>
      <c r="W548" s="13" t="s">
        <v>43</v>
      </c>
      <c r="X548" s="21" t="n">
        <v>895605967707</v>
      </c>
      <c r="Y548" s="22" t="str">
        <f aca="false">O548</f>
        <v>Produksi - Helper</v>
      </c>
      <c r="Z548" s="13" t="str">
        <f aca="false">IFERROR(__xludf.dummyfunction("if(BJ548="""","""",GOOGLETRANSLATE(BJ548,""auto"",""en""))"),"Production - Helper")</f>
        <v>Production - Helper</v>
      </c>
      <c r="AA548" s="23" t="str">
        <f aca="false">IF(C548="","", CHOOSE(MONTH(C548),"January","February","March","April","May","June","July","August","September","October","November","December")&amp;" "&amp;DAY(C548)&amp;MID("thstndrdth",MIN(9,2*RIGHT(DAY(C548))*(MOD(DAY(C548)-11,100)&gt;2)+1),2)&amp;","&amp;TEXT(C548," yyyy"))</f>
        <v>August 24th,2021</v>
      </c>
      <c r="AB548" s="15" t="str">
        <f aca="true">IF(S548="","",DATEDIF(S548,TODAY(),"Y")&amp;" Tahun, "&amp;DATEDIF(S548,TODAY(),"YM")&amp;" Bulan, "&amp;DATEDIF(S548,TODAY(),"MD")&amp;" Hari")</f>
        <v>24 Tahun, 3 Bulan, 15 Hari</v>
      </c>
      <c r="AC548" s="18" t="n">
        <v>45672</v>
      </c>
      <c r="AD548" s="18" t="n">
        <v>46036</v>
      </c>
      <c r="AE548" s="18" t="s">
        <v>44</v>
      </c>
    </row>
    <row r="549" customFormat="false" ht="15.75" hidden="false" customHeight="true" outlineLevel="0" collapsed="false">
      <c r="A549" s="12" t="n">
        <v>3527</v>
      </c>
      <c r="B549" s="13" t="s">
        <v>2479</v>
      </c>
      <c r="C549" s="14" t="n">
        <v>44490</v>
      </c>
      <c r="D549" s="13" t="s">
        <v>101</v>
      </c>
      <c r="E549" s="15" t="s">
        <v>47</v>
      </c>
      <c r="F549" s="15" t="str">
        <f aca="false">IFERROR(__xludf.dummyfunction("XLOOKUP(AJ549,IMPORTRANGE(""1XaInW9DU9nz21V0tYIfzFQ0He9kVQ_JF2mCXgZ3hqFA"",""REKAP ALL 2026 - Andika!G:G""),IMPORTRANGE(""1XaInW9DU9nz21V0tYIfzFQ0He9kVQ_JF2mCXgZ3hqFA"",""REKAP ALL 2026 - Andika!F:F""),"""",0)"),"22000065114")</f>
        <v>22000065114</v>
      </c>
      <c r="G549" s="13" t="s">
        <v>2480</v>
      </c>
      <c r="H549" s="13" t="s">
        <v>35</v>
      </c>
      <c r="I549" s="13" t="str">
        <f aca="false">IF(C549=J549,"NEW KONTRAK","RE-KONTRAK")</f>
        <v>RE-KONTRAK</v>
      </c>
      <c r="J549" s="16" t="n">
        <f aca="false" t="array" ref="J549:J549">IFERROR(INDEX(AC549:AE549,IF(COUNTA(AC549:AE549)=0,"",MAX((AC549:AE549&lt;&gt;"")*(COLUMN(AC549:AE549)-(COLUMN(AC549)))))-1),"")</f>
        <v>45672</v>
      </c>
      <c r="K549" s="16" t="n">
        <f aca="false" t="array" ref="K549:K549">IFERROR(INDEX(AC549:AE549,IF(COUNTA(AC549:AE549)=0,"",MAX((AC549:AE549&lt;&gt;"")*(COLUMN(AC549:AE549)-(COLUMN(AC549)-1))))-1),"")</f>
        <v>46036</v>
      </c>
      <c r="L549" s="17" t="str">
        <f aca="false" t="array" ref="L549:L549">IFERROR(INDEX(AC549:AE549,IF(COUNTA(AC549:AE549)=0,"",MAX((AC549:AE549&lt;&gt;"")*(COLUMN(AC549:AE549)-(COLUMN(AC549)-2))))-1),"")</f>
        <v>ARCHIVED</v>
      </c>
      <c r="M549" s="13" t="n">
        <f aca="true">K549-TODAY()</f>
        <v>-288</v>
      </c>
      <c r="N549" s="18" t="s">
        <v>105</v>
      </c>
      <c r="O549" s="13" t="s">
        <v>106</v>
      </c>
      <c r="P549" s="31" t="n">
        <v>138915</v>
      </c>
      <c r="Q549" s="20" t="s">
        <v>2481</v>
      </c>
      <c r="R549" s="13" t="s">
        <v>168</v>
      </c>
      <c r="S549" s="25" t="n">
        <v>36778</v>
      </c>
      <c r="T549" s="13" t="s">
        <v>40</v>
      </c>
      <c r="U549" s="13" t="s">
        <v>2482</v>
      </c>
      <c r="V549" s="13" t="s">
        <v>42</v>
      </c>
      <c r="W549" s="13" t="s">
        <v>43</v>
      </c>
      <c r="X549" s="21" t="n">
        <v>89665831567</v>
      </c>
      <c r="Y549" s="22" t="str">
        <f aca="false">O549</f>
        <v>Produksi - Helper</v>
      </c>
      <c r="Z549" s="13" t="str">
        <f aca="false">IFERROR(__xludf.dummyfunction("if(BJ549="""","""",GOOGLETRANSLATE(BJ549,""auto"",""en""))"),"Production - Helper")</f>
        <v>Production - Helper</v>
      </c>
      <c r="AA549" s="23" t="str">
        <f aca="false">IF(C549="","", CHOOSE(MONTH(C549),"January","February","March","April","May","June","July","August","September","October","November","December")&amp;" "&amp;DAY(C549)&amp;MID("thstndrdth",MIN(9,2*RIGHT(DAY(C549))*(MOD(DAY(C549)-11,100)&gt;2)+1),2)&amp;","&amp;TEXT(C549," yyyy"))</f>
        <v>October 21st,2021</v>
      </c>
      <c r="AB549" s="15" t="str">
        <f aca="true">IF(S549="","",DATEDIF(S549,TODAY(),"Y")&amp;" Tahun, "&amp;DATEDIF(S549,TODAY(),"YM")&amp;" Bulan, "&amp;DATEDIF(S549,TODAY(),"MD")&amp;" Hari")</f>
        <v>26 Tahun, 1 Bulan, 20 Hari</v>
      </c>
      <c r="AC549" s="18" t="n">
        <v>45672</v>
      </c>
      <c r="AD549" s="18" t="n">
        <v>46036</v>
      </c>
      <c r="AE549" s="18" t="s">
        <v>44</v>
      </c>
    </row>
    <row r="550" customFormat="false" ht="15.75" hidden="false" customHeight="true" outlineLevel="0" collapsed="false">
      <c r="A550" s="12" t="n">
        <v>3190</v>
      </c>
      <c r="B550" s="13" t="s">
        <v>2483</v>
      </c>
      <c r="C550" s="14" t="n">
        <v>44432</v>
      </c>
      <c r="D550" s="13" t="s">
        <v>101</v>
      </c>
      <c r="E550" s="15" t="s">
        <v>47</v>
      </c>
      <c r="F550" s="15" t="str">
        <f aca="false">IFERROR(__xludf.dummyfunction("XLOOKUP(AJ550,IMPORTRANGE(""1XaInW9DU9nz21V0tYIfzFQ0He9kVQ_JF2mCXgZ3hqFA"",""REKAP ALL 2026 - Andika!G:G""),IMPORTRANGE(""1XaInW9DU9nz21V0tYIfzFQ0He9kVQ_JF2mCXgZ3hqFA"",""REKAP ALL 2026 - Andika!F:F""),"""",0)"),"21082691052")</f>
        <v>21082691052</v>
      </c>
      <c r="G550" s="13" t="s">
        <v>2484</v>
      </c>
      <c r="H550" s="13" t="s">
        <v>35</v>
      </c>
      <c r="I550" s="13" t="str">
        <f aca="false">IF(C550=J550,"NEW KONTRAK","RE-KONTRAK")</f>
        <v>RE-KONTRAK</v>
      </c>
      <c r="J550" s="16" t="n">
        <f aca="false" t="array" ref="J550:J550">IFERROR(INDEX(AC550:AE550,IF(COUNTA(AC550:AE550)=0,"",MAX((AC550:AE550&lt;&gt;"")*(COLUMN(AC550:AE550)-(COLUMN(AC550)))))-1),"")</f>
        <v>45672</v>
      </c>
      <c r="K550" s="16" t="n">
        <f aca="false" t="array" ref="K550:K550">IFERROR(INDEX(AC550:AE550,IF(COUNTA(AC550:AE550)=0,"",MAX((AC550:AE550&lt;&gt;"")*(COLUMN(AC550:AE550)-(COLUMN(AC550)-1))))-1),"")</f>
        <v>46036</v>
      </c>
      <c r="L550" s="17" t="str">
        <f aca="false" t="array" ref="L550:L550">IFERROR(INDEX(AC550:AE550,IF(COUNTA(AC550:AE550)=0,"",MAX((AC550:AE550&lt;&gt;"")*(COLUMN(AC550:AE550)-(COLUMN(AC550)-2))))-1),"")</f>
        <v>ARCHIVED</v>
      </c>
      <c r="M550" s="13" t="n">
        <f aca="true">K550-TODAY()</f>
        <v>-288</v>
      </c>
      <c r="N550" s="18" t="s">
        <v>105</v>
      </c>
      <c r="O550" s="13" t="s">
        <v>106</v>
      </c>
      <c r="P550" s="31" t="n">
        <v>138915</v>
      </c>
      <c r="Q550" s="20" t="s">
        <v>2485</v>
      </c>
      <c r="R550" s="13" t="s">
        <v>260</v>
      </c>
      <c r="S550" s="25" t="n">
        <v>37808</v>
      </c>
      <c r="T550" s="13" t="s">
        <v>108</v>
      </c>
      <c r="U550" s="13" t="s">
        <v>2486</v>
      </c>
      <c r="V550" s="13" t="s">
        <v>42</v>
      </c>
      <c r="W550" s="13" t="s">
        <v>43</v>
      </c>
      <c r="X550" s="21" t="n">
        <v>85648858783</v>
      </c>
      <c r="Y550" s="22" t="str">
        <f aca="false">O550</f>
        <v>Produksi - Helper</v>
      </c>
      <c r="Z550" s="13" t="str">
        <f aca="false">IFERROR(__xludf.dummyfunction("if(BJ550="""","""",GOOGLETRANSLATE(BJ550,""auto"",""en""))"),"Production - Helper")</f>
        <v>Production - Helper</v>
      </c>
      <c r="AA550" s="23" t="str">
        <f aca="false">IF(C550="","", CHOOSE(MONTH(C550),"January","February","March","April","May","June","July","August","September","October","November","December")&amp;" "&amp;DAY(C550)&amp;MID("thstndrdth",MIN(9,2*RIGHT(DAY(C550))*(MOD(DAY(C550)-11,100)&gt;2)+1),2)&amp;","&amp;TEXT(C550," yyyy"))</f>
        <v>August 24th,2021</v>
      </c>
      <c r="AB550" s="15" t="str">
        <f aca="true">IF(S550="","",DATEDIF(S550,TODAY(),"Y")&amp;" Tahun, "&amp;DATEDIF(S550,TODAY(),"YM")&amp;" Bulan, "&amp;DATEDIF(S550,TODAY(),"MD")&amp;" Hari")</f>
        <v>23 Tahun, 3 Bulan, 23 Hari</v>
      </c>
      <c r="AC550" s="18" t="n">
        <v>45672</v>
      </c>
      <c r="AD550" s="18" t="n">
        <v>46036</v>
      </c>
      <c r="AE550" s="18" t="s">
        <v>44</v>
      </c>
    </row>
    <row r="551" customFormat="false" ht="15.75" hidden="false" customHeight="true" outlineLevel="0" collapsed="false">
      <c r="A551" s="12" t="n">
        <v>3214</v>
      </c>
      <c r="B551" s="13" t="s">
        <v>2487</v>
      </c>
      <c r="C551" s="14" t="n">
        <v>44441</v>
      </c>
      <c r="D551" s="13" t="s">
        <v>101</v>
      </c>
      <c r="E551" s="15" t="s">
        <v>33</v>
      </c>
      <c r="F551" s="24" t="s">
        <v>2488</v>
      </c>
      <c r="G551" s="13" t="s">
        <v>2489</v>
      </c>
      <c r="H551" s="13" t="s">
        <v>35</v>
      </c>
      <c r="I551" s="13" t="str">
        <f aca="false">IF(C551=J551,"NEW KONTRAK","RE-KONTRAK")</f>
        <v>RE-KONTRAK</v>
      </c>
      <c r="J551" s="16" t="n">
        <f aca="false" t="array" ref="J551:J551">IFERROR(INDEX(AC551:AE551,IF(COUNTA(AC551:AE551)=0,"",MAX((AC551:AE551&lt;&gt;"")*(COLUMN(AC551:AE551)-(COLUMN(AC551)))))-1),"")</f>
        <v>45672</v>
      </c>
      <c r="K551" s="16" t="n">
        <f aca="false" t="array" ref="K551:K551">IFERROR(INDEX(AC551:AE551,IF(COUNTA(AC551:AE551)=0,"",MAX((AC551:AE551&lt;&gt;"")*(COLUMN(AC551:AE551)-(COLUMN(AC551)-1))))-1),"")</f>
        <v>46036</v>
      </c>
      <c r="L551" s="17" t="str">
        <f aca="false" t="array" ref="L551:L551">IFERROR(INDEX(AC551:AE551,IF(COUNTA(AC551:AE551)=0,"",MAX((AC551:AE551&lt;&gt;"")*(COLUMN(AC551:AE551)-(COLUMN(AC551)-2))))-1),"")</f>
        <v>ARCHIVED</v>
      </c>
      <c r="M551" s="13" t="n">
        <f aca="true">K551-TODAY()</f>
        <v>-288</v>
      </c>
      <c r="N551" s="18" t="s">
        <v>105</v>
      </c>
      <c r="O551" s="13" t="s">
        <v>58</v>
      </c>
      <c r="P551" s="19" t="n">
        <v>126000</v>
      </c>
      <c r="Q551" s="20" t="s">
        <v>2490</v>
      </c>
      <c r="R551" s="13" t="s">
        <v>39</v>
      </c>
      <c r="S551" s="25" t="n">
        <v>37780</v>
      </c>
      <c r="T551" s="13" t="s">
        <v>108</v>
      </c>
      <c r="U551" s="13" t="s">
        <v>2491</v>
      </c>
      <c r="V551" s="28" t="s">
        <v>42</v>
      </c>
      <c r="W551" s="13" t="s">
        <v>43</v>
      </c>
      <c r="X551" s="21" t="n">
        <v>881027486727</v>
      </c>
      <c r="Y551" s="22" t="str">
        <f aca="false">O551</f>
        <v>Produksi</v>
      </c>
      <c r="Z551" s="13" t="str">
        <f aca="false">IFERROR(__xludf.dummyfunction("if(BJ551="""","""",GOOGLETRANSLATE(BJ551,""auto"",""en""))"),"Production")</f>
        <v>Production</v>
      </c>
      <c r="AA551" s="23" t="str">
        <f aca="false">IF(C551="","", CHOOSE(MONTH(C551),"January","February","March","April","May","June","July","August","September","October","November","December")&amp;" "&amp;DAY(C551)&amp;MID("thstndrdth",MIN(9,2*RIGHT(DAY(C551))*(MOD(DAY(C551)-11,100)&gt;2)+1),2)&amp;","&amp;TEXT(C551," yyyy"))</f>
        <v>September 2nd,2021</v>
      </c>
      <c r="AB551" s="15" t="str">
        <f aca="true">IF(S551="","",DATEDIF(S551,TODAY(),"Y")&amp;" Tahun, "&amp;DATEDIF(S551,TODAY(),"YM")&amp;" Bulan, "&amp;DATEDIF(S551,TODAY(),"MD")&amp;" Hari")</f>
        <v>23 Tahun, 4 Bulan, 21 Hari</v>
      </c>
      <c r="AC551" s="18" t="n">
        <v>45672</v>
      </c>
      <c r="AD551" s="18" t="n">
        <v>46036</v>
      </c>
      <c r="AE551" s="18" t="s">
        <v>44</v>
      </c>
    </row>
    <row r="552" customFormat="false" ht="15.75" hidden="false" customHeight="true" outlineLevel="0" collapsed="false">
      <c r="A552" s="12" t="n">
        <v>3233</v>
      </c>
      <c r="B552" s="13" t="s">
        <v>2492</v>
      </c>
      <c r="C552" s="14" t="n">
        <v>44441</v>
      </c>
      <c r="D552" s="13" t="s">
        <v>101</v>
      </c>
      <c r="E552" s="15" t="s">
        <v>102</v>
      </c>
      <c r="F552" s="15" t="str">
        <f aca="false">IFERROR(__xludf.dummyfunction("XLOOKUP(AJ552,IMPORTRANGE(""1XaInW9DU9nz21V0tYIfzFQ0He9kVQ_JF2mCXgZ3hqFA"",""REKAP ALL 2026 - Andika!G:G""),IMPORTRANGE(""1XaInW9DU9nz21V0tYIfzFQ0He9kVQ_JF2mCXgZ3hqFA"",""REKAP ALL 2026 - Andika!F:F""),"""",0)"),"21082692456")</f>
        <v>21082692456</v>
      </c>
      <c r="G552" s="13" t="s">
        <v>2493</v>
      </c>
      <c r="H552" s="13" t="s">
        <v>35</v>
      </c>
      <c r="I552" s="13" t="str">
        <f aca="false">IF(C552=J552,"NEW KONTRAK","RE-KONTRAK")</f>
        <v>RE-KONTRAK</v>
      </c>
      <c r="J552" s="16" t="n">
        <f aca="false" t="array" ref="J552:J552">IFERROR(INDEX(AC552:AE552,IF(COUNTA(AC552:AE552)=0,"",MAX((AC552:AE552&lt;&gt;"")*(COLUMN(AC552:AE552)-(COLUMN(AC552)))))-1),"")</f>
        <v>45672</v>
      </c>
      <c r="K552" s="16" t="n">
        <f aca="false" t="array" ref="K552:K552">IFERROR(INDEX(AC552:AE552,IF(COUNTA(AC552:AE552)=0,"",MAX((AC552:AE552&lt;&gt;"")*(COLUMN(AC552:AE552)-(COLUMN(AC552)-1))))-1),"")</f>
        <v>46036</v>
      </c>
      <c r="L552" s="17" t="str">
        <f aca="false" t="array" ref="L552:L552">IFERROR(INDEX(AC552:AE552,IF(COUNTA(AC552:AE552)=0,"",MAX((AC552:AE552&lt;&gt;"")*(COLUMN(AC552:AE552)-(COLUMN(AC552)-2))))-1),"")</f>
        <v>ARCHIVED</v>
      </c>
      <c r="M552" s="13" t="n">
        <f aca="true">K552-TODAY()</f>
        <v>-288</v>
      </c>
      <c r="N552" s="18" t="s">
        <v>105</v>
      </c>
      <c r="O552" s="13" t="s">
        <v>106</v>
      </c>
      <c r="P552" s="19" t="n">
        <v>132300</v>
      </c>
      <c r="Q552" s="20" t="s">
        <v>2494</v>
      </c>
      <c r="R552" s="13" t="s">
        <v>78</v>
      </c>
      <c r="S552" s="25" t="n">
        <v>36593</v>
      </c>
      <c r="T552" s="13" t="s">
        <v>108</v>
      </c>
      <c r="U552" s="13" t="s">
        <v>2495</v>
      </c>
      <c r="V552" s="13" t="s">
        <v>42</v>
      </c>
      <c r="W552" s="13" t="s">
        <v>43</v>
      </c>
      <c r="X552" s="21" t="n">
        <v>8819476636</v>
      </c>
      <c r="Y552" s="22" t="str">
        <f aca="false">O552</f>
        <v>Produksi - Helper</v>
      </c>
      <c r="Z552" s="13" t="str">
        <f aca="false">IFERROR(__xludf.dummyfunction("if(BJ552="""","""",GOOGLETRANSLATE(BJ552,""auto"",""en""))"),"Production - Helper")</f>
        <v>Production - Helper</v>
      </c>
      <c r="AA552" s="23" t="str">
        <f aca="false">IF(C552="","", CHOOSE(MONTH(C552),"January","February","March","April","May","June","July","August","September","October","November","December")&amp;" "&amp;DAY(C552)&amp;MID("thstndrdth",MIN(9,2*RIGHT(DAY(C552))*(MOD(DAY(C552)-11,100)&gt;2)+1),2)&amp;","&amp;TEXT(C552," yyyy"))</f>
        <v>September 2nd,2021</v>
      </c>
      <c r="AB552" s="15" t="str">
        <f aca="true">IF(S552="","",DATEDIF(S552,TODAY(),"Y")&amp;" Tahun, "&amp;DATEDIF(S552,TODAY(),"YM")&amp;" Bulan, "&amp;DATEDIF(S552,TODAY(),"MD")&amp;" Hari")</f>
        <v>26 Tahun, 7 Bulan, 21 Hari</v>
      </c>
      <c r="AC552" s="18" t="n">
        <v>45672</v>
      </c>
      <c r="AD552" s="18" t="n">
        <v>46036</v>
      </c>
      <c r="AE552" s="18" t="s">
        <v>44</v>
      </c>
    </row>
    <row r="553" customFormat="false" ht="15.75" hidden="false" customHeight="true" outlineLevel="0" collapsed="false">
      <c r="A553" s="12" t="n">
        <v>3234</v>
      </c>
      <c r="B553" s="13" t="s">
        <v>2496</v>
      </c>
      <c r="C553" s="14" t="n">
        <v>44441</v>
      </c>
      <c r="D553" s="13" t="s">
        <v>101</v>
      </c>
      <c r="E553" s="15" t="s">
        <v>102</v>
      </c>
      <c r="F553" s="15" t="str">
        <f aca="false">IFERROR(__xludf.dummyfunction("XLOOKUP(AJ553,IMPORTRANGE(""1XaInW9DU9nz21V0tYIfzFQ0He9kVQ_JF2mCXgZ3hqFA"",""REKAP ALL 2026 - Andika!G:G""),IMPORTRANGE(""1XaInW9DU9nz21V0tYIfzFQ0He9kVQ_JF2mCXgZ3hqFA"",""REKAP ALL 2026 - Andika!F:F""),"""",0)"),"21082692290")</f>
        <v>21082692290</v>
      </c>
      <c r="G553" s="13" t="s">
        <v>2497</v>
      </c>
      <c r="H553" s="13" t="s">
        <v>35</v>
      </c>
      <c r="I553" s="13" t="str">
        <f aca="false">IF(C553=J553,"NEW KONTRAK","RE-KONTRAK")</f>
        <v>RE-KONTRAK</v>
      </c>
      <c r="J553" s="16" t="n">
        <f aca="false" t="array" ref="J553:J553">IFERROR(INDEX(AC553:AE553,IF(COUNTA(AC553:AE553)=0,"",MAX((AC553:AE553&lt;&gt;"")*(COLUMN(AC553:AE553)-(COLUMN(AC553)))))-1),"")</f>
        <v>45672</v>
      </c>
      <c r="K553" s="16" t="n">
        <f aca="false" t="array" ref="K553:K553">IFERROR(INDEX(AC553:AE553,IF(COUNTA(AC553:AE553)=0,"",MAX((AC553:AE553&lt;&gt;"")*(COLUMN(AC553:AE553)-(COLUMN(AC553)-1))))-1),"")</f>
        <v>46036</v>
      </c>
      <c r="L553" s="17" t="str">
        <f aca="false" t="array" ref="L553:L553">IFERROR(INDEX(AC553:AE553,IF(COUNTA(AC553:AE553)=0,"",MAX((AC553:AE553&lt;&gt;"")*(COLUMN(AC553:AE553)-(COLUMN(AC553)-2))))-1),"")</f>
        <v>ARCHIVED</v>
      </c>
      <c r="M553" s="13" t="n">
        <f aca="true">K553-TODAY()</f>
        <v>-288</v>
      </c>
      <c r="N553" s="18" t="s">
        <v>105</v>
      </c>
      <c r="O553" s="13" t="s">
        <v>106</v>
      </c>
      <c r="P553" s="19" t="n">
        <v>132300</v>
      </c>
      <c r="Q553" s="20" t="s">
        <v>2498</v>
      </c>
      <c r="R553" s="13" t="s">
        <v>274</v>
      </c>
      <c r="S553" s="25" t="n">
        <v>34156</v>
      </c>
      <c r="T553" s="13" t="s">
        <v>108</v>
      </c>
      <c r="U553" s="13" t="s">
        <v>2499</v>
      </c>
      <c r="V553" s="13" t="s">
        <v>42</v>
      </c>
      <c r="W553" s="13" t="s">
        <v>54</v>
      </c>
      <c r="X553" s="21" t="n">
        <v>88989033888</v>
      </c>
      <c r="Y553" s="22" t="str">
        <f aca="false">O553</f>
        <v>Produksi - Helper</v>
      </c>
      <c r="Z553" s="13" t="str">
        <f aca="false">IFERROR(__xludf.dummyfunction("if(BJ553="""","""",GOOGLETRANSLATE(BJ553,""auto"",""en""))"),"Production - Helper")</f>
        <v>Production - Helper</v>
      </c>
      <c r="AA553" s="23" t="str">
        <f aca="false">IF(C553="","", CHOOSE(MONTH(C553),"January","February","March","April","May","June","July","August","September","October","November","December")&amp;" "&amp;DAY(C553)&amp;MID("thstndrdth",MIN(9,2*RIGHT(DAY(C553))*(MOD(DAY(C553)-11,100)&gt;2)+1),2)&amp;","&amp;TEXT(C553," yyyy"))</f>
        <v>September 2nd,2021</v>
      </c>
      <c r="AB553" s="15" t="str">
        <f aca="true">IF(S553="","",DATEDIF(S553,TODAY(),"Y")&amp;" Tahun, "&amp;DATEDIF(S553,TODAY(),"YM")&amp;" Bulan, "&amp;DATEDIF(S553,TODAY(),"MD")&amp;" Hari")</f>
        <v>33 Tahun, 3 Bulan, 23 Hari</v>
      </c>
      <c r="AC553" s="18" t="n">
        <v>45672</v>
      </c>
      <c r="AD553" s="18" t="n">
        <v>46036</v>
      </c>
      <c r="AE553" s="18" t="s">
        <v>44</v>
      </c>
    </row>
    <row r="554" customFormat="false" ht="15.75" hidden="false" customHeight="true" outlineLevel="0" collapsed="false">
      <c r="A554" s="12" t="n">
        <v>3241</v>
      </c>
      <c r="B554" s="13" t="s">
        <v>2500</v>
      </c>
      <c r="C554" s="14" t="n">
        <v>44442</v>
      </c>
      <c r="D554" s="13" t="s">
        <v>101</v>
      </c>
      <c r="E554" s="15" t="s">
        <v>102</v>
      </c>
      <c r="F554" s="15" t="str">
        <f aca="false">IFERROR(__xludf.dummyfunction("XLOOKUP(AJ554,IMPORTRANGE(""1XaInW9DU9nz21V0tYIfzFQ0He9kVQ_JF2mCXgZ3hqFA"",""REKAP ALL 2026 - Andika!G:G""),IMPORTRANGE(""1XaInW9DU9nz21V0tYIfzFQ0He9kVQ_JF2mCXgZ3hqFA"",""REKAP ALL 2026 - Andika!F:F""),"""",0)"),"20066386572")</f>
        <v>20066386572</v>
      </c>
      <c r="G554" s="13" t="s">
        <v>2501</v>
      </c>
      <c r="H554" s="13" t="s">
        <v>35</v>
      </c>
      <c r="I554" s="13" t="str">
        <f aca="false">IF(C554=J554,"NEW KONTRAK","RE-KONTRAK")</f>
        <v>RE-KONTRAK</v>
      </c>
      <c r="J554" s="16" t="n">
        <f aca="false" t="array" ref="J554:J554">IFERROR(INDEX(AC554:AE554,IF(COUNTA(AC554:AE554)=0,"",MAX((AC554:AE554&lt;&gt;"")*(COLUMN(AC554:AE554)-(COLUMN(AC554)))))-1),"")</f>
        <v>45672</v>
      </c>
      <c r="K554" s="16" t="n">
        <f aca="false" t="array" ref="K554:K554">IFERROR(INDEX(AC554:AE554,IF(COUNTA(AC554:AE554)=0,"",MAX((AC554:AE554&lt;&gt;"")*(COLUMN(AC554:AE554)-(COLUMN(AC554)-1))))-1),"")</f>
        <v>46036</v>
      </c>
      <c r="L554" s="17" t="str">
        <f aca="false" t="array" ref="L554:L554">IFERROR(INDEX(AC554:AE554,IF(COUNTA(AC554:AE554)=0,"",MAX((AC554:AE554&lt;&gt;"")*(COLUMN(AC554:AE554)-(COLUMN(AC554)-2))))-1),"")</f>
        <v>ARCHIVED</v>
      </c>
      <c r="M554" s="13" t="n">
        <f aca="true">K554-TODAY()</f>
        <v>-288</v>
      </c>
      <c r="N554" s="18" t="s">
        <v>105</v>
      </c>
      <c r="O554" s="13" t="s">
        <v>106</v>
      </c>
      <c r="P554" s="19" t="n">
        <v>132300</v>
      </c>
      <c r="Q554" s="20" t="s">
        <v>2502</v>
      </c>
      <c r="R554" s="13" t="s">
        <v>1695</v>
      </c>
      <c r="S554" s="25" t="n">
        <v>36955</v>
      </c>
      <c r="T554" s="13" t="s">
        <v>108</v>
      </c>
      <c r="U554" s="13" t="s">
        <v>2503</v>
      </c>
      <c r="V554" s="13" t="s">
        <v>42</v>
      </c>
      <c r="W554" s="13" t="s">
        <v>43</v>
      </c>
      <c r="X554" s="21" t="n">
        <v>895397096008</v>
      </c>
      <c r="Y554" s="22" t="str">
        <f aca="false">O554</f>
        <v>Produksi - Helper</v>
      </c>
      <c r="Z554" s="13" t="str">
        <f aca="false">IFERROR(__xludf.dummyfunction("if(BJ554="""","""",GOOGLETRANSLATE(BJ554,""auto"",""en""))"),"Production - Helper")</f>
        <v>Production - Helper</v>
      </c>
      <c r="AA554" s="23" t="str">
        <f aca="false">IF(C554="","", CHOOSE(MONTH(C554),"January","February","March","April","May","June","July","August","September","October","November","December")&amp;" "&amp;DAY(C554)&amp;MID("thstndrdth",MIN(9,2*RIGHT(DAY(C554))*(MOD(DAY(C554)-11,100)&gt;2)+1),2)&amp;","&amp;TEXT(C554," yyyy"))</f>
        <v>September 3rd,2021</v>
      </c>
      <c r="AB554" s="15" t="str">
        <f aca="true">IF(S554="","",DATEDIF(S554,TODAY(),"Y")&amp;" Tahun, "&amp;DATEDIF(S554,TODAY(),"YM")&amp;" Bulan, "&amp;DATEDIF(S554,TODAY(),"MD")&amp;" Hari")</f>
        <v>25 Tahun, 7 Bulan, 24 Hari</v>
      </c>
      <c r="AC554" s="18" t="n">
        <v>45672</v>
      </c>
      <c r="AD554" s="18" t="n">
        <v>46036</v>
      </c>
      <c r="AE554" s="18" t="s">
        <v>44</v>
      </c>
    </row>
    <row r="555" customFormat="false" ht="15.75" hidden="false" customHeight="true" outlineLevel="0" collapsed="false">
      <c r="A555" s="12" t="n">
        <v>2551</v>
      </c>
      <c r="B555" s="13" t="s">
        <v>2504</v>
      </c>
      <c r="C555" s="14" t="n">
        <v>44413</v>
      </c>
      <c r="D555" s="13" t="s">
        <v>101</v>
      </c>
      <c r="E555" s="15" t="s">
        <v>47</v>
      </c>
      <c r="F555" s="15" t="str">
        <f aca="false">IFERROR(__xludf.dummyfunction("XLOOKUP(AJ555,IMPORTRANGE(""1XaInW9DU9nz21V0tYIfzFQ0He9kVQ_JF2mCXgZ3hqFA"",""REKAP ALL 2026 - Andika!G:G""),IMPORTRANGE(""1XaInW9DU9nz21V0tYIfzFQ0He9kVQ_JF2mCXgZ3hqFA"",""REKAP ALL 2026 - Andika!F:F""),"""",0)"),"21068420302")</f>
        <v>21068420302</v>
      </c>
      <c r="G555" s="13" t="s">
        <v>2505</v>
      </c>
      <c r="H555" s="13" t="s">
        <v>35</v>
      </c>
      <c r="I555" s="13" t="str">
        <f aca="false">IF(C555=J555,"NEW KONTRAK","RE-KONTRAK")</f>
        <v>RE-KONTRAK</v>
      </c>
      <c r="J555" s="16" t="n">
        <f aca="false" t="array" ref="J555:J555">IFERROR(INDEX(AC555:AE555,IF(COUNTA(AC555:AE555)=0,"",MAX((AC555:AE555&lt;&gt;"")*(COLUMN(AC555:AE555)-(COLUMN(AC555)))))-1),"")</f>
        <v>45672</v>
      </c>
      <c r="K555" s="16" t="n">
        <f aca="false" t="array" ref="K555:K555">IFERROR(INDEX(AC555:AE555,IF(COUNTA(AC555:AE555)=0,"",MAX((AC555:AE555&lt;&gt;"")*(COLUMN(AC555:AE555)-(COLUMN(AC555)-1))))-1),"")</f>
        <v>46036</v>
      </c>
      <c r="L555" s="17" t="str">
        <f aca="false" t="array" ref="L555:L555">IFERROR(INDEX(AC555:AE555,IF(COUNTA(AC555:AE555)=0,"",MAX((AC555:AE555&lt;&gt;"")*(COLUMN(AC555:AE555)-(COLUMN(AC555)-2))))-1),"")</f>
        <v>ARCHIVED</v>
      </c>
      <c r="M555" s="13" t="n">
        <f aca="true">K555-TODAY()</f>
        <v>-288</v>
      </c>
      <c r="N555" s="18" t="s">
        <v>105</v>
      </c>
      <c r="O555" s="13" t="s">
        <v>106</v>
      </c>
      <c r="P555" s="31" t="n">
        <v>138915</v>
      </c>
      <c r="Q555" s="20" t="s">
        <v>2506</v>
      </c>
      <c r="R555" s="13" t="s">
        <v>260</v>
      </c>
      <c r="S555" s="25" t="n">
        <v>36139</v>
      </c>
      <c r="T555" s="13" t="s">
        <v>40</v>
      </c>
      <c r="U555" s="13" t="s">
        <v>2507</v>
      </c>
      <c r="V555" s="13" t="s">
        <v>42</v>
      </c>
      <c r="W555" s="13" t="s">
        <v>43</v>
      </c>
      <c r="X555" s="21" t="n">
        <v>81998481731</v>
      </c>
      <c r="Y555" s="22" t="str">
        <f aca="false">O555</f>
        <v>Produksi - Helper</v>
      </c>
      <c r="Z555" s="13" t="str">
        <f aca="false">IFERROR(__xludf.dummyfunction("if(BJ555="""","""",GOOGLETRANSLATE(BJ555,""auto"",""en""))"),"Production - Helper")</f>
        <v>Production - Helper</v>
      </c>
      <c r="AA555" s="23" t="str">
        <f aca="false">IF(C555="","", CHOOSE(MONTH(C555),"January","February","March","April","May","June","July","August","September","October","November","December")&amp;" "&amp;DAY(C555)&amp;MID("thstndrdth",MIN(9,2*RIGHT(DAY(C555))*(MOD(DAY(C555)-11,100)&gt;2)+1),2)&amp;","&amp;TEXT(C555," yyyy"))</f>
        <v>August 5th,2021</v>
      </c>
      <c r="AB555" s="15" t="str">
        <f aca="true">IF(S555="","",DATEDIF(S555,TODAY(),"Y")&amp;" Tahun, "&amp;DATEDIF(S555,TODAY(),"YM")&amp;" Bulan, "&amp;DATEDIF(S555,TODAY(),"MD")&amp;" Hari")</f>
        <v>27 Tahun, 10 Bulan, 19 Hari</v>
      </c>
      <c r="AC555" s="18" t="n">
        <v>45672</v>
      </c>
      <c r="AD555" s="18" t="n">
        <v>46036</v>
      </c>
      <c r="AE555" s="18" t="s">
        <v>44</v>
      </c>
    </row>
    <row r="556" customFormat="false" ht="15.75" hidden="false" customHeight="true" outlineLevel="0" collapsed="false">
      <c r="A556" s="12" t="n">
        <v>3249</v>
      </c>
      <c r="B556" s="13" t="s">
        <v>2508</v>
      </c>
      <c r="C556" s="14" t="n">
        <v>44442</v>
      </c>
      <c r="D556" s="13" t="s">
        <v>101</v>
      </c>
      <c r="E556" s="15" t="s">
        <v>47</v>
      </c>
      <c r="F556" s="15" t="str">
        <f aca="false">IFERROR(__xludf.dummyfunction("XLOOKUP(AJ556,IMPORTRANGE(""1XaInW9DU9nz21V0tYIfzFQ0He9kVQ_JF2mCXgZ3hqFA"",""REKAP ALL 2026 - Andika!G:G""),IMPORTRANGE(""1XaInW9DU9nz21V0tYIfzFQ0He9kVQ_JF2mCXgZ3hqFA"",""REKAP ALL 2026 - Andika!F:F""),"""",0)"),"18078417062")</f>
        <v>18078417062</v>
      </c>
      <c r="G556" s="13" t="s">
        <v>2509</v>
      </c>
      <c r="H556" s="13" t="s">
        <v>35</v>
      </c>
      <c r="I556" s="13" t="str">
        <f aca="false">IF(C556=J556,"NEW KONTRAK","RE-KONTRAK")</f>
        <v>RE-KONTRAK</v>
      </c>
      <c r="J556" s="16" t="n">
        <f aca="false" t="array" ref="J556:J556">IFERROR(INDEX(AC556:AE556,IF(COUNTA(AC556:AE556)=0,"",MAX((AC556:AE556&lt;&gt;"")*(COLUMN(AC556:AE556)-(COLUMN(AC556)))))-1),"")</f>
        <v>45672</v>
      </c>
      <c r="K556" s="16" t="n">
        <f aca="false" t="array" ref="K556:K556">IFERROR(INDEX(AC556:AE556,IF(COUNTA(AC556:AE556)=0,"",MAX((AC556:AE556&lt;&gt;"")*(COLUMN(AC556:AE556)-(COLUMN(AC556)-1))))-1),"")</f>
        <v>46036</v>
      </c>
      <c r="L556" s="17" t="str">
        <f aca="false" t="array" ref="L556:L556">IFERROR(INDEX(AC556:AE556,IF(COUNTA(AC556:AE556)=0,"",MAX((AC556:AE556&lt;&gt;"")*(COLUMN(AC556:AE556)-(COLUMN(AC556)-2))))-1),"")</f>
        <v>ARCHIVED</v>
      </c>
      <c r="M556" s="13" t="n">
        <f aca="true">K556-TODAY()</f>
        <v>-288</v>
      </c>
      <c r="N556" s="18" t="s">
        <v>105</v>
      </c>
      <c r="O556" s="13" t="s">
        <v>106</v>
      </c>
      <c r="P556" s="31" t="n">
        <v>138915</v>
      </c>
      <c r="Q556" s="20" t="s">
        <v>2510</v>
      </c>
      <c r="R556" s="13" t="s">
        <v>553</v>
      </c>
      <c r="S556" s="25" t="n">
        <v>36516</v>
      </c>
      <c r="T556" s="13" t="s">
        <v>108</v>
      </c>
      <c r="U556" s="13" t="s">
        <v>2511</v>
      </c>
      <c r="V556" s="13" t="s">
        <v>42</v>
      </c>
      <c r="W556" s="13" t="s">
        <v>43</v>
      </c>
      <c r="X556" s="21" t="n">
        <v>81575375710</v>
      </c>
      <c r="Y556" s="22" t="str">
        <f aca="false">O556</f>
        <v>Produksi - Helper</v>
      </c>
      <c r="Z556" s="13" t="str">
        <f aca="false">IFERROR(__xludf.dummyfunction("if(BJ556="""","""",GOOGLETRANSLATE(BJ556,""auto"",""en""))"),"Production - Helper")</f>
        <v>Production - Helper</v>
      </c>
      <c r="AA556" s="23" t="str">
        <f aca="false">IF(C556="","", CHOOSE(MONTH(C556),"January","February","March","April","May","June","July","August","September","October","November","December")&amp;" "&amp;DAY(C556)&amp;MID("thstndrdth",MIN(9,2*RIGHT(DAY(C556))*(MOD(DAY(C556)-11,100)&gt;2)+1),2)&amp;","&amp;TEXT(C556," yyyy"))</f>
        <v>September 3rd,2021</v>
      </c>
      <c r="AB556" s="15" t="str">
        <f aca="true">IF(S556="","",DATEDIF(S556,TODAY(),"Y")&amp;" Tahun, "&amp;DATEDIF(S556,TODAY(),"YM")&amp;" Bulan, "&amp;DATEDIF(S556,TODAY(),"MD")&amp;" Hari")</f>
        <v>26 Tahun, 10 Bulan, 7 Hari</v>
      </c>
      <c r="AC556" s="18" t="n">
        <v>45672</v>
      </c>
      <c r="AD556" s="18" t="n">
        <v>46036</v>
      </c>
      <c r="AE556" s="18" t="s">
        <v>44</v>
      </c>
    </row>
    <row r="557" customFormat="false" ht="15.75" hidden="false" customHeight="true" outlineLevel="0" collapsed="false">
      <c r="A557" s="12" t="n">
        <v>3251</v>
      </c>
      <c r="B557" s="13" t="s">
        <v>2512</v>
      </c>
      <c r="C557" s="14" t="n">
        <v>44442</v>
      </c>
      <c r="D557" s="13" t="s">
        <v>101</v>
      </c>
      <c r="E557" s="15" t="s">
        <v>33</v>
      </c>
      <c r="F557" s="24" t="s">
        <v>2513</v>
      </c>
      <c r="G557" s="13" t="s">
        <v>2514</v>
      </c>
      <c r="H557" s="13" t="s">
        <v>35</v>
      </c>
      <c r="I557" s="13" t="str">
        <f aca="false">IF(C557=J557,"NEW KONTRAK","RE-KONTRAK")</f>
        <v>RE-KONTRAK</v>
      </c>
      <c r="J557" s="16" t="n">
        <f aca="false" t="array" ref="J557:J557">IFERROR(INDEX(AC557:AE557,IF(COUNTA(AC557:AE557)=0,"",MAX((AC557:AE557&lt;&gt;"")*(COLUMN(AC557:AE557)-(COLUMN(AC557)))))-1),"")</f>
        <v>45672</v>
      </c>
      <c r="K557" s="16" t="n">
        <f aca="false" t="array" ref="K557:K557">IFERROR(INDEX(AC557:AE557,IF(COUNTA(AC557:AE557)=0,"",MAX((AC557:AE557&lt;&gt;"")*(COLUMN(AC557:AE557)-(COLUMN(AC557)-1))))-1),"")</f>
        <v>46036</v>
      </c>
      <c r="L557" s="17" t="str">
        <f aca="false" t="array" ref="L557:L557">IFERROR(INDEX(AC557:AE557,IF(COUNTA(AC557:AE557)=0,"",MAX((AC557:AE557&lt;&gt;"")*(COLUMN(AC557:AE557)-(COLUMN(AC557)-2))))-1),"")</f>
        <v>ARCHIVED</v>
      </c>
      <c r="M557" s="13" t="n">
        <f aca="true">K557-TODAY()</f>
        <v>-288</v>
      </c>
      <c r="N557" s="18" t="s">
        <v>105</v>
      </c>
      <c r="O557" s="13" t="s">
        <v>58</v>
      </c>
      <c r="P557" s="19" t="n">
        <v>126000</v>
      </c>
      <c r="Q557" s="20" t="s">
        <v>2515</v>
      </c>
      <c r="R557" s="13" t="s">
        <v>2516</v>
      </c>
      <c r="S557" s="25" t="n">
        <v>35953</v>
      </c>
      <c r="T557" s="13" t="s">
        <v>108</v>
      </c>
      <c r="U557" s="13" t="s">
        <v>2517</v>
      </c>
      <c r="V557" s="13" t="s">
        <v>42</v>
      </c>
      <c r="W557" s="13" t="s">
        <v>43</v>
      </c>
      <c r="X557" s="21" t="n">
        <v>82143668528</v>
      </c>
      <c r="Y557" s="22" t="str">
        <f aca="false">O557</f>
        <v>Produksi</v>
      </c>
      <c r="Z557" s="13" t="str">
        <f aca="false">IFERROR(__xludf.dummyfunction("if(BJ557="""","""",GOOGLETRANSLATE(BJ557,""auto"",""en""))"),"Production")</f>
        <v>Production</v>
      </c>
      <c r="AA557" s="23" t="str">
        <f aca="false">IF(C557="","", CHOOSE(MONTH(C557),"January","February","March","April","May","June","July","August","September","October","November","December")&amp;" "&amp;DAY(C557)&amp;MID("thstndrdth",MIN(9,2*RIGHT(DAY(C557))*(MOD(DAY(C557)-11,100)&gt;2)+1),2)&amp;","&amp;TEXT(C557," yyyy"))</f>
        <v>September 3rd,2021</v>
      </c>
      <c r="AB557" s="15" t="str">
        <f aca="true">IF(S557="","",DATEDIF(S557,TODAY(),"Y")&amp;" Tahun, "&amp;DATEDIF(S557,TODAY(),"YM")&amp;" Bulan, "&amp;DATEDIF(S557,TODAY(),"MD")&amp;" Hari")</f>
        <v>28 Tahun, 4 Bulan, 22 Hari</v>
      </c>
      <c r="AC557" s="18" t="n">
        <v>45672</v>
      </c>
      <c r="AD557" s="18" t="n">
        <v>46036</v>
      </c>
      <c r="AE557" s="18" t="s">
        <v>44</v>
      </c>
    </row>
    <row r="558" customFormat="false" ht="15.75" hidden="false" customHeight="true" outlineLevel="0" collapsed="false">
      <c r="A558" s="12" t="n">
        <v>3254</v>
      </c>
      <c r="B558" s="13" t="s">
        <v>2518</v>
      </c>
      <c r="C558" s="14" t="n">
        <v>44442</v>
      </c>
      <c r="D558" s="13" t="s">
        <v>101</v>
      </c>
      <c r="E558" s="15" t="s">
        <v>102</v>
      </c>
      <c r="F558" s="15" t="str">
        <f aca="false">IFERROR(__xludf.dummyfunction("XLOOKUP(AJ558,IMPORTRANGE(""1XaInW9DU9nz21V0tYIfzFQ0He9kVQ_JF2mCXgZ3hqFA"",""REKAP ALL 2026 - Andika!G:G""),IMPORTRANGE(""1XaInW9DU9nz21V0tYIfzFQ0He9kVQ_JF2mCXgZ3hqFA"",""REKAP ALL 2026 - Andika!F:F""),"""",0)"),"21082692043")</f>
        <v>21082692043</v>
      </c>
      <c r="G558" s="13" t="s">
        <v>2519</v>
      </c>
      <c r="H558" s="13" t="s">
        <v>35</v>
      </c>
      <c r="I558" s="13" t="str">
        <f aca="false">IF(C558=J558,"NEW KONTRAK","RE-KONTRAK")</f>
        <v>RE-KONTRAK</v>
      </c>
      <c r="J558" s="16" t="n">
        <f aca="false" t="array" ref="J558:J558">IFERROR(INDEX(AC558:AE558,IF(COUNTA(AC558:AE558)=0,"",MAX((AC558:AE558&lt;&gt;"")*(COLUMN(AC558:AE558)-(COLUMN(AC558)))))-1),"")</f>
        <v>45672</v>
      </c>
      <c r="K558" s="16" t="n">
        <f aca="false" t="array" ref="K558:K558">IFERROR(INDEX(AC558:AE558,IF(COUNTA(AC558:AE558)=0,"",MAX((AC558:AE558&lt;&gt;"")*(COLUMN(AC558:AE558)-(COLUMN(AC558)-1))))-1),"")</f>
        <v>46036</v>
      </c>
      <c r="L558" s="17" t="str">
        <f aca="false" t="array" ref="L558:L558">IFERROR(INDEX(AC558:AE558,IF(COUNTA(AC558:AE558)=0,"",MAX((AC558:AE558&lt;&gt;"")*(COLUMN(AC558:AE558)-(COLUMN(AC558)-2))))-1),"")</f>
        <v>ARCHIVED</v>
      </c>
      <c r="M558" s="13" t="n">
        <f aca="true">K558-TODAY()</f>
        <v>-288</v>
      </c>
      <c r="N558" s="18" t="s">
        <v>105</v>
      </c>
      <c r="O558" s="13" t="s">
        <v>106</v>
      </c>
      <c r="P558" s="19" t="n">
        <v>132300</v>
      </c>
      <c r="Q558" s="20" t="s">
        <v>2520</v>
      </c>
      <c r="R558" s="13" t="s">
        <v>52</v>
      </c>
      <c r="S558" s="25" t="n">
        <v>35951</v>
      </c>
      <c r="T558" s="13" t="s">
        <v>108</v>
      </c>
      <c r="U558" s="13" t="s">
        <v>2521</v>
      </c>
      <c r="V558" s="13" t="s">
        <v>42</v>
      </c>
      <c r="W558" s="13" t="s">
        <v>43</v>
      </c>
      <c r="X558" s="21" t="n">
        <v>87860379347</v>
      </c>
      <c r="Y558" s="22" t="str">
        <f aca="false">O558</f>
        <v>Produksi - Helper</v>
      </c>
      <c r="Z558" s="13" t="str">
        <f aca="false">IFERROR(__xludf.dummyfunction("if(BJ558="""","""",GOOGLETRANSLATE(BJ558,""auto"",""en""))"),"Production - Helper")</f>
        <v>Production - Helper</v>
      </c>
      <c r="AA558" s="23" t="str">
        <f aca="false">IF(C558="","", CHOOSE(MONTH(C558),"January","February","March","April","May","June","July","August","September","October","November","December")&amp;" "&amp;DAY(C558)&amp;MID("thstndrdth",MIN(9,2*RIGHT(DAY(C558))*(MOD(DAY(C558)-11,100)&gt;2)+1),2)&amp;","&amp;TEXT(C558," yyyy"))</f>
        <v>September 3rd,2021</v>
      </c>
      <c r="AB558" s="15" t="str">
        <f aca="true">IF(S558="","",DATEDIF(S558,TODAY(),"Y")&amp;" Tahun, "&amp;DATEDIF(S558,TODAY(),"YM")&amp;" Bulan, "&amp;DATEDIF(S558,TODAY(),"MD")&amp;" Hari")</f>
        <v>28 Tahun, 4 Bulan, 24 Hari</v>
      </c>
      <c r="AC558" s="18" t="n">
        <v>45672</v>
      </c>
      <c r="AD558" s="18" t="n">
        <v>46036</v>
      </c>
      <c r="AE558" s="18" t="s">
        <v>44</v>
      </c>
    </row>
    <row r="559" customFormat="false" ht="15.75" hidden="false" customHeight="true" outlineLevel="0" collapsed="false">
      <c r="A559" s="12" t="n">
        <v>3255</v>
      </c>
      <c r="B559" s="13" t="s">
        <v>2522</v>
      </c>
      <c r="C559" s="14" t="n">
        <v>44442</v>
      </c>
      <c r="D559" s="13" t="s">
        <v>101</v>
      </c>
      <c r="E559" s="15" t="s">
        <v>102</v>
      </c>
      <c r="F559" s="15" t="str">
        <f aca="false">IFERROR(__xludf.dummyfunction("XLOOKUP(AJ559,IMPORTRANGE(""1XaInW9DU9nz21V0tYIfzFQ0He9kVQ_JF2mCXgZ3hqFA"",""REKAP ALL 2026 - Andika!G:G""),IMPORTRANGE(""1XaInW9DU9nz21V0tYIfzFQ0He9kVQ_JF2mCXgZ3hqFA"",""REKAP ALL 2026 - Andika!F:F""),"""",0)"),"21082691987")</f>
        <v>21082691987</v>
      </c>
      <c r="G559" s="13" t="s">
        <v>2523</v>
      </c>
      <c r="H559" s="13" t="s">
        <v>35</v>
      </c>
      <c r="I559" s="13" t="str">
        <f aca="false">IF(C559=J559,"NEW KONTRAK","RE-KONTRAK")</f>
        <v>RE-KONTRAK</v>
      </c>
      <c r="J559" s="16" t="n">
        <f aca="false" t="array" ref="J559:J559">IFERROR(INDEX(AC559:AE559,IF(COUNTA(AC559:AE559)=0,"",MAX((AC559:AE559&lt;&gt;"")*(COLUMN(AC559:AE559)-(COLUMN(AC559)))))-1),"")</f>
        <v>45672</v>
      </c>
      <c r="K559" s="16" t="n">
        <f aca="false" t="array" ref="K559:K559">IFERROR(INDEX(AC559:AE559,IF(COUNTA(AC559:AE559)=0,"",MAX((AC559:AE559&lt;&gt;"")*(COLUMN(AC559:AE559)-(COLUMN(AC559)-1))))-1),"")</f>
        <v>46036</v>
      </c>
      <c r="L559" s="17" t="str">
        <f aca="false" t="array" ref="L559:L559">IFERROR(INDEX(AC559:AE559,IF(COUNTA(AC559:AE559)=0,"",MAX((AC559:AE559&lt;&gt;"")*(COLUMN(AC559:AE559)-(COLUMN(AC559)-2))))-1),"")</f>
        <v>ARCHIVED</v>
      </c>
      <c r="M559" s="13" t="n">
        <f aca="true">K559-TODAY()</f>
        <v>-288</v>
      </c>
      <c r="N559" s="18" t="s">
        <v>105</v>
      </c>
      <c r="O559" s="13" t="s">
        <v>106</v>
      </c>
      <c r="P559" s="19" t="n">
        <v>132300</v>
      </c>
      <c r="Q559" s="20" t="s">
        <v>2524</v>
      </c>
      <c r="R559" s="13" t="s">
        <v>735</v>
      </c>
      <c r="S559" s="25" t="n">
        <v>37172</v>
      </c>
      <c r="T559" s="13" t="s">
        <v>108</v>
      </c>
      <c r="U559" s="13" t="s">
        <v>2525</v>
      </c>
      <c r="V559" s="13" t="s">
        <v>42</v>
      </c>
      <c r="W559" s="13" t="s">
        <v>43</v>
      </c>
      <c r="X559" s="21" t="n">
        <v>81339828746</v>
      </c>
      <c r="Y559" s="22" t="str">
        <f aca="false">O559</f>
        <v>Produksi - Helper</v>
      </c>
      <c r="Z559" s="13" t="str">
        <f aca="false">IFERROR(__xludf.dummyfunction("if(BJ559="""","""",GOOGLETRANSLATE(BJ559,""auto"",""en""))"),"Production - Helper")</f>
        <v>Production - Helper</v>
      </c>
      <c r="AA559" s="23" t="str">
        <f aca="false">IF(C559="","", CHOOSE(MONTH(C559),"January","February","March","April","May","June","July","August","September","October","November","December")&amp;" "&amp;DAY(C559)&amp;MID("thstndrdth",MIN(9,2*RIGHT(DAY(C559))*(MOD(DAY(C559)-11,100)&gt;2)+1),2)&amp;","&amp;TEXT(C559," yyyy"))</f>
        <v>September 3rd,2021</v>
      </c>
      <c r="AB559" s="15" t="str">
        <f aca="true">IF(S559="","",DATEDIF(S559,TODAY(),"Y")&amp;" Tahun, "&amp;DATEDIF(S559,TODAY(),"YM")&amp;" Bulan, "&amp;DATEDIF(S559,TODAY(),"MD")&amp;" Hari")</f>
        <v>25 Tahun, 0 Bulan, 21 Hari</v>
      </c>
      <c r="AC559" s="18" t="n">
        <v>45672</v>
      </c>
      <c r="AD559" s="18" t="n">
        <v>46036</v>
      </c>
      <c r="AE559" s="18" t="s">
        <v>44</v>
      </c>
    </row>
    <row r="560" customFormat="false" ht="15.75" hidden="false" customHeight="true" outlineLevel="0" collapsed="false">
      <c r="A560" s="12" t="n">
        <v>3257</v>
      </c>
      <c r="B560" s="13" t="s">
        <v>2526</v>
      </c>
      <c r="C560" s="14" t="n">
        <v>44442</v>
      </c>
      <c r="D560" s="13" t="s">
        <v>101</v>
      </c>
      <c r="E560" s="15" t="s">
        <v>102</v>
      </c>
      <c r="F560" s="15" t="str">
        <f aca="false">IFERROR(__xludf.dummyfunction("XLOOKUP(AJ560,IMPORTRANGE(""1XaInW9DU9nz21V0tYIfzFQ0He9kVQ_JF2mCXgZ3hqFA"",""REKAP ALL 2026 - Andika!G:G""),IMPORTRANGE(""1XaInW9DU9nz21V0tYIfzFQ0He9kVQ_JF2mCXgZ3hqFA"",""REKAP ALL 2026 - Andika!F:F""),"""",0)"),"20012238497")</f>
        <v>20012238497</v>
      </c>
      <c r="G560" s="13" t="s">
        <v>2527</v>
      </c>
      <c r="H560" s="13" t="s">
        <v>35</v>
      </c>
      <c r="I560" s="13" t="str">
        <f aca="false">IF(C560=J560,"NEW KONTRAK","RE-KONTRAK")</f>
        <v>RE-KONTRAK</v>
      </c>
      <c r="J560" s="16" t="n">
        <f aca="false" t="array" ref="J560:J560">IFERROR(INDEX(AC560:AE560,IF(COUNTA(AC560:AE560)=0,"",MAX((AC560:AE560&lt;&gt;"")*(COLUMN(AC560:AE560)-(COLUMN(AC560)))))-1),"")</f>
        <v>45672</v>
      </c>
      <c r="K560" s="16" t="n">
        <f aca="false" t="array" ref="K560:K560">IFERROR(INDEX(AC560:AE560,IF(COUNTA(AC560:AE560)=0,"",MAX((AC560:AE560&lt;&gt;"")*(COLUMN(AC560:AE560)-(COLUMN(AC560)-1))))-1),"")</f>
        <v>46036</v>
      </c>
      <c r="L560" s="17" t="str">
        <f aca="false" t="array" ref="L560:L560">IFERROR(INDEX(AC560:AE560,IF(COUNTA(AC560:AE560)=0,"",MAX((AC560:AE560&lt;&gt;"")*(COLUMN(AC560:AE560)-(COLUMN(AC560)-2))))-1),"")</f>
        <v>ARCHIVED</v>
      </c>
      <c r="M560" s="13" t="n">
        <f aca="true">K560-TODAY()</f>
        <v>-288</v>
      </c>
      <c r="N560" s="18" t="s">
        <v>105</v>
      </c>
      <c r="O560" s="13" t="s">
        <v>106</v>
      </c>
      <c r="P560" s="19" t="n">
        <v>132300</v>
      </c>
      <c r="Q560" s="20" t="s">
        <v>2528</v>
      </c>
      <c r="R560" s="13" t="s">
        <v>39</v>
      </c>
      <c r="S560" s="25" t="n">
        <v>36521</v>
      </c>
      <c r="T560" s="13" t="s">
        <v>40</v>
      </c>
      <c r="U560" s="13" t="s">
        <v>2529</v>
      </c>
      <c r="V560" s="13" t="s">
        <v>42</v>
      </c>
      <c r="W560" s="13" t="s">
        <v>43</v>
      </c>
      <c r="X560" s="21" t="n">
        <v>895337234636</v>
      </c>
      <c r="Y560" s="22" t="str">
        <f aca="false">O560</f>
        <v>Produksi - Helper</v>
      </c>
      <c r="Z560" s="13" t="str">
        <f aca="false">IFERROR(__xludf.dummyfunction("if(BJ560="""","""",GOOGLETRANSLATE(BJ560,""auto"",""en""))"),"Production - Helper")</f>
        <v>Production - Helper</v>
      </c>
      <c r="AA560" s="23" t="str">
        <f aca="false">IF(C560="","", CHOOSE(MONTH(C560),"January","February","March","April","May","June","July","August","September","October","November","December")&amp;" "&amp;DAY(C560)&amp;MID("thstndrdth",MIN(9,2*RIGHT(DAY(C560))*(MOD(DAY(C560)-11,100)&gt;2)+1),2)&amp;","&amp;TEXT(C560," yyyy"))</f>
        <v>September 3rd,2021</v>
      </c>
      <c r="AB560" s="15" t="str">
        <f aca="true">IF(S560="","",DATEDIF(S560,TODAY(),"Y")&amp;" Tahun, "&amp;DATEDIF(S560,TODAY(),"YM")&amp;" Bulan, "&amp;DATEDIF(S560,TODAY(),"MD")&amp;" Hari")</f>
        <v>26 Tahun, 10 Bulan, 2 Hari</v>
      </c>
      <c r="AC560" s="18" t="n">
        <v>45672</v>
      </c>
      <c r="AD560" s="18" t="n">
        <v>46036</v>
      </c>
      <c r="AE560" s="18" t="s">
        <v>44</v>
      </c>
    </row>
    <row r="561" customFormat="false" ht="15.75" hidden="false" customHeight="true" outlineLevel="0" collapsed="false">
      <c r="A561" s="12" t="n">
        <v>3263</v>
      </c>
      <c r="B561" s="13" t="s">
        <v>2530</v>
      </c>
      <c r="C561" s="14" t="n">
        <v>44442</v>
      </c>
      <c r="D561" s="13" t="s">
        <v>101</v>
      </c>
      <c r="E561" s="15" t="s">
        <v>102</v>
      </c>
      <c r="F561" s="15" t="str">
        <f aca="false">IFERROR(__xludf.dummyfunction("XLOOKUP(AJ561,IMPORTRANGE(""1XaInW9DU9nz21V0tYIfzFQ0He9kVQ_JF2mCXgZ3hqFA"",""REKAP ALL 2026 - Andika!G:G""),IMPORTRANGE(""1XaInW9DU9nz21V0tYIfzFQ0He9kVQ_JF2mCXgZ3hqFA"",""REKAP ALL 2026 - Andika!F:F""),"""",0)"),"21082691466")</f>
        <v>21082691466</v>
      </c>
      <c r="G561" s="13" t="s">
        <v>2531</v>
      </c>
      <c r="H561" s="13" t="s">
        <v>35</v>
      </c>
      <c r="I561" s="13" t="str">
        <f aca="false">IF(C561=J561,"NEW KONTRAK","RE-KONTRAK")</f>
        <v>RE-KONTRAK</v>
      </c>
      <c r="J561" s="16" t="n">
        <f aca="false" t="array" ref="J561:J561">IFERROR(INDEX(AC561:AE561,IF(COUNTA(AC561:AE561)=0,"",MAX((AC561:AE561&lt;&gt;"")*(COLUMN(AC561:AE561)-(COLUMN(AC561)))))-1),"")</f>
        <v>45672</v>
      </c>
      <c r="K561" s="16" t="n">
        <f aca="false" t="array" ref="K561:K561">IFERROR(INDEX(AC561:AE561,IF(COUNTA(AC561:AE561)=0,"",MAX((AC561:AE561&lt;&gt;"")*(COLUMN(AC561:AE561)-(COLUMN(AC561)-1))))-1),"")</f>
        <v>46036</v>
      </c>
      <c r="L561" s="17" t="str">
        <f aca="false" t="array" ref="L561:L561">IFERROR(INDEX(AC561:AE561,IF(COUNTA(AC561:AE561)=0,"",MAX((AC561:AE561&lt;&gt;"")*(COLUMN(AC561:AE561)-(COLUMN(AC561)-2))))-1),"")</f>
        <v>ARCHIVED</v>
      </c>
      <c r="M561" s="13" t="n">
        <f aca="true">K561-TODAY()</f>
        <v>-288</v>
      </c>
      <c r="N561" s="18" t="s">
        <v>105</v>
      </c>
      <c r="O561" s="13" t="s">
        <v>106</v>
      </c>
      <c r="P561" s="19" t="n">
        <v>132300</v>
      </c>
      <c r="Q561" s="20" t="s">
        <v>2532</v>
      </c>
      <c r="R561" s="13" t="s">
        <v>260</v>
      </c>
      <c r="S561" s="25" t="n">
        <v>36510</v>
      </c>
      <c r="T561" s="13" t="s">
        <v>108</v>
      </c>
      <c r="U561" s="13" t="s">
        <v>2533</v>
      </c>
      <c r="V561" s="13" t="s">
        <v>42</v>
      </c>
      <c r="W561" s="13" t="s">
        <v>43</v>
      </c>
      <c r="X561" s="21" t="n">
        <v>895330559050</v>
      </c>
      <c r="Y561" s="22" t="str">
        <f aca="false">O561</f>
        <v>Produksi - Helper</v>
      </c>
      <c r="Z561" s="13" t="str">
        <f aca="false">IFERROR(__xludf.dummyfunction("if(BJ561="""","""",GOOGLETRANSLATE(BJ561,""auto"",""en""))"),"Production - Helper")</f>
        <v>Production - Helper</v>
      </c>
      <c r="AA561" s="23" t="str">
        <f aca="false">IF(C561="","", CHOOSE(MONTH(C561),"January","February","March","April","May","June","July","August","September","October","November","December")&amp;" "&amp;DAY(C561)&amp;MID("thstndrdth",MIN(9,2*RIGHT(DAY(C561))*(MOD(DAY(C561)-11,100)&gt;2)+1),2)&amp;","&amp;TEXT(C561," yyyy"))</f>
        <v>September 3rd,2021</v>
      </c>
      <c r="AB561" s="15" t="str">
        <f aca="true">IF(S561="","",DATEDIF(S561,TODAY(),"Y")&amp;" Tahun, "&amp;DATEDIF(S561,TODAY(),"YM")&amp;" Bulan, "&amp;DATEDIF(S561,TODAY(),"MD")&amp;" Hari")</f>
        <v>26 Tahun, 10 Bulan, 13 Hari</v>
      </c>
      <c r="AC561" s="18" t="n">
        <v>45672</v>
      </c>
      <c r="AD561" s="18" t="n">
        <v>46036</v>
      </c>
      <c r="AE561" s="18" t="s">
        <v>44</v>
      </c>
    </row>
    <row r="562" customFormat="false" ht="15.75" hidden="false" customHeight="true" outlineLevel="0" collapsed="false">
      <c r="A562" s="12" t="n">
        <v>3268</v>
      </c>
      <c r="B562" s="13" t="s">
        <v>2534</v>
      </c>
      <c r="C562" s="14" t="n">
        <v>44442</v>
      </c>
      <c r="D562" s="13" t="s">
        <v>101</v>
      </c>
      <c r="E562" s="15" t="s">
        <v>102</v>
      </c>
      <c r="F562" s="15" t="str">
        <f aca="false">IFERROR(__xludf.dummyfunction("XLOOKUP(AJ562,IMPORTRANGE(""1XaInW9DU9nz21V0tYIfzFQ0He9kVQ_JF2mCXgZ3hqFA"",""REKAP ALL 2026 - Andika!G:G""),IMPORTRANGE(""1XaInW9DU9nz21V0tYIfzFQ0He9kVQ_JF2mCXgZ3hqFA"",""REKAP ALL 2026 - Andika!F:F""),"""",0)"),"21082692480")</f>
        <v>21082692480</v>
      </c>
      <c r="G562" s="13" t="s">
        <v>2535</v>
      </c>
      <c r="H562" s="13" t="s">
        <v>35</v>
      </c>
      <c r="I562" s="13" t="str">
        <f aca="false">IF(C562=J562,"NEW KONTRAK","RE-KONTRAK")</f>
        <v>RE-KONTRAK</v>
      </c>
      <c r="J562" s="16" t="n">
        <f aca="false" t="array" ref="J562:J562">IFERROR(INDEX(AC562:AE562,IF(COUNTA(AC562:AE562)=0,"",MAX((AC562:AE562&lt;&gt;"")*(COLUMN(AC562:AE562)-(COLUMN(AC562)))))-1),"")</f>
        <v>45672</v>
      </c>
      <c r="K562" s="16" t="n">
        <f aca="false" t="array" ref="K562:K562">IFERROR(INDEX(AC562:AE562,IF(COUNTA(AC562:AE562)=0,"",MAX((AC562:AE562&lt;&gt;"")*(COLUMN(AC562:AE562)-(COLUMN(AC562)-1))))-1),"")</f>
        <v>46036</v>
      </c>
      <c r="L562" s="17" t="str">
        <f aca="false" t="array" ref="L562:L562">IFERROR(INDEX(AC562:AE562,IF(COUNTA(AC562:AE562)=0,"",MAX((AC562:AE562&lt;&gt;"")*(COLUMN(AC562:AE562)-(COLUMN(AC562)-2))))-1),"")</f>
        <v>ARCHIVED</v>
      </c>
      <c r="M562" s="13" t="n">
        <f aca="true">K562-TODAY()</f>
        <v>-288</v>
      </c>
      <c r="N562" s="18" t="s">
        <v>105</v>
      </c>
      <c r="O562" s="13" t="s">
        <v>106</v>
      </c>
      <c r="P562" s="19" t="n">
        <v>132300</v>
      </c>
      <c r="Q562" s="20" t="s">
        <v>2536</v>
      </c>
      <c r="R562" s="13" t="s">
        <v>39</v>
      </c>
      <c r="S562" s="25" t="n">
        <v>36857</v>
      </c>
      <c r="T562" s="13" t="s">
        <v>108</v>
      </c>
      <c r="U562" s="13" t="s">
        <v>2537</v>
      </c>
      <c r="V562" s="13" t="s">
        <v>42</v>
      </c>
      <c r="W562" s="13" t="s">
        <v>43</v>
      </c>
      <c r="X562" s="21" t="n">
        <v>81916022891</v>
      </c>
      <c r="Y562" s="22" t="str">
        <f aca="false">O562</f>
        <v>Produksi - Helper</v>
      </c>
      <c r="Z562" s="13" t="str">
        <f aca="false">IFERROR(__xludf.dummyfunction("if(BJ562="""","""",GOOGLETRANSLATE(BJ562,""auto"",""en""))"),"Production - Helper")</f>
        <v>Production - Helper</v>
      </c>
      <c r="AA562" s="23" t="str">
        <f aca="false">IF(C562="","", CHOOSE(MONTH(C562),"January","February","March","April","May","June","July","August","September","October","November","December")&amp;" "&amp;DAY(C562)&amp;MID("thstndrdth",MIN(9,2*RIGHT(DAY(C562))*(MOD(DAY(C562)-11,100)&gt;2)+1),2)&amp;","&amp;TEXT(C562," yyyy"))</f>
        <v>September 3rd,2021</v>
      </c>
      <c r="AB562" s="15" t="str">
        <f aca="true">IF(S562="","",DATEDIF(S562,TODAY(),"Y")&amp;" Tahun, "&amp;DATEDIF(S562,TODAY(),"YM")&amp;" Bulan, "&amp;DATEDIF(S562,TODAY(),"MD")&amp;" Hari")</f>
        <v>25 Tahun, 11 Bulan, 2 Hari</v>
      </c>
      <c r="AC562" s="18" t="n">
        <v>45672</v>
      </c>
      <c r="AD562" s="18" t="n">
        <v>46036</v>
      </c>
      <c r="AE562" s="18" t="s">
        <v>44</v>
      </c>
    </row>
    <row r="563" customFormat="false" ht="15.75" hidden="false" customHeight="true" outlineLevel="0" collapsed="false">
      <c r="A563" s="12" t="n">
        <v>3272</v>
      </c>
      <c r="B563" s="13" t="s">
        <v>2538</v>
      </c>
      <c r="C563" s="14" t="n">
        <v>44443</v>
      </c>
      <c r="D563" s="13" t="s">
        <v>101</v>
      </c>
      <c r="E563" s="15" t="s">
        <v>102</v>
      </c>
      <c r="F563" s="15" t="str">
        <f aca="false">IFERROR(__xludf.dummyfunction("XLOOKUP(AJ563,IMPORTRANGE(""1XaInW9DU9nz21V0tYIfzFQ0He9kVQ_JF2mCXgZ3hqFA"",""REKAP ALL 2026 - Andika!G:G""),IMPORTRANGE(""1XaInW9DU9nz21V0tYIfzFQ0He9kVQ_JF2mCXgZ3hqFA"",""REKAP ALL 2026 - Andika!F:F""),"""",0)"),"21082691862")</f>
        <v>21082691862</v>
      </c>
      <c r="G563" s="13" t="s">
        <v>2539</v>
      </c>
      <c r="H563" s="13" t="s">
        <v>35</v>
      </c>
      <c r="I563" s="13" t="str">
        <f aca="false">IF(C563=J563,"NEW KONTRAK","RE-KONTRAK")</f>
        <v>RE-KONTRAK</v>
      </c>
      <c r="J563" s="16" t="n">
        <f aca="false" t="array" ref="J563:J563">IFERROR(INDEX(AC563:AE563,IF(COUNTA(AC563:AE563)=0,"",MAX((AC563:AE563&lt;&gt;"")*(COLUMN(AC563:AE563)-(COLUMN(AC563)))))-1),"")</f>
        <v>45672</v>
      </c>
      <c r="K563" s="16" t="n">
        <f aca="false" t="array" ref="K563:K563">IFERROR(INDEX(AC563:AE563,IF(COUNTA(AC563:AE563)=0,"",MAX((AC563:AE563&lt;&gt;"")*(COLUMN(AC563:AE563)-(COLUMN(AC563)-1))))-1),"")</f>
        <v>46036</v>
      </c>
      <c r="L563" s="17" t="str">
        <f aca="false" t="array" ref="L563:L563">IFERROR(INDEX(AC563:AE563,IF(COUNTA(AC563:AE563)=0,"",MAX((AC563:AE563&lt;&gt;"")*(COLUMN(AC563:AE563)-(COLUMN(AC563)-2))))-1),"")</f>
        <v>ARCHIVED</v>
      </c>
      <c r="M563" s="13" t="n">
        <f aca="true">K563-TODAY()</f>
        <v>-288</v>
      </c>
      <c r="N563" s="18" t="s">
        <v>105</v>
      </c>
      <c r="O563" s="13" t="s">
        <v>106</v>
      </c>
      <c r="P563" s="19" t="n">
        <v>132300</v>
      </c>
      <c r="Q563" s="20" t="s">
        <v>2540</v>
      </c>
      <c r="R563" s="13" t="s">
        <v>73</v>
      </c>
      <c r="S563" s="25" t="n">
        <v>36901</v>
      </c>
      <c r="T563" s="13" t="s">
        <v>108</v>
      </c>
      <c r="U563" s="13" t="s">
        <v>2541</v>
      </c>
      <c r="V563" s="13" t="s">
        <v>42</v>
      </c>
      <c r="W563" s="13" t="s">
        <v>43</v>
      </c>
      <c r="X563" s="21" t="n">
        <v>85967004632</v>
      </c>
      <c r="Y563" s="22" t="str">
        <f aca="false">O563</f>
        <v>Produksi - Helper</v>
      </c>
      <c r="Z563" s="13" t="str">
        <f aca="false">IFERROR(__xludf.dummyfunction("if(BJ563="""","""",GOOGLETRANSLATE(BJ563,""auto"",""en""))"),"Production - Helper")</f>
        <v>Production - Helper</v>
      </c>
      <c r="AA563" s="23" t="str">
        <f aca="false">IF(C563="","", CHOOSE(MONTH(C563),"January","February","March","April","May","June","July","August","September","October","November","December")&amp;" "&amp;DAY(C563)&amp;MID("thstndrdth",MIN(9,2*RIGHT(DAY(C563))*(MOD(DAY(C563)-11,100)&gt;2)+1),2)&amp;","&amp;TEXT(C563," yyyy"))</f>
        <v>September 4th,2021</v>
      </c>
      <c r="AB563" s="15" t="str">
        <f aca="true">IF(S563="","",DATEDIF(S563,TODAY(),"Y")&amp;" Tahun, "&amp;DATEDIF(S563,TODAY(),"YM")&amp;" Bulan, "&amp;DATEDIF(S563,TODAY(),"MD")&amp;" Hari")</f>
        <v>25 Tahun, 9 Bulan, 19 Hari</v>
      </c>
      <c r="AC563" s="18" t="n">
        <v>45672</v>
      </c>
      <c r="AD563" s="18" t="n">
        <v>46036</v>
      </c>
      <c r="AE563" s="18" t="s">
        <v>44</v>
      </c>
    </row>
    <row r="564" customFormat="false" ht="15.75" hidden="false" customHeight="true" outlineLevel="0" collapsed="false">
      <c r="A564" s="12" t="n">
        <v>3278</v>
      </c>
      <c r="B564" s="13" t="s">
        <v>2542</v>
      </c>
      <c r="C564" s="14" t="n">
        <v>44446</v>
      </c>
      <c r="D564" s="13" t="s">
        <v>101</v>
      </c>
      <c r="E564" s="15" t="s">
        <v>33</v>
      </c>
      <c r="F564" s="24" t="s">
        <v>2543</v>
      </c>
      <c r="G564" s="13" t="s">
        <v>2544</v>
      </c>
      <c r="H564" s="13" t="s">
        <v>35</v>
      </c>
      <c r="I564" s="13" t="str">
        <f aca="false">IF(C564=J564,"NEW KONTRAK","RE-KONTRAK")</f>
        <v>RE-KONTRAK</v>
      </c>
      <c r="J564" s="16" t="n">
        <f aca="false" t="array" ref="J564:J564">IFERROR(INDEX(AC564:AE564,IF(COUNTA(AC564:AE564)=0,"",MAX((AC564:AE564&lt;&gt;"")*(COLUMN(AC564:AE564)-(COLUMN(AC564)))))-1),"")</f>
        <v>45672</v>
      </c>
      <c r="K564" s="16" t="n">
        <f aca="false" t="array" ref="K564:K564">IFERROR(INDEX(AC564:AE564,IF(COUNTA(AC564:AE564)=0,"",MAX((AC564:AE564&lt;&gt;"")*(COLUMN(AC564:AE564)-(COLUMN(AC564)-1))))-1),"")</f>
        <v>46036</v>
      </c>
      <c r="L564" s="17" t="str">
        <f aca="false" t="array" ref="L564:L564">IFERROR(INDEX(AC564:AE564,IF(COUNTA(AC564:AE564)=0,"",MAX((AC564:AE564&lt;&gt;"")*(COLUMN(AC564:AE564)-(COLUMN(AC564)-2))))-1),"")</f>
        <v>ARCHIVED</v>
      </c>
      <c r="M564" s="13" t="n">
        <f aca="true">K564-TODAY()</f>
        <v>-288</v>
      </c>
      <c r="N564" s="18" t="s">
        <v>105</v>
      </c>
      <c r="O564" s="13" t="s">
        <v>58</v>
      </c>
      <c r="P564" s="19" t="n">
        <v>126000</v>
      </c>
      <c r="Q564" s="20" t="s">
        <v>2545</v>
      </c>
      <c r="R564" s="13" t="s">
        <v>39</v>
      </c>
      <c r="S564" s="25" t="n">
        <v>37066</v>
      </c>
      <c r="T564" s="13" t="s">
        <v>40</v>
      </c>
      <c r="U564" s="13" t="s">
        <v>2546</v>
      </c>
      <c r="V564" s="13" t="s">
        <v>42</v>
      </c>
      <c r="W564" s="13" t="s">
        <v>43</v>
      </c>
      <c r="X564" s="21" t="n">
        <v>895367287764</v>
      </c>
      <c r="Y564" s="22" t="str">
        <f aca="false">O564</f>
        <v>Produksi</v>
      </c>
      <c r="Z564" s="13" t="str">
        <f aca="false">IFERROR(__xludf.dummyfunction("if(BJ564="""","""",GOOGLETRANSLATE(BJ564,""auto"",""en""))"),"Production")</f>
        <v>Production</v>
      </c>
      <c r="AA564" s="23" t="str">
        <f aca="false">IF(C564="","", CHOOSE(MONTH(C564),"January","February","March","April","May","June","July","August","September","October","November","December")&amp;" "&amp;DAY(C564)&amp;MID("thstndrdth",MIN(9,2*RIGHT(DAY(C564))*(MOD(DAY(C564)-11,100)&gt;2)+1),2)&amp;","&amp;TEXT(C564," yyyy"))</f>
        <v>September 7th,2021</v>
      </c>
      <c r="AB564" s="15" t="str">
        <f aca="true">IF(S564="","",DATEDIF(S564,TODAY(),"Y")&amp;" Tahun, "&amp;DATEDIF(S564,TODAY(),"YM")&amp;" Bulan, "&amp;DATEDIF(S564,TODAY(),"MD")&amp;" Hari")</f>
        <v>25 Tahun, 4 Bulan, 5 Hari</v>
      </c>
      <c r="AC564" s="18" t="n">
        <v>45672</v>
      </c>
      <c r="AD564" s="18" t="n">
        <v>46036</v>
      </c>
      <c r="AE564" s="18" t="s">
        <v>44</v>
      </c>
    </row>
    <row r="565" customFormat="false" ht="15.75" hidden="false" customHeight="true" outlineLevel="0" collapsed="false">
      <c r="A565" s="12" t="n">
        <v>3286</v>
      </c>
      <c r="B565" s="13" t="s">
        <v>2547</v>
      </c>
      <c r="C565" s="14" t="n">
        <v>44446</v>
      </c>
      <c r="D565" s="13" t="s">
        <v>101</v>
      </c>
      <c r="E565" s="15" t="s">
        <v>102</v>
      </c>
      <c r="F565" s="15" t="str">
        <f aca="false">IFERROR(__xludf.dummyfunction("XLOOKUP(AJ565,IMPORTRANGE(""1XaInW9DU9nz21V0tYIfzFQ0He9kVQ_JF2mCXgZ3hqFA"",""REKAP ALL 2026 - Andika!G:G""),IMPORTRANGE(""1XaInW9DU9nz21V0tYIfzFQ0He9kVQ_JF2mCXgZ3hqFA"",""REKAP ALL 2026 - Andika!F:F""),"""",0)"),"21082692837")</f>
        <v>21082692837</v>
      </c>
      <c r="G565" s="13" t="s">
        <v>2548</v>
      </c>
      <c r="H565" s="13" t="s">
        <v>35</v>
      </c>
      <c r="I565" s="13" t="str">
        <f aca="false">IF(C565=J565,"NEW KONTRAK","RE-KONTRAK")</f>
        <v>RE-KONTRAK</v>
      </c>
      <c r="J565" s="16" t="n">
        <f aca="false" t="array" ref="J565:J565">IFERROR(INDEX(AC565:AE565,IF(COUNTA(AC565:AE565)=0,"",MAX((AC565:AE565&lt;&gt;"")*(COLUMN(AC565:AE565)-(COLUMN(AC565)))))-1),"")</f>
        <v>45672</v>
      </c>
      <c r="K565" s="16" t="n">
        <f aca="false" t="array" ref="K565:K565">IFERROR(INDEX(AC565:AE565,IF(COUNTA(AC565:AE565)=0,"",MAX((AC565:AE565&lt;&gt;"")*(COLUMN(AC565:AE565)-(COLUMN(AC565)-1))))-1),"")</f>
        <v>46036</v>
      </c>
      <c r="L565" s="17" t="str">
        <f aca="false" t="array" ref="L565:L565">IFERROR(INDEX(AC565:AE565,IF(COUNTA(AC565:AE565)=0,"",MAX((AC565:AE565&lt;&gt;"")*(COLUMN(AC565:AE565)-(COLUMN(AC565)-2))))-1),"")</f>
        <v>ARCHIVED</v>
      </c>
      <c r="M565" s="13" t="n">
        <f aca="true">K565-TODAY()</f>
        <v>-288</v>
      </c>
      <c r="N565" s="18" t="s">
        <v>105</v>
      </c>
      <c r="O565" s="13" t="s">
        <v>106</v>
      </c>
      <c r="P565" s="19" t="n">
        <v>132300</v>
      </c>
      <c r="Q565" s="20" t="s">
        <v>2549</v>
      </c>
      <c r="R565" s="13" t="s">
        <v>148</v>
      </c>
      <c r="S565" s="25" t="n">
        <v>37267</v>
      </c>
      <c r="T565" s="13" t="s">
        <v>40</v>
      </c>
      <c r="U565" s="13" t="s">
        <v>2550</v>
      </c>
      <c r="V565" s="13" t="s">
        <v>42</v>
      </c>
      <c r="W565" s="13" t="s">
        <v>43</v>
      </c>
      <c r="X565" s="21" t="n">
        <v>85238368960</v>
      </c>
      <c r="Y565" s="22" t="str">
        <f aca="false">O565</f>
        <v>Produksi - Helper</v>
      </c>
      <c r="Z565" s="13" t="str">
        <f aca="false">IFERROR(__xludf.dummyfunction("if(BJ565="""","""",GOOGLETRANSLATE(BJ565,""auto"",""en""))"),"Production - Helper")</f>
        <v>Production - Helper</v>
      </c>
      <c r="AA565" s="23" t="str">
        <f aca="false">IF(C565="","", CHOOSE(MONTH(C565),"January","February","March","April","May","June","July","August","September","October","November","December")&amp;" "&amp;DAY(C565)&amp;MID("thstndrdth",MIN(9,2*RIGHT(DAY(C565))*(MOD(DAY(C565)-11,100)&gt;2)+1),2)&amp;","&amp;TEXT(C565," yyyy"))</f>
        <v>September 7th,2021</v>
      </c>
      <c r="AB565" s="15" t="str">
        <f aca="true">IF(S565="","",DATEDIF(S565,TODAY(),"Y")&amp;" Tahun, "&amp;DATEDIF(S565,TODAY(),"YM")&amp;" Bulan, "&amp;DATEDIF(S565,TODAY(),"MD")&amp;" Hari")</f>
        <v>24 Tahun, 9 Bulan, 18 Hari</v>
      </c>
      <c r="AC565" s="18" t="n">
        <v>45672</v>
      </c>
      <c r="AD565" s="18" t="n">
        <v>46036</v>
      </c>
      <c r="AE565" s="18" t="s">
        <v>44</v>
      </c>
    </row>
    <row r="566" customFormat="false" ht="15.75" hidden="false" customHeight="true" outlineLevel="0" collapsed="false">
      <c r="A566" s="12" t="n">
        <v>3291</v>
      </c>
      <c r="B566" s="13" t="s">
        <v>2551</v>
      </c>
      <c r="C566" s="14" t="n">
        <v>44449</v>
      </c>
      <c r="D566" s="13" t="s">
        <v>101</v>
      </c>
      <c r="E566" s="15" t="s">
        <v>33</v>
      </c>
      <c r="F566" s="24" t="s">
        <v>2552</v>
      </c>
      <c r="G566" s="13" t="s">
        <v>2553</v>
      </c>
      <c r="H566" s="13" t="s">
        <v>35</v>
      </c>
      <c r="I566" s="13" t="str">
        <f aca="false">IF(C566=J566,"NEW KONTRAK","RE-KONTRAK")</f>
        <v>RE-KONTRAK</v>
      </c>
      <c r="J566" s="16" t="n">
        <f aca="false" t="array" ref="J566:J566">IFERROR(INDEX(AC566:AE566,IF(COUNTA(AC566:AE566)=0,"",MAX((AC566:AE566&lt;&gt;"")*(COLUMN(AC566:AE566)-(COLUMN(AC566)))))-1),"")</f>
        <v>45672</v>
      </c>
      <c r="K566" s="16" t="n">
        <f aca="false" t="array" ref="K566:K566">IFERROR(INDEX(AC566:AE566,IF(COUNTA(AC566:AE566)=0,"",MAX((AC566:AE566&lt;&gt;"")*(COLUMN(AC566:AE566)-(COLUMN(AC566)-1))))-1),"")</f>
        <v>46036</v>
      </c>
      <c r="L566" s="17" t="str">
        <f aca="false" t="array" ref="L566:L566">IFERROR(INDEX(AC566:AE566,IF(COUNTA(AC566:AE566)=0,"",MAX((AC566:AE566&lt;&gt;"")*(COLUMN(AC566:AE566)-(COLUMN(AC566)-2))))-1),"")</f>
        <v>ARCHIVED</v>
      </c>
      <c r="M566" s="13" t="n">
        <f aca="true">K566-TODAY()</f>
        <v>-288</v>
      </c>
      <c r="N566" s="18" t="s">
        <v>105</v>
      </c>
      <c r="O566" s="13" t="s">
        <v>58</v>
      </c>
      <c r="P566" s="19" t="n">
        <v>126000</v>
      </c>
      <c r="Q566" s="20" t="s">
        <v>2554</v>
      </c>
      <c r="R566" s="13" t="s">
        <v>39</v>
      </c>
      <c r="S566" s="25" t="n">
        <v>37354</v>
      </c>
      <c r="T566" s="13" t="s">
        <v>40</v>
      </c>
      <c r="U566" s="13" t="s">
        <v>2555</v>
      </c>
      <c r="V566" s="13" t="s">
        <v>42</v>
      </c>
      <c r="W566" s="13" t="s">
        <v>43</v>
      </c>
      <c r="X566" s="21" t="n">
        <v>83857336081</v>
      </c>
      <c r="Y566" s="22" t="str">
        <f aca="false">O566</f>
        <v>Produksi</v>
      </c>
      <c r="Z566" s="13" t="str">
        <f aca="false">IFERROR(__xludf.dummyfunction("if(BJ566="""","""",GOOGLETRANSLATE(BJ566,""auto"",""en""))"),"Production")</f>
        <v>Production</v>
      </c>
      <c r="AA566" s="23" t="str">
        <f aca="false">IF(C566="","", CHOOSE(MONTH(C566),"January","February","March","April","May","June","July","August","September","October","November","December")&amp;" "&amp;DAY(C566)&amp;MID("thstndrdth",MIN(9,2*RIGHT(DAY(C566))*(MOD(DAY(C566)-11,100)&gt;2)+1),2)&amp;","&amp;TEXT(C566," yyyy"))</f>
        <v>September 10th,2021</v>
      </c>
      <c r="AB566" s="15" t="str">
        <f aca="true">IF(S566="","",DATEDIF(S566,TODAY(),"Y")&amp;" Tahun, "&amp;DATEDIF(S566,TODAY(),"YM")&amp;" Bulan, "&amp;DATEDIF(S566,TODAY(),"MD")&amp;" Hari")</f>
        <v>24 Tahun, 6 Bulan, 21 Hari</v>
      </c>
      <c r="AC566" s="18" t="n">
        <v>45672</v>
      </c>
      <c r="AD566" s="18" t="n">
        <v>46036</v>
      </c>
      <c r="AE566" s="18" t="s">
        <v>44</v>
      </c>
    </row>
    <row r="567" customFormat="false" ht="15.75" hidden="false" customHeight="true" outlineLevel="0" collapsed="false">
      <c r="A567" s="12" t="n">
        <v>3296</v>
      </c>
      <c r="B567" s="13" t="s">
        <v>2556</v>
      </c>
      <c r="C567" s="14" t="n">
        <v>44449</v>
      </c>
      <c r="D567" s="13" t="s">
        <v>101</v>
      </c>
      <c r="E567" s="15" t="s">
        <v>102</v>
      </c>
      <c r="F567" s="15" t="str">
        <f aca="false">IFERROR(__xludf.dummyfunction("XLOOKUP(AJ567,IMPORTRANGE(""1XaInW9DU9nz21V0tYIfzFQ0He9kVQ_JF2mCXgZ3hqFA"",""REKAP ALL 2026 - Andika!G:G""),IMPORTRANGE(""1XaInW9DU9nz21V0tYIfzFQ0He9kVQ_JF2mCXgZ3hqFA"",""REKAP ALL 2026 - Andika!F:F""),"""",0)"),"21082692001")</f>
        <v>21082692001</v>
      </c>
      <c r="G567" s="13" t="s">
        <v>2557</v>
      </c>
      <c r="H567" s="13" t="s">
        <v>35</v>
      </c>
      <c r="I567" s="13" t="str">
        <f aca="false">IF(C567=J567,"NEW KONTRAK","RE-KONTRAK")</f>
        <v>RE-KONTRAK</v>
      </c>
      <c r="J567" s="16" t="n">
        <f aca="false" t="array" ref="J567:J567">IFERROR(INDEX(AC567:AE567,IF(COUNTA(AC567:AE567)=0,"",MAX((AC567:AE567&lt;&gt;"")*(COLUMN(AC567:AE567)-(COLUMN(AC567)))))-1),"")</f>
        <v>45672</v>
      </c>
      <c r="K567" s="16" t="n">
        <f aca="false" t="array" ref="K567:K567">IFERROR(INDEX(AC567:AE567,IF(COUNTA(AC567:AE567)=0,"",MAX((AC567:AE567&lt;&gt;"")*(COLUMN(AC567:AE567)-(COLUMN(AC567)-1))))-1),"")</f>
        <v>46036</v>
      </c>
      <c r="L567" s="17" t="str">
        <f aca="false" t="array" ref="L567:L567">IFERROR(INDEX(AC567:AE567,IF(COUNTA(AC567:AE567)=0,"",MAX((AC567:AE567&lt;&gt;"")*(COLUMN(AC567:AE567)-(COLUMN(AC567)-2))))-1),"")</f>
        <v>ARCHIVED</v>
      </c>
      <c r="M567" s="13" t="n">
        <f aca="true">K567-TODAY()</f>
        <v>-288</v>
      </c>
      <c r="N567" s="18" t="s">
        <v>105</v>
      </c>
      <c r="O567" s="13" t="s">
        <v>106</v>
      </c>
      <c r="P567" s="19" t="n">
        <v>132300</v>
      </c>
      <c r="Q567" s="20" t="s">
        <v>2558</v>
      </c>
      <c r="R567" s="13" t="s">
        <v>39</v>
      </c>
      <c r="S567" s="25" t="n">
        <v>37525</v>
      </c>
      <c r="T567" s="13" t="s">
        <v>108</v>
      </c>
      <c r="U567" s="13" t="s">
        <v>2559</v>
      </c>
      <c r="V567" s="13" t="s">
        <v>42</v>
      </c>
      <c r="W567" s="13" t="s">
        <v>43</v>
      </c>
      <c r="X567" s="21" t="n">
        <v>81913807426</v>
      </c>
      <c r="Y567" s="22" t="str">
        <f aca="false">O567</f>
        <v>Produksi - Helper</v>
      </c>
      <c r="Z567" s="13" t="str">
        <f aca="false">IFERROR(__xludf.dummyfunction("if(BJ567="""","""",GOOGLETRANSLATE(BJ567,""auto"",""en""))"),"Production - Helper")</f>
        <v>Production - Helper</v>
      </c>
      <c r="AA567" s="23" t="str">
        <f aca="false">IF(C567="","", CHOOSE(MONTH(C567),"January","February","March","April","May","June","July","August","September","October","November","December")&amp;" "&amp;DAY(C567)&amp;MID("thstndrdth",MIN(9,2*RIGHT(DAY(C567))*(MOD(DAY(C567)-11,100)&gt;2)+1),2)&amp;","&amp;TEXT(C567," yyyy"))</f>
        <v>September 10th,2021</v>
      </c>
      <c r="AB567" s="15" t="str">
        <f aca="true">IF(S567="","",DATEDIF(S567,TODAY(),"Y")&amp;" Tahun, "&amp;DATEDIF(S567,TODAY(),"YM")&amp;" Bulan, "&amp;DATEDIF(S567,TODAY(),"MD")&amp;" Hari")</f>
        <v>24 Tahun, 1 Bulan, 3 Hari</v>
      </c>
      <c r="AC567" s="18" t="n">
        <v>45672</v>
      </c>
      <c r="AD567" s="18" t="n">
        <v>46036</v>
      </c>
      <c r="AE567" s="18" t="s">
        <v>44</v>
      </c>
    </row>
    <row r="568" customFormat="false" ht="15.75" hidden="false" customHeight="true" outlineLevel="0" collapsed="false">
      <c r="A568" s="12" t="n">
        <v>3303</v>
      </c>
      <c r="B568" s="13" t="s">
        <v>2560</v>
      </c>
      <c r="C568" s="14" t="n">
        <v>44449</v>
      </c>
      <c r="D568" s="13" t="s">
        <v>101</v>
      </c>
      <c r="E568" s="15" t="s">
        <v>102</v>
      </c>
      <c r="F568" s="15" t="str">
        <f aca="false">IFERROR(__xludf.dummyfunction("XLOOKUP(AJ568,IMPORTRANGE(""1XaInW9DU9nz21V0tYIfzFQ0He9kVQ_JF2mCXgZ3hqFA"",""REKAP ALL 2026 - Andika!G:G""),IMPORTRANGE(""1XaInW9DU9nz21V0tYIfzFQ0He9kVQ_JF2mCXgZ3hqFA"",""REKAP ALL 2026 - Andika!F:F""),"""",0)"),"21082691474")</f>
        <v>21082691474</v>
      </c>
      <c r="G568" s="13" t="s">
        <v>2561</v>
      </c>
      <c r="H568" s="13" t="s">
        <v>35</v>
      </c>
      <c r="I568" s="13" t="str">
        <f aca="false">IF(C568=J568,"NEW KONTRAK","RE-KONTRAK")</f>
        <v>RE-KONTRAK</v>
      </c>
      <c r="J568" s="16" t="n">
        <f aca="false" t="array" ref="J568:J568">IFERROR(INDEX(AC568:AE568,IF(COUNTA(AC568:AE568)=0,"",MAX((AC568:AE568&lt;&gt;"")*(COLUMN(AC568:AE568)-(COLUMN(AC568)))))-1),"")</f>
        <v>45672</v>
      </c>
      <c r="K568" s="16" t="n">
        <f aca="false" t="array" ref="K568:K568">IFERROR(INDEX(AC568:AE568,IF(COUNTA(AC568:AE568)=0,"",MAX((AC568:AE568&lt;&gt;"")*(COLUMN(AC568:AE568)-(COLUMN(AC568)-1))))-1),"")</f>
        <v>46036</v>
      </c>
      <c r="L568" s="17" t="str">
        <f aca="false" t="array" ref="L568:L568">IFERROR(INDEX(AC568:AE568,IF(COUNTA(AC568:AE568)=0,"",MAX((AC568:AE568&lt;&gt;"")*(COLUMN(AC568:AE568)-(COLUMN(AC568)-2))))-1),"")</f>
        <v>ARCHIVED</v>
      </c>
      <c r="M568" s="13" t="n">
        <f aca="true">K568-TODAY()</f>
        <v>-288</v>
      </c>
      <c r="N568" s="18" t="s">
        <v>105</v>
      </c>
      <c r="O568" s="13" t="s">
        <v>106</v>
      </c>
      <c r="P568" s="19" t="n">
        <v>132300</v>
      </c>
      <c r="Q568" s="20" t="s">
        <v>2562</v>
      </c>
      <c r="R568" s="13" t="s">
        <v>39</v>
      </c>
      <c r="S568" s="25" t="n">
        <v>34991</v>
      </c>
      <c r="T568" s="13" t="s">
        <v>40</v>
      </c>
      <c r="U568" s="13" t="s">
        <v>2563</v>
      </c>
      <c r="V568" s="13" t="s">
        <v>42</v>
      </c>
      <c r="W568" s="13" t="s">
        <v>43</v>
      </c>
      <c r="X568" s="21" t="n">
        <v>89612282704</v>
      </c>
      <c r="Y568" s="22" t="str">
        <f aca="false">O568</f>
        <v>Produksi - Helper</v>
      </c>
      <c r="Z568" s="13" t="str">
        <f aca="false">IFERROR(__xludf.dummyfunction("if(BJ568="""","""",GOOGLETRANSLATE(BJ568,""auto"",""en""))"),"Production - Helper")</f>
        <v>Production - Helper</v>
      </c>
      <c r="AA568" s="23" t="str">
        <f aca="false">IF(C568="","", CHOOSE(MONTH(C568),"January","February","March","April","May","June","July","August","September","October","November","December")&amp;" "&amp;DAY(C568)&amp;MID("thstndrdth",MIN(9,2*RIGHT(DAY(C568))*(MOD(DAY(C568)-11,100)&gt;2)+1),2)&amp;","&amp;TEXT(C568," yyyy"))</f>
        <v>September 10th,2021</v>
      </c>
      <c r="AB568" s="15" t="str">
        <f aca="true">IF(S568="","",DATEDIF(S568,TODAY(),"Y")&amp;" Tahun, "&amp;DATEDIF(S568,TODAY(),"YM")&amp;" Bulan, "&amp;DATEDIF(S568,TODAY(),"MD")&amp;" Hari")</f>
        <v>31 Tahun, 0 Bulan, 10 Hari</v>
      </c>
      <c r="AC568" s="18" t="n">
        <v>45672</v>
      </c>
      <c r="AD568" s="18" t="n">
        <v>46036</v>
      </c>
      <c r="AE568" s="18" t="s">
        <v>44</v>
      </c>
    </row>
    <row r="569" customFormat="false" ht="15.75" hidden="false" customHeight="true" outlineLevel="0" collapsed="false">
      <c r="A569" s="12" t="n">
        <v>3307</v>
      </c>
      <c r="B569" s="13" t="s">
        <v>2564</v>
      </c>
      <c r="C569" s="14" t="n">
        <v>44449</v>
      </c>
      <c r="D569" s="13" t="s">
        <v>101</v>
      </c>
      <c r="E569" s="15" t="s">
        <v>102</v>
      </c>
      <c r="F569" s="24" t="s">
        <v>2565</v>
      </c>
      <c r="G569" s="13" t="s">
        <v>2566</v>
      </c>
      <c r="H569" s="13" t="s">
        <v>35</v>
      </c>
      <c r="I569" s="13" t="str">
        <f aca="false">IF(C569=J569,"NEW KONTRAK","RE-KONTRAK")</f>
        <v>RE-KONTRAK</v>
      </c>
      <c r="J569" s="16" t="n">
        <f aca="false" t="array" ref="J569:J569">IFERROR(INDEX(AC569:AE569,IF(COUNTA(AC569:AE569)=0,"",MAX((AC569:AE569&lt;&gt;"")*(COLUMN(AC569:AE569)-(COLUMN(AC569)))))-1),"")</f>
        <v>45672</v>
      </c>
      <c r="K569" s="16" t="n">
        <f aca="false" t="array" ref="K569:K569">IFERROR(INDEX(AC569:AE569,IF(COUNTA(AC569:AE569)=0,"",MAX((AC569:AE569&lt;&gt;"")*(COLUMN(AC569:AE569)-(COLUMN(AC569)-1))))-1),"")</f>
        <v>46036</v>
      </c>
      <c r="L569" s="17" t="str">
        <f aca="false" t="array" ref="L569:L569">IFERROR(INDEX(AC569:AE569,IF(COUNTA(AC569:AE569)=0,"",MAX((AC569:AE569&lt;&gt;"")*(COLUMN(AC569:AE569)-(COLUMN(AC569)-2))))-1),"")</f>
        <v>ARCHIVED</v>
      </c>
      <c r="M569" s="13" t="n">
        <f aca="true">K569-TODAY()</f>
        <v>-288</v>
      </c>
      <c r="N569" s="18" t="s">
        <v>105</v>
      </c>
      <c r="O569" s="13" t="s">
        <v>106</v>
      </c>
      <c r="P569" s="19" t="n">
        <v>126000</v>
      </c>
      <c r="Q569" s="20" t="s">
        <v>2567</v>
      </c>
      <c r="R569" s="13" t="s">
        <v>52</v>
      </c>
      <c r="S569" s="25" t="n">
        <v>35926</v>
      </c>
      <c r="T569" s="13" t="s">
        <v>40</v>
      </c>
      <c r="U569" s="13" t="s">
        <v>2568</v>
      </c>
      <c r="V569" s="13" t="s">
        <v>42</v>
      </c>
      <c r="W569" s="13" t="s">
        <v>43</v>
      </c>
      <c r="X569" s="21" t="n">
        <v>82115274538</v>
      </c>
      <c r="Y569" s="22" t="str">
        <f aca="false">O569</f>
        <v>Produksi - Helper</v>
      </c>
      <c r="Z569" s="13" t="str">
        <f aca="false">IFERROR(__xludf.dummyfunction("if(BJ569="""","""",GOOGLETRANSLATE(BJ569,""auto"",""en""))"),"Production - Helper")</f>
        <v>Production - Helper</v>
      </c>
      <c r="AA569" s="23" t="str">
        <f aca="false">IF(C569="","", CHOOSE(MONTH(C569),"January","February","March","April","May","June","July","August","September","October","November","December")&amp;" "&amp;DAY(C569)&amp;MID("thstndrdth",MIN(9,2*RIGHT(DAY(C569))*(MOD(DAY(C569)-11,100)&gt;2)+1),2)&amp;","&amp;TEXT(C569," yyyy"))</f>
        <v>September 10th,2021</v>
      </c>
      <c r="AB569" s="15" t="str">
        <f aca="true">IF(S569="","",DATEDIF(S569,TODAY(),"Y")&amp;" Tahun, "&amp;DATEDIF(S569,TODAY(),"YM")&amp;" Bulan, "&amp;DATEDIF(S569,TODAY(),"MD")&amp;" Hari")</f>
        <v>28 Tahun, 5 Bulan, 18 Hari</v>
      </c>
      <c r="AC569" s="18" t="n">
        <v>45672</v>
      </c>
      <c r="AD569" s="18" t="n">
        <v>46036</v>
      </c>
      <c r="AE569" s="18" t="s">
        <v>44</v>
      </c>
    </row>
    <row r="570" customFormat="false" ht="15.75" hidden="false" customHeight="true" outlineLevel="0" collapsed="false">
      <c r="A570" s="12" t="n">
        <v>3318</v>
      </c>
      <c r="B570" s="13" t="s">
        <v>2569</v>
      </c>
      <c r="C570" s="14" t="n">
        <v>44449</v>
      </c>
      <c r="D570" s="13" t="s">
        <v>101</v>
      </c>
      <c r="E570" s="15" t="s">
        <v>102</v>
      </c>
      <c r="F570" s="15" t="str">
        <f aca="false">IFERROR(__xludf.dummyfunction("XLOOKUP(AJ570,IMPORTRANGE(""1XaInW9DU9nz21V0tYIfzFQ0He9kVQ_JF2mCXgZ3hqFA"",""REKAP ALL 2026 - Andika!G:G""),IMPORTRANGE(""1XaInW9DU9nz21V0tYIfzFQ0He9kVQ_JF2mCXgZ3hqFA"",""REKAP ALL 2026 - Andika!F:F""),"""",0)"),"21082692258")</f>
        <v>21082692258</v>
      </c>
      <c r="G570" s="13" t="s">
        <v>2570</v>
      </c>
      <c r="H570" s="13" t="s">
        <v>35</v>
      </c>
      <c r="I570" s="13" t="str">
        <f aca="false">IF(C570=J570,"NEW KONTRAK","RE-KONTRAK")</f>
        <v>RE-KONTRAK</v>
      </c>
      <c r="J570" s="16" t="n">
        <f aca="false" t="array" ref="J570:J570">IFERROR(INDEX(AC570:AE570,IF(COUNTA(AC570:AE570)=0,"",MAX((AC570:AE570&lt;&gt;"")*(COLUMN(AC570:AE570)-(COLUMN(AC570)))))-1),"")</f>
        <v>45672</v>
      </c>
      <c r="K570" s="16" t="n">
        <f aca="false" t="array" ref="K570:K570">IFERROR(INDEX(AC570:AE570,IF(COUNTA(AC570:AE570)=0,"",MAX((AC570:AE570&lt;&gt;"")*(COLUMN(AC570:AE570)-(COLUMN(AC570)-1))))-1),"")</f>
        <v>46036</v>
      </c>
      <c r="L570" s="17" t="str">
        <f aca="false" t="array" ref="L570:L570">IFERROR(INDEX(AC570:AE570,IF(COUNTA(AC570:AE570)=0,"",MAX((AC570:AE570&lt;&gt;"")*(COLUMN(AC570:AE570)-(COLUMN(AC570)-2))))-1),"")</f>
        <v>ARCHIVED</v>
      </c>
      <c r="M570" s="13" t="n">
        <f aca="true">K570-TODAY()</f>
        <v>-288</v>
      </c>
      <c r="N570" s="18" t="s">
        <v>105</v>
      </c>
      <c r="O570" s="13" t="s">
        <v>106</v>
      </c>
      <c r="P570" s="19" t="n">
        <v>132300</v>
      </c>
      <c r="Q570" s="20" t="s">
        <v>2571</v>
      </c>
      <c r="R570" s="13" t="s">
        <v>39</v>
      </c>
      <c r="S570" s="25" t="n">
        <v>37340</v>
      </c>
      <c r="T570" s="13" t="s">
        <v>108</v>
      </c>
      <c r="U570" s="13" t="s">
        <v>2572</v>
      </c>
      <c r="V570" s="13" t="s">
        <v>42</v>
      </c>
      <c r="W570" s="13" t="s">
        <v>43</v>
      </c>
      <c r="X570" s="21" t="n">
        <v>85733805782</v>
      </c>
      <c r="Y570" s="22" t="str">
        <f aca="false">O570</f>
        <v>Produksi - Helper</v>
      </c>
      <c r="Z570" s="13" t="str">
        <f aca="false">IFERROR(__xludf.dummyfunction("if(BJ570="""","""",GOOGLETRANSLATE(BJ570,""auto"",""en""))"),"Production - Helper")</f>
        <v>Production - Helper</v>
      </c>
      <c r="AA570" s="23" t="str">
        <f aca="false">IF(C570="","", CHOOSE(MONTH(C570),"January","February","March","April","May","June","July","August","September","October","November","December")&amp;" "&amp;DAY(C570)&amp;MID("thstndrdth",MIN(9,2*RIGHT(DAY(C570))*(MOD(DAY(C570)-11,100)&gt;2)+1),2)&amp;","&amp;TEXT(C570," yyyy"))</f>
        <v>September 10th,2021</v>
      </c>
      <c r="AB570" s="15" t="str">
        <f aca="true">IF(S570="","",DATEDIF(S570,TODAY(),"Y")&amp;" Tahun, "&amp;DATEDIF(S570,TODAY(),"YM")&amp;" Bulan, "&amp;DATEDIF(S570,TODAY(),"MD")&amp;" Hari")</f>
        <v>24 Tahun, 7 Bulan, 4 Hari</v>
      </c>
      <c r="AC570" s="18" t="n">
        <v>45672</v>
      </c>
      <c r="AD570" s="18" t="n">
        <v>46036</v>
      </c>
      <c r="AE570" s="18" t="s">
        <v>44</v>
      </c>
    </row>
    <row r="571" customFormat="false" ht="15.75" hidden="false" customHeight="true" outlineLevel="0" collapsed="false">
      <c r="A571" s="12" t="n">
        <v>10858</v>
      </c>
      <c r="B571" s="13" t="s">
        <v>2573</v>
      </c>
      <c r="C571" s="14" t="n">
        <v>45078</v>
      </c>
      <c r="D571" s="13" t="s">
        <v>101</v>
      </c>
      <c r="E571" s="15" t="s">
        <v>47</v>
      </c>
      <c r="F571" s="15" t="str">
        <f aca="false">IFERROR(__xludf.dummyfunction("XLOOKUP(AJ571,IMPORTRANGE(""1XaInW9DU9nz21V0tYIfzFQ0He9kVQ_JF2mCXgZ3hqFA"",""REKAP ALL 2026 - Andika!G:G""),IMPORTRANGE(""1XaInW9DU9nz21V0tYIfzFQ0He9kVQ_JF2mCXgZ3hqFA"",""REKAP ALL 2026 - Andika!F:F""),"""",0)"),"23076924572")</f>
        <v>23076924572</v>
      </c>
      <c r="G571" s="13" t="s">
        <v>2574</v>
      </c>
      <c r="H571" s="13" t="s">
        <v>35</v>
      </c>
      <c r="I571" s="13" t="str">
        <f aca="false">IF(C571=J571,"NEW KONTRAK","RE-KONTRAK")</f>
        <v>RE-KONTRAK</v>
      </c>
      <c r="J571" s="16" t="n">
        <f aca="false" t="array" ref="J571:J571">IFERROR(INDEX(AC571:AE571,IF(COUNTA(AC571:AE571)=0,"",MAX((AC571:AE571&lt;&gt;"")*(COLUMN(AC571:AE571)-(COLUMN(AC571)))))-1),"")</f>
        <v>45672</v>
      </c>
      <c r="K571" s="16" t="n">
        <f aca="false" t="array" ref="K571:K571">IFERROR(INDEX(AC571:AE571,IF(COUNTA(AC571:AE571)=0,"",MAX((AC571:AE571&lt;&gt;"")*(COLUMN(AC571:AE571)-(COLUMN(AC571)-1))))-1),"")</f>
        <v>46036</v>
      </c>
      <c r="L571" s="17" t="str">
        <f aca="false" t="array" ref="L571:L571">IFERROR(INDEX(AC571:AE571,IF(COUNTA(AC571:AE571)=0,"",MAX((AC571:AE571&lt;&gt;"")*(COLUMN(AC571:AE571)-(COLUMN(AC571)-2))))-1),"")</f>
        <v>ARCHIVED</v>
      </c>
      <c r="M571" s="13" t="n">
        <f aca="true">K571-TODAY()</f>
        <v>-288</v>
      </c>
      <c r="N571" s="18" t="s">
        <v>105</v>
      </c>
      <c r="O571" s="13" t="s">
        <v>106</v>
      </c>
      <c r="P571" s="31" t="n">
        <v>138915</v>
      </c>
      <c r="Q571" s="20" t="s">
        <v>2575</v>
      </c>
      <c r="R571" s="13" t="s">
        <v>52</v>
      </c>
      <c r="S571" s="25" t="n">
        <v>37999</v>
      </c>
      <c r="T571" s="13" t="s">
        <v>108</v>
      </c>
      <c r="U571" s="13" t="s">
        <v>2576</v>
      </c>
      <c r="V571" s="13" t="s">
        <v>42</v>
      </c>
      <c r="W571" s="13" t="s">
        <v>43</v>
      </c>
      <c r="X571" s="21" t="n">
        <v>83138435292</v>
      </c>
      <c r="Y571" s="22" t="str">
        <f aca="false">O571</f>
        <v>Produksi - Helper</v>
      </c>
      <c r="Z571" s="13" t="str">
        <f aca="false">IFERROR(__xludf.dummyfunction("if(BJ571="""","""",GOOGLETRANSLATE(BJ571,""auto"",""en""))"),"Production - Helper")</f>
        <v>Production - Helper</v>
      </c>
      <c r="AA571" s="23" t="str">
        <f aca="false">IF(C571="","", CHOOSE(MONTH(C571),"January","February","March","April","May","June","July","August","September","October","November","December")&amp;" "&amp;DAY(C571)&amp;MID("thstndrdth",MIN(9,2*RIGHT(DAY(C571))*(MOD(DAY(C571)-11,100)&gt;2)+1),2)&amp;","&amp;TEXT(C571," yyyy"))</f>
        <v>June 1st,2023</v>
      </c>
      <c r="AB571" s="15" t="str">
        <f aca="true">IF(S571="","",DATEDIF(S571,TODAY(),"Y")&amp;" Tahun, "&amp;DATEDIF(S571,TODAY(),"YM")&amp;" Bulan, "&amp;DATEDIF(S571,TODAY(),"MD")&amp;" Hari")</f>
        <v>22 Tahun, 9 Bulan, 16 Hari</v>
      </c>
      <c r="AC571" s="18" t="n">
        <v>45672</v>
      </c>
      <c r="AD571" s="18" t="n">
        <v>46036</v>
      </c>
      <c r="AE571" s="18" t="s">
        <v>44</v>
      </c>
    </row>
    <row r="572" customFormat="false" ht="15.75" hidden="false" customHeight="true" outlineLevel="0" collapsed="false">
      <c r="A572" s="12" t="n">
        <v>3331</v>
      </c>
      <c r="B572" s="28" t="s">
        <v>2577</v>
      </c>
      <c r="C572" s="14" t="n">
        <v>45961</v>
      </c>
      <c r="D572" s="13" t="s">
        <v>613</v>
      </c>
      <c r="E572" s="15" t="s">
        <v>47</v>
      </c>
      <c r="F572" s="15" t="str">
        <f aca="false">IFERROR(__xludf.dummyfunction("XLOOKUP(AJ572,IMPORTRANGE(""1XaInW9DU9nz21V0tYIfzFQ0He9kVQ_JF2mCXgZ3hqFA"",""REKAP ALL 2026 - Andika!G:G""),IMPORTRANGE(""1XaInW9DU9nz21V0tYIfzFQ0He9kVQ_JF2mCXgZ3hqFA"",""REKAP ALL 2026 - Andika!F:F""),"""",0)"),"25157578250")</f>
        <v>25157578250</v>
      </c>
      <c r="G572" s="13" t="s">
        <v>2578</v>
      </c>
      <c r="H572" s="13" t="s">
        <v>35</v>
      </c>
      <c r="I572" s="13" t="str">
        <f aca="false">IF(C572=J572,"NEW KONTRAK","RE-KONTRAK")</f>
        <v>NEW KONTRAK</v>
      </c>
      <c r="J572" s="16" t="n">
        <f aca="false" t="array" ref="J572:J572">IFERROR(INDEX(AC572:AE572,IF(COUNTA(AC572:AE572)=0,"",MAX((AC572:AE572&lt;&gt;"")*(COLUMN(AC572:AE572)-(COLUMN(AC572)))))-1),"")</f>
        <v>45961</v>
      </c>
      <c r="K572" s="16" t="n">
        <f aca="false" t="array" ref="K572:K572">IFERROR(INDEX(AC572:AE572,IF(COUNTA(AC572:AE572)=0,"",MAX((AC572:AE572&lt;&gt;"")*(COLUMN(AC572:AE572)-(COLUMN(AC572)-1))))-1),"")</f>
        <v>46037</v>
      </c>
      <c r="L572" s="17" t="str">
        <f aca="false" t="array" ref="L572:L572">IFERROR(INDEX(AC572:AE572,IF(COUNTA(AC572:AE572)=0,"",MAX((AC572:AE572&lt;&gt;"")*(COLUMN(AC572:AE572)-(COLUMN(AC572)-2))))-1),"")</f>
        <v>ARCHIVED</v>
      </c>
      <c r="M572" s="13" t="n">
        <f aca="true">K572-TODAY()</f>
        <v>-287</v>
      </c>
      <c r="N572" s="18" t="s">
        <v>615</v>
      </c>
      <c r="O572" s="13" t="s">
        <v>58</v>
      </c>
      <c r="P572" s="19" t="n">
        <v>5176101</v>
      </c>
      <c r="Q572" s="20" t="s">
        <v>2579</v>
      </c>
      <c r="R572" s="13" t="s">
        <v>232</v>
      </c>
      <c r="S572" s="14" t="n">
        <v>30994</v>
      </c>
      <c r="T572" s="13" t="s">
        <v>40</v>
      </c>
      <c r="U572" s="13" t="s">
        <v>2580</v>
      </c>
      <c r="V572" s="13" t="s">
        <v>42</v>
      </c>
      <c r="W572" s="13" t="s">
        <v>54</v>
      </c>
      <c r="X572" s="21" t="n">
        <v>85748739881</v>
      </c>
      <c r="Y572" s="22" t="str">
        <f aca="false">O572</f>
        <v>Produksi</v>
      </c>
      <c r="Z572" s="13" t="str">
        <f aca="false">IFERROR(__xludf.dummyfunction("if(BJ572="""","""",GOOGLETRANSLATE(BJ572,""auto"",""en""))"),"Production")</f>
        <v>Production</v>
      </c>
      <c r="AA572" s="23" t="str">
        <f aca="false">IF(C572="","", CHOOSE(MONTH(C572),"January","February","March","April","May","June","July","August","September","October","November","December")&amp;" "&amp;DAY(C572)&amp;MID("thstndrdth",MIN(9,2*RIGHT(DAY(C572))*(MOD(DAY(C572)-11,100)&gt;2)+1),2)&amp;","&amp;TEXT(C572," yyyy"))</f>
        <v>October 31st,2025</v>
      </c>
      <c r="AB572" s="15" t="str">
        <f aca="true">IF(S572="","",DATEDIF(S572,TODAY(),"Y")&amp;" Tahun, "&amp;DATEDIF(S572,TODAY(),"YM")&amp;" Bulan, "&amp;DATEDIF(S572,TODAY(),"MD")&amp;" Hari")</f>
        <v>41 Tahun, 11 Bulan, 21 Hari</v>
      </c>
      <c r="AC572" s="18" t="n">
        <v>45961</v>
      </c>
      <c r="AD572" s="18" t="n">
        <v>46037</v>
      </c>
      <c r="AE572" s="13" t="s">
        <v>44</v>
      </c>
    </row>
    <row r="573" customFormat="false" ht="15.75" hidden="false" customHeight="true" outlineLevel="0" collapsed="false">
      <c r="A573" s="12" t="n">
        <v>3385</v>
      </c>
      <c r="B573" s="13" t="s">
        <v>2581</v>
      </c>
      <c r="C573" s="14" t="n">
        <v>44432</v>
      </c>
      <c r="D573" s="13" t="s">
        <v>755</v>
      </c>
      <c r="E573" s="15" t="s">
        <v>47</v>
      </c>
      <c r="F573" s="15" t="str">
        <f aca="false">IFERROR(__xludf.dummyfunction("XLOOKUP(AJ573,IMPORTRANGE(""1XaInW9DU9nz21V0tYIfzFQ0He9kVQ_JF2mCXgZ3hqFA"",""REKAP ALL 2026 - Andika!G:G""),IMPORTRANGE(""1XaInW9DU9nz21V0tYIfzFQ0He9kVQ_JF2mCXgZ3hqFA"",""REKAP ALL 2026 - Andika!F:F""),"""",0)"),"17018728927")</f>
        <v>17018728927</v>
      </c>
      <c r="G573" s="13" t="s">
        <v>2582</v>
      </c>
      <c r="H573" s="13" t="s">
        <v>35</v>
      </c>
      <c r="I573" s="13" t="str">
        <f aca="false">IF(C573=J573,"NEW KONTRAK","RE-KONTRAK")</f>
        <v>RE-KONTRAK</v>
      </c>
      <c r="J573" s="16" t="n">
        <f aca="false" t="array" ref="J573:J573">IFERROR(INDEX(AC573:AE573,IF(COUNTA(AC573:AE573)=0,"",MAX((AC573:AE573&lt;&gt;"")*(COLUMN(AC573:AE573)-(COLUMN(AC573)))))-1),"")</f>
        <v>45799</v>
      </c>
      <c r="K573" s="16" t="n">
        <f aca="false" t="array" ref="K573:K573">IFERROR(INDEX(AC573:AE573,IF(COUNTA(AC573:AE573)=0,"",MAX((AC573:AE573&lt;&gt;"")*(COLUMN(AC573:AE573)-(COLUMN(AC573)-1))))-1),"")</f>
        <v>46528</v>
      </c>
      <c r="L573" s="17" t="str">
        <f aca="false" t="array" ref="L573:L573">IFERROR(INDEX(AC573:AE573,IF(COUNTA(AC573:AE573)=0,"",MAX((AC573:AE573&lt;&gt;"")*(COLUMN(AC573:AE573)-(COLUMN(AC573)-2))))-1),"")</f>
        <v>KEMBALI</v>
      </c>
      <c r="M573" s="13" t="n">
        <f aca="true">K573-TODAY()</f>
        <v>204</v>
      </c>
      <c r="N573" s="18" t="s">
        <v>105</v>
      </c>
      <c r="O573" s="13" t="s">
        <v>757</v>
      </c>
      <c r="P573" s="19" t="n">
        <v>4870511</v>
      </c>
      <c r="Q573" s="20" t="s">
        <v>2583</v>
      </c>
      <c r="R573" s="13" t="s">
        <v>39</v>
      </c>
      <c r="S573" s="14" t="n">
        <v>35375</v>
      </c>
      <c r="T573" s="13" t="s">
        <v>40</v>
      </c>
      <c r="U573" s="13" t="s">
        <v>2584</v>
      </c>
      <c r="V573" s="13" t="s">
        <v>42</v>
      </c>
      <c r="W573" s="13" t="s">
        <v>43</v>
      </c>
      <c r="X573" s="21" t="n">
        <v>87765661196</v>
      </c>
      <c r="Y573" s="22" t="str">
        <f aca="false">O573</f>
        <v>Inputor</v>
      </c>
      <c r="Z573" s="13" t="str">
        <f aca="false">IFERROR(__xludf.dummyfunction("if(BJ573="""","""",GOOGLETRANSLATE(BJ573,""auto"",""en""))"),"Inputor")</f>
        <v>Inputor</v>
      </c>
      <c r="AA573" s="23" t="str">
        <f aca="false">IF(C573="","", CHOOSE(MONTH(C573),"January","February","March","April","May","June","July","August","September","October","November","December")&amp;" "&amp;DAY(C573)&amp;MID("thstndrdth",MIN(9,2*RIGHT(DAY(C573))*(MOD(DAY(C573)-11,100)&gt;2)+1),2)&amp;","&amp;TEXT(C573," yyyy"))</f>
        <v>August 24th,2021</v>
      </c>
      <c r="AB573" s="15" t="str">
        <f aca="true">IF(S573="","",DATEDIF(S573,TODAY(),"Y")&amp;" Tahun, "&amp;DATEDIF(S573,TODAY(),"YM")&amp;" Bulan, "&amp;DATEDIF(S573,TODAY(),"MD")&amp;" Hari")</f>
        <v>29 Tahun, 11 Bulan, 23 Hari</v>
      </c>
      <c r="AC573" s="18" t="n">
        <v>45799</v>
      </c>
      <c r="AD573" s="18" t="n">
        <v>46528</v>
      </c>
      <c r="AE573" s="13" t="s">
        <v>397</v>
      </c>
    </row>
    <row r="574" customFormat="false" ht="15.75" hidden="false" customHeight="true" outlineLevel="0" collapsed="false">
      <c r="A574" s="12" t="n">
        <v>23015</v>
      </c>
      <c r="B574" s="13" t="s">
        <v>2585</v>
      </c>
      <c r="C574" s="14" t="n">
        <v>46307</v>
      </c>
      <c r="D574" s="13" t="s">
        <v>2033</v>
      </c>
      <c r="E574" s="13" t="s">
        <v>47</v>
      </c>
      <c r="F574" s="24" t="s">
        <v>2586</v>
      </c>
      <c r="G574" s="13" t="s">
        <v>1127</v>
      </c>
      <c r="H574" s="13" t="s">
        <v>35</v>
      </c>
      <c r="I574" s="13" t="str">
        <f aca="false">IF(C574=J574,"NEW KONTRAK","RE-KONTRAK")</f>
        <v>NEW KONTRAK</v>
      </c>
      <c r="J574" s="16" t="n">
        <f aca="false" t="array" ref="J574:J574">IFERROR(INDEX(AC574:AE574,IF(COUNTA(AC574:AE574)=0,"",MAX((AC574:AE574&lt;&gt;"")*(COLUMN(AC574:AE574)-(COLUMN(AC574)))))-1),"")</f>
        <v>46307</v>
      </c>
      <c r="K574" s="16" t="n">
        <f aca="false" t="array" ref="K574:K574">IFERROR(INDEX(AC574:AE574,IF(COUNTA(AC574:AE574)=0,"",MAX((AC574:AE574&lt;&gt;"")*(COLUMN(AC574:AE574)-(COLUMN(AC574)-1))))-1),"")</f>
        <v>46402</v>
      </c>
      <c r="L574" s="17" t="str">
        <f aca="false" t="array" ref="L574:L574">IFERROR(INDEX(AC574:AE574,IF(COUNTA(AC574:AE574)=0,"",MAX((AC574:AE574&lt;&gt;"")*(COLUMN(AC574:AE574)-(COLUMN(AC574)-2))))-1),"")</f>
        <v>DRAFTED ONLINE</v>
      </c>
      <c r="M574" s="13" t="n">
        <f aca="true">K574-TODAY()</f>
        <v>78</v>
      </c>
      <c r="N574" s="13" t="s">
        <v>2587</v>
      </c>
      <c r="O574" s="13" t="s">
        <v>2384</v>
      </c>
      <c r="P574" s="26" t="n">
        <v>3855894</v>
      </c>
      <c r="Q574" s="20" t="s">
        <v>2588</v>
      </c>
      <c r="R574" s="13" t="s">
        <v>2589</v>
      </c>
      <c r="S574" s="25" t="n">
        <v>39003</v>
      </c>
      <c r="T574" s="13" t="s">
        <v>40</v>
      </c>
      <c r="U574" s="13" t="s">
        <v>2590</v>
      </c>
      <c r="V574" s="13" t="s">
        <v>42</v>
      </c>
      <c r="W574" s="13" t="s">
        <v>43</v>
      </c>
      <c r="X574" s="21" t="n">
        <v>83825426604</v>
      </c>
      <c r="Y574" s="22" t="str">
        <f aca="false">O574</f>
        <v>SPG</v>
      </c>
      <c r="Z574" s="13" t="str">
        <f aca="false">IFERROR(__xludf.dummyfunction("if(BJ574="""","""",GOOGLETRANSLATE(BJ574,""auto"",""en""))"),"SPG")</f>
        <v>SPG</v>
      </c>
      <c r="AA574" s="23" t="str">
        <f aca="false">IF(C574="","", CHOOSE(MONTH(C574),"January","February","March","April","May","June","July","August","September","October","November","December")&amp;" "&amp;DAY(C574)&amp;MID("thstndrdth",MIN(9,2*RIGHT(DAY(C574))*(MOD(DAY(C574)-11,100)&gt;2)+1),2)&amp;","&amp;TEXT(C574," yyyy"))</f>
        <v>October 12th,2026</v>
      </c>
      <c r="AB574" s="15" t="str">
        <f aca="true">IF(S574="","",DATEDIF(S574,TODAY(),"Y")&amp;" Tahun, "&amp;DATEDIF(S574,TODAY(),"YM")&amp;" Bulan, "&amp;DATEDIF(S574,TODAY(),"MD")&amp;" Hari")</f>
        <v>20 Tahun, 0 Bulan, 16 Hari</v>
      </c>
      <c r="AC574" s="14" t="n">
        <v>46307</v>
      </c>
      <c r="AD574" s="18" t="n">
        <v>46402</v>
      </c>
      <c r="AE574" s="13" t="s">
        <v>2424</v>
      </c>
    </row>
    <row r="575" customFormat="false" ht="15.75" hidden="false" customHeight="true" outlineLevel="0" collapsed="false">
      <c r="A575" s="12" t="n">
        <v>3513</v>
      </c>
      <c r="B575" s="13" t="s">
        <v>2591</v>
      </c>
      <c r="C575" s="14" t="n">
        <v>44485</v>
      </c>
      <c r="D575" s="13" t="s">
        <v>613</v>
      </c>
      <c r="E575" s="15" t="s">
        <v>47</v>
      </c>
      <c r="F575" s="15" t="str">
        <f aca="false">IFERROR(__xludf.dummyfunction("XLOOKUP(AJ575,IMPORTRANGE(""1XaInW9DU9nz21V0tYIfzFQ0He9kVQ_JF2mCXgZ3hqFA"",""REKAP ALL 2026 - Andika!G:G""),IMPORTRANGE(""1XaInW9DU9nz21V0tYIfzFQ0He9kVQ_JF2mCXgZ3hqFA"",""REKAP ALL 2026 - Andika!F:F""),"""",0)"),"21096149188")</f>
        <v>21096149188</v>
      </c>
      <c r="G575" s="13" t="s">
        <v>2592</v>
      </c>
      <c r="H575" s="13" t="s">
        <v>35</v>
      </c>
      <c r="I575" s="13" t="str">
        <f aca="false">IF(C575=J575,"NEW KONTRAK","RE-KONTRAK")</f>
        <v>RE-KONTRAK</v>
      </c>
      <c r="J575" s="16" t="n">
        <f aca="false" t="array" ref="J575:J575">IFERROR(INDEX(AC575:AE575,IF(COUNTA(AC575:AE575)=0,"",MAX((AC575:AE575&lt;&gt;"")*(COLUMN(AC575:AE575)-(COLUMN(AC575)))))-1),"")</f>
        <v>45885</v>
      </c>
      <c r="K575" s="16" t="n">
        <f aca="false" t="array" ref="K575:K575">IFERROR(INDEX(AC575:AE575,IF(COUNTA(AC575:AE575)=0,"",MAX((AC575:AE575&lt;&gt;"")*(COLUMN(AC575:AE575)-(COLUMN(AC575)-1))))-1),"")</f>
        <v>46068</v>
      </c>
      <c r="L575" s="17" t="str">
        <f aca="false" t="array" ref="L575:L575">IFERROR(INDEX(AC575:AE575,IF(COUNTA(AC575:AE575)=0,"",MAX((AC575:AE575&lt;&gt;"")*(COLUMN(AC575:AE575)-(COLUMN(AC575)-2))))-1),"")</f>
        <v>ARCHIVED</v>
      </c>
      <c r="M575" s="13" t="n">
        <f aca="true">K575-TODAY()</f>
        <v>-256</v>
      </c>
      <c r="N575" s="18" t="s">
        <v>615</v>
      </c>
      <c r="O575" s="13" t="s">
        <v>58</v>
      </c>
      <c r="P575" s="19" t="n">
        <v>5176101</v>
      </c>
      <c r="Q575" s="20" t="s">
        <v>2593</v>
      </c>
      <c r="R575" s="13" t="s">
        <v>39</v>
      </c>
      <c r="S575" s="14" t="n">
        <v>30398</v>
      </c>
      <c r="T575" s="13" t="s">
        <v>40</v>
      </c>
      <c r="U575" s="13" t="s">
        <v>2594</v>
      </c>
      <c r="V575" s="13" t="s">
        <v>42</v>
      </c>
      <c r="W575" s="13" t="s">
        <v>54</v>
      </c>
      <c r="X575" s="21" t="n">
        <v>85784546872</v>
      </c>
      <c r="Y575" s="22" t="str">
        <f aca="false">O575</f>
        <v>Produksi</v>
      </c>
      <c r="Z575" s="13" t="str">
        <f aca="false">IFERROR(__xludf.dummyfunction("if(BJ575="""","""",GOOGLETRANSLATE(BJ575,""auto"",""en""))"),"Production")</f>
        <v>Production</v>
      </c>
      <c r="AA575" s="23" t="str">
        <f aca="false">IF(C575="","", CHOOSE(MONTH(C575),"January","February","March","April","May","June","July","August","September","October","November","December")&amp;" "&amp;DAY(C575)&amp;MID("thstndrdth",MIN(9,2*RIGHT(DAY(C575))*(MOD(DAY(C575)-11,100)&gt;2)+1),2)&amp;","&amp;TEXT(C575," yyyy"))</f>
        <v>October 16th,2021</v>
      </c>
      <c r="AB575" s="15" t="str">
        <f aca="true">IF(S575="","",DATEDIF(S575,TODAY(),"Y")&amp;" Tahun, "&amp;DATEDIF(S575,TODAY(),"YM")&amp;" Bulan, "&amp;DATEDIF(S575,TODAY(),"MD")&amp;" Hari")</f>
        <v>43 Tahun, 7 Bulan, 6 Hari</v>
      </c>
      <c r="AC575" s="18" t="n">
        <v>45885</v>
      </c>
      <c r="AD575" s="18" t="n">
        <v>46068</v>
      </c>
      <c r="AE575" s="18" t="s">
        <v>44</v>
      </c>
    </row>
    <row r="576" customFormat="false" ht="15.75" hidden="false" customHeight="true" outlineLevel="0" collapsed="false">
      <c r="A576" s="12" t="n">
        <v>12380</v>
      </c>
      <c r="B576" s="13" t="s">
        <v>2595</v>
      </c>
      <c r="C576" s="14" t="n">
        <v>45108</v>
      </c>
      <c r="D576" s="13" t="s">
        <v>101</v>
      </c>
      <c r="E576" s="15" t="s">
        <v>47</v>
      </c>
      <c r="F576" s="15" t="str">
        <f aca="false">IFERROR(__xludf.dummyfunction("XLOOKUP(AJ576,IMPORTRANGE(""1XaInW9DU9nz21V0tYIfzFQ0He9kVQ_JF2mCXgZ3hqFA"",""REKAP ALL 2026 - Andika!G:G""),IMPORTRANGE(""1XaInW9DU9nz21V0tYIfzFQ0He9kVQ_JF2mCXgZ3hqFA"",""REKAP ALL 2026 - Andika!F:F""),"""",0)"),"23113701058")</f>
        <v>23113701058</v>
      </c>
      <c r="G576" s="13" t="s">
        <v>2596</v>
      </c>
      <c r="H576" s="13" t="s">
        <v>35</v>
      </c>
      <c r="I576" s="13" t="str">
        <f aca="false">IF(C576=J576,"NEW KONTRAK","RE-KONTRAK")</f>
        <v>RE-KONTRAK</v>
      </c>
      <c r="J576" s="16" t="n">
        <f aca="false" t="array" ref="J576:J576">IFERROR(INDEX(AC576:AE576,IF(COUNTA(AC576:AE576)=0,"",MAX((AC576:AE576&lt;&gt;"")*(COLUMN(AC576:AE576)-(COLUMN(AC576)))))-1),"")</f>
        <v>45672</v>
      </c>
      <c r="K576" s="16" t="n">
        <f aca="false" t="array" ref="K576:K576">IFERROR(INDEX(AC576:AE576,IF(COUNTA(AC576:AE576)=0,"",MAX((AC576:AE576&lt;&gt;"")*(COLUMN(AC576:AE576)-(COLUMN(AC576)-1))))-1),"")</f>
        <v>46036</v>
      </c>
      <c r="L576" s="17" t="str">
        <f aca="false" t="array" ref="L576:L576">IFERROR(INDEX(AC576:AE576,IF(COUNTA(AC576:AE576)=0,"",MAX((AC576:AE576&lt;&gt;"")*(COLUMN(AC576:AE576)-(COLUMN(AC576)-2))))-1),"")</f>
        <v>ARCHIVED</v>
      </c>
      <c r="M576" s="13" t="n">
        <f aca="true">K576-TODAY()</f>
        <v>-288</v>
      </c>
      <c r="N576" s="18" t="s">
        <v>105</v>
      </c>
      <c r="O576" s="13" t="s">
        <v>106</v>
      </c>
      <c r="P576" s="31" t="n">
        <v>138915</v>
      </c>
      <c r="Q576" s="20" t="s">
        <v>2597</v>
      </c>
      <c r="R576" s="13" t="s">
        <v>39</v>
      </c>
      <c r="S576" s="25" t="n">
        <v>37938</v>
      </c>
      <c r="T576" s="13" t="s">
        <v>108</v>
      </c>
      <c r="U576" s="13" t="s">
        <v>2598</v>
      </c>
      <c r="V576" s="13" t="s">
        <v>42</v>
      </c>
      <c r="W576" s="13" t="s">
        <v>43</v>
      </c>
      <c r="X576" s="21" t="n">
        <v>87781161458</v>
      </c>
      <c r="Y576" s="22" t="str">
        <f aca="false">O576</f>
        <v>Produksi - Helper</v>
      </c>
      <c r="Z576" s="13" t="str">
        <f aca="false">IFERROR(__xludf.dummyfunction("if(BJ576="""","""",GOOGLETRANSLATE(BJ576,""auto"",""en""))"),"Production - Helper")</f>
        <v>Production - Helper</v>
      </c>
      <c r="AA576" s="23" t="str">
        <f aca="false">IF(C576="","", CHOOSE(MONTH(C576),"January","February","March","April","May","June","July","August","September","October","November","December")&amp;" "&amp;DAY(C576)&amp;MID("thstndrdth",MIN(9,2*RIGHT(DAY(C576))*(MOD(DAY(C576)-11,100)&gt;2)+1),2)&amp;","&amp;TEXT(C576," yyyy"))</f>
        <v>July 1st,2023</v>
      </c>
      <c r="AB576" s="15" t="str">
        <f aca="true">IF(S576="","",DATEDIF(S576,TODAY(),"Y")&amp;" Tahun, "&amp;DATEDIF(S576,TODAY(),"YM")&amp;" Bulan, "&amp;DATEDIF(S576,TODAY(),"MD")&amp;" Hari")</f>
        <v>22 Tahun, 11 Bulan, 16 Hari</v>
      </c>
      <c r="AC576" s="18" t="n">
        <v>45672</v>
      </c>
      <c r="AD576" s="18" t="n">
        <v>46036</v>
      </c>
      <c r="AE576" s="18" t="s">
        <v>44</v>
      </c>
    </row>
    <row r="577" customFormat="false" ht="15.75" hidden="false" customHeight="true" outlineLevel="0" collapsed="false">
      <c r="A577" s="12" t="n">
        <v>22318</v>
      </c>
      <c r="B577" s="13" t="s">
        <v>2599</v>
      </c>
      <c r="C577" s="14" t="n">
        <v>46230</v>
      </c>
      <c r="D577" s="13" t="s">
        <v>101</v>
      </c>
      <c r="E577" s="15" t="s">
        <v>47</v>
      </c>
      <c r="F577" s="15" t="str">
        <f aca="false">IFERROR(__xludf.dummyfunction("XLOOKUP(AJ577,IMPORTRANGE(""1XaInW9DU9nz21V0tYIfzFQ0He9kVQ_JF2mCXgZ3hqFA"",""REKAP ALL 2026 - Andika!G:G""),IMPORTRANGE(""1XaInW9DU9nz21V0tYIfzFQ0He9kVQ_JF2mCXgZ3hqFA"",""REKAP ALL 2026 - Andika!F:F""),"""",0)"),"26062983320")</f>
        <v>26062983320</v>
      </c>
      <c r="G577" s="24" t="s">
        <v>57</v>
      </c>
      <c r="H577" s="13" t="s">
        <v>35</v>
      </c>
      <c r="I577" s="13" t="str">
        <f aca="false">IF(C577=J577,"NEW KONTRAK","RE-KONTRAK")</f>
        <v>NEW KONTRAK</v>
      </c>
      <c r="J577" s="16" t="n">
        <f aca="false" t="array" ref="J577:J577">IFERROR(INDEX(AC577:AE577,IF(COUNTA(AC577:AE577)=0,"",MAX((AC577:AE577&lt;&gt;"")*(COLUMN(AC577:AE577)-(COLUMN(AC577)))))-1),"")</f>
        <v>46230</v>
      </c>
      <c r="K577" s="16" t="n">
        <f aca="false" t="array" ref="K577:K577">IFERROR(INDEX(AC577:AE577,IF(COUNTA(AC577:AE577)=0,"",MAX((AC577:AE577&lt;&gt;"")*(COLUMN(AC577:AE577)-(COLUMN(AC577)-1))))-1),"")</f>
        <v>46322</v>
      </c>
      <c r="L577" s="17" t="str">
        <f aca="false" t="array" ref="L577:L577">IFERROR(INDEX(AC577:AE577,IF(COUNTA(AC577:AE577)=0,"",MAX((AC577:AE577&lt;&gt;"")*(COLUMN(AC577:AE577)-(COLUMN(AC577)-2))))-1),"")</f>
        <v>KEMBALI</v>
      </c>
      <c r="M577" s="13" t="n">
        <f aca="true">K577-TODAY()</f>
        <v>-2</v>
      </c>
      <c r="N577" s="18" t="s">
        <v>105</v>
      </c>
      <c r="O577" s="13" t="s">
        <v>1453</v>
      </c>
      <c r="P577" s="19" t="n">
        <v>138915</v>
      </c>
      <c r="Q577" s="20" t="s">
        <v>2600</v>
      </c>
      <c r="R577" s="13" t="s">
        <v>39</v>
      </c>
      <c r="S577" s="14" t="n">
        <v>35951</v>
      </c>
      <c r="T577" s="13" t="s">
        <v>108</v>
      </c>
      <c r="U577" s="13" t="s">
        <v>2601</v>
      </c>
      <c r="V577" s="13" t="s">
        <v>42</v>
      </c>
      <c r="W577" s="13" t="s">
        <v>43</v>
      </c>
      <c r="X577" s="30" t="n">
        <v>85227648350</v>
      </c>
      <c r="Y577" s="22" t="str">
        <f aca="false">O577</f>
        <v>Helper Produksi</v>
      </c>
      <c r="Z577" s="13" t="str">
        <f aca="false">IFERROR(__xludf.dummyfunction("if(BJ577="""","""",GOOGLETRANSLATE(BJ577,""auto"",""en""))"),"Production Helper")</f>
        <v>Production Helper</v>
      </c>
      <c r="AA577" s="23" t="str">
        <f aca="false">IF(C577="","", CHOOSE(MONTH(C577),"January","February","March","April","May","June","July","August","September","October","November","December")&amp;" "&amp;DAY(C577)&amp;MID("thstndrdth",MIN(9,2*RIGHT(DAY(C577))*(MOD(DAY(C577)-11,100)&gt;2)+1),2)&amp;","&amp;TEXT(C577," yyyy"))</f>
        <v>July 27th,2026</v>
      </c>
      <c r="AB577" s="15" t="str">
        <f aca="true">IF(S577="","",DATEDIF(S577,TODAY(),"Y")&amp;" Tahun, "&amp;DATEDIF(S577,TODAY(),"YM")&amp;" Bulan, "&amp;DATEDIF(S577,TODAY(),"MD")&amp;" Hari")</f>
        <v>28 Tahun, 4 Bulan, 24 Hari</v>
      </c>
      <c r="AC577" s="14" t="n">
        <v>46230</v>
      </c>
      <c r="AD577" s="14" t="n">
        <f aca="false">EDATE(AC577,3)</f>
        <v>46322</v>
      </c>
      <c r="AE577" s="13" t="s">
        <v>397</v>
      </c>
    </row>
    <row r="578" customFormat="false" ht="15.75" hidden="false" customHeight="true" outlineLevel="0" collapsed="false">
      <c r="A578" s="12" t="n">
        <v>1905</v>
      </c>
      <c r="B578" s="13" t="s">
        <v>2602</v>
      </c>
      <c r="C578" s="14" t="n">
        <v>44005</v>
      </c>
      <c r="D578" s="13" t="s">
        <v>101</v>
      </c>
      <c r="E578" s="15" t="s">
        <v>47</v>
      </c>
      <c r="F578" s="15" t="str">
        <f aca="false">IFERROR(__xludf.dummyfunction("XLOOKUP(AJ578,IMPORTRANGE(""1XaInW9DU9nz21V0tYIfzFQ0He9kVQ_JF2mCXgZ3hqFA"",""REKAP ALL 2026 - Andika!G:G""),IMPORTRANGE(""1XaInW9DU9nz21V0tYIfzFQ0He9kVQ_JF2mCXgZ3hqFA"",""REKAP ALL 2026 - Andika!F:F""),"""",0)"),"20056450800")</f>
        <v>20056450800</v>
      </c>
      <c r="G578" s="13" t="s">
        <v>2603</v>
      </c>
      <c r="H578" s="13" t="s">
        <v>35</v>
      </c>
      <c r="I578" s="13" t="str">
        <f aca="false">IF(C578=J578,"NEW KONTRAK","RE-KONTRAK")</f>
        <v>RE-KONTRAK</v>
      </c>
      <c r="J578" s="16" t="n">
        <f aca="false" t="array" ref="J578:J578">IFERROR(INDEX(AC578:AE578,IF(COUNTA(AC578:AE578)=0,"",MAX((AC578:AE578&lt;&gt;"")*(COLUMN(AC578:AE578)-(COLUMN(AC578)))))-1),"")</f>
        <v>45672</v>
      </c>
      <c r="K578" s="16" t="n">
        <f aca="false" t="array" ref="K578:K578">IFERROR(INDEX(AC578:AE578,IF(COUNTA(AC578:AE578)=0,"",MAX((AC578:AE578&lt;&gt;"")*(COLUMN(AC578:AE578)-(COLUMN(AC578)-1))))-1),"")</f>
        <v>46036</v>
      </c>
      <c r="L578" s="17" t="str">
        <f aca="false" t="array" ref="L578:L578">IFERROR(INDEX(AC578:AE578,IF(COUNTA(AC578:AE578)=0,"",MAX((AC578:AE578&lt;&gt;"")*(COLUMN(AC578:AE578)-(COLUMN(AC578)-2))))-1),"")</f>
        <v>ARCHIVED</v>
      </c>
      <c r="M578" s="13" t="n">
        <f aca="true">K578-TODAY()</f>
        <v>-288</v>
      </c>
      <c r="N578" s="18" t="s">
        <v>105</v>
      </c>
      <c r="O578" s="13" t="s">
        <v>1434</v>
      </c>
      <c r="P578" s="19" t="n">
        <v>138915</v>
      </c>
      <c r="Q578" s="20" t="s">
        <v>2604</v>
      </c>
      <c r="R578" s="13" t="s">
        <v>39</v>
      </c>
      <c r="S578" s="25" t="n">
        <v>35425</v>
      </c>
      <c r="T578" s="13" t="s">
        <v>108</v>
      </c>
      <c r="U578" s="13" t="s">
        <v>2605</v>
      </c>
      <c r="V578" s="13" t="s">
        <v>42</v>
      </c>
      <c r="W578" s="13" t="s">
        <v>43</v>
      </c>
      <c r="X578" s="21" t="n">
        <v>83838955952</v>
      </c>
      <c r="Y578" s="22" t="str">
        <f aca="false">O578</f>
        <v>E-Commerce - Packer</v>
      </c>
      <c r="Z578" s="13" t="str">
        <f aca="false">IFERROR(__xludf.dummyfunction("if(BJ578="""","""",GOOGLETRANSLATE(BJ578,""auto"",""en""))"),"E-Commerce - Packer")</f>
        <v>E-Commerce - Packer</v>
      </c>
      <c r="AA578" s="23" t="str">
        <f aca="false">IF(C578="","", CHOOSE(MONTH(C578),"January","February","March","April","May","June","July","August","September","October","November","December")&amp;" "&amp;DAY(C578)&amp;MID("thstndrdth",MIN(9,2*RIGHT(DAY(C578))*(MOD(DAY(C578)-11,100)&gt;2)+1),2)&amp;","&amp;TEXT(C578," yyyy"))</f>
        <v>June 23rd,2020</v>
      </c>
      <c r="AB578" s="15" t="str">
        <f aca="true">IF(S578="","",DATEDIF(S578,TODAY(),"Y")&amp;" Tahun, "&amp;DATEDIF(S578,TODAY(),"YM")&amp;" Bulan, "&amp;DATEDIF(S578,TODAY(),"MD")&amp;" Hari")</f>
        <v>29 Tahun, 10 Bulan, 3 Hari</v>
      </c>
      <c r="AC578" s="18" t="n">
        <v>45672</v>
      </c>
      <c r="AD578" s="18" t="n">
        <v>46036</v>
      </c>
      <c r="AE578" s="18" t="s">
        <v>44</v>
      </c>
    </row>
    <row r="579" customFormat="false" ht="15.75" hidden="false" customHeight="true" outlineLevel="0" collapsed="false">
      <c r="A579" s="12" t="n">
        <v>3544</v>
      </c>
      <c r="B579" s="13" t="s">
        <v>2606</v>
      </c>
      <c r="C579" s="14" t="n">
        <v>44490</v>
      </c>
      <c r="D579" s="13" t="s">
        <v>2607</v>
      </c>
      <c r="E579" s="15" t="s">
        <v>47</v>
      </c>
      <c r="F579" s="15" t="str">
        <f aca="false">IFERROR(__xludf.dummyfunction("XLOOKUP(AJ579,IMPORTRANGE(""1XaInW9DU9nz21V0tYIfzFQ0He9kVQ_JF2mCXgZ3hqFA"",""REKAP ALL 2026 - Andika!G:G""),IMPORTRANGE(""1XaInW9DU9nz21V0tYIfzFQ0He9kVQ_JF2mCXgZ3hqFA"",""REKAP ALL 2026 - Andika!F:F""),"""",0)"),"21096149667")</f>
        <v>21096149667</v>
      </c>
      <c r="G579" s="13" t="s">
        <v>2608</v>
      </c>
      <c r="H579" s="13" t="s">
        <v>35</v>
      </c>
      <c r="I579" s="13" t="str">
        <f aca="false">IF(C579=J579,"NEW KONTRAK","RE-KONTRAK")</f>
        <v>RE-KONTRAK</v>
      </c>
      <c r="J579" s="16" t="n">
        <f aca="false" t="array" ref="J579:J579">IFERROR(INDEX(AC579:AE579,IF(COUNTA(AC579:AE579)=0,"",MAX((AC579:AE579&lt;&gt;"")*(COLUMN(AC579:AE579)-(COLUMN(AC579)))))-1),"")</f>
        <v>45569</v>
      </c>
      <c r="K579" s="16" t="n">
        <f aca="false" t="array" ref="K579:K579">IFERROR(INDEX(AC579:AE579,IF(COUNTA(AC579:AE579)=0,"",MAX((AC579:AE579&lt;&gt;"")*(COLUMN(AC579:AE579)-(COLUMN(AC579)-1))))-1),"")</f>
        <v>45933</v>
      </c>
      <c r="L579" s="17" t="str">
        <f aca="false" t="array" ref="L579:L579">IFERROR(INDEX(AC579:AE579,IF(COUNTA(AC579:AE579)=0,"",MAX((AC579:AE579&lt;&gt;"")*(COLUMN(AC579:AE579)-(COLUMN(AC579)-2))))-1),"")</f>
        <v>ARCHIVED</v>
      </c>
      <c r="M579" s="13" t="n">
        <f aca="true">K579-TODAY()</f>
        <v>-391</v>
      </c>
      <c r="N579" s="18" t="s">
        <v>36</v>
      </c>
      <c r="O579" s="13" t="s">
        <v>2609</v>
      </c>
      <c r="P579" s="19" t="n">
        <v>4372030</v>
      </c>
      <c r="Q579" s="20" t="s">
        <v>2610</v>
      </c>
      <c r="R579" s="13" t="s">
        <v>65</v>
      </c>
      <c r="S579" s="14" t="n">
        <v>34673</v>
      </c>
      <c r="T579" s="13" t="s">
        <v>40</v>
      </c>
      <c r="U579" s="13" t="s">
        <v>2611</v>
      </c>
      <c r="V579" s="13" t="s">
        <v>42</v>
      </c>
      <c r="W579" s="13" t="s">
        <v>43</v>
      </c>
      <c r="X579" s="21" t="n">
        <v>83857120322</v>
      </c>
      <c r="Y579" s="22" t="str">
        <f aca="false">O579</f>
        <v>Produksi H-Jack</v>
      </c>
      <c r="Z579" s="13" t="str">
        <f aca="false">IFERROR(__xludf.dummyfunction("if(BJ579="""","""",GOOGLETRANSLATE(BJ579,""auto"",""en""))"),"H-Jack Production")</f>
        <v>H-Jack Production</v>
      </c>
      <c r="AA579" s="23" t="str">
        <f aca="false">IF(C579="","", CHOOSE(MONTH(C579),"January","February","March","April","May","June","July","August","September","October","November","December")&amp;" "&amp;DAY(C579)&amp;MID("thstndrdth",MIN(9,2*RIGHT(DAY(C579))*(MOD(DAY(C579)-11,100)&gt;2)+1),2)&amp;","&amp;TEXT(C579," yyyy"))</f>
        <v>October 21st,2021</v>
      </c>
      <c r="AB579" s="15" t="str">
        <f aca="true">IF(S579="","",DATEDIF(S579,TODAY(),"Y")&amp;" Tahun, "&amp;DATEDIF(S579,TODAY(),"YM")&amp;" Bulan, "&amp;DATEDIF(S579,TODAY(),"MD")&amp;" Hari")</f>
        <v>31 Tahun, 10 Bulan, 24 Hari</v>
      </c>
      <c r="AC579" s="18" t="n">
        <v>45569</v>
      </c>
      <c r="AD579" s="18" t="n">
        <v>45933</v>
      </c>
      <c r="AE579" s="18" t="s">
        <v>44</v>
      </c>
    </row>
    <row r="580" customFormat="false" ht="15.75" hidden="false" customHeight="true" outlineLevel="0" collapsed="false">
      <c r="A580" s="12" t="n">
        <v>3553</v>
      </c>
      <c r="B580" s="13" t="s">
        <v>2612</v>
      </c>
      <c r="C580" s="14" t="n">
        <v>44490</v>
      </c>
      <c r="D580" s="13" t="s">
        <v>101</v>
      </c>
      <c r="E580" s="15" t="s">
        <v>102</v>
      </c>
      <c r="F580" s="15" t="str">
        <f aca="false">IFERROR(__xludf.dummyfunction("XLOOKUP(AJ580,IMPORTRANGE(""1XaInW9DU9nz21V0tYIfzFQ0He9kVQ_JF2mCXgZ3hqFA"",""REKAP ALL 2026 - Andika!G:G""),IMPORTRANGE(""1XaInW9DU9nz21V0tYIfzFQ0He9kVQ_JF2mCXgZ3hqFA"",""REKAP ALL 2026 - Andika!F:F""),"""",0)"),"22004858548")</f>
        <v>22004858548</v>
      </c>
      <c r="G580" s="13" t="s">
        <v>2613</v>
      </c>
      <c r="H580" s="13" t="s">
        <v>35</v>
      </c>
      <c r="I580" s="13" t="str">
        <f aca="false">IF(C580=J580,"NEW KONTRAK","RE-KONTRAK")</f>
        <v>RE-KONTRAK</v>
      </c>
      <c r="J580" s="16" t="n">
        <f aca="false" t="array" ref="J580:J580">IFERROR(INDEX(AC580:AE580,IF(COUNTA(AC580:AE580)=0,"",MAX((AC580:AE580&lt;&gt;"")*(COLUMN(AC580:AE580)-(COLUMN(AC580)))))-1),"")</f>
        <v>45672</v>
      </c>
      <c r="K580" s="16" t="n">
        <f aca="false" t="array" ref="K580:K580">IFERROR(INDEX(AC580:AE580,IF(COUNTA(AC580:AE580)=0,"",MAX((AC580:AE580&lt;&gt;"")*(COLUMN(AC580:AE580)-(COLUMN(AC580)-1))))-1),"")</f>
        <v>46036</v>
      </c>
      <c r="L580" s="17" t="str">
        <f aca="false" t="array" ref="L580:L580">IFERROR(INDEX(AC580:AE580,IF(COUNTA(AC580:AE580)=0,"",MAX((AC580:AE580&lt;&gt;"")*(COLUMN(AC580:AE580)-(COLUMN(AC580)-2))))-1),"")</f>
        <v>ARCHIVED</v>
      </c>
      <c r="M580" s="13" t="n">
        <f aca="true">K580-TODAY()</f>
        <v>-288</v>
      </c>
      <c r="N580" s="18" t="s">
        <v>105</v>
      </c>
      <c r="O580" s="13" t="s">
        <v>106</v>
      </c>
      <c r="P580" s="19" t="n">
        <v>132300</v>
      </c>
      <c r="Q580" s="20" t="s">
        <v>2614</v>
      </c>
      <c r="R580" s="13" t="s">
        <v>260</v>
      </c>
      <c r="S580" s="25" t="n">
        <v>35096</v>
      </c>
      <c r="T580" s="13" t="s">
        <v>40</v>
      </c>
      <c r="U580" s="13" t="s">
        <v>2615</v>
      </c>
      <c r="V580" s="13" t="s">
        <v>42</v>
      </c>
      <c r="W580" s="13" t="s">
        <v>43</v>
      </c>
      <c r="X580" s="21" t="n">
        <v>81259490234</v>
      </c>
      <c r="Y580" s="22" t="str">
        <f aca="false">O580</f>
        <v>Produksi - Helper</v>
      </c>
      <c r="Z580" s="13" t="str">
        <f aca="false">IFERROR(__xludf.dummyfunction("if(BJ580="""","""",GOOGLETRANSLATE(BJ580,""auto"",""en""))"),"Production - Helper")</f>
        <v>Production - Helper</v>
      </c>
      <c r="AA580" s="23" t="str">
        <f aca="false">IF(C580="","", CHOOSE(MONTH(C580),"January","February","March","April","May","June","July","August","September","October","November","December")&amp;" "&amp;DAY(C580)&amp;MID("thstndrdth",MIN(9,2*RIGHT(DAY(C580))*(MOD(DAY(C580)-11,100)&gt;2)+1),2)&amp;","&amp;TEXT(C580," yyyy"))</f>
        <v>October 21st,2021</v>
      </c>
      <c r="AB580" s="15" t="str">
        <f aca="true">IF(S580="","",DATEDIF(S580,TODAY(),"Y")&amp;" Tahun, "&amp;DATEDIF(S580,TODAY(),"YM")&amp;" Bulan, "&amp;DATEDIF(S580,TODAY(),"MD")&amp;" Hari")</f>
        <v>30 Tahun, 8 Bulan, 28 Hari</v>
      </c>
      <c r="AC580" s="18" t="n">
        <v>45672</v>
      </c>
      <c r="AD580" s="18" t="n">
        <v>46036</v>
      </c>
      <c r="AE580" s="18" t="s">
        <v>44</v>
      </c>
    </row>
    <row r="581" customFormat="false" ht="15.75" hidden="false" customHeight="true" outlineLevel="0" collapsed="false">
      <c r="A581" s="12" t="n">
        <v>3561</v>
      </c>
      <c r="B581" s="13" t="s">
        <v>2616</v>
      </c>
      <c r="C581" s="14" t="n">
        <v>44494</v>
      </c>
      <c r="D581" s="13" t="s">
        <v>144</v>
      </c>
      <c r="E581" s="15" t="s">
        <v>47</v>
      </c>
      <c r="F581" s="15" t="str">
        <f aca="false">IFERROR(__xludf.dummyfunction("XLOOKUP(AJ581,IMPORTRANGE(""1XaInW9DU9nz21V0tYIfzFQ0He9kVQ_JF2mCXgZ3hqFA"",""REKAP ALL 2026 - Andika!G:G""),IMPORTRANGE(""1XaInW9DU9nz21V0tYIfzFQ0He9kVQ_JF2mCXgZ3hqFA"",""REKAP ALL 2026 - Andika!F:F""),"""",0)"),"22003695107")</f>
        <v>22003695107</v>
      </c>
      <c r="G581" s="13" t="s">
        <v>2617</v>
      </c>
      <c r="H581" s="13" t="s">
        <v>35</v>
      </c>
      <c r="I581" s="13" t="str">
        <f aca="false">IF(C581=J581,"NEW KONTRAK","RE-KONTRAK")</f>
        <v>RE-KONTRAK</v>
      </c>
      <c r="J581" s="16" t="n">
        <f aca="false" t="array" ref="J581:J581">IFERROR(INDEX(AC581:AE581,IF(COUNTA(AC581:AE581)=0,"",MAX((AC581:AE581&lt;&gt;"")*(COLUMN(AC581:AE581)-(COLUMN(AC581)))))-1),"")</f>
        <v>45658</v>
      </c>
      <c r="K581" s="16" t="n">
        <f aca="false" t="array" ref="K581:K581">IFERROR(INDEX(AC581:AE581,IF(COUNTA(AC581:AE581)=0,"",MAX((AC581:AE581&lt;&gt;"")*(COLUMN(AC581:AE581)-(COLUMN(AC581)-1))))-1),"")</f>
        <v>46022</v>
      </c>
      <c r="L581" s="17" t="str">
        <f aca="false" t="array" ref="L581:L581">IFERROR(INDEX(AC581:AE581,IF(COUNTA(AC581:AE581)=0,"",MAX((AC581:AE581&lt;&gt;"")*(COLUMN(AC581:AE581)-(COLUMN(AC581)-2))))-1),"")</f>
        <v>ARCHIVED</v>
      </c>
      <c r="M581" s="13" t="n">
        <f aca="true">K581-TODAY()</f>
        <v>-302</v>
      </c>
      <c r="N581" s="18" t="s">
        <v>36</v>
      </c>
      <c r="O581" s="13" t="s">
        <v>156</v>
      </c>
      <c r="P581" s="19" t="n">
        <v>5195401</v>
      </c>
      <c r="Q581" s="20" t="s">
        <v>2618</v>
      </c>
      <c r="R581" s="13" t="s">
        <v>65</v>
      </c>
      <c r="S581" s="14" t="n">
        <v>36881</v>
      </c>
      <c r="T581" s="13" t="s">
        <v>40</v>
      </c>
      <c r="U581" s="13" t="s">
        <v>2619</v>
      </c>
      <c r="V581" s="13" t="s">
        <v>42</v>
      </c>
      <c r="W581" s="13" t="s">
        <v>43</v>
      </c>
      <c r="X581" s="21" t="n">
        <v>83849726348</v>
      </c>
      <c r="Y581" s="22" t="str">
        <f aca="false">O581</f>
        <v>Emulsion</v>
      </c>
      <c r="Z581" s="13" t="str">
        <f aca="false">IFERROR(__xludf.dummyfunction("if(BJ581="""","""",GOOGLETRANSLATE(BJ581,""auto"",""en""))"),"Emulsion")</f>
        <v>Emulsion</v>
      </c>
      <c r="AA581" s="23" t="str">
        <f aca="false">IF(C581="","", CHOOSE(MONTH(C581),"January","February","March","April","May","June","July","August","September","October","November","December")&amp;" "&amp;DAY(C581)&amp;MID("thstndrdth",MIN(9,2*RIGHT(DAY(C581))*(MOD(DAY(C581)-11,100)&gt;2)+1),2)&amp;","&amp;TEXT(C581," yyyy"))</f>
        <v>October 25th,2021</v>
      </c>
      <c r="AB581" s="15" t="str">
        <f aca="true">IF(S581="","",DATEDIF(S581,TODAY(),"Y")&amp;" Tahun, "&amp;DATEDIF(S581,TODAY(),"YM")&amp;" Bulan, "&amp;DATEDIF(S581,TODAY(),"MD")&amp;" Hari")</f>
        <v>25 Tahun, 10 Bulan, 8 Hari</v>
      </c>
      <c r="AC581" s="18" t="n">
        <v>45658</v>
      </c>
      <c r="AD581" s="18" t="n">
        <v>46022</v>
      </c>
      <c r="AE581" s="18" t="s">
        <v>44</v>
      </c>
    </row>
    <row r="582" customFormat="false" ht="15.75" hidden="false" customHeight="true" outlineLevel="0" collapsed="false">
      <c r="A582" s="12" t="n">
        <v>3652</v>
      </c>
      <c r="B582" s="13" t="s">
        <v>2620</v>
      </c>
      <c r="C582" s="14" t="n">
        <v>44501</v>
      </c>
      <c r="D582" s="13" t="s">
        <v>2607</v>
      </c>
      <c r="E582" s="15" t="s">
        <v>47</v>
      </c>
      <c r="F582" s="15" t="str">
        <f aca="false">IFERROR(__xludf.dummyfunction("XLOOKUP(AJ582,IMPORTRANGE(""1XaInW9DU9nz21V0tYIfzFQ0He9kVQ_JF2mCXgZ3hqFA"",""REKAP ALL 2026 - Andika!G:G""),IMPORTRANGE(""1XaInW9DU9nz21V0tYIfzFQ0He9kVQ_JF2mCXgZ3hqFA"",""REKAP ALL 2026 - Andika!F:F""),"""",0)"),"21019185053")</f>
        <v>21019185053</v>
      </c>
      <c r="G582" s="13" t="s">
        <v>2621</v>
      </c>
      <c r="H582" s="13" t="s">
        <v>35</v>
      </c>
      <c r="I582" s="13" t="str">
        <f aca="false">IF(C582=J582,"NEW KONTRAK","RE-KONTRAK")</f>
        <v>RE-KONTRAK</v>
      </c>
      <c r="J582" s="16" t="n">
        <f aca="false" t="array" ref="J582:J582">IFERROR(INDEX(AC582:AE582,IF(COUNTA(AC582:AE582)=0,"",MAX((AC582:AE582&lt;&gt;"")*(COLUMN(AC582:AE582)-(COLUMN(AC582)))))-1),"")</f>
        <v>45569</v>
      </c>
      <c r="K582" s="16" t="n">
        <f aca="false" t="array" ref="K582:K582">IFERROR(INDEX(AC582:AE582,IF(COUNTA(AC582:AE582)=0,"",MAX((AC582:AE582&lt;&gt;"")*(COLUMN(AC582:AE582)-(COLUMN(AC582)-1))))-1),"")</f>
        <v>45933</v>
      </c>
      <c r="L582" s="17" t="str">
        <f aca="false" t="array" ref="L582:L582">IFERROR(INDEX(AC582:AE582,IF(COUNTA(AC582:AE582)=0,"",MAX((AC582:AE582&lt;&gt;"")*(COLUMN(AC582:AE582)-(COLUMN(AC582)-2))))-1),"")</f>
        <v>ARCHIVED</v>
      </c>
      <c r="M582" s="13" t="n">
        <f aca="true">K582-TODAY()</f>
        <v>-391</v>
      </c>
      <c r="N582" s="18" t="s">
        <v>36</v>
      </c>
      <c r="O582" s="13" t="s">
        <v>2622</v>
      </c>
      <c r="P582" s="19" t="n">
        <v>5195401</v>
      </c>
      <c r="Q582" s="20" t="s">
        <v>2623</v>
      </c>
      <c r="R582" s="13" t="s">
        <v>65</v>
      </c>
      <c r="S582" s="14" t="n">
        <v>28707</v>
      </c>
      <c r="T582" s="13" t="s">
        <v>40</v>
      </c>
      <c r="U582" s="13" t="s">
        <v>2624</v>
      </c>
      <c r="V582" s="28" t="s">
        <v>42</v>
      </c>
      <c r="W582" s="28" t="s">
        <v>54</v>
      </c>
      <c r="X582" s="21" t="n">
        <v>85853030945</v>
      </c>
      <c r="Y582" s="22" t="str">
        <f aca="false">O582</f>
        <v>Gudang H-Jack</v>
      </c>
      <c r="Z582" s="13" t="str">
        <f aca="false">IFERROR(__xludf.dummyfunction("if(BJ582="""","""",GOOGLETRANSLATE(BJ582,""auto"",""en""))"),"Gudang H-Jack")</f>
        <v>Gudang H-Jack</v>
      </c>
      <c r="AA582" s="23" t="str">
        <f aca="false">IF(C582="","", CHOOSE(MONTH(C582),"January","February","March","April","May","June","July","August","September","October","November","December")&amp;" "&amp;DAY(C582)&amp;MID("thstndrdth",MIN(9,2*RIGHT(DAY(C582))*(MOD(DAY(C582)-11,100)&gt;2)+1),2)&amp;","&amp;TEXT(C582," yyyy"))</f>
        <v>November 1st,2021</v>
      </c>
      <c r="AB582" s="15" t="str">
        <f aca="true">IF(S582="","",DATEDIF(S582,TODAY(),"Y")&amp;" Tahun, "&amp;DATEDIF(S582,TODAY(),"YM")&amp;" Bulan, "&amp;DATEDIF(S582,TODAY(),"MD")&amp;" Hari")</f>
        <v>48 Tahun, 2 Bulan, 24 Hari</v>
      </c>
      <c r="AC582" s="18" t="n">
        <v>45569</v>
      </c>
      <c r="AD582" s="18" t="n">
        <v>45933</v>
      </c>
      <c r="AE582" s="18" t="s">
        <v>44</v>
      </c>
    </row>
    <row r="583" customFormat="false" ht="15.75" hidden="false" customHeight="true" outlineLevel="0" collapsed="false">
      <c r="A583" s="12" t="n">
        <v>3654</v>
      </c>
      <c r="B583" s="13" t="s">
        <v>2625</v>
      </c>
      <c r="C583" s="14" t="n">
        <v>44501</v>
      </c>
      <c r="D583" s="13" t="s">
        <v>2607</v>
      </c>
      <c r="E583" s="15" t="s">
        <v>47</v>
      </c>
      <c r="F583" s="15" t="str">
        <f aca="false">IFERROR(__xludf.dummyfunction("XLOOKUP(AJ583,IMPORTRANGE(""1XaInW9DU9nz21V0tYIfzFQ0He9kVQ_JF2mCXgZ3hqFA"",""REKAP ALL 2026 - Andika!G:G""),IMPORTRANGE(""1XaInW9DU9nz21V0tYIfzFQ0He9kVQ_JF2mCXgZ3hqFA"",""REKAP ALL 2026 - Andika!F:F""),"""",0)"),"21019185137")</f>
        <v>21019185137</v>
      </c>
      <c r="G583" s="13" t="s">
        <v>2626</v>
      </c>
      <c r="H583" s="13" t="s">
        <v>35</v>
      </c>
      <c r="I583" s="13" t="str">
        <f aca="false">IF(C583=J583,"NEW KONTRAK","RE-KONTRAK")</f>
        <v>RE-KONTRAK</v>
      </c>
      <c r="J583" s="16" t="n">
        <f aca="false" t="array" ref="J583:J583">IFERROR(INDEX(AC583:AE583,IF(COUNTA(AC583:AE583)=0,"",MAX((AC583:AE583&lt;&gt;"")*(COLUMN(AC583:AE583)-(COLUMN(AC583)))))-1),"")</f>
        <v>45569</v>
      </c>
      <c r="K583" s="16" t="n">
        <f aca="false" t="array" ref="K583:K583">IFERROR(INDEX(AC583:AE583,IF(COUNTA(AC583:AE583)=0,"",MAX((AC583:AE583&lt;&gt;"")*(COLUMN(AC583:AE583)-(COLUMN(AC583)-1))))-1),"")</f>
        <v>45933</v>
      </c>
      <c r="L583" s="17" t="str">
        <f aca="false" t="array" ref="L583:L583">IFERROR(INDEX(AC583:AE583,IF(COUNTA(AC583:AE583)=0,"",MAX((AC583:AE583&lt;&gt;"")*(COLUMN(AC583:AE583)-(COLUMN(AC583)-2))))-1),"")</f>
        <v>ARCHIVED</v>
      </c>
      <c r="M583" s="13" t="n">
        <f aca="true">K583-TODAY()</f>
        <v>-391</v>
      </c>
      <c r="N583" s="18" t="s">
        <v>36</v>
      </c>
      <c r="O583" s="13" t="s">
        <v>2627</v>
      </c>
      <c r="P583" s="19" t="n">
        <v>5195401</v>
      </c>
      <c r="Q583" s="20" t="s">
        <v>2628</v>
      </c>
      <c r="R583" s="13" t="s">
        <v>39</v>
      </c>
      <c r="S583" s="14" t="n">
        <v>35843</v>
      </c>
      <c r="T583" s="13" t="s">
        <v>40</v>
      </c>
      <c r="U583" s="13" t="s">
        <v>2629</v>
      </c>
      <c r="V583" s="28" t="s">
        <v>42</v>
      </c>
      <c r="W583" s="28" t="s">
        <v>54</v>
      </c>
      <c r="X583" s="21" t="n">
        <v>82244023308</v>
      </c>
      <c r="Y583" s="22" t="str">
        <f aca="false">O583</f>
        <v>QC H-Jack</v>
      </c>
      <c r="Z583" s="13" t="str">
        <f aca="false">IFERROR(__xludf.dummyfunction("if(BJ583="""","""",GOOGLETRANSLATE(BJ583,""auto"",""en""))"),"QC H-Jack")</f>
        <v>QC H-Jack</v>
      </c>
      <c r="AA583" s="23" t="str">
        <f aca="false">IF(C583="","", CHOOSE(MONTH(C583),"January","February","March","April","May","June","July","August","September","October","November","December")&amp;" "&amp;DAY(C583)&amp;MID("thstndrdth",MIN(9,2*RIGHT(DAY(C583))*(MOD(DAY(C583)-11,100)&gt;2)+1),2)&amp;","&amp;TEXT(C583," yyyy"))</f>
        <v>November 1st,2021</v>
      </c>
      <c r="AB583" s="15" t="str">
        <f aca="true">IF(S583="","",DATEDIF(S583,TODAY(),"Y")&amp;" Tahun, "&amp;DATEDIF(S583,TODAY(),"YM")&amp;" Bulan, "&amp;DATEDIF(S583,TODAY(),"MD")&amp;" Hari")</f>
        <v>28 Tahun, 8 Bulan, 12 Hari</v>
      </c>
      <c r="AC583" s="18" t="n">
        <v>45569</v>
      </c>
      <c r="AD583" s="18" t="n">
        <v>45933</v>
      </c>
      <c r="AE583" s="18" t="s">
        <v>44</v>
      </c>
    </row>
    <row r="584" customFormat="false" ht="15.75" hidden="false" customHeight="true" outlineLevel="0" collapsed="false">
      <c r="A584" s="12" t="n">
        <v>3655</v>
      </c>
      <c r="B584" s="13" t="s">
        <v>2630</v>
      </c>
      <c r="C584" s="14" t="n">
        <v>44501</v>
      </c>
      <c r="D584" s="13" t="s">
        <v>2607</v>
      </c>
      <c r="E584" s="15" t="s">
        <v>47</v>
      </c>
      <c r="F584" s="15" t="str">
        <f aca="false">IFERROR(__xludf.dummyfunction("XLOOKUP(AJ584,IMPORTRANGE(""1XaInW9DU9nz21V0tYIfzFQ0He9kVQ_JF2mCXgZ3hqFA"",""REKAP ALL 2026 - Andika!G:G""),IMPORTRANGE(""1XaInW9DU9nz21V0tYIfzFQ0He9kVQ_JF2mCXgZ3hqFA"",""REKAP ALL 2026 - Andika!F:F""),"""",0)"),"21019185012")</f>
        <v>21019185012</v>
      </c>
      <c r="G584" s="13" t="s">
        <v>2631</v>
      </c>
      <c r="H584" s="13" t="s">
        <v>35</v>
      </c>
      <c r="I584" s="13" t="str">
        <f aca="false">IF(C584=J584,"NEW KONTRAK","RE-KONTRAK")</f>
        <v>RE-KONTRAK</v>
      </c>
      <c r="J584" s="16" t="n">
        <f aca="false" t="array" ref="J584:J584">IFERROR(INDEX(AC584:AE584,IF(COUNTA(AC584:AE584)=0,"",MAX((AC584:AE584&lt;&gt;"")*(COLUMN(AC584:AE584)-(COLUMN(AC584)))))-1),"")</f>
        <v>45569</v>
      </c>
      <c r="K584" s="16" t="n">
        <f aca="false" t="array" ref="K584:K584">IFERROR(INDEX(AC584:AE584,IF(COUNTA(AC584:AE584)=0,"",MAX((AC584:AE584&lt;&gt;"")*(COLUMN(AC584:AE584)-(COLUMN(AC584)-1))))-1),"")</f>
        <v>45933</v>
      </c>
      <c r="L584" s="17" t="str">
        <f aca="false" t="array" ref="L584:L584">IFERROR(INDEX(AC584:AE584,IF(COUNTA(AC584:AE584)=0,"",MAX((AC584:AE584&lt;&gt;"")*(COLUMN(AC584:AE584)-(COLUMN(AC584)-2))))-1),"")</f>
        <v>ARCHIVED</v>
      </c>
      <c r="M584" s="13" t="n">
        <f aca="true">K584-TODAY()</f>
        <v>-391</v>
      </c>
      <c r="N584" s="18" t="s">
        <v>36</v>
      </c>
      <c r="O584" s="13" t="s">
        <v>2609</v>
      </c>
      <c r="P584" s="19" t="n">
        <v>5195401</v>
      </c>
      <c r="Q584" s="20" t="s">
        <v>2632</v>
      </c>
      <c r="R584" s="13" t="s">
        <v>148</v>
      </c>
      <c r="S584" s="14" t="n">
        <v>29433</v>
      </c>
      <c r="T584" s="13" t="s">
        <v>40</v>
      </c>
      <c r="U584" s="13" t="s">
        <v>2633</v>
      </c>
      <c r="V584" s="28" t="s">
        <v>42</v>
      </c>
      <c r="W584" s="28" t="s">
        <v>54</v>
      </c>
      <c r="X584" s="21" t="n">
        <v>85648934318</v>
      </c>
      <c r="Y584" s="22" t="str">
        <f aca="false">O584</f>
        <v>Produksi H-Jack</v>
      </c>
      <c r="Z584" s="13" t="str">
        <f aca="false">IFERROR(__xludf.dummyfunction("if(BJ584="""","""",GOOGLETRANSLATE(BJ584,""auto"",""en""))"),"H-Jack Production")</f>
        <v>H-Jack Production</v>
      </c>
      <c r="AA584" s="23" t="str">
        <f aca="false">IF(C584="","", CHOOSE(MONTH(C584),"January","February","March","April","May","June","July","August","September","October","November","December")&amp;" "&amp;DAY(C584)&amp;MID("thstndrdth",MIN(9,2*RIGHT(DAY(C584))*(MOD(DAY(C584)-11,100)&gt;2)+1),2)&amp;","&amp;TEXT(C584," yyyy"))</f>
        <v>November 1st,2021</v>
      </c>
      <c r="AB584" s="15" t="str">
        <f aca="true">IF(S584="","",DATEDIF(S584,TODAY(),"Y")&amp;" Tahun, "&amp;DATEDIF(S584,TODAY(),"YM")&amp;" Bulan, "&amp;DATEDIF(S584,TODAY(),"MD")&amp;" Hari")</f>
        <v>46 Tahun, 2 Bulan, 28 Hari</v>
      </c>
      <c r="AC584" s="18" t="n">
        <v>45569</v>
      </c>
      <c r="AD584" s="18" t="n">
        <v>45933</v>
      </c>
      <c r="AE584" s="18" t="s">
        <v>44</v>
      </c>
    </row>
    <row r="585" customFormat="false" ht="15.75" hidden="false" customHeight="true" outlineLevel="0" collapsed="false">
      <c r="A585" s="12" t="n">
        <v>3656</v>
      </c>
      <c r="B585" s="13" t="s">
        <v>2634</v>
      </c>
      <c r="C585" s="14" t="n">
        <v>44501</v>
      </c>
      <c r="D585" s="13" t="s">
        <v>2607</v>
      </c>
      <c r="E585" s="15" t="s">
        <v>47</v>
      </c>
      <c r="F585" s="15" t="str">
        <f aca="false">IFERROR(__xludf.dummyfunction("XLOOKUP(AJ585,IMPORTRANGE(""1XaInW9DU9nz21V0tYIfzFQ0He9kVQ_JF2mCXgZ3hqFA"",""REKAP ALL 2026 - Andika!G:G""),IMPORTRANGE(""1XaInW9DU9nz21V0tYIfzFQ0He9kVQ_JF2mCXgZ3hqFA"",""REKAP ALL 2026 - Andika!F:F""),"""",0)"),"21019185087")</f>
        <v>21019185087</v>
      </c>
      <c r="G585" s="13" t="s">
        <v>2635</v>
      </c>
      <c r="H585" s="13" t="s">
        <v>35</v>
      </c>
      <c r="I585" s="13" t="str">
        <f aca="false">IF(C585=J585,"NEW KONTRAK","RE-KONTRAK")</f>
        <v>RE-KONTRAK</v>
      </c>
      <c r="J585" s="16" t="n">
        <f aca="false" t="array" ref="J585:J585">IFERROR(INDEX(AC585:AE585,IF(COUNTA(AC585:AE585)=0,"",MAX((AC585:AE585&lt;&gt;"")*(COLUMN(AC585:AE585)-(COLUMN(AC585)))))-1),"")</f>
        <v>45569</v>
      </c>
      <c r="K585" s="16" t="n">
        <f aca="false" t="array" ref="K585:K585">IFERROR(INDEX(AC585:AE585,IF(COUNTA(AC585:AE585)=0,"",MAX((AC585:AE585&lt;&gt;"")*(COLUMN(AC585:AE585)-(COLUMN(AC585)-1))))-1),"")</f>
        <v>45933</v>
      </c>
      <c r="L585" s="17" t="str">
        <f aca="false" t="array" ref="L585:L585">IFERROR(INDEX(AC585:AE585,IF(COUNTA(AC585:AE585)=0,"",MAX((AC585:AE585&lt;&gt;"")*(COLUMN(AC585:AE585)-(COLUMN(AC585)-2))))-1),"")</f>
        <v>ARCHIVED</v>
      </c>
      <c r="M585" s="13" t="n">
        <f aca="true">K585-TODAY()</f>
        <v>-391</v>
      </c>
      <c r="N585" s="18" t="s">
        <v>36</v>
      </c>
      <c r="O585" s="13" t="s">
        <v>2627</v>
      </c>
      <c r="P585" s="19" t="n">
        <v>5195401</v>
      </c>
      <c r="Q585" s="20" t="s">
        <v>2636</v>
      </c>
      <c r="R585" s="13" t="s">
        <v>65</v>
      </c>
      <c r="S585" s="14" t="n">
        <v>33074</v>
      </c>
      <c r="T585" s="13" t="s">
        <v>40</v>
      </c>
      <c r="U585" s="13" t="s">
        <v>2637</v>
      </c>
      <c r="V585" s="28" t="s">
        <v>42</v>
      </c>
      <c r="W585" s="28" t="s">
        <v>54</v>
      </c>
      <c r="X585" s="21" t="n">
        <v>85804336766</v>
      </c>
      <c r="Y585" s="22" t="str">
        <f aca="false">O585</f>
        <v>QC H-Jack</v>
      </c>
      <c r="Z585" s="13" t="str">
        <f aca="false">IFERROR(__xludf.dummyfunction("if(BJ585="""","""",GOOGLETRANSLATE(BJ585,""auto"",""en""))"),"QC H-Jack")</f>
        <v>QC H-Jack</v>
      </c>
      <c r="AA585" s="23" t="str">
        <f aca="false">IF(C585="","", CHOOSE(MONTH(C585),"January","February","March","April","May","June","July","August","September","October","November","December")&amp;" "&amp;DAY(C585)&amp;MID("thstndrdth",MIN(9,2*RIGHT(DAY(C585))*(MOD(DAY(C585)-11,100)&gt;2)+1),2)&amp;","&amp;TEXT(C585," yyyy"))</f>
        <v>November 1st,2021</v>
      </c>
      <c r="AB585" s="15" t="str">
        <f aca="true">IF(S585="","",DATEDIF(S585,TODAY(),"Y")&amp;" Tahun, "&amp;DATEDIF(S585,TODAY(),"YM")&amp;" Bulan, "&amp;DATEDIF(S585,TODAY(),"MD")&amp;" Hari")</f>
        <v>36 Tahun, 3 Bulan, 9 Hari</v>
      </c>
      <c r="AC585" s="18" t="n">
        <v>45569</v>
      </c>
      <c r="AD585" s="18" t="n">
        <v>45933</v>
      </c>
      <c r="AE585" s="18" t="s">
        <v>44</v>
      </c>
    </row>
    <row r="586" customFormat="false" ht="15.75" hidden="false" customHeight="true" outlineLevel="0" collapsed="false">
      <c r="A586" s="12" t="n">
        <v>3657</v>
      </c>
      <c r="B586" s="13" t="s">
        <v>2638</v>
      </c>
      <c r="C586" s="14" t="n">
        <v>44501</v>
      </c>
      <c r="D586" s="13" t="s">
        <v>2607</v>
      </c>
      <c r="E586" s="15" t="s">
        <v>47</v>
      </c>
      <c r="F586" s="15" t="str">
        <f aca="false">IFERROR(__xludf.dummyfunction("XLOOKUP(AJ586,IMPORTRANGE(""1XaInW9DU9nz21V0tYIfzFQ0He9kVQ_JF2mCXgZ3hqFA"",""REKAP ALL 2026 - Andika!G:G""),IMPORTRANGE(""1XaInW9DU9nz21V0tYIfzFQ0He9kVQ_JF2mCXgZ3hqFA"",""REKAP ALL 2026 - Andika!F:F""),"""",0)"),"21019184866")</f>
        <v>21019184866</v>
      </c>
      <c r="G586" s="13" t="s">
        <v>2639</v>
      </c>
      <c r="H586" s="13" t="s">
        <v>35</v>
      </c>
      <c r="I586" s="13" t="str">
        <f aca="false">IF(C586=J586,"NEW KONTRAK","RE-KONTRAK")</f>
        <v>RE-KONTRAK</v>
      </c>
      <c r="J586" s="16" t="n">
        <f aca="false" t="array" ref="J586:J586">IFERROR(INDEX(AC586:AE586,IF(COUNTA(AC586:AE586)=0,"",MAX((AC586:AE586&lt;&gt;"")*(COLUMN(AC586:AE586)-(COLUMN(AC586)))))-1),"")</f>
        <v>45569</v>
      </c>
      <c r="K586" s="16" t="n">
        <f aca="false" t="array" ref="K586:K586">IFERROR(INDEX(AC586:AE586,IF(COUNTA(AC586:AE586)=0,"",MAX((AC586:AE586&lt;&gt;"")*(COLUMN(AC586:AE586)-(COLUMN(AC586)-1))))-1),"")</f>
        <v>45933</v>
      </c>
      <c r="L586" s="17" t="str">
        <f aca="false" t="array" ref="L586:L586">IFERROR(INDEX(AC586:AE586,IF(COUNTA(AC586:AE586)=0,"",MAX((AC586:AE586&lt;&gt;"")*(COLUMN(AC586:AE586)-(COLUMN(AC586)-2))))-1),"")</f>
        <v>ARCHIVED</v>
      </c>
      <c r="M586" s="13" t="n">
        <f aca="true">K586-TODAY()</f>
        <v>-391</v>
      </c>
      <c r="N586" s="18" t="s">
        <v>36</v>
      </c>
      <c r="O586" s="13" t="s">
        <v>2622</v>
      </c>
      <c r="P586" s="19" t="n">
        <v>5195401</v>
      </c>
      <c r="Q586" s="20" t="s">
        <v>2640</v>
      </c>
      <c r="R586" s="13" t="s">
        <v>39</v>
      </c>
      <c r="S586" s="14" t="n">
        <v>32591</v>
      </c>
      <c r="T586" s="13" t="s">
        <v>40</v>
      </c>
      <c r="U586" s="13" t="s">
        <v>2641</v>
      </c>
      <c r="V586" s="28" t="s">
        <v>42</v>
      </c>
      <c r="W586" s="28" t="s">
        <v>54</v>
      </c>
      <c r="X586" s="21" t="n">
        <v>8563033904</v>
      </c>
      <c r="Y586" s="22" t="str">
        <f aca="false">O586</f>
        <v>Gudang H-Jack</v>
      </c>
      <c r="Z586" s="13" t="str">
        <f aca="false">IFERROR(__xludf.dummyfunction("if(BJ586="""","""",GOOGLETRANSLATE(BJ586,""auto"",""en""))"),"Gudang H-Jack")</f>
        <v>Gudang H-Jack</v>
      </c>
      <c r="AA586" s="23" t="str">
        <f aca="false">IF(C586="","", CHOOSE(MONTH(C586),"January","February","March","April","May","June","July","August","September","October","November","December")&amp;" "&amp;DAY(C586)&amp;MID("thstndrdth",MIN(9,2*RIGHT(DAY(C586))*(MOD(DAY(C586)-11,100)&gt;2)+1),2)&amp;","&amp;TEXT(C586," yyyy"))</f>
        <v>November 1st,2021</v>
      </c>
      <c r="AB586" s="15" t="str">
        <f aca="true">IF(S586="","",DATEDIF(S586,TODAY(),"Y")&amp;" Tahun, "&amp;DATEDIF(S586,TODAY(),"YM")&amp;" Bulan, "&amp;DATEDIF(S586,TODAY(),"MD")&amp;" Hari")</f>
        <v>37 Tahun, 7 Bulan, 5 Hari</v>
      </c>
      <c r="AC586" s="18" t="n">
        <v>45569</v>
      </c>
      <c r="AD586" s="18" t="n">
        <v>45933</v>
      </c>
      <c r="AE586" s="18" t="s">
        <v>44</v>
      </c>
    </row>
    <row r="587" customFormat="false" ht="15.75" hidden="false" customHeight="true" outlineLevel="0" collapsed="false">
      <c r="A587" s="12" t="n">
        <v>3658</v>
      </c>
      <c r="B587" s="13" t="s">
        <v>2642</v>
      </c>
      <c r="C587" s="14" t="n">
        <v>44501</v>
      </c>
      <c r="D587" s="13" t="s">
        <v>2607</v>
      </c>
      <c r="E587" s="15" t="s">
        <v>47</v>
      </c>
      <c r="F587" s="15" t="str">
        <f aca="false">IFERROR(__xludf.dummyfunction("XLOOKUP(AJ587,IMPORTRANGE(""1XaInW9DU9nz21V0tYIfzFQ0He9kVQ_JF2mCXgZ3hqFA"",""REKAP ALL 2026 - Andika!G:G""),IMPORTRANGE(""1XaInW9DU9nz21V0tYIfzFQ0He9kVQ_JF2mCXgZ3hqFA"",""REKAP ALL 2026 - Andika!F:F""),"""",0)"),"21019185095")</f>
        <v>21019185095</v>
      </c>
      <c r="G587" s="13" t="s">
        <v>2643</v>
      </c>
      <c r="H587" s="13" t="s">
        <v>35</v>
      </c>
      <c r="I587" s="13" t="str">
        <f aca="false">IF(C587=J587,"NEW KONTRAK","RE-KONTRAK")</f>
        <v>RE-KONTRAK</v>
      </c>
      <c r="J587" s="16" t="n">
        <f aca="false" t="array" ref="J587:J587">IFERROR(INDEX(AC587:AE587,IF(COUNTA(AC587:AE587)=0,"",MAX((AC587:AE587&lt;&gt;"")*(COLUMN(AC587:AE587)-(COLUMN(AC587)))))-1),"")</f>
        <v>45569</v>
      </c>
      <c r="K587" s="16" t="n">
        <f aca="false" t="array" ref="K587:K587">IFERROR(INDEX(AC587:AE587,IF(COUNTA(AC587:AE587)=0,"",MAX((AC587:AE587&lt;&gt;"")*(COLUMN(AC587:AE587)-(COLUMN(AC587)-1))))-1),"")</f>
        <v>45933</v>
      </c>
      <c r="L587" s="17" t="str">
        <f aca="false" t="array" ref="L587:L587">IFERROR(INDEX(AC587:AE587,IF(COUNTA(AC587:AE587)=0,"",MAX((AC587:AE587&lt;&gt;"")*(COLUMN(AC587:AE587)-(COLUMN(AC587)-2))))-1),"")</f>
        <v>ARCHIVED</v>
      </c>
      <c r="M587" s="13" t="n">
        <f aca="true">K587-TODAY()</f>
        <v>-391</v>
      </c>
      <c r="N587" s="18" t="s">
        <v>36</v>
      </c>
      <c r="O587" s="13" t="s">
        <v>2609</v>
      </c>
      <c r="P587" s="19" t="n">
        <v>5195401</v>
      </c>
      <c r="Q587" s="20" t="s">
        <v>2644</v>
      </c>
      <c r="R587" s="13" t="s">
        <v>73</v>
      </c>
      <c r="S587" s="14" t="n">
        <v>31590</v>
      </c>
      <c r="T587" s="13" t="s">
        <v>40</v>
      </c>
      <c r="U587" s="13" t="s">
        <v>2645</v>
      </c>
      <c r="V587" s="28" t="s">
        <v>42</v>
      </c>
      <c r="W587" s="28" t="s">
        <v>54</v>
      </c>
      <c r="X587" s="21" t="n">
        <v>85816383996</v>
      </c>
      <c r="Y587" s="22" t="str">
        <f aca="false">O587</f>
        <v>Produksi H-Jack</v>
      </c>
      <c r="Z587" s="13" t="str">
        <f aca="false">IFERROR(__xludf.dummyfunction("if(BJ587="""","""",GOOGLETRANSLATE(BJ587,""auto"",""en""))"),"H-Jack Production")</f>
        <v>H-Jack Production</v>
      </c>
      <c r="AA587" s="23" t="str">
        <f aca="false">IF(C587="","", CHOOSE(MONTH(C587),"January","February","March","April","May","June","July","August","September","October","November","December")&amp;" "&amp;DAY(C587)&amp;MID("thstndrdth",MIN(9,2*RIGHT(DAY(C587))*(MOD(DAY(C587)-11,100)&gt;2)+1),2)&amp;","&amp;TEXT(C587," yyyy"))</f>
        <v>November 1st,2021</v>
      </c>
      <c r="AB587" s="15" t="str">
        <f aca="true">IF(S587="","",DATEDIF(S587,TODAY(),"Y")&amp;" Tahun, "&amp;DATEDIF(S587,TODAY(),"YM")&amp;" Bulan, "&amp;DATEDIF(S587,TODAY(),"MD")&amp;" Hari")</f>
        <v>40 Tahun, 4 Bulan, 2 Hari</v>
      </c>
      <c r="AC587" s="18" t="n">
        <v>45569</v>
      </c>
      <c r="AD587" s="18" t="n">
        <v>45933</v>
      </c>
      <c r="AE587" s="18" t="s">
        <v>44</v>
      </c>
    </row>
    <row r="588" customFormat="false" ht="15.75" hidden="false" customHeight="true" outlineLevel="0" collapsed="false">
      <c r="A588" s="12" t="n">
        <v>3659</v>
      </c>
      <c r="B588" s="13" t="s">
        <v>2646</v>
      </c>
      <c r="C588" s="14" t="n">
        <v>44501</v>
      </c>
      <c r="D588" s="13" t="s">
        <v>2607</v>
      </c>
      <c r="E588" s="15" t="s">
        <v>47</v>
      </c>
      <c r="F588" s="15" t="str">
        <f aca="false">IFERROR(__xludf.dummyfunction("XLOOKUP(AJ588,IMPORTRANGE(""1XaInW9DU9nz21V0tYIfzFQ0He9kVQ_JF2mCXgZ3hqFA"",""REKAP ALL 2026 - Andika!G:G""),IMPORTRANGE(""1XaInW9DU9nz21V0tYIfzFQ0He9kVQ_JF2mCXgZ3hqFA"",""REKAP ALL 2026 - Andika!F:F""),"""",0)"),"21019184924")</f>
        <v>21019184924</v>
      </c>
      <c r="G588" s="13" t="s">
        <v>2647</v>
      </c>
      <c r="H588" s="13" t="s">
        <v>35</v>
      </c>
      <c r="I588" s="13" t="str">
        <f aca="false">IF(C588=J588,"NEW KONTRAK","RE-KONTRAK")</f>
        <v>RE-KONTRAK</v>
      </c>
      <c r="J588" s="16" t="n">
        <f aca="false" t="array" ref="J588:J588">IFERROR(INDEX(AC588:AE588,IF(COUNTA(AC588:AE588)=0,"",MAX((AC588:AE588&lt;&gt;"")*(COLUMN(AC588:AE588)-(COLUMN(AC588)))))-1),"")</f>
        <v>45569</v>
      </c>
      <c r="K588" s="16" t="n">
        <f aca="false" t="array" ref="K588:K588">IFERROR(INDEX(AC588:AE588,IF(COUNTA(AC588:AE588)=0,"",MAX((AC588:AE588&lt;&gt;"")*(COLUMN(AC588:AE588)-(COLUMN(AC588)-1))))-1),"")</f>
        <v>45933</v>
      </c>
      <c r="L588" s="17" t="str">
        <f aca="false" t="array" ref="L588:L588">IFERROR(INDEX(AC588:AE588,IF(COUNTA(AC588:AE588)=0,"",MAX((AC588:AE588&lt;&gt;"")*(COLUMN(AC588:AE588)-(COLUMN(AC588)-2))))-1),"")</f>
        <v>ARCHIVED</v>
      </c>
      <c r="M588" s="13" t="n">
        <f aca="true">K588-TODAY()</f>
        <v>-391</v>
      </c>
      <c r="N588" s="18" t="s">
        <v>36</v>
      </c>
      <c r="O588" s="13" t="s">
        <v>2627</v>
      </c>
      <c r="P588" s="19" t="n">
        <v>5195401</v>
      </c>
      <c r="Q588" s="20" t="s">
        <v>2648</v>
      </c>
      <c r="R588" s="13" t="s">
        <v>39</v>
      </c>
      <c r="S588" s="14" t="n">
        <v>31424</v>
      </c>
      <c r="T588" s="13" t="s">
        <v>40</v>
      </c>
      <c r="U588" s="13" t="s">
        <v>2649</v>
      </c>
      <c r="V588" s="28" t="s">
        <v>42</v>
      </c>
      <c r="W588" s="28" t="s">
        <v>54</v>
      </c>
      <c r="X588" s="21" t="n">
        <v>85850766967</v>
      </c>
      <c r="Y588" s="22" t="str">
        <f aca="false">O588</f>
        <v>QC H-Jack</v>
      </c>
      <c r="Z588" s="13" t="str">
        <f aca="false">IFERROR(__xludf.dummyfunction("if(BJ588="""","""",GOOGLETRANSLATE(BJ588,""auto"",""en""))"),"QC H-Jack")</f>
        <v>QC H-Jack</v>
      </c>
      <c r="AA588" s="23" t="str">
        <f aca="false">IF(C588="","", CHOOSE(MONTH(C588),"January","February","March","April","May","June","July","August","September","October","November","December")&amp;" "&amp;DAY(C588)&amp;MID("thstndrdth",MIN(9,2*RIGHT(DAY(C588))*(MOD(DAY(C588)-11,100)&gt;2)+1),2)&amp;","&amp;TEXT(C588," yyyy"))</f>
        <v>November 1st,2021</v>
      </c>
      <c r="AB588" s="15" t="str">
        <f aca="true">IF(S588="","",DATEDIF(S588,TODAY(),"Y")&amp;" Tahun, "&amp;DATEDIF(S588,TODAY(),"YM")&amp;" Bulan, "&amp;DATEDIF(S588,TODAY(),"MD")&amp;" Hari")</f>
        <v>40 Tahun, 9 Bulan, 17 Hari</v>
      </c>
      <c r="AC588" s="18" t="n">
        <v>45569</v>
      </c>
      <c r="AD588" s="18" t="n">
        <v>45933</v>
      </c>
      <c r="AE588" s="18" t="s">
        <v>44</v>
      </c>
    </row>
    <row r="589" customFormat="false" ht="15.75" hidden="false" customHeight="true" outlineLevel="0" collapsed="false">
      <c r="A589" s="12" t="n">
        <v>3660</v>
      </c>
      <c r="B589" s="13" t="s">
        <v>2650</v>
      </c>
      <c r="C589" s="14" t="n">
        <v>44501</v>
      </c>
      <c r="D589" s="13" t="s">
        <v>2607</v>
      </c>
      <c r="E589" s="15" t="s">
        <v>47</v>
      </c>
      <c r="F589" s="15" t="str">
        <f aca="false">IFERROR(__xludf.dummyfunction("XLOOKUP(AJ589,IMPORTRANGE(""1XaInW9DU9nz21V0tYIfzFQ0He9kVQ_JF2mCXgZ3hqFA"",""REKAP ALL 2026 - Andika!G:G""),IMPORTRANGE(""1XaInW9DU9nz21V0tYIfzFQ0He9kVQ_JF2mCXgZ3hqFA"",""REKAP ALL 2026 - Andika!F:F""),"""",0)"),"21019185145")</f>
        <v>21019185145</v>
      </c>
      <c r="G589" s="13" t="s">
        <v>2651</v>
      </c>
      <c r="H589" s="13" t="s">
        <v>35</v>
      </c>
      <c r="I589" s="13" t="str">
        <f aca="false">IF(C589=J589,"NEW KONTRAK","RE-KONTRAK")</f>
        <v>RE-KONTRAK</v>
      </c>
      <c r="J589" s="16" t="n">
        <f aca="false" t="array" ref="J589:J589">IFERROR(INDEX(AC589:AE589,IF(COUNTA(AC589:AE589)=0,"",MAX((AC589:AE589&lt;&gt;"")*(COLUMN(AC589:AE589)-(COLUMN(AC589)))))-1),"")</f>
        <v>45569</v>
      </c>
      <c r="K589" s="16" t="n">
        <f aca="false" t="array" ref="K589:K589">IFERROR(INDEX(AC589:AE589,IF(COUNTA(AC589:AE589)=0,"",MAX((AC589:AE589&lt;&gt;"")*(COLUMN(AC589:AE589)-(COLUMN(AC589)-1))))-1),"")</f>
        <v>45933</v>
      </c>
      <c r="L589" s="17" t="str">
        <f aca="false" t="array" ref="L589:L589">IFERROR(INDEX(AC589:AE589,IF(COUNTA(AC589:AE589)=0,"",MAX((AC589:AE589&lt;&gt;"")*(COLUMN(AC589:AE589)-(COLUMN(AC589)-2))))-1),"")</f>
        <v>ARCHIVED</v>
      </c>
      <c r="M589" s="13" t="n">
        <f aca="true">K589-TODAY()</f>
        <v>-391</v>
      </c>
      <c r="N589" s="18" t="s">
        <v>36</v>
      </c>
      <c r="O589" s="13" t="s">
        <v>2652</v>
      </c>
      <c r="P589" s="19" t="n">
        <v>5195401</v>
      </c>
      <c r="Q589" s="20" t="s">
        <v>2653</v>
      </c>
      <c r="R589" s="13" t="s">
        <v>879</v>
      </c>
      <c r="S589" s="14" t="n">
        <v>30859</v>
      </c>
      <c r="T589" s="13" t="s">
        <v>108</v>
      </c>
      <c r="U589" s="13" t="s">
        <v>2654</v>
      </c>
      <c r="V589" s="28" t="s">
        <v>42</v>
      </c>
      <c r="W589" s="28" t="s">
        <v>54</v>
      </c>
      <c r="X589" s="21" t="n">
        <v>85731696355</v>
      </c>
      <c r="Y589" s="22" t="str">
        <f aca="false">O589</f>
        <v>QC Wiper</v>
      </c>
      <c r="Z589" s="13" t="str">
        <f aca="false">IFERROR(__xludf.dummyfunction("if(BJ589="""","""",GOOGLETRANSLATE(BJ589,""auto"",""en""))"),"QC Wiper")</f>
        <v>QC Wiper</v>
      </c>
      <c r="AA589" s="23" t="str">
        <f aca="false">IF(C589="","", CHOOSE(MONTH(C589),"January","February","March","April","May","June","July","August","September","October","November","December")&amp;" "&amp;DAY(C589)&amp;MID("thstndrdth",MIN(9,2*RIGHT(DAY(C589))*(MOD(DAY(C589)-11,100)&gt;2)+1),2)&amp;","&amp;TEXT(C589," yyyy"))</f>
        <v>November 1st,2021</v>
      </c>
      <c r="AB589" s="15" t="str">
        <f aca="true">IF(S589="","",DATEDIF(S589,TODAY(),"Y")&amp;" Tahun, "&amp;DATEDIF(S589,TODAY(),"YM")&amp;" Bulan, "&amp;DATEDIF(S589,TODAY(),"MD")&amp;" Hari")</f>
        <v>42 Tahun, 4 Bulan, 3 Hari</v>
      </c>
      <c r="AC589" s="18" t="n">
        <v>45569</v>
      </c>
      <c r="AD589" s="18" t="n">
        <v>45933</v>
      </c>
      <c r="AE589" s="18" t="s">
        <v>44</v>
      </c>
    </row>
    <row r="590" customFormat="false" ht="15.75" hidden="false" customHeight="true" outlineLevel="0" collapsed="false">
      <c r="A590" s="12" t="n">
        <v>3661</v>
      </c>
      <c r="B590" s="13" t="s">
        <v>2655</v>
      </c>
      <c r="C590" s="14" t="n">
        <v>44501</v>
      </c>
      <c r="D590" s="13" t="s">
        <v>2607</v>
      </c>
      <c r="E590" s="15" t="s">
        <v>47</v>
      </c>
      <c r="F590" s="15" t="str">
        <f aca="false">IFERROR(__xludf.dummyfunction("XLOOKUP(AJ590,IMPORTRANGE(""1XaInW9DU9nz21V0tYIfzFQ0He9kVQ_JF2mCXgZ3hqFA"",""REKAP ALL 2026 - Andika!G:G""),IMPORTRANGE(""1XaInW9DU9nz21V0tYIfzFQ0He9kVQ_JF2mCXgZ3hqFA"",""REKAP ALL 2026 - Andika!F:F""),"""",0)"),"21019184981")</f>
        <v>21019184981</v>
      </c>
      <c r="G590" s="13" t="s">
        <v>2656</v>
      </c>
      <c r="H590" s="13" t="s">
        <v>35</v>
      </c>
      <c r="I590" s="13" t="str">
        <f aca="false">IF(C590=J590,"NEW KONTRAK","RE-KONTRAK")</f>
        <v>RE-KONTRAK</v>
      </c>
      <c r="J590" s="16" t="n">
        <f aca="false" t="array" ref="J590:J590">IFERROR(INDEX(AC590:AE590,IF(COUNTA(AC590:AE590)=0,"",MAX((AC590:AE590&lt;&gt;"")*(COLUMN(AC590:AE590)-(COLUMN(AC590)))))-1),"")</f>
        <v>45569</v>
      </c>
      <c r="K590" s="16" t="n">
        <f aca="false" t="array" ref="K590:K590">IFERROR(INDEX(AC590:AE590,IF(COUNTA(AC590:AE590)=0,"",MAX((AC590:AE590&lt;&gt;"")*(COLUMN(AC590:AE590)-(COLUMN(AC590)-1))))-1),"")</f>
        <v>45933</v>
      </c>
      <c r="L590" s="17" t="str">
        <f aca="false" t="array" ref="L590:L590">IFERROR(INDEX(AC590:AE590,IF(COUNTA(AC590:AE590)=0,"",MAX((AC590:AE590&lt;&gt;"")*(COLUMN(AC590:AE590)-(COLUMN(AC590)-2))))-1),"")</f>
        <v>ARCHIVED</v>
      </c>
      <c r="M590" s="13" t="n">
        <f aca="true">K590-TODAY()</f>
        <v>-391</v>
      </c>
      <c r="N590" s="18" t="s">
        <v>36</v>
      </c>
      <c r="O590" s="13" t="s">
        <v>2609</v>
      </c>
      <c r="P590" s="19" t="n">
        <v>5195401</v>
      </c>
      <c r="Q590" s="20" t="s">
        <v>2657</v>
      </c>
      <c r="R590" s="13" t="s">
        <v>65</v>
      </c>
      <c r="S590" s="14" t="n">
        <v>30749</v>
      </c>
      <c r="T590" s="13" t="s">
        <v>40</v>
      </c>
      <c r="U590" s="13" t="s">
        <v>2658</v>
      </c>
      <c r="V590" s="28" t="s">
        <v>42</v>
      </c>
      <c r="W590" s="28" t="s">
        <v>54</v>
      </c>
      <c r="X590" s="21" t="n">
        <v>89530304090</v>
      </c>
      <c r="Y590" s="22" t="str">
        <f aca="false">O590</f>
        <v>Produksi H-Jack</v>
      </c>
      <c r="Z590" s="13" t="str">
        <f aca="false">IFERROR(__xludf.dummyfunction("if(BJ590="""","""",GOOGLETRANSLATE(BJ590,""auto"",""en""))"),"H-Jack Production")</f>
        <v>H-Jack Production</v>
      </c>
      <c r="AA590" s="23" t="str">
        <f aca="false">IF(C590="","", CHOOSE(MONTH(C590),"January","February","March","April","May","June","July","August","September","October","November","December")&amp;" "&amp;DAY(C590)&amp;MID("thstndrdth",MIN(9,2*RIGHT(DAY(C590))*(MOD(DAY(C590)-11,100)&gt;2)+1),2)&amp;","&amp;TEXT(C590," yyyy"))</f>
        <v>November 1st,2021</v>
      </c>
      <c r="AB590" s="15" t="str">
        <f aca="true">IF(S590="","",DATEDIF(S590,TODAY(),"Y")&amp;" Tahun, "&amp;DATEDIF(S590,TODAY(),"YM")&amp;" Bulan, "&amp;DATEDIF(S590,TODAY(),"MD")&amp;" Hari")</f>
        <v>42 Tahun, 7 Bulan, 21 Hari</v>
      </c>
      <c r="AC590" s="18" t="n">
        <v>45569</v>
      </c>
      <c r="AD590" s="18" t="n">
        <v>45933</v>
      </c>
      <c r="AE590" s="18" t="s">
        <v>44</v>
      </c>
    </row>
    <row r="591" customFormat="false" ht="15.75" hidden="false" customHeight="true" outlineLevel="0" collapsed="false">
      <c r="A591" s="12" t="n">
        <v>3662</v>
      </c>
      <c r="B591" s="13" t="s">
        <v>2659</v>
      </c>
      <c r="C591" s="14" t="n">
        <v>44501</v>
      </c>
      <c r="D591" s="13" t="s">
        <v>2607</v>
      </c>
      <c r="E591" s="15" t="s">
        <v>47</v>
      </c>
      <c r="F591" s="15" t="str">
        <f aca="false">IFERROR(__xludf.dummyfunction("XLOOKUP(AJ591,IMPORTRANGE(""1XaInW9DU9nz21V0tYIfzFQ0He9kVQ_JF2mCXgZ3hqFA"",""REKAP ALL 2026 - Andika!G:G""),IMPORTRANGE(""1XaInW9DU9nz21V0tYIfzFQ0He9kVQ_JF2mCXgZ3hqFA"",""REKAP ALL 2026 - Andika!F:F""),"""",0)"),"21019185129")</f>
        <v>21019185129</v>
      </c>
      <c r="G591" s="13" t="s">
        <v>2660</v>
      </c>
      <c r="H591" s="13" t="s">
        <v>35</v>
      </c>
      <c r="I591" s="13" t="str">
        <f aca="false">IF(C591=J591,"NEW KONTRAK","RE-KONTRAK")</f>
        <v>RE-KONTRAK</v>
      </c>
      <c r="J591" s="16" t="n">
        <f aca="false" t="array" ref="J591:J591">IFERROR(INDEX(AC591:AE591,IF(COUNTA(AC591:AE591)=0,"",MAX((AC591:AE591&lt;&gt;"")*(COLUMN(AC591:AE591)-(COLUMN(AC591)))))-1),"")</f>
        <v>45569</v>
      </c>
      <c r="K591" s="16" t="n">
        <f aca="false" t="array" ref="K591:K591">IFERROR(INDEX(AC591:AE591,IF(COUNTA(AC591:AE591)=0,"",MAX((AC591:AE591&lt;&gt;"")*(COLUMN(AC591:AE591)-(COLUMN(AC591)-1))))-1),"")</f>
        <v>45933</v>
      </c>
      <c r="L591" s="17" t="str">
        <f aca="false" t="array" ref="L591:L591">IFERROR(INDEX(AC591:AE591,IF(COUNTA(AC591:AE591)=0,"",MAX((AC591:AE591&lt;&gt;"")*(COLUMN(AC591:AE591)-(COLUMN(AC591)-2))))-1),"")</f>
        <v>ARCHIVED</v>
      </c>
      <c r="M591" s="13" t="n">
        <f aca="true">K591-TODAY()</f>
        <v>-391</v>
      </c>
      <c r="N591" s="18" t="s">
        <v>36</v>
      </c>
      <c r="O591" s="13" t="s">
        <v>2609</v>
      </c>
      <c r="P591" s="19" t="n">
        <v>5195401</v>
      </c>
      <c r="Q591" s="20" t="s">
        <v>2661</v>
      </c>
      <c r="R591" s="13" t="s">
        <v>39</v>
      </c>
      <c r="S591" s="14" t="n">
        <v>32195</v>
      </c>
      <c r="T591" s="13" t="s">
        <v>40</v>
      </c>
      <c r="U591" s="13" t="s">
        <v>2662</v>
      </c>
      <c r="V591" s="28" t="s">
        <v>42</v>
      </c>
      <c r="W591" s="28" t="s">
        <v>54</v>
      </c>
      <c r="X591" s="21" t="n">
        <v>85731586440</v>
      </c>
      <c r="Y591" s="22" t="str">
        <f aca="false">O591</f>
        <v>Produksi H-Jack</v>
      </c>
      <c r="Z591" s="13" t="str">
        <f aca="false">IFERROR(__xludf.dummyfunction("if(BJ591="""","""",GOOGLETRANSLATE(BJ591,""auto"",""en""))"),"H-Jack Production")</f>
        <v>H-Jack Production</v>
      </c>
      <c r="AA591" s="23" t="str">
        <f aca="false">IF(C591="","", CHOOSE(MONTH(C591),"January","February","March","April","May","June","July","August","September","October","November","December")&amp;" "&amp;DAY(C591)&amp;MID("thstndrdth",MIN(9,2*RIGHT(DAY(C591))*(MOD(DAY(C591)-11,100)&gt;2)+1),2)&amp;","&amp;TEXT(C591," yyyy"))</f>
        <v>November 1st,2021</v>
      </c>
      <c r="AB591" s="15" t="str">
        <f aca="true">IF(S591="","",DATEDIF(S591,TODAY(),"Y")&amp;" Tahun, "&amp;DATEDIF(S591,TODAY(),"YM")&amp;" Bulan, "&amp;DATEDIF(S591,TODAY(),"MD")&amp;" Hari")</f>
        <v>38 Tahun, 8 Bulan, 7 Hari</v>
      </c>
      <c r="AC591" s="18" t="n">
        <v>45569</v>
      </c>
      <c r="AD591" s="18" t="n">
        <v>45933</v>
      </c>
      <c r="AE591" s="18" t="s">
        <v>44</v>
      </c>
    </row>
    <row r="592" customFormat="false" ht="15.75" hidden="false" customHeight="true" outlineLevel="0" collapsed="false">
      <c r="A592" s="12" t="n">
        <v>3663</v>
      </c>
      <c r="B592" s="13" t="s">
        <v>2663</v>
      </c>
      <c r="C592" s="14" t="n">
        <v>44501</v>
      </c>
      <c r="D592" s="13" t="s">
        <v>2607</v>
      </c>
      <c r="E592" s="15" t="s">
        <v>47</v>
      </c>
      <c r="F592" s="15" t="str">
        <f aca="false">IFERROR(__xludf.dummyfunction("XLOOKUP(AJ592,IMPORTRANGE(""1XaInW9DU9nz21V0tYIfzFQ0He9kVQ_JF2mCXgZ3hqFA"",""REKAP ALL 2026 - Andika!G:G""),IMPORTRANGE(""1XaInW9DU9nz21V0tYIfzFQ0He9kVQ_JF2mCXgZ3hqFA"",""REKAP ALL 2026 - Andika!F:F""),"""",0)"),"21019184973")</f>
        <v>21019184973</v>
      </c>
      <c r="G592" s="13" t="s">
        <v>2664</v>
      </c>
      <c r="H592" s="13" t="s">
        <v>35</v>
      </c>
      <c r="I592" s="13" t="str">
        <f aca="false">IF(C592=J592,"NEW KONTRAK","RE-KONTRAK")</f>
        <v>RE-KONTRAK</v>
      </c>
      <c r="J592" s="16" t="n">
        <f aca="false" t="array" ref="J592:J592">IFERROR(INDEX(AC592:AE592,IF(COUNTA(AC592:AE592)=0,"",MAX((AC592:AE592&lt;&gt;"")*(COLUMN(AC592:AE592)-(COLUMN(AC592)))))-1),"")</f>
        <v>45569</v>
      </c>
      <c r="K592" s="16" t="n">
        <f aca="false" t="array" ref="K592:K592">IFERROR(INDEX(AC592:AE592,IF(COUNTA(AC592:AE592)=0,"",MAX((AC592:AE592&lt;&gt;"")*(COLUMN(AC592:AE592)-(COLUMN(AC592)-1))))-1),"")</f>
        <v>45933</v>
      </c>
      <c r="L592" s="17" t="str">
        <f aca="false" t="array" ref="L592:L592">IFERROR(INDEX(AC592:AE592,IF(COUNTA(AC592:AE592)=0,"",MAX((AC592:AE592&lt;&gt;"")*(COLUMN(AC592:AE592)-(COLUMN(AC592)-2))))-1),"")</f>
        <v>ARCHIVED</v>
      </c>
      <c r="M592" s="13" t="n">
        <f aca="true">K592-TODAY()</f>
        <v>-391</v>
      </c>
      <c r="N592" s="18" t="s">
        <v>36</v>
      </c>
      <c r="O592" s="13" t="s">
        <v>2609</v>
      </c>
      <c r="P592" s="19" t="n">
        <v>5195401</v>
      </c>
      <c r="Q592" s="20" t="s">
        <v>2665</v>
      </c>
      <c r="R592" s="13" t="s">
        <v>65</v>
      </c>
      <c r="S592" s="14" t="n">
        <v>30151</v>
      </c>
      <c r="T592" s="13" t="s">
        <v>40</v>
      </c>
      <c r="U592" s="13" t="s">
        <v>2666</v>
      </c>
      <c r="V592" s="28" t="s">
        <v>42</v>
      </c>
      <c r="W592" s="28" t="s">
        <v>54</v>
      </c>
      <c r="X592" s="21" t="n">
        <v>82234582659</v>
      </c>
      <c r="Y592" s="22" t="str">
        <f aca="false">O592</f>
        <v>Produksi H-Jack</v>
      </c>
      <c r="Z592" s="13" t="str">
        <f aca="false">IFERROR(__xludf.dummyfunction("if(BJ592="""","""",GOOGLETRANSLATE(BJ592,""auto"",""en""))"),"H-Jack Production")</f>
        <v>H-Jack Production</v>
      </c>
      <c r="AA592" s="23" t="str">
        <f aca="false">IF(C592="","", CHOOSE(MONTH(C592),"January","February","March","April","May","June","July","August","September","October","November","December")&amp;" "&amp;DAY(C592)&amp;MID("thstndrdth",MIN(9,2*RIGHT(DAY(C592))*(MOD(DAY(C592)-11,100)&gt;2)+1),2)&amp;","&amp;TEXT(C592," yyyy"))</f>
        <v>November 1st,2021</v>
      </c>
      <c r="AB592" s="15" t="str">
        <f aca="true">IF(S592="","",DATEDIF(S592,TODAY(),"Y")&amp;" Tahun, "&amp;DATEDIF(S592,TODAY(),"YM")&amp;" Bulan, "&amp;DATEDIF(S592,TODAY(),"MD")&amp;" Hari")</f>
        <v>44 Tahun, 3 Bulan, 10 Hari</v>
      </c>
      <c r="AC592" s="18" t="n">
        <v>45569</v>
      </c>
      <c r="AD592" s="18" t="n">
        <v>45933</v>
      </c>
      <c r="AE592" s="18" t="s">
        <v>44</v>
      </c>
    </row>
    <row r="593" customFormat="false" ht="15.75" hidden="false" customHeight="true" outlineLevel="0" collapsed="false">
      <c r="A593" s="12" t="n">
        <v>3664</v>
      </c>
      <c r="B593" s="13" t="s">
        <v>2667</v>
      </c>
      <c r="C593" s="14" t="n">
        <v>44501</v>
      </c>
      <c r="D593" s="13" t="s">
        <v>2607</v>
      </c>
      <c r="E593" s="15" t="s">
        <v>47</v>
      </c>
      <c r="F593" s="15" t="str">
        <f aca="false">IFERROR(__xludf.dummyfunction("XLOOKUP(AJ593,IMPORTRANGE(""1XaInW9DU9nz21V0tYIfzFQ0He9kVQ_JF2mCXgZ3hqFA"",""REKAP ALL 2026 - Andika!G:G""),IMPORTRANGE(""1XaInW9DU9nz21V0tYIfzFQ0He9kVQ_JF2mCXgZ3hqFA"",""REKAP ALL 2026 - Andika!F:F""),"""",0)"),"21019184916")</f>
        <v>21019184916</v>
      </c>
      <c r="G593" s="13" t="s">
        <v>2668</v>
      </c>
      <c r="H593" s="13" t="s">
        <v>35</v>
      </c>
      <c r="I593" s="13" t="str">
        <f aca="false">IF(C593=J593,"NEW KONTRAK","RE-KONTRAK")</f>
        <v>RE-KONTRAK</v>
      </c>
      <c r="J593" s="16" t="n">
        <f aca="false" t="array" ref="J593:J593">IFERROR(INDEX(AC593:AE593,IF(COUNTA(AC593:AE593)=0,"",MAX((AC593:AE593&lt;&gt;"")*(COLUMN(AC593:AE593)-(COLUMN(AC593)))))-1),"")</f>
        <v>45569</v>
      </c>
      <c r="K593" s="16" t="n">
        <f aca="false" t="array" ref="K593:K593">IFERROR(INDEX(AC593:AE593,IF(COUNTA(AC593:AE593)=0,"",MAX((AC593:AE593&lt;&gt;"")*(COLUMN(AC593:AE593)-(COLUMN(AC593)-1))))-1),"")</f>
        <v>45933</v>
      </c>
      <c r="L593" s="17" t="str">
        <f aca="false" t="array" ref="L593:L593">IFERROR(INDEX(AC593:AE593,IF(COUNTA(AC593:AE593)=0,"",MAX((AC593:AE593&lt;&gt;"")*(COLUMN(AC593:AE593)-(COLUMN(AC593)-2))))-1),"")</f>
        <v>ARCHIVED</v>
      </c>
      <c r="M593" s="13" t="n">
        <f aca="true">K593-TODAY()</f>
        <v>-391</v>
      </c>
      <c r="N593" s="18" t="s">
        <v>36</v>
      </c>
      <c r="O593" s="13" t="s">
        <v>2627</v>
      </c>
      <c r="P593" s="19" t="n">
        <v>5195401</v>
      </c>
      <c r="Q593" s="20" t="s">
        <v>2669</v>
      </c>
      <c r="R593" s="13" t="s">
        <v>65</v>
      </c>
      <c r="S593" s="14" t="n">
        <v>32970</v>
      </c>
      <c r="T593" s="13" t="s">
        <v>40</v>
      </c>
      <c r="U593" s="13" t="s">
        <v>2670</v>
      </c>
      <c r="V593" s="28" t="s">
        <v>42</v>
      </c>
      <c r="W593" s="28" t="s">
        <v>54</v>
      </c>
      <c r="X593" s="21" t="n">
        <v>89665061598</v>
      </c>
      <c r="Y593" s="22" t="str">
        <f aca="false">O593</f>
        <v>QC H-Jack</v>
      </c>
      <c r="Z593" s="13" t="str">
        <f aca="false">IFERROR(__xludf.dummyfunction("if(BJ593="""","""",GOOGLETRANSLATE(BJ593,""auto"",""en""))"),"QC H-Jack")</f>
        <v>QC H-Jack</v>
      </c>
      <c r="AA593" s="23" t="str">
        <f aca="false">IF(C593="","", CHOOSE(MONTH(C593),"January","February","March","April","May","June","July","August","September","October","November","December")&amp;" "&amp;DAY(C593)&amp;MID("thstndrdth",MIN(9,2*RIGHT(DAY(C593))*(MOD(DAY(C593)-11,100)&gt;2)+1),2)&amp;","&amp;TEXT(C593," yyyy"))</f>
        <v>November 1st,2021</v>
      </c>
      <c r="AB593" s="15" t="str">
        <f aca="true">IF(S593="","",DATEDIF(S593,TODAY(),"Y")&amp;" Tahun, "&amp;DATEDIF(S593,TODAY(),"YM")&amp;" Bulan, "&amp;DATEDIF(S593,TODAY(),"MD")&amp;" Hari")</f>
        <v>36 Tahun, 6 Bulan, 22 Hari</v>
      </c>
      <c r="AC593" s="18" t="n">
        <v>45569</v>
      </c>
      <c r="AD593" s="18" t="n">
        <v>45933</v>
      </c>
      <c r="AE593" s="18" t="s">
        <v>44</v>
      </c>
    </row>
    <row r="594" customFormat="false" ht="15.75" hidden="false" customHeight="true" outlineLevel="0" collapsed="false">
      <c r="A594" s="12" t="n">
        <v>3665</v>
      </c>
      <c r="B594" s="13" t="s">
        <v>2671</v>
      </c>
      <c r="C594" s="14" t="n">
        <v>44501</v>
      </c>
      <c r="D594" s="13" t="s">
        <v>2607</v>
      </c>
      <c r="E594" s="15" t="s">
        <v>47</v>
      </c>
      <c r="F594" s="15" t="str">
        <f aca="false">IFERROR(__xludf.dummyfunction("XLOOKUP(AJ594,IMPORTRANGE(""1XaInW9DU9nz21V0tYIfzFQ0He9kVQ_JF2mCXgZ3hqFA"",""REKAP ALL 2026 - Andika!G:G""),IMPORTRANGE(""1XaInW9DU9nz21V0tYIfzFQ0He9kVQ_JF2mCXgZ3hqFA"",""REKAP ALL 2026 - Andika!F:F""),"""",0)"),"21019184932")</f>
        <v>21019184932</v>
      </c>
      <c r="G594" s="13" t="s">
        <v>2672</v>
      </c>
      <c r="H594" s="13" t="s">
        <v>35</v>
      </c>
      <c r="I594" s="13" t="str">
        <f aca="false">IF(C594=J594,"NEW KONTRAK","RE-KONTRAK")</f>
        <v>RE-KONTRAK</v>
      </c>
      <c r="J594" s="16" t="n">
        <f aca="false" t="array" ref="J594:J594">IFERROR(INDEX(AC594:AE594,IF(COUNTA(AC594:AE594)=0,"",MAX((AC594:AE594&lt;&gt;"")*(COLUMN(AC594:AE594)-(COLUMN(AC594)))))-1),"")</f>
        <v>45569</v>
      </c>
      <c r="K594" s="16" t="n">
        <f aca="false" t="array" ref="K594:K594">IFERROR(INDEX(AC594:AE594,IF(COUNTA(AC594:AE594)=0,"",MAX((AC594:AE594&lt;&gt;"")*(COLUMN(AC594:AE594)-(COLUMN(AC594)-1))))-1),"")</f>
        <v>45933</v>
      </c>
      <c r="L594" s="17" t="str">
        <f aca="false" t="array" ref="L594:L594">IFERROR(INDEX(AC594:AE594,IF(COUNTA(AC594:AE594)=0,"",MAX((AC594:AE594&lt;&gt;"")*(COLUMN(AC594:AE594)-(COLUMN(AC594)-2))))-1),"")</f>
        <v>ARCHIVED</v>
      </c>
      <c r="M594" s="13" t="n">
        <f aca="true">K594-TODAY()</f>
        <v>-391</v>
      </c>
      <c r="N594" s="18" t="s">
        <v>36</v>
      </c>
      <c r="O594" s="13" t="s">
        <v>2652</v>
      </c>
      <c r="P594" s="19" t="n">
        <v>5195401</v>
      </c>
      <c r="Q594" s="20" t="s">
        <v>2673</v>
      </c>
      <c r="R594" s="13" t="s">
        <v>39</v>
      </c>
      <c r="S594" s="14" t="n">
        <v>31990</v>
      </c>
      <c r="T594" s="13" t="s">
        <v>40</v>
      </c>
      <c r="U594" s="13" t="s">
        <v>2674</v>
      </c>
      <c r="V594" s="28" t="s">
        <v>42</v>
      </c>
      <c r="W594" s="28" t="s">
        <v>54</v>
      </c>
      <c r="X594" s="21" t="n">
        <v>81515222532</v>
      </c>
      <c r="Y594" s="22" t="str">
        <f aca="false">O594</f>
        <v>QC Wiper</v>
      </c>
      <c r="Z594" s="13" t="str">
        <f aca="false">IFERROR(__xludf.dummyfunction("if(BJ594="""","""",GOOGLETRANSLATE(BJ594,""auto"",""en""))"),"QC Wiper")</f>
        <v>QC Wiper</v>
      </c>
      <c r="AA594" s="23" t="str">
        <f aca="false">IF(C594="","", CHOOSE(MONTH(C594),"January","February","March","April","May","June","July","August","September","October","November","December")&amp;" "&amp;DAY(C594)&amp;MID("thstndrdth",MIN(9,2*RIGHT(DAY(C594))*(MOD(DAY(C594)-11,100)&gt;2)+1),2)&amp;","&amp;TEXT(C594," yyyy"))</f>
        <v>November 1st,2021</v>
      </c>
      <c r="AB594" s="15" t="str">
        <f aca="true">IF(S594="","",DATEDIF(S594,TODAY(),"Y")&amp;" Tahun, "&amp;DATEDIF(S594,TODAY(),"YM")&amp;" Bulan, "&amp;DATEDIF(S594,TODAY(),"MD")&amp;" Hari")</f>
        <v>39 Tahun, 2 Bulan, 28 Hari</v>
      </c>
      <c r="AC594" s="18" t="n">
        <v>45569</v>
      </c>
      <c r="AD594" s="18" t="n">
        <v>45933</v>
      </c>
      <c r="AE594" s="18" t="s">
        <v>44</v>
      </c>
    </row>
    <row r="595" customFormat="false" ht="15.75" hidden="false" customHeight="true" outlineLevel="0" collapsed="false">
      <c r="A595" s="12" t="n">
        <v>3666</v>
      </c>
      <c r="B595" s="13" t="s">
        <v>2675</v>
      </c>
      <c r="C595" s="14" t="n">
        <v>44501</v>
      </c>
      <c r="D595" s="13" t="s">
        <v>2607</v>
      </c>
      <c r="E595" s="15" t="s">
        <v>47</v>
      </c>
      <c r="F595" s="15" t="str">
        <f aca="false">IFERROR(__xludf.dummyfunction("XLOOKUP(AJ595,IMPORTRANGE(""1XaInW9DU9nz21V0tYIfzFQ0He9kVQ_JF2mCXgZ3hqFA"",""REKAP ALL 2026 - Andika!G:G""),IMPORTRANGE(""1XaInW9DU9nz21V0tYIfzFQ0He9kVQ_JF2mCXgZ3hqFA"",""REKAP ALL 2026 - Andika!F:F""),"""",0)"),"21019184890")</f>
        <v>21019184890</v>
      </c>
      <c r="G595" s="13" t="s">
        <v>2676</v>
      </c>
      <c r="H595" s="13" t="s">
        <v>35</v>
      </c>
      <c r="I595" s="13" t="str">
        <f aca="false">IF(C595=J595,"NEW KONTRAK","RE-KONTRAK")</f>
        <v>RE-KONTRAK</v>
      </c>
      <c r="J595" s="16" t="n">
        <f aca="false" t="array" ref="J595:J595">IFERROR(INDEX(AC595:AE595,IF(COUNTA(AC595:AE595)=0,"",MAX((AC595:AE595&lt;&gt;"")*(COLUMN(AC595:AE595)-(COLUMN(AC595)))))-1),"")</f>
        <v>45569</v>
      </c>
      <c r="K595" s="16" t="n">
        <f aca="false" t="array" ref="K595:K595">IFERROR(INDEX(AC595:AE595,IF(COUNTA(AC595:AE595)=0,"",MAX((AC595:AE595&lt;&gt;"")*(COLUMN(AC595:AE595)-(COLUMN(AC595)-1))))-1),"")</f>
        <v>45933</v>
      </c>
      <c r="L595" s="17" t="str">
        <f aca="false" t="array" ref="L595:L595">IFERROR(INDEX(AC595:AE595,IF(COUNTA(AC595:AE595)=0,"",MAX((AC595:AE595&lt;&gt;"")*(COLUMN(AC595:AE595)-(COLUMN(AC595)-2))))-1),"")</f>
        <v>ARCHIVED</v>
      </c>
      <c r="M595" s="13" t="n">
        <f aca="true">K595-TODAY()</f>
        <v>-391</v>
      </c>
      <c r="N595" s="18" t="s">
        <v>36</v>
      </c>
      <c r="O595" s="13" t="s">
        <v>2609</v>
      </c>
      <c r="P595" s="19" t="n">
        <v>5195401</v>
      </c>
      <c r="Q595" s="20" t="s">
        <v>2677</v>
      </c>
      <c r="R595" s="13" t="s">
        <v>39</v>
      </c>
      <c r="S595" s="14" t="n">
        <v>34016</v>
      </c>
      <c r="T595" s="13" t="s">
        <v>40</v>
      </c>
      <c r="U595" s="13" t="s">
        <v>2678</v>
      </c>
      <c r="V595" s="28" t="s">
        <v>42</v>
      </c>
      <c r="W595" s="28" t="s">
        <v>54</v>
      </c>
      <c r="X595" s="21" t="n">
        <v>85731559230</v>
      </c>
      <c r="Y595" s="22" t="str">
        <f aca="false">O595</f>
        <v>Produksi H-Jack</v>
      </c>
      <c r="Z595" s="13" t="str">
        <f aca="false">IFERROR(__xludf.dummyfunction("if(BJ595="""","""",GOOGLETRANSLATE(BJ595,""auto"",""en""))"),"H-Jack Production")</f>
        <v>H-Jack Production</v>
      </c>
      <c r="AA595" s="23" t="str">
        <f aca="false">IF(C595="","", CHOOSE(MONTH(C595),"January","February","March","April","May","June","July","August","September","October","November","December")&amp;" "&amp;DAY(C595)&amp;MID("thstndrdth",MIN(9,2*RIGHT(DAY(C595))*(MOD(DAY(C595)-11,100)&gt;2)+1),2)&amp;","&amp;TEXT(C595," yyyy"))</f>
        <v>November 1st,2021</v>
      </c>
      <c r="AB595" s="15" t="str">
        <f aca="true">IF(S595="","",DATEDIF(S595,TODAY(),"Y")&amp;" Tahun, "&amp;DATEDIF(S595,TODAY(),"YM")&amp;" Bulan, "&amp;DATEDIF(S595,TODAY(),"MD")&amp;" Hari")</f>
        <v>33 Tahun, 8 Bulan, 13 Hari</v>
      </c>
      <c r="AC595" s="18" t="n">
        <v>45569</v>
      </c>
      <c r="AD595" s="18" t="n">
        <v>45933</v>
      </c>
      <c r="AE595" s="18" t="s">
        <v>44</v>
      </c>
    </row>
    <row r="596" customFormat="false" ht="15.75" hidden="false" customHeight="true" outlineLevel="0" collapsed="false">
      <c r="A596" s="12" t="n">
        <v>3667</v>
      </c>
      <c r="B596" s="13" t="s">
        <v>2679</v>
      </c>
      <c r="C596" s="14" t="n">
        <v>44501</v>
      </c>
      <c r="D596" s="13" t="s">
        <v>2607</v>
      </c>
      <c r="E596" s="15" t="s">
        <v>47</v>
      </c>
      <c r="F596" s="15" t="str">
        <f aca="false">IFERROR(__xludf.dummyfunction("XLOOKUP(AJ596,IMPORTRANGE(""1XaInW9DU9nz21V0tYIfzFQ0He9kVQ_JF2mCXgZ3hqFA"",""REKAP ALL 2026 - Andika!G:G""),IMPORTRANGE(""1XaInW9DU9nz21V0tYIfzFQ0He9kVQ_JF2mCXgZ3hqFA"",""REKAP ALL 2026 - Andika!F:F""),"""",0)"),"21019185020")</f>
        <v>21019185020</v>
      </c>
      <c r="G596" s="13" t="s">
        <v>2680</v>
      </c>
      <c r="H596" s="13" t="s">
        <v>35</v>
      </c>
      <c r="I596" s="13" t="str">
        <f aca="false">IF(C596=J596,"NEW KONTRAK","RE-KONTRAK")</f>
        <v>RE-KONTRAK</v>
      </c>
      <c r="J596" s="16" t="n">
        <f aca="false" t="array" ref="J596:J596">IFERROR(INDEX(AC596:AE596,IF(COUNTA(AC596:AE596)=0,"",MAX((AC596:AE596&lt;&gt;"")*(COLUMN(AC596:AE596)-(COLUMN(AC596)))))-1),"")</f>
        <v>45569</v>
      </c>
      <c r="K596" s="16" t="n">
        <f aca="false" t="array" ref="K596:K596">IFERROR(INDEX(AC596:AE596,IF(COUNTA(AC596:AE596)=0,"",MAX((AC596:AE596&lt;&gt;"")*(COLUMN(AC596:AE596)-(COLUMN(AC596)-1))))-1),"")</f>
        <v>45933</v>
      </c>
      <c r="L596" s="17" t="str">
        <f aca="false" t="array" ref="L596:L596">IFERROR(INDEX(AC596:AE596,IF(COUNTA(AC596:AE596)=0,"",MAX((AC596:AE596&lt;&gt;"")*(COLUMN(AC596:AE596)-(COLUMN(AC596)-2))))-1),"")</f>
        <v>ARCHIVED</v>
      </c>
      <c r="M596" s="13" t="n">
        <f aca="true">K596-TODAY()</f>
        <v>-391</v>
      </c>
      <c r="N596" s="18" t="s">
        <v>36</v>
      </c>
      <c r="O596" s="13" t="s">
        <v>2627</v>
      </c>
      <c r="P596" s="19" t="n">
        <v>5195401</v>
      </c>
      <c r="Q596" s="20" t="s">
        <v>2681</v>
      </c>
      <c r="R596" s="13" t="s">
        <v>52</v>
      </c>
      <c r="S596" s="14" t="n">
        <v>31761</v>
      </c>
      <c r="T596" s="13" t="s">
        <v>40</v>
      </c>
      <c r="U596" s="13" t="s">
        <v>2682</v>
      </c>
      <c r="V596" s="28" t="s">
        <v>42</v>
      </c>
      <c r="W596" s="28" t="s">
        <v>54</v>
      </c>
      <c r="X596" s="21" t="n">
        <v>88230091156</v>
      </c>
      <c r="Y596" s="22" t="str">
        <f aca="false">O596</f>
        <v>QC H-Jack</v>
      </c>
      <c r="Z596" s="13" t="str">
        <f aca="false">IFERROR(__xludf.dummyfunction("if(BJ596="""","""",GOOGLETRANSLATE(BJ596,""auto"",""en""))"),"QC H-Jack")</f>
        <v>QC H-Jack</v>
      </c>
      <c r="AA596" s="23" t="str">
        <f aca="false">IF(C596="","", CHOOSE(MONTH(C596),"January","February","March","April","May","June","July","August","September","October","November","December")&amp;" "&amp;DAY(C596)&amp;MID("thstndrdth",MIN(9,2*RIGHT(DAY(C596))*(MOD(DAY(C596)-11,100)&gt;2)+1),2)&amp;","&amp;TEXT(C596," yyyy"))</f>
        <v>November 1st,2021</v>
      </c>
      <c r="AB596" s="15" t="str">
        <f aca="true">IF(S596="","",DATEDIF(S596,TODAY(),"Y")&amp;" Tahun, "&amp;DATEDIF(S596,TODAY(),"YM")&amp;" Bulan, "&amp;DATEDIF(S596,TODAY(),"MD")&amp;" Hari")</f>
        <v>39 Tahun, 10 Bulan, 14 Hari</v>
      </c>
      <c r="AC596" s="18" t="n">
        <v>45569</v>
      </c>
      <c r="AD596" s="18" t="n">
        <v>45933</v>
      </c>
      <c r="AE596" s="18" t="s">
        <v>44</v>
      </c>
    </row>
    <row r="597" customFormat="false" ht="15.75" hidden="false" customHeight="true" outlineLevel="0" collapsed="false">
      <c r="A597" s="12" t="n">
        <v>3668</v>
      </c>
      <c r="B597" s="13" t="s">
        <v>2683</v>
      </c>
      <c r="C597" s="14" t="n">
        <v>44501</v>
      </c>
      <c r="D597" s="13" t="s">
        <v>2607</v>
      </c>
      <c r="E597" s="15" t="s">
        <v>47</v>
      </c>
      <c r="F597" s="15" t="str">
        <f aca="false">IFERROR(__xludf.dummyfunction("XLOOKUP(AJ597,IMPORTRANGE(""1XaInW9DU9nz21V0tYIfzFQ0He9kVQ_JF2mCXgZ3hqFA"",""REKAP ALL 2026 - Andika!G:G""),IMPORTRANGE(""1XaInW9DU9nz21V0tYIfzFQ0He9kVQ_JF2mCXgZ3hqFA"",""REKAP ALL 2026 - Andika!F:F""),"""",0)"),"21019184874")</f>
        <v>21019184874</v>
      </c>
      <c r="G597" s="13" t="s">
        <v>2684</v>
      </c>
      <c r="H597" s="13" t="s">
        <v>35</v>
      </c>
      <c r="I597" s="13" t="str">
        <f aca="false">IF(C597=J597,"NEW KONTRAK","RE-KONTRAK")</f>
        <v>RE-KONTRAK</v>
      </c>
      <c r="J597" s="16" t="n">
        <f aca="false" t="array" ref="J597:J597">IFERROR(INDEX(AC597:AE597,IF(COUNTA(AC597:AE597)=0,"",MAX((AC597:AE597&lt;&gt;"")*(COLUMN(AC597:AE597)-(COLUMN(AC597)))))-1),"")</f>
        <v>45569</v>
      </c>
      <c r="K597" s="16" t="n">
        <f aca="false" t="array" ref="K597:K597">IFERROR(INDEX(AC597:AE597,IF(COUNTA(AC597:AE597)=0,"",MAX((AC597:AE597&lt;&gt;"")*(COLUMN(AC597:AE597)-(COLUMN(AC597)-1))))-1),"")</f>
        <v>45933</v>
      </c>
      <c r="L597" s="17" t="str">
        <f aca="false" t="array" ref="L597:L597">IFERROR(INDEX(AC597:AE597,IF(COUNTA(AC597:AE597)=0,"",MAX((AC597:AE597&lt;&gt;"")*(COLUMN(AC597:AE597)-(COLUMN(AC597)-2))))-1),"")</f>
        <v>ARCHIVED</v>
      </c>
      <c r="M597" s="13" t="n">
        <f aca="true">K597-TODAY()</f>
        <v>-391</v>
      </c>
      <c r="N597" s="18" t="s">
        <v>36</v>
      </c>
      <c r="O597" s="13" t="s">
        <v>2609</v>
      </c>
      <c r="P597" s="19" t="n">
        <v>5195401</v>
      </c>
      <c r="Q597" s="20" t="s">
        <v>2685</v>
      </c>
      <c r="R597" s="13" t="s">
        <v>73</v>
      </c>
      <c r="S597" s="14" t="n">
        <v>30405</v>
      </c>
      <c r="T597" s="13" t="s">
        <v>40</v>
      </c>
      <c r="U597" s="13" t="s">
        <v>2686</v>
      </c>
      <c r="V597" s="28" t="s">
        <v>42</v>
      </c>
      <c r="W597" s="28" t="s">
        <v>54</v>
      </c>
      <c r="X597" s="21" t="n">
        <v>85755844450</v>
      </c>
      <c r="Y597" s="22" t="str">
        <f aca="false">O597</f>
        <v>Produksi H-Jack</v>
      </c>
      <c r="Z597" s="13" t="str">
        <f aca="false">IFERROR(__xludf.dummyfunction("if(BJ597="""","""",GOOGLETRANSLATE(BJ597,""auto"",""en""))"),"H-Jack Production")</f>
        <v>H-Jack Production</v>
      </c>
      <c r="AA597" s="23" t="str">
        <f aca="false">IF(C597="","", CHOOSE(MONTH(C597),"January","February","March","April","May","June","July","August","September","October","November","December")&amp;" "&amp;DAY(C597)&amp;MID("thstndrdth",MIN(9,2*RIGHT(DAY(C597))*(MOD(DAY(C597)-11,100)&gt;2)+1),2)&amp;","&amp;TEXT(C597," yyyy"))</f>
        <v>November 1st,2021</v>
      </c>
      <c r="AB597" s="15" t="str">
        <f aca="true">IF(S597="","",DATEDIF(S597,TODAY(),"Y")&amp;" Tahun, "&amp;DATEDIF(S597,TODAY(),"YM")&amp;" Bulan, "&amp;DATEDIF(S597,TODAY(),"MD")&amp;" Hari")</f>
        <v>43 Tahun, 6 Bulan, 29 Hari</v>
      </c>
      <c r="AC597" s="18" t="n">
        <v>45569</v>
      </c>
      <c r="AD597" s="18" t="n">
        <v>45933</v>
      </c>
      <c r="AE597" s="18" t="s">
        <v>44</v>
      </c>
    </row>
    <row r="598" customFormat="false" ht="15.75" hidden="false" customHeight="true" outlineLevel="0" collapsed="false">
      <c r="A598" s="12" t="n">
        <v>3669</v>
      </c>
      <c r="B598" s="13" t="s">
        <v>2687</v>
      </c>
      <c r="C598" s="14" t="n">
        <v>44501</v>
      </c>
      <c r="D598" s="13" t="s">
        <v>2607</v>
      </c>
      <c r="E598" s="15" t="s">
        <v>47</v>
      </c>
      <c r="F598" s="15" t="str">
        <f aca="false">IFERROR(__xludf.dummyfunction("XLOOKUP(AJ598,IMPORTRANGE(""1XaInW9DU9nz21V0tYIfzFQ0He9kVQ_JF2mCXgZ3hqFA"",""REKAP ALL 2026 - Andika!G:G""),IMPORTRANGE(""1XaInW9DU9nz21V0tYIfzFQ0He9kVQ_JF2mCXgZ3hqFA"",""REKAP ALL 2026 - Andika!F:F""),"""",0)"),"21019184908")</f>
        <v>21019184908</v>
      </c>
      <c r="G598" s="13" t="s">
        <v>2688</v>
      </c>
      <c r="H598" s="13" t="s">
        <v>35</v>
      </c>
      <c r="I598" s="13" t="str">
        <f aca="false">IF(C598=J598,"NEW KONTRAK","RE-KONTRAK")</f>
        <v>RE-KONTRAK</v>
      </c>
      <c r="J598" s="16" t="n">
        <f aca="false" t="array" ref="J598:J598">IFERROR(INDEX(AC598:AE598,IF(COUNTA(AC598:AE598)=0,"",MAX((AC598:AE598&lt;&gt;"")*(COLUMN(AC598:AE598)-(COLUMN(AC598)))))-1),"")</f>
        <v>45569</v>
      </c>
      <c r="K598" s="16" t="n">
        <f aca="false" t="array" ref="K598:K598">IFERROR(INDEX(AC598:AE598,IF(COUNTA(AC598:AE598)=0,"",MAX((AC598:AE598&lt;&gt;"")*(COLUMN(AC598:AE598)-(COLUMN(AC598)-1))))-1),"")</f>
        <v>45933</v>
      </c>
      <c r="L598" s="17" t="str">
        <f aca="false" t="array" ref="L598:L598">IFERROR(INDEX(AC598:AE598,IF(COUNTA(AC598:AE598)=0,"",MAX((AC598:AE598&lt;&gt;"")*(COLUMN(AC598:AE598)-(COLUMN(AC598)-2))))-1),"")</f>
        <v>ARCHIVED</v>
      </c>
      <c r="M598" s="13" t="n">
        <f aca="true">K598-TODAY()</f>
        <v>-391</v>
      </c>
      <c r="N598" s="18" t="s">
        <v>36</v>
      </c>
      <c r="O598" s="13" t="s">
        <v>2689</v>
      </c>
      <c r="P598" s="19" t="n">
        <v>5195401</v>
      </c>
      <c r="Q598" s="20" t="s">
        <v>2690</v>
      </c>
      <c r="R598" s="13" t="s">
        <v>65</v>
      </c>
      <c r="S598" s="14" t="n">
        <v>33187</v>
      </c>
      <c r="T598" s="13" t="s">
        <v>40</v>
      </c>
      <c r="U598" s="13" t="s">
        <v>2691</v>
      </c>
      <c r="V598" s="28" t="s">
        <v>42</v>
      </c>
      <c r="W598" s="28" t="s">
        <v>54</v>
      </c>
      <c r="X598" s="21" t="n">
        <v>87705746802</v>
      </c>
      <c r="Y598" s="22" t="str">
        <f aca="false">O598</f>
        <v>Produksi Wiper</v>
      </c>
      <c r="Z598" s="13" t="str">
        <f aca="false">IFERROR(__xludf.dummyfunction("if(BJ598="""","""",GOOGLETRANSLATE(BJ598,""auto"",""en""))"),"Wiper Production")</f>
        <v>Wiper Production</v>
      </c>
      <c r="AA598" s="23" t="str">
        <f aca="false">IF(C598="","", CHOOSE(MONTH(C598),"January","February","March","April","May","June","July","August","September","October","November","December")&amp;" "&amp;DAY(C598)&amp;MID("thstndrdth",MIN(9,2*RIGHT(DAY(C598))*(MOD(DAY(C598)-11,100)&gt;2)+1),2)&amp;","&amp;TEXT(C598," yyyy"))</f>
        <v>November 1st,2021</v>
      </c>
      <c r="AB598" s="15" t="str">
        <f aca="true">IF(S598="","",DATEDIF(S598,TODAY(),"Y")&amp;" Tahun, "&amp;DATEDIF(S598,TODAY(),"YM")&amp;" Bulan, "&amp;DATEDIF(S598,TODAY(),"MD")&amp;" Hari")</f>
        <v>35 Tahun, 11 Bulan, 19 Hari</v>
      </c>
      <c r="AC598" s="18" t="n">
        <v>45569</v>
      </c>
      <c r="AD598" s="18" t="n">
        <v>45933</v>
      </c>
      <c r="AE598" s="18" t="s">
        <v>44</v>
      </c>
    </row>
    <row r="599" customFormat="false" ht="15.75" hidden="false" customHeight="true" outlineLevel="0" collapsed="false">
      <c r="A599" s="12" t="n">
        <v>3670</v>
      </c>
      <c r="B599" s="13" t="s">
        <v>2692</v>
      </c>
      <c r="C599" s="14" t="n">
        <v>44501</v>
      </c>
      <c r="D599" s="13" t="s">
        <v>2607</v>
      </c>
      <c r="E599" s="15" t="s">
        <v>47</v>
      </c>
      <c r="F599" s="15" t="str">
        <f aca="false">IFERROR(__xludf.dummyfunction("XLOOKUP(AJ599,IMPORTRANGE(""1XaInW9DU9nz21V0tYIfzFQ0He9kVQ_JF2mCXgZ3hqFA"",""REKAP ALL 2026 - Andika!G:G""),IMPORTRANGE(""1XaInW9DU9nz21V0tYIfzFQ0He9kVQ_JF2mCXgZ3hqFA"",""REKAP ALL 2026 - Andika!F:F""),"""",0)"),"21025808425")</f>
        <v>21025808425</v>
      </c>
      <c r="G599" s="13" t="s">
        <v>2693</v>
      </c>
      <c r="H599" s="13" t="s">
        <v>35</v>
      </c>
      <c r="I599" s="13" t="str">
        <f aca="false">IF(C599=J599,"NEW KONTRAK","RE-KONTRAK")</f>
        <v>RE-KONTRAK</v>
      </c>
      <c r="J599" s="16" t="n">
        <f aca="false" t="array" ref="J599:J599">IFERROR(INDEX(AC599:AE599,IF(COUNTA(AC599:AE599)=0,"",MAX((AC599:AE599&lt;&gt;"")*(COLUMN(AC599:AE599)-(COLUMN(AC599)))))-1),"")</f>
        <v>45569</v>
      </c>
      <c r="K599" s="16" t="n">
        <f aca="false" t="array" ref="K599:K599">IFERROR(INDEX(AC599:AE599,IF(COUNTA(AC599:AE599)=0,"",MAX((AC599:AE599&lt;&gt;"")*(COLUMN(AC599:AE599)-(COLUMN(AC599)-1))))-1),"")</f>
        <v>45933</v>
      </c>
      <c r="L599" s="17" t="str">
        <f aca="false" t="array" ref="L599:L599">IFERROR(INDEX(AC599:AE599,IF(COUNTA(AC599:AE599)=0,"",MAX((AC599:AE599&lt;&gt;"")*(COLUMN(AC599:AE599)-(COLUMN(AC599)-2))))-1),"")</f>
        <v>ARCHIVED</v>
      </c>
      <c r="M599" s="13" t="n">
        <f aca="true">K599-TODAY()</f>
        <v>-391</v>
      </c>
      <c r="N599" s="18" t="s">
        <v>36</v>
      </c>
      <c r="O599" s="13" t="s">
        <v>2609</v>
      </c>
      <c r="P599" s="19" t="n">
        <v>5195401</v>
      </c>
      <c r="Q599" s="20" t="s">
        <v>2694</v>
      </c>
      <c r="R599" s="13" t="s">
        <v>1842</v>
      </c>
      <c r="S599" s="14" t="n">
        <v>31102</v>
      </c>
      <c r="T599" s="13" t="s">
        <v>40</v>
      </c>
      <c r="U599" s="13" t="s">
        <v>2695</v>
      </c>
      <c r="V599" s="28" t="s">
        <v>42</v>
      </c>
      <c r="W599" s="28" t="s">
        <v>54</v>
      </c>
      <c r="X599" s="21" t="n">
        <v>85785050730</v>
      </c>
      <c r="Y599" s="22" t="str">
        <f aca="false">O599</f>
        <v>Produksi H-Jack</v>
      </c>
      <c r="Z599" s="13" t="str">
        <f aca="false">IFERROR(__xludf.dummyfunction("if(BJ599="""","""",GOOGLETRANSLATE(BJ599,""auto"",""en""))"),"H-Jack Production")</f>
        <v>H-Jack Production</v>
      </c>
      <c r="AA599" s="23" t="str">
        <f aca="false">IF(C599="","", CHOOSE(MONTH(C599),"January","February","March","April","May","June","July","August","September","October","November","December")&amp;" "&amp;DAY(C599)&amp;MID("thstndrdth",MIN(9,2*RIGHT(DAY(C599))*(MOD(DAY(C599)-11,100)&gt;2)+1),2)&amp;","&amp;TEXT(C599," yyyy"))</f>
        <v>November 1st,2021</v>
      </c>
      <c r="AB599" s="15" t="str">
        <f aca="true">IF(S599="","",DATEDIF(S599,TODAY(),"Y")&amp;" Tahun, "&amp;DATEDIF(S599,TODAY(),"YM")&amp;" Bulan, "&amp;DATEDIF(S599,TODAY(),"MD")&amp;" Hari")</f>
        <v>41 Tahun, 8 Bulan, 5 Hari</v>
      </c>
      <c r="AC599" s="18" t="n">
        <v>45569</v>
      </c>
      <c r="AD599" s="18" t="n">
        <v>45933</v>
      </c>
      <c r="AE599" s="18" t="s">
        <v>44</v>
      </c>
    </row>
    <row r="600" customFormat="false" ht="15.75" hidden="false" customHeight="true" outlineLevel="0" collapsed="false">
      <c r="A600" s="12" t="n">
        <v>3671</v>
      </c>
      <c r="B600" s="13" t="s">
        <v>2696</v>
      </c>
      <c r="C600" s="14" t="n">
        <v>44501</v>
      </c>
      <c r="D600" s="13" t="s">
        <v>2607</v>
      </c>
      <c r="E600" s="15" t="s">
        <v>47</v>
      </c>
      <c r="F600" s="15" t="str">
        <f aca="false">IFERROR(__xludf.dummyfunction("XLOOKUP(AJ600,IMPORTRANGE(""1XaInW9DU9nz21V0tYIfzFQ0He9kVQ_JF2mCXgZ3hqFA"",""REKAP ALL 2026 - Andika!G:G""),IMPORTRANGE(""1XaInW9DU9nz21V0tYIfzFQ0He9kVQ_JF2mCXgZ3hqFA"",""REKAP ALL 2026 - Andika!F:F""),"""",0)"),"21019184882")</f>
        <v>21019184882</v>
      </c>
      <c r="G600" s="13" t="s">
        <v>2697</v>
      </c>
      <c r="H600" s="13" t="s">
        <v>35</v>
      </c>
      <c r="I600" s="13" t="str">
        <f aca="false">IF(C600=J600,"NEW KONTRAK","RE-KONTRAK")</f>
        <v>RE-KONTRAK</v>
      </c>
      <c r="J600" s="16" t="n">
        <f aca="false" t="array" ref="J600:J600">IFERROR(INDEX(AC600:AE600,IF(COUNTA(AC600:AE600)=0,"",MAX((AC600:AE600&lt;&gt;"")*(COLUMN(AC600:AE600)-(COLUMN(AC600)))))-1),"")</f>
        <v>45569</v>
      </c>
      <c r="K600" s="16" t="n">
        <f aca="false" t="array" ref="K600:K600">IFERROR(INDEX(AC600:AE600,IF(COUNTA(AC600:AE600)=0,"",MAX((AC600:AE600&lt;&gt;"")*(COLUMN(AC600:AE600)-(COLUMN(AC600)-1))))-1),"")</f>
        <v>45933</v>
      </c>
      <c r="L600" s="17" t="str">
        <f aca="false" t="array" ref="L600:L600">IFERROR(INDEX(AC600:AE600,IF(COUNTA(AC600:AE600)=0,"",MAX((AC600:AE600&lt;&gt;"")*(COLUMN(AC600:AE600)-(COLUMN(AC600)-2))))-1),"")</f>
        <v>ARCHIVED</v>
      </c>
      <c r="M600" s="13" t="n">
        <f aca="true">K600-TODAY()</f>
        <v>-391</v>
      </c>
      <c r="N600" s="18" t="s">
        <v>36</v>
      </c>
      <c r="O600" s="13" t="s">
        <v>2609</v>
      </c>
      <c r="P600" s="19" t="n">
        <v>5195401</v>
      </c>
      <c r="Q600" s="20" t="s">
        <v>2698</v>
      </c>
      <c r="R600" s="13" t="s">
        <v>232</v>
      </c>
      <c r="S600" s="14" t="n">
        <v>33705</v>
      </c>
      <c r="T600" s="13" t="s">
        <v>40</v>
      </c>
      <c r="U600" s="13" t="s">
        <v>2699</v>
      </c>
      <c r="V600" s="28" t="s">
        <v>42</v>
      </c>
      <c r="W600" s="28" t="s">
        <v>54</v>
      </c>
      <c r="X600" s="21" t="n">
        <v>85731421164</v>
      </c>
      <c r="Y600" s="22" t="str">
        <f aca="false">O600</f>
        <v>Produksi H-Jack</v>
      </c>
      <c r="Z600" s="13" t="str">
        <f aca="false">IFERROR(__xludf.dummyfunction("if(BJ600="""","""",GOOGLETRANSLATE(BJ600,""auto"",""en""))"),"H-Jack Production")</f>
        <v>H-Jack Production</v>
      </c>
      <c r="AA600" s="23" t="str">
        <f aca="false">IF(C600="","", CHOOSE(MONTH(C600),"January","February","March","April","May","June","July","August","September","October","November","December")&amp;" "&amp;DAY(C600)&amp;MID("thstndrdth",MIN(9,2*RIGHT(DAY(C600))*(MOD(DAY(C600)-11,100)&gt;2)+1),2)&amp;","&amp;TEXT(C600," yyyy"))</f>
        <v>November 1st,2021</v>
      </c>
      <c r="AB600" s="15" t="str">
        <f aca="true">IF(S600="","",DATEDIF(S600,TODAY(),"Y")&amp;" Tahun, "&amp;DATEDIF(S600,TODAY(),"YM")&amp;" Bulan, "&amp;DATEDIF(S600,TODAY(),"MD")&amp;" Hari")</f>
        <v>34 Tahun, 6 Bulan, 18 Hari</v>
      </c>
      <c r="AC600" s="18" t="n">
        <v>45569</v>
      </c>
      <c r="AD600" s="18" t="n">
        <v>45933</v>
      </c>
      <c r="AE600" s="18" t="s">
        <v>44</v>
      </c>
    </row>
    <row r="601" customFormat="false" ht="15.75" hidden="false" customHeight="true" outlineLevel="0" collapsed="false">
      <c r="A601" s="12" t="n">
        <v>3672</v>
      </c>
      <c r="B601" s="13" t="s">
        <v>2700</v>
      </c>
      <c r="C601" s="14" t="n">
        <v>44501</v>
      </c>
      <c r="D601" s="13" t="s">
        <v>2607</v>
      </c>
      <c r="E601" s="15" t="s">
        <v>47</v>
      </c>
      <c r="F601" s="15" t="str">
        <f aca="false">IFERROR(__xludf.dummyfunction("XLOOKUP(AJ601,IMPORTRANGE(""1XaInW9DU9nz21V0tYIfzFQ0He9kVQ_JF2mCXgZ3hqFA"",""REKAP ALL 2026 - Andika!G:G""),IMPORTRANGE(""1XaInW9DU9nz21V0tYIfzFQ0He9kVQ_JF2mCXgZ3hqFA"",""REKAP ALL 2026 - Andika!F:F""),"""",0)"),"21019185111")</f>
        <v>21019185111</v>
      </c>
      <c r="G601" s="13" t="s">
        <v>2701</v>
      </c>
      <c r="H601" s="13" t="s">
        <v>35</v>
      </c>
      <c r="I601" s="13" t="str">
        <f aca="false">IF(C601=J601,"NEW KONTRAK","RE-KONTRAK")</f>
        <v>RE-KONTRAK</v>
      </c>
      <c r="J601" s="16" t="n">
        <f aca="false" t="array" ref="J601:J601">IFERROR(INDEX(AC601:AE601,IF(COUNTA(AC601:AE601)=0,"",MAX((AC601:AE601&lt;&gt;"")*(COLUMN(AC601:AE601)-(COLUMN(AC601)))))-1),"")</f>
        <v>45569</v>
      </c>
      <c r="K601" s="16" t="n">
        <f aca="false" t="array" ref="K601:K601">IFERROR(INDEX(AC601:AE601,IF(COUNTA(AC601:AE601)=0,"",MAX((AC601:AE601&lt;&gt;"")*(COLUMN(AC601:AE601)-(COLUMN(AC601)-1))))-1),"")</f>
        <v>45933</v>
      </c>
      <c r="L601" s="17" t="str">
        <f aca="false" t="array" ref="L601:L601">IFERROR(INDEX(AC601:AE601,IF(COUNTA(AC601:AE601)=0,"",MAX((AC601:AE601&lt;&gt;"")*(COLUMN(AC601:AE601)-(COLUMN(AC601)-2))))-1),"")</f>
        <v>ARCHIVED</v>
      </c>
      <c r="M601" s="13" t="n">
        <f aca="true">K601-TODAY()</f>
        <v>-391</v>
      </c>
      <c r="N601" s="18" t="s">
        <v>36</v>
      </c>
      <c r="O601" s="13" t="s">
        <v>2627</v>
      </c>
      <c r="P601" s="19" t="n">
        <v>5195401</v>
      </c>
      <c r="Q601" s="20" t="s">
        <v>2702</v>
      </c>
      <c r="R601" s="13" t="s">
        <v>232</v>
      </c>
      <c r="S601" s="14" t="n">
        <v>30163</v>
      </c>
      <c r="T601" s="13" t="s">
        <v>40</v>
      </c>
      <c r="U601" s="13" t="s">
        <v>2703</v>
      </c>
      <c r="V601" s="28" t="s">
        <v>42</v>
      </c>
      <c r="W601" s="28" t="s">
        <v>54</v>
      </c>
      <c r="X601" s="21" t="n">
        <v>8563109409</v>
      </c>
      <c r="Y601" s="22" t="str">
        <f aca="false">O601</f>
        <v>QC H-Jack</v>
      </c>
      <c r="Z601" s="13" t="str">
        <f aca="false">IFERROR(__xludf.dummyfunction("if(BJ601="""","""",GOOGLETRANSLATE(BJ601,""auto"",""en""))"),"QC H-Jack")</f>
        <v>QC H-Jack</v>
      </c>
      <c r="AA601" s="23" t="str">
        <f aca="false">IF(C601="","", CHOOSE(MONTH(C601),"January","February","March","April","May","June","July","August","September","October","November","December")&amp;" "&amp;DAY(C601)&amp;MID("thstndrdth",MIN(9,2*RIGHT(DAY(C601))*(MOD(DAY(C601)-11,100)&gt;2)+1),2)&amp;","&amp;TEXT(C601," yyyy"))</f>
        <v>November 1st,2021</v>
      </c>
      <c r="AB601" s="15" t="str">
        <f aca="true">IF(S601="","",DATEDIF(S601,TODAY(),"Y")&amp;" Tahun, "&amp;DATEDIF(S601,TODAY(),"YM")&amp;" Bulan, "&amp;DATEDIF(S601,TODAY(),"MD")&amp;" Hari")</f>
        <v>44 Tahun, 2 Bulan, 28 Hari</v>
      </c>
      <c r="AC601" s="18" t="n">
        <v>45569</v>
      </c>
      <c r="AD601" s="18" t="n">
        <v>45933</v>
      </c>
      <c r="AE601" s="18" t="s">
        <v>44</v>
      </c>
    </row>
    <row r="602" customFormat="false" ht="15.75" hidden="false" customHeight="true" outlineLevel="0" collapsed="false">
      <c r="A602" s="12" t="n">
        <v>3673</v>
      </c>
      <c r="B602" s="13" t="s">
        <v>2704</v>
      </c>
      <c r="C602" s="14" t="n">
        <v>44501</v>
      </c>
      <c r="D602" s="13" t="s">
        <v>2607</v>
      </c>
      <c r="E602" s="15" t="s">
        <v>47</v>
      </c>
      <c r="F602" s="15" t="str">
        <f aca="false">IFERROR(__xludf.dummyfunction("XLOOKUP(AJ602,IMPORTRANGE(""1XaInW9DU9nz21V0tYIfzFQ0He9kVQ_JF2mCXgZ3hqFA"",""REKAP ALL 2026 - Andika!G:G""),IMPORTRANGE(""1XaInW9DU9nz21V0tYIfzFQ0He9kVQ_JF2mCXgZ3hqFA"",""REKAP ALL 2026 - Andika!F:F""),"""",0)"),"21019184999")</f>
        <v>21019184999</v>
      </c>
      <c r="G602" s="13" t="s">
        <v>2705</v>
      </c>
      <c r="H602" s="13" t="s">
        <v>35</v>
      </c>
      <c r="I602" s="13" t="str">
        <f aca="false">IF(C602=J602,"NEW KONTRAK","RE-KONTRAK")</f>
        <v>RE-KONTRAK</v>
      </c>
      <c r="J602" s="16" t="n">
        <f aca="false" t="array" ref="J602:J602">IFERROR(INDEX(AC602:AE602,IF(COUNTA(AC602:AE602)=0,"",MAX((AC602:AE602&lt;&gt;"")*(COLUMN(AC602:AE602)-(COLUMN(AC602)))))-1),"")</f>
        <v>45569</v>
      </c>
      <c r="K602" s="16" t="n">
        <f aca="false" t="array" ref="K602:K602">IFERROR(INDEX(AC602:AE602,IF(COUNTA(AC602:AE602)=0,"",MAX((AC602:AE602&lt;&gt;"")*(COLUMN(AC602:AE602)-(COLUMN(AC602)-1))))-1),"")</f>
        <v>45933</v>
      </c>
      <c r="L602" s="17" t="str">
        <f aca="false" t="array" ref="L602:L602">IFERROR(INDEX(AC602:AE602,IF(COUNTA(AC602:AE602)=0,"",MAX((AC602:AE602&lt;&gt;"")*(COLUMN(AC602:AE602)-(COLUMN(AC602)-2))))-1),"")</f>
        <v>ARCHIVED</v>
      </c>
      <c r="M602" s="13" t="n">
        <f aca="true">K602-TODAY()</f>
        <v>-391</v>
      </c>
      <c r="N602" s="18" t="s">
        <v>36</v>
      </c>
      <c r="O602" s="13" t="s">
        <v>2652</v>
      </c>
      <c r="P602" s="19" t="n">
        <v>5195401</v>
      </c>
      <c r="Q602" s="20" t="s">
        <v>2706</v>
      </c>
      <c r="R602" s="13" t="s">
        <v>39</v>
      </c>
      <c r="S602" s="14" t="n">
        <v>33010</v>
      </c>
      <c r="T602" s="13" t="s">
        <v>40</v>
      </c>
      <c r="U602" s="13" t="s">
        <v>2707</v>
      </c>
      <c r="V602" s="28" t="s">
        <v>42</v>
      </c>
      <c r="W602" s="28" t="s">
        <v>54</v>
      </c>
      <c r="X602" s="21" t="n">
        <v>85608001050</v>
      </c>
      <c r="Y602" s="22" t="str">
        <f aca="false">O602</f>
        <v>QC Wiper</v>
      </c>
      <c r="Z602" s="13" t="str">
        <f aca="false">IFERROR(__xludf.dummyfunction("if(BJ602="""","""",GOOGLETRANSLATE(BJ602,""auto"",""en""))"),"QC Wiper")</f>
        <v>QC Wiper</v>
      </c>
      <c r="AA602" s="23" t="str">
        <f aca="false">IF(C602="","", CHOOSE(MONTH(C602),"January","February","March","April","May","June","July","August","September","October","November","December")&amp;" "&amp;DAY(C602)&amp;MID("thstndrdth",MIN(9,2*RIGHT(DAY(C602))*(MOD(DAY(C602)-11,100)&gt;2)+1),2)&amp;","&amp;TEXT(C602," yyyy"))</f>
        <v>November 1st,2021</v>
      </c>
      <c r="AB602" s="15" t="str">
        <f aca="true">IF(S602="","",DATEDIF(S602,TODAY(),"Y")&amp;" Tahun, "&amp;DATEDIF(S602,TODAY(),"YM")&amp;" Bulan, "&amp;DATEDIF(S602,TODAY(),"MD")&amp;" Hari")</f>
        <v>36 Tahun, 5 Bulan, 12 Hari</v>
      </c>
      <c r="AC602" s="18" t="n">
        <v>45569</v>
      </c>
      <c r="AD602" s="18" t="n">
        <v>45933</v>
      </c>
      <c r="AE602" s="18" t="s">
        <v>44</v>
      </c>
    </row>
    <row r="603" customFormat="false" ht="15.75" hidden="false" customHeight="true" outlineLevel="0" collapsed="false">
      <c r="A603" s="12" t="n">
        <v>3674</v>
      </c>
      <c r="B603" s="13" t="s">
        <v>2708</v>
      </c>
      <c r="C603" s="14" t="n">
        <v>44501</v>
      </c>
      <c r="D603" s="13" t="s">
        <v>2607</v>
      </c>
      <c r="E603" s="15" t="s">
        <v>47</v>
      </c>
      <c r="F603" s="15" t="str">
        <f aca="false">IFERROR(__xludf.dummyfunction("XLOOKUP(AJ603,IMPORTRANGE(""1XaInW9DU9nz21V0tYIfzFQ0He9kVQ_JF2mCXgZ3hqFA"",""REKAP ALL 2026 - Andika!G:G""),IMPORTRANGE(""1XaInW9DU9nz21V0tYIfzFQ0He9kVQ_JF2mCXgZ3hqFA"",""REKAP ALL 2026 - Andika!F:F""),"""",0)"),"21019185061")</f>
        <v>21019185061</v>
      </c>
      <c r="G603" s="13" t="s">
        <v>2709</v>
      </c>
      <c r="H603" s="13" t="s">
        <v>35</v>
      </c>
      <c r="I603" s="13" t="str">
        <f aca="false">IF(C603=J603,"NEW KONTRAK","RE-KONTRAK")</f>
        <v>RE-KONTRAK</v>
      </c>
      <c r="J603" s="16" t="n">
        <f aca="false" t="array" ref="J603:J603">IFERROR(INDEX(AC603:AE603,IF(COUNTA(AC603:AE603)=0,"",MAX((AC603:AE603&lt;&gt;"")*(COLUMN(AC603:AE603)-(COLUMN(AC603)))))-1),"")</f>
        <v>45569</v>
      </c>
      <c r="K603" s="16" t="n">
        <f aca="false" t="array" ref="K603:K603">IFERROR(INDEX(AC603:AE603,IF(COUNTA(AC603:AE603)=0,"",MAX((AC603:AE603&lt;&gt;"")*(COLUMN(AC603:AE603)-(COLUMN(AC603)-1))))-1),"")</f>
        <v>45933</v>
      </c>
      <c r="L603" s="17" t="str">
        <f aca="false" t="array" ref="L603:L603">IFERROR(INDEX(AC603:AE603,IF(COUNTA(AC603:AE603)=0,"",MAX((AC603:AE603&lt;&gt;"")*(COLUMN(AC603:AE603)-(COLUMN(AC603)-2))))-1),"")</f>
        <v>ARCHIVED</v>
      </c>
      <c r="M603" s="13" t="n">
        <f aca="true">K603-TODAY()</f>
        <v>-391</v>
      </c>
      <c r="N603" s="18" t="s">
        <v>36</v>
      </c>
      <c r="O603" s="13" t="s">
        <v>2622</v>
      </c>
      <c r="P603" s="19" t="n">
        <v>5195401</v>
      </c>
      <c r="Q603" s="20" t="s">
        <v>2710</v>
      </c>
      <c r="R603" s="13" t="s">
        <v>246</v>
      </c>
      <c r="S603" s="14" t="n">
        <v>33615</v>
      </c>
      <c r="T603" s="13" t="s">
        <v>40</v>
      </c>
      <c r="U603" s="13" t="s">
        <v>2711</v>
      </c>
      <c r="V603" s="28" t="s">
        <v>42</v>
      </c>
      <c r="W603" s="28" t="s">
        <v>54</v>
      </c>
      <c r="X603" s="21" t="n">
        <v>85853563374</v>
      </c>
      <c r="Y603" s="22" t="str">
        <f aca="false">O603</f>
        <v>Gudang H-Jack</v>
      </c>
      <c r="Z603" s="13" t="str">
        <f aca="false">IFERROR(__xludf.dummyfunction("if(BJ603="""","""",GOOGLETRANSLATE(BJ603,""auto"",""en""))"),"Gudang H-Jack")</f>
        <v>Gudang H-Jack</v>
      </c>
      <c r="AA603" s="23" t="str">
        <f aca="false">IF(C603="","", CHOOSE(MONTH(C603),"January","February","March","April","May","June","July","August","September","October","November","December")&amp;" "&amp;DAY(C603)&amp;MID("thstndrdth",MIN(9,2*RIGHT(DAY(C603))*(MOD(DAY(C603)-11,100)&gt;2)+1),2)&amp;","&amp;TEXT(C603," yyyy"))</f>
        <v>November 1st,2021</v>
      </c>
      <c r="AB603" s="15" t="str">
        <f aca="true">IF(S603="","",DATEDIF(S603,TODAY(),"Y")&amp;" Tahun, "&amp;DATEDIF(S603,TODAY(),"YM")&amp;" Bulan, "&amp;DATEDIF(S603,TODAY(),"MD")&amp;" Hari")</f>
        <v>34 Tahun, 9 Bulan, 17 Hari</v>
      </c>
      <c r="AC603" s="18" t="n">
        <v>45569</v>
      </c>
      <c r="AD603" s="18" t="n">
        <v>45933</v>
      </c>
      <c r="AE603" s="18" t="s">
        <v>44</v>
      </c>
    </row>
    <row r="604" customFormat="false" ht="15.75" hidden="false" customHeight="true" outlineLevel="0" collapsed="false">
      <c r="A604" s="12" t="n">
        <v>3675</v>
      </c>
      <c r="B604" s="13" t="s">
        <v>2712</v>
      </c>
      <c r="C604" s="14" t="n">
        <v>44501</v>
      </c>
      <c r="D604" s="13" t="s">
        <v>2607</v>
      </c>
      <c r="E604" s="15" t="s">
        <v>47</v>
      </c>
      <c r="F604" s="15" t="str">
        <f aca="false">IFERROR(__xludf.dummyfunction("XLOOKUP(AJ604,IMPORTRANGE(""1XaInW9DU9nz21V0tYIfzFQ0He9kVQ_JF2mCXgZ3hqFA"",""REKAP ALL 2026 - Andika!G:G""),IMPORTRANGE(""1XaInW9DU9nz21V0tYIfzFQ0He9kVQ_JF2mCXgZ3hqFA"",""REKAP ALL 2026 - Andika!F:F""),"""",0)"),"21019184957")</f>
        <v>21019184957</v>
      </c>
      <c r="G604" s="13" t="s">
        <v>2713</v>
      </c>
      <c r="H604" s="13" t="s">
        <v>35</v>
      </c>
      <c r="I604" s="13" t="str">
        <f aca="false">IF(C604=J604,"NEW KONTRAK","RE-KONTRAK")</f>
        <v>RE-KONTRAK</v>
      </c>
      <c r="J604" s="16" t="n">
        <f aca="false" t="array" ref="J604:J604">IFERROR(INDEX(AC604:AE604,IF(COUNTA(AC604:AE604)=0,"",MAX((AC604:AE604&lt;&gt;"")*(COLUMN(AC604:AE604)-(COLUMN(AC604)))))-1),"")</f>
        <v>45569</v>
      </c>
      <c r="K604" s="16" t="n">
        <f aca="false" t="array" ref="K604:K604">IFERROR(INDEX(AC604:AE604,IF(COUNTA(AC604:AE604)=0,"",MAX((AC604:AE604&lt;&gt;"")*(COLUMN(AC604:AE604)-(COLUMN(AC604)-1))))-1),"")</f>
        <v>45933</v>
      </c>
      <c r="L604" s="17" t="str">
        <f aca="false" t="array" ref="L604:L604">IFERROR(INDEX(AC604:AE604,IF(COUNTA(AC604:AE604)=0,"",MAX((AC604:AE604&lt;&gt;"")*(COLUMN(AC604:AE604)-(COLUMN(AC604)-2))))-1),"")</f>
        <v>ARCHIVED</v>
      </c>
      <c r="M604" s="13" t="n">
        <f aca="true">K604-TODAY()</f>
        <v>-391</v>
      </c>
      <c r="N604" s="18" t="s">
        <v>36</v>
      </c>
      <c r="O604" s="13" t="s">
        <v>2609</v>
      </c>
      <c r="P604" s="19" t="n">
        <v>5195401</v>
      </c>
      <c r="Q604" s="20" t="s">
        <v>2714</v>
      </c>
      <c r="R604" s="13" t="s">
        <v>73</v>
      </c>
      <c r="S604" s="14" t="n">
        <v>34045</v>
      </c>
      <c r="T604" s="13" t="s">
        <v>40</v>
      </c>
      <c r="U604" s="13" t="s">
        <v>2715</v>
      </c>
      <c r="V604" s="28" t="s">
        <v>42</v>
      </c>
      <c r="W604" s="28" t="s">
        <v>54</v>
      </c>
      <c r="X604" s="21" t="n">
        <v>85733973919</v>
      </c>
      <c r="Y604" s="22" t="str">
        <f aca="false">O604</f>
        <v>Produksi H-Jack</v>
      </c>
      <c r="Z604" s="13" t="str">
        <f aca="false">IFERROR(__xludf.dummyfunction("if(BJ604="""","""",GOOGLETRANSLATE(BJ604,""auto"",""en""))"),"H-Jack Production")</f>
        <v>H-Jack Production</v>
      </c>
      <c r="AA604" s="23" t="str">
        <f aca="false">IF(C604="","", CHOOSE(MONTH(C604),"January","February","March","April","May","June","July","August","September","October","November","December")&amp;" "&amp;DAY(C604)&amp;MID("thstndrdth",MIN(9,2*RIGHT(DAY(C604))*(MOD(DAY(C604)-11,100)&gt;2)+1),2)&amp;","&amp;TEXT(C604," yyyy"))</f>
        <v>November 1st,2021</v>
      </c>
      <c r="AB604" s="15" t="str">
        <f aca="true">IF(S604="","",DATEDIF(S604,TODAY(),"Y")&amp;" Tahun, "&amp;DATEDIF(S604,TODAY(),"YM")&amp;" Bulan, "&amp;DATEDIF(S604,TODAY(),"MD")&amp;" Hari")</f>
        <v>33 Tahun, 7 Bulan, 12 Hari</v>
      </c>
      <c r="AC604" s="18" t="n">
        <v>45569</v>
      </c>
      <c r="AD604" s="18" t="n">
        <v>45933</v>
      </c>
      <c r="AE604" s="18" t="s">
        <v>44</v>
      </c>
    </row>
    <row r="605" customFormat="false" ht="15.75" hidden="false" customHeight="true" outlineLevel="0" collapsed="false">
      <c r="A605" s="12" t="n">
        <v>3676</v>
      </c>
      <c r="B605" s="13" t="s">
        <v>2716</v>
      </c>
      <c r="C605" s="14" t="n">
        <v>44501</v>
      </c>
      <c r="D605" s="13" t="s">
        <v>2607</v>
      </c>
      <c r="E605" s="15" t="s">
        <v>47</v>
      </c>
      <c r="F605" s="15" t="str">
        <f aca="false">IFERROR(__xludf.dummyfunction("XLOOKUP(AJ605,IMPORTRANGE(""1XaInW9DU9nz21V0tYIfzFQ0He9kVQ_JF2mCXgZ3hqFA"",""REKAP ALL 2026 - Andika!G:G""),IMPORTRANGE(""1XaInW9DU9nz21V0tYIfzFQ0He9kVQ_JF2mCXgZ3hqFA"",""REKAP ALL 2026 - Andika!F:F""),"""",0)"),"21019185004")</f>
        <v>21019185004</v>
      </c>
      <c r="G605" s="13" t="s">
        <v>2717</v>
      </c>
      <c r="H605" s="13" t="s">
        <v>35</v>
      </c>
      <c r="I605" s="13" t="str">
        <f aca="false">IF(C605=J605,"NEW KONTRAK","RE-KONTRAK")</f>
        <v>RE-KONTRAK</v>
      </c>
      <c r="J605" s="16" t="n">
        <f aca="false" t="array" ref="J605:J605">IFERROR(INDEX(AC605:AE605,IF(COUNTA(AC605:AE605)=0,"",MAX((AC605:AE605&lt;&gt;"")*(COLUMN(AC605:AE605)-(COLUMN(AC605)))))-1),"")</f>
        <v>45569</v>
      </c>
      <c r="K605" s="16" t="n">
        <f aca="false" t="array" ref="K605:K605">IFERROR(INDEX(AC605:AE605,IF(COUNTA(AC605:AE605)=0,"",MAX((AC605:AE605&lt;&gt;"")*(COLUMN(AC605:AE605)-(COLUMN(AC605)-1))))-1),"")</f>
        <v>45933</v>
      </c>
      <c r="L605" s="17" t="str">
        <f aca="false" t="array" ref="L605:L605">IFERROR(INDEX(AC605:AE605,IF(COUNTA(AC605:AE605)=0,"",MAX((AC605:AE605&lt;&gt;"")*(COLUMN(AC605:AE605)-(COLUMN(AC605)-2))))-1),"")</f>
        <v>ARCHIVED</v>
      </c>
      <c r="M605" s="13" t="n">
        <f aca="true">K605-TODAY()</f>
        <v>-391</v>
      </c>
      <c r="N605" s="18" t="s">
        <v>36</v>
      </c>
      <c r="O605" s="13" t="s">
        <v>2609</v>
      </c>
      <c r="P605" s="19" t="n">
        <v>5195401</v>
      </c>
      <c r="Q605" s="20" t="s">
        <v>2718</v>
      </c>
      <c r="R605" s="13" t="s">
        <v>232</v>
      </c>
      <c r="S605" s="14" t="n">
        <v>33724</v>
      </c>
      <c r="T605" s="13" t="s">
        <v>40</v>
      </c>
      <c r="U605" s="13" t="s">
        <v>2719</v>
      </c>
      <c r="V605" s="28" t="s">
        <v>42</v>
      </c>
      <c r="W605" s="28" t="s">
        <v>54</v>
      </c>
      <c r="X605" s="21" t="n">
        <v>85655197346</v>
      </c>
      <c r="Y605" s="22" t="str">
        <f aca="false">O605</f>
        <v>Produksi H-Jack</v>
      </c>
      <c r="Z605" s="13" t="str">
        <f aca="false">IFERROR(__xludf.dummyfunction("if(BJ605="""","""",GOOGLETRANSLATE(BJ605,""auto"",""en""))"),"H-Jack Production")</f>
        <v>H-Jack Production</v>
      </c>
      <c r="AA605" s="23" t="str">
        <f aca="false">IF(C605="","", CHOOSE(MONTH(C605),"January","February","March","April","May","June","July","August","September","October","November","December")&amp;" "&amp;DAY(C605)&amp;MID("thstndrdth",MIN(9,2*RIGHT(DAY(C605))*(MOD(DAY(C605)-11,100)&gt;2)+1),2)&amp;","&amp;TEXT(C605," yyyy"))</f>
        <v>November 1st,2021</v>
      </c>
      <c r="AB605" s="15" t="str">
        <f aca="true">IF(S605="","",DATEDIF(S605,TODAY(),"Y")&amp;" Tahun, "&amp;DATEDIF(S605,TODAY(),"YM")&amp;" Bulan, "&amp;DATEDIF(S605,TODAY(),"MD")&amp;" Hari")</f>
        <v>34 Tahun, 5 Bulan, 29 Hari</v>
      </c>
      <c r="AC605" s="18" t="n">
        <v>45569</v>
      </c>
      <c r="AD605" s="18" t="n">
        <v>45933</v>
      </c>
      <c r="AE605" s="18" t="s">
        <v>44</v>
      </c>
    </row>
    <row r="606" customFormat="false" ht="15.75" hidden="false" customHeight="true" outlineLevel="0" collapsed="false">
      <c r="A606" s="12" t="n">
        <v>3677</v>
      </c>
      <c r="B606" s="13" t="s">
        <v>2720</v>
      </c>
      <c r="C606" s="14" t="n">
        <v>44501</v>
      </c>
      <c r="D606" s="13" t="s">
        <v>2607</v>
      </c>
      <c r="E606" s="15" t="s">
        <v>47</v>
      </c>
      <c r="F606" s="15" t="str">
        <f aca="false">IFERROR(__xludf.dummyfunction("XLOOKUP(AJ606,IMPORTRANGE(""1XaInW9DU9nz21V0tYIfzFQ0He9kVQ_JF2mCXgZ3hqFA"",""REKAP ALL 2026 - Andika!G:G""),IMPORTRANGE(""1XaInW9DU9nz21V0tYIfzFQ0He9kVQ_JF2mCXgZ3hqFA"",""REKAP ALL 2026 - Andika!F:F""),"""",0)"),"21025808433")</f>
        <v>21025808433</v>
      </c>
      <c r="G606" s="13" t="s">
        <v>2721</v>
      </c>
      <c r="H606" s="13" t="s">
        <v>35</v>
      </c>
      <c r="I606" s="13" t="str">
        <f aca="false">IF(C606=J606,"NEW KONTRAK","RE-KONTRAK")</f>
        <v>RE-KONTRAK</v>
      </c>
      <c r="J606" s="16" t="n">
        <f aca="false" t="array" ref="J606:J606">IFERROR(INDEX(AC606:AE606,IF(COUNTA(AC606:AE606)=0,"",MAX((AC606:AE606&lt;&gt;"")*(COLUMN(AC606:AE606)-(COLUMN(AC606)))))-1),"")</f>
        <v>45569</v>
      </c>
      <c r="K606" s="16" t="n">
        <f aca="false" t="array" ref="K606:K606">IFERROR(INDEX(AC606:AE606,IF(COUNTA(AC606:AE606)=0,"",MAX((AC606:AE606&lt;&gt;"")*(COLUMN(AC606:AE606)-(COLUMN(AC606)-1))))-1),"")</f>
        <v>45933</v>
      </c>
      <c r="L606" s="17" t="str">
        <f aca="false" t="array" ref="L606:L606">IFERROR(INDEX(AC606:AE606,IF(COUNTA(AC606:AE606)=0,"",MAX((AC606:AE606&lt;&gt;"")*(COLUMN(AC606:AE606)-(COLUMN(AC606)-2))))-1),"")</f>
        <v>ARCHIVED</v>
      </c>
      <c r="M606" s="13" t="n">
        <f aca="true">K606-TODAY()</f>
        <v>-391</v>
      </c>
      <c r="N606" s="18" t="s">
        <v>36</v>
      </c>
      <c r="O606" s="13" t="s">
        <v>2609</v>
      </c>
      <c r="P606" s="19" t="n">
        <v>5195401</v>
      </c>
      <c r="Q606" s="20" t="s">
        <v>2722</v>
      </c>
      <c r="R606" s="13" t="s">
        <v>39</v>
      </c>
      <c r="S606" s="14" t="n">
        <v>30001</v>
      </c>
      <c r="T606" s="13" t="s">
        <v>108</v>
      </c>
      <c r="U606" s="13" t="s">
        <v>2723</v>
      </c>
      <c r="V606" s="28" t="s">
        <v>42</v>
      </c>
      <c r="W606" s="28" t="s">
        <v>54</v>
      </c>
      <c r="X606" s="21" t="n">
        <v>85646317004</v>
      </c>
      <c r="Y606" s="22" t="str">
        <f aca="false">O606</f>
        <v>Produksi H-Jack</v>
      </c>
      <c r="Z606" s="13" t="str">
        <f aca="false">IFERROR(__xludf.dummyfunction("if(BJ606="""","""",GOOGLETRANSLATE(BJ606,""auto"",""en""))"),"H-Jack Production")</f>
        <v>H-Jack Production</v>
      </c>
      <c r="AA606" s="23" t="str">
        <f aca="false">IF(C606="","", CHOOSE(MONTH(C606),"January","February","March","April","May","June","July","August","September","October","November","December")&amp;" "&amp;DAY(C606)&amp;MID("thstndrdth",MIN(9,2*RIGHT(DAY(C606))*(MOD(DAY(C606)-11,100)&gt;2)+1),2)&amp;","&amp;TEXT(C606," yyyy"))</f>
        <v>November 1st,2021</v>
      </c>
      <c r="AB606" s="15" t="str">
        <f aca="true">IF(S606="","",DATEDIF(S606,TODAY(),"Y")&amp;" Tahun, "&amp;DATEDIF(S606,TODAY(),"YM")&amp;" Bulan, "&amp;DATEDIF(S606,TODAY(),"MD")&amp;" Hari")</f>
        <v>44 Tahun, 8 Bulan, 10 Hari</v>
      </c>
      <c r="AC606" s="18" t="n">
        <v>45569</v>
      </c>
      <c r="AD606" s="18" t="n">
        <v>45933</v>
      </c>
      <c r="AE606" s="18" t="s">
        <v>44</v>
      </c>
    </row>
    <row r="607" customFormat="false" ht="15.75" hidden="false" customHeight="true" outlineLevel="0" collapsed="false">
      <c r="A607" s="12" t="n">
        <v>3678</v>
      </c>
      <c r="B607" s="13" t="s">
        <v>2724</v>
      </c>
      <c r="C607" s="14" t="n">
        <v>44501</v>
      </c>
      <c r="D607" s="13" t="s">
        <v>2607</v>
      </c>
      <c r="E607" s="15" t="s">
        <v>47</v>
      </c>
      <c r="F607" s="15" t="str">
        <f aca="false">IFERROR(__xludf.dummyfunction("XLOOKUP(AJ607,IMPORTRANGE(""1XaInW9DU9nz21V0tYIfzFQ0He9kVQ_JF2mCXgZ3hqFA"",""REKAP ALL 2026 - Andika!G:G""),IMPORTRANGE(""1XaInW9DU9nz21V0tYIfzFQ0He9kVQ_JF2mCXgZ3hqFA"",""REKAP ALL 2026 - Andika!F:F""),"""",0)"),"21019185079")</f>
        <v>21019185079</v>
      </c>
      <c r="G607" s="13" t="s">
        <v>2725</v>
      </c>
      <c r="H607" s="13" t="s">
        <v>35</v>
      </c>
      <c r="I607" s="13" t="str">
        <f aca="false">IF(C607=J607,"NEW KONTRAK","RE-KONTRAK")</f>
        <v>RE-KONTRAK</v>
      </c>
      <c r="J607" s="16" t="n">
        <f aca="false" t="array" ref="J607:J607">IFERROR(INDEX(AC607:AE607,IF(COUNTA(AC607:AE607)=0,"",MAX((AC607:AE607&lt;&gt;"")*(COLUMN(AC607:AE607)-(COLUMN(AC607)))))-1),"")</f>
        <v>45569</v>
      </c>
      <c r="K607" s="16" t="n">
        <f aca="false" t="array" ref="K607:K607">IFERROR(INDEX(AC607:AE607,IF(COUNTA(AC607:AE607)=0,"",MAX((AC607:AE607&lt;&gt;"")*(COLUMN(AC607:AE607)-(COLUMN(AC607)-1))))-1),"")</f>
        <v>45933</v>
      </c>
      <c r="L607" s="17" t="str">
        <f aca="false" t="array" ref="L607:L607">IFERROR(INDEX(AC607:AE607,IF(COUNTA(AC607:AE607)=0,"",MAX((AC607:AE607&lt;&gt;"")*(COLUMN(AC607:AE607)-(COLUMN(AC607)-2))))-1),"")</f>
        <v>ARCHIVED</v>
      </c>
      <c r="M607" s="13" t="n">
        <f aca="true">K607-TODAY()</f>
        <v>-391</v>
      </c>
      <c r="N607" s="18" t="s">
        <v>36</v>
      </c>
      <c r="O607" s="13" t="s">
        <v>2689</v>
      </c>
      <c r="P607" s="19" t="n">
        <v>5195401</v>
      </c>
      <c r="Q607" s="20" t="s">
        <v>2726</v>
      </c>
      <c r="R607" s="13" t="s">
        <v>39</v>
      </c>
      <c r="S607" s="14" t="n">
        <v>30965</v>
      </c>
      <c r="T607" s="13" t="s">
        <v>108</v>
      </c>
      <c r="U607" s="13" t="s">
        <v>2727</v>
      </c>
      <c r="V607" s="28" t="s">
        <v>42</v>
      </c>
      <c r="W607" s="28" t="s">
        <v>54</v>
      </c>
      <c r="X607" s="21" t="n">
        <v>85755435584</v>
      </c>
      <c r="Y607" s="22" t="str">
        <f aca="false">O607</f>
        <v>Produksi Wiper</v>
      </c>
      <c r="Z607" s="13" t="str">
        <f aca="false">IFERROR(__xludf.dummyfunction("if(BJ607="""","""",GOOGLETRANSLATE(BJ607,""auto"",""en""))"),"Wiper Production")</f>
        <v>Wiper Production</v>
      </c>
      <c r="AA607" s="23" t="str">
        <f aca="false">IF(C607="","", CHOOSE(MONTH(C607),"January","February","March","April","May","June","July","August","September","October","November","December")&amp;" "&amp;DAY(C607)&amp;MID("thstndrdth",MIN(9,2*RIGHT(DAY(C607))*(MOD(DAY(C607)-11,100)&gt;2)+1),2)&amp;","&amp;TEXT(C607," yyyy"))</f>
        <v>November 1st,2021</v>
      </c>
      <c r="AB607" s="15" t="str">
        <f aca="true">IF(S607="","",DATEDIF(S607,TODAY(),"Y")&amp;" Tahun, "&amp;DATEDIF(S607,TODAY(),"YM")&amp;" Bulan, "&amp;DATEDIF(S607,TODAY(),"MD")&amp;" Hari")</f>
        <v>42 Tahun, 0 Bulan, 19 Hari</v>
      </c>
      <c r="AC607" s="18" t="n">
        <v>45569</v>
      </c>
      <c r="AD607" s="18" t="n">
        <v>45933</v>
      </c>
      <c r="AE607" s="18" t="s">
        <v>44</v>
      </c>
    </row>
    <row r="608" customFormat="false" ht="15.75" hidden="false" customHeight="true" outlineLevel="0" collapsed="false">
      <c r="A608" s="12" t="n">
        <v>3679</v>
      </c>
      <c r="B608" s="13" t="s">
        <v>2728</v>
      </c>
      <c r="C608" s="14" t="n">
        <v>44501</v>
      </c>
      <c r="D608" s="13" t="s">
        <v>2607</v>
      </c>
      <c r="E608" s="15" t="s">
        <v>102</v>
      </c>
      <c r="F608" s="24" t="s">
        <v>2729</v>
      </c>
      <c r="G608" s="13" t="s">
        <v>2730</v>
      </c>
      <c r="H608" s="13" t="s">
        <v>35</v>
      </c>
      <c r="I608" s="13" t="str">
        <f aca="false">IF(C608=J608,"NEW KONTRAK","RE-KONTRAK")</f>
        <v>RE-KONTRAK</v>
      </c>
      <c r="J608" s="16" t="n">
        <f aca="false" t="array" ref="J608:J608">IFERROR(INDEX(AC608:AE608,IF(COUNTA(AC608:AE608)=0,"",MAX((AC608:AE608&lt;&gt;"")*(COLUMN(AC608:AE608)-(COLUMN(AC608)))))-1),"")</f>
        <v>45569</v>
      </c>
      <c r="K608" s="16" t="n">
        <f aca="false" t="array" ref="K608:K608">IFERROR(INDEX(AC608:AE608,IF(COUNTA(AC608:AE608)=0,"",MAX((AC608:AE608&lt;&gt;"")*(COLUMN(AC608:AE608)-(COLUMN(AC608)-1))))-1),"")</f>
        <v>45933</v>
      </c>
      <c r="L608" s="17" t="str">
        <f aca="false" t="array" ref="L608:L608">IFERROR(INDEX(AC608:AE608,IF(COUNTA(AC608:AE608)=0,"",MAX((AC608:AE608&lt;&gt;"")*(COLUMN(AC608:AE608)-(COLUMN(AC608)-2))))-1),"")</f>
        <v>ARCHIVED</v>
      </c>
      <c r="M608" s="13" t="n">
        <f aca="true">K608-TODAY()</f>
        <v>-391</v>
      </c>
      <c r="N608" s="18" t="s">
        <v>36</v>
      </c>
      <c r="O608" s="13" t="s">
        <v>2731</v>
      </c>
      <c r="P608" s="19" t="n">
        <v>4943763</v>
      </c>
      <c r="Q608" s="20" t="s">
        <v>2732</v>
      </c>
      <c r="R608" s="13" t="s">
        <v>39</v>
      </c>
      <c r="S608" s="14" t="n">
        <v>34688</v>
      </c>
      <c r="T608" s="13" t="s">
        <v>40</v>
      </c>
      <c r="U608" s="13" t="s">
        <v>2733</v>
      </c>
      <c r="V608" s="28" t="s">
        <v>42</v>
      </c>
      <c r="W608" s="28" t="s">
        <v>54</v>
      </c>
      <c r="X608" s="21" t="n">
        <v>89609740066</v>
      </c>
      <c r="Y608" s="22" t="str">
        <f aca="false">O608</f>
        <v>Gudang Wiper</v>
      </c>
      <c r="Z608" s="13" t="str">
        <f aca="false">IFERROR(__xludf.dummyfunction("if(BJ608="""","""",GOOGLETRANSLATE(BJ608,""auto"",""en""))"),"Wiper Warehouse")</f>
        <v>Wiper Warehouse</v>
      </c>
      <c r="AA608" s="23" t="str">
        <f aca="false">IF(C608="","", CHOOSE(MONTH(C608),"January","February","March","April","May","June","July","August","September","October","November","December")&amp;" "&amp;DAY(C608)&amp;MID("thstndrdth",MIN(9,2*RIGHT(DAY(C608))*(MOD(DAY(C608)-11,100)&gt;2)+1),2)&amp;","&amp;TEXT(C608," yyyy"))</f>
        <v>November 1st,2021</v>
      </c>
      <c r="AB608" s="15" t="str">
        <f aca="true">IF(S608="","",DATEDIF(S608,TODAY(),"Y")&amp;" Tahun, "&amp;DATEDIF(S608,TODAY(),"YM")&amp;" Bulan, "&amp;DATEDIF(S608,TODAY(),"MD")&amp;" Hari")</f>
        <v>31 Tahun, 10 Bulan, 9 Hari</v>
      </c>
      <c r="AC608" s="18" t="n">
        <v>45569</v>
      </c>
      <c r="AD608" s="18" t="n">
        <v>45933</v>
      </c>
      <c r="AE608" s="18" t="s">
        <v>44</v>
      </c>
    </row>
    <row r="609" customFormat="false" ht="15.75" hidden="false" customHeight="true" outlineLevel="0" collapsed="false">
      <c r="A609" s="12" t="n">
        <v>3680</v>
      </c>
      <c r="B609" s="13" t="s">
        <v>2734</v>
      </c>
      <c r="C609" s="14" t="n">
        <v>44501</v>
      </c>
      <c r="D609" s="13" t="s">
        <v>2607</v>
      </c>
      <c r="E609" s="15" t="s">
        <v>47</v>
      </c>
      <c r="F609" s="15" t="str">
        <f aca="false">IFERROR(__xludf.dummyfunction("XLOOKUP(AJ609,IMPORTRANGE(""1XaInW9DU9nz21V0tYIfzFQ0He9kVQ_JF2mCXgZ3hqFA"",""REKAP ALL 2026 - Andika!G:G""),IMPORTRANGE(""1XaInW9DU9nz21V0tYIfzFQ0He9kVQ_JF2mCXgZ3hqFA"",""REKAP ALL 2026 - Andika!F:F""),"""",0)"),"21019184940")</f>
        <v>21019184940</v>
      </c>
      <c r="G609" s="13" t="s">
        <v>2735</v>
      </c>
      <c r="H609" s="13" t="s">
        <v>35</v>
      </c>
      <c r="I609" s="13" t="str">
        <f aca="false">IF(C609=J609,"NEW KONTRAK","RE-KONTRAK")</f>
        <v>RE-KONTRAK</v>
      </c>
      <c r="J609" s="16" t="n">
        <f aca="false" t="array" ref="J609:J609">IFERROR(INDEX(AC609:AE609,IF(COUNTA(AC609:AE609)=0,"",MAX((AC609:AE609&lt;&gt;"")*(COLUMN(AC609:AE609)-(COLUMN(AC609)))))-1),"")</f>
        <v>45569</v>
      </c>
      <c r="K609" s="16" t="n">
        <f aca="false" t="array" ref="K609:K609">IFERROR(INDEX(AC609:AE609,IF(COUNTA(AC609:AE609)=0,"",MAX((AC609:AE609&lt;&gt;"")*(COLUMN(AC609:AE609)-(COLUMN(AC609)-1))))-1),"")</f>
        <v>45933</v>
      </c>
      <c r="L609" s="17" t="str">
        <f aca="false" t="array" ref="L609:L609">IFERROR(INDEX(AC609:AE609,IF(COUNTA(AC609:AE609)=0,"",MAX((AC609:AE609&lt;&gt;"")*(COLUMN(AC609:AE609)-(COLUMN(AC609)-2))))-1),"")</f>
        <v>ARCHIVED</v>
      </c>
      <c r="M609" s="13" t="n">
        <f aca="true">K609-TODAY()</f>
        <v>-391</v>
      </c>
      <c r="N609" s="18" t="s">
        <v>36</v>
      </c>
      <c r="O609" s="13" t="s">
        <v>2731</v>
      </c>
      <c r="P609" s="19" t="n">
        <v>5195401</v>
      </c>
      <c r="Q609" s="20" t="s">
        <v>2736</v>
      </c>
      <c r="R609" s="13" t="s">
        <v>65</v>
      </c>
      <c r="S609" s="14" t="n">
        <v>35165</v>
      </c>
      <c r="T609" s="13" t="s">
        <v>40</v>
      </c>
      <c r="U609" s="13" t="s">
        <v>2737</v>
      </c>
      <c r="V609" s="28" t="s">
        <v>42</v>
      </c>
      <c r="W609" s="28" t="s">
        <v>54</v>
      </c>
      <c r="X609" s="21" t="n">
        <v>81357124167</v>
      </c>
      <c r="Y609" s="22" t="str">
        <f aca="false">O609</f>
        <v>Gudang Wiper</v>
      </c>
      <c r="Z609" s="13" t="str">
        <f aca="false">IFERROR(__xludf.dummyfunction("if(BJ609="""","""",GOOGLETRANSLATE(BJ609,""auto"",""en""))"),"Wiper Warehouse")</f>
        <v>Wiper Warehouse</v>
      </c>
      <c r="AA609" s="23" t="str">
        <f aca="false">IF(C609="","", CHOOSE(MONTH(C609),"January","February","March","April","May","June","July","August","September","October","November","December")&amp;" "&amp;DAY(C609)&amp;MID("thstndrdth",MIN(9,2*RIGHT(DAY(C609))*(MOD(DAY(C609)-11,100)&gt;2)+1),2)&amp;","&amp;TEXT(C609," yyyy"))</f>
        <v>November 1st,2021</v>
      </c>
      <c r="AB609" s="15" t="str">
        <f aca="true">IF(S609="","",DATEDIF(S609,TODAY(),"Y")&amp;" Tahun, "&amp;DATEDIF(S609,TODAY(),"YM")&amp;" Bulan, "&amp;DATEDIF(S609,TODAY(),"MD")&amp;" Hari")</f>
        <v>30 Tahun, 6 Bulan, 19 Hari</v>
      </c>
      <c r="AC609" s="18" t="n">
        <v>45569</v>
      </c>
      <c r="AD609" s="18" t="n">
        <v>45933</v>
      </c>
      <c r="AE609" s="18" t="s">
        <v>44</v>
      </c>
    </row>
    <row r="610" customFormat="false" ht="15.75" hidden="false" customHeight="true" outlineLevel="0" collapsed="false">
      <c r="A610" s="12" t="n">
        <v>3681</v>
      </c>
      <c r="B610" s="13" t="s">
        <v>2738</v>
      </c>
      <c r="C610" s="14" t="n">
        <v>44501</v>
      </c>
      <c r="D610" s="13" t="s">
        <v>2607</v>
      </c>
      <c r="E610" s="15" t="s">
        <v>47</v>
      </c>
      <c r="F610" s="15" t="str">
        <f aca="false">IFERROR(__xludf.dummyfunction("XLOOKUP(AJ610,IMPORTRANGE(""1XaInW9DU9nz21V0tYIfzFQ0He9kVQ_JF2mCXgZ3hqFA"",""REKAP ALL 2026 - Andika!G:G""),IMPORTRANGE(""1XaInW9DU9nz21V0tYIfzFQ0He9kVQ_JF2mCXgZ3hqFA"",""REKAP ALL 2026 - Andika!F:F""),"""",0)"),"00NC0018258")</f>
        <v>00NC0018258</v>
      </c>
      <c r="G610" s="13" t="s">
        <v>2739</v>
      </c>
      <c r="H610" s="13" t="s">
        <v>35</v>
      </c>
      <c r="I610" s="13" t="str">
        <f aca="false">IF(C610=J610,"NEW KONTRAK","RE-KONTRAK")</f>
        <v>RE-KONTRAK</v>
      </c>
      <c r="J610" s="16" t="n">
        <f aca="false" t="array" ref="J610:J610">IFERROR(INDEX(AC610:AE610,IF(COUNTA(AC610:AE610)=0,"",MAX((AC610:AE610&lt;&gt;"")*(COLUMN(AC610:AE610)-(COLUMN(AC610)))))-1),"")</f>
        <v>45569</v>
      </c>
      <c r="K610" s="16" t="n">
        <f aca="false" t="array" ref="K610:K610">IFERROR(INDEX(AC610:AE610,IF(COUNTA(AC610:AE610)=0,"",MAX((AC610:AE610&lt;&gt;"")*(COLUMN(AC610:AE610)-(COLUMN(AC610)-1))))-1),"")</f>
        <v>45933</v>
      </c>
      <c r="L610" s="17" t="str">
        <f aca="false" t="array" ref="L610:L610">IFERROR(INDEX(AC610:AE610,IF(COUNTA(AC610:AE610)=0,"",MAX((AC610:AE610&lt;&gt;"")*(COLUMN(AC610:AE610)-(COLUMN(AC610)-2))))-1),"")</f>
        <v>ARCHIVED</v>
      </c>
      <c r="M610" s="13" t="n">
        <f aca="true">K610-TODAY()</f>
        <v>-391</v>
      </c>
      <c r="N610" s="18" t="s">
        <v>36</v>
      </c>
      <c r="O610" s="13" t="s">
        <v>2609</v>
      </c>
      <c r="P610" s="19" t="n">
        <v>5195401</v>
      </c>
      <c r="Q610" s="20" t="s">
        <v>2740</v>
      </c>
      <c r="R610" s="13" t="s">
        <v>65</v>
      </c>
      <c r="S610" s="14" t="n">
        <v>29929</v>
      </c>
      <c r="T610" s="13" t="s">
        <v>108</v>
      </c>
      <c r="U610" s="13" t="s">
        <v>2658</v>
      </c>
      <c r="V610" s="28" t="s">
        <v>42</v>
      </c>
      <c r="W610" s="28" t="s">
        <v>54</v>
      </c>
      <c r="X610" s="21" t="n">
        <v>83834903182</v>
      </c>
      <c r="Y610" s="22" t="str">
        <f aca="false">O610</f>
        <v>Produksi H-Jack</v>
      </c>
      <c r="Z610" s="13" t="str">
        <f aca="false">IFERROR(__xludf.dummyfunction("if(BJ610="""","""",GOOGLETRANSLATE(BJ610,""auto"",""en""))"),"H-Jack Production")</f>
        <v>H-Jack Production</v>
      </c>
      <c r="AA610" s="23" t="str">
        <f aca="false">IF(C610="","", CHOOSE(MONTH(C610),"January","February","March","April","May","June","July","August","September","October","November","December")&amp;" "&amp;DAY(C610)&amp;MID("thstndrdth",MIN(9,2*RIGHT(DAY(C610))*(MOD(DAY(C610)-11,100)&gt;2)+1),2)&amp;","&amp;TEXT(C610," yyyy"))</f>
        <v>November 1st,2021</v>
      </c>
      <c r="AB610" s="15" t="str">
        <f aca="true">IF(S610="","",DATEDIF(S610,TODAY(),"Y")&amp;" Tahun, "&amp;DATEDIF(S610,TODAY(),"YM")&amp;" Bulan, "&amp;DATEDIF(S610,TODAY(),"MD")&amp;" Hari")</f>
        <v>44 Tahun, 10 Bulan, 20 Hari</v>
      </c>
      <c r="AC610" s="18" t="n">
        <v>45569</v>
      </c>
      <c r="AD610" s="18" t="n">
        <v>45933</v>
      </c>
      <c r="AE610" s="18" t="s">
        <v>44</v>
      </c>
    </row>
    <row r="611" customFormat="false" ht="15.75" hidden="false" customHeight="true" outlineLevel="0" collapsed="false">
      <c r="A611" s="12" t="n">
        <v>3682</v>
      </c>
      <c r="B611" s="13" t="s">
        <v>2741</v>
      </c>
      <c r="C611" s="14" t="n">
        <v>44501</v>
      </c>
      <c r="D611" s="13" t="s">
        <v>2607</v>
      </c>
      <c r="E611" s="15" t="s">
        <v>47</v>
      </c>
      <c r="F611" s="15" t="str">
        <f aca="false">IFERROR(__xludf.dummyfunction("XLOOKUP(AJ611,IMPORTRANGE(""1XaInW9DU9nz21V0tYIfzFQ0He9kVQ_JF2mCXgZ3hqFA"",""REKAP ALL 2026 - Andika!G:G""),IMPORTRANGE(""1XaInW9DU9nz21V0tYIfzFQ0He9kVQ_JF2mCXgZ3hqFA"",""REKAP ALL 2026 - Andika!F:F""),"""",0)"),"21096149717")</f>
        <v>21096149717</v>
      </c>
      <c r="G611" s="13" t="s">
        <v>2742</v>
      </c>
      <c r="H611" s="13" t="s">
        <v>35</v>
      </c>
      <c r="I611" s="13" t="str">
        <f aca="false">IF(C611=J611,"NEW KONTRAK","RE-KONTRAK")</f>
        <v>RE-KONTRAK</v>
      </c>
      <c r="J611" s="16" t="n">
        <f aca="false" t="array" ref="J611:J611">IFERROR(INDEX(AC611:AE611,IF(COUNTA(AC611:AE611)=0,"",MAX((AC611:AE611&lt;&gt;"")*(COLUMN(AC611:AE611)-(COLUMN(AC611)))))-1),"")</f>
        <v>45569</v>
      </c>
      <c r="K611" s="16" t="n">
        <f aca="false" t="array" ref="K611:K611">IFERROR(INDEX(AC611:AE611,IF(COUNTA(AC611:AE611)=0,"",MAX((AC611:AE611&lt;&gt;"")*(COLUMN(AC611:AE611)-(COLUMN(AC611)-1))))-1),"")</f>
        <v>45933</v>
      </c>
      <c r="L611" s="17" t="str">
        <f aca="false" t="array" ref="L611:L611">IFERROR(INDEX(AC611:AE611,IF(COUNTA(AC611:AE611)=0,"",MAX((AC611:AE611&lt;&gt;"")*(COLUMN(AC611:AE611)-(COLUMN(AC611)-2))))-1),"")</f>
        <v>ARCHIVED</v>
      </c>
      <c r="M611" s="13" t="n">
        <f aca="true">K611-TODAY()</f>
        <v>-391</v>
      </c>
      <c r="N611" s="18" t="s">
        <v>36</v>
      </c>
      <c r="O611" s="13" t="s">
        <v>2743</v>
      </c>
      <c r="P611" s="19" t="n">
        <v>5195401</v>
      </c>
      <c r="Q611" s="20" t="s">
        <v>2744</v>
      </c>
      <c r="R611" s="13" t="s">
        <v>260</v>
      </c>
      <c r="S611" s="14" t="n">
        <v>35115</v>
      </c>
      <c r="T611" s="13" t="s">
        <v>108</v>
      </c>
      <c r="U611" s="13" t="s">
        <v>2745</v>
      </c>
      <c r="V611" s="28" t="s">
        <v>42</v>
      </c>
      <c r="W611" s="28" t="s">
        <v>54</v>
      </c>
      <c r="X611" s="21" t="n">
        <v>89697695502</v>
      </c>
      <c r="Y611" s="22" t="str">
        <f aca="false">O611</f>
        <v>Admin Produksi H-Jack</v>
      </c>
      <c r="Z611" s="13" t="str">
        <f aca="false">IFERROR(__xludf.dummyfunction("if(BJ611="""","""",GOOGLETRANSLATE(BJ611,""auto"",""en""))"),"H-Jack Production Admin")</f>
        <v>H-Jack Production Admin</v>
      </c>
      <c r="AA611" s="23" t="str">
        <f aca="false">IF(C611="","", CHOOSE(MONTH(C611),"January","February","March","April","May","June","July","August","September","October","November","December")&amp;" "&amp;DAY(C611)&amp;MID("thstndrdth",MIN(9,2*RIGHT(DAY(C611))*(MOD(DAY(C611)-11,100)&gt;2)+1),2)&amp;","&amp;TEXT(C611," yyyy"))</f>
        <v>November 1st,2021</v>
      </c>
      <c r="AB611" s="15" t="str">
        <f aca="true">IF(S611="","",DATEDIF(S611,TODAY(),"Y")&amp;" Tahun, "&amp;DATEDIF(S611,TODAY(),"YM")&amp;" Bulan, "&amp;DATEDIF(S611,TODAY(),"MD")&amp;" Hari")</f>
        <v>30 Tahun, 8 Bulan, 9 Hari</v>
      </c>
      <c r="AC611" s="18" t="n">
        <v>45569</v>
      </c>
      <c r="AD611" s="18" t="n">
        <v>45933</v>
      </c>
      <c r="AE611" s="18" t="s">
        <v>44</v>
      </c>
    </row>
    <row r="612" customFormat="false" ht="15.75" hidden="false" customHeight="true" outlineLevel="0" collapsed="false">
      <c r="A612" s="12" t="n">
        <v>3683</v>
      </c>
      <c r="B612" s="13" t="s">
        <v>2746</v>
      </c>
      <c r="C612" s="14" t="n">
        <v>44501</v>
      </c>
      <c r="D612" s="13" t="s">
        <v>2747</v>
      </c>
      <c r="E612" s="15" t="s">
        <v>47</v>
      </c>
      <c r="F612" s="15" t="str">
        <f aca="false">IFERROR(__xludf.dummyfunction("XLOOKUP(AJ612,IMPORTRANGE(""1XaInW9DU9nz21V0tYIfzFQ0He9kVQ_JF2mCXgZ3hqFA"",""REKAP ALL 2026 - Andika!G:G""),IMPORTRANGE(""1XaInW9DU9nz21V0tYIfzFQ0He9kVQ_JF2mCXgZ3hqFA"",""REKAP ALL 2026 - Andika!F:F""),"""",0)"),"21096149675")</f>
        <v>21096149675</v>
      </c>
      <c r="G612" s="13" t="s">
        <v>2748</v>
      </c>
      <c r="H612" s="13" t="s">
        <v>35</v>
      </c>
      <c r="I612" s="13" t="str">
        <f aca="false">IF(C612=J612,"NEW KONTRAK","RE-KONTRAK")</f>
        <v>RE-KONTRAK</v>
      </c>
      <c r="J612" s="16" t="n">
        <f aca="false" t="array" ref="J612:J612">IFERROR(INDEX(AC612:AE612,IF(COUNTA(AC612:AE612)=0,"",MAX((AC612:AE612&lt;&gt;"")*(COLUMN(AC612:AE612)-(COLUMN(AC612)))))-1),"")</f>
        <v>45569</v>
      </c>
      <c r="K612" s="16" t="n">
        <f aca="false" t="array" ref="K612:K612">IFERROR(INDEX(AC612:AE612,IF(COUNTA(AC612:AE612)=0,"",MAX((AC612:AE612&lt;&gt;"")*(COLUMN(AC612:AE612)-(COLUMN(AC612)-1))))-1),"")</f>
        <v>45933</v>
      </c>
      <c r="L612" s="17" t="str">
        <f aca="false" t="array" ref="L612:L612">IFERROR(INDEX(AC612:AE612,IF(COUNTA(AC612:AE612)=0,"",MAX((AC612:AE612&lt;&gt;"")*(COLUMN(AC612:AE612)-(COLUMN(AC612)-2))))-1),"")</f>
        <v>ARCHIVED</v>
      </c>
      <c r="M612" s="13" t="n">
        <f aca="true">K612-TODAY()</f>
        <v>-391</v>
      </c>
      <c r="N612" s="18" t="s">
        <v>36</v>
      </c>
      <c r="O612" s="13" t="s">
        <v>1287</v>
      </c>
      <c r="P612" s="19" t="n">
        <v>170000</v>
      </c>
      <c r="Q612" s="20" t="s">
        <v>2749</v>
      </c>
      <c r="R612" s="13" t="s">
        <v>52</v>
      </c>
      <c r="S612" s="14" t="n">
        <v>29895</v>
      </c>
      <c r="T612" s="13" t="s">
        <v>40</v>
      </c>
      <c r="U612" s="13" t="s">
        <v>2737</v>
      </c>
      <c r="V612" s="28" t="s">
        <v>42</v>
      </c>
      <c r="W612" s="28" t="s">
        <v>54</v>
      </c>
      <c r="X612" s="21" t="n">
        <v>81249737746</v>
      </c>
      <c r="Y612" s="22" t="str">
        <f aca="false">O612</f>
        <v>Office Boy</v>
      </c>
      <c r="Z612" s="13" t="str">
        <f aca="false">IFERROR(__xludf.dummyfunction("if(BJ612="""","""",GOOGLETRANSLATE(BJ612,""auto"",""en""))"),"Office Boy")</f>
        <v>Office Boy</v>
      </c>
      <c r="AA612" s="23" t="str">
        <f aca="false">IF(C612="","", CHOOSE(MONTH(C612),"January","February","March","April","May","June","July","August","September","October","November","December")&amp;" "&amp;DAY(C612)&amp;MID("thstndrdth",MIN(9,2*RIGHT(DAY(C612))*(MOD(DAY(C612)-11,100)&gt;2)+1),2)&amp;","&amp;TEXT(C612," yyyy"))</f>
        <v>November 1st,2021</v>
      </c>
      <c r="AB612" s="15" t="str">
        <f aca="true">IF(S612="","",DATEDIF(S612,TODAY(),"Y")&amp;" Tahun, "&amp;DATEDIF(S612,TODAY(),"YM")&amp;" Bulan, "&amp;DATEDIF(S612,TODAY(),"MD")&amp;" Hari")</f>
        <v>44 Tahun, 11 Bulan, 24 Hari</v>
      </c>
      <c r="AC612" s="18" t="n">
        <v>45569</v>
      </c>
      <c r="AD612" s="18" t="n">
        <v>45933</v>
      </c>
      <c r="AE612" s="18" t="s">
        <v>44</v>
      </c>
    </row>
    <row r="613" customFormat="false" ht="15.75" hidden="false" customHeight="true" outlineLevel="0" collapsed="false">
      <c r="A613" s="12" t="n">
        <v>3739</v>
      </c>
      <c r="B613" s="13" t="s">
        <v>2750</v>
      </c>
      <c r="C613" s="14" t="n">
        <v>44497</v>
      </c>
      <c r="D613" s="13" t="s">
        <v>393</v>
      </c>
      <c r="E613" s="15" t="s">
        <v>33</v>
      </c>
      <c r="F613" s="24" t="s">
        <v>2751</v>
      </c>
      <c r="G613" s="13" t="s">
        <v>2752</v>
      </c>
      <c r="H613" s="13" t="s">
        <v>35</v>
      </c>
      <c r="I613" s="13" t="str">
        <f aca="false">IF(C613=J613,"NEW KONTRAK","RE-KONTRAK")</f>
        <v>RE-KONTRAK</v>
      </c>
      <c r="J613" s="16" t="n">
        <f aca="false" t="array" ref="J613:J613">IFERROR(INDEX(AC613:AE613,IF(COUNTA(AC613:AE613)=0,"",MAX((AC613:AE613&lt;&gt;"")*(COLUMN(AC613:AE613)-(COLUMN(AC613)))))-1),"")</f>
        <v>45452</v>
      </c>
      <c r="K613" s="16" t="n">
        <f aca="false" t="array" ref="K613:K613">IFERROR(INDEX(AC613:AE613,IF(COUNTA(AC613:AE613)=0,"",MAX((AC613:AE613&lt;&gt;"")*(COLUMN(AC613:AE613)-(COLUMN(AC613)-1))))-1),"")</f>
        <v>46181</v>
      </c>
      <c r="L613" s="17" t="str">
        <f aca="false" t="array" ref="L613:L613">IFERROR(INDEX(AC613:AE613,IF(COUNTA(AC613:AE613)=0,"",MAX((AC613:AE613&lt;&gt;"")*(COLUMN(AC613:AE613)-(COLUMN(AC613)-2))))-1),"")</f>
        <v>KEMBALI</v>
      </c>
      <c r="M613" s="13" t="n">
        <f aca="true">K613-TODAY()</f>
        <v>-143</v>
      </c>
      <c r="N613" s="18" t="s">
        <v>105</v>
      </c>
      <c r="O613" s="13" t="s">
        <v>1287</v>
      </c>
      <c r="P613" s="27" t="n">
        <v>5176101</v>
      </c>
      <c r="Q613" s="20" t="s">
        <v>2753</v>
      </c>
      <c r="R613" s="13" t="s">
        <v>227</v>
      </c>
      <c r="S613" s="14" t="n">
        <v>29145</v>
      </c>
      <c r="T613" s="13" t="s">
        <v>40</v>
      </c>
      <c r="U613" s="13" t="s">
        <v>2754</v>
      </c>
      <c r="V613" s="13" t="s">
        <v>42</v>
      </c>
      <c r="W613" s="13" t="s">
        <v>54</v>
      </c>
      <c r="X613" s="21" t="n">
        <v>85731301290</v>
      </c>
      <c r="Y613" s="22" t="str">
        <f aca="false">O613</f>
        <v>Office Boy</v>
      </c>
      <c r="Z613" s="13" t="str">
        <f aca="false">IFERROR(__xludf.dummyfunction("if(BJ613="""","""",GOOGLETRANSLATE(BJ613,""auto"",""en""))"),"Office Boy")</f>
        <v>Office Boy</v>
      </c>
      <c r="AA613" s="23" t="str">
        <f aca="false">IF(C613="","", CHOOSE(MONTH(C613),"January","February","March","April","May","June","July","August","September","October","November","December")&amp;" "&amp;DAY(C613)&amp;MID("thstndrdth",MIN(9,2*RIGHT(DAY(C613))*(MOD(DAY(C613)-11,100)&gt;2)+1),2)&amp;","&amp;TEXT(C613," yyyy"))</f>
        <v>October 28th,2021</v>
      </c>
      <c r="AB613" s="15" t="str">
        <f aca="true">IF(S613="","",DATEDIF(S613,TODAY(),"Y")&amp;" Tahun, "&amp;DATEDIF(S613,TODAY(),"YM")&amp;" Bulan, "&amp;DATEDIF(S613,TODAY(),"MD")&amp;" Hari")</f>
        <v>47 Tahun, 0 Bulan, 12 Hari</v>
      </c>
      <c r="AC613" s="18" t="n">
        <v>45452</v>
      </c>
      <c r="AD613" s="18" t="n">
        <v>46181</v>
      </c>
      <c r="AE613" s="13" t="s">
        <v>397</v>
      </c>
    </row>
    <row r="614" customFormat="false" ht="15.75" hidden="false" customHeight="true" outlineLevel="0" collapsed="false">
      <c r="A614" s="12" t="n">
        <v>3746</v>
      </c>
      <c r="B614" s="13" t="s">
        <v>2755</v>
      </c>
      <c r="C614" s="14" t="n">
        <v>44501</v>
      </c>
      <c r="D614" s="13" t="s">
        <v>755</v>
      </c>
      <c r="E614" s="15" t="s">
        <v>47</v>
      </c>
      <c r="F614" s="15" t="str">
        <f aca="false">IFERROR(__xludf.dummyfunction("XLOOKUP(AJ614,IMPORTRANGE(""1XaInW9DU9nz21V0tYIfzFQ0He9kVQ_JF2mCXgZ3hqFA"",""REKAP ALL 2026 - Andika!G:G""),IMPORTRANGE(""1XaInW9DU9nz21V0tYIfzFQ0He9kVQ_JF2mCXgZ3hqFA"",""REKAP ALL 2026 - Andika!F:F""),"""",0)"),"18117092991")</f>
        <v>18117092991</v>
      </c>
      <c r="G614" s="13" t="s">
        <v>2756</v>
      </c>
      <c r="H614" s="13" t="s">
        <v>35</v>
      </c>
      <c r="I614" s="13" t="str">
        <f aca="false">IF(C614=J614,"NEW KONTRAK","RE-KONTRAK")</f>
        <v>RE-KONTRAK</v>
      </c>
      <c r="J614" s="16" t="n">
        <f aca="false" t="array" ref="J614:J614">IFERROR(INDEX(AC614:AE614,IF(COUNTA(AC614:AE614)=0,"",MAX((AC614:AE614&lt;&gt;"")*(COLUMN(AC614:AE614)-(COLUMN(AC614)))))-1),"")</f>
        <v>45799</v>
      </c>
      <c r="K614" s="16" t="n">
        <f aca="false" t="array" ref="K614:K614">IFERROR(INDEX(AC614:AE614,IF(COUNTA(AC614:AE614)=0,"",MAX((AC614:AE614&lt;&gt;"")*(COLUMN(AC614:AE614)-(COLUMN(AC614)-1))))-1),"")</f>
        <v>46528</v>
      </c>
      <c r="L614" s="17" t="str">
        <f aca="false" t="array" ref="L614:L614">IFERROR(INDEX(AC614:AE614,IF(COUNTA(AC614:AE614)=0,"",MAX((AC614:AE614&lt;&gt;"")*(COLUMN(AC614:AE614)-(COLUMN(AC614)-2))))-1),"")</f>
        <v>KEMBALI</v>
      </c>
      <c r="M614" s="13" t="n">
        <f aca="true">K614-TODAY()</f>
        <v>204</v>
      </c>
      <c r="N614" s="18" t="s">
        <v>105</v>
      </c>
      <c r="O614" s="13" t="s">
        <v>757</v>
      </c>
      <c r="P614" s="19" t="n">
        <v>4870511</v>
      </c>
      <c r="Q614" s="20" t="s">
        <v>2757</v>
      </c>
      <c r="R614" s="13" t="s">
        <v>735</v>
      </c>
      <c r="S614" s="14" t="n">
        <v>36324</v>
      </c>
      <c r="T614" s="13" t="s">
        <v>40</v>
      </c>
      <c r="U614" s="13" t="s">
        <v>2758</v>
      </c>
      <c r="V614" s="13" t="s">
        <v>42</v>
      </c>
      <c r="W614" s="13" t="s">
        <v>43</v>
      </c>
      <c r="X614" s="21" t="n">
        <v>85850894563</v>
      </c>
      <c r="Y614" s="22" t="str">
        <f aca="false">O614</f>
        <v>Inputor</v>
      </c>
      <c r="Z614" s="13" t="str">
        <f aca="false">IFERROR(__xludf.dummyfunction("if(BJ614="""","""",GOOGLETRANSLATE(BJ614,""auto"",""en""))"),"Inputor")</f>
        <v>Inputor</v>
      </c>
      <c r="AA614" s="23" t="str">
        <f aca="false">IF(C614="","", CHOOSE(MONTH(C614),"January","February","March","April","May","June","July","August","September","October","November","December")&amp;" "&amp;DAY(C614)&amp;MID("thstndrdth",MIN(9,2*RIGHT(DAY(C614))*(MOD(DAY(C614)-11,100)&gt;2)+1),2)&amp;","&amp;TEXT(C614," yyyy"))</f>
        <v>November 1st,2021</v>
      </c>
      <c r="AB614" s="15" t="str">
        <f aca="true">IF(S614="","",DATEDIF(S614,TODAY(),"Y")&amp;" Tahun, "&amp;DATEDIF(S614,TODAY(),"YM")&amp;" Bulan, "&amp;DATEDIF(S614,TODAY(),"MD")&amp;" Hari")</f>
        <v>27 Tahun, 4 Bulan, 16 Hari</v>
      </c>
      <c r="AC614" s="18" t="n">
        <v>45799</v>
      </c>
      <c r="AD614" s="18" t="n">
        <v>46528</v>
      </c>
      <c r="AE614" s="13" t="s">
        <v>397</v>
      </c>
    </row>
    <row r="615" customFormat="false" ht="15.75" hidden="false" customHeight="true" outlineLevel="0" collapsed="false">
      <c r="A615" s="12" t="n">
        <v>3754</v>
      </c>
      <c r="B615" s="13" t="s">
        <v>2759</v>
      </c>
      <c r="C615" s="14" t="n">
        <v>44494</v>
      </c>
      <c r="D615" s="13" t="s">
        <v>2607</v>
      </c>
      <c r="E615" s="15" t="s">
        <v>47</v>
      </c>
      <c r="F615" s="15" t="str">
        <f aca="false">IFERROR(__xludf.dummyfunction("XLOOKUP(AJ615,IMPORTRANGE(""1XaInW9DU9nz21V0tYIfzFQ0He9kVQ_JF2mCXgZ3hqFA"",""REKAP ALL 2026 - Andika!G:G""),IMPORTRANGE(""1XaInW9DU9nz21V0tYIfzFQ0He9kVQ_JF2mCXgZ3hqFA"",""REKAP ALL 2026 - Andika!F:F""),"""",0)"),"21096149683")</f>
        <v>21096149683</v>
      </c>
      <c r="G615" s="13" t="s">
        <v>2760</v>
      </c>
      <c r="H615" s="13" t="s">
        <v>35</v>
      </c>
      <c r="I615" s="13" t="str">
        <f aca="false">IF(C615=J615,"NEW KONTRAK","RE-KONTRAK")</f>
        <v>RE-KONTRAK</v>
      </c>
      <c r="J615" s="16" t="n">
        <f aca="false" t="array" ref="J615:J615">IFERROR(INDEX(AC615:AE615,IF(COUNTA(AC615:AE615)=0,"",MAX((AC615:AE615&lt;&gt;"")*(COLUMN(AC615:AE615)-(COLUMN(AC615)))))-1),"")</f>
        <v>45569</v>
      </c>
      <c r="K615" s="16" t="n">
        <f aca="false" t="array" ref="K615:K615">IFERROR(INDEX(AC615:AE615,IF(COUNTA(AC615:AE615)=0,"",MAX((AC615:AE615&lt;&gt;"")*(COLUMN(AC615:AE615)-(COLUMN(AC615)-1))))-1),"")</f>
        <v>45933</v>
      </c>
      <c r="L615" s="17" t="str">
        <f aca="false" t="array" ref="L615:L615">IFERROR(INDEX(AC615:AE615,IF(COUNTA(AC615:AE615)=0,"",MAX((AC615:AE615&lt;&gt;"")*(COLUMN(AC615:AE615)-(COLUMN(AC615)-2))))-1),"")</f>
        <v>ARCHIVED</v>
      </c>
      <c r="M615" s="13" t="n">
        <f aca="true">K615-TODAY()</f>
        <v>-391</v>
      </c>
      <c r="N615" s="18" t="s">
        <v>36</v>
      </c>
      <c r="O615" s="13" t="s">
        <v>2622</v>
      </c>
      <c r="P615" s="19" t="n">
        <v>4372030</v>
      </c>
      <c r="Q615" s="20" t="s">
        <v>2761</v>
      </c>
      <c r="R615" s="13" t="s">
        <v>232</v>
      </c>
      <c r="S615" s="14" t="n">
        <v>34961</v>
      </c>
      <c r="T615" s="13" t="s">
        <v>40</v>
      </c>
      <c r="U615" s="13" t="s">
        <v>2762</v>
      </c>
      <c r="V615" s="13" t="s">
        <v>42</v>
      </c>
      <c r="W615" s="13" t="s">
        <v>54</v>
      </c>
      <c r="X615" s="21" t="n">
        <v>85707521434</v>
      </c>
      <c r="Y615" s="22" t="str">
        <f aca="false">O615</f>
        <v>Gudang H-Jack</v>
      </c>
      <c r="Z615" s="13" t="str">
        <f aca="false">IFERROR(__xludf.dummyfunction("if(BJ615="""","""",GOOGLETRANSLATE(BJ615,""auto"",""en""))"),"Gudang H-Jack")</f>
        <v>Gudang H-Jack</v>
      </c>
      <c r="AA615" s="23" t="str">
        <f aca="false">IF(C615="","", CHOOSE(MONTH(C615),"January","February","March","April","May","June","July","August","September","October","November","December")&amp;" "&amp;DAY(C615)&amp;MID("thstndrdth",MIN(9,2*RIGHT(DAY(C615))*(MOD(DAY(C615)-11,100)&gt;2)+1),2)&amp;","&amp;TEXT(C615," yyyy"))</f>
        <v>October 25th,2021</v>
      </c>
      <c r="AB615" s="15" t="str">
        <f aca="true">IF(S615="","",DATEDIF(S615,TODAY(),"Y")&amp;" Tahun, "&amp;DATEDIF(S615,TODAY(),"YM")&amp;" Bulan, "&amp;DATEDIF(S615,TODAY(),"MD")&amp;" Hari")</f>
        <v>31 Tahun, 1 Bulan, 10 Hari</v>
      </c>
      <c r="AC615" s="18" t="n">
        <v>45569</v>
      </c>
      <c r="AD615" s="18" t="n">
        <v>45933</v>
      </c>
      <c r="AE615" s="18" t="s">
        <v>44</v>
      </c>
    </row>
    <row r="616" customFormat="false" ht="15.75" hidden="false" customHeight="true" outlineLevel="0" collapsed="false">
      <c r="A616" s="12" t="n">
        <v>3859</v>
      </c>
      <c r="B616" s="13" t="s">
        <v>2763</v>
      </c>
      <c r="C616" s="14" t="n">
        <v>44501</v>
      </c>
      <c r="D616" s="13" t="s">
        <v>144</v>
      </c>
      <c r="E616" s="15" t="s">
        <v>47</v>
      </c>
      <c r="F616" s="15" t="str">
        <f aca="false">IFERROR(__xludf.dummyfunction("XLOOKUP(AJ616,IMPORTRANGE(""1XaInW9DU9nz21V0tYIfzFQ0He9kVQ_JF2mCXgZ3hqFA"",""REKAP ALL 2026 - Andika!G:G""),IMPORTRANGE(""1XaInW9DU9nz21V0tYIfzFQ0He9kVQ_JF2mCXgZ3hqFA"",""REKAP ALL 2026 - Andika!F:F""),"""",0)"),"22003695115")</f>
        <v>22003695115</v>
      </c>
      <c r="G616" s="13" t="s">
        <v>2764</v>
      </c>
      <c r="H616" s="13" t="s">
        <v>35</v>
      </c>
      <c r="I616" s="13" t="str">
        <f aca="false">IF(C616=J616,"NEW KONTRAK","RE-KONTRAK")</f>
        <v>RE-KONTRAK</v>
      </c>
      <c r="J616" s="16" t="n">
        <f aca="false" t="array" ref="J616:J616">IFERROR(INDEX(AC616:AE616,IF(COUNTA(AC616:AE616)=0,"",MAX((AC616:AE616&lt;&gt;"")*(COLUMN(AC616:AE616)-(COLUMN(AC616)))))-1),"")</f>
        <v>45658</v>
      </c>
      <c r="K616" s="16" t="n">
        <f aca="false" t="array" ref="K616:K616">IFERROR(INDEX(AC616:AE616,IF(COUNTA(AC616:AE616)=0,"",MAX((AC616:AE616&lt;&gt;"")*(COLUMN(AC616:AE616)-(COLUMN(AC616)-1))))-1),"")</f>
        <v>46022</v>
      </c>
      <c r="L616" s="17" t="str">
        <f aca="false" t="array" ref="L616:L616">IFERROR(INDEX(AC616:AE616,IF(COUNTA(AC616:AE616)=0,"",MAX((AC616:AE616&lt;&gt;"")*(COLUMN(AC616:AE616)-(COLUMN(AC616)-2))))-1),"")</f>
        <v>ARCHIVED</v>
      </c>
      <c r="M616" s="13" t="n">
        <f aca="true">K616-TODAY()</f>
        <v>-302</v>
      </c>
      <c r="N616" s="18" t="s">
        <v>36</v>
      </c>
      <c r="O616" s="13" t="s">
        <v>156</v>
      </c>
      <c r="P616" s="19" t="n">
        <v>5195401</v>
      </c>
      <c r="Q616" s="20" t="s">
        <v>2765</v>
      </c>
      <c r="R616" s="13" t="s">
        <v>65</v>
      </c>
      <c r="S616" s="14" t="n">
        <v>36945</v>
      </c>
      <c r="T616" s="13" t="s">
        <v>40</v>
      </c>
      <c r="U616" s="13" t="s">
        <v>2766</v>
      </c>
      <c r="V616" s="13" t="s">
        <v>42</v>
      </c>
      <c r="W616" s="13" t="s">
        <v>43</v>
      </c>
      <c r="X616" s="21" t="n">
        <v>87755774509</v>
      </c>
      <c r="Y616" s="22" t="str">
        <f aca="false">O616</f>
        <v>Emulsion</v>
      </c>
      <c r="Z616" s="13" t="str">
        <f aca="false">IFERROR(__xludf.dummyfunction("if(BJ616="""","""",GOOGLETRANSLATE(BJ616,""auto"",""en""))"),"Emulsion")</f>
        <v>Emulsion</v>
      </c>
      <c r="AA616" s="23" t="str">
        <f aca="false">IF(C616="","", CHOOSE(MONTH(C616),"January","February","March","April","May","June","July","August","September","October","November","December")&amp;" "&amp;DAY(C616)&amp;MID("thstndrdth",MIN(9,2*RIGHT(DAY(C616))*(MOD(DAY(C616)-11,100)&gt;2)+1),2)&amp;","&amp;TEXT(C616," yyyy"))</f>
        <v>November 1st,2021</v>
      </c>
      <c r="AB616" s="15" t="str">
        <f aca="true">IF(S616="","",DATEDIF(S616,TODAY(),"Y")&amp;" Tahun, "&amp;DATEDIF(S616,TODAY(),"YM")&amp;" Bulan, "&amp;DATEDIF(S616,TODAY(),"MD")&amp;" Hari")</f>
        <v>25 Tahun, 8 Bulan, 6 Hari</v>
      </c>
      <c r="AC616" s="18" t="n">
        <v>45658</v>
      </c>
      <c r="AD616" s="18" t="n">
        <v>46022</v>
      </c>
      <c r="AE616" s="18" t="s">
        <v>44</v>
      </c>
    </row>
    <row r="617" customFormat="false" ht="15.75" hidden="false" customHeight="true" outlineLevel="0" collapsed="false">
      <c r="A617" s="12" t="n">
        <v>3862</v>
      </c>
      <c r="B617" s="13" t="s">
        <v>2767</v>
      </c>
      <c r="C617" s="14" t="n">
        <v>44501</v>
      </c>
      <c r="D617" s="13" t="s">
        <v>144</v>
      </c>
      <c r="E617" s="15" t="s">
        <v>47</v>
      </c>
      <c r="F617" s="15" t="str">
        <f aca="false">IFERROR(__xludf.dummyfunction("XLOOKUP(AJ617,IMPORTRANGE(""1XaInW9DU9nz21V0tYIfzFQ0He9kVQ_JF2mCXgZ3hqFA"",""REKAP ALL 2026 - Andika!G:G""),IMPORTRANGE(""1XaInW9DU9nz21V0tYIfzFQ0He9kVQ_JF2mCXgZ3hqFA"",""REKAP ALL 2026 - Andika!F:F""),"""",0)"),"22003695172")</f>
        <v>22003695172</v>
      </c>
      <c r="G617" s="13" t="s">
        <v>2768</v>
      </c>
      <c r="H617" s="13" t="s">
        <v>35</v>
      </c>
      <c r="I617" s="13" t="str">
        <f aca="false">IF(C617=J617,"NEW KONTRAK","RE-KONTRAK")</f>
        <v>RE-KONTRAK</v>
      </c>
      <c r="J617" s="16" t="n">
        <f aca="false" t="array" ref="J617:J617">IFERROR(INDEX(AC617:AE617,IF(COUNTA(AC617:AE617)=0,"",MAX((AC617:AE617&lt;&gt;"")*(COLUMN(AC617:AE617)-(COLUMN(AC617)))))-1),"")</f>
        <v>45658</v>
      </c>
      <c r="K617" s="16" t="n">
        <f aca="false" t="array" ref="K617:K617">IFERROR(INDEX(AC617:AE617,IF(COUNTA(AC617:AE617)=0,"",MAX((AC617:AE617&lt;&gt;"")*(COLUMN(AC617:AE617)-(COLUMN(AC617)-1))))-1),"")</f>
        <v>46022</v>
      </c>
      <c r="L617" s="17" t="str">
        <f aca="false" t="array" ref="L617:L617">IFERROR(INDEX(AC617:AE617,IF(COUNTA(AC617:AE617)=0,"",MAX((AC617:AE617&lt;&gt;"")*(COLUMN(AC617:AE617)-(COLUMN(AC617)-2))))-1),"")</f>
        <v>ARCHIVED</v>
      </c>
      <c r="M617" s="13" t="n">
        <f aca="true">K617-TODAY()</f>
        <v>-302</v>
      </c>
      <c r="N617" s="18" t="s">
        <v>36</v>
      </c>
      <c r="O617" s="13" t="s">
        <v>156</v>
      </c>
      <c r="P617" s="19" t="n">
        <v>5195401</v>
      </c>
      <c r="Q617" s="20" t="s">
        <v>2769</v>
      </c>
      <c r="R617" s="13" t="s">
        <v>65</v>
      </c>
      <c r="S617" s="14" t="n">
        <v>37203</v>
      </c>
      <c r="T617" s="13" t="s">
        <v>40</v>
      </c>
      <c r="U617" s="13" t="s">
        <v>2770</v>
      </c>
      <c r="V617" s="13" t="s">
        <v>42</v>
      </c>
      <c r="W617" s="13" t="s">
        <v>43</v>
      </c>
      <c r="X617" s="21" t="n">
        <v>82244611938</v>
      </c>
      <c r="Y617" s="22" t="str">
        <f aca="false">O617</f>
        <v>Emulsion</v>
      </c>
      <c r="Z617" s="13" t="str">
        <f aca="false">IFERROR(__xludf.dummyfunction("if(BJ617="""","""",GOOGLETRANSLATE(BJ617,""auto"",""en""))"),"Emulsion")</f>
        <v>Emulsion</v>
      </c>
      <c r="AA617" s="23" t="str">
        <f aca="false">IF(C617="","", CHOOSE(MONTH(C617),"January","February","March","April","May","June","July","August","September","October","November","December")&amp;" "&amp;DAY(C617)&amp;MID("thstndrdth",MIN(9,2*RIGHT(DAY(C617))*(MOD(DAY(C617)-11,100)&gt;2)+1),2)&amp;","&amp;TEXT(C617," yyyy"))</f>
        <v>November 1st,2021</v>
      </c>
      <c r="AB617" s="15" t="str">
        <f aca="true">IF(S617="","",DATEDIF(S617,TODAY(),"Y")&amp;" Tahun, "&amp;DATEDIF(S617,TODAY(),"YM")&amp;" Bulan, "&amp;DATEDIF(S617,TODAY(),"MD")&amp;" Hari")</f>
        <v>24 Tahun, 11 Bulan, 21 Hari</v>
      </c>
      <c r="AC617" s="18" t="n">
        <v>45658</v>
      </c>
      <c r="AD617" s="18" t="n">
        <v>46022</v>
      </c>
      <c r="AE617" s="18" t="s">
        <v>44</v>
      </c>
    </row>
    <row r="618" customFormat="false" ht="15.75" hidden="false" customHeight="true" outlineLevel="0" collapsed="false">
      <c r="A618" s="12" t="n">
        <v>3864</v>
      </c>
      <c r="B618" s="13" t="s">
        <v>2771</v>
      </c>
      <c r="C618" s="14" t="n">
        <v>44504</v>
      </c>
      <c r="D618" s="13" t="s">
        <v>144</v>
      </c>
      <c r="E618" s="15" t="s">
        <v>47</v>
      </c>
      <c r="F618" s="15" t="str">
        <f aca="false">IFERROR(__xludf.dummyfunction("XLOOKUP(AJ618,IMPORTRANGE(""1XaInW9DU9nz21V0tYIfzFQ0He9kVQ_JF2mCXgZ3hqFA"",""REKAP ALL 2026 - Andika!G:G""),IMPORTRANGE(""1XaInW9DU9nz21V0tYIfzFQ0He9kVQ_JF2mCXgZ3hqFA"",""REKAP ALL 2026 - Andika!F:F""),"""",0)"),"22003695123")</f>
        <v>22003695123</v>
      </c>
      <c r="G618" s="13" t="s">
        <v>2772</v>
      </c>
      <c r="H618" s="13" t="s">
        <v>35</v>
      </c>
      <c r="I618" s="13" t="str">
        <f aca="false">IF(C618=J618,"NEW KONTRAK","RE-KONTRAK")</f>
        <v>RE-KONTRAK</v>
      </c>
      <c r="J618" s="16" t="n">
        <f aca="false" t="array" ref="J618:J618">IFERROR(INDEX(AC618:AE618,IF(COUNTA(AC618:AE618)=0,"",MAX((AC618:AE618&lt;&gt;"")*(COLUMN(AC618:AE618)-(COLUMN(AC618)))))-1),"")</f>
        <v>45658</v>
      </c>
      <c r="K618" s="16" t="n">
        <f aca="false" t="array" ref="K618:K618">IFERROR(INDEX(AC618:AE618,IF(COUNTA(AC618:AE618)=0,"",MAX((AC618:AE618&lt;&gt;"")*(COLUMN(AC618:AE618)-(COLUMN(AC618)-1))))-1),"")</f>
        <v>46022</v>
      </c>
      <c r="L618" s="17" t="str">
        <f aca="false" t="array" ref="L618:L618">IFERROR(INDEX(AC618:AE618,IF(COUNTA(AC618:AE618)=0,"",MAX((AC618:AE618&lt;&gt;"")*(COLUMN(AC618:AE618)-(COLUMN(AC618)-2))))-1),"")</f>
        <v>ARCHIVED</v>
      </c>
      <c r="M618" s="13" t="n">
        <f aca="true">K618-TODAY()</f>
        <v>-302</v>
      </c>
      <c r="N618" s="18" t="s">
        <v>36</v>
      </c>
      <c r="O618" s="13" t="s">
        <v>211</v>
      </c>
      <c r="P618" s="19" t="n">
        <v>5195401</v>
      </c>
      <c r="Q618" s="20" t="s">
        <v>2773</v>
      </c>
      <c r="R618" s="13" t="s">
        <v>401</v>
      </c>
      <c r="S618" s="14" t="n">
        <v>35497</v>
      </c>
      <c r="T618" s="13" t="s">
        <v>40</v>
      </c>
      <c r="U618" s="13" t="s">
        <v>2774</v>
      </c>
      <c r="V618" s="13" t="s">
        <v>42</v>
      </c>
      <c r="W618" s="13" t="s">
        <v>43</v>
      </c>
      <c r="X618" s="21" t="n">
        <v>85859442501</v>
      </c>
      <c r="Y618" s="22" t="str">
        <f aca="false">O618</f>
        <v>FG Store</v>
      </c>
      <c r="Z618" s="13" t="str">
        <f aca="false">IFERROR(__xludf.dummyfunction("if(BJ618="""","""",GOOGLETRANSLATE(BJ618,""auto"",""en""))"),"FG Store")</f>
        <v>FG Store</v>
      </c>
      <c r="AA618" s="23" t="str">
        <f aca="false">IF(C618="","", CHOOSE(MONTH(C618),"January","February","March","April","May","June","July","August","September","October","November","December")&amp;" "&amp;DAY(C618)&amp;MID("thstndrdth",MIN(9,2*RIGHT(DAY(C618))*(MOD(DAY(C618)-11,100)&gt;2)+1),2)&amp;","&amp;TEXT(C618," yyyy"))</f>
        <v>November 4th,2021</v>
      </c>
      <c r="AB618" s="15" t="str">
        <f aca="true">IF(S618="","",DATEDIF(S618,TODAY(),"Y")&amp;" Tahun, "&amp;DATEDIF(S618,TODAY(),"YM")&amp;" Bulan, "&amp;DATEDIF(S618,TODAY(),"MD")&amp;" Hari")</f>
        <v>29 Tahun, 7 Bulan, 21 Hari</v>
      </c>
      <c r="AC618" s="18" t="n">
        <v>45658</v>
      </c>
      <c r="AD618" s="18" t="n">
        <v>46022</v>
      </c>
      <c r="AE618" s="18" t="s">
        <v>44</v>
      </c>
    </row>
    <row r="619" customFormat="false" ht="15.75" hidden="false" customHeight="true" outlineLevel="0" collapsed="false">
      <c r="A619" s="12" t="n">
        <v>3947</v>
      </c>
      <c r="B619" s="13" t="s">
        <v>2775</v>
      </c>
      <c r="C619" s="14" t="n">
        <v>44515</v>
      </c>
      <c r="D619" s="13" t="s">
        <v>2607</v>
      </c>
      <c r="E619" s="15" t="s">
        <v>47</v>
      </c>
      <c r="F619" s="15" t="str">
        <f aca="false">IFERROR(__xludf.dummyfunction("XLOOKUP(AJ619,IMPORTRANGE(""1XaInW9DU9nz21V0tYIfzFQ0He9kVQ_JF2mCXgZ3hqFA"",""REKAP ALL 2026 - Andika!G:G""),IMPORTRANGE(""1XaInW9DU9nz21V0tYIfzFQ0He9kVQ_JF2mCXgZ3hqFA"",""REKAP ALL 2026 - Andika!F:F""),"""",0)"),"21096149709")</f>
        <v>21096149709</v>
      </c>
      <c r="G619" s="13" t="s">
        <v>2776</v>
      </c>
      <c r="H619" s="13" t="s">
        <v>35</v>
      </c>
      <c r="I619" s="13" t="str">
        <f aca="false">IF(C619=J619,"NEW KONTRAK","RE-KONTRAK")</f>
        <v>RE-KONTRAK</v>
      </c>
      <c r="J619" s="16" t="n">
        <f aca="false" t="array" ref="J619:J619">IFERROR(INDEX(AC619:AE619,IF(COUNTA(AC619:AE619)=0,"",MAX((AC619:AE619&lt;&gt;"")*(COLUMN(AC619:AE619)-(COLUMN(AC619)))))-1),"")</f>
        <v>45569</v>
      </c>
      <c r="K619" s="16" t="n">
        <f aca="false" t="array" ref="K619:K619">IFERROR(INDEX(AC619:AE619,IF(COUNTA(AC619:AE619)=0,"",MAX((AC619:AE619&lt;&gt;"")*(COLUMN(AC619:AE619)-(COLUMN(AC619)-1))))-1),"")</f>
        <v>45933</v>
      </c>
      <c r="L619" s="17" t="str">
        <f aca="false" t="array" ref="L619:L619">IFERROR(INDEX(AC619:AE619,IF(COUNTA(AC619:AE619)=0,"",MAX((AC619:AE619&lt;&gt;"")*(COLUMN(AC619:AE619)-(COLUMN(AC619)-2))))-1),"")</f>
        <v>ARCHIVED</v>
      </c>
      <c r="M619" s="13" t="n">
        <f aca="true">K619-TODAY()</f>
        <v>-391</v>
      </c>
      <c r="N619" s="18" t="s">
        <v>36</v>
      </c>
      <c r="O619" s="13" t="s">
        <v>2609</v>
      </c>
      <c r="P619" s="19" t="n">
        <v>4372030</v>
      </c>
      <c r="Q619" s="20" t="s">
        <v>2777</v>
      </c>
      <c r="R619" s="13" t="s">
        <v>232</v>
      </c>
      <c r="S619" s="14" t="n">
        <v>33313</v>
      </c>
      <c r="T619" s="13" t="s">
        <v>40</v>
      </c>
      <c r="U619" s="13" t="s">
        <v>2778</v>
      </c>
      <c r="V619" s="13" t="s">
        <v>42</v>
      </c>
      <c r="W619" s="13" t="s">
        <v>43</v>
      </c>
      <c r="X619" s="21" t="n">
        <v>8563331959</v>
      </c>
      <c r="Y619" s="22" t="str">
        <f aca="false">O619</f>
        <v>Produksi H-Jack</v>
      </c>
      <c r="Z619" s="13" t="str">
        <f aca="false">IFERROR(__xludf.dummyfunction("if(BJ619="""","""",GOOGLETRANSLATE(BJ619,""auto"",""en""))"),"H-Jack Production")</f>
        <v>H-Jack Production</v>
      </c>
      <c r="AA619" s="23" t="str">
        <f aca="false">IF(C619="","", CHOOSE(MONTH(C619),"January","February","March","April","May","June","July","August","September","October","November","December")&amp;" "&amp;DAY(C619)&amp;MID("thstndrdth",MIN(9,2*RIGHT(DAY(C619))*(MOD(DAY(C619)-11,100)&gt;2)+1),2)&amp;","&amp;TEXT(C619," yyyy"))</f>
        <v>November 15th,2021</v>
      </c>
      <c r="AB619" s="15" t="str">
        <f aca="true">IF(S619="","",DATEDIF(S619,TODAY(),"Y")&amp;" Tahun, "&amp;DATEDIF(S619,TODAY(),"YM")&amp;" Bulan, "&amp;DATEDIF(S619,TODAY(),"MD")&amp;" Hari")</f>
        <v>35 Tahun, 7 Bulan, 13 Hari</v>
      </c>
      <c r="AC619" s="18" t="n">
        <v>45569</v>
      </c>
      <c r="AD619" s="18" t="n">
        <v>45933</v>
      </c>
      <c r="AE619" s="18" t="s">
        <v>44</v>
      </c>
    </row>
    <row r="620" customFormat="false" ht="15.75" hidden="false" customHeight="true" outlineLevel="0" collapsed="false">
      <c r="A620" s="12" t="n">
        <v>3964</v>
      </c>
      <c r="B620" s="13" t="s">
        <v>2779</v>
      </c>
      <c r="C620" s="14" t="n">
        <v>44487</v>
      </c>
      <c r="D620" s="13" t="s">
        <v>774</v>
      </c>
      <c r="E620" s="15" t="s">
        <v>47</v>
      </c>
      <c r="F620" s="15" t="str">
        <f aca="false">IFERROR(__xludf.dummyfunction("XLOOKUP(AJ620,IMPORTRANGE(""1XaInW9DU9nz21V0tYIfzFQ0He9kVQ_JF2mCXgZ3hqFA"",""REKAP ALL 2026 - Andika!G:G""),IMPORTRANGE(""1XaInW9DU9nz21V0tYIfzFQ0He9kVQ_JF2mCXgZ3hqFA"",""REKAP ALL 2026 - Andika!F:F""),"""",0)"),"19008247900")</f>
        <v>19008247900</v>
      </c>
      <c r="G620" s="13" t="s">
        <v>2780</v>
      </c>
      <c r="H620" s="13" t="s">
        <v>49</v>
      </c>
      <c r="I620" s="13" t="str">
        <f aca="false">IF(C620=J620,"NEW KONTRAK","RE-KONTRAK")</f>
        <v>RE-KONTRAK</v>
      </c>
      <c r="J620" s="16" t="n">
        <f aca="false" t="array" ref="J620:J620">IFERROR(INDEX(AC620:AE620,IF(COUNTA(AC620:AE620)=0,"",MAX((AC620:AE620&lt;&gt;"")*(COLUMN(AC620:AE620)-(COLUMN(AC620)))))-1),"")</f>
        <v>45566</v>
      </c>
      <c r="K620" s="16" t="n">
        <f aca="false" t="array" ref="K620:K620">IFERROR(INDEX(AC620:AE620,IF(COUNTA(AC620:AE620)=0,"",MAX((AC620:AE620&lt;&gt;"")*(COLUMN(AC620:AE620)-(COLUMN(AC620)-1))))-1),"")</f>
        <v>45930</v>
      </c>
      <c r="L620" s="17" t="str">
        <f aca="false" t="array" ref="L620:L620">IFERROR(INDEX(AC620:AE620,IF(COUNTA(AC620:AE620)=0,"",MAX((AC620:AE620&lt;&gt;"")*(COLUMN(AC620:AE620)-(COLUMN(AC620)-2))))-1),"")</f>
        <v>ARCHIVED</v>
      </c>
      <c r="M620" s="13" t="n">
        <f aca="true">K620-TODAY()</f>
        <v>-394</v>
      </c>
      <c r="N620" s="18" t="s">
        <v>36</v>
      </c>
      <c r="O620" s="13" t="s">
        <v>750</v>
      </c>
      <c r="P620" s="19" t="n">
        <v>5195500</v>
      </c>
      <c r="Q620" s="20" t="s">
        <v>2781</v>
      </c>
      <c r="R620" s="13" t="s">
        <v>73</v>
      </c>
      <c r="S620" s="14" t="n">
        <v>35484</v>
      </c>
      <c r="T620" s="13" t="s">
        <v>108</v>
      </c>
      <c r="U620" s="13" t="s">
        <v>2782</v>
      </c>
      <c r="V620" s="13" t="s">
        <v>42</v>
      </c>
      <c r="W620" s="13" t="s">
        <v>43</v>
      </c>
      <c r="X620" s="21" t="n">
        <v>82135094798</v>
      </c>
      <c r="Y620" s="22" t="str">
        <f aca="false">O620</f>
        <v>Admin</v>
      </c>
      <c r="Z620" s="13" t="str">
        <f aca="false">IFERROR(__xludf.dummyfunction("if(BJ620="""","""",GOOGLETRANSLATE(BJ620,""auto"",""en""))"),"Admin")</f>
        <v>Admin</v>
      </c>
      <c r="AA620" s="23" t="str">
        <f aca="false">IF(C620="","", CHOOSE(MONTH(C620),"January","February","March","April","May","June","July","August","September","October","November","December")&amp;" "&amp;DAY(C620)&amp;MID("thstndrdth",MIN(9,2*RIGHT(DAY(C620))*(MOD(DAY(C620)-11,100)&gt;2)+1),2)&amp;","&amp;TEXT(C620," yyyy"))</f>
        <v>October 18th,2021</v>
      </c>
      <c r="AB620" s="15" t="str">
        <f aca="true">IF(S620="","",DATEDIF(S620,TODAY(),"Y")&amp;" Tahun, "&amp;DATEDIF(S620,TODAY(),"YM")&amp;" Bulan, "&amp;DATEDIF(S620,TODAY(),"MD")&amp;" Hari")</f>
        <v>29 Tahun, 8 Bulan, 6 Hari</v>
      </c>
      <c r="AC620" s="18" t="n">
        <v>45566</v>
      </c>
      <c r="AD620" s="18" t="n">
        <v>45930</v>
      </c>
      <c r="AE620" s="18" t="s">
        <v>44</v>
      </c>
    </row>
    <row r="621" customFormat="false" ht="15.75" hidden="false" customHeight="true" outlineLevel="0" collapsed="false">
      <c r="A621" s="12" t="n">
        <v>3978</v>
      </c>
      <c r="B621" s="13" t="s">
        <v>2783</v>
      </c>
      <c r="C621" s="14" t="n">
        <v>44207</v>
      </c>
      <c r="D621" s="13" t="s">
        <v>1066</v>
      </c>
      <c r="E621" s="15" t="s">
        <v>47</v>
      </c>
      <c r="F621" s="15" t="str">
        <f aca="false">IFERROR(__xludf.dummyfunction("XLOOKUP(AJ621,IMPORTRANGE(""1XaInW9DU9nz21V0tYIfzFQ0He9kVQ_JF2mCXgZ3hqFA"",""REKAP ALL 2026 - Andika!G:G""),IMPORTRANGE(""1XaInW9DU9nz21V0tYIfzFQ0He9kVQ_JF2mCXgZ3hqFA"",""REKAP ALL 2026 - Andika!F:F""),"""",0)"),"21096151986")</f>
        <v>21096151986</v>
      </c>
      <c r="G621" s="13" t="s">
        <v>2784</v>
      </c>
      <c r="H621" s="13" t="s">
        <v>35</v>
      </c>
      <c r="I621" s="13" t="str">
        <f aca="false">IF(C621=J621,"NEW KONTRAK","RE-KONTRAK")</f>
        <v>RE-KONTRAK</v>
      </c>
      <c r="J621" s="16" t="n">
        <f aca="false" t="array" ref="J621:J621">IFERROR(INDEX(AC621:AE621,IF(COUNTA(AC621:AE621)=0,"",MAX((AC621:AE621&lt;&gt;"")*(COLUMN(AC621:AE621)-(COLUMN(AC621)))))-1),"")</f>
        <v>45658</v>
      </c>
      <c r="K621" s="16" t="n">
        <f aca="false" t="array" ref="K621:K621">IFERROR(INDEX(AC621:AE621,IF(COUNTA(AC621:AE621)=0,"",MAX((AC621:AE621&lt;&gt;"")*(COLUMN(AC621:AE621)-(COLUMN(AC621)-1))))-1),"")</f>
        <v>46022</v>
      </c>
      <c r="L621" s="17" t="str">
        <f aca="false" t="array" ref="L621:L621">IFERROR(INDEX(AC621:AE621,IF(COUNTA(AC621:AE621)=0,"",MAX((AC621:AE621&lt;&gt;"")*(COLUMN(AC621:AE621)-(COLUMN(AC621)-2))))-1),"")</f>
        <v>ARCHIVED</v>
      </c>
      <c r="M621" s="13" t="n">
        <f aca="true">K621-TODAY()</f>
        <v>-302</v>
      </c>
      <c r="N621" s="18" t="s">
        <v>615</v>
      </c>
      <c r="O621" s="13" t="s">
        <v>1068</v>
      </c>
      <c r="P621" s="19" t="n">
        <v>5176101</v>
      </c>
      <c r="Q621" s="20" t="s">
        <v>2785</v>
      </c>
      <c r="R621" s="13" t="s">
        <v>232</v>
      </c>
      <c r="S621" s="14" t="n">
        <v>37168</v>
      </c>
      <c r="T621" s="13" t="s">
        <v>40</v>
      </c>
      <c r="U621" s="13" t="s">
        <v>2786</v>
      </c>
      <c r="V621" s="13" t="s">
        <v>42</v>
      </c>
      <c r="W621" s="13" t="s">
        <v>43</v>
      </c>
      <c r="X621" s="21" t="n">
        <v>88103618279</v>
      </c>
      <c r="Y621" s="22" t="str">
        <f aca="false">O621</f>
        <v>Production Packer</v>
      </c>
      <c r="Z621" s="13" t="str">
        <f aca="false">IFERROR(__xludf.dummyfunction("if(BJ621="""","""",GOOGLETRANSLATE(BJ621,""auto"",""en""))"),"Production Packer")</f>
        <v>Production Packer</v>
      </c>
      <c r="AA621" s="23" t="str">
        <f aca="false">IF(C621="","", CHOOSE(MONTH(C621),"January","February","March","April","May","June","July","August","September","October","November","December")&amp;" "&amp;DAY(C621)&amp;MID("thstndrdth",MIN(9,2*RIGHT(DAY(C621))*(MOD(DAY(C621)-11,100)&gt;2)+1),2)&amp;","&amp;TEXT(C621," yyyy"))</f>
        <v>January 11th,2021</v>
      </c>
      <c r="AB621" s="15" t="str">
        <f aca="true">IF(S621="","",DATEDIF(S621,TODAY(),"Y")&amp;" Tahun, "&amp;DATEDIF(S621,TODAY(),"YM")&amp;" Bulan, "&amp;DATEDIF(S621,TODAY(),"MD")&amp;" Hari")</f>
        <v>25 Tahun, 0 Bulan, 25 Hari</v>
      </c>
      <c r="AC621" s="18" t="n">
        <v>45658</v>
      </c>
      <c r="AD621" s="18" t="n">
        <v>46022</v>
      </c>
      <c r="AE621" s="18" t="s">
        <v>44</v>
      </c>
    </row>
    <row r="622" customFormat="false" ht="15.75" hidden="false" customHeight="true" outlineLevel="0" collapsed="false">
      <c r="A622" s="12" t="n">
        <v>3979</v>
      </c>
      <c r="B622" s="13" t="s">
        <v>2787</v>
      </c>
      <c r="C622" s="14" t="n">
        <v>44214</v>
      </c>
      <c r="D622" s="13" t="s">
        <v>1066</v>
      </c>
      <c r="E622" s="15" t="s">
        <v>47</v>
      </c>
      <c r="F622" s="15" t="str">
        <f aca="false">IFERROR(__xludf.dummyfunction("XLOOKUP(AJ622,IMPORTRANGE(""1XaInW9DU9nz21V0tYIfzFQ0He9kVQ_JF2mCXgZ3hqFA"",""REKAP ALL 2026 - Andika!G:G""),IMPORTRANGE(""1XaInW9DU9nz21V0tYIfzFQ0He9kVQ_JF2mCXgZ3hqFA"",""REKAP ALL 2026 - Andika!F:F""),"""",0)"),"24139691083")</f>
        <v>24139691083</v>
      </c>
      <c r="G622" s="13" t="s">
        <v>2788</v>
      </c>
      <c r="H622" s="13" t="s">
        <v>35</v>
      </c>
      <c r="I622" s="13" t="str">
        <f aca="false">IF(C622=J622,"NEW KONTRAK","RE-KONTRAK")</f>
        <v>RE-KONTRAK</v>
      </c>
      <c r="J622" s="16" t="n">
        <f aca="false" t="array" ref="J622:J622">IFERROR(INDEX(AC622:AE622,IF(COUNTA(AC622:AE622)=0,"",MAX((AC622:AE622&lt;&gt;"")*(COLUMN(AC622:AE622)-(COLUMN(AC622)))))-1),"")</f>
        <v>45658</v>
      </c>
      <c r="K622" s="16" t="n">
        <f aca="false" t="array" ref="K622:K622">IFERROR(INDEX(AC622:AE622,IF(COUNTA(AC622:AE622)=0,"",MAX((AC622:AE622&lt;&gt;"")*(COLUMN(AC622:AE622)-(COLUMN(AC622)-1))))-1),"")</f>
        <v>46022</v>
      </c>
      <c r="L622" s="17" t="str">
        <f aca="false" t="array" ref="L622:L622">IFERROR(INDEX(AC622:AE622,IF(COUNTA(AC622:AE622)=0,"",MAX((AC622:AE622&lt;&gt;"")*(COLUMN(AC622:AE622)-(COLUMN(AC622)-2))))-1),"")</f>
        <v>ARCHIVED</v>
      </c>
      <c r="M622" s="13" t="n">
        <f aca="true">K622-TODAY()</f>
        <v>-302</v>
      </c>
      <c r="N622" s="18" t="s">
        <v>615</v>
      </c>
      <c r="O622" s="13" t="s">
        <v>1068</v>
      </c>
      <c r="P622" s="19" t="n">
        <v>5176101</v>
      </c>
      <c r="Q622" s="20" t="s">
        <v>2789</v>
      </c>
      <c r="R622" s="13" t="s">
        <v>232</v>
      </c>
      <c r="S622" s="14" t="n">
        <v>34012</v>
      </c>
      <c r="T622" s="13" t="s">
        <v>108</v>
      </c>
      <c r="U622" s="13" t="s">
        <v>2790</v>
      </c>
      <c r="V622" s="13" t="s">
        <v>42</v>
      </c>
      <c r="W622" s="13" t="s">
        <v>54</v>
      </c>
      <c r="X622" s="21" t="n">
        <v>81216789210</v>
      </c>
      <c r="Y622" s="22" t="str">
        <f aca="false">O622</f>
        <v>Production Packer</v>
      </c>
      <c r="Z622" s="13" t="str">
        <f aca="false">IFERROR(__xludf.dummyfunction("if(BJ622="""","""",GOOGLETRANSLATE(BJ622,""auto"",""en""))"),"Production Packer")</f>
        <v>Production Packer</v>
      </c>
      <c r="AA622" s="23" t="str">
        <f aca="false">IF(C622="","", CHOOSE(MONTH(C622),"January","February","March","April","May","June","July","August","September","October","November","December")&amp;" "&amp;DAY(C622)&amp;MID("thstndrdth",MIN(9,2*RIGHT(DAY(C622))*(MOD(DAY(C622)-11,100)&gt;2)+1),2)&amp;","&amp;TEXT(C622," yyyy"))</f>
        <v>January 18th,2021</v>
      </c>
      <c r="AB622" s="15" t="str">
        <f aca="true">IF(S622="","",DATEDIF(S622,TODAY(),"Y")&amp;" Tahun, "&amp;DATEDIF(S622,TODAY(),"YM")&amp;" Bulan, "&amp;DATEDIF(S622,TODAY(),"MD")&amp;" Hari")</f>
        <v>33 Tahun, 8 Bulan, 17 Hari</v>
      </c>
      <c r="AC622" s="18" t="n">
        <v>45658</v>
      </c>
      <c r="AD622" s="18" t="n">
        <v>46022</v>
      </c>
      <c r="AE622" s="18" t="s">
        <v>44</v>
      </c>
    </row>
    <row r="623" customFormat="false" ht="15.75" hidden="false" customHeight="true" outlineLevel="0" collapsed="false">
      <c r="A623" s="12" t="n">
        <v>3982</v>
      </c>
      <c r="B623" s="13" t="s">
        <v>2791</v>
      </c>
      <c r="C623" s="14" t="n">
        <v>44522</v>
      </c>
      <c r="D623" s="13" t="s">
        <v>404</v>
      </c>
      <c r="E623" s="15" t="s">
        <v>47</v>
      </c>
      <c r="F623" s="15" t="str">
        <f aca="false">IFERROR(__xludf.dummyfunction("XLOOKUP(AJ623,IMPORTRANGE(""1XaInW9DU9nz21V0tYIfzFQ0He9kVQ_JF2mCXgZ3hqFA"",""REKAP ALL 2026 - Andika!G:G""),IMPORTRANGE(""1XaInW9DU9nz21V0tYIfzFQ0He9kVQ_JF2mCXgZ3hqFA"",""REKAP ALL 2026 - Andika!F:F""),"""",0)"),"21097734830")</f>
        <v>21097734830</v>
      </c>
      <c r="G623" s="13" t="s">
        <v>2792</v>
      </c>
      <c r="H623" s="13" t="s">
        <v>35</v>
      </c>
      <c r="I623" s="13" t="str">
        <f aca="false">IF(C623=J623,"NEW KONTRAK","RE-KONTRAK")</f>
        <v>RE-KONTRAK</v>
      </c>
      <c r="J623" s="16" t="n">
        <f aca="false" t="array" ref="J623:J623">IFERROR(INDEX(AC623:AE623,IF(COUNTA(AC623:AE623)=0,"",MAX((AC623:AE623&lt;&gt;"")*(COLUMN(AC623:AE623)-(COLUMN(AC623)))))-1),"")</f>
        <v>45658</v>
      </c>
      <c r="K623" s="16" t="n">
        <f aca="false" t="array" ref="K623:K623">IFERROR(INDEX(AC623:AE623,IF(COUNTA(AC623:AE623)=0,"",MAX((AC623:AE623&lt;&gt;"")*(COLUMN(AC623:AE623)-(COLUMN(AC623)-1))))-1),"")</f>
        <v>46022</v>
      </c>
      <c r="L623" s="17" t="str">
        <f aca="false" t="array" ref="L623:L623">IFERROR(INDEX(AC623:AE623,IF(COUNTA(AC623:AE623)=0,"",MAX((AC623:AE623&lt;&gt;"")*(COLUMN(AC623:AE623)-(COLUMN(AC623)-2))))-1),"")</f>
        <v>ARCHIVED</v>
      </c>
      <c r="M623" s="13" t="n">
        <f aca="true">K623-TODAY()</f>
        <v>-302</v>
      </c>
      <c r="N623" s="18" t="s">
        <v>36</v>
      </c>
      <c r="O623" s="13" t="s">
        <v>450</v>
      </c>
      <c r="P623" s="26" t="n">
        <v>5195401</v>
      </c>
      <c r="Q623" s="20" t="s">
        <v>2793</v>
      </c>
      <c r="R623" s="13" t="s">
        <v>65</v>
      </c>
      <c r="S623" s="14" t="n">
        <v>35877</v>
      </c>
      <c r="T623" s="13" t="s">
        <v>40</v>
      </c>
      <c r="U623" s="13" t="s">
        <v>2794</v>
      </c>
      <c r="V623" s="13" t="s">
        <v>42</v>
      </c>
      <c r="W623" s="13" t="s">
        <v>43</v>
      </c>
      <c r="X623" s="21" t="n">
        <v>85735765199</v>
      </c>
      <c r="Y623" s="22" t="str">
        <f aca="false">O623</f>
        <v>QC &amp; QA</v>
      </c>
      <c r="Z623" s="13" t="str">
        <f aca="false">IFERROR(__xludf.dummyfunction("if(BJ623="""","""",GOOGLETRANSLATE(BJ623,""auto"",""en""))"),"QC &amp; QA")</f>
        <v>QC &amp; QA</v>
      </c>
      <c r="AA623" s="23" t="str">
        <f aca="false">IF(C623="","", CHOOSE(MONTH(C623),"January","February","March","April","May","June","July","August","September","October","November","December")&amp;" "&amp;DAY(C623)&amp;MID("thstndrdth",MIN(9,2*RIGHT(DAY(C623))*(MOD(DAY(C623)-11,100)&gt;2)+1),2)&amp;","&amp;TEXT(C623," yyyy"))</f>
        <v>November 22nd,2021</v>
      </c>
      <c r="AB623" s="15" t="str">
        <f aca="true">IF(S623="","",DATEDIF(S623,TODAY(),"Y")&amp;" Tahun, "&amp;DATEDIF(S623,TODAY(),"YM")&amp;" Bulan, "&amp;DATEDIF(S623,TODAY(),"MD")&amp;" Hari")</f>
        <v>28 Tahun, 7 Bulan, 6 Hari</v>
      </c>
      <c r="AC623" s="18" t="n">
        <v>45658</v>
      </c>
      <c r="AD623" s="18" t="n">
        <v>46022</v>
      </c>
      <c r="AE623" s="18" t="s">
        <v>44</v>
      </c>
    </row>
    <row r="624" customFormat="false" ht="15.75" hidden="false" customHeight="true" outlineLevel="0" collapsed="false">
      <c r="A624" s="12" t="n">
        <v>4064</v>
      </c>
      <c r="B624" s="13" t="s">
        <v>2795</v>
      </c>
      <c r="C624" s="14" t="n">
        <v>44508</v>
      </c>
      <c r="D624" s="13" t="s">
        <v>755</v>
      </c>
      <c r="E624" s="15" t="s">
        <v>102</v>
      </c>
      <c r="F624" s="15" t="str">
        <f aca="false">IFERROR(__xludf.dummyfunction("XLOOKUP(AJ624,IMPORTRANGE(""1XaInW9DU9nz21V0tYIfzFQ0He9kVQ_JF2mCXgZ3hqFA"",""REKAP ALL 2026 - Andika!G:G""),IMPORTRANGE(""1XaInW9DU9nz21V0tYIfzFQ0He9kVQ_JF2mCXgZ3hqFA"",""REKAP ALL 2026 - Andika!F:F""),"""",0)"),"21094559198")</f>
        <v>21094559198</v>
      </c>
      <c r="G624" s="13" t="s">
        <v>2796</v>
      </c>
      <c r="H624" s="13" t="s">
        <v>35</v>
      </c>
      <c r="I624" s="13" t="str">
        <f aca="false">IF(C624=J624,"NEW KONTRAK","RE-KONTRAK")</f>
        <v>RE-KONTRAK</v>
      </c>
      <c r="J624" s="16" t="n">
        <f aca="false" t="array" ref="J624:J624">IFERROR(INDEX(AC624:AE624,IF(COUNTA(AC624:AE624)=0,"",MAX((AC624:AE624&lt;&gt;"")*(COLUMN(AC624:AE624)-(COLUMN(AC624)))))-1),"")</f>
        <v>45799</v>
      </c>
      <c r="K624" s="16" t="n">
        <f aca="false" t="array" ref="K624:K624">IFERROR(INDEX(AC624:AE624,IF(COUNTA(AC624:AE624)=0,"",MAX((AC624:AE624&lt;&gt;"")*(COLUMN(AC624:AE624)-(COLUMN(AC624)-1))))-1),"")</f>
        <v>46528</v>
      </c>
      <c r="L624" s="17" t="str">
        <f aca="false" t="array" ref="L624:L624">IFERROR(INDEX(AC624:AE624,IF(COUNTA(AC624:AE624)=0,"",MAX((AC624:AE624&lt;&gt;"")*(COLUMN(AC624:AE624)-(COLUMN(AC624)-2))))-1),"")</f>
        <v>ARCHIVED</v>
      </c>
      <c r="M624" s="13" t="n">
        <f aca="true">K624-TODAY()</f>
        <v>204</v>
      </c>
      <c r="N624" s="18" t="s">
        <v>105</v>
      </c>
      <c r="O624" s="13" t="s">
        <v>757</v>
      </c>
      <c r="P624" s="19" t="n">
        <v>4870511</v>
      </c>
      <c r="Q624" s="20" t="s">
        <v>2797</v>
      </c>
      <c r="R624" s="13" t="s">
        <v>39</v>
      </c>
      <c r="S624" s="14" t="n">
        <v>36242</v>
      </c>
      <c r="T624" s="13" t="s">
        <v>108</v>
      </c>
      <c r="U624" s="13" t="s">
        <v>2798</v>
      </c>
      <c r="V624" s="13" t="s">
        <v>42</v>
      </c>
      <c r="W624" s="13" t="s">
        <v>43</v>
      </c>
      <c r="X624" s="21" t="n">
        <v>88217165603</v>
      </c>
      <c r="Y624" s="22" t="str">
        <f aca="false">O624</f>
        <v>Inputor</v>
      </c>
      <c r="Z624" s="13" t="str">
        <f aca="false">IFERROR(__xludf.dummyfunction("if(BJ624="""","""",GOOGLETRANSLATE(BJ624,""auto"",""en""))"),"Inputor")</f>
        <v>Inputor</v>
      </c>
      <c r="AA624" s="23" t="str">
        <f aca="false">IF(C624="","", CHOOSE(MONTH(C624),"January","February","March","April","May","June","July","August","September","October","November","December")&amp;" "&amp;DAY(C624)&amp;MID("thstndrdth",MIN(9,2*RIGHT(DAY(C624))*(MOD(DAY(C624)-11,100)&gt;2)+1),2)&amp;","&amp;TEXT(C624," yyyy"))</f>
        <v>November 8th,2021</v>
      </c>
      <c r="AB624" s="15" t="str">
        <f aca="true">IF(S624="","",DATEDIF(S624,TODAY(),"Y")&amp;" Tahun, "&amp;DATEDIF(S624,TODAY(),"YM")&amp;" Bulan, "&amp;DATEDIF(S624,TODAY(),"MD")&amp;" Hari")</f>
        <v>27 Tahun, 7 Bulan, 6 Hari</v>
      </c>
      <c r="AC624" s="18" t="n">
        <v>45799</v>
      </c>
      <c r="AD624" s="18" t="n">
        <v>46528</v>
      </c>
      <c r="AE624" s="18" t="s">
        <v>44</v>
      </c>
    </row>
    <row r="625" customFormat="false" ht="15.75" hidden="false" customHeight="true" outlineLevel="0" collapsed="false">
      <c r="A625" s="12" t="n">
        <v>4134</v>
      </c>
      <c r="B625" s="13" t="s">
        <v>2799</v>
      </c>
      <c r="C625" s="14" t="n">
        <v>44536</v>
      </c>
      <c r="D625" s="13" t="s">
        <v>144</v>
      </c>
      <c r="E625" s="15" t="s">
        <v>47</v>
      </c>
      <c r="F625" s="15" t="str">
        <f aca="false">IFERROR(__xludf.dummyfunction("XLOOKUP(AJ625,IMPORTRANGE(""1XaInW9DU9nz21V0tYIfzFQ0He9kVQ_JF2mCXgZ3hqFA"",""REKAP ALL 2026 - Andika!G:G""),IMPORTRANGE(""1XaInW9DU9nz21V0tYIfzFQ0He9kVQ_JF2mCXgZ3hqFA"",""REKAP ALL 2026 - Andika!F:F""),"""",0)"),"22003695263")</f>
        <v>22003695263</v>
      </c>
      <c r="G625" s="13" t="s">
        <v>2800</v>
      </c>
      <c r="H625" s="13" t="s">
        <v>35</v>
      </c>
      <c r="I625" s="13" t="str">
        <f aca="false">IF(C625=J625,"NEW KONTRAK","RE-KONTRAK")</f>
        <v>RE-KONTRAK</v>
      </c>
      <c r="J625" s="16" t="n">
        <f aca="false" t="array" ref="J625:J625">IFERROR(INDEX(AC625:AE625,IF(COUNTA(AC625:AE625)=0,"",MAX((AC625:AE625&lt;&gt;"")*(COLUMN(AC625:AE625)-(COLUMN(AC625)))))-1),"")</f>
        <v>45658</v>
      </c>
      <c r="K625" s="16" t="n">
        <f aca="false" t="array" ref="K625:K625">IFERROR(INDEX(AC625:AE625,IF(COUNTA(AC625:AE625)=0,"",MAX((AC625:AE625&lt;&gt;"")*(COLUMN(AC625:AE625)-(COLUMN(AC625)-1))))-1),"")</f>
        <v>46022</v>
      </c>
      <c r="L625" s="17" t="str">
        <f aca="false" t="array" ref="L625:L625">IFERROR(INDEX(AC625:AE625,IF(COUNTA(AC625:AE625)=0,"",MAX((AC625:AE625&lt;&gt;"")*(COLUMN(AC625:AE625)-(COLUMN(AC625)-2))))-1),"")</f>
        <v>ARCHIVED</v>
      </c>
      <c r="M625" s="13" t="n">
        <f aca="true">K625-TODAY()</f>
        <v>-302</v>
      </c>
      <c r="N625" s="18" t="s">
        <v>36</v>
      </c>
      <c r="O625" s="13" t="s">
        <v>156</v>
      </c>
      <c r="P625" s="19" t="n">
        <v>5195401</v>
      </c>
      <c r="Q625" s="20" t="s">
        <v>2801</v>
      </c>
      <c r="R625" s="13" t="s">
        <v>78</v>
      </c>
      <c r="S625" s="14" t="n">
        <v>36640</v>
      </c>
      <c r="T625" s="13" t="s">
        <v>40</v>
      </c>
      <c r="U625" s="13" t="s">
        <v>2802</v>
      </c>
      <c r="V625" s="13" t="s">
        <v>42</v>
      </c>
      <c r="W625" s="13" t="s">
        <v>43</v>
      </c>
      <c r="X625" s="21" t="n">
        <v>85735443618</v>
      </c>
      <c r="Y625" s="22" t="str">
        <f aca="false">O625</f>
        <v>Emulsion</v>
      </c>
      <c r="Z625" s="13" t="str">
        <f aca="false">IFERROR(__xludf.dummyfunction("if(BJ625="""","""",GOOGLETRANSLATE(BJ625,""auto"",""en""))"),"Emulsion")</f>
        <v>Emulsion</v>
      </c>
      <c r="AA625" s="23" t="str">
        <f aca="false">IF(C625="","", CHOOSE(MONTH(C625),"January","February","March","April","May","June","July","August","September","October","November","December")&amp;" "&amp;DAY(C625)&amp;MID("thstndrdth",MIN(9,2*RIGHT(DAY(C625))*(MOD(DAY(C625)-11,100)&gt;2)+1),2)&amp;","&amp;TEXT(C625," yyyy"))</f>
        <v>December 6th,2021</v>
      </c>
      <c r="AB625" s="15" t="str">
        <f aca="true">IF(S625="","",DATEDIF(S625,TODAY(),"Y")&amp;" Tahun, "&amp;DATEDIF(S625,TODAY(),"YM")&amp;" Bulan, "&amp;DATEDIF(S625,TODAY(),"MD")&amp;" Hari")</f>
        <v>26 Tahun, 6 Bulan, 5 Hari</v>
      </c>
      <c r="AC625" s="18" t="n">
        <v>45658</v>
      </c>
      <c r="AD625" s="18" t="n">
        <v>46022</v>
      </c>
      <c r="AE625" s="18" t="s">
        <v>44</v>
      </c>
    </row>
    <row r="626" customFormat="false" ht="15.75" hidden="false" customHeight="true" outlineLevel="0" collapsed="false">
      <c r="A626" s="12" t="n">
        <v>4135</v>
      </c>
      <c r="B626" s="13" t="s">
        <v>2803</v>
      </c>
      <c r="C626" s="14" t="n">
        <v>44536</v>
      </c>
      <c r="D626" s="13" t="s">
        <v>144</v>
      </c>
      <c r="E626" s="15" t="s">
        <v>47</v>
      </c>
      <c r="F626" s="15" t="str">
        <f aca="false">IFERROR(__xludf.dummyfunction("XLOOKUP(AJ626,IMPORTRANGE(""1XaInW9DU9nz21V0tYIfzFQ0He9kVQ_JF2mCXgZ3hqFA"",""REKAP ALL 2026 - Andika!G:G""),IMPORTRANGE(""1XaInW9DU9nz21V0tYIfzFQ0He9kVQ_JF2mCXgZ3hqFA"",""REKAP ALL 2026 - Andika!F:F""),"""",0)"),"22003695248")</f>
        <v>22003695248</v>
      </c>
      <c r="G626" s="13" t="s">
        <v>2804</v>
      </c>
      <c r="H626" s="13" t="s">
        <v>35</v>
      </c>
      <c r="I626" s="13" t="str">
        <f aca="false">IF(C626=J626,"NEW KONTRAK","RE-KONTRAK")</f>
        <v>RE-KONTRAK</v>
      </c>
      <c r="J626" s="16" t="n">
        <f aca="false" t="array" ref="J626:J626">IFERROR(INDEX(AC626:AE626,IF(COUNTA(AC626:AE626)=0,"",MAX((AC626:AE626&lt;&gt;"")*(COLUMN(AC626:AE626)-(COLUMN(AC626)))))-1),"")</f>
        <v>45658</v>
      </c>
      <c r="K626" s="16" t="n">
        <f aca="false" t="array" ref="K626:K626">IFERROR(INDEX(AC626:AE626,IF(COUNTA(AC626:AE626)=0,"",MAX((AC626:AE626&lt;&gt;"")*(COLUMN(AC626:AE626)-(COLUMN(AC626)-1))))-1),"")</f>
        <v>46022</v>
      </c>
      <c r="L626" s="17" t="str">
        <f aca="false" t="array" ref="L626:L626">IFERROR(INDEX(AC626:AE626,IF(COUNTA(AC626:AE626)=0,"",MAX((AC626:AE626&lt;&gt;"")*(COLUMN(AC626:AE626)-(COLUMN(AC626)-2))))-1),"")</f>
        <v>ARCHIVED</v>
      </c>
      <c r="M626" s="13" t="n">
        <f aca="true">K626-TODAY()</f>
        <v>-302</v>
      </c>
      <c r="N626" s="18" t="s">
        <v>36</v>
      </c>
      <c r="O626" s="13" t="s">
        <v>156</v>
      </c>
      <c r="P626" s="19" t="n">
        <v>5195401</v>
      </c>
      <c r="Q626" s="20" t="s">
        <v>2805</v>
      </c>
      <c r="R626" s="13" t="s">
        <v>65</v>
      </c>
      <c r="S626" s="14" t="n">
        <v>34568</v>
      </c>
      <c r="T626" s="13" t="s">
        <v>40</v>
      </c>
      <c r="U626" s="13" t="s">
        <v>2806</v>
      </c>
      <c r="V626" s="13" t="s">
        <v>42</v>
      </c>
      <c r="W626" s="13" t="s">
        <v>43</v>
      </c>
      <c r="X626" s="21" t="n">
        <v>81233535290</v>
      </c>
      <c r="Y626" s="22" t="str">
        <f aca="false">O626</f>
        <v>Emulsion</v>
      </c>
      <c r="Z626" s="13" t="str">
        <f aca="false">IFERROR(__xludf.dummyfunction("if(BJ626="""","""",GOOGLETRANSLATE(BJ626,""auto"",""en""))"),"Emulsion")</f>
        <v>Emulsion</v>
      </c>
      <c r="AA626" s="23" t="str">
        <f aca="false">IF(C626="","", CHOOSE(MONTH(C626),"January","February","March","April","May","June","July","August","September","October","November","December")&amp;" "&amp;DAY(C626)&amp;MID("thstndrdth",MIN(9,2*RIGHT(DAY(C626))*(MOD(DAY(C626)-11,100)&gt;2)+1),2)&amp;","&amp;TEXT(C626," yyyy"))</f>
        <v>December 6th,2021</v>
      </c>
      <c r="AB626" s="15" t="str">
        <f aca="true">IF(S626="","",DATEDIF(S626,TODAY(),"Y")&amp;" Tahun, "&amp;DATEDIF(S626,TODAY(),"YM")&amp;" Bulan, "&amp;DATEDIF(S626,TODAY(),"MD")&amp;" Hari")</f>
        <v>32 Tahun, 2 Bulan, 7 Hari</v>
      </c>
      <c r="AC626" s="18" t="n">
        <v>45658</v>
      </c>
      <c r="AD626" s="18" t="n">
        <v>46022</v>
      </c>
      <c r="AE626" s="18" t="s">
        <v>44</v>
      </c>
    </row>
    <row r="627" customFormat="false" ht="15.75" hidden="false" customHeight="true" outlineLevel="0" collapsed="false">
      <c r="A627" s="12" t="n">
        <v>4285</v>
      </c>
      <c r="B627" s="13" t="s">
        <v>2807</v>
      </c>
      <c r="C627" s="14" t="n">
        <v>44553</v>
      </c>
      <c r="D627" s="13" t="s">
        <v>2747</v>
      </c>
      <c r="E627" s="15" t="s">
        <v>47</v>
      </c>
      <c r="F627" s="24" t="s">
        <v>2808</v>
      </c>
      <c r="G627" s="13" t="s">
        <v>2809</v>
      </c>
      <c r="H627" s="13" t="s">
        <v>35</v>
      </c>
      <c r="I627" s="13" t="str">
        <f aca="false">IF(C627=J627,"NEW KONTRAK","RE-KONTRAK")</f>
        <v>RE-KONTRAK</v>
      </c>
      <c r="J627" s="16" t="n">
        <f aca="false" t="array" ref="J627:J627">IFERROR(INDEX(AC627:AE627,IF(COUNTA(AC627:AE627)=0,"",MAX((AC627:AE627&lt;&gt;"")*(COLUMN(AC627:AE627)-(COLUMN(AC627)))))-1),"")</f>
        <v>45569</v>
      </c>
      <c r="K627" s="16" t="n">
        <f aca="false" t="array" ref="K627:K627">IFERROR(INDEX(AC627:AE627,IF(COUNTA(AC627:AE627)=0,"",MAX((AC627:AE627&lt;&gt;"")*(COLUMN(AC627:AE627)-(COLUMN(AC627)-1))))-1),"")</f>
        <v>45933</v>
      </c>
      <c r="L627" s="17" t="str">
        <f aca="false" t="array" ref="L627:L627">IFERROR(INDEX(AC627:AE627,IF(COUNTA(AC627:AE627)=0,"",MAX((AC627:AE627&lt;&gt;"")*(COLUMN(AC627:AE627)-(COLUMN(AC627)-2))))-1),"")</f>
        <v>ARCHIVED</v>
      </c>
      <c r="M627" s="13" t="n">
        <f aca="true">K627-TODAY()</f>
        <v>-391</v>
      </c>
      <c r="N627" s="18" t="s">
        <v>36</v>
      </c>
      <c r="O627" s="13" t="s">
        <v>2810</v>
      </c>
      <c r="P627" s="19" t="n">
        <v>140000</v>
      </c>
      <c r="Q627" s="20" t="s">
        <v>2811</v>
      </c>
      <c r="R627" s="13" t="s">
        <v>52</v>
      </c>
      <c r="S627" s="14" t="n">
        <v>34191</v>
      </c>
      <c r="T627" s="13" t="s">
        <v>108</v>
      </c>
      <c r="U627" s="13" t="s">
        <v>2812</v>
      </c>
      <c r="V627" s="13" t="s">
        <v>42</v>
      </c>
      <c r="W627" s="13" t="s">
        <v>54</v>
      </c>
      <c r="X627" s="21" t="n">
        <v>895392190070</v>
      </c>
      <c r="Y627" s="22" t="str">
        <f aca="false">O627</f>
        <v>Office Girl</v>
      </c>
      <c r="Z627" s="13" t="str">
        <f aca="false">IFERROR(__xludf.dummyfunction("if(BJ627="""","""",GOOGLETRANSLATE(BJ627,""auto"",""en""))"),"Office Girl")</f>
        <v>Office Girl</v>
      </c>
      <c r="AA627" s="23" t="str">
        <f aca="false">IF(C627="","", CHOOSE(MONTH(C627),"January","February","March","April","May","June","July","August","September","October","November","December")&amp;" "&amp;DAY(C627)&amp;MID("thstndrdth",MIN(9,2*RIGHT(DAY(C627))*(MOD(DAY(C627)-11,100)&gt;2)+1),2)&amp;","&amp;TEXT(C627," yyyy"))</f>
        <v>December 23rd,2021</v>
      </c>
      <c r="AB627" s="15" t="str">
        <f aca="true">IF(S627="","",DATEDIF(S627,TODAY(),"Y")&amp;" Tahun, "&amp;DATEDIF(S627,TODAY(),"YM")&amp;" Bulan, "&amp;DATEDIF(S627,TODAY(),"MD")&amp;" Hari")</f>
        <v>33 Tahun, 2 Bulan, 19 Hari</v>
      </c>
      <c r="AC627" s="18" t="n">
        <v>45569</v>
      </c>
      <c r="AD627" s="18" t="n">
        <v>45933</v>
      </c>
      <c r="AE627" s="18" t="s">
        <v>44</v>
      </c>
    </row>
    <row r="628" customFormat="false" ht="15.75" hidden="false" customHeight="true" outlineLevel="0" collapsed="false">
      <c r="A628" s="12" t="n">
        <v>4342</v>
      </c>
      <c r="B628" s="13" t="s">
        <v>2813</v>
      </c>
      <c r="C628" s="14" t="n">
        <v>43222</v>
      </c>
      <c r="D628" s="13" t="s">
        <v>56</v>
      </c>
      <c r="E628" s="15" t="s">
        <v>47</v>
      </c>
      <c r="F628" s="15" t="str">
        <f aca="false">IFERROR(__xludf.dummyfunction("XLOOKUP(AJ628,IMPORTRANGE(""1XaInW9DU9nz21V0tYIfzFQ0He9kVQ_JF2mCXgZ3hqFA"",""REKAP ALL 2026 - Andika!G:G""),IMPORTRANGE(""1XaInW9DU9nz21V0tYIfzFQ0He9kVQ_JF2mCXgZ3hqFA"",""REKAP ALL 2026 - Andika!F:F""),"""",0)"),"22078869470")</f>
        <v>22078869470</v>
      </c>
      <c r="G628" s="13" t="s">
        <v>57</v>
      </c>
      <c r="H628" s="13" t="s">
        <v>35</v>
      </c>
      <c r="I628" s="13" t="str">
        <f aca="false">IF(C628=J628,"NEW KONTRAK","RE-KONTRAK")</f>
        <v>RE-KONTRAK</v>
      </c>
      <c r="J628" s="16" t="n">
        <f aca="false" t="array" ref="J628:J628">IFERROR(INDEX(AC628:AE628,IF(COUNTA(AC628:AE628)=0,"",MAX((AC628:AE628&lt;&gt;"")*(COLUMN(AC628:AE628)-(COLUMN(AC628)))))-1),"")</f>
        <v>45839</v>
      </c>
      <c r="K628" s="16" t="n">
        <f aca="false" t="array" ref="K628:K628">IFERROR(INDEX(AC628:AE628,IF(COUNTA(AC628:AE628)=0,"",MAX((AC628:AE628&lt;&gt;"")*(COLUMN(AC628:AE628)-(COLUMN(AC628)-1))))-1),"")</f>
        <v>46022</v>
      </c>
      <c r="L628" s="17" t="str">
        <f aca="false" t="array" ref="L628:L628">IFERROR(INDEX(AC628:AE628,IF(COUNTA(AC628:AE628)=0,"",MAX((AC628:AE628&lt;&gt;"")*(COLUMN(AC628:AE628)-(COLUMN(AC628)-2))))-1),"")</f>
        <v>ARCHIVED</v>
      </c>
      <c r="M628" s="13" t="n">
        <f aca="true">K628-TODAY()</f>
        <v>-302</v>
      </c>
      <c r="N628" s="18" t="s">
        <v>36</v>
      </c>
      <c r="O628" s="13" t="s">
        <v>76</v>
      </c>
      <c r="P628" s="19" t="n">
        <v>210000</v>
      </c>
      <c r="Q628" s="20" t="s">
        <v>2814</v>
      </c>
      <c r="R628" s="13" t="s">
        <v>65</v>
      </c>
      <c r="S628" s="14" t="n">
        <v>27775</v>
      </c>
      <c r="T628" s="13" t="s">
        <v>40</v>
      </c>
      <c r="U628" s="13" t="s">
        <v>2815</v>
      </c>
      <c r="V628" s="13" t="s">
        <v>42</v>
      </c>
      <c r="W628" s="13" t="s">
        <v>54</v>
      </c>
      <c r="X628" s="21" t="n">
        <v>85608444680</v>
      </c>
      <c r="Y628" s="22" t="str">
        <f aca="false">O628</f>
        <v>Operator Forklift</v>
      </c>
      <c r="Z628" s="13" t="str">
        <f aca="false">IFERROR(__xludf.dummyfunction("if(BJ628="""","""",GOOGLETRANSLATE(BJ628,""auto"",""en""))"),"Operator Forklift")</f>
        <v>Operator Forklift</v>
      </c>
      <c r="AA628" s="23" t="str">
        <f aca="false">IF(C628="","", CHOOSE(MONTH(C628),"January","February","March","April","May","June","July","August","September","October","November","December")&amp;" "&amp;DAY(C628)&amp;MID("thstndrdth",MIN(9,2*RIGHT(DAY(C628))*(MOD(DAY(C628)-11,100)&gt;2)+1),2)&amp;","&amp;TEXT(C628," yyyy"))</f>
        <v>May 2nd,2018</v>
      </c>
      <c r="AB628" s="15" t="str">
        <f aca="true">IF(S628="","",DATEDIF(S628,TODAY(),"Y")&amp;" Tahun, "&amp;DATEDIF(S628,TODAY(),"YM")&amp;" Bulan, "&amp;DATEDIF(S628,TODAY(),"MD")&amp;" Hari")</f>
        <v>50 Tahun, 9 Bulan, 13 Hari</v>
      </c>
      <c r="AC628" s="18" t="n">
        <v>45839</v>
      </c>
      <c r="AD628" s="18" t="n">
        <v>46022</v>
      </c>
      <c r="AE628" s="18" t="s">
        <v>44</v>
      </c>
    </row>
    <row r="629" customFormat="false" ht="15.75" hidden="false" customHeight="true" outlineLevel="0" collapsed="false">
      <c r="A629" s="12" t="n">
        <v>4404</v>
      </c>
      <c r="B629" s="13" t="s">
        <v>2816</v>
      </c>
      <c r="C629" s="14" t="n">
        <v>44571</v>
      </c>
      <c r="D629" s="13" t="s">
        <v>961</v>
      </c>
      <c r="E629" s="15" t="s">
        <v>102</v>
      </c>
      <c r="F629" s="15" t="str">
        <f aca="false">IFERROR(__xludf.dummyfunction("XLOOKUP(AJ629,IMPORTRANGE(""1XaInW9DU9nz21V0tYIfzFQ0He9kVQ_JF2mCXgZ3hqFA"",""REKAP ALL 2026 - Andika!G:G""),IMPORTRANGE(""1XaInW9DU9nz21V0tYIfzFQ0He9kVQ_JF2mCXgZ3hqFA"",""REKAP ALL 2026 - Andika!F:F""),"""",0)"),"22015023306")</f>
        <v>22015023306</v>
      </c>
      <c r="G629" s="13" t="s">
        <v>2817</v>
      </c>
      <c r="H629" s="13" t="s">
        <v>963</v>
      </c>
      <c r="I629" s="13" t="str">
        <f aca="false">IF(C629=J629,"NEW KONTRAK","RE-KONTRAK")</f>
        <v>RE-KONTRAK</v>
      </c>
      <c r="J629" s="16" t="n">
        <f aca="false" t="array" ref="J629:J629">IFERROR(INDEX(AC629:AE629,IF(COUNTA(AC629:AE629)=0,"",MAX((AC629:AE629&lt;&gt;"")*(COLUMN(AC629:AE629)-(COLUMN(AC629)))))-1),"")</f>
        <v>45658</v>
      </c>
      <c r="K629" s="16" t="n">
        <f aca="false" t="array" ref="K629:K629">IFERROR(INDEX(AC629:AE629,IF(COUNTA(AC629:AE629)=0,"",MAX((AC629:AE629&lt;&gt;"")*(COLUMN(AC629:AE629)-(COLUMN(AC629)-1))))-1),"")</f>
        <v>46022</v>
      </c>
      <c r="L629" s="17" t="str">
        <f aca="false" t="array" ref="L629:L629">IFERROR(INDEX(AC629:AE629,IF(COUNTA(AC629:AE629)=0,"",MAX((AC629:AE629&lt;&gt;"")*(COLUMN(AC629:AE629)-(COLUMN(AC629)-2))))-1),"")</f>
        <v>ARCHIVED</v>
      </c>
      <c r="M629" s="13" t="n">
        <f aca="true">K629-TODAY()</f>
        <v>-302</v>
      </c>
      <c r="N629" s="18" t="s">
        <v>728</v>
      </c>
      <c r="O629" s="13" t="s">
        <v>2818</v>
      </c>
      <c r="P629" s="19" t="n">
        <v>6283000</v>
      </c>
      <c r="Q629" s="20" t="s">
        <v>2819</v>
      </c>
      <c r="R629" s="13" t="s">
        <v>52</v>
      </c>
      <c r="S629" s="14" t="n">
        <v>35531</v>
      </c>
      <c r="T629" s="13" t="s">
        <v>108</v>
      </c>
      <c r="U629" s="13" t="s">
        <v>2820</v>
      </c>
      <c r="V629" s="13" t="s">
        <v>42</v>
      </c>
      <c r="W629" s="13" t="s">
        <v>43</v>
      </c>
      <c r="X629" s="21" t="n">
        <v>85706415016</v>
      </c>
      <c r="Y629" s="22" t="str">
        <f aca="false">O629</f>
        <v>PM Administration</v>
      </c>
      <c r="Z629" s="13" t="str">
        <f aca="false">IFERROR(__xludf.dummyfunction("if(BJ629="""","""",GOOGLETRANSLATE(BJ629,""auto"",""en""))"),"PM Administration")</f>
        <v>PM Administration</v>
      </c>
      <c r="AA629" s="23" t="str">
        <f aca="false">IF(C629="","", CHOOSE(MONTH(C629),"January","February","March","April","May","June","July","August","September","October","November","December")&amp;" "&amp;DAY(C629)&amp;MID("thstndrdth",MIN(9,2*RIGHT(DAY(C629))*(MOD(DAY(C629)-11,100)&gt;2)+1),2)&amp;","&amp;TEXT(C629," yyyy"))</f>
        <v>January 10th,2022</v>
      </c>
      <c r="AB629" s="15" t="str">
        <f aca="true">IF(S629="","",DATEDIF(S629,TODAY(),"Y")&amp;" Tahun, "&amp;DATEDIF(S629,TODAY(),"YM")&amp;" Bulan, "&amp;DATEDIF(S629,TODAY(),"MD")&amp;" Hari")</f>
        <v>29 Tahun, 6 Bulan, 18 Hari</v>
      </c>
      <c r="AC629" s="18" t="n">
        <v>45658</v>
      </c>
      <c r="AD629" s="18" t="n">
        <v>46022</v>
      </c>
      <c r="AE629" s="18" t="s">
        <v>44</v>
      </c>
    </row>
    <row r="630" customFormat="false" ht="15.75" hidden="false" customHeight="true" outlineLevel="0" collapsed="false">
      <c r="A630" s="12" t="n">
        <v>4447</v>
      </c>
      <c r="B630" s="13" t="s">
        <v>2821</v>
      </c>
      <c r="C630" s="14" t="n">
        <v>44566</v>
      </c>
      <c r="D630" s="13" t="s">
        <v>2607</v>
      </c>
      <c r="E630" s="15" t="s">
        <v>47</v>
      </c>
      <c r="F630" s="15" t="str">
        <f aca="false">IFERROR(__xludf.dummyfunction("XLOOKUP(AJ630,IMPORTRANGE(""1XaInW9DU9nz21V0tYIfzFQ0He9kVQ_JF2mCXgZ3hqFA"",""REKAP ALL 2026 - Andika!G:G""),IMPORTRANGE(""1XaInW9DU9nz21V0tYIfzFQ0He9kVQ_JF2mCXgZ3hqFA"",""REKAP ALL 2026 - Andika!F:F""),"""",0)"),"22015031440")</f>
        <v>22015031440</v>
      </c>
      <c r="G630" s="13" t="s">
        <v>2822</v>
      </c>
      <c r="H630" s="13" t="s">
        <v>35</v>
      </c>
      <c r="I630" s="13" t="str">
        <f aca="false">IF(C630=J630,"NEW KONTRAK","RE-KONTRAK")</f>
        <v>RE-KONTRAK</v>
      </c>
      <c r="J630" s="16" t="n">
        <f aca="false" t="array" ref="J630:J630">IFERROR(INDEX(AC630:AE630,IF(COUNTA(AC630:AE630)=0,"",MAX((AC630:AE630&lt;&gt;"")*(COLUMN(AC630:AE630)-(COLUMN(AC630)))))-1),"")</f>
        <v>45569</v>
      </c>
      <c r="K630" s="16" t="n">
        <f aca="false" t="array" ref="K630:K630">IFERROR(INDEX(AC630:AE630,IF(COUNTA(AC630:AE630)=0,"",MAX((AC630:AE630&lt;&gt;"")*(COLUMN(AC630:AE630)-(COLUMN(AC630)-1))))-1),"")</f>
        <v>45933</v>
      </c>
      <c r="L630" s="17" t="str">
        <f aca="false" t="array" ref="L630:L630">IFERROR(INDEX(AC630:AE630,IF(COUNTA(AC630:AE630)=0,"",MAX((AC630:AE630&lt;&gt;"")*(COLUMN(AC630:AE630)-(COLUMN(AC630)-2))))-1),"")</f>
        <v>ARCHIVED</v>
      </c>
      <c r="M630" s="13" t="n">
        <f aca="true">K630-TODAY()</f>
        <v>-391</v>
      </c>
      <c r="N630" s="18" t="s">
        <v>36</v>
      </c>
      <c r="O630" s="13" t="s">
        <v>2609</v>
      </c>
      <c r="P630" s="19" t="n">
        <v>5195401</v>
      </c>
      <c r="Q630" s="20" t="s">
        <v>2823</v>
      </c>
      <c r="R630" s="13" t="s">
        <v>39</v>
      </c>
      <c r="S630" s="14" t="n">
        <v>33843</v>
      </c>
      <c r="T630" s="13" t="s">
        <v>40</v>
      </c>
      <c r="U630" s="13" t="s">
        <v>2824</v>
      </c>
      <c r="V630" s="13" t="s">
        <v>42</v>
      </c>
      <c r="W630" s="13" t="s">
        <v>43</v>
      </c>
      <c r="X630" s="21" t="n">
        <v>87809531918</v>
      </c>
      <c r="Y630" s="22" t="str">
        <f aca="false">O630</f>
        <v>Produksi H-Jack</v>
      </c>
      <c r="Z630" s="13" t="str">
        <f aca="false">IFERROR(__xludf.dummyfunction("if(BJ630="""","""",GOOGLETRANSLATE(BJ630,""auto"",""en""))"),"H-Jack Production")</f>
        <v>H-Jack Production</v>
      </c>
      <c r="AA630" s="23" t="str">
        <f aca="false">IF(C630="","", CHOOSE(MONTH(C630),"January","February","March","April","May","June","July","August","September","October","November","December")&amp;" "&amp;DAY(C630)&amp;MID("thstndrdth",MIN(9,2*RIGHT(DAY(C630))*(MOD(DAY(C630)-11,100)&gt;2)+1),2)&amp;","&amp;TEXT(C630," yyyy"))</f>
        <v>January 5th,2022</v>
      </c>
      <c r="AB630" s="15" t="str">
        <f aca="true">IF(S630="","",DATEDIF(S630,TODAY(),"Y")&amp;" Tahun, "&amp;DATEDIF(S630,TODAY(),"YM")&amp;" Bulan, "&amp;DATEDIF(S630,TODAY(),"MD")&amp;" Hari")</f>
        <v>34 Tahun, 2 Bulan, 2 Hari</v>
      </c>
      <c r="AC630" s="18" t="n">
        <v>45569</v>
      </c>
      <c r="AD630" s="18" t="n">
        <v>45933</v>
      </c>
      <c r="AE630" s="18" t="s">
        <v>44</v>
      </c>
    </row>
    <row r="631" customFormat="false" ht="15.75" hidden="false" customHeight="true" outlineLevel="0" collapsed="false">
      <c r="A631" s="12" t="n">
        <v>4448</v>
      </c>
      <c r="B631" s="13" t="s">
        <v>2825</v>
      </c>
      <c r="C631" s="14" t="n">
        <v>44566</v>
      </c>
      <c r="D631" s="13" t="s">
        <v>2607</v>
      </c>
      <c r="E631" s="15" t="s">
        <v>47</v>
      </c>
      <c r="F631" s="15" t="str">
        <f aca="false">IFERROR(__xludf.dummyfunction("XLOOKUP(AJ631,IMPORTRANGE(""1XaInW9DU9nz21V0tYIfzFQ0He9kVQ_JF2mCXgZ3hqFA"",""REKAP ALL 2026 - Andika!G:G""),IMPORTRANGE(""1XaInW9DU9nz21V0tYIfzFQ0He9kVQ_JF2mCXgZ3hqFA"",""REKAP ALL 2026 - Andika!F:F""),"""",0)"),"22015031457")</f>
        <v>22015031457</v>
      </c>
      <c r="G631" s="13" t="s">
        <v>2826</v>
      </c>
      <c r="H631" s="13" t="s">
        <v>35</v>
      </c>
      <c r="I631" s="13" t="str">
        <f aca="false">IF(C631=J631,"NEW KONTRAK","RE-KONTRAK")</f>
        <v>RE-KONTRAK</v>
      </c>
      <c r="J631" s="16" t="n">
        <f aca="false" t="array" ref="J631:J631">IFERROR(INDEX(AC631:AE631,IF(COUNTA(AC631:AE631)=0,"",MAX((AC631:AE631&lt;&gt;"")*(COLUMN(AC631:AE631)-(COLUMN(AC631)))))-1),"")</f>
        <v>45569</v>
      </c>
      <c r="K631" s="16" t="n">
        <f aca="false" t="array" ref="K631:K631">IFERROR(INDEX(AC631:AE631,IF(COUNTA(AC631:AE631)=0,"",MAX((AC631:AE631&lt;&gt;"")*(COLUMN(AC631:AE631)-(COLUMN(AC631)-1))))-1),"")</f>
        <v>45933</v>
      </c>
      <c r="L631" s="17" t="str">
        <f aca="false" t="array" ref="L631:L631">IFERROR(INDEX(AC631:AE631,IF(COUNTA(AC631:AE631)=0,"",MAX((AC631:AE631&lt;&gt;"")*(COLUMN(AC631:AE631)-(COLUMN(AC631)-2))))-1),"")</f>
        <v>ARCHIVED</v>
      </c>
      <c r="M631" s="13" t="n">
        <f aca="true">K631-TODAY()</f>
        <v>-391</v>
      </c>
      <c r="N631" s="18" t="s">
        <v>36</v>
      </c>
      <c r="O631" s="13" t="s">
        <v>2609</v>
      </c>
      <c r="P631" s="19" t="n">
        <v>5195401</v>
      </c>
      <c r="Q631" s="20" t="s">
        <v>2827</v>
      </c>
      <c r="R631" s="13" t="s">
        <v>255</v>
      </c>
      <c r="S631" s="14" t="n">
        <v>31439</v>
      </c>
      <c r="T631" s="13" t="s">
        <v>40</v>
      </c>
      <c r="U631" s="13" t="s">
        <v>2828</v>
      </c>
      <c r="V631" s="13" t="s">
        <v>42</v>
      </c>
      <c r="W631" s="13" t="s">
        <v>54</v>
      </c>
      <c r="X631" s="21" t="n">
        <v>82331427707</v>
      </c>
      <c r="Y631" s="22" t="str">
        <f aca="false">O631</f>
        <v>Produksi H-Jack</v>
      </c>
      <c r="Z631" s="13" t="str">
        <f aca="false">IFERROR(__xludf.dummyfunction("if(BJ631="""","""",GOOGLETRANSLATE(BJ631,""auto"",""en""))"),"H-Jack Production")</f>
        <v>H-Jack Production</v>
      </c>
      <c r="AA631" s="23" t="str">
        <f aca="false">IF(C631="","", CHOOSE(MONTH(C631),"January","February","March","April","May","June","July","August","September","October","November","December")&amp;" "&amp;DAY(C631)&amp;MID("thstndrdth",MIN(9,2*RIGHT(DAY(C631))*(MOD(DAY(C631)-11,100)&gt;2)+1),2)&amp;","&amp;TEXT(C631," yyyy"))</f>
        <v>January 5th,2022</v>
      </c>
      <c r="AB631" s="15" t="str">
        <f aca="true">IF(S631="","",DATEDIF(S631,TODAY(),"Y")&amp;" Tahun, "&amp;DATEDIF(S631,TODAY(),"YM")&amp;" Bulan, "&amp;DATEDIF(S631,TODAY(),"MD")&amp;" Hari")</f>
        <v>40 Tahun, 9 Bulan, 2 Hari</v>
      </c>
      <c r="AC631" s="18" t="n">
        <v>45569</v>
      </c>
      <c r="AD631" s="18" t="n">
        <v>45933</v>
      </c>
      <c r="AE631" s="18" t="s">
        <v>44</v>
      </c>
    </row>
    <row r="632" customFormat="false" ht="15.75" hidden="false" customHeight="true" outlineLevel="0" collapsed="false">
      <c r="A632" s="12" t="n">
        <v>4486</v>
      </c>
      <c r="B632" s="13" t="s">
        <v>2829</v>
      </c>
      <c r="C632" s="14" t="n">
        <v>42377</v>
      </c>
      <c r="D632" s="13" t="s">
        <v>1721</v>
      </c>
      <c r="E632" s="15" t="s">
        <v>102</v>
      </c>
      <c r="F632" s="15" t="str">
        <f aca="false">IFERROR(__xludf.dummyfunction("XLOOKUP(AJ632,IMPORTRANGE(""1XaInW9DU9nz21V0tYIfzFQ0He9kVQ_JF2mCXgZ3hqFA"",""REKAP ALL 2026 - Andika!G:G""),IMPORTRANGE(""1XaInW9DU9nz21V0tYIfzFQ0He9kVQ_JF2mCXgZ3hqFA"",""REKAP ALL 2026 - Andika!F:F""),"""",0)"),"21096161837")</f>
        <v>21096161837</v>
      </c>
      <c r="G632" s="13" t="s">
        <v>2830</v>
      </c>
      <c r="H632" s="13" t="s">
        <v>35</v>
      </c>
      <c r="I632" s="13" t="str">
        <f aca="false">IF(C632=J632,"NEW KONTRAK","RE-KONTRAK")</f>
        <v>RE-KONTRAK</v>
      </c>
      <c r="J632" s="16" t="n">
        <f aca="false" t="array" ref="J632:J632">IFERROR(INDEX(AC632:AE632,IF(COUNTA(AC632:AE632)=0,"",MAX((AC632:AE632&lt;&gt;"")*(COLUMN(AC632:AE632)-(COLUMN(AC632)))))-1),"")</f>
        <v>45659</v>
      </c>
      <c r="K632" s="16" t="n">
        <f aca="false" t="array" ref="K632:K632">IFERROR(INDEX(AC632:AE632,IF(COUNTA(AC632:AE632)=0,"",MAX((AC632:AE632&lt;&gt;"")*(COLUMN(AC632:AE632)-(COLUMN(AC632)-1))))-1),"")</f>
        <v>46015</v>
      </c>
      <c r="L632" s="17" t="str">
        <f aca="false" t="array" ref="L632:L632">IFERROR(INDEX(AC632:AE632,IF(COUNTA(AC632:AE632)=0,"",MAX((AC632:AE632&lt;&gt;"")*(COLUMN(AC632:AE632)-(COLUMN(AC632)-2))))-1),"")</f>
        <v>ARCHIVED</v>
      </c>
      <c r="M632" s="13" t="n">
        <f aca="true">K632-TODAY()</f>
        <v>-309</v>
      </c>
      <c r="N632" s="18" t="s">
        <v>728</v>
      </c>
      <c r="O632" s="13" t="s">
        <v>1738</v>
      </c>
      <c r="P632" s="19" t="n">
        <v>5444909</v>
      </c>
      <c r="Q632" s="20" t="s">
        <v>2831</v>
      </c>
      <c r="R632" s="13" t="s">
        <v>255</v>
      </c>
      <c r="S632" s="14" t="n">
        <v>37294</v>
      </c>
      <c r="T632" s="13" t="s">
        <v>108</v>
      </c>
      <c r="U632" s="13" t="s">
        <v>2832</v>
      </c>
      <c r="V632" s="13" t="s">
        <v>42</v>
      </c>
      <c r="W632" s="13" t="s">
        <v>43</v>
      </c>
      <c r="X632" s="21" t="n">
        <v>85853585508</v>
      </c>
      <c r="Y632" s="22" t="str">
        <f aca="false">O632</f>
        <v>IM Operator</v>
      </c>
      <c r="Z632" s="13" t="str">
        <f aca="false">IFERROR(__xludf.dummyfunction("if(BJ632="""","""",GOOGLETRANSLATE(BJ632,""auto"",""en""))"),"IM Operator")</f>
        <v>IM Operator</v>
      </c>
      <c r="AA632" s="23" t="str">
        <f aca="false">IF(C632="","", CHOOSE(MONTH(C632),"January","February","March","April","May","June","July","August","September","October","November","December")&amp;" "&amp;DAY(C632)&amp;MID("thstndrdth",MIN(9,2*RIGHT(DAY(C632))*(MOD(DAY(C632)-11,100)&gt;2)+1),2)&amp;","&amp;TEXT(C632," yyyy"))</f>
        <v>January 8th,2016</v>
      </c>
      <c r="AB632" s="15" t="str">
        <f aca="true">IF(S632="","",DATEDIF(S632,TODAY(),"Y")&amp;" Tahun, "&amp;DATEDIF(S632,TODAY(),"YM")&amp;" Bulan, "&amp;DATEDIF(S632,TODAY(),"MD")&amp;" Hari")</f>
        <v>24 Tahun, 8 Bulan, 22 Hari</v>
      </c>
      <c r="AC632" s="18" t="n">
        <v>45659</v>
      </c>
      <c r="AD632" s="18" t="n">
        <v>46015</v>
      </c>
      <c r="AE632" s="18" t="s">
        <v>44</v>
      </c>
    </row>
    <row r="633" customFormat="false" ht="15.75" hidden="false" customHeight="true" outlineLevel="0" collapsed="false">
      <c r="A633" s="12" t="n">
        <v>4497</v>
      </c>
      <c r="B633" s="13" t="s">
        <v>2833</v>
      </c>
      <c r="C633" s="14" t="n">
        <v>44574</v>
      </c>
      <c r="D633" s="13" t="s">
        <v>2607</v>
      </c>
      <c r="E633" s="15" t="s">
        <v>47</v>
      </c>
      <c r="F633" s="15" t="str">
        <f aca="false">IFERROR(__xludf.dummyfunction("XLOOKUP(AJ633,IMPORTRANGE(""1XaInW9DU9nz21V0tYIfzFQ0He9kVQ_JF2mCXgZ3hqFA"",""REKAP ALL 2026 - Andika!G:G""),IMPORTRANGE(""1XaInW9DU9nz21V0tYIfzFQ0He9kVQ_JF2mCXgZ3hqFA"",""REKAP ALL 2026 - Andika!F:F""),"""",0)"),"22015031416")</f>
        <v>22015031416</v>
      </c>
      <c r="G633" s="13" t="s">
        <v>2834</v>
      </c>
      <c r="H633" s="13" t="s">
        <v>35</v>
      </c>
      <c r="I633" s="13" t="str">
        <f aca="false">IF(C633=J633,"NEW KONTRAK","RE-KONTRAK")</f>
        <v>RE-KONTRAK</v>
      </c>
      <c r="J633" s="16" t="n">
        <f aca="false" t="array" ref="J633:J633">IFERROR(INDEX(AC633:AE633,IF(COUNTA(AC633:AE633)=0,"",MAX((AC633:AE633&lt;&gt;"")*(COLUMN(AC633:AE633)-(COLUMN(AC633)))))-1),"")</f>
        <v>45569</v>
      </c>
      <c r="K633" s="16" t="n">
        <f aca="false" t="array" ref="K633:K633">IFERROR(INDEX(AC633:AE633,IF(COUNTA(AC633:AE633)=0,"",MAX((AC633:AE633&lt;&gt;"")*(COLUMN(AC633:AE633)-(COLUMN(AC633)-1))))-1),"")</f>
        <v>45933</v>
      </c>
      <c r="L633" s="17" t="str">
        <f aca="false" t="array" ref="L633:L633">IFERROR(INDEX(AC633:AE633,IF(COUNTA(AC633:AE633)=0,"",MAX((AC633:AE633&lt;&gt;"")*(COLUMN(AC633:AE633)-(COLUMN(AC633)-2))))-1),"")</f>
        <v>ARCHIVED</v>
      </c>
      <c r="M633" s="13" t="n">
        <f aca="true">K633-TODAY()</f>
        <v>-391</v>
      </c>
      <c r="N633" s="18" t="s">
        <v>36</v>
      </c>
      <c r="O633" s="13" t="s">
        <v>2835</v>
      </c>
      <c r="P633" s="19" t="n">
        <v>4372030</v>
      </c>
      <c r="Q633" s="20" t="s">
        <v>2836</v>
      </c>
      <c r="R633" s="13" t="s">
        <v>260</v>
      </c>
      <c r="S633" s="14" t="n">
        <v>34560</v>
      </c>
      <c r="T633" s="13" t="s">
        <v>40</v>
      </c>
      <c r="U633" s="13" t="s">
        <v>2837</v>
      </c>
      <c r="V633" s="13" t="s">
        <v>42</v>
      </c>
      <c r="W633" s="13" t="s">
        <v>43</v>
      </c>
      <c r="X633" s="21" t="n">
        <v>857317160001</v>
      </c>
      <c r="Y633" s="22" t="str">
        <f aca="false">O633</f>
        <v>Produksi OVM</v>
      </c>
      <c r="Z633" s="13" t="str">
        <f aca="false">IFERROR(__xludf.dummyfunction("if(BJ633="""","""",GOOGLETRANSLATE(BJ633,""auto"",""en""))"),"OVM Production")</f>
        <v>OVM Production</v>
      </c>
      <c r="AA633" s="23" t="str">
        <f aca="false">IF(C633="","", CHOOSE(MONTH(C633),"January","February","March","April","May","June","July","August","September","October","November","December")&amp;" "&amp;DAY(C633)&amp;MID("thstndrdth",MIN(9,2*RIGHT(DAY(C633))*(MOD(DAY(C633)-11,100)&gt;2)+1),2)&amp;","&amp;TEXT(C633," yyyy"))</f>
        <v>January 13th,2022</v>
      </c>
      <c r="AB633" s="15" t="str">
        <f aca="true">IF(S633="","",DATEDIF(S633,TODAY(),"Y")&amp;" Tahun, "&amp;DATEDIF(S633,TODAY(),"YM")&amp;" Bulan, "&amp;DATEDIF(S633,TODAY(),"MD")&amp;" Hari")</f>
        <v>32 Tahun, 2 Bulan, 15 Hari</v>
      </c>
      <c r="AC633" s="18" t="n">
        <v>45569</v>
      </c>
      <c r="AD633" s="18" t="n">
        <v>45933</v>
      </c>
      <c r="AE633" s="18" t="s">
        <v>44</v>
      </c>
    </row>
    <row r="634" customFormat="false" ht="15.75" hidden="false" customHeight="true" outlineLevel="0" collapsed="false">
      <c r="A634" s="12" t="n">
        <v>4498</v>
      </c>
      <c r="B634" s="13" t="s">
        <v>2838</v>
      </c>
      <c r="C634" s="14" t="n">
        <v>44574</v>
      </c>
      <c r="D634" s="13" t="s">
        <v>2607</v>
      </c>
      <c r="E634" s="15" t="s">
        <v>47</v>
      </c>
      <c r="F634" s="15" t="str">
        <f aca="false">IFERROR(__xludf.dummyfunction("XLOOKUP(AJ634,IMPORTRANGE(""1XaInW9DU9nz21V0tYIfzFQ0He9kVQ_JF2mCXgZ3hqFA"",""REKAP ALL 2026 - Andika!G:G""),IMPORTRANGE(""1XaInW9DU9nz21V0tYIfzFQ0He9kVQ_JF2mCXgZ3hqFA"",""REKAP ALL 2026 - Andika!F:F""),"""",0)"),"22015031432")</f>
        <v>22015031432</v>
      </c>
      <c r="G634" s="13" t="s">
        <v>2839</v>
      </c>
      <c r="H634" s="13" t="s">
        <v>35</v>
      </c>
      <c r="I634" s="13" t="str">
        <f aca="false">IF(C634=J634,"NEW KONTRAK","RE-KONTRAK")</f>
        <v>RE-KONTRAK</v>
      </c>
      <c r="J634" s="16" t="n">
        <f aca="false" t="array" ref="J634:J634">IFERROR(INDEX(AC634:AE634,IF(COUNTA(AC634:AE634)=0,"",MAX((AC634:AE634&lt;&gt;"")*(COLUMN(AC634:AE634)-(COLUMN(AC634)))))-1),"")</f>
        <v>45569</v>
      </c>
      <c r="K634" s="16" t="n">
        <f aca="false" t="array" ref="K634:K634">IFERROR(INDEX(AC634:AE634,IF(COUNTA(AC634:AE634)=0,"",MAX((AC634:AE634&lt;&gt;"")*(COLUMN(AC634:AE634)-(COLUMN(AC634)-1))))-1),"")</f>
        <v>45933</v>
      </c>
      <c r="L634" s="17" t="str">
        <f aca="false" t="array" ref="L634:L634">IFERROR(INDEX(AC634:AE634,IF(COUNTA(AC634:AE634)=0,"",MAX((AC634:AE634&lt;&gt;"")*(COLUMN(AC634:AE634)-(COLUMN(AC634)-2))))-1),"")</f>
        <v>ARCHIVED</v>
      </c>
      <c r="M634" s="13" t="n">
        <f aca="true">K634-TODAY()</f>
        <v>-391</v>
      </c>
      <c r="N634" s="18" t="s">
        <v>36</v>
      </c>
      <c r="O634" s="13" t="s">
        <v>2609</v>
      </c>
      <c r="P634" s="19" t="n">
        <v>4372030</v>
      </c>
      <c r="Q634" s="20" t="s">
        <v>2840</v>
      </c>
      <c r="R634" s="13" t="s">
        <v>73</v>
      </c>
      <c r="S634" s="14" t="n">
        <v>30832</v>
      </c>
      <c r="T634" s="13" t="s">
        <v>40</v>
      </c>
      <c r="U634" s="13" t="s">
        <v>2841</v>
      </c>
      <c r="V634" s="13" t="s">
        <v>42</v>
      </c>
      <c r="W634" s="13" t="s">
        <v>54</v>
      </c>
      <c r="X634" s="21" t="n">
        <v>81556737185</v>
      </c>
      <c r="Y634" s="22" t="str">
        <f aca="false">O634</f>
        <v>Produksi H-Jack</v>
      </c>
      <c r="Z634" s="13" t="str">
        <f aca="false">IFERROR(__xludf.dummyfunction("if(BJ634="""","""",GOOGLETRANSLATE(BJ634,""auto"",""en""))"),"H-Jack Production")</f>
        <v>H-Jack Production</v>
      </c>
      <c r="AA634" s="23" t="str">
        <f aca="false">IF(C634="","", CHOOSE(MONTH(C634),"January","February","March","April","May","June","July","August","September","October","November","December")&amp;" "&amp;DAY(C634)&amp;MID("thstndrdth",MIN(9,2*RIGHT(DAY(C634))*(MOD(DAY(C634)-11,100)&gt;2)+1),2)&amp;","&amp;TEXT(C634," yyyy"))</f>
        <v>January 13th,2022</v>
      </c>
      <c r="AB634" s="15" t="str">
        <f aca="true">IF(S634="","",DATEDIF(S634,TODAY(),"Y")&amp;" Tahun, "&amp;DATEDIF(S634,TODAY(),"YM")&amp;" Bulan, "&amp;DATEDIF(S634,TODAY(),"MD")&amp;" Hari")</f>
        <v>42 Tahun, 4 Bulan, 29 Hari</v>
      </c>
      <c r="AC634" s="18" t="n">
        <v>45569</v>
      </c>
      <c r="AD634" s="18" t="n">
        <v>45933</v>
      </c>
      <c r="AE634" s="18" t="s">
        <v>44</v>
      </c>
    </row>
    <row r="635" customFormat="false" ht="15.75" hidden="false" customHeight="true" outlineLevel="0" collapsed="false">
      <c r="A635" s="12" t="n">
        <v>4518</v>
      </c>
      <c r="B635" s="13" t="s">
        <v>2842</v>
      </c>
      <c r="C635" s="14" t="n">
        <v>44566</v>
      </c>
      <c r="D635" s="13" t="s">
        <v>2607</v>
      </c>
      <c r="E635" s="15" t="s">
        <v>102</v>
      </c>
      <c r="F635" s="15" t="str">
        <f aca="false">IFERROR(__xludf.dummyfunction("XLOOKUP(AJ635,IMPORTRANGE(""1XaInW9DU9nz21V0tYIfzFQ0He9kVQ_JF2mCXgZ3hqFA"",""REKAP ALL 2026 - Andika!G:G""),IMPORTRANGE(""1XaInW9DU9nz21V0tYIfzFQ0He9kVQ_JF2mCXgZ3hqFA"",""REKAP ALL 2026 - Andika!F:F""),"""",0)"),"22015031424")</f>
        <v>22015031424</v>
      </c>
      <c r="G635" s="13" t="s">
        <v>2843</v>
      </c>
      <c r="H635" s="13" t="s">
        <v>35</v>
      </c>
      <c r="I635" s="13" t="str">
        <f aca="false">IF(C635=J635,"NEW KONTRAK","RE-KONTRAK")</f>
        <v>RE-KONTRAK</v>
      </c>
      <c r="J635" s="16" t="n">
        <f aca="false" t="array" ref="J635:J635">IFERROR(INDEX(AC635:AE635,IF(COUNTA(AC635:AE635)=0,"",MAX((AC635:AE635&lt;&gt;"")*(COLUMN(AC635:AE635)-(COLUMN(AC635)))))-1),"")</f>
        <v>45569</v>
      </c>
      <c r="K635" s="16" t="n">
        <f aca="false" t="array" ref="K635:K635">IFERROR(INDEX(AC635:AE635,IF(COUNTA(AC635:AE635)=0,"",MAX((AC635:AE635&lt;&gt;"")*(COLUMN(AC635:AE635)-(COLUMN(AC635)-1))))-1),"")</f>
        <v>45933</v>
      </c>
      <c r="L635" s="17" t="str">
        <f aca="false" t="array" ref="L635:L635">IFERROR(INDEX(AC635:AE635,IF(COUNTA(AC635:AE635)=0,"",MAX((AC635:AE635&lt;&gt;"")*(COLUMN(AC635:AE635)-(COLUMN(AC635)-2))))-1),"")</f>
        <v>ARCHIVED</v>
      </c>
      <c r="M635" s="13" t="n">
        <f aca="true">K635-TODAY()</f>
        <v>-391</v>
      </c>
      <c r="N635" s="18" t="s">
        <v>36</v>
      </c>
      <c r="O635" s="13" t="s">
        <v>2835</v>
      </c>
      <c r="P635" s="19" t="n">
        <v>4100000</v>
      </c>
      <c r="Q635" s="20" t="s">
        <v>2844</v>
      </c>
      <c r="R635" s="13" t="s">
        <v>73</v>
      </c>
      <c r="S635" s="14" t="n">
        <v>37044</v>
      </c>
      <c r="T635" s="13" t="s">
        <v>40</v>
      </c>
      <c r="U635" s="13" t="s">
        <v>2845</v>
      </c>
      <c r="V635" s="13" t="s">
        <v>42</v>
      </c>
      <c r="W635" s="13" t="s">
        <v>43</v>
      </c>
      <c r="X635" s="21" t="n">
        <v>85785152102</v>
      </c>
      <c r="Y635" s="22" t="str">
        <f aca="false">O635</f>
        <v>Produksi OVM</v>
      </c>
      <c r="Z635" s="13" t="str">
        <f aca="false">IFERROR(__xludf.dummyfunction("if(BJ635="""","""",GOOGLETRANSLATE(BJ635,""auto"",""en""))"),"OVM Production")</f>
        <v>OVM Production</v>
      </c>
      <c r="AA635" s="23" t="str">
        <f aca="false">IF(C635="","", CHOOSE(MONTH(C635),"January","February","March","April","May","June","July","August","September","October","November","December")&amp;" "&amp;DAY(C635)&amp;MID("thstndrdth",MIN(9,2*RIGHT(DAY(C635))*(MOD(DAY(C635)-11,100)&gt;2)+1),2)&amp;","&amp;TEXT(C635," yyyy"))</f>
        <v>January 5th,2022</v>
      </c>
      <c r="AB635" s="15" t="str">
        <f aca="true">IF(S635="","",DATEDIF(S635,TODAY(),"Y")&amp;" Tahun, "&amp;DATEDIF(S635,TODAY(),"YM")&amp;" Bulan, "&amp;DATEDIF(S635,TODAY(),"MD")&amp;" Hari")</f>
        <v>25 Tahun, 4 Bulan, 27 Hari</v>
      </c>
      <c r="AC635" s="18" t="n">
        <v>45569</v>
      </c>
      <c r="AD635" s="18" t="n">
        <v>45933</v>
      </c>
      <c r="AE635" s="18" t="s">
        <v>44</v>
      </c>
    </row>
    <row r="636" customFormat="false" ht="15.75" hidden="false" customHeight="true" outlineLevel="0" collapsed="false">
      <c r="A636" s="12" t="n">
        <v>4605</v>
      </c>
      <c r="B636" s="13" t="s">
        <v>2846</v>
      </c>
      <c r="C636" s="14" t="n">
        <v>44582</v>
      </c>
      <c r="D636" s="13" t="s">
        <v>2033</v>
      </c>
      <c r="E636" s="15" t="s">
        <v>33</v>
      </c>
      <c r="F636" s="24" t="s">
        <v>2847</v>
      </c>
      <c r="G636" s="13" t="s">
        <v>2848</v>
      </c>
      <c r="H636" s="13" t="s">
        <v>2035</v>
      </c>
      <c r="I636" s="13" t="str">
        <f aca="false">IF(C636=J636,"NEW KONTRAK","RE-KONTRAK")</f>
        <v>RE-KONTRAK</v>
      </c>
      <c r="J636" s="16" t="n">
        <f aca="false" t="array" ref="J636:J636">IFERROR(INDEX(AC636:AE636,IF(COUNTA(AC636:AE636)=0,"",MAX((AC636:AE636&lt;&gt;"")*(COLUMN(AC636:AE636)-(COLUMN(AC636)))))-1),"")</f>
        <v>45744</v>
      </c>
      <c r="K636" s="16" t="n">
        <f aca="false" t="array" ref="K636:K636">IFERROR(INDEX(AC636:AE636,IF(COUNTA(AC636:AE636)=0,"",MAX((AC636:AE636&lt;&gt;"")*(COLUMN(AC636:AE636)-(COLUMN(AC636)-1))))-1),"")</f>
        <v>45915</v>
      </c>
      <c r="L636" s="17" t="str">
        <f aca="false" t="array" ref="L636:L636">IFERROR(INDEX(AC636:AE636,IF(COUNTA(AC636:AE636)=0,"",MAX((AC636:AE636&lt;&gt;"")*(COLUMN(AC636:AE636)-(COLUMN(AC636)-2))))-1),"")</f>
        <v>ARCHIVED</v>
      </c>
      <c r="M636" s="13" t="n">
        <f aca="true">K636-TODAY()</f>
        <v>-409</v>
      </c>
      <c r="N636" s="18" t="s">
        <v>2434</v>
      </c>
      <c r="O636" s="13" t="s">
        <v>2037</v>
      </c>
      <c r="P636" s="19" t="n">
        <v>2792997</v>
      </c>
      <c r="Q636" s="20" t="s">
        <v>2849</v>
      </c>
      <c r="R636" s="13" t="s">
        <v>227</v>
      </c>
      <c r="S636" s="14" t="n">
        <v>34695</v>
      </c>
      <c r="T636" s="13" t="s">
        <v>108</v>
      </c>
      <c r="U636" s="13" t="s">
        <v>2850</v>
      </c>
      <c r="V636" s="13" t="s">
        <v>42</v>
      </c>
      <c r="W636" s="13" t="s">
        <v>43</v>
      </c>
      <c r="X636" s="21" t="n">
        <v>89667950554</v>
      </c>
      <c r="Y636" s="22" t="str">
        <f aca="false">O636</f>
        <v>SPG/BA</v>
      </c>
      <c r="Z636" s="13" t="str">
        <f aca="false">IFERROR(__xludf.dummyfunction("if(BJ636="""","""",GOOGLETRANSLATE(BJ636,""auto"",""en""))"),"SPG/BA")</f>
        <v>SPG/BA</v>
      </c>
      <c r="AA636" s="23" t="str">
        <f aca="false">IF(C636="","", CHOOSE(MONTH(C636),"January","February","March","April","May","June","July","August","September","October","November","December")&amp;" "&amp;DAY(C636)&amp;MID("thstndrdth",MIN(9,2*RIGHT(DAY(C636))*(MOD(DAY(C636)-11,100)&gt;2)+1),2)&amp;","&amp;TEXT(C636," yyyy"))</f>
        <v>January 21st,2022</v>
      </c>
      <c r="AB636" s="15" t="str">
        <f aca="true">IF(S636="","",DATEDIF(S636,TODAY(),"Y")&amp;" Tahun, "&amp;DATEDIF(S636,TODAY(),"YM")&amp;" Bulan, "&amp;DATEDIF(S636,TODAY(),"MD")&amp;" Hari")</f>
        <v>31 Tahun, 10 Bulan, 2 Hari</v>
      </c>
      <c r="AC636" s="18" t="n">
        <v>45744</v>
      </c>
      <c r="AD636" s="18" t="n">
        <v>45915</v>
      </c>
      <c r="AE636" s="18" t="s">
        <v>44</v>
      </c>
    </row>
    <row r="637" customFormat="false" ht="15.75" hidden="false" customHeight="true" outlineLevel="0" collapsed="false">
      <c r="A637" s="12" t="n">
        <v>2156</v>
      </c>
      <c r="B637" s="13" t="s">
        <v>2851</v>
      </c>
      <c r="C637" s="14" t="n">
        <v>44563</v>
      </c>
      <c r="D637" s="13" t="s">
        <v>1721</v>
      </c>
      <c r="E637" s="15" t="s">
        <v>47</v>
      </c>
      <c r="F637" s="15" t="str">
        <f aca="false">IFERROR(__xludf.dummyfunction("XLOOKUP(AJ637,IMPORTRANGE(""1XaInW9DU9nz21V0tYIfzFQ0He9kVQ_JF2mCXgZ3hqFA"",""REKAP ALL 2026 - Andika!G:G""),IMPORTRANGE(""1XaInW9DU9nz21V0tYIfzFQ0He9kVQ_JF2mCXgZ3hqFA"",""REKAP ALL 2026 - Andika!F:F""),"""",0)"),"21003188139")</f>
        <v>21003188139</v>
      </c>
      <c r="G637" s="13" t="s">
        <v>2852</v>
      </c>
      <c r="H637" s="13" t="s">
        <v>35</v>
      </c>
      <c r="I637" s="13" t="str">
        <f aca="false">IF(C637=J637,"NEW KONTRAK","RE-KONTRAK")</f>
        <v>RE-KONTRAK</v>
      </c>
      <c r="J637" s="16" t="n">
        <f aca="false" t="array" ref="J637:J637">IFERROR(INDEX(AC637:AE637,IF(COUNTA(AC637:AE637)=0,"",MAX((AC637:AE637&lt;&gt;"")*(COLUMN(AC637:AE637)-(COLUMN(AC637)))))-1),"")</f>
        <v>45659</v>
      </c>
      <c r="K637" s="16" t="n">
        <f aca="false" t="array" ref="K637:K637">IFERROR(INDEX(AC637:AE637,IF(COUNTA(AC637:AE637)=0,"",MAX((AC637:AE637&lt;&gt;"")*(COLUMN(AC637:AE637)-(COLUMN(AC637)-1))))-1),"")</f>
        <v>46015</v>
      </c>
      <c r="L637" s="17" t="str">
        <f aca="false" t="array" ref="L637:L637">IFERROR(INDEX(AC637:AE637,IF(COUNTA(AC637:AE637)=0,"",MAX((AC637:AE637&lt;&gt;"")*(COLUMN(AC637:AE637)-(COLUMN(AC637)-2))))-1),"")</f>
        <v>ARCHIVED</v>
      </c>
      <c r="M637" s="13" t="n">
        <f aca="true">K637-TODAY()</f>
        <v>-309</v>
      </c>
      <c r="N637" s="18" t="s">
        <v>728</v>
      </c>
      <c r="O637" s="13" t="s">
        <v>2853</v>
      </c>
      <c r="P637" s="19" t="n">
        <v>5444909</v>
      </c>
      <c r="Q637" s="20" t="s">
        <v>2854</v>
      </c>
      <c r="R637" s="13" t="s">
        <v>2855</v>
      </c>
      <c r="S637" s="14" t="n">
        <v>30742</v>
      </c>
      <c r="T637" s="13" t="s">
        <v>40</v>
      </c>
      <c r="U637" s="13" t="s">
        <v>2856</v>
      </c>
      <c r="V637" s="13" t="s">
        <v>42</v>
      </c>
      <c r="W637" s="28" t="s">
        <v>54</v>
      </c>
      <c r="X637" s="21" t="n">
        <v>8563005800</v>
      </c>
      <c r="Y637" s="22" t="str">
        <f aca="false">O637</f>
        <v>Mpc Mixing</v>
      </c>
      <c r="Z637" s="13" t="str">
        <f aca="false">IFERROR(__xludf.dummyfunction("if(BJ637="""","""",GOOGLETRANSLATE(BJ637,""auto"",""en""))"),"Mpc Mixing")</f>
        <v>Mpc Mixing</v>
      </c>
      <c r="AA637" s="23" t="str">
        <f aca="false">IF(C637="","", CHOOSE(MONTH(C637),"January","February","March","April","May","June","July","August","September","October","November","December")&amp;" "&amp;DAY(C637)&amp;MID("thstndrdth",MIN(9,2*RIGHT(DAY(C637))*(MOD(DAY(C637)-11,100)&gt;2)+1),2)&amp;","&amp;TEXT(C637," yyyy"))</f>
        <v>January 2nd,2022</v>
      </c>
      <c r="AB637" s="15" t="str">
        <f aca="true">IF(S637="","",DATEDIF(S637,TODAY(),"Y")&amp;" Tahun, "&amp;DATEDIF(S637,TODAY(),"YM")&amp;" Bulan, "&amp;DATEDIF(S637,TODAY(),"MD")&amp;" Hari")</f>
        <v>42 Tahun, 7 Bulan, 28 Hari</v>
      </c>
      <c r="AC637" s="18" t="n">
        <v>45659</v>
      </c>
      <c r="AD637" s="18" t="n">
        <v>46015</v>
      </c>
      <c r="AE637" s="18" t="s">
        <v>44</v>
      </c>
    </row>
    <row r="638" customFormat="false" ht="15.75" hidden="false" customHeight="true" outlineLevel="0" collapsed="false">
      <c r="A638" s="12" t="n">
        <v>4633</v>
      </c>
      <c r="B638" s="13" t="s">
        <v>2857</v>
      </c>
      <c r="C638" s="14" t="n">
        <v>44564</v>
      </c>
      <c r="D638" s="13" t="s">
        <v>1721</v>
      </c>
      <c r="E638" s="15" t="s">
        <v>33</v>
      </c>
      <c r="F638" s="24" t="s">
        <v>2858</v>
      </c>
      <c r="G638" s="13" t="s">
        <v>2859</v>
      </c>
      <c r="H638" s="13" t="s">
        <v>35</v>
      </c>
      <c r="I638" s="13" t="str">
        <f aca="false">IF(C638=J638,"NEW KONTRAK","RE-KONTRAK")</f>
        <v>RE-KONTRAK</v>
      </c>
      <c r="J638" s="16" t="n">
        <f aca="false" t="array" ref="J638:J638">IFERROR(INDEX(AC638:AE638,IF(COUNTA(AC638:AE638)=0,"",MAX((AC638:AE638&lt;&gt;"")*(COLUMN(AC638:AE638)-(COLUMN(AC638)))))-1),"")</f>
        <v>45659</v>
      </c>
      <c r="K638" s="16" t="n">
        <f aca="false" t="array" ref="K638:K638">IFERROR(INDEX(AC638:AE638,IF(COUNTA(AC638:AE638)=0,"",MAX((AC638:AE638&lt;&gt;"")*(COLUMN(AC638:AE638)-(COLUMN(AC638)-1))))-1),"")</f>
        <v>46015</v>
      </c>
      <c r="L638" s="17" t="str">
        <f aca="false" t="array" ref="L638:L638">IFERROR(INDEX(AC638:AE638,IF(COUNTA(AC638:AE638)=0,"",MAX((AC638:AE638&lt;&gt;"")*(COLUMN(AC638:AE638)-(COLUMN(AC638)-2))))-1),"")</f>
        <v>ARCHIVED</v>
      </c>
      <c r="M638" s="13" t="n">
        <f aca="true">K638-TODAY()</f>
        <v>-309</v>
      </c>
      <c r="N638" s="18" t="s">
        <v>728</v>
      </c>
      <c r="O638" s="13" t="s">
        <v>1744</v>
      </c>
      <c r="P638" s="19" t="n">
        <v>5444909</v>
      </c>
      <c r="Q638" s="20" t="s">
        <v>2860</v>
      </c>
      <c r="R638" s="13" t="s">
        <v>52</v>
      </c>
      <c r="S638" s="14" t="n">
        <v>30059</v>
      </c>
      <c r="T638" s="13" t="s">
        <v>108</v>
      </c>
      <c r="U638" s="13" t="s">
        <v>2861</v>
      </c>
      <c r="V638" s="13" t="s">
        <v>42</v>
      </c>
      <c r="W638" s="13" t="s">
        <v>54</v>
      </c>
      <c r="X638" s="21" t="n">
        <v>89688093522</v>
      </c>
      <c r="Y638" s="22" t="str">
        <f aca="false">O638</f>
        <v>Print Operator</v>
      </c>
      <c r="Z638" s="13" t="str">
        <f aca="false">IFERROR(__xludf.dummyfunction("if(BJ638="""","""",GOOGLETRANSLATE(BJ638,""auto"",""en""))"),"Print Operator")</f>
        <v>Print Operator</v>
      </c>
      <c r="AA638" s="23" t="str">
        <f aca="false">IF(C638="","", CHOOSE(MONTH(C638),"January","February","March","April","May","June","July","August","September","October","November","December")&amp;" "&amp;DAY(C638)&amp;MID("thstndrdth",MIN(9,2*RIGHT(DAY(C638))*(MOD(DAY(C638)-11,100)&gt;2)+1),2)&amp;","&amp;TEXT(C638," yyyy"))</f>
        <v>January 3rd,2022</v>
      </c>
      <c r="AB638" s="15" t="str">
        <f aca="true">IF(S638="","",DATEDIF(S638,TODAY(),"Y")&amp;" Tahun, "&amp;DATEDIF(S638,TODAY(),"YM")&amp;" Bulan, "&amp;DATEDIF(S638,TODAY(),"MD")&amp;" Hari")</f>
        <v>44 Tahun, 6 Bulan, 11 Hari</v>
      </c>
      <c r="AC638" s="18" t="n">
        <v>45659</v>
      </c>
      <c r="AD638" s="18" t="n">
        <v>46015</v>
      </c>
      <c r="AE638" s="18" t="s">
        <v>44</v>
      </c>
    </row>
    <row r="639" customFormat="false" ht="15.75" hidden="false" customHeight="true" outlineLevel="0" collapsed="false">
      <c r="A639" s="12" t="n">
        <v>22984</v>
      </c>
      <c r="B639" s="13" t="s">
        <v>2862</v>
      </c>
      <c r="C639" s="14" t="n">
        <v>46307</v>
      </c>
      <c r="D639" s="13" t="s">
        <v>1721</v>
      </c>
      <c r="E639" s="13" t="s">
        <v>47</v>
      </c>
      <c r="F639" s="24" t="s">
        <v>2863</v>
      </c>
      <c r="G639" s="13" t="s">
        <v>1127</v>
      </c>
      <c r="H639" s="13" t="s">
        <v>35</v>
      </c>
      <c r="I639" s="13" t="str">
        <f aca="false">IF(C639=J639,"NEW KONTRAK","RE-KONTRAK")</f>
        <v>NEW KONTRAK</v>
      </c>
      <c r="J639" s="16" t="n">
        <f aca="false" t="array" ref="J639:J639">IFERROR(INDEX(AC639:AE639,IF(COUNTA(AC639:AE639)=0,"",MAX((AC639:AE639&lt;&gt;"")*(COLUMN(AC639:AE639)-(COLUMN(AC639)))))-1),"")</f>
        <v>46307</v>
      </c>
      <c r="K639" s="16" t="n">
        <f aca="false" t="array" ref="K639:K639">IFERROR(INDEX(AC639:AE639,IF(COUNTA(AC639:AE639)=0,"",MAX((AC639:AE639&lt;&gt;"")*(COLUMN(AC639:AE639)-(COLUMN(AC639)-1))))-1),"")</f>
        <v>46386</v>
      </c>
      <c r="L639" s="17" t="str">
        <f aca="false" t="array" ref="L639:L639">IFERROR(INDEX(AC639:AE639,IF(COUNTA(AC639:AE639)=0,"",MAX((AC639:AE639&lt;&gt;"")*(COLUMN(AC639:AE639)-(COLUMN(AC639)-2))))-1),"")</f>
        <v>PRINTED</v>
      </c>
      <c r="M639" s="13" t="n">
        <f aca="true">K639-TODAY()</f>
        <v>62</v>
      </c>
      <c r="N639" s="18" t="s">
        <v>728</v>
      </c>
      <c r="O639" s="13" t="s">
        <v>1738</v>
      </c>
      <c r="P639" s="26" t="n">
        <v>5444909</v>
      </c>
      <c r="Q639" s="20" t="s">
        <v>2864</v>
      </c>
      <c r="R639" s="13" t="s">
        <v>148</v>
      </c>
      <c r="S639" s="25" t="n">
        <v>38095</v>
      </c>
      <c r="T639" s="13" t="s">
        <v>108</v>
      </c>
      <c r="U639" s="13" t="s">
        <v>2865</v>
      </c>
      <c r="V639" s="13" t="s">
        <v>42</v>
      </c>
      <c r="W639" s="13" t="s">
        <v>43</v>
      </c>
      <c r="X639" s="21" t="n">
        <v>85745103534</v>
      </c>
      <c r="Y639" s="22" t="str">
        <f aca="false">O639</f>
        <v>IM Operator</v>
      </c>
      <c r="Z639" s="13" t="str">
        <f aca="false">IFERROR(__xludf.dummyfunction("if(BJ639="""","""",GOOGLETRANSLATE(BJ639,""auto"",""en""))"),"IM Operator")</f>
        <v>IM Operator</v>
      </c>
      <c r="AA639" s="23" t="str">
        <f aca="false">IF(C639="","", CHOOSE(MONTH(C639),"January","February","March","April","May","June","July","August","September","October","November","December")&amp;" "&amp;DAY(C639)&amp;MID("thstndrdth",MIN(9,2*RIGHT(DAY(C639))*(MOD(DAY(C639)-11,100)&gt;2)+1),2)&amp;","&amp;TEXT(C639," yyyy"))</f>
        <v>October 12th,2026</v>
      </c>
      <c r="AB639" s="15" t="str">
        <f aca="true">IF(S639="","",DATEDIF(S639,TODAY(),"Y")&amp;" Tahun, "&amp;DATEDIF(S639,TODAY(),"YM")&amp;" Bulan, "&amp;DATEDIF(S639,TODAY(),"MD")&amp;" Hari")</f>
        <v>22 Tahun, 6 Bulan, 11 Hari</v>
      </c>
      <c r="AC639" s="14" t="n">
        <v>46307</v>
      </c>
      <c r="AD639" s="18" t="n">
        <v>46386</v>
      </c>
      <c r="AE639" s="13" t="s">
        <v>1752</v>
      </c>
    </row>
    <row r="640" customFormat="false" ht="15.75" hidden="false" customHeight="true" outlineLevel="0" collapsed="false">
      <c r="A640" s="12" t="n">
        <v>6041</v>
      </c>
      <c r="B640" s="13" t="s">
        <v>2866</v>
      </c>
      <c r="C640" s="14" t="n">
        <v>44658</v>
      </c>
      <c r="D640" s="13" t="s">
        <v>1721</v>
      </c>
      <c r="E640" s="15" t="s">
        <v>47</v>
      </c>
      <c r="F640" s="15" t="str">
        <f aca="false">IFERROR(__xludf.dummyfunction("XLOOKUP(AJ640,IMPORTRANGE(""1XaInW9DU9nz21V0tYIfzFQ0He9kVQ_JF2mCXgZ3hqFA"",""REKAP ALL 2026 - Andika!G:G""),IMPORTRANGE(""1XaInW9DU9nz21V0tYIfzFQ0He9kVQ_JF2mCXgZ3hqFA"",""REKAP ALL 2026 - Andika!F:F""),"""",0)"),"22037460593")</f>
        <v>22037460593</v>
      </c>
      <c r="G640" s="13" t="s">
        <v>2867</v>
      </c>
      <c r="H640" s="13" t="s">
        <v>35</v>
      </c>
      <c r="I640" s="13" t="str">
        <f aca="false">IF(C640=J640,"NEW KONTRAK","RE-KONTRAK")</f>
        <v>RE-KONTRAK</v>
      </c>
      <c r="J640" s="16" t="n">
        <f aca="false" t="array" ref="J640:J640">IFERROR(INDEX(AC640:AE640,IF(COUNTA(AC640:AE640)=0,"",MAX((AC640:AE640&lt;&gt;"")*(COLUMN(AC640:AE640)-(COLUMN(AC640)))))-1),"")</f>
        <v>45659</v>
      </c>
      <c r="K640" s="16" t="n">
        <f aca="false" t="array" ref="K640:K640">IFERROR(INDEX(AC640:AE640,IF(COUNTA(AC640:AE640)=0,"",MAX((AC640:AE640&lt;&gt;"")*(COLUMN(AC640:AE640)-(COLUMN(AC640)-1))))-1),"")</f>
        <v>46021</v>
      </c>
      <c r="L640" s="17" t="str">
        <f aca="false" t="array" ref="L640:L640">IFERROR(INDEX(AC640:AE640,IF(COUNTA(AC640:AE640)=0,"",MAX((AC640:AE640&lt;&gt;"")*(COLUMN(AC640:AE640)-(COLUMN(AC640)-2))))-1),"")</f>
        <v>KEMBALI</v>
      </c>
      <c r="M640" s="13" t="n">
        <f aca="true">K640-TODAY()</f>
        <v>-303</v>
      </c>
      <c r="N640" s="18" t="s">
        <v>728</v>
      </c>
      <c r="O640" s="13" t="s">
        <v>1744</v>
      </c>
      <c r="P640" s="19" t="n">
        <v>5444909</v>
      </c>
      <c r="Q640" s="20" t="s">
        <v>2868</v>
      </c>
      <c r="R640" s="13" t="s">
        <v>39</v>
      </c>
      <c r="S640" s="14" t="n">
        <v>36002</v>
      </c>
      <c r="T640" s="13" t="s">
        <v>40</v>
      </c>
      <c r="U640" s="13" t="s">
        <v>2869</v>
      </c>
      <c r="V640" s="13" t="s">
        <v>42</v>
      </c>
      <c r="W640" s="13" t="s">
        <v>43</v>
      </c>
      <c r="X640" s="21" t="n">
        <v>89515454741</v>
      </c>
      <c r="Y640" s="22" t="str">
        <f aca="false">O640</f>
        <v>Print Operator</v>
      </c>
      <c r="Z640" s="13" t="str">
        <f aca="false">IFERROR(__xludf.dummyfunction("if(BJ640="""","""",GOOGLETRANSLATE(BJ640,""auto"",""en""))"),"Print Operator")</f>
        <v>Print Operator</v>
      </c>
      <c r="AA640" s="23" t="str">
        <f aca="false">IF(C640="","", CHOOSE(MONTH(C640),"January","February","March","April","May","June","July","August","September","October","November","December")&amp;" "&amp;DAY(C640)&amp;MID("thstndrdth",MIN(9,2*RIGHT(DAY(C640))*(MOD(DAY(C640)-11,100)&gt;2)+1),2)&amp;","&amp;TEXT(C640," yyyy"))</f>
        <v>April 7th,2022</v>
      </c>
      <c r="AB640" s="15" t="str">
        <f aca="true">IF(S640="","",DATEDIF(S640,TODAY(),"Y")&amp;" Tahun, "&amp;DATEDIF(S640,TODAY(),"YM")&amp;" Bulan, "&amp;DATEDIF(S640,TODAY(),"MD")&amp;" Hari")</f>
        <v>28 Tahun, 3 Bulan, 3 Hari</v>
      </c>
      <c r="AC640" s="18" t="n">
        <v>45659</v>
      </c>
      <c r="AD640" s="18" t="n">
        <v>46021</v>
      </c>
      <c r="AE640" s="13" t="s">
        <v>397</v>
      </c>
    </row>
    <row r="641" customFormat="false" ht="15.75" hidden="false" customHeight="true" outlineLevel="0" collapsed="false">
      <c r="A641" s="12" t="n">
        <v>22832</v>
      </c>
      <c r="B641" s="13" t="s">
        <v>2870</v>
      </c>
      <c r="C641" s="14" t="n">
        <v>46279</v>
      </c>
      <c r="D641" s="13" t="s">
        <v>1721</v>
      </c>
      <c r="E641" s="13" t="s">
        <v>47</v>
      </c>
      <c r="F641" s="24" t="s">
        <v>2871</v>
      </c>
      <c r="G641" s="13" t="s">
        <v>1452</v>
      </c>
      <c r="H641" s="13" t="s">
        <v>35</v>
      </c>
      <c r="I641" s="13" t="str">
        <f aca="false">IF(C641=J641,"NEW KONTRAK","RE-KONTRAK")</f>
        <v>NEW KONTRAK</v>
      </c>
      <c r="J641" s="16" t="n">
        <f aca="false" t="array" ref="J641:J641">IFERROR(INDEX(AC641:AE641,IF(COUNTA(AC641:AE641)=0,"",MAX((AC641:AE641&lt;&gt;"")*(COLUMN(AC641:AE641)-(COLUMN(AC641)))))-1),"")</f>
        <v>46279</v>
      </c>
      <c r="K641" s="16" t="n">
        <f aca="false" t="array" ref="K641:K641">IFERROR(INDEX(AC641:AE641,IF(COUNTA(AC641:AE641)=0,"",MAX((AC641:AE641&lt;&gt;"")*(COLUMN(AC641:AE641)-(COLUMN(AC641)-1))))-1),"")</f>
        <v>46386</v>
      </c>
      <c r="L641" s="17" t="str">
        <f aca="false" t="array" ref="L641:L641">IFERROR(INDEX(AC641:AE641,IF(COUNTA(AC641:AE641)=0,"",MAX((AC641:AE641&lt;&gt;"")*(COLUMN(AC641:AE641)-(COLUMN(AC641)-2))))-1),"")</f>
        <v>ARCHIVED</v>
      </c>
      <c r="M641" s="13" t="n">
        <f aca="true">K641-TODAY()</f>
        <v>62</v>
      </c>
      <c r="N641" s="18" t="s">
        <v>728</v>
      </c>
      <c r="O641" s="13" t="s">
        <v>1822</v>
      </c>
      <c r="P641" s="26" t="n">
        <v>5444909</v>
      </c>
      <c r="Q641" s="20" t="s">
        <v>2872</v>
      </c>
      <c r="R641" s="48" t="s">
        <v>260</v>
      </c>
      <c r="S641" s="25" t="n">
        <v>37231</v>
      </c>
      <c r="T641" s="13" t="s">
        <v>40</v>
      </c>
      <c r="U641" s="13" t="s">
        <v>2873</v>
      </c>
      <c r="V641" s="13" t="s">
        <v>42</v>
      </c>
      <c r="W641" s="28" t="s">
        <v>43</v>
      </c>
      <c r="X641" s="30" t="n">
        <v>85205641395</v>
      </c>
      <c r="Y641" s="22" t="str">
        <f aca="false">O641</f>
        <v>Assembling</v>
      </c>
      <c r="Z641" s="13" t="str">
        <f aca="false">IFERROR(__xludf.dummyfunction("if(BJ641="""","""",GOOGLETRANSLATE(BJ641,""auto"",""en""))"),"Assembling")</f>
        <v>Assembling</v>
      </c>
      <c r="AA641" s="23" t="str">
        <f aca="false">IF(C641="","", CHOOSE(MONTH(C641),"January","February","March","April","May","June","July","August","September","October","November","December")&amp;" "&amp;DAY(C641)&amp;MID("thstndrdth",MIN(9,2*RIGHT(DAY(C641))*(MOD(DAY(C641)-11,100)&gt;2)+1),2)&amp;","&amp;TEXT(C641," yyyy"))</f>
        <v>September 14th,2026</v>
      </c>
      <c r="AB641" s="15" t="str">
        <f aca="true">IF(S641="","",DATEDIF(S641,TODAY(),"Y")&amp;" Tahun, "&amp;DATEDIF(S641,TODAY(),"YM")&amp;" Bulan, "&amp;DATEDIF(S641,TODAY(),"MD")&amp;" Hari")</f>
        <v>24 Tahun, 10 Bulan, 23 Hari</v>
      </c>
      <c r="AC641" s="14" t="n">
        <v>46279</v>
      </c>
      <c r="AD641" s="18" t="n">
        <v>46386</v>
      </c>
      <c r="AE641" s="13" t="s">
        <v>44</v>
      </c>
    </row>
    <row r="642" customFormat="false" ht="15.75" hidden="false" customHeight="true" outlineLevel="0" collapsed="false">
      <c r="A642" s="12" t="n">
        <v>22985</v>
      </c>
      <c r="B642" s="13" t="s">
        <v>2874</v>
      </c>
      <c r="C642" s="14" t="n">
        <v>46307</v>
      </c>
      <c r="D642" s="13" t="s">
        <v>1721</v>
      </c>
      <c r="E642" s="13" t="s">
        <v>47</v>
      </c>
      <c r="F642" s="24" t="s">
        <v>2875</v>
      </c>
      <c r="G642" s="13" t="s">
        <v>1127</v>
      </c>
      <c r="H642" s="13" t="s">
        <v>35</v>
      </c>
      <c r="I642" s="13" t="str">
        <f aca="false">IF(C642=J642,"NEW KONTRAK","RE-KONTRAK")</f>
        <v>NEW KONTRAK</v>
      </c>
      <c r="J642" s="16" t="n">
        <f aca="false" t="array" ref="J642:J642">IFERROR(INDEX(AC642:AE642,IF(COUNTA(AC642:AE642)=0,"",MAX((AC642:AE642&lt;&gt;"")*(COLUMN(AC642:AE642)-(COLUMN(AC642)))))-1),"")</f>
        <v>46307</v>
      </c>
      <c r="K642" s="16" t="n">
        <f aca="false" t="array" ref="K642:K642">IFERROR(INDEX(AC642:AE642,IF(COUNTA(AC642:AE642)=0,"",MAX((AC642:AE642&lt;&gt;"")*(COLUMN(AC642:AE642)-(COLUMN(AC642)-1))))-1),"")</f>
        <v>46386</v>
      </c>
      <c r="L642" s="17" t="str">
        <f aca="false" t="array" ref="L642:L642">IFERROR(INDEX(AC642:AE642,IF(COUNTA(AC642:AE642)=0,"",MAX((AC642:AE642&lt;&gt;"")*(COLUMN(AC642:AE642)-(COLUMN(AC642)-2))))-1),"")</f>
        <v>PRINTED</v>
      </c>
      <c r="M642" s="13" t="n">
        <f aca="true">K642-TODAY()</f>
        <v>62</v>
      </c>
      <c r="N642" s="18" t="s">
        <v>728</v>
      </c>
      <c r="O642" s="13" t="s">
        <v>1738</v>
      </c>
      <c r="P642" s="26" t="n">
        <v>5444909</v>
      </c>
      <c r="Q642" s="20" t="s">
        <v>2876</v>
      </c>
      <c r="R642" s="13" t="s">
        <v>148</v>
      </c>
      <c r="S642" s="25" t="n">
        <v>37982</v>
      </c>
      <c r="T642" s="13" t="s">
        <v>108</v>
      </c>
      <c r="U642" s="13" t="s">
        <v>2877</v>
      </c>
      <c r="V642" s="13" t="s">
        <v>42</v>
      </c>
      <c r="W642" s="13" t="s">
        <v>43</v>
      </c>
      <c r="X642" s="21" t="n">
        <v>85785841783</v>
      </c>
      <c r="Y642" s="22" t="str">
        <f aca="false">O642</f>
        <v>IM Operator</v>
      </c>
      <c r="Z642" s="13" t="str">
        <f aca="false">IFERROR(__xludf.dummyfunction("if(BJ642="""","""",GOOGLETRANSLATE(BJ642,""auto"",""en""))"),"IM Operator")</f>
        <v>IM Operator</v>
      </c>
      <c r="AA642" s="23" t="str">
        <f aca="false">IF(C642="","", CHOOSE(MONTH(C642),"January","February","March","April","May","June","July","August","September","October","November","December")&amp;" "&amp;DAY(C642)&amp;MID("thstndrdth",MIN(9,2*RIGHT(DAY(C642))*(MOD(DAY(C642)-11,100)&gt;2)+1),2)&amp;","&amp;TEXT(C642," yyyy"))</f>
        <v>October 12th,2026</v>
      </c>
      <c r="AB642" s="15" t="str">
        <f aca="true">IF(S642="","",DATEDIF(S642,TODAY(),"Y")&amp;" Tahun, "&amp;DATEDIF(S642,TODAY(),"YM")&amp;" Bulan, "&amp;DATEDIF(S642,TODAY(),"MD")&amp;" Hari")</f>
        <v>22 Tahun, 10 Bulan, 2 Hari</v>
      </c>
      <c r="AC642" s="14" t="n">
        <v>46307</v>
      </c>
      <c r="AD642" s="18" t="n">
        <v>46386</v>
      </c>
      <c r="AE642" s="13" t="s">
        <v>1752</v>
      </c>
    </row>
    <row r="643" customFormat="false" ht="15.75" hidden="false" customHeight="true" outlineLevel="0" collapsed="false">
      <c r="A643" s="12" t="n">
        <v>4655</v>
      </c>
      <c r="B643" s="13" t="s">
        <v>2878</v>
      </c>
      <c r="C643" s="14" t="n">
        <v>44256</v>
      </c>
      <c r="D643" s="13" t="s">
        <v>1721</v>
      </c>
      <c r="E643" s="15" t="s">
        <v>789</v>
      </c>
      <c r="F643" s="15" t="str">
        <f aca="false">IFERROR(__xludf.dummyfunction("XLOOKUP(AJ643,IMPORTRANGE(""1XaInW9DU9nz21V0tYIfzFQ0He9kVQ_JF2mCXgZ3hqFA"",""REKAP ALL 2026 - Andika!G:G""),IMPORTRANGE(""1XaInW9DU9nz21V0tYIfzFQ0He9kVQ_JF2mCXgZ3hqFA"",""REKAP ALL 2026 - Andika!F:F""),"""",0)"),"22015020146")</f>
        <v>22015020146</v>
      </c>
      <c r="G643" s="13" t="s">
        <v>2879</v>
      </c>
      <c r="H643" s="13" t="s">
        <v>35</v>
      </c>
      <c r="I643" s="13" t="str">
        <f aca="false">IF(C643=J643,"NEW KONTRAK","RE-KONTRAK")</f>
        <v>RE-KONTRAK</v>
      </c>
      <c r="J643" s="16" t="n">
        <f aca="false" t="array" ref="J643:J643">IFERROR(INDEX(AC643:AE643,IF(COUNTA(AC643:AE643)=0,"",MAX((AC643:AE643&lt;&gt;"")*(COLUMN(AC643:AE643)-(COLUMN(AC643)))))-1),"")</f>
        <v>45659</v>
      </c>
      <c r="K643" s="16" t="n">
        <f aca="false" t="array" ref="K643:K643">IFERROR(INDEX(AC643:AE643,IF(COUNTA(AC643:AE643)=0,"",MAX((AC643:AE643&lt;&gt;"")*(COLUMN(AC643:AE643)-(COLUMN(AC643)-1))))-1),"")</f>
        <v>46015</v>
      </c>
      <c r="L643" s="17" t="str">
        <f aca="false" t="array" ref="L643:L643">IFERROR(INDEX(AC643:AE643,IF(COUNTA(AC643:AE643)=0,"",MAX((AC643:AE643&lt;&gt;"")*(COLUMN(AC643:AE643)-(COLUMN(AC643)-2))))-1),"")</f>
        <v>ARCHIVED</v>
      </c>
      <c r="M643" s="13" t="n">
        <f aca="true">K643-TODAY()</f>
        <v>-309</v>
      </c>
      <c r="N643" s="18" t="s">
        <v>728</v>
      </c>
      <c r="O643" s="13" t="s">
        <v>1765</v>
      </c>
      <c r="P643" s="19" t="n">
        <v>5444909</v>
      </c>
      <c r="Q643" s="20" t="s">
        <v>2880</v>
      </c>
      <c r="R643" s="13" t="s">
        <v>78</v>
      </c>
      <c r="S643" s="14" t="n">
        <v>37166</v>
      </c>
      <c r="T643" s="13" t="s">
        <v>108</v>
      </c>
      <c r="U643" s="13" t="s">
        <v>2881</v>
      </c>
      <c r="V643" s="13" t="s">
        <v>42</v>
      </c>
      <c r="W643" s="13" t="s">
        <v>43</v>
      </c>
      <c r="X643" s="21" t="n">
        <v>81335275841</v>
      </c>
      <c r="Y643" s="22" t="str">
        <f aca="false">O643</f>
        <v>Assy Operator</v>
      </c>
      <c r="Z643" s="13" t="str">
        <f aca="false">IFERROR(__xludf.dummyfunction("if(BJ643="""","""",GOOGLETRANSLATE(BJ643,""auto"",""en""))"),"Assy Operator")</f>
        <v>Assy Operator</v>
      </c>
      <c r="AA643" s="23" t="str">
        <f aca="false">IF(C643="","", CHOOSE(MONTH(C643),"January","February","March","April","May","June","July","August","September","October","November","December")&amp;" "&amp;DAY(C643)&amp;MID("thstndrdth",MIN(9,2*RIGHT(DAY(C643))*(MOD(DAY(C643)-11,100)&gt;2)+1),2)&amp;","&amp;TEXT(C643," yyyy"))</f>
        <v>March 1st,2021</v>
      </c>
      <c r="AB643" s="15" t="str">
        <f aca="true">IF(S643="","",DATEDIF(S643,TODAY(),"Y")&amp;" Tahun, "&amp;DATEDIF(S643,TODAY(),"YM")&amp;" Bulan, "&amp;DATEDIF(S643,TODAY(),"MD")&amp;" Hari")</f>
        <v>25 Tahun, 0 Bulan, 27 Hari</v>
      </c>
      <c r="AC643" s="18" t="n">
        <v>45659</v>
      </c>
      <c r="AD643" s="18" t="n">
        <v>46015</v>
      </c>
      <c r="AE643" s="18" t="s">
        <v>44</v>
      </c>
    </row>
    <row r="644" customFormat="false" ht="15.75" hidden="false" customHeight="true" outlineLevel="0" collapsed="false">
      <c r="A644" s="12" t="n">
        <v>2157</v>
      </c>
      <c r="B644" s="13" t="s">
        <v>2882</v>
      </c>
      <c r="C644" s="14" t="n">
        <v>44563</v>
      </c>
      <c r="D644" s="13" t="s">
        <v>1721</v>
      </c>
      <c r="E644" s="15" t="s">
        <v>47</v>
      </c>
      <c r="F644" s="15" t="str">
        <f aca="false">IFERROR(__xludf.dummyfunction("XLOOKUP(AJ644,IMPORTRANGE(""1XaInW9DU9nz21V0tYIfzFQ0He9kVQ_JF2mCXgZ3hqFA"",""REKAP ALL 2026 - Andika!G:G""),IMPORTRANGE(""1XaInW9DU9nz21V0tYIfzFQ0He9kVQ_JF2mCXgZ3hqFA"",""REKAP ALL 2026 - Andika!F:F""),"""",0)"),"21014141044")</f>
        <v>21014141044</v>
      </c>
      <c r="G644" s="13" t="s">
        <v>2883</v>
      </c>
      <c r="H644" s="13" t="s">
        <v>35</v>
      </c>
      <c r="I644" s="13" t="str">
        <f aca="false">IF(C644=J644,"NEW KONTRAK","RE-KONTRAK")</f>
        <v>RE-KONTRAK</v>
      </c>
      <c r="J644" s="16" t="n">
        <f aca="false" t="array" ref="J644:J644">IFERROR(INDEX(AC644:AE644,IF(COUNTA(AC644:AE644)=0,"",MAX((AC644:AE644&lt;&gt;"")*(COLUMN(AC644:AE644)-(COLUMN(AC644)))))-1),"")</f>
        <v>45659</v>
      </c>
      <c r="K644" s="16" t="n">
        <f aca="false" t="array" ref="K644:K644">IFERROR(INDEX(AC644:AE644,IF(COUNTA(AC644:AE644)=0,"",MAX((AC644:AE644&lt;&gt;"")*(COLUMN(AC644:AE644)-(COLUMN(AC644)-1))))-1),"")</f>
        <v>46021</v>
      </c>
      <c r="L644" s="17" t="str">
        <f aca="false" t="array" ref="L644:L644">IFERROR(INDEX(AC644:AE644,IF(COUNTA(AC644:AE644)=0,"",MAX((AC644:AE644&lt;&gt;"")*(COLUMN(AC644:AE644)-(COLUMN(AC644)-2))))-1),"")</f>
        <v>KEMBALI</v>
      </c>
      <c r="M644" s="13" t="n">
        <f aca="true">K644-TODAY()</f>
        <v>-303</v>
      </c>
      <c r="N644" s="18" t="s">
        <v>728</v>
      </c>
      <c r="O644" s="13" t="s">
        <v>1765</v>
      </c>
      <c r="P644" s="19" t="n">
        <v>5444909</v>
      </c>
      <c r="Q644" s="20" t="s">
        <v>2884</v>
      </c>
      <c r="R644" s="13" t="s">
        <v>52</v>
      </c>
      <c r="S644" s="14" t="n">
        <v>36515</v>
      </c>
      <c r="T644" s="13" t="s">
        <v>108</v>
      </c>
      <c r="U644" s="13" t="s">
        <v>2885</v>
      </c>
      <c r="V644" s="13" t="s">
        <v>42</v>
      </c>
      <c r="W644" s="13" t="s">
        <v>43</v>
      </c>
      <c r="X644" s="21" t="n">
        <v>82242160720</v>
      </c>
      <c r="Y644" s="22" t="str">
        <f aca="false">O644</f>
        <v>Assy Operator</v>
      </c>
      <c r="Z644" s="13" t="str">
        <f aca="false">IFERROR(__xludf.dummyfunction("if(BJ644="""","""",GOOGLETRANSLATE(BJ644,""auto"",""en""))"),"Assy Operator")</f>
        <v>Assy Operator</v>
      </c>
      <c r="AA644" s="23" t="str">
        <f aca="false">IF(C644="","", CHOOSE(MONTH(C644),"January","February","March","April","May","June","July","August","September","October","November","December")&amp;" "&amp;DAY(C644)&amp;MID("thstndrdth",MIN(9,2*RIGHT(DAY(C644))*(MOD(DAY(C644)-11,100)&gt;2)+1),2)&amp;","&amp;TEXT(C644," yyyy"))</f>
        <v>January 2nd,2022</v>
      </c>
      <c r="AB644" s="15" t="str">
        <f aca="true">IF(S644="","",DATEDIF(S644,TODAY(),"Y")&amp;" Tahun, "&amp;DATEDIF(S644,TODAY(),"YM")&amp;" Bulan, "&amp;DATEDIF(S644,TODAY(),"MD")&amp;" Hari")</f>
        <v>26 Tahun, 10 Bulan, 8 Hari</v>
      </c>
      <c r="AC644" s="18" t="n">
        <v>45659</v>
      </c>
      <c r="AD644" s="18" t="n">
        <v>46021</v>
      </c>
      <c r="AE644" s="13" t="s">
        <v>397</v>
      </c>
    </row>
    <row r="645" customFormat="false" ht="15.75" hidden="false" customHeight="true" outlineLevel="0" collapsed="false">
      <c r="A645" s="12" t="n">
        <v>6039</v>
      </c>
      <c r="B645" s="13" t="s">
        <v>2886</v>
      </c>
      <c r="C645" s="14" t="n">
        <v>44658</v>
      </c>
      <c r="D645" s="13" t="s">
        <v>1721</v>
      </c>
      <c r="E645" s="15" t="s">
        <v>47</v>
      </c>
      <c r="F645" s="15" t="str">
        <f aca="false">IFERROR(__xludf.dummyfunction("XLOOKUP(AJ645,IMPORTRANGE(""1XaInW9DU9nz21V0tYIfzFQ0He9kVQ_JF2mCXgZ3hqFA"",""REKAP ALL 2026 - Andika!G:G""),IMPORTRANGE(""1XaInW9DU9nz21V0tYIfzFQ0He9kVQ_JF2mCXgZ3hqFA"",""REKAP ALL 2026 - Andika!F:F""),"""",0)"),"22037460569")</f>
        <v>22037460569</v>
      </c>
      <c r="G645" s="13" t="s">
        <v>2887</v>
      </c>
      <c r="H645" s="13" t="s">
        <v>35</v>
      </c>
      <c r="I645" s="13" t="str">
        <f aca="false">IF(C645=J645,"NEW KONTRAK","RE-KONTRAK")</f>
        <v>RE-KONTRAK</v>
      </c>
      <c r="J645" s="16" t="n">
        <f aca="false" t="array" ref="J645:J645">IFERROR(INDEX(AC645:AE645,IF(COUNTA(AC645:AE645)=0,"",MAX((AC645:AE645&lt;&gt;"")*(COLUMN(AC645:AE645)-(COLUMN(AC645)))))-1),"")</f>
        <v>45659</v>
      </c>
      <c r="K645" s="16" t="n">
        <f aca="false" t="array" ref="K645:K645">IFERROR(INDEX(AC645:AE645,IF(COUNTA(AC645:AE645)=0,"",MAX((AC645:AE645&lt;&gt;"")*(COLUMN(AC645:AE645)-(COLUMN(AC645)-1))))-1),"")</f>
        <v>46021</v>
      </c>
      <c r="L645" s="17" t="str">
        <f aca="false" t="array" ref="L645:L645">IFERROR(INDEX(AC645:AE645,IF(COUNTA(AC645:AE645)=0,"",MAX((AC645:AE645&lt;&gt;"")*(COLUMN(AC645:AE645)-(COLUMN(AC645)-2))))-1),"")</f>
        <v>KEMBALI</v>
      </c>
      <c r="M645" s="13" t="n">
        <f aca="true">K645-TODAY()</f>
        <v>-303</v>
      </c>
      <c r="N645" s="18" t="s">
        <v>728</v>
      </c>
      <c r="O645" s="13" t="s">
        <v>1870</v>
      </c>
      <c r="P645" s="19" t="n">
        <v>5444909</v>
      </c>
      <c r="Q645" s="20" t="s">
        <v>2888</v>
      </c>
      <c r="R645" s="13" t="s">
        <v>260</v>
      </c>
      <c r="S645" s="14" t="n">
        <v>35769</v>
      </c>
      <c r="T645" s="13" t="s">
        <v>108</v>
      </c>
      <c r="U645" s="13" t="s">
        <v>2889</v>
      </c>
      <c r="V645" s="13" t="s">
        <v>42</v>
      </c>
      <c r="W645" s="13" t="s">
        <v>54</v>
      </c>
      <c r="X645" s="21" t="n">
        <v>81559878867</v>
      </c>
      <c r="Y645" s="22" t="str">
        <f aca="false">O645</f>
        <v>Bm Operator</v>
      </c>
      <c r="Z645" s="13" t="str">
        <f aca="false">IFERROR(__xludf.dummyfunction("if(BJ645="""","""",GOOGLETRANSLATE(BJ645,""auto"",""en""))"),"Bm Operator")</f>
        <v>Bm Operator</v>
      </c>
      <c r="AA645" s="23" t="str">
        <f aca="false">IF(C645="","", CHOOSE(MONTH(C645),"January","February","March","April","May","June","July","August","September","October","November","December")&amp;" "&amp;DAY(C645)&amp;MID("thstndrdth",MIN(9,2*RIGHT(DAY(C645))*(MOD(DAY(C645)-11,100)&gt;2)+1),2)&amp;","&amp;TEXT(C645," yyyy"))</f>
        <v>April 7th,2022</v>
      </c>
      <c r="AB645" s="15" t="str">
        <f aca="true">IF(S645="","",DATEDIF(S645,TODAY(),"Y")&amp;" Tahun, "&amp;DATEDIF(S645,TODAY(),"YM")&amp;" Bulan, "&amp;DATEDIF(S645,TODAY(),"MD")&amp;" Hari")</f>
        <v>28 Tahun, 10 Bulan, 24 Hari</v>
      </c>
      <c r="AC645" s="18" t="n">
        <v>45659</v>
      </c>
      <c r="AD645" s="18" t="n">
        <v>46021</v>
      </c>
      <c r="AE645" s="13" t="s">
        <v>397</v>
      </c>
    </row>
    <row r="646" customFormat="false" ht="15.75" hidden="false" customHeight="true" outlineLevel="0" collapsed="false">
      <c r="A646" s="12" t="n">
        <v>22842</v>
      </c>
      <c r="B646" s="13" t="s">
        <v>2890</v>
      </c>
      <c r="C646" s="14" t="n">
        <v>46279</v>
      </c>
      <c r="D646" s="13" t="s">
        <v>1721</v>
      </c>
      <c r="E646" s="13" t="s">
        <v>47</v>
      </c>
      <c r="F646" s="24" t="s">
        <v>2891</v>
      </c>
      <c r="G646" s="13" t="s">
        <v>1452</v>
      </c>
      <c r="H646" s="13" t="s">
        <v>35</v>
      </c>
      <c r="I646" s="13" t="str">
        <f aca="false">IF(C646=J646,"NEW KONTRAK","RE-KONTRAK")</f>
        <v>NEW KONTRAK</v>
      </c>
      <c r="J646" s="16" t="n">
        <f aca="false" t="array" ref="J646:J646">IFERROR(INDEX(AC646:AE646,IF(COUNTA(AC646:AE646)=0,"",MAX((AC646:AE646&lt;&gt;"")*(COLUMN(AC646:AE646)-(COLUMN(AC646)))))-1),"")</f>
        <v>46279</v>
      </c>
      <c r="K646" s="16" t="n">
        <f aca="false" t="array" ref="K646:K646">IFERROR(INDEX(AC646:AE646,IF(COUNTA(AC646:AE646)=0,"",MAX((AC646:AE646&lt;&gt;"")*(COLUMN(AC646:AE646)-(COLUMN(AC646)-1))))-1),"")</f>
        <v>46386</v>
      </c>
      <c r="L646" s="17" t="str">
        <f aca="false" t="array" ref="L646:L646">IFERROR(INDEX(AC646:AE646,IF(COUNTA(AC646:AE646)=0,"",MAX((AC646:AE646&lt;&gt;"")*(COLUMN(AC646:AE646)-(COLUMN(AC646)-2))))-1),"")</f>
        <v>ARCHIVED</v>
      </c>
      <c r="M646" s="13" t="n">
        <f aca="true">K646-TODAY()</f>
        <v>62</v>
      </c>
      <c r="N646" s="18" t="s">
        <v>728</v>
      </c>
      <c r="O646" s="13" t="s">
        <v>1755</v>
      </c>
      <c r="P646" s="26" t="n">
        <v>5444909</v>
      </c>
      <c r="Q646" s="52" t="s">
        <v>2892</v>
      </c>
      <c r="R646" s="48" t="s">
        <v>52</v>
      </c>
      <c r="S646" s="25" t="n">
        <v>37086</v>
      </c>
      <c r="T646" s="13" t="s">
        <v>108</v>
      </c>
      <c r="U646" s="13" t="s">
        <v>2893</v>
      </c>
      <c r="V646" s="13" t="s">
        <v>42</v>
      </c>
      <c r="W646" s="28" t="s">
        <v>43</v>
      </c>
      <c r="X646" s="21" t="n">
        <v>89613133920</v>
      </c>
      <c r="Y646" s="22" t="str">
        <f aca="false">O646</f>
        <v>Im.Operator</v>
      </c>
      <c r="Z646" s="13" t="str">
        <f aca="false">IFERROR(__xludf.dummyfunction("if(BJ646="""","""",GOOGLETRANSLATE(BJ646,""auto"",""en""))"),"Im.Operator")</f>
        <v>Im.Operator</v>
      </c>
      <c r="AA646" s="23" t="str">
        <f aca="false">IF(C646="","", CHOOSE(MONTH(C646),"January","February","March","April","May","June","July","August","September","October","November","December")&amp;" "&amp;DAY(C646)&amp;MID("thstndrdth",MIN(9,2*RIGHT(DAY(C646))*(MOD(DAY(C646)-11,100)&gt;2)+1),2)&amp;","&amp;TEXT(C646," yyyy"))</f>
        <v>September 14th,2026</v>
      </c>
      <c r="AB646" s="15" t="str">
        <f aca="true">IF(S646="","",DATEDIF(S646,TODAY(),"Y")&amp;" Tahun, "&amp;DATEDIF(S646,TODAY(),"YM")&amp;" Bulan, "&amp;DATEDIF(S646,TODAY(),"MD")&amp;" Hari")</f>
        <v>25 Tahun, 3 Bulan, 15 Hari</v>
      </c>
      <c r="AC646" s="14" t="n">
        <v>46279</v>
      </c>
      <c r="AD646" s="18" t="n">
        <v>46386</v>
      </c>
      <c r="AE646" s="13" t="s">
        <v>44</v>
      </c>
    </row>
    <row r="647" customFormat="false" ht="15.75" hidden="false" customHeight="true" outlineLevel="0" collapsed="false">
      <c r="A647" s="12" t="n">
        <v>22874</v>
      </c>
      <c r="B647" s="13" t="s">
        <v>2894</v>
      </c>
      <c r="C647" s="14" t="n">
        <v>46279</v>
      </c>
      <c r="D647" s="13" t="s">
        <v>1721</v>
      </c>
      <c r="E647" s="13" t="s">
        <v>47</v>
      </c>
      <c r="F647" s="24" t="s">
        <v>2895</v>
      </c>
      <c r="G647" s="13" t="s">
        <v>1452</v>
      </c>
      <c r="H647" s="13" t="s">
        <v>35</v>
      </c>
      <c r="I647" s="13" t="str">
        <f aca="false">IF(C647=J647,"NEW KONTRAK","RE-KONTRAK")</f>
        <v>NEW KONTRAK</v>
      </c>
      <c r="J647" s="16" t="n">
        <f aca="false" t="array" ref="J647:J647">IFERROR(INDEX(AC647:AE647,IF(COUNTA(AC647:AE647)=0,"",MAX((AC647:AE647&lt;&gt;"")*(COLUMN(AC647:AE647)-(COLUMN(AC647)))))-1),"")</f>
        <v>46279</v>
      </c>
      <c r="K647" s="16" t="n">
        <f aca="false" t="array" ref="K647:K647">IFERROR(INDEX(AC647:AE647,IF(COUNTA(AC647:AE647)=0,"",MAX((AC647:AE647&lt;&gt;"")*(COLUMN(AC647:AE647)-(COLUMN(AC647)-1))))-1),"")</f>
        <v>46386</v>
      </c>
      <c r="L647" s="17" t="str">
        <f aca="false" t="array" ref="L647:L647">IFERROR(INDEX(AC647:AE647,IF(COUNTA(AC647:AE647)=0,"",MAX((AC647:AE647&lt;&gt;"")*(COLUMN(AC647:AE647)-(COLUMN(AC647)-2))))-1),"")</f>
        <v>ARCHIVED</v>
      </c>
      <c r="M647" s="13" t="n">
        <f aca="true">K647-TODAY()</f>
        <v>62</v>
      </c>
      <c r="N647" s="18" t="s">
        <v>728</v>
      </c>
      <c r="O647" s="13" t="s">
        <v>1755</v>
      </c>
      <c r="P647" s="26" t="n">
        <v>5444909</v>
      </c>
      <c r="Q647" s="20" t="s">
        <v>2896</v>
      </c>
      <c r="R647" s="48" t="s">
        <v>246</v>
      </c>
      <c r="S647" s="25" t="n">
        <v>32342</v>
      </c>
      <c r="T647" s="13" t="s">
        <v>108</v>
      </c>
      <c r="U647" s="13" t="s">
        <v>2897</v>
      </c>
      <c r="V647" s="13" t="s">
        <v>42</v>
      </c>
      <c r="W647" s="28" t="s">
        <v>54</v>
      </c>
      <c r="X647" s="21" t="n">
        <v>81357957246</v>
      </c>
      <c r="Y647" s="22" t="str">
        <f aca="false">O647</f>
        <v>Im.Operator</v>
      </c>
      <c r="Z647" s="13" t="str">
        <f aca="false">IFERROR(__xludf.dummyfunction("if(BJ647="""","""",GOOGLETRANSLATE(BJ647,""auto"",""en""))"),"Im.Operator")</f>
        <v>Im.Operator</v>
      </c>
      <c r="AA647" s="23" t="str">
        <f aca="false">IF(C647="","", CHOOSE(MONTH(C647),"January","February","March","April","May","June","July","August","September","October","November","December")&amp;" "&amp;DAY(C647)&amp;MID("thstndrdth",MIN(9,2*RIGHT(DAY(C647))*(MOD(DAY(C647)-11,100)&gt;2)+1),2)&amp;","&amp;TEXT(C647," yyyy"))</f>
        <v>September 14th,2026</v>
      </c>
      <c r="AB647" s="15" t="str">
        <f aca="true">IF(S647="","",DATEDIF(S647,TODAY(),"Y")&amp;" Tahun, "&amp;DATEDIF(S647,TODAY(),"YM")&amp;" Bulan, "&amp;DATEDIF(S647,TODAY(),"MD")&amp;" Hari")</f>
        <v>38 Tahun, 3 Bulan, 11 Hari</v>
      </c>
      <c r="AC647" s="14" t="n">
        <v>46279</v>
      </c>
      <c r="AD647" s="18" t="n">
        <v>46386</v>
      </c>
      <c r="AE647" s="13" t="s">
        <v>44</v>
      </c>
    </row>
    <row r="648" customFormat="false" ht="15.75" hidden="false" customHeight="true" outlineLevel="0" collapsed="false">
      <c r="A648" s="12" t="n">
        <v>2162</v>
      </c>
      <c r="B648" s="13" t="s">
        <v>2898</v>
      </c>
      <c r="C648" s="14" t="n">
        <v>44563</v>
      </c>
      <c r="D648" s="13" t="s">
        <v>1721</v>
      </c>
      <c r="E648" s="15" t="s">
        <v>47</v>
      </c>
      <c r="F648" s="15" t="str">
        <f aca="false">IFERROR(__xludf.dummyfunction("XLOOKUP(AJ648,IMPORTRANGE(""1XaInW9DU9nz21V0tYIfzFQ0He9kVQ_JF2mCXgZ3hqFA"",""REKAP ALL 2026 - Andika!G:G""),IMPORTRANGE(""1XaInW9DU9nz21V0tYIfzFQ0He9kVQ_JF2mCXgZ3hqFA"",""REKAP ALL 2026 - Andika!F:F""),"""",0)"),"21096162082")</f>
        <v>21096162082</v>
      </c>
      <c r="G648" s="13" t="s">
        <v>2899</v>
      </c>
      <c r="H648" s="13" t="s">
        <v>35</v>
      </c>
      <c r="I648" s="13" t="str">
        <f aca="false">IF(C648=J648,"NEW KONTRAK","RE-KONTRAK")</f>
        <v>RE-KONTRAK</v>
      </c>
      <c r="J648" s="16" t="n">
        <f aca="false" t="array" ref="J648:J648">IFERROR(INDEX(AC648:AE648,IF(COUNTA(AC648:AE648)=0,"",MAX((AC648:AE648&lt;&gt;"")*(COLUMN(AC648:AE648)-(COLUMN(AC648)))))-1),"")</f>
        <v>45659</v>
      </c>
      <c r="K648" s="16" t="n">
        <f aca="false" t="array" ref="K648:K648">IFERROR(INDEX(AC648:AE648,IF(COUNTA(AC648:AE648)=0,"",MAX((AC648:AE648&lt;&gt;"")*(COLUMN(AC648:AE648)-(COLUMN(AC648)-1))))-1),"")</f>
        <v>46021</v>
      </c>
      <c r="L648" s="17" t="str">
        <f aca="false" t="array" ref="L648:L648">IFERROR(INDEX(AC648:AE648,IF(COUNTA(AC648:AE648)=0,"",MAX((AC648:AE648&lt;&gt;"")*(COLUMN(AC648:AE648)-(COLUMN(AC648)-2))))-1),"")</f>
        <v>KEMBALI</v>
      </c>
      <c r="M648" s="13" t="n">
        <f aca="true">K648-TODAY()</f>
        <v>-303</v>
      </c>
      <c r="N648" s="18" t="s">
        <v>728</v>
      </c>
      <c r="O648" s="13" t="s">
        <v>1744</v>
      </c>
      <c r="P648" s="19" t="n">
        <v>5444909</v>
      </c>
      <c r="Q648" s="20" t="s">
        <v>2900</v>
      </c>
      <c r="R648" s="13" t="s">
        <v>255</v>
      </c>
      <c r="S648" s="14" t="n">
        <v>35272</v>
      </c>
      <c r="T648" s="13" t="s">
        <v>108</v>
      </c>
      <c r="U648" s="13" t="s">
        <v>2901</v>
      </c>
      <c r="V648" s="13" t="s">
        <v>42</v>
      </c>
      <c r="W648" s="13" t="s">
        <v>43</v>
      </c>
      <c r="X648" s="21" t="n">
        <v>85736266297</v>
      </c>
      <c r="Y648" s="22" t="str">
        <f aca="false">O648</f>
        <v>Print Operator</v>
      </c>
      <c r="Z648" s="13" t="str">
        <f aca="false">IFERROR(__xludf.dummyfunction("if(BJ648="""","""",GOOGLETRANSLATE(BJ648,""auto"",""en""))"),"Print Operator")</f>
        <v>Print Operator</v>
      </c>
      <c r="AA648" s="23" t="str">
        <f aca="false">IF(C648="","", CHOOSE(MONTH(C648),"January","February","March","April","May","June","July","August","September","October","November","December")&amp;" "&amp;DAY(C648)&amp;MID("thstndrdth",MIN(9,2*RIGHT(DAY(C648))*(MOD(DAY(C648)-11,100)&gt;2)+1),2)&amp;","&amp;TEXT(C648," yyyy"))</f>
        <v>January 2nd,2022</v>
      </c>
      <c r="AB648" s="15" t="str">
        <f aca="true">IF(S648="","",DATEDIF(S648,TODAY(),"Y")&amp;" Tahun, "&amp;DATEDIF(S648,TODAY(),"YM")&amp;" Bulan, "&amp;DATEDIF(S648,TODAY(),"MD")&amp;" Hari")</f>
        <v>30 Tahun, 3 Bulan, 3 Hari</v>
      </c>
      <c r="AC648" s="18" t="n">
        <v>45659</v>
      </c>
      <c r="AD648" s="18" t="n">
        <v>46021</v>
      </c>
      <c r="AE648" s="13" t="s">
        <v>397</v>
      </c>
    </row>
    <row r="649" customFormat="false" ht="15.75" hidden="false" customHeight="true" outlineLevel="0" collapsed="false">
      <c r="A649" s="12" t="n">
        <v>22716</v>
      </c>
      <c r="B649" s="13" t="s">
        <v>2902</v>
      </c>
      <c r="C649" s="14" t="n">
        <v>46251</v>
      </c>
      <c r="D649" s="13" t="s">
        <v>1721</v>
      </c>
      <c r="E649" s="13" t="s">
        <v>47</v>
      </c>
      <c r="F649" s="24" t="s">
        <v>2903</v>
      </c>
      <c r="G649" s="13" t="s">
        <v>1452</v>
      </c>
      <c r="H649" s="13" t="s">
        <v>35</v>
      </c>
      <c r="I649" s="13" t="str">
        <f aca="false">IF(C649=J649,"NEW KONTRAK","RE-KONTRAK")</f>
        <v>NEW KONTRAK</v>
      </c>
      <c r="J649" s="16" t="n">
        <f aca="false" t="array" ref="J649:J649">IFERROR(INDEX(AC649:AE649,IF(COUNTA(AC649:AE649)=0,"",MAX((AC649:AE649&lt;&gt;"")*(COLUMN(AC649:AE649)-(COLUMN(AC649)))))-1),"")</f>
        <v>46251</v>
      </c>
      <c r="K649" s="16" t="n">
        <f aca="false" t="array" ref="K649:K649">IFERROR(INDEX(AC649:AE649,IF(COUNTA(AC649:AE649)=0,"",MAX((AC649:AE649&lt;&gt;"")*(COLUMN(AC649:AE649)-(COLUMN(AC649)-1))))-1),"")</f>
        <v>46342</v>
      </c>
      <c r="L649" s="17" t="str">
        <f aca="false" t="array" ref="L649:L649">IFERROR(INDEX(AC649:AE649,IF(COUNTA(AC649:AE649)=0,"",MAX((AC649:AE649&lt;&gt;"")*(COLUMN(AC649:AE649)-(COLUMN(AC649)-2))))-1),"")</f>
        <v>KEMBALI</v>
      </c>
      <c r="M649" s="13" t="n">
        <f aca="true">K649-TODAY()</f>
        <v>18</v>
      </c>
      <c r="N649" s="18" t="s">
        <v>728</v>
      </c>
      <c r="O649" s="13" t="s">
        <v>1722</v>
      </c>
      <c r="P649" s="26" t="n">
        <v>5444909</v>
      </c>
      <c r="Q649" s="20" t="s">
        <v>2904</v>
      </c>
      <c r="R649" s="13" t="s">
        <v>52</v>
      </c>
      <c r="S649" s="25" t="n">
        <v>37537</v>
      </c>
      <c r="T649" s="13" t="s">
        <v>40</v>
      </c>
      <c r="U649" s="13" t="s">
        <v>2905</v>
      </c>
      <c r="V649" s="13" t="s">
        <v>42</v>
      </c>
      <c r="W649" s="13" t="s">
        <v>54</v>
      </c>
      <c r="X649" s="21" t="n">
        <v>85848765565</v>
      </c>
      <c r="Y649" s="22" t="str">
        <f aca="false">O649</f>
        <v>Printing</v>
      </c>
      <c r="Z649" s="13" t="str">
        <f aca="false">IFERROR(__xludf.dummyfunction("if(BJ649="""","""",GOOGLETRANSLATE(BJ649,""auto"",""en""))"),"Printing")</f>
        <v>Printing</v>
      </c>
      <c r="AA649" s="23" t="str">
        <f aca="false">IF(C649="","", CHOOSE(MONTH(C649),"January","February","March","April","May","June","July","August","September","October","November","December")&amp;" "&amp;DAY(C649)&amp;MID("thstndrdth",MIN(9,2*RIGHT(DAY(C649))*(MOD(DAY(C649)-11,100)&gt;2)+1),2)&amp;","&amp;TEXT(C649," yyyy"))</f>
        <v>August 17th,2026</v>
      </c>
      <c r="AB649" s="15" t="str">
        <f aca="true">IF(S649="","",DATEDIF(S649,TODAY(),"Y")&amp;" Tahun, "&amp;DATEDIF(S649,TODAY(),"YM")&amp;" Bulan, "&amp;DATEDIF(S649,TODAY(),"MD")&amp;" Hari")</f>
        <v>24 Tahun, 0 Bulan, 21 Hari</v>
      </c>
      <c r="AC649" s="14" t="n">
        <v>46251</v>
      </c>
      <c r="AD649" s="18" t="n">
        <f aca="false">EDATE(AC649,3)-1</f>
        <v>46342</v>
      </c>
      <c r="AE649" s="13" t="s">
        <v>397</v>
      </c>
    </row>
    <row r="650" customFormat="false" ht="15.75" hidden="false" customHeight="true" outlineLevel="0" collapsed="false">
      <c r="A650" s="12" t="n">
        <v>6050</v>
      </c>
      <c r="B650" s="13" t="s">
        <v>2906</v>
      </c>
      <c r="C650" s="14" t="n">
        <v>44641</v>
      </c>
      <c r="D650" s="13" t="s">
        <v>1721</v>
      </c>
      <c r="E650" s="15" t="s">
        <v>47</v>
      </c>
      <c r="F650" s="15" t="str">
        <f aca="false">IFERROR(__xludf.dummyfunction("XLOOKUP(AJ650,IMPORTRANGE(""1XaInW9DU9nz21V0tYIfzFQ0He9kVQ_JF2mCXgZ3hqFA"",""REKAP ALL 2026 - Andika!G:G""),IMPORTRANGE(""1XaInW9DU9nz21V0tYIfzFQ0He9kVQ_JF2mCXgZ3hqFA"",""REKAP ALL 2026 - Andika!F:F""),"""",0)"),"22037460700")</f>
        <v>22037460700</v>
      </c>
      <c r="G650" s="13" t="s">
        <v>2907</v>
      </c>
      <c r="H650" s="13" t="s">
        <v>35</v>
      </c>
      <c r="I650" s="13" t="str">
        <f aca="false">IF(C650=J650,"NEW KONTRAK","RE-KONTRAK")</f>
        <v>RE-KONTRAK</v>
      </c>
      <c r="J650" s="16" t="n">
        <f aca="false" t="array" ref="J650:J650">IFERROR(INDEX(AC650:AE650,IF(COUNTA(AC650:AE650)=0,"",MAX((AC650:AE650&lt;&gt;"")*(COLUMN(AC650:AE650)-(COLUMN(AC650)))))-1),"")</f>
        <v>45659</v>
      </c>
      <c r="K650" s="16" t="n">
        <f aca="false" t="array" ref="K650:K650">IFERROR(INDEX(AC650:AE650,IF(COUNTA(AC650:AE650)=0,"",MAX((AC650:AE650&lt;&gt;"")*(COLUMN(AC650:AE650)-(COLUMN(AC650)-1))))-1),"")</f>
        <v>46021</v>
      </c>
      <c r="L650" s="17" t="str">
        <f aca="false" t="array" ref="L650:L650">IFERROR(INDEX(AC650:AE650,IF(COUNTA(AC650:AE650)=0,"",MAX((AC650:AE650&lt;&gt;"")*(COLUMN(AC650:AE650)-(COLUMN(AC650)-2))))-1),"")</f>
        <v>KEMBALI</v>
      </c>
      <c r="M650" s="13" t="n">
        <f aca="true">K650-TODAY()</f>
        <v>-303</v>
      </c>
      <c r="N650" s="18" t="s">
        <v>728</v>
      </c>
      <c r="O650" s="13" t="s">
        <v>1914</v>
      </c>
      <c r="P650" s="19" t="n">
        <v>5444909</v>
      </c>
      <c r="Q650" s="20" t="s">
        <v>2908</v>
      </c>
      <c r="R650" s="13" t="s">
        <v>232</v>
      </c>
      <c r="S650" s="14" t="n">
        <v>35382</v>
      </c>
      <c r="T650" s="13" t="s">
        <v>108</v>
      </c>
      <c r="U650" s="13" t="s">
        <v>1181</v>
      </c>
      <c r="V650" s="13" t="s">
        <v>42</v>
      </c>
      <c r="W650" s="13" t="s">
        <v>43</v>
      </c>
      <c r="X650" s="21" t="n">
        <v>81358856613</v>
      </c>
      <c r="Y650" s="22" t="str">
        <f aca="false">O650</f>
        <v>Im Operator</v>
      </c>
      <c r="Z650" s="13" t="str">
        <f aca="false">IFERROR(__xludf.dummyfunction("if(BJ650="""","""",GOOGLETRANSLATE(BJ650,""auto"",""en""))"),"Im Operator")</f>
        <v>Im Operator</v>
      </c>
      <c r="AA650" s="23" t="str">
        <f aca="false">IF(C650="","", CHOOSE(MONTH(C650),"January","February","March","April","May","June","July","August","September","October","November","December")&amp;" "&amp;DAY(C650)&amp;MID("thstndrdth",MIN(9,2*RIGHT(DAY(C650))*(MOD(DAY(C650)-11,100)&gt;2)+1),2)&amp;","&amp;TEXT(C650," yyyy"))</f>
        <v>March 21st,2022</v>
      </c>
      <c r="AB650" s="15" t="str">
        <f aca="true">IF(S650="","",DATEDIF(S650,TODAY(),"Y")&amp;" Tahun, "&amp;DATEDIF(S650,TODAY(),"YM")&amp;" Bulan, "&amp;DATEDIF(S650,TODAY(),"MD")&amp;" Hari")</f>
        <v>29 Tahun, 11 Bulan, 16 Hari</v>
      </c>
      <c r="AC650" s="18" t="n">
        <v>45659</v>
      </c>
      <c r="AD650" s="18" t="n">
        <v>46021</v>
      </c>
      <c r="AE650" s="13" t="s">
        <v>397</v>
      </c>
    </row>
    <row r="651" customFormat="false" ht="15.75" hidden="false" customHeight="true" outlineLevel="0" collapsed="false">
      <c r="A651" s="12" t="n">
        <v>4679</v>
      </c>
      <c r="B651" s="13" t="s">
        <v>2909</v>
      </c>
      <c r="C651" s="14" t="n">
        <v>43374</v>
      </c>
      <c r="D651" s="13" t="s">
        <v>1721</v>
      </c>
      <c r="E651" s="15" t="s">
        <v>789</v>
      </c>
      <c r="F651" s="15" t="str">
        <f aca="false">IFERROR(__xludf.dummyfunction("XLOOKUP(AJ651,IMPORTRANGE(""1XaInW9DU9nz21V0tYIfzFQ0He9kVQ_JF2mCXgZ3hqFA"",""REKAP ALL 2026 - Andika!G:G""),IMPORTRANGE(""1XaInW9DU9nz21V0tYIfzFQ0He9kVQ_JF2mCXgZ3hqFA"",""REKAP ALL 2026 - Andika!F:F""),"""",0)"),"21096162199")</f>
        <v>21096162199</v>
      </c>
      <c r="G651" s="13" t="s">
        <v>2910</v>
      </c>
      <c r="H651" s="13" t="s">
        <v>35</v>
      </c>
      <c r="I651" s="13" t="str">
        <f aca="false">IF(C651=J651,"NEW KONTRAK","RE-KONTRAK")</f>
        <v>RE-KONTRAK</v>
      </c>
      <c r="J651" s="16" t="n">
        <f aca="false" t="array" ref="J651:J651">IFERROR(INDEX(AC651:AE651,IF(COUNTA(AC651:AE651)=0,"",MAX((AC651:AE651&lt;&gt;"")*(COLUMN(AC651:AE651)-(COLUMN(AC651)))))-1),"")</f>
        <v>45659</v>
      </c>
      <c r="K651" s="16" t="n">
        <f aca="false" t="array" ref="K651:K651">IFERROR(INDEX(AC651:AE651,IF(COUNTA(AC651:AE651)=0,"",MAX((AC651:AE651&lt;&gt;"")*(COLUMN(AC651:AE651)-(COLUMN(AC651)-1))))-1),"")</f>
        <v>46015</v>
      </c>
      <c r="L651" s="17" t="str">
        <f aca="false" t="array" ref="L651:L651">IFERROR(INDEX(AC651:AE651,IF(COUNTA(AC651:AE651)=0,"",MAX((AC651:AE651&lt;&gt;"")*(COLUMN(AC651:AE651)-(COLUMN(AC651)-2))))-1),"")</f>
        <v>ARCHIVED</v>
      </c>
      <c r="M651" s="13" t="n">
        <f aca="true">K651-TODAY()</f>
        <v>-309</v>
      </c>
      <c r="N651" s="18" t="s">
        <v>728</v>
      </c>
      <c r="O651" s="13" t="s">
        <v>2911</v>
      </c>
      <c r="P651" s="19" t="n">
        <v>5444909</v>
      </c>
      <c r="Q651" s="20" t="s">
        <v>2912</v>
      </c>
      <c r="R651" s="13" t="s">
        <v>52</v>
      </c>
      <c r="S651" s="14" t="n">
        <v>35132</v>
      </c>
      <c r="T651" s="13" t="s">
        <v>40</v>
      </c>
      <c r="U651" s="13" t="s">
        <v>2913</v>
      </c>
      <c r="V651" s="13" t="s">
        <v>42</v>
      </c>
      <c r="W651" s="13" t="s">
        <v>43</v>
      </c>
      <c r="X651" s="21" t="n">
        <v>83830378489</v>
      </c>
      <c r="Y651" s="22" t="str">
        <f aca="false">O651</f>
        <v>EHSF Operator</v>
      </c>
      <c r="Z651" s="13" t="str">
        <f aca="false">IFERROR(__xludf.dummyfunction("if(BJ651="""","""",GOOGLETRANSLATE(BJ651,""auto"",""en""))"),"EHSF Operator")</f>
        <v>EHSF Operator</v>
      </c>
      <c r="AA651" s="23" t="str">
        <f aca="false">IF(C651="","", CHOOSE(MONTH(C651),"January","February","March","April","May","June","July","August","September","October","November","December")&amp;" "&amp;DAY(C651)&amp;MID("thstndrdth",MIN(9,2*RIGHT(DAY(C651))*(MOD(DAY(C651)-11,100)&gt;2)+1),2)&amp;","&amp;TEXT(C651," yyyy"))</f>
        <v>October 1st,2018</v>
      </c>
      <c r="AB651" s="15" t="str">
        <f aca="true">IF(S651="","",DATEDIF(S651,TODAY(),"Y")&amp;" Tahun, "&amp;DATEDIF(S651,TODAY(),"YM")&amp;" Bulan, "&amp;DATEDIF(S651,TODAY(),"MD")&amp;" Hari")</f>
        <v>30 Tahun, 7 Bulan, 21 Hari</v>
      </c>
      <c r="AC651" s="18" t="n">
        <v>45659</v>
      </c>
      <c r="AD651" s="18" t="n">
        <v>46015</v>
      </c>
      <c r="AE651" s="18" t="s">
        <v>44</v>
      </c>
    </row>
    <row r="652" customFormat="false" ht="15.75" hidden="false" customHeight="true" outlineLevel="0" collapsed="false">
      <c r="A652" s="12" t="n">
        <v>4686</v>
      </c>
      <c r="B652" s="13" t="s">
        <v>2914</v>
      </c>
      <c r="C652" s="14" t="n">
        <v>44525</v>
      </c>
      <c r="D652" s="13" t="s">
        <v>774</v>
      </c>
      <c r="E652" s="15" t="s">
        <v>47</v>
      </c>
      <c r="F652" s="15" t="str">
        <f aca="false">IFERROR(__xludf.dummyfunction("XLOOKUP(AJ652,IMPORTRANGE(""1XaInW9DU9nz21V0tYIfzFQ0He9kVQ_JF2mCXgZ3hqFA"",""REKAP ALL 2026 - Andika!G:G""),IMPORTRANGE(""1XaInW9DU9nz21V0tYIfzFQ0He9kVQ_JF2mCXgZ3hqFA"",""REKAP ALL 2026 - Andika!F:F""),"""",0)"),"22004233395")</f>
        <v>22004233395</v>
      </c>
      <c r="G652" s="13" t="s">
        <v>2915</v>
      </c>
      <c r="H652" s="13" t="s">
        <v>49</v>
      </c>
      <c r="I652" s="13" t="str">
        <f aca="false">IF(C652=J652,"NEW KONTRAK","RE-KONTRAK")</f>
        <v>RE-KONTRAK</v>
      </c>
      <c r="J652" s="16" t="n">
        <f aca="false" t="array" ref="J652:J652">IFERROR(INDEX(AC652:AE652,IF(COUNTA(AC652:AE652)=0,"",MAX((AC652:AE652&lt;&gt;"")*(COLUMN(AC652:AE652)-(COLUMN(AC652)))))-1),"")</f>
        <v>45566</v>
      </c>
      <c r="K652" s="16" t="n">
        <f aca="false" t="array" ref="K652:K652">IFERROR(INDEX(AC652:AE652,IF(COUNTA(AC652:AE652)=0,"",MAX((AC652:AE652&lt;&gt;"")*(COLUMN(AC652:AE652)-(COLUMN(AC652)-1))))-1),"")</f>
        <v>45930</v>
      </c>
      <c r="L652" s="17" t="str">
        <f aca="false" t="array" ref="L652:L652">IFERROR(INDEX(AC652:AE652,IF(COUNTA(AC652:AE652)=0,"",MAX((AC652:AE652&lt;&gt;"")*(COLUMN(AC652:AE652)-(COLUMN(AC652)-2))))-1),"")</f>
        <v>ARCHIVED</v>
      </c>
      <c r="M652" s="13" t="n">
        <f aca="true">K652-TODAY()</f>
        <v>-394</v>
      </c>
      <c r="N652" s="18" t="s">
        <v>36</v>
      </c>
      <c r="O652" s="13" t="s">
        <v>2916</v>
      </c>
      <c r="P652" s="19" t="n">
        <v>4750000</v>
      </c>
      <c r="Q652" s="20" t="s">
        <v>2917</v>
      </c>
      <c r="R652" s="13" t="s">
        <v>232</v>
      </c>
      <c r="S652" s="14" t="n">
        <v>26126</v>
      </c>
      <c r="T652" s="13" t="s">
        <v>40</v>
      </c>
      <c r="U652" s="13" t="s">
        <v>2918</v>
      </c>
      <c r="V652" s="13" t="s">
        <v>42</v>
      </c>
      <c r="W652" s="13" t="s">
        <v>54</v>
      </c>
      <c r="X652" s="21" t="n">
        <v>85748014759</v>
      </c>
      <c r="Y652" s="22" t="str">
        <f aca="false">O652</f>
        <v>Forklift</v>
      </c>
      <c r="Z652" s="13" t="str">
        <f aca="false">IFERROR(__xludf.dummyfunction("if(BJ652="""","""",GOOGLETRANSLATE(BJ652,""auto"",""en""))"),"Forklift")</f>
        <v>Forklift</v>
      </c>
      <c r="AA652" s="23" t="str">
        <f aca="false">IF(C652="","", CHOOSE(MONTH(C652),"January","February","March","April","May","June","July","August","September","October","November","December")&amp;" "&amp;DAY(C652)&amp;MID("thstndrdth",MIN(9,2*RIGHT(DAY(C652))*(MOD(DAY(C652)-11,100)&gt;2)+1),2)&amp;","&amp;TEXT(C652," yyyy"))</f>
        <v>November 25th,2021</v>
      </c>
      <c r="AB652" s="15" t="str">
        <f aca="true">IF(S652="","",DATEDIF(S652,TODAY(),"Y")&amp;" Tahun, "&amp;DATEDIF(S652,TODAY(),"YM")&amp;" Bulan, "&amp;DATEDIF(S652,TODAY(),"MD")&amp;" Hari")</f>
        <v>55 Tahun, 3 Bulan, 17 Hari</v>
      </c>
      <c r="AC652" s="18" t="n">
        <v>45566</v>
      </c>
      <c r="AD652" s="18" t="n">
        <v>45930</v>
      </c>
      <c r="AE652" s="18" t="s">
        <v>44</v>
      </c>
    </row>
    <row r="653" customFormat="false" ht="15.75" hidden="false" customHeight="true" outlineLevel="0" collapsed="false">
      <c r="A653" s="12" t="n">
        <v>4687</v>
      </c>
      <c r="B653" s="13" t="s">
        <v>2919</v>
      </c>
      <c r="C653" s="14" t="n">
        <v>44555</v>
      </c>
      <c r="D653" s="13" t="s">
        <v>774</v>
      </c>
      <c r="E653" s="15" t="s">
        <v>47</v>
      </c>
      <c r="F653" s="15" t="str">
        <f aca="false">IFERROR(__xludf.dummyfunction("XLOOKUP(AJ653,IMPORTRANGE(""1XaInW9DU9nz21V0tYIfzFQ0He9kVQ_JF2mCXgZ3hqFA"",""REKAP ALL 2026 - Andika!G:G""),IMPORTRANGE(""1XaInW9DU9nz21V0tYIfzFQ0He9kVQ_JF2mCXgZ3hqFA"",""REKAP ALL 2026 - Andika!F:F""),"""",0)"),"22015031838")</f>
        <v>22015031838</v>
      </c>
      <c r="G653" s="13" t="s">
        <v>2920</v>
      </c>
      <c r="H653" s="13" t="s">
        <v>49</v>
      </c>
      <c r="I653" s="13" t="str">
        <f aca="false">IF(C653=J653,"NEW KONTRAK","RE-KONTRAK")</f>
        <v>RE-KONTRAK</v>
      </c>
      <c r="J653" s="16" t="n">
        <f aca="false" t="array" ref="J653:J653">IFERROR(INDEX(AC653:AE653,IF(COUNTA(AC653:AE653)=0,"",MAX((AC653:AE653&lt;&gt;"")*(COLUMN(AC653:AE653)-(COLUMN(AC653)))))-1),"")</f>
        <v>45566</v>
      </c>
      <c r="K653" s="16" t="n">
        <f aca="false" t="array" ref="K653:K653">IFERROR(INDEX(AC653:AE653,IF(COUNTA(AC653:AE653)=0,"",MAX((AC653:AE653&lt;&gt;"")*(COLUMN(AC653:AE653)-(COLUMN(AC653)-1))))-1),"")</f>
        <v>45930</v>
      </c>
      <c r="L653" s="17" t="str">
        <f aca="false" t="array" ref="L653:L653">IFERROR(INDEX(AC653:AE653,IF(COUNTA(AC653:AE653)=0,"",MAX((AC653:AE653&lt;&gt;"")*(COLUMN(AC653:AE653)-(COLUMN(AC653)-2))))-1),"")</f>
        <v>ARCHIVED</v>
      </c>
      <c r="M653" s="13" t="n">
        <f aca="true">K653-TODAY()</f>
        <v>-394</v>
      </c>
      <c r="N653" s="18" t="s">
        <v>36</v>
      </c>
      <c r="O653" s="13" t="s">
        <v>2921</v>
      </c>
      <c r="P653" s="19" t="n">
        <v>6500000</v>
      </c>
      <c r="Q653" s="20" t="s">
        <v>2922</v>
      </c>
      <c r="R653" s="13" t="s">
        <v>52</v>
      </c>
      <c r="S653" s="14" t="n">
        <v>34442</v>
      </c>
      <c r="T653" s="13" t="s">
        <v>40</v>
      </c>
      <c r="U653" s="13" t="s">
        <v>2923</v>
      </c>
      <c r="V653" s="13" t="s">
        <v>42</v>
      </c>
      <c r="W653" s="13" t="s">
        <v>43</v>
      </c>
      <c r="X653" s="21" t="n">
        <v>89523509048</v>
      </c>
      <c r="Y653" s="22" t="str">
        <f aca="false">O653</f>
        <v>Ewg</v>
      </c>
      <c r="Z653" s="13" t="str">
        <f aca="false">IFERROR(__xludf.dummyfunction("if(BJ653="""","""",GOOGLETRANSLATE(BJ653,""auto"",""en""))"),"Ewg")</f>
        <v>Ewg</v>
      </c>
      <c r="AA653" s="23" t="str">
        <f aca="false">IF(C653="","", CHOOSE(MONTH(C653),"January","February","March","April","May","June","July","August","September","October","November","December")&amp;" "&amp;DAY(C653)&amp;MID("thstndrdth",MIN(9,2*RIGHT(DAY(C653))*(MOD(DAY(C653)-11,100)&gt;2)+1),2)&amp;","&amp;TEXT(C653," yyyy"))</f>
        <v>December 25th,2021</v>
      </c>
      <c r="AB653" s="15" t="str">
        <f aca="true">IF(S653="","",DATEDIF(S653,TODAY(),"Y")&amp;" Tahun, "&amp;DATEDIF(S653,TODAY(),"YM")&amp;" Bulan, "&amp;DATEDIF(S653,TODAY(),"MD")&amp;" Hari")</f>
        <v>32 Tahun, 6 Bulan, 11 Hari</v>
      </c>
      <c r="AC653" s="18" t="n">
        <v>45566</v>
      </c>
      <c r="AD653" s="18" t="n">
        <v>45930</v>
      </c>
      <c r="AE653" s="18" t="s">
        <v>44</v>
      </c>
    </row>
    <row r="654" customFormat="false" ht="15.75" hidden="false" customHeight="true" outlineLevel="0" collapsed="false">
      <c r="A654" s="12" t="n">
        <v>4688</v>
      </c>
      <c r="B654" s="13" t="s">
        <v>2924</v>
      </c>
      <c r="C654" s="14" t="n">
        <v>44555</v>
      </c>
      <c r="D654" s="13" t="s">
        <v>774</v>
      </c>
      <c r="E654" s="15" t="s">
        <v>47</v>
      </c>
      <c r="F654" s="15" t="str">
        <f aca="false">IFERROR(__xludf.dummyfunction("XLOOKUP(AJ654,IMPORTRANGE(""1XaInW9DU9nz21V0tYIfzFQ0He9kVQ_JF2mCXgZ3hqFA"",""REKAP ALL 2026 - Andika!G:G""),IMPORTRANGE(""1XaInW9DU9nz21V0tYIfzFQ0He9kVQ_JF2mCXgZ3hqFA"",""REKAP ALL 2026 - Andika!F:F""),"""",0)"),"01N00232481")</f>
        <v>01N00232481</v>
      </c>
      <c r="G654" s="13" t="s">
        <v>2925</v>
      </c>
      <c r="H654" s="13" t="s">
        <v>49</v>
      </c>
      <c r="I654" s="13" t="str">
        <f aca="false">IF(C654=J654,"NEW KONTRAK","RE-KONTRAK")</f>
        <v>RE-KONTRAK</v>
      </c>
      <c r="J654" s="16" t="n">
        <f aca="false" t="array" ref="J654:J654">IFERROR(INDEX(AC654:AE654,IF(COUNTA(AC654:AE654)=0,"",MAX((AC654:AE654&lt;&gt;"")*(COLUMN(AC654:AE654)-(COLUMN(AC654)))))-1),"")</f>
        <v>45566</v>
      </c>
      <c r="K654" s="16" t="n">
        <f aca="false" t="array" ref="K654:K654">IFERROR(INDEX(AC654:AE654,IF(COUNTA(AC654:AE654)=0,"",MAX((AC654:AE654&lt;&gt;"")*(COLUMN(AC654:AE654)-(COLUMN(AC654)-1))))-1),"")</f>
        <v>45930</v>
      </c>
      <c r="L654" s="17" t="str">
        <f aca="false" t="array" ref="L654:L654">IFERROR(INDEX(AC654:AE654,IF(COUNTA(AC654:AE654)=0,"",MAX((AC654:AE654&lt;&gt;"")*(COLUMN(AC654:AE654)-(COLUMN(AC654)-2))))-1),"")</f>
        <v>ARCHIVED</v>
      </c>
      <c r="M654" s="13" t="n">
        <f aca="true">K654-TODAY()</f>
        <v>-394</v>
      </c>
      <c r="N654" s="18" t="s">
        <v>36</v>
      </c>
      <c r="O654" s="13" t="s">
        <v>2926</v>
      </c>
      <c r="P654" s="19" t="n">
        <v>5195500</v>
      </c>
      <c r="Q654" s="20" t="s">
        <v>2927</v>
      </c>
      <c r="R654" s="13" t="s">
        <v>735</v>
      </c>
      <c r="S654" s="14" t="n">
        <v>30110</v>
      </c>
      <c r="T654" s="13" t="s">
        <v>40</v>
      </c>
      <c r="U654" s="13" t="s">
        <v>2928</v>
      </c>
      <c r="V654" s="13" t="s">
        <v>42</v>
      </c>
      <c r="W654" s="13" t="s">
        <v>43</v>
      </c>
      <c r="X654" s="21" t="n">
        <v>895335565355</v>
      </c>
      <c r="Y654" s="22" t="str">
        <f aca="false">O654</f>
        <v>Gudang Submat</v>
      </c>
      <c r="Z654" s="13" t="str">
        <f aca="false">IFERROR(__xludf.dummyfunction("if(BJ654="""","""",GOOGLETRANSLATE(BJ654,""auto"",""en""))"),"Submat Warehouse")</f>
        <v>Submat Warehouse</v>
      </c>
      <c r="AA654" s="23" t="str">
        <f aca="false">IF(C654="","", CHOOSE(MONTH(C654),"January","February","March","April","May","June","July","August","September","October","November","December")&amp;" "&amp;DAY(C654)&amp;MID("thstndrdth",MIN(9,2*RIGHT(DAY(C654))*(MOD(DAY(C654)-11,100)&gt;2)+1),2)&amp;","&amp;TEXT(C654," yyyy"))</f>
        <v>December 25th,2021</v>
      </c>
      <c r="AB654" s="15" t="str">
        <f aca="true">IF(S654="","",DATEDIF(S654,TODAY(),"Y")&amp;" Tahun, "&amp;DATEDIF(S654,TODAY(),"YM")&amp;" Bulan, "&amp;DATEDIF(S654,TODAY(),"MD")&amp;" Hari")</f>
        <v>44 Tahun, 4 Bulan, 21 Hari</v>
      </c>
      <c r="AC654" s="18" t="n">
        <v>45566</v>
      </c>
      <c r="AD654" s="18" t="n">
        <v>45930</v>
      </c>
      <c r="AE654" s="18" t="s">
        <v>44</v>
      </c>
    </row>
    <row r="655" customFormat="false" ht="15.75" hidden="false" customHeight="true" outlineLevel="0" collapsed="false">
      <c r="A655" s="12" t="n">
        <v>4954</v>
      </c>
      <c r="B655" s="13" t="s">
        <v>2929</v>
      </c>
      <c r="C655" s="14" t="n">
        <v>44594</v>
      </c>
      <c r="D655" s="13" t="s">
        <v>101</v>
      </c>
      <c r="E655" s="15" t="s">
        <v>102</v>
      </c>
      <c r="F655" s="15" t="str">
        <f aca="false">IFERROR(__xludf.dummyfunction("XLOOKUP(AJ655,IMPORTRANGE(""1XaInW9DU9nz21V0tYIfzFQ0He9kVQ_JF2mCXgZ3hqFA"",""REKAP ALL 2026 - Andika!G:G""),IMPORTRANGE(""1XaInW9DU9nz21V0tYIfzFQ0He9kVQ_JF2mCXgZ3hqFA"",""REKAP ALL 2026 - Andika!F:F""),"""",0)"),"22015026010")</f>
        <v>22015026010</v>
      </c>
      <c r="G655" s="13" t="s">
        <v>2930</v>
      </c>
      <c r="H655" s="13" t="s">
        <v>35</v>
      </c>
      <c r="I655" s="13" t="str">
        <f aca="false">IF(C655=J655,"NEW KONTRAK","RE-KONTRAK")</f>
        <v>RE-KONTRAK</v>
      </c>
      <c r="J655" s="16" t="n">
        <f aca="false" t="array" ref="J655:J655">IFERROR(INDEX(AC655:AE655,IF(COUNTA(AC655:AE655)=0,"",MAX((AC655:AE655&lt;&gt;"")*(COLUMN(AC655:AE655)-(COLUMN(AC655)))))-1),"")</f>
        <v>45672</v>
      </c>
      <c r="K655" s="16" t="n">
        <f aca="false" t="array" ref="K655:K655">IFERROR(INDEX(AC655:AE655,IF(COUNTA(AC655:AE655)=0,"",MAX((AC655:AE655&lt;&gt;"")*(COLUMN(AC655:AE655)-(COLUMN(AC655)-1))))-1),"")</f>
        <v>46036</v>
      </c>
      <c r="L655" s="17" t="str">
        <f aca="false" t="array" ref="L655:L655">IFERROR(INDEX(AC655:AE655,IF(COUNTA(AC655:AE655)=0,"",MAX((AC655:AE655&lt;&gt;"")*(COLUMN(AC655:AE655)-(COLUMN(AC655)-2))))-1),"")</f>
        <v>ARCHIVED</v>
      </c>
      <c r="M655" s="13" t="n">
        <f aca="true">K655-TODAY()</f>
        <v>-288</v>
      </c>
      <c r="N655" s="18" t="s">
        <v>105</v>
      </c>
      <c r="O655" s="13" t="s">
        <v>106</v>
      </c>
      <c r="P655" s="19" t="n">
        <v>132300</v>
      </c>
      <c r="Q655" s="20" t="s">
        <v>2931</v>
      </c>
      <c r="R655" s="13" t="s">
        <v>260</v>
      </c>
      <c r="S655" s="25" t="n">
        <v>37017</v>
      </c>
      <c r="T655" s="13" t="s">
        <v>40</v>
      </c>
      <c r="U655" s="13" t="s">
        <v>2932</v>
      </c>
      <c r="V655" s="13" t="s">
        <v>42</v>
      </c>
      <c r="W655" s="13" t="s">
        <v>43</v>
      </c>
      <c r="X655" s="21" t="n">
        <v>85706898092</v>
      </c>
      <c r="Y655" s="22" t="str">
        <f aca="false">O655</f>
        <v>Produksi - Helper</v>
      </c>
      <c r="Z655" s="13" t="str">
        <f aca="false">IFERROR(__xludf.dummyfunction("if(BJ655="""","""",GOOGLETRANSLATE(BJ655,""auto"",""en""))"),"Production - Helper")</f>
        <v>Production - Helper</v>
      </c>
      <c r="AA655" s="23" t="str">
        <f aca="false">IF(C655="","", CHOOSE(MONTH(C655),"January","February","March","April","May","June","July","August","September","October","November","December")&amp;" "&amp;DAY(C655)&amp;MID("thstndrdth",MIN(9,2*RIGHT(DAY(C655))*(MOD(DAY(C655)-11,100)&gt;2)+1),2)&amp;","&amp;TEXT(C655," yyyy"))</f>
        <v>February 2nd,2022</v>
      </c>
      <c r="AB655" s="15" t="str">
        <f aca="true">IF(S655="","",DATEDIF(S655,TODAY(),"Y")&amp;" Tahun, "&amp;DATEDIF(S655,TODAY(),"YM")&amp;" Bulan, "&amp;DATEDIF(S655,TODAY(),"MD")&amp;" Hari")</f>
        <v>25 Tahun, 5 Bulan, 23 Hari</v>
      </c>
      <c r="AC655" s="18" t="n">
        <v>45672</v>
      </c>
      <c r="AD655" s="18" t="n">
        <v>46036</v>
      </c>
      <c r="AE655" s="18" t="s">
        <v>44</v>
      </c>
    </row>
    <row r="656" customFormat="false" ht="15.75" hidden="false" customHeight="true" outlineLevel="0" collapsed="false">
      <c r="A656" s="12" t="n">
        <v>4956</v>
      </c>
      <c r="B656" s="13" t="s">
        <v>2933</v>
      </c>
      <c r="C656" s="14" t="n">
        <v>44594</v>
      </c>
      <c r="D656" s="13" t="s">
        <v>101</v>
      </c>
      <c r="E656" s="15" t="s">
        <v>102</v>
      </c>
      <c r="F656" s="15" t="str">
        <f aca="false">IFERROR(__xludf.dummyfunction("XLOOKUP(AJ656,IMPORTRANGE(""1XaInW9DU9nz21V0tYIfzFQ0He9kVQ_JF2mCXgZ3hqFA"",""REKAP ALL 2026 - Andika!G:G""),IMPORTRANGE(""1XaInW9DU9nz21V0tYIfzFQ0He9kVQ_JF2mCXgZ3hqFA"",""REKAP ALL 2026 - Andika!F:F""),"""",0)"),"22015026176")</f>
        <v>22015026176</v>
      </c>
      <c r="G656" s="13" t="s">
        <v>2934</v>
      </c>
      <c r="H656" s="13" t="s">
        <v>35</v>
      </c>
      <c r="I656" s="13" t="str">
        <f aca="false">IF(C656=J656,"NEW KONTRAK","RE-KONTRAK")</f>
        <v>RE-KONTRAK</v>
      </c>
      <c r="J656" s="16" t="n">
        <f aca="false" t="array" ref="J656:J656">IFERROR(INDEX(AC656:AE656,IF(COUNTA(AC656:AE656)=0,"",MAX((AC656:AE656&lt;&gt;"")*(COLUMN(AC656:AE656)-(COLUMN(AC656)))))-1),"")</f>
        <v>45672</v>
      </c>
      <c r="K656" s="16" t="n">
        <f aca="false" t="array" ref="K656:K656">IFERROR(INDEX(AC656:AE656,IF(COUNTA(AC656:AE656)=0,"",MAX((AC656:AE656&lt;&gt;"")*(COLUMN(AC656:AE656)-(COLUMN(AC656)-1))))-1),"")</f>
        <v>46036</v>
      </c>
      <c r="L656" s="17" t="str">
        <f aca="false" t="array" ref="L656:L656">IFERROR(INDEX(AC656:AE656,IF(COUNTA(AC656:AE656)=0,"",MAX((AC656:AE656&lt;&gt;"")*(COLUMN(AC656:AE656)-(COLUMN(AC656)-2))))-1),"")</f>
        <v>ARCHIVED</v>
      </c>
      <c r="M656" s="13" t="n">
        <f aca="true">K656-TODAY()</f>
        <v>-288</v>
      </c>
      <c r="N656" s="18" t="s">
        <v>105</v>
      </c>
      <c r="O656" s="13" t="s">
        <v>106</v>
      </c>
      <c r="P656" s="19" t="n">
        <v>132300</v>
      </c>
      <c r="Q656" s="20" t="s">
        <v>2935</v>
      </c>
      <c r="R656" s="13" t="s">
        <v>255</v>
      </c>
      <c r="S656" s="25" t="n">
        <v>36542</v>
      </c>
      <c r="T656" s="13" t="s">
        <v>40</v>
      </c>
      <c r="U656" s="13" t="s">
        <v>2936</v>
      </c>
      <c r="V656" s="13" t="s">
        <v>42</v>
      </c>
      <c r="W656" s="13" t="s">
        <v>43</v>
      </c>
      <c r="X656" s="21" t="n">
        <v>8979665701</v>
      </c>
      <c r="Y656" s="22" t="str">
        <f aca="false">O656</f>
        <v>Produksi - Helper</v>
      </c>
      <c r="Z656" s="13" t="str">
        <f aca="false">IFERROR(__xludf.dummyfunction("if(BJ656="""","""",GOOGLETRANSLATE(BJ656,""auto"",""en""))"),"Production - Helper")</f>
        <v>Production - Helper</v>
      </c>
      <c r="AA656" s="23" t="str">
        <f aca="false">IF(C656="","", CHOOSE(MONTH(C656),"January","February","March","April","May","June","July","August","September","October","November","December")&amp;" "&amp;DAY(C656)&amp;MID("thstndrdth",MIN(9,2*RIGHT(DAY(C656))*(MOD(DAY(C656)-11,100)&gt;2)+1),2)&amp;","&amp;TEXT(C656," yyyy"))</f>
        <v>February 2nd,2022</v>
      </c>
      <c r="AB656" s="15" t="str">
        <f aca="true">IF(S656="","",DATEDIF(S656,TODAY(),"Y")&amp;" Tahun, "&amp;DATEDIF(S656,TODAY(),"YM")&amp;" Bulan, "&amp;DATEDIF(S656,TODAY(),"MD")&amp;" Hari")</f>
        <v>26 Tahun, 9 Bulan, 12 Hari</v>
      </c>
      <c r="AC656" s="18" t="n">
        <v>45672</v>
      </c>
      <c r="AD656" s="18" t="n">
        <v>46036</v>
      </c>
      <c r="AE656" s="18" t="s">
        <v>44</v>
      </c>
    </row>
    <row r="657" customFormat="false" ht="15.75" hidden="false" customHeight="true" outlineLevel="0" collapsed="false">
      <c r="A657" s="12" t="n">
        <v>4959</v>
      </c>
      <c r="B657" s="13" t="s">
        <v>2937</v>
      </c>
      <c r="C657" s="14" t="n">
        <v>44594</v>
      </c>
      <c r="D657" s="13" t="s">
        <v>101</v>
      </c>
      <c r="E657" s="15" t="s">
        <v>102</v>
      </c>
      <c r="F657" s="15" t="str">
        <f aca="false">IFERROR(__xludf.dummyfunction("XLOOKUP(AJ657,IMPORTRANGE(""1XaInW9DU9nz21V0tYIfzFQ0He9kVQ_JF2mCXgZ3hqFA"",""REKAP ALL 2026 - Andika!G:G""),IMPORTRANGE(""1XaInW9DU9nz21V0tYIfzFQ0He9kVQ_JF2mCXgZ3hqFA"",""REKAP ALL 2026 - Andika!F:F""),"""",0)"),"22015025921")</f>
        <v>22015025921</v>
      </c>
      <c r="G657" s="13" t="s">
        <v>2938</v>
      </c>
      <c r="H657" s="13" t="s">
        <v>35</v>
      </c>
      <c r="I657" s="13" t="str">
        <f aca="false">IF(C657=J657,"NEW KONTRAK","RE-KONTRAK")</f>
        <v>RE-KONTRAK</v>
      </c>
      <c r="J657" s="16" t="n">
        <f aca="false" t="array" ref="J657:J657">IFERROR(INDEX(AC657:AE657,IF(COUNTA(AC657:AE657)=0,"",MAX((AC657:AE657&lt;&gt;"")*(COLUMN(AC657:AE657)-(COLUMN(AC657)))))-1),"")</f>
        <v>45672</v>
      </c>
      <c r="K657" s="16" t="n">
        <f aca="false" t="array" ref="K657:K657">IFERROR(INDEX(AC657:AE657,IF(COUNTA(AC657:AE657)=0,"",MAX((AC657:AE657&lt;&gt;"")*(COLUMN(AC657:AE657)-(COLUMN(AC657)-1))))-1),"")</f>
        <v>46036</v>
      </c>
      <c r="L657" s="17" t="str">
        <f aca="false" t="array" ref="L657:L657">IFERROR(INDEX(AC657:AE657,IF(COUNTA(AC657:AE657)=0,"",MAX((AC657:AE657&lt;&gt;"")*(COLUMN(AC657:AE657)-(COLUMN(AC657)-2))))-1),"")</f>
        <v>ARCHIVED</v>
      </c>
      <c r="M657" s="13" t="n">
        <f aca="true">K657-TODAY()</f>
        <v>-288</v>
      </c>
      <c r="N657" s="18" t="s">
        <v>105</v>
      </c>
      <c r="O657" s="13" t="s">
        <v>106</v>
      </c>
      <c r="P657" s="19" t="n">
        <v>132300</v>
      </c>
      <c r="Q657" s="20" t="s">
        <v>2939</v>
      </c>
      <c r="R657" s="13" t="s">
        <v>246</v>
      </c>
      <c r="S657" s="25" t="n">
        <v>37277</v>
      </c>
      <c r="T657" s="13" t="s">
        <v>108</v>
      </c>
      <c r="U657" s="13" t="s">
        <v>2940</v>
      </c>
      <c r="V657" s="13" t="s">
        <v>42</v>
      </c>
      <c r="W657" s="13" t="s">
        <v>43</v>
      </c>
      <c r="X657" s="21" t="n">
        <v>83846405588</v>
      </c>
      <c r="Y657" s="22" t="str">
        <f aca="false">O657</f>
        <v>Produksi - Helper</v>
      </c>
      <c r="Z657" s="13" t="str">
        <f aca="false">IFERROR(__xludf.dummyfunction("if(BJ657="""","""",GOOGLETRANSLATE(BJ657,""auto"",""en""))"),"Production - Helper")</f>
        <v>Production - Helper</v>
      </c>
      <c r="AA657" s="23" t="str">
        <f aca="false">IF(C657="","", CHOOSE(MONTH(C657),"January","February","March","April","May","June","July","August","September","October","November","December")&amp;" "&amp;DAY(C657)&amp;MID("thstndrdth",MIN(9,2*RIGHT(DAY(C657))*(MOD(DAY(C657)-11,100)&gt;2)+1),2)&amp;","&amp;TEXT(C657," yyyy"))</f>
        <v>February 2nd,2022</v>
      </c>
      <c r="AB657" s="15" t="str">
        <f aca="true">IF(S657="","",DATEDIF(S657,TODAY(),"Y")&amp;" Tahun, "&amp;DATEDIF(S657,TODAY(),"YM")&amp;" Bulan, "&amp;DATEDIF(S657,TODAY(),"MD")&amp;" Hari")</f>
        <v>24 Tahun, 9 Bulan, 8 Hari</v>
      </c>
      <c r="AC657" s="18" t="n">
        <v>45672</v>
      </c>
      <c r="AD657" s="18" t="n">
        <v>46036</v>
      </c>
      <c r="AE657" s="18" t="s">
        <v>44</v>
      </c>
    </row>
    <row r="658" customFormat="false" ht="15.75" hidden="false" customHeight="true" outlineLevel="0" collapsed="false">
      <c r="A658" s="12" t="n">
        <v>4960</v>
      </c>
      <c r="B658" s="13" t="s">
        <v>2941</v>
      </c>
      <c r="C658" s="14" t="n">
        <v>44594</v>
      </c>
      <c r="D658" s="13" t="s">
        <v>101</v>
      </c>
      <c r="E658" s="15" t="s">
        <v>102</v>
      </c>
      <c r="F658" s="15" t="str">
        <f aca="false">IFERROR(__xludf.dummyfunction("XLOOKUP(AJ658,IMPORTRANGE(""1XaInW9DU9nz21V0tYIfzFQ0He9kVQ_JF2mCXgZ3hqFA"",""REKAP ALL 2026 - Andika!G:G""),IMPORTRANGE(""1XaInW9DU9nz21V0tYIfzFQ0He9kVQ_JF2mCXgZ3hqFA"",""REKAP ALL 2026 - Andika!F:F""),"""",0)"),"22015026051")</f>
        <v>22015026051</v>
      </c>
      <c r="G658" s="13" t="s">
        <v>2942</v>
      </c>
      <c r="H658" s="13" t="s">
        <v>35</v>
      </c>
      <c r="I658" s="13" t="str">
        <f aca="false">IF(C658=J658,"NEW KONTRAK","RE-KONTRAK")</f>
        <v>RE-KONTRAK</v>
      </c>
      <c r="J658" s="16" t="n">
        <f aca="false" t="array" ref="J658:J658">IFERROR(INDEX(AC658:AE658,IF(COUNTA(AC658:AE658)=0,"",MAX((AC658:AE658&lt;&gt;"")*(COLUMN(AC658:AE658)-(COLUMN(AC658)))))-1),"")</f>
        <v>45672</v>
      </c>
      <c r="K658" s="16" t="n">
        <f aca="false" t="array" ref="K658:K658">IFERROR(INDEX(AC658:AE658,IF(COUNTA(AC658:AE658)=0,"",MAX((AC658:AE658&lt;&gt;"")*(COLUMN(AC658:AE658)-(COLUMN(AC658)-1))))-1),"")</f>
        <v>46036</v>
      </c>
      <c r="L658" s="17" t="str">
        <f aca="false" t="array" ref="L658:L658">IFERROR(INDEX(AC658:AE658,IF(COUNTA(AC658:AE658)=0,"",MAX((AC658:AE658&lt;&gt;"")*(COLUMN(AC658:AE658)-(COLUMN(AC658)-2))))-1),"")</f>
        <v>ARCHIVED</v>
      </c>
      <c r="M658" s="13" t="n">
        <f aca="true">K658-TODAY()</f>
        <v>-288</v>
      </c>
      <c r="N658" s="18" t="s">
        <v>105</v>
      </c>
      <c r="O658" s="13" t="s">
        <v>106</v>
      </c>
      <c r="P658" s="19" t="n">
        <v>132300</v>
      </c>
      <c r="Q658" s="20" t="s">
        <v>2943</v>
      </c>
      <c r="R658" s="13" t="s">
        <v>52</v>
      </c>
      <c r="S658" s="25" t="n">
        <v>36984</v>
      </c>
      <c r="T658" s="13" t="s">
        <v>108</v>
      </c>
      <c r="U658" s="13" t="s">
        <v>2944</v>
      </c>
      <c r="V658" s="13" t="s">
        <v>42</v>
      </c>
      <c r="W658" s="13" t="s">
        <v>43</v>
      </c>
      <c r="X658" s="21" t="n">
        <v>89504827732</v>
      </c>
      <c r="Y658" s="22" t="str">
        <f aca="false">O658</f>
        <v>Produksi - Helper</v>
      </c>
      <c r="Z658" s="13" t="str">
        <f aca="false">IFERROR(__xludf.dummyfunction("if(BJ658="""","""",GOOGLETRANSLATE(BJ658,""auto"",""en""))"),"Production - Helper")</f>
        <v>Production - Helper</v>
      </c>
      <c r="AA658" s="23" t="str">
        <f aca="false">IF(C658="","", CHOOSE(MONTH(C658),"January","February","March","April","May","June","July","August","September","October","November","December")&amp;" "&amp;DAY(C658)&amp;MID("thstndrdth",MIN(9,2*RIGHT(DAY(C658))*(MOD(DAY(C658)-11,100)&gt;2)+1),2)&amp;","&amp;TEXT(C658," yyyy"))</f>
        <v>February 2nd,2022</v>
      </c>
      <c r="AB658" s="15" t="str">
        <f aca="true">IF(S658="","",DATEDIF(S658,TODAY(),"Y")&amp;" Tahun, "&amp;DATEDIF(S658,TODAY(),"YM")&amp;" Bulan, "&amp;DATEDIF(S658,TODAY(),"MD")&amp;" Hari")</f>
        <v>25 Tahun, 6 Bulan, 26 Hari</v>
      </c>
      <c r="AC658" s="18" t="n">
        <v>45672</v>
      </c>
      <c r="AD658" s="18" t="n">
        <v>46036</v>
      </c>
      <c r="AE658" s="18" t="s">
        <v>44</v>
      </c>
    </row>
    <row r="659" customFormat="false" ht="15.75" hidden="false" customHeight="true" outlineLevel="0" collapsed="false">
      <c r="A659" s="12" t="n">
        <v>4964</v>
      </c>
      <c r="B659" s="13" t="s">
        <v>2945</v>
      </c>
      <c r="C659" s="14" t="n">
        <v>44594</v>
      </c>
      <c r="D659" s="13" t="s">
        <v>101</v>
      </c>
      <c r="E659" s="15" t="s">
        <v>102</v>
      </c>
      <c r="F659" s="15" t="str">
        <f aca="false">IFERROR(__xludf.dummyfunction("XLOOKUP(AJ659,IMPORTRANGE(""1XaInW9DU9nz21V0tYIfzFQ0He9kVQ_JF2mCXgZ3hqFA"",""REKAP ALL 2026 - Andika!G:G""),IMPORTRANGE(""1XaInW9DU9nz21V0tYIfzFQ0He9kVQ_JF2mCXgZ3hqFA"",""REKAP ALL 2026 - Andika!F:F""),"""",0)"),"22015026150")</f>
        <v>22015026150</v>
      </c>
      <c r="G659" s="13" t="s">
        <v>2946</v>
      </c>
      <c r="H659" s="13" t="s">
        <v>35</v>
      </c>
      <c r="I659" s="13" t="str">
        <f aca="false">IF(C659=J659,"NEW KONTRAK","RE-KONTRAK")</f>
        <v>RE-KONTRAK</v>
      </c>
      <c r="J659" s="16" t="n">
        <f aca="false" t="array" ref="J659:J659">IFERROR(INDEX(AC659:AE659,IF(COUNTA(AC659:AE659)=0,"",MAX((AC659:AE659&lt;&gt;"")*(COLUMN(AC659:AE659)-(COLUMN(AC659)))))-1),"")</f>
        <v>45672</v>
      </c>
      <c r="K659" s="16" t="n">
        <f aca="false" t="array" ref="K659:K659">IFERROR(INDEX(AC659:AE659,IF(COUNTA(AC659:AE659)=0,"",MAX((AC659:AE659&lt;&gt;"")*(COLUMN(AC659:AE659)-(COLUMN(AC659)-1))))-1),"")</f>
        <v>46036</v>
      </c>
      <c r="L659" s="17" t="str">
        <f aca="false" t="array" ref="L659:L659">IFERROR(INDEX(AC659:AE659,IF(COUNTA(AC659:AE659)=0,"",MAX((AC659:AE659&lt;&gt;"")*(COLUMN(AC659:AE659)-(COLUMN(AC659)-2))))-1),"")</f>
        <v>ARCHIVED</v>
      </c>
      <c r="M659" s="13" t="n">
        <f aca="true">K659-TODAY()</f>
        <v>-288</v>
      </c>
      <c r="N659" s="18" t="s">
        <v>105</v>
      </c>
      <c r="O659" s="13" t="s">
        <v>106</v>
      </c>
      <c r="P659" s="19" t="n">
        <v>132300</v>
      </c>
      <c r="Q659" s="20" t="s">
        <v>2947</v>
      </c>
      <c r="R659" s="13" t="s">
        <v>39</v>
      </c>
      <c r="S659" s="25" t="n">
        <v>37280</v>
      </c>
      <c r="T659" s="13" t="s">
        <v>108</v>
      </c>
      <c r="U659" s="13" t="s">
        <v>2948</v>
      </c>
      <c r="V659" s="13" t="s">
        <v>42</v>
      </c>
      <c r="W659" s="13" t="s">
        <v>43</v>
      </c>
      <c r="X659" s="21" t="n">
        <v>85770634081</v>
      </c>
      <c r="Y659" s="22" t="str">
        <f aca="false">O659</f>
        <v>Produksi - Helper</v>
      </c>
      <c r="Z659" s="13" t="str">
        <f aca="false">IFERROR(__xludf.dummyfunction("if(BJ659="""","""",GOOGLETRANSLATE(BJ659,""auto"",""en""))"),"Production - Helper")</f>
        <v>Production - Helper</v>
      </c>
      <c r="AA659" s="23" t="str">
        <f aca="false">IF(C659="","", CHOOSE(MONTH(C659),"January","February","March","April","May","June","July","August","September","October","November","December")&amp;" "&amp;DAY(C659)&amp;MID("thstndrdth",MIN(9,2*RIGHT(DAY(C659))*(MOD(DAY(C659)-11,100)&gt;2)+1),2)&amp;","&amp;TEXT(C659," yyyy"))</f>
        <v>February 2nd,2022</v>
      </c>
      <c r="AB659" s="15" t="str">
        <f aca="true">IF(S659="","",DATEDIF(S659,TODAY(),"Y")&amp;" Tahun, "&amp;DATEDIF(S659,TODAY(),"YM")&amp;" Bulan, "&amp;DATEDIF(S659,TODAY(),"MD")&amp;" Hari")</f>
        <v>24 Tahun, 9 Bulan, 5 Hari</v>
      </c>
      <c r="AC659" s="18" t="n">
        <v>45672</v>
      </c>
      <c r="AD659" s="18" t="n">
        <v>46036</v>
      </c>
      <c r="AE659" s="18" t="s">
        <v>44</v>
      </c>
    </row>
    <row r="660" customFormat="false" ht="15.75" hidden="false" customHeight="true" outlineLevel="0" collapsed="false">
      <c r="A660" s="12" t="n">
        <v>12382</v>
      </c>
      <c r="B660" s="13" t="s">
        <v>2949</v>
      </c>
      <c r="C660" s="14" t="n">
        <v>45108</v>
      </c>
      <c r="D660" s="13" t="s">
        <v>101</v>
      </c>
      <c r="E660" s="15" t="s">
        <v>47</v>
      </c>
      <c r="F660" s="15" t="str">
        <f aca="false">IFERROR(__xludf.dummyfunction("XLOOKUP(AJ660,IMPORTRANGE(""1XaInW9DU9nz21V0tYIfzFQ0He9kVQ_JF2mCXgZ3hqFA"",""REKAP ALL 2026 - Andika!G:G""),IMPORTRANGE(""1XaInW9DU9nz21V0tYIfzFQ0He9kVQ_JF2mCXgZ3hqFA"",""REKAP ALL 2026 - Andika!F:F""),"""",0)"),"23113700860")</f>
        <v>23113700860</v>
      </c>
      <c r="G660" s="13" t="s">
        <v>2950</v>
      </c>
      <c r="H660" s="13" t="s">
        <v>35</v>
      </c>
      <c r="I660" s="13" t="str">
        <f aca="false">IF(C660=J660,"NEW KONTRAK","RE-KONTRAK")</f>
        <v>RE-KONTRAK</v>
      </c>
      <c r="J660" s="16" t="n">
        <f aca="false" t="array" ref="J660:J660">IFERROR(INDEX(AC660:AE660,IF(COUNTA(AC660:AE660)=0,"",MAX((AC660:AE660&lt;&gt;"")*(COLUMN(AC660:AE660)-(COLUMN(AC660)))))-1),"")</f>
        <v>45672</v>
      </c>
      <c r="K660" s="16" t="n">
        <f aca="false" t="array" ref="K660:K660">IFERROR(INDEX(AC660:AE660,IF(COUNTA(AC660:AE660)=0,"",MAX((AC660:AE660&lt;&gt;"")*(COLUMN(AC660:AE660)-(COLUMN(AC660)-1))))-1),"")</f>
        <v>46036</v>
      </c>
      <c r="L660" s="17" t="str">
        <f aca="false" t="array" ref="L660:L660">IFERROR(INDEX(AC660:AE660,IF(COUNTA(AC660:AE660)=0,"",MAX((AC660:AE660&lt;&gt;"")*(COLUMN(AC660:AE660)-(COLUMN(AC660)-2))))-1),"")</f>
        <v>ARCHIVED</v>
      </c>
      <c r="M660" s="13" t="n">
        <f aca="true">K660-TODAY()</f>
        <v>-288</v>
      </c>
      <c r="N660" s="18" t="s">
        <v>105</v>
      </c>
      <c r="O660" s="13" t="s">
        <v>106</v>
      </c>
      <c r="P660" s="31" t="n">
        <v>138915</v>
      </c>
      <c r="Q660" s="20" t="s">
        <v>2951</v>
      </c>
      <c r="R660" s="13" t="s">
        <v>39</v>
      </c>
      <c r="S660" s="25" t="n">
        <v>36085</v>
      </c>
      <c r="T660" s="13" t="s">
        <v>40</v>
      </c>
      <c r="U660" s="13" t="s">
        <v>2952</v>
      </c>
      <c r="V660" s="13" t="s">
        <v>42</v>
      </c>
      <c r="W660" s="13" t="s">
        <v>43</v>
      </c>
      <c r="X660" s="21" t="n">
        <v>82142663247</v>
      </c>
      <c r="Y660" s="22" t="str">
        <f aca="false">O660</f>
        <v>Produksi - Helper</v>
      </c>
      <c r="Z660" s="13" t="str">
        <f aca="false">IFERROR(__xludf.dummyfunction("if(BJ660="""","""",GOOGLETRANSLATE(BJ660,""auto"",""en""))"),"Production - Helper")</f>
        <v>Production - Helper</v>
      </c>
      <c r="AA660" s="23" t="str">
        <f aca="false">IF(C660="","", CHOOSE(MONTH(C660),"January","February","March","April","May","June","July","August","September","October","November","December")&amp;" "&amp;DAY(C660)&amp;MID("thstndrdth",MIN(9,2*RIGHT(DAY(C660))*(MOD(DAY(C660)-11,100)&gt;2)+1),2)&amp;","&amp;TEXT(C660," yyyy"))</f>
        <v>July 1st,2023</v>
      </c>
      <c r="AB660" s="15" t="str">
        <f aca="true">IF(S660="","",DATEDIF(S660,TODAY(),"Y")&amp;" Tahun, "&amp;DATEDIF(S660,TODAY(),"YM")&amp;" Bulan, "&amp;DATEDIF(S660,TODAY(),"MD")&amp;" Hari")</f>
        <v>28 Tahun, 0 Bulan, 12 Hari</v>
      </c>
      <c r="AC660" s="18" t="n">
        <v>45672</v>
      </c>
      <c r="AD660" s="18" t="n">
        <v>46036</v>
      </c>
      <c r="AE660" s="18" t="s">
        <v>44</v>
      </c>
    </row>
    <row r="661" customFormat="false" ht="15.75" hidden="false" customHeight="true" outlineLevel="0" collapsed="false">
      <c r="A661" s="12" t="n">
        <v>4974</v>
      </c>
      <c r="B661" s="13" t="s">
        <v>2953</v>
      </c>
      <c r="C661" s="14" t="n">
        <v>44594</v>
      </c>
      <c r="D661" s="13" t="s">
        <v>101</v>
      </c>
      <c r="E661" s="15" t="s">
        <v>102</v>
      </c>
      <c r="F661" s="15" t="str">
        <f aca="false">IFERROR(__xludf.dummyfunction("XLOOKUP(AJ661,IMPORTRANGE(""1XaInW9DU9nz21V0tYIfzFQ0He9kVQ_JF2mCXgZ3hqFA"",""REKAP ALL 2026 - Andika!G:G""),IMPORTRANGE(""1XaInW9DU9nz21V0tYIfzFQ0He9kVQ_JF2mCXgZ3hqFA"",""REKAP ALL 2026 - Andika!F:F""),"""",0)"),"22015025954")</f>
        <v>22015025954</v>
      </c>
      <c r="G661" s="13" t="s">
        <v>2954</v>
      </c>
      <c r="H661" s="13" t="s">
        <v>35</v>
      </c>
      <c r="I661" s="13" t="str">
        <f aca="false">IF(C661=J661,"NEW KONTRAK","RE-KONTRAK")</f>
        <v>RE-KONTRAK</v>
      </c>
      <c r="J661" s="16" t="n">
        <f aca="false" t="array" ref="J661:J661">IFERROR(INDEX(AC661:AE661,IF(COUNTA(AC661:AE661)=0,"",MAX((AC661:AE661&lt;&gt;"")*(COLUMN(AC661:AE661)-(COLUMN(AC661)))))-1),"")</f>
        <v>45672</v>
      </c>
      <c r="K661" s="16" t="n">
        <f aca="false" t="array" ref="K661:K661">IFERROR(INDEX(AC661:AE661,IF(COUNTA(AC661:AE661)=0,"",MAX((AC661:AE661&lt;&gt;"")*(COLUMN(AC661:AE661)-(COLUMN(AC661)-1))))-1),"")</f>
        <v>46036</v>
      </c>
      <c r="L661" s="17" t="str">
        <f aca="false" t="array" ref="L661:L661">IFERROR(INDEX(AC661:AE661,IF(COUNTA(AC661:AE661)=0,"",MAX((AC661:AE661&lt;&gt;"")*(COLUMN(AC661:AE661)-(COLUMN(AC661)-2))))-1),"")</f>
        <v>ARCHIVED</v>
      </c>
      <c r="M661" s="13" t="n">
        <f aca="true">K661-TODAY()</f>
        <v>-288</v>
      </c>
      <c r="N661" s="18" t="s">
        <v>105</v>
      </c>
      <c r="O661" s="13" t="s">
        <v>106</v>
      </c>
      <c r="P661" s="19" t="n">
        <v>132300</v>
      </c>
      <c r="Q661" s="20" t="s">
        <v>2955</v>
      </c>
      <c r="R661" s="13" t="s">
        <v>52</v>
      </c>
      <c r="S661" s="25" t="n">
        <v>33302</v>
      </c>
      <c r="T661" s="13" t="s">
        <v>108</v>
      </c>
      <c r="U661" s="13" t="s">
        <v>2956</v>
      </c>
      <c r="V661" s="13" t="s">
        <v>42</v>
      </c>
      <c r="W661" s="13" t="s">
        <v>54</v>
      </c>
      <c r="X661" s="21" t="n">
        <v>82131632807</v>
      </c>
      <c r="Y661" s="22" t="str">
        <f aca="false">O661</f>
        <v>Produksi - Helper</v>
      </c>
      <c r="Z661" s="13" t="str">
        <f aca="false">IFERROR(__xludf.dummyfunction("if(BJ661="""","""",GOOGLETRANSLATE(BJ661,""auto"",""en""))"),"Production - Helper")</f>
        <v>Production - Helper</v>
      </c>
      <c r="AA661" s="23" t="str">
        <f aca="false">IF(C661="","", CHOOSE(MONTH(C661),"January","February","March","April","May","June","July","August","September","October","November","December")&amp;" "&amp;DAY(C661)&amp;MID("thstndrdth",MIN(9,2*RIGHT(DAY(C661))*(MOD(DAY(C661)-11,100)&gt;2)+1),2)&amp;","&amp;TEXT(C661," yyyy"))</f>
        <v>February 2nd,2022</v>
      </c>
      <c r="AB661" s="15" t="str">
        <f aca="true">IF(S661="","",DATEDIF(S661,TODAY(),"Y")&amp;" Tahun, "&amp;DATEDIF(S661,TODAY(),"YM")&amp;" Bulan, "&amp;DATEDIF(S661,TODAY(),"MD")&amp;" Hari")</f>
        <v>35 Tahun, 7 Bulan, 24 Hari</v>
      </c>
      <c r="AC661" s="18" t="n">
        <v>45672</v>
      </c>
      <c r="AD661" s="18" t="n">
        <v>46036</v>
      </c>
      <c r="AE661" s="18" t="s">
        <v>44</v>
      </c>
    </row>
    <row r="662" customFormat="false" ht="15.75" hidden="false" customHeight="true" outlineLevel="0" collapsed="false">
      <c r="A662" s="12" t="n">
        <v>1908</v>
      </c>
      <c r="B662" s="13" t="s">
        <v>2957</v>
      </c>
      <c r="C662" s="14" t="n">
        <v>43845</v>
      </c>
      <c r="D662" s="13" t="s">
        <v>101</v>
      </c>
      <c r="E662" s="15" t="s">
        <v>47</v>
      </c>
      <c r="F662" s="15" t="str">
        <f aca="false">IFERROR(__xludf.dummyfunction("XLOOKUP(AJ662,IMPORTRANGE(""1XaInW9DU9nz21V0tYIfzFQ0He9kVQ_JF2mCXgZ3hqFA"",""REKAP ALL 2026 - Andika!G:G""),IMPORTRANGE(""1XaInW9DU9nz21V0tYIfzFQ0He9kVQ_JF2mCXgZ3hqFA"",""REKAP ALL 2026 - Andika!F:F""),"""",0)"),"20021315187")</f>
        <v>20021315187</v>
      </c>
      <c r="G662" s="13" t="s">
        <v>2958</v>
      </c>
      <c r="H662" s="13" t="s">
        <v>35</v>
      </c>
      <c r="I662" s="13" t="str">
        <f aca="false">IF(C662=J662,"NEW KONTRAK","RE-KONTRAK")</f>
        <v>RE-KONTRAK</v>
      </c>
      <c r="J662" s="16" t="n">
        <f aca="false" t="array" ref="J662:J662">IFERROR(INDEX(AC662:AE662,IF(COUNTA(AC662:AE662)=0,"",MAX((AC662:AE662&lt;&gt;"")*(COLUMN(AC662:AE662)-(COLUMN(AC662)))))-1),"")</f>
        <v>45672</v>
      </c>
      <c r="K662" s="16" t="n">
        <f aca="false" t="array" ref="K662:K662">IFERROR(INDEX(AC662:AE662,IF(COUNTA(AC662:AE662)=0,"",MAX((AC662:AE662&lt;&gt;"")*(COLUMN(AC662:AE662)-(COLUMN(AC662)-1))))-1),"")</f>
        <v>46036</v>
      </c>
      <c r="L662" s="17" t="str">
        <f aca="false" t="array" ref="L662:L662">IFERROR(INDEX(AC662:AE662,IF(COUNTA(AC662:AE662)=0,"",MAX((AC662:AE662&lt;&gt;"")*(COLUMN(AC662:AE662)-(COLUMN(AC662)-2))))-1),"")</f>
        <v>ARCHIVED</v>
      </c>
      <c r="M662" s="13" t="n">
        <f aca="true">K662-TODAY()</f>
        <v>-288</v>
      </c>
      <c r="N662" s="18" t="s">
        <v>105</v>
      </c>
      <c r="O662" s="13" t="s">
        <v>106</v>
      </c>
      <c r="P662" s="31" t="n">
        <v>138915</v>
      </c>
      <c r="Q662" s="20" t="s">
        <v>2959</v>
      </c>
      <c r="R662" s="13" t="s">
        <v>260</v>
      </c>
      <c r="S662" s="25" t="n">
        <v>33944</v>
      </c>
      <c r="T662" s="13" t="s">
        <v>108</v>
      </c>
      <c r="U662" s="13" t="s">
        <v>2960</v>
      </c>
      <c r="V662" s="13" t="s">
        <v>42</v>
      </c>
      <c r="W662" s="13" t="s">
        <v>54</v>
      </c>
      <c r="X662" s="21" t="n">
        <v>81230960768</v>
      </c>
      <c r="Y662" s="22" t="str">
        <f aca="false">O662</f>
        <v>Produksi - Helper</v>
      </c>
      <c r="Z662" s="13" t="str">
        <f aca="false">IFERROR(__xludf.dummyfunction("if(BJ662="""","""",GOOGLETRANSLATE(BJ662,""auto"",""en""))"),"Production - Helper")</f>
        <v>Production - Helper</v>
      </c>
      <c r="AA662" s="23" t="str">
        <f aca="false">IF(C662="","", CHOOSE(MONTH(C662),"January","February","March","April","May","June","July","August","September","October","November","December")&amp;" "&amp;DAY(C662)&amp;MID("thstndrdth",MIN(9,2*RIGHT(DAY(C662))*(MOD(DAY(C662)-11,100)&gt;2)+1),2)&amp;","&amp;TEXT(C662," yyyy"))</f>
        <v>January 15th,2020</v>
      </c>
      <c r="AB662" s="15" t="str">
        <f aca="true">IF(S662="","",DATEDIF(S662,TODAY(),"Y")&amp;" Tahun, "&amp;DATEDIF(S662,TODAY(),"YM")&amp;" Bulan, "&amp;DATEDIF(S662,TODAY(),"MD")&amp;" Hari")</f>
        <v>33 Tahun, 10 Bulan, 23 Hari</v>
      </c>
      <c r="AC662" s="18" t="n">
        <v>45672</v>
      </c>
      <c r="AD662" s="18" t="n">
        <v>46036</v>
      </c>
      <c r="AE662" s="18" t="s">
        <v>44</v>
      </c>
    </row>
    <row r="663" customFormat="false" ht="15.75" hidden="false" customHeight="true" outlineLevel="0" collapsed="false">
      <c r="A663" s="12" t="n">
        <v>3250</v>
      </c>
      <c r="B663" s="13" t="s">
        <v>2961</v>
      </c>
      <c r="C663" s="14" t="n">
        <v>44442</v>
      </c>
      <c r="D663" s="13" t="s">
        <v>101</v>
      </c>
      <c r="E663" s="15" t="s">
        <v>47</v>
      </c>
      <c r="F663" s="15" t="str">
        <f aca="false">IFERROR(__xludf.dummyfunction("XLOOKUP(AJ663,IMPORTRANGE(""1XaInW9DU9nz21V0tYIfzFQ0He9kVQ_JF2mCXgZ3hqFA"",""REKAP ALL 2026 - Andika!G:G""),IMPORTRANGE(""1XaInW9DU9nz21V0tYIfzFQ0He9kVQ_JF2mCXgZ3hqFA"",""REKAP ALL 2026 - Andika!F:F""),"""",0)"),"23006033056")</f>
        <v>23006033056</v>
      </c>
      <c r="G663" s="13" t="s">
        <v>2962</v>
      </c>
      <c r="H663" s="13" t="s">
        <v>35</v>
      </c>
      <c r="I663" s="13" t="str">
        <f aca="false">IF(C663=J663,"NEW KONTRAK","RE-KONTRAK")</f>
        <v>RE-KONTRAK</v>
      </c>
      <c r="J663" s="16" t="n">
        <f aca="false" t="array" ref="J663:J663">IFERROR(INDEX(AC663:AE663,IF(COUNTA(AC663:AE663)=0,"",MAX((AC663:AE663&lt;&gt;"")*(COLUMN(AC663:AE663)-(COLUMN(AC663)))))-1),"")</f>
        <v>45672</v>
      </c>
      <c r="K663" s="16" t="n">
        <f aca="false" t="array" ref="K663:K663">IFERROR(INDEX(AC663:AE663,IF(COUNTA(AC663:AE663)=0,"",MAX((AC663:AE663&lt;&gt;"")*(COLUMN(AC663:AE663)-(COLUMN(AC663)-1))))-1),"")</f>
        <v>46036</v>
      </c>
      <c r="L663" s="17" t="str">
        <f aca="false" t="array" ref="L663:L663">IFERROR(INDEX(AC663:AE663,IF(COUNTA(AC663:AE663)=0,"",MAX((AC663:AE663&lt;&gt;"")*(COLUMN(AC663:AE663)-(COLUMN(AC663)-2))))-1),"")</f>
        <v>ARCHIVED</v>
      </c>
      <c r="M663" s="13" t="n">
        <f aca="true">K663-TODAY()</f>
        <v>-288</v>
      </c>
      <c r="N663" s="18" t="s">
        <v>105</v>
      </c>
      <c r="O663" s="13" t="s">
        <v>106</v>
      </c>
      <c r="P663" s="31" t="n">
        <v>138915</v>
      </c>
      <c r="Q663" s="20" t="s">
        <v>2963</v>
      </c>
      <c r="R663" s="13" t="s">
        <v>39</v>
      </c>
      <c r="S663" s="25" t="n">
        <v>37417</v>
      </c>
      <c r="T663" s="13" t="s">
        <v>108</v>
      </c>
      <c r="U663" s="13" t="s">
        <v>2964</v>
      </c>
      <c r="V663" s="13" t="s">
        <v>42</v>
      </c>
      <c r="W663" s="13" t="s">
        <v>43</v>
      </c>
      <c r="X663" s="21" t="n">
        <v>85746307051</v>
      </c>
      <c r="Y663" s="22" t="str">
        <f aca="false">O663</f>
        <v>Produksi - Helper</v>
      </c>
      <c r="Z663" s="13" t="str">
        <f aca="false">IFERROR(__xludf.dummyfunction("if(BJ663="""","""",GOOGLETRANSLATE(BJ663,""auto"",""en""))"),"Production - Helper")</f>
        <v>Production - Helper</v>
      </c>
      <c r="AA663" s="23" t="str">
        <f aca="false">IF(C663="","", CHOOSE(MONTH(C663),"January","February","March","April","May","June","July","August","September","October","November","December")&amp;" "&amp;DAY(C663)&amp;MID("thstndrdth",MIN(9,2*RIGHT(DAY(C663))*(MOD(DAY(C663)-11,100)&gt;2)+1),2)&amp;","&amp;TEXT(C663," yyyy"))</f>
        <v>September 3rd,2021</v>
      </c>
      <c r="AB663" s="15" t="str">
        <f aca="true">IF(S663="","",DATEDIF(S663,TODAY(),"Y")&amp;" Tahun, "&amp;DATEDIF(S663,TODAY(),"YM")&amp;" Bulan, "&amp;DATEDIF(S663,TODAY(),"MD")&amp;" Hari")</f>
        <v>24 Tahun, 4 Bulan, 19 Hari</v>
      </c>
      <c r="AC663" s="18" t="n">
        <v>45672</v>
      </c>
      <c r="AD663" s="18" t="n">
        <v>46036</v>
      </c>
      <c r="AE663" s="18" t="s">
        <v>44</v>
      </c>
    </row>
    <row r="664" customFormat="false" ht="15.75" hidden="false" customHeight="true" outlineLevel="0" collapsed="false">
      <c r="A664" s="12" t="n">
        <v>5095</v>
      </c>
      <c r="B664" s="13" t="s">
        <v>2965</v>
      </c>
      <c r="C664" s="14" t="n">
        <v>44474</v>
      </c>
      <c r="D664" s="13" t="s">
        <v>774</v>
      </c>
      <c r="E664" s="15" t="s">
        <v>47</v>
      </c>
      <c r="F664" s="15" t="str">
        <f aca="false">IFERROR(__xludf.dummyfunction("XLOOKUP(AJ664,IMPORTRANGE(""1XaInW9DU9nz21V0tYIfzFQ0He9kVQ_JF2mCXgZ3hqFA"",""REKAP ALL 2026 - Andika!G:G""),IMPORTRANGE(""1XaInW9DU9nz21V0tYIfzFQ0He9kVQ_JF2mCXgZ3hqFA"",""REKAP ALL 2026 - Andika!F:F""),"""",0)"),"23172180061")</f>
        <v>23172180061</v>
      </c>
      <c r="G664" s="13" t="s">
        <v>2966</v>
      </c>
      <c r="H664" s="13" t="s">
        <v>2967</v>
      </c>
      <c r="I664" s="13" t="str">
        <f aca="false">IF(C664=J664,"NEW KONTRAK","RE-KONTRAK")</f>
        <v>RE-KONTRAK</v>
      </c>
      <c r="J664" s="16" t="n">
        <f aca="false" t="array" ref="J664:J664">IFERROR(INDEX(AC664:AE664,IF(COUNTA(AC664:AE664)=0,"",MAX((AC664:AE664&lt;&gt;"")*(COLUMN(AC664:AE664)-(COLUMN(AC664)))))-1),"")</f>
        <v>45570</v>
      </c>
      <c r="K664" s="16" t="n">
        <f aca="false" t="array" ref="K664:K664">IFERROR(INDEX(AC664:AE664,IF(COUNTA(AC664:AE664)=0,"",MAX((AC664:AE664&lt;&gt;"")*(COLUMN(AC664:AE664)-(COLUMN(AC664)-1))))-1),"")</f>
        <v>45934</v>
      </c>
      <c r="L664" s="17" t="str">
        <f aca="false" t="array" ref="L664:L664">IFERROR(INDEX(AC664:AE664,IF(COUNTA(AC664:AE664)=0,"",MAX((AC664:AE664&lt;&gt;"")*(COLUMN(AC664:AE664)-(COLUMN(AC664)-2))))-1),"")</f>
        <v>ARCHIVED</v>
      </c>
      <c r="M664" s="13" t="n">
        <f aca="true">K664-TODAY()</f>
        <v>-390</v>
      </c>
      <c r="N664" s="18" t="s">
        <v>36</v>
      </c>
      <c r="O664" s="13" t="s">
        <v>852</v>
      </c>
      <c r="P664" s="19" t="n">
        <v>5000000</v>
      </c>
      <c r="Q664" s="20" t="s">
        <v>2968</v>
      </c>
      <c r="R664" s="13" t="s">
        <v>65</v>
      </c>
      <c r="S664" s="14" t="n">
        <v>29419</v>
      </c>
      <c r="T664" s="13" t="s">
        <v>40</v>
      </c>
      <c r="U664" s="13" t="s">
        <v>2969</v>
      </c>
      <c r="V664" s="13" t="s">
        <v>42</v>
      </c>
      <c r="W664" s="13" t="s">
        <v>54</v>
      </c>
      <c r="X664" s="21" t="n">
        <v>83833488706</v>
      </c>
      <c r="Y664" s="22" t="str">
        <f aca="false">O664</f>
        <v>Pu</v>
      </c>
      <c r="Z664" s="13" t="str">
        <f aca="false">IFERROR(__xludf.dummyfunction("if(BJ664="""","""",GOOGLETRANSLATE(BJ664,""auto"",""en""))"),"Could")</f>
        <v>Could</v>
      </c>
      <c r="AA664" s="23" t="str">
        <f aca="false">IF(C664="","", CHOOSE(MONTH(C664),"January","February","March","April","May","June","July","August","September","October","November","December")&amp;" "&amp;DAY(C664)&amp;MID("thstndrdth",MIN(9,2*RIGHT(DAY(C664))*(MOD(DAY(C664)-11,100)&gt;2)+1),2)&amp;","&amp;TEXT(C664," yyyy"))</f>
        <v>October 5th,2021</v>
      </c>
      <c r="AB664" s="15" t="str">
        <f aca="true">IF(S664="","",DATEDIF(S664,TODAY(),"Y")&amp;" Tahun, "&amp;DATEDIF(S664,TODAY(),"YM")&amp;" Bulan, "&amp;DATEDIF(S664,TODAY(),"MD")&amp;" Hari")</f>
        <v>46 Tahun, 3 Bulan, 12 Hari</v>
      </c>
      <c r="AC664" s="18" t="n">
        <v>45570</v>
      </c>
      <c r="AD664" s="18" t="n">
        <v>45934</v>
      </c>
      <c r="AE664" s="18" t="s">
        <v>44</v>
      </c>
    </row>
    <row r="665" customFormat="false" ht="15.75" hidden="false" customHeight="true" outlineLevel="0" collapsed="false">
      <c r="A665" s="12" t="n">
        <v>5097</v>
      </c>
      <c r="B665" s="13" t="s">
        <v>2970</v>
      </c>
      <c r="C665" s="14" t="n">
        <v>44474</v>
      </c>
      <c r="D665" s="13" t="s">
        <v>774</v>
      </c>
      <c r="E665" s="15" t="s">
        <v>47</v>
      </c>
      <c r="F665" s="15" t="str">
        <f aca="false">IFERROR(__xludf.dummyfunction("XLOOKUP(AJ665,IMPORTRANGE(""1XaInW9DU9nz21V0tYIfzFQ0He9kVQ_JF2mCXgZ3hqFA"",""REKAP ALL 2026 - Andika!G:G""),IMPORTRANGE(""1XaInW9DU9nz21V0tYIfzFQ0He9kVQ_JF2mCXgZ3hqFA"",""REKAP ALL 2026 - Andika!F:F""),"""",0)"),"23172180228")</f>
        <v>23172180228</v>
      </c>
      <c r="G665" s="13" t="s">
        <v>2971</v>
      </c>
      <c r="H665" s="13" t="s">
        <v>2967</v>
      </c>
      <c r="I665" s="13" t="str">
        <f aca="false">IF(C665=J665,"NEW KONTRAK","RE-KONTRAK")</f>
        <v>RE-KONTRAK</v>
      </c>
      <c r="J665" s="16" t="n">
        <f aca="false" t="array" ref="J665:J665">IFERROR(INDEX(AC665:AE665,IF(COUNTA(AC665:AE665)=0,"",MAX((AC665:AE665&lt;&gt;"")*(COLUMN(AC665:AE665)-(COLUMN(AC665)))))-1),"")</f>
        <v>45570</v>
      </c>
      <c r="K665" s="16" t="n">
        <f aca="false" t="array" ref="K665:K665">IFERROR(INDEX(AC665:AE665,IF(COUNTA(AC665:AE665)=0,"",MAX((AC665:AE665&lt;&gt;"")*(COLUMN(AC665:AE665)-(COLUMN(AC665)-1))))-1),"")</f>
        <v>45934</v>
      </c>
      <c r="L665" s="17" t="str">
        <f aca="false" t="array" ref="L665:L665">IFERROR(INDEX(AC665:AE665,IF(COUNTA(AC665:AE665)=0,"",MAX((AC665:AE665&lt;&gt;"")*(COLUMN(AC665:AE665)-(COLUMN(AC665)-2))))-1),"")</f>
        <v>ARCHIVED</v>
      </c>
      <c r="M665" s="13" t="n">
        <f aca="true">K665-TODAY()</f>
        <v>-390</v>
      </c>
      <c r="N665" s="18" t="s">
        <v>36</v>
      </c>
      <c r="O665" s="13" t="s">
        <v>795</v>
      </c>
      <c r="P665" s="19" t="n">
        <v>4750000</v>
      </c>
      <c r="Q665" s="20" t="s">
        <v>2972</v>
      </c>
      <c r="R665" s="13" t="s">
        <v>232</v>
      </c>
      <c r="S665" s="14" t="n">
        <v>27323</v>
      </c>
      <c r="T665" s="13" t="s">
        <v>40</v>
      </c>
      <c r="U665" s="13" t="s">
        <v>2973</v>
      </c>
      <c r="V665" s="13" t="s">
        <v>42</v>
      </c>
      <c r="W665" s="13" t="s">
        <v>54</v>
      </c>
      <c r="X665" s="21" t="n">
        <v>89627517347</v>
      </c>
      <c r="Y665" s="22" t="str">
        <f aca="false">O665</f>
        <v>Painting</v>
      </c>
      <c r="Z665" s="13" t="str">
        <f aca="false">IFERROR(__xludf.dummyfunction("if(BJ665="""","""",GOOGLETRANSLATE(BJ665,""auto"",""en""))"),"Painting")</f>
        <v>Painting</v>
      </c>
      <c r="AA665" s="23" t="str">
        <f aca="false">IF(C665="","", CHOOSE(MONTH(C665),"January","February","March","April","May","June","July","August","September","October","November","December")&amp;" "&amp;DAY(C665)&amp;MID("thstndrdth",MIN(9,2*RIGHT(DAY(C665))*(MOD(DAY(C665)-11,100)&gt;2)+1),2)&amp;","&amp;TEXT(C665," yyyy"))</f>
        <v>October 5th,2021</v>
      </c>
      <c r="AB665" s="15" t="str">
        <f aca="true">IF(S665="","",DATEDIF(S665,TODAY(),"Y")&amp;" Tahun, "&amp;DATEDIF(S665,TODAY(),"YM")&amp;" Bulan, "&amp;DATEDIF(S665,TODAY(),"MD")&amp;" Hari")</f>
        <v>52 Tahun, 0 Bulan, 8 Hari</v>
      </c>
      <c r="AC665" s="18" t="n">
        <v>45570</v>
      </c>
      <c r="AD665" s="18" t="n">
        <v>45934</v>
      </c>
      <c r="AE665" s="18" t="s">
        <v>44</v>
      </c>
    </row>
    <row r="666" customFormat="false" ht="15.75" hidden="false" customHeight="true" outlineLevel="0" collapsed="false">
      <c r="A666" s="12" t="n">
        <v>5098</v>
      </c>
      <c r="B666" s="13" t="s">
        <v>2696</v>
      </c>
      <c r="C666" s="14" t="n">
        <v>44474</v>
      </c>
      <c r="D666" s="13" t="s">
        <v>774</v>
      </c>
      <c r="E666" s="15" t="s">
        <v>47</v>
      </c>
      <c r="F666" s="15" t="str">
        <f aca="false">IFERROR(__xludf.dummyfunction("XLOOKUP(AJ666,IMPORTRANGE(""1XaInW9DU9nz21V0tYIfzFQ0He9kVQ_JF2mCXgZ3hqFA"",""REKAP ALL 2026 - Andika!G:G""),IMPORTRANGE(""1XaInW9DU9nz21V0tYIfzFQ0He9kVQ_JF2mCXgZ3hqFA"",""REKAP ALL 2026 - Andika!F:F""),"""",0)"),"23172180517")</f>
        <v>23172180517</v>
      </c>
      <c r="G666" s="13" t="s">
        <v>2974</v>
      </c>
      <c r="H666" s="13" t="s">
        <v>2967</v>
      </c>
      <c r="I666" s="13" t="str">
        <f aca="false">IF(C666=J666,"NEW KONTRAK","RE-KONTRAK")</f>
        <v>RE-KONTRAK</v>
      </c>
      <c r="J666" s="16" t="n">
        <f aca="false" t="array" ref="J666:J666">IFERROR(INDEX(AC666:AE666,IF(COUNTA(AC666:AE666)=0,"",MAX((AC666:AE666&lt;&gt;"")*(COLUMN(AC666:AE666)-(COLUMN(AC666)))))-1),"")</f>
        <v>45570</v>
      </c>
      <c r="K666" s="16" t="n">
        <f aca="false" t="array" ref="K666:K666">IFERROR(INDEX(AC666:AE666,IF(COUNTA(AC666:AE666)=0,"",MAX((AC666:AE666&lt;&gt;"")*(COLUMN(AC666:AE666)-(COLUMN(AC666)-1))))-1),"")</f>
        <v>45934</v>
      </c>
      <c r="L666" s="17" t="str">
        <f aca="false" t="array" ref="L666:L666">IFERROR(INDEX(AC666:AE666,IF(COUNTA(AC666:AE666)=0,"",MAX((AC666:AE666&lt;&gt;"")*(COLUMN(AC666:AE666)-(COLUMN(AC666)-2))))-1),"")</f>
        <v>ARCHIVED</v>
      </c>
      <c r="M666" s="13" t="n">
        <f aca="true">K666-TODAY()</f>
        <v>-390</v>
      </c>
      <c r="N666" s="18" t="s">
        <v>36</v>
      </c>
      <c r="O666" s="13" t="s">
        <v>795</v>
      </c>
      <c r="P666" s="19" t="n">
        <v>5000000</v>
      </c>
      <c r="Q666" s="20" t="s">
        <v>2975</v>
      </c>
      <c r="R666" s="13" t="s">
        <v>52</v>
      </c>
      <c r="S666" s="14" t="n">
        <v>33567</v>
      </c>
      <c r="T666" s="13" t="s">
        <v>40</v>
      </c>
      <c r="U666" s="13" t="s">
        <v>2976</v>
      </c>
      <c r="V666" s="13" t="s">
        <v>42</v>
      </c>
      <c r="W666" s="13" t="s">
        <v>54</v>
      </c>
      <c r="X666" s="21" t="n">
        <v>88217335739</v>
      </c>
      <c r="Y666" s="22" t="str">
        <f aca="false">O666</f>
        <v>Painting</v>
      </c>
      <c r="Z666" s="13" t="str">
        <f aca="false">IFERROR(__xludf.dummyfunction("if(BJ666="""","""",GOOGLETRANSLATE(BJ666,""auto"",""en""))"),"Painting")</f>
        <v>Painting</v>
      </c>
      <c r="AA666" s="23" t="str">
        <f aca="false">IF(C666="","", CHOOSE(MONTH(C666),"January","February","March","April","May","June","July","August","September","October","November","December")&amp;" "&amp;DAY(C666)&amp;MID("thstndrdth",MIN(9,2*RIGHT(DAY(C666))*(MOD(DAY(C666)-11,100)&gt;2)+1),2)&amp;","&amp;TEXT(C666," yyyy"))</f>
        <v>October 5th,2021</v>
      </c>
      <c r="AB666" s="15" t="str">
        <f aca="true">IF(S666="","",DATEDIF(S666,TODAY(),"Y")&amp;" Tahun, "&amp;DATEDIF(S666,TODAY(),"YM")&amp;" Bulan, "&amp;DATEDIF(S666,TODAY(),"MD")&amp;" Hari")</f>
        <v>34 Tahun, 11 Bulan, 4 Hari</v>
      </c>
      <c r="AC666" s="18" t="n">
        <v>45570</v>
      </c>
      <c r="AD666" s="18" t="n">
        <v>45934</v>
      </c>
      <c r="AE666" s="18" t="s">
        <v>44</v>
      </c>
    </row>
    <row r="667" customFormat="false" ht="15.75" hidden="false" customHeight="true" outlineLevel="0" collapsed="false">
      <c r="A667" s="12" t="n">
        <v>5099</v>
      </c>
      <c r="B667" s="13" t="s">
        <v>2977</v>
      </c>
      <c r="C667" s="14" t="n">
        <v>44474</v>
      </c>
      <c r="D667" s="13" t="s">
        <v>774</v>
      </c>
      <c r="E667" s="15" t="s">
        <v>47</v>
      </c>
      <c r="F667" s="15" t="str">
        <f aca="false">IFERROR(__xludf.dummyfunction("XLOOKUP(AJ667,IMPORTRANGE(""1XaInW9DU9nz21V0tYIfzFQ0He9kVQ_JF2mCXgZ3hqFA"",""REKAP ALL 2026 - Andika!G:G""),IMPORTRANGE(""1XaInW9DU9nz21V0tYIfzFQ0He9kVQ_JF2mCXgZ3hqFA"",""REKAP ALL 2026 - Andika!F:F""),"""",0)"),"23172179659")</f>
        <v>23172179659</v>
      </c>
      <c r="G667" s="13" t="s">
        <v>2978</v>
      </c>
      <c r="H667" s="13" t="s">
        <v>2967</v>
      </c>
      <c r="I667" s="13" t="str">
        <f aca="false">IF(C667=J667,"NEW KONTRAK","RE-KONTRAK")</f>
        <v>RE-KONTRAK</v>
      </c>
      <c r="J667" s="16" t="n">
        <f aca="false" t="array" ref="J667:J667">IFERROR(INDEX(AC667:AE667,IF(COUNTA(AC667:AE667)=0,"",MAX((AC667:AE667&lt;&gt;"")*(COLUMN(AC667:AE667)-(COLUMN(AC667)))))-1),"")</f>
        <v>45570</v>
      </c>
      <c r="K667" s="16" t="n">
        <f aca="false" t="array" ref="K667:K667">IFERROR(INDEX(AC667:AE667,IF(COUNTA(AC667:AE667)=0,"",MAX((AC667:AE667&lt;&gt;"")*(COLUMN(AC667:AE667)-(COLUMN(AC667)-1))))-1),"")</f>
        <v>45934</v>
      </c>
      <c r="L667" s="17" t="str">
        <f aca="false" t="array" ref="L667:L667">IFERROR(INDEX(AC667:AE667,IF(COUNTA(AC667:AE667)=0,"",MAX((AC667:AE667&lt;&gt;"")*(COLUMN(AC667:AE667)-(COLUMN(AC667)-2))))-1),"")</f>
        <v>ARCHIVED</v>
      </c>
      <c r="M667" s="13" t="n">
        <f aca="true">K667-TODAY()</f>
        <v>-390</v>
      </c>
      <c r="N667" s="18" t="s">
        <v>36</v>
      </c>
      <c r="O667" s="13" t="s">
        <v>795</v>
      </c>
      <c r="P667" s="19" t="n">
        <v>4750000</v>
      </c>
      <c r="Q667" s="20" t="s">
        <v>2979</v>
      </c>
      <c r="R667" s="13" t="s">
        <v>39</v>
      </c>
      <c r="S667" s="14" t="n">
        <v>25851</v>
      </c>
      <c r="T667" s="13" t="s">
        <v>40</v>
      </c>
      <c r="U667" s="13" t="s">
        <v>2980</v>
      </c>
      <c r="V667" s="13" t="s">
        <v>42</v>
      </c>
      <c r="W667" s="13" t="s">
        <v>54</v>
      </c>
      <c r="X667" s="21" t="n">
        <v>85707576634</v>
      </c>
      <c r="Y667" s="22" t="str">
        <f aca="false">O667</f>
        <v>Painting</v>
      </c>
      <c r="Z667" s="13" t="str">
        <f aca="false">IFERROR(__xludf.dummyfunction("if(BJ667="""","""",GOOGLETRANSLATE(BJ667,""auto"",""en""))"),"Painting")</f>
        <v>Painting</v>
      </c>
      <c r="AA667" s="23" t="str">
        <f aca="false">IF(C667="","", CHOOSE(MONTH(C667),"January","February","March","April","May","June","July","August","September","October","November","December")&amp;" "&amp;DAY(C667)&amp;MID("thstndrdth",MIN(9,2*RIGHT(DAY(C667))*(MOD(DAY(C667)-11,100)&gt;2)+1),2)&amp;","&amp;TEXT(C667," yyyy"))</f>
        <v>October 5th,2021</v>
      </c>
      <c r="AB667" s="15" t="str">
        <f aca="true">IF(S667="","",DATEDIF(S667,TODAY(),"Y")&amp;" Tahun, "&amp;DATEDIF(S667,TODAY(),"YM")&amp;" Bulan, "&amp;DATEDIF(S667,TODAY(),"MD")&amp;" Hari")</f>
        <v>56 Tahun, 0 Bulan, 19 Hari</v>
      </c>
      <c r="AC667" s="18" t="n">
        <v>45570</v>
      </c>
      <c r="AD667" s="18" t="n">
        <v>45934</v>
      </c>
      <c r="AE667" s="18" t="s">
        <v>44</v>
      </c>
    </row>
    <row r="668" customFormat="false" ht="15.75" hidden="false" customHeight="true" outlineLevel="0" collapsed="false">
      <c r="A668" s="12" t="n">
        <v>5100</v>
      </c>
      <c r="B668" s="13" t="s">
        <v>2981</v>
      </c>
      <c r="C668" s="14" t="n">
        <v>44474</v>
      </c>
      <c r="D668" s="13" t="s">
        <v>774</v>
      </c>
      <c r="E668" s="15" t="s">
        <v>47</v>
      </c>
      <c r="F668" s="15" t="str">
        <f aca="false">IFERROR(__xludf.dummyfunction("XLOOKUP(AJ668,IMPORTRANGE(""1XaInW9DU9nz21V0tYIfzFQ0He9kVQ_JF2mCXgZ3hqFA"",""REKAP ALL 2026 - Andika!G:G""),IMPORTRANGE(""1XaInW9DU9nz21V0tYIfzFQ0He9kVQ_JF2mCXgZ3hqFA"",""REKAP ALL 2026 - Andika!F:F""),"""",0)"),"23172179386")</f>
        <v>23172179386</v>
      </c>
      <c r="G668" s="13" t="s">
        <v>2982</v>
      </c>
      <c r="H668" s="13" t="s">
        <v>2967</v>
      </c>
      <c r="I668" s="13" t="str">
        <f aca="false">IF(C668=J668,"NEW KONTRAK","RE-KONTRAK")</f>
        <v>RE-KONTRAK</v>
      </c>
      <c r="J668" s="16" t="n">
        <f aca="false" t="array" ref="J668:J668">IFERROR(INDEX(AC668:AE668,IF(COUNTA(AC668:AE668)=0,"",MAX((AC668:AE668&lt;&gt;"")*(COLUMN(AC668:AE668)-(COLUMN(AC668)))))-1),"")</f>
        <v>45570</v>
      </c>
      <c r="K668" s="16" t="n">
        <f aca="false" t="array" ref="K668:K668">IFERROR(INDEX(AC668:AE668,IF(COUNTA(AC668:AE668)=0,"",MAX((AC668:AE668&lt;&gt;"")*(COLUMN(AC668:AE668)-(COLUMN(AC668)-1))))-1),"")</f>
        <v>45934</v>
      </c>
      <c r="L668" s="17" t="str">
        <f aca="false" t="array" ref="L668:L668">IFERROR(INDEX(AC668:AE668,IF(COUNTA(AC668:AE668)=0,"",MAX((AC668:AE668&lt;&gt;"")*(COLUMN(AC668:AE668)-(COLUMN(AC668)-2))))-1),"")</f>
        <v>ARCHIVED</v>
      </c>
      <c r="M668" s="13" t="n">
        <f aca="true">K668-TODAY()</f>
        <v>-390</v>
      </c>
      <c r="N668" s="18" t="s">
        <v>36</v>
      </c>
      <c r="O668" s="13" t="s">
        <v>785</v>
      </c>
      <c r="P668" s="19" t="n">
        <v>4500000</v>
      </c>
      <c r="Q668" s="20" t="s">
        <v>2983</v>
      </c>
      <c r="R668" s="13" t="s">
        <v>65</v>
      </c>
      <c r="S668" s="14" t="n">
        <v>33884</v>
      </c>
      <c r="T668" s="13" t="s">
        <v>40</v>
      </c>
      <c r="U668" s="13" t="s">
        <v>2984</v>
      </c>
      <c r="V668" s="13" t="s">
        <v>42</v>
      </c>
      <c r="W668" s="13" t="s">
        <v>43</v>
      </c>
      <c r="X668" s="21" t="n">
        <v>85791116043</v>
      </c>
      <c r="Y668" s="22" t="str">
        <f aca="false">O668</f>
        <v>Gudang</v>
      </c>
      <c r="Z668" s="13" t="str">
        <f aca="false">IFERROR(__xludf.dummyfunction("if(BJ668="""","""",GOOGLETRANSLATE(BJ668,""auto"",""en""))"),"Warehouse")</f>
        <v>Warehouse</v>
      </c>
      <c r="AA668" s="23" t="str">
        <f aca="false">IF(C668="","", CHOOSE(MONTH(C668),"January","February","March","April","May","June","July","August","September","October","November","December")&amp;" "&amp;DAY(C668)&amp;MID("thstndrdth",MIN(9,2*RIGHT(DAY(C668))*(MOD(DAY(C668)-11,100)&gt;2)+1),2)&amp;","&amp;TEXT(C668," yyyy"))</f>
        <v>October 5th,2021</v>
      </c>
      <c r="AB668" s="15" t="str">
        <f aca="true">IF(S668="","",DATEDIF(S668,TODAY(),"Y")&amp;" Tahun, "&amp;DATEDIF(S668,TODAY(),"YM")&amp;" Bulan, "&amp;DATEDIF(S668,TODAY(),"MD")&amp;" Hari")</f>
        <v>34 Tahun, 0 Bulan, 22 Hari</v>
      </c>
      <c r="AC668" s="18" t="n">
        <v>45570</v>
      </c>
      <c r="AD668" s="18" t="n">
        <v>45934</v>
      </c>
      <c r="AE668" s="18" t="s">
        <v>44</v>
      </c>
    </row>
    <row r="669" customFormat="false" ht="15.75" hidden="false" customHeight="true" outlineLevel="0" collapsed="false">
      <c r="A669" s="12" t="n">
        <v>5101</v>
      </c>
      <c r="B669" s="13" t="s">
        <v>2985</v>
      </c>
      <c r="C669" s="14" t="n">
        <v>44474</v>
      </c>
      <c r="D669" s="13" t="s">
        <v>774</v>
      </c>
      <c r="E669" s="15" t="s">
        <v>47</v>
      </c>
      <c r="F669" s="15" t="str">
        <f aca="false">IFERROR(__xludf.dummyfunction("XLOOKUP(AJ669,IMPORTRANGE(""1XaInW9DU9nz21V0tYIfzFQ0He9kVQ_JF2mCXgZ3hqFA"",""REKAP ALL 2026 - Andika!G:G""),IMPORTRANGE(""1XaInW9DU9nz21V0tYIfzFQ0He9kVQ_JF2mCXgZ3hqFA"",""REKAP ALL 2026 - Andika!F:F""),"""",0)"),"23172180012")</f>
        <v>23172180012</v>
      </c>
      <c r="G669" s="13" t="s">
        <v>2986</v>
      </c>
      <c r="H669" s="13" t="s">
        <v>2967</v>
      </c>
      <c r="I669" s="13" t="str">
        <f aca="false">IF(C669=J669,"NEW KONTRAK","RE-KONTRAK")</f>
        <v>RE-KONTRAK</v>
      </c>
      <c r="J669" s="16" t="n">
        <f aca="false" t="array" ref="J669:J669">IFERROR(INDEX(AC669:AE669,IF(COUNTA(AC669:AE669)=0,"",MAX((AC669:AE669&lt;&gt;"")*(COLUMN(AC669:AE669)-(COLUMN(AC669)))))-1),"")</f>
        <v>45570</v>
      </c>
      <c r="K669" s="16" t="n">
        <f aca="false" t="array" ref="K669:K669">IFERROR(INDEX(AC669:AE669,IF(COUNTA(AC669:AE669)=0,"",MAX((AC669:AE669&lt;&gt;"")*(COLUMN(AC669:AE669)-(COLUMN(AC669)-1))))-1),"")</f>
        <v>45934</v>
      </c>
      <c r="L669" s="17" t="str">
        <f aca="false" t="array" ref="L669:L669">IFERROR(INDEX(AC669:AE669,IF(COUNTA(AC669:AE669)=0,"",MAX((AC669:AE669&lt;&gt;"")*(COLUMN(AC669:AE669)-(COLUMN(AC669)-2))))-1),"")</f>
        <v>ARCHIVED</v>
      </c>
      <c r="M669" s="13" t="n">
        <f aca="true">K669-TODAY()</f>
        <v>-390</v>
      </c>
      <c r="N669" s="18" t="s">
        <v>36</v>
      </c>
      <c r="O669" s="13" t="s">
        <v>785</v>
      </c>
      <c r="P669" s="19" t="n">
        <v>4500000</v>
      </c>
      <c r="Q669" s="20" t="s">
        <v>2987</v>
      </c>
      <c r="R669" s="13" t="s">
        <v>65</v>
      </c>
      <c r="S669" s="14" t="n">
        <v>33254</v>
      </c>
      <c r="T669" s="13" t="s">
        <v>40</v>
      </c>
      <c r="U669" s="13" t="s">
        <v>2988</v>
      </c>
      <c r="V669" s="13" t="s">
        <v>42</v>
      </c>
      <c r="W669" s="13" t="s">
        <v>43</v>
      </c>
      <c r="X669" s="21" t="n">
        <v>89607064685</v>
      </c>
      <c r="Y669" s="22" t="str">
        <f aca="false">O669</f>
        <v>Gudang</v>
      </c>
      <c r="Z669" s="13" t="str">
        <f aca="false">IFERROR(__xludf.dummyfunction("if(BJ669="""","""",GOOGLETRANSLATE(BJ669,""auto"",""en""))"),"Warehouse")</f>
        <v>Warehouse</v>
      </c>
      <c r="AA669" s="23" t="str">
        <f aca="false">IF(C669="","", CHOOSE(MONTH(C669),"January","February","March","April","May","June","July","August","September","October","November","December")&amp;" "&amp;DAY(C669)&amp;MID("thstndrdth",MIN(9,2*RIGHT(DAY(C669))*(MOD(DAY(C669)-11,100)&gt;2)+1),2)&amp;","&amp;TEXT(C669," yyyy"))</f>
        <v>October 5th,2021</v>
      </c>
      <c r="AB669" s="15" t="str">
        <f aca="true">IF(S669="","",DATEDIF(S669,TODAY(),"Y")&amp;" Tahun, "&amp;DATEDIF(S669,TODAY(),"YM")&amp;" Bulan, "&amp;DATEDIF(S669,TODAY(),"MD")&amp;" Hari")</f>
        <v>35 Tahun, 9 Bulan, 13 Hari</v>
      </c>
      <c r="AC669" s="18" t="n">
        <v>45570</v>
      </c>
      <c r="AD669" s="18" t="n">
        <v>45934</v>
      </c>
      <c r="AE669" s="18" t="s">
        <v>44</v>
      </c>
    </row>
    <row r="670" customFormat="false" ht="15.75" hidden="false" customHeight="true" outlineLevel="0" collapsed="false">
      <c r="A670" s="12" t="n">
        <v>5102</v>
      </c>
      <c r="B670" s="13" t="s">
        <v>2989</v>
      </c>
      <c r="C670" s="14" t="n">
        <v>44474</v>
      </c>
      <c r="D670" s="13" t="s">
        <v>774</v>
      </c>
      <c r="E670" s="15" t="s">
        <v>47</v>
      </c>
      <c r="F670" s="15" t="str">
        <f aca="false">IFERROR(__xludf.dummyfunction("XLOOKUP(AJ670,IMPORTRANGE(""1XaInW9DU9nz21V0tYIfzFQ0He9kVQ_JF2mCXgZ3hqFA"",""REKAP ALL 2026 - Andika!G:G""),IMPORTRANGE(""1XaInW9DU9nz21V0tYIfzFQ0He9kVQ_JF2mCXgZ3hqFA"",""REKAP ALL 2026 - Andika!F:F""),"""",0)"),"23172179949")</f>
        <v>23172179949</v>
      </c>
      <c r="G670" s="13" t="s">
        <v>2990</v>
      </c>
      <c r="H670" s="13" t="s">
        <v>2967</v>
      </c>
      <c r="I670" s="13" t="str">
        <f aca="false">IF(C670=J670,"NEW KONTRAK","RE-KONTRAK")</f>
        <v>RE-KONTRAK</v>
      </c>
      <c r="J670" s="16" t="n">
        <f aca="false" t="array" ref="J670:J670">IFERROR(INDEX(AC670:AE670,IF(COUNTA(AC670:AE670)=0,"",MAX((AC670:AE670&lt;&gt;"")*(COLUMN(AC670:AE670)-(COLUMN(AC670)))))-1),"")</f>
        <v>45570</v>
      </c>
      <c r="K670" s="16" t="n">
        <f aca="false" t="array" ref="K670:K670">IFERROR(INDEX(AC670:AE670,IF(COUNTA(AC670:AE670)=0,"",MAX((AC670:AE670&lt;&gt;"")*(COLUMN(AC670:AE670)-(COLUMN(AC670)-1))))-1),"")</f>
        <v>45934</v>
      </c>
      <c r="L670" s="17" t="str">
        <f aca="false" t="array" ref="L670:L670">IFERROR(INDEX(AC670:AE670,IF(COUNTA(AC670:AE670)=0,"",MAX((AC670:AE670&lt;&gt;"")*(COLUMN(AC670:AE670)-(COLUMN(AC670)-2))))-1),"")</f>
        <v>ARCHIVED</v>
      </c>
      <c r="M670" s="13" t="n">
        <f aca="true">K670-TODAY()</f>
        <v>-390</v>
      </c>
      <c r="N670" s="18" t="s">
        <v>36</v>
      </c>
      <c r="O670" s="13" t="s">
        <v>812</v>
      </c>
      <c r="P670" s="19" t="n">
        <v>5195500</v>
      </c>
      <c r="Q670" s="20" t="s">
        <v>2991</v>
      </c>
      <c r="R670" s="13" t="s">
        <v>73</v>
      </c>
      <c r="S670" s="14" t="n">
        <v>31912</v>
      </c>
      <c r="T670" s="13" t="s">
        <v>40</v>
      </c>
      <c r="U670" s="13" t="s">
        <v>2992</v>
      </c>
      <c r="V670" s="13" t="s">
        <v>42</v>
      </c>
      <c r="W670" s="13" t="s">
        <v>43</v>
      </c>
      <c r="X670" s="21" t="n">
        <v>85731374047</v>
      </c>
      <c r="Y670" s="22" t="str">
        <f aca="false">O670</f>
        <v>Heating</v>
      </c>
      <c r="Z670" s="13" t="str">
        <f aca="false">IFERROR(__xludf.dummyfunction("if(BJ670="""","""",GOOGLETRANSLATE(BJ670,""auto"",""en""))"),"Heating")</f>
        <v>Heating</v>
      </c>
      <c r="AA670" s="23" t="str">
        <f aca="false">IF(C670="","", CHOOSE(MONTH(C670),"January","February","March","April","May","June","July","August","September","October","November","December")&amp;" "&amp;DAY(C670)&amp;MID("thstndrdth",MIN(9,2*RIGHT(DAY(C670))*(MOD(DAY(C670)-11,100)&gt;2)+1),2)&amp;","&amp;TEXT(C670," yyyy"))</f>
        <v>October 5th,2021</v>
      </c>
      <c r="AB670" s="15" t="str">
        <f aca="true">IF(S670="","",DATEDIF(S670,TODAY(),"Y")&amp;" Tahun, "&amp;DATEDIF(S670,TODAY(),"YM")&amp;" Bulan, "&amp;DATEDIF(S670,TODAY(),"MD")&amp;" Hari")</f>
        <v>39 Tahun, 5 Bulan, 14 Hari</v>
      </c>
      <c r="AC670" s="18" t="n">
        <v>45570</v>
      </c>
      <c r="AD670" s="18" t="n">
        <v>45934</v>
      </c>
      <c r="AE670" s="18" t="s">
        <v>44</v>
      </c>
    </row>
    <row r="671" customFormat="false" ht="15.75" hidden="false" customHeight="true" outlineLevel="0" collapsed="false">
      <c r="A671" s="12" t="n">
        <v>5103</v>
      </c>
      <c r="B671" s="13" t="s">
        <v>2993</v>
      </c>
      <c r="C671" s="14" t="n">
        <v>44474</v>
      </c>
      <c r="D671" s="13" t="s">
        <v>774</v>
      </c>
      <c r="E671" s="15" t="s">
        <v>47</v>
      </c>
      <c r="F671" s="15" t="str">
        <f aca="false">IFERROR(__xludf.dummyfunction("XLOOKUP(AJ671,IMPORTRANGE(""1XaInW9DU9nz21V0tYIfzFQ0He9kVQ_JF2mCXgZ3hqFA"",""REKAP ALL 2026 - Andika!G:G""),IMPORTRANGE(""1XaInW9DU9nz21V0tYIfzFQ0He9kVQ_JF2mCXgZ3hqFA"",""REKAP ALL 2026 - Andika!F:F""),"""",0)"),"23172180129")</f>
        <v>23172180129</v>
      </c>
      <c r="G671" s="13" t="s">
        <v>2994</v>
      </c>
      <c r="H671" s="13" t="s">
        <v>2967</v>
      </c>
      <c r="I671" s="13" t="str">
        <f aca="false">IF(C671=J671,"NEW KONTRAK","RE-KONTRAK")</f>
        <v>RE-KONTRAK</v>
      </c>
      <c r="J671" s="16" t="n">
        <f aca="false" t="array" ref="J671:J671">IFERROR(INDEX(AC671:AE671,IF(COUNTA(AC671:AE671)=0,"",MAX((AC671:AE671&lt;&gt;"")*(COLUMN(AC671:AE671)-(COLUMN(AC671)))))-1),"")</f>
        <v>45570</v>
      </c>
      <c r="K671" s="16" t="n">
        <f aca="false" t="array" ref="K671:K671">IFERROR(INDEX(AC671:AE671,IF(COUNTA(AC671:AE671)=0,"",MAX((AC671:AE671&lt;&gt;"")*(COLUMN(AC671:AE671)-(COLUMN(AC671)-1))))-1),"")</f>
        <v>45934</v>
      </c>
      <c r="L671" s="17" t="str">
        <f aca="false" t="array" ref="L671:L671">IFERROR(INDEX(AC671:AE671,IF(COUNTA(AC671:AE671)=0,"",MAX((AC671:AE671&lt;&gt;"")*(COLUMN(AC671:AE671)-(COLUMN(AC671)-2))))-1),"")</f>
        <v>ARCHIVED</v>
      </c>
      <c r="M671" s="13" t="n">
        <f aca="true">K671-TODAY()</f>
        <v>-390</v>
      </c>
      <c r="N671" s="18" t="s">
        <v>36</v>
      </c>
      <c r="O671" s="13" t="s">
        <v>812</v>
      </c>
      <c r="P671" s="19" t="n">
        <v>4250000</v>
      </c>
      <c r="Q671" s="20" t="s">
        <v>2995</v>
      </c>
      <c r="R671" s="13" t="s">
        <v>255</v>
      </c>
      <c r="S671" s="14" t="n">
        <v>32891</v>
      </c>
      <c r="T671" s="13" t="s">
        <v>40</v>
      </c>
      <c r="U671" s="13" t="s">
        <v>2996</v>
      </c>
      <c r="V671" s="13" t="s">
        <v>42</v>
      </c>
      <c r="W671" s="13" t="s">
        <v>54</v>
      </c>
      <c r="X671" s="21" t="n">
        <v>85815799213</v>
      </c>
      <c r="Y671" s="22" t="str">
        <f aca="false">O671</f>
        <v>Heating</v>
      </c>
      <c r="Z671" s="13" t="str">
        <f aca="false">IFERROR(__xludf.dummyfunction("if(BJ671="""","""",GOOGLETRANSLATE(BJ671,""auto"",""en""))"),"Heating")</f>
        <v>Heating</v>
      </c>
      <c r="AA671" s="23" t="str">
        <f aca="false">IF(C671="","", CHOOSE(MONTH(C671),"January","February","March","April","May","June","July","August","September","October","November","December")&amp;" "&amp;DAY(C671)&amp;MID("thstndrdth",MIN(9,2*RIGHT(DAY(C671))*(MOD(DAY(C671)-11,100)&gt;2)+1),2)&amp;","&amp;TEXT(C671," yyyy"))</f>
        <v>October 5th,2021</v>
      </c>
      <c r="AB671" s="15" t="str">
        <f aca="true">IF(S671="","",DATEDIF(S671,TODAY(),"Y")&amp;" Tahun, "&amp;DATEDIF(S671,TODAY(),"YM")&amp;" Bulan, "&amp;DATEDIF(S671,TODAY(),"MD")&amp;" Hari")</f>
        <v>36 Tahun, 9 Bulan, 11 Hari</v>
      </c>
      <c r="AC671" s="18" t="n">
        <v>45570</v>
      </c>
      <c r="AD671" s="18" t="n">
        <v>45934</v>
      </c>
      <c r="AE671" s="18" t="s">
        <v>44</v>
      </c>
    </row>
    <row r="672" customFormat="false" ht="15.75" hidden="false" customHeight="true" outlineLevel="0" collapsed="false">
      <c r="A672" s="12" t="n">
        <v>5105</v>
      </c>
      <c r="B672" s="13" t="s">
        <v>2997</v>
      </c>
      <c r="C672" s="14" t="n">
        <v>44474</v>
      </c>
      <c r="D672" s="13" t="s">
        <v>774</v>
      </c>
      <c r="E672" s="15" t="s">
        <v>47</v>
      </c>
      <c r="F672" s="15" t="str">
        <f aca="false">IFERROR(__xludf.dummyfunction("XLOOKUP(AJ672,IMPORTRANGE(""1XaInW9DU9nz21V0tYIfzFQ0He9kVQ_JF2mCXgZ3hqFA"",""REKAP ALL 2026 - Andika!G:G""),IMPORTRANGE(""1XaInW9DU9nz21V0tYIfzFQ0He9kVQ_JF2mCXgZ3hqFA"",""REKAP ALL 2026 - Andika!F:F""),"""",0)"),"23172179824")</f>
        <v>23172179824</v>
      </c>
      <c r="G672" s="13" t="s">
        <v>2998</v>
      </c>
      <c r="H672" s="13" t="s">
        <v>2967</v>
      </c>
      <c r="I672" s="13" t="str">
        <f aca="false">IF(C672=J672,"NEW KONTRAK","RE-KONTRAK")</f>
        <v>RE-KONTRAK</v>
      </c>
      <c r="J672" s="16" t="n">
        <f aca="false" t="array" ref="J672:J672">IFERROR(INDEX(AC672:AE672,IF(COUNTA(AC672:AE672)=0,"",MAX((AC672:AE672&lt;&gt;"")*(COLUMN(AC672:AE672)-(COLUMN(AC672)))))-1),"")</f>
        <v>45570</v>
      </c>
      <c r="K672" s="16" t="n">
        <f aca="false" t="array" ref="K672:K672">IFERROR(INDEX(AC672:AE672,IF(COUNTA(AC672:AE672)=0,"",MAX((AC672:AE672&lt;&gt;"")*(COLUMN(AC672:AE672)-(COLUMN(AC672)-1))))-1),"")</f>
        <v>45934</v>
      </c>
      <c r="L672" s="17" t="str">
        <f aca="false" t="array" ref="L672:L672">IFERROR(INDEX(AC672:AE672,IF(COUNTA(AC672:AE672)=0,"",MAX((AC672:AE672&lt;&gt;"")*(COLUMN(AC672:AE672)-(COLUMN(AC672)-2))))-1),"")</f>
        <v>ARCHIVED</v>
      </c>
      <c r="M672" s="13" t="n">
        <f aca="true">K672-TODAY()</f>
        <v>-390</v>
      </c>
      <c r="N672" s="18" t="s">
        <v>36</v>
      </c>
      <c r="O672" s="13" t="s">
        <v>785</v>
      </c>
      <c r="P672" s="19" t="n">
        <v>4500000</v>
      </c>
      <c r="Q672" s="20" t="s">
        <v>2999</v>
      </c>
      <c r="R672" s="13" t="s">
        <v>232</v>
      </c>
      <c r="S672" s="14" t="n">
        <v>35230</v>
      </c>
      <c r="T672" s="13" t="s">
        <v>40</v>
      </c>
      <c r="U672" s="13" t="s">
        <v>3000</v>
      </c>
      <c r="V672" s="13" t="s">
        <v>42</v>
      </c>
      <c r="W672" s="13" t="s">
        <v>43</v>
      </c>
      <c r="X672" s="21" t="n">
        <v>85732408362</v>
      </c>
      <c r="Y672" s="22" t="str">
        <f aca="false">O672</f>
        <v>Gudang</v>
      </c>
      <c r="Z672" s="13" t="str">
        <f aca="false">IFERROR(__xludf.dummyfunction("if(BJ672="""","""",GOOGLETRANSLATE(BJ672,""auto"",""en""))"),"Warehouse")</f>
        <v>Warehouse</v>
      </c>
      <c r="AA672" s="23" t="str">
        <f aca="false">IF(C672="","", CHOOSE(MONTH(C672),"January","February","March","April","May","June","July","August","September","October","November","December")&amp;" "&amp;DAY(C672)&amp;MID("thstndrdth",MIN(9,2*RIGHT(DAY(C672))*(MOD(DAY(C672)-11,100)&gt;2)+1),2)&amp;","&amp;TEXT(C672," yyyy"))</f>
        <v>October 5th,2021</v>
      </c>
      <c r="AB672" s="15" t="str">
        <f aca="true">IF(S672="","",DATEDIF(S672,TODAY(),"Y")&amp;" Tahun, "&amp;DATEDIF(S672,TODAY(),"YM")&amp;" Bulan, "&amp;DATEDIF(S672,TODAY(),"MD")&amp;" Hari")</f>
        <v>30 Tahun, 4 Bulan, 15 Hari</v>
      </c>
      <c r="AC672" s="18" t="n">
        <v>45570</v>
      </c>
      <c r="AD672" s="18" t="n">
        <v>45934</v>
      </c>
      <c r="AE672" s="18" t="s">
        <v>44</v>
      </c>
    </row>
    <row r="673" customFormat="false" ht="15.75" hidden="false" customHeight="true" outlineLevel="0" collapsed="false">
      <c r="A673" s="12" t="n">
        <v>5106</v>
      </c>
      <c r="B673" s="13" t="s">
        <v>3001</v>
      </c>
      <c r="C673" s="14" t="n">
        <v>44474</v>
      </c>
      <c r="D673" s="13" t="s">
        <v>774</v>
      </c>
      <c r="E673" s="15" t="s">
        <v>47</v>
      </c>
      <c r="F673" s="15" t="str">
        <f aca="false">IFERROR(__xludf.dummyfunction("XLOOKUP(AJ673,IMPORTRANGE(""1XaInW9DU9nz21V0tYIfzFQ0He9kVQ_JF2mCXgZ3hqFA"",""REKAP ALL 2026 - Andika!G:G""),IMPORTRANGE(""1XaInW9DU9nz21V0tYIfzFQ0He9kVQ_JF2mCXgZ3hqFA"",""REKAP ALL 2026 - Andika!F:F""),"""",0)"),"23172179840")</f>
        <v>23172179840</v>
      </c>
      <c r="G673" s="13" t="s">
        <v>3002</v>
      </c>
      <c r="H673" s="13" t="s">
        <v>2967</v>
      </c>
      <c r="I673" s="13" t="str">
        <f aca="false">IF(C673=J673,"NEW KONTRAK","RE-KONTRAK")</f>
        <v>RE-KONTRAK</v>
      </c>
      <c r="J673" s="16" t="n">
        <f aca="false" t="array" ref="J673:J673">IFERROR(INDEX(AC673:AE673,IF(COUNTA(AC673:AE673)=0,"",MAX((AC673:AE673&lt;&gt;"")*(COLUMN(AC673:AE673)-(COLUMN(AC673)))))-1),"")</f>
        <v>45570</v>
      </c>
      <c r="K673" s="16" t="n">
        <f aca="false" t="array" ref="K673:K673">IFERROR(INDEX(AC673:AE673,IF(COUNTA(AC673:AE673)=0,"",MAX((AC673:AE673&lt;&gt;"")*(COLUMN(AC673:AE673)-(COLUMN(AC673)-1))))-1),"")</f>
        <v>45934</v>
      </c>
      <c r="L673" s="17" t="str">
        <f aca="false" t="array" ref="L673:L673">IFERROR(INDEX(AC673:AE673,IF(COUNTA(AC673:AE673)=0,"",MAX((AC673:AE673&lt;&gt;"")*(COLUMN(AC673:AE673)-(COLUMN(AC673)-2))))-1),"")</f>
        <v>ARCHIVED</v>
      </c>
      <c r="M673" s="13" t="n">
        <f aca="true">K673-TODAY()</f>
        <v>-390</v>
      </c>
      <c r="N673" s="18" t="s">
        <v>36</v>
      </c>
      <c r="O673" s="13" t="s">
        <v>785</v>
      </c>
      <c r="P673" s="19" t="n">
        <v>4500000</v>
      </c>
      <c r="Q673" s="20" t="s">
        <v>3003</v>
      </c>
      <c r="R673" s="13" t="s">
        <v>232</v>
      </c>
      <c r="S673" s="14" t="n">
        <v>36294</v>
      </c>
      <c r="T673" s="13" t="s">
        <v>40</v>
      </c>
      <c r="U673" s="13" t="s">
        <v>3004</v>
      </c>
      <c r="V673" s="13" t="s">
        <v>42</v>
      </c>
      <c r="W673" s="13" t="s">
        <v>43</v>
      </c>
      <c r="X673" s="21" t="n">
        <v>85607398548</v>
      </c>
      <c r="Y673" s="22" t="str">
        <f aca="false">O673</f>
        <v>Gudang</v>
      </c>
      <c r="Z673" s="13" t="str">
        <f aca="false">IFERROR(__xludf.dummyfunction("if(BJ673="""","""",GOOGLETRANSLATE(BJ673,""auto"",""en""))"),"Warehouse")</f>
        <v>Warehouse</v>
      </c>
      <c r="AA673" s="23" t="str">
        <f aca="false">IF(C673="","", CHOOSE(MONTH(C673),"January","February","March","April","May","June","July","August","September","October","November","December")&amp;" "&amp;DAY(C673)&amp;MID("thstndrdth",MIN(9,2*RIGHT(DAY(C673))*(MOD(DAY(C673)-11,100)&gt;2)+1),2)&amp;","&amp;TEXT(C673," yyyy"))</f>
        <v>October 5th,2021</v>
      </c>
      <c r="AB673" s="15" t="str">
        <f aca="true">IF(S673="","",DATEDIF(S673,TODAY(),"Y")&amp;" Tahun, "&amp;DATEDIF(S673,TODAY(),"YM")&amp;" Bulan, "&amp;DATEDIF(S673,TODAY(),"MD")&amp;" Hari")</f>
        <v>27 Tahun, 5 Bulan, 15 Hari</v>
      </c>
      <c r="AC673" s="18" t="n">
        <v>45570</v>
      </c>
      <c r="AD673" s="18" t="n">
        <v>45934</v>
      </c>
      <c r="AE673" s="18" t="s">
        <v>44</v>
      </c>
    </row>
    <row r="674" customFormat="false" ht="15.75" hidden="false" customHeight="true" outlineLevel="0" collapsed="false">
      <c r="A674" s="12" t="n">
        <v>5107</v>
      </c>
      <c r="B674" s="13" t="s">
        <v>3005</v>
      </c>
      <c r="C674" s="14" t="n">
        <v>44474</v>
      </c>
      <c r="D674" s="13" t="s">
        <v>774</v>
      </c>
      <c r="E674" s="15" t="s">
        <v>47</v>
      </c>
      <c r="F674" s="15" t="str">
        <f aca="false">IFERROR(__xludf.dummyfunction("XLOOKUP(AJ674,IMPORTRANGE(""1XaInW9DU9nz21V0tYIfzFQ0He9kVQ_JF2mCXgZ3hqFA"",""REKAP ALL 2026 - Andika!G:G""),IMPORTRANGE(""1XaInW9DU9nz21V0tYIfzFQ0He9kVQ_JF2mCXgZ3hqFA"",""REKAP ALL 2026 - Andika!F:F""),"""",0)"),"23172180913")</f>
        <v>23172180913</v>
      </c>
      <c r="G674" s="13" t="s">
        <v>3006</v>
      </c>
      <c r="H674" s="13" t="s">
        <v>2967</v>
      </c>
      <c r="I674" s="13" t="str">
        <f aca="false">IF(C674=J674,"NEW KONTRAK","RE-KONTRAK")</f>
        <v>RE-KONTRAK</v>
      </c>
      <c r="J674" s="16" t="n">
        <f aca="false" t="array" ref="J674:J674">IFERROR(INDEX(AC674:AE674,IF(COUNTA(AC674:AE674)=0,"",MAX((AC674:AE674&lt;&gt;"")*(COLUMN(AC674:AE674)-(COLUMN(AC674)))))-1),"")</f>
        <v>45570</v>
      </c>
      <c r="K674" s="16" t="n">
        <f aca="false" t="array" ref="K674:K674">IFERROR(INDEX(AC674:AE674,IF(COUNTA(AC674:AE674)=0,"",MAX((AC674:AE674&lt;&gt;"")*(COLUMN(AC674:AE674)-(COLUMN(AC674)-1))))-1),"")</f>
        <v>45934</v>
      </c>
      <c r="L674" s="17" t="str">
        <f aca="false" t="array" ref="L674:L674">IFERROR(INDEX(AC674:AE674,IF(COUNTA(AC674:AE674)=0,"",MAX((AC674:AE674&lt;&gt;"")*(COLUMN(AC674:AE674)-(COLUMN(AC674)-2))))-1),"")</f>
        <v>ARCHIVED</v>
      </c>
      <c r="M674" s="13" t="n">
        <f aca="true">K674-TODAY()</f>
        <v>-390</v>
      </c>
      <c r="N674" s="18" t="s">
        <v>36</v>
      </c>
      <c r="O674" s="13" t="s">
        <v>785</v>
      </c>
      <c r="P674" s="19" t="n">
        <v>5000000</v>
      </c>
      <c r="Q674" s="20" t="s">
        <v>3007</v>
      </c>
      <c r="R674" s="13" t="s">
        <v>232</v>
      </c>
      <c r="S674" s="14" t="n">
        <v>34484</v>
      </c>
      <c r="T674" s="13" t="s">
        <v>40</v>
      </c>
      <c r="U674" s="13" t="s">
        <v>3008</v>
      </c>
      <c r="V674" s="13" t="s">
        <v>42</v>
      </c>
      <c r="W674" s="13" t="s">
        <v>54</v>
      </c>
      <c r="X674" s="21" t="n">
        <v>83857557596</v>
      </c>
      <c r="Y674" s="22" t="str">
        <f aca="false">O674</f>
        <v>Gudang</v>
      </c>
      <c r="Z674" s="13" t="str">
        <f aca="false">IFERROR(__xludf.dummyfunction("if(BJ674="""","""",GOOGLETRANSLATE(BJ674,""auto"",""en""))"),"Warehouse")</f>
        <v>Warehouse</v>
      </c>
      <c r="AA674" s="23" t="str">
        <f aca="false">IF(C674="","", CHOOSE(MONTH(C674),"January","February","March","April","May","June","July","August","September","October","November","December")&amp;" "&amp;DAY(C674)&amp;MID("thstndrdth",MIN(9,2*RIGHT(DAY(C674))*(MOD(DAY(C674)-11,100)&gt;2)+1),2)&amp;","&amp;TEXT(C674," yyyy"))</f>
        <v>October 5th,2021</v>
      </c>
      <c r="AB674" s="15" t="str">
        <f aca="true">IF(S674="","",DATEDIF(S674,TODAY(),"Y")&amp;" Tahun, "&amp;DATEDIF(S674,TODAY(),"YM")&amp;" Bulan, "&amp;DATEDIF(S674,TODAY(),"MD")&amp;" Hari")</f>
        <v>32 Tahun, 4 Bulan, 29 Hari</v>
      </c>
      <c r="AC674" s="18" t="n">
        <v>45570</v>
      </c>
      <c r="AD674" s="18" t="n">
        <v>45934</v>
      </c>
      <c r="AE674" s="18" t="s">
        <v>44</v>
      </c>
    </row>
    <row r="675" customFormat="false" ht="15.75" hidden="false" customHeight="true" outlineLevel="0" collapsed="false">
      <c r="A675" s="12" t="n">
        <v>5108</v>
      </c>
      <c r="B675" s="13" t="s">
        <v>3009</v>
      </c>
      <c r="C675" s="14" t="n">
        <v>44474</v>
      </c>
      <c r="D675" s="13" t="s">
        <v>774</v>
      </c>
      <c r="E675" s="15" t="s">
        <v>47</v>
      </c>
      <c r="F675" s="15" t="str">
        <f aca="false">IFERROR(__xludf.dummyfunction("XLOOKUP(AJ675,IMPORTRANGE(""1XaInW9DU9nz21V0tYIfzFQ0He9kVQ_JF2mCXgZ3hqFA"",""REKAP ALL 2026 - Andika!G:G""),IMPORTRANGE(""1XaInW9DU9nz21V0tYIfzFQ0He9kVQ_JF2mCXgZ3hqFA"",""REKAP ALL 2026 - Andika!F:F""),"""",0)"),"23172180038")</f>
        <v>23172180038</v>
      </c>
      <c r="G675" s="13" t="s">
        <v>3010</v>
      </c>
      <c r="H675" s="13" t="s">
        <v>2967</v>
      </c>
      <c r="I675" s="13" t="str">
        <f aca="false">IF(C675=J675,"NEW KONTRAK","RE-KONTRAK")</f>
        <v>RE-KONTRAK</v>
      </c>
      <c r="J675" s="16" t="n">
        <f aca="false" t="array" ref="J675:J675">IFERROR(INDEX(AC675:AE675,IF(COUNTA(AC675:AE675)=0,"",MAX((AC675:AE675&lt;&gt;"")*(COLUMN(AC675:AE675)-(COLUMN(AC675)))))-1),"")</f>
        <v>45570</v>
      </c>
      <c r="K675" s="16" t="n">
        <f aca="false" t="array" ref="K675:K675">IFERROR(INDEX(AC675:AE675,IF(COUNTA(AC675:AE675)=0,"",MAX((AC675:AE675&lt;&gt;"")*(COLUMN(AC675:AE675)-(COLUMN(AC675)-1))))-1),"")</f>
        <v>45934</v>
      </c>
      <c r="L675" s="17" t="str">
        <f aca="false" t="array" ref="L675:L675">IFERROR(INDEX(AC675:AE675,IF(COUNTA(AC675:AE675)=0,"",MAX((AC675:AE675&lt;&gt;"")*(COLUMN(AC675:AE675)-(COLUMN(AC675)-2))))-1),"")</f>
        <v>ARCHIVED</v>
      </c>
      <c r="M675" s="13" t="n">
        <f aca="true">K675-TODAY()</f>
        <v>-390</v>
      </c>
      <c r="N675" s="18" t="s">
        <v>36</v>
      </c>
      <c r="O675" s="13" t="s">
        <v>785</v>
      </c>
      <c r="P675" s="19" t="n">
        <v>4500000</v>
      </c>
      <c r="Q675" s="20" t="s">
        <v>3011</v>
      </c>
      <c r="R675" s="13" t="s">
        <v>39</v>
      </c>
      <c r="S675" s="14" t="n">
        <v>29083</v>
      </c>
      <c r="T675" s="13" t="s">
        <v>40</v>
      </c>
      <c r="U675" s="13" t="s">
        <v>3012</v>
      </c>
      <c r="V675" s="13" t="s">
        <v>42</v>
      </c>
      <c r="W675" s="13" t="s">
        <v>54</v>
      </c>
      <c r="X675" s="21" t="n">
        <v>81554488156</v>
      </c>
      <c r="Y675" s="22" t="str">
        <f aca="false">O675</f>
        <v>Gudang</v>
      </c>
      <c r="Z675" s="13" t="str">
        <f aca="false">IFERROR(__xludf.dummyfunction("if(BJ675="""","""",GOOGLETRANSLATE(BJ675,""auto"",""en""))"),"Warehouse")</f>
        <v>Warehouse</v>
      </c>
      <c r="AA675" s="23" t="str">
        <f aca="false">IF(C675="","", CHOOSE(MONTH(C675),"January","February","March","April","May","June","July","August","September","October","November","December")&amp;" "&amp;DAY(C675)&amp;MID("thstndrdth",MIN(9,2*RIGHT(DAY(C675))*(MOD(DAY(C675)-11,100)&gt;2)+1),2)&amp;","&amp;TEXT(C675," yyyy"))</f>
        <v>October 5th,2021</v>
      </c>
      <c r="AB675" s="15" t="str">
        <f aca="true">IF(S675="","",DATEDIF(S675,TODAY(),"Y")&amp;" Tahun, "&amp;DATEDIF(S675,TODAY(),"YM")&amp;" Bulan, "&amp;DATEDIF(S675,TODAY(),"MD")&amp;" Hari")</f>
        <v>47 Tahun, 2 Bulan, 13 Hari</v>
      </c>
      <c r="AC675" s="18" t="n">
        <v>45570</v>
      </c>
      <c r="AD675" s="18" t="n">
        <v>45934</v>
      </c>
      <c r="AE675" s="18" t="s">
        <v>44</v>
      </c>
    </row>
    <row r="676" customFormat="false" ht="15" hidden="false" customHeight="true" outlineLevel="0" collapsed="false">
      <c r="A676" s="12" t="n">
        <v>5110</v>
      </c>
      <c r="B676" s="13" t="s">
        <v>3013</v>
      </c>
      <c r="C676" s="14" t="n">
        <v>44474</v>
      </c>
      <c r="D676" s="13" t="s">
        <v>774</v>
      </c>
      <c r="E676" s="15" t="s">
        <v>47</v>
      </c>
      <c r="F676" s="15" t="str">
        <f aca="false">IFERROR(__xludf.dummyfunction("XLOOKUP(AJ676,IMPORTRANGE(""1XaInW9DU9nz21V0tYIfzFQ0He9kVQ_JF2mCXgZ3hqFA"",""REKAP ALL 2026 - Andika!G:G""),IMPORTRANGE(""1XaInW9DU9nz21V0tYIfzFQ0He9kVQ_JF2mCXgZ3hqFA"",""REKAP ALL 2026 - Andika!F:F""),"""",0)"),"23172181044")</f>
        <v>23172181044</v>
      </c>
      <c r="G676" s="13" t="s">
        <v>3014</v>
      </c>
      <c r="H676" s="13" t="s">
        <v>2967</v>
      </c>
      <c r="I676" s="13" t="str">
        <f aca="false">IF(C676=J676,"NEW KONTRAK","RE-KONTRAK")</f>
        <v>RE-KONTRAK</v>
      </c>
      <c r="J676" s="16" t="n">
        <f aca="false" t="array" ref="J676:J676">IFERROR(INDEX(AC676:AE676,IF(COUNTA(AC676:AE676)=0,"",MAX((AC676:AE676&lt;&gt;"")*(COLUMN(AC676:AE676)-(COLUMN(AC676)))))-1),"")</f>
        <v>45570</v>
      </c>
      <c r="K676" s="16" t="n">
        <f aca="false" t="array" ref="K676:K676">IFERROR(INDEX(AC676:AE676,IF(COUNTA(AC676:AE676)=0,"",MAX((AC676:AE676&lt;&gt;"")*(COLUMN(AC676:AE676)-(COLUMN(AC676)-1))))-1),"")</f>
        <v>45934</v>
      </c>
      <c r="L676" s="17" t="str">
        <f aca="false" t="array" ref="L676:L676">IFERROR(INDEX(AC676:AE676,IF(COUNTA(AC676:AE676)=0,"",MAX((AC676:AE676&lt;&gt;"")*(COLUMN(AC676:AE676)-(COLUMN(AC676)-2))))-1),"")</f>
        <v>ARCHIVED</v>
      </c>
      <c r="M676" s="13" t="n">
        <f aca="true">K676-TODAY()</f>
        <v>-390</v>
      </c>
      <c r="N676" s="18" t="s">
        <v>36</v>
      </c>
      <c r="O676" s="13" t="s">
        <v>3015</v>
      </c>
      <c r="P676" s="19" t="n">
        <v>4500000</v>
      </c>
      <c r="Q676" s="20" t="s">
        <v>3016</v>
      </c>
      <c r="R676" s="13" t="s">
        <v>78</v>
      </c>
      <c r="S676" s="14" t="n">
        <v>35769</v>
      </c>
      <c r="T676" s="13" t="s">
        <v>108</v>
      </c>
      <c r="U676" s="13" t="s">
        <v>3017</v>
      </c>
      <c r="V676" s="13" t="s">
        <v>42</v>
      </c>
      <c r="W676" s="13" t="s">
        <v>43</v>
      </c>
      <c r="X676" s="21" t="n">
        <v>85806172848</v>
      </c>
      <c r="Y676" s="22" t="str">
        <f aca="false">O676</f>
        <v>Staff Produksi</v>
      </c>
      <c r="Z676" s="13" t="str">
        <f aca="false">IFERROR(__xludf.dummyfunction("if(BJ676="""","""",GOOGLETRANSLATE(BJ676,""auto"",""en""))"),"Production Staff")</f>
        <v>Production Staff</v>
      </c>
      <c r="AA676" s="23" t="str">
        <f aca="false">IF(C676="","", CHOOSE(MONTH(C676),"January","February","March","April","May","June","July","August","September","October","November","December")&amp;" "&amp;DAY(C676)&amp;MID("thstndrdth",MIN(9,2*RIGHT(DAY(C676))*(MOD(DAY(C676)-11,100)&gt;2)+1),2)&amp;","&amp;TEXT(C676," yyyy"))</f>
        <v>October 5th,2021</v>
      </c>
      <c r="AB676" s="15" t="str">
        <f aca="true">IF(S676="","",DATEDIF(S676,TODAY(),"Y")&amp;" Tahun, "&amp;DATEDIF(S676,TODAY(),"YM")&amp;" Bulan, "&amp;DATEDIF(S676,TODAY(),"MD")&amp;" Hari")</f>
        <v>28 Tahun, 10 Bulan, 24 Hari</v>
      </c>
      <c r="AC676" s="18" t="n">
        <v>45570</v>
      </c>
      <c r="AD676" s="18" t="n">
        <v>45934</v>
      </c>
      <c r="AE676" s="18" t="s">
        <v>44</v>
      </c>
    </row>
    <row r="677" customFormat="false" ht="15.75" hidden="false" customHeight="true" outlineLevel="0" collapsed="false">
      <c r="A677" s="12" t="n">
        <v>5111</v>
      </c>
      <c r="B677" s="13" t="s">
        <v>3018</v>
      </c>
      <c r="C677" s="14" t="n">
        <v>44474</v>
      </c>
      <c r="D677" s="13" t="s">
        <v>774</v>
      </c>
      <c r="E677" s="15" t="s">
        <v>47</v>
      </c>
      <c r="F677" s="15" t="str">
        <f aca="false">IFERROR(__xludf.dummyfunction("XLOOKUP(AJ677,IMPORTRANGE(""1XaInW9DU9nz21V0tYIfzFQ0He9kVQ_JF2mCXgZ3hqFA"",""REKAP ALL 2026 - Andika!G:G""),IMPORTRANGE(""1XaInW9DU9nz21V0tYIfzFQ0He9kVQ_JF2mCXgZ3hqFA"",""REKAP ALL 2026 - Andika!F:F""),"""",0)"),"23172180244")</f>
        <v>23172180244</v>
      </c>
      <c r="G677" s="13" t="s">
        <v>3019</v>
      </c>
      <c r="H677" s="13" t="s">
        <v>2967</v>
      </c>
      <c r="I677" s="13" t="str">
        <f aca="false">IF(C677=J677,"NEW KONTRAK","RE-KONTRAK")</f>
        <v>RE-KONTRAK</v>
      </c>
      <c r="J677" s="16" t="n">
        <f aca="false" t="array" ref="J677:J677">IFERROR(INDEX(AC677:AE677,IF(COUNTA(AC677:AE677)=0,"",MAX((AC677:AE677&lt;&gt;"")*(COLUMN(AC677:AE677)-(COLUMN(AC677)))))-1),"")</f>
        <v>45570</v>
      </c>
      <c r="K677" s="16" t="n">
        <f aca="false" t="array" ref="K677:K677">IFERROR(INDEX(AC677:AE677,IF(COUNTA(AC677:AE677)=0,"",MAX((AC677:AE677&lt;&gt;"")*(COLUMN(AC677:AE677)-(COLUMN(AC677)-1))))-1),"")</f>
        <v>45934</v>
      </c>
      <c r="L677" s="17" t="str">
        <f aca="false" t="array" ref="L677:L677">IFERROR(INDEX(AC677:AE677,IF(COUNTA(AC677:AE677)=0,"",MAX((AC677:AE677&lt;&gt;"")*(COLUMN(AC677:AE677)-(COLUMN(AC677)-2))))-1),"")</f>
        <v>ARCHIVED</v>
      </c>
      <c r="M677" s="13" t="n">
        <f aca="true">K677-TODAY()</f>
        <v>-390</v>
      </c>
      <c r="N677" s="18" t="s">
        <v>36</v>
      </c>
      <c r="O677" s="29" t="s">
        <v>812</v>
      </c>
      <c r="P677" s="19" t="n">
        <v>4500000</v>
      </c>
      <c r="Q677" s="20" t="s">
        <v>3020</v>
      </c>
      <c r="R677" s="13" t="s">
        <v>39</v>
      </c>
      <c r="S677" s="14" t="n">
        <v>30762</v>
      </c>
      <c r="T677" s="13" t="s">
        <v>40</v>
      </c>
      <c r="U677" s="13" t="s">
        <v>2980</v>
      </c>
      <c r="V677" s="13" t="s">
        <v>42</v>
      </c>
      <c r="W677" s="13" t="s">
        <v>43</v>
      </c>
      <c r="X677" s="21" t="n">
        <v>88217248897</v>
      </c>
      <c r="Y677" s="22" t="str">
        <f aca="false">O677</f>
        <v>Heating</v>
      </c>
      <c r="Z677" s="13" t="str">
        <f aca="false">IFERROR(__xludf.dummyfunction("if(BJ677="""","""",GOOGLETRANSLATE(BJ677,""auto"",""en""))"),"Heating")</f>
        <v>Heating</v>
      </c>
      <c r="AA677" s="23" t="str">
        <f aca="false">IF(C677="","", CHOOSE(MONTH(C677),"January","February","March","April","May","June","July","August","September","October","November","December")&amp;" "&amp;DAY(C677)&amp;MID("thstndrdth",MIN(9,2*RIGHT(DAY(C677))*(MOD(DAY(C677)-11,100)&gt;2)+1),2)&amp;","&amp;TEXT(C677," yyyy"))</f>
        <v>October 5th,2021</v>
      </c>
      <c r="AB677" s="15" t="str">
        <f aca="true">IF(S677="","",DATEDIF(S677,TODAY(),"Y")&amp;" Tahun, "&amp;DATEDIF(S677,TODAY(),"YM")&amp;" Bulan, "&amp;DATEDIF(S677,TODAY(),"MD")&amp;" Hari")</f>
        <v>42 Tahun, 7 Bulan, 8 Hari</v>
      </c>
      <c r="AC677" s="18" t="n">
        <v>45570</v>
      </c>
      <c r="AD677" s="18" t="n">
        <v>45934</v>
      </c>
      <c r="AE677" s="18" t="s">
        <v>44</v>
      </c>
    </row>
    <row r="678" customFormat="false" ht="15.75" hidden="false" customHeight="true" outlineLevel="0" collapsed="false">
      <c r="A678" s="12" t="n">
        <v>5112</v>
      </c>
      <c r="B678" s="13" t="s">
        <v>3021</v>
      </c>
      <c r="C678" s="14" t="n">
        <v>44474</v>
      </c>
      <c r="D678" s="13" t="s">
        <v>3022</v>
      </c>
      <c r="E678" s="15" t="s">
        <v>47</v>
      </c>
      <c r="F678" s="15" t="str">
        <f aca="false">IFERROR(__xludf.dummyfunction("XLOOKUP(AJ678,IMPORTRANGE(""1XaInW9DU9nz21V0tYIfzFQ0He9kVQ_JF2mCXgZ3hqFA"",""REKAP ALL 2026 - Andika!G:G""),IMPORTRANGE(""1XaInW9DU9nz21V0tYIfzFQ0He9kVQ_JF2mCXgZ3hqFA"",""REKAP ALL 2026 - Andika!F:F""),"""",0)"),"23172179428")</f>
        <v>23172179428</v>
      </c>
      <c r="G678" s="13" t="s">
        <v>3023</v>
      </c>
      <c r="H678" s="13" t="s">
        <v>3024</v>
      </c>
      <c r="I678" s="13" t="str">
        <f aca="false">IF(C678=J678,"NEW KONTRAK","RE-KONTRAK")</f>
        <v>RE-KONTRAK</v>
      </c>
      <c r="J678" s="16" t="n">
        <f aca="false" t="array" ref="J678:J678">IFERROR(INDEX(AC678:AE678,IF(COUNTA(AC678:AE678)=0,"",MAX((AC678:AE678&lt;&gt;"")*(COLUMN(AC678:AE678)-(COLUMN(AC678)))))-1),"")</f>
        <v>45570</v>
      </c>
      <c r="K678" s="16" t="n">
        <f aca="false" t="array" ref="K678:K678">IFERROR(INDEX(AC678:AE678,IF(COUNTA(AC678:AE678)=0,"",MAX((AC678:AE678&lt;&gt;"")*(COLUMN(AC678:AE678)-(COLUMN(AC678)-1))))-1),"")</f>
        <v>45934</v>
      </c>
      <c r="L678" s="17" t="str">
        <f aca="false" t="array" ref="L678:L678">IFERROR(INDEX(AC678:AE678,IF(COUNTA(AC678:AE678)=0,"",MAX((AC678:AE678&lt;&gt;"")*(COLUMN(AC678:AE678)-(COLUMN(AC678)-2))))-1),"")</f>
        <v>ARCHIVED</v>
      </c>
      <c r="M678" s="13" t="n">
        <f aca="true">K678-TODAY()</f>
        <v>-390</v>
      </c>
      <c r="N678" s="18" t="s">
        <v>36</v>
      </c>
      <c r="O678" s="13" t="s">
        <v>3025</v>
      </c>
      <c r="P678" s="19" t="n">
        <v>150000</v>
      </c>
      <c r="Q678" s="20" t="s">
        <v>3026</v>
      </c>
      <c r="R678" s="13" t="s">
        <v>39</v>
      </c>
      <c r="S678" s="14" t="n">
        <v>35802</v>
      </c>
      <c r="T678" s="13" t="s">
        <v>40</v>
      </c>
      <c r="U678" s="13" t="s">
        <v>3027</v>
      </c>
      <c r="V678" s="13" t="s">
        <v>42</v>
      </c>
      <c r="W678" s="13" t="s">
        <v>43</v>
      </c>
      <c r="X678" s="21" t="n">
        <v>85931197107</v>
      </c>
      <c r="Y678" s="22" t="str">
        <f aca="false">O678</f>
        <v>Gudang ( Warehouse )</v>
      </c>
      <c r="Z678" s="13" t="str">
        <f aca="false">IFERROR(__xludf.dummyfunction("if(BJ678="""","""",GOOGLETRANSLATE(BJ678,""auto"",""en""))"),"Warehouse")</f>
        <v>Warehouse</v>
      </c>
      <c r="AA678" s="23" t="str">
        <f aca="false">IF(C678="","", CHOOSE(MONTH(C678),"January","February","March","April","May","June","July","August","September","October","November","December")&amp;" "&amp;DAY(C678)&amp;MID("thstndrdth",MIN(9,2*RIGHT(DAY(C678))*(MOD(DAY(C678)-11,100)&gt;2)+1),2)&amp;","&amp;TEXT(C678," yyyy"))</f>
        <v>October 5th,2021</v>
      </c>
      <c r="AB678" s="15" t="str">
        <f aca="true">IF(S678="","",DATEDIF(S678,TODAY(),"Y")&amp;" Tahun, "&amp;DATEDIF(S678,TODAY(),"YM")&amp;" Bulan, "&amp;DATEDIF(S678,TODAY(),"MD")&amp;" Hari")</f>
        <v>28 Tahun, 9 Bulan, 22 Hari</v>
      </c>
      <c r="AC678" s="18" t="n">
        <v>45570</v>
      </c>
      <c r="AD678" s="18" t="n">
        <v>45934</v>
      </c>
      <c r="AE678" s="18" t="s">
        <v>44</v>
      </c>
    </row>
    <row r="679" customFormat="false" ht="15.75" hidden="false" customHeight="true" outlineLevel="0" collapsed="false">
      <c r="A679" s="12" t="n">
        <v>5115</v>
      </c>
      <c r="B679" s="13" t="s">
        <v>3028</v>
      </c>
      <c r="C679" s="14" t="n">
        <v>44474</v>
      </c>
      <c r="D679" s="13" t="s">
        <v>3022</v>
      </c>
      <c r="E679" s="15" t="s">
        <v>47</v>
      </c>
      <c r="F679" s="15" t="str">
        <f aca="false">IFERROR(__xludf.dummyfunction("XLOOKUP(AJ679,IMPORTRANGE(""1XaInW9DU9nz21V0tYIfzFQ0He9kVQ_JF2mCXgZ3hqFA"",""REKAP ALL 2026 - Andika!G:G""),IMPORTRANGE(""1XaInW9DU9nz21V0tYIfzFQ0He9kVQ_JF2mCXgZ3hqFA"",""REKAP ALL 2026 - Andika!F:F""),"""",0)"),"23172180541")</f>
        <v>23172180541</v>
      </c>
      <c r="G679" s="13" t="s">
        <v>3029</v>
      </c>
      <c r="H679" s="13" t="s">
        <v>3024</v>
      </c>
      <c r="I679" s="13" t="str">
        <f aca="false">IF(C679=J679,"NEW KONTRAK","RE-KONTRAK")</f>
        <v>RE-KONTRAK</v>
      </c>
      <c r="J679" s="16" t="n">
        <f aca="false" t="array" ref="J679:J679">IFERROR(INDEX(AC679:AE679,IF(COUNTA(AC679:AE679)=0,"",MAX((AC679:AE679&lt;&gt;"")*(COLUMN(AC679:AE679)-(COLUMN(AC679)))))-1),"")</f>
        <v>45570</v>
      </c>
      <c r="K679" s="16" t="n">
        <f aca="false" t="array" ref="K679:K679">IFERROR(INDEX(AC679:AE679,IF(COUNTA(AC679:AE679)=0,"",MAX((AC679:AE679&lt;&gt;"")*(COLUMN(AC679:AE679)-(COLUMN(AC679)-1))))-1),"")</f>
        <v>45934</v>
      </c>
      <c r="L679" s="17" t="str">
        <f aca="false" t="array" ref="L679:L679">IFERROR(INDEX(AC679:AE679,IF(COUNTA(AC679:AE679)=0,"",MAX((AC679:AE679&lt;&gt;"")*(COLUMN(AC679:AE679)-(COLUMN(AC679)-2))))-1),"")</f>
        <v>ARCHIVED</v>
      </c>
      <c r="M679" s="13" t="n">
        <f aca="true">K679-TODAY()</f>
        <v>-390</v>
      </c>
      <c r="N679" s="18" t="s">
        <v>36</v>
      </c>
      <c r="O679" s="13" t="s">
        <v>3030</v>
      </c>
      <c r="P679" s="19" t="n">
        <v>175000</v>
      </c>
      <c r="Q679" s="20" t="s">
        <v>3031</v>
      </c>
      <c r="R679" s="13" t="s">
        <v>39</v>
      </c>
      <c r="S679" s="14" t="n">
        <v>33629</v>
      </c>
      <c r="T679" s="13" t="s">
        <v>40</v>
      </c>
      <c r="U679" s="13" t="s">
        <v>3032</v>
      </c>
      <c r="V679" s="13" t="s">
        <v>42</v>
      </c>
      <c r="W679" s="13" t="s">
        <v>43</v>
      </c>
      <c r="X679" s="21" t="n">
        <v>85707113667</v>
      </c>
      <c r="Y679" s="22" t="str">
        <f aca="false">O679</f>
        <v>Produksi ( Shearing )</v>
      </c>
      <c r="Z679" s="13" t="str">
        <f aca="false">IFERROR(__xludf.dummyfunction("if(BJ679="""","""",GOOGLETRANSLATE(BJ679,""auto"",""en""))"),"Production (Shearing)")</f>
        <v>Production (Shearing)</v>
      </c>
      <c r="AA679" s="23" t="str">
        <f aca="false">IF(C679="","", CHOOSE(MONTH(C679),"January","February","March","April","May","June","July","August","September","October","November","December")&amp;" "&amp;DAY(C679)&amp;MID("thstndrdth",MIN(9,2*RIGHT(DAY(C679))*(MOD(DAY(C679)-11,100)&gt;2)+1),2)&amp;","&amp;TEXT(C679," yyyy"))</f>
        <v>October 5th,2021</v>
      </c>
      <c r="AB679" s="15" t="str">
        <f aca="true">IF(S679="","",DATEDIF(S679,TODAY(),"Y")&amp;" Tahun, "&amp;DATEDIF(S679,TODAY(),"YM")&amp;" Bulan, "&amp;DATEDIF(S679,TODAY(),"MD")&amp;" Hari")</f>
        <v>34 Tahun, 9 Bulan, 3 Hari</v>
      </c>
      <c r="AC679" s="18" t="n">
        <v>45570</v>
      </c>
      <c r="AD679" s="18" t="n">
        <v>45934</v>
      </c>
      <c r="AE679" s="18" t="s">
        <v>44</v>
      </c>
    </row>
    <row r="680" customFormat="false" ht="15.75" hidden="false" customHeight="true" outlineLevel="0" collapsed="false">
      <c r="A680" s="12" t="n">
        <v>5118</v>
      </c>
      <c r="B680" s="13" t="s">
        <v>3033</v>
      </c>
      <c r="C680" s="14" t="n">
        <v>44474</v>
      </c>
      <c r="D680" s="13" t="s">
        <v>3022</v>
      </c>
      <c r="E680" s="15" t="s">
        <v>102</v>
      </c>
      <c r="F680" s="15" t="str">
        <f aca="false">IFERROR(__xludf.dummyfunction("XLOOKUP(AJ680,IMPORTRANGE(""1XaInW9DU9nz21V0tYIfzFQ0He9kVQ_JF2mCXgZ3hqFA"",""REKAP ALL 2026 - Andika!G:G""),IMPORTRANGE(""1XaInW9DU9nz21V0tYIfzFQ0He9kVQ_JF2mCXgZ3hqFA"",""REKAP ALL 2026 - Andika!F:F""),"""",0)"),"26035117279")</f>
        <v>26035117279</v>
      </c>
      <c r="G680" s="13" t="s">
        <v>3034</v>
      </c>
      <c r="H680" s="13" t="s">
        <v>2967</v>
      </c>
      <c r="I680" s="13" t="str">
        <f aca="false">IF(C680=J680,"NEW KONTRAK","RE-KONTRAK")</f>
        <v>RE-KONTRAK</v>
      </c>
      <c r="J680" s="16" t="n">
        <f aca="false" t="array" ref="J680:J680">IFERROR(INDEX(AC680:AE680,IF(COUNTA(AC680:AE680)=0,"",MAX((AC680:AE680&lt;&gt;"")*(COLUMN(AC680:AE680)-(COLUMN(AC680)))))-1),"")</f>
        <v>45570</v>
      </c>
      <c r="K680" s="16" t="n">
        <f aca="false" t="array" ref="K680:K680">IFERROR(INDEX(AC680:AE680,IF(COUNTA(AC680:AE680)=0,"",MAX((AC680:AE680&lt;&gt;"")*(COLUMN(AC680:AE680)-(COLUMN(AC680)-1))))-1),"")</f>
        <v>45934</v>
      </c>
      <c r="L680" s="17" t="str">
        <f aca="false" t="array" ref="L680:L680">IFERROR(INDEX(AC680:AE680,IF(COUNTA(AC680:AE680)=0,"",MAX((AC680:AE680&lt;&gt;"")*(COLUMN(AC680:AE680)-(COLUMN(AC680)-2))))-1),"")</f>
        <v>ARCHIVED</v>
      </c>
      <c r="M680" s="13" t="n">
        <f aca="true">K680-TODAY()</f>
        <v>-390</v>
      </c>
      <c r="N680" s="18" t="s">
        <v>36</v>
      </c>
      <c r="O680" s="13" t="s">
        <v>3025</v>
      </c>
      <c r="P680" s="19" t="n">
        <v>128500</v>
      </c>
      <c r="Q680" s="20" t="s">
        <v>3035</v>
      </c>
      <c r="R680" s="13" t="s">
        <v>39</v>
      </c>
      <c r="S680" s="14" t="n">
        <v>37140</v>
      </c>
      <c r="T680" s="13" t="s">
        <v>40</v>
      </c>
      <c r="U680" s="13" t="s">
        <v>3032</v>
      </c>
      <c r="V680" s="13" t="s">
        <v>42</v>
      </c>
      <c r="W680" s="13" t="s">
        <v>43</v>
      </c>
      <c r="X680" s="21" t="n">
        <v>89510498063</v>
      </c>
      <c r="Y680" s="22" t="str">
        <f aca="false">O680</f>
        <v>Gudang ( Warehouse )</v>
      </c>
      <c r="Z680" s="13" t="str">
        <f aca="false">IFERROR(__xludf.dummyfunction("if(BJ680="""","""",GOOGLETRANSLATE(BJ680,""auto"",""en""))"),"Warehouse")</f>
        <v>Warehouse</v>
      </c>
      <c r="AA680" s="23" t="str">
        <f aca="false">IF(C680="","", CHOOSE(MONTH(C680),"January","February","March","April","May","June","July","August","September","October","November","December")&amp;" "&amp;DAY(C680)&amp;MID("thstndrdth",MIN(9,2*RIGHT(DAY(C680))*(MOD(DAY(C680)-11,100)&gt;2)+1),2)&amp;","&amp;TEXT(C680," yyyy"))</f>
        <v>October 5th,2021</v>
      </c>
      <c r="AB680" s="15" t="str">
        <f aca="true">IF(S680="","",DATEDIF(S680,TODAY(),"Y")&amp;" Tahun, "&amp;DATEDIF(S680,TODAY(),"YM")&amp;" Bulan, "&amp;DATEDIF(S680,TODAY(),"MD")&amp;" Hari")</f>
        <v>25 Tahun, 1 Bulan, 23 Hari</v>
      </c>
      <c r="AC680" s="18" t="n">
        <v>45570</v>
      </c>
      <c r="AD680" s="18" t="n">
        <v>45934</v>
      </c>
      <c r="AE680" s="18" t="s">
        <v>44</v>
      </c>
    </row>
    <row r="681" customFormat="false" ht="15.75" hidden="false" customHeight="true" outlineLevel="0" collapsed="false">
      <c r="A681" s="12" t="n">
        <v>5120</v>
      </c>
      <c r="B681" s="13" t="s">
        <v>3036</v>
      </c>
      <c r="C681" s="14" t="n">
        <v>44474</v>
      </c>
      <c r="D681" s="13" t="s">
        <v>774</v>
      </c>
      <c r="E681" s="15" t="s">
        <v>47</v>
      </c>
      <c r="F681" s="15" t="str">
        <f aca="false">IFERROR(__xludf.dummyfunction("XLOOKUP(AJ681,IMPORTRANGE(""1XaInW9DU9nz21V0tYIfzFQ0He9kVQ_JF2mCXgZ3hqFA"",""REKAP ALL 2026 - Andika!G:G""),IMPORTRANGE(""1XaInW9DU9nz21V0tYIfzFQ0He9kVQ_JF2mCXgZ3hqFA"",""REKAP ALL 2026 - Andika!F:F""),"""",0)"),"23172180376")</f>
        <v>23172180376</v>
      </c>
      <c r="G681" s="13" t="s">
        <v>3037</v>
      </c>
      <c r="H681" s="13" t="s">
        <v>2967</v>
      </c>
      <c r="I681" s="13" t="str">
        <f aca="false">IF(C681=J681,"NEW KONTRAK","RE-KONTRAK")</f>
        <v>RE-KONTRAK</v>
      </c>
      <c r="J681" s="16" t="n">
        <f aca="false" t="array" ref="J681:J681">IFERROR(INDEX(AC681:AE681,IF(COUNTA(AC681:AE681)=0,"",MAX((AC681:AE681&lt;&gt;"")*(COLUMN(AC681:AE681)-(COLUMN(AC681)))))-1),"")</f>
        <v>45570</v>
      </c>
      <c r="K681" s="16" t="n">
        <f aca="false" t="array" ref="K681:K681">IFERROR(INDEX(AC681:AE681,IF(COUNTA(AC681:AE681)=0,"",MAX((AC681:AE681&lt;&gt;"")*(COLUMN(AC681:AE681)-(COLUMN(AC681)-1))))-1),"")</f>
        <v>45934</v>
      </c>
      <c r="L681" s="17" t="str">
        <f aca="false" t="array" ref="L681:L681">IFERROR(INDEX(AC681:AE681,IF(COUNTA(AC681:AE681)=0,"",MAX((AC681:AE681&lt;&gt;"")*(COLUMN(AC681:AE681)-(COLUMN(AC681)-2))))-1),"")</f>
        <v>ARCHIVED</v>
      </c>
      <c r="M681" s="13" t="n">
        <f aca="true">K681-TODAY()</f>
        <v>-390</v>
      </c>
      <c r="N681" s="18" t="s">
        <v>36</v>
      </c>
      <c r="O681" s="13" t="s">
        <v>812</v>
      </c>
      <c r="P681" s="19" t="n">
        <v>4250000</v>
      </c>
      <c r="Q681" s="20" t="s">
        <v>3038</v>
      </c>
      <c r="R681" s="13" t="s">
        <v>232</v>
      </c>
      <c r="S681" s="14" t="n">
        <v>37764</v>
      </c>
      <c r="T681" s="13" t="s">
        <v>40</v>
      </c>
      <c r="U681" s="13" t="s">
        <v>3039</v>
      </c>
      <c r="V681" s="13" t="s">
        <v>42</v>
      </c>
      <c r="W681" s="13" t="s">
        <v>43</v>
      </c>
      <c r="X681" s="21" t="n">
        <v>8970847856</v>
      </c>
      <c r="Y681" s="22" t="str">
        <f aca="false">O681</f>
        <v>Heating</v>
      </c>
      <c r="Z681" s="13" t="str">
        <f aca="false">IFERROR(__xludf.dummyfunction("if(BJ681="""","""",GOOGLETRANSLATE(BJ681,""auto"",""en""))"),"Heating")</f>
        <v>Heating</v>
      </c>
      <c r="AA681" s="23" t="str">
        <f aca="false">IF(C681="","", CHOOSE(MONTH(C681),"January","February","March","April","May","June","July","August","September","October","November","December")&amp;" "&amp;DAY(C681)&amp;MID("thstndrdth",MIN(9,2*RIGHT(DAY(C681))*(MOD(DAY(C681)-11,100)&gt;2)+1),2)&amp;","&amp;TEXT(C681," yyyy"))</f>
        <v>October 5th,2021</v>
      </c>
      <c r="AB681" s="15" t="str">
        <f aca="true">IF(S681="","",DATEDIF(S681,TODAY(),"Y")&amp;" Tahun, "&amp;DATEDIF(S681,TODAY(),"YM")&amp;" Bulan, "&amp;DATEDIF(S681,TODAY(),"MD")&amp;" Hari")</f>
        <v>23 Tahun, 5 Bulan, 6 Hari</v>
      </c>
      <c r="AC681" s="18" t="n">
        <v>45570</v>
      </c>
      <c r="AD681" s="18" t="n">
        <v>45934</v>
      </c>
      <c r="AE681" s="18" t="s">
        <v>44</v>
      </c>
    </row>
    <row r="682" customFormat="false" ht="15.75" hidden="false" customHeight="true" outlineLevel="0" collapsed="false">
      <c r="A682" s="12" t="n">
        <v>5123</v>
      </c>
      <c r="B682" s="13" t="s">
        <v>3040</v>
      </c>
      <c r="C682" s="14" t="n">
        <v>44474</v>
      </c>
      <c r="D682" s="13" t="s">
        <v>774</v>
      </c>
      <c r="E682" s="15" t="s">
        <v>47</v>
      </c>
      <c r="F682" s="15" t="str">
        <f aca="false">IFERROR(__xludf.dummyfunction("XLOOKUP(AJ682,IMPORTRANGE(""1XaInW9DU9nz21V0tYIfzFQ0He9kVQ_JF2mCXgZ3hqFA"",""REKAP ALL 2026 - Andika!G:G""),IMPORTRANGE(""1XaInW9DU9nz21V0tYIfzFQ0He9kVQ_JF2mCXgZ3hqFA"",""REKAP ALL 2026 - Andika!F:F""),"""",0)"),"23172180392")</f>
        <v>23172180392</v>
      </c>
      <c r="G682" s="13" t="s">
        <v>3041</v>
      </c>
      <c r="H682" s="13" t="s">
        <v>2967</v>
      </c>
      <c r="I682" s="13" t="str">
        <f aca="false">IF(C682=J682,"NEW KONTRAK","RE-KONTRAK")</f>
        <v>RE-KONTRAK</v>
      </c>
      <c r="J682" s="16" t="n">
        <f aca="false" t="array" ref="J682:J682">IFERROR(INDEX(AC682:AE682,IF(COUNTA(AC682:AE682)=0,"",MAX((AC682:AE682&lt;&gt;"")*(COLUMN(AC682:AE682)-(COLUMN(AC682)))))-1),"")</f>
        <v>45570</v>
      </c>
      <c r="K682" s="16" t="n">
        <f aca="false" t="array" ref="K682:K682">IFERROR(INDEX(AC682:AE682,IF(COUNTA(AC682:AE682)=0,"",MAX((AC682:AE682&lt;&gt;"")*(COLUMN(AC682:AE682)-(COLUMN(AC682)-1))))-1),"")</f>
        <v>45934</v>
      </c>
      <c r="L682" s="17" t="str">
        <f aca="false" t="array" ref="L682:L682">IFERROR(INDEX(AC682:AE682,IF(COUNTA(AC682:AE682)=0,"",MAX((AC682:AE682&lt;&gt;"")*(COLUMN(AC682:AE682)-(COLUMN(AC682)-2))))-1),"")</f>
        <v>ARCHIVED</v>
      </c>
      <c r="M682" s="13" t="n">
        <f aca="true">K682-TODAY()</f>
        <v>-390</v>
      </c>
      <c r="N682" s="18" t="s">
        <v>36</v>
      </c>
      <c r="O682" s="13" t="s">
        <v>624</v>
      </c>
      <c r="P682" s="19" t="n">
        <v>4000000</v>
      </c>
      <c r="Q682" s="20" t="s">
        <v>3042</v>
      </c>
      <c r="R682" s="13" t="s">
        <v>232</v>
      </c>
      <c r="S682" s="14" t="n">
        <v>35453</v>
      </c>
      <c r="T682" s="13" t="s">
        <v>40</v>
      </c>
      <c r="U682" s="13" t="s">
        <v>3043</v>
      </c>
      <c r="V682" s="13" t="s">
        <v>42</v>
      </c>
      <c r="W682" s="13" t="s">
        <v>43</v>
      </c>
      <c r="X682" s="21" t="n">
        <v>85904391400</v>
      </c>
      <c r="Y682" s="22" t="str">
        <f aca="false">O682</f>
        <v>Quality Control</v>
      </c>
      <c r="Z682" s="13" t="str">
        <f aca="false">IFERROR(__xludf.dummyfunction("if(BJ682="""","""",GOOGLETRANSLATE(BJ682,""auto"",""en""))"),"Quality Control")</f>
        <v>Quality Control</v>
      </c>
      <c r="AA682" s="23" t="str">
        <f aca="false">IF(C682="","", CHOOSE(MONTH(C682),"January","February","March","April","May","June","July","August","September","October","November","December")&amp;" "&amp;DAY(C682)&amp;MID("thstndrdth",MIN(9,2*RIGHT(DAY(C682))*(MOD(DAY(C682)-11,100)&gt;2)+1),2)&amp;","&amp;TEXT(C682," yyyy"))</f>
        <v>October 5th,2021</v>
      </c>
      <c r="AB682" s="15" t="str">
        <f aca="true">IF(S682="","",DATEDIF(S682,TODAY(),"Y")&amp;" Tahun, "&amp;DATEDIF(S682,TODAY(),"YM")&amp;" Bulan, "&amp;DATEDIF(S682,TODAY(),"MD")&amp;" Hari")</f>
        <v>29 Tahun, 9 Bulan, 6 Hari</v>
      </c>
      <c r="AC682" s="18" t="n">
        <v>45570</v>
      </c>
      <c r="AD682" s="18" t="n">
        <v>45934</v>
      </c>
      <c r="AE682" s="18" t="s">
        <v>44</v>
      </c>
    </row>
    <row r="683" customFormat="false" ht="15.75" hidden="false" customHeight="true" outlineLevel="0" collapsed="false">
      <c r="A683" s="12" t="n">
        <v>5127</v>
      </c>
      <c r="B683" s="13" t="s">
        <v>3044</v>
      </c>
      <c r="C683" s="14" t="n">
        <v>44474</v>
      </c>
      <c r="D683" s="13" t="s">
        <v>774</v>
      </c>
      <c r="E683" s="15" t="s">
        <v>47</v>
      </c>
      <c r="F683" s="15" t="str">
        <f aca="false">IFERROR(__xludf.dummyfunction("XLOOKUP(AJ683,IMPORTRANGE(""1XaInW9DU9nz21V0tYIfzFQ0He9kVQ_JF2mCXgZ3hqFA"",""REKAP ALL 2026 - Andika!G:G""),IMPORTRANGE(""1XaInW9DU9nz21V0tYIfzFQ0He9kVQ_JF2mCXgZ3hqFA"",""REKAP ALL 2026 - Andika!F:F""),"""",0)"),"23172181143")</f>
        <v>23172181143</v>
      </c>
      <c r="G683" s="13" t="s">
        <v>3045</v>
      </c>
      <c r="H683" s="13" t="s">
        <v>2967</v>
      </c>
      <c r="I683" s="13" t="str">
        <f aca="false">IF(C683=J683,"NEW KONTRAK","RE-KONTRAK")</f>
        <v>RE-KONTRAK</v>
      </c>
      <c r="J683" s="16" t="n">
        <f aca="false" t="array" ref="J683:J683">IFERROR(INDEX(AC683:AE683,IF(COUNTA(AC683:AE683)=0,"",MAX((AC683:AE683&lt;&gt;"")*(COLUMN(AC683:AE683)-(COLUMN(AC683)))))-1),"")</f>
        <v>45570</v>
      </c>
      <c r="K683" s="16" t="n">
        <f aca="false" t="array" ref="K683:K683">IFERROR(INDEX(AC683:AE683,IF(COUNTA(AC683:AE683)=0,"",MAX((AC683:AE683&lt;&gt;"")*(COLUMN(AC683:AE683)-(COLUMN(AC683)-1))))-1),"")</f>
        <v>45934</v>
      </c>
      <c r="L683" s="17" t="str">
        <f aca="false" t="array" ref="L683:L683">IFERROR(INDEX(AC683:AE683,IF(COUNTA(AC683:AE683)=0,"",MAX((AC683:AE683&lt;&gt;"")*(COLUMN(AC683:AE683)-(COLUMN(AC683)-2))))-1),"")</f>
        <v>ARCHIVED</v>
      </c>
      <c r="M683" s="13" t="n">
        <f aca="true">K683-TODAY()</f>
        <v>-390</v>
      </c>
      <c r="N683" s="18" t="s">
        <v>36</v>
      </c>
      <c r="O683" s="13" t="s">
        <v>750</v>
      </c>
      <c r="P683" s="19" t="n">
        <v>4000000</v>
      </c>
      <c r="Q683" s="20" t="s">
        <v>3046</v>
      </c>
      <c r="R683" s="13" t="s">
        <v>52</v>
      </c>
      <c r="S683" s="14" t="n">
        <v>35395</v>
      </c>
      <c r="T683" s="13" t="s">
        <v>108</v>
      </c>
      <c r="U683" s="13" t="s">
        <v>3047</v>
      </c>
      <c r="V683" s="13" t="s">
        <v>42</v>
      </c>
      <c r="W683" s="13" t="s">
        <v>43</v>
      </c>
      <c r="X683" s="21" t="n">
        <v>89612650272</v>
      </c>
      <c r="Y683" s="22" t="str">
        <f aca="false">O683</f>
        <v>Admin</v>
      </c>
      <c r="Z683" s="13" t="str">
        <f aca="false">IFERROR(__xludf.dummyfunction("if(BJ683="""","""",GOOGLETRANSLATE(BJ683,""auto"",""en""))"),"Admin")</f>
        <v>Admin</v>
      </c>
      <c r="AA683" s="23" t="str">
        <f aca="false">IF(C683="","", CHOOSE(MONTH(C683),"January","February","March","April","May","June","July","August","September","October","November","December")&amp;" "&amp;DAY(C683)&amp;MID("thstndrdth",MIN(9,2*RIGHT(DAY(C683))*(MOD(DAY(C683)-11,100)&gt;2)+1),2)&amp;","&amp;TEXT(C683," yyyy"))</f>
        <v>October 5th,2021</v>
      </c>
      <c r="AB683" s="15" t="str">
        <f aca="true">IF(S683="","",DATEDIF(S683,TODAY(),"Y")&amp;" Tahun, "&amp;DATEDIF(S683,TODAY(),"YM")&amp;" Bulan, "&amp;DATEDIF(S683,TODAY(),"MD")&amp;" Hari")</f>
        <v>29 Tahun, 11 Bulan, 3 Hari</v>
      </c>
      <c r="AC683" s="18" t="n">
        <v>45570</v>
      </c>
      <c r="AD683" s="18" t="n">
        <v>45934</v>
      </c>
      <c r="AE683" s="18" t="s">
        <v>44</v>
      </c>
    </row>
    <row r="684" customFormat="false" ht="15.75" hidden="false" customHeight="true" outlineLevel="0" collapsed="false">
      <c r="A684" s="12" t="n">
        <v>5130</v>
      </c>
      <c r="B684" s="13" t="s">
        <v>3048</v>
      </c>
      <c r="C684" s="14" t="n">
        <v>44474</v>
      </c>
      <c r="D684" s="13" t="s">
        <v>774</v>
      </c>
      <c r="E684" s="15" t="s">
        <v>47</v>
      </c>
      <c r="F684" s="15" t="str">
        <f aca="false">IFERROR(__xludf.dummyfunction("XLOOKUP(AJ684,IMPORTRANGE(""1XaInW9DU9nz21V0tYIfzFQ0He9kVQ_JF2mCXgZ3hqFA"",""REKAP ALL 2026 - Andika!G:G""),IMPORTRANGE(""1XaInW9DU9nz21V0tYIfzFQ0He9kVQ_JF2mCXgZ3hqFA"",""REKAP ALL 2026 - Andika!F:F""),"""",0)"),"23172180608")</f>
        <v>23172180608</v>
      </c>
      <c r="G684" s="13" t="s">
        <v>3049</v>
      </c>
      <c r="H684" s="13" t="s">
        <v>2967</v>
      </c>
      <c r="I684" s="13" t="str">
        <f aca="false">IF(C684=J684,"NEW KONTRAK","RE-KONTRAK")</f>
        <v>RE-KONTRAK</v>
      </c>
      <c r="J684" s="16" t="n">
        <f aca="false" t="array" ref="J684:J684">IFERROR(INDEX(AC684:AE684,IF(COUNTA(AC684:AE684)=0,"",MAX((AC684:AE684&lt;&gt;"")*(COLUMN(AC684:AE684)-(COLUMN(AC684)))))-1),"")</f>
        <v>45570</v>
      </c>
      <c r="K684" s="16" t="n">
        <f aca="false" t="array" ref="K684:K684">IFERROR(INDEX(AC684:AE684,IF(COUNTA(AC684:AE684)=0,"",MAX((AC684:AE684&lt;&gt;"")*(COLUMN(AC684:AE684)-(COLUMN(AC684)-1))))-1),"")</f>
        <v>45934</v>
      </c>
      <c r="L684" s="17" t="str">
        <f aca="false" t="array" ref="L684:L684">IFERROR(INDEX(AC684:AE684,IF(COUNTA(AC684:AE684)=0,"",MAX((AC684:AE684&lt;&gt;"")*(COLUMN(AC684:AE684)-(COLUMN(AC684)-2))))-1),"")</f>
        <v>ARCHIVED</v>
      </c>
      <c r="M684" s="13" t="n">
        <f aca="true">K684-TODAY()</f>
        <v>-390</v>
      </c>
      <c r="N684" s="18" t="s">
        <v>36</v>
      </c>
      <c r="O684" s="13" t="s">
        <v>812</v>
      </c>
      <c r="P684" s="19" t="n">
        <v>4250000</v>
      </c>
      <c r="Q684" s="20" t="s">
        <v>3050</v>
      </c>
      <c r="R684" s="13" t="s">
        <v>232</v>
      </c>
      <c r="S684" s="14" t="n">
        <v>37648</v>
      </c>
      <c r="T684" s="13" t="s">
        <v>40</v>
      </c>
      <c r="U684" s="13" t="s">
        <v>3039</v>
      </c>
      <c r="V684" s="13" t="s">
        <v>42</v>
      </c>
      <c r="W684" s="13" t="s">
        <v>43</v>
      </c>
      <c r="X684" s="21" t="n">
        <v>85784132782</v>
      </c>
      <c r="Y684" s="22" t="str">
        <f aca="false">O684</f>
        <v>Heating</v>
      </c>
      <c r="Z684" s="13" t="str">
        <f aca="false">IFERROR(__xludf.dummyfunction("if(BJ684="""","""",GOOGLETRANSLATE(BJ684,""auto"",""en""))"),"Heating")</f>
        <v>Heating</v>
      </c>
      <c r="AA684" s="23" t="str">
        <f aca="false">IF(C684="","", CHOOSE(MONTH(C684),"January","February","March","April","May","June","July","August","September","October","November","December")&amp;" "&amp;DAY(C684)&amp;MID("thstndrdth",MIN(9,2*RIGHT(DAY(C684))*(MOD(DAY(C684)-11,100)&gt;2)+1),2)&amp;","&amp;TEXT(C684," yyyy"))</f>
        <v>October 5th,2021</v>
      </c>
      <c r="AB684" s="15" t="str">
        <f aca="true">IF(S684="","",DATEDIF(S684,TODAY(),"Y")&amp;" Tahun, "&amp;DATEDIF(S684,TODAY(),"YM")&amp;" Bulan, "&amp;DATEDIF(S684,TODAY(),"MD")&amp;" Hari")</f>
        <v>23 Tahun, 9 Bulan, 2 Hari</v>
      </c>
      <c r="AC684" s="18" t="n">
        <v>45570</v>
      </c>
      <c r="AD684" s="18" t="n">
        <v>45934</v>
      </c>
      <c r="AE684" s="18" t="s">
        <v>44</v>
      </c>
    </row>
    <row r="685" customFormat="false" ht="15.75" hidden="false" customHeight="true" outlineLevel="0" collapsed="false">
      <c r="A685" s="12" t="n">
        <v>5131</v>
      </c>
      <c r="B685" s="13" t="s">
        <v>3051</v>
      </c>
      <c r="C685" s="14" t="n">
        <v>44474</v>
      </c>
      <c r="D685" s="13" t="s">
        <v>774</v>
      </c>
      <c r="E685" s="15" t="s">
        <v>47</v>
      </c>
      <c r="F685" s="15" t="str">
        <f aca="false">IFERROR(__xludf.dummyfunction("XLOOKUP(AJ685,IMPORTRANGE(""1XaInW9DU9nz21V0tYIfzFQ0He9kVQ_JF2mCXgZ3hqFA"",""REKAP ALL 2026 - Andika!G:G""),IMPORTRANGE(""1XaInW9DU9nz21V0tYIfzFQ0He9kVQ_JF2mCXgZ3hqFA"",""REKAP ALL 2026 - Andika!F:F""),"""",0)"),"23172180863")</f>
        <v>23172180863</v>
      </c>
      <c r="G685" s="13" t="s">
        <v>3052</v>
      </c>
      <c r="H685" s="13" t="s">
        <v>2967</v>
      </c>
      <c r="I685" s="13" t="str">
        <f aca="false">IF(C685=J685,"NEW KONTRAK","RE-KONTRAK")</f>
        <v>RE-KONTRAK</v>
      </c>
      <c r="J685" s="16" t="n">
        <f aca="false" t="array" ref="J685:J685">IFERROR(INDEX(AC685:AE685,IF(COUNTA(AC685:AE685)=0,"",MAX((AC685:AE685&lt;&gt;"")*(COLUMN(AC685:AE685)-(COLUMN(AC685)))))-1),"")</f>
        <v>45570</v>
      </c>
      <c r="K685" s="16" t="n">
        <f aca="false" t="array" ref="K685:K685">IFERROR(INDEX(AC685:AE685,IF(COUNTA(AC685:AE685)=0,"",MAX((AC685:AE685&lt;&gt;"")*(COLUMN(AC685:AE685)-(COLUMN(AC685)-1))))-1),"")</f>
        <v>45934</v>
      </c>
      <c r="L685" s="17" t="str">
        <f aca="false" t="array" ref="L685:L685">IFERROR(INDEX(AC685:AE685,IF(COUNTA(AC685:AE685)=0,"",MAX((AC685:AE685&lt;&gt;"")*(COLUMN(AC685:AE685)-(COLUMN(AC685)-2))))-1),"")</f>
        <v>ARCHIVED</v>
      </c>
      <c r="M685" s="13" t="n">
        <f aca="true">K685-TODAY()</f>
        <v>-390</v>
      </c>
      <c r="N685" s="18" t="s">
        <v>36</v>
      </c>
      <c r="O685" s="29" t="s">
        <v>624</v>
      </c>
      <c r="P685" s="19" t="n">
        <v>4250000</v>
      </c>
      <c r="Q685" s="20" t="s">
        <v>3053</v>
      </c>
      <c r="R685" s="13" t="s">
        <v>232</v>
      </c>
      <c r="S685" s="14" t="n">
        <v>37380</v>
      </c>
      <c r="T685" s="13" t="s">
        <v>40</v>
      </c>
      <c r="U685" s="13" t="s">
        <v>3054</v>
      </c>
      <c r="V685" s="13" t="s">
        <v>42</v>
      </c>
      <c r="W685" s="13" t="s">
        <v>43</v>
      </c>
      <c r="X685" s="21" t="n">
        <v>85655317903</v>
      </c>
      <c r="Y685" s="22" t="str">
        <f aca="false">O685</f>
        <v>Quality Control</v>
      </c>
      <c r="Z685" s="13" t="str">
        <f aca="false">IFERROR(__xludf.dummyfunction("if(BJ685="""","""",GOOGLETRANSLATE(BJ685,""auto"",""en""))"),"Quality Control")</f>
        <v>Quality Control</v>
      </c>
      <c r="AA685" s="23" t="str">
        <f aca="false">IF(C685="","", CHOOSE(MONTH(C685),"January","February","March","April","May","June","July","August","September","October","November","December")&amp;" "&amp;DAY(C685)&amp;MID("thstndrdth",MIN(9,2*RIGHT(DAY(C685))*(MOD(DAY(C685)-11,100)&gt;2)+1),2)&amp;","&amp;TEXT(C685," yyyy"))</f>
        <v>October 5th,2021</v>
      </c>
      <c r="AB685" s="15" t="str">
        <f aca="true">IF(S685="","",DATEDIF(S685,TODAY(),"Y")&amp;" Tahun, "&amp;DATEDIF(S685,TODAY(),"YM")&amp;" Bulan, "&amp;DATEDIF(S685,TODAY(),"MD")&amp;" Hari")</f>
        <v>24 Tahun, 5 Bulan, 25 Hari</v>
      </c>
      <c r="AC685" s="18" t="n">
        <v>45570</v>
      </c>
      <c r="AD685" s="18" t="n">
        <v>45934</v>
      </c>
      <c r="AE685" s="18" t="s">
        <v>44</v>
      </c>
    </row>
    <row r="686" customFormat="false" ht="15.75" hidden="false" customHeight="true" outlineLevel="0" collapsed="false">
      <c r="A686" s="12" t="n">
        <v>5132</v>
      </c>
      <c r="B686" s="13" t="s">
        <v>3055</v>
      </c>
      <c r="C686" s="14" t="n">
        <v>44474</v>
      </c>
      <c r="D686" s="13" t="s">
        <v>774</v>
      </c>
      <c r="E686" s="15" t="s">
        <v>47</v>
      </c>
      <c r="F686" s="15" t="str">
        <f aca="false">IFERROR(__xludf.dummyfunction("XLOOKUP(AJ686,IMPORTRANGE(""1XaInW9DU9nz21V0tYIfzFQ0He9kVQ_JF2mCXgZ3hqFA"",""REKAP ALL 2026 - Andika!G:G""),IMPORTRANGE(""1XaInW9DU9nz21V0tYIfzFQ0He9kVQ_JF2mCXgZ3hqFA"",""REKAP ALL 2026 - Andika!F:F""),"""",0)"),"23172179972")</f>
        <v>23172179972</v>
      </c>
      <c r="G686" s="13" t="s">
        <v>3056</v>
      </c>
      <c r="H686" s="13" t="s">
        <v>2967</v>
      </c>
      <c r="I686" s="13" t="str">
        <f aca="false">IF(C686=J686,"NEW KONTRAK","RE-KONTRAK")</f>
        <v>RE-KONTRAK</v>
      </c>
      <c r="J686" s="16" t="n">
        <f aca="false" t="array" ref="J686:J686">IFERROR(INDEX(AC686:AE686,IF(COUNTA(AC686:AE686)=0,"",MAX((AC686:AE686&lt;&gt;"")*(COLUMN(AC686:AE686)-(COLUMN(AC686)))))-1),"")</f>
        <v>45570</v>
      </c>
      <c r="K686" s="16" t="n">
        <f aca="false" t="array" ref="K686:K686">IFERROR(INDEX(AC686:AE686,IF(COUNTA(AC686:AE686)=0,"",MAX((AC686:AE686&lt;&gt;"")*(COLUMN(AC686:AE686)-(COLUMN(AC686)-1))))-1),"")</f>
        <v>45934</v>
      </c>
      <c r="L686" s="17" t="str">
        <f aca="false" t="array" ref="L686:L686">IFERROR(INDEX(AC686:AE686,IF(COUNTA(AC686:AE686)=0,"",MAX((AC686:AE686&lt;&gt;"")*(COLUMN(AC686:AE686)-(COLUMN(AC686)-2))))-1),"")</f>
        <v>ARCHIVED</v>
      </c>
      <c r="M686" s="13" t="n">
        <f aca="true">K686-TODAY()</f>
        <v>-390</v>
      </c>
      <c r="N686" s="18" t="s">
        <v>36</v>
      </c>
      <c r="O686" s="13" t="s">
        <v>795</v>
      </c>
      <c r="P686" s="19" t="n">
        <v>3750000</v>
      </c>
      <c r="Q686" s="20" t="s">
        <v>3057</v>
      </c>
      <c r="R686" s="13" t="s">
        <v>65</v>
      </c>
      <c r="S686" s="14" t="n">
        <v>37726</v>
      </c>
      <c r="T686" s="13" t="s">
        <v>40</v>
      </c>
      <c r="U686" s="13" t="s">
        <v>3058</v>
      </c>
      <c r="V686" s="13" t="s">
        <v>42</v>
      </c>
      <c r="W686" s="13" t="s">
        <v>43</v>
      </c>
      <c r="X686" s="21" t="n">
        <v>85730262820</v>
      </c>
      <c r="Y686" s="22" t="str">
        <f aca="false">O686</f>
        <v>Painting</v>
      </c>
      <c r="Z686" s="13" t="str">
        <f aca="false">IFERROR(__xludf.dummyfunction("if(BJ686="""","""",GOOGLETRANSLATE(BJ686,""auto"",""en""))"),"Painting")</f>
        <v>Painting</v>
      </c>
      <c r="AA686" s="23" t="str">
        <f aca="false">IF(C686="","", CHOOSE(MONTH(C686),"January","February","March","April","May","June","July","August","September","October","November","December")&amp;" "&amp;DAY(C686)&amp;MID("thstndrdth",MIN(9,2*RIGHT(DAY(C686))*(MOD(DAY(C686)-11,100)&gt;2)+1),2)&amp;","&amp;TEXT(C686," yyyy"))</f>
        <v>October 5th,2021</v>
      </c>
      <c r="AB686" s="15" t="str">
        <f aca="true">IF(S686="","",DATEDIF(S686,TODAY(),"Y")&amp;" Tahun, "&amp;DATEDIF(S686,TODAY(),"YM")&amp;" Bulan, "&amp;DATEDIF(S686,TODAY(),"MD")&amp;" Hari")</f>
        <v>23 Tahun, 6 Bulan, 14 Hari</v>
      </c>
      <c r="AC686" s="18" t="n">
        <v>45570</v>
      </c>
      <c r="AD686" s="18" t="n">
        <v>45934</v>
      </c>
      <c r="AE686" s="18" t="s">
        <v>44</v>
      </c>
    </row>
    <row r="687" customFormat="false" ht="15.75" hidden="false" customHeight="true" outlineLevel="0" collapsed="false">
      <c r="A687" s="12" t="n">
        <v>5134</v>
      </c>
      <c r="B687" s="13" t="s">
        <v>3059</v>
      </c>
      <c r="C687" s="14" t="n">
        <v>44517</v>
      </c>
      <c r="D687" s="13" t="s">
        <v>774</v>
      </c>
      <c r="E687" s="15" t="s">
        <v>47</v>
      </c>
      <c r="F687" s="15" t="str">
        <f aca="false">IFERROR(__xludf.dummyfunction("XLOOKUP(AJ687,IMPORTRANGE(""1XaInW9DU9nz21V0tYIfzFQ0He9kVQ_JF2mCXgZ3hqFA"",""REKAP ALL 2026 - Andika!G:G""),IMPORTRANGE(""1XaInW9DU9nz21V0tYIfzFQ0He9kVQ_JF2mCXgZ3hqFA"",""REKAP ALL 2026 - Andika!F:F""),"""",0)"),"23172179717")</f>
        <v>23172179717</v>
      </c>
      <c r="G687" s="13" t="s">
        <v>3060</v>
      </c>
      <c r="H687" s="13" t="s">
        <v>2967</v>
      </c>
      <c r="I687" s="13" t="str">
        <f aca="false">IF(C687=J687,"NEW KONTRAK","RE-KONTRAK")</f>
        <v>RE-KONTRAK</v>
      </c>
      <c r="J687" s="16" t="n">
        <f aca="false" t="array" ref="J687:J687">IFERROR(INDEX(AC687:AE687,IF(COUNTA(AC687:AE687)=0,"",MAX((AC687:AE687&lt;&gt;"")*(COLUMN(AC687:AE687)-(COLUMN(AC687)))))-1),"")</f>
        <v>45570</v>
      </c>
      <c r="K687" s="16" t="n">
        <f aca="false" t="array" ref="K687:K687">IFERROR(INDEX(AC687:AE687,IF(COUNTA(AC687:AE687)=0,"",MAX((AC687:AE687&lt;&gt;"")*(COLUMN(AC687:AE687)-(COLUMN(AC687)-1))))-1),"")</f>
        <v>45934</v>
      </c>
      <c r="L687" s="17" t="str">
        <f aca="false" t="array" ref="L687:L687">IFERROR(INDEX(AC687:AE687,IF(COUNTA(AC687:AE687)=0,"",MAX((AC687:AE687&lt;&gt;"")*(COLUMN(AC687:AE687)-(COLUMN(AC687)-2))))-1),"")</f>
        <v>ARCHIVED</v>
      </c>
      <c r="M687" s="13" t="n">
        <f aca="true">K687-TODAY()</f>
        <v>-390</v>
      </c>
      <c r="N687" s="18" t="s">
        <v>36</v>
      </c>
      <c r="O687" s="13" t="s">
        <v>795</v>
      </c>
      <c r="P687" s="19" t="n">
        <v>3400000</v>
      </c>
      <c r="Q687" s="20" t="s">
        <v>3061</v>
      </c>
      <c r="R687" s="13" t="s">
        <v>65</v>
      </c>
      <c r="S687" s="14" t="n">
        <v>36231</v>
      </c>
      <c r="T687" s="13" t="s">
        <v>40</v>
      </c>
      <c r="U687" s="13" t="s">
        <v>3062</v>
      </c>
      <c r="V687" s="13" t="s">
        <v>42</v>
      </c>
      <c r="W687" s="13" t="s">
        <v>43</v>
      </c>
      <c r="X687" s="21" t="n">
        <v>81515496449</v>
      </c>
      <c r="Y687" s="22" t="str">
        <f aca="false">O687</f>
        <v>Painting</v>
      </c>
      <c r="Z687" s="13" t="str">
        <f aca="false">IFERROR(__xludf.dummyfunction("if(BJ687="""","""",GOOGLETRANSLATE(BJ687,""auto"",""en""))"),"Painting")</f>
        <v>Painting</v>
      </c>
      <c r="AA687" s="23" t="str">
        <f aca="false">IF(C687="","", CHOOSE(MONTH(C687),"January","February","March","April","May","June","July","August","September","October","November","December")&amp;" "&amp;DAY(C687)&amp;MID("thstndrdth",MIN(9,2*RIGHT(DAY(C687))*(MOD(DAY(C687)-11,100)&gt;2)+1),2)&amp;","&amp;TEXT(C687," yyyy"))</f>
        <v>November 17th,2021</v>
      </c>
      <c r="AB687" s="15" t="str">
        <f aca="true">IF(S687="","",DATEDIF(S687,TODAY(),"Y")&amp;" Tahun, "&amp;DATEDIF(S687,TODAY(),"YM")&amp;" Bulan, "&amp;DATEDIF(S687,TODAY(),"MD")&amp;" Hari")</f>
        <v>27 Tahun, 7 Bulan, 17 Hari</v>
      </c>
      <c r="AC687" s="18" t="n">
        <v>45570</v>
      </c>
      <c r="AD687" s="18" t="n">
        <v>45934</v>
      </c>
      <c r="AE687" s="18" t="s">
        <v>44</v>
      </c>
    </row>
    <row r="688" customFormat="false" ht="15.75" hidden="false" customHeight="true" outlineLevel="0" collapsed="false">
      <c r="A688" s="12" t="n">
        <v>5135</v>
      </c>
      <c r="B688" s="13" t="s">
        <v>3063</v>
      </c>
      <c r="C688" s="14" t="n">
        <v>44474</v>
      </c>
      <c r="D688" s="13" t="s">
        <v>774</v>
      </c>
      <c r="E688" s="15" t="s">
        <v>47</v>
      </c>
      <c r="F688" s="15" t="str">
        <f aca="false">IFERROR(__xludf.dummyfunction("XLOOKUP(AJ688,IMPORTRANGE(""1XaInW9DU9nz21V0tYIfzFQ0He9kVQ_JF2mCXgZ3hqFA"",""REKAP ALL 2026 - Andika!G:G""),IMPORTRANGE(""1XaInW9DU9nz21V0tYIfzFQ0He9kVQ_JF2mCXgZ3hqFA"",""REKAP ALL 2026 - Andika!F:F""),"""",0)"),"23172180780")</f>
        <v>23172180780</v>
      </c>
      <c r="G688" s="13" t="s">
        <v>3064</v>
      </c>
      <c r="H688" s="13" t="s">
        <v>2967</v>
      </c>
      <c r="I688" s="13" t="str">
        <f aca="false">IF(C688=J688,"NEW KONTRAK","RE-KONTRAK")</f>
        <v>RE-KONTRAK</v>
      </c>
      <c r="J688" s="16" t="n">
        <f aca="false" t="array" ref="J688:J688">IFERROR(INDEX(AC688:AE688,IF(COUNTA(AC688:AE688)=0,"",MAX((AC688:AE688&lt;&gt;"")*(COLUMN(AC688:AE688)-(COLUMN(AC688)))))-1),"")</f>
        <v>45570</v>
      </c>
      <c r="K688" s="16" t="n">
        <f aca="false" t="array" ref="K688:K688">IFERROR(INDEX(AC688:AE688,IF(COUNTA(AC688:AE688)=0,"",MAX((AC688:AE688&lt;&gt;"")*(COLUMN(AC688:AE688)-(COLUMN(AC688)-1))))-1),"")</f>
        <v>45934</v>
      </c>
      <c r="L688" s="17" t="str">
        <f aca="false" t="array" ref="L688:L688">IFERROR(INDEX(AC688:AE688,IF(COUNTA(AC688:AE688)=0,"",MAX((AC688:AE688&lt;&gt;"")*(COLUMN(AC688:AE688)-(COLUMN(AC688)-2))))-1),"")</f>
        <v>ARCHIVED</v>
      </c>
      <c r="M688" s="13" t="n">
        <f aca="true">K688-TODAY()</f>
        <v>-390</v>
      </c>
      <c r="N688" s="18" t="s">
        <v>36</v>
      </c>
      <c r="O688" s="13" t="s">
        <v>812</v>
      </c>
      <c r="P688" s="19" t="n">
        <v>4000000</v>
      </c>
      <c r="Q688" s="20" t="s">
        <v>3065</v>
      </c>
      <c r="R688" s="13" t="s">
        <v>52</v>
      </c>
      <c r="S688" s="14" t="n">
        <v>37226</v>
      </c>
      <c r="T688" s="13" t="s">
        <v>40</v>
      </c>
      <c r="U688" s="13" t="s">
        <v>3066</v>
      </c>
      <c r="V688" s="13" t="s">
        <v>42</v>
      </c>
      <c r="W688" s="13" t="s">
        <v>43</v>
      </c>
      <c r="X688" s="21" t="n">
        <v>87869651431</v>
      </c>
      <c r="Y688" s="22" t="str">
        <f aca="false">O688</f>
        <v>Heating</v>
      </c>
      <c r="Z688" s="13" t="str">
        <f aca="false">IFERROR(__xludf.dummyfunction("if(BJ688="""","""",GOOGLETRANSLATE(BJ688,""auto"",""en""))"),"Heating")</f>
        <v>Heating</v>
      </c>
      <c r="AA688" s="23" t="str">
        <f aca="false">IF(C688="","", CHOOSE(MONTH(C688),"January","February","March","April","May","June","July","August","September","October","November","December")&amp;" "&amp;DAY(C688)&amp;MID("thstndrdth",MIN(9,2*RIGHT(DAY(C688))*(MOD(DAY(C688)-11,100)&gt;2)+1),2)&amp;","&amp;TEXT(C688," yyyy"))</f>
        <v>October 5th,2021</v>
      </c>
      <c r="AB688" s="15" t="str">
        <f aca="true">IF(S688="","",DATEDIF(S688,TODAY(),"Y")&amp;" Tahun, "&amp;DATEDIF(S688,TODAY(),"YM")&amp;" Bulan, "&amp;DATEDIF(S688,TODAY(),"MD")&amp;" Hari")</f>
        <v>24 Tahun, 10 Bulan, 28 Hari</v>
      </c>
      <c r="AC688" s="18" t="n">
        <v>45570</v>
      </c>
      <c r="AD688" s="18" t="n">
        <v>45934</v>
      </c>
      <c r="AE688" s="18" t="s">
        <v>44</v>
      </c>
    </row>
    <row r="689" customFormat="false" ht="15.75" hidden="false" customHeight="true" outlineLevel="0" collapsed="false">
      <c r="A689" s="12" t="n">
        <v>22864</v>
      </c>
      <c r="B689" s="13" t="s">
        <v>3067</v>
      </c>
      <c r="C689" s="14" t="n">
        <v>46279</v>
      </c>
      <c r="D689" s="13" t="s">
        <v>1721</v>
      </c>
      <c r="E689" s="13" t="s">
        <v>47</v>
      </c>
      <c r="F689" s="24" t="s">
        <v>3068</v>
      </c>
      <c r="G689" s="13" t="s">
        <v>1452</v>
      </c>
      <c r="H689" s="13" t="s">
        <v>35</v>
      </c>
      <c r="I689" s="13" t="str">
        <f aca="false">IF(C689=J689,"NEW KONTRAK","RE-KONTRAK")</f>
        <v>NEW KONTRAK</v>
      </c>
      <c r="J689" s="16" t="n">
        <f aca="false" t="array" ref="J689:J689">IFERROR(INDEX(AC689:AE689,IF(COUNTA(AC689:AE689)=0,"",MAX((AC689:AE689&lt;&gt;"")*(COLUMN(AC689:AE689)-(COLUMN(AC689)))))-1),"")</f>
        <v>46279</v>
      </c>
      <c r="K689" s="16" t="n">
        <f aca="false" t="array" ref="K689:K689">IFERROR(INDEX(AC689:AE689,IF(COUNTA(AC689:AE689)=0,"",MAX((AC689:AE689&lt;&gt;"")*(COLUMN(AC689:AE689)-(COLUMN(AC689)-1))))-1),"")</f>
        <v>46386</v>
      </c>
      <c r="L689" s="17" t="str">
        <f aca="false" t="array" ref="L689:L689">IFERROR(INDEX(AC689:AE689,IF(COUNTA(AC689:AE689)=0,"",MAX((AC689:AE689&lt;&gt;"")*(COLUMN(AC689:AE689)-(COLUMN(AC689)-2))))-1),"")</f>
        <v>ARCHIVED</v>
      </c>
      <c r="M689" s="13" t="n">
        <f aca="true">K689-TODAY()</f>
        <v>62</v>
      </c>
      <c r="N689" s="18" t="s">
        <v>728</v>
      </c>
      <c r="O689" s="13" t="s">
        <v>1755</v>
      </c>
      <c r="P689" s="26" t="n">
        <v>5444909</v>
      </c>
      <c r="Q689" s="52" t="s">
        <v>3069</v>
      </c>
      <c r="R689" s="48" t="s">
        <v>168</v>
      </c>
      <c r="S689" s="25" t="n">
        <v>37842</v>
      </c>
      <c r="T689" s="13" t="s">
        <v>108</v>
      </c>
      <c r="U689" s="13" t="s">
        <v>3070</v>
      </c>
      <c r="V689" s="13" t="s">
        <v>42</v>
      </c>
      <c r="W689" s="28" t="s">
        <v>43</v>
      </c>
      <c r="X689" s="21" t="n">
        <v>85755856453</v>
      </c>
      <c r="Y689" s="22" t="str">
        <f aca="false">O689</f>
        <v>Im.Operator</v>
      </c>
      <c r="Z689" s="13" t="str">
        <f aca="false">IFERROR(__xludf.dummyfunction("if(BJ689="""","""",GOOGLETRANSLATE(BJ689,""auto"",""en""))"),"Im.Operator")</f>
        <v>Im.Operator</v>
      </c>
      <c r="AA689" s="23" t="str">
        <f aca="false">IF(C689="","", CHOOSE(MONTH(C689),"January","February","March","April","May","June","July","August","September","October","November","December")&amp;" "&amp;DAY(C689)&amp;MID("thstndrdth",MIN(9,2*RIGHT(DAY(C689))*(MOD(DAY(C689)-11,100)&gt;2)+1),2)&amp;","&amp;TEXT(C689," yyyy"))</f>
        <v>September 14th,2026</v>
      </c>
      <c r="AB689" s="15" t="str">
        <f aca="true">IF(S689="","",DATEDIF(S689,TODAY(),"Y")&amp;" Tahun, "&amp;DATEDIF(S689,TODAY(),"YM")&amp;" Bulan, "&amp;DATEDIF(S689,TODAY(),"MD")&amp;" Hari")</f>
        <v>23 Tahun, 2 Bulan, 20 Hari</v>
      </c>
      <c r="AC689" s="14" t="n">
        <v>46279</v>
      </c>
      <c r="AD689" s="18" t="n">
        <v>46386</v>
      </c>
      <c r="AE689" s="13" t="s">
        <v>44</v>
      </c>
    </row>
    <row r="690" customFormat="false" ht="15.75" hidden="false" customHeight="true" outlineLevel="0" collapsed="false">
      <c r="A690" s="12" t="n">
        <v>22618</v>
      </c>
      <c r="B690" s="45" t="s">
        <v>3071</v>
      </c>
      <c r="C690" s="14" t="n">
        <v>46230</v>
      </c>
      <c r="D690" s="13" t="s">
        <v>101</v>
      </c>
      <c r="E690" s="13" t="s">
        <v>47</v>
      </c>
      <c r="F690" s="24" t="s">
        <v>3072</v>
      </c>
      <c r="G690" s="13" t="s">
        <v>1452</v>
      </c>
      <c r="H690" s="13" t="s">
        <v>35</v>
      </c>
      <c r="I690" s="13" t="str">
        <f aca="false">IF(C690=J690,"NEW KONTRAK","RE-KONTRAK")</f>
        <v>NEW KONTRAK</v>
      </c>
      <c r="J690" s="16" t="n">
        <f aca="false" t="array" ref="J690:J690">IFERROR(INDEX(AC690:AE690,IF(COUNTA(AC690:AE690)=0,"",MAX((AC690:AE690&lt;&gt;"")*(COLUMN(AC690:AE690)-(COLUMN(AC690)))))-1),"")</f>
        <v>46230</v>
      </c>
      <c r="K690" s="16" t="n">
        <f aca="false" t="array" ref="K690:K690">IFERROR(INDEX(AC690:AE690,IF(COUNTA(AC690:AE690)=0,"",MAX((AC690:AE690&lt;&gt;"")*(COLUMN(AC690:AE690)-(COLUMN(AC690)-1))))-1),"")</f>
        <v>46321</v>
      </c>
      <c r="L690" s="17" t="str">
        <f aca="false" t="array" ref="L690:L690">IFERROR(INDEX(AC690:AE690,IF(COUNTA(AC690:AE690)=0,"",MAX((AC690:AE690&lt;&gt;"")*(COLUMN(AC690:AE690)-(COLUMN(AC690)-2))))-1),"")</f>
        <v>KEMBALI</v>
      </c>
      <c r="M690" s="13" t="n">
        <f aca="true">K690-TODAY()</f>
        <v>-3</v>
      </c>
      <c r="N690" s="18" t="s">
        <v>105</v>
      </c>
      <c r="O690" s="13" t="s">
        <v>1453</v>
      </c>
      <c r="P690" s="26" t="n">
        <v>138915</v>
      </c>
      <c r="Q690" s="20" t="s">
        <v>3073</v>
      </c>
      <c r="R690" s="13" t="s">
        <v>65</v>
      </c>
      <c r="S690" s="25" t="n">
        <v>35112</v>
      </c>
      <c r="T690" s="13" t="s">
        <v>108</v>
      </c>
      <c r="U690" s="13" t="s">
        <v>3074</v>
      </c>
      <c r="V690" s="13" t="s">
        <v>42</v>
      </c>
      <c r="W690" s="13" t="s">
        <v>54</v>
      </c>
      <c r="X690" s="21" t="n">
        <v>87779484413</v>
      </c>
      <c r="Y690" s="22" t="str">
        <f aca="false">O690</f>
        <v>Helper Produksi</v>
      </c>
      <c r="Z690" s="13" t="str">
        <f aca="false">IFERROR(__xludf.dummyfunction("if(BJ690="""","""",GOOGLETRANSLATE(BJ690,""auto"",""en""))"),"Production Helper")</f>
        <v>Production Helper</v>
      </c>
      <c r="AA690" s="23" t="str">
        <f aca="false">IF(C690="","", CHOOSE(MONTH(C690),"January","February","March","April","May","June","July","August","September","October","November","December")&amp;" "&amp;DAY(C690)&amp;MID("thstndrdth",MIN(9,2*RIGHT(DAY(C690))*(MOD(DAY(C690)-11,100)&gt;2)+1),2)&amp;","&amp;TEXT(C690," yyyy"))</f>
        <v>July 27th,2026</v>
      </c>
      <c r="AB690" s="15" t="str">
        <f aca="true">IF(S690="","",DATEDIF(S690,TODAY(),"Y")&amp;" Tahun, "&amp;DATEDIF(S690,TODAY(),"YM")&amp;" Bulan, "&amp;DATEDIF(S690,TODAY(),"MD")&amp;" Hari")</f>
        <v>30 Tahun, 8 Bulan, 12 Hari</v>
      </c>
      <c r="AC690" s="14" t="n">
        <v>46230</v>
      </c>
      <c r="AD690" s="18" t="n">
        <f aca="false">EDATE(AC690,3)-1</f>
        <v>46321</v>
      </c>
      <c r="AE690" s="13" t="s">
        <v>397</v>
      </c>
    </row>
    <row r="691" customFormat="false" ht="15.75" hidden="false" customHeight="true" outlineLevel="0" collapsed="false">
      <c r="A691" s="12" t="n">
        <v>5246</v>
      </c>
      <c r="B691" s="13" t="s">
        <v>3075</v>
      </c>
      <c r="C691" s="14" t="n">
        <v>44621</v>
      </c>
      <c r="D691" s="13" t="s">
        <v>144</v>
      </c>
      <c r="E691" s="15" t="s">
        <v>47</v>
      </c>
      <c r="F691" s="15" t="str">
        <f aca="false">IFERROR(__xludf.dummyfunction("XLOOKUP(AJ691,IMPORTRANGE(""1XaInW9DU9nz21V0tYIfzFQ0He9kVQ_JF2mCXgZ3hqFA"",""REKAP ALL 2026 - Andika!G:G""),IMPORTRANGE(""1XaInW9DU9nz21V0tYIfzFQ0He9kVQ_JF2mCXgZ3hqFA"",""REKAP ALL 2026 - Andika!F:F""),"""",0)"),"22024910022")</f>
        <v>22024910022</v>
      </c>
      <c r="G691" s="13" t="s">
        <v>3076</v>
      </c>
      <c r="H691" s="13" t="s">
        <v>35</v>
      </c>
      <c r="I691" s="13" t="str">
        <f aca="false">IF(C691=J691,"NEW KONTRAK","RE-KONTRAK")</f>
        <v>RE-KONTRAK</v>
      </c>
      <c r="J691" s="16" t="n">
        <f aca="false" t="array" ref="J691:J691">IFERROR(INDEX(AC691:AE691,IF(COUNTA(AC691:AE691)=0,"",MAX((AC691:AE691&lt;&gt;"")*(COLUMN(AC691:AE691)-(COLUMN(AC691)))))-1),"")</f>
        <v>45658</v>
      </c>
      <c r="K691" s="16" t="n">
        <f aca="false" t="array" ref="K691:K691">IFERROR(INDEX(AC691:AE691,IF(COUNTA(AC691:AE691)=0,"",MAX((AC691:AE691&lt;&gt;"")*(COLUMN(AC691:AE691)-(COLUMN(AC691)-1))))-1),"")</f>
        <v>46022</v>
      </c>
      <c r="L691" s="17" t="str">
        <f aca="false" t="array" ref="L691:L691">IFERROR(INDEX(AC691:AE691,IF(COUNTA(AC691:AE691)=0,"",MAX((AC691:AE691&lt;&gt;"")*(COLUMN(AC691:AE691)-(COLUMN(AC691)-2))))-1),"")</f>
        <v>ARCHIVED</v>
      </c>
      <c r="M691" s="13" t="n">
        <f aca="true">K691-TODAY()</f>
        <v>-302</v>
      </c>
      <c r="N691" s="18" t="s">
        <v>36</v>
      </c>
      <c r="O691" s="13" t="s">
        <v>211</v>
      </c>
      <c r="P691" s="19" t="n">
        <v>5195401</v>
      </c>
      <c r="Q691" s="20" t="s">
        <v>3077</v>
      </c>
      <c r="R691" s="13" t="s">
        <v>260</v>
      </c>
      <c r="S691" s="14" t="n">
        <v>37606</v>
      </c>
      <c r="T691" s="13" t="s">
        <v>40</v>
      </c>
      <c r="U691" s="13" t="s">
        <v>3078</v>
      </c>
      <c r="V691" s="13" t="s">
        <v>42</v>
      </c>
      <c r="W691" s="13" t="s">
        <v>43</v>
      </c>
      <c r="X691" s="21" t="n">
        <v>81351304456</v>
      </c>
      <c r="Y691" s="22" t="str">
        <f aca="false">O691</f>
        <v>FG Store</v>
      </c>
      <c r="Z691" s="13" t="str">
        <f aca="false">IFERROR(__xludf.dummyfunction("if(BJ691="""","""",GOOGLETRANSLATE(BJ691,""auto"",""en""))"),"FG Store")</f>
        <v>FG Store</v>
      </c>
      <c r="AA691" s="23" t="str">
        <f aca="false">IF(C691="","", CHOOSE(MONTH(C691),"January","February","March","April","May","June","July","August","September","October","November","December")&amp;" "&amp;DAY(C691)&amp;MID("thstndrdth",MIN(9,2*RIGHT(DAY(C691))*(MOD(DAY(C691)-11,100)&gt;2)+1),2)&amp;","&amp;TEXT(C691," yyyy"))</f>
        <v>March 1st,2022</v>
      </c>
      <c r="AB691" s="15" t="str">
        <f aca="true">IF(S691="","",DATEDIF(S691,TODAY(),"Y")&amp;" Tahun, "&amp;DATEDIF(S691,TODAY(),"YM")&amp;" Bulan, "&amp;DATEDIF(S691,TODAY(),"MD")&amp;" Hari")</f>
        <v>23 Tahun, 10 Bulan, 13 Hari</v>
      </c>
      <c r="AC691" s="18" t="n">
        <v>45658</v>
      </c>
      <c r="AD691" s="18" t="n">
        <v>46022</v>
      </c>
      <c r="AE691" s="18" t="s">
        <v>44</v>
      </c>
    </row>
    <row r="692" customFormat="false" ht="15.75" hidden="false" customHeight="true" outlineLevel="0" collapsed="false">
      <c r="A692" s="12" t="n">
        <v>22549</v>
      </c>
      <c r="B692" s="45" t="s">
        <v>3079</v>
      </c>
      <c r="C692" s="14" t="n">
        <v>46219</v>
      </c>
      <c r="D692" s="13" t="s">
        <v>101</v>
      </c>
      <c r="E692" s="15" t="s">
        <v>47</v>
      </c>
      <c r="F692" s="24" t="s">
        <v>3080</v>
      </c>
      <c r="G692" s="28" t="s">
        <v>57</v>
      </c>
      <c r="H692" s="13" t="s">
        <v>35</v>
      </c>
      <c r="I692" s="13" t="str">
        <f aca="false">IF(C692=J692,"NEW KONTRAK","RE-KONTRAK")</f>
        <v>NEW KONTRAK</v>
      </c>
      <c r="J692" s="16" t="n">
        <f aca="false" t="array" ref="J692:J692">IFERROR(INDEX(AC692:AE692,IF(COUNTA(AC692:AE692)=0,"",MAX((AC692:AE692&lt;&gt;"")*(COLUMN(AC692:AE692)-(COLUMN(AC692)))))-1),"")</f>
        <v>46219</v>
      </c>
      <c r="K692" s="16" t="n">
        <f aca="false" t="array" ref="K692:K692">IFERROR(INDEX(AC692:AE692,IF(COUNTA(AC692:AE692)=0,"",MAX((AC692:AE692&lt;&gt;"")*(COLUMN(AC692:AE692)-(COLUMN(AC692)-1))))-1),"")</f>
        <v>46402</v>
      </c>
      <c r="L692" s="17" t="str">
        <f aca="false" t="array" ref="L692:L692">IFERROR(INDEX(AC692:AE692,IF(COUNTA(AC692:AE692)=0,"",MAX((AC692:AE692&lt;&gt;"")*(COLUMN(AC692:AE692)-(COLUMN(AC692)-2))))-1),"")</f>
        <v>KEMBALI</v>
      </c>
      <c r="M692" s="13" t="n">
        <f aca="true">K692-TODAY()</f>
        <v>78</v>
      </c>
      <c r="N692" s="18" t="s">
        <v>105</v>
      </c>
      <c r="O692" s="13" t="s">
        <v>1453</v>
      </c>
      <c r="P692" s="26" t="n">
        <v>138915</v>
      </c>
      <c r="Q692" s="20" t="s">
        <v>3081</v>
      </c>
      <c r="R692" s="16" t="s">
        <v>39</v>
      </c>
      <c r="S692" s="25" t="n">
        <v>38985</v>
      </c>
      <c r="T692" s="13" t="s">
        <v>108</v>
      </c>
      <c r="U692" s="17" t="s">
        <v>3082</v>
      </c>
      <c r="V692" s="15" t="s">
        <v>42</v>
      </c>
      <c r="W692" s="13" t="s">
        <v>43</v>
      </c>
      <c r="X692" s="21" t="n">
        <v>85236701936</v>
      </c>
      <c r="Y692" s="22" t="str">
        <f aca="false">O692</f>
        <v>Helper Produksi</v>
      </c>
      <c r="Z692" s="13" t="str">
        <f aca="false">IFERROR(__xludf.dummyfunction("if(BJ692="""","""",GOOGLETRANSLATE(BJ692,""auto"",""en""))"),"Production Helper")</f>
        <v>Production Helper</v>
      </c>
      <c r="AA692" s="23" t="str">
        <f aca="false">IF(C692="","", CHOOSE(MONTH(C692),"January","February","March","April","May","June","July","August","September","October","November","December")&amp;" "&amp;DAY(C692)&amp;MID("thstndrdth",MIN(9,2*RIGHT(DAY(C692))*(MOD(DAY(C692)-11,100)&gt;2)+1),2)&amp;","&amp;TEXT(C692," yyyy"))</f>
        <v>July 16th,2026</v>
      </c>
      <c r="AB692" s="15" t="str">
        <f aca="true">IF(S692="","",DATEDIF(S692,TODAY(),"Y")&amp;" Tahun, "&amp;DATEDIF(S692,TODAY(),"YM")&amp;" Bulan, "&amp;DATEDIF(S692,TODAY(),"MD")&amp;" Hari")</f>
        <v>20 Tahun, 1 Bulan, 4 Hari</v>
      </c>
      <c r="AC692" s="14" t="n">
        <v>46219</v>
      </c>
      <c r="AD692" s="18" t="n">
        <v>46402</v>
      </c>
      <c r="AE692" s="13" t="s">
        <v>397</v>
      </c>
    </row>
    <row r="693" customFormat="false" ht="15.75" hidden="false" customHeight="true" outlineLevel="0" collapsed="false">
      <c r="A693" s="12" t="n">
        <v>5292</v>
      </c>
      <c r="B693" s="13" t="s">
        <v>3083</v>
      </c>
      <c r="C693" s="14" t="n">
        <v>44625</v>
      </c>
      <c r="D693" s="13" t="s">
        <v>404</v>
      </c>
      <c r="E693" s="15" t="s">
        <v>47</v>
      </c>
      <c r="F693" s="15" t="str">
        <f aca="false">IFERROR(__xludf.dummyfunction("XLOOKUP(AJ693,IMPORTRANGE(""1XaInW9DU9nz21V0tYIfzFQ0He9kVQ_JF2mCXgZ3hqFA"",""REKAP ALL 2026 - Andika!G:G""),IMPORTRANGE(""1XaInW9DU9nz21V0tYIfzFQ0He9kVQ_JF2mCXgZ3hqFA"",""REKAP ALL 2026 - Andika!F:F""),"""",0)"),"22024898664")</f>
        <v>22024898664</v>
      </c>
      <c r="G693" s="13" t="s">
        <v>3084</v>
      </c>
      <c r="H693" s="13" t="s">
        <v>35</v>
      </c>
      <c r="I693" s="13" t="str">
        <f aca="false">IF(C693=J693,"NEW KONTRAK","RE-KONTRAK")</f>
        <v>RE-KONTRAK</v>
      </c>
      <c r="J693" s="16" t="n">
        <f aca="false" t="array" ref="J693:J693">IFERROR(INDEX(AC693:AE693,IF(COUNTA(AC693:AE693)=0,"",MAX((AC693:AE693&lt;&gt;"")*(COLUMN(AC693:AE693)-(COLUMN(AC693)))))-1),"")</f>
        <v>45658</v>
      </c>
      <c r="K693" s="16" t="n">
        <f aca="false" t="array" ref="K693:K693">IFERROR(INDEX(AC693:AE693,IF(COUNTA(AC693:AE693)=0,"",MAX((AC693:AE693&lt;&gt;"")*(COLUMN(AC693:AE693)-(COLUMN(AC693)-1))))-1),"")</f>
        <v>46022</v>
      </c>
      <c r="L693" s="17" t="str">
        <f aca="false" t="array" ref="L693:L693">IFERROR(INDEX(AC693:AE693,IF(COUNTA(AC693:AE693)=0,"",MAX((AC693:AE693&lt;&gt;"")*(COLUMN(AC693:AE693)-(COLUMN(AC693)-2))))-1),"")</f>
        <v>ARCHIVED</v>
      </c>
      <c r="M693" s="13" t="n">
        <f aca="true">K693-TODAY()</f>
        <v>-302</v>
      </c>
      <c r="N693" s="18" t="s">
        <v>36</v>
      </c>
      <c r="O693" s="13" t="s">
        <v>411</v>
      </c>
      <c r="P693" s="26" t="n">
        <v>5195401</v>
      </c>
      <c r="Q693" s="20" t="s">
        <v>3085</v>
      </c>
      <c r="R693" s="13" t="s">
        <v>78</v>
      </c>
      <c r="S693" s="14" t="n">
        <v>37578</v>
      </c>
      <c r="T693" s="13" t="s">
        <v>40</v>
      </c>
      <c r="U693" s="13" t="s">
        <v>3086</v>
      </c>
      <c r="V693" s="13" t="s">
        <v>42</v>
      </c>
      <c r="W693" s="13" t="s">
        <v>43</v>
      </c>
      <c r="X693" s="21" t="n">
        <v>859183930178</v>
      </c>
      <c r="Y693" s="22" t="str">
        <f aca="false">O693</f>
        <v>Dry Fact</v>
      </c>
      <c r="Z693" s="13" t="str">
        <f aca="false">IFERROR(__xludf.dummyfunction("if(BJ693="""","""",GOOGLETRANSLATE(BJ693,""auto"",""en""))"),"Dry Fact")</f>
        <v>Dry Fact</v>
      </c>
      <c r="AA693" s="23" t="str">
        <f aca="false">IF(C693="","", CHOOSE(MONTH(C693),"January","February","March","April","May","June","July","August","September","October","November","December")&amp;" "&amp;DAY(C693)&amp;MID("thstndrdth",MIN(9,2*RIGHT(DAY(C693))*(MOD(DAY(C693)-11,100)&gt;2)+1),2)&amp;","&amp;TEXT(C693," yyyy"))</f>
        <v>March 5th,2022</v>
      </c>
      <c r="AB693" s="15" t="str">
        <f aca="true">IF(S693="","",DATEDIF(S693,TODAY(),"Y")&amp;" Tahun, "&amp;DATEDIF(S693,TODAY(),"YM")&amp;" Bulan, "&amp;DATEDIF(S693,TODAY(),"MD")&amp;" Hari")</f>
        <v>23 Tahun, 11 Bulan, 11 Hari</v>
      </c>
      <c r="AC693" s="18" t="n">
        <v>45658</v>
      </c>
      <c r="AD693" s="18" t="n">
        <v>46022</v>
      </c>
      <c r="AE693" s="18" t="s">
        <v>44</v>
      </c>
    </row>
    <row r="694" customFormat="false" ht="15.75" hidden="false" customHeight="true" outlineLevel="0" collapsed="false">
      <c r="A694" s="12" t="n">
        <v>5376</v>
      </c>
      <c r="B694" s="13" t="s">
        <v>3087</v>
      </c>
      <c r="C694" s="14" t="n">
        <v>44622</v>
      </c>
      <c r="D694" s="13" t="s">
        <v>3022</v>
      </c>
      <c r="E694" s="15" t="s">
        <v>47</v>
      </c>
      <c r="F694" s="15" t="str">
        <f aca="false">IFERROR(__xludf.dummyfunction("XLOOKUP(AJ694,IMPORTRANGE(""1XaInW9DU9nz21V0tYIfzFQ0He9kVQ_JF2mCXgZ3hqFA"",""REKAP ALL 2026 - Andika!G:G""),IMPORTRANGE(""1XaInW9DU9nz21V0tYIfzFQ0He9kVQ_JF2mCXgZ3hqFA"",""REKAP ALL 2026 - Andika!F:F""),"""",0)"),"23172180053")</f>
        <v>23172180053</v>
      </c>
      <c r="G694" s="13" t="s">
        <v>3088</v>
      </c>
      <c r="H694" s="13" t="s">
        <v>3024</v>
      </c>
      <c r="I694" s="13" t="str">
        <f aca="false">IF(C694=J694,"NEW KONTRAK","RE-KONTRAK")</f>
        <v>RE-KONTRAK</v>
      </c>
      <c r="J694" s="16" t="n">
        <f aca="false" t="array" ref="J694:J694">IFERROR(INDEX(AC694:AE694,IF(COUNTA(AC694:AE694)=0,"",MAX((AC694:AE694&lt;&gt;"")*(COLUMN(AC694:AE694)-(COLUMN(AC694)))))-1),"")</f>
        <v>45570</v>
      </c>
      <c r="K694" s="16" t="n">
        <f aca="false" t="array" ref="K694:K694">IFERROR(INDEX(AC694:AE694,IF(COUNTA(AC694:AE694)=0,"",MAX((AC694:AE694&lt;&gt;"")*(COLUMN(AC694:AE694)-(COLUMN(AC694)-1))))-1),"")</f>
        <v>45934</v>
      </c>
      <c r="L694" s="17" t="str">
        <f aca="false" t="array" ref="L694:L694">IFERROR(INDEX(AC694:AE694,IF(COUNTA(AC694:AE694)=0,"",MAX((AC694:AE694&lt;&gt;"")*(COLUMN(AC694:AE694)-(COLUMN(AC694)-2))))-1),"")</f>
        <v>ARCHIVED</v>
      </c>
      <c r="M694" s="13" t="n">
        <f aca="true">K694-TODAY()</f>
        <v>-390</v>
      </c>
      <c r="N694" s="18" t="s">
        <v>36</v>
      </c>
      <c r="O694" s="13" t="s">
        <v>3025</v>
      </c>
      <c r="P694" s="19" t="n">
        <v>150000</v>
      </c>
      <c r="Q694" s="20" t="s">
        <v>3089</v>
      </c>
      <c r="R694" s="13" t="s">
        <v>65</v>
      </c>
      <c r="S694" s="14" t="n">
        <v>37241</v>
      </c>
      <c r="T694" s="13" t="s">
        <v>40</v>
      </c>
      <c r="U694" s="13" t="s">
        <v>3090</v>
      </c>
      <c r="V694" s="13" t="s">
        <v>42</v>
      </c>
      <c r="W694" s="13" t="s">
        <v>43</v>
      </c>
      <c r="X694" s="21" t="n">
        <v>859175724203</v>
      </c>
      <c r="Y694" s="22" t="str">
        <f aca="false">O694</f>
        <v>Gudang ( Warehouse )</v>
      </c>
      <c r="Z694" s="13" t="str">
        <f aca="false">IFERROR(__xludf.dummyfunction("if(BJ694="""","""",GOOGLETRANSLATE(BJ694,""auto"",""en""))"),"Warehouse")</f>
        <v>Warehouse</v>
      </c>
      <c r="AA694" s="23" t="str">
        <f aca="false">IF(C694="","", CHOOSE(MONTH(C694),"January","February","March","April","May","June","July","August","September","October","November","December")&amp;" "&amp;DAY(C694)&amp;MID("thstndrdth",MIN(9,2*RIGHT(DAY(C694))*(MOD(DAY(C694)-11,100)&gt;2)+1),2)&amp;","&amp;TEXT(C694," yyyy"))</f>
        <v>March 2nd,2022</v>
      </c>
      <c r="AB694" s="15" t="str">
        <f aca="true">IF(S694="","",DATEDIF(S694,TODAY(),"Y")&amp;" Tahun, "&amp;DATEDIF(S694,TODAY(),"YM")&amp;" Bulan, "&amp;DATEDIF(S694,TODAY(),"MD")&amp;" Hari")</f>
        <v>24 Tahun, 10 Bulan, 13 Hari</v>
      </c>
      <c r="AC694" s="18" t="n">
        <v>45570</v>
      </c>
      <c r="AD694" s="18" t="n">
        <v>45934</v>
      </c>
      <c r="AE694" s="18" t="s">
        <v>44</v>
      </c>
    </row>
    <row r="695" customFormat="false" ht="15.75" hidden="false" customHeight="true" outlineLevel="0" collapsed="false">
      <c r="A695" s="12" t="n">
        <v>5398</v>
      </c>
      <c r="B695" s="13" t="s">
        <v>3091</v>
      </c>
      <c r="C695" s="14" t="n">
        <v>44621</v>
      </c>
      <c r="D695" s="13" t="s">
        <v>613</v>
      </c>
      <c r="E695" s="15" t="s">
        <v>47</v>
      </c>
      <c r="F695" s="15" t="str">
        <f aca="false">IFERROR(__xludf.dummyfunction("XLOOKUP(AJ695,IMPORTRANGE(""1XaInW9DU9nz21V0tYIfzFQ0He9kVQ_JF2mCXgZ3hqFA"",""REKAP ALL 2026 - Andika!G:G""),IMPORTRANGE(""1XaInW9DU9nz21V0tYIfzFQ0He9kVQ_JF2mCXgZ3hqFA"",""REKAP ALL 2026 - Andika!F:F""),"""",0)"),"22024903225")</f>
        <v>22024903225</v>
      </c>
      <c r="G695" s="13" t="s">
        <v>3092</v>
      </c>
      <c r="H695" s="13" t="s">
        <v>35</v>
      </c>
      <c r="I695" s="13" t="str">
        <f aca="false">IF(C695=J695,"NEW KONTRAK","RE-KONTRAK")</f>
        <v>RE-KONTRAK</v>
      </c>
      <c r="J695" s="16" t="n">
        <f aca="false" t="array" ref="J695:J695">IFERROR(INDEX(AC695:AE695,IF(COUNTA(AC695:AE695)=0,"",MAX((AC695:AE695&lt;&gt;"")*(COLUMN(AC695:AE695)-(COLUMN(AC695)))))-1),"")</f>
        <v>45885</v>
      </c>
      <c r="K695" s="16" t="n">
        <f aca="false" t="array" ref="K695:K695">IFERROR(INDEX(AC695:AE695,IF(COUNTA(AC695:AE695)=0,"",MAX((AC695:AE695&lt;&gt;"")*(COLUMN(AC695:AE695)-(COLUMN(AC695)-1))))-1),"")</f>
        <v>46068</v>
      </c>
      <c r="L695" s="17" t="str">
        <f aca="false" t="array" ref="L695:L695">IFERROR(INDEX(AC695:AE695,IF(COUNTA(AC695:AE695)=0,"",MAX((AC695:AE695&lt;&gt;"")*(COLUMN(AC695:AE695)-(COLUMN(AC695)-2))))-1),"")</f>
        <v>ARCHIVED</v>
      </c>
      <c r="M695" s="13" t="n">
        <f aca="true">K695-TODAY()</f>
        <v>-256</v>
      </c>
      <c r="N695" s="18" t="s">
        <v>615</v>
      </c>
      <c r="O695" s="13" t="s">
        <v>58</v>
      </c>
      <c r="P695" s="19" t="n">
        <v>5176101</v>
      </c>
      <c r="Q695" s="20" t="s">
        <v>3093</v>
      </c>
      <c r="R695" s="13" t="s">
        <v>232</v>
      </c>
      <c r="S695" s="14" t="n">
        <v>31653</v>
      </c>
      <c r="T695" s="13" t="s">
        <v>40</v>
      </c>
      <c r="U695" s="13" t="s">
        <v>3094</v>
      </c>
      <c r="V695" s="13" t="s">
        <v>42</v>
      </c>
      <c r="W695" s="13" t="s">
        <v>54</v>
      </c>
      <c r="X695" s="21" t="n">
        <v>85850528713</v>
      </c>
      <c r="Y695" s="22" t="str">
        <f aca="false">O695</f>
        <v>Produksi</v>
      </c>
      <c r="Z695" s="13" t="str">
        <f aca="false">IFERROR(__xludf.dummyfunction("if(BJ695="""","""",GOOGLETRANSLATE(BJ695,""auto"",""en""))"),"Production")</f>
        <v>Production</v>
      </c>
      <c r="AA695" s="23" t="str">
        <f aca="false">IF(C695="","", CHOOSE(MONTH(C695),"January","February","March","April","May","June","July","August","September","October","November","December")&amp;" "&amp;DAY(C695)&amp;MID("thstndrdth",MIN(9,2*RIGHT(DAY(C695))*(MOD(DAY(C695)-11,100)&gt;2)+1),2)&amp;","&amp;TEXT(C695," yyyy"))</f>
        <v>March 1st,2022</v>
      </c>
      <c r="AB695" s="15" t="str">
        <f aca="true">IF(S695="","",DATEDIF(S695,TODAY(),"Y")&amp;" Tahun, "&amp;DATEDIF(S695,TODAY(),"YM")&amp;" Bulan, "&amp;DATEDIF(S695,TODAY(),"MD")&amp;" Hari")</f>
        <v>40 Tahun, 2 Bulan, 0 Hari</v>
      </c>
      <c r="AC695" s="18" t="n">
        <v>45885</v>
      </c>
      <c r="AD695" s="18" t="n">
        <v>46068</v>
      </c>
      <c r="AE695" s="18" t="s">
        <v>44</v>
      </c>
    </row>
    <row r="696" customFormat="false" ht="15.75" hidden="false" customHeight="true" outlineLevel="0" collapsed="false">
      <c r="A696" s="12" t="n">
        <v>5613</v>
      </c>
      <c r="B696" s="13" t="s">
        <v>3095</v>
      </c>
      <c r="C696" s="14" t="n">
        <v>44631</v>
      </c>
      <c r="D696" s="13" t="s">
        <v>404</v>
      </c>
      <c r="E696" s="15" t="s">
        <v>47</v>
      </c>
      <c r="F696" s="15" t="str">
        <f aca="false">IFERROR(__xludf.dummyfunction("XLOOKUP(AJ696,IMPORTRANGE(""1XaInW9DU9nz21V0tYIfzFQ0He9kVQ_JF2mCXgZ3hqFA"",""REKAP ALL 2026 - Andika!G:G""),IMPORTRANGE(""1XaInW9DU9nz21V0tYIfzFQ0He9kVQ_JF2mCXgZ3hqFA"",""REKAP ALL 2026 - Andika!F:F""),"""",0)"),"22024898680")</f>
        <v>22024898680</v>
      </c>
      <c r="G696" s="13" t="s">
        <v>3096</v>
      </c>
      <c r="H696" s="13" t="s">
        <v>35</v>
      </c>
      <c r="I696" s="13" t="str">
        <f aca="false">IF(C696=J696,"NEW KONTRAK","RE-KONTRAK")</f>
        <v>RE-KONTRAK</v>
      </c>
      <c r="J696" s="16" t="n">
        <f aca="false" t="array" ref="J696:J696">IFERROR(INDEX(AC696:AE696,IF(COUNTA(AC696:AE696)=0,"",MAX((AC696:AE696&lt;&gt;"")*(COLUMN(AC696:AE696)-(COLUMN(AC696)))))-1),"")</f>
        <v>45658</v>
      </c>
      <c r="K696" s="16" t="n">
        <f aca="false" t="array" ref="K696:K696">IFERROR(INDEX(AC696:AE696,IF(COUNTA(AC696:AE696)=0,"",MAX((AC696:AE696&lt;&gt;"")*(COLUMN(AC696:AE696)-(COLUMN(AC696)-1))))-1),"")</f>
        <v>46022</v>
      </c>
      <c r="L696" s="17" t="str">
        <f aca="false" t="array" ref="L696:L696">IFERROR(INDEX(AC696:AE696,IF(COUNTA(AC696:AE696)=0,"",MAX((AC696:AE696&lt;&gt;"")*(COLUMN(AC696:AE696)-(COLUMN(AC696)-2))))-1),"")</f>
        <v>ARCHIVED</v>
      </c>
      <c r="M696" s="13" t="n">
        <f aca="true">K696-TODAY()</f>
        <v>-302</v>
      </c>
      <c r="N696" s="18" t="s">
        <v>36</v>
      </c>
      <c r="O696" s="13" t="s">
        <v>3097</v>
      </c>
      <c r="P696" s="26" t="n">
        <v>5195401</v>
      </c>
      <c r="Q696" s="20" t="s">
        <v>3098</v>
      </c>
      <c r="R696" s="13" t="s">
        <v>65</v>
      </c>
      <c r="S696" s="14" t="n">
        <v>36499</v>
      </c>
      <c r="T696" s="13" t="s">
        <v>40</v>
      </c>
      <c r="U696" s="13" t="s">
        <v>3099</v>
      </c>
      <c r="V696" s="13" t="s">
        <v>42</v>
      </c>
      <c r="W696" s="13" t="s">
        <v>43</v>
      </c>
      <c r="X696" s="21" t="n">
        <v>82141381826</v>
      </c>
      <c r="Y696" s="22" t="str">
        <f aca="false">O696</f>
        <v>Engineering</v>
      </c>
      <c r="Z696" s="13" t="str">
        <f aca="false">IFERROR(__xludf.dummyfunction("if(BJ696="""","""",GOOGLETRANSLATE(BJ696,""auto"",""en""))"),"Engineering")</f>
        <v>Engineering</v>
      </c>
      <c r="AA696" s="23" t="str">
        <f aca="false">IF(C696="","", CHOOSE(MONTH(C696),"January","February","March","April","May","June","July","August","September","October","November","December")&amp;" "&amp;DAY(C696)&amp;MID("thstndrdth",MIN(9,2*RIGHT(DAY(C696))*(MOD(DAY(C696)-11,100)&gt;2)+1),2)&amp;","&amp;TEXT(C696," yyyy"))</f>
        <v>March 11th,2022</v>
      </c>
      <c r="AB696" s="15" t="str">
        <f aca="true">IF(S696="","",DATEDIF(S696,TODAY(),"Y")&amp;" Tahun, "&amp;DATEDIF(S696,TODAY(),"YM")&amp;" Bulan, "&amp;DATEDIF(S696,TODAY(),"MD")&amp;" Hari")</f>
        <v>26 Tahun, 10 Bulan, 24 Hari</v>
      </c>
      <c r="AC696" s="18" t="n">
        <v>45658</v>
      </c>
      <c r="AD696" s="18" t="n">
        <v>46022</v>
      </c>
      <c r="AE696" s="18" t="s">
        <v>44</v>
      </c>
    </row>
    <row r="697" customFormat="false" ht="15.75" hidden="false" customHeight="true" outlineLevel="0" collapsed="false">
      <c r="A697" s="12" t="n">
        <v>2510</v>
      </c>
      <c r="B697" s="13" t="s">
        <v>3100</v>
      </c>
      <c r="C697" s="14" t="n">
        <v>44410</v>
      </c>
      <c r="D697" s="13" t="s">
        <v>101</v>
      </c>
      <c r="E697" s="15" t="s">
        <v>47</v>
      </c>
      <c r="F697" s="15" t="str">
        <f aca="false">IFERROR(__xludf.dummyfunction("XLOOKUP(AJ697,IMPORTRANGE(""1XaInW9DU9nz21V0tYIfzFQ0He9kVQ_JF2mCXgZ3hqFA"",""REKAP ALL 2026 - Andika!G:G""),IMPORTRANGE(""1XaInW9DU9nz21V0tYIfzFQ0He9kVQ_JF2mCXgZ3hqFA"",""REKAP ALL 2026 - Andika!F:F""),"""",0)"),"14008961436")</f>
        <v>14008961436</v>
      </c>
      <c r="G697" s="13" t="s">
        <v>3101</v>
      </c>
      <c r="H697" s="13" t="s">
        <v>35</v>
      </c>
      <c r="I697" s="13" t="str">
        <f aca="false">IF(C697=J697,"NEW KONTRAK","RE-KONTRAK")</f>
        <v>RE-KONTRAK</v>
      </c>
      <c r="J697" s="16" t="n">
        <f aca="false" t="array" ref="J697:J697">IFERROR(INDEX(AC697:AE697,IF(COUNTA(AC697:AE697)=0,"",MAX((AC697:AE697&lt;&gt;"")*(COLUMN(AC697:AE697)-(COLUMN(AC697)))))-1),"")</f>
        <v>45672</v>
      </c>
      <c r="K697" s="16" t="n">
        <f aca="false" t="array" ref="K697:K697">IFERROR(INDEX(AC697:AE697,IF(COUNTA(AC697:AE697)=0,"",MAX((AC697:AE697&lt;&gt;"")*(COLUMN(AC697:AE697)-(COLUMN(AC697)-1))))-1),"")</f>
        <v>46036</v>
      </c>
      <c r="L697" s="17" t="str">
        <f aca="false" t="array" ref="L697:L697">IFERROR(INDEX(AC697:AE697,IF(COUNTA(AC697:AE697)=0,"",MAX((AC697:AE697&lt;&gt;"")*(COLUMN(AC697:AE697)-(COLUMN(AC697)-2))))-1),"")</f>
        <v>ARCHIVED</v>
      </c>
      <c r="M697" s="13" t="n">
        <f aca="true">K697-TODAY()</f>
        <v>-288</v>
      </c>
      <c r="N697" s="18" t="s">
        <v>105</v>
      </c>
      <c r="O697" s="13" t="s">
        <v>106</v>
      </c>
      <c r="P697" s="31" t="n">
        <v>138915</v>
      </c>
      <c r="Q697" s="20" t="s">
        <v>3102</v>
      </c>
      <c r="R697" s="13" t="s">
        <v>260</v>
      </c>
      <c r="S697" s="25" t="n">
        <v>34716</v>
      </c>
      <c r="T697" s="13" t="s">
        <v>108</v>
      </c>
      <c r="U697" s="13" t="s">
        <v>3103</v>
      </c>
      <c r="V697" s="13" t="s">
        <v>42</v>
      </c>
      <c r="W697" s="13" t="s">
        <v>54</v>
      </c>
      <c r="X697" s="21" t="n">
        <v>81284830286</v>
      </c>
      <c r="Y697" s="22" t="str">
        <f aca="false">O697</f>
        <v>Produksi - Helper</v>
      </c>
      <c r="Z697" s="13" t="str">
        <f aca="false">IFERROR(__xludf.dummyfunction("if(BJ697="""","""",GOOGLETRANSLATE(BJ697,""auto"",""en""))"),"Production - Helper")</f>
        <v>Production - Helper</v>
      </c>
      <c r="AA697" s="23" t="str">
        <f aca="false">IF(C697="","", CHOOSE(MONTH(C697),"January","February","March","April","May","June","July","August","September","October","November","December")&amp;" "&amp;DAY(C697)&amp;MID("thstndrdth",MIN(9,2*RIGHT(DAY(C697))*(MOD(DAY(C697)-11,100)&gt;2)+1),2)&amp;","&amp;TEXT(C697," yyyy"))</f>
        <v>August 2nd,2021</v>
      </c>
      <c r="AB697" s="15" t="str">
        <f aca="true">IF(S697="","",DATEDIF(S697,TODAY(),"Y")&amp;" Tahun, "&amp;DATEDIF(S697,TODAY(),"YM")&amp;" Bulan, "&amp;DATEDIF(S697,TODAY(),"MD")&amp;" Hari")</f>
        <v>31 Tahun, 9 Bulan, 12 Hari</v>
      </c>
      <c r="AC697" s="18" t="n">
        <v>45672</v>
      </c>
      <c r="AD697" s="18" t="n">
        <v>46036</v>
      </c>
      <c r="AE697" s="18" t="s">
        <v>44</v>
      </c>
    </row>
    <row r="698" customFormat="false" ht="15.75" hidden="false" customHeight="true" outlineLevel="0" collapsed="false">
      <c r="A698" s="12" t="n">
        <v>5653</v>
      </c>
      <c r="B698" s="13" t="s">
        <v>3104</v>
      </c>
      <c r="C698" s="14" t="n">
        <v>44641</v>
      </c>
      <c r="D698" s="13" t="s">
        <v>144</v>
      </c>
      <c r="E698" s="15" t="s">
        <v>47</v>
      </c>
      <c r="F698" s="15" t="str">
        <f aca="false">IFERROR(__xludf.dummyfunction("XLOOKUP(AJ698,IMPORTRANGE(""1XaInW9DU9nz21V0tYIfzFQ0He9kVQ_JF2mCXgZ3hqFA"",""REKAP ALL 2026 - Andika!G:G""),IMPORTRANGE(""1XaInW9DU9nz21V0tYIfzFQ0He9kVQ_JF2mCXgZ3hqFA"",""REKAP ALL 2026 - Andika!F:F""),"""",0)"),"22037461849")</f>
        <v>22037461849</v>
      </c>
      <c r="G698" s="13" t="s">
        <v>3105</v>
      </c>
      <c r="H698" s="13" t="s">
        <v>35</v>
      </c>
      <c r="I698" s="13" t="str">
        <f aca="false">IF(C698=J698,"NEW KONTRAK","RE-KONTRAK")</f>
        <v>RE-KONTRAK</v>
      </c>
      <c r="J698" s="16" t="n">
        <f aca="false" t="array" ref="J698:J698">IFERROR(INDEX(AC698:AE698,IF(COUNTA(AC698:AE698)=0,"",MAX((AC698:AE698&lt;&gt;"")*(COLUMN(AC698:AE698)-(COLUMN(AC698)))))-1),"")</f>
        <v>45658</v>
      </c>
      <c r="K698" s="16" t="n">
        <f aca="false" t="array" ref="K698:K698">IFERROR(INDEX(AC698:AE698,IF(COUNTA(AC698:AE698)=0,"",MAX((AC698:AE698&lt;&gt;"")*(COLUMN(AC698:AE698)-(COLUMN(AC698)-1))))-1),"")</f>
        <v>46022</v>
      </c>
      <c r="L698" s="17" t="str">
        <f aca="false" t="array" ref="L698:L698">IFERROR(INDEX(AC698:AE698,IF(COUNTA(AC698:AE698)=0,"",MAX((AC698:AE698&lt;&gt;"")*(COLUMN(AC698:AE698)-(COLUMN(AC698)-2))))-1),"")</f>
        <v>ARCHIVED</v>
      </c>
      <c r="M698" s="13" t="n">
        <f aca="true">K698-TODAY()</f>
        <v>-302</v>
      </c>
      <c r="N698" s="18" t="s">
        <v>36</v>
      </c>
      <c r="O698" s="13" t="s">
        <v>173</v>
      </c>
      <c r="P698" s="19" t="n">
        <v>5195401</v>
      </c>
      <c r="Q698" s="20" t="s">
        <v>3106</v>
      </c>
      <c r="R698" s="13" t="s">
        <v>65</v>
      </c>
      <c r="S698" s="14" t="n">
        <v>32231</v>
      </c>
      <c r="T698" s="13" t="s">
        <v>40</v>
      </c>
      <c r="U698" s="13" t="s">
        <v>3107</v>
      </c>
      <c r="V698" s="13" t="s">
        <v>42</v>
      </c>
      <c r="W698" s="13" t="s">
        <v>43</v>
      </c>
      <c r="X698" s="21" t="n">
        <v>82339577092</v>
      </c>
      <c r="Y698" s="22" t="str">
        <f aca="false">O698</f>
        <v>Office</v>
      </c>
      <c r="Z698" s="13" t="str">
        <f aca="false">IFERROR(__xludf.dummyfunction("if(BJ698="""","""",GOOGLETRANSLATE(BJ698,""auto"",""en""))"),"Office")</f>
        <v>Office</v>
      </c>
      <c r="AA698" s="23" t="str">
        <f aca="false">IF(C698="","", CHOOSE(MONTH(C698),"January","February","March","April","May","June","July","August","September","October","November","December")&amp;" "&amp;DAY(C698)&amp;MID("thstndrdth",MIN(9,2*RIGHT(DAY(C698))*(MOD(DAY(C698)-11,100)&gt;2)+1),2)&amp;","&amp;TEXT(C698," yyyy"))</f>
        <v>March 21st,2022</v>
      </c>
      <c r="AB698" s="15" t="str">
        <f aca="true">IF(S698="","",DATEDIF(S698,TODAY(),"Y")&amp;" Tahun, "&amp;DATEDIF(S698,TODAY(),"YM")&amp;" Bulan, "&amp;DATEDIF(S698,TODAY(),"MD")&amp;" Hari")</f>
        <v>38 Tahun, 7 Bulan, 0 Hari</v>
      </c>
      <c r="AC698" s="18" t="n">
        <v>45658</v>
      </c>
      <c r="AD698" s="18" t="n">
        <v>46022</v>
      </c>
      <c r="AE698" s="18" t="s">
        <v>44</v>
      </c>
    </row>
    <row r="699" customFormat="false" ht="15.75" hidden="false" customHeight="true" outlineLevel="0" collapsed="false">
      <c r="A699" s="12" t="n">
        <v>5766</v>
      </c>
      <c r="B699" s="13" t="s">
        <v>3108</v>
      </c>
      <c r="C699" s="14" t="n">
        <v>44646</v>
      </c>
      <c r="D699" s="13" t="s">
        <v>2046</v>
      </c>
      <c r="E699" s="15" t="s">
        <v>789</v>
      </c>
      <c r="F699" s="24" t="s">
        <v>3109</v>
      </c>
      <c r="G699" s="13" t="s">
        <v>3110</v>
      </c>
      <c r="H699" s="13" t="s">
        <v>35</v>
      </c>
      <c r="I699" s="13" t="str">
        <f aca="false">IF(C699=J699,"NEW KONTRAK","RE-KONTRAK")</f>
        <v>RE-KONTRAK</v>
      </c>
      <c r="J699" s="16" t="n">
        <f aca="false" t="array" ref="J699:J699">IFERROR(INDEX(AC699:AE699,IF(COUNTA(AC699:AE699)=0,"",MAX((AC699:AE699&lt;&gt;"")*(COLUMN(AC699:AE699)-(COLUMN(AC699)))))-1),"")</f>
        <v>45839</v>
      </c>
      <c r="K699" s="16" t="n">
        <f aca="false" t="array" ref="K699:K699">IFERROR(INDEX(AC699:AE699,IF(COUNTA(AC699:AE699)=0,"",MAX((AC699:AE699&lt;&gt;"")*(COLUMN(AC699:AE699)-(COLUMN(AC699)-1))))-1),"")</f>
        <v>45961</v>
      </c>
      <c r="L699" s="17" t="str">
        <f aca="false" t="array" ref="L699:L699">IFERROR(INDEX(AC699:AE699,IF(COUNTA(AC699:AE699)=0,"",MAX((AC699:AE699&lt;&gt;"")*(COLUMN(AC699:AE699)-(COLUMN(AC699)-2))))-1),"")</f>
        <v>ARCHIVED</v>
      </c>
      <c r="M699" s="13" t="n">
        <f aca="true">K699-TODAY()</f>
        <v>-363</v>
      </c>
      <c r="N699" s="18" t="s">
        <v>36</v>
      </c>
      <c r="O699" s="13" t="s">
        <v>2055</v>
      </c>
      <c r="P699" s="19" t="s">
        <v>2050</v>
      </c>
      <c r="Q699" s="20" t="s">
        <v>3111</v>
      </c>
      <c r="R699" s="13" t="s">
        <v>65</v>
      </c>
      <c r="S699" s="14" t="n">
        <v>37389</v>
      </c>
      <c r="T699" s="13" t="s">
        <v>40</v>
      </c>
      <c r="U699" s="13" t="s">
        <v>3112</v>
      </c>
      <c r="V699" s="13" t="s">
        <v>42</v>
      </c>
      <c r="W699" s="13" t="s">
        <v>43</v>
      </c>
      <c r="X699" s="21" t="n">
        <v>85895054828</v>
      </c>
      <c r="Y699" s="22" t="str">
        <f aca="false">O699</f>
        <v>Assembly</v>
      </c>
      <c r="Z699" s="13" t="str">
        <f aca="false">IFERROR(__xludf.dummyfunction("if(BJ699="""","""",GOOGLETRANSLATE(BJ699,""auto"",""en""))"),"Assembly")</f>
        <v>Assembly</v>
      </c>
      <c r="AA699" s="23" t="str">
        <f aca="false">IF(C699="","", CHOOSE(MONTH(C699),"January","February","March","April","May","June","July","August","September","October","November","December")&amp;" "&amp;DAY(C699)&amp;MID("thstndrdth",MIN(9,2*RIGHT(DAY(C699))*(MOD(DAY(C699)-11,100)&gt;2)+1),2)&amp;","&amp;TEXT(C699," yyyy"))</f>
        <v>March 26th,2022</v>
      </c>
      <c r="AB699" s="15" t="str">
        <f aca="true">IF(S699="","",DATEDIF(S699,TODAY(),"Y")&amp;" Tahun, "&amp;DATEDIF(S699,TODAY(),"YM")&amp;" Bulan, "&amp;DATEDIF(S699,TODAY(),"MD")&amp;" Hari")</f>
        <v>24 Tahun, 5 Bulan, 16 Hari</v>
      </c>
      <c r="AC699" s="18" t="n">
        <v>45839</v>
      </c>
      <c r="AD699" s="18" t="n">
        <v>45961</v>
      </c>
      <c r="AE699" s="18" t="s">
        <v>44</v>
      </c>
    </row>
    <row r="700" customFormat="false" ht="15.75" hidden="false" customHeight="true" outlineLevel="0" collapsed="false">
      <c r="A700" s="12" t="n">
        <v>5767</v>
      </c>
      <c r="B700" s="13" t="s">
        <v>3113</v>
      </c>
      <c r="C700" s="14" t="n">
        <v>44646</v>
      </c>
      <c r="D700" s="13" t="s">
        <v>2046</v>
      </c>
      <c r="E700" s="15" t="s">
        <v>102</v>
      </c>
      <c r="F700" s="15" t="str">
        <f aca="false">IFERROR(__xludf.dummyfunction("XLOOKUP(AJ700,IMPORTRANGE(""1XaInW9DU9nz21V0tYIfzFQ0He9kVQ_JF2mCXgZ3hqFA"",""REKAP ALL 2026 - Andika!G:G""),IMPORTRANGE(""1XaInW9DU9nz21V0tYIfzFQ0He9kVQ_JF2mCXgZ3hqFA"",""REKAP ALL 2026 - Andika!F:F""),"""",0)"),"21095005910")</f>
        <v>21095005910</v>
      </c>
      <c r="G700" s="13" t="s">
        <v>3114</v>
      </c>
      <c r="H700" s="13" t="s">
        <v>35</v>
      </c>
      <c r="I700" s="13" t="str">
        <f aca="false">IF(C700=J700,"NEW KONTRAK","RE-KONTRAK")</f>
        <v>RE-KONTRAK</v>
      </c>
      <c r="J700" s="16" t="n">
        <f aca="false" t="array" ref="J700:J700">IFERROR(INDEX(AC700:AE700,IF(COUNTA(AC700:AE700)=0,"",MAX((AC700:AE700&lt;&gt;"")*(COLUMN(AC700:AE700)-(COLUMN(AC700)))))-1),"")</f>
        <v>45839</v>
      </c>
      <c r="K700" s="16" t="n">
        <f aca="false" t="array" ref="K700:K700">IFERROR(INDEX(AC700:AE700,IF(COUNTA(AC700:AE700)=0,"",MAX((AC700:AE700&lt;&gt;"")*(COLUMN(AC700:AE700)-(COLUMN(AC700)-1))))-1),"")</f>
        <v>45961</v>
      </c>
      <c r="L700" s="17" t="str">
        <f aca="false" t="array" ref="L700:L700">IFERROR(INDEX(AC700:AE700,IF(COUNTA(AC700:AE700)=0,"",MAX((AC700:AE700&lt;&gt;"")*(COLUMN(AC700:AE700)-(COLUMN(AC700)-2))))-1),"")</f>
        <v>ARCHIVED</v>
      </c>
      <c r="M700" s="13" t="n">
        <f aca="true">K700-TODAY()</f>
        <v>-363</v>
      </c>
      <c r="N700" s="18" t="s">
        <v>36</v>
      </c>
      <c r="O700" s="13" t="s">
        <v>2055</v>
      </c>
      <c r="P700" s="19" t="s">
        <v>2050</v>
      </c>
      <c r="Q700" s="20" t="s">
        <v>3115</v>
      </c>
      <c r="R700" s="13" t="s">
        <v>39</v>
      </c>
      <c r="S700" s="14" t="n">
        <v>34014</v>
      </c>
      <c r="T700" s="13" t="s">
        <v>40</v>
      </c>
      <c r="U700" s="13" t="s">
        <v>3116</v>
      </c>
      <c r="V700" s="13" t="s">
        <v>42</v>
      </c>
      <c r="W700" s="13" t="s">
        <v>54</v>
      </c>
      <c r="X700" s="21" t="n">
        <v>85648638158</v>
      </c>
      <c r="Y700" s="22" t="str">
        <f aca="false">O700</f>
        <v>Assembly</v>
      </c>
      <c r="Z700" s="13" t="str">
        <f aca="false">IFERROR(__xludf.dummyfunction("if(BJ700="""","""",GOOGLETRANSLATE(BJ700,""auto"",""en""))"),"Assembly")</f>
        <v>Assembly</v>
      </c>
      <c r="AA700" s="23" t="str">
        <f aca="false">IF(C700="","", CHOOSE(MONTH(C700),"January","February","March","April","May","June","July","August","September","October","November","December")&amp;" "&amp;DAY(C700)&amp;MID("thstndrdth",MIN(9,2*RIGHT(DAY(C700))*(MOD(DAY(C700)-11,100)&gt;2)+1),2)&amp;","&amp;TEXT(C700," yyyy"))</f>
        <v>March 26th,2022</v>
      </c>
      <c r="AB700" s="15" t="str">
        <f aca="true">IF(S700="","",DATEDIF(S700,TODAY(),"Y")&amp;" Tahun, "&amp;DATEDIF(S700,TODAY(),"YM")&amp;" Bulan, "&amp;DATEDIF(S700,TODAY(),"MD")&amp;" Hari")</f>
        <v>33 Tahun, 8 Bulan, 15 Hari</v>
      </c>
      <c r="AC700" s="18" t="n">
        <v>45839</v>
      </c>
      <c r="AD700" s="18" t="n">
        <v>45961</v>
      </c>
      <c r="AE700" s="18" t="s">
        <v>44</v>
      </c>
    </row>
    <row r="701" customFormat="false" ht="15.75" hidden="false" customHeight="true" outlineLevel="0" collapsed="false">
      <c r="A701" s="12" t="n">
        <v>5768</v>
      </c>
      <c r="B701" s="13" t="s">
        <v>3117</v>
      </c>
      <c r="C701" s="14" t="n">
        <v>44646</v>
      </c>
      <c r="D701" s="13" t="s">
        <v>2046</v>
      </c>
      <c r="E701" s="15" t="s">
        <v>789</v>
      </c>
      <c r="F701" s="24" t="s">
        <v>3118</v>
      </c>
      <c r="G701" s="13" t="s">
        <v>3119</v>
      </c>
      <c r="H701" s="13" t="s">
        <v>35</v>
      </c>
      <c r="I701" s="13" t="str">
        <f aca="false">IF(C701=J701,"NEW KONTRAK","RE-KONTRAK")</f>
        <v>RE-KONTRAK</v>
      </c>
      <c r="J701" s="16" t="n">
        <f aca="false" t="array" ref="J701:J701">IFERROR(INDEX(AC701:AE701,IF(COUNTA(AC701:AE701)=0,"",MAX((AC701:AE701&lt;&gt;"")*(COLUMN(AC701:AE701)-(COLUMN(AC701)))))-1),"")</f>
        <v>45839</v>
      </c>
      <c r="K701" s="16" t="n">
        <f aca="false" t="array" ref="K701:K701">IFERROR(INDEX(AC701:AE701,IF(COUNTA(AC701:AE701)=0,"",MAX((AC701:AE701&lt;&gt;"")*(COLUMN(AC701:AE701)-(COLUMN(AC701)-1))))-1),"")</f>
        <v>45961</v>
      </c>
      <c r="L701" s="17" t="str">
        <f aca="false" t="array" ref="L701:L701">IFERROR(INDEX(AC701:AE701,IF(COUNTA(AC701:AE701)=0,"",MAX((AC701:AE701&lt;&gt;"")*(COLUMN(AC701:AE701)-(COLUMN(AC701)-2))))-1),"")</f>
        <v>ARCHIVED</v>
      </c>
      <c r="M701" s="13" t="n">
        <f aca="true">K701-TODAY()</f>
        <v>-363</v>
      </c>
      <c r="N701" s="18" t="s">
        <v>36</v>
      </c>
      <c r="O701" s="13" t="s">
        <v>2049</v>
      </c>
      <c r="P701" s="19" t="s">
        <v>2050</v>
      </c>
      <c r="Q701" s="20" t="s">
        <v>3120</v>
      </c>
      <c r="R701" s="13" t="s">
        <v>65</v>
      </c>
      <c r="S701" s="14" t="n">
        <v>35975</v>
      </c>
      <c r="T701" s="13" t="s">
        <v>40</v>
      </c>
      <c r="U701" s="13" t="s">
        <v>3121</v>
      </c>
      <c r="V701" s="13" t="s">
        <v>42</v>
      </c>
      <c r="W701" s="13" t="s">
        <v>43</v>
      </c>
      <c r="X701" s="21" t="n">
        <v>895382401431</v>
      </c>
      <c r="Y701" s="22" t="str">
        <f aca="false">O701</f>
        <v>Produksi Extrude</v>
      </c>
      <c r="Z701" s="13" t="str">
        <f aca="false">IFERROR(__xludf.dummyfunction("if(BJ701="""","""",GOOGLETRANSLATE(BJ701,""auto"",""en""))"),"Extrude Production")</f>
        <v>Extrude Production</v>
      </c>
      <c r="AA701" s="23" t="str">
        <f aca="false">IF(C701="","", CHOOSE(MONTH(C701),"January","February","March","April","May","June","July","August","September","October","November","December")&amp;" "&amp;DAY(C701)&amp;MID("thstndrdth",MIN(9,2*RIGHT(DAY(C701))*(MOD(DAY(C701)-11,100)&gt;2)+1),2)&amp;","&amp;TEXT(C701," yyyy"))</f>
        <v>March 26th,2022</v>
      </c>
      <c r="AB701" s="15" t="str">
        <f aca="true">IF(S701="","",DATEDIF(S701,TODAY(),"Y")&amp;" Tahun, "&amp;DATEDIF(S701,TODAY(),"YM")&amp;" Bulan, "&amp;DATEDIF(S701,TODAY(),"MD")&amp;" Hari")</f>
        <v>28 Tahun, 4 Bulan, 0 Hari</v>
      </c>
      <c r="AC701" s="18" t="n">
        <v>45839</v>
      </c>
      <c r="AD701" s="18" t="n">
        <v>45961</v>
      </c>
      <c r="AE701" s="18" t="s">
        <v>44</v>
      </c>
    </row>
    <row r="702" customFormat="false" ht="15.75" hidden="false" customHeight="true" outlineLevel="0" collapsed="false">
      <c r="A702" s="12" t="n">
        <v>5769</v>
      </c>
      <c r="B702" s="13" t="s">
        <v>3122</v>
      </c>
      <c r="C702" s="14" t="n">
        <v>44646</v>
      </c>
      <c r="D702" s="13" t="s">
        <v>2046</v>
      </c>
      <c r="E702" s="15" t="s">
        <v>789</v>
      </c>
      <c r="F702" s="24" t="s">
        <v>3123</v>
      </c>
      <c r="G702" s="13" t="s">
        <v>3124</v>
      </c>
      <c r="H702" s="13" t="s">
        <v>35</v>
      </c>
      <c r="I702" s="13" t="str">
        <f aca="false">IF(C702=J702,"NEW KONTRAK","RE-KONTRAK")</f>
        <v>RE-KONTRAK</v>
      </c>
      <c r="J702" s="16" t="n">
        <f aca="false" t="array" ref="J702:J702">IFERROR(INDEX(AC702:AE702,IF(COUNTA(AC702:AE702)=0,"",MAX((AC702:AE702&lt;&gt;"")*(COLUMN(AC702:AE702)-(COLUMN(AC702)))))-1),"")</f>
        <v>45839</v>
      </c>
      <c r="K702" s="16" t="n">
        <f aca="false" t="array" ref="K702:K702">IFERROR(INDEX(AC702:AE702,IF(COUNTA(AC702:AE702)=0,"",MAX((AC702:AE702&lt;&gt;"")*(COLUMN(AC702:AE702)-(COLUMN(AC702)-1))))-1),"")</f>
        <v>45961</v>
      </c>
      <c r="L702" s="17" t="str">
        <f aca="false" t="array" ref="L702:L702">IFERROR(INDEX(AC702:AE702,IF(COUNTA(AC702:AE702)=0,"",MAX((AC702:AE702&lt;&gt;"")*(COLUMN(AC702:AE702)-(COLUMN(AC702)-2))))-1),"")</f>
        <v>ARCHIVED</v>
      </c>
      <c r="M702" s="13" t="n">
        <f aca="true">K702-TODAY()</f>
        <v>-363</v>
      </c>
      <c r="N702" s="18" t="s">
        <v>36</v>
      </c>
      <c r="O702" s="13" t="s">
        <v>2055</v>
      </c>
      <c r="P702" s="19" t="s">
        <v>2050</v>
      </c>
      <c r="Q702" s="20" t="s">
        <v>3125</v>
      </c>
      <c r="R702" s="13" t="s">
        <v>52</v>
      </c>
      <c r="S702" s="14" t="n">
        <v>36775</v>
      </c>
      <c r="T702" s="13" t="s">
        <v>40</v>
      </c>
      <c r="U702" s="13" t="s">
        <v>3126</v>
      </c>
      <c r="V702" s="13" t="s">
        <v>42</v>
      </c>
      <c r="W702" s="13" t="s">
        <v>43</v>
      </c>
      <c r="X702" s="21" t="n">
        <v>87748271559</v>
      </c>
      <c r="Y702" s="22" t="str">
        <f aca="false">O702</f>
        <v>Assembly</v>
      </c>
      <c r="Z702" s="13" t="str">
        <f aca="false">IFERROR(__xludf.dummyfunction("if(BJ702="""","""",GOOGLETRANSLATE(BJ702,""auto"",""en""))"),"Assembly")</f>
        <v>Assembly</v>
      </c>
      <c r="AA702" s="23" t="str">
        <f aca="false">IF(C702="","", CHOOSE(MONTH(C702),"January","February","March","April","May","June","July","August","September","October","November","December")&amp;" "&amp;DAY(C702)&amp;MID("thstndrdth",MIN(9,2*RIGHT(DAY(C702))*(MOD(DAY(C702)-11,100)&gt;2)+1),2)&amp;","&amp;TEXT(C702," yyyy"))</f>
        <v>March 26th,2022</v>
      </c>
      <c r="AB702" s="15" t="str">
        <f aca="true">IF(S702="","",DATEDIF(S702,TODAY(),"Y")&amp;" Tahun, "&amp;DATEDIF(S702,TODAY(),"YM")&amp;" Bulan, "&amp;DATEDIF(S702,TODAY(),"MD")&amp;" Hari")</f>
        <v>26 Tahun, 1 Bulan, 23 Hari</v>
      </c>
      <c r="AC702" s="18" t="n">
        <v>45839</v>
      </c>
      <c r="AD702" s="18" t="n">
        <v>45961</v>
      </c>
      <c r="AE702" s="18" t="s">
        <v>44</v>
      </c>
    </row>
    <row r="703" customFormat="false" ht="15.75" hidden="false" customHeight="true" outlineLevel="0" collapsed="false">
      <c r="A703" s="12" t="n">
        <v>5772</v>
      </c>
      <c r="B703" s="13" t="s">
        <v>3127</v>
      </c>
      <c r="C703" s="14" t="n">
        <v>44646</v>
      </c>
      <c r="D703" s="13" t="s">
        <v>2046</v>
      </c>
      <c r="E703" s="15" t="s">
        <v>102</v>
      </c>
      <c r="F703" s="15" t="str">
        <f aca="false">IFERROR(__xludf.dummyfunction("XLOOKUP(AJ703,IMPORTRANGE(""1XaInW9DU9nz21V0tYIfzFQ0He9kVQ_JF2mCXgZ3hqFA"",""REKAP ALL 2026 - Andika!G:G""),IMPORTRANGE(""1XaInW9DU9nz21V0tYIfzFQ0He9kVQ_JF2mCXgZ3hqFA"",""REKAP ALL 2026 - Andika!F:F""),"""",0)"),"22028238909")</f>
        <v>22028238909</v>
      </c>
      <c r="G703" s="13" t="s">
        <v>3128</v>
      </c>
      <c r="H703" s="13" t="s">
        <v>35</v>
      </c>
      <c r="I703" s="13" t="str">
        <f aca="false">IF(C703=J703,"NEW KONTRAK","RE-KONTRAK")</f>
        <v>RE-KONTRAK</v>
      </c>
      <c r="J703" s="16" t="n">
        <f aca="false" t="array" ref="J703:J703">IFERROR(INDEX(AC703:AE703,IF(COUNTA(AC703:AE703)=0,"",MAX((AC703:AE703&lt;&gt;"")*(COLUMN(AC703:AE703)-(COLUMN(AC703)))))-1),"")</f>
        <v>45839</v>
      </c>
      <c r="K703" s="16" t="n">
        <f aca="false" t="array" ref="K703:K703">IFERROR(INDEX(AC703:AE703,IF(COUNTA(AC703:AE703)=0,"",MAX((AC703:AE703&lt;&gt;"")*(COLUMN(AC703:AE703)-(COLUMN(AC703)-1))))-1),"")</f>
        <v>45961</v>
      </c>
      <c r="L703" s="17" t="str">
        <f aca="false" t="array" ref="L703:L703">IFERROR(INDEX(AC703:AE703,IF(COUNTA(AC703:AE703)=0,"",MAX((AC703:AE703&lt;&gt;"")*(COLUMN(AC703:AE703)-(COLUMN(AC703)-2))))-1),"")</f>
        <v>ARCHIVED</v>
      </c>
      <c r="M703" s="13" t="n">
        <f aca="true">K703-TODAY()</f>
        <v>-363</v>
      </c>
      <c r="N703" s="18" t="s">
        <v>36</v>
      </c>
      <c r="O703" s="13" t="s">
        <v>2055</v>
      </c>
      <c r="P703" s="19" t="s">
        <v>2050</v>
      </c>
      <c r="Q703" s="20" t="s">
        <v>3129</v>
      </c>
      <c r="R703" s="13" t="s">
        <v>52</v>
      </c>
      <c r="S703" s="14" t="n">
        <v>37055</v>
      </c>
      <c r="T703" s="13" t="s">
        <v>40</v>
      </c>
      <c r="U703" s="13" t="s">
        <v>3130</v>
      </c>
      <c r="V703" s="13" t="s">
        <v>42</v>
      </c>
      <c r="W703" s="13" t="s">
        <v>43</v>
      </c>
      <c r="X703" s="21" t="n">
        <v>89682223990</v>
      </c>
      <c r="Y703" s="22" t="str">
        <f aca="false">O703</f>
        <v>Assembly</v>
      </c>
      <c r="Z703" s="13" t="str">
        <f aca="false">IFERROR(__xludf.dummyfunction("if(BJ703="""","""",GOOGLETRANSLATE(BJ703,""auto"",""en""))"),"Assembly")</f>
        <v>Assembly</v>
      </c>
      <c r="AA703" s="23" t="str">
        <f aca="false">IF(C703="","", CHOOSE(MONTH(C703),"January","February","March","April","May","June","July","August","September","October","November","December")&amp;" "&amp;DAY(C703)&amp;MID("thstndrdth",MIN(9,2*RIGHT(DAY(C703))*(MOD(DAY(C703)-11,100)&gt;2)+1),2)&amp;","&amp;TEXT(C703," yyyy"))</f>
        <v>March 26th,2022</v>
      </c>
      <c r="AB703" s="15" t="str">
        <f aca="true">IF(S703="","",DATEDIF(S703,TODAY(),"Y")&amp;" Tahun, "&amp;DATEDIF(S703,TODAY(),"YM")&amp;" Bulan, "&amp;DATEDIF(S703,TODAY(),"MD")&amp;" Hari")</f>
        <v>25 Tahun, 4 Bulan, 16 Hari</v>
      </c>
      <c r="AC703" s="18" t="n">
        <v>45839</v>
      </c>
      <c r="AD703" s="18" t="n">
        <v>45961</v>
      </c>
      <c r="AE703" s="18" t="s">
        <v>44</v>
      </c>
    </row>
    <row r="704" customFormat="false" ht="15.75" hidden="false" customHeight="true" outlineLevel="0" collapsed="false">
      <c r="A704" s="12" t="n">
        <v>5773</v>
      </c>
      <c r="B704" s="13" t="s">
        <v>3131</v>
      </c>
      <c r="C704" s="14" t="n">
        <v>44646</v>
      </c>
      <c r="D704" s="13" t="s">
        <v>2046</v>
      </c>
      <c r="E704" s="15" t="s">
        <v>102</v>
      </c>
      <c r="F704" s="15" t="str">
        <f aca="false">IFERROR(__xludf.dummyfunction("XLOOKUP(AJ704,IMPORTRANGE(""1XaInW9DU9nz21V0tYIfzFQ0He9kVQ_JF2mCXgZ3hqFA"",""REKAP ALL 2026 - Andika!G:G""),IMPORTRANGE(""1XaInW9DU9nz21V0tYIfzFQ0He9kVQ_JF2mCXgZ3hqFA"",""REKAP ALL 2026 - Andika!F:F""),"""",0)"),"26062995498")</f>
        <v>26062995498</v>
      </c>
      <c r="G704" s="13" t="s">
        <v>3132</v>
      </c>
      <c r="H704" s="13" t="s">
        <v>35</v>
      </c>
      <c r="I704" s="13" t="str">
        <f aca="false">IF(C704=J704,"NEW KONTRAK","RE-KONTRAK")</f>
        <v>RE-KONTRAK</v>
      </c>
      <c r="J704" s="16" t="n">
        <f aca="false" t="array" ref="J704:J704">IFERROR(INDEX(AC704:AE704,IF(COUNTA(AC704:AE704)=0,"",MAX((AC704:AE704&lt;&gt;"")*(COLUMN(AC704:AE704)-(COLUMN(AC704)))))-1),"")</f>
        <v>45839</v>
      </c>
      <c r="K704" s="16" t="n">
        <f aca="false" t="array" ref="K704:K704">IFERROR(INDEX(AC704:AE704,IF(COUNTA(AC704:AE704)=0,"",MAX((AC704:AE704&lt;&gt;"")*(COLUMN(AC704:AE704)-(COLUMN(AC704)-1))))-1),"")</f>
        <v>45961</v>
      </c>
      <c r="L704" s="17" t="str">
        <f aca="false" t="array" ref="L704:L704">IFERROR(INDEX(AC704:AE704,IF(COUNTA(AC704:AE704)=0,"",MAX((AC704:AE704&lt;&gt;"")*(COLUMN(AC704:AE704)-(COLUMN(AC704)-2))))-1),"")</f>
        <v>ARCHIVED</v>
      </c>
      <c r="M704" s="13" t="n">
        <f aca="true">K704-TODAY()</f>
        <v>-363</v>
      </c>
      <c r="N704" s="18" t="s">
        <v>36</v>
      </c>
      <c r="O704" s="13" t="s">
        <v>1773</v>
      </c>
      <c r="P704" s="19" t="s">
        <v>3133</v>
      </c>
      <c r="Q704" s="20" t="s">
        <v>3134</v>
      </c>
      <c r="R704" s="13" t="s">
        <v>227</v>
      </c>
      <c r="S704" s="14" t="n">
        <v>36002</v>
      </c>
      <c r="T704" s="13" t="s">
        <v>40</v>
      </c>
      <c r="U704" s="13" t="s">
        <v>3135</v>
      </c>
      <c r="V704" s="13" t="s">
        <v>42</v>
      </c>
      <c r="W704" s="13" t="s">
        <v>43</v>
      </c>
      <c r="X704" s="21" t="n">
        <v>82230461185</v>
      </c>
      <c r="Y704" s="22" t="str">
        <f aca="false">O704</f>
        <v>Warehouse</v>
      </c>
      <c r="Z704" s="13" t="str">
        <f aca="false">IFERROR(__xludf.dummyfunction("if(BJ704="""","""",GOOGLETRANSLATE(BJ704,""auto"",""en""))"),"Warehouse")</f>
        <v>Warehouse</v>
      </c>
      <c r="AA704" s="23" t="str">
        <f aca="false">IF(C704="","", CHOOSE(MONTH(C704),"January","February","March","April","May","June","July","August","September","October","November","December")&amp;" "&amp;DAY(C704)&amp;MID("thstndrdth",MIN(9,2*RIGHT(DAY(C704))*(MOD(DAY(C704)-11,100)&gt;2)+1),2)&amp;","&amp;TEXT(C704," yyyy"))</f>
        <v>March 26th,2022</v>
      </c>
      <c r="AB704" s="15" t="str">
        <f aca="true">IF(S704="","",DATEDIF(S704,TODAY(),"Y")&amp;" Tahun, "&amp;DATEDIF(S704,TODAY(),"YM")&amp;" Bulan, "&amp;DATEDIF(S704,TODAY(),"MD")&amp;" Hari")</f>
        <v>28 Tahun, 3 Bulan, 3 Hari</v>
      </c>
      <c r="AC704" s="18" t="n">
        <v>45839</v>
      </c>
      <c r="AD704" s="18" t="n">
        <v>45961</v>
      </c>
      <c r="AE704" s="18" t="s">
        <v>44</v>
      </c>
    </row>
    <row r="705" customFormat="false" ht="15.75" hidden="false" customHeight="true" outlineLevel="0" collapsed="false">
      <c r="A705" s="12" t="n">
        <v>5775</v>
      </c>
      <c r="B705" s="13" t="s">
        <v>3136</v>
      </c>
      <c r="C705" s="14" t="n">
        <v>44646</v>
      </c>
      <c r="D705" s="13" t="s">
        <v>2046</v>
      </c>
      <c r="E705" s="15" t="s">
        <v>102</v>
      </c>
      <c r="F705" s="15" t="str">
        <f aca="false">IFERROR(__xludf.dummyfunction("XLOOKUP(AJ705,IMPORTRANGE(""1XaInW9DU9nz21V0tYIfzFQ0He9kVQ_JF2mCXgZ3hqFA"",""REKAP ALL 2026 - Andika!G:G""),IMPORTRANGE(""1XaInW9DU9nz21V0tYIfzFQ0He9kVQ_JF2mCXgZ3hqFA"",""REKAP ALL 2026 - Andika!F:F""),"""",0)"),"22028238925")</f>
        <v>22028238925</v>
      </c>
      <c r="G705" s="13" t="s">
        <v>3137</v>
      </c>
      <c r="H705" s="13" t="s">
        <v>35</v>
      </c>
      <c r="I705" s="13" t="str">
        <f aca="false">IF(C705=J705,"NEW KONTRAK","RE-KONTRAK")</f>
        <v>RE-KONTRAK</v>
      </c>
      <c r="J705" s="16" t="n">
        <f aca="false" t="array" ref="J705:J705">IFERROR(INDEX(AC705:AE705,IF(COUNTA(AC705:AE705)=0,"",MAX((AC705:AE705&lt;&gt;"")*(COLUMN(AC705:AE705)-(COLUMN(AC705)))))-1),"")</f>
        <v>45839</v>
      </c>
      <c r="K705" s="16" t="n">
        <f aca="false" t="array" ref="K705:K705">IFERROR(INDEX(AC705:AE705,IF(COUNTA(AC705:AE705)=0,"",MAX((AC705:AE705&lt;&gt;"")*(COLUMN(AC705:AE705)-(COLUMN(AC705)-1))))-1),"")</f>
        <v>45961</v>
      </c>
      <c r="L705" s="17" t="str">
        <f aca="false" t="array" ref="L705:L705">IFERROR(INDEX(AC705:AE705,IF(COUNTA(AC705:AE705)=0,"",MAX((AC705:AE705&lt;&gt;"")*(COLUMN(AC705:AE705)-(COLUMN(AC705)-2))))-1),"")</f>
        <v>ARCHIVED</v>
      </c>
      <c r="M705" s="13" t="n">
        <f aca="true">K705-TODAY()</f>
        <v>-363</v>
      </c>
      <c r="N705" s="18" t="s">
        <v>36</v>
      </c>
      <c r="O705" s="13" t="s">
        <v>2055</v>
      </c>
      <c r="P705" s="19" t="s">
        <v>2050</v>
      </c>
      <c r="Q705" s="20" t="s">
        <v>3138</v>
      </c>
      <c r="R705" s="13" t="s">
        <v>39</v>
      </c>
      <c r="S705" s="14" t="n">
        <v>37546</v>
      </c>
      <c r="T705" s="13" t="s">
        <v>40</v>
      </c>
      <c r="U705" s="13" t="s">
        <v>3139</v>
      </c>
      <c r="V705" s="13" t="s">
        <v>42</v>
      </c>
      <c r="W705" s="13" t="s">
        <v>43</v>
      </c>
      <c r="X705" s="21" t="n">
        <v>81515671296</v>
      </c>
      <c r="Y705" s="22" t="str">
        <f aca="false">O705</f>
        <v>Assembly</v>
      </c>
      <c r="Z705" s="13" t="str">
        <f aca="false">IFERROR(__xludf.dummyfunction("if(BJ705="""","""",GOOGLETRANSLATE(BJ705,""auto"",""en""))"),"Assembly")</f>
        <v>Assembly</v>
      </c>
      <c r="AA705" s="23" t="str">
        <f aca="false">IF(C705="","", CHOOSE(MONTH(C705),"January","February","March","April","May","June","July","August","September","October","November","December")&amp;" "&amp;DAY(C705)&amp;MID("thstndrdth",MIN(9,2*RIGHT(DAY(C705))*(MOD(DAY(C705)-11,100)&gt;2)+1),2)&amp;","&amp;TEXT(C705," yyyy"))</f>
        <v>March 26th,2022</v>
      </c>
      <c r="AB705" s="15" t="str">
        <f aca="true">IF(S705="","",DATEDIF(S705,TODAY(),"Y")&amp;" Tahun, "&amp;DATEDIF(S705,TODAY(),"YM")&amp;" Bulan, "&amp;DATEDIF(S705,TODAY(),"MD")&amp;" Hari")</f>
        <v>24 Tahun, 0 Bulan, 12 Hari</v>
      </c>
      <c r="AC705" s="18" t="n">
        <v>45839</v>
      </c>
      <c r="AD705" s="18" t="n">
        <v>45961</v>
      </c>
      <c r="AE705" s="18" t="s">
        <v>44</v>
      </c>
    </row>
    <row r="706" customFormat="false" ht="15.75" hidden="false" customHeight="true" outlineLevel="0" collapsed="false">
      <c r="A706" s="12" t="n">
        <v>5782</v>
      </c>
      <c r="B706" s="13" t="s">
        <v>3140</v>
      </c>
      <c r="C706" s="14" t="n">
        <v>44642</v>
      </c>
      <c r="D706" s="13" t="s">
        <v>613</v>
      </c>
      <c r="E706" s="15" t="s">
        <v>47</v>
      </c>
      <c r="F706" s="15" t="str">
        <f aca="false">IFERROR(__xludf.dummyfunction("XLOOKUP(AJ706,IMPORTRANGE(""1XaInW9DU9nz21V0tYIfzFQ0He9kVQ_JF2mCXgZ3hqFA"",""REKAP ALL 2026 - Andika!G:G""),IMPORTRANGE(""1XaInW9DU9nz21V0tYIfzFQ0He9kVQ_JF2mCXgZ3hqFA"",""REKAP ALL 2026 - Andika!F:F""),"""",0)"),"22037465279")</f>
        <v>22037465279</v>
      </c>
      <c r="G706" s="13" t="s">
        <v>3141</v>
      </c>
      <c r="H706" s="13" t="s">
        <v>35</v>
      </c>
      <c r="I706" s="13" t="str">
        <f aca="false">IF(C706=J706,"NEW KONTRAK","RE-KONTRAK")</f>
        <v>RE-KONTRAK</v>
      </c>
      <c r="J706" s="16" t="n">
        <f aca="false" t="array" ref="J706:J706">IFERROR(INDEX(AC706:AE706,IF(COUNTA(AC706:AE706)=0,"",MAX((AC706:AE706&lt;&gt;"")*(COLUMN(AC706:AE706)-(COLUMN(AC706)))))-1),"")</f>
        <v>45885</v>
      </c>
      <c r="K706" s="16" t="n">
        <f aca="false" t="array" ref="K706:K706">IFERROR(INDEX(AC706:AE706,IF(COUNTA(AC706:AE706)=0,"",MAX((AC706:AE706&lt;&gt;"")*(COLUMN(AC706:AE706)-(COLUMN(AC706)-1))))-1),"")</f>
        <v>46068</v>
      </c>
      <c r="L706" s="17" t="str">
        <f aca="false" t="array" ref="L706:L706">IFERROR(INDEX(AC706:AE706,IF(COUNTA(AC706:AE706)=0,"",MAX((AC706:AE706&lt;&gt;"")*(COLUMN(AC706:AE706)-(COLUMN(AC706)-2))))-1),"")</f>
        <v>ARCHIVED</v>
      </c>
      <c r="M706" s="13" t="n">
        <f aca="true">K706-TODAY()</f>
        <v>-256</v>
      </c>
      <c r="N706" s="18" t="s">
        <v>615</v>
      </c>
      <c r="O706" s="13" t="s">
        <v>58</v>
      </c>
      <c r="P706" s="19" t="n">
        <v>5176101</v>
      </c>
      <c r="Q706" s="20" t="s">
        <v>3142</v>
      </c>
      <c r="R706" s="13" t="s">
        <v>232</v>
      </c>
      <c r="S706" s="14" t="n">
        <v>36135</v>
      </c>
      <c r="T706" s="13" t="s">
        <v>40</v>
      </c>
      <c r="U706" s="13" t="s">
        <v>3143</v>
      </c>
      <c r="V706" s="13" t="s">
        <v>42</v>
      </c>
      <c r="W706" s="13" t="s">
        <v>54</v>
      </c>
      <c r="X706" s="21" t="n">
        <v>85850794561</v>
      </c>
      <c r="Y706" s="22" t="str">
        <f aca="false">O706</f>
        <v>Produksi</v>
      </c>
      <c r="Z706" s="13" t="str">
        <f aca="false">IFERROR(__xludf.dummyfunction("if(BJ706="""","""",GOOGLETRANSLATE(BJ706,""auto"",""en""))"),"Production")</f>
        <v>Production</v>
      </c>
      <c r="AA706" s="23" t="str">
        <f aca="false">IF(C706="","", CHOOSE(MONTH(C706),"January","February","March","April","May","June","July","August","September","October","November","December")&amp;" "&amp;DAY(C706)&amp;MID("thstndrdth",MIN(9,2*RIGHT(DAY(C706))*(MOD(DAY(C706)-11,100)&gt;2)+1),2)&amp;","&amp;TEXT(C706," yyyy"))</f>
        <v>March 22nd,2022</v>
      </c>
      <c r="AB706" s="15" t="str">
        <f aca="true">IF(S706="","",DATEDIF(S706,TODAY(),"Y")&amp;" Tahun, "&amp;DATEDIF(S706,TODAY(),"YM")&amp;" Bulan, "&amp;DATEDIF(S706,TODAY(),"MD")&amp;" Hari")</f>
        <v>27 Tahun, 10 Bulan, 23 Hari</v>
      </c>
      <c r="AC706" s="18" t="n">
        <v>45885</v>
      </c>
      <c r="AD706" s="18" t="n">
        <v>46068</v>
      </c>
      <c r="AE706" s="18" t="s">
        <v>44</v>
      </c>
    </row>
    <row r="707" customFormat="false" ht="15.75" hidden="false" customHeight="true" outlineLevel="0" collapsed="false">
      <c r="A707" s="12" t="n">
        <v>5783</v>
      </c>
      <c r="B707" s="13" t="s">
        <v>3144</v>
      </c>
      <c r="C707" s="14" t="n">
        <v>44642</v>
      </c>
      <c r="D707" s="13" t="s">
        <v>613</v>
      </c>
      <c r="E707" s="15" t="s">
        <v>47</v>
      </c>
      <c r="F707" s="15" t="str">
        <f aca="false">IFERROR(__xludf.dummyfunction("XLOOKUP(AJ707,IMPORTRANGE(""1XaInW9DU9nz21V0tYIfzFQ0He9kVQ_JF2mCXgZ3hqFA"",""REKAP ALL 2026 - Andika!G:G""),IMPORTRANGE(""1XaInW9DU9nz21V0tYIfzFQ0He9kVQ_JF2mCXgZ3hqFA"",""REKAP ALL 2026 - Andika!F:F""),"""",0)"),"22037465295")</f>
        <v>22037465295</v>
      </c>
      <c r="G707" s="13" t="s">
        <v>3145</v>
      </c>
      <c r="H707" s="13" t="s">
        <v>35</v>
      </c>
      <c r="I707" s="13" t="str">
        <f aca="false">IF(C707=J707,"NEW KONTRAK","RE-KONTRAK")</f>
        <v>RE-KONTRAK</v>
      </c>
      <c r="J707" s="16" t="n">
        <f aca="false" t="array" ref="J707:J707">IFERROR(INDEX(AC707:AE707,IF(COUNTA(AC707:AE707)=0,"",MAX((AC707:AE707&lt;&gt;"")*(COLUMN(AC707:AE707)-(COLUMN(AC707)))))-1),"")</f>
        <v>45885</v>
      </c>
      <c r="K707" s="16" t="n">
        <f aca="false" t="array" ref="K707:K707">IFERROR(INDEX(AC707:AE707,IF(COUNTA(AC707:AE707)=0,"",MAX((AC707:AE707&lt;&gt;"")*(COLUMN(AC707:AE707)-(COLUMN(AC707)-1))))-1),"")</f>
        <v>46068</v>
      </c>
      <c r="L707" s="17" t="str">
        <f aca="false" t="array" ref="L707:L707">IFERROR(INDEX(AC707:AE707,IF(COUNTA(AC707:AE707)=0,"",MAX((AC707:AE707&lt;&gt;"")*(COLUMN(AC707:AE707)-(COLUMN(AC707)-2))))-1),"")</f>
        <v>ARCHIVED</v>
      </c>
      <c r="M707" s="13" t="n">
        <f aca="true">K707-TODAY()</f>
        <v>-256</v>
      </c>
      <c r="N707" s="18" t="s">
        <v>615</v>
      </c>
      <c r="O707" s="13" t="s">
        <v>58</v>
      </c>
      <c r="P707" s="19" t="n">
        <v>5176101</v>
      </c>
      <c r="Q707" s="20" t="s">
        <v>3146</v>
      </c>
      <c r="R707" s="13" t="s">
        <v>232</v>
      </c>
      <c r="S707" s="14" t="n">
        <v>35114</v>
      </c>
      <c r="T707" s="13" t="s">
        <v>40</v>
      </c>
      <c r="U707" s="13" t="s">
        <v>3147</v>
      </c>
      <c r="V707" s="13" t="s">
        <v>42</v>
      </c>
      <c r="W707" s="13" t="s">
        <v>54</v>
      </c>
      <c r="X707" s="21" t="n">
        <v>85706351500</v>
      </c>
      <c r="Y707" s="22" t="str">
        <f aca="false">O707</f>
        <v>Produksi</v>
      </c>
      <c r="Z707" s="13" t="str">
        <f aca="false">IFERROR(__xludf.dummyfunction("if(BJ707="""","""",GOOGLETRANSLATE(BJ707,""auto"",""en""))"),"Production")</f>
        <v>Production</v>
      </c>
      <c r="AA707" s="23" t="str">
        <f aca="false">IF(C707="","", CHOOSE(MONTH(C707),"January","February","March","April","May","June","July","August","September","October","November","December")&amp;" "&amp;DAY(C707)&amp;MID("thstndrdth",MIN(9,2*RIGHT(DAY(C707))*(MOD(DAY(C707)-11,100)&gt;2)+1),2)&amp;","&amp;TEXT(C707," yyyy"))</f>
        <v>March 22nd,2022</v>
      </c>
      <c r="AB707" s="15" t="str">
        <f aca="true">IF(S707="","",DATEDIF(S707,TODAY(),"Y")&amp;" Tahun, "&amp;DATEDIF(S707,TODAY(),"YM")&amp;" Bulan, "&amp;DATEDIF(S707,TODAY(),"MD")&amp;" Hari")</f>
        <v>30 Tahun, 8 Bulan, 10 Hari</v>
      </c>
      <c r="AC707" s="18" t="n">
        <v>45885</v>
      </c>
      <c r="AD707" s="18" t="n">
        <v>46068</v>
      </c>
      <c r="AE707" s="18" t="s">
        <v>44</v>
      </c>
    </row>
    <row r="708" customFormat="false" ht="15.75" hidden="false" customHeight="true" outlineLevel="0" collapsed="false">
      <c r="A708" s="12" t="n">
        <v>5784</v>
      </c>
      <c r="B708" s="13" t="s">
        <v>3148</v>
      </c>
      <c r="C708" s="14" t="n">
        <v>44644</v>
      </c>
      <c r="D708" s="13" t="s">
        <v>613</v>
      </c>
      <c r="E708" s="15" t="s">
        <v>789</v>
      </c>
      <c r="F708" s="24" t="s">
        <v>3149</v>
      </c>
      <c r="G708" s="13" t="s">
        <v>3150</v>
      </c>
      <c r="H708" s="13" t="s">
        <v>35</v>
      </c>
      <c r="I708" s="13" t="str">
        <f aca="false">IF(C708=J708,"NEW KONTRAK","RE-KONTRAK")</f>
        <v>RE-KONTRAK</v>
      </c>
      <c r="J708" s="16" t="n">
        <f aca="false" t="array" ref="J708:J708">IFERROR(INDEX(AC708:AE708,IF(COUNTA(AC708:AE708)=0,"",MAX((AC708:AE708&lt;&gt;"")*(COLUMN(AC708:AE708)-(COLUMN(AC708)))))-1),"")</f>
        <v>45885</v>
      </c>
      <c r="K708" s="16" t="n">
        <f aca="false" t="array" ref="K708:K708">IFERROR(INDEX(AC708:AE708,IF(COUNTA(AC708:AE708)=0,"",MAX((AC708:AE708&lt;&gt;"")*(COLUMN(AC708:AE708)-(COLUMN(AC708)-1))))-1),"")</f>
        <v>46068</v>
      </c>
      <c r="L708" s="17" t="str">
        <f aca="false" t="array" ref="L708:L708">IFERROR(INDEX(AC708:AE708,IF(COUNTA(AC708:AE708)=0,"",MAX((AC708:AE708&lt;&gt;"")*(COLUMN(AC708:AE708)-(COLUMN(AC708)-2))))-1),"")</f>
        <v>ARCHIVED</v>
      </c>
      <c r="M708" s="13" t="n">
        <f aca="true">K708-TODAY()</f>
        <v>-256</v>
      </c>
      <c r="N708" s="18" t="s">
        <v>615</v>
      </c>
      <c r="O708" s="13" t="s">
        <v>58</v>
      </c>
      <c r="P708" s="19" t="n">
        <v>4856026</v>
      </c>
      <c r="Q708" s="20" t="s">
        <v>3151</v>
      </c>
      <c r="R708" s="13" t="s">
        <v>232</v>
      </c>
      <c r="S708" s="14" t="n">
        <v>36266</v>
      </c>
      <c r="T708" s="13" t="s">
        <v>40</v>
      </c>
      <c r="U708" s="13" t="s">
        <v>3152</v>
      </c>
      <c r="V708" s="13" t="s">
        <v>42</v>
      </c>
      <c r="W708" s="13" t="s">
        <v>43</v>
      </c>
      <c r="X708" s="21" t="n">
        <v>82323867277</v>
      </c>
      <c r="Y708" s="22" t="str">
        <f aca="false">O708</f>
        <v>Produksi</v>
      </c>
      <c r="Z708" s="13" t="str">
        <f aca="false">IFERROR(__xludf.dummyfunction("if(BJ708="""","""",GOOGLETRANSLATE(BJ708,""auto"",""en""))"),"Production")</f>
        <v>Production</v>
      </c>
      <c r="AA708" s="23" t="str">
        <f aca="false">IF(C708="","", CHOOSE(MONTH(C708),"January","February","March","April","May","June","July","August","September","October","November","December")&amp;" "&amp;DAY(C708)&amp;MID("thstndrdth",MIN(9,2*RIGHT(DAY(C708))*(MOD(DAY(C708)-11,100)&gt;2)+1),2)&amp;","&amp;TEXT(C708," yyyy"))</f>
        <v>March 24th,2022</v>
      </c>
      <c r="AB708" s="15" t="str">
        <f aca="true">IF(S708="","",DATEDIF(S708,TODAY(),"Y")&amp;" Tahun, "&amp;DATEDIF(S708,TODAY(),"YM")&amp;" Bulan, "&amp;DATEDIF(S708,TODAY(),"MD")&amp;" Hari")</f>
        <v>27 Tahun, 6 Bulan, 13 Hari</v>
      </c>
      <c r="AC708" s="18" t="n">
        <v>45885</v>
      </c>
      <c r="AD708" s="18" t="n">
        <v>46068</v>
      </c>
      <c r="AE708" s="18" t="s">
        <v>44</v>
      </c>
    </row>
    <row r="709" customFormat="false" ht="15.75" hidden="false" customHeight="true" outlineLevel="0" collapsed="false">
      <c r="A709" s="12" t="n">
        <v>5785</v>
      </c>
      <c r="B709" s="13" t="s">
        <v>3153</v>
      </c>
      <c r="C709" s="14" t="n">
        <v>44644</v>
      </c>
      <c r="D709" s="13" t="s">
        <v>613</v>
      </c>
      <c r="E709" s="15" t="s">
        <v>47</v>
      </c>
      <c r="F709" s="15" t="str">
        <f aca="false">IFERROR(__xludf.dummyfunction("XLOOKUP(AJ709,IMPORTRANGE(""1XaInW9DU9nz21V0tYIfzFQ0He9kVQ_JF2mCXgZ3hqFA"",""REKAP ALL 2026 - Andika!G:G""),IMPORTRANGE(""1XaInW9DU9nz21V0tYIfzFQ0He9kVQ_JF2mCXgZ3hqFA"",""REKAP ALL 2026 - Andika!F:F""),"""",0)"),"16040637320")</f>
        <v>16040637320</v>
      </c>
      <c r="G709" s="13" t="s">
        <v>3154</v>
      </c>
      <c r="H709" s="13" t="s">
        <v>35</v>
      </c>
      <c r="I709" s="13" t="str">
        <f aca="false">IF(C709=J709,"NEW KONTRAK","RE-KONTRAK")</f>
        <v>RE-KONTRAK</v>
      </c>
      <c r="J709" s="16" t="n">
        <f aca="false" t="array" ref="J709:J709">IFERROR(INDEX(AC709:AE709,IF(COUNTA(AC709:AE709)=0,"",MAX((AC709:AE709&lt;&gt;"")*(COLUMN(AC709:AE709)-(COLUMN(AC709)))))-1),"")</f>
        <v>45885</v>
      </c>
      <c r="K709" s="16" t="n">
        <f aca="false" t="array" ref="K709:K709">IFERROR(INDEX(AC709:AE709,IF(COUNTA(AC709:AE709)=0,"",MAX((AC709:AE709&lt;&gt;"")*(COLUMN(AC709:AE709)-(COLUMN(AC709)-1))))-1),"")</f>
        <v>46068</v>
      </c>
      <c r="L709" s="17" t="str">
        <f aca="false" t="array" ref="L709:L709">IFERROR(INDEX(AC709:AE709,IF(COUNTA(AC709:AE709)=0,"",MAX((AC709:AE709&lt;&gt;"")*(COLUMN(AC709:AE709)-(COLUMN(AC709)-2))))-1),"")</f>
        <v>ARCHIVED</v>
      </c>
      <c r="M709" s="13" t="n">
        <f aca="true">K709-TODAY()</f>
        <v>-256</v>
      </c>
      <c r="N709" s="18" t="s">
        <v>615</v>
      </c>
      <c r="O709" s="13" t="s">
        <v>58</v>
      </c>
      <c r="P709" s="19" t="n">
        <v>5176101</v>
      </c>
      <c r="Q709" s="20" t="s">
        <v>3155</v>
      </c>
      <c r="R709" s="13" t="s">
        <v>232</v>
      </c>
      <c r="S709" s="14" t="n">
        <v>35745</v>
      </c>
      <c r="T709" s="13" t="s">
        <v>40</v>
      </c>
      <c r="U709" s="13" t="s">
        <v>3156</v>
      </c>
      <c r="V709" s="13" t="s">
        <v>42</v>
      </c>
      <c r="W709" s="13" t="s">
        <v>43</v>
      </c>
      <c r="X709" s="21" t="n">
        <v>81232112907</v>
      </c>
      <c r="Y709" s="22" t="str">
        <f aca="false">O709</f>
        <v>Produksi</v>
      </c>
      <c r="Z709" s="13" t="str">
        <f aca="false">IFERROR(__xludf.dummyfunction("if(BJ709="""","""",GOOGLETRANSLATE(BJ709,""auto"",""en""))"),"Production")</f>
        <v>Production</v>
      </c>
      <c r="AA709" s="23" t="str">
        <f aca="false">IF(C709="","", CHOOSE(MONTH(C709),"January","February","March","April","May","June","July","August","September","October","November","December")&amp;" "&amp;DAY(C709)&amp;MID("thstndrdth",MIN(9,2*RIGHT(DAY(C709))*(MOD(DAY(C709)-11,100)&gt;2)+1),2)&amp;","&amp;TEXT(C709," yyyy"))</f>
        <v>March 24th,2022</v>
      </c>
      <c r="AB709" s="15" t="str">
        <f aca="true">IF(S709="","",DATEDIF(S709,TODAY(),"Y")&amp;" Tahun, "&amp;DATEDIF(S709,TODAY(),"YM")&amp;" Bulan, "&amp;DATEDIF(S709,TODAY(),"MD")&amp;" Hari")</f>
        <v>28 Tahun, 11 Bulan, 18 Hari</v>
      </c>
      <c r="AC709" s="18" t="n">
        <v>45885</v>
      </c>
      <c r="AD709" s="18" t="n">
        <v>46068</v>
      </c>
      <c r="AE709" s="18" t="s">
        <v>44</v>
      </c>
    </row>
    <row r="710" customFormat="false" ht="15.75" hidden="false" customHeight="true" outlineLevel="0" collapsed="false">
      <c r="A710" s="12" t="n">
        <v>5831</v>
      </c>
      <c r="B710" s="13" t="s">
        <v>3157</v>
      </c>
      <c r="C710" s="14" t="n">
        <v>44617</v>
      </c>
      <c r="D710" s="13" t="s">
        <v>144</v>
      </c>
      <c r="E710" s="15" t="s">
        <v>47</v>
      </c>
      <c r="F710" s="15" t="str">
        <f aca="false">IFERROR(__xludf.dummyfunction("XLOOKUP(AJ710,IMPORTRANGE(""1XaInW9DU9nz21V0tYIfzFQ0He9kVQ_JF2mCXgZ3hqFA"",""REKAP ALL 2026 - Andika!G:G""),IMPORTRANGE(""1XaInW9DU9nz21V0tYIfzFQ0He9kVQ_JF2mCXgZ3hqFA"",""REKAP ALL 2026 - Andika!F:F""),"""",0)"),"22037461880")</f>
        <v>22037461880</v>
      </c>
      <c r="G710" s="13" t="s">
        <v>3158</v>
      </c>
      <c r="H710" s="13" t="s">
        <v>35</v>
      </c>
      <c r="I710" s="13" t="str">
        <f aca="false">IF(C710=J710,"NEW KONTRAK","RE-KONTRAK")</f>
        <v>RE-KONTRAK</v>
      </c>
      <c r="J710" s="16" t="n">
        <f aca="false" t="array" ref="J710:J710">IFERROR(INDEX(AC710:AE710,IF(COUNTA(AC710:AE710)=0,"",MAX((AC710:AE710&lt;&gt;"")*(COLUMN(AC710:AE710)-(COLUMN(AC710)))))-1),"")</f>
        <v>45658</v>
      </c>
      <c r="K710" s="16" t="n">
        <f aca="false" t="array" ref="K710:K710">IFERROR(INDEX(AC710:AE710,IF(COUNTA(AC710:AE710)=0,"",MAX((AC710:AE710&lt;&gt;"")*(COLUMN(AC710:AE710)-(COLUMN(AC710)-1))))-1),"")</f>
        <v>46022</v>
      </c>
      <c r="L710" s="17" t="str">
        <f aca="false" t="array" ref="L710:L710">IFERROR(INDEX(AC710:AE710,IF(COUNTA(AC710:AE710)=0,"",MAX((AC710:AE710&lt;&gt;"")*(COLUMN(AC710:AE710)-(COLUMN(AC710)-2))))-1),"")</f>
        <v>ARCHIVED</v>
      </c>
      <c r="M710" s="13" t="n">
        <f aca="true">K710-TODAY()</f>
        <v>-302</v>
      </c>
      <c r="N710" s="18" t="s">
        <v>36</v>
      </c>
      <c r="O710" s="13" t="s">
        <v>173</v>
      </c>
      <c r="P710" s="19" t="n">
        <v>5195401</v>
      </c>
      <c r="Q710" s="20" t="s">
        <v>3159</v>
      </c>
      <c r="R710" s="13" t="s">
        <v>65</v>
      </c>
      <c r="S710" s="14" t="n">
        <v>34535</v>
      </c>
      <c r="T710" s="13" t="s">
        <v>40</v>
      </c>
      <c r="U710" s="13" t="s">
        <v>3160</v>
      </c>
      <c r="V710" s="13" t="s">
        <v>42</v>
      </c>
      <c r="W710" s="13" t="s">
        <v>43</v>
      </c>
      <c r="X710" s="21" t="n">
        <v>83832311445</v>
      </c>
      <c r="Y710" s="22" t="str">
        <f aca="false">O710</f>
        <v>Office</v>
      </c>
      <c r="Z710" s="13" t="str">
        <f aca="false">IFERROR(__xludf.dummyfunction("if(BJ710="""","""",GOOGLETRANSLATE(BJ710,""auto"",""en""))"),"Office")</f>
        <v>Office</v>
      </c>
      <c r="AA710" s="23" t="str">
        <f aca="false">IF(C710="","", CHOOSE(MONTH(C710),"January","February","March","April","May","June","July","August","September","October","November","December")&amp;" "&amp;DAY(C710)&amp;MID("thstndrdth",MIN(9,2*RIGHT(DAY(C710))*(MOD(DAY(C710)-11,100)&gt;2)+1),2)&amp;","&amp;TEXT(C710," yyyy"))</f>
        <v>February 25th,2022</v>
      </c>
      <c r="AB710" s="15" t="str">
        <f aca="true">IF(S710="","",DATEDIF(S710,TODAY(),"Y")&amp;" Tahun, "&amp;DATEDIF(S710,TODAY(),"YM")&amp;" Bulan, "&amp;DATEDIF(S710,TODAY(),"MD")&amp;" Hari")</f>
        <v>32 Tahun, 3 Bulan, 9 Hari</v>
      </c>
      <c r="AC710" s="18" t="n">
        <v>45658</v>
      </c>
      <c r="AD710" s="18" t="n">
        <v>46022</v>
      </c>
      <c r="AE710" s="18" t="s">
        <v>44</v>
      </c>
    </row>
    <row r="711" customFormat="false" ht="15.75" hidden="false" customHeight="true" outlineLevel="0" collapsed="false">
      <c r="A711" s="12" t="n">
        <v>5837</v>
      </c>
      <c r="B711" s="13" t="s">
        <v>3161</v>
      </c>
      <c r="C711" s="14" t="n">
        <v>44652</v>
      </c>
      <c r="D711" s="13" t="s">
        <v>144</v>
      </c>
      <c r="E711" s="15" t="s">
        <v>33</v>
      </c>
      <c r="F711" s="24" t="s">
        <v>3162</v>
      </c>
      <c r="G711" s="13" t="s">
        <v>3163</v>
      </c>
      <c r="H711" s="13" t="s">
        <v>35</v>
      </c>
      <c r="I711" s="13" t="str">
        <f aca="false">IF(C711=J711,"NEW KONTRAK","RE-KONTRAK")</f>
        <v>RE-KONTRAK</v>
      </c>
      <c r="J711" s="16" t="n">
        <f aca="false" t="array" ref="J711:J711">IFERROR(INDEX(AC711:AE711,IF(COUNTA(AC711:AE711)=0,"",MAX((AC711:AE711&lt;&gt;"")*(COLUMN(AC711:AE711)-(COLUMN(AC711)))))-1),"")</f>
        <v>45658</v>
      </c>
      <c r="K711" s="16" t="n">
        <f aca="false" t="array" ref="K711:K711">IFERROR(INDEX(AC711:AE711,IF(COUNTA(AC711:AE711)=0,"",MAX((AC711:AE711&lt;&gt;"")*(COLUMN(AC711:AE711)-(COLUMN(AC711)-1))))-1),"")</f>
        <v>46022</v>
      </c>
      <c r="L711" s="17" t="str">
        <f aca="false" t="array" ref="L711:L711">IFERROR(INDEX(AC711:AE711,IF(COUNTA(AC711:AE711)=0,"",MAX((AC711:AE711&lt;&gt;"")*(COLUMN(AC711:AE711)-(COLUMN(AC711)-2))))-1),"")</f>
        <v>ARCHIVED</v>
      </c>
      <c r="M711" s="13" t="n">
        <f aca="true">K711-TODAY()</f>
        <v>-302</v>
      </c>
      <c r="N711" s="18" t="s">
        <v>36</v>
      </c>
      <c r="O711" s="13" t="s">
        <v>146</v>
      </c>
      <c r="P711" s="19" t="n">
        <v>5195401</v>
      </c>
      <c r="Q711" s="20" t="s">
        <v>3164</v>
      </c>
      <c r="R711" s="13" t="s">
        <v>65</v>
      </c>
      <c r="S711" s="14" t="n">
        <v>24563</v>
      </c>
      <c r="T711" s="13" t="s">
        <v>40</v>
      </c>
      <c r="U711" s="13" t="s">
        <v>192</v>
      </c>
      <c r="V711" s="13" t="s">
        <v>42</v>
      </c>
      <c r="W711" s="13" t="s">
        <v>54</v>
      </c>
      <c r="X711" s="21" t="n">
        <v>85730190241</v>
      </c>
      <c r="Y711" s="22" t="str">
        <f aca="false">O711</f>
        <v>Enamel</v>
      </c>
      <c r="Z711" s="13" t="str">
        <f aca="false">IFERROR(__xludf.dummyfunction("if(BJ711="""","""",GOOGLETRANSLATE(BJ711,""auto"",""en""))"),"Enamel")</f>
        <v>Enamel</v>
      </c>
      <c r="AA711" s="23" t="str">
        <f aca="false">IF(C711="","", CHOOSE(MONTH(C711),"January","February","March","April","May","June","July","August","September","October","November","December")&amp;" "&amp;DAY(C711)&amp;MID("thstndrdth",MIN(9,2*RIGHT(DAY(C711))*(MOD(DAY(C711)-11,100)&gt;2)+1),2)&amp;","&amp;TEXT(C711," yyyy"))</f>
        <v>April 1st,2022</v>
      </c>
      <c r="AB711" s="15" t="str">
        <f aca="true">IF(S711="","",DATEDIF(S711,TODAY(),"Y")&amp;" Tahun, "&amp;DATEDIF(S711,TODAY(),"YM")&amp;" Bulan, "&amp;DATEDIF(S711,TODAY(),"MD")&amp;" Hari")</f>
        <v>59 Tahun, 6 Bulan, 28 Hari</v>
      </c>
      <c r="AC711" s="18" t="n">
        <v>45658</v>
      </c>
      <c r="AD711" s="18" t="n">
        <v>46022</v>
      </c>
      <c r="AE711" s="18" t="s">
        <v>44</v>
      </c>
    </row>
    <row r="712" customFormat="false" ht="15.75" hidden="false" customHeight="true" outlineLevel="0" collapsed="false">
      <c r="A712" s="12" t="n">
        <v>5907</v>
      </c>
      <c r="B712" s="13" t="s">
        <v>3165</v>
      </c>
      <c r="C712" s="14" t="n">
        <v>44655</v>
      </c>
      <c r="D712" s="13" t="s">
        <v>2046</v>
      </c>
      <c r="E712" s="15" t="s">
        <v>33</v>
      </c>
      <c r="F712" s="24" t="s">
        <v>3166</v>
      </c>
      <c r="G712" s="13" t="s">
        <v>3167</v>
      </c>
      <c r="H712" s="13" t="s">
        <v>35</v>
      </c>
      <c r="I712" s="13" t="str">
        <f aca="false">IF(C712=J712,"NEW KONTRAK","RE-KONTRAK")</f>
        <v>RE-KONTRAK</v>
      </c>
      <c r="J712" s="16" t="n">
        <f aca="false" t="array" ref="J712:J712">IFERROR(INDEX(AC712:AE712,IF(COUNTA(AC712:AE712)=0,"",MAX((AC712:AE712&lt;&gt;"")*(COLUMN(AC712:AE712)-(COLUMN(AC712)))))-1),"")</f>
        <v>45839</v>
      </c>
      <c r="K712" s="16" t="n">
        <f aca="false" t="array" ref="K712:K712">IFERROR(INDEX(AC712:AE712,IF(COUNTA(AC712:AE712)=0,"",MAX((AC712:AE712&lt;&gt;"")*(COLUMN(AC712:AE712)-(COLUMN(AC712)-1))))-1),"")</f>
        <v>45961</v>
      </c>
      <c r="L712" s="17" t="str">
        <f aca="false" t="array" ref="L712:L712">IFERROR(INDEX(AC712:AE712,IF(COUNTA(AC712:AE712)=0,"",MAX((AC712:AE712&lt;&gt;"")*(COLUMN(AC712:AE712)-(COLUMN(AC712)-2))))-1),"")</f>
        <v>ARCHIVED</v>
      </c>
      <c r="M712" s="13" t="n">
        <f aca="true">K712-TODAY()</f>
        <v>-363</v>
      </c>
      <c r="N712" s="18" t="s">
        <v>36</v>
      </c>
      <c r="O712" s="13" t="s">
        <v>2055</v>
      </c>
      <c r="P712" s="27" t="n">
        <v>4874133</v>
      </c>
      <c r="Q712" s="20" t="s">
        <v>3168</v>
      </c>
      <c r="R712" s="13" t="s">
        <v>52</v>
      </c>
      <c r="S712" s="14" t="n">
        <v>34307</v>
      </c>
      <c r="T712" s="13" t="s">
        <v>40</v>
      </c>
      <c r="U712" s="13" t="s">
        <v>3169</v>
      </c>
      <c r="V712" s="13" t="s">
        <v>42</v>
      </c>
      <c r="W712" s="13" t="s">
        <v>43</v>
      </c>
      <c r="X712" s="21" t="n">
        <v>85731119006</v>
      </c>
      <c r="Y712" s="22" t="str">
        <f aca="false">O712</f>
        <v>Assembly</v>
      </c>
      <c r="Z712" s="13" t="str">
        <f aca="false">IFERROR(__xludf.dummyfunction("if(BJ712="""","""",GOOGLETRANSLATE(BJ712,""auto"",""en""))"),"Assembly")</f>
        <v>Assembly</v>
      </c>
      <c r="AA712" s="23" t="str">
        <f aca="false">IF(C712="","", CHOOSE(MONTH(C712),"January","February","March","April","May","June","July","August","September","October","November","December")&amp;" "&amp;DAY(C712)&amp;MID("thstndrdth",MIN(9,2*RIGHT(DAY(C712))*(MOD(DAY(C712)-11,100)&gt;2)+1),2)&amp;","&amp;TEXT(C712," yyyy"))</f>
        <v>April 4th,2022</v>
      </c>
      <c r="AB712" s="15" t="str">
        <f aca="true">IF(S712="","",DATEDIF(S712,TODAY(),"Y")&amp;" Tahun, "&amp;DATEDIF(S712,TODAY(),"YM")&amp;" Bulan, "&amp;DATEDIF(S712,TODAY(),"MD")&amp;" Hari")</f>
        <v>32 Tahun, 10 Bulan, 25 Hari</v>
      </c>
      <c r="AC712" s="18" t="n">
        <v>45839</v>
      </c>
      <c r="AD712" s="18" t="n">
        <v>45961</v>
      </c>
      <c r="AE712" s="18" t="s">
        <v>44</v>
      </c>
    </row>
    <row r="713" customFormat="false" ht="15.75" hidden="false" customHeight="true" outlineLevel="0" collapsed="false">
      <c r="A713" s="12" t="n">
        <v>5975</v>
      </c>
      <c r="B713" s="13" t="s">
        <v>3170</v>
      </c>
      <c r="C713" s="14" t="n">
        <v>44655</v>
      </c>
      <c r="D713" s="13" t="s">
        <v>144</v>
      </c>
      <c r="E713" s="15" t="s">
        <v>47</v>
      </c>
      <c r="F713" s="15" t="str">
        <f aca="false">IFERROR(__xludf.dummyfunction("XLOOKUP(AJ713,IMPORTRANGE(""1XaInW9DU9nz21V0tYIfzFQ0He9kVQ_JF2mCXgZ3hqFA"",""REKAP ALL 2026 - Andika!G:G""),IMPORTRANGE(""1XaInW9DU9nz21V0tYIfzFQ0He9kVQ_JF2mCXgZ3hqFA"",""REKAP ALL 2026 - Andika!F:F""),"""",0)"),"22037461898")</f>
        <v>22037461898</v>
      </c>
      <c r="G713" s="13" t="s">
        <v>3171</v>
      </c>
      <c r="H713" s="13" t="s">
        <v>35</v>
      </c>
      <c r="I713" s="13" t="str">
        <f aca="false">IF(C713=J713,"NEW KONTRAK","RE-KONTRAK")</f>
        <v>RE-KONTRAK</v>
      </c>
      <c r="J713" s="16" t="n">
        <f aca="false" t="array" ref="J713:J713">IFERROR(INDEX(AC713:AE713,IF(COUNTA(AC713:AE713)=0,"",MAX((AC713:AE713&lt;&gt;"")*(COLUMN(AC713:AE713)-(COLUMN(AC713)))))-1),"")</f>
        <v>45658</v>
      </c>
      <c r="K713" s="16" t="n">
        <f aca="false" t="array" ref="K713:K713">IFERROR(INDEX(AC713:AE713,IF(COUNTA(AC713:AE713)=0,"",MAX((AC713:AE713&lt;&gt;"")*(COLUMN(AC713:AE713)-(COLUMN(AC713)-1))))-1),"")</f>
        <v>46022</v>
      </c>
      <c r="L713" s="17" t="str">
        <f aca="false" t="array" ref="L713:L713">IFERROR(INDEX(AC713:AE713,IF(COUNTA(AC713:AE713)=0,"",MAX((AC713:AE713&lt;&gt;"")*(COLUMN(AC713:AE713)-(COLUMN(AC713)-2))))-1),"")</f>
        <v>ARCHIVED</v>
      </c>
      <c r="M713" s="13" t="n">
        <f aca="true">K713-TODAY()</f>
        <v>-302</v>
      </c>
      <c r="N713" s="18" t="s">
        <v>36</v>
      </c>
      <c r="O713" s="13" t="s">
        <v>156</v>
      </c>
      <c r="P713" s="19" t="n">
        <v>5195401</v>
      </c>
      <c r="Q713" s="20" t="s">
        <v>3172</v>
      </c>
      <c r="R713" s="13" t="s">
        <v>65</v>
      </c>
      <c r="S713" s="14" t="n">
        <v>33973</v>
      </c>
      <c r="T713" s="13" t="s">
        <v>40</v>
      </c>
      <c r="U713" s="13" t="s">
        <v>3173</v>
      </c>
      <c r="V713" s="13" t="s">
        <v>42</v>
      </c>
      <c r="W713" s="13" t="s">
        <v>43</v>
      </c>
      <c r="X713" s="21" t="n">
        <v>82230085608</v>
      </c>
      <c r="Y713" s="22" t="str">
        <f aca="false">O713</f>
        <v>Emulsion</v>
      </c>
      <c r="Z713" s="13" t="str">
        <f aca="false">IFERROR(__xludf.dummyfunction("if(BJ713="""","""",GOOGLETRANSLATE(BJ713,""auto"",""en""))"),"Emulsion")</f>
        <v>Emulsion</v>
      </c>
      <c r="AA713" s="23" t="str">
        <f aca="false">IF(C713="","", CHOOSE(MONTH(C713),"January","February","March","April","May","June","July","August","September","October","November","December")&amp;" "&amp;DAY(C713)&amp;MID("thstndrdth",MIN(9,2*RIGHT(DAY(C713))*(MOD(DAY(C713)-11,100)&gt;2)+1),2)&amp;","&amp;TEXT(C713," yyyy"))</f>
        <v>April 4th,2022</v>
      </c>
      <c r="AB713" s="15" t="str">
        <f aca="true">IF(S713="","",DATEDIF(S713,TODAY(),"Y")&amp;" Tahun, "&amp;DATEDIF(S713,TODAY(),"YM")&amp;" Bulan, "&amp;DATEDIF(S713,TODAY(),"MD")&amp;" Hari")</f>
        <v>33 Tahun, 9 Bulan, 25 Hari</v>
      </c>
      <c r="AC713" s="18" t="n">
        <v>45658</v>
      </c>
      <c r="AD713" s="18" t="n">
        <v>46022</v>
      </c>
      <c r="AE713" s="18" t="s">
        <v>44</v>
      </c>
    </row>
    <row r="714" customFormat="false" ht="15.75" hidden="false" customHeight="true" outlineLevel="0" collapsed="false">
      <c r="A714" s="12" t="n">
        <v>6021</v>
      </c>
      <c r="B714" s="13" t="s">
        <v>3174</v>
      </c>
      <c r="C714" s="14" t="n">
        <v>44655</v>
      </c>
      <c r="D714" s="13" t="s">
        <v>380</v>
      </c>
      <c r="E714" s="15" t="s">
        <v>102</v>
      </c>
      <c r="F714" s="24" t="s">
        <v>3175</v>
      </c>
      <c r="G714" s="13" t="s">
        <v>3176</v>
      </c>
      <c r="H714" s="13" t="s">
        <v>49</v>
      </c>
      <c r="I714" s="13" t="str">
        <f aca="false">IF(C714=J714,"NEW KONTRAK","RE-KONTRAK")</f>
        <v>RE-KONTRAK</v>
      </c>
      <c r="J714" s="16" t="n">
        <f aca="false" t="array" ref="J714:J714">IFERROR(INDEX(AC714:AE714,IF(COUNTA(AC714:AE714)=0,"",MAX((AC714:AE714&lt;&gt;"")*(COLUMN(AC714:AE714)-(COLUMN(AC714)))))-1),"")</f>
        <v>45751</v>
      </c>
      <c r="K714" s="16" t="n">
        <f aca="false" t="array" ref="K714:K714">IFERROR(INDEX(AC714:AE714,IF(COUNTA(AC714:AE714)=0,"",MAX((AC714:AE714&lt;&gt;"")*(COLUMN(AC714:AE714)-(COLUMN(AC714)-1))))-1),"")</f>
        <v>45933</v>
      </c>
      <c r="L714" s="17" t="str">
        <f aca="false" t="array" ref="L714:L714">IFERROR(INDEX(AC714:AE714,IF(COUNTA(AC714:AE714)=0,"",MAX((AC714:AE714&lt;&gt;"")*(COLUMN(AC714:AE714)-(COLUMN(AC714)-2))))-1),"")</f>
        <v>ARCHIVED</v>
      </c>
      <c r="M714" s="13" t="n">
        <f aca="true">K714-TODAY()</f>
        <v>-391</v>
      </c>
      <c r="N714" s="18" t="s">
        <v>383</v>
      </c>
      <c r="O714" s="13" t="s">
        <v>389</v>
      </c>
      <c r="P714" s="19" t="n">
        <v>2786977</v>
      </c>
      <c r="Q714" s="20" t="s">
        <v>3177</v>
      </c>
      <c r="R714" s="13" t="s">
        <v>826</v>
      </c>
      <c r="S714" s="14" t="n">
        <v>37324</v>
      </c>
      <c r="T714" s="13" t="s">
        <v>108</v>
      </c>
      <c r="U714" s="13" t="s">
        <v>3178</v>
      </c>
      <c r="V714" s="13" t="s">
        <v>42</v>
      </c>
      <c r="W714" s="13" t="s">
        <v>43</v>
      </c>
      <c r="X714" s="21" t="n">
        <v>85821942988</v>
      </c>
      <c r="Y714" s="22" t="str">
        <f aca="false">O714</f>
        <v>Packing</v>
      </c>
      <c r="Z714" s="13" t="str">
        <f aca="false">IFERROR(__xludf.dummyfunction("if(BJ714="""","""",GOOGLETRANSLATE(BJ714,""auto"",""en""))"),"Packing")</f>
        <v>Packing</v>
      </c>
      <c r="AA714" s="23" t="str">
        <f aca="false">IF(C714="","", CHOOSE(MONTH(C714),"January","February","March","April","May","June","July","August","September","October","November","December")&amp;" "&amp;DAY(C714)&amp;MID("thstndrdth",MIN(9,2*RIGHT(DAY(C714))*(MOD(DAY(C714)-11,100)&gt;2)+1),2)&amp;","&amp;TEXT(C714," yyyy"))</f>
        <v>April 4th,2022</v>
      </c>
      <c r="AB714" s="15" t="str">
        <f aca="true">IF(S714="","",DATEDIF(S714,TODAY(),"Y")&amp;" Tahun, "&amp;DATEDIF(S714,TODAY(),"YM")&amp;" Bulan, "&amp;DATEDIF(S714,TODAY(),"MD")&amp;" Hari")</f>
        <v>24 Tahun, 7 Bulan, 20 Hari</v>
      </c>
      <c r="AC714" s="18" t="n">
        <v>45751</v>
      </c>
      <c r="AD714" s="18" t="n">
        <v>45933</v>
      </c>
      <c r="AE714" s="18" t="s">
        <v>44</v>
      </c>
    </row>
    <row r="715" customFormat="false" ht="15.75" hidden="false" customHeight="true" outlineLevel="0" collapsed="false">
      <c r="A715" s="12" t="n">
        <v>22867</v>
      </c>
      <c r="B715" s="13" t="s">
        <v>3179</v>
      </c>
      <c r="C715" s="14" t="n">
        <v>46279</v>
      </c>
      <c r="D715" s="13" t="s">
        <v>1721</v>
      </c>
      <c r="E715" s="13" t="s">
        <v>47</v>
      </c>
      <c r="F715" s="24" t="s">
        <v>3180</v>
      </c>
      <c r="G715" s="13" t="s">
        <v>1452</v>
      </c>
      <c r="H715" s="13" t="s">
        <v>35</v>
      </c>
      <c r="I715" s="13" t="str">
        <f aca="false">IF(C715=J715,"NEW KONTRAK","RE-KONTRAK")</f>
        <v>NEW KONTRAK</v>
      </c>
      <c r="J715" s="16" t="n">
        <f aca="false" t="array" ref="J715:J715">IFERROR(INDEX(AC715:AE715,IF(COUNTA(AC715:AE715)=0,"",MAX((AC715:AE715&lt;&gt;"")*(COLUMN(AC715:AE715)-(COLUMN(AC715)))))-1),"")</f>
        <v>46279</v>
      </c>
      <c r="K715" s="16" t="n">
        <f aca="false" t="array" ref="K715:K715">IFERROR(INDEX(AC715:AE715,IF(COUNTA(AC715:AE715)=0,"",MAX((AC715:AE715&lt;&gt;"")*(COLUMN(AC715:AE715)-(COLUMN(AC715)-1))))-1),"")</f>
        <v>46386</v>
      </c>
      <c r="L715" s="17" t="str">
        <f aca="false" t="array" ref="L715:L715">IFERROR(INDEX(AC715:AE715,IF(COUNTA(AC715:AE715)=0,"",MAX((AC715:AE715&lt;&gt;"")*(COLUMN(AC715:AE715)-(COLUMN(AC715)-2))))-1),"")</f>
        <v>ARCHIVED</v>
      </c>
      <c r="M715" s="13" t="n">
        <f aca="true">K715-TODAY()</f>
        <v>62</v>
      </c>
      <c r="N715" s="18" t="s">
        <v>728</v>
      </c>
      <c r="O715" s="13" t="s">
        <v>1755</v>
      </c>
      <c r="P715" s="26" t="n">
        <v>5444909</v>
      </c>
      <c r="Q715" s="20" t="s">
        <v>3181</v>
      </c>
      <c r="R715" s="13" t="s">
        <v>52</v>
      </c>
      <c r="S715" s="25" t="n">
        <v>33240</v>
      </c>
      <c r="T715" s="13" t="s">
        <v>108</v>
      </c>
      <c r="U715" s="13" t="s">
        <v>3182</v>
      </c>
      <c r="V715" s="13" t="s">
        <v>42</v>
      </c>
      <c r="W715" s="13" t="s">
        <v>54</v>
      </c>
      <c r="X715" s="30" t="n">
        <v>85176724238</v>
      </c>
      <c r="Y715" s="22" t="str">
        <f aca="false">O715</f>
        <v>Im.Operator</v>
      </c>
      <c r="Z715" s="13" t="str">
        <f aca="false">IFERROR(__xludf.dummyfunction("if(BJ715="""","""",GOOGLETRANSLATE(BJ715,""auto"",""en""))"),"Im.Operator")</f>
        <v>Im.Operator</v>
      </c>
      <c r="AA715" s="23" t="str">
        <f aca="false">IF(C715="","", CHOOSE(MONTH(C715),"January","February","March","April","May","June","July","August","September","October","November","December")&amp;" "&amp;DAY(C715)&amp;MID("thstndrdth",MIN(9,2*RIGHT(DAY(C715))*(MOD(DAY(C715)-11,100)&gt;2)+1),2)&amp;","&amp;TEXT(C715," yyyy"))</f>
        <v>September 14th,2026</v>
      </c>
      <c r="AB715" s="15" t="str">
        <f aca="true">IF(S715="","",DATEDIF(S715,TODAY(),"Y")&amp;" Tahun, "&amp;DATEDIF(S715,TODAY(),"YM")&amp;" Bulan, "&amp;DATEDIF(S715,TODAY(),"MD")&amp;" Hari")</f>
        <v>35 Tahun, 9 Bulan, 27 Hari</v>
      </c>
      <c r="AC715" s="14" t="n">
        <v>46279</v>
      </c>
      <c r="AD715" s="18" t="n">
        <v>46386</v>
      </c>
      <c r="AE715" s="13" t="s">
        <v>44</v>
      </c>
    </row>
    <row r="716" customFormat="false" ht="15.75" hidden="false" customHeight="true" outlineLevel="0" collapsed="false">
      <c r="A716" s="12" t="n">
        <v>22866</v>
      </c>
      <c r="B716" s="13" t="s">
        <v>3183</v>
      </c>
      <c r="C716" s="14" t="n">
        <v>46279</v>
      </c>
      <c r="D716" s="13" t="s">
        <v>1721</v>
      </c>
      <c r="E716" s="13" t="s">
        <v>47</v>
      </c>
      <c r="F716" s="24" t="s">
        <v>3184</v>
      </c>
      <c r="G716" s="13" t="s">
        <v>1452</v>
      </c>
      <c r="H716" s="13" t="s">
        <v>35</v>
      </c>
      <c r="I716" s="13" t="str">
        <f aca="false">IF(C716=J716,"NEW KONTRAK","RE-KONTRAK")</f>
        <v>NEW KONTRAK</v>
      </c>
      <c r="J716" s="16" t="n">
        <f aca="false" t="array" ref="J716:J716">IFERROR(INDEX(AC716:AE716,IF(COUNTA(AC716:AE716)=0,"",MAX((AC716:AE716&lt;&gt;"")*(COLUMN(AC716:AE716)-(COLUMN(AC716)))))-1),"")</f>
        <v>46279</v>
      </c>
      <c r="K716" s="16" t="n">
        <f aca="false" t="array" ref="K716:K716">IFERROR(INDEX(AC716:AE716,IF(COUNTA(AC716:AE716)=0,"",MAX((AC716:AE716&lt;&gt;"")*(COLUMN(AC716:AE716)-(COLUMN(AC716)-1))))-1),"")</f>
        <v>46386</v>
      </c>
      <c r="L716" s="17" t="str">
        <f aca="false" t="array" ref="L716:L716">IFERROR(INDEX(AC716:AE716,IF(COUNTA(AC716:AE716)=0,"",MAX((AC716:AE716&lt;&gt;"")*(COLUMN(AC716:AE716)-(COLUMN(AC716)-2))))-1),"")</f>
        <v>ARCHIVED</v>
      </c>
      <c r="M716" s="13" t="n">
        <f aca="true">K716-TODAY()</f>
        <v>62</v>
      </c>
      <c r="N716" s="18" t="s">
        <v>728</v>
      </c>
      <c r="O716" s="13" t="s">
        <v>1755</v>
      </c>
      <c r="P716" s="26" t="n">
        <v>5444909</v>
      </c>
      <c r="Q716" s="20" t="s">
        <v>3185</v>
      </c>
      <c r="R716" s="13" t="s">
        <v>241</v>
      </c>
      <c r="S716" s="25" t="n">
        <v>35414</v>
      </c>
      <c r="T716" s="13" t="s">
        <v>108</v>
      </c>
      <c r="U716" s="13" t="s">
        <v>3186</v>
      </c>
      <c r="V716" s="13" t="s">
        <v>42</v>
      </c>
      <c r="W716" s="13" t="s">
        <v>54</v>
      </c>
      <c r="X716" s="30" t="n">
        <v>85396965328</v>
      </c>
      <c r="Y716" s="22" t="str">
        <f aca="false">O716</f>
        <v>Im.Operator</v>
      </c>
      <c r="Z716" s="13" t="str">
        <f aca="false">IFERROR(__xludf.dummyfunction("if(BJ716="""","""",GOOGLETRANSLATE(BJ716,""auto"",""en""))"),"Im.Operator")</f>
        <v>Im.Operator</v>
      </c>
      <c r="AA716" s="23" t="str">
        <f aca="false">IF(C716="","", CHOOSE(MONTH(C716),"January","February","March","April","May","June","July","August","September","October","November","December")&amp;" "&amp;DAY(C716)&amp;MID("thstndrdth",MIN(9,2*RIGHT(DAY(C716))*(MOD(DAY(C716)-11,100)&gt;2)+1),2)&amp;","&amp;TEXT(C716," yyyy"))</f>
        <v>September 14th,2026</v>
      </c>
      <c r="AB716" s="15" t="str">
        <f aca="true">IF(S716="","",DATEDIF(S716,TODAY(),"Y")&amp;" Tahun, "&amp;DATEDIF(S716,TODAY(),"YM")&amp;" Bulan, "&amp;DATEDIF(S716,TODAY(),"MD")&amp;" Hari")</f>
        <v>29 Tahun, 10 Bulan, 14 Hari</v>
      </c>
      <c r="AC716" s="14" t="n">
        <v>46279</v>
      </c>
      <c r="AD716" s="18" t="n">
        <v>46386</v>
      </c>
      <c r="AE716" s="13" t="s">
        <v>44</v>
      </c>
    </row>
    <row r="717" customFormat="false" ht="15.75" hidden="false" customHeight="true" outlineLevel="0" collapsed="false">
      <c r="A717" s="12" t="n">
        <v>22859</v>
      </c>
      <c r="B717" s="13" t="s">
        <v>3187</v>
      </c>
      <c r="C717" s="14" t="n">
        <v>46279</v>
      </c>
      <c r="D717" s="13" t="s">
        <v>1721</v>
      </c>
      <c r="E717" s="13" t="s">
        <v>47</v>
      </c>
      <c r="F717" s="24" t="s">
        <v>3188</v>
      </c>
      <c r="G717" s="13" t="s">
        <v>1452</v>
      </c>
      <c r="H717" s="13" t="s">
        <v>35</v>
      </c>
      <c r="I717" s="13" t="str">
        <f aca="false">IF(C717=J717,"NEW KONTRAK","RE-KONTRAK")</f>
        <v>NEW KONTRAK</v>
      </c>
      <c r="J717" s="16" t="n">
        <f aca="false" t="array" ref="J717:J717">IFERROR(INDEX(AC717:AE717,IF(COUNTA(AC717:AE717)=0,"",MAX((AC717:AE717&lt;&gt;"")*(COLUMN(AC717:AE717)-(COLUMN(AC717)))))-1),"")</f>
        <v>46279</v>
      </c>
      <c r="K717" s="16" t="n">
        <f aca="false" t="array" ref="K717:K717">IFERROR(INDEX(AC717:AE717,IF(COUNTA(AC717:AE717)=0,"",MAX((AC717:AE717&lt;&gt;"")*(COLUMN(AC717:AE717)-(COLUMN(AC717)-1))))-1),"")</f>
        <v>46386</v>
      </c>
      <c r="L717" s="17" t="str">
        <f aca="false" t="array" ref="L717:L717">IFERROR(INDEX(AC717:AE717,IF(COUNTA(AC717:AE717)=0,"",MAX((AC717:AE717&lt;&gt;"")*(COLUMN(AC717:AE717)-(COLUMN(AC717)-2))))-1),"")</f>
        <v>ARCHIVED</v>
      </c>
      <c r="M717" s="13" t="n">
        <f aca="true">K717-TODAY()</f>
        <v>62</v>
      </c>
      <c r="N717" s="18" t="s">
        <v>728</v>
      </c>
      <c r="O717" s="13" t="s">
        <v>1755</v>
      </c>
      <c r="P717" s="26" t="n">
        <v>5444909</v>
      </c>
      <c r="Q717" s="20" t="s">
        <v>3189</v>
      </c>
      <c r="R717" s="48" t="s">
        <v>73</v>
      </c>
      <c r="S717" s="25" t="n">
        <v>36409</v>
      </c>
      <c r="T717" s="13" t="s">
        <v>108</v>
      </c>
      <c r="U717" s="13" t="s">
        <v>3190</v>
      </c>
      <c r="V717" s="13" t="s">
        <v>42</v>
      </c>
      <c r="W717" s="28" t="s">
        <v>43</v>
      </c>
      <c r="X717" s="21" t="n">
        <v>85755837905</v>
      </c>
      <c r="Y717" s="22" t="str">
        <f aca="false">O717</f>
        <v>Im.Operator</v>
      </c>
      <c r="Z717" s="13" t="str">
        <f aca="false">IFERROR(__xludf.dummyfunction("if(BJ717="""","""",GOOGLETRANSLATE(BJ717,""auto"",""en""))"),"Im.Operator")</f>
        <v>Im.Operator</v>
      </c>
      <c r="AA717" s="23" t="str">
        <f aca="false">IF(C717="","", CHOOSE(MONTH(C717),"January","February","March","April","May","June","July","August","September","October","November","December")&amp;" "&amp;DAY(C717)&amp;MID("thstndrdth",MIN(9,2*RIGHT(DAY(C717))*(MOD(DAY(C717)-11,100)&gt;2)+1),2)&amp;","&amp;TEXT(C717," yyyy"))</f>
        <v>September 14th,2026</v>
      </c>
      <c r="AB717" s="15" t="str">
        <f aca="true">IF(S717="","",DATEDIF(S717,TODAY(),"Y")&amp;" Tahun, "&amp;DATEDIF(S717,TODAY(),"YM")&amp;" Bulan, "&amp;DATEDIF(S717,TODAY(),"MD")&amp;" Hari")</f>
        <v>27 Tahun, 1 Bulan, 23 Hari</v>
      </c>
      <c r="AC717" s="14" t="n">
        <v>46279</v>
      </c>
      <c r="AD717" s="18" t="n">
        <v>46386</v>
      </c>
      <c r="AE717" s="13" t="s">
        <v>44</v>
      </c>
    </row>
    <row r="718" customFormat="false" ht="15.75" hidden="false" customHeight="true" outlineLevel="0" collapsed="false">
      <c r="A718" s="12" t="n">
        <v>21709</v>
      </c>
      <c r="B718" s="13" t="s">
        <v>3191</v>
      </c>
      <c r="C718" s="16" t="n">
        <v>46024</v>
      </c>
      <c r="D718" s="13" t="s">
        <v>1721</v>
      </c>
      <c r="E718" s="15" t="s">
        <v>47</v>
      </c>
      <c r="F718" s="15" t="str">
        <f aca="false">IFERROR(__xludf.dummyfunction("XLOOKUP(AJ718,IMPORTRANGE(""1XaInW9DU9nz21V0tYIfzFQ0He9kVQ_JF2mCXgZ3hqFA"",""REKAP ALL 2026 - Andika!G:G""),IMPORTRANGE(""1XaInW9DU9nz21V0tYIfzFQ0He9kVQ_JF2mCXgZ3hqFA"",""REKAP ALL 2026 - Andika!F:F""),"""",0)"),"26020754896")</f>
        <v>26020754896</v>
      </c>
      <c r="G718" s="28" t="s">
        <v>57</v>
      </c>
      <c r="H718" s="13" t="s">
        <v>35</v>
      </c>
      <c r="I718" s="13" t="str">
        <f aca="false">IF(C718=J718,"NEW KONTRAK","RE-KONTRAK")</f>
        <v>NEW KONTRAK</v>
      </c>
      <c r="J718" s="16" t="n">
        <f aca="false" t="array" ref="J718:J718">IFERROR(INDEX(AC718:AE718,IF(COUNTA(AC718:AE718)=0,"",MAX((AC718:AE718&lt;&gt;"")*(COLUMN(AC718:AE718)-(COLUMN(AC718)))))-1),"")</f>
        <v>46024</v>
      </c>
      <c r="K718" s="16" t="n">
        <f aca="false" t="array" ref="K718:K718">IFERROR(INDEX(AC718:AE718,IF(COUNTA(AC718:AE718)=0,"",MAX((AC718:AE718&lt;&gt;"")*(COLUMN(AC718:AE718)-(COLUMN(AC718)-1))))-1),"")</f>
        <v>46113</v>
      </c>
      <c r="L718" s="17" t="str">
        <f aca="false" t="array" ref="L718:L718">IFERROR(INDEX(AC718:AE718,IF(COUNTA(AC718:AE718)=0,"",MAX((AC718:AE718&lt;&gt;"")*(COLUMN(AC718:AE718)-(COLUMN(AC718)-2))))-1),"")</f>
        <v>ARCHIVED</v>
      </c>
      <c r="M718" s="13" t="n">
        <f aca="true">K718-TODAY()</f>
        <v>-211</v>
      </c>
      <c r="N718" s="18" t="s">
        <v>728</v>
      </c>
      <c r="O718" s="13" t="s">
        <v>3192</v>
      </c>
      <c r="P718" s="19" t="n">
        <v>5444909</v>
      </c>
      <c r="Q718" s="47" t="s">
        <v>3193</v>
      </c>
      <c r="R718" s="13" t="s">
        <v>52</v>
      </c>
      <c r="S718" s="16" t="n">
        <v>38594</v>
      </c>
      <c r="T718" s="13" t="s">
        <v>108</v>
      </c>
      <c r="U718" s="13" t="s">
        <v>3194</v>
      </c>
      <c r="V718" s="13" t="s">
        <v>42</v>
      </c>
      <c r="W718" s="13" t="s">
        <v>43</v>
      </c>
      <c r="X718" s="30" t="n">
        <v>83110122691</v>
      </c>
      <c r="Y718" s="22" t="str">
        <f aca="false">O718</f>
        <v>Qa</v>
      </c>
      <c r="Z718" s="13" t="str">
        <f aca="false">IFERROR(__xludf.dummyfunction("if(BJ718="""","""",GOOGLETRANSLATE(BJ718,""auto"",""en""))"),"Qa")</f>
        <v>Qa</v>
      </c>
      <c r="AA718" s="23" t="str">
        <f aca="false">IF(C718="","", CHOOSE(MONTH(C718),"January","February","March","April","May","June","July","August","September","October","November","December")&amp;" "&amp;DAY(C718)&amp;MID("thstndrdth",MIN(9,2*RIGHT(DAY(C718))*(MOD(DAY(C718)-11,100)&gt;2)+1),2)&amp;","&amp;TEXT(C718," yyyy"))</f>
        <v>January 2nd,2026</v>
      </c>
      <c r="AB718" s="15" t="str">
        <f aca="true">IF(S718="","",DATEDIF(S718,TODAY(),"Y")&amp;" Tahun, "&amp;DATEDIF(S718,TODAY(),"YM")&amp;" Bulan, "&amp;DATEDIF(S718,TODAY(),"MD")&amp;" Hari")</f>
        <v>21 Tahun, 1 Bulan, 29 Hari</v>
      </c>
      <c r="AC718" s="18" t="n">
        <v>46024</v>
      </c>
      <c r="AD718" s="18" t="n">
        <f aca="false">EDATE(AC718,3)-1</f>
        <v>46113</v>
      </c>
      <c r="AE718" s="18" t="s">
        <v>44</v>
      </c>
    </row>
    <row r="719" customFormat="false" ht="15.75" hidden="false" customHeight="true" outlineLevel="0" collapsed="false">
      <c r="A719" s="12" t="n">
        <v>22876</v>
      </c>
      <c r="B719" s="13" t="s">
        <v>3195</v>
      </c>
      <c r="C719" s="14" t="n">
        <v>46279</v>
      </c>
      <c r="D719" s="13" t="s">
        <v>1721</v>
      </c>
      <c r="E719" s="13" t="s">
        <v>47</v>
      </c>
      <c r="F719" s="24" t="s">
        <v>3196</v>
      </c>
      <c r="G719" s="13" t="s">
        <v>1452</v>
      </c>
      <c r="H719" s="13" t="s">
        <v>35</v>
      </c>
      <c r="I719" s="13" t="str">
        <f aca="false">IF(C719=J719,"NEW KONTRAK","RE-KONTRAK")</f>
        <v>NEW KONTRAK</v>
      </c>
      <c r="J719" s="16" t="n">
        <f aca="false" t="array" ref="J719:J719">IFERROR(INDEX(AC719:AE719,IF(COUNTA(AC719:AE719)=0,"",MAX((AC719:AE719&lt;&gt;"")*(COLUMN(AC719:AE719)-(COLUMN(AC719)))))-1),"")</f>
        <v>46279</v>
      </c>
      <c r="K719" s="16" t="n">
        <f aca="false" t="array" ref="K719:K719">IFERROR(INDEX(AC719:AE719,IF(COUNTA(AC719:AE719)=0,"",MAX((AC719:AE719&lt;&gt;"")*(COLUMN(AC719:AE719)-(COLUMN(AC719)-1))))-1),"")</f>
        <v>46386</v>
      </c>
      <c r="L719" s="17" t="str">
        <f aca="false" t="array" ref="L719:L719">IFERROR(INDEX(AC719:AE719,IF(COUNTA(AC719:AE719)=0,"",MAX((AC719:AE719&lt;&gt;"")*(COLUMN(AC719:AE719)-(COLUMN(AC719)-2))))-1),"")</f>
        <v>ARCHIVED</v>
      </c>
      <c r="M719" s="13" t="n">
        <f aca="true">K719-TODAY()</f>
        <v>62</v>
      </c>
      <c r="N719" s="18" t="s">
        <v>728</v>
      </c>
      <c r="O719" s="13" t="s">
        <v>1755</v>
      </c>
      <c r="P719" s="26" t="n">
        <v>5444909</v>
      </c>
      <c r="Q719" s="20" t="s">
        <v>3197</v>
      </c>
      <c r="R719" s="13" t="s">
        <v>879</v>
      </c>
      <c r="S719" s="25" t="n">
        <v>33551</v>
      </c>
      <c r="T719" s="13" t="s">
        <v>108</v>
      </c>
      <c r="U719" s="13" t="s">
        <v>3198</v>
      </c>
      <c r="V719" s="13" t="s">
        <v>42</v>
      </c>
      <c r="W719" s="13" t="s">
        <v>54</v>
      </c>
      <c r="X719" s="30" t="n">
        <v>89569784801</v>
      </c>
      <c r="Y719" s="22" t="str">
        <f aca="false">O719</f>
        <v>Im.Operator</v>
      </c>
      <c r="Z719" s="13" t="str">
        <f aca="false">IFERROR(__xludf.dummyfunction("if(BJ719="""","""",GOOGLETRANSLATE(BJ719,""auto"",""en""))"),"Im.Operator")</f>
        <v>Im.Operator</v>
      </c>
      <c r="AA719" s="23" t="str">
        <f aca="false">IF(C719="","", CHOOSE(MONTH(C719),"January","February","March","April","May","June","July","August","September","October","November","December")&amp;" "&amp;DAY(C719)&amp;MID("thstndrdth",MIN(9,2*RIGHT(DAY(C719))*(MOD(DAY(C719)-11,100)&gt;2)+1),2)&amp;","&amp;TEXT(C719," yyyy"))</f>
        <v>September 14th,2026</v>
      </c>
      <c r="AB719" s="15" t="str">
        <f aca="true">IF(S719="","",DATEDIF(S719,TODAY(),"Y")&amp;" Tahun, "&amp;DATEDIF(S719,TODAY(),"YM")&amp;" Bulan, "&amp;DATEDIF(S719,TODAY(),"MD")&amp;" Hari")</f>
        <v>34 Tahun, 11 Bulan, 20 Hari</v>
      </c>
      <c r="AC719" s="14" t="n">
        <v>46279</v>
      </c>
      <c r="AD719" s="18" t="n">
        <v>46386</v>
      </c>
      <c r="AE719" s="13" t="s">
        <v>44</v>
      </c>
    </row>
    <row r="720" customFormat="false" ht="15.75" hidden="false" customHeight="true" outlineLevel="0" collapsed="false">
      <c r="A720" s="12" t="n">
        <v>21685</v>
      </c>
      <c r="B720" s="13" t="s">
        <v>3199</v>
      </c>
      <c r="C720" s="16" t="n">
        <v>46024</v>
      </c>
      <c r="D720" s="13" t="s">
        <v>1721</v>
      </c>
      <c r="E720" s="15" t="s">
        <v>47</v>
      </c>
      <c r="F720" s="15" t="str">
        <f aca="false">IFERROR(__xludf.dummyfunction("XLOOKUP(AJ720,IMPORTRANGE(""1XaInW9DU9nz21V0tYIfzFQ0He9kVQ_JF2mCXgZ3hqFA"",""REKAP ALL 2026 - Andika!G:G""),IMPORTRANGE(""1XaInW9DU9nz21V0tYIfzFQ0He9kVQ_JF2mCXgZ3hqFA"",""REKAP ALL 2026 - Andika!F:F""),"""",0)"),"26020754698")</f>
        <v>26020754698</v>
      </c>
      <c r="G720" s="28" t="s">
        <v>57</v>
      </c>
      <c r="H720" s="13" t="s">
        <v>35</v>
      </c>
      <c r="I720" s="13" t="str">
        <f aca="false">IF(C720=J720,"NEW KONTRAK","RE-KONTRAK")</f>
        <v>NEW KONTRAK</v>
      </c>
      <c r="J720" s="16" t="n">
        <f aca="false" t="array" ref="J720:J720">IFERROR(INDEX(AC720:AE720,IF(COUNTA(AC720:AE720)=0,"",MAX((AC720:AE720&lt;&gt;"")*(COLUMN(AC720:AE720)-(COLUMN(AC720)))))-1),"")</f>
        <v>46024</v>
      </c>
      <c r="K720" s="16" t="n">
        <f aca="false" t="array" ref="K720:K720">IFERROR(INDEX(AC720:AE720,IF(COUNTA(AC720:AE720)=0,"",MAX((AC720:AE720&lt;&gt;"")*(COLUMN(AC720:AE720)-(COLUMN(AC720)-1))))-1),"")</f>
        <v>46113</v>
      </c>
      <c r="L720" s="17" t="str">
        <f aca="false" t="array" ref="L720:L720">IFERROR(INDEX(AC720:AE720,IF(COUNTA(AC720:AE720)=0,"",MAX((AC720:AE720&lt;&gt;"")*(COLUMN(AC720:AE720)-(COLUMN(AC720)-2))))-1),"")</f>
        <v>ARCHIVED</v>
      </c>
      <c r="M720" s="13" t="n">
        <f aca="true">K720-TODAY()</f>
        <v>-211</v>
      </c>
      <c r="N720" s="18" t="s">
        <v>728</v>
      </c>
      <c r="O720" s="13" t="s">
        <v>1755</v>
      </c>
      <c r="P720" s="19" t="n">
        <v>5444909</v>
      </c>
      <c r="Q720" s="47" t="s">
        <v>3200</v>
      </c>
      <c r="R720" s="13" t="s">
        <v>255</v>
      </c>
      <c r="S720" s="16" t="n">
        <v>34020</v>
      </c>
      <c r="T720" s="13" t="s">
        <v>108</v>
      </c>
      <c r="U720" s="13" t="s">
        <v>3201</v>
      </c>
      <c r="V720" s="13" t="s">
        <v>42</v>
      </c>
      <c r="W720" s="13" t="s">
        <v>54</v>
      </c>
      <c r="X720" s="30" t="n">
        <v>85351462704</v>
      </c>
      <c r="Y720" s="22" t="str">
        <f aca="false">O720</f>
        <v>Im.Operator</v>
      </c>
      <c r="Z720" s="13" t="str">
        <f aca="false">IFERROR(__xludf.dummyfunction("if(BJ720="""","""",GOOGLETRANSLATE(BJ720,""auto"",""en""))"),"Im.Operator")</f>
        <v>Im.Operator</v>
      </c>
      <c r="AA720" s="23" t="str">
        <f aca="false">IF(C720="","", CHOOSE(MONTH(C720),"January","February","March","April","May","June","July","August","September","October","November","December")&amp;" "&amp;DAY(C720)&amp;MID("thstndrdth",MIN(9,2*RIGHT(DAY(C720))*(MOD(DAY(C720)-11,100)&gt;2)+1),2)&amp;","&amp;TEXT(C720," yyyy"))</f>
        <v>January 2nd,2026</v>
      </c>
      <c r="AB720" s="15" t="str">
        <f aca="true">IF(S720="","",DATEDIF(S720,TODAY(),"Y")&amp;" Tahun, "&amp;DATEDIF(S720,TODAY(),"YM")&amp;" Bulan, "&amp;DATEDIF(S720,TODAY(),"MD")&amp;" Hari")</f>
        <v>33 Tahun, 8 Bulan, 9 Hari</v>
      </c>
      <c r="AC720" s="18" t="n">
        <v>46024</v>
      </c>
      <c r="AD720" s="18" t="n">
        <f aca="false">EDATE(AC720,3)-1</f>
        <v>46113</v>
      </c>
      <c r="AE720" s="18" t="s">
        <v>44</v>
      </c>
    </row>
    <row r="721" customFormat="false" ht="15.75" hidden="false" customHeight="true" outlineLevel="0" collapsed="false">
      <c r="A721" s="12" t="n">
        <v>4676</v>
      </c>
      <c r="B721" s="13" t="s">
        <v>3202</v>
      </c>
      <c r="C721" s="14" t="n">
        <v>44125</v>
      </c>
      <c r="D721" s="13" t="s">
        <v>1721</v>
      </c>
      <c r="E721" s="15" t="s">
        <v>47</v>
      </c>
      <c r="F721" s="15" t="str">
        <f aca="false">IFERROR(__xludf.dummyfunction("XLOOKUP(AJ721,IMPORTRANGE(""1XaInW9DU9nz21V0tYIfzFQ0He9kVQ_JF2mCXgZ3hqFA"",""REKAP ALL 2026 - Andika!G:G""),IMPORTRANGE(""1XaInW9DU9nz21V0tYIfzFQ0He9kVQ_JF2mCXgZ3hqFA"",""REKAP ALL 2026 - Andika!F:F""),"""",0)"),"21096161985")</f>
        <v>21096161985</v>
      </c>
      <c r="G721" s="13" t="s">
        <v>3203</v>
      </c>
      <c r="H721" s="13" t="s">
        <v>35</v>
      </c>
      <c r="I721" s="13" t="str">
        <f aca="false">IF(C721=J721,"NEW KONTRAK","RE-KONTRAK")</f>
        <v>RE-KONTRAK</v>
      </c>
      <c r="J721" s="16" t="n">
        <f aca="false" t="array" ref="J721:J721">IFERROR(INDEX(AC721:AE721,IF(COUNTA(AC721:AE721)=0,"",MAX((AC721:AE721&lt;&gt;"")*(COLUMN(AC721:AE721)-(COLUMN(AC721)))))-1),"")</f>
        <v>45659</v>
      </c>
      <c r="K721" s="16" t="n">
        <f aca="false" t="array" ref="K721:K721">IFERROR(INDEX(AC721:AE721,IF(COUNTA(AC721:AE721)=0,"",MAX((AC721:AE721&lt;&gt;"")*(COLUMN(AC721:AE721)-(COLUMN(AC721)-1))))-1),"")</f>
        <v>46021</v>
      </c>
      <c r="L721" s="17" t="str">
        <f aca="false" t="array" ref="L721:L721">IFERROR(INDEX(AC721:AE721,IF(COUNTA(AC721:AE721)=0,"",MAX((AC721:AE721&lt;&gt;"")*(COLUMN(AC721:AE721)-(COLUMN(AC721)-2))))-1),"")</f>
        <v>KEMBALI</v>
      </c>
      <c r="M721" s="13" t="n">
        <f aca="true">K721-TODAY()</f>
        <v>-303</v>
      </c>
      <c r="N721" s="18" t="s">
        <v>728</v>
      </c>
      <c r="O721" s="13" t="s">
        <v>1914</v>
      </c>
      <c r="P721" s="19" t="n">
        <v>5444909</v>
      </c>
      <c r="Q721" s="20" t="s">
        <v>3204</v>
      </c>
      <c r="R721" s="13" t="s">
        <v>52</v>
      </c>
      <c r="S721" s="14" t="n">
        <v>35213</v>
      </c>
      <c r="T721" s="13" t="s">
        <v>108</v>
      </c>
      <c r="U721" s="13" t="s">
        <v>3205</v>
      </c>
      <c r="V721" s="13" t="s">
        <v>42</v>
      </c>
      <c r="W721" s="13" t="s">
        <v>54</v>
      </c>
      <c r="X721" s="21" t="n">
        <v>89650087311</v>
      </c>
      <c r="Y721" s="22" t="str">
        <f aca="false">O721</f>
        <v>Im Operator</v>
      </c>
      <c r="Z721" s="13" t="str">
        <f aca="false">IFERROR(__xludf.dummyfunction("if(BJ721="""","""",GOOGLETRANSLATE(BJ721,""auto"",""en""))"),"Im Operator")</f>
        <v>Im Operator</v>
      </c>
      <c r="AA721" s="23" t="str">
        <f aca="false">IF(C721="","", CHOOSE(MONTH(C721),"January","February","March","April","May","June","July","August","September","October","November","December")&amp;" "&amp;DAY(C721)&amp;MID("thstndrdth",MIN(9,2*RIGHT(DAY(C721))*(MOD(DAY(C721)-11,100)&gt;2)+1),2)&amp;","&amp;TEXT(C721," yyyy"))</f>
        <v>October 21st,2020</v>
      </c>
      <c r="AB721" s="15" t="str">
        <f aca="true">IF(S721="","",DATEDIF(S721,TODAY(),"Y")&amp;" Tahun, "&amp;DATEDIF(S721,TODAY(),"YM")&amp;" Bulan, "&amp;DATEDIF(S721,TODAY(),"MD")&amp;" Hari")</f>
        <v>30 Tahun, 5 Bulan, 1 Hari</v>
      </c>
      <c r="AC721" s="18" t="n">
        <v>45659</v>
      </c>
      <c r="AD721" s="18" t="n">
        <v>46021</v>
      </c>
      <c r="AE721" s="13" t="s">
        <v>397</v>
      </c>
    </row>
    <row r="722" customFormat="false" ht="15.75" hidden="false" customHeight="true" outlineLevel="0" collapsed="false">
      <c r="A722" s="12" t="n">
        <v>6058</v>
      </c>
      <c r="B722" s="13" t="s">
        <v>3206</v>
      </c>
      <c r="C722" s="14" t="n">
        <v>44665</v>
      </c>
      <c r="D722" s="13" t="s">
        <v>144</v>
      </c>
      <c r="E722" s="15" t="s">
        <v>102</v>
      </c>
      <c r="F722" s="15" t="str">
        <f aca="false">IFERROR(__xludf.dummyfunction("XLOOKUP(AJ722,IMPORTRANGE(""1XaInW9DU9nz21V0tYIfzFQ0He9kVQ_JF2mCXgZ3hqFA"",""REKAP ALL 2026 - Andika!G:G""),IMPORTRANGE(""1XaInW9DU9nz21V0tYIfzFQ0He9kVQ_JF2mCXgZ3hqFA"",""REKAP ALL 2026 - Andika!F:F""),"""",0)"),"22037461971")</f>
        <v>22037461971</v>
      </c>
      <c r="G722" s="13" t="s">
        <v>3207</v>
      </c>
      <c r="H722" s="13" t="s">
        <v>35</v>
      </c>
      <c r="I722" s="13" t="str">
        <f aca="false">IF(C722=J722,"NEW KONTRAK","RE-KONTRAK")</f>
        <v>RE-KONTRAK</v>
      </c>
      <c r="J722" s="16" t="n">
        <f aca="false" t="array" ref="J722:J722">IFERROR(INDEX(AC722:AE722,IF(COUNTA(AC722:AE722)=0,"",MAX((AC722:AE722&lt;&gt;"")*(COLUMN(AC722:AE722)-(COLUMN(AC722)))))-1),"")</f>
        <v>45658</v>
      </c>
      <c r="K722" s="16" t="n">
        <f aca="false" t="array" ref="K722:K722">IFERROR(INDEX(AC722:AE722,IF(COUNTA(AC722:AE722)=0,"",MAX((AC722:AE722&lt;&gt;"")*(COLUMN(AC722:AE722)-(COLUMN(AC722)-1))))-1),"")</f>
        <v>46022</v>
      </c>
      <c r="L722" s="17" t="str">
        <f aca="false" t="array" ref="L722:L722">IFERROR(INDEX(AC722:AE722,IF(COUNTA(AC722:AE722)=0,"",MAX((AC722:AE722&lt;&gt;"")*(COLUMN(AC722:AE722)-(COLUMN(AC722)-2))))-1),"")</f>
        <v>ARCHIVED</v>
      </c>
      <c r="M722" s="13" t="n">
        <f aca="true">K722-TODAY()</f>
        <v>-302</v>
      </c>
      <c r="N722" s="18" t="s">
        <v>36</v>
      </c>
      <c r="O722" s="13" t="s">
        <v>211</v>
      </c>
      <c r="P722" s="19" t="n">
        <v>5195401</v>
      </c>
      <c r="Q722" s="20" t="s">
        <v>3208</v>
      </c>
      <c r="R722" s="13" t="s">
        <v>52</v>
      </c>
      <c r="S722" s="14" t="n">
        <v>33551</v>
      </c>
      <c r="T722" s="13" t="s">
        <v>40</v>
      </c>
      <c r="U722" s="13" t="s">
        <v>3209</v>
      </c>
      <c r="V722" s="13" t="s">
        <v>42</v>
      </c>
      <c r="W722" s="13" t="s">
        <v>54</v>
      </c>
      <c r="X722" s="21" t="n">
        <v>82232415658</v>
      </c>
      <c r="Y722" s="22" t="str">
        <f aca="false">O722</f>
        <v>FG Store</v>
      </c>
      <c r="Z722" s="13" t="str">
        <f aca="false">IFERROR(__xludf.dummyfunction("if(BJ722="""","""",GOOGLETRANSLATE(BJ722,""auto"",""en""))"),"FG Store")</f>
        <v>FG Store</v>
      </c>
      <c r="AA722" s="23" t="str">
        <f aca="false">IF(C722="","", CHOOSE(MONTH(C722),"January","February","March","April","May","June","July","August","September","October","November","December")&amp;" "&amp;DAY(C722)&amp;MID("thstndrdth",MIN(9,2*RIGHT(DAY(C722))*(MOD(DAY(C722)-11,100)&gt;2)+1),2)&amp;","&amp;TEXT(C722," yyyy"))</f>
        <v>April 14th,2022</v>
      </c>
      <c r="AB722" s="15" t="str">
        <f aca="true">IF(S722="","",DATEDIF(S722,TODAY(),"Y")&amp;" Tahun, "&amp;DATEDIF(S722,TODAY(),"YM")&amp;" Bulan, "&amp;DATEDIF(S722,TODAY(),"MD")&amp;" Hari")</f>
        <v>34 Tahun, 11 Bulan, 20 Hari</v>
      </c>
      <c r="AC722" s="18" t="n">
        <v>45658</v>
      </c>
      <c r="AD722" s="18" t="n">
        <v>46022</v>
      </c>
      <c r="AE722" s="18" t="s">
        <v>44</v>
      </c>
    </row>
    <row r="723" customFormat="false" ht="15.75" hidden="false" customHeight="true" outlineLevel="0" collapsed="false">
      <c r="A723" s="12" t="n">
        <v>6060</v>
      </c>
      <c r="B723" s="13" t="s">
        <v>3210</v>
      </c>
      <c r="C723" s="14" t="n">
        <v>44665</v>
      </c>
      <c r="D723" s="13" t="s">
        <v>144</v>
      </c>
      <c r="E723" s="15" t="s">
        <v>47</v>
      </c>
      <c r="F723" s="15" t="str">
        <f aca="false">IFERROR(__xludf.dummyfunction("XLOOKUP(AJ723,IMPORTRANGE(""1XaInW9DU9nz21V0tYIfzFQ0He9kVQ_JF2mCXgZ3hqFA"",""REKAP ALL 2026 - Andika!G:G""),IMPORTRANGE(""1XaInW9DU9nz21V0tYIfzFQ0He9kVQ_JF2mCXgZ3hqFA"",""REKAP ALL 2026 - Andika!F:F""),"""",0)"),"22037461955")</f>
        <v>22037461955</v>
      </c>
      <c r="G723" s="13" t="s">
        <v>3211</v>
      </c>
      <c r="H723" s="13" t="s">
        <v>35</v>
      </c>
      <c r="I723" s="13" t="str">
        <f aca="false">IF(C723=J723,"NEW KONTRAK","RE-KONTRAK")</f>
        <v>RE-KONTRAK</v>
      </c>
      <c r="J723" s="16" t="n">
        <f aca="false" t="array" ref="J723:J723">IFERROR(INDEX(AC723:AE723,IF(COUNTA(AC723:AE723)=0,"",MAX((AC723:AE723&lt;&gt;"")*(COLUMN(AC723:AE723)-(COLUMN(AC723)))))-1),"")</f>
        <v>45658</v>
      </c>
      <c r="K723" s="16" t="n">
        <f aca="false" t="array" ref="K723:K723">IFERROR(INDEX(AC723:AE723,IF(COUNTA(AC723:AE723)=0,"",MAX((AC723:AE723&lt;&gt;"")*(COLUMN(AC723:AE723)-(COLUMN(AC723)-1))))-1),"")</f>
        <v>46022</v>
      </c>
      <c r="L723" s="17" t="str">
        <f aca="false" t="array" ref="L723:L723">IFERROR(INDEX(AC723:AE723,IF(COUNTA(AC723:AE723)=0,"",MAX((AC723:AE723&lt;&gt;"")*(COLUMN(AC723:AE723)-(COLUMN(AC723)-2))))-1),"")</f>
        <v>ARCHIVED</v>
      </c>
      <c r="M723" s="13" t="n">
        <f aca="true">K723-TODAY()</f>
        <v>-302</v>
      </c>
      <c r="N723" s="18" t="s">
        <v>36</v>
      </c>
      <c r="O723" s="13" t="s">
        <v>211</v>
      </c>
      <c r="P723" s="19" t="n">
        <v>5195401</v>
      </c>
      <c r="Q723" s="20" t="s">
        <v>3212</v>
      </c>
      <c r="R723" s="13" t="s">
        <v>39</v>
      </c>
      <c r="S723" s="14" t="n">
        <v>37051</v>
      </c>
      <c r="T723" s="13" t="s">
        <v>40</v>
      </c>
      <c r="U723" s="13" t="s">
        <v>3213</v>
      </c>
      <c r="V723" s="13" t="s">
        <v>42</v>
      </c>
      <c r="W723" s="13" t="s">
        <v>43</v>
      </c>
      <c r="X723" s="21" t="n">
        <v>81216007503</v>
      </c>
      <c r="Y723" s="22" t="str">
        <f aca="false">O723</f>
        <v>FG Store</v>
      </c>
      <c r="Z723" s="13" t="str">
        <f aca="false">IFERROR(__xludf.dummyfunction("if(BJ723="""","""",GOOGLETRANSLATE(BJ723,""auto"",""en""))"),"FG Store")</f>
        <v>FG Store</v>
      </c>
      <c r="AA723" s="23" t="str">
        <f aca="false">IF(C723="","", CHOOSE(MONTH(C723),"January","February","March","April","May","June","July","August","September","October","November","December")&amp;" "&amp;DAY(C723)&amp;MID("thstndrdth",MIN(9,2*RIGHT(DAY(C723))*(MOD(DAY(C723)-11,100)&gt;2)+1),2)&amp;","&amp;TEXT(C723," yyyy"))</f>
        <v>April 14th,2022</v>
      </c>
      <c r="AB723" s="15" t="str">
        <f aca="true">IF(S723="","",DATEDIF(S723,TODAY(),"Y")&amp;" Tahun, "&amp;DATEDIF(S723,TODAY(),"YM")&amp;" Bulan, "&amp;DATEDIF(S723,TODAY(),"MD")&amp;" Hari")</f>
        <v>25 Tahun, 4 Bulan, 20 Hari</v>
      </c>
      <c r="AC723" s="18" t="n">
        <v>45658</v>
      </c>
      <c r="AD723" s="18" t="n">
        <v>46022</v>
      </c>
      <c r="AE723" s="18" t="s">
        <v>44</v>
      </c>
    </row>
    <row r="724" customFormat="false" ht="15.75" hidden="false" customHeight="true" outlineLevel="0" collapsed="false">
      <c r="A724" s="12" t="n">
        <v>6062</v>
      </c>
      <c r="B724" s="13" t="s">
        <v>3214</v>
      </c>
      <c r="C724" s="14" t="n">
        <v>44665</v>
      </c>
      <c r="D724" s="13" t="s">
        <v>144</v>
      </c>
      <c r="E724" s="15" t="s">
        <v>47</v>
      </c>
      <c r="F724" s="15" t="str">
        <f aca="false">IFERROR(__xludf.dummyfunction("XLOOKUP(AJ724,IMPORTRANGE(""1XaInW9DU9nz21V0tYIfzFQ0He9kVQ_JF2mCXgZ3hqFA"",""REKAP ALL 2026 - Andika!G:G""),IMPORTRANGE(""1XaInW9DU9nz21V0tYIfzFQ0He9kVQ_JF2mCXgZ3hqFA"",""REKAP ALL 2026 - Andika!F:F""),"""",0)"),"22037461989")</f>
        <v>22037461989</v>
      </c>
      <c r="G724" s="13" t="s">
        <v>3215</v>
      </c>
      <c r="H724" s="13" t="s">
        <v>35</v>
      </c>
      <c r="I724" s="13" t="str">
        <f aca="false">IF(C724=J724,"NEW KONTRAK","RE-KONTRAK")</f>
        <v>RE-KONTRAK</v>
      </c>
      <c r="J724" s="16" t="n">
        <f aca="false" t="array" ref="J724:J724">IFERROR(INDEX(AC724:AE724,IF(COUNTA(AC724:AE724)=0,"",MAX((AC724:AE724&lt;&gt;"")*(COLUMN(AC724:AE724)-(COLUMN(AC724)))))-1),"")</f>
        <v>45658</v>
      </c>
      <c r="K724" s="16" t="n">
        <f aca="false" t="array" ref="K724:K724">IFERROR(INDEX(AC724:AE724,IF(COUNTA(AC724:AE724)=0,"",MAX((AC724:AE724&lt;&gt;"")*(COLUMN(AC724:AE724)-(COLUMN(AC724)-1))))-1),"")</f>
        <v>46022</v>
      </c>
      <c r="L724" s="17" t="str">
        <f aca="false" t="array" ref="L724:L724">IFERROR(INDEX(AC724:AE724,IF(COUNTA(AC724:AE724)=0,"",MAX((AC724:AE724&lt;&gt;"")*(COLUMN(AC724:AE724)-(COLUMN(AC724)-2))))-1),"")</f>
        <v>ARCHIVED</v>
      </c>
      <c r="M724" s="13" t="n">
        <f aca="true">K724-TODAY()</f>
        <v>-302</v>
      </c>
      <c r="N724" s="18" t="s">
        <v>36</v>
      </c>
      <c r="O724" s="13" t="s">
        <v>156</v>
      </c>
      <c r="P724" s="19" t="n">
        <v>5195401</v>
      </c>
      <c r="Q724" s="20" t="s">
        <v>3216</v>
      </c>
      <c r="R724" s="13" t="s">
        <v>65</v>
      </c>
      <c r="S724" s="14" t="n">
        <v>37139</v>
      </c>
      <c r="T724" s="13" t="s">
        <v>40</v>
      </c>
      <c r="U724" s="13" t="s">
        <v>3217</v>
      </c>
      <c r="V724" s="13" t="s">
        <v>42</v>
      </c>
      <c r="W724" s="13" t="s">
        <v>43</v>
      </c>
      <c r="X724" s="21" t="n">
        <v>85748134434</v>
      </c>
      <c r="Y724" s="22" t="str">
        <f aca="false">O724</f>
        <v>Emulsion</v>
      </c>
      <c r="Z724" s="13" t="str">
        <f aca="false">IFERROR(__xludf.dummyfunction("if(BJ724="""","""",GOOGLETRANSLATE(BJ724,""auto"",""en""))"),"Emulsion")</f>
        <v>Emulsion</v>
      </c>
      <c r="AA724" s="23" t="str">
        <f aca="false">IF(C724="","", CHOOSE(MONTH(C724),"January","February","March","April","May","June","July","August","September","October","November","December")&amp;" "&amp;DAY(C724)&amp;MID("thstndrdth",MIN(9,2*RIGHT(DAY(C724))*(MOD(DAY(C724)-11,100)&gt;2)+1),2)&amp;","&amp;TEXT(C724," yyyy"))</f>
        <v>April 14th,2022</v>
      </c>
      <c r="AB724" s="15" t="str">
        <f aca="true">IF(S724="","",DATEDIF(S724,TODAY(),"Y")&amp;" Tahun, "&amp;DATEDIF(S724,TODAY(),"YM")&amp;" Bulan, "&amp;DATEDIF(S724,TODAY(),"MD")&amp;" Hari")</f>
        <v>25 Tahun, 1 Bulan, 24 Hari</v>
      </c>
      <c r="AC724" s="18" t="n">
        <v>45658</v>
      </c>
      <c r="AD724" s="18" t="n">
        <v>46022</v>
      </c>
      <c r="AE724" s="18" t="s">
        <v>44</v>
      </c>
    </row>
    <row r="725" customFormat="false" ht="15.75" hidden="false" customHeight="true" outlineLevel="0" collapsed="false">
      <c r="A725" s="12" t="n">
        <v>6088</v>
      </c>
      <c r="B725" s="13" t="s">
        <v>3218</v>
      </c>
      <c r="C725" s="14" t="n">
        <v>45961</v>
      </c>
      <c r="D725" s="13" t="s">
        <v>613</v>
      </c>
      <c r="E725" s="15" t="s">
        <v>47</v>
      </c>
      <c r="F725" s="15" t="str">
        <f aca="false">IFERROR(__xludf.dummyfunction("XLOOKUP(AJ725,IMPORTRANGE(""1XaInW9DU9nz21V0tYIfzFQ0He9kVQ_JF2mCXgZ3hqFA"",""REKAP ALL 2026 - Andika!G:G""),IMPORTRANGE(""1XaInW9DU9nz21V0tYIfzFQ0He9kVQ_JF2mCXgZ3hqFA"",""REKAP ALL 2026 - Andika!F:F""),"""",0)"),"25157578292")</f>
        <v>25157578292</v>
      </c>
      <c r="G725" s="13" t="s">
        <v>3219</v>
      </c>
      <c r="H725" s="13" t="s">
        <v>35</v>
      </c>
      <c r="I725" s="13" t="str">
        <f aca="false">IF(C725=J725,"NEW KONTRAK","RE-KONTRAK")</f>
        <v>NEW KONTRAK</v>
      </c>
      <c r="J725" s="16" t="n">
        <f aca="false" t="array" ref="J725:J725">IFERROR(INDEX(AC725:AE725,IF(COUNTA(AC725:AE725)=0,"",MAX((AC725:AE725&lt;&gt;"")*(COLUMN(AC725:AE725)-(COLUMN(AC725)))))-1),"")</f>
        <v>45961</v>
      </c>
      <c r="K725" s="16" t="n">
        <f aca="false" t="array" ref="K725:K725">IFERROR(INDEX(AC725:AE725,IF(COUNTA(AC725:AE725)=0,"",MAX((AC725:AE725&lt;&gt;"")*(COLUMN(AC725:AE725)-(COLUMN(AC725)-1))))-1),"")</f>
        <v>46037</v>
      </c>
      <c r="L725" s="17" t="str">
        <f aca="false" t="array" ref="L725:L725">IFERROR(INDEX(AC725:AE725,IF(COUNTA(AC725:AE725)=0,"",MAX((AC725:AE725&lt;&gt;"")*(COLUMN(AC725:AE725)-(COLUMN(AC725)-2))))-1),"")</f>
        <v>ARCHIVED</v>
      </c>
      <c r="M725" s="13" t="n">
        <f aca="true">K725-TODAY()</f>
        <v>-287</v>
      </c>
      <c r="N725" s="18" t="s">
        <v>615</v>
      </c>
      <c r="O725" s="13" t="s">
        <v>58</v>
      </c>
      <c r="P725" s="19" t="n">
        <v>5176101</v>
      </c>
      <c r="Q725" s="20" t="s">
        <v>3220</v>
      </c>
      <c r="R725" s="13" t="s">
        <v>232</v>
      </c>
      <c r="S725" s="14" t="n">
        <v>37619</v>
      </c>
      <c r="T725" s="13" t="s">
        <v>40</v>
      </c>
      <c r="U725" s="13" t="s">
        <v>3221</v>
      </c>
      <c r="V725" s="13" t="s">
        <v>42</v>
      </c>
      <c r="W725" s="13" t="s">
        <v>43</v>
      </c>
      <c r="X725" s="21" t="n">
        <v>81245681103</v>
      </c>
      <c r="Y725" s="22" t="str">
        <f aca="false">O725</f>
        <v>Produksi</v>
      </c>
      <c r="Z725" s="13" t="str">
        <f aca="false">IFERROR(__xludf.dummyfunction("if(BJ725="""","""",GOOGLETRANSLATE(BJ725,""auto"",""en""))"),"Production")</f>
        <v>Production</v>
      </c>
      <c r="AA725" s="23" t="str">
        <f aca="false">IF(C725="","", CHOOSE(MONTH(C725),"January","February","March","April","May","June","July","August","September","October","November","December")&amp;" "&amp;DAY(C725)&amp;MID("thstndrdth",MIN(9,2*RIGHT(DAY(C725))*(MOD(DAY(C725)-11,100)&gt;2)+1),2)&amp;","&amp;TEXT(C725," yyyy"))</f>
        <v>October 31st,2025</v>
      </c>
      <c r="AB725" s="15" t="str">
        <f aca="true">IF(S725="","",DATEDIF(S725,TODAY(),"Y")&amp;" Tahun, "&amp;DATEDIF(S725,TODAY(),"YM")&amp;" Bulan, "&amp;DATEDIF(S725,TODAY(),"MD")&amp;" Hari")</f>
        <v>23 Tahun, 10 Bulan, 0 Hari</v>
      </c>
      <c r="AC725" s="53" t="n">
        <v>45961</v>
      </c>
      <c r="AD725" s="18" t="n">
        <v>46037</v>
      </c>
      <c r="AE725" s="13" t="s">
        <v>44</v>
      </c>
    </row>
    <row r="726" customFormat="false" ht="15.75" hidden="false" customHeight="true" outlineLevel="0" collapsed="false">
      <c r="A726" s="12" t="n">
        <v>6089</v>
      </c>
      <c r="B726" s="13" t="s">
        <v>3222</v>
      </c>
      <c r="C726" s="14" t="n">
        <v>44667</v>
      </c>
      <c r="D726" s="13" t="s">
        <v>613</v>
      </c>
      <c r="E726" s="15" t="s">
        <v>33</v>
      </c>
      <c r="F726" s="24" t="s">
        <v>3223</v>
      </c>
      <c r="G726" s="13" t="s">
        <v>3224</v>
      </c>
      <c r="H726" s="13" t="s">
        <v>35</v>
      </c>
      <c r="I726" s="13" t="str">
        <f aca="false">IF(C726=J726,"NEW KONTRAK","RE-KONTRAK")</f>
        <v>RE-KONTRAK</v>
      </c>
      <c r="J726" s="16" t="n">
        <f aca="false" t="array" ref="J726:J726">IFERROR(INDEX(AC726:AE726,IF(COUNTA(AC726:AE726)=0,"",MAX((AC726:AE726&lt;&gt;"")*(COLUMN(AC726:AE726)-(COLUMN(AC726)))))-1),"")</f>
        <v>45704</v>
      </c>
      <c r="K726" s="16" t="n">
        <f aca="false" t="array" ref="K726:K726">IFERROR(INDEX(AC726:AE726,IF(COUNTA(AC726:AE726)=0,"",MAX((AC726:AE726&lt;&gt;"")*(COLUMN(AC726:AE726)-(COLUMN(AC726)-1))))-1),"")</f>
        <v>45884</v>
      </c>
      <c r="L726" s="17" t="str">
        <f aca="false" t="array" ref="L726:L726">IFERROR(INDEX(AC726:AE726,IF(COUNTA(AC726:AE726)=0,"",MAX((AC726:AE726&lt;&gt;"")*(COLUMN(AC726:AE726)-(COLUMN(AC726)-2))))-1),"")</f>
        <v>ARCHIVED</v>
      </c>
      <c r="M726" s="13" t="n">
        <f aca="true">K726-TODAY()</f>
        <v>-440</v>
      </c>
      <c r="N726" s="18" t="s">
        <v>615</v>
      </c>
      <c r="O726" s="13" t="s">
        <v>58</v>
      </c>
      <c r="P726" s="19" t="n">
        <v>4856026</v>
      </c>
      <c r="Q726" s="20" t="s">
        <v>3225</v>
      </c>
      <c r="R726" s="13" t="s">
        <v>232</v>
      </c>
      <c r="S726" s="14" t="n">
        <v>36948</v>
      </c>
      <c r="T726" s="13" t="s">
        <v>40</v>
      </c>
      <c r="U726" s="13" t="s">
        <v>3094</v>
      </c>
      <c r="V726" s="13" t="s">
        <v>42</v>
      </c>
      <c r="W726" s="13" t="s">
        <v>43</v>
      </c>
      <c r="X726" s="21" t="n">
        <v>85706062394</v>
      </c>
      <c r="Y726" s="22" t="str">
        <f aca="false">O726</f>
        <v>Produksi</v>
      </c>
      <c r="Z726" s="13" t="str">
        <f aca="false">IFERROR(__xludf.dummyfunction("if(BJ726="""","""",GOOGLETRANSLATE(BJ726,""auto"",""en""))"),"Production")</f>
        <v>Production</v>
      </c>
      <c r="AA726" s="23" t="str">
        <f aca="false">IF(C726="","", CHOOSE(MONTH(C726),"January","February","March","April","May","June","July","August","September","October","November","December")&amp;" "&amp;DAY(C726)&amp;MID("thstndrdth",MIN(9,2*RIGHT(DAY(C726))*(MOD(DAY(C726)-11,100)&gt;2)+1),2)&amp;","&amp;TEXT(C726," yyyy"))</f>
        <v>April 16th,2022</v>
      </c>
      <c r="AB726" s="15" t="str">
        <f aca="true">IF(S726="","",DATEDIF(S726,TODAY(),"Y")&amp;" Tahun, "&amp;DATEDIF(S726,TODAY(),"YM")&amp;" Bulan, "&amp;DATEDIF(S726,TODAY(),"MD")&amp;" Hari")</f>
        <v>25 Tahun, 8 Bulan, 3 Hari</v>
      </c>
      <c r="AC726" s="18" t="n">
        <v>45704</v>
      </c>
      <c r="AD726" s="18" t="n">
        <v>45884</v>
      </c>
      <c r="AE726" s="18" t="s">
        <v>44</v>
      </c>
    </row>
    <row r="727" customFormat="false" ht="15.75" hidden="false" customHeight="true" outlineLevel="0" collapsed="false">
      <c r="A727" s="12" t="n">
        <v>6093</v>
      </c>
      <c r="B727" s="13" t="s">
        <v>3226</v>
      </c>
      <c r="C727" s="14" t="n">
        <v>44672</v>
      </c>
      <c r="D727" s="13" t="s">
        <v>144</v>
      </c>
      <c r="E727" s="15" t="s">
        <v>47</v>
      </c>
      <c r="F727" s="15" t="str">
        <f aca="false">IFERROR(__xludf.dummyfunction("XLOOKUP(AJ727,IMPORTRANGE(""1XaInW9DU9nz21V0tYIfzFQ0He9kVQ_JF2mCXgZ3hqFA"",""REKAP ALL 2026 - Andika!G:G""),IMPORTRANGE(""1XaInW9DU9nz21V0tYIfzFQ0He9kVQ_JF2mCXgZ3hqFA"",""REKAP ALL 2026 - Andika!F:F""),"""",0)"),"22046706606")</f>
        <v>22046706606</v>
      </c>
      <c r="G727" s="13" t="s">
        <v>3227</v>
      </c>
      <c r="H727" s="13" t="s">
        <v>35</v>
      </c>
      <c r="I727" s="13" t="str">
        <f aca="false">IF(C727=J727,"NEW KONTRAK","RE-KONTRAK")</f>
        <v>RE-KONTRAK</v>
      </c>
      <c r="J727" s="16" t="n">
        <f aca="false" t="array" ref="J727:J727">IFERROR(INDEX(AC727:AE727,IF(COUNTA(AC727:AE727)=0,"",MAX((AC727:AE727&lt;&gt;"")*(COLUMN(AC727:AE727)-(COLUMN(AC727)))))-1),"")</f>
        <v>45658</v>
      </c>
      <c r="K727" s="16" t="n">
        <f aca="false" t="array" ref="K727:K727">IFERROR(INDEX(AC727:AE727,IF(COUNTA(AC727:AE727)=0,"",MAX((AC727:AE727&lt;&gt;"")*(COLUMN(AC727:AE727)-(COLUMN(AC727)-1))))-1),"")</f>
        <v>46022</v>
      </c>
      <c r="L727" s="17" t="str">
        <f aca="false" t="array" ref="L727:L727">IFERROR(INDEX(AC727:AE727,IF(COUNTA(AC727:AE727)=0,"",MAX((AC727:AE727&lt;&gt;"")*(COLUMN(AC727:AE727)-(COLUMN(AC727)-2))))-1),"")</f>
        <v>ARCHIVED</v>
      </c>
      <c r="M727" s="13" t="n">
        <f aca="true">K727-TODAY()</f>
        <v>-302</v>
      </c>
      <c r="N727" s="18" t="s">
        <v>36</v>
      </c>
      <c r="O727" s="13" t="s">
        <v>156</v>
      </c>
      <c r="P727" s="19" t="n">
        <v>5195401</v>
      </c>
      <c r="Q727" s="20" t="s">
        <v>3228</v>
      </c>
      <c r="R727" s="13" t="s">
        <v>232</v>
      </c>
      <c r="S727" s="14" t="n">
        <v>36009</v>
      </c>
      <c r="T727" s="13" t="s">
        <v>40</v>
      </c>
      <c r="U727" s="13" t="s">
        <v>3229</v>
      </c>
      <c r="V727" s="13" t="s">
        <v>42</v>
      </c>
      <c r="W727" s="13" t="s">
        <v>43</v>
      </c>
      <c r="X727" s="21" t="n">
        <v>85859384594</v>
      </c>
      <c r="Y727" s="22" t="str">
        <f aca="false">O727</f>
        <v>Emulsion</v>
      </c>
      <c r="Z727" s="13" t="str">
        <f aca="false">IFERROR(__xludf.dummyfunction("if(BJ727="""","""",GOOGLETRANSLATE(BJ727,""auto"",""en""))"),"Emulsion")</f>
        <v>Emulsion</v>
      </c>
      <c r="AA727" s="23" t="str">
        <f aca="false">IF(C727="","", CHOOSE(MONTH(C727),"January","February","March","April","May","June","July","August","September","October","November","December")&amp;" "&amp;DAY(C727)&amp;MID("thstndrdth",MIN(9,2*RIGHT(DAY(C727))*(MOD(DAY(C727)-11,100)&gt;2)+1),2)&amp;","&amp;TEXT(C727," yyyy"))</f>
        <v>April 21st,2022</v>
      </c>
      <c r="AB727" s="15" t="str">
        <f aca="true">IF(S727="","",DATEDIF(S727,TODAY(),"Y")&amp;" Tahun, "&amp;DATEDIF(S727,TODAY(),"YM")&amp;" Bulan, "&amp;DATEDIF(S727,TODAY(),"MD")&amp;" Hari")</f>
        <v>28 Tahun, 2 Bulan, 27 Hari</v>
      </c>
      <c r="AC727" s="18" t="n">
        <v>45658</v>
      </c>
      <c r="AD727" s="18" t="n">
        <v>46022</v>
      </c>
      <c r="AE727" s="18" t="s">
        <v>44</v>
      </c>
    </row>
    <row r="728" customFormat="false" ht="15.75" hidden="false" customHeight="true" outlineLevel="0" collapsed="false">
      <c r="A728" s="12" t="n">
        <v>6111</v>
      </c>
      <c r="B728" s="13" t="s">
        <v>3230</v>
      </c>
      <c r="C728" s="14" t="n">
        <v>44658</v>
      </c>
      <c r="D728" s="13" t="s">
        <v>144</v>
      </c>
      <c r="E728" s="15" t="s">
        <v>47</v>
      </c>
      <c r="F728" s="15" t="str">
        <f aca="false">IFERROR(__xludf.dummyfunction("XLOOKUP(AJ728,IMPORTRANGE(""1XaInW9DU9nz21V0tYIfzFQ0He9kVQ_JF2mCXgZ3hqFA"",""REKAP ALL 2026 - Andika!G:G""),IMPORTRANGE(""1XaInW9DU9nz21V0tYIfzFQ0He9kVQ_JF2mCXgZ3hqFA"",""REKAP ALL 2026 - Andika!F:F""),"""",0)"),"22046706622")</f>
        <v>22046706622</v>
      </c>
      <c r="G728" s="13" t="s">
        <v>3231</v>
      </c>
      <c r="H728" s="13" t="s">
        <v>35</v>
      </c>
      <c r="I728" s="13" t="str">
        <f aca="false">IF(C728=J728,"NEW KONTRAK","RE-KONTRAK")</f>
        <v>RE-KONTRAK</v>
      </c>
      <c r="J728" s="16" t="n">
        <f aca="false" t="array" ref="J728:J728">IFERROR(INDEX(AC728:AE728,IF(COUNTA(AC728:AE728)=0,"",MAX((AC728:AE728&lt;&gt;"")*(COLUMN(AC728:AE728)-(COLUMN(AC728)))))-1),"")</f>
        <v>45658</v>
      </c>
      <c r="K728" s="16" t="n">
        <f aca="false" t="array" ref="K728:K728">IFERROR(INDEX(AC728:AE728,IF(COUNTA(AC728:AE728)=0,"",MAX((AC728:AE728&lt;&gt;"")*(COLUMN(AC728:AE728)-(COLUMN(AC728)-1))))-1),"")</f>
        <v>46022</v>
      </c>
      <c r="L728" s="17" t="str">
        <f aca="false" t="array" ref="L728:L728">IFERROR(INDEX(AC728:AE728,IF(COUNTA(AC728:AE728)=0,"",MAX((AC728:AE728&lt;&gt;"")*(COLUMN(AC728:AE728)-(COLUMN(AC728)-2))))-1),"")</f>
        <v>ARCHIVED</v>
      </c>
      <c r="M728" s="13" t="n">
        <f aca="true">K728-TODAY()</f>
        <v>-302</v>
      </c>
      <c r="N728" s="18" t="s">
        <v>36</v>
      </c>
      <c r="O728" s="13" t="s">
        <v>146</v>
      </c>
      <c r="P728" s="19" t="n">
        <v>5195401</v>
      </c>
      <c r="Q728" s="20" t="s">
        <v>3232</v>
      </c>
      <c r="R728" s="13" t="s">
        <v>65</v>
      </c>
      <c r="S728" s="14" t="n">
        <v>37045</v>
      </c>
      <c r="T728" s="13" t="s">
        <v>40</v>
      </c>
      <c r="U728" s="13" t="s">
        <v>3233</v>
      </c>
      <c r="V728" s="13" t="s">
        <v>42</v>
      </c>
      <c r="W728" s="13" t="s">
        <v>43</v>
      </c>
      <c r="X728" s="21" t="n">
        <v>81249692124</v>
      </c>
      <c r="Y728" s="22" t="str">
        <f aca="false">O728</f>
        <v>Enamel</v>
      </c>
      <c r="Z728" s="13" t="str">
        <f aca="false">IFERROR(__xludf.dummyfunction("if(BJ728="""","""",GOOGLETRANSLATE(BJ728,""auto"",""en""))"),"Enamel")</f>
        <v>Enamel</v>
      </c>
      <c r="AA728" s="23" t="str">
        <f aca="false">IF(C728="","", CHOOSE(MONTH(C728),"January","February","March","April","May","June","July","August","September","October","November","December")&amp;" "&amp;DAY(C728)&amp;MID("thstndrdth",MIN(9,2*RIGHT(DAY(C728))*(MOD(DAY(C728)-11,100)&gt;2)+1),2)&amp;","&amp;TEXT(C728," yyyy"))</f>
        <v>April 7th,2022</v>
      </c>
      <c r="AB728" s="15" t="str">
        <f aca="true">IF(S728="","",DATEDIF(S728,TODAY(),"Y")&amp;" Tahun, "&amp;DATEDIF(S728,TODAY(),"YM")&amp;" Bulan, "&amp;DATEDIF(S728,TODAY(),"MD")&amp;" Hari")</f>
        <v>25 Tahun, 4 Bulan, 26 Hari</v>
      </c>
      <c r="AC728" s="18" t="n">
        <v>45658</v>
      </c>
      <c r="AD728" s="18" t="n">
        <v>46022</v>
      </c>
      <c r="AE728" s="18" t="s">
        <v>44</v>
      </c>
    </row>
    <row r="729" customFormat="false" ht="15.75" hidden="false" customHeight="true" outlineLevel="0" collapsed="false">
      <c r="A729" s="12" t="n">
        <v>6154</v>
      </c>
      <c r="B729" s="13" t="s">
        <v>3234</v>
      </c>
      <c r="C729" s="14" t="n">
        <v>44681</v>
      </c>
      <c r="D729" s="13" t="s">
        <v>613</v>
      </c>
      <c r="E729" s="15" t="s">
        <v>47</v>
      </c>
      <c r="F729" s="15" t="str">
        <f aca="false">IFERROR(__xludf.dummyfunction("XLOOKUP(AJ729,IMPORTRANGE(""1XaInW9DU9nz21V0tYIfzFQ0He9kVQ_JF2mCXgZ3hqFA"",""REKAP ALL 2026 - Andika!G:G""),IMPORTRANGE(""1XaInW9DU9nz21V0tYIfzFQ0He9kVQ_JF2mCXgZ3hqFA"",""REKAP ALL 2026 - Andika!F:F""),"""",0)"),"26005754788")</f>
        <v>26005754788</v>
      </c>
      <c r="G729" s="13" t="s">
        <v>3235</v>
      </c>
      <c r="H729" s="13" t="s">
        <v>35</v>
      </c>
      <c r="I729" s="13" t="str">
        <f aca="false">IF(C729=J729,"NEW KONTRAK","RE-KONTRAK")</f>
        <v>RE-KONTRAK</v>
      </c>
      <c r="J729" s="16" t="n">
        <f aca="false" t="array" ref="J729:J729">IFERROR(INDEX(AC729:AE729,IF(COUNTA(AC729:AE729)=0,"",MAX((AC729:AE729&lt;&gt;"")*(COLUMN(AC729:AE729)-(COLUMN(AC729)))))-1),"")</f>
        <v>45885</v>
      </c>
      <c r="K729" s="16" t="n">
        <f aca="false" t="array" ref="K729:K729">IFERROR(INDEX(AC729:AE729,IF(COUNTA(AC729:AE729)=0,"",MAX((AC729:AE729&lt;&gt;"")*(COLUMN(AC729:AE729)-(COLUMN(AC729)-1))))-1),"")</f>
        <v>46068</v>
      </c>
      <c r="L729" s="17" t="str">
        <f aca="false" t="array" ref="L729:L729">IFERROR(INDEX(AC729:AE729,IF(COUNTA(AC729:AE729)=0,"",MAX((AC729:AE729&lt;&gt;"")*(COLUMN(AC729:AE729)-(COLUMN(AC729)-2))))-1),"")</f>
        <v>ARCHIVED</v>
      </c>
      <c r="M729" s="13" t="n">
        <f aca="true">K729-TODAY()</f>
        <v>-256</v>
      </c>
      <c r="N729" s="18" t="s">
        <v>615</v>
      </c>
      <c r="O729" s="13" t="s">
        <v>58</v>
      </c>
      <c r="P729" s="19" t="n">
        <v>5176101</v>
      </c>
      <c r="Q729" s="20" t="s">
        <v>3236</v>
      </c>
      <c r="R729" s="13" t="s">
        <v>83</v>
      </c>
      <c r="S729" s="14" t="n">
        <v>31975</v>
      </c>
      <c r="T729" s="13" t="s">
        <v>40</v>
      </c>
      <c r="U729" s="13" t="s">
        <v>3237</v>
      </c>
      <c r="V729" s="13" t="s">
        <v>42</v>
      </c>
      <c r="W729" s="13" t="s">
        <v>54</v>
      </c>
      <c r="X729" s="21" t="n">
        <v>82139079846</v>
      </c>
      <c r="Y729" s="22" t="str">
        <f aca="false">O729</f>
        <v>Produksi</v>
      </c>
      <c r="Z729" s="13" t="str">
        <f aca="false">IFERROR(__xludf.dummyfunction("if(BJ729="""","""",GOOGLETRANSLATE(BJ729,""auto"",""en""))"),"Production")</f>
        <v>Production</v>
      </c>
      <c r="AA729" s="23" t="str">
        <f aca="false">IF(C729="","", CHOOSE(MONTH(C729),"January","February","March","April","May","June","July","August","September","October","November","December")&amp;" "&amp;DAY(C729)&amp;MID("thstndrdth",MIN(9,2*RIGHT(DAY(C729))*(MOD(DAY(C729)-11,100)&gt;2)+1),2)&amp;","&amp;TEXT(C729," yyyy"))</f>
        <v>April 30th,2022</v>
      </c>
      <c r="AB729" s="15" t="str">
        <f aca="true">IF(S729="","",DATEDIF(S729,TODAY(),"Y")&amp;" Tahun, "&amp;DATEDIF(S729,TODAY(),"YM")&amp;" Bulan, "&amp;DATEDIF(S729,TODAY(),"MD")&amp;" Hari")</f>
        <v>39 Tahun, 3 Bulan, 12 Hari</v>
      </c>
      <c r="AC729" s="18" t="n">
        <v>45885</v>
      </c>
      <c r="AD729" s="18" t="n">
        <v>46068</v>
      </c>
      <c r="AE729" s="18" t="s">
        <v>44</v>
      </c>
    </row>
    <row r="730" customFormat="false" ht="15.75" hidden="false" customHeight="true" outlineLevel="0" collapsed="false">
      <c r="A730" s="12" t="n">
        <v>6155</v>
      </c>
      <c r="B730" s="13" t="s">
        <v>3238</v>
      </c>
      <c r="C730" s="14" t="n">
        <v>44681</v>
      </c>
      <c r="D730" s="13" t="s">
        <v>613</v>
      </c>
      <c r="E730" s="15" t="s">
        <v>47</v>
      </c>
      <c r="F730" s="15" t="str">
        <f aca="false">IFERROR(__xludf.dummyfunction("XLOOKUP(AJ730,IMPORTRANGE(""1XaInW9DU9nz21V0tYIfzFQ0He9kVQ_JF2mCXgZ3hqFA"",""REKAP ALL 2026 - Andika!G:G""),IMPORTRANGE(""1XaInW9DU9nz21V0tYIfzFQ0He9kVQ_JF2mCXgZ3hqFA"",""REKAP ALL 2026 - Andika!F:F""),"""",0)"),"19072654924")</f>
        <v>19072654924</v>
      </c>
      <c r="G730" s="13" t="s">
        <v>3239</v>
      </c>
      <c r="H730" s="13" t="s">
        <v>35</v>
      </c>
      <c r="I730" s="13" t="str">
        <f aca="false">IF(C730=J730,"NEW KONTRAK","RE-KONTRAK")</f>
        <v>RE-KONTRAK</v>
      </c>
      <c r="J730" s="16" t="n">
        <f aca="false" t="array" ref="J730:J730">IFERROR(INDEX(AC730:AE730,IF(COUNTA(AC730:AE730)=0,"",MAX((AC730:AE730&lt;&gt;"")*(COLUMN(AC730:AE730)-(COLUMN(AC730)))))-1),"")</f>
        <v>45885</v>
      </c>
      <c r="K730" s="16" t="n">
        <f aca="false" t="array" ref="K730:K730">IFERROR(INDEX(AC730:AE730,IF(COUNTA(AC730:AE730)=0,"",MAX((AC730:AE730&lt;&gt;"")*(COLUMN(AC730:AE730)-(COLUMN(AC730)-1))))-1),"")</f>
        <v>46068</v>
      </c>
      <c r="L730" s="17" t="str">
        <f aca="false" t="array" ref="L730:L730">IFERROR(INDEX(AC730:AE730,IF(COUNTA(AC730:AE730)=0,"",MAX((AC730:AE730&lt;&gt;"")*(COLUMN(AC730:AE730)-(COLUMN(AC730)-2))))-1),"")</f>
        <v>ARCHIVED</v>
      </c>
      <c r="M730" s="13" t="n">
        <f aca="true">K730-TODAY()</f>
        <v>-256</v>
      </c>
      <c r="N730" s="18" t="s">
        <v>615</v>
      </c>
      <c r="O730" s="13" t="s">
        <v>58</v>
      </c>
      <c r="P730" s="19" t="n">
        <v>5176101</v>
      </c>
      <c r="Q730" s="20" t="s">
        <v>3240</v>
      </c>
      <c r="R730" s="13" t="s">
        <v>232</v>
      </c>
      <c r="S730" s="14" t="n">
        <v>36904</v>
      </c>
      <c r="T730" s="13" t="s">
        <v>40</v>
      </c>
      <c r="U730" s="13" t="s">
        <v>3241</v>
      </c>
      <c r="V730" s="13" t="s">
        <v>42</v>
      </c>
      <c r="W730" s="13" t="s">
        <v>43</v>
      </c>
      <c r="X730" s="21" t="n">
        <v>82141061831</v>
      </c>
      <c r="Y730" s="22" t="str">
        <f aca="false">O730</f>
        <v>Produksi</v>
      </c>
      <c r="Z730" s="13" t="str">
        <f aca="false">IFERROR(__xludf.dummyfunction("if(BJ730="""","""",GOOGLETRANSLATE(BJ730,""auto"",""en""))"),"Production")</f>
        <v>Production</v>
      </c>
      <c r="AA730" s="23" t="str">
        <f aca="false">IF(C730="","", CHOOSE(MONTH(C730),"January","February","March","April","May","June","July","August","September","October","November","December")&amp;" "&amp;DAY(C730)&amp;MID("thstndrdth",MIN(9,2*RIGHT(DAY(C730))*(MOD(DAY(C730)-11,100)&gt;2)+1),2)&amp;","&amp;TEXT(C730," yyyy"))</f>
        <v>April 30th,2022</v>
      </c>
      <c r="AB730" s="15" t="str">
        <f aca="true">IF(S730="","",DATEDIF(S730,TODAY(),"Y")&amp;" Tahun, "&amp;DATEDIF(S730,TODAY(),"YM")&amp;" Bulan, "&amp;DATEDIF(S730,TODAY(),"MD")&amp;" Hari")</f>
        <v>25 Tahun, 9 Bulan, 16 Hari</v>
      </c>
      <c r="AC730" s="18" t="n">
        <v>45885</v>
      </c>
      <c r="AD730" s="18" t="n">
        <v>46068</v>
      </c>
      <c r="AE730" s="18" t="s">
        <v>44</v>
      </c>
    </row>
    <row r="731" customFormat="false" ht="15.75" hidden="false" customHeight="true" outlineLevel="0" collapsed="false">
      <c r="A731" s="12" t="n">
        <v>6410</v>
      </c>
      <c r="B731" s="13" t="s">
        <v>3242</v>
      </c>
      <c r="C731" s="14" t="n">
        <v>44151</v>
      </c>
      <c r="D731" s="13" t="s">
        <v>1066</v>
      </c>
      <c r="E731" s="15" t="s">
        <v>47</v>
      </c>
      <c r="F731" s="15" t="str">
        <f aca="false">IFERROR(__xludf.dummyfunction("XLOOKUP(AJ731,IMPORTRANGE(""1XaInW9DU9nz21V0tYIfzFQ0He9kVQ_JF2mCXgZ3hqFA"",""REKAP ALL 2026 - Andika!G:G""),IMPORTRANGE(""1XaInW9DU9nz21V0tYIfzFQ0He9kVQ_JF2mCXgZ3hqFA"",""REKAP ALL 2026 - Andika!F:F""),"""",0)"),"21003176993")</f>
        <v>21003176993</v>
      </c>
      <c r="G731" s="13" t="s">
        <v>3243</v>
      </c>
      <c r="H731" s="13" t="s">
        <v>35</v>
      </c>
      <c r="I731" s="13" t="str">
        <f aca="false">IF(C731=J731,"NEW KONTRAK","RE-KONTRAK")</f>
        <v>RE-KONTRAK</v>
      </c>
      <c r="J731" s="16" t="n">
        <f aca="false" t="array" ref="J731:J731">IFERROR(INDEX(AC731:AE731,IF(COUNTA(AC731:AE731)=0,"",MAX((AC731:AE731&lt;&gt;"")*(COLUMN(AC731:AE731)-(COLUMN(AC731)))))-1),"")</f>
        <v>45658</v>
      </c>
      <c r="K731" s="16" t="n">
        <f aca="false" t="array" ref="K731:K731">IFERROR(INDEX(AC731:AE731,IF(COUNTA(AC731:AE731)=0,"",MAX((AC731:AE731&lt;&gt;"")*(COLUMN(AC731:AE731)-(COLUMN(AC731)-1))))-1),"")</f>
        <v>46022</v>
      </c>
      <c r="L731" s="17" t="str">
        <f aca="false" t="array" ref="L731:L731">IFERROR(INDEX(AC731:AE731,IF(COUNTA(AC731:AE731)=0,"",MAX((AC731:AE731&lt;&gt;"")*(COLUMN(AC731:AE731)-(COLUMN(AC731)-2))))-1),"")</f>
        <v>ARCHIVED</v>
      </c>
      <c r="M731" s="13" t="n">
        <f aca="true">K731-TODAY()</f>
        <v>-302</v>
      </c>
      <c r="N731" s="18" t="s">
        <v>615</v>
      </c>
      <c r="O731" s="13" t="s">
        <v>1068</v>
      </c>
      <c r="P731" s="19" t="n">
        <v>5176101</v>
      </c>
      <c r="Q731" s="20" t="s">
        <v>3244</v>
      </c>
      <c r="R731" s="13" t="s">
        <v>232</v>
      </c>
      <c r="S731" s="14" t="n">
        <v>37253</v>
      </c>
      <c r="T731" s="13" t="s">
        <v>108</v>
      </c>
      <c r="U731" s="13" t="s">
        <v>3245</v>
      </c>
      <c r="V731" s="13" t="s">
        <v>42</v>
      </c>
      <c r="W731" s="13" t="s">
        <v>43</v>
      </c>
      <c r="X731" s="21" t="n">
        <v>85854344514</v>
      </c>
      <c r="Y731" s="22" t="str">
        <f aca="false">O731</f>
        <v>Production Packer</v>
      </c>
      <c r="Z731" s="13" t="str">
        <f aca="false">IFERROR(__xludf.dummyfunction("if(BJ731="""","""",GOOGLETRANSLATE(BJ731,""auto"",""en""))"),"Production Packer")</f>
        <v>Production Packer</v>
      </c>
      <c r="AA731" s="23" t="str">
        <f aca="false">IF(C731="","", CHOOSE(MONTH(C731),"January","February","March","April","May","June","July","August","September","October","November","December")&amp;" "&amp;DAY(C731)&amp;MID("thstndrdth",MIN(9,2*RIGHT(DAY(C731))*(MOD(DAY(C731)-11,100)&gt;2)+1),2)&amp;","&amp;TEXT(C731," yyyy"))</f>
        <v>November 16th,2020</v>
      </c>
      <c r="AB731" s="15" t="str">
        <f aca="true">IF(S731="","",DATEDIF(S731,TODAY(),"Y")&amp;" Tahun, "&amp;DATEDIF(S731,TODAY(),"YM")&amp;" Bulan, "&amp;DATEDIF(S731,TODAY(),"MD")&amp;" Hari")</f>
        <v>24 Tahun, 10 Bulan, 1 Hari</v>
      </c>
      <c r="AC731" s="18" t="n">
        <v>45658</v>
      </c>
      <c r="AD731" s="18" t="n">
        <v>46022</v>
      </c>
      <c r="AE731" s="18" t="s">
        <v>44</v>
      </c>
    </row>
    <row r="732" customFormat="false" ht="15.75" hidden="false" customHeight="true" outlineLevel="0" collapsed="false">
      <c r="A732" s="12" t="n">
        <v>15825</v>
      </c>
      <c r="B732" s="13" t="s">
        <v>3246</v>
      </c>
      <c r="C732" s="14" t="n">
        <v>45427</v>
      </c>
      <c r="D732" s="13" t="s">
        <v>2033</v>
      </c>
      <c r="E732" s="15" t="s">
        <v>47</v>
      </c>
      <c r="F732" s="15" t="str">
        <f aca="false">IFERROR(__xludf.dummyfunction("XLOOKUP(AJ732,IMPORTRANGE(""1XaInW9DU9nz21V0tYIfzFQ0He9kVQ_JF2mCXgZ3hqFA"",""REKAP ALL 2026 - Andika!G:G""),IMPORTRANGE(""1XaInW9DU9nz21V0tYIfzFQ0He9kVQ_JF2mCXgZ3hqFA"",""REKAP ALL 2026 - Andika!F:F""),"""",0)"),"24091263079")</f>
        <v>24091263079</v>
      </c>
      <c r="G732" s="15" t="s">
        <v>3247</v>
      </c>
      <c r="H732" s="13" t="s">
        <v>2035</v>
      </c>
      <c r="I732" s="13" t="str">
        <f aca="false">IF(C732=J732,"NEW KONTRAK","RE-KONTRAK")</f>
        <v>RE-KONTRAK</v>
      </c>
      <c r="J732" s="16" t="n">
        <f aca="false" t="array" ref="J732:J732">IFERROR(INDEX(AC732:AE732,IF(COUNTA(AC732:AE732)=0,"",MAX((AC732:AE732&lt;&gt;"")*(COLUMN(AC732:AE732)-(COLUMN(AC732)))))-1),"")</f>
        <v>45744</v>
      </c>
      <c r="K732" s="16" t="n">
        <f aca="false" t="array" ref="K732:K732">IFERROR(INDEX(AC732:AE732,IF(COUNTA(AC732:AE732)=0,"",MAX((AC732:AE732&lt;&gt;"")*(COLUMN(AC732:AE732)-(COLUMN(AC732)-1))))-1),"")</f>
        <v>45915</v>
      </c>
      <c r="L732" s="17" t="str">
        <f aca="false" t="array" ref="L732:L732">IFERROR(INDEX(AC732:AE732,IF(COUNTA(AC732:AE732)=0,"",MAX((AC732:AE732&lt;&gt;"")*(COLUMN(AC732:AE732)-(COLUMN(AC732)-2))))-1),"")</f>
        <v>ARCHIVED</v>
      </c>
      <c r="M732" s="13" t="n">
        <f aca="true">K732-TODAY()</f>
        <v>-409</v>
      </c>
      <c r="N732" s="18" t="s">
        <v>3248</v>
      </c>
      <c r="O732" s="13" t="s">
        <v>3249</v>
      </c>
      <c r="P732" s="19" t="n">
        <v>4035000</v>
      </c>
      <c r="Q732" s="20" t="s">
        <v>3250</v>
      </c>
      <c r="R732" s="13" t="s">
        <v>3251</v>
      </c>
      <c r="S732" s="14" t="n">
        <v>32406</v>
      </c>
      <c r="T732" s="13" t="s">
        <v>40</v>
      </c>
      <c r="U732" s="13" t="s">
        <v>3252</v>
      </c>
      <c r="V732" s="13" t="s">
        <v>42</v>
      </c>
      <c r="W732" s="13" t="s">
        <v>54</v>
      </c>
      <c r="X732" s="21" t="n">
        <v>81279826679</v>
      </c>
      <c r="Y732" s="22" t="str">
        <f aca="false">O732</f>
        <v>Sales Exclusive</v>
      </c>
      <c r="Z732" s="13" t="str">
        <f aca="false">IFERROR(__xludf.dummyfunction("if(BJ732="""","""",GOOGLETRANSLATE(BJ732,""auto"",""en""))"),"Sales Exclusive")</f>
        <v>Sales Exclusive</v>
      </c>
      <c r="AA732" s="23" t="str">
        <f aca="false">IF(C732="","", CHOOSE(MONTH(C732),"January","February","March","April","May","June","July","August","September","October","November","December")&amp;" "&amp;DAY(C732)&amp;MID("thstndrdth",MIN(9,2*RIGHT(DAY(C732))*(MOD(DAY(C732)-11,100)&gt;2)+1),2)&amp;","&amp;TEXT(C732," yyyy"))</f>
        <v>May 15th,2024</v>
      </c>
      <c r="AB732" s="15" t="str">
        <f aca="true">IF(S732="","",DATEDIF(S732,TODAY(),"Y")&amp;" Tahun, "&amp;DATEDIF(S732,TODAY(),"YM")&amp;" Bulan, "&amp;DATEDIF(S732,TODAY(),"MD")&amp;" Hari")</f>
        <v>38 Tahun, 1 Bulan, 9 Hari</v>
      </c>
      <c r="AC732" s="18" t="n">
        <v>45744</v>
      </c>
      <c r="AD732" s="18" t="n">
        <v>45915</v>
      </c>
      <c r="AE732" s="18" t="s">
        <v>44</v>
      </c>
    </row>
    <row r="733" customFormat="false" ht="15.75" hidden="false" customHeight="true" outlineLevel="0" collapsed="false">
      <c r="A733" s="12" t="n">
        <v>6425</v>
      </c>
      <c r="B733" s="13" t="s">
        <v>3253</v>
      </c>
      <c r="C733" s="14" t="n">
        <v>44211</v>
      </c>
      <c r="D733" s="13" t="s">
        <v>1066</v>
      </c>
      <c r="E733" s="15" t="s">
        <v>47</v>
      </c>
      <c r="F733" s="15" t="str">
        <f aca="false">IFERROR(__xludf.dummyfunction("XLOOKUP(AJ733,IMPORTRANGE(""1XaInW9DU9nz21V0tYIfzFQ0He9kVQ_JF2mCXgZ3hqFA"",""REKAP ALL 2026 - Andika!G:G""),IMPORTRANGE(""1XaInW9DU9nz21V0tYIfzFQ0He9kVQ_JF2mCXgZ3hqFA"",""REKAP ALL 2026 - Andika!F:F""),"""",0)"),"22058868211")</f>
        <v>22058868211</v>
      </c>
      <c r="G733" s="13" t="s">
        <v>3254</v>
      </c>
      <c r="H733" s="13" t="s">
        <v>35</v>
      </c>
      <c r="I733" s="13" t="str">
        <f aca="false">IF(C733=J733,"NEW KONTRAK","RE-KONTRAK")</f>
        <v>RE-KONTRAK</v>
      </c>
      <c r="J733" s="16" t="n">
        <f aca="false" t="array" ref="J733:J733">IFERROR(INDEX(AC733:AE733,IF(COUNTA(AC733:AE733)=0,"",MAX((AC733:AE733&lt;&gt;"")*(COLUMN(AC733:AE733)-(COLUMN(AC733)))))-1),"")</f>
        <v>45658</v>
      </c>
      <c r="K733" s="16" t="n">
        <f aca="false" t="array" ref="K733:K733">IFERROR(INDEX(AC733:AE733,IF(COUNTA(AC733:AE733)=0,"",MAX((AC733:AE733&lt;&gt;"")*(COLUMN(AC733:AE733)-(COLUMN(AC733)-1))))-1),"")</f>
        <v>46022</v>
      </c>
      <c r="L733" s="17" t="str">
        <f aca="false" t="array" ref="L733:L733">IFERROR(INDEX(AC733:AE733,IF(COUNTA(AC733:AE733)=0,"",MAX((AC733:AE733&lt;&gt;"")*(COLUMN(AC733:AE733)-(COLUMN(AC733)-2))))-1),"")</f>
        <v>ARCHIVED</v>
      </c>
      <c r="M733" s="13" t="n">
        <f aca="true">K733-TODAY()</f>
        <v>-302</v>
      </c>
      <c r="N733" s="18" t="s">
        <v>615</v>
      </c>
      <c r="O733" s="13" t="s">
        <v>1068</v>
      </c>
      <c r="P733" s="19" t="n">
        <v>5176101</v>
      </c>
      <c r="Q733" s="20" t="s">
        <v>3255</v>
      </c>
      <c r="R733" s="13" t="s">
        <v>232</v>
      </c>
      <c r="S733" s="14" t="n">
        <v>34136</v>
      </c>
      <c r="T733" s="13" t="s">
        <v>40</v>
      </c>
      <c r="U733" s="13" t="s">
        <v>3256</v>
      </c>
      <c r="V733" s="13" t="s">
        <v>42</v>
      </c>
      <c r="W733" s="28" t="s">
        <v>54</v>
      </c>
      <c r="X733" s="21" t="n">
        <v>856499426120</v>
      </c>
      <c r="Y733" s="22" t="str">
        <f aca="false">O733</f>
        <v>Production Packer</v>
      </c>
      <c r="Z733" s="13" t="str">
        <f aca="false">IFERROR(__xludf.dummyfunction("if(BJ733="""","""",GOOGLETRANSLATE(BJ733,""auto"",""en""))"),"Production Packer")</f>
        <v>Production Packer</v>
      </c>
      <c r="AA733" s="23" t="str">
        <f aca="false">IF(C733="","", CHOOSE(MONTH(C733),"January","February","March","April","May","June","July","August","September","October","November","December")&amp;" "&amp;DAY(C733)&amp;MID("thstndrdth",MIN(9,2*RIGHT(DAY(C733))*(MOD(DAY(C733)-11,100)&gt;2)+1),2)&amp;","&amp;TEXT(C733," yyyy"))</f>
        <v>January 15th,2021</v>
      </c>
      <c r="AB733" s="15" t="str">
        <f aca="true">IF(S733="","",DATEDIF(S733,TODAY(),"Y")&amp;" Tahun, "&amp;DATEDIF(S733,TODAY(),"YM")&amp;" Bulan, "&amp;DATEDIF(S733,TODAY(),"MD")&amp;" Hari")</f>
        <v>33 Tahun, 4 Bulan, 13 Hari</v>
      </c>
      <c r="AC733" s="18" t="n">
        <v>45658</v>
      </c>
      <c r="AD733" s="18" t="n">
        <v>46022</v>
      </c>
      <c r="AE733" s="18" t="s">
        <v>44</v>
      </c>
    </row>
    <row r="734" customFormat="false" ht="15.75" hidden="false" customHeight="true" outlineLevel="0" collapsed="false">
      <c r="A734" s="12" t="n">
        <v>6436</v>
      </c>
      <c r="B734" s="13" t="s">
        <v>3257</v>
      </c>
      <c r="C734" s="14" t="n">
        <v>44704</v>
      </c>
      <c r="D734" s="13" t="s">
        <v>885</v>
      </c>
      <c r="E734" s="15" t="s">
        <v>47</v>
      </c>
      <c r="F734" s="15" t="str">
        <f aca="false">IFERROR(__xludf.dummyfunction("XLOOKUP(AJ734,IMPORTRANGE(""1XaInW9DU9nz21V0tYIfzFQ0He9kVQ_JF2mCXgZ3hqFA"",""REKAP ALL 2026 - Andika!G:G""),IMPORTRANGE(""1XaInW9DU9nz21V0tYIfzFQ0He9kVQ_JF2mCXgZ3hqFA"",""REKAP ALL 2026 - Andika!F:F""),"""",0)"),"22058867437")</f>
        <v>22058867437</v>
      </c>
      <c r="G734" s="13" t="s">
        <v>3258</v>
      </c>
      <c r="H734" s="13" t="s">
        <v>35</v>
      </c>
      <c r="I734" s="13" t="str">
        <f aca="false">IF(C734=J734,"NEW KONTRAK","RE-KONTRAK")</f>
        <v>RE-KONTRAK</v>
      </c>
      <c r="J734" s="16" t="n">
        <f aca="false" t="array" ref="J734:J734">IFERROR(INDEX(AC734:AE734,IF(COUNTA(AC734:AE734)=0,"",MAX((AC734:AE734&lt;&gt;"")*(COLUMN(AC734:AE734)-(COLUMN(AC734)))))-1),"")</f>
        <v>45839</v>
      </c>
      <c r="K734" s="16" t="n">
        <f aca="false" t="array" ref="K734:K734">IFERROR(INDEX(AC734:AE734,IF(COUNTA(AC734:AE734)=0,"",MAX((AC734:AE734&lt;&gt;"")*(COLUMN(AC734:AE734)-(COLUMN(AC734)-1))))-1),"")</f>
        <v>46022</v>
      </c>
      <c r="L734" s="17" t="str">
        <f aca="false" t="array" ref="L734:L734">IFERROR(INDEX(AC734:AE734,IF(COUNTA(AC734:AE734)=0,"",MAX((AC734:AE734&lt;&gt;"")*(COLUMN(AC734:AE734)-(COLUMN(AC734)-2))))-1),"")</f>
        <v>ARCHIVED</v>
      </c>
      <c r="M734" s="13" t="n">
        <f aca="true">K734-TODAY()</f>
        <v>-302</v>
      </c>
      <c r="N734" s="18" t="s">
        <v>728</v>
      </c>
      <c r="O734" s="13" t="s">
        <v>58</v>
      </c>
      <c r="P734" s="27" t="n">
        <v>5176101</v>
      </c>
      <c r="Q734" s="20" t="s">
        <v>3259</v>
      </c>
      <c r="R734" s="13" t="s">
        <v>52</v>
      </c>
      <c r="S734" s="14" t="n">
        <v>36957</v>
      </c>
      <c r="T734" s="13" t="s">
        <v>40</v>
      </c>
      <c r="U734" s="13" t="s">
        <v>3260</v>
      </c>
      <c r="V734" s="13" t="s">
        <v>42</v>
      </c>
      <c r="W734" s="13" t="s">
        <v>43</v>
      </c>
      <c r="X734" s="21" t="n">
        <v>89616620582</v>
      </c>
      <c r="Y734" s="22" t="str">
        <f aca="false">O734</f>
        <v>Produksi</v>
      </c>
      <c r="Z734" s="13" t="str">
        <f aca="false">IFERROR(__xludf.dummyfunction("if(BJ734="""","""",GOOGLETRANSLATE(BJ734,""auto"",""en""))"),"Production")</f>
        <v>Production</v>
      </c>
      <c r="AA734" s="23" t="str">
        <f aca="false">IF(C734="","", CHOOSE(MONTH(C734),"January","February","March","April","May","June","July","August","September","October","November","December")&amp;" "&amp;DAY(C734)&amp;MID("thstndrdth",MIN(9,2*RIGHT(DAY(C734))*(MOD(DAY(C734)-11,100)&gt;2)+1),2)&amp;","&amp;TEXT(C734," yyyy"))</f>
        <v>May 23rd,2022</v>
      </c>
      <c r="AB734" s="15" t="str">
        <f aca="true">IF(S734="","",DATEDIF(S734,TODAY(),"Y")&amp;" Tahun, "&amp;DATEDIF(S734,TODAY(),"YM")&amp;" Bulan, "&amp;DATEDIF(S734,TODAY(),"MD")&amp;" Hari")</f>
        <v>25 Tahun, 7 Bulan, 22 Hari</v>
      </c>
      <c r="AC734" s="18" t="n">
        <v>45839</v>
      </c>
      <c r="AD734" s="18" t="n">
        <v>46022</v>
      </c>
      <c r="AE734" s="18" t="s">
        <v>44</v>
      </c>
    </row>
    <row r="735" customFormat="false" ht="15.75" hidden="false" customHeight="true" outlineLevel="0" collapsed="false">
      <c r="A735" s="12" t="n">
        <v>6439</v>
      </c>
      <c r="B735" s="13" t="s">
        <v>3261</v>
      </c>
      <c r="C735" s="14" t="n">
        <v>44704</v>
      </c>
      <c r="D735" s="13" t="s">
        <v>885</v>
      </c>
      <c r="E735" s="15" t="s">
        <v>102</v>
      </c>
      <c r="F735" s="15" t="str">
        <f aca="false">IFERROR(__xludf.dummyfunction("XLOOKUP(AJ735,IMPORTRANGE(""1XaInW9DU9nz21V0tYIfzFQ0He9kVQ_JF2mCXgZ3hqFA"",""REKAP ALL 2026 - Andika!G:G""),IMPORTRANGE(""1XaInW9DU9nz21V0tYIfzFQ0He9kVQ_JF2mCXgZ3hqFA"",""REKAP ALL 2026 - Andika!F:F""),"""",0)"),"22058867452")</f>
        <v>22058867452</v>
      </c>
      <c r="G735" s="13" t="s">
        <v>3262</v>
      </c>
      <c r="H735" s="13" t="s">
        <v>35</v>
      </c>
      <c r="I735" s="13" t="str">
        <f aca="false">IF(C735=J735,"NEW KONTRAK","RE-KONTRAK")</f>
        <v>RE-KONTRAK</v>
      </c>
      <c r="J735" s="16" t="n">
        <f aca="false" t="array" ref="J735:J735">IFERROR(INDEX(AC735:AE735,IF(COUNTA(AC735:AE735)=0,"",MAX((AC735:AE735&lt;&gt;"")*(COLUMN(AC735:AE735)-(COLUMN(AC735)))))-1),"")</f>
        <v>45658</v>
      </c>
      <c r="K735" s="16" t="n">
        <f aca="false" t="array" ref="K735:K735">IFERROR(INDEX(AC735:AE735,IF(COUNTA(AC735:AE735)=0,"",MAX((AC735:AE735&lt;&gt;"")*(COLUMN(AC735:AE735)-(COLUMN(AC735)-1))))-1),"")</f>
        <v>46022</v>
      </c>
      <c r="L735" s="17" t="str">
        <f aca="false" t="array" ref="L735:L735">IFERROR(INDEX(AC735:AE735,IF(COUNTA(AC735:AE735)=0,"",MAX((AC735:AE735&lt;&gt;"")*(COLUMN(AC735:AE735)-(COLUMN(AC735)-2))))-1),"")</f>
        <v>ARCHIVED</v>
      </c>
      <c r="M735" s="13" t="n">
        <f aca="true">K735-TODAY()</f>
        <v>-302</v>
      </c>
      <c r="N735" s="18" t="s">
        <v>728</v>
      </c>
      <c r="O735" s="13" t="s">
        <v>58</v>
      </c>
      <c r="P735" s="27" t="n">
        <v>5176101</v>
      </c>
      <c r="Q735" s="20" t="s">
        <v>3263</v>
      </c>
      <c r="R735" s="13" t="s">
        <v>78</v>
      </c>
      <c r="S735" s="14" t="n">
        <v>33538</v>
      </c>
      <c r="T735" s="13" t="s">
        <v>40</v>
      </c>
      <c r="U735" s="13" t="s">
        <v>3264</v>
      </c>
      <c r="V735" s="13" t="s">
        <v>42</v>
      </c>
      <c r="W735" s="13" t="s">
        <v>54</v>
      </c>
      <c r="X735" s="21" t="n">
        <v>82141661545</v>
      </c>
      <c r="Y735" s="22" t="str">
        <f aca="false">O735</f>
        <v>Produksi</v>
      </c>
      <c r="Z735" s="13" t="str">
        <f aca="false">IFERROR(__xludf.dummyfunction("if(BJ735="""","""",GOOGLETRANSLATE(BJ735,""auto"",""en""))"),"Production")</f>
        <v>Production</v>
      </c>
      <c r="AA735" s="23" t="str">
        <f aca="false">IF(C735="","", CHOOSE(MONTH(C735),"January","February","March","April","May","June","July","August","September","October","November","December")&amp;" "&amp;DAY(C735)&amp;MID("thstndrdth",MIN(9,2*RIGHT(DAY(C735))*(MOD(DAY(C735)-11,100)&gt;2)+1),2)&amp;","&amp;TEXT(C735," yyyy"))</f>
        <v>May 23rd,2022</v>
      </c>
      <c r="AB735" s="15" t="str">
        <f aca="true">IF(S735="","",DATEDIF(S735,TODAY(),"Y")&amp;" Tahun, "&amp;DATEDIF(S735,TODAY(),"YM")&amp;" Bulan, "&amp;DATEDIF(S735,TODAY(),"MD")&amp;" Hari")</f>
        <v>35 Tahun, 0 Bulan, 2 Hari</v>
      </c>
      <c r="AC735" s="18" t="n">
        <v>45658</v>
      </c>
      <c r="AD735" s="18" t="n">
        <v>46022</v>
      </c>
      <c r="AE735" s="18" t="s">
        <v>44</v>
      </c>
    </row>
    <row r="736" customFormat="false" ht="15.75" hidden="false" customHeight="true" outlineLevel="0" collapsed="false">
      <c r="A736" s="12" t="n">
        <v>3526</v>
      </c>
      <c r="B736" s="13" t="s">
        <v>3265</v>
      </c>
      <c r="C736" s="14" t="n">
        <v>44490</v>
      </c>
      <c r="D736" s="13" t="s">
        <v>101</v>
      </c>
      <c r="E736" s="15" t="s">
        <v>47</v>
      </c>
      <c r="F736" s="15" t="str">
        <f aca="false">IFERROR(__xludf.dummyfunction("XLOOKUP(AJ736,IMPORTRANGE(""1XaInW9DU9nz21V0tYIfzFQ0He9kVQ_JF2mCXgZ3hqFA"",""REKAP ALL 2026 - Andika!G:G""),IMPORTRANGE(""1XaInW9DU9nz21V0tYIfzFQ0He9kVQ_JF2mCXgZ3hqFA"",""REKAP ALL 2026 - Andika!F:F""),"""",0)"),"22000065106")</f>
        <v>22000065106</v>
      </c>
      <c r="G736" s="13" t="s">
        <v>3266</v>
      </c>
      <c r="H736" s="13" t="s">
        <v>35</v>
      </c>
      <c r="I736" s="13" t="str">
        <f aca="false">IF(C736=J736,"NEW KONTRAK","RE-KONTRAK")</f>
        <v>RE-KONTRAK</v>
      </c>
      <c r="J736" s="16" t="n">
        <f aca="false" t="array" ref="J736:J736">IFERROR(INDEX(AC736:AE736,IF(COUNTA(AC736:AE736)=0,"",MAX((AC736:AE736&lt;&gt;"")*(COLUMN(AC736:AE736)-(COLUMN(AC736)))))-1),"")</f>
        <v>45672</v>
      </c>
      <c r="K736" s="16" t="n">
        <f aca="false" t="array" ref="K736:K736">IFERROR(INDEX(AC736:AE736,IF(COUNTA(AC736:AE736)=0,"",MAX((AC736:AE736&lt;&gt;"")*(COLUMN(AC736:AE736)-(COLUMN(AC736)-1))))-1),"")</f>
        <v>46036</v>
      </c>
      <c r="L736" s="17" t="str">
        <f aca="false" t="array" ref="L736:L736">IFERROR(INDEX(AC736:AE736,IF(COUNTA(AC736:AE736)=0,"",MAX((AC736:AE736&lt;&gt;"")*(COLUMN(AC736:AE736)-(COLUMN(AC736)-2))))-1),"")</f>
        <v>ARCHIVED</v>
      </c>
      <c r="M736" s="13" t="n">
        <f aca="true">K736-TODAY()</f>
        <v>-288</v>
      </c>
      <c r="N736" s="18" t="s">
        <v>105</v>
      </c>
      <c r="O736" s="13" t="s">
        <v>1401</v>
      </c>
      <c r="P736" s="31" t="n">
        <v>138915</v>
      </c>
      <c r="Q736" s="20" t="s">
        <v>3267</v>
      </c>
      <c r="R736" s="13" t="s">
        <v>39</v>
      </c>
      <c r="S736" s="25" t="n">
        <v>35883</v>
      </c>
      <c r="T736" s="13" t="s">
        <v>40</v>
      </c>
      <c r="U736" s="13" t="s">
        <v>3268</v>
      </c>
      <c r="V736" s="13" t="s">
        <v>42</v>
      </c>
      <c r="W736" s="13" t="s">
        <v>43</v>
      </c>
      <c r="X736" s="21" t="n">
        <v>82148450056</v>
      </c>
      <c r="Y736" s="22" t="str">
        <f aca="false">O736</f>
        <v>Gudang Jadi - Helper</v>
      </c>
      <c r="Z736" s="13" t="str">
        <f aca="false">IFERROR(__xludf.dummyfunction("if(BJ736="""","""",GOOGLETRANSLATE(BJ736,""auto"",""en""))"),"Ready-Made Warehouse - Helper")</f>
        <v>Ready-Made Warehouse - Helper</v>
      </c>
      <c r="AA736" s="23" t="str">
        <f aca="false">IF(C736="","", CHOOSE(MONTH(C736),"January","February","March","April","May","June","July","August","September","October","November","December")&amp;" "&amp;DAY(C736)&amp;MID("thstndrdth",MIN(9,2*RIGHT(DAY(C736))*(MOD(DAY(C736)-11,100)&gt;2)+1),2)&amp;","&amp;TEXT(C736," yyyy"))</f>
        <v>October 21st,2021</v>
      </c>
      <c r="AB736" s="15" t="str">
        <f aca="true">IF(S736="","",DATEDIF(S736,TODAY(),"Y")&amp;" Tahun, "&amp;DATEDIF(S736,TODAY(),"YM")&amp;" Bulan, "&amp;DATEDIF(S736,TODAY(),"MD")&amp;" Hari")</f>
        <v>28 Tahun, 7 Bulan, 0 Hari</v>
      </c>
      <c r="AC736" s="18" t="n">
        <v>45672</v>
      </c>
      <c r="AD736" s="18" t="n">
        <v>46036</v>
      </c>
      <c r="AE736" s="18" t="s">
        <v>44</v>
      </c>
    </row>
    <row r="737" customFormat="false" ht="15.75" hidden="false" customHeight="true" outlineLevel="0" collapsed="false">
      <c r="A737" s="12" t="n">
        <v>6524</v>
      </c>
      <c r="B737" s="13" t="s">
        <v>3269</v>
      </c>
      <c r="C737" s="14" t="n">
        <v>44682</v>
      </c>
      <c r="D737" s="13" t="s">
        <v>747</v>
      </c>
      <c r="E737" s="15" t="s">
        <v>47</v>
      </c>
      <c r="F737" s="15" t="str">
        <f aca="false">IFERROR(__xludf.dummyfunction("XLOOKUP(AJ737,IMPORTRANGE(""1XaInW9DU9nz21V0tYIfzFQ0He9kVQ_JF2mCXgZ3hqFA"",""REKAP ALL 2026 - Andika!G:G""),IMPORTRANGE(""1XaInW9DU9nz21V0tYIfzFQ0He9kVQ_JF2mCXgZ3hqFA"",""REKAP ALL 2026 - Andika!F:F""),"""",0)"),"22058862511")</f>
        <v>22058862511</v>
      </c>
      <c r="G737" s="13" t="s">
        <v>3270</v>
      </c>
      <c r="H737" s="13" t="s">
        <v>35</v>
      </c>
      <c r="I737" s="13" t="str">
        <f aca="false">IF(C737=J737,"NEW KONTRAK","RE-KONTRAK")</f>
        <v>RE-KONTRAK</v>
      </c>
      <c r="J737" s="16" t="n">
        <f aca="false" t="array" ref="J737:J737">IFERROR(INDEX(AC737:AE737,IF(COUNTA(AC737:AE737)=0,"",MAX((AC737:AE737&lt;&gt;"")*(COLUMN(AC737:AE737)-(COLUMN(AC737)))))-1),"")</f>
        <v>45658</v>
      </c>
      <c r="K737" s="16" t="n">
        <f aca="false" t="array" ref="K737:K737">IFERROR(INDEX(AC737:AE737,IF(COUNTA(AC737:AE737)=0,"",MAX((AC737:AE737&lt;&gt;"")*(COLUMN(AC737:AE737)-(COLUMN(AC737)-1))))-1),"")</f>
        <v>45747</v>
      </c>
      <c r="L737" s="17" t="str">
        <f aca="false" t="array" ref="L737:L737">IFERROR(INDEX(AC737:AE737,IF(COUNTA(AC737:AE737)=0,"",MAX((AC737:AE737&lt;&gt;"")*(COLUMN(AC737:AE737)-(COLUMN(AC737)-2))))-1),"")</f>
        <v>ARCHIVED</v>
      </c>
      <c r="M737" s="13" t="n">
        <f aca="true">K737-TODAY()</f>
        <v>-577</v>
      </c>
      <c r="N737" s="18" t="s">
        <v>749</v>
      </c>
      <c r="O737" s="13" t="s">
        <v>3271</v>
      </c>
      <c r="P737" s="19" t="n">
        <v>3724437.2</v>
      </c>
      <c r="Q737" s="20" t="s">
        <v>3272</v>
      </c>
      <c r="R737" s="13" t="s">
        <v>752</v>
      </c>
      <c r="S737" s="14" t="n">
        <v>30143</v>
      </c>
      <c r="T737" s="13" t="s">
        <v>40</v>
      </c>
      <c r="U737" s="13" t="s">
        <v>3273</v>
      </c>
      <c r="V737" s="13" t="s">
        <v>42</v>
      </c>
      <c r="W737" s="13" t="s">
        <v>54</v>
      </c>
      <c r="X737" s="21" t="n">
        <v>882019089599</v>
      </c>
      <c r="Y737" s="22" t="str">
        <f aca="false">O737</f>
        <v>Helper</v>
      </c>
      <c r="Z737" s="13" t="str">
        <f aca="false">IFERROR(__xludf.dummyfunction("if(BJ737="""","""",GOOGLETRANSLATE(BJ737,""auto"",""en""))"),"Helper")</f>
        <v>Helper</v>
      </c>
      <c r="AA737" s="23" t="str">
        <f aca="false">IF(C737="","", CHOOSE(MONTH(C737),"January","February","March","April","May","June","July","August","September","October","November","December")&amp;" "&amp;DAY(C737)&amp;MID("thstndrdth",MIN(9,2*RIGHT(DAY(C737))*(MOD(DAY(C737)-11,100)&gt;2)+1),2)&amp;","&amp;TEXT(C737," yyyy"))</f>
        <v>May 1st,2022</v>
      </c>
      <c r="AB737" s="15" t="str">
        <f aca="true">IF(S737="","",DATEDIF(S737,TODAY(),"Y")&amp;" Tahun, "&amp;DATEDIF(S737,TODAY(),"YM")&amp;" Bulan, "&amp;DATEDIF(S737,TODAY(),"MD")&amp;" Hari")</f>
        <v>44 Tahun, 3 Bulan, 18 Hari</v>
      </c>
      <c r="AC737" s="18" t="n">
        <v>45658</v>
      </c>
      <c r="AD737" s="18" t="n">
        <v>45747</v>
      </c>
      <c r="AE737" s="18" t="s">
        <v>44</v>
      </c>
    </row>
    <row r="738" customFormat="false" ht="15.75" hidden="false" customHeight="true" outlineLevel="0" collapsed="false">
      <c r="A738" s="12" t="n">
        <v>6529</v>
      </c>
      <c r="B738" s="13" t="s">
        <v>3274</v>
      </c>
      <c r="C738" s="14" t="n">
        <v>44706</v>
      </c>
      <c r="D738" s="13" t="s">
        <v>404</v>
      </c>
      <c r="E738" s="15" t="s">
        <v>47</v>
      </c>
      <c r="F738" s="15" t="str">
        <f aca="false">IFERROR(__xludf.dummyfunction("XLOOKUP(AJ738,IMPORTRANGE(""1XaInW9DU9nz21V0tYIfzFQ0He9kVQ_JF2mCXgZ3hqFA"",""REKAP ALL 2026 - Andika!G:G""),IMPORTRANGE(""1XaInW9DU9nz21V0tYIfzFQ0He9kVQ_JF2mCXgZ3hqFA"",""REKAP ALL 2026 - Andika!F:F""),"""",0)"),"22058858907")</f>
        <v>22058858907</v>
      </c>
      <c r="G738" s="13" t="s">
        <v>3275</v>
      </c>
      <c r="H738" s="13" t="s">
        <v>35</v>
      </c>
      <c r="I738" s="13" t="str">
        <f aca="false">IF(C738=J738,"NEW KONTRAK","RE-KONTRAK")</f>
        <v>RE-KONTRAK</v>
      </c>
      <c r="J738" s="16" t="n">
        <f aca="false" t="array" ref="J738:J738">IFERROR(INDEX(AC738:AE738,IF(COUNTA(AC738:AE738)=0,"",MAX((AC738:AE738&lt;&gt;"")*(COLUMN(AC738:AE738)-(COLUMN(AC738)))))-1),"")</f>
        <v>45658</v>
      </c>
      <c r="K738" s="16" t="n">
        <f aca="false" t="array" ref="K738:K738">IFERROR(INDEX(AC738:AE738,IF(COUNTA(AC738:AE738)=0,"",MAX((AC738:AE738&lt;&gt;"")*(COLUMN(AC738:AE738)-(COLUMN(AC738)-1))))-1),"")</f>
        <v>46022</v>
      </c>
      <c r="L738" s="17" t="str">
        <f aca="false" t="array" ref="L738:L738">IFERROR(INDEX(AC738:AE738,IF(COUNTA(AC738:AE738)=0,"",MAX((AC738:AE738&lt;&gt;"")*(COLUMN(AC738:AE738)-(COLUMN(AC738)-2))))-1),"")</f>
        <v>ARCHIVED</v>
      </c>
      <c r="M738" s="13" t="n">
        <f aca="true">K738-TODAY()</f>
        <v>-302</v>
      </c>
      <c r="N738" s="18" t="s">
        <v>36</v>
      </c>
      <c r="O738" s="13" t="s">
        <v>433</v>
      </c>
      <c r="P738" s="26" t="n">
        <v>5195401</v>
      </c>
      <c r="Q738" s="20" t="s">
        <v>3276</v>
      </c>
      <c r="R738" s="13" t="s">
        <v>78</v>
      </c>
      <c r="S738" s="14" t="n">
        <v>37914</v>
      </c>
      <c r="T738" s="13" t="s">
        <v>40</v>
      </c>
      <c r="U738" s="13" t="s">
        <v>3277</v>
      </c>
      <c r="V738" s="13" t="s">
        <v>42</v>
      </c>
      <c r="W738" s="13" t="s">
        <v>43</v>
      </c>
      <c r="X738" s="21" t="n">
        <v>85704642427</v>
      </c>
      <c r="Y738" s="22" t="str">
        <f aca="false">O738</f>
        <v>Refinery</v>
      </c>
      <c r="Z738" s="13" t="str">
        <f aca="false">IFERROR(__xludf.dummyfunction("if(BJ738="""","""",GOOGLETRANSLATE(BJ738,""auto"",""en""))"),"Refinery")</f>
        <v>Refinery</v>
      </c>
      <c r="AA738" s="23" t="str">
        <f aca="false">IF(C738="","", CHOOSE(MONTH(C738),"January","February","March","April","May","June","July","August","September","October","November","December")&amp;" "&amp;DAY(C738)&amp;MID("thstndrdth",MIN(9,2*RIGHT(DAY(C738))*(MOD(DAY(C738)-11,100)&gt;2)+1),2)&amp;","&amp;TEXT(C738," yyyy"))</f>
        <v>May 25th,2022</v>
      </c>
      <c r="AB738" s="15" t="str">
        <f aca="true">IF(S738="","",DATEDIF(S738,TODAY(),"Y")&amp;" Tahun, "&amp;DATEDIF(S738,TODAY(),"YM")&amp;" Bulan, "&amp;DATEDIF(S738,TODAY(),"MD")&amp;" Hari")</f>
        <v>23 Tahun, 0 Bulan, 9 Hari</v>
      </c>
      <c r="AC738" s="18" t="n">
        <v>45658</v>
      </c>
      <c r="AD738" s="18" t="n">
        <v>46022</v>
      </c>
      <c r="AE738" s="18" t="s">
        <v>44</v>
      </c>
    </row>
    <row r="739" customFormat="false" ht="15.75" hidden="false" customHeight="true" outlineLevel="0" collapsed="false">
      <c r="A739" s="12" t="n">
        <v>6600</v>
      </c>
      <c r="B739" s="13" t="s">
        <v>3278</v>
      </c>
      <c r="C739" s="14" t="n">
        <v>44712</v>
      </c>
      <c r="D739" s="13" t="s">
        <v>885</v>
      </c>
      <c r="E739" s="15" t="s">
        <v>47</v>
      </c>
      <c r="F739" s="15" t="str">
        <f aca="false">IFERROR(__xludf.dummyfunction("XLOOKUP(AJ739,IMPORTRANGE(""1XaInW9DU9nz21V0tYIfzFQ0He9kVQ_JF2mCXgZ3hqFA"",""REKAP ALL 2026 - Andika!G:G""),IMPORTRANGE(""1XaInW9DU9nz21V0tYIfzFQ0He9kVQ_JF2mCXgZ3hqFA"",""REKAP ALL 2026 - Andika!F:F""),"""",0)"),"22058867445")</f>
        <v>22058867445</v>
      </c>
      <c r="G739" s="13" t="s">
        <v>3279</v>
      </c>
      <c r="H739" s="13" t="s">
        <v>35</v>
      </c>
      <c r="I739" s="13" t="str">
        <f aca="false">IF(C739=J739,"NEW KONTRAK","RE-KONTRAK")</f>
        <v>RE-KONTRAK</v>
      </c>
      <c r="J739" s="16" t="n">
        <f aca="false" t="array" ref="J739:J739">IFERROR(INDEX(AC739:AE739,IF(COUNTA(AC739:AE739)=0,"",MAX((AC739:AE739&lt;&gt;"")*(COLUMN(AC739:AE739)-(COLUMN(AC739)))))-1),"")</f>
        <v>45658</v>
      </c>
      <c r="K739" s="16" t="n">
        <f aca="false" t="array" ref="K739:K739">IFERROR(INDEX(AC739:AE739,IF(COUNTA(AC739:AE739)=0,"",MAX((AC739:AE739&lt;&gt;"")*(COLUMN(AC739:AE739)-(COLUMN(AC739)-1))))-1),"")</f>
        <v>46022</v>
      </c>
      <c r="L739" s="17" t="str">
        <f aca="false" t="array" ref="L739:L739">IFERROR(INDEX(AC739:AE739,IF(COUNTA(AC739:AE739)=0,"",MAX((AC739:AE739&lt;&gt;"")*(COLUMN(AC739:AE739)-(COLUMN(AC739)-2))))-1),"")</f>
        <v>ARCHIVED</v>
      </c>
      <c r="M739" s="13" t="n">
        <f aca="true">K739-TODAY()</f>
        <v>-302</v>
      </c>
      <c r="N739" s="18" t="s">
        <v>728</v>
      </c>
      <c r="O739" s="13" t="s">
        <v>58</v>
      </c>
      <c r="P739" s="27" t="n">
        <v>5176101</v>
      </c>
      <c r="Q739" s="20" t="s">
        <v>3280</v>
      </c>
      <c r="R739" s="13" t="s">
        <v>52</v>
      </c>
      <c r="S739" s="14" t="n">
        <v>35506</v>
      </c>
      <c r="T739" s="13" t="s">
        <v>40</v>
      </c>
      <c r="U739" s="13" t="s">
        <v>3281</v>
      </c>
      <c r="V739" s="13" t="s">
        <v>42</v>
      </c>
      <c r="W739" s="13" t="s">
        <v>43</v>
      </c>
      <c r="X739" s="21" t="n">
        <v>82397106070</v>
      </c>
      <c r="Y739" s="22" t="str">
        <f aca="false">O739</f>
        <v>Produksi</v>
      </c>
      <c r="Z739" s="13" t="str">
        <f aca="false">IFERROR(__xludf.dummyfunction("if(BJ739="""","""",GOOGLETRANSLATE(BJ739,""auto"",""en""))"),"Production")</f>
        <v>Production</v>
      </c>
      <c r="AA739" s="23" t="str">
        <f aca="false">IF(C739="","", CHOOSE(MONTH(C739),"January","February","March","April","May","June","July","August","September","October","November","December")&amp;" "&amp;DAY(C739)&amp;MID("thstndrdth",MIN(9,2*RIGHT(DAY(C739))*(MOD(DAY(C739)-11,100)&gt;2)+1),2)&amp;","&amp;TEXT(C739," yyyy"))</f>
        <v>May 31st,2022</v>
      </c>
      <c r="AB739" s="15" t="str">
        <f aca="true">IF(S739="","",DATEDIF(S739,TODAY(),"Y")&amp;" Tahun, "&amp;DATEDIF(S739,TODAY(),"YM")&amp;" Bulan, "&amp;DATEDIF(S739,TODAY(),"MD")&amp;" Hari")</f>
        <v>29 Tahun, 7 Bulan, 12 Hari</v>
      </c>
      <c r="AC739" s="18" t="n">
        <v>45658</v>
      </c>
      <c r="AD739" s="18" t="n">
        <v>46022</v>
      </c>
      <c r="AE739" s="18" t="s">
        <v>44</v>
      </c>
    </row>
    <row r="740" customFormat="false" ht="15.75" hidden="false" customHeight="true" outlineLevel="0" collapsed="false">
      <c r="A740" s="12" t="n">
        <v>6603</v>
      </c>
      <c r="B740" s="13" t="s">
        <v>3282</v>
      </c>
      <c r="C740" s="14" t="n">
        <v>44712</v>
      </c>
      <c r="D740" s="13" t="s">
        <v>885</v>
      </c>
      <c r="E740" s="15" t="s">
        <v>33</v>
      </c>
      <c r="F740" s="24" t="s">
        <v>3283</v>
      </c>
      <c r="G740" s="13" t="s">
        <v>3284</v>
      </c>
      <c r="H740" s="13" t="s">
        <v>35</v>
      </c>
      <c r="I740" s="13" t="str">
        <f aca="false">IF(C740=J740,"NEW KONTRAK","RE-KONTRAK")</f>
        <v>RE-KONTRAK</v>
      </c>
      <c r="J740" s="16" t="n">
        <f aca="false" t="array" ref="J740:J740">IFERROR(INDEX(AC740:AE740,IF(COUNTA(AC740:AE740)=0,"",MAX((AC740:AE740&lt;&gt;"")*(COLUMN(AC740:AE740)-(COLUMN(AC740)))))-1),"")</f>
        <v>45839</v>
      </c>
      <c r="K740" s="16" t="n">
        <f aca="false" t="array" ref="K740:K740">IFERROR(INDEX(AC740:AE740,IF(COUNTA(AC740:AE740)=0,"",MAX((AC740:AE740&lt;&gt;"")*(COLUMN(AC740:AE740)-(COLUMN(AC740)-1))))-1),"")</f>
        <v>46022</v>
      </c>
      <c r="L740" s="17" t="str">
        <f aca="false" t="array" ref="L740:L740">IFERROR(INDEX(AC740:AE740,IF(COUNTA(AC740:AE740)=0,"",MAX((AC740:AE740&lt;&gt;"")*(COLUMN(AC740:AE740)-(COLUMN(AC740)-2))))-1),"")</f>
        <v>ARCHIVED</v>
      </c>
      <c r="M740" s="13" t="n">
        <f aca="true">K740-TODAY()</f>
        <v>-302</v>
      </c>
      <c r="N740" s="18" t="s">
        <v>728</v>
      </c>
      <c r="O740" s="13" t="s">
        <v>58</v>
      </c>
      <c r="P740" s="27" t="n">
        <v>5176101</v>
      </c>
      <c r="Q740" s="20" t="s">
        <v>3285</v>
      </c>
      <c r="R740" s="13" t="s">
        <v>52</v>
      </c>
      <c r="S740" s="14" t="n">
        <v>34546</v>
      </c>
      <c r="T740" s="13" t="s">
        <v>40</v>
      </c>
      <c r="U740" s="13" t="s">
        <v>3286</v>
      </c>
      <c r="V740" s="13" t="s">
        <v>42</v>
      </c>
      <c r="W740" s="13" t="s">
        <v>43</v>
      </c>
      <c r="X740" s="21" t="n">
        <v>83857614352</v>
      </c>
      <c r="Y740" s="22" t="str">
        <f aca="false">O740</f>
        <v>Produksi</v>
      </c>
      <c r="Z740" s="13" t="str">
        <f aca="false">IFERROR(__xludf.dummyfunction("if(BJ740="""","""",GOOGLETRANSLATE(BJ740,""auto"",""en""))"),"Production")</f>
        <v>Production</v>
      </c>
      <c r="AA740" s="23" t="str">
        <f aca="false">IF(C740="","", CHOOSE(MONTH(C740),"January","February","March","April","May","June","July","August","September","October","November","December")&amp;" "&amp;DAY(C740)&amp;MID("thstndrdth",MIN(9,2*RIGHT(DAY(C740))*(MOD(DAY(C740)-11,100)&gt;2)+1),2)&amp;","&amp;TEXT(C740," yyyy"))</f>
        <v>May 31st,2022</v>
      </c>
      <c r="AB740" s="15" t="str">
        <f aca="true">IF(S740="","",DATEDIF(S740,TODAY(),"Y")&amp;" Tahun, "&amp;DATEDIF(S740,TODAY(),"YM")&amp;" Bulan, "&amp;DATEDIF(S740,TODAY(),"MD")&amp;" Hari")</f>
        <v>32 Tahun, 2 Bulan, 28 Hari</v>
      </c>
      <c r="AC740" s="18" t="n">
        <v>45839</v>
      </c>
      <c r="AD740" s="18" t="n">
        <v>46022</v>
      </c>
      <c r="AE740" s="18" t="s">
        <v>44</v>
      </c>
    </row>
    <row r="741" customFormat="false" ht="15.75" hidden="false" customHeight="true" outlineLevel="0" collapsed="false">
      <c r="A741" s="12" t="n">
        <v>6606</v>
      </c>
      <c r="B741" s="13" t="s">
        <v>3287</v>
      </c>
      <c r="C741" s="14" t="n">
        <v>44720</v>
      </c>
      <c r="D741" s="13" t="s">
        <v>144</v>
      </c>
      <c r="E741" s="15" t="s">
        <v>102</v>
      </c>
      <c r="F741" s="15" t="str">
        <f aca="false">IFERROR(__xludf.dummyfunction("XLOOKUP(AJ741,IMPORTRANGE(""1XaInW9DU9nz21V0tYIfzFQ0He9kVQ_JF2mCXgZ3hqFA"",""REKAP ALL 2026 - Andika!G:G""),IMPORTRANGE(""1XaInW9DU9nz21V0tYIfzFQ0He9kVQ_JF2mCXgZ3hqFA"",""REKAP ALL 2026 - Andika!F:F""),"""",0)"),"89N00082352")</f>
        <v>89N00082352</v>
      </c>
      <c r="G741" s="13" t="s">
        <v>3288</v>
      </c>
      <c r="H741" s="13" t="s">
        <v>35</v>
      </c>
      <c r="I741" s="13" t="str">
        <f aca="false">IF(C741=J741,"NEW KONTRAK","RE-KONTRAK")</f>
        <v>RE-KONTRAK</v>
      </c>
      <c r="J741" s="16" t="n">
        <f aca="false" t="array" ref="J741:J741">IFERROR(INDEX(AC741:AE741,IF(COUNTA(AC741:AE741)=0,"",MAX((AC741:AE741&lt;&gt;"")*(COLUMN(AC741:AE741)-(COLUMN(AC741)))))-1),"")</f>
        <v>45658</v>
      </c>
      <c r="K741" s="16" t="n">
        <f aca="false" t="array" ref="K741:K741">IFERROR(INDEX(AC741:AE741,IF(COUNTA(AC741:AE741)=0,"",MAX((AC741:AE741&lt;&gt;"")*(COLUMN(AC741:AE741)-(COLUMN(AC741)-1))))-1),"")</f>
        <v>46022</v>
      </c>
      <c r="L741" s="17" t="str">
        <f aca="false" t="array" ref="L741:L741">IFERROR(INDEX(AC741:AE741,IF(COUNTA(AC741:AE741)=0,"",MAX((AC741:AE741&lt;&gt;"")*(COLUMN(AC741:AE741)-(COLUMN(AC741)-2))))-1),"")</f>
        <v>ARCHIVED</v>
      </c>
      <c r="M741" s="13" t="n">
        <f aca="true">K741-TODAY()</f>
        <v>-302</v>
      </c>
      <c r="N741" s="18" t="s">
        <v>36</v>
      </c>
      <c r="O741" s="13" t="s">
        <v>146</v>
      </c>
      <c r="P741" s="19" t="n">
        <v>5195401</v>
      </c>
      <c r="Q741" s="20" t="s">
        <v>3289</v>
      </c>
      <c r="R741" s="13" t="s">
        <v>65</v>
      </c>
      <c r="S741" s="14" t="n">
        <v>24630</v>
      </c>
      <c r="T741" s="13" t="s">
        <v>40</v>
      </c>
      <c r="U741" s="13" t="s">
        <v>3290</v>
      </c>
      <c r="V741" s="13" t="s">
        <v>42</v>
      </c>
      <c r="W741" s="13" t="s">
        <v>54</v>
      </c>
      <c r="X741" s="21" t="n">
        <v>85100894915</v>
      </c>
      <c r="Y741" s="22" t="str">
        <f aca="false">O741</f>
        <v>Enamel</v>
      </c>
      <c r="Z741" s="13" t="str">
        <f aca="false">IFERROR(__xludf.dummyfunction("if(BJ741="""","""",GOOGLETRANSLATE(BJ741,""auto"",""en""))"),"Enamel")</f>
        <v>Enamel</v>
      </c>
      <c r="AA741" s="23" t="str">
        <f aca="false">IF(C741="","", CHOOSE(MONTH(C741),"January","February","March","April","May","June","July","August","September","October","November","December")&amp;" "&amp;DAY(C741)&amp;MID("thstndrdth",MIN(9,2*RIGHT(DAY(C741))*(MOD(DAY(C741)-11,100)&gt;2)+1),2)&amp;","&amp;TEXT(C741," yyyy"))</f>
        <v>June 8th,2022</v>
      </c>
      <c r="AB741" s="15" t="str">
        <f aca="true">IF(S741="","",DATEDIF(S741,TODAY(),"Y")&amp;" Tahun, "&amp;DATEDIF(S741,TODAY(),"YM")&amp;" Bulan, "&amp;DATEDIF(S741,TODAY(),"MD")&amp;" Hari")</f>
        <v>59 Tahun, 4 Bulan, 22 Hari</v>
      </c>
      <c r="AC741" s="18" t="n">
        <v>45658</v>
      </c>
      <c r="AD741" s="18" t="n">
        <v>46022</v>
      </c>
      <c r="AE741" s="18" t="s">
        <v>44</v>
      </c>
    </row>
    <row r="742" customFormat="false" ht="15.75" hidden="false" customHeight="true" outlineLevel="0" collapsed="false">
      <c r="A742" s="12" t="n">
        <v>6607</v>
      </c>
      <c r="B742" s="13" t="s">
        <v>3291</v>
      </c>
      <c r="C742" s="14" t="n">
        <v>44713</v>
      </c>
      <c r="D742" s="13" t="s">
        <v>144</v>
      </c>
      <c r="E742" s="15" t="s">
        <v>47</v>
      </c>
      <c r="F742" s="15" t="str">
        <f aca="false">IFERROR(__xludf.dummyfunction("XLOOKUP(AJ742,IMPORTRANGE(""1XaInW9DU9nz21V0tYIfzFQ0He9kVQ_JF2mCXgZ3hqFA"",""REKAP ALL 2026 - Andika!G:G""),IMPORTRANGE(""1XaInW9DU9nz21V0tYIfzFQ0He9kVQ_JF2mCXgZ3hqFA"",""REKAP ALL 2026 - Andika!F:F""),"""",0)"),"22058867080")</f>
        <v>22058867080</v>
      </c>
      <c r="G742" s="13" t="s">
        <v>3292</v>
      </c>
      <c r="H742" s="13" t="s">
        <v>35</v>
      </c>
      <c r="I742" s="13" t="str">
        <f aca="false">IF(C742=J742,"NEW KONTRAK","RE-KONTRAK")</f>
        <v>RE-KONTRAK</v>
      </c>
      <c r="J742" s="16" t="n">
        <f aca="false" t="array" ref="J742:J742">IFERROR(INDEX(AC742:AE742,IF(COUNTA(AC742:AE742)=0,"",MAX((AC742:AE742&lt;&gt;"")*(COLUMN(AC742:AE742)-(COLUMN(AC742)))))-1),"")</f>
        <v>45658</v>
      </c>
      <c r="K742" s="16" t="n">
        <f aca="false" t="array" ref="K742:K742">IFERROR(INDEX(AC742:AE742,IF(COUNTA(AC742:AE742)=0,"",MAX((AC742:AE742&lt;&gt;"")*(COLUMN(AC742:AE742)-(COLUMN(AC742)-1))))-1),"")</f>
        <v>46022</v>
      </c>
      <c r="L742" s="17" t="str">
        <f aca="false" t="array" ref="L742:L742">IFERROR(INDEX(AC742:AE742,IF(COUNTA(AC742:AE742)=0,"",MAX((AC742:AE742&lt;&gt;"")*(COLUMN(AC742:AE742)-(COLUMN(AC742)-2))))-1),"")</f>
        <v>ARCHIVED</v>
      </c>
      <c r="M742" s="13" t="n">
        <f aca="true">K742-TODAY()</f>
        <v>-302</v>
      </c>
      <c r="N742" s="18" t="s">
        <v>36</v>
      </c>
      <c r="O742" s="13" t="s">
        <v>156</v>
      </c>
      <c r="P742" s="19" t="n">
        <v>5195401</v>
      </c>
      <c r="Q742" s="20" t="s">
        <v>3293</v>
      </c>
      <c r="R742" s="13" t="s">
        <v>65</v>
      </c>
      <c r="S742" s="14" t="n">
        <v>24602</v>
      </c>
      <c r="T742" s="13" t="s">
        <v>40</v>
      </c>
      <c r="U742" s="13" t="s">
        <v>3294</v>
      </c>
      <c r="V742" s="13" t="s">
        <v>42</v>
      </c>
      <c r="W742" s="13" t="s">
        <v>54</v>
      </c>
      <c r="X742" s="21" t="n">
        <v>88217528938</v>
      </c>
      <c r="Y742" s="22" t="str">
        <f aca="false">O742</f>
        <v>Emulsion</v>
      </c>
      <c r="Z742" s="13" t="str">
        <f aca="false">IFERROR(__xludf.dummyfunction("if(BJ742="""","""",GOOGLETRANSLATE(BJ742,""auto"",""en""))"),"Emulsion")</f>
        <v>Emulsion</v>
      </c>
      <c r="AA742" s="23" t="str">
        <f aca="false">IF(C742="","", CHOOSE(MONTH(C742),"January","February","March","April","May","June","July","August","September","October","November","December")&amp;" "&amp;DAY(C742)&amp;MID("thstndrdth",MIN(9,2*RIGHT(DAY(C742))*(MOD(DAY(C742)-11,100)&gt;2)+1),2)&amp;","&amp;TEXT(C742," yyyy"))</f>
        <v>June 1st,2022</v>
      </c>
      <c r="AB742" s="15" t="str">
        <f aca="true">IF(S742="","",DATEDIF(S742,TODAY(),"Y")&amp;" Tahun, "&amp;DATEDIF(S742,TODAY(),"YM")&amp;" Bulan, "&amp;DATEDIF(S742,TODAY(),"MD")&amp;" Hari")</f>
        <v>59 Tahun, 5 Bulan, 19 Hari</v>
      </c>
      <c r="AC742" s="18" t="n">
        <v>45658</v>
      </c>
      <c r="AD742" s="18" t="n">
        <v>46022</v>
      </c>
      <c r="AE742" s="18" t="s">
        <v>44</v>
      </c>
    </row>
    <row r="743" customFormat="false" ht="15.75" hidden="false" customHeight="true" outlineLevel="0" collapsed="false">
      <c r="A743" s="12" t="n">
        <v>6614</v>
      </c>
      <c r="B743" s="13" t="s">
        <v>3295</v>
      </c>
      <c r="C743" s="14" t="n">
        <v>44711</v>
      </c>
      <c r="D743" s="13" t="s">
        <v>1066</v>
      </c>
      <c r="E743" s="15" t="s">
        <v>47</v>
      </c>
      <c r="F743" s="15" t="str">
        <f aca="false">IFERROR(__xludf.dummyfunction("XLOOKUP(AJ743,IMPORTRANGE(""1XaInW9DU9nz21V0tYIfzFQ0He9kVQ_JF2mCXgZ3hqFA"",""REKAP ALL 2026 - Andika!G:G""),IMPORTRANGE(""1XaInW9DU9nz21V0tYIfzFQ0He9kVQ_JF2mCXgZ3hqFA"",""REKAP ALL 2026 - Andika!F:F""),"""",0)"),"22058868237")</f>
        <v>22058868237</v>
      </c>
      <c r="G743" s="13" t="s">
        <v>3296</v>
      </c>
      <c r="H743" s="13" t="s">
        <v>35</v>
      </c>
      <c r="I743" s="13" t="str">
        <f aca="false">IF(C743=J743,"NEW KONTRAK","RE-KONTRAK")</f>
        <v>RE-KONTRAK</v>
      </c>
      <c r="J743" s="16" t="n">
        <f aca="false" t="array" ref="J743:J743">IFERROR(INDEX(AC743:AE743,IF(COUNTA(AC743:AE743)=0,"",MAX((AC743:AE743&lt;&gt;"")*(COLUMN(AC743:AE743)-(COLUMN(AC743)))))-1),"")</f>
        <v>45658</v>
      </c>
      <c r="K743" s="16" t="n">
        <f aca="false" t="array" ref="K743:K743">IFERROR(INDEX(AC743:AE743,IF(COUNTA(AC743:AE743)=0,"",MAX((AC743:AE743&lt;&gt;"")*(COLUMN(AC743:AE743)-(COLUMN(AC743)-1))))-1),"")</f>
        <v>46022</v>
      </c>
      <c r="L743" s="17" t="str">
        <f aca="false" t="array" ref="L743:L743">IFERROR(INDEX(AC743:AE743,IF(COUNTA(AC743:AE743)=0,"",MAX((AC743:AE743&lt;&gt;"")*(COLUMN(AC743:AE743)-(COLUMN(AC743)-2))))-1),"")</f>
        <v>ARCHIVED</v>
      </c>
      <c r="M743" s="13" t="n">
        <f aca="true">K743-TODAY()</f>
        <v>-302</v>
      </c>
      <c r="N743" s="18" t="s">
        <v>615</v>
      </c>
      <c r="O743" s="13" t="s">
        <v>1140</v>
      </c>
      <c r="P743" s="19" t="n">
        <v>5176101</v>
      </c>
      <c r="Q743" s="20" t="s">
        <v>3297</v>
      </c>
      <c r="R743" s="13" t="s">
        <v>232</v>
      </c>
      <c r="S743" s="14" t="n">
        <v>37688</v>
      </c>
      <c r="T743" s="13" t="s">
        <v>40</v>
      </c>
      <c r="U743" s="13" t="s">
        <v>3298</v>
      </c>
      <c r="V743" s="13" t="s">
        <v>42</v>
      </c>
      <c r="W743" s="13" t="s">
        <v>43</v>
      </c>
      <c r="X743" s="21" t="n">
        <v>81554657059</v>
      </c>
      <c r="Y743" s="22" t="str">
        <f aca="false">O743</f>
        <v>GBJ Helper</v>
      </c>
      <c r="Z743" s="13" t="str">
        <f aca="false">IFERROR(__xludf.dummyfunction("if(BJ743="""","""",GOOGLETRANSLATE(BJ743,""auto"",""en""))"),"GBJ Helper")</f>
        <v>GBJ Helper</v>
      </c>
      <c r="AA743" s="23" t="str">
        <f aca="false">IF(C743="","", CHOOSE(MONTH(C743),"January","February","March","April","May","June","July","August","September","October","November","December")&amp;" "&amp;DAY(C743)&amp;MID("thstndrdth",MIN(9,2*RIGHT(DAY(C743))*(MOD(DAY(C743)-11,100)&gt;2)+1),2)&amp;","&amp;TEXT(C743," yyyy"))</f>
        <v>May 30th,2022</v>
      </c>
      <c r="AB743" s="15" t="str">
        <f aca="true">IF(S743="","",DATEDIF(S743,TODAY(),"Y")&amp;" Tahun, "&amp;DATEDIF(S743,TODAY(),"YM")&amp;" Bulan, "&amp;DATEDIF(S743,TODAY(),"MD")&amp;" Hari")</f>
        <v>23 Tahun, 7 Bulan, 21 Hari</v>
      </c>
      <c r="AC743" s="18" t="n">
        <v>45658</v>
      </c>
      <c r="AD743" s="18" t="n">
        <v>46022</v>
      </c>
      <c r="AE743" s="18" t="s">
        <v>44</v>
      </c>
    </row>
    <row r="744" customFormat="false" ht="15.75" hidden="false" customHeight="true" outlineLevel="0" collapsed="false">
      <c r="A744" s="12" t="n">
        <v>6664</v>
      </c>
      <c r="B744" s="13" t="s">
        <v>3299</v>
      </c>
      <c r="C744" s="14" t="n">
        <v>44714</v>
      </c>
      <c r="D744" s="13" t="s">
        <v>2046</v>
      </c>
      <c r="E744" s="15" t="s">
        <v>789</v>
      </c>
      <c r="F744" s="24" t="s">
        <v>3300</v>
      </c>
      <c r="G744" s="13" t="s">
        <v>3301</v>
      </c>
      <c r="H744" s="13" t="s">
        <v>35</v>
      </c>
      <c r="I744" s="13" t="str">
        <f aca="false">IF(C744=J744,"NEW KONTRAK","RE-KONTRAK")</f>
        <v>RE-KONTRAK</v>
      </c>
      <c r="J744" s="16" t="n">
        <f aca="false" t="array" ref="J744:J744">IFERROR(INDEX(AC744:AE744,IF(COUNTA(AC744:AE744)=0,"",MAX((AC744:AE744&lt;&gt;"")*(COLUMN(AC744:AE744)-(COLUMN(AC744)))))-1),"")</f>
        <v>45839</v>
      </c>
      <c r="K744" s="16" t="n">
        <f aca="false" t="array" ref="K744:K744">IFERROR(INDEX(AC744:AE744,IF(COUNTA(AC744:AE744)=0,"",MAX((AC744:AE744&lt;&gt;"")*(COLUMN(AC744:AE744)-(COLUMN(AC744)-1))))-1),"")</f>
        <v>45961</v>
      </c>
      <c r="L744" s="17" t="str">
        <f aca="false" t="array" ref="L744:L744">IFERROR(INDEX(AC744:AE744,IF(COUNTA(AC744:AE744)=0,"",MAX((AC744:AE744&lt;&gt;"")*(COLUMN(AC744:AE744)-(COLUMN(AC744)-2))))-1),"")</f>
        <v>ARCHIVED</v>
      </c>
      <c r="M744" s="13" t="n">
        <f aca="true">K744-TODAY()</f>
        <v>-363</v>
      </c>
      <c r="N744" s="18" t="s">
        <v>36</v>
      </c>
      <c r="O744" s="13" t="s">
        <v>2055</v>
      </c>
      <c r="P744" s="19" t="s">
        <v>2050</v>
      </c>
      <c r="Q744" s="20" t="s">
        <v>3302</v>
      </c>
      <c r="R744" s="13" t="s">
        <v>65</v>
      </c>
      <c r="S744" s="14" t="n">
        <v>36410</v>
      </c>
      <c r="T744" s="13" t="s">
        <v>40</v>
      </c>
      <c r="U744" s="13" t="s">
        <v>2666</v>
      </c>
      <c r="V744" s="13" t="s">
        <v>42</v>
      </c>
      <c r="W744" s="13" t="s">
        <v>43</v>
      </c>
      <c r="X744" s="21" t="n">
        <v>83100821390</v>
      </c>
      <c r="Y744" s="22" t="str">
        <f aca="false">O744</f>
        <v>Assembly</v>
      </c>
      <c r="Z744" s="13" t="str">
        <f aca="false">IFERROR(__xludf.dummyfunction("if(BJ744="""","""",GOOGLETRANSLATE(BJ744,""auto"",""en""))"),"Assembly")</f>
        <v>Assembly</v>
      </c>
      <c r="AA744" s="23" t="str">
        <f aca="false">IF(C744="","", CHOOSE(MONTH(C744),"January","February","March","April","May","June","July","August","September","October","November","December")&amp;" "&amp;DAY(C744)&amp;MID("thstndrdth",MIN(9,2*RIGHT(DAY(C744))*(MOD(DAY(C744)-11,100)&gt;2)+1),2)&amp;","&amp;TEXT(C744," yyyy"))</f>
        <v>June 2nd,2022</v>
      </c>
      <c r="AB744" s="15" t="str">
        <f aca="true">IF(S744="","",DATEDIF(S744,TODAY(),"Y")&amp;" Tahun, "&amp;DATEDIF(S744,TODAY(),"YM")&amp;" Bulan, "&amp;DATEDIF(S744,TODAY(),"MD")&amp;" Hari")</f>
        <v>27 Tahun, 1 Bulan, 22 Hari</v>
      </c>
      <c r="AC744" s="18" t="n">
        <v>45839</v>
      </c>
      <c r="AD744" s="18" t="n">
        <v>45961</v>
      </c>
      <c r="AE744" s="18" t="s">
        <v>44</v>
      </c>
    </row>
    <row r="745" customFormat="false" ht="15.75" hidden="false" customHeight="true" outlineLevel="0" collapsed="false">
      <c r="A745" s="12" t="n">
        <v>6665</v>
      </c>
      <c r="B745" s="13" t="s">
        <v>3303</v>
      </c>
      <c r="C745" s="14" t="n">
        <v>44714</v>
      </c>
      <c r="D745" s="13" t="s">
        <v>2046</v>
      </c>
      <c r="E745" s="15" t="s">
        <v>102</v>
      </c>
      <c r="F745" s="24" t="s">
        <v>3304</v>
      </c>
      <c r="G745" s="13" t="s">
        <v>3305</v>
      </c>
      <c r="H745" s="13" t="s">
        <v>35</v>
      </c>
      <c r="I745" s="13" t="str">
        <f aca="false">IF(C745=J745,"NEW KONTRAK","RE-KONTRAK")</f>
        <v>RE-KONTRAK</v>
      </c>
      <c r="J745" s="16" t="n">
        <f aca="false" t="array" ref="J745:J745">IFERROR(INDEX(AC745:AE745,IF(COUNTA(AC745:AE745)=0,"",MAX((AC745:AE745&lt;&gt;"")*(COLUMN(AC745:AE745)-(COLUMN(AC745)))))-1),"")</f>
        <v>45839</v>
      </c>
      <c r="K745" s="16" t="n">
        <f aca="false" t="array" ref="K745:K745">IFERROR(INDEX(AC745:AE745,IF(COUNTA(AC745:AE745)=0,"",MAX((AC745:AE745&lt;&gt;"")*(COLUMN(AC745:AE745)-(COLUMN(AC745)-1))))-1),"")</f>
        <v>45961</v>
      </c>
      <c r="L745" s="17" t="str">
        <f aca="false" t="array" ref="L745:L745">IFERROR(INDEX(AC745:AE745,IF(COUNTA(AC745:AE745)=0,"",MAX((AC745:AE745&lt;&gt;"")*(COLUMN(AC745:AE745)-(COLUMN(AC745)-2))))-1),"")</f>
        <v>ARCHIVED</v>
      </c>
      <c r="M745" s="13" t="n">
        <f aca="true">K745-TODAY()</f>
        <v>-363</v>
      </c>
      <c r="N745" s="18" t="s">
        <v>36</v>
      </c>
      <c r="O745" s="13" t="s">
        <v>2055</v>
      </c>
      <c r="P745" s="19" t="s">
        <v>2050</v>
      </c>
      <c r="Q745" s="20" t="s">
        <v>3306</v>
      </c>
      <c r="R745" s="13" t="s">
        <v>78</v>
      </c>
      <c r="S745" s="14" t="n">
        <v>36038</v>
      </c>
      <c r="T745" s="13" t="s">
        <v>40</v>
      </c>
      <c r="U745" s="13" t="s">
        <v>3307</v>
      </c>
      <c r="V745" s="13" t="s">
        <v>42</v>
      </c>
      <c r="W745" s="13" t="s">
        <v>43</v>
      </c>
      <c r="X745" s="21" t="n">
        <v>88228434251</v>
      </c>
      <c r="Y745" s="22" t="str">
        <f aca="false">O745</f>
        <v>Assembly</v>
      </c>
      <c r="Z745" s="13" t="str">
        <f aca="false">IFERROR(__xludf.dummyfunction("if(BJ745="""","""",GOOGLETRANSLATE(BJ745,""auto"",""en""))"),"Assembly")</f>
        <v>Assembly</v>
      </c>
      <c r="AA745" s="23" t="str">
        <f aca="false">IF(C745="","", CHOOSE(MONTH(C745),"January","February","March","April","May","June","July","August","September","October","November","December")&amp;" "&amp;DAY(C745)&amp;MID("thstndrdth",MIN(9,2*RIGHT(DAY(C745))*(MOD(DAY(C745)-11,100)&gt;2)+1),2)&amp;","&amp;TEXT(C745," yyyy"))</f>
        <v>June 2nd,2022</v>
      </c>
      <c r="AB745" s="15" t="str">
        <f aca="true">IF(S745="","",DATEDIF(S745,TODAY(),"Y")&amp;" Tahun, "&amp;DATEDIF(S745,TODAY(),"YM")&amp;" Bulan, "&amp;DATEDIF(S745,TODAY(),"MD")&amp;" Hari")</f>
        <v>28 Tahun, 1 Bulan, 28 Hari</v>
      </c>
      <c r="AC745" s="18" t="n">
        <v>45839</v>
      </c>
      <c r="AD745" s="18" t="n">
        <v>45961</v>
      </c>
      <c r="AE745" s="18" t="s">
        <v>44</v>
      </c>
    </row>
    <row r="746" customFormat="false" ht="15.75" hidden="false" customHeight="true" outlineLevel="0" collapsed="false">
      <c r="A746" s="12" t="n">
        <v>6666</v>
      </c>
      <c r="B746" s="13" t="s">
        <v>3308</v>
      </c>
      <c r="C746" s="14" t="n">
        <v>44714</v>
      </c>
      <c r="D746" s="13" t="s">
        <v>2046</v>
      </c>
      <c r="E746" s="15" t="s">
        <v>789</v>
      </c>
      <c r="F746" s="24" t="s">
        <v>3309</v>
      </c>
      <c r="G746" s="13" t="s">
        <v>3310</v>
      </c>
      <c r="H746" s="13" t="s">
        <v>35</v>
      </c>
      <c r="I746" s="13" t="str">
        <f aca="false">IF(C746=J746,"NEW KONTRAK","RE-KONTRAK")</f>
        <v>RE-KONTRAK</v>
      </c>
      <c r="J746" s="16" t="n">
        <f aca="false" t="array" ref="J746:J746">IFERROR(INDEX(AC746:AE746,IF(COUNTA(AC746:AE746)=0,"",MAX((AC746:AE746&lt;&gt;"")*(COLUMN(AC746:AE746)-(COLUMN(AC746)))))-1),"")</f>
        <v>45839</v>
      </c>
      <c r="K746" s="16" t="n">
        <f aca="false" t="array" ref="K746:K746">IFERROR(INDEX(AC746:AE746,IF(COUNTA(AC746:AE746)=0,"",MAX((AC746:AE746&lt;&gt;"")*(COLUMN(AC746:AE746)-(COLUMN(AC746)-1))))-1),"")</f>
        <v>45961</v>
      </c>
      <c r="L746" s="17" t="str">
        <f aca="false" t="array" ref="L746:L746">IFERROR(INDEX(AC746:AE746,IF(COUNTA(AC746:AE746)=0,"",MAX((AC746:AE746&lt;&gt;"")*(COLUMN(AC746:AE746)-(COLUMN(AC746)-2))))-1),"")</f>
        <v>ARCHIVED</v>
      </c>
      <c r="M746" s="13" t="n">
        <f aca="true">K746-TODAY()</f>
        <v>-363</v>
      </c>
      <c r="N746" s="18" t="s">
        <v>36</v>
      </c>
      <c r="O746" s="13" t="s">
        <v>2055</v>
      </c>
      <c r="P746" s="19" t="s">
        <v>2050</v>
      </c>
      <c r="Q746" s="20" t="s">
        <v>3311</v>
      </c>
      <c r="R746" s="13" t="s">
        <v>65</v>
      </c>
      <c r="S746" s="14" t="n">
        <v>37035</v>
      </c>
      <c r="T746" s="13" t="s">
        <v>40</v>
      </c>
      <c r="U746" s="13" t="s">
        <v>3312</v>
      </c>
      <c r="V746" s="13" t="s">
        <v>42</v>
      </c>
      <c r="W746" s="13" t="s">
        <v>43</v>
      </c>
      <c r="X746" s="21" t="n">
        <v>82142890810</v>
      </c>
      <c r="Y746" s="22" t="str">
        <f aca="false">O746</f>
        <v>Assembly</v>
      </c>
      <c r="Z746" s="13" t="str">
        <f aca="false">IFERROR(__xludf.dummyfunction("if(BJ746="""","""",GOOGLETRANSLATE(BJ746,""auto"",""en""))"),"Assembly")</f>
        <v>Assembly</v>
      </c>
      <c r="AA746" s="23" t="str">
        <f aca="false">IF(C746="","", CHOOSE(MONTH(C746),"January","February","March","April","May","June","July","August","September","October","November","December")&amp;" "&amp;DAY(C746)&amp;MID("thstndrdth",MIN(9,2*RIGHT(DAY(C746))*(MOD(DAY(C746)-11,100)&gt;2)+1),2)&amp;","&amp;TEXT(C746," yyyy"))</f>
        <v>June 2nd,2022</v>
      </c>
      <c r="AB746" s="15" t="str">
        <f aca="true">IF(S746="","",DATEDIF(S746,TODAY(),"Y")&amp;" Tahun, "&amp;DATEDIF(S746,TODAY(),"YM")&amp;" Bulan, "&amp;DATEDIF(S746,TODAY(),"MD")&amp;" Hari")</f>
        <v>25 Tahun, 5 Bulan, 5 Hari</v>
      </c>
      <c r="AC746" s="18" t="n">
        <v>45839</v>
      </c>
      <c r="AD746" s="18" t="n">
        <v>45961</v>
      </c>
      <c r="AE746" s="18" t="s">
        <v>44</v>
      </c>
    </row>
    <row r="747" customFormat="false" ht="15.75" hidden="false" customHeight="true" outlineLevel="0" collapsed="false">
      <c r="A747" s="12" t="n">
        <v>6667</v>
      </c>
      <c r="B747" s="13" t="s">
        <v>3313</v>
      </c>
      <c r="C747" s="14" t="n">
        <v>44714</v>
      </c>
      <c r="D747" s="13" t="s">
        <v>2046</v>
      </c>
      <c r="E747" s="15" t="s">
        <v>789</v>
      </c>
      <c r="F747" s="24" t="s">
        <v>3314</v>
      </c>
      <c r="G747" s="13" t="s">
        <v>3315</v>
      </c>
      <c r="H747" s="13" t="s">
        <v>35</v>
      </c>
      <c r="I747" s="13" t="str">
        <f aca="false">IF(C747=J747,"NEW KONTRAK","RE-KONTRAK")</f>
        <v>RE-KONTRAK</v>
      </c>
      <c r="J747" s="16" t="n">
        <f aca="false" t="array" ref="J747:J747">IFERROR(INDEX(AC747:AE747,IF(COUNTA(AC747:AE747)=0,"",MAX((AC747:AE747&lt;&gt;"")*(COLUMN(AC747:AE747)-(COLUMN(AC747)))))-1),"")</f>
        <v>45839</v>
      </c>
      <c r="K747" s="16" t="n">
        <f aca="false" t="array" ref="K747:K747">IFERROR(INDEX(AC747:AE747,IF(COUNTA(AC747:AE747)=0,"",MAX((AC747:AE747&lt;&gt;"")*(COLUMN(AC747:AE747)-(COLUMN(AC747)-1))))-1),"")</f>
        <v>45961</v>
      </c>
      <c r="L747" s="17" t="str">
        <f aca="false" t="array" ref="L747:L747">IFERROR(INDEX(AC747:AE747,IF(COUNTA(AC747:AE747)=0,"",MAX((AC747:AE747&lt;&gt;"")*(COLUMN(AC747:AE747)-(COLUMN(AC747)-2))))-1),"")</f>
        <v>ARCHIVED</v>
      </c>
      <c r="M747" s="13" t="n">
        <f aca="true">K747-TODAY()</f>
        <v>-363</v>
      </c>
      <c r="N747" s="18" t="s">
        <v>36</v>
      </c>
      <c r="O747" s="13" t="s">
        <v>2049</v>
      </c>
      <c r="P747" s="19" t="s">
        <v>2050</v>
      </c>
      <c r="Q747" s="20" t="s">
        <v>3316</v>
      </c>
      <c r="R747" s="13" t="s">
        <v>958</v>
      </c>
      <c r="S747" s="14" t="n">
        <v>33477</v>
      </c>
      <c r="T747" s="13" t="s">
        <v>40</v>
      </c>
      <c r="U747" s="13" t="s">
        <v>3317</v>
      </c>
      <c r="V747" s="13" t="s">
        <v>42</v>
      </c>
      <c r="W747" s="13" t="s">
        <v>54</v>
      </c>
      <c r="X747" s="21" t="n">
        <v>81258534512</v>
      </c>
      <c r="Y747" s="22" t="str">
        <f aca="false">O747</f>
        <v>Produksi Extrude</v>
      </c>
      <c r="Z747" s="13" t="str">
        <f aca="false">IFERROR(__xludf.dummyfunction("if(BJ747="""","""",GOOGLETRANSLATE(BJ747,""auto"",""en""))"),"Extrude Production")</f>
        <v>Extrude Production</v>
      </c>
      <c r="AA747" s="23" t="str">
        <f aca="false">IF(C747="","", CHOOSE(MONTH(C747),"January","February","March","April","May","June","July","August","September","October","November","December")&amp;" "&amp;DAY(C747)&amp;MID("thstndrdth",MIN(9,2*RIGHT(DAY(C747))*(MOD(DAY(C747)-11,100)&gt;2)+1),2)&amp;","&amp;TEXT(C747," yyyy"))</f>
        <v>June 2nd,2022</v>
      </c>
      <c r="AB747" s="15" t="str">
        <f aca="true">IF(S747="","",DATEDIF(S747,TODAY(),"Y")&amp;" Tahun, "&amp;DATEDIF(S747,TODAY(),"YM")&amp;" Bulan, "&amp;DATEDIF(S747,TODAY(),"MD")&amp;" Hari")</f>
        <v>35 Tahun, 2 Bulan, 2 Hari</v>
      </c>
      <c r="AC747" s="18" t="n">
        <v>45839</v>
      </c>
      <c r="AD747" s="18" t="n">
        <v>45961</v>
      </c>
      <c r="AE747" s="18" t="s">
        <v>44</v>
      </c>
    </row>
    <row r="748" customFormat="false" ht="15.75" hidden="false" customHeight="true" outlineLevel="0" collapsed="false">
      <c r="A748" s="12" t="n">
        <v>6668</v>
      </c>
      <c r="B748" s="13" t="s">
        <v>3318</v>
      </c>
      <c r="C748" s="14" t="n">
        <v>44714</v>
      </c>
      <c r="D748" s="13" t="s">
        <v>2046</v>
      </c>
      <c r="E748" s="15" t="s">
        <v>102</v>
      </c>
      <c r="F748" s="24" t="s">
        <v>3319</v>
      </c>
      <c r="G748" s="13" t="s">
        <v>3320</v>
      </c>
      <c r="H748" s="13" t="s">
        <v>35</v>
      </c>
      <c r="I748" s="13" t="str">
        <f aca="false">IF(C748=J748,"NEW KONTRAK","RE-KONTRAK")</f>
        <v>RE-KONTRAK</v>
      </c>
      <c r="J748" s="16" t="n">
        <f aca="false" t="array" ref="J748:J748">IFERROR(INDEX(AC748:AE748,IF(COUNTA(AC748:AE748)=0,"",MAX((AC748:AE748&lt;&gt;"")*(COLUMN(AC748:AE748)-(COLUMN(AC748)))))-1),"")</f>
        <v>45839</v>
      </c>
      <c r="K748" s="16" t="n">
        <f aca="false" t="array" ref="K748:K748">IFERROR(INDEX(AC748:AE748,IF(COUNTA(AC748:AE748)=0,"",MAX((AC748:AE748&lt;&gt;"")*(COLUMN(AC748:AE748)-(COLUMN(AC748)-1))))-1),"")</f>
        <v>45961</v>
      </c>
      <c r="L748" s="17" t="str">
        <f aca="false" t="array" ref="L748:L748">IFERROR(INDEX(AC748:AE748,IF(COUNTA(AC748:AE748)=0,"",MAX((AC748:AE748&lt;&gt;"")*(COLUMN(AC748:AE748)-(COLUMN(AC748)-2))))-1),"")</f>
        <v>ARCHIVED</v>
      </c>
      <c r="M748" s="13" t="n">
        <f aca="true">K748-TODAY()</f>
        <v>-363</v>
      </c>
      <c r="N748" s="18" t="s">
        <v>36</v>
      </c>
      <c r="O748" s="13" t="s">
        <v>2055</v>
      </c>
      <c r="P748" s="19" t="s">
        <v>2050</v>
      </c>
      <c r="Q748" s="20" t="s">
        <v>3321</v>
      </c>
      <c r="R748" s="13" t="s">
        <v>232</v>
      </c>
      <c r="S748" s="14" t="n">
        <v>36140</v>
      </c>
      <c r="T748" s="13" t="s">
        <v>40</v>
      </c>
      <c r="U748" s="13" t="s">
        <v>3322</v>
      </c>
      <c r="V748" s="13" t="s">
        <v>42</v>
      </c>
      <c r="W748" s="13" t="s">
        <v>43</v>
      </c>
      <c r="X748" s="21" t="n">
        <v>85646596126</v>
      </c>
      <c r="Y748" s="22" t="str">
        <f aca="false">O748</f>
        <v>Assembly</v>
      </c>
      <c r="Z748" s="13" t="str">
        <f aca="false">IFERROR(__xludf.dummyfunction("if(BJ748="""","""",GOOGLETRANSLATE(BJ748,""auto"",""en""))"),"Assembly")</f>
        <v>Assembly</v>
      </c>
      <c r="AA748" s="23" t="str">
        <f aca="false">IF(C748="","", CHOOSE(MONTH(C748),"January","February","March","April","May","June","July","August","September","October","November","December")&amp;" "&amp;DAY(C748)&amp;MID("thstndrdth",MIN(9,2*RIGHT(DAY(C748))*(MOD(DAY(C748)-11,100)&gt;2)+1),2)&amp;","&amp;TEXT(C748," yyyy"))</f>
        <v>June 2nd,2022</v>
      </c>
      <c r="AB748" s="15" t="str">
        <f aca="true">IF(S748="","",DATEDIF(S748,TODAY(),"Y")&amp;" Tahun, "&amp;DATEDIF(S748,TODAY(),"YM")&amp;" Bulan, "&amp;DATEDIF(S748,TODAY(),"MD")&amp;" Hari")</f>
        <v>27 Tahun, 10 Bulan, 18 Hari</v>
      </c>
      <c r="AC748" s="18" t="n">
        <v>45839</v>
      </c>
      <c r="AD748" s="18" t="n">
        <v>45961</v>
      </c>
      <c r="AE748" s="18" t="s">
        <v>44</v>
      </c>
    </row>
    <row r="749" customFormat="false" ht="15.75" hidden="false" customHeight="true" outlineLevel="0" collapsed="false">
      <c r="A749" s="12" t="n">
        <v>6671</v>
      </c>
      <c r="B749" s="13" t="s">
        <v>3323</v>
      </c>
      <c r="C749" s="14" t="n">
        <v>44714</v>
      </c>
      <c r="D749" s="13" t="s">
        <v>2046</v>
      </c>
      <c r="E749" s="15" t="s">
        <v>789</v>
      </c>
      <c r="F749" s="24" t="s">
        <v>3324</v>
      </c>
      <c r="G749" s="13" t="s">
        <v>3325</v>
      </c>
      <c r="H749" s="13" t="s">
        <v>35</v>
      </c>
      <c r="I749" s="13" t="str">
        <f aca="false">IF(C749=J749,"NEW KONTRAK","RE-KONTRAK")</f>
        <v>RE-KONTRAK</v>
      </c>
      <c r="J749" s="16" t="n">
        <f aca="false" t="array" ref="J749:J749">IFERROR(INDEX(AC749:AE749,IF(COUNTA(AC749:AE749)=0,"",MAX((AC749:AE749&lt;&gt;"")*(COLUMN(AC749:AE749)-(COLUMN(AC749)))))-1),"")</f>
        <v>45839</v>
      </c>
      <c r="K749" s="16" t="n">
        <f aca="false" t="array" ref="K749:K749">IFERROR(INDEX(AC749:AE749,IF(COUNTA(AC749:AE749)=0,"",MAX((AC749:AE749&lt;&gt;"")*(COLUMN(AC749:AE749)-(COLUMN(AC749)-1))))-1),"")</f>
        <v>45961</v>
      </c>
      <c r="L749" s="17" t="str">
        <f aca="false" t="array" ref="L749:L749">IFERROR(INDEX(AC749:AE749,IF(COUNTA(AC749:AE749)=0,"",MAX((AC749:AE749&lt;&gt;"")*(COLUMN(AC749:AE749)-(COLUMN(AC749)-2))))-1),"")</f>
        <v>ARCHIVED</v>
      </c>
      <c r="M749" s="13" t="n">
        <f aca="true">K749-TODAY()</f>
        <v>-363</v>
      </c>
      <c r="N749" s="18" t="s">
        <v>36</v>
      </c>
      <c r="O749" s="13" t="s">
        <v>2055</v>
      </c>
      <c r="P749" s="19" t="s">
        <v>2050</v>
      </c>
      <c r="Q749" s="20" t="s">
        <v>3326</v>
      </c>
      <c r="R749" s="13" t="s">
        <v>39</v>
      </c>
      <c r="S749" s="14" t="n">
        <v>34227</v>
      </c>
      <c r="T749" s="13" t="s">
        <v>40</v>
      </c>
      <c r="U749" s="13" t="s">
        <v>3327</v>
      </c>
      <c r="V749" s="13" t="s">
        <v>42</v>
      </c>
      <c r="W749" s="13" t="s">
        <v>54</v>
      </c>
      <c r="X749" s="21" t="n">
        <v>85748411103</v>
      </c>
      <c r="Y749" s="22" t="str">
        <f aca="false">O749</f>
        <v>Assembly</v>
      </c>
      <c r="Z749" s="13" t="str">
        <f aca="false">IFERROR(__xludf.dummyfunction("if(BJ749="""","""",GOOGLETRANSLATE(BJ749,""auto"",""en""))"),"Assembly")</f>
        <v>Assembly</v>
      </c>
      <c r="AA749" s="23" t="str">
        <f aca="false">IF(C749="","", CHOOSE(MONTH(C749),"January","February","March","April","May","June","July","August","September","October","November","December")&amp;" "&amp;DAY(C749)&amp;MID("thstndrdth",MIN(9,2*RIGHT(DAY(C749))*(MOD(DAY(C749)-11,100)&gt;2)+1),2)&amp;","&amp;TEXT(C749," yyyy"))</f>
        <v>June 2nd,2022</v>
      </c>
      <c r="AB749" s="15" t="str">
        <f aca="true">IF(S749="","",DATEDIF(S749,TODAY(),"Y")&amp;" Tahun, "&amp;DATEDIF(S749,TODAY(),"YM")&amp;" Bulan, "&amp;DATEDIF(S749,TODAY(),"MD")&amp;" Hari")</f>
        <v>33 Tahun, 1 Bulan, 14 Hari</v>
      </c>
      <c r="AC749" s="18" t="n">
        <v>45839</v>
      </c>
      <c r="AD749" s="18" t="n">
        <v>45961</v>
      </c>
      <c r="AE749" s="18" t="s">
        <v>44</v>
      </c>
    </row>
    <row r="750" customFormat="false" ht="15.75" hidden="false" customHeight="true" outlineLevel="0" collapsed="false">
      <c r="A750" s="12" t="n">
        <v>6672</v>
      </c>
      <c r="B750" s="13" t="s">
        <v>3328</v>
      </c>
      <c r="C750" s="14" t="n">
        <v>44714</v>
      </c>
      <c r="D750" s="13" t="s">
        <v>2046</v>
      </c>
      <c r="E750" s="15" t="s">
        <v>102</v>
      </c>
      <c r="F750" s="15" t="str">
        <f aca="false">IFERROR(__xludf.dummyfunction("XLOOKUP(AJ750,IMPORTRANGE(""1XaInW9DU9nz21V0tYIfzFQ0He9kVQ_JF2mCXgZ3hqFA"",""REKAP ALL 2026 - Andika!G:G""),IMPORTRANGE(""1XaInW9DU9nz21V0tYIfzFQ0He9kVQ_JF2mCXgZ3hqFA"",""REKAP ALL 2026 - Andika!F:F""),"""",0)"),"22058864566")</f>
        <v>22058864566</v>
      </c>
      <c r="G750" s="13" t="s">
        <v>3329</v>
      </c>
      <c r="H750" s="13" t="s">
        <v>35</v>
      </c>
      <c r="I750" s="13" t="str">
        <f aca="false">IF(C750=J750,"NEW KONTRAK","RE-KONTRAK")</f>
        <v>RE-KONTRAK</v>
      </c>
      <c r="J750" s="16" t="n">
        <f aca="false" t="array" ref="J750:J750">IFERROR(INDEX(AC750:AE750,IF(COUNTA(AC750:AE750)=0,"",MAX((AC750:AE750&lt;&gt;"")*(COLUMN(AC750:AE750)-(COLUMN(AC750)))))-1),"")</f>
        <v>45839</v>
      </c>
      <c r="K750" s="16" t="n">
        <f aca="false" t="array" ref="K750:K750">IFERROR(INDEX(AC750:AE750,IF(COUNTA(AC750:AE750)=0,"",MAX((AC750:AE750&lt;&gt;"")*(COLUMN(AC750:AE750)-(COLUMN(AC750)-1))))-1),"")</f>
        <v>45961</v>
      </c>
      <c r="L750" s="17" t="str">
        <f aca="false" t="array" ref="L750:L750">IFERROR(INDEX(AC750:AE750,IF(COUNTA(AC750:AE750)=0,"",MAX((AC750:AE750&lt;&gt;"")*(COLUMN(AC750:AE750)-(COLUMN(AC750)-2))))-1),"")</f>
        <v>ARCHIVED</v>
      </c>
      <c r="M750" s="13" t="n">
        <f aca="true">K750-TODAY()</f>
        <v>-363</v>
      </c>
      <c r="N750" s="18" t="s">
        <v>36</v>
      </c>
      <c r="O750" s="13" t="s">
        <v>2055</v>
      </c>
      <c r="P750" s="19" t="s">
        <v>2050</v>
      </c>
      <c r="Q750" s="20" t="s">
        <v>3330</v>
      </c>
      <c r="R750" s="13" t="s">
        <v>78</v>
      </c>
      <c r="S750" s="14" t="n">
        <v>35119</v>
      </c>
      <c r="T750" s="13" t="s">
        <v>40</v>
      </c>
      <c r="U750" s="13" t="s">
        <v>3331</v>
      </c>
      <c r="V750" s="13" t="s">
        <v>42</v>
      </c>
      <c r="W750" s="13" t="s">
        <v>43</v>
      </c>
      <c r="X750" s="21" t="n">
        <v>83135951982</v>
      </c>
      <c r="Y750" s="22" t="str">
        <f aca="false">O750</f>
        <v>Assembly</v>
      </c>
      <c r="Z750" s="13" t="str">
        <f aca="false">IFERROR(__xludf.dummyfunction("if(BJ750="""","""",GOOGLETRANSLATE(BJ750,""auto"",""en""))"),"Assembly")</f>
        <v>Assembly</v>
      </c>
      <c r="AA750" s="23" t="str">
        <f aca="false">IF(C750="","", CHOOSE(MONTH(C750),"January","February","March","April","May","June","July","August","September","October","November","December")&amp;" "&amp;DAY(C750)&amp;MID("thstndrdth",MIN(9,2*RIGHT(DAY(C750))*(MOD(DAY(C750)-11,100)&gt;2)+1),2)&amp;","&amp;TEXT(C750," yyyy"))</f>
        <v>June 2nd,2022</v>
      </c>
      <c r="AB750" s="15" t="str">
        <f aca="true">IF(S750="","",DATEDIF(S750,TODAY(),"Y")&amp;" Tahun, "&amp;DATEDIF(S750,TODAY(),"YM")&amp;" Bulan, "&amp;DATEDIF(S750,TODAY(),"MD")&amp;" Hari")</f>
        <v>30 Tahun, 8 Bulan, 5 Hari</v>
      </c>
      <c r="AC750" s="18" t="n">
        <v>45839</v>
      </c>
      <c r="AD750" s="18" t="n">
        <v>45961</v>
      </c>
      <c r="AE750" s="18" t="s">
        <v>44</v>
      </c>
    </row>
    <row r="751" customFormat="false" ht="15.75" hidden="false" customHeight="true" outlineLevel="0" collapsed="false">
      <c r="A751" s="12" t="n">
        <v>6673</v>
      </c>
      <c r="B751" s="13" t="s">
        <v>3332</v>
      </c>
      <c r="C751" s="14" t="n">
        <v>44714</v>
      </c>
      <c r="D751" s="13" t="s">
        <v>2046</v>
      </c>
      <c r="E751" s="15" t="s">
        <v>789</v>
      </c>
      <c r="F751" s="24" t="s">
        <v>3333</v>
      </c>
      <c r="G751" s="13" t="s">
        <v>3334</v>
      </c>
      <c r="H751" s="13" t="s">
        <v>35</v>
      </c>
      <c r="I751" s="13" t="str">
        <f aca="false">IF(C751=J751,"NEW KONTRAK","RE-KONTRAK")</f>
        <v>RE-KONTRAK</v>
      </c>
      <c r="J751" s="16" t="n">
        <f aca="false" t="array" ref="J751:J751">IFERROR(INDEX(AC751:AE751,IF(COUNTA(AC751:AE751)=0,"",MAX((AC751:AE751&lt;&gt;"")*(COLUMN(AC751:AE751)-(COLUMN(AC751)))))-1),"")</f>
        <v>45839</v>
      </c>
      <c r="K751" s="16" t="n">
        <f aca="false" t="array" ref="K751:K751">IFERROR(INDEX(AC751:AE751,IF(COUNTA(AC751:AE751)=0,"",MAX((AC751:AE751&lt;&gt;"")*(COLUMN(AC751:AE751)-(COLUMN(AC751)-1))))-1),"")</f>
        <v>45961</v>
      </c>
      <c r="L751" s="17" t="str">
        <f aca="false" t="array" ref="L751:L751">IFERROR(INDEX(AC751:AE751,IF(COUNTA(AC751:AE751)=0,"",MAX((AC751:AE751&lt;&gt;"")*(COLUMN(AC751:AE751)-(COLUMN(AC751)-2))))-1),"")</f>
        <v>ARCHIVED</v>
      </c>
      <c r="M751" s="13" t="n">
        <f aca="true">K751-TODAY()</f>
        <v>-363</v>
      </c>
      <c r="N751" s="18" t="s">
        <v>36</v>
      </c>
      <c r="O751" s="13" t="s">
        <v>2055</v>
      </c>
      <c r="P751" s="19" t="s">
        <v>2050</v>
      </c>
      <c r="Q751" s="20" t="s">
        <v>3335</v>
      </c>
      <c r="R751" s="13" t="s">
        <v>1842</v>
      </c>
      <c r="S751" s="14" t="n">
        <v>31945</v>
      </c>
      <c r="T751" s="13" t="s">
        <v>40</v>
      </c>
      <c r="U751" s="13" t="s">
        <v>3336</v>
      </c>
      <c r="V751" s="13" t="s">
        <v>42</v>
      </c>
      <c r="W751" s="13" t="s">
        <v>43</v>
      </c>
      <c r="X751" s="21" t="n">
        <v>81234061213</v>
      </c>
      <c r="Y751" s="22" t="str">
        <f aca="false">O751</f>
        <v>Assembly</v>
      </c>
      <c r="Z751" s="13" t="str">
        <f aca="false">IFERROR(__xludf.dummyfunction("if(BJ751="""","""",GOOGLETRANSLATE(BJ751,""auto"",""en""))"),"Assembly")</f>
        <v>Assembly</v>
      </c>
      <c r="AA751" s="23" t="str">
        <f aca="false">IF(C751="","", CHOOSE(MONTH(C751),"January","February","March","April","May","June","July","August","September","October","November","December")&amp;" "&amp;DAY(C751)&amp;MID("thstndrdth",MIN(9,2*RIGHT(DAY(C751))*(MOD(DAY(C751)-11,100)&gt;2)+1),2)&amp;","&amp;TEXT(C751," yyyy"))</f>
        <v>June 2nd,2022</v>
      </c>
      <c r="AB751" s="15" t="str">
        <f aca="true">IF(S751="","",DATEDIF(S751,TODAY(),"Y")&amp;" Tahun, "&amp;DATEDIF(S751,TODAY(),"YM")&amp;" Bulan, "&amp;DATEDIF(S751,TODAY(),"MD")&amp;" Hari")</f>
        <v>39 Tahun, 4 Bulan, 12 Hari</v>
      </c>
      <c r="AC751" s="18" t="n">
        <v>45839</v>
      </c>
      <c r="AD751" s="18" t="n">
        <v>45961</v>
      </c>
      <c r="AE751" s="18" t="s">
        <v>44</v>
      </c>
    </row>
    <row r="752" customFormat="false" ht="15.75" hidden="false" customHeight="true" outlineLevel="0" collapsed="false">
      <c r="A752" s="12" t="n">
        <v>6675</v>
      </c>
      <c r="B752" s="13" t="s">
        <v>3337</v>
      </c>
      <c r="C752" s="14" t="n">
        <v>44714</v>
      </c>
      <c r="D752" s="13" t="s">
        <v>2046</v>
      </c>
      <c r="E752" s="15" t="s">
        <v>102</v>
      </c>
      <c r="F752" s="15" t="str">
        <f aca="false">IFERROR(__xludf.dummyfunction("XLOOKUP(AJ752,IMPORTRANGE(""1XaInW9DU9nz21V0tYIfzFQ0He9kVQ_JF2mCXgZ3hqFA"",""REKAP ALL 2026 - Andika!G:G""),IMPORTRANGE(""1XaInW9DU9nz21V0tYIfzFQ0He9kVQ_JF2mCXgZ3hqFA"",""REKAP ALL 2026 - Andika!F:F""),"""",0)"),"22058864640")</f>
        <v>22058864640</v>
      </c>
      <c r="G752" s="13" t="s">
        <v>3338</v>
      </c>
      <c r="H752" s="13" t="s">
        <v>35</v>
      </c>
      <c r="I752" s="13" t="str">
        <f aca="false">IF(C752=J752,"NEW KONTRAK","RE-KONTRAK")</f>
        <v>RE-KONTRAK</v>
      </c>
      <c r="J752" s="16" t="n">
        <f aca="false" t="array" ref="J752:J752">IFERROR(INDEX(AC752:AE752,IF(COUNTA(AC752:AE752)=0,"",MAX((AC752:AE752&lt;&gt;"")*(COLUMN(AC752:AE752)-(COLUMN(AC752)))))-1),"")</f>
        <v>45839</v>
      </c>
      <c r="K752" s="16" t="n">
        <f aca="false" t="array" ref="K752:K752">IFERROR(INDEX(AC752:AE752,IF(COUNTA(AC752:AE752)=0,"",MAX((AC752:AE752&lt;&gt;"")*(COLUMN(AC752:AE752)-(COLUMN(AC752)-1))))-1),"")</f>
        <v>45961</v>
      </c>
      <c r="L752" s="17" t="str">
        <f aca="false" t="array" ref="L752:L752">IFERROR(INDEX(AC752:AE752,IF(COUNTA(AC752:AE752)=0,"",MAX((AC752:AE752&lt;&gt;"")*(COLUMN(AC752:AE752)-(COLUMN(AC752)-2))))-1),"")</f>
        <v>ARCHIVED</v>
      </c>
      <c r="M752" s="13" t="n">
        <f aca="true">K752-TODAY()</f>
        <v>-363</v>
      </c>
      <c r="N752" s="18" t="s">
        <v>36</v>
      </c>
      <c r="O752" s="13" t="s">
        <v>2055</v>
      </c>
      <c r="P752" s="19" t="s">
        <v>2050</v>
      </c>
      <c r="Q752" s="20" t="s">
        <v>3339</v>
      </c>
      <c r="R752" s="13" t="s">
        <v>65</v>
      </c>
      <c r="S752" s="14" t="n">
        <v>37695</v>
      </c>
      <c r="T752" s="13" t="s">
        <v>40</v>
      </c>
      <c r="U752" s="13" t="s">
        <v>3340</v>
      </c>
      <c r="V752" s="13" t="s">
        <v>42</v>
      </c>
      <c r="W752" s="13" t="s">
        <v>43</v>
      </c>
      <c r="X752" s="21" t="n">
        <v>81235608347</v>
      </c>
      <c r="Y752" s="22" t="str">
        <f aca="false">O752</f>
        <v>Assembly</v>
      </c>
      <c r="Z752" s="13" t="str">
        <f aca="false">IFERROR(__xludf.dummyfunction("if(BJ752="""","""",GOOGLETRANSLATE(BJ752,""auto"",""en""))"),"Assembly")</f>
        <v>Assembly</v>
      </c>
      <c r="AA752" s="23" t="str">
        <f aca="false">IF(C752="","", CHOOSE(MONTH(C752),"January","February","March","April","May","June","July","August","September","October","November","December")&amp;" "&amp;DAY(C752)&amp;MID("thstndrdth",MIN(9,2*RIGHT(DAY(C752))*(MOD(DAY(C752)-11,100)&gt;2)+1),2)&amp;","&amp;TEXT(C752," yyyy"))</f>
        <v>June 2nd,2022</v>
      </c>
      <c r="AB752" s="15" t="str">
        <f aca="true">IF(S752="","",DATEDIF(S752,TODAY(),"Y")&amp;" Tahun, "&amp;DATEDIF(S752,TODAY(),"YM")&amp;" Bulan, "&amp;DATEDIF(S752,TODAY(),"MD")&amp;" Hari")</f>
        <v>23 Tahun, 7 Bulan, 14 Hari</v>
      </c>
      <c r="AC752" s="18" t="n">
        <v>45839</v>
      </c>
      <c r="AD752" s="18" t="n">
        <v>45961</v>
      </c>
      <c r="AE752" s="18" t="s">
        <v>44</v>
      </c>
    </row>
    <row r="753" customFormat="false" ht="15.75" hidden="false" customHeight="true" outlineLevel="0" collapsed="false">
      <c r="A753" s="12" t="n">
        <v>6677</v>
      </c>
      <c r="B753" s="13" t="s">
        <v>3341</v>
      </c>
      <c r="C753" s="14" t="n">
        <v>44714</v>
      </c>
      <c r="D753" s="13" t="s">
        <v>2046</v>
      </c>
      <c r="E753" s="15" t="s">
        <v>33</v>
      </c>
      <c r="F753" s="24" t="s">
        <v>3342</v>
      </c>
      <c r="G753" s="13" t="s">
        <v>3343</v>
      </c>
      <c r="H753" s="13" t="s">
        <v>35</v>
      </c>
      <c r="I753" s="13" t="str">
        <f aca="false">IF(C753=J753,"NEW KONTRAK","RE-KONTRAK")</f>
        <v>RE-KONTRAK</v>
      </c>
      <c r="J753" s="16" t="n">
        <f aca="false" t="array" ref="J753:J753">IFERROR(INDEX(AC753:AE753,IF(COUNTA(AC753:AE753)=0,"",MAX((AC753:AE753&lt;&gt;"")*(COLUMN(AC753:AE753)-(COLUMN(AC753)))))-1),"")</f>
        <v>45839</v>
      </c>
      <c r="K753" s="16" t="n">
        <f aca="false" t="array" ref="K753:K753">IFERROR(INDEX(AC753:AE753,IF(COUNTA(AC753:AE753)=0,"",MAX((AC753:AE753&lt;&gt;"")*(COLUMN(AC753:AE753)-(COLUMN(AC753)-1))))-1),"")</f>
        <v>45961</v>
      </c>
      <c r="L753" s="17" t="str">
        <f aca="false" t="array" ref="L753:L753">IFERROR(INDEX(AC753:AE753,IF(COUNTA(AC753:AE753)=0,"",MAX((AC753:AE753&lt;&gt;"")*(COLUMN(AC753:AE753)-(COLUMN(AC753)-2))))-1),"")</f>
        <v>ARCHIVED</v>
      </c>
      <c r="M753" s="13" t="n">
        <f aca="true">K753-TODAY()</f>
        <v>-363</v>
      </c>
      <c r="N753" s="18" t="s">
        <v>36</v>
      </c>
      <c r="O753" s="13" t="s">
        <v>1773</v>
      </c>
      <c r="P753" s="27" t="n">
        <v>5444909</v>
      </c>
      <c r="Q753" s="20" t="s">
        <v>3344</v>
      </c>
      <c r="R753" s="13" t="s">
        <v>324</v>
      </c>
      <c r="S753" s="14" t="n">
        <v>34792</v>
      </c>
      <c r="T753" s="13" t="s">
        <v>40</v>
      </c>
      <c r="U753" s="13" t="s">
        <v>3345</v>
      </c>
      <c r="V753" s="13" t="s">
        <v>42</v>
      </c>
      <c r="W753" s="13" t="s">
        <v>54</v>
      </c>
      <c r="X753" s="21" t="n">
        <v>85785907480</v>
      </c>
      <c r="Y753" s="22" t="str">
        <f aca="false">O753</f>
        <v>Warehouse</v>
      </c>
      <c r="Z753" s="13" t="str">
        <f aca="false">IFERROR(__xludf.dummyfunction("if(BJ753="""","""",GOOGLETRANSLATE(BJ753,""auto"",""en""))"),"Warehouse")</f>
        <v>Warehouse</v>
      </c>
      <c r="AA753" s="23" t="str">
        <f aca="false">IF(C753="","", CHOOSE(MONTH(C753),"January","February","March","April","May","June","July","August","September","October","November","December")&amp;" "&amp;DAY(C753)&amp;MID("thstndrdth",MIN(9,2*RIGHT(DAY(C753))*(MOD(DAY(C753)-11,100)&gt;2)+1),2)&amp;","&amp;TEXT(C753," yyyy"))</f>
        <v>June 2nd,2022</v>
      </c>
      <c r="AB753" s="15" t="str">
        <f aca="true">IF(S753="","",DATEDIF(S753,TODAY(),"Y")&amp;" Tahun, "&amp;DATEDIF(S753,TODAY(),"YM")&amp;" Bulan, "&amp;DATEDIF(S753,TODAY(),"MD")&amp;" Hari")</f>
        <v>31 Tahun, 6 Bulan, 26 Hari</v>
      </c>
      <c r="AC753" s="18" t="n">
        <v>45839</v>
      </c>
      <c r="AD753" s="18" t="n">
        <v>45961</v>
      </c>
      <c r="AE753" s="18" t="s">
        <v>44</v>
      </c>
    </row>
    <row r="754" customFormat="false" ht="15.75" hidden="false" customHeight="true" outlineLevel="0" collapsed="false">
      <c r="A754" s="12" t="n">
        <v>6679</v>
      </c>
      <c r="B754" s="13" t="s">
        <v>3346</v>
      </c>
      <c r="C754" s="14" t="n">
        <v>44714</v>
      </c>
      <c r="D754" s="13" t="s">
        <v>2046</v>
      </c>
      <c r="E754" s="15" t="s">
        <v>789</v>
      </c>
      <c r="F754" s="24" t="s">
        <v>3347</v>
      </c>
      <c r="G754" s="13" t="s">
        <v>3348</v>
      </c>
      <c r="H754" s="13" t="s">
        <v>35</v>
      </c>
      <c r="I754" s="13" t="str">
        <f aca="false">IF(C754=J754,"NEW KONTRAK","RE-KONTRAK")</f>
        <v>RE-KONTRAK</v>
      </c>
      <c r="J754" s="16" t="n">
        <f aca="false" t="array" ref="J754:J754">IFERROR(INDEX(AC754:AE754,IF(COUNTA(AC754:AE754)=0,"",MAX((AC754:AE754&lt;&gt;"")*(COLUMN(AC754:AE754)-(COLUMN(AC754)))))-1),"")</f>
        <v>45839</v>
      </c>
      <c r="K754" s="16" t="n">
        <f aca="false" t="array" ref="K754:K754">IFERROR(INDEX(AC754:AE754,IF(COUNTA(AC754:AE754)=0,"",MAX((AC754:AE754&lt;&gt;"")*(COLUMN(AC754:AE754)-(COLUMN(AC754)-1))))-1),"")</f>
        <v>45961</v>
      </c>
      <c r="L754" s="17" t="str">
        <f aca="false" t="array" ref="L754:L754">IFERROR(INDEX(AC754:AE754,IF(COUNTA(AC754:AE754)=0,"",MAX((AC754:AE754&lt;&gt;"")*(COLUMN(AC754:AE754)-(COLUMN(AC754)-2))))-1),"")</f>
        <v>ARCHIVED</v>
      </c>
      <c r="M754" s="13" t="n">
        <f aca="true">K754-TODAY()</f>
        <v>-363</v>
      </c>
      <c r="N754" s="18" t="s">
        <v>36</v>
      </c>
      <c r="O754" s="13" t="s">
        <v>2049</v>
      </c>
      <c r="P754" s="19" t="s">
        <v>2050</v>
      </c>
      <c r="Q754" s="20" t="s">
        <v>3349</v>
      </c>
      <c r="R754" s="13" t="s">
        <v>73</v>
      </c>
      <c r="S754" s="14" t="n">
        <v>35325</v>
      </c>
      <c r="T754" s="13" t="s">
        <v>40</v>
      </c>
      <c r="U754" s="13" t="s">
        <v>3350</v>
      </c>
      <c r="V754" s="13" t="s">
        <v>42</v>
      </c>
      <c r="W754" s="13" t="s">
        <v>43</v>
      </c>
      <c r="X754" s="21" t="n">
        <v>85607480605</v>
      </c>
      <c r="Y754" s="22" t="str">
        <f aca="false">O754</f>
        <v>Produksi Extrude</v>
      </c>
      <c r="Z754" s="13" t="str">
        <f aca="false">IFERROR(__xludf.dummyfunction("if(BJ754="""","""",GOOGLETRANSLATE(BJ754,""auto"",""en""))"),"Extrude Production")</f>
        <v>Extrude Production</v>
      </c>
      <c r="AA754" s="23" t="str">
        <f aca="false">IF(C754="","", CHOOSE(MONTH(C754),"January","February","March","April","May","June","July","August","September","October","November","December")&amp;" "&amp;DAY(C754)&amp;MID("thstndrdth",MIN(9,2*RIGHT(DAY(C754))*(MOD(DAY(C754)-11,100)&gt;2)+1),2)&amp;","&amp;TEXT(C754," yyyy"))</f>
        <v>June 2nd,2022</v>
      </c>
      <c r="AB754" s="15" t="str">
        <f aca="true">IF(S754="","",DATEDIF(S754,TODAY(),"Y")&amp;" Tahun, "&amp;DATEDIF(S754,TODAY(),"YM")&amp;" Bulan, "&amp;DATEDIF(S754,TODAY(),"MD")&amp;" Hari")</f>
        <v>30 Tahun, 1 Bulan, 12 Hari</v>
      </c>
      <c r="AC754" s="18" t="n">
        <v>45839</v>
      </c>
      <c r="AD754" s="18" t="n">
        <v>45961</v>
      </c>
      <c r="AE754" s="18" t="s">
        <v>44</v>
      </c>
    </row>
    <row r="755" customFormat="false" ht="15.75" hidden="false" customHeight="true" outlineLevel="0" collapsed="false">
      <c r="A755" s="12" t="n">
        <v>6681</v>
      </c>
      <c r="B755" s="13" t="s">
        <v>3351</v>
      </c>
      <c r="C755" s="14" t="n">
        <v>44714</v>
      </c>
      <c r="D755" s="13" t="s">
        <v>2046</v>
      </c>
      <c r="E755" s="15" t="s">
        <v>102</v>
      </c>
      <c r="F755" s="15" t="str">
        <f aca="false">IFERROR(__xludf.dummyfunction("XLOOKUP(AJ755,IMPORTRANGE(""1XaInW9DU9nz21V0tYIfzFQ0He9kVQ_JF2mCXgZ3hqFA"",""REKAP ALL 2026 - Andika!G:G""),IMPORTRANGE(""1XaInW9DU9nz21V0tYIfzFQ0He9kVQ_JF2mCXgZ3hqFA"",""REKAP ALL 2026 - Andika!F:F""),"""",0)"),"22058864806")</f>
        <v>22058864806</v>
      </c>
      <c r="G755" s="13" t="s">
        <v>3352</v>
      </c>
      <c r="H755" s="13" t="s">
        <v>35</v>
      </c>
      <c r="I755" s="13" t="str">
        <f aca="false">IF(C755=J755,"NEW KONTRAK","RE-KONTRAK")</f>
        <v>RE-KONTRAK</v>
      </c>
      <c r="J755" s="16" t="n">
        <f aca="false" t="array" ref="J755:J755">IFERROR(INDEX(AC755:AE755,IF(COUNTA(AC755:AE755)=0,"",MAX((AC755:AE755&lt;&gt;"")*(COLUMN(AC755:AE755)-(COLUMN(AC755)))))-1),"")</f>
        <v>45839</v>
      </c>
      <c r="K755" s="16" t="n">
        <f aca="false" t="array" ref="K755:K755">IFERROR(INDEX(AC755:AE755,IF(COUNTA(AC755:AE755)=0,"",MAX((AC755:AE755&lt;&gt;"")*(COLUMN(AC755:AE755)-(COLUMN(AC755)-1))))-1),"")</f>
        <v>45961</v>
      </c>
      <c r="L755" s="17" t="str">
        <f aca="false" t="array" ref="L755:L755">IFERROR(INDEX(AC755:AE755,IF(COUNTA(AC755:AE755)=0,"",MAX((AC755:AE755&lt;&gt;"")*(COLUMN(AC755:AE755)-(COLUMN(AC755)-2))))-1),"")</f>
        <v>ARCHIVED</v>
      </c>
      <c r="M755" s="13" t="n">
        <f aca="true">K755-TODAY()</f>
        <v>-363</v>
      </c>
      <c r="N755" s="18" t="s">
        <v>36</v>
      </c>
      <c r="O755" s="13" t="s">
        <v>2055</v>
      </c>
      <c r="P755" s="19" t="s">
        <v>2050</v>
      </c>
      <c r="Q755" s="20" t="s">
        <v>3353</v>
      </c>
      <c r="R755" s="13" t="s">
        <v>73</v>
      </c>
      <c r="S755" s="14" t="n">
        <v>33497</v>
      </c>
      <c r="T755" s="13" t="s">
        <v>40</v>
      </c>
      <c r="U755" s="13" t="s">
        <v>3354</v>
      </c>
      <c r="V755" s="13" t="s">
        <v>42</v>
      </c>
      <c r="W755" s="13" t="s">
        <v>897</v>
      </c>
      <c r="X755" s="21" t="n">
        <v>82231155431</v>
      </c>
      <c r="Y755" s="22" t="str">
        <f aca="false">O755</f>
        <v>Assembly</v>
      </c>
      <c r="Z755" s="13" t="str">
        <f aca="false">IFERROR(__xludf.dummyfunction("if(BJ755="""","""",GOOGLETRANSLATE(BJ755,""auto"",""en""))"),"Assembly")</f>
        <v>Assembly</v>
      </c>
      <c r="AA755" s="23" t="str">
        <f aca="false">IF(C755="","", CHOOSE(MONTH(C755),"January","February","March","April","May","June","July","August","September","October","November","December")&amp;" "&amp;DAY(C755)&amp;MID("thstndrdth",MIN(9,2*RIGHT(DAY(C755))*(MOD(DAY(C755)-11,100)&gt;2)+1),2)&amp;","&amp;TEXT(C755," yyyy"))</f>
        <v>June 2nd,2022</v>
      </c>
      <c r="AB755" s="15" t="str">
        <f aca="true">IF(S755="","",DATEDIF(S755,TODAY(),"Y")&amp;" Tahun, "&amp;DATEDIF(S755,TODAY(),"YM")&amp;" Bulan, "&amp;DATEDIF(S755,TODAY(),"MD")&amp;" Hari")</f>
        <v>35 Tahun, 1 Bulan, 13 Hari</v>
      </c>
      <c r="AC755" s="18" t="n">
        <v>45839</v>
      </c>
      <c r="AD755" s="18" t="n">
        <v>45961</v>
      </c>
      <c r="AE755" s="18" t="s">
        <v>44</v>
      </c>
    </row>
    <row r="756" customFormat="false" ht="15.75" hidden="false" customHeight="true" outlineLevel="0" collapsed="false">
      <c r="A756" s="12" t="n">
        <v>6682</v>
      </c>
      <c r="B756" s="13" t="s">
        <v>3355</v>
      </c>
      <c r="C756" s="14" t="n">
        <v>44714</v>
      </c>
      <c r="D756" s="13" t="s">
        <v>2046</v>
      </c>
      <c r="E756" s="15" t="s">
        <v>789</v>
      </c>
      <c r="F756" s="24" t="s">
        <v>3356</v>
      </c>
      <c r="G756" s="13" t="s">
        <v>3357</v>
      </c>
      <c r="H756" s="13" t="s">
        <v>35</v>
      </c>
      <c r="I756" s="13" t="str">
        <f aca="false">IF(C756=J756,"NEW KONTRAK","RE-KONTRAK")</f>
        <v>RE-KONTRAK</v>
      </c>
      <c r="J756" s="16" t="n">
        <f aca="false" t="array" ref="J756:J756">IFERROR(INDEX(AC756:AE756,IF(COUNTA(AC756:AE756)=0,"",MAX((AC756:AE756&lt;&gt;"")*(COLUMN(AC756:AE756)-(COLUMN(AC756)))))-1),"")</f>
        <v>45839</v>
      </c>
      <c r="K756" s="16" t="n">
        <f aca="false" t="array" ref="K756:K756">IFERROR(INDEX(AC756:AE756,IF(COUNTA(AC756:AE756)=0,"",MAX((AC756:AE756&lt;&gt;"")*(COLUMN(AC756:AE756)-(COLUMN(AC756)-1))))-1),"")</f>
        <v>45961</v>
      </c>
      <c r="L756" s="17" t="str">
        <f aca="false" t="array" ref="L756:L756">IFERROR(INDEX(AC756:AE756,IF(COUNTA(AC756:AE756)=0,"",MAX((AC756:AE756&lt;&gt;"")*(COLUMN(AC756:AE756)-(COLUMN(AC756)-2))))-1),"")</f>
        <v>ARCHIVED</v>
      </c>
      <c r="M756" s="13" t="n">
        <f aca="true">K756-TODAY()</f>
        <v>-363</v>
      </c>
      <c r="N756" s="18" t="s">
        <v>36</v>
      </c>
      <c r="O756" s="13" t="s">
        <v>2055</v>
      </c>
      <c r="P756" s="19" t="s">
        <v>2050</v>
      </c>
      <c r="Q756" s="20" t="s">
        <v>3358</v>
      </c>
      <c r="R756" s="13" t="s">
        <v>232</v>
      </c>
      <c r="S756" s="14" t="n">
        <v>34517</v>
      </c>
      <c r="T756" s="13" t="s">
        <v>40</v>
      </c>
      <c r="U756" s="13" t="s">
        <v>3359</v>
      </c>
      <c r="V756" s="13" t="s">
        <v>42</v>
      </c>
      <c r="W756" s="13" t="s">
        <v>43</v>
      </c>
      <c r="X756" s="21" t="n">
        <v>85708557577</v>
      </c>
      <c r="Y756" s="22" t="str">
        <f aca="false">O756</f>
        <v>Assembly</v>
      </c>
      <c r="Z756" s="13" t="str">
        <f aca="false">IFERROR(__xludf.dummyfunction("if(BJ756="""","""",GOOGLETRANSLATE(BJ756,""auto"",""en""))"),"Assembly")</f>
        <v>Assembly</v>
      </c>
      <c r="AA756" s="23" t="str">
        <f aca="false">IF(C756="","", CHOOSE(MONTH(C756),"January","February","March","April","May","June","July","August","September","October","November","December")&amp;" "&amp;DAY(C756)&amp;MID("thstndrdth",MIN(9,2*RIGHT(DAY(C756))*(MOD(DAY(C756)-11,100)&gt;2)+1),2)&amp;","&amp;TEXT(C756," yyyy"))</f>
        <v>June 2nd,2022</v>
      </c>
      <c r="AB756" s="15" t="str">
        <f aca="true">IF(S756="","",DATEDIF(S756,TODAY(),"Y")&amp;" Tahun, "&amp;DATEDIF(S756,TODAY(),"YM")&amp;" Bulan, "&amp;DATEDIF(S756,TODAY(),"MD")&amp;" Hari")</f>
        <v>32 Tahun, 3 Bulan, 27 Hari</v>
      </c>
      <c r="AC756" s="18" t="n">
        <v>45839</v>
      </c>
      <c r="AD756" s="18" t="n">
        <v>45961</v>
      </c>
      <c r="AE756" s="18" t="s">
        <v>44</v>
      </c>
    </row>
    <row r="757" customFormat="false" ht="15.75" hidden="false" customHeight="true" outlineLevel="0" collapsed="false">
      <c r="A757" s="12" t="n">
        <v>6683</v>
      </c>
      <c r="B757" s="13" t="s">
        <v>3360</v>
      </c>
      <c r="C757" s="14" t="n">
        <v>44714</v>
      </c>
      <c r="D757" s="13" t="s">
        <v>2046</v>
      </c>
      <c r="E757" s="15" t="s">
        <v>102</v>
      </c>
      <c r="F757" s="24" t="s">
        <v>3361</v>
      </c>
      <c r="G757" s="13" t="s">
        <v>3362</v>
      </c>
      <c r="H757" s="13" t="s">
        <v>35</v>
      </c>
      <c r="I757" s="13" t="str">
        <f aca="false">IF(C757=J757,"NEW KONTRAK","RE-KONTRAK")</f>
        <v>RE-KONTRAK</v>
      </c>
      <c r="J757" s="16" t="n">
        <f aca="false" t="array" ref="J757:J757">IFERROR(INDEX(AC757:AE757,IF(COUNTA(AC757:AE757)=0,"",MAX((AC757:AE757&lt;&gt;"")*(COLUMN(AC757:AE757)-(COLUMN(AC757)))))-1),"")</f>
        <v>45839</v>
      </c>
      <c r="K757" s="16" t="n">
        <f aca="false" t="array" ref="K757:K757">IFERROR(INDEX(AC757:AE757,IF(COUNTA(AC757:AE757)=0,"",MAX((AC757:AE757&lt;&gt;"")*(COLUMN(AC757:AE757)-(COLUMN(AC757)-1))))-1),"")</f>
        <v>45961</v>
      </c>
      <c r="L757" s="17" t="str">
        <f aca="false" t="array" ref="L757:L757">IFERROR(INDEX(AC757:AE757,IF(COUNTA(AC757:AE757)=0,"",MAX((AC757:AE757&lt;&gt;"")*(COLUMN(AC757:AE757)-(COLUMN(AC757)-2))))-1),"")</f>
        <v>ARCHIVED</v>
      </c>
      <c r="M757" s="13" t="n">
        <f aca="true">K757-TODAY()</f>
        <v>-363</v>
      </c>
      <c r="N757" s="18" t="s">
        <v>36</v>
      </c>
      <c r="O757" s="13" t="s">
        <v>2049</v>
      </c>
      <c r="P757" s="19" t="s">
        <v>2050</v>
      </c>
      <c r="Q757" s="20" t="s">
        <v>3363</v>
      </c>
      <c r="R757" s="13" t="s">
        <v>148</v>
      </c>
      <c r="S757" s="14" t="n">
        <v>35165</v>
      </c>
      <c r="T757" s="13" t="s">
        <v>40</v>
      </c>
      <c r="U757" s="13" t="s">
        <v>3364</v>
      </c>
      <c r="V757" s="13" t="s">
        <v>42</v>
      </c>
      <c r="W757" s="13" t="s">
        <v>43</v>
      </c>
      <c r="X757" s="21" t="n">
        <v>88989843027</v>
      </c>
      <c r="Y757" s="22" t="str">
        <f aca="false">O757</f>
        <v>Produksi Extrude</v>
      </c>
      <c r="Z757" s="13" t="str">
        <f aca="false">IFERROR(__xludf.dummyfunction("if(BJ757="""","""",GOOGLETRANSLATE(BJ757,""auto"",""en""))"),"Extrude Production")</f>
        <v>Extrude Production</v>
      </c>
      <c r="AA757" s="23" t="str">
        <f aca="false">IF(C757="","", CHOOSE(MONTH(C757),"January","February","March","April","May","June","July","August","September","October","November","December")&amp;" "&amp;DAY(C757)&amp;MID("thstndrdth",MIN(9,2*RIGHT(DAY(C757))*(MOD(DAY(C757)-11,100)&gt;2)+1),2)&amp;","&amp;TEXT(C757," yyyy"))</f>
        <v>June 2nd,2022</v>
      </c>
      <c r="AB757" s="15" t="str">
        <f aca="true">IF(S757="","",DATEDIF(S757,TODAY(),"Y")&amp;" Tahun, "&amp;DATEDIF(S757,TODAY(),"YM")&amp;" Bulan, "&amp;DATEDIF(S757,TODAY(),"MD")&amp;" Hari")</f>
        <v>30 Tahun, 6 Bulan, 19 Hari</v>
      </c>
      <c r="AC757" s="18" t="n">
        <v>45839</v>
      </c>
      <c r="AD757" s="18" t="n">
        <v>45961</v>
      </c>
      <c r="AE757" s="18" t="s">
        <v>44</v>
      </c>
    </row>
    <row r="758" customFormat="false" ht="15.75" hidden="false" customHeight="true" outlineLevel="0" collapsed="false">
      <c r="A758" s="12" t="n">
        <v>6685</v>
      </c>
      <c r="B758" s="13" t="s">
        <v>3365</v>
      </c>
      <c r="C758" s="14" t="n">
        <v>44718</v>
      </c>
      <c r="D758" s="13" t="s">
        <v>2046</v>
      </c>
      <c r="E758" s="15" t="s">
        <v>102</v>
      </c>
      <c r="F758" s="15" t="str">
        <f aca="false">IFERROR(__xludf.dummyfunction("XLOOKUP(AJ758,IMPORTRANGE(""1XaInW9DU9nz21V0tYIfzFQ0He9kVQ_JF2mCXgZ3hqFA"",""REKAP ALL 2026 - Andika!G:G""),IMPORTRANGE(""1XaInW9DU9nz21V0tYIfzFQ0He9kVQ_JF2mCXgZ3hqFA"",""REKAP ALL 2026 - Andika!F:F""),"""",0)"),"22058864574")</f>
        <v>22058864574</v>
      </c>
      <c r="G758" s="13" t="s">
        <v>3366</v>
      </c>
      <c r="H758" s="13" t="s">
        <v>35</v>
      </c>
      <c r="I758" s="13" t="str">
        <f aca="false">IF(C758=J758,"NEW KONTRAK","RE-KONTRAK")</f>
        <v>RE-KONTRAK</v>
      </c>
      <c r="J758" s="16" t="n">
        <f aca="false" t="array" ref="J758:J758">IFERROR(INDEX(AC758:AE758,IF(COUNTA(AC758:AE758)=0,"",MAX((AC758:AE758&lt;&gt;"")*(COLUMN(AC758:AE758)-(COLUMN(AC758)))))-1),"")</f>
        <v>45839</v>
      </c>
      <c r="K758" s="16" t="n">
        <f aca="false" t="array" ref="K758:K758">IFERROR(INDEX(AC758:AE758,IF(COUNTA(AC758:AE758)=0,"",MAX((AC758:AE758&lt;&gt;"")*(COLUMN(AC758:AE758)-(COLUMN(AC758)-1))))-1),"")</f>
        <v>45961</v>
      </c>
      <c r="L758" s="17" t="str">
        <f aca="false" t="array" ref="L758:L758">IFERROR(INDEX(AC758:AE758,IF(COUNTA(AC758:AE758)=0,"",MAX((AC758:AE758&lt;&gt;"")*(COLUMN(AC758:AE758)-(COLUMN(AC758)-2))))-1),"")</f>
        <v>ARCHIVED</v>
      </c>
      <c r="M758" s="13" t="n">
        <f aca="true">K758-TODAY()</f>
        <v>-363</v>
      </c>
      <c r="N758" s="18" t="s">
        <v>36</v>
      </c>
      <c r="O758" s="13" t="s">
        <v>2055</v>
      </c>
      <c r="P758" s="19" t="s">
        <v>2050</v>
      </c>
      <c r="Q758" s="20" t="s">
        <v>3367</v>
      </c>
      <c r="R758" s="13" t="s">
        <v>39</v>
      </c>
      <c r="S758" s="14" t="n">
        <v>36649</v>
      </c>
      <c r="T758" s="13" t="s">
        <v>40</v>
      </c>
      <c r="U758" s="13" t="s">
        <v>3368</v>
      </c>
      <c r="V758" s="13" t="s">
        <v>42</v>
      </c>
      <c r="W758" s="13" t="s">
        <v>43</v>
      </c>
      <c r="X758" s="21" t="n">
        <v>88292178475</v>
      </c>
      <c r="Y758" s="22" t="str">
        <f aca="false">O758</f>
        <v>Assembly</v>
      </c>
      <c r="Z758" s="13" t="str">
        <f aca="false">IFERROR(__xludf.dummyfunction("if(BJ758="""","""",GOOGLETRANSLATE(BJ758,""auto"",""en""))"),"Assembly")</f>
        <v>Assembly</v>
      </c>
      <c r="AA758" s="23" t="str">
        <f aca="false">IF(C758="","", CHOOSE(MONTH(C758),"January","February","March","April","May","June","July","August","September","October","November","December")&amp;" "&amp;DAY(C758)&amp;MID("thstndrdth",MIN(9,2*RIGHT(DAY(C758))*(MOD(DAY(C758)-11,100)&gt;2)+1),2)&amp;","&amp;TEXT(C758," yyyy"))</f>
        <v>June 6th,2022</v>
      </c>
      <c r="AB758" s="15" t="str">
        <f aca="true">IF(S758="","",DATEDIF(S758,TODAY(),"Y")&amp;" Tahun, "&amp;DATEDIF(S758,TODAY(),"YM")&amp;" Bulan, "&amp;DATEDIF(S758,TODAY(),"MD")&amp;" Hari")</f>
        <v>26 Tahun, 5 Bulan, 26 Hari</v>
      </c>
      <c r="AC758" s="18" t="n">
        <v>45839</v>
      </c>
      <c r="AD758" s="18" t="n">
        <v>45961</v>
      </c>
      <c r="AE758" s="18" t="s">
        <v>44</v>
      </c>
    </row>
    <row r="759" customFormat="false" ht="15.75" hidden="false" customHeight="true" outlineLevel="0" collapsed="false">
      <c r="A759" s="12" t="n">
        <v>6686</v>
      </c>
      <c r="B759" s="13" t="s">
        <v>3369</v>
      </c>
      <c r="C759" s="14" t="n">
        <v>44718</v>
      </c>
      <c r="D759" s="13" t="s">
        <v>2046</v>
      </c>
      <c r="E759" s="15" t="s">
        <v>102</v>
      </c>
      <c r="F759" s="15" t="str">
        <f aca="false">IFERROR(__xludf.dummyfunction("XLOOKUP(AJ759,IMPORTRANGE(""1XaInW9DU9nz21V0tYIfzFQ0He9kVQ_JF2mCXgZ3hqFA"",""REKAP ALL 2026 - Andika!G:G""),IMPORTRANGE(""1XaInW9DU9nz21V0tYIfzFQ0He9kVQ_JF2mCXgZ3hqFA"",""REKAP ALL 2026 - Andika!F:F""),"""",0)"),"22058864590")</f>
        <v>22058864590</v>
      </c>
      <c r="G759" s="13" t="s">
        <v>3370</v>
      </c>
      <c r="H759" s="13" t="s">
        <v>35</v>
      </c>
      <c r="I759" s="13" t="str">
        <f aca="false">IF(C759=J759,"NEW KONTRAK","RE-KONTRAK")</f>
        <v>RE-KONTRAK</v>
      </c>
      <c r="J759" s="16" t="n">
        <f aca="false" t="array" ref="J759:J759">IFERROR(INDEX(AC759:AE759,IF(COUNTA(AC759:AE759)=0,"",MAX((AC759:AE759&lt;&gt;"")*(COLUMN(AC759:AE759)-(COLUMN(AC759)))))-1),"")</f>
        <v>45839</v>
      </c>
      <c r="K759" s="16" t="n">
        <f aca="false" t="array" ref="K759:K759">IFERROR(INDEX(AC759:AE759,IF(COUNTA(AC759:AE759)=0,"",MAX((AC759:AE759&lt;&gt;"")*(COLUMN(AC759:AE759)-(COLUMN(AC759)-1))))-1),"")</f>
        <v>45961</v>
      </c>
      <c r="L759" s="17" t="str">
        <f aca="false" t="array" ref="L759:L759">IFERROR(INDEX(AC759:AE759,IF(COUNTA(AC759:AE759)=0,"",MAX((AC759:AE759&lt;&gt;"")*(COLUMN(AC759:AE759)-(COLUMN(AC759)-2))))-1),"")</f>
        <v>ARCHIVED</v>
      </c>
      <c r="M759" s="13" t="n">
        <f aca="true">K759-TODAY()</f>
        <v>-363</v>
      </c>
      <c r="N759" s="18" t="s">
        <v>36</v>
      </c>
      <c r="O759" s="13" t="s">
        <v>2055</v>
      </c>
      <c r="P759" s="19" t="s">
        <v>2050</v>
      </c>
      <c r="Q759" s="20" t="s">
        <v>3371</v>
      </c>
      <c r="R759" s="13" t="s">
        <v>73</v>
      </c>
      <c r="S759" s="14" t="n">
        <v>36429</v>
      </c>
      <c r="T759" s="13" t="s">
        <v>40</v>
      </c>
      <c r="U759" s="13" t="s">
        <v>3372</v>
      </c>
      <c r="V759" s="13" t="s">
        <v>42</v>
      </c>
      <c r="W759" s="13" t="s">
        <v>43</v>
      </c>
      <c r="X759" s="21" t="n">
        <v>81949840654</v>
      </c>
      <c r="Y759" s="22" t="str">
        <f aca="false">O759</f>
        <v>Assembly</v>
      </c>
      <c r="Z759" s="13" t="str">
        <f aca="false">IFERROR(__xludf.dummyfunction("if(BJ759="""","""",GOOGLETRANSLATE(BJ759,""auto"",""en""))"),"Assembly")</f>
        <v>Assembly</v>
      </c>
      <c r="AA759" s="23" t="str">
        <f aca="false">IF(C759="","", CHOOSE(MONTH(C759),"January","February","March","April","May","June","July","August","September","October","November","December")&amp;" "&amp;DAY(C759)&amp;MID("thstndrdth",MIN(9,2*RIGHT(DAY(C759))*(MOD(DAY(C759)-11,100)&gt;2)+1),2)&amp;","&amp;TEXT(C759," yyyy"))</f>
        <v>June 6th,2022</v>
      </c>
      <c r="AB759" s="15" t="str">
        <f aca="true">IF(S759="","",DATEDIF(S759,TODAY(),"Y")&amp;" Tahun, "&amp;DATEDIF(S759,TODAY(),"YM")&amp;" Bulan, "&amp;DATEDIF(S759,TODAY(),"MD")&amp;" Hari")</f>
        <v>27 Tahun, 1 Bulan, 3 Hari</v>
      </c>
      <c r="AC759" s="18" t="n">
        <v>45839</v>
      </c>
      <c r="AD759" s="18" t="n">
        <v>45961</v>
      </c>
      <c r="AE759" s="18" t="s">
        <v>44</v>
      </c>
    </row>
    <row r="760" customFormat="false" ht="15.75" hidden="false" customHeight="true" outlineLevel="0" collapsed="false">
      <c r="A760" s="12" t="n">
        <v>6688</v>
      </c>
      <c r="B760" s="13" t="s">
        <v>3373</v>
      </c>
      <c r="C760" s="14" t="n">
        <v>44718</v>
      </c>
      <c r="D760" s="13" t="s">
        <v>2046</v>
      </c>
      <c r="E760" s="15" t="s">
        <v>789</v>
      </c>
      <c r="F760" s="24" t="s">
        <v>3374</v>
      </c>
      <c r="G760" s="13" t="s">
        <v>3375</v>
      </c>
      <c r="H760" s="13" t="s">
        <v>35</v>
      </c>
      <c r="I760" s="13" t="str">
        <f aca="false">IF(C760=J760,"NEW KONTRAK","RE-KONTRAK")</f>
        <v>RE-KONTRAK</v>
      </c>
      <c r="J760" s="16" t="n">
        <f aca="false" t="array" ref="J760:J760">IFERROR(INDEX(AC760:AE760,IF(COUNTA(AC760:AE760)=0,"",MAX((AC760:AE760&lt;&gt;"")*(COLUMN(AC760:AE760)-(COLUMN(AC760)))))-1),"")</f>
        <v>45839</v>
      </c>
      <c r="K760" s="16" t="n">
        <f aca="false" t="array" ref="K760:K760">IFERROR(INDEX(AC760:AE760,IF(COUNTA(AC760:AE760)=0,"",MAX((AC760:AE760&lt;&gt;"")*(COLUMN(AC760:AE760)-(COLUMN(AC760)-1))))-1),"")</f>
        <v>45961</v>
      </c>
      <c r="L760" s="17" t="str">
        <f aca="false" t="array" ref="L760:L760">IFERROR(INDEX(AC760:AE760,IF(COUNTA(AC760:AE760)=0,"",MAX((AC760:AE760&lt;&gt;"")*(COLUMN(AC760:AE760)-(COLUMN(AC760)-2))))-1),"")</f>
        <v>ARCHIVED</v>
      </c>
      <c r="M760" s="13" t="n">
        <f aca="true">K760-TODAY()</f>
        <v>-363</v>
      </c>
      <c r="N760" s="18" t="s">
        <v>36</v>
      </c>
      <c r="O760" s="13" t="s">
        <v>2055</v>
      </c>
      <c r="P760" s="19" t="s">
        <v>2050</v>
      </c>
      <c r="Q760" s="20" t="s">
        <v>3376</v>
      </c>
      <c r="R760" s="13" t="s">
        <v>232</v>
      </c>
      <c r="S760" s="14" t="n">
        <v>34835</v>
      </c>
      <c r="T760" s="13" t="s">
        <v>40</v>
      </c>
      <c r="U760" s="13" t="s">
        <v>3377</v>
      </c>
      <c r="V760" s="13" t="s">
        <v>42</v>
      </c>
      <c r="W760" s="13" t="s">
        <v>43</v>
      </c>
      <c r="X760" s="21" t="n">
        <v>85767656755</v>
      </c>
      <c r="Y760" s="22" t="str">
        <f aca="false">O760</f>
        <v>Assembly</v>
      </c>
      <c r="Z760" s="13" t="str">
        <f aca="false">IFERROR(__xludf.dummyfunction("if(BJ760="""","""",GOOGLETRANSLATE(BJ760,""auto"",""en""))"),"Assembly")</f>
        <v>Assembly</v>
      </c>
      <c r="AA760" s="23" t="str">
        <f aca="false">IF(C760="","", CHOOSE(MONTH(C760),"January","February","March","April","May","June","July","August","September","October","November","December")&amp;" "&amp;DAY(C760)&amp;MID("thstndrdth",MIN(9,2*RIGHT(DAY(C760))*(MOD(DAY(C760)-11,100)&gt;2)+1),2)&amp;","&amp;TEXT(C760," yyyy"))</f>
        <v>June 6th,2022</v>
      </c>
      <c r="AB760" s="15" t="str">
        <f aca="true">IF(S760="","",DATEDIF(S760,TODAY(),"Y")&amp;" Tahun, "&amp;DATEDIF(S760,TODAY(),"YM")&amp;" Bulan, "&amp;DATEDIF(S760,TODAY(),"MD")&amp;" Hari")</f>
        <v>31 Tahun, 5 Bulan, 13 Hari</v>
      </c>
      <c r="AC760" s="18" t="n">
        <v>45839</v>
      </c>
      <c r="AD760" s="18" t="n">
        <v>45961</v>
      </c>
      <c r="AE760" s="18" t="s">
        <v>44</v>
      </c>
    </row>
    <row r="761" customFormat="false" ht="15.75" hidden="false" customHeight="true" outlineLevel="0" collapsed="false">
      <c r="A761" s="12" t="n">
        <v>6689</v>
      </c>
      <c r="B761" s="13" t="s">
        <v>3378</v>
      </c>
      <c r="C761" s="14" t="n">
        <v>44718</v>
      </c>
      <c r="D761" s="13" t="s">
        <v>2046</v>
      </c>
      <c r="E761" s="15" t="s">
        <v>102</v>
      </c>
      <c r="F761" s="15" t="str">
        <f aca="false">IFERROR(__xludf.dummyfunction("XLOOKUP(AJ761,IMPORTRANGE(""1XaInW9DU9nz21V0tYIfzFQ0He9kVQ_JF2mCXgZ3hqFA"",""REKAP ALL 2026 - Andika!G:G""),IMPORTRANGE(""1XaInW9DU9nz21V0tYIfzFQ0He9kVQ_JF2mCXgZ3hqFA"",""REKAP ALL 2026 - Andika!F:F""),"""",0)"),"22058864657")</f>
        <v>22058864657</v>
      </c>
      <c r="G761" s="13" t="s">
        <v>3379</v>
      </c>
      <c r="H761" s="13" t="s">
        <v>35</v>
      </c>
      <c r="I761" s="13" t="str">
        <f aca="false">IF(C761=J761,"NEW KONTRAK","RE-KONTRAK")</f>
        <v>RE-KONTRAK</v>
      </c>
      <c r="J761" s="16" t="n">
        <f aca="false" t="array" ref="J761:J761">IFERROR(INDEX(AC761:AE761,IF(COUNTA(AC761:AE761)=0,"",MAX((AC761:AE761&lt;&gt;"")*(COLUMN(AC761:AE761)-(COLUMN(AC761)))))-1),"")</f>
        <v>45839</v>
      </c>
      <c r="K761" s="16" t="n">
        <f aca="false" t="array" ref="K761:K761">IFERROR(INDEX(AC761:AE761,IF(COUNTA(AC761:AE761)=0,"",MAX((AC761:AE761&lt;&gt;"")*(COLUMN(AC761:AE761)-(COLUMN(AC761)-1))))-1),"")</f>
        <v>45961</v>
      </c>
      <c r="L761" s="17" t="str">
        <f aca="false" t="array" ref="L761:L761">IFERROR(INDEX(AC761:AE761,IF(COUNTA(AC761:AE761)=0,"",MAX((AC761:AE761&lt;&gt;"")*(COLUMN(AC761:AE761)-(COLUMN(AC761)-2))))-1),"")</f>
        <v>ARCHIVED</v>
      </c>
      <c r="M761" s="13" t="n">
        <f aca="true">K761-TODAY()</f>
        <v>-363</v>
      </c>
      <c r="N761" s="18" t="s">
        <v>36</v>
      </c>
      <c r="O761" s="13" t="s">
        <v>2055</v>
      </c>
      <c r="P761" s="19" t="s">
        <v>2050</v>
      </c>
      <c r="Q761" s="20" t="s">
        <v>3380</v>
      </c>
      <c r="R761" s="13" t="s">
        <v>78</v>
      </c>
      <c r="S761" s="14" t="n">
        <v>37406</v>
      </c>
      <c r="T761" s="13" t="s">
        <v>40</v>
      </c>
      <c r="U761" s="13" t="s">
        <v>3381</v>
      </c>
      <c r="V761" s="13" t="s">
        <v>42</v>
      </c>
      <c r="W761" s="13" t="s">
        <v>43</v>
      </c>
      <c r="X761" s="21" t="n">
        <v>85664231817</v>
      </c>
      <c r="Y761" s="22" t="str">
        <f aca="false">O761</f>
        <v>Assembly</v>
      </c>
      <c r="Z761" s="13" t="str">
        <f aca="false">IFERROR(__xludf.dummyfunction("if(BJ761="""","""",GOOGLETRANSLATE(BJ761,""auto"",""en""))"),"Assembly")</f>
        <v>Assembly</v>
      </c>
      <c r="AA761" s="23" t="str">
        <f aca="false">IF(C761="","", CHOOSE(MONTH(C761),"January","February","March","April","May","June","July","August","September","October","November","December")&amp;" "&amp;DAY(C761)&amp;MID("thstndrdth",MIN(9,2*RIGHT(DAY(C761))*(MOD(DAY(C761)-11,100)&gt;2)+1),2)&amp;","&amp;TEXT(C761," yyyy"))</f>
        <v>June 6th,2022</v>
      </c>
      <c r="AB761" s="15" t="str">
        <f aca="true">IF(S761="","",DATEDIF(S761,TODAY(),"Y")&amp;" Tahun, "&amp;DATEDIF(S761,TODAY(),"YM")&amp;" Bulan, "&amp;DATEDIF(S761,TODAY(),"MD")&amp;" Hari")</f>
        <v>24 Tahun, 4 Bulan, 29 Hari</v>
      </c>
      <c r="AC761" s="18" t="n">
        <v>45839</v>
      </c>
      <c r="AD761" s="18" t="n">
        <v>45961</v>
      </c>
      <c r="AE761" s="18" t="s">
        <v>44</v>
      </c>
    </row>
    <row r="762" customFormat="false" ht="15.75" hidden="false" customHeight="true" outlineLevel="0" collapsed="false">
      <c r="A762" s="12" t="n">
        <v>6690</v>
      </c>
      <c r="B762" s="13" t="s">
        <v>3382</v>
      </c>
      <c r="C762" s="14" t="n">
        <v>44718</v>
      </c>
      <c r="D762" s="13" t="s">
        <v>2046</v>
      </c>
      <c r="E762" s="15" t="s">
        <v>102</v>
      </c>
      <c r="F762" s="15" t="str">
        <f aca="false">IFERROR(__xludf.dummyfunction("XLOOKUP(AJ762,IMPORTRANGE(""1XaInW9DU9nz21V0tYIfzFQ0He9kVQ_JF2mCXgZ3hqFA"",""REKAP ALL 2026 - Andika!G:G""),IMPORTRANGE(""1XaInW9DU9nz21V0tYIfzFQ0He9kVQ_JF2mCXgZ3hqFA"",""REKAP ALL 2026 - Andika!F:F""),"""",0)"),"22058864608")</f>
        <v>22058864608</v>
      </c>
      <c r="G762" s="13" t="s">
        <v>3383</v>
      </c>
      <c r="H762" s="13" t="s">
        <v>35</v>
      </c>
      <c r="I762" s="13" t="str">
        <f aca="false">IF(C762=J762,"NEW KONTRAK","RE-KONTRAK")</f>
        <v>RE-KONTRAK</v>
      </c>
      <c r="J762" s="16" t="n">
        <f aca="false" t="array" ref="J762:J762">IFERROR(INDEX(AC762:AE762,IF(COUNTA(AC762:AE762)=0,"",MAX((AC762:AE762&lt;&gt;"")*(COLUMN(AC762:AE762)-(COLUMN(AC762)))))-1),"")</f>
        <v>45839</v>
      </c>
      <c r="K762" s="16" t="n">
        <f aca="false" t="array" ref="K762:K762">IFERROR(INDEX(AC762:AE762,IF(COUNTA(AC762:AE762)=0,"",MAX((AC762:AE762&lt;&gt;"")*(COLUMN(AC762:AE762)-(COLUMN(AC762)-1))))-1),"")</f>
        <v>45961</v>
      </c>
      <c r="L762" s="17" t="str">
        <f aca="false" t="array" ref="L762:L762">IFERROR(INDEX(AC762:AE762,IF(COUNTA(AC762:AE762)=0,"",MAX((AC762:AE762&lt;&gt;"")*(COLUMN(AC762:AE762)-(COLUMN(AC762)-2))))-1),"")</f>
        <v>ARCHIVED</v>
      </c>
      <c r="M762" s="13" t="n">
        <f aca="true">K762-TODAY()</f>
        <v>-363</v>
      </c>
      <c r="N762" s="18" t="s">
        <v>36</v>
      </c>
      <c r="O762" s="13" t="s">
        <v>2055</v>
      </c>
      <c r="P762" s="19" t="s">
        <v>2050</v>
      </c>
      <c r="Q762" s="20" t="s">
        <v>3384</v>
      </c>
      <c r="R762" s="13" t="s">
        <v>65</v>
      </c>
      <c r="S762" s="14" t="n">
        <v>35955</v>
      </c>
      <c r="T762" s="13" t="s">
        <v>40</v>
      </c>
      <c r="U762" s="13" t="s">
        <v>3385</v>
      </c>
      <c r="V762" s="13" t="s">
        <v>42</v>
      </c>
      <c r="W762" s="13" t="s">
        <v>43</v>
      </c>
      <c r="X762" s="21" t="n">
        <v>81234724714</v>
      </c>
      <c r="Y762" s="22" t="str">
        <f aca="false">O762</f>
        <v>Assembly</v>
      </c>
      <c r="Z762" s="13" t="str">
        <f aca="false">IFERROR(__xludf.dummyfunction("if(BJ762="""","""",GOOGLETRANSLATE(BJ762,""auto"",""en""))"),"Assembly")</f>
        <v>Assembly</v>
      </c>
      <c r="AA762" s="23" t="str">
        <f aca="false">IF(C762="","", CHOOSE(MONTH(C762),"January","February","March","April","May","June","July","August","September","October","November","December")&amp;" "&amp;DAY(C762)&amp;MID("thstndrdth",MIN(9,2*RIGHT(DAY(C762))*(MOD(DAY(C762)-11,100)&gt;2)+1),2)&amp;","&amp;TEXT(C762," yyyy"))</f>
        <v>June 6th,2022</v>
      </c>
      <c r="AB762" s="15" t="str">
        <f aca="true">IF(S762="","",DATEDIF(S762,TODAY(),"Y")&amp;" Tahun, "&amp;DATEDIF(S762,TODAY(),"YM")&amp;" Bulan, "&amp;DATEDIF(S762,TODAY(),"MD")&amp;" Hari")</f>
        <v>28 Tahun, 4 Bulan, 20 Hari</v>
      </c>
      <c r="AC762" s="18" t="n">
        <v>45839</v>
      </c>
      <c r="AD762" s="18" t="n">
        <v>45961</v>
      </c>
      <c r="AE762" s="18" t="s">
        <v>44</v>
      </c>
    </row>
    <row r="763" customFormat="false" ht="15.75" hidden="false" customHeight="true" outlineLevel="0" collapsed="false">
      <c r="A763" s="12" t="n">
        <v>6692</v>
      </c>
      <c r="B763" s="13" t="s">
        <v>3386</v>
      </c>
      <c r="C763" s="14" t="n">
        <v>44718</v>
      </c>
      <c r="D763" s="13" t="s">
        <v>2046</v>
      </c>
      <c r="E763" s="15" t="s">
        <v>102</v>
      </c>
      <c r="F763" s="24" t="s">
        <v>3387</v>
      </c>
      <c r="G763" s="13" t="s">
        <v>3388</v>
      </c>
      <c r="H763" s="13" t="s">
        <v>35</v>
      </c>
      <c r="I763" s="13" t="str">
        <f aca="false">IF(C763=J763,"NEW KONTRAK","RE-KONTRAK")</f>
        <v>RE-KONTRAK</v>
      </c>
      <c r="J763" s="16" t="n">
        <f aca="false" t="array" ref="J763:J763">IFERROR(INDEX(AC763:AE763,IF(COUNTA(AC763:AE763)=0,"",MAX((AC763:AE763&lt;&gt;"")*(COLUMN(AC763:AE763)-(COLUMN(AC763)))))-1),"")</f>
        <v>45839</v>
      </c>
      <c r="K763" s="16" t="n">
        <f aca="false" t="array" ref="K763:K763">IFERROR(INDEX(AC763:AE763,IF(COUNTA(AC763:AE763)=0,"",MAX((AC763:AE763&lt;&gt;"")*(COLUMN(AC763:AE763)-(COLUMN(AC763)-1))))-1),"")</f>
        <v>45961</v>
      </c>
      <c r="L763" s="17" t="str">
        <f aca="false" t="array" ref="L763:L763">IFERROR(INDEX(AC763:AE763,IF(COUNTA(AC763:AE763)=0,"",MAX((AC763:AE763&lt;&gt;"")*(COLUMN(AC763:AE763)-(COLUMN(AC763)-2))))-1),"")</f>
        <v>ARCHIVED</v>
      </c>
      <c r="M763" s="13" t="n">
        <f aca="true">K763-TODAY()</f>
        <v>-363</v>
      </c>
      <c r="N763" s="18" t="s">
        <v>36</v>
      </c>
      <c r="O763" s="13" t="s">
        <v>2055</v>
      </c>
      <c r="P763" s="19" t="s">
        <v>2050</v>
      </c>
      <c r="Q763" s="20" t="s">
        <v>3389</v>
      </c>
      <c r="R763" s="13" t="s">
        <v>65</v>
      </c>
      <c r="S763" s="14" t="n">
        <v>34311</v>
      </c>
      <c r="T763" s="13" t="s">
        <v>40</v>
      </c>
      <c r="U763" s="13" t="s">
        <v>3390</v>
      </c>
      <c r="V763" s="13" t="s">
        <v>42</v>
      </c>
      <c r="W763" s="13" t="s">
        <v>43</v>
      </c>
      <c r="X763" s="21" t="n">
        <v>85832017564</v>
      </c>
      <c r="Y763" s="22" t="str">
        <f aca="false">O763</f>
        <v>Assembly</v>
      </c>
      <c r="Z763" s="13" t="str">
        <f aca="false">IFERROR(__xludf.dummyfunction("if(BJ763="""","""",GOOGLETRANSLATE(BJ763,""auto"",""en""))"),"Assembly")</f>
        <v>Assembly</v>
      </c>
      <c r="AA763" s="23" t="str">
        <f aca="false">IF(C763="","", CHOOSE(MONTH(C763),"January","February","March","April","May","June","July","August","September","October","November","December")&amp;" "&amp;DAY(C763)&amp;MID("thstndrdth",MIN(9,2*RIGHT(DAY(C763))*(MOD(DAY(C763)-11,100)&gt;2)+1),2)&amp;","&amp;TEXT(C763," yyyy"))</f>
        <v>June 6th,2022</v>
      </c>
      <c r="AB763" s="15" t="str">
        <f aca="true">IF(S763="","",DATEDIF(S763,TODAY(),"Y")&amp;" Tahun, "&amp;DATEDIF(S763,TODAY(),"YM")&amp;" Bulan, "&amp;DATEDIF(S763,TODAY(),"MD")&amp;" Hari")</f>
        <v>32 Tahun, 10 Bulan, 21 Hari</v>
      </c>
      <c r="AC763" s="18" t="n">
        <v>45839</v>
      </c>
      <c r="AD763" s="18" t="n">
        <v>45961</v>
      </c>
      <c r="AE763" s="18" t="s">
        <v>44</v>
      </c>
    </row>
    <row r="764" customFormat="false" ht="15.75" hidden="false" customHeight="true" outlineLevel="0" collapsed="false">
      <c r="A764" s="12" t="n">
        <v>6695</v>
      </c>
      <c r="B764" s="13" t="s">
        <v>3391</v>
      </c>
      <c r="C764" s="14" t="n">
        <v>44718</v>
      </c>
      <c r="D764" s="13" t="s">
        <v>2046</v>
      </c>
      <c r="E764" s="15" t="s">
        <v>102</v>
      </c>
      <c r="F764" s="24" t="s">
        <v>3392</v>
      </c>
      <c r="G764" s="13" t="s">
        <v>3393</v>
      </c>
      <c r="H764" s="13" t="s">
        <v>35</v>
      </c>
      <c r="I764" s="13" t="str">
        <f aca="false">IF(C764=J764,"NEW KONTRAK","RE-KONTRAK")</f>
        <v>RE-KONTRAK</v>
      </c>
      <c r="J764" s="16" t="n">
        <f aca="false" t="array" ref="J764:J764">IFERROR(INDEX(AC764:AE764,IF(COUNTA(AC764:AE764)=0,"",MAX((AC764:AE764&lt;&gt;"")*(COLUMN(AC764:AE764)-(COLUMN(AC764)))))-1),"")</f>
        <v>45839</v>
      </c>
      <c r="K764" s="16" t="n">
        <f aca="false" t="array" ref="K764:K764">IFERROR(INDEX(AC764:AE764,IF(COUNTA(AC764:AE764)=0,"",MAX((AC764:AE764&lt;&gt;"")*(COLUMN(AC764:AE764)-(COLUMN(AC764)-1))))-1),"")</f>
        <v>45961</v>
      </c>
      <c r="L764" s="17" t="str">
        <f aca="false" t="array" ref="L764:L764">IFERROR(INDEX(AC764:AE764,IF(COUNTA(AC764:AE764)=0,"",MAX((AC764:AE764&lt;&gt;"")*(COLUMN(AC764:AE764)-(COLUMN(AC764)-2))))-1),"")</f>
        <v>ARCHIVED</v>
      </c>
      <c r="M764" s="13" t="n">
        <f aca="true">K764-TODAY()</f>
        <v>-363</v>
      </c>
      <c r="N764" s="18" t="s">
        <v>36</v>
      </c>
      <c r="O764" s="13" t="s">
        <v>2055</v>
      </c>
      <c r="P764" s="19" t="s">
        <v>2050</v>
      </c>
      <c r="Q764" s="20" t="s">
        <v>3394</v>
      </c>
      <c r="R764" s="13" t="s">
        <v>232</v>
      </c>
      <c r="S764" s="14" t="n">
        <v>37341</v>
      </c>
      <c r="T764" s="13" t="s">
        <v>40</v>
      </c>
      <c r="U764" s="13" t="s">
        <v>3395</v>
      </c>
      <c r="V764" s="13" t="s">
        <v>42</v>
      </c>
      <c r="W764" s="13" t="s">
        <v>43</v>
      </c>
      <c r="X764" s="21" t="n">
        <v>81916886507</v>
      </c>
      <c r="Y764" s="22" t="str">
        <f aca="false">O764</f>
        <v>Assembly</v>
      </c>
      <c r="Z764" s="13" t="str">
        <f aca="false">IFERROR(__xludf.dummyfunction("if(BJ764="""","""",GOOGLETRANSLATE(BJ764,""auto"",""en""))"),"Assembly")</f>
        <v>Assembly</v>
      </c>
      <c r="AA764" s="23" t="str">
        <f aca="false">IF(C764="","", CHOOSE(MONTH(C764),"January","February","March","April","May","June","July","August","September","October","November","December")&amp;" "&amp;DAY(C764)&amp;MID("thstndrdth",MIN(9,2*RIGHT(DAY(C764))*(MOD(DAY(C764)-11,100)&gt;2)+1),2)&amp;","&amp;TEXT(C764," yyyy"))</f>
        <v>June 6th,2022</v>
      </c>
      <c r="AB764" s="15" t="str">
        <f aca="true">IF(S764="","",DATEDIF(S764,TODAY(),"Y")&amp;" Tahun, "&amp;DATEDIF(S764,TODAY(),"YM")&amp;" Bulan, "&amp;DATEDIF(S764,TODAY(),"MD")&amp;" Hari")</f>
        <v>24 Tahun, 7 Bulan, 3 Hari</v>
      </c>
      <c r="AC764" s="18" t="n">
        <v>45839</v>
      </c>
      <c r="AD764" s="18" t="n">
        <v>45961</v>
      </c>
      <c r="AE764" s="18" t="s">
        <v>44</v>
      </c>
    </row>
    <row r="765" customFormat="false" ht="15.75" hidden="false" customHeight="true" outlineLevel="0" collapsed="false">
      <c r="A765" s="12" t="n">
        <v>6700</v>
      </c>
      <c r="B765" s="13" t="s">
        <v>3396</v>
      </c>
      <c r="C765" s="14" t="n">
        <v>44719</v>
      </c>
      <c r="D765" s="13" t="s">
        <v>144</v>
      </c>
      <c r="E765" s="15" t="s">
        <v>47</v>
      </c>
      <c r="F765" s="15" t="str">
        <f aca="false">IFERROR(__xludf.dummyfunction("XLOOKUP(AJ765,IMPORTRANGE(""1XaInW9DU9nz21V0tYIfzFQ0He9kVQ_JF2mCXgZ3hqFA"",""REKAP ALL 2026 - Andika!G:G""),IMPORTRANGE(""1XaInW9DU9nz21V0tYIfzFQ0He9kVQ_JF2mCXgZ3hqFA"",""REKAP ALL 2026 - Andika!F:F""),"""",0)"),"22058867064")</f>
        <v>22058867064</v>
      </c>
      <c r="G765" s="13" t="s">
        <v>3397</v>
      </c>
      <c r="H765" s="13" t="s">
        <v>35</v>
      </c>
      <c r="I765" s="13" t="str">
        <f aca="false">IF(C765=J765,"NEW KONTRAK","RE-KONTRAK")</f>
        <v>RE-KONTRAK</v>
      </c>
      <c r="J765" s="16" t="n">
        <f aca="false" t="array" ref="J765:J765">IFERROR(INDEX(AC765:AE765,IF(COUNTA(AC765:AE765)=0,"",MAX((AC765:AE765&lt;&gt;"")*(COLUMN(AC765:AE765)-(COLUMN(AC765)))))-1),"")</f>
        <v>45658</v>
      </c>
      <c r="K765" s="16" t="n">
        <f aca="false" t="array" ref="K765:K765">IFERROR(INDEX(AC765:AE765,IF(COUNTA(AC765:AE765)=0,"",MAX((AC765:AE765&lt;&gt;"")*(COLUMN(AC765:AE765)-(COLUMN(AC765)-1))))-1),"")</f>
        <v>46022</v>
      </c>
      <c r="L765" s="17" t="str">
        <f aca="false" t="array" ref="L765:L765">IFERROR(INDEX(AC765:AE765,IF(COUNTA(AC765:AE765)=0,"",MAX((AC765:AE765&lt;&gt;"")*(COLUMN(AC765:AE765)-(COLUMN(AC765)-2))))-1),"")</f>
        <v>ARCHIVED</v>
      </c>
      <c r="M765" s="13" t="n">
        <f aca="true">K765-TODAY()</f>
        <v>-302</v>
      </c>
      <c r="N765" s="18" t="s">
        <v>36</v>
      </c>
      <c r="O765" s="13" t="s">
        <v>146</v>
      </c>
      <c r="P765" s="19" t="n">
        <v>5195401</v>
      </c>
      <c r="Q765" s="20" t="s">
        <v>3398</v>
      </c>
      <c r="R765" s="13" t="s">
        <v>65</v>
      </c>
      <c r="S765" s="14" t="n">
        <v>37011</v>
      </c>
      <c r="T765" s="13" t="s">
        <v>40</v>
      </c>
      <c r="U765" s="13" t="s">
        <v>3399</v>
      </c>
      <c r="V765" s="13" t="s">
        <v>42</v>
      </c>
      <c r="W765" s="13" t="s">
        <v>43</v>
      </c>
      <c r="X765" s="21" t="n">
        <v>82143065093</v>
      </c>
      <c r="Y765" s="22" t="str">
        <f aca="false">O765</f>
        <v>Enamel</v>
      </c>
      <c r="Z765" s="13" t="str">
        <f aca="false">IFERROR(__xludf.dummyfunction("if(BJ765="""","""",GOOGLETRANSLATE(BJ765,""auto"",""en""))"),"Enamel")</f>
        <v>Enamel</v>
      </c>
      <c r="AA765" s="23" t="str">
        <f aca="false">IF(C765="","", CHOOSE(MONTH(C765),"January","February","March","April","May","June","July","August","September","October","November","December")&amp;" "&amp;DAY(C765)&amp;MID("thstndrdth",MIN(9,2*RIGHT(DAY(C765))*(MOD(DAY(C765)-11,100)&gt;2)+1),2)&amp;","&amp;TEXT(C765," yyyy"))</f>
        <v>June 7th,2022</v>
      </c>
      <c r="AB765" s="15" t="str">
        <f aca="true">IF(S765="","",DATEDIF(S765,TODAY(),"Y")&amp;" Tahun, "&amp;DATEDIF(S765,TODAY(),"YM")&amp;" Bulan, "&amp;DATEDIF(S765,TODAY(),"MD")&amp;" Hari")</f>
        <v>25 Tahun, 5 Bulan, 29 Hari</v>
      </c>
      <c r="AC765" s="18" t="n">
        <v>45658</v>
      </c>
      <c r="AD765" s="18" t="n">
        <v>46022</v>
      </c>
      <c r="AE765" s="18" t="s">
        <v>44</v>
      </c>
    </row>
    <row r="766" customFormat="false" ht="15.75" hidden="false" customHeight="true" outlineLevel="0" collapsed="false">
      <c r="A766" s="12" t="n">
        <v>6926</v>
      </c>
      <c r="B766" s="13" t="s">
        <v>3400</v>
      </c>
      <c r="C766" s="14" t="n">
        <v>44207</v>
      </c>
      <c r="D766" s="13" t="s">
        <v>1066</v>
      </c>
      <c r="E766" s="15" t="s">
        <v>47</v>
      </c>
      <c r="F766" s="15" t="str">
        <f aca="false">IFERROR(__xludf.dummyfunction("XLOOKUP(AJ766,IMPORTRANGE(""1XaInW9DU9nz21V0tYIfzFQ0He9kVQ_JF2mCXgZ3hqFA"",""REKAP ALL 2026 - Andika!G:G""),IMPORTRANGE(""1XaInW9DU9nz21V0tYIfzFQ0He9kVQ_JF2mCXgZ3hqFA"",""REKAP ALL 2026 - Andika!F:F""),"""",0)"),"21012844557")</f>
        <v>21012844557</v>
      </c>
      <c r="G766" s="13" t="s">
        <v>3401</v>
      </c>
      <c r="H766" s="13" t="s">
        <v>35</v>
      </c>
      <c r="I766" s="13" t="str">
        <f aca="false">IF(C766=J766,"NEW KONTRAK","RE-KONTRAK")</f>
        <v>RE-KONTRAK</v>
      </c>
      <c r="J766" s="16" t="n">
        <f aca="false" t="array" ref="J766:J766">IFERROR(INDEX(AC766:AE766,IF(COUNTA(AC766:AE766)=0,"",MAX((AC766:AE766&lt;&gt;"")*(COLUMN(AC766:AE766)-(COLUMN(AC766)))))-1),"")</f>
        <v>45658</v>
      </c>
      <c r="K766" s="16" t="n">
        <f aca="false" t="array" ref="K766:K766">IFERROR(INDEX(AC766:AE766,IF(COUNTA(AC766:AE766)=0,"",MAX((AC766:AE766&lt;&gt;"")*(COLUMN(AC766:AE766)-(COLUMN(AC766)-1))))-1),"")</f>
        <v>46022</v>
      </c>
      <c r="L766" s="17" t="str">
        <f aca="false" t="array" ref="L766:L766">IFERROR(INDEX(AC766:AE766,IF(COUNTA(AC766:AE766)=0,"",MAX((AC766:AE766&lt;&gt;"")*(COLUMN(AC766:AE766)-(COLUMN(AC766)-2))))-1),"")</f>
        <v>ARCHIVED</v>
      </c>
      <c r="M766" s="13" t="n">
        <f aca="true">K766-TODAY()</f>
        <v>-302</v>
      </c>
      <c r="N766" s="18" t="s">
        <v>615</v>
      </c>
      <c r="O766" s="13" t="s">
        <v>1068</v>
      </c>
      <c r="P766" s="19" t="n">
        <v>5176101</v>
      </c>
      <c r="Q766" s="20" t="s">
        <v>3402</v>
      </c>
      <c r="R766" s="13" t="s">
        <v>232</v>
      </c>
      <c r="S766" s="14" t="n">
        <v>36175</v>
      </c>
      <c r="T766" s="13" t="s">
        <v>108</v>
      </c>
      <c r="U766" s="13" t="s">
        <v>3403</v>
      </c>
      <c r="V766" s="13" t="s">
        <v>42</v>
      </c>
      <c r="W766" s="13" t="s">
        <v>43</v>
      </c>
      <c r="X766" s="21" t="n">
        <v>85707705696</v>
      </c>
      <c r="Y766" s="22" t="str">
        <f aca="false">O766</f>
        <v>Production Packer</v>
      </c>
      <c r="Z766" s="13" t="str">
        <f aca="false">IFERROR(__xludf.dummyfunction("if(BJ766="""","""",GOOGLETRANSLATE(BJ766,""auto"",""en""))"),"Production Packer")</f>
        <v>Production Packer</v>
      </c>
      <c r="AA766" s="23" t="str">
        <f aca="false">IF(C766="","", CHOOSE(MONTH(C766),"January","February","March","April","May","June","July","August","September","October","November","December")&amp;" "&amp;DAY(C766)&amp;MID("thstndrdth",MIN(9,2*RIGHT(DAY(C766))*(MOD(DAY(C766)-11,100)&gt;2)+1),2)&amp;","&amp;TEXT(C766," yyyy"))</f>
        <v>January 11th,2021</v>
      </c>
      <c r="AB766" s="15" t="str">
        <f aca="true">IF(S766="","",DATEDIF(S766,TODAY(),"Y")&amp;" Tahun, "&amp;DATEDIF(S766,TODAY(),"YM")&amp;" Bulan, "&amp;DATEDIF(S766,TODAY(),"MD")&amp;" Hari")</f>
        <v>27 Tahun, 9 Bulan, 14 Hari</v>
      </c>
      <c r="AC766" s="18" t="n">
        <v>45658</v>
      </c>
      <c r="AD766" s="18" t="n">
        <v>46022</v>
      </c>
      <c r="AE766" s="18" t="s">
        <v>44</v>
      </c>
    </row>
    <row r="767" customFormat="false" ht="15.75" hidden="false" customHeight="true" outlineLevel="0" collapsed="false">
      <c r="A767" s="12" t="n">
        <v>6995</v>
      </c>
      <c r="B767" s="13" t="s">
        <v>3404</v>
      </c>
      <c r="C767" s="14" t="n">
        <v>44742</v>
      </c>
      <c r="D767" s="13" t="s">
        <v>144</v>
      </c>
      <c r="E767" s="15" t="s">
        <v>47</v>
      </c>
      <c r="F767" s="15" t="str">
        <f aca="false">IFERROR(__xludf.dummyfunction("XLOOKUP(AJ767,IMPORTRANGE(""1XaInW9DU9nz21V0tYIfzFQ0He9kVQ_JF2mCXgZ3hqFA"",""REKAP ALL 2026 - Andika!G:G""),IMPORTRANGE(""1XaInW9DU9nz21V0tYIfzFQ0He9kVQ_JF2mCXgZ3hqFA"",""REKAP ALL 2026 - Andika!F:F""),"""",0)"),"22072558798")</f>
        <v>22072558798</v>
      </c>
      <c r="G767" s="13" t="s">
        <v>3405</v>
      </c>
      <c r="H767" s="13" t="s">
        <v>35</v>
      </c>
      <c r="I767" s="13" t="str">
        <f aca="false">IF(C767=J767,"NEW KONTRAK","RE-KONTRAK")</f>
        <v>RE-KONTRAK</v>
      </c>
      <c r="J767" s="16" t="n">
        <f aca="false" t="array" ref="J767:J767">IFERROR(INDEX(AC767:AE767,IF(COUNTA(AC767:AE767)=0,"",MAX((AC767:AE767&lt;&gt;"")*(COLUMN(AC767:AE767)-(COLUMN(AC767)))))-1),"")</f>
        <v>45658</v>
      </c>
      <c r="K767" s="16" t="n">
        <f aca="false" t="array" ref="K767:K767">IFERROR(INDEX(AC767:AE767,IF(COUNTA(AC767:AE767)=0,"",MAX((AC767:AE767&lt;&gt;"")*(COLUMN(AC767:AE767)-(COLUMN(AC767)-1))))-1),"")</f>
        <v>46022</v>
      </c>
      <c r="L767" s="17" t="str">
        <f aca="false" t="array" ref="L767:L767">IFERROR(INDEX(AC767:AE767,IF(COUNTA(AC767:AE767)=0,"",MAX((AC767:AE767&lt;&gt;"")*(COLUMN(AC767:AE767)-(COLUMN(AC767)-2))))-1),"")</f>
        <v>ARCHIVED</v>
      </c>
      <c r="M767" s="13" t="n">
        <f aca="true">K767-TODAY()</f>
        <v>-302</v>
      </c>
      <c r="N767" s="18" t="s">
        <v>36</v>
      </c>
      <c r="O767" s="13" t="s">
        <v>146</v>
      </c>
      <c r="P767" s="19" t="n">
        <v>5195401</v>
      </c>
      <c r="Q767" s="20" t="s">
        <v>3406</v>
      </c>
      <c r="R767" s="13" t="s">
        <v>232</v>
      </c>
      <c r="S767" s="14" t="n">
        <v>34504</v>
      </c>
      <c r="T767" s="13" t="s">
        <v>40</v>
      </c>
      <c r="U767" s="13" t="s">
        <v>3407</v>
      </c>
      <c r="V767" s="13" t="s">
        <v>42</v>
      </c>
      <c r="W767" s="13" t="s">
        <v>54</v>
      </c>
      <c r="X767" s="21" t="n">
        <v>81937273207</v>
      </c>
      <c r="Y767" s="22" t="str">
        <f aca="false">O767</f>
        <v>Enamel</v>
      </c>
      <c r="Z767" s="13" t="str">
        <f aca="false">IFERROR(__xludf.dummyfunction("if(BJ767="""","""",GOOGLETRANSLATE(BJ767,""auto"",""en""))"),"Enamel")</f>
        <v>Enamel</v>
      </c>
      <c r="AA767" s="23" t="str">
        <f aca="false">IF(C767="","", CHOOSE(MONTH(C767),"January","February","March","April","May","June","July","August","September","October","November","December")&amp;" "&amp;DAY(C767)&amp;MID("thstndrdth",MIN(9,2*RIGHT(DAY(C767))*(MOD(DAY(C767)-11,100)&gt;2)+1),2)&amp;","&amp;TEXT(C767," yyyy"))</f>
        <v>June 30th,2022</v>
      </c>
      <c r="AB767" s="15" t="str">
        <f aca="true">IF(S767="","",DATEDIF(S767,TODAY(),"Y")&amp;" Tahun, "&amp;DATEDIF(S767,TODAY(),"YM")&amp;" Bulan, "&amp;DATEDIF(S767,TODAY(),"MD")&amp;" Hari")</f>
        <v>32 Tahun, 4 Bulan, 10 Hari</v>
      </c>
      <c r="AC767" s="18" t="n">
        <v>45658</v>
      </c>
      <c r="AD767" s="18" t="n">
        <v>46022</v>
      </c>
      <c r="AE767" s="18" t="s">
        <v>44</v>
      </c>
    </row>
    <row r="768" customFormat="false" ht="15.75" hidden="false" customHeight="true" outlineLevel="0" collapsed="false">
      <c r="A768" s="12" t="n">
        <v>6996</v>
      </c>
      <c r="B768" s="13" t="s">
        <v>3408</v>
      </c>
      <c r="C768" s="14" t="n">
        <v>44742</v>
      </c>
      <c r="D768" s="13" t="s">
        <v>144</v>
      </c>
      <c r="E768" s="15" t="s">
        <v>47</v>
      </c>
      <c r="F768" s="15" t="str">
        <f aca="false">IFERROR(__xludf.dummyfunction("XLOOKUP(AJ768,IMPORTRANGE(""1XaInW9DU9nz21V0tYIfzFQ0He9kVQ_JF2mCXgZ3hqFA"",""REKAP ALL 2026 - Andika!G:G""),IMPORTRANGE(""1XaInW9DU9nz21V0tYIfzFQ0He9kVQ_JF2mCXgZ3hqFA"",""REKAP ALL 2026 - Andika!F:F""),"""",0)"),"22072558764")</f>
        <v>22072558764</v>
      </c>
      <c r="G768" s="13" t="s">
        <v>3409</v>
      </c>
      <c r="H768" s="13" t="s">
        <v>35</v>
      </c>
      <c r="I768" s="13" t="str">
        <f aca="false">IF(C768=J768,"NEW KONTRAK","RE-KONTRAK")</f>
        <v>RE-KONTRAK</v>
      </c>
      <c r="J768" s="16" t="n">
        <f aca="false" t="array" ref="J768:J768">IFERROR(INDEX(AC768:AE768,IF(COUNTA(AC768:AE768)=0,"",MAX((AC768:AE768&lt;&gt;"")*(COLUMN(AC768:AE768)-(COLUMN(AC768)))))-1),"")</f>
        <v>45658</v>
      </c>
      <c r="K768" s="16" t="n">
        <f aca="false" t="array" ref="K768:K768">IFERROR(INDEX(AC768:AE768,IF(COUNTA(AC768:AE768)=0,"",MAX((AC768:AE768&lt;&gt;"")*(COLUMN(AC768:AE768)-(COLUMN(AC768)-1))))-1),"")</f>
        <v>46022</v>
      </c>
      <c r="L768" s="17" t="str">
        <f aca="false" t="array" ref="L768:L768">IFERROR(INDEX(AC768:AE768,IF(COUNTA(AC768:AE768)=0,"",MAX((AC768:AE768&lt;&gt;"")*(COLUMN(AC768:AE768)-(COLUMN(AC768)-2))))-1),"")</f>
        <v>ARCHIVED</v>
      </c>
      <c r="M768" s="13" t="n">
        <f aca="true">K768-TODAY()</f>
        <v>-302</v>
      </c>
      <c r="N768" s="18" t="s">
        <v>36</v>
      </c>
      <c r="O768" s="13" t="s">
        <v>146</v>
      </c>
      <c r="P768" s="19" t="n">
        <v>5195401</v>
      </c>
      <c r="Q768" s="20" t="s">
        <v>3410</v>
      </c>
      <c r="R768" s="13" t="s">
        <v>246</v>
      </c>
      <c r="S768" s="14" t="n">
        <v>34864</v>
      </c>
      <c r="T768" s="13" t="s">
        <v>40</v>
      </c>
      <c r="U768" s="13" t="s">
        <v>3411</v>
      </c>
      <c r="V768" s="13" t="s">
        <v>42</v>
      </c>
      <c r="W768" s="13" t="s">
        <v>54</v>
      </c>
      <c r="X768" s="21" t="n">
        <v>85736500186</v>
      </c>
      <c r="Y768" s="22" t="str">
        <f aca="false">O768</f>
        <v>Enamel</v>
      </c>
      <c r="Z768" s="13" t="str">
        <f aca="false">IFERROR(__xludf.dummyfunction("if(BJ768="""","""",GOOGLETRANSLATE(BJ768,""auto"",""en""))"),"Enamel")</f>
        <v>Enamel</v>
      </c>
      <c r="AA768" s="23" t="str">
        <f aca="false">IF(C768="","", CHOOSE(MONTH(C768),"January","February","March","April","May","June","July","August","September","October","November","December")&amp;" "&amp;DAY(C768)&amp;MID("thstndrdth",MIN(9,2*RIGHT(DAY(C768))*(MOD(DAY(C768)-11,100)&gt;2)+1),2)&amp;","&amp;TEXT(C768," yyyy"))</f>
        <v>June 30th,2022</v>
      </c>
      <c r="AB768" s="15" t="str">
        <f aca="true">IF(S768="","",DATEDIF(S768,TODAY(),"Y")&amp;" Tahun, "&amp;DATEDIF(S768,TODAY(),"YM")&amp;" Bulan, "&amp;DATEDIF(S768,TODAY(),"MD")&amp;" Hari")</f>
        <v>31 Tahun, 4 Bulan, 15 Hari</v>
      </c>
      <c r="AC768" s="18" t="n">
        <v>45658</v>
      </c>
      <c r="AD768" s="18" t="n">
        <v>46022</v>
      </c>
      <c r="AE768" s="18" t="s">
        <v>44</v>
      </c>
    </row>
    <row r="769" customFormat="false" ht="15.75" hidden="false" customHeight="true" outlineLevel="0" collapsed="false">
      <c r="A769" s="12" t="n">
        <v>6997</v>
      </c>
      <c r="B769" s="13" t="s">
        <v>3412</v>
      </c>
      <c r="C769" s="14" t="n">
        <v>44742</v>
      </c>
      <c r="D769" s="13" t="s">
        <v>144</v>
      </c>
      <c r="E769" s="15" t="s">
        <v>47</v>
      </c>
      <c r="F769" s="15" t="str">
        <f aca="false">IFERROR(__xludf.dummyfunction("XLOOKUP(AJ769,IMPORTRANGE(""1XaInW9DU9nz21V0tYIfzFQ0He9kVQ_JF2mCXgZ3hqFA"",""REKAP ALL 2026 - Andika!G:G""),IMPORTRANGE(""1XaInW9DU9nz21V0tYIfzFQ0He9kVQ_JF2mCXgZ3hqFA"",""REKAP ALL 2026 - Andika!F:F""),"""",0)"),"22072558673")</f>
        <v>22072558673</v>
      </c>
      <c r="G769" s="13" t="s">
        <v>3413</v>
      </c>
      <c r="H769" s="13" t="s">
        <v>35</v>
      </c>
      <c r="I769" s="13" t="str">
        <f aca="false">IF(C769=J769,"NEW KONTRAK","RE-KONTRAK")</f>
        <v>RE-KONTRAK</v>
      </c>
      <c r="J769" s="16" t="n">
        <f aca="false" t="array" ref="J769:J769">IFERROR(INDEX(AC769:AE769,IF(COUNTA(AC769:AE769)=0,"",MAX((AC769:AE769&lt;&gt;"")*(COLUMN(AC769:AE769)-(COLUMN(AC769)))))-1),"")</f>
        <v>45658</v>
      </c>
      <c r="K769" s="16" t="n">
        <f aca="false" t="array" ref="K769:K769">IFERROR(INDEX(AC769:AE769,IF(COUNTA(AC769:AE769)=0,"",MAX((AC769:AE769&lt;&gt;"")*(COLUMN(AC769:AE769)-(COLUMN(AC769)-1))))-1),"")</f>
        <v>46022</v>
      </c>
      <c r="L769" s="17" t="str">
        <f aca="false" t="array" ref="L769:L769">IFERROR(INDEX(AC769:AE769,IF(COUNTA(AC769:AE769)=0,"",MAX((AC769:AE769&lt;&gt;"")*(COLUMN(AC769:AE769)-(COLUMN(AC769)-2))))-1),"")</f>
        <v>ARCHIVED</v>
      </c>
      <c r="M769" s="13" t="n">
        <f aca="true">K769-TODAY()</f>
        <v>-302</v>
      </c>
      <c r="N769" s="18" t="s">
        <v>36</v>
      </c>
      <c r="O769" s="13" t="s">
        <v>146</v>
      </c>
      <c r="P769" s="19" t="n">
        <v>5195401</v>
      </c>
      <c r="Q769" s="20" t="s">
        <v>3414</v>
      </c>
      <c r="R769" s="13" t="s">
        <v>168</v>
      </c>
      <c r="S769" s="14" t="n">
        <v>37510</v>
      </c>
      <c r="T769" s="13" t="s">
        <v>40</v>
      </c>
      <c r="U769" s="13" t="s">
        <v>3415</v>
      </c>
      <c r="V769" s="13" t="s">
        <v>42</v>
      </c>
      <c r="W769" s="13" t="s">
        <v>43</v>
      </c>
      <c r="X769" s="21" t="n">
        <v>85156201079</v>
      </c>
      <c r="Y769" s="22" t="str">
        <f aca="false">O769</f>
        <v>Enamel</v>
      </c>
      <c r="Z769" s="13" t="str">
        <f aca="false">IFERROR(__xludf.dummyfunction("if(BJ769="""","""",GOOGLETRANSLATE(BJ769,""auto"",""en""))"),"Enamel")</f>
        <v>Enamel</v>
      </c>
      <c r="AA769" s="23" t="str">
        <f aca="false">IF(C769="","", CHOOSE(MONTH(C769),"January","February","March","April","May","June","July","August","September","October","November","December")&amp;" "&amp;DAY(C769)&amp;MID("thstndrdth",MIN(9,2*RIGHT(DAY(C769))*(MOD(DAY(C769)-11,100)&gt;2)+1),2)&amp;","&amp;TEXT(C769," yyyy"))</f>
        <v>June 30th,2022</v>
      </c>
      <c r="AB769" s="15" t="str">
        <f aca="true">IF(S769="","",DATEDIF(S769,TODAY(),"Y")&amp;" Tahun, "&amp;DATEDIF(S769,TODAY(),"YM")&amp;" Bulan, "&amp;DATEDIF(S769,TODAY(),"MD")&amp;" Hari")</f>
        <v>24 Tahun, 1 Bulan, 18 Hari</v>
      </c>
      <c r="AC769" s="18" t="n">
        <v>45658</v>
      </c>
      <c r="AD769" s="18" t="n">
        <v>46022</v>
      </c>
      <c r="AE769" s="18" t="s">
        <v>44</v>
      </c>
    </row>
    <row r="770" customFormat="false" ht="15.75" hidden="false" customHeight="true" outlineLevel="0" collapsed="false">
      <c r="A770" s="12" t="n">
        <v>6998</v>
      </c>
      <c r="B770" s="13" t="s">
        <v>3416</v>
      </c>
      <c r="C770" s="14" t="n">
        <v>44742</v>
      </c>
      <c r="D770" s="13" t="s">
        <v>144</v>
      </c>
      <c r="E770" s="15" t="s">
        <v>47</v>
      </c>
      <c r="F770" s="15" t="str">
        <f aca="false">IFERROR(__xludf.dummyfunction("XLOOKUP(AJ770,IMPORTRANGE(""1XaInW9DU9nz21V0tYIfzFQ0He9kVQ_JF2mCXgZ3hqFA"",""REKAP ALL 2026 - Andika!G:G""),IMPORTRANGE(""1XaInW9DU9nz21V0tYIfzFQ0He9kVQ_JF2mCXgZ3hqFA"",""REKAP ALL 2026 - Andika!F:F""),"""",0)"),"22072558681")</f>
        <v>22072558681</v>
      </c>
      <c r="G770" s="13" t="s">
        <v>3417</v>
      </c>
      <c r="H770" s="13" t="s">
        <v>35</v>
      </c>
      <c r="I770" s="13" t="str">
        <f aca="false">IF(C770=J770,"NEW KONTRAK","RE-KONTRAK")</f>
        <v>RE-KONTRAK</v>
      </c>
      <c r="J770" s="16" t="n">
        <f aca="false" t="array" ref="J770:J770">IFERROR(INDEX(AC770:AE770,IF(COUNTA(AC770:AE770)=0,"",MAX((AC770:AE770&lt;&gt;"")*(COLUMN(AC770:AE770)-(COLUMN(AC770)))))-1),"")</f>
        <v>45658</v>
      </c>
      <c r="K770" s="16" t="n">
        <f aca="false" t="array" ref="K770:K770">IFERROR(INDEX(AC770:AE770,IF(COUNTA(AC770:AE770)=0,"",MAX((AC770:AE770&lt;&gt;"")*(COLUMN(AC770:AE770)-(COLUMN(AC770)-1))))-1),"")</f>
        <v>46022</v>
      </c>
      <c r="L770" s="17" t="str">
        <f aca="false" t="array" ref="L770:L770">IFERROR(INDEX(AC770:AE770,IF(COUNTA(AC770:AE770)=0,"",MAX((AC770:AE770&lt;&gt;"")*(COLUMN(AC770:AE770)-(COLUMN(AC770)-2))))-1),"")</f>
        <v>ARCHIVED</v>
      </c>
      <c r="M770" s="13" t="n">
        <f aca="true">K770-TODAY()</f>
        <v>-302</v>
      </c>
      <c r="N770" s="18" t="s">
        <v>36</v>
      </c>
      <c r="O770" s="13" t="s">
        <v>146</v>
      </c>
      <c r="P770" s="19" t="n">
        <v>5195401</v>
      </c>
      <c r="Q770" s="20" t="s">
        <v>3418</v>
      </c>
      <c r="R770" s="13" t="s">
        <v>65</v>
      </c>
      <c r="S770" s="14" t="n">
        <v>35925</v>
      </c>
      <c r="T770" s="13" t="s">
        <v>40</v>
      </c>
      <c r="U770" s="13" t="s">
        <v>3419</v>
      </c>
      <c r="V770" s="13" t="s">
        <v>42</v>
      </c>
      <c r="W770" s="13" t="s">
        <v>43</v>
      </c>
      <c r="X770" s="21" t="n">
        <v>81928005571</v>
      </c>
      <c r="Y770" s="22" t="str">
        <f aca="false">O770</f>
        <v>Enamel</v>
      </c>
      <c r="Z770" s="13" t="str">
        <f aca="false">IFERROR(__xludf.dummyfunction("if(BJ770="""","""",GOOGLETRANSLATE(BJ770,""auto"",""en""))"),"Enamel")</f>
        <v>Enamel</v>
      </c>
      <c r="AA770" s="23" t="str">
        <f aca="false">IF(C770="","", CHOOSE(MONTH(C770),"January","February","March","April","May","June","July","August","September","October","November","December")&amp;" "&amp;DAY(C770)&amp;MID("thstndrdth",MIN(9,2*RIGHT(DAY(C770))*(MOD(DAY(C770)-11,100)&gt;2)+1),2)&amp;","&amp;TEXT(C770," yyyy"))</f>
        <v>June 30th,2022</v>
      </c>
      <c r="AB770" s="15" t="str">
        <f aca="true">IF(S770="","",DATEDIF(S770,TODAY(),"Y")&amp;" Tahun, "&amp;DATEDIF(S770,TODAY(),"YM")&amp;" Bulan, "&amp;DATEDIF(S770,TODAY(),"MD")&amp;" Hari")</f>
        <v>28 Tahun, 5 Bulan, 19 Hari</v>
      </c>
      <c r="AC770" s="18" t="n">
        <v>45658</v>
      </c>
      <c r="AD770" s="18" t="n">
        <v>46022</v>
      </c>
      <c r="AE770" s="18" t="s">
        <v>44</v>
      </c>
    </row>
    <row r="771" customFormat="false" ht="15.75" hidden="false" customHeight="true" outlineLevel="0" collapsed="false">
      <c r="A771" s="12" t="n">
        <v>6999</v>
      </c>
      <c r="B771" s="13" t="s">
        <v>3420</v>
      </c>
      <c r="C771" s="14" t="n">
        <v>44742</v>
      </c>
      <c r="D771" s="13" t="s">
        <v>144</v>
      </c>
      <c r="E771" s="15" t="s">
        <v>102</v>
      </c>
      <c r="F771" s="15" t="str">
        <f aca="false">IFERROR(__xludf.dummyfunction("XLOOKUP(AJ771,IMPORTRANGE(""1XaInW9DU9nz21V0tYIfzFQ0He9kVQ_JF2mCXgZ3hqFA"",""REKAP ALL 2026 - Andika!G:G""),IMPORTRANGE(""1XaInW9DU9nz21V0tYIfzFQ0He9kVQ_JF2mCXgZ3hqFA"",""REKAP ALL 2026 - Andika!F:F""),"""",0)"),"22072558780")</f>
        <v>22072558780</v>
      </c>
      <c r="G771" s="13" t="s">
        <v>3421</v>
      </c>
      <c r="H771" s="13" t="s">
        <v>35</v>
      </c>
      <c r="I771" s="13" t="str">
        <f aca="false">IF(C771=J771,"NEW KONTRAK","RE-KONTRAK")</f>
        <v>RE-KONTRAK</v>
      </c>
      <c r="J771" s="16" t="n">
        <f aca="false" t="array" ref="J771:J771">IFERROR(INDEX(AC771:AE771,IF(COUNTA(AC771:AE771)=0,"",MAX((AC771:AE771&lt;&gt;"")*(COLUMN(AC771:AE771)-(COLUMN(AC771)))))-1),"")</f>
        <v>45658</v>
      </c>
      <c r="K771" s="16" t="n">
        <f aca="false" t="array" ref="K771:K771">IFERROR(INDEX(AC771:AE771,IF(COUNTA(AC771:AE771)=0,"",MAX((AC771:AE771&lt;&gt;"")*(COLUMN(AC771:AE771)-(COLUMN(AC771)-1))))-1),"")</f>
        <v>46022</v>
      </c>
      <c r="L771" s="17" t="str">
        <f aca="false" t="array" ref="L771:L771">IFERROR(INDEX(AC771:AE771,IF(COUNTA(AC771:AE771)=0,"",MAX((AC771:AE771&lt;&gt;"")*(COLUMN(AC771:AE771)-(COLUMN(AC771)-2))))-1),"")</f>
        <v>ARCHIVED</v>
      </c>
      <c r="M771" s="13" t="n">
        <f aca="true">K771-TODAY()</f>
        <v>-302</v>
      </c>
      <c r="N771" s="18" t="s">
        <v>36</v>
      </c>
      <c r="O771" s="13" t="s">
        <v>211</v>
      </c>
      <c r="P771" s="19" t="n">
        <v>5195401</v>
      </c>
      <c r="Q771" s="20" t="s">
        <v>3422</v>
      </c>
      <c r="R771" s="13" t="s">
        <v>52</v>
      </c>
      <c r="S771" s="14" t="n">
        <v>32800</v>
      </c>
      <c r="T771" s="13" t="s">
        <v>40</v>
      </c>
      <c r="U771" s="13" t="s">
        <v>3423</v>
      </c>
      <c r="V771" s="13" t="s">
        <v>42</v>
      </c>
      <c r="W771" s="13" t="s">
        <v>54</v>
      </c>
      <c r="X771" s="21" t="n">
        <v>8993140235</v>
      </c>
      <c r="Y771" s="22" t="str">
        <f aca="false">O771</f>
        <v>FG Store</v>
      </c>
      <c r="Z771" s="13" t="str">
        <f aca="false">IFERROR(__xludf.dummyfunction("if(BJ771="""","""",GOOGLETRANSLATE(BJ771,""auto"",""en""))"),"FG Store")</f>
        <v>FG Store</v>
      </c>
      <c r="AA771" s="23" t="str">
        <f aca="false">IF(C771="","", CHOOSE(MONTH(C771),"January","February","March","April","May","June","July","August","September","October","November","December")&amp;" "&amp;DAY(C771)&amp;MID("thstndrdth",MIN(9,2*RIGHT(DAY(C771))*(MOD(DAY(C771)-11,100)&gt;2)+1),2)&amp;","&amp;TEXT(C771," yyyy"))</f>
        <v>June 30th,2022</v>
      </c>
      <c r="AB771" s="15" t="str">
        <f aca="true">IF(S771="","",DATEDIF(S771,TODAY(),"Y")&amp;" Tahun, "&amp;DATEDIF(S771,TODAY(),"YM")&amp;" Bulan, "&amp;DATEDIF(S771,TODAY(),"MD")&amp;" Hari")</f>
        <v>37 Tahun, 0 Bulan, 10 Hari</v>
      </c>
      <c r="AC771" s="18" t="n">
        <v>45658</v>
      </c>
      <c r="AD771" s="18" t="n">
        <v>46022</v>
      </c>
      <c r="AE771" s="18" t="s">
        <v>44</v>
      </c>
    </row>
    <row r="772" customFormat="false" ht="15.75" hidden="false" customHeight="true" outlineLevel="0" collapsed="false">
      <c r="A772" s="12" t="n">
        <v>7002</v>
      </c>
      <c r="B772" s="13" t="s">
        <v>3424</v>
      </c>
      <c r="C772" s="14" t="n">
        <v>44742</v>
      </c>
      <c r="D772" s="13" t="s">
        <v>144</v>
      </c>
      <c r="E772" s="15" t="s">
        <v>47</v>
      </c>
      <c r="F772" s="15" t="str">
        <f aca="false">IFERROR(__xludf.dummyfunction("XLOOKUP(AJ772,IMPORTRANGE(""1XaInW9DU9nz21V0tYIfzFQ0He9kVQ_JF2mCXgZ3hqFA"",""REKAP ALL 2026 - Andika!G:G""),IMPORTRANGE(""1XaInW9DU9nz21V0tYIfzFQ0He9kVQ_JF2mCXgZ3hqFA"",""REKAP ALL 2026 - Andika!F:F""),"""",0)"),"22072558772")</f>
        <v>22072558772</v>
      </c>
      <c r="G772" s="13" t="s">
        <v>3425</v>
      </c>
      <c r="H772" s="13" t="s">
        <v>35</v>
      </c>
      <c r="I772" s="13" t="str">
        <f aca="false">IF(C772=J772,"NEW KONTRAK","RE-KONTRAK")</f>
        <v>RE-KONTRAK</v>
      </c>
      <c r="J772" s="16" t="n">
        <f aca="false" t="array" ref="J772:J772">IFERROR(INDEX(AC772:AE772,IF(COUNTA(AC772:AE772)=0,"",MAX((AC772:AE772&lt;&gt;"")*(COLUMN(AC772:AE772)-(COLUMN(AC772)))))-1),"")</f>
        <v>45658</v>
      </c>
      <c r="K772" s="16" t="n">
        <f aca="false" t="array" ref="K772:K772">IFERROR(INDEX(AC772:AE772,IF(COUNTA(AC772:AE772)=0,"",MAX((AC772:AE772&lt;&gt;"")*(COLUMN(AC772:AE772)-(COLUMN(AC772)-1))))-1),"")</f>
        <v>46022</v>
      </c>
      <c r="L772" s="17" t="str">
        <f aca="false" t="array" ref="L772:L772">IFERROR(INDEX(AC772:AE772,IF(COUNTA(AC772:AE772)=0,"",MAX((AC772:AE772&lt;&gt;"")*(COLUMN(AC772:AE772)-(COLUMN(AC772)-2))))-1),"")</f>
        <v>ARCHIVED</v>
      </c>
      <c r="M772" s="13" t="n">
        <f aca="true">K772-TODAY()</f>
        <v>-302</v>
      </c>
      <c r="N772" s="18" t="s">
        <v>36</v>
      </c>
      <c r="O772" s="13" t="s">
        <v>211</v>
      </c>
      <c r="P772" s="19" t="n">
        <v>5195401</v>
      </c>
      <c r="Q772" s="20" t="s">
        <v>3426</v>
      </c>
      <c r="R772" s="13" t="s">
        <v>148</v>
      </c>
      <c r="S772" s="14" t="n">
        <v>34015</v>
      </c>
      <c r="T772" s="13" t="s">
        <v>40</v>
      </c>
      <c r="U772" s="13" t="s">
        <v>3427</v>
      </c>
      <c r="V772" s="13" t="s">
        <v>42</v>
      </c>
      <c r="W772" s="13" t="s">
        <v>43</v>
      </c>
      <c r="X772" s="21" t="n">
        <v>82235939229</v>
      </c>
      <c r="Y772" s="22" t="str">
        <f aca="false">O772</f>
        <v>FG Store</v>
      </c>
      <c r="Z772" s="13" t="str">
        <f aca="false">IFERROR(__xludf.dummyfunction("if(BJ772="""","""",GOOGLETRANSLATE(BJ772,""auto"",""en""))"),"FG Store")</f>
        <v>FG Store</v>
      </c>
      <c r="AA772" s="23" t="str">
        <f aca="false">IF(C772="","", CHOOSE(MONTH(C772),"January","February","March","April","May","June","July","August","September","October","November","December")&amp;" "&amp;DAY(C772)&amp;MID("thstndrdth",MIN(9,2*RIGHT(DAY(C772))*(MOD(DAY(C772)-11,100)&gt;2)+1),2)&amp;","&amp;TEXT(C772," yyyy"))</f>
        <v>June 30th,2022</v>
      </c>
      <c r="AB772" s="15" t="str">
        <f aca="true">IF(S772="","",DATEDIF(S772,TODAY(),"Y")&amp;" Tahun, "&amp;DATEDIF(S772,TODAY(),"YM")&amp;" Bulan, "&amp;DATEDIF(S772,TODAY(),"MD")&amp;" Hari")</f>
        <v>33 Tahun, 8 Bulan, 14 Hari</v>
      </c>
      <c r="AC772" s="18" t="n">
        <v>45658</v>
      </c>
      <c r="AD772" s="18" t="n">
        <v>46022</v>
      </c>
      <c r="AE772" s="18" t="s">
        <v>44</v>
      </c>
    </row>
    <row r="773" customFormat="false" ht="15.75" hidden="false" customHeight="true" outlineLevel="0" collapsed="false">
      <c r="A773" s="12" t="n">
        <v>7006</v>
      </c>
      <c r="B773" s="13" t="s">
        <v>3428</v>
      </c>
      <c r="C773" s="14" t="n">
        <v>44742</v>
      </c>
      <c r="D773" s="13" t="s">
        <v>144</v>
      </c>
      <c r="E773" s="15" t="s">
        <v>47</v>
      </c>
      <c r="F773" s="15" t="str">
        <f aca="false">IFERROR(__xludf.dummyfunction("XLOOKUP(AJ773,IMPORTRANGE(""1XaInW9DU9nz21V0tYIfzFQ0He9kVQ_JF2mCXgZ3hqFA"",""REKAP ALL 2026 - Andika!G:G""),IMPORTRANGE(""1XaInW9DU9nz21V0tYIfzFQ0He9kVQ_JF2mCXgZ3hqFA"",""REKAP ALL 2026 - Andika!F:F""),"""",0)"),"22072558806")</f>
        <v>22072558806</v>
      </c>
      <c r="G773" s="13" t="s">
        <v>3429</v>
      </c>
      <c r="H773" s="13" t="s">
        <v>35</v>
      </c>
      <c r="I773" s="13" t="str">
        <f aca="false">IF(C773=J773,"NEW KONTRAK","RE-KONTRAK")</f>
        <v>RE-KONTRAK</v>
      </c>
      <c r="J773" s="16" t="n">
        <f aca="false" t="array" ref="J773:J773">IFERROR(INDEX(AC773:AE773,IF(COUNTA(AC773:AE773)=0,"",MAX((AC773:AE773&lt;&gt;"")*(COLUMN(AC773:AE773)-(COLUMN(AC773)))))-1),"")</f>
        <v>45658</v>
      </c>
      <c r="K773" s="16" t="n">
        <f aca="false" t="array" ref="K773:K773">IFERROR(INDEX(AC773:AE773,IF(COUNTA(AC773:AE773)=0,"",MAX((AC773:AE773&lt;&gt;"")*(COLUMN(AC773:AE773)-(COLUMN(AC773)-1))))-1),"")</f>
        <v>46022</v>
      </c>
      <c r="L773" s="17" t="str">
        <f aca="false" t="array" ref="L773:L773">IFERROR(INDEX(AC773:AE773,IF(COUNTA(AC773:AE773)=0,"",MAX((AC773:AE773&lt;&gt;"")*(COLUMN(AC773:AE773)-(COLUMN(AC773)-2))))-1),"")</f>
        <v>ARCHIVED</v>
      </c>
      <c r="M773" s="13" t="n">
        <f aca="true">K773-TODAY()</f>
        <v>-302</v>
      </c>
      <c r="N773" s="18" t="s">
        <v>36</v>
      </c>
      <c r="O773" s="13" t="s">
        <v>211</v>
      </c>
      <c r="P773" s="19" t="n">
        <v>5195401</v>
      </c>
      <c r="Q773" s="20" t="s">
        <v>3430</v>
      </c>
      <c r="R773" s="13" t="s">
        <v>39</v>
      </c>
      <c r="S773" s="14" t="n">
        <v>34192</v>
      </c>
      <c r="T773" s="13" t="s">
        <v>40</v>
      </c>
      <c r="U773" s="13" t="s">
        <v>3431</v>
      </c>
      <c r="V773" s="13" t="s">
        <v>42</v>
      </c>
      <c r="W773" s="13" t="s">
        <v>54</v>
      </c>
      <c r="X773" s="21" t="n">
        <v>89682052994</v>
      </c>
      <c r="Y773" s="22" t="str">
        <f aca="false">O773</f>
        <v>FG Store</v>
      </c>
      <c r="Z773" s="13" t="str">
        <f aca="false">IFERROR(__xludf.dummyfunction("if(BJ773="""","""",GOOGLETRANSLATE(BJ773,""auto"",""en""))"),"FG Store")</f>
        <v>FG Store</v>
      </c>
      <c r="AA773" s="23" t="str">
        <f aca="false">IF(C773="","", CHOOSE(MONTH(C773),"January","February","March","April","May","June","July","August","September","October","November","December")&amp;" "&amp;DAY(C773)&amp;MID("thstndrdth",MIN(9,2*RIGHT(DAY(C773))*(MOD(DAY(C773)-11,100)&gt;2)+1),2)&amp;","&amp;TEXT(C773," yyyy"))</f>
        <v>June 30th,2022</v>
      </c>
      <c r="AB773" s="15" t="str">
        <f aca="true">IF(S773="","",DATEDIF(S773,TODAY(),"Y")&amp;" Tahun, "&amp;DATEDIF(S773,TODAY(),"YM")&amp;" Bulan, "&amp;DATEDIF(S773,TODAY(),"MD")&amp;" Hari")</f>
        <v>33 Tahun, 2 Bulan, 18 Hari</v>
      </c>
      <c r="AC773" s="18" t="n">
        <v>45658</v>
      </c>
      <c r="AD773" s="18" t="n">
        <v>46022</v>
      </c>
      <c r="AE773" s="18" t="s">
        <v>44</v>
      </c>
    </row>
    <row r="774" customFormat="false" ht="15.75" hidden="false" customHeight="true" outlineLevel="0" collapsed="false">
      <c r="A774" s="12" t="n">
        <v>7018</v>
      </c>
      <c r="B774" s="45" t="s">
        <v>3432</v>
      </c>
      <c r="C774" s="14" t="n">
        <v>44743</v>
      </c>
      <c r="D774" s="13" t="s">
        <v>144</v>
      </c>
      <c r="E774" s="15" t="s">
        <v>47</v>
      </c>
      <c r="F774" s="15" t="str">
        <f aca="false">IFERROR(__xludf.dummyfunction("XLOOKUP(AJ774,IMPORTRANGE(""1XaInW9DU9nz21V0tYIfzFQ0He9kVQ_JF2mCXgZ3hqFA"",""REKAP ALL 2026 - Andika!G:G""),IMPORTRANGE(""1XaInW9DU9nz21V0tYIfzFQ0He9kVQ_JF2mCXgZ3hqFA"",""REKAP ALL 2026 - Andika!F:F""),"""",0)"),"89N00082626")</f>
        <v>89N00082626</v>
      </c>
      <c r="G774" s="13" t="s">
        <v>3433</v>
      </c>
      <c r="H774" s="13" t="s">
        <v>35</v>
      </c>
      <c r="I774" s="13" t="str">
        <f aca="false">IF(C774=J774,"NEW KONTRAK","RE-KONTRAK")</f>
        <v>RE-KONTRAK</v>
      </c>
      <c r="J774" s="16" t="n">
        <f aca="false" t="array" ref="J774:J774">IFERROR(INDEX(AC774:AE774,IF(COUNTA(AC774:AE774)=0,"",MAX((AC774:AE774&lt;&gt;"")*(COLUMN(AC774:AE774)-(COLUMN(AC774)))))-1),"")</f>
        <v>45658</v>
      </c>
      <c r="K774" s="16" t="n">
        <f aca="false" t="array" ref="K774:K774">IFERROR(INDEX(AC774:AE774,IF(COUNTA(AC774:AE774)=0,"",MAX((AC774:AE774&lt;&gt;"")*(COLUMN(AC774:AE774)-(COLUMN(AC774)-1))))-1),"")</f>
        <v>46022</v>
      </c>
      <c r="L774" s="17" t="str">
        <f aca="false" t="array" ref="L774:L774">IFERROR(INDEX(AC774:AE774,IF(COUNTA(AC774:AE774)=0,"",MAX((AC774:AE774&lt;&gt;"")*(COLUMN(AC774:AE774)-(COLUMN(AC774)-2))))-1),"")</f>
        <v>ARCHIVED</v>
      </c>
      <c r="M774" s="13" t="n">
        <f aca="true">K774-TODAY()</f>
        <v>-302</v>
      </c>
      <c r="N774" s="18" t="s">
        <v>36</v>
      </c>
      <c r="O774" s="13" t="s">
        <v>3434</v>
      </c>
      <c r="P774" s="19" t="n">
        <v>5195401</v>
      </c>
      <c r="Q774" s="20" t="s">
        <v>3435</v>
      </c>
      <c r="R774" s="13" t="s">
        <v>73</v>
      </c>
      <c r="S774" s="14" t="n">
        <v>23545</v>
      </c>
      <c r="T774" s="13" t="s">
        <v>40</v>
      </c>
      <c r="U774" s="13" t="s">
        <v>3436</v>
      </c>
      <c r="V774" s="13" t="s">
        <v>42</v>
      </c>
      <c r="W774" s="13" t="s">
        <v>54</v>
      </c>
      <c r="X774" s="21" t="n">
        <v>85607373074</v>
      </c>
      <c r="Y774" s="22" t="str">
        <f aca="false">O774</f>
        <v>Laboratorium Kimia</v>
      </c>
      <c r="Z774" s="13" t="str">
        <f aca="false">IFERROR(__xludf.dummyfunction("if(BJ774="""","""",GOOGLETRANSLATE(BJ774,""auto"",""en""))"),"Chemistry Laboratory")</f>
        <v>Chemistry Laboratory</v>
      </c>
      <c r="AA774" s="23" t="str">
        <f aca="false">IF(C774="","", CHOOSE(MONTH(C774),"January","February","March","April","May","June","July","August","September","October","November","December")&amp;" "&amp;DAY(C774)&amp;MID("thstndrdth",MIN(9,2*RIGHT(DAY(C774))*(MOD(DAY(C774)-11,100)&gt;2)+1),2)&amp;","&amp;TEXT(C774," yyyy"))</f>
        <v>July 1st,2022</v>
      </c>
      <c r="AB774" s="15" t="str">
        <f aca="true">IF(S774="","",DATEDIF(S774,TODAY(),"Y")&amp;" Tahun, "&amp;DATEDIF(S774,TODAY(),"YM")&amp;" Bulan, "&amp;DATEDIF(S774,TODAY(),"MD")&amp;" Hari")</f>
        <v>62 Tahun, 4 Bulan, 12 Hari</v>
      </c>
      <c r="AC774" s="18" t="n">
        <v>45658</v>
      </c>
      <c r="AD774" s="18" t="n">
        <v>46022</v>
      </c>
      <c r="AE774" s="18" t="s">
        <v>44</v>
      </c>
    </row>
    <row r="775" customFormat="false" ht="15.75" hidden="false" customHeight="true" outlineLevel="0" collapsed="false">
      <c r="A775" s="12" t="n">
        <v>7022</v>
      </c>
      <c r="B775" s="13" t="s">
        <v>3437</v>
      </c>
      <c r="C775" s="14" t="n">
        <v>44716</v>
      </c>
      <c r="D775" s="13" t="s">
        <v>404</v>
      </c>
      <c r="E775" s="15" t="s">
        <v>47</v>
      </c>
      <c r="F775" s="15" t="str">
        <f aca="false">IFERROR(__xludf.dummyfunction("XLOOKUP(AJ775,IMPORTRANGE(""1XaInW9DU9nz21V0tYIfzFQ0He9kVQ_JF2mCXgZ3hqFA"",""REKAP ALL 2026 - Andika!G:G""),IMPORTRANGE(""1XaInW9DU9nz21V0tYIfzFQ0He9kVQ_JF2mCXgZ3hqFA"",""REKAP ALL 2026 - Andika!F:F""),"""",0)"),"22072579182")</f>
        <v>22072579182</v>
      </c>
      <c r="G775" s="13" t="s">
        <v>3438</v>
      </c>
      <c r="H775" s="13" t="s">
        <v>35</v>
      </c>
      <c r="I775" s="13" t="str">
        <f aca="false">IF(C775=J775,"NEW KONTRAK","RE-KONTRAK")</f>
        <v>RE-KONTRAK</v>
      </c>
      <c r="J775" s="16" t="n">
        <f aca="false" t="array" ref="J775:J775">IFERROR(INDEX(AC775:AE775,IF(COUNTA(AC775:AE775)=0,"",MAX((AC775:AE775&lt;&gt;"")*(COLUMN(AC775:AE775)-(COLUMN(AC775)))))-1),"")</f>
        <v>45658</v>
      </c>
      <c r="K775" s="16" t="n">
        <f aca="false" t="array" ref="K775:K775">IFERROR(INDEX(AC775:AE775,IF(COUNTA(AC775:AE775)=0,"",MAX((AC775:AE775&lt;&gt;"")*(COLUMN(AC775:AE775)-(COLUMN(AC775)-1))))-1),"")</f>
        <v>46022</v>
      </c>
      <c r="L775" s="17" t="str">
        <f aca="false" t="array" ref="L775:L775">IFERROR(INDEX(AC775:AE775,IF(COUNTA(AC775:AE775)=0,"",MAX((AC775:AE775&lt;&gt;"")*(COLUMN(AC775:AE775)-(COLUMN(AC775)-2))))-1),"")</f>
        <v>ARCHIVED</v>
      </c>
      <c r="M775" s="13" t="n">
        <f aca="true">K775-TODAY()</f>
        <v>-302</v>
      </c>
      <c r="N775" s="18" t="s">
        <v>36</v>
      </c>
      <c r="O775" s="13" t="s">
        <v>573</v>
      </c>
      <c r="P775" s="26" t="n">
        <v>5195401</v>
      </c>
      <c r="Q775" s="20" t="s">
        <v>3439</v>
      </c>
      <c r="R775" s="13" t="s">
        <v>52</v>
      </c>
      <c r="S775" s="14" t="n">
        <v>31589</v>
      </c>
      <c r="T775" s="13" t="s">
        <v>40</v>
      </c>
      <c r="U775" s="13" t="s">
        <v>3440</v>
      </c>
      <c r="V775" s="13" t="s">
        <v>42</v>
      </c>
      <c r="W775" s="13" t="s">
        <v>54</v>
      </c>
      <c r="X775" s="21" t="n">
        <v>895631217143</v>
      </c>
      <c r="Y775" s="22" t="str">
        <f aca="false">O775</f>
        <v>Gudang Barang Jadi</v>
      </c>
      <c r="Z775" s="13" t="str">
        <f aca="false">IFERROR(__xludf.dummyfunction("if(BJ775="""","""",GOOGLETRANSLATE(BJ775,""auto"",""en""))"),"Finished Goods Warehouse")</f>
        <v>Finished Goods Warehouse</v>
      </c>
      <c r="AA775" s="23" t="str">
        <f aca="false">IF(C775="","", CHOOSE(MONTH(C775),"January","February","March","April","May","June","July","August","September","October","November","December")&amp;" "&amp;DAY(C775)&amp;MID("thstndrdth",MIN(9,2*RIGHT(DAY(C775))*(MOD(DAY(C775)-11,100)&gt;2)+1),2)&amp;","&amp;TEXT(C775," yyyy"))</f>
        <v>June 4th,2022</v>
      </c>
      <c r="AB775" s="15" t="str">
        <f aca="true">IF(S775="","",DATEDIF(S775,TODAY(),"Y")&amp;" Tahun, "&amp;DATEDIF(S775,TODAY(),"YM")&amp;" Bulan, "&amp;DATEDIF(S775,TODAY(),"MD")&amp;" Hari")</f>
        <v>40 Tahun, 4 Bulan, 3 Hari</v>
      </c>
      <c r="AC775" s="18" t="n">
        <v>45658</v>
      </c>
      <c r="AD775" s="18" t="n">
        <v>46022</v>
      </c>
      <c r="AE775" s="18" t="s">
        <v>44</v>
      </c>
    </row>
    <row r="776" customFormat="false" ht="15.75" hidden="false" customHeight="true" outlineLevel="0" collapsed="false">
      <c r="A776" s="12" t="n">
        <v>10659</v>
      </c>
      <c r="B776" s="13" t="s">
        <v>3441</v>
      </c>
      <c r="C776" s="14" t="n">
        <v>45051</v>
      </c>
      <c r="D776" s="13" t="s">
        <v>2033</v>
      </c>
      <c r="E776" s="15" t="s">
        <v>47</v>
      </c>
      <c r="F776" s="15" t="str">
        <f aca="false">IFERROR(__xludf.dummyfunction("XLOOKUP(AJ776,IMPORTRANGE(""1XaInW9DU9nz21V0tYIfzFQ0He9kVQ_JF2mCXgZ3hqFA"",""REKAP ALL 2026 - Andika!G:G""),IMPORTRANGE(""1XaInW9DU9nz21V0tYIfzFQ0He9kVQ_JF2mCXgZ3hqFA"",""REKAP ALL 2026 - Andika!F:F""),"""",0)"),"23057165229")</f>
        <v>23057165229</v>
      </c>
      <c r="G776" s="13" t="s">
        <v>3442</v>
      </c>
      <c r="H776" s="13" t="s">
        <v>2035</v>
      </c>
      <c r="I776" s="13" t="str">
        <f aca="false">IF(C776=J776,"NEW KONTRAK","RE-KONTRAK")</f>
        <v>RE-KONTRAK</v>
      </c>
      <c r="J776" s="16" t="n">
        <f aca="false" t="array" ref="J776:J776">IFERROR(INDEX(AC776:AE776,IF(COUNTA(AC776:AE776)=0,"",MAX((AC776:AE776&lt;&gt;"")*(COLUMN(AC776:AE776)-(COLUMN(AC776)))))-1),"")</f>
        <v>45744</v>
      </c>
      <c r="K776" s="16" t="n">
        <f aca="false" t="array" ref="K776:K776">IFERROR(INDEX(AC776:AE776,IF(COUNTA(AC776:AE776)=0,"",MAX((AC776:AE776&lt;&gt;"")*(COLUMN(AC776:AE776)-(COLUMN(AC776)-1))))-1),"")</f>
        <v>45915</v>
      </c>
      <c r="L776" s="17" t="str">
        <f aca="false" t="array" ref="L776:L776">IFERROR(INDEX(AC776:AE776,IF(COUNTA(AC776:AE776)=0,"",MAX((AC776:AE776&lt;&gt;"")*(COLUMN(AC776:AE776)-(COLUMN(AC776)-2))))-1),"")</f>
        <v>ARCHIVED</v>
      </c>
      <c r="M776" s="13" t="n">
        <f aca="true">K776-TODAY()</f>
        <v>-409</v>
      </c>
      <c r="N776" s="18" t="s">
        <v>3443</v>
      </c>
      <c r="O776" s="13" t="s">
        <v>2037</v>
      </c>
      <c r="P776" s="19" t="n">
        <v>3921000</v>
      </c>
      <c r="Q776" s="20" t="s">
        <v>3444</v>
      </c>
      <c r="R776" s="13" t="s">
        <v>3445</v>
      </c>
      <c r="S776" s="14" t="n">
        <v>34179</v>
      </c>
      <c r="T776" s="13" t="s">
        <v>108</v>
      </c>
      <c r="U776" s="13" t="s">
        <v>3446</v>
      </c>
      <c r="V776" s="13" t="s">
        <v>42</v>
      </c>
      <c r="W776" s="13" t="s">
        <v>54</v>
      </c>
      <c r="X776" s="21" t="n">
        <v>82192801567</v>
      </c>
      <c r="Y776" s="22" t="str">
        <f aca="false">O776</f>
        <v>SPG/BA</v>
      </c>
      <c r="Z776" s="13" t="str">
        <f aca="false">IFERROR(__xludf.dummyfunction("if(BJ776="""","""",GOOGLETRANSLATE(BJ776,""auto"",""en""))"),"SPG/BA")</f>
        <v>SPG/BA</v>
      </c>
      <c r="AA776" s="23" t="str">
        <f aca="false">IF(C776="","", CHOOSE(MONTH(C776),"January","February","March","April","May","June","July","August","September","October","November","December")&amp;" "&amp;DAY(C776)&amp;MID("thstndrdth",MIN(9,2*RIGHT(DAY(C776))*(MOD(DAY(C776)-11,100)&gt;2)+1),2)&amp;","&amp;TEXT(C776," yyyy"))</f>
        <v>May 5th,2023</v>
      </c>
      <c r="AB776" s="15" t="str">
        <f aca="true">IF(S776="","",DATEDIF(S776,TODAY(),"Y")&amp;" Tahun, "&amp;DATEDIF(S776,TODAY(),"YM")&amp;" Bulan, "&amp;DATEDIF(S776,TODAY(),"MD")&amp;" Hari")</f>
        <v>33 Tahun, 3 Bulan, 0 Hari</v>
      </c>
      <c r="AC776" s="18" t="n">
        <v>45744</v>
      </c>
      <c r="AD776" s="18" t="n">
        <v>45915</v>
      </c>
      <c r="AE776" s="18" t="s">
        <v>44</v>
      </c>
    </row>
    <row r="777" customFormat="false" ht="15.75" hidden="false" customHeight="true" outlineLevel="0" collapsed="false">
      <c r="A777" s="12" t="n">
        <v>7092</v>
      </c>
      <c r="B777" s="13" t="s">
        <v>3447</v>
      </c>
      <c r="C777" s="14" t="n">
        <v>44746</v>
      </c>
      <c r="D777" s="13" t="s">
        <v>404</v>
      </c>
      <c r="E777" s="15" t="s">
        <v>47</v>
      </c>
      <c r="F777" s="15" t="str">
        <f aca="false">IFERROR(__xludf.dummyfunction("XLOOKUP(AJ777,IMPORTRANGE(""1XaInW9DU9nz21V0tYIfzFQ0He9kVQ_JF2mCXgZ3hqFA"",""REKAP ALL 2026 - Andika!G:G""),IMPORTRANGE(""1XaInW9DU9nz21V0tYIfzFQ0He9kVQ_JF2mCXgZ3hqFA"",""REKAP ALL 2026 - Andika!F:F""),"""",0)"),"22084819253")</f>
        <v>22084819253</v>
      </c>
      <c r="G777" s="13" t="s">
        <v>3448</v>
      </c>
      <c r="H777" s="13" t="s">
        <v>35</v>
      </c>
      <c r="I777" s="13" t="str">
        <f aca="false">IF(C777=J777,"NEW KONTRAK","RE-KONTRAK")</f>
        <v>RE-KONTRAK</v>
      </c>
      <c r="J777" s="16" t="n">
        <f aca="false" t="array" ref="J777:J777">IFERROR(INDEX(AC777:AE777,IF(COUNTA(AC777:AE777)=0,"",MAX((AC777:AE777&lt;&gt;"")*(COLUMN(AC777:AE777)-(COLUMN(AC777)))))-1),"")</f>
        <v>45658</v>
      </c>
      <c r="K777" s="16" t="n">
        <f aca="false" t="array" ref="K777:K777">IFERROR(INDEX(AC777:AE777,IF(COUNTA(AC777:AE777)=0,"",MAX((AC777:AE777&lt;&gt;"")*(COLUMN(AC777:AE777)-(COLUMN(AC777)-1))))-1),"")</f>
        <v>46022</v>
      </c>
      <c r="L777" s="17" t="str">
        <f aca="false" t="array" ref="L777:L777">IFERROR(INDEX(AC777:AE777,IF(COUNTA(AC777:AE777)=0,"",MAX((AC777:AE777&lt;&gt;"")*(COLUMN(AC777:AE777)-(COLUMN(AC777)-2))))-1),"")</f>
        <v>ARCHIVED</v>
      </c>
      <c r="M777" s="13" t="n">
        <f aca="true">K777-TODAY()</f>
        <v>-302</v>
      </c>
      <c r="N777" s="18" t="s">
        <v>36</v>
      </c>
      <c r="O777" s="13" t="s">
        <v>573</v>
      </c>
      <c r="P777" s="26" t="n">
        <v>5195401</v>
      </c>
      <c r="Q777" s="20" t="s">
        <v>3449</v>
      </c>
      <c r="R777" s="13" t="s">
        <v>65</v>
      </c>
      <c r="S777" s="14" t="n">
        <v>31358</v>
      </c>
      <c r="T777" s="13" t="s">
        <v>40</v>
      </c>
      <c r="U777" s="13" t="s">
        <v>3450</v>
      </c>
      <c r="V777" s="13" t="s">
        <v>42</v>
      </c>
      <c r="W777" s="13" t="s">
        <v>43</v>
      </c>
      <c r="X777" s="21" t="n">
        <v>85648888132</v>
      </c>
      <c r="Y777" s="22" t="str">
        <f aca="false">O777</f>
        <v>Gudang Barang Jadi</v>
      </c>
      <c r="Z777" s="13" t="str">
        <f aca="false">IFERROR(__xludf.dummyfunction("if(BJ777="""","""",GOOGLETRANSLATE(BJ777,""auto"",""en""))"),"Finished Goods Warehouse")</f>
        <v>Finished Goods Warehouse</v>
      </c>
      <c r="AA777" s="23" t="str">
        <f aca="false">IF(C777="","", CHOOSE(MONTH(C777),"January","February","March","April","May","June","July","August","September","October","November","December")&amp;" "&amp;DAY(C777)&amp;MID("thstndrdth",MIN(9,2*RIGHT(DAY(C777))*(MOD(DAY(C777)-11,100)&gt;2)+1),2)&amp;","&amp;TEXT(C777," yyyy"))</f>
        <v>July 4th,2022</v>
      </c>
      <c r="AB777" s="15" t="str">
        <f aca="true">IF(S777="","",DATEDIF(S777,TODAY(),"Y")&amp;" Tahun, "&amp;DATEDIF(S777,TODAY(),"YM")&amp;" Bulan, "&amp;DATEDIF(S777,TODAY(),"MD")&amp;" Hari")</f>
        <v>40 Tahun, 11 Bulan, 22 Hari</v>
      </c>
      <c r="AC777" s="18" t="n">
        <v>45658</v>
      </c>
      <c r="AD777" s="18" t="n">
        <v>46022</v>
      </c>
      <c r="AE777" s="18" t="s">
        <v>44</v>
      </c>
    </row>
    <row r="778" customFormat="false" ht="15.75" hidden="false" customHeight="true" outlineLevel="0" collapsed="false">
      <c r="A778" s="12" t="n">
        <v>7208</v>
      </c>
      <c r="B778" s="13" t="s">
        <v>3451</v>
      </c>
      <c r="C778" s="14" t="n">
        <v>44753</v>
      </c>
      <c r="D778" s="13" t="s">
        <v>1066</v>
      </c>
      <c r="E778" s="15" t="s">
        <v>47</v>
      </c>
      <c r="F778" s="15" t="str">
        <f aca="false">IFERROR(__xludf.dummyfunction("XLOOKUP(AJ778,IMPORTRANGE(""1XaInW9DU9nz21V0tYIfzFQ0He9kVQ_JF2mCXgZ3hqFA"",""REKAP ALL 2026 - Andika!G:G""),IMPORTRANGE(""1XaInW9DU9nz21V0tYIfzFQ0He9kVQ_JF2mCXgZ3hqFA"",""REKAP ALL 2026 - Andika!F:F""),"""",0)"),"22072565181")</f>
        <v>22072565181</v>
      </c>
      <c r="G778" s="13" t="s">
        <v>3452</v>
      </c>
      <c r="H778" s="13" t="s">
        <v>35</v>
      </c>
      <c r="I778" s="13" t="str">
        <f aca="false">IF(C778=J778,"NEW KONTRAK","RE-KONTRAK")</f>
        <v>RE-KONTRAK</v>
      </c>
      <c r="J778" s="16" t="n">
        <f aca="false" t="array" ref="J778:J778">IFERROR(INDEX(AC778:AE778,IF(COUNTA(AC778:AE778)=0,"",MAX((AC778:AE778&lt;&gt;"")*(COLUMN(AC778:AE778)-(COLUMN(AC778)))))-1),"")</f>
        <v>45658</v>
      </c>
      <c r="K778" s="16" t="n">
        <f aca="false" t="array" ref="K778:K778">IFERROR(INDEX(AC778:AE778,IF(COUNTA(AC778:AE778)=0,"",MAX((AC778:AE778&lt;&gt;"")*(COLUMN(AC778:AE778)-(COLUMN(AC778)-1))))-1),"")</f>
        <v>46022</v>
      </c>
      <c r="L778" s="17" t="str">
        <f aca="false" t="array" ref="L778:L778">IFERROR(INDEX(AC778:AE778,IF(COUNTA(AC778:AE778)=0,"",MAX((AC778:AE778&lt;&gt;"")*(COLUMN(AC778:AE778)-(COLUMN(AC778)-2))))-1),"")</f>
        <v>ARCHIVED</v>
      </c>
      <c r="M778" s="13" t="n">
        <f aca="true">K778-TODAY()</f>
        <v>-302</v>
      </c>
      <c r="N778" s="18" t="s">
        <v>615</v>
      </c>
      <c r="O778" s="13" t="s">
        <v>1203</v>
      </c>
      <c r="P778" s="19" t="n">
        <v>5176101</v>
      </c>
      <c r="Q778" s="20" t="s">
        <v>3453</v>
      </c>
      <c r="R778" s="13" t="s">
        <v>3454</v>
      </c>
      <c r="S778" s="14" t="n">
        <v>37744</v>
      </c>
      <c r="T778" s="13" t="s">
        <v>40</v>
      </c>
      <c r="U778" s="13" t="s">
        <v>3455</v>
      </c>
      <c r="V778" s="13" t="s">
        <v>42</v>
      </c>
      <c r="W778" s="13" t="s">
        <v>43</v>
      </c>
      <c r="X778" s="21" t="n">
        <v>82115344135</v>
      </c>
      <c r="Y778" s="22" t="str">
        <f aca="false">O778</f>
        <v>Procuction Dumping Helper</v>
      </c>
      <c r="Z778" s="13" t="str">
        <f aca="false">IFERROR(__xludf.dummyfunction("if(BJ778="""","""",GOOGLETRANSLATE(BJ778,""auto"",""en""))"),"Procuction Dumping Helper")</f>
        <v>Procuction Dumping Helper</v>
      </c>
      <c r="AA778" s="23" t="str">
        <f aca="false">IF(C778="","", CHOOSE(MONTH(C778),"January","February","March","April","May","June","July","August","September","October","November","December")&amp;" "&amp;DAY(C778)&amp;MID("thstndrdth",MIN(9,2*RIGHT(DAY(C778))*(MOD(DAY(C778)-11,100)&gt;2)+1),2)&amp;","&amp;TEXT(C778," yyyy"))</f>
        <v>July 11th,2022</v>
      </c>
      <c r="AB778" s="15" t="str">
        <f aca="true">IF(S778="","",DATEDIF(S778,TODAY(),"Y")&amp;" Tahun, "&amp;DATEDIF(S778,TODAY(),"YM")&amp;" Bulan, "&amp;DATEDIF(S778,TODAY(),"MD")&amp;" Hari")</f>
        <v>23 Tahun, 5 Bulan, 26 Hari</v>
      </c>
      <c r="AC778" s="18" t="n">
        <v>45658</v>
      </c>
      <c r="AD778" s="18" t="n">
        <v>46022</v>
      </c>
      <c r="AE778" s="18" t="s">
        <v>44</v>
      </c>
    </row>
    <row r="779" customFormat="false" ht="15.75" hidden="false" customHeight="true" outlineLevel="0" collapsed="false">
      <c r="A779" s="12" t="n">
        <v>7210</v>
      </c>
      <c r="B779" s="13" t="s">
        <v>3456</v>
      </c>
      <c r="C779" s="14" t="n">
        <v>44753</v>
      </c>
      <c r="D779" s="13" t="s">
        <v>1066</v>
      </c>
      <c r="E779" s="15" t="s">
        <v>47</v>
      </c>
      <c r="F779" s="15" t="str">
        <f aca="false">IFERROR(__xludf.dummyfunction("XLOOKUP(AJ779,IMPORTRANGE(""1XaInW9DU9nz21V0tYIfzFQ0He9kVQ_JF2mCXgZ3hqFA"",""REKAP ALL 2026 - Andika!G:G""),IMPORTRANGE(""1XaInW9DU9nz21V0tYIfzFQ0He9kVQ_JF2mCXgZ3hqFA"",""REKAP ALL 2026 - Andika!F:F""),"""",0)"),"22072565215")</f>
        <v>22072565215</v>
      </c>
      <c r="G779" s="13" t="s">
        <v>3457</v>
      </c>
      <c r="H779" s="13" t="s">
        <v>35</v>
      </c>
      <c r="I779" s="13" t="str">
        <f aca="false">IF(C779=J779,"NEW KONTRAK","RE-KONTRAK")</f>
        <v>RE-KONTRAK</v>
      </c>
      <c r="J779" s="16" t="n">
        <f aca="false" t="array" ref="J779:J779">IFERROR(INDEX(AC779:AE779,IF(COUNTA(AC779:AE779)=0,"",MAX((AC779:AE779&lt;&gt;"")*(COLUMN(AC779:AE779)-(COLUMN(AC779)))))-1),"")</f>
        <v>45658</v>
      </c>
      <c r="K779" s="16" t="n">
        <f aca="false" t="array" ref="K779:K779">IFERROR(INDEX(AC779:AE779,IF(COUNTA(AC779:AE779)=0,"",MAX((AC779:AE779&lt;&gt;"")*(COLUMN(AC779:AE779)-(COLUMN(AC779)-1))))-1),"")</f>
        <v>46022</v>
      </c>
      <c r="L779" s="17" t="str">
        <f aca="false" t="array" ref="L779:L779">IFERROR(INDEX(AC779:AE779,IF(COUNTA(AC779:AE779)=0,"",MAX((AC779:AE779&lt;&gt;"")*(COLUMN(AC779:AE779)-(COLUMN(AC779)-2))))-1),"")</f>
        <v>ARCHIVED</v>
      </c>
      <c r="M779" s="13" t="n">
        <f aca="true">K779-TODAY()</f>
        <v>-302</v>
      </c>
      <c r="N779" s="18" t="s">
        <v>615</v>
      </c>
      <c r="O779" s="13" t="s">
        <v>1068</v>
      </c>
      <c r="P779" s="19" t="n">
        <v>5176101</v>
      </c>
      <c r="Q779" s="20" t="s">
        <v>3458</v>
      </c>
      <c r="R779" s="13" t="s">
        <v>232</v>
      </c>
      <c r="S779" s="14" t="n">
        <v>36090</v>
      </c>
      <c r="T779" s="13" t="s">
        <v>40</v>
      </c>
      <c r="U779" s="13" t="s">
        <v>3459</v>
      </c>
      <c r="V779" s="13" t="s">
        <v>42</v>
      </c>
      <c r="W779" s="13" t="s">
        <v>43</v>
      </c>
      <c r="X779" s="21" t="n">
        <v>81231284010</v>
      </c>
      <c r="Y779" s="22" t="str">
        <f aca="false">O779</f>
        <v>Production Packer</v>
      </c>
      <c r="Z779" s="13" t="str">
        <f aca="false">IFERROR(__xludf.dummyfunction("if(BJ779="""","""",GOOGLETRANSLATE(BJ779,""auto"",""en""))"),"Production Packer")</f>
        <v>Production Packer</v>
      </c>
      <c r="AA779" s="23" t="str">
        <f aca="false">IF(C779="","", CHOOSE(MONTH(C779),"January","February","March","April","May","June","July","August","September","October","November","December")&amp;" "&amp;DAY(C779)&amp;MID("thstndrdth",MIN(9,2*RIGHT(DAY(C779))*(MOD(DAY(C779)-11,100)&gt;2)+1),2)&amp;","&amp;TEXT(C779," yyyy"))</f>
        <v>July 11th,2022</v>
      </c>
      <c r="AB779" s="15" t="str">
        <f aca="true">IF(S779="","",DATEDIF(S779,TODAY(),"Y")&amp;" Tahun, "&amp;DATEDIF(S779,TODAY(),"YM")&amp;" Bulan, "&amp;DATEDIF(S779,TODAY(),"MD")&amp;" Hari")</f>
        <v>28 Tahun, 0 Bulan, 7 Hari</v>
      </c>
      <c r="AC779" s="18" t="n">
        <v>45658</v>
      </c>
      <c r="AD779" s="18" t="n">
        <v>46022</v>
      </c>
      <c r="AE779" s="18" t="s">
        <v>44</v>
      </c>
    </row>
    <row r="780" customFormat="false" ht="15.75" hidden="false" customHeight="true" outlineLevel="0" collapsed="false">
      <c r="A780" s="12" t="n">
        <v>7211</v>
      </c>
      <c r="B780" s="13" t="s">
        <v>3460</v>
      </c>
      <c r="C780" s="14" t="n">
        <v>44753</v>
      </c>
      <c r="D780" s="13" t="s">
        <v>1066</v>
      </c>
      <c r="E780" s="15" t="s">
        <v>47</v>
      </c>
      <c r="F780" s="15" t="str">
        <f aca="false">IFERROR(__xludf.dummyfunction("XLOOKUP(AJ780,IMPORTRANGE(""1XaInW9DU9nz21V0tYIfzFQ0He9kVQ_JF2mCXgZ3hqFA"",""REKAP ALL 2026 - Andika!G:G""),IMPORTRANGE(""1XaInW9DU9nz21V0tYIfzFQ0He9kVQ_JF2mCXgZ3hqFA"",""REKAP ALL 2026 - Andika!F:F""),"""",0)"),"22072565173")</f>
        <v>22072565173</v>
      </c>
      <c r="G780" s="13" t="s">
        <v>3461</v>
      </c>
      <c r="H780" s="13" t="s">
        <v>35</v>
      </c>
      <c r="I780" s="13" t="str">
        <f aca="false">IF(C780=J780,"NEW KONTRAK","RE-KONTRAK")</f>
        <v>RE-KONTRAK</v>
      </c>
      <c r="J780" s="16" t="n">
        <f aca="false" t="array" ref="J780:J780">IFERROR(INDEX(AC780:AE780,IF(COUNTA(AC780:AE780)=0,"",MAX((AC780:AE780&lt;&gt;"")*(COLUMN(AC780:AE780)-(COLUMN(AC780)))))-1),"")</f>
        <v>45658</v>
      </c>
      <c r="K780" s="16" t="n">
        <f aca="false" t="array" ref="K780:K780">IFERROR(INDEX(AC780:AE780,IF(COUNTA(AC780:AE780)=0,"",MAX((AC780:AE780&lt;&gt;"")*(COLUMN(AC780:AE780)-(COLUMN(AC780)-1))))-1),"")</f>
        <v>46022</v>
      </c>
      <c r="L780" s="17" t="str">
        <f aca="false" t="array" ref="L780:L780">IFERROR(INDEX(AC780:AE780,IF(COUNTA(AC780:AE780)=0,"",MAX((AC780:AE780&lt;&gt;"")*(COLUMN(AC780:AE780)-(COLUMN(AC780)-2))))-1),"")</f>
        <v>ARCHIVED</v>
      </c>
      <c r="M780" s="13" t="n">
        <f aca="true">K780-TODAY()</f>
        <v>-302</v>
      </c>
      <c r="N780" s="18" t="s">
        <v>615</v>
      </c>
      <c r="O780" s="13" t="s">
        <v>1203</v>
      </c>
      <c r="P780" s="19" t="n">
        <v>5176101</v>
      </c>
      <c r="Q780" s="20" t="s">
        <v>3462</v>
      </c>
      <c r="R780" s="13" t="s">
        <v>232</v>
      </c>
      <c r="S780" s="14" t="n">
        <v>37873</v>
      </c>
      <c r="T780" s="13" t="s">
        <v>40</v>
      </c>
      <c r="U780" s="13" t="s">
        <v>3463</v>
      </c>
      <c r="V780" s="13" t="s">
        <v>42</v>
      </c>
      <c r="W780" s="13" t="s">
        <v>43</v>
      </c>
      <c r="X780" s="21" t="n">
        <v>81359334770</v>
      </c>
      <c r="Y780" s="22" t="str">
        <f aca="false">O780</f>
        <v>Procuction Dumping Helper</v>
      </c>
      <c r="Z780" s="13" t="str">
        <f aca="false">IFERROR(__xludf.dummyfunction("if(BJ780="""","""",GOOGLETRANSLATE(BJ780,""auto"",""en""))"),"Procuction Dumping Helper")</f>
        <v>Procuction Dumping Helper</v>
      </c>
      <c r="AA780" s="23" t="str">
        <f aca="false">IF(C780="","", CHOOSE(MONTH(C780),"January","February","March","April","May","June","July","August","September","October","November","December")&amp;" "&amp;DAY(C780)&amp;MID("thstndrdth",MIN(9,2*RIGHT(DAY(C780))*(MOD(DAY(C780)-11,100)&gt;2)+1),2)&amp;","&amp;TEXT(C780," yyyy"))</f>
        <v>July 11th,2022</v>
      </c>
      <c r="AB780" s="15" t="str">
        <f aca="true">IF(S780="","",DATEDIF(S780,TODAY(),"Y")&amp;" Tahun, "&amp;DATEDIF(S780,TODAY(),"YM")&amp;" Bulan, "&amp;DATEDIF(S780,TODAY(),"MD")&amp;" Hari")</f>
        <v>23 Tahun, 1 Bulan, 20 Hari</v>
      </c>
      <c r="AC780" s="18" t="n">
        <v>45658</v>
      </c>
      <c r="AD780" s="18" t="n">
        <v>46022</v>
      </c>
      <c r="AE780" s="18" t="s">
        <v>44</v>
      </c>
    </row>
    <row r="781" customFormat="false" ht="15.75" hidden="false" customHeight="true" outlineLevel="0" collapsed="false">
      <c r="A781" s="12" t="n">
        <v>7310</v>
      </c>
      <c r="B781" s="13" t="s">
        <v>3464</v>
      </c>
      <c r="C781" s="14" t="n">
        <v>44756</v>
      </c>
      <c r="D781" s="13" t="s">
        <v>1066</v>
      </c>
      <c r="E781" s="15" t="s">
        <v>47</v>
      </c>
      <c r="F781" s="15" t="str">
        <f aca="false">IFERROR(__xludf.dummyfunction("XLOOKUP(AJ781,IMPORTRANGE(""1XaInW9DU9nz21V0tYIfzFQ0He9kVQ_JF2mCXgZ3hqFA"",""REKAP ALL 2026 - Andika!G:G""),IMPORTRANGE(""1XaInW9DU9nz21V0tYIfzFQ0He9kVQ_JF2mCXgZ3hqFA"",""REKAP ALL 2026 - Andika!F:F""),"""",0)"),"22072565223")</f>
        <v>22072565223</v>
      </c>
      <c r="G781" s="13" t="s">
        <v>3465</v>
      </c>
      <c r="H781" s="13" t="s">
        <v>35</v>
      </c>
      <c r="I781" s="13" t="str">
        <f aca="false">IF(C781=J781,"NEW KONTRAK","RE-KONTRAK")</f>
        <v>RE-KONTRAK</v>
      </c>
      <c r="J781" s="16" t="n">
        <f aca="false" t="array" ref="J781:J781">IFERROR(INDEX(AC781:AE781,IF(COUNTA(AC781:AE781)=0,"",MAX((AC781:AE781&lt;&gt;"")*(COLUMN(AC781:AE781)-(COLUMN(AC781)))))-1),"")</f>
        <v>45658</v>
      </c>
      <c r="K781" s="16" t="n">
        <f aca="false" t="array" ref="K781:K781">IFERROR(INDEX(AC781:AE781,IF(COUNTA(AC781:AE781)=0,"",MAX((AC781:AE781&lt;&gt;"")*(COLUMN(AC781:AE781)-(COLUMN(AC781)-1))))-1),"")</f>
        <v>46022</v>
      </c>
      <c r="L781" s="17" t="str">
        <f aca="false" t="array" ref="L781:L781">IFERROR(INDEX(AC781:AE781,IF(COUNTA(AC781:AE781)=0,"",MAX((AC781:AE781&lt;&gt;"")*(COLUMN(AC781:AE781)-(COLUMN(AC781)-2))))-1),"")</f>
        <v>ARCHIVED</v>
      </c>
      <c r="M781" s="13" t="n">
        <f aca="true">K781-TODAY()</f>
        <v>-302</v>
      </c>
      <c r="N781" s="18" t="s">
        <v>615</v>
      </c>
      <c r="O781" s="13" t="s">
        <v>1203</v>
      </c>
      <c r="P781" s="19" t="n">
        <v>5176101</v>
      </c>
      <c r="Q781" s="20" t="s">
        <v>3466</v>
      </c>
      <c r="R781" s="13" t="s">
        <v>232</v>
      </c>
      <c r="S781" s="14" t="n">
        <v>37305</v>
      </c>
      <c r="T781" s="13" t="s">
        <v>40</v>
      </c>
      <c r="U781" s="13" t="s">
        <v>3459</v>
      </c>
      <c r="V781" s="13" t="s">
        <v>42</v>
      </c>
      <c r="W781" s="13" t="s">
        <v>43</v>
      </c>
      <c r="X781" s="21" t="n">
        <v>85257928652</v>
      </c>
      <c r="Y781" s="22" t="str">
        <f aca="false">O781</f>
        <v>Procuction Dumping Helper</v>
      </c>
      <c r="Z781" s="13" t="str">
        <f aca="false">IFERROR(__xludf.dummyfunction("if(BJ781="""","""",GOOGLETRANSLATE(BJ781,""auto"",""en""))"),"Procuction Dumping Helper")</f>
        <v>Procuction Dumping Helper</v>
      </c>
      <c r="AA781" s="23" t="str">
        <f aca="false">IF(C781="","", CHOOSE(MONTH(C781),"January","February","March","April","May","June","July","August","September","October","November","December")&amp;" "&amp;DAY(C781)&amp;MID("thstndrdth",MIN(9,2*RIGHT(DAY(C781))*(MOD(DAY(C781)-11,100)&gt;2)+1),2)&amp;","&amp;TEXT(C781," yyyy"))</f>
        <v>July 14th,2022</v>
      </c>
      <c r="AB781" s="15" t="str">
        <f aca="true">IF(S781="","",DATEDIF(S781,TODAY(),"Y")&amp;" Tahun, "&amp;DATEDIF(S781,TODAY(),"YM")&amp;" Bulan, "&amp;DATEDIF(S781,TODAY(),"MD")&amp;" Hari")</f>
        <v>24 Tahun, 8 Bulan, 11 Hari</v>
      </c>
      <c r="AC781" s="18" t="n">
        <v>45658</v>
      </c>
      <c r="AD781" s="18" t="n">
        <v>46022</v>
      </c>
      <c r="AE781" s="18" t="s">
        <v>44</v>
      </c>
    </row>
    <row r="782" customFormat="false" ht="15.75" hidden="false" customHeight="true" outlineLevel="0" collapsed="false">
      <c r="A782" s="12" t="n">
        <v>7348</v>
      </c>
      <c r="B782" s="13" t="s">
        <v>3467</v>
      </c>
      <c r="C782" s="14" t="n">
        <v>44762</v>
      </c>
      <c r="D782" s="13" t="s">
        <v>1066</v>
      </c>
      <c r="E782" s="15" t="s">
        <v>47</v>
      </c>
      <c r="F782" s="15" t="str">
        <f aca="false">IFERROR(__xludf.dummyfunction("XLOOKUP(AJ782,IMPORTRANGE(""1XaInW9DU9nz21V0tYIfzFQ0He9kVQ_JF2mCXgZ3hqFA"",""REKAP ALL 2026 - Andika!G:G""),IMPORTRANGE(""1XaInW9DU9nz21V0tYIfzFQ0He9kVQ_JF2mCXgZ3hqFA"",""REKAP ALL 2026 - Andika!F:F""),"""",0)"),"22072565199")</f>
        <v>22072565199</v>
      </c>
      <c r="G782" s="13" t="s">
        <v>3468</v>
      </c>
      <c r="H782" s="13" t="s">
        <v>35</v>
      </c>
      <c r="I782" s="13" t="str">
        <f aca="false">IF(C782=J782,"NEW KONTRAK","RE-KONTRAK")</f>
        <v>RE-KONTRAK</v>
      </c>
      <c r="J782" s="16" t="n">
        <f aca="false" t="array" ref="J782:J782">IFERROR(INDEX(AC782:AE782,IF(COUNTA(AC782:AE782)=0,"",MAX((AC782:AE782&lt;&gt;"")*(COLUMN(AC782:AE782)-(COLUMN(AC782)))))-1),"")</f>
        <v>45658</v>
      </c>
      <c r="K782" s="16" t="n">
        <f aca="false" t="array" ref="K782:K782">IFERROR(INDEX(AC782:AE782,IF(COUNTA(AC782:AE782)=0,"",MAX((AC782:AE782&lt;&gt;"")*(COLUMN(AC782:AE782)-(COLUMN(AC782)-1))))-1),"")</f>
        <v>46022</v>
      </c>
      <c r="L782" s="17" t="str">
        <f aca="false" t="array" ref="L782:L782">IFERROR(INDEX(AC782:AE782,IF(COUNTA(AC782:AE782)=0,"",MAX((AC782:AE782&lt;&gt;"")*(COLUMN(AC782:AE782)-(COLUMN(AC782)-2))))-1),"")</f>
        <v>ARCHIVED</v>
      </c>
      <c r="M782" s="13" t="n">
        <f aca="true">K782-TODAY()</f>
        <v>-302</v>
      </c>
      <c r="N782" s="18" t="s">
        <v>615</v>
      </c>
      <c r="O782" s="13" t="s">
        <v>1068</v>
      </c>
      <c r="P782" s="19" t="n">
        <v>5176101</v>
      </c>
      <c r="Q782" s="20" t="s">
        <v>3469</v>
      </c>
      <c r="R782" s="13" t="s">
        <v>232</v>
      </c>
      <c r="S782" s="14" t="n">
        <v>38154</v>
      </c>
      <c r="T782" s="13" t="s">
        <v>40</v>
      </c>
      <c r="U782" s="13" t="s">
        <v>3470</v>
      </c>
      <c r="V782" s="13" t="s">
        <v>42</v>
      </c>
      <c r="W782" s="13" t="s">
        <v>43</v>
      </c>
      <c r="X782" s="21" t="n">
        <v>85856573290</v>
      </c>
      <c r="Y782" s="22" t="str">
        <f aca="false">O782</f>
        <v>Production Packer</v>
      </c>
      <c r="Z782" s="13" t="str">
        <f aca="false">IFERROR(__xludf.dummyfunction("if(BJ782="""","""",GOOGLETRANSLATE(BJ782,""auto"",""en""))"),"Production Packer")</f>
        <v>Production Packer</v>
      </c>
      <c r="AA782" s="23" t="str">
        <f aca="false">IF(C782="","", CHOOSE(MONTH(C782),"January","February","March","April","May","June","July","August","September","October","November","December")&amp;" "&amp;DAY(C782)&amp;MID("thstndrdth",MIN(9,2*RIGHT(DAY(C782))*(MOD(DAY(C782)-11,100)&gt;2)+1),2)&amp;","&amp;TEXT(C782," yyyy"))</f>
        <v>July 20th,2022</v>
      </c>
      <c r="AB782" s="15" t="str">
        <f aca="true">IF(S782="","",DATEDIF(S782,TODAY(),"Y")&amp;" Tahun, "&amp;DATEDIF(S782,TODAY(),"YM")&amp;" Bulan, "&amp;DATEDIF(S782,TODAY(),"MD")&amp;" Hari")</f>
        <v>22 Tahun, 4 Bulan, 13 Hari</v>
      </c>
      <c r="AC782" s="18" t="n">
        <v>45658</v>
      </c>
      <c r="AD782" s="18" t="n">
        <v>46022</v>
      </c>
      <c r="AE782" s="18" t="s">
        <v>44</v>
      </c>
    </row>
    <row r="783" customFormat="false" ht="15.75" hidden="false" customHeight="true" outlineLevel="0" collapsed="false">
      <c r="A783" s="12" t="n">
        <v>7421</v>
      </c>
      <c r="B783" s="13" t="s">
        <v>3471</v>
      </c>
      <c r="C783" s="14" t="n">
        <v>44768</v>
      </c>
      <c r="D783" s="13" t="s">
        <v>613</v>
      </c>
      <c r="E783" s="15" t="s">
        <v>704</v>
      </c>
      <c r="F783" s="24" t="s">
        <v>3472</v>
      </c>
      <c r="G783" s="13" t="s">
        <v>3473</v>
      </c>
      <c r="H783" s="13" t="s">
        <v>35</v>
      </c>
      <c r="I783" s="13" t="str">
        <f aca="false">IF(C783=J783,"NEW KONTRAK","RE-KONTRAK")</f>
        <v>RE-KONTRAK</v>
      </c>
      <c r="J783" s="16" t="n">
        <f aca="false" t="array" ref="J783:J783">IFERROR(INDEX(AC783:AE783,IF(COUNTA(AC783:AE783)=0,"",MAX((AC783:AE783&lt;&gt;"")*(COLUMN(AC783:AE783)-(COLUMN(AC783)))))-1),"")</f>
        <v>45704</v>
      </c>
      <c r="K783" s="16" t="n">
        <f aca="false" t="array" ref="K783:K783">IFERROR(INDEX(AC783:AE783,IF(COUNTA(AC783:AE783)=0,"",MAX((AC783:AE783&lt;&gt;"")*(COLUMN(AC783:AE783)-(COLUMN(AC783)-1))))-1),"")</f>
        <v>45884</v>
      </c>
      <c r="L783" s="17" t="str">
        <f aca="false" t="array" ref="L783:L783">IFERROR(INDEX(AC783:AE783,IF(COUNTA(AC783:AE783)=0,"",MAX((AC783:AE783&lt;&gt;"")*(COLUMN(AC783:AE783)-(COLUMN(AC783)-2))))-1),"")</f>
        <v>ARCHIVED</v>
      </c>
      <c r="M783" s="13" t="n">
        <f aca="true">K783-TODAY()</f>
        <v>-440</v>
      </c>
      <c r="N783" s="18" t="s">
        <v>615</v>
      </c>
      <c r="O783" s="13" t="s">
        <v>624</v>
      </c>
      <c r="P783" s="19" t="n">
        <v>4856026</v>
      </c>
      <c r="Q783" s="20" t="s">
        <v>3474</v>
      </c>
      <c r="R783" s="13" t="s">
        <v>232</v>
      </c>
      <c r="S783" s="14" t="n">
        <v>31641</v>
      </c>
      <c r="T783" s="13" t="s">
        <v>40</v>
      </c>
      <c r="U783" s="13" t="s">
        <v>3475</v>
      </c>
      <c r="V783" s="13" t="s">
        <v>42</v>
      </c>
      <c r="W783" s="13" t="s">
        <v>54</v>
      </c>
      <c r="X783" s="21" t="n">
        <v>85732867888</v>
      </c>
      <c r="Y783" s="22" t="str">
        <f aca="false">O783</f>
        <v>Quality Control</v>
      </c>
      <c r="Z783" s="13" t="str">
        <f aca="false">IFERROR(__xludf.dummyfunction("if(BJ783="""","""",GOOGLETRANSLATE(BJ783,""auto"",""en""))"),"Quality Control")</f>
        <v>Quality Control</v>
      </c>
      <c r="AA783" s="23" t="str">
        <f aca="false">IF(C783="","", CHOOSE(MONTH(C783),"January","February","March","April","May","June","July","August","September","October","November","December")&amp;" "&amp;DAY(C783)&amp;MID("thstndrdth",MIN(9,2*RIGHT(DAY(C783))*(MOD(DAY(C783)-11,100)&gt;2)+1),2)&amp;","&amp;TEXT(C783," yyyy"))</f>
        <v>July 26th,2022</v>
      </c>
      <c r="AB783" s="15" t="str">
        <f aca="true">IF(S783="","",DATEDIF(S783,TODAY(),"Y")&amp;" Tahun, "&amp;DATEDIF(S783,TODAY(),"YM")&amp;" Bulan, "&amp;DATEDIF(S783,TODAY(),"MD")&amp;" Hari")</f>
        <v>40 Tahun, 2 Bulan, 12 Hari</v>
      </c>
      <c r="AC783" s="18" t="n">
        <v>45704</v>
      </c>
      <c r="AD783" s="18" t="n">
        <v>45884</v>
      </c>
      <c r="AE783" s="18" t="s">
        <v>44</v>
      </c>
    </row>
    <row r="784" customFormat="false" ht="15.75" hidden="false" customHeight="true" outlineLevel="0" collapsed="false">
      <c r="A784" s="12" t="n">
        <v>7494</v>
      </c>
      <c r="B784" s="13" t="s">
        <v>3476</v>
      </c>
      <c r="C784" s="14" t="n">
        <v>44753</v>
      </c>
      <c r="D784" s="13" t="s">
        <v>2046</v>
      </c>
      <c r="E784" s="15" t="s">
        <v>789</v>
      </c>
      <c r="F784" s="24" t="s">
        <v>3477</v>
      </c>
      <c r="G784" s="13" t="s">
        <v>3478</v>
      </c>
      <c r="H784" s="13" t="s">
        <v>35</v>
      </c>
      <c r="I784" s="13" t="str">
        <f aca="false">IF(C784=J784,"NEW KONTRAK","RE-KONTRAK")</f>
        <v>RE-KONTRAK</v>
      </c>
      <c r="J784" s="16" t="n">
        <f aca="false" t="array" ref="J784:J784">IFERROR(INDEX(AC784:AE784,IF(COUNTA(AC784:AE784)=0,"",MAX((AC784:AE784&lt;&gt;"")*(COLUMN(AC784:AE784)-(COLUMN(AC784)))))-1),"")</f>
        <v>45839</v>
      </c>
      <c r="K784" s="16" t="n">
        <f aca="false" t="array" ref="K784:K784">IFERROR(INDEX(AC784:AE784,IF(COUNTA(AC784:AE784)=0,"",MAX((AC784:AE784&lt;&gt;"")*(COLUMN(AC784:AE784)-(COLUMN(AC784)-1))))-1),"")</f>
        <v>45961</v>
      </c>
      <c r="L784" s="17" t="str">
        <f aca="false" t="array" ref="L784:L784">IFERROR(INDEX(AC784:AE784,IF(COUNTA(AC784:AE784)=0,"",MAX((AC784:AE784&lt;&gt;"")*(COLUMN(AC784:AE784)-(COLUMN(AC784)-2))))-1),"")</f>
        <v>ARCHIVED</v>
      </c>
      <c r="M784" s="13" t="n">
        <f aca="true">K784-TODAY()</f>
        <v>-363</v>
      </c>
      <c r="N784" s="18" t="s">
        <v>36</v>
      </c>
      <c r="O784" s="13" t="s">
        <v>2055</v>
      </c>
      <c r="P784" s="19" t="s">
        <v>2050</v>
      </c>
      <c r="Q784" s="20" t="s">
        <v>3479</v>
      </c>
      <c r="R784" s="13" t="s">
        <v>232</v>
      </c>
      <c r="S784" s="14" t="n">
        <v>36450</v>
      </c>
      <c r="T784" s="13" t="s">
        <v>40</v>
      </c>
      <c r="U784" s="13" t="s">
        <v>3480</v>
      </c>
      <c r="V784" s="13" t="s">
        <v>42</v>
      </c>
      <c r="W784" s="13" t="s">
        <v>54</v>
      </c>
      <c r="X784" s="21" t="n">
        <v>85816440432</v>
      </c>
      <c r="Y784" s="22" t="str">
        <f aca="false">O784</f>
        <v>Assembly</v>
      </c>
      <c r="Z784" s="13" t="str">
        <f aca="false">IFERROR(__xludf.dummyfunction("if(BJ784="""","""",GOOGLETRANSLATE(BJ784,""auto"",""en""))"),"Assembly")</f>
        <v>Assembly</v>
      </c>
      <c r="AA784" s="23" t="str">
        <f aca="false">IF(C784="","", CHOOSE(MONTH(C784),"January","February","March","April","May","June","July","August","September","October","November","December")&amp;" "&amp;DAY(C784)&amp;MID("thstndrdth",MIN(9,2*RIGHT(DAY(C784))*(MOD(DAY(C784)-11,100)&gt;2)+1),2)&amp;","&amp;TEXT(C784," yyyy"))</f>
        <v>July 11th,2022</v>
      </c>
      <c r="AB784" s="15" t="str">
        <f aca="true">IF(S784="","",DATEDIF(S784,TODAY(),"Y")&amp;" Tahun, "&amp;DATEDIF(S784,TODAY(),"YM")&amp;" Bulan, "&amp;DATEDIF(S784,TODAY(),"MD")&amp;" Hari")</f>
        <v>27 Tahun, 0 Bulan, 12 Hari</v>
      </c>
      <c r="AC784" s="18" t="n">
        <v>45839</v>
      </c>
      <c r="AD784" s="18" t="n">
        <v>45961</v>
      </c>
      <c r="AE784" s="18" t="s">
        <v>44</v>
      </c>
    </row>
    <row r="785" customFormat="false" ht="15.75" hidden="false" customHeight="true" outlineLevel="0" collapsed="false">
      <c r="A785" s="12" t="n">
        <v>7495</v>
      </c>
      <c r="B785" s="13" t="s">
        <v>3481</v>
      </c>
      <c r="C785" s="14" t="n">
        <v>44753</v>
      </c>
      <c r="D785" s="13" t="s">
        <v>2046</v>
      </c>
      <c r="E785" s="15" t="s">
        <v>33</v>
      </c>
      <c r="F785" s="24" t="s">
        <v>3482</v>
      </c>
      <c r="G785" s="13" t="s">
        <v>3483</v>
      </c>
      <c r="H785" s="13" t="s">
        <v>35</v>
      </c>
      <c r="I785" s="13" t="str">
        <f aca="false">IF(C785=J785,"NEW KONTRAK","RE-KONTRAK")</f>
        <v>RE-KONTRAK</v>
      </c>
      <c r="J785" s="16" t="n">
        <f aca="false" t="array" ref="J785:J785">IFERROR(INDEX(AC785:AE785,IF(COUNTA(AC785:AE785)=0,"",MAX((AC785:AE785&lt;&gt;"")*(COLUMN(AC785:AE785)-(COLUMN(AC785)))))-1),"")</f>
        <v>45839</v>
      </c>
      <c r="K785" s="16" t="n">
        <f aca="false" t="array" ref="K785:K785">IFERROR(INDEX(AC785:AE785,IF(COUNTA(AC785:AE785)=0,"",MAX((AC785:AE785&lt;&gt;"")*(COLUMN(AC785:AE785)-(COLUMN(AC785)-1))))-1),"")</f>
        <v>45961</v>
      </c>
      <c r="L785" s="17" t="str">
        <f aca="false" t="array" ref="L785:L785">IFERROR(INDEX(AC785:AE785,IF(COUNTA(AC785:AE785)=0,"",MAX((AC785:AE785&lt;&gt;"")*(COLUMN(AC785:AE785)-(COLUMN(AC785)-2))))-1),"")</f>
        <v>ARCHIVED</v>
      </c>
      <c r="M785" s="13" t="n">
        <f aca="true">K785-TODAY()</f>
        <v>-363</v>
      </c>
      <c r="N785" s="18" t="s">
        <v>36</v>
      </c>
      <c r="O785" s="13" t="s">
        <v>3484</v>
      </c>
      <c r="P785" s="27" t="n">
        <v>4874133</v>
      </c>
      <c r="Q785" s="20" t="s">
        <v>3485</v>
      </c>
      <c r="R785" s="13" t="s">
        <v>52</v>
      </c>
      <c r="S785" s="14" t="n">
        <v>34769</v>
      </c>
      <c r="T785" s="13" t="s">
        <v>40</v>
      </c>
      <c r="U785" s="13" t="s">
        <v>3486</v>
      </c>
      <c r="V785" s="13" t="s">
        <v>42</v>
      </c>
      <c r="W785" s="13" t="s">
        <v>54</v>
      </c>
      <c r="X785" s="21" t="n">
        <v>81358557724</v>
      </c>
      <c r="Y785" s="22" t="str">
        <f aca="false">O785</f>
        <v>Leader Assembly</v>
      </c>
      <c r="Z785" s="13" t="str">
        <f aca="false">IFERROR(__xludf.dummyfunction("if(BJ785="""","""",GOOGLETRANSLATE(BJ785,""auto"",""en""))"),"Leader Assembly")</f>
        <v>Leader Assembly</v>
      </c>
      <c r="AA785" s="23" t="str">
        <f aca="false">IF(C785="","", CHOOSE(MONTH(C785),"January","February","March","April","May","June","July","August","September","October","November","December")&amp;" "&amp;DAY(C785)&amp;MID("thstndrdth",MIN(9,2*RIGHT(DAY(C785))*(MOD(DAY(C785)-11,100)&gt;2)+1),2)&amp;","&amp;TEXT(C785," yyyy"))</f>
        <v>July 11th,2022</v>
      </c>
      <c r="AB785" s="15" t="str">
        <f aca="true">IF(S785="","",DATEDIF(S785,TODAY(),"Y")&amp;" Tahun, "&amp;DATEDIF(S785,TODAY(),"YM")&amp;" Bulan, "&amp;DATEDIF(S785,TODAY(),"MD")&amp;" Hari")</f>
        <v>31 Tahun, 7 Bulan, 18 Hari</v>
      </c>
      <c r="AC785" s="18" t="n">
        <v>45839</v>
      </c>
      <c r="AD785" s="18" t="n">
        <v>45961</v>
      </c>
      <c r="AE785" s="18" t="s">
        <v>44</v>
      </c>
    </row>
    <row r="786" customFormat="false" ht="15.75" hidden="false" customHeight="true" outlineLevel="0" collapsed="false">
      <c r="A786" s="12" t="n">
        <v>7501</v>
      </c>
      <c r="B786" s="13" t="s">
        <v>3487</v>
      </c>
      <c r="C786" s="14" t="n">
        <v>44753</v>
      </c>
      <c r="D786" s="13" t="s">
        <v>2046</v>
      </c>
      <c r="E786" s="15" t="s">
        <v>102</v>
      </c>
      <c r="F786" s="15" t="str">
        <f aca="false">IFERROR(__xludf.dummyfunction("XLOOKUP(AJ786,IMPORTRANGE(""1XaInW9DU9nz21V0tYIfzFQ0He9kVQ_JF2mCXgZ3hqFA"",""REKAP ALL 2026 - Andika!G:G""),IMPORTRANGE(""1XaInW9DU9nz21V0tYIfzFQ0He9kVQ_JF2mCXgZ3hqFA"",""REKAP ALL 2026 - Andika!F:F""),"""",0)"),"22084835614")</f>
        <v>22084835614</v>
      </c>
      <c r="G786" s="13" t="s">
        <v>3488</v>
      </c>
      <c r="H786" s="13" t="s">
        <v>35</v>
      </c>
      <c r="I786" s="13" t="str">
        <f aca="false">IF(C786=J786,"NEW KONTRAK","RE-KONTRAK")</f>
        <v>RE-KONTRAK</v>
      </c>
      <c r="J786" s="16" t="n">
        <f aca="false" t="array" ref="J786:J786">IFERROR(INDEX(AC786:AE786,IF(COUNTA(AC786:AE786)=0,"",MAX((AC786:AE786&lt;&gt;"")*(COLUMN(AC786:AE786)-(COLUMN(AC786)))))-1),"")</f>
        <v>45839</v>
      </c>
      <c r="K786" s="16" t="n">
        <f aca="false" t="array" ref="K786:K786">IFERROR(INDEX(AC786:AE786,IF(COUNTA(AC786:AE786)=0,"",MAX((AC786:AE786&lt;&gt;"")*(COLUMN(AC786:AE786)-(COLUMN(AC786)-1))))-1),"")</f>
        <v>45961</v>
      </c>
      <c r="L786" s="17" t="str">
        <f aca="false" t="array" ref="L786:L786">IFERROR(INDEX(AC786:AE786,IF(COUNTA(AC786:AE786)=0,"",MAX((AC786:AE786&lt;&gt;"")*(COLUMN(AC786:AE786)-(COLUMN(AC786)-2))))-1),"")</f>
        <v>ARCHIVED</v>
      </c>
      <c r="M786" s="13" t="n">
        <f aca="true">K786-TODAY()</f>
        <v>-363</v>
      </c>
      <c r="N786" s="18" t="s">
        <v>36</v>
      </c>
      <c r="O786" s="13" t="s">
        <v>2055</v>
      </c>
      <c r="P786" s="19" t="s">
        <v>2050</v>
      </c>
      <c r="Q786" s="20" t="s">
        <v>3489</v>
      </c>
      <c r="R786" s="13" t="s">
        <v>232</v>
      </c>
      <c r="S786" s="14" t="n">
        <v>36527</v>
      </c>
      <c r="T786" s="13" t="s">
        <v>40</v>
      </c>
      <c r="U786" s="13" t="s">
        <v>3490</v>
      </c>
      <c r="V786" s="13" t="s">
        <v>42</v>
      </c>
      <c r="W786" s="13" t="s">
        <v>43</v>
      </c>
      <c r="X786" s="21" t="n">
        <v>85746025334</v>
      </c>
      <c r="Y786" s="22" t="str">
        <f aca="false">O786</f>
        <v>Assembly</v>
      </c>
      <c r="Z786" s="13" t="str">
        <f aca="false">IFERROR(__xludf.dummyfunction("if(BJ786="""","""",GOOGLETRANSLATE(BJ786,""auto"",""en""))"),"Assembly")</f>
        <v>Assembly</v>
      </c>
      <c r="AA786" s="23" t="str">
        <f aca="false">IF(C786="","", CHOOSE(MONTH(C786),"January","February","March","April","May","June","July","August","September","October","November","December")&amp;" "&amp;DAY(C786)&amp;MID("thstndrdth",MIN(9,2*RIGHT(DAY(C786))*(MOD(DAY(C786)-11,100)&gt;2)+1),2)&amp;","&amp;TEXT(C786," yyyy"))</f>
        <v>July 11th,2022</v>
      </c>
      <c r="AB786" s="15" t="str">
        <f aca="true">IF(S786="","",DATEDIF(S786,TODAY(),"Y")&amp;" Tahun, "&amp;DATEDIF(S786,TODAY(),"YM")&amp;" Bulan, "&amp;DATEDIF(S786,TODAY(),"MD")&amp;" Hari")</f>
        <v>26 Tahun, 9 Bulan, 27 Hari</v>
      </c>
      <c r="AC786" s="18" t="n">
        <v>45839</v>
      </c>
      <c r="AD786" s="18" t="n">
        <v>45961</v>
      </c>
      <c r="AE786" s="18" t="s">
        <v>44</v>
      </c>
    </row>
    <row r="787" customFormat="false" ht="15.75" hidden="false" customHeight="true" outlineLevel="0" collapsed="false">
      <c r="A787" s="12" t="n">
        <v>7503</v>
      </c>
      <c r="B787" s="13" t="s">
        <v>3491</v>
      </c>
      <c r="C787" s="14" t="n">
        <v>44771</v>
      </c>
      <c r="D787" s="13" t="s">
        <v>613</v>
      </c>
      <c r="E787" s="15" t="s">
        <v>47</v>
      </c>
      <c r="F787" s="15" t="str">
        <f aca="false">IFERROR(__xludf.dummyfunction("XLOOKUP(AJ787,IMPORTRANGE(""1XaInW9DU9nz21V0tYIfzFQ0He9kVQ_JF2mCXgZ3hqFA"",""REKAP ALL 2026 - Andika!G:G""),IMPORTRANGE(""1XaInW9DU9nz21V0tYIfzFQ0He9kVQ_JF2mCXgZ3hqFA"",""REKAP ALL 2026 - Andika!F:F""),"""",0)"),"22084834377")</f>
        <v>22084834377</v>
      </c>
      <c r="G787" s="13" t="s">
        <v>3492</v>
      </c>
      <c r="H787" s="13" t="s">
        <v>35</v>
      </c>
      <c r="I787" s="13" t="str">
        <f aca="false">IF(C787=J787,"NEW KONTRAK","RE-KONTRAK")</f>
        <v>RE-KONTRAK</v>
      </c>
      <c r="J787" s="16" t="n">
        <f aca="false" t="array" ref="J787:J787">IFERROR(INDEX(AC787:AE787,IF(COUNTA(AC787:AE787)=0,"",MAX((AC787:AE787&lt;&gt;"")*(COLUMN(AC787:AE787)-(COLUMN(AC787)))))-1),"")</f>
        <v>45885</v>
      </c>
      <c r="K787" s="16" t="n">
        <f aca="false" t="array" ref="K787:K787">IFERROR(INDEX(AC787:AE787,IF(COUNTA(AC787:AE787)=0,"",MAX((AC787:AE787&lt;&gt;"")*(COLUMN(AC787:AE787)-(COLUMN(AC787)-1))))-1),"")</f>
        <v>46068</v>
      </c>
      <c r="L787" s="17" t="str">
        <f aca="false" t="array" ref="L787:L787">IFERROR(INDEX(AC787:AE787,IF(COUNTA(AC787:AE787)=0,"",MAX((AC787:AE787&lt;&gt;"")*(COLUMN(AC787:AE787)-(COLUMN(AC787)-2))))-1),"")</f>
        <v>ARCHIVED</v>
      </c>
      <c r="M787" s="13" t="n">
        <f aca="true">K787-TODAY()</f>
        <v>-256</v>
      </c>
      <c r="N787" s="18" t="s">
        <v>615</v>
      </c>
      <c r="O787" s="13" t="s">
        <v>624</v>
      </c>
      <c r="P787" s="19" t="n">
        <v>5176101</v>
      </c>
      <c r="Q787" s="20" t="s">
        <v>3493</v>
      </c>
      <c r="R787" s="13" t="s">
        <v>232</v>
      </c>
      <c r="S787" s="14" t="n">
        <v>34441</v>
      </c>
      <c r="T787" s="13" t="s">
        <v>40</v>
      </c>
      <c r="U787" s="13" t="s">
        <v>3494</v>
      </c>
      <c r="V787" s="13" t="s">
        <v>42</v>
      </c>
      <c r="W787" s="13" t="s">
        <v>43</v>
      </c>
      <c r="X787" s="21" t="n">
        <v>82335907379</v>
      </c>
      <c r="Y787" s="22" t="str">
        <f aca="false">O787</f>
        <v>Quality Control</v>
      </c>
      <c r="Z787" s="13" t="str">
        <f aca="false">IFERROR(__xludf.dummyfunction("if(BJ787="""","""",GOOGLETRANSLATE(BJ787,""auto"",""en""))"),"Quality Control")</f>
        <v>Quality Control</v>
      </c>
      <c r="AA787" s="23" t="str">
        <f aca="false">IF(C787="","", CHOOSE(MONTH(C787),"January","February","March","April","May","June","July","August","September","October","November","December")&amp;" "&amp;DAY(C787)&amp;MID("thstndrdth",MIN(9,2*RIGHT(DAY(C787))*(MOD(DAY(C787)-11,100)&gt;2)+1),2)&amp;","&amp;TEXT(C787," yyyy"))</f>
        <v>July 29th,2022</v>
      </c>
      <c r="AB787" s="15" t="str">
        <f aca="true">IF(S787="","",DATEDIF(S787,TODAY(),"Y")&amp;" Tahun, "&amp;DATEDIF(S787,TODAY(),"YM")&amp;" Bulan, "&amp;DATEDIF(S787,TODAY(),"MD")&amp;" Hari")</f>
        <v>32 Tahun, 6 Bulan, 12 Hari</v>
      </c>
      <c r="AC787" s="18" t="n">
        <v>45885</v>
      </c>
      <c r="AD787" s="18" t="n">
        <v>46068</v>
      </c>
      <c r="AE787" s="18" t="s">
        <v>44</v>
      </c>
    </row>
    <row r="788" customFormat="false" ht="15.75" hidden="false" customHeight="true" outlineLevel="0" collapsed="false">
      <c r="A788" s="12" t="n">
        <v>22903</v>
      </c>
      <c r="B788" s="13" t="s">
        <v>3495</v>
      </c>
      <c r="C788" s="14" t="n">
        <v>46273</v>
      </c>
      <c r="D788" s="13" t="s">
        <v>2033</v>
      </c>
      <c r="E788" s="13" t="s">
        <v>47</v>
      </c>
      <c r="F788" s="24" t="s">
        <v>3496</v>
      </c>
      <c r="G788" s="13" t="s">
        <v>1452</v>
      </c>
      <c r="H788" s="13" t="s">
        <v>35</v>
      </c>
      <c r="I788" s="13" t="str">
        <f aca="false">IF(C788=J788,"NEW KONTRAK","RE-KONTRAK")</f>
        <v>NEW KONTRAK</v>
      </c>
      <c r="J788" s="16" t="n">
        <f aca="false" t="array" ref="J788:J788">IFERROR(INDEX(AC788:AE788,IF(COUNTA(AC788:AE788)=0,"",MAX((AC788:AE788&lt;&gt;"")*(COLUMN(AC788:AE788)-(COLUMN(AC788)))))-1),"")</f>
        <v>46273</v>
      </c>
      <c r="K788" s="16" t="n">
        <f aca="false" t="array" ref="K788:K788">IFERROR(INDEX(AC788:AE788,IF(COUNTA(AC788:AE788)=0,"",MAX((AC788:AE788&lt;&gt;"")*(COLUMN(AC788:AE788)-(COLUMN(AC788)-1))))-1),"")</f>
        <v>46402</v>
      </c>
      <c r="L788" s="17" t="str">
        <f aca="false" t="array" ref="L788:L788">IFERROR(INDEX(AC788:AE788,IF(COUNTA(AC788:AE788)=0,"",MAX((AC788:AE788&lt;&gt;"")*(COLUMN(AC788:AE788)-(COLUMN(AC788)-2))))-1),"")</f>
        <v>KEMBALI ONLINE</v>
      </c>
      <c r="M788" s="13" t="n">
        <f aca="true">K788-TODAY()</f>
        <v>78</v>
      </c>
      <c r="N788" s="28" t="s">
        <v>3497</v>
      </c>
      <c r="O788" s="13" t="s">
        <v>2384</v>
      </c>
      <c r="P788" s="26" t="n">
        <v>3050498</v>
      </c>
      <c r="Q788" s="20" t="s">
        <v>3498</v>
      </c>
      <c r="R788" s="13" t="s">
        <v>3499</v>
      </c>
      <c r="S788" s="25" t="n">
        <v>37970</v>
      </c>
      <c r="T788" s="13" t="s">
        <v>108</v>
      </c>
      <c r="U788" s="13" t="s">
        <v>3500</v>
      </c>
      <c r="V788" s="13" t="s">
        <v>42</v>
      </c>
      <c r="W788" s="13" t="s">
        <v>43</v>
      </c>
      <c r="X788" s="21" t="n">
        <v>895321398622</v>
      </c>
      <c r="Y788" s="22" t="str">
        <f aca="false">O788</f>
        <v>SPG</v>
      </c>
      <c r="Z788" s="13" t="str">
        <f aca="false">IFERROR(__xludf.dummyfunction("if(BJ788="""","""",GOOGLETRANSLATE(BJ788,""auto"",""en""))"),"SPG")</f>
        <v>SPG</v>
      </c>
      <c r="AA788" s="23" t="str">
        <f aca="false">IF(C788="","", CHOOSE(MONTH(C788),"January","February","March","April","May","June","July","August","September","October","November","December")&amp;" "&amp;DAY(C788)&amp;MID("thstndrdth",MIN(9,2*RIGHT(DAY(C788))*(MOD(DAY(C788)-11,100)&gt;2)+1),2)&amp;","&amp;TEXT(C788," yyyy"))</f>
        <v>September 8th,2026</v>
      </c>
      <c r="AB788" s="15" t="str">
        <f aca="true">IF(S788="","",DATEDIF(S788,TODAY(),"Y")&amp;" Tahun, "&amp;DATEDIF(S788,TODAY(),"YM")&amp;" Bulan, "&amp;DATEDIF(S788,TODAY(),"MD")&amp;" Hari")</f>
        <v>22 Tahun, 10 Bulan, 14 Hari</v>
      </c>
      <c r="AC788" s="14" t="n">
        <v>46273</v>
      </c>
      <c r="AD788" s="18" t="n">
        <v>46402</v>
      </c>
      <c r="AE788" s="13" t="s">
        <v>2387</v>
      </c>
    </row>
    <row r="789" customFormat="false" ht="15.75" hidden="false" customHeight="true" outlineLevel="0" collapsed="false">
      <c r="A789" s="54" t="n">
        <v>13224</v>
      </c>
      <c r="B789" s="45" t="s">
        <v>3501</v>
      </c>
      <c r="C789" s="55" t="n">
        <v>45200</v>
      </c>
      <c r="D789" s="45" t="s">
        <v>2033</v>
      </c>
      <c r="E789" s="56" t="s">
        <v>47</v>
      </c>
      <c r="F789" s="56" t="str">
        <f aca="false">IFERROR(__xludf.dummyfunction("XLOOKUP(AJ789,IMPORTRANGE(""1XaInW9DU9nz21V0tYIfzFQ0He9kVQ_JF2mCXgZ3hqFA"",""REKAP ALL 2026 - Andika!G:G""),IMPORTRANGE(""1XaInW9DU9nz21V0tYIfzFQ0He9kVQ_JF2mCXgZ3hqFA"",""REKAP ALL 2026 - Andika!F:F""),"""",0)"),"23151591593")</f>
        <v>23151591593</v>
      </c>
      <c r="G789" s="45" t="s">
        <v>3502</v>
      </c>
      <c r="H789" s="45" t="s">
        <v>2035</v>
      </c>
      <c r="I789" s="45" t="str">
        <f aca="false">IF(C789=J789,"NEW KONTRAK","RE-KONTRAK")</f>
        <v>RE-KONTRAK</v>
      </c>
      <c r="J789" s="57" t="n">
        <f aca="false" t="array" ref="J789:J789">IFERROR(INDEX(AC789:AE789,IF(COUNTA(AC789:AE789)=0,"",MAX((AC789:AE789&lt;&gt;"")*(COLUMN(AC789:AE789)-(COLUMN(AC789)))))-1),"")</f>
        <v>45744</v>
      </c>
      <c r="K789" s="57" t="n">
        <f aca="false" t="array" ref="K789:K789">IFERROR(INDEX(AC789:AE789,IF(COUNTA(AC789:AE789)=0,"",MAX((AC789:AE789&lt;&gt;"")*(COLUMN(AC789:AE789)-(COLUMN(AC789)-1))))-1),"")</f>
        <v>45915</v>
      </c>
      <c r="L789" s="17" t="str">
        <f aca="false" t="array" ref="L789:L789">IFERROR(INDEX(AC789:AE789,IF(COUNTA(AC789:AE789)=0,"",MAX((AC789:AE789&lt;&gt;"")*(COLUMN(AC789:AE789)-(COLUMN(AC789)-2))))-1),"")</f>
        <v>ARCHIVED</v>
      </c>
      <c r="M789" s="45" t="n">
        <f aca="true">K789-TODAY()</f>
        <v>-409</v>
      </c>
      <c r="N789" s="58" t="s">
        <v>3503</v>
      </c>
      <c r="O789" s="45" t="s">
        <v>2037</v>
      </c>
      <c r="P789" s="59" t="n">
        <v>3868963</v>
      </c>
      <c r="Q789" s="60" t="s">
        <v>3504</v>
      </c>
      <c r="R789" s="45" t="s">
        <v>3503</v>
      </c>
      <c r="S789" s="55" t="n">
        <v>37723</v>
      </c>
      <c r="T789" s="45" t="s">
        <v>108</v>
      </c>
      <c r="U789" s="45" t="s">
        <v>3505</v>
      </c>
      <c r="V789" s="45" t="s">
        <v>42</v>
      </c>
      <c r="W789" s="45" t="s">
        <v>43</v>
      </c>
      <c r="X789" s="61" t="n">
        <v>8893729308</v>
      </c>
      <c r="Y789" s="62" t="str">
        <f aca="false">O789</f>
        <v>SPG/BA</v>
      </c>
      <c r="Z789" s="45" t="str">
        <f aca="false">IFERROR(__xludf.dummyfunction("if(BJ789="""","""",GOOGLETRANSLATE(BJ789,""auto"",""en""))"),"SPG/BA")</f>
        <v>SPG/BA</v>
      </c>
      <c r="AA789" s="63" t="str">
        <f aca="false">IF(C789="","", CHOOSE(MONTH(C789),"January","February","March","April","May","June","July","August","September","October","November","December")&amp;" "&amp;DAY(C789)&amp;MID("thstndrdth",MIN(9,2*RIGHT(DAY(C789))*(MOD(DAY(C789)-11,100)&gt;2)+1),2)&amp;","&amp;TEXT(C789," yyyy"))</f>
        <v>October 1st,2023</v>
      </c>
      <c r="AB789" s="56" t="str">
        <f aca="true">IF(S789="","",DATEDIF(S789,TODAY(),"Y")&amp;" Tahun, "&amp;DATEDIF(S789,TODAY(),"YM")&amp;" Bulan, "&amp;DATEDIF(S789,TODAY(),"MD")&amp;" Hari")</f>
        <v>23 Tahun, 6 Bulan, 17 Hari</v>
      </c>
      <c r="AC789" s="58" t="n">
        <v>45744</v>
      </c>
      <c r="AD789" s="58" t="n">
        <v>45915</v>
      </c>
      <c r="AE789" s="58" t="s">
        <v>44</v>
      </c>
    </row>
    <row r="790" customFormat="false" ht="15.75" hidden="false" customHeight="true" outlineLevel="0" collapsed="false">
      <c r="A790" s="12" t="n">
        <v>7641</v>
      </c>
      <c r="B790" s="13" t="s">
        <v>3506</v>
      </c>
      <c r="C790" s="14" t="n">
        <v>44747</v>
      </c>
      <c r="D790" s="13" t="s">
        <v>3507</v>
      </c>
      <c r="E790" s="15" t="s">
        <v>33</v>
      </c>
      <c r="F790" s="24" t="s">
        <v>3508</v>
      </c>
      <c r="G790" s="13" t="s">
        <v>3509</v>
      </c>
      <c r="H790" s="13" t="s">
        <v>35</v>
      </c>
      <c r="I790" s="13" t="str">
        <f aca="false">IF(C790=J790,"NEW KONTRAK","RE-KONTRAK")</f>
        <v>RE-KONTRAK</v>
      </c>
      <c r="J790" s="16" t="n">
        <f aca="false" t="array" ref="J790:J790">IFERROR(INDEX(AC790:AE790,IF(COUNTA(AC790:AE790)=0,"",MAX((AC790:AE790&lt;&gt;"")*(COLUMN(AC790:AE790)-(COLUMN(AC790)))))-1),"")</f>
        <v>45658</v>
      </c>
      <c r="K790" s="16" t="n">
        <f aca="false" t="array" ref="K790:K790">IFERROR(INDEX(AC790:AE790,IF(COUNTA(AC790:AE790)=0,"",MAX((AC790:AE790&lt;&gt;"")*(COLUMN(AC790:AE790)-(COLUMN(AC790)-1))))-1),"")</f>
        <v>46022</v>
      </c>
      <c r="L790" s="17" t="str">
        <f aca="false" t="array" ref="L790:L790">IFERROR(INDEX(AC790:AE790,IF(COUNTA(AC790:AE790)=0,"",MAX((AC790:AE790&lt;&gt;"")*(COLUMN(AC790:AE790)-(COLUMN(AC790)-2))))-1),"")</f>
        <v>ARCHIVED</v>
      </c>
      <c r="M790" s="13" t="n">
        <f aca="true">K790-TODAY()</f>
        <v>-302</v>
      </c>
      <c r="N790" s="18" t="s">
        <v>105</v>
      </c>
      <c r="O790" s="13" t="s">
        <v>3510</v>
      </c>
      <c r="P790" s="19" t="n">
        <f aca="false">3500000/25</f>
        <v>140000</v>
      </c>
      <c r="Q790" s="20" t="s">
        <v>3511</v>
      </c>
      <c r="R790" s="13" t="s">
        <v>260</v>
      </c>
      <c r="S790" s="14" t="n">
        <v>37020</v>
      </c>
      <c r="T790" s="13" t="s">
        <v>40</v>
      </c>
      <c r="U790" s="13" t="s">
        <v>3512</v>
      </c>
      <c r="V790" s="13" t="s">
        <v>42</v>
      </c>
      <c r="W790" s="13" t="s">
        <v>43</v>
      </c>
      <c r="X790" s="21" t="n">
        <v>882009311229</v>
      </c>
      <c r="Y790" s="22" t="str">
        <f aca="false">O790</f>
        <v>Teknisi</v>
      </c>
      <c r="Z790" s="13" t="str">
        <f aca="false">IFERROR(__xludf.dummyfunction("if(BJ790="""","""",GOOGLETRANSLATE(BJ790,""auto"",""en""))"),"Technician")</f>
        <v>Technician</v>
      </c>
      <c r="AA790" s="23" t="str">
        <f aca="false">IF(C790="","", CHOOSE(MONTH(C790),"January","February","March","April","May","June","July","August","September","October","November","December")&amp;" "&amp;DAY(C790)&amp;MID("thstndrdth",MIN(9,2*RIGHT(DAY(C790))*(MOD(DAY(C790)-11,100)&gt;2)+1),2)&amp;","&amp;TEXT(C790," yyyy"))</f>
        <v>July 5th,2022</v>
      </c>
      <c r="AB790" s="15" t="str">
        <f aca="true">IF(S790="","",DATEDIF(S790,TODAY(),"Y")&amp;" Tahun, "&amp;DATEDIF(S790,TODAY(),"YM")&amp;" Bulan, "&amp;DATEDIF(S790,TODAY(),"MD")&amp;" Hari")</f>
        <v>25 Tahun, 5 Bulan, 20 Hari</v>
      </c>
      <c r="AC790" s="18" t="n">
        <v>45658</v>
      </c>
      <c r="AD790" s="18" t="n">
        <v>46022</v>
      </c>
      <c r="AE790" s="18" t="s">
        <v>44</v>
      </c>
    </row>
    <row r="791" customFormat="false" ht="15.75" hidden="false" customHeight="true" outlineLevel="0" collapsed="false">
      <c r="A791" s="12" t="n">
        <v>7649</v>
      </c>
      <c r="B791" s="13" t="s">
        <v>3513</v>
      </c>
      <c r="C791" s="14" t="n">
        <v>44778</v>
      </c>
      <c r="D791" s="13" t="s">
        <v>613</v>
      </c>
      <c r="E791" s="15" t="s">
        <v>47</v>
      </c>
      <c r="F791" s="15" t="str">
        <f aca="false">IFERROR(__xludf.dummyfunction("XLOOKUP(AJ791,IMPORTRANGE(""1XaInW9DU9nz21V0tYIfzFQ0He9kVQ_JF2mCXgZ3hqFA"",""REKAP ALL 2026 - Andika!G:G""),IMPORTRANGE(""1XaInW9DU9nz21V0tYIfzFQ0He9kVQ_JF2mCXgZ3hqFA"",""REKAP ALL 2026 - Andika!F:F""),"""",0)"),"26005755108")</f>
        <v>26005755108</v>
      </c>
      <c r="G791" s="13" t="s">
        <v>3514</v>
      </c>
      <c r="H791" s="13" t="s">
        <v>35</v>
      </c>
      <c r="I791" s="13" t="str">
        <f aca="false">IF(C791=J791,"NEW KONTRAK","RE-KONTRAK")</f>
        <v>RE-KONTRAK</v>
      </c>
      <c r="J791" s="16" t="n">
        <f aca="false" t="array" ref="J791:J791">IFERROR(INDEX(AC791:AE791,IF(COUNTA(AC791:AE791)=0,"",MAX((AC791:AE791&lt;&gt;"")*(COLUMN(AC791:AE791)-(COLUMN(AC791)))))-1),"")</f>
        <v>45704</v>
      </c>
      <c r="K791" s="16" t="n">
        <f aca="false" t="array" ref="K791:K791">IFERROR(INDEX(AC791:AE791,IF(COUNTA(AC791:AE791)=0,"",MAX((AC791:AE791&lt;&gt;"")*(COLUMN(AC791:AE791)-(COLUMN(AC791)-1))))-1),"")</f>
        <v>45884</v>
      </c>
      <c r="L791" s="17" t="str">
        <f aca="false" t="array" ref="L791:L791">IFERROR(INDEX(AC791:AE791,IF(COUNTA(AC791:AE791)=0,"",MAX((AC791:AE791&lt;&gt;"")*(COLUMN(AC791:AE791)-(COLUMN(AC791)-2))))-1),"")</f>
        <v>ARCHIVED</v>
      </c>
      <c r="M791" s="13" t="n">
        <f aca="true">K791-TODAY()</f>
        <v>-440</v>
      </c>
      <c r="N791" s="18" t="s">
        <v>615</v>
      </c>
      <c r="O791" s="13" t="s">
        <v>624</v>
      </c>
      <c r="P791" s="19" t="n">
        <v>5176101</v>
      </c>
      <c r="Q791" s="20" t="s">
        <v>3515</v>
      </c>
      <c r="R791" s="13" t="s">
        <v>39</v>
      </c>
      <c r="S791" s="14" t="n">
        <v>36978</v>
      </c>
      <c r="T791" s="13" t="s">
        <v>40</v>
      </c>
      <c r="U791" s="13" t="s">
        <v>3516</v>
      </c>
      <c r="V791" s="13" t="s">
        <v>42</v>
      </c>
      <c r="W791" s="13" t="s">
        <v>43</v>
      </c>
      <c r="X791" s="21" t="n">
        <v>87855092391</v>
      </c>
      <c r="Y791" s="22" t="str">
        <f aca="false">O791</f>
        <v>Quality Control</v>
      </c>
      <c r="Z791" s="13" t="str">
        <f aca="false">IFERROR(__xludf.dummyfunction("if(BJ791="""","""",GOOGLETRANSLATE(BJ791,""auto"",""en""))"),"Quality Control")</f>
        <v>Quality Control</v>
      </c>
      <c r="AA791" s="23" t="str">
        <f aca="false">IF(C791="","", CHOOSE(MONTH(C791),"January","February","March","April","May","June","July","August","September","October","November","December")&amp;" "&amp;DAY(C791)&amp;MID("thstndrdth",MIN(9,2*RIGHT(DAY(C791))*(MOD(DAY(C791)-11,100)&gt;2)+1),2)&amp;","&amp;TEXT(C791," yyyy"))</f>
        <v>August 5th,2022</v>
      </c>
      <c r="AB791" s="15" t="str">
        <f aca="true">IF(S791="","",DATEDIF(S791,TODAY(),"Y")&amp;" Tahun, "&amp;DATEDIF(S791,TODAY(),"YM")&amp;" Bulan, "&amp;DATEDIF(S791,TODAY(),"MD")&amp;" Hari")</f>
        <v>25 Tahun, 7 Bulan, 1 Hari</v>
      </c>
      <c r="AC791" s="18" t="n">
        <v>45704</v>
      </c>
      <c r="AD791" s="18" t="n">
        <v>45884</v>
      </c>
      <c r="AE791" s="18" t="s">
        <v>44</v>
      </c>
    </row>
    <row r="792" customFormat="false" ht="15.75" hidden="false" customHeight="true" outlineLevel="0" collapsed="false">
      <c r="A792" s="12" t="n">
        <v>7690</v>
      </c>
      <c r="B792" s="13" t="s">
        <v>3517</v>
      </c>
      <c r="C792" s="14" t="n">
        <v>44788</v>
      </c>
      <c r="D792" s="13" t="s">
        <v>2033</v>
      </c>
      <c r="E792" s="15" t="s">
        <v>102</v>
      </c>
      <c r="F792" s="15" t="str">
        <f aca="false">IFERROR(__xludf.dummyfunction("XLOOKUP(AJ792,IMPORTRANGE(""1XaInW9DU9nz21V0tYIfzFQ0He9kVQ_JF2mCXgZ3hqFA"",""REKAP ALL 2026 - Andika!G:G""),IMPORTRANGE(""1XaInW9DU9nz21V0tYIfzFQ0He9kVQ_JF2mCXgZ3hqFA"",""REKAP ALL 2026 - Andika!F:F""),"""",0)"),"22099842480")</f>
        <v>22099842480</v>
      </c>
      <c r="G792" s="13" t="s">
        <v>3518</v>
      </c>
      <c r="H792" s="13" t="s">
        <v>2035</v>
      </c>
      <c r="I792" s="13" t="str">
        <f aca="false">IF(C792=J792,"NEW KONTRAK","RE-KONTRAK")</f>
        <v>RE-KONTRAK</v>
      </c>
      <c r="J792" s="16" t="n">
        <f aca="false" t="array" ref="J792:J792">IFERROR(INDEX(AC792:AE792,IF(COUNTA(AC792:AE792)=0,"",MAX((AC792:AE792&lt;&gt;"")*(COLUMN(AC792:AE792)-(COLUMN(AC792)))))-1),"")</f>
        <v>45744</v>
      </c>
      <c r="K792" s="16" t="n">
        <f aca="false" t="array" ref="K792:K792">IFERROR(INDEX(AC792:AE792,IF(COUNTA(AC792:AE792)=0,"",MAX((AC792:AE792&lt;&gt;"")*(COLUMN(AC792:AE792)-(COLUMN(AC792)-1))))-1),"")</f>
        <v>45915</v>
      </c>
      <c r="L792" s="17" t="str">
        <f aca="false" t="array" ref="L792:L792">IFERROR(INDEX(AC792:AE792,IF(COUNTA(AC792:AE792)=0,"",MAX((AC792:AE792&lt;&gt;"")*(COLUMN(AC792:AE792)-(COLUMN(AC792)-2))))-1),"")</f>
        <v>ARCHIVED</v>
      </c>
      <c r="M792" s="13" t="n">
        <f aca="true">K792-TODAY()</f>
        <v>-409</v>
      </c>
      <c r="N792" s="18" t="s">
        <v>2356</v>
      </c>
      <c r="O792" s="13" t="s">
        <v>2037</v>
      </c>
      <c r="P792" s="19" t="n">
        <v>4148179</v>
      </c>
      <c r="Q792" s="20" t="s">
        <v>3519</v>
      </c>
      <c r="R792" s="13" t="s">
        <v>3520</v>
      </c>
      <c r="S792" s="14" t="n">
        <v>35841</v>
      </c>
      <c r="T792" s="13" t="s">
        <v>108</v>
      </c>
      <c r="U792" s="13" t="s">
        <v>3521</v>
      </c>
      <c r="V792" s="13" t="s">
        <v>42</v>
      </c>
      <c r="W792" s="13" t="s">
        <v>43</v>
      </c>
      <c r="X792" s="21" t="n">
        <v>81242828949</v>
      </c>
      <c r="Y792" s="22" t="str">
        <f aca="false">O792</f>
        <v>SPG/BA</v>
      </c>
      <c r="Z792" s="13" t="str">
        <f aca="false">IFERROR(__xludf.dummyfunction("if(BJ792="""","""",GOOGLETRANSLATE(BJ792,""auto"",""en""))"),"SPG/BA")</f>
        <v>SPG/BA</v>
      </c>
      <c r="AA792" s="23" t="str">
        <f aca="false">IF(C792="","", CHOOSE(MONTH(C792),"January","February","March","April","May","June","July","August","September","October","November","December")&amp;" "&amp;DAY(C792)&amp;MID("thstndrdth",MIN(9,2*RIGHT(DAY(C792))*(MOD(DAY(C792)-11,100)&gt;2)+1),2)&amp;","&amp;TEXT(C792," yyyy"))</f>
        <v>August 15th,2022</v>
      </c>
      <c r="AB792" s="15" t="str">
        <f aca="true">IF(S792="","",DATEDIF(S792,TODAY(),"Y")&amp;" Tahun, "&amp;DATEDIF(S792,TODAY(),"YM")&amp;" Bulan, "&amp;DATEDIF(S792,TODAY(),"MD")&amp;" Hari")</f>
        <v>28 Tahun, 8 Bulan, 14 Hari</v>
      </c>
      <c r="AC792" s="18" t="n">
        <v>45744</v>
      </c>
      <c r="AD792" s="18" t="n">
        <v>45915</v>
      </c>
      <c r="AE792" s="18" t="s">
        <v>44</v>
      </c>
    </row>
    <row r="793" customFormat="false" ht="15.75" hidden="false" customHeight="true" outlineLevel="0" collapsed="false">
      <c r="A793" s="12" t="n">
        <v>22225</v>
      </c>
      <c r="B793" s="13" t="s">
        <v>3522</v>
      </c>
      <c r="C793" s="16" t="n">
        <v>46160.2916666667</v>
      </c>
      <c r="D793" s="13" t="s">
        <v>2033</v>
      </c>
      <c r="E793" s="15" t="s">
        <v>47</v>
      </c>
      <c r="F793" s="24" t="s">
        <v>3523</v>
      </c>
      <c r="G793" s="13" t="s">
        <v>1127</v>
      </c>
      <c r="H793" s="13" t="s">
        <v>35</v>
      </c>
      <c r="I793" s="13" t="str">
        <f aca="false">IF(C793=J793,"NEW KONTRAK","RE-KONTRAK")</f>
        <v>NEW KONTRAK</v>
      </c>
      <c r="J793" s="16" t="n">
        <f aca="false" t="array" ref="J793:J793">IFERROR(INDEX(AC793:AE793,IF(COUNTA(AC793:AE793)=0,"",MAX((AC793:AE793&lt;&gt;"")*(COLUMN(AC793:AE793)-(COLUMN(AC793)))))-1),"")</f>
        <v>46160.2916666667</v>
      </c>
      <c r="K793" s="16" t="n">
        <f aca="false" t="array" ref="K793:K793">IFERROR(INDEX(AC793:AE793,IF(COUNTA(AC793:AE793)=0,"",MAX((AC793:AE793&lt;&gt;"")*(COLUMN(AC793:AE793)-(COLUMN(AC793)-1))))-1),"")</f>
        <v>46188</v>
      </c>
      <c r="L793" s="17" t="str">
        <f aca="false" t="array" ref="L793:L793">IFERROR(INDEX(AC793:AE793,IF(COUNTA(AC793:AE793)=0,"",MAX((AC793:AE793&lt;&gt;"")*(COLUMN(AC793:AE793)-(COLUMN(AC793)-2))))-1),"")</f>
        <v>ARCHIVED</v>
      </c>
      <c r="M793" s="13" t="n">
        <f aca="true">K793-TODAY()</f>
        <v>-136</v>
      </c>
      <c r="N793" s="18" t="s">
        <v>2373</v>
      </c>
      <c r="O793" s="13" t="s">
        <v>2037</v>
      </c>
      <c r="P793" s="19" t="n">
        <v>2570000</v>
      </c>
      <c r="Q793" s="20" t="s">
        <v>3524</v>
      </c>
      <c r="R793" s="13" t="s">
        <v>3525</v>
      </c>
      <c r="S793" s="14" t="n">
        <v>37741</v>
      </c>
      <c r="T793" s="13" t="s">
        <v>108</v>
      </c>
      <c r="U793" s="13" t="s">
        <v>3526</v>
      </c>
      <c r="V793" s="13" t="s">
        <v>42</v>
      </c>
      <c r="W793" s="13" t="s">
        <v>43</v>
      </c>
      <c r="X793" s="21" t="n">
        <v>81391863017</v>
      </c>
      <c r="Y793" s="22" t="str">
        <f aca="false">O793</f>
        <v>SPG/BA</v>
      </c>
      <c r="Z793" s="13" t="str">
        <f aca="false">IFERROR(__xludf.dummyfunction("if(BJ793="""","""",GOOGLETRANSLATE(BJ793,""auto"",""en""))"),"SPG/BA")</f>
        <v>SPG/BA</v>
      </c>
      <c r="AA793" s="23" t="str">
        <f aca="false">IF(C793="","", CHOOSE(MONTH(C793),"January","February","March","April","May","June","July","August","September","October","November","December")&amp;" "&amp;DAY(C793)&amp;MID("thstndrdth",MIN(9,2*RIGHT(DAY(C793))*(MOD(DAY(C793)-11,100)&gt;2)+1),2)&amp;","&amp;TEXT(C793," yyyy"))</f>
        <v>May 18th,2026</v>
      </c>
      <c r="AB793" s="15" t="str">
        <f aca="true">IF(S793="","",DATEDIF(S793,TODAY(),"Y")&amp;" Tahun, "&amp;DATEDIF(S793,TODAY(),"YM")&amp;" Bulan, "&amp;DATEDIF(S793,TODAY(),"MD")&amp;" Hari")</f>
        <v>23 Tahun, 5 Bulan, 29 Hari</v>
      </c>
      <c r="AC793" s="14" t="n">
        <f aca="false">C793</f>
        <v>46160.2916666667</v>
      </c>
      <c r="AD793" s="64" t="n">
        <v>46188</v>
      </c>
      <c r="AE793" s="13" t="s">
        <v>44</v>
      </c>
    </row>
    <row r="794" customFormat="false" ht="15.75" hidden="false" customHeight="true" outlineLevel="0" collapsed="false">
      <c r="A794" s="12" t="n">
        <v>7703</v>
      </c>
      <c r="B794" s="13" t="s">
        <v>3527</v>
      </c>
      <c r="C794" s="14" t="n">
        <v>44785</v>
      </c>
      <c r="D794" s="13" t="s">
        <v>404</v>
      </c>
      <c r="E794" s="15" t="s">
        <v>47</v>
      </c>
      <c r="F794" s="15" t="str">
        <f aca="false">IFERROR(__xludf.dummyfunction("XLOOKUP(AJ794,IMPORTRANGE(""1XaInW9DU9nz21V0tYIfzFQ0He9kVQ_JF2mCXgZ3hqFA"",""REKAP ALL 2026 - Andika!G:G""),IMPORTRANGE(""1XaInW9DU9nz21V0tYIfzFQ0He9kVQ_JF2mCXgZ3hqFA"",""REKAP ALL 2026 - Andika!F:F""),"""",0)"),"22099823514")</f>
        <v>22099823514</v>
      </c>
      <c r="G794" s="13" t="s">
        <v>3528</v>
      </c>
      <c r="H794" s="13" t="s">
        <v>35</v>
      </c>
      <c r="I794" s="13" t="str">
        <f aca="false">IF(C794=J794,"NEW KONTRAK","RE-KONTRAK")</f>
        <v>RE-KONTRAK</v>
      </c>
      <c r="J794" s="16" t="n">
        <f aca="false" t="array" ref="J794:J794">IFERROR(INDEX(AC794:AE794,IF(COUNTA(AC794:AE794)=0,"",MAX((AC794:AE794&lt;&gt;"")*(COLUMN(AC794:AE794)-(COLUMN(AC794)))))-1),"")</f>
        <v>45658</v>
      </c>
      <c r="K794" s="16" t="n">
        <f aca="false" t="array" ref="K794:K794">IFERROR(INDEX(AC794:AE794,IF(COUNTA(AC794:AE794)=0,"",MAX((AC794:AE794&lt;&gt;"")*(COLUMN(AC794:AE794)-(COLUMN(AC794)-1))))-1),"")</f>
        <v>46022</v>
      </c>
      <c r="L794" s="17" t="str">
        <f aca="false" t="array" ref="L794:L794">IFERROR(INDEX(AC794:AE794,IF(COUNTA(AC794:AE794)=0,"",MAX((AC794:AE794&lt;&gt;"")*(COLUMN(AC794:AE794)-(COLUMN(AC794)-2))))-1),"")</f>
        <v>ARCHIVED</v>
      </c>
      <c r="M794" s="13" t="n">
        <f aca="true">K794-TODAY()</f>
        <v>-302</v>
      </c>
      <c r="N794" s="18" t="s">
        <v>36</v>
      </c>
      <c r="O794" s="13" t="s">
        <v>3529</v>
      </c>
      <c r="P794" s="26" t="n">
        <v>5195401</v>
      </c>
      <c r="Q794" s="20" t="s">
        <v>3530</v>
      </c>
      <c r="R794" s="13" t="s">
        <v>65</v>
      </c>
      <c r="S794" s="14" t="n">
        <v>34510</v>
      </c>
      <c r="T794" s="13" t="s">
        <v>40</v>
      </c>
      <c r="U794" s="13" t="s">
        <v>3531</v>
      </c>
      <c r="V794" s="13" t="s">
        <v>42</v>
      </c>
      <c r="W794" s="13" t="s">
        <v>43</v>
      </c>
      <c r="X794" s="21" t="n">
        <v>81316485898</v>
      </c>
      <c r="Y794" s="22" t="str">
        <f aca="false">O794</f>
        <v>Plastic Converter</v>
      </c>
      <c r="Z794" s="13" t="str">
        <f aca="false">IFERROR(__xludf.dummyfunction("if(BJ794="""","""",GOOGLETRANSLATE(BJ794,""auto"",""en""))"),"Plastic Converter")</f>
        <v>Plastic Converter</v>
      </c>
      <c r="AA794" s="23" t="str">
        <f aca="false">IF(C794="","", CHOOSE(MONTH(C794),"January","February","March","April","May","June","July","August","September","October","November","December")&amp;" "&amp;DAY(C794)&amp;MID("thstndrdth",MIN(9,2*RIGHT(DAY(C794))*(MOD(DAY(C794)-11,100)&gt;2)+1),2)&amp;","&amp;TEXT(C794," yyyy"))</f>
        <v>August 12th,2022</v>
      </c>
      <c r="AB794" s="15" t="str">
        <f aca="true">IF(S794="","",DATEDIF(S794,TODAY(),"Y")&amp;" Tahun, "&amp;DATEDIF(S794,TODAY(),"YM")&amp;" Bulan, "&amp;DATEDIF(S794,TODAY(),"MD")&amp;" Hari")</f>
        <v>32 Tahun, 4 Bulan, 4 Hari</v>
      </c>
      <c r="AC794" s="18" t="n">
        <v>45658</v>
      </c>
      <c r="AD794" s="18" t="n">
        <v>46022</v>
      </c>
      <c r="AE794" s="18" t="s">
        <v>44</v>
      </c>
    </row>
    <row r="795" customFormat="false" ht="15.75" hidden="false" customHeight="true" outlineLevel="0" collapsed="false">
      <c r="A795" s="12" t="n">
        <v>7716</v>
      </c>
      <c r="B795" s="13" t="s">
        <v>3532</v>
      </c>
      <c r="C795" s="14" t="n">
        <v>44788</v>
      </c>
      <c r="D795" s="13" t="s">
        <v>101</v>
      </c>
      <c r="E795" s="15" t="s">
        <v>102</v>
      </c>
      <c r="F795" s="24" t="s">
        <v>3533</v>
      </c>
      <c r="G795" s="13" t="s">
        <v>3534</v>
      </c>
      <c r="H795" s="13" t="s">
        <v>35</v>
      </c>
      <c r="I795" s="13" t="str">
        <f aca="false">IF(C795=J795,"NEW KONTRAK","RE-KONTRAK")</f>
        <v>RE-KONTRAK</v>
      </c>
      <c r="J795" s="16" t="n">
        <f aca="false" t="array" ref="J795:J795">IFERROR(INDEX(AC795:AE795,IF(COUNTA(AC795:AE795)=0,"",MAX((AC795:AE795&lt;&gt;"")*(COLUMN(AC795:AE795)-(COLUMN(AC795)))))-1),"")</f>
        <v>45672</v>
      </c>
      <c r="K795" s="16" t="n">
        <f aca="false" t="array" ref="K795:K795">IFERROR(INDEX(AC795:AE795,IF(COUNTA(AC795:AE795)=0,"",MAX((AC795:AE795&lt;&gt;"")*(COLUMN(AC795:AE795)-(COLUMN(AC795)-1))))-1),"")</f>
        <v>46036</v>
      </c>
      <c r="L795" s="17" t="str">
        <f aca="false" t="array" ref="L795:L795">IFERROR(INDEX(AC795:AE795,IF(COUNTA(AC795:AE795)=0,"",MAX((AC795:AE795&lt;&gt;"")*(COLUMN(AC795:AE795)-(COLUMN(AC795)-2))))-1),"")</f>
        <v>ARCHIVED</v>
      </c>
      <c r="M795" s="13" t="n">
        <f aca="true">K795-TODAY()</f>
        <v>-288</v>
      </c>
      <c r="N795" s="18" t="s">
        <v>105</v>
      </c>
      <c r="O795" s="13" t="s">
        <v>3535</v>
      </c>
      <c r="P795" s="19" t="n">
        <v>126000</v>
      </c>
      <c r="Q795" s="20" t="s">
        <v>3536</v>
      </c>
      <c r="R795" s="13" t="s">
        <v>148</v>
      </c>
      <c r="S795" s="25" t="n">
        <v>37138</v>
      </c>
      <c r="T795" s="13" t="s">
        <v>40</v>
      </c>
      <c r="U795" s="13" t="s">
        <v>3537</v>
      </c>
      <c r="V795" s="13" t="s">
        <v>42</v>
      </c>
      <c r="W795" s="13" t="s">
        <v>43</v>
      </c>
      <c r="X795" s="21" t="n">
        <v>81259696648</v>
      </c>
      <c r="Y795" s="22" t="str">
        <f aca="false">O795</f>
        <v>Maintenance - Teknisi</v>
      </c>
      <c r="Z795" s="13" t="str">
        <f aca="false">IFERROR(__xludf.dummyfunction("if(BJ795="""","""",GOOGLETRANSLATE(BJ795,""auto"",""en""))"),"Maintenance - Technician")</f>
        <v>Maintenance - Technician</v>
      </c>
      <c r="AA795" s="23" t="str">
        <f aca="false">IF(C795="","", CHOOSE(MONTH(C795),"January","February","March","April","May","June","July","August","September","October","November","December")&amp;" "&amp;DAY(C795)&amp;MID("thstndrdth",MIN(9,2*RIGHT(DAY(C795))*(MOD(DAY(C795)-11,100)&gt;2)+1),2)&amp;","&amp;TEXT(C795," yyyy"))</f>
        <v>August 15th,2022</v>
      </c>
      <c r="AB795" s="15" t="str">
        <f aca="true">IF(S795="","",DATEDIF(S795,TODAY(),"Y")&amp;" Tahun, "&amp;DATEDIF(S795,TODAY(),"YM")&amp;" Bulan, "&amp;DATEDIF(S795,TODAY(),"MD")&amp;" Hari")</f>
        <v>25 Tahun, 1 Bulan, 25 Hari</v>
      </c>
      <c r="AC795" s="18" t="n">
        <v>45672</v>
      </c>
      <c r="AD795" s="18" t="n">
        <v>46036</v>
      </c>
      <c r="AE795" s="18" t="s">
        <v>44</v>
      </c>
    </row>
    <row r="796" customFormat="false" ht="15.75" hidden="false" customHeight="true" outlineLevel="0" collapsed="false">
      <c r="A796" s="12" t="n">
        <v>7718</v>
      </c>
      <c r="B796" s="13" t="s">
        <v>3538</v>
      </c>
      <c r="C796" s="14" t="n">
        <v>44788</v>
      </c>
      <c r="D796" s="13" t="s">
        <v>101</v>
      </c>
      <c r="E796" s="15" t="s">
        <v>102</v>
      </c>
      <c r="F796" s="15" t="str">
        <f aca="false">IFERROR(__xludf.dummyfunction("XLOOKUP(AJ796,IMPORTRANGE(""1XaInW9DU9nz21V0tYIfzFQ0He9kVQ_JF2mCXgZ3hqFA"",""REKAP ALL 2026 - Andika!G:G""),IMPORTRANGE(""1XaInW9DU9nz21V0tYIfzFQ0He9kVQ_JF2mCXgZ3hqFA"",""REKAP ALL 2026 - Andika!F:F""),"""",0)"),"22099843272")</f>
        <v>22099843272</v>
      </c>
      <c r="G796" s="13" t="s">
        <v>3539</v>
      </c>
      <c r="H796" s="13" t="s">
        <v>35</v>
      </c>
      <c r="I796" s="13" t="str">
        <f aca="false">IF(C796=J796,"NEW KONTRAK","RE-KONTRAK")</f>
        <v>RE-KONTRAK</v>
      </c>
      <c r="J796" s="16" t="n">
        <f aca="false" t="array" ref="J796:J796">IFERROR(INDEX(AC796:AE796,IF(COUNTA(AC796:AE796)=0,"",MAX((AC796:AE796&lt;&gt;"")*(COLUMN(AC796:AE796)-(COLUMN(AC796)))))-1),"")</f>
        <v>45672</v>
      </c>
      <c r="K796" s="16" t="n">
        <f aca="false" t="array" ref="K796:K796">IFERROR(INDEX(AC796:AE796,IF(COUNTA(AC796:AE796)=0,"",MAX((AC796:AE796&lt;&gt;"")*(COLUMN(AC796:AE796)-(COLUMN(AC796)-1))))-1),"")</f>
        <v>46036</v>
      </c>
      <c r="L796" s="17" t="str">
        <f aca="false" t="array" ref="L796:L796">IFERROR(INDEX(AC796:AE796,IF(COUNTA(AC796:AE796)=0,"",MAX((AC796:AE796&lt;&gt;"")*(COLUMN(AC796:AE796)-(COLUMN(AC796)-2))))-1),"")</f>
        <v>ARCHIVED</v>
      </c>
      <c r="M796" s="13" t="n">
        <f aca="true">K796-TODAY()</f>
        <v>-288</v>
      </c>
      <c r="N796" s="18" t="s">
        <v>105</v>
      </c>
      <c r="O796" s="13" t="s">
        <v>106</v>
      </c>
      <c r="P796" s="19" t="n">
        <v>132300</v>
      </c>
      <c r="Q796" s="20" t="s">
        <v>3540</v>
      </c>
      <c r="R796" s="13" t="s">
        <v>227</v>
      </c>
      <c r="S796" s="25" t="n">
        <v>37257</v>
      </c>
      <c r="T796" s="13" t="s">
        <v>40</v>
      </c>
      <c r="U796" s="13" t="s">
        <v>3541</v>
      </c>
      <c r="V796" s="13" t="s">
        <v>42</v>
      </c>
      <c r="W796" s="13" t="s">
        <v>43</v>
      </c>
      <c r="X796" s="21" t="n">
        <v>82229298761</v>
      </c>
      <c r="Y796" s="22" t="str">
        <f aca="false">O796</f>
        <v>Produksi - Helper</v>
      </c>
      <c r="Z796" s="13" t="str">
        <f aca="false">IFERROR(__xludf.dummyfunction("if(BJ796="""","""",GOOGLETRANSLATE(BJ796,""auto"",""en""))"),"Production - Helper")</f>
        <v>Production - Helper</v>
      </c>
      <c r="AA796" s="23" t="str">
        <f aca="false">IF(C796="","", CHOOSE(MONTH(C796),"January","February","March","April","May","June","July","August","September","October","November","December")&amp;" "&amp;DAY(C796)&amp;MID("thstndrdth",MIN(9,2*RIGHT(DAY(C796))*(MOD(DAY(C796)-11,100)&gt;2)+1),2)&amp;","&amp;TEXT(C796," yyyy"))</f>
        <v>August 15th,2022</v>
      </c>
      <c r="AB796" s="15" t="str">
        <f aca="true">IF(S796="","",DATEDIF(S796,TODAY(),"Y")&amp;" Tahun, "&amp;DATEDIF(S796,TODAY(),"YM")&amp;" Bulan, "&amp;DATEDIF(S796,TODAY(),"MD")&amp;" Hari")</f>
        <v>24 Tahun, 9 Bulan, 28 Hari</v>
      </c>
      <c r="AC796" s="18" t="n">
        <v>45672</v>
      </c>
      <c r="AD796" s="18" t="n">
        <v>46036</v>
      </c>
      <c r="AE796" s="18" t="s">
        <v>44</v>
      </c>
    </row>
    <row r="797" customFormat="false" ht="15.75" hidden="false" customHeight="true" outlineLevel="0" collapsed="false">
      <c r="A797" s="12" t="n">
        <v>7726</v>
      </c>
      <c r="B797" s="13" t="s">
        <v>3542</v>
      </c>
      <c r="C797" s="14" t="n">
        <v>44791</v>
      </c>
      <c r="D797" s="13" t="s">
        <v>1066</v>
      </c>
      <c r="E797" s="15" t="s">
        <v>47</v>
      </c>
      <c r="F797" s="15" t="str">
        <f aca="false">IFERROR(__xludf.dummyfunction("XLOOKUP(AJ797,IMPORTRANGE(""1XaInW9DU9nz21V0tYIfzFQ0He9kVQ_JF2mCXgZ3hqFA"",""REKAP ALL 2026 - Andika!G:G""),IMPORTRANGE(""1XaInW9DU9nz21V0tYIfzFQ0He9kVQ_JF2mCXgZ3hqFA"",""REKAP ALL 2026 - Andika!F:F""),"""",0)"),"22099845442")</f>
        <v>22099845442</v>
      </c>
      <c r="G797" s="13" t="s">
        <v>3543</v>
      </c>
      <c r="H797" s="13" t="s">
        <v>35</v>
      </c>
      <c r="I797" s="13" t="str">
        <f aca="false">IF(C797=J797,"NEW KONTRAK","RE-KONTRAK")</f>
        <v>RE-KONTRAK</v>
      </c>
      <c r="J797" s="16" t="n">
        <f aca="false" t="array" ref="J797:J797">IFERROR(INDEX(AC797:AE797,IF(COUNTA(AC797:AE797)=0,"",MAX((AC797:AE797&lt;&gt;"")*(COLUMN(AC797:AE797)-(COLUMN(AC797)))))-1),"")</f>
        <v>45658</v>
      </c>
      <c r="K797" s="16" t="n">
        <f aca="false" t="array" ref="K797:K797">IFERROR(INDEX(AC797:AE797,IF(COUNTA(AC797:AE797)=0,"",MAX((AC797:AE797&lt;&gt;"")*(COLUMN(AC797:AE797)-(COLUMN(AC797)-1))))-1),"")</f>
        <v>46022</v>
      </c>
      <c r="L797" s="17" t="str">
        <f aca="false" t="array" ref="L797:L797">IFERROR(INDEX(AC797:AE797,IF(COUNTA(AC797:AE797)=0,"",MAX((AC797:AE797&lt;&gt;"")*(COLUMN(AC797:AE797)-(COLUMN(AC797)-2))))-1),"")</f>
        <v>ARCHIVED</v>
      </c>
      <c r="M797" s="13" t="n">
        <f aca="true">K797-TODAY()</f>
        <v>-302</v>
      </c>
      <c r="N797" s="18" t="s">
        <v>615</v>
      </c>
      <c r="O797" s="13" t="s">
        <v>1203</v>
      </c>
      <c r="P797" s="19" t="n">
        <v>5176101</v>
      </c>
      <c r="Q797" s="20" t="s">
        <v>3544</v>
      </c>
      <c r="R797" s="13" t="s">
        <v>232</v>
      </c>
      <c r="S797" s="14" t="n">
        <v>36494</v>
      </c>
      <c r="T797" s="13" t="s">
        <v>40</v>
      </c>
      <c r="U797" s="13" t="s">
        <v>3545</v>
      </c>
      <c r="V797" s="13" t="s">
        <v>42</v>
      </c>
      <c r="W797" s="13" t="s">
        <v>43</v>
      </c>
      <c r="X797" s="21" t="n">
        <v>83833826600</v>
      </c>
      <c r="Y797" s="22" t="str">
        <f aca="false">O797</f>
        <v>Procuction Dumping Helper</v>
      </c>
      <c r="Z797" s="13" t="str">
        <f aca="false">IFERROR(__xludf.dummyfunction("if(BJ797="""","""",GOOGLETRANSLATE(BJ797,""auto"",""en""))"),"Procuction Dumping Helper")</f>
        <v>Procuction Dumping Helper</v>
      </c>
      <c r="AA797" s="23" t="str">
        <f aca="false">IF(C797="","", CHOOSE(MONTH(C797),"January","February","March","April","May","June","July","August","September","October","November","December")&amp;" "&amp;DAY(C797)&amp;MID("thstndrdth",MIN(9,2*RIGHT(DAY(C797))*(MOD(DAY(C797)-11,100)&gt;2)+1),2)&amp;","&amp;TEXT(C797," yyyy"))</f>
        <v>August 18th,2022</v>
      </c>
      <c r="AB797" s="15" t="str">
        <f aca="true">IF(S797="","",DATEDIF(S797,TODAY(),"Y")&amp;" Tahun, "&amp;DATEDIF(S797,TODAY(),"YM")&amp;" Bulan, "&amp;DATEDIF(S797,TODAY(),"MD")&amp;" Hari")</f>
        <v>26 Tahun, 10 Bulan, 29 Hari</v>
      </c>
      <c r="AC797" s="18" t="n">
        <v>45658</v>
      </c>
      <c r="AD797" s="18" t="n">
        <v>46022</v>
      </c>
      <c r="AE797" s="18" t="s">
        <v>44</v>
      </c>
    </row>
    <row r="798" customFormat="false" ht="15.75" hidden="false" customHeight="true" outlineLevel="0" collapsed="false">
      <c r="A798" s="12" t="n">
        <v>7829</v>
      </c>
      <c r="B798" s="13" t="s">
        <v>3546</v>
      </c>
      <c r="C798" s="14" t="n">
        <v>44788</v>
      </c>
      <c r="D798" s="13" t="s">
        <v>2148</v>
      </c>
      <c r="E798" s="15" t="s">
        <v>102</v>
      </c>
      <c r="F798" s="15" t="str">
        <f aca="false">IFERROR(__xludf.dummyfunction("XLOOKUP(AJ798,IMPORTRANGE(""1XaInW9DU9nz21V0tYIfzFQ0He9kVQ_JF2mCXgZ3hqFA"",""REKAP ALL 2026 - Andika!G:G""),IMPORTRANGE(""1XaInW9DU9nz21V0tYIfzFQ0He9kVQ_JF2mCXgZ3hqFA"",""REKAP ALL 2026 - Andika!F:F""),"""",0)"),"22099843116")</f>
        <v>22099843116</v>
      </c>
      <c r="G798" s="13" t="s">
        <v>3547</v>
      </c>
      <c r="H798" s="13" t="s">
        <v>49</v>
      </c>
      <c r="I798" s="13" t="str">
        <f aca="false">IF(C798=J798,"NEW KONTRAK","RE-KONTRAK")</f>
        <v>RE-KONTRAK</v>
      </c>
      <c r="J798" s="16" t="n">
        <f aca="false" t="array" ref="J798:J798">IFERROR(INDEX(AC798:AE798,IF(COUNTA(AC798:AE798)=0,"",MAX((AC798:AE798&lt;&gt;"")*(COLUMN(AC798:AE798)-(COLUMN(AC798)))))-1),"")</f>
        <v>45672</v>
      </c>
      <c r="K798" s="16" t="n">
        <f aca="false" t="array" ref="K798:K798">IFERROR(INDEX(AC798:AE798,IF(COUNTA(AC798:AE798)=0,"",MAX((AC798:AE798&lt;&gt;"")*(COLUMN(AC798:AE798)-(COLUMN(AC798)-1))))-1),"")</f>
        <v>46036</v>
      </c>
      <c r="L798" s="17" t="str">
        <f aca="false" t="array" ref="L798:L798">IFERROR(INDEX(AC798:AE798,IF(COUNTA(AC798:AE798)=0,"",MAX((AC798:AE798&lt;&gt;"")*(COLUMN(AC798:AE798)-(COLUMN(AC798)-2))))-1),"")</f>
        <v>ARCHIVED</v>
      </c>
      <c r="M798" s="13" t="n">
        <f aca="true">K798-TODAY()</f>
        <v>-288</v>
      </c>
      <c r="N798" s="50" t="s">
        <v>105</v>
      </c>
      <c r="O798" s="13" t="s">
        <v>3548</v>
      </c>
      <c r="P798" s="19" t="n">
        <v>194481</v>
      </c>
      <c r="Q798" s="20" t="s">
        <v>3549</v>
      </c>
      <c r="R798" s="13" t="s">
        <v>52</v>
      </c>
      <c r="S798" s="25" t="n">
        <v>37235</v>
      </c>
      <c r="T798" s="13" t="s">
        <v>40</v>
      </c>
      <c r="U798" s="13" t="s">
        <v>3550</v>
      </c>
      <c r="V798" s="13" t="s">
        <v>42</v>
      </c>
      <c r="W798" s="13" t="s">
        <v>43</v>
      </c>
      <c r="X798" s="21" t="n">
        <v>85648582122</v>
      </c>
      <c r="Y798" s="22" t="str">
        <f aca="false">O798</f>
        <v>GA - Admin</v>
      </c>
      <c r="Z798" s="13" t="str">
        <f aca="false">IFERROR(__xludf.dummyfunction("if(BJ798="""","""",GOOGLETRANSLATE(BJ798,""auto"",""en""))"),"GA - Admin")</f>
        <v>GA - Admin</v>
      </c>
      <c r="AA798" s="23" t="str">
        <f aca="false">IF(C798="","", CHOOSE(MONTH(C798),"January","February","March","April","May","June","July","August","September","October","November","December")&amp;" "&amp;DAY(C798)&amp;MID("thstndrdth",MIN(9,2*RIGHT(DAY(C798))*(MOD(DAY(C798)-11,100)&gt;2)+1),2)&amp;","&amp;TEXT(C798," yyyy"))</f>
        <v>August 15th,2022</v>
      </c>
      <c r="AB798" s="15" t="str">
        <f aca="true">IF(S798="","",DATEDIF(S798,TODAY(),"Y")&amp;" Tahun, "&amp;DATEDIF(S798,TODAY(),"YM")&amp;" Bulan, "&amp;DATEDIF(S798,TODAY(),"MD")&amp;" Hari")</f>
        <v>24 Tahun, 10 Bulan, 19 Hari</v>
      </c>
      <c r="AC798" s="18" t="n">
        <v>45672</v>
      </c>
      <c r="AD798" s="18" t="n">
        <v>46036</v>
      </c>
      <c r="AE798" s="18" t="s">
        <v>44</v>
      </c>
    </row>
    <row r="799" customFormat="false" ht="15.75" hidden="false" customHeight="true" outlineLevel="0" collapsed="false">
      <c r="A799" s="12" t="n">
        <v>22668</v>
      </c>
      <c r="B799" s="45" t="s">
        <v>3551</v>
      </c>
      <c r="C799" s="14" t="n">
        <v>46241</v>
      </c>
      <c r="D799" s="13" t="s">
        <v>101</v>
      </c>
      <c r="E799" s="13" t="s">
        <v>47</v>
      </c>
      <c r="F799" s="24" t="s">
        <v>3552</v>
      </c>
      <c r="G799" s="13" t="s">
        <v>1452</v>
      </c>
      <c r="H799" s="13" t="s">
        <v>35</v>
      </c>
      <c r="I799" s="13" t="str">
        <f aca="false">IF(C799=J799,"NEW KONTRAK","RE-KONTRAK")</f>
        <v>NEW KONTRAK</v>
      </c>
      <c r="J799" s="16" t="n">
        <f aca="false" t="array" ref="J799:J799">IFERROR(INDEX(AC799:AE799,IF(COUNTA(AC799:AE799)=0,"",MAX((AC799:AE799&lt;&gt;"")*(COLUMN(AC799:AE799)-(COLUMN(AC799)))))-1),"")</f>
        <v>46241</v>
      </c>
      <c r="K799" s="16" t="n">
        <f aca="false" t="array" ref="K799:K799">IFERROR(INDEX(AC799:AE799,IF(COUNTA(AC799:AE799)=0,"",MAX((AC799:AE799&lt;&gt;"")*(COLUMN(AC799:AE799)-(COLUMN(AC799)-1))))-1),"")</f>
        <v>46402</v>
      </c>
      <c r="L799" s="17" t="str">
        <f aca="false" t="array" ref="L799:L799">IFERROR(INDEX(AC799:AE799,IF(COUNTA(AC799:AE799)=0,"",MAX((AC799:AE799&lt;&gt;"")*(COLUMN(AC799:AE799)-(COLUMN(AC799)-2))))-1),"")</f>
        <v>ARCHIVED</v>
      </c>
      <c r="M799" s="13" t="n">
        <f aca="true">K799-TODAY()</f>
        <v>78</v>
      </c>
      <c r="N799" s="18" t="s">
        <v>105</v>
      </c>
      <c r="O799" s="13" t="s">
        <v>1453</v>
      </c>
      <c r="P799" s="26" t="n">
        <v>138915</v>
      </c>
      <c r="Q799" s="20" t="s">
        <v>3553</v>
      </c>
      <c r="R799" s="13" t="s">
        <v>274</v>
      </c>
      <c r="S799" s="25" t="n">
        <v>37587</v>
      </c>
      <c r="T799" s="13" t="s">
        <v>108</v>
      </c>
      <c r="U799" s="13" t="s">
        <v>3554</v>
      </c>
      <c r="V799" s="13" t="s">
        <v>42</v>
      </c>
      <c r="W799" s="13" t="s">
        <v>43</v>
      </c>
      <c r="X799" s="21" t="n">
        <v>85746936248</v>
      </c>
      <c r="Y799" s="22" t="str">
        <f aca="false">O799</f>
        <v>Helper Produksi</v>
      </c>
      <c r="Z799" s="13" t="str">
        <f aca="false">IFERROR(__xludf.dummyfunction("if(BJ799="""","""",GOOGLETRANSLATE(BJ799,""auto"",""en""))"),"Production Helper")</f>
        <v>Production Helper</v>
      </c>
      <c r="AA799" s="23" t="str">
        <f aca="false">IF(C799="","", CHOOSE(MONTH(C799),"January","February","March","April","May","June","July","August","September","October","November","December")&amp;" "&amp;DAY(C799)&amp;MID("thstndrdth",MIN(9,2*RIGHT(DAY(C799))*(MOD(DAY(C799)-11,100)&gt;2)+1),2)&amp;","&amp;TEXT(C799," yyyy"))</f>
        <v>August 7th,2026</v>
      </c>
      <c r="AB799" s="15" t="str">
        <f aca="true">IF(S799="","",DATEDIF(S799,TODAY(),"Y")&amp;" Tahun, "&amp;DATEDIF(S799,TODAY(),"YM")&amp;" Bulan, "&amp;DATEDIF(S799,TODAY(),"MD")&amp;" Hari")</f>
        <v>23 Tahun, 11 Bulan, 2 Hari</v>
      </c>
      <c r="AC799" s="14" t="n">
        <v>46241</v>
      </c>
      <c r="AD799" s="18" t="n">
        <v>46402</v>
      </c>
      <c r="AE799" s="45" t="s">
        <v>44</v>
      </c>
    </row>
    <row r="800" customFormat="false" ht="15.75" hidden="false" customHeight="true" outlineLevel="0" collapsed="false">
      <c r="A800" s="12" t="n">
        <v>7834</v>
      </c>
      <c r="B800" s="13" t="s">
        <v>3555</v>
      </c>
      <c r="C800" s="14" t="n">
        <v>44791</v>
      </c>
      <c r="D800" s="13" t="s">
        <v>101</v>
      </c>
      <c r="E800" s="15" t="s">
        <v>102</v>
      </c>
      <c r="F800" s="15" t="str">
        <f aca="false">IFERROR(__xludf.dummyfunction("XLOOKUP(AJ800,IMPORTRANGE(""1XaInW9DU9nz21V0tYIfzFQ0He9kVQ_JF2mCXgZ3hqFA"",""REKAP ALL 2026 - Andika!G:G""),IMPORTRANGE(""1XaInW9DU9nz21V0tYIfzFQ0He9kVQ_JF2mCXgZ3hqFA"",""REKAP ALL 2026 - Andika!F:F""),"""",0)"),"22099843173")</f>
        <v>22099843173</v>
      </c>
      <c r="G800" s="13" t="s">
        <v>3556</v>
      </c>
      <c r="H800" s="13" t="s">
        <v>35</v>
      </c>
      <c r="I800" s="13" t="str">
        <f aca="false">IF(C800=J800,"NEW KONTRAK","RE-KONTRAK")</f>
        <v>RE-KONTRAK</v>
      </c>
      <c r="J800" s="16" t="n">
        <f aca="false" t="array" ref="J800:J800">IFERROR(INDEX(AC800:AE800,IF(COUNTA(AC800:AE800)=0,"",MAX((AC800:AE800&lt;&gt;"")*(COLUMN(AC800:AE800)-(COLUMN(AC800)))))-1),"")</f>
        <v>45672</v>
      </c>
      <c r="K800" s="16" t="n">
        <f aca="false" t="array" ref="K800:K800">IFERROR(INDEX(AC800:AE800,IF(COUNTA(AC800:AE800)=0,"",MAX((AC800:AE800&lt;&gt;"")*(COLUMN(AC800:AE800)-(COLUMN(AC800)-1))))-1),"")</f>
        <v>46036</v>
      </c>
      <c r="L800" s="17" t="str">
        <f aca="false" t="array" ref="L800:L800">IFERROR(INDEX(AC800:AE800,IF(COUNTA(AC800:AE800)=0,"",MAX((AC800:AE800&lt;&gt;"")*(COLUMN(AC800:AE800)-(COLUMN(AC800)-2))))-1),"")</f>
        <v>ARCHIVED</v>
      </c>
      <c r="M800" s="13" t="n">
        <f aca="true">K800-TODAY()</f>
        <v>-288</v>
      </c>
      <c r="N800" s="18" t="s">
        <v>105</v>
      </c>
      <c r="O800" s="13" t="s">
        <v>3535</v>
      </c>
      <c r="P800" s="19" t="n">
        <v>132300</v>
      </c>
      <c r="Q800" s="20" t="s">
        <v>3557</v>
      </c>
      <c r="R800" s="13" t="s">
        <v>260</v>
      </c>
      <c r="S800" s="25" t="n">
        <v>34260</v>
      </c>
      <c r="T800" s="13" t="s">
        <v>40</v>
      </c>
      <c r="U800" s="13" t="s">
        <v>3558</v>
      </c>
      <c r="V800" s="13" t="s">
        <v>42</v>
      </c>
      <c r="W800" s="13" t="s">
        <v>54</v>
      </c>
      <c r="X800" s="21" t="n">
        <v>85654181171</v>
      </c>
      <c r="Y800" s="22" t="str">
        <f aca="false">O800</f>
        <v>Maintenance - Teknisi</v>
      </c>
      <c r="Z800" s="13" t="str">
        <f aca="false">IFERROR(__xludf.dummyfunction("if(BJ800="""","""",GOOGLETRANSLATE(BJ800,""auto"",""en""))"),"Maintenance - Technician")</f>
        <v>Maintenance - Technician</v>
      </c>
      <c r="AA800" s="23" t="str">
        <f aca="false">IF(C800="","", CHOOSE(MONTH(C800),"January","February","March","April","May","June","July","August","September","October","November","December")&amp;" "&amp;DAY(C800)&amp;MID("thstndrdth",MIN(9,2*RIGHT(DAY(C800))*(MOD(DAY(C800)-11,100)&gt;2)+1),2)&amp;","&amp;TEXT(C800," yyyy"))</f>
        <v>August 18th,2022</v>
      </c>
      <c r="AB800" s="15" t="str">
        <f aca="true">IF(S800="","",DATEDIF(S800,TODAY(),"Y")&amp;" Tahun, "&amp;DATEDIF(S800,TODAY(),"YM")&amp;" Bulan, "&amp;DATEDIF(S800,TODAY(),"MD")&amp;" Hari")</f>
        <v>33 Tahun, 0 Bulan, 11 Hari</v>
      </c>
      <c r="AC800" s="18" t="n">
        <v>45672</v>
      </c>
      <c r="AD800" s="18" t="n">
        <v>46036</v>
      </c>
      <c r="AE800" s="18" t="s">
        <v>44</v>
      </c>
    </row>
    <row r="801" customFormat="false" ht="15.75" hidden="false" customHeight="true" outlineLevel="0" collapsed="false">
      <c r="A801" s="12" t="n">
        <v>7861</v>
      </c>
      <c r="B801" s="13" t="s">
        <v>3559</v>
      </c>
      <c r="C801" s="14" t="n">
        <v>44774</v>
      </c>
      <c r="D801" s="13" t="s">
        <v>1291</v>
      </c>
      <c r="E801" s="15" t="s">
        <v>47</v>
      </c>
      <c r="F801" s="15" t="str">
        <f aca="false">IFERROR(__xludf.dummyfunction("XLOOKUP(AJ801,IMPORTRANGE(""1XaInW9DU9nz21V0tYIfzFQ0He9kVQ_JF2mCXgZ3hqFA"",""REKAP ALL 2026 - Andika!G:G""),IMPORTRANGE(""1XaInW9DU9nz21V0tYIfzFQ0He9kVQ_JF2mCXgZ3hqFA"",""REKAP ALL 2026 - Andika!F:F""),"""",0)"),"22099829669")</f>
        <v>22099829669</v>
      </c>
      <c r="G801" s="13" t="s">
        <v>3560</v>
      </c>
      <c r="H801" s="13" t="s">
        <v>35</v>
      </c>
      <c r="I801" s="13" t="str">
        <f aca="false">IF(C801=J801,"NEW KONTRAK","RE-KONTRAK")</f>
        <v>RE-KONTRAK</v>
      </c>
      <c r="J801" s="16" t="n">
        <f aca="false" t="array" ref="J801:J801">IFERROR(INDEX(AC801:AE801,IF(COUNTA(AC801:AE801)=0,"",MAX((AC801:AE801&lt;&gt;"")*(COLUMN(AC801:AE801)-(COLUMN(AC801)))))-1),"")</f>
        <v>45870</v>
      </c>
      <c r="K801" s="16" t="n">
        <f aca="false" t="array" ref="K801:K801">IFERROR(INDEX(AC801:AE801,IF(COUNTA(AC801:AE801)=0,"",MAX((AC801:AE801&lt;&gt;"")*(COLUMN(AC801:AE801)-(COLUMN(AC801)-1))))-1),"")</f>
        <v>45991</v>
      </c>
      <c r="L801" s="17" t="str">
        <f aca="false" t="array" ref="L801:L801">IFERROR(INDEX(AC801:AE801,IF(COUNTA(AC801:AE801)=0,"",MAX((AC801:AE801&lt;&gt;"")*(COLUMN(AC801:AE801)-(COLUMN(AC801)-2))))-1),"")</f>
        <v>ARCHIVED</v>
      </c>
      <c r="M801" s="13" t="n">
        <f aca="true">K801-TODAY()</f>
        <v>-333</v>
      </c>
      <c r="N801" s="13" t="s">
        <v>255</v>
      </c>
      <c r="O801" s="13" t="s">
        <v>1302</v>
      </c>
      <c r="P801" s="19" t="n">
        <v>2564627</v>
      </c>
      <c r="Q801" s="20" t="s">
        <v>3561</v>
      </c>
      <c r="R801" s="13" t="s">
        <v>260</v>
      </c>
      <c r="S801" s="14" t="n">
        <v>31451</v>
      </c>
      <c r="T801" s="13" t="s">
        <v>40</v>
      </c>
      <c r="U801" s="13" t="s">
        <v>3562</v>
      </c>
      <c r="V801" s="13" t="s">
        <v>42</v>
      </c>
      <c r="W801" s="13" t="s">
        <v>54</v>
      </c>
      <c r="X801" s="21" t="n">
        <v>85954437454</v>
      </c>
      <c r="Y801" s="22" t="str">
        <f aca="false">O801</f>
        <v>Security</v>
      </c>
      <c r="Z801" s="13" t="str">
        <f aca="false">IFERROR(__xludf.dummyfunction("if(BJ801="""","""",GOOGLETRANSLATE(BJ801,""auto"",""en""))"),"Security")</f>
        <v>Security</v>
      </c>
      <c r="AA801" s="23" t="str">
        <f aca="false">IF(C801="","", CHOOSE(MONTH(C801),"January","February","March","April","May","June","July","August","September","October","November","December")&amp;" "&amp;DAY(C801)&amp;MID("thstndrdth",MIN(9,2*RIGHT(DAY(C801))*(MOD(DAY(C801)-11,100)&gt;2)+1),2)&amp;","&amp;TEXT(C801," yyyy"))</f>
        <v>August 1st,2022</v>
      </c>
      <c r="AB801" s="15" t="str">
        <f aca="true">IF(S801="","",DATEDIF(S801,TODAY(),"Y")&amp;" Tahun, "&amp;DATEDIF(S801,TODAY(),"YM")&amp;" Bulan, "&amp;DATEDIF(S801,TODAY(),"MD")&amp;" Hari")</f>
        <v>40 Tahun, 8 Bulan, 21 Hari</v>
      </c>
      <c r="AC801" s="18" t="n">
        <v>45870</v>
      </c>
      <c r="AD801" s="18" t="n">
        <v>45991</v>
      </c>
      <c r="AE801" s="18" t="s">
        <v>44</v>
      </c>
    </row>
    <row r="802" customFormat="false" ht="15.75" hidden="false" customHeight="true" outlineLevel="0" collapsed="false">
      <c r="A802" s="12" t="n">
        <v>7862</v>
      </c>
      <c r="B802" s="13" t="s">
        <v>3563</v>
      </c>
      <c r="C802" s="14" t="n">
        <v>44774</v>
      </c>
      <c r="D802" s="13" t="s">
        <v>1291</v>
      </c>
      <c r="E802" s="15" t="s">
        <v>47</v>
      </c>
      <c r="F802" s="15" t="str">
        <f aca="false">IFERROR(__xludf.dummyfunction("XLOOKUP(AJ802,IMPORTRANGE(""1XaInW9DU9nz21V0tYIfzFQ0He9kVQ_JF2mCXgZ3hqFA"",""REKAP ALL 2026 - Andika!G:G""),IMPORTRANGE(""1XaInW9DU9nz21V0tYIfzFQ0He9kVQ_JF2mCXgZ3hqFA"",""REKAP ALL 2026 - Andika!F:F""),"""",0)"),"22099829321")</f>
        <v>22099829321</v>
      </c>
      <c r="G802" s="13" t="s">
        <v>3564</v>
      </c>
      <c r="H802" s="13" t="s">
        <v>35</v>
      </c>
      <c r="I802" s="13" t="str">
        <f aca="false">IF(C802=J802,"NEW KONTRAK","RE-KONTRAK")</f>
        <v>RE-KONTRAK</v>
      </c>
      <c r="J802" s="16" t="n">
        <f aca="false" t="array" ref="J802:J802">IFERROR(INDEX(AC802:AE802,IF(COUNTA(AC802:AE802)=0,"",MAX((AC802:AE802&lt;&gt;"")*(COLUMN(AC802:AE802)-(COLUMN(AC802)))))-1),"")</f>
        <v>45870</v>
      </c>
      <c r="K802" s="16" t="n">
        <f aca="false" t="array" ref="K802:K802">IFERROR(INDEX(AC802:AE802,IF(COUNTA(AC802:AE802)=0,"",MAX((AC802:AE802&lt;&gt;"")*(COLUMN(AC802:AE802)-(COLUMN(AC802)-1))))-1),"")</f>
        <v>45991</v>
      </c>
      <c r="L802" s="17" t="str">
        <f aca="false" t="array" ref="L802:L802">IFERROR(INDEX(AC802:AE802,IF(COUNTA(AC802:AE802)=0,"",MAX((AC802:AE802&lt;&gt;"")*(COLUMN(AC802:AE802)-(COLUMN(AC802)-2))))-1),"")</f>
        <v>ARCHIVED</v>
      </c>
      <c r="M802" s="13" t="n">
        <f aca="true">K802-TODAY()</f>
        <v>-333</v>
      </c>
      <c r="N802" s="18" t="s">
        <v>1293</v>
      </c>
      <c r="O802" s="13" t="s">
        <v>3565</v>
      </c>
      <c r="P802" s="19" t="n">
        <v>2651603</v>
      </c>
      <c r="Q802" s="20" t="s">
        <v>3566</v>
      </c>
      <c r="R802" s="13" t="s">
        <v>255</v>
      </c>
      <c r="S802" s="14" t="n">
        <v>36162</v>
      </c>
      <c r="T802" s="13" t="s">
        <v>108</v>
      </c>
      <c r="U802" s="13" t="s">
        <v>3567</v>
      </c>
      <c r="V802" s="13" t="s">
        <v>42</v>
      </c>
      <c r="W802" s="13" t="s">
        <v>43</v>
      </c>
      <c r="X802" s="21" t="n">
        <v>85853783867</v>
      </c>
      <c r="Y802" s="22" t="str">
        <f aca="false">O802</f>
        <v>Pramusaji / OG</v>
      </c>
      <c r="Z802" s="13" t="str">
        <f aca="false">IFERROR(__xludf.dummyfunction("if(BJ802="""","""",GOOGLETRANSLATE(BJ802,""auto"",""en""))"),"Pramusaji / OG")</f>
        <v>Pramusaji / OG</v>
      </c>
      <c r="AA802" s="23" t="str">
        <f aca="false">IF(C802="","", CHOOSE(MONTH(C802),"January","February","March","April","May","June","July","August","September","October","November","December")&amp;" "&amp;DAY(C802)&amp;MID("thstndrdth",MIN(9,2*RIGHT(DAY(C802))*(MOD(DAY(C802)-11,100)&gt;2)+1),2)&amp;","&amp;TEXT(C802," yyyy"))</f>
        <v>August 1st,2022</v>
      </c>
      <c r="AB802" s="15" t="str">
        <f aca="true">IF(S802="","",DATEDIF(S802,TODAY(),"Y")&amp;" Tahun, "&amp;DATEDIF(S802,TODAY(),"YM")&amp;" Bulan, "&amp;DATEDIF(S802,TODAY(),"MD")&amp;" Hari")</f>
        <v>27 Tahun, 9 Bulan, 27 Hari</v>
      </c>
      <c r="AC802" s="18" t="n">
        <v>45870</v>
      </c>
      <c r="AD802" s="18" t="n">
        <v>45991</v>
      </c>
      <c r="AE802" s="18" t="s">
        <v>44</v>
      </c>
    </row>
    <row r="803" customFormat="false" ht="15.75" hidden="false" customHeight="true" outlineLevel="0" collapsed="false">
      <c r="A803" s="12" t="n">
        <v>7863</v>
      </c>
      <c r="B803" s="13" t="s">
        <v>3568</v>
      </c>
      <c r="C803" s="14" t="n">
        <v>44774</v>
      </c>
      <c r="D803" s="13" t="s">
        <v>1291</v>
      </c>
      <c r="E803" s="15" t="s">
        <v>33</v>
      </c>
      <c r="F803" s="15" t="str">
        <f aca="false">IFERROR(__xludf.dummyfunction("XLOOKUP(AJ803,IMPORTRANGE(""1XaInW9DU9nz21V0tYIfzFQ0He9kVQ_JF2mCXgZ3hqFA"",""REKAP ALL 2026 - Andika!G:G""),IMPORTRANGE(""1XaInW9DU9nz21V0tYIfzFQ0He9kVQ_JF2mCXgZ3hqFA"",""REKAP ALL 2026 - Andika!F:F""),"""",0)"),"22099829313")</f>
        <v>22099829313</v>
      </c>
      <c r="G803" s="13" t="s">
        <v>3569</v>
      </c>
      <c r="H803" s="13" t="s">
        <v>35</v>
      </c>
      <c r="I803" s="13" t="str">
        <f aca="false">IF(C803=J803,"NEW KONTRAK","RE-KONTRAK")</f>
        <v>RE-KONTRAK</v>
      </c>
      <c r="J803" s="16" t="n">
        <f aca="false" t="array" ref="J803:J803">IFERROR(INDEX(AC803:AE803,IF(COUNTA(AC803:AE803)=0,"",MAX((AC803:AE803&lt;&gt;"")*(COLUMN(AC803:AE803)-(COLUMN(AC803)))))-1),"")</f>
        <v>45870</v>
      </c>
      <c r="K803" s="16" t="n">
        <f aca="false" t="array" ref="K803:K803">IFERROR(INDEX(AC803:AE803,IF(COUNTA(AC803:AE803)=0,"",MAX((AC803:AE803&lt;&gt;"")*(COLUMN(AC803:AE803)-(COLUMN(AC803)-1))))-1),"")</f>
        <v>45991</v>
      </c>
      <c r="L803" s="17" t="str">
        <f aca="false" t="array" ref="L803:L803">IFERROR(INDEX(AC803:AE803,IF(COUNTA(AC803:AE803)=0,"",MAX((AC803:AE803&lt;&gt;"")*(COLUMN(AC803:AE803)-(COLUMN(AC803)-2))))-1),"")</f>
        <v>ARCHIVED</v>
      </c>
      <c r="M803" s="13" t="n">
        <f aca="true">K803-TODAY()</f>
        <v>-333</v>
      </c>
      <c r="N803" s="18" t="s">
        <v>1293</v>
      </c>
      <c r="O803" s="13" t="s">
        <v>1302</v>
      </c>
      <c r="P803" s="27" t="n">
        <v>2651603</v>
      </c>
      <c r="Q803" s="20" t="s">
        <v>3570</v>
      </c>
      <c r="R803" s="13" t="s">
        <v>78</v>
      </c>
      <c r="S803" s="14" t="n">
        <v>34749</v>
      </c>
      <c r="T803" s="13" t="s">
        <v>40</v>
      </c>
      <c r="U803" s="13" t="s">
        <v>3571</v>
      </c>
      <c r="V803" s="13" t="s">
        <v>42</v>
      </c>
      <c r="W803" s="13" t="s">
        <v>43</v>
      </c>
      <c r="X803" s="21" t="n">
        <v>85731267288</v>
      </c>
      <c r="Y803" s="22" t="str">
        <f aca="false">O803</f>
        <v>Security</v>
      </c>
      <c r="Z803" s="13" t="str">
        <f aca="false">IFERROR(__xludf.dummyfunction("if(BJ803="""","""",GOOGLETRANSLATE(BJ803,""auto"",""en""))"),"Security")</f>
        <v>Security</v>
      </c>
      <c r="AA803" s="23" t="str">
        <f aca="false">IF(C803="","", CHOOSE(MONTH(C803),"January","February","March","April","May","June","July","August","September","October","November","December")&amp;" "&amp;DAY(C803)&amp;MID("thstndrdth",MIN(9,2*RIGHT(DAY(C803))*(MOD(DAY(C803)-11,100)&gt;2)+1),2)&amp;","&amp;TEXT(C803," yyyy"))</f>
        <v>August 1st,2022</v>
      </c>
      <c r="AB803" s="15" t="str">
        <f aca="true">IF(S803="","",DATEDIF(S803,TODAY(),"Y")&amp;" Tahun, "&amp;DATEDIF(S803,TODAY(),"YM")&amp;" Bulan, "&amp;DATEDIF(S803,TODAY(),"MD")&amp;" Hari")</f>
        <v>31 Tahun, 8 Bulan, 10 Hari</v>
      </c>
      <c r="AC803" s="18" t="n">
        <v>45870</v>
      </c>
      <c r="AD803" s="18" t="n">
        <v>45991</v>
      </c>
      <c r="AE803" s="18" t="s">
        <v>44</v>
      </c>
    </row>
    <row r="804" customFormat="false" ht="15.75" hidden="false" customHeight="true" outlineLevel="0" collapsed="false">
      <c r="A804" s="12" t="n">
        <v>7869</v>
      </c>
      <c r="B804" s="13" t="s">
        <v>3572</v>
      </c>
      <c r="C804" s="14" t="n">
        <v>44805</v>
      </c>
      <c r="D804" s="13" t="s">
        <v>3573</v>
      </c>
      <c r="E804" s="15" t="s">
        <v>33</v>
      </c>
      <c r="F804" s="24" t="s">
        <v>3574</v>
      </c>
      <c r="G804" s="13" t="s">
        <v>3575</v>
      </c>
      <c r="H804" s="13" t="s">
        <v>35</v>
      </c>
      <c r="I804" s="13" t="str">
        <f aca="false">IF(C804=J804,"NEW KONTRAK","RE-KONTRAK")</f>
        <v>RE-KONTRAK</v>
      </c>
      <c r="J804" s="16" t="n">
        <f aca="false" t="array" ref="J804:J804">IFERROR(INDEX(AC804:AE804,IF(COUNTA(AC804:AE804)=0,"",MAX((AC804:AE804&lt;&gt;"")*(COLUMN(AC804:AE804)-(COLUMN(AC804)))))-1),"")</f>
        <v>45658</v>
      </c>
      <c r="K804" s="16" t="n">
        <f aca="false" t="array" ref="K804:K804">IFERROR(INDEX(AC804:AE804,IF(COUNTA(AC804:AE804)=0,"",MAX((AC804:AE804&lt;&gt;"")*(COLUMN(AC804:AE804)-(COLUMN(AC804)-1))))-1),"")</f>
        <v>46022</v>
      </c>
      <c r="L804" s="17" t="str">
        <f aca="false" t="array" ref="L804:L804">IFERROR(INDEX(AC804:AE804,IF(COUNTA(AC804:AE804)=0,"",MAX((AC804:AE804&lt;&gt;"")*(COLUMN(AC804:AE804)-(COLUMN(AC804)-2))))-1),"")</f>
        <v>ARCHIVED</v>
      </c>
      <c r="M804" s="13" t="n">
        <f aca="true">K804-TODAY()</f>
        <v>-302</v>
      </c>
      <c r="N804" s="18" t="s">
        <v>3576</v>
      </c>
      <c r="O804" s="13" t="s">
        <v>3577</v>
      </c>
      <c r="P804" s="19" t="n">
        <v>2492811</v>
      </c>
      <c r="Q804" s="20" t="s">
        <v>3578</v>
      </c>
      <c r="R804" s="13" t="s">
        <v>260</v>
      </c>
      <c r="S804" s="14" t="n">
        <v>34931</v>
      </c>
      <c r="T804" s="13" t="s">
        <v>40</v>
      </c>
      <c r="U804" s="13" t="s">
        <v>3579</v>
      </c>
      <c r="V804" s="13" t="s">
        <v>42</v>
      </c>
      <c r="W804" s="13" t="s">
        <v>54</v>
      </c>
      <c r="X804" s="21" t="n">
        <v>85891709621</v>
      </c>
      <c r="Y804" s="22" t="str">
        <f aca="false">O804</f>
        <v>Kerani Gudang</v>
      </c>
      <c r="Z804" s="13" t="str">
        <f aca="false">IFERROR(__xludf.dummyfunction("if(BJ804="""","""",GOOGLETRANSLATE(BJ804,""auto"",""en""))"),"Warehouse Clerk")</f>
        <v>Warehouse Clerk</v>
      </c>
      <c r="AA804" s="23" t="str">
        <f aca="false">IF(C804="","", CHOOSE(MONTH(C804),"January","February","March","April","May","June","July","August","September","October","November","December")&amp;" "&amp;DAY(C804)&amp;MID("thstndrdth",MIN(9,2*RIGHT(DAY(C804))*(MOD(DAY(C804)-11,100)&gt;2)+1),2)&amp;","&amp;TEXT(C804," yyyy"))</f>
        <v>September 1st,2022</v>
      </c>
      <c r="AB804" s="15" t="str">
        <f aca="true">IF(S804="","",DATEDIF(S804,TODAY(),"Y")&amp;" Tahun, "&amp;DATEDIF(S804,TODAY(),"YM")&amp;" Bulan, "&amp;DATEDIF(S804,TODAY(),"MD")&amp;" Hari")</f>
        <v>31 Tahun, 2 Bulan, 9 Hari</v>
      </c>
      <c r="AC804" s="18" t="n">
        <v>45658</v>
      </c>
      <c r="AD804" s="18" t="n">
        <v>46022</v>
      </c>
      <c r="AE804" s="18" t="s">
        <v>44</v>
      </c>
    </row>
    <row r="805" customFormat="false" ht="15.75" hidden="false" customHeight="true" outlineLevel="0" collapsed="false">
      <c r="A805" s="12" t="n">
        <v>7870</v>
      </c>
      <c r="B805" s="13" t="s">
        <v>3580</v>
      </c>
      <c r="C805" s="14" t="n">
        <v>44728</v>
      </c>
      <c r="D805" s="13" t="s">
        <v>3022</v>
      </c>
      <c r="E805" s="15" t="s">
        <v>47</v>
      </c>
      <c r="F805" s="15" t="str">
        <f aca="false">IFERROR(__xludf.dummyfunction("XLOOKUP(AJ805,IMPORTRANGE(""1XaInW9DU9nz21V0tYIfzFQ0He9kVQ_JF2mCXgZ3hqFA"",""REKAP ALL 2026 - Andika!G:G""),IMPORTRANGE(""1XaInW9DU9nz21V0tYIfzFQ0He9kVQ_JF2mCXgZ3hqFA"",""REKAP ALL 2026 - Andika!F:F""),"""",0)"),"23172180301")</f>
        <v>23172180301</v>
      </c>
      <c r="G805" s="13" t="s">
        <v>3581</v>
      </c>
      <c r="H805" s="13" t="s">
        <v>3024</v>
      </c>
      <c r="I805" s="13" t="str">
        <f aca="false">IF(C805=J805,"NEW KONTRAK","RE-KONTRAK")</f>
        <v>RE-KONTRAK</v>
      </c>
      <c r="J805" s="16" t="n">
        <f aca="false" t="array" ref="J805:J805">IFERROR(INDEX(AC805:AE805,IF(COUNTA(AC805:AE805)=0,"",MAX((AC805:AE805&lt;&gt;"")*(COLUMN(AC805:AE805)-(COLUMN(AC805)))))-1),"")</f>
        <v>45570</v>
      </c>
      <c r="K805" s="16" t="n">
        <f aca="false" t="array" ref="K805:K805">IFERROR(INDEX(AC805:AE805,IF(COUNTA(AC805:AE805)=0,"",MAX((AC805:AE805&lt;&gt;"")*(COLUMN(AC805:AE805)-(COLUMN(AC805)-1))))-1),"")</f>
        <v>45934</v>
      </c>
      <c r="L805" s="17" t="str">
        <f aca="false" t="array" ref="L805:L805">IFERROR(INDEX(AC805:AE805,IF(COUNTA(AC805:AE805)=0,"",MAX((AC805:AE805&lt;&gt;"")*(COLUMN(AC805:AE805)-(COLUMN(AC805)-2))))-1),"")</f>
        <v>ARCHIVED</v>
      </c>
      <c r="M805" s="13" t="n">
        <f aca="true">K805-TODAY()</f>
        <v>-390</v>
      </c>
      <c r="N805" s="18" t="s">
        <v>36</v>
      </c>
      <c r="O805" s="13" t="s">
        <v>3025</v>
      </c>
      <c r="P805" s="19" t="n">
        <v>150000</v>
      </c>
      <c r="Q805" s="20" t="s">
        <v>3582</v>
      </c>
      <c r="R805" s="13" t="s">
        <v>65</v>
      </c>
      <c r="S805" s="14" t="n">
        <v>37490</v>
      </c>
      <c r="T805" s="13" t="s">
        <v>40</v>
      </c>
      <c r="U805" s="13" t="s">
        <v>3583</v>
      </c>
      <c r="V805" s="13" t="s">
        <v>42</v>
      </c>
      <c r="W805" s="13" t="s">
        <v>43</v>
      </c>
      <c r="X805" s="21" t="n">
        <v>89675616668</v>
      </c>
      <c r="Y805" s="22" t="str">
        <f aca="false">O805</f>
        <v>Gudang ( Warehouse )</v>
      </c>
      <c r="Z805" s="13" t="str">
        <f aca="false">IFERROR(__xludf.dummyfunction("if(BJ805="""","""",GOOGLETRANSLATE(BJ805,""auto"",""en""))"),"Warehouse")</f>
        <v>Warehouse</v>
      </c>
      <c r="AA805" s="23" t="str">
        <f aca="false">IF(C805="","", CHOOSE(MONTH(C805),"January","February","March","April","May","June","July","August","September","October","November","December")&amp;" "&amp;DAY(C805)&amp;MID("thstndrdth",MIN(9,2*RIGHT(DAY(C805))*(MOD(DAY(C805)-11,100)&gt;2)+1),2)&amp;","&amp;TEXT(C805," yyyy"))</f>
        <v>June 16th,2022</v>
      </c>
      <c r="AB805" s="15" t="str">
        <f aca="true">IF(S805="","",DATEDIF(S805,TODAY(),"Y")&amp;" Tahun, "&amp;DATEDIF(S805,TODAY(),"YM")&amp;" Bulan, "&amp;DATEDIF(S805,TODAY(),"MD")&amp;" Hari")</f>
        <v>24 Tahun, 2 Bulan, 7 Hari</v>
      </c>
      <c r="AC805" s="18" t="n">
        <v>45570</v>
      </c>
      <c r="AD805" s="18" t="n">
        <v>45934</v>
      </c>
      <c r="AE805" s="18" t="s">
        <v>44</v>
      </c>
    </row>
    <row r="806" customFormat="false" ht="15.75" hidden="false" customHeight="true" outlineLevel="0" collapsed="false">
      <c r="A806" s="12" t="n">
        <v>7877</v>
      </c>
      <c r="B806" s="13" t="s">
        <v>3584</v>
      </c>
      <c r="C806" s="14" t="n">
        <v>44749</v>
      </c>
      <c r="D806" s="13" t="s">
        <v>774</v>
      </c>
      <c r="E806" s="15" t="s">
        <v>47</v>
      </c>
      <c r="F806" s="15" t="str">
        <f aca="false">IFERROR(__xludf.dummyfunction("XLOOKUP(AJ806,IMPORTRANGE(""1XaInW9DU9nz21V0tYIfzFQ0He9kVQ_JF2mCXgZ3hqFA"",""REKAP ALL 2026 - Andika!G:G""),IMPORTRANGE(""1XaInW9DU9nz21V0tYIfzFQ0He9kVQ_JF2mCXgZ3hqFA"",""REKAP ALL 2026 - Andika!F:F""),"""",0)"),"23172180897")</f>
        <v>23172180897</v>
      </c>
      <c r="G806" s="13" t="s">
        <v>3585</v>
      </c>
      <c r="H806" s="13" t="s">
        <v>2967</v>
      </c>
      <c r="I806" s="13" t="str">
        <f aca="false">IF(C806=J806,"NEW KONTRAK","RE-KONTRAK")</f>
        <v>RE-KONTRAK</v>
      </c>
      <c r="J806" s="16" t="n">
        <f aca="false" t="array" ref="J806:J806">IFERROR(INDEX(AC806:AE806,IF(COUNTA(AC806:AE806)=0,"",MAX((AC806:AE806&lt;&gt;"")*(COLUMN(AC806:AE806)-(COLUMN(AC806)))))-1),"")</f>
        <v>45570</v>
      </c>
      <c r="K806" s="16" t="n">
        <f aca="false" t="array" ref="K806:K806">IFERROR(INDEX(AC806:AE806,IF(COUNTA(AC806:AE806)=0,"",MAX((AC806:AE806&lt;&gt;"")*(COLUMN(AC806:AE806)-(COLUMN(AC806)-1))))-1),"")</f>
        <v>45934</v>
      </c>
      <c r="L806" s="17" t="str">
        <f aca="false" t="array" ref="L806:L806">IFERROR(INDEX(AC806:AE806,IF(COUNTA(AC806:AE806)=0,"",MAX((AC806:AE806&lt;&gt;"")*(COLUMN(AC806:AE806)-(COLUMN(AC806)-2))))-1),"")</f>
        <v>ARCHIVED</v>
      </c>
      <c r="M806" s="13" t="n">
        <f aca="true">K806-TODAY()</f>
        <v>-390</v>
      </c>
      <c r="N806" s="18" t="s">
        <v>36</v>
      </c>
      <c r="O806" s="13" t="s">
        <v>785</v>
      </c>
      <c r="P806" s="19" t="n">
        <v>3750000</v>
      </c>
      <c r="Q806" s="20" t="s">
        <v>3586</v>
      </c>
      <c r="R806" s="13" t="s">
        <v>65</v>
      </c>
      <c r="S806" s="14" t="n">
        <v>38142</v>
      </c>
      <c r="T806" s="13" t="s">
        <v>40</v>
      </c>
      <c r="U806" s="13" t="s">
        <v>3587</v>
      </c>
      <c r="V806" s="13" t="s">
        <v>42</v>
      </c>
      <c r="W806" s="13" t="s">
        <v>43</v>
      </c>
      <c r="X806" s="21" t="n">
        <v>83831928285</v>
      </c>
      <c r="Y806" s="22" t="str">
        <f aca="false">O806</f>
        <v>Gudang</v>
      </c>
      <c r="Z806" s="13" t="str">
        <f aca="false">IFERROR(__xludf.dummyfunction("if(BJ806="""","""",GOOGLETRANSLATE(BJ806,""auto"",""en""))"),"Warehouse")</f>
        <v>Warehouse</v>
      </c>
      <c r="AA806" s="23" t="str">
        <f aca="false">IF(C806="","", CHOOSE(MONTH(C806),"January","February","March","April","May","June","July","August","September","October","November","December")&amp;" "&amp;DAY(C806)&amp;MID("thstndrdth",MIN(9,2*RIGHT(DAY(C806))*(MOD(DAY(C806)-11,100)&gt;2)+1),2)&amp;","&amp;TEXT(C806," yyyy"))</f>
        <v>July 7th,2022</v>
      </c>
      <c r="AB806" s="15" t="str">
        <f aca="true">IF(S806="","",DATEDIF(S806,TODAY(),"Y")&amp;" Tahun, "&amp;DATEDIF(S806,TODAY(),"YM")&amp;" Bulan, "&amp;DATEDIF(S806,TODAY(),"MD")&amp;" Hari")</f>
        <v>22 Tahun, 4 Bulan, 25 Hari</v>
      </c>
      <c r="AC806" s="18" t="n">
        <v>45570</v>
      </c>
      <c r="AD806" s="18" t="n">
        <v>45934</v>
      </c>
      <c r="AE806" s="18" t="s">
        <v>44</v>
      </c>
    </row>
    <row r="807" customFormat="false" ht="15.75" hidden="false" customHeight="true" outlineLevel="0" collapsed="false">
      <c r="A807" s="12" t="n">
        <v>7878</v>
      </c>
      <c r="B807" s="13" t="s">
        <v>3588</v>
      </c>
      <c r="C807" s="14" t="n">
        <v>44645</v>
      </c>
      <c r="D807" s="13" t="s">
        <v>774</v>
      </c>
      <c r="E807" s="15" t="s">
        <v>102</v>
      </c>
      <c r="F807" s="24" t="s">
        <v>3589</v>
      </c>
      <c r="G807" s="13" t="s">
        <v>3590</v>
      </c>
      <c r="H807" s="13" t="s">
        <v>2967</v>
      </c>
      <c r="I807" s="13" t="str">
        <f aca="false">IF(C807=J807,"NEW KONTRAK","RE-KONTRAK")</f>
        <v>RE-KONTRAK</v>
      </c>
      <c r="J807" s="16" t="n">
        <f aca="false" t="array" ref="J807:J807">IFERROR(INDEX(AC807:AE807,IF(COUNTA(AC807:AE807)=0,"",MAX((AC807:AE807&lt;&gt;"")*(COLUMN(AC807:AE807)-(COLUMN(AC807)))))-1),"")</f>
        <v>45570</v>
      </c>
      <c r="K807" s="16" t="n">
        <f aca="false" t="array" ref="K807:K807">IFERROR(INDEX(AC807:AE807,IF(COUNTA(AC807:AE807)=0,"",MAX((AC807:AE807&lt;&gt;"")*(COLUMN(AC807:AE807)-(COLUMN(AC807)-1))))-1),"")</f>
        <v>45934</v>
      </c>
      <c r="L807" s="17" t="str">
        <f aca="false" t="array" ref="L807:L807">IFERROR(INDEX(AC807:AE807,IF(COUNTA(AC807:AE807)=0,"",MAX((AC807:AE807&lt;&gt;"")*(COLUMN(AC807:AE807)-(COLUMN(AC807)-2))))-1),"")</f>
        <v>ARCHIVED</v>
      </c>
      <c r="M807" s="13" t="n">
        <f aca="true">K807-TODAY()</f>
        <v>-390</v>
      </c>
      <c r="N807" s="18" t="s">
        <v>36</v>
      </c>
      <c r="O807" s="13" t="s">
        <v>3030</v>
      </c>
      <c r="P807" s="19" t="n">
        <v>3450000</v>
      </c>
      <c r="Q807" s="20" t="s">
        <v>3591</v>
      </c>
      <c r="R807" s="13" t="s">
        <v>52</v>
      </c>
      <c r="S807" s="14" t="n">
        <v>37672</v>
      </c>
      <c r="T807" s="13" t="s">
        <v>40</v>
      </c>
      <c r="U807" s="13" t="s">
        <v>3592</v>
      </c>
      <c r="V807" s="13" t="s">
        <v>42</v>
      </c>
      <c r="W807" s="13" t="s">
        <v>43</v>
      </c>
      <c r="X807" s="21" t="n">
        <v>85815240421</v>
      </c>
      <c r="Y807" s="22" t="str">
        <f aca="false">O807</f>
        <v>Produksi ( Shearing )</v>
      </c>
      <c r="Z807" s="13" t="str">
        <f aca="false">IFERROR(__xludf.dummyfunction("if(BJ807="""","""",GOOGLETRANSLATE(BJ807,""auto"",""en""))"),"Production (Shearing)")</f>
        <v>Production (Shearing)</v>
      </c>
      <c r="AA807" s="23" t="str">
        <f aca="false">IF(C807="","", CHOOSE(MONTH(C807),"January","February","March","April","May","June","July","August","September","October","November","December")&amp;" "&amp;DAY(C807)&amp;MID("thstndrdth",MIN(9,2*RIGHT(DAY(C807))*(MOD(DAY(C807)-11,100)&gt;2)+1),2)&amp;","&amp;TEXT(C807," yyyy"))</f>
        <v>March 25th,2022</v>
      </c>
      <c r="AB807" s="15" t="str">
        <f aca="true">IF(S807="","",DATEDIF(S807,TODAY(),"Y")&amp;" Tahun, "&amp;DATEDIF(S807,TODAY(),"YM")&amp;" Bulan, "&amp;DATEDIF(S807,TODAY(),"MD")&amp;" Hari")</f>
        <v>23 Tahun, 8 Bulan, 9 Hari</v>
      </c>
      <c r="AC807" s="18" t="n">
        <v>45570</v>
      </c>
      <c r="AD807" s="18" t="n">
        <v>45934</v>
      </c>
      <c r="AE807" s="18" t="s">
        <v>44</v>
      </c>
    </row>
    <row r="808" customFormat="false" ht="15.75" hidden="false" customHeight="true" outlineLevel="0" collapsed="false">
      <c r="A808" s="12" t="n">
        <v>7880</v>
      </c>
      <c r="B808" s="13" t="s">
        <v>3593</v>
      </c>
      <c r="C808" s="14" t="n">
        <v>44774</v>
      </c>
      <c r="D808" s="13" t="s">
        <v>774</v>
      </c>
      <c r="E808" s="15" t="s">
        <v>47</v>
      </c>
      <c r="F808" s="15" t="str">
        <f aca="false">IFERROR(__xludf.dummyfunction("XLOOKUP(AJ808,IMPORTRANGE(""1XaInW9DU9nz21V0tYIfzFQ0He9kVQ_JF2mCXgZ3hqFA"",""REKAP ALL 2026 - Andika!G:G""),IMPORTRANGE(""1XaInW9DU9nz21V0tYIfzFQ0He9kVQ_JF2mCXgZ3hqFA"",""REKAP ALL 2026 - Andika!F:F""),"""",0)"),"23172180418")</f>
        <v>23172180418</v>
      </c>
      <c r="G808" s="13" t="s">
        <v>3594</v>
      </c>
      <c r="H808" s="13" t="s">
        <v>2967</v>
      </c>
      <c r="I808" s="13" t="str">
        <f aca="false">IF(C808=J808,"NEW KONTRAK","RE-KONTRAK")</f>
        <v>RE-KONTRAK</v>
      </c>
      <c r="J808" s="16" t="n">
        <f aca="false" t="array" ref="J808:J808">IFERROR(INDEX(AC808:AE808,IF(COUNTA(AC808:AE808)=0,"",MAX((AC808:AE808&lt;&gt;"")*(COLUMN(AC808:AE808)-(COLUMN(AC808)))))-1),"")</f>
        <v>45570</v>
      </c>
      <c r="K808" s="16" t="n">
        <f aca="false" t="array" ref="K808:K808">IFERROR(INDEX(AC808:AE808,IF(COUNTA(AC808:AE808)=0,"",MAX((AC808:AE808&lt;&gt;"")*(COLUMN(AC808:AE808)-(COLUMN(AC808)-1))))-1),"")</f>
        <v>45934</v>
      </c>
      <c r="L808" s="17" t="str">
        <f aca="false" t="array" ref="L808:L808">IFERROR(INDEX(AC808:AE808,IF(COUNTA(AC808:AE808)=0,"",MAX((AC808:AE808&lt;&gt;"")*(COLUMN(AC808:AE808)-(COLUMN(AC808)-2))))-1),"")</f>
        <v>ARCHIVED</v>
      </c>
      <c r="M808" s="13" t="n">
        <f aca="true">K808-TODAY()</f>
        <v>-390</v>
      </c>
      <c r="N808" s="18" t="s">
        <v>36</v>
      </c>
      <c r="O808" s="13" t="s">
        <v>812</v>
      </c>
      <c r="P808" s="19" t="n">
        <v>4250000</v>
      </c>
      <c r="Q808" s="20" t="s">
        <v>3595</v>
      </c>
      <c r="R808" s="13" t="s">
        <v>232</v>
      </c>
      <c r="S808" s="14" t="n">
        <v>32347</v>
      </c>
      <c r="T808" s="13" t="s">
        <v>40</v>
      </c>
      <c r="U808" s="13" t="s">
        <v>3596</v>
      </c>
      <c r="V808" s="13" t="s">
        <v>42</v>
      </c>
      <c r="W808" s="13" t="s">
        <v>897</v>
      </c>
      <c r="X808" s="21" t="n">
        <v>85732848140</v>
      </c>
      <c r="Y808" s="22" t="str">
        <f aca="false">O808</f>
        <v>Heating</v>
      </c>
      <c r="Z808" s="13" t="str">
        <f aca="false">IFERROR(__xludf.dummyfunction("if(BJ808="""","""",GOOGLETRANSLATE(BJ808,""auto"",""en""))"),"Heating")</f>
        <v>Heating</v>
      </c>
      <c r="AA808" s="23" t="str">
        <f aca="false">IF(C808="","", CHOOSE(MONTH(C808),"January","February","March","April","May","June","July","August","September","October","November","December")&amp;" "&amp;DAY(C808)&amp;MID("thstndrdth",MIN(9,2*RIGHT(DAY(C808))*(MOD(DAY(C808)-11,100)&gt;2)+1),2)&amp;","&amp;TEXT(C808," yyyy"))</f>
        <v>August 1st,2022</v>
      </c>
      <c r="AB808" s="15" t="str">
        <f aca="true">IF(S808="","",DATEDIF(S808,TODAY(),"Y")&amp;" Tahun, "&amp;DATEDIF(S808,TODAY(),"YM")&amp;" Bulan, "&amp;DATEDIF(S808,TODAY(),"MD")&amp;" Hari")</f>
        <v>38 Tahun, 3 Bulan, 6 Hari</v>
      </c>
      <c r="AC808" s="18" t="n">
        <v>45570</v>
      </c>
      <c r="AD808" s="18" t="n">
        <v>45934</v>
      </c>
      <c r="AE808" s="18" t="s">
        <v>44</v>
      </c>
    </row>
    <row r="809" customFormat="false" ht="15.75" hidden="false" customHeight="true" outlineLevel="0" collapsed="false">
      <c r="A809" s="12" t="n">
        <v>7882</v>
      </c>
      <c r="B809" s="13" t="s">
        <v>3597</v>
      </c>
      <c r="C809" s="14" t="n">
        <v>44697</v>
      </c>
      <c r="D809" s="13" t="s">
        <v>774</v>
      </c>
      <c r="E809" s="15" t="s">
        <v>47</v>
      </c>
      <c r="F809" s="15" t="str">
        <f aca="false">IFERROR(__xludf.dummyfunction("XLOOKUP(AJ809,IMPORTRANGE(""1XaInW9DU9nz21V0tYIfzFQ0He9kVQ_JF2mCXgZ3hqFA"",""REKAP ALL 2026 - Andika!G:G""),IMPORTRANGE(""1XaInW9DU9nz21V0tYIfzFQ0He9kVQ_JF2mCXgZ3hqFA"",""REKAP ALL 2026 - Andika!F:F""),"""",0)"),"23172181028")</f>
        <v>23172181028</v>
      </c>
      <c r="G809" s="13" t="s">
        <v>3598</v>
      </c>
      <c r="H809" s="13" t="s">
        <v>2967</v>
      </c>
      <c r="I809" s="13" t="str">
        <f aca="false">IF(C809=J809,"NEW KONTRAK","RE-KONTRAK")</f>
        <v>RE-KONTRAK</v>
      </c>
      <c r="J809" s="16" t="n">
        <f aca="false" t="array" ref="J809:J809">IFERROR(INDEX(AC809:AE809,IF(COUNTA(AC809:AE809)=0,"",MAX((AC809:AE809&lt;&gt;"")*(COLUMN(AC809:AE809)-(COLUMN(AC809)))))-1),"")</f>
        <v>45570</v>
      </c>
      <c r="K809" s="16" t="n">
        <f aca="false" t="array" ref="K809:K809">IFERROR(INDEX(AC809:AE809,IF(COUNTA(AC809:AE809)=0,"",MAX((AC809:AE809&lt;&gt;"")*(COLUMN(AC809:AE809)-(COLUMN(AC809)-1))))-1),"")</f>
        <v>45934</v>
      </c>
      <c r="L809" s="17" t="str">
        <f aca="false" t="array" ref="L809:L809">IFERROR(INDEX(AC809:AE809,IF(COUNTA(AC809:AE809)=0,"",MAX((AC809:AE809&lt;&gt;"")*(COLUMN(AC809:AE809)-(COLUMN(AC809)-2))))-1),"")</f>
        <v>ARCHIVED</v>
      </c>
      <c r="M809" s="13" t="n">
        <f aca="true">K809-TODAY()</f>
        <v>-390</v>
      </c>
      <c r="N809" s="18" t="s">
        <v>36</v>
      </c>
      <c r="O809" s="13" t="s">
        <v>3599</v>
      </c>
      <c r="P809" s="19" t="n">
        <v>4000000</v>
      </c>
      <c r="Q809" s="20" t="s">
        <v>3600</v>
      </c>
      <c r="R809" s="13" t="s">
        <v>39</v>
      </c>
      <c r="S809" s="14" t="n">
        <v>37804</v>
      </c>
      <c r="T809" s="13" t="s">
        <v>108</v>
      </c>
      <c r="U809" s="13" t="s">
        <v>3601</v>
      </c>
      <c r="V809" s="13" t="s">
        <v>42</v>
      </c>
      <c r="W809" s="13" t="s">
        <v>43</v>
      </c>
      <c r="X809" s="21" t="n">
        <v>85722944144</v>
      </c>
      <c r="Y809" s="22" t="str">
        <f aca="false">O809</f>
        <v>Admin Gudang</v>
      </c>
      <c r="Z809" s="13" t="str">
        <f aca="false">IFERROR(__xludf.dummyfunction("if(BJ809="""","""",GOOGLETRANSLATE(BJ809,""auto"",""en""))"),"Warehouse Admin")</f>
        <v>Warehouse Admin</v>
      </c>
      <c r="AA809" s="23" t="str">
        <f aca="false">IF(C809="","", CHOOSE(MONTH(C809),"January","February","March","April","May","June","July","August","September","October","November","December")&amp;" "&amp;DAY(C809)&amp;MID("thstndrdth",MIN(9,2*RIGHT(DAY(C809))*(MOD(DAY(C809)-11,100)&gt;2)+1),2)&amp;","&amp;TEXT(C809," yyyy"))</f>
        <v>May 16th,2022</v>
      </c>
      <c r="AB809" s="15" t="str">
        <f aca="true">IF(S809="","",DATEDIF(S809,TODAY(),"Y")&amp;" Tahun, "&amp;DATEDIF(S809,TODAY(),"YM")&amp;" Bulan, "&amp;DATEDIF(S809,TODAY(),"MD")&amp;" Hari")</f>
        <v>23 Tahun, 3 Bulan, 27 Hari</v>
      </c>
      <c r="AC809" s="18" t="n">
        <v>45570</v>
      </c>
      <c r="AD809" s="18" t="n">
        <v>45934</v>
      </c>
      <c r="AE809" s="18" t="s">
        <v>44</v>
      </c>
    </row>
    <row r="810" customFormat="false" ht="15.75" hidden="false" customHeight="true" outlineLevel="0" collapsed="false">
      <c r="A810" s="12" t="n">
        <v>8032</v>
      </c>
      <c r="B810" s="13" t="s">
        <v>3602</v>
      </c>
      <c r="C810" s="14" t="n">
        <v>44788</v>
      </c>
      <c r="D810" s="13" t="s">
        <v>2033</v>
      </c>
      <c r="E810" s="15" t="s">
        <v>33</v>
      </c>
      <c r="F810" s="24" t="s">
        <v>3603</v>
      </c>
      <c r="G810" s="13" t="s">
        <v>3604</v>
      </c>
      <c r="H810" s="13" t="s">
        <v>2035</v>
      </c>
      <c r="I810" s="13" t="str">
        <f aca="false">IF(C810=J810,"NEW KONTRAK","RE-KONTRAK")</f>
        <v>RE-KONTRAK</v>
      </c>
      <c r="J810" s="16" t="n">
        <f aca="false" t="array" ref="J810:J810">IFERROR(INDEX(AC810:AE810,IF(COUNTA(AC810:AE810)=0,"",MAX((AC810:AE810&lt;&gt;"")*(COLUMN(AC810:AE810)-(COLUMN(AC810)))))-1),"")</f>
        <v>45744</v>
      </c>
      <c r="K810" s="16" t="n">
        <f aca="false" t="array" ref="K810:K810">IFERROR(INDEX(AC810:AE810,IF(COUNTA(AC810:AE810)=0,"",MAX((AC810:AE810&lt;&gt;"")*(COLUMN(AC810:AE810)-(COLUMN(AC810)-1))))-1),"")</f>
        <v>45915</v>
      </c>
      <c r="L810" s="17" t="str">
        <f aca="false" t="array" ref="L810:L810">IFERROR(INDEX(AC810:AE810,IF(COUNTA(AC810:AE810)=0,"",MAX((AC810:AE810&lt;&gt;"")*(COLUMN(AC810:AE810)-(COLUMN(AC810)-2))))-1),"")</f>
        <v>ARCHIVED</v>
      </c>
      <c r="M810" s="13" t="n">
        <f aca="true">K810-TODAY()</f>
        <v>-409</v>
      </c>
      <c r="N810" s="18" t="s">
        <v>2356</v>
      </c>
      <c r="O810" s="13" t="s">
        <v>2037</v>
      </c>
      <c r="P810" s="19" t="n">
        <v>3943321</v>
      </c>
      <c r="Q810" s="20" t="s">
        <v>3605</v>
      </c>
      <c r="R810" s="13" t="s">
        <v>2356</v>
      </c>
      <c r="S810" s="14" t="n">
        <v>36667</v>
      </c>
      <c r="T810" s="13" t="s">
        <v>108</v>
      </c>
      <c r="U810" s="13" t="s">
        <v>3606</v>
      </c>
      <c r="V810" s="13" t="s">
        <v>42</v>
      </c>
      <c r="W810" s="13" t="s">
        <v>43</v>
      </c>
      <c r="X810" s="21" t="n">
        <v>81245029997</v>
      </c>
      <c r="Y810" s="22" t="str">
        <f aca="false">O810</f>
        <v>SPG/BA</v>
      </c>
      <c r="Z810" s="13" t="str">
        <f aca="false">IFERROR(__xludf.dummyfunction("if(BJ810="""","""",GOOGLETRANSLATE(BJ810,""auto"",""en""))"),"SPG/BA")</f>
        <v>SPG/BA</v>
      </c>
      <c r="AA810" s="23" t="str">
        <f aca="false">IF(C810="","", CHOOSE(MONTH(C810),"January","February","March","April","May","June","July","August","September","October","November","December")&amp;" "&amp;DAY(C810)&amp;MID("thstndrdth",MIN(9,2*RIGHT(DAY(C810))*(MOD(DAY(C810)-11,100)&gt;2)+1),2)&amp;","&amp;TEXT(C810," yyyy"))</f>
        <v>August 15th,2022</v>
      </c>
      <c r="AB810" s="15" t="str">
        <f aca="true">IF(S810="","",DATEDIF(S810,TODAY(),"Y")&amp;" Tahun, "&amp;DATEDIF(S810,TODAY(),"YM")&amp;" Bulan, "&amp;DATEDIF(S810,TODAY(),"MD")&amp;" Hari")</f>
        <v>26 Tahun, 5 Bulan, 8 Hari</v>
      </c>
      <c r="AC810" s="18" t="n">
        <v>45744</v>
      </c>
      <c r="AD810" s="18" t="n">
        <v>45915</v>
      </c>
      <c r="AE810" s="18" t="s">
        <v>44</v>
      </c>
    </row>
    <row r="811" customFormat="false" ht="15.75" hidden="false" customHeight="true" outlineLevel="0" collapsed="false">
      <c r="A811" s="12" t="n">
        <v>22855</v>
      </c>
      <c r="B811" s="13" t="s">
        <v>3607</v>
      </c>
      <c r="C811" s="14" t="n">
        <v>46279</v>
      </c>
      <c r="D811" s="13" t="s">
        <v>1721</v>
      </c>
      <c r="E811" s="13" t="s">
        <v>47</v>
      </c>
      <c r="F811" s="24" t="s">
        <v>3608</v>
      </c>
      <c r="G811" s="13" t="s">
        <v>1452</v>
      </c>
      <c r="H811" s="13" t="s">
        <v>35</v>
      </c>
      <c r="I811" s="13" t="str">
        <f aca="false">IF(C811=J811,"NEW KONTRAK","RE-KONTRAK")</f>
        <v>NEW KONTRAK</v>
      </c>
      <c r="J811" s="16" t="n">
        <f aca="false" t="array" ref="J811:J811">IFERROR(INDEX(AC811:AE811,IF(COUNTA(AC811:AE811)=0,"",MAX((AC811:AE811&lt;&gt;"")*(COLUMN(AC811:AE811)-(COLUMN(AC811)))))-1),"")</f>
        <v>46279</v>
      </c>
      <c r="K811" s="16" t="n">
        <f aca="false" t="array" ref="K811:K811">IFERROR(INDEX(AC811:AE811,IF(COUNTA(AC811:AE811)=0,"",MAX((AC811:AE811&lt;&gt;"")*(COLUMN(AC811:AE811)-(COLUMN(AC811)-1))))-1),"")</f>
        <v>46386</v>
      </c>
      <c r="L811" s="17" t="str">
        <f aca="false" t="array" ref="L811:L811">IFERROR(INDEX(AC811:AE811,IF(COUNTA(AC811:AE811)=0,"",MAX((AC811:AE811&lt;&gt;"")*(COLUMN(AC811:AE811)-(COLUMN(AC811)-2))))-1),"")</f>
        <v>ARCHIVED</v>
      </c>
      <c r="M811" s="13" t="n">
        <f aca="true">K811-TODAY()</f>
        <v>62</v>
      </c>
      <c r="N811" s="18" t="s">
        <v>728</v>
      </c>
      <c r="O811" s="13" t="s">
        <v>1755</v>
      </c>
      <c r="P811" s="26" t="n">
        <v>5444909</v>
      </c>
      <c r="Q811" s="20" t="s">
        <v>3609</v>
      </c>
      <c r="R811" s="48" t="s">
        <v>260</v>
      </c>
      <c r="S811" s="25" t="n">
        <v>38566</v>
      </c>
      <c r="T811" s="13" t="s">
        <v>108</v>
      </c>
      <c r="U811" s="13" t="s">
        <v>3610</v>
      </c>
      <c r="V811" s="13" t="s">
        <v>42</v>
      </c>
      <c r="W811" s="28" t="s">
        <v>43</v>
      </c>
      <c r="X811" s="21" t="n">
        <v>85893020423</v>
      </c>
      <c r="Y811" s="22" t="str">
        <f aca="false">O811</f>
        <v>Im.Operator</v>
      </c>
      <c r="Z811" s="13" t="str">
        <f aca="false">IFERROR(__xludf.dummyfunction("if(BJ811="""","""",GOOGLETRANSLATE(BJ811,""auto"",""en""))"),"Im.Operator")</f>
        <v>Im.Operator</v>
      </c>
      <c r="AA811" s="23" t="str">
        <f aca="false">IF(C811="","", CHOOSE(MONTH(C811),"January","February","March","April","May","June","July","August","September","October","November","December")&amp;" "&amp;DAY(C811)&amp;MID("thstndrdth",MIN(9,2*RIGHT(DAY(C811))*(MOD(DAY(C811)-11,100)&gt;2)+1),2)&amp;","&amp;TEXT(C811," yyyy"))</f>
        <v>September 14th,2026</v>
      </c>
      <c r="AB811" s="15" t="str">
        <f aca="true">IF(S811="","",DATEDIF(S811,TODAY(),"Y")&amp;" Tahun, "&amp;DATEDIF(S811,TODAY(),"YM")&amp;" Bulan, "&amp;DATEDIF(S811,TODAY(),"MD")&amp;" Hari")</f>
        <v>21 Tahun, 2 Bulan, 27 Hari</v>
      </c>
      <c r="AC811" s="14" t="n">
        <v>46279</v>
      </c>
      <c r="AD811" s="18" t="n">
        <v>46386</v>
      </c>
      <c r="AE811" s="13" t="s">
        <v>44</v>
      </c>
    </row>
    <row r="812" customFormat="false" ht="15.75" hidden="false" customHeight="true" outlineLevel="0" collapsed="false">
      <c r="A812" s="12" t="n">
        <v>8058</v>
      </c>
      <c r="B812" s="13" t="s">
        <v>3611</v>
      </c>
      <c r="C812" s="14" t="n">
        <v>44795</v>
      </c>
      <c r="D812" s="13" t="s">
        <v>774</v>
      </c>
      <c r="E812" s="15" t="s">
        <v>47</v>
      </c>
      <c r="F812" s="15" t="str">
        <f aca="false">IFERROR(__xludf.dummyfunction("XLOOKUP(AJ812,IMPORTRANGE(""1XaInW9DU9nz21V0tYIfzFQ0He9kVQ_JF2mCXgZ3hqFA"",""REKAP ALL 2026 - Andika!G:G""),IMPORTRANGE(""1XaInW9DU9nz21V0tYIfzFQ0He9kVQ_JF2mCXgZ3hqFA"",""REKAP ALL 2026 - Andika!F:F""),"""",0)"),"23172180624")</f>
        <v>23172180624</v>
      </c>
      <c r="G812" s="13" t="s">
        <v>3612</v>
      </c>
      <c r="H812" s="13" t="s">
        <v>2967</v>
      </c>
      <c r="I812" s="13" t="str">
        <f aca="false">IF(C812=J812,"NEW KONTRAK","RE-KONTRAK")</f>
        <v>RE-KONTRAK</v>
      </c>
      <c r="J812" s="16" t="n">
        <f aca="false" t="array" ref="J812:J812">IFERROR(INDEX(AC812:AE812,IF(COUNTA(AC812:AE812)=0,"",MAX((AC812:AE812&lt;&gt;"")*(COLUMN(AC812:AE812)-(COLUMN(AC812)))))-1),"")</f>
        <v>45570</v>
      </c>
      <c r="K812" s="16" t="n">
        <f aca="false" t="array" ref="K812:K812">IFERROR(INDEX(AC812:AE812,IF(COUNTA(AC812:AE812)=0,"",MAX((AC812:AE812&lt;&gt;"")*(COLUMN(AC812:AE812)-(COLUMN(AC812)-1))))-1),"")</f>
        <v>45934</v>
      </c>
      <c r="L812" s="17" t="str">
        <f aca="false" t="array" ref="L812:L812">IFERROR(INDEX(AC812:AE812,IF(COUNTA(AC812:AE812)=0,"",MAX((AC812:AE812&lt;&gt;"")*(COLUMN(AC812:AE812)-(COLUMN(AC812)-2))))-1),"")</f>
        <v>ARCHIVED</v>
      </c>
      <c r="M812" s="13" t="n">
        <f aca="true">K812-TODAY()</f>
        <v>-390</v>
      </c>
      <c r="N812" s="18" t="s">
        <v>36</v>
      </c>
      <c r="O812" s="13" t="s">
        <v>795</v>
      </c>
      <c r="P812" s="19" t="n">
        <v>3750000</v>
      </c>
      <c r="Q812" s="20" t="s">
        <v>3613</v>
      </c>
      <c r="R812" s="13" t="s">
        <v>65</v>
      </c>
      <c r="S812" s="14" t="n">
        <v>36307</v>
      </c>
      <c r="T812" s="13" t="s">
        <v>40</v>
      </c>
      <c r="U812" s="13" t="s">
        <v>3614</v>
      </c>
      <c r="V812" s="13" t="s">
        <v>42</v>
      </c>
      <c r="W812" s="13" t="s">
        <v>43</v>
      </c>
      <c r="X812" s="21" t="n">
        <v>895620052877</v>
      </c>
      <c r="Y812" s="22" t="str">
        <f aca="false">O812</f>
        <v>Painting</v>
      </c>
      <c r="Z812" s="13" t="str">
        <f aca="false">IFERROR(__xludf.dummyfunction("if(BJ812="""","""",GOOGLETRANSLATE(BJ812,""auto"",""en""))"),"Painting")</f>
        <v>Painting</v>
      </c>
      <c r="AA812" s="23" t="str">
        <f aca="false">IF(C812="","", CHOOSE(MONTH(C812),"January","February","March","April","May","June","July","August","September","October","November","December")&amp;" "&amp;DAY(C812)&amp;MID("thstndrdth",MIN(9,2*RIGHT(DAY(C812))*(MOD(DAY(C812)-11,100)&gt;2)+1),2)&amp;","&amp;TEXT(C812," yyyy"))</f>
        <v>August 22nd,2022</v>
      </c>
      <c r="AB812" s="15" t="str">
        <f aca="true">IF(S812="","",DATEDIF(S812,TODAY(),"Y")&amp;" Tahun, "&amp;DATEDIF(S812,TODAY(),"YM")&amp;" Bulan, "&amp;DATEDIF(S812,TODAY(),"MD")&amp;" Hari")</f>
        <v>27 Tahun, 5 Bulan, 2 Hari</v>
      </c>
      <c r="AC812" s="18" t="n">
        <v>45570</v>
      </c>
      <c r="AD812" s="18" t="n">
        <v>45934</v>
      </c>
      <c r="AE812" s="18" t="s">
        <v>44</v>
      </c>
    </row>
    <row r="813" customFormat="false" ht="15.75" hidden="false" customHeight="true" outlineLevel="0" collapsed="false">
      <c r="A813" s="12" t="n">
        <v>8061</v>
      </c>
      <c r="B813" s="13" t="s">
        <v>3615</v>
      </c>
      <c r="C813" s="14" t="n">
        <v>44774</v>
      </c>
      <c r="D813" s="13" t="s">
        <v>774</v>
      </c>
      <c r="E813" s="15" t="s">
        <v>47</v>
      </c>
      <c r="F813" s="15" t="str">
        <f aca="false">IFERROR(__xludf.dummyfunction("XLOOKUP(AJ813,IMPORTRANGE(""1XaInW9DU9nz21V0tYIfzFQ0He9kVQ_JF2mCXgZ3hqFA"",""REKAP ALL 2026 - Andika!G:G""),IMPORTRANGE(""1XaInW9DU9nz21V0tYIfzFQ0He9kVQ_JF2mCXgZ3hqFA"",""REKAP ALL 2026 - Andika!F:F""),"""",0)"),"22099844023")</f>
        <v>22099844023</v>
      </c>
      <c r="G813" s="13" t="s">
        <v>3616</v>
      </c>
      <c r="H813" s="13" t="s">
        <v>3617</v>
      </c>
      <c r="I813" s="13" t="str">
        <f aca="false">IF(C813=J813,"NEW KONTRAK","RE-KONTRAK")</f>
        <v>RE-KONTRAK</v>
      </c>
      <c r="J813" s="16" t="n">
        <f aca="false" t="array" ref="J813:J813">IFERROR(INDEX(AC813:AE813,IF(COUNTA(AC813:AE813)=0,"",MAX((AC813:AE813&lt;&gt;"")*(COLUMN(AC813:AE813)-(COLUMN(AC813)))))-1),"")</f>
        <v>45566</v>
      </c>
      <c r="K813" s="16" t="n">
        <f aca="false" t="array" ref="K813:K813">IFERROR(INDEX(AC813:AE813,IF(COUNTA(AC813:AE813)=0,"",MAX((AC813:AE813&lt;&gt;"")*(COLUMN(AC813:AE813)-(COLUMN(AC813)-1))))-1),"")</f>
        <v>45930</v>
      </c>
      <c r="L813" s="17" t="str">
        <f aca="false" t="array" ref="L813:L813">IFERROR(INDEX(AC813:AE813,IF(COUNTA(AC813:AE813)=0,"",MAX((AC813:AE813&lt;&gt;"")*(COLUMN(AC813:AE813)-(COLUMN(AC813)-2))))-1),"")</f>
        <v>ARCHIVED</v>
      </c>
      <c r="M813" s="13" t="n">
        <f aca="true">K813-TODAY()</f>
        <v>-394</v>
      </c>
      <c r="N813" s="18" t="s">
        <v>763</v>
      </c>
      <c r="O813" s="13" t="s">
        <v>58</v>
      </c>
      <c r="P813" s="19" t="n">
        <v>5729876</v>
      </c>
      <c r="Q813" s="20" t="s">
        <v>3618</v>
      </c>
      <c r="R813" s="13" t="s">
        <v>3619</v>
      </c>
      <c r="S813" s="14" t="n">
        <v>35782</v>
      </c>
      <c r="T813" s="13" t="s">
        <v>40</v>
      </c>
      <c r="U813" s="13" t="s">
        <v>3620</v>
      </c>
      <c r="V813" s="13" t="s">
        <v>42</v>
      </c>
      <c r="W813" s="13" t="s">
        <v>43</v>
      </c>
      <c r="X813" s="21" t="n">
        <v>85781721019</v>
      </c>
      <c r="Y813" s="22" t="str">
        <f aca="false">O813</f>
        <v>Produksi</v>
      </c>
      <c r="Z813" s="13" t="str">
        <f aca="false">IFERROR(__xludf.dummyfunction("if(BJ813="""","""",GOOGLETRANSLATE(BJ813,""auto"",""en""))"),"Production")</f>
        <v>Production</v>
      </c>
      <c r="AA813" s="23" t="str">
        <f aca="false">IF(C813="","", CHOOSE(MONTH(C813),"January","February","March","April","May","June","July","August","September","October","November","December")&amp;" "&amp;DAY(C813)&amp;MID("thstndrdth",MIN(9,2*RIGHT(DAY(C813))*(MOD(DAY(C813)-11,100)&gt;2)+1),2)&amp;","&amp;TEXT(C813," yyyy"))</f>
        <v>August 1st,2022</v>
      </c>
      <c r="AB813" s="15" t="str">
        <f aca="true">IF(S813="","",DATEDIF(S813,TODAY(),"Y")&amp;" Tahun, "&amp;DATEDIF(S813,TODAY(),"YM")&amp;" Bulan, "&amp;DATEDIF(S813,TODAY(),"MD")&amp;" Hari")</f>
        <v>28 Tahun, 10 Bulan, 11 Hari</v>
      </c>
      <c r="AC813" s="18" t="n">
        <v>45566</v>
      </c>
      <c r="AD813" s="18" t="n">
        <v>45930</v>
      </c>
      <c r="AE813" s="18" t="s">
        <v>44</v>
      </c>
    </row>
    <row r="814" customFormat="false" ht="15.75" hidden="false" customHeight="true" outlineLevel="0" collapsed="false">
      <c r="A814" s="12" t="n">
        <v>8062</v>
      </c>
      <c r="B814" s="13" t="s">
        <v>3621</v>
      </c>
      <c r="C814" s="14" t="n">
        <v>44767</v>
      </c>
      <c r="D814" s="13" t="s">
        <v>761</v>
      </c>
      <c r="E814" s="15" t="s">
        <v>47</v>
      </c>
      <c r="F814" s="15" t="str">
        <f aca="false">IFERROR(__xludf.dummyfunction("XLOOKUP(AJ814,IMPORTRANGE(""1XaInW9DU9nz21V0tYIfzFQ0He9kVQ_JF2mCXgZ3hqFA"",""REKAP ALL 2026 - Andika!G:G""),IMPORTRANGE(""1XaInW9DU9nz21V0tYIfzFQ0He9kVQ_JF2mCXgZ3hqFA"",""REKAP ALL 2026 - Andika!F:F""),"""",0)"),"22099845335")</f>
        <v>22099845335</v>
      </c>
      <c r="G814" s="13" t="s">
        <v>3622</v>
      </c>
      <c r="H814" s="13" t="s">
        <v>49</v>
      </c>
      <c r="I814" s="13" t="str">
        <f aca="false">IF(C814=J814,"NEW KONTRAK","RE-KONTRAK")</f>
        <v>RE-KONTRAK</v>
      </c>
      <c r="J814" s="16" t="n">
        <f aca="false" t="array" ref="J814:J814">IFERROR(INDEX(AC814:AE814,IF(COUNTA(AC814:AE814)=0,"",MAX((AC814:AE814&lt;&gt;"")*(COLUMN(AC814:AE814)-(COLUMN(AC814)))))-1),"")</f>
        <v>45611</v>
      </c>
      <c r="K814" s="16" t="n">
        <f aca="false" t="array" ref="K814:K814">IFERROR(INDEX(AC814:AE814,IF(COUNTA(AC814:AE814)=0,"",MAX((AC814:AE814&lt;&gt;"")*(COLUMN(AC814:AE814)-(COLUMN(AC814)-1))))-1),"")</f>
        <v>45975</v>
      </c>
      <c r="L814" s="17" t="str">
        <f aca="false" t="array" ref="L814:L814">IFERROR(INDEX(AC814:AE814,IF(COUNTA(AC814:AE814)=0,"",MAX((AC814:AE814&lt;&gt;"")*(COLUMN(AC814:AE814)-(COLUMN(AC814)-2))))-1),"")</f>
        <v>ARCHIVED</v>
      </c>
      <c r="M814" s="13" t="n">
        <f aca="true">K814-TODAY()</f>
        <v>-349</v>
      </c>
      <c r="N814" s="18" t="s">
        <v>763</v>
      </c>
      <c r="O814" s="13" t="s">
        <v>3623</v>
      </c>
      <c r="P814" s="19" t="n">
        <v>5729876</v>
      </c>
      <c r="Q814" s="20" t="s">
        <v>3624</v>
      </c>
      <c r="R814" s="13" t="s">
        <v>763</v>
      </c>
      <c r="S814" s="14" t="n">
        <v>35267</v>
      </c>
      <c r="T814" s="13" t="s">
        <v>40</v>
      </c>
      <c r="U814" s="13" t="s">
        <v>3625</v>
      </c>
      <c r="V814" s="13" t="s">
        <v>42</v>
      </c>
      <c r="W814" s="13" t="s">
        <v>43</v>
      </c>
      <c r="X814" s="21" t="n">
        <v>87825802550</v>
      </c>
      <c r="Y814" s="22" t="str">
        <f aca="false">O814</f>
        <v>Operator Gudang</v>
      </c>
      <c r="Z814" s="13" t="str">
        <f aca="false">IFERROR(__xludf.dummyfunction("if(BJ814="""","""",GOOGLETRANSLATE(BJ814,""auto"",""en""))"),"Warehouse Operator")</f>
        <v>Warehouse Operator</v>
      </c>
      <c r="AA814" s="23" t="str">
        <f aca="false">IF(C814="","", CHOOSE(MONTH(C814),"January","February","March","April","May","June","July","August","September","October","November","December")&amp;" "&amp;DAY(C814)&amp;MID("thstndrdth",MIN(9,2*RIGHT(DAY(C814))*(MOD(DAY(C814)-11,100)&gt;2)+1),2)&amp;","&amp;TEXT(C814," yyyy"))</f>
        <v>July 25th,2022</v>
      </c>
      <c r="AB814" s="15" t="str">
        <f aca="true">IF(S814="","",DATEDIF(S814,TODAY(),"Y")&amp;" Tahun, "&amp;DATEDIF(S814,TODAY(),"YM")&amp;" Bulan, "&amp;DATEDIF(S814,TODAY(),"MD")&amp;" Hari")</f>
        <v>30 Tahun, 3 Bulan, 8 Hari</v>
      </c>
      <c r="AC814" s="18" t="n">
        <v>45611</v>
      </c>
      <c r="AD814" s="18" t="n">
        <v>45975</v>
      </c>
      <c r="AE814" s="18" t="s">
        <v>44</v>
      </c>
    </row>
    <row r="815" customFormat="false" ht="15.75" hidden="false" customHeight="true" outlineLevel="0" collapsed="false">
      <c r="A815" s="12" t="n">
        <v>8302</v>
      </c>
      <c r="B815" s="13" t="s">
        <v>3626</v>
      </c>
      <c r="C815" s="14" t="n">
        <v>44809</v>
      </c>
      <c r="D815" s="13" t="s">
        <v>404</v>
      </c>
      <c r="E815" s="15" t="s">
        <v>102</v>
      </c>
      <c r="F815" s="15" t="str">
        <f aca="false">IFERROR(__xludf.dummyfunction("XLOOKUP(AJ815,IMPORTRANGE(""1XaInW9DU9nz21V0tYIfzFQ0He9kVQ_JF2mCXgZ3hqFA"",""REKAP ALL 2026 - Andika!G:G""),IMPORTRANGE(""1XaInW9DU9nz21V0tYIfzFQ0He9kVQ_JF2mCXgZ3hqFA"",""REKAP ALL 2026 - Andika!F:F""),"""",0)"),"22099823530")</f>
        <v>22099823530</v>
      </c>
      <c r="G815" s="13" t="s">
        <v>3627</v>
      </c>
      <c r="H815" s="13" t="s">
        <v>35</v>
      </c>
      <c r="I815" s="13" t="str">
        <f aca="false">IF(C815=J815,"NEW KONTRAK","RE-KONTRAK")</f>
        <v>RE-KONTRAK</v>
      </c>
      <c r="J815" s="16" t="n">
        <f aca="false" t="array" ref="J815:J815">IFERROR(INDEX(AC815:AE815,IF(COUNTA(AC815:AE815)=0,"",MAX((AC815:AE815&lt;&gt;"")*(COLUMN(AC815:AE815)-(COLUMN(AC815)))))-1),"")</f>
        <v>45658</v>
      </c>
      <c r="K815" s="16" t="n">
        <f aca="false" t="array" ref="K815:K815">IFERROR(INDEX(AC815:AE815,IF(COUNTA(AC815:AE815)=0,"",MAX((AC815:AE815&lt;&gt;"")*(COLUMN(AC815:AE815)-(COLUMN(AC815)-1))))-1),"")</f>
        <v>46022</v>
      </c>
      <c r="L815" s="17" t="str">
        <f aca="false" t="array" ref="L815:L815">IFERROR(INDEX(AC815:AE815,IF(COUNTA(AC815:AE815)=0,"",MAX((AC815:AE815&lt;&gt;"")*(COLUMN(AC815:AE815)-(COLUMN(AC815)-2))))-1),"")</f>
        <v>ARCHIVED</v>
      </c>
      <c r="M815" s="13" t="n">
        <f aca="true">K815-TODAY()</f>
        <v>-302</v>
      </c>
      <c r="N815" s="18" t="s">
        <v>36</v>
      </c>
      <c r="O815" s="13" t="s">
        <v>3529</v>
      </c>
      <c r="P815" s="27" t="n">
        <v>5195401</v>
      </c>
      <c r="Q815" s="20" t="s">
        <v>3628</v>
      </c>
      <c r="R815" s="13" t="s">
        <v>65</v>
      </c>
      <c r="S815" s="14" t="n">
        <v>35163</v>
      </c>
      <c r="T815" s="13" t="s">
        <v>40</v>
      </c>
      <c r="U815" s="13" t="s">
        <v>3629</v>
      </c>
      <c r="V815" s="13" t="s">
        <v>42</v>
      </c>
      <c r="W815" s="13" t="s">
        <v>43</v>
      </c>
      <c r="X815" s="21" t="n">
        <v>81234410812</v>
      </c>
      <c r="Y815" s="22" t="str">
        <f aca="false">O815</f>
        <v>Plastic Converter</v>
      </c>
      <c r="Z815" s="13" t="str">
        <f aca="false">IFERROR(__xludf.dummyfunction("if(BJ815="""","""",GOOGLETRANSLATE(BJ815,""auto"",""en""))"),"Plastic Converter")</f>
        <v>Plastic Converter</v>
      </c>
      <c r="AA815" s="23" t="str">
        <f aca="false">IF(C815="","", CHOOSE(MONTH(C815),"January","February","March","April","May","June","July","August","September","October","November","December")&amp;" "&amp;DAY(C815)&amp;MID("thstndrdth",MIN(9,2*RIGHT(DAY(C815))*(MOD(DAY(C815)-11,100)&gt;2)+1),2)&amp;","&amp;TEXT(C815," yyyy"))</f>
        <v>September 5th,2022</v>
      </c>
      <c r="AB815" s="15" t="str">
        <f aca="true">IF(S815="","",DATEDIF(S815,TODAY(),"Y")&amp;" Tahun, "&amp;DATEDIF(S815,TODAY(),"YM")&amp;" Bulan, "&amp;DATEDIF(S815,TODAY(),"MD")&amp;" Hari")</f>
        <v>30 Tahun, 6 Bulan, 21 Hari</v>
      </c>
      <c r="AC815" s="18" t="n">
        <v>45658</v>
      </c>
      <c r="AD815" s="18" t="n">
        <v>46022</v>
      </c>
      <c r="AE815" s="18" t="s">
        <v>44</v>
      </c>
    </row>
    <row r="816" customFormat="false" ht="15.75" hidden="false" customHeight="true" outlineLevel="0" collapsed="false">
      <c r="A816" s="12" t="n">
        <v>8428</v>
      </c>
      <c r="B816" s="13" t="s">
        <v>3630</v>
      </c>
      <c r="C816" s="14" t="n">
        <v>44817</v>
      </c>
      <c r="D816" s="13" t="s">
        <v>380</v>
      </c>
      <c r="E816" s="15" t="s">
        <v>47</v>
      </c>
      <c r="F816" s="15" t="str">
        <f aca="false">IFERROR(__xludf.dummyfunction("XLOOKUP(AJ816,IMPORTRANGE(""1XaInW9DU9nz21V0tYIfzFQ0He9kVQ_JF2mCXgZ3hqFA"",""REKAP ALL 2026 - Andika!G:G""),IMPORTRANGE(""1XaInW9DU9nz21V0tYIfzFQ0He9kVQ_JF2mCXgZ3hqFA"",""REKAP ALL 2026 - Andika!F:F""),"""",0)"),"22116831938")</f>
        <v>22116831938</v>
      </c>
      <c r="G816" s="13" t="s">
        <v>3631</v>
      </c>
      <c r="H816" s="13" t="s">
        <v>49</v>
      </c>
      <c r="I816" s="13" t="str">
        <f aca="false">IF(C816=J816,"NEW KONTRAK","RE-KONTRAK")</f>
        <v>RE-KONTRAK</v>
      </c>
      <c r="J816" s="16" t="n">
        <f aca="false" t="array" ref="J816:J816">IFERROR(INDEX(AC816:AE816,IF(COUNTA(AC816:AE816)=0,"",MAX((AC816:AE816&lt;&gt;"")*(COLUMN(AC816:AE816)-(COLUMN(AC816)))))-1),"")</f>
        <v>45768</v>
      </c>
      <c r="K816" s="16" t="n">
        <f aca="false" t="array" ref="K816:K816">IFERROR(INDEX(AC816:AE816,IF(COUNTA(AC816:AE816)=0,"",MAX((AC816:AE816&lt;&gt;"")*(COLUMN(AC816:AE816)-(COLUMN(AC816)-1))))-1),"")</f>
        <v>45950</v>
      </c>
      <c r="L816" s="17" t="str">
        <f aca="false" t="array" ref="L816:L816">IFERROR(INDEX(AC816:AE816,IF(COUNTA(AC816:AE816)=0,"",MAX((AC816:AE816&lt;&gt;"")*(COLUMN(AC816:AE816)-(COLUMN(AC816)-2))))-1),"")</f>
        <v>ARCHIVED</v>
      </c>
      <c r="M816" s="13" t="n">
        <f aca="true">K816-TODAY()</f>
        <v>-374</v>
      </c>
      <c r="N816" s="18" t="s">
        <v>383</v>
      </c>
      <c r="O816" s="13" t="s">
        <v>389</v>
      </c>
      <c r="P816" s="19" t="n">
        <v>2751977</v>
      </c>
      <c r="Q816" s="20" t="s">
        <v>3632</v>
      </c>
      <c r="R816" s="13" t="s">
        <v>78</v>
      </c>
      <c r="S816" s="14" t="n">
        <v>37431</v>
      </c>
      <c r="T816" s="13" t="s">
        <v>108</v>
      </c>
      <c r="U816" s="13" t="s">
        <v>3633</v>
      </c>
      <c r="V816" s="13" t="s">
        <v>42</v>
      </c>
      <c r="W816" s="13" t="s">
        <v>43</v>
      </c>
      <c r="X816" s="21" t="n">
        <v>85233751328</v>
      </c>
      <c r="Y816" s="22" t="str">
        <f aca="false">O816</f>
        <v>Packing</v>
      </c>
      <c r="Z816" s="13" t="str">
        <f aca="false">IFERROR(__xludf.dummyfunction("if(BJ816="""","""",GOOGLETRANSLATE(BJ816,""auto"",""en""))"),"Packing")</f>
        <v>Packing</v>
      </c>
      <c r="AA816" s="23" t="str">
        <f aca="false">IF(C816="","", CHOOSE(MONTH(C816),"January","February","March","April","May","June","July","August","September","October","November","December")&amp;" "&amp;DAY(C816)&amp;MID("thstndrdth",MIN(9,2*RIGHT(DAY(C816))*(MOD(DAY(C816)-11,100)&gt;2)+1),2)&amp;","&amp;TEXT(C816," yyyy"))</f>
        <v>September 13th,2022</v>
      </c>
      <c r="AB816" s="15" t="str">
        <f aca="true">IF(S816="","",DATEDIF(S816,TODAY(),"Y")&amp;" Tahun, "&amp;DATEDIF(S816,TODAY(),"YM")&amp;" Bulan, "&amp;DATEDIF(S816,TODAY(),"MD")&amp;" Hari")</f>
        <v>24 Tahun, 4 Bulan, 5 Hari</v>
      </c>
      <c r="AC816" s="18" t="n">
        <v>45768</v>
      </c>
      <c r="AD816" s="18" t="n">
        <v>45950</v>
      </c>
      <c r="AE816" s="18" t="s">
        <v>44</v>
      </c>
    </row>
    <row r="817" customFormat="false" ht="15.75" hidden="false" customHeight="true" outlineLevel="0" collapsed="false">
      <c r="A817" s="12" t="n">
        <v>8429</v>
      </c>
      <c r="B817" s="13" t="s">
        <v>3634</v>
      </c>
      <c r="C817" s="14" t="n">
        <v>44817</v>
      </c>
      <c r="D817" s="13" t="s">
        <v>380</v>
      </c>
      <c r="E817" s="15" t="s">
        <v>47</v>
      </c>
      <c r="F817" s="15" t="str">
        <f aca="false">IFERROR(__xludf.dummyfunction("XLOOKUP(AJ817,IMPORTRANGE(""1XaInW9DU9nz21V0tYIfzFQ0He9kVQ_JF2mCXgZ3hqFA"",""REKAP ALL 2026 - Andika!G:G""),IMPORTRANGE(""1XaInW9DU9nz21V0tYIfzFQ0He9kVQ_JF2mCXgZ3hqFA"",""REKAP ALL 2026 - Andika!F:F""),"""",0)"),"22116831920")</f>
        <v>22116831920</v>
      </c>
      <c r="G817" s="13" t="s">
        <v>3635</v>
      </c>
      <c r="H817" s="13" t="s">
        <v>49</v>
      </c>
      <c r="I817" s="13" t="str">
        <f aca="false">IF(C817=J817,"NEW KONTRAK","RE-KONTRAK")</f>
        <v>RE-KONTRAK</v>
      </c>
      <c r="J817" s="16" t="n">
        <f aca="false" t="array" ref="J817:J817">IFERROR(INDEX(AC817:AE817,IF(COUNTA(AC817:AE817)=0,"",MAX((AC817:AE817&lt;&gt;"")*(COLUMN(AC817:AE817)-(COLUMN(AC817)))))-1),"")</f>
        <v>45768</v>
      </c>
      <c r="K817" s="16" t="n">
        <f aca="false" t="array" ref="K817:K817">IFERROR(INDEX(AC817:AE817,IF(COUNTA(AC817:AE817)=0,"",MAX((AC817:AE817&lt;&gt;"")*(COLUMN(AC817:AE817)-(COLUMN(AC817)-1))))-1),"")</f>
        <v>45950</v>
      </c>
      <c r="L817" s="17" t="str">
        <f aca="false" t="array" ref="L817:L817">IFERROR(INDEX(AC817:AE817,IF(COUNTA(AC817:AE817)=0,"",MAX((AC817:AE817&lt;&gt;"")*(COLUMN(AC817:AE817)-(COLUMN(AC817)-2))))-1),"")</f>
        <v>ARCHIVED</v>
      </c>
      <c r="M817" s="13" t="n">
        <f aca="true">K817-TODAY()</f>
        <v>-374</v>
      </c>
      <c r="N817" s="18" t="s">
        <v>383</v>
      </c>
      <c r="O817" s="13" t="s">
        <v>389</v>
      </c>
      <c r="P817" s="19" t="n">
        <v>2701977</v>
      </c>
      <c r="Q817" s="20" t="s">
        <v>3636</v>
      </c>
      <c r="R817" s="13" t="s">
        <v>78</v>
      </c>
      <c r="S817" s="14" t="n">
        <v>34753</v>
      </c>
      <c r="T817" s="13" t="s">
        <v>108</v>
      </c>
      <c r="U817" s="13" t="s">
        <v>3637</v>
      </c>
      <c r="V817" s="13" t="s">
        <v>42</v>
      </c>
      <c r="W817" s="13" t="s">
        <v>54</v>
      </c>
      <c r="X817" s="21" t="n">
        <v>85708908413</v>
      </c>
      <c r="Y817" s="22" t="str">
        <f aca="false">O817</f>
        <v>Packing</v>
      </c>
      <c r="Z817" s="13" t="str">
        <f aca="false">IFERROR(__xludf.dummyfunction("if(BJ817="""","""",GOOGLETRANSLATE(BJ817,""auto"",""en""))"),"Packing")</f>
        <v>Packing</v>
      </c>
      <c r="AA817" s="23" t="str">
        <f aca="false">IF(C817="","", CHOOSE(MONTH(C817),"January","February","March","April","May","June","July","August","September","October","November","December")&amp;" "&amp;DAY(C817)&amp;MID("thstndrdth",MIN(9,2*RIGHT(DAY(C817))*(MOD(DAY(C817)-11,100)&gt;2)+1),2)&amp;","&amp;TEXT(C817," yyyy"))</f>
        <v>September 13th,2022</v>
      </c>
      <c r="AB817" s="15" t="str">
        <f aca="true">IF(S817="","",DATEDIF(S817,TODAY(),"Y")&amp;" Tahun, "&amp;DATEDIF(S817,TODAY(),"YM")&amp;" Bulan, "&amp;DATEDIF(S817,TODAY(),"MD")&amp;" Hari")</f>
        <v>31 Tahun, 8 Bulan, 6 Hari</v>
      </c>
      <c r="AC817" s="18" t="n">
        <v>45768</v>
      </c>
      <c r="AD817" s="18" t="n">
        <v>45950</v>
      </c>
      <c r="AE817" s="18" t="s">
        <v>44</v>
      </c>
    </row>
    <row r="818" customFormat="false" ht="15.75" hidden="false" customHeight="true" outlineLevel="0" collapsed="false">
      <c r="A818" s="12" t="n">
        <v>8437</v>
      </c>
      <c r="B818" s="13" t="s">
        <v>3638</v>
      </c>
      <c r="C818" s="14" t="n">
        <v>44823</v>
      </c>
      <c r="D818" s="13" t="s">
        <v>404</v>
      </c>
      <c r="E818" s="15" t="s">
        <v>102</v>
      </c>
      <c r="F818" s="15" t="str">
        <f aca="false">IFERROR(__xludf.dummyfunction("XLOOKUP(AJ818,IMPORTRANGE(""1XaInW9DU9nz21V0tYIfzFQ0He9kVQ_JF2mCXgZ3hqFA"",""REKAP ALL 2026 - Andika!G:G""),IMPORTRANGE(""1XaInW9DU9nz21V0tYIfzFQ0He9kVQ_JF2mCXgZ3hqFA"",""REKAP ALL 2026 - Andika!F:F""),"""",0)"),"22116826045")</f>
        <v>22116826045</v>
      </c>
      <c r="G818" s="13" t="s">
        <v>3639</v>
      </c>
      <c r="H818" s="13" t="s">
        <v>35</v>
      </c>
      <c r="I818" s="13" t="str">
        <f aca="false">IF(C818=J818,"NEW KONTRAK","RE-KONTRAK")</f>
        <v>RE-KONTRAK</v>
      </c>
      <c r="J818" s="16" t="n">
        <f aca="false" t="array" ref="J818:J818">IFERROR(INDEX(AC818:AE818,IF(COUNTA(AC818:AE818)=0,"",MAX((AC818:AE818&lt;&gt;"")*(COLUMN(AC818:AE818)-(COLUMN(AC818)))))-1),"")</f>
        <v>45658</v>
      </c>
      <c r="K818" s="16" t="n">
        <f aca="false" t="array" ref="K818:K818">IFERROR(INDEX(AC818:AE818,IF(COUNTA(AC818:AE818)=0,"",MAX((AC818:AE818&lt;&gt;"")*(COLUMN(AC818:AE818)-(COLUMN(AC818)-1))))-1),"")</f>
        <v>46022</v>
      </c>
      <c r="L818" s="17" t="str">
        <f aca="false" t="array" ref="L818:L818">IFERROR(INDEX(AC818:AE818,IF(COUNTA(AC818:AE818)=0,"",MAX((AC818:AE818&lt;&gt;"")*(COLUMN(AC818:AE818)-(COLUMN(AC818)-2))))-1),"")</f>
        <v>ARCHIVED</v>
      </c>
      <c r="M818" s="13" t="n">
        <f aca="true">K818-TODAY()</f>
        <v>-302</v>
      </c>
      <c r="N818" s="18" t="s">
        <v>36</v>
      </c>
      <c r="O818" s="13" t="s">
        <v>450</v>
      </c>
      <c r="P818" s="27" t="n">
        <v>5195401</v>
      </c>
      <c r="Q818" s="20" t="s">
        <v>3640</v>
      </c>
      <c r="R818" s="13" t="s">
        <v>65</v>
      </c>
      <c r="S818" s="14" t="n">
        <v>36354</v>
      </c>
      <c r="T818" s="13" t="s">
        <v>40</v>
      </c>
      <c r="U818" s="13" t="s">
        <v>3641</v>
      </c>
      <c r="V818" s="13" t="s">
        <v>42</v>
      </c>
      <c r="W818" s="13" t="s">
        <v>43</v>
      </c>
      <c r="X818" s="21" t="n">
        <v>81230572640</v>
      </c>
      <c r="Y818" s="22" t="str">
        <f aca="false">O818</f>
        <v>QC &amp; QA</v>
      </c>
      <c r="Z818" s="13" t="str">
        <f aca="false">IFERROR(__xludf.dummyfunction("if(BJ818="""","""",GOOGLETRANSLATE(BJ818,""auto"",""en""))"),"QC &amp; QA")</f>
        <v>QC &amp; QA</v>
      </c>
      <c r="AA818" s="23" t="str">
        <f aca="false">IF(C818="","", CHOOSE(MONTH(C818),"January","February","March","April","May","June","July","August","September","October","November","December")&amp;" "&amp;DAY(C818)&amp;MID("thstndrdth",MIN(9,2*RIGHT(DAY(C818))*(MOD(DAY(C818)-11,100)&gt;2)+1),2)&amp;","&amp;TEXT(C818," yyyy"))</f>
        <v>September 19th,2022</v>
      </c>
      <c r="AB818" s="15" t="str">
        <f aca="true">IF(S818="","",DATEDIF(S818,TODAY(),"Y")&amp;" Tahun, "&amp;DATEDIF(S818,TODAY(),"YM")&amp;" Bulan, "&amp;DATEDIF(S818,TODAY(),"MD")&amp;" Hari")</f>
        <v>27 Tahun, 3 Bulan, 16 Hari</v>
      </c>
      <c r="AC818" s="18" t="n">
        <v>45658</v>
      </c>
      <c r="AD818" s="18" t="n">
        <v>46022</v>
      </c>
      <c r="AE818" s="18" t="s">
        <v>44</v>
      </c>
    </row>
    <row r="819" customFormat="false" ht="15.75" hidden="false" customHeight="true" outlineLevel="0" collapsed="false">
      <c r="A819" s="12" t="n">
        <v>8440</v>
      </c>
      <c r="B819" s="13" t="s">
        <v>3642</v>
      </c>
      <c r="C819" s="14" t="n">
        <v>44824</v>
      </c>
      <c r="D819" s="13" t="s">
        <v>3643</v>
      </c>
      <c r="E819" s="15" t="s">
        <v>33</v>
      </c>
      <c r="F819" s="24" t="s">
        <v>3644</v>
      </c>
      <c r="G819" s="15" t="s">
        <v>2809</v>
      </c>
      <c r="H819" s="13" t="s">
        <v>35</v>
      </c>
      <c r="I819" s="13" t="str">
        <f aca="false">IF(C819=J819,"NEW KONTRAK","RE-KONTRAK")</f>
        <v>RE-KONTRAK</v>
      </c>
      <c r="J819" s="16" t="n">
        <f aca="false" t="array" ref="J819:J819">IFERROR(INDEX(AC819:AE819,IF(COUNTA(AC819:AE819)=0,"",MAX((AC819:AE819&lt;&gt;"")*(COLUMN(AC819:AE819)-(COLUMN(AC819)))))-1),"")</f>
        <v>45505</v>
      </c>
      <c r="K819" s="16" t="n">
        <f aca="false" t="array" ref="K819:K819">IFERROR(INDEX(AC819:AE819,IF(COUNTA(AC819:AE819)=0,"",MAX((AC819:AE819&lt;&gt;"")*(COLUMN(AC819:AE819)-(COLUMN(AC819)-1))))-1),"")</f>
        <v>45869</v>
      </c>
      <c r="L819" s="17" t="str">
        <f aca="false" t="array" ref="L819:L819">IFERROR(INDEX(AC819:AE819,IF(COUNTA(AC819:AE819)=0,"",MAX((AC819:AE819&lt;&gt;"")*(COLUMN(AC819:AE819)-(COLUMN(AC819)-2))))-1),"")</f>
        <v>ARCHIVED</v>
      </c>
      <c r="M819" s="13" t="n">
        <f aca="true">K819-TODAY()</f>
        <v>-455</v>
      </c>
      <c r="N819" s="18" t="s">
        <v>728</v>
      </c>
      <c r="O819" s="13" t="s">
        <v>750</v>
      </c>
      <c r="P819" s="19" t="n">
        <v>2750000</v>
      </c>
      <c r="Q819" s="20" t="s">
        <v>3645</v>
      </c>
      <c r="R819" s="13" t="s">
        <v>255</v>
      </c>
      <c r="S819" s="14" t="n">
        <v>36290</v>
      </c>
      <c r="T819" s="13" t="s">
        <v>40</v>
      </c>
      <c r="U819" s="13" t="s">
        <v>3646</v>
      </c>
      <c r="V819" s="13" t="s">
        <v>42</v>
      </c>
      <c r="W819" s="13" t="s">
        <v>43</v>
      </c>
      <c r="X819" s="21" t="n">
        <v>85731581255</v>
      </c>
      <c r="Y819" s="22" t="str">
        <f aca="false">O819</f>
        <v>Admin</v>
      </c>
      <c r="Z819" s="13" t="str">
        <f aca="false">IFERROR(__xludf.dummyfunction("if(BJ819="""","""",GOOGLETRANSLATE(BJ819,""auto"",""en""))"),"Admin")</f>
        <v>Admin</v>
      </c>
      <c r="AA819" s="23" t="str">
        <f aca="false">IF(C819="","", CHOOSE(MONTH(C819),"January","February","March","April","May","June","July","August","September","October","November","December")&amp;" "&amp;DAY(C819)&amp;MID("thstndrdth",MIN(9,2*RIGHT(DAY(C819))*(MOD(DAY(C819)-11,100)&gt;2)+1),2)&amp;","&amp;TEXT(C819," yyyy"))</f>
        <v>September 20th,2022</v>
      </c>
      <c r="AB819" s="15" t="str">
        <f aca="true">IF(S819="","",DATEDIF(S819,TODAY(),"Y")&amp;" Tahun, "&amp;DATEDIF(S819,TODAY(),"YM")&amp;" Bulan, "&amp;DATEDIF(S819,TODAY(),"MD")&amp;" Hari")</f>
        <v>27 Tahun, 5 Bulan, 19 Hari</v>
      </c>
      <c r="AC819" s="18" t="n">
        <v>45505</v>
      </c>
      <c r="AD819" s="18" t="n">
        <v>45869</v>
      </c>
      <c r="AE819" s="18" t="s">
        <v>44</v>
      </c>
    </row>
    <row r="820" customFormat="false" ht="15.75" hidden="false" customHeight="true" outlineLevel="0" collapsed="false">
      <c r="A820" s="12" t="n">
        <v>8628</v>
      </c>
      <c r="B820" s="13" t="s">
        <v>3647</v>
      </c>
      <c r="C820" s="14" t="n">
        <v>44823</v>
      </c>
      <c r="D820" s="13" t="s">
        <v>613</v>
      </c>
      <c r="E820" s="15" t="s">
        <v>47</v>
      </c>
      <c r="F820" s="15" t="str">
        <f aca="false">IFERROR(__xludf.dummyfunction("XLOOKUP(AJ820,IMPORTRANGE(""1XaInW9DU9nz21V0tYIfzFQ0He9kVQ_JF2mCXgZ3hqFA"",""REKAP ALL 2026 - Andika!G:G""),IMPORTRANGE(""1XaInW9DU9nz21V0tYIfzFQ0He9kVQ_JF2mCXgZ3hqFA"",""REKAP ALL 2026 - Andika!F:F""),"""",0)"),"25133237088")</f>
        <v>25133237088</v>
      </c>
      <c r="G820" s="13" t="s">
        <v>3648</v>
      </c>
      <c r="H820" s="13" t="s">
        <v>35</v>
      </c>
      <c r="I820" s="13" t="str">
        <f aca="false">IF(C820=J820,"NEW KONTRAK","RE-KONTRAK")</f>
        <v>RE-KONTRAK</v>
      </c>
      <c r="J820" s="16" t="n">
        <f aca="false" t="array" ref="J820:J820">IFERROR(INDEX(AC820:AE820,IF(COUNTA(AC820:AE820)=0,"",MAX((AC820:AE820&lt;&gt;"")*(COLUMN(AC820:AE820)-(COLUMN(AC820)))))-1),"")</f>
        <v>45704</v>
      </c>
      <c r="K820" s="16" t="n">
        <f aca="false" t="array" ref="K820:K820">IFERROR(INDEX(AC820:AE820,IF(COUNTA(AC820:AE820)=0,"",MAX((AC820:AE820&lt;&gt;"")*(COLUMN(AC820:AE820)-(COLUMN(AC820)-1))))-1),"")</f>
        <v>45884</v>
      </c>
      <c r="L820" s="17" t="str">
        <f aca="false" t="array" ref="L820:L820">IFERROR(INDEX(AC820:AE820,IF(COUNTA(AC820:AE820)=0,"",MAX((AC820:AE820&lt;&gt;"")*(COLUMN(AC820:AE820)-(COLUMN(AC820)-2))))-1),"")</f>
        <v>ARCHIVED</v>
      </c>
      <c r="M820" s="13" t="n">
        <f aca="true">K820-TODAY()</f>
        <v>-440</v>
      </c>
      <c r="N820" s="18" t="s">
        <v>615</v>
      </c>
      <c r="O820" s="13" t="s">
        <v>58</v>
      </c>
      <c r="P820" s="19" t="n">
        <v>5176101</v>
      </c>
      <c r="Q820" s="20" t="s">
        <v>3649</v>
      </c>
      <c r="R820" s="13" t="s">
        <v>232</v>
      </c>
      <c r="S820" s="14" t="n">
        <v>35642</v>
      </c>
      <c r="T820" s="13" t="s">
        <v>40</v>
      </c>
      <c r="U820" s="13" t="s">
        <v>3650</v>
      </c>
      <c r="V820" s="13" t="s">
        <v>42</v>
      </c>
      <c r="W820" s="13" t="s">
        <v>43</v>
      </c>
      <c r="X820" s="21" t="n">
        <v>85231970283</v>
      </c>
      <c r="Y820" s="22" t="str">
        <f aca="false">O820</f>
        <v>Produksi</v>
      </c>
      <c r="Z820" s="13" t="str">
        <f aca="false">IFERROR(__xludf.dummyfunction("if(BJ820="""","""",GOOGLETRANSLATE(BJ820,""auto"",""en""))"),"Production")</f>
        <v>Production</v>
      </c>
      <c r="AA820" s="23" t="str">
        <f aca="false">IF(C820="","", CHOOSE(MONTH(C820),"January","February","March","April","May","June","July","August","September","October","November","December")&amp;" "&amp;DAY(C820)&amp;MID("thstndrdth",MIN(9,2*RIGHT(DAY(C820))*(MOD(DAY(C820)-11,100)&gt;2)+1),2)&amp;","&amp;TEXT(C820," yyyy"))</f>
        <v>September 19th,2022</v>
      </c>
      <c r="AB820" s="15" t="str">
        <f aca="true">IF(S820="","",DATEDIF(S820,TODAY(),"Y")&amp;" Tahun, "&amp;DATEDIF(S820,TODAY(),"YM")&amp;" Bulan, "&amp;DATEDIF(S820,TODAY(),"MD")&amp;" Hari")</f>
        <v>29 Tahun, 2 Bulan, 28 Hari</v>
      </c>
      <c r="AC820" s="18" t="n">
        <v>45704</v>
      </c>
      <c r="AD820" s="18" t="n">
        <v>45884</v>
      </c>
      <c r="AE820" s="18" t="s">
        <v>44</v>
      </c>
    </row>
    <row r="821" customFormat="false" ht="15.75" hidden="false" customHeight="true" outlineLevel="0" collapsed="false">
      <c r="A821" s="12" t="n">
        <v>8629</v>
      </c>
      <c r="B821" s="13" t="s">
        <v>3651</v>
      </c>
      <c r="C821" s="14" t="n">
        <v>44823</v>
      </c>
      <c r="D821" s="13" t="s">
        <v>613</v>
      </c>
      <c r="E821" s="15" t="s">
        <v>47</v>
      </c>
      <c r="F821" s="15" t="str">
        <f aca="false">IFERROR(__xludf.dummyfunction("XLOOKUP(AJ821,IMPORTRANGE(""1XaInW9DU9nz21V0tYIfzFQ0He9kVQ_JF2mCXgZ3hqFA"",""REKAP ALL 2026 - Andika!G:G""),IMPORTRANGE(""1XaInW9DU9nz21V0tYIfzFQ0He9kVQ_JF2mCXgZ3hqFA"",""REKAP ALL 2026 - Andika!F:F""),"""",0)"),"22116832274")</f>
        <v>22116832274</v>
      </c>
      <c r="G821" s="13" t="s">
        <v>3652</v>
      </c>
      <c r="H821" s="13" t="s">
        <v>35</v>
      </c>
      <c r="I821" s="13" t="str">
        <f aca="false">IF(C821=J821,"NEW KONTRAK","RE-KONTRAK")</f>
        <v>RE-KONTRAK</v>
      </c>
      <c r="J821" s="16" t="n">
        <f aca="false" t="array" ref="J821:J821">IFERROR(INDEX(AC821:AE821,IF(COUNTA(AC821:AE821)=0,"",MAX((AC821:AE821&lt;&gt;"")*(COLUMN(AC821:AE821)-(COLUMN(AC821)))))-1),"")</f>
        <v>45885</v>
      </c>
      <c r="K821" s="16" t="n">
        <f aca="false" t="array" ref="K821:K821">IFERROR(INDEX(AC821:AE821,IF(COUNTA(AC821:AE821)=0,"",MAX((AC821:AE821&lt;&gt;"")*(COLUMN(AC821:AE821)-(COLUMN(AC821)-1))))-1),"")</f>
        <v>46068</v>
      </c>
      <c r="L821" s="17" t="str">
        <f aca="false" t="array" ref="L821:L821">IFERROR(INDEX(AC821:AE821,IF(COUNTA(AC821:AE821)=0,"",MAX((AC821:AE821&lt;&gt;"")*(COLUMN(AC821:AE821)-(COLUMN(AC821)-2))))-1),"")</f>
        <v>ARCHIVED</v>
      </c>
      <c r="M821" s="13" t="n">
        <f aca="true">K821-TODAY()</f>
        <v>-256</v>
      </c>
      <c r="N821" s="18" t="s">
        <v>615</v>
      </c>
      <c r="O821" s="13" t="s">
        <v>58</v>
      </c>
      <c r="P821" s="19" t="n">
        <v>5176101</v>
      </c>
      <c r="Q821" s="20" t="s">
        <v>3653</v>
      </c>
      <c r="R821" s="13" t="s">
        <v>232</v>
      </c>
      <c r="S821" s="14" t="n">
        <v>37259</v>
      </c>
      <c r="T821" s="13" t="s">
        <v>40</v>
      </c>
      <c r="U821" s="13" t="s">
        <v>3654</v>
      </c>
      <c r="V821" s="13" t="s">
        <v>42</v>
      </c>
      <c r="W821" s="13" t="s">
        <v>43</v>
      </c>
      <c r="X821" s="21" t="n">
        <v>88804828296</v>
      </c>
      <c r="Y821" s="22" t="str">
        <f aca="false">O821</f>
        <v>Produksi</v>
      </c>
      <c r="Z821" s="13" t="str">
        <f aca="false">IFERROR(__xludf.dummyfunction("if(BJ821="""","""",GOOGLETRANSLATE(BJ821,""auto"",""en""))"),"Production")</f>
        <v>Production</v>
      </c>
      <c r="AA821" s="23" t="str">
        <f aca="false">IF(C821="","", CHOOSE(MONTH(C821),"January","February","March","April","May","June","July","August","September","October","November","December")&amp;" "&amp;DAY(C821)&amp;MID("thstndrdth",MIN(9,2*RIGHT(DAY(C821))*(MOD(DAY(C821)-11,100)&gt;2)+1),2)&amp;","&amp;TEXT(C821," yyyy"))</f>
        <v>September 19th,2022</v>
      </c>
      <c r="AB821" s="15" t="str">
        <f aca="true">IF(S821="","",DATEDIF(S821,TODAY(),"Y")&amp;" Tahun, "&amp;DATEDIF(S821,TODAY(),"YM")&amp;" Bulan, "&amp;DATEDIF(S821,TODAY(),"MD")&amp;" Hari")</f>
        <v>24 Tahun, 9 Bulan, 26 Hari</v>
      </c>
      <c r="AC821" s="18" t="n">
        <v>45885</v>
      </c>
      <c r="AD821" s="18" t="n">
        <v>46068</v>
      </c>
      <c r="AE821" s="18" t="s">
        <v>44</v>
      </c>
    </row>
    <row r="822" customFormat="false" ht="15.75" hidden="false" customHeight="true" outlineLevel="0" collapsed="false">
      <c r="A822" s="12" t="n">
        <v>8632</v>
      </c>
      <c r="B822" s="13" t="s">
        <v>3655</v>
      </c>
      <c r="C822" s="14" t="n">
        <v>44824</v>
      </c>
      <c r="D822" s="13" t="s">
        <v>613</v>
      </c>
      <c r="E822" s="15" t="s">
        <v>47</v>
      </c>
      <c r="F822" s="15" t="str">
        <f aca="false">IFERROR(__xludf.dummyfunction("XLOOKUP(AJ822,IMPORTRANGE(""1XaInW9DU9nz21V0tYIfzFQ0He9kVQ_JF2mCXgZ3hqFA"",""REKAP ALL 2026 - Andika!G:G""),IMPORTRANGE(""1XaInW9DU9nz21V0tYIfzFQ0He9kVQ_JF2mCXgZ3hqFA"",""REKAP ALL 2026 - Andika!F:F""),"""",0)"),"22099821815")</f>
        <v>22099821815</v>
      </c>
      <c r="G822" s="13" t="s">
        <v>3656</v>
      </c>
      <c r="H822" s="13" t="s">
        <v>35</v>
      </c>
      <c r="I822" s="13" t="str">
        <f aca="false">IF(C822=J822,"NEW KONTRAK","RE-KONTRAK")</f>
        <v>RE-KONTRAK</v>
      </c>
      <c r="J822" s="16" t="n">
        <f aca="false" t="array" ref="J822:J822">IFERROR(INDEX(AC822:AE822,IF(COUNTA(AC822:AE822)=0,"",MAX((AC822:AE822&lt;&gt;"")*(COLUMN(AC822:AE822)-(COLUMN(AC822)))))-1),"")</f>
        <v>45885</v>
      </c>
      <c r="K822" s="16" t="n">
        <f aca="false" t="array" ref="K822:K822">IFERROR(INDEX(AC822:AE822,IF(COUNTA(AC822:AE822)=0,"",MAX((AC822:AE822&lt;&gt;"")*(COLUMN(AC822:AE822)-(COLUMN(AC822)-1))))-1),"")</f>
        <v>46068</v>
      </c>
      <c r="L822" s="17" t="str">
        <f aca="false" t="array" ref="L822:L822">IFERROR(INDEX(AC822:AE822,IF(COUNTA(AC822:AE822)=0,"",MAX((AC822:AE822&lt;&gt;"")*(COLUMN(AC822:AE822)-(COLUMN(AC822)-2))))-1),"")</f>
        <v>ARCHIVED</v>
      </c>
      <c r="M822" s="13" t="n">
        <f aca="true">K822-TODAY()</f>
        <v>-256</v>
      </c>
      <c r="N822" s="18" t="s">
        <v>615</v>
      </c>
      <c r="O822" s="13" t="s">
        <v>58</v>
      </c>
      <c r="P822" s="19" t="n">
        <v>5176101</v>
      </c>
      <c r="Q822" s="20" t="s">
        <v>3657</v>
      </c>
      <c r="R822" s="13" t="s">
        <v>232</v>
      </c>
      <c r="S822" s="14" t="n">
        <v>33914</v>
      </c>
      <c r="T822" s="13" t="s">
        <v>40</v>
      </c>
      <c r="U822" s="13" t="s">
        <v>3658</v>
      </c>
      <c r="V822" s="13" t="s">
        <v>42</v>
      </c>
      <c r="W822" s="13" t="s">
        <v>54</v>
      </c>
      <c r="X822" s="21" t="n">
        <v>81999250052</v>
      </c>
      <c r="Y822" s="22" t="str">
        <f aca="false">O822</f>
        <v>Produksi</v>
      </c>
      <c r="Z822" s="13" t="str">
        <f aca="false">IFERROR(__xludf.dummyfunction("if(BJ822="""","""",GOOGLETRANSLATE(BJ822,""auto"",""en""))"),"Production")</f>
        <v>Production</v>
      </c>
      <c r="AA822" s="23" t="str">
        <f aca="false">IF(C822="","", CHOOSE(MONTH(C822),"January","February","March","April","May","June","July","August","September","October","November","December")&amp;" "&amp;DAY(C822)&amp;MID("thstndrdth",MIN(9,2*RIGHT(DAY(C822))*(MOD(DAY(C822)-11,100)&gt;2)+1),2)&amp;","&amp;TEXT(C822," yyyy"))</f>
        <v>September 20th,2022</v>
      </c>
      <c r="AB822" s="15" t="str">
        <f aca="true">IF(S822="","",DATEDIF(S822,TODAY(),"Y")&amp;" Tahun, "&amp;DATEDIF(S822,TODAY(),"YM")&amp;" Bulan, "&amp;DATEDIF(S822,TODAY(),"MD")&amp;" Hari")</f>
        <v>33 Tahun, 11 Bulan, 23 Hari</v>
      </c>
      <c r="AC822" s="18" t="n">
        <v>45885</v>
      </c>
      <c r="AD822" s="18" t="n">
        <v>46068</v>
      </c>
      <c r="AE822" s="18" t="s">
        <v>44</v>
      </c>
    </row>
    <row r="823" customFormat="false" ht="15.75" hidden="false" customHeight="true" outlineLevel="0" collapsed="false">
      <c r="A823" s="12" t="n">
        <v>8635</v>
      </c>
      <c r="B823" s="13" t="s">
        <v>3659</v>
      </c>
      <c r="C823" s="14" t="n">
        <v>44815</v>
      </c>
      <c r="D823" s="13" t="s">
        <v>2607</v>
      </c>
      <c r="E823" s="15" t="s">
        <v>47</v>
      </c>
      <c r="F823" s="15" t="str">
        <f aca="false">IFERROR(__xludf.dummyfunction("XLOOKUP(AJ823,IMPORTRANGE(""1XaInW9DU9nz21V0tYIfzFQ0He9kVQ_JF2mCXgZ3hqFA"",""REKAP ALL 2026 - Andika!G:G""),IMPORTRANGE(""1XaInW9DU9nz21V0tYIfzFQ0He9kVQ_JF2mCXgZ3hqFA"",""REKAP ALL 2026 - Andika!F:F""),"""",0)"),"22116833389")</f>
        <v>22116833389</v>
      </c>
      <c r="G823" s="13" t="s">
        <v>3660</v>
      </c>
      <c r="H823" s="13" t="s">
        <v>35</v>
      </c>
      <c r="I823" s="13" t="str">
        <f aca="false">IF(C823=J823,"NEW KONTRAK","RE-KONTRAK")</f>
        <v>RE-KONTRAK</v>
      </c>
      <c r="J823" s="16" t="n">
        <f aca="false" t="array" ref="J823:J823">IFERROR(INDEX(AC823:AE823,IF(COUNTA(AC823:AE823)=0,"",MAX((AC823:AE823&lt;&gt;"")*(COLUMN(AC823:AE823)-(COLUMN(AC823)))))-1),"")</f>
        <v>45569</v>
      </c>
      <c r="K823" s="16" t="n">
        <f aca="false" t="array" ref="K823:K823">IFERROR(INDEX(AC823:AE823,IF(COUNTA(AC823:AE823)=0,"",MAX((AC823:AE823&lt;&gt;"")*(COLUMN(AC823:AE823)-(COLUMN(AC823)-1))))-1),"")</f>
        <v>45933</v>
      </c>
      <c r="L823" s="17" t="str">
        <f aca="false" t="array" ref="L823:L823">IFERROR(INDEX(AC823:AE823,IF(COUNTA(AC823:AE823)=0,"",MAX((AC823:AE823&lt;&gt;"")*(COLUMN(AC823:AE823)-(COLUMN(AC823)-2))))-1),"")</f>
        <v>ARCHIVED</v>
      </c>
      <c r="M823" s="13" t="n">
        <f aca="true">K823-TODAY()</f>
        <v>-391</v>
      </c>
      <c r="N823" s="18" t="s">
        <v>36</v>
      </c>
      <c r="O823" s="13" t="s">
        <v>76</v>
      </c>
      <c r="P823" s="19" t="n">
        <v>5195401</v>
      </c>
      <c r="Q823" s="20" t="s">
        <v>3661</v>
      </c>
      <c r="R823" s="13" t="s">
        <v>65</v>
      </c>
      <c r="S823" s="14" t="n">
        <v>24369</v>
      </c>
      <c r="T823" s="13" t="s">
        <v>40</v>
      </c>
      <c r="U823" s="13" t="s">
        <v>3662</v>
      </c>
      <c r="V823" s="13" t="s">
        <v>42</v>
      </c>
      <c r="W823" s="13" t="s">
        <v>54</v>
      </c>
      <c r="X823" s="21" t="n">
        <v>85755613104</v>
      </c>
      <c r="Y823" s="22" t="str">
        <f aca="false">O823</f>
        <v>Operator Forklift</v>
      </c>
      <c r="Z823" s="13" t="str">
        <f aca="false">IFERROR(__xludf.dummyfunction("if(BJ823="""","""",GOOGLETRANSLATE(BJ823,""auto"",""en""))"),"Operator Forklift")</f>
        <v>Operator Forklift</v>
      </c>
      <c r="AA823" s="23" t="str">
        <f aca="false">IF(C823="","", CHOOSE(MONTH(C823),"January","February","March","April","May","June","July","August","September","October","November","December")&amp;" "&amp;DAY(C823)&amp;MID("thstndrdth",MIN(9,2*RIGHT(DAY(C823))*(MOD(DAY(C823)-11,100)&gt;2)+1),2)&amp;","&amp;TEXT(C823," yyyy"))</f>
        <v>September 11th,2022</v>
      </c>
      <c r="AB823" s="15" t="str">
        <f aca="true">IF(S823="","",DATEDIF(S823,TODAY(),"Y")&amp;" Tahun, "&amp;DATEDIF(S823,TODAY(),"YM")&amp;" Bulan, "&amp;DATEDIF(S823,TODAY(),"MD")&amp;" Hari")</f>
        <v>60 Tahun, 1 Bulan, 10 Hari</v>
      </c>
      <c r="AC823" s="18" t="n">
        <v>45569</v>
      </c>
      <c r="AD823" s="18" t="n">
        <v>45933</v>
      </c>
      <c r="AE823" s="18" t="s">
        <v>44</v>
      </c>
    </row>
    <row r="824" customFormat="false" ht="15.75" hidden="false" customHeight="true" outlineLevel="0" collapsed="false">
      <c r="A824" s="12" t="n">
        <v>8637</v>
      </c>
      <c r="B824" s="13" t="s">
        <v>3663</v>
      </c>
      <c r="C824" s="14" t="n">
        <v>44815</v>
      </c>
      <c r="D824" s="13" t="s">
        <v>2046</v>
      </c>
      <c r="E824" s="15" t="s">
        <v>102</v>
      </c>
      <c r="F824" s="15" t="str">
        <f aca="false">IFERROR(__xludf.dummyfunction("XLOOKUP(AJ824,IMPORTRANGE(""1XaInW9DU9nz21V0tYIfzFQ0He9kVQ_JF2mCXgZ3hqFA"",""REKAP ALL 2026 - Andika!G:G""),IMPORTRANGE(""1XaInW9DU9nz21V0tYIfzFQ0He9kVQ_JF2mCXgZ3hqFA"",""REKAP ALL 2026 - Andika!F:F""),"""",0)"),"26062995647")</f>
        <v>26062995647</v>
      </c>
      <c r="G824" s="13" t="s">
        <v>3664</v>
      </c>
      <c r="H824" s="13" t="s">
        <v>35</v>
      </c>
      <c r="I824" s="13" t="str">
        <f aca="false">IF(C824=J824,"NEW KONTRAK","RE-KONTRAK")</f>
        <v>RE-KONTRAK</v>
      </c>
      <c r="J824" s="16" t="n">
        <f aca="false" t="array" ref="J824:J824">IFERROR(INDEX(AC824:AE824,IF(COUNTA(AC824:AE824)=0,"",MAX((AC824:AE824&lt;&gt;"")*(COLUMN(AC824:AE824)-(COLUMN(AC824)))))-1),"")</f>
        <v>45839</v>
      </c>
      <c r="K824" s="16" t="n">
        <f aca="false" t="array" ref="K824:K824">IFERROR(INDEX(AC824:AE824,IF(COUNTA(AC824:AE824)=0,"",MAX((AC824:AE824&lt;&gt;"")*(COLUMN(AC824:AE824)-(COLUMN(AC824)-1))))-1),"")</f>
        <v>45961</v>
      </c>
      <c r="L824" s="17" t="str">
        <f aca="false" t="array" ref="L824:L824">IFERROR(INDEX(AC824:AE824,IF(COUNTA(AC824:AE824)=0,"",MAX((AC824:AE824&lt;&gt;"")*(COLUMN(AC824:AE824)-(COLUMN(AC824)-2))))-1),"")</f>
        <v>ARCHIVED</v>
      </c>
      <c r="M824" s="13" t="n">
        <f aca="true">K824-TODAY()</f>
        <v>-363</v>
      </c>
      <c r="N824" s="18" t="s">
        <v>36</v>
      </c>
      <c r="O824" s="13" t="s">
        <v>1773</v>
      </c>
      <c r="P824" s="19" t="s">
        <v>3133</v>
      </c>
      <c r="Q824" s="20" t="s">
        <v>3665</v>
      </c>
      <c r="R824" s="13" t="s">
        <v>52</v>
      </c>
      <c r="S824" s="14" t="n">
        <v>38194</v>
      </c>
      <c r="T824" s="13" t="s">
        <v>40</v>
      </c>
      <c r="U824" s="13" t="s">
        <v>3666</v>
      </c>
      <c r="V824" s="13" t="s">
        <v>42</v>
      </c>
      <c r="W824" s="13" t="s">
        <v>43</v>
      </c>
      <c r="X824" s="21" t="n">
        <v>88989643103</v>
      </c>
      <c r="Y824" s="22" t="str">
        <f aca="false">O824</f>
        <v>Warehouse</v>
      </c>
      <c r="Z824" s="13" t="str">
        <f aca="false">IFERROR(__xludf.dummyfunction("if(BJ824="""","""",GOOGLETRANSLATE(BJ824,""auto"",""en""))"),"Warehouse")</f>
        <v>Warehouse</v>
      </c>
      <c r="AA824" s="23" t="str">
        <f aca="false">IF(C824="","", CHOOSE(MONTH(C824),"January","February","March","April","May","June","July","August","September","October","November","December")&amp;" "&amp;DAY(C824)&amp;MID("thstndrdth",MIN(9,2*RIGHT(DAY(C824))*(MOD(DAY(C824)-11,100)&gt;2)+1),2)&amp;","&amp;TEXT(C824," yyyy"))</f>
        <v>September 11th,2022</v>
      </c>
      <c r="AB824" s="15" t="str">
        <f aca="true">IF(S824="","",DATEDIF(S824,TODAY(),"Y")&amp;" Tahun, "&amp;DATEDIF(S824,TODAY(),"YM")&amp;" Bulan, "&amp;DATEDIF(S824,TODAY(),"MD")&amp;" Hari")</f>
        <v>22 Tahun, 3 Bulan, 3 Hari</v>
      </c>
      <c r="AC824" s="18" t="n">
        <v>45839</v>
      </c>
      <c r="AD824" s="18" t="n">
        <v>45961</v>
      </c>
      <c r="AE824" s="18" t="s">
        <v>44</v>
      </c>
    </row>
    <row r="825" customFormat="false" ht="15.75" hidden="false" customHeight="true" outlineLevel="0" collapsed="false">
      <c r="A825" s="12" t="n">
        <v>8640</v>
      </c>
      <c r="B825" s="13" t="s">
        <v>3667</v>
      </c>
      <c r="C825" s="14" t="n">
        <v>45961</v>
      </c>
      <c r="D825" s="13" t="s">
        <v>613</v>
      </c>
      <c r="E825" s="15" t="s">
        <v>47</v>
      </c>
      <c r="F825" s="15" t="str">
        <f aca="false">IFERROR(__xludf.dummyfunction("XLOOKUP(AJ825,IMPORTRANGE(""1XaInW9DU9nz21V0tYIfzFQ0He9kVQ_JF2mCXgZ3hqFA"",""REKAP ALL 2026 - Andika!G:G""),IMPORTRANGE(""1XaInW9DU9nz21V0tYIfzFQ0He9kVQ_JF2mCXgZ3hqFA"",""REKAP ALL 2026 - Andika!F:F""),"""",0)"),"22116832332")</f>
        <v>22116832332</v>
      </c>
      <c r="G825" s="13" t="s">
        <v>3668</v>
      </c>
      <c r="H825" s="13" t="s">
        <v>35</v>
      </c>
      <c r="I825" s="13" t="str">
        <f aca="false">IF(C825=J825,"NEW KONTRAK","RE-KONTRAK")</f>
        <v>NEW KONTRAK</v>
      </c>
      <c r="J825" s="16" t="n">
        <f aca="false" t="array" ref="J825:J825">IFERROR(INDEX(AC825:AE825,IF(COUNTA(AC825:AE825)=0,"",MAX((AC825:AE825&lt;&gt;"")*(COLUMN(AC825:AE825)-(COLUMN(AC825)))))-1),"")</f>
        <v>45961</v>
      </c>
      <c r="K825" s="16" t="n">
        <f aca="false" t="array" ref="K825:K825">IFERROR(INDEX(AC825:AE825,IF(COUNTA(AC825:AE825)=0,"",MAX((AC825:AE825&lt;&gt;"")*(COLUMN(AC825:AE825)-(COLUMN(AC825)-1))))-1),"")</f>
        <v>46037</v>
      </c>
      <c r="L825" s="17" t="str">
        <f aca="false" t="array" ref="L825:L825">IFERROR(INDEX(AC825:AE825,IF(COUNTA(AC825:AE825)=0,"",MAX((AC825:AE825&lt;&gt;"")*(COLUMN(AC825:AE825)-(COLUMN(AC825)-2))))-1),"")</f>
        <v>ARCHIVED</v>
      </c>
      <c r="M825" s="13" t="n">
        <f aca="true">K825-TODAY()</f>
        <v>-287</v>
      </c>
      <c r="N825" s="18" t="s">
        <v>615</v>
      </c>
      <c r="O825" s="13" t="s">
        <v>58</v>
      </c>
      <c r="P825" s="19" t="n">
        <v>5176101</v>
      </c>
      <c r="Q825" s="20" t="s">
        <v>3669</v>
      </c>
      <c r="R825" s="13" t="s">
        <v>232</v>
      </c>
      <c r="S825" s="14" t="n">
        <v>35144</v>
      </c>
      <c r="T825" s="13" t="s">
        <v>40</v>
      </c>
      <c r="U825" s="13" t="s">
        <v>652</v>
      </c>
      <c r="V825" s="13" t="s">
        <v>42</v>
      </c>
      <c r="W825" s="13" t="s">
        <v>54</v>
      </c>
      <c r="X825" s="21" t="n">
        <v>81359810942</v>
      </c>
      <c r="Y825" s="22" t="str">
        <f aca="false">O825</f>
        <v>Produksi</v>
      </c>
      <c r="Z825" s="13" t="str">
        <f aca="false">IFERROR(__xludf.dummyfunction("if(BJ825="""","""",GOOGLETRANSLATE(BJ825,""auto"",""en""))"),"Production")</f>
        <v>Production</v>
      </c>
      <c r="AA825" s="23" t="str">
        <f aca="false">IF(C825="","", CHOOSE(MONTH(C825),"January","February","March","April","May","June","July","August","September","October","November","December")&amp;" "&amp;DAY(C825)&amp;MID("thstndrdth",MIN(9,2*RIGHT(DAY(C825))*(MOD(DAY(C825)-11,100)&gt;2)+1),2)&amp;","&amp;TEXT(C825," yyyy"))</f>
        <v>October 31st,2025</v>
      </c>
      <c r="AB825" s="15" t="str">
        <f aca="true">IF(S825="","",DATEDIF(S825,TODAY(),"Y")&amp;" Tahun, "&amp;DATEDIF(S825,TODAY(),"YM")&amp;" Bulan, "&amp;DATEDIF(S825,TODAY(),"MD")&amp;" Hari")</f>
        <v>30 Tahun, 7 Bulan, 9 Hari</v>
      </c>
      <c r="AC825" s="53" t="n">
        <v>45961</v>
      </c>
      <c r="AD825" s="18" t="n">
        <v>46037</v>
      </c>
      <c r="AE825" s="13" t="s">
        <v>44</v>
      </c>
    </row>
    <row r="826" customFormat="false" ht="15.75" hidden="false" customHeight="true" outlineLevel="0" collapsed="false">
      <c r="A826" s="12" t="n">
        <v>8641</v>
      </c>
      <c r="B826" s="13" t="s">
        <v>3670</v>
      </c>
      <c r="C826" s="14" t="n">
        <v>44837</v>
      </c>
      <c r="D826" s="13" t="s">
        <v>144</v>
      </c>
      <c r="E826" s="15" t="s">
        <v>33</v>
      </c>
      <c r="F826" s="24" t="s">
        <v>3671</v>
      </c>
      <c r="G826" s="13" t="s">
        <v>3672</v>
      </c>
      <c r="H826" s="13" t="s">
        <v>35</v>
      </c>
      <c r="I826" s="13" t="str">
        <f aca="false">IF(C826=J826,"NEW KONTRAK","RE-KONTRAK")</f>
        <v>RE-KONTRAK</v>
      </c>
      <c r="J826" s="16" t="n">
        <f aca="false" t="array" ref="J826:J826">IFERROR(INDEX(AC826:AE826,IF(COUNTA(AC826:AE826)=0,"",MAX((AC826:AE826&lt;&gt;"")*(COLUMN(AC826:AE826)-(COLUMN(AC826)))))-1),"")</f>
        <v>45658</v>
      </c>
      <c r="K826" s="16" t="n">
        <f aca="false" t="array" ref="K826:K826">IFERROR(INDEX(AC826:AE826,IF(COUNTA(AC826:AE826)=0,"",MAX((AC826:AE826&lt;&gt;"")*(COLUMN(AC826:AE826)-(COLUMN(AC826)-1))))-1),"")</f>
        <v>46022</v>
      </c>
      <c r="L826" s="17" t="str">
        <f aca="false" t="array" ref="L826:L826">IFERROR(INDEX(AC826:AE826,IF(COUNTA(AC826:AE826)=0,"",MAX((AC826:AE826&lt;&gt;"")*(COLUMN(AC826:AE826)-(COLUMN(AC826)-2))))-1),"")</f>
        <v>ARCHIVED</v>
      </c>
      <c r="M826" s="13" t="n">
        <f aca="true">K826-TODAY()</f>
        <v>-302</v>
      </c>
      <c r="N826" s="18" t="s">
        <v>36</v>
      </c>
      <c r="O826" s="13" t="s">
        <v>146</v>
      </c>
      <c r="P826" s="19" t="n">
        <v>5195401</v>
      </c>
      <c r="Q826" s="20" t="s">
        <v>3673</v>
      </c>
      <c r="R826" s="13" t="s">
        <v>73</v>
      </c>
      <c r="S826" s="14" t="n">
        <v>24744</v>
      </c>
      <c r="T826" s="13" t="s">
        <v>40</v>
      </c>
      <c r="U826" s="13" t="s">
        <v>3674</v>
      </c>
      <c r="V826" s="13" t="s">
        <v>42</v>
      </c>
      <c r="W826" s="13" t="s">
        <v>54</v>
      </c>
      <c r="X826" s="21" t="n">
        <v>81333741714</v>
      </c>
      <c r="Y826" s="22" t="str">
        <f aca="false">O826</f>
        <v>Enamel</v>
      </c>
      <c r="Z826" s="13" t="str">
        <f aca="false">IFERROR(__xludf.dummyfunction("if(BJ826="""","""",GOOGLETRANSLATE(BJ826,""auto"",""en""))"),"Enamel")</f>
        <v>Enamel</v>
      </c>
      <c r="AA826" s="23" t="str">
        <f aca="false">IF(C826="","", CHOOSE(MONTH(C826),"January","February","March","April","May","June","July","August","September","October","November","December")&amp;" "&amp;DAY(C826)&amp;MID("thstndrdth",MIN(9,2*RIGHT(DAY(C826))*(MOD(DAY(C826)-11,100)&gt;2)+1),2)&amp;","&amp;TEXT(C826," yyyy"))</f>
        <v>October 3rd,2022</v>
      </c>
      <c r="AB826" s="15" t="str">
        <f aca="true">IF(S826="","",DATEDIF(S826,TODAY(),"Y")&amp;" Tahun, "&amp;DATEDIF(S826,TODAY(),"YM")&amp;" Bulan, "&amp;DATEDIF(S826,TODAY(),"MD")&amp;" Hari")</f>
        <v>59 Tahun, 1 Bulan, 0 Hari</v>
      </c>
      <c r="AC826" s="18" t="n">
        <v>45658</v>
      </c>
      <c r="AD826" s="18" t="n">
        <v>46022</v>
      </c>
      <c r="AE826" s="18" t="s">
        <v>44</v>
      </c>
    </row>
    <row r="827" customFormat="false" ht="15.75" hidden="false" customHeight="true" outlineLevel="0" collapsed="false">
      <c r="A827" s="12" t="n">
        <v>8698</v>
      </c>
      <c r="B827" s="13" t="s">
        <v>3675</v>
      </c>
      <c r="C827" s="14" t="n">
        <v>44847</v>
      </c>
      <c r="D827" s="13" t="s">
        <v>774</v>
      </c>
      <c r="E827" s="15" t="s">
        <v>47</v>
      </c>
      <c r="F827" s="15" t="str">
        <f aca="false">IFERROR(__xludf.dummyfunction("XLOOKUP(AJ827,IMPORTRANGE(""1XaInW9DU9nz21V0tYIfzFQ0He9kVQ_JF2mCXgZ3hqFA"",""REKAP ALL 2026 - Andika!G:G""),IMPORTRANGE(""1XaInW9DU9nz21V0tYIfzFQ0He9kVQ_JF2mCXgZ3hqFA"",""REKAP ALL 2026 - Andika!F:F""),"""",0)"),"23006033833")</f>
        <v>23006033833</v>
      </c>
      <c r="G827" s="13" t="s">
        <v>3676</v>
      </c>
      <c r="H827" s="13" t="s">
        <v>49</v>
      </c>
      <c r="I827" s="13" t="str">
        <f aca="false">IF(C827=J827,"NEW KONTRAK","RE-KONTRAK")</f>
        <v>RE-KONTRAK</v>
      </c>
      <c r="J827" s="16" t="n">
        <f aca="false" t="array" ref="J827:J827">IFERROR(INDEX(AC827:AE827,IF(COUNTA(AC827:AE827)=0,"",MAX((AC827:AE827&lt;&gt;"")*(COLUMN(AC827:AE827)-(COLUMN(AC827)))))-1),"")</f>
        <v>45566</v>
      </c>
      <c r="K827" s="16" t="n">
        <f aca="false" t="array" ref="K827:K827">IFERROR(INDEX(AC827:AE827,IF(COUNTA(AC827:AE827)=0,"",MAX((AC827:AE827&lt;&gt;"")*(COLUMN(AC827:AE827)-(COLUMN(AC827)-1))))-1),"")</f>
        <v>45930</v>
      </c>
      <c r="L827" s="17" t="str">
        <f aca="false" t="array" ref="L827:L827">IFERROR(INDEX(AC827:AE827,IF(COUNTA(AC827:AE827)=0,"",MAX((AC827:AE827&lt;&gt;"")*(COLUMN(AC827:AE827)-(COLUMN(AC827)-2))))-1),"")</f>
        <v>ARCHIVED</v>
      </c>
      <c r="M827" s="13" t="n">
        <f aca="true">K827-TODAY()</f>
        <v>-394</v>
      </c>
      <c r="N827" s="18" t="s">
        <v>36</v>
      </c>
      <c r="O827" s="13" t="s">
        <v>830</v>
      </c>
      <c r="P827" s="19" t="n">
        <v>5195500</v>
      </c>
      <c r="Q827" s="20" t="s">
        <v>3677</v>
      </c>
      <c r="R827" s="13" t="s">
        <v>52</v>
      </c>
      <c r="S827" s="14" t="n">
        <v>37092</v>
      </c>
      <c r="T827" s="13" t="s">
        <v>40</v>
      </c>
      <c r="U827" s="13" t="s">
        <v>3678</v>
      </c>
      <c r="V827" s="13" t="s">
        <v>42</v>
      </c>
      <c r="W827" s="13" t="s">
        <v>43</v>
      </c>
      <c r="X827" s="21" t="n">
        <v>895379056682</v>
      </c>
      <c r="Y827" s="22" t="str">
        <f aca="false">O827</f>
        <v>Flatbar</v>
      </c>
      <c r="Z827" s="13" t="str">
        <f aca="false">IFERROR(__xludf.dummyfunction("if(BJ827="""","""",GOOGLETRANSLATE(BJ827,""auto"",""en""))"),"Flatbar")</f>
        <v>Flatbar</v>
      </c>
      <c r="AA827" s="23" t="str">
        <f aca="false">IF(C827="","", CHOOSE(MONTH(C827),"January","February","March","April","May","June","July","August","September","October","November","December")&amp;" "&amp;DAY(C827)&amp;MID("thstndrdth",MIN(9,2*RIGHT(DAY(C827))*(MOD(DAY(C827)-11,100)&gt;2)+1),2)&amp;","&amp;TEXT(C827," yyyy"))</f>
        <v>October 13th,2022</v>
      </c>
      <c r="AB827" s="15" t="str">
        <f aca="true">IF(S827="","",DATEDIF(S827,TODAY(),"Y")&amp;" Tahun, "&amp;DATEDIF(S827,TODAY(),"YM")&amp;" Bulan, "&amp;DATEDIF(S827,TODAY(),"MD")&amp;" Hari")</f>
        <v>25 Tahun, 3 Bulan, 9 Hari</v>
      </c>
      <c r="AC827" s="18" t="n">
        <v>45566</v>
      </c>
      <c r="AD827" s="18" t="n">
        <v>45930</v>
      </c>
      <c r="AE827" s="18" t="s">
        <v>44</v>
      </c>
    </row>
    <row r="828" customFormat="false" ht="15.75" hidden="false" customHeight="true" outlineLevel="0" collapsed="false">
      <c r="A828" s="12" t="n">
        <v>8732</v>
      </c>
      <c r="B828" s="13" t="s">
        <v>3679</v>
      </c>
      <c r="C828" s="14" t="n">
        <v>44851</v>
      </c>
      <c r="D828" s="13" t="s">
        <v>1066</v>
      </c>
      <c r="E828" s="15" t="s">
        <v>47</v>
      </c>
      <c r="F828" s="15" t="str">
        <f aca="false">IFERROR(__xludf.dummyfunction("XLOOKUP(AJ828,IMPORTRANGE(""1XaInW9DU9nz21V0tYIfzFQ0He9kVQ_JF2mCXgZ3hqFA"",""REKAP ALL 2026 - Andika!G:G""),IMPORTRANGE(""1XaInW9DU9nz21V0tYIfzFQ0He9kVQ_JF2mCXgZ3hqFA"",""REKAP ALL 2026 - Andika!F:F""),"""",0)"),"22135286361")</f>
        <v>22135286361</v>
      </c>
      <c r="G828" s="13" t="s">
        <v>3680</v>
      </c>
      <c r="H828" s="13" t="s">
        <v>35</v>
      </c>
      <c r="I828" s="13" t="str">
        <f aca="false">IF(C828=J828,"NEW KONTRAK","RE-KONTRAK")</f>
        <v>RE-KONTRAK</v>
      </c>
      <c r="J828" s="16" t="n">
        <f aca="false" t="array" ref="J828:J828">IFERROR(INDEX(AC828:AE828,IF(COUNTA(AC828:AE828)=0,"",MAX((AC828:AE828&lt;&gt;"")*(COLUMN(AC828:AE828)-(COLUMN(AC828)))))-1),"")</f>
        <v>45658</v>
      </c>
      <c r="K828" s="16" t="n">
        <f aca="false" t="array" ref="K828:K828">IFERROR(INDEX(AC828:AE828,IF(COUNTA(AC828:AE828)=0,"",MAX((AC828:AE828&lt;&gt;"")*(COLUMN(AC828:AE828)-(COLUMN(AC828)-1))))-1),"")</f>
        <v>46022</v>
      </c>
      <c r="L828" s="17" t="str">
        <f aca="false" t="array" ref="L828:L828">IFERROR(INDEX(AC828:AE828,IF(COUNTA(AC828:AE828)=0,"",MAX((AC828:AE828&lt;&gt;"")*(COLUMN(AC828:AE828)-(COLUMN(AC828)-2))))-1),"")</f>
        <v>ARCHIVED</v>
      </c>
      <c r="M828" s="13" t="n">
        <f aca="true">K828-TODAY()</f>
        <v>-302</v>
      </c>
      <c r="N828" s="18" t="s">
        <v>615</v>
      </c>
      <c r="O828" s="13" t="s">
        <v>1203</v>
      </c>
      <c r="P828" s="19" t="n">
        <v>5176101</v>
      </c>
      <c r="Q828" s="20" t="s">
        <v>3681</v>
      </c>
      <c r="R828" s="13" t="s">
        <v>168</v>
      </c>
      <c r="S828" s="14" t="n">
        <v>35219</v>
      </c>
      <c r="T828" s="13" t="s">
        <v>40</v>
      </c>
      <c r="U828" s="13" t="s">
        <v>3682</v>
      </c>
      <c r="V828" s="13" t="s">
        <v>42</v>
      </c>
      <c r="W828" s="13" t="s">
        <v>43</v>
      </c>
      <c r="X828" s="21" t="n">
        <v>85608104142</v>
      </c>
      <c r="Y828" s="22" t="str">
        <f aca="false">O828</f>
        <v>Procuction Dumping Helper</v>
      </c>
      <c r="Z828" s="13" t="str">
        <f aca="false">IFERROR(__xludf.dummyfunction("if(BJ828="""","""",GOOGLETRANSLATE(BJ828,""auto"",""en""))"),"Procuction Dumping Helper")</f>
        <v>Procuction Dumping Helper</v>
      </c>
      <c r="AA828" s="23" t="str">
        <f aca="false">IF(C828="","", CHOOSE(MONTH(C828),"January","February","March","April","May","June","July","August","September","October","November","December")&amp;" "&amp;DAY(C828)&amp;MID("thstndrdth",MIN(9,2*RIGHT(DAY(C828))*(MOD(DAY(C828)-11,100)&gt;2)+1),2)&amp;","&amp;TEXT(C828," yyyy"))</f>
        <v>October 17th,2022</v>
      </c>
      <c r="AB828" s="15" t="str">
        <f aca="true">IF(S828="","",DATEDIF(S828,TODAY(),"Y")&amp;" Tahun, "&amp;DATEDIF(S828,TODAY(),"YM")&amp;" Bulan, "&amp;DATEDIF(S828,TODAY(),"MD")&amp;" Hari")</f>
        <v>30 Tahun, 4 Bulan, 26 Hari</v>
      </c>
      <c r="AC828" s="18" t="n">
        <v>45658</v>
      </c>
      <c r="AD828" s="18" t="n">
        <v>46022</v>
      </c>
      <c r="AE828" s="18" t="s">
        <v>44</v>
      </c>
    </row>
    <row r="829" customFormat="false" ht="15.75" hidden="false" customHeight="true" outlineLevel="0" collapsed="false">
      <c r="A829" s="12" t="n">
        <v>8747</v>
      </c>
      <c r="B829" s="13" t="s">
        <v>3683</v>
      </c>
      <c r="C829" s="14" t="n">
        <v>44851</v>
      </c>
      <c r="D829" s="13" t="s">
        <v>613</v>
      </c>
      <c r="E829" s="15" t="s">
        <v>47</v>
      </c>
      <c r="F829" s="15" t="str">
        <f aca="false">IFERROR(__xludf.dummyfunction("XLOOKUP(AJ829,IMPORTRANGE(""1XaInW9DU9nz21V0tYIfzFQ0He9kVQ_JF2mCXgZ3hqFA"",""REKAP ALL 2026 - Andika!G:G""),IMPORTRANGE(""1XaInW9DU9nz21V0tYIfzFQ0He9kVQ_JF2mCXgZ3hqFA"",""REKAP ALL 2026 - Andika!F:F""),"""",0)"),"22135285231")</f>
        <v>22135285231</v>
      </c>
      <c r="G829" s="13" t="s">
        <v>3684</v>
      </c>
      <c r="H829" s="13" t="s">
        <v>35</v>
      </c>
      <c r="I829" s="13" t="str">
        <f aca="false">IF(C829=J829,"NEW KONTRAK","RE-KONTRAK")</f>
        <v>RE-KONTRAK</v>
      </c>
      <c r="J829" s="16" t="n">
        <f aca="false" t="array" ref="J829:J829">IFERROR(INDEX(AC829:AE829,IF(COUNTA(AC829:AE829)=0,"",MAX((AC829:AE829&lt;&gt;"")*(COLUMN(AC829:AE829)-(COLUMN(AC829)))))-1),"")</f>
        <v>45885</v>
      </c>
      <c r="K829" s="16" t="n">
        <f aca="false" t="array" ref="K829:K829">IFERROR(INDEX(AC829:AE829,IF(COUNTA(AC829:AE829)=0,"",MAX((AC829:AE829&lt;&gt;"")*(COLUMN(AC829:AE829)-(COLUMN(AC829)-1))))-1),"")</f>
        <v>46068</v>
      </c>
      <c r="L829" s="17" t="str">
        <f aca="false" t="array" ref="L829:L829">IFERROR(INDEX(AC829:AE829,IF(COUNTA(AC829:AE829)=0,"",MAX((AC829:AE829&lt;&gt;"")*(COLUMN(AC829:AE829)-(COLUMN(AC829)-2))))-1),"")</f>
        <v>ARCHIVED</v>
      </c>
      <c r="M829" s="13" t="n">
        <f aca="true">K829-TODAY()</f>
        <v>-256</v>
      </c>
      <c r="N829" s="18" t="s">
        <v>615</v>
      </c>
      <c r="O829" s="13" t="s">
        <v>50</v>
      </c>
      <c r="P829" s="19" t="n">
        <v>5176101</v>
      </c>
      <c r="Q829" s="20" t="s">
        <v>3685</v>
      </c>
      <c r="R829" s="13" t="s">
        <v>232</v>
      </c>
      <c r="S829" s="14" t="n">
        <v>35863</v>
      </c>
      <c r="T829" s="13" t="s">
        <v>40</v>
      </c>
      <c r="U829" s="13" t="s">
        <v>3686</v>
      </c>
      <c r="V829" s="13" t="s">
        <v>42</v>
      </c>
      <c r="W829" s="13" t="s">
        <v>54</v>
      </c>
      <c r="X829" s="21" t="n">
        <v>81235071725</v>
      </c>
      <c r="Y829" s="22" t="str">
        <f aca="false">O829</f>
        <v>Driver</v>
      </c>
      <c r="Z829" s="13" t="str">
        <f aca="false">IFERROR(__xludf.dummyfunction("if(BJ829="""","""",GOOGLETRANSLATE(BJ829,""auto"",""en""))"),"Driver")</f>
        <v>Driver</v>
      </c>
      <c r="AA829" s="23" t="str">
        <f aca="false">IF(C829="","", CHOOSE(MONTH(C829),"January","February","March","April","May","June","July","August","September","October","November","December")&amp;" "&amp;DAY(C829)&amp;MID("thstndrdth",MIN(9,2*RIGHT(DAY(C829))*(MOD(DAY(C829)-11,100)&gt;2)+1),2)&amp;","&amp;TEXT(C829," yyyy"))</f>
        <v>October 17th,2022</v>
      </c>
      <c r="AB829" s="15" t="str">
        <f aca="true">IF(S829="","",DATEDIF(S829,TODAY(),"Y")&amp;" Tahun, "&amp;DATEDIF(S829,TODAY(),"YM")&amp;" Bulan, "&amp;DATEDIF(S829,TODAY(),"MD")&amp;" Hari")</f>
        <v>28 Tahun, 7 Bulan, 20 Hari</v>
      </c>
      <c r="AC829" s="18" t="n">
        <v>45885</v>
      </c>
      <c r="AD829" s="18" t="n">
        <v>46068</v>
      </c>
      <c r="AE829" s="18" t="s">
        <v>44</v>
      </c>
    </row>
    <row r="830" customFormat="false" ht="15.75" hidden="false" customHeight="true" outlineLevel="0" collapsed="false">
      <c r="A830" s="12" t="n">
        <v>8750</v>
      </c>
      <c r="B830" s="13" t="s">
        <v>3687</v>
      </c>
      <c r="C830" s="14" t="n">
        <v>44852</v>
      </c>
      <c r="D830" s="13" t="s">
        <v>404</v>
      </c>
      <c r="E830" s="15" t="s">
        <v>47</v>
      </c>
      <c r="F830" s="15" t="str">
        <f aca="false">IFERROR(__xludf.dummyfunction("XLOOKUP(AJ830,IMPORTRANGE(""1XaInW9DU9nz21V0tYIfzFQ0He9kVQ_JF2mCXgZ3hqFA"",""REKAP ALL 2026 - Andika!G:G""),IMPORTRANGE(""1XaInW9DU9nz21V0tYIfzFQ0He9kVQ_JF2mCXgZ3hqFA"",""REKAP ALL 2026 - Andika!F:F""),"""",0)"),"22135274599")</f>
        <v>22135274599</v>
      </c>
      <c r="G830" s="13" t="s">
        <v>3688</v>
      </c>
      <c r="H830" s="13" t="s">
        <v>35</v>
      </c>
      <c r="I830" s="13" t="str">
        <f aca="false">IF(C830=J830,"NEW KONTRAK","RE-KONTRAK")</f>
        <v>RE-KONTRAK</v>
      </c>
      <c r="J830" s="16" t="n">
        <f aca="false" t="array" ref="J830:J830">IFERROR(INDEX(AC830:AE830,IF(COUNTA(AC830:AE830)=0,"",MAX((AC830:AE830&lt;&gt;"")*(COLUMN(AC830:AE830)-(COLUMN(AC830)))))-1),"")</f>
        <v>45658</v>
      </c>
      <c r="K830" s="16" t="n">
        <f aca="false" t="array" ref="K830:K830">IFERROR(INDEX(AC830:AE830,IF(COUNTA(AC830:AE830)=0,"",MAX((AC830:AE830&lt;&gt;"")*(COLUMN(AC830:AE830)-(COLUMN(AC830)-1))))-1),"")</f>
        <v>46022</v>
      </c>
      <c r="L830" s="17" t="str">
        <f aca="false" t="array" ref="L830:L830">IFERROR(INDEX(AC830:AE830,IF(COUNTA(AC830:AE830)=0,"",MAX((AC830:AE830&lt;&gt;"")*(COLUMN(AC830:AE830)-(COLUMN(AC830)-2))))-1),"")</f>
        <v>ARCHIVED</v>
      </c>
      <c r="M830" s="13" t="n">
        <f aca="true">K830-TODAY()</f>
        <v>-302</v>
      </c>
      <c r="N830" s="18" t="s">
        <v>36</v>
      </c>
      <c r="O830" s="13" t="s">
        <v>3097</v>
      </c>
      <c r="P830" s="26" t="n">
        <v>5195401</v>
      </c>
      <c r="Q830" s="20" t="s">
        <v>3689</v>
      </c>
      <c r="R830" s="13" t="s">
        <v>274</v>
      </c>
      <c r="S830" s="14" t="n">
        <v>35674</v>
      </c>
      <c r="T830" s="13" t="s">
        <v>40</v>
      </c>
      <c r="U830" s="13" t="s">
        <v>3690</v>
      </c>
      <c r="V830" s="13" t="s">
        <v>42</v>
      </c>
      <c r="W830" s="13" t="s">
        <v>43</v>
      </c>
      <c r="X830" s="21" t="n">
        <v>89505076204</v>
      </c>
      <c r="Y830" s="22" t="str">
        <f aca="false">O830</f>
        <v>Engineering</v>
      </c>
      <c r="Z830" s="13" t="str">
        <f aca="false">IFERROR(__xludf.dummyfunction("if(BJ830="""","""",GOOGLETRANSLATE(BJ830,""auto"",""en""))"),"Engineering")</f>
        <v>Engineering</v>
      </c>
      <c r="AA830" s="23" t="str">
        <f aca="false">IF(C830="","", CHOOSE(MONTH(C830),"January","February","March","April","May","June","July","August","September","October","November","December")&amp;" "&amp;DAY(C830)&amp;MID("thstndrdth",MIN(9,2*RIGHT(DAY(C830))*(MOD(DAY(C830)-11,100)&gt;2)+1),2)&amp;","&amp;TEXT(C830," yyyy"))</f>
        <v>October 18th,2022</v>
      </c>
      <c r="AB830" s="15" t="str">
        <f aca="true">IF(S830="","",DATEDIF(S830,TODAY(),"Y")&amp;" Tahun, "&amp;DATEDIF(S830,TODAY(),"YM")&amp;" Bulan, "&amp;DATEDIF(S830,TODAY(),"MD")&amp;" Hari")</f>
        <v>29 Tahun, 1 Bulan, 28 Hari</v>
      </c>
      <c r="AC830" s="18" t="n">
        <v>45658</v>
      </c>
      <c r="AD830" s="18" t="n">
        <v>46022</v>
      </c>
      <c r="AE830" s="18" t="s">
        <v>44</v>
      </c>
    </row>
    <row r="831" customFormat="false" ht="15.75" hidden="false" customHeight="true" outlineLevel="0" collapsed="false">
      <c r="A831" s="12" t="n">
        <v>8787</v>
      </c>
      <c r="B831" s="13" t="s">
        <v>3691</v>
      </c>
      <c r="C831" s="14" t="n">
        <v>44855</v>
      </c>
      <c r="D831" s="13" t="s">
        <v>144</v>
      </c>
      <c r="E831" s="15" t="s">
        <v>33</v>
      </c>
      <c r="F831" s="24" t="s">
        <v>3692</v>
      </c>
      <c r="G831" s="13" t="s">
        <v>3693</v>
      </c>
      <c r="H831" s="13" t="s">
        <v>35</v>
      </c>
      <c r="I831" s="13" t="str">
        <f aca="false">IF(C831=J831,"NEW KONTRAK","RE-KONTRAK")</f>
        <v>RE-KONTRAK</v>
      </c>
      <c r="J831" s="16" t="n">
        <f aca="false" t="array" ref="J831:J831">IFERROR(INDEX(AC831:AE831,IF(COUNTA(AC831:AE831)=0,"",MAX((AC831:AE831&lt;&gt;"")*(COLUMN(AC831:AE831)-(COLUMN(AC831)))))-1),"")</f>
        <v>45658</v>
      </c>
      <c r="K831" s="16" t="n">
        <f aca="false" t="array" ref="K831:K831">IFERROR(INDEX(AC831:AE831,IF(COUNTA(AC831:AE831)=0,"",MAX((AC831:AE831&lt;&gt;"")*(COLUMN(AC831:AE831)-(COLUMN(AC831)-1))))-1),"")</f>
        <v>46022</v>
      </c>
      <c r="L831" s="17" t="str">
        <f aca="false" t="array" ref="L831:L831">IFERROR(INDEX(AC831:AE831,IF(COUNTA(AC831:AE831)=0,"",MAX((AC831:AE831&lt;&gt;"")*(COLUMN(AC831:AE831)-(COLUMN(AC831)-2))))-1),"")</f>
        <v>ARCHIVED</v>
      </c>
      <c r="M831" s="13" t="n">
        <f aca="true">K831-TODAY()</f>
        <v>-302</v>
      </c>
      <c r="N831" s="18" t="s">
        <v>36</v>
      </c>
      <c r="O831" s="13" t="s">
        <v>161</v>
      </c>
      <c r="P831" s="19" t="n">
        <v>5195401</v>
      </c>
      <c r="Q831" s="20" t="s">
        <v>3694</v>
      </c>
      <c r="R831" s="13" t="s">
        <v>241</v>
      </c>
      <c r="S831" s="14" t="n">
        <v>32060</v>
      </c>
      <c r="T831" s="13" t="s">
        <v>108</v>
      </c>
      <c r="U831" s="13" t="s">
        <v>3695</v>
      </c>
      <c r="V831" s="13" t="s">
        <v>42</v>
      </c>
      <c r="W831" s="13" t="s">
        <v>54</v>
      </c>
      <c r="X831" s="21" t="n">
        <v>81388240442</v>
      </c>
      <c r="Y831" s="22" t="str">
        <f aca="false">O831</f>
        <v>RM Store</v>
      </c>
      <c r="Z831" s="13" t="str">
        <f aca="false">IFERROR(__xludf.dummyfunction("if(BJ831="""","""",GOOGLETRANSLATE(BJ831,""auto"",""en""))"),"RM Store")</f>
        <v>RM Store</v>
      </c>
      <c r="AA831" s="23" t="str">
        <f aca="false">IF(C831="","", CHOOSE(MONTH(C831),"January","February","March","April","May","June","July","August","September","October","November","December")&amp;" "&amp;DAY(C831)&amp;MID("thstndrdth",MIN(9,2*RIGHT(DAY(C831))*(MOD(DAY(C831)-11,100)&gt;2)+1),2)&amp;","&amp;TEXT(C831," yyyy"))</f>
        <v>October 21st,2022</v>
      </c>
      <c r="AB831" s="15" t="str">
        <f aca="true">IF(S831="","",DATEDIF(S831,TODAY(),"Y")&amp;" Tahun, "&amp;DATEDIF(S831,TODAY(),"YM")&amp;" Bulan, "&amp;DATEDIF(S831,TODAY(),"MD")&amp;" Hari")</f>
        <v>39 Tahun, 0 Bulan, 19 Hari</v>
      </c>
      <c r="AC831" s="18" t="n">
        <v>45658</v>
      </c>
      <c r="AD831" s="18" t="n">
        <v>46022</v>
      </c>
      <c r="AE831" s="18" t="s">
        <v>44</v>
      </c>
    </row>
    <row r="832" customFormat="false" ht="15.75" hidden="false" customHeight="true" outlineLevel="0" collapsed="false">
      <c r="A832" s="12" t="n">
        <v>8792</v>
      </c>
      <c r="B832" s="13" t="s">
        <v>3696</v>
      </c>
      <c r="C832" s="14" t="n">
        <v>44855</v>
      </c>
      <c r="D832" s="13" t="s">
        <v>755</v>
      </c>
      <c r="E832" s="15" t="s">
        <v>47</v>
      </c>
      <c r="F832" s="15" t="str">
        <f aca="false">IFERROR(__xludf.dummyfunction("XLOOKUP(AJ832,IMPORTRANGE(""1XaInW9DU9nz21V0tYIfzFQ0He9kVQ_JF2mCXgZ3hqFA"",""REKAP ALL 2026 - Andika!G:G""),IMPORTRANGE(""1XaInW9DU9nz21V0tYIfzFQ0He9kVQ_JF2mCXgZ3hqFA"",""REKAP ALL 2026 - Andika!F:F""),"""",0)"),"22135282790")</f>
        <v>22135282790</v>
      </c>
      <c r="G832" s="13" t="s">
        <v>3697</v>
      </c>
      <c r="H832" s="13" t="s">
        <v>35</v>
      </c>
      <c r="I832" s="13" t="str">
        <f aca="false">IF(C832=J832,"NEW KONTRAK","RE-KONTRAK")</f>
        <v>RE-KONTRAK</v>
      </c>
      <c r="J832" s="16" t="n">
        <f aca="false" t="array" ref="J832:J832">IFERROR(INDEX(AC832:AE832,IF(COUNTA(AC832:AE832)=0,"",MAX((AC832:AE832&lt;&gt;"")*(COLUMN(AC832:AE832)-(COLUMN(AC832)))))-1),"")</f>
        <v>45799</v>
      </c>
      <c r="K832" s="16" t="n">
        <f aca="false" t="array" ref="K832:K832">IFERROR(INDEX(AC832:AE832,IF(COUNTA(AC832:AE832)=0,"",MAX((AC832:AE832&lt;&gt;"")*(COLUMN(AC832:AE832)-(COLUMN(AC832)-1))))-1),"")</f>
        <v>46528</v>
      </c>
      <c r="L832" s="17" t="str">
        <f aca="false" t="array" ref="L832:L832">IFERROR(INDEX(AC832:AE832,IF(COUNTA(AC832:AE832)=0,"",MAX((AC832:AE832&lt;&gt;"")*(COLUMN(AC832:AE832)-(COLUMN(AC832)-2))))-1),"")</f>
        <v>KEMBALI</v>
      </c>
      <c r="M832" s="13" t="n">
        <f aca="true">K832-TODAY()</f>
        <v>204</v>
      </c>
      <c r="N832" s="18" t="s">
        <v>105</v>
      </c>
      <c r="O832" s="13" t="s">
        <v>757</v>
      </c>
      <c r="P832" s="19" t="n">
        <v>4870511</v>
      </c>
      <c r="Q832" s="20" t="s">
        <v>3698</v>
      </c>
      <c r="R832" s="13" t="s">
        <v>39</v>
      </c>
      <c r="S832" s="14" t="n">
        <v>36481</v>
      </c>
      <c r="T832" s="13" t="s">
        <v>40</v>
      </c>
      <c r="U832" s="13" t="s">
        <v>3699</v>
      </c>
      <c r="V832" s="13" t="s">
        <v>42</v>
      </c>
      <c r="W832" s="13" t="s">
        <v>43</v>
      </c>
      <c r="X832" s="21" t="n">
        <v>85731603160</v>
      </c>
      <c r="Y832" s="22" t="str">
        <f aca="false">O832</f>
        <v>Inputor</v>
      </c>
      <c r="Z832" s="13" t="str">
        <f aca="false">IFERROR(__xludf.dummyfunction("if(BJ832="""","""",GOOGLETRANSLATE(BJ832,""auto"",""en""))"),"Inputor")</f>
        <v>Inputor</v>
      </c>
      <c r="AA832" s="23" t="str">
        <f aca="false">IF(C832="","", CHOOSE(MONTH(C832),"January","February","March","April","May","June","July","August","September","October","November","December")&amp;" "&amp;DAY(C832)&amp;MID("thstndrdth",MIN(9,2*RIGHT(DAY(C832))*(MOD(DAY(C832)-11,100)&gt;2)+1),2)&amp;","&amp;TEXT(C832," yyyy"))</f>
        <v>October 21st,2022</v>
      </c>
      <c r="AB832" s="15" t="str">
        <f aca="true">IF(S832="","",DATEDIF(S832,TODAY(),"Y")&amp;" Tahun, "&amp;DATEDIF(S832,TODAY(),"YM")&amp;" Bulan, "&amp;DATEDIF(S832,TODAY(),"MD")&amp;" Hari")</f>
        <v>26 Tahun, 11 Bulan, 12 Hari</v>
      </c>
      <c r="AC832" s="18" t="n">
        <v>45799</v>
      </c>
      <c r="AD832" s="18" t="n">
        <v>46528</v>
      </c>
      <c r="AE832" s="13" t="s">
        <v>397</v>
      </c>
    </row>
    <row r="833" customFormat="false" ht="15.75" hidden="false" customHeight="true" outlineLevel="0" collapsed="false">
      <c r="A833" s="12" t="n">
        <v>8795</v>
      </c>
      <c r="B833" s="13" t="s">
        <v>3700</v>
      </c>
      <c r="C833" s="14" t="n">
        <v>44813</v>
      </c>
      <c r="D833" s="13" t="s">
        <v>2033</v>
      </c>
      <c r="E833" s="15" t="s">
        <v>33</v>
      </c>
      <c r="F833" s="24" t="s">
        <v>3701</v>
      </c>
      <c r="G833" s="13" t="s">
        <v>3702</v>
      </c>
      <c r="H833" s="13" t="s">
        <v>2035</v>
      </c>
      <c r="I833" s="13" t="str">
        <f aca="false">IF(C833=J833,"NEW KONTRAK","RE-KONTRAK")</f>
        <v>RE-KONTRAK</v>
      </c>
      <c r="J833" s="16" t="n">
        <f aca="false" t="array" ref="J833:J833">IFERROR(INDEX(AC833:AE833,IF(COUNTA(AC833:AE833)=0,"",MAX((AC833:AE833&lt;&gt;"")*(COLUMN(AC833:AE833)-(COLUMN(AC833)))))-1),"")</f>
        <v>45744</v>
      </c>
      <c r="K833" s="16" t="n">
        <f aca="false" t="array" ref="K833:K833">IFERROR(INDEX(AC833:AE833,IF(COUNTA(AC833:AE833)=0,"",MAX((AC833:AE833&lt;&gt;"")*(COLUMN(AC833:AE833)-(COLUMN(AC833)-1))))-1),"")</f>
        <v>45915</v>
      </c>
      <c r="L833" s="17" t="str">
        <f aca="false" t="array" ref="L833:L833">IFERROR(INDEX(AC833:AE833,IF(COUNTA(AC833:AE833)=0,"",MAX((AC833:AE833&lt;&gt;"")*(COLUMN(AC833:AE833)-(COLUMN(AC833)-2))))-1),"")</f>
        <v>ARCHIVED</v>
      </c>
      <c r="M833" s="13" t="n">
        <f aca="true">K833-TODAY()</f>
        <v>-409</v>
      </c>
      <c r="N833" s="18" t="s">
        <v>3703</v>
      </c>
      <c r="O833" s="13" t="s">
        <v>2037</v>
      </c>
      <c r="P833" s="19" t="n">
        <v>2750915</v>
      </c>
      <c r="Q833" s="20" t="s">
        <v>3704</v>
      </c>
      <c r="R833" s="13" t="s">
        <v>3705</v>
      </c>
      <c r="S833" s="14" t="n">
        <v>37200</v>
      </c>
      <c r="T833" s="13" t="s">
        <v>108</v>
      </c>
      <c r="U833" s="13" t="s">
        <v>3706</v>
      </c>
      <c r="V833" s="13" t="s">
        <v>42</v>
      </c>
      <c r="W833" s="13" t="s">
        <v>43</v>
      </c>
      <c r="X833" s="21" t="n">
        <v>85640884024</v>
      </c>
      <c r="Y833" s="22" t="str">
        <f aca="false">O833</f>
        <v>SPG/BA</v>
      </c>
      <c r="Z833" s="13" t="str">
        <f aca="false">IFERROR(__xludf.dummyfunction("if(BJ833="""","""",GOOGLETRANSLATE(BJ833,""auto"",""en""))"),"SPG/BA")</f>
        <v>SPG/BA</v>
      </c>
      <c r="AA833" s="23" t="str">
        <f aca="false">IF(C833="","", CHOOSE(MONTH(C833),"January","February","March","April","May","June","July","August","September","October","November","December")&amp;" "&amp;DAY(C833)&amp;MID("thstndrdth",MIN(9,2*RIGHT(DAY(C833))*(MOD(DAY(C833)-11,100)&gt;2)+1),2)&amp;","&amp;TEXT(C833," yyyy"))</f>
        <v>September 9th,2022</v>
      </c>
      <c r="AB833" s="15" t="str">
        <f aca="true">IF(S833="","",DATEDIF(S833,TODAY(),"Y")&amp;" Tahun, "&amp;DATEDIF(S833,TODAY(),"YM")&amp;" Bulan, "&amp;DATEDIF(S833,TODAY(),"MD")&amp;" Hari")</f>
        <v>24 Tahun, 11 Bulan, 24 Hari</v>
      </c>
      <c r="AC833" s="18" t="n">
        <v>45744</v>
      </c>
      <c r="AD833" s="18" t="n">
        <v>45915</v>
      </c>
      <c r="AE833" s="18" t="s">
        <v>44</v>
      </c>
    </row>
    <row r="834" customFormat="false" ht="15.75" hidden="false" customHeight="true" outlineLevel="0" collapsed="false">
      <c r="A834" s="12" t="n">
        <v>8892</v>
      </c>
      <c r="B834" s="13" t="s">
        <v>3707</v>
      </c>
      <c r="C834" s="14" t="n">
        <v>44879</v>
      </c>
      <c r="D834" s="13" t="s">
        <v>144</v>
      </c>
      <c r="E834" s="15" t="s">
        <v>47</v>
      </c>
      <c r="F834" s="15" t="str">
        <f aca="false">IFERROR(__xludf.dummyfunction("XLOOKUP(AJ834,IMPORTRANGE(""1XaInW9DU9nz21V0tYIfzFQ0He9kVQ_JF2mCXgZ3hqFA"",""REKAP ALL 2026 - Andika!G:G""),IMPORTRANGE(""1XaInW9DU9nz21V0tYIfzFQ0He9kVQ_JF2mCXgZ3hqFA"",""REKAP ALL 2026 - Andika!F:F""),"""",0)"),"22135277584")</f>
        <v>22135277584</v>
      </c>
      <c r="G834" s="13" t="s">
        <v>3708</v>
      </c>
      <c r="H834" s="13" t="s">
        <v>35</v>
      </c>
      <c r="I834" s="13" t="str">
        <f aca="false">IF(C834=J834,"NEW KONTRAK","RE-KONTRAK")</f>
        <v>RE-KONTRAK</v>
      </c>
      <c r="J834" s="16" t="n">
        <f aca="false" t="array" ref="J834:J834">IFERROR(INDEX(AC834:AE834,IF(COUNTA(AC834:AE834)=0,"",MAX((AC834:AE834&lt;&gt;"")*(COLUMN(AC834:AE834)-(COLUMN(AC834)))))-1),"")</f>
        <v>45658</v>
      </c>
      <c r="K834" s="16" t="n">
        <f aca="false" t="array" ref="K834:K834">IFERROR(INDEX(AC834:AE834,IF(COUNTA(AC834:AE834)=0,"",MAX((AC834:AE834&lt;&gt;"")*(COLUMN(AC834:AE834)-(COLUMN(AC834)-1))))-1),"")</f>
        <v>46022</v>
      </c>
      <c r="L834" s="17" t="str">
        <f aca="false" t="array" ref="L834:L834">IFERROR(INDEX(AC834:AE834,IF(COUNTA(AC834:AE834)=0,"",MAX((AC834:AE834&lt;&gt;"")*(COLUMN(AC834:AE834)-(COLUMN(AC834)-2))))-1),"")</f>
        <v>ARCHIVED</v>
      </c>
      <c r="M834" s="13" t="n">
        <f aca="true">K834-TODAY()</f>
        <v>-302</v>
      </c>
      <c r="N834" s="18" t="s">
        <v>36</v>
      </c>
      <c r="O834" s="13" t="s">
        <v>211</v>
      </c>
      <c r="P834" s="19" t="n">
        <v>5195401</v>
      </c>
      <c r="Q834" s="20" t="s">
        <v>3709</v>
      </c>
      <c r="R834" s="13" t="s">
        <v>826</v>
      </c>
      <c r="S834" s="14" t="n">
        <v>33245</v>
      </c>
      <c r="T834" s="13" t="s">
        <v>40</v>
      </c>
      <c r="U834" s="13" t="s">
        <v>3710</v>
      </c>
      <c r="V834" s="13" t="s">
        <v>42</v>
      </c>
      <c r="W834" s="13" t="s">
        <v>43</v>
      </c>
      <c r="X834" s="21" t="n">
        <v>85784621970</v>
      </c>
      <c r="Y834" s="22" t="str">
        <f aca="false">O834</f>
        <v>FG Store</v>
      </c>
      <c r="Z834" s="13" t="str">
        <f aca="false">IFERROR(__xludf.dummyfunction("if(BJ834="""","""",GOOGLETRANSLATE(BJ834,""auto"",""en""))"),"FG Store")</f>
        <v>FG Store</v>
      </c>
      <c r="AA834" s="23" t="str">
        <f aca="false">IF(C834="","", CHOOSE(MONTH(C834),"January","February","March","April","May","June","July","August","September","October","November","December")&amp;" "&amp;DAY(C834)&amp;MID("thstndrdth",MIN(9,2*RIGHT(DAY(C834))*(MOD(DAY(C834)-11,100)&gt;2)+1),2)&amp;","&amp;TEXT(C834," yyyy"))</f>
        <v>November 14th,2022</v>
      </c>
      <c r="AB834" s="15" t="str">
        <f aca="true">IF(S834="","",DATEDIF(S834,TODAY(),"Y")&amp;" Tahun, "&amp;DATEDIF(S834,TODAY(),"YM")&amp;" Bulan, "&amp;DATEDIF(S834,TODAY(),"MD")&amp;" Hari")</f>
        <v>35 Tahun, 9 Bulan, 22 Hari</v>
      </c>
      <c r="AC834" s="18" t="n">
        <v>45658</v>
      </c>
      <c r="AD834" s="18" t="n">
        <v>46022</v>
      </c>
      <c r="AE834" s="18" t="s">
        <v>44</v>
      </c>
    </row>
    <row r="835" customFormat="false" ht="15.75" hidden="false" customHeight="true" outlineLevel="0" collapsed="false">
      <c r="A835" s="12" t="n">
        <v>8895</v>
      </c>
      <c r="B835" s="13" t="s">
        <v>3711</v>
      </c>
      <c r="C835" s="14" t="n">
        <v>44880</v>
      </c>
      <c r="D835" s="13" t="s">
        <v>3712</v>
      </c>
      <c r="E835" s="15" t="s">
        <v>47</v>
      </c>
      <c r="F835" s="15" t="str">
        <f aca="false">IFERROR(__xludf.dummyfunction("XLOOKUP(AJ835,IMPORTRANGE(""1XaInW9DU9nz21V0tYIfzFQ0He9kVQ_JF2mCXgZ3hqFA"",""REKAP ALL 2026 - Andika!G:G""),IMPORTRANGE(""1XaInW9DU9nz21V0tYIfzFQ0He9kVQ_JF2mCXgZ3hqFA"",""REKAP ALL 2026 - Andika!F:F""),"""",0)"),"22135277550")</f>
        <v>22135277550</v>
      </c>
      <c r="G835" s="13" t="s">
        <v>3713</v>
      </c>
      <c r="H835" s="13" t="s">
        <v>35</v>
      </c>
      <c r="I835" s="13" t="str">
        <f aca="false">IF(C835=J835,"NEW KONTRAK","RE-KONTRAK")</f>
        <v>RE-KONTRAK</v>
      </c>
      <c r="J835" s="16" t="n">
        <f aca="false" t="array" ref="J835:J835">IFERROR(INDEX(AC835:AE835,IF(COUNTA(AC835:AE835)=0,"",MAX((AC835:AE835&lt;&gt;"")*(COLUMN(AC835:AE835)-(COLUMN(AC835)))))-1),"")</f>
        <v>45658</v>
      </c>
      <c r="K835" s="16" t="n">
        <f aca="false" t="array" ref="K835:K835">IFERROR(INDEX(AC835:AE835,IF(COUNTA(AC835:AE835)=0,"",MAX((AC835:AE835&lt;&gt;"")*(COLUMN(AC835:AE835)-(COLUMN(AC835)-1))))-1),"")</f>
        <v>45975</v>
      </c>
      <c r="L835" s="17" t="str">
        <f aca="false" t="array" ref="L835:L835">IFERROR(INDEX(AC835:AE835,IF(COUNTA(AC835:AE835)=0,"",MAX((AC835:AE835&lt;&gt;"")*(COLUMN(AC835:AE835)-(COLUMN(AC835)-2))))-1),"")</f>
        <v>ARCHIVED</v>
      </c>
      <c r="M835" s="13" t="n">
        <f aca="true">K835-TODAY()</f>
        <v>-349</v>
      </c>
      <c r="N835" s="18" t="s">
        <v>3714</v>
      </c>
      <c r="O835" s="13" t="s">
        <v>3577</v>
      </c>
      <c r="P835" s="19" t="n">
        <v>2528004</v>
      </c>
      <c r="Q835" s="20" t="s">
        <v>3715</v>
      </c>
      <c r="R835" s="13" t="s">
        <v>2855</v>
      </c>
      <c r="S835" s="14" t="n">
        <v>37754</v>
      </c>
      <c r="T835" s="13" t="s">
        <v>40</v>
      </c>
      <c r="U835" s="13" t="s">
        <v>3716</v>
      </c>
      <c r="V835" s="13" t="s">
        <v>42</v>
      </c>
      <c r="W835" s="13" t="s">
        <v>43</v>
      </c>
      <c r="X835" s="21" t="n">
        <v>85932121832</v>
      </c>
      <c r="Y835" s="22" t="str">
        <f aca="false">O835</f>
        <v>Kerani Gudang</v>
      </c>
      <c r="Z835" s="13" t="str">
        <f aca="false">IFERROR(__xludf.dummyfunction("if(BJ835="""","""",GOOGLETRANSLATE(BJ835,""auto"",""en""))"),"Warehouse Clerk")</f>
        <v>Warehouse Clerk</v>
      </c>
      <c r="AA835" s="23" t="str">
        <f aca="false">IF(C835="","", CHOOSE(MONTH(C835),"January","February","March","April","May","June","July","August","September","October","November","December")&amp;" "&amp;DAY(C835)&amp;MID("thstndrdth",MIN(9,2*RIGHT(DAY(C835))*(MOD(DAY(C835)-11,100)&gt;2)+1),2)&amp;","&amp;TEXT(C835," yyyy"))</f>
        <v>November 15th,2022</v>
      </c>
      <c r="AB835" s="15" t="str">
        <f aca="true">IF(S835="","",DATEDIF(S835,TODAY(),"Y")&amp;" Tahun, "&amp;DATEDIF(S835,TODAY(),"YM")&amp;" Bulan, "&amp;DATEDIF(S835,TODAY(),"MD")&amp;" Hari")</f>
        <v>23 Tahun, 5 Bulan, 16 Hari</v>
      </c>
      <c r="AC835" s="18" t="n">
        <v>45658</v>
      </c>
      <c r="AD835" s="18" t="n">
        <v>45975</v>
      </c>
      <c r="AE835" s="18" t="s">
        <v>44</v>
      </c>
    </row>
    <row r="836" customFormat="false" ht="15.75" hidden="false" customHeight="true" outlineLevel="0" collapsed="false">
      <c r="A836" s="12" t="n">
        <v>8911</v>
      </c>
      <c r="B836" s="45" t="s">
        <v>3717</v>
      </c>
      <c r="C836" s="14" t="n">
        <v>44880</v>
      </c>
      <c r="D836" s="13" t="s">
        <v>144</v>
      </c>
      <c r="E836" s="15" t="s">
        <v>47</v>
      </c>
      <c r="F836" s="15" t="str">
        <f aca="false">IFERROR(__xludf.dummyfunction("XLOOKUP(AJ836,IMPORTRANGE(""1XaInW9DU9nz21V0tYIfzFQ0He9kVQ_JF2mCXgZ3hqFA"",""REKAP ALL 2026 - Andika!G:G""),IMPORTRANGE(""1XaInW9DU9nz21V0tYIfzFQ0He9kVQ_JF2mCXgZ3hqFA"",""REKAP ALL 2026 - Andika!F:F""),"""",0)"),"22154714764")</f>
        <v>22154714764</v>
      </c>
      <c r="G836" s="13" t="s">
        <v>3718</v>
      </c>
      <c r="H836" s="13" t="s">
        <v>35</v>
      </c>
      <c r="I836" s="13" t="str">
        <f aca="false">IF(C836=J836,"NEW KONTRAK","RE-KONTRAK")</f>
        <v>RE-KONTRAK</v>
      </c>
      <c r="J836" s="16" t="n">
        <f aca="false" t="array" ref="J836:J836">IFERROR(INDEX(AC836:AE836,IF(COUNTA(AC836:AE836)=0,"",MAX((AC836:AE836&lt;&gt;"")*(COLUMN(AC836:AE836)-(COLUMN(AC836)))))-1),"")</f>
        <v>45658</v>
      </c>
      <c r="K836" s="16" t="n">
        <f aca="false" t="array" ref="K836:K836">IFERROR(INDEX(AC836:AE836,IF(COUNTA(AC836:AE836)=0,"",MAX((AC836:AE836&lt;&gt;"")*(COLUMN(AC836:AE836)-(COLUMN(AC836)-1))))-1),"")</f>
        <v>46022</v>
      </c>
      <c r="L836" s="17" t="str">
        <f aca="false" t="array" ref="L836:L836">IFERROR(INDEX(AC836:AE836,IF(COUNTA(AC836:AE836)=0,"",MAX((AC836:AE836&lt;&gt;"")*(COLUMN(AC836:AE836)-(COLUMN(AC836)-2))))-1),"")</f>
        <v>ARCHIVED</v>
      </c>
      <c r="M836" s="13" t="n">
        <f aca="true">K836-TODAY()</f>
        <v>-302</v>
      </c>
      <c r="N836" s="18" t="s">
        <v>36</v>
      </c>
      <c r="O836" s="13" t="s">
        <v>161</v>
      </c>
      <c r="P836" s="19" t="n">
        <v>5195401</v>
      </c>
      <c r="Q836" s="20" t="s">
        <v>3719</v>
      </c>
      <c r="R836" s="13" t="s">
        <v>65</v>
      </c>
      <c r="S836" s="14" t="n">
        <v>36413</v>
      </c>
      <c r="T836" s="13" t="s">
        <v>40</v>
      </c>
      <c r="U836" s="13" t="s">
        <v>3720</v>
      </c>
      <c r="V836" s="13" t="s">
        <v>42</v>
      </c>
      <c r="W836" s="13" t="s">
        <v>43</v>
      </c>
      <c r="X836" s="21" t="n">
        <v>85649662068</v>
      </c>
      <c r="Y836" s="22" t="str">
        <f aca="false">O836</f>
        <v>RM Store</v>
      </c>
      <c r="Z836" s="13" t="str">
        <f aca="false">IFERROR(__xludf.dummyfunction("if(BJ836="""","""",GOOGLETRANSLATE(BJ836,""auto"",""en""))"),"RM Store")</f>
        <v>RM Store</v>
      </c>
      <c r="AA836" s="23" t="str">
        <f aca="false">IF(C836="","", CHOOSE(MONTH(C836),"January","February","March","April","May","June","July","August","September","October","November","December")&amp;" "&amp;DAY(C836)&amp;MID("thstndrdth",MIN(9,2*RIGHT(DAY(C836))*(MOD(DAY(C836)-11,100)&gt;2)+1),2)&amp;","&amp;TEXT(C836," yyyy"))</f>
        <v>November 15th,2022</v>
      </c>
      <c r="AB836" s="15" t="str">
        <f aca="true">IF(S836="","",DATEDIF(S836,TODAY(),"Y")&amp;" Tahun, "&amp;DATEDIF(S836,TODAY(),"YM")&amp;" Bulan, "&amp;DATEDIF(S836,TODAY(),"MD")&amp;" Hari")</f>
        <v>27 Tahun, 1 Bulan, 19 Hari</v>
      </c>
      <c r="AC836" s="18" t="n">
        <v>45658</v>
      </c>
      <c r="AD836" s="18" t="n">
        <v>46022</v>
      </c>
      <c r="AE836" s="18" t="s">
        <v>44</v>
      </c>
    </row>
    <row r="837" customFormat="false" ht="15.75" hidden="false" customHeight="true" outlineLevel="0" collapsed="false">
      <c r="A837" s="12" t="n">
        <v>8913</v>
      </c>
      <c r="B837" s="13" t="s">
        <v>3721</v>
      </c>
      <c r="C837" s="14" t="n">
        <v>44886</v>
      </c>
      <c r="D837" s="13" t="s">
        <v>755</v>
      </c>
      <c r="E837" s="15" t="s">
        <v>47</v>
      </c>
      <c r="F837" s="15" t="str">
        <f aca="false">IFERROR(__xludf.dummyfunction("XLOOKUP(AJ837,IMPORTRANGE(""1XaInW9DU9nz21V0tYIfzFQ0He9kVQ_JF2mCXgZ3hqFA"",""REKAP ALL 2026 - Andika!G:G""),IMPORTRANGE(""1XaInW9DU9nz21V0tYIfzFQ0He9kVQ_JF2mCXgZ3hqFA"",""REKAP ALL 2026 - Andika!F:F""),"""",0)"),"22154717288")</f>
        <v>22154717288</v>
      </c>
      <c r="G837" s="13" t="s">
        <v>3722</v>
      </c>
      <c r="H837" s="13" t="s">
        <v>35</v>
      </c>
      <c r="I837" s="13" t="str">
        <f aca="false">IF(C837=J837,"NEW KONTRAK","RE-KONTRAK")</f>
        <v>RE-KONTRAK</v>
      </c>
      <c r="J837" s="16" t="n">
        <f aca="false" t="array" ref="J837:J837">IFERROR(INDEX(AC837:AE837,IF(COUNTA(AC837:AE837)=0,"",MAX((AC837:AE837&lt;&gt;"")*(COLUMN(AC837:AE837)-(COLUMN(AC837)))))-1),"")</f>
        <v>45799</v>
      </c>
      <c r="K837" s="16" t="n">
        <f aca="false" t="array" ref="K837:K837">IFERROR(INDEX(AC837:AE837,IF(COUNTA(AC837:AE837)=0,"",MAX((AC837:AE837&lt;&gt;"")*(COLUMN(AC837:AE837)-(COLUMN(AC837)-1))))-1),"")</f>
        <v>46528</v>
      </c>
      <c r="L837" s="17" t="str">
        <f aca="false" t="array" ref="L837:L837">IFERROR(INDEX(AC837:AE837,IF(COUNTA(AC837:AE837)=0,"",MAX((AC837:AE837&lt;&gt;"")*(COLUMN(AC837:AE837)-(COLUMN(AC837)-2))))-1),"")</f>
        <v>KEMBALI</v>
      </c>
      <c r="M837" s="13" t="n">
        <f aca="true">K837-TODAY()</f>
        <v>204</v>
      </c>
      <c r="N837" s="18" t="s">
        <v>105</v>
      </c>
      <c r="O837" s="13" t="s">
        <v>757</v>
      </c>
      <c r="P837" s="19" t="n">
        <v>4870511</v>
      </c>
      <c r="Q837" s="20" t="s">
        <v>3723</v>
      </c>
      <c r="R837" s="13" t="s">
        <v>246</v>
      </c>
      <c r="S837" s="14" t="n">
        <v>36943</v>
      </c>
      <c r="T837" s="13" t="s">
        <v>40</v>
      </c>
      <c r="U837" s="13" t="s">
        <v>3724</v>
      </c>
      <c r="V837" s="13" t="s">
        <v>42</v>
      </c>
      <c r="W837" s="13" t="s">
        <v>43</v>
      </c>
      <c r="X837" s="21" t="n">
        <v>85707437172</v>
      </c>
      <c r="Y837" s="22" t="str">
        <f aca="false">O837</f>
        <v>Inputor</v>
      </c>
      <c r="Z837" s="13" t="str">
        <f aca="false">IFERROR(__xludf.dummyfunction("if(BJ837="""","""",GOOGLETRANSLATE(BJ837,""auto"",""en""))"),"Inputor")</f>
        <v>Inputor</v>
      </c>
      <c r="AA837" s="23" t="str">
        <f aca="false">IF(C837="","", CHOOSE(MONTH(C837),"January","February","March","April","May","June","July","August","September","October","November","December")&amp;" "&amp;DAY(C837)&amp;MID("thstndrdth",MIN(9,2*RIGHT(DAY(C837))*(MOD(DAY(C837)-11,100)&gt;2)+1),2)&amp;","&amp;TEXT(C837," yyyy"))</f>
        <v>November 21st,2022</v>
      </c>
      <c r="AB837" s="15" t="str">
        <f aca="true">IF(S837="","",DATEDIF(S837,TODAY(),"Y")&amp;" Tahun, "&amp;DATEDIF(S837,TODAY(),"YM")&amp;" Bulan, "&amp;DATEDIF(S837,TODAY(),"MD")&amp;" Hari")</f>
        <v>25 Tahun, 8 Bulan, 8 Hari</v>
      </c>
      <c r="AC837" s="18" t="n">
        <v>45799</v>
      </c>
      <c r="AD837" s="18" t="n">
        <v>46528</v>
      </c>
      <c r="AE837" s="13" t="s">
        <v>397</v>
      </c>
    </row>
    <row r="838" customFormat="false" ht="15.75" hidden="false" customHeight="true" outlineLevel="0" collapsed="false">
      <c r="A838" s="12" t="n">
        <v>8914</v>
      </c>
      <c r="B838" s="13" t="s">
        <v>3725</v>
      </c>
      <c r="C838" s="14" t="n">
        <v>44886</v>
      </c>
      <c r="D838" s="13" t="s">
        <v>755</v>
      </c>
      <c r="E838" s="15" t="s">
        <v>47</v>
      </c>
      <c r="F838" s="15" t="str">
        <f aca="false">IFERROR(__xludf.dummyfunction("XLOOKUP(AJ838,IMPORTRANGE(""1XaInW9DU9nz21V0tYIfzFQ0He9kVQ_JF2mCXgZ3hqFA"",""REKAP ALL 2026 - Andika!G:G""),IMPORTRANGE(""1XaInW9DU9nz21V0tYIfzFQ0He9kVQ_JF2mCXgZ3hqFA"",""REKAP ALL 2026 - Andika!F:F""),"""",0)"),"22154717296")</f>
        <v>22154717296</v>
      </c>
      <c r="G838" s="13" t="s">
        <v>3726</v>
      </c>
      <c r="H838" s="13" t="s">
        <v>35</v>
      </c>
      <c r="I838" s="13" t="str">
        <f aca="false">IF(C838=J838,"NEW KONTRAK","RE-KONTRAK")</f>
        <v>RE-KONTRAK</v>
      </c>
      <c r="J838" s="16" t="n">
        <f aca="false" t="array" ref="J838:J838">IFERROR(INDEX(AC838:AE838,IF(COUNTA(AC838:AE838)=0,"",MAX((AC838:AE838&lt;&gt;"")*(COLUMN(AC838:AE838)-(COLUMN(AC838)))))-1),"")</f>
        <v>45799</v>
      </c>
      <c r="K838" s="16" t="n">
        <f aca="false" t="array" ref="K838:K838">IFERROR(INDEX(AC838:AE838,IF(COUNTA(AC838:AE838)=0,"",MAX((AC838:AE838&lt;&gt;"")*(COLUMN(AC838:AE838)-(COLUMN(AC838)-1))))-1),"")</f>
        <v>46528</v>
      </c>
      <c r="L838" s="17" t="str">
        <f aca="false" t="array" ref="L838:L838">IFERROR(INDEX(AC838:AE838,IF(COUNTA(AC838:AE838)=0,"",MAX((AC838:AE838&lt;&gt;"")*(COLUMN(AC838:AE838)-(COLUMN(AC838)-2))))-1),"")</f>
        <v>KEMBALI</v>
      </c>
      <c r="M838" s="13" t="n">
        <f aca="true">K838-TODAY()</f>
        <v>204</v>
      </c>
      <c r="N838" s="18" t="s">
        <v>105</v>
      </c>
      <c r="O838" s="13" t="s">
        <v>757</v>
      </c>
      <c r="P838" s="19" t="n">
        <v>4870511</v>
      </c>
      <c r="Q838" s="20" t="s">
        <v>3727</v>
      </c>
      <c r="R838" s="13" t="s">
        <v>3728</v>
      </c>
      <c r="S838" s="14" t="n">
        <v>36853</v>
      </c>
      <c r="T838" s="13" t="s">
        <v>40</v>
      </c>
      <c r="U838" s="13" t="s">
        <v>3729</v>
      </c>
      <c r="V838" s="13" t="s">
        <v>42</v>
      </c>
      <c r="W838" s="13" t="s">
        <v>43</v>
      </c>
      <c r="X838" s="21" t="n">
        <v>81358913035</v>
      </c>
      <c r="Y838" s="22" t="str">
        <f aca="false">O838</f>
        <v>Inputor</v>
      </c>
      <c r="Z838" s="13" t="str">
        <f aca="false">IFERROR(__xludf.dummyfunction("if(BJ838="""","""",GOOGLETRANSLATE(BJ838,""auto"",""en""))"),"Inputor")</f>
        <v>Inputor</v>
      </c>
      <c r="AA838" s="23" t="str">
        <f aca="false">IF(C838="","", CHOOSE(MONTH(C838),"January","February","March","April","May","June","July","August","September","October","November","December")&amp;" "&amp;DAY(C838)&amp;MID("thstndrdth",MIN(9,2*RIGHT(DAY(C838))*(MOD(DAY(C838)-11,100)&gt;2)+1),2)&amp;","&amp;TEXT(C838," yyyy"))</f>
        <v>November 21st,2022</v>
      </c>
      <c r="AB838" s="15" t="str">
        <f aca="true">IF(S838="","",DATEDIF(S838,TODAY(),"Y")&amp;" Tahun, "&amp;DATEDIF(S838,TODAY(),"YM")&amp;" Bulan, "&amp;DATEDIF(S838,TODAY(),"MD")&amp;" Hari")</f>
        <v>25 Tahun, 11 Bulan, 6 Hari</v>
      </c>
      <c r="AC838" s="18" t="n">
        <v>45799</v>
      </c>
      <c r="AD838" s="18" t="n">
        <v>46528</v>
      </c>
      <c r="AE838" s="13" t="s">
        <v>397</v>
      </c>
    </row>
    <row r="839" customFormat="false" ht="15.75" hidden="false" customHeight="true" outlineLevel="0" collapsed="false">
      <c r="A839" s="12" t="n">
        <v>8918</v>
      </c>
      <c r="B839" s="13" t="s">
        <v>3730</v>
      </c>
      <c r="C839" s="14" t="n">
        <v>44860</v>
      </c>
      <c r="D839" s="13" t="s">
        <v>2033</v>
      </c>
      <c r="E839" s="15" t="s">
        <v>33</v>
      </c>
      <c r="F839" s="24" t="s">
        <v>3731</v>
      </c>
      <c r="G839" s="13" t="s">
        <v>3732</v>
      </c>
      <c r="H839" s="13" t="s">
        <v>2035</v>
      </c>
      <c r="I839" s="13" t="str">
        <f aca="false">IF(C839=J839,"NEW KONTRAK","RE-KONTRAK")</f>
        <v>RE-KONTRAK</v>
      </c>
      <c r="J839" s="16" t="n">
        <f aca="false" t="array" ref="J839:J839">IFERROR(INDEX(AC839:AE839,IF(COUNTA(AC839:AE839)=0,"",MAX((AC839:AE839&lt;&gt;"")*(COLUMN(AC839:AE839)-(COLUMN(AC839)))))-1),"")</f>
        <v>45744</v>
      </c>
      <c r="K839" s="16" t="n">
        <f aca="false" t="array" ref="K839:K839">IFERROR(INDEX(AC839:AE839,IF(COUNTA(AC839:AE839)=0,"",MAX((AC839:AE839&lt;&gt;"")*(COLUMN(AC839:AE839)-(COLUMN(AC839)-1))))-1),"")</f>
        <v>45915</v>
      </c>
      <c r="L839" s="17" t="str">
        <f aca="false" t="array" ref="L839:L839">IFERROR(INDEX(AC839:AE839,IF(COUNTA(AC839:AE839)=0,"",MAX((AC839:AE839&lt;&gt;"")*(COLUMN(AC839:AE839)-(COLUMN(AC839)-2))))-1),"")</f>
        <v>ARCHIVED</v>
      </c>
      <c r="M839" s="13" t="n">
        <f aca="true">K839-TODAY()</f>
        <v>-409</v>
      </c>
      <c r="N839" s="18" t="s">
        <v>2434</v>
      </c>
      <c r="O839" s="13" t="s">
        <v>2037</v>
      </c>
      <c r="P839" s="19" t="n">
        <v>2792997</v>
      </c>
      <c r="Q839" s="20" t="s">
        <v>3733</v>
      </c>
      <c r="R839" s="13" t="s">
        <v>3734</v>
      </c>
      <c r="S839" s="14" t="n">
        <v>36738</v>
      </c>
      <c r="T839" s="13" t="s">
        <v>108</v>
      </c>
      <c r="U839" s="13" t="s">
        <v>3735</v>
      </c>
      <c r="V839" s="13" t="s">
        <v>42</v>
      </c>
      <c r="W839" s="13" t="s">
        <v>43</v>
      </c>
      <c r="X839" s="21" t="n">
        <v>85330159833</v>
      </c>
      <c r="Y839" s="22" t="str">
        <f aca="false">O839</f>
        <v>SPG/BA</v>
      </c>
      <c r="Z839" s="13" t="str">
        <f aca="false">IFERROR(__xludf.dummyfunction("if(BJ839="""","""",GOOGLETRANSLATE(BJ839,""auto"",""en""))"),"SPG/BA")</f>
        <v>SPG/BA</v>
      </c>
      <c r="AA839" s="23" t="str">
        <f aca="false">IF(C839="","", CHOOSE(MONTH(C839),"January","February","March","April","May","June","July","August","September","October","November","December")&amp;" "&amp;DAY(C839)&amp;MID("thstndrdth",MIN(9,2*RIGHT(DAY(C839))*(MOD(DAY(C839)-11,100)&gt;2)+1),2)&amp;","&amp;TEXT(C839," yyyy"))</f>
        <v>October 26th,2022</v>
      </c>
      <c r="AB839" s="15" t="str">
        <f aca="true">IF(S839="","",DATEDIF(S839,TODAY(),"Y")&amp;" Tahun, "&amp;DATEDIF(S839,TODAY(),"YM")&amp;" Bulan, "&amp;DATEDIF(S839,TODAY(),"MD")&amp;" Hari")</f>
        <v>26 Tahun, 2 Bulan, 28 Hari</v>
      </c>
      <c r="AC839" s="18" t="n">
        <v>45744</v>
      </c>
      <c r="AD839" s="18" t="n">
        <v>45915</v>
      </c>
      <c r="AE839" s="18" t="s">
        <v>44</v>
      </c>
    </row>
    <row r="840" customFormat="false" ht="15.75" hidden="false" customHeight="true" outlineLevel="0" collapsed="false">
      <c r="A840" s="12" t="n">
        <v>8934</v>
      </c>
      <c r="B840" s="13" t="s">
        <v>3736</v>
      </c>
      <c r="C840" s="14" t="n">
        <v>44643</v>
      </c>
      <c r="D840" s="13" t="s">
        <v>774</v>
      </c>
      <c r="E840" s="15" t="s">
        <v>47</v>
      </c>
      <c r="F840" s="15" t="str">
        <f aca="false">IFERROR(__xludf.dummyfunction("XLOOKUP(AJ840,IMPORTRANGE(""1XaInW9DU9nz21V0tYIfzFQ0He9kVQ_JF2mCXgZ3hqFA"",""REKAP ALL 2026 - Andika!G:G""),IMPORTRANGE(""1XaInW9DU9nz21V0tYIfzFQ0He9kVQ_JF2mCXgZ3hqFA"",""REKAP ALL 2026 - Andika!F:F""),"""",0)"),"23172180939")</f>
        <v>23172180939</v>
      </c>
      <c r="G840" s="13" t="s">
        <v>3737</v>
      </c>
      <c r="H840" s="13" t="s">
        <v>2967</v>
      </c>
      <c r="I840" s="13" t="str">
        <f aca="false">IF(C840=J840,"NEW KONTRAK","RE-KONTRAK")</f>
        <v>RE-KONTRAK</v>
      </c>
      <c r="J840" s="16" t="n">
        <f aca="false" t="array" ref="J840:J840">IFERROR(INDEX(AC840:AE840,IF(COUNTA(AC840:AE840)=0,"",MAX((AC840:AE840&lt;&gt;"")*(COLUMN(AC840:AE840)-(COLUMN(AC840)))))-1),"")</f>
        <v>45570</v>
      </c>
      <c r="K840" s="16" t="n">
        <f aca="false" t="array" ref="K840:K840">IFERROR(INDEX(AC840:AE840,IF(COUNTA(AC840:AE840)=0,"",MAX((AC840:AE840&lt;&gt;"")*(COLUMN(AC840:AE840)-(COLUMN(AC840)-1))))-1),"")</f>
        <v>45934</v>
      </c>
      <c r="L840" s="17" t="str">
        <f aca="false" t="array" ref="L840:L840">IFERROR(INDEX(AC840:AE840,IF(COUNTA(AC840:AE840)=0,"",MAX((AC840:AE840&lt;&gt;"")*(COLUMN(AC840:AE840)-(COLUMN(AC840)-2))))-1),"")</f>
        <v>ARCHIVED</v>
      </c>
      <c r="M840" s="13" t="n">
        <f aca="true">K840-TODAY()</f>
        <v>-390</v>
      </c>
      <c r="N840" s="18" t="s">
        <v>36</v>
      </c>
      <c r="O840" s="13" t="s">
        <v>812</v>
      </c>
      <c r="P840" s="19" t="n">
        <v>3750000</v>
      </c>
      <c r="Q840" s="20" t="s">
        <v>3738</v>
      </c>
      <c r="R840" s="13" t="s">
        <v>65</v>
      </c>
      <c r="S840" s="14" t="n">
        <v>36371</v>
      </c>
      <c r="T840" s="13" t="s">
        <v>40</v>
      </c>
      <c r="U840" s="13" t="s">
        <v>3739</v>
      </c>
      <c r="V840" s="13" t="s">
        <v>42</v>
      </c>
      <c r="W840" s="13" t="s">
        <v>43</v>
      </c>
      <c r="X840" s="21" t="n">
        <v>81953931240</v>
      </c>
      <c r="Y840" s="22" t="str">
        <f aca="false">O840</f>
        <v>Heating</v>
      </c>
      <c r="Z840" s="13" t="str">
        <f aca="false">IFERROR(__xludf.dummyfunction("if(BJ840="""","""",GOOGLETRANSLATE(BJ840,""auto"",""en""))"),"Heating")</f>
        <v>Heating</v>
      </c>
      <c r="AA840" s="23" t="str">
        <f aca="false">IF(C840="","", CHOOSE(MONTH(C840),"January","February","March","April","May","June","July","August","September","October","November","December")&amp;" "&amp;DAY(C840)&amp;MID("thstndrdth",MIN(9,2*RIGHT(DAY(C840))*(MOD(DAY(C840)-11,100)&gt;2)+1),2)&amp;","&amp;TEXT(C840," yyyy"))</f>
        <v>March 23rd,2022</v>
      </c>
      <c r="AB840" s="15" t="str">
        <f aca="true">IF(S840="","",DATEDIF(S840,TODAY(),"Y")&amp;" Tahun, "&amp;DATEDIF(S840,TODAY(),"YM")&amp;" Bulan, "&amp;DATEDIF(S840,TODAY(),"MD")&amp;" Hari")</f>
        <v>27 Tahun, 2 Bulan, 29 Hari</v>
      </c>
      <c r="AC840" s="18" t="n">
        <v>45570</v>
      </c>
      <c r="AD840" s="18" t="n">
        <v>45934</v>
      </c>
      <c r="AE840" s="18" t="s">
        <v>44</v>
      </c>
    </row>
    <row r="841" customFormat="false" ht="15.75" hidden="false" customHeight="true" outlineLevel="0" collapsed="false">
      <c r="A841" s="12" t="n">
        <v>8937</v>
      </c>
      <c r="B841" s="13" t="s">
        <v>3740</v>
      </c>
      <c r="C841" s="14" t="n">
        <v>44732</v>
      </c>
      <c r="D841" s="13" t="s">
        <v>774</v>
      </c>
      <c r="E841" s="15" t="s">
        <v>789</v>
      </c>
      <c r="F841" s="15" t="str">
        <f aca="false">IFERROR(__xludf.dummyfunction("XLOOKUP(AJ841,IMPORTRANGE(""1XaInW9DU9nz21V0tYIfzFQ0He9kVQ_JF2mCXgZ3hqFA"",""REKAP ALL 2026 - Andika!G:G""),IMPORTRANGE(""1XaInW9DU9nz21V0tYIfzFQ0He9kVQ_JF2mCXgZ3hqFA"",""REKAP ALL 2026 - Andika!F:F""),"""",0)"),"23172180350")</f>
        <v>23172180350</v>
      </c>
      <c r="G841" s="13" t="s">
        <v>3741</v>
      </c>
      <c r="H841" s="13" t="s">
        <v>2967</v>
      </c>
      <c r="I841" s="13" t="str">
        <f aca="false">IF(C841=J841,"NEW KONTRAK","RE-KONTRAK")</f>
        <v>RE-KONTRAK</v>
      </c>
      <c r="J841" s="16" t="n">
        <f aca="false" t="array" ref="J841:J841">IFERROR(INDEX(AC841:AE841,IF(COUNTA(AC841:AE841)=0,"",MAX((AC841:AE841&lt;&gt;"")*(COLUMN(AC841:AE841)-(COLUMN(AC841)))))-1),"")</f>
        <v>45570</v>
      </c>
      <c r="K841" s="16" t="n">
        <f aca="false" t="array" ref="K841:K841">IFERROR(INDEX(AC841:AE841,IF(COUNTA(AC841:AE841)=0,"",MAX((AC841:AE841&lt;&gt;"")*(COLUMN(AC841:AE841)-(COLUMN(AC841)-1))))-1),"")</f>
        <v>45934</v>
      </c>
      <c r="L841" s="17" t="str">
        <f aca="false" t="array" ref="L841:L841">IFERROR(INDEX(AC841:AE841,IF(COUNTA(AC841:AE841)=0,"",MAX((AC841:AE841&lt;&gt;"")*(COLUMN(AC841:AE841)-(COLUMN(AC841)-2))))-1),"")</f>
        <v>ARCHIVED</v>
      </c>
      <c r="M841" s="13" t="n">
        <f aca="true">K841-TODAY()</f>
        <v>-390</v>
      </c>
      <c r="N841" s="18" t="s">
        <v>36</v>
      </c>
      <c r="O841" s="13" t="s">
        <v>780</v>
      </c>
      <c r="P841" s="19" t="n">
        <v>4000000</v>
      </c>
      <c r="Q841" s="20" t="s">
        <v>3742</v>
      </c>
      <c r="R841" s="13" t="s">
        <v>65</v>
      </c>
      <c r="S841" s="14" t="n">
        <v>37733</v>
      </c>
      <c r="T841" s="13" t="s">
        <v>40</v>
      </c>
      <c r="U841" s="13" t="s">
        <v>3743</v>
      </c>
      <c r="V841" s="13" t="s">
        <v>42</v>
      </c>
      <c r="W841" s="13" t="s">
        <v>43</v>
      </c>
      <c r="X841" s="21" t="n">
        <v>81216503476</v>
      </c>
      <c r="Y841" s="22" t="str">
        <f aca="false">O841</f>
        <v>Shearing</v>
      </c>
      <c r="Z841" s="13" t="str">
        <f aca="false">IFERROR(__xludf.dummyfunction("if(BJ841="""","""",GOOGLETRANSLATE(BJ841,""auto"",""en""))"),"Shearing")</f>
        <v>Shearing</v>
      </c>
      <c r="AA841" s="23" t="str">
        <f aca="false">IF(C841="","", CHOOSE(MONTH(C841),"January","February","March","April","May","June","July","August","September","October","November","December")&amp;" "&amp;DAY(C841)&amp;MID("thstndrdth",MIN(9,2*RIGHT(DAY(C841))*(MOD(DAY(C841)-11,100)&gt;2)+1),2)&amp;","&amp;TEXT(C841," yyyy"))</f>
        <v>June 20th,2022</v>
      </c>
      <c r="AB841" s="15" t="str">
        <f aca="true">IF(S841="","",DATEDIF(S841,TODAY(),"Y")&amp;" Tahun, "&amp;DATEDIF(S841,TODAY(),"YM")&amp;" Bulan, "&amp;DATEDIF(S841,TODAY(),"MD")&amp;" Hari")</f>
        <v>23 Tahun, 6 Bulan, 7 Hari</v>
      </c>
      <c r="AC841" s="18" t="n">
        <v>45570</v>
      </c>
      <c r="AD841" s="18" t="n">
        <v>45934</v>
      </c>
      <c r="AE841" s="18" t="s">
        <v>44</v>
      </c>
    </row>
    <row r="842" customFormat="false" ht="15.75" hidden="false" customHeight="true" outlineLevel="0" collapsed="false">
      <c r="A842" s="12" t="n">
        <v>8939</v>
      </c>
      <c r="B842" s="13" t="s">
        <v>3744</v>
      </c>
      <c r="C842" s="14" t="n">
        <v>44771</v>
      </c>
      <c r="D842" s="13" t="s">
        <v>774</v>
      </c>
      <c r="E842" s="15" t="s">
        <v>47</v>
      </c>
      <c r="F842" s="15" t="str">
        <f aca="false">IFERROR(__xludf.dummyfunction("XLOOKUP(AJ842,IMPORTRANGE(""1XaInW9DU9nz21V0tYIfzFQ0He9kVQ_JF2mCXgZ3hqFA"",""REKAP ALL 2026 - Andika!G:G""),IMPORTRANGE(""1XaInW9DU9nz21V0tYIfzFQ0He9kVQ_JF2mCXgZ3hqFA"",""REKAP ALL 2026 - Andika!F:F""),"""",0)"),"23172180145")</f>
        <v>23172180145</v>
      </c>
      <c r="G842" s="13" t="s">
        <v>3745</v>
      </c>
      <c r="H842" s="13" t="s">
        <v>2967</v>
      </c>
      <c r="I842" s="13" t="str">
        <f aca="false">IF(C842=J842,"NEW KONTRAK","RE-KONTRAK")</f>
        <v>RE-KONTRAK</v>
      </c>
      <c r="J842" s="16" t="n">
        <f aca="false" t="array" ref="J842:J842">IFERROR(INDEX(AC842:AE842,IF(COUNTA(AC842:AE842)=0,"",MAX((AC842:AE842&lt;&gt;"")*(COLUMN(AC842:AE842)-(COLUMN(AC842)))))-1),"")</f>
        <v>45570</v>
      </c>
      <c r="K842" s="16" t="n">
        <f aca="false" t="array" ref="K842:K842">IFERROR(INDEX(AC842:AE842,IF(COUNTA(AC842:AE842)=0,"",MAX((AC842:AE842&lt;&gt;"")*(COLUMN(AC842:AE842)-(COLUMN(AC842)-1))))-1),"")</f>
        <v>45934</v>
      </c>
      <c r="L842" s="17" t="str">
        <f aca="false" t="array" ref="L842:L842">IFERROR(INDEX(AC842:AE842,IF(COUNTA(AC842:AE842)=0,"",MAX((AC842:AE842&lt;&gt;"")*(COLUMN(AC842:AE842)-(COLUMN(AC842)-2))))-1),"")</f>
        <v>ARCHIVED</v>
      </c>
      <c r="M842" s="13" t="n">
        <f aca="true">K842-TODAY()</f>
        <v>-390</v>
      </c>
      <c r="N842" s="18" t="s">
        <v>36</v>
      </c>
      <c r="O842" s="13" t="s">
        <v>780</v>
      </c>
      <c r="P842" s="19" t="n">
        <v>4250000</v>
      </c>
      <c r="Q842" s="20" t="s">
        <v>3746</v>
      </c>
      <c r="R842" s="13" t="s">
        <v>65</v>
      </c>
      <c r="S842" s="14" t="n">
        <v>35600</v>
      </c>
      <c r="T842" s="13" t="s">
        <v>40</v>
      </c>
      <c r="U842" s="13" t="s">
        <v>3747</v>
      </c>
      <c r="V842" s="13" t="s">
        <v>42</v>
      </c>
      <c r="W842" s="13" t="s">
        <v>43</v>
      </c>
      <c r="X842" s="21" t="n">
        <v>81234311172</v>
      </c>
      <c r="Y842" s="22" t="str">
        <f aca="false">O842</f>
        <v>Shearing</v>
      </c>
      <c r="Z842" s="13" t="str">
        <f aca="false">IFERROR(__xludf.dummyfunction("if(BJ842="""","""",GOOGLETRANSLATE(BJ842,""auto"",""en""))"),"Shearing")</f>
        <v>Shearing</v>
      </c>
      <c r="AA842" s="23" t="str">
        <f aca="false">IF(C842="","", CHOOSE(MONTH(C842),"January","February","March","April","May","June","July","August","September","October","November","December")&amp;" "&amp;DAY(C842)&amp;MID("thstndrdth",MIN(9,2*RIGHT(DAY(C842))*(MOD(DAY(C842)-11,100)&gt;2)+1),2)&amp;","&amp;TEXT(C842," yyyy"))</f>
        <v>July 29th,2022</v>
      </c>
      <c r="AB842" s="15" t="str">
        <f aca="true">IF(S842="","",DATEDIF(S842,TODAY(),"Y")&amp;" Tahun, "&amp;DATEDIF(S842,TODAY(),"YM")&amp;" Bulan, "&amp;DATEDIF(S842,TODAY(),"MD")&amp;" Hari")</f>
        <v>29 Tahun, 4 Bulan, 10 Hari</v>
      </c>
      <c r="AC842" s="18" t="n">
        <v>45570</v>
      </c>
      <c r="AD842" s="18" t="n">
        <v>45934</v>
      </c>
      <c r="AE842" s="18" t="s">
        <v>44</v>
      </c>
    </row>
    <row r="843" customFormat="false" ht="15.75" hidden="false" customHeight="true" outlineLevel="0" collapsed="false">
      <c r="A843" s="12" t="n">
        <v>8942</v>
      </c>
      <c r="B843" s="13" t="s">
        <v>3748</v>
      </c>
      <c r="C843" s="14" t="n">
        <v>44795</v>
      </c>
      <c r="D843" s="13" t="s">
        <v>3022</v>
      </c>
      <c r="E843" s="15" t="s">
        <v>47</v>
      </c>
      <c r="F843" s="15" t="str">
        <f aca="false">IFERROR(__xludf.dummyfunction("XLOOKUP(AJ843,IMPORTRANGE(""1XaInW9DU9nz21V0tYIfzFQ0He9kVQ_JF2mCXgZ3hqFA"",""REKAP ALL 2026 - Andika!G:G""),IMPORTRANGE(""1XaInW9DU9nz21V0tYIfzFQ0He9kVQ_JF2mCXgZ3hqFA"",""REKAP ALL 2026 - Andika!F:F""),"""",0)"),"23172179469")</f>
        <v>23172179469</v>
      </c>
      <c r="G843" s="13" t="s">
        <v>3749</v>
      </c>
      <c r="H843" s="13" t="s">
        <v>3024</v>
      </c>
      <c r="I843" s="13" t="str">
        <f aca="false">IF(C843=J843,"NEW KONTRAK","RE-KONTRAK")</f>
        <v>RE-KONTRAK</v>
      </c>
      <c r="J843" s="16" t="n">
        <f aca="false" t="array" ref="J843:J843">IFERROR(INDEX(AC843:AE843,IF(COUNTA(AC843:AE843)=0,"",MAX((AC843:AE843&lt;&gt;"")*(COLUMN(AC843:AE843)-(COLUMN(AC843)))))-1),"")</f>
        <v>45570</v>
      </c>
      <c r="K843" s="16" t="n">
        <f aca="false" t="array" ref="K843:K843">IFERROR(INDEX(AC843:AE843,IF(COUNTA(AC843:AE843)=0,"",MAX((AC843:AE843&lt;&gt;"")*(COLUMN(AC843:AE843)-(COLUMN(AC843)-1))))-1),"")</f>
        <v>45934</v>
      </c>
      <c r="L843" s="17" t="str">
        <f aca="false" t="array" ref="L843:L843">IFERROR(INDEX(AC843:AE843,IF(COUNTA(AC843:AE843)=0,"",MAX((AC843:AE843&lt;&gt;"")*(COLUMN(AC843:AE843)-(COLUMN(AC843)-2))))-1),"")</f>
        <v>ARCHIVED</v>
      </c>
      <c r="M843" s="13" t="n">
        <f aca="true">K843-TODAY()</f>
        <v>-390</v>
      </c>
      <c r="N843" s="18" t="s">
        <v>36</v>
      </c>
      <c r="O843" s="13" t="s">
        <v>3750</v>
      </c>
      <c r="P843" s="19" t="n">
        <v>175000</v>
      </c>
      <c r="Q843" s="20" t="s">
        <v>3751</v>
      </c>
      <c r="R843" s="13" t="s">
        <v>246</v>
      </c>
      <c r="S843" s="14" t="n">
        <v>37994</v>
      </c>
      <c r="T843" s="13" t="s">
        <v>40</v>
      </c>
      <c r="U843" s="13" t="s">
        <v>3752</v>
      </c>
      <c r="V843" s="13" t="s">
        <v>42</v>
      </c>
      <c r="W843" s="13" t="s">
        <v>43</v>
      </c>
      <c r="X843" s="21" t="n">
        <v>85785401534</v>
      </c>
      <c r="Y843" s="22" t="str">
        <f aca="false">O843</f>
        <v>Produksi ( Painting )</v>
      </c>
      <c r="Z843" s="13" t="str">
        <f aca="false">IFERROR(__xludf.dummyfunction("if(BJ843="""","""",GOOGLETRANSLATE(BJ843,""auto"",""en""))"),"Production (Painting)")</f>
        <v>Production (Painting)</v>
      </c>
      <c r="AA843" s="23" t="str">
        <f aca="false">IF(C843="","", CHOOSE(MONTH(C843),"January","February","March","April","May","June","July","August","September","October","November","December")&amp;" "&amp;DAY(C843)&amp;MID("thstndrdth",MIN(9,2*RIGHT(DAY(C843))*(MOD(DAY(C843)-11,100)&gt;2)+1),2)&amp;","&amp;TEXT(C843," yyyy"))</f>
        <v>August 22nd,2022</v>
      </c>
      <c r="AB843" s="15" t="str">
        <f aca="true">IF(S843="","",DATEDIF(S843,TODAY(),"Y")&amp;" Tahun, "&amp;DATEDIF(S843,TODAY(),"YM")&amp;" Bulan, "&amp;DATEDIF(S843,TODAY(),"MD")&amp;" Hari")</f>
        <v>22 Tahun, 9 Bulan, 21 Hari</v>
      </c>
      <c r="AC843" s="18" t="n">
        <v>45570</v>
      </c>
      <c r="AD843" s="18" t="n">
        <v>45934</v>
      </c>
      <c r="AE843" s="18" t="s">
        <v>44</v>
      </c>
    </row>
    <row r="844" customFormat="false" ht="15.75" hidden="false" customHeight="true" outlineLevel="0" collapsed="false">
      <c r="A844" s="12" t="n">
        <v>8944</v>
      </c>
      <c r="B844" s="13" t="s">
        <v>3753</v>
      </c>
      <c r="C844" s="14" t="n">
        <v>44803</v>
      </c>
      <c r="D844" s="13" t="s">
        <v>3022</v>
      </c>
      <c r="E844" s="15" t="s">
        <v>33</v>
      </c>
      <c r="F844" s="24" t="s">
        <v>3754</v>
      </c>
      <c r="G844" s="13" t="s">
        <v>3755</v>
      </c>
      <c r="H844" s="13" t="s">
        <v>2967</v>
      </c>
      <c r="I844" s="13" t="str">
        <f aca="false">IF(C844=J844,"NEW KONTRAK","RE-KONTRAK")</f>
        <v>RE-KONTRAK</v>
      </c>
      <c r="J844" s="16" t="n">
        <f aca="false" t="array" ref="J844:J844">IFERROR(INDEX(AC844:AE844,IF(COUNTA(AC844:AE844)=0,"",MAX((AC844:AE844&lt;&gt;"")*(COLUMN(AC844:AE844)-(COLUMN(AC844)))))-1),"")</f>
        <v>45570</v>
      </c>
      <c r="K844" s="16" t="n">
        <f aca="false" t="array" ref="K844:K844">IFERROR(INDEX(AC844:AE844,IF(COUNTA(AC844:AE844)=0,"",MAX((AC844:AE844&lt;&gt;"")*(COLUMN(AC844:AE844)-(COLUMN(AC844)-1))))-1),"")</f>
        <v>45934</v>
      </c>
      <c r="L844" s="17" t="str">
        <f aca="false" t="array" ref="L844:L844">IFERROR(INDEX(AC844:AE844,IF(COUNTA(AC844:AE844)=0,"",MAX((AC844:AE844&lt;&gt;"")*(COLUMN(AC844:AE844)-(COLUMN(AC844)-2))))-1),"")</f>
        <v>ARCHIVED</v>
      </c>
      <c r="M844" s="13" t="n">
        <f aca="true">K844-TODAY()</f>
        <v>-390</v>
      </c>
      <c r="N844" s="18" t="s">
        <v>36</v>
      </c>
      <c r="O844" s="13" t="s">
        <v>3030</v>
      </c>
      <c r="P844" s="19" t="n">
        <v>125000</v>
      </c>
      <c r="Q844" s="20" t="s">
        <v>3756</v>
      </c>
      <c r="R844" s="13" t="s">
        <v>65</v>
      </c>
      <c r="S844" s="14" t="n">
        <v>37386</v>
      </c>
      <c r="T844" s="13" t="s">
        <v>40</v>
      </c>
      <c r="U844" s="13" t="s">
        <v>3757</v>
      </c>
      <c r="V844" s="13" t="s">
        <v>42</v>
      </c>
      <c r="W844" s="13" t="s">
        <v>43</v>
      </c>
      <c r="X844" s="21" t="n">
        <v>89512089126</v>
      </c>
      <c r="Y844" s="22" t="str">
        <f aca="false">O844</f>
        <v>Produksi ( Shearing )</v>
      </c>
      <c r="Z844" s="13" t="str">
        <f aca="false">IFERROR(__xludf.dummyfunction("if(BJ844="""","""",GOOGLETRANSLATE(BJ844,""auto"",""en""))"),"Production (Shearing)")</f>
        <v>Production (Shearing)</v>
      </c>
      <c r="AA844" s="23" t="str">
        <f aca="false">IF(C844="","", CHOOSE(MONTH(C844),"January","February","March","April","May","June","July","August","September","October","November","December")&amp;" "&amp;DAY(C844)&amp;MID("thstndrdth",MIN(9,2*RIGHT(DAY(C844))*(MOD(DAY(C844)-11,100)&gt;2)+1),2)&amp;","&amp;TEXT(C844," yyyy"))</f>
        <v>August 30th,2022</v>
      </c>
      <c r="AB844" s="15" t="str">
        <f aca="true">IF(S844="","",DATEDIF(S844,TODAY(),"Y")&amp;" Tahun, "&amp;DATEDIF(S844,TODAY(),"YM")&amp;" Bulan, "&amp;DATEDIF(S844,TODAY(),"MD")&amp;" Hari")</f>
        <v>24 Tahun, 5 Bulan, 19 Hari</v>
      </c>
      <c r="AC844" s="18" t="n">
        <v>45570</v>
      </c>
      <c r="AD844" s="18" t="n">
        <v>45934</v>
      </c>
      <c r="AE844" s="18" t="s">
        <v>44</v>
      </c>
    </row>
    <row r="845" customFormat="false" ht="15.75" hidden="false" customHeight="true" outlineLevel="0" collapsed="false">
      <c r="A845" s="12" t="n">
        <v>8949</v>
      </c>
      <c r="B845" s="13" t="s">
        <v>3758</v>
      </c>
      <c r="C845" s="14" t="n">
        <v>44851</v>
      </c>
      <c r="D845" s="13" t="s">
        <v>774</v>
      </c>
      <c r="E845" s="15" t="s">
        <v>47</v>
      </c>
      <c r="F845" s="15" t="str">
        <f aca="false">IFERROR(__xludf.dummyfunction("XLOOKUP(AJ845,IMPORTRANGE(""1XaInW9DU9nz21V0tYIfzFQ0He9kVQ_JF2mCXgZ3hqFA"",""REKAP ALL 2026 - Andika!G:G""),IMPORTRANGE(""1XaInW9DU9nz21V0tYIfzFQ0He9kVQ_JF2mCXgZ3hqFA"",""REKAP ALL 2026 - Andika!F:F""),"""",0)"),"23172180970")</f>
        <v>23172180970</v>
      </c>
      <c r="G845" s="13" t="s">
        <v>3759</v>
      </c>
      <c r="H845" s="13" t="s">
        <v>2967</v>
      </c>
      <c r="I845" s="13" t="str">
        <f aca="false">IF(C845=J845,"NEW KONTRAK","RE-KONTRAK")</f>
        <v>RE-KONTRAK</v>
      </c>
      <c r="J845" s="16" t="n">
        <f aca="false" t="array" ref="J845:J845">IFERROR(INDEX(AC845:AE845,IF(COUNTA(AC845:AE845)=0,"",MAX((AC845:AE845&lt;&gt;"")*(COLUMN(AC845:AE845)-(COLUMN(AC845)))))-1),"")</f>
        <v>45570</v>
      </c>
      <c r="K845" s="16" t="n">
        <f aca="false" t="array" ref="K845:K845">IFERROR(INDEX(AC845:AE845,IF(COUNTA(AC845:AE845)=0,"",MAX((AC845:AE845&lt;&gt;"")*(COLUMN(AC845:AE845)-(COLUMN(AC845)-1))))-1),"")</f>
        <v>45934</v>
      </c>
      <c r="L845" s="17" t="str">
        <f aca="false" t="array" ref="L845:L845">IFERROR(INDEX(AC845:AE845,IF(COUNTA(AC845:AE845)=0,"",MAX((AC845:AE845&lt;&gt;"")*(COLUMN(AC845:AE845)-(COLUMN(AC845)-2))))-1),"")</f>
        <v>ARCHIVED</v>
      </c>
      <c r="M845" s="13" t="n">
        <f aca="true">K845-TODAY()</f>
        <v>-390</v>
      </c>
      <c r="N845" s="18" t="s">
        <v>36</v>
      </c>
      <c r="O845" s="13" t="s">
        <v>795</v>
      </c>
      <c r="P845" s="19" t="n">
        <v>4250000</v>
      </c>
      <c r="Q845" s="20" t="s">
        <v>3760</v>
      </c>
      <c r="R845" s="13" t="s">
        <v>39</v>
      </c>
      <c r="S845" s="14" t="n">
        <v>34212</v>
      </c>
      <c r="T845" s="13" t="s">
        <v>40</v>
      </c>
      <c r="U845" s="13" t="s">
        <v>3761</v>
      </c>
      <c r="V845" s="13" t="s">
        <v>42</v>
      </c>
      <c r="W845" s="13" t="s">
        <v>54</v>
      </c>
      <c r="X845" s="21" t="n">
        <v>82145706954</v>
      </c>
      <c r="Y845" s="22" t="str">
        <f aca="false">O845</f>
        <v>Painting</v>
      </c>
      <c r="Z845" s="13" t="str">
        <f aca="false">IFERROR(__xludf.dummyfunction("if(BJ845="""","""",GOOGLETRANSLATE(BJ845,""auto"",""en""))"),"Painting")</f>
        <v>Painting</v>
      </c>
      <c r="AA845" s="23" t="str">
        <f aca="false">IF(C845="","", CHOOSE(MONTH(C845),"January","February","March","April","May","June","July","August","September","October","November","December")&amp;" "&amp;DAY(C845)&amp;MID("thstndrdth",MIN(9,2*RIGHT(DAY(C845))*(MOD(DAY(C845)-11,100)&gt;2)+1),2)&amp;","&amp;TEXT(C845," yyyy"))</f>
        <v>October 17th,2022</v>
      </c>
      <c r="AB845" s="15" t="str">
        <f aca="true">IF(S845="","",DATEDIF(S845,TODAY(),"Y")&amp;" Tahun, "&amp;DATEDIF(S845,TODAY(),"YM")&amp;" Bulan, "&amp;DATEDIF(S845,TODAY(),"MD")&amp;" Hari")</f>
        <v>33 Tahun, 1 Bulan, 28 Hari</v>
      </c>
      <c r="AC845" s="18" t="n">
        <v>45570</v>
      </c>
      <c r="AD845" s="18" t="n">
        <v>45934</v>
      </c>
      <c r="AE845" s="18" t="s">
        <v>44</v>
      </c>
    </row>
    <row r="846" customFormat="false" ht="15.75" hidden="false" customHeight="true" outlineLevel="0" collapsed="false">
      <c r="A846" s="12" t="n">
        <v>8954</v>
      </c>
      <c r="B846" s="13" t="s">
        <v>3762</v>
      </c>
      <c r="C846" s="14" t="n">
        <v>44859</v>
      </c>
      <c r="D846" s="13" t="s">
        <v>3022</v>
      </c>
      <c r="E846" s="15" t="s">
        <v>47</v>
      </c>
      <c r="F846" s="15" t="str">
        <f aca="false">IFERROR(__xludf.dummyfunction("XLOOKUP(AJ846,IMPORTRANGE(""1XaInW9DU9nz21V0tYIfzFQ0He9kVQ_JF2mCXgZ3hqFA"",""REKAP ALL 2026 - Andika!G:G""),IMPORTRANGE(""1XaInW9DU9nz21V0tYIfzFQ0He9kVQ_JF2mCXgZ3hqFA"",""REKAP ALL 2026 - Andika!F:F""),"""",0)"),"23172180459")</f>
        <v>23172180459</v>
      </c>
      <c r="G846" s="13" t="s">
        <v>3763</v>
      </c>
      <c r="H846" s="13" t="s">
        <v>3024</v>
      </c>
      <c r="I846" s="13" t="str">
        <f aca="false">IF(C846=J846,"NEW KONTRAK","RE-KONTRAK")</f>
        <v>RE-KONTRAK</v>
      </c>
      <c r="J846" s="16" t="n">
        <f aca="false" t="array" ref="J846:J846">IFERROR(INDEX(AC846:AE846,IF(COUNTA(AC846:AE846)=0,"",MAX((AC846:AE846&lt;&gt;"")*(COLUMN(AC846:AE846)-(COLUMN(AC846)))))-1),"")</f>
        <v>45570</v>
      </c>
      <c r="K846" s="16" t="n">
        <f aca="false" t="array" ref="K846:K846">IFERROR(INDEX(AC846:AE846,IF(COUNTA(AC846:AE846)=0,"",MAX((AC846:AE846&lt;&gt;"")*(COLUMN(AC846:AE846)-(COLUMN(AC846)-1))))-1),"")</f>
        <v>45934</v>
      </c>
      <c r="L846" s="17" t="str">
        <f aca="false" t="array" ref="L846:L846">IFERROR(INDEX(AC846:AE846,IF(COUNTA(AC846:AE846)=0,"",MAX((AC846:AE846&lt;&gt;"")*(COLUMN(AC846:AE846)-(COLUMN(AC846)-2))))-1),"")</f>
        <v>ARCHIVED</v>
      </c>
      <c r="M846" s="13" t="n">
        <f aca="true">K846-TODAY()</f>
        <v>-390</v>
      </c>
      <c r="N846" s="18" t="s">
        <v>36</v>
      </c>
      <c r="O846" s="13" t="s">
        <v>3750</v>
      </c>
      <c r="P846" s="19" t="n">
        <v>175000</v>
      </c>
      <c r="Q846" s="20" t="s">
        <v>3764</v>
      </c>
      <c r="R846" s="13" t="s">
        <v>246</v>
      </c>
      <c r="S846" s="14" t="n">
        <v>33778</v>
      </c>
      <c r="T846" s="13" t="s">
        <v>40</v>
      </c>
      <c r="U846" s="13" t="s">
        <v>3765</v>
      </c>
      <c r="V846" s="13" t="s">
        <v>42</v>
      </c>
      <c r="W846" s="13" t="s">
        <v>54</v>
      </c>
      <c r="X846" s="21" t="n">
        <v>85721510149</v>
      </c>
      <c r="Y846" s="22" t="str">
        <f aca="false">O846</f>
        <v>Produksi ( Painting )</v>
      </c>
      <c r="Z846" s="13" t="str">
        <f aca="false">IFERROR(__xludf.dummyfunction("if(BJ846="""","""",GOOGLETRANSLATE(BJ846,""auto"",""en""))"),"Production (Painting)")</f>
        <v>Production (Painting)</v>
      </c>
      <c r="AA846" s="23" t="str">
        <f aca="false">IF(C846="","", CHOOSE(MONTH(C846),"January","February","March","April","May","June","July","August","September","October","November","December")&amp;" "&amp;DAY(C846)&amp;MID("thstndrdth",MIN(9,2*RIGHT(DAY(C846))*(MOD(DAY(C846)-11,100)&gt;2)+1),2)&amp;","&amp;TEXT(C846," yyyy"))</f>
        <v>October 25th,2022</v>
      </c>
      <c r="AB846" s="15" t="str">
        <f aca="true">IF(S846="","",DATEDIF(S846,TODAY(),"Y")&amp;" Tahun, "&amp;DATEDIF(S846,TODAY(),"YM")&amp;" Bulan, "&amp;DATEDIF(S846,TODAY(),"MD")&amp;" Hari")</f>
        <v>34 Tahun, 4 Bulan, 6 Hari</v>
      </c>
      <c r="AC846" s="18" t="n">
        <v>45570</v>
      </c>
      <c r="AD846" s="18" t="n">
        <v>45934</v>
      </c>
      <c r="AE846" s="18" t="s">
        <v>44</v>
      </c>
    </row>
    <row r="847" customFormat="false" ht="15.75" hidden="false" customHeight="true" outlineLevel="0" collapsed="false">
      <c r="A847" s="12" t="n">
        <v>8962</v>
      </c>
      <c r="B847" s="13" t="s">
        <v>3766</v>
      </c>
      <c r="C847" s="14" t="n">
        <v>44893</v>
      </c>
      <c r="D847" s="13" t="s">
        <v>2046</v>
      </c>
      <c r="E847" s="15" t="s">
        <v>33</v>
      </c>
      <c r="F847" s="24" t="s">
        <v>3767</v>
      </c>
      <c r="G847" s="13" t="s">
        <v>3768</v>
      </c>
      <c r="H847" s="13" t="s">
        <v>35</v>
      </c>
      <c r="I847" s="13" t="str">
        <f aca="false">IF(C847=J847,"NEW KONTRAK","RE-KONTRAK")</f>
        <v>RE-KONTRAK</v>
      </c>
      <c r="J847" s="16" t="n">
        <f aca="false" t="array" ref="J847:J847">IFERROR(INDEX(AC847:AE847,IF(COUNTA(AC847:AE847)=0,"",MAX((AC847:AE847&lt;&gt;"")*(COLUMN(AC847:AE847)-(COLUMN(AC847)))))-1),"")</f>
        <v>45839</v>
      </c>
      <c r="K847" s="16" t="n">
        <f aca="false" t="array" ref="K847:K847">IFERROR(INDEX(AC847:AE847,IF(COUNTA(AC847:AE847)=0,"",MAX((AC847:AE847&lt;&gt;"")*(COLUMN(AC847:AE847)-(COLUMN(AC847)-1))))-1),"")</f>
        <v>45961</v>
      </c>
      <c r="L847" s="17" t="str">
        <f aca="false" t="array" ref="L847:L847">IFERROR(INDEX(AC847:AE847,IF(COUNTA(AC847:AE847)=0,"",MAX((AC847:AE847&lt;&gt;"")*(COLUMN(AC847:AE847)-(COLUMN(AC847)-2))))-1),"")</f>
        <v>ARCHIVED</v>
      </c>
      <c r="M847" s="13" t="n">
        <f aca="true">K847-TODAY()</f>
        <v>-363</v>
      </c>
      <c r="N847" s="18" t="s">
        <v>36</v>
      </c>
      <c r="O847" s="13" t="s">
        <v>2055</v>
      </c>
      <c r="P847" s="27" t="n">
        <v>4874133</v>
      </c>
      <c r="Q847" s="20" t="s">
        <v>3769</v>
      </c>
      <c r="R847" s="13" t="s">
        <v>52</v>
      </c>
      <c r="S847" s="14" t="n">
        <v>35601</v>
      </c>
      <c r="T847" s="13" t="s">
        <v>40</v>
      </c>
      <c r="U847" s="13" t="s">
        <v>3770</v>
      </c>
      <c r="V847" s="13" t="s">
        <v>42</v>
      </c>
      <c r="W847" s="13" t="s">
        <v>43</v>
      </c>
      <c r="X847" s="21" t="n">
        <v>81331575693</v>
      </c>
      <c r="Y847" s="22" t="str">
        <f aca="false">O847</f>
        <v>Assembly</v>
      </c>
      <c r="Z847" s="13" t="str">
        <f aca="false">IFERROR(__xludf.dummyfunction("if(BJ847="""","""",GOOGLETRANSLATE(BJ847,""auto"",""en""))"),"Assembly")</f>
        <v>Assembly</v>
      </c>
      <c r="AA847" s="23" t="str">
        <f aca="false">IF(C847="","", CHOOSE(MONTH(C847),"January","February","March","April","May","June","July","August","September","October","November","December")&amp;" "&amp;DAY(C847)&amp;MID("thstndrdth",MIN(9,2*RIGHT(DAY(C847))*(MOD(DAY(C847)-11,100)&gt;2)+1),2)&amp;","&amp;TEXT(C847," yyyy"))</f>
        <v>November 28th,2022</v>
      </c>
      <c r="AB847" s="15" t="str">
        <f aca="true">IF(S847="","",DATEDIF(S847,TODAY(),"Y")&amp;" Tahun, "&amp;DATEDIF(S847,TODAY(),"YM")&amp;" Bulan, "&amp;DATEDIF(S847,TODAY(),"MD")&amp;" Hari")</f>
        <v>29 Tahun, 4 Bulan, 9 Hari</v>
      </c>
      <c r="AC847" s="18" t="n">
        <v>45839</v>
      </c>
      <c r="AD847" s="18" t="n">
        <v>45961</v>
      </c>
      <c r="AE847" s="18" t="s">
        <v>44</v>
      </c>
    </row>
    <row r="848" customFormat="false" ht="15.75" hidden="false" customHeight="true" outlineLevel="0" collapsed="false">
      <c r="A848" s="12" t="n">
        <v>9049</v>
      </c>
      <c r="B848" s="13" t="s">
        <v>3771</v>
      </c>
      <c r="C848" s="14" t="n">
        <v>44890</v>
      </c>
      <c r="D848" s="13" t="s">
        <v>774</v>
      </c>
      <c r="E848" s="15" t="s">
        <v>47</v>
      </c>
      <c r="F848" s="15" t="str">
        <f aca="false">IFERROR(__xludf.dummyfunction("XLOOKUP(AJ848,IMPORTRANGE(""1XaInW9DU9nz21V0tYIfzFQ0He9kVQ_JF2mCXgZ3hqFA"",""REKAP ALL 2026 - Andika!G:G""),IMPORTRANGE(""1XaInW9DU9nz21V0tYIfzFQ0He9kVQ_JF2mCXgZ3hqFA"",""REKAP ALL 2026 - Andika!F:F""),"""",0)"),"22154730463")</f>
        <v>22154730463</v>
      </c>
      <c r="G848" s="13" t="s">
        <v>3772</v>
      </c>
      <c r="H848" s="13" t="s">
        <v>49</v>
      </c>
      <c r="I848" s="13" t="str">
        <f aca="false">IF(C848=J848,"NEW KONTRAK","RE-KONTRAK")</f>
        <v>RE-KONTRAK</v>
      </c>
      <c r="J848" s="16" t="n">
        <f aca="false" t="array" ref="J848:J848">IFERROR(INDEX(AC848:AE848,IF(COUNTA(AC848:AE848)=0,"",MAX((AC848:AE848&lt;&gt;"")*(COLUMN(AC848:AE848)-(COLUMN(AC848)))))-1),"")</f>
        <v>45566</v>
      </c>
      <c r="K848" s="16" t="n">
        <f aca="false" t="array" ref="K848:K848">IFERROR(INDEX(AC848:AE848,IF(COUNTA(AC848:AE848)=0,"",MAX((AC848:AE848&lt;&gt;"")*(COLUMN(AC848:AE848)-(COLUMN(AC848)-1))))-1),"")</f>
        <v>45930</v>
      </c>
      <c r="L848" s="17" t="str">
        <f aca="false" t="array" ref="L848:L848">IFERROR(INDEX(AC848:AE848,IF(COUNTA(AC848:AE848)=0,"",MAX((AC848:AE848&lt;&gt;"")*(COLUMN(AC848:AE848)-(COLUMN(AC848)-2))))-1),"")</f>
        <v>ARCHIVED</v>
      </c>
      <c r="M848" s="13" t="n">
        <f aca="true">K848-TODAY()</f>
        <v>-394</v>
      </c>
      <c r="N848" s="18" t="s">
        <v>36</v>
      </c>
      <c r="O848" s="13" t="s">
        <v>624</v>
      </c>
      <c r="P848" s="19" t="n">
        <v>5195500</v>
      </c>
      <c r="Q848" s="20" t="s">
        <v>3773</v>
      </c>
      <c r="R848" s="13" t="s">
        <v>3774</v>
      </c>
      <c r="S848" s="14" t="n">
        <v>36078</v>
      </c>
      <c r="T848" s="13" t="s">
        <v>40</v>
      </c>
      <c r="U848" s="13" t="s">
        <v>3775</v>
      </c>
      <c r="V848" s="13" t="s">
        <v>42</v>
      </c>
      <c r="W848" s="13" t="s">
        <v>43</v>
      </c>
      <c r="X848" s="21" t="n">
        <v>895396124392</v>
      </c>
      <c r="Y848" s="22" t="str">
        <f aca="false">O848</f>
        <v>Quality Control</v>
      </c>
      <c r="Z848" s="13" t="str">
        <f aca="false">IFERROR(__xludf.dummyfunction("if(BJ848="""","""",GOOGLETRANSLATE(BJ848,""auto"",""en""))"),"Quality Control")</f>
        <v>Quality Control</v>
      </c>
      <c r="AA848" s="23" t="str">
        <f aca="false">IF(C848="","", CHOOSE(MONTH(C848),"January","February","March","April","May","June","July","August","September","October","November","December")&amp;" "&amp;DAY(C848)&amp;MID("thstndrdth",MIN(9,2*RIGHT(DAY(C848))*(MOD(DAY(C848)-11,100)&gt;2)+1),2)&amp;","&amp;TEXT(C848," yyyy"))</f>
        <v>November 25th,2022</v>
      </c>
      <c r="AB848" s="15" t="str">
        <f aca="true">IF(S848="","",DATEDIF(S848,TODAY(),"Y")&amp;" Tahun, "&amp;DATEDIF(S848,TODAY(),"YM")&amp;" Bulan, "&amp;DATEDIF(S848,TODAY(),"MD")&amp;" Hari")</f>
        <v>28 Tahun, 0 Bulan, 19 Hari</v>
      </c>
      <c r="AC848" s="18" t="n">
        <v>45566</v>
      </c>
      <c r="AD848" s="18" t="n">
        <v>45930</v>
      </c>
      <c r="AE848" s="18" t="s">
        <v>44</v>
      </c>
    </row>
    <row r="849" customFormat="false" ht="15.75" hidden="false" customHeight="true" outlineLevel="0" collapsed="false">
      <c r="A849" s="12" t="n">
        <v>9052</v>
      </c>
      <c r="B849" s="13" t="s">
        <v>3776</v>
      </c>
      <c r="C849" s="14" t="n">
        <v>44889</v>
      </c>
      <c r="D849" s="13" t="s">
        <v>404</v>
      </c>
      <c r="E849" s="15" t="s">
        <v>33</v>
      </c>
      <c r="F849" s="24" t="s">
        <v>3777</v>
      </c>
      <c r="G849" s="13" t="s">
        <v>3778</v>
      </c>
      <c r="H849" s="13" t="s">
        <v>35</v>
      </c>
      <c r="I849" s="13" t="str">
        <f aca="false">IF(C849=J849,"NEW KONTRAK","RE-KONTRAK")</f>
        <v>RE-KONTRAK</v>
      </c>
      <c r="J849" s="16" t="n">
        <f aca="false" t="array" ref="J849:J849">IFERROR(INDEX(AC849:AE849,IF(COUNTA(AC849:AE849)=0,"",MAX((AC849:AE849&lt;&gt;"")*(COLUMN(AC849:AE849)-(COLUMN(AC849)))))-1),"")</f>
        <v>45658</v>
      </c>
      <c r="K849" s="16" t="n">
        <f aca="false" t="array" ref="K849:K849">IFERROR(INDEX(AC849:AE849,IF(COUNTA(AC849:AE849)=0,"",MAX((AC849:AE849&lt;&gt;"")*(COLUMN(AC849:AE849)-(COLUMN(AC849)-1))))-1),"")</f>
        <v>46022</v>
      </c>
      <c r="L849" s="17" t="str">
        <f aca="false" t="array" ref="L849:L849">IFERROR(INDEX(AC849:AE849,IF(COUNTA(AC849:AE849)=0,"",MAX((AC849:AE849&lt;&gt;"")*(COLUMN(AC849:AE849)-(COLUMN(AC849)-2))))-1),"")</f>
        <v>ARCHIVED</v>
      </c>
      <c r="M849" s="13" t="n">
        <f aca="true">K849-TODAY()</f>
        <v>-302</v>
      </c>
      <c r="N849" s="18" t="s">
        <v>36</v>
      </c>
      <c r="O849" s="13" t="s">
        <v>411</v>
      </c>
      <c r="P849" s="27" t="n">
        <v>5195401</v>
      </c>
      <c r="Q849" s="20" t="s">
        <v>3779</v>
      </c>
      <c r="R849" s="13" t="s">
        <v>65</v>
      </c>
      <c r="S849" s="14" t="n">
        <v>36778</v>
      </c>
      <c r="T849" s="13" t="s">
        <v>40</v>
      </c>
      <c r="U849" s="13" t="s">
        <v>3780</v>
      </c>
      <c r="V849" s="13" t="s">
        <v>42</v>
      </c>
      <c r="W849" s="13" t="s">
        <v>43</v>
      </c>
      <c r="X849" s="21" t="n">
        <v>85770440556</v>
      </c>
      <c r="Y849" s="22" t="str">
        <f aca="false">O849</f>
        <v>Dry Fact</v>
      </c>
      <c r="Z849" s="13" t="str">
        <f aca="false">IFERROR(__xludf.dummyfunction("if(BJ849="""","""",GOOGLETRANSLATE(BJ849,""auto"",""en""))"),"Dry Fact")</f>
        <v>Dry Fact</v>
      </c>
      <c r="AA849" s="23" t="str">
        <f aca="false">IF(C849="","", CHOOSE(MONTH(C849),"January","February","March","April","May","June","July","August","September","October","November","December")&amp;" "&amp;DAY(C849)&amp;MID("thstndrdth",MIN(9,2*RIGHT(DAY(C849))*(MOD(DAY(C849)-11,100)&gt;2)+1),2)&amp;","&amp;TEXT(C849," yyyy"))</f>
        <v>November 24th,2022</v>
      </c>
      <c r="AB849" s="15" t="str">
        <f aca="true">IF(S849="","",DATEDIF(S849,TODAY(),"Y")&amp;" Tahun, "&amp;DATEDIF(S849,TODAY(),"YM")&amp;" Bulan, "&amp;DATEDIF(S849,TODAY(),"MD")&amp;" Hari")</f>
        <v>26 Tahun, 1 Bulan, 20 Hari</v>
      </c>
      <c r="AC849" s="18" t="n">
        <v>45658</v>
      </c>
      <c r="AD849" s="18" t="n">
        <v>46022</v>
      </c>
      <c r="AE849" s="18" t="s">
        <v>44</v>
      </c>
    </row>
    <row r="850" customFormat="false" ht="15.75" hidden="false" customHeight="true" outlineLevel="0" collapsed="false">
      <c r="A850" s="12" t="n">
        <v>9093</v>
      </c>
      <c r="B850" s="13" t="s">
        <v>3781</v>
      </c>
      <c r="C850" s="14" t="n">
        <v>44779</v>
      </c>
      <c r="D850" s="13" t="s">
        <v>747</v>
      </c>
      <c r="E850" s="15" t="s">
        <v>102</v>
      </c>
      <c r="F850" s="15" t="str">
        <f aca="false">IFERROR(__xludf.dummyfunction("XLOOKUP(AJ850,IMPORTRANGE(""1XaInW9DU9nz21V0tYIfzFQ0He9kVQ_JF2mCXgZ3hqFA"",""REKAP ALL 2026 - Andika!G:G""),IMPORTRANGE(""1XaInW9DU9nz21V0tYIfzFQ0He9kVQ_JF2mCXgZ3hqFA"",""REKAP ALL 2026 - Andika!F:F""),"""",0)"),"22154286540")</f>
        <v>22154286540</v>
      </c>
      <c r="G850" s="13" t="s">
        <v>3782</v>
      </c>
      <c r="H850" s="13" t="s">
        <v>35</v>
      </c>
      <c r="I850" s="13" t="str">
        <f aca="false">IF(C850=J850,"NEW KONTRAK","RE-KONTRAK")</f>
        <v>RE-KONTRAK</v>
      </c>
      <c r="J850" s="16" t="n">
        <f aca="false" t="array" ref="J850:J850">IFERROR(INDEX(AC850:AE850,IF(COUNTA(AC850:AE850)=0,"",MAX((AC850:AE850&lt;&gt;"")*(COLUMN(AC850:AE850)-(COLUMN(AC850)))))-1),"")</f>
        <v>45658</v>
      </c>
      <c r="K850" s="16" t="n">
        <f aca="false" t="array" ref="K850:K850">IFERROR(INDEX(AC850:AE850,IF(COUNTA(AC850:AE850)=0,"",MAX((AC850:AE850&lt;&gt;"")*(COLUMN(AC850:AE850)-(COLUMN(AC850)-1))))-1),"")</f>
        <v>45747</v>
      </c>
      <c r="L850" s="17" t="str">
        <f aca="false" t="array" ref="L850:L850">IFERROR(INDEX(AC850:AE850,IF(COUNTA(AC850:AE850)=0,"",MAX((AC850:AE850&lt;&gt;"")*(COLUMN(AC850:AE850)-(COLUMN(AC850)-2))))-1),"")</f>
        <v>ARCHIVED</v>
      </c>
      <c r="M850" s="13" t="n">
        <f aca="true">K850-TODAY()</f>
        <v>-577</v>
      </c>
      <c r="N850" s="18" t="s">
        <v>749</v>
      </c>
      <c r="O850" s="13" t="s">
        <v>3271</v>
      </c>
      <c r="P850" s="19" t="n">
        <v>3724437.2</v>
      </c>
      <c r="Q850" s="20" t="s">
        <v>3783</v>
      </c>
      <c r="R850" s="13" t="s">
        <v>3784</v>
      </c>
      <c r="S850" s="14" t="n">
        <v>32638</v>
      </c>
      <c r="T850" s="13" t="s">
        <v>40</v>
      </c>
      <c r="U850" s="13" t="s">
        <v>3785</v>
      </c>
      <c r="V850" s="28" t="s">
        <v>1216</v>
      </c>
      <c r="W850" s="13" t="s">
        <v>54</v>
      </c>
      <c r="X850" s="21" t="n">
        <v>81339735860</v>
      </c>
      <c r="Y850" s="22" t="str">
        <f aca="false">O850</f>
        <v>Helper</v>
      </c>
      <c r="Z850" s="13" t="str">
        <f aca="false">IFERROR(__xludf.dummyfunction("if(BJ850="""","""",GOOGLETRANSLATE(BJ850,""auto"",""en""))"),"Helper")</f>
        <v>Helper</v>
      </c>
      <c r="AA850" s="23" t="str">
        <f aca="false">IF(C850="","", CHOOSE(MONTH(C850),"January","February","March","April","May","June","July","August","September","October","November","December")&amp;" "&amp;DAY(C850)&amp;MID("thstndrdth",MIN(9,2*RIGHT(DAY(C850))*(MOD(DAY(C850)-11,100)&gt;2)+1),2)&amp;","&amp;TEXT(C850," yyyy"))</f>
        <v>August 6th,2022</v>
      </c>
      <c r="AB850" s="15" t="str">
        <f aca="true">IF(S850="","",DATEDIF(S850,TODAY(),"Y")&amp;" Tahun, "&amp;DATEDIF(S850,TODAY(),"YM")&amp;" Bulan, "&amp;DATEDIF(S850,TODAY(),"MD")&amp;" Hari")</f>
        <v>37 Tahun, 5 Bulan, 19 Hari</v>
      </c>
      <c r="AC850" s="18" t="n">
        <v>45658</v>
      </c>
      <c r="AD850" s="18" t="n">
        <v>45747</v>
      </c>
      <c r="AE850" s="18" t="s">
        <v>44</v>
      </c>
    </row>
    <row r="851" customFormat="false" ht="15.75" hidden="false" customHeight="true" outlineLevel="0" collapsed="false">
      <c r="A851" s="12" t="n">
        <v>9119</v>
      </c>
      <c r="B851" s="13" t="s">
        <v>3786</v>
      </c>
      <c r="C851" s="14" t="n">
        <v>44896</v>
      </c>
      <c r="D851" s="13" t="s">
        <v>144</v>
      </c>
      <c r="E851" s="15" t="s">
        <v>33</v>
      </c>
      <c r="F851" s="24" t="s">
        <v>3787</v>
      </c>
      <c r="G851" s="13" t="s">
        <v>3788</v>
      </c>
      <c r="H851" s="13" t="s">
        <v>35</v>
      </c>
      <c r="I851" s="13" t="str">
        <f aca="false">IF(C851=J851,"NEW KONTRAK","RE-KONTRAK")</f>
        <v>RE-KONTRAK</v>
      </c>
      <c r="J851" s="16" t="n">
        <f aca="false" t="array" ref="J851:J851">IFERROR(INDEX(AC851:AE851,IF(COUNTA(AC851:AE851)=0,"",MAX((AC851:AE851&lt;&gt;"")*(COLUMN(AC851:AE851)-(COLUMN(AC851)))))-1),"")</f>
        <v>45658</v>
      </c>
      <c r="K851" s="16" t="n">
        <f aca="false" t="array" ref="K851:K851">IFERROR(INDEX(AC851:AE851,IF(COUNTA(AC851:AE851)=0,"",MAX((AC851:AE851&lt;&gt;"")*(COLUMN(AC851:AE851)-(COLUMN(AC851)-1))))-1),"")</f>
        <v>46022</v>
      </c>
      <c r="L851" s="17" t="str">
        <f aca="false" t="array" ref="L851:L851">IFERROR(INDEX(AC851:AE851,IF(COUNTA(AC851:AE851)=0,"",MAX((AC851:AE851&lt;&gt;"")*(COLUMN(AC851:AE851)-(COLUMN(AC851)-2))))-1),"")</f>
        <v>ARCHIVED</v>
      </c>
      <c r="M851" s="13" t="n">
        <f aca="true">K851-TODAY()</f>
        <v>-302</v>
      </c>
      <c r="N851" s="18" t="s">
        <v>36</v>
      </c>
      <c r="O851" s="13" t="s">
        <v>211</v>
      </c>
      <c r="P851" s="19" t="n">
        <v>5195401</v>
      </c>
      <c r="Q851" s="20" t="s">
        <v>3789</v>
      </c>
      <c r="R851" s="13" t="s">
        <v>52</v>
      </c>
      <c r="S851" s="14" t="n">
        <v>32932</v>
      </c>
      <c r="T851" s="13" t="s">
        <v>40</v>
      </c>
      <c r="U851" s="13" t="s">
        <v>3790</v>
      </c>
      <c r="V851" s="13" t="s">
        <v>42</v>
      </c>
      <c r="W851" s="13" t="s">
        <v>54</v>
      </c>
      <c r="X851" s="21" t="n">
        <v>81217271482</v>
      </c>
      <c r="Y851" s="22" t="str">
        <f aca="false">O851</f>
        <v>FG Store</v>
      </c>
      <c r="Z851" s="13" t="str">
        <f aca="false">IFERROR(__xludf.dummyfunction("if(BJ851="""","""",GOOGLETRANSLATE(BJ851,""auto"",""en""))"),"FG Store")</f>
        <v>FG Store</v>
      </c>
      <c r="AA851" s="23" t="str">
        <f aca="false">IF(C851="","", CHOOSE(MONTH(C851),"January","February","March","April","May","June","July","August","September","October","November","December")&amp;" "&amp;DAY(C851)&amp;MID("thstndrdth",MIN(9,2*RIGHT(DAY(C851))*(MOD(DAY(C851)-11,100)&gt;2)+1),2)&amp;","&amp;TEXT(C851," yyyy"))</f>
        <v>December 1st,2022</v>
      </c>
      <c r="AB851" s="15" t="str">
        <f aca="true">IF(S851="","",DATEDIF(S851,TODAY(),"Y")&amp;" Tahun, "&amp;DATEDIF(S851,TODAY(),"YM")&amp;" Bulan, "&amp;DATEDIF(S851,TODAY(),"MD")&amp;" Hari")</f>
        <v>36 Tahun, 8 Bulan, 1 Hari</v>
      </c>
      <c r="AC851" s="18" t="n">
        <v>45658</v>
      </c>
      <c r="AD851" s="18" t="n">
        <v>46022</v>
      </c>
      <c r="AE851" s="18" t="s">
        <v>44</v>
      </c>
    </row>
    <row r="852" customFormat="false" ht="15.75" hidden="false" customHeight="true" outlineLevel="0" collapsed="false">
      <c r="A852" s="12" t="n">
        <v>9290</v>
      </c>
      <c r="B852" s="13" t="s">
        <v>3791</v>
      </c>
      <c r="C852" s="14" t="n">
        <v>44902</v>
      </c>
      <c r="D852" s="13" t="s">
        <v>2046</v>
      </c>
      <c r="E852" s="15" t="s">
        <v>789</v>
      </c>
      <c r="F852" s="24" t="s">
        <v>3792</v>
      </c>
      <c r="G852" s="13" t="s">
        <v>3793</v>
      </c>
      <c r="H852" s="13" t="s">
        <v>35</v>
      </c>
      <c r="I852" s="13" t="str">
        <f aca="false">IF(C852=J852,"NEW KONTRAK","RE-KONTRAK")</f>
        <v>RE-KONTRAK</v>
      </c>
      <c r="J852" s="16" t="n">
        <f aca="false" t="array" ref="J852:J852">IFERROR(INDEX(AC852:AE852,IF(COUNTA(AC852:AE852)=0,"",MAX((AC852:AE852&lt;&gt;"")*(COLUMN(AC852:AE852)-(COLUMN(AC852)))))-1),"")</f>
        <v>45839</v>
      </c>
      <c r="K852" s="16" t="n">
        <f aca="false" t="array" ref="K852:K852">IFERROR(INDEX(AC852:AE852,IF(COUNTA(AC852:AE852)=0,"",MAX((AC852:AE852&lt;&gt;"")*(COLUMN(AC852:AE852)-(COLUMN(AC852)-1))))-1),"")</f>
        <v>45961</v>
      </c>
      <c r="L852" s="17" t="str">
        <f aca="false" t="array" ref="L852:L852">IFERROR(INDEX(AC852:AE852,IF(COUNTA(AC852:AE852)=0,"",MAX((AC852:AE852&lt;&gt;"")*(COLUMN(AC852:AE852)-(COLUMN(AC852)-2))))-1),"")</f>
        <v>ARCHIVED</v>
      </c>
      <c r="M852" s="13" t="n">
        <f aca="true">K852-TODAY()</f>
        <v>-363</v>
      </c>
      <c r="N852" s="18" t="s">
        <v>36</v>
      </c>
      <c r="O852" s="13" t="s">
        <v>2049</v>
      </c>
      <c r="P852" s="19" t="s">
        <v>2050</v>
      </c>
      <c r="Q852" s="20" t="s">
        <v>3794</v>
      </c>
      <c r="R852" s="13" t="s">
        <v>232</v>
      </c>
      <c r="S852" s="14" t="n">
        <v>36134</v>
      </c>
      <c r="T852" s="13" t="s">
        <v>40</v>
      </c>
      <c r="U852" s="13" t="s">
        <v>3795</v>
      </c>
      <c r="V852" s="13" t="s">
        <v>42</v>
      </c>
      <c r="W852" s="13" t="s">
        <v>54</v>
      </c>
      <c r="X852" s="21" t="n">
        <v>85792175097</v>
      </c>
      <c r="Y852" s="22" t="str">
        <f aca="false">O852</f>
        <v>Produksi Extrude</v>
      </c>
      <c r="Z852" s="13" t="str">
        <f aca="false">IFERROR(__xludf.dummyfunction("if(BJ852="""","""",GOOGLETRANSLATE(BJ852,""auto"",""en""))"),"Extrude Production")</f>
        <v>Extrude Production</v>
      </c>
      <c r="AA852" s="23" t="str">
        <f aca="false">IF(C852="","", CHOOSE(MONTH(C852),"January","February","March","April","May","June","July","August","September","October","November","December")&amp;" "&amp;DAY(C852)&amp;MID("thstndrdth",MIN(9,2*RIGHT(DAY(C852))*(MOD(DAY(C852)-11,100)&gt;2)+1),2)&amp;","&amp;TEXT(C852," yyyy"))</f>
        <v>December 7th,2022</v>
      </c>
      <c r="AB852" s="15" t="str">
        <f aca="true">IF(S852="","",DATEDIF(S852,TODAY(),"Y")&amp;" Tahun, "&amp;DATEDIF(S852,TODAY(),"YM")&amp;" Bulan, "&amp;DATEDIF(S852,TODAY(),"MD")&amp;" Hari")</f>
        <v>27 Tahun, 10 Bulan, 24 Hari</v>
      </c>
      <c r="AC852" s="18" t="n">
        <v>45839</v>
      </c>
      <c r="AD852" s="18" t="n">
        <v>45961</v>
      </c>
      <c r="AE852" s="18" t="s">
        <v>44</v>
      </c>
    </row>
    <row r="853" customFormat="false" ht="15.75" hidden="false" customHeight="true" outlineLevel="0" collapsed="false">
      <c r="A853" s="12" t="n">
        <v>9298</v>
      </c>
      <c r="B853" s="13" t="s">
        <v>3796</v>
      </c>
      <c r="C853" s="14" t="n">
        <v>44914</v>
      </c>
      <c r="D853" s="13" t="s">
        <v>1066</v>
      </c>
      <c r="E853" s="15" t="s">
        <v>47</v>
      </c>
      <c r="F853" s="15" t="str">
        <f aca="false">IFERROR(__xludf.dummyfunction("XLOOKUP(AJ853,IMPORTRANGE(""1XaInW9DU9nz21V0tYIfzFQ0He9kVQ_JF2mCXgZ3hqFA"",""REKAP ALL 2026 - Andika!G:G""),IMPORTRANGE(""1XaInW9DU9nz21V0tYIfzFQ0He9kVQ_JF2mCXgZ3hqFA"",""REKAP ALL 2026 - Andika!F:F""),"""",0)"),"22154733038")</f>
        <v>22154733038</v>
      </c>
      <c r="G853" s="13" t="s">
        <v>3797</v>
      </c>
      <c r="H853" s="13" t="s">
        <v>35</v>
      </c>
      <c r="I853" s="13" t="str">
        <f aca="false">IF(C853=J853,"NEW KONTRAK","RE-KONTRAK")</f>
        <v>RE-KONTRAK</v>
      </c>
      <c r="J853" s="16" t="n">
        <f aca="false" t="array" ref="J853:J853">IFERROR(INDEX(AC853:AE853,IF(COUNTA(AC853:AE853)=0,"",MAX((AC853:AE853&lt;&gt;"")*(COLUMN(AC853:AE853)-(COLUMN(AC853)))))-1),"")</f>
        <v>45658</v>
      </c>
      <c r="K853" s="16" t="n">
        <f aca="false" t="array" ref="K853:K853">IFERROR(INDEX(AC853:AE853,IF(COUNTA(AC853:AE853)=0,"",MAX((AC853:AE853&lt;&gt;"")*(COLUMN(AC853:AE853)-(COLUMN(AC853)-1))))-1),"")</f>
        <v>46022</v>
      </c>
      <c r="L853" s="17" t="str">
        <f aca="false" t="array" ref="L853:L853">IFERROR(INDEX(AC853:AE853,IF(COUNTA(AC853:AE853)=0,"",MAX((AC853:AE853&lt;&gt;"")*(COLUMN(AC853:AE853)-(COLUMN(AC853)-2))))-1),"")</f>
        <v>ARCHIVED</v>
      </c>
      <c r="M853" s="13" t="n">
        <f aca="true">K853-TODAY()</f>
        <v>-302</v>
      </c>
      <c r="N853" s="18" t="s">
        <v>615</v>
      </c>
      <c r="O853" s="13" t="s">
        <v>1068</v>
      </c>
      <c r="P853" s="19" t="n">
        <v>5176101</v>
      </c>
      <c r="Q853" s="20" t="s">
        <v>3798</v>
      </c>
      <c r="R853" s="13" t="s">
        <v>232</v>
      </c>
      <c r="S853" s="14" t="n">
        <v>35046</v>
      </c>
      <c r="T853" s="13" t="s">
        <v>108</v>
      </c>
      <c r="U853" s="13" t="s">
        <v>3799</v>
      </c>
      <c r="V853" s="13" t="s">
        <v>42</v>
      </c>
      <c r="W853" s="13" t="s">
        <v>54</v>
      </c>
      <c r="X853" s="21" t="n">
        <v>85607266426</v>
      </c>
      <c r="Y853" s="22" t="str">
        <f aca="false">O853</f>
        <v>Production Packer</v>
      </c>
      <c r="Z853" s="13" t="str">
        <f aca="false">IFERROR(__xludf.dummyfunction("if(BJ853="""","""",GOOGLETRANSLATE(BJ853,""auto"",""en""))"),"Production Packer")</f>
        <v>Production Packer</v>
      </c>
      <c r="AA853" s="23" t="str">
        <f aca="false">IF(C853="","", CHOOSE(MONTH(C853),"January","February","March","April","May","June","July","August","September","October","November","December")&amp;" "&amp;DAY(C853)&amp;MID("thstndrdth",MIN(9,2*RIGHT(DAY(C853))*(MOD(DAY(C853)-11,100)&gt;2)+1),2)&amp;","&amp;TEXT(C853," yyyy"))</f>
        <v>December 19th,2022</v>
      </c>
      <c r="AB853" s="15" t="str">
        <f aca="true">IF(S853="","",DATEDIF(S853,TODAY(),"Y")&amp;" Tahun, "&amp;DATEDIF(S853,TODAY(),"YM")&amp;" Bulan, "&amp;DATEDIF(S853,TODAY(),"MD")&amp;" Hari")</f>
        <v>30 Tahun, 10 Bulan, 16 Hari</v>
      </c>
      <c r="AC853" s="18" t="n">
        <v>45658</v>
      </c>
      <c r="AD853" s="18" t="n">
        <v>46022</v>
      </c>
      <c r="AE853" s="18" t="s">
        <v>44</v>
      </c>
    </row>
    <row r="854" customFormat="false" ht="15.75" hidden="false" customHeight="true" outlineLevel="0" collapsed="false">
      <c r="A854" s="12" t="n">
        <v>9299</v>
      </c>
      <c r="B854" s="13" t="s">
        <v>3800</v>
      </c>
      <c r="C854" s="14" t="n">
        <v>44914</v>
      </c>
      <c r="D854" s="13" t="s">
        <v>1066</v>
      </c>
      <c r="E854" s="15" t="s">
        <v>47</v>
      </c>
      <c r="F854" s="15" t="str">
        <f aca="false">IFERROR(__xludf.dummyfunction("XLOOKUP(AJ854,IMPORTRANGE(""1XaInW9DU9nz21V0tYIfzFQ0He9kVQ_JF2mCXgZ3hqFA"",""REKAP ALL 2026 - Andika!G:G""),IMPORTRANGE(""1XaInW9DU9nz21V0tYIfzFQ0He9kVQ_JF2mCXgZ3hqFA"",""REKAP ALL 2026 - Andika!F:F""),"""",0)"),"22154733129")</f>
        <v>22154733129</v>
      </c>
      <c r="G854" s="13" t="s">
        <v>3801</v>
      </c>
      <c r="H854" s="13" t="s">
        <v>35</v>
      </c>
      <c r="I854" s="13" t="str">
        <f aca="false">IF(C854=J854,"NEW KONTRAK","RE-KONTRAK")</f>
        <v>RE-KONTRAK</v>
      </c>
      <c r="J854" s="16" t="n">
        <f aca="false" t="array" ref="J854:J854">IFERROR(INDEX(AC854:AE854,IF(COUNTA(AC854:AE854)=0,"",MAX((AC854:AE854&lt;&gt;"")*(COLUMN(AC854:AE854)-(COLUMN(AC854)))))-1),"")</f>
        <v>45658</v>
      </c>
      <c r="K854" s="16" t="n">
        <f aca="false" t="array" ref="K854:K854">IFERROR(INDEX(AC854:AE854,IF(COUNTA(AC854:AE854)=0,"",MAX((AC854:AE854&lt;&gt;"")*(COLUMN(AC854:AE854)-(COLUMN(AC854)-1))))-1),"")</f>
        <v>46022</v>
      </c>
      <c r="L854" s="17" t="str">
        <f aca="false" t="array" ref="L854:L854">IFERROR(INDEX(AC854:AE854,IF(COUNTA(AC854:AE854)=0,"",MAX((AC854:AE854&lt;&gt;"")*(COLUMN(AC854:AE854)-(COLUMN(AC854)-2))))-1),"")</f>
        <v>ARCHIVED</v>
      </c>
      <c r="M854" s="13" t="n">
        <f aca="true">K854-TODAY()</f>
        <v>-302</v>
      </c>
      <c r="N854" s="18" t="s">
        <v>615</v>
      </c>
      <c r="O854" s="13" t="s">
        <v>1068</v>
      </c>
      <c r="P854" s="19" t="n">
        <v>5176101</v>
      </c>
      <c r="Q854" s="20" t="s">
        <v>3802</v>
      </c>
      <c r="R854" s="13" t="s">
        <v>232</v>
      </c>
      <c r="S854" s="14" t="n">
        <v>36982</v>
      </c>
      <c r="T854" s="13" t="s">
        <v>108</v>
      </c>
      <c r="U854" s="13" t="s">
        <v>3803</v>
      </c>
      <c r="V854" s="13" t="s">
        <v>42</v>
      </c>
      <c r="W854" s="13" t="s">
        <v>54</v>
      </c>
      <c r="X854" s="21" t="n">
        <v>87864148070</v>
      </c>
      <c r="Y854" s="22" t="str">
        <f aca="false">O854</f>
        <v>Production Packer</v>
      </c>
      <c r="Z854" s="13" t="str">
        <f aca="false">IFERROR(__xludf.dummyfunction("if(BJ854="""","""",GOOGLETRANSLATE(BJ854,""auto"",""en""))"),"Production Packer")</f>
        <v>Production Packer</v>
      </c>
      <c r="AA854" s="23" t="str">
        <f aca="false">IF(C854="","", CHOOSE(MONTH(C854),"January","February","March","April","May","June","July","August","September","October","November","December")&amp;" "&amp;DAY(C854)&amp;MID("thstndrdth",MIN(9,2*RIGHT(DAY(C854))*(MOD(DAY(C854)-11,100)&gt;2)+1),2)&amp;","&amp;TEXT(C854," yyyy"))</f>
        <v>December 19th,2022</v>
      </c>
      <c r="AB854" s="15" t="str">
        <f aca="true">IF(S854="","",DATEDIF(S854,TODAY(),"Y")&amp;" Tahun, "&amp;DATEDIF(S854,TODAY(),"YM")&amp;" Bulan, "&amp;DATEDIF(S854,TODAY(),"MD")&amp;" Hari")</f>
        <v>25 Tahun, 6 Bulan, 28 Hari</v>
      </c>
      <c r="AC854" s="18" t="n">
        <v>45658</v>
      </c>
      <c r="AD854" s="18" t="n">
        <v>46022</v>
      </c>
      <c r="AE854" s="18" t="s">
        <v>44</v>
      </c>
    </row>
    <row r="855" customFormat="false" ht="15.75" hidden="false" customHeight="true" outlineLevel="0" collapsed="false">
      <c r="A855" s="12" t="n">
        <v>9300</v>
      </c>
      <c r="B855" s="13" t="s">
        <v>3804</v>
      </c>
      <c r="C855" s="14" t="n">
        <v>44914</v>
      </c>
      <c r="D855" s="13" t="s">
        <v>1066</v>
      </c>
      <c r="E855" s="15" t="s">
        <v>47</v>
      </c>
      <c r="F855" s="15" t="str">
        <f aca="false">IFERROR(__xludf.dummyfunction("XLOOKUP(AJ855,IMPORTRANGE(""1XaInW9DU9nz21V0tYIfzFQ0He9kVQ_JF2mCXgZ3hqFA"",""REKAP ALL 2026 - Andika!G:G""),IMPORTRANGE(""1XaInW9DU9nz21V0tYIfzFQ0He9kVQ_JF2mCXgZ3hqFA"",""REKAP ALL 2026 - Andika!F:F""),"""",0)"),"22154733095")</f>
        <v>22154733095</v>
      </c>
      <c r="G855" s="13" t="s">
        <v>3805</v>
      </c>
      <c r="H855" s="13" t="s">
        <v>35</v>
      </c>
      <c r="I855" s="13" t="str">
        <f aca="false">IF(C855=J855,"NEW KONTRAK","RE-KONTRAK")</f>
        <v>RE-KONTRAK</v>
      </c>
      <c r="J855" s="16" t="n">
        <f aca="false" t="array" ref="J855:J855">IFERROR(INDEX(AC855:AE855,IF(COUNTA(AC855:AE855)=0,"",MAX((AC855:AE855&lt;&gt;"")*(COLUMN(AC855:AE855)-(COLUMN(AC855)))))-1),"")</f>
        <v>45658</v>
      </c>
      <c r="K855" s="16" t="n">
        <f aca="false" t="array" ref="K855:K855">IFERROR(INDEX(AC855:AE855,IF(COUNTA(AC855:AE855)=0,"",MAX((AC855:AE855&lt;&gt;"")*(COLUMN(AC855:AE855)-(COLUMN(AC855)-1))))-1),"")</f>
        <v>46022</v>
      </c>
      <c r="L855" s="17" t="str">
        <f aca="false" t="array" ref="L855:L855">IFERROR(INDEX(AC855:AE855,IF(COUNTA(AC855:AE855)=0,"",MAX((AC855:AE855&lt;&gt;"")*(COLUMN(AC855:AE855)-(COLUMN(AC855)-2))))-1),"")</f>
        <v>ARCHIVED</v>
      </c>
      <c r="M855" s="13" t="n">
        <f aca="true">K855-TODAY()</f>
        <v>-302</v>
      </c>
      <c r="N855" s="18" t="s">
        <v>615</v>
      </c>
      <c r="O855" s="13" t="s">
        <v>1068</v>
      </c>
      <c r="P855" s="19" t="n">
        <v>5176101</v>
      </c>
      <c r="Q855" s="20" t="s">
        <v>3806</v>
      </c>
      <c r="R855" s="13" t="s">
        <v>232</v>
      </c>
      <c r="S855" s="14" t="n">
        <v>36418</v>
      </c>
      <c r="T855" s="13" t="s">
        <v>108</v>
      </c>
      <c r="U855" s="13" t="s">
        <v>3807</v>
      </c>
      <c r="V855" s="13" t="s">
        <v>42</v>
      </c>
      <c r="W855" s="13" t="s">
        <v>43</v>
      </c>
      <c r="X855" s="21" t="n">
        <v>85942940253</v>
      </c>
      <c r="Y855" s="22" t="str">
        <f aca="false">O855</f>
        <v>Production Packer</v>
      </c>
      <c r="Z855" s="13" t="str">
        <f aca="false">IFERROR(__xludf.dummyfunction("if(BJ855="""","""",GOOGLETRANSLATE(BJ855,""auto"",""en""))"),"Production Packer")</f>
        <v>Production Packer</v>
      </c>
      <c r="AA855" s="23" t="str">
        <f aca="false">IF(C855="","", CHOOSE(MONTH(C855),"January","February","March","April","May","June","July","August","September","October","November","December")&amp;" "&amp;DAY(C855)&amp;MID("thstndrdth",MIN(9,2*RIGHT(DAY(C855))*(MOD(DAY(C855)-11,100)&gt;2)+1),2)&amp;","&amp;TEXT(C855," yyyy"))</f>
        <v>December 19th,2022</v>
      </c>
      <c r="AB855" s="15" t="str">
        <f aca="true">IF(S855="","",DATEDIF(S855,TODAY(),"Y")&amp;" Tahun, "&amp;DATEDIF(S855,TODAY(),"YM")&amp;" Bulan, "&amp;DATEDIF(S855,TODAY(),"MD")&amp;" Hari")</f>
        <v>27 Tahun, 1 Bulan, 14 Hari</v>
      </c>
      <c r="AC855" s="18" t="n">
        <v>45658</v>
      </c>
      <c r="AD855" s="18" t="n">
        <v>46022</v>
      </c>
      <c r="AE855" s="18" t="s">
        <v>44</v>
      </c>
    </row>
    <row r="856" customFormat="false" ht="15.75" hidden="false" customHeight="true" outlineLevel="0" collapsed="false">
      <c r="A856" s="12" t="n">
        <v>9303</v>
      </c>
      <c r="B856" s="13" t="s">
        <v>3808</v>
      </c>
      <c r="C856" s="14" t="n">
        <v>44914</v>
      </c>
      <c r="D856" s="13" t="s">
        <v>1066</v>
      </c>
      <c r="E856" s="15" t="s">
        <v>102</v>
      </c>
      <c r="F856" s="15" t="str">
        <f aca="false">IFERROR(__xludf.dummyfunction("XLOOKUP(AJ856,IMPORTRANGE(""1XaInW9DU9nz21V0tYIfzFQ0He9kVQ_JF2mCXgZ3hqFA"",""REKAP ALL 2026 - Andika!G:G""),IMPORTRANGE(""1XaInW9DU9nz21V0tYIfzFQ0He9kVQ_JF2mCXgZ3hqFA"",""REKAP ALL 2026 - Andika!F:F""),"""",0)"),"22154733145")</f>
        <v>22154733145</v>
      </c>
      <c r="G856" s="13" t="s">
        <v>3809</v>
      </c>
      <c r="H856" s="13" t="s">
        <v>35</v>
      </c>
      <c r="I856" s="13" t="str">
        <f aca="false">IF(C856=J856,"NEW KONTRAK","RE-KONTRAK")</f>
        <v>RE-KONTRAK</v>
      </c>
      <c r="J856" s="16" t="n">
        <f aca="false" t="array" ref="J856:J856">IFERROR(INDEX(AC856:AE856,IF(COUNTA(AC856:AE856)=0,"",MAX((AC856:AE856&lt;&gt;"")*(COLUMN(AC856:AE856)-(COLUMN(AC856)))))-1),"")</f>
        <v>45658</v>
      </c>
      <c r="K856" s="16" t="n">
        <f aca="false" t="array" ref="K856:K856">IFERROR(INDEX(AC856:AE856,IF(COUNTA(AC856:AE856)=0,"",MAX((AC856:AE856&lt;&gt;"")*(COLUMN(AC856:AE856)-(COLUMN(AC856)-1))))-1),"")</f>
        <v>46022</v>
      </c>
      <c r="L856" s="17" t="str">
        <f aca="false" t="array" ref="L856:L856">IFERROR(INDEX(AC856:AE856,IF(COUNTA(AC856:AE856)=0,"",MAX((AC856:AE856&lt;&gt;"")*(COLUMN(AC856:AE856)-(COLUMN(AC856)-2))))-1),"")</f>
        <v>ARCHIVED</v>
      </c>
      <c r="M856" s="13" t="n">
        <f aca="true">K856-TODAY()</f>
        <v>-302</v>
      </c>
      <c r="N856" s="18" t="s">
        <v>615</v>
      </c>
      <c r="O856" s="13" t="s">
        <v>1068</v>
      </c>
      <c r="P856" s="19" t="n">
        <v>5176101</v>
      </c>
      <c r="Q856" s="20" t="s">
        <v>3810</v>
      </c>
      <c r="R856" s="13" t="s">
        <v>232</v>
      </c>
      <c r="S856" s="14" t="n">
        <v>35651</v>
      </c>
      <c r="T856" s="13" t="s">
        <v>108</v>
      </c>
      <c r="U856" s="13" t="s">
        <v>3811</v>
      </c>
      <c r="V856" s="13" t="s">
        <v>42</v>
      </c>
      <c r="W856" s="13" t="s">
        <v>43</v>
      </c>
      <c r="X856" s="21" t="n">
        <v>81615400362</v>
      </c>
      <c r="Y856" s="22" t="str">
        <f aca="false">O856</f>
        <v>Production Packer</v>
      </c>
      <c r="Z856" s="13" t="str">
        <f aca="false">IFERROR(__xludf.dummyfunction("if(BJ856="""","""",GOOGLETRANSLATE(BJ856,""auto"",""en""))"),"Production Packer")</f>
        <v>Production Packer</v>
      </c>
      <c r="AA856" s="23" t="str">
        <f aca="false">IF(C856="","", CHOOSE(MONTH(C856),"January","February","March","April","May","June","July","August","September","October","November","December")&amp;" "&amp;DAY(C856)&amp;MID("thstndrdth",MIN(9,2*RIGHT(DAY(C856))*(MOD(DAY(C856)-11,100)&gt;2)+1),2)&amp;","&amp;TEXT(C856," yyyy"))</f>
        <v>December 19th,2022</v>
      </c>
      <c r="AB856" s="15" t="str">
        <f aca="true">IF(S856="","",DATEDIF(S856,TODAY(),"Y")&amp;" Tahun, "&amp;DATEDIF(S856,TODAY(),"YM")&amp;" Bulan, "&amp;DATEDIF(S856,TODAY(),"MD")&amp;" Hari")</f>
        <v>29 Tahun, 2 Bulan, 20 Hari</v>
      </c>
      <c r="AC856" s="18" t="n">
        <v>45658</v>
      </c>
      <c r="AD856" s="18" t="n">
        <v>46022</v>
      </c>
      <c r="AE856" s="18" t="s">
        <v>44</v>
      </c>
    </row>
    <row r="857" customFormat="false" ht="15.75" hidden="false" customHeight="true" outlineLevel="0" collapsed="false">
      <c r="A857" s="12" t="n">
        <v>9305</v>
      </c>
      <c r="B857" s="13" t="s">
        <v>3812</v>
      </c>
      <c r="C857" s="14" t="n">
        <v>44904</v>
      </c>
      <c r="D857" s="13" t="s">
        <v>613</v>
      </c>
      <c r="E857" s="15" t="s">
        <v>47</v>
      </c>
      <c r="F857" s="15" t="str">
        <f aca="false">IFERROR(__xludf.dummyfunction("XLOOKUP(AJ857,IMPORTRANGE(""1XaInW9DU9nz21V0tYIfzFQ0He9kVQ_JF2mCXgZ3hqFA"",""REKAP ALL 2026 - Andika!G:G""),IMPORTRANGE(""1XaInW9DU9nz21V0tYIfzFQ0He9kVQ_JF2mCXgZ3hqFA"",""REKAP ALL 2026 - Andika!F:F""),"""",0)"),"25133237104")</f>
        <v>25133237104</v>
      </c>
      <c r="G857" s="13" t="s">
        <v>3813</v>
      </c>
      <c r="H857" s="13" t="s">
        <v>35</v>
      </c>
      <c r="I857" s="13" t="str">
        <f aca="false">IF(C857=J857,"NEW KONTRAK","RE-KONTRAK")</f>
        <v>RE-KONTRAK</v>
      </c>
      <c r="J857" s="16" t="n">
        <f aca="false" t="array" ref="J857:J857">IFERROR(INDEX(AC857:AE857,IF(COUNTA(AC857:AE857)=0,"",MAX((AC857:AE857&lt;&gt;"")*(COLUMN(AC857:AE857)-(COLUMN(AC857)))))-1),"")</f>
        <v>45704</v>
      </c>
      <c r="K857" s="16" t="n">
        <f aca="false" t="array" ref="K857:K857">IFERROR(INDEX(AC857:AE857,IF(COUNTA(AC857:AE857)=0,"",MAX((AC857:AE857&lt;&gt;"")*(COLUMN(AC857:AE857)-(COLUMN(AC857)-1))))-1),"")</f>
        <v>45884</v>
      </c>
      <c r="L857" s="17" t="str">
        <f aca="false" t="array" ref="L857:L857">IFERROR(INDEX(AC857:AE857,IF(COUNTA(AC857:AE857)=0,"",MAX((AC857:AE857&lt;&gt;"")*(COLUMN(AC857:AE857)-(COLUMN(AC857)-2))))-1),"")</f>
        <v>ARCHIVED</v>
      </c>
      <c r="M857" s="13" t="n">
        <f aca="true">K857-TODAY()</f>
        <v>-440</v>
      </c>
      <c r="N857" s="18" t="s">
        <v>615</v>
      </c>
      <c r="O857" s="13" t="s">
        <v>58</v>
      </c>
      <c r="P857" s="19" t="n">
        <v>5176101</v>
      </c>
      <c r="Q857" s="20" t="s">
        <v>3814</v>
      </c>
      <c r="R857" s="13" t="s">
        <v>324</v>
      </c>
      <c r="S857" s="14" t="n">
        <v>34641</v>
      </c>
      <c r="T857" s="13" t="s">
        <v>40</v>
      </c>
      <c r="U857" s="13" t="s">
        <v>3815</v>
      </c>
      <c r="V857" s="13" t="s">
        <v>42</v>
      </c>
      <c r="W857" s="13" t="s">
        <v>43</v>
      </c>
      <c r="X857" s="21" t="n">
        <v>8993931610</v>
      </c>
      <c r="Y857" s="22" t="str">
        <f aca="false">O857</f>
        <v>Produksi</v>
      </c>
      <c r="Z857" s="13" t="str">
        <f aca="false">IFERROR(__xludf.dummyfunction("if(BJ857="""","""",GOOGLETRANSLATE(BJ857,""auto"",""en""))"),"Production")</f>
        <v>Production</v>
      </c>
      <c r="AA857" s="23" t="str">
        <f aca="false">IF(C857="","", CHOOSE(MONTH(C857),"January","February","March","April","May","June","July","August","September","October","November","December")&amp;" "&amp;DAY(C857)&amp;MID("thstndrdth",MIN(9,2*RIGHT(DAY(C857))*(MOD(DAY(C857)-11,100)&gt;2)+1),2)&amp;","&amp;TEXT(C857," yyyy"))</f>
        <v>December 9th,2022</v>
      </c>
      <c r="AB857" s="15" t="str">
        <f aca="true">IF(S857="","",DATEDIF(S857,TODAY(),"Y")&amp;" Tahun, "&amp;DATEDIF(S857,TODAY(),"YM")&amp;" Bulan, "&amp;DATEDIF(S857,TODAY(),"MD")&amp;" Hari")</f>
        <v>31 Tahun, 11 Bulan, 26 Hari</v>
      </c>
      <c r="AC857" s="18" t="n">
        <v>45704</v>
      </c>
      <c r="AD857" s="18" t="n">
        <v>45884</v>
      </c>
      <c r="AE857" s="18" t="s">
        <v>44</v>
      </c>
    </row>
    <row r="858" customFormat="false" ht="15.75" hidden="false" customHeight="true" outlineLevel="0" collapsed="false">
      <c r="A858" s="12" t="n">
        <v>9469</v>
      </c>
      <c r="B858" s="13" t="s">
        <v>3816</v>
      </c>
      <c r="C858" s="14" t="n">
        <v>44922</v>
      </c>
      <c r="D858" s="13" t="s">
        <v>1066</v>
      </c>
      <c r="E858" s="15" t="s">
        <v>47</v>
      </c>
      <c r="F858" s="15" t="str">
        <f aca="false">IFERROR(__xludf.dummyfunction("XLOOKUP(AJ858,IMPORTRANGE(""1XaInW9DU9nz21V0tYIfzFQ0He9kVQ_JF2mCXgZ3hqFA"",""REKAP ALL 2026 - Andika!G:G""),IMPORTRANGE(""1XaInW9DU9nz21V0tYIfzFQ0He9kVQ_JF2mCXgZ3hqFA"",""REKAP ALL 2026 - Andika!F:F""),"""",0)"),"23006034344")</f>
        <v>23006034344</v>
      </c>
      <c r="G858" s="13" t="s">
        <v>3817</v>
      </c>
      <c r="H858" s="13" t="s">
        <v>35</v>
      </c>
      <c r="I858" s="13" t="str">
        <f aca="false">IF(C858=J858,"NEW KONTRAK","RE-KONTRAK")</f>
        <v>RE-KONTRAK</v>
      </c>
      <c r="J858" s="16" t="n">
        <f aca="false" t="array" ref="J858:J858">IFERROR(INDEX(AC858:AE858,IF(COUNTA(AC858:AE858)=0,"",MAX((AC858:AE858&lt;&gt;"")*(COLUMN(AC858:AE858)-(COLUMN(AC858)))))-1),"")</f>
        <v>45658</v>
      </c>
      <c r="K858" s="16" t="n">
        <f aca="false" t="array" ref="K858:K858">IFERROR(INDEX(AC858:AE858,IF(COUNTA(AC858:AE858)=0,"",MAX((AC858:AE858&lt;&gt;"")*(COLUMN(AC858:AE858)-(COLUMN(AC858)-1))))-1),"")</f>
        <v>46022</v>
      </c>
      <c r="L858" s="17" t="str">
        <f aca="false" t="array" ref="L858:L858">IFERROR(INDEX(AC858:AE858,IF(COUNTA(AC858:AE858)=0,"",MAX((AC858:AE858&lt;&gt;"")*(COLUMN(AC858:AE858)-(COLUMN(AC858)-2))))-1),"")</f>
        <v>ARCHIVED</v>
      </c>
      <c r="M858" s="13" t="n">
        <f aca="true">K858-TODAY()</f>
        <v>-302</v>
      </c>
      <c r="N858" s="18" t="s">
        <v>615</v>
      </c>
      <c r="O858" s="13" t="s">
        <v>1068</v>
      </c>
      <c r="P858" s="19" t="n">
        <v>5176101</v>
      </c>
      <c r="Q858" s="20" t="s">
        <v>3818</v>
      </c>
      <c r="R858" s="13" t="s">
        <v>65</v>
      </c>
      <c r="S858" s="14" t="n">
        <v>35485</v>
      </c>
      <c r="T858" s="13" t="s">
        <v>108</v>
      </c>
      <c r="U858" s="13" t="s">
        <v>3819</v>
      </c>
      <c r="V858" s="13" t="s">
        <v>42</v>
      </c>
      <c r="W858" s="13" t="s">
        <v>43</v>
      </c>
      <c r="X858" s="21" t="n">
        <v>85850569305</v>
      </c>
      <c r="Y858" s="22" t="str">
        <f aca="false">O858</f>
        <v>Production Packer</v>
      </c>
      <c r="Z858" s="13" t="str">
        <f aca="false">IFERROR(__xludf.dummyfunction("if(BJ858="""","""",GOOGLETRANSLATE(BJ858,""auto"",""en""))"),"Production Packer")</f>
        <v>Production Packer</v>
      </c>
      <c r="AA858" s="23" t="str">
        <f aca="false">IF(C858="","", CHOOSE(MONTH(C858),"January","February","March","April","May","June","July","August","September","October","November","December")&amp;" "&amp;DAY(C858)&amp;MID("thstndrdth",MIN(9,2*RIGHT(DAY(C858))*(MOD(DAY(C858)-11,100)&gt;2)+1),2)&amp;","&amp;TEXT(C858," yyyy"))</f>
        <v>December 27th,2022</v>
      </c>
      <c r="AB858" s="15" t="str">
        <f aca="true">IF(S858="","",DATEDIF(S858,TODAY(),"Y")&amp;" Tahun, "&amp;DATEDIF(S858,TODAY(),"YM")&amp;" Bulan, "&amp;DATEDIF(S858,TODAY(),"MD")&amp;" Hari")</f>
        <v>29 Tahun, 8 Bulan, 5 Hari</v>
      </c>
      <c r="AC858" s="18" t="n">
        <v>45658</v>
      </c>
      <c r="AD858" s="18" t="n">
        <v>46022</v>
      </c>
      <c r="AE858" s="18" t="s">
        <v>44</v>
      </c>
    </row>
    <row r="859" customFormat="false" ht="15.75" hidden="false" customHeight="true" outlineLevel="0" collapsed="false">
      <c r="A859" s="12" t="n">
        <v>9470</v>
      </c>
      <c r="B859" s="13" t="s">
        <v>3820</v>
      </c>
      <c r="C859" s="14" t="n">
        <v>44922</v>
      </c>
      <c r="D859" s="13" t="s">
        <v>1066</v>
      </c>
      <c r="E859" s="15" t="s">
        <v>47</v>
      </c>
      <c r="F859" s="15" t="str">
        <f aca="false">IFERROR(__xludf.dummyfunction("XLOOKUP(AJ859,IMPORTRANGE(""1XaInW9DU9nz21V0tYIfzFQ0He9kVQ_JF2mCXgZ3hqFA"",""REKAP ALL 2026 - Andika!G:G""),IMPORTRANGE(""1XaInW9DU9nz21V0tYIfzFQ0He9kVQ_JF2mCXgZ3hqFA"",""REKAP ALL 2026 - Andika!F:F""),"""",0)"),"23006033965")</f>
        <v>23006033965</v>
      </c>
      <c r="G859" s="13" t="s">
        <v>3821</v>
      </c>
      <c r="H859" s="13" t="s">
        <v>35</v>
      </c>
      <c r="I859" s="13" t="str">
        <f aca="false">IF(C859=J859,"NEW KONTRAK","RE-KONTRAK")</f>
        <v>RE-KONTRAK</v>
      </c>
      <c r="J859" s="16" t="n">
        <f aca="false" t="array" ref="J859:J859">IFERROR(INDEX(AC859:AE859,IF(COUNTA(AC859:AE859)=0,"",MAX((AC859:AE859&lt;&gt;"")*(COLUMN(AC859:AE859)-(COLUMN(AC859)))))-1),"")</f>
        <v>45658</v>
      </c>
      <c r="K859" s="16" t="n">
        <f aca="false" t="array" ref="K859:K859">IFERROR(INDEX(AC859:AE859,IF(COUNTA(AC859:AE859)=0,"",MAX((AC859:AE859&lt;&gt;"")*(COLUMN(AC859:AE859)-(COLUMN(AC859)-1))))-1),"")</f>
        <v>46022</v>
      </c>
      <c r="L859" s="17" t="str">
        <f aca="false" t="array" ref="L859:L859">IFERROR(INDEX(AC859:AE859,IF(COUNTA(AC859:AE859)=0,"",MAX((AC859:AE859&lt;&gt;"")*(COLUMN(AC859:AE859)-(COLUMN(AC859)-2))))-1),"")</f>
        <v>ARCHIVED</v>
      </c>
      <c r="M859" s="13" t="n">
        <f aca="true">K859-TODAY()</f>
        <v>-302</v>
      </c>
      <c r="N859" s="18" t="s">
        <v>615</v>
      </c>
      <c r="O859" s="13" t="s">
        <v>1068</v>
      </c>
      <c r="P859" s="19" t="n">
        <v>5176101</v>
      </c>
      <c r="Q859" s="20" t="s">
        <v>3822</v>
      </c>
      <c r="R859" s="13" t="s">
        <v>232</v>
      </c>
      <c r="S859" s="14" t="n">
        <v>37160</v>
      </c>
      <c r="T859" s="13" t="s">
        <v>40</v>
      </c>
      <c r="U859" s="13" t="s">
        <v>3823</v>
      </c>
      <c r="V859" s="13" t="s">
        <v>42</v>
      </c>
      <c r="W859" s="13" t="s">
        <v>43</v>
      </c>
      <c r="X859" s="21" t="n">
        <v>88217267715</v>
      </c>
      <c r="Y859" s="22" t="str">
        <f aca="false">O859</f>
        <v>Production Packer</v>
      </c>
      <c r="Z859" s="13" t="str">
        <f aca="false">IFERROR(__xludf.dummyfunction("if(BJ859="""","""",GOOGLETRANSLATE(BJ859,""auto"",""en""))"),"Production Packer")</f>
        <v>Production Packer</v>
      </c>
      <c r="AA859" s="23" t="str">
        <f aca="false">IF(C859="","", CHOOSE(MONTH(C859),"January","February","March","April","May","June","July","August","September","October","November","December")&amp;" "&amp;DAY(C859)&amp;MID("thstndrdth",MIN(9,2*RIGHT(DAY(C859))*(MOD(DAY(C859)-11,100)&gt;2)+1),2)&amp;","&amp;TEXT(C859," yyyy"))</f>
        <v>December 27th,2022</v>
      </c>
      <c r="AB859" s="15" t="str">
        <f aca="true">IF(S859="","",DATEDIF(S859,TODAY(),"Y")&amp;" Tahun, "&amp;DATEDIF(S859,TODAY(),"YM")&amp;" Bulan, "&amp;DATEDIF(S859,TODAY(),"MD")&amp;" Hari")</f>
        <v>25 Tahun, 1 Bulan, 3 Hari</v>
      </c>
      <c r="AC859" s="18" t="n">
        <v>45658</v>
      </c>
      <c r="AD859" s="18" t="n">
        <v>46022</v>
      </c>
      <c r="AE859" s="18" t="s">
        <v>44</v>
      </c>
    </row>
    <row r="860" customFormat="false" ht="15.75" hidden="false" customHeight="true" outlineLevel="0" collapsed="false">
      <c r="A860" s="12" t="n">
        <v>9471</v>
      </c>
      <c r="B860" s="13" t="s">
        <v>3824</v>
      </c>
      <c r="C860" s="14" t="n">
        <v>44927</v>
      </c>
      <c r="D860" s="13" t="s">
        <v>56</v>
      </c>
      <c r="E860" s="15" t="s">
        <v>47</v>
      </c>
      <c r="F860" s="15" t="str">
        <f aca="false">IFERROR(__xludf.dummyfunction("XLOOKUP(AJ860,IMPORTRANGE(""1XaInW9DU9nz21V0tYIfzFQ0He9kVQ_JF2mCXgZ3hqFA"",""REKAP ALL 2026 - Andika!G:G""),IMPORTRANGE(""1XaInW9DU9nz21V0tYIfzFQ0He9kVQ_JF2mCXgZ3hqFA"",""REKAP ALL 2026 - Andika!F:F""),"""",0)"),"23006029286")</f>
        <v>23006029286</v>
      </c>
      <c r="G860" s="13" t="s">
        <v>57</v>
      </c>
      <c r="H860" s="13" t="s">
        <v>35</v>
      </c>
      <c r="I860" s="13" t="str">
        <f aca="false">IF(C860=J860,"NEW KONTRAK","RE-KONTRAK")</f>
        <v>RE-KONTRAK</v>
      </c>
      <c r="J860" s="16" t="n">
        <f aca="false" t="array" ref="J860:J860">IFERROR(INDEX(AC860:AE860,IF(COUNTA(AC860:AE860)=0,"",MAX((AC860:AE860&lt;&gt;"")*(COLUMN(AC860:AE860)-(COLUMN(AC860)))))-1),"")</f>
        <v>45839</v>
      </c>
      <c r="K860" s="16" t="n">
        <f aca="false" t="array" ref="K860:K860">IFERROR(INDEX(AC860:AE860,IF(COUNTA(AC860:AE860)=0,"",MAX((AC860:AE860&lt;&gt;"")*(COLUMN(AC860:AE860)-(COLUMN(AC860)-1))))-1),"")</f>
        <v>46022</v>
      </c>
      <c r="L860" s="17" t="str">
        <f aca="false" t="array" ref="L860:L860">IFERROR(INDEX(AC860:AE860,IF(COUNTA(AC860:AE860)=0,"",MAX((AC860:AE860&lt;&gt;"")*(COLUMN(AC860:AE860)-(COLUMN(AC860)-2))))-1),"")</f>
        <v>ARCHIVED</v>
      </c>
      <c r="M860" s="13" t="n">
        <f aca="true">K860-TODAY()</f>
        <v>-302</v>
      </c>
      <c r="N860" s="18" t="s">
        <v>36</v>
      </c>
      <c r="O860" s="13" t="s">
        <v>58</v>
      </c>
      <c r="P860" s="19" t="n">
        <v>210000</v>
      </c>
      <c r="Q860" s="20" t="s">
        <v>3825</v>
      </c>
      <c r="R860" s="13" t="s">
        <v>52</v>
      </c>
      <c r="S860" s="14" t="n">
        <v>37315</v>
      </c>
      <c r="T860" s="13" t="s">
        <v>40</v>
      </c>
      <c r="U860" s="13" t="s">
        <v>3826</v>
      </c>
      <c r="V860" s="13" t="s">
        <v>42</v>
      </c>
      <c r="W860" s="13" t="s">
        <v>43</v>
      </c>
      <c r="X860" s="21" t="n">
        <v>85607426228</v>
      </c>
      <c r="Y860" s="22" t="str">
        <f aca="false">O860</f>
        <v>Produksi</v>
      </c>
      <c r="Z860" s="13" t="str">
        <f aca="false">IFERROR(__xludf.dummyfunction("if(BJ860="""","""",GOOGLETRANSLATE(BJ860,""auto"",""en""))"),"Production")</f>
        <v>Production</v>
      </c>
      <c r="AA860" s="23" t="str">
        <f aca="false">IF(C860="","", CHOOSE(MONTH(C860),"January","February","March","April","May","June","July","August","September","October","November","December")&amp;" "&amp;DAY(C860)&amp;MID("thstndrdth",MIN(9,2*RIGHT(DAY(C860))*(MOD(DAY(C860)-11,100)&gt;2)+1),2)&amp;","&amp;TEXT(C860," yyyy"))</f>
        <v>January 1st,2023</v>
      </c>
      <c r="AB860" s="15" t="str">
        <f aca="true">IF(S860="","",DATEDIF(S860,TODAY(),"Y")&amp;" Tahun, "&amp;DATEDIF(S860,TODAY(),"YM")&amp;" Bulan, "&amp;DATEDIF(S860,TODAY(),"MD")&amp;" Hari")</f>
        <v>24 Tahun, 8 Bulan, 1 Hari</v>
      </c>
      <c r="AC860" s="18" t="n">
        <v>45839</v>
      </c>
      <c r="AD860" s="18" t="n">
        <v>46022</v>
      </c>
      <c r="AE860" s="18" t="s">
        <v>44</v>
      </c>
    </row>
    <row r="861" customFormat="false" ht="15.75" hidden="false" customHeight="true" outlineLevel="0" collapsed="false">
      <c r="A861" s="12" t="n">
        <v>9473</v>
      </c>
      <c r="B861" s="13" t="s">
        <v>3827</v>
      </c>
      <c r="C861" s="14" t="n">
        <v>44927</v>
      </c>
      <c r="D861" s="13" t="s">
        <v>56</v>
      </c>
      <c r="E861" s="15" t="s">
        <v>47</v>
      </c>
      <c r="F861" s="15" t="str">
        <f aca="false">IFERROR(__xludf.dummyfunction("XLOOKUP(AJ861,IMPORTRANGE(""1XaInW9DU9nz21V0tYIfzFQ0He9kVQ_JF2mCXgZ3hqFA"",""REKAP ALL 2026 - Andika!G:G""),IMPORTRANGE(""1XaInW9DU9nz21V0tYIfzFQ0He9kVQ_JF2mCXgZ3hqFA"",""REKAP ALL 2026 - Andika!F:F""),"""",0)"),"23006029328")</f>
        <v>23006029328</v>
      </c>
      <c r="G861" s="13" t="s">
        <v>57</v>
      </c>
      <c r="H861" s="13" t="s">
        <v>35</v>
      </c>
      <c r="I861" s="13" t="str">
        <f aca="false">IF(C861=J861,"NEW KONTRAK","RE-KONTRAK")</f>
        <v>RE-KONTRAK</v>
      </c>
      <c r="J861" s="16" t="n">
        <f aca="false" t="array" ref="J861:J861">IFERROR(INDEX(AC861:AE861,IF(COUNTA(AC861:AE861)=0,"",MAX((AC861:AE861&lt;&gt;"")*(COLUMN(AC861:AE861)-(COLUMN(AC861)))))-1),"")</f>
        <v>45839</v>
      </c>
      <c r="K861" s="16" t="n">
        <f aca="false" t="array" ref="K861:K861">IFERROR(INDEX(AC861:AE861,IF(COUNTA(AC861:AE861)=0,"",MAX((AC861:AE861&lt;&gt;"")*(COLUMN(AC861:AE861)-(COLUMN(AC861)-1))))-1),"")</f>
        <v>46022</v>
      </c>
      <c r="L861" s="17" t="str">
        <f aca="false" t="array" ref="L861:L861">IFERROR(INDEX(AC861:AE861,IF(COUNTA(AC861:AE861)=0,"",MAX((AC861:AE861&lt;&gt;"")*(COLUMN(AC861:AE861)-(COLUMN(AC861)-2))))-1),"")</f>
        <v>ARCHIVED</v>
      </c>
      <c r="M861" s="13" t="n">
        <f aca="true">K861-TODAY()</f>
        <v>-302</v>
      </c>
      <c r="N861" s="18" t="s">
        <v>36</v>
      </c>
      <c r="O861" s="13" t="s">
        <v>58</v>
      </c>
      <c r="P861" s="19" t="n">
        <v>210000</v>
      </c>
      <c r="Q861" s="20" t="s">
        <v>3828</v>
      </c>
      <c r="R861" s="13" t="s">
        <v>3829</v>
      </c>
      <c r="S861" s="14" t="n">
        <v>30149</v>
      </c>
      <c r="T861" s="13" t="s">
        <v>40</v>
      </c>
      <c r="U861" s="13" t="s">
        <v>3830</v>
      </c>
      <c r="V861" s="13" t="s">
        <v>42</v>
      </c>
      <c r="W861" s="13" t="s">
        <v>54</v>
      </c>
      <c r="X861" s="21" t="n">
        <v>82233829497</v>
      </c>
      <c r="Y861" s="22" t="str">
        <f aca="false">O861</f>
        <v>Produksi</v>
      </c>
      <c r="Z861" s="13" t="str">
        <f aca="false">IFERROR(__xludf.dummyfunction("if(BJ861="""","""",GOOGLETRANSLATE(BJ861,""auto"",""en""))"),"Production")</f>
        <v>Production</v>
      </c>
      <c r="AA861" s="23" t="str">
        <f aca="false">IF(C861="","", CHOOSE(MONTH(C861),"January","February","March","April","May","June","July","August","September","October","November","December")&amp;" "&amp;DAY(C861)&amp;MID("thstndrdth",MIN(9,2*RIGHT(DAY(C861))*(MOD(DAY(C861)-11,100)&gt;2)+1),2)&amp;","&amp;TEXT(C861," yyyy"))</f>
        <v>January 1st,2023</v>
      </c>
      <c r="AB861" s="15" t="str">
        <f aca="true">IF(S861="","",DATEDIF(S861,TODAY(),"Y")&amp;" Tahun, "&amp;DATEDIF(S861,TODAY(),"YM")&amp;" Bulan, "&amp;DATEDIF(S861,TODAY(),"MD")&amp;" Hari")</f>
        <v>44 Tahun, 3 Bulan, 12 Hari</v>
      </c>
      <c r="AC861" s="18" t="n">
        <v>45839</v>
      </c>
      <c r="AD861" s="18" t="n">
        <v>46022</v>
      </c>
      <c r="AE861" s="18" t="s">
        <v>44</v>
      </c>
    </row>
    <row r="862" customFormat="false" ht="15.75" hidden="false" customHeight="true" outlineLevel="0" collapsed="false">
      <c r="A862" s="12" t="n">
        <v>9474</v>
      </c>
      <c r="B862" s="13" t="s">
        <v>3831</v>
      </c>
      <c r="C862" s="14" t="n">
        <v>44927</v>
      </c>
      <c r="D862" s="13" t="s">
        <v>56</v>
      </c>
      <c r="E862" s="15" t="s">
        <v>33</v>
      </c>
      <c r="F862" s="24" t="s">
        <v>3832</v>
      </c>
      <c r="G862" s="13" t="s">
        <v>57</v>
      </c>
      <c r="H862" s="13" t="s">
        <v>35</v>
      </c>
      <c r="I862" s="13" t="str">
        <f aca="false">IF(C862=J862,"NEW KONTRAK","RE-KONTRAK")</f>
        <v>RE-KONTRAK</v>
      </c>
      <c r="J862" s="16" t="n">
        <f aca="false" t="array" ref="J862:J862">IFERROR(INDEX(AC862:AE862,IF(COUNTA(AC862:AE862)=0,"",MAX((AC862:AE862&lt;&gt;"")*(COLUMN(AC862:AE862)-(COLUMN(AC862)))))-1),"")</f>
        <v>45658</v>
      </c>
      <c r="K862" s="16" t="n">
        <f aca="false" t="array" ref="K862:K862">IFERROR(INDEX(AC862:AE862,IF(COUNTA(AC862:AE862)=0,"",MAX((AC862:AE862&lt;&gt;"")*(COLUMN(AC862:AE862)-(COLUMN(AC862)-1))))-1),"")</f>
        <v>45838</v>
      </c>
      <c r="L862" s="17" t="str">
        <f aca="false" t="array" ref="L862:L862">IFERROR(INDEX(AC862:AE862,IF(COUNTA(AC862:AE862)=0,"",MAX((AC862:AE862&lt;&gt;"")*(COLUMN(AC862:AE862)-(COLUMN(AC862)-2))))-1),"")</f>
        <v>ARCHIVED</v>
      </c>
      <c r="M862" s="13" t="n">
        <f aca="true">K862-TODAY()</f>
        <v>-486</v>
      </c>
      <c r="N862" s="18" t="s">
        <v>36</v>
      </c>
      <c r="O862" s="13" t="s">
        <v>58</v>
      </c>
      <c r="P862" s="19" t="n">
        <v>4620000</v>
      </c>
      <c r="Q862" s="20" t="s">
        <v>3833</v>
      </c>
      <c r="R862" s="13" t="s">
        <v>39</v>
      </c>
      <c r="S862" s="14" t="n">
        <v>35848</v>
      </c>
      <c r="T862" s="13" t="s">
        <v>40</v>
      </c>
      <c r="U862" s="13" t="s">
        <v>3834</v>
      </c>
      <c r="V862" s="13" t="s">
        <v>42</v>
      </c>
      <c r="W862" s="13" t="s">
        <v>54</v>
      </c>
      <c r="X862" s="21" t="n">
        <v>83191499449</v>
      </c>
      <c r="Y862" s="22" t="str">
        <f aca="false">O862</f>
        <v>Produksi</v>
      </c>
      <c r="Z862" s="13" t="str">
        <f aca="false">IFERROR(__xludf.dummyfunction("if(BJ862="""","""",GOOGLETRANSLATE(BJ862,""auto"",""en""))"),"Production")</f>
        <v>Production</v>
      </c>
      <c r="AA862" s="23" t="str">
        <f aca="false">IF(C862="","", CHOOSE(MONTH(C862),"January","February","March","April","May","June","July","August","September","October","November","December")&amp;" "&amp;DAY(C862)&amp;MID("thstndrdth",MIN(9,2*RIGHT(DAY(C862))*(MOD(DAY(C862)-11,100)&gt;2)+1),2)&amp;","&amp;TEXT(C862," yyyy"))</f>
        <v>January 1st,2023</v>
      </c>
      <c r="AB862" s="15" t="str">
        <f aca="true">IF(S862="","",DATEDIF(S862,TODAY(),"Y")&amp;" Tahun, "&amp;DATEDIF(S862,TODAY(),"YM")&amp;" Bulan, "&amp;DATEDIF(S862,TODAY(),"MD")&amp;" Hari")</f>
        <v>28 Tahun, 8 Bulan, 7 Hari</v>
      </c>
      <c r="AC862" s="18" t="n">
        <v>45658</v>
      </c>
      <c r="AD862" s="18" t="n">
        <v>45838</v>
      </c>
      <c r="AE862" s="18" t="s">
        <v>44</v>
      </c>
    </row>
    <row r="863" customFormat="false" ht="15.75" hidden="false" customHeight="true" outlineLevel="0" collapsed="false">
      <c r="A863" s="12" t="n">
        <v>9475</v>
      </c>
      <c r="B863" s="13" t="s">
        <v>3835</v>
      </c>
      <c r="C863" s="14" t="n">
        <v>44927</v>
      </c>
      <c r="D863" s="13" t="s">
        <v>56</v>
      </c>
      <c r="E863" s="15" t="s">
        <v>33</v>
      </c>
      <c r="F863" s="15" t="str">
        <f aca="false">IFERROR(__xludf.dummyfunction("XLOOKUP(AJ863,IMPORTRANGE(""1XaInW9DU9nz21V0tYIfzFQ0He9kVQ_JF2mCXgZ3hqFA"",""REKAP ALL 2026 - Andika!G:G""),IMPORTRANGE(""1XaInW9DU9nz21V0tYIfzFQ0He9kVQ_JF2mCXgZ3hqFA"",""REKAP ALL 2026 - Andika!F:F""),"""",0)"),"23006029377")</f>
        <v>23006029377</v>
      </c>
      <c r="G863" s="13" t="s">
        <v>57</v>
      </c>
      <c r="H863" s="13" t="s">
        <v>35</v>
      </c>
      <c r="I863" s="13" t="str">
        <f aca="false">IF(C863=J863,"NEW KONTRAK","RE-KONTRAK")</f>
        <v>RE-KONTRAK</v>
      </c>
      <c r="J863" s="16" t="n">
        <f aca="false" t="array" ref="J863:J863">IFERROR(INDEX(AC863:AE863,IF(COUNTA(AC863:AE863)=0,"",MAX((AC863:AE863&lt;&gt;"")*(COLUMN(AC863:AE863)-(COLUMN(AC863)))))-1),"")</f>
        <v>45839</v>
      </c>
      <c r="K863" s="16" t="n">
        <f aca="false" t="array" ref="K863:K863">IFERROR(INDEX(AC863:AE863,IF(COUNTA(AC863:AE863)=0,"",MAX((AC863:AE863&lt;&gt;"")*(COLUMN(AC863:AE863)-(COLUMN(AC863)-1))))-1),"")</f>
        <v>46022</v>
      </c>
      <c r="L863" s="17" t="str">
        <f aca="false" t="array" ref="L863:L863">IFERROR(INDEX(AC863:AE863,IF(COUNTA(AC863:AE863)=0,"",MAX((AC863:AE863&lt;&gt;"")*(COLUMN(AC863:AE863)-(COLUMN(AC863)-2))))-1),"")</f>
        <v>ARCHIVED</v>
      </c>
      <c r="M863" s="13" t="n">
        <f aca="true">K863-TODAY()</f>
        <v>-302</v>
      </c>
      <c r="N863" s="18" t="s">
        <v>36</v>
      </c>
      <c r="O863" s="13" t="s">
        <v>58</v>
      </c>
      <c r="P863" s="19" t="n">
        <v>210000</v>
      </c>
      <c r="Q863" s="20" t="s">
        <v>3836</v>
      </c>
      <c r="R863" s="13" t="s">
        <v>65</v>
      </c>
      <c r="S863" s="14" t="n">
        <v>32101</v>
      </c>
      <c r="T863" s="13" t="s">
        <v>40</v>
      </c>
      <c r="U863" s="13" t="s">
        <v>3837</v>
      </c>
      <c r="V863" s="13" t="s">
        <v>42</v>
      </c>
      <c r="W863" s="13" t="s">
        <v>897</v>
      </c>
      <c r="X863" s="21" t="n">
        <v>81252304848</v>
      </c>
      <c r="Y863" s="22" t="str">
        <f aca="false">O863</f>
        <v>Produksi</v>
      </c>
      <c r="Z863" s="13" t="str">
        <f aca="false">IFERROR(__xludf.dummyfunction("if(BJ863="""","""",GOOGLETRANSLATE(BJ863,""auto"",""en""))"),"Production")</f>
        <v>Production</v>
      </c>
      <c r="AA863" s="23" t="str">
        <f aca="false">IF(C863="","", CHOOSE(MONTH(C863),"January","February","March","April","May","June","July","August","September","October","November","December")&amp;" "&amp;DAY(C863)&amp;MID("thstndrdth",MIN(9,2*RIGHT(DAY(C863))*(MOD(DAY(C863)-11,100)&gt;2)+1),2)&amp;","&amp;TEXT(C863," yyyy"))</f>
        <v>January 1st,2023</v>
      </c>
      <c r="AB863" s="15" t="str">
        <f aca="true">IF(S863="","",DATEDIF(S863,TODAY(),"Y")&amp;" Tahun, "&amp;DATEDIF(S863,TODAY(),"YM")&amp;" Bulan, "&amp;DATEDIF(S863,TODAY(),"MD")&amp;" Hari")</f>
        <v>38 Tahun, 11 Bulan, 9 Hari</v>
      </c>
      <c r="AC863" s="18" t="n">
        <v>45839</v>
      </c>
      <c r="AD863" s="18" t="n">
        <v>46022</v>
      </c>
      <c r="AE863" s="18" t="s">
        <v>44</v>
      </c>
    </row>
    <row r="864" customFormat="false" ht="15.75" hidden="false" customHeight="true" outlineLevel="0" collapsed="false">
      <c r="A864" s="12" t="n">
        <v>9478</v>
      </c>
      <c r="B864" s="13" t="s">
        <v>224</v>
      </c>
      <c r="C864" s="14" t="n">
        <v>44927</v>
      </c>
      <c r="D864" s="13" t="s">
        <v>3838</v>
      </c>
      <c r="E864" s="15" t="s">
        <v>47</v>
      </c>
      <c r="F864" s="15" t="str">
        <f aca="false">IFERROR(__xludf.dummyfunction("XLOOKUP(AJ864,IMPORTRANGE(""1XaInW9DU9nz21V0tYIfzFQ0He9kVQ_JF2mCXgZ3hqFA"",""REKAP ALL 2026 - Andika!G:G""),IMPORTRANGE(""1XaInW9DU9nz21V0tYIfzFQ0He9kVQ_JF2mCXgZ3hqFA"",""REKAP ALL 2026 - Andika!F:F""),"""",0)"),"23006031944")</f>
        <v>23006031944</v>
      </c>
      <c r="G864" s="13" t="s">
        <v>3839</v>
      </c>
      <c r="H864" s="13" t="s">
        <v>35</v>
      </c>
      <c r="I864" s="13" t="str">
        <f aca="false">IF(C864=J864,"NEW KONTRAK","RE-KONTRAK")</f>
        <v>RE-KONTRAK</v>
      </c>
      <c r="J864" s="16" t="n">
        <f aca="false" t="array" ref="J864:J864">IFERROR(INDEX(AC864:AE864,IF(COUNTA(AC864:AE864)=0,"",MAX((AC864:AE864&lt;&gt;"")*(COLUMN(AC864:AE864)-(COLUMN(AC864)))))-1),"")</f>
        <v>45658</v>
      </c>
      <c r="K864" s="16" t="n">
        <f aca="false" t="array" ref="K864:K864">IFERROR(INDEX(AC864:AE864,IF(COUNTA(AC864:AE864)=0,"",MAX((AC864:AE864&lt;&gt;"")*(COLUMN(AC864:AE864)-(COLUMN(AC864)-1))))-1),"")</f>
        <v>46022</v>
      </c>
      <c r="L864" s="17" t="str">
        <f aca="false" t="array" ref="L864:L864">IFERROR(INDEX(AC864:AE864,IF(COUNTA(AC864:AE864)=0,"",MAX((AC864:AE864&lt;&gt;"")*(COLUMN(AC864:AE864)-(COLUMN(AC864)-2))))-1),"")</f>
        <v>ARCHIVED</v>
      </c>
      <c r="M864" s="13" t="n">
        <f aca="true">K864-TODAY()</f>
        <v>-302</v>
      </c>
      <c r="N864" s="18" t="s">
        <v>749</v>
      </c>
      <c r="O864" s="13" t="s">
        <v>1287</v>
      </c>
      <c r="P864" s="19" t="n">
        <v>3983882</v>
      </c>
      <c r="Q864" s="20" t="s">
        <v>3840</v>
      </c>
      <c r="R864" s="13" t="s">
        <v>3841</v>
      </c>
      <c r="S864" s="14" t="n">
        <v>35192</v>
      </c>
      <c r="T864" s="13" t="s">
        <v>40</v>
      </c>
      <c r="U864" s="13" t="s">
        <v>3842</v>
      </c>
      <c r="V864" s="13" t="s">
        <v>42</v>
      </c>
      <c r="W864" s="13" t="s">
        <v>54</v>
      </c>
      <c r="X864" s="21" t="n">
        <v>85751686295</v>
      </c>
      <c r="Y864" s="22" t="str">
        <f aca="false">O864</f>
        <v>Office Boy</v>
      </c>
      <c r="Z864" s="13" t="str">
        <f aca="false">IFERROR(__xludf.dummyfunction("if(BJ864="""","""",GOOGLETRANSLATE(BJ864,""auto"",""en""))"),"Office Boy")</f>
        <v>Office Boy</v>
      </c>
      <c r="AA864" s="23" t="str">
        <f aca="false">IF(C864="","", CHOOSE(MONTH(C864),"January","February","March","April","May","June","July","August","September","October","November","December")&amp;" "&amp;DAY(C864)&amp;MID("thstndrdth",MIN(9,2*RIGHT(DAY(C864))*(MOD(DAY(C864)-11,100)&gt;2)+1),2)&amp;","&amp;TEXT(C864," yyyy"))</f>
        <v>January 1st,2023</v>
      </c>
      <c r="AB864" s="15" t="str">
        <f aca="true">IF(S864="","",DATEDIF(S864,TODAY(),"Y")&amp;" Tahun, "&amp;DATEDIF(S864,TODAY(),"YM")&amp;" Bulan, "&amp;DATEDIF(S864,TODAY(),"MD")&amp;" Hari")</f>
        <v>30 Tahun, 5 Bulan, 22 Hari</v>
      </c>
      <c r="AC864" s="18" t="n">
        <v>45658</v>
      </c>
      <c r="AD864" s="18" t="n">
        <v>46022</v>
      </c>
      <c r="AE864" s="18" t="s">
        <v>44</v>
      </c>
    </row>
    <row r="865" customFormat="false" ht="15.75" hidden="false" customHeight="true" outlineLevel="0" collapsed="false">
      <c r="A865" s="12" t="n">
        <v>9491</v>
      </c>
      <c r="B865" s="13" t="s">
        <v>3843</v>
      </c>
      <c r="C865" s="14" t="n">
        <v>44927</v>
      </c>
      <c r="D865" s="13" t="s">
        <v>961</v>
      </c>
      <c r="E865" s="15" t="s">
        <v>47</v>
      </c>
      <c r="F865" s="15" t="str">
        <f aca="false">IFERROR(__xludf.dummyfunction("XLOOKUP(AJ865,IMPORTRANGE(""1XaInW9DU9nz21V0tYIfzFQ0He9kVQ_JF2mCXgZ3hqFA"",""REKAP ALL 2026 - Andika!G:G""),IMPORTRANGE(""1XaInW9DU9nz21V0tYIfzFQ0He9kVQ_JF2mCXgZ3hqFA"",""REKAP ALL 2026 - Andika!F:F""),"""",0)"),"10030995806")</f>
        <v>10030995806</v>
      </c>
      <c r="G865" s="13" t="s">
        <v>3844</v>
      </c>
      <c r="H865" s="13" t="s">
        <v>963</v>
      </c>
      <c r="I865" s="13" t="str">
        <f aca="false">IF(C865=J865,"NEW KONTRAK","RE-KONTRAK")</f>
        <v>RE-KONTRAK</v>
      </c>
      <c r="J865" s="16" t="n">
        <f aca="false" t="array" ref="J865:J865">IFERROR(INDEX(AC865:AE865,IF(COUNTA(AC865:AE865)=0,"",MAX((AC865:AE865&lt;&gt;"")*(COLUMN(AC865:AE865)-(COLUMN(AC865)))))-1),"")</f>
        <v>45658</v>
      </c>
      <c r="K865" s="16" t="n">
        <f aca="false" t="array" ref="K865:K865">IFERROR(INDEX(AC865:AE865,IF(COUNTA(AC865:AE865)=0,"",MAX((AC865:AE865&lt;&gt;"")*(COLUMN(AC865:AE865)-(COLUMN(AC865)-1))))-1),"")</f>
        <v>46022</v>
      </c>
      <c r="L865" s="17" t="str">
        <f aca="false" t="array" ref="L865:L865">IFERROR(INDEX(AC865:AE865,IF(COUNTA(AC865:AE865)=0,"",MAX((AC865:AE865&lt;&gt;"")*(COLUMN(AC865:AE865)-(COLUMN(AC865)-2))))-1),"")</f>
        <v>ARCHIVED</v>
      </c>
      <c r="M865" s="13" t="n">
        <f aca="true">K865-TODAY()</f>
        <v>-302</v>
      </c>
      <c r="N865" s="18" t="s">
        <v>728</v>
      </c>
      <c r="O865" s="13" t="s">
        <v>977</v>
      </c>
      <c r="P865" s="19" t="n">
        <v>4961753</v>
      </c>
      <c r="Q865" s="20" t="s">
        <v>3845</v>
      </c>
      <c r="R865" s="13" t="s">
        <v>735</v>
      </c>
      <c r="S865" s="14" t="n">
        <v>32718</v>
      </c>
      <c r="T865" s="13" t="s">
        <v>40</v>
      </c>
      <c r="U865" s="13" t="s">
        <v>3846</v>
      </c>
      <c r="V865" s="13" t="s">
        <v>42</v>
      </c>
      <c r="W865" s="13" t="s">
        <v>43</v>
      </c>
      <c r="X865" s="21" t="n">
        <v>83833000474</v>
      </c>
      <c r="Y865" s="22" t="str">
        <f aca="false">O865</f>
        <v>QA</v>
      </c>
      <c r="Z865" s="13" t="str">
        <f aca="false">IFERROR(__xludf.dummyfunction("if(BJ865="""","""",GOOGLETRANSLATE(BJ865,""auto"",""en""))"),"QA")</f>
        <v>QA</v>
      </c>
      <c r="AA865" s="23" t="str">
        <f aca="false">IF(C865="","", CHOOSE(MONTH(C865),"January","February","March","April","May","June","July","August","September","October","November","December")&amp;" "&amp;DAY(C865)&amp;MID("thstndrdth",MIN(9,2*RIGHT(DAY(C865))*(MOD(DAY(C865)-11,100)&gt;2)+1),2)&amp;","&amp;TEXT(C865," yyyy"))</f>
        <v>January 1st,2023</v>
      </c>
      <c r="AB865" s="15" t="str">
        <f aca="true">IF(S865="","",DATEDIF(S865,TODAY(),"Y")&amp;" Tahun, "&amp;DATEDIF(S865,TODAY(),"YM")&amp;" Bulan, "&amp;DATEDIF(S865,TODAY(),"MD")&amp;" Hari")</f>
        <v>37 Tahun, 3 Bulan, 0 Hari</v>
      </c>
      <c r="AC865" s="18" t="n">
        <v>45658</v>
      </c>
      <c r="AD865" s="18" t="n">
        <v>46022</v>
      </c>
      <c r="AE865" s="18" t="s">
        <v>44</v>
      </c>
    </row>
    <row r="866" customFormat="false" ht="15.75" hidden="false" customHeight="true" outlineLevel="0" collapsed="false">
      <c r="A866" s="12" t="n">
        <v>9493</v>
      </c>
      <c r="B866" s="13" t="s">
        <v>3847</v>
      </c>
      <c r="C866" s="14" t="n">
        <v>44927</v>
      </c>
      <c r="D866" s="13" t="s">
        <v>961</v>
      </c>
      <c r="E866" s="15" t="s">
        <v>47</v>
      </c>
      <c r="F866" s="15" t="str">
        <f aca="false">IFERROR(__xludf.dummyfunction("XLOOKUP(AJ866,IMPORTRANGE(""1XaInW9DU9nz21V0tYIfzFQ0He9kVQ_JF2mCXgZ3hqFA"",""REKAP ALL 2026 - Andika!G:G""),IMPORTRANGE(""1XaInW9DU9nz21V0tYIfzFQ0He9kVQ_JF2mCXgZ3hqFA"",""REKAP ALL 2026 - Andika!F:F""),"""",0)"),"14000909193")</f>
        <v>14000909193</v>
      </c>
      <c r="G866" s="13" t="s">
        <v>3848</v>
      </c>
      <c r="H866" s="13" t="s">
        <v>963</v>
      </c>
      <c r="I866" s="13" t="str">
        <f aca="false">IF(C866=J866,"NEW KONTRAK","RE-KONTRAK")</f>
        <v>RE-KONTRAK</v>
      </c>
      <c r="J866" s="16" t="n">
        <f aca="false" t="array" ref="J866:J866">IFERROR(INDEX(AC866:AE866,IF(COUNTA(AC866:AE866)=0,"",MAX((AC866:AE866&lt;&gt;"")*(COLUMN(AC866:AE866)-(COLUMN(AC866)))))-1),"")</f>
        <v>45658</v>
      </c>
      <c r="K866" s="16" t="n">
        <f aca="false" t="array" ref="K866:K866">IFERROR(INDEX(AC866:AE866,IF(COUNTA(AC866:AE866)=0,"",MAX((AC866:AE866&lt;&gt;"")*(COLUMN(AC866:AE866)-(COLUMN(AC866)-1))))-1),"")</f>
        <v>46022</v>
      </c>
      <c r="L866" s="17" t="str">
        <f aca="false" t="array" ref="L866:L866">IFERROR(INDEX(AC866:AE866,IF(COUNTA(AC866:AE866)=0,"",MAX((AC866:AE866&lt;&gt;"")*(COLUMN(AC866:AE866)-(COLUMN(AC866)-2))))-1),"")</f>
        <v>ARCHIVED</v>
      </c>
      <c r="M866" s="13" t="n">
        <f aca="true">K866-TODAY()</f>
        <v>-302</v>
      </c>
      <c r="N866" s="18" t="s">
        <v>728</v>
      </c>
      <c r="O866" s="13" t="s">
        <v>3849</v>
      </c>
      <c r="P866" s="19" t="n">
        <v>4961753</v>
      </c>
      <c r="Q866" s="20" t="s">
        <v>3850</v>
      </c>
      <c r="R866" s="13" t="s">
        <v>241</v>
      </c>
      <c r="S866" s="14" t="n">
        <v>34860</v>
      </c>
      <c r="T866" s="13" t="s">
        <v>40</v>
      </c>
      <c r="U866" s="13" t="s">
        <v>3851</v>
      </c>
      <c r="V866" s="13" t="s">
        <v>42</v>
      </c>
      <c r="W866" s="13" t="s">
        <v>43</v>
      </c>
      <c r="X866" s="21" t="n">
        <v>89530280629</v>
      </c>
      <c r="Y866" s="22" t="str">
        <f aca="false">O866</f>
        <v>Operator B3</v>
      </c>
      <c r="Z866" s="13" t="str">
        <f aca="false">IFERROR(__xludf.dummyfunction("if(BJ866="""","""",GOOGLETRANSLATE(BJ866,""auto"",""en""))"),"Operator B3")</f>
        <v>Operator B3</v>
      </c>
      <c r="AA866" s="23" t="str">
        <f aca="false">IF(C866="","", CHOOSE(MONTH(C866),"January","February","March","April","May","June","July","August","September","October","November","December")&amp;" "&amp;DAY(C866)&amp;MID("thstndrdth",MIN(9,2*RIGHT(DAY(C866))*(MOD(DAY(C866)-11,100)&gt;2)+1),2)&amp;","&amp;TEXT(C866," yyyy"))</f>
        <v>January 1st,2023</v>
      </c>
      <c r="AB866" s="15" t="str">
        <f aca="true">IF(S866="","",DATEDIF(S866,TODAY(),"Y")&amp;" Tahun, "&amp;DATEDIF(S866,TODAY(),"YM")&amp;" Bulan, "&amp;DATEDIF(S866,TODAY(),"MD")&amp;" Hari")</f>
        <v>31 Tahun, 4 Bulan, 19 Hari</v>
      </c>
      <c r="AC866" s="18" t="n">
        <v>45658</v>
      </c>
      <c r="AD866" s="18" t="n">
        <v>46022</v>
      </c>
      <c r="AE866" s="18" t="s">
        <v>44</v>
      </c>
    </row>
    <row r="867" customFormat="false" ht="15.75" hidden="false" customHeight="true" outlineLevel="0" collapsed="false">
      <c r="A867" s="12" t="n">
        <v>9494</v>
      </c>
      <c r="B867" s="13" t="s">
        <v>3852</v>
      </c>
      <c r="C867" s="14" t="n">
        <v>44927</v>
      </c>
      <c r="D867" s="13" t="s">
        <v>961</v>
      </c>
      <c r="E867" s="15" t="s">
        <v>47</v>
      </c>
      <c r="F867" s="15" t="str">
        <f aca="false">IFERROR(__xludf.dummyfunction("XLOOKUP(AJ867,IMPORTRANGE(""1XaInW9DU9nz21V0tYIfzFQ0He9kVQ_JF2mCXgZ3hqFA"",""REKAP ALL 2026 - Andika!G:G""),IMPORTRANGE(""1XaInW9DU9nz21V0tYIfzFQ0He9kVQ_JF2mCXgZ3hqFA"",""REKAP ALL 2026 - Andika!F:F""),"""",0)"),"23006032686")</f>
        <v>23006032686</v>
      </c>
      <c r="G867" s="13" t="s">
        <v>3853</v>
      </c>
      <c r="H867" s="13" t="s">
        <v>963</v>
      </c>
      <c r="I867" s="13" t="str">
        <f aca="false">IF(C867=J867,"NEW KONTRAK","RE-KONTRAK")</f>
        <v>RE-KONTRAK</v>
      </c>
      <c r="J867" s="16" t="n">
        <f aca="false" t="array" ref="J867:J867">IFERROR(INDEX(AC867:AE867,IF(COUNTA(AC867:AE867)=0,"",MAX((AC867:AE867&lt;&gt;"")*(COLUMN(AC867:AE867)-(COLUMN(AC867)))))-1),"")</f>
        <v>45658</v>
      </c>
      <c r="K867" s="16" t="n">
        <f aca="false" t="array" ref="K867:K867">IFERROR(INDEX(AC867:AE867,IF(COUNTA(AC867:AE867)=0,"",MAX((AC867:AE867&lt;&gt;"")*(COLUMN(AC867:AE867)-(COLUMN(AC867)-1))))-1),"")</f>
        <v>46022</v>
      </c>
      <c r="L867" s="17" t="str">
        <f aca="false" t="array" ref="L867:L867">IFERROR(INDEX(AC867:AE867,IF(COUNTA(AC867:AE867)=0,"",MAX((AC867:AE867&lt;&gt;"")*(COLUMN(AC867:AE867)-(COLUMN(AC867)-2))))-1),"")</f>
        <v>ARCHIVED</v>
      </c>
      <c r="M867" s="13" t="n">
        <f aca="true">K867-TODAY()</f>
        <v>-302</v>
      </c>
      <c r="N867" s="18" t="s">
        <v>728</v>
      </c>
      <c r="O867" s="13" t="s">
        <v>3849</v>
      </c>
      <c r="P867" s="19" t="n">
        <v>4961753</v>
      </c>
      <c r="Q867" s="20" t="s">
        <v>3854</v>
      </c>
      <c r="R867" s="13" t="s">
        <v>52</v>
      </c>
      <c r="S867" s="14" t="n">
        <v>32072</v>
      </c>
      <c r="T867" s="13" t="s">
        <v>40</v>
      </c>
      <c r="U867" s="13" t="s">
        <v>3855</v>
      </c>
      <c r="V867" s="13" t="s">
        <v>42</v>
      </c>
      <c r="W867" s="13" t="s">
        <v>54</v>
      </c>
      <c r="X867" s="21" t="n">
        <v>81230731302</v>
      </c>
      <c r="Y867" s="22" t="str">
        <f aca="false">O867</f>
        <v>Operator B3</v>
      </c>
      <c r="Z867" s="13" t="str">
        <f aca="false">IFERROR(__xludf.dummyfunction("if(BJ867="""","""",GOOGLETRANSLATE(BJ867,""auto"",""en""))"),"Operator B3")</f>
        <v>Operator B3</v>
      </c>
      <c r="AA867" s="23" t="str">
        <f aca="false">IF(C867="","", CHOOSE(MONTH(C867),"January","February","March","April","May","June","July","August","September","October","November","December")&amp;" "&amp;DAY(C867)&amp;MID("thstndrdth",MIN(9,2*RIGHT(DAY(C867))*(MOD(DAY(C867)-11,100)&gt;2)+1),2)&amp;","&amp;TEXT(C867," yyyy"))</f>
        <v>January 1st,2023</v>
      </c>
      <c r="AB867" s="15" t="str">
        <f aca="true">IF(S867="","",DATEDIF(S867,TODAY(),"Y")&amp;" Tahun, "&amp;DATEDIF(S867,TODAY(),"YM")&amp;" Bulan, "&amp;DATEDIF(S867,TODAY(),"MD")&amp;" Hari")</f>
        <v>39 Tahun, 0 Bulan, 7 Hari</v>
      </c>
      <c r="AC867" s="18" t="n">
        <v>45658</v>
      </c>
      <c r="AD867" s="18" t="n">
        <v>46022</v>
      </c>
      <c r="AE867" s="18" t="s">
        <v>44</v>
      </c>
    </row>
    <row r="868" customFormat="false" ht="15.75" hidden="false" customHeight="true" outlineLevel="0" collapsed="false">
      <c r="A868" s="12" t="n">
        <v>9495</v>
      </c>
      <c r="B868" s="13" t="s">
        <v>3856</v>
      </c>
      <c r="C868" s="14" t="n">
        <v>44927</v>
      </c>
      <c r="D868" s="13" t="s">
        <v>961</v>
      </c>
      <c r="E868" s="15" t="s">
        <v>47</v>
      </c>
      <c r="F868" s="15" t="str">
        <f aca="false">IFERROR(__xludf.dummyfunction("XLOOKUP(AJ868,IMPORTRANGE(""1XaInW9DU9nz21V0tYIfzFQ0He9kVQ_JF2mCXgZ3hqFA"",""REKAP ALL 2026 - Andika!G:G""),IMPORTRANGE(""1XaInW9DU9nz21V0tYIfzFQ0He9kVQ_JF2mCXgZ3hqFA"",""REKAP ALL 2026 - Andika!F:F""),"""",0)"),"08015250213")</f>
        <v>08015250213</v>
      </c>
      <c r="G868" s="13" t="s">
        <v>3857</v>
      </c>
      <c r="H868" s="13" t="s">
        <v>963</v>
      </c>
      <c r="I868" s="13" t="str">
        <f aca="false">IF(C868=J868,"NEW KONTRAK","RE-KONTRAK")</f>
        <v>RE-KONTRAK</v>
      </c>
      <c r="J868" s="16" t="n">
        <f aca="false" t="array" ref="J868:J868">IFERROR(INDEX(AC868:AE868,IF(COUNTA(AC868:AE868)=0,"",MAX((AC868:AE868&lt;&gt;"")*(COLUMN(AC868:AE868)-(COLUMN(AC868)))))-1),"")</f>
        <v>45658</v>
      </c>
      <c r="K868" s="16" t="n">
        <f aca="false" t="array" ref="K868:K868">IFERROR(INDEX(AC868:AE868,IF(COUNTA(AC868:AE868)=0,"",MAX((AC868:AE868&lt;&gt;"")*(COLUMN(AC868:AE868)-(COLUMN(AC868)-1))))-1),"")</f>
        <v>46022</v>
      </c>
      <c r="L868" s="17" t="str">
        <f aca="false" t="array" ref="L868:L868">IFERROR(INDEX(AC868:AE868,IF(COUNTA(AC868:AE868)=0,"",MAX((AC868:AE868&lt;&gt;"")*(COLUMN(AC868:AE868)-(COLUMN(AC868)-2))))-1),"")</f>
        <v>ARCHIVED</v>
      </c>
      <c r="M868" s="13" t="n">
        <f aca="true">K868-TODAY()</f>
        <v>-302</v>
      </c>
      <c r="N868" s="18" t="s">
        <v>728</v>
      </c>
      <c r="O868" s="13" t="s">
        <v>3849</v>
      </c>
      <c r="P868" s="19" t="n">
        <v>4961753</v>
      </c>
      <c r="Q868" s="20" t="s">
        <v>3858</v>
      </c>
      <c r="R868" s="13" t="s">
        <v>73</v>
      </c>
      <c r="S868" s="14" t="n">
        <v>32153</v>
      </c>
      <c r="T868" s="13" t="s">
        <v>40</v>
      </c>
      <c r="U868" s="13" t="s">
        <v>3859</v>
      </c>
      <c r="V868" s="13" t="s">
        <v>42</v>
      </c>
      <c r="W868" s="13" t="s">
        <v>54</v>
      </c>
      <c r="X868" s="21" t="n">
        <v>85730709142</v>
      </c>
      <c r="Y868" s="22" t="str">
        <f aca="false">O868</f>
        <v>Operator B3</v>
      </c>
      <c r="Z868" s="13" t="str">
        <f aca="false">IFERROR(__xludf.dummyfunction("if(BJ868="""","""",GOOGLETRANSLATE(BJ868,""auto"",""en""))"),"Operator B3")</f>
        <v>Operator B3</v>
      </c>
      <c r="AA868" s="23" t="str">
        <f aca="false">IF(C868="","", CHOOSE(MONTH(C868),"January","February","March","April","May","June","July","August","September","October","November","December")&amp;" "&amp;DAY(C868)&amp;MID("thstndrdth",MIN(9,2*RIGHT(DAY(C868))*(MOD(DAY(C868)-11,100)&gt;2)+1),2)&amp;","&amp;TEXT(C868," yyyy"))</f>
        <v>January 1st,2023</v>
      </c>
      <c r="AB868" s="15" t="str">
        <f aca="true">IF(S868="","",DATEDIF(S868,TODAY(),"Y")&amp;" Tahun, "&amp;DATEDIF(S868,TODAY(),"YM")&amp;" Bulan, "&amp;DATEDIF(S868,TODAY(),"MD")&amp;" Hari")</f>
        <v>38 Tahun, 9 Bulan, 18 Hari</v>
      </c>
      <c r="AC868" s="18" t="n">
        <v>45658</v>
      </c>
      <c r="AD868" s="18" t="n">
        <v>46022</v>
      </c>
      <c r="AE868" s="18" t="s">
        <v>44</v>
      </c>
    </row>
    <row r="869" customFormat="false" ht="15.75" hidden="false" customHeight="true" outlineLevel="0" collapsed="false">
      <c r="A869" s="12" t="n">
        <v>9497</v>
      </c>
      <c r="B869" s="13" t="s">
        <v>3860</v>
      </c>
      <c r="C869" s="14" t="n">
        <v>44927</v>
      </c>
      <c r="D869" s="13" t="s">
        <v>961</v>
      </c>
      <c r="E869" s="15" t="s">
        <v>47</v>
      </c>
      <c r="F869" s="15" t="str">
        <f aca="false">IFERROR(__xludf.dummyfunction("XLOOKUP(AJ869,IMPORTRANGE(""1XaInW9DU9nz21V0tYIfzFQ0He9kVQ_JF2mCXgZ3hqFA"",""REKAP ALL 2026 - Andika!G:G""),IMPORTRANGE(""1XaInW9DU9nz21V0tYIfzFQ0He9kVQ_JF2mCXgZ3hqFA"",""REKAP ALL 2026 - Andika!F:F""),"""",0)"),"19000866483")</f>
        <v>19000866483</v>
      </c>
      <c r="G869" s="13" t="s">
        <v>3861</v>
      </c>
      <c r="H869" s="13" t="s">
        <v>963</v>
      </c>
      <c r="I869" s="13" t="str">
        <f aca="false">IF(C869=J869,"NEW KONTRAK","RE-KONTRAK")</f>
        <v>RE-KONTRAK</v>
      </c>
      <c r="J869" s="16" t="n">
        <f aca="false" t="array" ref="J869:J869">IFERROR(INDEX(AC869:AE869,IF(COUNTA(AC869:AE869)=0,"",MAX((AC869:AE869&lt;&gt;"")*(COLUMN(AC869:AE869)-(COLUMN(AC869)))))-1),"")</f>
        <v>45658</v>
      </c>
      <c r="K869" s="16" t="n">
        <f aca="false" t="array" ref="K869:K869">IFERROR(INDEX(AC869:AE869,IF(COUNTA(AC869:AE869)=0,"",MAX((AC869:AE869&lt;&gt;"")*(COLUMN(AC869:AE869)-(COLUMN(AC869)-1))))-1),"")</f>
        <v>46022</v>
      </c>
      <c r="L869" s="17" t="str">
        <f aca="false" t="array" ref="L869:L869">IFERROR(INDEX(AC869:AE869,IF(COUNTA(AC869:AE869)=0,"",MAX((AC869:AE869&lt;&gt;"")*(COLUMN(AC869:AE869)-(COLUMN(AC869)-2))))-1),"")</f>
        <v>ARCHIVED</v>
      </c>
      <c r="M869" s="13" t="n">
        <f aca="true">K869-TODAY()</f>
        <v>-302</v>
      </c>
      <c r="N869" s="18" t="s">
        <v>728</v>
      </c>
      <c r="O869" s="13" t="s">
        <v>3849</v>
      </c>
      <c r="P869" s="19" t="n">
        <v>4961753</v>
      </c>
      <c r="Q869" s="20" t="s">
        <v>3862</v>
      </c>
      <c r="R869" s="13" t="s">
        <v>324</v>
      </c>
      <c r="S869" s="14" t="n">
        <v>32740</v>
      </c>
      <c r="T869" s="13" t="s">
        <v>40</v>
      </c>
      <c r="U869" s="13" t="s">
        <v>3863</v>
      </c>
      <c r="V869" s="13" t="s">
        <v>42</v>
      </c>
      <c r="W869" s="13" t="s">
        <v>54</v>
      </c>
      <c r="X869" s="21" t="n">
        <v>85755001005</v>
      </c>
      <c r="Y869" s="22" t="str">
        <f aca="false">O869</f>
        <v>Operator B3</v>
      </c>
      <c r="Z869" s="13" t="str">
        <f aca="false">IFERROR(__xludf.dummyfunction("if(BJ869="""","""",GOOGLETRANSLATE(BJ869,""auto"",""en""))"),"Operator B3")</f>
        <v>Operator B3</v>
      </c>
      <c r="AA869" s="23" t="str">
        <f aca="false">IF(C869="","", CHOOSE(MONTH(C869),"January","February","March","April","May","June","July","August","September","October","November","December")&amp;" "&amp;DAY(C869)&amp;MID("thstndrdth",MIN(9,2*RIGHT(DAY(C869))*(MOD(DAY(C869)-11,100)&gt;2)+1),2)&amp;","&amp;TEXT(C869," yyyy"))</f>
        <v>January 1st,2023</v>
      </c>
      <c r="AB869" s="15" t="str">
        <f aca="true">IF(S869="","",DATEDIF(S869,TODAY(),"Y")&amp;" Tahun, "&amp;DATEDIF(S869,TODAY(),"YM")&amp;" Bulan, "&amp;DATEDIF(S869,TODAY(),"MD")&amp;" Hari")</f>
        <v>37 Tahun, 2 Bulan, 9 Hari</v>
      </c>
      <c r="AC869" s="18" t="n">
        <v>45658</v>
      </c>
      <c r="AD869" s="18" t="n">
        <v>46022</v>
      </c>
      <c r="AE869" s="18" t="s">
        <v>44</v>
      </c>
    </row>
    <row r="870" customFormat="false" ht="15.75" hidden="false" customHeight="true" outlineLevel="0" collapsed="false">
      <c r="A870" s="12" t="n">
        <v>9498</v>
      </c>
      <c r="B870" s="13" t="s">
        <v>3864</v>
      </c>
      <c r="C870" s="14" t="n">
        <v>44927</v>
      </c>
      <c r="D870" s="13" t="s">
        <v>961</v>
      </c>
      <c r="E870" s="15" t="s">
        <v>47</v>
      </c>
      <c r="F870" s="15" t="str">
        <f aca="false">IFERROR(__xludf.dummyfunction("XLOOKUP(AJ870,IMPORTRANGE(""1XaInW9DU9nz21V0tYIfzFQ0He9kVQ_JF2mCXgZ3hqFA"",""REKAP ALL 2026 - Andika!G:G""),IMPORTRANGE(""1XaInW9DU9nz21V0tYIfzFQ0He9kVQ_JF2mCXgZ3hqFA"",""REKAP ALL 2026 - Andika!F:F""),"""",0)"),"23006032769")</f>
        <v>23006032769</v>
      </c>
      <c r="G870" s="13" t="s">
        <v>3865</v>
      </c>
      <c r="H870" s="13" t="s">
        <v>963</v>
      </c>
      <c r="I870" s="13" t="str">
        <f aca="false">IF(C870=J870,"NEW KONTRAK","RE-KONTRAK")</f>
        <v>RE-KONTRAK</v>
      </c>
      <c r="J870" s="16" t="n">
        <f aca="false" t="array" ref="J870:J870">IFERROR(INDEX(AC870:AE870,IF(COUNTA(AC870:AE870)=0,"",MAX((AC870:AE870&lt;&gt;"")*(COLUMN(AC870:AE870)-(COLUMN(AC870)))))-1),"")</f>
        <v>45658</v>
      </c>
      <c r="K870" s="16" t="n">
        <f aca="false" t="array" ref="K870:K870">IFERROR(INDEX(AC870:AE870,IF(COUNTA(AC870:AE870)=0,"",MAX((AC870:AE870&lt;&gt;"")*(COLUMN(AC870:AE870)-(COLUMN(AC870)-1))))-1),"")</f>
        <v>46022</v>
      </c>
      <c r="L870" s="17" t="str">
        <f aca="false" t="array" ref="L870:L870">IFERROR(INDEX(AC870:AE870,IF(COUNTA(AC870:AE870)=0,"",MAX((AC870:AE870&lt;&gt;"")*(COLUMN(AC870:AE870)-(COLUMN(AC870)-2))))-1),"")</f>
        <v>ARCHIVED</v>
      </c>
      <c r="M870" s="13" t="n">
        <f aca="true">K870-TODAY()</f>
        <v>-302</v>
      </c>
      <c r="N870" s="18" t="s">
        <v>728</v>
      </c>
      <c r="O870" s="13" t="s">
        <v>3849</v>
      </c>
      <c r="P870" s="19" t="n">
        <v>4961753</v>
      </c>
      <c r="Q870" s="20" t="s">
        <v>3866</v>
      </c>
      <c r="R870" s="13" t="s">
        <v>73</v>
      </c>
      <c r="S870" s="14" t="n">
        <v>32093</v>
      </c>
      <c r="T870" s="13" t="s">
        <v>40</v>
      </c>
      <c r="U870" s="13" t="s">
        <v>3867</v>
      </c>
      <c r="V870" s="13" t="s">
        <v>42</v>
      </c>
      <c r="W870" s="13" t="s">
        <v>54</v>
      </c>
      <c r="X870" s="21" t="n">
        <v>85745587685</v>
      </c>
      <c r="Y870" s="22" t="str">
        <f aca="false">O870</f>
        <v>Operator B3</v>
      </c>
      <c r="Z870" s="13" t="str">
        <f aca="false">IFERROR(__xludf.dummyfunction("if(BJ870="""","""",GOOGLETRANSLATE(BJ870,""auto"",""en""))"),"Operator B3")</f>
        <v>Operator B3</v>
      </c>
      <c r="AA870" s="23" t="str">
        <f aca="false">IF(C870="","", CHOOSE(MONTH(C870),"January","February","March","April","May","June","July","August","September","October","November","December")&amp;" "&amp;DAY(C870)&amp;MID("thstndrdth",MIN(9,2*RIGHT(DAY(C870))*(MOD(DAY(C870)-11,100)&gt;2)+1),2)&amp;","&amp;TEXT(C870," yyyy"))</f>
        <v>January 1st,2023</v>
      </c>
      <c r="AB870" s="15" t="str">
        <f aca="true">IF(S870="","",DATEDIF(S870,TODAY(),"Y")&amp;" Tahun, "&amp;DATEDIF(S870,TODAY(),"YM")&amp;" Bulan, "&amp;DATEDIF(S870,TODAY(),"MD")&amp;" Hari")</f>
        <v>38 Tahun, 11 Bulan, 17 Hari</v>
      </c>
      <c r="AC870" s="18" t="n">
        <v>45658</v>
      </c>
      <c r="AD870" s="18" t="n">
        <v>46022</v>
      </c>
      <c r="AE870" s="18" t="s">
        <v>44</v>
      </c>
    </row>
    <row r="871" customFormat="false" ht="15.75" hidden="false" customHeight="true" outlineLevel="0" collapsed="false">
      <c r="A871" s="12" t="n">
        <v>9505</v>
      </c>
      <c r="B871" s="13" t="s">
        <v>3868</v>
      </c>
      <c r="C871" s="14" t="n">
        <v>44924</v>
      </c>
      <c r="D871" s="13" t="s">
        <v>613</v>
      </c>
      <c r="E871" s="15" t="s">
        <v>47</v>
      </c>
      <c r="F871" s="15" t="str">
        <f aca="false">IFERROR(__xludf.dummyfunction("XLOOKUP(AJ871,IMPORTRANGE(""1XaInW9DU9nz21V0tYIfzFQ0He9kVQ_JF2mCXgZ3hqFA"",""REKAP ALL 2026 - Andika!G:G""),IMPORTRANGE(""1XaInW9DU9nz21V0tYIfzFQ0He9kVQ_JF2mCXgZ3hqFA"",""REKAP ALL 2026 - Andika!F:F""),"""",0)"),"25012463540")</f>
        <v>25012463540</v>
      </c>
      <c r="G871" s="13" t="s">
        <v>3869</v>
      </c>
      <c r="H871" s="13" t="s">
        <v>35</v>
      </c>
      <c r="I871" s="13" t="str">
        <f aca="false">IF(C871=J871,"NEW KONTRAK","RE-KONTRAK")</f>
        <v>RE-KONTRAK</v>
      </c>
      <c r="J871" s="16" t="n">
        <f aca="false" t="array" ref="J871:J871">IFERROR(INDEX(AC871:AE871,IF(COUNTA(AC871:AE871)=0,"",MAX((AC871:AE871&lt;&gt;"")*(COLUMN(AC871:AE871)-(COLUMN(AC871)))))-1),"")</f>
        <v>45885</v>
      </c>
      <c r="K871" s="16" t="n">
        <f aca="false" t="array" ref="K871:K871">IFERROR(INDEX(AC871:AE871,IF(COUNTA(AC871:AE871)=0,"",MAX((AC871:AE871&lt;&gt;"")*(COLUMN(AC871:AE871)-(COLUMN(AC871)-1))))-1),"")</f>
        <v>46068</v>
      </c>
      <c r="L871" s="17" t="str">
        <f aca="false" t="array" ref="L871:L871">IFERROR(INDEX(AC871:AE871,IF(COUNTA(AC871:AE871)=0,"",MAX((AC871:AE871&lt;&gt;"")*(COLUMN(AC871:AE871)-(COLUMN(AC871)-2))))-1),"")</f>
        <v>ARCHIVED</v>
      </c>
      <c r="M871" s="13" t="n">
        <f aca="true">K871-TODAY()</f>
        <v>-256</v>
      </c>
      <c r="N871" s="18" t="s">
        <v>615</v>
      </c>
      <c r="O871" s="13" t="s">
        <v>58</v>
      </c>
      <c r="P871" s="19" t="n">
        <v>5176101</v>
      </c>
      <c r="Q871" s="20" t="s">
        <v>3870</v>
      </c>
      <c r="R871" s="13" t="s">
        <v>232</v>
      </c>
      <c r="S871" s="14" t="n">
        <v>35819</v>
      </c>
      <c r="T871" s="13" t="s">
        <v>40</v>
      </c>
      <c r="U871" s="13" t="s">
        <v>3871</v>
      </c>
      <c r="V871" s="13" t="s">
        <v>42</v>
      </c>
      <c r="W871" s="13" t="s">
        <v>43</v>
      </c>
      <c r="X871" s="21" t="n">
        <v>81234973426</v>
      </c>
      <c r="Y871" s="22" t="str">
        <f aca="false">O871</f>
        <v>Produksi</v>
      </c>
      <c r="Z871" s="13" t="str">
        <f aca="false">IFERROR(__xludf.dummyfunction("if(BJ871="""","""",GOOGLETRANSLATE(BJ871,""auto"",""en""))"),"Production")</f>
        <v>Production</v>
      </c>
      <c r="AA871" s="23" t="str">
        <f aca="false">IF(C871="","", CHOOSE(MONTH(C871),"January","February","March","April","May","June","July","August","September","October","November","December")&amp;" "&amp;DAY(C871)&amp;MID("thstndrdth",MIN(9,2*RIGHT(DAY(C871))*(MOD(DAY(C871)-11,100)&gt;2)+1),2)&amp;","&amp;TEXT(C871," yyyy"))</f>
        <v>December 29th,2022</v>
      </c>
      <c r="AB871" s="15" t="str">
        <f aca="true">IF(S871="","",DATEDIF(S871,TODAY(),"Y")&amp;" Tahun, "&amp;DATEDIF(S871,TODAY(),"YM")&amp;" Bulan, "&amp;DATEDIF(S871,TODAY(),"MD")&amp;" Hari")</f>
        <v>28 Tahun, 9 Bulan, 5 Hari</v>
      </c>
      <c r="AC871" s="18" t="n">
        <v>45885</v>
      </c>
      <c r="AD871" s="18" t="n">
        <v>46068</v>
      </c>
      <c r="AE871" s="18" t="s">
        <v>44</v>
      </c>
    </row>
    <row r="872" customFormat="false" ht="15.75" hidden="false" customHeight="true" outlineLevel="0" collapsed="false">
      <c r="A872" s="12" t="n">
        <v>9506</v>
      </c>
      <c r="B872" s="13" t="s">
        <v>3872</v>
      </c>
      <c r="C872" s="14" t="n">
        <v>44924</v>
      </c>
      <c r="D872" s="13" t="s">
        <v>613</v>
      </c>
      <c r="E872" s="15" t="s">
        <v>47</v>
      </c>
      <c r="F872" s="15" t="str">
        <f aca="false">IFERROR(__xludf.dummyfunction("XLOOKUP(AJ872,IMPORTRANGE(""1XaInW9DU9nz21V0tYIfzFQ0He9kVQ_JF2mCXgZ3hqFA"",""REKAP ALL 2026 - Andika!G:G""),IMPORTRANGE(""1XaInW9DU9nz21V0tYIfzFQ0He9kVQ_JF2mCXgZ3hqFA"",""REKAP ALL 2026 - Andika!F:F""),"""",0)"),"23006032942")</f>
        <v>23006032942</v>
      </c>
      <c r="G872" s="13" t="s">
        <v>3873</v>
      </c>
      <c r="H872" s="13" t="s">
        <v>35</v>
      </c>
      <c r="I872" s="13" t="str">
        <f aca="false">IF(C872=J872,"NEW KONTRAK","RE-KONTRAK")</f>
        <v>RE-KONTRAK</v>
      </c>
      <c r="J872" s="16" t="n">
        <f aca="false" t="array" ref="J872:J872">IFERROR(INDEX(AC872:AE872,IF(COUNTA(AC872:AE872)=0,"",MAX((AC872:AE872&lt;&gt;"")*(COLUMN(AC872:AE872)-(COLUMN(AC872)))))-1),"")</f>
        <v>45885</v>
      </c>
      <c r="K872" s="16" t="n">
        <f aca="false" t="array" ref="K872:K872">IFERROR(INDEX(AC872:AE872,IF(COUNTA(AC872:AE872)=0,"",MAX((AC872:AE872&lt;&gt;"")*(COLUMN(AC872:AE872)-(COLUMN(AC872)-1))))-1),"")</f>
        <v>46068</v>
      </c>
      <c r="L872" s="17" t="str">
        <f aca="false" t="array" ref="L872:L872">IFERROR(INDEX(AC872:AE872,IF(COUNTA(AC872:AE872)=0,"",MAX((AC872:AE872&lt;&gt;"")*(COLUMN(AC872:AE872)-(COLUMN(AC872)-2))))-1),"")</f>
        <v>ARCHIVED</v>
      </c>
      <c r="M872" s="13" t="n">
        <f aca="true">K872-TODAY()</f>
        <v>-256</v>
      </c>
      <c r="N872" s="18" t="s">
        <v>615</v>
      </c>
      <c r="O872" s="13" t="s">
        <v>58</v>
      </c>
      <c r="P872" s="19" t="n">
        <v>5176101</v>
      </c>
      <c r="Q872" s="20" t="s">
        <v>3874</v>
      </c>
      <c r="R872" s="13" t="s">
        <v>232</v>
      </c>
      <c r="S872" s="14" t="n">
        <v>36502</v>
      </c>
      <c r="T872" s="13" t="s">
        <v>40</v>
      </c>
      <c r="U872" s="13" t="s">
        <v>3875</v>
      </c>
      <c r="V872" s="13" t="s">
        <v>42</v>
      </c>
      <c r="W872" s="13" t="s">
        <v>43</v>
      </c>
      <c r="X872" s="21" t="n">
        <v>85748390007</v>
      </c>
      <c r="Y872" s="22" t="str">
        <f aca="false">O872</f>
        <v>Produksi</v>
      </c>
      <c r="Z872" s="13" t="str">
        <f aca="false">IFERROR(__xludf.dummyfunction("if(BJ872="""","""",GOOGLETRANSLATE(BJ872,""auto"",""en""))"),"Production")</f>
        <v>Production</v>
      </c>
      <c r="AA872" s="23" t="str">
        <f aca="false">IF(C872="","", CHOOSE(MONTH(C872),"January","February","March","April","May","June","July","August","September","October","November","December")&amp;" "&amp;DAY(C872)&amp;MID("thstndrdth",MIN(9,2*RIGHT(DAY(C872))*(MOD(DAY(C872)-11,100)&gt;2)+1),2)&amp;","&amp;TEXT(C872," yyyy"))</f>
        <v>December 29th,2022</v>
      </c>
      <c r="AB872" s="15" t="str">
        <f aca="true">IF(S872="","",DATEDIF(S872,TODAY(),"Y")&amp;" Tahun, "&amp;DATEDIF(S872,TODAY(),"YM")&amp;" Bulan, "&amp;DATEDIF(S872,TODAY(),"MD")&amp;" Hari")</f>
        <v>26 Tahun, 10 Bulan, 21 Hari</v>
      </c>
      <c r="AC872" s="18" t="n">
        <v>45885</v>
      </c>
      <c r="AD872" s="18" t="n">
        <v>46068</v>
      </c>
      <c r="AE872" s="18" t="s">
        <v>44</v>
      </c>
    </row>
    <row r="873" customFormat="false" ht="15.75" hidden="false" customHeight="true" outlineLevel="0" collapsed="false">
      <c r="A873" s="12" t="n">
        <v>9507</v>
      </c>
      <c r="B873" s="13" t="s">
        <v>3876</v>
      </c>
      <c r="C873" s="14" t="n">
        <v>45961</v>
      </c>
      <c r="D873" s="13" t="s">
        <v>613</v>
      </c>
      <c r="E873" s="15" t="s">
        <v>47</v>
      </c>
      <c r="F873" s="15" t="str">
        <f aca="false">IFERROR(__xludf.dummyfunction("XLOOKUP(AJ873,IMPORTRANGE(""1XaInW9DU9nz21V0tYIfzFQ0He9kVQ_JF2mCXgZ3hqFA"",""REKAP ALL 2026 - Andika!G:G""),IMPORTRANGE(""1XaInW9DU9nz21V0tYIfzFQ0He9kVQ_JF2mCXgZ3hqFA"",""REKAP ALL 2026 - Andika!F:F""),"""",0)"),"25157578334")</f>
        <v>25157578334</v>
      </c>
      <c r="G873" s="13" t="s">
        <v>3877</v>
      </c>
      <c r="H873" s="13" t="s">
        <v>35</v>
      </c>
      <c r="I873" s="13" t="str">
        <f aca="false">IF(C873=J873,"NEW KONTRAK","RE-KONTRAK")</f>
        <v>NEW KONTRAK</v>
      </c>
      <c r="J873" s="16" t="n">
        <f aca="false" t="array" ref="J873:J873">IFERROR(INDEX(AC873:AE873,IF(COUNTA(AC873:AE873)=0,"",MAX((AC873:AE873&lt;&gt;"")*(COLUMN(AC873:AE873)-(COLUMN(AC873)))))-1),"")</f>
        <v>45961</v>
      </c>
      <c r="K873" s="16" t="n">
        <f aca="false" t="array" ref="K873:K873">IFERROR(INDEX(AC873:AE873,IF(COUNTA(AC873:AE873)=0,"",MAX((AC873:AE873&lt;&gt;"")*(COLUMN(AC873:AE873)-(COLUMN(AC873)-1))))-1),"")</f>
        <v>46037</v>
      </c>
      <c r="L873" s="17" t="str">
        <f aca="false" t="array" ref="L873:L873">IFERROR(INDEX(AC873:AE873,IF(COUNTA(AC873:AE873)=0,"",MAX((AC873:AE873&lt;&gt;"")*(COLUMN(AC873:AE873)-(COLUMN(AC873)-2))))-1),"")</f>
        <v>ARCHIVED</v>
      </c>
      <c r="M873" s="13" t="n">
        <f aca="true">K873-TODAY()</f>
        <v>-287</v>
      </c>
      <c r="N873" s="18" t="s">
        <v>615</v>
      </c>
      <c r="O873" s="13" t="s">
        <v>58</v>
      </c>
      <c r="P873" s="19" t="n">
        <v>5176101</v>
      </c>
      <c r="Q873" s="20" t="s">
        <v>3878</v>
      </c>
      <c r="R873" s="13" t="s">
        <v>232</v>
      </c>
      <c r="S873" s="14" t="n">
        <v>36309</v>
      </c>
      <c r="T873" s="13" t="s">
        <v>40</v>
      </c>
      <c r="U873" s="13" t="s">
        <v>3871</v>
      </c>
      <c r="V873" s="13" t="s">
        <v>42</v>
      </c>
      <c r="W873" s="13" t="s">
        <v>43</v>
      </c>
      <c r="X873" s="21" t="n">
        <v>85963018616</v>
      </c>
      <c r="Y873" s="22" t="str">
        <f aca="false">O873</f>
        <v>Produksi</v>
      </c>
      <c r="Z873" s="13" t="str">
        <f aca="false">IFERROR(__xludf.dummyfunction("if(BJ873="""","""",GOOGLETRANSLATE(BJ873,""auto"",""en""))"),"Production")</f>
        <v>Production</v>
      </c>
      <c r="AA873" s="23" t="str">
        <f aca="false">IF(C873="","", CHOOSE(MONTH(C873),"January","February","March","April","May","June","July","August","September","October","November","December")&amp;" "&amp;DAY(C873)&amp;MID("thstndrdth",MIN(9,2*RIGHT(DAY(C873))*(MOD(DAY(C873)-11,100)&gt;2)+1),2)&amp;","&amp;TEXT(C873," yyyy"))</f>
        <v>October 31st,2025</v>
      </c>
      <c r="AB873" s="15" t="str">
        <f aca="true">IF(S873="","",DATEDIF(S873,TODAY(),"Y")&amp;" Tahun, "&amp;DATEDIF(S873,TODAY(),"YM")&amp;" Bulan, "&amp;DATEDIF(S873,TODAY(),"MD")&amp;" Hari")</f>
        <v>27 Tahun, 5 Bulan, 0 Hari</v>
      </c>
      <c r="AC873" s="53" t="n">
        <v>45961</v>
      </c>
      <c r="AD873" s="18" t="n">
        <v>46037</v>
      </c>
      <c r="AE873" s="13" t="s">
        <v>44</v>
      </c>
    </row>
    <row r="874" customFormat="false" ht="15.75" hidden="false" customHeight="true" outlineLevel="0" collapsed="false">
      <c r="A874" s="12" t="n">
        <v>9508</v>
      </c>
      <c r="B874" s="13" t="s">
        <v>3879</v>
      </c>
      <c r="C874" s="14" t="n">
        <v>44924</v>
      </c>
      <c r="D874" s="13" t="s">
        <v>613</v>
      </c>
      <c r="E874" s="15" t="s">
        <v>47</v>
      </c>
      <c r="F874" s="15" t="str">
        <f aca="false">IFERROR(__xludf.dummyfunction("XLOOKUP(AJ874,IMPORTRANGE(""1XaInW9DU9nz21V0tYIfzFQ0He9kVQ_JF2mCXgZ3hqFA"",""REKAP ALL 2026 - Andika!G:G""),IMPORTRANGE(""1XaInW9DU9nz21V0tYIfzFQ0He9kVQ_JF2mCXgZ3hqFA"",""REKAP ALL 2026 - Andika!F:F""),"""",0)"),"23006032975")</f>
        <v>23006032975</v>
      </c>
      <c r="G874" s="13" t="s">
        <v>3880</v>
      </c>
      <c r="H874" s="13" t="s">
        <v>35</v>
      </c>
      <c r="I874" s="13" t="str">
        <f aca="false">IF(C874=J874,"NEW KONTRAK","RE-KONTRAK")</f>
        <v>RE-KONTRAK</v>
      </c>
      <c r="J874" s="16" t="n">
        <f aca="false" t="array" ref="J874:J874">IFERROR(INDEX(AC874:AE874,IF(COUNTA(AC874:AE874)=0,"",MAX((AC874:AE874&lt;&gt;"")*(COLUMN(AC874:AE874)-(COLUMN(AC874)))))-1),"")</f>
        <v>45885</v>
      </c>
      <c r="K874" s="16" t="n">
        <f aca="false" t="array" ref="K874:K874">IFERROR(INDEX(AC874:AE874,IF(COUNTA(AC874:AE874)=0,"",MAX((AC874:AE874&lt;&gt;"")*(COLUMN(AC874:AE874)-(COLUMN(AC874)-1))))-1),"")</f>
        <v>46068</v>
      </c>
      <c r="L874" s="17" t="str">
        <f aca="false" t="array" ref="L874:L874">IFERROR(INDEX(AC874:AE874,IF(COUNTA(AC874:AE874)=0,"",MAX((AC874:AE874&lt;&gt;"")*(COLUMN(AC874:AE874)-(COLUMN(AC874)-2))))-1),"")</f>
        <v>ARCHIVED</v>
      </c>
      <c r="M874" s="13" t="n">
        <f aca="true">K874-TODAY()</f>
        <v>-256</v>
      </c>
      <c r="N874" s="18" t="s">
        <v>615</v>
      </c>
      <c r="O874" s="13" t="s">
        <v>3881</v>
      </c>
      <c r="P874" s="19" t="n">
        <v>5176101</v>
      </c>
      <c r="Q874" s="20" t="s">
        <v>3882</v>
      </c>
      <c r="R874" s="13" t="s">
        <v>232</v>
      </c>
      <c r="S874" s="14" t="n">
        <v>35068</v>
      </c>
      <c r="T874" s="13" t="s">
        <v>40</v>
      </c>
      <c r="U874" s="13" t="s">
        <v>3883</v>
      </c>
      <c r="V874" s="13" t="s">
        <v>42</v>
      </c>
      <c r="W874" s="13" t="s">
        <v>43</v>
      </c>
      <c r="X874" s="21" t="n">
        <v>85731588632</v>
      </c>
      <c r="Y874" s="22" t="str">
        <f aca="false">O874</f>
        <v>IT Support</v>
      </c>
      <c r="Z874" s="13" t="str">
        <f aca="false">IFERROR(__xludf.dummyfunction("if(BJ874="""","""",GOOGLETRANSLATE(BJ874,""auto"",""en""))"),"IT Support")</f>
        <v>IT Support</v>
      </c>
      <c r="AA874" s="23" t="str">
        <f aca="false">IF(C874="","", CHOOSE(MONTH(C874),"January","February","March","April","May","June","July","August","September","October","November","December")&amp;" "&amp;DAY(C874)&amp;MID("thstndrdth",MIN(9,2*RIGHT(DAY(C874))*(MOD(DAY(C874)-11,100)&gt;2)+1),2)&amp;","&amp;TEXT(C874," yyyy"))</f>
        <v>December 29th,2022</v>
      </c>
      <c r="AB874" s="15" t="str">
        <f aca="true">IF(S874="","",DATEDIF(S874,TODAY(),"Y")&amp;" Tahun, "&amp;DATEDIF(S874,TODAY(),"YM")&amp;" Bulan, "&amp;DATEDIF(S874,TODAY(),"MD")&amp;" Hari")</f>
        <v>30 Tahun, 9 Bulan, 25 Hari</v>
      </c>
      <c r="AC874" s="18" t="n">
        <v>45885</v>
      </c>
      <c r="AD874" s="18" t="n">
        <v>46068</v>
      </c>
      <c r="AE874" s="18" t="s">
        <v>44</v>
      </c>
    </row>
    <row r="875" customFormat="false" ht="15.75" hidden="false" customHeight="true" outlineLevel="0" collapsed="false">
      <c r="A875" s="12" t="n">
        <v>9509</v>
      </c>
      <c r="B875" s="13" t="s">
        <v>3884</v>
      </c>
      <c r="C875" s="14" t="n">
        <v>44927</v>
      </c>
      <c r="D875" s="13" t="s">
        <v>613</v>
      </c>
      <c r="E875" s="15" t="s">
        <v>47</v>
      </c>
      <c r="F875" s="15" t="str">
        <f aca="false">IFERROR(__xludf.dummyfunction("XLOOKUP(AJ875,IMPORTRANGE(""1XaInW9DU9nz21V0tYIfzFQ0He9kVQ_JF2mCXgZ3hqFA"",""REKAP ALL 2026 - Andika!G:G""),IMPORTRANGE(""1XaInW9DU9nz21V0tYIfzFQ0He9kVQ_JF2mCXgZ3hqFA"",""REKAP ALL 2026 - Andika!F:F""),"""",0)"),"23006032991")</f>
        <v>23006032991</v>
      </c>
      <c r="G875" s="13" t="s">
        <v>3885</v>
      </c>
      <c r="H875" s="13" t="s">
        <v>35</v>
      </c>
      <c r="I875" s="13" t="str">
        <f aca="false">IF(C875=J875,"NEW KONTRAK","RE-KONTRAK")</f>
        <v>RE-KONTRAK</v>
      </c>
      <c r="J875" s="16" t="n">
        <f aca="false" t="array" ref="J875:J875">IFERROR(INDEX(AC875:AE875,IF(COUNTA(AC875:AE875)=0,"",MAX((AC875:AE875&lt;&gt;"")*(COLUMN(AC875:AE875)-(COLUMN(AC875)))))-1),"")</f>
        <v>45885</v>
      </c>
      <c r="K875" s="16" t="n">
        <f aca="false" t="array" ref="K875:K875">IFERROR(INDEX(AC875:AE875,IF(COUNTA(AC875:AE875)=0,"",MAX((AC875:AE875&lt;&gt;"")*(COLUMN(AC875:AE875)-(COLUMN(AC875)-1))))-1),"")</f>
        <v>46068</v>
      </c>
      <c r="L875" s="17" t="str">
        <f aca="false" t="array" ref="L875:L875">IFERROR(INDEX(AC875:AE875,IF(COUNTA(AC875:AE875)=0,"",MAX((AC875:AE875&lt;&gt;"")*(COLUMN(AC875:AE875)-(COLUMN(AC875)-2))))-1),"")</f>
        <v>ARCHIVED</v>
      </c>
      <c r="M875" s="13" t="n">
        <f aca="true">K875-TODAY()</f>
        <v>-256</v>
      </c>
      <c r="N875" s="18" t="s">
        <v>615</v>
      </c>
      <c r="O875" s="13" t="s">
        <v>58</v>
      </c>
      <c r="P875" s="19" t="n">
        <v>5176101</v>
      </c>
      <c r="Q875" s="20" t="s">
        <v>3886</v>
      </c>
      <c r="R875" s="13" t="s">
        <v>232</v>
      </c>
      <c r="S875" s="14" t="n">
        <v>35424</v>
      </c>
      <c r="T875" s="13" t="s">
        <v>40</v>
      </c>
      <c r="U875" s="13" t="s">
        <v>3887</v>
      </c>
      <c r="V875" s="13" t="s">
        <v>42</v>
      </c>
      <c r="W875" s="13" t="s">
        <v>43</v>
      </c>
      <c r="X875" s="21" t="n">
        <v>85748390007</v>
      </c>
      <c r="Y875" s="22" t="str">
        <f aca="false">O875</f>
        <v>Produksi</v>
      </c>
      <c r="Z875" s="13" t="str">
        <f aca="false">IFERROR(__xludf.dummyfunction("if(BJ875="""","""",GOOGLETRANSLATE(BJ875,""auto"",""en""))"),"Production")</f>
        <v>Production</v>
      </c>
      <c r="AA875" s="23" t="str">
        <f aca="false">IF(C875="","", CHOOSE(MONTH(C875),"January","February","March","April","May","June","July","August","September","October","November","December")&amp;" "&amp;DAY(C875)&amp;MID("thstndrdth",MIN(9,2*RIGHT(DAY(C875))*(MOD(DAY(C875)-11,100)&gt;2)+1),2)&amp;","&amp;TEXT(C875," yyyy"))</f>
        <v>January 1st,2023</v>
      </c>
      <c r="AB875" s="15" t="str">
        <f aca="true">IF(S875="","",DATEDIF(S875,TODAY(),"Y")&amp;" Tahun, "&amp;DATEDIF(S875,TODAY(),"YM")&amp;" Bulan, "&amp;DATEDIF(S875,TODAY(),"MD")&amp;" Hari")</f>
        <v>29 Tahun, 10 Bulan, 4 Hari</v>
      </c>
      <c r="AC875" s="18" t="n">
        <v>45885</v>
      </c>
      <c r="AD875" s="18" t="n">
        <v>46068</v>
      </c>
      <c r="AE875" s="18" t="s">
        <v>44</v>
      </c>
    </row>
    <row r="876" customFormat="false" ht="15.75" hidden="false" customHeight="true" outlineLevel="0" collapsed="false">
      <c r="A876" s="12" t="n">
        <v>23017</v>
      </c>
      <c r="B876" s="13" t="s">
        <v>3888</v>
      </c>
      <c r="C876" s="14" t="n">
        <v>46298</v>
      </c>
      <c r="D876" s="13" t="s">
        <v>2033</v>
      </c>
      <c r="E876" s="13" t="s">
        <v>47</v>
      </c>
      <c r="F876" s="24" t="s">
        <v>3889</v>
      </c>
      <c r="G876" s="13" t="s">
        <v>1127</v>
      </c>
      <c r="H876" s="13" t="s">
        <v>35</v>
      </c>
      <c r="I876" s="13" t="str">
        <f aca="false">IF(C876=J876,"NEW KONTRAK","RE-KONTRAK")</f>
        <v>NEW KONTRAK</v>
      </c>
      <c r="J876" s="16" t="n">
        <f aca="false" t="array" ref="J876:J876">IFERROR(INDEX(AC876:AE876,IF(COUNTA(AC876:AE876)=0,"",MAX((AC876:AE876&lt;&gt;"")*(COLUMN(AC876:AE876)-(COLUMN(AC876)))))-1),"")</f>
        <v>46298</v>
      </c>
      <c r="K876" s="16" t="n">
        <f aca="false" t="array" ref="K876:K876">IFERROR(INDEX(AC876:AE876,IF(COUNTA(AC876:AE876)=0,"",MAX((AC876:AE876&lt;&gt;"")*(COLUMN(AC876:AE876)-(COLUMN(AC876)-1))))-1),"")</f>
        <v>46402</v>
      </c>
      <c r="L876" s="17" t="str">
        <f aca="false" t="array" ref="L876:L876">IFERROR(INDEX(AC876:AE876,IF(COUNTA(AC876:AE876)=0,"",MAX((AC876:AE876&lt;&gt;"")*(COLUMN(AC876:AE876)-(COLUMN(AC876)-2))))-1),"")</f>
        <v>DRAFTED ONLINE</v>
      </c>
      <c r="M876" s="13" t="n">
        <f aca="true">K876-TODAY()</f>
        <v>78</v>
      </c>
      <c r="N876" s="13" t="s">
        <v>553</v>
      </c>
      <c r="O876" s="13" t="s">
        <v>2384</v>
      </c>
      <c r="P876" s="26" t="n">
        <v>2337700</v>
      </c>
      <c r="Q876" s="20" t="s">
        <v>3890</v>
      </c>
      <c r="R876" s="13" t="s">
        <v>553</v>
      </c>
      <c r="S876" s="25" t="n">
        <v>38843</v>
      </c>
      <c r="T876" s="13" t="s">
        <v>108</v>
      </c>
      <c r="U876" s="13" t="s">
        <v>3891</v>
      </c>
      <c r="V876" s="13" t="s">
        <v>42</v>
      </c>
      <c r="W876" s="13" t="s">
        <v>43</v>
      </c>
      <c r="X876" s="21" t="n">
        <v>82136425286</v>
      </c>
      <c r="Y876" s="22" t="str">
        <f aca="false">O876</f>
        <v>SPG</v>
      </c>
      <c r="Z876" s="13" t="str">
        <f aca="false">IFERROR(__xludf.dummyfunction("if(BJ876="""","""",GOOGLETRANSLATE(BJ876,""auto"",""en""))"),"SPG")</f>
        <v>SPG</v>
      </c>
      <c r="AA876" s="23" t="str">
        <f aca="false">IF(C876="","", CHOOSE(MONTH(C876),"January","February","March","April","May","June","July","August","September","October","November","December")&amp;" "&amp;DAY(C876)&amp;MID("thstndrdth",MIN(9,2*RIGHT(DAY(C876))*(MOD(DAY(C876)-11,100)&gt;2)+1),2)&amp;","&amp;TEXT(C876," yyyy"))</f>
        <v>October 3rd,2026</v>
      </c>
      <c r="AB876" s="15" t="str">
        <f aca="true">IF(S876="","",DATEDIF(S876,TODAY(),"Y")&amp;" Tahun, "&amp;DATEDIF(S876,TODAY(),"YM")&amp;" Bulan, "&amp;DATEDIF(S876,TODAY(),"MD")&amp;" Hari")</f>
        <v>20 Tahun, 5 Bulan, 23 Hari</v>
      </c>
      <c r="AC876" s="14" t="n">
        <v>46298</v>
      </c>
      <c r="AD876" s="18" t="n">
        <v>46402</v>
      </c>
      <c r="AE876" s="13" t="s">
        <v>2424</v>
      </c>
    </row>
    <row r="877" customFormat="false" ht="15.75" hidden="false" customHeight="true" outlineLevel="0" collapsed="false">
      <c r="A877" s="12" t="n">
        <v>9527</v>
      </c>
      <c r="B877" s="13" t="s">
        <v>3892</v>
      </c>
      <c r="C877" s="14" t="n">
        <v>44916</v>
      </c>
      <c r="D877" s="13" t="s">
        <v>2033</v>
      </c>
      <c r="E877" s="15" t="s">
        <v>33</v>
      </c>
      <c r="F877" s="24" t="s">
        <v>3893</v>
      </c>
      <c r="G877" s="13" t="s">
        <v>3894</v>
      </c>
      <c r="H877" s="13" t="s">
        <v>2035</v>
      </c>
      <c r="I877" s="13" t="str">
        <f aca="false">IF(C877=J877,"NEW KONTRAK","RE-KONTRAK")</f>
        <v>RE-KONTRAK</v>
      </c>
      <c r="J877" s="16" t="n">
        <f aca="false" t="array" ref="J877:J877">IFERROR(INDEX(AC877:AE877,IF(COUNTA(AC877:AE877)=0,"",MAX((AC877:AE877&lt;&gt;"")*(COLUMN(AC877:AE877)-(COLUMN(AC877)))))-1),"")</f>
        <v>45744</v>
      </c>
      <c r="K877" s="16" t="n">
        <f aca="false" t="array" ref="K877:K877">IFERROR(INDEX(AC877:AE877,IF(COUNTA(AC877:AE877)=0,"",MAX((AC877:AE877&lt;&gt;"")*(COLUMN(AC877:AE877)-(COLUMN(AC877)-1))))-1),"")</f>
        <v>45915</v>
      </c>
      <c r="L877" s="17" t="str">
        <f aca="false" t="array" ref="L877:L877">IFERROR(INDEX(AC877:AE877,IF(COUNTA(AC877:AE877)=0,"",MAX((AC877:AE877&lt;&gt;"")*(COLUMN(AC877:AE877)-(COLUMN(AC877)-2))))-1),"")</f>
        <v>ARCHIVED</v>
      </c>
      <c r="M877" s="13" t="n">
        <f aca="true">K877-TODAY()</f>
        <v>-409</v>
      </c>
      <c r="N877" s="18" t="s">
        <v>3895</v>
      </c>
      <c r="O877" s="13" t="s">
        <v>2037</v>
      </c>
      <c r="P877" s="19" t="n">
        <v>3592835</v>
      </c>
      <c r="Q877" s="20" t="s">
        <v>3896</v>
      </c>
      <c r="R877" s="13" t="s">
        <v>3897</v>
      </c>
      <c r="S877" s="14" t="n">
        <v>38002</v>
      </c>
      <c r="T877" s="13" t="s">
        <v>108</v>
      </c>
      <c r="U877" s="13" t="s">
        <v>3898</v>
      </c>
      <c r="V877" s="13" t="s">
        <v>42</v>
      </c>
      <c r="W877" s="13" t="s">
        <v>43</v>
      </c>
      <c r="X877" s="21" t="n">
        <v>83141030362</v>
      </c>
      <c r="Y877" s="22" t="str">
        <f aca="false">O877</f>
        <v>SPG/BA</v>
      </c>
      <c r="Z877" s="13" t="str">
        <f aca="false">IFERROR(__xludf.dummyfunction("if(BJ877="""","""",GOOGLETRANSLATE(BJ877,""auto"",""en""))"),"SPG/BA")</f>
        <v>SPG/BA</v>
      </c>
      <c r="AA877" s="23" t="str">
        <f aca="false">IF(C877="","", CHOOSE(MONTH(C877),"January","February","March","April","May","June","July","August","September","October","November","December")&amp;" "&amp;DAY(C877)&amp;MID("thstndrdth",MIN(9,2*RIGHT(DAY(C877))*(MOD(DAY(C877)-11,100)&gt;2)+1),2)&amp;","&amp;TEXT(C877," yyyy"))</f>
        <v>December 21st,2022</v>
      </c>
      <c r="AB877" s="15" t="str">
        <f aca="true">IF(S877="","",DATEDIF(S877,TODAY(),"Y")&amp;" Tahun, "&amp;DATEDIF(S877,TODAY(),"YM")&amp;" Bulan, "&amp;DATEDIF(S877,TODAY(),"MD")&amp;" Hari")</f>
        <v>22 Tahun, 9 Bulan, 13 Hari</v>
      </c>
      <c r="AC877" s="18" t="n">
        <v>45744</v>
      </c>
      <c r="AD877" s="18" t="n">
        <v>45915</v>
      </c>
      <c r="AE877" s="18" t="s">
        <v>44</v>
      </c>
    </row>
    <row r="878" customFormat="false" ht="15.75" hidden="false" customHeight="true" outlineLevel="0" collapsed="false">
      <c r="A878" s="12" t="n">
        <v>9530</v>
      </c>
      <c r="B878" s="13" t="s">
        <v>3899</v>
      </c>
      <c r="C878" s="14" t="n">
        <v>44928</v>
      </c>
      <c r="D878" s="13" t="s">
        <v>2033</v>
      </c>
      <c r="E878" s="15" t="s">
        <v>33</v>
      </c>
      <c r="F878" s="24" t="s">
        <v>3900</v>
      </c>
      <c r="G878" s="13" t="s">
        <v>3901</v>
      </c>
      <c r="H878" s="13" t="s">
        <v>2035</v>
      </c>
      <c r="I878" s="13" t="str">
        <f aca="false">IF(C878=J878,"NEW KONTRAK","RE-KONTRAK")</f>
        <v>RE-KONTRAK</v>
      </c>
      <c r="J878" s="16" t="n">
        <f aca="false" t="array" ref="J878:J878">IFERROR(INDEX(AC878:AE878,IF(COUNTA(AC878:AE878)=0,"",MAX((AC878:AE878&lt;&gt;"")*(COLUMN(AC878:AE878)-(COLUMN(AC878)))))-1),"")</f>
        <v>45744</v>
      </c>
      <c r="K878" s="16" t="n">
        <f aca="false" t="array" ref="K878:K878">IFERROR(INDEX(AC878:AE878,IF(COUNTA(AC878:AE878)=0,"",MAX((AC878:AE878&lt;&gt;"")*(COLUMN(AC878:AE878)-(COLUMN(AC878)-1))))-1),"")</f>
        <v>45915</v>
      </c>
      <c r="L878" s="17" t="str">
        <f aca="false" t="array" ref="L878:L878">IFERROR(INDEX(AC878:AE878,IF(COUNTA(AC878:AE878)=0,"",MAX((AC878:AE878&lt;&gt;"")*(COLUMN(AC878:AE878)-(COLUMN(AC878)-2))))-1),"")</f>
        <v>ARCHIVED</v>
      </c>
      <c r="M878" s="13" t="n">
        <f aca="true">K878-TODAY()</f>
        <v>-409</v>
      </c>
      <c r="N878" s="18" t="s">
        <v>3902</v>
      </c>
      <c r="O878" s="13" t="s">
        <v>2037</v>
      </c>
      <c r="P878" s="19" t="n">
        <v>3305367</v>
      </c>
      <c r="Q878" s="20" t="s">
        <v>3903</v>
      </c>
      <c r="R878" s="13" t="s">
        <v>3904</v>
      </c>
      <c r="S878" s="14" t="n">
        <v>35939</v>
      </c>
      <c r="T878" s="13" t="s">
        <v>108</v>
      </c>
      <c r="U878" s="13" t="s">
        <v>3905</v>
      </c>
      <c r="V878" s="13" t="s">
        <v>42</v>
      </c>
      <c r="W878" s="13" t="s">
        <v>43</v>
      </c>
      <c r="X878" s="21" t="n">
        <v>895360616748</v>
      </c>
      <c r="Y878" s="22" t="str">
        <f aca="false">O878</f>
        <v>SPG/BA</v>
      </c>
      <c r="Z878" s="13" t="str">
        <f aca="false">IFERROR(__xludf.dummyfunction("if(BJ878="""","""",GOOGLETRANSLATE(BJ878,""auto"",""en""))"),"SPG/BA")</f>
        <v>SPG/BA</v>
      </c>
      <c r="AA878" s="23" t="str">
        <f aca="false">IF(C878="","", CHOOSE(MONTH(C878),"January","February","March","April","May","June","July","August","September","October","November","December")&amp;" "&amp;DAY(C878)&amp;MID("thstndrdth",MIN(9,2*RIGHT(DAY(C878))*(MOD(DAY(C878)-11,100)&gt;2)+1),2)&amp;","&amp;TEXT(C878," yyyy"))</f>
        <v>January 2nd,2023</v>
      </c>
      <c r="AB878" s="15" t="str">
        <f aca="true">IF(S878="","",DATEDIF(S878,TODAY(),"Y")&amp;" Tahun, "&amp;DATEDIF(S878,TODAY(),"YM")&amp;" Bulan, "&amp;DATEDIF(S878,TODAY(),"MD")&amp;" Hari")</f>
        <v>28 Tahun, 5 Bulan, 5 Hari</v>
      </c>
      <c r="AC878" s="18" t="n">
        <v>45744</v>
      </c>
      <c r="AD878" s="18" t="n">
        <v>45915</v>
      </c>
      <c r="AE878" s="18" t="s">
        <v>44</v>
      </c>
    </row>
    <row r="879" customFormat="false" ht="15.75" hidden="false" customHeight="true" outlineLevel="0" collapsed="false">
      <c r="A879" s="12" t="n">
        <v>9533</v>
      </c>
      <c r="B879" s="13" t="s">
        <v>3906</v>
      </c>
      <c r="C879" s="14" t="n">
        <v>44930</v>
      </c>
      <c r="D879" s="13" t="s">
        <v>1066</v>
      </c>
      <c r="E879" s="15" t="s">
        <v>47</v>
      </c>
      <c r="F879" s="15" t="str">
        <f aca="false">IFERROR(__xludf.dummyfunction("XLOOKUP(AJ879,IMPORTRANGE(""1XaInW9DU9nz21V0tYIfzFQ0He9kVQ_JF2mCXgZ3hqFA"",""REKAP ALL 2026 - Andika!G:G""),IMPORTRANGE(""1XaInW9DU9nz21V0tYIfzFQ0He9kVQ_JF2mCXgZ3hqFA"",""REKAP ALL 2026 - Andika!F:F""),"""",0)"),"23006034294")</f>
        <v>23006034294</v>
      </c>
      <c r="G879" s="13" t="s">
        <v>3907</v>
      </c>
      <c r="H879" s="13" t="s">
        <v>35</v>
      </c>
      <c r="I879" s="13" t="str">
        <f aca="false">IF(C879=J879,"NEW KONTRAK","RE-KONTRAK")</f>
        <v>RE-KONTRAK</v>
      </c>
      <c r="J879" s="16" t="n">
        <f aca="false" t="array" ref="J879:J879">IFERROR(INDEX(AC879:AE879,IF(COUNTA(AC879:AE879)=0,"",MAX((AC879:AE879&lt;&gt;"")*(COLUMN(AC879:AE879)-(COLUMN(AC879)))))-1),"")</f>
        <v>45658</v>
      </c>
      <c r="K879" s="16" t="n">
        <f aca="false" t="array" ref="K879:K879">IFERROR(INDEX(AC879:AE879,IF(COUNTA(AC879:AE879)=0,"",MAX((AC879:AE879&lt;&gt;"")*(COLUMN(AC879:AE879)-(COLUMN(AC879)-1))))-1),"")</f>
        <v>46022</v>
      </c>
      <c r="L879" s="17" t="str">
        <f aca="false" t="array" ref="L879:L879">IFERROR(INDEX(AC879:AE879,IF(COUNTA(AC879:AE879)=0,"",MAX((AC879:AE879&lt;&gt;"")*(COLUMN(AC879:AE879)-(COLUMN(AC879)-2))))-1),"")</f>
        <v>ARCHIVED</v>
      </c>
      <c r="M879" s="13" t="n">
        <f aca="true">K879-TODAY()</f>
        <v>-302</v>
      </c>
      <c r="N879" s="18" t="s">
        <v>615</v>
      </c>
      <c r="O879" s="13" t="s">
        <v>1068</v>
      </c>
      <c r="P879" s="19" t="n">
        <v>5176101</v>
      </c>
      <c r="Q879" s="20" t="s">
        <v>3908</v>
      </c>
      <c r="R879" s="13" t="s">
        <v>241</v>
      </c>
      <c r="S879" s="14" t="n">
        <v>37040</v>
      </c>
      <c r="T879" s="13" t="s">
        <v>40</v>
      </c>
      <c r="U879" s="13" t="s">
        <v>3909</v>
      </c>
      <c r="V879" s="13" t="s">
        <v>42</v>
      </c>
      <c r="W879" s="13" t="s">
        <v>43</v>
      </c>
      <c r="X879" s="21" t="n">
        <v>87853185607</v>
      </c>
      <c r="Y879" s="22" t="str">
        <f aca="false">O879</f>
        <v>Production Packer</v>
      </c>
      <c r="Z879" s="13" t="str">
        <f aca="false">IFERROR(__xludf.dummyfunction("if(BJ879="""","""",GOOGLETRANSLATE(BJ879,""auto"",""en""))"),"Production Packer")</f>
        <v>Production Packer</v>
      </c>
      <c r="AA879" s="23" t="str">
        <f aca="false">IF(C879="","", CHOOSE(MONTH(C879),"January","February","March","April","May","June","July","August","September","October","November","December")&amp;" "&amp;DAY(C879)&amp;MID("thstndrdth",MIN(9,2*RIGHT(DAY(C879))*(MOD(DAY(C879)-11,100)&gt;2)+1),2)&amp;","&amp;TEXT(C879," yyyy"))</f>
        <v>January 4th,2023</v>
      </c>
      <c r="AB879" s="15" t="str">
        <f aca="true">IF(S879="","",DATEDIF(S879,TODAY(),"Y")&amp;" Tahun, "&amp;DATEDIF(S879,TODAY(),"YM")&amp;" Bulan, "&amp;DATEDIF(S879,TODAY(),"MD")&amp;" Hari")</f>
        <v>25 Tahun, 5 Bulan, 0 Hari</v>
      </c>
      <c r="AC879" s="18" t="n">
        <v>45658</v>
      </c>
      <c r="AD879" s="18" t="n">
        <v>46022</v>
      </c>
      <c r="AE879" s="18" t="s">
        <v>44</v>
      </c>
    </row>
    <row r="880" customFormat="false" ht="15.75" hidden="false" customHeight="true" outlineLevel="0" collapsed="false">
      <c r="A880" s="12" t="n">
        <v>9538</v>
      </c>
      <c r="B880" s="13" t="s">
        <v>3910</v>
      </c>
      <c r="C880" s="14" t="n">
        <v>44927</v>
      </c>
      <c r="D880" s="13" t="s">
        <v>3712</v>
      </c>
      <c r="E880" s="15" t="s">
        <v>47</v>
      </c>
      <c r="F880" s="15" t="str">
        <f aca="false">IFERROR(__xludf.dummyfunction("XLOOKUP(AJ880,IMPORTRANGE(""1XaInW9DU9nz21V0tYIfzFQ0He9kVQ_JF2mCXgZ3hqFA"",""REKAP ALL 2026 - Andika!G:G""),IMPORTRANGE(""1XaInW9DU9nz21V0tYIfzFQ0He9kVQ_JF2mCXgZ3hqFA"",""REKAP ALL 2026 - Andika!F:F""),"""",0)"),"23006031845")</f>
        <v>23006031845</v>
      </c>
      <c r="G880" s="13" t="s">
        <v>3911</v>
      </c>
      <c r="H880" s="13" t="s">
        <v>35</v>
      </c>
      <c r="I880" s="13" t="str">
        <f aca="false">IF(C880=J880,"NEW KONTRAK","RE-KONTRAK")</f>
        <v>RE-KONTRAK</v>
      </c>
      <c r="J880" s="16" t="n">
        <f aca="false" t="array" ref="J880:J880">IFERROR(INDEX(AC880:AE880,IF(COUNTA(AC880:AE880)=0,"",MAX((AC880:AE880&lt;&gt;"")*(COLUMN(AC880:AE880)-(COLUMN(AC880)))))-1),"")</f>
        <v>45658</v>
      </c>
      <c r="K880" s="16" t="n">
        <f aca="false" t="array" ref="K880:K880">IFERROR(INDEX(AC880:AE880,IF(COUNTA(AC880:AE880)=0,"",MAX((AC880:AE880&lt;&gt;"")*(COLUMN(AC880:AE880)-(COLUMN(AC880)-1))))-1),"")</f>
        <v>45975</v>
      </c>
      <c r="L880" s="17" t="str">
        <f aca="false" t="array" ref="L880:L880">IFERROR(INDEX(AC880:AE880,IF(COUNTA(AC880:AE880)=0,"",MAX((AC880:AE880&lt;&gt;"")*(COLUMN(AC880:AE880)-(COLUMN(AC880)-2))))-1),"")</f>
        <v>ARCHIVED</v>
      </c>
      <c r="M880" s="13" t="n">
        <f aca="true">K880-TODAY()</f>
        <v>-349</v>
      </c>
      <c r="N880" s="18" t="s">
        <v>3714</v>
      </c>
      <c r="O880" s="13" t="s">
        <v>3577</v>
      </c>
      <c r="P880" s="19" t="n">
        <v>2528004</v>
      </c>
      <c r="Q880" s="20" t="s">
        <v>3912</v>
      </c>
      <c r="R880" s="13" t="s">
        <v>2855</v>
      </c>
      <c r="S880" s="14" t="n">
        <v>31463</v>
      </c>
      <c r="T880" s="13" t="s">
        <v>40</v>
      </c>
      <c r="U880" s="13" t="s">
        <v>3913</v>
      </c>
      <c r="V880" s="13" t="s">
        <v>42</v>
      </c>
      <c r="W880" s="13" t="s">
        <v>54</v>
      </c>
      <c r="X880" s="21" t="n">
        <v>85331310455</v>
      </c>
      <c r="Y880" s="22" t="str">
        <f aca="false">O880</f>
        <v>Kerani Gudang</v>
      </c>
      <c r="Z880" s="13" t="str">
        <f aca="false">IFERROR(__xludf.dummyfunction("if(BJ880="""","""",GOOGLETRANSLATE(BJ880,""auto"",""en""))"),"Warehouse Clerk")</f>
        <v>Warehouse Clerk</v>
      </c>
      <c r="AA880" s="23" t="str">
        <f aca="false">IF(C880="","", CHOOSE(MONTH(C880),"January","February","March","April","May","June","July","August","September","October","November","December")&amp;" "&amp;DAY(C880)&amp;MID("thstndrdth",MIN(9,2*RIGHT(DAY(C880))*(MOD(DAY(C880)-11,100)&gt;2)+1),2)&amp;","&amp;TEXT(C880," yyyy"))</f>
        <v>January 1st,2023</v>
      </c>
      <c r="AB880" s="15" t="str">
        <f aca="true">IF(S880="","",DATEDIF(S880,TODAY(),"Y")&amp;" Tahun, "&amp;DATEDIF(S880,TODAY(),"YM")&amp;" Bulan, "&amp;DATEDIF(S880,TODAY(),"MD")&amp;" Hari")</f>
        <v>40 Tahun, 8 Bulan, 9 Hari</v>
      </c>
      <c r="AC880" s="18" t="n">
        <v>45658</v>
      </c>
      <c r="AD880" s="18" t="n">
        <v>45975</v>
      </c>
      <c r="AE880" s="18" t="s">
        <v>44</v>
      </c>
    </row>
    <row r="881" customFormat="false" ht="15.75" hidden="false" customHeight="true" outlineLevel="0" collapsed="false">
      <c r="A881" s="12" t="n">
        <v>9543</v>
      </c>
      <c r="B881" s="13" t="s">
        <v>3914</v>
      </c>
      <c r="C881" s="14" t="n">
        <v>44929</v>
      </c>
      <c r="D881" s="13" t="s">
        <v>144</v>
      </c>
      <c r="E881" s="15" t="s">
        <v>33</v>
      </c>
      <c r="F881" s="24" t="s">
        <v>3915</v>
      </c>
      <c r="G881" s="13" t="s">
        <v>3916</v>
      </c>
      <c r="H881" s="13" t="s">
        <v>35</v>
      </c>
      <c r="I881" s="13" t="str">
        <f aca="false">IF(C881=J881,"NEW KONTRAK","RE-KONTRAK")</f>
        <v>RE-KONTRAK</v>
      </c>
      <c r="J881" s="16" t="n">
        <f aca="false" t="array" ref="J881:J881">IFERROR(INDEX(AC881:AE881,IF(COUNTA(AC881:AE881)=0,"",MAX((AC881:AE881&lt;&gt;"")*(COLUMN(AC881:AE881)-(COLUMN(AC881)))))-1),"")</f>
        <v>45658</v>
      </c>
      <c r="K881" s="16" t="n">
        <f aca="false" t="array" ref="K881:K881">IFERROR(INDEX(AC881:AE881,IF(COUNTA(AC881:AE881)=0,"",MAX((AC881:AE881&lt;&gt;"")*(COLUMN(AC881:AE881)-(COLUMN(AC881)-1))))-1),"")</f>
        <v>46022</v>
      </c>
      <c r="L881" s="17" t="str">
        <f aca="false" t="array" ref="L881:L881">IFERROR(INDEX(AC881:AE881,IF(COUNTA(AC881:AE881)=0,"",MAX((AC881:AE881&lt;&gt;"")*(COLUMN(AC881:AE881)-(COLUMN(AC881)-2))))-1),"")</f>
        <v>ARCHIVED</v>
      </c>
      <c r="M881" s="13" t="n">
        <f aca="true">K881-TODAY()</f>
        <v>-302</v>
      </c>
      <c r="N881" s="18" t="s">
        <v>36</v>
      </c>
      <c r="O881" s="13" t="s">
        <v>156</v>
      </c>
      <c r="P881" s="19" t="n">
        <v>5195401</v>
      </c>
      <c r="Q881" s="20" t="s">
        <v>3917</v>
      </c>
      <c r="R881" s="13" t="s">
        <v>78</v>
      </c>
      <c r="S881" s="14" t="n">
        <v>34141</v>
      </c>
      <c r="T881" s="13" t="s">
        <v>40</v>
      </c>
      <c r="U881" s="13" t="s">
        <v>3918</v>
      </c>
      <c r="V881" s="13" t="s">
        <v>42</v>
      </c>
      <c r="W881" s="13" t="s">
        <v>54</v>
      </c>
      <c r="X881" s="21" t="n">
        <v>85838653682</v>
      </c>
      <c r="Y881" s="22" t="str">
        <f aca="false">O881</f>
        <v>Emulsion</v>
      </c>
      <c r="Z881" s="13" t="str">
        <f aca="false">IFERROR(__xludf.dummyfunction("if(BJ881="""","""",GOOGLETRANSLATE(BJ881,""auto"",""en""))"),"Emulsion")</f>
        <v>Emulsion</v>
      </c>
      <c r="AA881" s="23" t="str">
        <f aca="false">IF(C881="","", CHOOSE(MONTH(C881),"January","February","March","April","May","June","July","August","September","October","November","December")&amp;" "&amp;DAY(C881)&amp;MID("thstndrdth",MIN(9,2*RIGHT(DAY(C881))*(MOD(DAY(C881)-11,100)&gt;2)+1),2)&amp;","&amp;TEXT(C881," yyyy"))</f>
        <v>January 3rd,2023</v>
      </c>
      <c r="AB881" s="15" t="str">
        <f aca="true">IF(S881="","",DATEDIF(S881,TODAY(),"Y")&amp;" Tahun, "&amp;DATEDIF(S881,TODAY(),"YM")&amp;" Bulan, "&amp;DATEDIF(S881,TODAY(),"MD")&amp;" Hari")</f>
        <v>33 Tahun, 4 Bulan, 8 Hari</v>
      </c>
      <c r="AC881" s="18" t="n">
        <v>45658</v>
      </c>
      <c r="AD881" s="18" t="n">
        <v>46022</v>
      </c>
      <c r="AE881" s="18" t="s">
        <v>44</v>
      </c>
    </row>
    <row r="882" customFormat="false" ht="15.75" hidden="false" customHeight="true" outlineLevel="0" collapsed="false">
      <c r="A882" s="12" t="n">
        <v>9544</v>
      </c>
      <c r="B882" s="13" t="s">
        <v>3919</v>
      </c>
      <c r="C882" s="14" t="n">
        <v>44929</v>
      </c>
      <c r="D882" s="13" t="s">
        <v>144</v>
      </c>
      <c r="E882" s="15" t="s">
        <v>33</v>
      </c>
      <c r="F882" s="24" t="s">
        <v>3920</v>
      </c>
      <c r="G882" s="13" t="s">
        <v>3921</v>
      </c>
      <c r="H882" s="13" t="s">
        <v>35</v>
      </c>
      <c r="I882" s="13" t="str">
        <f aca="false">IF(C882=J882,"NEW KONTRAK","RE-KONTRAK")</f>
        <v>RE-KONTRAK</v>
      </c>
      <c r="J882" s="16" t="n">
        <f aca="false" t="array" ref="J882:J882">IFERROR(INDEX(AC882:AE882,IF(COUNTA(AC882:AE882)=0,"",MAX((AC882:AE882&lt;&gt;"")*(COLUMN(AC882:AE882)-(COLUMN(AC882)))))-1),"")</f>
        <v>45658</v>
      </c>
      <c r="K882" s="16" t="n">
        <f aca="false" t="array" ref="K882:K882">IFERROR(INDEX(AC882:AE882,IF(COUNTA(AC882:AE882)=0,"",MAX((AC882:AE882&lt;&gt;"")*(COLUMN(AC882:AE882)-(COLUMN(AC882)-1))))-1),"")</f>
        <v>46022</v>
      </c>
      <c r="L882" s="17" t="str">
        <f aca="false" t="array" ref="L882:L882">IFERROR(INDEX(AC882:AE882,IF(COUNTA(AC882:AE882)=0,"",MAX((AC882:AE882&lt;&gt;"")*(COLUMN(AC882:AE882)-(COLUMN(AC882)-2))))-1),"")</f>
        <v>ARCHIVED</v>
      </c>
      <c r="M882" s="13" t="n">
        <f aca="true">K882-TODAY()</f>
        <v>-302</v>
      </c>
      <c r="N882" s="18" t="s">
        <v>36</v>
      </c>
      <c r="O882" s="13" t="s">
        <v>156</v>
      </c>
      <c r="P882" s="19" t="n">
        <v>5195401</v>
      </c>
      <c r="Q882" s="20" t="s">
        <v>3922</v>
      </c>
      <c r="R882" s="13" t="s">
        <v>65</v>
      </c>
      <c r="S882" s="14" t="n">
        <v>27241</v>
      </c>
      <c r="T882" s="13" t="s">
        <v>40</v>
      </c>
      <c r="U882" s="13" t="s">
        <v>3923</v>
      </c>
      <c r="V882" s="13" t="s">
        <v>42</v>
      </c>
      <c r="W882" s="13" t="s">
        <v>54</v>
      </c>
      <c r="X882" s="21" t="n">
        <v>82245861365</v>
      </c>
      <c r="Y882" s="22" t="str">
        <f aca="false">O882</f>
        <v>Emulsion</v>
      </c>
      <c r="Z882" s="13" t="str">
        <f aca="false">IFERROR(__xludf.dummyfunction("if(BJ882="""","""",GOOGLETRANSLATE(BJ882,""auto"",""en""))"),"Emulsion")</f>
        <v>Emulsion</v>
      </c>
      <c r="AA882" s="23" t="str">
        <f aca="false">IF(C882="","", CHOOSE(MONTH(C882),"January","February","March","April","May","June","July","August","September","October","November","December")&amp;" "&amp;DAY(C882)&amp;MID("thstndrdth",MIN(9,2*RIGHT(DAY(C882))*(MOD(DAY(C882)-11,100)&gt;2)+1),2)&amp;","&amp;TEXT(C882," yyyy"))</f>
        <v>January 3rd,2023</v>
      </c>
      <c r="AB882" s="15" t="str">
        <f aca="true">IF(S882="","",DATEDIF(S882,TODAY(),"Y")&amp;" Tahun, "&amp;DATEDIF(S882,TODAY(),"YM")&amp;" Bulan, "&amp;DATEDIF(S882,TODAY(),"MD")&amp;" Hari")</f>
        <v>52 Tahun, 2 Bulan, 28 Hari</v>
      </c>
      <c r="AC882" s="18" t="n">
        <v>45658</v>
      </c>
      <c r="AD882" s="18" t="n">
        <v>46022</v>
      </c>
      <c r="AE882" s="18" t="s">
        <v>44</v>
      </c>
    </row>
    <row r="883" customFormat="false" ht="15.75" hidden="false" customHeight="true" outlineLevel="0" collapsed="false">
      <c r="A883" s="12" t="n">
        <v>9546</v>
      </c>
      <c r="B883" s="13" t="s">
        <v>3924</v>
      </c>
      <c r="C883" s="14" t="n">
        <v>44931</v>
      </c>
      <c r="D883" s="13" t="s">
        <v>144</v>
      </c>
      <c r="E883" s="15" t="s">
        <v>47</v>
      </c>
      <c r="F883" s="15" t="str">
        <f aca="false">IFERROR(__xludf.dummyfunction("XLOOKUP(AJ883,IMPORTRANGE(""1XaInW9DU9nz21V0tYIfzFQ0He9kVQ_JF2mCXgZ3hqFA"",""REKAP ALL 2026 - Andika!G:G""),IMPORTRANGE(""1XaInW9DU9nz21V0tYIfzFQ0He9kVQ_JF2mCXgZ3hqFA"",""REKAP ALL 2026 - Andika!F:F""),"""",0)"),"23006031860")</f>
        <v>23006031860</v>
      </c>
      <c r="G883" s="13" t="s">
        <v>3925</v>
      </c>
      <c r="H883" s="13" t="s">
        <v>35</v>
      </c>
      <c r="I883" s="13" t="str">
        <f aca="false">IF(C883=J883,"NEW KONTRAK","RE-KONTRAK")</f>
        <v>RE-KONTRAK</v>
      </c>
      <c r="J883" s="16" t="n">
        <f aca="false" t="array" ref="J883:J883">IFERROR(INDEX(AC883:AE883,IF(COUNTA(AC883:AE883)=0,"",MAX((AC883:AE883&lt;&gt;"")*(COLUMN(AC883:AE883)-(COLUMN(AC883)))))-1),"")</f>
        <v>45658</v>
      </c>
      <c r="K883" s="16" t="n">
        <f aca="false" t="array" ref="K883:K883">IFERROR(INDEX(AC883:AE883,IF(COUNTA(AC883:AE883)=0,"",MAX((AC883:AE883&lt;&gt;"")*(COLUMN(AC883:AE883)-(COLUMN(AC883)-1))))-1),"")</f>
        <v>46022</v>
      </c>
      <c r="L883" s="17" t="str">
        <f aca="false" t="array" ref="L883:L883">IFERROR(INDEX(AC883:AE883,IF(COUNTA(AC883:AE883)=0,"",MAX((AC883:AE883&lt;&gt;"")*(COLUMN(AC883:AE883)-(COLUMN(AC883)-2))))-1),"")</f>
        <v>ARCHIVED</v>
      </c>
      <c r="M883" s="13" t="n">
        <f aca="true">K883-TODAY()</f>
        <v>-302</v>
      </c>
      <c r="N883" s="18" t="s">
        <v>36</v>
      </c>
      <c r="O883" s="13" t="s">
        <v>146</v>
      </c>
      <c r="P883" s="19" t="n">
        <v>5195401</v>
      </c>
      <c r="Q883" s="20" t="s">
        <v>3926</v>
      </c>
      <c r="R883" s="13" t="s">
        <v>232</v>
      </c>
      <c r="S883" s="14" t="n">
        <v>37130</v>
      </c>
      <c r="T883" s="13" t="s">
        <v>40</v>
      </c>
      <c r="U883" s="13" t="s">
        <v>3927</v>
      </c>
      <c r="V883" s="13" t="s">
        <v>42</v>
      </c>
      <c r="W883" s="13" t="s">
        <v>43</v>
      </c>
      <c r="X883" s="21" t="n">
        <v>8885924715</v>
      </c>
      <c r="Y883" s="22" t="str">
        <f aca="false">O883</f>
        <v>Enamel</v>
      </c>
      <c r="Z883" s="13" t="str">
        <f aca="false">IFERROR(__xludf.dummyfunction("if(BJ883="""","""",GOOGLETRANSLATE(BJ883,""auto"",""en""))"),"Enamel")</f>
        <v>Enamel</v>
      </c>
      <c r="AA883" s="23" t="str">
        <f aca="false">IF(C883="","", CHOOSE(MONTH(C883),"January","February","March","April","May","June","July","August","September","October","November","December")&amp;" "&amp;DAY(C883)&amp;MID("thstndrdth",MIN(9,2*RIGHT(DAY(C883))*(MOD(DAY(C883)-11,100)&gt;2)+1),2)&amp;","&amp;TEXT(C883," yyyy"))</f>
        <v>January 5th,2023</v>
      </c>
      <c r="AB883" s="15" t="str">
        <f aca="true">IF(S883="","",DATEDIF(S883,TODAY(),"Y")&amp;" Tahun, "&amp;DATEDIF(S883,TODAY(),"YM")&amp;" Bulan, "&amp;DATEDIF(S883,TODAY(),"MD")&amp;" Hari")</f>
        <v>25 Tahun, 2 Bulan, 2 Hari</v>
      </c>
      <c r="AC883" s="18" t="n">
        <v>45658</v>
      </c>
      <c r="AD883" s="18" t="n">
        <v>46022</v>
      </c>
      <c r="AE883" s="18" t="s">
        <v>44</v>
      </c>
    </row>
    <row r="884" customFormat="false" ht="15.75" hidden="false" customHeight="true" outlineLevel="0" collapsed="false">
      <c r="A884" s="12" t="n">
        <v>9550</v>
      </c>
      <c r="B884" s="13" t="s">
        <v>3928</v>
      </c>
      <c r="C884" s="14" t="n">
        <v>44931</v>
      </c>
      <c r="D884" s="13" t="s">
        <v>144</v>
      </c>
      <c r="E884" s="15" t="s">
        <v>102</v>
      </c>
      <c r="F884" s="15" t="str">
        <f aca="false">IFERROR(__xludf.dummyfunction("XLOOKUP(AJ884,IMPORTRANGE(""1XaInW9DU9nz21V0tYIfzFQ0He9kVQ_JF2mCXgZ3hqFA"",""REKAP ALL 2026 - Andika!G:G""),IMPORTRANGE(""1XaInW9DU9nz21V0tYIfzFQ0He9kVQ_JF2mCXgZ3hqFA"",""REKAP ALL 2026 - Andika!F:F""),"""",0)"),"23006031878")</f>
        <v>23006031878</v>
      </c>
      <c r="G884" s="13" t="s">
        <v>3929</v>
      </c>
      <c r="H884" s="13" t="s">
        <v>35</v>
      </c>
      <c r="I884" s="13" t="str">
        <f aca="false">IF(C884=J884,"NEW KONTRAK","RE-KONTRAK")</f>
        <v>RE-KONTRAK</v>
      </c>
      <c r="J884" s="16" t="n">
        <f aca="false" t="array" ref="J884:J884">IFERROR(INDEX(AC884:AE884,IF(COUNTA(AC884:AE884)=0,"",MAX((AC884:AE884&lt;&gt;"")*(COLUMN(AC884:AE884)-(COLUMN(AC884)))))-1),"")</f>
        <v>45658</v>
      </c>
      <c r="K884" s="16" t="n">
        <f aca="false" t="array" ref="K884:K884">IFERROR(INDEX(AC884:AE884,IF(COUNTA(AC884:AE884)=0,"",MAX((AC884:AE884&lt;&gt;"")*(COLUMN(AC884:AE884)-(COLUMN(AC884)-1))))-1),"")</f>
        <v>46022</v>
      </c>
      <c r="L884" s="17" t="str">
        <f aca="false" t="array" ref="L884:L884">IFERROR(INDEX(AC884:AE884,IF(COUNTA(AC884:AE884)=0,"",MAX((AC884:AE884&lt;&gt;"")*(COLUMN(AC884:AE884)-(COLUMN(AC884)-2))))-1),"")</f>
        <v>ARCHIVED</v>
      </c>
      <c r="M884" s="13" t="n">
        <f aca="true">K884-TODAY()</f>
        <v>-302</v>
      </c>
      <c r="N884" s="18" t="s">
        <v>36</v>
      </c>
      <c r="O884" s="13" t="s">
        <v>146</v>
      </c>
      <c r="P884" s="19" t="n">
        <v>5195401</v>
      </c>
      <c r="Q884" s="20" t="s">
        <v>3930</v>
      </c>
      <c r="R884" s="13" t="s">
        <v>52</v>
      </c>
      <c r="S884" s="14" t="n">
        <v>35121</v>
      </c>
      <c r="T884" s="13" t="s">
        <v>40</v>
      </c>
      <c r="U884" s="13" t="s">
        <v>3931</v>
      </c>
      <c r="V884" s="13" t="s">
        <v>42</v>
      </c>
      <c r="W884" s="13" t="s">
        <v>54</v>
      </c>
      <c r="X884" s="21" t="n">
        <v>83822736398</v>
      </c>
      <c r="Y884" s="22" t="str">
        <f aca="false">O884</f>
        <v>Enamel</v>
      </c>
      <c r="Z884" s="13" t="str">
        <f aca="false">IFERROR(__xludf.dummyfunction("if(BJ884="""","""",GOOGLETRANSLATE(BJ884,""auto"",""en""))"),"Enamel")</f>
        <v>Enamel</v>
      </c>
      <c r="AA884" s="23" t="str">
        <f aca="false">IF(C884="","", CHOOSE(MONTH(C884),"January","February","March","April","May","June","July","August","September","October","November","December")&amp;" "&amp;DAY(C884)&amp;MID("thstndrdth",MIN(9,2*RIGHT(DAY(C884))*(MOD(DAY(C884)-11,100)&gt;2)+1),2)&amp;","&amp;TEXT(C884," yyyy"))</f>
        <v>January 5th,2023</v>
      </c>
      <c r="AB884" s="15" t="str">
        <f aca="true">IF(S884="","",DATEDIF(S884,TODAY(),"Y")&amp;" Tahun, "&amp;DATEDIF(S884,TODAY(),"YM")&amp;" Bulan, "&amp;DATEDIF(S884,TODAY(),"MD")&amp;" Hari")</f>
        <v>30 Tahun, 8 Bulan, 3 Hari</v>
      </c>
      <c r="AC884" s="18" t="n">
        <v>45658</v>
      </c>
      <c r="AD884" s="18" t="n">
        <v>46022</v>
      </c>
      <c r="AE884" s="18" t="s">
        <v>44</v>
      </c>
    </row>
    <row r="885" customFormat="false" ht="15.75" hidden="false" customHeight="true" outlineLevel="0" collapsed="false">
      <c r="A885" s="12" t="n">
        <v>9553</v>
      </c>
      <c r="B885" s="13" t="s">
        <v>3932</v>
      </c>
      <c r="C885" s="14" t="n">
        <v>44914</v>
      </c>
      <c r="D885" s="13" t="s">
        <v>1066</v>
      </c>
      <c r="E885" s="15" t="s">
        <v>47</v>
      </c>
      <c r="F885" s="15" t="str">
        <f aca="false">IFERROR(__xludf.dummyfunction("XLOOKUP(AJ885,IMPORTRANGE(""1XaInW9DU9nz21V0tYIfzFQ0He9kVQ_JF2mCXgZ3hqFA"",""REKAP ALL 2026 - Andika!G:G""),IMPORTRANGE(""1XaInW9DU9nz21V0tYIfzFQ0He9kVQ_JF2mCXgZ3hqFA"",""REKAP ALL 2026 - Andika!F:F""),"""",0)"),"22154733079")</f>
        <v>22154733079</v>
      </c>
      <c r="G885" s="13" t="s">
        <v>3933</v>
      </c>
      <c r="H885" s="13" t="s">
        <v>35</v>
      </c>
      <c r="I885" s="13" t="str">
        <f aca="false">IF(C885=J885,"NEW KONTRAK","RE-KONTRAK")</f>
        <v>RE-KONTRAK</v>
      </c>
      <c r="J885" s="16" t="n">
        <f aca="false" t="array" ref="J885:J885">IFERROR(INDEX(AC885:AE885,IF(COUNTA(AC885:AE885)=0,"",MAX((AC885:AE885&lt;&gt;"")*(COLUMN(AC885:AE885)-(COLUMN(AC885)))))-1),"")</f>
        <v>45658</v>
      </c>
      <c r="K885" s="16" t="n">
        <f aca="false" t="array" ref="K885:K885">IFERROR(INDEX(AC885:AE885,IF(COUNTA(AC885:AE885)=0,"",MAX((AC885:AE885&lt;&gt;"")*(COLUMN(AC885:AE885)-(COLUMN(AC885)-1))))-1),"")</f>
        <v>46022</v>
      </c>
      <c r="L885" s="17" t="str">
        <f aca="false" t="array" ref="L885:L885">IFERROR(INDEX(AC885:AE885,IF(COUNTA(AC885:AE885)=0,"",MAX((AC885:AE885&lt;&gt;"")*(COLUMN(AC885:AE885)-(COLUMN(AC885)-2))))-1),"")</f>
        <v>ARCHIVED</v>
      </c>
      <c r="M885" s="13" t="n">
        <f aca="true">K885-TODAY()</f>
        <v>-302</v>
      </c>
      <c r="N885" s="18" t="s">
        <v>615</v>
      </c>
      <c r="O885" s="13" t="s">
        <v>1068</v>
      </c>
      <c r="P885" s="19" t="n">
        <v>5176101</v>
      </c>
      <c r="Q885" s="20" t="s">
        <v>3934</v>
      </c>
      <c r="R885" s="13" t="s">
        <v>232</v>
      </c>
      <c r="S885" s="14" t="n">
        <v>36637</v>
      </c>
      <c r="T885" s="13" t="s">
        <v>108</v>
      </c>
      <c r="U885" s="13" t="s">
        <v>3935</v>
      </c>
      <c r="V885" s="13" t="s">
        <v>42</v>
      </c>
      <c r="W885" s="13" t="s">
        <v>43</v>
      </c>
      <c r="X885" s="21" t="n">
        <v>85732796621</v>
      </c>
      <c r="Y885" s="22" t="str">
        <f aca="false">O885</f>
        <v>Production Packer</v>
      </c>
      <c r="Z885" s="13" t="str">
        <f aca="false">IFERROR(__xludf.dummyfunction("if(BJ885="""","""",GOOGLETRANSLATE(BJ885,""auto"",""en""))"),"Production Packer")</f>
        <v>Production Packer</v>
      </c>
      <c r="AA885" s="23" t="str">
        <f aca="false">IF(C885="","", CHOOSE(MONTH(C885),"January","February","March","April","May","June","July","August","September","October","November","December")&amp;" "&amp;DAY(C885)&amp;MID("thstndrdth",MIN(9,2*RIGHT(DAY(C885))*(MOD(DAY(C885)-11,100)&gt;2)+1),2)&amp;","&amp;TEXT(C885," yyyy"))</f>
        <v>December 19th,2022</v>
      </c>
      <c r="AB885" s="15" t="str">
        <f aca="true">IF(S885="","",DATEDIF(S885,TODAY(),"Y")&amp;" Tahun, "&amp;DATEDIF(S885,TODAY(),"YM")&amp;" Bulan, "&amp;DATEDIF(S885,TODAY(),"MD")&amp;" Hari")</f>
        <v>26 Tahun, 6 Bulan, 8 Hari</v>
      </c>
      <c r="AC885" s="18" t="n">
        <v>45658</v>
      </c>
      <c r="AD885" s="18" t="n">
        <v>46022</v>
      </c>
      <c r="AE885" s="18" t="s">
        <v>44</v>
      </c>
    </row>
    <row r="886" customFormat="false" ht="15.75" hidden="false" customHeight="true" outlineLevel="0" collapsed="false">
      <c r="A886" s="12" t="n">
        <v>9604</v>
      </c>
      <c r="B886" s="13" t="s">
        <v>3936</v>
      </c>
      <c r="C886" s="14" t="n">
        <v>44916</v>
      </c>
      <c r="D886" s="13" t="s">
        <v>393</v>
      </c>
      <c r="E886" s="15" t="s">
        <v>47</v>
      </c>
      <c r="F886" s="15" t="str">
        <f aca="false">IFERROR(__xludf.dummyfunction("XLOOKUP(AJ886,IMPORTRANGE(""1XaInW9DU9nz21V0tYIfzFQ0He9kVQ_JF2mCXgZ3hqFA"",""REKAP ALL 2026 - Andika!G:G""),IMPORTRANGE(""1XaInW9DU9nz21V0tYIfzFQ0He9kVQ_JF2mCXgZ3hqFA"",""REKAP ALL 2026 - Andika!F:F""),"""",0)"),"23006029468")</f>
        <v>23006029468</v>
      </c>
      <c r="G886" s="13" t="s">
        <v>3937</v>
      </c>
      <c r="H886" s="13" t="s">
        <v>35</v>
      </c>
      <c r="I886" s="13" t="str">
        <f aca="false">IF(C886=J886,"NEW KONTRAK","RE-KONTRAK")</f>
        <v>RE-KONTRAK</v>
      </c>
      <c r="J886" s="16" t="n">
        <f aca="false" t="array" ref="J886:J886">IFERROR(INDEX(AC886:AE886,IF(COUNTA(AC886:AE886)=0,"",MAX((AC886:AE886&lt;&gt;"")*(COLUMN(AC886:AE886)-(COLUMN(AC886)))))-1),"")</f>
        <v>45452</v>
      </c>
      <c r="K886" s="16" t="n">
        <f aca="false" t="array" ref="K886:K886">IFERROR(INDEX(AC886:AE886,IF(COUNTA(AC886:AE886)=0,"",MAX((AC886:AE886&lt;&gt;"")*(COLUMN(AC886:AE886)-(COLUMN(AC886)-1))))-1),"")</f>
        <v>46181</v>
      </c>
      <c r="L886" s="17" t="str">
        <f aca="false" t="array" ref="L886:L886">IFERROR(INDEX(AC886:AE886,IF(COUNTA(AC886:AE886)=0,"",MAX((AC886:AE886&lt;&gt;"")*(COLUMN(AC886:AE886)-(COLUMN(AC886)-2))))-1),"")</f>
        <v>KEMBALI</v>
      </c>
      <c r="M886" s="13" t="n">
        <f aca="true">K886-TODAY()</f>
        <v>-143</v>
      </c>
      <c r="N886" s="18" t="s">
        <v>105</v>
      </c>
      <c r="O886" s="13" t="s">
        <v>58</v>
      </c>
      <c r="P886" s="19" t="n">
        <v>5191541</v>
      </c>
      <c r="Q886" s="20" t="s">
        <v>3938</v>
      </c>
      <c r="R886" s="13" t="s">
        <v>39</v>
      </c>
      <c r="S886" s="14" t="n">
        <v>35823</v>
      </c>
      <c r="T886" s="13" t="s">
        <v>40</v>
      </c>
      <c r="U886" s="13" t="s">
        <v>3939</v>
      </c>
      <c r="V886" s="13" t="s">
        <v>42</v>
      </c>
      <c r="W886" s="13" t="s">
        <v>43</v>
      </c>
      <c r="X886" s="21" t="n">
        <v>81249771695</v>
      </c>
      <c r="Y886" s="22" t="str">
        <f aca="false">O886</f>
        <v>Produksi</v>
      </c>
      <c r="Z886" s="13" t="str">
        <f aca="false">IFERROR(__xludf.dummyfunction("if(BJ886="""","""",GOOGLETRANSLATE(BJ886,""auto"",""en""))"),"Production")</f>
        <v>Production</v>
      </c>
      <c r="AA886" s="23" t="str">
        <f aca="false">IF(C886="","", CHOOSE(MONTH(C886),"January","February","March","April","May","June","July","August","September","October","November","December")&amp;" "&amp;DAY(C886)&amp;MID("thstndrdth",MIN(9,2*RIGHT(DAY(C886))*(MOD(DAY(C886)-11,100)&gt;2)+1),2)&amp;","&amp;TEXT(C886," yyyy"))</f>
        <v>December 21st,2022</v>
      </c>
      <c r="AB886" s="15" t="str">
        <f aca="true">IF(S886="","",DATEDIF(S886,TODAY(),"Y")&amp;" Tahun, "&amp;DATEDIF(S886,TODAY(),"YM")&amp;" Bulan, "&amp;DATEDIF(S886,TODAY(),"MD")&amp;" Hari")</f>
        <v>28 Tahun, 9 Bulan, 1 Hari</v>
      </c>
      <c r="AC886" s="18" t="n">
        <v>45452</v>
      </c>
      <c r="AD886" s="18" t="n">
        <v>46181</v>
      </c>
      <c r="AE886" s="13" t="s">
        <v>397</v>
      </c>
    </row>
    <row r="887" customFormat="false" ht="15.75" hidden="false" customHeight="true" outlineLevel="0" collapsed="false">
      <c r="A887" s="12" t="n">
        <v>9606</v>
      </c>
      <c r="B887" s="13" t="s">
        <v>3940</v>
      </c>
      <c r="C887" s="14" t="n">
        <v>44916</v>
      </c>
      <c r="D887" s="13" t="s">
        <v>393</v>
      </c>
      <c r="E887" s="15" t="s">
        <v>47</v>
      </c>
      <c r="F887" s="15" t="str">
        <f aca="false">IFERROR(__xludf.dummyfunction("XLOOKUP(AJ887,IMPORTRANGE(""1XaInW9DU9nz21V0tYIfzFQ0He9kVQ_JF2mCXgZ3hqFA"",""REKAP ALL 2026 - Andika!G:G""),IMPORTRANGE(""1XaInW9DU9nz21V0tYIfzFQ0He9kVQ_JF2mCXgZ3hqFA"",""REKAP ALL 2026 - Andika!F:F""),"""",0)"),"18030443883")</f>
        <v>18030443883</v>
      </c>
      <c r="G887" s="13" t="s">
        <v>3941</v>
      </c>
      <c r="H887" s="13" t="s">
        <v>35</v>
      </c>
      <c r="I887" s="13" t="str">
        <f aca="false">IF(C887=J887,"NEW KONTRAK","RE-KONTRAK")</f>
        <v>RE-KONTRAK</v>
      </c>
      <c r="J887" s="16" t="n">
        <f aca="false" t="array" ref="J887:J887">IFERROR(INDEX(AC887:AE887,IF(COUNTA(AC887:AE887)=0,"",MAX((AC887:AE887&lt;&gt;"")*(COLUMN(AC887:AE887)-(COLUMN(AC887)))))-1),"")</f>
        <v>45452</v>
      </c>
      <c r="K887" s="16" t="n">
        <f aca="false" t="array" ref="K887:K887">IFERROR(INDEX(AC887:AE887,IF(COUNTA(AC887:AE887)=0,"",MAX((AC887:AE887&lt;&gt;"")*(COLUMN(AC887:AE887)-(COLUMN(AC887)-1))))-1),"")</f>
        <v>46181</v>
      </c>
      <c r="L887" s="17" t="str">
        <f aca="false" t="array" ref="L887:L887">IFERROR(INDEX(AC887:AE887,IF(COUNTA(AC887:AE887)=0,"",MAX((AC887:AE887&lt;&gt;"")*(COLUMN(AC887:AE887)-(COLUMN(AC887)-2))))-1),"")</f>
        <v>KEMBALI</v>
      </c>
      <c r="M887" s="13" t="n">
        <f aca="true">K887-TODAY()</f>
        <v>-143</v>
      </c>
      <c r="N887" s="18" t="s">
        <v>105</v>
      </c>
      <c r="O887" s="13" t="s">
        <v>58</v>
      </c>
      <c r="P887" s="19" t="n">
        <v>5191541</v>
      </c>
      <c r="Q887" s="20" t="s">
        <v>3942</v>
      </c>
      <c r="R887" s="13" t="s">
        <v>39</v>
      </c>
      <c r="S887" s="14" t="n">
        <v>35410</v>
      </c>
      <c r="T887" s="13" t="s">
        <v>40</v>
      </c>
      <c r="U887" s="13" t="s">
        <v>3943</v>
      </c>
      <c r="V887" s="13" t="s">
        <v>42</v>
      </c>
      <c r="W887" s="13" t="s">
        <v>43</v>
      </c>
      <c r="X887" s="21" t="n">
        <v>87777715998</v>
      </c>
      <c r="Y887" s="22" t="str">
        <f aca="false">O887</f>
        <v>Produksi</v>
      </c>
      <c r="Z887" s="13" t="str">
        <f aca="false">IFERROR(__xludf.dummyfunction("if(BJ887="""","""",GOOGLETRANSLATE(BJ887,""auto"",""en""))"),"Production")</f>
        <v>Production</v>
      </c>
      <c r="AA887" s="23" t="str">
        <f aca="false">IF(C887="","", CHOOSE(MONTH(C887),"January","February","March","April","May","June","July","August","September","October","November","December")&amp;" "&amp;DAY(C887)&amp;MID("thstndrdth",MIN(9,2*RIGHT(DAY(C887))*(MOD(DAY(C887)-11,100)&gt;2)+1),2)&amp;","&amp;TEXT(C887," yyyy"))</f>
        <v>December 21st,2022</v>
      </c>
      <c r="AB887" s="15" t="str">
        <f aca="true">IF(S887="","",DATEDIF(S887,TODAY(),"Y")&amp;" Tahun, "&amp;DATEDIF(S887,TODAY(),"YM")&amp;" Bulan, "&amp;DATEDIF(S887,TODAY(),"MD")&amp;" Hari")</f>
        <v>29 Tahun, 10 Bulan, 18 Hari</v>
      </c>
      <c r="AC887" s="18" t="n">
        <v>45452</v>
      </c>
      <c r="AD887" s="18" t="n">
        <v>46181</v>
      </c>
      <c r="AE887" s="13" t="s">
        <v>397</v>
      </c>
    </row>
    <row r="888" customFormat="false" ht="15.75" hidden="false" customHeight="true" outlineLevel="0" collapsed="false">
      <c r="A888" s="12" t="n">
        <v>9607</v>
      </c>
      <c r="B888" s="13" t="s">
        <v>3944</v>
      </c>
      <c r="C888" s="14" t="n">
        <v>44883</v>
      </c>
      <c r="D888" s="13" t="s">
        <v>3022</v>
      </c>
      <c r="E888" s="15" t="s">
        <v>102</v>
      </c>
      <c r="F888" s="24" t="s">
        <v>3945</v>
      </c>
      <c r="G888" s="13" t="s">
        <v>3946</v>
      </c>
      <c r="H888" s="13" t="s">
        <v>2967</v>
      </c>
      <c r="I888" s="13" t="str">
        <f aca="false">IF(C888=J888,"NEW KONTRAK","RE-KONTRAK")</f>
        <v>RE-KONTRAK</v>
      </c>
      <c r="J888" s="16" t="n">
        <f aca="false" t="array" ref="J888:J888">IFERROR(INDEX(AC888:AE888,IF(COUNTA(AC888:AE888)=0,"",MAX((AC888:AE888&lt;&gt;"")*(COLUMN(AC888:AE888)-(COLUMN(AC888)))))-1),"")</f>
        <v>45570</v>
      </c>
      <c r="K888" s="16" t="n">
        <f aca="false" t="array" ref="K888:K888">IFERROR(INDEX(AC888:AE888,IF(COUNTA(AC888:AE888)=0,"",MAX((AC888:AE888&lt;&gt;"")*(COLUMN(AC888:AE888)-(COLUMN(AC888)-1))))-1),"")</f>
        <v>45934</v>
      </c>
      <c r="L888" s="17" t="str">
        <f aca="false" t="array" ref="L888:L888">IFERROR(INDEX(AC888:AE888,IF(COUNTA(AC888:AE888)=0,"",MAX((AC888:AE888&lt;&gt;"")*(COLUMN(AC888:AE888)-(COLUMN(AC888)-2))))-1),"")</f>
        <v>ARCHIVED</v>
      </c>
      <c r="M888" s="13" t="n">
        <f aca="true">K888-TODAY()</f>
        <v>-390</v>
      </c>
      <c r="N888" s="18" t="s">
        <v>36</v>
      </c>
      <c r="O888" s="13" t="s">
        <v>3750</v>
      </c>
      <c r="P888" s="19" t="n">
        <v>160000</v>
      </c>
      <c r="Q888" s="20" t="s">
        <v>3947</v>
      </c>
      <c r="R888" s="13" t="s">
        <v>65</v>
      </c>
      <c r="S888" s="14" t="n">
        <v>38059</v>
      </c>
      <c r="T888" s="13" t="s">
        <v>40</v>
      </c>
      <c r="U888" s="13" t="s">
        <v>3948</v>
      </c>
      <c r="V888" s="13" t="s">
        <v>42</v>
      </c>
      <c r="W888" s="13" t="s">
        <v>43</v>
      </c>
      <c r="X888" s="21" t="n">
        <v>87880652951</v>
      </c>
      <c r="Y888" s="22" t="str">
        <f aca="false">O888</f>
        <v>Produksi ( Painting )</v>
      </c>
      <c r="Z888" s="13" t="str">
        <f aca="false">IFERROR(__xludf.dummyfunction("if(BJ888="""","""",GOOGLETRANSLATE(BJ888,""auto"",""en""))"),"Production (Painting)")</f>
        <v>Production (Painting)</v>
      </c>
      <c r="AA888" s="23" t="str">
        <f aca="false">IF(C888="","", CHOOSE(MONTH(C888),"January","February","March","April","May","June","July","August","September","October","November","December")&amp;" "&amp;DAY(C888)&amp;MID("thstndrdth",MIN(9,2*RIGHT(DAY(C888))*(MOD(DAY(C888)-11,100)&gt;2)+1),2)&amp;","&amp;TEXT(C888," yyyy"))</f>
        <v>November 18th,2022</v>
      </c>
      <c r="AB888" s="15" t="str">
        <f aca="true">IF(S888="","",DATEDIF(S888,TODAY(),"Y")&amp;" Tahun, "&amp;DATEDIF(S888,TODAY(),"YM")&amp;" Bulan, "&amp;DATEDIF(S888,TODAY(),"MD")&amp;" Hari")</f>
        <v>22 Tahun, 7 Bulan, 16 Hari</v>
      </c>
      <c r="AC888" s="18" t="n">
        <v>45570</v>
      </c>
      <c r="AD888" s="18" t="n">
        <v>45934</v>
      </c>
      <c r="AE888" s="18" t="s">
        <v>44</v>
      </c>
    </row>
    <row r="889" customFormat="false" ht="15.75" hidden="false" customHeight="true" outlineLevel="0" collapsed="false">
      <c r="A889" s="12" t="n">
        <v>9610</v>
      </c>
      <c r="B889" s="13" t="s">
        <v>3949</v>
      </c>
      <c r="C889" s="14" t="n">
        <v>44916</v>
      </c>
      <c r="D889" s="13" t="s">
        <v>774</v>
      </c>
      <c r="E889" s="15" t="s">
        <v>47</v>
      </c>
      <c r="F889" s="15" t="str">
        <f aca="false">IFERROR(__xludf.dummyfunction("XLOOKUP(AJ889,IMPORTRANGE(""1XaInW9DU9nz21V0tYIfzFQ0He9kVQ_JF2mCXgZ3hqFA"",""REKAP ALL 2026 - Andika!G:G""),IMPORTRANGE(""1XaInW9DU9nz21V0tYIfzFQ0He9kVQ_JF2mCXgZ3hqFA"",""REKAP ALL 2026 - Andika!F:F""),"""",0)"),"23172179873")</f>
        <v>23172179873</v>
      </c>
      <c r="G889" s="13" t="s">
        <v>3950</v>
      </c>
      <c r="H889" s="13" t="s">
        <v>2967</v>
      </c>
      <c r="I889" s="13" t="str">
        <f aca="false">IF(C889=J889,"NEW KONTRAK","RE-KONTRAK")</f>
        <v>RE-KONTRAK</v>
      </c>
      <c r="J889" s="16" t="n">
        <f aca="false" t="array" ref="J889:J889">IFERROR(INDEX(AC889:AE889,IF(COUNTA(AC889:AE889)=0,"",MAX((AC889:AE889&lt;&gt;"")*(COLUMN(AC889:AE889)-(COLUMN(AC889)))))-1),"")</f>
        <v>45570</v>
      </c>
      <c r="K889" s="16" t="n">
        <f aca="false" t="array" ref="K889:K889">IFERROR(INDEX(AC889:AE889,IF(COUNTA(AC889:AE889)=0,"",MAX((AC889:AE889&lt;&gt;"")*(COLUMN(AC889:AE889)-(COLUMN(AC889)-1))))-1),"")</f>
        <v>45934</v>
      </c>
      <c r="L889" s="17" t="str">
        <f aca="false" t="array" ref="L889:L889">IFERROR(INDEX(AC889:AE889,IF(COUNTA(AC889:AE889)=0,"",MAX((AC889:AE889&lt;&gt;"")*(COLUMN(AC889:AE889)-(COLUMN(AC889)-2))))-1),"")</f>
        <v>ARCHIVED</v>
      </c>
      <c r="M889" s="13" t="n">
        <f aca="true">K889-TODAY()</f>
        <v>-390</v>
      </c>
      <c r="N889" s="18" t="s">
        <v>36</v>
      </c>
      <c r="O889" s="13" t="s">
        <v>795</v>
      </c>
      <c r="P889" s="19" t="n">
        <v>3750000</v>
      </c>
      <c r="Q889" s="20" t="s">
        <v>3951</v>
      </c>
      <c r="R889" s="13" t="s">
        <v>65</v>
      </c>
      <c r="S889" s="14" t="n">
        <v>37056</v>
      </c>
      <c r="T889" s="13" t="s">
        <v>40</v>
      </c>
      <c r="U889" s="13" t="s">
        <v>3952</v>
      </c>
      <c r="V889" s="13" t="s">
        <v>42</v>
      </c>
      <c r="W889" s="13" t="s">
        <v>43</v>
      </c>
      <c r="X889" s="21" t="n">
        <v>85746688221</v>
      </c>
      <c r="Y889" s="22" t="str">
        <f aca="false">O889</f>
        <v>Painting</v>
      </c>
      <c r="Z889" s="13" t="str">
        <f aca="false">IFERROR(__xludf.dummyfunction("if(BJ889="""","""",GOOGLETRANSLATE(BJ889,""auto"",""en""))"),"Painting")</f>
        <v>Painting</v>
      </c>
      <c r="AA889" s="23" t="str">
        <f aca="false">IF(C889="","", CHOOSE(MONTH(C889),"January","February","March","April","May","June","July","August","September","October","November","December")&amp;" "&amp;DAY(C889)&amp;MID("thstndrdth",MIN(9,2*RIGHT(DAY(C889))*(MOD(DAY(C889)-11,100)&gt;2)+1),2)&amp;","&amp;TEXT(C889," yyyy"))</f>
        <v>December 21st,2022</v>
      </c>
      <c r="AB889" s="15" t="str">
        <f aca="true">IF(S889="","",DATEDIF(S889,TODAY(),"Y")&amp;" Tahun, "&amp;DATEDIF(S889,TODAY(),"YM")&amp;" Bulan, "&amp;DATEDIF(S889,TODAY(),"MD")&amp;" Hari")</f>
        <v>25 Tahun, 4 Bulan, 15 Hari</v>
      </c>
      <c r="AC889" s="18" t="n">
        <v>45570</v>
      </c>
      <c r="AD889" s="18" t="n">
        <v>45934</v>
      </c>
      <c r="AE889" s="18" t="s">
        <v>44</v>
      </c>
    </row>
    <row r="890" customFormat="false" ht="15.75" hidden="false" customHeight="true" outlineLevel="0" collapsed="false">
      <c r="A890" s="12" t="n">
        <v>9628</v>
      </c>
      <c r="B890" s="13" t="s">
        <v>3953</v>
      </c>
      <c r="C890" s="14" t="n">
        <v>44935</v>
      </c>
      <c r="D890" s="13" t="s">
        <v>2046</v>
      </c>
      <c r="E890" s="15" t="s">
        <v>102</v>
      </c>
      <c r="F890" s="15" t="str">
        <f aca="false">IFERROR(__xludf.dummyfunction("XLOOKUP(AJ890,IMPORTRANGE(""1XaInW9DU9nz21V0tYIfzFQ0He9kVQ_JF2mCXgZ3hqFA"",""REKAP ALL 2026 - Andika!G:G""),IMPORTRANGE(""1XaInW9DU9nz21V0tYIfzFQ0He9kVQ_JF2mCXgZ3hqFA"",""REKAP ALL 2026 - Andika!F:F""),"""",0)"),"26062995597")</f>
        <v>26062995597</v>
      </c>
      <c r="G890" s="13" t="s">
        <v>3954</v>
      </c>
      <c r="H890" s="13" t="s">
        <v>35</v>
      </c>
      <c r="I890" s="13" t="str">
        <f aca="false">IF(C890=J890,"NEW KONTRAK","RE-KONTRAK")</f>
        <v>RE-KONTRAK</v>
      </c>
      <c r="J890" s="16" t="n">
        <f aca="false" t="array" ref="J890:J890">IFERROR(INDEX(AC890:AE890,IF(COUNTA(AC890:AE890)=0,"",MAX((AC890:AE890&lt;&gt;"")*(COLUMN(AC890:AE890)-(COLUMN(AC890)))))-1),"")</f>
        <v>45839</v>
      </c>
      <c r="K890" s="16" t="n">
        <f aca="false" t="array" ref="K890:K890">IFERROR(INDEX(AC890:AE890,IF(COUNTA(AC890:AE890)=0,"",MAX((AC890:AE890&lt;&gt;"")*(COLUMN(AC890:AE890)-(COLUMN(AC890)-1))))-1),"")</f>
        <v>45961</v>
      </c>
      <c r="L890" s="17" t="str">
        <f aca="false" t="array" ref="L890:L890">IFERROR(INDEX(AC890:AE890,IF(COUNTA(AC890:AE890)=0,"",MAX((AC890:AE890&lt;&gt;"")*(COLUMN(AC890:AE890)-(COLUMN(AC890)-2))))-1),"")</f>
        <v>ARCHIVED</v>
      </c>
      <c r="M890" s="13" t="n">
        <f aca="true">K890-TODAY()</f>
        <v>-363</v>
      </c>
      <c r="N890" s="18" t="s">
        <v>36</v>
      </c>
      <c r="O890" s="13" t="s">
        <v>1773</v>
      </c>
      <c r="P890" s="19" t="s">
        <v>3133</v>
      </c>
      <c r="Q890" s="20" t="s">
        <v>3955</v>
      </c>
      <c r="R890" s="13" t="s">
        <v>65</v>
      </c>
      <c r="S890" s="14" t="n">
        <v>35529</v>
      </c>
      <c r="T890" s="13" t="s">
        <v>40</v>
      </c>
      <c r="U890" s="13" t="s">
        <v>3956</v>
      </c>
      <c r="V890" s="13" t="s">
        <v>42</v>
      </c>
      <c r="W890" s="13" t="s">
        <v>43</v>
      </c>
      <c r="X890" s="21" t="n">
        <v>89664126633</v>
      </c>
      <c r="Y890" s="22" t="str">
        <f aca="false">O890</f>
        <v>Warehouse</v>
      </c>
      <c r="Z890" s="13" t="str">
        <f aca="false">IFERROR(__xludf.dummyfunction("if(BJ890="""","""",GOOGLETRANSLATE(BJ890,""auto"",""en""))"),"Warehouse")</f>
        <v>Warehouse</v>
      </c>
      <c r="AA890" s="23" t="str">
        <f aca="false">IF(C890="","", CHOOSE(MONTH(C890),"January","February","March","April","May","June","July","August","September","October","November","December")&amp;" "&amp;DAY(C890)&amp;MID("thstndrdth",MIN(9,2*RIGHT(DAY(C890))*(MOD(DAY(C890)-11,100)&gt;2)+1),2)&amp;","&amp;TEXT(C890," yyyy"))</f>
        <v>January 9th,2023</v>
      </c>
      <c r="AB890" s="15" t="str">
        <f aca="true">IF(S890="","",DATEDIF(S890,TODAY(),"Y")&amp;" Tahun, "&amp;DATEDIF(S890,TODAY(),"YM")&amp;" Bulan, "&amp;DATEDIF(S890,TODAY(),"MD")&amp;" Hari")</f>
        <v>29 Tahun, 6 Bulan, 20 Hari</v>
      </c>
      <c r="AC890" s="18" t="n">
        <v>45839</v>
      </c>
      <c r="AD890" s="18" t="n">
        <v>45961</v>
      </c>
      <c r="AE890" s="18" t="s">
        <v>44</v>
      </c>
    </row>
    <row r="891" customFormat="false" ht="15.75" hidden="false" customHeight="true" outlineLevel="0" collapsed="false">
      <c r="A891" s="12" t="n">
        <v>9633</v>
      </c>
      <c r="B891" s="13" t="s">
        <v>3957</v>
      </c>
      <c r="C891" s="14" t="n">
        <v>44936</v>
      </c>
      <c r="D891" s="13" t="s">
        <v>2046</v>
      </c>
      <c r="E891" s="15" t="s">
        <v>102</v>
      </c>
      <c r="F891" s="15" t="str">
        <f aca="false">IFERROR(__xludf.dummyfunction("XLOOKUP(AJ891,IMPORTRANGE(""1XaInW9DU9nz21V0tYIfzFQ0He9kVQ_JF2mCXgZ3hqFA"",""REKAP ALL 2026 - Andika!G:G""),IMPORTRANGE(""1XaInW9DU9nz21V0tYIfzFQ0He9kVQ_JF2mCXgZ3hqFA"",""REKAP ALL 2026 - Andika!F:F""),"""",0)"),"23006033809")</f>
        <v>23006033809</v>
      </c>
      <c r="G891" s="13" t="s">
        <v>3958</v>
      </c>
      <c r="H891" s="13" t="s">
        <v>35</v>
      </c>
      <c r="I891" s="13" t="str">
        <f aca="false">IF(C891=J891,"NEW KONTRAK","RE-KONTRAK")</f>
        <v>RE-KONTRAK</v>
      </c>
      <c r="J891" s="16" t="n">
        <f aca="false" t="array" ref="J891:J891">IFERROR(INDEX(AC891:AE891,IF(COUNTA(AC891:AE891)=0,"",MAX((AC891:AE891&lt;&gt;"")*(COLUMN(AC891:AE891)-(COLUMN(AC891)))))-1),"")</f>
        <v>45839</v>
      </c>
      <c r="K891" s="16" t="n">
        <f aca="false" t="array" ref="K891:K891">IFERROR(INDEX(AC891:AE891,IF(COUNTA(AC891:AE891)=0,"",MAX((AC891:AE891&lt;&gt;"")*(COLUMN(AC891:AE891)-(COLUMN(AC891)-1))))-1),"")</f>
        <v>45961</v>
      </c>
      <c r="L891" s="17" t="str">
        <f aca="false" t="array" ref="L891:L891">IFERROR(INDEX(AC891:AE891,IF(COUNTA(AC891:AE891)=0,"",MAX((AC891:AE891&lt;&gt;"")*(COLUMN(AC891:AE891)-(COLUMN(AC891)-2))))-1),"")</f>
        <v>ARCHIVED</v>
      </c>
      <c r="M891" s="13" t="n">
        <f aca="true">K891-TODAY()</f>
        <v>-363</v>
      </c>
      <c r="N891" s="18" t="s">
        <v>36</v>
      </c>
      <c r="O891" s="13" t="s">
        <v>2055</v>
      </c>
      <c r="P891" s="19" t="s">
        <v>2050</v>
      </c>
      <c r="Q891" s="20" t="s">
        <v>3959</v>
      </c>
      <c r="R891" s="13" t="s">
        <v>52</v>
      </c>
      <c r="S891" s="14" t="n">
        <v>31851</v>
      </c>
      <c r="T891" s="13" t="s">
        <v>40</v>
      </c>
      <c r="U891" s="13" t="s">
        <v>3960</v>
      </c>
      <c r="V891" s="13" t="s">
        <v>42</v>
      </c>
      <c r="W891" s="13" t="s">
        <v>43</v>
      </c>
      <c r="X891" s="21" t="n">
        <v>895366495545</v>
      </c>
      <c r="Y891" s="22" t="str">
        <f aca="false">O891</f>
        <v>Assembly</v>
      </c>
      <c r="Z891" s="13" t="str">
        <f aca="false">IFERROR(__xludf.dummyfunction("if(BJ891="""","""",GOOGLETRANSLATE(BJ891,""auto"",""en""))"),"Assembly")</f>
        <v>Assembly</v>
      </c>
      <c r="AA891" s="23" t="str">
        <f aca="false">IF(C891="","", CHOOSE(MONTH(C891),"January","February","March","April","May","June","July","August","September","October","November","December")&amp;" "&amp;DAY(C891)&amp;MID("thstndrdth",MIN(9,2*RIGHT(DAY(C891))*(MOD(DAY(C891)-11,100)&gt;2)+1),2)&amp;","&amp;TEXT(C891," yyyy"))</f>
        <v>January 10th,2023</v>
      </c>
      <c r="AB891" s="15" t="str">
        <f aca="true">IF(S891="","",DATEDIF(S891,TODAY(),"Y")&amp;" Tahun, "&amp;DATEDIF(S891,TODAY(),"YM")&amp;" Bulan, "&amp;DATEDIF(S891,TODAY(),"MD")&amp;" Hari")</f>
        <v>39 Tahun, 7 Bulan, 14 Hari</v>
      </c>
      <c r="AC891" s="18" t="n">
        <v>45839</v>
      </c>
      <c r="AD891" s="18" t="n">
        <v>45961</v>
      </c>
      <c r="AE891" s="18" t="s">
        <v>44</v>
      </c>
    </row>
    <row r="892" customFormat="false" ht="15.75" hidden="false" customHeight="true" outlineLevel="0" collapsed="false">
      <c r="A892" s="12" t="n">
        <v>9636</v>
      </c>
      <c r="B892" s="13" t="s">
        <v>3961</v>
      </c>
      <c r="C892" s="14" t="n">
        <v>44936</v>
      </c>
      <c r="D892" s="13" t="s">
        <v>2046</v>
      </c>
      <c r="E892" s="15" t="s">
        <v>102</v>
      </c>
      <c r="F892" s="15" t="str">
        <f aca="false">IFERROR(__xludf.dummyfunction("XLOOKUP(AJ892,IMPORTRANGE(""1XaInW9DU9nz21V0tYIfzFQ0He9kVQ_JF2mCXgZ3hqFA"",""REKAP ALL 2026 - Andika!G:G""),IMPORTRANGE(""1XaInW9DU9nz21V0tYIfzFQ0He9kVQ_JF2mCXgZ3hqFA"",""REKAP ALL 2026 - Andika!F:F""),"""",0)"),"23006033643")</f>
        <v>23006033643</v>
      </c>
      <c r="G892" s="13" t="s">
        <v>3962</v>
      </c>
      <c r="H892" s="13" t="s">
        <v>35</v>
      </c>
      <c r="I892" s="13" t="str">
        <f aca="false">IF(C892=J892,"NEW KONTRAK","RE-KONTRAK")</f>
        <v>RE-KONTRAK</v>
      </c>
      <c r="J892" s="16" t="n">
        <f aca="false" t="array" ref="J892:J892">IFERROR(INDEX(AC892:AE892,IF(COUNTA(AC892:AE892)=0,"",MAX((AC892:AE892&lt;&gt;"")*(COLUMN(AC892:AE892)-(COLUMN(AC892)))))-1),"")</f>
        <v>45839</v>
      </c>
      <c r="K892" s="16" t="n">
        <f aca="false" t="array" ref="K892:K892">IFERROR(INDEX(AC892:AE892,IF(COUNTA(AC892:AE892)=0,"",MAX((AC892:AE892&lt;&gt;"")*(COLUMN(AC892:AE892)-(COLUMN(AC892)-1))))-1),"")</f>
        <v>45961</v>
      </c>
      <c r="L892" s="17" t="str">
        <f aca="false" t="array" ref="L892:L892">IFERROR(INDEX(AC892:AE892,IF(COUNTA(AC892:AE892)=0,"",MAX((AC892:AE892&lt;&gt;"")*(COLUMN(AC892:AE892)-(COLUMN(AC892)-2))))-1),"")</f>
        <v>ARCHIVED</v>
      </c>
      <c r="M892" s="13" t="n">
        <f aca="true">K892-TODAY()</f>
        <v>-363</v>
      </c>
      <c r="N892" s="18" t="s">
        <v>36</v>
      </c>
      <c r="O892" s="13" t="s">
        <v>2055</v>
      </c>
      <c r="P892" s="19" t="s">
        <v>2050</v>
      </c>
      <c r="Q892" s="20" t="s">
        <v>3963</v>
      </c>
      <c r="R892" s="13" t="s">
        <v>39</v>
      </c>
      <c r="S892" s="14" t="n">
        <v>37854</v>
      </c>
      <c r="T892" s="13" t="s">
        <v>40</v>
      </c>
      <c r="U892" s="13" t="s">
        <v>3964</v>
      </c>
      <c r="V892" s="13" t="s">
        <v>42</v>
      </c>
      <c r="W892" s="13" t="s">
        <v>43</v>
      </c>
      <c r="X892" s="21" t="n">
        <v>81235765060</v>
      </c>
      <c r="Y892" s="22" t="str">
        <f aca="false">O892</f>
        <v>Assembly</v>
      </c>
      <c r="Z892" s="13" t="str">
        <f aca="false">IFERROR(__xludf.dummyfunction("if(BJ892="""","""",GOOGLETRANSLATE(BJ892,""auto"",""en""))"),"Assembly")</f>
        <v>Assembly</v>
      </c>
      <c r="AA892" s="23" t="str">
        <f aca="false">IF(C892="","", CHOOSE(MONTH(C892),"January","February","March","April","May","June","July","August","September","October","November","December")&amp;" "&amp;DAY(C892)&amp;MID("thstndrdth",MIN(9,2*RIGHT(DAY(C892))*(MOD(DAY(C892)-11,100)&gt;2)+1),2)&amp;","&amp;TEXT(C892," yyyy"))</f>
        <v>January 10th,2023</v>
      </c>
      <c r="AB892" s="15" t="str">
        <f aca="true">IF(S892="","",DATEDIF(S892,TODAY(),"Y")&amp;" Tahun, "&amp;DATEDIF(S892,TODAY(),"YM")&amp;" Bulan, "&amp;DATEDIF(S892,TODAY(),"MD")&amp;" Hari")</f>
        <v>23 Tahun, 2 Bulan, 8 Hari</v>
      </c>
      <c r="AC892" s="18" t="n">
        <v>45839</v>
      </c>
      <c r="AD892" s="18" t="n">
        <v>45961</v>
      </c>
      <c r="AE892" s="18" t="s">
        <v>44</v>
      </c>
    </row>
    <row r="893" customFormat="false" ht="15.75" hidden="false" customHeight="true" outlineLevel="0" collapsed="false">
      <c r="A893" s="12" t="n">
        <v>9637</v>
      </c>
      <c r="B893" s="13" t="s">
        <v>3965</v>
      </c>
      <c r="C893" s="14" t="n">
        <v>44936</v>
      </c>
      <c r="D893" s="13" t="s">
        <v>2046</v>
      </c>
      <c r="E893" s="15" t="s">
        <v>789</v>
      </c>
      <c r="F893" s="24" t="s">
        <v>3966</v>
      </c>
      <c r="G893" s="13" t="s">
        <v>3967</v>
      </c>
      <c r="H893" s="13" t="s">
        <v>35</v>
      </c>
      <c r="I893" s="13" t="str">
        <f aca="false">IF(C893=J893,"NEW KONTRAK","RE-KONTRAK")</f>
        <v>RE-KONTRAK</v>
      </c>
      <c r="J893" s="16" t="n">
        <f aca="false" t="array" ref="J893:J893">IFERROR(INDEX(AC893:AE893,IF(COUNTA(AC893:AE893)=0,"",MAX((AC893:AE893&lt;&gt;"")*(COLUMN(AC893:AE893)-(COLUMN(AC893)))))-1),"")</f>
        <v>45839</v>
      </c>
      <c r="K893" s="16" t="n">
        <f aca="false" t="array" ref="K893:K893">IFERROR(INDEX(AC893:AE893,IF(COUNTA(AC893:AE893)=0,"",MAX((AC893:AE893&lt;&gt;"")*(COLUMN(AC893:AE893)-(COLUMN(AC893)-1))))-1),"")</f>
        <v>45961</v>
      </c>
      <c r="L893" s="17" t="str">
        <f aca="false" t="array" ref="L893:L893">IFERROR(INDEX(AC893:AE893,IF(COUNTA(AC893:AE893)=0,"",MAX((AC893:AE893&lt;&gt;"")*(COLUMN(AC893:AE893)-(COLUMN(AC893)-2))))-1),"")</f>
        <v>ARCHIVED</v>
      </c>
      <c r="M893" s="13" t="n">
        <f aca="true">K893-TODAY()</f>
        <v>-363</v>
      </c>
      <c r="N893" s="18" t="s">
        <v>36</v>
      </c>
      <c r="O893" s="13" t="s">
        <v>2049</v>
      </c>
      <c r="P893" s="19" t="s">
        <v>2050</v>
      </c>
      <c r="Q893" s="20" t="s">
        <v>3968</v>
      </c>
      <c r="R893" s="13" t="s">
        <v>232</v>
      </c>
      <c r="S893" s="14" t="n">
        <v>37939</v>
      </c>
      <c r="T893" s="13" t="s">
        <v>40</v>
      </c>
      <c r="U893" s="13" t="s">
        <v>3969</v>
      </c>
      <c r="V893" s="13" t="s">
        <v>42</v>
      </c>
      <c r="W893" s="13" t="s">
        <v>43</v>
      </c>
      <c r="X893" s="21" t="n">
        <v>87875401473</v>
      </c>
      <c r="Y893" s="22" t="str">
        <f aca="false">O893</f>
        <v>Produksi Extrude</v>
      </c>
      <c r="Z893" s="13" t="str">
        <f aca="false">IFERROR(__xludf.dummyfunction("if(BJ893="""","""",GOOGLETRANSLATE(BJ893,""auto"",""en""))"),"Extrude Production")</f>
        <v>Extrude Production</v>
      </c>
      <c r="AA893" s="23" t="str">
        <f aca="false">IF(C893="","", CHOOSE(MONTH(C893),"January","February","March","April","May","June","July","August","September","October","November","December")&amp;" "&amp;DAY(C893)&amp;MID("thstndrdth",MIN(9,2*RIGHT(DAY(C893))*(MOD(DAY(C893)-11,100)&gt;2)+1),2)&amp;","&amp;TEXT(C893," yyyy"))</f>
        <v>January 10th,2023</v>
      </c>
      <c r="AB893" s="15" t="str">
        <f aca="true">IF(S893="","",DATEDIF(S893,TODAY(),"Y")&amp;" Tahun, "&amp;DATEDIF(S893,TODAY(),"YM")&amp;" Bulan, "&amp;DATEDIF(S893,TODAY(),"MD")&amp;" Hari")</f>
        <v>22 Tahun, 11 Bulan, 15 Hari</v>
      </c>
      <c r="AC893" s="18" t="n">
        <v>45839</v>
      </c>
      <c r="AD893" s="18" t="n">
        <v>45961</v>
      </c>
      <c r="AE893" s="18" t="s">
        <v>44</v>
      </c>
    </row>
    <row r="894" customFormat="false" ht="15.75" hidden="false" customHeight="true" outlineLevel="0" collapsed="false">
      <c r="A894" s="12" t="n">
        <v>9652</v>
      </c>
      <c r="B894" s="13" t="s">
        <v>3970</v>
      </c>
      <c r="C894" s="14" t="n">
        <v>44915</v>
      </c>
      <c r="D894" s="13" t="s">
        <v>747</v>
      </c>
      <c r="E894" s="15" t="s">
        <v>47</v>
      </c>
      <c r="F894" s="15" t="str">
        <f aca="false">IFERROR(__xludf.dummyfunction("XLOOKUP(AJ894,IMPORTRANGE(""1XaInW9DU9nz21V0tYIfzFQ0He9kVQ_JF2mCXgZ3hqFA"",""REKAP ALL 2026 - Andika!G:G""),IMPORTRANGE(""1XaInW9DU9nz21V0tYIfzFQ0He9kVQ_JF2mCXgZ3hqFA"",""REKAP ALL 2026 - Andika!F:F""),"""",0)"),"23006029492")</f>
        <v>23006029492</v>
      </c>
      <c r="G894" s="13" t="s">
        <v>3971</v>
      </c>
      <c r="H894" s="13" t="s">
        <v>35</v>
      </c>
      <c r="I894" s="13" t="str">
        <f aca="false">IF(C894=J894,"NEW KONTRAK","RE-KONTRAK")</f>
        <v>RE-KONTRAK</v>
      </c>
      <c r="J894" s="16" t="n">
        <f aca="false" t="array" ref="J894:J894">IFERROR(INDEX(AC894:AE894,IF(COUNTA(AC894:AE894)=0,"",MAX((AC894:AE894&lt;&gt;"")*(COLUMN(AC894:AE894)-(COLUMN(AC894)))))-1),"")</f>
        <v>45658</v>
      </c>
      <c r="K894" s="16" t="n">
        <f aca="false" t="array" ref="K894:K894">IFERROR(INDEX(AC894:AE894,IF(COUNTA(AC894:AE894)=0,"",MAX((AC894:AE894&lt;&gt;"")*(COLUMN(AC894:AE894)-(COLUMN(AC894)-1))))-1),"")</f>
        <v>45747</v>
      </c>
      <c r="L894" s="17" t="str">
        <f aca="false" t="array" ref="L894:L894">IFERROR(INDEX(AC894:AE894,IF(COUNTA(AC894:AE894)=0,"",MAX((AC894:AE894&lt;&gt;"")*(COLUMN(AC894:AE894)-(COLUMN(AC894)-2))))-1),"")</f>
        <v>ARCHIVED</v>
      </c>
      <c r="M894" s="13" t="n">
        <f aca="true">K894-TODAY()</f>
        <v>-577</v>
      </c>
      <c r="N894" s="18" t="s">
        <v>749</v>
      </c>
      <c r="O894" s="13" t="s">
        <v>3271</v>
      </c>
      <c r="P894" s="19" t="n">
        <v>3724437.2</v>
      </c>
      <c r="Q894" s="20" t="s">
        <v>3972</v>
      </c>
      <c r="R894" s="13" t="s">
        <v>3973</v>
      </c>
      <c r="S894" s="14" t="n">
        <v>36383</v>
      </c>
      <c r="T894" s="13" t="s">
        <v>40</v>
      </c>
      <c r="U894" s="13" t="s">
        <v>3974</v>
      </c>
      <c r="V894" s="13" t="s">
        <v>42</v>
      </c>
      <c r="W894" s="13" t="s">
        <v>43</v>
      </c>
      <c r="X894" s="21" t="n">
        <v>82196941780</v>
      </c>
      <c r="Y894" s="22" t="str">
        <f aca="false">O894</f>
        <v>Helper</v>
      </c>
      <c r="Z894" s="13" t="str">
        <f aca="false">IFERROR(__xludf.dummyfunction("if(BJ894="""","""",GOOGLETRANSLATE(BJ894,""auto"",""en""))"),"Helper")</f>
        <v>Helper</v>
      </c>
      <c r="AA894" s="23" t="str">
        <f aca="false">IF(C894="","", CHOOSE(MONTH(C894),"January","February","March","April","May","June","July","August","September","October","November","December")&amp;" "&amp;DAY(C894)&amp;MID("thstndrdth",MIN(9,2*RIGHT(DAY(C894))*(MOD(DAY(C894)-11,100)&gt;2)+1),2)&amp;","&amp;TEXT(C894," yyyy"))</f>
        <v>December 20th,2022</v>
      </c>
      <c r="AB894" s="15" t="str">
        <f aca="true">IF(S894="","",DATEDIF(S894,TODAY(),"Y")&amp;" Tahun, "&amp;DATEDIF(S894,TODAY(),"YM")&amp;" Bulan, "&amp;DATEDIF(S894,TODAY(),"MD")&amp;" Hari")</f>
        <v>27 Tahun, 2 Bulan, 18 Hari</v>
      </c>
      <c r="AC894" s="18" t="n">
        <v>45658</v>
      </c>
      <c r="AD894" s="18" t="n">
        <v>45747</v>
      </c>
      <c r="AE894" s="18" t="s">
        <v>44</v>
      </c>
    </row>
    <row r="895" customFormat="false" ht="15.75" hidden="false" customHeight="true" outlineLevel="0" collapsed="false">
      <c r="A895" s="12" t="n">
        <v>9653</v>
      </c>
      <c r="B895" s="13" t="s">
        <v>3975</v>
      </c>
      <c r="C895" s="14" t="n">
        <v>44935</v>
      </c>
      <c r="D895" s="13" t="s">
        <v>3976</v>
      </c>
      <c r="E895" s="15" t="s">
        <v>789</v>
      </c>
      <c r="F895" s="15" t="str">
        <f aca="false">IFERROR(__xludf.dummyfunction("XLOOKUP(AJ895,IMPORTRANGE(""1XaInW9DU9nz21V0tYIfzFQ0He9kVQ_JF2mCXgZ3hqFA"",""REKAP ALL 2026 - Andika!G:G""),IMPORTRANGE(""1XaInW9DU9nz21V0tYIfzFQ0He9kVQ_JF2mCXgZ3hqFA"",""REKAP ALL 2026 - Andika!F:F""),"""",0)"),"24007210578")</f>
        <v>24007210578</v>
      </c>
      <c r="G895" s="15" t="s">
        <v>3977</v>
      </c>
      <c r="H895" s="13" t="s">
        <v>35</v>
      </c>
      <c r="I895" s="13" t="str">
        <f aca="false">IF(C895=J895,"NEW KONTRAK","RE-KONTRAK")</f>
        <v>RE-KONTRAK</v>
      </c>
      <c r="J895" s="16" t="n">
        <f aca="false" t="array" ref="J895:J895">IFERROR(INDEX(AC895:AE895,IF(COUNTA(AC895:AE895)=0,"",MAX((AC895:AE895&lt;&gt;"")*(COLUMN(AC895:AE895)-(COLUMN(AC895)))))-1),"")</f>
        <v>45658</v>
      </c>
      <c r="K895" s="16" t="n">
        <f aca="false" t="array" ref="K895:K895">IFERROR(INDEX(AC895:AE895,IF(COUNTA(AC895:AE895)=0,"",MAX((AC895:AE895&lt;&gt;"")*(COLUMN(AC895:AE895)-(COLUMN(AC895)-1))))-1),"")</f>
        <v>46022</v>
      </c>
      <c r="L895" s="17" t="str">
        <f aca="false" t="array" ref="L895:L895">IFERROR(INDEX(AC895:AE895,IF(COUNTA(AC895:AE895)=0,"",MAX((AC895:AE895&lt;&gt;"")*(COLUMN(AC895:AE895)-(COLUMN(AC895)-2))))-1),"")</f>
        <v>ARCHIVED</v>
      </c>
      <c r="M895" s="13" t="n">
        <f aca="true">K895-TODAY()</f>
        <v>-302</v>
      </c>
      <c r="N895" s="18" t="s">
        <v>105</v>
      </c>
      <c r="O895" s="13" t="s">
        <v>50</v>
      </c>
      <c r="P895" s="19" t="n">
        <v>5191541</v>
      </c>
      <c r="Q895" s="20" t="s">
        <v>3978</v>
      </c>
      <c r="R895" s="13" t="s">
        <v>232</v>
      </c>
      <c r="S895" s="14" t="n">
        <v>34051</v>
      </c>
      <c r="T895" s="13" t="s">
        <v>40</v>
      </c>
      <c r="U895" s="13" t="s">
        <v>3979</v>
      </c>
      <c r="V895" s="13" t="s">
        <v>42</v>
      </c>
      <c r="W895" s="13" t="s">
        <v>54</v>
      </c>
      <c r="X895" s="21" t="n">
        <v>85791444711</v>
      </c>
      <c r="Y895" s="22" t="str">
        <f aca="false">O895</f>
        <v>Driver</v>
      </c>
      <c r="Z895" s="13" t="str">
        <f aca="false">IFERROR(__xludf.dummyfunction("if(BJ895="""","""",GOOGLETRANSLATE(BJ895,""auto"",""en""))"),"Driver")</f>
        <v>Driver</v>
      </c>
      <c r="AA895" s="23" t="str">
        <f aca="false">IF(C895="","", CHOOSE(MONTH(C895),"January","February","March","April","May","June","July","August","September","October","November","December")&amp;" "&amp;DAY(C895)&amp;MID("thstndrdth",MIN(9,2*RIGHT(DAY(C895))*(MOD(DAY(C895)-11,100)&gt;2)+1),2)&amp;","&amp;TEXT(C895," yyyy"))</f>
        <v>January 9th,2023</v>
      </c>
      <c r="AB895" s="15" t="str">
        <f aca="true">IF(S895="","",DATEDIF(S895,TODAY(),"Y")&amp;" Tahun, "&amp;DATEDIF(S895,TODAY(),"YM")&amp;" Bulan, "&amp;DATEDIF(S895,TODAY(),"MD")&amp;" Hari")</f>
        <v>33 Tahun, 7 Bulan, 6 Hari</v>
      </c>
      <c r="AC895" s="18" t="n">
        <v>45658</v>
      </c>
      <c r="AD895" s="18" t="n">
        <v>46022</v>
      </c>
      <c r="AE895" s="18" t="s">
        <v>44</v>
      </c>
    </row>
    <row r="896" customFormat="false" ht="15.75" hidden="false" customHeight="true" outlineLevel="0" collapsed="false">
      <c r="A896" s="12" t="n">
        <v>9663</v>
      </c>
      <c r="B896" s="13" t="s">
        <v>3980</v>
      </c>
      <c r="C896" s="14" t="n">
        <v>44932</v>
      </c>
      <c r="D896" s="13" t="s">
        <v>144</v>
      </c>
      <c r="E896" s="15" t="s">
        <v>47</v>
      </c>
      <c r="F896" s="15" t="str">
        <f aca="false">IFERROR(__xludf.dummyfunction("XLOOKUP(AJ896,IMPORTRANGE(""1XaInW9DU9nz21V0tYIfzFQ0He9kVQ_JF2mCXgZ3hqFA"",""REKAP ALL 2026 - Andika!G:G""),IMPORTRANGE(""1XaInW9DU9nz21V0tYIfzFQ0He9kVQ_JF2mCXgZ3hqFA"",""REKAP ALL 2026 - Andika!F:F""),"""",0)"),"23006031852")</f>
        <v>23006031852</v>
      </c>
      <c r="G896" s="13" t="s">
        <v>3981</v>
      </c>
      <c r="H896" s="13" t="s">
        <v>35</v>
      </c>
      <c r="I896" s="13" t="str">
        <f aca="false">IF(C896=J896,"NEW KONTRAK","RE-KONTRAK")</f>
        <v>RE-KONTRAK</v>
      </c>
      <c r="J896" s="16" t="n">
        <f aca="false" t="array" ref="J896:J896">IFERROR(INDEX(AC896:AE896,IF(COUNTA(AC896:AE896)=0,"",MAX((AC896:AE896&lt;&gt;"")*(COLUMN(AC896:AE896)-(COLUMN(AC896)))))-1),"")</f>
        <v>45658</v>
      </c>
      <c r="K896" s="16" t="n">
        <f aca="false" t="array" ref="K896:K896">IFERROR(INDEX(AC896:AE896,IF(COUNTA(AC896:AE896)=0,"",MAX((AC896:AE896&lt;&gt;"")*(COLUMN(AC896:AE896)-(COLUMN(AC896)-1))))-1),"")</f>
        <v>46022</v>
      </c>
      <c r="L896" s="17" t="str">
        <f aca="false" t="array" ref="L896:L896">IFERROR(INDEX(AC896:AE896,IF(COUNTA(AC896:AE896)=0,"",MAX((AC896:AE896&lt;&gt;"")*(COLUMN(AC896:AE896)-(COLUMN(AC896)-2))))-1),"")</f>
        <v>ARCHIVED</v>
      </c>
      <c r="M896" s="13" t="n">
        <f aca="true">K896-TODAY()</f>
        <v>-302</v>
      </c>
      <c r="N896" s="18" t="s">
        <v>36</v>
      </c>
      <c r="O896" s="13" t="s">
        <v>211</v>
      </c>
      <c r="P896" s="19" t="n">
        <v>5195401</v>
      </c>
      <c r="Q896" s="20" t="s">
        <v>3982</v>
      </c>
      <c r="R896" s="13" t="s">
        <v>39</v>
      </c>
      <c r="S896" s="14" t="n">
        <v>33821</v>
      </c>
      <c r="T896" s="13" t="s">
        <v>40</v>
      </c>
      <c r="U896" s="13" t="s">
        <v>3983</v>
      </c>
      <c r="V896" s="13" t="s">
        <v>42</v>
      </c>
      <c r="W896" s="13" t="s">
        <v>54</v>
      </c>
      <c r="X896" s="21" t="n">
        <v>85811448520</v>
      </c>
      <c r="Y896" s="22" t="str">
        <f aca="false">O896</f>
        <v>FG Store</v>
      </c>
      <c r="Z896" s="13" t="str">
        <f aca="false">IFERROR(__xludf.dummyfunction("if(BJ896="""","""",GOOGLETRANSLATE(BJ896,""auto"",""en""))"),"FG Store")</f>
        <v>FG Store</v>
      </c>
      <c r="AA896" s="23" t="str">
        <f aca="false">IF(C896="","", CHOOSE(MONTH(C896),"January","February","March","April","May","June","July","August","September","October","November","December")&amp;" "&amp;DAY(C896)&amp;MID("thstndrdth",MIN(9,2*RIGHT(DAY(C896))*(MOD(DAY(C896)-11,100)&gt;2)+1),2)&amp;","&amp;TEXT(C896," yyyy"))</f>
        <v>January 6th,2023</v>
      </c>
      <c r="AB896" s="15" t="str">
        <f aca="true">IF(S896="","",DATEDIF(S896,TODAY(),"Y")&amp;" Tahun, "&amp;DATEDIF(S896,TODAY(),"YM")&amp;" Bulan, "&amp;DATEDIF(S896,TODAY(),"MD")&amp;" Hari")</f>
        <v>34 Tahun, 2 Bulan, 24 Hari</v>
      </c>
      <c r="AC896" s="18" t="n">
        <v>45658</v>
      </c>
      <c r="AD896" s="18" t="n">
        <v>46022</v>
      </c>
      <c r="AE896" s="18" t="s">
        <v>44</v>
      </c>
    </row>
    <row r="897" customFormat="false" ht="15.75" hidden="false" customHeight="true" outlineLevel="0" collapsed="false">
      <c r="A897" s="12" t="n">
        <v>9666</v>
      </c>
      <c r="B897" s="13" t="s">
        <v>3984</v>
      </c>
      <c r="C897" s="14" t="n">
        <v>44936</v>
      </c>
      <c r="D897" s="13" t="s">
        <v>404</v>
      </c>
      <c r="E897" s="15" t="s">
        <v>33</v>
      </c>
      <c r="F897" s="24" t="s">
        <v>3985</v>
      </c>
      <c r="G897" s="13" t="s">
        <v>3986</v>
      </c>
      <c r="H897" s="13" t="s">
        <v>35</v>
      </c>
      <c r="I897" s="13" t="str">
        <f aca="false">IF(C897=J897,"NEW KONTRAK","RE-KONTRAK")</f>
        <v>RE-KONTRAK</v>
      </c>
      <c r="J897" s="16" t="n">
        <f aca="false" t="array" ref="J897:J897">IFERROR(INDEX(AC897:AE897,IF(COUNTA(AC897:AE897)=0,"",MAX((AC897:AE897&lt;&gt;"")*(COLUMN(AC897:AE897)-(COLUMN(AC897)))))-1),"")</f>
        <v>45658</v>
      </c>
      <c r="K897" s="16" t="n">
        <f aca="false" t="array" ref="K897:K897">IFERROR(INDEX(AC897:AE897,IF(COUNTA(AC897:AE897)=0,"",MAX((AC897:AE897&lt;&gt;"")*(COLUMN(AC897:AE897)-(COLUMN(AC897)-1))))-1),"")</f>
        <v>46022</v>
      </c>
      <c r="L897" s="17" t="str">
        <f aca="false" t="array" ref="L897:L897">IFERROR(INDEX(AC897:AE897,IF(COUNTA(AC897:AE897)=0,"",MAX((AC897:AE897&lt;&gt;"")*(COLUMN(AC897:AE897)-(COLUMN(AC897)-2))))-1),"")</f>
        <v>ARCHIVED</v>
      </c>
      <c r="M897" s="13" t="n">
        <f aca="true">K897-TODAY()</f>
        <v>-302</v>
      </c>
      <c r="N897" s="18" t="s">
        <v>36</v>
      </c>
      <c r="O897" s="13" t="s">
        <v>406</v>
      </c>
      <c r="P897" s="27" t="n">
        <v>5195401</v>
      </c>
      <c r="Q897" s="20" t="s">
        <v>3987</v>
      </c>
      <c r="R897" s="13" t="s">
        <v>78</v>
      </c>
      <c r="S897" s="14" t="n">
        <v>36487</v>
      </c>
      <c r="T897" s="13" t="s">
        <v>40</v>
      </c>
      <c r="U897" s="13" t="s">
        <v>3988</v>
      </c>
      <c r="V897" s="13" t="s">
        <v>42</v>
      </c>
      <c r="W897" s="13" t="s">
        <v>43</v>
      </c>
      <c r="X897" s="21" t="n">
        <v>85932847344</v>
      </c>
      <c r="Y897" s="22" t="str">
        <f aca="false">O897</f>
        <v>Utility</v>
      </c>
      <c r="Z897" s="13" t="str">
        <f aca="false">IFERROR(__xludf.dummyfunction("if(BJ897="""","""",GOOGLETRANSLATE(BJ897,""auto"",""en""))"),"Utility")</f>
        <v>Utility</v>
      </c>
      <c r="AA897" s="23" t="str">
        <f aca="false">IF(C897="","", CHOOSE(MONTH(C897),"January","February","March","April","May","June","July","August","September","October","November","December")&amp;" "&amp;DAY(C897)&amp;MID("thstndrdth",MIN(9,2*RIGHT(DAY(C897))*(MOD(DAY(C897)-11,100)&gt;2)+1),2)&amp;","&amp;TEXT(C897," yyyy"))</f>
        <v>January 10th,2023</v>
      </c>
      <c r="AB897" s="15" t="str">
        <f aca="true">IF(S897="","",DATEDIF(S897,TODAY(),"Y")&amp;" Tahun, "&amp;DATEDIF(S897,TODAY(),"YM")&amp;" Bulan, "&amp;DATEDIF(S897,TODAY(),"MD")&amp;" Hari")</f>
        <v>26 Tahun, 11 Bulan, 6 Hari</v>
      </c>
      <c r="AC897" s="18" t="n">
        <v>45658</v>
      </c>
      <c r="AD897" s="18" t="n">
        <v>46022</v>
      </c>
      <c r="AE897" s="18" t="s">
        <v>44</v>
      </c>
    </row>
    <row r="898" customFormat="false" ht="15.75" hidden="false" customHeight="true" outlineLevel="0" collapsed="false">
      <c r="A898" s="12" t="n">
        <v>9674</v>
      </c>
      <c r="B898" s="13" t="s">
        <v>3989</v>
      </c>
      <c r="C898" s="14" t="n">
        <v>44939</v>
      </c>
      <c r="D898" s="13" t="s">
        <v>613</v>
      </c>
      <c r="E898" s="15" t="s">
        <v>47</v>
      </c>
      <c r="F898" s="15" t="str">
        <f aca="false">IFERROR(__xludf.dummyfunction("XLOOKUP(AJ898,IMPORTRANGE(""1XaInW9DU9nz21V0tYIfzFQ0He9kVQ_JF2mCXgZ3hqFA"",""REKAP ALL 2026 - Andika!G:G""),IMPORTRANGE(""1XaInW9DU9nz21V0tYIfzFQ0He9kVQ_JF2mCXgZ3hqFA"",""REKAP ALL 2026 - Andika!F:F""),"""",0)"),"26005755173")</f>
        <v>26005755173</v>
      </c>
      <c r="G898" s="13" t="s">
        <v>3990</v>
      </c>
      <c r="H898" s="13" t="s">
        <v>35</v>
      </c>
      <c r="I898" s="13" t="str">
        <f aca="false">IF(C898=J898,"NEW KONTRAK","RE-KONTRAK")</f>
        <v>RE-KONTRAK</v>
      </c>
      <c r="J898" s="16" t="n">
        <f aca="false" t="array" ref="J898:J898">IFERROR(INDEX(AC898:AE898,IF(COUNTA(AC898:AE898)=0,"",MAX((AC898:AE898&lt;&gt;"")*(COLUMN(AC898:AE898)-(COLUMN(AC898)))))-1),"")</f>
        <v>45885</v>
      </c>
      <c r="K898" s="16" t="n">
        <f aca="false" t="array" ref="K898:K898">IFERROR(INDEX(AC898:AE898,IF(COUNTA(AC898:AE898)=0,"",MAX((AC898:AE898&lt;&gt;"")*(COLUMN(AC898:AE898)-(COLUMN(AC898)-1))))-1),"")</f>
        <v>46068</v>
      </c>
      <c r="L898" s="17" t="str">
        <f aca="false" t="array" ref="L898:L898">IFERROR(INDEX(AC898:AE898,IF(COUNTA(AC898:AE898)=0,"",MAX((AC898:AE898&lt;&gt;"")*(COLUMN(AC898:AE898)-(COLUMN(AC898)-2))))-1),"")</f>
        <v>ARCHIVED</v>
      </c>
      <c r="M898" s="13" t="n">
        <f aca="true">K898-TODAY()</f>
        <v>-256</v>
      </c>
      <c r="N898" s="18" t="s">
        <v>615</v>
      </c>
      <c r="O898" s="13" t="s">
        <v>58</v>
      </c>
      <c r="P898" s="19" t="n">
        <v>5176101</v>
      </c>
      <c r="Q898" s="20" t="s">
        <v>3991</v>
      </c>
      <c r="R898" s="13" t="s">
        <v>232</v>
      </c>
      <c r="S898" s="14" t="n">
        <v>36317</v>
      </c>
      <c r="T898" s="13" t="s">
        <v>40</v>
      </c>
      <c r="U898" s="13" t="s">
        <v>3992</v>
      </c>
      <c r="V898" s="13" t="s">
        <v>42</v>
      </c>
      <c r="W898" s="13" t="s">
        <v>43</v>
      </c>
      <c r="X898" s="21" t="n">
        <v>87754713187</v>
      </c>
      <c r="Y898" s="22" t="str">
        <f aca="false">O898</f>
        <v>Produksi</v>
      </c>
      <c r="Z898" s="13" t="str">
        <f aca="false">IFERROR(__xludf.dummyfunction("if(BJ898="""","""",GOOGLETRANSLATE(BJ898,""auto"",""en""))"),"Production")</f>
        <v>Production</v>
      </c>
      <c r="AA898" s="23" t="str">
        <f aca="false">IF(C898="","", CHOOSE(MONTH(C898),"January","February","March","April","May","June","July","August","September","October","November","December")&amp;" "&amp;DAY(C898)&amp;MID("thstndrdth",MIN(9,2*RIGHT(DAY(C898))*(MOD(DAY(C898)-11,100)&gt;2)+1),2)&amp;","&amp;TEXT(C898," yyyy"))</f>
        <v>January 13th,2023</v>
      </c>
      <c r="AB898" s="15" t="str">
        <f aca="true">IF(S898="","",DATEDIF(S898,TODAY(),"Y")&amp;" Tahun, "&amp;DATEDIF(S898,TODAY(),"YM")&amp;" Bulan, "&amp;DATEDIF(S898,TODAY(),"MD")&amp;" Hari")</f>
        <v>27 Tahun, 4 Bulan, 23 Hari</v>
      </c>
      <c r="AC898" s="18" t="n">
        <v>45885</v>
      </c>
      <c r="AD898" s="18" t="n">
        <v>46068</v>
      </c>
      <c r="AE898" s="18" t="s">
        <v>44</v>
      </c>
    </row>
    <row r="899" customFormat="false" ht="15.75" hidden="false" customHeight="true" outlineLevel="0" collapsed="false">
      <c r="A899" s="12" t="n">
        <v>15648</v>
      </c>
      <c r="B899" s="13" t="s">
        <v>3993</v>
      </c>
      <c r="C899" s="14" t="n">
        <v>45446</v>
      </c>
      <c r="D899" s="13" t="s">
        <v>1721</v>
      </c>
      <c r="E899" s="15" t="s">
        <v>47</v>
      </c>
      <c r="F899" s="15" t="str">
        <f aca="false">IFERROR(__xludf.dummyfunction("XLOOKUP(AJ899,IMPORTRANGE(""1XaInW9DU9nz21V0tYIfzFQ0He9kVQ_JF2mCXgZ3hqFA"",""REKAP ALL 2026 - Andika!G:G""),IMPORTRANGE(""1XaInW9DU9nz21V0tYIfzFQ0He9kVQ_JF2mCXgZ3hqFA"",""REKAP ALL 2026 - Andika!F:F""),"""",0)"),"24091262717")</f>
        <v>24091262717</v>
      </c>
      <c r="G899" s="15" t="s">
        <v>3994</v>
      </c>
      <c r="H899" s="13" t="s">
        <v>35</v>
      </c>
      <c r="I899" s="13" t="str">
        <f aca="false">IF(C899=J899,"NEW KONTRAK","RE-KONTRAK")</f>
        <v>RE-KONTRAK</v>
      </c>
      <c r="J899" s="16" t="n">
        <f aca="false" t="array" ref="J899:J899">IFERROR(INDEX(AC899:AE899,IF(COUNTA(AC899:AE899)=0,"",MAX((AC899:AE899&lt;&gt;"")*(COLUMN(AC899:AE899)-(COLUMN(AC899)))))-1),"")</f>
        <v>45659</v>
      </c>
      <c r="K899" s="16" t="n">
        <f aca="false" t="array" ref="K899:K899">IFERROR(INDEX(AC899:AE899,IF(COUNTA(AC899:AE899)=0,"",MAX((AC899:AE899&lt;&gt;"")*(COLUMN(AC899:AE899)-(COLUMN(AC899)-1))))-1),"")</f>
        <v>46021</v>
      </c>
      <c r="L899" s="17" t="str">
        <f aca="false" t="array" ref="L899:L899">IFERROR(INDEX(AC899:AE899,IF(COUNTA(AC899:AE899)=0,"",MAX((AC899:AE899&lt;&gt;"")*(COLUMN(AC899:AE899)-(COLUMN(AC899)-2))))-1),"")</f>
        <v>KEMBALI</v>
      </c>
      <c r="M899" s="13" t="n">
        <f aca="true">K899-TODAY()</f>
        <v>-303</v>
      </c>
      <c r="N899" s="18" t="s">
        <v>728</v>
      </c>
      <c r="O899" s="13" t="s">
        <v>1914</v>
      </c>
      <c r="P899" s="19" t="n">
        <v>5444909</v>
      </c>
      <c r="Q899" s="20" t="s">
        <v>3995</v>
      </c>
      <c r="R899" s="13" t="s">
        <v>83</v>
      </c>
      <c r="S899" s="14" t="n">
        <v>37653</v>
      </c>
      <c r="T899" s="13" t="s">
        <v>108</v>
      </c>
      <c r="U899" s="13" t="s">
        <v>3996</v>
      </c>
      <c r="V899" s="13" t="s">
        <v>42</v>
      </c>
      <c r="W899" s="13" t="s">
        <v>43</v>
      </c>
      <c r="X899" s="21" t="n">
        <v>85855506854</v>
      </c>
      <c r="Y899" s="22" t="str">
        <f aca="false">O899</f>
        <v>Im Operator</v>
      </c>
      <c r="Z899" s="13" t="str">
        <f aca="false">IFERROR(__xludf.dummyfunction("if(BJ899="""","""",GOOGLETRANSLATE(BJ899,""auto"",""en""))"),"Im Operator")</f>
        <v>Im Operator</v>
      </c>
      <c r="AA899" s="23" t="str">
        <f aca="false">IF(C899="","", CHOOSE(MONTH(C899),"January","February","March","April","May","June","July","August","September","October","November","December")&amp;" "&amp;DAY(C899)&amp;MID("thstndrdth",MIN(9,2*RIGHT(DAY(C899))*(MOD(DAY(C899)-11,100)&gt;2)+1),2)&amp;","&amp;TEXT(C899," yyyy"))</f>
        <v>June 3rd,2024</v>
      </c>
      <c r="AB899" s="15" t="str">
        <f aca="true">IF(S899="","",DATEDIF(S899,TODAY(),"Y")&amp;" Tahun, "&amp;DATEDIF(S899,TODAY(),"YM")&amp;" Bulan, "&amp;DATEDIF(S899,TODAY(),"MD")&amp;" Hari")</f>
        <v>23 Tahun, 8 Bulan, 28 Hari</v>
      </c>
      <c r="AC899" s="18" t="n">
        <v>45659</v>
      </c>
      <c r="AD899" s="18" t="n">
        <v>46021</v>
      </c>
      <c r="AE899" s="13" t="s">
        <v>397</v>
      </c>
    </row>
    <row r="900" customFormat="false" ht="15.75" hidden="false" customHeight="true" outlineLevel="0" collapsed="false">
      <c r="A900" s="12" t="n">
        <v>9699</v>
      </c>
      <c r="B900" s="13" t="s">
        <v>3997</v>
      </c>
      <c r="C900" s="14" t="n">
        <v>44935</v>
      </c>
      <c r="D900" s="13" t="s">
        <v>1721</v>
      </c>
      <c r="E900" s="15" t="s">
        <v>33</v>
      </c>
      <c r="F900" s="24" t="s">
        <v>3998</v>
      </c>
      <c r="G900" s="13" t="s">
        <v>3999</v>
      </c>
      <c r="H900" s="13" t="s">
        <v>35</v>
      </c>
      <c r="I900" s="13" t="str">
        <f aca="false">IF(C900=J900,"NEW KONTRAK","RE-KONTRAK")</f>
        <v>RE-KONTRAK</v>
      </c>
      <c r="J900" s="16" t="n">
        <f aca="false" t="array" ref="J900:J900">IFERROR(INDEX(AC900:AE900,IF(COUNTA(AC900:AE900)=0,"",MAX((AC900:AE900&lt;&gt;"")*(COLUMN(AC900:AE900)-(COLUMN(AC900)))))-1),"")</f>
        <v>45659</v>
      </c>
      <c r="K900" s="16" t="n">
        <f aca="false" t="array" ref="K900:K900">IFERROR(INDEX(AC900:AE900,IF(COUNTA(AC900:AE900)=0,"",MAX((AC900:AE900&lt;&gt;"")*(COLUMN(AC900:AE900)-(COLUMN(AC900)-1))))-1),"")</f>
        <v>46015</v>
      </c>
      <c r="L900" s="17" t="str">
        <f aca="false" t="array" ref="L900:L900">IFERROR(INDEX(AC900:AE900,IF(COUNTA(AC900:AE900)=0,"",MAX((AC900:AE900&lt;&gt;"")*(COLUMN(AC900:AE900)-(COLUMN(AC900)-2))))-1),"")</f>
        <v>ARCHIVED</v>
      </c>
      <c r="M900" s="13" t="n">
        <f aca="true">K900-TODAY()</f>
        <v>-309</v>
      </c>
      <c r="N900" s="18" t="s">
        <v>728</v>
      </c>
      <c r="O900" s="13" t="s">
        <v>1749</v>
      </c>
      <c r="P900" s="19" t="n">
        <v>5444909</v>
      </c>
      <c r="Q900" s="20" t="s">
        <v>4000</v>
      </c>
      <c r="R900" s="13" t="s">
        <v>52</v>
      </c>
      <c r="S900" s="14" t="n">
        <v>32728</v>
      </c>
      <c r="T900" s="13" t="s">
        <v>108</v>
      </c>
      <c r="U900" s="13" t="s">
        <v>4001</v>
      </c>
      <c r="V900" s="13" t="s">
        <v>42</v>
      </c>
      <c r="W900" s="28" t="s">
        <v>54</v>
      </c>
      <c r="X900" s="21" t="n">
        <v>87840330174</v>
      </c>
      <c r="Y900" s="22" t="str">
        <f aca="false">O900</f>
        <v>BM Operator</v>
      </c>
      <c r="Z900" s="13" t="str">
        <f aca="false">IFERROR(__xludf.dummyfunction("if(BJ900="""","""",GOOGLETRANSLATE(BJ900,""auto"",""en""))"),"BM Operator")</f>
        <v>BM Operator</v>
      </c>
      <c r="AA900" s="23" t="str">
        <f aca="false">IF(C900="","", CHOOSE(MONTH(C900),"January","February","March","April","May","June","July","August","September","October","November","December")&amp;" "&amp;DAY(C900)&amp;MID("thstndrdth",MIN(9,2*RIGHT(DAY(C900))*(MOD(DAY(C900)-11,100)&gt;2)+1),2)&amp;","&amp;TEXT(C900," yyyy"))</f>
        <v>January 9th,2023</v>
      </c>
      <c r="AB900" s="15" t="str">
        <f aca="true">IF(S900="","",DATEDIF(S900,TODAY(),"Y")&amp;" Tahun, "&amp;DATEDIF(S900,TODAY(),"YM")&amp;" Bulan, "&amp;DATEDIF(S900,TODAY(),"MD")&amp;" Hari")</f>
        <v>37 Tahun, 2 Bulan, 21 Hari</v>
      </c>
      <c r="AC900" s="18" t="n">
        <v>45659</v>
      </c>
      <c r="AD900" s="18" t="n">
        <v>46015</v>
      </c>
      <c r="AE900" s="18" t="s">
        <v>44</v>
      </c>
    </row>
    <row r="901" customFormat="false" ht="15.75" hidden="false" customHeight="true" outlineLevel="0" collapsed="false">
      <c r="A901" s="12" t="n">
        <v>9795</v>
      </c>
      <c r="B901" s="13" t="s">
        <v>4002</v>
      </c>
      <c r="C901" s="14" t="n">
        <v>44942</v>
      </c>
      <c r="D901" s="13" t="s">
        <v>144</v>
      </c>
      <c r="E901" s="15" t="s">
        <v>47</v>
      </c>
      <c r="F901" s="15" t="str">
        <f aca="false">IFERROR(__xludf.dummyfunction("XLOOKUP(AJ901,IMPORTRANGE(""1XaInW9DU9nz21V0tYIfzFQ0He9kVQ_JF2mCXgZ3hqFA"",""REKAP ALL 2026 - Andika!G:G""),IMPORTRANGE(""1XaInW9DU9nz21V0tYIfzFQ0He9kVQ_JF2mCXgZ3hqFA"",""REKAP ALL 2026 - Andika!F:F""),"""",0)"),"23019102054")</f>
        <v>23019102054</v>
      </c>
      <c r="G901" s="13" t="s">
        <v>4003</v>
      </c>
      <c r="H901" s="13" t="s">
        <v>35</v>
      </c>
      <c r="I901" s="13" t="str">
        <f aca="false">IF(C901=J901,"NEW KONTRAK","RE-KONTRAK")</f>
        <v>RE-KONTRAK</v>
      </c>
      <c r="J901" s="16" t="n">
        <f aca="false" t="array" ref="J901:J901">IFERROR(INDEX(AC901:AE901,IF(COUNTA(AC901:AE901)=0,"",MAX((AC901:AE901&lt;&gt;"")*(COLUMN(AC901:AE901)-(COLUMN(AC901)))))-1),"")</f>
        <v>45658</v>
      </c>
      <c r="K901" s="16" t="n">
        <f aca="false" t="array" ref="K901:K901">IFERROR(INDEX(AC901:AE901,IF(COUNTA(AC901:AE901)=0,"",MAX((AC901:AE901&lt;&gt;"")*(COLUMN(AC901:AE901)-(COLUMN(AC901)-1))))-1),"")</f>
        <v>46022</v>
      </c>
      <c r="L901" s="17" t="str">
        <f aca="false" t="array" ref="L901:L901">IFERROR(INDEX(AC901:AE901,IF(COUNTA(AC901:AE901)=0,"",MAX((AC901:AE901&lt;&gt;"")*(COLUMN(AC901:AE901)-(COLUMN(AC901)-2))))-1),"")</f>
        <v>ARCHIVED</v>
      </c>
      <c r="M901" s="13" t="n">
        <f aca="true">K901-TODAY()</f>
        <v>-302</v>
      </c>
      <c r="N901" s="18" t="s">
        <v>36</v>
      </c>
      <c r="O901" s="13" t="s">
        <v>146</v>
      </c>
      <c r="P901" s="19" t="n">
        <v>5195401</v>
      </c>
      <c r="Q901" s="20" t="s">
        <v>4004</v>
      </c>
      <c r="R901" s="13" t="s">
        <v>168</v>
      </c>
      <c r="S901" s="14" t="n">
        <v>37626</v>
      </c>
      <c r="T901" s="13" t="s">
        <v>40</v>
      </c>
      <c r="U901" s="13" t="s">
        <v>4005</v>
      </c>
      <c r="V901" s="13" t="s">
        <v>42</v>
      </c>
      <c r="W901" s="13" t="s">
        <v>43</v>
      </c>
      <c r="X901" s="21" t="n">
        <v>85815638093</v>
      </c>
      <c r="Y901" s="22" t="str">
        <f aca="false">O901</f>
        <v>Enamel</v>
      </c>
      <c r="Z901" s="13" t="str">
        <f aca="false">IFERROR(__xludf.dummyfunction("if(BJ901="""","""",GOOGLETRANSLATE(BJ901,""auto"",""en""))"),"Enamel")</f>
        <v>Enamel</v>
      </c>
      <c r="AA901" s="23" t="str">
        <f aca="false">IF(C901="","", CHOOSE(MONTH(C901),"January","February","March","April","May","June","July","August","September","October","November","December")&amp;" "&amp;DAY(C901)&amp;MID("thstndrdth",MIN(9,2*RIGHT(DAY(C901))*(MOD(DAY(C901)-11,100)&gt;2)+1),2)&amp;","&amp;TEXT(C901," yyyy"))</f>
        <v>January 16th,2023</v>
      </c>
      <c r="AB901" s="15" t="str">
        <f aca="true">IF(S901="","",DATEDIF(S901,TODAY(),"Y")&amp;" Tahun, "&amp;DATEDIF(S901,TODAY(),"YM")&amp;" Bulan, "&amp;DATEDIF(S901,TODAY(),"MD")&amp;" Hari")</f>
        <v>23 Tahun, 9 Bulan, 24 Hari</v>
      </c>
      <c r="AC901" s="18" t="n">
        <v>45658</v>
      </c>
      <c r="AD901" s="18" t="n">
        <v>46022</v>
      </c>
      <c r="AE901" s="18" t="s">
        <v>44</v>
      </c>
    </row>
    <row r="902" customFormat="false" ht="15.75" hidden="false" customHeight="true" outlineLevel="0" collapsed="false">
      <c r="A902" s="12" t="n">
        <v>9798</v>
      </c>
      <c r="B902" s="13" t="s">
        <v>4006</v>
      </c>
      <c r="C902" s="14" t="n">
        <v>44942</v>
      </c>
      <c r="D902" s="13" t="s">
        <v>144</v>
      </c>
      <c r="E902" s="15" t="s">
        <v>47</v>
      </c>
      <c r="F902" s="15" t="str">
        <f aca="false">IFERROR(__xludf.dummyfunction("XLOOKUP(AJ902,IMPORTRANGE(""1XaInW9DU9nz21V0tYIfzFQ0He9kVQ_JF2mCXgZ3hqFA"",""REKAP ALL 2026 - Andika!G:G""),IMPORTRANGE(""1XaInW9DU9nz21V0tYIfzFQ0He9kVQ_JF2mCXgZ3hqFA"",""REKAP ALL 2026 - Andika!F:F""),"""",0)"),"23019101866")</f>
        <v>23019101866</v>
      </c>
      <c r="G902" s="13" t="s">
        <v>4007</v>
      </c>
      <c r="H902" s="13" t="s">
        <v>35</v>
      </c>
      <c r="I902" s="13" t="str">
        <f aca="false">IF(C902=J902,"NEW KONTRAK","RE-KONTRAK")</f>
        <v>RE-KONTRAK</v>
      </c>
      <c r="J902" s="16" t="n">
        <f aca="false" t="array" ref="J902:J902">IFERROR(INDEX(AC902:AE902,IF(COUNTA(AC902:AE902)=0,"",MAX((AC902:AE902&lt;&gt;"")*(COLUMN(AC902:AE902)-(COLUMN(AC902)))))-1),"")</f>
        <v>45658</v>
      </c>
      <c r="K902" s="16" t="n">
        <f aca="false" t="array" ref="K902:K902">IFERROR(INDEX(AC902:AE902,IF(COUNTA(AC902:AE902)=0,"",MAX((AC902:AE902&lt;&gt;"")*(COLUMN(AC902:AE902)-(COLUMN(AC902)-1))))-1),"")</f>
        <v>46022</v>
      </c>
      <c r="L902" s="17" t="str">
        <f aca="false" t="array" ref="L902:L902">IFERROR(INDEX(AC902:AE902,IF(COUNTA(AC902:AE902)=0,"",MAX((AC902:AE902&lt;&gt;"")*(COLUMN(AC902:AE902)-(COLUMN(AC902)-2))))-1),"")</f>
        <v>ARCHIVED</v>
      </c>
      <c r="M902" s="13" t="n">
        <f aca="true">K902-TODAY()</f>
        <v>-302</v>
      </c>
      <c r="N902" s="18" t="s">
        <v>36</v>
      </c>
      <c r="O902" s="13" t="s">
        <v>211</v>
      </c>
      <c r="P902" s="19" t="n">
        <v>5195401</v>
      </c>
      <c r="Q902" s="20" t="s">
        <v>4008</v>
      </c>
      <c r="R902" s="13" t="s">
        <v>148</v>
      </c>
      <c r="S902" s="14" t="n">
        <v>36097</v>
      </c>
      <c r="T902" s="13" t="s">
        <v>40</v>
      </c>
      <c r="U902" s="13" t="s">
        <v>4009</v>
      </c>
      <c r="V902" s="13" t="s">
        <v>42</v>
      </c>
      <c r="W902" s="13" t="s">
        <v>43</v>
      </c>
      <c r="X902" s="21" t="n">
        <v>87755539503</v>
      </c>
      <c r="Y902" s="22" t="str">
        <f aca="false">O902</f>
        <v>FG Store</v>
      </c>
      <c r="Z902" s="13" t="str">
        <f aca="false">IFERROR(__xludf.dummyfunction("if(BJ902="""","""",GOOGLETRANSLATE(BJ902,""auto"",""en""))"),"FG Store")</f>
        <v>FG Store</v>
      </c>
      <c r="AA902" s="23" t="str">
        <f aca="false">IF(C902="","", CHOOSE(MONTH(C902),"January","February","March","April","May","June","July","August","September","October","November","December")&amp;" "&amp;DAY(C902)&amp;MID("thstndrdth",MIN(9,2*RIGHT(DAY(C902))*(MOD(DAY(C902)-11,100)&gt;2)+1),2)&amp;","&amp;TEXT(C902," yyyy"))</f>
        <v>January 16th,2023</v>
      </c>
      <c r="AB902" s="15" t="str">
        <f aca="true">IF(S902="","",DATEDIF(S902,TODAY(),"Y")&amp;" Tahun, "&amp;DATEDIF(S902,TODAY(),"YM")&amp;" Bulan, "&amp;DATEDIF(S902,TODAY(),"MD")&amp;" Hari")</f>
        <v>28 Tahun, 0 Bulan, 0 Hari</v>
      </c>
      <c r="AC902" s="18" t="n">
        <v>45658</v>
      </c>
      <c r="AD902" s="18" t="n">
        <v>46022</v>
      </c>
      <c r="AE902" s="18" t="s">
        <v>44</v>
      </c>
    </row>
    <row r="903" customFormat="false" ht="15.75" hidden="false" customHeight="true" outlineLevel="0" collapsed="false">
      <c r="A903" s="12" t="n">
        <v>9805</v>
      </c>
      <c r="B903" s="13" t="s">
        <v>4010</v>
      </c>
      <c r="C903" s="14" t="n">
        <v>44946</v>
      </c>
      <c r="D903" s="13" t="s">
        <v>1066</v>
      </c>
      <c r="E903" s="15" t="s">
        <v>47</v>
      </c>
      <c r="F903" s="15" t="str">
        <f aca="false">IFERROR(__xludf.dummyfunction("XLOOKUP(AJ903,IMPORTRANGE(""1XaInW9DU9nz21V0tYIfzFQ0He9kVQ_JF2mCXgZ3hqFA"",""REKAP ALL 2026 - Andika!G:G""),IMPORTRANGE(""1XaInW9DU9nz21V0tYIfzFQ0He9kVQ_JF2mCXgZ3hqFA"",""REKAP ALL 2026 - Andika!F:F""),"""",0)"),"23019107715")</f>
        <v>23019107715</v>
      </c>
      <c r="G903" s="13" t="s">
        <v>4011</v>
      </c>
      <c r="H903" s="13" t="s">
        <v>35</v>
      </c>
      <c r="I903" s="13" t="str">
        <f aca="false">IF(C903=J903,"NEW KONTRAK","RE-KONTRAK")</f>
        <v>RE-KONTRAK</v>
      </c>
      <c r="J903" s="16" t="n">
        <f aca="false" t="array" ref="J903:J903">IFERROR(INDEX(AC903:AE903,IF(COUNTA(AC903:AE903)=0,"",MAX((AC903:AE903&lt;&gt;"")*(COLUMN(AC903:AE903)-(COLUMN(AC903)))))-1),"")</f>
        <v>45658</v>
      </c>
      <c r="K903" s="16" t="n">
        <f aca="false" t="array" ref="K903:K903">IFERROR(INDEX(AC903:AE903,IF(COUNTA(AC903:AE903)=0,"",MAX((AC903:AE903&lt;&gt;"")*(COLUMN(AC903:AE903)-(COLUMN(AC903)-1))))-1),"")</f>
        <v>46022</v>
      </c>
      <c r="L903" s="17" t="str">
        <f aca="false" t="array" ref="L903:L903">IFERROR(INDEX(AC903:AE903,IF(COUNTA(AC903:AE903)=0,"",MAX((AC903:AE903&lt;&gt;"")*(COLUMN(AC903:AE903)-(COLUMN(AC903)-2))))-1),"")</f>
        <v>ARCHIVED</v>
      </c>
      <c r="M903" s="13" t="n">
        <f aca="true">K903-TODAY()</f>
        <v>-302</v>
      </c>
      <c r="N903" s="18" t="s">
        <v>615</v>
      </c>
      <c r="O903" s="13" t="s">
        <v>1068</v>
      </c>
      <c r="P903" s="19" t="n">
        <v>5176101</v>
      </c>
      <c r="Q903" s="20" t="s">
        <v>4012</v>
      </c>
      <c r="R903" s="13" t="s">
        <v>78</v>
      </c>
      <c r="S903" s="14" t="n">
        <v>37825</v>
      </c>
      <c r="T903" s="13" t="s">
        <v>40</v>
      </c>
      <c r="U903" s="13" t="s">
        <v>4013</v>
      </c>
      <c r="V903" s="13" t="s">
        <v>42</v>
      </c>
      <c r="W903" s="13" t="s">
        <v>43</v>
      </c>
      <c r="X903" s="21" t="n">
        <v>85790800130</v>
      </c>
      <c r="Y903" s="22" t="str">
        <f aca="false">O903</f>
        <v>Production Packer</v>
      </c>
      <c r="Z903" s="13" t="str">
        <f aca="false">IFERROR(__xludf.dummyfunction("if(BJ903="""","""",GOOGLETRANSLATE(BJ903,""auto"",""en""))"),"Production Packer")</f>
        <v>Production Packer</v>
      </c>
      <c r="AA903" s="23" t="str">
        <f aca="false">IF(C903="","", CHOOSE(MONTH(C903),"January","February","March","April","May","June","July","August","September","October","November","December")&amp;" "&amp;DAY(C903)&amp;MID("thstndrdth",MIN(9,2*RIGHT(DAY(C903))*(MOD(DAY(C903)-11,100)&gt;2)+1),2)&amp;","&amp;TEXT(C903," yyyy"))</f>
        <v>January 20th,2023</v>
      </c>
      <c r="AB903" s="15" t="str">
        <f aca="true">IF(S903="","",DATEDIF(S903,TODAY(),"Y")&amp;" Tahun, "&amp;DATEDIF(S903,TODAY(),"YM")&amp;" Bulan, "&amp;DATEDIF(S903,TODAY(),"MD")&amp;" Hari")</f>
        <v>23 Tahun, 3 Bulan, 6 Hari</v>
      </c>
      <c r="AC903" s="18" t="n">
        <v>45658</v>
      </c>
      <c r="AD903" s="18" t="n">
        <v>46022</v>
      </c>
      <c r="AE903" s="18" t="s">
        <v>44</v>
      </c>
    </row>
    <row r="904" customFormat="false" ht="15.75" hidden="false" customHeight="true" outlineLevel="0" collapsed="false">
      <c r="A904" s="12" t="n">
        <v>9806</v>
      </c>
      <c r="B904" s="13" t="s">
        <v>4014</v>
      </c>
      <c r="C904" s="14" t="n">
        <v>44942</v>
      </c>
      <c r="D904" s="13" t="s">
        <v>774</v>
      </c>
      <c r="E904" s="15" t="s">
        <v>47</v>
      </c>
      <c r="F904" s="15" t="str">
        <f aca="false">IFERROR(__xludf.dummyfunction("XLOOKUP(AJ904,IMPORTRANGE(""1XaInW9DU9nz21V0tYIfzFQ0He9kVQ_JF2mCXgZ3hqFA"",""REKAP ALL 2026 - Andika!G:G""),IMPORTRANGE(""1XaInW9DU9nz21V0tYIfzFQ0He9kVQ_JF2mCXgZ3hqFA"",""REKAP ALL 2026 - Andika!F:F""),"""",0)"),"23019106428")</f>
        <v>23019106428</v>
      </c>
      <c r="G904" s="13" t="s">
        <v>4015</v>
      </c>
      <c r="H904" s="13" t="s">
        <v>49</v>
      </c>
      <c r="I904" s="13" t="str">
        <f aca="false">IF(C904=J904,"NEW KONTRAK","RE-KONTRAK")</f>
        <v>RE-KONTRAK</v>
      </c>
      <c r="J904" s="16" t="n">
        <f aca="false" t="array" ref="J904:J904">IFERROR(INDEX(AC904:AE904,IF(COUNTA(AC904:AE904)=0,"",MAX((AC904:AE904&lt;&gt;"")*(COLUMN(AC904:AE904)-(COLUMN(AC904)))))-1),"")</f>
        <v>45566</v>
      </c>
      <c r="K904" s="16" t="n">
        <f aca="false" t="array" ref="K904:K904">IFERROR(INDEX(AC904:AE904,IF(COUNTA(AC904:AE904)=0,"",MAX((AC904:AE904&lt;&gt;"")*(COLUMN(AC904:AE904)-(COLUMN(AC904)-1))))-1),"")</f>
        <v>45930</v>
      </c>
      <c r="L904" s="17" t="str">
        <f aca="false" t="array" ref="L904:L904">IFERROR(INDEX(AC904:AE904,IF(COUNTA(AC904:AE904)=0,"",MAX((AC904:AE904&lt;&gt;"")*(COLUMN(AC904:AE904)-(COLUMN(AC904)-2))))-1),"")</f>
        <v>ARCHIVED</v>
      </c>
      <c r="M904" s="13" t="n">
        <f aca="true">K904-TODAY()</f>
        <v>-394</v>
      </c>
      <c r="N904" s="18" t="s">
        <v>36</v>
      </c>
      <c r="O904" s="13" t="s">
        <v>624</v>
      </c>
      <c r="P904" s="19" t="n">
        <v>5195500</v>
      </c>
      <c r="Q904" s="20" t="s">
        <v>4016</v>
      </c>
      <c r="R904" s="13" t="s">
        <v>52</v>
      </c>
      <c r="S904" s="14" t="n">
        <v>34575</v>
      </c>
      <c r="T904" s="13" t="s">
        <v>40</v>
      </c>
      <c r="U904" s="13" t="s">
        <v>4017</v>
      </c>
      <c r="V904" s="13" t="s">
        <v>42</v>
      </c>
      <c r="W904" s="13" t="s">
        <v>43</v>
      </c>
      <c r="X904" s="21" t="n">
        <v>89503920198</v>
      </c>
      <c r="Y904" s="22" t="str">
        <f aca="false">O904</f>
        <v>Quality Control</v>
      </c>
      <c r="Z904" s="13" t="str">
        <f aca="false">IFERROR(__xludf.dummyfunction("if(BJ904="""","""",GOOGLETRANSLATE(BJ904,""auto"",""en""))"),"Quality Control")</f>
        <v>Quality Control</v>
      </c>
      <c r="AA904" s="23" t="str">
        <f aca="false">IF(C904="","", CHOOSE(MONTH(C904),"January","February","March","April","May","June","July","August","September","October","November","December")&amp;" "&amp;DAY(C904)&amp;MID("thstndrdth",MIN(9,2*RIGHT(DAY(C904))*(MOD(DAY(C904)-11,100)&gt;2)+1),2)&amp;","&amp;TEXT(C904," yyyy"))</f>
        <v>January 16th,2023</v>
      </c>
      <c r="AB904" s="15" t="str">
        <f aca="true">IF(S904="","",DATEDIF(S904,TODAY(),"Y")&amp;" Tahun, "&amp;DATEDIF(S904,TODAY(),"YM")&amp;" Bulan, "&amp;DATEDIF(S904,TODAY(),"MD")&amp;" Hari")</f>
        <v>32 Tahun, 2 Bulan, 0 Hari</v>
      </c>
      <c r="AC904" s="18" t="n">
        <v>45566</v>
      </c>
      <c r="AD904" s="18" t="n">
        <v>45930</v>
      </c>
      <c r="AE904" s="18" t="s">
        <v>44</v>
      </c>
    </row>
    <row r="905" customFormat="false" ht="15.75" hidden="false" customHeight="true" outlineLevel="0" collapsed="false">
      <c r="A905" s="12" t="n">
        <v>23003</v>
      </c>
      <c r="B905" s="13" t="s">
        <v>4018</v>
      </c>
      <c r="C905" s="14" t="n">
        <v>46314</v>
      </c>
      <c r="D905" s="13" t="s">
        <v>101</v>
      </c>
      <c r="E905" s="13" t="s">
        <v>47</v>
      </c>
      <c r="F905" s="24" t="s">
        <v>4019</v>
      </c>
      <c r="G905" s="13" t="s">
        <v>1127</v>
      </c>
      <c r="H905" s="13" t="s">
        <v>35</v>
      </c>
      <c r="I905" s="13" t="str">
        <f aca="false">IF(C905=J905,"NEW KONTRAK","RE-KONTRAK")</f>
        <v>NEW KONTRAK</v>
      </c>
      <c r="J905" s="16" t="n">
        <f aca="false" t="array" ref="J905:J905">IFERROR(INDEX(AC905:AE905,IF(COUNTA(AC905:AE905)=0,"",MAX((AC905:AE905&lt;&gt;"")*(COLUMN(AC905:AE905)-(COLUMN(AC905)))))-1),"")</f>
        <v>46314</v>
      </c>
      <c r="K905" s="16" t="n">
        <f aca="false" t="array" ref="K905:K905">IFERROR(INDEX(AC905:AE905,IF(COUNTA(AC905:AE905)=0,"",MAX((AC905:AE905&lt;&gt;"")*(COLUMN(AC905:AE905)-(COLUMN(AC905)-1))))-1),"")</f>
        <v>46402</v>
      </c>
      <c r="L905" s="17" t="str">
        <f aca="false" t="array" ref="L905:L905">IFERROR(INDEX(AC905:AE905,IF(COUNTA(AC905:AE905)=0,"",MAX((AC905:AE905&lt;&gt;"")*(COLUMN(AC905:AE905)-(COLUMN(AC905)-2))))-1),"")</f>
        <v>DRAFTED</v>
      </c>
      <c r="M905" s="13" t="n">
        <f aca="true">K905-TODAY()</f>
        <v>78</v>
      </c>
      <c r="N905" s="18" t="s">
        <v>105</v>
      </c>
      <c r="O905" s="13" t="s">
        <v>3510</v>
      </c>
      <c r="P905" s="26" t="n">
        <v>3472875</v>
      </c>
      <c r="Q905" s="20" t="s">
        <v>4020</v>
      </c>
      <c r="R905" s="13" t="s">
        <v>39</v>
      </c>
      <c r="S905" s="25" t="n">
        <v>36327</v>
      </c>
      <c r="T905" s="13" t="s">
        <v>40</v>
      </c>
      <c r="U905" s="13" t="s">
        <v>4021</v>
      </c>
      <c r="V905" s="13" t="s">
        <v>42</v>
      </c>
      <c r="W905" s="13" t="s">
        <v>43</v>
      </c>
      <c r="X905" s="21" t="n">
        <v>881026620859</v>
      </c>
      <c r="Y905" s="22" t="str">
        <f aca="false">O905</f>
        <v>Teknisi</v>
      </c>
      <c r="Z905" s="13" t="str">
        <f aca="false">IFERROR(__xludf.dummyfunction("if(BJ905="""","""",GOOGLETRANSLATE(BJ905,""auto"",""en""))"),"Technician")</f>
        <v>Technician</v>
      </c>
      <c r="AA905" s="23" t="str">
        <f aca="false">IF(C905="","", CHOOSE(MONTH(C905),"January","February","March","April","May","June","July","August","September","October","November","December")&amp;" "&amp;DAY(C905)&amp;MID("thstndrdth",MIN(9,2*RIGHT(DAY(C905))*(MOD(DAY(C905)-11,100)&gt;2)+1),2)&amp;","&amp;TEXT(C905," yyyy"))</f>
        <v>October 19th,2026</v>
      </c>
      <c r="AB905" s="15" t="str">
        <f aca="true">IF(S905="","",DATEDIF(S905,TODAY(),"Y")&amp;" Tahun, "&amp;DATEDIF(S905,TODAY(),"YM")&amp;" Bulan, "&amp;DATEDIF(S905,TODAY(),"MD")&amp;" Hari")</f>
        <v>27 Tahun, 4 Bulan, 13 Hari</v>
      </c>
      <c r="AC905" s="14" t="n">
        <v>46314</v>
      </c>
      <c r="AD905" s="18" t="n">
        <v>46402</v>
      </c>
      <c r="AE905" s="13" t="s">
        <v>4022</v>
      </c>
    </row>
    <row r="906" customFormat="false" ht="15.75" hidden="false" customHeight="true" outlineLevel="0" collapsed="false">
      <c r="A906" s="12" t="n">
        <v>2413</v>
      </c>
      <c r="B906" s="13" t="s">
        <v>4023</v>
      </c>
      <c r="C906" s="14" t="n">
        <v>44406</v>
      </c>
      <c r="D906" s="13" t="s">
        <v>101</v>
      </c>
      <c r="E906" s="15" t="s">
        <v>47</v>
      </c>
      <c r="F906" s="15" t="str">
        <f aca="false">IFERROR(__xludf.dummyfunction("XLOOKUP(AJ906,IMPORTRANGE(""1XaInW9DU9nz21V0tYIfzFQ0He9kVQ_JF2mCXgZ3hqFA"",""REKAP ALL 2026 - Andika!G:G""),IMPORTRANGE(""1XaInW9DU9nz21V0tYIfzFQ0He9kVQ_JF2mCXgZ3hqFA"",""REKAP ALL 2026 - Andika!F:F""),"""",0)"),"21068419627")</f>
        <v>21068419627</v>
      </c>
      <c r="G906" s="13" t="s">
        <v>4024</v>
      </c>
      <c r="H906" s="13" t="s">
        <v>35</v>
      </c>
      <c r="I906" s="13" t="str">
        <f aca="false">IF(C906=J906,"NEW KONTRAK","RE-KONTRAK")</f>
        <v>RE-KONTRAK</v>
      </c>
      <c r="J906" s="16" t="n">
        <f aca="false" t="array" ref="J906:J906">IFERROR(INDEX(AC906:AE906,IF(COUNTA(AC906:AE906)=0,"",MAX((AC906:AE906&lt;&gt;"")*(COLUMN(AC906:AE906)-(COLUMN(AC906)))))-1),"")</f>
        <v>45672</v>
      </c>
      <c r="K906" s="16" t="n">
        <f aca="false" t="array" ref="K906:K906">IFERROR(INDEX(AC906:AE906,IF(COUNTA(AC906:AE906)=0,"",MAX((AC906:AE906&lt;&gt;"")*(COLUMN(AC906:AE906)-(COLUMN(AC906)-1))))-1),"")</f>
        <v>46036</v>
      </c>
      <c r="L906" s="17" t="str">
        <f aca="false" t="array" ref="L906:L906">IFERROR(INDEX(AC906:AE906,IF(COUNTA(AC906:AE906)=0,"",MAX((AC906:AE906&lt;&gt;"")*(COLUMN(AC906:AE906)-(COLUMN(AC906)-2))))-1),"")</f>
        <v>ARCHIVED</v>
      </c>
      <c r="M906" s="13" t="n">
        <f aca="true">K906-TODAY()</f>
        <v>-288</v>
      </c>
      <c r="N906" s="18" t="s">
        <v>105</v>
      </c>
      <c r="O906" s="13" t="s">
        <v>106</v>
      </c>
      <c r="P906" s="31" t="n">
        <v>138915</v>
      </c>
      <c r="Q906" s="20" t="s">
        <v>4025</v>
      </c>
      <c r="R906" s="13" t="s">
        <v>52</v>
      </c>
      <c r="S906" s="25" t="n">
        <v>36676</v>
      </c>
      <c r="T906" s="13" t="s">
        <v>108</v>
      </c>
      <c r="U906" s="13" t="s">
        <v>4026</v>
      </c>
      <c r="V906" s="13" t="s">
        <v>42</v>
      </c>
      <c r="W906" s="13" t="s">
        <v>43</v>
      </c>
      <c r="X906" s="21" t="n">
        <v>895395122614</v>
      </c>
      <c r="Y906" s="22" t="str">
        <f aca="false">O906</f>
        <v>Produksi - Helper</v>
      </c>
      <c r="Z906" s="13" t="str">
        <f aca="false">IFERROR(__xludf.dummyfunction("if(BJ906="""","""",GOOGLETRANSLATE(BJ906,""auto"",""en""))"),"Production - Helper")</f>
        <v>Production - Helper</v>
      </c>
      <c r="AA906" s="23" t="str">
        <f aca="false">IF(C906="","", CHOOSE(MONTH(C906),"January","February","March","April","May","June","July","August","September","October","November","December")&amp;" "&amp;DAY(C906)&amp;MID("thstndrdth",MIN(9,2*RIGHT(DAY(C906))*(MOD(DAY(C906)-11,100)&gt;2)+1),2)&amp;","&amp;TEXT(C906," yyyy"))</f>
        <v>July 29th,2021</v>
      </c>
      <c r="AB906" s="15" t="str">
        <f aca="true">IF(S906="","",DATEDIF(S906,TODAY(),"Y")&amp;" Tahun, "&amp;DATEDIF(S906,TODAY(),"YM")&amp;" Bulan, "&amp;DATEDIF(S906,TODAY(),"MD")&amp;" Hari")</f>
        <v>26 Tahun, 4 Bulan, 29 Hari</v>
      </c>
      <c r="AC906" s="18" t="n">
        <v>45672</v>
      </c>
      <c r="AD906" s="18" t="n">
        <v>46036</v>
      </c>
      <c r="AE906" s="18" t="s">
        <v>44</v>
      </c>
    </row>
    <row r="907" customFormat="false" ht="15.75" hidden="false" customHeight="true" outlineLevel="0" collapsed="false">
      <c r="A907" s="12" t="n">
        <v>1917</v>
      </c>
      <c r="B907" s="13" t="s">
        <v>4027</v>
      </c>
      <c r="C907" s="14" t="n">
        <v>43845</v>
      </c>
      <c r="D907" s="13" t="s">
        <v>101</v>
      </c>
      <c r="E907" s="15" t="s">
        <v>47</v>
      </c>
      <c r="F907" s="15" t="str">
        <f aca="false">IFERROR(__xludf.dummyfunction("XLOOKUP(AJ907,IMPORTRANGE(""1XaInW9DU9nz21V0tYIfzFQ0He9kVQ_JF2mCXgZ3hqFA"",""REKAP ALL 2026 - Andika!G:G""),IMPORTRANGE(""1XaInW9DU9nz21V0tYIfzFQ0He9kVQ_JF2mCXgZ3hqFA"",""REKAP ALL 2026 - Andika!F:F""),"""",0)"),"20021314990")</f>
        <v>20021314990</v>
      </c>
      <c r="G907" s="13" t="s">
        <v>4028</v>
      </c>
      <c r="H907" s="13" t="s">
        <v>35</v>
      </c>
      <c r="I907" s="13" t="str">
        <f aca="false">IF(C907=J907,"NEW KONTRAK","RE-KONTRAK")</f>
        <v>RE-KONTRAK</v>
      </c>
      <c r="J907" s="16" t="n">
        <f aca="false" t="array" ref="J907:J907">IFERROR(INDEX(AC907:AE907,IF(COUNTA(AC907:AE907)=0,"",MAX((AC907:AE907&lt;&gt;"")*(COLUMN(AC907:AE907)-(COLUMN(AC907)))))-1),"")</f>
        <v>45672</v>
      </c>
      <c r="K907" s="16" t="n">
        <f aca="false" t="array" ref="K907:K907">IFERROR(INDEX(AC907:AE907,IF(COUNTA(AC907:AE907)=0,"",MAX((AC907:AE907&lt;&gt;"")*(COLUMN(AC907:AE907)-(COLUMN(AC907)-1))))-1),"")</f>
        <v>46036</v>
      </c>
      <c r="L907" s="17" t="str">
        <f aca="false" t="array" ref="L907:L907">IFERROR(INDEX(AC907:AE907,IF(COUNTA(AC907:AE907)=0,"",MAX((AC907:AE907&lt;&gt;"")*(COLUMN(AC907:AE907)-(COLUMN(AC907)-2))))-1),"")</f>
        <v>ARCHIVED</v>
      </c>
      <c r="M907" s="13" t="n">
        <f aca="true">K907-TODAY()</f>
        <v>-288</v>
      </c>
      <c r="N907" s="18" t="s">
        <v>105</v>
      </c>
      <c r="O907" s="13" t="s">
        <v>106</v>
      </c>
      <c r="P907" s="31" t="n">
        <v>138915</v>
      </c>
      <c r="Q907" s="20" t="s">
        <v>4029</v>
      </c>
      <c r="R907" s="13" t="s">
        <v>148</v>
      </c>
      <c r="S907" s="25" t="n">
        <v>36500</v>
      </c>
      <c r="T907" s="13" t="s">
        <v>108</v>
      </c>
      <c r="U907" s="13" t="s">
        <v>4030</v>
      </c>
      <c r="V907" s="13" t="s">
        <v>42</v>
      </c>
      <c r="W907" s="13" t="s">
        <v>43</v>
      </c>
      <c r="X907" s="21" t="n">
        <v>82330170530</v>
      </c>
      <c r="Y907" s="22" t="str">
        <f aca="false">O907</f>
        <v>Produksi - Helper</v>
      </c>
      <c r="Z907" s="13" t="str">
        <f aca="false">IFERROR(__xludf.dummyfunction("if(BJ907="""","""",GOOGLETRANSLATE(BJ907,""auto"",""en""))"),"Production - Helper")</f>
        <v>Production - Helper</v>
      </c>
      <c r="AA907" s="23" t="str">
        <f aca="false">IF(C907="","", CHOOSE(MONTH(C907),"January","February","March","April","May","June","July","August","September","October","November","December")&amp;" "&amp;DAY(C907)&amp;MID("thstndrdth",MIN(9,2*RIGHT(DAY(C907))*(MOD(DAY(C907)-11,100)&gt;2)+1),2)&amp;","&amp;TEXT(C907," yyyy"))</f>
        <v>January 15th,2020</v>
      </c>
      <c r="AB907" s="15" t="str">
        <f aca="true">IF(S907="","",DATEDIF(S907,TODAY(),"Y")&amp;" Tahun, "&amp;DATEDIF(S907,TODAY(),"YM")&amp;" Bulan, "&amp;DATEDIF(S907,TODAY(),"MD")&amp;" Hari")</f>
        <v>26 Tahun, 10 Bulan, 23 Hari</v>
      </c>
      <c r="AC907" s="18" t="n">
        <v>45672</v>
      </c>
      <c r="AD907" s="18" t="n">
        <v>46036</v>
      </c>
      <c r="AE907" s="18" t="s">
        <v>44</v>
      </c>
    </row>
    <row r="908" customFormat="false" ht="15.75" hidden="false" customHeight="true" outlineLevel="0" collapsed="false">
      <c r="A908" s="12" t="n">
        <v>9875</v>
      </c>
      <c r="B908" s="13" t="s">
        <v>4031</v>
      </c>
      <c r="C908" s="14" t="n">
        <v>44949</v>
      </c>
      <c r="D908" s="13" t="s">
        <v>101</v>
      </c>
      <c r="E908" s="15" t="s">
        <v>102</v>
      </c>
      <c r="F908" s="15" t="str">
        <f aca="false">IFERROR(__xludf.dummyfunction("XLOOKUP(AJ908,IMPORTRANGE(""1XaInW9DU9nz21V0tYIfzFQ0He9kVQ_JF2mCXgZ3hqFA"",""REKAP ALL 2026 - Andika!G:G""),IMPORTRANGE(""1XaInW9DU9nz21V0tYIfzFQ0He9kVQ_JF2mCXgZ3hqFA"",""REKAP ALL 2026 - Andika!F:F""),"""",0)"),"23019105792")</f>
        <v>23019105792</v>
      </c>
      <c r="G908" s="13" t="s">
        <v>4032</v>
      </c>
      <c r="H908" s="13" t="s">
        <v>35</v>
      </c>
      <c r="I908" s="13" t="str">
        <f aca="false">IF(C908=J908,"NEW KONTRAK","RE-KONTRAK")</f>
        <v>RE-KONTRAK</v>
      </c>
      <c r="J908" s="16" t="n">
        <f aca="false" t="array" ref="J908:J908">IFERROR(INDEX(AC908:AE908,IF(COUNTA(AC908:AE908)=0,"",MAX((AC908:AE908&lt;&gt;"")*(COLUMN(AC908:AE908)-(COLUMN(AC908)))))-1),"")</f>
        <v>45672</v>
      </c>
      <c r="K908" s="16" t="n">
        <f aca="false" t="array" ref="K908:K908">IFERROR(INDEX(AC908:AE908,IF(COUNTA(AC908:AE908)=0,"",MAX((AC908:AE908&lt;&gt;"")*(COLUMN(AC908:AE908)-(COLUMN(AC908)-1))))-1),"")</f>
        <v>46036</v>
      </c>
      <c r="L908" s="17" t="str">
        <f aca="false" t="array" ref="L908:L908">IFERROR(INDEX(AC908:AE908,IF(COUNTA(AC908:AE908)=0,"",MAX((AC908:AE908&lt;&gt;"")*(COLUMN(AC908:AE908)-(COLUMN(AC908)-2))))-1),"")</f>
        <v>ARCHIVED</v>
      </c>
      <c r="M908" s="13" t="n">
        <f aca="true">K908-TODAY()</f>
        <v>-288</v>
      </c>
      <c r="N908" s="18" t="s">
        <v>105</v>
      </c>
      <c r="O908" s="13" t="s">
        <v>106</v>
      </c>
      <c r="P908" s="19" t="n">
        <v>132300</v>
      </c>
      <c r="Q908" s="20" t="s">
        <v>4033</v>
      </c>
      <c r="R908" s="13" t="s">
        <v>39</v>
      </c>
      <c r="S908" s="25" t="n">
        <v>35144</v>
      </c>
      <c r="T908" s="13" t="s">
        <v>40</v>
      </c>
      <c r="U908" s="13" t="s">
        <v>4034</v>
      </c>
      <c r="V908" s="13" t="s">
        <v>42</v>
      </c>
      <c r="W908" s="13" t="s">
        <v>43</v>
      </c>
      <c r="X908" s="21" t="n">
        <v>895364899412</v>
      </c>
      <c r="Y908" s="22" t="str">
        <f aca="false">O908</f>
        <v>Produksi - Helper</v>
      </c>
      <c r="Z908" s="13" t="str">
        <f aca="false">IFERROR(__xludf.dummyfunction("if(BJ908="""","""",GOOGLETRANSLATE(BJ908,""auto"",""en""))"),"Production - Helper")</f>
        <v>Production - Helper</v>
      </c>
      <c r="AA908" s="23" t="str">
        <f aca="false">IF(C908="","", CHOOSE(MONTH(C908),"January","February","March","April","May","June","July","August","September","October","November","December")&amp;" "&amp;DAY(C908)&amp;MID("thstndrdth",MIN(9,2*RIGHT(DAY(C908))*(MOD(DAY(C908)-11,100)&gt;2)+1),2)&amp;","&amp;TEXT(C908," yyyy"))</f>
        <v>January 23rd,2023</v>
      </c>
      <c r="AB908" s="15" t="str">
        <f aca="true">IF(S908="","",DATEDIF(S908,TODAY(),"Y")&amp;" Tahun, "&amp;DATEDIF(S908,TODAY(),"YM")&amp;" Bulan, "&amp;DATEDIF(S908,TODAY(),"MD")&amp;" Hari")</f>
        <v>30 Tahun, 7 Bulan, 9 Hari</v>
      </c>
      <c r="AC908" s="18" t="n">
        <v>45672</v>
      </c>
      <c r="AD908" s="18" t="n">
        <v>46036</v>
      </c>
      <c r="AE908" s="18" t="s">
        <v>44</v>
      </c>
    </row>
    <row r="909" customFormat="false" ht="15.75" hidden="false" customHeight="true" outlineLevel="0" collapsed="false">
      <c r="A909" s="12" t="n">
        <v>9881</v>
      </c>
      <c r="B909" s="13" t="s">
        <v>4035</v>
      </c>
      <c r="C909" s="14" t="n">
        <v>44950</v>
      </c>
      <c r="D909" s="13" t="s">
        <v>101</v>
      </c>
      <c r="E909" s="15" t="s">
        <v>102</v>
      </c>
      <c r="F909" s="15" t="str">
        <f aca="false">IFERROR(__xludf.dummyfunction("XLOOKUP(AJ909,IMPORTRANGE(""1XaInW9DU9nz21V0tYIfzFQ0He9kVQ_JF2mCXgZ3hqFA"",""REKAP ALL 2026 - Andika!G:G""),IMPORTRANGE(""1XaInW9DU9nz21V0tYIfzFQ0He9kVQ_JF2mCXgZ3hqFA"",""REKAP ALL 2026 - Andika!F:F""),"""",0)"),"23019105776")</f>
        <v>23019105776</v>
      </c>
      <c r="G909" s="13" t="s">
        <v>4036</v>
      </c>
      <c r="H909" s="13" t="s">
        <v>35</v>
      </c>
      <c r="I909" s="13" t="str">
        <f aca="false">IF(C909=J909,"NEW KONTRAK","RE-KONTRAK")</f>
        <v>RE-KONTRAK</v>
      </c>
      <c r="J909" s="16" t="n">
        <f aca="false" t="array" ref="J909:J909">IFERROR(INDEX(AC909:AE909,IF(COUNTA(AC909:AE909)=0,"",MAX((AC909:AE909&lt;&gt;"")*(COLUMN(AC909:AE909)-(COLUMN(AC909)))))-1),"")</f>
        <v>45672</v>
      </c>
      <c r="K909" s="16" t="n">
        <f aca="false" t="array" ref="K909:K909">IFERROR(INDEX(AC909:AE909,IF(COUNTA(AC909:AE909)=0,"",MAX((AC909:AE909&lt;&gt;"")*(COLUMN(AC909:AE909)-(COLUMN(AC909)-1))))-1),"")</f>
        <v>46036</v>
      </c>
      <c r="L909" s="17" t="str">
        <f aca="false" t="array" ref="L909:L909">IFERROR(INDEX(AC909:AE909,IF(COUNTA(AC909:AE909)=0,"",MAX((AC909:AE909&lt;&gt;"")*(COLUMN(AC909:AE909)-(COLUMN(AC909)-2))))-1),"")</f>
        <v>ARCHIVED</v>
      </c>
      <c r="M909" s="13" t="n">
        <f aca="true">K909-TODAY()</f>
        <v>-288</v>
      </c>
      <c r="N909" s="18" t="s">
        <v>105</v>
      </c>
      <c r="O909" s="13" t="s">
        <v>106</v>
      </c>
      <c r="P909" s="19" t="n">
        <v>132300</v>
      </c>
      <c r="Q909" s="20" t="s">
        <v>4037</v>
      </c>
      <c r="R909" s="13" t="s">
        <v>39</v>
      </c>
      <c r="S909" s="25" t="n">
        <v>37670</v>
      </c>
      <c r="T909" s="13" t="s">
        <v>40</v>
      </c>
      <c r="U909" s="13" t="s">
        <v>4038</v>
      </c>
      <c r="V909" s="13" t="s">
        <v>42</v>
      </c>
      <c r="W909" s="13" t="s">
        <v>43</v>
      </c>
      <c r="X909" s="21" t="n">
        <v>89514906933</v>
      </c>
      <c r="Y909" s="22" t="str">
        <f aca="false">O909</f>
        <v>Produksi - Helper</v>
      </c>
      <c r="Z909" s="13" t="str">
        <f aca="false">IFERROR(__xludf.dummyfunction("if(BJ909="""","""",GOOGLETRANSLATE(BJ909,""auto"",""en""))"),"Production - Helper")</f>
        <v>Production - Helper</v>
      </c>
      <c r="AA909" s="23" t="str">
        <f aca="false">IF(C909="","", CHOOSE(MONTH(C909),"January","February","March","April","May","June","July","August","September","October","November","December")&amp;" "&amp;DAY(C909)&amp;MID("thstndrdth",MIN(9,2*RIGHT(DAY(C909))*(MOD(DAY(C909)-11,100)&gt;2)+1),2)&amp;","&amp;TEXT(C909," yyyy"))</f>
        <v>January 24th,2023</v>
      </c>
      <c r="AB909" s="15" t="str">
        <f aca="true">IF(S909="","",DATEDIF(S909,TODAY(),"Y")&amp;" Tahun, "&amp;DATEDIF(S909,TODAY(),"YM")&amp;" Bulan, "&amp;DATEDIF(S909,TODAY(),"MD")&amp;" Hari")</f>
        <v>23 Tahun, 8 Bulan, 11 Hari</v>
      </c>
      <c r="AC909" s="18" t="n">
        <v>45672</v>
      </c>
      <c r="AD909" s="18" t="n">
        <v>46036</v>
      </c>
      <c r="AE909" s="18" t="s">
        <v>44</v>
      </c>
    </row>
    <row r="910" customFormat="false" ht="15.75" hidden="false" customHeight="true" outlineLevel="0" collapsed="false">
      <c r="A910" s="12" t="n">
        <v>9882</v>
      </c>
      <c r="B910" s="13" t="s">
        <v>4039</v>
      </c>
      <c r="C910" s="14" t="n">
        <v>44950</v>
      </c>
      <c r="D910" s="13" t="s">
        <v>101</v>
      </c>
      <c r="E910" s="15" t="s">
        <v>789</v>
      </c>
      <c r="F910" s="24" t="s">
        <v>4040</v>
      </c>
      <c r="G910" s="13" t="s">
        <v>4041</v>
      </c>
      <c r="H910" s="13" t="s">
        <v>35</v>
      </c>
      <c r="I910" s="13" t="str">
        <f aca="false">IF(C910=J910,"NEW KONTRAK","RE-KONTRAK")</f>
        <v>RE-KONTRAK</v>
      </c>
      <c r="J910" s="16" t="n">
        <f aca="false" t="array" ref="J910:J910">IFERROR(INDEX(AC910:AE910,IF(COUNTA(AC910:AE910)=0,"",MAX((AC910:AE910&lt;&gt;"")*(COLUMN(AC910:AE910)-(COLUMN(AC910)))))-1),"")</f>
        <v>45672</v>
      </c>
      <c r="K910" s="16" t="n">
        <f aca="false" t="array" ref="K910:K910">IFERROR(INDEX(AC910:AE910,IF(COUNTA(AC910:AE910)=0,"",MAX((AC910:AE910&lt;&gt;"")*(COLUMN(AC910:AE910)-(COLUMN(AC910)-1))))-1),"")</f>
        <v>46036</v>
      </c>
      <c r="L910" s="17" t="str">
        <f aca="false" t="array" ref="L910:L910">IFERROR(INDEX(AC910:AE910,IF(COUNTA(AC910:AE910)=0,"",MAX((AC910:AE910&lt;&gt;"")*(COLUMN(AC910:AE910)-(COLUMN(AC910)-2))))-1),"")</f>
        <v>ARCHIVED</v>
      </c>
      <c r="M910" s="13" t="n">
        <f aca="true">K910-TODAY()</f>
        <v>-288</v>
      </c>
      <c r="N910" s="18" t="s">
        <v>105</v>
      </c>
      <c r="O910" s="13" t="s">
        <v>58</v>
      </c>
      <c r="P910" s="19" t="n">
        <v>126000</v>
      </c>
      <c r="Q910" s="20" t="s">
        <v>4042</v>
      </c>
      <c r="R910" s="13" t="s">
        <v>39</v>
      </c>
      <c r="S910" s="25" t="n">
        <v>37964</v>
      </c>
      <c r="T910" s="13" t="s">
        <v>40</v>
      </c>
      <c r="U910" s="13" t="s">
        <v>4043</v>
      </c>
      <c r="V910" s="13" t="s">
        <v>42</v>
      </c>
      <c r="W910" s="13" t="s">
        <v>43</v>
      </c>
      <c r="X910" s="21" t="n">
        <v>89509874321</v>
      </c>
      <c r="Y910" s="22" t="str">
        <f aca="false">O910</f>
        <v>Produksi</v>
      </c>
      <c r="Z910" s="13" t="str">
        <f aca="false">IFERROR(__xludf.dummyfunction("if(BJ910="""","""",GOOGLETRANSLATE(BJ910,""auto"",""en""))"),"Production")</f>
        <v>Production</v>
      </c>
      <c r="AA910" s="23" t="str">
        <f aca="false">IF(C910="","", CHOOSE(MONTH(C910),"January","February","March","April","May","June","July","August","September","October","November","December")&amp;" "&amp;DAY(C910)&amp;MID("thstndrdth",MIN(9,2*RIGHT(DAY(C910))*(MOD(DAY(C910)-11,100)&gt;2)+1),2)&amp;","&amp;TEXT(C910," yyyy"))</f>
        <v>January 24th,2023</v>
      </c>
      <c r="AB910" s="15" t="str">
        <f aca="true">IF(S910="","",DATEDIF(S910,TODAY(),"Y")&amp;" Tahun, "&amp;DATEDIF(S910,TODAY(),"YM")&amp;" Bulan, "&amp;DATEDIF(S910,TODAY(),"MD")&amp;" Hari")</f>
        <v>22 Tahun, 10 Bulan, 20 Hari</v>
      </c>
      <c r="AC910" s="18" t="n">
        <v>45672</v>
      </c>
      <c r="AD910" s="18" t="n">
        <v>46036</v>
      </c>
      <c r="AE910" s="18" t="s">
        <v>44</v>
      </c>
    </row>
    <row r="911" customFormat="false" ht="15.75" hidden="false" customHeight="true" outlineLevel="0" collapsed="false">
      <c r="A911" s="12" t="n">
        <v>9909</v>
      </c>
      <c r="B911" s="13" t="s">
        <v>4044</v>
      </c>
      <c r="C911" s="14" t="n">
        <v>44958</v>
      </c>
      <c r="D911" s="13" t="s">
        <v>4045</v>
      </c>
      <c r="E911" s="15" t="s">
        <v>47</v>
      </c>
      <c r="F911" s="15" t="str">
        <f aca="false">IFERROR(__xludf.dummyfunction("XLOOKUP(AJ911,IMPORTRANGE(""1XaInW9DU9nz21V0tYIfzFQ0He9kVQ_JF2mCXgZ3hqFA"",""REKAP ALL 2026 - Andika!G:G""),IMPORTRANGE(""1XaInW9DU9nz21V0tYIfzFQ0He9kVQ_JF2mCXgZ3hqFA"",""REKAP ALL 2026 - Andika!F:F""),"""",0)"),"23019101908")</f>
        <v>23019101908</v>
      </c>
      <c r="G911" s="13" t="s">
        <v>4046</v>
      </c>
      <c r="H911" s="13" t="s">
        <v>35</v>
      </c>
      <c r="I911" s="13" t="str">
        <f aca="false">IF(C911=J911,"NEW KONTRAK","RE-KONTRAK")</f>
        <v>RE-KONTRAK</v>
      </c>
      <c r="J911" s="16" t="n">
        <f aca="false" t="array" ref="J911:J911">IFERROR(INDEX(AC911:AE911,IF(COUNTA(AC911:AE911)=0,"",MAX((AC911:AE911&lt;&gt;"")*(COLUMN(AC911:AE911)-(COLUMN(AC911)))))-1),"")</f>
        <v>45689</v>
      </c>
      <c r="K911" s="16" t="n">
        <f aca="false" t="array" ref="K911:K911">IFERROR(INDEX(AC911:AE911,IF(COUNTA(AC911:AE911)=0,"",MAX((AC911:AE911&lt;&gt;"")*(COLUMN(AC911:AE911)-(COLUMN(AC911)-1))))-1),"")</f>
        <v>46053</v>
      </c>
      <c r="L911" s="17" t="str">
        <f aca="false" t="array" ref="L911:L911">IFERROR(INDEX(AC911:AE911,IF(COUNTA(AC911:AE911)=0,"",MAX((AC911:AE911&lt;&gt;"")*(COLUMN(AC911:AE911)-(COLUMN(AC911)-2))))-1),"")</f>
        <v>ARCHIVED</v>
      </c>
      <c r="M911" s="13" t="n">
        <f aca="true">K911-TODAY()</f>
        <v>-271</v>
      </c>
      <c r="N911" s="18" t="s">
        <v>4047</v>
      </c>
      <c r="O911" s="13" t="s">
        <v>3510</v>
      </c>
      <c r="P911" s="19" t="n">
        <v>4737678</v>
      </c>
      <c r="Q911" s="20" t="s">
        <v>4048</v>
      </c>
      <c r="R911" s="13" t="s">
        <v>4047</v>
      </c>
      <c r="S911" s="14" t="n">
        <v>37629</v>
      </c>
      <c r="T911" s="13" t="s">
        <v>40</v>
      </c>
      <c r="U911" s="13" t="s">
        <v>4049</v>
      </c>
      <c r="V911" s="13" t="s">
        <v>42</v>
      </c>
      <c r="W911" s="13" t="s">
        <v>43</v>
      </c>
      <c r="X911" s="21" t="n">
        <v>85860695065</v>
      </c>
      <c r="Y911" s="22" t="str">
        <f aca="false">O911</f>
        <v>Teknisi</v>
      </c>
      <c r="Z911" s="13" t="str">
        <f aca="false">IFERROR(__xludf.dummyfunction("if(BJ911="""","""",GOOGLETRANSLATE(BJ911,""auto"",""en""))"),"Technician")</f>
        <v>Technician</v>
      </c>
      <c r="AA911" s="23" t="str">
        <f aca="false">IF(C911="","", CHOOSE(MONTH(C911),"January","February","March","April","May","June","July","August","September","October","November","December")&amp;" "&amp;DAY(C911)&amp;MID("thstndrdth",MIN(9,2*RIGHT(DAY(C911))*(MOD(DAY(C911)-11,100)&gt;2)+1),2)&amp;","&amp;TEXT(C911," yyyy"))</f>
        <v>February 1st,2023</v>
      </c>
      <c r="AB911" s="15" t="str">
        <f aca="true">IF(S911="","",DATEDIF(S911,TODAY(),"Y")&amp;" Tahun, "&amp;DATEDIF(S911,TODAY(),"YM")&amp;" Bulan, "&amp;DATEDIF(S911,TODAY(),"MD")&amp;" Hari")</f>
        <v>23 Tahun, 9 Bulan, 21 Hari</v>
      </c>
      <c r="AC911" s="18" t="n">
        <v>45689</v>
      </c>
      <c r="AD911" s="18" t="n">
        <v>46053</v>
      </c>
      <c r="AE911" s="18" t="s">
        <v>44</v>
      </c>
    </row>
    <row r="912" customFormat="false" ht="15.75" hidden="false" customHeight="true" outlineLevel="0" collapsed="false">
      <c r="A912" s="12" t="n">
        <v>9910</v>
      </c>
      <c r="B912" s="13" t="s">
        <v>4050</v>
      </c>
      <c r="C912" s="14" t="n">
        <v>44958</v>
      </c>
      <c r="D912" s="13" t="s">
        <v>4045</v>
      </c>
      <c r="E912" s="15" t="s">
        <v>47</v>
      </c>
      <c r="F912" s="15" t="str">
        <f aca="false">IFERROR(__xludf.dummyfunction("XLOOKUP(AJ912,IMPORTRANGE(""1XaInW9DU9nz21V0tYIfzFQ0He9kVQ_JF2mCXgZ3hqFA"",""REKAP ALL 2026 - Andika!G:G""),IMPORTRANGE(""1XaInW9DU9nz21V0tYIfzFQ0He9kVQ_JF2mCXgZ3hqFA"",""REKAP ALL 2026 - Andika!F:F""),"""",0)"),"23019101882")</f>
        <v>23019101882</v>
      </c>
      <c r="G912" s="13" t="s">
        <v>4046</v>
      </c>
      <c r="H912" s="13" t="s">
        <v>35</v>
      </c>
      <c r="I912" s="13" t="str">
        <f aca="false">IF(C912=J912,"NEW KONTRAK","RE-KONTRAK")</f>
        <v>RE-KONTRAK</v>
      </c>
      <c r="J912" s="16" t="n">
        <f aca="false" t="array" ref="J912:J912">IFERROR(INDEX(AC912:AE912,IF(COUNTA(AC912:AE912)=0,"",MAX((AC912:AE912&lt;&gt;"")*(COLUMN(AC912:AE912)-(COLUMN(AC912)))))-1),"")</f>
        <v>45689</v>
      </c>
      <c r="K912" s="16" t="n">
        <f aca="false" t="array" ref="K912:K912">IFERROR(INDEX(AC912:AE912,IF(COUNTA(AC912:AE912)=0,"",MAX((AC912:AE912&lt;&gt;"")*(COLUMN(AC912:AE912)-(COLUMN(AC912)-1))))-1),"")</f>
        <v>46053</v>
      </c>
      <c r="L912" s="17" t="str">
        <f aca="false" t="array" ref="L912:L912">IFERROR(INDEX(AC912:AE912,IF(COUNTA(AC912:AE912)=0,"",MAX((AC912:AE912&lt;&gt;"")*(COLUMN(AC912:AE912)-(COLUMN(AC912)-2))))-1),"")</f>
        <v>ARCHIVED</v>
      </c>
      <c r="M912" s="13" t="n">
        <f aca="true">K912-TODAY()</f>
        <v>-271</v>
      </c>
      <c r="N912" s="18" t="s">
        <v>4051</v>
      </c>
      <c r="O912" s="13" t="s">
        <v>3510</v>
      </c>
      <c r="P912" s="19" t="n">
        <v>5886853</v>
      </c>
      <c r="Q912" s="20" t="s">
        <v>4052</v>
      </c>
      <c r="R912" s="13" t="s">
        <v>4053</v>
      </c>
      <c r="S912" s="14" t="n">
        <v>36453</v>
      </c>
      <c r="T912" s="13" t="s">
        <v>40</v>
      </c>
      <c r="U912" s="13" t="s">
        <v>4054</v>
      </c>
      <c r="V912" s="13" t="s">
        <v>42</v>
      </c>
      <c r="W912" s="13" t="s">
        <v>43</v>
      </c>
      <c r="X912" s="21" t="n">
        <v>85290273271</v>
      </c>
      <c r="Y912" s="22" t="str">
        <f aca="false">O912</f>
        <v>Teknisi</v>
      </c>
      <c r="Z912" s="13" t="str">
        <f aca="false">IFERROR(__xludf.dummyfunction("if(BJ912="""","""",GOOGLETRANSLATE(BJ912,""auto"",""en""))"),"Technician")</f>
        <v>Technician</v>
      </c>
      <c r="AA912" s="23" t="str">
        <f aca="false">IF(C912="","", CHOOSE(MONTH(C912),"January","February","March","April","May","June","July","August","September","October","November","December")&amp;" "&amp;DAY(C912)&amp;MID("thstndrdth",MIN(9,2*RIGHT(DAY(C912))*(MOD(DAY(C912)-11,100)&gt;2)+1),2)&amp;","&amp;TEXT(C912," yyyy"))</f>
        <v>February 1st,2023</v>
      </c>
      <c r="AB912" s="15" t="str">
        <f aca="true">IF(S912="","",DATEDIF(S912,TODAY(),"Y")&amp;" Tahun, "&amp;DATEDIF(S912,TODAY(),"YM")&amp;" Bulan, "&amp;DATEDIF(S912,TODAY(),"MD")&amp;" Hari")</f>
        <v>27 Tahun, 0 Bulan, 9 Hari</v>
      </c>
      <c r="AC912" s="18" t="n">
        <v>45689</v>
      </c>
      <c r="AD912" s="18" t="n">
        <v>46053</v>
      </c>
      <c r="AE912" s="18" t="s">
        <v>44</v>
      </c>
    </row>
    <row r="913" customFormat="false" ht="15.75" hidden="false" customHeight="true" outlineLevel="0" collapsed="false">
      <c r="A913" s="12" t="n">
        <v>9911</v>
      </c>
      <c r="B913" s="13" t="s">
        <v>4055</v>
      </c>
      <c r="C913" s="14" t="n">
        <v>44958</v>
      </c>
      <c r="D913" s="13" t="s">
        <v>4045</v>
      </c>
      <c r="E913" s="15" t="s">
        <v>47</v>
      </c>
      <c r="F913" s="15" t="str">
        <f aca="false">IFERROR(__xludf.dummyfunction("XLOOKUP(AJ913,IMPORTRANGE(""1XaInW9DU9nz21V0tYIfzFQ0He9kVQ_JF2mCXgZ3hqFA"",""REKAP ALL 2026 - Andika!G:G""),IMPORTRANGE(""1XaInW9DU9nz21V0tYIfzFQ0He9kVQ_JF2mCXgZ3hqFA"",""REKAP ALL 2026 - Andika!F:F""),"""",0)"),"23019101932")</f>
        <v>23019101932</v>
      </c>
      <c r="G913" s="13" t="s">
        <v>4046</v>
      </c>
      <c r="H913" s="13" t="s">
        <v>35</v>
      </c>
      <c r="I913" s="13" t="str">
        <f aca="false">IF(C913=J913,"NEW KONTRAK","RE-KONTRAK")</f>
        <v>RE-KONTRAK</v>
      </c>
      <c r="J913" s="16" t="n">
        <f aca="false" t="array" ref="J913:J913">IFERROR(INDEX(AC913:AE913,IF(COUNTA(AC913:AE913)=0,"",MAX((AC913:AE913&lt;&gt;"")*(COLUMN(AC913:AE913)-(COLUMN(AC913)))))-1),"")</f>
        <v>45689</v>
      </c>
      <c r="K913" s="16" t="n">
        <f aca="false" t="array" ref="K913:K913">IFERROR(INDEX(AC913:AE913,IF(COUNTA(AC913:AE913)=0,"",MAX((AC913:AE913&lt;&gt;"")*(COLUMN(AC913:AE913)-(COLUMN(AC913)-1))))-1),"")</f>
        <v>46053</v>
      </c>
      <c r="L913" s="17" t="str">
        <f aca="false" t="array" ref="L913:L913">IFERROR(INDEX(AC913:AE913,IF(COUNTA(AC913:AE913)=0,"",MAX((AC913:AE913&lt;&gt;"")*(COLUMN(AC913:AE913)-(COLUMN(AC913)-2))))-1),"")</f>
        <v>ARCHIVED</v>
      </c>
      <c r="M913" s="13" t="n">
        <f aca="true">K913-TODAY()</f>
        <v>-271</v>
      </c>
      <c r="N913" s="18" t="s">
        <v>4056</v>
      </c>
      <c r="O913" s="13" t="s">
        <v>3510</v>
      </c>
      <c r="P913" s="19" t="n">
        <v>4001327.33</v>
      </c>
      <c r="Q913" s="20" t="s">
        <v>4057</v>
      </c>
      <c r="R913" s="13" t="s">
        <v>4058</v>
      </c>
      <c r="S913" s="14" t="n">
        <v>32257</v>
      </c>
      <c r="T913" s="13" t="s">
        <v>40</v>
      </c>
      <c r="U913" s="13" t="s">
        <v>4059</v>
      </c>
      <c r="V913" s="13" t="s">
        <v>42</v>
      </c>
      <c r="W913" s="13" t="s">
        <v>43</v>
      </c>
      <c r="X913" s="21" t="n">
        <v>85273621641</v>
      </c>
      <c r="Y913" s="22" t="str">
        <f aca="false">O913</f>
        <v>Teknisi</v>
      </c>
      <c r="Z913" s="13" t="str">
        <f aca="false">IFERROR(__xludf.dummyfunction("if(BJ913="""","""",GOOGLETRANSLATE(BJ913,""auto"",""en""))"),"Technician")</f>
        <v>Technician</v>
      </c>
      <c r="AA913" s="23" t="str">
        <f aca="false">IF(C913="","", CHOOSE(MONTH(C913),"January","February","March","April","May","June","July","August","September","October","November","December")&amp;" "&amp;DAY(C913)&amp;MID("thstndrdth",MIN(9,2*RIGHT(DAY(C913))*(MOD(DAY(C913)-11,100)&gt;2)+1),2)&amp;","&amp;TEXT(C913," yyyy"))</f>
        <v>February 1st,2023</v>
      </c>
      <c r="AB913" s="15" t="str">
        <f aca="true">IF(S913="","",DATEDIF(S913,TODAY(),"Y")&amp;" Tahun, "&amp;DATEDIF(S913,TODAY(),"YM")&amp;" Bulan, "&amp;DATEDIF(S913,TODAY(),"MD")&amp;" Hari")</f>
        <v>38 Tahun, 6 Bulan, 5 Hari</v>
      </c>
      <c r="AC913" s="18" t="n">
        <v>45689</v>
      </c>
      <c r="AD913" s="18" t="n">
        <v>46053</v>
      </c>
      <c r="AE913" s="18" t="s">
        <v>44</v>
      </c>
    </row>
    <row r="914" customFormat="false" ht="15.75" hidden="false" customHeight="true" outlineLevel="0" collapsed="false">
      <c r="A914" s="12" t="n">
        <v>9916</v>
      </c>
      <c r="B914" s="13" t="s">
        <v>4060</v>
      </c>
      <c r="C914" s="14" t="n">
        <v>44958</v>
      </c>
      <c r="D914" s="13" t="s">
        <v>3573</v>
      </c>
      <c r="E914" s="15" t="s">
        <v>47</v>
      </c>
      <c r="F914" s="15" t="str">
        <f aca="false">IFERROR(__xludf.dummyfunction("XLOOKUP(AJ914,IMPORTRANGE(""1XaInW9DU9nz21V0tYIfzFQ0He9kVQ_JF2mCXgZ3hqFA"",""REKAP ALL 2026 - Andika!G:G""),IMPORTRANGE(""1XaInW9DU9nz21V0tYIfzFQ0He9kVQ_JF2mCXgZ3hqFA"",""REKAP ALL 2026 - Andika!F:F""),"""",0)"),"23019102062")</f>
        <v>23019102062</v>
      </c>
      <c r="G914" s="13" t="s">
        <v>4061</v>
      </c>
      <c r="H914" s="13" t="s">
        <v>35</v>
      </c>
      <c r="I914" s="13" t="str">
        <f aca="false">IF(C914=J914,"NEW KONTRAK","RE-KONTRAK")</f>
        <v>RE-KONTRAK</v>
      </c>
      <c r="J914" s="16" t="n">
        <f aca="false" t="array" ref="J914:J914">IFERROR(INDEX(AC914:AE914,IF(COUNTA(AC914:AE914)=0,"",MAX((AC914:AE914&lt;&gt;"")*(COLUMN(AC914:AE914)-(COLUMN(AC914)))))-1),"")</f>
        <v>45658</v>
      </c>
      <c r="K914" s="16" t="n">
        <f aca="false" t="array" ref="K914:K914">IFERROR(INDEX(AC914:AE914,IF(COUNTA(AC914:AE914)=0,"",MAX((AC914:AE914&lt;&gt;"")*(COLUMN(AC914:AE914)-(COLUMN(AC914)-1))))-1),"")</f>
        <v>46022</v>
      </c>
      <c r="L914" s="17" t="str">
        <f aca="false" t="array" ref="L914:L914">IFERROR(INDEX(AC914:AE914,IF(COUNTA(AC914:AE914)=0,"",MAX((AC914:AE914&lt;&gt;"")*(COLUMN(AC914:AE914)-(COLUMN(AC914)-2))))-1),"")</f>
        <v>ARCHIVED</v>
      </c>
      <c r="M914" s="13" t="n">
        <f aca="true">K914-TODAY()</f>
        <v>-302</v>
      </c>
      <c r="N914" s="18" t="s">
        <v>3576</v>
      </c>
      <c r="O914" s="13" t="s">
        <v>3577</v>
      </c>
      <c r="P914" s="19" t="n">
        <v>2492811</v>
      </c>
      <c r="Q914" s="20" t="s">
        <v>4062</v>
      </c>
      <c r="R914" s="13" t="s">
        <v>260</v>
      </c>
      <c r="S914" s="14" t="n">
        <v>36575</v>
      </c>
      <c r="T914" s="13" t="s">
        <v>40</v>
      </c>
      <c r="U914" s="13" t="s">
        <v>4063</v>
      </c>
      <c r="V914" s="13" t="s">
        <v>42</v>
      </c>
      <c r="W914" s="13" t="s">
        <v>43</v>
      </c>
      <c r="X914" s="21" t="n">
        <v>85748919468</v>
      </c>
      <c r="Y914" s="22" t="str">
        <f aca="false">O914</f>
        <v>Kerani Gudang</v>
      </c>
      <c r="Z914" s="13" t="str">
        <f aca="false">IFERROR(__xludf.dummyfunction("if(BJ914="""","""",GOOGLETRANSLATE(BJ914,""auto"",""en""))"),"Warehouse Clerk")</f>
        <v>Warehouse Clerk</v>
      </c>
      <c r="AA914" s="23" t="str">
        <f aca="false">IF(C914="","", CHOOSE(MONTH(C914),"January","February","March","April","May","June","July","August","September","October","November","December")&amp;" "&amp;DAY(C914)&amp;MID("thstndrdth",MIN(9,2*RIGHT(DAY(C914))*(MOD(DAY(C914)-11,100)&gt;2)+1),2)&amp;","&amp;TEXT(C914," yyyy"))</f>
        <v>February 1st,2023</v>
      </c>
      <c r="AB914" s="15" t="str">
        <f aca="true">IF(S914="","",DATEDIF(S914,TODAY(),"Y")&amp;" Tahun, "&amp;DATEDIF(S914,TODAY(),"YM")&amp;" Bulan, "&amp;DATEDIF(S914,TODAY(),"MD")&amp;" Hari")</f>
        <v>26 Tahun, 8 Bulan, 10 Hari</v>
      </c>
      <c r="AC914" s="18" t="n">
        <v>45658</v>
      </c>
      <c r="AD914" s="18" t="n">
        <v>46022</v>
      </c>
      <c r="AE914" s="18" t="s">
        <v>44</v>
      </c>
    </row>
    <row r="915" customFormat="false" ht="15.75" hidden="false" customHeight="true" outlineLevel="0" collapsed="false">
      <c r="A915" s="12" t="n">
        <v>9919</v>
      </c>
      <c r="B915" s="13" t="s">
        <v>4064</v>
      </c>
      <c r="C915" s="14" t="n">
        <v>44959</v>
      </c>
      <c r="D915" s="13" t="s">
        <v>3838</v>
      </c>
      <c r="E915" s="15" t="s">
        <v>47</v>
      </c>
      <c r="F915" s="15" t="str">
        <f aca="false">IFERROR(__xludf.dummyfunction("XLOOKUP(AJ915,IMPORTRANGE(""1XaInW9DU9nz21V0tYIfzFQ0He9kVQ_JF2mCXgZ3hqFA"",""REKAP ALL 2026 - Andika!G:G""),IMPORTRANGE(""1XaInW9DU9nz21V0tYIfzFQ0He9kVQ_JF2mCXgZ3hqFA"",""REKAP ALL 2026 - Andika!F:F""),"""",0)"),"23019101858")</f>
        <v>23019101858</v>
      </c>
      <c r="G915" s="13" t="s">
        <v>4065</v>
      </c>
      <c r="H915" s="13" t="s">
        <v>35</v>
      </c>
      <c r="I915" s="13" t="str">
        <f aca="false">IF(C915=J915,"NEW KONTRAK","RE-KONTRAK")</f>
        <v>RE-KONTRAK</v>
      </c>
      <c r="J915" s="16" t="n">
        <f aca="false" t="array" ref="J915:J915">IFERROR(INDEX(AC915:AE915,IF(COUNTA(AC915:AE915)=0,"",MAX((AC915:AE915&lt;&gt;"")*(COLUMN(AC915:AE915)-(COLUMN(AC915)))))-1),"")</f>
        <v>45658</v>
      </c>
      <c r="K915" s="16" t="n">
        <f aca="false" t="array" ref="K915:K915">IFERROR(INDEX(AC915:AE915,IF(COUNTA(AC915:AE915)=0,"",MAX((AC915:AE915&lt;&gt;"")*(COLUMN(AC915:AE915)-(COLUMN(AC915)-1))))-1),"")</f>
        <v>46022</v>
      </c>
      <c r="L915" s="17" t="str">
        <f aca="false" t="array" ref="L915:L915">IFERROR(INDEX(AC915:AE915,IF(COUNTA(AC915:AE915)=0,"",MAX((AC915:AE915&lt;&gt;"")*(COLUMN(AC915:AE915)-(COLUMN(AC915)-2))))-1),"")</f>
        <v>ARCHIVED</v>
      </c>
      <c r="M915" s="13" t="n">
        <f aca="true">K915-TODAY()</f>
        <v>-302</v>
      </c>
      <c r="N915" s="18" t="s">
        <v>749</v>
      </c>
      <c r="O915" s="13" t="s">
        <v>3577</v>
      </c>
      <c r="P915" s="19" t="n">
        <v>3983882</v>
      </c>
      <c r="Q915" s="20" t="s">
        <v>4066</v>
      </c>
      <c r="R915" s="13" t="s">
        <v>752</v>
      </c>
      <c r="S915" s="14" t="n">
        <v>35979</v>
      </c>
      <c r="T915" s="13" t="s">
        <v>40</v>
      </c>
      <c r="U915" s="13" t="s">
        <v>4067</v>
      </c>
      <c r="V915" s="13" t="s">
        <v>42</v>
      </c>
      <c r="W915" s="13" t="s">
        <v>43</v>
      </c>
      <c r="X915" s="21" t="n">
        <v>83140594295</v>
      </c>
      <c r="Y915" s="22" t="str">
        <f aca="false">O915</f>
        <v>Kerani Gudang</v>
      </c>
      <c r="Z915" s="13" t="str">
        <f aca="false">IFERROR(__xludf.dummyfunction("if(BJ915="""","""",GOOGLETRANSLATE(BJ915,""auto"",""en""))"),"Warehouse Clerk")</f>
        <v>Warehouse Clerk</v>
      </c>
      <c r="AA915" s="23" t="str">
        <f aca="false">IF(C915="","", CHOOSE(MONTH(C915),"January","February","March","April","May","June","July","August","September","October","November","December")&amp;" "&amp;DAY(C915)&amp;MID("thstndrdth",MIN(9,2*RIGHT(DAY(C915))*(MOD(DAY(C915)-11,100)&gt;2)+1),2)&amp;","&amp;TEXT(C915," yyyy"))</f>
        <v>February 2nd,2023</v>
      </c>
      <c r="AB915" s="15" t="str">
        <f aca="true">IF(S915="","",DATEDIF(S915,TODAY(),"Y")&amp;" Tahun, "&amp;DATEDIF(S915,TODAY(),"YM")&amp;" Bulan, "&amp;DATEDIF(S915,TODAY(),"MD")&amp;" Hari")</f>
        <v>28 Tahun, 3 Bulan, 26 Hari</v>
      </c>
      <c r="AC915" s="18" t="n">
        <v>45658</v>
      </c>
      <c r="AD915" s="18" t="n">
        <v>46022</v>
      </c>
      <c r="AE915" s="18" t="s">
        <v>44</v>
      </c>
    </row>
    <row r="916" customFormat="false" ht="15.75" hidden="false" customHeight="true" outlineLevel="0" collapsed="false">
      <c r="A916" s="12" t="n">
        <v>9921</v>
      </c>
      <c r="B916" s="13" t="s">
        <v>4068</v>
      </c>
      <c r="C916" s="14" t="n">
        <v>44956</v>
      </c>
      <c r="D916" s="13" t="s">
        <v>613</v>
      </c>
      <c r="E916" s="15" t="s">
        <v>47</v>
      </c>
      <c r="F916" s="15" t="str">
        <f aca="false">IFERROR(__xludf.dummyfunction("XLOOKUP(AJ916,IMPORTRANGE(""1XaInW9DU9nz21V0tYIfzFQ0He9kVQ_JF2mCXgZ3hqFA"",""REKAP ALL 2026 - Andika!G:G""),IMPORTRANGE(""1XaInW9DU9nz21V0tYIfzFQ0He9kVQ_JF2mCXgZ3hqFA"",""REKAP ALL 2026 - Andika!F:F""),"""",0)"),"26005755215")</f>
        <v>26005755215</v>
      </c>
      <c r="G916" s="13" t="s">
        <v>4069</v>
      </c>
      <c r="H916" s="13" t="s">
        <v>35</v>
      </c>
      <c r="I916" s="13" t="str">
        <f aca="false">IF(C916=J916,"NEW KONTRAK","RE-KONTRAK")</f>
        <v>RE-KONTRAK</v>
      </c>
      <c r="J916" s="16" t="n">
        <f aca="false" t="array" ref="J916:J916">IFERROR(INDEX(AC916:AE916,IF(COUNTA(AC916:AE916)=0,"",MAX((AC916:AE916&lt;&gt;"")*(COLUMN(AC916:AE916)-(COLUMN(AC916)))))-1),"")</f>
        <v>45704</v>
      </c>
      <c r="K916" s="16" t="n">
        <f aca="false" t="array" ref="K916:K916">IFERROR(INDEX(AC916:AE916,IF(COUNTA(AC916:AE916)=0,"",MAX((AC916:AE916&lt;&gt;"")*(COLUMN(AC916:AE916)-(COLUMN(AC916)-1))))-1),"")</f>
        <v>45884</v>
      </c>
      <c r="L916" s="17" t="str">
        <f aca="false" t="array" ref="L916:L916">IFERROR(INDEX(AC916:AE916,IF(COUNTA(AC916:AE916)=0,"",MAX((AC916:AE916&lt;&gt;"")*(COLUMN(AC916:AE916)-(COLUMN(AC916)-2))))-1),"")</f>
        <v>ARCHIVED</v>
      </c>
      <c r="M916" s="13" t="n">
        <f aca="true">K916-TODAY()</f>
        <v>-440</v>
      </c>
      <c r="N916" s="18" t="s">
        <v>615</v>
      </c>
      <c r="O916" s="13" t="s">
        <v>58</v>
      </c>
      <c r="P916" s="19" t="n">
        <v>5176101</v>
      </c>
      <c r="Q916" s="20" t="s">
        <v>4070</v>
      </c>
      <c r="R916" s="13" t="s">
        <v>232</v>
      </c>
      <c r="S916" s="14" t="n">
        <v>38245</v>
      </c>
      <c r="T916" s="13" t="s">
        <v>40</v>
      </c>
      <c r="U916" s="13" t="s">
        <v>4071</v>
      </c>
      <c r="V916" s="13" t="s">
        <v>42</v>
      </c>
      <c r="W916" s="13" t="s">
        <v>43</v>
      </c>
      <c r="X916" s="21" t="n">
        <v>85704308955</v>
      </c>
      <c r="Y916" s="22" t="str">
        <f aca="false">O916</f>
        <v>Produksi</v>
      </c>
      <c r="Z916" s="13" t="str">
        <f aca="false">IFERROR(__xludf.dummyfunction("if(BJ916="""","""",GOOGLETRANSLATE(BJ916,""auto"",""en""))"),"Production")</f>
        <v>Production</v>
      </c>
      <c r="AA916" s="23" t="str">
        <f aca="false">IF(C916="","", CHOOSE(MONTH(C916),"January","February","March","April","May","June","July","August","September","October","November","December")&amp;" "&amp;DAY(C916)&amp;MID("thstndrdth",MIN(9,2*RIGHT(DAY(C916))*(MOD(DAY(C916)-11,100)&gt;2)+1),2)&amp;","&amp;TEXT(C916," yyyy"))</f>
        <v>January 30th,2023</v>
      </c>
      <c r="AB916" s="15" t="str">
        <f aca="true">IF(S916="","",DATEDIF(S916,TODAY(),"Y")&amp;" Tahun, "&amp;DATEDIF(S916,TODAY(),"YM")&amp;" Bulan, "&amp;DATEDIF(S916,TODAY(),"MD")&amp;" Hari")</f>
        <v>22 Tahun, 1 Bulan, 14 Hari</v>
      </c>
      <c r="AC916" s="18" t="n">
        <v>45704</v>
      </c>
      <c r="AD916" s="18" t="n">
        <v>45884</v>
      </c>
      <c r="AE916" s="18" t="s">
        <v>44</v>
      </c>
    </row>
    <row r="917" customFormat="false" ht="15.75" hidden="false" customHeight="true" outlineLevel="0" collapsed="false">
      <c r="A917" s="12" t="n">
        <v>9922</v>
      </c>
      <c r="B917" s="13" t="s">
        <v>4072</v>
      </c>
      <c r="C917" s="14" t="n">
        <v>44956</v>
      </c>
      <c r="D917" s="13" t="s">
        <v>613</v>
      </c>
      <c r="E917" s="15" t="s">
        <v>47</v>
      </c>
      <c r="F917" s="15" t="str">
        <f aca="false">IFERROR(__xludf.dummyfunction("XLOOKUP(AJ917,IMPORTRANGE(""1XaInW9DU9nz21V0tYIfzFQ0He9kVQ_JF2mCXgZ3hqFA"",""REKAP ALL 2026 - Andika!G:G""),IMPORTRANGE(""1XaInW9DU9nz21V0tYIfzFQ0He9kVQ_JF2mCXgZ3hqFA"",""REKAP ALL 2026 - Andika!F:F""),"""",0)"),"26005755132")</f>
        <v>26005755132</v>
      </c>
      <c r="G917" s="13" t="s">
        <v>4073</v>
      </c>
      <c r="H917" s="13" t="s">
        <v>35</v>
      </c>
      <c r="I917" s="13" t="str">
        <f aca="false">IF(C917=J917,"NEW KONTRAK","RE-KONTRAK")</f>
        <v>RE-KONTRAK</v>
      </c>
      <c r="J917" s="16" t="n">
        <f aca="false" t="array" ref="J917:J917">IFERROR(INDEX(AC917:AE917,IF(COUNTA(AC917:AE917)=0,"",MAX((AC917:AE917&lt;&gt;"")*(COLUMN(AC917:AE917)-(COLUMN(AC917)))))-1),"")</f>
        <v>45885</v>
      </c>
      <c r="K917" s="16" t="n">
        <f aca="false" t="array" ref="K917:K917">IFERROR(INDEX(AC917:AE917,IF(COUNTA(AC917:AE917)=0,"",MAX((AC917:AE917&lt;&gt;"")*(COLUMN(AC917:AE917)-(COLUMN(AC917)-1))))-1),"")</f>
        <v>46068</v>
      </c>
      <c r="L917" s="17" t="str">
        <f aca="false" t="array" ref="L917:L917">IFERROR(INDEX(AC917:AE917,IF(COUNTA(AC917:AE917)=0,"",MAX((AC917:AE917&lt;&gt;"")*(COLUMN(AC917:AE917)-(COLUMN(AC917)-2))))-1),"")</f>
        <v>ARCHIVED</v>
      </c>
      <c r="M917" s="13" t="n">
        <f aca="true">K917-TODAY()</f>
        <v>-256</v>
      </c>
      <c r="N917" s="18" t="s">
        <v>615</v>
      </c>
      <c r="O917" s="13" t="s">
        <v>58</v>
      </c>
      <c r="P917" s="19" t="n">
        <v>5176101</v>
      </c>
      <c r="Q917" s="20" t="s">
        <v>4074</v>
      </c>
      <c r="R917" s="13" t="s">
        <v>232</v>
      </c>
      <c r="S917" s="14" t="n">
        <v>34609</v>
      </c>
      <c r="T917" s="13" t="s">
        <v>40</v>
      </c>
      <c r="U917" s="13" t="s">
        <v>4075</v>
      </c>
      <c r="V917" s="13" t="s">
        <v>42</v>
      </c>
      <c r="W917" s="13" t="s">
        <v>54</v>
      </c>
      <c r="X917" s="21" t="n">
        <v>85852233229</v>
      </c>
      <c r="Y917" s="22" t="str">
        <f aca="false">O917</f>
        <v>Produksi</v>
      </c>
      <c r="Z917" s="13" t="str">
        <f aca="false">IFERROR(__xludf.dummyfunction("if(BJ917="""","""",GOOGLETRANSLATE(BJ917,""auto"",""en""))"),"Production")</f>
        <v>Production</v>
      </c>
      <c r="AA917" s="23" t="str">
        <f aca="false">IF(C917="","", CHOOSE(MONTH(C917),"January","February","March","April","May","June","July","August","September","October","November","December")&amp;" "&amp;DAY(C917)&amp;MID("thstndrdth",MIN(9,2*RIGHT(DAY(C917))*(MOD(DAY(C917)-11,100)&gt;2)+1),2)&amp;","&amp;TEXT(C917," yyyy"))</f>
        <v>January 30th,2023</v>
      </c>
      <c r="AB917" s="15" t="str">
        <f aca="true">IF(S917="","",DATEDIF(S917,TODAY(),"Y")&amp;" Tahun, "&amp;DATEDIF(S917,TODAY(),"YM")&amp;" Bulan, "&amp;DATEDIF(S917,TODAY(),"MD")&amp;" Hari")</f>
        <v>32 Tahun, 0 Bulan, 27 Hari</v>
      </c>
      <c r="AC917" s="18" t="n">
        <v>45885</v>
      </c>
      <c r="AD917" s="18" t="n">
        <v>46068</v>
      </c>
      <c r="AE917" s="18" t="s">
        <v>44</v>
      </c>
    </row>
    <row r="918" customFormat="false" ht="15.75" hidden="false" customHeight="true" outlineLevel="0" collapsed="false">
      <c r="A918" s="12" t="n">
        <v>9923</v>
      </c>
      <c r="B918" s="13" t="s">
        <v>4076</v>
      </c>
      <c r="C918" s="14" t="n">
        <v>44956</v>
      </c>
      <c r="D918" s="13" t="s">
        <v>613</v>
      </c>
      <c r="E918" s="15" t="s">
        <v>47</v>
      </c>
      <c r="F918" s="15" t="str">
        <f aca="false">IFERROR(__xludf.dummyfunction("XLOOKUP(AJ918,IMPORTRANGE(""1XaInW9DU9nz21V0tYIfzFQ0He9kVQ_JF2mCXgZ3hqFA"",""REKAP ALL 2026 - Andika!G:G""),IMPORTRANGE(""1XaInW9DU9nz21V0tYIfzFQ0He9kVQ_JF2mCXgZ3hqFA"",""REKAP ALL 2026 - Andika!F:F""),"""",0)"),"26005755157")</f>
        <v>26005755157</v>
      </c>
      <c r="G918" s="13" t="s">
        <v>4077</v>
      </c>
      <c r="H918" s="13" t="s">
        <v>35</v>
      </c>
      <c r="I918" s="13" t="str">
        <f aca="false">IF(C918=J918,"NEW KONTRAK","RE-KONTRAK")</f>
        <v>RE-KONTRAK</v>
      </c>
      <c r="J918" s="16" t="n">
        <f aca="false" t="array" ref="J918:J918">IFERROR(INDEX(AC918:AE918,IF(COUNTA(AC918:AE918)=0,"",MAX((AC918:AE918&lt;&gt;"")*(COLUMN(AC918:AE918)-(COLUMN(AC918)))))-1),"")</f>
        <v>45704</v>
      </c>
      <c r="K918" s="16" t="n">
        <f aca="false" t="array" ref="K918:K918">IFERROR(INDEX(AC918:AE918,IF(COUNTA(AC918:AE918)=0,"",MAX((AC918:AE918&lt;&gt;"")*(COLUMN(AC918:AE918)-(COLUMN(AC918)-1))))-1),"")</f>
        <v>45884</v>
      </c>
      <c r="L918" s="17" t="str">
        <f aca="false" t="array" ref="L918:L918">IFERROR(INDEX(AC918:AE918,IF(COUNTA(AC918:AE918)=0,"",MAX((AC918:AE918&lt;&gt;"")*(COLUMN(AC918:AE918)-(COLUMN(AC918)-2))))-1),"")</f>
        <v>ARCHIVED</v>
      </c>
      <c r="M918" s="13" t="n">
        <f aca="true">K918-TODAY()</f>
        <v>-440</v>
      </c>
      <c r="N918" s="18" t="s">
        <v>615</v>
      </c>
      <c r="O918" s="13" t="s">
        <v>58</v>
      </c>
      <c r="P918" s="19" t="n">
        <v>5176101</v>
      </c>
      <c r="Q918" s="20" t="s">
        <v>4078</v>
      </c>
      <c r="R918" s="13" t="s">
        <v>232</v>
      </c>
      <c r="S918" s="14" t="n">
        <v>33089</v>
      </c>
      <c r="T918" s="13" t="s">
        <v>40</v>
      </c>
      <c r="U918" s="13" t="s">
        <v>4079</v>
      </c>
      <c r="V918" s="13" t="s">
        <v>42</v>
      </c>
      <c r="W918" s="13" t="s">
        <v>54</v>
      </c>
      <c r="X918" s="21" t="n">
        <v>85944020283</v>
      </c>
      <c r="Y918" s="22" t="str">
        <f aca="false">O918</f>
        <v>Produksi</v>
      </c>
      <c r="Z918" s="13" t="str">
        <f aca="false">IFERROR(__xludf.dummyfunction("if(BJ918="""","""",GOOGLETRANSLATE(BJ918,""auto"",""en""))"),"Production")</f>
        <v>Production</v>
      </c>
      <c r="AA918" s="23" t="str">
        <f aca="false">IF(C918="","", CHOOSE(MONTH(C918),"January","February","March","April","May","June","July","August","September","October","November","December")&amp;" "&amp;DAY(C918)&amp;MID("thstndrdth",MIN(9,2*RIGHT(DAY(C918))*(MOD(DAY(C918)-11,100)&gt;2)+1),2)&amp;","&amp;TEXT(C918," yyyy"))</f>
        <v>January 30th,2023</v>
      </c>
      <c r="AB918" s="15" t="str">
        <f aca="true">IF(S918="","",DATEDIF(S918,TODAY(),"Y")&amp;" Tahun, "&amp;DATEDIF(S918,TODAY(),"YM")&amp;" Bulan, "&amp;DATEDIF(S918,TODAY(),"MD")&amp;" Hari")</f>
        <v>36 Tahun, 2 Bulan, 25 Hari</v>
      </c>
      <c r="AC918" s="18" t="n">
        <v>45704</v>
      </c>
      <c r="AD918" s="18" t="n">
        <v>45884</v>
      </c>
      <c r="AE918" s="18" t="s">
        <v>44</v>
      </c>
    </row>
    <row r="919" customFormat="false" ht="15.75" hidden="false" customHeight="true" outlineLevel="0" collapsed="false">
      <c r="A919" s="12" t="n">
        <v>7692</v>
      </c>
      <c r="B919" s="13" t="s">
        <v>4080</v>
      </c>
      <c r="C919" s="14" t="n">
        <v>44786</v>
      </c>
      <c r="D919" s="13" t="s">
        <v>2033</v>
      </c>
      <c r="E919" s="15" t="s">
        <v>47</v>
      </c>
      <c r="F919" s="15" t="str">
        <f aca="false">IFERROR(__xludf.dummyfunction("XLOOKUP(AJ919,IMPORTRANGE(""1XaInW9DU9nz21V0tYIfzFQ0He9kVQ_JF2mCXgZ3hqFA"",""REKAP ALL 2026 - Andika!G:G""),IMPORTRANGE(""1XaInW9DU9nz21V0tYIfzFQ0He9kVQ_JF2mCXgZ3hqFA"",""REKAP ALL 2026 - Andika!F:F""),"""",0)"),"22099842464")</f>
        <v>22099842464</v>
      </c>
      <c r="G919" s="13" t="s">
        <v>4081</v>
      </c>
      <c r="H919" s="13" t="s">
        <v>2035</v>
      </c>
      <c r="I919" s="13" t="str">
        <f aca="false">IF(C919=J919,"NEW KONTRAK","RE-KONTRAK")</f>
        <v>RE-KONTRAK</v>
      </c>
      <c r="J919" s="16" t="n">
        <f aca="false" t="array" ref="J919:J919">IFERROR(INDEX(AC919:AE919,IF(COUNTA(AC919:AE919)=0,"",MAX((AC919:AE919&lt;&gt;"")*(COLUMN(AC919:AE919)-(COLUMN(AC919)))))-1),"")</f>
        <v>45744</v>
      </c>
      <c r="K919" s="16" t="n">
        <f aca="false" t="array" ref="K919:K919">IFERROR(INDEX(AC919:AE919,IF(COUNTA(AC919:AE919)=0,"",MAX((AC919:AE919&lt;&gt;"")*(COLUMN(AC919:AE919)-(COLUMN(AC919)-1))))-1),"")</f>
        <v>45915</v>
      </c>
      <c r="L919" s="17" t="str">
        <f aca="false" t="array" ref="L919:L919">IFERROR(INDEX(AC919:AE919,IF(COUNTA(AC919:AE919)=0,"",MAX((AC919:AE919&lt;&gt;"")*(COLUMN(AC919:AE919)-(COLUMN(AC919)-2))))-1),"")</f>
        <v>ARCHIVED</v>
      </c>
      <c r="M919" s="13" t="n">
        <f aca="true">K919-TODAY()</f>
        <v>-409</v>
      </c>
      <c r="N919" s="18" t="s">
        <v>2414</v>
      </c>
      <c r="O919" s="13" t="s">
        <v>2037</v>
      </c>
      <c r="P919" s="19" t="n">
        <v>2474599</v>
      </c>
      <c r="Q919" s="20" t="s">
        <v>4082</v>
      </c>
      <c r="R919" s="13" t="s">
        <v>2414</v>
      </c>
      <c r="S919" s="14" t="n">
        <v>35730</v>
      </c>
      <c r="T919" s="13" t="s">
        <v>108</v>
      </c>
      <c r="U919" s="13" t="s">
        <v>4083</v>
      </c>
      <c r="V919" s="13" t="s">
        <v>42</v>
      </c>
      <c r="W919" s="13" t="s">
        <v>43</v>
      </c>
      <c r="X919" s="21" t="n">
        <v>89653729735</v>
      </c>
      <c r="Y919" s="22" t="str">
        <f aca="false">O919</f>
        <v>SPG/BA</v>
      </c>
      <c r="Z919" s="13" t="str">
        <f aca="false">IFERROR(__xludf.dummyfunction("if(BJ919="""","""",GOOGLETRANSLATE(BJ919,""auto"",""en""))"),"SPG/BA")</f>
        <v>SPG/BA</v>
      </c>
      <c r="AA919" s="23" t="str">
        <f aca="false">IF(C919="","", CHOOSE(MONTH(C919),"January","February","March","April","May","June","July","August","September","October","November","December")&amp;" "&amp;DAY(C919)&amp;MID("thstndrdth",MIN(9,2*RIGHT(DAY(C919))*(MOD(DAY(C919)-11,100)&gt;2)+1),2)&amp;","&amp;TEXT(C919," yyyy"))</f>
        <v>August 13th,2022</v>
      </c>
      <c r="AB919" s="15" t="str">
        <f aca="true">IF(S919="","",DATEDIF(S919,TODAY(),"Y")&amp;" Tahun, "&amp;DATEDIF(S919,TODAY(),"YM")&amp;" Bulan, "&amp;DATEDIF(S919,TODAY(),"MD")&amp;" Hari")</f>
        <v>29 Tahun, 0 Bulan, 2 Hari</v>
      </c>
      <c r="AC919" s="18" t="n">
        <v>45744</v>
      </c>
      <c r="AD919" s="18" t="n">
        <v>45915</v>
      </c>
      <c r="AE919" s="18" t="s">
        <v>44</v>
      </c>
    </row>
    <row r="920" customFormat="false" ht="15.75" hidden="false" customHeight="true" outlineLevel="0" collapsed="false">
      <c r="A920" s="12" t="n">
        <v>9936</v>
      </c>
      <c r="B920" s="13" t="s">
        <v>4084</v>
      </c>
      <c r="C920" s="14" t="n">
        <v>44939</v>
      </c>
      <c r="D920" s="13" t="s">
        <v>2033</v>
      </c>
      <c r="E920" s="15" t="s">
        <v>33</v>
      </c>
      <c r="F920" s="24" t="s">
        <v>4085</v>
      </c>
      <c r="G920" s="13" t="s">
        <v>4086</v>
      </c>
      <c r="H920" s="13" t="s">
        <v>2035</v>
      </c>
      <c r="I920" s="13" t="str">
        <f aca="false">IF(C920=J920,"NEW KONTRAK","RE-KONTRAK")</f>
        <v>RE-KONTRAK</v>
      </c>
      <c r="J920" s="16" t="n">
        <f aca="false" t="array" ref="J920:J920">IFERROR(INDEX(AC920:AE920,IF(COUNTA(AC920:AE920)=0,"",MAX((AC920:AE920&lt;&gt;"")*(COLUMN(AC920:AE920)-(COLUMN(AC920)))))-1),"")</f>
        <v>45744</v>
      </c>
      <c r="K920" s="16" t="n">
        <f aca="false" t="array" ref="K920:K920">IFERROR(INDEX(AC920:AE920,IF(COUNTA(AC920:AE920)=0,"",MAX((AC920:AE920&lt;&gt;"")*(COLUMN(AC920:AE920)-(COLUMN(AC920)-1))))-1),"")</f>
        <v>45915</v>
      </c>
      <c r="L920" s="17" t="str">
        <f aca="false" t="array" ref="L920:L920">IFERROR(INDEX(AC920:AE920,IF(COUNTA(AC920:AE920)=0,"",MAX((AC920:AE920&lt;&gt;"")*(COLUMN(AC920:AE920)-(COLUMN(AC920)-2))))-1),"")</f>
        <v>ARCHIVED</v>
      </c>
      <c r="M920" s="13" t="n">
        <f aca="true">K920-TODAY()</f>
        <v>-409</v>
      </c>
      <c r="N920" s="18" t="s">
        <v>3703</v>
      </c>
      <c r="O920" s="13" t="s">
        <v>2037</v>
      </c>
      <c r="P920" s="19" t="n">
        <v>2816888</v>
      </c>
      <c r="Q920" s="20" t="s">
        <v>4087</v>
      </c>
      <c r="R920" s="13" t="s">
        <v>3705</v>
      </c>
      <c r="S920" s="14" t="n">
        <v>36205</v>
      </c>
      <c r="T920" s="13" t="s">
        <v>108</v>
      </c>
      <c r="U920" s="13" t="s">
        <v>4088</v>
      </c>
      <c r="V920" s="13" t="s">
        <v>42</v>
      </c>
      <c r="W920" s="13" t="s">
        <v>43</v>
      </c>
      <c r="X920" s="21" t="n">
        <v>8986647065</v>
      </c>
      <c r="Y920" s="22" t="str">
        <f aca="false">O920</f>
        <v>SPG/BA</v>
      </c>
      <c r="Z920" s="13" t="str">
        <f aca="false">IFERROR(__xludf.dummyfunction("if(BJ920="""","""",GOOGLETRANSLATE(BJ920,""auto"",""en""))"),"SPG/BA")</f>
        <v>SPG/BA</v>
      </c>
      <c r="AA920" s="23" t="str">
        <f aca="false">IF(C920="","", CHOOSE(MONTH(C920),"January","February","March","April","May","June","July","August","September","October","November","December")&amp;" "&amp;DAY(C920)&amp;MID("thstndrdth",MIN(9,2*RIGHT(DAY(C920))*(MOD(DAY(C920)-11,100)&gt;2)+1),2)&amp;","&amp;TEXT(C920," yyyy"))</f>
        <v>January 13th,2023</v>
      </c>
      <c r="AB920" s="15" t="str">
        <f aca="true">IF(S920="","",DATEDIF(S920,TODAY(),"Y")&amp;" Tahun, "&amp;DATEDIF(S920,TODAY(),"YM")&amp;" Bulan, "&amp;DATEDIF(S920,TODAY(),"MD")&amp;" Hari")</f>
        <v>27 Tahun, 8 Bulan, 15 Hari</v>
      </c>
      <c r="AC920" s="18" t="n">
        <v>45744</v>
      </c>
      <c r="AD920" s="18" t="n">
        <v>45915</v>
      </c>
      <c r="AE920" s="18" t="s">
        <v>44</v>
      </c>
    </row>
    <row r="921" customFormat="false" ht="15.75" hidden="false" customHeight="true" outlineLevel="0" collapsed="false">
      <c r="A921" s="12" t="n">
        <v>9972</v>
      </c>
      <c r="B921" s="13" t="s">
        <v>4089</v>
      </c>
      <c r="C921" s="14" t="n">
        <v>44959</v>
      </c>
      <c r="D921" s="13" t="s">
        <v>2046</v>
      </c>
      <c r="E921" s="15" t="s">
        <v>102</v>
      </c>
      <c r="F921" s="15" t="str">
        <f aca="false">IFERROR(__xludf.dummyfunction("XLOOKUP(AJ921,IMPORTRANGE(""1XaInW9DU9nz21V0tYIfzFQ0He9kVQ_JF2mCXgZ3hqFA"",""REKAP ALL 2026 - Andika!G:G""),IMPORTRANGE(""1XaInW9DU9nz21V0tYIfzFQ0He9kVQ_JF2mCXgZ3hqFA"",""REKAP ALL 2026 - Andika!F:F""),"""",0)"),"23019107707")</f>
        <v>23019107707</v>
      </c>
      <c r="G921" s="13" t="s">
        <v>4090</v>
      </c>
      <c r="H921" s="13" t="s">
        <v>35</v>
      </c>
      <c r="I921" s="13" t="str">
        <f aca="false">IF(C921=J921,"NEW KONTRAK","RE-KONTRAK")</f>
        <v>RE-KONTRAK</v>
      </c>
      <c r="J921" s="16" t="n">
        <f aca="false" t="array" ref="J921:J921">IFERROR(INDEX(AC921:AE921,IF(COUNTA(AC921:AE921)=0,"",MAX((AC921:AE921&lt;&gt;"")*(COLUMN(AC921:AE921)-(COLUMN(AC921)))))-1),"")</f>
        <v>45839</v>
      </c>
      <c r="K921" s="16" t="n">
        <f aca="false" t="array" ref="K921:K921">IFERROR(INDEX(AC921:AE921,IF(COUNTA(AC921:AE921)=0,"",MAX((AC921:AE921&lt;&gt;"")*(COLUMN(AC921:AE921)-(COLUMN(AC921)-1))))-1),"")</f>
        <v>45961</v>
      </c>
      <c r="L921" s="17" t="str">
        <f aca="false" t="array" ref="L921:L921">IFERROR(INDEX(AC921:AE921,IF(COUNTA(AC921:AE921)=0,"",MAX((AC921:AE921&lt;&gt;"")*(COLUMN(AC921:AE921)-(COLUMN(AC921)-2))))-1),"")</f>
        <v>ARCHIVED</v>
      </c>
      <c r="M921" s="13" t="n">
        <f aca="true">K921-TODAY()</f>
        <v>-363</v>
      </c>
      <c r="N921" s="18" t="s">
        <v>36</v>
      </c>
      <c r="O921" s="13" t="s">
        <v>2055</v>
      </c>
      <c r="P921" s="19" t="s">
        <v>2050</v>
      </c>
      <c r="Q921" s="20" t="s">
        <v>4091</v>
      </c>
      <c r="R921" s="13" t="s">
        <v>83</v>
      </c>
      <c r="S921" s="14" t="n">
        <v>35828</v>
      </c>
      <c r="T921" s="13" t="s">
        <v>40</v>
      </c>
      <c r="U921" s="13" t="s">
        <v>4092</v>
      </c>
      <c r="V921" s="13" t="s">
        <v>42</v>
      </c>
      <c r="W921" s="13" t="s">
        <v>43</v>
      </c>
      <c r="X921" s="21" t="n">
        <v>85232423438</v>
      </c>
      <c r="Y921" s="22" t="str">
        <f aca="false">O921</f>
        <v>Assembly</v>
      </c>
      <c r="Z921" s="13" t="str">
        <f aca="false">IFERROR(__xludf.dummyfunction("if(BJ921="""","""",GOOGLETRANSLATE(BJ921,""auto"",""en""))"),"Assembly")</f>
        <v>Assembly</v>
      </c>
      <c r="AA921" s="23" t="str">
        <f aca="false">IF(C921="","", CHOOSE(MONTH(C921),"January","February","March","April","May","June","July","August","September","October","November","December")&amp;" "&amp;DAY(C921)&amp;MID("thstndrdth",MIN(9,2*RIGHT(DAY(C921))*(MOD(DAY(C921)-11,100)&gt;2)+1),2)&amp;","&amp;TEXT(C921," yyyy"))</f>
        <v>February 2nd,2023</v>
      </c>
      <c r="AB921" s="15" t="str">
        <f aca="true">IF(S921="","",DATEDIF(S921,TODAY(),"Y")&amp;" Tahun, "&amp;DATEDIF(S921,TODAY(),"YM")&amp;" Bulan, "&amp;DATEDIF(S921,TODAY(),"MD")&amp;" Hari")</f>
        <v>28 Tahun, 8 Bulan, 27 Hari</v>
      </c>
      <c r="AC921" s="18" t="n">
        <v>45839</v>
      </c>
      <c r="AD921" s="18" t="n">
        <v>45961</v>
      </c>
      <c r="AE921" s="18" t="s">
        <v>44</v>
      </c>
    </row>
    <row r="922" customFormat="false" ht="15.75" hidden="false" customHeight="true" outlineLevel="0" collapsed="false">
      <c r="A922" s="12" t="n">
        <v>9973</v>
      </c>
      <c r="B922" s="13" t="s">
        <v>4093</v>
      </c>
      <c r="C922" s="14" t="n">
        <v>44963</v>
      </c>
      <c r="D922" s="13" t="s">
        <v>774</v>
      </c>
      <c r="E922" s="15" t="s">
        <v>47</v>
      </c>
      <c r="F922" s="15" t="str">
        <f aca="false">IFERROR(__xludf.dummyfunction("XLOOKUP(AJ922,IMPORTRANGE(""1XaInW9DU9nz21V0tYIfzFQ0He9kVQ_JF2mCXgZ3hqFA"",""REKAP ALL 2026 - Andika!G:G""),IMPORTRANGE(""1XaInW9DU9nz21V0tYIfzFQ0He9kVQ_JF2mCXgZ3hqFA"",""REKAP ALL 2026 - Andika!F:F""),"""",0)"),"23019106410")</f>
        <v>23019106410</v>
      </c>
      <c r="G922" s="13" t="s">
        <v>4094</v>
      </c>
      <c r="H922" s="13" t="s">
        <v>49</v>
      </c>
      <c r="I922" s="13" t="str">
        <f aca="false">IF(C922=J922,"NEW KONTRAK","RE-KONTRAK")</f>
        <v>RE-KONTRAK</v>
      </c>
      <c r="J922" s="16" t="n">
        <f aca="false" t="array" ref="J922:J922">IFERROR(INDEX(AC922:AE922,IF(COUNTA(AC922:AE922)=0,"",MAX((AC922:AE922&lt;&gt;"")*(COLUMN(AC922:AE922)-(COLUMN(AC922)))))-1),"")</f>
        <v>45566</v>
      </c>
      <c r="K922" s="16" t="n">
        <f aca="false" t="array" ref="K922:K922">IFERROR(INDEX(AC922:AE922,IF(COUNTA(AC922:AE922)=0,"",MAX((AC922:AE922&lt;&gt;"")*(COLUMN(AC922:AE922)-(COLUMN(AC922)-1))))-1),"")</f>
        <v>45930</v>
      </c>
      <c r="L922" s="17" t="str">
        <f aca="false" t="array" ref="L922:L922">IFERROR(INDEX(AC922:AE922,IF(COUNTA(AC922:AE922)=0,"",MAX((AC922:AE922&lt;&gt;"")*(COLUMN(AC922:AE922)-(COLUMN(AC922)-2))))-1),"")</f>
        <v>ARCHIVED</v>
      </c>
      <c r="M922" s="13" t="n">
        <f aca="true">K922-TODAY()</f>
        <v>-394</v>
      </c>
      <c r="N922" s="18" t="s">
        <v>36</v>
      </c>
      <c r="O922" s="13" t="s">
        <v>624</v>
      </c>
      <c r="P922" s="19" t="n">
        <v>4500000</v>
      </c>
      <c r="Q922" s="20" t="s">
        <v>4095</v>
      </c>
      <c r="R922" s="13" t="s">
        <v>4058</v>
      </c>
      <c r="S922" s="14" t="n">
        <v>36218</v>
      </c>
      <c r="T922" s="13" t="s">
        <v>40</v>
      </c>
      <c r="U922" s="13" t="s">
        <v>4096</v>
      </c>
      <c r="V922" s="13" t="s">
        <v>42</v>
      </c>
      <c r="W922" s="13" t="s">
        <v>43</v>
      </c>
      <c r="X922" s="21" t="n">
        <v>81383784636</v>
      </c>
      <c r="Y922" s="22" t="str">
        <f aca="false">O922</f>
        <v>Quality Control</v>
      </c>
      <c r="Z922" s="13" t="str">
        <f aca="false">IFERROR(__xludf.dummyfunction("if(BJ922="""","""",GOOGLETRANSLATE(BJ922,""auto"",""en""))"),"Quality Control")</f>
        <v>Quality Control</v>
      </c>
      <c r="AA922" s="23" t="str">
        <f aca="false">IF(C922="","", CHOOSE(MONTH(C922),"January","February","March","April","May","June","July","August","September","October","November","December")&amp;" "&amp;DAY(C922)&amp;MID("thstndrdth",MIN(9,2*RIGHT(DAY(C922))*(MOD(DAY(C922)-11,100)&gt;2)+1),2)&amp;","&amp;TEXT(C922," yyyy"))</f>
        <v>February 6th,2023</v>
      </c>
      <c r="AB922" s="15" t="str">
        <f aca="true">IF(S922="","",DATEDIF(S922,TODAY(),"Y")&amp;" Tahun, "&amp;DATEDIF(S922,TODAY(),"YM")&amp;" Bulan, "&amp;DATEDIF(S922,TODAY(),"MD")&amp;" Hari")</f>
        <v>27 Tahun, 8 Bulan, 2 Hari</v>
      </c>
      <c r="AC922" s="18" t="n">
        <v>45566</v>
      </c>
      <c r="AD922" s="18" t="n">
        <v>45930</v>
      </c>
      <c r="AE922" s="18" t="s">
        <v>44</v>
      </c>
    </row>
    <row r="923" customFormat="false" ht="15.75" hidden="false" customHeight="true" outlineLevel="0" collapsed="false">
      <c r="A923" s="12" t="n">
        <v>10022</v>
      </c>
      <c r="B923" s="13" t="s">
        <v>4097</v>
      </c>
      <c r="C923" s="14" t="n">
        <v>44979</v>
      </c>
      <c r="D923" s="13" t="s">
        <v>404</v>
      </c>
      <c r="E923" s="15" t="s">
        <v>47</v>
      </c>
      <c r="F923" s="15" t="str">
        <f aca="false">IFERROR(__xludf.dummyfunction("XLOOKUP(AJ923,IMPORTRANGE(""1XaInW9DU9nz21V0tYIfzFQ0He9kVQ_JF2mCXgZ3hqFA"",""REKAP ALL 2026 - Andika!G:G""),IMPORTRANGE(""1XaInW9DU9nz21V0tYIfzFQ0He9kVQ_JF2mCXgZ3hqFA"",""REKAP ALL 2026 - Andika!F:F""),"""",0)"),"23031595905")</f>
        <v>23031595905</v>
      </c>
      <c r="G923" s="13" t="s">
        <v>4098</v>
      </c>
      <c r="H923" s="13" t="s">
        <v>35</v>
      </c>
      <c r="I923" s="13" t="str">
        <f aca="false">IF(C923=J923,"NEW KONTRAK","RE-KONTRAK")</f>
        <v>RE-KONTRAK</v>
      </c>
      <c r="J923" s="16" t="n">
        <f aca="false" t="array" ref="J923:J923">IFERROR(INDEX(AC923:AE923,IF(COUNTA(AC923:AE923)=0,"",MAX((AC923:AE923&lt;&gt;"")*(COLUMN(AC923:AE923)-(COLUMN(AC923)))))-1),"")</f>
        <v>45658</v>
      </c>
      <c r="K923" s="16" t="n">
        <f aca="false" t="array" ref="K923:K923">IFERROR(INDEX(AC923:AE923,IF(COUNTA(AC923:AE923)=0,"",MAX((AC923:AE923&lt;&gt;"")*(COLUMN(AC923:AE923)-(COLUMN(AC923)-1))))-1),"")</f>
        <v>46022</v>
      </c>
      <c r="L923" s="17" t="str">
        <f aca="false" t="array" ref="L923:L923">IFERROR(INDEX(AC923:AE923,IF(COUNTA(AC923:AE923)=0,"",MAX((AC923:AE923&lt;&gt;"")*(COLUMN(AC923:AE923)-(COLUMN(AC923)-2))))-1),"")</f>
        <v>ARCHIVED</v>
      </c>
      <c r="M923" s="13" t="n">
        <f aca="true">K923-TODAY()</f>
        <v>-302</v>
      </c>
      <c r="N923" s="18" t="s">
        <v>36</v>
      </c>
      <c r="O923" s="13" t="s">
        <v>450</v>
      </c>
      <c r="P923" s="26" t="n">
        <v>5195401</v>
      </c>
      <c r="Q923" s="20" t="s">
        <v>4099</v>
      </c>
      <c r="R923" s="13" t="s">
        <v>65</v>
      </c>
      <c r="S923" s="14" t="n">
        <v>34115</v>
      </c>
      <c r="T923" s="13" t="s">
        <v>108</v>
      </c>
      <c r="U923" s="13" t="s">
        <v>4100</v>
      </c>
      <c r="V923" s="13" t="s">
        <v>42</v>
      </c>
      <c r="W923" s="13" t="s">
        <v>54</v>
      </c>
      <c r="X923" s="21" t="n">
        <v>81334387002</v>
      </c>
      <c r="Y923" s="22" t="str">
        <f aca="false">O923</f>
        <v>QC &amp; QA</v>
      </c>
      <c r="Z923" s="13" t="str">
        <f aca="false">IFERROR(__xludf.dummyfunction("if(BJ923="""","""",GOOGLETRANSLATE(BJ923,""auto"",""en""))"),"QC &amp; QA")</f>
        <v>QC &amp; QA</v>
      </c>
      <c r="AA923" s="23" t="str">
        <f aca="false">IF(C923="","", CHOOSE(MONTH(C923),"January","February","March","April","May","June","July","August","September","October","November","December")&amp;" "&amp;DAY(C923)&amp;MID("thstndrdth",MIN(9,2*RIGHT(DAY(C923))*(MOD(DAY(C923)-11,100)&gt;2)+1),2)&amp;","&amp;TEXT(C923," yyyy"))</f>
        <v>February 22nd,2023</v>
      </c>
      <c r="AB923" s="15" t="str">
        <f aca="true">IF(S923="","",DATEDIF(S923,TODAY(),"Y")&amp;" Tahun, "&amp;DATEDIF(S923,TODAY(),"YM")&amp;" Bulan, "&amp;DATEDIF(S923,TODAY(),"MD")&amp;" Hari")</f>
        <v>33 Tahun, 5 Bulan, 3 Hari</v>
      </c>
      <c r="AC923" s="18" t="n">
        <v>45658</v>
      </c>
      <c r="AD923" s="18" t="n">
        <v>46022</v>
      </c>
      <c r="AE923" s="18" t="s">
        <v>44</v>
      </c>
    </row>
    <row r="924" customFormat="false" ht="15.75" hidden="false" customHeight="true" outlineLevel="0" collapsed="false">
      <c r="A924" s="12" t="n">
        <v>10025</v>
      </c>
      <c r="B924" s="13" t="s">
        <v>4101</v>
      </c>
      <c r="C924" s="14" t="n">
        <v>44978</v>
      </c>
      <c r="D924" s="13" t="s">
        <v>32</v>
      </c>
      <c r="E924" s="15" t="s">
        <v>33</v>
      </c>
      <c r="F924" s="24" t="s">
        <v>4102</v>
      </c>
      <c r="G924" s="13" t="s">
        <v>4103</v>
      </c>
      <c r="H924" s="13" t="s">
        <v>35</v>
      </c>
      <c r="I924" s="13" t="str">
        <f aca="false">IF(C924=J924,"NEW KONTRAK","RE-KONTRAK")</f>
        <v>RE-KONTRAK</v>
      </c>
      <c r="J924" s="16" t="n">
        <f aca="false" t="array" ref="J924:J924">IFERROR(INDEX(AC924:AE924,IF(COUNTA(AC924:AE924)=0,"",MAX((AC924:AE924&lt;&gt;"")*(COLUMN(AC924:AE924)-(COLUMN(AC924)))))-1),"")</f>
        <v>45658</v>
      </c>
      <c r="K924" s="16" t="n">
        <f aca="false" t="array" ref="K924:K924">IFERROR(INDEX(AC924:AE924,IF(COUNTA(AC924:AE924)=0,"",MAX((AC924:AE924&lt;&gt;"")*(COLUMN(AC924:AE924)-(COLUMN(AC924)-1))))-1),"")</f>
        <v>46022</v>
      </c>
      <c r="L924" s="17" t="str">
        <f aca="false" t="array" ref="L924:L924">IFERROR(INDEX(AC924:AE924,IF(COUNTA(AC924:AE924)=0,"",MAX((AC924:AE924&lt;&gt;"")*(COLUMN(AC924:AE924)-(COLUMN(AC924)-2))))-1),"")</f>
        <v>ARCHIVED</v>
      </c>
      <c r="M924" s="13" t="n">
        <f aca="true">K924-TODAY()</f>
        <v>-302</v>
      </c>
      <c r="N924" s="18" t="s">
        <v>36</v>
      </c>
      <c r="O924" s="13" t="s">
        <v>37</v>
      </c>
      <c r="P924" s="19" t="n">
        <v>5300000</v>
      </c>
      <c r="Q924" s="20" t="s">
        <v>4104</v>
      </c>
      <c r="R924" s="13" t="s">
        <v>763</v>
      </c>
      <c r="S924" s="14" t="n">
        <v>36391</v>
      </c>
      <c r="T924" s="13" t="s">
        <v>40</v>
      </c>
      <c r="U924" s="13" t="s">
        <v>4105</v>
      </c>
      <c r="V924" s="13" t="s">
        <v>42</v>
      </c>
      <c r="W924" s="13" t="s">
        <v>54</v>
      </c>
      <c r="X924" s="21" t="n">
        <v>81325731353</v>
      </c>
      <c r="Y924" s="22" t="str">
        <f aca="false">O924</f>
        <v>External Logistic</v>
      </c>
      <c r="Z924" s="13" t="str">
        <f aca="false">IFERROR(__xludf.dummyfunction("if(BJ924="""","""",GOOGLETRANSLATE(BJ924,""auto"",""en""))"),"External Logistic")</f>
        <v>External Logistic</v>
      </c>
      <c r="AA924" s="23" t="str">
        <f aca="false">IF(C924="","", CHOOSE(MONTH(C924),"January","February","March","April","May","June","July","August","September","October","November","December")&amp;" "&amp;DAY(C924)&amp;MID("thstndrdth",MIN(9,2*RIGHT(DAY(C924))*(MOD(DAY(C924)-11,100)&gt;2)+1),2)&amp;","&amp;TEXT(C924," yyyy"))</f>
        <v>February 21st,2023</v>
      </c>
      <c r="AB924" s="15" t="str">
        <f aca="true">IF(S924="","",DATEDIF(S924,TODAY(),"Y")&amp;" Tahun, "&amp;DATEDIF(S924,TODAY(),"YM")&amp;" Bulan, "&amp;DATEDIF(S924,TODAY(),"MD")&amp;" Hari")</f>
        <v>27 Tahun, 2 Bulan, 10 Hari</v>
      </c>
      <c r="AC924" s="18" t="n">
        <v>45658</v>
      </c>
      <c r="AD924" s="18" t="n">
        <v>46022</v>
      </c>
      <c r="AE924" s="18" t="s">
        <v>44</v>
      </c>
    </row>
    <row r="925" customFormat="false" ht="15.75" hidden="false" customHeight="true" outlineLevel="0" collapsed="false">
      <c r="A925" s="12" t="n">
        <v>10026</v>
      </c>
      <c r="B925" s="13" t="s">
        <v>4106</v>
      </c>
      <c r="C925" s="14" t="n">
        <v>44970</v>
      </c>
      <c r="D925" s="13" t="s">
        <v>32</v>
      </c>
      <c r="E925" s="15" t="s">
        <v>789</v>
      </c>
      <c r="F925" s="15" t="str">
        <f aca="false">IFERROR(__xludf.dummyfunction("XLOOKUP(AJ925,IMPORTRANGE(""1XaInW9DU9nz21V0tYIfzFQ0He9kVQ_JF2mCXgZ3hqFA"",""REKAP ALL 2026 - Andika!G:G""),IMPORTRANGE(""1XaInW9DU9nz21V0tYIfzFQ0He9kVQ_JF2mCXgZ3hqFA"",""REKAP ALL 2026 - Andika!F:F""),"""",0)"),"23031596473")</f>
        <v>23031596473</v>
      </c>
      <c r="G925" s="13" t="s">
        <v>4107</v>
      </c>
      <c r="H925" s="13" t="s">
        <v>35</v>
      </c>
      <c r="I925" s="13" t="str">
        <f aca="false">IF(C925=J925,"NEW KONTRAK","RE-KONTRAK")</f>
        <v>RE-KONTRAK</v>
      </c>
      <c r="J925" s="16" t="n">
        <f aca="false" t="array" ref="J925:J925">IFERROR(INDEX(AC925:AE925,IF(COUNTA(AC925:AE925)=0,"",MAX((AC925:AE925&lt;&gt;"")*(COLUMN(AC925:AE925)-(COLUMN(AC925)))))-1),"")</f>
        <v>45839</v>
      </c>
      <c r="K925" s="16" t="n">
        <f aca="false" t="array" ref="K925:K925">IFERROR(INDEX(AC925:AE925,IF(COUNTA(AC925:AE925)=0,"",MAX((AC925:AE925&lt;&gt;"")*(COLUMN(AC925:AE925)-(COLUMN(AC925)-1))))-1),"")</f>
        <v>45930</v>
      </c>
      <c r="L925" s="17" t="str">
        <f aca="false" t="array" ref="L925:L925">IFERROR(INDEX(AC925:AE925,IF(COUNTA(AC925:AE925)=0,"",MAX((AC925:AE925&lt;&gt;"")*(COLUMN(AC925:AE925)-(COLUMN(AC925)-2))))-1),"")</f>
        <v>ARCHIVED</v>
      </c>
      <c r="M925" s="13" t="n">
        <f aca="true">K925-TODAY()</f>
        <v>-394</v>
      </c>
      <c r="N925" s="18" t="s">
        <v>36</v>
      </c>
      <c r="O925" s="13" t="s">
        <v>4108</v>
      </c>
      <c r="P925" s="19" t="n">
        <v>5600000</v>
      </c>
      <c r="Q925" s="20" t="s">
        <v>4109</v>
      </c>
      <c r="R925" s="13" t="s">
        <v>52</v>
      </c>
      <c r="S925" s="14" t="n">
        <v>36970</v>
      </c>
      <c r="T925" s="13" t="s">
        <v>40</v>
      </c>
      <c r="U925" s="13" t="s">
        <v>4110</v>
      </c>
      <c r="V925" s="13" t="s">
        <v>42</v>
      </c>
      <c r="W925" s="13" t="s">
        <v>43</v>
      </c>
      <c r="X925" s="21" t="n">
        <v>89655516118</v>
      </c>
      <c r="Y925" s="22" t="str">
        <f aca="false">O925</f>
        <v>Project Engineering Drafter</v>
      </c>
      <c r="Z925" s="13" t="str">
        <f aca="false">IFERROR(__xludf.dummyfunction("if(BJ925="""","""",GOOGLETRANSLATE(BJ925,""auto"",""en""))"),"Project Engineering Drafter")</f>
        <v>Project Engineering Drafter</v>
      </c>
      <c r="AA925" s="23" t="str">
        <f aca="false">IF(C925="","", CHOOSE(MONTH(C925),"January","February","March","April","May","June","July","August","September","October","November","December")&amp;" "&amp;DAY(C925)&amp;MID("thstndrdth",MIN(9,2*RIGHT(DAY(C925))*(MOD(DAY(C925)-11,100)&gt;2)+1),2)&amp;","&amp;TEXT(C925," yyyy"))</f>
        <v>February 13th,2023</v>
      </c>
      <c r="AB925" s="15" t="str">
        <f aca="true">IF(S925="","",DATEDIF(S925,TODAY(),"Y")&amp;" Tahun, "&amp;DATEDIF(S925,TODAY(),"YM")&amp;" Bulan, "&amp;DATEDIF(S925,TODAY(),"MD")&amp;" Hari")</f>
        <v>25 Tahun, 7 Bulan, 9 Hari</v>
      </c>
      <c r="AC925" s="18" t="n">
        <v>45839</v>
      </c>
      <c r="AD925" s="18" t="n">
        <v>45930</v>
      </c>
      <c r="AE925" s="18" t="s">
        <v>44</v>
      </c>
    </row>
    <row r="926" customFormat="false" ht="15.75" hidden="false" customHeight="true" outlineLevel="0" collapsed="false">
      <c r="A926" s="12" t="n">
        <v>10034</v>
      </c>
      <c r="B926" s="13" t="s">
        <v>4111</v>
      </c>
      <c r="C926" s="14" t="n">
        <v>44982</v>
      </c>
      <c r="D926" s="13" t="s">
        <v>4112</v>
      </c>
      <c r="E926" s="15" t="s">
        <v>102</v>
      </c>
      <c r="F926" s="15" t="str">
        <f aca="false">IFERROR(__xludf.dummyfunction("XLOOKUP(AJ926,IMPORTRANGE(""1XaInW9DU9nz21V0tYIfzFQ0He9kVQ_JF2mCXgZ3hqFA"",""REKAP ALL 2026 - Andika!G:G""),IMPORTRANGE(""1XaInW9DU9nz21V0tYIfzFQ0He9kVQ_JF2mCXgZ3hqFA"",""REKAP ALL 2026 - Andika!F:F""),"""",0)"),"24136903010")</f>
        <v>24136903010</v>
      </c>
      <c r="G926" s="13" t="s">
        <v>1127</v>
      </c>
      <c r="H926" s="13" t="s">
        <v>35</v>
      </c>
      <c r="I926" s="13" t="str">
        <f aca="false">IF(C926=J926,"NEW KONTRAK","RE-KONTRAK")</f>
        <v>RE-KONTRAK</v>
      </c>
      <c r="J926" s="16" t="n">
        <f aca="false" t="array" ref="J926:J926">IFERROR(INDEX(AC926:AE926,IF(COUNTA(AC926:AE926)=0,"",MAX((AC926:AE926&lt;&gt;"")*(COLUMN(AC926:AE926)-(COLUMN(AC926)))))-1),"")</f>
        <v>45713</v>
      </c>
      <c r="K926" s="16" t="n">
        <f aca="false" t="array" ref="K926:K926">IFERROR(INDEX(AC926:AE926,IF(COUNTA(AC926:AE926)=0,"",MAX((AC926:AE926&lt;&gt;"")*(COLUMN(AC926:AE926)-(COLUMN(AC926)-1))))-1),"")</f>
        <v>46077</v>
      </c>
      <c r="L926" s="17" t="str">
        <f aca="false" t="array" ref="L926:L926">IFERROR(INDEX(AC926:AE926,IF(COUNTA(AC926:AE926)=0,"",MAX((AC926:AE926&lt;&gt;"")*(COLUMN(AC926:AE926)-(COLUMN(AC926)-2))))-1),"")</f>
        <v>ARCHIVED</v>
      </c>
      <c r="M926" s="13" t="n">
        <f aca="true">K926-TODAY()</f>
        <v>-247</v>
      </c>
      <c r="N926" s="18" t="s">
        <v>728</v>
      </c>
      <c r="O926" s="13" t="s">
        <v>58</v>
      </c>
      <c r="P926" s="19" t="n">
        <f aca="false">2750000/25</f>
        <v>110000</v>
      </c>
      <c r="Q926" s="20" t="s">
        <v>4113</v>
      </c>
      <c r="R926" s="13" t="s">
        <v>83</v>
      </c>
      <c r="S926" s="14" t="n">
        <v>37931</v>
      </c>
      <c r="T926" s="13" t="s">
        <v>40</v>
      </c>
      <c r="U926" s="13" t="s">
        <v>4114</v>
      </c>
      <c r="V926" s="13" t="s">
        <v>42</v>
      </c>
      <c r="W926" s="13" t="s">
        <v>43</v>
      </c>
      <c r="X926" s="21" t="n">
        <v>81917290573</v>
      </c>
      <c r="Y926" s="22" t="str">
        <f aca="false">O926</f>
        <v>Produksi</v>
      </c>
      <c r="Z926" s="13" t="str">
        <f aca="false">IFERROR(__xludf.dummyfunction("if(BJ926="""","""",GOOGLETRANSLATE(BJ926,""auto"",""en""))"),"Production")</f>
        <v>Production</v>
      </c>
      <c r="AA926" s="23" t="str">
        <f aca="false">IF(C926="","", CHOOSE(MONTH(C926),"January","February","March","April","May","June","July","August","September","October","November","December")&amp;" "&amp;DAY(C926)&amp;MID("thstndrdth",MIN(9,2*RIGHT(DAY(C926))*(MOD(DAY(C926)-11,100)&gt;2)+1),2)&amp;","&amp;TEXT(C926," yyyy"))</f>
        <v>February 25th,2023</v>
      </c>
      <c r="AB926" s="15" t="str">
        <f aca="true">IF(S926="","",DATEDIF(S926,TODAY(),"Y")&amp;" Tahun, "&amp;DATEDIF(S926,TODAY(),"YM")&amp;" Bulan, "&amp;DATEDIF(S926,TODAY(),"MD")&amp;" Hari")</f>
        <v>22 Tahun, 11 Bulan, 23 Hari</v>
      </c>
      <c r="AC926" s="18" t="n">
        <v>45713</v>
      </c>
      <c r="AD926" s="18" t="n">
        <v>46077</v>
      </c>
      <c r="AE926" s="18" t="s">
        <v>44</v>
      </c>
    </row>
    <row r="927" customFormat="false" ht="15.75" hidden="false" customHeight="true" outlineLevel="0" collapsed="false">
      <c r="A927" s="12" t="n">
        <v>10054</v>
      </c>
      <c r="B927" s="13" t="s">
        <v>4115</v>
      </c>
      <c r="C927" s="14" t="n">
        <v>44984</v>
      </c>
      <c r="D927" s="13" t="s">
        <v>144</v>
      </c>
      <c r="E927" s="15" t="s">
        <v>102</v>
      </c>
      <c r="F927" s="15" t="str">
        <f aca="false">IFERROR(__xludf.dummyfunction("XLOOKUP(AJ927,IMPORTRANGE(""1XaInW9DU9nz21V0tYIfzFQ0He9kVQ_JF2mCXgZ3hqFA"",""REKAP ALL 2026 - Andika!G:G""),IMPORTRANGE(""1XaInW9DU9nz21V0tYIfzFQ0He9kVQ_JF2mCXgZ3hqFA"",""REKAP ALL 2026 - Andika!F:F""),"""",0)"),"23031598297")</f>
        <v>23031598297</v>
      </c>
      <c r="G927" s="13" t="s">
        <v>4116</v>
      </c>
      <c r="H927" s="13" t="s">
        <v>35</v>
      </c>
      <c r="I927" s="13" t="str">
        <f aca="false">IF(C927=J927,"NEW KONTRAK","RE-KONTRAK")</f>
        <v>RE-KONTRAK</v>
      </c>
      <c r="J927" s="16" t="n">
        <f aca="false" t="array" ref="J927:J927">IFERROR(INDEX(AC927:AE927,IF(COUNTA(AC927:AE927)=0,"",MAX((AC927:AE927&lt;&gt;"")*(COLUMN(AC927:AE927)-(COLUMN(AC927)))))-1),"")</f>
        <v>45658</v>
      </c>
      <c r="K927" s="16" t="n">
        <f aca="false" t="array" ref="K927:K927">IFERROR(INDEX(AC927:AE927,IF(COUNTA(AC927:AE927)=0,"",MAX((AC927:AE927&lt;&gt;"")*(COLUMN(AC927:AE927)-(COLUMN(AC927)-1))))-1),"")</f>
        <v>46022</v>
      </c>
      <c r="L927" s="17" t="str">
        <f aca="false" t="array" ref="L927:L927">IFERROR(INDEX(AC927:AE927,IF(COUNTA(AC927:AE927)=0,"",MAX((AC927:AE927&lt;&gt;"")*(COLUMN(AC927:AE927)-(COLUMN(AC927)-2))))-1),"")</f>
        <v>ARCHIVED</v>
      </c>
      <c r="M927" s="13" t="n">
        <f aca="true">K927-TODAY()</f>
        <v>-302</v>
      </c>
      <c r="N927" s="18" t="s">
        <v>36</v>
      </c>
      <c r="O927" s="13" t="s">
        <v>146</v>
      </c>
      <c r="P927" s="19" t="n">
        <v>5195401</v>
      </c>
      <c r="Q927" s="20" t="s">
        <v>4117</v>
      </c>
      <c r="R927" s="13" t="s">
        <v>78</v>
      </c>
      <c r="S927" s="14" t="n">
        <v>36229</v>
      </c>
      <c r="T927" s="13" t="s">
        <v>40</v>
      </c>
      <c r="U927" s="13" t="s">
        <v>4118</v>
      </c>
      <c r="V927" s="13" t="s">
        <v>42</v>
      </c>
      <c r="W927" s="13" t="s">
        <v>43</v>
      </c>
      <c r="X927" s="21" t="n">
        <v>85710356054</v>
      </c>
      <c r="Y927" s="22" t="str">
        <f aca="false">O927</f>
        <v>Enamel</v>
      </c>
      <c r="Z927" s="13" t="str">
        <f aca="false">IFERROR(__xludf.dummyfunction("if(BJ927="""","""",GOOGLETRANSLATE(BJ927,""auto"",""en""))"),"Enamel")</f>
        <v>Enamel</v>
      </c>
      <c r="AA927" s="23" t="str">
        <f aca="false">IF(C927="","", CHOOSE(MONTH(C927),"January","February","March","April","May","June","July","August","September","October","November","December")&amp;" "&amp;DAY(C927)&amp;MID("thstndrdth",MIN(9,2*RIGHT(DAY(C927))*(MOD(DAY(C927)-11,100)&gt;2)+1),2)&amp;","&amp;TEXT(C927," yyyy"))</f>
        <v>February 27th,2023</v>
      </c>
      <c r="AB927" s="15" t="str">
        <f aca="true">IF(S927="","",DATEDIF(S927,TODAY(),"Y")&amp;" Tahun, "&amp;DATEDIF(S927,TODAY(),"YM")&amp;" Bulan, "&amp;DATEDIF(S927,TODAY(),"MD")&amp;" Hari")</f>
        <v>27 Tahun, 7 Bulan, 19 Hari</v>
      </c>
      <c r="AC927" s="18" t="n">
        <v>45658</v>
      </c>
      <c r="AD927" s="18" t="n">
        <v>46022</v>
      </c>
      <c r="AE927" s="18" t="s">
        <v>44</v>
      </c>
    </row>
    <row r="928" customFormat="false" ht="15.75" hidden="false" customHeight="true" outlineLevel="0" collapsed="false">
      <c r="A928" s="12" t="n">
        <v>10058</v>
      </c>
      <c r="B928" s="13" t="s">
        <v>4119</v>
      </c>
      <c r="C928" s="14" t="n">
        <v>44984</v>
      </c>
      <c r="D928" s="13" t="s">
        <v>144</v>
      </c>
      <c r="E928" s="15" t="s">
        <v>47</v>
      </c>
      <c r="F928" s="15" t="str">
        <f aca="false">IFERROR(__xludf.dummyfunction("XLOOKUP(AJ928,IMPORTRANGE(""1XaInW9DU9nz21V0tYIfzFQ0He9kVQ_JF2mCXgZ3hqFA"",""REKAP ALL 2026 - Andika!G:G""),IMPORTRANGE(""1XaInW9DU9nz21V0tYIfzFQ0He9kVQ_JF2mCXgZ3hqFA"",""REKAP ALL 2026 - Andika!F:F""),"""",0)"),"23031598453")</f>
        <v>23031598453</v>
      </c>
      <c r="G928" s="13" t="s">
        <v>4120</v>
      </c>
      <c r="H928" s="13" t="s">
        <v>35</v>
      </c>
      <c r="I928" s="13" t="str">
        <f aca="false">IF(C928=J928,"NEW KONTRAK","RE-KONTRAK")</f>
        <v>RE-KONTRAK</v>
      </c>
      <c r="J928" s="16" t="n">
        <f aca="false" t="array" ref="J928:J928">IFERROR(INDEX(AC928:AE928,IF(COUNTA(AC928:AE928)=0,"",MAX((AC928:AE928&lt;&gt;"")*(COLUMN(AC928:AE928)-(COLUMN(AC928)))))-1),"")</f>
        <v>45658</v>
      </c>
      <c r="K928" s="16" t="n">
        <f aca="false" t="array" ref="K928:K928">IFERROR(INDEX(AC928:AE928,IF(COUNTA(AC928:AE928)=0,"",MAX((AC928:AE928&lt;&gt;"")*(COLUMN(AC928:AE928)-(COLUMN(AC928)-1))))-1),"")</f>
        <v>46022</v>
      </c>
      <c r="L928" s="17" t="str">
        <f aca="false" t="array" ref="L928:L928">IFERROR(INDEX(AC928:AE928,IF(COUNTA(AC928:AE928)=0,"",MAX((AC928:AE928&lt;&gt;"")*(COLUMN(AC928:AE928)-(COLUMN(AC928)-2))))-1),"")</f>
        <v>ARCHIVED</v>
      </c>
      <c r="M928" s="13" t="n">
        <f aca="true">K928-TODAY()</f>
        <v>-302</v>
      </c>
      <c r="N928" s="18" t="s">
        <v>36</v>
      </c>
      <c r="O928" s="13" t="s">
        <v>146</v>
      </c>
      <c r="P928" s="19" t="n">
        <v>5195401</v>
      </c>
      <c r="Q928" s="20" t="s">
        <v>4121</v>
      </c>
      <c r="R928" s="13" t="s">
        <v>246</v>
      </c>
      <c r="S928" s="14" t="n">
        <v>37421</v>
      </c>
      <c r="T928" s="13" t="s">
        <v>40</v>
      </c>
      <c r="U928" s="13" t="s">
        <v>4122</v>
      </c>
      <c r="V928" s="13" t="s">
        <v>42</v>
      </c>
      <c r="W928" s="13" t="s">
        <v>43</v>
      </c>
      <c r="X928" s="21" t="n">
        <v>83856902613</v>
      </c>
      <c r="Y928" s="22" t="str">
        <f aca="false">O928</f>
        <v>Enamel</v>
      </c>
      <c r="Z928" s="13" t="str">
        <f aca="false">IFERROR(__xludf.dummyfunction("if(BJ928="""","""",GOOGLETRANSLATE(BJ928,""auto"",""en""))"),"Enamel")</f>
        <v>Enamel</v>
      </c>
      <c r="AA928" s="23" t="str">
        <f aca="false">IF(C928="","", CHOOSE(MONTH(C928),"January","February","March","April","May","June","July","August","September","October","November","December")&amp;" "&amp;DAY(C928)&amp;MID("thstndrdth",MIN(9,2*RIGHT(DAY(C928))*(MOD(DAY(C928)-11,100)&gt;2)+1),2)&amp;","&amp;TEXT(C928," yyyy"))</f>
        <v>February 27th,2023</v>
      </c>
      <c r="AB928" s="15" t="str">
        <f aca="true">IF(S928="","",DATEDIF(S928,TODAY(),"Y")&amp;" Tahun, "&amp;DATEDIF(S928,TODAY(),"YM")&amp;" Bulan, "&amp;DATEDIF(S928,TODAY(),"MD")&amp;" Hari")</f>
        <v>24 Tahun, 4 Bulan, 15 Hari</v>
      </c>
      <c r="AC928" s="18" t="n">
        <v>45658</v>
      </c>
      <c r="AD928" s="18" t="n">
        <v>46022</v>
      </c>
      <c r="AE928" s="18" t="s">
        <v>44</v>
      </c>
    </row>
    <row r="929" customFormat="false" ht="15.75" hidden="false" customHeight="true" outlineLevel="0" collapsed="false">
      <c r="A929" s="12" t="n">
        <v>10860</v>
      </c>
      <c r="B929" s="13" t="s">
        <v>4123</v>
      </c>
      <c r="C929" s="14" t="n">
        <v>45078</v>
      </c>
      <c r="D929" s="13" t="s">
        <v>101</v>
      </c>
      <c r="E929" s="15" t="s">
        <v>47</v>
      </c>
      <c r="F929" s="15" t="str">
        <f aca="false">IFERROR(__xludf.dummyfunction("XLOOKUP(AJ929,IMPORTRANGE(""1XaInW9DU9nz21V0tYIfzFQ0He9kVQ_JF2mCXgZ3hqFA"",""REKAP ALL 2026 - Andika!G:G""),IMPORTRANGE(""1XaInW9DU9nz21V0tYIfzFQ0He9kVQ_JF2mCXgZ3hqFA"",""REKAP ALL 2026 - Andika!F:F""),"""",0)"),"23076924747")</f>
        <v>23076924747</v>
      </c>
      <c r="G929" s="13" t="s">
        <v>4124</v>
      </c>
      <c r="H929" s="13" t="s">
        <v>35</v>
      </c>
      <c r="I929" s="13" t="str">
        <f aca="false">IF(C929=J929,"NEW KONTRAK","RE-KONTRAK")</f>
        <v>RE-KONTRAK</v>
      </c>
      <c r="J929" s="16" t="n">
        <f aca="false" t="array" ref="J929:J929">IFERROR(INDEX(AC929:AE929,IF(COUNTA(AC929:AE929)=0,"",MAX((AC929:AE929&lt;&gt;"")*(COLUMN(AC929:AE929)-(COLUMN(AC929)))))-1),"")</f>
        <v>45672</v>
      </c>
      <c r="K929" s="16" t="n">
        <f aca="false" t="array" ref="K929:K929">IFERROR(INDEX(AC929:AE929,IF(COUNTA(AC929:AE929)=0,"",MAX((AC929:AE929&lt;&gt;"")*(COLUMN(AC929:AE929)-(COLUMN(AC929)-1))))-1),"")</f>
        <v>46036</v>
      </c>
      <c r="L929" s="17" t="str">
        <f aca="false" t="array" ref="L929:L929">IFERROR(INDEX(AC929:AE929,IF(COUNTA(AC929:AE929)=0,"",MAX((AC929:AE929&lt;&gt;"")*(COLUMN(AC929:AE929)-(COLUMN(AC929)-2))))-1),"")</f>
        <v>ARCHIVED</v>
      </c>
      <c r="M929" s="13" t="n">
        <f aca="true">K929-TODAY()</f>
        <v>-288</v>
      </c>
      <c r="N929" s="18" t="s">
        <v>105</v>
      </c>
      <c r="O929" s="13" t="s">
        <v>106</v>
      </c>
      <c r="P929" s="31" t="n">
        <v>138915</v>
      </c>
      <c r="Q929" s="20" t="s">
        <v>4125</v>
      </c>
      <c r="R929" s="13" t="s">
        <v>39</v>
      </c>
      <c r="S929" s="25" t="n">
        <v>35906</v>
      </c>
      <c r="T929" s="13" t="s">
        <v>108</v>
      </c>
      <c r="U929" s="13" t="s">
        <v>4126</v>
      </c>
      <c r="V929" s="13" t="s">
        <v>42</v>
      </c>
      <c r="W929" s="13" t="s">
        <v>54</v>
      </c>
      <c r="X929" s="21" t="n">
        <v>895405984650</v>
      </c>
      <c r="Y929" s="22" t="str">
        <f aca="false">O929</f>
        <v>Produksi - Helper</v>
      </c>
      <c r="Z929" s="13" t="str">
        <f aca="false">IFERROR(__xludf.dummyfunction("if(BJ929="""","""",GOOGLETRANSLATE(BJ929,""auto"",""en""))"),"Production - Helper")</f>
        <v>Production - Helper</v>
      </c>
      <c r="AA929" s="23" t="str">
        <f aca="false">IF(C929="","", CHOOSE(MONTH(C929),"January","February","March","April","May","June","July","August","September","October","November","December")&amp;" "&amp;DAY(C929)&amp;MID("thstndrdth",MIN(9,2*RIGHT(DAY(C929))*(MOD(DAY(C929)-11,100)&gt;2)+1),2)&amp;","&amp;TEXT(C929," yyyy"))</f>
        <v>June 1st,2023</v>
      </c>
      <c r="AB929" s="15" t="str">
        <f aca="true">IF(S929="","",DATEDIF(S929,TODAY(),"Y")&amp;" Tahun, "&amp;DATEDIF(S929,TODAY(),"YM")&amp;" Bulan, "&amp;DATEDIF(S929,TODAY(),"MD")&amp;" Hari")</f>
        <v>28 Tahun, 6 Bulan, 8 Hari</v>
      </c>
      <c r="AC929" s="18" t="n">
        <v>45672</v>
      </c>
      <c r="AD929" s="18" t="n">
        <v>46036</v>
      </c>
      <c r="AE929" s="18" t="s">
        <v>44</v>
      </c>
    </row>
    <row r="930" customFormat="false" ht="15.75" hidden="false" customHeight="true" outlineLevel="0" collapsed="false">
      <c r="A930" s="12" t="n">
        <v>10069</v>
      </c>
      <c r="B930" s="13" t="s">
        <v>4127</v>
      </c>
      <c r="C930" s="14" t="n">
        <v>44959</v>
      </c>
      <c r="D930" s="13" t="s">
        <v>101</v>
      </c>
      <c r="E930" s="15" t="s">
        <v>102</v>
      </c>
      <c r="F930" s="15" t="str">
        <f aca="false">IFERROR(__xludf.dummyfunction("XLOOKUP(AJ930,IMPORTRANGE(""1XaInW9DU9nz21V0tYIfzFQ0He9kVQ_JF2mCXgZ3hqFA"",""REKAP ALL 2026 - Andika!G:G""),IMPORTRANGE(""1XaInW9DU9nz21V0tYIfzFQ0He9kVQ_JF2mCXgZ3hqFA"",""REKAP ALL 2026 - Andika!F:F""),"""",0)"),"23031604152")</f>
        <v>23031604152</v>
      </c>
      <c r="G930" s="13" t="s">
        <v>4128</v>
      </c>
      <c r="H930" s="13" t="s">
        <v>35</v>
      </c>
      <c r="I930" s="13" t="str">
        <f aca="false">IF(C930=J930,"NEW KONTRAK","RE-KONTRAK")</f>
        <v>RE-KONTRAK</v>
      </c>
      <c r="J930" s="16" t="n">
        <f aca="false" t="array" ref="J930:J930">IFERROR(INDEX(AC930:AE930,IF(COUNTA(AC930:AE930)=0,"",MAX((AC930:AE930&lt;&gt;"")*(COLUMN(AC930:AE930)-(COLUMN(AC930)))))-1),"")</f>
        <v>45672</v>
      </c>
      <c r="K930" s="16" t="n">
        <f aca="false" t="array" ref="K930:K930">IFERROR(INDEX(AC930:AE930,IF(COUNTA(AC930:AE930)=0,"",MAX((AC930:AE930&lt;&gt;"")*(COLUMN(AC930:AE930)-(COLUMN(AC930)-1))))-1),"")</f>
        <v>46036</v>
      </c>
      <c r="L930" s="17" t="str">
        <f aca="false" t="array" ref="L930:L930">IFERROR(INDEX(AC930:AE930,IF(COUNTA(AC930:AE930)=0,"",MAX((AC930:AE930&lt;&gt;"")*(COLUMN(AC930:AE930)-(COLUMN(AC930)-2))))-1),"")</f>
        <v>ARCHIVED</v>
      </c>
      <c r="M930" s="13" t="n">
        <f aca="true">K930-TODAY()</f>
        <v>-288</v>
      </c>
      <c r="N930" s="18" t="s">
        <v>105</v>
      </c>
      <c r="O930" s="13" t="s">
        <v>106</v>
      </c>
      <c r="P930" s="19" t="n">
        <v>132300</v>
      </c>
      <c r="Q930" s="20" t="s">
        <v>4129</v>
      </c>
      <c r="R930" s="13" t="s">
        <v>39</v>
      </c>
      <c r="S930" s="25" t="n">
        <v>37791</v>
      </c>
      <c r="T930" s="13" t="s">
        <v>40</v>
      </c>
      <c r="U930" s="13" t="s">
        <v>4130</v>
      </c>
      <c r="V930" s="13" t="s">
        <v>42</v>
      </c>
      <c r="W930" s="13" t="s">
        <v>43</v>
      </c>
      <c r="X930" s="21" t="n">
        <v>85646042686</v>
      </c>
      <c r="Y930" s="22" t="str">
        <f aca="false">O930</f>
        <v>Produksi - Helper</v>
      </c>
      <c r="Z930" s="13" t="str">
        <f aca="false">IFERROR(__xludf.dummyfunction("if(BJ930="""","""",GOOGLETRANSLATE(BJ930,""auto"",""en""))"),"Production - Helper")</f>
        <v>Production - Helper</v>
      </c>
      <c r="AA930" s="23" t="str">
        <f aca="false">IF(C930="","", CHOOSE(MONTH(C930),"January","February","March","April","May","June","July","August","September","October","November","December")&amp;" "&amp;DAY(C930)&amp;MID("thstndrdth",MIN(9,2*RIGHT(DAY(C930))*(MOD(DAY(C930)-11,100)&gt;2)+1),2)&amp;","&amp;TEXT(C930," yyyy"))</f>
        <v>February 2nd,2023</v>
      </c>
      <c r="AB930" s="15" t="str">
        <f aca="true">IF(S930="","",DATEDIF(S930,TODAY(),"Y")&amp;" Tahun, "&amp;DATEDIF(S930,TODAY(),"YM")&amp;" Bulan, "&amp;DATEDIF(S930,TODAY(),"MD")&amp;" Hari")</f>
        <v>23 Tahun, 4 Bulan, 10 Hari</v>
      </c>
      <c r="AC930" s="18" t="n">
        <v>45672</v>
      </c>
      <c r="AD930" s="18" t="n">
        <v>46036</v>
      </c>
      <c r="AE930" s="18" t="s">
        <v>44</v>
      </c>
    </row>
    <row r="931" customFormat="false" ht="15.75" hidden="false" customHeight="true" outlineLevel="0" collapsed="false">
      <c r="A931" s="12" t="n">
        <v>21732</v>
      </c>
      <c r="B931" s="13" t="s">
        <v>4131</v>
      </c>
      <c r="C931" s="16" t="n">
        <v>46023</v>
      </c>
      <c r="D931" s="13" t="s">
        <v>2033</v>
      </c>
      <c r="E931" s="15" t="s">
        <v>47</v>
      </c>
      <c r="F931" s="15" t="str">
        <f aca="false">IFERROR(__xludf.dummyfunction("XLOOKUP(AJ931,IMPORTRANGE(""1XaInW9DU9nz21V0tYIfzFQ0He9kVQ_JF2mCXgZ3hqFA"",""REKAP ALL 2026 - Andika!G:G""),IMPORTRANGE(""1XaInW9DU9nz21V0tYIfzFQ0He9kVQ_JF2mCXgZ3hqFA"",""REKAP ALL 2026 - Andika!F:F""),"""",0)"),"26020755273")</f>
        <v>26020755273</v>
      </c>
      <c r="G931" s="13" t="s">
        <v>1127</v>
      </c>
      <c r="H931" s="13" t="s">
        <v>35</v>
      </c>
      <c r="I931" s="13" t="str">
        <f aca="false">IF(C931=J931,"NEW KONTRAK","RE-KONTRAK")</f>
        <v>NEW KONTRAK</v>
      </c>
      <c r="J931" s="16" t="n">
        <f aca="false" t="array" ref="J931:J931">IFERROR(INDEX(AC931:AE931,IF(COUNTA(AC931:AE931)=0,"",MAX((AC931:AE931&lt;&gt;"")*(COLUMN(AC931:AE931)-(COLUMN(AC931)))))-1),"")</f>
        <v>46023</v>
      </c>
      <c r="K931" s="16" t="n">
        <f aca="false" t="array" ref="K931:K931">IFERROR(INDEX(AC931:AE931,IF(COUNTA(AC931:AE931)=0,"",MAX((AC931:AE931&lt;&gt;"")*(COLUMN(AC931:AE931)-(COLUMN(AC931)-1))))-1),"")</f>
        <v>46068</v>
      </c>
      <c r="L931" s="17" t="str">
        <f aca="false" t="array" ref="L931:L931">IFERROR(INDEX(AC931:AE931,IF(COUNTA(AC931:AE931)=0,"",MAX((AC931:AE931&lt;&gt;"")*(COLUMN(AC931:AE931)-(COLUMN(AC931)-2))))-1),"")</f>
        <v>KEMBALI</v>
      </c>
      <c r="M931" s="13" t="n">
        <f aca="true">K931-TODAY()</f>
        <v>-256</v>
      </c>
      <c r="N931" s="18" t="s">
        <v>4132</v>
      </c>
      <c r="O931" s="13" t="s">
        <v>2037</v>
      </c>
      <c r="P931" s="19" t="n">
        <v>3182955</v>
      </c>
      <c r="Q931" s="47" t="s">
        <v>4133</v>
      </c>
      <c r="R931" s="13" t="s">
        <v>4132</v>
      </c>
      <c r="S931" s="16" t="n">
        <v>36133</v>
      </c>
      <c r="T931" s="13" t="s">
        <v>108</v>
      </c>
      <c r="U931" s="13" t="s">
        <v>4134</v>
      </c>
      <c r="V931" s="13" t="s">
        <v>42</v>
      </c>
      <c r="W931" s="13" t="s">
        <v>54</v>
      </c>
      <c r="X931" s="21" t="n">
        <v>82285487827</v>
      </c>
      <c r="Y931" s="22" t="str">
        <f aca="false">O931</f>
        <v>SPG/BA</v>
      </c>
      <c r="Z931" s="13" t="str">
        <f aca="false">IFERROR(__xludf.dummyfunction("if(BJ931="""","""",GOOGLETRANSLATE(BJ931,""auto"",""en""))"),"SPG/BA")</f>
        <v>SPG/BA</v>
      </c>
      <c r="AA931" s="23" t="str">
        <f aca="false">IF(C931="","", CHOOSE(MONTH(C931),"January","February","March","April","May","June","July","August","September","October","November","December")&amp;" "&amp;DAY(C931)&amp;MID("thstndrdth",MIN(9,2*RIGHT(DAY(C931))*(MOD(DAY(C931)-11,100)&gt;2)+1),2)&amp;","&amp;TEXT(C931," yyyy"))</f>
        <v>January 1st,2026</v>
      </c>
      <c r="AB931" s="15" t="str">
        <f aca="true">IF(S931="","",DATEDIF(S931,TODAY(),"Y")&amp;" Tahun, "&amp;DATEDIF(S931,TODAY(),"YM")&amp;" Bulan, "&amp;DATEDIF(S931,TODAY(),"MD")&amp;" Hari")</f>
        <v>27 Tahun, 10 Bulan, 25 Hari</v>
      </c>
      <c r="AC931" s="18" t="n">
        <v>46023</v>
      </c>
      <c r="AD931" s="18" t="n">
        <v>46068</v>
      </c>
      <c r="AE931" s="13" t="s">
        <v>397</v>
      </c>
    </row>
    <row r="932" customFormat="false" ht="15.75" hidden="false" customHeight="true" outlineLevel="0" collapsed="false">
      <c r="A932" s="12" t="n">
        <v>21558</v>
      </c>
      <c r="B932" s="13" t="s">
        <v>4135</v>
      </c>
      <c r="C932" s="16" t="n">
        <v>45996</v>
      </c>
      <c r="D932" s="13" t="s">
        <v>2033</v>
      </c>
      <c r="E932" s="15" t="s">
        <v>47</v>
      </c>
      <c r="F932" s="15" t="str">
        <f aca="false">IFERROR(__xludf.dummyfunction("XLOOKUP(AJ932,IMPORTRANGE(""1XaInW9DU9nz21V0tYIfzFQ0He9kVQ_JF2mCXgZ3hqFA"",""REKAP ALL 2026 - Andika!G:G""),IMPORTRANGE(""1XaInW9DU9nz21V0tYIfzFQ0He9kVQ_JF2mCXgZ3hqFA"",""REKAP ALL 2026 - Andika!F:F""),"""",0)"),"26005755868")</f>
        <v>26005755868</v>
      </c>
      <c r="G932" s="13" t="s">
        <v>1127</v>
      </c>
      <c r="H932" s="13" t="s">
        <v>35</v>
      </c>
      <c r="I932" s="13" t="str">
        <f aca="false">IF(C932=J932,"NEW KONTRAK","RE-KONTRAK")</f>
        <v>NEW KONTRAK</v>
      </c>
      <c r="J932" s="16" t="n">
        <f aca="false" t="array" ref="J932:J932">IFERROR(INDEX(AC932:AE932,IF(COUNTA(AC932:AE932)=0,"",MAX((AC932:AE932&lt;&gt;"")*(COLUMN(AC932:AE932)-(COLUMN(AC932)))))-1),"")</f>
        <v>45996</v>
      </c>
      <c r="K932" s="16" t="n">
        <f aca="false" t="array" ref="K932:K932">IFERROR(INDEX(AC932:AE932,IF(COUNTA(AC932:AE932)=0,"",MAX((AC932:AE932&lt;&gt;"")*(COLUMN(AC932:AE932)-(COLUMN(AC932)-1))))-1),"")</f>
        <v>46037</v>
      </c>
      <c r="L932" s="17" t="str">
        <f aca="false" t="array" ref="L932:L932">IFERROR(INDEX(AC932:AE932,IF(COUNTA(AC932:AE932)=0,"",MAX((AC932:AE932&lt;&gt;"")*(COLUMN(AC932:AE932)-(COLUMN(AC932)-2))))-1),"")</f>
        <v>ARCHIVED</v>
      </c>
      <c r="M932" s="13" t="n">
        <f aca="true">K932-TODAY()</f>
        <v>-287</v>
      </c>
      <c r="N932" s="18" t="s">
        <v>3248</v>
      </c>
      <c r="O932" s="13" t="s">
        <v>2037</v>
      </c>
      <c r="P932" s="19" t="n">
        <v>5357982</v>
      </c>
      <c r="Q932" s="47" t="s">
        <v>4136</v>
      </c>
      <c r="R932" s="13" t="s">
        <v>3248</v>
      </c>
      <c r="S932" s="16" t="n">
        <v>38493</v>
      </c>
      <c r="T932" s="13" t="s">
        <v>108</v>
      </c>
      <c r="U932" s="13" t="s">
        <v>4137</v>
      </c>
      <c r="V932" s="13" t="s">
        <v>42</v>
      </c>
      <c r="W932" s="13" t="s">
        <v>43</v>
      </c>
      <c r="X932" s="21" t="n">
        <v>81932225719</v>
      </c>
      <c r="Y932" s="22" t="str">
        <f aca="false">O932</f>
        <v>SPG/BA</v>
      </c>
      <c r="Z932" s="13" t="str">
        <f aca="false">IFERROR(__xludf.dummyfunction("if(BJ932="""","""",GOOGLETRANSLATE(BJ932,""auto"",""en""))"),"SPG/BA")</f>
        <v>SPG/BA</v>
      </c>
      <c r="AA932" s="23" t="str">
        <f aca="false">IF(C932="","", CHOOSE(MONTH(C932),"January","February","March","April","May","June","July","August","September","October","November","December")&amp;" "&amp;DAY(C932)&amp;MID("thstndrdth",MIN(9,2*RIGHT(DAY(C932))*(MOD(DAY(C932)-11,100)&gt;2)+1),2)&amp;","&amp;TEXT(C932," yyyy"))</f>
        <v>December 5th,2025</v>
      </c>
      <c r="AB932" s="15" t="str">
        <f aca="true">IF(S932="","",DATEDIF(S932,TODAY(),"Y")&amp;" Tahun, "&amp;DATEDIF(S932,TODAY(),"YM")&amp;" Bulan, "&amp;DATEDIF(S932,TODAY(),"MD")&amp;" Hari")</f>
        <v>21 Tahun, 5 Bulan, 8 Hari</v>
      </c>
      <c r="AC932" s="18" t="n">
        <v>45996</v>
      </c>
      <c r="AD932" s="18" t="n">
        <v>46037</v>
      </c>
      <c r="AE932" s="13" t="s">
        <v>44</v>
      </c>
    </row>
    <row r="933" customFormat="false" ht="15.75" hidden="false" customHeight="true" outlineLevel="0" collapsed="false">
      <c r="A933" s="12" t="n">
        <v>22404</v>
      </c>
      <c r="B933" s="13" t="s">
        <v>4138</v>
      </c>
      <c r="C933" s="14" t="n">
        <v>46157</v>
      </c>
      <c r="D933" s="13" t="s">
        <v>2033</v>
      </c>
      <c r="E933" s="15" t="s">
        <v>47</v>
      </c>
      <c r="F933" s="24" t="s">
        <v>4139</v>
      </c>
      <c r="G933" s="24" t="s">
        <v>57</v>
      </c>
      <c r="H933" s="13" t="s">
        <v>35</v>
      </c>
      <c r="I933" s="13" t="str">
        <f aca="false">IF(C933=J933,"NEW KONTRAK","RE-KONTRAK")</f>
        <v>NEW KONTRAK</v>
      </c>
      <c r="J933" s="16" t="n">
        <f aca="false" t="array" ref="J933:J933">IFERROR(INDEX(AC933:AE933,IF(COUNTA(AC933:AE933)=0,"",MAX((AC933:AE933&lt;&gt;"")*(COLUMN(AC933:AE933)-(COLUMN(AC933)))))-1),"")</f>
        <v>46157</v>
      </c>
      <c r="K933" s="16" t="n">
        <f aca="false" t="array" ref="K933:K933">IFERROR(INDEX(AC933:AE933,IF(COUNTA(AC933:AE933)=0,"",MAX((AC933:AE933&lt;&gt;"")*(COLUMN(AC933:AE933)-(COLUMN(AC933)-1))))-1),"")</f>
        <v>46248</v>
      </c>
      <c r="L933" s="17" t="str">
        <f aca="false" t="array" ref="L933:L933">IFERROR(INDEX(AC933:AE933,IF(COUNTA(AC933:AE933)=0,"",MAX((AC933:AE933&lt;&gt;"")*(COLUMN(AC933:AE933)-(COLUMN(AC933)-2))))-1),"")</f>
        <v>KEMBALI ONLINE</v>
      </c>
      <c r="M933" s="13" t="n">
        <f aca="true">K933-TODAY()</f>
        <v>-76</v>
      </c>
      <c r="N933" s="13" t="s">
        <v>2434</v>
      </c>
      <c r="O933" s="13" t="s">
        <v>2037</v>
      </c>
      <c r="P933" s="26" t="n">
        <v>2827593</v>
      </c>
      <c r="Q933" s="47" t="s">
        <v>4140</v>
      </c>
      <c r="R933" s="13" t="s">
        <v>2434</v>
      </c>
      <c r="S933" s="16" t="n">
        <v>39559</v>
      </c>
      <c r="T933" s="13" t="s">
        <v>108</v>
      </c>
      <c r="U933" s="13" t="s">
        <v>4141</v>
      </c>
      <c r="V933" s="13" t="s">
        <v>42</v>
      </c>
      <c r="W933" s="13" t="s">
        <v>43</v>
      </c>
      <c r="X933" s="21" t="n">
        <v>88215694585</v>
      </c>
      <c r="Y933" s="22" t="str">
        <f aca="false">O933</f>
        <v>SPG/BA</v>
      </c>
      <c r="Z933" s="13" t="str">
        <f aca="false">IFERROR(__xludf.dummyfunction("if(BJ933="""","""",GOOGLETRANSLATE(BJ933,""auto"",""en""))"),"SPG/BA")</f>
        <v>SPG/BA</v>
      </c>
      <c r="AA933" s="23" t="str">
        <f aca="false">IF(C933="","", CHOOSE(MONTH(C933),"January","February","March","April","May","June","July","August","September","October","November","December")&amp;" "&amp;DAY(C933)&amp;MID("thstndrdth",MIN(9,2*RIGHT(DAY(C933))*(MOD(DAY(C933)-11,100)&gt;2)+1),2)&amp;","&amp;TEXT(C933," yyyy"))</f>
        <v>May 15th,2026</v>
      </c>
      <c r="AB933" s="15" t="str">
        <f aca="true">IF(S933="","",DATEDIF(S933,TODAY(),"Y")&amp;" Tahun, "&amp;DATEDIF(S933,TODAY(),"YM")&amp;" Bulan, "&amp;DATEDIF(S933,TODAY(),"MD")&amp;" Hari")</f>
        <v>18 Tahun, 6 Bulan, 8 Hari</v>
      </c>
      <c r="AC933" s="14" t="n">
        <v>46157</v>
      </c>
      <c r="AD933" s="18" t="n">
        <f aca="false">EDATE(AC933,3)-1</f>
        <v>46248</v>
      </c>
      <c r="AE933" s="13" t="s">
        <v>2387</v>
      </c>
    </row>
    <row r="934" customFormat="false" ht="15.75" hidden="false" customHeight="true" outlineLevel="0" collapsed="false">
      <c r="A934" s="12" t="n">
        <v>16304</v>
      </c>
      <c r="B934" s="13" t="s">
        <v>4142</v>
      </c>
      <c r="C934" s="14" t="n">
        <v>45454</v>
      </c>
      <c r="D934" s="13" t="s">
        <v>2033</v>
      </c>
      <c r="E934" s="15" t="s">
        <v>47</v>
      </c>
      <c r="F934" s="15" t="str">
        <f aca="false">IFERROR(__xludf.dummyfunction("XLOOKUP(AJ934,IMPORTRANGE(""1XaInW9DU9nz21V0tYIfzFQ0He9kVQ_JF2mCXgZ3hqFA"",""REKAP ALL 2026 - Andika!G:G""),IMPORTRANGE(""1XaInW9DU9nz21V0tYIfzFQ0He9kVQ_JF2mCXgZ3hqFA"",""REKAP ALL 2026 - Andika!F:F""),"""",0)"),"25133235207")</f>
        <v>25133235207</v>
      </c>
      <c r="G934" s="13" t="s">
        <v>1127</v>
      </c>
      <c r="H934" s="13" t="s">
        <v>2035</v>
      </c>
      <c r="I934" s="13" t="str">
        <f aca="false">IF(C934=J934,"NEW KONTRAK","RE-KONTRAK")</f>
        <v>RE-KONTRAK</v>
      </c>
      <c r="J934" s="16" t="n">
        <f aca="false" t="array" ref="J934:J934">IFERROR(INDEX(AC934:AE934,IF(COUNTA(AC934:AE934)=0,"",MAX((AC934:AE934&lt;&gt;"")*(COLUMN(AC934:AE934)-(COLUMN(AC934)))))-1),"")</f>
        <v>45654</v>
      </c>
      <c r="K934" s="16" t="n">
        <f aca="false" t="array" ref="K934:K934">IFERROR(INDEX(AC934:AE934,IF(COUNTA(AC934:AE934)=0,"",MAX((AC934:AE934&lt;&gt;"")*(COLUMN(AC934:AE934)-(COLUMN(AC934)-1))))-1),"")</f>
        <v>45743</v>
      </c>
      <c r="L934" s="17" t="str">
        <f aca="false" t="array" ref="L934:L934">IFERROR(INDEX(AC934:AE934,IF(COUNTA(AC934:AE934)=0,"",MAX((AC934:AE934&lt;&gt;"")*(COLUMN(AC934:AE934)-(COLUMN(AC934)-2))))-1),"")</f>
        <v>ARCHIVED</v>
      </c>
      <c r="M934" s="13" t="n">
        <f aca="true">K934-TODAY()</f>
        <v>-581</v>
      </c>
      <c r="N934" s="18" t="s">
        <v>2363</v>
      </c>
      <c r="O934" s="13" t="s">
        <v>4143</v>
      </c>
      <c r="P934" s="19" t="n">
        <v>4335198</v>
      </c>
      <c r="Q934" s="20" t="s">
        <v>4144</v>
      </c>
      <c r="R934" s="13" t="s">
        <v>2363</v>
      </c>
      <c r="S934" s="14" t="n">
        <v>34900</v>
      </c>
      <c r="T934" s="13" t="s">
        <v>108</v>
      </c>
      <c r="U934" s="13" t="s">
        <v>4145</v>
      </c>
      <c r="V934" s="13" t="s">
        <v>42</v>
      </c>
      <c r="W934" s="13" t="s">
        <v>54</v>
      </c>
      <c r="X934" s="21" t="n">
        <v>81268646366</v>
      </c>
      <c r="Y934" s="22" t="str">
        <f aca="false">O934</f>
        <v>front Office</v>
      </c>
      <c r="Z934" s="13" t="str">
        <f aca="false">IFERROR(__xludf.dummyfunction("if(BJ934="""","""",GOOGLETRANSLATE(BJ934,""auto"",""en""))"),"front Office")</f>
        <v>front Office</v>
      </c>
      <c r="AA934" s="23" t="str">
        <f aca="false">IF(C934="","", CHOOSE(MONTH(C934),"January","February","March","April","May","June","July","August","September","October","November","December")&amp;" "&amp;DAY(C934)&amp;MID("thstndrdth",MIN(9,2*RIGHT(DAY(C934))*(MOD(DAY(C934)-11,100)&gt;2)+1),2)&amp;","&amp;TEXT(C934," yyyy"))</f>
        <v>June 11th,2024</v>
      </c>
      <c r="AB934" s="15" t="str">
        <f aca="true">IF(S934="","",DATEDIF(S934,TODAY(),"Y")&amp;" Tahun, "&amp;DATEDIF(S934,TODAY(),"YM")&amp;" Bulan, "&amp;DATEDIF(S934,TODAY(),"MD")&amp;" Hari")</f>
        <v>31 Tahun, 3 Bulan, 9 Hari</v>
      </c>
      <c r="AC934" s="18" t="n">
        <v>45654</v>
      </c>
      <c r="AD934" s="18" t="n">
        <v>45743</v>
      </c>
      <c r="AE934" s="18" t="s">
        <v>44</v>
      </c>
    </row>
    <row r="935" customFormat="false" ht="15.75" hidden="false" customHeight="true" outlineLevel="0" collapsed="false">
      <c r="A935" s="12" t="n">
        <v>10174</v>
      </c>
      <c r="B935" s="13" t="s">
        <v>4146</v>
      </c>
      <c r="C935" s="14" t="n">
        <v>44992</v>
      </c>
      <c r="D935" s="13" t="s">
        <v>4112</v>
      </c>
      <c r="E935" s="15" t="s">
        <v>47</v>
      </c>
      <c r="F935" s="15" t="str">
        <f aca="false">IFERROR(__xludf.dummyfunction("XLOOKUP(AJ935,IMPORTRANGE(""1XaInW9DU9nz21V0tYIfzFQ0He9kVQ_JF2mCXgZ3hqFA"",""REKAP ALL 2026 - Andika!G:G""),IMPORTRANGE(""1XaInW9DU9nz21V0tYIfzFQ0He9kVQ_JF2mCXgZ3hqFA"",""REKAP ALL 2026 - Andika!F:F""),"""",0)"),"24136903085")</f>
        <v>24136903085</v>
      </c>
      <c r="G935" s="15" t="s">
        <v>4147</v>
      </c>
      <c r="H935" s="13" t="s">
        <v>35</v>
      </c>
      <c r="I935" s="13" t="str">
        <f aca="false">IF(C935=J935,"NEW KONTRAK","RE-KONTRAK")</f>
        <v>RE-KONTRAK</v>
      </c>
      <c r="J935" s="16" t="n">
        <f aca="false" t="array" ref="J935:J935">IFERROR(INDEX(AC935:AE935,IF(COUNTA(AC935:AE935)=0,"",MAX((AC935:AE935&lt;&gt;"")*(COLUMN(AC935:AE935)-(COLUMN(AC935)))))-1),"")</f>
        <v>45907</v>
      </c>
      <c r="K935" s="16" t="n">
        <f aca="false" t="array" ref="K935:K935">IFERROR(INDEX(AC935:AE935,IF(COUNTA(AC935:AE935)=0,"",MAX((AC935:AE935&lt;&gt;"")*(COLUMN(AC935:AE935)-(COLUMN(AC935)-1))))-1),"")</f>
        <v>46271</v>
      </c>
      <c r="L935" s="17" t="str">
        <f aca="false" t="array" ref="L935:L935">IFERROR(INDEX(AC935:AE935,IF(COUNTA(AC935:AE935)=0,"",MAX((AC935:AE935&lt;&gt;"")*(COLUMN(AC935:AE935)-(COLUMN(AC935)-2))))-1),"")</f>
        <v>ARCHIVED</v>
      </c>
      <c r="M935" s="13" t="n">
        <f aca="true">K935-TODAY()</f>
        <v>-53</v>
      </c>
      <c r="N935" s="18" t="s">
        <v>728</v>
      </c>
      <c r="O935" s="13" t="s">
        <v>58</v>
      </c>
      <c r="P935" s="19" t="n">
        <v>2900000</v>
      </c>
      <c r="Q935" s="20" t="s">
        <v>4148</v>
      </c>
      <c r="R935" s="13" t="s">
        <v>52</v>
      </c>
      <c r="S935" s="14" t="n">
        <v>37194</v>
      </c>
      <c r="T935" s="13" t="s">
        <v>40</v>
      </c>
      <c r="U935" s="13" t="s">
        <v>4149</v>
      </c>
      <c r="V935" s="13" t="s">
        <v>42</v>
      </c>
      <c r="W935" s="13" t="s">
        <v>43</v>
      </c>
      <c r="X935" s="21" t="n">
        <v>895353690040</v>
      </c>
      <c r="Y935" s="22" t="str">
        <f aca="false">O935</f>
        <v>Produksi</v>
      </c>
      <c r="Z935" s="13" t="str">
        <f aca="false">IFERROR(__xludf.dummyfunction("if(BJ935="""","""",GOOGLETRANSLATE(BJ935,""auto"",""en""))"),"Production")</f>
        <v>Production</v>
      </c>
      <c r="AA935" s="23" t="str">
        <f aca="false">IF(C935="","", CHOOSE(MONTH(C935),"January","February","March","April","May","June","July","August","September","October","November","December")&amp;" "&amp;DAY(C935)&amp;MID("thstndrdth",MIN(9,2*RIGHT(DAY(C935))*(MOD(DAY(C935)-11,100)&gt;2)+1),2)&amp;","&amp;TEXT(C935," yyyy"))</f>
        <v>March 7th,2023</v>
      </c>
      <c r="AB935" s="15" t="str">
        <f aca="true">IF(S935="","",DATEDIF(S935,TODAY(),"Y")&amp;" Tahun, "&amp;DATEDIF(S935,TODAY(),"YM")&amp;" Bulan, "&amp;DATEDIF(S935,TODAY(),"MD")&amp;" Hari")</f>
        <v>24 Tahun, 11 Bulan, 29 Hari</v>
      </c>
      <c r="AC935" s="18" t="n">
        <v>45907</v>
      </c>
      <c r="AD935" s="18" t="n">
        <v>46271</v>
      </c>
      <c r="AE935" s="18" t="s">
        <v>44</v>
      </c>
    </row>
    <row r="936" customFormat="false" ht="15.75" hidden="false" customHeight="true" outlineLevel="0" collapsed="false">
      <c r="A936" s="12" t="n">
        <v>10180</v>
      </c>
      <c r="B936" s="13" t="s">
        <v>4150</v>
      </c>
      <c r="C936" s="14" t="n">
        <v>44992</v>
      </c>
      <c r="D936" s="13" t="s">
        <v>4112</v>
      </c>
      <c r="E936" s="15" t="s">
        <v>47</v>
      </c>
      <c r="F936" s="15" t="str">
        <f aca="false">IFERROR(__xludf.dummyfunction("XLOOKUP(AJ936,IMPORTRANGE(""1XaInW9DU9nz21V0tYIfzFQ0He9kVQ_JF2mCXgZ3hqFA"",""REKAP ALL 2026 - Andika!G:G""),IMPORTRANGE(""1XaInW9DU9nz21V0tYIfzFQ0He9kVQ_JF2mCXgZ3hqFA"",""REKAP ALL 2026 - Andika!F:F""),"""",0)"),"24136903192")</f>
        <v>24136903192</v>
      </c>
      <c r="G936" s="15" t="s">
        <v>4151</v>
      </c>
      <c r="H936" s="13" t="s">
        <v>35</v>
      </c>
      <c r="I936" s="13" t="str">
        <f aca="false">IF(C936=J936,"NEW KONTRAK","RE-KONTRAK")</f>
        <v>RE-KONTRAK</v>
      </c>
      <c r="J936" s="16" t="n">
        <f aca="false" t="array" ref="J936:J936">IFERROR(INDEX(AC936:AE936,IF(COUNTA(AC936:AE936)=0,"",MAX((AC936:AE936&lt;&gt;"")*(COLUMN(AC936:AE936)-(COLUMN(AC936)))))-1),"")</f>
        <v>45907</v>
      </c>
      <c r="K936" s="16" t="n">
        <f aca="false" t="array" ref="K936:K936">IFERROR(INDEX(AC936:AE936,IF(COUNTA(AC936:AE936)=0,"",MAX((AC936:AE936&lt;&gt;"")*(COLUMN(AC936:AE936)-(COLUMN(AC936)-1))))-1),"")</f>
        <v>46271</v>
      </c>
      <c r="L936" s="17" t="str">
        <f aca="false" t="array" ref="L936:L936">IFERROR(INDEX(AC936:AE936,IF(COUNTA(AC936:AE936)=0,"",MAX((AC936:AE936&lt;&gt;"")*(COLUMN(AC936:AE936)-(COLUMN(AC936)-2))))-1),"")</f>
        <v>ARCHIVED</v>
      </c>
      <c r="M936" s="13" t="n">
        <f aca="true">K936-TODAY()</f>
        <v>-53</v>
      </c>
      <c r="N936" s="18" t="s">
        <v>728</v>
      </c>
      <c r="O936" s="13" t="s">
        <v>58</v>
      </c>
      <c r="P936" s="19" t="n">
        <v>2900000</v>
      </c>
      <c r="Q936" s="20" t="s">
        <v>4152</v>
      </c>
      <c r="R936" s="13" t="s">
        <v>52</v>
      </c>
      <c r="S936" s="14" t="n">
        <v>34697</v>
      </c>
      <c r="T936" s="13" t="s">
        <v>40</v>
      </c>
      <c r="U936" s="13" t="s">
        <v>4153</v>
      </c>
      <c r="V936" s="13" t="s">
        <v>42</v>
      </c>
      <c r="W936" s="13" t="s">
        <v>43</v>
      </c>
      <c r="X936" s="21" t="n">
        <v>81213999986</v>
      </c>
      <c r="Y936" s="22" t="str">
        <f aca="false">O936</f>
        <v>Produksi</v>
      </c>
      <c r="Z936" s="13" t="str">
        <f aca="false">IFERROR(__xludf.dummyfunction("if(BJ936="""","""",GOOGLETRANSLATE(BJ936,""auto"",""en""))"),"Production")</f>
        <v>Production</v>
      </c>
      <c r="AA936" s="23" t="str">
        <f aca="false">IF(C936="","", CHOOSE(MONTH(C936),"January","February","March","April","May","June","July","August","September","October","November","December")&amp;" "&amp;DAY(C936)&amp;MID("thstndrdth",MIN(9,2*RIGHT(DAY(C936))*(MOD(DAY(C936)-11,100)&gt;2)+1),2)&amp;","&amp;TEXT(C936," yyyy"))</f>
        <v>March 7th,2023</v>
      </c>
      <c r="AB936" s="15" t="str">
        <f aca="true">IF(S936="","",DATEDIF(S936,TODAY(),"Y")&amp;" Tahun, "&amp;DATEDIF(S936,TODAY(),"YM")&amp;" Bulan, "&amp;DATEDIF(S936,TODAY(),"MD")&amp;" Hari")</f>
        <v>31 Tahun, 10 Bulan, 0 Hari</v>
      </c>
      <c r="AC936" s="18" t="n">
        <v>45907</v>
      </c>
      <c r="AD936" s="18" t="n">
        <v>46271</v>
      </c>
      <c r="AE936" s="18" t="s">
        <v>44</v>
      </c>
    </row>
    <row r="937" customFormat="false" ht="15.75" hidden="false" customHeight="true" outlineLevel="0" collapsed="false">
      <c r="A937" s="12" t="n">
        <v>22839</v>
      </c>
      <c r="B937" s="13" t="s">
        <v>4154</v>
      </c>
      <c r="C937" s="14" t="n">
        <v>46279</v>
      </c>
      <c r="D937" s="13" t="s">
        <v>1721</v>
      </c>
      <c r="E937" s="13" t="s">
        <v>47</v>
      </c>
      <c r="F937" s="24" t="s">
        <v>4155</v>
      </c>
      <c r="G937" s="13" t="s">
        <v>1452</v>
      </c>
      <c r="H937" s="13" t="s">
        <v>35</v>
      </c>
      <c r="I937" s="13" t="str">
        <f aca="false">IF(C937=J937,"NEW KONTRAK","RE-KONTRAK")</f>
        <v>NEW KONTRAK</v>
      </c>
      <c r="J937" s="16" t="n">
        <f aca="false" t="array" ref="J937:J937">IFERROR(INDEX(AC937:AE937,IF(COUNTA(AC937:AE937)=0,"",MAX((AC937:AE937&lt;&gt;"")*(COLUMN(AC937:AE937)-(COLUMN(AC937)))))-1),"")</f>
        <v>46279</v>
      </c>
      <c r="K937" s="16" t="n">
        <f aca="false" t="array" ref="K937:K937">IFERROR(INDEX(AC937:AE937,IF(COUNTA(AC937:AE937)=0,"",MAX((AC937:AE937&lt;&gt;"")*(COLUMN(AC937:AE937)-(COLUMN(AC937)-1))))-1),"")</f>
        <v>46386</v>
      </c>
      <c r="L937" s="17" t="str">
        <f aca="false" t="array" ref="L937:L937">IFERROR(INDEX(AC937:AE937,IF(COUNTA(AC937:AE937)=0,"",MAX((AC937:AE937&lt;&gt;"")*(COLUMN(AC937:AE937)-(COLUMN(AC937)-2))))-1),"")</f>
        <v>ARCHIVED</v>
      </c>
      <c r="M937" s="13" t="n">
        <f aca="true">K937-TODAY()</f>
        <v>62</v>
      </c>
      <c r="N937" s="18" t="s">
        <v>728</v>
      </c>
      <c r="O937" s="13" t="s">
        <v>1755</v>
      </c>
      <c r="P937" s="26" t="n">
        <v>5444909</v>
      </c>
      <c r="Q937" s="20" t="s">
        <v>4156</v>
      </c>
      <c r="R937" s="48" t="s">
        <v>1695</v>
      </c>
      <c r="S937" s="25" t="n">
        <v>36842</v>
      </c>
      <c r="T937" s="13" t="s">
        <v>108</v>
      </c>
      <c r="U937" s="13" t="s">
        <v>4157</v>
      </c>
      <c r="V937" s="13" t="s">
        <v>42</v>
      </c>
      <c r="W937" s="28" t="s">
        <v>54</v>
      </c>
      <c r="X937" s="21" t="n">
        <v>8992307890</v>
      </c>
      <c r="Y937" s="22" t="str">
        <f aca="false">O937</f>
        <v>Im.Operator</v>
      </c>
      <c r="Z937" s="13" t="str">
        <f aca="false">IFERROR(__xludf.dummyfunction("if(BJ937="""","""",GOOGLETRANSLATE(BJ937,""auto"",""en""))"),"Im.Operator")</f>
        <v>Im.Operator</v>
      </c>
      <c r="AA937" s="23" t="str">
        <f aca="false">IF(C937="","", CHOOSE(MONTH(C937),"January","February","March","April","May","June","July","August","September","October","November","December")&amp;" "&amp;DAY(C937)&amp;MID("thstndrdth",MIN(9,2*RIGHT(DAY(C937))*(MOD(DAY(C937)-11,100)&gt;2)+1),2)&amp;","&amp;TEXT(C937," yyyy"))</f>
        <v>September 14th,2026</v>
      </c>
      <c r="AB937" s="15" t="str">
        <f aca="true">IF(S937="","",DATEDIF(S937,TODAY(),"Y")&amp;" Tahun, "&amp;DATEDIF(S937,TODAY(),"YM")&amp;" Bulan, "&amp;DATEDIF(S937,TODAY(),"MD")&amp;" Hari")</f>
        <v>25 Tahun, 11 Bulan, 17 Hari</v>
      </c>
      <c r="AC937" s="14" t="n">
        <v>46279</v>
      </c>
      <c r="AD937" s="18" t="n">
        <v>46386</v>
      </c>
      <c r="AE937" s="13" t="s">
        <v>44</v>
      </c>
    </row>
    <row r="938" customFormat="false" ht="15.75" hidden="false" customHeight="true" outlineLevel="0" collapsed="false">
      <c r="A938" s="12" t="n">
        <v>6044</v>
      </c>
      <c r="B938" s="13" t="s">
        <v>4158</v>
      </c>
      <c r="C938" s="14" t="n">
        <v>44658</v>
      </c>
      <c r="D938" s="13" t="s">
        <v>1721</v>
      </c>
      <c r="E938" s="15" t="s">
        <v>47</v>
      </c>
      <c r="F938" s="15" t="str">
        <f aca="false">IFERROR(__xludf.dummyfunction("XLOOKUP(AJ938,IMPORTRANGE(""1XaInW9DU9nz21V0tYIfzFQ0He9kVQ_JF2mCXgZ3hqFA"",""REKAP ALL 2026 - Andika!G:G""),IMPORTRANGE(""1XaInW9DU9nz21V0tYIfzFQ0He9kVQ_JF2mCXgZ3hqFA"",""REKAP ALL 2026 - Andika!F:F""),"""",0)"),"22037460692")</f>
        <v>22037460692</v>
      </c>
      <c r="G938" s="13" t="s">
        <v>4159</v>
      </c>
      <c r="H938" s="13" t="s">
        <v>35</v>
      </c>
      <c r="I938" s="13" t="str">
        <f aca="false">IF(C938=J938,"NEW KONTRAK","RE-KONTRAK")</f>
        <v>RE-KONTRAK</v>
      </c>
      <c r="J938" s="16" t="n">
        <f aca="false" t="array" ref="J938:J938">IFERROR(INDEX(AC938:AE938,IF(COUNTA(AC938:AE938)=0,"",MAX((AC938:AE938&lt;&gt;"")*(COLUMN(AC938:AE938)-(COLUMN(AC938)))))-1),"")</f>
        <v>45659</v>
      </c>
      <c r="K938" s="16" t="n">
        <f aca="false" t="array" ref="K938:K938">IFERROR(INDEX(AC938:AE938,IF(COUNTA(AC938:AE938)=0,"",MAX((AC938:AE938&lt;&gt;"")*(COLUMN(AC938:AE938)-(COLUMN(AC938)-1))))-1),"")</f>
        <v>46021</v>
      </c>
      <c r="L938" s="17" t="str">
        <f aca="false" t="array" ref="L938:L938">IFERROR(INDEX(AC938:AE938,IF(COUNTA(AC938:AE938)=0,"",MAX((AC938:AE938&lt;&gt;"")*(COLUMN(AC938:AE938)-(COLUMN(AC938)-2))))-1),"")</f>
        <v>KEMBALI</v>
      </c>
      <c r="M938" s="13" t="n">
        <f aca="true">K938-TODAY()</f>
        <v>-303</v>
      </c>
      <c r="N938" s="18" t="s">
        <v>728</v>
      </c>
      <c r="O938" s="13" t="s">
        <v>1914</v>
      </c>
      <c r="P938" s="19" t="n">
        <v>5444909</v>
      </c>
      <c r="Q938" s="20" t="s">
        <v>4160</v>
      </c>
      <c r="R938" s="13" t="s">
        <v>52</v>
      </c>
      <c r="S938" s="14" t="n">
        <v>35745</v>
      </c>
      <c r="T938" s="13" t="s">
        <v>108</v>
      </c>
      <c r="U938" s="13" t="s">
        <v>4161</v>
      </c>
      <c r="V938" s="13" t="s">
        <v>42</v>
      </c>
      <c r="W938" s="13" t="s">
        <v>43</v>
      </c>
      <c r="X938" s="21" t="n">
        <v>87765080753</v>
      </c>
      <c r="Y938" s="22" t="str">
        <f aca="false">O938</f>
        <v>Im Operator</v>
      </c>
      <c r="Z938" s="13" t="str">
        <f aca="false">IFERROR(__xludf.dummyfunction("if(BJ938="""","""",GOOGLETRANSLATE(BJ938,""auto"",""en""))"),"Im Operator")</f>
        <v>Im Operator</v>
      </c>
      <c r="AA938" s="23" t="str">
        <f aca="false">IF(C938="","", CHOOSE(MONTH(C938),"January","February","March","April","May","June","July","August","September","October","November","December")&amp;" "&amp;DAY(C938)&amp;MID("thstndrdth",MIN(9,2*RIGHT(DAY(C938))*(MOD(DAY(C938)-11,100)&gt;2)+1),2)&amp;","&amp;TEXT(C938," yyyy"))</f>
        <v>April 7th,2022</v>
      </c>
      <c r="AB938" s="15" t="str">
        <f aca="true">IF(S938="","",DATEDIF(S938,TODAY(),"Y")&amp;" Tahun, "&amp;DATEDIF(S938,TODAY(),"YM")&amp;" Bulan, "&amp;DATEDIF(S938,TODAY(),"MD")&amp;" Hari")</f>
        <v>28 Tahun, 11 Bulan, 18 Hari</v>
      </c>
      <c r="AC938" s="18" t="n">
        <v>45659</v>
      </c>
      <c r="AD938" s="18" t="n">
        <v>46021</v>
      </c>
      <c r="AE938" s="13" t="s">
        <v>397</v>
      </c>
    </row>
    <row r="939" customFormat="false" ht="15.75" hidden="false" customHeight="true" outlineLevel="0" collapsed="false">
      <c r="A939" s="12" t="n">
        <v>2171</v>
      </c>
      <c r="B939" s="13" t="s">
        <v>4162</v>
      </c>
      <c r="C939" s="14" t="n">
        <v>44505</v>
      </c>
      <c r="D939" s="13" t="s">
        <v>1721</v>
      </c>
      <c r="E939" s="15" t="s">
        <v>47</v>
      </c>
      <c r="F939" s="15" t="str">
        <f aca="false">IFERROR(__xludf.dummyfunction("XLOOKUP(AJ939,IMPORTRANGE(""1XaInW9DU9nz21V0tYIfzFQ0He9kVQ_JF2mCXgZ3hqFA"",""REKAP ALL 2026 - Andika!G:G""),IMPORTRANGE(""1XaInW9DU9nz21V0tYIfzFQ0He9kVQ_JF2mCXgZ3hqFA"",""REKAP ALL 2026 - Andika!F:F""),"""",0)"),"19010800993")</f>
        <v>19010800993</v>
      </c>
      <c r="G939" s="13" t="s">
        <v>4163</v>
      </c>
      <c r="H939" s="13" t="s">
        <v>35</v>
      </c>
      <c r="I939" s="13" t="str">
        <f aca="false">IF(C939=J939,"NEW KONTRAK","RE-KONTRAK")</f>
        <v>RE-KONTRAK</v>
      </c>
      <c r="J939" s="16" t="n">
        <f aca="false" t="array" ref="J939:J939">IFERROR(INDEX(AC939:AE939,IF(COUNTA(AC939:AE939)=0,"",MAX((AC939:AE939&lt;&gt;"")*(COLUMN(AC939:AE939)-(COLUMN(AC939)))))-1),"")</f>
        <v>45659</v>
      </c>
      <c r="K939" s="16" t="n">
        <f aca="false" t="array" ref="K939:K939">IFERROR(INDEX(AC939:AE939,IF(COUNTA(AC939:AE939)=0,"",MAX((AC939:AE939&lt;&gt;"")*(COLUMN(AC939:AE939)-(COLUMN(AC939)-1))))-1),"")</f>
        <v>46021</v>
      </c>
      <c r="L939" s="17" t="str">
        <f aca="false" t="array" ref="L939:L939">IFERROR(INDEX(AC939:AE939,IF(COUNTA(AC939:AE939)=0,"",MAX((AC939:AE939&lt;&gt;"")*(COLUMN(AC939:AE939)-(COLUMN(AC939)-2))))-1),"")</f>
        <v>KEMBALI</v>
      </c>
      <c r="M939" s="13" t="n">
        <f aca="true">K939-TODAY()</f>
        <v>-303</v>
      </c>
      <c r="N939" s="18" t="s">
        <v>728</v>
      </c>
      <c r="O939" s="13" t="s">
        <v>1914</v>
      </c>
      <c r="P939" s="19" t="n">
        <v>5444909</v>
      </c>
      <c r="Q939" s="20" t="s">
        <v>4164</v>
      </c>
      <c r="R939" s="13" t="s">
        <v>260</v>
      </c>
      <c r="S939" s="14" t="n">
        <v>36408</v>
      </c>
      <c r="T939" s="13" t="s">
        <v>108</v>
      </c>
      <c r="U939" s="13" t="s">
        <v>4165</v>
      </c>
      <c r="V939" s="13" t="s">
        <v>42</v>
      </c>
      <c r="W939" s="13" t="s">
        <v>43</v>
      </c>
      <c r="X939" s="21" t="n">
        <v>85791348436</v>
      </c>
      <c r="Y939" s="22" t="str">
        <f aca="false">O939</f>
        <v>Im Operator</v>
      </c>
      <c r="Z939" s="13" t="str">
        <f aca="false">IFERROR(__xludf.dummyfunction("if(BJ939="""","""",GOOGLETRANSLATE(BJ939,""auto"",""en""))"),"Im Operator")</f>
        <v>Im Operator</v>
      </c>
      <c r="AA939" s="23" t="str">
        <f aca="false">IF(C939="","", CHOOSE(MONTH(C939),"January","February","March","April","May","June","July","August","September","October","November","December")&amp;" "&amp;DAY(C939)&amp;MID("thstndrdth",MIN(9,2*RIGHT(DAY(C939))*(MOD(DAY(C939)-11,100)&gt;2)+1),2)&amp;","&amp;TEXT(C939," yyyy"))</f>
        <v>November 5th,2021</v>
      </c>
      <c r="AB939" s="15" t="str">
        <f aca="true">IF(S939="","",DATEDIF(S939,TODAY(),"Y")&amp;" Tahun, "&amp;DATEDIF(S939,TODAY(),"YM")&amp;" Bulan, "&amp;DATEDIF(S939,TODAY(),"MD")&amp;" Hari")</f>
        <v>27 Tahun, 1 Bulan, 24 Hari</v>
      </c>
      <c r="AC939" s="18" t="n">
        <v>45659</v>
      </c>
      <c r="AD939" s="18" t="n">
        <v>46021</v>
      </c>
      <c r="AE939" s="13" t="s">
        <v>397</v>
      </c>
    </row>
    <row r="940" customFormat="false" ht="15.75" hidden="false" customHeight="true" outlineLevel="0" collapsed="false">
      <c r="A940" s="12" t="n">
        <v>22834</v>
      </c>
      <c r="B940" s="13" t="s">
        <v>4166</v>
      </c>
      <c r="C940" s="14" t="n">
        <v>46279</v>
      </c>
      <c r="D940" s="13" t="s">
        <v>1721</v>
      </c>
      <c r="E940" s="13" t="s">
        <v>47</v>
      </c>
      <c r="F940" s="24" t="s">
        <v>4167</v>
      </c>
      <c r="G940" s="13" t="s">
        <v>1452</v>
      </c>
      <c r="H940" s="13" t="s">
        <v>35</v>
      </c>
      <c r="I940" s="13" t="str">
        <f aca="false">IF(C940=J940,"NEW KONTRAK","RE-KONTRAK")</f>
        <v>NEW KONTRAK</v>
      </c>
      <c r="J940" s="16" t="n">
        <f aca="false" t="array" ref="J940:J940">IFERROR(INDEX(AC940:AE940,IF(COUNTA(AC940:AE940)=0,"",MAX((AC940:AE940&lt;&gt;"")*(COLUMN(AC940:AE940)-(COLUMN(AC940)))))-1),"")</f>
        <v>46279</v>
      </c>
      <c r="K940" s="16" t="n">
        <f aca="false" t="array" ref="K940:K940">IFERROR(INDEX(AC940:AE940,IF(COUNTA(AC940:AE940)=0,"",MAX((AC940:AE940&lt;&gt;"")*(COLUMN(AC940:AE940)-(COLUMN(AC940)-1))))-1),"")</f>
        <v>46386</v>
      </c>
      <c r="L940" s="17" t="str">
        <f aca="false" t="array" ref="L940:L940">IFERROR(INDEX(AC940:AE940,IF(COUNTA(AC940:AE940)=0,"",MAX((AC940:AE940&lt;&gt;"")*(COLUMN(AC940:AE940)-(COLUMN(AC940)-2))))-1),"")</f>
        <v>ARCHIVED</v>
      </c>
      <c r="M940" s="13" t="n">
        <f aca="true">K940-TODAY()</f>
        <v>62</v>
      </c>
      <c r="N940" s="18" t="s">
        <v>728</v>
      </c>
      <c r="O940" s="13" t="s">
        <v>1822</v>
      </c>
      <c r="P940" s="26" t="n">
        <v>5444909</v>
      </c>
      <c r="Q940" s="20" t="s">
        <v>4168</v>
      </c>
      <c r="R940" s="48" t="s">
        <v>4169</v>
      </c>
      <c r="S940" s="25" t="n">
        <v>34415</v>
      </c>
      <c r="T940" s="13" t="s">
        <v>40</v>
      </c>
      <c r="U940" s="13" t="s">
        <v>4170</v>
      </c>
      <c r="V940" s="13" t="s">
        <v>42</v>
      </c>
      <c r="W940" s="28" t="s">
        <v>54</v>
      </c>
      <c r="X940" s="30" t="n">
        <v>87728148932</v>
      </c>
      <c r="Y940" s="22" t="str">
        <f aca="false">O940</f>
        <v>Assembling</v>
      </c>
      <c r="Z940" s="13" t="str">
        <f aca="false">IFERROR(__xludf.dummyfunction("if(BJ940="""","""",GOOGLETRANSLATE(BJ940,""auto"",""en""))"),"Assembling")</f>
        <v>Assembling</v>
      </c>
      <c r="AA940" s="23" t="str">
        <f aca="false">IF(C940="","", CHOOSE(MONTH(C940),"January","February","March","April","May","June","July","August","September","October","November","December")&amp;" "&amp;DAY(C940)&amp;MID("thstndrdth",MIN(9,2*RIGHT(DAY(C940))*(MOD(DAY(C940)-11,100)&gt;2)+1),2)&amp;","&amp;TEXT(C940," yyyy"))</f>
        <v>September 14th,2026</v>
      </c>
      <c r="AB940" s="15" t="str">
        <f aca="true">IF(S940="","",DATEDIF(S940,TODAY(),"Y")&amp;" Tahun, "&amp;DATEDIF(S940,TODAY(),"YM")&amp;" Bulan, "&amp;DATEDIF(S940,TODAY(),"MD")&amp;" Hari")</f>
        <v>32 Tahun, 7 Bulan, 7 Hari</v>
      </c>
      <c r="AC940" s="14" t="n">
        <v>46279</v>
      </c>
      <c r="AD940" s="18" t="n">
        <v>46386</v>
      </c>
      <c r="AE940" s="13" t="s">
        <v>44</v>
      </c>
    </row>
    <row r="941" customFormat="false" ht="15.75" hidden="false" customHeight="true" outlineLevel="0" collapsed="false">
      <c r="A941" s="12" t="n">
        <v>22709</v>
      </c>
      <c r="B941" s="13" t="s">
        <v>4171</v>
      </c>
      <c r="C941" s="14" t="n">
        <v>46251</v>
      </c>
      <c r="D941" s="13" t="s">
        <v>1721</v>
      </c>
      <c r="E941" s="13" t="s">
        <v>47</v>
      </c>
      <c r="F941" s="24" t="s">
        <v>4172</v>
      </c>
      <c r="G941" s="13" t="s">
        <v>1452</v>
      </c>
      <c r="H941" s="13" t="s">
        <v>35</v>
      </c>
      <c r="I941" s="13" t="str">
        <f aca="false">IF(C941=J941,"NEW KONTRAK","RE-KONTRAK")</f>
        <v>NEW KONTRAK</v>
      </c>
      <c r="J941" s="16" t="n">
        <f aca="false" t="array" ref="J941:J941">IFERROR(INDEX(AC941:AE941,IF(COUNTA(AC941:AE941)=0,"",MAX((AC941:AE941&lt;&gt;"")*(COLUMN(AC941:AE941)-(COLUMN(AC941)))))-1),"")</f>
        <v>46251</v>
      </c>
      <c r="K941" s="16" t="n">
        <f aca="false" t="array" ref="K941:K941">IFERROR(INDEX(AC941:AE941,IF(COUNTA(AC941:AE941)=0,"",MAX((AC941:AE941&lt;&gt;"")*(COLUMN(AC941:AE941)-(COLUMN(AC941)-1))))-1),"")</f>
        <v>46342</v>
      </c>
      <c r="L941" s="17" t="str">
        <f aca="false" t="array" ref="L941:L941">IFERROR(INDEX(AC941:AE941,IF(COUNTA(AC941:AE941)=0,"",MAX((AC941:AE941&lt;&gt;"")*(COLUMN(AC941:AE941)-(COLUMN(AC941)-2))))-1),"")</f>
        <v>KEMBALI</v>
      </c>
      <c r="M941" s="13" t="n">
        <f aca="true">K941-TODAY()</f>
        <v>18</v>
      </c>
      <c r="N941" s="18" t="s">
        <v>728</v>
      </c>
      <c r="O941" s="13" t="s">
        <v>1932</v>
      </c>
      <c r="P941" s="26" t="n">
        <v>5444909</v>
      </c>
      <c r="Q941" s="20" t="s">
        <v>4173</v>
      </c>
      <c r="R941" s="13" t="s">
        <v>168</v>
      </c>
      <c r="S941" s="25" t="n">
        <v>37591</v>
      </c>
      <c r="T941" s="13" t="s">
        <v>108</v>
      </c>
      <c r="U941" s="13" t="s">
        <v>4174</v>
      </c>
      <c r="V941" s="13" t="s">
        <v>42</v>
      </c>
      <c r="W941" s="13" t="s">
        <v>54</v>
      </c>
      <c r="X941" s="21" t="n">
        <v>85656887737</v>
      </c>
      <c r="Y941" s="22" t="str">
        <f aca="false">O941</f>
        <v>Blow Moulding</v>
      </c>
      <c r="Z941" s="13" t="str">
        <f aca="false">IFERROR(__xludf.dummyfunction("if(BJ941="""","""",GOOGLETRANSLATE(BJ941,""auto"",""en""))"),"Blow Moulding")</f>
        <v>Blow Moulding</v>
      </c>
      <c r="AA941" s="23" t="str">
        <f aca="false">IF(C941="","", CHOOSE(MONTH(C941),"January","February","March","April","May","June","July","August","September","October","November","December")&amp;" "&amp;DAY(C941)&amp;MID("thstndrdth",MIN(9,2*RIGHT(DAY(C941))*(MOD(DAY(C941)-11,100)&gt;2)+1),2)&amp;","&amp;TEXT(C941," yyyy"))</f>
        <v>August 17th,2026</v>
      </c>
      <c r="AB941" s="15" t="str">
        <f aca="true">IF(S941="","",DATEDIF(S941,TODAY(),"Y")&amp;" Tahun, "&amp;DATEDIF(S941,TODAY(),"YM")&amp;" Bulan, "&amp;DATEDIF(S941,TODAY(),"MD")&amp;" Hari")</f>
        <v>23 Tahun, 10 Bulan, 28 Hari</v>
      </c>
      <c r="AC941" s="14" t="n">
        <v>46251</v>
      </c>
      <c r="AD941" s="18" t="n">
        <f aca="false">EDATE(AC941,3)-1</f>
        <v>46342</v>
      </c>
      <c r="AE941" s="13" t="s">
        <v>397</v>
      </c>
    </row>
    <row r="942" customFormat="false" ht="15.75" hidden="false" customHeight="true" outlineLevel="0" collapsed="false">
      <c r="A942" s="12" t="n">
        <v>10203</v>
      </c>
      <c r="B942" s="13" t="s">
        <v>4175</v>
      </c>
      <c r="C942" s="14" t="n">
        <v>44977</v>
      </c>
      <c r="D942" s="13" t="s">
        <v>774</v>
      </c>
      <c r="E942" s="15" t="s">
        <v>47</v>
      </c>
      <c r="F942" s="15" t="str">
        <f aca="false">IFERROR(__xludf.dummyfunction("XLOOKUP(AJ942,IMPORTRANGE(""1XaInW9DU9nz21V0tYIfzFQ0He9kVQ_JF2mCXgZ3hqFA"",""REKAP ALL 2026 - Andika!G:G""),IMPORTRANGE(""1XaInW9DU9nz21V0tYIfzFQ0He9kVQ_JF2mCXgZ3hqFA"",""REKAP ALL 2026 - Andika!F:F""),"""",0)"),"23172180640")</f>
        <v>23172180640</v>
      </c>
      <c r="G942" s="13" t="s">
        <v>4176</v>
      </c>
      <c r="H942" s="13" t="s">
        <v>2967</v>
      </c>
      <c r="I942" s="13" t="str">
        <f aca="false">IF(C942=J942,"NEW KONTRAK","RE-KONTRAK")</f>
        <v>RE-KONTRAK</v>
      </c>
      <c r="J942" s="16" t="n">
        <f aca="false" t="array" ref="J942:J942">IFERROR(INDEX(AC942:AE942,IF(COUNTA(AC942:AE942)=0,"",MAX((AC942:AE942&lt;&gt;"")*(COLUMN(AC942:AE942)-(COLUMN(AC942)))))-1),"")</f>
        <v>45570</v>
      </c>
      <c r="K942" s="16" t="n">
        <f aca="false" t="array" ref="K942:K942">IFERROR(INDEX(AC942:AE942,IF(COUNTA(AC942:AE942)=0,"",MAX((AC942:AE942&lt;&gt;"")*(COLUMN(AC942:AE942)-(COLUMN(AC942)-1))))-1),"")</f>
        <v>45934</v>
      </c>
      <c r="L942" s="17" t="str">
        <f aca="false" t="array" ref="L942:L942">IFERROR(INDEX(AC942:AE942,IF(COUNTA(AC942:AE942)=0,"",MAX((AC942:AE942&lt;&gt;"")*(COLUMN(AC942:AE942)-(COLUMN(AC942)-2))))-1),"")</f>
        <v>ARCHIVED</v>
      </c>
      <c r="M942" s="13" t="n">
        <f aca="true">K942-TODAY()</f>
        <v>-390</v>
      </c>
      <c r="N942" s="18" t="s">
        <v>36</v>
      </c>
      <c r="O942" s="13" t="s">
        <v>780</v>
      </c>
      <c r="P942" s="19" t="n">
        <v>3750000</v>
      </c>
      <c r="Q942" s="20" t="s">
        <v>4177</v>
      </c>
      <c r="R942" s="13" t="s">
        <v>65</v>
      </c>
      <c r="S942" s="14" t="n">
        <v>38013</v>
      </c>
      <c r="T942" s="13" t="s">
        <v>40</v>
      </c>
      <c r="U942" s="13" t="s">
        <v>4178</v>
      </c>
      <c r="V942" s="13" t="s">
        <v>42</v>
      </c>
      <c r="W942" s="13" t="s">
        <v>43</v>
      </c>
      <c r="X942" s="21" t="n">
        <v>85607124807</v>
      </c>
      <c r="Y942" s="22" t="str">
        <f aca="false">O942</f>
        <v>Shearing</v>
      </c>
      <c r="Z942" s="13" t="str">
        <f aca="false">IFERROR(__xludf.dummyfunction("if(BJ942="""","""",GOOGLETRANSLATE(BJ942,""auto"",""en""))"),"Shearing")</f>
        <v>Shearing</v>
      </c>
      <c r="AA942" s="23" t="str">
        <f aca="false">IF(C942="","", CHOOSE(MONTH(C942),"January","February","March","April","May","June","July","August","September","October","November","December")&amp;" "&amp;DAY(C942)&amp;MID("thstndrdth",MIN(9,2*RIGHT(DAY(C942))*(MOD(DAY(C942)-11,100)&gt;2)+1),2)&amp;","&amp;TEXT(C942," yyyy"))</f>
        <v>February 20th,2023</v>
      </c>
      <c r="AB942" s="15" t="str">
        <f aca="true">IF(S942="","",DATEDIF(S942,TODAY(),"Y")&amp;" Tahun, "&amp;DATEDIF(S942,TODAY(),"YM")&amp;" Bulan, "&amp;DATEDIF(S942,TODAY(),"MD")&amp;" Hari")</f>
        <v>22 Tahun, 9 Bulan, 2 Hari</v>
      </c>
      <c r="AC942" s="18" t="n">
        <v>45570</v>
      </c>
      <c r="AD942" s="18" t="n">
        <v>45934</v>
      </c>
      <c r="AE942" s="18" t="s">
        <v>44</v>
      </c>
    </row>
    <row r="943" customFormat="false" ht="15.75" hidden="false" customHeight="true" outlineLevel="0" collapsed="false">
      <c r="A943" s="12" t="n">
        <v>10204</v>
      </c>
      <c r="B943" s="13" t="s">
        <v>4179</v>
      </c>
      <c r="C943" s="14" t="n">
        <v>44977</v>
      </c>
      <c r="D943" s="13" t="s">
        <v>3022</v>
      </c>
      <c r="E943" s="15" t="s">
        <v>33</v>
      </c>
      <c r="F943" s="24" t="s">
        <v>4180</v>
      </c>
      <c r="G943" s="13" t="s">
        <v>4181</v>
      </c>
      <c r="H943" s="13" t="s">
        <v>2967</v>
      </c>
      <c r="I943" s="13" t="str">
        <f aca="false">IF(C943=J943,"NEW KONTRAK","RE-KONTRAK")</f>
        <v>RE-KONTRAK</v>
      </c>
      <c r="J943" s="16" t="n">
        <f aca="false" t="array" ref="J943:J943">IFERROR(INDEX(AC943:AE943,IF(COUNTA(AC943:AE943)=0,"",MAX((AC943:AE943&lt;&gt;"")*(COLUMN(AC943:AE943)-(COLUMN(AC943)))))-1),"")</f>
        <v>45570</v>
      </c>
      <c r="K943" s="16" t="n">
        <f aca="false" t="array" ref="K943:K943">IFERROR(INDEX(AC943:AE943,IF(COUNTA(AC943:AE943)=0,"",MAX((AC943:AE943&lt;&gt;"")*(COLUMN(AC943:AE943)-(COLUMN(AC943)-1))))-1),"")</f>
        <v>45934</v>
      </c>
      <c r="L943" s="17" t="str">
        <f aca="false" t="array" ref="L943:L943">IFERROR(INDEX(AC943:AE943,IF(COUNTA(AC943:AE943)=0,"",MAX((AC943:AE943&lt;&gt;"")*(COLUMN(AC943:AE943)-(COLUMN(AC943)-2))))-1),"")</f>
        <v>ARCHIVED</v>
      </c>
      <c r="M943" s="13" t="n">
        <f aca="true">K943-TODAY()</f>
        <v>-390</v>
      </c>
      <c r="N943" s="18" t="s">
        <v>36</v>
      </c>
      <c r="O943" s="13" t="s">
        <v>4182</v>
      </c>
      <c r="P943" s="19" t="n">
        <v>125000</v>
      </c>
      <c r="Q943" s="20" t="s">
        <v>4183</v>
      </c>
      <c r="R943" s="13" t="s">
        <v>65</v>
      </c>
      <c r="S943" s="14" t="n">
        <v>37823</v>
      </c>
      <c r="T943" s="13" t="s">
        <v>40</v>
      </c>
      <c r="U943" s="13" t="s">
        <v>4178</v>
      </c>
      <c r="V943" s="13" t="s">
        <v>42</v>
      </c>
      <c r="W943" s="13" t="s">
        <v>43</v>
      </c>
      <c r="X943" s="21" t="n">
        <v>85859543352</v>
      </c>
      <c r="Y943" s="22" t="str">
        <f aca="false">O943</f>
        <v>Produksi ( Heating )</v>
      </c>
      <c r="Z943" s="13" t="str">
        <f aca="false">IFERROR(__xludf.dummyfunction("if(BJ943="""","""",GOOGLETRANSLATE(BJ943,""auto"",""en""))"),"Production (Heating)")</f>
        <v>Production (Heating)</v>
      </c>
      <c r="AA943" s="23" t="str">
        <f aca="false">IF(C943="","", CHOOSE(MONTH(C943),"January","February","March","April","May","June","July","August","September","October","November","December")&amp;" "&amp;DAY(C943)&amp;MID("thstndrdth",MIN(9,2*RIGHT(DAY(C943))*(MOD(DAY(C943)-11,100)&gt;2)+1),2)&amp;","&amp;TEXT(C943," yyyy"))</f>
        <v>February 20th,2023</v>
      </c>
      <c r="AB943" s="15" t="str">
        <f aca="true">IF(S943="","",DATEDIF(S943,TODAY(),"Y")&amp;" Tahun, "&amp;DATEDIF(S943,TODAY(),"YM")&amp;" Bulan, "&amp;DATEDIF(S943,TODAY(),"MD")&amp;" Hari")</f>
        <v>23 Tahun, 3 Bulan, 8 Hari</v>
      </c>
      <c r="AC943" s="18" t="n">
        <v>45570</v>
      </c>
      <c r="AD943" s="18" t="n">
        <v>45934</v>
      </c>
      <c r="AE943" s="18" t="s">
        <v>44</v>
      </c>
    </row>
    <row r="944" customFormat="false" ht="15.75" hidden="false" customHeight="true" outlineLevel="0" collapsed="false">
      <c r="A944" s="12" t="n">
        <v>12099</v>
      </c>
      <c r="B944" s="13" t="s">
        <v>4184</v>
      </c>
      <c r="C944" s="14" t="n">
        <v>45093</v>
      </c>
      <c r="D944" s="13" t="s">
        <v>2033</v>
      </c>
      <c r="E944" s="15" t="s">
        <v>47</v>
      </c>
      <c r="F944" s="15" t="str">
        <f aca="false">IFERROR(__xludf.dummyfunction("XLOOKUP(AJ944,IMPORTRANGE(""1XaInW9DU9nz21V0tYIfzFQ0He9kVQ_JF2mCXgZ3hqFA"",""REKAP ALL 2026 - Andika!G:G""),IMPORTRANGE(""1XaInW9DU9nz21V0tYIfzFQ0He9kVQ_JF2mCXgZ3hqFA"",""REKAP ALL 2026 - Andika!F:F""),"""",0)"),"23093939710")</f>
        <v>23093939710</v>
      </c>
      <c r="G944" s="13" t="s">
        <v>4185</v>
      </c>
      <c r="H944" s="13" t="s">
        <v>2035</v>
      </c>
      <c r="I944" s="13" t="str">
        <f aca="false">IF(C944=J944,"NEW KONTRAK","RE-KONTRAK")</f>
        <v>RE-KONTRAK</v>
      </c>
      <c r="J944" s="16" t="n">
        <f aca="false" t="array" ref="J944:J944">IFERROR(INDEX(AC944:AE944,IF(COUNTA(AC944:AE944)=0,"",MAX((AC944:AE944&lt;&gt;"")*(COLUMN(AC944:AE944)-(COLUMN(AC944)))))-1),"")</f>
        <v>45744</v>
      </c>
      <c r="K944" s="16" t="n">
        <f aca="false" t="array" ref="K944:K944">IFERROR(INDEX(AC944:AE944,IF(COUNTA(AC944:AE944)=0,"",MAX((AC944:AE944&lt;&gt;"")*(COLUMN(AC944:AE944)-(COLUMN(AC944)-1))))-1),"")</f>
        <v>45915</v>
      </c>
      <c r="L944" s="17" t="str">
        <f aca="false" t="array" ref="L944:L944">IFERROR(INDEX(AC944:AE944,IF(COUNTA(AC944:AE944)=0,"",MAX((AC944:AE944&lt;&gt;"")*(COLUMN(AC944:AE944)-(COLUMN(AC944)-2))))-1),"")</f>
        <v>ARCHIVED</v>
      </c>
      <c r="M944" s="13" t="n">
        <f aca="true">K944-TODAY()</f>
        <v>-409</v>
      </c>
      <c r="N944" s="18" t="s">
        <v>4186</v>
      </c>
      <c r="O944" s="13" t="s">
        <v>2037</v>
      </c>
      <c r="P944" s="19" t="n">
        <v>3182955</v>
      </c>
      <c r="Q944" s="20" t="s">
        <v>4187</v>
      </c>
      <c r="R944" s="13" t="s">
        <v>4188</v>
      </c>
      <c r="S944" s="14" t="n">
        <v>36940</v>
      </c>
      <c r="T944" s="13" t="s">
        <v>108</v>
      </c>
      <c r="U944" s="13" t="s">
        <v>4189</v>
      </c>
      <c r="V944" s="13" t="s">
        <v>42</v>
      </c>
      <c r="W944" s="13" t="s">
        <v>43</v>
      </c>
      <c r="X944" s="21" t="n">
        <v>895613043519</v>
      </c>
      <c r="Y944" s="22" t="str">
        <f aca="false">O944</f>
        <v>SPG/BA</v>
      </c>
      <c r="Z944" s="13" t="str">
        <f aca="false">IFERROR(__xludf.dummyfunction("if(BJ944="""","""",GOOGLETRANSLATE(BJ944,""auto"",""en""))"),"SPG/BA")</f>
        <v>SPG/BA</v>
      </c>
      <c r="AA944" s="23" t="str">
        <f aca="false">IF(C944="","", CHOOSE(MONTH(C944),"January","February","March","April","May","June","July","August","September","October","November","December")&amp;" "&amp;DAY(C944)&amp;MID("thstndrdth",MIN(9,2*RIGHT(DAY(C944))*(MOD(DAY(C944)-11,100)&gt;2)+1),2)&amp;","&amp;TEXT(C944," yyyy"))</f>
        <v>June 16th,2023</v>
      </c>
      <c r="AB944" s="15" t="str">
        <f aca="true">IF(S944="","",DATEDIF(S944,TODAY(),"Y")&amp;" Tahun, "&amp;DATEDIF(S944,TODAY(),"YM")&amp;" Bulan, "&amp;DATEDIF(S944,TODAY(),"MD")&amp;" Hari")</f>
        <v>25 Tahun, 8 Bulan, 11 Hari</v>
      </c>
      <c r="AC944" s="18" t="n">
        <v>45744</v>
      </c>
      <c r="AD944" s="18" t="n">
        <v>45915</v>
      </c>
      <c r="AE944" s="18" t="s">
        <v>44</v>
      </c>
    </row>
    <row r="945" customFormat="false" ht="15.75" hidden="false" customHeight="true" outlineLevel="0" collapsed="false">
      <c r="A945" s="12" t="n">
        <v>10227</v>
      </c>
      <c r="B945" s="13" t="s">
        <v>4190</v>
      </c>
      <c r="C945" s="14" t="n">
        <v>44998</v>
      </c>
      <c r="D945" s="13" t="s">
        <v>144</v>
      </c>
      <c r="E945" s="15" t="s">
        <v>47</v>
      </c>
      <c r="F945" s="15" t="str">
        <f aca="false">IFERROR(__xludf.dummyfunction("XLOOKUP(AJ945,IMPORTRANGE(""1XaInW9DU9nz21V0tYIfzFQ0He9kVQ_JF2mCXgZ3hqFA"",""REKAP ALL 2026 - Andika!G:G""),IMPORTRANGE(""1XaInW9DU9nz21V0tYIfzFQ0He9kVQ_JF2mCXgZ3hqFA"",""REKAP ALL 2026 - Andika!F:F""),"""",0)"),"23031598594")</f>
        <v>23031598594</v>
      </c>
      <c r="G945" s="13" t="s">
        <v>4191</v>
      </c>
      <c r="H945" s="13" t="s">
        <v>35</v>
      </c>
      <c r="I945" s="13" t="str">
        <f aca="false">IF(C945=J945,"NEW KONTRAK","RE-KONTRAK")</f>
        <v>RE-KONTRAK</v>
      </c>
      <c r="J945" s="16" t="n">
        <f aca="false" t="array" ref="J945:J945">IFERROR(INDEX(AC945:AE945,IF(COUNTA(AC945:AE945)=0,"",MAX((AC945:AE945&lt;&gt;"")*(COLUMN(AC945:AE945)-(COLUMN(AC945)))))-1),"")</f>
        <v>45658</v>
      </c>
      <c r="K945" s="16" t="n">
        <f aca="false" t="array" ref="K945:K945">IFERROR(INDEX(AC945:AE945,IF(COUNTA(AC945:AE945)=0,"",MAX((AC945:AE945&lt;&gt;"")*(COLUMN(AC945:AE945)-(COLUMN(AC945)-1))))-1),"")</f>
        <v>46022</v>
      </c>
      <c r="L945" s="17" t="str">
        <f aca="false" t="array" ref="L945:L945">IFERROR(INDEX(AC945:AE945,IF(COUNTA(AC945:AE945)=0,"",MAX((AC945:AE945&lt;&gt;"")*(COLUMN(AC945:AE945)-(COLUMN(AC945)-2))))-1),"")</f>
        <v>ARCHIVED</v>
      </c>
      <c r="M945" s="13" t="n">
        <f aca="true">K945-TODAY()</f>
        <v>-302</v>
      </c>
      <c r="N945" s="18" t="s">
        <v>36</v>
      </c>
      <c r="O945" s="13" t="s">
        <v>211</v>
      </c>
      <c r="P945" s="19" t="n">
        <v>5195401</v>
      </c>
      <c r="Q945" s="20" t="s">
        <v>4192</v>
      </c>
      <c r="R945" s="13" t="s">
        <v>78</v>
      </c>
      <c r="S945" s="14" t="n">
        <v>35457</v>
      </c>
      <c r="T945" s="13" t="s">
        <v>40</v>
      </c>
      <c r="U945" s="13" t="s">
        <v>4193</v>
      </c>
      <c r="V945" s="13" t="s">
        <v>42</v>
      </c>
      <c r="W945" s="13" t="s">
        <v>43</v>
      </c>
      <c r="X945" s="21" t="n">
        <v>82245343829</v>
      </c>
      <c r="Y945" s="22" t="str">
        <f aca="false">O945</f>
        <v>FG Store</v>
      </c>
      <c r="Z945" s="13" t="str">
        <f aca="false">IFERROR(__xludf.dummyfunction("if(BJ945="""","""",GOOGLETRANSLATE(BJ945,""auto"",""en""))"),"FG Store")</f>
        <v>FG Store</v>
      </c>
      <c r="AA945" s="23" t="str">
        <f aca="false">IF(C945="","", CHOOSE(MONTH(C945),"January","February","March","April","May","June","July","August","September","October","November","December")&amp;" "&amp;DAY(C945)&amp;MID("thstndrdth",MIN(9,2*RIGHT(DAY(C945))*(MOD(DAY(C945)-11,100)&gt;2)+1),2)&amp;","&amp;TEXT(C945," yyyy"))</f>
        <v>March 13th,2023</v>
      </c>
      <c r="AB945" s="15" t="str">
        <f aca="true">IF(S945="","",DATEDIF(S945,TODAY(),"Y")&amp;" Tahun, "&amp;DATEDIF(S945,TODAY(),"YM")&amp;" Bulan, "&amp;DATEDIF(S945,TODAY(),"MD")&amp;" Hari")</f>
        <v>29 Tahun, 9 Bulan, 2 Hari</v>
      </c>
      <c r="AC945" s="18" t="n">
        <v>45658</v>
      </c>
      <c r="AD945" s="18" t="n">
        <v>46022</v>
      </c>
      <c r="AE945" s="18" t="s">
        <v>44</v>
      </c>
    </row>
    <row r="946" customFormat="false" ht="15.75" hidden="false" customHeight="true" outlineLevel="0" collapsed="false">
      <c r="A946" s="12" t="n">
        <v>10229</v>
      </c>
      <c r="B946" s="13" t="s">
        <v>4194</v>
      </c>
      <c r="C946" s="14" t="n">
        <v>44998</v>
      </c>
      <c r="D946" s="13" t="s">
        <v>144</v>
      </c>
      <c r="E946" s="15" t="s">
        <v>47</v>
      </c>
      <c r="F946" s="15" t="str">
        <f aca="false">IFERROR(__xludf.dummyfunction("XLOOKUP(AJ946,IMPORTRANGE(""1XaInW9DU9nz21V0tYIfzFQ0He9kVQ_JF2mCXgZ3hqFA"",""REKAP ALL 2026 - Andika!G:G""),IMPORTRANGE(""1XaInW9DU9nz21V0tYIfzFQ0He9kVQ_JF2mCXgZ3hqFA"",""REKAP ALL 2026 - Andika!F:F""),"""",0)"),"23031598313")</f>
        <v>23031598313</v>
      </c>
      <c r="G946" s="13" t="s">
        <v>4195</v>
      </c>
      <c r="H946" s="13" t="s">
        <v>35</v>
      </c>
      <c r="I946" s="13" t="str">
        <f aca="false">IF(C946=J946,"NEW KONTRAK","RE-KONTRAK")</f>
        <v>RE-KONTRAK</v>
      </c>
      <c r="J946" s="16" t="n">
        <f aca="false" t="array" ref="J946:J946">IFERROR(INDEX(AC946:AE946,IF(COUNTA(AC946:AE946)=0,"",MAX((AC946:AE946&lt;&gt;"")*(COLUMN(AC946:AE946)-(COLUMN(AC946)))))-1),"")</f>
        <v>45658</v>
      </c>
      <c r="K946" s="16" t="n">
        <f aca="false" t="array" ref="K946:K946">IFERROR(INDEX(AC946:AE946,IF(COUNTA(AC946:AE946)=0,"",MAX((AC946:AE946&lt;&gt;"")*(COLUMN(AC946:AE946)-(COLUMN(AC946)-1))))-1),"")</f>
        <v>46022</v>
      </c>
      <c r="L946" s="17" t="str">
        <f aca="false" t="array" ref="L946:L946">IFERROR(INDEX(AC946:AE946,IF(COUNTA(AC946:AE946)=0,"",MAX((AC946:AE946&lt;&gt;"")*(COLUMN(AC946:AE946)-(COLUMN(AC946)-2))))-1),"")</f>
        <v>ARCHIVED</v>
      </c>
      <c r="M946" s="13" t="n">
        <f aca="true">K946-TODAY()</f>
        <v>-302</v>
      </c>
      <c r="N946" s="18" t="s">
        <v>36</v>
      </c>
      <c r="O946" s="13" t="s">
        <v>146</v>
      </c>
      <c r="P946" s="19" t="n">
        <v>5195401</v>
      </c>
      <c r="Q946" s="20" t="s">
        <v>4196</v>
      </c>
      <c r="R946" s="13" t="s">
        <v>78</v>
      </c>
      <c r="S946" s="14" t="n">
        <v>35940</v>
      </c>
      <c r="T946" s="13" t="s">
        <v>40</v>
      </c>
      <c r="U946" s="13" t="s">
        <v>4118</v>
      </c>
      <c r="V946" s="13" t="s">
        <v>42</v>
      </c>
      <c r="W946" s="13" t="s">
        <v>43</v>
      </c>
      <c r="X946" s="21" t="n">
        <v>83110796718</v>
      </c>
      <c r="Y946" s="22" t="str">
        <f aca="false">O946</f>
        <v>Enamel</v>
      </c>
      <c r="Z946" s="13" t="str">
        <f aca="false">IFERROR(__xludf.dummyfunction("if(BJ946="""","""",GOOGLETRANSLATE(BJ946,""auto"",""en""))"),"Enamel")</f>
        <v>Enamel</v>
      </c>
      <c r="AA946" s="23" t="str">
        <f aca="false">IF(C946="","", CHOOSE(MONTH(C946),"January","February","March","April","May","June","July","August","September","October","November","December")&amp;" "&amp;DAY(C946)&amp;MID("thstndrdth",MIN(9,2*RIGHT(DAY(C946))*(MOD(DAY(C946)-11,100)&gt;2)+1),2)&amp;","&amp;TEXT(C946," yyyy"))</f>
        <v>March 13th,2023</v>
      </c>
      <c r="AB946" s="15" t="str">
        <f aca="true">IF(S946="","",DATEDIF(S946,TODAY(),"Y")&amp;" Tahun, "&amp;DATEDIF(S946,TODAY(),"YM")&amp;" Bulan, "&amp;DATEDIF(S946,TODAY(),"MD")&amp;" Hari")</f>
        <v>28 Tahun, 5 Bulan, 4 Hari</v>
      </c>
      <c r="AC946" s="18" t="n">
        <v>45658</v>
      </c>
      <c r="AD946" s="18" t="n">
        <v>46022</v>
      </c>
      <c r="AE946" s="18" t="s">
        <v>44</v>
      </c>
    </row>
    <row r="947" customFormat="false" ht="15.75" hidden="false" customHeight="true" outlineLevel="0" collapsed="false">
      <c r="A947" s="12" t="n">
        <v>10232</v>
      </c>
      <c r="B947" s="13" t="s">
        <v>4197</v>
      </c>
      <c r="C947" s="14" t="n">
        <v>44998</v>
      </c>
      <c r="D947" s="13" t="s">
        <v>144</v>
      </c>
      <c r="E947" s="15" t="s">
        <v>47</v>
      </c>
      <c r="F947" s="15" t="str">
        <f aca="false">IFERROR(__xludf.dummyfunction("XLOOKUP(AJ947,IMPORTRANGE(""1XaInW9DU9nz21V0tYIfzFQ0He9kVQ_JF2mCXgZ3hqFA"",""REKAP ALL 2026 - Andika!G:G""),IMPORTRANGE(""1XaInW9DU9nz21V0tYIfzFQ0He9kVQ_JF2mCXgZ3hqFA"",""REKAP ALL 2026 - Andika!F:F""),"""",0)"),"23031598610")</f>
        <v>23031598610</v>
      </c>
      <c r="G947" s="13" t="s">
        <v>4198</v>
      </c>
      <c r="H947" s="13" t="s">
        <v>35</v>
      </c>
      <c r="I947" s="13" t="str">
        <f aca="false">IF(C947=J947,"NEW KONTRAK","RE-KONTRAK")</f>
        <v>RE-KONTRAK</v>
      </c>
      <c r="J947" s="16" t="n">
        <f aca="false" t="array" ref="J947:J947">IFERROR(INDEX(AC947:AE947,IF(COUNTA(AC947:AE947)=0,"",MAX((AC947:AE947&lt;&gt;"")*(COLUMN(AC947:AE947)-(COLUMN(AC947)))))-1),"")</f>
        <v>45658</v>
      </c>
      <c r="K947" s="16" t="n">
        <f aca="false" t="array" ref="K947:K947">IFERROR(INDEX(AC947:AE947,IF(COUNTA(AC947:AE947)=0,"",MAX((AC947:AE947&lt;&gt;"")*(COLUMN(AC947:AE947)-(COLUMN(AC947)-1))))-1),"")</f>
        <v>46022</v>
      </c>
      <c r="L947" s="17" t="str">
        <f aca="false" t="array" ref="L947:L947">IFERROR(INDEX(AC947:AE947,IF(COUNTA(AC947:AE947)=0,"",MAX((AC947:AE947&lt;&gt;"")*(COLUMN(AC947:AE947)-(COLUMN(AC947)-2))))-1),"")</f>
        <v>ARCHIVED</v>
      </c>
      <c r="M947" s="13" t="n">
        <f aca="true">K947-TODAY()</f>
        <v>-302</v>
      </c>
      <c r="N947" s="18" t="s">
        <v>36</v>
      </c>
      <c r="O947" s="13" t="s">
        <v>156</v>
      </c>
      <c r="P947" s="19" t="n">
        <v>5195401</v>
      </c>
      <c r="Q947" s="20" t="s">
        <v>4199</v>
      </c>
      <c r="R947" s="13" t="s">
        <v>65</v>
      </c>
      <c r="S947" s="14" t="n">
        <v>31238</v>
      </c>
      <c r="T947" s="13" t="s">
        <v>40</v>
      </c>
      <c r="U947" s="13" t="s">
        <v>4200</v>
      </c>
      <c r="V947" s="13" t="s">
        <v>42</v>
      </c>
      <c r="W947" s="13" t="s">
        <v>54</v>
      </c>
      <c r="X947" s="21" t="n">
        <v>81357223972</v>
      </c>
      <c r="Y947" s="22" t="str">
        <f aca="false">O947</f>
        <v>Emulsion</v>
      </c>
      <c r="Z947" s="13" t="str">
        <f aca="false">IFERROR(__xludf.dummyfunction("if(BJ947="""","""",GOOGLETRANSLATE(BJ947,""auto"",""en""))"),"Emulsion")</f>
        <v>Emulsion</v>
      </c>
      <c r="AA947" s="23" t="str">
        <f aca="false">IF(C947="","", CHOOSE(MONTH(C947),"January","February","March","April","May","June","July","August","September","October","November","December")&amp;" "&amp;DAY(C947)&amp;MID("thstndrdth",MIN(9,2*RIGHT(DAY(C947))*(MOD(DAY(C947)-11,100)&gt;2)+1),2)&amp;","&amp;TEXT(C947," yyyy"))</f>
        <v>March 13th,2023</v>
      </c>
      <c r="AB947" s="15" t="str">
        <f aca="true">IF(S947="","",DATEDIF(S947,TODAY(),"Y")&amp;" Tahun, "&amp;DATEDIF(S947,TODAY(),"YM")&amp;" Bulan, "&amp;DATEDIF(S947,TODAY(),"MD")&amp;" Hari")</f>
        <v>41 Tahun, 3 Bulan, 19 Hari</v>
      </c>
      <c r="AC947" s="18" t="n">
        <v>45658</v>
      </c>
      <c r="AD947" s="18" t="n">
        <v>46022</v>
      </c>
      <c r="AE947" s="18" t="s">
        <v>44</v>
      </c>
    </row>
    <row r="948" customFormat="false" ht="15.75" hidden="false" customHeight="true" outlineLevel="0" collapsed="false">
      <c r="A948" s="12" t="n">
        <v>10258</v>
      </c>
      <c r="B948" s="13" t="s">
        <v>4201</v>
      </c>
      <c r="C948" s="14" t="n">
        <v>44999</v>
      </c>
      <c r="D948" s="13" t="s">
        <v>404</v>
      </c>
      <c r="E948" s="15" t="s">
        <v>47</v>
      </c>
      <c r="F948" s="15" t="str">
        <f aca="false">IFERROR(__xludf.dummyfunction("XLOOKUP(AJ948,IMPORTRANGE(""1XaInW9DU9nz21V0tYIfzFQ0He9kVQ_JF2mCXgZ3hqFA"",""REKAP ALL 2026 - Andika!G:G""),IMPORTRANGE(""1XaInW9DU9nz21V0tYIfzFQ0He9kVQ_JF2mCXgZ3hqFA"",""REKAP ALL 2026 - Andika!F:F""),"""",0)"),"23031595897")</f>
        <v>23031595897</v>
      </c>
      <c r="G948" s="13" t="s">
        <v>4202</v>
      </c>
      <c r="H948" s="13" t="s">
        <v>35</v>
      </c>
      <c r="I948" s="13" t="str">
        <f aca="false">IF(C948=J948,"NEW KONTRAK","RE-KONTRAK")</f>
        <v>RE-KONTRAK</v>
      </c>
      <c r="J948" s="16" t="n">
        <f aca="false" t="array" ref="J948:J948">IFERROR(INDEX(AC948:AE948,IF(COUNTA(AC948:AE948)=0,"",MAX((AC948:AE948&lt;&gt;"")*(COLUMN(AC948:AE948)-(COLUMN(AC948)))))-1),"")</f>
        <v>45658</v>
      </c>
      <c r="K948" s="16" t="n">
        <f aca="false" t="array" ref="K948:K948">IFERROR(INDEX(AC948:AE948,IF(COUNTA(AC948:AE948)=0,"",MAX((AC948:AE948&lt;&gt;"")*(COLUMN(AC948:AE948)-(COLUMN(AC948)-1))))-1),"")</f>
        <v>46022</v>
      </c>
      <c r="L948" s="17" t="str">
        <f aca="false" t="array" ref="L948:L948">IFERROR(INDEX(AC948:AE948,IF(COUNTA(AC948:AE948)=0,"",MAX((AC948:AE948&lt;&gt;"")*(COLUMN(AC948:AE948)-(COLUMN(AC948)-2))))-1),"")</f>
        <v>ARCHIVED</v>
      </c>
      <c r="M948" s="13" t="n">
        <f aca="true">K948-TODAY()</f>
        <v>-302</v>
      </c>
      <c r="N948" s="18" t="s">
        <v>36</v>
      </c>
      <c r="O948" s="13" t="s">
        <v>406</v>
      </c>
      <c r="P948" s="26" t="n">
        <v>5195401</v>
      </c>
      <c r="Q948" s="20" t="s">
        <v>4203</v>
      </c>
      <c r="R948" s="13" t="s">
        <v>65</v>
      </c>
      <c r="S948" s="14" t="n">
        <v>35025</v>
      </c>
      <c r="T948" s="13" t="s">
        <v>40</v>
      </c>
      <c r="U948" s="13" t="s">
        <v>4204</v>
      </c>
      <c r="V948" s="13" t="s">
        <v>42</v>
      </c>
      <c r="W948" s="13" t="s">
        <v>43</v>
      </c>
      <c r="X948" s="21" t="n">
        <v>88803519378</v>
      </c>
      <c r="Y948" s="22" t="str">
        <f aca="false">O948</f>
        <v>Utility</v>
      </c>
      <c r="Z948" s="13" t="str">
        <f aca="false">IFERROR(__xludf.dummyfunction("if(BJ948="""","""",GOOGLETRANSLATE(BJ948,""auto"",""en""))"),"Utility")</f>
        <v>Utility</v>
      </c>
      <c r="AA948" s="23" t="str">
        <f aca="false">IF(C948="","", CHOOSE(MONTH(C948),"January","February","March","April","May","June","July","August","September","October","November","December")&amp;" "&amp;DAY(C948)&amp;MID("thstndrdth",MIN(9,2*RIGHT(DAY(C948))*(MOD(DAY(C948)-11,100)&gt;2)+1),2)&amp;","&amp;TEXT(C948," yyyy"))</f>
        <v>March 14th,2023</v>
      </c>
      <c r="AB948" s="15" t="str">
        <f aca="true">IF(S948="","",DATEDIF(S948,TODAY(),"Y")&amp;" Tahun, "&amp;DATEDIF(S948,TODAY(),"YM")&amp;" Bulan, "&amp;DATEDIF(S948,TODAY(),"MD")&amp;" Hari")</f>
        <v>30 Tahun, 11 Bulan, 7 Hari</v>
      </c>
      <c r="AC948" s="18" t="n">
        <v>45658</v>
      </c>
      <c r="AD948" s="18" t="n">
        <v>46022</v>
      </c>
      <c r="AE948" s="18" t="s">
        <v>44</v>
      </c>
    </row>
    <row r="949" customFormat="false" ht="15.75" hidden="false" customHeight="true" outlineLevel="0" collapsed="false">
      <c r="A949" s="12" t="n">
        <v>10261</v>
      </c>
      <c r="B949" s="13" t="s">
        <v>4205</v>
      </c>
      <c r="C949" s="14" t="n">
        <v>44874</v>
      </c>
      <c r="D949" s="13" t="s">
        <v>3022</v>
      </c>
      <c r="E949" s="15" t="s">
        <v>47</v>
      </c>
      <c r="F949" s="15" t="str">
        <f aca="false">IFERROR(__xludf.dummyfunction("XLOOKUP(AJ949,IMPORTRANGE(""1XaInW9DU9nz21V0tYIfzFQ0He9kVQ_JF2mCXgZ3hqFA"",""REKAP ALL 2026 - Andika!G:G""),IMPORTRANGE(""1XaInW9DU9nz21V0tYIfzFQ0He9kVQ_JF2mCXgZ3hqFA"",""REKAP ALL 2026 - Andika!F:F""),"""",0)"),"23172179097")</f>
        <v>23172179097</v>
      </c>
      <c r="G949" s="13" t="s">
        <v>4206</v>
      </c>
      <c r="H949" s="13" t="s">
        <v>3024</v>
      </c>
      <c r="I949" s="13" t="str">
        <f aca="false">IF(C949=J949,"NEW KONTRAK","RE-KONTRAK")</f>
        <v>RE-KONTRAK</v>
      </c>
      <c r="J949" s="16" t="n">
        <f aca="false" t="array" ref="J949:J949">IFERROR(INDEX(AC949:AE949,IF(COUNTA(AC949:AE949)=0,"",MAX((AC949:AE949&lt;&gt;"")*(COLUMN(AC949:AE949)-(COLUMN(AC949)))))-1),"")</f>
        <v>45570</v>
      </c>
      <c r="K949" s="16" t="n">
        <f aca="false" t="array" ref="K949:K949">IFERROR(INDEX(AC949:AE949,IF(COUNTA(AC949:AE949)=0,"",MAX((AC949:AE949&lt;&gt;"")*(COLUMN(AC949:AE949)-(COLUMN(AC949)-1))))-1),"")</f>
        <v>45934</v>
      </c>
      <c r="L949" s="17" t="str">
        <f aca="false" t="array" ref="L949:L949">IFERROR(INDEX(AC949:AE949,IF(COUNTA(AC949:AE949)=0,"",MAX((AC949:AE949&lt;&gt;"")*(COLUMN(AC949:AE949)-(COLUMN(AC949)-2))))-1),"")</f>
        <v>ARCHIVED</v>
      </c>
      <c r="M949" s="13" t="n">
        <f aca="true">K949-TODAY()</f>
        <v>-390</v>
      </c>
      <c r="N949" s="18" t="s">
        <v>36</v>
      </c>
      <c r="O949" s="13" t="s">
        <v>3025</v>
      </c>
      <c r="P949" s="19" t="n">
        <v>187500</v>
      </c>
      <c r="Q949" s="20" t="s">
        <v>4207</v>
      </c>
      <c r="R949" s="13" t="s">
        <v>65</v>
      </c>
      <c r="S949" s="14" t="n">
        <v>31720</v>
      </c>
      <c r="T949" s="13" t="s">
        <v>40</v>
      </c>
      <c r="U949" s="13" t="s">
        <v>4208</v>
      </c>
      <c r="V949" s="13" t="s">
        <v>42</v>
      </c>
      <c r="W949" s="13" t="s">
        <v>54</v>
      </c>
      <c r="X949" s="21" t="n">
        <v>85732020439</v>
      </c>
      <c r="Y949" s="22" t="str">
        <f aca="false">O949</f>
        <v>Gudang ( Warehouse )</v>
      </c>
      <c r="Z949" s="13" t="str">
        <f aca="false">IFERROR(__xludf.dummyfunction("if(BJ949="""","""",GOOGLETRANSLATE(BJ949,""auto"",""en""))"),"Warehouse")</f>
        <v>Warehouse</v>
      </c>
      <c r="AA949" s="23" t="str">
        <f aca="false">IF(C949="","", CHOOSE(MONTH(C949),"January","February","March","April","May","June","July","August","September","October","November","December")&amp;" "&amp;DAY(C949)&amp;MID("thstndrdth",MIN(9,2*RIGHT(DAY(C949))*(MOD(DAY(C949)-11,100)&gt;2)+1),2)&amp;","&amp;TEXT(C949," yyyy"))</f>
        <v>November 9th,2022</v>
      </c>
      <c r="AB949" s="15" t="str">
        <f aca="true">IF(S949="","",DATEDIF(S949,TODAY(),"Y")&amp;" Tahun, "&amp;DATEDIF(S949,TODAY(),"YM")&amp;" Bulan, "&amp;DATEDIF(S949,TODAY(),"MD")&amp;" Hari")</f>
        <v>39 Tahun, 11 Bulan, 25 Hari</v>
      </c>
      <c r="AC949" s="18" t="n">
        <v>45570</v>
      </c>
      <c r="AD949" s="18" t="n">
        <v>45934</v>
      </c>
      <c r="AE949" s="18" t="s">
        <v>44</v>
      </c>
    </row>
    <row r="950" customFormat="false" ht="15.75" hidden="false" customHeight="true" outlineLevel="0" collapsed="false">
      <c r="A950" s="12" t="n">
        <v>10265</v>
      </c>
      <c r="B950" s="13" t="s">
        <v>4209</v>
      </c>
      <c r="C950" s="14" t="n">
        <v>44897</v>
      </c>
      <c r="D950" s="13" t="s">
        <v>774</v>
      </c>
      <c r="E950" s="15" t="s">
        <v>47</v>
      </c>
      <c r="F950" s="15" t="str">
        <f aca="false">IFERROR(__xludf.dummyfunction("XLOOKUP(AJ950,IMPORTRANGE(""1XaInW9DU9nz21V0tYIfzFQ0He9kVQ_JF2mCXgZ3hqFA"",""REKAP ALL 2026 - Andika!G:G""),IMPORTRANGE(""1XaInW9DU9nz21V0tYIfzFQ0He9kVQ_JF2mCXgZ3hqFA"",""REKAP ALL 2026 - Andika!F:F""),"""",0)"),"23172180673")</f>
        <v>23172180673</v>
      </c>
      <c r="G950" s="13" t="s">
        <v>4210</v>
      </c>
      <c r="H950" s="13" t="s">
        <v>2967</v>
      </c>
      <c r="I950" s="13" t="str">
        <f aca="false">IF(C950=J950,"NEW KONTRAK","RE-KONTRAK")</f>
        <v>RE-KONTRAK</v>
      </c>
      <c r="J950" s="16" t="n">
        <f aca="false" t="array" ref="J950:J950">IFERROR(INDEX(AC950:AE950,IF(COUNTA(AC950:AE950)=0,"",MAX((AC950:AE950&lt;&gt;"")*(COLUMN(AC950:AE950)-(COLUMN(AC950)))))-1),"")</f>
        <v>45570</v>
      </c>
      <c r="K950" s="16" t="n">
        <f aca="false" t="array" ref="K950:K950">IFERROR(INDEX(AC950:AE950,IF(COUNTA(AC950:AE950)=0,"",MAX((AC950:AE950&lt;&gt;"")*(COLUMN(AC950:AE950)-(COLUMN(AC950)-1))))-1),"")</f>
        <v>45934</v>
      </c>
      <c r="L950" s="17" t="str">
        <f aca="false" t="array" ref="L950:L950">IFERROR(INDEX(AC950:AE950,IF(COUNTA(AC950:AE950)=0,"",MAX((AC950:AE950&lt;&gt;"")*(COLUMN(AC950:AE950)-(COLUMN(AC950)-2))))-1),"")</f>
        <v>ARCHIVED</v>
      </c>
      <c r="M950" s="13" t="n">
        <f aca="true">K950-TODAY()</f>
        <v>-390</v>
      </c>
      <c r="N950" s="18" t="s">
        <v>36</v>
      </c>
      <c r="O950" s="13" t="s">
        <v>812</v>
      </c>
      <c r="P950" s="19" t="n">
        <v>3750000</v>
      </c>
      <c r="Q950" s="20" t="s">
        <v>4211</v>
      </c>
      <c r="R950" s="13" t="s">
        <v>65</v>
      </c>
      <c r="S950" s="14" t="n">
        <v>31133</v>
      </c>
      <c r="T950" s="13" t="s">
        <v>40</v>
      </c>
      <c r="U950" s="13" t="s">
        <v>4212</v>
      </c>
      <c r="V950" s="13" t="s">
        <v>42</v>
      </c>
      <c r="W950" s="13" t="s">
        <v>54</v>
      </c>
      <c r="X950" s="21" t="n">
        <v>85755861115</v>
      </c>
      <c r="Y950" s="22" t="str">
        <f aca="false">O950</f>
        <v>Heating</v>
      </c>
      <c r="Z950" s="13" t="str">
        <f aca="false">IFERROR(__xludf.dummyfunction("if(BJ950="""","""",GOOGLETRANSLATE(BJ950,""auto"",""en""))"),"Heating")</f>
        <v>Heating</v>
      </c>
      <c r="AA950" s="23" t="str">
        <f aca="false">IF(C950="","", CHOOSE(MONTH(C950),"January","February","March","April","May","June","July","August","September","October","November","December")&amp;" "&amp;DAY(C950)&amp;MID("thstndrdth",MIN(9,2*RIGHT(DAY(C950))*(MOD(DAY(C950)-11,100)&gt;2)+1),2)&amp;","&amp;TEXT(C950," yyyy"))</f>
        <v>December 2nd,2022</v>
      </c>
      <c r="AB950" s="15" t="str">
        <f aca="true">IF(S950="","",DATEDIF(S950,TODAY(),"Y")&amp;" Tahun, "&amp;DATEDIF(S950,TODAY(),"YM")&amp;" Bulan, "&amp;DATEDIF(S950,TODAY(),"MD")&amp;" Hari")</f>
        <v>41 Tahun, 7 Bulan, 2 Hari</v>
      </c>
      <c r="AC950" s="18" t="n">
        <v>45570</v>
      </c>
      <c r="AD950" s="18" t="n">
        <v>45934</v>
      </c>
      <c r="AE950" s="18" t="s">
        <v>44</v>
      </c>
    </row>
    <row r="951" customFormat="false" ht="15.75" hidden="false" customHeight="true" outlineLevel="0" collapsed="false">
      <c r="A951" s="12" t="n">
        <v>10271</v>
      </c>
      <c r="B951" s="13" t="s">
        <v>4213</v>
      </c>
      <c r="C951" s="14" t="n">
        <v>44916</v>
      </c>
      <c r="D951" s="13" t="s">
        <v>774</v>
      </c>
      <c r="E951" s="15" t="s">
        <v>47</v>
      </c>
      <c r="F951" s="15" t="str">
        <f aca="false">IFERROR(__xludf.dummyfunction("XLOOKUP(AJ951,IMPORTRANGE(""1XaInW9DU9nz21V0tYIfzFQ0He9kVQ_JF2mCXgZ3hqFA"",""REKAP ALL 2026 - Andika!G:G""),IMPORTRANGE(""1XaInW9DU9nz21V0tYIfzFQ0He9kVQ_JF2mCXgZ3hqFA"",""REKAP ALL 2026 - Andika!F:F""),"""",0)"),"23172179899")</f>
        <v>23172179899</v>
      </c>
      <c r="G951" s="13" t="s">
        <v>4214</v>
      </c>
      <c r="H951" s="13" t="s">
        <v>2967</v>
      </c>
      <c r="I951" s="13" t="str">
        <f aca="false">IF(C951=J951,"NEW KONTRAK","RE-KONTRAK")</f>
        <v>RE-KONTRAK</v>
      </c>
      <c r="J951" s="16" t="n">
        <f aca="false" t="array" ref="J951:J951">IFERROR(INDEX(AC951:AE951,IF(COUNTA(AC951:AE951)=0,"",MAX((AC951:AE951&lt;&gt;"")*(COLUMN(AC951:AE951)-(COLUMN(AC951)))))-1),"")</f>
        <v>45570</v>
      </c>
      <c r="K951" s="16" t="n">
        <f aca="false" t="array" ref="K951:K951">IFERROR(INDEX(AC951:AE951,IF(COUNTA(AC951:AE951)=0,"",MAX((AC951:AE951&lt;&gt;"")*(COLUMN(AC951:AE951)-(COLUMN(AC951)-1))))-1),"")</f>
        <v>45934</v>
      </c>
      <c r="L951" s="17" t="str">
        <f aca="false" t="array" ref="L951:L951">IFERROR(INDEX(AC951:AE951,IF(COUNTA(AC951:AE951)=0,"",MAX((AC951:AE951&lt;&gt;"")*(COLUMN(AC951:AE951)-(COLUMN(AC951)-2))))-1),"")</f>
        <v>ARCHIVED</v>
      </c>
      <c r="M951" s="13" t="n">
        <f aca="true">K951-TODAY()</f>
        <v>-390</v>
      </c>
      <c r="N951" s="18" t="s">
        <v>36</v>
      </c>
      <c r="O951" s="29" t="s">
        <v>780</v>
      </c>
      <c r="P951" s="19" t="n">
        <v>3500000</v>
      </c>
      <c r="Q951" s="20" t="s">
        <v>4215</v>
      </c>
      <c r="R951" s="13" t="s">
        <v>52</v>
      </c>
      <c r="S951" s="14" t="n">
        <v>37847</v>
      </c>
      <c r="T951" s="13" t="s">
        <v>40</v>
      </c>
      <c r="U951" s="13" t="s">
        <v>4216</v>
      </c>
      <c r="V951" s="13" t="s">
        <v>42</v>
      </c>
      <c r="W951" s="13" t="s">
        <v>43</v>
      </c>
      <c r="X951" s="21" t="n">
        <v>85733465443</v>
      </c>
      <c r="Y951" s="22" t="str">
        <f aca="false">O951</f>
        <v>Shearing</v>
      </c>
      <c r="Z951" s="13" t="str">
        <f aca="false">IFERROR(__xludf.dummyfunction("if(BJ951="""","""",GOOGLETRANSLATE(BJ951,""auto"",""en""))"),"Shearing")</f>
        <v>Shearing</v>
      </c>
      <c r="AA951" s="23" t="str">
        <f aca="false">IF(C951="","", CHOOSE(MONTH(C951),"January","February","March","April","May","June","July","August","September","October","November","December")&amp;" "&amp;DAY(C951)&amp;MID("thstndrdth",MIN(9,2*RIGHT(DAY(C951))*(MOD(DAY(C951)-11,100)&gt;2)+1),2)&amp;","&amp;TEXT(C951," yyyy"))</f>
        <v>December 21st,2022</v>
      </c>
      <c r="AB951" s="15" t="str">
        <f aca="true">IF(S951="","",DATEDIF(S951,TODAY(),"Y")&amp;" Tahun, "&amp;DATEDIF(S951,TODAY(),"YM")&amp;" Bulan, "&amp;DATEDIF(S951,TODAY(),"MD")&amp;" Hari")</f>
        <v>23 Tahun, 2 Bulan, 15 Hari</v>
      </c>
      <c r="AC951" s="18" t="n">
        <v>45570</v>
      </c>
      <c r="AD951" s="18" t="n">
        <v>45934</v>
      </c>
      <c r="AE951" s="18" t="s">
        <v>44</v>
      </c>
    </row>
    <row r="952" customFormat="false" ht="15.75" hidden="false" customHeight="true" outlineLevel="0" collapsed="false">
      <c r="A952" s="12" t="n">
        <v>10288</v>
      </c>
      <c r="B952" s="13" t="s">
        <v>4217</v>
      </c>
      <c r="C952" s="14" t="n">
        <v>45002</v>
      </c>
      <c r="D952" s="13" t="s">
        <v>404</v>
      </c>
      <c r="E952" s="15" t="s">
        <v>47</v>
      </c>
      <c r="F952" s="15" t="str">
        <f aca="false">IFERROR(__xludf.dummyfunction("XLOOKUP(AJ952,IMPORTRANGE(""1XaInW9DU9nz21V0tYIfzFQ0He9kVQ_JF2mCXgZ3hqFA"",""REKAP ALL 2026 - Andika!G:G""),IMPORTRANGE(""1XaInW9DU9nz21V0tYIfzFQ0He9kVQ_JF2mCXgZ3hqFA"",""REKAP ALL 2026 - Andika!F:F""),"""",0)"),"23046249118")</f>
        <v>23046249118</v>
      </c>
      <c r="G952" s="13" t="s">
        <v>4218</v>
      </c>
      <c r="H952" s="13" t="s">
        <v>35</v>
      </c>
      <c r="I952" s="13" t="str">
        <f aca="false">IF(C952=J952,"NEW KONTRAK","RE-KONTRAK")</f>
        <v>RE-KONTRAK</v>
      </c>
      <c r="J952" s="16" t="n">
        <f aca="false" t="array" ref="J952:J952">IFERROR(INDEX(AC952:AE952,IF(COUNTA(AC952:AE952)=0,"",MAX((AC952:AE952&lt;&gt;"")*(COLUMN(AC952:AE952)-(COLUMN(AC952)))))-1),"")</f>
        <v>45658</v>
      </c>
      <c r="K952" s="16" t="n">
        <f aca="false" t="array" ref="K952:K952">IFERROR(INDEX(AC952:AE952,IF(COUNTA(AC952:AE952)=0,"",MAX((AC952:AE952&lt;&gt;"")*(COLUMN(AC952:AE952)-(COLUMN(AC952)-1))))-1),"")</f>
        <v>46022</v>
      </c>
      <c r="L952" s="17" t="str">
        <f aca="false" t="array" ref="L952:L952">IFERROR(INDEX(AC952:AE952,IF(COUNTA(AC952:AE952)=0,"",MAX((AC952:AE952&lt;&gt;"")*(COLUMN(AC952:AE952)-(COLUMN(AC952)-2))))-1),"")</f>
        <v>ARCHIVED</v>
      </c>
      <c r="M952" s="13" t="n">
        <f aca="true">K952-TODAY()</f>
        <v>-302</v>
      </c>
      <c r="N952" s="18" t="s">
        <v>36</v>
      </c>
      <c r="O952" s="13" t="s">
        <v>406</v>
      </c>
      <c r="P952" s="26" t="n">
        <v>5195401</v>
      </c>
      <c r="Q952" s="20" t="s">
        <v>4219</v>
      </c>
      <c r="R952" s="13" t="s">
        <v>65</v>
      </c>
      <c r="S952" s="14" t="n">
        <v>33845</v>
      </c>
      <c r="T952" s="13" t="s">
        <v>40</v>
      </c>
      <c r="U952" s="13" t="s">
        <v>4220</v>
      </c>
      <c r="V952" s="13" t="s">
        <v>42</v>
      </c>
      <c r="W952" s="13" t="s">
        <v>54</v>
      </c>
      <c r="X952" s="21" t="n">
        <v>82242849623</v>
      </c>
      <c r="Y952" s="22" t="str">
        <f aca="false">O952</f>
        <v>Utility</v>
      </c>
      <c r="Z952" s="13" t="str">
        <f aca="false">IFERROR(__xludf.dummyfunction("if(BJ952="""","""",GOOGLETRANSLATE(BJ952,""auto"",""en""))"),"Utility")</f>
        <v>Utility</v>
      </c>
      <c r="AA952" s="23" t="str">
        <f aca="false">IF(C952="","", CHOOSE(MONTH(C952),"January","February","March","April","May","June","July","August","September","October","November","December")&amp;" "&amp;DAY(C952)&amp;MID("thstndrdth",MIN(9,2*RIGHT(DAY(C952))*(MOD(DAY(C952)-11,100)&gt;2)+1),2)&amp;","&amp;TEXT(C952," yyyy"))</f>
        <v>March 17th,2023</v>
      </c>
      <c r="AB952" s="15" t="str">
        <f aca="true">IF(S952="","",DATEDIF(S952,TODAY(),"Y")&amp;" Tahun, "&amp;DATEDIF(S952,TODAY(),"YM")&amp;" Bulan, "&amp;DATEDIF(S952,TODAY(),"MD")&amp;" Hari")</f>
        <v>34 Tahun, 2 Bulan, 0 Hari</v>
      </c>
      <c r="AC952" s="18" t="n">
        <v>45658</v>
      </c>
      <c r="AD952" s="18" t="n">
        <v>46022</v>
      </c>
      <c r="AE952" s="18" t="s">
        <v>44</v>
      </c>
    </row>
    <row r="953" customFormat="false" ht="15.75" hidden="false" customHeight="true" outlineLevel="0" collapsed="false">
      <c r="A953" s="12" t="n">
        <v>19722</v>
      </c>
      <c r="B953" s="13" t="s">
        <v>4221</v>
      </c>
      <c r="C953" s="16" t="n">
        <v>45765</v>
      </c>
      <c r="D953" s="13" t="s">
        <v>2033</v>
      </c>
      <c r="E953" s="15" t="s">
        <v>47</v>
      </c>
      <c r="F953" s="15" t="str">
        <f aca="false">IFERROR(__xludf.dummyfunction("XLOOKUP(AJ953,IMPORTRANGE(""1XaInW9DU9nz21V0tYIfzFQ0He9kVQ_JF2mCXgZ3hqFA"",""REKAP ALL 2026 - Andika!G:G""),IMPORTRANGE(""1XaInW9DU9nz21V0tYIfzFQ0He9kVQ_JF2mCXgZ3hqFA"",""REKAP ALL 2026 - Andika!F:F""),"""",0)"),"25062536138")</f>
        <v>25062536138</v>
      </c>
      <c r="G953" s="13" t="s">
        <v>4222</v>
      </c>
      <c r="H953" s="13" t="s">
        <v>2035</v>
      </c>
      <c r="I953" s="13" t="str">
        <f aca="false">IF(C953=J953,"NEW KONTRAK","RE-KONTRAK")</f>
        <v>NEW KONTRAK</v>
      </c>
      <c r="J953" s="16" t="n">
        <f aca="false" t="array" ref="J953:J953">IFERROR(INDEX(AC953:AE953,IF(COUNTA(AC953:AE953)=0,"",MAX((AC953:AE953&lt;&gt;"")*(COLUMN(AC953:AE953)-(COLUMN(AC953)))))-1),"")</f>
        <v>45765</v>
      </c>
      <c r="K953" s="16" t="n">
        <f aca="false" t="array" ref="K953:K953">IFERROR(INDEX(AC953:AE953,IF(COUNTA(AC953:AE953)=0,"",MAX((AC953:AE953&lt;&gt;"")*(COLUMN(AC953:AE953)-(COLUMN(AC953)-1))))-1),"")</f>
        <v>45915</v>
      </c>
      <c r="L953" s="17" t="str">
        <f aca="false" t="array" ref="L953:L953">IFERROR(INDEX(AC953:AE953,IF(COUNTA(AC953:AE953)=0,"",MAX((AC953:AE953&lt;&gt;"")*(COLUMN(AC953:AE953)-(COLUMN(AC953)-2))))-1),"")</f>
        <v>ARCHIVED</v>
      </c>
      <c r="M953" s="13" t="n">
        <f aca="true">K953-TODAY()</f>
        <v>-409</v>
      </c>
      <c r="N953" s="18" t="s">
        <v>2434</v>
      </c>
      <c r="O953" s="13" t="s">
        <v>2037</v>
      </c>
      <c r="P953" s="19" t="n">
        <v>2827593</v>
      </c>
      <c r="Q953" s="20" t="s">
        <v>4223</v>
      </c>
      <c r="R953" s="13" t="s">
        <v>3734</v>
      </c>
      <c r="S953" s="16" t="n">
        <v>38431</v>
      </c>
      <c r="T953" s="13" t="s">
        <v>108</v>
      </c>
      <c r="U953" s="13" t="s">
        <v>4224</v>
      </c>
      <c r="V953" s="13" t="s">
        <v>42</v>
      </c>
      <c r="W953" s="13" t="s">
        <v>43</v>
      </c>
      <c r="X953" s="21" t="n">
        <v>89674262387</v>
      </c>
      <c r="Y953" s="22" t="str">
        <f aca="false">O953</f>
        <v>SPG/BA</v>
      </c>
      <c r="Z953" s="13" t="str">
        <f aca="false">IFERROR(__xludf.dummyfunction("if(BJ953="""","""",GOOGLETRANSLATE(BJ953,""auto"",""en""))"),"SPG/BA")</f>
        <v>SPG/BA</v>
      </c>
      <c r="AA953" s="23" t="str">
        <f aca="false">IF(C953="","", CHOOSE(MONTH(C953),"January","February","March","April","May","June","July","August","September","October","November","December")&amp;" "&amp;DAY(C953)&amp;MID("thstndrdth",MIN(9,2*RIGHT(DAY(C953))*(MOD(DAY(C953)-11,100)&gt;2)+1),2)&amp;","&amp;TEXT(C953," yyyy"))</f>
        <v>April 18th,2025</v>
      </c>
      <c r="AB953" s="15" t="str">
        <f aca="true">IF(S953="","",DATEDIF(S953,TODAY(),"Y")&amp;" Tahun, "&amp;DATEDIF(S953,TODAY(),"YM")&amp;" Bulan, "&amp;DATEDIF(S953,TODAY(),"MD")&amp;" Hari")</f>
        <v>21 Tahun, 7 Bulan, 9 Hari</v>
      </c>
      <c r="AC953" s="18" t="n">
        <v>45765</v>
      </c>
      <c r="AD953" s="18" t="n">
        <v>45915</v>
      </c>
      <c r="AE953" s="18" t="s">
        <v>44</v>
      </c>
    </row>
    <row r="954" customFormat="false" ht="15.75" hidden="false" customHeight="true" outlineLevel="0" collapsed="false">
      <c r="A954" s="12" t="n">
        <v>14565</v>
      </c>
      <c r="B954" s="13" t="s">
        <v>4225</v>
      </c>
      <c r="C954" s="14" t="n">
        <v>45318</v>
      </c>
      <c r="D954" s="13" t="s">
        <v>2033</v>
      </c>
      <c r="E954" s="15" t="s">
        <v>47</v>
      </c>
      <c r="F954" s="15" t="str">
        <f aca="false">IFERROR(__xludf.dummyfunction("XLOOKUP(AJ954,IMPORTRANGE(""1XaInW9DU9nz21V0tYIfzFQ0He9kVQ_JF2mCXgZ3hqFA"",""REKAP ALL 2026 - Andika!G:G""),IMPORTRANGE(""1XaInW9DU9nz21V0tYIfzFQ0He9kVQ_JF2mCXgZ3hqFA"",""REKAP ALL 2026 - Andika!F:F""),"""",0)"),"24049126873")</f>
        <v>24049126873</v>
      </c>
      <c r="G954" s="13" t="s">
        <v>4226</v>
      </c>
      <c r="H954" s="13" t="s">
        <v>2035</v>
      </c>
      <c r="I954" s="13" t="str">
        <f aca="false">IF(C954=J954,"NEW KONTRAK","RE-KONTRAK")</f>
        <v>RE-KONTRAK</v>
      </c>
      <c r="J954" s="16" t="n">
        <f aca="false" t="array" ref="J954:J954">IFERROR(INDEX(AC954:AE954,IF(COUNTA(AC954:AE954)=0,"",MAX((AC954:AE954&lt;&gt;"")*(COLUMN(AC954:AE954)-(COLUMN(AC954)))))-1),"")</f>
        <v>45744</v>
      </c>
      <c r="K954" s="16" t="n">
        <f aca="false" t="array" ref="K954:K954">IFERROR(INDEX(AC954:AE954,IF(COUNTA(AC954:AE954)=0,"",MAX((AC954:AE954&lt;&gt;"")*(COLUMN(AC954:AE954)-(COLUMN(AC954)-1))))-1),"")</f>
        <v>45915</v>
      </c>
      <c r="L954" s="17" t="str">
        <f aca="false" t="array" ref="L954:L954">IFERROR(INDEX(AC954:AE954,IF(COUNTA(AC954:AE954)=0,"",MAX((AC954:AE954&lt;&gt;"")*(COLUMN(AC954:AE954)-(COLUMN(AC954)-2))))-1),"")</f>
        <v>ARCHIVED</v>
      </c>
      <c r="M954" s="13" t="n">
        <f aca="true">K954-TODAY()</f>
        <v>-409</v>
      </c>
      <c r="N954" s="18" t="s">
        <v>4227</v>
      </c>
      <c r="O954" s="13" t="s">
        <v>2037</v>
      </c>
      <c r="P954" s="19" t="n">
        <v>3089219</v>
      </c>
      <c r="Q954" s="20" t="s">
        <v>4228</v>
      </c>
      <c r="R954" s="13" t="s">
        <v>4227</v>
      </c>
      <c r="S954" s="14" t="n">
        <v>34900</v>
      </c>
      <c r="T954" s="13" t="s">
        <v>108</v>
      </c>
      <c r="U954" s="13" t="s">
        <v>4229</v>
      </c>
      <c r="V954" s="13" t="s">
        <v>42</v>
      </c>
      <c r="W954" s="13" t="s">
        <v>43</v>
      </c>
      <c r="X954" s="21" t="n">
        <v>85783894788</v>
      </c>
      <c r="Y954" s="22" t="str">
        <f aca="false">O954</f>
        <v>SPG/BA</v>
      </c>
      <c r="Z954" s="13" t="str">
        <f aca="false">IFERROR(__xludf.dummyfunction("if(BJ954="""","""",GOOGLETRANSLATE(BJ954,""auto"",""en""))"),"SPG/BA")</f>
        <v>SPG/BA</v>
      </c>
      <c r="AA954" s="23" t="str">
        <f aca="false">IF(C954="","", CHOOSE(MONTH(C954),"January","February","March","April","May","June","July","August","September","October","November","December")&amp;" "&amp;DAY(C954)&amp;MID("thstndrdth",MIN(9,2*RIGHT(DAY(C954))*(MOD(DAY(C954)-11,100)&gt;2)+1),2)&amp;","&amp;TEXT(C954," yyyy"))</f>
        <v>January 27th,2024</v>
      </c>
      <c r="AB954" s="15" t="str">
        <f aca="true">IF(S954="","",DATEDIF(S954,TODAY(),"Y")&amp;" Tahun, "&amp;DATEDIF(S954,TODAY(),"YM")&amp;" Bulan, "&amp;DATEDIF(S954,TODAY(),"MD")&amp;" Hari")</f>
        <v>31 Tahun, 3 Bulan, 9 Hari</v>
      </c>
      <c r="AC954" s="18" t="n">
        <v>45744</v>
      </c>
      <c r="AD954" s="18" t="n">
        <v>45915</v>
      </c>
      <c r="AE954" s="18" t="s">
        <v>44</v>
      </c>
    </row>
    <row r="955" customFormat="false" ht="15.75" hidden="false" customHeight="true" outlineLevel="0" collapsed="false">
      <c r="A955" s="12" t="n">
        <v>10347</v>
      </c>
      <c r="B955" s="13" t="s">
        <v>4230</v>
      </c>
      <c r="C955" s="14" t="n">
        <v>45017</v>
      </c>
      <c r="D955" s="13" t="s">
        <v>961</v>
      </c>
      <c r="E955" s="15" t="s">
        <v>47</v>
      </c>
      <c r="F955" s="15" t="str">
        <f aca="false">IFERROR(__xludf.dummyfunction("XLOOKUP(AJ955,IMPORTRANGE(""1XaInW9DU9nz21V0tYIfzFQ0He9kVQ_JF2mCXgZ3hqFA"",""REKAP ALL 2026 - Andika!G:G""),IMPORTRANGE(""1XaInW9DU9nz21V0tYIfzFQ0He9kVQ_JF2mCXgZ3hqFA"",""REKAP ALL 2026 - Andika!F:F""),"""",0)"),"23046249878")</f>
        <v>23046249878</v>
      </c>
      <c r="G955" s="13" t="s">
        <v>4231</v>
      </c>
      <c r="H955" s="13" t="s">
        <v>963</v>
      </c>
      <c r="I955" s="13" t="str">
        <f aca="false">IF(C955=J955,"NEW KONTRAK","RE-KONTRAK")</f>
        <v>RE-KONTRAK</v>
      </c>
      <c r="J955" s="16" t="n">
        <f aca="false" t="array" ref="J955:J955">IFERROR(INDEX(AC955:AE955,IF(COUNTA(AC955:AE955)=0,"",MAX((AC955:AE955&lt;&gt;"")*(COLUMN(AC955:AE955)-(COLUMN(AC955)))))-1),"")</f>
        <v>45658</v>
      </c>
      <c r="K955" s="16" t="n">
        <f aca="false" t="array" ref="K955:K955">IFERROR(INDEX(AC955:AE955,IF(COUNTA(AC955:AE955)=0,"",MAX((AC955:AE955&lt;&gt;"")*(COLUMN(AC955:AE955)-(COLUMN(AC955)-1))))-1),"")</f>
        <v>46022</v>
      </c>
      <c r="L955" s="17" t="str">
        <f aca="false" t="array" ref="L955:L955">IFERROR(INDEX(AC955:AE955,IF(COUNTA(AC955:AE955)=0,"",MAX((AC955:AE955&lt;&gt;"")*(COLUMN(AC955:AE955)-(COLUMN(AC955)-2))))-1),"")</f>
        <v>ARCHIVED</v>
      </c>
      <c r="M955" s="13" t="n">
        <f aca="true">K955-TODAY()</f>
        <v>-302</v>
      </c>
      <c r="N955" s="18" t="s">
        <v>728</v>
      </c>
      <c r="O955" s="13" t="s">
        <v>977</v>
      </c>
      <c r="P955" s="19" t="n">
        <v>4961753</v>
      </c>
      <c r="Q955" s="20" t="s">
        <v>4232</v>
      </c>
      <c r="R955" s="13" t="s">
        <v>1214</v>
      </c>
      <c r="S955" s="14" t="n">
        <v>32563</v>
      </c>
      <c r="T955" s="13" t="s">
        <v>40</v>
      </c>
      <c r="U955" s="13" t="s">
        <v>4233</v>
      </c>
      <c r="V955" s="13" t="s">
        <v>42</v>
      </c>
      <c r="W955" s="13" t="s">
        <v>43</v>
      </c>
      <c r="X955" s="21" t="n">
        <v>85888336000</v>
      </c>
      <c r="Y955" s="22" t="str">
        <f aca="false">O955</f>
        <v>QA</v>
      </c>
      <c r="Z955" s="13" t="str">
        <f aca="false">IFERROR(__xludf.dummyfunction("if(BJ955="""","""",GOOGLETRANSLATE(BJ955,""auto"",""en""))"),"QA")</f>
        <v>QA</v>
      </c>
      <c r="AA955" s="23" t="str">
        <f aca="false">IF(C955="","", CHOOSE(MONTH(C955),"January","February","March","April","May","June","July","August","September","October","November","December")&amp;" "&amp;DAY(C955)&amp;MID("thstndrdth",MIN(9,2*RIGHT(DAY(C955))*(MOD(DAY(C955)-11,100)&gt;2)+1),2)&amp;","&amp;TEXT(C955," yyyy"))</f>
        <v>April 1st,2023</v>
      </c>
      <c r="AB955" s="15" t="str">
        <f aca="true">IF(S955="","",DATEDIF(S955,TODAY(),"Y")&amp;" Tahun, "&amp;DATEDIF(S955,TODAY(),"YM")&amp;" Bulan, "&amp;DATEDIF(S955,TODAY(),"MD")&amp;" Hari")</f>
        <v>37 Tahun, 8 Bulan, 5 Hari</v>
      </c>
      <c r="AC955" s="18" t="n">
        <v>45658</v>
      </c>
      <c r="AD955" s="18" t="n">
        <v>46022</v>
      </c>
      <c r="AE955" s="18" t="s">
        <v>44</v>
      </c>
    </row>
    <row r="956" customFormat="false" ht="15.75" hidden="false" customHeight="true" outlineLevel="0" collapsed="false">
      <c r="A956" s="12" t="n">
        <v>10351</v>
      </c>
      <c r="B956" s="13" t="s">
        <v>4234</v>
      </c>
      <c r="C956" s="14" t="n">
        <v>45012</v>
      </c>
      <c r="D956" s="13" t="s">
        <v>404</v>
      </c>
      <c r="E956" s="15" t="s">
        <v>47</v>
      </c>
      <c r="F956" s="15" t="str">
        <f aca="false">IFERROR(__xludf.dummyfunction("XLOOKUP(AJ956,IMPORTRANGE(""1XaInW9DU9nz21V0tYIfzFQ0He9kVQ_JF2mCXgZ3hqFA"",""REKAP ALL 2026 - Andika!G:G""),IMPORTRANGE(""1XaInW9DU9nz21V0tYIfzFQ0He9kVQ_JF2mCXgZ3hqFA"",""REKAP ALL 2026 - Andika!F:F""),"""",0)"),"23046249100")</f>
        <v>23046249100</v>
      </c>
      <c r="G956" s="13" t="s">
        <v>4235</v>
      </c>
      <c r="H956" s="13" t="s">
        <v>35</v>
      </c>
      <c r="I956" s="13" t="str">
        <f aca="false">IF(C956=J956,"NEW KONTRAK","RE-KONTRAK")</f>
        <v>RE-KONTRAK</v>
      </c>
      <c r="J956" s="16" t="n">
        <f aca="false" t="array" ref="J956:J956">IFERROR(INDEX(AC956:AE956,IF(COUNTA(AC956:AE956)=0,"",MAX((AC956:AE956&lt;&gt;"")*(COLUMN(AC956:AE956)-(COLUMN(AC956)))))-1),"")</f>
        <v>45658</v>
      </c>
      <c r="K956" s="16" t="n">
        <f aca="false" t="array" ref="K956:K956">IFERROR(INDEX(AC956:AE956,IF(COUNTA(AC956:AE956)=0,"",MAX((AC956:AE956&lt;&gt;"")*(COLUMN(AC956:AE956)-(COLUMN(AC956)-1))))-1),"")</f>
        <v>46022</v>
      </c>
      <c r="L956" s="17" t="str">
        <f aca="false" t="array" ref="L956:L956">IFERROR(INDEX(AC956:AE956,IF(COUNTA(AC956:AE956)=0,"",MAX((AC956:AE956&lt;&gt;"")*(COLUMN(AC956:AE956)-(COLUMN(AC956)-2))))-1),"")</f>
        <v>ARCHIVED</v>
      </c>
      <c r="M956" s="13" t="n">
        <f aca="true">K956-TODAY()</f>
        <v>-302</v>
      </c>
      <c r="N956" s="18" t="s">
        <v>36</v>
      </c>
      <c r="O956" s="13" t="s">
        <v>420</v>
      </c>
      <c r="P956" s="26" t="n">
        <v>5195401</v>
      </c>
      <c r="Q956" s="20" t="s">
        <v>4236</v>
      </c>
      <c r="R956" s="13" t="s">
        <v>735</v>
      </c>
      <c r="S956" s="14" t="n">
        <v>35736</v>
      </c>
      <c r="T956" s="13" t="s">
        <v>40</v>
      </c>
      <c r="U956" s="13" t="s">
        <v>4237</v>
      </c>
      <c r="V956" s="13" t="s">
        <v>42</v>
      </c>
      <c r="W956" s="13" t="s">
        <v>43</v>
      </c>
      <c r="X956" s="21" t="n">
        <v>81230661232</v>
      </c>
      <c r="Y956" s="22" t="str">
        <f aca="false">O956</f>
        <v>Gudang Bahan Penolong &amp; Spareparts</v>
      </c>
      <c r="Z956" s="13" t="str">
        <f aca="false">IFERROR(__xludf.dummyfunction("if(BJ956="""","""",GOOGLETRANSLATE(BJ956,""auto"",""en""))"),"Auxiliary Materials &amp; Spareparts Warehouse")</f>
        <v>Auxiliary Materials &amp; Spareparts Warehouse</v>
      </c>
      <c r="AA956" s="23" t="str">
        <f aca="false">IF(C956="","", CHOOSE(MONTH(C956),"January","February","March","April","May","June","July","August","September","October","November","December")&amp;" "&amp;DAY(C956)&amp;MID("thstndrdth",MIN(9,2*RIGHT(DAY(C956))*(MOD(DAY(C956)-11,100)&gt;2)+1),2)&amp;","&amp;TEXT(C956," yyyy"))</f>
        <v>March 27th,2023</v>
      </c>
      <c r="AB956" s="15" t="str">
        <f aca="true">IF(S956="","",DATEDIF(S956,TODAY(),"Y")&amp;" Tahun, "&amp;DATEDIF(S956,TODAY(),"YM")&amp;" Bulan, "&amp;DATEDIF(S956,TODAY(),"MD")&amp;" Hari")</f>
        <v>28 Tahun, 11 Bulan, 27 Hari</v>
      </c>
      <c r="AC956" s="18" t="n">
        <v>45658</v>
      </c>
      <c r="AD956" s="18" t="n">
        <v>46022</v>
      </c>
      <c r="AE956" s="18" t="s">
        <v>44</v>
      </c>
    </row>
    <row r="957" customFormat="false" ht="15.75" hidden="false" customHeight="true" outlineLevel="0" collapsed="false">
      <c r="A957" s="12" t="n">
        <v>10361</v>
      </c>
      <c r="B957" s="13" t="s">
        <v>4238</v>
      </c>
      <c r="C957" s="14" t="n">
        <v>44993</v>
      </c>
      <c r="D957" s="13" t="s">
        <v>404</v>
      </c>
      <c r="E957" s="15" t="s">
        <v>47</v>
      </c>
      <c r="F957" s="15" t="str">
        <f aca="false">IFERROR(__xludf.dummyfunction("XLOOKUP(AJ957,IMPORTRANGE(""1XaInW9DU9nz21V0tYIfzFQ0He9kVQ_JF2mCXgZ3hqFA"",""REKAP ALL 2026 - Andika!G:G""),IMPORTRANGE(""1XaInW9DU9nz21V0tYIfzFQ0He9kVQ_JF2mCXgZ3hqFA"",""REKAP ALL 2026 - Andika!F:F""),"""",0)"),"23046249092")</f>
        <v>23046249092</v>
      </c>
      <c r="G957" s="13" t="s">
        <v>4239</v>
      </c>
      <c r="H957" s="13" t="s">
        <v>35</v>
      </c>
      <c r="I957" s="13" t="str">
        <f aca="false">IF(C957=J957,"NEW KONTRAK","RE-KONTRAK")</f>
        <v>RE-KONTRAK</v>
      </c>
      <c r="J957" s="16" t="n">
        <f aca="false" t="array" ref="J957:J957">IFERROR(INDEX(AC957:AE957,IF(COUNTA(AC957:AE957)=0,"",MAX((AC957:AE957&lt;&gt;"")*(COLUMN(AC957:AE957)-(COLUMN(AC957)))))-1),"")</f>
        <v>45658</v>
      </c>
      <c r="K957" s="16" t="n">
        <f aca="false" t="array" ref="K957:K957">IFERROR(INDEX(AC957:AE957,IF(COUNTA(AC957:AE957)=0,"",MAX((AC957:AE957&lt;&gt;"")*(COLUMN(AC957:AE957)-(COLUMN(AC957)-1))))-1),"")</f>
        <v>46022</v>
      </c>
      <c r="L957" s="17" t="str">
        <f aca="false" t="array" ref="L957:L957">IFERROR(INDEX(AC957:AE957,IF(COUNTA(AC957:AE957)=0,"",MAX((AC957:AE957&lt;&gt;"")*(COLUMN(AC957:AE957)-(COLUMN(AC957)-2))))-1),"")</f>
        <v>ARCHIVED</v>
      </c>
      <c r="M957" s="13" t="n">
        <f aca="true">K957-TODAY()</f>
        <v>-302</v>
      </c>
      <c r="N957" s="18" t="s">
        <v>36</v>
      </c>
      <c r="O957" s="13" t="s">
        <v>479</v>
      </c>
      <c r="P957" s="26" t="n">
        <v>5195401</v>
      </c>
      <c r="Q957" s="20" t="s">
        <v>4240</v>
      </c>
      <c r="R957" s="13" t="s">
        <v>65</v>
      </c>
      <c r="S957" s="14" t="n">
        <v>35400</v>
      </c>
      <c r="T957" s="13" t="s">
        <v>40</v>
      </c>
      <c r="U957" s="13" t="s">
        <v>4241</v>
      </c>
      <c r="V957" s="13" t="s">
        <v>42</v>
      </c>
      <c r="W957" s="13" t="s">
        <v>43</v>
      </c>
      <c r="X957" s="21" t="n">
        <v>82230471995</v>
      </c>
      <c r="Y957" s="22" t="str">
        <f aca="false">O957</f>
        <v>Bottling Rigid (BT2)</v>
      </c>
      <c r="Z957" s="13" t="str">
        <f aca="false">IFERROR(__xludf.dummyfunction("if(BJ957="""","""",GOOGLETRANSLATE(BJ957,""auto"",""en""))"),"Bottling Rigid (BT2)")</f>
        <v>Bottling Rigid (BT2)</v>
      </c>
      <c r="AA957" s="23" t="str">
        <f aca="false">IF(C957="","", CHOOSE(MONTH(C957),"January","February","March","April","May","June","July","August","September","October","November","December")&amp;" "&amp;DAY(C957)&amp;MID("thstndrdth",MIN(9,2*RIGHT(DAY(C957))*(MOD(DAY(C957)-11,100)&gt;2)+1),2)&amp;","&amp;TEXT(C957," yyyy"))</f>
        <v>March 8th,2023</v>
      </c>
      <c r="AB957" s="15" t="str">
        <f aca="true">IF(S957="","",DATEDIF(S957,TODAY(),"Y")&amp;" Tahun, "&amp;DATEDIF(S957,TODAY(),"YM")&amp;" Bulan, "&amp;DATEDIF(S957,TODAY(),"MD")&amp;" Hari")</f>
        <v>29 Tahun, 10 Bulan, 28 Hari</v>
      </c>
      <c r="AC957" s="18" t="n">
        <v>45658</v>
      </c>
      <c r="AD957" s="18" t="n">
        <v>46022</v>
      </c>
      <c r="AE957" s="18" t="s">
        <v>44</v>
      </c>
    </row>
    <row r="958" customFormat="false" ht="15.75" hidden="false" customHeight="true" outlineLevel="0" collapsed="false">
      <c r="A958" s="12" t="n">
        <v>10365</v>
      </c>
      <c r="B958" s="13" t="s">
        <v>4242</v>
      </c>
      <c r="C958" s="14" t="n">
        <v>44911</v>
      </c>
      <c r="D958" s="13" t="s">
        <v>4243</v>
      </c>
      <c r="E958" s="15" t="s">
        <v>47</v>
      </c>
      <c r="F958" s="15" t="str">
        <f aca="false">IFERROR(__xludf.dummyfunction("XLOOKUP(AJ958,IMPORTRANGE(""1XaInW9DU9nz21V0tYIfzFQ0He9kVQ_JF2mCXgZ3hqFA"",""REKAP ALL 2026 - Andika!G:G""),IMPORTRANGE(""1XaInW9DU9nz21V0tYIfzFQ0He9kVQ_JF2mCXgZ3hqFA"",""REKAP ALL 2026 - Andika!F:F""),"""",0)"),"23046375509")</f>
        <v>23046375509</v>
      </c>
      <c r="G958" s="13" t="s">
        <v>4244</v>
      </c>
      <c r="H958" s="13" t="s">
        <v>35</v>
      </c>
      <c r="I958" s="13" t="str">
        <f aca="false">IF(C958=J958,"NEW KONTRAK","RE-KONTRAK")</f>
        <v>RE-KONTRAK</v>
      </c>
      <c r="J958" s="16" t="n">
        <f aca="false" t="array" ref="J958:J958">IFERROR(INDEX(AC958:AE958,IF(COUNTA(AC958:AE958)=0,"",MAX((AC958:AE958&lt;&gt;"")*(COLUMN(AC958:AE958)-(COLUMN(AC958)))))-1),"")</f>
        <v>45586</v>
      </c>
      <c r="K958" s="16" t="n">
        <f aca="false" t="array" ref="K958:K958">IFERROR(INDEX(AC958:AE958,IF(COUNTA(AC958:AE958)=0,"",MAX((AC958:AE958&lt;&gt;"")*(COLUMN(AC958:AE958)-(COLUMN(AC958)-1))))-1),"")</f>
        <v>45950</v>
      </c>
      <c r="L958" s="17" t="str">
        <f aca="false" t="array" ref="L958:L958">IFERROR(INDEX(AC958:AE958,IF(COUNTA(AC958:AE958)=0,"",MAX((AC958:AE958&lt;&gt;"")*(COLUMN(AC958:AE958)-(COLUMN(AC958)-2))))-1),"")</f>
        <v>ARCHIVED</v>
      </c>
      <c r="M958" s="13" t="n">
        <f aca="true">K958-TODAY()</f>
        <v>-374</v>
      </c>
      <c r="N958" s="18" t="s">
        <v>728</v>
      </c>
      <c r="O958" s="13" t="s">
        <v>50</v>
      </c>
      <c r="P958" s="19" t="n">
        <v>5288796</v>
      </c>
      <c r="Q958" s="20" t="s">
        <v>4245</v>
      </c>
      <c r="R958" s="13" t="s">
        <v>255</v>
      </c>
      <c r="S958" s="14" t="n">
        <v>29479</v>
      </c>
      <c r="T958" s="13" t="s">
        <v>40</v>
      </c>
      <c r="U958" s="13" t="s">
        <v>4246</v>
      </c>
      <c r="V958" s="13" t="s">
        <v>42</v>
      </c>
      <c r="W958" s="13" t="s">
        <v>54</v>
      </c>
      <c r="X958" s="21" t="n">
        <v>85211388475</v>
      </c>
      <c r="Y958" s="22" t="str">
        <f aca="false">O958</f>
        <v>Driver</v>
      </c>
      <c r="Z958" s="13" t="str">
        <f aca="false">IFERROR(__xludf.dummyfunction("if(BJ958="""","""",GOOGLETRANSLATE(BJ958,""auto"",""en""))"),"Driver")</f>
        <v>Driver</v>
      </c>
      <c r="AA958" s="23" t="str">
        <f aca="false">IF(C958="","", CHOOSE(MONTH(C958),"January","February","March","April","May","June","July","August","September","October","November","December")&amp;" "&amp;DAY(C958)&amp;MID("thstndrdth",MIN(9,2*RIGHT(DAY(C958))*(MOD(DAY(C958)-11,100)&gt;2)+1),2)&amp;","&amp;TEXT(C958," yyyy"))</f>
        <v>December 16th,2022</v>
      </c>
      <c r="AB958" s="15" t="str">
        <f aca="true">IF(S958="","",DATEDIF(S958,TODAY(),"Y")&amp;" Tahun, "&amp;DATEDIF(S958,TODAY(),"YM")&amp;" Bulan, "&amp;DATEDIF(S958,TODAY(),"MD")&amp;" Hari")</f>
        <v>46 Tahun, 1 Bulan, 14 Hari</v>
      </c>
      <c r="AC958" s="18" t="n">
        <v>45586</v>
      </c>
      <c r="AD958" s="18" t="n">
        <v>45950</v>
      </c>
      <c r="AE958" s="18" t="s">
        <v>44</v>
      </c>
    </row>
    <row r="959" customFormat="false" ht="15.75" hidden="false" customHeight="true" outlineLevel="0" collapsed="false">
      <c r="A959" s="12" t="n">
        <v>10390</v>
      </c>
      <c r="B959" s="13" t="s">
        <v>4247</v>
      </c>
      <c r="C959" s="14" t="n">
        <v>45028</v>
      </c>
      <c r="D959" s="13" t="s">
        <v>144</v>
      </c>
      <c r="E959" s="15" t="s">
        <v>47</v>
      </c>
      <c r="F959" s="15" t="str">
        <f aca="false">IFERROR(__xludf.dummyfunction("XLOOKUP(AJ959,IMPORTRANGE(""1XaInW9DU9nz21V0tYIfzFQ0He9kVQ_JF2mCXgZ3hqFA"",""REKAP ALL 2026 - Andika!G:G""),IMPORTRANGE(""1XaInW9DU9nz21V0tYIfzFQ0He9kVQ_JF2mCXgZ3hqFA"",""REKAP ALL 2026 - Andika!F:F""),"""",0)"),"23057161129")</f>
        <v>23057161129</v>
      </c>
      <c r="G959" s="13" t="s">
        <v>4248</v>
      </c>
      <c r="H959" s="13" t="s">
        <v>35</v>
      </c>
      <c r="I959" s="13" t="str">
        <f aca="false">IF(C959=J959,"NEW KONTRAK","RE-KONTRAK")</f>
        <v>RE-KONTRAK</v>
      </c>
      <c r="J959" s="16" t="n">
        <f aca="false" t="array" ref="J959:J959">IFERROR(INDEX(AC959:AE959,IF(COUNTA(AC959:AE959)=0,"",MAX((AC959:AE959&lt;&gt;"")*(COLUMN(AC959:AE959)-(COLUMN(AC959)))))-1),"")</f>
        <v>45658</v>
      </c>
      <c r="K959" s="16" t="n">
        <f aca="false" t="array" ref="K959:K959">IFERROR(INDEX(AC959:AE959,IF(COUNTA(AC959:AE959)=0,"",MAX((AC959:AE959&lt;&gt;"")*(COLUMN(AC959:AE959)-(COLUMN(AC959)-1))))-1),"")</f>
        <v>46022</v>
      </c>
      <c r="L959" s="17" t="str">
        <f aca="false" t="array" ref="L959:L959">IFERROR(INDEX(AC959:AE959,IF(COUNTA(AC959:AE959)=0,"",MAX((AC959:AE959&lt;&gt;"")*(COLUMN(AC959:AE959)-(COLUMN(AC959)-2))))-1),"")</f>
        <v>ARCHIVED</v>
      </c>
      <c r="M959" s="13" t="n">
        <f aca="true">K959-TODAY()</f>
        <v>-302</v>
      </c>
      <c r="N959" s="18" t="s">
        <v>36</v>
      </c>
      <c r="O959" s="13" t="s">
        <v>156</v>
      </c>
      <c r="P959" s="19" t="n">
        <v>5195401</v>
      </c>
      <c r="Q959" s="20" t="s">
        <v>4249</v>
      </c>
      <c r="R959" s="13" t="s">
        <v>65</v>
      </c>
      <c r="S959" s="14" t="n">
        <v>36110</v>
      </c>
      <c r="T959" s="13" t="s">
        <v>40</v>
      </c>
      <c r="U959" s="13" t="s">
        <v>4250</v>
      </c>
      <c r="V959" s="13" t="s">
        <v>42</v>
      </c>
      <c r="W959" s="13" t="s">
        <v>43</v>
      </c>
      <c r="X959" s="21" t="n">
        <v>85813655079</v>
      </c>
      <c r="Y959" s="22" t="str">
        <f aca="false">O959</f>
        <v>Emulsion</v>
      </c>
      <c r="Z959" s="13" t="str">
        <f aca="false">IFERROR(__xludf.dummyfunction("if(BJ959="""","""",GOOGLETRANSLATE(BJ959,""auto"",""en""))"),"Emulsion")</f>
        <v>Emulsion</v>
      </c>
      <c r="AA959" s="23" t="str">
        <f aca="false">IF(C959="","", CHOOSE(MONTH(C959),"January","February","March","April","May","June","July","August","September","October","November","December")&amp;" "&amp;DAY(C959)&amp;MID("thstndrdth",MIN(9,2*RIGHT(DAY(C959))*(MOD(DAY(C959)-11,100)&gt;2)+1),2)&amp;","&amp;TEXT(C959," yyyy"))</f>
        <v>April 12th,2023</v>
      </c>
      <c r="AB959" s="15" t="str">
        <f aca="true">IF(S959="","",DATEDIF(S959,TODAY(),"Y")&amp;" Tahun, "&amp;DATEDIF(S959,TODAY(),"YM")&amp;" Bulan, "&amp;DATEDIF(S959,TODAY(),"MD")&amp;" Hari")</f>
        <v>27 Tahun, 11 Bulan, 18 Hari</v>
      </c>
      <c r="AC959" s="18" t="n">
        <v>45658</v>
      </c>
      <c r="AD959" s="18" t="n">
        <v>46022</v>
      </c>
      <c r="AE959" s="18" t="s">
        <v>44</v>
      </c>
    </row>
    <row r="960" customFormat="false" ht="15.75" hidden="false" customHeight="true" outlineLevel="0" collapsed="false">
      <c r="A960" s="12" t="n">
        <v>10405</v>
      </c>
      <c r="B960" s="13" t="s">
        <v>4251</v>
      </c>
      <c r="C960" s="14" t="n">
        <v>45033</v>
      </c>
      <c r="D960" s="13" t="s">
        <v>4252</v>
      </c>
      <c r="E960" s="15" t="s">
        <v>102</v>
      </c>
      <c r="F960" s="24" t="s">
        <v>4253</v>
      </c>
      <c r="G960" s="13" t="s">
        <v>4254</v>
      </c>
      <c r="H960" s="13" t="s">
        <v>35</v>
      </c>
      <c r="I960" s="13" t="str">
        <f aca="false">IF(C960=J960,"NEW KONTRAK","RE-KONTRAK")</f>
        <v>RE-KONTRAK</v>
      </c>
      <c r="J960" s="16" t="n">
        <f aca="false" t="array" ref="J960:J960">IFERROR(INDEX(AC960:AE960,IF(COUNTA(AC960:AE960)=0,"",MAX((AC960:AE960&lt;&gt;"")*(COLUMN(AC960:AE960)-(COLUMN(AC960)))))-1),"")</f>
        <v>45764</v>
      </c>
      <c r="K960" s="16" t="n">
        <f aca="false" t="array" ref="K960:K960">IFERROR(INDEX(AC960:AE960,IF(COUNTA(AC960:AE960)=0,"",MAX((AC960:AE960&lt;&gt;"")*(COLUMN(AC960:AE960)-(COLUMN(AC960)-1))))-1),"")</f>
        <v>45916</v>
      </c>
      <c r="L960" s="17" t="str">
        <f aca="false" t="array" ref="L960:L960">IFERROR(INDEX(AC960:AE960,IF(COUNTA(AC960:AE960)=0,"",MAX((AC960:AE960&lt;&gt;"")*(COLUMN(AC960:AE960)-(COLUMN(AC960)-2))))-1),"")</f>
        <v>ARCHIVED</v>
      </c>
      <c r="M960" s="13" t="n">
        <f aca="true">K960-TODAY()</f>
        <v>-408</v>
      </c>
      <c r="N960" s="18" t="s">
        <v>36</v>
      </c>
      <c r="O960" s="13" t="s">
        <v>4255</v>
      </c>
      <c r="P960" s="27" t="n">
        <v>200000</v>
      </c>
      <c r="Q960" s="20" t="s">
        <v>4256</v>
      </c>
      <c r="R960" s="13" t="s">
        <v>52</v>
      </c>
      <c r="S960" s="14" t="n">
        <v>31025</v>
      </c>
      <c r="T960" s="13" t="s">
        <v>108</v>
      </c>
      <c r="U960" s="13" t="s">
        <v>4257</v>
      </c>
      <c r="V960" s="13" t="s">
        <v>42</v>
      </c>
      <c r="W960" s="13" t="s">
        <v>54</v>
      </c>
      <c r="X960" s="21" t="n">
        <v>85704867699</v>
      </c>
      <c r="Y960" s="22" t="str">
        <f aca="false">O960</f>
        <v>Operator Cutting</v>
      </c>
      <c r="Z960" s="13" t="str">
        <f aca="false">IFERROR(__xludf.dummyfunction("if(BJ960="""","""",GOOGLETRANSLATE(BJ960,""auto"",""en""))"),"Operator Cutting")</f>
        <v>Operator Cutting</v>
      </c>
      <c r="AA960" s="23" t="str">
        <f aca="false">IF(C960="","", CHOOSE(MONTH(C960),"January","February","March","April","May","June","July","August","September","October","November","December")&amp;" "&amp;DAY(C960)&amp;MID("thstndrdth",MIN(9,2*RIGHT(DAY(C960))*(MOD(DAY(C960)-11,100)&gt;2)+1),2)&amp;","&amp;TEXT(C960," yyyy"))</f>
        <v>April 17th,2023</v>
      </c>
      <c r="AB960" s="15" t="str">
        <f aca="true">IF(S960="","",DATEDIF(S960,TODAY(),"Y")&amp;" Tahun, "&amp;DATEDIF(S960,TODAY(),"YM")&amp;" Bulan, "&amp;DATEDIF(S960,TODAY(),"MD")&amp;" Hari")</f>
        <v>41 Tahun, 10 Bulan, 20 Hari</v>
      </c>
      <c r="AC960" s="18" t="n">
        <v>45764</v>
      </c>
      <c r="AD960" s="18" t="n">
        <v>45916</v>
      </c>
      <c r="AE960" s="18" t="s">
        <v>44</v>
      </c>
    </row>
    <row r="961" customFormat="false" ht="15.75" hidden="false" customHeight="true" outlineLevel="0" collapsed="false">
      <c r="A961" s="12" t="n">
        <v>10406</v>
      </c>
      <c r="B961" s="13" t="s">
        <v>4258</v>
      </c>
      <c r="C961" s="14" t="n">
        <v>45033</v>
      </c>
      <c r="D961" s="13" t="s">
        <v>4259</v>
      </c>
      <c r="E961" s="15" t="s">
        <v>47</v>
      </c>
      <c r="F961" s="15" t="str">
        <f aca="false">IFERROR(__xludf.dummyfunction("XLOOKUP(AJ961,IMPORTRANGE(""1XaInW9DU9nz21V0tYIfzFQ0He9kVQ_JF2mCXgZ3hqFA"",""REKAP ALL 2026 - Andika!G:G""),IMPORTRANGE(""1XaInW9DU9nz21V0tYIfzFQ0He9kVQ_JF2mCXgZ3hqFA"",""REKAP ALL 2026 - Andika!F:F""),"""",0)"),"23076927021")</f>
        <v>23076927021</v>
      </c>
      <c r="G961" s="13" t="s">
        <v>4260</v>
      </c>
      <c r="H961" s="13" t="s">
        <v>35</v>
      </c>
      <c r="I961" s="13" t="str">
        <f aca="false">IF(C961=J961,"NEW KONTRAK","RE-KONTRAK")</f>
        <v>RE-KONTRAK</v>
      </c>
      <c r="J961" s="16" t="n">
        <f aca="false" t="array" ref="J961:J961">IFERROR(INDEX(AC961:AE961,IF(COUNTA(AC961:AE961)=0,"",MAX((AC961:AE961&lt;&gt;"")*(COLUMN(AC961:AE961)-(COLUMN(AC961)))))-1),"")</f>
        <v>45764</v>
      </c>
      <c r="K961" s="16" t="n">
        <f aca="false" t="array" ref="K961:K961">IFERROR(INDEX(AC961:AE961,IF(COUNTA(AC961:AE961)=0,"",MAX((AC961:AE961&lt;&gt;"")*(COLUMN(AC961:AE961)-(COLUMN(AC961)-1))))-1),"")</f>
        <v>45946</v>
      </c>
      <c r="L961" s="17" t="str">
        <f aca="false" t="array" ref="L961:L961">IFERROR(INDEX(AC961:AE961,IF(COUNTA(AC961:AE961)=0,"",MAX((AC961:AE961&lt;&gt;"")*(COLUMN(AC961:AE961)-(COLUMN(AC961)-2))))-1),"")</f>
        <v>ARCHIVED</v>
      </c>
      <c r="M961" s="13" t="n">
        <f aca="true">K961-TODAY()</f>
        <v>-378</v>
      </c>
      <c r="N961" s="18" t="s">
        <v>36</v>
      </c>
      <c r="O961" s="13" t="s">
        <v>4255</v>
      </c>
      <c r="P961" s="27" t="n">
        <v>200000</v>
      </c>
      <c r="Q961" s="20" t="s">
        <v>4261</v>
      </c>
      <c r="R961" s="13" t="s">
        <v>65</v>
      </c>
      <c r="S961" s="14" t="n">
        <v>35272</v>
      </c>
      <c r="T961" s="13" t="s">
        <v>40</v>
      </c>
      <c r="U961" s="13" t="s">
        <v>4262</v>
      </c>
      <c r="V961" s="13" t="s">
        <v>42</v>
      </c>
      <c r="W961" s="13" t="s">
        <v>54</v>
      </c>
      <c r="X961" s="21" t="n">
        <v>89528402890</v>
      </c>
      <c r="Y961" s="22" t="str">
        <f aca="false">O961</f>
        <v>Operator Cutting</v>
      </c>
      <c r="Z961" s="13" t="str">
        <f aca="false">IFERROR(__xludf.dummyfunction("if(BJ961="""","""",GOOGLETRANSLATE(BJ961,""auto"",""en""))"),"Operator Cutting")</f>
        <v>Operator Cutting</v>
      </c>
      <c r="AA961" s="23" t="str">
        <f aca="false">IF(C961="","", CHOOSE(MONTH(C961),"January","February","March","April","May","June","July","August","September","October","November","December")&amp;" "&amp;DAY(C961)&amp;MID("thstndrdth",MIN(9,2*RIGHT(DAY(C961))*(MOD(DAY(C961)-11,100)&gt;2)+1),2)&amp;","&amp;TEXT(C961," yyyy"))</f>
        <v>April 17th,2023</v>
      </c>
      <c r="AB961" s="15" t="str">
        <f aca="true">IF(S961="","",DATEDIF(S961,TODAY(),"Y")&amp;" Tahun, "&amp;DATEDIF(S961,TODAY(),"YM")&amp;" Bulan, "&amp;DATEDIF(S961,TODAY(),"MD")&amp;" Hari")</f>
        <v>30 Tahun, 3 Bulan, 3 Hari</v>
      </c>
      <c r="AC961" s="18" t="n">
        <v>45764</v>
      </c>
      <c r="AD961" s="18" t="n">
        <v>45946</v>
      </c>
      <c r="AE961" s="18" t="s">
        <v>44</v>
      </c>
    </row>
    <row r="962" customFormat="false" ht="15.75" hidden="false" customHeight="true" outlineLevel="0" collapsed="false">
      <c r="A962" s="12" t="n">
        <v>10409</v>
      </c>
      <c r="B962" s="13" t="s">
        <v>4263</v>
      </c>
      <c r="C962" s="14" t="n">
        <v>45033</v>
      </c>
      <c r="D962" s="13" t="s">
        <v>4264</v>
      </c>
      <c r="E962" s="15" t="s">
        <v>47</v>
      </c>
      <c r="F962" s="15" t="str">
        <f aca="false">IFERROR(__xludf.dummyfunction("XLOOKUP(AJ962,IMPORTRANGE(""1XaInW9DU9nz21V0tYIfzFQ0He9kVQ_JF2mCXgZ3hqFA"",""REKAP ALL 2026 - Andika!G:G""),IMPORTRANGE(""1XaInW9DU9nz21V0tYIfzFQ0He9kVQ_JF2mCXgZ3hqFA"",""REKAP ALL 2026 - Andika!F:F""),"""",0)"),"23057167043")</f>
        <v>23057167043</v>
      </c>
      <c r="G962" s="13" t="s">
        <v>4265</v>
      </c>
      <c r="H962" s="13" t="s">
        <v>35</v>
      </c>
      <c r="I962" s="13" t="str">
        <f aca="false">IF(C962=J962,"NEW KONTRAK","RE-KONTRAK")</f>
        <v>RE-KONTRAK</v>
      </c>
      <c r="J962" s="16" t="n">
        <f aca="false" t="array" ref="J962:J962">IFERROR(INDEX(AC962:AE962,IF(COUNTA(AC962:AE962)=0,"",MAX((AC962:AE962&lt;&gt;"")*(COLUMN(AC962:AE962)-(COLUMN(AC962)))))-1),"")</f>
        <v>45764</v>
      </c>
      <c r="K962" s="16" t="n">
        <f aca="false" t="array" ref="K962:K962">IFERROR(INDEX(AC962:AE962,IF(COUNTA(AC962:AE962)=0,"",MAX((AC962:AE962&lt;&gt;"")*(COLUMN(AC962:AE962)-(COLUMN(AC962)-1))))-1),"")</f>
        <v>45946</v>
      </c>
      <c r="L962" s="17" t="str">
        <f aca="false" t="array" ref="L962:L962">IFERROR(INDEX(AC962:AE962,IF(COUNTA(AC962:AE962)=0,"",MAX((AC962:AE962&lt;&gt;"")*(COLUMN(AC962:AE962)-(COLUMN(AC962)-2))))-1),"")</f>
        <v>ARCHIVED</v>
      </c>
      <c r="M962" s="13" t="n">
        <f aca="true">K962-TODAY()</f>
        <v>-378</v>
      </c>
      <c r="N962" s="18" t="s">
        <v>36</v>
      </c>
      <c r="O962" s="13" t="s">
        <v>4255</v>
      </c>
      <c r="P962" s="27" t="n">
        <v>200000</v>
      </c>
      <c r="Q962" s="20" t="s">
        <v>4266</v>
      </c>
      <c r="R962" s="13" t="s">
        <v>65</v>
      </c>
      <c r="S962" s="14" t="n">
        <v>37018</v>
      </c>
      <c r="T962" s="13" t="s">
        <v>40</v>
      </c>
      <c r="U962" s="13" t="s">
        <v>4267</v>
      </c>
      <c r="V962" s="13" t="s">
        <v>42</v>
      </c>
      <c r="W962" s="13" t="s">
        <v>43</v>
      </c>
      <c r="X962" s="21" t="n">
        <v>89686784565</v>
      </c>
      <c r="Y962" s="22" t="str">
        <f aca="false">O962</f>
        <v>Operator Cutting</v>
      </c>
      <c r="Z962" s="13" t="str">
        <f aca="false">IFERROR(__xludf.dummyfunction("if(BJ962="""","""",GOOGLETRANSLATE(BJ962,""auto"",""en""))"),"Operator Cutting")</f>
        <v>Operator Cutting</v>
      </c>
      <c r="AA962" s="23" t="str">
        <f aca="false">IF(C962="","", CHOOSE(MONTH(C962),"January","February","March","April","May","June","July","August","September","October","November","December")&amp;" "&amp;DAY(C962)&amp;MID("thstndrdth",MIN(9,2*RIGHT(DAY(C962))*(MOD(DAY(C962)-11,100)&gt;2)+1),2)&amp;","&amp;TEXT(C962," yyyy"))</f>
        <v>April 17th,2023</v>
      </c>
      <c r="AB962" s="15" t="str">
        <f aca="true">IF(S962="","",DATEDIF(S962,TODAY(),"Y")&amp;" Tahun, "&amp;DATEDIF(S962,TODAY(),"YM")&amp;" Bulan, "&amp;DATEDIF(S962,TODAY(),"MD")&amp;" Hari")</f>
        <v>25 Tahun, 5 Bulan, 22 Hari</v>
      </c>
      <c r="AC962" s="18" t="n">
        <v>45764</v>
      </c>
      <c r="AD962" s="18" t="n">
        <v>45946</v>
      </c>
      <c r="AE962" s="18" t="s">
        <v>44</v>
      </c>
    </row>
    <row r="963" customFormat="false" ht="15.75" hidden="false" customHeight="true" outlineLevel="0" collapsed="false">
      <c r="A963" s="12" t="n">
        <v>10410</v>
      </c>
      <c r="B963" s="13" t="s">
        <v>4268</v>
      </c>
      <c r="C963" s="14" t="n">
        <v>45033</v>
      </c>
      <c r="D963" s="13" t="s">
        <v>4259</v>
      </c>
      <c r="E963" s="15" t="s">
        <v>47</v>
      </c>
      <c r="F963" s="15" t="str">
        <f aca="false">IFERROR(__xludf.dummyfunction("XLOOKUP(AJ963,IMPORTRANGE(""1XaInW9DU9nz21V0tYIfzFQ0He9kVQ_JF2mCXgZ3hqFA"",""REKAP ALL 2026 - Andika!G:G""),IMPORTRANGE(""1XaInW9DU9nz21V0tYIfzFQ0He9kVQ_JF2mCXgZ3hqFA"",""REKAP ALL 2026 - Andika!F:F""),"""",0)"),"23021045416")</f>
        <v>23021045416</v>
      </c>
      <c r="G963" s="13" t="s">
        <v>4269</v>
      </c>
      <c r="H963" s="13" t="s">
        <v>35</v>
      </c>
      <c r="I963" s="13" t="str">
        <f aca="false">IF(C963=J963,"NEW KONTRAK","RE-KONTRAK")</f>
        <v>RE-KONTRAK</v>
      </c>
      <c r="J963" s="16" t="n">
        <f aca="false" t="array" ref="J963:J963">IFERROR(INDEX(AC963:AE963,IF(COUNTA(AC963:AE963)=0,"",MAX((AC963:AE963&lt;&gt;"")*(COLUMN(AC963:AE963)-(COLUMN(AC963)))))-1),"")</f>
        <v>45764</v>
      </c>
      <c r="K963" s="16" t="n">
        <f aca="false" t="array" ref="K963:K963">IFERROR(INDEX(AC963:AE963,IF(COUNTA(AC963:AE963)=0,"",MAX((AC963:AE963&lt;&gt;"")*(COLUMN(AC963:AE963)-(COLUMN(AC963)-1))))-1),"")</f>
        <v>45946</v>
      </c>
      <c r="L963" s="17" t="str">
        <f aca="false" t="array" ref="L963:L963">IFERROR(INDEX(AC963:AE963,IF(COUNTA(AC963:AE963)=0,"",MAX((AC963:AE963&lt;&gt;"")*(COLUMN(AC963:AE963)-(COLUMN(AC963)-2))))-1),"")</f>
        <v>ARCHIVED</v>
      </c>
      <c r="M963" s="13" t="n">
        <f aca="true">K963-TODAY()</f>
        <v>-378</v>
      </c>
      <c r="N963" s="18" t="s">
        <v>36</v>
      </c>
      <c r="O963" s="13" t="s">
        <v>4255</v>
      </c>
      <c r="P963" s="27" t="n">
        <v>200000</v>
      </c>
      <c r="Q963" s="20" t="s">
        <v>4270</v>
      </c>
      <c r="R963" s="13" t="s">
        <v>73</v>
      </c>
      <c r="S963" s="14" t="n">
        <v>36611</v>
      </c>
      <c r="T963" s="13" t="s">
        <v>40</v>
      </c>
      <c r="U963" s="13" t="s">
        <v>4271</v>
      </c>
      <c r="V963" s="13" t="s">
        <v>42</v>
      </c>
      <c r="W963" s="13" t="s">
        <v>43</v>
      </c>
      <c r="X963" s="21" t="n">
        <v>89609769020</v>
      </c>
      <c r="Y963" s="22" t="str">
        <f aca="false">O963</f>
        <v>Operator Cutting</v>
      </c>
      <c r="Z963" s="13" t="str">
        <f aca="false">IFERROR(__xludf.dummyfunction("if(BJ963="""","""",GOOGLETRANSLATE(BJ963,""auto"",""en""))"),"Operator Cutting")</f>
        <v>Operator Cutting</v>
      </c>
      <c r="AA963" s="23" t="str">
        <f aca="false">IF(C963="","", CHOOSE(MONTH(C963),"January","February","March","April","May","June","July","August","September","October","November","December")&amp;" "&amp;DAY(C963)&amp;MID("thstndrdth",MIN(9,2*RIGHT(DAY(C963))*(MOD(DAY(C963)-11,100)&gt;2)+1),2)&amp;","&amp;TEXT(C963," yyyy"))</f>
        <v>April 17th,2023</v>
      </c>
      <c r="AB963" s="15" t="str">
        <f aca="true">IF(S963="","",DATEDIF(S963,TODAY(),"Y")&amp;" Tahun, "&amp;DATEDIF(S963,TODAY(),"YM")&amp;" Bulan, "&amp;DATEDIF(S963,TODAY(),"MD")&amp;" Hari")</f>
        <v>26 Tahun, 7 Bulan, 3 Hari</v>
      </c>
      <c r="AC963" s="18" t="n">
        <v>45764</v>
      </c>
      <c r="AD963" s="18" t="n">
        <v>45946</v>
      </c>
      <c r="AE963" s="18" t="s">
        <v>44</v>
      </c>
    </row>
    <row r="964" customFormat="false" ht="15.75" hidden="false" customHeight="true" outlineLevel="0" collapsed="false">
      <c r="A964" s="12" t="n">
        <v>10412</v>
      </c>
      <c r="B964" s="13" t="s">
        <v>4272</v>
      </c>
      <c r="C964" s="14" t="n">
        <v>45033</v>
      </c>
      <c r="D964" s="13" t="s">
        <v>4259</v>
      </c>
      <c r="E964" s="15" t="s">
        <v>47</v>
      </c>
      <c r="F964" s="15" t="str">
        <f aca="false">IFERROR(__xludf.dummyfunction("XLOOKUP(AJ964,IMPORTRANGE(""1XaInW9DU9nz21V0tYIfzFQ0He9kVQ_JF2mCXgZ3hqFA"",""REKAP ALL 2026 - Andika!G:G""),IMPORTRANGE(""1XaInW9DU9nz21V0tYIfzFQ0He9kVQ_JF2mCXgZ3hqFA"",""REKAP ALL 2026 - Andika!F:F""),"""",0)"),"23076927328")</f>
        <v>23076927328</v>
      </c>
      <c r="G964" s="13" t="s">
        <v>4273</v>
      </c>
      <c r="H964" s="13" t="s">
        <v>35</v>
      </c>
      <c r="I964" s="13" t="str">
        <f aca="false">IF(C964=J964,"NEW KONTRAK","RE-KONTRAK")</f>
        <v>RE-KONTRAK</v>
      </c>
      <c r="J964" s="16" t="n">
        <f aca="false" t="array" ref="J964:J964">IFERROR(INDEX(AC964:AE964,IF(COUNTA(AC964:AE964)=0,"",MAX((AC964:AE964&lt;&gt;"")*(COLUMN(AC964:AE964)-(COLUMN(AC964)))))-1),"")</f>
        <v>45764</v>
      </c>
      <c r="K964" s="16" t="n">
        <f aca="false" t="array" ref="K964:K964">IFERROR(INDEX(AC964:AE964,IF(COUNTA(AC964:AE964)=0,"",MAX((AC964:AE964&lt;&gt;"")*(COLUMN(AC964:AE964)-(COLUMN(AC964)-1))))-1),"")</f>
        <v>45946</v>
      </c>
      <c r="L964" s="17" t="str">
        <f aca="false" t="array" ref="L964:L964">IFERROR(INDEX(AC964:AE964,IF(COUNTA(AC964:AE964)=0,"",MAX((AC964:AE964&lt;&gt;"")*(COLUMN(AC964:AE964)-(COLUMN(AC964)-2))))-1),"")</f>
        <v>ARCHIVED</v>
      </c>
      <c r="M964" s="13" t="n">
        <f aca="true">K964-TODAY()</f>
        <v>-378</v>
      </c>
      <c r="N964" s="18" t="s">
        <v>36</v>
      </c>
      <c r="O964" s="13" t="s">
        <v>4274</v>
      </c>
      <c r="P964" s="27" t="n">
        <v>200000</v>
      </c>
      <c r="Q964" s="20" t="s">
        <v>4275</v>
      </c>
      <c r="R964" s="13" t="s">
        <v>78</v>
      </c>
      <c r="S964" s="14" t="n">
        <v>33851</v>
      </c>
      <c r="T964" s="13" t="s">
        <v>40</v>
      </c>
      <c r="U964" s="13" t="s">
        <v>4276</v>
      </c>
      <c r="V964" s="13" t="s">
        <v>42</v>
      </c>
      <c r="W964" s="13" t="s">
        <v>54</v>
      </c>
      <c r="X964" s="21" t="n">
        <v>85755908273</v>
      </c>
      <c r="Y964" s="22" t="str">
        <f aca="false">O964</f>
        <v>Operator Extruder</v>
      </c>
      <c r="Z964" s="13" t="str">
        <f aca="false">IFERROR(__xludf.dummyfunction("if(BJ964="""","""",GOOGLETRANSLATE(BJ964,""auto"",""en""))"),"Operator Extruder")</f>
        <v>Operator Extruder</v>
      </c>
      <c r="AA964" s="23" t="str">
        <f aca="false">IF(C964="","", CHOOSE(MONTH(C964),"January","February","March","April","May","June","July","August","September","October","November","December")&amp;" "&amp;DAY(C964)&amp;MID("thstndrdth",MIN(9,2*RIGHT(DAY(C964))*(MOD(DAY(C964)-11,100)&gt;2)+1),2)&amp;","&amp;TEXT(C964," yyyy"))</f>
        <v>April 17th,2023</v>
      </c>
      <c r="AB964" s="15" t="str">
        <f aca="true">IF(S964="","",DATEDIF(S964,TODAY(),"Y")&amp;" Tahun, "&amp;DATEDIF(S964,TODAY(),"YM")&amp;" Bulan, "&amp;DATEDIF(S964,TODAY(),"MD")&amp;" Hari")</f>
        <v>34 Tahun, 1 Bulan, 25 Hari</v>
      </c>
      <c r="AC964" s="18" t="n">
        <v>45764</v>
      </c>
      <c r="AD964" s="18" t="n">
        <v>45946</v>
      </c>
      <c r="AE964" s="18" t="s">
        <v>44</v>
      </c>
    </row>
    <row r="965" customFormat="false" ht="15.75" hidden="false" customHeight="true" outlineLevel="0" collapsed="false">
      <c r="A965" s="12" t="n">
        <v>10415</v>
      </c>
      <c r="B965" s="13" t="s">
        <v>4277</v>
      </c>
      <c r="C965" s="14" t="n">
        <v>45033</v>
      </c>
      <c r="D965" s="13" t="s">
        <v>4252</v>
      </c>
      <c r="E965" s="15" t="s">
        <v>33</v>
      </c>
      <c r="F965" s="24" t="s">
        <v>4278</v>
      </c>
      <c r="G965" s="13" t="s">
        <v>4279</v>
      </c>
      <c r="H965" s="13" t="s">
        <v>35</v>
      </c>
      <c r="I965" s="13" t="str">
        <f aca="false">IF(C965=J965,"NEW KONTRAK","RE-KONTRAK")</f>
        <v>RE-KONTRAK</v>
      </c>
      <c r="J965" s="16" t="n">
        <f aca="false" t="array" ref="J965:J965">IFERROR(INDEX(AC965:AE965,IF(COUNTA(AC965:AE965)=0,"",MAX((AC965:AE965&lt;&gt;"")*(COLUMN(AC965:AE965)-(COLUMN(AC965)))))-1),"")</f>
        <v>45764</v>
      </c>
      <c r="K965" s="16" t="n">
        <f aca="false" t="array" ref="K965:K965">IFERROR(INDEX(AC965:AE965,IF(COUNTA(AC965:AE965)=0,"",MAX((AC965:AE965&lt;&gt;"")*(COLUMN(AC965:AE965)-(COLUMN(AC965)-1))))-1),"")</f>
        <v>45946</v>
      </c>
      <c r="L965" s="17" t="str">
        <f aca="false" t="array" ref="L965:L965">IFERROR(INDEX(AC965:AE965,IF(COUNTA(AC965:AE965)=0,"",MAX((AC965:AE965&lt;&gt;"")*(COLUMN(AC965:AE965)-(COLUMN(AC965)-2))))-1),"")</f>
        <v>ARCHIVED</v>
      </c>
      <c r="M965" s="13" t="n">
        <f aca="true">K965-TODAY()</f>
        <v>-378</v>
      </c>
      <c r="N965" s="18" t="s">
        <v>36</v>
      </c>
      <c r="O965" s="13" t="s">
        <v>4280</v>
      </c>
      <c r="P965" s="27" t="n">
        <v>120000</v>
      </c>
      <c r="Q965" s="20" t="s">
        <v>4281</v>
      </c>
      <c r="R965" s="13" t="s">
        <v>1611</v>
      </c>
      <c r="S965" s="14" t="n">
        <v>37390</v>
      </c>
      <c r="T965" s="13" t="s">
        <v>108</v>
      </c>
      <c r="U965" s="13" t="s">
        <v>4282</v>
      </c>
      <c r="V965" s="13" t="s">
        <v>42</v>
      </c>
      <c r="W965" s="13" t="s">
        <v>43</v>
      </c>
      <c r="X965" s="21" t="n">
        <v>85763871300</v>
      </c>
      <c r="Y965" s="22" t="str">
        <f aca="false">O965</f>
        <v>Helper Cutting</v>
      </c>
      <c r="Z965" s="13" t="str">
        <f aca="false">IFERROR(__xludf.dummyfunction("if(BJ965="""","""",GOOGLETRANSLATE(BJ965,""auto"",""en""))"),"Helper Cutting")</f>
        <v>Helper Cutting</v>
      </c>
      <c r="AA965" s="23" t="str">
        <f aca="false">IF(C965="","", CHOOSE(MONTH(C965),"January","February","March","April","May","June","July","August","September","October","November","December")&amp;" "&amp;DAY(C965)&amp;MID("thstndrdth",MIN(9,2*RIGHT(DAY(C965))*(MOD(DAY(C965)-11,100)&gt;2)+1),2)&amp;","&amp;TEXT(C965," yyyy"))</f>
        <v>April 17th,2023</v>
      </c>
      <c r="AB965" s="15" t="str">
        <f aca="true">IF(S965="","",DATEDIF(S965,TODAY(),"Y")&amp;" Tahun, "&amp;DATEDIF(S965,TODAY(),"YM")&amp;" Bulan, "&amp;DATEDIF(S965,TODAY(),"MD")&amp;" Hari")</f>
        <v>24 Tahun, 5 Bulan, 15 Hari</v>
      </c>
      <c r="AC965" s="18" t="n">
        <v>45764</v>
      </c>
      <c r="AD965" s="18" t="n">
        <v>45946</v>
      </c>
      <c r="AE965" s="18" t="s">
        <v>44</v>
      </c>
    </row>
    <row r="966" customFormat="false" ht="15.75" hidden="false" customHeight="true" outlineLevel="0" collapsed="false">
      <c r="A966" s="12" t="n">
        <v>10418</v>
      </c>
      <c r="B966" s="13" t="s">
        <v>4283</v>
      </c>
      <c r="C966" s="14" t="n">
        <v>45033</v>
      </c>
      <c r="D966" s="13" t="s">
        <v>4259</v>
      </c>
      <c r="E966" s="15" t="s">
        <v>47</v>
      </c>
      <c r="F966" s="15" t="str">
        <f aca="false">IFERROR(__xludf.dummyfunction("XLOOKUP(AJ966,IMPORTRANGE(""1XaInW9DU9nz21V0tYIfzFQ0He9kVQ_JF2mCXgZ3hqFA"",""REKAP ALL 2026 - Andika!G:G""),IMPORTRANGE(""1XaInW9DU9nz21V0tYIfzFQ0He9kVQ_JF2mCXgZ3hqFA"",""REKAP ALL 2026 - Andika!F:F""),"""",0)"),"23076926700")</f>
        <v>23076926700</v>
      </c>
      <c r="G966" s="13" t="s">
        <v>4284</v>
      </c>
      <c r="H966" s="13" t="s">
        <v>35</v>
      </c>
      <c r="I966" s="13" t="str">
        <f aca="false">IF(C966=J966,"NEW KONTRAK","RE-KONTRAK")</f>
        <v>RE-KONTRAK</v>
      </c>
      <c r="J966" s="16" t="n">
        <f aca="false" t="array" ref="J966:J966">IFERROR(INDEX(AC966:AE966,IF(COUNTA(AC966:AE966)=0,"",MAX((AC966:AE966&lt;&gt;"")*(COLUMN(AC966:AE966)-(COLUMN(AC966)))))-1),"")</f>
        <v>45764</v>
      </c>
      <c r="K966" s="16" t="n">
        <f aca="false" t="array" ref="K966:K966">IFERROR(INDEX(AC966:AE966,IF(COUNTA(AC966:AE966)=0,"",MAX((AC966:AE966&lt;&gt;"")*(COLUMN(AC966:AE966)-(COLUMN(AC966)-1))))-1),"")</f>
        <v>45946</v>
      </c>
      <c r="L966" s="17" t="str">
        <f aca="false" t="array" ref="L966:L966">IFERROR(INDEX(AC966:AE966,IF(COUNTA(AC966:AE966)=0,"",MAX((AC966:AE966&lt;&gt;"")*(COLUMN(AC966:AE966)-(COLUMN(AC966)-2))))-1),"")</f>
        <v>ARCHIVED</v>
      </c>
      <c r="M966" s="13" t="n">
        <f aca="true">K966-TODAY()</f>
        <v>-378</v>
      </c>
      <c r="N966" s="18" t="s">
        <v>36</v>
      </c>
      <c r="O966" s="13" t="s">
        <v>4280</v>
      </c>
      <c r="P966" s="27" t="n">
        <v>120000</v>
      </c>
      <c r="Q966" s="20" t="s">
        <v>4285</v>
      </c>
      <c r="R966" s="13" t="s">
        <v>274</v>
      </c>
      <c r="S966" s="14" t="n">
        <v>27729</v>
      </c>
      <c r="T966" s="13" t="s">
        <v>108</v>
      </c>
      <c r="U966" s="13" t="s">
        <v>4257</v>
      </c>
      <c r="V966" s="13" t="s">
        <v>42</v>
      </c>
      <c r="W966" s="13" t="s">
        <v>54</v>
      </c>
      <c r="X966" s="21" t="n">
        <v>85733621559</v>
      </c>
      <c r="Y966" s="22" t="str">
        <f aca="false">O966</f>
        <v>Helper Cutting</v>
      </c>
      <c r="Z966" s="13" t="str">
        <f aca="false">IFERROR(__xludf.dummyfunction("if(BJ966="""","""",GOOGLETRANSLATE(BJ966,""auto"",""en""))"),"Helper Cutting")</f>
        <v>Helper Cutting</v>
      </c>
      <c r="AA966" s="23" t="str">
        <f aca="false">IF(C966="","", CHOOSE(MONTH(C966),"January","February","March","April","May","June","July","August","September","October","November","December")&amp;" "&amp;DAY(C966)&amp;MID("thstndrdth",MIN(9,2*RIGHT(DAY(C966))*(MOD(DAY(C966)-11,100)&gt;2)+1),2)&amp;","&amp;TEXT(C966," yyyy"))</f>
        <v>April 17th,2023</v>
      </c>
      <c r="AB966" s="15" t="str">
        <f aca="true">IF(S966="","",DATEDIF(S966,TODAY(),"Y")&amp;" Tahun, "&amp;DATEDIF(S966,TODAY(),"YM")&amp;" Bulan, "&amp;DATEDIF(S966,TODAY(),"MD")&amp;" Hari")</f>
        <v>50 Tahun, 10 Bulan, 28 Hari</v>
      </c>
      <c r="AC966" s="18" t="n">
        <v>45764</v>
      </c>
      <c r="AD966" s="18" t="n">
        <v>45946</v>
      </c>
      <c r="AE966" s="18" t="s">
        <v>44</v>
      </c>
    </row>
    <row r="967" customFormat="false" ht="15.75" hidden="false" customHeight="true" outlineLevel="0" collapsed="false">
      <c r="A967" s="12" t="n">
        <v>10419</v>
      </c>
      <c r="B967" s="13" t="s">
        <v>4286</v>
      </c>
      <c r="C967" s="14" t="n">
        <v>45033</v>
      </c>
      <c r="D967" s="13" t="s">
        <v>4259</v>
      </c>
      <c r="E967" s="15" t="s">
        <v>47</v>
      </c>
      <c r="F967" s="15" t="str">
        <f aca="false">IFERROR(__xludf.dummyfunction("XLOOKUP(AJ967,IMPORTRANGE(""1XaInW9DU9nz21V0tYIfzFQ0He9kVQ_JF2mCXgZ3hqFA"",""REKAP ALL 2026 - Andika!G:G""),IMPORTRANGE(""1XaInW9DU9nz21V0tYIfzFQ0He9kVQ_JF2mCXgZ3hqFA"",""REKAP ALL 2026 - Andika!F:F""),"""",0)"),"23057167290")</f>
        <v>23057167290</v>
      </c>
      <c r="G967" s="13" t="s">
        <v>4287</v>
      </c>
      <c r="H967" s="13" t="s">
        <v>35</v>
      </c>
      <c r="I967" s="13" t="str">
        <f aca="false">IF(C967=J967,"NEW KONTRAK","RE-KONTRAK")</f>
        <v>RE-KONTRAK</v>
      </c>
      <c r="J967" s="16" t="n">
        <f aca="false" t="array" ref="J967:J967">IFERROR(INDEX(AC967:AE967,IF(COUNTA(AC967:AE967)=0,"",MAX((AC967:AE967&lt;&gt;"")*(COLUMN(AC967:AE967)-(COLUMN(AC967)))))-1),"")</f>
        <v>45764</v>
      </c>
      <c r="K967" s="16" t="n">
        <f aca="false" t="array" ref="K967:K967">IFERROR(INDEX(AC967:AE967,IF(COUNTA(AC967:AE967)=0,"",MAX((AC967:AE967&lt;&gt;"")*(COLUMN(AC967:AE967)-(COLUMN(AC967)-1))))-1),"")</f>
        <v>45946</v>
      </c>
      <c r="L967" s="17" t="str">
        <f aca="false" t="array" ref="L967:L967">IFERROR(INDEX(AC967:AE967,IF(COUNTA(AC967:AE967)=0,"",MAX((AC967:AE967&lt;&gt;"")*(COLUMN(AC967:AE967)-(COLUMN(AC967)-2))))-1),"")</f>
        <v>KEMBALI ONLINE</v>
      </c>
      <c r="M967" s="13" t="n">
        <f aca="true">K967-TODAY()</f>
        <v>-378</v>
      </c>
      <c r="N967" s="18" t="s">
        <v>36</v>
      </c>
      <c r="O967" s="13" t="s">
        <v>4288</v>
      </c>
      <c r="P967" s="27" t="n">
        <v>200000</v>
      </c>
      <c r="Q967" s="20" t="s">
        <v>4289</v>
      </c>
      <c r="R967" s="13" t="s">
        <v>39</v>
      </c>
      <c r="S967" s="14" t="n">
        <v>33656</v>
      </c>
      <c r="T967" s="13" t="s">
        <v>40</v>
      </c>
      <c r="U967" s="13" t="s">
        <v>4290</v>
      </c>
      <c r="V967" s="13" t="s">
        <v>42</v>
      </c>
      <c r="W967" s="13" t="s">
        <v>54</v>
      </c>
      <c r="X967" s="21" t="n">
        <v>81717826482</v>
      </c>
      <c r="Y967" s="22" t="str">
        <f aca="false">O967</f>
        <v>Operator Printing</v>
      </c>
      <c r="Z967" s="13" t="str">
        <f aca="false">IFERROR(__xludf.dummyfunction("if(BJ967="""","""",GOOGLETRANSLATE(BJ967,""auto"",""en""))"),"Operator Printing")</f>
        <v>Operator Printing</v>
      </c>
      <c r="AA967" s="23" t="str">
        <f aca="false">IF(C967="","", CHOOSE(MONTH(C967),"January","February","March","April","May","June","July","August","September","October","November","December")&amp;" "&amp;DAY(C967)&amp;MID("thstndrdth",MIN(9,2*RIGHT(DAY(C967))*(MOD(DAY(C967)-11,100)&gt;2)+1),2)&amp;","&amp;TEXT(C967," yyyy"))</f>
        <v>April 17th,2023</v>
      </c>
      <c r="AB967" s="15" t="str">
        <f aca="true">IF(S967="","",DATEDIF(S967,TODAY(),"Y")&amp;" Tahun, "&amp;DATEDIF(S967,TODAY(),"YM")&amp;" Bulan, "&amp;DATEDIF(S967,TODAY(),"MD")&amp;" Hari")</f>
        <v>34 Tahun, 8 Bulan, 7 Hari</v>
      </c>
      <c r="AC967" s="18" t="n">
        <v>45764</v>
      </c>
      <c r="AD967" s="18" t="n">
        <v>45946</v>
      </c>
      <c r="AE967" s="13" t="s">
        <v>2387</v>
      </c>
    </row>
    <row r="968" customFormat="false" ht="15.75" hidden="false" customHeight="true" outlineLevel="0" collapsed="false">
      <c r="A968" s="12" t="n">
        <v>10420</v>
      </c>
      <c r="B968" s="13" t="s">
        <v>4291</v>
      </c>
      <c r="C968" s="14" t="n">
        <v>45033</v>
      </c>
      <c r="D968" s="13" t="s">
        <v>4259</v>
      </c>
      <c r="E968" s="15" t="s">
        <v>47</v>
      </c>
      <c r="F968" s="15" t="str">
        <f aca="false">IFERROR(__xludf.dummyfunction("XLOOKUP(AJ968,IMPORTRANGE(""1XaInW9DU9nz21V0tYIfzFQ0He9kVQ_JF2mCXgZ3hqFA"",""REKAP ALL 2026 - Andika!G:G""),IMPORTRANGE(""1XaInW9DU9nz21V0tYIfzFQ0He9kVQ_JF2mCXgZ3hqFA"",""REKAP ALL 2026 - Andika!F:F""),"""",0)"),"23076927120")</f>
        <v>23076927120</v>
      </c>
      <c r="G968" s="13" t="s">
        <v>4292</v>
      </c>
      <c r="H968" s="13" t="s">
        <v>35</v>
      </c>
      <c r="I968" s="13" t="str">
        <f aca="false">IF(C968=J968,"NEW KONTRAK","RE-KONTRAK")</f>
        <v>RE-KONTRAK</v>
      </c>
      <c r="J968" s="16" t="n">
        <f aca="false" t="array" ref="J968:J968">IFERROR(INDEX(AC968:AE968,IF(COUNTA(AC968:AE968)=0,"",MAX((AC968:AE968&lt;&gt;"")*(COLUMN(AC968:AE968)-(COLUMN(AC968)))))-1),"")</f>
        <v>45764</v>
      </c>
      <c r="K968" s="16" t="n">
        <f aca="false" t="array" ref="K968:K968">IFERROR(INDEX(AC968:AE968,IF(COUNTA(AC968:AE968)=0,"",MAX((AC968:AE968&lt;&gt;"")*(COLUMN(AC968:AE968)-(COLUMN(AC968)-1))))-1),"")</f>
        <v>45946</v>
      </c>
      <c r="L968" s="17" t="str">
        <f aca="false" t="array" ref="L968:L968">IFERROR(INDEX(AC968:AE968,IF(COUNTA(AC968:AE968)=0,"",MAX((AC968:AE968&lt;&gt;"")*(COLUMN(AC968:AE968)-(COLUMN(AC968)-2))))-1),"")</f>
        <v>ARCHIVED</v>
      </c>
      <c r="M968" s="13" t="n">
        <f aca="true">K968-TODAY()</f>
        <v>-378</v>
      </c>
      <c r="N968" s="18" t="s">
        <v>36</v>
      </c>
      <c r="O968" s="13" t="s">
        <v>4255</v>
      </c>
      <c r="P968" s="27" t="n">
        <v>200000</v>
      </c>
      <c r="Q968" s="20" t="s">
        <v>4293</v>
      </c>
      <c r="R968" s="13" t="s">
        <v>52</v>
      </c>
      <c r="S968" s="14" t="n">
        <v>31211</v>
      </c>
      <c r="T968" s="13" t="s">
        <v>108</v>
      </c>
      <c r="U968" s="13" t="s">
        <v>4294</v>
      </c>
      <c r="V968" s="13" t="s">
        <v>42</v>
      </c>
      <c r="W968" s="13" t="s">
        <v>54</v>
      </c>
      <c r="X968" s="21" t="n">
        <v>882009162522</v>
      </c>
      <c r="Y968" s="22" t="str">
        <f aca="false">O968</f>
        <v>Operator Cutting</v>
      </c>
      <c r="Z968" s="13" t="str">
        <f aca="false">IFERROR(__xludf.dummyfunction("if(BJ968="""","""",GOOGLETRANSLATE(BJ968,""auto"",""en""))"),"Operator Cutting")</f>
        <v>Operator Cutting</v>
      </c>
      <c r="AA968" s="23" t="str">
        <f aca="false">IF(C968="","", CHOOSE(MONTH(C968),"January","February","March","April","May","June","July","August","September","October","November","December")&amp;" "&amp;DAY(C968)&amp;MID("thstndrdth",MIN(9,2*RIGHT(DAY(C968))*(MOD(DAY(C968)-11,100)&gt;2)+1),2)&amp;","&amp;TEXT(C968," yyyy"))</f>
        <v>April 17th,2023</v>
      </c>
      <c r="AB968" s="15" t="str">
        <f aca="true">IF(S968="","",DATEDIF(S968,TODAY(),"Y")&amp;" Tahun, "&amp;DATEDIF(S968,TODAY(),"YM")&amp;" Bulan, "&amp;DATEDIF(S968,TODAY(),"MD")&amp;" Hari")</f>
        <v>41 Tahun, 4 Bulan, 16 Hari</v>
      </c>
      <c r="AC968" s="18" t="n">
        <v>45764</v>
      </c>
      <c r="AD968" s="18" t="n">
        <v>45946</v>
      </c>
      <c r="AE968" s="18" t="s">
        <v>44</v>
      </c>
    </row>
    <row r="969" customFormat="false" ht="15.75" hidden="false" customHeight="true" outlineLevel="0" collapsed="false">
      <c r="A969" s="12" t="n">
        <v>10424</v>
      </c>
      <c r="B969" s="13" t="s">
        <v>4295</v>
      </c>
      <c r="C969" s="14" t="n">
        <v>45033</v>
      </c>
      <c r="D969" s="13" t="s">
        <v>4259</v>
      </c>
      <c r="E969" s="15" t="s">
        <v>47</v>
      </c>
      <c r="F969" s="15" t="str">
        <f aca="false">IFERROR(__xludf.dummyfunction("XLOOKUP(AJ969,IMPORTRANGE(""1XaInW9DU9nz21V0tYIfzFQ0He9kVQ_JF2mCXgZ3hqFA"",""REKAP ALL 2026 - Andika!G:G""),IMPORTRANGE(""1XaInW9DU9nz21V0tYIfzFQ0He9kVQ_JF2mCXgZ3hqFA"",""REKAP ALL 2026 - Andika!F:F""),"""",0)"),"23021045408")</f>
        <v>23021045408</v>
      </c>
      <c r="G969" s="13" t="s">
        <v>4296</v>
      </c>
      <c r="H969" s="13" t="s">
        <v>35</v>
      </c>
      <c r="I969" s="13" t="str">
        <f aca="false">IF(C969=J969,"NEW KONTRAK","RE-KONTRAK")</f>
        <v>RE-KONTRAK</v>
      </c>
      <c r="J969" s="16" t="n">
        <f aca="false" t="array" ref="J969:J969">IFERROR(INDEX(AC969:AE969,IF(COUNTA(AC969:AE969)=0,"",MAX((AC969:AE969&lt;&gt;"")*(COLUMN(AC969:AE969)-(COLUMN(AC969)))))-1),"")</f>
        <v>45764</v>
      </c>
      <c r="K969" s="16" t="n">
        <f aca="false" t="array" ref="K969:K969">IFERROR(INDEX(AC969:AE969,IF(COUNTA(AC969:AE969)=0,"",MAX((AC969:AE969&lt;&gt;"")*(COLUMN(AC969:AE969)-(COLUMN(AC969)-1))))-1),"")</f>
        <v>45946</v>
      </c>
      <c r="L969" s="17" t="str">
        <f aca="false" t="array" ref="L969:L969">IFERROR(INDEX(AC969:AE969,IF(COUNTA(AC969:AE969)=0,"",MAX((AC969:AE969&lt;&gt;"")*(COLUMN(AC969:AE969)-(COLUMN(AC969)-2))))-1),"")</f>
        <v>ARCHIVED</v>
      </c>
      <c r="M969" s="13" t="n">
        <f aca="true">K969-TODAY()</f>
        <v>-378</v>
      </c>
      <c r="N969" s="18" t="s">
        <v>36</v>
      </c>
      <c r="O969" s="13" t="s">
        <v>4255</v>
      </c>
      <c r="P969" s="27" t="n">
        <v>200000</v>
      </c>
      <c r="Q969" s="20" t="s">
        <v>4297</v>
      </c>
      <c r="R969" s="13" t="s">
        <v>73</v>
      </c>
      <c r="S969" s="14" t="n">
        <v>33862</v>
      </c>
      <c r="T969" s="13" t="s">
        <v>40</v>
      </c>
      <c r="U969" s="13" t="s">
        <v>4298</v>
      </c>
      <c r="V969" s="13" t="s">
        <v>42</v>
      </c>
      <c r="W969" s="13" t="s">
        <v>54</v>
      </c>
      <c r="X969" s="21" t="n">
        <v>85706206188</v>
      </c>
      <c r="Y969" s="22" t="str">
        <f aca="false">O969</f>
        <v>Operator Cutting</v>
      </c>
      <c r="Z969" s="13" t="str">
        <f aca="false">IFERROR(__xludf.dummyfunction("if(BJ969="""","""",GOOGLETRANSLATE(BJ969,""auto"",""en""))"),"Operator Cutting")</f>
        <v>Operator Cutting</v>
      </c>
      <c r="AA969" s="23" t="str">
        <f aca="false">IF(C969="","", CHOOSE(MONTH(C969),"January","February","March","April","May","June","July","August","September","October","November","December")&amp;" "&amp;DAY(C969)&amp;MID("thstndrdth",MIN(9,2*RIGHT(DAY(C969))*(MOD(DAY(C969)-11,100)&gt;2)+1),2)&amp;","&amp;TEXT(C969," yyyy"))</f>
        <v>April 17th,2023</v>
      </c>
      <c r="AB969" s="15" t="str">
        <f aca="true">IF(S969="","",DATEDIF(S969,TODAY(),"Y")&amp;" Tahun, "&amp;DATEDIF(S969,TODAY(),"YM")&amp;" Bulan, "&amp;DATEDIF(S969,TODAY(),"MD")&amp;" Hari")</f>
        <v>34 Tahun, 1 Bulan, 14 Hari</v>
      </c>
      <c r="AC969" s="18" t="n">
        <v>45764</v>
      </c>
      <c r="AD969" s="18" t="n">
        <v>45946</v>
      </c>
      <c r="AE969" s="18" t="s">
        <v>44</v>
      </c>
    </row>
    <row r="970" customFormat="false" ht="15.75" hidden="false" customHeight="true" outlineLevel="0" collapsed="false">
      <c r="A970" s="12" t="n">
        <v>10431</v>
      </c>
      <c r="B970" s="13" t="s">
        <v>4299</v>
      </c>
      <c r="C970" s="14" t="n">
        <v>45033</v>
      </c>
      <c r="D970" s="13" t="s">
        <v>4259</v>
      </c>
      <c r="E970" s="15" t="s">
        <v>47</v>
      </c>
      <c r="F970" s="15" t="str">
        <f aca="false">IFERROR(__xludf.dummyfunction("XLOOKUP(AJ970,IMPORTRANGE(""1XaInW9DU9nz21V0tYIfzFQ0He9kVQ_JF2mCXgZ3hqFA"",""REKAP ALL 2026 - Andika!G:G""),IMPORTRANGE(""1XaInW9DU9nz21V0tYIfzFQ0He9kVQ_JF2mCXgZ3hqFA"",""REKAP ALL 2026 - Andika!F:F""),"""",0)"),"23076927146")</f>
        <v>23076927146</v>
      </c>
      <c r="G970" s="13" t="s">
        <v>4300</v>
      </c>
      <c r="H970" s="13" t="s">
        <v>35</v>
      </c>
      <c r="I970" s="13" t="str">
        <f aca="false">IF(C970=J970,"NEW KONTRAK","RE-KONTRAK")</f>
        <v>RE-KONTRAK</v>
      </c>
      <c r="J970" s="16" t="n">
        <f aca="false" t="array" ref="J970:J970">IFERROR(INDEX(AC970:AE970,IF(COUNTA(AC970:AE970)=0,"",MAX((AC970:AE970&lt;&gt;"")*(COLUMN(AC970:AE970)-(COLUMN(AC970)))))-1),"")</f>
        <v>45764</v>
      </c>
      <c r="K970" s="16" t="n">
        <f aca="false" t="array" ref="K970:K970">IFERROR(INDEX(AC970:AE970,IF(COUNTA(AC970:AE970)=0,"",MAX((AC970:AE970&lt;&gt;"")*(COLUMN(AC970:AE970)-(COLUMN(AC970)-1))))-1),"")</f>
        <v>45946</v>
      </c>
      <c r="L970" s="17" t="str">
        <f aca="false" t="array" ref="L970:L970">IFERROR(INDEX(AC970:AE970,IF(COUNTA(AC970:AE970)=0,"",MAX((AC970:AE970&lt;&gt;"")*(COLUMN(AC970:AE970)-(COLUMN(AC970)-2))))-1),"")</f>
        <v>ARCHIVED</v>
      </c>
      <c r="M970" s="13" t="n">
        <f aca="true">K970-TODAY()</f>
        <v>-378</v>
      </c>
      <c r="N970" s="18" t="s">
        <v>36</v>
      </c>
      <c r="O970" s="13" t="s">
        <v>4255</v>
      </c>
      <c r="P970" s="27" t="n">
        <v>200000</v>
      </c>
      <c r="Q970" s="20" t="s">
        <v>4301</v>
      </c>
      <c r="R970" s="13" t="s">
        <v>73</v>
      </c>
      <c r="S970" s="14" t="n">
        <v>29859</v>
      </c>
      <c r="T970" s="13" t="s">
        <v>108</v>
      </c>
      <c r="U970" s="13" t="s">
        <v>4302</v>
      </c>
      <c r="V970" s="13" t="s">
        <v>42</v>
      </c>
      <c r="W970" s="13" t="s">
        <v>54</v>
      </c>
      <c r="X970" s="21" t="n">
        <v>82335175774</v>
      </c>
      <c r="Y970" s="22" t="str">
        <f aca="false">O970</f>
        <v>Operator Cutting</v>
      </c>
      <c r="Z970" s="13" t="str">
        <f aca="false">IFERROR(__xludf.dummyfunction("if(BJ970="""","""",GOOGLETRANSLATE(BJ970,""auto"",""en""))"),"Operator Cutting")</f>
        <v>Operator Cutting</v>
      </c>
      <c r="AA970" s="23" t="str">
        <f aca="false">IF(C970="","", CHOOSE(MONTH(C970),"January","February","March","April","May","June","July","August","September","October","November","December")&amp;" "&amp;DAY(C970)&amp;MID("thstndrdth",MIN(9,2*RIGHT(DAY(C970))*(MOD(DAY(C970)-11,100)&gt;2)+1),2)&amp;","&amp;TEXT(C970," yyyy"))</f>
        <v>April 17th,2023</v>
      </c>
      <c r="AB970" s="15" t="str">
        <f aca="true">IF(S970="","",DATEDIF(S970,TODAY(),"Y")&amp;" Tahun, "&amp;DATEDIF(S970,TODAY(),"YM")&amp;" Bulan, "&amp;DATEDIF(S970,TODAY(),"MD")&amp;" Hari")</f>
        <v>45 Tahun, 0 Bulan, 29 Hari</v>
      </c>
      <c r="AC970" s="18" t="n">
        <v>45764</v>
      </c>
      <c r="AD970" s="18" t="n">
        <v>45946</v>
      </c>
      <c r="AE970" s="18" t="s">
        <v>44</v>
      </c>
    </row>
    <row r="971" customFormat="false" ht="15.75" hidden="false" customHeight="true" outlineLevel="0" collapsed="false">
      <c r="A971" s="12" t="n">
        <v>10432</v>
      </c>
      <c r="B971" s="13" t="s">
        <v>4303</v>
      </c>
      <c r="C971" s="14" t="n">
        <v>45033</v>
      </c>
      <c r="D971" s="13" t="s">
        <v>4252</v>
      </c>
      <c r="E971" s="15" t="s">
        <v>33</v>
      </c>
      <c r="F971" s="24" t="s">
        <v>4304</v>
      </c>
      <c r="G971" s="13" t="s">
        <v>4305</v>
      </c>
      <c r="H971" s="13" t="s">
        <v>35</v>
      </c>
      <c r="I971" s="13" t="str">
        <f aca="false">IF(C971=J971,"NEW KONTRAK","RE-KONTRAK")</f>
        <v>RE-KONTRAK</v>
      </c>
      <c r="J971" s="16" t="n">
        <f aca="false" t="array" ref="J971:J971">IFERROR(INDEX(AC971:AE971,IF(COUNTA(AC971:AE971)=0,"",MAX((AC971:AE971&lt;&gt;"")*(COLUMN(AC971:AE971)-(COLUMN(AC971)))))-1),"")</f>
        <v>45764</v>
      </c>
      <c r="K971" s="16" t="n">
        <f aca="false" t="array" ref="K971:K971">IFERROR(INDEX(AC971:AE971,IF(COUNTA(AC971:AE971)=0,"",MAX((AC971:AE971&lt;&gt;"")*(COLUMN(AC971:AE971)-(COLUMN(AC971)-1))))-1),"")</f>
        <v>45946</v>
      </c>
      <c r="L971" s="17" t="str">
        <f aca="false" t="array" ref="L971:L971">IFERROR(INDEX(AC971:AE971,IF(COUNTA(AC971:AE971)=0,"",MAX((AC971:AE971&lt;&gt;"")*(COLUMN(AC971:AE971)-(COLUMN(AC971)-2))))-1),"")</f>
        <v>ARCHIVED</v>
      </c>
      <c r="M971" s="13" t="n">
        <f aca="true">K971-TODAY()</f>
        <v>-378</v>
      </c>
      <c r="N971" s="18" t="s">
        <v>36</v>
      </c>
      <c r="O971" s="13" t="s">
        <v>4280</v>
      </c>
      <c r="P971" s="27" t="n">
        <v>120000</v>
      </c>
      <c r="Q971" s="20" t="s">
        <v>4306</v>
      </c>
      <c r="R971" s="13" t="s">
        <v>39</v>
      </c>
      <c r="S971" s="14" t="n">
        <v>34882</v>
      </c>
      <c r="T971" s="13" t="s">
        <v>108</v>
      </c>
      <c r="U971" s="13" t="s">
        <v>4307</v>
      </c>
      <c r="V971" s="13" t="s">
        <v>42</v>
      </c>
      <c r="W971" s="13" t="s">
        <v>54</v>
      </c>
      <c r="X971" s="21" t="n">
        <v>895377472070</v>
      </c>
      <c r="Y971" s="22" t="str">
        <f aca="false">O971</f>
        <v>Helper Cutting</v>
      </c>
      <c r="Z971" s="13" t="str">
        <f aca="false">IFERROR(__xludf.dummyfunction("if(BJ971="""","""",GOOGLETRANSLATE(BJ971,""auto"",""en""))"),"Helper Cutting")</f>
        <v>Helper Cutting</v>
      </c>
      <c r="AA971" s="23" t="str">
        <f aca="false">IF(C971="","", CHOOSE(MONTH(C971),"January","February","March","April","May","June","July","August","September","October","November","December")&amp;" "&amp;DAY(C971)&amp;MID("thstndrdth",MIN(9,2*RIGHT(DAY(C971))*(MOD(DAY(C971)-11,100)&gt;2)+1),2)&amp;","&amp;TEXT(C971," yyyy"))</f>
        <v>April 17th,2023</v>
      </c>
      <c r="AB971" s="15" t="str">
        <f aca="true">IF(S971="","",DATEDIF(S971,TODAY(),"Y")&amp;" Tahun, "&amp;DATEDIF(S971,TODAY(),"YM")&amp;" Bulan, "&amp;DATEDIF(S971,TODAY(),"MD")&amp;" Hari")</f>
        <v>31 Tahun, 3 Bulan, 27 Hari</v>
      </c>
      <c r="AC971" s="18" t="n">
        <v>45764</v>
      </c>
      <c r="AD971" s="18" t="n">
        <v>45946</v>
      </c>
      <c r="AE971" s="18" t="s">
        <v>44</v>
      </c>
    </row>
    <row r="972" customFormat="false" ht="15.75" hidden="false" customHeight="true" outlineLevel="0" collapsed="false">
      <c r="A972" s="12" t="n">
        <v>10433</v>
      </c>
      <c r="B972" s="13" t="s">
        <v>4308</v>
      </c>
      <c r="C972" s="14" t="n">
        <v>45033</v>
      </c>
      <c r="D972" s="13" t="s">
        <v>4264</v>
      </c>
      <c r="E972" s="15" t="s">
        <v>47</v>
      </c>
      <c r="F972" s="15" t="str">
        <f aca="false">IFERROR(__xludf.dummyfunction("XLOOKUP(AJ972,IMPORTRANGE(""1XaInW9DU9nz21V0tYIfzFQ0He9kVQ_JF2mCXgZ3hqFA"",""REKAP ALL 2026 - Andika!G:G""),IMPORTRANGE(""1XaInW9DU9nz21V0tYIfzFQ0He9kVQ_JF2mCXgZ3hqFA"",""REKAP ALL 2026 - Andika!F:F""),"""",0)"),"23057167274")</f>
        <v>23057167274</v>
      </c>
      <c r="G972" s="13" t="s">
        <v>4309</v>
      </c>
      <c r="H972" s="13" t="s">
        <v>35</v>
      </c>
      <c r="I972" s="13" t="str">
        <f aca="false">IF(C972=J972,"NEW KONTRAK","RE-KONTRAK")</f>
        <v>RE-KONTRAK</v>
      </c>
      <c r="J972" s="16" t="n">
        <f aca="false" t="array" ref="J972:J972">IFERROR(INDEX(AC972:AE972,IF(COUNTA(AC972:AE972)=0,"",MAX((AC972:AE972&lt;&gt;"")*(COLUMN(AC972:AE972)-(COLUMN(AC972)))))-1),"")</f>
        <v>45764</v>
      </c>
      <c r="K972" s="16" t="n">
        <f aca="false" t="array" ref="K972:K972">IFERROR(INDEX(AC972:AE972,IF(COUNTA(AC972:AE972)=0,"",MAX((AC972:AE972&lt;&gt;"")*(COLUMN(AC972:AE972)-(COLUMN(AC972)-1))))-1),"")</f>
        <v>45946</v>
      </c>
      <c r="L972" s="17" t="str">
        <f aca="false" t="array" ref="L972:L972">IFERROR(INDEX(AC972:AE972,IF(COUNTA(AC972:AE972)=0,"",MAX((AC972:AE972&lt;&gt;"")*(COLUMN(AC972:AE972)-(COLUMN(AC972)-2))))-1),"")</f>
        <v>ARCHIVED</v>
      </c>
      <c r="M972" s="13" t="n">
        <f aca="true">K972-TODAY()</f>
        <v>-378</v>
      </c>
      <c r="N972" s="18" t="s">
        <v>36</v>
      </c>
      <c r="O972" s="13" t="s">
        <v>4280</v>
      </c>
      <c r="P972" s="27" t="n">
        <v>120000</v>
      </c>
      <c r="Q972" s="20" t="s">
        <v>4310</v>
      </c>
      <c r="R972" s="13" t="s">
        <v>232</v>
      </c>
      <c r="S972" s="14" t="n">
        <v>37007</v>
      </c>
      <c r="T972" s="13" t="s">
        <v>108</v>
      </c>
      <c r="U972" s="13" t="s">
        <v>4311</v>
      </c>
      <c r="V972" s="13" t="s">
        <v>42</v>
      </c>
      <c r="W972" s="13" t="s">
        <v>43</v>
      </c>
      <c r="X972" s="21" t="n">
        <v>81553362972</v>
      </c>
      <c r="Y972" s="22" t="str">
        <f aca="false">O972</f>
        <v>Helper Cutting</v>
      </c>
      <c r="Z972" s="13" t="str">
        <f aca="false">IFERROR(__xludf.dummyfunction("if(BJ972="""","""",GOOGLETRANSLATE(BJ972,""auto"",""en""))"),"Helper Cutting")</f>
        <v>Helper Cutting</v>
      </c>
      <c r="AA972" s="23" t="str">
        <f aca="false">IF(C972="","", CHOOSE(MONTH(C972),"January","February","March","April","May","June","July","August","September","October","November","December")&amp;" "&amp;DAY(C972)&amp;MID("thstndrdth",MIN(9,2*RIGHT(DAY(C972))*(MOD(DAY(C972)-11,100)&gt;2)+1),2)&amp;","&amp;TEXT(C972," yyyy"))</f>
        <v>April 17th,2023</v>
      </c>
      <c r="AB972" s="15" t="str">
        <f aca="true">IF(S972="","",DATEDIF(S972,TODAY(),"Y")&amp;" Tahun, "&amp;DATEDIF(S972,TODAY(),"YM")&amp;" Bulan, "&amp;DATEDIF(S972,TODAY(),"MD")&amp;" Hari")</f>
        <v>25 Tahun, 6 Bulan, 3 Hari</v>
      </c>
      <c r="AC972" s="18" t="n">
        <v>45764</v>
      </c>
      <c r="AD972" s="18" t="n">
        <v>45946</v>
      </c>
      <c r="AE972" s="18" t="s">
        <v>44</v>
      </c>
    </row>
    <row r="973" customFormat="false" ht="15.75" hidden="false" customHeight="true" outlineLevel="0" collapsed="false">
      <c r="A973" s="12" t="n">
        <v>10436</v>
      </c>
      <c r="B973" s="13" t="s">
        <v>4312</v>
      </c>
      <c r="C973" s="14" t="n">
        <v>45033</v>
      </c>
      <c r="D973" s="13" t="s">
        <v>4259</v>
      </c>
      <c r="E973" s="15" t="s">
        <v>47</v>
      </c>
      <c r="F973" s="15" t="str">
        <f aca="false">IFERROR(__xludf.dummyfunction("XLOOKUP(AJ973,IMPORTRANGE(""1XaInW9DU9nz21V0tYIfzFQ0He9kVQ_JF2mCXgZ3hqFA"",""REKAP ALL 2026 - Andika!G:G""),IMPORTRANGE(""1XaInW9DU9nz21V0tYIfzFQ0He9kVQ_JF2mCXgZ3hqFA"",""REKAP ALL 2026 - Andika!F:F""),"""",0)"),"23057167258")</f>
        <v>23057167258</v>
      </c>
      <c r="G973" s="13" t="s">
        <v>4313</v>
      </c>
      <c r="H973" s="13" t="s">
        <v>35</v>
      </c>
      <c r="I973" s="13" t="str">
        <f aca="false">IF(C973=J973,"NEW KONTRAK","RE-KONTRAK")</f>
        <v>RE-KONTRAK</v>
      </c>
      <c r="J973" s="16" t="n">
        <f aca="false" t="array" ref="J973:J973">IFERROR(INDEX(AC973:AE973,IF(COUNTA(AC973:AE973)=0,"",MAX((AC973:AE973&lt;&gt;"")*(COLUMN(AC973:AE973)-(COLUMN(AC973)))))-1),"")</f>
        <v>45764</v>
      </c>
      <c r="K973" s="16" t="n">
        <f aca="false" t="array" ref="K973:K973">IFERROR(INDEX(AC973:AE973,IF(COUNTA(AC973:AE973)=0,"",MAX((AC973:AE973&lt;&gt;"")*(COLUMN(AC973:AE973)-(COLUMN(AC973)-1))))-1),"")</f>
        <v>45946</v>
      </c>
      <c r="L973" s="17" t="str">
        <f aca="false" t="array" ref="L973:L973">IFERROR(INDEX(AC973:AE973,IF(COUNTA(AC973:AE973)=0,"",MAX((AC973:AE973&lt;&gt;"")*(COLUMN(AC973:AE973)-(COLUMN(AC973)-2))))-1),"")</f>
        <v>ARCHIVED</v>
      </c>
      <c r="M973" s="13" t="n">
        <f aca="true">K973-TODAY()</f>
        <v>-378</v>
      </c>
      <c r="N973" s="18" t="s">
        <v>36</v>
      </c>
      <c r="O973" s="13" t="s">
        <v>4280</v>
      </c>
      <c r="P973" s="27" t="n">
        <v>120000</v>
      </c>
      <c r="Q973" s="20" t="s">
        <v>4314</v>
      </c>
      <c r="R973" s="13" t="s">
        <v>168</v>
      </c>
      <c r="S973" s="14" t="n">
        <v>34775</v>
      </c>
      <c r="T973" s="13" t="s">
        <v>108</v>
      </c>
      <c r="U973" s="13" t="s">
        <v>4315</v>
      </c>
      <c r="V973" s="13" t="s">
        <v>42</v>
      </c>
      <c r="W973" s="13" t="s">
        <v>54</v>
      </c>
      <c r="X973" s="21" t="n">
        <v>81330318311</v>
      </c>
      <c r="Y973" s="22" t="str">
        <f aca="false">O973</f>
        <v>Helper Cutting</v>
      </c>
      <c r="Z973" s="13" t="str">
        <f aca="false">IFERROR(__xludf.dummyfunction("if(BJ973="""","""",GOOGLETRANSLATE(BJ973,""auto"",""en""))"),"Helper Cutting")</f>
        <v>Helper Cutting</v>
      </c>
      <c r="AA973" s="23" t="str">
        <f aca="false">IF(C973="","", CHOOSE(MONTH(C973),"January","February","March","April","May","June","July","August","September","October","November","December")&amp;" "&amp;DAY(C973)&amp;MID("thstndrdth",MIN(9,2*RIGHT(DAY(C973))*(MOD(DAY(C973)-11,100)&gt;2)+1),2)&amp;","&amp;TEXT(C973," yyyy"))</f>
        <v>April 17th,2023</v>
      </c>
      <c r="AB973" s="15" t="str">
        <f aca="true">IF(S973="","",DATEDIF(S973,TODAY(),"Y")&amp;" Tahun, "&amp;DATEDIF(S973,TODAY(),"YM")&amp;" Bulan, "&amp;DATEDIF(S973,TODAY(),"MD")&amp;" Hari")</f>
        <v>31 Tahun, 7 Bulan, 12 Hari</v>
      </c>
      <c r="AC973" s="18" t="n">
        <v>45764</v>
      </c>
      <c r="AD973" s="18" t="n">
        <v>45946</v>
      </c>
      <c r="AE973" s="18" t="s">
        <v>44</v>
      </c>
    </row>
    <row r="974" customFormat="false" ht="15.75" hidden="false" customHeight="true" outlineLevel="0" collapsed="false">
      <c r="A974" s="12" t="n">
        <v>10438</v>
      </c>
      <c r="B974" s="13" t="s">
        <v>4316</v>
      </c>
      <c r="C974" s="14" t="n">
        <v>45033</v>
      </c>
      <c r="D974" s="13" t="s">
        <v>4252</v>
      </c>
      <c r="E974" s="15" t="s">
        <v>33</v>
      </c>
      <c r="F974" s="24" t="s">
        <v>4317</v>
      </c>
      <c r="G974" s="13" t="s">
        <v>4318</v>
      </c>
      <c r="H974" s="13" t="s">
        <v>35</v>
      </c>
      <c r="I974" s="13" t="str">
        <f aca="false">IF(C974=J974,"NEW KONTRAK","RE-KONTRAK")</f>
        <v>RE-KONTRAK</v>
      </c>
      <c r="J974" s="16" t="n">
        <f aca="false" t="array" ref="J974:J974">IFERROR(INDEX(AC974:AE974,IF(COUNTA(AC974:AE974)=0,"",MAX((AC974:AE974&lt;&gt;"")*(COLUMN(AC974:AE974)-(COLUMN(AC974)))))-1),"")</f>
        <v>45764</v>
      </c>
      <c r="K974" s="16" t="n">
        <f aca="false" t="array" ref="K974:K974">IFERROR(INDEX(AC974:AE974,IF(COUNTA(AC974:AE974)=0,"",MAX((AC974:AE974&lt;&gt;"")*(COLUMN(AC974:AE974)-(COLUMN(AC974)-1))))-1),"")</f>
        <v>45946</v>
      </c>
      <c r="L974" s="17" t="str">
        <f aca="false" t="array" ref="L974:L974">IFERROR(INDEX(AC974:AE974,IF(COUNTA(AC974:AE974)=0,"",MAX((AC974:AE974&lt;&gt;"")*(COLUMN(AC974:AE974)-(COLUMN(AC974)-2))))-1),"")</f>
        <v>ARCHIVED</v>
      </c>
      <c r="M974" s="13" t="n">
        <f aca="true">K974-TODAY()</f>
        <v>-378</v>
      </c>
      <c r="N974" s="18" t="s">
        <v>36</v>
      </c>
      <c r="O974" s="13" t="s">
        <v>4280</v>
      </c>
      <c r="P974" s="27" t="n">
        <v>120000</v>
      </c>
      <c r="Q974" s="20" t="s">
        <v>4319</v>
      </c>
      <c r="R974" s="13" t="s">
        <v>260</v>
      </c>
      <c r="S974" s="14" t="n">
        <v>27365</v>
      </c>
      <c r="T974" s="13" t="s">
        <v>108</v>
      </c>
      <c r="U974" s="13" t="s">
        <v>4320</v>
      </c>
      <c r="V974" s="13" t="s">
        <v>42</v>
      </c>
      <c r="W974" s="13" t="s">
        <v>43</v>
      </c>
      <c r="X974" s="21" t="n">
        <v>81559679987</v>
      </c>
      <c r="Y974" s="22" t="str">
        <f aca="false">O974</f>
        <v>Helper Cutting</v>
      </c>
      <c r="Z974" s="13" t="str">
        <f aca="false">IFERROR(__xludf.dummyfunction("if(BJ974="""","""",GOOGLETRANSLATE(BJ974,""auto"",""en""))"),"Helper Cutting")</f>
        <v>Helper Cutting</v>
      </c>
      <c r="AA974" s="23" t="str">
        <f aca="false">IF(C974="","", CHOOSE(MONTH(C974),"January","February","March","April","May","June","July","August","September","October","November","December")&amp;" "&amp;DAY(C974)&amp;MID("thstndrdth",MIN(9,2*RIGHT(DAY(C974))*(MOD(DAY(C974)-11,100)&gt;2)+1),2)&amp;","&amp;TEXT(C974," yyyy"))</f>
        <v>April 17th,2023</v>
      </c>
      <c r="AB974" s="15" t="str">
        <f aca="true">IF(S974="","",DATEDIF(S974,TODAY(),"Y")&amp;" Tahun, "&amp;DATEDIF(S974,TODAY(),"YM")&amp;" Bulan, "&amp;DATEDIF(S974,TODAY(),"MD")&amp;" Hari")</f>
        <v>51 Tahun, 10 Bulan, 27 Hari</v>
      </c>
      <c r="AC974" s="18" t="n">
        <v>45764</v>
      </c>
      <c r="AD974" s="18" t="n">
        <v>45946</v>
      </c>
      <c r="AE974" s="18" t="s">
        <v>44</v>
      </c>
    </row>
    <row r="975" customFormat="false" ht="15.75" hidden="false" customHeight="true" outlineLevel="0" collapsed="false">
      <c r="A975" s="12" t="n">
        <v>10440</v>
      </c>
      <c r="B975" s="13" t="s">
        <v>4321</v>
      </c>
      <c r="C975" s="14" t="n">
        <v>45033</v>
      </c>
      <c r="D975" s="13" t="s">
        <v>4259</v>
      </c>
      <c r="E975" s="15" t="s">
        <v>47</v>
      </c>
      <c r="F975" s="15" t="str">
        <f aca="false">IFERROR(__xludf.dummyfunction("XLOOKUP(AJ975,IMPORTRANGE(""1XaInW9DU9nz21V0tYIfzFQ0He9kVQ_JF2mCXgZ3hqFA"",""REKAP ALL 2026 - Andika!G:G""),IMPORTRANGE(""1XaInW9DU9nz21V0tYIfzFQ0He9kVQ_JF2mCXgZ3hqFA"",""REKAP ALL 2026 - Andika!F:F""),"""",0)"),"23076927088")</f>
        <v>23076927088</v>
      </c>
      <c r="G975" s="13" t="s">
        <v>4322</v>
      </c>
      <c r="H975" s="13" t="s">
        <v>35</v>
      </c>
      <c r="I975" s="13" t="str">
        <f aca="false">IF(C975=J975,"NEW KONTRAK","RE-KONTRAK")</f>
        <v>RE-KONTRAK</v>
      </c>
      <c r="J975" s="16" t="n">
        <f aca="false" t="array" ref="J975:J975">IFERROR(INDEX(AC975:AE975,IF(COUNTA(AC975:AE975)=0,"",MAX((AC975:AE975&lt;&gt;"")*(COLUMN(AC975:AE975)-(COLUMN(AC975)))))-1),"")</f>
        <v>45764</v>
      </c>
      <c r="K975" s="16" t="n">
        <f aca="false" t="array" ref="K975:K975">IFERROR(INDEX(AC975:AE975,IF(COUNTA(AC975:AE975)=0,"",MAX((AC975:AE975&lt;&gt;"")*(COLUMN(AC975:AE975)-(COLUMN(AC975)-1))))-1),"")</f>
        <v>45946</v>
      </c>
      <c r="L975" s="17" t="str">
        <f aca="false" t="array" ref="L975:L975">IFERROR(INDEX(AC975:AE975,IF(COUNTA(AC975:AE975)=0,"",MAX((AC975:AE975&lt;&gt;"")*(COLUMN(AC975:AE975)-(COLUMN(AC975)-2))))-1),"")</f>
        <v>ARCHIVED</v>
      </c>
      <c r="M975" s="13" t="n">
        <f aca="true">K975-TODAY()</f>
        <v>-378</v>
      </c>
      <c r="N975" s="18" t="s">
        <v>36</v>
      </c>
      <c r="O975" s="13" t="s">
        <v>4274</v>
      </c>
      <c r="P975" s="27" t="n">
        <v>200000</v>
      </c>
      <c r="Q975" s="20" t="s">
        <v>4323</v>
      </c>
      <c r="R975" s="13" t="s">
        <v>274</v>
      </c>
      <c r="S975" s="14" t="n">
        <v>31202</v>
      </c>
      <c r="T975" s="13" t="s">
        <v>40</v>
      </c>
      <c r="U975" s="13" t="s">
        <v>4324</v>
      </c>
      <c r="V975" s="13" t="s">
        <v>42</v>
      </c>
      <c r="W975" s="13" t="s">
        <v>54</v>
      </c>
      <c r="X975" s="21" t="n">
        <v>85707157875</v>
      </c>
      <c r="Y975" s="22" t="str">
        <f aca="false">O975</f>
        <v>Operator Extruder</v>
      </c>
      <c r="Z975" s="13" t="str">
        <f aca="false">IFERROR(__xludf.dummyfunction("if(BJ975="""","""",GOOGLETRANSLATE(BJ975,""auto"",""en""))"),"Operator Extruder")</f>
        <v>Operator Extruder</v>
      </c>
      <c r="AA975" s="23" t="str">
        <f aca="false">IF(C975="","", CHOOSE(MONTH(C975),"January","February","March","April","May","June","July","August","September","October","November","December")&amp;" "&amp;DAY(C975)&amp;MID("thstndrdth",MIN(9,2*RIGHT(DAY(C975))*(MOD(DAY(C975)-11,100)&gt;2)+1),2)&amp;","&amp;TEXT(C975," yyyy"))</f>
        <v>April 17th,2023</v>
      </c>
      <c r="AB975" s="15" t="str">
        <f aca="true">IF(S975="","",DATEDIF(S975,TODAY(),"Y")&amp;" Tahun, "&amp;DATEDIF(S975,TODAY(),"YM")&amp;" Bulan, "&amp;DATEDIF(S975,TODAY(),"MD")&amp;" Hari")</f>
        <v>41 Tahun, 4 Bulan, 25 Hari</v>
      </c>
      <c r="AC975" s="18" t="n">
        <v>45764</v>
      </c>
      <c r="AD975" s="18" t="n">
        <v>45946</v>
      </c>
      <c r="AE975" s="18" t="s">
        <v>44</v>
      </c>
    </row>
    <row r="976" customFormat="false" ht="15.75" hidden="false" customHeight="true" outlineLevel="0" collapsed="false">
      <c r="A976" s="12" t="n">
        <v>10443</v>
      </c>
      <c r="B976" s="13" t="s">
        <v>4325</v>
      </c>
      <c r="C976" s="14" t="n">
        <v>45033</v>
      </c>
      <c r="D976" s="13" t="s">
        <v>4259</v>
      </c>
      <c r="E976" s="15" t="s">
        <v>102</v>
      </c>
      <c r="F976" s="15" t="str">
        <f aca="false">IFERROR(__xludf.dummyfunction("XLOOKUP(AJ976,IMPORTRANGE(""1XaInW9DU9nz21V0tYIfzFQ0He9kVQ_JF2mCXgZ3hqFA"",""REKAP ALL 2026 - Andika!G:G""),IMPORTRANGE(""1XaInW9DU9nz21V0tYIfzFQ0He9kVQ_JF2mCXgZ3hqFA"",""REKAP ALL 2026 - Andika!F:F""),"""",0)"),"23076927047")</f>
        <v>23076927047</v>
      </c>
      <c r="G976" s="13" t="s">
        <v>4326</v>
      </c>
      <c r="H976" s="13" t="s">
        <v>35</v>
      </c>
      <c r="I976" s="13" t="str">
        <f aca="false">IF(C976=J976,"NEW KONTRAK","RE-KONTRAK")</f>
        <v>RE-KONTRAK</v>
      </c>
      <c r="J976" s="16" t="n">
        <f aca="false" t="array" ref="J976:J976">IFERROR(INDEX(AC976:AE976,IF(COUNTA(AC976:AE976)=0,"",MAX((AC976:AE976&lt;&gt;"")*(COLUMN(AC976:AE976)-(COLUMN(AC976)))))-1),"")</f>
        <v>45764</v>
      </c>
      <c r="K976" s="16" t="n">
        <f aca="false" t="array" ref="K976:K976">IFERROR(INDEX(AC976:AE976,IF(COUNTA(AC976:AE976)=0,"",MAX((AC976:AE976&lt;&gt;"")*(COLUMN(AC976:AE976)-(COLUMN(AC976)-1))))-1),"")</f>
        <v>45946</v>
      </c>
      <c r="L976" s="17" t="str">
        <f aca="false" t="array" ref="L976:L976">IFERROR(INDEX(AC976:AE976,IF(COUNTA(AC976:AE976)=0,"",MAX((AC976:AE976&lt;&gt;"")*(COLUMN(AC976:AE976)-(COLUMN(AC976)-2))))-1),"")</f>
        <v>ARCHIVED</v>
      </c>
      <c r="M976" s="13" t="n">
        <f aca="true">K976-TODAY()</f>
        <v>-378</v>
      </c>
      <c r="N976" s="18" t="s">
        <v>36</v>
      </c>
      <c r="O976" s="13" t="s">
        <v>4274</v>
      </c>
      <c r="P976" s="27" t="n">
        <v>200000</v>
      </c>
      <c r="Q976" s="20" t="s">
        <v>4327</v>
      </c>
      <c r="R976" s="13" t="s">
        <v>73</v>
      </c>
      <c r="S976" s="14" t="n">
        <v>33256</v>
      </c>
      <c r="T976" s="13" t="s">
        <v>40</v>
      </c>
      <c r="U976" s="13" t="s">
        <v>4328</v>
      </c>
      <c r="V976" s="13" t="s">
        <v>42</v>
      </c>
      <c r="W976" s="13" t="s">
        <v>43</v>
      </c>
      <c r="X976" s="21" t="n">
        <v>81246290003</v>
      </c>
      <c r="Y976" s="22" t="str">
        <f aca="false">O976</f>
        <v>Operator Extruder</v>
      </c>
      <c r="Z976" s="13" t="str">
        <f aca="false">IFERROR(__xludf.dummyfunction("if(BJ976="""","""",GOOGLETRANSLATE(BJ976,""auto"",""en""))"),"Operator Extruder")</f>
        <v>Operator Extruder</v>
      </c>
      <c r="AA976" s="23" t="str">
        <f aca="false">IF(C976="","", CHOOSE(MONTH(C976),"January","February","March","April","May","June","July","August","September","October","November","December")&amp;" "&amp;DAY(C976)&amp;MID("thstndrdth",MIN(9,2*RIGHT(DAY(C976))*(MOD(DAY(C976)-11,100)&gt;2)+1),2)&amp;","&amp;TEXT(C976," yyyy"))</f>
        <v>April 17th,2023</v>
      </c>
      <c r="AB976" s="15" t="str">
        <f aca="true">IF(S976="","",DATEDIF(S976,TODAY(),"Y")&amp;" Tahun, "&amp;DATEDIF(S976,TODAY(),"YM")&amp;" Bulan, "&amp;DATEDIF(S976,TODAY(),"MD")&amp;" Hari")</f>
        <v>35 Tahun, 9 Bulan, 11 Hari</v>
      </c>
      <c r="AC976" s="18" t="n">
        <v>45764</v>
      </c>
      <c r="AD976" s="18" t="n">
        <v>45946</v>
      </c>
      <c r="AE976" s="18" t="s">
        <v>44</v>
      </c>
    </row>
    <row r="977" customFormat="false" ht="15.75" hidden="false" customHeight="true" outlineLevel="0" collapsed="false">
      <c r="A977" s="12" t="n">
        <v>10445</v>
      </c>
      <c r="B977" s="13" t="s">
        <v>4329</v>
      </c>
      <c r="C977" s="14" t="n">
        <v>45033</v>
      </c>
      <c r="D977" s="13" t="s">
        <v>4259</v>
      </c>
      <c r="E977" s="15" t="s">
        <v>47</v>
      </c>
      <c r="F977" s="15" t="str">
        <f aca="false">IFERROR(__xludf.dummyfunction("XLOOKUP(AJ977,IMPORTRANGE(""1XaInW9DU9nz21V0tYIfzFQ0He9kVQ_JF2mCXgZ3hqFA"",""REKAP ALL 2026 - Andika!G:G""),IMPORTRANGE(""1XaInW9DU9nz21V0tYIfzFQ0He9kVQ_JF2mCXgZ3hqFA"",""REKAP ALL 2026 - Andika!F:F""),"""",0)"),"23076926999")</f>
        <v>23076926999</v>
      </c>
      <c r="G977" s="13" t="s">
        <v>4330</v>
      </c>
      <c r="H977" s="13" t="s">
        <v>35</v>
      </c>
      <c r="I977" s="13" t="str">
        <f aca="false">IF(C977=J977,"NEW KONTRAK","RE-KONTRAK")</f>
        <v>RE-KONTRAK</v>
      </c>
      <c r="J977" s="16" t="n">
        <f aca="false" t="array" ref="J977:J977">IFERROR(INDEX(AC977:AE977,IF(COUNTA(AC977:AE977)=0,"",MAX((AC977:AE977&lt;&gt;"")*(COLUMN(AC977:AE977)-(COLUMN(AC977)))))-1),"")</f>
        <v>45764</v>
      </c>
      <c r="K977" s="16" t="n">
        <f aca="false" t="array" ref="K977:K977">IFERROR(INDEX(AC977:AE977,IF(COUNTA(AC977:AE977)=0,"",MAX((AC977:AE977&lt;&gt;"")*(COLUMN(AC977:AE977)-(COLUMN(AC977)-1))))-1),"")</f>
        <v>45946</v>
      </c>
      <c r="L977" s="17" t="str">
        <f aca="false" t="array" ref="L977:L977">IFERROR(INDEX(AC977:AE977,IF(COUNTA(AC977:AE977)=0,"",MAX((AC977:AE977&lt;&gt;"")*(COLUMN(AC977:AE977)-(COLUMN(AC977)-2))))-1),"")</f>
        <v>ARCHIVED</v>
      </c>
      <c r="M977" s="13" t="n">
        <f aca="true">K977-TODAY()</f>
        <v>-378</v>
      </c>
      <c r="N977" s="18" t="s">
        <v>36</v>
      </c>
      <c r="O977" s="13" t="s">
        <v>4255</v>
      </c>
      <c r="P977" s="27" t="n">
        <v>200000</v>
      </c>
      <c r="Q977" s="20" t="s">
        <v>4331</v>
      </c>
      <c r="R977" s="13" t="s">
        <v>65</v>
      </c>
      <c r="S977" s="14" t="n">
        <v>33724</v>
      </c>
      <c r="T977" s="13" t="s">
        <v>40</v>
      </c>
      <c r="U977" s="13" t="s">
        <v>4332</v>
      </c>
      <c r="V977" s="13" t="s">
        <v>42</v>
      </c>
      <c r="W977" s="13" t="s">
        <v>54</v>
      </c>
      <c r="X977" s="21" t="n">
        <v>85749333439</v>
      </c>
      <c r="Y977" s="22" t="str">
        <f aca="false">O977</f>
        <v>Operator Cutting</v>
      </c>
      <c r="Z977" s="13" t="str">
        <f aca="false">IFERROR(__xludf.dummyfunction("if(BJ977="""","""",GOOGLETRANSLATE(BJ977,""auto"",""en""))"),"Operator Cutting")</f>
        <v>Operator Cutting</v>
      </c>
      <c r="AA977" s="23" t="str">
        <f aca="false">IF(C977="","", CHOOSE(MONTH(C977),"January","February","March","April","May","June","July","August","September","October","November","December")&amp;" "&amp;DAY(C977)&amp;MID("thstndrdth",MIN(9,2*RIGHT(DAY(C977))*(MOD(DAY(C977)-11,100)&gt;2)+1),2)&amp;","&amp;TEXT(C977," yyyy"))</f>
        <v>April 17th,2023</v>
      </c>
      <c r="AB977" s="15" t="str">
        <f aca="true">IF(S977="","",DATEDIF(S977,TODAY(),"Y")&amp;" Tahun, "&amp;DATEDIF(S977,TODAY(),"YM")&amp;" Bulan, "&amp;DATEDIF(S977,TODAY(),"MD")&amp;" Hari")</f>
        <v>34 Tahun, 5 Bulan, 29 Hari</v>
      </c>
      <c r="AC977" s="18" t="n">
        <v>45764</v>
      </c>
      <c r="AD977" s="18" t="n">
        <v>45946</v>
      </c>
      <c r="AE977" s="18" t="s">
        <v>44</v>
      </c>
    </row>
    <row r="978" customFormat="false" ht="15.75" hidden="false" customHeight="true" outlineLevel="0" collapsed="false">
      <c r="A978" s="12" t="n">
        <v>10448</v>
      </c>
      <c r="B978" s="13" t="s">
        <v>4333</v>
      </c>
      <c r="C978" s="14" t="n">
        <v>45033</v>
      </c>
      <c r="D978" s="13" t="s">
        <v>4252</v>
      </c>
      <c r="E978" s="15" t="s">
        <v>33</v>
      </c>
      <c r="F978" s="24" t="s">
        <v>4334</v>
      </c>
      <c r="G978" s="13" t="s">
        <v>4335</v>
      </c>
      <c r="H978" s="13" t="s">
        <v>35</v>
      </c>
      <c r="I978" s="13" t="str">
        <f aca="false">IF(C978=J978,"NEW KONTRAK","RE-KONTRAK")</f>
        <v>RE-KONTRAK</v>
      </c>
      <c r="J978" s="16" t="n">
        <f aca="false" t="array" ref="J978:J978">IFERROR(INDEX(AC978:AE978,IF(COUNTA(AC978:AE978)=0,"",MAX((AC978:AE978&lt;&gt;"")*(COLUMN(AC978:AE978)-(COLUMN(AC978)))))-1),"")</f>
        <v>45764</v>
      </c>
      <c r="K978" s="16" t="n">
        <f aca="false" t="array" ref="K978:K978">IFERROR(INDEX(AC978:AE978,IF(COUNTA(AC978:AE978)=0,"",MAX((AC978:AE978&lt;&gt;"")*(COLUMN(AC978:AE978)-(COLUMN(AC978)-1))))-1),"")</f>
        <v>45946</v>
      </c>
      <c r="L978" s="17" t="str">
        <f aca="false" t="array" ref="L978:L978">IFERROR(INDEX(AC978:AE978,IF(COUNTA(AC978:AE978)=0,"",MAX((AC978:AE978&lt;&gt;"")*(COLUMN(AC978:AE978)-(COLUMN(AC978)-2))))-1),"")</f>
        <v>ARCHIVED</v>
      </c>
      <c r="M978" s="13" t="n">
        <f aca="true">K978-TODAY()</f>
        <v>-378</v>
      </c>
      <c r="N978" s="18" t="s">
        <v>36</v>
      </c>
      <c r="O978" s="13" t="s">
        <v>4280</v>
      </c>
      <c r="P978" s="27" t="n">
        <v>120000</v>
      </c>
      <c r="Q978" s="20" t="s">
        <v>4336</v>
      </c>
      <c r="R978" s="13" t="s">
        <v>232</v>
      </c>
      <c r="S978" s="14" t="n">
        <v>35844</v>
      </c>
      <c r="T978" s="13" t="s">
        <v>108</v>
      </c>
      <c r="U978" s="13" t="s">
        <v>4337</v>
      </c>
      <c r="V978" s="13" t="s">
        <v>42</v>
      </c>
      <c r="W978" s="13" t="s">
        <v>54</v>
      </c>
      <c r="X978" s="21" t="n">
        <v>87756871490</v>
      </c>
      <c r="Y978" s="22" t="str">
        <f aca="false">O978</f>
        <v>Helper Cutting</v>
      </c>
      <c r="Z978" s="13" t="str">
        <f aca="false">IFERROR(__xludf.dummyfunction("if(BJ978="""","""",GOOGLETRANSLATE(BJ978,""auto"",""en""))"),"Helper Cutting")</f>
        <v>Helper Cutting</v>
      </c>
      <c r="AA978" s="23" t="str">
        <f aca="false">IF(C978="","", CHOOSE(MONTH(C978),"January","February","March","April","May","June","July","August","September","October","November","December")&amp;" "&amp;DAY(C978)&amp;MID("thstndrdth",MIN(9,2*RIGHT(DAY(C978))*(MOD(DAY(C978)-11,100)&gt;2)+1),2)&amp;","&amp;TEXT(C978," yyyy"))</f>
        <v>April 17th,2023</v>
      </c>
      <c r="AB978" s="15" t="str">
        <f aca="true">IF(S978="","",DATEDIF(S978,TODAY(),"Y")&amp;" Tahun, "&amp;DATEDIF(S978,TODAY(),"YM")&amp;" Bulan, "&amp;DATEDIF(S978,TODAY(),"MD")&amp;" Hari")</f>
        <v>28 Tahun, 8 Bulan, 11 Hari</v>
      </c>
      <c r="AC978" s="18" t="n">
        <v>45764</v>
      </c>
      <c r="AD978" s="18" t="n">
        <v>45946</v>
      </c>
      <c r="AE978" s="18" t="s">
        <v>44</v>
      </c>
    </row>
    <row r="979" customFormat="false" ht="15.75" hidden="false" customHeight="true" outlineLevel="0" collapsed="false">
      <c r="A979" s="12" t="n">
        <v>10453</v>
      </c>
      <c r="B979" s="13" t="s">
        <v>4338</v>
      </c>
      <c r="C979" s="14" t="n">
        <v>45033</v>
      </c>
      <c r="D979" s="13" t="s">
        <v>4259</v>
      </c>
      <c r="E979" s="15" t="s">
        <v>47</v>
      </c>
      <c r="F979" s="15" t="str">
        <f aca="false">IFERROR(__xludf.dummyfunction("XLOOKUP(AJ979,IMPORTRANGE(""1XaInW9DU9nz21V0tYIfzFQ0He9kVQ_JF2mCXgZ3hqFA"",""REKAP ALL 2026 - Andika!G:G""),IMPORTRANGE(""1XaInW9DU9nz21V0tYIfzFQ0He9kVQ_JF2mCXgZ3hqFA"",""REKAP ALL 2026 - Andika!F:F""),"""",0)"),"23076927211")</f>
        <v>23076927211</v>
      </c>
      <c r="G979" s="13" t="s">
        <v>4339</v>
      </c>
      <c r="H979" s="13" t="s">
        <v>35</v>
      </c>
      <c r="I979" s="13" t="str">
        <f aca="false">IF(C979=J979,"NEW KONTRAK","RE-KONTRAK")</f>
        <v>RE-KONTRAK</v>
      </c>
      <c r="J979" s="16" t="n">
        <f aca="false" t="array" ref="J979:J979">IFERROR(INDEX(AC979:AE979,IF(COUNTA(AC979:AE979)=0,"",MAX((AC979:AE979&lt;&gt;"")*(COLUMN(AC979:AE979)-(COLUMN(AC979)))))-1),"")</f>
        <v>45764</v>
      </c>
      <c r="K979" s="16" t="n">
        <f aca="false" t="array" ref="K979:K979">IFERROR(INDEX(AC979:AE979,IF(COUNTA(AC979:AE979)=0,"",MAX((AC979:AE979&lt;&gt;"")*(COLUMN(AC979:AE979)-(COLUMN(AC979)-1))))-1),"")</f>
        <v>45946</v>
      </c>
      <c r="L979" s="17" t="str">
        <f aca="false" t="array" ref="L979:L979">IFERROR(INDEX(AC979:AE979,IF(COUNTA(AC979:AE979)=0,"",MAX((AC979:AE979&lt;&gt;"")*(COLUMN(AC979:AE979)-(COLUMN(AC979)-2))))-1),"")</f>
        <v>ARCHIVED</v>
      </c>
      <c r="M979" s="13" t="n">
        <f aca="true">K979-TODAY()</f>
        <v>-378</v>
      </c>
      <c r="N979" s="18" t="s">
        <v>36</v>
      </c>
      <c r="O979" s="13" t="s">
        <v>4280</v>
      </c>
      <c r="P979" s="27" t="n">
        <v>120000</v>
      </c>
      <c r="Q979" s="20" t="s">
        <v>4340</v>
      </c>
      <c r="R979" s="13" t="s">
        <v>73</v>
      </c>
      <c r="S979" s="14" t="n">
        <v>35927</v>
      </c>
      <c r="T979" s="13" t="s">
        <v>108</v>
      </c>
      <c r="U979" s="13" t="s">
        <v>4341</v>
      </c>
      <c r="V979" s="13" t="s">
        <v>42</v>
      </c>
      <c r="W979" s="13" t="s">
        <v>43</v>
      </c>
      <c r="X979" s="21" t="n">
        <v>87781780078</v>
      </c>
      <c r="Y979" s="22" t="str">
        <f aca="false">O979</f>
        <v>Helper Cutting</v>
      </c>
      <c r="Z979" s="13" t="str">
        <f aca="false">IFERROR(__xludf.dummyfunction("if(BJ979="""","""",GOOGLETRANSLATE(BJ979,""auto"",""en""))"),"Helper Cutting")</f>
        <v>Helper Cutting</v>
      </c>
      <c r="AA979" s="23" t="str">
        <f aca="false">IF(C979="","", CHOOSE(MONTH(C979),"January","February","March","April","May","June","July","August","September","October","November","December")&amp;" "&amp;DAY(C979)&amp;MID("thstndrdth",MIN(9,2*RIGHT(DAY(C979))*(MOD(DAY(C979)-11,100)&gt;2)+1),2)&amp;","&amp;TEXT(C979," yyyy"))</f>
        <v>April 17th,2023</v>
      </c>
      <c r="AB979" s="15" t="str">
        <f aca="true">IF(S979="","",DATEDIF(S979,TODAY(),"Y")&amp;" Tahun, "&amp;DATEDIF(S979,TODAY(),"YM")&amp;" Bulan, "&amp;DATEDIF(S979,TODAY(),"MD")&amp;" Hari")</f>
        <v>28 Tahun, 5 Bulan, 17 Hari</v>
      </c>
      <c r="AC979" s="18" t="n">
        <v>45764</v>
      </c>
      <c r="AD979" s="18" t="n">
        <v>45946</v>
      </c>
      <c r="AE979" s="18" t="s">
        <v>44</v>
      </c>
    </row>
    <row r="980" customFormat="false" ht="15.75" hidden="false" customHeight="true" outlineLevel="0" collapsed="false">
      <c r="A980" s="12" t="n">
        <v>10454</v>
      </c>
      <c r="B980" s="13" t="s">
        <v>4342</v>
      </c>
      <c r="C980" s="14" t="n">
        <v>45033</v>
      </c>
      <c r="D980" s="13" t="s">
        <v>4259</v>
      </c>
      <c r="E980" s="15" t="s">
        <v>47</v>
      </c>
      <c r="F980" s="15" t="str">
        <f aca="false">IFERROR(__xludf.dummyfunction("XLOOKUP(AJ980,IMPORTRANGE(""1XaInW9DU9nz21V0tYIfzFQ0He9kVQ_JF2mCXgZ3hqFA"",""REKAP ALL 2026 - Andika!G:G""),IMPORTRANGE(""1XaInW9DU9nz21V0tYIfzFQ0He9kVQ_JF2mCXgZ3hqFA"",""REKAP ALL 2026 - Andika!F:F""),"""",0)"),"23076926833")</f>
        <v>23076926833</v>
      </c>
      <c r="G980" s="13" t="s">
        <v>4343</v>
      </c>
      <c r="H980" s="13" t="s">
        <v>35</v>
      </c>
      <c r="I980" s="13" t="str">
        <f aca="false">IF(C980=J980,"NEW KONTRAK","RE-KONTRAK")</f>
        <v>RE-KONTRAK</v>
      </c>
      <c r="J980" s="16" t="n">
        <f aca="false" t="array" ref="J980:J980">IFERROR(INDEX(AC980:AE980,IF(COUNTA(AC980:AE980)=0,"",MAX((AC980:AE980&lt;&gt;"")*(COLUMN(AC980:AE980)-(COLUMN(AC980)))))-1),"")</f>
        <v>45764</v>
      </c>
      <c r="K980" s="16" t="n">
        <f aca="false" t="array" ref="K980:K980">IFERROR(INDEX(AC980:AE980,IF(COUNTA(AC980:AE980)=0,"",MAX((AC980:AE980&lt;&gt;"")*(COLUMN(AC980:AE980)-(COLUMN(AC980)-1))))-1),"")</f>
        <v>45946</v>
      </c>
      <c r="L980" s="17" t="str">
        <f aca="false" t="array" ref="L980:L980">IFERROR(INDEX(AC980:AE980,IF(COUNTA(AC980:AE980)=0,"",MAX((AC980:AE980&lt;&gt;"")*(COLUMN(AC980:AE980)-(COLUMN(AC980)-2))))-1),"")</f>
        <v>ARCHIVED</v>
      </c>
      <c r="M980" s="13" t="n">
        <f aca="true">K980-TODAY()</f>
        <v>-378</v>
      </c>
      <c r="N980" s="18" t="s">
        <v>36</v>
      </c>
      <c r="O980" s="13" t="s">
        <v>4255</v>
      </c>
      <c r="P980" s="27" t="n">
        <v>200000</v>
      </c>
      <c r="Q980" s="20" t="s">
        <v>4344</v>
      </c>
      <c r="R980" s="13" t="s">
        <v>39</v>
      </c>
      <c r="S980" s="14" t="n">
        <v>33444</v>
      </c>
      <c r="T980" s="13" t="s">
        <v>40</v>
      </c>
      <c r="U980" s="13" t="s">
        <v>4345</v>
      </c>
      <c r="V980" s="13" t="s">
        <v>42</v>
      </c>
      <c r="W980" s="13" t="s">
        <v>54</v>
      </c>
      <c r="X980" s="21" t="n">
        <v>85932256778</v>
      </c>
      <c r="Y980" s="22" t="str">
        <f aca="false">O980</f>
        <v>Operator Cutting</v>
      </c>
      <c r="Z980" s="13" t="str">
        <f aca="false">IFERROR(__xludf.dummyfunction("if(BJ980="""","""",GOOGLETRANSLATE(BJ980,""auto"",""en""))"),"Operator Cutting")</f>
        <v>Operator Cutting</v>
      </c>
      <c r="AA980" s="23" t="str">
        <f aca="false">IF(C980="","", CHOOSE(MONTH(C980),"January","February","March","April","May","June","July","August","September","October","November","December")&amp;" "&amp;DAY(C980)&amp;MID("thstndrdth",MIN(9,2*RIGHT(DAY(C980))*(MOD(DAY(C980)-11,100)&gt;2)+1),2)&amp;","&amp;TEXT(C980," yyyy"))</f>
        <v>April 17th,2023</v>
      </c>
      <c r="AB980" s="15" t="str">
        <f aca="true">IF(S980="","",DATEDIF(S980,TODAY(),"Y")&amp;" Tahun, "&amp;DATEDIF(S980,TODAY(),"YM")&amp;" Bulan, "&amp;DATEDIF(S980,TODAY(),"MD")&amp;" Hari")</f>
        <v>35 Tahun, 3 Bulan, 4 Hari</v>
      </c>
      <c r="AC980" s="18" t="n">
        <v>45764</v>
      </c>
      <c r="AD980" s="18" t="n">
        <v>45946</v>
      </c>
      <c r="AE980" s="18" t="s">
        <v>44</v>
      </c>
    </row>
    <row r="981" customFormat="false" ht="15.75" hidden="false" customHeight="true" outlineLevel="0" collapsed="false">
      <c r="A981" s="12" t="n">
        <v>10455</v>
      </c>
      <c r="B981" s="13" t="s">
        <v>4346</v>
      </c>
      <c r="C981" s="14" t="n">
        <v>45033</v>
      </c>
      <c r="D981" s="13" t="s">
        <v>4259</v>
      </c>
      <c r="E981" s="15" t="s">
        <v>47</v>
      </c>
      <c r="F981" s="15" t="str">
        <f aca="false">IFERROR(__xludf.dummyfunction("XLOOKUP(AJ981,IMPORTRANGE(""1XaInW9DU9nz21V0tYIfzFQ0He9kVQ_JF2mCXgZ3hqFA"",""REKAP ALL 2026 - Andika!G:G""),IMPORTRANGE(""1XaInW9DU9nz21V0tYIfzFQ0He9kVQ_JF2mCXgZ3hqFA"",""REKAP ALL 2026 - Andika!F:F""),"""",0)"),"23057167019")</f>
        <v>23057167019</v>
      </c>
      <c r="G981" s="13" t="s">
        <v>4347</v>
      </c>
      <c r="H981" s="13" t="s">
        <v>35</v>
      </c>
      <c r="I981" s="13" t="str">
        <f aca="false">IF(C981=J981,"NEW KONTRAK","RE-KONTRAK")</f>
        <v>RE-KONTRAK</v>
      </c>
      <c r="J981" s="16" t="n">
        <f aca="false" t="array" ref="J981:J981">IFERROR(INDEX(AC981:AE981,IF(COUNTA(AC981:AE981)=0,"",MAX((AC981:AE981&lt;&gt;"")*(COLUMN(AC981:AE981)-(COLUMN(AC981)))))-1),"")</f>
        <v>45764</v>
      </c>
      <c r="K981" s="16" t="n">
        <f aca="false" t="array" ref="K981:K981">IFERROR(INDEX(AC981:AE981,IF(COUNTA(AC981:AE981)=0,"",MAX((AC981:AE981&lt;&gt;"")*(COLUMN(AC981:AE981)-(COLUMN(AC981)-1))))-1),"")</f>
        <v>45946</v>
      </c>
      <c r="L981" s="17" t="str">
        <f aca="false" t="array" ref="L981:L981">IFERROR(INDEX(AC981:AE981,IF(COUNTA(AC981:AE981)=0,"",MAX((AC981:AE981&lt;&gt;"")*(COLUMN(AC981:AE981)-(COLUMN(AC981)-2))))-1),"")</f>
        <v>ARCHIVED</v>
      </c>
      <c r="M981" s="13" t="n">
        <f aca="true">K981-TODAY()</f>
        <v>-378</v>
      </c>
      <c r="N981" s="18" t="s">
        <v>36</v>
      </c>
      <c r="O981" s="13" t="s">
        <v>4288</v>
      </c>
      <c r="P981" s="27" t="n">
        <v>200000</v>
      </c>
      <c r="Q981" s="20" t="s">
        <v>4348</v>
      </c>
      <c r="R981" s="13" t="s">
        <v>52</v>
      </c>
      <c r="S981" s="14" t="n">
        <v>31594</v>
      </c>
      <c r="T981" s="13" t="s">
        <v>40</v>
      </c>
      <c r="U981" s="13" t="s">
        <v>4349</v>
      </c>
      <c r="V981" s="13" t="s">
        <v>42</v>
      </c>
      <c r="W981" s="13" t="s">
        <v>54</v>
      </c>
      <c r="X981" s="21" t="n">
        <v>895328556911</v>
      </c>
      <c r="Y981" s="22" t="str">
        <f aca="false">O981</f>
        <v>Operator Printing</v>
      </c>
      <c r="Z981" s="13" t="str">
        <f aca="false">IFERROR(__xludf.dummyfunction("if(BJ981="""","""",GOOGLETRANSLATE(BJ981,""auto"",""en""))"),"Operator Printing")</f>
        <v>Operator Printing</v>
      </c>
      <c r="AA981" s="23" t="str">
        <f aca="false">IF(C981="","", CHOOSE(MONTH(C981),"January","February","March","April","May","June","July","August","September","October","November","December")&amp;" "&amp;DAY(C981)&amp;MID("thstndrdth",MIN(9,2*RIGHT(DAY(C981))*(MOD(DAY(C981)-11,100)&gt;2)+1),2)&amp;","&amp;TEXT(C981," yyyy"))</f>
        <v>April 17th,2023</v>
      </c>
      <c r="AB981" s="15" t="str">
        <f aca="true">IF(S981="","",DATEDIF(S981,TODAY(),"Y")&amp;" Tahun, "&amp;DATEDIF(S981,TODAY(),"YM")&amp;" Bulan, "&amp;DATEDIF(S981,TODAY(),"MD")&amp;" Hari")</f>
        <v>40 Tahun, 3 Bulan, 28 Hari</v>
      </c>
      <c r="AC981" s="18" t="n">
        <v>45764</v>
      </c>
      <c r="AD981" s="18" t="n">
        <v>45946</v>
      </c>
      <c r="AE981" s="18" t="s">
        <v>44</v>
      </c>
    </row>
    <row r="982" customFormat="false" ht="15.75" hidden="false" customHeight="true" outlineLevel="0" collapsed="false">
      <c r="A982" s="12" t="n">
        <v>10457</v>
      </c>
      <c r="B982" s="13" t="s">
        <v>4350</v>
      </c>
      <c r="C982" s="14" t="n">
        <v>45033</v>
      </c>
      <c r="D982" s="13" t="s">
        <v>4252</v>
      </c>
      <c r="E982" s="15" t="s">
        <v>33</v>
      </c>
      <c r="F982" s="24" t="s">
        <v>4351</v>
      </c>
      <c r="G982" s="13" t="s">
        <v>4352</v>
      </c>
      <c r="H982" s="13" t="s">
        <v>35</v>
      </c>
      <c r="I982" s="13" t="str">
        <f aca="false">IF(C982=J982,"NEW KONTRAK","RE-KONTRAK")</f>
        <v>RE-KONTRAK</v>
      </c>
      <c r="J982" s="16" t="n">
        <f aca="false" t="array" ref="J982:J982">IFERROR(INDEX(AC982:AE982,IF(COUNTA(AC982:AE982)=0,"",MAX((AC982:AE982&lt;&gt;"")*(COLUMN(AC982:AE982)-(COLUMN(AC982)))))-1),"")</f>
        <v>45764</v>
      </c>
      <c r="K982" s="16" t="n">
        <f aca="false" t="array" ref="K982:K982">IFERROR(INDEX(AC982:AE982,IF(COUNTA(AC982:AE982)=0,"",MAX((AC982:AE982&lt;&gt;"")*(COLUMN(AC982:AE982)-(COLUMN(AC982)-1))))-1),"")</f>
        <v>45946</v>
      </c>
      <c r="L982" s="17" t="str">
        <f aca="false" t="array" ref="L982:L982">IFERROR(INDEX(AC982:AE982,IF(COUNTA(AC982:AE982)=0,"",MAX((AC982:AE982&lt;&gt;"")*(COLUMN(AC982:AE982)-(COLUMN(AC982)-2))))-1),"")</f>
        <v>ARCHIVED</v>
      </c>
      <c r="M982" s="13" t="n">
        <f aca="true">K982-TODAY()</f>
        <v>-378</v>
      </c>
      <c r="N982" s="18" t="s">
        <v>36</v>
      </c>
      <c r="O982" s="13" t="s">
        <v>4280</v>
      </c>
      <c r="P982" s="27" t="n">
        <v>120000</v>
      </c>
      <c r="Q982" s="20" t="s">
        <v>4353</v>
      </c>
      <c r="R982" s="13" t="s">
        <v>39</v>
      </c>
      <c r="S982" s="14" t="n">
        <v>30873</v>
      </c>
      <c r="T982" s="13" t="s">
        <v>108</v>
      </c>
      <c r="U982" s="13" t="s">
        <v>4354</v>
      </c>
      <c r="V982" s="13" t="s">
        <v>42</v>
      </c>
      <c r="W982" s="13" t="s">
        <v>43</v>
      </c>
      <c r="X982" s="21" t="n">
        <v>89601110776</v>
      </c>
      <c r="Y982" s="22" t="str">
        <f aca="false">O982</f>
        <v>Helper Cutting</v>
      </c>
      <c r="Z982" s="13" t="str">
        <f aca="false">IFERROR(__xludf.dummyfunction("if(BJ982="""","""",GOOGLETRANSLATE(BJ982,""auto"",""en""))"),"Helper Cutting")</f>
        <v>Helper Cutting</v>
      </c>
      <c r="AA982" s="23" t="str">
        <f aca="false">IF(C982="","", CHOOSE(MONTH(C982),"January","February","March","April","May","June","July","August","September","October","November","December")&amp;" "&amp;DAY(C982)&amp;MID("thstndrdth",MIN(9,2*RIGHT(DAY(C982))*(MOD(DAY(C982)-11,100)&gt;2)+1),2)&amp;","&amp;TEXT(C982," yyyy"))</f>
        <v>April 17th,2023</v>
      </c>
      <c r="AB982" s="15" t="str">
        <f aca="true">IF(S982="","",DATEDIF(S982,TODAY(),"Y")&amp;" Tahun, "&amp;DATEDIF(S982,TODAY(),"YM")&amp;" Bulan, "&amp;DATEDIF(S982,TODAY(),"MD")&amp;" Hari")</f>
        <v>42 Tahun, 3 Bulan, 19 Hari</v>
      </c>
      <c r="AC982" s="18" t="n">
        <v>45764</v>
      </c>
      <c r="AD982" s="18" t="n">
        <v>45946</v>
      </c>
      <c r="AE982" s="18" t="s">
        <v>44</v>
      </c>
    </row>
    <row r="983" customFormat="false" ht="15.75" hidden="false" customHeight="true" outlineLevel="0" collapsed="false">
      <c r="A983" s="12" t="n">
        <v>10458</v>
      </c>
      <c r="B983" s="13" t="s">
        <v>4355</v>
      </c>
      <c r="C983" s="14" t="n">
        <v>45033</v>
      </c>
      <c r="D983" s="13" t="s">
        <v>4259</v>
      </c>
      <c r="E983" s="15" t="s">
        <v>47</v>
      </c>
      <c r="F983" s="15" t="str">
        <f aca="false">IFERROR(__xludf.dummyfunction("XLOOKUP(AJ983,IMPORTRANGE(""1XaInW9DU9nz21V0tYIfzFQ0He9kVQ_JF2mCXgZ3hqFA"",""REKAP ALL 2026 - Andika!G:G""),IMPORTRANGE(""1XaInW9DU9nz21V0tYIfzFQ0He9kVQ_JF2mCXgZ3hqFA"",""REKAP ALL 2026 - Andika!F:F""),"""",0)"),"23076927039")</f>
        <v>23076927039</v>
      </c>
      <c r="G983" s="13" t="s">
        <v>4356</v>
      </c>
      <c r="H983" s="13" t="s">
        <v>35</v>
      </c>
      <c r="I983" s="13" t="str">
        <f aca="false">IF(C983=J983,"NEW KONTRAK","RE-KONTRAK")</f>
        <v>RE-KONTRAK</v>
      </c>
      <c r="J983" s="16" t="n">
        <f aca="false" t="array" ref="J983:J983">IFERROR(INDEX(AC983:AE983,IF(COUNTA(AC983:AE983)=0,"",MAX((AC983:AE983&lt;&gt;"")*(COLUMN(AC983:AE983)-(COLUMN(AC983)))))-1),"")</f>
        <v>45764</v>
      </c>
      <c r="K983" s="16" t="n">
        <f aca="false" t="array" ref="K983:K983">IFERROR(INDEX(AC983:AE983,IF(COUNTA(AC983:AE983)=0,"",MAX((AC983:AE983&lt;&gt;"")*(COLUMN(AC983:AE983)-(COLUMN(AC983)-1))))-1),"")</f>
        <v>45946</v>
      </c>
      <c r="L983" s="17" t="str">
        <f aca="false" t="array" ref="L983:L983">IFERROR(INDEX(AC983:AE983,IF(COUNTA(AC983:AE983)=0,"",MAX((AC983:AE983&lt;&gt;"")*(COLUMN(AC983:AE983)-(COLUMN(AC983)-2))))-1),"")</f>
        <v>ARCHIVED</v>
      </c>
      <c r="M983" s="13" t="n">
        <f aca="true">K983-TODAY()</f>
        <v>-378</v>
      </c>
      <c r="N983" s="18" t="s">
        <v>36</v>
      </c>
      <c r="O983" s="13" t="s">
        <v>4274</v>
      </c>
      <c r="P983" s="27" t="n">
        <v>200000</v>
      </c>
      <c r="Q983" s="20" t="s">
        <v>4357</v>
      </c>
      <c r="R983" s="13" t="s">
        <v>39</v>
      </c>
      <c r="S983" s="14" t="n">
        <v>31369</v>
      </c>
      <c r="T983" s="13" t="s">
        <v>40</v>
      </c>
      <c r="U983" s="13" t="s">
        <v>4358</v>
      </c>
      <c r="V983" s="13" t="s">
        <v>42</v>
      </c>
      <c r="W983" s="13" t="s">
        <v>54</v>
      </c>
      <c r="X983" s="21" t="n">
        <v>87754023432</v>
      </c>
      <c r="Y983" s="22" t="str">
        <f aca="false">O983</f>
        <v>Operator Extruder</v>
      </c>
      <c r="Z983" s="13" t="str">
        <f aca="false">IFERROR(__xludf.dummyfunction("if(BJ983="""","""",GOOGLETRANSLATE(BJ983,""auto"",""en""))"),"Operator Extruder")</f>
        <v>Operator Extruder</v>
      </c>
      <c r="AA983" s="23" t="str">
        <f aca="false">IF(C983="","", CHOOSE(MONTH(C983),"January","February","March","April","May","June","July","August","September","October","November","December")&amp;" "&amp;DAY(C983)&amp;MID("thstndrdth",MIN(9,2*RIGHT(DAY(C983))*(MOD(DAY(C983)-11,100)&gt;2)+1),2)&amp;","&amp;TEXT(C983," yyyy"))</f>
        <v>April 17th,2023</v>
      </c>
      <c r="AB983" s="15" t="str">
        <f aca="true">IF(S983="","",DATEDIF(S983,TODAY(),"Y")&amp;" Tahun, "&amp;DATEDIF(S983,TODAY(),"YM")&amp;" Bulan, "&amp;DATEDIF(S983,TODAY(),"MD")&amp;" Hari")</f>
        <v>40 Tahun, 11 Bulan, 11 Hari</v>
      </c>
      <c r="AC983" s="18" t="n">
        <v>45764</v>
      </c>
      <c r="AD983" s="18" t="n">
        <v>45946</v>
      </c>
      <c r="AE983" s="18" t="s">
        <v>44</v>
      </c>
    </row>
    <row r="984" customFormat="false" ht="15.75" hidden="false" customHeight="true" outlineLevel="0" collapsed="false">
      <c r="A984" s="12" t="n">
        <v>10460</v>
      </c>
      <c r="B984" s="13" t="s">
        <v>4359</v>
      </c>
      <c r="C984" s="14" t="n">
        <v>45033</v>
      </c>
      <c r="D984" s="13" t="s">
        <v>4259</v>
      </c>
      <c r="E984" s="15" t="s">
        <v>102</v>
      </c>
      <c r="F984" s="15" t="str">
        <f aca="false">IFERROR(__xludf.dummyfunction("XLOOKUP(AJ984,IMPORTRANGE(""1XaInW9DU9nz21V0tYIfzFQ0He9kVQ_JF2mCXgZ3hqFA"",""REKAP ALL 2026 - Andika!G:G""),IMPORTRANGE(""1XaInW9DU9nz21V0tYIfzFQ0He9kVQ_JF2mCXgZ3hqFA"",""REKAP ALL 2026 - Andika!F:F""),"""",0)"),"23076926593")</f>
        <v>23076926593</v>
      </c>
      <c r="G984" s="13" t="s">
        <v>4360</v>
      </c>
      <c r="H984" s="13" t="s">
        <v>35</v>
      </c>
      <c r="I984" s="13" t="str">
        <f aca="false">IF(C984=J984,"NEW KONTRAK","RE-KONTRAK")</f>
        <v>RE-KONTRAK</v>
      </c>
      <c r="J984" s="16" t="n">
        <f aca="false" t="array" ref="J984:J984">IFERROR(INDEX(AC984:AE984,IF(COUNTA(AC984:AE984)=0,"",MAX((AC984:AE984&lt;&gt;"")*(COLUMN(AC984:AE984)-(COLUMN(AC984)))))-1),"")</f>
        <v>45764</v>
      </c>
      <c r="K984" s="16" t="n">
        <f aca="false" t="array" ref="K984:K984">IFERROR(INDEX(AC984:AE984,IF(COUNTA(AC984:AE984)=0,"",MAX((AC984:AE984&lt;&gt;"")*(COLUMN(AC984:AE984)-(COLUMN(AC984)-1))))-1),"")</f>
        <v>45946</v>
      </c>
      <c r="L984" s="17" t="str">
        <f aca="false" t="array" ref="L984:L984">IFERROR(INDEX(AC984:AE984,IF(COUNTA(AC984:AE984)=0,"",MAX((AC984:AE984&lt;&gt;"")*(COLUMN(AC984:AE984)-(COLUMN(AC984)-2))))-1),"")</f>
        <v>ARCHIVED</v>
      </c>
      <c r="M984" s="13" t="n">
        <f aca="true">K984-TODAY()</f>
        <v>-378</v>
      </c>
      <c r="N984" s="18" t="s">
        <v>36</v>
      </c>
      <c r="O984" s="13" t="s">
        <v>4255</v>
      </c>
      <c r="P984" s="27" t="n">
        <v>200000</v>
      </c>
      <c r="Q984" s="20" t="s">
        <v>4361</v>
      </c>
      <c r="R984" s="13" t="s">
        <v>826</v>
      </c>
      <c r="S984" s="14" t="n">
        <v>33943</v>
      </c>
      <c r="T984" s="13" t="s">
        <v>40</v>
      </c>
      <c r="U984" s="13" t="s">
        <v>4362</v>
      </c>
      <c r="V984" s="13" t="s">
        <v>42</v>
      </c>
      <c r="W984" s="13" t="s">
        <v>54</v>
      </c>
      <c r="X984" s="21" t="n">
        <v>82231374110</v>
      </c>
      <c r="Y984" s="22" t="str">
        <f aca="false">O984</f>
        <v>Operator Cutting</v>
      </c>
      <c r="Z984" s="13" t="str">
        <f aca="false">IFERROR(__xludf.dummyfunction("if(BJ984="""","""",GOOGLETRANSLATE(BJ984,""auto"",""en""))"),"Operator Cutting")</f>
        <v>Operator Cutting</v>
      </c>
      <c r="AA984" s="23" t="str">
        <f aca="false">IF(C984="","", CHOOSE(MONTH(C984),"January","February","March","April","May","June","July","August","September","October","November","December")&amp;" "&amp;DAY(C984)&amp;MID("thstndrdth",MIN(9,2*RIGHT(DAY(C984))*(MOD(DAY(C984)-11,100)&gt;2)+1),2)&amp;","&amp;TEXT(C984," yyyy"))</f>
        <v>April 17th,2023</v>
      </c>
      <c r="AB984" s="15" t="str">
        <f aca="true">IF(S984="","",DATEDIF(S984,TODAY(),"Y")&amp;" Tahun, "&amp;DATEDIF(S984,TODAY(),"YM")&amp;" Bulan, "&amp;DATEDIF(S984,TODAY(),"MD")&amp;" Hari")</f>
        <v>33 Tahun, 10 Bulan, 24 Hari</v>
      </c>
      <c r="AC984" s="18" t="n">
        <v>45764</v>
      </c>
      <c r="AD984" s="18" t="n">
        <v>45946</v>
      </c>
      <c r="AE984" s="18" t="s">
        <v>44</v>
      </c>
    </row>
    <row r="985" customFormat="false" ht="15.75" hidden="false" customHeight="true" outlineLevel="0" collapsed="false">
      <c r="A985" s="12" t="n">
        <v>10461</v>
      </c>
      <c r="B985" s="13" t="s">
        <v>4363</v>
      </c>
      <c r="C985" s="14" t="n">
        <v>45033</v>
      </c>
      <c r="D985" s="13" t="s">
        <v>4259</v>
      </c>
      <c r="E985" s="15" t="s">
        <v>47</v>
      </c>
      <c r="F985" s="15" t="str">
        <f aca="false">IFERROR(__xludf.dummyfunction("XLOOKUP(AJ985,IMPORTRANGE(""1XaInW9DU9nz21V0tYIfzFQ0He9kVQ_JF2mCXgZ3hqFA"",""REKAP ALL 2026 - Andika!G:G""),IMPORTRANGE(""1XaInW9DU9nz21V0tYIfzFQ0He9kVQ_JF2mCXgZ3hqFA"",""REKAP ALL 2026 - Andika!F:F""),"""",0)"),"23021045424")</f>
        <v>23021045424</v>
      </c>
      <c r="G985" s="13" t="s">
        <v>4364</v>
      </c>
      <c r="H985" s="13" t="s">
        <v>35</v>
      </c>
      <c r="I985" s="13" t="str">
        <f aca="false">IF(C985=J985,"NEW KONTRAK","RE-KONTRAK")</f>
        <v>RE-KONTRAK</v>
      </c>
      <c r="J985" s="16" t="n">
        <f aca="false" t="array" ref="J985:J985">IFERROR(INDEX(AC985:AE985,IF(COUNTA(AC985:AE985)=0,"",MAX((AC985:AE985&lt;&gt;"")*(COLUMN(AC985:AE985)-(COLUMN(AC985)))))-1),"")</f>
        <v>45764</v>
      </c>
      <c r="K985" s="16" t="n">
        <f aca="false" t="array" ref="K985:K985">IFERROR(INDEX(AC985:AE985,IF(COUNTA(AC985:AE985)=0,"",MAX((AC985:AE985&lt;&gt;"")*(COLUMN(AC985:AE985)-(COLUMN(AC985)-1))))-1),"")</f>
        <v>45946</v>
      </c>
      <c r="L985" s="17" t="str">
        <f aca="false" t="array" ref="L985:L985">IFERROR(INDEX(AC985:AE985,IF(COUNTA(AC985:AE985)=0,"",MAX((AC985:AE985&lt;&gt;"")*(COLUMN(AC985:AE985)-(COLUMN(AC985)-2))))-1),"")</f>
        <v>ARCHIVED</v>
      </c>
      <c r="M985" s="13" t="n">
        <f aca="true">K985-TODAY()</f>
        <v>-378</v>
      </c>
      <c r="N985" s="18" t="s">
        <v>36</v>
      </c>
      <c r="O985" s="13" t="s">
        <v>4288</v>
      </c>
      <c r="P985" s="27" t="n">
        <v>200000</v>
      </c>
      <c r="Q985" s="20" t="s">
        <v>4365</v>
      </c>
      <c r="R985" s="13" t="s">
        <v>826</v>
      </c>
      <c r="S985" s="14" t="n">
        <v>33961</v>
      </c>
      <c r="T985" s="13" t="s">
        <v>40</v>
      </c>
      <c r="U985" s="13" t="s">
        <v>4366</v>
      </c>
      <c r="V985" s="13" t="s">
        <v>42</v>
      </c>
      <c r="W985" s="13" t="s">
        <v>54</v>
      </c>
      <c r="X985" s="21" t="n">
        <v>85708433728</v>
      </c>
      <c r="Y985" s="22" t="str">
        <f aca="false">O985</f>
        <v>Operator Printing</v>
      </c>
      <c r="Z985" s="13" t="str">
        <f aca="false">IFERROR(__xludf.dummyfunction("if(BJ985="""","""",GOOGLETRANSLATE(BJ985,""auto"",""en""))"),"Operator Printing")</f>
        <v>Operator Printing</v>
      </c>
      <c r="AA985" s="23" t="str">
        <f aca="false">IF(C985="","", CHOOSE(MONTH(C985),"January","February","March","April","May","June","July","August","September","October","November","December")&amp;" "&amp;DAY(C985)&amp;MID("thstndrdth",MIN(9,2*RIGHT(DAY(C985))*(MOD(DAY(C985)-11,100)&gt;2)+1),2)&amp;","&amp;TEXT(C985," yyyy"))</f>
        <v>April 17th,2023</v>
      </c>
      <c r="AB985" s="15" t="str">
        <f aca="true">IF(S985="","",DATEDIF(S985,TODAY(),"Y")&amp;" Tahun, "&amp;DATEDIF(S985,TODAY(),"YM")&amp;" Bulan, "&amp;DATEDIF(S985,TODAY(),"MD")&amp;" Hari")</f>
        <v>33 Tahun, 10 Bulan, 6 Hari</v>
      </c>
      <c r="AC985" s="18" t="n">
        <v>45764</v>
      </c>
      <c r="AD985" s="18" t="n">
        <v>45946</v>
      </c>
      <c r="AE985" s="18" t="s">
        <v>44</v>
      </c>
    </row>
    <row r="986" customFormat="false" ht="15.75" hidden="false" customHeight="true" outlineLevel="0" collapsed="false">
      <c r="A986" s="12" t="n">
        <v>10462</v>
      </c>
      <c r="B986" s="13" t="s">
        <v>4367</v>
      </c>
      <c r="C986" s="14" t="n">
        <v>45033</v>
      </c>
      <c r="D986" s="13" t="s">
        <v>4259</v>
      </c>
      <c r="E986" s="15" t="s">
        <v>47</v>
      </c>
      <c r="F986" s="15" t="str">
        <f aca="false">IFERROR(__xludf.dummyfunction("XLOOKUP(AJ986,IMPORTRANGE(""1XaInW9DU9nz21V0tYIfzFQ0He9kVQ_JF2mCXgZ3hqFA"",""REKAP ALL 2026 - Andika!G:G""),IMPORTRANGE(""1XaInW9DU9nz21V0tYIfzFQ0He9kVQ_JF2mCXgZ3hqFA"",""REKAP ALL 2026 - Andika!F:F""),"""",0)"),"23076926981")</f>
        <v>23076926981</v>
      </c>
      <c r="G986" s="13" t="s">
        <v>4368</v>
      </c>
      <c r="H986" s="13" t="s">
        <v>35</v>
      </c>
      <c r="I986" s="13" t="str">
        <f aca="false">IF(C986=J986,"NEW KONTRAK","RE-KONTRAK")</f>
        <v>RE-KONTRAK</v>
      </c>
      <c r="J986" s="16" t="n">
        <f aca="false" t="array" ref="J986:J986">IFERROR(INDEX(AC986:AE986,IF(COUNTA(AC986:AE986)=0,"",MAX((AC986:AE986&lt;&gt;"")*(COLUMN(AC986:AE986)-(COLUMN(AC986)))))-1),"")</f>
        <v>45764</v>
      </c>
      <c r="K986" s="16" t="n">
        <f aca="false" t="array" ref="K986:K986">IFERROR(INDEX(AC986:AE986,IF(COUNTA(AC986:AE986)=0,"",MAX((AC986:AE986&lt;&gt;"")*(COLUMN(AC986:AE986)-(COLUMN(AC986)-1))))-1),"")</f>
        <v>45946</v>
      </c>
      <c r="L986" s="17" t="str">
        <f aca="false" t="array" ref="L986:L986">IFERROR(INDEX(AC986:AE986,IF(COUNTA(AC986:AE986)=0,"",MAX((AC986:AE986&lt;&gt;"")*(COLUMN(AC986:AE986)-(COLUMN(AC986)-2))))-1),"")</f>
        <v>ARCHIVED</v>
      </c>
      <c r="M986" s="13" t="n">
        <f aca="true">K986-TODAY()</f>
        <v>-378</v>
      </c>
      <c r="N986" s="18" t="s">
        <v>36</v>
      </c>
      <c r="O986" s="13" t="s">
        <v>4274</v>
      </c>
      <c r="P986" s="27" t="n">
        <v>200000</v>
      </c>
      <c r="Q986" s="20" t="s">
        <v>4369</v>
      </c>
      <c r="R986" s="13" t="s">
        <v>65</v>
      </c>
      <c r="S986" s="14" t="n">
        <v>30637</v>
      </c>
      <c r="T986" s="13" t="s">
        <v>40</v>
      </c>
      <c r="U986" s="13" t="s">
        <v>4370</v>
      </c>
      <c r="V986" s="13" t="s">
        <v>42</v>
      </c>
      <c r="W986" s="13" t="s">
        <v>54</v>
      </c>
      <c r="X986" s="21" t="n">
        <v>895806492017</v>
      </c>
      <c r="Y986" s="22" t="str">
        <f aca="false">O986</f>
        <v>Operator Extruder</v>
      </c>
      <c r="Z986" s="13" t="str">
        <f aca="false">IFERROR(__xludf.dummyfunction("if(BJ986="""","""",GOOGLETRANSLATE(BJ986,""auto"",""en""))"),"Operator Extruder")</f>
        <v>Operator Extruder</v>
      </c>
      <c r="AA986" s="23" t="str">
        <f aca="false">IF(C986="","", CHOOSE(MONTH(C986),"January","February","March","April","May","June","July","August","September","October","November","December")&amp;" "&amp;DAY(C986)&amp;MID("thstndrdth",MIN(9,2*RIGHT(DAY(C986))*(MOD(DAY(C986)-11,100)&gt;2)+1),2)&amp;","&amp;TEXT(C986," yyyy"))</f>
        <v>April 17th,2023</v>
      </c>
      <c r="AB986" s="15" t="str">
        <f aca="true">IF(S986="","",DATEDIF(S986,TODAY(),"Y")&amp;" Tahun, "&amp;DATEDIF(S986,TODAY(),"YM")&amp;" Bulan, "&amp;DATEDIF(S986,TODAY(),"MD")&amp;" Hari")</f>
        <v>42 Tahun, 11 Bulan, 12 Hari</v>
      </c>
      <c r="AC986" s="18" t="n">
        <v>45764</v>
      </c>
      <c r="AD986" s="18" t="n">
        <v>45946</v>
      </c>
      <c r="AE986" s="18" t="s">
        <v>44</v>
      </c>
    </row>
    <row r="987" customFormat="false" ht="15.75" hidden="false" customHeight="true" outlineLevel="0" collapsed="false">
      <c r="A987" s="12" t="n">
        <v>10463</v>
      </c>
      <c r="B987" s="13" t="s">
        <v>4371</v>
      </c>
      <c r="C987" s="14" t="n">
        <v>45033</v>
      </c>
      <c r="D987" s="13" t="s">
        <v>4259</v>
      </c>
      <c r="E987" s="15" t="s">
        <v>47</v>
      </c>
      <c r="F987" s="15" t="str">
        <f aca="false">IFERROR(__xludf.dummyfunction("XLOOKUP(AJ987,IMPORTRANGE(""1XaInW9DU9nz21V0tYIfzFQ0He9kVQ_JF2mCXgZ3hqFA"",""REKAP ALL 2026 - Andika!G:G""),IMPORTRANGE(""1XaInW9DU9nz21V0tYIfzFQ0He9kVQ_JF2mCXgZ3hqFA"",""REKAP ALL 2026 - Andika!F:F""),"""",0)"),"23076927005")</f>
        <v>23076927005</v>
      </c>
      <c r="G987" s="13" t="s">
        <v>4372</v>
      </c>
      <c r="H987" s="13" t="s">
        <v>35</v>
      </c>
      <c r="I987" s="13" t="str">
        <f aca="false">IF(C987=J987,"NEW KONTRAK","RE-KONTRAK")</f>
        <v>RE-KONTRAK</v>
      </c>
      <c r="J987" s="16" t="n">
        <f aca="false" t="array" ref="J987:J987">IFERROR(INDEX(AC987:AE987,IF(COUNTA(AC987:AE987)=0,"",MAX((AC987:AE987&lt;&gt;"")*(COLUMN(AC987:AE987)-(COLUMN(AC987)))))-1),"")</f>
        <v>45764</v>
      </c>
      <c r="K987" s="16" t="n">
        <f aca="false" t="array" ref="K987:K987">IFERROR(INDEX(AC987:AE987,IF(COUNTA(AC987:AE987)=0,"",MAX((AC987:AE987&lt;&gt;"")*(COLUMN(AC987:AE987)-(COLUMN(AC987)-1))))-1),"")</f>
        <v>45946</v>
      </c>
      <c r="L987" s="17" t="str">
        <f aca="false" t="array" ref="L987:L987">IFERROR(INDEX(AC987:AE987,IF(COUNTA(AC987:AE987)=0,"",MAX((AC987:AE987&lt;&gt;"")*(COLUMN(AC987:AE987)-(COLUMN(AC987)-2))))-1),"")</f>
        <v>ARCHIVED</v>
      </c>
      <c r="M987" s="13" t="n">
        <f aca="true">K987-TODAY()</f>
        <v>-378</v>
      </c>
      <c r="N987" s="18" t="s">
        <v>36</v>
      </c>
      <c r="O987" s="13" t="s">
        <v>4288</v>
      </c>
      <c r="P987" s="27" t="n">
        <v>200000</v>
      </c>
      <c r="Q987" s="20" t="s">
        <v>4373</v>
      </c>
      <c r="R987" s="13" t="s">
        <v>52</v>
      </c>
      <c r="S987" s="14" t="n">
        <v>31744</v>
      </c>
      <c r="T987" s="13" t="s">
        <v>40</v>
      </c>
      <c r="U987" s="13" t="s">
        <v>4374</v>
      </c>
      <c r="V987" s="13" t="s">
        <v>42</v>
      </c>
      <c r="W987" s="13" t="s">
        <v>54</v>
      </c>
      <c r="X987" s="21" t="n">
        <v>85735587911</v>
      </c>
      <c r="Y987" s="22" t="str">
        <f aca="false">O987</f>
        <v>Operator Printing</v>
      </c>
      <c r="Z987" s="13" t="str">
        <f aca="false">IFERROR(__xludf.dummyfunction("if(BJ987="""","""",GOOGLETRANSLATE(BJ987,""auto"",""en""))"),"Operator Printing")</f>
        <v>Operator Printing</v>
      </c>
      <c r="AA987" s="23" t="str">
        <f aca="false">IF(C987="","", CHOOSE(MONTH(C987),"January","February","March","April","May","June","July","August","September","October","November","December")&amp;" "&amp;DAY(C987)&amp;MID("thstndrdth",MIN(9,2*RIGHT(DAY(C987))*(MOD(DAY(C987)-11,100)&gt;2)+1),2)&amp;","&amp;TEXT(C987," yyyy"))</f>
        <v>April 17th,2023</v>
      </c>
      <c r="AB987" s="15" t="str">
        <f aca="true">IF(S987="","",DATEDIF(S987,TODAY(),"Y")&amp;" Tahun, "&amp;DATEDIF(S987,TODAY(),"YM")&amp;" Bulan, "&amp;DATEDIF(S987,TODAY(),"MD")&amp;" Hari")</f>
        <v>39 Tahun, 11 Bulan, 1 Hari</v>
      </c>
      <c r="AC987" s="18" t="n">
        <v>45764</v>
      </c>
      <c r="AD987" s="18" t="n">
        <v>45946</v>
      </c>
      <c r="AE987" s="18" t="s">
        <v>44</v>
      </c>
    </row>
    <row r="988" customFormat="false" ht="15.75" hidden="false" customHeight="true" outlineLevel="0" collapsed="false">
      <c r="A988" s="12" t="n">
        <v>10467</v>
      </c>
      <c r="B988" s="13" t="s">
        <v>4375</v>
      </c>
      <c r="C988" s="14" t="n">
        <v>45033</v>
      </c>
      <c r="D988" s="13" t="s">
        <v>4259</v>
      </c>
      <c r="E988" s="15" t="s">
        <v>47</v>
      </c>
      <c r="F988" s="15" t="str">
        <f aca="false">IFERROR(__xludf.dummyfunction("XLOOKUP(AJ988,IMPORTRANGE(""1XaInW9DU9nz21V0tYIfzFQ0He9kVQ_JF2mCXgZ3hqFA"",""REKAP ALL 2026 - Andika!G:G""),IMPORTRANGE(""1XaInW9DU9nz21V0tYIfzFQ0He9kVQ_JF2mCXgZ3hqFA"",""REKAP ALL 2026 - Andika!F:F""),"""",0)"),"23076927062")</f>
        <v>23076927062</v>
      </c>
      <c r="G988" s="13" t="s">
        <v>4376</v>
      </c>
      <c r="H988" s="13" t="s">
        <v>35</v>
      </c>
      <c r="I988" s="13" t="str">
        <f aca="false">IF(C988=J988,"NEW KONTRAK","RE-KONTRAK")</f>
        <v>RE-KONTRAK</v>
      </c>
      <c r="J988" s="16" t="n">
        <f aca="false" t="array" ref="J988:J988">IFERROR(INDEX(AC988:AE988,IF(COUNTA(AC988:AE988)=0,"",MAX((AC988:AE988&lt;&gt;"")*(COLUMN(AC988:AE988)-(COLUMN(AC988)))))-1),"")</f>
        <v>45764</v>
      </c>
      <c r="K988" s="16" t="n">
        <f aca="false" t="array" ref="K988:K988">IFERROR(INDEX(AC988:AE988,IF(COUNTA(AC988:AE988)=0,"",MAX((AC988:AE988&lt;&gt;"")*(COLUMN(AC988:AE988)-(COLUMN(AC988)-1))))-1),"")</f>
        <v>45946</v>
      </c>
      <c r="L988" s="17" t="str">
        <f aca="false" t="array" ref="L988:L988">IFERROR(INDEX(AC988:AE988,IF(COUNTA(AC988:AE988)=0,"",MAX((AC988:AE988&lt;&gt;"")*(COLUMN(AC988:AE988)-(COLUMN(AC988)-2))))-1),"")</f>
        <v>ARCHIVED</v>
      </c>
      <c r="M988" s="13" t="n">
        <f aca="true">K988-TODAY()</f>
        <v>-378</v>
      </c>
      <c r="N988" s="18" t="s">
        <v>36</v>
      </c>
      <c r="O988" s="13" t="s">
        <v>4255</v>
      </c>
      <c r="P988" s="27" t="n">
        <v>200000</v>
      </c>
      <c r="Q988" s="20" t="s">
        <v>4377</v>
      </c>
      <c r="R988" s="13" t="s">
        <v>73</v>
      </c>
      <c r="S988" s="14" t="n">
        <v>33437</v>
      </c>
      <c r="T988" s="13" t="s">
        <v>40</v>
      </c>
      <c r="U988" s="13" t="s">
        <v>4378</v>
      </c>
      <c r="V988" s="13" t="s">
        <v>42</v>
      </c>
      <c r="W988" s="13" t="s">
        <v>43</v>
      </c>
      <c r="X988" s="21" t="n">
        <v>8815027044</v>
      </c>
      <c r="Y988" s="22" t="str">
        <f aca="false">O988</f>
        <v>Operator Cutting</v>
      </c>
      <c r="Z988" s="13" t="str">
        <f aca="false">IFERROR(__xludf.dummyfunction("if(BJ988="""","""",GOOGLETRANSLATE(BJ988,""auto"",""en""))"),"Operator Cutting")</f>
        <v>Operator Cutting</v>
      </c>
      <c r="AA988" s="23" t="str">
        <f aca="false">IF(C988="","", CHOOSE(MONTH(C988),"January","February","March","April","May","June","July","August","September","October","November","December")&amp;" "&amp;DAY(C988)&amp;MID("thstndrdth",MIN(9,2*RIGHT(DAY(C988))*(MOD(DAY(C988)-11,100)&gt;2)+1),2)&amp;","&amp;TEXT(C988," yyyy"))</f>
        <v>April 17th,2023</v>
      </c>
      <c r="AB988" s="15" t="str">
        <f aca="true">IF(S988="","",DATEDIF(S988,TODAY(),"Y")&amp;" Tahun, "&amp;DATEDIF(S988,TODAY(),"YM")&amp;" Bulan, "&amp;DATEDIF(S988,TODAY(),"MD")&amp;" Hari")</f>
        <v>35 Tahun, 3 Bulan, 11 Hari</v>
      </c>
      <c r="AC988" s="18" t="n">
        <v>45764</v>
      </c>
      <c r="AD988" s="18" t="n">
        <v>45946</v>
      </c>
      <c r="AE988" s="18" t="s">
        <v>44</v>
      </c>
    </row>
    <row r="989" customFormat="false" ht="15.75" hidden="false" customHeight="true" outlineLevel="0" collapsed="false">
      <c r="A989" s="12" t="n">
        <v>10468</v>
      </c>
      <c r="B989" s="13" t="s">
        <v>4379</v>
      </c>
      <c r="C989" s="14" t="n">
        <v>45033</v>
      </c>
      <c r="D989" s="13" t="s">
        <v>4259</v>
      </c>
      <c r="E989" s="15" t="s">
        <v>47</v>
      </c>
      <c r="F989" s="15" t="str">
        <f aca="false">IFERROR(__xludf.dummyfunction("XLOOKUP(AJ989,IMPORTRANGE(""1XaInW9DU9nz21V0tYIfzFQ0He9kVQ_JF2mCXgZ3hqFA"",""REKAP ALL 2026 - Andika!G:G""),IMPORTRANGE(""1XaInW9DU9nz21V0tYIfzFQ0He9kVQ_JF2mCXgZ3hqFA"",""REKAP ALL 2026 - Andika!F:F""),"""",0)"),"23076926973")</f>
        <v>23076926973</v>
      </c>
      <c r="G989" s="13" t="s">
        <v>4380</v>
      </c>
      <c r="H989" s="13" t="s">
        <v>35</v>
      </c>
      <c r="I989" s="13" t="str">
        <f aca="false">IF(C989=J989,"NEW KONTRAK","RE-KONTRAK")</f>
        <v>RE-KONTRAK</v>
      </c>
      <c r="J989" s="16" t="n">
        <f aca="false" t="array" ref="J989:J989">IFERROR(INDEX(AC989:AE989,IF(COUNTA(AC989:AE989)=0,"",MAX((AC989:AE989&lt;&gt;"")*(COLUMN(AC989:AE989)-(COLUMN(AC989)))))-1),"")</f>
        <v>45764</v>
      </c>
      <c r="K989" s="16" t="n">
        <f aca="false" t="array" ref="K989:K989">IFERROR(INDEX(AC989:AE989,IF(COUNTA(AC989:AE989)=0,"",MAX((AC989:AE989&lt;&gt;"")*(COLUMN(AC989:AE989)-(COLUMN(AC989)-1))))-1),"")</f>
        <v>45946</v>
      </c>
      <c r="L989" s="17" t="str">
        <f aca="false" t="array" ref="L989:L989">IFERROR(INDEX(AC989:AE989,IF(COUNTA(AC989:AE989)=0,"",MAX((AC989:AE989&lt;&gt;"")*(COLUMN(AC989:AE989)-(COLUMN(AC989)-2))))-1),"")</f>
        <v>ARCHIVED</v>
      </c>
      <c r="M989" s="13" t="n">
        <f aca="true">K989-TODAY()</f>
        <v>-378</v>
      </c>
      <c r="N989" s="18" t="s">
        <v>36</v>
      </c>
      <c r="O989" s="13" t="s">
        <v>4255</v>
      </c>
      <c r="P989" s="27" t="n">
        <v>200000</v>
      </c>
      <c r="Q989" s="20" t="s">
        <v>4381</v>
      </c>
      <c r="R989" s="13" t="s">
        <v>52</v>
      </c>
      <c r="S989" s="14" t="n">
        <v>31807</v>
      </c>
      <c r="T989" s="13" t="s">
        <v>40</v>
      </c>
      <c r="U989" s="13" t="s">
        <v>4382</v>
      </c>
      <c r="V989" s="13" t="s">
        <v>42</v>
      </c>
      <c r="W989" s="13" t="s">
        <v>54</v>
      </c>
      <c r="X989" s="21" t="n">
        <v>81217835523</v>
      </c>
      <c r="Y989" s="22" t="str">
        <f aca="false">O989</f>
        <v>Operator Cutting</v>
      </c>
      <c r="Z989" s="13" t="str">
        <f aca="false">IFERROR(__xludf.dummyfunction("if(BJ989="""","""",GOOGLETRANSLATE(BJ989,""auto"",""en""))"),"Operator Cutting")</f>
        <v>Operator Cutting</v>
      </c>
      <c r="AA989" s="23" t="str">
        <f aca="false">IF(C989="","", CHOOSE(MONTH(C989),"January","February","March","April","May","June","July","August","September","October","November","December")&amp;" "&amp;DAY(C989)&amp;MID("thstndrdth",MIN(9,2*RIGHT(DAY(C989))*(MOD(DAY(C989)-11,100)&gt;2)+1),2)&amp;","&amp;TEXT(C989," yyyy"))</f>
        <v>April 17th,2023</v>
      </c>
      <c r="AB989" s="15" t="str">
        <f aca="true">IF(S989="","",DATEDIF(S989,TODAY(),"Y")&amp;" Tahun, "&amp;DATEDIF(S989,TODAY(),"YM")&amp;" Bulan, "&amp;DATEDIF(S989,TODAY(),"MD")&amp;" Hari")</f>
        <v>39 Tahun, 8 Bulan, 29 Hari</v>
      </c>
      <c r="AC989" s="18" t="n">
        <v>45764</v>
      </c>
      <c r="AD989" s="18" t="n">
        <v>45946</v>
      </c>
      <c r="AE989" s="18" t="s">
        <v>44</v>
      </c>
    </row>
    <row r="990" customFormat="false" ht="15.75" hidden="false" customHeight="true" outlineLevel="0" collapsed="false">
      <c r="A990" s="12" t="n">
        <v>10473</v>
      </c>
      <c r="B990" s="13" t="s">
        <v>4383</v>
      </c>
      <c r="C990" s="14" t="n">
        <v>45033</v>
      </c>
      <c r="D990" s="13" t="s">
        <v>4252</v>
      </c>
      <c r="E990" s="15" t="s">
        <v>33</v>
      </c>
      <c r="F990" s="24" t="s">
        <v>4384</v>
      </c>
      <c r="G990" s="13" t="s">
        <v>4385</v>
      </c>
      <c r="H990" s="13" t="s">
        <v>35</v>
      </c>
      <c r="I990" s="13" t="str">
        <f aca="false">IF(C990=J990,"NEW KONTRAK","RE-KONTRAK")</f>
        <v>RE-KONTRAK</v>
      </c>
      <c r="J990" s="16" t="n">
        <f aca="false" t="array" ref="J990:J990">IFERROR(INDEX(AC990:AE990,IF(COUNTA(AC990:AE990)=0,"",MAX((AC990:AE990&lt;&gt;"")*(COLUMN(AC990:AE990)-(COLUMN(AC990)))))-1),"")</f>
        <v>45764</v>
      </c>
      <c r="K990" s="16" t="n">
        <f aca="false" t="array" ref="K990:K990">IFERROR(INDEX(AC990:AE990,IF(COUNTA(AC990:AE990)=0,"",MAX((AC990:AE990&lt;&gt;"")*(COLUMN(AC990:AE990)-(COLUMN(AC990)-1))))-1),"")</f>
        <v>45854</v>
      </c>
      <c r="L990" s="17" t="str">
        <f aca="false" t="array" ref="L990:L990">IFERROR(INDEX(AC990:AE990,IF(COUNTA(AC990:AE990)=0,"",MAX((AC990:AE990&lt;&gt;"")*(COLUMN(AC990:AE990)-(COLUMN(AC990)-2))))-1),"")</f>
        <v>ARCHIVED</v>
      </c>
      <c r="M990" s="13" t="n">
        <f aca="true">K990-TODAY()</f>
        <v>-470</v>
      </c>
      <c r="N990" s="18" t="s">
        <v>36</v>
      </c>
      <c r="O990" s="13" t="s">
        <v>4274</v>
      </c>
      <c r="P990" s="27" t="n">
        <v>200000</v>
      </c>
      <c r="Q990" s="20" t="s">
        <v>4386</v>
      </c>
      <c r="R990" s="13" t="s">
        <v>39</v>
      </c>
      <c r="S990" s="14" t="n">
        <v>36066</v>
      </c>
      <c r="T990" s="13" t="s">
        <v>40</v>
      </c>
      <c r="U990" s="13" t="s">
        <v>4387</v>
      </c>
      <c r="V990" s="13" t="s">
        <v>42</v>
      </c>
      <c r="W990" s="13" t="s">
        <v>43</v>
      </c>
      <c r="X990" s="21" t="n">
        <v>89691629900</v>
      </c>
      <c r="Y990" s="22" t="str">
        <f aca="false">O990</f>
        <v>Operator Extruder</v>
      </c>
      <c r="Z990" s="13" t="str">
        <f aca="false">IFERROR(__xludf.dummyfunction("if(BJ990="""","""",GOOGLETRANSLATE(BJ990,""auto"",""en""))"),"Operator Extruder")</f>
        <v>Operator Extruder</v>
      </c>
      <c r="AA990" s="23" t="str">
        <f aca="false">IF(C990="","", CHOOSE(MONTH(C990),"January","February","March","April","May","June","July","August","September","October","November","December")&amp;" "&amp;DAY(C990)&amp;MID("thstndrdth",MIN(9,2*RIGHT(DAY(C990))*(MOD(DAY(C990)-11,100)&gt;2)+1),2)&amp;","&amp;TEXT(C990," yyyy"))</f>
        <v>April 17th,2023</v>
      </c>
      <c r="AB990" s="15" t="str">
        <f aca="true">IF(S990="","",DATEDIF(S990,TODAY(),"Y")&amp;" Tahun, "&amp;DATEDIF(S990,TODAY(),"YM")&amp;" Bulan, "&amp;DATEDIF(S990,TODAY(),"MD")&amp;" Hari")</f>
        <v>28 Tahun, 1 Bulan, 1 Hari</v>
      </c>
      <c r="AC990" s="18" t="n">
        <v>45764</v>
      </c>
      <c r="AD990" s="18" t="n">
        <v>45854</v>
      </c>
      <c r="AE990" s="18" t="s">
        <v>44</v>
      </c>
    </row>
    <row r="991" customFormat="false" ht="15.75" hidden="false" customHeight="true" outlineLevel="0" collapsed="false">
      <c r="A991" s="12" t="n">
        <v>10476</v>
      </c>
      <c r="B991" s="13" t="s">
        <v>4388</v>
      </c>
      <c r="C991" s="14" t="n">
        <v>45033</v>
      </c>
      <c r="D991" s="13" t="s">
        <v>4264</v>
      </c>
      <c r="E991" s="15" t="s">
        <v>47</v>
      </c>
      <c r="F991" s="15" t="str">
        <f aca="false">IFERROR(__xludf.dummyfunction("XLOOKUP(AJ991,IMPORTRANGE(""1XaInW9DU9nz21V0tYIfzFQ0He9kVQ_JF2mCXgZ3hqFA"",""REKAP ALL 2026 - Andika!G:G""),IMPORTRANGE(""1XaInW9DU9nz21V0tYIfzFQ0He9kVQ_JF2mCXgZ3hqFA"",""REKAP ALL 2026 - Andika!F:F""),"""",0)"),"23057167076")</f>
        <v>23057167076</v>
      </c>
      <c r="G991" s="13" t="s">
        <v>4389</v>
      </c>
      <c r="H991" s="13" t="s">
        <v>35</v>
      </c>
      <c r="I991" s="13" t="str">
        <f aca="false">IF(C991=J991,"NEW KONTRAK","RE-KONTRAK")</f>
        <v>RE-KONTRAK</v>
      </c>
      <c r="J991" s="16" t="n">
        <f aca="false" t="array" ref="J991:J991">IFERROR(INDEX(AC991:AE991,IF(COUNTA(AC991:AE991)=0,"",MAX((AC991:AE991&lt;&gt;"")*(COLUMN(AC991:AE991)-(COLUMN(AC991)))))-1),"")</f>
        <v>45764</v>
      </c>
      <c r="K991" s="16" t="n">
        <f aca="false" t="array" ref="K991:K991">IFERROR(INDEX(AC991:AE991,IF(COUNTA(AC991:AE991)=0,"",MAX((AC991:AE991&lt;&gt;"")*(COLUMN(AC991:AE991)-(COLUMN(AC991)-1))))-1),"")</f>
        <v>45916</v>
      </c>
      <c r="L991" s="17" t="str">
        <f aca="false" t="array" ref="L991:L991">IFERROR(INDEX(AC991:AE991,IF(COUNTA(AC991:AE991)=0,"",MAX((AC991:AE991&lt;&gt;"")*(COLUMN(AC991:AE991)-(COLUMN(AC991)-2))))-1),"")</f>
        <v>ARCHIVED</v>
      </c>
      <c r="M991" s="13" t="n">
        <f aca="true">K991-TODAY()</f>
        <v>-408</v>
      </c>
      <c r="N991" s="18" t="s">
        <v>36</v>
      </c>
      <c r="O991" s="13" t="s">
        <v>4255</v>
      </c>
      <c r="P991" s="27" t="n">
        <v>200000</v>
      </c>
      <c r="Q991" s="20" t="s">
        <v>4390</v>
      </c>
      <c r="R991" s="13" t="s">
        <v>52</v>
      </c>
      <c r="S991" s="14" t="n">
        <v>37685</v>
      </c>
      <c r="T991" s="13" t="s">
        <v>40</v>
      </c>
      <c r="U991" s="13" t="s">
        <v>4391</v>
      </c>
      <c r="V991" s="13" t="s">
        <v>42</v>
      </c>
      <c r="W991" s="13" t="s">
        <v>43</v>
      </c>
      <c r="X991" s="21" t="n">
        <v>81232784302</v>
      </c>
      <c r="Y991" s="22" t="str">
        <f aca="false">O991</f>
        <v>Operator Cutting</v>
      </c>
      <c r="Z991" s="13" t="str">
        <f aca="false">IFERROR(__xludf.dummyfunction("if(BJ991="""","""",GOOGLETRANSLATE(BJ991,""auto"",""en""))"),"Operator Cutting")</f>
        <v>Operator Cutting</v>
      </c>
      <c r="AA991" s="23" t="str">
        <f aca="false">IF(C991="","", CHOOSE(MONTH(C991),"January","February","March","April","May","June","July","August","September","October","November","December")&amp;" "&amp;DAY(C991)&amp;MID("thstndrdth",MIN(9,2*RIGHT(DAY(C991))*(MOD(DAY(C991)-11,100)&gt;2)+1),2)&amp;","&amp;TEXT(C991," yyyy"))</f>
        <v>April 17th,2023</v>
      </c>
      <c r="AB991" s="15" t="str">
        <f aca="true">IF(S991="","",DATEDIF(S991,TODAY(),"Y")&amp;" Tahun, "&amp;DATEDIF(S991,TODAY(),"YM")&amp;" Bulan, "&amp;DATEDIF(S991,TODAY(),"MD")&amp;" Hari")</f>
        <v>23 Tahun, 7 Bulan, 24 Hari</v>
      </c>
      <c r="AC991" s="18" t="n">
        <v>45764</v>
      </c>
      <c r="AD991" s="18" t="n">
        <v>45916</v>
      </c>
      <c r="AE991" s="18" t="s">
        <v>44</v>
      </c>
    </row>
    <row r="992" customFormat="false" ht="15.75" hidden="false" customHeight="true" outlineLevel="0" collapsed="false">
      <c r="A992" s="12" t="n">
        <v>10483</v>
      </c>
      <c r="B992" s="13" t="s">
        <v>4392</v>
      </c>
      <c r="C992" s="14" t="n">
        <v>45033</v>
      </c>
      <c r="D992" s="13" t="s">
        <v>4264</v>
      </c>
      <c r="E992" s="15" t="s">
        <v>102</v>
      </c>
      <c r="F992" s="15" t="str">
        <f aca="false">IFERROR(__xludf.dummyfunction("XLOOKUP(AJ992,IMPORTRANGE(""1XaInW9DU9nz21V0tYIfzFQ0He9kVQ_JF2mCXgZ3hqFA"",""REKAP ALL 2026 - Andika!G:G""),IMPORTRANGE(""1XaInW9DU9nz21V0tYIfzFQ0He9kVQ_JF2mCXgZ3hqFA"",""REKAP ALL 2026 - Andika!F:F""),"""",0)"),"23057167191")</f>
        <v>23057167191</v>
      </c>
      <c r="G992" s="13" t="s">
        <v>4393</v>
      </c>
      <c r="H992" s="13" t="s">
        <v>35</v>
      </c>
      <c r="I992" s="13" t="str">
        <f aca="false">IF(C992=J992,"NEW KONTRAK","RE-KONTRAK")</f>
        <v>RE-KONTRAK</v>
      </c>
      <c r="J992" s="16" t="n">
        <f aca="false" t="array" ref="J992:J992">IFERROR(INDEX(AC992:AE992,IF(COUNTA(AC992:AE992)=0,"",MAX((AC992:AE992&lt;&gt;"")*(COLUMN(AC992:AE992)-(COLUMN(AC992)))))-1),"")</f>
        <v>45764</v>
      </c>
      <c r="K992" s="16" t="n">
        <f aca="false" t="array" ref="K992:K992">IFERROR(INDEX(AC992:AE992,IF(COUNTA(AC992:AE992)=0,"",MAX((AC992:AE992&lt;&gt;"")*(COLUMN(AC992:AE992)-(COLUMN(AC992)-1))))-1),"")</f>
        <v>45946</v>
      </c>
      <c r="L992" s="17" t="str">
        <f aca="false" t="array" ref="L992:L992">IFERROR(INDEX(AC992:AE992,IF(COUNTA(AC992:AE992)=0,"",MAX((AC992:AE992&lt;&gt;"")*(COLUMN(AC992:AE992)-(COLUMN(AC992)-2))))-1),"")</f>
        <v>ARCHIVED</v>
      </c>
      <c r="M992" s="13" t="n">
        <f aca="true">K992-TODAY()</f>
        <v>-378</v>
      </c>
      <c r="N992" s="18" t="s">
        <v>36</v>
      </c>
      <c r="O992" s="13" t="s">
        <v>4280</v>
      </c>
      <c r="P992" s="27" t="n">
        <v>120000</v>
      </c>
      <c r="Q992" s="20" t="s">
        <v>4394</v>
      </c>
      <c r="R992" s="13" t="s">
        <v>39</v>
      </c>
      <c r="S992" s="14" t="n">
        <v>34078</v>
      </c>
      <c r="T992" s="13" t="s">
        <v>108</v>
      </c>
      <c r="U992" s="13" t="s">
        <v>4298</v>
      </c>
      <c r="V992" s="13" t="s">
        <v>42</v>
      </c>
      <c r="W992" s="13" t="s">
        <v>54</v>
      </c>
      <c r="X992" s="21" t="n">
        <v>85730154393</v>
      </c>
      <c r="Y992" s="22" t="str">
        <f aca="false">O992</f>
        <v>Helper Cutting</v>
      </c>
      <c r="Z992" s="13" t="str">
        <f aca="false">IFERROR(__xludf.dummyfunction("if(BJ992="""","""",GOOGLETRANSLATE(BJ992,""auto"",""en""))"),"Helper Cutting")</f>
        <v>Helper Cutting</v>
      </c>
      <c r="AA992" s="23" t="str">
        <f aca="false">IF(C992="","", CHOOSE(MONTH(C992),"January","February","March","April","May","June","July","August","September","October","November","December")&amp;" "&amp;DAY(C992)&amp;MID("thstndrdth",MIN(9,2*RIGHT(DAY(C992))*(MOD(DAY(C992)-11,100)&gt;2)+1),2)&amp;","&amp;TEXT(C992," yyyy"))</f>
        <v>April 17th,2023</v>
      </c>
      <c r="AB992" s="15" t="str">
        <f aca="true">IF(S992="","",DATEDIF(S992,TODAY(),"Y")&amp;" Tahun, "&amp;DATEDIF(S992,TODAY(),"YM")&amp;" Bulan, "&amp;DATEDIF(S992,TODAY(),"MD")&amp;" Hari")</f>
        <v>33 Tahun, 6 Bulan, 10 Hari</v>
      </c>
      <c r="AC992" s="18" t="n">
        <v>45764</v>
      </c>
      <c r="AD992" s="18" t="n">
        <v>45946</v>
      </c>
      <c r="AE992" s="18" t="s">
        <v>44</v>
      </c>
    </row>
    <row r="993" customFormat="false" ht="15.75" hidden="false" customHeight="true" outlineLevel="0" collapsed="false">
      <c r="A993" s="12" t="n">
        <v>10486</v>
      </c>
      <c r="B993" s="13" t="s">
        <v>4395</v>
      </c>
      <c r="C993" s="14" t="n">
        <v>45033</v>
      </c>
      <c r="D993" s="13" t="s">
        <v>4259</v>
      </c>
      <c r="E993" s="15" t="s">
        <v>47</v>
      </c>
      <c r="F993" s="15" t="str">
        <f aca="false">IFERROR(__xludf.dummyfunction("XLOOKUP(AJ993,IMPORTRANGE(""1XaInW9DU9nz21V0tYIfzFQ0He9kVQ_JF2mCXgZ3hqFA"",""REKAP ALL 2026 - Andika!G:G""),IMPORTRANGE(""1XaInW9DU9nz21V0tYIfzFQ0He9kVQ_JF2mCXgZ3hqFA"",""REKAP ALL 2026 - Andika!F:F""),"""",0)"),"23076926908")</f>
        <v>23076926908</v>
      </c>
      <c r="G993" s="13" t="s">
        <v>4396</v>
      </c>
      <c r="H993" s="13" t="s">
        <v>35</v>
      </c>
      <c r="I993" s="13" t="str">
        <f aca="false">IF(C993=J993,"NEW KONTRAK","RE-KONTRAK")</f>
        <v>RE-KONTRAK</v>
      </c>
      <c r="J993" s="16" t="n">
        <f aca="false" t="array" ref="J993:J993">IFERROR(INDEX(AC993:AE993,IF(COUNTA(AC993:AE993)=0,"",MAX((AC993:AE993&lt;&gt;"")*(COLUMN(AC993:AE993)-(COLUMN(AC993)))))-1),"")</f>
        <v>45764</v>
      </c>
      <c r="K993" s="16" t="n">
        <f aca="false" t="array" ref="K993:K993">IFERROR(INDEX(AC993:AE993,IF(COUNTA(AC993:AE993)=0,"",MAX((AC993:AE993&lt;&gt;"")*(COLUMN(AC993:AE993)-(COLUMN(AC993)-1))))-1),"")</f>
        <v>45946</v>
      </c>
      <c r="L993" s="17" t="str">
        <f aca="false" t="array" ref="L993:L993">IFERROR(INDEX(AC993:AE993,IF(COUNTA(AC993:AE993)=0,"",MAX((AC993:AE993&lt;&gt;"")*(COLUMN(AC993:AE993)-(COLUMN(AC993)-2))))-1),"")</f>
        <v>ARCHIVED</v>
      </c>
      <c r="M993" s="13" t="n">
        <f aca="true">K993-TODAY()</f>
        <v>-378</v>
      </c>
      <c r="N993" s="18" t="s">
        <v>36</v>
      </c>
      <c r="O993" s="13" t="s">
        <v>4280</v>
      </c>
      <c r="P993" s="27" t="n">
        <v>120000</v>
      </c>
      <c r="Q993" s="20" t="s">
        <v>4397</v>
      </c>
      <c r="R993" s="13" t="s">
        <v>222</v>
      </c>
      <c r="S993" s="14" t="n">
        <v>27034</v>
      </c>
      <c r="T993" s="13" t="s">
        <v>108</v>
      </c>
      <c r="U993" s="13" t="s">
        <v>4398</v>
      </c>
      <c r="V993" s="13" t="s">
        <v>42</v>
      </c>
      <c r="W993" s="13" t="s">
        <v>54</v>
      </c>
      <c r="X993" s="21" t="n">
        <v>81235647916</v>
      </c>
      <c r="Y993" s="22" t="str">
        <f aca="false">O993</f>
        <v>Helper Cutting</v>
      </c>
      <c r="Z993" s="13" t="str">
        <f aca="false">IFERROR(__xludf.dummyfunction("if(BJ993="""","""",GOOGLETRANSLATE(BJ993,""auto"",""en""))"),"Helper Cutting")</f>
        <v>Helper Cutting</v>
      </c>
      <c r="AA993" s="23" t="str">
        <f aca="false">IF(C993="","", CHOOSE(MONTH(C993),"January","February","March","April","May","June","July","August","September","October","November","December")&amp;" "&amp;DAY(C993)&amp;MID("thstndrdth",MIN(9,2*RIGHT(DAY(C993))*(MOD(DAY(C993)-11,100)&gt;2)+1),2)&amp;","&amp;TEXT(C993," yyyy"))</f>
        <v>April 17th,2023</v>
      </c>
      <c r="AB993" s="15" t="str">
        <f aca="true">IF(S993="","",DATEDIF(S993,TODAY(),"Y")&amp;" Tahun, "&amp;DATEDIF(S993,TODAY(),"YM")&amp;" Bulan, "&amp;DATEDIF(S993,TODAY(),"MD")&amp;" Hari")</f>
        <v>52 Tahun, 9 Bulan, 24 Hari</v>
      </c>
      <c r="AC993" s="18" t="n">
        <v>45764</v>
      </c>
      <c r="AD993" s="18" t="n">
        <v>45946</v>
      </c>
      <c r="AE993" s="18" t="s">
        <v>44</v>
      </c>
    </row>
    <row r="994" customFormat="false" ht="15.75" hidden="false" customHeight="true" outlineLevel="0" collapsed="false">
      <c r="A994" s="12" t="n">
        <v>10487</v>
      </c>
      <c r="B994" s="13" t="s">
        <v>4399</v>
      </c>
      <c r="C994" s="14" t="n">
        <v>45033</v>
      </c>
      <c r="D994" s="13" t="s">
        <v>4259</v>
      </c>
      <c r="E994" s="15" t="s">
        <v>47</v>
      </c>
      <c r="F994" s="15" t="str">
        <f aca="false">IFERROR(__xludf.dummyfunction("XLOOKUP(AJ994,IMPORTRANGE(""1XaInW9DU9nz21V0tYIfzFQ0He9kVQ_JF2mCXgZ3hqFA"",""REKAP ALL 2026 - Andika!G:G""),IMPORTRANGE(""1XaInW9DU9nz21V0tYIfzFQ0He9kVQ_JF2mCXgZ3hqFA"",""REKAP ALL 2026 - Andika!F:F""),"""",0)"),"23076926924")</f>
        <v>23076926924</v>
      </c>
      <c r="G994" s="13" t="s">
        <v>4400</v>
      </c>
      <c r="H994" s="13" t="s">
        <v>35</v>
      </c>
      <c r="I994" s="13" t="str">
        <f aca="false">IF(C994=J994,"NEW KONTRAK","RE-KONTRAK")</f>
        <v>RE-KONTRAK</v>
      </c>
      <c r="J994" s="16" t="n">
        <f aca="false" t="array" ref="J994:J994">IFERROR(INDEX(AC994:AE994,IF(COUNTA(AC994:AE994)=0,"",MAX((AC994:AE994&lt;&gt;"")*(COLUMN(AC994:AE994)-(COLUMN(AC994)))))-1),"")</f>
        <v>45764</v>
      </c>
      <c r="K994" s="16" t="n">
        <f aca="false" t="array" ref="K994:K994">IFERROR(INDEX(AC994:AE994,IF(COUNTA(AC994:AE994)=0,"",MAX((AC994:AE994&lt;&gt;"")*(COLUMN(AC994:AE994)-(COLUMN(AC994)-1))))-1),"")</f>
        <v>45946</v>
      </c>
      <c r="L994" s="17" t="str">
        <f aca="false" t="array" ref="L994:L994">IFERROR(INDEX(AC994:AE994,IF(COUNTA(AC994:AE994)=0,"",MAX((AC994:AE994&lt;&gt;"")*(COLUMN(AC994:AE994)-(COLUMN(AC994)-2))))-1),"")</f>
        <v>ARCHIVED</v>
      </c>
      <c r="M994" s="13" t="n">
        <f aca="true">K994-TODAY()</f>
        <v>-378</v>
      </c>
      <c r="N994" s="18" t="s">
        <v>36</v>
      </c>
      <c r="O994" s="13" t="s">
        <v>4280</v>
      </c>
      <c r="P994" s="27" t="n">
        <v>120000</v>
      </c>
      <c r="Q994" s="20" t="s">
        <v>4401</v>
      </c>
      <c r="R994" s="13" t="s">
        <v>52</v>
      </c>
      <c r="S994" s="14" t="n">
        <v>29422</v>
      </c>
      <c r="T994" s="13" t="s">
        <v>108</v>
      </c>
      <c r="U994" s="13" t="s">
        <v>4402</v>
      </c>
      <c r="V994" s="13" t="s">
        <v>42</v>
      </c>
      <c r="W994" s="13" t="s">
        <v>54</v>
      </c>
      <c r="X994" s="21" t="n">
        <v>85231013126</v>
      </c>
      <c r="Y994" s="22" t="str">
        <f aca="false">O994</f>
        <v>Helper Cutting</v>
      </c>
      <c r="Z994" s="13" t="str">
        <f aca="false">IFERROR(__xludf.dummyfunction("if(BJ994="""","""",GOOGLETRANSLATE(BJ994,""auto"",""en""))"),"Helper Cutting")</f>
        <v>Helper Cutting</v>
      </c>
      <c r="AA994" s="23" t="str">
        <f aca="false">IF(C994="","", CHOOSE(MONTH(C994),"January","February","March","April","May","June","July","August","September","October","November","December")&amp;" "&amp;DAY(C994)&amp;MID("thstndrdth",MIN(9,2*RIGHT(DAY(C994))*(MOD(DAY(C994)-11,100)&gt;2)+1),2)&amp;","&amp;TEXT(C994," yyyy"))</f>
        <v>April 17th,2023</v>
      </c>
      <c r="AB994" s="15" t="str">
        <f aca="true">IF(S994="","",DATEDIF(S994,TODAY(),"Y")&amp;" Tahun, "&amp;DATEDIF(S994,TODAY(),"YM")&amp;" Bulan, "&amp;DATEDIF(S994,TODAY(),"MD")&amp;" Hari")</f>
        <v>46 Tahun, 3 Bulan, 9 Hari</v>
      </c>
      <c r="AC994" s="18" t="n">
        <v>45764</v>
      </c>
      <c r="AD994" s="18" t="n">
        <v>45946</v>
      </c>
      <c r="AE994" s="18" t="s">
        <v>44</v>
      </c>
    </row>
    <row r="995" customFormat="false" ht="15.75" hidden="false" customHeight="true" outlineLevel="0" collapsed="false">
      <c r="A995" s="12" t="n">
        <v>10489</v>
      </c>
      <c r="B995" s="13" t="s">
        <v>4403</v>
      </c>
      <c r="C995" s="14" t="n">
        <v>45033</v>
      </c>
      <c r="D995" s="13" t="s">
        <v>4252</v>
      </c>
      <c r="E995" s="15" t="s">
        <v>33</v>
      </c>
      <c r="F995" s="24" t="s">
        <v>4404</v>
      </c>
      <c r="G995" s="13" t="s">
        <v>4405</v>
      </c>
      <c r="H995" s="13" t="s">
        <v>35</v>
      </c>
      <c r="I995" s="13" t="str">
        <f aca="false">IF(C995=J995,"NEW KONTRAK","RE-KONTRAK")</f>
        <v>RE-KONTRAK</v>
      </c>
      <c r="J995" s="16" t="n">
        <f aca="false" t="array" ref="J995:J995">IFERROR(INDEX(AC995:AE995,IF(COUNTA(AC995:AE995)=0,"",MAX((AC995:AE995&lt;&gt;"")*(COLUMN(AC995:AE995)-(COLUMN(AC995)))))-1),"")</f>
        <v>45764</v>
      </c>
      <c r="K995" s="16" t="n">
        <f aca="false" t="array" ref="K995:K995">IFERROR(INDEX(AC995:AE995,IF(COUNTA(AC995:AE995)=0,"",MAX((AC995:AE995&lt;&gt;"")*(COLUMN(AC995:AE995)-(COLUMN(AC995)-1))))-1),"")</f>
        <v>45946</v>
      </c>
      <c r="L995" s="17" t="str">
        <f aca="false" t="array" ref="L995:L995">IFERROR(INDEX(AC995:AE995,IF(COUNTA(AC995:AE995)=0,"",MAX((AC995:AE995&lt;&gt;"")*(COLUMN(AC995:AE995)-(COLUMN(AC995)-2))))-1),"")</f>
        <v>ARCHIVED</v>
      </c>
      <c r="M995" s="13" t="n">
        <f aca="true">K995-TODAY()</f>
        <v>-378</v>
      </c>
      <c r="N995" s="18" t="s">
        <v>36</v>
      </c>
      <c r="O995" s="13" t="s">
        <v>4280</v>
      </c>
      <c r="P995" s="27" t="n">
        <v>120000</v>
      </c>
      <c r="Q995" s="20" t="s">
        <v>4406</v>
      </c>
      <c r="R995" s="13" t="s">
        <v>4407</v>
      </c>
      <c r="S995" s="14" t="n">
        <v>30815</v>
      </c>
      <c r="T995" s="13" t="s">
        <v>40</v>
      </c>
      <c r="U995" s="13" t="s">
        <v>4408</v>
      </c>
      <c r="V995" s="13" t="s">
        <v>42</v>
      </c>
      <c r="W995" s="13" t="s">
        <v>54</v>
      </c>
      <c r="X995" s="21" t="n">
        <v>89643873681</v>
      </c>
      <c r="Y995" s="22" t="str">
        <f aca="false">O995</f>
        <v>Helper Cutting</v>
      </c>
      <c r="Z995" s="13" t="str">
        <f aca="false">IFERROR(__xludf.dummyfunction("if(BJ995="""","""",GOOGLETRANSLATE(BJ995,""auto"",""en""))"),"Helper Cutting")</f>
        <v>Helper Cutting</v>
      </c>
      <c r="AA995" s="23" t="str">
        <f aca="false">IF(C995="","", CHOOSE(MONTH(C995),"January","February","March","April","May","June","July","August","September","October","November","December")&amp;" "&amp;DAY(C995)&amp;MID("thstndrdth",MIN(9,2*RIGHT(DAY(C995))*(MOD(DAY(C995)-11,100)&gt;2)+1),2)&amp;","&amp;TEXT(C995," yyyy"))</f>
        <v>April 17th,2023</v>
      </c>
      <c r="AB995" s="15" t="str">
        <f aca="true">IF(S995="","",DATEDIF(S995,TODAY(),"Y")&amp;" Tahun, "&amp;DATEDIF(S995,TODAY(),"YM")&amp;" Bulan, "&amp;DATEDIF(S995,TODAY(),"MD")&amp;" Hari")</f>
        <v>42 Tahun, 5 Bulan, 16 Hari</v>
      </c>
      <c r="AC995" s="18" t="n">
        <v>45764</v>
      </c>
      <c r="AD995" s="18" t="n">
        <v>45946</v>
      </c>
      <c r="AE995" s="18" t="s">
        <v>44</v>
      </c>
    </row>
    <row r="996" customFormat="false" ht="15.75" hidden="false" customHeight="true" outlineLevel="0" collapsed="false">
      <c r="A996" s="12" t="n">
        <v>10491</v>
      </c>
      <c r="B996" s="13" t="s">
        <v>4409</v>
      </c>
      <c r="C996" s="14" t="n">
        <v>45033</v>
      </c>
      <c r="D996" s="13" t="s">
        <v>4259</v>
      </c>
      <c r="E996" s="15" t="s">
        <v>47</v>
      </c>
      <c r="F996" s="15" t="str">
        <f aca="false">IFERROR(__xludf.dummyfunction("XLOOKUP(AJ996,IMPORTRANGE(""1XaInW9DU9nz21V0tYIfzFQ0He9kVQ_JF2mCXgZ3hqFA"",""REKAP ALL 2026 - Andika!G:G""),IMPORTRANGE(""1XaInW9DU9nz21V0tYIfzFQ0He9kVQ_JF2mCXgZ3hqFA"",""REKAP ALL 2026 - Andika!F:F""),"""",0)"),"23057166789")</f>
        <v>23057166789</v>
      </c>
      <c r="G996" s="13" t="s">
        <v>4410</v>
      </c>
      <c r="H996" s="13" t="s">
        <v>35</v>
      </c>
      <c r="I996" s="13" t="str">
        <f aca="false">IF(C996=J996,"NEW KONTRAK","RE-KONTRAK")</f>
        <v>RE-KONTRAK</v>
      </c>
      <c r="J996" s="16" t="n">
        <f aca="false" t="array" ref="J996:J996">IFERROR(INDEX(AC996:AE996,IF(COUNTA(AC996:AE996)=0,"",MAX((AC996:AE996&lt;&gt;"")*(COLUMN(AC996:AE996)-(COLUMN(AC996)))))-1),"")</f>
        <v>45764</v>
      </c>
      <c r="K996" s="16" t="n">
        <f aca="false" t="array" ref="K996:K996">IFERROR(INDEX(AC996:AE996,IF(COUNTA(AC996:AE996)=0,"",MAX((AC996:AE996&lt;&gt;"")*(COLUMN(AC996:AE996)-(COLUMN(AC996)-1))))-1),"")</f>
        <v>45946</v>
      </c>
      <c r="L996" s="17" t="str">
        <f aca="false" t="array" ref="L996:L996">IFERROR(INDEX(AC996:AE996,IF(COUNTA(AC996:AE996)=0,"",MAX((AC996:AE996&lt;&gt;"")*(COLUMN(AC996:AE996)-(COLUMN(AC996)-2))))-1),"")</f>
        <v>ARCHIVED</v>
      </c>
      <c r="M996" s="13" t="n">
        <f aca="true">K996-TODAY()</f>
        <v>-378</v>
      </c>
      <c r="N996" s="18" t="s">
        <v>36</v>
      </c>
      <c r="O996" s="13" t="s">
        <v>4280</v>
      </c>
      <c r="P996" s="27" t="n">
        <v>120000</v>
      </c>
      <c r="Q996" s="20" t="s">
        <v>4411</v>
      </c>
      <c r="R996" s="13" t="s">
        <v>65</v>
      </c>
      <c r="S996" s="14" t="n">
        <v>36173</v>
      </c>
      <c r="T996" s="13" t="s">
        <v>108</v>
      </c>
      <c r="U996" s="13" t="s">
        <v>4412</v>
      </c>
      <c r="V996" s="13" t="s">
        <v>42</v>
      </c>
      <c r="W996" s="13" t="s">
        <v>897</v>
      </c>
      <c r="X996" s="21" t="n">
        <v>81803459002</v>
      </c>
      <c r="Y996" s="22" t="str">
        <f aca="false">O996</f>
        <v>Helper Cutting</v>
      </c>
      <c r="Z996" s="13" t="str">
        <f aca="false">IFERROR(__xludf.dummyfunction("if(BJ996="""","""",GOOGLETRANSLATE(BJ996,""auto"",""en""))"),"Helper Cutting")</f>
        <v>Helper Cutting</v>
      </c>
      <c r="AA996" s="23" t="str">
        <f aca="false">IF(C996="","", CHOOSE(MONTH(C996),"January","February","March","April","May","June","July","August","September","October","November","December")&amp;" "&amp;DAY(C996)&amp;MID("thstndrdth",MIN(9,2*RIGHT(DAY(C996))*(MOD(DAY(C996)-11,100)&gt;2)+1),2)&amp;","&amp;TEXT(C996," yyyy"))</f>
        <v>April 17th,2023</v>
      </c>
      <c r="AB996" s="15" t="str">
        <f aca="true">IF(S996="","",DATEDIF(S996,TODAY(),"Y")&amp;" Tahun, "&amp;DATEDIF(S996,TODAY(),"YM")&amp;" Bulan, "&amp;DATEDIF(S996,TODAY(),"MD")&amp;" Hari")</f>
        <v>27 Tahun, 9 Bulan, 16 Hari</v>
      </c>
      <c r="AC996" s="18" t="n">
        <v>45764</v>
      </c>
      <c r="AD996" s="18" t="n">
        <v>45946</v>
      </c>
      <c r="AE996" s="18" t="s">
        <v>44</v>
      </c>
    </row>
    <row r="997" customFormat="false" ht="15.75" hidden="false" customHeight="true" outlineLevel="0" collapsed="false">
      <c r="A997" s="12" t="n">
        <v>10495</v>
      </c>
      <c r="B997" s="13" t="s">
        <v>4413</v>
      </c>
      <c r="C997" s="14" t="n">
        <v>45033</v>
      </c>
      <c r="D997" s="13" t="s">
        <v>4252</v>
      </c>
      <c r="E997" s="15" t="s">
        <v>33</v>
      </c>
      <c r="F997" s="24" t="s">
        <v>4414</v>
      </c>
      <c r="G997" s="13" t="s">
        <v>4415</v>
      </c>
      <c r="H997" s="13" t="s">
        <v>35</v>
      </c>
      <c r="I997" s="13" t="str">
        <f aca="false">IF(C997=J997,"NEW KONTRAK","RE-KONTRAK")</f>
        <v>RE-KONTRAK</v>
      </c>
      <c r="J997" s="16" t="n">
        <f aca="false" t="array" ref="J997:J997">IFERROR(INDEX(AC997:AE997,IF(COUNTA(AC997:AE997)=0,"",MAX((AC997:AE997&lt;&gt;"")*(COLUMN(AC997:AE997)-(COLUMN(AC997)))))-1),"")</f>
        <v>45764</v>
      </c>
      <c r="K997" s="16" t="n">
        <f aca="false" t="array" ref="K997:K997">IFERROR(INDEX(AC997:AE997,IF(COUNTA(AC997:AE997)=0,"",MAX((AC997:AE997&lt;&gt;"")*(COLUMN(AC997:AE997)-(COLUMN(AC997)-1))))-1),"")</f>
        <v>45946</v>
      </c>
      <c r="L997" s="17" t="str">
        <f aca="false" t="array" ref="L997:L997">IFERROR(INDEX(AC997:AE997,IF(COUNTA(AC997:AE997)=0,"",MAX((AC997:AE997&lt;&gt;"")*(COLUMN(AC997:AE997)-(COLUMN(AC997)-2))))-1),"")</f>
        <v>ARCHIVED</v>
      </c>
      <c r="M997" s="13" t="n">
        <f aca="true">K997-TODAY()</f>
        <v>-378</v>
      </c>
      <c r="N997" s="18" t="s">
        <v>36</v>
      </c>
      <c r="O997" s="13" t="s">
        <v>4280</v>
      </c>
      <c r="P997" s="27" t="n">
        <v>120000</v>
      </c>
      <c r="Q997" s="20" t="s">
        <v>4416</v>
      </c>
      <c r="R997" s="13" t="s">
        <v>52</v>
      </c>
      <c r="S997" s="14" t="n">
        <v>26393</v>
      </c>
      <c r="T997" s="13" t="s">
        <v>108</v>
      </c>
      <c r="U997" s="13" t="s">
        <v>4257</v>
      </c>
      <c r="V997" s="13" t="s">
        <v>42</v>
      </c>
      <c r="W997" s="13" t="s">
        <v>2402</v>
      </c>
      <c r="X997" s="21" t="n">
        <v>81515521690</v>
      </c>
      <c r="Y997" s="22" t="str">
        <f aca="false">O997</f>
        <v>Helper Cutting</v>
      </c>
      <c r="Z997" s="13" t="str">
        <f aca="false">IFERROR(__xludf.dummyfunction("if(BJ997="""","""",GOOGLETRANSLATE(BJ997,""auto"",""en""))"),"Helper Cutting")</f>
        <v>Helper Cutting</v>
      </c>
      <c r="AA997" s="23" t="str">
        <f aca="false">IF(C997="","", CHOOSE(MONTH(C997),"January","February","March","April","May","June","July","August","September","October","November","December")&amp;" "&amp;DAY(C997)&amp;MID("thstndrdth",MIN(9,2*RIGHT(DAY(C997))*(MOD(DAY(C997)-11,100)&gt;2)+1),2)&amp;","&amp;TEXT(C997," yyyy"))</f>
        <v>April 17th,2023</v>
      </c>
      <c r="AB997" s="15" t="str">
        <f aca="true">IF(S997="","",DATEDIF(S997,TODAY(),"Y")&amp;" Tahun, "&amp;DATEDIF(S997,TODAY(),"YM")&amp;" Bulan, "&amp;DATEDIF(S997,TODAY(),"MD")&amp;" Hari")</f>
        <v>54 Tahun, 6 Bulan, 25 Hari</v>
      </c>
      <c r="AC997" s="18" t="n">
        <v>45764</v>
      </c>
      <c r="AD997" s="18" t="n">
        <v>45946</v>
      </c>
      <c r="AE997" s="18" t="s">
        <v>44</v>
      </c>
    </row>
    <row r="998" customFormat="false" ht="15.75" hidden="false" customHeight="true" outlineLevel="0" collapsed="false">
      <c r="A998" s="12" t="n">
        <v>10498</v>
      </c>
      <c r="B998" s="13" t="s">
        <v>4417</v>
      </c>
      <c r="C998" s="14" t="n">
        <v>45033</v>
      </c>
      <c r="D998" s="13" t="s">
        <v>4264</v>
      </c>
      <c r="E998" s="15" t="s">
        <v>47</v>
      </c>
      <c r="F998" s="15" t="str">
        <f aca="false">IFERROR(__xludf.dummyfunction("XLOOKUP(AJ998,IMPORTRANGE(""1XaInW9DU9nz21V0tYIfzFQ0He9kVQ_JF2mCXgZ3hqFA"",""REKAP ALL 2026 - Andika!G:G""),IMPORTRANGE(""1XaInW9DU9nz21V0tYIfzFQ0He9kVQ_JF2mCXgZ3hqFA"",""REKAP ALL 2026 - Andika!F:F""),"""",0)"),"23057166987")</f>
        <v>23057166987</v>
      </c>
      <c r="G998" s="13" t="s">
        <v>4418</v>
      </c>
      <c r="H998" s="13" t="s">
        <v>35</v>
      </c>
      <c r="I998" s="13" t="str">
        <f aca="false">IF(C998=J998,"NEW KONTRAK","RE-KONTRAK")</f>
        <v>RE-KONTRAK</v>
      </c>
      <c r="J998" s="16" t="n">
        <f aca="false" t="array" ref="J998:J998">IFERROR(INDEX(AC998:AE998,IF(COUNTA(AC998:AE998)=0,"",MAX((AC998:AE998&lt;&gt;"")*(COLUMN(AC998:AE998)-(COLUMN(AC998)))))-1),"")</f>
        <v>45764</v>
      </c>
      <c r="K998" s="16" t="n">
        <f aca="false" t="array" ref="K998:K998">IFERROR(INDEX(AC998:AE998,IF(COUNTA(AC998:AE998)=0,"",MAX((AC998:AE998&lt;&gt;"")*(COLUMN(AC998:AE998)-(COLUMN(AC998)-1))))-1),"")</f>
        <v>45946</v>
      </c>
      <c r="L998" s="17" t="str">
        <f aca="false" t="array" ref="L998:L998">IFERROR(INDEX(AC998:AE998,IF(COUNTA(AC998:AE998)=0,"",MAX((AC998:AE998&lt;&gt;"")*(COLUMN(AC998:AE998)-(COLUMN(AC998)-2))))-1),"")</f>
        <v>ARCHIVED</v>
      </c>
      <c r="M998" s="13" t="n">
        <f aca="true">K998-TODAY()</f>
        <v>-378</v>
      </c>
      <c r="N998" s="18" t="s">
        <v>36</v>
      </c>
      <c r="O998" s="13" t="s">
        <v>4255</v>
      </c>
      <c r="P998" s="27" t="n">
        <v>200000</v>
      </c>
      <c r="Q998" s="20" t="s">
        <v>4419</v>
      </c>
      <c r="R998" s="13" t="s">
        <v>78</v>
      </c>
      <c r="S998" s="14" t="n">
        <v>37483</v>
      </c>
      <c r="T998" s="13" t="s">
        <v>40</v>
      </c>
      <c r="U998" s="13" t="s">
        <v>4420</v>
      </c>
      <c r="V998" s="13" t="s">
        <v>42</v>
      </c>
      <c r="W998" s="13" t="s">
        <v>43</v>
      </c>
      <c r="X998" s="21" t="n">
        <v>82330809997</v>
      </c>
      <c r="Y998" s="22" t="str">
        <f aca="false">O998</f>
        <v>Operator Cutting</v>
      </c>
      <c r="Z998" s="13" t="str">
        <f aca="false">IFERROR(__xludf.dummyfunction("if(BJ998="""","""",GOOGLETRANSLATE(BJ998,""auto"",""en""))"),"Operator Cutting")</f>
        <v>Operator Cutting</v>
      </c>
      <c r="AA998" s="23" t="str">
        <f aca="false">IF(C998="","", CHOOSE(MONTH(C998),"January","February","March","April","May","June","July","August","September","October","November","December")&amp;" "&amp;DAY(C998)&amp;MID("thstndrdth",MIN(9,2*RIGHT(DAY(C998))*(MOD(DAY(C998)-11,100)&gt;2)+1),2)&amp;","&amp;TEXT(C998," yyyy"))</f>
        <v>April 17th,2023</v>
      </c>
      <c r="AB998" s="15" t="str">
        <f aca="true">IF(S998="","",DATEDIF(S998,TODAY(),"Y")&amp;" Tahun, "&amp;DATEDIF(S998,TODAY(),"YM")&amp;" Bulan, "&amp;DATEDIF(S998,TODAY(),"MD")&amp;" Hari")</f>
        <v>24 Tahun, 2 Bulan, 14 Hari</v>
      </c>
      <c r="AC998" s="18" t="n">
        <v>45764</v>
      </c>
      <c r="AD998" s="18" t="n">
        <v>45946</v>
      </c>
      <c r="AE998" s="18" t="s">
        <v>44</v>
      </c>
    </row>
    <row r="999" customFormat="false" ht="15.75" hidden="false" customHeight="true" outlineLevel="0" collapsed="false">
      <c r="A999" s="12" t="n">
        <v>10499</v>
      </c>
      <c r="B999" s="13" t="s">
        <v>4421</v>
      </c>
      <c r="C999" s="14" t="n">
        <v>45033</v>
      </c>
      <c r="D999" s="13" t="s">
        <v>4252</v>
      </c>
      <c r="E999" s="15" t="s">
        <v>33</v>
      </c>
      <c r="F999" s="24" t="s">
        <v>4422</v>
      </c>
      <c r="G999" s="13" t="s">
        <v>4423</v>
      </c>
      <c r="H999" s="13" t="s">
        <v>35</v>
      </c>
      <c r="I999" s="13" t="str">
        <f aca="false">IF(C999=J999,"NEW KONTRAK","RE-KONTRAK")</f>
        <v>RE-KONTRAK</v>
      </c>
      <c r="J999" s="16" t="n">
        <f aca="false" t="array" ref="J999:J999">IFERROR(INDEX(AC999:AE999,IF(COUNTA(AC999:AE999)=0,"",MAX((AC999:AE999&lt;&gt;"")*(COLUMN(AC999:AE999)-(COLUMN(AC999)))))-1),"")</f>
        <v>45764</v>
      </c>
      <c r="K999" s="16" t="n">
        <f aca="false" t="array" ref="K999:K999">IFERROR(INDEX(AC999:AE999,IF(COUNTA(AC999:AE999)=0,"",MAX((AC999:AE999&lt;&gt;"")*(COLUMN(AC999:AE999)-(COLUMN(AC999)-1))))-1),"")</f>
        <v>45946</v>
      </c>
      <c r="L999" s="17" t="str">
        <f aca="false" t="array" ref="L999:L999">IFERROR(INDEX(AC999:AE999,IF(COUNTA(AC999:AE999)=0,"",MAX((AC999:AE999&lt;&gt;"")*(COLUMN(AC999:AE999)-(COLUMN(AC999)-2))))-1),"")</f>
        <v>ARCHIVED</v>
      </c>
      <c r="M999" s="13" t="n">
        <f aca="true">K999-TODAY()</f>
        <v>-378</v>
      </c>
      <c r="N999" s="18" t="s">
        <v>36</v>
      </c>
      <c r="O999" s="13" t="s">
        <v>4280</v>
      </c>
      <c r="P999" s="27" t="n">
        <v>120000</v>
      </c>
      <c r="Q999" s="20" t="s">
        <v>4424</v>
      </c>
      <c r="R999" s="13" t="s">
        <v>65</v>
      </c>
      <c r="S999" s="14" t="n">
        <v>35663</v>
      </c>
      <c r="T999" s="13" t="s">
        <v>108</v>
      </c>
      <c r="U999" s="13" t="s">
        <v>4425</v>
      </c>
      <c r="V999" s="13" t="s">
        <v>42</v>
      </c>
      <c r="W999" s="13" t="s">
        <v>54</v>
      </c>
      <c r="X999" s="21" t="n">
        <v>85731362225</v>
      </c>
      <c r="Y999" s="22" t="str">
        <f aca="false">O999</f>
        <v>Helper Cutting</v>
      </c>
      <c r="Z999" s="13" t="str">
        <f aca="false">IFERROR(__xludf.dummyfunction("if(BJ999="""","""",GOOGLETRANSLATE(BJ999,""auto"",""en""))"),"Helper Cutting")</f>
        <v>Helper Cutting</v>
      </c>
      <c r="AA999" s="23" t="str">
        <f aca="false">IF(C999="","", CHOOSE(MONTH(C999),"January","February","March","April","May","June","July","August","September","October","November","December")&amp;" "&amp;DAY(C999)&amp;MID("thstndrdth",MIN(9,2*RIGHT(DAY(C999))*(MOD(DAY(C999)-11,100)&gt;2)+1),2)&amp;","&amp;TEXT(C999," yyyy"))</f>
        <v>April 17th,2023</v>
      </c>
      <c r="AB999" s="15" t="str">
        <f aca="true">IF(S999="","",DATEDIF(S999,TODAY(),"Y")&amp;" Tahun, "&amp;DATEDIF(S999,TODAY(),"YM")&amp;" Bulan, "&amp;DATEDIF(S999,TODAY(),"MD")&amp;" Hari")</f>
        <v>29 Tahun, 2 Bulan, 8 Hari</v>
      </c>
      <c r="AC999" s="18" t="n">
        <v>45764</v>
      </c>
      <c r="AD999" s="18" t="n">
        <v>45946</v>
      </c>
      <c r="AE999" s="18" t="s">
        <v>44</v>
      </c>
    </row>
    <row r="1000" customFormat="false" ht="15.75" hidden="false" customHeight="true" outlineLevel="0" collapsed="false">
      <c r="A1000" s="12" t="n">
        <v>10500</v>
      </c>
      <c r="B1000" s="13" t="s">
        <v>4426</v>
      </c>
      <c r="C1000" s="14" t="n">
        <v>45033</v>
      </c>
      <c r="D1000" s="13" t="s">
        <v>4259</v>
      </c>
      <c r="E1000" s="15" t="s">
        <v>47</v>
      </c>
      <c r="F1000" s="15" t="str">
        <f aca="false">IFERROR(__xludf.dummyfunction("XLOOKUP(AJ1000,IMPORTRANGE(""1XaInW9DU9nz21V0tYIfzFQ0He9kVQ_JF2mCXgZ3hqFA"",""REKAP ALL 2026 - Andika!G:G""),IMPORTRANGE(""1XaInW9DU9nz21V0tYIfzFQ0He9kVQ_JF2mCXgZ3hqFA"",""REKAP ALL 2026 - Andika!F:F""),"""",0)"),"23057167126")</f>
        <v>23057167126</v>
      </c>
      <c r="G1000" s="13" t="s">
        <v>4427</v>
      </c>
      <c r="H1000" s="13" t="s">
        <v>35</v>
      </c>
      <c r="I1000" s="13" t="str">
        <f aca="false">IF(C1000=J1000,"NEW KONTRAK","RE-KONTRAK")</f>
        <v>RE-KONTRAK</v>
      </c>
      <c r="J1000" s="16" t="n">
        <f aca="false" t="array" ref="J1000:J1000">IFERROR(INDEX(AC1000:AE1000,IF(COUNTA(AC1000:AE1000)=0,"",MAX((AC1000:AE1000&lt;&gt;"")*(COLUMN(AC1000:AE1000)-(COLUMN(AC1000)))))-1),"")</f>
        <v>45764</v>
      </c>
      <c r="K1000" s="16" t="n">
        <f aca="false" t="array" ref="K1000:K1000">IFERROR(INDEX(AC1000:AE1000,IF(COUNTA(AC1000:AE1000)=0,"",MAX((AC1000:AE1000&lt;&gt;"")*(COLUMN(AC1000:AE1000)-(COLUMN(AC1000)-1))))-1),"")</f>
        <v>45946</v>
      </c>
      <c r="L1000" s="17" t="str">
        <f aca="false" t="array" ref="L1000:L1000">IFERROR(INDEX(AC1000:AE1000,IF(COUNTA(AC1000:AE1000)=0,"",MAX((AC1000:AE1000&lt;&gt;"")*(COLUMN(AC1000:AE1000)-(COLUMN(AC1000)-2))))-1),"")</f>
        <v>ARCHIVED</v>
      </c>
      <c r="M1000" s="13" t="n">
        <f aca="true">K1000-TODAY()</f>
        <v>-378</v>
      </c>
      <c r="N1000" s="18" t="s">
        <v>36</v>
      </c>
      <c r="O1000" s="13" t="s">
        <v>4255</v>
      </c>
      <c r="P1000" s="27" t="n">
        <v>200000</v>
      </c>
      <c r="Q1000" s="20" t="s">
        <v>4428</v>
      </c>
      <c r="R1000" s="13" t="s">
        <v>52</v>
      </c>
      <c r="S1000" s="14" t="n">
        <v>35254</v>
      </c>
      <c r="T1000" s="13" t="s">
        <v>40</v>
      </c>
      <c r="U1000" s="13" t="s">
        <v>4429</v>
      </c>
      <c r="V1000" s="13" t="s">
        <v>42</v>
      </c>
      <c r="W1000" s="13" t="s">
        <v>43</v>
      </c>
      <c r="X1000" s="21" t="n">
        <v>85750000023</v>
      </c>
      <c r="Y1000" s="22" t="str">
        <f aca="false">O1000</f>
        <v>Operator Cutting</v>
      </c>
      <c r="Z1000" s="13" t="str">
        <f aca="false">IFERROR(__xludf.dummyfunction("if(BJ1000="""","""",GOOGLETRANSLATE(BJ1000,""auto"",""en""))"),"Operator Cutting")</f>
        <v>Operator Cutting</v>
      </c>
      <c r="AA1000" s="23" t="str">
        <f aca="false">IF(C1000="","", CHOOSE(MONTH(C1000),"January","February","March","April","May","June","July","August","September","October","November","December")&amp;" "&amp;DAY(C1000)&amp;MID("thstndrdth",MIN(9,2*RIGHT(DAY(C1000))*(MOD(DAY(C1000)-11,100)&gt;2)+1),2)&amp;","&amp;TEXT(C1000," yyyy"))</f>
        <v>April 17th,2023</v>
      </c>
      <c r="AB1000" s="15" t="str">
        <f aca="true">IF(S1000="","",DATEDIF(S1000,TODAY(),"Y")&amp;" Tahun, "&amp;DATEDIF(S1000,TODAY(),"YM")&amp;" Bulan, "&amp;DATEDIF(S1000,TODAY(),"MD")&amp;" Hari")</f>
        <v>30 Tahun, 3 Bulan, 21 Hari</v>
      </c>
      <c r="AC1000" s="18" t="n">
        <v>45764</v>
      </c>
      <c r="AD1000" s="18" t="n">
        <v>45946</v>
      </c>
      <c r="AE1000" s="18" t="s">
        <v>44</v>
      </c>
    </row>
    <row r="1001" customFormat="false" ht="15.75" hidden="false" customHeight="true" outlineLevel="0" collapsed="false">
      <c r="A1001" s="12" t="n">
        <v>10501</v>
      </c>
      <c r="B1001" s="13" t="s">
        <v>4430</v>
      </c>
      <c r="C1001" s="14" t="n">
        <v>45033</v>
      </c>
      <c r="D1001" s="13" t="s">
        <v>4259</v>
      </c>
      <c r="E1001" s="15" t="s">
        <v>47</v>
      </c>
      <c r="F1001" s="15" t="str">
        <f aca="false">IFERROR(__xludf.dummyfunction("XLOOKUP(AJ1001,IMPORTRANGE(""1XaInW9DU9nz21V0tYIfzFQ0He9kVQ_JF2mCXgZ3hqFA"",""REKAP ALL 2026 - Andika!G:G""),IMPORTRANGE(""1XaInW9DU9nz21V0tYIfzFQ0He9kVQ_JF2mCXgZ3hqFA"",""REKAP ALL 2026 - Andika!F:F""),"""",0)"),"23076927195")</f>
        <v>23076927195</v>
      </c>
      <c r="G1001" s="13" t="s">
        <v>4431</v>
      </c>
      <c r="H1001" s="13" t="s">
        <v>35</v>
      </c>
      <c r="I1001" s="13" t="str">
        <f aca="false">IF(C1001=J1001,"NEW KONTRAK","RE-KONTRAK")</f>
        <v>RE-KONTRAK</v>
      </c>
      <c r="J1001" s="16" t="n">
        <f aca="false" t="array" ref="J1001:J1001">IFERROR(INDEX(AC1001:AE1001,IF(COUNTA(AC1001:AE1001)=0,"",MAX((AC1001:AE1001&lt;&gt;"")*(COLUMN(AC1001:AE1001)-(COLUMN(AC1001)))))-1),"")</f>
        <v>45764</v>
      </c>
      <c r="K1001" s="16" t="n">
        <f aca="false" t="array" ref="K1001:K1001">IFERROR(INDEX(AC1001:AE1001,IF(COUNTA(AC1001:AE1001)=0,"",MAX((AC1001:AE1001&lt;&gt;"")*(COLUMN(AC1001:AE1001)-(COLUMN(AC1001)-1))))-1),"")</f>
        <v>45946</v>
      </c>
      <c r="L1001" s="17" t="str">
        <f aca="false" t="array" ref="L1001:L1001">IFERROR(INDEX(AC1001:AE1001,IF(COUNTA(AC1001:AE1001)=0,"",MAX((AC1001:AE1001&lt;&gt;"")*(COLUMN(AC1001:AE1001)-(COLUMN(AC1001)-2))))-1),"")</f>
        <v>ARCHIVED</v>
      </c>
      <c r="M1001" s="13" t="n">
        <f aca="true">K1001-TODAY()</f>
        <v>-378</v>
      </c>
      <c r="N1001" s="18" t="s">
        <v>36</v>
      </c>
      <c r="O1001" s="13" t="s">
        <v>4274</v>
      </c>
      <c r="P1001" s="27" t="n">
        <v>200000</v>
      </c>
      <c r="Q1001" s="20" t="s">
        <v>4432</v>
      </c>
      <c r="R1001" s="13" t="s">
        <v>4056</v>
      </c>
      <c r="S1001" s="14" t="n">
        <v>34643</v>
      </c>
      <c r="T1001" s="13" t="s">
        <v>40</v>
      </c>
      <c r="U1001" s="13" t="s">
        <v>4433</v>
      </c>
      <c r="V1001" s="13" t="s">
        <v>42</v>
      </c>
      <c r="W1001" s="13" t="s">
        <v>43</v>
      </c>
      <c r="X1001" s="21" t="n">
        <v>81554324194</v>
      </c>
      <c r="Y1001" s="22" t="str">
        <f aca="false">O1001</f>
        <v>Operator Extruder</v>
      </c>
      <c r="Z1001" s="13" t="str">
        <f aca="false">IFERROR(__xludf.dummyfunction("if(BJ1001="""","""",GOOGLETRANSLATE(BJ1001,""auto"",""en""))"),"Operator Extruder")</f>
        <v>Operator Extruder</v>
      </c>
      <c r="AA1001" s="23" t="str">
        <f aca="false">IF(C1001="","", CHOOSE(MONTH(C1001),"January","February","March","April","May","June","July","August","September","October","November","December")&amp;" "&amp;DAY(C1001)&amp;MID("thstndrdth",MIN(9,2*RIGHT(DAY(C1001))*(MOD(DAY(C1001)-11,100)&gt;2)+1),2)&amp;","&amp;TEXT(C1001," yyyy"))</f>
        <v>April 17th,2023</v>
      </c>
      <c r="AB1001" s="15" t="str">
        <f aca="true">IF(S1001="","",DATEDIF(S1001,TODAY(),"Y")&amp;" Tahun, "&amp;DATEDIF(S1001,TODAY(),"YM")&amp;" Bulan, "&amp;DATEDIF(S1001,TODAY(),"MD")&amp;" Hari")</f>
        <v>31 Tahun, 11 Bulan, 24 Hari</v>
      </c>
      <c r="AC1001" s="18" t="n">
        <v>45764</v>
      </c>
      <c r="AD1001" s="18" t="n">
        <v>45946</v>
      </c>
      <c r="AE1001" s="18" t="s">
        <v>44</v>
      </c>
    </row>
    <row r="1002" customFormat="false" ht="15.75" hidden="false" customHeight="true" outlineLevel="0" collapsed="false">
      <c r="A1002" s="12" t="n">
        <v>10502</v>
      </c>
      <c r="B1002" s="13" t="s">
        <v>4434</v>
      </c>
      <c r="C1002" s="14" t="n">
        <v>45033</v>
      </c>
      <c r="D1002" s="13" t="s">
        <v>4259</v>
      </c>
      <c r="E1002" s="15" t="s">
        <v>47</v>
      </c>
      <c r="F1002" s="15" t="str">
        <f aca="false">IFERROR(__xludf.dummyfunction("XLOOKUP(AJ1002,IMPORTRANGE(""1XaInW9DU9nz21V0tYIfzFQ0He9kVQ_JF2mCXgZ3hqFA"",""REKAP ALL 2026 - Andika!G:G""),IMPORTRANGE(""1XaInW9DU9nz21V0tYIfzFQ0He9kVQ_JF2mCXgZ3hqFA"",""REKAP ALL 2026 - Andika!F:F""),"""",0)"),"23076926759")</f>
        <v>23076926759</v>
      </c>
      <c r="G1002" s="13" t="s">
        <v>4435</v>
      </c>
      <c r="H1002" s="13" t="s">
        <v>35</v>
      </c>
      <c r="I1002" s="13" t="str">
        <f aca="false">IF(C1002=J1002,"NEW KONTRAK","RE-KONTRAK")</f>
        <v>RE-KONTRAK</v>
      </c>
      <c r="J1002" s="16" t="n">
        <f aca="false" t="array" ref="J1002:J1002">IFERROR(INDEX(AC1002:AE1002,IF(COUNTA(AC1002:AE1002)=0,"",MAX((AC1002:AE1002&lt;&gt;"")*(COLUMN(AC1002:AE1002)-(COLUMN(AC1002)))))-1),"")</f>
        <v>45764</v>
      </c>
      <c r="K1002" s="16" t="n">
        <f aca="false" t="array" ref="K1002:K1002">IFERROR(INDEX(AC1002:AE1002,IF(COUNTA(AC1002:AE1002)=0,"",MAX((AC1002:AE1002&lt;&gt;"")*(COLUMN(AC1002:AE1002)-(COLUMN(AC1002)-1))))-1),"")</f>
        <v>45946</v>
      </c>
      <c r="L1002" s="17" t="str">
        <f aca="false" t="array" ref="L1002:L1002">IFERROR(INDEX(AC1002:AE1002,IF(COUNTA(AC1002:AE1002)=0,"",MAX((AC1002:AE1002&lt;&gt;"")*(COLUMN(AC1002:AE1002)-(COLUMN(AC1002)-2))))-1),"")</f>
        <v>ARCHIVED</v>
      </c>
      <c r="M1002" s="13" t="n">
        <f aca="true">K1002-TODAY()</f>
        <v>-378</v>
      </c>
      <c r="N1002" s="18" t="s">
        <v>36</v>
      </c>
      <c r="O1002" s="13" t="s">
        <v>4255</v>
      </c>
      <c r="P1002" s="27" t="n">
        <v>200000</v>
      </c>
      <c r="Q1002" s="20" t="s">
        <v>4436</v>
      </c>
      <c r="R1002" s="13" t="s">
        <v>52</v>
      </c>
      <c r="S1002" s="14" t="n">
        <v>33092</v>
      </c>
      <c r="T1002" s="13" t="s">
        <v>40</v>
      </c>
      <c r="U1002" s="13" t="s">
        <v>4437</v>
      </c>
      <c r="V1002" s="13" t="s">
        <v>42</v>
      </c>
      <c r="W1002" s="13" t="s">
        <v>54</v>
      </c>
      <c r="X1002" s="21" t="n">
        <v>89502466600</v>
      </c>
      <c r="Y1002" s="22" t="str">
        <f aca="false">O1002</f>
        <v>Operator Cutting</v>
      </c>
      <c r="Z1002" s="13" t="str">
        <f aca="false">IFERROR(__xludf.dummyfunction("if(BJ1002="""","""",GOOGLETRANSLATE(BJ1002,""auto"",""en""))"),"Operator Cutting")</f>
        <v>Operator Cutting</v>
      </c>
      <c r="AA1002" s="23" t="str">
        <f aca="false">IF(C1002="","", CHOOSE(MONTH(C1002),"January","February","March","April","May","June","July","August","September","October","November","December")&amp;" "&amp;DAY(C1002)&amp;MID("thstndrdth",MIN(9,2*RIGHT(DAY(C1002))*(MOD(DAY(C1002)-11,100)&gt;2)+1),2)&amp;","&amp;TEXT(C1002," yyyy"))</f>
        <v>April 17th,2023</v>
      </c>
      <c r="AB1002" s="15" t="str">
        <f aca="true">IF(S1002="","",DATEDIF(S1002,TODAY(),"Y")&amp;" Tahun, "&amp;DATEDIF(S1002,TODAY(),"YM")&amp;" Bulan, "&amp;DATEDIF(S1002,TODAY(),"MD")&amp;" Hari")</f>
        <v>36 Tahun, 2 Bulan, 22 Hari</v>
      </c>
      <c r="AC1002" s="18" t="n">
        <v>45764</v>
      </c>
      <c r="AD1002" s="18" t="n">
        <v>45946</v>
      </c>
      <c r="AE1002" s="18" t="s">
        <v>44</v>
      </c>
    </row>
    <row r="1003" customFormat="false" ht="15.75" hidden="false" customHeight="true" outlineLevel="0" collapsed="false">
      <c r="A1003" s="12" t="n">
        <v>10503</v>
      </c>
      <c r="B1003" s="13" t="s">
        <v>4438</v>
      </c>
      <c r="C1003" s="14" t="n">
        <v>45033</v>
      </c>
      <c r="D1003" s="13" t="s">
        <v>4259</v>
      </c>
      <c r="E1003" s="15" t="s">
        <v>47</v>
      </c>
      <c r="F1003" s="15" t="str">
        <f aca="false">IFERROR(__xludf.dummyfunction("XLOOKUP(AJ1003,IMPORTRANGE(""1XaInW9DU9nz21V0tYIfzFQ0He9kVQ_JF2mCXgZ3hqFA"",""REKAP ALL 2026 - Andika!G:G""),IMPORTRANGE(""1XaInW9DU9nz21V0tYIfzFQ0He9kVQ_JF2mCXgZ3hqFA"",""REKAP ALL 2026 - Andika!F:F""),"""",0)"),"23076926858")</f>
        <v>23076926858</v>
      </c>
      <c r="G1003" s="13" t="s">
        <v>4439</v>
      </c>
      <c r="H1003" s="13" t="s">
        <v>35</v>
      </c>
      <c r="I1003" s="13" t="str">
        <f aca="false">IF(C1003=J1003,"NEW KONTRAK","RE-KONTRAK")</f>
        <v>RE-KONTRAK</v>
      </c>
      <c r="J1003" s="16" t="n">
        <f aca="false" t="array" ref="J1003:J1003">IFERROR(INDEX(AC1003:AE1003,IF(COUNTA(AC1003:AE1003)=0,"",MAX((AC1003:AE1003&lt;&gt;"")*(COLUMN(AC1003:AE1003)-(COLUMN(AC1003)))))-1),"")</f>
        <v>45764</v>
      </c>
      <c r="K1003" s="16" t="n">
        <f aca="false" t="array" ref="K1003:K1003">IFERROR(INDEX(AC1003:AE1003,IF(COUNTA(AC1003:AE1003)=0,"",MAX((AC1003:AE1003&lt;&gt;"")*(COLUMN(AC1003:AE1003)-(COLUMN(AC1003)-1))))-1),"")</f>
        <v>45946</v>
      </c>
      <c r="L1003" s="17" t="str">
        <f aca="false" t="array" ref="L1003:L1003">IFERROR(INDEX(AC1003:AE1003,IF(COUNTA(AC1003:AE1003)=0,"",MAX((AC1003:AE1003&lt;&gt;"")*(COLUMN(AC1003:AE1003)-(COLUMN(AC1003)-2))))-1),"")</f>
        <v>ARCHIVED</v>
      </c>
      <c r="M1003" s="13" t="n">
        <f aca="true">K1003-TODAY()</f>
        <v>-378</v>
      </c>
      <c r="N1003" s="18" t="s">
        <v>36</v>
      </c>
      <c r="O1003" s="13" t="s">
        <v>4280</v>
      </c>
      <c r="P1003" s="27" t="n">
        <v>120000</v>
      </c>
      <c r="Q1003" s="20" t="s">
        <v>4440</v>
      </c>
      <c r="R1003" s="13" t="s">
        <v>148</v>
      </c>
      <c r="S1003" s="14" t="n">
        <v>32024</v>
      </c>
      <c r="T1003" s="13" t="s">
        <v>108</v>
      </c>
      <c r="U1003" s="13" t="s">
        <v>4441</v>
      </c>
      <c r="V1003" s="13" t="s">
        <v>42</v>
      </c>
      <c r="W1003" s="13" t="s">
        <v>54</v>
      </c>
      <c r="X1003" s="21" t="n">
        <v>85735479631</v>
      </c>
      <c r="Y1003" s="22" t="str">
        <f aca="false">O1003</f>
        <v>Helper Cutting</v>
      </c>
      <c r="Z1003" s="13" t="str">
        <f aca="false">IFERROR(__xludf.dummyfunction("if(BJ1003="""","""",GOOGLETRANSLATE(BJ1003,""auto"",""en""))"),"Helper Cutting")</f>
        <v>Helper Cutting</v>
      </c>
      <c r="AA1003" s="23" t="str">
        <f aca="false">IF(C1003="","", CHOOSE(MONTH(C1003),"January","February","March","April","May","June","July","August","September","October","November","December")&amp;" "&amp;DAY(C1003)&amp;MID("thstndrdth",MIN(9,2*RIGHT(DAY(C1003))*(MOD(DAY(C1003)-11,100)&gt;2)+1),2)&amp;","&amp;TEXT(C1003," yyyy"))</f>
        <v>April 17th,2023</v>
      </c>
      <c r="AB1003" s="15" t="str">
        <f aca="true">IF(S1003="","",DATEDIF(S1003,TODAY(),"Y")&amp;" Tahun, "&amp;DATEDIF(S1003,TODAY(),"YM")&amp;" Bulan, "&amp;DATEDIF(S1003,TODAY(),"MD")&amp;" Hari")</f>
        <v>39 Tahun, 1 Bulan, 25 Hari</v>
      </c>
      <c r="AC1003" s="18" t="n">
        <v>45764</v>
      </c>
      <c r="AD1003" s="18" t="n">
        <v>45946</v>
      </c>
      <c r="AE1003" s="18" t="s">
        <v>44</v>
      </c>
    </row>
    <row r="1004" customFormat="false" ht="15.75" hidden="false" customHeight="true" outlineLevel="0" collapsed="false">
      <c r="A1004" s="12" t="n">
        <v>10506</v>
      </c>
      <c r="B1004" s="13" t="s">
        <v>4442</v>
      </c>
      <c r="C1004" s="14" t="n">
        <v>45033</v>
      </c>
      <c r="D1004" s="13" t="s">
        <v>4264</v>
      </c>
      <c r="E1004" s="15" t="s">
        <v>47</v>
      </c>
      <c r="F1004" s="15" t="str">
        <f aca="false">IFERROR(__xludf.dummyfunction("XLOOKUP(AJ1004,IMPORTRANGE(""1XaInW9DU9nz21V0tYIfzFQ0He9kVQ_JF2mCXgZ3hqFA"",""REKAP ALL 2026 - Andika!G:G""),IMPORTRANGE(""1XaInW9DU9nz21V0tYIfzFQ0He9kVQ_JF2mCXgZ3hqFA"",""REKAP ALL 2026 - Andika!F:F""),"""",0)"),"23057167233")</f>
        <v>23057167233</v>
      </c>
      <c r="G1004" s="13" t="s">
        <v>4443</v>
      </c>
      <c r="H1004" s="13" t="s">
        <v>35</v>
      </c>
      <c r="I1004" s="13" t="str">
        <f aca="false">IF(C1004=J1004,"NEW KONTRAK","RE-KONTRAK")</f>
        <v>RE-KONTRAK</v>
      </c>
      <c r="J1004" s="16" t="n">
        <f aca="false" t="array" ref="J1004:J1004">IFERROR(INDEX(AC1004:AE1004,IF(COUNTA(AC1004:AE1004)=0,"",MAX((AC1004:AE1004&lt;&gt;"")*(COLUMN(AC1004:AE1004)-(COLUMN(AC1004)))))-1),"")</f>
        <v>45764</v>
      </c>
      <c r="K1004" s="16" t="n">
        <f aca="false" t="array" ref="K1004:K1004">IFERROR(INDEX(AC1004:AE1004,IF(COUNTA(AC1004:AE1004)=0,"",MAX((AC1004:AE1004&lt;&gt;"")*(COLUMN(AC1004:AE1004)-(COLUMN(AC1004)-1))))-1),"")</f>
        <v>45946</v>
      </c>
      <c r="L1004" s="17" t="str">
        <f aca="false" t="array" ref="L1004:L1004">IFERROR(INDEX(AC1004:AE1004,IF(COUNTA(AC1004:AE1004)=0,"",MAX((AC1004:AE1004&lt;&gt;"")*(COLUMN(AC1004:AE1004)-(COLUMN(AC1004)-2))))-1),"")</f>
        <v>ARCHIVED</v>
      </c>
      <c r="M1004" s="13" t="n">
        <f aca="true">K1004-TODAY()</f>
        <v>-378</v>
      </c>
      <c r="N1004" s="18" t="s">
        <v>36</v>
      </c>
      <c r="O1004" s="13" t="s">
        <v>4280</v>
      </c>
      <c r="P1004" s="27" t="n">
        <v>120000</v>
      </c>
      <c r="Q1004" s="20" t="s">
        <v>4444</v>
      </c>
      <c r="R1004" s="13" t="s">
        <v>52</v>
      </c>
      <c r="S1004" s="14" t="n">
        <v>36178</v>
      </c>
      <c r="T1004" s="13" t="s">
        <v>108</v>
      </c>
      <c r="U1004" s="13" t="s">
        <v>4445</v>
      </c>
      <c r="V1004" s="13" t="s">
        <v>42</v>
      </c>
      <c r="W1004" s="13" t="s">
        <v>54</v>
      </c>
      <c r="X1004" s="21" t="n">
        <v>89509300473</v>
      </c>
      <c r="Y1004" s="22" t="str">
        <f aca="false">O1004</f>
        <v>Helper Cutting</v>
      </c>
      <c r="Z1004" s="13" t="str">
        <f aca="false">IFERROR(__xludf.dummyfunction("if(BJ1004="""","""",GOOGLETRANSLATE(BJ1004,""auto"",""en""))"),"Helper Cutting")</f>
        <v>Helper Cutting</v>
      </c>
      <c r="AA1004" s="23" t="str">
        <f aca="false">IF(C1004="","", CHOOSE(MONTH(C1004),"January","February","March","April","May","June","July","August","September","October","November","December")&amp;" "&amp;DAY(C1004)&amp;MID("thstndrdth",MIN(9,2*RIGHT(DAY(C1004))*(MOD(DAY(C1004)-11,100)&gt;2)+1),2)&amp;","&amp;TEXT(C1004," yyyy"))</f>
        <v>April 17th,2023</v>
      </c>
      <c r="AB1004" s="15" t="str">
        <f aca="true">IF(S1004="","",DATEDIF(S1004,TODAY(),"Y")&amp;" Tahun, "&amp;DATEDIF(S1004,TODAY(),"YM")&amp;" Bulan, "&amp;DATEDIF(S1004,TODAY(),"MD")&amp;" Hari")</f>
        <v>27 Tahun, 9 Bulan, 11 Hari</v>
      </c>
      <c r="AC1004" s="18" t="n">
        <v>45764</v>
      </c>
      <c r="AD1004" s="18" t="n">
        <v>45946</v>
      </c>
      <c r="AE1004" s="18" t="s">
        <v>44</v>
      </c>
    </row>
    <row r="1005" customFormat="false" ht="15.75" hidden="false" customHeight="true" outlineLevel="0" collapsed="false">
      <c r="A1005" s="12" t="n">
        <v>10507</v>
      </c>
      <c r="B1005" s="13" t="s">
        <v>4446</v>
      </c>
      <c r="C1005" s="14" t="n">
        <v>45033</v>
      </c>
      <c r="D1005" s="13" t="s">
        <v>4264</v>
      </c>
      <c r="E1005" s="15" t="s">
        <v>47</v>
      </c>
      <c r="F1005" s="15" t="str">
        <f aca="false">IFERROR(__xludf.dummyfunction("XLOOKUP(AJ1005,IMPORTRANGE(""1XaInW9DU9nz21V0tYIfzFQ0He9kVQ_JF2mCXgZ3hqFA"",""REKAP ALL 2026 - Andika!G:G""),IMPORTRANGE(""1XaInW9DU9nz21V0tYIfzFQ0He9kVQ_JF2mCXgZ3hqFA"",""REKAP ALL 2026 - Andika!F:F""),"""",0)"),"23057166805")</f>
        <v>23057166805</v>
      </c>
      <c r="G1005" s="13" t="s">
        <v>4447</v>
      </c>
      <c r="H1005" s="13" t="s">
        <v>35</v>
      </c>
      <c r="I1005" s="13" t="str">
        <f aca="false">IF(C1005=J1005,"NEW KONTRAK","RE-KONTRAK")</f>
        <v>RE-KONTRAK</v>
      </c>
      <c r="J1005" s="16" t="n">
        <f aca="false" t="array" ref="J1005:J1005">IFERROR(INDEX(AC1005:AE1005,IF(COUNTA(AC1005:AE1005)=0,"",MAX((AC1005:AE1005&lt;&gt;"")*(COLUMN(AC1005:AE1005)-(COLUMN(AC1005)))))-1),"")</f>
        <v>45764</v>
      </c>
      <c r="K1005" s="16" t="n">
        <f aca="false" t="array" ref="K1005:K1005">IFERROR(INDEX(AC1005:AE1005,IF(COUNTA(AC1005:AE1005)=0,"",MAX((AC1005:AE1005&lt;&gt;"")*(COLUMN(AC1005:AE1005)-(COLUMN(AC1005)-1))))-1),"")</f>
        <v>45946</v>
      </c>
      <c r="L1005" s="17" t="str">
        <f aca="false" t="array" ref="L1005:L1005">IFERROR(INDEX(AC1005:AE1005,IF(COUNTA(AC1005:AE1005)=0,"",MAX((AC1005:AE1005&lt;&gt;"")*(COLUMN(AC1005:AE1005)-(COLUMN(AC1005)-2))))-1),"")</f>
        <v>ARCHIVED</v>
      </c>
      <c r="M1005" s="13" t="n">
        <f aca="true">K1005-TODAY()</f>
        <v>-378</v>
      </c>
      <c r="N1005" s="18" t="s">
        <v>36</v>
      </c>
      <c r="O1005" s="13" t="s">
        <v>4280</v>
      </c>
      <c r="P1005" s="27" t="n">
        <v>120000</v>
      </c>
      <c r="Q1005" s="20" t="s">
        <v>4448</v>
      </c>
      <c r="R1005" s="13" t="s">
        <v>65</v>
      </c>
      <c r="S1005" s="14" t="n">
        <v>37142</v>
      </c>
      <c r="T1005" s="13" t="s">
        <v>108</v>
      </c>
      <c r="U1005" s="13" t="s">
        <v>4449</v>
      </c>
      <c r="V1005" s="13" t="s">
        <v>42</v>
      </c>
      <c r="W1005" s="13" t="s">
        <v>43</v>
      </c>
      <c r="X1005" s="21" t="n">
        <v>895803291695</v>
      </c>
      <c r="Y1005" s="22" t="str">
        <f aca="false">O1005</f>
        <v>Helper Cutting</v>
      </c>
      <c r="Z1005" s="13" t="str">
        <f aca="false">IFERROR(__xludf.dummyfunction("if(BJ1005="""","""",GOOGLETRANSLATE(BJ1005,""auto"",""en""))"),"Helper Cutting")</f>
        <v>Helper Cutting</v>
      </c>
      <c r="AA1005" s="23" t="str">
        <f aca="false">IF(C1005="","", CHOOSE(MONTH(C1005),"January","February","March","April","May","June","July","August","September","October","November","December")&amp;" "&amp;DAY(C1005)&amp;MID("thstndrdth",MIN(9,2*RIGHT(DAY(C1005))*(MOD(DAY(C1005)-11,100)&gt;2)+1),2)&amp;","&amp;TEXT(C1005," yyyy"))</f>
        <v>April 17th,2023</v>
      </c>
      <c r="AB1005" s="15" t="str">
        <f aca="true">IF(S1005="","",DATEDIF(S1005,TODAY(),"Y")&amp;" Tahun, "&amp;DATEDIF(S1005,TODAY(),"YM")&amp;" Bulan, "&amp;DATEDIF(S1005,TODAY(),"MD")&amp;" Hari")</f>
        <v>25 Tahun, 1 Bulan, 21 Hari</v>
      </c>
      <c r="AC1005" s="18" t="n">
        <v>45764</v>
      </c>
      <c r="AD1005" s="18" t="n">
        <v>45946</v>
      </c>
      <c r="AE1005" s="18" t="s">
        <v>44</v>
      </c>
    </row>
    <row r="1006" customFormat="false" ht="15.75" hidden="false" customHeight="true" outlineLevel="0" collapsed="false">
      <c r="A1006" s="12" t="n">
        <v>10508</v>
      </c>
      <c r="B1006" s="13" t="s">
        <v>4450</v>
      </c>
      <c r="C1006" s="14" t="n">
        <v>45033</v>
      </c>
      <c r="D1006" s="13" t="s">
        <v>4259</v>
      </c>
      <c r="E1006" s="15" t="s">
        <v>47</v>
      </c>
      <c r="F1006" s="15" t="str">
        <f aca="false">IFERROR(__xludf.dummyfunction("XLOOKUP(AJ1006,IMPORTRANGE(""1XaInW9DU9nz21V0tYIfzFQ0He9kVQ_JF2mCXgZ3hqFA"",""REKAP ALL 2026 - Andika!G:G""),IMPORTRANGE(""1XaInW9DU9nz21V0tYIfzFQ0He9kVQ_JF2mCXgZ3hqFA"",""REKAP ALL 2026 - Andika!F:F""),"""",0)"),"23076926916")</f>
        <v>23076926916</v>
      </c>
      <c r="G1006" s="13" t="s">
        <v>4451</v>
      </c>
      <c r="H1006" s="13" t="s">
        <v>35</v>
      </c>
      <c r="I1006" s="13" t="str">
        <f aca="false">IF(C1006=J1006,"NEW KONTRAK","RE-KONTRAK")</f>
        <v>RE-KONTRAK</v>
      </c>
      <c r="J1006" s="16" t="n">
        <f aca="false" t="array" ref="J1006:J1006">IFERROR(INDEX(AC1006:AE1006,IF(COUNTA(AC1006:AE1006)=0,"",MAX((AC1006:AE1006&lt;&gt;"")*(COLUMN(AC1006:AE1006)-(COLUMN(AC1006)))))-1),"")</f>
        <v>45764</v>
      </c>
      <c r="K1006" s="16" t="n">
        <f aca="false" t="array" ref="K1006:K1006">IFERROR(INDEX(AC1006:AE1006,IF(COUNTA(AC1006:AE1006)=0,"",MAX((AC1006:AE1006&lt;&gt;"")*(COLUMN(AC1006:AE1006)-(COLUMN(AC1006)-1))))-1),"")</f>
        <v>45946</v>
      </c>
      <c r="L1006" s="17" t="str">
        <f aca="false" t="array" ref="L1006:L1006">IFERROR(INDEX(AC1006:AE1006,IF(COUNTA(AC1006:AE1006)=0,"",MAX((AC1006:AE1006&lt;&gt;"")*(COLUMN(AC1006:AE1006)-(COLUMN(AC1006)-2))))-1),"")</f>
        <v>ARCHIVED</v>
      </c>
      <c r="M1006" s="13" t="n">
        <f aca="true">K1006-TODAY()</f>
        <v>-378</v>
      </c>
      <c r="N1006" s="18" t="s">
        <v>36</v>
      </c>
      <c r="O1006" s="13" t="s">
        <v>4274</v>
      </c>
      <c r="P1006" s="27" t="n">
        <v>200000</v>
      </c>
      <c r="Q1006" s="20" t="s">
        <v>4452</v>
      </c>
      <c r="R1006" s="13" t="s">
        <v>232</v>
      </c>
      <c r="S1006" s="14" t="n">
        <v>30796</v>
      </c>
      <c r="T1006" s="13" t="s">
        <v>40</v>
      </c>
      <c r="U1006" s="13" t="s">
        <v>4453</v>
      </c>
      <c r="V1006" s="13" t="s">
        <v>42</v>
      </c>
      <c r="W1006" s="13" t="s">
        <v>54</v>
      </c>
      <c r="X1006" s="21" t="n">
        <v>81231544385</v>
      </c>
      <c r="Y1006" s="22" t="str">
        <f aca="false">O1006</f>
        <v>Operator Extruder</v>
      </c>
      <c r="Z1006" s="13" t="str">
        <f aca="false">IFERROR(__xludf.dummyfunction("if(BJ1006="""","""",GOOGLETRANSLATE(BJ1006,""auto"",""en""))"),"Operator Extruder")</f>
        <v>Operator Extruder</v>
      </c>
      <c r="AA1006" s="23" t="str">
        <f aca="false">IF(C1006="","", CHOOSE(MONTH(C1006),"January","February","March","April","May","June","July","August","September","October","November","December")&amp;" "&amp;DAY(C1006)&amp;MID("thstndrdth",MIN(9,2*RIGHT(DAY(C1006))*(MOD(DAY(C1006)-11,100)&gt;2)+1),2)&amp;","&amp;TEXT(C1006," yyyy"))</f>
        <v>April 17th,2023</v>
      </c>
      <c r="AB1006" s="15" t="str">
        <f aca="true">IF(S1006="","",DATEDIF(S1006,TODAY(),"Y")&amp;" Tahun, "&amp;DATEDIF(S1006,TODAY(),"YM")&amp;" Bulan, "&amp;DATEDIF(S1006,TODAY(),"MD")&amp;" Hari")</f>
        <v>42 Tahun, 6 Bulan, 5 Hari</v>
      </c>
      <c r="AC1006" s="18" t="n">
        <v>45764</v>
      </c>
      <c r="AD1006" s="18" t="n">
        <v>45946</v>
      </c>
      <c r="AE1006" s="18" t="s">
        <v>44</v>
      </c>
    </row>
    <row r="1007" customFormat="false" ht="15.75" hidden="false" customHeight="true" outlineLevel="0" collapsed="false">
      <c r="A1007" s="12" t="n">
        <v>10510</v>
      </c>
      <c r="B1007" s="13" t="s">
        <v>4454</v>
      </c>
      <c r="C1007" s="14" t="n">
        <v>45033</v>
      </c>
      <c r="D1007" s="13" t="s">
        <v>4259</v>
      </c>
      <c r="E1007" s="15" t="s">
        <v>47</v>
      </c>
      <c r="F1007" s="15" t="str">
        <f aca="false">IFERROR(__xludf.dummyfunction("XLOOKUP(AJ1007,IMPORTRANGE(""1XaInW9DU9nz21V0tYIfzFQ0He9kVQ_JF2mCXgZ3hqFA"",""REKAP ALL 2026 - Andika!G:G""),IMPORTRANGE(""1XaInW9DU9nz21V0tYIfzFQ0He9kVQ_JF2mCXgZ3hqFA"",""REKAP ALL 2026 - Andika!F:F""),"""",0)"),"14013754784")</f>
        <v>14013754784</v>
      </c>
      <c r="G1007" s="13" t="s">
        <v>4455</v>
      </c>
      <c r="H1007" s="13" t="s">
        <v>35</v>
      </c>
      <c r="I1007" s="13" t="str">
        <f aca="false">IF(C1007=J1007,"NEW KONTRAK","RE-KONTRAK")</f>
        <v>RE-KONTRAK</v>
      </c>
      <c r="J1007" s="16" t="n">
        <f aca="false" t="array" ref="J1007:J1007">IFERROR(INDEX(AC1007:AE1007,IF(COUNTA(AC1007:AE1007)=0,"",MAX((AC1007:AE1007&lt;&gt;"")*(COLUMN(AC1007:AE1007)-(COLUMN(AC1007)))))-1),"")</f>
        <v>45764</v>
      </c>
      <c r="K1007" s="16" t="n">
        <f aca="false" t="array" ref="K1007:K1007">IFERROR(INDEX(AC1007:AE1007,IF(COUNTA(AC1007:AE1007)=0,"",MAX((AC1007:AE1007&lt;&gt;"")*(COLUMN(AC1007:AE1007)-(COLUMN(AC1007)-1))))-1),"")</f>
        <v>45916</v>
      </c>
      <c r="L1007" s="17" t="str">
        <f aca="false" t="array" ref="L1007:L1007">IFERROR(INDEX(AC1007:AE1007,IF(COUNTA(AC1007:AE1007)=0,"",MAX((AC1007:AE1007&lt;&gt;"")*(COLUMN(AC1007:AE1007)-(COLUMN(AC1007)-2))))-1),"")</f>
        <v>ARCHIVED</v>
      </c>
      <c r="M1007" s="13" t="n">
        <f aca="true">K1007-TODAY()</f>
        <v>-408</v>
      </c>
      <c r="N1007" s="18" t="s">
        <v>36</v>
      </c>
      <c r="O1007" s="13" t="s">
        <v>4288</v>
      </c>
      <c r="P1007" s="27" t="n">
        <v>200000</v>
      </c>
      <c r="Q1007" s="20" t="s">
        <v>4456</v>
      </c>
      <c r="R1007" s="13" t="s">
        <v>83</v>
      </c>
      <c r="S1007" s="14" t="n">
        <v>31875</v>
      </c>
      <c r="T1007" s="13" t="s">
        <v>40</v>
      </c>
      <c r="U1007" s="13" t="s">
        <v>4457</v>
      </c>
      <c r="V1007" s="13" t="s">
        <v>42</v>
      </c>
      <c r="W1007" s="13" t="s">
        <v>54</v>
      </c>
      <c r="X1007" s="21" t="n">
        <v>8974581778</v>
      </c>
      <c r="Y1007" s="22" t="str">
        <f aca="false">O1007</f>
        <v>Operator Printing</v>
      </c>
      <c r="Z1007" s="13" t="str">
        <f aca="false">IFERROR(__xludf.dummyfunction("if(BJ1007="""","""",GOOGLETRANSLATE(BJ1007,""auto"",""en""))"),"Operator Printing")</f>
        <v>Operator Printing</v>
      </c>
      <c r="AA1007" s="23" t="str">
        <f aca="false">IF(C1007="","", CHOOSE(MONTH(C1007),"January","February","March","April","May","June","July","August","September","October","November","December")&amp;" "&amp;DAY(C1007)&amp;MID("thstndrdth",MIN(9,2*RIGHT(DAY(C1007))*(MOD(DAY(C1007)-11,100)&gt;2)+1),2)&amp;","&amp;TEXT(C1007," yyyy"))</f>
        <v>April 17th,2023</v>
      </c>
      <c r="AB1007" s="15" t="str">
        <f aca="true">IF(S1007="","",DATEDIF(S1007,TODAY(),"Y")&amp;" Tahun, "&amp;DATEDIF(S1007,TODAY(),"YM")&amp;" Bulan, "&amp;DATEDIF(S1007,TODAY(),"MD")&amp;" Hari")</f>
        <v>39 Tahun, 6 Bulan, 21 Hari</v>
      </c>
      <c r="AC1007" s="18" t="n">
        <v>45764</v>
      </c>
      <c r="AD1007" s="18" t="n">
        <v>45916</v>
      </c>
      <c r="AE1007" s="18" t="s">
        <v>44</v>
      </c>
    </row>
    <row r="1008" customFormat="false" ht="15.75" hidden="false" customHeight="true" outlineLevel="0" collapsed="false">
      <c r="A1008" s="12" t="n">
        <v>10511</v>
      </c>
      <c r="B1008" s="13" t="s">
        <v>4458</v>
      </c>
      <c r="C1008" s="14" t="n">
        <v>45033</v>
      </c>
      <c r="D1008" s="13" t="s">
        <v>4259</v>
      </c>
      <c r="E1008" s="15" t="s">
        <v>47</v>
      </c>
      <c r="F1008" s="15" t="str">
        <f aca="false">IFERROR(__xludf.dummyfunction("XLOOKUP(AJ1008,IMPORTRANGE(""1XaInW9DU9nz21V0tYIfzFQ0He9kVQ_JF2mCXgZ3hqFA"",""REKAP ALL 2026 - Andika!G:G""),IMPORTRANGE(""1XaInW9DU9nz21V0tYIfzFQ0He9kVQ_JF2mCXgZ3hqFA"",""REKAP ALL 2026 - Andika!F:F""),"""",0)"),"23076927054")</f>
        <v>23076927054</v>
      </c>
      <c r="G1008" s="13" t="s">
        <v>4459</v>
      </c>
      <c r="H1008" s="13" t="s">
        <v>35</v>
      </c>
      <c r="I1008" s="13" t="str">
        <f aca="false">IF(C1008=J1008,"NEW KONTRAK","RE-KONTRAK")</f>
        <v>RE-KONTRAK</v>
      </c>
      <c r="J1008" s="16" t="n">
        <f aca="false" t="array" ref="J1008:J1008">IFERROR(INDEX(AC1008:AE1008,IF(COUNTA(AC1008:AE1008)=0,"",MAX((AC1008:AE1008&lt;&gt;"")*(COLUMN(AC1008:AE1008)-(COLUMN(AC1008)))))-1),"")</f>
        <v>45764</v>
      </c>
      <c r="K1008" s="16" t="n">
        <f aca="false" t="array" ref="K1008:K1008">IFERROR(INDEX(AC1008:AE1008,IF(COUNTA(AC1008:AE1008)=0,"",MAX((AC1008:AE1008&lt;&gt;"")*(COLUMN(AC1008:AE1008)-(COLUMN(AC1008)-1))))-1),"")</f>
        <v>45946</v>
      </c>
      <c r="L1008" s="17" t="str">
        <f aca="false" t="array" ref="L1008:L1008">IFERROR(INDEX(AC1008:AE1008,IF(COUNTA(AC1008:AE1008)=0,"",MAX((AC1008:AE1008&lt;&gt;"")*(COLUMN(AC1008:AE1008)-(COLUMN(AC1008)-2))))-1),"")</f>
        <v>ARCHIVED</v>
      </c>
      <c r="M1008" s="13" t="n">
        <f aca="true">K1008-TODAY()</f>
        <v>-378</v>
      </c>
      <c r="N1008" s="18" t="s">
        <v>36</v>
      </c>
      <c r="O1008" s="13" t="s">
        <v>4274</v>
      </c>
      <c r="P1008" s="27" t="n">
        <v>200000</v>
      </c>
      <c r="Q1008" s="20" t="s">
        <v>4460</v>
      </c>
      <c r="R1008" s="13" t="s">
        <v>52</v>
      </c>
      <c r="S1008" s="14" t="n">
        <v>30041</v>
      </c>
      <c r="T1008" s="13" t="s">
        <v>40</v>
      </c>
      <c r="U1008" s="13" t="s">
        <v>4461</v>
      </c>
      <c r="V1008" s="13" t="s">
        <v>42</v>
      </c>
      <c r="W1008" s="13" t="s">
        <v>54</v>
      </c>
      <c r="X1008" s="21" t="n">
        <v>881026158856</v>
      </c>
      <c r="Y1008" s="22" t="str">
        <f aca="false">O1008</f>
        <v>Operator Extruder</v>
      </c>
      <c r="Z1008" s="13" t="str">
        <f aca="false">IFERROR(__xludf.dummyfunction("if(BJ1008="""","""",GOOGLETRANSLATE(BJ1008,""auto"",""en""))"),"Operator Extruder")</f>
        <v>Operator Extruder</v>
      </c>
      <c r="AA1008" s="23" t="str">
        <f aca="false">IF(C1008="","", CHOOSE(MONTH(C1008),"January","February","March","April","May","June","July","August","September","October","November","December")&amp;" "&amp;DAY(C1008)&amp;MID("thstndrdth",MIN(9,2*RIGHT(DAY(C1008))*(MOD(DAY(C1008)-11,100)&gt;2)+1),2)&amp;","&amp;TEXT(C1008," yyyy"))</f>
        <v>April 17th,2023</v>
      </c>
      <c r="AB1008" s="15" t="str">
        <f aca="true">IF(S1008="","",DATEDIF(S1008,TODAY(),"Y")&amp;" Tahun, "&amp;DATEDIF(S1008,TODAY(),"YM")&amp;" Bulan, "&amp;DATEDIF(S1008,TODAY(),"MD")&amp;" Hari")</f>
        <v>44 Tahun, 6 Bulan, 28 Hari</v>
      </c>
      <c r="AC1008" s="18" t="n">
        <v>45764</v>
      </c>
      <c r="AD1008" s="18" t="n">
        <v>45946</v>
      </c>
      <c r="AE1008" s="18" t="s">
        <v>44</v>
      </c>
    </row>
    <row r="1009" customFormat="false" ht="15.75" hidden="false" customHeight="true" outlineLevel="0" collapsed="false">
      <c r="A1009" s="12" t="n">
        <v>10512</v>
      </c>
      <c r="B1009" s="13" t="s">
        <v>4462</v>
      </c>
      <c r="C1009" s="14" t="n">
        <v>45033</v>
      </c>
      <c r="D1009" s="13" t="s">
        <v>4259</v>
      </c>
      <c r="E1009" s="15" t="s">
        <v>2467</v>
      </c>
      <c r="F1009" s="15" t="str">
        <f aca="false">IFERROR(__xludf.dummyfunction("XLOOKUP(AJ1009,IMPORTRANGE(""1XaInW9DU9nz21V0tYIfzFQ0He9kVQ_JF2mCXgZ3hqFA"",""REKAP ALL 2026 - Andika!G:G""),IMPORTRANGE(""1XaInW9DU9nz21V0tYIfzFQ0He9kVQ_JF2mCXgZ3hqFA"",""REKAP ALL 2026 - Andika!F:F""),"""",0)"),"17021956556")</f>
        <v>17021956556</v>
      </c>
      <c r="G1009" s="13" t="s">
        <v>4463</v>
      </c>
      <c r="H1009" s="13" t="s">
        <v>35</v>
      </c>
      <c r="I1009" s="13" t="str">
        <f aca="false">IF(C1009=J1009,"NEW KONTRAK","RE-KONTRAK")</f>
        <v>RE-KONTRAK</v>
      </c>
      <c r="J1009" s="16" t="n">
        <f aca="false" t="array" ref="J1009:J1009">IFERROR(INDEX(AC1009:AE1009,IF(COUNTA(AC1009:AE1009)=0,"",MAX((AC1009:AE1009&lt;&gt;"")*(COLUMN(AC1009:AE1009)-(COLUMN(AC1009)))))-1),"")</f>
        <v>45764</v>
      </c>
      <c r="K1009" s="16" t="n">
        <f aca="false" t="array" ref="K1009:K1009">IFERROR(INDEX(AC1009:AE1009,IF(COUNTA(AC1009:AE1009)=0,"",MAX((AC1009:AE1009&lt;&gt;"")*(COLUMN(AC1009:AE1009)-(COLUMN(AC1009)-1))))-1),"")</f>
        <v>45946</v>
      </c>
      <c r="L1009" s="17" t="str">
        <f aca="false" t="array" ref="L1009:L1009">IFERROR(INDEX(AC1009:AE1009,IF(COUNTA(AC1009:AE1009)=0,"",MAX((AC1009:AE1009&lt;&gt;"")*(COLUMN(AC1009:AE1009)-(COLUMN(AC1009)-2))))-1),"")</f>
        <v>ARCHIVED</v>
      </c>
      <c r="M1009" s="13" t="n">
        <f aca="true">K1009-TODAY()</f>
        <v>-378</v>
      </c>
      <c r="N1009" s="18" t="s">
        <v>36</v>
      </c>
      <c r="O1009" s="13" t="s">
        <v>4280</v>
      </c>
      <c r="P1009" s="27" t="n">
        <v>120000</v>
      </c>
      <c r="Q1009" s="20" t="s">
        <v>4464</v>
      </c>
      <c r="R1009" s="13" t="s">
        <v>65</v>
      </c>
      <c r="S1009" s="14" t="n">
        <v>34292</v>
      </c>
      <c r="T1009" s="13" t="s">
        <v>108</v>
      </c>
      <c r="U1009" s="13" t="s">
        <v>4457</v>
      </c>
      <c r="V1009" s="13" t="s">
        <v>42</v>
      </c>
      <c r="W1009" s="13" t="s">
        <v>43</v>
      </c>
      <c r="X1009" s="21" t="n">
        <v>882009395726</v>
      </c>
      <c r="Y1009" s="22" t="str">
        <f aca="false">O1009</f>
        <v>Helper Cutting</v>
      </c>
      <c r="Z1009" s="13" t="str">
        <f aca="false">IFERROR(__xludf.dummyfunction("if(BJ1009="""","""",GOOGLETRANSLATE(BJ1009,""auto"",""en""))"),"Helper Cutting")</f>
        <v>Helper Cutting</v>
      </c>
      <c r="AA1009" s="23" t="str">
        <f aca="false">IF(C1009="","", CHOOSE(MONTH(C1009),"January","February","March","April","May","June","July","August","September","October","November","December")&amp;" "&amp;DAY(C1009)&amp;MID("thstndrdth",MIN(9,2*RIGHT(DAY(C1009))*(MOD(DAY(C1009)-11,100)&gt;2)+1),2)&amp;","&amp;TEXT(C1009," yyyy"))</f>
        <v>April 17th,2023</v>
      </c>
      <c r="AB1009" s="15" t="str">
        <f aca="true">IF(S1009="","",DATEDIF(S1009,TODAY(),"Y")&amp;" Tahun, "&amp;DATEDIF(S1009,TODAY(),"YM")&amp;" Bulan, "&amp;DATEDIF(S1009,TODAY(),"MD")&amp;" Hari")</f>
        <v>32 Tahun, 11 Bulan, 10 Hari</v>
      </c>
      <c r="AC1009" s="18" t="n">
        <v>45764</v>
      </c>
      <c r="AD1009" s="18" t="n">
        <v>45946</v>
      </c>
      <c r="AE1009" s="18" t="s">
        <v>44</v>
      </c>
    </row>
    <row r="1010" customFormat="false" ht="15.75" hidden="false" customHeight="true" outlineLevel="0" collapsed="false">
      <c r="A1010" s="12" t="n">
        <v>10516</v>
      </c>
      <c r="B1010" s="13" t="s">
        <v>4465</v>
      </c>
      <c r="C1010" s="14" t="n">
        <v>45033</v>
      </c>
      <c r="D1010" s="13" t="s">
        <v>4259</v>
      </c>
      <c r="E1010" s="15" t="s">
        <v>47</v>
      </c>
      <c r="F1010" s="15" t="str">
        <f aca="false">IFERROR(__xludf.dummyfunction("XLOOKUP(AJ1010,IMPORTRANGE(""1XaInW9DU9nz21V0tYIfzFQ0He9kVQ_JF2mCXgZ3hqFA"",""REKAP ALL 2026 - Andika!G:G""),IMPORTRANGE(""1XaInW9DU9nz21V0tYIfzFQ0He9kVQ_JF2mCXgZ3hqFA"",""REKAP ALL 2026 - Andika!F:F""),"""",0)"),"23076926775")</f>
        <v>23076926775</v>
      </c>
      <c r="G1010" s="13" t="s">
        <v>4466</v>
      </c>
      <c r="H1010" s="13" t="s">
        <v>35</v>
      </c>
      <c r="I1010" s="13" t="str">
        <f aca="false">IF(C1010=J1010,"NEW KONTRAK","RE-KONTRAK")</f>
        <v>RE-KONTRAK</v>
      </c>
      <c r="J1010" s="16" t="n">
        <f aca="false" t="array" ref="J1010:J1010">IFERROR(INDEX(AC1010:AE1010,IF(COUNTA(AC1010:AE1010)=0,"",MAX((AC1010:AE1010&lt;&gt;"")*(COLUMN(AC1010:AE1010)-(COLUMN(AC1010)))))-1),"")</f>
        <v>45764</v>
      </c>
      <c r="K1010" s="16" t="n">
        <f aca="false" t="array" ref="K1010:K1010">IFERROR(INDEX(AC1010:AE1010,IF(COUNTA(AC1010:AE1010)=0,"",MAX((AC1010:AE1010&lt;&gt;"")*(COLUMN(AC1010:AE1010)-(COLUMN(AC1010)-1))))-1),"")</f>
        <v>45946</v>
      </c>
      <c r="L1010" s="17" t="str">
        <f aca="false" t="array" ref="L1010:L1010">IFERROR(INDEX(AC1010:AE1010,IF(COUNTA(AC1010:AE1010)=0,"",MAX((AC1010:AE1010&lt;&gt;"")*(COLUMN(AC1010:AE1010)-(COLUMN(AC1010)-2))))-1),"")</f>
        <v>ARCHIVED</v>
      </c>
      <c r="M1010" s="13" t="n">
        <f aca="true">K1010-TODAY()</f>
        <v>-378</v>
      </c>
      <c r="N1010" s="18" t="s">
        <v>36</v>
      </c>
      <c r="O1010" s="13" t="s">
        <v>4280</v>
      </c>
      <c r="P1010" s="27" t="n">
        <v>120000</v>
      </c>
      <c r="Q1010" s="20" t="s">
        <v>4467</v>
      </c>
      <c r="R1010" s="13" t="s">
        <v>52</v>
      </c>
      <c r="S1010" s="14" t="n">
        <v>27499</v>
      </c>
      <c r="T1010" s="13" t="s">
        <v>108</v>
      </c>
      <c r="U1010" s="13" t="s">
        <v>4449</v>
      </c>
      <c r="V1010" s="13" t="s">
        <v>42</v>
      </c>
      <c r="W1010" s="13" t="s">
        <v>2402</v>
      </c>
      <c r="X1010" s="21" t="n">
        <v>83856365464</v>
      </c>
      <c r="Y1010" s="22" t="str">
        <f aca="false">O1010</f>
        <v>Helper Cutting</v>
      </c>
      <c r="Z1010" s="13" t="str">
        <f aca="false">IFERROR(__xludf.dummyfunction("if(BJ1010="""","""",GOOGLETRANSLATE(BJ1010,""auto"",""en""))"),"Helper Cutting")</f>
        <v>Helper Cutting</v>
      </c>
      <c r="AA1010" s="23" t="str">
        <f aca="false">IF(C1010="","", CHOOSE(MONTH(C1010),"January","February","March","April","May","June","July","August","September","October","November","December")&amp;" "&amp;DAY(C1010)&amp;MID("thstndrdth",MIN(9,2*RIGHT(DAY(C1010))*(MOD(DAY(C1010)-11,100)&gt;2)+1),2)&amp;","&amp;TEXT(C1010," yyyy"))</f>
        <v>April 17th,2023</v>
      </c>
      <c r="AB1010" s="15" t="str">
        <f aca="true">IF(S1010="","",DATEDIF(S1010,TODAY(),"Y")&amp;" Tahun, "&amp;DATEDIF(S1010,TODAY(),"YM")&amp;" Bulan, "&amp;DATEDIF(S1010,TODAY(),"MD")&amp;" Hari")</f>
        <v>51 Tahun, 6 Bulan, 14 Hari</v>
      </c>
      <c r="AC1010" s="18" t="n">
        <v>45764</v>
      </c>
      <c r="AD1010" s="18" t="n">
        <v>45946</v>
      </c>
      <c r="AE1010" s="18" t="s">
        <v>44</v>
      </c>
    </row>
    <row r="1011" customFormat="false" ht="15.75" hidden="false" customHeight="true" outlineLevel="0" collapsed="false">
      <c r="A1011" s="12" t="n">
        <v>10518</v>
      </c>
      <c r="B1011" s="13" t="s">
        <v>4468</v>
      </c>
      <c r="C1011" s="14" t="n">
        <v>43432</v>
      </c>
      <c r="D1011" s="13" t="s">
        <v>4252</v>
      </c>
      <c r="E1011" s="15" t="s">
        <v>33</v>
      </c>
      <c r="F1011" s="24" t="s">
        <v>4469</v>
      </c>
      <c r="G1011" s="13" t="s">
        <v>4470</v>
      </c>
      <c r="H1011" s="13" t="s">
        <v>35</v>
      </c>
      <c r="I1011" s="13" t="str">
        <f aca="false">IF(C1011=J1011,"NEW KONTRAK","RE-KONTRAK")</f>
        <v>RE-KONTRAK</v>
      </c>
      <c r="J1011" s="16" t="n">
        <f aca="false" t="array" ref="J1011:J1011">IFERROR(INDEX(AC1011:AE1011,IF(COUNTA(AC1011:AE1011)=0,"",MAX((AC1011:AE1011&lt;&gt;"")*(COLUMN(AC1011:AE1011)-(COLUMN(AC1011)))))-1),"")</f>
        <v>45764</v>
      </c>
      <c r="K1011" s="16" t="n">
        <f aca="false" t="array" ref="K1011:K1011">IFERROR(INDEX(AC1011:AE1011,IF(COUNTA(AC1011:AE1011)=0,"",MAX((AC1011:AE1011&lt;&gt;"")*(COLUMN(AC1011:AE1011)-(COLUMN(AC1011)-1))))-1),"")</f>
        <v>45946</v>
      </c>
      <c r="L1011" s="17" t="str">
        <f aca="false" t="array" ref="L1011:L1011">IFERROR(INDEX(AC1011:AE1011,IF(COUNTA(AC1011:AE1011)=0,"",MAX((AC1011:AE1011&lt;&gt;"")*(COLUMN(AC1011:AE1011)-(COLUMN(AC1011)-2))))-1),"")</f>
        <v>ARCHIVED</v>
      </c>
      <c r="M1011" s="13" t="n">
        <f aca="true">K1011-TODAY()</f>
        <v>-378</v>
      </c>
      <c r="N1011" s="18" t="s">
        <v>36</v>
      </c>
      <c r="O1011" s="13" t="s">
        <v>4280</v>
      </c>
      <c r="P1011" s="27" t="n">
        <v>120000</v>
      </c>
      <c r="Q1011" s="20" t="s">
        <v>4471</v>
      </c>
      <c r="R1011" s="13" t="s">
        <v>73</v>
      </c>
      <c r="S1011" s="14" t="n">
        <v>32842</v>
      </c>
      <c r="T1011" s="13" t="s">
        <v>108</v>
      </c>
      <c r="U1011" s="13" t="s">
        <v>4472</v>
      </c>
      <c r="V1011" s="13" t="s">
        <v>42</v>
      </c>
      <c r="W1011" s="13" t="s">
        <v>54</v>
      </c>
      <c r="X1011" s="21" t="n">
        <v>8563251099</v>
      </c>
      <c r="Y1011" s="22" t="str">
        <f aca="false">O1011</f>
        <v>Helper Cutting</v>
      </c>
      <c r="Z1011" s="13" t="str">
        <f aca="false">IFERROR(__xludf.dummyfunction("if(BJ1011="""","""",GOOGLETRANSLATE(BJ1011,""auto"",""en""))"),"Helper Cutting")</f>
        <v>Helper Cutting</v>
      </c>
      <c r="AA1011" s="23" t="str">
        <f aca="false">IF(C1011="","", CHOOSE(MONTH(C1011),"January","February","March","April","May","June","July","August","September","October","November","December")&amp;" "&amp;DAY(C1011)&amp;MID("thstndrdth",MIN(9,2*RIGHT(DAY(C1011))*(MOD(DAY(C1011)-11,100)&gt;2)+1),2)&amp;","&amp;TEXT(C1011," yyyy"))</f>
        <v>November 28th,2018</v>
      </c>
      <c r="AB1011" s="15" t="str">
        <f aca="true">IF(S1011="","",DATEDIF(S1011,TODAY(),"Y")&amp;" Tahun, "&amp;DATEDIF(S1011,TODAY(),"YM")&amp;" Bulan, "&amp;DATEDIF(S1011,TODAY(),"MD")&amp;" Hari")</f>
        <v>36 Tahun, 10 Bulan, 29 Hari</v>
      </c>
      <c r="AC1011" s="18" t="n">
        <v>45764</v>
      </c>
      <c r="AD1011" s="18" t="n">
        <v>45946</v>
      </c>
      <c r="AE1011" s="18" t="s">
        <v>44</v>
      </c>
    </row>
    <row r="1012" customFormat="false" ht="15.75" hidden="false" customHeight="true" outlineLevel="0" collapsed="false">
      <c r="A1012" s="12" t="n">
        <v>10519</v>
      </c>
      <c r="B1012" s="13" t="s">
        <v>4473</v>
      </c>
      <c r="C1012" s="14" t="n">
        <v>45033</v>
      </c>
      <c r="D1012" s="13" t="s">
        <v>4259</v>
      </c>
      <c r="E1012" s="15" t="s">
        <v>47</v>
      </c>
      <c r="F1012" s="15" t="str">
        <f aca="false">IFERROR(__xludf.dummyfunction("XLOOKUP(AJ1012,IMPORTRANGE(""1XaInW9DU9nz21V0tYIfzFQ0He9kVQ_JF2mCXgZ3hqFA"",""REKAP ALL 2026 - Andika!G:G""),IMPORTRANGE(""1XaInW9DU9nz21V0tYIfzFQ0He9kVQ_JF2mCXgZ3hqFA"",""REKAP ALL 2026 - Andika!F:F""),"""",0)"),"06N00099681")</f>
        <v>06N00099681</v>
      </c>
      <c r="G1012" s="13" t="s">
        <v>4474</v>
      </c>
      <c r="H1012" s="13" t="s">
        <v>35</v>
      </c>
      <c r="I1012" s="13" t="str">
        <f aca="false">IF(C1012=J1012,"NEW KONTRAK","RE-KONTRAK")</f>
        <v>RE-KONTRAK</v>
      </c>
      <c r="J1012" s="16" t="n">
        <f aca="false" t="array" ref="J1012:J1012">IFERROR(INDEX(AC1012:AE1012,IF(COUNTA(AC1012:AE1012)=0,"",MAX((AC1012:AE1012&lt;&gt;"")*(COLUMN(AC1012:AE1012)-(COLUMN(AC1012)))))-1),"")</f>
        <v>45764</v>
      </c>
      <c r="K1012" s="16" t="n">
        <f aca="false" t="array" ref="K1012:K1012">IFERROR(INDEX(AC1012:AE1012,IF(COUNTA(AC1012:AE1012)=0,"",MAX((AC1012:AE1012&lt;&gt;"")*(COLUMN(AC1012:AE1012)-(COLUMN(AC1012)-1))))-1),"")</f>
        <v>45916</v>
      </c>
      <c r="L1012" s="17" t="str">
        <f aca="false" t="array" ref="L1012:L1012">IFERROR(INDEX(AC1012:AE1012,IF(COUNTA(AC1012:AE1012)=0,"",MAX((AC1012:AE1012&lt;&gt;"")*(COLUMN(AC1012:AE1012)-(COLUMN(AC1012)-2))))-1),"")</f>
        <v>ARCHIVED</v>
      </c>
      <c r="M1012" s="13" t="n">
        <f aca="true">K1012-TODAY()</f>
        <v>-408</v>
      </c>
      <c r="N1012" s="18" t="s">
        <v>36</v>
      </c>
      <c r="O1012" s="13" t="s">
        <v>4280</v>
      </c>
      <c r="P1012" s="27" t="n">
        <v>120000</v>
      </c>
      <c r="Q1012" s="20" t="s">
        <v>4475</v>
      </c>
      <c r="R1012" s="13" t="s">
        <v>65</v>
      </c>
      <c r="S1012" s="14" t="n">
        <v>32121</v>
      </c>
      <c r="T1012" s="13" t="s">
        <v>108</v>
      </c>
      <c r="U1012" s="13" t="s">
        <v>4476</v>
      </c>
      <c r="V1012" s="13" t="s">
        <v>42</v>
      </c>
      <c r="W1012" s="13" t="s">
        <v>54</v>
      </c>
      <c r="X1012" s="21" t="n">
        <v>85715195647</v>
      </c>
      <c r="Y1012" s="22" t="str">
        <f aca="false">O1012</f>
        <v>Helper Cutting</v>
      </c>
      <c r="Z1012" s="13" t="str">
        <f aca="false">IFERROR(__xludf.dummyfunction("if(BJ1012="""","""",GOOGLETRANSLATE(BJ1012,""auto"",""en""))"),"Helper Cutting")</f>
        <v>Helper Cutting</v>
      </c>
      <c r="AA1012" s="23" t="str">
        <f aca="false">IF(C1012="","", CHOOSE(MONTH(C1012),"January","February","March","April","May","June","July","August","September","October","November","December")&amp;" "&amp;DAY(C1012)&amp;MID("thstndrdth",MIN(9,2*RIGHT(DAY(C1012))*(MOD(DAY(C1012)-11,100)&gt;2)+1),2)&amp;","&amp;TEXT(C1012," yyyy"))</f>
        <v>April 17th,2023</v>
      </c>
      <c r="AB1012" s="15" t="str">
        <f aca="true">IF(S1012="","",DATEDIF(S1012,TODAY(),"Y")&amp;" Tahun, "&amp;DATEDIF(S1012,TODAY(),"YM")&amp;" Bulan, "&amp;DATEDIF(S1012,TODAY(),"MD")&amp;" Hari")</f>
        <v>38 Tahun, 10 Bulan, 19 Hari</v>
      </c>
      <c r="AC1012" s="18" t="n">
        <v>45764</v>
      </c>
      <c r="AD1012" s="18" t="n">
        <v>45916</v>
      </c>
      <c r="AE1012" s="18" t="s">
        <v>44</v>
      </c>
    </row>
    <row r="1013" customFormat="false" ht="15.75" hidden="false" customHeight="true" outlineLevel="0" collapsed="false">
      <c r="A1013" s="12" t="n">
        <v>10520</v>
      </c>
      <c r="B1013" s="13" t="s">
        <v>4477</v>
      </c>
      <c r="C1013" s="14" t="n">
        <v>45033</v>
      </c>
      <c r="D1013" s="13" t="s">
        <v>4259</v>
      </c>
      <c r="E1013" s="15" t="s">
        <v>47</v>
      </c>
      <c r="F1013" s="15" t="str">
        <f aca="false">IFERROR(__xludf.dummyfunction("XLOOKUP(AJ1013,IMPORTRANGE(""1XaInW9DU9nz21V0tYIfzFQ0He9kVQ_JF2mCXgZ3hqFA"",""REKAP ALL 2026 - Andika!G:G""),IMPORTRANGE(""1XaInW9DU9nz21V0tYIfzFQ0He9kVQ_JF2mCXgZ3hqFA"",""REKAP ALL 2026 - Andika!F:F""),"""",0)"),"23076927286")</f>
        <v>23076927286</v>
      </c>
      <c r="G1013" s="13" t="s">
        <v>4478</v>
      </c>
      <c r="H1013" s="13" t="s">
        <v>35</v>
      </c>
      <c r="I1013" s="13" t="str">
        <f aca="false">IF(C1013=J1013,"NEW KONTRAK","RE-KONTRAK")</f>
        <v>RE-KONTRAK</v>
      </c>
      <c r="J1013" s="16" t="n">
        <f aca="false" t="array" ref="J1013:J1013">IFERROR(INDEX(AC1013:AE1013,IF(COUNTA(AC1013:AE1013)=0,"",MAX((AC1013:AE1013&lt;&gt;"")*(COLUMN(AC1013:AE1013)-(COLUMN(AC1013)))))-1),"")</f>
        <v>45764</v>
      </c>
      <c r="K1013" s="16" t="n">
        <f aca="false" t="array" ref="K1013:K1013">IFERROR(INDEX(AC1013:AE1013,IF(COUNTA(AC1013:AE1013)=0,"",MAX((AC1013:AE1013&lt;&gt;"")*(COLUMN(AC1013:AE1013)-(COLUMN(AC1013)-1))))-1),"")</f>
        <v>45946</v>
      </c>
      <c r="L1013" s="17" t="str">
        <f aca="false" t="array" ref="L1013:L1013">IFERROR(INDEX(AC1013:AE1013,IF(COUNTA(AC1013:AE1013)=0,"",MAX((AC1013:AE1013&lt;&gt;"")*(COLUMN(AC1013:AE1013)-(COLUMN(AC1013)-2))))-1),"")</f>
        <v>ARCHIVED</v>
      </c>
      <c r="M1013" s="13" t="n">
        <f aca="true">K1013-TODAY()</f>
        <v>-378</v>
      </c>
      <c r="N1013" s="18" t="s">
        <v>36</v>
      </c>
      <c r="O1013" s="13" t="s">
        <v>4274</v>
      </c>
      <c r="P1013" s="27" t="n">
        <v>200000</v>
      </c>
      <c r="Q1013" s="20" t="s">
        <v>4479</v>
      </c>
      <c r="R1013" s="13" t="s">
        <v>39</v>
      </c>
      <c r="S1013" s="14" t="n">
        <v>28137</v>
      </c>
      <c r="T1013" s="13" t="s">
        <v>40</v>
      </c>
      <c r="U1013" s="13" t="s">
        <v>4480</v>
      </c>
      <c r="V1013" s="13" t="s">
        <v>42</v>
      </c>
      <c r="W1013" s="13" t="s">
        <v>54</v>
      </c>
      <c r="X1013" s="21" t="n">
        <v>85706360937</v>
      </c>
      <c r="Y1013" s="22" t="str">
        <f aca="false">O1013</f>
        <v>Operator Extruder</v>
      </c>
      <c r="Z1013" s="13" t="str">
        <f aca="false">IFERROR(__xludf.dummyfunction("if(BJ1013="""","""",GOOGLETRANSLATE(BJ1013,""auto"",""en""))"),"Operator Extruder")</f>
        <v>Operator Extruder</v>
      </c>
      <c r="AA1013" s="23" t="str">
        <f aca="false">IF(C1013="","", CHOOSE(MONTH(C1013),"January","February","March","April","May","June","July","August","September","October","November","December")&amp;" "&amp;DAY(C1013)&amp;MID("thstndrdth",MIN(9,2*RIGHT(DAY(C1013))*(MOD(DAY(C1013)-11,100)&gt;2)+1),2)&amp;","&amp;TEXT(C1013," yyyy"))</f>
        <v>April 17th,2023</v>
      </c>
      <c r="AB1013" s="15" t="str">
        <f aca="true">IF(S1013="","",DATEDIF(S1013,TODAY(),"Y")&amp;" Tahun, "&amp;DATEDIF(S1013,TODAY(),"YM")&amp;" Bulan, "&amp;DATEDIF(S1013,TODAY(),"MD")&amp;" Hari")</f>
        <v>49 Tahun, 9 Bulan, 17 Hari</v>
      </c>
      <c r="AC1013" s="18" t="n">
        <v>45764</v>
      </c>
      <c r="AD1013" s="18" t="n">
        <v>45946</v>
      </c>
      <c r="AE1013" s="18" t="s">
        <v>44</v>
      </c>
    </row>
    <row r="1014" customFormat="false" ht="15.75" hidden="false" customHeight="true" outlineLevel="0" collapsed="false">
      <c r="A1014" s="12" t="n">
        <v>10521</v>
      </c>
      <c r="B1014" s="13" t="s">
        <v>2965</v>
      </c>
      <c r="C1014" s="14" t="n">
        <v>45033</v>
      </c>
      <c r="D1014" s="13" t="s">
        <v>4259</v>
      </c>
      <c r="E1014" s="15" t="s">
        <v>47</v>
      </c>
      <c r="F1014" s="15" t="str">
        <f aca="false">IFERROR(__xludf.dummyfunction("XLOOKUP(AJ1014,IMPORTRANGE(""1XaInW9DU9nz21V0tYIfzFQ0He9kVQ_JF2mCXgZ3hqFA"",""REKAP ALL 2026 - Andika!G:G""),IMPORTRANGE(""1XaInW9DU9nz21V0tYIfzFQ0He9kVQ_JF2mCXgZ3hqFA"",""REKAP ALL 2026 - Andika!F:F""),"""",0)"),"23076927161")</f>
        <v>23076927161</v>
      </c>
      <c r="G1014" s="13" t="s">
        <v>4481</v>
      </c>
      <c r="H1014" s="13" t="s">
        <v>35</v>
      </c>
      <c r="I1014" s="13" t="str">
        <f aca="false">IF(C1014=J1014,"NEW KONTRAK","RE-KONTRAK")</f>
        <v>RE-KONTRAK</v>
      </c>
      <c r="J1014" s="16" t="n">
        <f aca="false" t="array" ref="J1014:J1014">IFERROR(INDEX(AC1014:AE1014,IF(COUNTA(AC1014:AE1014)=0,"",MAX((AC1014:AE1014&lt;&gt;"")*(COLUMN(AC1014:AE1014)-(COLUMN(AC1014)))))-1),"")</f>
        <v>45764</v>
      </c>
      <c r="K1014" s="16" t="n">
        <f aca="false" t="array" ref="K1014:K1014">IFERROR(INDEX(AC1014:AE1014,IF(COUNTA(AC1014:AE1014)=0,"",MAX((AC1014:AE1014&lt;&gt;"")*(COLUMN(AC1014:AE1014)-(COLUMN(AC1014)-1))))-1),"")</f>
        <v>45946</v>
      </c>
      <c r="L1014" s="17" t="str">
        <f aca="false" t="array" ref="L1014:L1014">IFERROR(INDEX(AC1014:AE1014,IF(COUNTA(AC1014:AE1014)=0,"",MAX((AC1014:AE1014&lt;&gt;"")*(COLUMN(AC1014:AE1014)-(COLUMN(AC1014)-2))))-1),"")</f>
        <v>ARCHIVED</v>
      </c>
      <c r="M1014" s="13" t="n">
        <f aca="true">K1014-TODAY()</f>
        <v>-378</v>
      </c>
      <c r="N1014" s="18" t="s">
        <v>36</v>
      </c>
      <c r="O1014" s="13" t="s">
        <v>4288</v>
      </c>
      <c r="P1014" s="27" t="n">
        <v>200000</v>
      </c>
      <c r="Q1014" s="20" t="s">
        <v>4482</v>
      </c>
      <c r="R1014" s="13" t="s">
        <v>83</v>
      </c>
      <c r="S1014" s="14" t="n">
        <v>29817</v>
      </c>
      <c r="T1014" s="13" t="s">
        <v>40</v>
      </c>
      <c r="U1014" s="13" t="s">
        <v>4483</v>
      </c>
      <c r="V1014" s="13" t="s">
        <v>42</v>
      </c>
      <c r="W1014" s="13" t="s">
        <v>54</v>
      </c>
      <c r="X1014" s="21" t="n">
        <v>895411577334</v>
      </c>
      <c r="Y1014" s="22" t="str">
        <f aca="false">O1014</f>
        <v>Operator Printing</v>
      </c>
      <c r="Z1014" s="13" t="str">
        <f aca="false">IFERROR(__xludf.dummyfunction("if(BJ1014="""","""",GOOGLETRANSLATE(BJ1014,""auto"",""en""))"),"Operator Printing")</f>
        <v>Operator Printing</v>
      </c>
      <c r="AA1014" s="23" t="str">
        <f aca="false">IF(C1014="","", CHOOSE(MONTH(C1014),"January","February","March","April","May","June","July","August","September","October","November","December")&amp;" "&amp;DAY(C1014)&amp;MID("thstndrdth",MIN(9,2*RIGHT(DAY(C1014))*(MOD(DAY(C1014)-11,100)&gt;2)+1),2)&amp;","&amp;TEXT(C1014," yyyy"))</f>
        <v>April 17th,2023</v>
      </c>
      <c r="AB1014" s="15" t="str">
        <f aca="true">IF(S1014="","",DATEDIF(S1014,TODAY(),"Y")&amp;" Tahun, "&amp;DATEDIF(S1014,TODAY(),"YM")&amp;" Bulan, "&amp;DATEDIF(S1014,TODAY(),"MD")&amp;" Hari")</f>
        <v>45 Tahun, 2 Bulan, 10 Hari</v>
      </c>
      <c r="AC1014" s="18" t="n">
        <v>45764</v>
      </c>
      <c r="AD1014" s="18" t="n">
        <v>45946</v>
      </c>
      <c r="AE1014" s="18" t="s">
        <v>44</v>
      </c>
    </row>
    <row r="1015" customFormat="false" ht="15.75" hidden="false" customHeight="true" outlineLevel="0" collapsed="false">
      <c r="A1015" s="12" t="n">
        <v>10523</v>
      </c>
      <c r="B1015" s="13" t="s">
        <v>4484</v>
      </c>
      <c r="C1015" s="14" t="n">
        <v>45033</v>
      </c>
      <c r="D1015" s="13" t="s">
        <v>4252</v>
      </c>
      <c r="E1015" s="15" t="s">
        <v>33</v>
      </c>
      <c r="F1015" s="24" t="s">
        <v>4485</v>
      </c>
      <c r="G1015" s="13" t="s">
        <v>4486</v>
      </c>
      <c r="H1015" s="13" t="s">
        <v>35</v>
      </c>
      <c r="I1015" s="13" t="str">
        <f aca="false">IF(C1015=J1015,"NEW KONTRAK","RE-KONTRAK")</f>
        <v>RE-KONTRAK</v>
      </c>
      <c r="J1015" s="16" t="n">
        <f aca="false" t="array" ref="J1015:J1015">IFERROR(INDEX(AC1015:AE1015,IF(COUNTA(AC1015:AE1015)=0,"",MAX((AC1015:AE1015&lt;&gt;"")*(COLUMN(AC1015:AE1015)-(COLUMN(AC1015)))))-1),"")</f>
        <v>45764</v>
      </c>
      <c r="K1015" s="16" t="n">
        <f aca="false" t="array" ref="K1015:K1015">IFERROR(INDEX(AC1015:AE1015,IF(COUNTA(AC1015:AE1015)=0,"",MAX((AC1015:AE1015&lt;&gt;"")*(COLUMN(AC1015:AE1015)-(COLUMN(AC1015)-1))))-1),"")</f>
        <v>45946</v>
      </c>
      <c r="L1015" s="17" t="str">
        <f aca="false" t="array" ref="L1015:L1015">IFERROR(INDEX(AC1015:AE1015,IF(COUNTA(AC1015:AE1015)=0,"",MAX((AC1015:AE1015&lt;&gt;"")*(COLUMN(AC1015:AE1015)-(COLUMN(AC1015)-2))))-1),"")</f>
        <v>ARCHIVED</v>
      </c>
      <c r="M1015" s="13" t="n">
        <f aca="true">K1015-TODAY()</f>
        <v>-378</v>
      </c>
      <c r="N1015" s="18" t="s">
        <v>36</v>
      </c>
      <c r="O1015" s="13" t="s">
        <v>4280</v>
      </c>
      <c r="P1015" s="27" t="n">
        <v>120000</v>
      </c>
      <c r="Q1015" s="20" t="s">
        <v>4487</v>
      </c>
      <c r="R1015" s="13" t="s">
        <v>65</v>
      </c>
      <c r="S1015" s="14" t="n">
        <v>35287</v>
      </c>
      <c r="T1015" s="13" t="s">
        <v>108</v>
      </c>
      <c r="U1015" s="13" t="s">
        <v>4488</v>
      </c>
      <c r="V1015" s="13" t="s">
        <v>42</v>
      </c>
      <c r="W1015" s="13" t="s">
        <v>54</v>
      </c>
      <c r="X1015" s="21" t="n">
        <v>89677641464</v>
      </c>
      <c r="Y1015" s="22" t="str">
        <f aca="false">O1015</f>
        <v>Helper Cutting</v>
      </c>
      <c r="Z1015" s="13" t="str">
        <f aca="false">IFERROR(__xludf.dummyfunction("if(BJ1015="""","""",GOOGLETRANSLATE(BJ1015,""auto"",""en""))"),"Helper Cutting")</f>
        <v>Helper Cutting</v>
      </c>
      <c r="AA1015" s="23" t="str">
        <f aca="false">IF(C1015="","", CHOOSE(MONTH(C1015),"January","February","March","April","May","June","July","August","September","October","November","December")&amp;" "&amp;DAY(C1015)&amp;MID("thstndrdth",MIN(9,2*RIGHT(DAY(C1015))*(MOD(DAY(C1015)-11,100)&gt;2)+1),2)&amp;","&amp;TEXT(C1015," yyyy"))</f>
        <v>April 17th,2023</v>
      </c>
      <c r="AB1015" s="15" t="str">
        <f aca="true">IF(S1015="","",DATEDIF(S1015,TODAY(),"Y")&amp;" Tahun, "&amp;DATEDIF(S1015,TODAY(),"YM")&amp;" Bulan, "&amp;DATEDIF(S1015,TODAY(),"MD")&amp;" Hari")</f>
        <v>30 Tahun, 2 Bulan, 19 Hari</v>
      </c>
      <c r="AC1015" s="18" t="n">
        <v>45764</v>
      </c>
      <c r="AD1015" s="18" t="n">
        <v>45946</v>
      </c>
      <c r="AE1015" s="18" t="s">
        <v>44</v>
      </c>
    </row>
    <row r="1016" customFormat="false" ht="15.75" hidden="false" customHeight="true" outlineLevel="0" collapsed="false">
      <c r="A1016" s="12" t="n">
        <v>10525</v>
      </c>
      <c r="B1016" s="13" t="s">
        <v>4489</v>
      </c>
      <c r="C1016" s="14" t="n">
        <v>45033</v>
      </c>
      <c r="D1016" s="13" t="s">
        <v>4259</v>
      </c>
      <c r="E1016" s="15" t="s">
        <v>47</v>
      </c>
      <c r="F1016" s="15" t="str">
        <f aca="false">IFERROR(__xludf.dummyfunction("XLOOKUP(AJ1016,IMPORTRANGE(""1XaInW9DU9nz21V0tYIfzFQ0He9kVQ_JF2mCXgZ3hqFA"",""REKAP ALL 2026 - Andika!G:G""),IMPORTRANGE(""1XaInW9DU9nz21V0tYIfzFQ0He9kVQ_JF2mCXgZ3hqFA"",""REKAP ALL 2026 - Andika!F:F""),"""",0)"),"23076927302")</f>
        <v>23076927302</v>
      </c>
      <c r="G1016" s="13" t="s">
        <v>4490</v>
      </c>
      <c r="H1016" s="13" t="s">
        <v>35</v>
      </c>
      <c r="I1016" s="13" t="str">
        <f aca="false">IF(C1016=J1016,"NEW KONTRAK","RE-KONTRAK")</f>
        <v>RE-KONTRAK</v>
      </c>
      <c r="J1016" s="16" t="n">
        <f aca="false" t="array" ref="J1016:J1016">IFERROR(INDEX(AC1016:AE1016,IF(COUNTA(AC1016:AE1016)=0,"",MAX((AC1016:AE1016&lt;&gt;"")*(COLUMN(AC1016:AE1016)-(COLUMN(AC1016)))))-1),"")</f>
        <v>45764</v>
      </c>
      <c r="K1016" s="16" t="n">
        <f aca="false" t="array" ref="K1016:K1016">IFERROR(INDEX(AC1016:AE1016,IF(COUNTA(AC1016:AE1016)=0,"",MAX((AC1016:AE1016&lt;&gt;"")*(COLUMN(AC1016:AE1016)-(COLUMN(AC1016)-1))))-1),"")</f>
        <v>45946</v>
      </c>
      <c r="L1016" s="17" t="str">
        <f aca="false" t="array" ref="L1016:L1016">IFERROR(INDEX(AC1016:AE1016,IF(COUNTA(AC1016:AE1016)=0,"",MAX((AC1016:AE1016&lt;&gt;"")*(COLUMN(AC1016:AE1016)-(COLUMN(AC1016)-2))))-1),"")</f>
        <v>ARCHIVED</v>
      </c>
      <c r="M1016" s="13" t="n">
        <f aca="true">K1016-TODAY()</f>
        <v>-378</v>
      </c>
      <c r="N1016" s="18" t="s">
        <v>36</v>
      </c>
      <c r="O1016" s="13" t="s">
        <v>4255</v>
      </c>
      <c r="P1016" s="27" t="n">
        <v>200000</v>
      </c>
      <c r="Q1016" s="20" t="s">
        <v>4491</v>
      </c>
      <c r="R1016" s="13" t="s">
        <v>39</v>
      </c>
      <c r="S1016" s="14" t="n">
        <v>33711</v>
      </c>
      <c r="T1016" s="13" t="s">
        <v>40</v>
      </c>
      <c r="U1016" s="13" t="s">
        <v>4492</v>
      </c>
      <c r="V1016" s="13" t="s">
        <v>42</v>
      </c>
      <c r="W1016" s="13" t="s">
        <v>54</v>
      </c>
      <c r="X1016" s="21" t="n">
        <v>85694747325</v>
      </c>
      <c r="Y1016" s="22" t="str">
        <f aca="false">O1016</f>
        <v>Operator Cutting</v>
      </c>
      <c r="Z1016" s="13" t="str">
        <f aca="false">IFERROR(__xludf.dummyfunction("if(BJ1016="""","""",GOOGLETRANSLATE(BJ1016,""auto"",""en""))"),"Operator Cutting")</f>
        <v>Operator Cutting</v>
      </c>
      <c r="AA1016" s="23" t="str">
        <f aca="false">IF(C1016="","", CHOOSE(MONTH(C1016),"January","February","March","April","May","June","July","August","September","October","November","December")&amp;" "&amp;DAY(C1016)&amp;MID("thstndrdth",MIN(9,2*RIGHT(DAY(C1016))*(MOD(DAY(C1016)-11,100)&gt;2)+1),2)&amp;","&amp;TEXT(C1016," yyyy"))</f>
        <v>April 17th,2023</v>
      </c>
      <c r="AB1016" s="15" t="str">
        <f aca="true">IF(S1016="","",DATEDIF(S1016,TODAY(),"Y")&amp;" Tahun, "&amp;DATEDIF(S1016,TODAY(),"YM")&amp;" Bulan, "&amp;DATEDIF(S1016,TODAY(),"MD")&amp;" Hari")</f>
        <v>34 Tahun, 6 Bulan, 12 Hari</v>
      </c>
      <c r="AC1016" s="18" t="n">
        <v>45764</v>
      </c>
      <c r="AD1016" s="18" t="n">
        <v>45946</v>
      </c>
      <c r="AE1016" s="18" t="s">
        <v>44</v>
      </c>
    </row>
    <row r="1017" customFormat="false" ht="15.75" hidden="false" customHeight="true" outlineLevel="0" collapsed="false">
      <c r="A1017" s="12" t="n">
        <v>10526</v>
      </c>
      <c r="B1017" s="13" t="s">
        <v>4493</v>
      </c>
      <c r="C1017" s="14" t="n">
        <v>45033</v>
      </c>
      <c r="D1017" s="13" t="s">
        <v>4259</v>
      </c>
      <c r="E1017" s="15" t="s">
        <v>47</v>
      </c>
      <c r="F1017" s="15" t="str">
        <f aca="false">IFERROR(__xludf.dummyfunction("XLOOKUP(AJ1017,IMPORTRANGE(""1XaInW9DU9nz21V0tYIfzFQ0He9kVQ_JF2mCXgZ3hqFA"",""REKAP ALL 2026 - Andika!G:G""),IMPORTRANGE(""1XaInW9DU9nz21V0tYIfzFQ0He9kVQ_JF2mCXgZ3hqFA"",""REKAP ALL 2026 - Andika!F:F""),"""",0)"),"23076927336")</f>
        <v>23076927336</v>
      </c>
      <c r="G1017" s="13" t="s">
        <v>4494</v>
      </c>
      <c r="H1017" s="13" t="s">
        <v>35</v>
      </c>
      <c r="I1017" s="13" t="str">
        <f aca="false">IF(C1017=J1017,"NEW KONTRAK","RE-KONTRAK")</f>
        <v>RE-KONTRAK</v>
      </c>
      <c r="J1017" s="16" t="n">
        <f aca="false" t="array" ref="J1017:J1017">IFERROR(INDEX(AC1017:AE1017,IF(COUNTA(AC1017:AE1017)=0,"",MAX((AC1017:AE1017&lt;&gt;"")*(COLUMN(AC1017:AE1017)-(COLUMN(AC1017)))))-1),"")</f>
        <v>45764</v>
      </c>
      <c r="K1017" s="16" t="n">
        <f aca="false" t="array" ref="K1017:K1017">IFERROR(INDEX(AC1017:AE1017,IF(COUNTA(AC1017:AE1017)=0,"",MAX((AC1017:AE1017&lt;&gt;"")*(COLUMN(AC1017:AE1017)-(COLUMN(AC1017)-1))))-1),"")</f>
        <v>45946</v>
      </c>
      <c r="L1017" s="17" t="str">
        <f aca="false" t="array" ref="L1017:L1017">IFERROR(INDEX(AC1017:AE1017,IF(COUNTA(AC1017:AE1017)=0,"",MAX((AC1017:AE1017&lt;&gt;"")*(COLUMN(AC1017:AE1017)-(COLUMN(AC1017)-2))))-1),"")</f>
        <v>ARCHIVED</v>
      </c>
      <c r="M1017" s="13" t="n">
        <f aca="true">K1017-TODAY()</f>
        <v>-378</v>
      </c>
      <c r="N1017" s="18" t="s">
        <v>36</v>
      </c>
      <c r="O1017" s="13" t="s">
        <v>4280</v>
      </c>
      <c r="P1017" s="27" t="n">
        <v>120000</v>
      </c>
      <c r="Q1017" s="20" t="s">
        <v>4495</v>
      </c>
      <c r="R1017" s="13" t="s">
        <v>52</v>
      </c>
      <c r="S1017" s="14" t="n">
        <v>30607</v>
      </c>
      <c r="T1017" s="13" t="s">
        <v>40</v>
      </c>
      <c r="U1017" s="13" t="s">
        <v>4496</v>
      </c>
      <c r="V1017" s="13" t="s">
        <v>42</v>
      </c>
      <c r="W1017" s="13" t="s">
        <v>54</v>
      </c>
      <c r="X1017" s="21" t="n">
        <v>85785191044</v>
      </c>
      <c r="Y1017" s="22" t="str">
        <f aca="false">O1017</f>
        <v>Helper Cutting</v>
      </c>
      <c r="Z1017" s="13" t="str">
        <f aca="false">IFERROR(__xludf.dummyfunction("if(BJ1017="""","""",GOOGLETRANSLATE(BJ1017,""auto"",""en""))"),"Helper Cutting")</f>
        <v>Helper Cutting</v>
      </c>
      <c r="AA1017" s="23" t="str">
        <f aca="false">IF(C1017="","", CHOOSE(MONTH(C1017),"January","February","March","April","May","June","July","August","September","October","November","December")&amp;" "&amp;DAY(C1017)&amp;MID("thstndrdth",MIN(9,2*RIGHT(DAY(C1017))*(MOD(DAY(C1017)-11,100)&gt;2)+1),2)&amp;","&amp;TEXT(C1017," yyyy"))</f>
        <v>April 17th,2023</v>
      </c>
      <c r="AB1017" s="15" t="str">
        <f aca="true">IF(S1017="","",DATEDIF(S1017,TODAY(),"Y")&amp;" Tahun, "&amp;DATEDIF(S1017,TODAY(),"YM")&amp;" Bulan, "&amp;DATEDIF(S1017,TODAY(),"MD")&amp;" Hari")</f>
        <v>43 Tahun, 0 Bulan, 11 Hari</v>
      </c>
      <c r="AC1017" s="18" t="n">
        <v>45764</v>
      </c>
      <c r="AD1017" s="18" t="n">
        <v>45946</v>
      </c>
      <c r="AE1017" s="18" t="s">
        <v>44</v>
      </c>
    </row>
    <row r="1018" customFormat="false" ht="15.75" hidden="false" customHeight="true" outlineLevel="0" collapsed="false">
      <c r="A1018" s="12" t="n">
        <v>21045</v>
      </c>
      <c r="B1018" s="13" t="s">
        <v>4497</v>
      </c>
      <c r="C1018" s="16" t="n">
        <v>45933</v>
      </c>
      <c r="D1018" s="13" t="s">
        <v>2033</v>
      </c>
      <c r="E1018" s="15" t="s">
        <v>47</v>
      </c>
      <c r="F1018" s="15" t="str">
        <f aca="false">IFERROR(__xludf.dummyfunction("XLOOKUP(AJ1018,IMPORTRANGE(""1XaInW9DU9nz21V0tYIfzFQ0He9kVQ_JF2mCXgZ3hqFA"",""REKAP ALL 2026 - Andika!G:G""),IMPORTRANGE(""1XaInW9DU9nz21V0tYIfzFQ0He9kVQ_JF2mCXgZ3hqFA"",""REKAP ALL 2026 - Andika!F:F""),"""",0)"),"25157577740")</f>
        <v>25157577740</v>
      </c>
      <c r="G1018" s="13" t="s">
        <v>1127</v>
      </c>
      <c r="H1018" s="13" t="s">
        <v>35</v>
      </c>
      <c r="I1018" s="13" t="str">
        <f aca="false">IF(C1018=J1018,"NEW KONTRAK","RE-KONTRAK")</f>
        <v>NEW KONTRAK</v>
      </c>
      <c r="J1018" s="16" t="n">
        <f aca="false" t="array" ref="J1018:J1018">IFERROR(INDEX(AC1018:AE1018,IF(COUNTA(AC1018:AE1018)=0,"",MAX((AC1018:AE1018&lt;&gt;"")*(COLUMN(AC1018:AE1018)-(COLUMN(AC1018)))))-1),"")</f>
        <v>45933</v>
      </c>
      <c r="K1018" s="16" t="n">
        <f aca="false" t="array" ref="K1018:K1018">IFERROR(INDEX(AC1018:AE1018,IF(COUNTA(AC1018:AE1018)=0,"",MAX((AC1018:AE1018&lt;&gt;"")*(COLUMN(AC1018:AE1018)-(COLUMN(AC1018)-1))))-1),"")</f>
        <v>46037</v>
      </c>
      <c r="L1018" s="17" t="str">
        <f aca="false" t="array" ref="L1018:L1018">IFERROR(INDEX(AC1018:AE1018,IF(COUNTA(AC1018:AE1018)=0,"",MAX((AC1018:AE1018&lt;&gt;"")*(COLUMN(AC1018:AE1018)-(COLUMN(AC1018)-2))))-1),"")</f>
        <v>ARCHIVED</v>
      </c>
      <c r="M1018" s="13" t="n">
        <f aca="true">K1018-TODAY()</f>
        <v>-287</v>
      </c>
      <c r="N1018" s="18" t="s">
        <v>4498</v>
      </c>
      <c r="O1018" s="13" t="s">
        <v>2037</v>
      </c>
      <c r="P1018" s="19" t="n">
        <v>2633700</v>
      </c>
      <c r="Q1018" s="47" t="s">
        <v>4499</v>
      </c>
      <c r="R1018" s="13" t="s">
        <v>4500</v>
      </c>
      <c r="S1018" s="14" t="n">
        <v>37544</v>
      </c>
      <c r="T1018" s="13" t="s">
        <v>108</v>
      </c>
      <c r="U1018" s="13" t="s">
        <v>4501</v>
      </c>
      <c r="V1018" s="13" t="s">
        <v>42</v>
      </c>
      <c r="W1018" s="13" t="s">
        <v>43</v>
      </c>
      <c r="X1018" s="21" t="s">
        <v>4502</v>
      </c>
      <c r="Y1018" s="22" t="str">
        <f aca="false">O1018</f>
        <v>SPG/BA</v>
      </c>
      <c r="Z1018" s="13" t="str">
        <f aca="false">IFERROR(__xludf.dummyfunction("if(BJ1018="""","""",GOOGLETRANSLATE(BJ1018,""auto"",""en""))"),"SPG/BA")</f>
        <v>SPG/BA</v>
      </c>
      <c r="AA1018" s="23" t="str">
        <f aca="false">IF(C1018="","", CHOOSE(MONTH(C1018),"January","February","March","April","May","June","July","August","September","October","November","December")&amp;" "&amp;DAY(C1018)&amp;MID("thstndrdth",MIN(9,2*RIGHT(DAY(C1018))*(MOD(DAY(C1018)-11,100)&gt;2)+1),2)&amp;","&amp;TEXT(C1018," yyyy"))</f>
        <v>October 3rd,2025</v>
      </c>
      <c r="AB1018" s="15" t="str">
        <f aca="true">IF(S1018="","",DATEDIF(S1018,TODAY(),"Y")&amp;" Tahun, "&amp;DATEDIF(S1018,TODAY(),"YM")&amp;" Bulan, "&amp;DATEDIF(S1018,TODAY(),"MD")&amp;" Hari")</f>
        <v>24 Tahun, 0 Bulan, 14 Hari</v>
      </c>
      <c r="AC1018" s="18" t="n">
        <v>45933</v>
      </c>
      <c r="AD1018" s="18" t="n">
        <v>46037</v>
      </c>
      <c r="AE1018" s="13" t="s">
        <v>44</v>
      </c>
    </row>
    <row r="1019" customFormat="false" ht="15.75" hidden="false" customHeight="true" outlineLevel="0" collapsed="false">
      <c r="A1019" s="12" t="n">
        <v>21735</v>
      </c>
      <c r="B1019" s="13" t="s">
        <v>4503</v>
      </c>
      <c r="C1019" s="16" t="n">
        <v>46028</v>
      </c>
      <c r="D1019" s="13" t="s">
        <v>2033</v>
      </c>
      <c r="E1019" s="15" t="s">
        <v>47</v>
      </c>
      <c r="F1019" s="15" t="str">
        <f aca="false">IFERROR(__xludf.dummyfunction("XLOOKUP(AJ1019,IMPORTRANGE(""1XaInW9DU9nz21V0tYIfzFQ0He9kVQ_JF2mCXgZ3hqFA"",""REKAP ALL 2026 - Andika!G:G""),IMPORTRANGE(""1XaInW9DU9nz21V0tYIfzFQ0He9kVQ_JF2mCXgZ3hqFA"",""REKAP ALL 2026 - Andika!F:F""),"""",0)"),"26020755307")</f>
        <v>26020755307</v>
      </c>
      <c r="G1019" s="13" t="s">
        <v>1127</v>
      </c>
      <c r="H1019" s="13" t="s">
        <v>35</v>
      </c>
      <c r="I1019" s="13" t="str">
        <f aca="false">IF(C1019=J1019,"NEW KONTRAK","RE-KONTRAK")</f>
        <v>NEW KONTRAK</v>
      </c>
      <c r="J1019" s="16" t="n">
        <f aca="false" t="array" ref="J1019:J1019">IFERROR(INDEX(AC1019:AE1019,IF(COUNTA(AC1019:AE1019)=0,"",MAX((AC1019:AE1019&lt;&gt;"")*(COLUMN(AC1019:AE1019)-(COLUMN(AC1019)))))-1),"")</f>
        <v>46028</v>
      </c>
      <c r="K1019" s="16" t="n">
        <f aca="false" t="array" ref="K1019:K1019">IFERROR(INDEX(AC1019:AE1019,IF(COUNTA(AC1019:AE1019)=0,"",MAX((AC1019:AE1019&lt;&gt;"")*(COLUMN(AC1019:AE1019)-(COLUMN(AC1019)-1))))-1),"")</f>
        <v>46068</v>
      </c>
      <c r="L1019" s="17" t="str">
        <f aca="false" t="array" ref="L1019:L1019">IFERROR(INDEX(AC1019:AE1019,IF(COUNTA(AC1019:AE1019)=0,"",MAX((AC1019:AE1019&lt;&gt;"")*(COLUMN(AC1019:AE1019)-(COLUMN(AC1019)-2))))-1),"")</f>
        <v>KEMBALI</v>
      </c>
      <c r="M1019" s="13" t="n">
        <f aca="true">K1019-TODAY()</f>
        <v>-256</v>
      </c>
      <c r="N1019" s="18" t="s">
        <v>2587</v>
      </c>
      <c r="O1019" s="13" t="s">
        <v>2037</v>
      </c>
      <c r="P1019" s="19" t="n">
        <v>3855894</v>
      </c>
      <c r="Q1019" s="47" t="s">
        <v>4504</v>
      </c>
      <c r="R1019" s="13" t="s">
        <v>4505</v>
      </c>
      <c r="S1019" s="16" t="n">
        <v>38842</v>
      </c>
      <c r="T1019" s="13" t="s">
        <v>108</v>
      </c>
      <c r="U1019" s="13" t="s">
        <v>4506</v>
      </c>
      <c r="V1019" s="13" t="s">
        <v>42</v>
      </c>
      <c r="W1019" s="13" t="s">
        <v>43</v>
      </c>
      <c r="X1019" s="21" t="n">
        <v>87814640308</v>
      </c>
      <c r="Y1019" s="22" t="str">
        <f aca="false">O1019</f>
        <v>SPG/BA</v>
      </c>
      <c r="Z1019" s="13" t="str">
        <f aca="false">IFERROR(__xludf.dummyfunction("if(BJ1019="""","""",GOOGLETRANSLATE(BJ1019,""auto"",""en""))"),"SPG/BA")</f>
        <v>SPG/BA</v>
      </c>
      <c r="AA1019" s="23" t="str">
        <f aca="false">IF(C1019="","", CHOOSE(MONTH(C1019),"January","February","March","April","May","June","July","August","September","October","November","December")&amp;" "&amp;DAY(C1019)&amp;MID("thstndrdth",MIN(9,2*RIGHT(DAY(C1019))*(MOD(DAY(C1019)-11,100)&gt;2)+1),2)&amp;","&amp;TEXT(C1019," yyyy"))</f>
        <v>January 6th,2026</v>
      </c>
      <c r="AB1019" s="15" t="str">
        <f aca="true">IF(S1019="","",DATEDIF(S1019,TODAY(),"Y")&amp;" Tahun, "&amp;DATEDIF(S1019,TODAY(),"YM")&amp;" Bulan, "&amp;DATEDIF(S1019,TODAY(),"MD")&amp;" Hari")</f>
        <v>20 Tahun, 5 Bulan, 24 Hari</v>
      </c>
      <c r="AC1019" s="18" t="n">
        <v>46028</v>
      </c>
      <c r="AD1019" s="18" t="n">
        <v>46068</v>
      </c>
      <c r="AE1019" s="13" t="s">
        <v>397</v>
      </c>
    </row>
    <row r="1020" customFormat="false" ht="15.75" hidden="false" customHeight="true" outlineLevel="0" collapsed="false">
      <c r="A1020" s="12" t="n">
        <v>10596</v>
      </c>
      <c r="B1020" s="13" t="s">
        <v>4507</v>
      </c>
      <c r="C1020" s="14" t="n">
        <v>45033</v>
      </c>
      <c r="D1020" s="13" t="s">
        <v>4264</v>
      </c>
      <c r="E1020" s="15" t="s">
        <v>47</v>
      </c>
      <c r="F1020" s="15" t="str">
        <f aca="false">IFERROR(__xludf.dummyfunction("XLOOKUP(AJ1020,IMPORTRANGE(""1XaInW9DU9nz21V0tYIfzFQ0He9kVQ_JF2mCXgZ3hqFA"",""REKAP ALL 2026 - Andika!G:G""),IMPORTRANGE(""1XaInW9DU9nz21V0tYIfzFQ0He9kVQ_JF2mCXgZ3hqFA"",""REKAP ALL 2026 - Andika!F:F""),"""",0)"),"23057166979")</f>
        <v>23057166979</v>
      </c>
      <c r="G1020" s="13" t="s">
        <v>4508</v>
      </c>
      <c r="H1020" s="13" t="s">
        <v>35</v>
      </c>
      <c r="I1020" s="13" t="str">
        <f aca="false">IF(C1020=J1020,"NEW KONTRAK","RE-KONTRAK")</f>
        <v>RE-KONTRAK</v>
      </c>
      <c r="J1020" s="16" t="n">
        <f aca="false" t="array" ref="J1020:J1020">IFERROR(INDEX(AC1020:AE1020,IF(COUNTA(AC1020:AE1020)=0,"",MAX((AC1020:AE1020&lt;&gt;"")*(COLUMN(AC1020:AE1020)-(COLUMN(AC1020)))))-1),"")</f>
        <v>45764</v>
      </c>
      <c r="K1020" s="16" t="n">
        <f aca="false" t="array" ref="K1020:K1020">IFERROR(INDEX(AC1020:AE1020,IF(COUNTA(AC1020:AE1020)=0,"",MAX((AC1020:AE1020&lt;&gt;"")*(COLUMN(AC1020:AE1020)-(COLUMN(AC1020)-1))))-1),"")</f>
        <v>45916</v>
      </c>
      <c r="L1020" s="17" t="str">
        <f aca="false" t="array" ref="L1020:L1020">IFERROR(INDEX(AC1020:AE1020,IF(COUNTA(AC1020:AE1020)=0,"",MAX((AC1020:AE1020&lt;&gt;"")*(COLUMN(AC1020:AE1020)-(COLUMN(AC1020)-2))))-1),"")</f>
        <v>ARCHIVED</v>
      </c>
      <c r="M1020" s="13" t="n">
        <f aca="true">K1020-TODAY()</f>
        <v>-408</v>
      </c>
      <c r="N1020" s="18" t="s">
        <v>36</v>
      </c>
      <c r="O1020" s="13" t="s">
        <v>4255</v>
      </c>
      <c r="P1020" s="27" t="n">
        <v>200000</v>
      </c>
      <c r="Q1020" s="20" t="s">
        <v>4509</v>
      </c>
      <c r="R1020" s="13" t="s">
        <v>735</v>
      </c>
      <c r="S1020" s="14" t="n">
        <v>32921</v>
      </c>
      <c r="T1020" s="13" t="s">
        <v>40</v>
      </c>
      <c r="U1020" s="13" t="s">
        <v>4510</v>
      </c>
      <c r="V1020" s="13" t="s">
        <v>42</v>
      </c>
      <c r="W1020" s="13" t="s">
        <v>54</v>
      </c>
      <c r="X1020" s="21" t="n">
        <v>82234353475</v>
      </c>
      <c r="Y1020" s="22" t="str">
        <f aca="false">O1020</f>
        <v>Operator Cutting</v>
      </c>
      <c r="Z1020" s="13" t="str">
        <f aca="false">IFERROR(__xludf.dummyfunction("if(BJ1020="""","""",GOOGLETRANSLATE(BJ1020,""auto"",""en""))"),"Operator Cutting")</f>
        <v>Operator Cutting</v>
      </c>
      <c r="AA1020" s="23" t="str">
        <f aca="false">IF(C1020="","", CHOOSE(MONTH(C1020),"January","February","March","April","May","June","July","August","September","October","November","December")&amp;" "&amp;DAY(C1020)&amp;MID("thstndrdth",MIN(9,2*RIGHT(DAY(C1020))*(MOD(DAY(C1020)-11,100)&gt;2)+1),2)&amp;","&amp;TEXT(C1020," yyyy"))</f>
        <v>April 17th,2023</v>
      </c>
      <c r="AB1020" s="15" t="str">
        <f aca="true">IF(S1020="","",DATEDIF(S1020,TODAY(),"Y")&amp;" Tahun, "&amp;DATEDIF(S1020,TODAY(),"YM")&amp;" Bulan, "&amp;DATEDIF(S1020,TODAY(),"MD")&amp;" Hari")</f>
        <v>36 Tahun, 8 Bulan, 12 Hari</v>
      </c>
      <c r="AC1020" s="18" t="n">
        <v>45764</v>
      </c>
      <c r="AD1020" s="18" t="n">
        <v>45916</v>
      </c>
      <c r="AE1020" s="18" t="s">
        <v>44</v>
      </c>
    </row>
    <row r="1021" customFormat="false" ht="15.75" hidden="false" customHeight="true" outlineLevel="0" collapsed="false">
      <c r="A1021" s="12" t="n">
        <v>10608</v>
      </c>
      <c r="B1021" s="13" t="s">
        <v>4511</v>
      </c>
      <c r="C1021" s="14" t="n">
        <v>45054</v>
      </c>
      <c r="D1021" s="13" t="s">
        <v>404</v>
      </c>
      <c r="E1021" s="15" t="s">
        <v>47</v>
      </c>
      <c r="F1021" s="15" t="str">
        <f aca="false">IFERROR(__xludf.dummyfunction("XLOOKUP(AJ1021,IMPORTRANGE(""1XaInW9DU9nz21V0tYIfzFQ0He9kVQ_JF2mCXgZ3hqFA"",""REKAP ALL 2026 - Andika!G:G""),IMPORTRANGE(""1XaInW9DU9nz21V0tYIfzFQ0He9kVQ_JF2mCXgZ3hqFA"",""REKAP ALL 2026 - Andika!F:F""),"""",0)"),"23057160568")</f>
        <v>23057160568</v>
      </c>
      <c r="G1021" s="13" t="s">
        <v>4512</v>
      </c>
      <c r="H1021" s="13" t="s">
        <v>35</v>
      </c>
      <c r="I1021" s="13" t="str">
        <f aca="false">IF(C1021=J1021,"NEW KONTRAK","RE-KONTRAK")</f>
        <v>RE-KONTRAK</v>
      </c>
      <c r="J1021" s="16" t="n">
        <f aca="false" t="array" ref="J1021:J1021">IFERROR(INDEX(AC1021:AE1021,IF(COUNTA(AC1021:AE1021)=0,"",MAX((AC1021:AE1021&lt;&gt;"")*(COLUMN(AC1021:AE1021)-(COLUMN(AC1021)))))-1),"")</f>
        <v>45658</v>
      </c>
      <c r="K1021" s="16" t="n">
        <f aca="false" t="array" ref="K1021:K1021">IFERROR(INDEX(AC1021:AE1021,IF(COUNTA(AC1021:AE1021)=0,"",MAX((AC1021:AE1021&lt;&gt;"")*(COLUMN(AC1021:AE1021)-(COLUMN(AC1021)-1))))-1),"")</f>
        <v>46022</v>
      </c>
      <c r="L1021" s="17" t="str">
        <f aca="false" t="array" ref="L1021:L1021">IFERROR(INDEX(AC1021:AE1021,IF(COUNTA(AC1021:AE1021)=0,"",MAX((AC1021:AE1021&lt;&gt;"")*(COLUMN(AC1021:AE1021)-(COLUMN(AC1021)-2))))-1),"")</f>
        <v>ARCHIVED</v>
      </c>
      <c r="M1021" s="13" t="n">
        <f aca="true">K1021-TODAY()</f>
        <v>-302</v>
      </c>
      <c r="N1021" s="18" t="s">
        <v>36</v>
      </c>
      <c r="O1021" s="13" t="s">
        <v>479</v>
      </c>
      <c r="P1021" s="26" t="n">
        <v>5195401</v>
      </c>
      <c r="Q1021" s="20" t="s">
        <v>4513</v>
      </c>
      <c r="R1021" s="13" t="s">
        <v>65</v>
      </c>
      <c r="S1021" s="14" t="n">
        <v>36352</v>
      </c>
      <c r="T1021" s="13" t="s">
        <v>40</v>
      </c>
      <c r="U1021" s="13" t="s">
        <v>4514</v>
      </c>
      <c r="V1021" s="13" t="s">
        <v>42</v>
      </c>
      <c r="W1021" s="13" t="s">
        <v>43</v>
      </c>
      <c r="X1021" s="21" t="n">
        <v>81261926278</v>
      </c>
      <c r="Y1021" s="22" t="str">
        <f aca="false">O1021</f>
        <v>Bottling Rigid (BT2)</v>
      </c>
      <c r="Z1021" s="13" t="str">
        <f aca="false">IFERROR(__xludf.dummyfunction("if(BJ1021="""","""",GOOGLETRANSLATE(BJ1021,""auto"",""en""))"),"Bottling Rigid (BT2)")</f>
        <v>Bottling Rigid (BT2)</v>
      </c>
      <c r="AA1021" s="23" t="str">
        <f aca="false">IF(C1021="","", CHOOSE(MONTH(C1021),"January","February","March","April","May","June","July","August","September","October","November","December")&amp;" "&amp;DAY(C1021)&amp;MID("thstndrdth",MIN(9,2*RIGHT(DAY(C1021))*(MOD(DAY(C1021)-11,100)&gt;2)+1),2)&amp;","&amp;TEXT(C1021," yyyy"))</f>
        <v>May 8th,2023</v>
      </c>
      <c r="AB1021" s="15" t="str">
        <f aca="true">IF(S1021="","",DATEDIF(S1021,TODAY(),"Y")&amp;" Tahun, "&amp;DATEDIF(S1021,TODAY(),"YM")&amp;" Bulan, "&amp;DATEDIF(S1021,TODAY(),"MD")&amp;" Hari")</f>
        <v>27 Tahun, 3 Bulan, 18 Hari</v>
      </c>
      <c r="AC1021" s="18" t="n">
        <v>45658</v>
      </c>
      <c r="AD1021" s="18" t="n">
        <v>46022</v>
      </c>
      <c r="AE1021" s="18" t="s">
        <v>44</v>
      </c>
    </row>
    <row r="1022" customFormat="false" ht="15.75" hidden="false" customHeight="true" outlineLevel="0" collapsed="false">
      <c r="A1022" s="12" t="n">
        <v>10615</v>
      </c>
      <c r="B1022" s="13" t="s">
        <v>4515</v>
      </c>
      <c r="C1022" s="14" t="n">
        <v>45055</v>
      </c>
      <c r="D1022" s="13" t="s">
        <v>404</v>
      </c>
      <c r="E1022" s="15" t="s">
        <v>47</v>
      </c>
      <c r="F1022" s="24" t="s">
        <v>4516</v>
      </c>
      <c r="G1022" s="13" t="s">
        <v>4517</v>
      </c>
      <c r="H1022" s="13" t="s">
        <v>35</v>
      </c>
      <c r="I1022" s="13" t="str">
        <f aca="false">IF(C1022=J1022,"NEW KONTRAK","RE-KONTRAK")</f>
        <v>RE-KONTRAK</v>
      </c>
      <c r="J1022" s="16" t="n">
        <f aca="false" t="array" ref="J1022:J1022">IFERROR(INDEX(AC1022:AE1022,IF(COUNTA(AC1022:AE1022)=0,"",MAX((AC1022:AE1022&lt;&gt;"")*(COLUMN(AC1022:AE1022)-(COLUMN(AC1022)))))-1),"")</f>
        <v>45658</v>
      </c>
      <c r="K1022" s="16" t="n">
        <f aca="false" t="array" ref="K1022:K1022">IFERROR(INDEX(AC1022:AE1022,IF(COUNTA(AC1022:AE1022)=0,"",MAX((AC1022:AE1022&lt;&gt;"")*(COLUMN(AC1022:AE1022)-(COLUMN(AC1022)-1))))-1),"")</f>
        <v>46022</v>
      </c>
      <c r="L1022" s="17" t="str">
        <f aca="false" t="array" ref="L1022:L1022">IFERROR(INDEX(AC1022:AE1022,IF(COUNTA(AC1022:AE1022)=0,"",MAX((AC1022:AE1022&lt;&gt;"")*(COLUMN(AC1022:AE1022)-(COLUMN(AC1022)-2))))-1),"")</f>
        <v>ARCHIVED</v>
      </c>
      <c r="M1022" s="13" t="n">
        <f aca="true">K1022-TODAY()</f>
        <v>-302</v>
      </c>
      <c r="N1022" s="18" t="s">
        <v>36</v>
      </c>
      <c r="O1022" s="13" t="s">
        <v>411</v>
      </c>
      <c r="P1022" s="26" t="n">
        <v>5195401</v>
      </c>
      <c r="Q1022" s="20" t="s">
        <v>4518</v>
      </c>
      <c r="R1022" s="13" t="s">
        <v>78</v>
      </c>
      <c r="S1022" s="14" t="n">
        <v>36153</v>
      </c>
      <c r="T1022" s="13" t="s">
        <v>40</v>
      </c>
      <c r="U1022" s="13" t="s">
        <v>4519</v>
      </c>
      <c r="V1022" s="13" t="s">
        <v>42</v>
      </c>
      <c r="W1022" s="13" t="s">
        <v>43</v>
      </c>
      <c r="X1022" s="21" t="n">
        <v>83811599251</v>
      </c>
      <c r="Y1022" s="22" t="str">
        <f aca="false">O1022</f>
        <v>Dry Fact</v>
      </c>
      <c r="Z1022" s="13" t="str">
        <f aca="false">IFERROR(__xludf.dummyfunction("if(BJ1022="""","""",GOOGLETRANSLATE(BJ1022,""auto"",""en""))"),"Dry Fact")</f>
        <v>Dry Fact</v>
      </c>
      <c r="AA1022" s="23" t="str">
        <f aca="false">IF(C1022="","", CHOOSE(MONTH(C1022),"January","February","March","April","May","June","July","August","September","October","November","December")&amp;" "&amp;DAY(C1022)&amp;MID("thstndrdth",MIN(9,2*RIGHT(DAY(C1022))*(MOD(DAY(C1022)-11,100)&gt;2)+1),2)&amp;","&amp;TEXT(C1022," yyyy"))</f>
        <v>May 9th,2023</v>
      </c>
      <c r="AB1022" s="15" t="str">
        <f aca="true">IF(S1022="","",DATEDIF(S1022,TODAY(),"Y")&amp;" Tahun, "&amp;DATEDIF(S1022,TODAY(),"YM")&amp;" Bulan, "&amp;DATEDIF(S1022,TODAY(),"MD")&amp;" Hari")</f>
        <v>27 Tahun, 10 Bulan, 5 Hari</v>
      </c>
      <c r="AC1022" s="18" t="n">
        <v>45658</v>
      </c>
      <c r="AD1022" s="18" t="n">
        <v>46022</v>
      </c>
      <c r="AE1022" s="18" t="s">
        <v>44</v>
      </c>
    </row>
    <row r="1023" customFormat="false" ht="15.75" hidden="false" customHeight="true" outlineLevel="0" collapsed="false">
      <c r="A1023" s="12" t="n">
        <v>10616</v>
      </c>
      <c r="B1023" s="13" t="s">
        <v>4520</v>
      </c>
      <c r="C1023" s="14" t="n">
        <v>45055</v>
      </c>
      <c r="D1023" s="13" t="s">
        <v>404</v>
      </c>
      <c r="E1023" s="15" t="s">
        <v>102</v>
      </c>
      <c r="F1023" s="15" t="str">
        <f aca="false">IFERROR(__xludf.dummyfunction("XLOOKUP(AJ1023,IMPORTRANGE(""1XaInW9DU9nz21V0tYIfzFQ0He9kVQ_JF2mCXgZ3hqFA"",""REKAP ALL 2026 - Andika!G:G""),IMPORTRANGE(""1XaInW9DU9nz21V0tYIfzFQ0He9kVQ_JF2mCXgZ3hqFA"",""REKAP ALL 2026 - Andika!F:F""),"""",0)"),"23057160642")</f>
        <v>23057160642</v>
      </c>
      <c r="G1023" s="13" t="s">
        <v>4521</v>
      </c>
      <c r="H1023" s="13" t="s">
        <v>35</v>
      </c>
      <c r="I1023" s="13" t="str">
        <f aca="false">IF(C1023=J1023,"NEW KONTRAK","RE-KONTRAK")</f>
        <v>RE-KONTRAK</v>
      </c>
      <c r="J1023" s="16" t="n">
        <f aca="false" t="array" ref="J1023:J1023">IFERROR(INDEX(AC1023:AE1023,IF(COUNTA(AC1023:AE1023)=0,"",MAX((AC1023:AE1023&lt;&gt;"")*(COLUMN(AC1023:AE1023)-(COLUMN(AC1023)))))-1),"")</f>
        <v>45658</v>
      </c>
      <c r="K1023" s="16" t="n">
        <f aca="false" t="array" ref="K1023:K1023">IFERROR(INDEX(AC1023:AE1023,IF(COUNTA(AC1023:AE1023)=0,"",MAX((AC1023:AE1023&lt;&gt;"")*(COLUMN(AC1023:AE1023)-(COLUMN(AC1023)-1))))-1),"")</f>
        <v>46022</v>
      </c>
      <c r="L1023" s="17" t="str">
        <f aca="false" t="array" ref="L1023:L1023">IFERROR(INDEX(AC1023:AE1023,IF(COUNTA(AC1023:AE1023)=0,"",MAX((AC1023:AE1023&lt;&gt;"")*(COLUMN(AC1023:AE1023)-(COLUMN(AC1023)-2))))-1),"")</f>
        <v>ARCHIVED</v>
      </c>
      <c r="M1023" s="13" t="n">
        <f aca="true">K1023-TODAY()</f>
        <v>-302</v>
      </c>
      <c r="N1023" s="18" t="s">
        <v>36</v>
      </c>
      <c r="O1023" s="13" t="s">
        <v>411</v>
      </c>
      <c r="P1023" s="26" t="n">
        <v>5195401</v>
      </c>
      <c r="Q1023" s="20" t="s">
        <v>4522</v>
      </c>
      <c r="R1023" s="13" t="s">
        <v>78</v>
      </c>
      <c r="S1023" s="14" t="n">
        <v>37150</v>
      </c>
      <c r="T1023" s="13" t="s">
        <v>40</v>
      </c>
      <c r="U1023" s="13" t="s">
        <v>489</v>
      </c>
      <c r="V1023" s="13" t="s">
        <v>42</v>
      </c>
      <c r="W1023" s="13" t="s">
        <v>43</v>
      </c>
      <c r="X1023" s="21" t="n">
        <v>85812354915</v>
      </c>
      <c r="Y1023" s="22" t="str">
        <f aca="false">O1023</f>
        <v>Dry Fact</v>
      </c>
      <c r="Z1023" s="13" t="str">
        <f aca="false">IFERROR(__xludf.dummyfunction("if(BJ1023="""","""",GOOGLETRANSLATE(BJ1023,""auto"",""en""))"),"Dry Fact")</f>
        <v>Dry Fact</v>
      </c>
      <c r="AA1023" s="23" t="str">
        <f aca="false">IF(C1023="","", CHOOSE(MONTH(C1023),"January","February","March","April","May","June","July","August","September","October","November","December")&amp;" "&amp;DAY(C1023)&amp;MID("thstndrdth",MIN(9,2*RIGHT(DAY(C1023))*(MOD(DAY(C1023)-11,100)&gt;2)+1),2)&amp;","&amp;TEXT(C1023," yyyy"))</f>
        <v>May 9th,2023</v>
      </c>
      <c r="AB1023" s="15" t="str">
        <f aca="true">IF(S1023="","",DATEDIF(S1023,TODAY(),"Y")&amp;" Tahun, "&amp;DATEDIF(S1023,TODAY(),"YM")&amp;" Bulan, "&amp;DATEDIF(S1023,TODAY(),"MD")&amp;" Hari")</f>
        <v>25 Tahun, 1 Bulan, 13 Hari</v>
      </c>
      <c r="AC1023" s="18" t="n">
        <v>45658</v>
      </c>
      <c r="AD1023" s="18" t="n">
        <v>46022</v>
      </c>
      <c r="AE1023" s="18" t="s">
        <v>44</v>
      </c>
    </row>
    <row r="1024" customFormat="false" ht="15.75" hidden="false" customHeight="true" outlineLevel="0" collapsed="false">
      <c r="A1024" s="12" t="n">
        <v>10620</v>
      </c>
      <c r="B1024" s="13" t="s">
        <v>4523</v>
      </c>
      <c r="C1024" s="14" t="n">
        <v>45055</v>
      </c>
      <c r="D1024" s="13" t="s">
        <v>144</v>
      </c>
      <c r="E1024" s="15" t="s">
        <v>47</v>
      </c>
      <c r="F1024" s="15" t="str">
        <f aca="false">IFERROR(__xludf.dummyfunction("XLOOKUP(AJ1024,IMPORTRANGE(""1XaInW9DU9nz21V0tYIfzFQ0He9kVQ_JF2mCXgZ3hqFA"",""REKAP ALL 2026 - Andika!G:G""),IMPORTRANGE(""1XaInW9DU9nz21V0tYIfzFQ0He9kVQ_JF2mCXgZ3hqFA"",""REKAP ALL 2026 - Andika!F:F""),"""",0)"),"23057161178")</f>
        <v>23057161178</v>
      </c>
      <c r="G1024" s="13" t="s">
        <v>4524</v>
      </c>
      <c r="H1024" s="13" t="s">
        <v>35</v>
      </c>
      <c r="I1024" s="13" t="str">
        <f aca="false">IF(C1024=J1024,"NEW KONTRAK","RE-KONTRAK")</f>
        <v>RE-KONTRAK</v>
      </c>
      <c r="J1024" s="16" t="n">
        <f aca="false" t="array" ref="J1024:J1024">IFERROR(INDEX(AC1024:AE1024,IF(COUNTA(AC1024:AE1024)=0,"",MAX((AC1024:AE1024&lt;&gt;"")*(COLUMN(AC1024:AE1024)-(COLUMN(AC1024)))))-1),"")</f>
        <v>45658</v>
      </c>
      <c r="K1024" s="16" t="n">
        <f aca="false" t="array" ref="K1024:K1024">IFERROR(INDEX(AC1024:AE1024,IF(COUNTA(AC1024:AE1024)=0,"",MAX((AC1024:AE1024&lt;&gt;"")*(COLUMN(AC1024:AE1024)-(COLUMN(AC1024)-1))))-1),"")</f>
        <v>46022</v>
      </c>
      <c r="L1024" s="17" t="str">
        <f aca="false" t="array" ref="L1024:L1024">IFERROR(INDEX(AC1024:AE1024,IF(COUNTA(AC1024:AE1024)=0,"",MAX((AC1024:AE1024&lt;&gt;"")*(COLUMN(AC1024:AE1024)-(COLUMN(AC1024)-2))))-1),"")</f>
        <v>ARCHIVED</v>
      </c>
      <c r="M1024" s="13" t="n">
        <f aca="true">K1024-TODAY()</f>
        <v>-302</v>
      </c>
      <c r="N1024" s="18" t="s">
        <v>36</v>
      </c>
      <c r="O1024" s="13" t="s">
        <v>156</v>
      </c>
      <c r="P1024" s="19" t="n">
        <v>5195401</v>
      </c>
      <c r="Q1024" s="20" t="s">
        <v>4525</v>
      </c>
      <c r="R1024" s="13" t="s">
        <v>73</v>
      </c>
      <c r="S1024" s="14" t="n">
        <v>34203</v>
      </c>
      <c r="T1024" s="13" t="s">
        <v>40</v>
      </c>
      <c r="U1024" s="13" t="s">
        <v>4526</v>
      </c>
      <c r="V1024" s="13" t="s">
        <v>42</v>
      </c>
      <c r="W1024" s="13" t="s">
        <v>54</v>
      </c>
      <c r="X1024" s="21" t="n">
        <v>85745318047</v>
      </c>
      <c r="Y1024" s="22" t="str">
        <f aca="false">O1024</f>
        <v>Emulsion</v>
      </c>
      <c r="Z1024" s="13" t="str">
        <f aca="false">IFERROR(__xludf.dummyfunction("if(BJ1024="""","""",GOOGLETRANSLATE(BJ1024,""auto"",""en""))"),"Emulsion")</f>
        <v>Emulsion</v>
      </c>
      <c r="AA1024" s="23" t="str">
        <f aca="false">IF(C1024="","", CHOOSE(MONTH(C1024),"January","February","March","April","May","June","July","August","September","October","November","December")&amp;" "&amp;DAY(C1024)&amp;MID("thstndrdth",MIN(9,2*RIGHT(DAY(C1024))*(MOD(DAY(C1024)-11,100)&gt;2)+1),2)&amp;","&amp;TEXT(C1024," yyyy"))</f>
        <v>May 9th,2023</v>
      </c>
      <c r="AB1024" s="15" t="str">
        <f aca="true">IF(S1024="","",DATEDIF(S1024,TODAY(),"Y")&amp;" Tahun, "&amp;DATEDIF(S1024,TODAY(),"YM")&amp;" Bulan, "&amp;DATEDIF(S1024,TODAY(),"MD")&amp;" Hari")</f>
        <v>33 Tahun, 2 Bulan, 7 Hari</v>
      </c>
      <c r="AC1024" s="18" t="n">
        <v>45658</v>
      </c>
      <c r="AD1024" s="18" t="n">
        <v>46022</v>
      </c>
      <c r="AE1024" s="18" t="s">
        <v>44</v>
      </c>
    </row>
    <row r="1025" customFormat="false" ht="15.75" hidden="false" customHeight="true" outlineLevel="0" collapsed="false">
      <c r="A1025" s="12" t="n">
        <v>10622</v>
      </c>
      <c r="B1025" s="13" t="s">
        <v>4527</v>
      </c>
      <c r="C1025" s="14" t="n">
        <v>45055</v>
      </c>
      <c r="D1025" s="13" t="s">
        <v>144</v>
      </c>
      <c r="E1025" s="15" t="s">
        <v>33</v>
      </c>
      <c r="F1025" s="15" t="str">
        <f aca="false">IFERROR(__xludf.dummyfunction("XLOOKUP(AJ1025,IMPORTRANGE(""1XaInW9DU9nz21V0tYIfzFQ0He9kVQ_JF2mCXgZ3hqFA"",""REKAP ALL 2026 - Andika!G:G""),IMPORTRANGE(""1XaInW9DU9nz21V0tYIfzFQ0He9kVQ_JF2mCXgZ3hqFA"",""REKAP ALL 2026 - Andika!F:F""),"""",0)"),"23057161079")</f>
        <v>23057161079</v>
      </c>
      <c r="G1025" s="13" t="s">
        <v>4528</v>
      </c>
      <c r="H1025" s="13" t="s">
        <v>35</v>
      </c>
      <c r="I1025" s="13" t="str">
        <f aca="false">IF(C1025=J1025,"NEW KONTRAK","RE-KONTRAK")</f>
        <v>RE-KONTRAK</v>
      </c>
      <c r="J1025" s="16" t="n">
        <f aca="false" t="array" ref="J1025:J1025">IFERROR(INDEX(AC1025:AE1025,IF(COUNTA(AC1025:AE1025)=0,"",MAX((AC1025:AE1025&lt;&gt;"")*(COLUMN(AC1025:AE1025)-(COLUMN(AC1025)))))-1),"")</f>
        <v>45658</v>
      </c>
      <c r="K1025" s="16" t="n">
        <f aca="false" t="array" ref="K1025:K1025">IFERROR(INDEX(AC1025:AE1025,IF(COUNTA(AC1025:AE1025)=0,"",MAX((AC1025:AE1025&lt;&gt;"")*(COLUMN(AC1025:AE1025)-(COLUMN(AC1025)-1))))-1),"")</f>
        <v>46022</v>
      </c>
      <c r="L1025" s="17" t="str">
        <f aca="false" t="array" ref="L1025:L1025">IFERROR(INDEX(AC1025:AE1025,IF(COUNTA(AC1025:AE1025)=0,"",MAX((AC1025:AE1025&lt;&gt;"")*(COLUMN(AC1025:AE1025)-(COLUMN(AC1025)-2))))-1),"")</f>
        <v>ARCHIVED</v>
      </c>
      <c r="M1025" s="13" t="n">
        <f aca="true">K1025-TODAY()</f>
        <v>-302</v>
      </c>
      <c r="N1025" s="18" t="s">
        <v>36</v>
      </c>
      <c r="O1025" s="13" t="s">
        <v>161</v>
      </c>
      <c r="P1025" s="19" t="n">
        <v>5195401</v>
      </c>
      <c r="Q1025" s="20" t="s">
        <v>4529</v>
      </c>
      <c r="R1025" s="13" t="s">
        <v>65</v>
      </c>
      <c r="S1025" s="14" t="n">
        <v>38025</v>
      </c>
      <c r="T1025" s="13" t="s">
        <v>40</v>
      </c>
      <c r="U1025" s="13" t="s">
        <v>4530</v>
      </c>
      <c r="V1025" s="13" t="s">
        <v>42</v>
      </c>
      <c r="W1025" s="13" t="s">
        <v>43</v>
      </c>
      <c r="X1025" s="21" t="n">
        <v>81336797971</v>
      </c>
      <c r="Y1025" s="22" t="str">
        <f aca="false">O1025</f>
        <v>RM Store</v>
      </c>
      <c r="Z1025" s="13" t="str">
        <f aca="false">IFERROR(__xludf.dummyfunction("if(BJ1025="""","""",GOOGLETRANSLATE(BJ1025,""auto"",""en""))"),"RM Store")</f>
        <v>RM Store</v>
      </c>
      <c r="AA1025" s="23" t="str">
        <f aca="false">IF(C1025="","", CHOOSE(MONTH(C1025),"January","February","March","April","May","June","July","August","September","October","November","December")&amp;" "&amp;DAY(C1025)&amp;MID("thstndrdth",MIN(9,2*RIGHT(DAY(C1025))*(MOD(DAY(C1025)-11,100)&gt;2)+1),2)&amp;","&amp;TEXT(C1025," yyyy"))</f>
        <v>May 9th,2023</v>
      </c>
      <c r="AB1025" s="15" t="str">
        <f aca="true">IF(S1025="","",DATEDIF(S1025,TODAY(),"Y")&amp;" Tahun, "&amp;DATEDIF(S1025,TODAY(),"YM")&amp;" Bulan, "&amp;DATEDIF(S1025,TODAY(),"MD")&amp;" Hari")</f>
        <v>22 Tahun, 8 Bulan, 21 Hari</v>
      </c>
      <c r="AC1025" s="18" t="n">
        <v>45658</v>
      </c>
      <c r="AD1025" s="18" t="n">
        <v>46022</v>
      </c>
      <c r="AE1025" s="18" t="s">
        <v>44</v>
      </c>
    </row>
    <row r="1026" customFormat="false" ht="15.75" hidden="false" customHeight="true" outlineLevel="0" collapsed="false">
      <c r="A1026" s="12" t="n">
        <v>10623</v>
      </c>
      <c r="B1026" s="13" t="s">
        <v>4531</v>
      </c>
      <c r="C1026" s="14" t="n">
        <v>45055</v>
      </c>
      <c r="D1026" s="13" t="s">
        <v>144</v>
      </c>
      <c r="E1026" s="15" t="s">
        <v>47</v>
      </c>
      <c r="F1026" s="15" t="str">
        <f aca="false">IFERROR(__xludf.dummyfunction("XLOOKUP(AJ1026,IMPORTRANGE(""1XaInW9DU9nz21V0tYIfzFQ0He9kVQ_JF2mCXgZ3hqFA"",""REKAP ALL 2026 - Andika!G:G""),IMPORTRANGE(""1XaInW9DU9nz21V0tYIfzFQ0He9kVQ_JF2mCXgZ3hqFA"",""REKAP ALL 2026 - Andika!F:F""),"""",0)"),"23057161194")</f>
        <v>23057161194</v>
      </c>
      <c r="G1026" s="13" t="s">
        <v>4532</v>
      </c>
      <c r="H1026" s="13" t="s">
        <v>35</v>
      </c>
      <c r="I1026" s="13" t="str">
        <f aca="false">IF(C1026=J1026,"NEW KONTRAK","RE-KONTRAK")</f>
        <v>RE-KONTRAK</v>
      </c>
      <c r="J1026" s="16" t="n">
        <f aca="false" t="array" ref="J1026:J1026">IFERROR(INDEX(AC1026:AE1026,IF(COUNTA(AC1026:AE1026)=0,"",MAX((AC1026:AE1026&lt;&gt;"")*(COLUMN(AC1026:AE1026)-(COLUMN(AC1026)))))-1),"")</f>
        <v>45658</v>
      </c>
      <c r="K1026" s="16" t="n">
        <f aca="false" t="array" ref="K1026:K1026">IFERROR(INDEX(AC1026:AE1026,IF(COUNTA(AC1026:AE1026)=0,"",MAX((AC1026:AE1026&lt;&gt;"")*(COLUMN(AC1026:AE1026)-(COLUMN(AC1026)-1))))-1),"")</f>
        <v>46022</v>
      </c>
      <c r="L1026" s="17" t="str">
        <f aca="false" t="array" ref="L1026:L1026">IFERROR(INDEX(AC1026:AE1026,IF(COUNTA(AC1026:AE1026)=0,"",MAX((AC1026:AE1026&lt;&gt;"")*(COLUMN(AC1026:AE1026)-(COLUMN(AC1026)-2))))-1),"")</f>
        <v>ARCHIVED</v>
      </c>
      <c r="M1026" s="13" t="n">
        <f aca="true">K1026-TODAY()</f>
        <v>-302</v>
      </c>
      <c r="N1026" s="18" t="s">
        <v>36</v>
      </c>
      <c r="O1026" s="13" t="s">
        <v>211</v>
      </c>
      <c r="P1026" s="19" t="n">
        <v>5195401</v>
      </c>
      <c r="Q1026" s="20" t="s">
        <v>4533</v>
      </c>
      <c r="R1026" s="13" t="s">
        <v>83</v>
      </c>
      <c r="S1026" s="14" t="n">
        <v>38358</v>
      </c>
      <c r="T1026" s="13" t="s">
        <v>40</v>
      </c>
      <c r="U1026" s="13" t="s">
        <v>4534</v>
      </c>
      <c r="V1026" s="13" t="s">
        <v>42</v>
      </c>
      <c r="W1026" s="13" t="s">
        <v>43</v>
      </c>
      <c r="X1026" s="21" t="n">
        <v>85336467073</v>
      </c>
      <c r="Y1026" s="22" t="str">
        <f aca="false">O1026</f>
        <v>FG Store</v>
      </c>
      <c r="Z1026" s="13" t="str">
        <f aca="false">IFERROR(__xludf.dummyfunction("if(BJ1026="""","""",GOOGLETRANSLATE(BJ1026,""auto"",""en""))"),"FG Store")</f>
        <v>FG Store</v>
      </c>
      <c r="AA1026" s="23" t="str">
        <f aca="false">IF(C1026="","", CHOOSE(MONTH(C1026),"January","February","March","April","May","June","July","August","September","October","November","December")&amp;" "&amp;DAY(C1026)&amp;MID("thstndrdth",MIN(9,2*RIGHT(DAY(C1026))*(MOD(DAY(C1026)-11,100)&gt;2)+1),2)&amp;","&amp;TEXT(C1026," yyyy"))</f>
        <v>May 9th,2023</v>
      </c>
      <c r="AB1026" s="15" t="str">
        <f aca="true">IF(S1026="","",DATEDIF(S1026,TODAY(),"Y")&amp;" Tahun, "&amp;DATEDIF(S1026,TODAY(),"YM")&amp;" Bulan, "&amp;DATEDIF(S1026,TODAY(),"MD")&amp;" Hari")</f>
        <v>21 Tahun, 9 Bulan, 23 Hari</v>
      </c>
      <c r="AC1026" s="18" t="n">
        <v>45658</v>
      </c>
      <c r="AD1026" s="18" t="n">
        <v>46022</v>
      </c>
      <c r="AE1026" s="18" t="s">
        <v>44</v>
      </c>
    </row>
    <row r="1027" customFormat="false" ht="15.75" hidden="false" customHeight="true" outlineLevel="0" collapsed="false">
      <c r="A1027" s="12" t="n">
        <v>10624</v>
      </c>
      <c r="B1027" s="13" t="s">
        <v>4535</v>
      </c>
      <c r="C1027" s="14" t="n">
        <v>45054</v>
      </c>
      <c r="D1027" s="13" t="s">
        <v>144</v>
      </c>
      <c r="E1027" s="15" t="s">
        <v>33</v>
      </c>
      <c r="F1027" s="24" t="s">
        <v>4536</v>
      </c>
      <c r="G1027" s="13" t="s">
        <v>4537</v>
      </c>
      <c r="H1027" s="13" t="s">
        <v>35</v>
      </c>
      <c r="I1027" s="13" t="str">
        <f aca="false">IF(C1027=J1027,"NEW KONTRAK","RE-KONTRAK")</f>
        <v>RE-KONTRAK</v>
      </c>
      <c r="J1027" s="16" t="n">
        <f aca="false" t="array" ref="J1027:J1027">IFERROR(INDEX(AC1027:AE1027,IF(COUNTA(AC1027:AE1027)=0,"",MAX((AC1027:AE1027&lt;&gt;"")*(COLUMN(AC1027:AE1027)-(COLUMN(AC1027)))))-1),"")</f>
        <v>45658</v>
      </c>
      <c r="K1027" s="16" t="n">
        <f aca="false" t="array" ref="K1027:K1027">IFERROR(INDEX(AC1027:AE1027,IF(COUNTA(AC1027:AE1027)=0,"",MAX((AC1027:AE1027&lt;&gt;"")*(COLUMN(AC1027:AE1027)-(COLUMN(AC1027)-1))))-1),"")</f>
        <v>46022</v>
      </c>
      <c r="L1027" s="17" t="str">
        <f aca="false" t="array" ref="L1027:L1027">IFERROR(INDEX(AC1027:AE1027,IF(COUNTA(AC1027:AE1027)=0,"",MAX((AC1027:AE1027&lt;&gt;"")*(COLUMN(AC1027:AE1027)-(COLUMN(AC1027)-2))))-1),"")</f>
        <v>ARCHIVED</v>
      </c>
      <c r="M1027" s="13" t="n">
        <f aca="true">K1027-TODAY()</f>
        <v>-302</v>
      </c>
      <c r="N1027" s="18" t="s">
        <v>36</v>
      </c>
      <c r="O1027" s="13" t="s">
        <v>211</v>
      </c>
      <c r="P1027" s="19" t="n">
        <v>5195401</v>
      </c>
      <c r="Q1027" s="20" t="s">
        <v>4538</v>
      </c>
      <c r="R1027" s="13" t="s">
        <v>52</v>
      </c>
      <c r="S1027" s="14" t="n">
        <v>32716</v>
      </c>
      <c r="T1027" s="13" t="s">
        <v>40</v>
      </c>
      <c r="U1027" s="13" t="s">
        <v>4539</v>
      </c>
      <c r="V1027" s="13" t="s">
        <v>42</v>
      </c>
      <c r="W1027" s="13" t="s">
        <v>43</v>
      </c>
      <c r="X1027" s="21" t="n">
        <v>81216159820</v>
      </c>
      <c r="Y1027" s="22" t="str">
        <f aca="false">O1027</f>
        <v>FG Store</v>
      </c>
      <c r="Z1027" s="13" t="str">
        <f aca="false">IFERROR(__xludf.dummyfunction("if(BJ1027="""","""",GOOGLETRANSLATE(BJ1027,""auto"",""en""))"),"FG Store")</f>
        <v>FG Store</v>
      </c>
      <c r="AA1027" s="23" t="str">
        <f aca="false">IF(C1027="","", CHOOSE(MONTH(C1027),"January","February","March","April","May","June","July","August","September","October","November","December")&amp;" "&amp;DAY(C1027)&amp;MID("thstndrdth",MIN(9,2*RIGHT(DAY(C1027))*(MOD(DAY(C1027)-11,100)&gt;2)+1),2)&amp;","&amp;TEXT(C1027," yyyy"))</f>
        <v>May 8th,2023</v>
      </c>
      <c r="AB1027" s="15" t="str">
        <f aca="true">IF(S1027="","",DATEDIF(S1027,TODAY(),"Y")&amp;" Tahun, "&amp;DATEDIF(S1027,TODAY(),"YM")&amp;" Bulan, "&amp;DATEDIF(S1027,TODAY(),"MD")&amp;" Hari")</f>
        <v>37 Tahun, 3 Bulan, 2 Hari</v>
      </c>
      <c r="AC1027" s="18" t="n">
        <v>45658</v>
      </c>
      <c r="AD1027" s="18" t="n">
        <v>46022</v>
      </c>
      <c r="AE1027" s="18" t="s">
        <v>44</v>
      </c>
    </row>
    <row r="1028" customFormat="false" ht="15.75" hidden="false" customHeight="true" outlineLevel="0" collapsed="false">
      <c r="A1028" s="12" t="n">
        <v>10643</v>
      </c>
      <c r="B1028" s="13" t="s">
        <v>4540</v>
      </c>
      <c r="C1028" s="14" t="n">
        <v>45042</v>
      </c>
      <c r="D1028" s="13" t="s">
        <v>3022</v>
      </c>
      <c r="E1028" s="15" t="s">
        <v>47</v>
      </c>
      <c r="F1028" s="15" t="str">
        <f aca="false">IFERROR(__xludf.dummyfunction("XLOOKUP(AJ1028,IMPORTRANGE(""1XaInW9DU9nz21V0tYIfzFQ0He9kVQ_JF2mCXgZ3hqFA"",""REKAP ALL 2026 - Andika!G:G""),IMPORTRANGE(""1XaInW9DU9nz21V0tYIfzFQ0He9kVQ_JF2mCXgZ3hqFA"",""REKAP ALL 2026 - Andika!F:F""),"""",0)"),"23172181002")</f>
        <v>23172181002</v>
      </c>
      <c r="G1028" s="13" t="s">
        <v>4541</v>
      </c>
      <c r="H1028" s="13" t="s">
        <v>3024</v>
      </c>
      <c r="I1028" s="13" t="str">
        <f aca="false">IF(C1028=J1028,"NEW KONTRAK","RE-KONTRAK")</f>
        <v>RE-KONTRAK</v>
      </c>
      <c r="J1028" s="16" t="n">
        <f aca="false" t="array" ref="J1028:J1028">IFERROR(INDEX(AC1028:AE1028,IF(COUNTA(AC1028:AE1028)=0,"",MAX((AC1028:AE1028&lt;&gt;"")*(COLUMN(AC1028:AE1028)-(COLUMN(AC1028)))))-1),"")</f>
        <v>45570</v>
      </c>
      <c r="K1028" s="16" t="n">
        <f aca="false" t="array" ref="K1028:K1028">IFERROR(INDEX(AC1028:AE1028,IF(COUNTA(AC1028:AE1028)=0,"",MAX((AC1028:AE1028&lt;&gt;"")*(COLUMN(AC1028:AE1028)-(COLUMN(AC1028)-1))))-1),"")</f>
        <v>45934</v>
      </c>
      <c r="L1028" s="17" t="str">
        <f aca="false" t="array" ref="L1028:L1028">IFERROR(INDEX(AC1028:AE1028,IF(COUNTA(AC1028:AE1028)=0,"",MAX((AC1028:AE1028&lt;&gt;"")*(COLUMN(AC1028:AE1028)-(COLUMN(AC1028)-2))))-1),"")</f>
        <v>ARCHIVED</v>
      </c>
      <c r="M1028" s="13" t="n">
        <f aca="true">K1028-TODAY()</f>
        <v>-390</v>
      </c>
      <c r="N1028" s="18" t="s">
        <v>36</v>
      </c>
      <c r="O1028" s="13" t="s">
        <v>3750</v>
      </c>
      <c r="P1028" s="19" t="n">
        <v>175000</v>
      </c>
      <c r="Q1028" s="20" t="s">
        <v>4542</v>
      </c>
      <c r="R1028" s="13" t="s">
        <v>65</v>
      </c>
      <c r="S1028" s="14" t="n">
        <v>38199</v>
      </c>
      <c r="T1028" s="13" t="s">
        <v>40</v>
      </c>
      <c r="U1028" s="13" t="s">
        <v>4543</v>
      </c>
      <c r="V1028" s="13" t="s">
        <v>42</v>
      </c>
      <c r="W1028" s="13" t="s">
        <v>43</v>
      </c>
      <c r="X1028" s="21" t="n">
        <v>881026071631</v>
      </c>
      <c r="Y1028" s="22" t="str">
        <f aca="false">O1028</f>
        <v>Produksi ( Painting )</v>
      </c>
      <c r="Z1028" s="13" t="str">
        <f aca="false">IFERROR(__xludf.dummyfunction("if(BJ1028="""","""",GOOGLETRANSLATE(BJ1028,""auto"",""en""))"),"Production (Painting)")</f>
        <v>Production (Painting)</v>
      </c>
      <c r="AA1028" s="23" t="str">
        <f aca="false">IF(C1028="","", CHOOSE(MONTH(C1028),"January","February","March","April","May","June","July","August","September","October","November","December")&amp;" "&amp;DAY(C1028)&amp;MID("thstndrdth",MIN(9,2*RIGHT(DAY(C1028))*(MOD(DAY(C1028)-11,100)&gt;2)+1),2)&amp;","&amp;TEXT(C1028," yyyy"))</f>
        <v>April 26th,2023</v>
      </c>
      <c r="AB1028" s="15" t="str">
        <f aca="true">IF(S1028="","",DATEDIF(S1028,TODAY(),"Y")&amp;" Tahun, "&amp;DATEDIF(S1028,TODAY(),"YM")&amp;" Bulan, "&amp;DATEDIF(S1028,TODAY(),"MD")&amp;" Hari")</f>
        <v>22 Tahun, 2 Bulan, 28 Hari</v>
      </c>
      <c r="AC1028" s="18" t="n">
        <v>45570</v>
      </c>
      <c r="AD1028" s="18" t="n">
        <v>45934</v>
      </c>
      <c r="AE1028" s="18" t="s">
        <v>44</v>
      </c>
    </row>
    <row r="1029" customFormat="false" ht="15.75" hidden="false" customHeight="true" outlineLevel="0" collapsed="false">
      <c r="A1029" s="12" t="n">
        <v>10646</v>
      </c>
      <c r="B1029" s="13" t="s">
        <v>4544</v>
      </c>
      <c r="C1029" s="14" t="n">
        <v>45042</v>
      </c>
      <c r="D1029" s="13" t="s">
        <v>774</v>
      </c>
      <c r="E1029" s="15" t="s">
        <v>47</v>
      </c>
      <c r="F1029" s="15" t="str">
        <f aca="false">IFERROR(__xludf.dummyfunction("XLOOKUP(AJ1029,IMPORTRANGE(""1XaInW9DU9nz21V0tYIfzFQ0He9kVQ_JF2mCXgZ3hqFA"",""REKAP ALL 2026 - Andika!G:G""),IMPORTRANGE(""1XaInW9DU9nz21V0tYIfzFQ0He9kVQ_JF2mCXgZ3hqFA"",""REKAP ALL 2026 - Andika!F:F""),"""",0)"),"23172180756")</f>
        <v>23172180756</v>
      </c>
      <c r="G1029" s="13" t="s">
        <v>4545</v>
      </c>
      <c r="H1029" s="13" t="s">
        <v>2967</v>
      </c>
      <c r="I1029" s="13" t="str">
        <f aca="false">IF(C1029=J1029,"NEW KONTRAK","RE-KONTRAK")</f>
        <v>RE-KONTRAK</v>
      </c>
      <c r="J1029" s="16" t="n">
        <f aca="false" t="array" ref="J1029:J1029">IFERROR(INDEX(AC1029:AE1029,IF(COUNTA(AC1029:AE1029)=0,"",MAX((AC1029:AE1029&lt;&gt;"")*(COLUMN(AC1029:AE1029)-(COLUMN(AC1029)))))-1),"")</f>
        <v>45570</v>
      </c>
      <c r="K1029" s="16" t="n">
        <f aca="false" t="array" ref="K1029:K1029">IFERROR(INDEX(AC1029:AE1029,IF(COUNTA(AC1029:AE1029)=0,"",MAX((AC1029:AE1029&lt;&gt;"")*(COLUMN(AC1029:AE1029)-(COLUMN(AC1029)-1))))-1),"")</f>
        <v>45934</v>
      </c>
      <c r="L1029" s="17" t="str">
        <f aca="false" t="array" ref="L1029:L1029">IFERROR(INDEX(AC1029:AE1029,IF(COUNTA(AC1029:AE1029)=0,"",MAX((AC1029:AE1029&lt;&gt;"")*(COLUMN(AC1029:AE1029)-(COLUMN(AC1029)-2))))-1),"")</f>
        <v>ARCHIVED</v>
      </c>
      <c r="M1029" s="13" t="n">
        <f aca="true">K1029-TODAY()</f>
        <v>-390</v>
      </c>
      <c r="N1029" s="18" t="s">
        <v>36</v>
      </c>
      <c r="O1029" s="13" t="s">
        <v>795</v>
      </c>
      <c r="P1029" s="19" t="n">
        <v>3750000</v>
      </c>
      <c r="Q1029" s="20" t="s">
        <v>4546</v>
      </c>
      <c r="R1029" s="13" t="s">
        <v>65</v>
      </c>
      <c r="S1029" s="14" t="n">
        <v>33939</v>
      </c>
      <c r="T1029" s="13" t="s">
        <v>40</v>
      </c>
      <c r="U1029" s="13" t="s">
        <v>4547</v>
      </c>
      <c r="V1029" s="13" t="s">
        <v>42</v>
      </c>
      <c r="W1029" s="13" t="s">
        <v>54</v>
      </c>
      <c r="X1029" s="21" t="n">
        <v>85955229600</v>
      </c>
      <c r="Y1029" s="22" t="str">
        <f aca="false">O1029</f>
        <v>Painting</v>
      </c>
      <c r="Z1029" s="13" t="str">
        <f aca="false">IFERROR(__xludf.dummyfunction("if(BJ1029="""","""",GOOGLETRANSLATE(BJ1029,""auto"",""en""))"),"Painting")</f>
        <v>Painting</v>
      </c>
      <c r="AA1029" s="23" t="str">
        <f aca="false">IF(C1029="","", CHOOSE(MONTH(C1029),"January","February","March","April","May","June","July","August","September","October","November","December")&amp;" "&amp;DAY(C1029)&amp;MID("thstndrdth",MIN(9,2*RIGHT(DAY(C1029))*(MOD(DAY(C1029)-11,100)&gt;2)+1),2)&amp;","&amp;TEXT(C1029," yyyy"))</f>
        <v>April 26th,2023</v>
      </c>
      <c r="AB1029" s="15" t="str">
        <f aca="true">IF(S1029="","",DATEDIF(S1029,TODAY(),"Y")&amp;" Tahun, "&amp;DATEDIF(S1029,TODAY(),"YM")&amp;" Bulan, "&amp;DATEDIF(S1029,TODAY(),"MD")&amp;" Hari")</f>
        <v>33 Tahun, 10 Bulan, 28 Hari</v>
      </c>
      <c r="AC1029" s="18" t="n">
        <v>45570</v>
      </c>
      <c r="AD1029" s="18" t="n">
        <v>45934</v>
      </c>
      <c r="AE1029" s="18" t="s">
        <v>44</v>
      </c>
    </row>
    <row r="1030" customFormat="false" ht="15.75" hidden="false" customHeight="true" outlineLevel="0" collapsed="false">
      <c r="A1030" s="12" t="n">
        <v>10648</v>
      </c>
      <c r="B1030" s="13" t="s">
        <v>4548</v>
      </c>
      <c r="C1030" s="14" t="n">
        <v>45042</v>
      </c>
      <c r="D1030" s="13" t="s">
        <v>774</v>
      </c>
      <c r="E1030" s="15" t="s">
        <v>47</v>
      </c>
      <c r="F1030" s="15" t="str">
        <f aca="false">IFERROR(__xludf.dummyfunction("XLOOKUP(AJ1030,IMPORTRANGE(""1XaInW9DU9nz21V0tYIfzFQ0He9kVQ_JF2mCXgZ3hqFA"",""REKAP ALL 2026 - Andika!G:G""),IMPORTRANGE(""1XaInW9DU9nz21V0tYIfzFQ0He9kVQ_JF2mCXgZ3hqFA"",""REKAP ALL 2026 - Andika!F:F""),"""",0)"),"23172180160")</f>
        <v>23172180160</v>
      </c>
      <c r="G1030" s="13" t="s">
        <v>4549</v>
      </c>
      <c r="H1030" s="13" t="s">
        <v>2967</v>
      </c>
      <c r="I1030" s="13" t="str">
        <f aca="false">IF(C1030=J1030,"NEW KONTRAK","RE-KONTRAK")</f>
        <v>RE-KONTRAK</v>
      </c>
      <c r="J1030" s="16" t="n">
        <f aca="false" t="array" ref="J1030:J1030">IFERROR(INDEX(AC1030:AE1030,IF(COUNTA(AC1030:AE1030)=0,"",MAX((AC1030:AE1030&lt;&gt;"")*(COLUMN(AC1030:AE1030)-(COLUMN(AC1030)))))-1),"")</f>
        <v>45570</v>
      </c>
      <c r="K1030" s="16" t="n">
        <f aca="false" t="array" ref="K1030:K1030">IFERROR(INDEX(AC1030:AE1030,IF(COUNTA(AC1030:AE1030)=0,"",MAX((AC1030:AE1030&lt;&gt;"")*(COLUMN(AC1030:AE1030)-(COLUMN(AC1030)-1))))-1),"")</f>
        <v>45934</v>
      </c>
      <c r="L1030" s="17" t="str">
        <f aca="false" t="array" ref="L1030:L1030">IFERROR(INDEX(AC1030:AE1030,IF(COUNTA(AC1030:AE1030)=0,"",MAX((AC1030:AE1030&lt;&gt;"")*(COLUMN(AC1030:AE1030)-(COLUMN(AC1030)-2))))-1),"")</f>
        <v>ARCHIVED</v>
      </c>
      <c r="M1030" s="13" t="n">
        <f aca="true">K1030-TODAY()</f>
        <v>-390</v>
      </c>
      <c r="N1030" s="18" t="s">
        <v>36</v>
      </c>
      <c r="O1030" s="13" t="s">
        <v>812</v>
      </c>
      <c r="P1030" s="19" t="n">
        <v>3000000</v>
      </c>
      <c r="Q1030" s="20" t="s">
        <v>4550</v>
      </c>
      <c r="R1030" s="13" t="s">
        <v>52</v>
      </c>
      <c r="S1030" s="14" t="n">
        <v>37699</v>
      </c>
      <c r="T1030" s="13" t="s">
        <v>40</v>
      </c>
      <c r="U1030" s="13" t="s">
        <v>4551</v>
      </c>
      <c r="V1030" s="13" t="s">
        <v>42</v>
      </c>
      <c r="W1030" s="13" t="s">
        <v>43</v>
      </c>
      <c r="X1030" s="21" t="n">
        <v>85815973700</v>
      </c>
      <c r="Y1030" s="22" t="str">
        <f aca="false">O1030</f>
        <v>Heating</v>
      </c>
      <c r="Z1030" s="13" t="str">
        <f aca="false">IFERROR(__xludf.dummyfunction("if(BJ1030="""","""",GOOGLETRANSLATE(BJ1030,""auto"",""en""))"),"Heating")</f>
        <v>Heating</v>
      </c>
      <c r="AA1030" s="23" t="str">
        <f aca="false">IF(C1030="","", CHOOSE(MONTH(C1030),"January","February","March","April","May","June","July","August","September","October","November","December")&amp;" "&amp;DAY(C1030)&amp;MID("thstndrdth",MIN(9,2*RIGHT(DAY(C1030))*(MOD(DAY(C1030)-11,100)&gt;2)+1),2)&amp;","&amp;TEXT(C1030," yyyy"))</f>
        <v>April 26th,2023</v>
      </c>
      <c r="AB1030" s="15" t="str">
        <f aca="true">IF(S1030="","",DATEDIF(S1030,TODAY(),"Y")&amp;" Tahun, "&amp;DATEDIF(S1030,TODAY(),"YM")&amp;" Bulan, "&amp;DATEDIF(S1030,TODAY(),"MD")&amp;" Hari")</f>
        <v>23 Tahun, 7 Bulan, 10 Hari</v>
      </c>
      <c r="AC1030" s="18" t="n">
        <v>45570</v>
      </c>
      <c r="AD1030" s="18" t="n">
        <v>45934</v>
      </c>
      <c r="AE1030" s="18" t="s">
        <v>44</v>
      </c>
    </row>
    <row r="1031" customFormat="false" ht="15.75" hidden="false" customHeight="true" outlineLevel="0" collapsed="false">
      <c r="A1031" s="12" t="n">
        <v>10650</v>
      </c>
      <c r="B1031" s="13" t="s">
        <v>4552</v>
      </c>
      <c r="C1031" s="14" t="n">
        <v>45058</v>
      </c>
      <c r="D1031" s="13" t="s">
        <v>404</v>
      </c>
      <c r="E1031" s="15" t="s">
        <v>47</v>
      </c>
      <c r="F1031" s="15" t="str">
        <f aca="false">IFERROR(__xludf.dummyfunction("XLOOKUP(AJ1031,IMPORTRANGE(""1XaInW9DU9nz21V0tYIfzFQ0He9kVQ_JF2mCXgZ3hqFA"",""REKAP ALL 2026 - Andika!G:G""),IMPORTRANGE(""1XaInW9DU9nz21V0tYIfzFQ0He9kVQ_JF2mCXgZ3hqFA"",""REKAP ALL 2026 - Andika!F:F""),"""",0)"),"23057160543")</f>
        <v>23057160543</v>
      </c>
      <c r="G1031" s="13" t="s">
        <v>4553</v>
      </c>
      <c r="H1031" s="13" t="s">
        <v>35</v>
      </c>
      <c r="I1031" s="13" t="str">
        <f aca="false">IF(C1031=J1031,"NEW KONTRAK","RE-KONTRAK")</f>
        <v>RE-KONTRAK</v>
      </c>
      <c r="J1031" s="16" t="n">
        <f aca="false" t="array" ref="J1031:J1031">IFERROR(INDEX(AC1031:AE1031,IF(COUNTA(AC1031:AE1031)=0,"",MAX((AC1031:AE1031&lt;&gt;"")*(COLUMN(AC1031:AE1031)-(COLUMN(AC1031)))))-1),"")</f>
        <v>45658</v>
      </c>
      <c r="K1031" s="16" t="n">
        <f aca="false" t="array" ref="K1031:K1031">IFERROR(INDEX(AC1031:AE1031,IF(COUNTA(AC1031:AE1031)=0,"",MAX((AC1031:AE1031&lt;&gt;"")*(COLUMN(AC1031:AE1031)-(COLUMN(AC1031)-1))))-1),"")</f>
        <v>46022</v>
      </c>
      <c r="L1031" s="17" t="str">
        <f aca="false" t="array" ref="L1031:L1031">IFERROR(INDEX(AC1031:AE1031,IF(COUNTA(AC1031:AE1031)=0,"",MAX((AC1031:AE1031&lt;&gt;"")*(COLUMN(AC1031:AE1031)-(COLUMN(AC1031)-2))))-1),"")</f>
        <v>ARCHIVED</v>
      </c>
      <c r="M1031" s="13" t="n">
        <f aca="true">K1031-TODAY()</f>
        <v>-302</v>
      </c>
      <c r="N1031" s="18" t="s">
        <v>36</v>
      </c>
      <c r="O1031" s="13" t="s">
        <v>411</v>
      </c>
      <c r="P1031" s="26" t="n">
        <v>5195401</v>
      </c>
      <c r="Q1031" s="20" t="s">
        <v>4554</v>
      </c>
      <c r="R1031" s="13" t="s">
        <v>78</v>
      </c>
      <c r="S1031" s="14" t="n">
        <v>38427</v>
      </c>
      <c r="T1031" s="13" t="s">
        <v>40</v>
      </c>
      <c r="U1031" s="13" t="s">
        <v>518</v>
      </c>
      <c r="V1031" s="13" t="s">
        <v>42</v>
      </c>
      <c r="W1031" s="13" t="s">
        <v>43</v>
      </c>
      <c r="X1031" s="21" t="n">
        <v>85731505175</v>
      </c>
      <c r="Y1031" s="22" t="str">
        <f aca="false">O1031</f>
        <v>Dry Fact</v>
      </c>
      <c r="Z1031" s="13" t="str">
        <f aca="false">IFERROR(__xludf.dummyfunction("if(BJ1031="""","""",GOOGLETRANSLATE(BJ1031,""auto"",""en""))"),"Dry Fact")</f>
        <v>Dry Fact</v>
      </c>
      <c r="AA1031" s="23" t="str">
        <f aca="false">IF(C1031="","", CHOOSE(MONTH(C1031),"January","February","March","April","May","June","July","August","September","October","November","December")&amp;" "&amp;DAY(C1031)&amp;MID("thstndrdth",MIN(9,2*RIGHT(DAY(C1031))*(MOD(DAY(C1031)-11,100)&gt;2)+1),2)&amp;","&amp;TEXT(C1031," yyyy"))</f>
        <v>May 12th,2023</v>
      </c>
      <c r="AB1031" s="15" t="str">
        <f aca="true">IF(S1031="","",DATEDIF(S1031,TODAY(),"Y")&amp;" Tahun, "&amp;DATEDIF(S1031,TODAY(),"YM")&amp;" Bulan, "&amp;DATEDIF(S1031,TODAY(),"MD")&amp;" Hari")</f>
        <v>21 Tahun, 7 Bulan, 13 Hari</v>
      </c>
      <c r="AC1031" s="18" t="n">
        <v>45658</v>
      </c>
      <c r="AD1031" s="18" t="n">
        <v>46022</v>
      </c>
      <c r="AE1031" s="18" t="s">
        <v>44</v>
      </c>
    </row>
    <row r="1032" customFormat="false" ht="15.75" hidden="false" customHeight="true" outlineLevel="0" collapsed="false">
      <c r="A1032" s="12" t="n">
        <v>6411</v>
      </c>
      <c r="B1032" s="13" t="s">
        <v>4555</v>
      </c>
      <c r="C1032" s="14" t="n">
        <v>44667</v>
      </c>
      <c r="D1032" s="13" t="s">
        <v>2033</v>
      </c>
      <c r="E1032" s="15" t="s">
        <v>47</v>
      </c>
      <c r="F1032" s="15" t="str">
        <f aca="false">IFERROR(__xludf.dummyfunction("XLOOKUP(AJ1032,IMPORTRANGE(""1XaInW9DU9nz21V0tYIfzFQ0He9kVQ_JF2mCXgZ3hqFA"",""REKAP ALL 2026 - Andika!G:G""),IMPORTRANGE(""1XaInW9DU9nz21V0tYIfzFQ0He9kVQ_JF2mCXgZ3hqFA"",""REKAP ALL 2026 - Andika!F:F""),"""",0)"),"22046714535")</f>
        <v>22046714535</v>
      </c>
      <c r="G1032" s="13" t="s">
        <v>4556</v>
      </c>
      <c r="H1032" s="13" t="s">
        <v>2035</v>
      </c>
      <c r="I1032" s="13" t="str">
        <f aca="false">IF(C1032=J1032,"NEW KONTRAK","RE-KONTRAK")</f>
        <v>RE-KONTRAK</v>
      </c>
      <c r="J1032" s="16" t="n">
        <f aca="false" t="array" ref="J1032:J1032">IFERROR(INDEX(AC1032:AE1032,IF(COUNTA(AC1032:AE1032)=0,"",MAX((AC1032:AE1032&lt;&gt;"")*(COLUMN(AC1032:AE1032)-(COLUMN(AC1032)))))-1),"")</f>
        <v>45744</v>
      </c>
      <c r="K1032" s="16" t="n">
        <f aca="false" t="array" ref="K1032:K1032">IFERROR(INDEX(AC1032:AE1032,IF(COUNTA(AC1032:AE1032)=0,"",MAX((AC1032:AE1032&lt;&gt;"")*(COLUMN(AC1032:AE1032)-(COLUMN(AC1032)-1))))-1),"")</f>
        <v>45915</v>
      </c>
      <c r="L1032" s="17" t="str">
        <f aca="false" t="array" ref="L1032:L1032">IFERROR(INDEX(AC1032:AE1032,IF(COUNTA(AC1032:AE1032)=0,"",MAX((AC1032:AE1032&lt;&gt;"")*(COLUMN(AC1032:AE1032)-(COLUMN(AC1032)-2))))-1),"")</f>
        <v>ARCHIVED</v>
      </c>
      <c r="M1032" s="13" t="n">
        <f aca="true">K1032-TODAY()</f>
        <v>-409</v>
      </c>
      <c r="N1032" s="50" t="s">
        <v>4557</v>
      </c>
      <c r="O1032" s="13" t="s">
        <v>2037</v>
      </c>
      <c r="P1032" s="19" t="n">
        <v>3701709</v>
      </c>
      <c r="Q1032" s="20" t="s">
        <v>4558</v>
      </c>
      <c r="R1032" s="13" t="s">
        <v>4559</v>
      </c>
      <c r="S1032" s="14" t="n">
        <v>36594</v>
      </c>
      <c r="T1032" s="13" t="s">
        <v>108</v>
      </c>
      <c r="U1032" s="13" t="s">
        <v>4560</v>
      </c>
      <c r="V1032" s="28" t="s">
        <v>1216</v>
      </c>
      <c r="W1032" s="13" t="s">
        <v>43</v>
      </c>
      <c r="X1032" s="21" t="n">
        <v>88216610815</v>
      </c>
      <c r="Y1032" s="22" t="str">
        <f aca="false">O1032</f>
        <v>SPG/BA</v>
      </c>
      <c r="Z1032" s="13" t="str">
        <f aca="false">IFERROR(__xludf.dummyfunction("if(BJ1032="""","""",GOOGLETRANSLATE(BJ1032,""auto"",""en""))"),"SPG/BA")</f>
        <v>SPG/BA</v>
      </c>
      <c r="AA1032" s="23" t="str">
        <f aca="false">IF(C1032="","", CHOOSE(MONTH(C1032),"January","February","March","April","May","June","July","August","September","October","November","December")&amp;" "&amp;DAY(C1032)&amp;MID("thstndrdth",MIN(9,2*RIGHT(DAY(C1032))*(MOD(DAY(C1032)-11,100)&gt;2)+1),2)&amp;","&amp;TEXT(C1032," yyyy"))</f>
        <v>April 16th,2022</v>
      </c>
      <c r="AB1032" s="15" t="str">
        <f aca="true">IF(S1032="","",DATEDIF(S1032,TODAY(),"Y")&amp;" Tahun, "&amp;DATEDIF(S1032,TODAY(),"YM")&amp;" Bulan, "&amp;DATEDIF(S1032,TODAY(),"MD")&amp;" Hari")</f>
        <v>26 Tahun, 7 Bulan, 20 Hari</v>
      </c>
      <c r="AC1032" s="18" t="n">
        <v>45744</v>
      </c>
      <c r="AD1032" s="18" t="n">
        <v>45915</v>
      </c>
      <c r="AE1032" s="18" t="s">
        <v>44</v>
      </c>
    </row>
    <row r="1033" customFormat="false" ht="15.75" hidden="false" customHeight="true" outlineLevel="0" collapsed="false">
      <c r="A1033" s="12" t="n">
        <v>10660</v>
      </c>
      <c r="B1033" s="13" t="s">
        <v>4561</v>
      </c>
      <c r="C1033" s="14" t="n">
        <v>45054</v>
      </c>
      <c r="D1033" s="13" t="s">
        <v>2033</v>
      </c>
      <c r="E1033" s="15" t="s">
        <v>102</v>
      </c>
      <c r="F1033" s="15" t="str">
        <f aca="false">IFERROR(__xludf.dummyfunction("XLOOKUP(AJ1033,IMPORTRANGE(""1XaInW9DU9nz21V0tYIfzFQ0He9kVQ_JF2mCXgZ3hqFA"",""REKAP ALL 2026 - Andika!G:G""),IMPORTRANGE(""1XaInW9DU9nz21V0tYIfzFQ0He9kVQ_JF2mCXgZ3hqFA"",""REKAP ALL 2026 - Andika!F:F""),"""",0)"),"23057165294")</f>
        <v>23057165294</v>
      </c>
      <c r="G1033" s="13" t="s">
        <v>4562</v>
      </c>
      <c r="H1033" s="13" t="s">
        <v>2035</v>
      </c>
      <c r="I1033" s="13" t="str">
        <f aca="false">IF(C1033=J1033,"NEW KONTRAK","RE-KONTRAK")</f>
        <v>RE-KONTRAK</v>
      </c>
      <c r="J1033" s="16" t="n">
        <f aca="false" t="array" ref="J1033:J1033">IFERROR(INDEX(AC1033:AE1033,IF(COUNTA(AC1033:AE1033)=0,"",MAX((AC1033:AE1033&lt;&gt;"")*(COLUMN(AC1033:AE1033)-(COLUMN(AC1033)))))-1),"")</f>
        <v>45744</v>
      </c>
      <c r="K1033" s="16" t="n">
        <f aca="false" t="array" ref="K1033:K1033">IFERROR(INDEX(AC1033:AE1033,IF(COUNTA(AC1033:AE1033)=0,"",MAX((AC1033:AE1033&lt;&gt;"")*(COLUMN(AC1033:AE1033)-(COLUMN(AC1033)-1))))-1),"")</f>
        <v>45915</v>
      </c>
      <c r="L1033" s="17" t="str">
        <f aca="false" t="array" ref="L1033:L1033">IFERROR(INDEX(AC1033:AE1033,IF(COUNTA(AC1033:AE1033)=0,"",MAX((AC1033:AE1033&lt;&gt;"")*(COLUMN(AC1033:AE1033)-(COLUMN(AC1033)-2))))-1),"")</f>
        <v>ARCHIVED</v>
      </c>
      <c r="M1033" s="13" t="n">
        <f aca="true">K1033-TODAY()</f>
        <v>-409</v>
      </c>
      <c r="N1033" s="18" t="s">
        <v>2427</v>
      </c>
      <c r="O1033" s="13" t="s">
        <v>2037</v>
      </c>
      <c r="P1033" s="19" t="n">
        <v>3619467</v>
      </c>
      <c r="Q1033" s="20" t="s">
        <v>4563</v>
      </c>
      <c r="R1033" s="13" t="s">
        <v>2429</v>
      </c>
      <c r="S1033" s="14" t="n">
        <v>37936</v>
      </c>
      <c r="T1033" s="13" t="s">
        <v>108</v>
      </c>
      <c r="U1033" s="13" t="s">
        <v>4564</v>
      </c>
      <c r="V1033" s="13" t="s">
        <v>1310</v>
      </c>
      <c r="W1033" s="13" t="s">
        <v>43</v>
      </c>
      <c r="X1033" s="21" t="n">
        <v>81341490066</v>
      </c>
      <c r="Y1033" s="22" t="str">
        <f aca="false">O1033</f>
        <v>SPG/BA</v>
      </c>
      <c r="Z1033" s="13" t="str">
        <f aca="false">IFERROR(__xludf.dummyfunction("if(BJ1033="""","""",GOOGLETRANSLATE(BJ1033,""auto"",""en""))"),"SPG/BA")</f>
        <v>SPG/BA</v>
      </c>
      <c r="AA1033" s="23" t="str">
        <f aca="false">IF(C1033="","", CHOOSE(MONTH(C1033),"January","February","March","April","May","June","July","August","September","October","November","December")&amp;" "&amp;DAY(C1033)&amp;MID("thstndrdth",MIN(9,2*RIGHT(DAY(C1033))*(MOD(DAY(C1033)-11,100)&gt;2)+1),2)&amp;","&amp;TEXT(C1033," yyyy"))</f>
        <v>May 8th,2023</v>
      </c>
      <c r="AB1033" s="15" t="str">
        <f aca="true">IF(S1033="","",DATEDIF(S1033,TODAY(),"Y")&amp;" Tahun, "&amp;DATEDIF(S1033,TODAY(),"YM")&amp;" Bulan, "&amp;DATEDIF(S1033,TODAY(),"MD")&amp;" Hari")</f>
        <v>22 Tahun, 11 Bulan, 18 Hari</v>
      </c>
      <c r="AC1033" s="18" t="n">
        <v>45744</v>
      </c>
      <c r="AD1033" s="18" t="n">
        <v>45915</v>
      </c>
      <c r="AE1033" s="18" t="s">
        <v>44</v>
      </c>
    </row>
    <row r="1034" customFormat="false" ht="15.75" hidden="false" customHeight="true" outlineLevel="0" collapsed="false">
      <c r="A1034" s="12" t="n">
        <v>10690</v>
      </c>
      <c r="B1034" s="13" t="s">
        <v>4565</v>
      </c>
      <c r="C1034" s="14" t="n">
        <v>45062</v>
      </c>
      <c r="D1034" s="13" t="s">
        <v>144</v>
      </c>
      <c r="E1034" s="15" t="s">
        <v>33</v>
      </c>
      <c r="F1034" s="24" t="s">
        <v>4566</v>
      </c>
      <c r="G1034" s="13" t="s">
        <v>4567</v>
      </c>
      <c r="H1034" s="13" t="s">
        <v>35</v>
      </c>
      <c r="I1034" s="13" t="str">
        <f aca="false">IF(C1034=J1034,"NEW KONTRAK","RE-KONTRAK")</f>
        <v>RE-KONTRAK</v>
      </c>
      <c r="J1034" s="16" t="n">
        <f aca="false" t="array" ref="J1034:J1034">IFERROR(INDEX(AC1034:AE1034,IF(COUNTA(AC1034:AE1034)=0,"",MAX((AC1034:AE1034&lt;&gt;"")*(COLUMN(AC1034:AE1034)-(COLUMN(AC1034)))))-1),"")</f>
        <v>45658</v>
      </c>
      <c r="K1034" s="16" t="n">
        <f aca="false" t="array" ref="K1034:K1034">IFERROR(INDEX(AC1034:AE1034,IF(COUNTA(AC1034:AE1034)=0,"",MAX((AC1034:AE1034&lt;&gt;"")*(COLUMN(AC1034:AE1034)-(COLUMN(AC1034)-1))))-1),"")</f>
        <v>46022</v>
      </c>
      <c r="L1034" s="17" t="str">
        <f aca="false" t="array" ref="L1034:L1034">IFERROR(INDEX(AC1034:AE1034,IF(COUNTA(AC1034:AE1034)=0,"",MAX((AC1034:AE1034&lt;&gt;"")*(COLUMN(AC1034:AE1034)-(COLUMN(AC1034)-2))))-1),"")</f>
        <v>ARCHIVED</v>
      </c>
      <c r="M1034" s="13" t="n">
        <f aca="true">K1034-TODAY()</f>
        <v>-302</v>
      </c>
      <c r="N1034" s="18" t="s">
        <v>36</v>
      </c>
      <c r="O1034" s="13" t="s">
        <v>146</v>
      </c>
      <c r="P1034" s="19" t="n">
        <v>5195401</v>
      </c>
      <c r="Q1034" s="20" t="s">
        <v>4568</v>
      </c>
      <c r="R1034" s="13" t="s">
        <v>65</v>
      </c>
      <c r="S1034" s="14" t="n">
        <v>35841</v>
      </c>
      <c r="T1034" s="13" t="s">
        <v>40</v>
      </c>
      <c r="U1034" s="13" t="s">
        <v>4569</v>
      </c>
      <c r="V1034" s="13" t="s">
        <v>42</v>
      </c>
      <c r="W1034" s="13" t="s">
        <v>54</v>
      </c>
      <c r="X1034" s="21" t="n">
        <v>81779326727</v>
      </c>
      <c r="Y1034" s="22" t="str">
        <f aca="false">O1034</f>
        <v>Enamel</v>
      </c>
      <c r="Z1034" s="13" t="str">
        <f aca="false">IFERROR(__xludf.dummyfunction("if(BJ1034="""","""",GOOGLETRANSLATE(BJ1034,""auto"",""en""))"),"Enamel")</f>
        <v>Enamel</v>
      </c>
      <c r="AA1034" s="23" t="str">
        <f aca="false">IF(C1034="","", CHOOSE(MONTH(C1034),"January","February","March","April","May","June","July","August","September","October","November","December")&amp;" "&amp;DAY(C1034)&amp;MID("thstndrdth",MIN(9,2*RIGHT(DAY(C1034))*(MOD(DAY(C1034)-11,100)&gt;2)+1),2)&amp;","&amp;TEXT(C1034," yyyy"))</f>
        <v>May 16th,2023</v>
      </c>
      <c r="AB1034" s="15" t="str">
        <f aca="true">IF(S1034="","",DATEDIF(S1034,TODAY(),"Y")&amp;" Tahun, "&amp;DATEDIF(S1034,TODAY(),"YM")&amp;" Bulan, "&amp;DATEDIF(S1034,TODAY(),"MD")&amp;" Hari")</f>
        <v>28 Tahun, 8 Bulan, 14 Hari</v>
      </c>
      <c r="AC1034" s="18" t="n">
        <v>45658</v>
      </c>
      <c r="AD1034" s="18" t="n">
        <v>46022</v>
      </c>
      <c r="AE1034" s="18" t="s">
        <v>44</v>
      </c>
    </row>
    <row r="1035" customFormat="false" ht="15.75" hidden="false" customHeight="true" outlineLevel="0" collapsed="false">
      <c r="A1035" s="12" t="n">
        <v>10693</v>
      </c>
      <c r="B1035" s="13" t="s">
        <v>4570</v>
      </c>
      <c r="C1035" s="14" t="n">
        <v>45061</v>
      </c>
      <c r="D1035" s="13" t="s">
        <v>4264</v>
      </c>
      <c r="E1035" s="15" t="s">
        <v>47</v>
      </c>
      <c r="F1035" s="15" t="str">
        <f aca="false">IFERROR(__xludf.dummyfunction("XLOOKUP(AJ1035,IMPORTRANGE(""1XaInW9DU9nz21V0tYIfzFQ0He9kVQ_JF2mCXgZ3hqFA"",""REKAP ALL 2026 - Andika!G:G""),IMPORTRANGE(""1XaInW9DU9nz21V0tYIfzFQ0He9kVQ_JF2mCXgZ3hqFA"",""REKAP ALL 2026 - Andika!F:F""),"""",0)"),"23076926569")</f>
        <v>23076926569</v>
      </c>
      <c r="G1035" s="13" t="s">
        <v>4571</v>
      </c>
      <c r="H1035" s="13" t="s">
        <v>35</v>
      </c>
      <c r="I1035" s="13" t="str">
        <f aca="false">IF(C1035=J1035,"NEW KONTRAK","RE-KONTRAK")</f>
        <v>RE-KONTRAK</v>
      </c>
      <c r="J1035" s="16" t="n">
        <f aca="false" t="array" ref="J1035:J1035">IFERROR(INDEX(AC1035:AE1035,IF(COUNTA(AC1035:AE1035)=0,"",MAX((AC1035:AE1035&lt;&gt;"")*(COLUMN(AC1035:AE1035)-(COLUMN(AC1035)))))-1),"")</f>
        <v>45764</v>
      </c>
      <c r="K1035" s="16" t="n">
        <f aca="false" t="array" ref="K1035:K1035">IFERROR(INDEX(AC1035:AE1035,IF(COUNTA(AC1035:AE1035)=0,"",MAX((AC1035:AE1035&lt;&gt;"")*(COLUMN(AC1035:AE1035)-(COLUMN(AC1035)-1))))-1),"")</f>
        <v>45946</v>
      </c>
      <c r="L1035" s="17" t="str">
        <f aca="false" t="array" ref="L1035:L1035">IFERROR(INDEX(AC1035:AE1035,IF(COUNTA(AC1035:AE1035)=0,"",MAX((AC1035:AE1035&lt;&gt;"")*(COLUMN(AC1035:AE1035)-(COLUMN(AC1035)-2))))-1),"")</f>
        <v>ARCHIVED</v>
      </c>
      <c r="M1035" s="13" t="n">
        <f aca="true">K1035-TODAY()</f>
        <v>-378</v>
      </c>
      <c r="N1035" s="18" t="s">
        <v>36</v>
      </c>
      <c r="O1035" s="13" t="s">
        <v>4255</v>
      </c>
      <c r="P1035" s="27" t="n">
        <v>200000</v>
      </c>
      <c r="Q1035" s="20" t="s">
        <v>4572</v>
      </c>
      <c r="R1035" s="13" t="s">
        <v>241</v>
      </c>
      <c r="S1035" s="14" t="n">
        <v>37278</v>
      </c>
      <c r="T1035" s="13" t="s">
        <v>40</v>
      </c>
      <c r="U1035" s="13" t="s">
        <v>4573</v>
      </c>
      <c r="V1035" s="13" t="s">
        <v>42</v>
      </c>
      <c r="W1035" s="13" t="s">
        <v>43</v>
      </c>
      <c r="X1035" s="21" t="n">
        <v>89678788486</v>
      </c>
      <c r="Y1035" s="22" t="str">
        <f aca="false">O1035</f>
        <v>Operator Cutting</v>
      </c>
      <c r="Z1035" s="13" t="str">
        <f aca="false">IFERROR(__xludf.dummyfunction("if(BJ1035="""","""",GOOGLETRANSLATE(BJ1035,""auto"",""en""))"),"Operator Cutting")</f>
        <v>Operator Cutting</v>
      </c>
      <c r="AA1035" s="23" t="str">
        <f aca="false">IF(C1035="","", CHOOSE(MONTH(C1035),"January","February","March","April","May","June","July","August","September","October","November","December")&amp;" "&amp;DAY(C1035)&amp;MID("thstndrdth",MIN(9,2*RIGHT(DAY(C1035))*(MOD(DAY(C1035)-11,100)&gt;2)+1),2)&amp;","&amp;TEXT(C1035," yyyy"))</f>
        <v>May 15th,2023</v>
      </c>
      <c r="AB1035" s="15" t="str">
        <f aca="true">IF(S1035="","",DATEDIF(S1035,TODAY(),"Y")&amp;" Tahun, "&amp;DATEDIF(S1035,TODAY(),"YM")&amp;" Bulan, "&amp;DATEDIF(S1035,TODAY(),"MD")&amp;" Hari")</f>
        <v>24 Tahun, 9 Bulan, 7 Hari</v>
      </c>
      <c r="AC1035" s="18" t="n">
        <v>45764</v>
      </c>
      <c r="AD1035" s="18" t="n">
        <v>45946</v>
      </c>
      <c r="AE1035" s="18" t="s">
        <v>44</v>
      </c>
    </row>
    <row r="1036" customFormat="false" ht="15.75" hidden="false" customHeight="true" outlineLevel="0" collapsed="false">
      <c r="A1036" s="12" t="n">
        <v>10694</v>
      </c>
      <c r="B1036" s="13" t="s">
        <v>4574</v>
      </c>
      <c r="C1036" s="14" t="n">
        <v>45061</v>
      </c>
      <c r="D1036" s="13" t="s">
        <v>4264</v>
      </c>
      <c r="E1036" s="15" t="s">
        <v>47</v>
      </c>
      <c r="F1036" s="15" t="str">
        <f aca="false">IFERROR(__xludf.dummyfunction("XLOOKUP(AJ1036,IMPORTRANGE(""1XaInW9DU9nz21V0tYIfzFQ0He9kVQ_JF2mCXgZ3hqFA"",""REKAP ALL 2026 - Andika!G:G""),IMPORTRANGE(""1XaInW9DU9nz21V0tYIfzFQ0He9kVQ_JF2mCXgZ3hqFA"",""REKAP ALL 2026 - Andika!F:F""),"""",0)"),"23076926601")</f>
        <v>23076926601</v>
      </c>
      <c r="G1036" s="13" t="s">
        <v>4575</v>
      </c>
      <c r="H1036" s="13" t="s">
        <v>35</v>
      </c>
      <c r="I1036" s="13" t="str">
        <f aca="false">IF(C1036=J1036,"NEW KONTRAK","RE-KONTRAK")</f>
        <v>RE-KONTRAK</v>
      </c>
      <c r="J1036" s="16" t="n">
        <f aca="false" t="array" ref="J1036:J1036">IFERROR(INDEX(AC1036:AE1036,IF(COUNTA(AC1036:AE1036)=0,"",MAX((AC1036:AE1036&lt;&gt;"")*(COLUMN(AC1036:AE1036)-(COLUMN(AC1036)))))-1),"")</f>
        <v>45764</v>
      </c>
      <c r="K1036" s="16" t="n">
        <f aca="false" t="array" ref="K1036:K1036">IFERROR(INDEX(AC1036:AE1036,IF(COUNTA(AC1036:AE1036)=0,"",MAX((AC1036:AE1036&lt;&gt;"")*(COLUMN(AC1036:AE1036)-(COLUMN(AC1036)-1))))-1),"")</f>
        <v>45946</v>
      </c>
      <c r="L1036" s="17" t="str">
        <f aca="false" t="array" ref="L1036:L1036">IFERROR(INDEX(AC1036:AE1036,IF(COUNTA(AC1036:AE1036)=0,"",MAX((AC1036:AE1036&lt;&gt;"")*(COLUMN(AC1036:AE1036)-(COLUMN(AC1036)-2))))-1),"")</f>
        <v>ARCHIVED</v>
      </c>
      <c r="M1036" s="13" t="n">
        <f aca="true">K1036-TODAY()</f>
        <v>-378</v>
      </c>
      <c r="N1036" s="18" t="s">
        <v>36</v>
      </c>
      <c r="O1036" s="13" t="s">
        <v>4255</v>
      </c>
      <c r="P1036" s="27" t="n">
        <v>200000</v>
      </c>
      <c r="Q1036" s="20" t="s">
        <v>4576</v>
      </c>
      <c r="R1036" s="13" t="s">
        <v>78</v>
      </c>
      <c r="S1036" s="14" t="n">
        <v>36909</v>
      </c>
      <c r="T1036" s="13" t="s">
        <v>40</v>
      </c>
      <c r="U1036" s="13" t="s">
        <v>4420</v>
      </c>
      <c r="V1036" s="13" t="s">
        <v>42</v>
      </c>
      <c r="W1036" s="13" t="s">
        <v>43</v>
      </c>
      <c r="X1036" s="21" t="n">
        <v>85777723239</v>
      </c>
      <c r="Y1036" s="22" t="str">
        <f aca="false">O1036</f>
        <v>Operator Cutting</v>
      </c>
      <c r="Z1036" s="13" t="str">
        <f aca="false">IFERROR(__xludf.dummyfunction("if(BJ1036="""","""",GOOGLETRANSLATE(BJ1036,""auto"",""en""))"),"Operator Cutting")</f>
        <v>Operator Cutting</v>
      </c>
      <c r="AA1036" s="23" t="str">
        <f aca="false">IF(C1036="","", CHOOSE(MONTH(C1036),"January","February","March","April","May","June","July","August","September","October","November","December")&amp;" "&amp;DAY(C1036)&amp;MID("thstndrdth",MIN(9,2*RIGHT(DAY(C1036))*(MOD(DAY(C1036)-11,100)&gt;2)+1),2)&amp;","&amp;TEXT(C1036," yyyy"))</f>
        <v>May 15th,2023</v>
      </c>
      <c r="AB1036" s="15" t="str">
        <f aca="true">IF(S1036="","",DATEDIF(S1036,TODAY(),"Y")&amp;" Tahun, "&amp;DATEDIF(S1036,TODAY(),"YM")&amp;" Bulan, "&amp;DATEDIF(S1036,TODAY(),"MD")&amp;" Hari")</f>
        <v>25 Tahun, 9 Bulan, 11 Hari</v>
      </c>
      <c r="AC1036" s="18" t="n">
        <v>45764</v>
      </c>
      <c r="AD1036" s="18" t="n">
        <v>45946</v>
      </c>
      <c r="AE1036" s="18" t="s">
        <v>44</v>
      </c>
    </row>
    <row r="1037" customFormat="false" ht="15.75" hidden="false" customHeight="true" outlineLevel="0" collapsed="false">
      <c r="A1037" s="12" t="n">
        <v>10705</v>
      </c>
      <c r="B1037" s="13" t="s">
        <v>4577</v>
      </c>
      <c r="C1037" s="14" t="n">
        <v>45042</v>
      </c>
      <c r="D1037" s="13" t="s">
        <v>774</v>
      </c>
      <c r="E1037" s="15" t="s">
        <v>47</v>
      </c>
      <c r="F1037" s="15" t="str">
        <f aca="false">IFERROR(__xludf.dummyfunction("XLOOKUP(AJ1037,IMPORTRANGE(""1XaInW9DU9nz21V0tYIfzFQ0He9kVQ_JF2mCXgZ3hqFA"",""REKAP ALL 2026 - Andika!G:G""),IMPORTRANGE(""1XaInW9DU9nz21V0tYIfzFQ0He9kVQ_JF2mCXgZ3hqFA"",""REKAP ALL 2026 - Andika!F:F""),"""",0)"),"23172179618")</f>
        <v>23172179618</v>
      </c>
      <c r="G1037" s="13" t="s">
        <v>4578</v>
      </c>
      <c r="H1037" s="13" t="s">
        <v>2967</v>
      </c>
      <c r="I1037" s="13" t="str">
        <f aca="false">IF(C1037=J1037,"NEW KONTRAK","RE-KONTRAK")</f>
        <v>RE-KONTRAK</v>
      </c>
      <c r="J1037" s="16" t="n">
        <f aca="false" t="array" ref="J1037:J1037">IFERROR(INDEX(AC1037:AE1037,IF(COUNTA(AC1037:AE1037)=0,"",MAX((AC1037:AE1037&lt;&gt;"")*(COLUMN(AC1037:AE1037)-(COLUMN(AC1037)))))-1),"")</f>
        <v>45570</v>
      </c>
      <c r="K1037" s="16" t="n">
        <f aca="false" t="array" ref="K1037:K1037">IFERROR(INDEX(AC1037:AE1037,IF(COUNTA(AC1037:AE1037)=0,"",MAX((AC1037:AE1037&lt;&gt;"")*(COLUMN(AC1037:AE1037)-(COLUMN(AC1037)-1))))-1),"")</f>
        <v>45934</v>
      </c>
      <c r="L1037" s="17" t="str">
        <f aca="false" t="array" ref="L1037:L1037">IFERROR(INDEX(AC1037:AE1037,IF(COUNTA(AC1037:AE1037)=0,"",MAX((AC1037:AE1037&lt;&gt;"")*(COLUMN(AC1037:AE1037)-(COLUMN(AC1037)-2))))-1),"")</f>
        <v>ARCHIVED</v>
      </c>
      <c r="M1037" s="13" t="n">
        <f aca="true">K1037-TODAY()</f>
        <v>-390</v>
      </c>
      <c r="N1037" s="18" t="s">
        <v>36</v>
      </c>
      <c r="O1037" s="29" t="s">
        <v>780</v>
      </c>
      <c r="P1037" s="19" t="n">
        <v>3750000</v>
      </c>
      <c r="Q1037" s="20" t="s">
        <v>4579</v>
      </c>
      <c r="R1037" s="13" t="s">
        <v>39</v>
      </c>
      <c r="S1037" s="14" t="n">
        <v>38116</v>
      </c>
      <c r="T1037" s="13" t="s">
        <v>40</v>
      </c>
      <c r="U1037" s="13" t="s">
        <v>4580</v>
      </c>
      <c r="V1037" s="13" t="s">
        <v>42</v>
      </c>
      <c r="W1037" s="13" t="s">
        <v>43</v>
      </c>
      <c r="X1037" s="21" t="n">
        <v>85755761989</v>
      </c>
      <c r="Y1037" s="22" t="str">
        <f aca="false">O1037</f>
        <v>Shearing</v>
      </c>
      <c r="Z1037" s="13" t="str">
        <f aca="false">IFERROR(__xludf.dummyfunction("if(BJ1037="""","""",GOOGLETRANSLATE(BJ1037,""auto"",""en""))"),"Shearing")</f>
        <v>Shearing</v>
      </c>
      <c r="AA1037" s="23" t="str">
        <f aca="false">IF(C1037="","", CHOOSE(MONTH(C1037),"January","February","March","April","May","June","July","August","September","October","November","December")&amp;" "&amp;DAY(C1037)&amp;MID("thstndrdth",MIN(9,2*RIGHT(DAY(C1037))*(MOD(DAY(C1037)-11,100)&gt;2)+1),2)&amp;","&amp;TEXT(C1037," yyyy"))</f>
        <v>April 26th,2023</v>
      </c>
      <c r="AB1037" s="15" t="str">
        <f aca="true">IF(S1037="","",DATEDIF(S1037,TODAY(),"Y")&amp;" Tahun, "&amp;DATEDIF(S1037,TODAY(),"YM")&amp;" Bulan, "&amp;DATEDIF(S1037,TODAY(),"MD")&amp;" Hari")</f>
        <v>22 Tahun, 5 Bulan, 20 Hari</v>
      </c>
      <c r="AC1037" s="18" t="n">
        <v>45570</v>
      </c>
      <c r="AD1037" s="18" t="n">
        <v>45934</v>
      </c>
      <c r="AE1037" s="18" t="s">
        <v>44</v>
      </c>
    </row>
    <row r="1038" customFormat="false" ht="15.75" hidden="false" customHeight="true" outlineLevel="0" collapsed="false">
      <c r="A1038" s="12" t="n">
        <v>10707</v>
      </c>
      <c r="B1038" s="13" t="s">
        <v>4581</v>
      </c>
      <c r="C1038" s="14" t="n">
        <v>45056</v>
      </c>
      <c r="D1038" s="13" t="s">
        <v>3022</v>
      </c>
      <c r="E1038" s="15" t="s">
        <v>47</v>
      </c>
      <c r="F1038" s="15" t="str">
        <f aca="false">IFERROR(__xludf.dummyfunction("XLOOKUP(AJ1038,IMPORTRANGE(""1XaInW9DU9nz21V0tYIfzFQ0He9kVQ_JF2mCXgZ3hqFA"",""REKAP ALL 2026 - Andika!G:G""),IMPORTRANGE(""1XaInW9DU9nz21V0tYIfzFQ0He9kVQ_JF2mCXgZ3hqFA"",""REKAP ALL 2026 - Andika!F:F""),"""",0)"),"23172179006")</f>
        <v>23172179006</v>
      </c>
      <c r="G1038" s="13" t="s">
        <v>4582</v>
      </c>
      <c r="H1038" s="13" t="s">
        <v>3024</v>
      </c>
      <c r="I1038" s="13" t="str">
        <f aca="false">IF(C1038=J1038,"NEW KONTRAK","RE-KONTRAK")</f>
        <v>RE-KONTRAK</v>
      </c>
      <c r="J1038" s="16" t="n">
        <f aca="false" t="array" ref="J1038:J1038">IFERROR(INDEX(AC1038:AE1038,IF(COUNTA(AC1038:AE1038)=0,"",MAX((AC1038:AE1038&lt;&gt;"")*(COLUMN(AC1038:AE1038)-(COLUMN(AC1038)))))-1),"")</f>
        <v>45570</v>
      </c>
      <c r="K1038" s="16" t="n">
        <f aca="false" t="array" ref="K1038:K1038">IFERROR(INDEX(AC1038:AE1038,IF(COUNTA(AC1038:AE1038)=0,"",MAX((AC1038:AE1038&lt;&gt;"")*(COLUMN(AC1038:AE1038)-(COLUMN(AC1038)-1))))-1),"")</f>
        <v>45934</v>
      </c>
      <c r="L1038" s="17" t="str">
        <f aca="false" t="array" ref="L1038:L1038">IFERROR(INDEX(AC1038:AE1038,IF(COUNTA(AC1038:AE1038)=0,"",MAX((AC1038:AE1038&lt;&gt;"")*(COLUMN(AC1038:AE1038)-(COLUMN(AC1038)-2))))-1),"")</f>
        <v>ARCHIVED</v>
      </c>
      <c r="M1038" s="13" t="n">
        <f aca="true">K1038-TODAY()</f>
        <v>-390</v>
      </c>
      <c r="N1038" s="18" t="s">
        <v>36</v>
      </c>
      <c r="O1038" s="13" t="s">
        <v>3025</v>
      </c>
      <c r="P1038" s="19" t="n">
        <v>150000</v>
      </c>
      <c r="Q1038" s="20" t="s">
        <v>4583</v>
      </c>
      <c r="R1038" s="13" t="s">
        <v>65</v>
      </c>
      <c r="S1038" s="14" t="n">
        <v>37509</v>
      </c>
      <c r="T1038" s="13" t="s">
        <v>40</v>
      </c>
      <c r="U1038" s="13" t="s">
        <v>4584</v>
      </c>
      <c r="V1038" s="13" t="s">
        <v>42</v>
      </c>
      <c r="W1038" s="13" t="s">
        <v>43</v>
      </c>
      <c r="X1038" s="21" t="n">
        <v>83831794405</v>
      </c>
      <c r="Y1038" s="22" t="str">
        <f aca="false">O1038</f>
        <v>Gudang ( Warehouse )</v>
      </c>
      <c r="Z1038" s="13" t="str">
        <f aca="false">IFERROR(__xludf.dummyfunction("if(BJ1038="""","""",GOOGLETRANSLATE(BJ1038,""auto"",""en""))"),"Warehouse")</f>
        <v>Warehouse</v>
      </c>
      <c r="AA1038" s="23" t="str">
        <f aca="false">IF(C1038="","", CHOOSE(MONTH(C1038),"January","February","March","April","May","June","July","August","September","October","November","December")&amp;" "&amp;DAY(C1038)&amp;MID("thstndrdth",MIN(9,2*RIGHT(DAY(C1038))*(MOD(DAY(C1038)-11,100)&gt;2)+1),2)&amp;","&amp;TEXT(C1038," yyyy"))</f>
        <v>May 10th,2023</v>
      </c>
      <c r="AB1038" s="15" t="str">
        <f aca="true">IF(S1038="","",DATEDIF(S1038,TODAY(),"Y")&amp;" Tahun, "&amp;DATEDIF(S1038,TODAY(),"YM")&amp;" Bulan, "&amp;DATEDIF(S1038,TODAY(),"MD")&amp;" Hari")</f>
        <v>24 Tahun, 1 Bulan, 19 Hari</v>
      </c>
      <c r="AC1038" s="18" t="n">
        <v>45570</v>
      </c>
      <c r="AD1038" s="18" t="n">
        <v>45934</v>
      </c>
      <c r="AE1038" s="18" t="s">
        <v>44</v>
      </c>
    </row>
    <row r="1039" customFormat="false" ht="15.75" hidden="false" customHeight="true" outlineLevel="0" collapsed="false">
      <c r="A1039" s="12" t="n">
        <v>10711</v>
      </c>
      <c r="B1039" s="13" t="s">
        <v>4585</v>
      </c>
      <c r="C1039" s="14" t="n">
        <v>45054</v>
      </c>
      <c r="D1039" s="13" t="s">
        <v>2046</v>
      </c>
      <c r="E1039" s="15" t="s">
        <v>102</v>
      </c>
      <c r="F1039" s="24" t="s">
        <v>4586</v>
      </c>
      <c r="G1039" s="13" t="s">
        <v>4587</v>
      </c>
      <c r="H1039" s="13" t="s">
        <v>35</v>
      </c>
      <c r="I1039" s="13" t="str">
        <f aca="false">IF(C1039=J1039,"NEW KONTRAK","RE-KONTRAK")</f>
        <v>RE-KONTRAK</v>
      </c>
      <c r="J1039" s="16" t="n">
        <f aca="false" t="array" ref="J1039:J1039">IFERROR(INDEX(AC1039:AE1039,IF(COUNTA(AC1039:AE1039)=0,"",MAX((AC1039:AE1039&lt;&gt;"")*(COLUMN(AC1039:AE1039)-(COLUMN(AC1039)))))-1),"")</f>
        <v>45839</v>
      </c>
      <c r="K1039" s="16" t="n">
        <f aca="false" t="array" ref="K1039:K1039">IFERROR(INDEX(AC1039:AE1039,IF(COUNTA(AC1039:AE1039)=0,"",MAX((AC1039:AE1039&lt;&gt;"")*(COLUMN(AC1039:AE1039)-(COLUMN(AC1039)-1))))-1),"")</f>
        <v>45961</v>
      </c>
      <c r="L1039" s="17" t="str">
        <f aca="false" t="array" ref="L1039:L1039">IFERROR(INDEX(AC1039:AE1039,IF(COUNTA(AC1039:AE1039)=0,"",MAX((AC1039:AE1039&lt;&gt;"")*(COLUMN(AC1039:AE1039)-(COLUMN(AC1039)-2))))-1),"")</f>
        <v>ARCHIVED</v>
      </c>
      <c r="M1039" s="13" t="n">
        <f aca="true">K1039-TODAY()</f>
        <v>-363</v>
      </c>
      <c r="N1039" s="18" t="s">
        <v>36</v>
      </c>
      <c r="O1039" s="13" t="s">
        <v>2055</v>
      </c>
      <c r="P1039" s="19" t="s">
        <v>2050</v>
      </c>
      <c r="Q1039" s="20" t="s">
        <v>4588</v>
      </c>
      <c r="R1039" s="13" t="s">
        <v>52</v>
      </c>
      <c r="S1039" s="14" t="n">
        <v>36847</v>
      </c>
      <c r="T1039" s="13" t="s">
        <v>40</v>
      </c>
      <c r="U1039" s="13" t="s">
        <v>4589</v>
      </c>
      <c r="V1039" s="13" t="s">
        <v>42</v>
      </c>
      <c r="W1039" s="13" t="s">
        <v>43</v>
      </c>
      <c r="X1039" s="21" t="n">
        <v>8819549877</v>
      </c>
      <c r="Y1039" s="22" t="str">
        <f aca="false">O1039</f>
        <v>Assembly</v>
      </c>
      <c r="Z1039" s="13" t="str">
        <f aca="false">IFERROR(__xludf.dummyfunction("if(BJ1039="""","""",GOOGLETRANSLATE(BJ1039,""auto"",""en""))"),"Assembly")</f>
        <v>Assembly</v>
      </c>
      <c r="AA1039" s="23" t="str">
        <f aca="false">IF(C1039="","", CHOOSE(MONTH(C1039),"January","February","March","April","May","June","July","August","September","October","November","December")&amp;" "&amp;DAY(C1039)&amp;MID("thstndrdth",MIN(9,2*RIGHT(DAY(C1039))*(MOD(DAY(C1039)-11,100)&gt;2)+1),2)&amp;","&amp;TEXT(C1039," yyyy"))</f>
        <v>May 8th,2023</v>
      </c>
      <c r="AB1039" s="15" t="str">
        <f aca="true">IF(S1039="","",DATEDIF(S1039,TODAY(),"Y")&amp;" Tahun, "&amp;DATEDIF(S1039,TODAY(),"YM")&amp;" Bulan, "&amp;DATEDIF(S1039,TODAY(),"MD")&amp;" Hari")</f>
        <v>25 Tahun, 11 Bulan, 12 Hari</v>
      </c>
      <c r="AC1039" s="18" t="n">
        <v>45839</v>
      </c>
      <c r="AD1039" s="18" t="n">
        <v>45961</v>
      </c>
      <c r="AE1039" s="18" t="s">
        <v>44</v>
      </c>
    </row>
    <row r="1040" customFormat="false" ht="15.75" hidden="false" customHeight="true" outlineLevel="0" collapsed="false">
      <c r="A1040" s="12" t="n">
        <v>10747</v>
      </c>
      <c r="B1040" s="13" t="s">
        <v>4590</v>
      </c>
      <c r="C1040" s="14" t="n">
        <v>45070</v>
      </c>
      <c r="D1040" s="13" t="s">
        <v>393</v>
      </c>
      <c r="E1040" s="15" t="s">
        <v>47</v>
      </c>
      <c r="F1040" s="15" t="str">
        <f aca="false">IFERROR(__xludf.dummyfunction("XLOOKUP(AJ1040,IMPORTRANGE(""1XaInW9DU9nz21V0tYIfzFQ0He9kVQ_JF2mCXgZ3hqFA"",""REKAP ALL 2026 - Andika!G:G""),IMPORTRANGE(""1XaInW9DU9nz21V0tYIfzFQ0He9kVQ_JF2mCXgZ3hqFA"",""REKAP ALL 2026 - Andika!F:F""),"""",0)"),"23076922337")</f>
        <v>23076922337</v>
      </c>
      <c r="G1040" s="13" t="s">
        <v>4591</v>
      </c>
      <c r="H1040" s="13" t="s">
        <v>35</v>
      </c>
      <c r="I1040" s="13" t="str">
        <f aca="false">IF(C1040=J1040,"NEW KONTRAK","RE-KONTRAK")</f>
        <v>RE-KONTRAK</v>
      </c>
      <c r="J1040" s="16" t="n">
        <f aca="false" t="array" ref="J1040:J1040">IFERROR(INDEX(AC1040:AE1040,IF(COUNTA(AC1040:AE1040)=0,"",MAX((AC1040:AE1040&lt;&gt;"")*(COLUMN(AC1040:AE1040)-(COLUMN(AC1040)))))-1),"")</f>
        <v>45452</v>
      </c>
      <c r="K1040" s="16" t="n">
        <f aca="false" t="array" ref="K1040:K1040">IFERROR(INDEX(AC1040:AE1040,IF(COUNTA(AC1040:AE1040)=0,"",MAX((AC1040:AE1040&lt;&gt;"")*(COLUMN(AC1040:AE1040)-(COLUMN(AC1040)-1))))-1),"")</f>
        <v>46181</v>
      </c>
      <c r="L1040" s="17" t="str">
        <f aca="false" t="array" ref="L1040:L1040">IFERROR(INDEX(AC1040:AE1040,IF(COUNTA(AC1040:AE1040)=0,"",MAX((AC1040:AE1040&lt;&gt;"")*(COLUMN(AC1040:AE1040)-(COLUMN(AC1040)-2))))-1),"")</f>
        <v>KEMBALI</v>
      </c>
      <c r="M1040" s="13" t="n">
        <f aca="true">K1040-TODAY()</f>
        <v>-143</v>
      </c>
      <c r="N1040" s="18" t="s">
        <v>105</v>
      </c>
      <c r="O1040" s="13" t="s">
        <v>58</v>
      </c>
      <c r="P1040" s="19" t="n">
        <v>5191541</v>
      </c>
      <c r="Q1040" s="20" t="s">
        <v>4592</v>
      </c>
      <c r="R1040" s="13" t="s">
        <v>39</v>
      </c>
      <c r="S1040" s="14" t="n">
        <v>35271</v>
      </c>
      <c r="T1040" s="13" t="s">
        <v>40</v>
      </c>
      <c r="U1040" s="13" t="s">
        <v>4593</v>
      </c>
      <c r="V1040" s="13" t="s">
        <v>42</v>
      </c>
      <c r="W1040" s="13" t="s">
        <v>43</v>
      </c>
      <c r="X1040" s="21" t="n">
        <v>81330106473</v>
      </c>
      <c r="Y1040" s="22" t="str">
        <f aca="false">O1040</f>
        <v>Produksi</v>
      </c>
      <c r="Z1040" s="13" t="str">
        <f aca="false">IFERROR(__xludf.dummyfunction("if(BJ1040="""","""",GOOGLETRANSLATE(BJ1040,""auto"",""en""))"),"Production")</f>
        <v>Production</v>
      </c>
      <c r="AA1040" s="23" t="str">
        <f aca="false">IF(C1040="","", CHOOSE(MONTH(C1040),"January","February","March","April","May","June","July","August","September","October","November","December")&amp;" "&amp;DAY(C1040)&amp;MID("thstndrdth",MIN(9,2*RIGHT(DAY(C1040))*(MOD(DAY(C1040)-11,100)&gt;2)+1),2)&amp;","&amp;TEXT(C1040," yyyy"))</f>
        <v>May 24th,2023</v>
      </c>
      <c r="AB1040" s="15" t="str">
        <f aca="true">IF(S1040="","",DATEDIF(S1040,TODAY(),"Y")&amp;" Tahun, "&amp;DATEDIF(S1040,TODAY(),"YM")&amp;" Bulan, "&amp;DATEDIF(S1040,TODAY(),"MD")&amp;" Hari")</f>
        <v>30 Tahun, 3 Bulan, 4 Hari</v>
      </c>
      <c r="AC1040" s="18" t="n">
        <v>45452</v>
      </c>
      <c r="AD1040" s="18" t="n">
        <v>46181</v>
      </c>
      <c r="AE1040" s="13" t="s">
        <v>397</v>
      </c>
    </row>
    <row r="1041" customFormat="false" ht="15.75" hidden="false" customHeight="true" outlineLevel="0" collapsed="false">
      <c r="A1041" s="12" t="n">
        <v>10773</v>
      </c>
      <c r="B1041" s="13" t="s">
        <v>4594</v>
      </c>
      <c r="C1041" s="14" t="n">
        <v>45065</v>
      </c>
      <c r="D1041" s="13" t="s">
        <v>3022</v>
      </c>
      <c r="E1041" s="15" t="s">
        <v>33</v>
      </c>
      <c r="F1041" s="24" t="s">
        <v>4595</v>
      </c>
      <c r="G1041" s="13" t="s">
        <v>4596</v>
      </c>
      <c r="H1041" s="13" t="s">
        <v>2967</v>
      </c>
      <c r="I1041" s="13" t="str">
        <f aca="false">IF(C1041=J1041,"NEW KONTRAK","RE-KONTRAK")</f>
        <v>RE-KONTRAK</v>
      </c>
      <c r="J1041" s="16" t="n">
        <f aca="false" t="array" ref="J1041:J1041">IFERROR(INDEX(AC1041:AE1041,IF(COUNTA(AC1041:AE1041)=0,"",MAX((AC1041:AE1041&lt;&gt;"")*(COLUMN(AC1041:AE1041)-(COLUMN(AC1041)))))-1),"")</f>
        <v>45570</v>
      </c>
      <c r="K1041" s="16" t="n">
        <f aca="false" t="array" ref="K1041:K1041">IFERROR(INDEX(AC1041:AE1041,IF(COUNTA(AC1041:AE1041)=0,"",MAX((AC1041:AE1041&lt;&gt;"")*(COLUMN(AC1041:AE1041)-(COLUMN(AC1041)-1))))-1),"")</f>
        <v>45934</v>
      </c>
      <c r="L1041" s="17" t="str">
        <f aca="false" t="array" ref="L1041:L1041">IFERROR(INDEX(AC1041:AE1041,IF(COUNTA(AC1041:AE1041)=0,"",MAX((AC1041:AE1041&lt;&gt;"")*(COLUMN(AC1041:AE1041)-(COLUMN(AC1041)-2))))-1),"")</f>
        <v>ARCHIVED</v>
      </c>
      <c r="M1041" s="13" t="n">
        <f aca="true">K1041-TODAY()</f>
        <v>-390</v>
      </c>
      <c r="N1041" s="18" t="s">
        <v>36</v>
      </c>
      <c r="O1041" s="13" t="s">
        <v>3750</v>
      </c>
      <c r="P1041" s="19" t="n">
        <v>125000</v>
      </c>
      <c r="Q1041" s="20" t="s">
        <v>4597</v>
      </c>
      <c r="R1041" s="13" t="s">
        <v>65</v>
      </c>
      <c r="S1041" s="14" t="n">
        <v>35416</v>
      </c>
      <c r="T1041" s="13" t="s">
        <v>40</v>
      </c>
      <c r="U1041" s="13" t="s">
        <v>4598</v>
      </c>
      <c r="V1041" s="13" t="s">
        <v>42</v>
      </c>
      <c r="W1041" s="13" t="s">
        <v>43</v>
      </c>
      <c r="X1041" s="21" t="n">
        <v>895705878170</v>
      </c>
      <c r="Y1041" s="22" t="str">
        <f aca="false">O1041</f>
        <v>Produksi ( Painting )</v>
      </c>
      <c r="Z1041" s="13" t="str">
        <f aca="false">IFERROR(__xludf.dummyfunction("if(BJ1041="""","""",GOOGLETRANSLATE(BJ1041,""auto"",""en""))"),"Production (Painting)")</f>
        <v>Production (Painting)</v>
      </c>
      <c r="AA1041" s="23" t="str">
        <f aca="false">IF(C1041="","", CHOOSE(MONTH(C1041),"January","February","March","April","May","June","July","August","September","October","November","December")&amp;" "&amp;DAY(C1041)&amp;MID("thstndrdth",MIN(9,2*RIGHT(DAY(C1041))*(MOD(DAY(C1041)-11,100)&gt;2)+1),2)&amp;","&amp;TEXT(C1041," yyyy"))</f>
        <v>May 19th,2023</v>
      </c>
      <c r="AB1041" s="15" t="str">
        <f aca="true">IF(S1041="","",DATEDIF(S1041,TODAY(),"Y")&amp;" Tahun, "&amp;DATEDIF(S1041,TODAY(),"YM")&amp;" Bulan, "&amp;DATEDIF(S1041,TODAY(),"MD")&amp;" Hari")</f>
        <v>29 Tahun, 10 Bulan, 12 Hari</v>
      </c>
      <c r="AC1041" s="18" t="n">
        <v>45570</v>
      </c>
      <c r="AD1041" s="18" t="n">
        <v>45934</v>
      </c>
      <c r="AE1041" s="18" t="s">
        <v>44</v>
      </c>
    </row>
    <row r="1042" customFormat="false" ht="15.75" hidden="false" customHeight="true" outlineLevel="0" collapsed="false">
      <c r="A1042" s="12" t="n">
        <v>10830</v>
      </c>
      <c r="B1042" s="13" t="s">
        <v>4599</v>
      </c>
      <c r="C1042" s="14" t="n">
        <v>45079</v>
      </c>
      <c r="D1042" s="13" t="s">
        <v>144</v>
      </c>
      <c r="E1042" s="15" t="s">
        <v>47</v>
      </c>
      <c r="F1042" s="15" t="str">
        <f aca="false">IFERROR(__xludf.dummyfunction("XLOOKUP(AJ1042,IMPORTRANGE(""1XaInW9DU9nz21V0tYIfzFQ0He9kVQ_JF2mCXgZ3hqFA"",""REKAP ALL 2026 - Andika!G:G""),IMPORTRANGE(""1XaInW9DU9nz21V0tYIfzFQ0He9kVQ_JF2mCXgZ3hqFA"",""REKAP ALL 2026 - Andika!F:F""),"""",0)"),"23076922451")</f>
        <v>23076922451</v>
      </c>
      <c r="G1042" s="13" t="s">
        <v>4600</v>
      </c>
      <c r="H1042" s="13" t="s">
        <v>35</v>
      </c>
      <c r="I1042" s="13" t="str">
        <f aca="false">IF(C1042=J1042,"NEW KONTRAK","RE-KONTRAK")</f>
        <v>RE-KONTRAK</v>
      </c>
      <c r="J1042" s="16" t="n">
        <f aca="false" t="array" ref="J1042:J1042">IFERROR(INDEX(AC1042:AE1042,IF(COUNTA(AC1042:AE1042)=0,"",MAX((AC1042:AE1042&lt;&gt;"")*(COLUMN(AC1042:AE1042)-(COLUMN(AC1042)))))-1),"")</f>
        <v>45658</v>
      </c>
      <c r="K1042" s="16" t="n">
        <f aca="false" t="array" ref="K1042:K1042">IFERROR(INDEX(AC1042:AE1042,IF(COUNTA(AC1042:AE1042)=0,"",MAX((AC1042:AE1042&lt;&gt;"")*(COLUMN(AC1042:AE1042)-(COLUMN(AC1042)-1))))-1),"")</f>
        <v>46022</v>
      </c>
      <c r="L1042" s="17" t="str">
        <f aca="false" t="array" ref="L1042:L1042">IFERROR(INDEX(AC1042:AE1042,IF(COUNTA(AC1042:AE1042)=0,"",MAX((AC1042:AE1042&lt;&gt;"")*(COLUMN(AC1042:AE1042)-(COLUMN(AC1042)-2))))-1),"")</f>
        <v>ARCHIVED</v>
      </c>
      <c r="M1042" s="13" t="n">
        <f aca="true">K1042-TODAY()</f>
        <v>-302</v>
      </c>
      <c r="N1042" s="18" t="s">
        <v>36</v>
      </c>
      <c r="O1042" s="13" t="s">
        <v>211</v>
      </c>
      <c r="P1042" s="19" t="n">
        <v>5195401</v>
      </c>
      <c r="Q1042" s="20" t="s">
        <v>4601</v>
      </c>
      <c r="R1042" s="13" t="s">
        <v>65</v>
      </c>
      <c r="S1042" s="14" t="n">
        <v>34134</v>
      </c>
      <c r="T1042" s="13" t="s">
        <v>40</v>
      </c>
      <c r="U1042" s="13" t="s">
        <v>4602</v>
      </c>
      <c r="V1042" s="13" t="s">
        <v>42</v>
      </c>
      <c r="W1042" s="13" t="s">
        <v>54</v>
      </c>
      <c r="X1042" s="21" t="n">
        <v>85732944366</v>
      </c>
      <c r="Y1042" s="22" t="str">
        <f aca="false">O1042</f>
        <v>FG Store</v>
      </c>
      <c r="Z1042" s="13" t="str">
        <f aca="false">IFERROR(__xludf.dummyfunction("if(BJ1042="""","""",GOOGLETRANSLATE(BJ1042,""auto"",""en""))"),"FG Store")</f>
        <v>FG Store</v>
      </c>
      <c r="AA1042" s="23" t="str">
        <f aca="false">IF(C1042="","", CHOOSE(MONTH(C1042),"January","February","March","April","May","June","July","August","September","October","November","December")&amp;" "&amp;DAY(C1042)&amp;MID("thstndrdth",MIN(9,2*RIGHT(DAY(C1042))*(MOD(DAY(C1042)-11,100)&gt;2)+1),2)&amp;","&amp;TEXT(C1042," yyyy"))</f>
        <v>June 2nd,2023</v>
      </c>
      <c r="AB1042" s="15" t="str">
        <f aca="true">IF(S1042="","",DATEDIF(S1042,TODAY(),"Y")&amp;" Tahun, "&amp;DATEDIF(S1042,TODAY(),"YM")&amp;" Bulan, "&amp;DATEDIF(S1042,TODAY(),"MD")&amp;" Hari")</f>
        <v>33 Tahun, 4 Bulan, 15 Hari</v>
      </c>
      <c r="AC1042" s="18" t="n">
        <v>45658</v>
      </c>
      <c r="AD1042" s="18" t="n">
        <v>46022</v>
      </c>
      <c r="AE1042" s="18" t="s">
        <v>44</v>
      </c>
    </row>
    <row r="1043" customFormat="false" ht="15.75" hidden="false" customHeight="true" outlineLevel="0" collapsed="false">
      <c r="A1043" s="12" t="n">
        <v>10838</v>
      </c>
      <c r="B1043" s="13" t="s">
        <v>4603</v>
      </c>
      <c r="C1043" s="14" t="n">
        <v>45068</v>
      </c>
      <c r="D1043" s="13" t="s">
        <v>4264</v>
      </c>
      <c r="E1043" s="15" t="s">
        <v>47</v>
      </c>
      <c r="F1043" s="15" t="str">
        <f aca="false">IFERROR(__xludf.dummyfunction("XLOOKUP(AJ1043,IMPORTRANGE(""1XaInW9DU9nz21V0tYIfzFQ0He9kVQ_JF2mCXgZ3hqFA"",""REKAP ALL 2026 - Andika!G:G""),IMPORTRANGE(""1XaInW9DU9nz21V0tYIfzFQ0He9kVQ_JF2mCXgZ3hqFA"",""REKAP ALL 2026 - Andika!F:F""),"""",0)"),"23076926742")</f>
        <v>23076926742</v>
      </c>
      <c r="G1043" s="13" t="s">
        <v>57</v>
      </c>
      <c r="H1043" s="13" t="s">
        <v>35</v>
      </c>
      <c r="I1043" s="13" t="str">
        <f aca="false">IF(C1043=J1043,"NEW KONTRAK","RE-KONTRAK")</f>
        <v>RE-KONTRAK</v>
      </c>
      <c r="J1043" s="16" t="n">
        <f aca="false" t="array" ref="J1043:J1043">IFERROR(INDEX(AC1043:AE1043,IF(COUNTA(AC1043:AE1043)=0,"",MAX((AC1043:AE1043&lt;&gt;"")*(COLUMN(AC1043:AE1043)-(COLUMN(AC1043)))))-1),"")</f>
        <v>45764</v>
      </c>
      <c r="K1043" s="16" t="n">
        <f aca="false" t="array" ref="K1043:K1043">IFERROR(INDEX(AC1043:AE1043,IF(COUNTA(AC1043:AE1043)=0,"",MAX((AC1043:AE1043&lt;&gt;"")*(COLUMN(AC1043:AE1043)-(COLUMN(AC1043)-1))))-1),"")</f>
        <v>45946</v>
      </c>
      <c r="L1043" s="17" t="str">
        <f aca="false" t="array" ref="L1043:L1043">IFERROR(INDEX(AC1043:AE1043,IF(COUNTA(AC1043:AE1043)=0,"",MAX((AC1043:AE1043&lt;&gt;"")*(COLUMN(AC1043:AE1043)-(COLUMN(AC1043)-2))))-1),"")</f>
        <v>ARCHIVED</v>
      </c>
      <c r="M1043" s="13" t="n">
        <f aca="true">K1043-TODAY()</f>
        <v>-378</v>
      </c>
      <c r="N1043" s="18" t="s">
        <v>36</v>
      </c>
      <c r="O1043" s="13" t="s">
        <v>4274</v>
      </c>
      <c r="P1043" s="27" t="n">
        <v>200000</v>
      </c>
      <c r="Q1043" s="20" t="s">
        <v>4604</v>
      </c>
      <c r="R1043" s="13" t="s">
        <v>255</v>
      </c>
      <c r="S1043" s="14" t="n">
        <v>37434</v>
      </c>
      <c r="T1043" s="13" t="s">
        <v>40</v>
      </c>
      <c r="U1043" s="13" t="s">
        <v>4605</v>
      </c>
      <c r="V1043" s="13" t="s">
        <v>42</v>
      </c>
      <c r="W1043" s="13" t="s">
        <v>43</v>
      </c>
      <c r="X1043" s="21" t="n">
        <v>8980316964</v>
      </c>
      <c r="Y1043" s="22" t="str">
        <f aca="false">O1043</f>
        <v>Operator Extruder</v>
      </c>
      <c r="Z1043" s="13" t="str">
        <f aca="false">IFERROR(__xludf.dummyfunction("if(BJ1043="""","""",GOOGLETRANSLATE(BJ1043,""auto"",""en""))"),"Operator Extruder")</f>
        <v>Operator Extruder</v>
      </c>
      <c r="AA1043" s="23" t="str">
        <f aca="false">IF(C1043="","", CHOOSE(MONTH(C1043),"January","February","March","April","May","June","July","August","September","October","November","December")&amp;" "&amp;DAY(C1043)&amp;MID("thstndrdth",MIN(9,2*RIGHT(DAY(C1043))*(MOD(DAY(C1043)-11,100)&gt;2)+1),2)&amp;","&amp;TEXT(C1043," yyyy"))</f>
        <v>May 22nd,2023</v>
      </c>
      <c r="AB1043" s="15" t="str">
        <f aca="true">IF(S1043="","",DATEDIF(S1043,TODAY(),"Y")&amp;" Tahun, "&amp;DATEDIF(S1043,TODAY(),"YM")&amp;" Bulan, "&amp;DATEDIF(S1043,TODAY(),"MD")&amp;" Hari")</f>
        <v>24 Tahun, 4 Bulan, 2 Hari</v>
      </c>
      <c r="AC1043" s="18" t="n">
        <v>45764</v>
      </c>
      <c r="AD1043" s="18" t="n">
        <v>45946</v>
      </c>
      <c r="AE1043" s="18" t="s">
        <v>44</v>
      </c>
    </row>
    <row r="1044" customFormat="false" ht="15.75" hidden="false" customHeight="true" outlineLevel="0" collapsed="false">
      <c r="A1044" s="12" t="n">
        <v>10842</v>
      </c>
      <c r="B1044" s="13" t="s">
        <v>4606</v>
      </c>
      <c r="C1044" s="14" t="n">
        <v>45068</v>
      </c>
      <c r="D1044" s="13" t="s">
        <v>4264</v>
      </c>
      <c r="E1044" s="15" t="s">
        <v>47</v>
      </c>
      <c r="F1044" s="15" t="str">
        <f aca="false">IFERROR(__xludf.dummyfunction("XLOOKUP(AJ1044,IMPORTRANGE(""1XaInW9DU9nz21V0tYIfzFQ0He9kVQ_JF2mCXgZ3hqFA"",""REKAP ALL 2026 - Andika!G:G""),IMPORTRANGE(""1XaInW9DU9nz21V0tYIfzFQ0He9kVQ_JF2mCXgZ3hqFA"",""REKAP ALL 2026 - Andika!F:F""),"""",0)"),"23076926866")</f>
        <v>23076926866</v>
      </c>
      <c r="G1044" s="13" t="s">
        <v>57</v>
      </c>
      <c r="H1044" s="13" t="s">
        <v>35</v>
      </c>
      <c r="I1044" s="13" t="str">
        <f aca="false">IF(C1044=J1044,"NEW KONTRAK","RE-KONTRAK")</f>
        <v>RE-KONTRAK</v>
      </c>
      <c r="J1044" s="16" t="n">
        <f aca="false" t="array" ref="J1044:J1044">IFERROR(INDEX(AC1044:AE1044,IF(COUNTA(AC1044:AE1044)=0,"",MAX((AC1044:AE1044&lt;&gt;"")*(COLUMN(AC1044:AE1044)-(COLUMN(AC1044)))))-1),"")</f>
        <v>45764</v>
      </c>
      <c r="K1044" s="16" t="n">
        <f aca="false" t="array" ref="K1044:K1044">IFERROR(INDEX(AC1044:AE1044,IF(COUNTA(AC1044:AE1044)=0,"",MAX((AC1044:AE1044&lt;&gt;"")*(COLUMN(AC1044:AE1044)-(COLUMN(AC1044)-1))))-1),"")</f>
        <v>45946</v>
      </c>
      <c r="L1044" s="17" t="str">
        <f aca="false" t="array" ref="L1044:L1044">IFERROR(INDEX(AC1044:AE1044,IF(COUNTA(AC1044:AE1044)=0,"",MAX((AC1044:AE1044&lt;&gt;"")*(COLUMN(AC1044:AE1044)-(COLUMN(AC1044)-2))))-1),"")</f>
        <v>ARCHIVED</v>
      </c>
      <c r="M1044" s="13" t="n">
        <f aca="true">K1044-TODAY()</f>
        <v>-378</v>
      </c>
      <c r="N1044" s="18" t="s">
        <v>36</v>
      </c>
      <c r="O1044" s="13" t="s">
        <v>4274</v>
      </c>
      <c r="P1044" s="27" t="n">
        <v>200000</v>
      </c>
      <c r="Q1044" s="20" t="s">
        <v>4607</v>
      </c>
      <c r="R1044" s="13" t="s">
        <v>39</v>
      </c>
      <c r="S1044" s="14" t="n">
        <v>37446</v>
      </c>
      <c r="T1044" s="13" t="s">
        <v>40</v>
      </c>
      <c r="U1044" s="13" t="s">
        <v>4608</v>
      </c>
      <c r="V1044" s="13" t="s">
        <v>42</v>
      </c>
      <c r="W1044" s="13" t="s">
        <v>43</v>
      </c>
      <c r="X1044" s="21" t="n">
        <v>85856471775</v>
      </c>
      <c r="Y1044" s="22" t="str">
        <f aca="false">O1044</f>
        <v>Operator Extruder</v>
      </c>
      <c r="Z1044" s="13" t="str">
        <f aca="false">IFERROR(__xludf.dummyfunction("if(BJ1044="""","""",GOOGLETRANSLATE(BJ1044,""auto"",""en""))"),"Operator Extruder")</f>
        <v>Operator Extruder</v>
      </c>
      <c r="AA1044" s="23" t="str">
        <f aca="false">IF(C1044="","", CHOOSE(MONTH(C1044),"January","February","March","April","May","June","July","August","September","October","November","December")&amp;" "&amp;DAY(C1044)&amp;MID("thstndrdth",MIN(9,2*RIGHT(DAY(C1044))*(MOD(DAY(C1044)-11,100)&gt;2)+1),2)&amp;","&amp;TEXT(C1044," yyyy"))</f>
        <v>May 22nd,2023</v>
      </c>
      <c r="AB1044" s="15" t="str">
        <f aca="true">IF(S1044="","",DATEDIF(S1044,TODAY(),"Y")&amp;" Tahun, "&amp;DATEDIF(S1044,TODAY(),"YM")&amp;" Bulan, "&amp;DATEDIF(S1044,TODAY(),"MD")&amp;" Hari")</f>
        <v>24 Tahun, 3 Bulan, 20 Hari</v>
      </c>
      <c r="AC1044" s="18" t="n">
        <v>45764</v>
      </c>
      <c r="AD1044" s="18" t="n">
        <v>45946</v>
      </c>
      <c r="AE1044" s="18" t="s">
        <v>44</v>
      </c>
    </row>
    <row r="1045" customFormat="false" ht="15.75" hidden="false" customHeight="true" outlineLevel="0" collapsed="false">
      <c r="A1045" s="12" t="n">
        <v>10845</v>
      </c>
      <c r="B1045" s="13" t="s">
        <v>4609</v>
      </c>
      <c r="C1045" s="14" t="n">
        <v>45921</v>
      </c>
      <c r="D1045" s="13" t="s">
        <v>4610</v>
      </c>
      <c r="E1045" s="15" t="s">
        <v>102</v>
      </c>
      <c r="F1045" s="15" t="str">
        <f aca="false">IFERROR(__xludf.dummyfunction("XLOOKUP(AJ1045,IMPORTRANGE(""1XaInW9DU9nz21V0tYIfzFQ0He9kVQ_JF2mCXgZ3hqFA"",""REKAP ALL 2026 - Andika!G:G""),IMPORTRANGE(""1XaInW9DU9nz21V0tYIfzFQ0He9kVQ_JF2mCXgZ3hqFA"",""REKAP ALL 2026 - Andika!F:F""),"""",0)"),"23076926874")</f>
        <v>23076926874</v>
      </c>
      <c r="G1045" s="13" t="s">
        <v>57</v>
      </c>
      <c r="H1045" s="13" t="s">
        <v>35</v>
      </c>
      <c r="I1045" s="13" t="str">
        <f aca="false">IF(C1045=J1045,"NEW KONTRAK","RE-KONTRAK")</f>
        <v>NEW KONTRAK</v>
      </c>
      <c r="J1045" s="16" t="n">
        <f aca="false" t="array" ref="J1045:J1045">IFERROR(INDEX(AC1045:AE1045,IF(COUNTA(AC1045:AE1045)=0,"",MAX((AC1045:AE1045&lt;&gt;"")*(COLUMN(AC1045:AE1045)-(COLUMN(AC1045)))))-1),"")</f>
        <v>45921</v>
      </c>
      <c r="K1045" s="16" t="n">
        <f aca="false" t="array" ref="K1045:K1045">IFERROR(INDEX(AC1045:AE1045,IF(COUNTA(AC1045:AE1045)=0,"",MAX((AC1045:AE1045&lt;&gt;"")*(COLUMN(AC1045:AE1045)-(COLUMN(AC1045)-1))))-1),"")</f>
        <v>46011</v>
      </c>
      <c r="L1045" s="17" t="str">
        <f aca="false" t="array" ref="L1045:L1045">IFERROR(INDEX(AC1045:AE1045,IF(COUNTA(AC1045:AE1045)=0,"",MAX((AC1045:AE1045&lt;&gt;"")*(COLUMN(AC1045:AE1045)-(COLUMN(AC1045)-2))))-1),"")</f>
        <v>ARCHIVED</v>
      </c>
      <c r="M1045" s="13" t="n">
        <f aca="true">K1045-TODAY()</f>
        <v>-313</v>
      </c>
      <c r="N1045" s="18" t="s">
        <v>36</v>
      </c>
      <c r="O1045" s="13" t="s">
        <v>4280</v>
      </c>
      <c r="P1045" s="27" t="n">
        <v>120000</v>
      </c>
      <c r="Q1045" s="20" t="s">
        <v>4611</v>
      </c>
      <c r="R1045" s="13" t="s">
        <v>39</v>
      </c>
      <c r="S1045" s="14" t="n">
        <v>35367</v>
      </c>
      <c r="T1045" s="13" t="s">
        <v>40</v>
      </c>
      <c r="U1045" s="13" t="s">
        <v>4612</v>
      </c>
      <c r="V1045" s="13" t="s">
        <v>42</v>
      </c>
      <c r="W1045" s="13" t="s">
        <v>43</v>
      </c>
      <c r="X1045" s="21" t="n">
        <v>882009693561</v>
      </c>
      <c r="Y1045" s="22" t="str">
        <f aca="false">O1045</f>
        <v>Helper Cutting</v>
      </c>
      <c r="Z1045" s="13" t="str">
        <f aca="false">IFERROR(__xludf.dummyfunction("if(BJ1045="""","""",GOOGLETRANSLATE(BJ1045,""auto"",""en""))"),"Helper Cutting")</f>
        <v>Helper Cutting</v>
      </c>
      <c r="AA1045" s="23" t="str">
        <f aca="false">IF(C1045="","", CHOOSE(MONTH(C1045),"January","February","March","April","May","June","July","August","September","October","November","December")&amp;" "&amp;DAY(C1045)&amp;MID("thstndrdth",MIN(9,2*RIGHT(DAY(C1045))*(MOD(DAY(C1045)-11,100)&gt;2)+1),2)&amp;","&amp;TEXT(C1045," yyyy"))</f>
        <v>September 21st,2025</v>
      </c>
      <c r="AB1045" s="15" t="str">
        <f aca="true">IF(S1045="","",DATEDIF(S1045,TODAY(),"Y")&amp;" Tahun, "&amp;DATEDIF(S1045,TODAY(),"YM")&amp;" Bulan, "&amp;DATEDIF(S1045,TODAY(),"MD")&amp;" Hari")</f>
        <v>30 Tahun, 0 Bulan, 0 Hari</v>
      </c>
      <c r="AC1045" s="18" t="n">
        <v>45921</v>
      </c>
      <c r="AD1045" s="18" t="n">
        <f aca="false">EDATE(AC1045,3)-1</f>
        <v>46011</v>
      </c>
      <c r="AE1045" s="18" t="s">
        <v>44</v>
      </c>
    </row>
    <row r="1046" customFormat="false" ht="15.75" hidden="false" customHeight="true" outlineLevel="0" collapsed="false">
      <c r="A1046" s="12" t="n">
        <v>10855</v>
      </c>
      <c r="B1046" s="13" t="s">
        <v>4613</v>
      </c>
      <c r="C1046" s="14" t="n">
        <v>45078</v>
      </c>
      <c r="D1046" s="13" t="s">
        <v>101</v>
      </c>
      <c r="E1046" s="15" t="s">
        <v>4614</v>
      </c>
      <c r="F1046" s="15" t="str">
        <f aca="false">IFERROR(__xludf.dummyfunction("XLOOKUP(AJ1046,IMPORTRANGE(""1XaInW9DU9nz21V0tYIfzFQ0He9kVQ_JF2mCXgZ3hqFA"",""REKAP ALL 2026 - Andika!G:G""),IMPORTRANGE(""1XaInW9DU9nz21V0tYIfzFQ0He9kVQ_JF2mCXgZ3hqFA"",""REKAP ALL 2026 - Andika!F:F""),"""",0)"),"23076924697")</f>
        <v>23076924697</v>
      </c>
      <c r="G1046" s="13" t="s">
        <v>4615</v>
      </c>
      <c r="H1046" s="13" t="s">
        <v>35</v>
      </c>
      <c r="I1046" s="13" t="str">
        <f aca="false">IF(C1046=J1046,"NEW KONTRAK","RE-KONTRAK")</f>
        <v>RE-KONTRAK</v>
      </c>
      <c r="J1046" s="16" t="n">
        <f aca="false" t="array" ref="J1046:J1046">IFERROR(INDEX(AC1046:AE1046,IF(COUNTA(AC1046:AE1046)=0,"",MAX((AC1046:AE1046&lt;&gt;"")*(COLUMN(AC1046:AE1046)-(COLUMN(AC1046)))))-1),"")</f>
        <v>45672</v>
      </c>
      <c r="K1046" s="16" t="n">
        <f aca="false" t="array" ref="K1046:K1046">IFERROR(INDEX(AC1046:AE1046,IF(COUNTA(AC1046:AE1046)=0,"",MAX((AC1046:AE1046&lt;&gt;"")*(COLUMN(AC1046:AE1046)-(COLUMN(AC1046)-1))))-1),"")</f>
        <v>46036</v>
      </c>
      <c r="L1046" s="17" t="str">
        <f aca="false" t="array" ref="L1046:L1046">IFERROR(INDEX(AC1046:AE1046,IF(COUNTA(AC1046:AE1046)=0,"",MAX((AC1046:AE1046&lt;&gt;"")*(COLUMN(AC1046:AE1046)-(COLUMN(AC1046)-2))))-1),"")</f>
        <v>ARCHIVED</v>
      </c>
      <c r="M1046" s="13" t="n">
        <f aca="true">K1046-TODAY()</f>
        <v>-288</v>
      </c>
      <c r="N1046" s="18" t="s">
        <v>105</v>
      </c>
      <c r="O1046" s="13" t="s">
        <v>106</v>
      </c>
      <c r="P1046" s="31" t="n">
        <v>138915</v>
      </c>
      <c r="Q1046" s="20" t="s">
        <v>4616</v>
      </c>
      <c r="R1046" s="13" t="s">
        <v>39</v>
      </c>
      <c r="S1046" s="25" t="n">
        <v>35415</v>
      </c>
      <c r="T1046" s="13" t="s">
        <v>108</v>
      </c>
      <c r="U1046" s="13" t="s">
        <v>4617</v>
      </c>
      <c r="V1046" s="13" t="s">
        <v>42</v>
      </c>
      <c r="W1046" s="13" t="s">
        <v>54</v>
      </c>
      <c r="X1046" s="21" t="n">
        <v>85755512687</v>
      </c>
      <c r="Y1046" s="22" t="str">
        <f aca="false">O1046</f>
        <v>Produksi - Helper</v>
      </c>
      <c r="Z1046" s="13" t="str">
        <f aca="false">IFERROR(__xludf.dummyfunction("if(BJ1046="""","""",GOOGLETRANSLATE(BJ1046,""auto"",""en""))"),"Production - Helper")</f>
        <v>Production - Helper</v>
      </c>
      <c r="AA1046" s="23" t="str">
        <f aca="false">IF(C1046="","", CHOOSE(MONTH(C1046),"January","February","March","April","May","June","July","August","September","October","November","December")&amp;" "&amp;DAY(C1046)&amp;MID("thstndrdth",MIN(9,2*RIGHT(DAY(C1046))*(MOD(DAY(C1046)-11,100)&gt;2)+1),2)&amp;","&amp;TEXT(C1046," yyyy"))</f>
        <v>June 1st,2023</v>
      </c>
      <c r="AB1046" s="15" t="str">
        <f aca="true">IF(S1046="","",DATEDIF(S1046,TODAY(),"Y")&amp;" Tahun, "&amp;DATEDIF(S1046,TODAY(),"YM")&amp;" Bulan, "&amp;DATEDIF(S1046,TODAY(),"MD")&amp;" Hari")</f>
        <v>29 Tahun, 10 Bulan, 13 Hari</v>
      </c>
      <c r="AC1046" s="18" t="n">
        <v>45672</v>
      </c>
      <c r="AD1046" s="18" t="n">
        <v>46036</v>
      </c>
      <c r="AE1046" s="18" t="s">
        <v>44</v>
      </c>
    </row>
    <row r="1047" customFormat="false" ht="15.75" hidden="false" customHeight="true" outlineLevel="0" collapsed="false">
      <c r="A1047" s="12" t="n">
        <v>1918</v>
      </c>
      <c r="B1047" s="13" t="s">
        <v>4618</v>
      </c>
      <c r="C1047" s="14" t="n">
        <v>44005</v>
      </c>
      <c r="D1047" s="13" t="s">
        <v>101</v>
      </c>
      <c r="E1047" s="15" t="s">
        <v>47</v>
      </c>
      <c r="F1047" s="15" t="str">
        <f aca="false">IFERROR(__xludf.dummyfunction("XLOOKUP(AJ1047,IMPORTRANGE(""1XaInW9DU9nz21V0tYIfzFQ0He9kVQ_JF2mCXgZ3hqFA"",""REKAP ALL 2026 - Andika!G:G""),IMPORTRANGE(""1XaInW9DU9nz21V0tYIfzFQ0He9kVQ_JF2mCXgZ3hqFA"",""REKAP ALL 2026 - Andika!F:F""),"""",0)"),"20056450560")</f>
        <v>20056450560</v>
      </c>
      <c r="G1047" s="13" t="s">
        <v>4619</v>
      </c>
      <c r="H1047" s="13" t="s">
        <v>35</v>
      </c>
      <c r="I1047" s="13" t="str">
        <f aca="false">IF(C1047=J1047,"NEW KONTRAK","RE-KONTRAK")</f>
        <v>RE-KONTRAK</v>
      </c>
      <c r="J1047" s="16" t="n">
        <f aca="false" t="array" ref="J1047:J1047">IFERROR(INDEX(AC1047:AE1047,IF(COUNTA(AC1047:AE1047)=0,"",MAX((AC1047:AE1047&lt;&gt;"")*(COLUMN(AC1047:AE1047)-(COLUMN(AC1047)))))-1),"")</f>
        <v>45672</v>
      </c>
      <c r="K1047" s="16" t="n">
        <f aca="false" t="array" ref="K1047:K1047">IFERROR(INDEX(AC1047:AE1047,IF(COUNTA(AC1047:AE1047)=0,"",MAX((AC1047:AE1047&lt;&gt;"")*(COLUMN(AC1047:AE1047)-(COLUMN(AC1047)-1))))-1),"")</f>
        <v>46036</v>
      </c>
      <c r="L1047" s="17" t="str">
        <f aca="false" t="array" ref="L1047:L1047">IFERROR(INDEX(AC1047:AE1047,IF(COUNTA(AC1047:AE1047)=0,"",MAX((AC1047:AE1047&lt;&gt;"")*(COLUMN(AC1047:AE1047)-(COLUMN(AC1047)-2))))-1),"")</f>
        <v>ARCHIVED</v>
      </c>
      <c r="M1047" s="13" t="n">
        <f aca="true">K1047-TODAY()</f>
        <v>-288</v>
      </c>
      <c r="N1047" s="18" t="s">
        <v>105</v>
      </c>
      <c r="O1047" s="13" t="s">
        <v>106</v>
      </c>
      <c r="P1047" s="31" t="n">
        <v>138915</v>
      </c>
      <c r="Q1047" s="20" t="s">
        <v>4620</v>
      </c>
      <c r="R1047" s="13" t="s">
        <v>73</v>
      </c>
      <c r="S1047" s="25" t="n">
        <v>35749</v>
      </c>
      <c r="T1047" s="13" t="s">
        <v>108</v>
      </c>
      <c r="U1047" s="13" t="s">
        <v>4621</v>
      </c>
      <c r="V1047" s="13" t="s">
        <v>42</v>
      </c>
      <c r="W1047" s="13" t="s">
        <v>54</v>
      </c>
      <c r="X1047" s="21" t="n">
        <v>85859858380</v>
      </c>
      <c r="Y1047" s="22" t="str">
        <f aca="false">O1047</f>
        <v>Produksi - Helper</v>
      </c>
      <c r="Z1047" s="13" t="str">
        <f aca="false">IFERROR(__xludf.dummyfunction("if(BJ1047="""","""",GOOGLETRANSLATE(BJ1047,""auto"",""en""))"),"Production - Helper")</f>
        <v>Production - Helper</v>
      </c>
      <c r="AA1047" s="23" t="str">
        <f aca="false">IF(C1047="","", CHOOSE(MONTH(C1047),"January","February","March","April","May","June","July","August","September","October","November","December")&amp;" "&amp;DAY(C1047)&amp;MID("thstndrdth",MIN(9,2*RIGHT(DAY(C1047))*(MOD(DAY(C1047)-11,100)&gt;2)+1),2)&amp;","&amp;TEXT(C1047," yyyy"))</f>
        <v>June 23rd,2020</v>
      </c>
      <c r="AB1047" s="15" t="str">
        <f aca="true">IF(S1047="","",DATEDIF(S1047,TODAY(),"Y")&amp;" Tahun, "&amp;DATEDIF(S1047,TODAY(),"YM")&amp;" Bulan, "&amp;DATEDIF(S1047,TODAY(),"MD")&amp;" Hari")</f>
        <v>28 Tahun, 11 Bulan, 14 Hari</v>
      </c>
      <c r="AC1047" s="18" t="n">
        <v>45672</v>
      </c>
      <c r="AD1047" s="18" t="n">
        <v>46036</v>
      </c>
      <c r="AE1047" s="18" t="s">
        <v>44</v>
      </c>
    </row>
    <row r="1048" customFormat="false" ht="15.75" hidden="false" customHeight="true" outlineLevel="0" collapsed="false">
      <c r="A1048" s="12" t="n">
        <v>2454</v>
      </c>
      <c r="B1048" s="13" t="s">
        <v>4622</v>
      </c>
      <c r="C1048" s="14" t="n">
        <v>44407</v>
      </c>
      <c r="D1048" s="13" t="s">
        <v>101</v>
      </c>
      <c r="E1048" s="15" t="s">
        <v>47</v>
      </c>
      <c r="F1048" s="15" t="str">
        <f aca="false">IFERROR(__xludf.dummyfunction("XLOOKUP(AJ1048,IMPORTRANGE(""1XaInW9DU9nz21V0tYIfzFQ0He9kVQ_JF2mCXgZ3hqFA"",""REKAP ALL 2026 - Andika!G:G""),IMPORTRANGE(""1XaInW9DU9nz21V0tYIfzFQ0He9kVQ_JF2mCXgZ3hqFA"",""REKAP ALL 2026 - Andika!F:F""),"""",0)"),"21068419650")</f>
        <v>21068419650</v>
      </c>
      <c r="G1048" s="13" t="s">
        <v>4623</v>
      </c>
      <c r="H1048" s="13" t="s">
        <v>35</v>
      </c>
      <c r="I1048" s="13" t="str">
        <f aca="false">IF(C1048=J1048,"NEW KONTRAK","RE-KONTRAK")</f>
        <v>RE-KONTRAK</v>
      </c>
      <c r="J1048" s="16" t="n">
        <f aca="false" t="array" ref="J1048:J1048">IFERROR(INDEX(AC1048:AE1048,IF(COUNTA(AC1048:AE1048)=0,"",MAX((AC1048:AE1048&lt;&gt;"")*(COLUMN(AC1048:AE1048)-(COLUMN(AC1048)))))-1),"")</f>
        <v>45672</v>
      </c>
      <c r="K1048" s="16" t="n">
        <f aca="false" t="array" ref="K1048:K1048">IFERROR(INDEX(AC1048:AE1048,IF(COUNTA(AC1048:AE1048)=0,"",MAX((AC1048:AE1048&lt;&gt;"")*(COLUMN(AC1048:AE1048)-(COLUMN(AC1048)-1))))-1),"")</f>
        <v>46036</v>
      </c>
      <c r="L1048" s="17" t="str">
        <f aca="false" t="array" ref="L1048:L1048">IFERROR(INDEX(AC1048:AE1048,IF(COUNTA(AC1048:AE1048)=0,"",MAX((AC1048:AE1048&lt;&gt;"")*(COLUMN(AC1048:AE1048)-(COLUMN(AC1048)-2))))-1),"")</f>
        <v>ARCHIVED</v>
      </c>
      <c r="M1048" s="13" t="n">
        <f aca="true">K1048-TODAY()</f>
        <v>-288</v>
      </c>
      <c r="N1048" s="18" t="s">
        <v>105</v>
      </c>
      <c r="O1048" s="13" t="s">
        <v>106</v>
      </c>
      <c r="P1048" s="31" t="n">
        <v>138915</v>
      </c>
      <c r="Q1048" s="20" t="s">
        <v>4624</v>
      </c>
      <c r="R1048" s="13" t="s">
        <v>83</v>
      </c>
      <c r="S1048" s="25" t="n">
        <v>36978</v>
      </c>
      <c r="T1048" s="13" t="s">
        <v>108</v>
      </c>
      <c r="U1048" s="13" t="s">
        <v>4625</v>
      </c>
      <c r="V1048" s="13" t="s">
        <v>42</v>
      </c>
      <c r="W1048" s="13" t="s">
        <v>43</v>
      </c>
      <c r="X1048" s="21" t="n">
        <v>81358251873</v>
      </c>
      <c r="Y1048" s="22" t="str">
        <f aca="false">O1048</f>
        <v>Produksi - Helper</v>
      </c>
      <c r="Z1048" s="13" t="str">
        <f aca="false">IFERROR(__xludf.dummyfunction("if(BJ1048="""","""",GOOGLETRANSLATE(BJ1048,""auto"",""en""))"),"Production - Helper")</f>
        <v>Production - Helper</v>
      </c>
      <c r="AA1048" s="23" t="str">
        <f aca="false">IF(C1048="","", CHOOSE(MONTH(C1048),"January","February","March","April","May","June","July","August","September","October","November","December")&amp;" "&amp;DAY(C1048)&amp;MID("thstndrdth",MIN(9,2*RIGHT(DAY(C1048))*(MOD(DAY(C1048)-11,100)&gt;2)+1),2)&amp;","&amp;TEXT(C1048," yyyy"))</f>
        <v>July 30th,2021</v>
      </c>
      <c r="AB1048" s="15" t="str">
        <f aca="true">IF(S1048="","",DATEDIF(S1048,TODAY(),"Y")&amp;" Tahun, "&amp;DATEDIF(S1048,TODAY(),"YM")&amp;" Bulan, "&amp;DATEDIF(S1048,TODAY(),"MD")&amp;" Hari")</f>
        <v>25 Tahun, 7 Bulan, 1 Hari</v>
      </c>
      <c r="AC1048" s="18" t="n">
        <v>45672</v>
      </c>
      <c r="AD1048" s="18" t="n">
        <v>46036</v>
      </c>
      <c r="AE1048" s="18" t="s">
        <v>44</v>
      </c>
    </row>
    <row r="1049" customFormat="false" ht="15.75" hidden="false" customHeight="true" outlineLevel="0" collapsed="false">
      <c r="A1049" s="12" t="n">
        <v>18636</v>
      </c>
      <c r="B1049" s="13" t="s">
        <v>4626</v>
      </c>
      <c r="C1049" s="14" t="n">
        <v>45673</v>
      </c>
      <c r="D1049" s="13" t="s">
        <v>101</v>
      </c>
      <c r="E1049" s="15" t="s">
        <v>47</v>
      </c>
      <c r="F1049" s="15" t="str">
        <f aca="false">IFERROR(__xludf.dummyfunction("XLOOKUP(AJ1049,IMPORTRANGE(""1XaInW9DU9nz21V0tYIfzFQ0He9kVQ_JF2mCXgZ3hqFA"",""REKAP ALL 2026 - Andika!G:G""),IMPORTRANGE(""1XaInW9DU9nz21V0tYIfzFQ0He9kVQ_JF2mCXgZ3hqFA"",""REKAP ALL 2026 - Andika!F:F""),"""",0)"),"25026105376")</f>
        <v>25026105376</v>
      </c>
      <c r="G1049" s="13" t="s">
        <v>4627</v>
      </c>
      <c r="H1049" s="13" t="s">
        <v>35</v>
      </c>
      <c r="I1049" s="13" t="str">
        <f aca="false">IF(C1049=J1049,"NEW KONTRAK","RE-KONTRAK")</f>
        <v>NEW KONTRAK</v>
      </c>
      <c r="J1049" s="16" t="n">
        <f aca="false" t="array" ref="J1049:J1049">IFERROR(INDEX(AC1049:AE1049,IF(COUNTA(AC1049:AE1049)=0,"",MAX((AC1049:AE1049&lt;&gt;"")*(COLUMN(AC1049:AE1049)-(COLUMN(AC1049)))))-1),"")</f>
        <v>45673</v>
      </c>
      <c r="K1049" s="16" t="n">
        <f aca="false" t="array" ref="K1049:K1049">IFERROR(INDEX(AC1049:AE1049,IF(COUNTA(AC1049:AE1049)=0,"",MAX((AC1049:AE1049&lt;&gt;"")*(COLUMN(AC1049:AE1049)-(COLUMN(AC1049)-1))))-1),"")</f>
        <v>46036</v>
      </c>
      <c r="L1049" s="17" t="str">
        <f aca="false" t="array" ref="L1049:L1049">IFERROR(INDEX(AC1049:AE1049,IF(COUNTA(AC1049:AE1049)=0,"",MAX((AC1049:AE1049&lt;&gt;"")*(COLUMN(AC1049:AE1049)-(COLUMN(AC1049)-2))))-1),"")</f>
        <v>ARCHIVED</v>
      </c>
      <c r="M1049" s="13" t="n">
        <f aca="true">K1049-TODAY()</f>
        <v>-288</v>
      </c>
      <c r="N1049" s="18" t="s">
        <v>105</v>
      </c>
      <c r="O1049" s="13" t="s">
        <v>106</v>
      </c>
      <c r="P1049" s="31" t="n">
        <v>138915</v>
      </c>
      <c r="Q1049" s="20" t="s">
        <v>4628</v>
      </c>
      <c r="R1049" s="13" t="s">
        <v>39</v>
      </c>
      <c r="S1049" s="25" t="n">
        <v>35228</v>
      </c>
      <c r="T1049" s="13" t="s">
        <v>108</v>
      </c>
      <c r="U1049" s="13" t="s">
        <v>4629</v>
      </c>
      <c r="V1049" s="13" t="s">
        <v>42</v>
      </c>
      <c r="W1049" s="13" t="s">
        <v>43</v>
      </c>
      <c r="X1049" s="21" t="n">
        <v>87760345784</v>
      </c>
      <c r="Y1049" s="22" t="str">
        <f aca="false">O1049</f>
        <v>Produksi - Helper</v>
      </c>
      <c r="Z1049" s="13" t="str">
        <f aca="false">IFERROR(__xludf.dummyfunction("if(BJ1049="""","""",GOOGLETRANSLATE(BJ1049,""auto"",""en""))"),"Production - Helper")</f>
        <v>Production - Helper</v>
      </c>
      <c r="AA1049" s="23" t="str">
        <f aca="false">IF(C1049="","", CHOOSE(MONTH(C1049),"January","February","March","April","May","June","July","August","September","October","November","December")&amp;" "&amp;DAY(C1049)&amp;MID("thstndrdth",MIN(9,2*RIGHT(DAY(C1049))*(MOD(DAY(C1049)-11,100)&gt;2)+1),2)&amp;","&amp;TEXT(C1049," yyyy"))</f>
        <v>January 16th,2025</v>
      </c>
      <c r="AB1049" s="15" t="str">
        <f aca="true">IF(S1049="","",DATEDIF(S1049,TODAY(),"Y")&amp;" Tahun, "&amp;DATEDIF(S1049,TODAY(),"YM")&amp;" Bulan, "&amp;DATEDIF(S1049,TODAY(),"MD")&amp;" Hari")</f>
        <v>30 Tahun, 4 Bulan, 17 Hari</v>
      </c>
      <c r="AC1049" s="18" t="n">
        <v>45673</v>
      </c>
      <c r="AD1049" s="18" t="n">
        <v>46036</v>
      </c>
      <c r="AE1049" s="18" t="s">
        <v>44</v>
      </c>
    </row>
    <row r="1050" customFormat="false" ht="15.75" hidden="false" customHeight="true" outlineLevel="0" collapsed="false">
      <c r="A1050" s="12" t="n">
        <v>10866</v>
      </c>
      <c r="B1050" s="13" t="s">
        <v>4630</v>
      </c>
      <c r="C1050" s="14" t="n">
        <v>45078</v>
      </c>
      <c r="D1050" s="13" t="s">
        <v>101</v>
      </c>
      <c r="E1050" s="15" t="s">
        <v>33</v>
      </c>
      <c r="F1050" s="24" t="s">
        <v>4631</v>
      </c>
      <c r="G1050" s="13" t="s">
        <v>4632</v>
      </c>
      <c r="H1050" s="13" t="s">
        <v>35</v>
      </c>
      <c r="I1050" s="13" t="str">
        <f aca="false">IF(C1050=J1050,"NEW KONTRAK","RE-KONTRAK")</f>
        <v>RE-KONTRAK</v>
      </c>
      <c r="J1050" s="16" t="n">
        <f aca="false" t="array" ref="J1050:J1050">IFERROR(INDEX(AC1050:AE1050,IF(COUNTA(AC1050:AE1050)=0,"",MAX((AC1050:AE1050&lt;&gt;"")*(COLUMN(AC1050:AE1050)-(COLUMN(AC1050)))))-1),"")</f>
        <v>45672</v>
      </c>
      <c r="K1050" s="16" t="n">
        <f aca="false" t="array" ref="K1050:K1050">IFERROR(INDEX(AC1050:AE1050,IF(COUNTA(AC1050:AE1050)=0,"",MAX((AC1050:AE1050&lt;&gt;"")*(COLUMN(AC1050:AE1050)-(COLUMN(AC1050)-1))))-1),"")</f>
        <v>46036</v>
      </c>
      <c r="L1050" s="17" t="str">
        <f aca="false" t="array" ref="L1050:L1050">IFERROR(INDEX(AC1050:AE1050,IF(COUNTA(AC1050:AE1050)=0,"",MAX((AC1050:AE1050&lt;&gt;"")*(COLUMN(AC1050:AE1050)-(COLUMN(AC1050)-2))))-1),"")</f>
        <v>ARCHIVED</v>
      </c>
      <c r="M1050" s="13" t="n">
        <f aca="true">K1050-TODAY()</f>
        <v>-288</v>
      </c>
      <c r="N1050" s="18" t="s">
        <v>105</v>
      </c>
      <c r="O1050" s="13" t="s">
        <v>58</v>
      </c>
      <c r="P1050" s="19" t="n">
        <v>126000</v>
      </c>
      <c r="Q1050" s="20" t="s">
        <v>4633</v>
      </c>
      <c r="R1050" s="13" t="s">
        <v>73</v>
      </c>
      <c r="S1050" s="25" t="n">
        <v>35509</v>
      </c>
      <c r="T1050" s="13" t="s">
        <v>40</v>
      </c>
      <c r="U1050" s="13" t="s">
        <v>4634</v>
      </c>
      <c r="V1050" s="13" t="s">
        <v>42</v>
      </c>
      <c r="W1050" s="13" t="s">
        <v>43</v>
      </c>
      <c r="X1050" s="21" t="n">
        <v>85853938744</v>
      </c>
      <c r="Y1050" s="22" t="str">
        <f aca="false">O1050</f>
        <v>Produksi</v>
      </c>
      <c r="Z1050" s="13" t="str">
        <f aca="false">IFERROR(__xludf.dummyfunction("if(BJ1050="""","""",GOOGLETRANSLATE(BJ1050,""auto"",""en""))"),"Production")</f>
        <v>Production</v>
      </c>
      <c r="AA1050" s="23" t="str">
        <f aca="false">IF(C1050="","", CHOOSE(MONTH(C1050),"January","February","March","April","May","June","July","August","September","October","November","December")&amp;" "&amp;DAY(C1050)&amp;MID("thstndrdth",MIN(9,2*RIGHT(DAY(C1050))*(MOD(DAY(C1050)-11,100)&gt;2)+1),2)&amp;","&amp;TEXT(C1050," yyyy"))</f>
        <v>June 1st,2023</v>
      </c>
      <c r="AB1050" s="15" t="str">
        <f aca="true">IF(S1050="","",DATEDIF(S1050,TODAY(),"Y")&amp;" Tahun, "&amp;DATEDIF(S1050,TODAY(),"YM")&amp;" Bulan, "&amp;DATEDIF(S1050,TODAY(),"MD")&amp;" Hari")</f>
        <v>29 Tahun, 7 Bulan, 9 Hari</v>
      </c>
      <c r="AC1050" s="18" t="n">
        <v>45672</v>
      </c>
      <c r="AD1050" s="18" t="n">
        <v>46036</v>
      </c>
      <c r="AE1050" s="18" t="s">
        <v>44</v>
      </c>
    </row>
    <row r="1051" customFormat="false" ht="15.75" hidden="false" customHeight="true" outlineLevel="0" collapsed="false">
      <c r="A1051" s="12" t="n">
        <v>10868</v>
      </c>
      <c r="B1051" s="13" t="s">
        <v>4635</v>
      </c>
      <c r="C1051" s="14" t="n">
        <v>45078</v>
      </c>
      <c r="D1051" s="13" t="s">
        <v>101</v>
      </c>
      <c r="E1051" s="15" t="s">
        <v>102</v>
      </c>
      <c r="F1051" s="24" t="s">
        <v>4636</v>
      </c>
      <c r="G1051" s="13" t="s">
        <v>4637</v>
      </c>
      <c r="H1051" s="13" t="s">
        <v>35</v>
      </c>
      <c r="I1051" s="13" t="str">
        <f aca="false">IF(C1051=J1051,"NEW KONTRAK","RE-KONTRAK")</f>
        <v>RE-KONTRAK</v>
      </c>
      <c r="J1051" s="16" t="n">
        <f aca="false" t="array" ref="J1051:J1051">IFERROR(INDEX(AC1051:AE1051,IF(COUNTA(AC1051:AE1051)=0,"",MAX((AC1051:AE1051&lt;&gt;"")*(COLUMN(AC1051:AE1051)-(COLUMN(AC1051)))))-1),"")</f>
        <v>45672</v>
      </c>
      <c r="K1051" s="16" t="n">
        <f aca="false" t="array" ref="K1051:K1051">IFERROR(INDEX(AC1051:AE1051,IF(COUNTA(AC1051:AE1051)=0,"",MAX((AC1051:AE1051&lt;&gt;"")*(COLUMN(AC1051:AE1051)-(COLUMN(AC1051)-1))))-1),"")</f>
        <v>46036</v>
      </c>
      <c r="L1051" s="17" t="str">
        <f aca="false" t="array" ref="L1051:L1051">IFERROR(INDEX(AC1051:AE1051,IF(COUNTA(AC1051:AE1051)=0,"",MAX((AC1051:AE1051&lt;&gt;"")*(COLUMN(AC1051:AE1051)-(COLUMN(AC1051)-2))))-1),"")</f>
        <v>ARCHIVED</v>
      </c>
      <c r="M1051" s="13" t="n">
        <f aca="true">K1051-TODAY()</f>
        <v>-288</v>
      </c>
      <c r="N1051" s="18" t="s">
        <v>105</v>
      </c>
      <c r="O1051" s="13" t="s">
        <v>106</v>
      </c>
      <c r="P1051" s="19" t="n">
        <v>126000</v>
      </c>
      <c r="Q1051" s="20" t="s">
        <v>4638</v>
      </c>
      <c r="R1051" s="13" t="s">
        <v>246</v>
      </c>
      <c r="S1051" s="25" t="n">
        <v>35887</v>
      </c>
      <c r="T1051" s="13" t="s">
        <v>108</v>
      </c>
      <c r="U1051" s="13" t="s">
        <v>4639</v>
      </c>
      <c r="V1051" s="13" t="s">
        <v>42</v>
      </c>
      <c r="W1051" s="13" t="s">
        <v>43</v>
      </c>
      <c r="X1051" s="21" t="n">
        <v>89519845600</v>
      </c>
      <c r="Y1051" s="22" t="str">
        <f aca="false">O1051</f>
        <v>Produksi - Helper</v>
      </c>
      <c r="Z1051" s="13" t="str">
        <f aca="false">IFERROR(__xludf.dummyfunction("if(BJ1051="""","""",GOOGLETRANSLATE(BJ1051,""auto"",""en""))"),"Production - Helper")</f>
        <v>Production - Helper</v>
      </c>
      <c r="AA1051" s="23" t="str">
        <f aca="false">IF(C1051="","", CHOOSE(MONTH(C1051),"January","February","March","April","May","June","July","August","September","October","November","December")&amp;" "&amp;DAY(C1051)&amp;MID("thstndrdth",MIN(9,2*RIGHT(DAY(C1051))*(MOD(DAY(C1051)-11,100)&gt;2)+1),2)&amp;","&amp;TEXT(C1051," yyyy"))</f>
        <v>June 1st,2023</v>
      </c>
      <c r="AB1051" s="15" t="str">
        <f aca="true">IF(S1051="","",DATEDIF(S1051,TODAY(),"Y")&amp;" Tahun, "&amp;DATEDIF(S1051,TODAY(),"YM")&amp;" Bulan, "&amp;DATEDIF(S1051,TODAY(),"MD")&amp;" Hari")</f>
        <v>28 Tahun, 6 Bulan, 27 Hari</v>
      </c>
      <c r="AC1051" s="18" t="n">
        <v>45672</v>
      </c>
      <c r="AD1051" s="18" t="n">
        <v>46036</v>
      </c>
      <c r="AE1051" s="18" t="s">
        <v>44</v>
      </c>
    </row>
    <row r="1052" customFormat="false" ht="15.75" hidden="false" customHeight="true" outlineLevel="0" collapsed="false">
      <c r="A1052" s="12" t="n">
        <v>10869</v>
      </c>
      <c r="B1052" s="13" t="s">
        <v>4640</v>
      </c>
      <c r="C1052" s="14" t="n">
        <v>45078</v>
      </c>
      <c r="D1052" s="13" t="s">
        <v>101</v>
      </c>
      <c r="E1052" s="15" t="s">
        <v>102</v>
      </c>
      <c r="F1052" s="15" t="str">
        <f aca="false">IFERROR(__xludf.dummyfunction("XLOOKUP(AJ1052,IMPORTRANGE(""1XaInW9DU9nz21V0tYIfzFQ0He9kVQ_JF2mCXgZ3hqFA"",""REKAP ALL 2026 - Andika!G:G""),IMPORTRANGE(""1XaInW9DU9nz21V0tYIfzFQ0He9kVQ_JF2mCXgZ3hqFA"",""REKAP ALL 2026 - Andika!F:F""),"""",0)"),"23076924804")</f>
        <v>23076924804</v>
      </c>
      <c r="G1052" s="13" t="s">
        <v>4641</v>
      </c>
      <c r="H1052" s="13" t="s">
        <v>35</v>
      </c>
      <c r="I1052" s="13" t="str">
        <f aca="false">IF(C1052=J1052,"NEW KONTRAK","RE-KONTRAK")</f>
        <v>RE-KONTRAK</v>
      </c>
      <c r="J1052" s="16" t="n">
        <f aca="false" t="array" ref="J1052:J1052">IFERROR(INDEX(AC1052:AE1052,IF(COUNTA(AC1052:AE1052)=0,"",MAX((AC1052:AE1052&lt;&gt;"")*(COLUMN(AC1052:AE1052)-(COLUMN(AC1052)))))-1),"")</f>
        <v>45672</v>
      </c>
      <c r="K1052" s="16" t="n">
        <f aca="false" t="array" ref="K1052:K1052">IFERROR(INDEX(AC1052:AE1052,IF(COUNTA(AC1052:AE1052)=0,"",MAX((AC1052:AE1052&lt;&gt;"")*(COLUMN(AC1052:AE1052)-(COLUMN(AC1052)-1))))-1),"")</f>
        <v>46036</v>
      </c>
      <c r="L1052" s="17" t="str">
        <f aca="false" t="array" ref="L1052:L1052">IFERROR(INDEX(AC1052:AE1052,IF(COUNTA(AC1052:AE1052)=0,"",MAX((AC1052:AE1052&lt;&gt;"")*(COLUMN(AC1052:AE1052)-(COLUMN(AC1052)-2))))-1),"")</f>
        <v>ARCHIVED</v>
      </c>
      <c r="M1052" s="13" t="n">
        <f aca="true">K1052-TODAY()</f>
        <v>-288</v>
      </c>
      <c r="N1052" s="18" t="s">
        <v>105</v>
      </c>
      <c r="O1052" s="13" t="s">
        <v>106</v>
      </c>
      <c r="P1052" s="19" t="n">
        <v>132300</v>
      </c>
      <c r="Q1052" s="20" t="s">
        <v>4642</v>
      </c>
      <c r="R1052" s="13" t="s">
        <v>39</v>
      </c>
      <c r="S1052" s="25" t="n">
        <v>36423</v>
      </c>
      <c r="T1052" s="13" t="s">
        <v>108</v>
      </c>
      <c r="U1052" s="13" t="s">
        <v>4643</v>
      </c>
      <c r="V1052" s="13" t="s">
        <v>42</v>
      </c>
      <c r="W1052" s="13" t="s">
        <v>43</v>
      </c>
      <c r="X1052" s="21" t="n">
        <v>85802702661</v>
      </c>
      <c r="Y1052" s="22" t="str">
        <f aca="false">O1052</f>
        <v>Produksi - Helper</v>
      </c>
      <c r="Z1052" s="13" t="str">
        <f aca="false">IFERROR(__xludf.dummyfunction("if(BJ1052="""","""",GOOGLETRANSLATE(BJ1052,""auto"",""en""))"),"Production - Helper")</f>
        <v>Production - Helper</v>
      </c>
      <c r="AA1052" s="23" t="str">
        <f aca="false">IF(C1052="","", CHOOSE(MONTH(C1052),"January","February","March","April","May","June","July","August","September","October","November","December")&amp;" "&amp;DAY(C1052)&amp;MID("thstndrdth",MIN(9,2*RIGHT(DAY(C1052))*(MOD(DAY(C1052)-11,100)&gt;2)+1),2)&amp;","&amp;TEXT(C1052," yyyy"))</f>
        <v>June 1st,2023</v>
      </c>
      <c r="AB1052" s="15" t="str">
        <f aca="true">IF(S1052="","",DATEDIF(S1052,TODAY(),"Y")&amp;" Tahun, "&amp;DATEDIF(S1052,TODAY(),"YM")&amp;" Bulan, "&amp;DATEDIF(S1052,TODAY(),"MD")&amp;" Hari")</f>
        <v>27 Tahun, 1 Bulan, 9 Hari</v>
      </c>
      <c r="AC1052" s="18" t="n">
        <v>45672</v>
      </c>
      <c r="AD1052" s="18" t="n">
        <v>46036</v>
      </c>
      <c r="AE1052" s="18" t="s">
        <v>44</v>
      </c>
    </row>
    <row r="1053" customFormat="false" ht="15.75" hidden="false" customHeight="true" outlineLevel="0" collapsed="false">
      <c r="A1053" s="12" t="n">
        <v>10870</v>
      </c>
      <c r="B1053" s="13" t="s">
        <v>4644</v>
      </c>
      <c r="C1053" s="14" t="n">
        <v>45078</v>
      </c>
      <c r="D1053" s="13" t="s">
        <v>101</v>
      </c>
      <c r="E1053" s="15" t="s">
        <v>102</v>
      </c>
      <c r="F1053" s="15" t="str">
        <f aca="false">IFERROR(__xludf.dummyfunction("XLOOKUP(AJ1053,IMPORTRANGE(""1XaInW9DU9nz21V0tYIfzFQ0He9kVQ_JF2mCXgZ3hqFA"",""REKAP ALL 2026 - Andika!G:G""),IMPORTRANGE(""1XaInW9DU9nz21V0tYIfzFQ0He9kVQ_JF2mCXgZ3hqFA"",""REKAP ALL 2026 - Andika!F:F""),"""",0)"),"23076924218")</f>
        <v>23076924218</v>
      </c>
      <c r="G1053" s="13" t="s">
        <v>4645</v>
      </c>
      <c r="H1053" s="13" t="s">
        <v>35</v>
      </c>
      <c r="I1053" s="13" t="str">
        <f aca="false">IF(C1053=J1053,"NEW KONTRAK","RE-KONTRAK")</f>
        <v>RE-KONTRAK</v>
      </c>
      <c r="J1053" s="16" t="n">
        <f aca="false" t="array" ref="J1053:J1053">IFERROR(INDEX(AC1053:AE1053,IF(COUNTA(AC1053:AE1053)=0,"",MAX((AC1053:AE1053&lt;&gt;"")*(COLUMN(AC1053:AE1053)-(COLUMN(AC1053)))))-1),"")</f>
        <v>45672</v>
      </c>
      <c r="K1053" s="16" t="n">
        <f aca="false" t="array" ref="K1053:K1053">IFERROR(INDEX(AC1053:AE1053,IF(COUNTA(AC1053:AE1053)=0,"",MAX((AC1053:AE1053&lt;&gt;"")*(COLUMN(AC1053:AE1053)-(COLUMN(AC1053)-1))))-1),"")</f>
        <v>46036</v>
      </c>
      <c r="L1053" s="17" t="str">
        <f aca="false" t="array" ref="L1053:L1053">IFERROR(INDEX(AC1053:AE1053,IF(COUNTA(AC1053:AE1053)=0,"",MAX((AC1053:AE1053&lt;&gt;"")*(COLUMN(AC1053:AE1053)-(COLUMN(AC1053)-2))))-1),"")</f>
        <v>ARCHIVED</v>
      </c>
      <c r="M1053" s="13" t="n">
        <f aca="true">K1053-TODAY()</f>
        <v>-288</v>
      </c>
      <c r="N1053" s="18" t="s">
        <v>105</v>
      </c>
      <c r="O1053" s="13" t="s">
        <v>106</v>
      </c>
      <c r="P1053" s="19" t="n">
        <v>132300</v>
      </c>
      <c r="Q1053" s="20" t="s">
        <v>4646</v>
      </c>
      <c r="R1053" s="13" t="s">
        <v>39</v>
      </c>
      <c r="S1053" s="25" t="n">
        <v>37566</v>
      </c>
      <c r="T1053" s="13" t="s">
        <v>108</v>
      </c>
      <c r="U1053" s="13" t="s">
        <v>4647</v>
      </c>
      <c r="V1053" s="13" t="s">
        <v>42</v>
      </c>
      <c r="W1053" s="13" t="s">
        <v>43</v>
      </c>
      <c r="X1053" s="21" t="n">
        <v>8973939840</v>
      </c>
      <c r="Y1053" s="22" t="str">
        <f aca="false">O1053</f>
        <v>Produksi - Helper</v>
      </c>
      <c r="Z1053" s="13" t="str">
        <f aca="false">IFERROR(__xludf.dummyfunction("if(BJ1053="""","""",GOOGLETRANSLATE(BJ1053,""auto"",""en""))"),"Production - Helper")</f>
        <v>Production - Helper</v>
      </c>
      <c r="AA1053" s="23" t="str">
        <f aca="false">IF(C1053="","", CHOOSE(MONTH(C1053),"January","February","March","April","May","June","July","August","September","October","November","December")&amp;" "&amp;DAY(C1053)&amp;MID("thstndrdth",MIN(9,2*RIGHT(DAY(C1053))*(MOD(DAY(C1053)-11,100)&gt;2)+1),2)&amp;","&amp;TEXT(C1053," yyyy"))</f>
        <v>June 1st,2023</v>
      </c>
      <c r="AB1053" s="15" t="str">
        <f aca="true">IF(S1053="","",DATEDIF(S1053,TODAY(),"Y")&amp;" Tahun, "&amp;DATEDIF(S1053,TODAY(),"YM")&amp;" Bulan, "&amp;DATEDIF(S1053,TODAY(),"MD")&amp;" Hari")</f>
        <v>23 Tahun, 11 Bulan, 23 Hari</v>
      </c>
      <c r="AC1053" s="18" t="n">
        <v>45672</v>
      </c>
      <c r="AD1053" s="18" t="n">
        <v>46036</v>
      </c>
      <c r="AE1053" s="18" t="s">
        <v>44</v>
      </c>
    </row>
    <row r="1054" customFormat="false" ht="15.75" hidden="false" customHeight="true" outlineLevel="0" collapsed="false">
      <c r="A1054" s="12" t="n">
        <v>10871</v>
      </c>
      <c r="B1054" s="13" t="s">
        <v>4648</v>
      </c>
      <c r="C1054" s="14" t="n">
        <v>45078</v>
      </c>
      <c r="D1054" s="13" t="s">
        <v>101</v>
      </c>
      <c r="E1054" s="15" t="s">
        <v>102</v>
      </c>
      <c r="F1054" s="15" t="str">
        <f aca="false">IFERROR(__xludf.dummyfunction("XLOOKUP(AJ1054,IMPORTRANGE(""1XaInW9DU9nz21V0tYIfzFQ0He9kVQ_JF2mCXgZ3hqFA"",""REKAP ALL 2026 - Andika!G:G""),IMPORTRANGE(""1XaInW9DU9nz21V0tYIfzFQ0He9kVQ_JF2mCXgZ3hqFA"",""REKAP ALL 2026 - Andika!F:F""),"""",0)"),"23076924242")</f>
        <v>23076924242</v>
      </c>
      <c r="G1054" s="13" t="s">
        <v>4649</v>
      </c>
      <c r="H1054" s="13" t="s">
        <v>35</v>
      </c>
      <c r="I1054" s="13" t="str">
        <f aca="false">IF(C1054=J1054,"NEW KONTRAK","RE-KONTRAK")</f>
        <v>RE-KONTRAK</v>
      </c>
      <c r="J1054" s="16" t="n">
        <f aca="false" t="array" ref="J1054:J1054">IFERROR(INDEX(AC1054:AE1054,IF(COUNTA(AC1054:AE1054)=0,"",MAX((AC1054:AE1054&lt;&gt;"")*(COLUMN(AC1054:AE1054)-(COLUMN(AC1054)))))-1),"")</f>
        <v>45672</v>
      </c>
      <c r="K1054" s="16" t="n">
        <f aca="false" t="array" ref="K1054:K1054">IFERROR(INDEX(AC1054:AE1054,IF(COUNTA(AC1054:AE1054)=0,"",MAX((AC1054:AE1054&lt;&gt;"")*(COLUMN(AC1054:AE1054)-(COLUMN(AC1054)-1))))-1),"")</f>
        <v>46036</v>
      </c>
      <c r="L1054" s="17" t="str">
        <f aca="false" t="array" ref="L1054:L1054">IFERROR(INDEX(AC1054:AE1054,IF(COUNTA(AC1054:AE1054)=0,"",MAX((AC1054:AE1054&lt;&gt;"")*(COLUMN(AC1054:AE1054)-(COLUMN(AC1054)-2))))-1),"")</f>
        <v>ARCHIVED</v>
      </c>
      <c r="M1054" s="13" t="n">
        <f aca="true">K1054-TODAY()</f>
        <v>-288</v>
      </c>
      <c r="N1054" s="18" t="s">
        <v>105</v>
      </c>
      <c r="O1054" s="13" t="s">
        <v>106</v>
      </c>
      <c r="P1054" s="19" t="n">
        <v>132300</v>
      </c>
      <c r="Q1054" s="20" t="s">
        <v>4650</v>
      </c>
      <c r="R1054" s="13" t="s">
        <v>39</v>
      </c>
      <c r="S1054" s="25" t="n">
        <v>36727</v>
      </c>
      <c r="T1054" s="13" t="s">
        <v>40</v>
      </c>
      <c r="U1054" s="13" t="s">
        <v>4651</v>
      </c>
      <c r="V1054" s="13" t="s">
        <v>42</v>
      </c>
      <c r="W1054" s="13" t="s">
        <v>43</v>
      </c>
      <c r="X1054" s="21" t="n">
        <v>87783304709</v>
      </c>
      <c r="Y1054" s="22" t="str">
        <f aca="false">O1054</f>
        <v>Produksi - Helper</v>
      </c>
      <c r="Z1054" s="13" t="str">
        <f aca="false">IFERROR(__xludf.dummyfunction("if(BJ1054="""","""",GOOGLETRANSLATE(BJ1054,""auto"",""en""))"),"Production - Helper")</f>
        <v>Production - Helper</v>
      </c>
      <c r="AA1054" s="23" t="str">
        <f aca="false">IF(C1054="","", CHOOSE(MONTH(C1054),"January","February","March","April","May","June","July","August","September","October","November","December")&amp;" "&amp;DAY(C1054)&amp;MID("thstndrdth",MIN(9,2*RIGHT(DAY(C1054))*(MOD(DAY(C1054)-11,100)&gt;2)+1),2)&amp;","&amp;TEXT(C1054," yyyy"))</f>
        <v>June 1st,2023</v>
      </c>
      <c r="AB1054" s="15" t="str">
        <f aca="true">IF(S1054="","",DATEDIF(S1054,TODAY(),"Y")&amp;" Tahun, "&amp;DATEDIF(S1054,TODAY(),"YM")&amp;" Bulan, "&amp;DATEDIF(S1054,TODAY(),"MD")&amp;" Hari")</f>
        <v>26 Tahun, 3 Bulan, 9 Hari</v>
      </c>
      <c r="AC1054" s="18" t="n">
        <v>45672</v>
      </c>
      <c r="AD1054" s="18" t="n">
        <v>46036</v>
      </c>
      <c r="AE1054" s="18" t="s">
        <v>44</v>
      </c>
    </row>
    <row r="1055" customFormat="false" ht="15.75" hidden="false" customHeight="true" outlineLevel="0" collapsed="false">
      <c r="A1055" s="12" t="n">
        <v>10872</v>
      </c>
      <c r="B1055" s="13" t="s">
        <v>4652</v>
      </c>
      <c r="C1055" s="14" t="n">
        <v>45078</v>
      </c>
      <c r="D1055" s="13" t="s">
        <v>101</v>
      </c>
      <c r="E1055" s="15" t="s">
        <v>102</v>
      </c>
      <c r="F1055" s="15" t="str">
        <f aca="false">IFERROR(__xludf.dummyfunction("XLOOKUP(AJ1055,IMPORTRANGE(""1XaInW9DU9nz21V0tYIfzFQ0He9kVQ_JF2mCXgZ3hqFA"",""REKAP ALL 2026 - Andika!G:G""),IMPORTRANGE(""1XaInW9DU9nz21V0tYIfzFQ0He9kVQ_JF2mCXgZ3hqFA"",""REKAP ALL 2026 - Andika!F:F""),"""",0)"),"23076924762")</f>
        <v>23076924762</v>
      </c>
      <c r="G1055" s="13" t="s">
        <v>4653</v>
      </c>
      <c r="H1055" s="13" t="s">
        <v>35</v>
      </c>
      <c r="I1055" s="13" t="str">
        <f aca="false">IF(C1055=J1055,"NEW KONTRAK","RE-KONTRAK")</f>
        <v>RE-KONTRAK</v>
      </c>
      <c r="J1055" s="16" t="n">
        <f aca="false" t="array" ref="J1055:J1055">IFERROR(INDEX(AC1055:AE1055,IF(COUNTA(AC1055:AE1055)=0,"",MAX((AC1055:AE1055&lt;&gt;"")*(COLUMN(AC1055:AE1055)-(COLUMN(AC1055)))))-1),"")</f>
        <v>45672</v>
      </c>
      <c r="K1055" s="16" t="n">
        <f aca="false" t="array" ref="K1055:K1055">IFERROR(INDEX(AC1055:AE1055,IF(COUNTA(AC1055:AE1055)=0,"",MAX((AC1055:AE1055&lt;&gt;"")*(COLUMN(AC1055:AE1055)-(COLUMN(AC1055)-1))))-1),"")</f>
        <v>46036</v>
      </c>
      <c r="L1055" s="17" t="str">
        <f aca="false" t="array" ref="L1055:L1055">IFERROR(INDEX(AC1055:AE1055,IF(COUNTA(AC1055:AE1055)=0,"",MAX((AC1055:AE1055&lt;&gt;"")*(COLUMN(AC1055:AE1055)-(COLUMN(AC1055)-2))))-1),"")</f>
        <v>ARCHIVED</v>
      </c>
      <c r="M1055" s="13" t="n">
        <f aca="true">K1055-TODAY()</f>
        <v>-288</v>
      </c>
      <c r="N1055" s="18" t="s">
        <v>105</v>
      </c>
      <c r="O1055" s="13" t="s">
        <v>106</v>
      </c>
      <c r="P1055" s="19" t="n">
        <v>132300</v>
      </c>
      <c r="Q1055" s="20" t="s">
        <v>4654</v>
      </c>
      <c r="R1055" s="13" t="s">
        <v>52</v>
      </c>
      <c r="S1055" s="25" t="n">
        <v>37669</v>
      </c>
      <c r="T1055" s="13" t="s">
        <v>40</v>
      </c>
      <c r="U1055" s="13" t="s">
        <v>4655</v>
      </c>
      <c r="V1055" s="13" t="s">
        <v>42</v>
      </c>
      <c r="W1055" s="13" t="s">
        <v>43</v>
      </c>
      <c r="X1055" s="21" t="n">
        <v>85895354073</v>
      </c>
      <c r="Y1055" s="22" t="str">
        <f aca="false">O1055</f>
        <v>Produksi - Helper</v>
      </c>
      <c r="Z1055" s="13" t="str">
        <f aca="false">IFERROR(__xludf.dummyfunction("if(BJ1055="""","""",GOOGLETRANSLATE(BJ1055,""auto"",""en""))"),"Production - Helper")</f>
        <v>Production - Helper</v>
      </c>
      <c r="AA1055" s="23" t="str">
        <f aca="false">IF(C1055="","", CHOOSE(MONTH(C1055),"January","February","March","April","May","June","July","August","September","October","November","December")&amp;" "&amp;DAY(C1055)&amp;MID("thstndrdth",MIN(9,2*RIGHT(DAY(C1055))*(MOD(DAY(C1055)-11,100)&gt;2)+1),2)&amp;","&amp;TEXT(C1055," yyyy"))</f>
        <v>June 1st,2023</v>
      </c>
      <c r="AB1055" s="15" t="str">
        <f aca="true">IF(S1055="","",DATEDIF(S1055,TODAY(),"Y")&amp;" Tahun, "&amp;DATEDIF(S1055,TODAY(),"YM")&amp;" Bulan, "&amp;DATEDIF(S1055,TODAY(),"MD")&amp;" Hari")</f>
        <v>23 Tahun, 8 Bulan, 12 Hari</v>
      </c>
      <c r="AC1055" s="18" t="n">
        <v>45672</v>
      </c>
      <c r="AD1055" s="18" t="n">
        <v>46036</v>
      </c>
      <c r="AE1055" s="18" t="s">
        <v>44</v>
      </c>
    </row>
    <row r="1056" customFormat="false" ht="15.75" hidden="false" customHeight="true" outlineLevel="0" collapsed="false">
      <c r="A1056" s="12" t="n">
        <v>10874</v>
      </c>
      <c r="B1056" s="13" t="s">
        <v>4656</v>
      </c>
      <c r="C1056" s="14" t="n">
        <v>45078</v>
      </c>
      <c r="D1056" s="13" t="s">
        <v>101</v>
      </c>
      <c r="E1056" s="15" t="s">
        <v>102</v>
      </c>
      <c r="F1056" s="15" t="str">
        <f aca="false">IFERROR(__xludf.dummyfunction("XLOOKUP(AJ1056,IMPORTRANGE(""1XaInW9DU9nz21V0tYIfzFQ0He9kVQ_JF2mCXgZ3hqFA"",""REKAP ALL 2026 - Andika!G:G""),IMPORTRANGE(""1XaInW9DU9nz21V0tYIfzFQ0He9kVQ_JF2mCXgZ3hqFA"",""REKAP ALL 2026 - Andika!F:F""),"""",0)"),"23076924671")</f>
        <v>23076924671</v>
      </c>
      <c r="G1056" s="13" t="s">
        <v>4657</v>
      </c>
      <c r="H1056" s="13" t="s">
        <v>35</v>
      </c>
      <c r="I1056" s="13" t="str">
        <f aca="false">IF(C1056=J1056,"NEW KONTRAK","RE-KONTRAK")</f>
        <v>RE-KONTRAK</v>
      </c>
      <c r="J1056" s="16" t="n">
        <f aca="false" t="array" ref="J1056:J1056">IFERROR(INDEX(AC1056:AE1056,IF(COUNTA(AC1056:AE1056)=0,"",MAX((AC1056:AE1056&lt;&gt;"")*(COLUMN(AC1056:AE1056)-(COLUMN(AC1056)))))-1),"")</f>
        <v>45672</v>
      </c>
      <c r="K1056" s="16" t="n">
        <f aca="false" t="array" ref="K1056:K1056">IFERROR(INDEX(AC1056:AE1056,IF(COUNTA(AC1056:AE1056)=0,"",MAX((AC1056:AE1056&lt;&gt;"")*(COLUMN(AC1056:AE1056)-(COLUMN(AC1056)-1))))-1),"")</f>
        <v>46036</v>
      </c>
      <c r="L1056" s="17" t="str">
        <f aca="false" t="array" ref="L1056:L1056">IFERROR(INDEX(AC1056:AE1056,IF(COUNTA(AC1056:AE1056)=0,"",MAX((AC1056:AE1056&lt;&gt;"")*(COLUMN(AC1056:AE1056)-(COLUMN(AC1056)-2))))-1),"")</f>
        <v>ARCHIVED</v>
      </c>
      <c r="M1056" s="13" t="n">
        <f aca="true">K1056-TODAY()</f>
        <v>-288</v>
      </c>
      <c r="N1056" s="18" t="s">
        <v>105</v>
      </c>
      <c r="O1056" s="13" t="s">
        <v>106</v>
      </c>
      <c r="P1056" s="19" t="n">
        <v>132300</v>
      </c>
      <c r="Q1056" s="20" t="s">
        <v>4658</v>
      </c>
      <c r="R1056" s="13" t="s">
        <v>65</v>
      </c>
      <c r="S1056" s="25" t="n">
        <v>37564</v>
      </c>
      <c r="T1056" s="13" t="s">
        <v>40</v>
      </c>
      <c r="U1056" s="13" t="s">
        <v>4659</v>
      </c>
      <c r="V1056" s="13" t="s">
        <v>42</v>
      </c>
      <c r="W1056" s="13" t="s">
        <v>43</v>
      </c>
      <c r="X1056" s="21" t="n">
        <v>87744741308</v>
      </c>
      <c r="Y1056" s="22" t="str">
        <f aca="false">O1056</f>
        <v>Produksi - Helper</v>
      </c>
      <c r="Z1056" s="13" t="str">
        <f aca="false">IFERROR(__xludf.dummyfunction("if(BJ1056="""","""",GOOGLETRANSLATE(BJ1056,""auto"",""en""))"),"Production - Helper")</f>
        <v>Production - Helper</v>
      </c>
      <c r="AA1056" s="23" t="str">
        <f aca="false">IF(C1056="","", CHOOSE(MONTH(C1056),"January","February","March","April","May","June","July","August","September","October","November","December")&amp;" "&amp;DAY(C1056)&amp;MID("thstndrdth",MIN(9,2*RIGHT(DAY(C1056))*(MOD(DAY(C1056)-11,100)&gt;2)+1),2)&amp;","&amp;TEXT(C1056," yyyy"))</f>
        <v>June 1st,2023</v>
      </c>
      <c r="AB1056" s="15" t="str">
        <f aca="true">IF(S1056="","",DATEDIF(S1056,TODAY(),"Y")&amp;" Tahun, "&amp;DATEDIF(S1056,TODAY(),"YM")&amp;" Bulan, "&amp;DATEDIF(S1056,TODAY(),"MD")&amp;" Hari")</f>
        <v>23 Tahun, 11 Bulan, 25 Hari</v>
      </c>
      <c r="AC1056" s="18" t="n">
        <v>45672</v>
      </c>
      <c r="AD1056" s="18" t="n">
        <v>46036</v>
      </c>
      <c r="AE1056" s="18" t="s">
        <v>44</v>
      </c>
    </row>
    <row r="1057" customFormat="false" ht="15.75" hidden="false" customHeight="true" outlineLevel="0" collapsed="false">
      <c r="A1057" s="12" t="n">
        <v>10875</v>
      </c>
      <c r="B1057" s="13" t="s">
        <v>4660</v>
      </c>
      <c r="C1057" s="14" t="n">
        <v>45078</v>
      </c>
      <c r="D1057" s="13" t="s">
        <v>101</v>
      </c>
      <c r="E1057" s="15" t="s">
        <v>102</v>
      </c>
      <c r="F1057" s="15" t="str">
        <f aca="false">IFERROR(__xludf.dummyfunction("XLOOKUP(AJ1057,IMPORTRANGE(""1XaInW9DU9nz21V0tYIfzFQ0He9kVQ_JF2mCXgZ3hqFA"",""REKAP ALL 2026 - Andika!G:G""),IMPORTRANGE(""1XaInW9DU9nz21V0tYIfzFQ0He9kVQ_JF2mCXgZ3hqFA"",""REKAP ALL 2026 - Andika!F:F""),"""",0)"),"23076924713")</f>
        <v>23076924713</v>
      </c>
      <c r="G1057" s="13" t="s">
        <v>4661</v>
      </c>
      <c r="H1057" s="13" t="s">
        <v>35</v>
      </c>
      <c r="I1057" s="13" t="str">
        <f aca="false">IF(C1057=J1057,"NEW KONTRAK","RE-KONTRAK")</f>
        <v>RE-KONTRAK</v>
      </c>
      <c r="J1057" s="16" t="n">
        <f aca="false" t="array" ref="J1057:J1057">IFERROR(INDEX(AC1057:AE1057,IF(COUNTA(AC1057:AE1057)=0,"",MAX((AC1057:AE1057&lt;&gt;"")*(COLUMN(AC1057:AE1057)-(COLUMN(AC1057)))))-1),"")</f>
        <v>45672</v>
      </c>
      <c r="K1057" s="16" t="n">
        <f aca="false" t="array" ref="K1057:K1057">IFERROR(INDEX(AC1057:AE1057,IF(COUNTA(AC1057:AE1057)=0,"",MAX((AC1057:AE1057&lt;&gt;"")*(COLUMN(AC1057:AE1057)-(COLUMN(AC1057)-1))))-1),"")</f>
        <v>46036</v>
      </c>
      <c r="L1057" s="17" t="str">
        <f aca="false" t="array" ref="L1057:L1057">IFERROR(INDEX(AC1057:AE1057,IF(COUNTA(AC1057:AE1057)=0,"",MAX((AC1057:AE1057&lt;&gt;"")*(COLUMN(AC1057:AE1057)-(COLUMN(AC1057)-2))))-1),"")</f>
        <v>ARCHIVED</v>
      </c>
      <c r="M1057" s="13" t="n">
        <f aca="true">K1057-TODAY()</f>
        <v>-288</v>
      </c>
      <c r="N1057" s="18" t="s">
        <v>105</v>
      </c>
      <c r="O1057" s="13" t="s">
        <v>106</v>
      </c>
      <c r="P1057" s="19" t="n">
        <v>132300</v>
      </c>
      <c r="Q1057" s="20" t="s">
        <v>4662</v>
      </c>
      <c r="R1057" s="13" t="s">
        <v>39</v>
      </c>
      <c r="S1057" s="25" t="n">
        <v>38276</v>
      </c>
      <c r="T1057" s="13" t="s">
        <v>108</v>
      </c>
      <c r="U1057" s="13" t="s">
        <v>4663</v>
      </c>
      <c r="V1057" s="13" t="s">
        <v>42</v>
      </c>
      <c r="W1057" s="13" t="s">
        <v>43</v>
      </c>
      <c r="X1057" s="21" t="n">
        <v>895335857644</v>
      </c>
      <c r="Y1057" s="22" t="str">
        <f aca="false">O1057</f>
        <v>Produksi - Helper</v>
      </c>
      <c r="Z1057" s="13" t="str">
        <f aca="false">IFERROR(__xludf.dummyfunction("if(BJ1057="""","""",GOOGLETRANSLATE(BJ1057,""auto"",""en""))"),"Production - Helper")</f>
        <v>Production - Helper</v>
      </c>
      <c r="AA1057" s="23" t="str">
        <f aca="false">IF(C1057="","", CHOOSE(MONTH(C1057),"January","February","March","April","May","June","July","August","September","October","November","December")&amp;" "&amp;DAY(C1057)&amp;MID("thstndrdth",MIN(9,2*RIGHT(DAY(C1057))*(MOD(DAY(C1057)-11,100)&gt;2)+1),2)&amp;","&amp;TEXT(C1057," yyyy"))</f>
        <v>June 1st,2023</v>
      </c>
      <c r="AB1057" s="15" t="str">
        <f aca="true">IF(S1057="","",DATEDIF(S1057,TODAY(),"Y")&amp;" Tahun, "&amp;DATEDIF(S1057,TODAY(),"YM")&amp;" Bulan, "&amp;DATEDIF(S1057,TODAY(),"MD")&amp;" Hari")</f>
        <v>22 Tahun, 0 Bulan, 13 Hari</v>
      </c>
      <c r="AC1057" s="18" t="n">
        <v>45672</v>
      </c>
      <c r="AD1057" s="18" t="n">
        <v>46036</v>
      </c>
      <c r="AE1057" s="18" t="s">
        <v>44</v>
      </c>
    </row>
    <row r="1058" customFormat="false" ht="15.75" hidden="false" customHeight="true" outlineLevel="0" collapsed="false">
      <c r="A1058" s="12" t="n">
        <v>10877</v>
      </c>
      <c r="B1058" s="13" t="s">
        <v>4664</v>
      </c>
      <c r="C1058" s="14" t="n">
        <v>45078</v>
      </c>
      <c r="D1058" s="13" t="s">
        <v>101</v>
      </c>
      <c r="E1058" s="15" t="s">
        <v>102</v>
      </c>
      <c r="F1058" s="15" t="str">
        <f aca="false">IFERROR(__xludf.dummyfunction("XLOOKUP(AJ1058,IMPORTRANGE(""1XaInW9DU9nz21V0tYIfzFQ0He9kVQ_JF2mCXgZ3hqFA"",""REKAP ALL 2026 - Andika!G:G""),IMPORTRANGE(""1XaInW9DU9nz21V0tYIfzFQ0He9kVQ_JF2mCXgZ3hqFA"",""REKAP ALL 2026 - Andika!F:F""),"""",0)"),"23076924630")</f>
        <v>23076924630</v>
      </c>
      <c r="G1058" s="13" t="s">
        <v>4665</v>
      </c>
      <c r="H1058" s="13" t="s">
        <v>35</v>
      </c>
      <c r="I1058" s="13" t="str">
        <f aca="false">IF(C1058=J1058,"NEW KONTRAK","RE-KONTRAK")</f>
        <v>RE-KONTRAK</v>
      </c>
      <c r="J1058" s="16" t="n">
        <f aca="false" t="array" ref="J1058:J1058">IFERROR(INDEX(AC1058:AE1058,IF(COUNTA(AC1058:AE1058)=0,"",MAX((AC1058:AE1058&lt;&gt;"")*(COLUMN(AC1058:AE1058)-(COLUMN(AC1058)))))-1),"")</f>
        <v>45672</v>
      </c>
      <c r="K1058" s="16" t="n">
        <f aca="false" t="array" ref="K1058:K1058">IFERROR(INDEX(AC1058:AE1058,IF(COUNTA(AC1058:AE1058)=0,"",MAX((AC1058:AE1058&lt;&gt;"")*(COLUMN(AC1058:AE1058)-(COLUMN(AC1058)-1))))-1),"")</f>
        <v>46036</v>
      </c>
      <c r="L1058" s="17" t="str">
        <f aca="false" t="array" ref="L1058:L1058">IFERROR(INDEX(AC1058:AE1058,IF(COUNTA(AC1058:AE1058)=0,"",MAX((AC1058:AE1058&lt;&gt;"")*(COLUMN(AC1058:AE1058)-(COLUMN(AC1058)-2))))-1),"")</f>
        <v>ARCHIVED</v>
      </c>
      <c r="M1058" s="13" t="n">
        <f aca="true">K1058-TODAY()</f>
        <v>-288</v>
      </c>
      <c r="N1058" s="18" t="s">
        <v>105</v>
      </c>
      <c r="O1058" s="13" t="s">
        <v>106</v>
      </c>
      <c r="P1058" s="19" t="n">
        <v>132300</v>
      </c>
      <c r="Q1058" s="20" t="s">
        <v>4666</v>
      </c>
      <c r="R1058" s="13" t="s">
        <v>39</v>
      </c>
      <c r="S1058" s="25" t="n">
        <v>38126</v>
      </c>
      <c r="T1058" s="13" t="s">
        <v>108</v>
      </c>
      <c r="U1058" s="13" t="s">
        <v>4667</v>
      </c>
      <c r="V1058" s="13" t="s">
        <v>42</v>
      </c>
      <c r="W1058" s="13" t="s">
        <v>43</v>
      </c>
      <c r="X1058" s="21" t="n">
        <v>85604906035</v>
      </c>
      <c r="Y1058" s="22" t="str">
        <f aca="false">O1058</f>
        <v>Produksi - Helper</v>
      </c>
      <c r="Z1058" s="13" t="str">
        <f aca="false">IFERROR(__xludf.dummyfunction("if(BJ1058="""","""",GOOGLETRANSLATE(BJ1058,""auto"",""en""))"),"Production - Helper")</f>
        <v>Production - Helper</v>
      </c>
      <c r="AA1058" s="23" t="str">
        <f aca="false">IF(C1058="","", CHOOSE(MONTH(C1058),"January","February","March","April","May","June","July","August","September","October","November","December")&amp;" "&amp;DAY(C1058)&amp;MID("thstndrdth",MIN(9,2*RIGHT(DAY(C1058))*(MOD(DAY(C1058)-11,100)&gt;2)+1),2)&amp;","&amp;TEXT(C1058," yyyy"))</f>
        <v>June 1st,2023</v>
      </c>
      <c r="AB1058" s="15" t="str">
        <f aca="true">IF(S1058="","",DATEDIF(S1058,TODAY(),"Y")&amp;" Tahun, "&amp;DATEDIF(S1058,TODAY(),"YM")&amp;" Bulan, "&amp;DATEDIF(S1058,TODAY(),"MD")&amp;" Hari")</f>
        <v>22 Tahun, 5 Bulan, 10 Hari</v>
      </c>
      <c r="AC1058" s="18" t="n">
        <v>45672</v>
      </c>
      <c r="AD1058" s="18" t="n">
        <v>46036</v>
      </c>
      <c r="AE1058" s="18" t="s">
        <v>44</v>
      </c>
    </row>
    <row r="1059" customFormat="false" ht="15.75" hidden="false" customHeight="true" outlineLevel="0" collapsed="false">
      <c r="A1059" s="12" t="n">
        <v>10878</v>
      </c>
      <c r="B1059" s="13" t="s">
        <v>4668</v>
      </c>
      <c r="C1059" s="14" t="n">
        <v>45078</v>
      </c>
      <c r="D1059" s="13" t="s">
        <v>101</v>
      </c>
      <c r="E1059" s="15" t="s">
        <v>102</v>
      </c>
      <c r="F1059" s="15" t="str">
        <f aca="false">IFERROR(__xludf.dummyfunction("XLOOKUP(AJ1059,IMPORTRANGE(""1XaInW9DU9nz21V0tYIfzFQ0He9kVQ_JF2mCXgZ3hqFA"",""REKAP ALL 2026 - Andika!G:G""),IMPORTRANGE(""1XaInW9DU9nz21V0tYIfzFQ0He9kVQ_JF2mCXgZ3hqFA"",""REKAP ALL 2026 - Andika!F:F""),"""",0)"),"23076924200")</f>
        <v>23076924200</v>
      </c>
      <c r="G1059" s="13" t="s">
        <v>4669</v>
      </c>
      <c r="H1059" s="13" t="s">
        <v>35</v>
      </c>
      <c r="I1059" s="13" t="str">
        <f aca="false">IF(C1059=J1059,"NEW KONTRAK","RE-KONTRAK")</f>
        <v>RE-KONTRAK</v>
      </c>
      <c r="J1059" s="16" t="n">
        <f aca="false" t="array" ref="J1059:J1059">IFERROR(INDEX(AC1059:AE1059,IF(COUNTA(AC1059:AE1059)=0,"",MAX((AC1059:AE1059&lt;&gt;"")*(COLUMN(AC1059:AE1059)-(COLUMN(AC1059)))))-1),"")</f>
        <v>45672</v>
      </c>
      <c r="K1059" s="16" t="n">
        <f aca="false" t="array" ref="K1059:K1059">IFERROR(INDEX(AC1059:AE1059,IF(COUNTA(AC1059:AE1059)=0,"",MAX((AC1059:AE1059&lt;&gt;"")*(COLUMN(AC1059:AE1059)-(COLUMN(AC1059)-1))))-1),"")</f>
        <v>46036</v>
      </c>
      <c r="L1059" s="17" t="str">
        <f aca="false" t="array" ref="L1059:L1059">IFERROR(INDEX(AC1059:AE1059,IF(COUNTA(AC1059:AE1059)=0,"",MAX((AC1059:AE1059&lt;&gt;"")*(COLUMN(AC1059:AE1059)-(COLUMN(AC1059)-2))))-1),"")</f>
        <v>ARCHIVED</v>
      </c>
      <c r="M1059" s="13" t="n">
        <f aca="true">K1059-TODAY()</f>
        <v>-288</v>
      </c>
      <c r="N1059" s="18" t="s">
        <v>105</v>
      </c>
      <c r="O1059" s="13" t="s">
        <v>106</v>
      </c>
      <c r="P1059" s="19" t="n">
        <v>132300</v>
      </c>
      <c r="Q1059" s="20" t="s">
        <v>4670</v>
      </c>
      <c r="R1059" s="13" t="s">
        <v>39</v>
      </c>
      <c r="S1059" s="25" t="n">
        <v>37959</v>
      </c>
      <c r="T1059" s="13" t="s">
        <v>40</v>
      </c>
      <c r="U1059" s="13" t="s">
        <v>4671</v>
      </c>
      <c r="V1059" s="13" t="s">
        <v>42</v>
      </c>
      <c r="W1059" s="13" t="s">
        <v>43</v>
      </c>
      <c r="X1059" s="21" t="n">
        <v>87856704440</v>
      </c>
      <c r="Y1059" s="22" t="str">
        <f aca="false">O1059</f>
        <v>Produksi - Helper</v>
      </c>
      <c r="Z1059" s="13" t="str">
        <f aca="false">IFERROR(__xludf.dummyfunction("if(BJ1059="""","""",GOOGLETRANSLATE(BJ1059,""auto"",""en""))"),"Production - Helper")</f>
        <v>Production - Helper</v>
      </c>
      <c r="AA1059" s="23" t="str">
        <f aca="false">IF(C1059="","", CHOOSE(MONTH(C1059),"January","February","March","April","May","June","July","August","September","October","November","December")&amp;" "&amp;DAY(C1059)&amp;MID("thstndrdth",MIN(9,2*RIGHT(DAY(C1059))*(MOD(DAY(C1059)-11,100)&gt;2)+1),2)&amp;","&amp;TEXT(C1059," yyyy"))</f>
        <v>June 1st,2023</v>
      </c>
      <c r="AB1059" s="15" t="str">
        <f aca="true">IF(S1059="","",DATEDIF(S1059,TODAY(),"Y")&amp;" Tahun, "&amp;DATEDIF(S1059,TODAY(),"YM")&amp;" Bulan, "&amp;DATEDIF(S1059,TODAY(),"MD")&amp;" Hari")</f>
        <v>22 Tahun, 10 Bulan, 25 Hari</v>
      </c>
      <c r="AC1059" s="18" t="n">
        <v>45672</v>
      </c>
      <c r="AD1059" s="18" t="n">
        <v>46036</v>
      </c>
      <c r="AE1059" s="18" t="s">
        <v>44</v>
      </c>
    </row>
    <row r="1060" customFormat="false" ht="15.75" hidden="false" customHeight="true" outlineLevel="0" collapsed="false">
      <c r="A1060" s="12" t="n">
        <v>10880</v>
      </c>
      <c r="B1060" s="13" t="s">
        <v>363</v>
      </c>
      <c r="C1060" s="14" t="n">
        <v>45078</v>
      </c>
      <c r="D1060" s="13" t="s">
        <v>101</v>
      </c>
      <c r="E1060" s="15" t="s">
        <v>102</v>
      </c>
      <c r="F1060" s="15" t="str">
        <f aca="false">IFERROR(__xludf.dummyfunction("XLOOKUP(AJ1060,IMPORTRANGE(""1XaInW9DU9nz21V0tYIfzFQ0He9kVQ_JF2mCXgZ3hqFA"",""REKAP ALL 2026 - Andika!G:G""),IMPORTRANGE(""1XaInW9DU9nz21V0tYIfzFQ0He9kVQ_JF2mCXgZ3hqFA"",""REKAP ALL 2026 - Andika!F:F""),"""",0)"),"23076924648")</f>
        <v>23076924648</v>
      </c>
      <c r="G1060" s="13" t="s">
        <v>4672</v>
      </c>
      <c r="H1060" s="13" t="s">
        <v>35</v>
      </c>
      <c r="I1060" s="13" t="str">
        <f aca="false">IF(C1060=J1060,"NEW KONTRAK","RE-KONTRAK")</f>
        <v>RE-KONTRAK</v>
      </c>
      <c r="J1060" s="16" t="n">
        <f aca="false" t="array" ref="J1060:J1060">IFERROR(INDEX(AC1060:AE1060,IF(COUNTA(AC1060:AE1060)=0,"",MAX((AC1060:AE1060&lt;&gt;"")*(COLUMN(AC1060:AE1060)-(COLUMN(AC1060)))))-1),"")</f>
        <v>45672</v>
      </c>
      <c r="K1060" s="16" t="n">
        <f aca="false" t="array" ref="K1060:K1060">IFERROR(INDEX(AC1060:AE1060,IF(COUNTA(AC1060:AE1060)=0,"",MAX((AC1060:AE1060&lt;&gt;"")*(COLUMN(AC1060:AE1060)-(COLUMN(AC1060)-1))))-1),"")</f>
        <v>46036</v>
      </c>
      <c r="L1060" s="17" t="str">
        <f aca="false" t="array" ref="L1060:L1060">IFERROR(INDEX(AC1060:AE1060,IF(COUNTA(AC1060:AE1060)=0,"",MAX((AC1060:AE1060&lt;&gt;"")*(COLUMN(AC1060:AE1060)-(COLUMN(AC1060)-2))))-1),"")</f>
        <v>ARCHIVED</v>
      </c>
      <c r="M1060" s="13" t="n">
        <f aca="true">K1060-TODAY()</f>
        <v>-288</v>
      </c>
      <c r="N1060" s="18" t="s">
        <v>105</v>
      </c>
      <c r="O1060" s="13" t="s">
        <v>106</v>
      </c>
      <c r="P1060" s="19" t="n">
        <v>132300</v>
      </c>
      <c r="Q1060" s="20" t="s">
        <v>4673</v>
      </c>
      <c r="R1060" s="13" t="s">
        <v>52</v>
      </c>
      <c r="S1060" s="25" t="n">
        <v>37901</v>
      </c>
      <c r="T1060" s="13" t="s">
        <v>40</v>
      </c>
      <c r="U1060" s="13" t="s">
        <v>4674</v>
      </c>
      <c r="V1060" s="13" t="s">
        <v>42</v>
      </c>
      <c r="W1060" s="13" t="s">
        <v>43</v>
      </c>
      <c r="X1060" s="21" t="n">
        <v>8819569787</v>
      </c>
      <c r="Y1060" s="22" t="str">
        <f aca="false">O1060</f>
        <v>Produksi - Helper</v>
      </c>
      <c r="Z1060" s="13" t="str">
        <f aca="false">IFERROR(__xludf.dummyfunction("if(BJ1060="""","""",GOOGLETRANSLATE(BJ1060,""auto"",""en""))"),"Production - Helper")</f>
        <v>Production - Helper</v>
      </c>
      <c r="AA1060" s="23" t="str">
        <f aca="false">IF(C1060="","", CHOOSE(MONTH(C1060),"January","February","March","April","May","June","July","August","September","October","November","December")&amp;" "&amp;DAY(C1060)&amp;MID("thstndrdth",MIN(9,2*RIGHT(DAY(C1060))*(MOD(DAY(C1060)-11,100)&gt;2)+1),2)&amp;","&amp;TEXT(C1060," yyyy"))</f>
        <v>June 1st,2023</v>
      </c>
      <c r="AB1060" s="15" t="str">
        <f aca="true">IF(S1060="","",DATEDIF(S1060,TODAY(),"Y")&amp;" Tahun, "&amp;DATEDIF(S1060,TODAY(),"YM")&amp;" Bulan, "&amp;DATEDIF(S1060,TODAY(),"MD")&amp;" Hari")</f>
        <v>23 Tahun, 0 Bulan, 22 Hari</v>
      </c>
      <c r="AC1060" s="18" t="n">
        <v>45672</v>
      </c>
      <c r="AD1060" s="18" t="n">
        <v>46036</v>
      </c>
      <c r="AE1060" s="18" t="s">
        <v>44</v>
      </c>
    </row>
    <row r="1061" customFormat="false" ht="15.75" hidden="false" customHeight="true" outlineLevel="0" collapsed="false">
      <c r="A1061" s="12" t="n">
        <v>10887</v>
      </c>
      <c r="B1061" s="13" t="s">
        <v>4675</v>
      </c>
      <c r="C1061" s="14" t="n">
        <v>45078</v>
      </c>
      <c r="D1061" s="13" t="s">
        <v>101</v>
      </c>
      <c r="E1061" s="15" t="s">
        <v>102</v>
      </c>
      <c r="F1061" s="15" t="str">
        <f aca="false">IFERROR(__xludf.dummyfunction("XLOOKUP(AJ1061,IMPORTRANGE(""1XaInW9DU9nz21V0tYIfzFQ0He9kVQ_JF2mCXgZ3hqFA"",""REKAP ALL 2026 - Andika!G:G""),IMPORTRANGE(""1XaInW9DU9nz21V0tYIfzFQ0He9kVQ_JF2mCXgZ3hqFA"",""REKAP ALL 2026 - Andika!F:F""),"""",0)"),"23076924614")</f>
        <v>23076924614</v>
      </c>
      <c r="G1061" s="13" t="s">
        <v>4676</v>
      </c>
      <c r="H1061" s="13" t="s">
        <v>35</v>
      </c>
      <c r="I1061" s="13" t="str">
        <f aca="false">IF(C1061=J1061,"NEW KONTRAK","RE-KONTRAK")</f>
        <v>RE-KONTRAK</v>
      </c>
      <c r="J1061" s="16" t="n">
        <f aca="false" t="array" ref="J1061:J1061">IFERROR(INDEX(AC1061:AE1061,IF(COUNTA(AC1061:AE1061)=0,"",MAX((AC1061:AE1061&lt;&gt;"")*(COLUMN(AC1061:AE1061)-(COLUMN(AC1061)))))-1),"")</f>
        <v>45672</v>
      </c>
      <c r="K1061" s="16" t="n">
        <f aca="false" t="array" ref="K1061:K1061">IFERROR(INDEX(AC1061:AE1061,IF(COUNTA(AC1061:AE1061)=0,"",MAX((AC1061:AE1061&lt;&gt;"")*(COLUMN(AC1061:AE1061)-(COLUMN(AC1061)-1))))-1),"")</f>
        <v>46036</v>
      </c>
      <c r="L1061" s="17" t="str">
        <f aca="false" t="array" ref="L1061:L1061">IFERROR(INDEX(AC1061:AE1061,IF(COUNTA(AC1061:AE1061)=0,"",MAX((AC1061:AE1061&lt;&gt;"")*(COLUMN(AC1061:AE1061)-(COLUMN(AC1061)-2))))-1),"")</f>
        <v>ARCHIVED</v>
      </c>
      <c r="M1061" s="13" t="n">
        <f aca="true">K1061-TODAY()</f>
        <v>-288</v>
      </c>
      <c r="N1061" s="18" t="s">
        <v>105</v>
      </c>
      <c r="O1061" s="13" t="s">
        <v>106</v>
      </c>
      <c r="P1061" s="19" t="n">
        <v>132300</v>
      </c>
      <c r="Q1061" s="20" t="s">
        <v>4677</v>
      </c>
      <c r="R1061" s="13" t="s">
        <v>39</v>
      </c>
      <c r="S1061" s="25" t="n">
        <v>37340</v>
      </c>
      <c r="T1061" s="13" t="s">
        <v>108</v>
      </c>
      <c r="U1061" s="13" t="s">
        <v>4678</v>
      </c>
      <c r="V1061" s="13" t="s">
        <v>42</v>
      </c>
      <c r="W1061" s="13" t="s">
        <v>43</v>
      </c>
      <c r="X1061" s="21" t="n">
        <v>85607959143</v>
      </c>
      <c r="Y1061" s="22" t="str">
        <f aca="false">O1061</f>
        <v>Produksi - Helper</v>
      </c>
      <c r="Z1061" s="13" t="str">
        <f aca="false">IFERROR(__xludf.dummyfunction("if(BJ1061="""","""",GOOGLETRANSLATE(BJ1061,""auto"",""en""))"),"Production - Helper")</f>
        <v>Production - Helper</v>
      </c>
      <c r="AA1061" s="23" t="str">
        <f aca="false">IF(C1061="","", CHOOSE(MONTH(C1061),"January","February","March","April","May","June","July","August","September","October","November","December")&amp;" "&amp;DAY(C1061)&amp;MID("thstndrdth",MIN(9,2*RIGHT(DAY(C1061))*(MOD(DAY(C1061)-11,100)&gt;2)+1),2)&amp;","&amp;TEXT(C1061," yyyy"))</f>
        <v>June 1st,2023</v>
      </c>
      <c r="AB1061" s="15" t="str">
        <f aca="true">IF(S1061="","",DATEDIF(S1061,TODAY(),"Y")&amp;" Tahun, "&amp;DATEDIF(S1061,TODAY(),"YM")&amp;" Bulan, "&amp;DATEDIF(S1061,TODAY(),"MD")&amp;" Hari")</f>
        <v>24 Tahun, 7 Bulan, 4 Hari</v>
      </c>
      <c r="AC1061" s="18" t="n">
        <v>45672</v>
      </c>
      <c r="AD1061" s="18" t="n">
        <v>46036</v>
      </c>
      <c r="AE1061" s="18" t="s">
        <v>44</v>
      </c>
    </row>
    <row r="1062" customFormat="false" ht="15.75" hidden="false" customHeight="true" outlineLevel="0" collapsed="false">
      <c r="A1062" s="12" t="n">
        <v>10889</v>
      </c>
      <c r="B1062" s="13" t="s">
        <v>4679</v>
      </c>
      <c r="C1062" s="14" t="n">
        <v>45078</v>
      </c>
      <c r="D1062" s="13" t="s">
        <v>101</v>
      </c>
      <c r="E1062" s="15" t="s">
        <v>102</v>
      </c>
      <c r="F1062" s="15" t="str">
        <f aca="false">IFERROR(__xludf.dummyfunction("XLOOKUP(AJ1062,IMPORTRANGE(""1XaInW9DU9nz21V0tYIfzFQ0He9kVQ_JF2mCXgZ3hqFA"",""REKAP ALL 2026 - Andika!G:G""),IMPORTRANGE(""1XaInW9DU9nz21V0tYIfzFQ0He9kVQ_JF2mCXgZ3hqFA"",""REKAP ALL 2026 - Andika!F:F""),"""",0)"),"22151740291")</f>
        <v>22151740291</v>
      </c>
      <c r="G1062" s="13" t="s">
        <v>4680</v>
      </c>
      <c r="H1062" s="13" t="s">
        <v>35</v>
      </c>
      <c r="I1062" s="13" t="str">
        <f aca="false">IF(C1062=J1062,"NEW KONTRAK","RE-KONTRAK")</f>
        <v>RE-KONTRAK</v>
      </c>
      <c r="J1062" s="16" t="n">
        <f aca="false" t="array" ref="J1062:J1062">IFERROR(INDEX(AC1062:AE1062,IF(COUNTA(AC1062:AE1062)=0,"",MAX((AC1062:AE1062&lt;&gt;"")*(COLUMN(AC1062:AE1062)-(COLUMN(AC1062)))))-1),"")</f>
        <v>45672</v>
      </c>
      <c r="K1062" s="16" t="n">
        <f aca="false" t="array" ref="K1062:K1062">IFERROR(INDEX(AC1062:AE1062,IF(COUNTA(AC1062:AE1062)=0,"",MAX((AC1062:AE1062&lt;&gt;"")*(COLUMN(AC1062:AE1062)-(COLUMN(AC1062)-1))))-1),"")</f>
        <v>46036</v>
      </c>
      <c r="L1062" s="17" t="str">
        <f aca="false" t="array" ref="L1062:L1062">IFERROR(INDEX(AC1062:AE1062,IF(COUNTA(AC1062:AE1062)=0,"",MAX((AC1062:AE1062&lt;&gt;"")*(COLUMN(AC1062:AE1062)-(COLUMN(AC1062)-2))))-1),"")</f>
        <v>ARCHIVED</v>
      </c>
      <c r="M1062" s="13" t="n">
        <f aca="true">K1062-TODAY()</f>
        <v>-288</v>
      </c>
      <c r="N1062" s="18" t="s">
        <v>105</v>
      </c>
      <c r="O1062" s="13" t="s">
        <v>106</v>
      </c>
      <c r="P1062" s="19" t="n">
        <v>132300</v>
      </c>
      <c r="Q1062" s="20" t="s">
        <v>4681</v>
      </c>
      <c r="R1062" s="13" t="s">
        <v>39</v>
      </c>
      <c r="S1062" s="25" t="n">
        <v>37852</v>
      </c>
      <c r="T1062" s="13" t="s">
        <v>108</v>
      </c>
      <c r="U1062" s="13" t="s">
        <v>4682</v>
      </c>
      <c r="V1062" s="13" t="s">
        <v>42</v>
      </c>
      <c r="W1062" s="13" t="s">
        <v>43</v>
      </c>
      <c r="X1062" s="21" t="n">
        <v>81703780026</v>
      </c>
      <c r="Y1062" s="22" t="str">
        <f aca="false">O1062</f>
        <v>Produksi - Helper</v>
      </c>
      <c r="Z1062" s="13" t="str">
        <f aca="false">IFERROR(__xludf.dummyfunction("if(BJ1062="""","""",GOOGLETRANSLATE(BJ1062,""auto"",""en""))"),"Production - Helper")</f>
        <v>Production - Helper</v>
      </c>
      <c r="AA1062" s="23" t="str">
        <f aca="false">IF(C1062="","", CHOOSE(MONTH(C1062),"January","February","March","April","May","June","July","August","September","October","November","December")&amp;" "&amp;DAY(C1062)&amp;MID("thstndrdth",MIN(9,2*RIGHT(DAY(C1062))*(MOD(DAY(C1062)-11,100)&gt;2)+1),2)&amp;","&amp;TEXT(C1062," yyyy"))</f>
        <v>June 1st,2023</v>
      </c>
      <c r="AB1062" s="15" t="str">
        <f aca="true">IF(S1062="","",DATEDIF(S1062,TODAY(),"Y")&amp;" Tahun, "&amp;DATEDIF(S1062,TODAY(),"YM")&amp;" Bulan, "&amp;DATEDIF(S1062,TODAY(),"MD")&amp;" Hari")</f>
        <v>23 Tahun, 2 Bulan, 10 Hari</v>
      </c>
      <c r="AC1062" s="18" t="n">
        <v>45672</v>
      </c>
      <c r="AD1062" s="18" t="n">
        <v>46036</v>
      </c>
      <c r="AE1062" s="18" t="s">
        <v>44</v>
      </c>
    </row>
    <row r="1063" customFormat="false" ht="15.75" hidden="false" customHeight="true" outlineLevel="0" collapsed="false">
      <c r="A1063" s="12" t="n">
        <v>10891</v>
      </c>
      <c r="B1063" s="13" t="s">
        <v>4683</v>
      </c>
      <c r="C1063" s="14" t="n">
        <v>45078</v>
      </c>
      <c r="D1063" s="13" t="s">
        <v>101</v>
      </c>
      <c r="E1063" s="15" t="s">
        <v>102</v>
      </c>
      <c r="F1063" s="15" t="str">
        <f aca="false">IFERROR(__xludf.dummyfunction("XLOOKUP(AJ1063,IMPORTRANGE(""1XaInW9DU9nz21V0tYIfzFQ0He9kVQ_JF2mCXgZ3hqFA"",""REKAP ALL 2026 - Andika!G:G""),IMPORTRANGE(""1XaInW9DU9nz21V0tYIfzFQ0He9kVQ_JF2mCXgZ3hqFA"",""REKAP ALL 2026 - Andika!F:F""),"""",0)"),"23076924317")</f>
        <v>23076924317</v>
      </c>
      <c r="G1063" s="13" t="s">
        <v>4684</v>
      </c>
      <c r="H1063" s="13" t="s">
        <v>35</v>
      </c>
      <c r="I1063" s="13" t="str">
        <f aca="false">IF(C1063=J1063,"NEW KONTRAK","RE-KONTRAK")</f>
        <v>RE-KONTRAK</v>
      </c>
      <c r="J1063" s="16" t="n">
        <f aca="false" t="array" ref="J1063:J1063">IFERROR(INDEX(AC1063:AE1063,IF(COUNTA(AC1063:AE1063)=0,"",MAX((AC1063:AE1063&lt;&gt;"")*(COLUMN(AC1063:AE1063)-(COLUMN(AC1063)))))-1),"")</f>
        <v>45672</v>
      </c>
      <c r="K1063" s="16" t="n">
        <f aca="false" t="array" ref="K1063:K1063">IFERROR(INDEX(AC1063:AE1063,IF(COUNTA(AC1063:AE1063)=0,"",MAX((AC1063:AE1063&lt;&gt;"")*(COLUMN(AC1063:AE1063)-(COLUMN(AC1063)-1))))-1),"")</f>
        <v>46036</v>
      </c>
      <c r="L1063" s="17" t="str">
        <f aca="false" t="array" ref="L1063:L1063">IFERROR(INDEX(AC1063:AE1063,IF(COUNTA(AC1063:AE1063)=0,"",MAX((AC1063:AE1063&lt;&gt;"")*(COLUMN(AC1063:AE1063)-(COLUMN(AC1063)-2))))-1),"")</f>
        <v>ARCHIVED</v>
      </c>
      <c r="M1063" s="13" t="n">
        <f aca="true">K1063-TODAY()</f>
        <v>-288</v>
      </c>
      <c r="N1063" s="18" t="s">
        <v>105</v>
      </c>
      <c r="O1063" s="13" t="s">
        <v>106</v>
      </c>
      <c r="P1063" s="19" t="n">
        <v>132300</v>
      </c>
      <c r="Q1063" s="20" t="s">
        <v>4685</v>
      </c>
      <c r="R1063" s="13" t="s">
        <v>52</v>
      </c>
      <c r="S1063" s="25" t="n">
        <v>34941</v>
      </c>
      <c r="T1063" s="13" t="s">
        <v>40</v>
      </c>
      <c r="U1063" s="13" t="s">
        <v>4686</v>
      </c>
      <c r="V1063" s="13" t="s">
        <v>42</v>
      </c>
      <c r="W1063" s="13" t="s">
        <v>54</v>
      </c>
      <c r="X1063" s="21" t="n">
        <v>81267152615</v>
      </c>
      <c r="Y1063" s="22" t="str">
        <f aca="false">O1063</f>
        <v>Produksi - Helper</v>
      </c>
      <c r="Z1063" s="13" t="str">
        <f aca="false">IFERROR(__xludf.dummyfunction("if(BJ1063="""","""",GOOGLETRANSLATE(BJ1063,""auto"",""en""))"),"Production - Helper")</f>
        <v>Production - Helper</v>
      </c>
      <c r="AA1063" s="23" t="str">
        <f aca="false">IF(C1063="","", CHOOSE(MONTH(C1063),"January","February","March","April","May","June","July","August","September","October","November","December")&amp;" "&amp;DAY(C1063)&amp;MID("thstndrdth",MIN(9,2*RIGHT(DAY(C1063))*(MOD(DAY(C1063)-11,100)&gt;2)+1),2)&amp;","&amp;TEXT(C1063," yyyy"))</f>
        <v>June 1st,2023</v>
      </c>
      <c r="AB1063" s="15" t="str">
        <f aca="true">IF(S1063="","",DATEDIF(S1063,TODAY(),"Y")&amp;" Tahun, "&amp;DATEDIF(S1063,TODAY(),"YM")&amp;" Bulan, "&amp;DATEDIF(S1063,TODAY(),"MD")&amp;" Hari")</f>
        <v>31 Tahun, 1 Bulan, 29 Hari</v>
      </c>
      <c r="AC1063" s="18" t="n">
        <v>45672</v>
      </c>
      <c r="AD1063" s="18" t="n">
        <v>46036</v>
      </c>
      <c r="AE1063" s="18" t="s">
        <v>44</v>
      </c>
    </row>
    <row r="1064" customFormat="false" ht="15.75" hidden="false" customHeight="true" outlineLevel="0" collapsed="false">
      <c r="A1064" s="12" t="n">
        <v>10897</v>
      </c>
      <c r="B1064" s="13" t="s">
        <v>4687</v>
      </c>
      <c r="C1064" s="14" t="n">
        <v>45078</v>
      </c>
      <c r="D1064" s="13" t="s">
        <v>101</v>
      </c>
      <c r="E1064" s="15" t="s">
        <v>33</v>
      </c>
      <c r="F1064" s="24" t="s">
        <v>4688</v>
      </c>
      <c r="G1064" s="13" t="s">
        <v>4689</v>
      </c>
      <c r="H1064" s="13" t="s">
        <v>35</v>
      </c>
      <c r="I1064" s="13" t="str">
        <f aca="false">IF(C1064=J1064,"NEW KONTRAK","RE-KONTRAK")</f>
        <v>RE-KONTRAK</v>
      </c>
      <c r="J1064" s="16" t="n">
        <f aca="false" t="array" ref="J1064:J1064">IFERROR(INDEX(AC1064:AE1064,IF(COUNTA(AC1064:AE1064)=0,"",MAX((AC1064:AE1064&lt;&gt;"")*(COLUMN(AC1064:AE1064)-(COLUMN(AC1064)))))-1),"")</f>
        <v>45672</v>
      </c>
      <c r="K1064" s="16" t="n">
        <f aca="false" t="array" ref="K1064:K1064">IFERROR(INDEX(AC1064:AE1064,IF(COUNTA(AC1064:AE1064)=0,"",MAX((AC1064:AE1064&lt;&gt;"")*(COLUMN(AC1064:AE1064)-(COLUMN(AC1064)-1))))-1),"")</f>
        <v>46036</v>
      </c>
      <c r="L1064" s="17" t="str">
        <f aca="false" t="array" ref="L1064:L1064">IFERROR(INDEX(AC1064:AE1064,IF(COUNTA(AC1064:AE1064)=0,"",MAX((AC1064:AE1064&lt;&gt;"")*(COLUMN(AC1064:AE1064)-(COLUMN(AC1064)-2))))-1),"")</f>
        <v>ARCHIVED</v>
      </c>
      <c r="M1064" s="13" t="n">
        <f aca="true">K1064-TODAY()</f>
        <v>-288</v>
      </c>
      <c r="N1064" s="18" t="s">
        <v>105</v>
      </c>
      <c r="O1064" s="13" t="s">
        <v>58</v>
      </c>
      <c r="P1064" s="19" t="n">
        <v>126000</v>
      </c>
      <c r="Q1064" s="20" t="s">
        <v>4690</v>
      </c>
      <c r="R1064" s="13" t="s">
        <v>39</v>
      </c>
      <c r="S1064" s="25" t="n">
        <v>38307</v>
      </c>
      <c r="T1064" s="13" t="s">
        <v>40</v>
      </c>
      <c r="U1064" s="13" t="s">
        <v>4691</v>
      </c>
      <c r="V1064" s="13" t="s">
        <v>42</v>
      </c>
      <c r="W1064" s="13" t="s">
        <v>43</v>
      </c>
      <c r="X1064" s="21" t="n">
        <v>81333529126</v>
      </c>
      <c r="Y1064" s="22" t="str">
        <f aca="false">O1064</f>
        <v>Produksi</v>
      </c>
      <c r="Z1064" s="13" t="str">
        <f aca="false">IFERROR(__xludf.dummyfunction("if(BJ1064="""","""",GOOGLETRANSLATE(BJ1064,""auto"",""en""))"),"Production")</f>
        <v>Production</v>
      </c>
      <c r="AA1064" s="23" t="str">
        <f aca="false">IF(C1064="","", CHOOSE(MONTH(C1064),"January","February","March","April","May","June","July","August","September","October","November","December")&amp;" "&amp;DAY(C1064)&amp;MID("thstndrdth",MIN(9,2*RIGHT(DAY(C1064))*(MOD(DAY(C1064)-11,100)&gt;2)+1),2)&amp;","&amp;TEXT(C1064," yyyy"))</f>
        <v>June 1st,2023</v>
      </c>
      <c r="AB1064" s="15" t="str">
        <f aca="true">IF(S1064="","",DATEDIF(S1064,TODAY(),"Y")&amp;" Tahun, "&amp;DATEDIF(S1064,TODAY(),"YM")&amp;" Bulan, "&amp;DATEDIF(S1064,TODAY(),"MD")&amp;" Hari")</f>
        <v>21 Tahun, 11 Bulan, 13 Hari</v>
      </c>
      <c r="AC1064" s="18" t="n">
        <v>45672</v>
      </c>
      <c r="AD1064" s="18" t="n">
        <v>46036</v>
      </c>
      <c r="AE1064" s="18" t="s">
        <v>44</v>
      </c>
    </row>
    <row r="1065" customFormat="false" ht="15.75" hidden="false" customHeight="true" outlineLevel="0" collapsed="false">
      <c r="A1065" s="12" t="n">
        <v>1919</v>
      </c>
      <c r="B1065" s="13" t="s">
        <v>4692</v>
      </c>
      <c r="C1065" s="14" t="n">
        <v>43845</v>
      </c>
      <c r="D1065" s="13" t="s">
        <v>101</v>
      </c>
      <c r="E1065" s="15" t="s">
        <v>47</v>
      </c>
      <c r="F1065" s="15" t="str">
        <f aca="false">IFERROR(__xludf.dummyfunction("XLOOKUP(AJ1065,IMPORTRANGE(""1XaInW9DU9nz21V0tYIfzFQ0He9kVQ_JF2mCXgZ3hqFA"",""REKAP ALL 2026 - Andika!G:G""),IMPORTRANGE(""1XaInW9DU9nz21V0tYIfzFQ0He9kVQ_JF2mCXgZ3hqFA"",""REKAP ALL 2026 - Andika!F:F""),"""",0)"),"20021313927")</f>
        <v>20021313927</v>
      </c>
      <c r="G1065" s="13" t="s">
        <v>4693</v>
      </c>
      <c r="H1065" s="13" t="s">
        <v>35</v>
      </c>
      <c r="I1065" s="13" t="str">
        <f aca="false">IF(C1065=J1065,"NEW KONTRAK","RE-KONTRAK")</f>
        <v>RE-KONTRAK</v>
      </c>
      <c r="J1065" s="16" t="n">
        <f aca="false" t="array" ref="J1065:J1065">IFERROR(INDEX(AC1065:AE1065,IF(COUNTA(AC1065:AE1065)=0,"",MAX((AC1065:AE1065&lt;&gt;"")*(COLUMN(AC1065:AE1065)-(COLUMN(AC1065)))))-1),"")</f>
        <v>45672</v>
      </c>
      <c r="K1065" s="16" t="n">
        <f aca="false" t="array" ref="K1065:K1065">IFERROR(INDEX(AC1065:AE1065,IF(COUNTA(AC1065:AE1065)=0,"",MAX((AC1065:AE1065&lt;&gt;"")*(COLUMN(AC1065:AE1065)-(COLUMN(AC1065)-1))))-1),"")</f>
        <v>46036</v>
      </c>
      <c r="L1065" s="17" t="str">
        <f aca="false" t="array" ref="L1065:L1065">IFERROR(INDEX(AC1065:AE1065,IF(COUNTA(AC1065:AE1065)=0,"",MAX((AC1065:AE1065&lt;&gt;"")*(COLUMN(AC1065:AE1065)-(COLUMN(AC1065)-2))))-1),"")</f>
        <v>ARCHIVED</v>
      </c>
      <c r="M1065" s="13" t="n">
        <f aca="true">K1065-TODAY()</f>
        <v>-288</v>
      </c>
      <c r="N1065" s="18" t="s">
        <v>105</v>
      </c>
      <c r="O1065" s="13" t="s">
        <v>106</v>
      </c>
      <c r="P1065" s="31" t="n">
        <v>138915</v>
      </c>
      <c r="Q1065" s="20" t="s">
        <v>4694</v>
      </c>
      <c r="R1065" s="13" t="s">
        <v>39</v>
      </c>
      <c r="S1065" s="25" t="n">
        <v>36713</v>
      </c>
      <c r="T1065" s="13" t="s">
        <v>40</v>
      </c>
      <c r="U1065" s="13" t="s">
        <v>4695</v>
      </c>
      <c r="V1065" s="13" t="s">
        <v>42</v>
      </c>
      <c r="W1065" s="13" t="s">
        <v>43</v>
      </c>
      <c r="X1065" s="21" t="n">
        <v>87765497316</v>
      </c>
      <c r="Y1065" s="22" t="str">
        <f aca="false">O1065</f>
        <v>Produksi - Helper</v>
      </c>
      <c r="Z1065" s="13" t="str">
        <f aca="false">IFERROR(__xludf.dummyfunction("if(BJ1065="""","""",GOOGLETRANSLATE(BJ1065,""auto"",""en""))"),"Production - Helper")</f>
        <v>Production - Helper</v>
      </c>
      <c r="AA1065" s="23" t="str">
        <f aca="false">IF(C1065="","", CHOOSE(MONTH(C1065),"January","February","March","April","May","June","July","August","September","October","November","December")&amp;" "&amp;DAY(C1065)&amp;MID("thstndrdth",MIN(9,2*RIGHT(DAY(C1065))*(MOD(DAY(C1065)-11,100)&gt;2)+1),2)&amp;","&amp;TEXT(C1065," yyyy"))</f>
        <v>January 15th,2020</v>
      </c>
      <c r="AB1065" s="15" t="str">
        <f aca="true">IF(S1065="","",DATEDIF(S1065,TODAY(),"Y")&amp;" Tahun, "&amp;DATEDIF(S1065,TODAY(),"YM")&amp;" Bulan, "&amp;DATEDIF(S1065,TODAY(),"MD")&amp;" Hari")</f>
        <v>26 Tahun, 3 Bulan, 23 Hari</v>
      </c>
      <c r="AC1065" s="18" t="n">
        <v>45672</v>
      </c>
      <c r="AD1065" s="18" t="n">
        <v>46036</v>
      </c>
      <c r="AE1065" s="18" t="s">
        <v>44</v>
      </c>
    </row>
    <row r="1066" customFormat="false" ht="15.75" hidden="false" customHeight="true" outlineLevel="0" collapsed="false">
      <c r="A1066" s="12" t="n">
        <v>10904</v>
      </c>
      <c r="B1066" s="13" t="s">
        <v>3373</v>
      </c>
      <c r="C1066" s="14" t="n">
        <v>45083</v>
      </c>
      <c r="D1066" s="13" t="s">
        <v>4696</v>
      </c>
      <c r="E1066" s="15" t="s">
        <v>47</v>
      </c>
      <c r="F1066" s="15" t="str">
        <f aca="false">IFERROR(__xludf.dummyfunction("XLOOKUP(AJ1066,IMPORTRANGE(""1XaInW9DU9nz21V0tYIfzFQ0He9kVQ_JF2mCXgZ3hqFA"",""REKAP ALL 2026 - Andika!G:G""),IMPORTRANGE(""1XaInW9DU9nz21V0tYIfzFQ0He9kVQ_JF2mCXgZ3hqFA"",""REKAP ALL 2026 - Andika!F:F""),"""",0)"),"23076922394")</f>
        <v>23076922394</v>
      </c>
      <c r="G1066" s="13" t="s">
        <v>4697</v>
      </c>
      <c r="H1066" s="13" t="s">
        <v>35</v>
      </c>
      <c r="I1066" s="13" t="str">
        <f aca="false">IF(C1066=J1066,"NEW KONTRAK","RE-KONTRAK")</f>
        <v>RE-KONTRAK</v>
      </c>
      <c r="J1066" s="16" t="n">
        <f aca="false" t="array" ref="J1066:J1066">IFERROR(INDEX(AC1066:AE1066,IF(COUNTA(AC1066:AE1066)=0,"",MAX((AC1066:AE1066&lt;&gt;"")*(COLUMN(AC1066:AE1066)-(COLUMN(AC1066)))))-1),"")</f>
        <v>45814</v>
      </c>
      <c r="K1066" s="16" t="n">
        <f aca="false" t="array" ref="K1066:K1066">IFERROR(INDEX(AC1066:AE1066,IF(COUNTA(AC1066:AE1066)=0,"",MAX((AC1066:AE1066&lt;&gt;"")*(COLUMN(AC1066:AE1066)-(COLUMN(AC1066)-1))))-1),"")</f>
        <v>46178</v>
      </c>
      <c r="L1066" s="17" t="str">
        <f aca="false" t="array" ref="L1066:L1066">IFERROR(INDEX(AC1066:AE1066,IF(COUNTA(AC1066:AE1066)=0,"",MAX((AC1066:AE1066&lt;&gt;"")*(COLUMN(AC1066:AE1066)-(COLUMN(AC1066)-2))))-1),"")</f>
        <v>ARCHIVED</v>
      </c>
      <c r="M1066" s="13" t="n">
        <f aca="true">K1066-TODAY()</f>
        <v>-146</v>
      </c>
      <c r="N1066" s="18" t="s">
        <v>36</v>
      </c>
      <c r="O1066" s="13" t="s">
        <v>3097</v>
      </c>
      <c r="P1066" s="19" t="n">
        <v>5195401</v>
      </c>
      <c r="Q1066" s="20" t="s">
        <v>4698</v>
      </c>
      <c r="R1066" s="13" t="s">
        <v>78</v>
      </c>
      <c r="S1066" s="14" t="n">
        <v>33355</v>
      </c>
      <c r="T1066" s="13" t="s">
        <v>40</v>
      </c>
      <c r="U1066" s="13" t="s">
        <v>4699</v>
      </c>
      <c r="V1066" s="13" t="s">
        <v>42</v>
      </c>
      <c r="W1066" s="13" t="s">
        <v>43</v>
      </c>
      <c r="X1066" s="21" t="n">
        <v>82211114142</v>
      </c>
      <c r="Y1066" s="22" t="str">
        <f aca="false">O1066</f>
        <v>Engineering</v>
      </c>
      <c r="Z1066" s="13" t="str">
        <f aca="false">IFERROR(__xludf.dummyfunction("if(BJ1066="""","""",GOOGLETRANSLATE(BJ1066,""auto"",""en""))"),"Engineering")</f>
        <v>Engineering</v>
      </c>
      <c r="AA1066" s="23" t="str">
        <f aca="false">IF(C1066="","", CHOOSE(MONTH(C1066),"January","February","March","April","May","June","July","August","September","October","November","December")&amp;" "&amp;DAY(C1066)&amp;MID("thstndrdth",MIN(9,2*RIGHT(DAY(C1066))*(MOD(DAY(C1066)-11,100)&gt;2)+1),2)&amp;","&amp;TEXT(C1066," yyyy"))</f>
        <v>June 6th,2023</v>
      </c>
      <c r="AB1066" s="15" t="str">
        <f aca="true">IF(S1066="","",DATEDIF(S1066,TODAY(),"Y")&amp;" Tahun, "&amp;DATEDIF(S1066,TODAY(),"YM")&amp;" Bulan, "&amp;DATEDIF(S1066,TODAY(),"MD")&amp;" Hari")</f>
        <v>35 Tahun, 6 Bulan, 2 Hari</v>
      </c>
      <c r="AC1066" s="18" t="n">
        <v>45814</v>
      </c>
      <c r="AD1066" s="18" t="n">
        <v>46178</v>
      </c>
      <c r="AE1066" s="18" t="s">
        <v>44</v>
      </c>
    </row>
    <row r="1067" customFormat="false" ht="15.75" hidden="false" customHeight="true" outlineLevel="0" collapsed="false">
      <c r="A1067" s="12" t="n">
        <v>10905</v>
      </c>
      <c r="B1067" s="13" t="s">
        <v>4700</v>
      </c>
      <c r="C1067" s="14" t="n">
        <v>45083</v>
      </c>
      <c r="D1067" s="13" t="s">
        <v>4696</v>
      </c>
      <c r="E1067" s="15" t="s">
        <v>47</v>
      </c>
      <c r="F1067" s="15" t="str">
        <f aca="false">IFERROR(__xludf.dummyfunction("XLOOKUP(AJ1067,IMPORTRANGE(""1XaInW9DU9nz21V0tYIfzFQ0He9kVQ_JF2mCXgZ3hqFA"",""REKAP ALL 2026 - Andika!G:G""),IMPORTRANGE(""1XaInW9DU9nz21V0tYIfzFQ0He9kVQ_JF2mCXgZ3hqFA"",""REKAP ALL 2026 - Andika!F:F""),"""",0)"),"23076922246")</f>
        <v>23076922246</v>
      </c>
      <c r="G1067" s="13" t="s">
        <v>4701</v>
      </c>
      <c r="H1067" s="13" t="s">
        <v>35</v>
      </c>
      <c r="I1067" s="13" t="str">
        <f aca="false">IF(C1067=J1067,"NEW KONTRAK","RE-KONTRAK")</f>
        <v>RE-KONTRAK</v>
      </c>
      <c r="J1067" s="16" t="n">
        <f aca="false" t="array" ref="J1067:J1067">IFERROR(INDEX(AC1067:AE1067,IF(COUNTA(AC1067:AE1067)=0,"",MAX((AC1067:AE1067&lt;&gt;"")*(COLUMN(AC1067:AE1067)-(COLUMN(AC1067)))))-1),"")</f>
        <v>45814</v>
      </c>
      <c r="K1067" s="16" t="n">
        <f aca="false" t="array" ref="K1067:K1067">IFERROR(INDEX(AC1067:AE1067,IF(COUNTA(AC1067:AE1067)=0,"",MAX((AC1067:AE1067&lt;&gt;"")*(COLUMN(AC1067:AE1067)-(COLUMN(AC1067)-1))))-1),"")</f>
        <v>46178</v>
      </c>
      <c r="L1067" s="17" t="str">
        <f aca="false" t="array" ref="L1067:L1067">IFERROR(INDEX(AC1067:AE1067,IF(COUNTA(AC1067:AE1067)=0,"",MAX((AC1067:AE1067&lt;&gt;"")*(COLUMN(AC1067:AE1067)-(COLUMN(AC1067)-2))))-1),"")</f>
        <v>ARCHIVED</v>
      </c>
      <c r="M1067" s="13" t="n">
        <f aca="true">K1067-TODAY()</f>
        <v>-146</v>
      </c>
      <c r="N1067" s="18" t="s">
        <v>36</v>
      </c>
      <c r="O1067" s="13" t="s">
        <v>3097</v>
      </c>
      <c r="P1067" s="19" t="n">
        <v>5195401</v>
      </c>
      <c r="Q1067" s="20" t="s">
        <v>4702</v>
      </c>
      <c r="R1067" s="13" t="s">
        <v>879</v>
      </c>
      <c r="S1067" s="14" t="n">
        <v>34850</v>
      </c>
      <c r="T1067" s="13" t="s">
        <v>40</v>
      </c>
      <c r="U1067" s="13" t="s">
        <v>4703</v>
      </c>
      <c r="V1067" s="13" t="s">
        <v>42</v>
      </c>
      <c r="W1067" s="13" t="s">
        <v>54</v>
      </c>
      <c r="X1067" s="21" t="n">
        <v>83144467712</v>
      </c>
      <c r="Y1067" s="22" t="str">
        <f aca="false">O1067</f>
        <v>Engineering</v>
      </c>
      <c r="Z1067" s="13" t="str">
        <f aca="false">IFERROR(__xludf.dummyfunction("if(BJ1067="""","""",GOOGLETRANSLATE(BJ1067,""auto"",""en""))"),"Engineering")</f>
        <v>Engineering</v>
      </c>
      <c r="AA1067" s="23" t="str">
        <f aca="false">IF(C1067="","", CHOOSE(MONTH(C1067),"January","February","March","April","May","June","July","August","September","October","November","December")&amp;" "&amp;DAY(C1067)&amp;MID("thstndrdth",MIN(9,2*RIGHT(DAY(C1067))*(MOD(DAY(C1067)-11,100)&gt;2)+1),2)&amp;","&amp;TEXT(C1067," yyyy"))</f>
        <v>June 6th,2023</v>
      </c>
      <c r="AB1067" s="15" t="str">
        <f aca="true">IF(S1067="","",DATEDIF(S1067,TODAY(),"Y")&amp;" Tahun, "&amp;DATEDIF(S1067,TODAY(),"YM")&amp;" Bulan, "&amp;DATEDIF(S1067,TODAY(),"MD")&amp;" Hari")</f>
        <v>31 Tahun, 4 Bulan, 28 Hari</v>
      </c>
      <c r="AC1067" s="18" t="n">
        <v>45814</v>
      </c>
      <c r="AD1067" s="18" t="n">
        <v>46178</v>
      </c>
      <c r="AE1067" s="18" t="s">
        <v>44</v>
      </c>
    </row>
    <row r="1068" customFormat="false" ht="15.75" hidden="false" customHeight="true" outlineLevel="0" collapsed="false">
      <c r="A1068" s="12" t="n">
        <v>10906</v>
      </c>
      <c r="B1068" s="13" t="s">
        <v>4704</v>
      </c>
      <c r="C1068" s="14" t="n">
        <v>45083</v>
      </c>
      <c r="D1068" s="13" t="s">
        <v>4696</v>
      </c>
      <c r="E1068" s="15" t="s">
        <v>47</v>
      </c>
      <c r="F1068" s="15" t="str">
        <f aca="false">IFERROR(__xludf.dummyfunction("XLOOKUP(AJ1068,IMPORTRANGE(""1XaInW9DU9nz21V0tYIfzFQ0He9kVQ_JF2mCXgZ3hqFA"",""REKAP ALL 2026 - Andika!G:G""),IMPORTRANGE(""1XaInW9DU9nz21V0tYIfzFQ0He9kVQ_JF2mCXgZ3hqFA"",""REKAP ALL 2026 - Andika!F:F""),"""",0)"),"23076922329")</f>
        <v>23076922329</v>
      </c>
      <c r="G1068" s="13" t="s">
        <v>4705</v>
      </c>
      <c r="H1068" s="13" t="s">
        <v>35</v>
      </c>
      <c r="I1068" s="13" t="str">
        <f aca="false">IF(C1068=J1068,"NEW KONTRAK","RE-KONTRAK")</f>
        <v>RE-KONTRAK</v>
      </c>
      <c r="J1068" s="16" t="n">
        <f aca="false" t="array" ref="J1068:J1068">IFERROR(INDEX(AC1068:AE1068,IF(COUNTA(AC1068:AE1068)=0,"",MAX((AC1068:AE1068&lt;&gt;"")*(COLUMN(AC1068:AE1068)-(COLUMN(AC1068)))))-1),"")</f>
        <v>45814</v>
      </c>
      <c r="K1068" s="16" t="n">
        <f aca="false" t="array" ref="K1068:K1068">IFERROR(INDEX(AC1068:AE1068,IF(COUNTA(AC1068:AE1068)=0,"",MAX((AC1068:AE1068&lt;&gt;"")*(COLUMN(AC1068:AE1068)-(COLUMN(AC1068)-1))))-1),"")</f>
        <v>46178</v>
      </c>
      <c r="L1068" s="17" t="str">
        <f aca="false" t="array" ref="L1068:L1068">IFERROR(INDEX(AC1068:AE1068,IF(COUNTA(AC1068:AE1068)=0,"",MAX((AC1068:AE1068&lt;&gt;"")*(COLUMN(AC1068:AE1068)-(COLUMN(AC1068)-2))))-1),"")</f>
        <v>ARCHIVED</v>
      </c>
      <c r="M1068" s="13" t="n">
        <f aca="true">K1068-TODAY()</f>
        <v>-146</v>
      </c>
      <c r="N1068" s="18" t="s">
        <v>36</v>
      </c>
      <c r="O1068" s="13" t="s">
        <v>3097</v>
      </c>
      <c r="P1068" s="19" t="n">
        <v>5195401</v>
      </c>
      <c r="Q1068" s="20" t="s">
        <v>4706</v>
      </c>
      <c r="R1068" s="13" t="s">
        <v>65</v>
      </c>
      <c r="S1068" s="14" t="n">
        <v>37466</v>
      </c>
      <c r="T1068" s="13" t="s">
        <v>40</v>
      </c>
      <c r="U1068" s="13" t="s">
        <v>4707</v>
      </c>
      <c r="V1068" s="13" t="s">
        <v>42</v>
      </c>
      <c r="W1068" s="13" t="s">
        <v>43</v>
      </c>
      <c r="X1068" s="21" t="n">
        <v>85852274582</v>
      </c>
      <c r="Y1068" s="22" t="str">
        <f aca="false">O1068</f>
        <v>Engineering</v>
      </c>
      <c r="Z1068" s="13" t="str">
        <f aca="false">IFERROR(__xludf.dummyfunction("if(BJ1068="""","""",GOOGLETRANSLATE(BJ1068,""auto"",""en""))"),"Engineering")</f>
        <v>Engineering</v>
      </c>
      <c r="AA1068" s="23" t="str">
        <f aca="false">IF(C1068="","", CHOOSE(MONTH(C1068),"January","February","March","April","May","June","July","August","September","October","November","December")&amp;" "&amp;DAY(C1068)&amp;MID("thstndrdth",MIN(9,2*RIGHT(DAY(C1068))*(MOD(DAY(C1068)-11,100)&gt;2)+1),2)&amp;","&amp;TEXT(C1068," yyyy"))</f>
        <v>June 6th,2023</v>
      </c>
      <c r="AB1068" s="15" t="str">
        <f aca="true">IF(S1068="","",DATEDIF(S1068,TODAY(),"Y")&amp;" Tahun, "&amp;DATEDIF(S1068,TODAY(),"YM")&amp;" Bulan, "&amp;DATEDIF(S1068,TODAY(),"MD")&amp;" Hari")</f>
        <v>24 Tahun, 3 Bulan, 0 Hari</v>
      </c>
      <c r="AC1068" s="18" t="n">
        <v>45814</v>
      </c>
      <c r="AD1068" s="18" t="n">
        <v>46178</v>
      </c>
      <c r="AE1068" s="18" t="s">
        <v>44</v>
      </c>
    </row>
    <row r="1069" customFormat="false" ht="15.75" hidden="false" customHeight="true" outlineLevel="0" collapsed="false">
      <c r="A1069" s="12" t="n">
        <v>10911</v>
      </c>
      <c r="B1069" s="13" t="s">
        <v>4708</v>
      </c>
      <c r="C1069" s="14" t="n">
        <v>45083</v>
      </c>
      <c r="D1069" s="13" t="s">
        <v>144</v>
      </c>
      <c r="E1069" s="15" t="s">
        <v>33</v>
      </c>
      <c r="F1069" s="24" t="s">
        <v>4709</v>
      </c>
      <c r="G1069" s="13" t="s">
        <v>4710</v>
      </c>
      <c r="H1069" s="13" t="s">
        <v>35</v>
      </c>
      <c r="I1069" s="13" t="str">
        <f aca="false">IF(C1069=J1069,"NEW KONTRAK","RE-KONTRAK")</f>
        <v>RE-KONTRAK</v>
      </c>
      <c r="J1069" s="16" t="n">
        <f aca="false" t="array" ref="J1069:J1069">IFERROR(INDEX(AC1069:AE1069,IF(COUNTA(AC1069:AE1069)=0,"",MAX((AC1069:AE1069&lt;&gt;"")*(COLUMN(AC1069:AE1069)-(COLUMN(AC1069)))))-1),"")</f>
        <v>45658</v>
      </c>
      <c r="K1069" s="16" t="n">
        <f aca="false" t="array" ref="K1069:K1069">IFERROR(INDEX(AC1069:AE1069,IF(COUNTA(AC1069:AE1069)=0,"",MAX((AC1069:AE1069&lt;&gt;"")*(COLUMN(AC1069:AE1069)-(COLUMN(AC1069)-1))))-1),"")</f>
        <v>46022</v>
      </c>
      <c r="L1069" s="17" t="str">
        <f aca="false" t="array" ref="L1069:L1069">IFERROR(INDEX(AC1069:AE1069,IF(COUNTA(AC1069:AE1069)=0,"",MAX((AC1069:AE1069&lt;&gt;"")*(COLUMN(AC1069:AE1069)-(COLUMN(AC1069)-2))))-1),"")</f>
        <v>ARCHIVED</v>
      </c>
      <c r="M1069" s="13" t="n">
        <f aca="true">K1069-TODAY()</f>
        <v>-302</v>
      </c>
      <c r="N1069" s="18" t="s">
        <v>36</v>
      </c>
      <c r="O1069" s="13" t="s">
        <v>211</v>
      </c>
      <c r="P1069" s="19" t="n">
        <v>5195401</v>
      </c>
      <c r="Q1069" s="20" t="s">
        <v>4711</v>
      </c>
      <c r="R1069" s="13" t="s">
        <v>148</v>
      </c>
      <c r="S1069" s="14" t="n">
        <v>36021</v>
      </c>
      <c r="T1069" s="13" t="s">
        <v>40</v>
      </c>
      <c r="U1069" s="13" t="s">
        <v>4712</v>
      </c>
      <c r="V1069" s="13" t="s">
        <v>42</v>
      </c>
      <c r="W1069" s="13" t="s">
        <v>54</v>
      </c>
      <c r="X1069" s="21" t="n">
        <v>81525739719</v>
      </c>
      <c r="Y1069" s="22" t="str">
        <f aca="false">O1069</f>
        <v>FG Store</v>
      </c>
      <c r="Z1069" s="13" t="str">
        <f aca="false">IFERROR(__xludf.dummyfunction("if(BJ1069="""","""",GOOGLETRANSLATE(BJ1069,""auto"",""en""))"),"FG Store")</f>
        <v>FG Store</v>
      </c>
      <c r="AA1069" s="23" t="str">
        <f aca="false">IF(C1069="","", CHOOSE(MONTH(C1069),"January","February","March","April","May","June","July","August","September","October","November","December")&amp;" "&amp;DAY(C1069)&amp;MID("thstndrdth",MIN(9,2*RIGHT(DAY(C1069))*(MOD(DAY(C1069)-11,100)&gt;2)+1),2)&amp;","&amp;TEXT(C1069," yyyy"))</f>
        <v>June 6th,2023</v>
      </c>
      <c r="AB1069" s="15" t="str">
        <f aca="true">IF(S1069="","",DATEDIF(S1069,TODAY(),"Y")&amp;" Tahun, "&amp;DATEDIF(S1069,TODAY(),"YM")&amp;" Bulan, "&amp;DATEDIF(S1069,TODAY(),"MD")&amp;" Hari")</f>
        <v>28 Tahun, 2 Bulan, 15 Hari</v>
      </c>
      <c r="AC1069" s="18" t="n">
        <v>45658</v>
      </c>
      <c r="AD1069" s="18" t="n">
        <v>46022</v>
      </c>
      <c r="AE1069" s="18" t="s">
        <v>44</v>
      </c>
    </row>
    <row r="1070" customFormat="false" ht="15.75" hidden="false" customHeight="true" outlineLevel="0" collapsed="false">
      <c r="A1070" s="12" t="n">
        <v>15850</v>
      </c>
      <c r="B1070" s="13" t="s">
        <v>4713</v>
      </c>
      <c r="C1070" s="14" t="n">
        <v>45424</v>
      </c>
      <c r="D1070" s="13" t="s">
        <v>2033</v>
      </c>
      <c r="E1070" s="15" t="s">
        <v>47</v>
      </c>
      <c r="F1070" s="15" t="str">
        <f aca="false">IFERROR(__xludf.dummyfunction("XLOOKUP(AJ1070,IMPORTRANGE(""1XaInW9DU9nz21V0tYIfzFQ0He9kVQ_JF2mCXgZ3hqFA"",""REKAP ALL 2026 - Andika!G:G""),IMPORTRANGE(""1XaInW9DU9nz21V0tYIfzFQ0He9kVQ_JF2mCXgZ3hqFA"",""REKAP ALL 2026 - Andika!F:F""),"""",0)"),"24091262923")</f>
        <v>24091262923</v>
      </c>
      <c r="G1070" s="15" t="s">
        <v>4714</v>
      </c>
      <c r="H1070" s="13" t="s">
        <v>2035</v>
      </c>
      <c r="I1070" s="13" t="str">
        <f aca="false">IF(C1070=J1070,"NEW KONTRAK","RE-KONTRAK")</f>
        <v>RE-KONTRAK</v>
      </c>
      <c r="J1070" s="16" t="n">
        <f aca="false" t="array" ref="J1070:J1070">IFERROR(INDEX(AC1070:AE1070,IF(COUNTA(AC1070:AE1070)=0,"",MAX((AC1070:AE1070&lt;&gt;"")*(COLUMN(AC1070:AE1070)-(COLUMN(AC1070)))))-1),"")</f>
        <v>45744</v>
      </c>
      <c r="K1070" s="16" t="n">
        <f aca="false" t="array" ref="K1070:K1070">IFERROR(INDEX(AC1070:AE1070,IF(COUNTA(AC1070:AE1070)=0,"",MAX((AC1070:AE1070&lt;&gt;"")*(COLUMN(AC1070:AE1070)-(COLUMN(AC1070)-1))))-1),"")</f>
        <v>45915</v>
      </c>
      <c r="L1070" s="17" t="str">
        <f aca="false" t="array" ref="L1070:L1070">IFERROR(INDEX(AC1070:AE1070,IF(COUNTA(AC1070:AE1070)=0,"",MAX((AC1070:AE1070&lt;&gt;"")*(COLUMN(AC1070:AE1070)-(COLUMN(AC1070)-2))))-1),"")</f>
        <v>ARCHIVED</v>
      </c>
      <c r="M1070" s="13" t="n">
        <f aca="true">K1070-TODAY()</f>
        <v>-409</v>
      </c>
      <c r="N1070" s="18" t="s">
        <v>179</v>
      </c>
      <c r="O1070" s="13" t="s">
        <v>2037</v>
      </c>
      <c r="P1070" s="19" t="n">
        <v>2570000</v>
      </c>
      <c r="Q1070" s="20" t="s">
        <v>4715</v>
      </c>
      <c r="R1070" s="13" t="s">
        <v>97</v>
      </c>
      <c r="S1070" s="14" t="n">
        <v>37396</v>
      </c>
      <c r="T1070" s="13" t="s">
        <v>108</v>
      </c>
      <c r="U1070" s="13" t="s">
        <v>4716</v>
      </c>
      <c r="V1070" s="13" t="s">
        <v>42</v>
      </c>
      <c r="W1070" s="13" t="s">
        <v>43</v>
      </c>
      <c r="X1070" s="21" t="n">
        <v>89673720192</v>
      </c>
      <c r="Y1070" s="22" t="str">
        <f aca="false">O1070</f>
        <v>SPG/BA</v>
      </c>
      <c r="Z1070" s="13" t="str">
        <f aca="false">IFERROR(__xludf.dummyfunction("if(BJ1070="""","""",GOOGLETRANSLATE(BJ1070,""auto"",""en""))"),"SPG/BA")</f>
        <v>SPG/BA</v>
      </c>
      <c r="AA1070" s="23" t="str">
        <f aca="false">IF(C1070="","", CHOOSE(MONTH(C1070),"January","February","March","April","May","June","July","August","September","October","November","December")&amp;" "&amp;DAY(C1070)&amp;MID("thstndrdth",MIN(9,2*RIGHT(DAY(C1070))*(MOD(DAY(C1070)-11,100)&gt;2)+1),2)&amp;","&amp;TEXT(C1070," yyyy"))</f>
        <v>May 12th,2024</v>
      </c>
      <c r="AB1070" s="15" t="str">
        <f aca="true">IF(S1070="","",DATEDIF(S1070,TODAY(),"Y")&amp;" Tahun, "&amp;DATEDIF(S1070,TODAY(),"YM")&amp;" Bulan, "&amp;DATEDIF(S1070,TODAY(),"MD")&amp;" Hari")</f>
        <v>24 Tahun, 5 Bulan, 9 Hari</v>
      </c>
      <c r="AC1070" s="18" t="n">
        <v>45744</v>
      </c>
      <c r="AD1070" s="18" t="n">
        <v>45915</v>
      </c>
      <c r="AE1070" s="18" t="s">
        <v>44</v>
      </c>
    </row>
    <row r="1071" customFormat="false" ht="15.75" hidden="false" customHeight="true" outlineLevel="0" collapsed="false">
      <c r="A1071" s="12" t="n">
        <v>11060</v>
      </c>
      <c r="B1071" s="13" t="s">
        <v>4717</v>
      </c>
      <c r="C1071" s="14" t="n">
        <v>45089</v>
      </c>
      <c r="D1071" s="13" t="s">
        <v>393</v>
      </c>
      <c r="E1071" s="15" t="s">
        <v>47</v>
      </c>
      <c r="F1071" s="15" t="str">
        <f aca="false">IFERROR(__xludf.dummyfunction("XLOOKUP(AJ1071,IMPORTRANGE(""1XaInW9DU9nz21V0tYIfzFQ0He9kVQ_JF2mCXgZ3hqFA"",""REKAP ALL 2026 - Andika!G:G""),IMPORTRANGE(""1XaInW9DU9nz21V0tYIfzFQ0He9kVQ_JF2mCXgZ3hqFA"",""REKAP ALL 2026 - Andika!F:F""),"""",0)"),"11011203038")</f>
        <v>11011203038</v>
      </c>
      <c r="G1071" s="13" t="s">
        <v>4718</v>
      </c>
      <c r="H1071" s="13" t="s">
        <v>35</v>
      </c>
      <c r="I1071" s="13" t="str">
        <f aca="false">IF(C1071=J1071,"NEW KONTRAK","RE-KONTRAK")</f>
        <v>RE-KONTRAK</v>
      </c>
      <c r="J1071" s="16" t="n">
        <f aca="false" t="array" ref="J1071:J1071">IFERROR(INDEX(AC1071:AE1071,IF(COUNTA(AC1071:AE1071)=0,"",MAX((AC1071:AE1071&lt;&gt;"")*(COLUMN(AC1071:AE1071)-(COLUMN(AC1071)))))-1),"")</f>
        <v>45452</v>
      </c>
      <c r="K1071" s="16" t="n">
        <f aca="false" t="array" ref="K1071:K1071">IFERROR(INDEX(AC1071:AE1071,IF(COUNTA(AC1071:AE1071)=0,"",MAX((AC1071:AE1071&lt;&gt;"")*(COLUMN(AC1071:AE1071)-(COLUMN(AC1071)-1))))-1),"")</f>
        <v>46181</v>
      </c>
      <c r="L1071" s="17" t="str">
        <f aca="false" t="array" ref="L1071:L1071">IFERROR(INDEX(AC1071:AE1071,IF(COUNTA(AC1071:AE1071)=0,"",MAX((AC1071:AE1071&lt;&gt;"")*(COLUMN(AC1071:AE1071)-(COLUMN(AC1071)-2))))-1),"")</f>
        <v>KEMBALI</v>
      </c>
      <c r="M1071" s="13" t="n">
        <f aca="true">K1071-TODAY()</f>
        <v>-143</v>
      </c>
      <c r="N1071" s="18" t="s">
        <v>105</v>
      </c>
      <c r="O1071" s="13" t="s">
        <v>58</v>
      </c>
      <c r="P1071" s="19" t="n">
        <v>5191541</v>
      </c>
      <c r="Q1071" s="20" t="s">
        <v>4719</v>
      </c>
      <c r="R1071" s="13" t="s">
        <v>39</v>
      </c>
      <c r="S1071" s="14" t="n">
        <v>33422</v>
      </c>
      <c r="T1071" s="13" t="s">
        <v>40</v>
      </c>
      <c r="U1071" s="13" t="s">
        <v>4720</v>
      </c>
      <c r="V1071" s="13" t="s">
        <v>42</v>
      </c>
      <c r="W1071" s="13" t="s">
        <v>54</v>
      </c>
      <c r="X1071" s="21" t="n">
        <v>89676161832</v>
      </c>
      <c r="Y1071" s="22" t="str">
        <f aca="false">O1071</f>
        <v>Produksi</v>
      </c>
      <c r="Z1071" s="13" t="str">
        <f aca="false">IFERROR(__xludf.dummyfunction("if(BJ1071="""","""",GOOGLETRANSLATE(BJ1071,""auto"",""en""))"),"Production")</f>
        <v>Production</v>
      </c>
      <c r="AA1071" s="23" t="str">
        <f aca="false">IF(C1071="","", CHOOSE(MONTH(C1071),"January","February","March","April","May","June","July","August","September","October","November","December")&amp;" "&amp;DAY(C1071)&amp;MID("thstndrdth",MIN(9,2*RIGHT(DAY(C1071))*(MOD(DAY(C1071)-11,100)&gt;2)+1),2)&amp;","&amp;TEXT(C1071," yyyy"))</f>
        <v>June 12th,2023</v>
      </c>
      <c r="AB1071" s="15" t="str">
        <f aca="true">IF(S1071="","",DATEDIF(S1071,TODAY(),"Y")&amp;" Tahun, "&amp;DATEDIF(S1071,TODAY(),"YM")&amp;" Bulan, "&amp;DATEDIF(S1071,TODAY(),"MD")&amp;" Hari")</f>
        <v>35 Tahun, 3 Bulan, 26 Hari</v>
      </c>
      <c r="AC1071" s="18" t="n">
        <v>45452</v>
      </c>
      <c r="AD1071" s="18" t="n">
        <v>46181</v>
      </c>
      <c r="AE1071" s="13" t="s">
        <v>397</v>
      </c>
    </row>
    <row r="1072" customFormat="false" ht="15.75" hidden="false" customHeight="true" outlineLevel="0" collapsed="false">
      <c r="A1072" s="12" t="n">
        <v>11061</v>
      </c>
      <c r="B1072" s="13" t="s">
        <v>4721</v>
      </c>
      <c r="C1072" s="14" t="n">
        <v>45089</v>
      </c>
      <c r="D1072" s="13" t="s">
        <v>393</v>
      </c>
      <c r="E1072" s="15" t="s">
        <v>47</v>
      </c>
      <c r="F1072" s="15" t="str">
        <f aca="false">IFERROR(__xludf.dummyfunction("XLOOKUP(AJ1072,IMPORTRANGE(""1XaInW9DU9nz21V0tYIfzFQ0He9kVQ_JF2mCXgZ3hqFA"",""REKAP ALL 2026 - Andika!G:G""),IMPORTRANGE(""1XaInW9DU9nz21V0tYIfzFQ0He9kVQ_JF2mCXgZ3hqFA"",""REKAP ALL 2026 - Andika!F:F""),"""",0)"),"23076922352")</f>
        <v>23076922352</v>
      </c>
      <c r="G1072" s="13" t="s">
        <v>4722</v>
      </c>
      <c r="H1072" s="13" t="s">
        <v>35</v>
      </c>
      <c r="I1072" s="13" t="str">
        <f aca="false">IF(C1072=J1072,"NEW KONTRAK","RE-KONTRAK")</f>
        <v>RE-KONTRAK</v>
      </c>
      <c r="J1072" s="16" t="n">
        <f aca="false" t="array" ref="J1072:J1072">IFERROR(INDEX(AC1072:AE1072,IF(COUNTA(AC1072:AE1072)=0,"",MAX((AC1072:AE1072&lt;&gt;"")*(COLUMN(AC1072:AE1072)-(COLUMN(AC1072)))))-1),"")</f>
        <v>45452</v>
      </c>
      <c r="K1072" s="16" t="n">
        <f aca="false" t="array" ref="K1072:K1072">IFERROR(INDEX(AC1072:AE1072,IF(COUNTA(AC1072:AE1072)=0,"",MAX((AC1072:AE1072&lt;&gt;"")*(COLUMN(AC1072:AE1072)-(COLUMN(AC1072)-1))))-1),"")</f>
        <v>46181</v>
      </c>
      <c r="L1072" s="17" t="str">
        <f aca="false" t="array" ref="L1072:L1072">IFERROR(INDEX(AC1072:AE1072,IF(COUNTA(AC1072:AE1072)=0,"",MAX((AC1072:AE1072&lt;&gt;"")*(COLUMN(AC1072:AE1072)-(COLUMN(AC1072)-2))))-1),"")</f>
        <v>KEMBALI</v>
      </c>
      <c r="M1072" s="13" t="n">
        <f aca="true">K1072-TODAY()</f>
        <v>-143</v>
      </c>
      <c r="N1072" s="18" t="s">
        <v>105</v>
      </c>
      <c r="O1072" s="13" t="s">
        <v>58</v>
      </c>
      <c r="P1072" s="19" t="n">
        <v>5191541</v>
      </c>
      <c r="Q1072" s="20" t="s">
        <v>4723</v>
      </c>
      <c r="R1072" s="13" t="s">
        <v>39</v>
      </c>
      <c r="S1072" s="14" t="n">
        <v>34031</v>
      </c>
      <c r="T1072" s="13" t="s">
        <v>40</v>
      </c>
      <c r="U1072" s="13" t="s">
        <v>4724</v>
      </c>
      <c r="V1072" s="13" t="s">
        <v>42</v>
      </c>
      <c r="W1072" s="13" t="s">
        <v>54</v>
      </c>
      <c r="X1072" s="21" t="n">
        <v>8980381313</v>
      </c>
      <c r="Y1072" s="22" t="str">
        <f aca="false">O1072</f>
        <v>Produksi</v>
      </c>
      <c r="Z1072" s="13" t="str">
        <f aca="false">IFERROR(__xludf.dummyfunction("if(BJ1072="""","""",GOOGLETRANSLATE(BJ1072,""auto"",""en""))"),"Production")</f>
        <v>Production</v>
      </c>
      <c r="AA1072" s="23" t="str">
        <f aca="false">IF(C1072="","", CHOOSE(MONTH(C1072),"January","February","March","April","May","June","July","August","September","October","November","December")&amp;" "&amp;DAY(C1072)&amp;MID("thstndrdth",MIN(9,2*RIGHT(DAY(C1072))*(MOD(DAY(C1072)-11,100)&gt;2)+1),2)&amp;","&amp;TEXT(C1072," yyyy"))</f>
        <v>June 12th,2023</v>
      </c>
      <c r="AB1072" s="15" t="str">
        <f aca="true">IF(S1072="","",DATEDIF(S1072,TODAY(),"Y")&amp;" Tahun, "&amp;DATEDIF(S1072,TODAY(),"YM")&amp;" Bulan, "&amp;DATEDIF(S1072,TODAY(),"MD")&amp;" Hari")</f>
        <v>33 Tahun, 7 Bulan, 26 Hari</v>
      </c>
      <c r="AC1072" s="18" t="n">
        <v>45452</v>
      </c>
      <c r="AD1072" s="18" t="n">
        <v>46181</v>
      </c>
      <c r="AE1072" s="13" t="s">
        <v>397</v>
      </c>
    </row>
    <row r="1073" customFormat="false" ht="15.75" hidden="false" customHeight="true" outlineLevel="0" collapsed="false">
      <c r="A1073" s="12" t="n">
        <v>11109</v>
      </c>
      <c r="B1073" s="13" t="s">
        <v>4725</v>
      </c>
      <c r="C1073" s="14" t="n">
        <v>45092</v>
      </c>
      <c r="D1073" s="13" t="s">
        <v>144</v>
      </c>
      <c r="E1073" s="15" t="s">
        <v>33</v>
      </c>
      <c r="F1073" s="24" t="s">
        <v>4726</v>
      </c>
      <c r="G1073" s="13" t="s">
        <v>4727</v>
      </c>
      <c r="H1073" s="13" t="s">
        <v>35</v>
      </c>
      <c r="I1073" s="13" t="str">
        <f aca="false">IF(C1073=J1073,"NEW KONTRAK","RE-KONTRAK")</f>
        <v>RE-KONTRAK</v>
      </c>
      <c r="J1073" s="16" t="n">
        <f aca="false" t="array" ref="J1073:J1073">IFERROR(INDEX(AC1073:AE1073,IF(COUNTA(AC1073:AE1073)=0,"",MAX((AC1073:AE1073&lt;&gt;"")*(COLUMN(AC1073:AE1073)-(COLUMN(AC1073)))))-1),"")</f>
        <v>45658</v>
      </c>
      <c r="K1073" s="16" t="n">
        <f aca="false" t="array" ref="K1073:K1073">IFERROR(INDEX(AC1073:AE1073,IF(COUNTA(AC1073:AE1073)=0,"",MAX((AC1073:AE1073&lt;&gt;"")*(COLUMN(AC1073:AE1073)-(COLUMN(AC1073)-1))))-1),"")</f>
        <v>46022</v>
      </c>
      <c r="L1073" s="17" t="str">
        <f aca="false" t="array" ref="L1073:L1073">IFERROR(INDEX(AC1073:AE1073,IF(COUNTA(AC1073:AE1073)=0,"",MAX((AC1073:AE1073&lt;&gt;"")*(COLUMN(AC1073:AE1073)-(COLUMN(AC1073)-2))))-1),"")</f>
        <v>ARCHIVED</v>
      </c>
      <c r="M1073" s="13" t="n">
        <f aca="true">K1073-TODAY()</f>
        <v>-302</v>
      </c>
      <c r="N1073" s="18" t="s">
        <v>36</v>
      </c>
      <c r="O1073" s="13" t="s">
        <v>173</v>
      </c>
      <c r="P1073" s="19" t="n">
        <v>5195401</v>
      </c>
      <c r="Q1073" s="20" t="s">
        <v>4728</v>
      </c>
      <c r="R1073" s="13" t="s">
        <v>148</v>
      </c>
      <c r="S1073" s="14" t="n">
        <v>37634</v>
      </c>
      <c r="T1073" s="13" t="s">
        <v>108</v>
      </c>
      <c r="U1073" s="13" t="s">
        <v>4729</v>
      </c>
      <c r="V1073" s="13" t="s">
        <v>42</v>
      </c>
      <c r="W1073" s="13" t="s">
        <v>43</v>
      </c>
      <c r="X1073" s="21" t="n">
        <v>85607768341</v>
      </c>
      <c r="Y1073" s="22" t="str">
        <f aca="false">O1073</f>
        <v>Office</v>
      </c>
      <c r="Z1073" s="13" t="str">
        <f aca="false">IFERROR(__xludf.dummyfunction("if(BJ1073="""","""",GOOGLETRANSLATE(BJ1073,""auto"",""en""))"),"Office")</f>
        <v>Office</v>
      </c>
      <c r="AA1073" s="23" t="str">
        <f aca="false">IF(C1073="","", CHOOSE(MONTH(C1073),"January","February","March","April","May","June","July","August","September","October","November","December")&amp;" "&amp;DAY(C1073)&amp;MID("thstndrdth",MIN(9,2*RIGHT(DAY(C1073))*(MOD(DAY(C1073)-11,100)&gt;2)+1),2)&amp;","&amp;TEXT(C1073," yyyy"))</f>
        <v>June 15th,2023</v>
      </c>
      <c r="AB1073" s="15" t="str">
        <f aca="true">IF(S1073="","",DATEDIF(S1073,TODAY(),"Y")&amp;" Tahun, "&amp;DATEDIF(S1073,TODAY(),"YM")&amp;" Bulan, "&amp;DATEDIF(S1073,TODAY(),"MD")&amp;" Hari")</f>
        <v>23 Tahun, 9 Bulan, 16 Hari</v>
      </c>
      <c r="AC1073" s="18" t="n">
        <v>45658</v>
      </c>
      <c r="AD1073" s="18" t="n">
        <v>46022</v>
      </c>
      <c r="AE1073" s="18" t="s">
        <v>44</v>
      </c>
    </row>
    <row r="1074" customFormat="false" ht="15.75" hidden="false" customHeight="true" outlineLevel="0" collapsed="false">
      <c r="A1074" s="12" t="n">
        <v>11115</v>
      </c>
      <c r="B1074" s="13" t="s">
        <v>4730</v>
      </c>
      <c r="C1074" s="14" t="n">
        <v>45085</v>
      </c>
      <c r="D1074" s="13" t="s">
        <v>4252</v>
      </c>
      <c r="E1074" s="15" t="s">
        <v>33</v>
      </c>
      <c r="F1074" s="24" t="s">
        <v>4731</v>
      </c>
      <c r="G1074" s="13" t="s">
        <v>57</v>
      </c>
      <c r="H1074" s="13" t="s">
        <v>35</v>
      </c>
      <c r="I1074" s="13" t="str">
        <f aca="false">IF(C1074=J1074,"NEW KONTRAK","RE-KONTRAK")</f>
        <v>RE-KONTRAK</v>
      </c>
      <c r="J1074" s="16" t="n">
        <f aca="false" t="array" ref="J1074:J1074">IFERROR(INDEX(AC1074:AE1074,IF(COUNTA(AC1074:AE1074)=0,"",MAX((AC1074:AE1074&lt;&gt;"")*(COLUMN(AC1074:AE1074)-(COLUMN(AC1074)))))-1),"")</f>
        <v>45764</v>
      </c>
      <c r="K1074" s="16" t="n">
        <f aca="false" t="array" ref="K1074:K1074">IFERROR(INDEX(AC1074:AE1074,IF(COUNTA(AC1074:AE1074)=0,"",MAX((AC1074:AE1074&lt;&gt;"")*(COLUMN(AC1074:AE1074)-(COLUMN(AC1074)-1))))-1),"")</f>
        <v>45946</v>
      </c>
      <c r="L1074" s="17" t="str">
        <f aca="false" t="array" ref="L1074:L1074">IFERROR(INDEX(AC1074:AE1074,IF(COUNTA(AC1074:AE1074)=0,"",MAX((AC1074:AE1074&lt;&gt;"")*(COLUMN(AC1074:AE1074)-(COLUMN(AC1074)-2))))-1),"")</f>
        <v>ARCHIVED</v>
      </c>
      <c r="M1074" s="13" t="n">
        <f aca="true">K1074-TODAY()</f>
        <v>-378</v>
      </c>
      <c r="N1074" s="18" t="s">
        <v>36</v>
      </c>
      <c r="O1074" s="13" t="s">
        <v>4280</v>
      </c>
      <c r="P1074" s="27" t="n">
        <v>120000</v>
      </c>
      <c r="Q1074" s="20" t="s">
        <v>4732</v>
      </c>
      <c r="R1074" s="13" t="s">
        <v>52</v>
      </c>
      <c r="S1074" s="14" t="n">
        <v>38515</v>
      </c>
      <c r="T1074" s="13" t="s">
        <v>108</v>
      </c>
      <c r="U1074" s="13" t="s">
        <v>4445</v>
      </c>
      <c r="V1074" s="13" t="s">
        <v>42</v>
      </c>
      <c r="W1074" s="13" t="s">
        <v>43</v>
      </c>
      <c r="X1074" s="21" t="n">
        <v>8885933878</v>
      </c>
      <c r="Y1074" s="22" t="str">
        <f aca="false">O1074</f>
        <v>Helper Cutting</v>
      </c>
      <c r="Z1074" s="13" t="str">
        <f aca="false">IFERROR(__xludf.dummyfunction("if(BJ1074="""","""",GOOGLETRANSLATE(BJ1074,""auto"",""en""))"),"Helper Cutting")</f>
        <v>Helper Cutting</v>
      </c>
      <c r="AA1074" s="23" t="str">
        <f aca="false">IF(C1074="","", CHOOSE(MONTH(C1074),"January","February","March","April","May","June","July","August","September","October","November","December")&amp;" "&amp;DAY(C1074)&amp;MID("thstndrdth",MIN(9,2*RIGHT(DAY(C1074))*(MOD(DAY(C1074)-11,100)&gt;2)+1),2)&amp;","&amp;TEXT(C1074," yyyy"))</f>
        <v>June 8th,2023</v>
      </c>
      <c r="AB1074" s="15" t="str">
        <f aca="true">IF(S1074="","",DATEDIF(S1074,TODAY(),"Y")&amp;" Tahun, "&amp;DATEDIF(S1074,TODAY(),"YM")&amp;" Bulan, "&amp;DATEDIF(S1074,TODAY(),"MD")&amp;" Hari")</f>
        <v>21 Tahun, 4 Bulan, 17 Hari</v>
      </c>
      <c r="AC1074" s="18" t="n">
        <v>45764</v>
      </c>
      <c r="AD1074" s="18" t="n">
        <v>45946</v>
      </c>
      <c r="AE1074" s="18" t="s">
        <v>44</v>
      </c>
    </row>
    <row r="1075" customFormat="false" ht="15.75" hidden="false" customHeight="true" outlineLevel="0" collapsed="false">
      <c r="A1075" s="12" t="n">
        <v>11118</v>
      </c>
      <c r="B1075" s="13" t="s">
        <v>725</v>
      </c>
      <c r="C1075" s="14" t="n">
        <v>45108</v>
      </c>
      <c r="D1075" s="13" t="s">
        <v>4733</v>
      </c>
      <c r="E1075" s="15" t="s">
        <v>47</v>
      </c>
      <c r="F1075" s="15" t="str">
        <f aca="false">IFERROR(__xludf.dummyfunction("XLOOKUP(AJ1075,IMPORTRANGE(""1XaInW9DU9nz21V0tYIfzFQ0He9kVQ_JF2mCXgZ3hqFA"",""REKAP ALL 2026 - Andika!G:G""),IMPORTRANGE(""1XaInW9DU9nz21V0tYIfzFQ0He9kVQ_JF2mCXgZ3hqFA"",""REKAP ALL 2026 - Andika!F:F""),"""",0)"),"23093935288")</f>
        <v>23093935288</v>
      </c>
      <c r="G1075" s="13" t="s">
        <v>4734</v>
      </c>
      <c r="H1075" s="13" t="s">
        <v>35</v>
      </c>
      <c r="I1075" s="13" t="str">
        <f aca="false">IF(C1075=J1075,"NEW KONTRAK","RE-KONTRAK")</f>
        <v>RE-KONTRAK</v>
      </c>
      <c r="J1075" s="16" t="n">
        <f aca="false" t="array" ref="J1075:J1075">IFERROR(INDEX(AC1075:AE1075,IF(COUNTA(AC1075:AE1075)=0,"",MAX((AC1075:AE1075&lt;&gt;"")*(COLUMN(AC1075:AE1075)-(COLUMN(AC1075)))))-1),"")</f>
        <v>45658</v>
      </c>
      <c r="K1075" s="16" t="n">
        <f aca="false" t="array" ref="K1075:K1075">IFERROR(INDEX(AC1075:AE1075,IF(COUNTA(AC1075:AE1075)=0,"",MAX((AC1075:AE1075&lt;&gt;"")*(COLUMN(AC1075:AE1075)-(COLUMN(AC1075)-1))))-1),"")</f>
        <v>46022</v>
      </c>
      <c r="L1075" s="17" t="str">
        <f aca="false" t="array" ref="L1075:L1075">IFERROR(INDEX(AC1075:AE1075,IF(COUNTA(AC1075:AE1075)=0,"",MAX((AC1075:AE1075&lt;&gt;"")*(COLUMN(AC1075:AE1075)-(COLUMN(AC1075)-2))))-1),"")</f>
        <v>ARCHIVED</v>
      </c>
      <c r="M1075" s="13" t="n">
        <f aca="true">K1075-TODAY()</f>
        <v>-302</v>
      </c>
      <c r="N1075" s="18" t="s">
        <v>4735</v>
      </c>
      <c r="O1075" s="13" t="s">
        <v>719</v>
      </c>
      <c r="P1075" s="19" t="n">
        <v>3553530</v>
      </c>
      <c r="Q1075" s="20" t="s">
        <v>4736</v>
      </c>
      <c r="R1075" s="13" t="s">
        <v>83</v>
      </c>
      <c r="S1075" s="14" t="n">
        <v>29344</v>
      </c>
      <c r="T1075" s="13" t="s">
        <v>40</v>
      </c>
      <c r="U1075" s="13" t="s">
        <v>4737</v>
      </c>
      <c r="V1075" s="13" t="s">
        <v>42</v>
      </c>
      <c r="W1075" s="13" t="s">
        <v>54</v>
      </c>
      <c r="X1075" s="21" t="n">
        <v>895367296085</v>
      </c>
      <c r="Y1075" s="22" t="str">
        <f aca="false">O1075</f>
        <v>Cleaning Service</v>
      </c>
      <c r="Z1075" s="13" t="str">
        <f aca="false">IFERROR(__xludf.dummyfunction("if(BJ1075="""","""",GOOGLETRANSLATE(BJ1075,""auto"",""en""))"),"Cleaning Service")</f>
        <v>Cleaning Service</v>
      </c>
      <c r="AA1075" s="23" t="str">
        <f aca="false">IF(C1075="","", CHOOSE(MONTH(C1075),"January","February","March","April","May","June","July","August","September","October","November","December")&amp;" "&amp;DAY(C1075)&amp;MID("thstndrdth",MIN(9,2*RIGHT(DAY(C1075))*(MOD(DAY(C1075)-11,100)&gt;2)+1),2)&amp;","&amp;TEXT(C1075," yyyy"))</f>
        <v>July 1st,2023</v>
      </c>
      <c r="AB1075" s="15" t="str">
        <f aca="true">IF(S1075="","",DATEDIF(S1075,TODAY(),"Y")&amp;" Tahun, "&amp;DATEDIF(S1075,TODAY(),"YM")&amp;" Bulan, "&amp;DATEDIF(S1075,TODAY(),"MD")&amp;" Hari")</f>
        <v>46 Tahun, 5 Bulan, 26 Hari</v>
      </c>
      <c r="AC1075" s="18" t="n">
        <v>45658</v>
      </c>
      <c r="AD1075" s="18" t="n">
        <v>46022</v>
      </c>
      <c r="AE1075" s="18" t="s">
        <v>44</v>
      </c>
    </row>
    <row r="1076" customFormat="false" ht="15.75" hidden="false" customHeight="true" outlineLevel="0" collapsed="false">
      <c r="A1076" s="12" t="n">
        <v>11132</v>
      </c>
      <c r="B1076" s="13" t="s">
        <v>4738</v>
      </c>
      <c r="C1076" s="14" t="n">
        <v>45084</v>
      </c>
      <c r="D1076" s="13" t="s">
        <v>393</v>
      </c>
      <c r="E1076" s="15" t="s">
        <v>47</v>
      </c>
      <c r="F1076" s="15" t="str">
        <f aca="false">IFERROR(__xludf.dummyfunction("XLOOKUP(AJ1076,IMPORTRANGE(""1XaInW9DU9nz21V0tYIfzFQ0He9kVQ_JF2mCXgZ3hqFA"",""REKAP ALL 2026 - Andika!G:G""),IMPORTRANGE(""1XaInW9DU9nz21V0tYIfzFQ0He9kVQ_JF2mCXgZ3hqFA"",""REKAP ALL 2026 - Andika!F:F""),"""",0)"),"23093953836")</f>
        <v>23093953836</v>
      </c>
      <c r="G1076" s="13" t="s">
        <v>4739</v>
      </c>
      <c r="H1076" s="13" t="s">
        <v>35</v>
      </c>
      <c r="I1076" s="13" t="str">
        <f aca="false">IF(C1076=J1076,"NEW KONTRAK","RE-KONTRAK")</f>
        <v>RE-KONTRAK</v>
      </c>
      <c r="J1076" s="16" t="n">
        <f aca="false" t="array" ref="J1076:J1076">IFERROR(INDEX(AC1076:AE1076,IF(COUNTA(AC1076:AE1076)=0,"",MAX((AC1076:AE1076&lt;&gt;"")*(COLUMN(AC1076:AE1076)-(COLUMN(AC1076)))))-1),"")</f>
        <v>45452</v>
      </c>
      <c r="K1076" s="16" t="n">
        <f aca="false" t="array" ref="K1076:K1076">IFERROR(INDEX(AC1076:AE1076,IF(COUNTA(AC1076:AE1076)=0,"",MAX((AC1076:AE1076&lt;&gt;"")*(COLUMN(AC1076:AE1076)-(COLUMN(AC1076)-1))))-1),"")</f>
        <v>46181</v>
      </c>
      <c r="L1076" s="17" t="str">
        <f aca="false" t="array" ref="L1076:L1076">IFERROR(INDEX(AC1076:AE1076,IF(COUNTA(AC1076:AE1076)=0,"",MAX((AC1076:AE1076&lt;&gt;"")*(COLUMN(AC1076:AE1076)-(COLUMN(AC1076)-2))))-1),"")</f>
        <v>KEMBALI</v>
      </c>
      <c r="M1076" s="13" t="n">
        <f aca="true">K1076-TODAY()</f>
        <v>-143</v>
      </c>
      <c r="N1076" s="18" t="s">
        <v>105</v>
      </c>
      <c r="O1076" s="13" t="s">
        <v>58</v>
      </c>
      <c r="P1076" s="19" t="n">
        <v>5191541</v>
      </c>
      <c r="Q1076" s="20" t="s">
        <v>4740</v>
      </c>
      <c r="R1076" s="13" t="s">
        <v>39</v>
      </c>
      <c r="S1076" s="14" t="n">
        <v>33714</v>
      </c>
      <c r="T1076" s="13" t="s">
        <v>40</v>
      </c>
      <c r="U1076" s="13" t="s">
        <v>4741</v>
      </c>
      <c r="V1076" s="13" t="s">
        <v>42</v>
      </c>
      <c r="W1076" s="13" t="s">
        <v>43</v>
      </c>
      <c r="X1076" s="21" t="n">
        <v>85736784582</v>
      </c>
      <c r="Y1076" s="22" t="str">
        <f aca="false">O1076</f>
        <v>Produksi</v>
      </c>
      <c r="Z1076" s="13" t="str">
        <f aca="false">IFERROR(__xludf.dummyfunction("if(BJ1076="""","""",GOOGLETRANSLATE(BJ1076,""auto"",""en""))"),"Production")</f>
        <v>Production</v>
      </c>
      <c r="AA1076" s="23" t="str">
        <f aca="false">IF(C1076="","", CHOOSE(MONTH(C1076),"January","February","March","April","May","June","July","August","September","October","November","December")&amp;" "&amp;DAY(C1076)&amp;MID("thstndrdth",MIN(9,2*RIGHT(DAY(C1076))*(MOD(DAY(C1076)-11,100)&gt;2)+1),2)&amp;","&amp;TEXT(C1076," yyyy"))</f>
        <v>June 7th,2023</v>
      </c>
      <c r="AB1076" s="15" t="str">
        <f aca="true">IF(S1076="","",DATEDIF(S1076,TODAY(),"Y")&amp;" Tahun, "&amp;DATEDIF(S1076,TODAY(),"YM")&amp;" Bulan, "&amp;DATEDIF(S1076,TODAY(),"MD")&amp;" Hari")</f>
        <v>34 Tahun, 6 Bulan, 9 Hari</v>
      </c>
      <c r="AC1076" s="18" t="n">
        <v>45452</v>
      </c>
      <c r="AD1076" s="18" t="n">
        <v>46181</v>
      </c>
      <c r="AE1076" s="13" t="s">
        <v>397</v>
      </c>
    </row>
    <row r="1077" customFormat="false" ht="15.75" hidden="false" customHeight="true" outlineLevel="0" collapsed="false">
      <c r="A1077" s="12" t="n">
        <v>11142</v>
      </c>
      <c r="B1077" s="13" t="s">
        <v>4742</v>
      </c>
      <c r="C1077" s="14" t="n">
        <v>45103</v>
      </c>
      <c r="D1077" s="13" t="s">
        <v>4743</v>
      </c>
      <c r="E1077" s="15" t="s">
        <v>47</v>
      </c>
      <c r="F1077" s="15" t="str">
        <f aca="false">IFERROR(__xludf.dummyfunction("XLOOKUP(AJ1077,IMPORTRANGE(""1XaInW9DU9nz21V0tYIfzFQ0He9kVQ_JF2mCXgZ3hqFA"",""REKAP ALL 2026 - Andika!G:G""),IMPORTRANGE(""1XaInW9DU9nz21V0tYIfzFQ0He9kVQ_JF2mCXgZ3hqFA"",""REKAP ALL 2026 - Andika!F:F""),"""",0)"),"23093953745")</f>
        <v>23093953745</v>
      </c>
      <c r="G1077" s="13" t="s">
        <v>4744</v>
      </c>
      <c r="H1077" s="13" t="s">
        <v>2035</v>
      </c>
      <c r="I1077" s="13" t="str">
        <f aca="false">IF(C1077=J1077,"NEW KONTRAK","RE-KONTRAK")</f>
        <v>RE-KONTRAK</v>
      </c>
      <c r="J1077" s="16" t="n">
        <f aca="false" t="array" ref="J1077:J1077">IFERROR(INDEX(AC1077:AE1077,IF(COUNTA(AC1077:AE1077)=0,"",MAX((AC1077:AE1077&lt;&gt;"")*(COLUMN(AC1077:AE1077)-(COLUMN(AC1077)))))-1),"")</f>
        <v>45828</v>
      </c>
      <c r="K1077" s="16" t="n">
        <f aca="false" t="array" ref="K1077:K1077">IFERROR(INDEX(AC1077:AE1077,IF(COUNTA(AC1077:AE1077)=0,"",MAX((AC1077:AE1077&lt;&gt;"")*(COLUMN(AC1077:AE1077)-(COLUMN(AC1077)-1))))-1),"")</f>
        <v>46010</v>
      </c>
      <c r="L1077" s="17" t="str">
        <f aca="false" t="array" ref="L1077:L1077">IFERROR(INDEX(AC1077:AE1077,IF(COUNTA(AC1077:AE1077)=0,"",MAX((AC1077:AE1077&lt;&gt;"")*(COLUMN(AC1077:AE1077)-(COLUMN(AC1077)-2))))-1),"")</f>
        <v>ARCHIVED</v>
      </c>
      <c r="M1077" s="13" t="n">
        <f aca="true">K1077-TODAY()</f>
        <v>-314</v>
      </c>
      <c r="N1077" s="18" t="s">
        <v>763</v>
      </c>
      <c r="O1077" s="13" t="s">
        <v>3510</v>
      </c>
      <c r="P1077" s="19" t="n">
        <v>4668581</v>
      </c>
      <c r="Q1077" s="20" t="s">
        <v>4745</v>
      </c>
      <c r="R1077" s="13" t="s">
        <v>4746</v>
      </c>
      <c r="S1077" s="14" t="n">
        <v>33379</v>
      </c>
      <c r="T1077" s="13" t="s">
        <v>40</v>
      </c>
      <c r="U1077" s="13" t="s">
        <v>4747</v>
      </c>
      <c r="V1077" s="13" t="s">
        <v>4748</v>
      </c>
      <c r="W1077" s="13" t="s">
        <v>43</v>
      </c>
      <c r="X1077" s="21" t="n">
        <v>81290424717</v>
      </c>
      <c r="Y1077" s="22" t="str">
        <f aca="false">O1077</f>
        <v>Teknisi</v>
      </c>
      <c r="Z1077" s="13" t="str">
        <f aca="false">IFERROR(__xludf.dummyfunction("if(BJ1077="""","""",GOOGLETRANSLATE(BJ1077,""auto"",""en""))"),"Technician")</f>
        <v>Technician</v>
      </c>
      <c r="AA1077" s="23" t="str">
        <f aca="false">IF(C1077="","", CHOOSE(MONTH(C1077),"January","February","March","April","May","June","July","August","September","October","November","December")&amp;" "&amp;DAY(C1077)&amp;MID("thstndrdth",MIN(9,2*RIGHT(DAY(C1077))*(MOD(DAY(C1077)-11,100)&gt;2)+1),2)&amp;","&amp;TEXT(C1077," yyyy"))</f>
        <v>June 26th,2023</v>
      </c>
      <c r="AB1077" s="15" t="str">
        <f aca="true">IF(S1077="","",DATEDIF(S1077,TODAY(),"Y")&amp;" Tahun, "&amp;DATEDIF(S1077,TODAY(),"YM")&amp;" Bulan, "&amp;DATEDIF(S1077,TODAY(),"MD")&amp;" Hari")</f>
        <v>35 Tahun, 5 Bulan, 8 Hari</v>
      </c>
      <c r="AC1077" s="18" t="n">
        <v>45828</v>
      </c>
      <c r="AD1077" s="18" t="n">
        <v>46010</v>
      </c>
      <c r="AE1077" s="18" t="s">
        <v>44</v>
      </c>
    </row>
    <row r="1078" customFormat="false" ht="15.75" hidden="false" customHeight="true" outlineLevel="0" collapsed="false">
      <c r="A1078" s="12" t="n">
        <v>11143</v>
      </c>
      <c r="B1078" s="13" t="s">
        <v>4749</v>
      </c>
      <c r="C1078" s="14" t="n">
        <v>45103</v>
      </c>
      <c r="D1078" s="13" t="s">
        <v>4743</v>
      </c>
      <c r="E1078" s="15" t="s">
        <v>47</v>
      </c>
      <c r="F1078" s="15" t="str">
        <f aca="false">IFERROR(__xludf.dummyfunction("XLOOKUP(AJ1078,IMPORTRANGE(""1XaInW9DU9nz21V0tYIfzFQ0He9kVQ_JF2mCXgZ3hqFA"",""REKAP ALL 2026 - Andika!G:G""),IMPORTRANGE(""1XaInW9DU9nz21V0tYIfzFQ0He9kVQ_JF2mCXgZ3hqFA"",""REKAP ALL 2026 - Andika!F:F""),"""",0)"),"23093953778")</f>
        <v>23093953778</v>
      </c>
      <c r="G1078" s="13" t="s">
        <v>4750</v>
      </c>
      <c r="H1078" s="13" t="s">
        <v>2035</v>
      </c>
      <c r="I1078" s="13" t="str">
        <f aca="false">IF(C1078=J1078,"NEW KONTRAK","RE-KONTRAK")</f>
        <v>RE-KONTRAK</v>
      </c>
      <c r="J1078" s="16" t="n">
        <f aca="false" t="array" ref="J1078:J1078">IFERROR(INDEX(AC1078:AE1078,IF(COUNTA(AC1078:AE1078)=0,"",MAX((AC1078:AE1078&lt;&gt;"")*(COLUMN(AC1078:AE1078)-(COLUMN(AC1078)))))-1),"")</f>
        <v>45828</v>
      </c>
      <c r="K1078" s="16" t="n">
        <f aca="false" t="array" ref="K1078:K1078">IFERROR(INDEX(AC1078:AE1078,IF(COUNTA(AC1078:AE1078)=0,"",MAX((AC1078:AE1078&lt;&gt;"")*(COLUMN(AC1078:AE1078)-(COLUMN(AC1078)-1))))-1),"")</f>
        <v>46010</v>
      </c>
      <c r="L1078" s="17" t="str">
        <f aca="false" t="array" ref="L1078:L1078">IFERROR(INDEX(AC1078:AE1078,IF(COUNTA(AC1078:AE1078)=0,"",MAX((AC1078:AE1078&lt;&gt;"")*(COLUMN(AC1078:AE1078)-(COLUMN(AC1078)-2))))-1),"")</f>
        <v>KEMBALI</v>
      </c>
      <c r="M1078" s="13" t="n">
        <f aca="true">K1078-TODAY()</f>
        <v>-314</v>
      </c>
      <c r="N1078" s="18" t="s">
        <v>728</v>
      </c>
      <c r="O1078" s="13" t="s">
        <v>4751</v>
      </c>
      <c r="P1078" s="19" t="n">
        <v>4591581</v>
      </c>
      <c r="Q1078" s="20" t="s">
        <v>4752</v>
      </c>
      <c r="R1078" s="13" t="s">
        <v>52</v>
      </c>
      <c r="S1078" s="14" t="n">
        <v>37040</v>
      </c>
      <c r="T1078" s="13" t="s">
        <v>108</v>
      </c>
      <c r="U1078" s="13" t="s">
        <v>4753</v>
      </c>
      <c r="V1078" s="13" t="s">
        <v>42</v>
      </c>
      <c r="W1078" s="13" t="s">
        <v>43</v>
      </c>
      <c r="X1078" s="21" t="n">
        <v>81574624212</v>
      </c>
      <c r="Y1078" s="22" t="str">
        <f aca="false">O1078</f>
        <v>Content Creator</v>
      </c>
      <c r="Z1078" s="13" t="str">
        <f aca="false">IFERROR(__xludf.dummyfunction("if(BJ1078="""","""",GOOGLETRANSLATE(BJ1078,""auto"",""en""))"),"Content Creator")</f>
        <v>Content Creator</v>
      </c>
      <c r="AA1078" s="23" t="str">
        <f aca="false">IF(C1078="","", CHOOSE(MONTH(C1078),"January","February","March","April","May","June","July","August","September","October","November","December")&amp;" "&amp;DAY(C1078)&amp;MID("thstndrdth",MIN(9,2*RIGHT(DAY(C1078))*(MOD(DAY(C1078)-11,100)&gt;2)+1),2)&amp;","&amp;TEXT(C1078," yyyy"))</f>
        <v>June 26th,2023</v>
      </c>
      <c r="AB1078" s="15" t="str">
        <f aca="true">IF(S1078="","",DATEDIF(S1078,TODAY(),"Y")&amp;" Tahun, "&amp;DATEDIF(S1078,TODAY(),"YM")&amp;" Bulan, "&amp;DATEDIF(S1078,TODAY(),"MD")&amp;" Hari")</f>
        <v>25 Tahun, 5 Bulan, 0 Hari</v>
      </c>
      <c r="AC1078" s="18" t="n">
        <v>45828</v>
      </c>
      <c r="AD1078" s="18" t="n">
        <v>46010</v>
      </c>
      <c r="AE1078" s="13" t="s">
        <v>397</v>
      </c>
    </row>
    <row r="1079" customFormat="false" ht="15.75" hidden="false" customHeight="true" outlineLevel="0" collapsed="false">
      <c r="A1079" s="12" t="n">
        <v>11165</v>
      </c>
      <c r="B1079" s="13" t="s">
        <v>4754</v>
      </c>
      <c r="C1079" s="14" t="n">
        <v>45092</v>
      </c>
      <c r="D1079" s="13" t="s">
        <v>4755</v>
      </c>
      <c r="E1079" s="15" t="s">
        <v>47</v>
      </c>
      <c r="F1079" s="15" t="str">
        <f aca="false">IFERROR(__xludf.dummyfunction("XLOOKUP(AJ1079,IMPORTRANGE(""1XaInW9DU9nz21V0tYIfzFQ0He9kVQ_JF2mCXgZ3hqFA"",""REKAP ALL 2026 - Andika!G:G""),IMPORTRANGE(""1XaInW9DU9nz21V0tYIfzFQ0He9kVQ_JF2mCXgZ3hqFA"",""REKAP ALL 2026 - Andika!F:F""),"""",0)"),"24195982657")</f>
        <v>24195982657</v>
      </c>
      <c r="G1079" s="13" t="s">
        <v>57</v>
      </c>
      <c r="H1079" s="13" t="s">
        <v>3024</v>
      </c>
      <c r="I1079" s="13" t="str">
        <f aca="false">IF(C1079=J1079,"NEW KONTRAK","RE-KONTRAK")</f>
        <v>RE-KONTRAK</v>
      </c>
      <c r="J1079" s="16" t="n">
        <f aca="false" t="array" ref="J1079:J1079">IFERROR(INDEX(AC1079:AE1079,IF(COUNTA(AC1079:AE1079)=0,"",MAX((AC1079:AE1079&lt;&gt;"")*(COLUMN(AC1079:AE1079)-(COLUMN(AC1079)))))-1),"")</f>
        <v>45658</v>
      </c>
      <c r="K1079" s="16" t="n">
        <f aca="false" t="array" ref="K1079:K1079">IFERROR(INDEX(AC1079:AE1079,IF(COUNTA(AC1079:AE1079)=0,"",MAX((AC1079:AE1079&lt;&gt;"")*(COLUMN(AC1079:AE1079)-(COLUMN(AC1079)-1))))-1),"")</f>
        <v>45747</v>
      </c>
      <c r="L1079" s="17" t="str">
        <f aca="false" t="array" ref="L1079:L1079">IFERROR(INDEX(AC1079:AE1079,IF(COUNTA(AC1079:AE1079)=0,"",MAX((AC1079:AE1079&lt;&gt;"")*(COLUMN(AC1079:AE1079)-(COLUMN(AC1079)-2))))-1),"")</f>
        <v>ARCHIVED</v>
      </c>
      <c r="M1079" s="13" t="n">
        <f aca="true">K1079-TODAY()</f>
        <v>-577</v>
      </c>
      <c r="N1079" s="18" t="s">
        <v>615</v>
      </c>
      <c r="O1079" s="13" t="s">
        <v>4756</v>
      </c>
      <c r="P1079" s="19" t="n">
        <v>207044</v>
      </c>
      <c r="Q1079" s="20" t="s">
        <v>4757</v>
      </c>
      <c r="R1079" s="13" t="s">
        <v>232</v>
      </c>
      <c r="S1079" s="14" t="n">
        <v>36223</v>
      </c>
      <c r="T1079" s="13" t="s">
        <v>108</v>
      </c>
      <c r="U1079" s="13" t="s">
        <v>4758</v>
      </c>
      <c r="V1079" s="13" t="s">
        <v>42</v>
      </c>
      <c r="W1079" s="13" t="s">
        <v>43</v>
      </c>
      <c r="X1079" s="21" t="n">
        <v>81246174181</v>
      </c>
      <c r="Y1079" s="22" t="str">
        <f aca="false">O1079</f>
        <v>Reliever</v>
      </c>
      <c r="Z1079" s="13" t="str">
        <f aca="false">IFERROR(__xludf.dummyfunction("if(BJ1079="""","""",GOOGLETRANSLATE(BJ1079,""auto"",""en""))"),"Reliever")</f>
        <v>Reliever</v>
      </c>
      <c r="AA1079" s="23" t="str">
        <f aca="false">IF(C1079="","", CHOOSE(MONTH(C1079),"January","February","March","April","May","June","July","August","September","October","November","December")&amp;" "&amp;DAY(C1079)&amp;MID("thstndrdth",MIN(9,2*RIGHT(DAY(C1079))*(MOD(DAY(C1079)-11,100)&gt;2)+1),2)&amp;","&amp;TEXT(C1079," yyyy"))</f>
        <v>June 15th,2023</v>
      </c>
      <c r="AB1079" s="15" t="str">
        <f aca="true">IF(S1079="","",DATEDIF(S1079,TODAY(),"Y")&amp;" Tahun, "&amp;DATEDIF(S1079,TODAY(),"YM")&amp;" Bulan, "&amp;DATEDIF(S1079,TODAY(),"MD")&amp;" Hari")</f>
        <v>27 Tahun, 7 Bulan, 25 Hari</v>
      </c>
      <c r="AC1079" s="18" t="n">
        <v>45658</v>
      </c>
      <c r="AD1079" s="18" t="n">
        <v>45747</v>
      </c>
      <c r="AE1079" s="18" t="s">
        <v>44</v>
      </c>
    </row>
    <row r="1080" customFormat="false" ht="15.75" hidden="false" customHeight="true" outlineLevel="0" collapsed="false">
      <c r="A1080" s="12" t="n">
        <v>11186</v>
      </c>
      <c r="B1080" s="13" t="s">
        <v>4759</v>
      </c>
      <c r="C1080" s="14" t="n">
        <v>45076</v>
      </c>
      <c r="D1080" s="13" t="s">
        <v>774</v>
      </c>
      <c r="E1080" s="15" t="s">
        <v>47</v>
      </c>
      <c r="F1080" s="15" t="str">
        <f aca="false">IFERROR(__xludf.dummyfunction("XLOOKUP(AJ1080,IMPORTRANGE(""1XaInW9DU9nz21V0tYIfzFQ0He9kVQ_JF2mCXgZ3hqFA"",""REKAP ALL 2026 - Andika!G:G""),IMPORTRANGE(""1XaInW9DU9nz21V0tYIfzFQ0He9kVQ_JF2mCXgZ3hqFA"",""REKAP ALL 2026 - Andika!F:F""),"""",0)"),"23172179121")</f>
        <v>23172179121</v>
      </c>
      <c r="G1080" s="13" t="s">
        <v>4760</v>
      </c>
      <c r="H1080" s="13" t="s">
        <v>2967</v>
      </c>
      <c r="I1080" s="13" t="str">
        <f aca="false">IF(C1080=J1080,"NEW KONTRAK","RE-KONTRAK")</f>
        <v>RE-KONTRAK</v>
      </c>
      <c r="J1080" s="16" t="n">
        <f aca="false" t="array" ref="J1080:J1080">IFERROR(INDEX(AC1080:AE1080,IF(COUNTA(AC1080:AE1080)=0,"",MAX((AC1080:AE1080&lt;&gt;"")*(COLUMN(AC1080:AE1080)-(COLUMN(AC1080)))))-1),"")</f>
        <v>45570</v>
      </c>
      <c r="K1080" s="16" t="n">
        <f aca="false" t="array" ref="K1080:K1080">IFERROR(INDEX(AC1080:AE1080,IF(COUNTA(AC1080:AE1080)=0,"",MAX((AC1080:AE1080&lt;&gt;"")*(COLUMN(AC1080:AE1080)-(COLUMN(AC1080)-1))))-1),"")</f>
        <v>45934</v>
      </c>
      <c r="L1080" s="17" t="str">
        <f aca="false" t="array" ref="L1080:L1080">IFERROR(INDEX(AC1080:AE1080,IF(COUNTA(AC1080:AE1080)=0,"",MAX((AC1080:AE1080&lt;&gt;"")*(COLUMN(AC1080:AE1080)-(COLUMN(AC1080)-2))))-1),"")</f>
        <v>ARCHIVED</v>
      </c>
      <c r="M1080" s="13" t="n">
        <f aca="true">K1080-TODAY()</f>
        <v>-390</v>
      </c>
      <c r="N1080" s="18" t="s">
        <v>36</v>
      </c>
      <c r="O1080" s="29" t="s">
        <v>780</v>
      </c>
      <c r="P1080" s="19" t="n">
        <v>3250000</v>
      </c>
      <c r="Q1080" s="20" t="s">
        <v>4761</v>
      </c>
      <c r="R1080" s="13" t="s">
        <v>52</v>
      </c>
      <c r="S1080" s="14" t="n">
        <v>36468</v>
      </c>
      <c r="T1080" s="13" t="s">
        <v>40</v>
      </c>
      <c r="U1080" s="13" t="s">
        <v>4762</v>
      </c>
      <c r="V1080" s="13" t="s">
        <v>42</v>
      </c>
      <c r="W1080" s="13" t="s">
        <v>43</v>
      </c>
      <c r="X1080" s="21" t="n">
        <v>85843243762</v>
      </c>
      <c r="Y1080" s="22" t="str">
        <f aca="false">O1080</f>
        <v>Shearing</v>
      </c>
      <c r="Z1080" s="13" t="str">
        <f aca="false">IFERROR(__xludf.dummyfunction("if(BJ1080="""","""",GOOGLETRANSLATE(BJ1080,""auto"",""en""))"),"Shearing")</f>
        <v>Shearing</v>
      </c>
      <c r="AA1080" s="23" t="str">
        <f aca="false">IF(C1080="","", CHOOSE(MONTH(C1080),"January","February","March","April","May","June","July","August","September","October","November","December")&amp;" "&amp;DAY(C1080)&amp;MID("thstndrdth",MIN(9,2*RIGHT(DAY(C1080))*(MOD(DAY(C1080)-11,100)&gt;2)+1),2)&amp;","&amp;TEXT(C1080," yyyy"))</f>
        <v>May 30th,2023</v>
      </c>
      <c r="AB1080" s="15" t="str">
        <f aca="true">IF(S1080="","",DATEDIF(S1080,TODAY(),"Y")&amp;" Tahun, "&amp;DATEDIF(S1080,TODAY(),"YM")&amp;" Bulan, "&amp;DATEDIF(S1080,TODAY(),"MD")&amp;" Hari")</f>
        <v>26 Tahun, 11 Bulan, 25 Hari</v>
      </c>
      <c r="AC1080" s="18" t="n">
        <v>45570</v>
      </c>
      <c r="AD1080" s="18" t="n">
        <v>45934</v>
      </c>
      <c r="AE1080" s="18" t="s">
        <v>44</v>
      </c>
    </row>
    <row r="1081" customFormat="false" ht="15.75" hidden="false" customHeight="true" outlineLevel="0" collapsed="false">
      <c r="A1081" s="12" t="n">
        <v>12013</v>
      </c>
      <c r="B1081" s="45" t="s">
        <v>4763</v>
      </c>
      <c r="C1081" s="14" t="n">
        <v>45099</v>
      </c>
      <c r="D1081" s="13" t="s">
        <v>144</v>
      </c>
      <c r="E1081" s="15" t="s">
        <v>47</v>
      </c>
      <c r="F1081" s="15" t="str">
        <f aca="false">IFERROR(__xludf.dummyfunction("XLOOKUP(AJ1081,IMPORTRANGE(""1XaInW9DU9nz21V0tYIfzFQ0He9kVQ_JF2mCXgZ3hqFA"",""REKAP ALL 2026 - Andika!G:G""),IMPORTRANGE(""1XaInW9DU9nz21V0tYIfzFQ0He9kVQ_JF2mCXgZ3hqFA"",""REKAP ALL 2026 - Andika!F:F""),"""",0)"),"23093935270")</f>
        <v>23093935270</v>
      </c>
      <c r="G1081" s="13" t="s">
        <v>4764</v>
      </c>
      <c r="H1081" s="13" t="s">
        <v>35</v>
      </c>
      <c r="I1081" s="13" t="str">
        <f aca="false">IF(C1081=J1081,"NEW KONTRAK","RE-KONTRAK")</f>
        <v>RE-KONTRAK</v>
      </c>
      <c r="J1081" s="16" t="n">
        <f aca="false" t="array" ref="J1081:J1081">IFERROR(INDEX(AC1081:AE1081,IF(COUNTA(AC1081:AE1081)=0,"",MAX((AC1081:AE1081&lt;&gt;"")*(COLUMN(AC1081:AE1081)-(COLUMN(AC1081)))))-1),"")</f>
        <v>45658</v>
      </c>
      <c r="K1081" s="16" t="n">
        <f aca="false" t="array" ref="K1081:K1081">IFERROR(INDEX(AC1081:AE1081,IF(COUNTA(AC1081:AE1081)=0,"",MAX((AC1081:AE1081&lt;&gt;"")*(COLUMN(AC1081:AE1081)-(COLUMN(AC1081)-1))))-1),"")</f>
        <v>46022</v>
      </c>
      <c r="L1081" s="17" t="str">
        <f aca="false" t="array" ref="L1081:L1081">IFERROR(INDEX(AC1081:AE1081,IF(COUNTA(AC1081:AE1081)=0,"",MAX((AC1081:AE1081&lt;&gt;"")*(COLUMN(AC1081:AE1081)-(COLUMN(AC1081)-2))))-1),"")</f>
        <v>ARCHIVED</v>
      </c>
      <c r="M1081" s="13" t="n">
        <f aca="true">K1081-TODAY()</f>
        <v>-302</v>
      </c>
      <c r="N1081" s="18" t="s">
        <v>36</v>
      </c>
      <c r="O1081" s="13" t="s">
        <v>161</v>
      </c>
      <c r="P1081" s="19" t="n">
        <v>5195401</v>
      </c>
      <c r="Q1081" s="20" t="s">
        <v>4765</v>
      </c>
      <c r="R1081" s="13" t="s">
        <v>4766</v>
      </c>
      <c r="S1081" s="14" t="n">
        <v>35273</v>
      </c>
      <c r="T1081" s="13" t="s">
        <v>108</v>
      </c>
      <c r="U1081" s="13" t="s">
        <v>4767</v>
      </c>
      <c r="V1081" s="28" t="s">
        <v>1216</v>
      </c>
      <c r="W1081" s="13" t="s">
        <v>43</v>
      </c>
      <c r="X1081" s="21" t="n">
        <v>85335111035</v>
      </c>
      <c r="Y1081" s="22" t="str">
        <f aca="false">O1081</f>
        <v>RM Store</v>
      </c>
      <c r="Z1081" s="13" t="str">
        <f aca="false">IFERROR(__xludf.dummyfunction("if(BJ1081="""","""",GOOGLETRANSLATE(BJ1081,""auto"",""en""))"),"RM Store")</f>
        <v>RM Store</v>
      </c>
      <c r="AA1081" s="23" t="str">
        <f aca="false">IF(C1081="","", CHOOSE(MONTH(C1081),"January","February","March","April","May","June","July","August","September","October","November","December")&amp;" "&amp;DAY(C1081)&amp;MID("thstndrdth",MIN(9,2*RIGHT(DAY(C1081))*(MOD(DAY(C1081)-11,100)&gt;2)+1),2)&amp;","&amp;TEXT(C1081," yyyy"))</f>
        <v>June 22nd,2023</v>
      </c>
      <c r="AB1081" s="15" t="str">
        <f aca="true">IF(S1081="","",DATEDIF(S1081,TODAY(),"Y")&amp;" Tahun, "&amp;DATEDIF(S1081,TODAY(),"YM")&amp;" Bulan, "&amp;DATEDIF(S1081,TODAY(),"MD")&amp;" Hari")</f>
        <v>30 Tahun, 3 Bulan, 2 Hari</v>
      </c>
      <c r="AC1081" s="18" t="n">
        <v>45658</v>
      </c>
      <c r="AD1081" s="18" t="n">
        <v>46022</v>
      </c>
      <c r="AE1081" s="18" t="s">
        <v>44</v>
      </c>
    </row>
    <row r="1082" customFormat="false" ht="15.75" hidden="false" customHeight="true" outlineLevel="0" collapsed="false">
      <c r="A1082" s="12" t="n">
        <v>12016</v>
      </c>
      <c r="B1082" s="13" t="s">
        <v>4768</v>
      </c>
      <c r="C1082" s="14" t="n">
        <v>45078</v>
      </c>
      <c r="D1082" s="13" t="s">
        <v>3838</v>
      </c>
      <c r="E1082" s="15" t="s">
        <v>47</v>
      </c>
      <c r="F1082" s="15" t="str">
        <f aca="false">IFERROR(__xludf.dummyfunction("XLOOKUP(AJ1082,IMPORTRANGE(""1XaInW9DU9nz21V0tYIfzFQ0He9kVQ_JF2mCXgZ3hqFA"",""REKAP ALL 2026 - Andika!G:G""),IMPORTRANGE(""1XaInW9DU9nz21V0tYIfzFQ0He9kVQ_JF2mCXgZ3hqFA"",""REKAP ALL 2026 - Andika!F:F""),"""",0)"),"23093935304")</f>
        <v>23093935304</v>
      </c>
      <c r="G1082" s="13" t="s">
        <v>4769</v>
      </c>
      <c r="H1082" s="13" t="s">
        <v>35</v>
      </c>
      <c r="I1082" s="13" t="str">
        <f aca="false">IF(C1082=J1082,"NEW KONTRAK","RE-KONTRAK")</f>
        <v>RE-KONTRAK</v>
      </c>
      <c r="J1082" s="16" t="n">
        <f aca="false" t="array" ref="J1082:J1082">IFERROR(INDEX(AC1082:AE1082,IF(COUNTA(AC1082:AE1082)=0,"",MAX((AC1082:AE1082&lt;&gt;"")*(COLUMN(AC1082:AE1082)-(COLUMN(AC1082)))))-1),"")</f>
        <v>45658</v>
      </c>
      <c r="K1082" s="16" t="n">
        <f aca="false" t="array" ref="K1082:K1082">IFERROR(INDEX(AC1082:AE1082,IF(COUNTA(AC1082:AE1082)=0,"",MAX((AC1082:AE1082&lt;&gt;"")*(COLUMN(AC1082:AE1082)-(COLUMN(AC1082)-1))))-1),"")</f>
        <v>46022</v>
      </c>
      <c r="L1082" s="17" t="str">
        <f aca="false" t="array" ref="L1082:L1082">IFERROR(INDEX(AC1082:AE1082,IF(COUNTA(AC1082:AE1082)=0,"",MAX((AC1082:AE1082&lt;&gt;"")*(COLUMN(AC1082:AE1082)-(COLUMN(AC1082)-2))))-1),"")</f>
        <v>ARCHIVED</v>
      </c>
      <c r="M1082" s="13" t="n">
        <f aca="true">K1082-TODAY()</f>
        <v>-302</v>
      </c>
      <c r="N1082" s="18" t="s">
        <v>749</v>
      </c>
      <c r="O1082" s="13" t="s">
        <v>3577</v>
      </c>
      <c r="P1082" s="19" t="n">
        <v>3983882</v>
      </c>
      <c r="Q1082" s="20" t="s">
        <v>4770</v>
      </c>
      <c r="R1082" s="13" t="s">
        <v>752</v>
      </c>
      <c r="S1082" s="14" t="n">
        <v>28550</v>
      </c>
      <c r="T1082" s="13" t="s">
        <v>40</v>
      </c>
      <c r="U1082" s="13" t="s">
        <v>4771</v>
      </c>
      <c r="V1082" s="13" t="s">
        <v>42</v>
      </c>
      <c r="W1082" s="13" t="s">
        <v>54</v>
      </c>
      <c r="X1082" s="21" t="n">
        <v>85350000995</v>
      </c>
      <c r="Y1082" s="22" t="str">
        <f aca="false">O1082</f>
        <v>Kerani Gudang</v>
      </c>
      <c r="Z1082" s="13" t="str">
        <f aca="false">IFERROR(__xludf.dummyfunction("if(BJ1082="""","""",GOOGLETRANSLATE(BJ1082,""auto"",""en""))"),"Warehouse Clerk")</f>
        <v>Warehouse Clerk</v>
      </c>
      <c r="AA1082" s="23" t="str">
        <f aca="false">IF(C1082="","", CHOOSE(MONTH(C1082),"January","February","March","April","May","June","July","August","September","October","November","December")&amp;" "&amp;DAY(C1082)&amp;MID("thstndrdth",MIN(9,2*RIGHT(DAY(C1082))*(MOD(DAY(C1082)-11,100)&gt;2)+1),2)&amp;","&amp;TEXT(C1082," yyyy"))</f>
        <v>June 1st,2023</v>
      </c>
      <c r="AB1082" s="15" t="str">
        <f aca="true">IF(S1082="","",DATEDIF(S1082,TODAY(),"Y")&amp;" Tahun, "&amp;DATEDIF(S1082,TODAY(),"YM")&amp;" Bulan, "&amp;DATEDIF(S1082,TODAY(),"MD")&amp;" Hari")</f>
        <v>48 Tahun, 7 Bulan, 28 Hari</v>
      </c>
      <c r="AC1082" s="18" t="n">
        <v>45658</v>
      </c>
      <c r="AD1082" s="18" t="n">
        <v>46022</v>
      </c>
      <c r="AE1082" s="18" t="s">
        <v>44</v>
      </c>
    </row>
    <row r="1083" customFormat="false" ht="15.75" hidden="false" customHeight="true" outlineLevel="0" collapsed="false">
      <c r="A1083" s="12" t="n">
        <v>12035</v>
      </c>
      <c r="B1083" s="13" t="s">
        <v>4772</v>
      </c>
      <c r="C1083" s="14" t="n">
        <v>45096</v>
      </c>
      <c r="D1083" s="13" t="s">
        <v>3022</v>
      </c>
      <c r="E1083" s="15" t="s">
        <v>102</v>
      </c>
      <c r="F1083" s="15" t="str">
        <f aca="false">IFERROR(__xludf.dummyfunction("XLOOKUP(AJ1083,IMPORTRANGE(""1XaInW9DU9nz21V0tYIfzFQ0He9kVQ_JF2mCXgZ3hqFA"",""REKAP ALL 2026 - Andika!G:G""),IMPORTRANGE(""1XaInW9DU9nz21V0tYIfzFQ0He9kVQ_JF2mCXgZ3hqFA"",""REKAP ALL 2026 - Andika!F:F""),"""",0)"),"23172180566")</f>
        <v>23172180566</v>
      </c>
      <c r="G1083" s="13" t="s">
        <v>4773</v>
      </c>
      <c r="H1083" s="13" t="s">
        <v>3024</v>
      </c>
      <c r="I1083" s="13" t="str">
        <f aca="false">IF(C1083=J1083,"NEW KONTRAK","RE-KONTRAK")</f>
        <v>RE-KONTRAK</v>
      </c>
      <c r="J1083" s="16" t="n">
        <f aca="false" t="array" ref="J1083:J1083">IFERROR(INDEX(AC1083:AE1083,IF(COUNTA(AC1083:AE1083)=0,"",MAX((AC1083:AE1083&lt;&gt;"")*(COLUMN(AC1083:AE1083)-(COLUMN(AC1083)))))-1),"")</f>
        <v>45570</v>
      </c>
      <c r="K1083" s="16" t="n">
        <f aca="false" t="array" ref="K1083:K1083">IFERROR(INDEX(AC1083:AE1083,IF(COUNTA(AC1083:AE1083)=0,"",MAX((AC1083:AE1083&lt;&gt;"")*(COLUMN(AC1083:AE1083)-(COLUMN(AC1083)-1))))-1),"")</f>
        <v>45934</v>
      </c>
      <c r="L1083" s="17" t="str">
        <f aca="false" t="array" ref="L1083:L1083">IFERROR(INDEX(AC1083:AE1083,IF(COUNTA(AC1083:AE1083)=0,"",MAX((AC1083:AE1083&lt;&gt;"")*(COLUMN(AC1083:AE1083)-(COLUMN(AC1083)-2))))-1),"")</f>
        <v>ARCHIVED</v>
      </c>
      <c r="M1083" s="13" t="n">
        <f aca="true">K1083-TODAY()</f>
        <v>-390</v>
      </c>
      <c r="N1083" s="18" t="s">
        <v>36</v>
      </c>
      <c r="O1083" s="13" t="s">
        <v>3750</v>
      </c>
      <c r="P1083" s="19" t="n">
        <v>150000</v>
      </c>
      <c r="Q1083" s="20" t="s">
        <v>4774</v>
      </c>
      <c r="R1083" s="13" t="s">
        <v>39</v>
      </c>
      <c r="S1083" s="14" t="n">
        <v>37951</v>
      </c>
      <c r="T1083" s="13" t="s">
        <v>40</v>
      </c>
      <c r="U1083" s="13" t="s">
        <v>4775</v>
      </c>
      <c r="V1083" s="13" t="s">
        <v>42</v>
      </c>
      <c r="W1083" s="13" t="s">
        <v>43</v>
      </c>
      <c r="X1083" s="21" t="n">
        <v>88210082783</v>
      </c>
      <c r="Y1083" s="22" t="str">
        <f aca="false">O1083</f>
        <v>Produksi ( Painting )</v>
      </c>
      <c r="Z1083" s="13" t="str">
        <f aca="false">IFERROR(__xludf.dummyfunction("if(BJ1083="""","""",GOOGLETRANSLATE(BJ1083,""auto"",""en""))"),"Production (Painting)")</f>
        <v>Production (Painting)</v>
      </c>
      <c r="AA1083" s="23" t="str">
        <f aca="false">IF(C1083="","", CHOOSE(MONTH(C1083),"January","February","March","April","May","June","July","August","September","October","November","December")&amp;" "&amp;DAY(C1083)&amp;MID("thstndrdth",MIN(9,2*RIGHT(DAY(C1083))*(MOD(DAY(C1083)-11,100)&gt;2)+1),2)&amp;","&amp;TEXT(C1083," yyyy"))</f>
        <v>June 19th,2023</v>
      </c>
      <c r="AB1083" s="15" t="str">
        <f aca="true">IF(S1083="","",DATEDIF(S1083,TODAY(),"Y")&amp;" Tahun, "&amp;DATEDIF(S1083,TODAY(),"YM")&amp;" Bulan, "&amp;DATEDIF(S1083,TODAY(),"MD")&amp;" Hari")</f>
        <v>22 Tahun, 11 Bulan, 3 Hari</v>
      </c>
      <c r="AC1083" s="18" t="n">
        <v>45570</v>
      </c>
      <c r="AD1083" s="18" t="n">
        <v>45934</v>
      </c>
      <c r="AE1083" s="18" t="s">
        <v>44</v>
      </c>
    </row>
    <row r="1084" customFormat="false" ht="15.75" hidden="false" customHeight="true" outlineLevel="0" collapsed="false">
      <c r="A1084" s="12" t="n">
        <v>12085</v>
      </c>
      <c r="B1084" s="13" t="s">
        <v>4776</v>
      </c>
      <c r="C1084" s="14" t="n">
        <v>45082</v>
      </c>
      <c r="D1084" s="13" t="s">
        <v>2033</v>
      </c>
      <c r="E1084" s="15" t="s">
        <v>33</v>
      </c>
      <c r="F1084" s="24" t="s">
        <v>4777</v>
      </c>
      <c r="G1084" s="13" t="s">
        <v>4778</v>
      </c>
      <c r="H1084" s="13" t="s">
        <v>2035</v>
      </c>
      <c r="I1084" s="13" t="str">
        <f aca="false">IF(C1084=J1084,"NEW KONTRAK","RE-KONTRAK")</f>
        <v>RE-KONTRAK</v>
      </c>
      <c r="J1084" s="16" t="n">
        <f aca="false" t="array" ref="J1084:J1084">IFERROR(INDEX(AC1084:AE1084,IF(COUNTA(AC1084:AE1084)=0,"",MAX((AC1084:AE1084&lt;&gt;"")*(COLUMN(AC1084:AE1084)-(COLUMN(AC1084)))))-1),"")</f>
        <v>45744</v>
      </c>
      <c r="K1084" s="16" t="n">
        <f aca="false" t="array" ref="K1084:K1084">IFERROR(INDEX(AC1084:AE1084,IF(COUNTA(AC1084:AE1084)=0,"",MAX((AC1084:AE1084&lt;&gt;"")*(COLUMN(AC1084:AE1084)-(COLUMN(AC1084)-1))))-1),"")</f>
        <v>45915</v>
      </c>
      <c r="L1084" s="17" t="str">
        <f aca="false" t="array" ref="L1084:L1084">IFERROR(INDEX(AC1084:AE1084,IF(COUNTA(AC1084:AE1084)=0,"",MAX((AC1084:AE1084&lt;&gt;"")*(COLUMN(AC1084:AE1084)-(COLUMN(AC1084)-2))))-1),"")</f>
        <v>ARCHIVED</v>
      </c>
      <c r="M1084" s="13" t="n">
        <f aca="true">K1084-TODAY()</f>
        <v>-409</v>
      </c>
      <c r="N1084" s="18" t="s">
        <v>4779</v>
      </c>
      <c r="O1084" s="13" t="s">
        <v>2037</v>
      </c>
      <c r="P1084" s="19" t="n">
        <v>2822116</v>
      </c>
      <c r="Q1084" s="20" t="s">
        <v>4780</v>
      </c>
      <c r="R1084" s="13" t="s">
        <v>4779</v>
      </c>
      <c r="S1084" s="14" t="n">
        <v>37252</v>
      </c>
      <c r="T1084" s="13" t="s">
        <v>108</v>
      </c>
      <c r="U1084" s="13" t="s">
        <v>4781</v>
      </c>
      <c r="V1084" s="13" t="s">
        <v>42</v>
      </c>
      <c r="W1084" s="13" t="s">
        <v>43</v>
      </c>
      <c r="X1084" s="21" t="n">
        <v>89685604648</v>
      </c>
      <c r="Y1084" s="22" t="str">
        <f aca="false">O1084</f>
        <v>SPG/BA</v>
      </c>
      <c r="Z1084" s="13" t="str">
        <f aca="false">IFERROR(__xludf.dummyfunction("if(BJ1084="""","""",GOOGLETRANSLATE(BJ1084,""auto"",""en""))"),"SPG/BA")</f>
        <v>SPG/BA</v>
      </c>
      <c r="AA1084" s="23" t="str">
        <f aca="false">IF(C1084="","", CHOOSE(MONTH(C1084),"January","February","March","April","May","June","July","August","September","October","November","December")&amp;" "&amp;DAY(C1084)&amp;MID("thstndrdth",MIN(9,2*RIGHT(DAY(C1084))*(MOD(DAY(C1084)-11,100)&gt;2)+1),2)&amp;","&amp;TEXT(C1084," yyyy"))</f>
        <v>June 5th,2023</v>
      </c>
      <c r="AB1084" s="15" t="str">
        <f aca="true">IF(S1084="","",DATEDIF(S1084,TODAY(),"Y")&amp;" Tahun, "&amp;DATEDIF(S1084,TODAY(),"YM")&amp;" Bulan, "&amp;DATEDIF(S1084,TODAY(),"MD")&amp;" Hari")</f>
        <v>24 Tahun, 10 Bulan, 2 Hari</v>
      </c>
      <c r="AC1084" s="18" t="n">
        <v>45744</v>
      </c>
      <c r="AD1084" s="18" t="n">
        <v>45915</v>
      </c>
      <c r="AE1084" s="18" t="s">
        <v>44</v>
      </c>
    </row>
    <row r="1085" customFormat="false" ht="15.75" hidden="false" customHeight="true" outlineLevel="0" collapsed="false">
      <c r="A1085" s="12" t="n">
        <v>22745</v>
      </c>
      <c r="B1085" s="13" t="s">
        <v>4782</v>
      </c>
      <c r="C1085" s="14" t="n">
        <v>46219</v>
      </c>
      <c r="D1085" s="13" t="s">
        <v>2033</v>
      </c>
      <c r="E1085" s="13" t="s">
        <v>47</v>
      </c>
      <c r="F1085" s="24" t="s">
        <v>4783</v>
      </c>
      <c r="G1085" s="13" t="s">
        <v>1452</v>
      </c>
      <c r="H1085" s="13" t="s">
        <v>35</v>
      </c>
      <c r="I1085" s="13" t="str">
        <f aca="false">IF(C1085=J1085,"NEW KONTRAK","RE-KONTRAK")</f>
        <v>NEW KONTRAK</v>
      </c>
      <c r="J1085" s="16" t="n">
        <f aca="false" t="array" ref="J1085:J1085">IFERROR(INDEX(AC1085:AE1085,IF(COUNTA(AC1085:AE1085)=0,"",MAX((AC1085:AE1085&lt;&gt;"")*(COLUMN(AC1085:AE1085)-(COLUMN(AC1085)))))-1),"")</f>
        <v>46219</v>
      </c>
      <c r="K1085" s="16" t="n">
        <f aca="false" t="array" ref="K1085:K1085">IFERROR(INDEX(AC1085:AE1085,IF(COUNTA(AC1085:AE1085)=0,"",MAX((AC1085:AE1085&lt;&gt;"")*(COLUMN(AC1085:AE1085)-(COLUMN(AC1085)-1))))-1),"")</f>
        <v>46402</v>
      </c>
      <c r="L1085" s="17" t="str">
        <f aca="false" t="array" ref="L1085:L1085">IFERROR(INDEX(AC1085:AE1085,IF(COUNTA(AC1085:AE1085)=0,"",MAX((AC1085:AE1085&lt;&gt;"")*(COLUMN(AC1085:AE1085)-(COLUMN(AC1085)-2))))-1),"")</f>
        <v>ARCHIVED</v>
      </c>
      <c r="M1085" s="13" t="n">
        <f aca="true">K1085-TODAY()</f>
        <v>78</v>
      </c>
      <c r="N1085" s="18" t="s">
        <v>4784</v>
      </c>
      <c r="O1085" s="13" t="s">
        <v>2384</v>
      </c>
      <c r="P1085" s="19" t="n">
        <v>4022017</v>
      </c>
      <c r="Q1085" s="20" t="s">
        <v>4785</v>
      </c>
      <c r="R1085" s="13" t="s">
        <v>4786</v>
      </c>
      <c r="S1085" s="25" t="n">
        <v>38416</v>
      </c>
      <c r="T1085" s="13" t="s">
        <v>108</v>
      </c>
      <c r="U1085" s="13" t="s">
        <v>4787</v>
      </c>
      <c r="V1085" s="13" t="s">
        <v>99</v>
      </c>
      <c r="W1085" s="13" t="s">
        <v>43</v>
      </c>
      <c r="X1085" s="21" t="n">
        <v>81342607309</v>
      </c>
      <c r="Y1085" s="22" t="str">
        <f aca="false">O1085</f>
        <v>SPG</v>
      </c>
      <c r="Z1085" s="13" t="str">
        <f aca="false">IFERROR(__xludf.dummyfunction("if(BJ1085="""","""",GOOGLETRANSLATE(BJ1085,""auto"",""en""))"),"SPG")</f>
        <v>SPG</v>
      </c>
      <c r="AA1085" s="23" t="str">
        <f aca="false">IF(C1085="","", CHOOSE(MONTH(C1085),"January","February","March","April","May","June","July","August","September","October","November","December")&amp;" "&amp;DAY(C1085)&amp;MID("thstndrdth",MIN(9,2*RIGHT(DAY(C1085))*(MOD(DAY(C1085)-11,100)&gt;2)+1),2)&amp;","&amp;TEXT(C1085," yyyy"))</f>
        <v>July 16th,2026</v>
      </c>
      <c r="AB1085" s="15" t="str">
        <f aca="true">IF(S1085="","",DATEDIF(S1085,TODAY(),"Y")&amp;" Tahun, "&amp;DATEDIF(S1085,TODAY(),"YM")&amp;" Bulan, "&amp;DATEDIF(S1085,TODAY(),"MD")&amp;" Hari")</f>
        <v>21 Tahun, 7 Bulan, 24 Hari</v>
      </c>
      <c r="AC1085" s="14" t="n">
        <v>46219</v>
      </c>
      <c r="AD1085" s="18" t="n">
        <v>46402</v>
      </c>
      <c r="AE1085" s="65" t="s">
        <v>44</v>
      </c>
    </row>
    <row r="1086" customFormat="false" ht="15.75" hidden="false" customHeight="true" outlineLevel="0" collapsed="false">
      <c r="A1086" s="12" t="n">
        <v>12087</v>
      </c>
      <c r="B1086" s="13" t="s">
        <v>4788</v>
      </c>
      <c r="C1086" s="14" t="n">
        <v>45093</v>
      </c>
      <c r="D1086" s="13" t="s">
        <v>2033</v>
      </c>
      <c r="E1086" s="15" t="s">
        <v>33</v>
      </c>
      <c r="F1086" s="24" t="s">
        <v>4789</v>
      </c>
      <c r="G1086" s="13" t="s">
        <v>4790</v>
      </c>
      <c r="H1086" s="13" t="s">
        <v>2035</v>
      </c>
      <c r="I1086" s="13" t="str">
        <f aca="false">IF(C1086=J1086,"NEW KONTRAK","RE-KONTRAK")</f>
        <v>RE-KONTRAK</v>
      </c>
      <c r="J1086" s="16" t="n">
        <f aca="false" t="array" ref="J1086:J1086">IFERROR(INDEX(AC1086:AE1086,IF(COUNTA(AC1086:AE1086)=0,"",MAX((AC1086:AE1086&lt;&gt;"")*(COLUMN(AC1086:AE1086)-(COLUMN(AC1086)))))-1),"")</f>
        <v>45744</v>
      </c>
      <c r="K1086" s="16" t="n">
        <f aca="false" t="array" ref="K1086:K1086">IFERROR(INDEX(AC1086:AE1086,IF(COUNTA(AC1086:AE1086)=0,"",MAX((AC1086:AE1086&lt;&gt;"")*(COLUMN(AC1086:AE1086)-(COLUMN(AC1086)-1))))-1),"")</f>
        <v>45915</v>
      </c>
      <c r="L1086" s="17" t="str">
        <f aca="false" t="array" ref="L1086:L1086">IFERROR(INDEX(AC1086:AE1086,IF(COUNTA(AC1086:AE1086)=0,"",MAX((AC1086:AE1086&lt;&gt;"")*(COLUMN(AC1086:AE1086)-(COLUMN(AC1086)-2))))-1),"")</f>
        <v>ARCHIVED</v>
      </c>
      <c r="M1086" s="13" t="n">
        <f aca="true">K1086-TODAY()</f>
        <v>-409</v>
      </c>
      <c r="N1086" s="18" t="s">
        <v>4132</v>
      </c>
      <c r="O1086" s="13" t="s">
        <v>2037</v>
      </c>
      <c r="P1086" s="19" t="n">
        <v>3121449</v>
      </c>
      <c r="Q1086" s="20" t="s">
        <v>4791</v>
      </c>
      <c r="R1086" s="13" t="s">
        <v>4132</v>
      </c>
      <c r="S1086" s="14" t="n">
        <v>33878</v>
      </c>
      <c r="T1086" s="13" t="s">
        <v>108</v>
      </c>
      <c r="U1086" s="13" t="s">
        <v>4792</v>
      </c>
      <c r="V1086" s="13" t="s">
        <v>42</v>
      </c>
      <c r="W1086" s="13" t="s">
        <v>54</v>
      </c>
      <c r="X1086" s="21" t="n">
        <v>82286751520</v>
      </c>
      <c r="Y1086" s="22" t="str">
        <f aca="false">O1086</f>
        <v>SPG/BA</v>
      </c>
      <c r="Z1086" s="13" t="str">
        <f aca="false">IFERROR(__xludf.dummyfunction("if(BJ1086="""","""",GOOGLETRANSLATE(BJ1086,""auto"",""en""))"),"SPG/BA")</f>
        <v>SPG/BA</v>
      </c>
      <c r="AA1086" s="23" t="str">
        <f aca="false">IF(C1086="","", CHOOSE(MONTH(C1086),"January","February","March","April","May","June","July","August","September","October","November","December")&amp;" "&amp;DAY(C1086)&amp;MID("thstndrdth",MIN(9,2*RIGHT(DAY(C1086))*(MOD(DAY(C1086)-11,100)&gt;2)+1),2)&amp;","&amp;TEXT(C1086," yyyy"))</f>
        <v>June 16th,2023</v>
      </c>
      <c r="AB1086" s="15" t="str">
        <f aca="true">IF(S1086="","",DATEDIF(S1086,TODAY(),"Y")&amp;" Tahun, "&amp;DATEDIF(S1086,TODAY(),"YM")&amp;" Bulan, "&amp;DATEDIF(S1086,TODAY(),"MD")&amp;" Hari")</f>
        <v>34 Tahun, 0 Bulan, 28 Hari</v>
      </c>
      <c r="AC1086" s="18" t="n">
        <v>45744</v>
      </c>
      <c r="AD1086" s="18" t="n">
        <v>45915</v>
      </c>
      <c r="AE1086" s="18" t="s">
        <v>44</v>
      </c>
    </row>
    <row r="1087" customFormat="false" ht="15.75" hidden="false" customHeight="true" outlineLevel="0" collapsed="false">
      <c r="A1087" s="12" t="n">
        <v>12095</v>
      </c>
      <c r="B1087" s="13" t="s">
        <v>4793</v>
      </c>
      <c r="C1087" s="14" t="n">
        <v>45093</v>
      </c>
      <c r="D1087" s="13" t="s">
        <v>2033</v>
      </c>
      <c r="E1087" s="15" t="s">
        <v>47</v>
      </c>
      <c r="F1087" s="15" t="str">
        <f aca="false">IFERROR(__xludf.dummyfunction("XLOOKUP(AJ1087,IMPORTRANGE(""1XaInW9DU9nz21V0tYIfzFQ0He9kVQ_JF2mCXgZ3hqFA"",""REKAP ALL 2026 - Andika!G:G""),IMPORTRANGE(""1XaInW9DU9nz21V0tYIfzFQ0He9kVQ_JF2mCXgZ3hqFA"",""REKAP ALL 2026 - Andika!F:F""),"""",0)"),"23093939744")</f>
        <v>23093939744</v>
      </c>
      <c r="G1087" s="13" t="s">
        <v>4794</v>
      </c>
      <c r="H1087" s="13" t="s">
        <v>2035</v>
      </c>
      <c r="I1087" s="13" t="str">
        <f aca="false">IF(C1087=J1087,"NEW KONTRAK","RE-KONTRAK")</f>
        <v>RE-KONTRAK</v>
      </c>
      <c r="J1087" s="16" t="n">
        <f aca="false" t="array" ref="J1087:J1087">IFERROR(INDEX(AC1087:AE1087,IF(COUNTA(AC1087:AE1087)=0,"",MAX((AC1087:AE1087&lt;&gt;"")*(COLUMN(AC1087:AE1087)-(COLUMN(AC1087)))))-1),"")</f>
        <v>45744</v>
      </c>
      <c r="K1087" s="16" t="n">
        <f aca="false" t="array" ref="K1087:K1087">IFERROR(INDEX(AC1087:AE1087,IF(COUNTA(AC1087:AE1087)=0,"",MAX((AC1087:AE1087&lt;&gt;"")*(COLUMN(AC1087:AE1087)-(COLUMN(AC1087)-1))))-1),"")</f>
        <v>45915</v>
      </c>
      <c r="L1087" s="17" t="str">
        <f aca="false" t="array" ref="L1087:L1087">IFERROR(INDEX(AC1087:AE1087,IF(COUNTA(AC1087:AE1087)=0,"",MAX((AC1087:AE1087&lt;&gt;"")*(COLUMN(AC1087:AE1087)-(COLUMN(AC1087)-2))))-1),"")</f>
        <v>ARCHIVED</v>
      </c>
      <c r="M1087" s="13" t="n">
        <f aca="true">K1087-TODAY()</f>
        <v>-409</v>
      </c>
      <c r="N1087" s="18" t="s">
        <v>4795</v>
      </c>
      <c r="O1087" s="13" t="s">
        <v>2037</v>
      </c>
      <c r="P1087" s="19" t="n">
        <v>3932552</v>
      </c>
      <c r="Q1087" s="20" t="s">
        <v>4796</v>
      </c>
      <c r="R1087" s="13" t="s">
        <v>2421</v>
      </c>
      <c r="S1087" s="14" t="n">
        <v>36662</v>
      </c>
      <c r="T1087" s="13" t="s">
        <v>108</v>
      </c>
      <c r="U1087" s="13" t="s">
        <v>4797</v>
      </c>
      <c r="V1087" s="13" t="s">
        <v>42</v>
      </c>
      <c r="W1087" s="13" t="s">
        <v>43</v>
      </c>
      <c r="X1087" s="21" t="n">
        <v>82161941828</v>
      </c>
      <c r="Y1087" s="22" t="str">
        <f aca="false">O1087</f>
        <v>SPG/BA</v>
      </c>
      <c r="Z1087" s="13" t="str">
        <f aca="false">IFERROR(__xludf.dummyfunction("if(BJ1087="""","""",GOOGLETRANSLATE(BJ1087,""auto"",""en""))"),"SPG/BA")</f>
        <v>SPG/BA</v>
      </c>
      <c r="AA1087" s="23" t="str">
        <f aca="false">IF(C1087="","", CHOOSE(MONTH(C1087),"January","February","March","April","May","June","July","August","September","October","November","December")&amp;" "&amp;DAY(C1087)&amp;MID("thstndrdth",MIN(9,2*RIGHT(DAY(C1087))*(MOD(DAY(C1087)-11,100)&gt;2)+1),2)&amp;","&amp;TEXT(C1087," yyyy"))</f>
        <v>June 16th,2023</v>
      </c>
      <c r="AB1087" s="15" t="str">
        <f aca="true">IF(S1087="","",DATEDIF(S1087,TODAY(),"Y")&amp;" Tahun, "&amp;DATEDIF(S1087,TODAY(),"YM")&amp;" Bulan, "&amp;DATEDIF(S1087,TODAY(),"MD")&amp;" Hari")</f>
        <v>26 Tahun, 5 Bulan, 13 Hari</v>
      </c>
      <c r="AC1087" s="18" t="n">
        <v>45744</v>
      </c>
      <c r="AD1087" s="18" t="n">
        <v>45915</v>
      </c>
      <c r="AE1087" s="18" t="s">
        <v>44</v>
      </c>
    </row>
    <row r="1088" customFormat="false" ht="15.75" hidden="false" customHeight="true" outlineLevel="0" collapsed="false">
      <c r="A1088" s="12" t="n">
        <v>21470</v>
      </c>
      <c r="B1088" s="13" t="s">
        <v>4798</v>
      </c>
      <c r="C1088" s="16" t="n">
        <v>45980</v>
      </c>
      <c r="D1088" s="13" t="s">
        <v>2033</v>
      </c>
      <c r="E1088" s="15" t="s">
        <v>47</v>
      </c>
      <c r="F1088" s="15" t="str">
        <f aca="false">IFERROR(__xludf.dummyfunction("XLOOKUP(AJ1088,IMPORTRANGE(""1XaInW9DU9nz21V0tYIfzFQ0He9kVQ_JF2mCXgZ3hqFA"",""REKAP ALL 2026 - Andika!G:G""),IMPORTRANGE(""1XaInW9DU9nz21V0tYIfzFQ0He9kVQ_JF2mCXgZ3hqFA"",""REKAP ALL 2026 - Andika!F:F""),"""",0)"),"25180535608")</f>
        <v>25180535608</v>
      </c>
      <c r="G1088" s="13" t="s">
        <v>1127</v>
      </c>
      <c r="H1088" s="13" t="s">
        <v>35</v>
      </c>
      <c r="I1088" s="13" t="str">
        <f aca="false">IF(C1088=J1088,"NEW KONTRAK","RE-KONTRAK")</f>
        <v>NEW KONTRAK</v>
      </c>
      <c r="J1088" s="16" t="n">
        <f aca="false" t="array" ref="J1088:J1088">IFERROR(INDEX(AC1088:AE1088,IF(COUNTA(AC1088:AE1088)=0,"",MAX((AC1088:AE1088&lt;&gt;"")*(COLUMN(AC1088:AE1088)-(COLUMN(AC1088)))))-1),"")</f>
        <v>45980</v>
      </c>
      <c r="K1088" s="16" t="n">
        <f aca="false" t="array" ref="K1088:K1088">IFERROR(INDEX(AC1088:AE1088,IF(COUNTA(AC1088:AE1088)=0,"",MAX((AC1088:AE1088&lt;&gt;"")*(COLUMN(AC1088:AE1088)-(COLUMN(AC1088)-1))))-1),"")</f>
        <v>46037</v>
      </c>
      <c r="L1088" s="17" t="str">
        <f aca="false" t="array" ref="L1088:L1088">IFERROR(INDEX(AC1088:AE1088,IF(COUNTA(AC1088:AE1088)=0,"",MAX((AC1088:AE1088&lt;&gt;"")*(COLUMN(AC1088:AE1088)-(COLUMN(AC1088)-2))))-1),"")</f>
        <v>KEMBALI</v>
      </c>
      <c r="M1088" s="13" t="n">
        <f aca="true">K1088-TODAY()</f>
        <v>-287</v>
      </c>
      <c r="N1088" s="18" t="s">
        <v>2363</v>
      </c>
      <c r="O1088" s="13" t="s">
        <v>2037</v>
      </c>
      <c r="P1088" s="19" t="n">
        <v>4335198</v>
      </c>
      <c r="Q1088" s="47" t="s">
        <v>4799</v>
      </c>
      <c r="R1088" s="13" t="s">
        <v>4800</v>
      </c>
      <c r="S1088" s="16" t="n">
        <v>38050</v>
      </c>
      <c r="T1088" s="13" t="s">
        <v>108</v>
      </c>
      <c r="U1088" s="13" t="s">
        <v>4801</v>
      </c>
      <c r="V1088" s="13" t="s">
        <v>42</v>
      </c>
      <c r="W1088" s="13" t="s">
        <v>43</v>
      </c>
      <c r="X1088" s="21" t="n">
        <v>83832844327</v>
      </c>
      <c r="Y1088" s="22" t="str">
        <f aca="false">O1088</f>
        <v>SPG/BA</v>
      </c>
      <c r="Z1088" s="13" t="str">
        <f aca="false">IFERROR(__xludf.dummyfunction("if(BJ1088="""","""",GOOGLETRANSLATE(BJ1088,""auto"",""en""))"),"SPG/BA")</f>
        <v>SPG/BA</v>
      </c>
      <c r="AA1088" s="23" t="str">
        <f aca="false">IF(C1088="","", CHOOSE(MONTH(C1088),"January","February","March","April","May","June","July","August","September","October","November","December")&amp;" "&amp;DAY(C1088)&amp;MID("thstndrdth",MIN(9,2*RIGHT(DAY(C1088))*(MOD(DAY(C1088)-11,100)&gt;2)+1),2)&amp;","&amp;TEXT(C1088," yyyy"))</f>
        <v>November 19th,2025</v>
      </c>
      <c r="AB1088" s="15" t="str">
        <f aca="true">IF(S1088="","",DATEDIF(S1088,TODAY(),"Y")&amp;" Tahun, "&amp;DATEDIF(S1088,TODAY(),"YM")&amp;" Bulan, "&amp;DATEDIF(S1088,TODAY(),"MD")&amp;" Hari")</f>
        <v>22 Tahun, 7 Bulan, 25 Hari</v>
      </c>
      <c r="AC1088" s="18" t="n">
        <v>45980</v>
      </c>
      <c r="AD1088" s="18" t="n">
        <v>46037</v>
      </c>
      <c r="AE1088" s="13" t="s">
        <v>397</v>
      </c>
    </row>
    <row r="1089" customFormat="false" ht="15.75" hidden="false" customHeight="true" outlineLevel="0" collapsed="false">
      <c r="A1089" s="12" t="n">
        <v>12086</v>
      </c>
      <c r="B1089" s="13" t="s">
        <v>4802</v>
      </c>
      <c r="C1089" s="14" t="n">
        <v>45093</v>
      </c>
      <c r="D1089" s="13" t="s">
        <v>2033</v>
      </c>
      <c r="E1089" s="15" t="s">
        <v>47</v>
      </c>
      <c r="F1089" s="15" t="str">
        <f aca="false">IFERROR(__xludf.dummyfunction("XLOOKUP(AJ1089,IMPORTRANGE(""1XaInW9DU9nz21V0tYIfzFQ0He9kVQ_JF2mCXgZ3hqFA"",""REKAP ALL 2026 - Andika!G:G""),IMPORTRANGE(""1XaInW9DU9nz21V0tYIfzFQ0He9kVQ_JF2mCXgZ3hqFA"",""REKAP ALL 2026 - Andika!F:F""),"""",0)"),"23093939785")</f>
        <v>23093939785</v>
      </c>
      <c r="G1089" s="13" t="s">
        <v>4803</v>
      </c>
      <c r="H1089" s="13" t="s">
        <v>2035</v>
      </c>
      <c r="I1089" s="13" t="str">
        <f aca="false">IF(C1089=J1089,"NEW KONTRAK","RE-KONTRAK")</f>
        <v>RE-KONTRAK</v>
      </c>
      <c r="J1089" s="16" t="n">
        <f aca="false" t="array" ref="J1089:J1089">IFERROR(INDEX(AC1089:AE1089,IF(COUNTA(AC1089:AE1089)=0,"",MAX((AC1089:AE1089&lt;&gt;"")*(COLUMN(AC1089:AE1089)-(COLUMN(AC1089)))))-1),"")</f>
        <v>45744</v>
      </c>
      <c r="K1089" s="16" t="n">
        <f aca="false" t="array" ref="K1089:K1089">IFERROR(INDEX(AC1089:AE1089,IF(COUNTA(AC1089:AE1089)=0,"",MAX((AC1089:AE1089&lt;&gt;"")*(COLUMN(AC1089:AE1089)-(COLUMN(AC1089)-1))))-1),"")</f>
        <v>45915</v>
      </c>
      <c r="L1089" s="17" t="str">
        <f aca="false" t="array" ref="L1089:L1089">IFERROR(INDEX(AC1089:AE1089,IF(COUNTA(AC1089:AE1089)=0,"",MAX((AC1089:AE1089&lt;&gt;"")*(COLUMN(AC1089:AE1089)-(COLUMN(AC1089)-2))))-1),"")</f>
        <v>ARCHIVED</v>
      </c>
      <c r="M1089" s="13" t="n">
        <f aca="true">K1089-TODAY()</f>
        <v>-409</v>
      </c>
      <c r="N1089" s="18" t="s">
        <v>4132</v>
      </c>
      <c r="O1089" s="13" t="s">
        <v>2037</v>
      </c>
      <c r="P1089" s="19" t="n">
        <v>3182955</v>
      </c>
      <c r="Q1089" s="20" t="s">
        <v>4804</v>
      </c>
      <c r="R1089" s="13" t="s">
        <v>4805</v>
      </c>
      <c r="S1089" s="14" t="n">
        <v>36907</v>
      </c>
      <c r="T1089" s="13" t="s">
        <v>108</v>
      </c>
      <c r="U1089" s="13" t="s">
        <v>4806</v>
      </c>
      <c r="V1089" s="13" t="s">
        <v>42</v>
      </c>
      <c r="W1089" s="13" t="s">
        <v>43</v>
      </c>
      <c r="X1089" s="21" t="n">
        <v>87714677367</v>
      </c>
      <c r="Y1089" s="22" t="str">
        <f aca="false">O1089</f>
        <v>SPG/BA</v>
      </c>
      <c r="Z1089" s="13" t="str">
        <f aca="false">IFERROR(__xludf.dummyfunction("if(BJ1089="""","""",GOOGLETRANSLATE(BJ1089,""auto"",""en""))"),"SPG/BA")</f>
        <v>SPG/BA</v>
      </c>
      <c r="AA1089" s="23" t="str">
        <f aca="false">IF(C1089="","", CHOOSE(MONTH(C1089),"January","February","March","April","May","June","July","August","September","October","November","December")&amp;" "&amp;DAY(C1089)&amp;MID("thstndrdth",MIN(9,2*RIGHT(DAY(C1089))*(MOD(DAY(C1089)-11,100)&gt;2)+1),2)&amp;","&amp;TEXT(C1089," yyyy"))</f>
        <v>June 16th,2023</v>
      </c>
      <c r="AB1089" s="15" t="str">
        <f aca="true">IF(S1089="","",DATEDIF(S1089,TODAY(),"Y")&amp;" Tahun, "&amp;DATEDIF(S1089,TODAY(),"YM")&amp;" Bulan, "&amp;DATEDIF(S1089,TODAY(),"MD")&amp;" Hari")</f>
        <v>25 Tahun, 9 Bulan, 13 Hari</v>
      </c>
      <c r="AC1089" s="18" t="n">
        <v>45744</v>
      </c>
      <c r="AD1089" s="18" t="n">
        <v>45915</v>
      </c>
      <c r="AE1089" s="18" t="s">
        <v>44</v>
      </c>
    </row>
    <row r="1090" customFormat="false" ht="15.75" hidden="false" customHeight="true" outlineLevel="0" collapsed="false">
      <c r="A1090" s="12" t="n">
        <v>12110</v>
      </c>
      <c r="B1090" s="13" t="s">
        <v>4807</v>
      </c>
      <c r="C1090" s="14" t="n">
        <v>45103</v>
      </c>
      <c r="D1090" s="13" t="s">
        <v>2033</v>
      </c>
      <c r="E1090" s="15" t="s">
        <v>33</v>
      </c>
      <c r="F1090" s="24" t="s">
        <v>4808</v>
      </c>
      <c r="G1090" s="13" t="s">
        <v>4809</v>
      </c>
      <c r="H1090" s="13" t="s">
        <v>2035</v>
      </c>
      <c r="I1090" s="13" t="str">
        <f aca="false">IF(C1090=J1090,"NEW KONTRAK","RE-KONTRAK")</f>
        <v>RE-KONTRAK</v>
      </c>
      <c r="J1090" s="16" t="n">
        <f aca="false" t="array" ref="J1090:J1090">IFERROR(INDEX(AC1090:AE1090,IF(COUNTA(AC1090:AE1090)=0,"",MAX((AC1090:AE1090&lt;&gt;"")*(COLUMN(AC1090:AE1090)-(COLUMN(AC1090)))))-1),"")</f>
        <v>45744</v>
      </c>
      <c r="K1090" s="16" t="n">
        <f aca="false" t="array" ref="K1090:K1090">IFERROR(INDEX(AC1090:AE1090,IF(COUNTA(AC1090:AE1090)=0,"",MAX((AC1090:AE1090&lt;&gt;"")*(COLUMN(AC1090:AE1090)-(COLUMN(AC1090)-1))))-1),"")</f>
        <v>45915</v>
      </c>
      <c r="L1090" s="17" t="str">
        <f aca="false" t="array" ref="L1090:L1090">IFERROR(INDEX(AC1090:AE1090,IF(COUNTA(AC1090:AE1090)=0,"",MAX((AC1090:AE1090&lt;&gt;"")*(COLUMN(AC1090:AE1090)-(COLUMN(AC1090)-2))))-1),"")</f>
        <v>ARCHIVED</v>
      </c>
      <c r="M1090" s="13" t="n">
        <f aca="true">K1090-TODAY()</f>
        <v>-409</v>
      </c>
      <c r="N1090" s="18" t="s">
        <v>2587</v>
      </c>
      <c r="O1090" s="13" t="s">
        <v>2037</v>
      </c>
      <c r="P1090" s="19" t="n">
        <v>3812914</v>
      </c>
      <c r="Q1090" s="20" t="s">
        <v>4810</v>
      </c>
      <c r="R1090" s="13" t="s">
        <v>2587</v>
      </c>
      <c r="S1090" s="14" t="n">
        <v>38120</v>
      </c>
      <c r="T1090" s="13" t="s">
        <v>108</v>
      </c>
      <c r="U1090" s="13" t="s">
        <v>4811</v>
      </c>
      <c r="V1090" s="13" t="s">
        <v>42</v>
      </c>
      <c r="W1090" s="13" t="s">
        <v>43</v>
      </c>
      <c r="X1090" s="21" t="n">
        <v>83150887874</v>
      </c>
      <c r="Y1090" s="22" t="str">
        <f aca="false">O1090</f>
        <v>SPG/BA</v>
      </c>
      <c r="Z1090" s="13" t="str">
        <f aca="false">IFERROR(__xludf.dummyfunction("if(BJ1090="""","""",GOOGLETRANSLATE(BJ1090,""auto"",""en""))"),"SPG/BA")</f>
        <v>SPG/BA</v>
      </c>
      <c r="AA1090" s="23" t="str">
        <f aca="false">IF(C1090="","", CHOOSE(MONTH(C1090),"January","February","March","April","May","June","July","August","September","October","November","December")&amp;" "&amp;DAY(C1090)&amp;MID("thstndrdth",MIN(9,2*RIGHT(DAY(C1090))*(MOD(DAY(C1090)-11,100)&gt;2)+1),2)&amp;","&amp;TEXT(C1090," yyyy"))</f>
        <v>June 26th,2023</v>
      </c>
      <c r="AB1090" s="15" t="str">
        <f aca="true">IF(S1090="","",DATEDIF(S1090,TODAY(),"Y")&amp;" Tahun, "&amp;DATEDIF(S1090,TODAY(),"YM")&amp;" Bulan, "&amp;DATEDIF(S1090,TODAY(),"MD")&amp;" Hari")</f>
        <v>22 Tahun, 5 Bulan, 16 Hari</v>
      </c>
      <c r="AC1090" s="18" t="n">
        <v>45744</v>
      </c>
      <c r="AD1090" s="18" t="n">
        <v>45915</v>
      </c>
      <c r="AE1090" s="18" t="s">
        <v>44</v>
      </c>
    </row>
    <row r="1091" customFormat="false" ht="15.75" hidden="false" customHeight="true" outlineLevel="0" collapsed="false">
      <c r="A1091" s="12" t="n">
        <v>12114</v>
      </c>
      <c r="B1091" s="13" t="s">
        <v>4812</v>
      </c>
      <c r="C1091" s="14" t="n">
        <v>45108</v>
      </c>
      <c r="D1091" s="13" t="s">
        <v>2033</v>
      </c>
      <c r="E1091" s="15" t="s">
        <v>102</v>
      </c>
      <c r="F1091" s="15" t="str">
        <f aca="false">IFERROR(__xludf.dummyfunction("XLOOKUP(AJ1091,IMPORTRANGE(""1XaInW9DU9nz21V0tYIfzFQ0He9kVQ_JF2mCXgZ3hqFA"",""REKAP ALL 2026 - Andika!G:G""),IMPORTRANGE(""1XaInW9DU9nz21V0tYIfzFQ0He9kVQ_JF2mCXgZ3hqFA"",""REKAP ALL 2026 - Andika!F:F""),"""",0)"),"23093939777")</f>
        <v>23093939777</v>
      </c>
      <c r="G1091" s="13" t="s">
        <v>4813</v>
      </c>
      <c r="H1091" s="13" t="s">
        <v>2035</v>
      </c>
      <c r="I1091" s="13" t="str">
        <f aca="false">IF(C1091=J1091,"NEW KONTRAK","RE-KONTRAK")</f>
        <v>RE-KONTRAK</v>
      </c>
      <c r="J1091" s="16" t="n">
        <f aca="false" t="array" ref="J1091:J1091">IFERROR(INDEX(AC1091:AE1091,IF(COUNTA(AC1091:AE1091)=0,"",MAX((AC1091:AE1091&lt;&gt;"")*(COLUMN(AC1091:AE1091)-(COLUMN(AC1091)))))-1),"")</f>
        <v>45744</v>
      </c>
      <c r="K1091" s="16" t="n">
        <f aca="false" t="array" ref="K1091:K1091">IFERROR(INDEX(AC1091:AE1091,IF(COUNTA(AC1091:AE1091)=0,"",MAX((AC1091:AE1091&lt;&gt;"")*(COLUMN(AC1091:AE1091)-(COLUMN(AC1091)-1))))-1),"")</f>
        <v>45915</v>
      </c>
      <c r="L1091" s="17" t="str">
        <f aca="false" t="array" ref="L1091:L1091">IFERROR(INDEX(AC1091:AE1091,IF(COUNTA(AC1091:AE1091)=0,"",MAX((AC1091:AE1091&lt;&gt;"")*(COLUMN(AC1091:AE1091)-(COLUMN(AC1091)-2))))-1),"")</f>
        <v>ARCHIVED</v>
      </c>
      <c r="M1091" s="13" t="n">
        <f aca="true">K1091-TODAY()</f>
        <v>-409</v>
      </c>
      <c r="N1091" s="18" t="s">
        <v>2383</v>
      </c>
      <c r="O1091" s="13" t="s">
        <v>2037</v>
      </c>
      <c r="P1091" s="19" t="n">
        <v>3998179</v>
      </c>
      <c r="Q1091" s="20" t="s">
        <v>4814</v>
      </c>
      <c r="R1091" s="13" t="s">
        <v>4815</v>
      </c>
      <c r="S1091" s="14" t="n">
        <v>36285</v>
      </c>
      <c r="T1091" s="13" t="s">
        <v>108</v>
      </c>
      <c r="U1091" s="13" t="s">
        <v>4816</v>
      </c>
      <c r="V1091" s="13" t="s">
        <v>42</v>
      </c>
      <c r="W1091" s="13" t="s">
        <v>43</v>
      </c>
      <c r="X1091" s="21" t="n">
        <v>85376104410</v>
      </c>
      <c r="Y1091" s="22" t="str">
        <f aca="false">O1091</f>
        <v>SPG/BA</v>
      </c>
      <c r="Z1091" s="13" t="str">
        <f aca="false">IFERROR(__xludf.dummyfunction("if(BJ1091="""","""",GOOGLETRANSLATE(BJ1091,""auto"",""en""))"),"SPG/BA")</f>
        <v>SPG/BA</v>
      </c>
      <c r="AA1091" s="23" t="str">
        <f aca="false">IF(C1091="","", CHOOSE(MONTH(C1091),"January","February","March","April","May","June","July","August","September","October","November","December")&amp;" "&amp;DAY(C1091)&amp;MID("thstndrdth",MIN(9,2*RIGHT(DAY(C1091))*(MOD(DAY(C1091)-11,100)&gt;2)+1),2)&amp;","&amp;TEXT(C1091," yyyy"))</f>
        <v>July 1st,2023</v>
      </c>
      <c r="AB1091" s="15" t="str">
        <f aca="true">IF(S1091="","",DATEDIF(S1091,TODAY(),"Y")&amp;" Tahun, "&amp;DATEDIF(S1091,TODAY(),"YM")&amp;" Bulan, "&amp;DATEDIF(S1091,TODAY(),"MD")&amp;" Hari")</f>
        <v>27 Tahun, 5 Bulan, 24 Hari</v>
      </c>
      <c r="AC1091" s="18" t="n">
        <v>45744</v>
      </c>
      <c r="AD1091" s="18" t="n">
        <v>45915</v>
      </c>
      <c r="AE1091" s="18" t="s">
        <v>44</v>
      </c>
    </row>
    <row r="1092" customFormat="false" ht="15.75" hidden="false" customHeight="true" outlineLevel="0" collapsed="false">
      <c r="A1092" s="12" t="n">
        <v>12133</v>
      </c>
      <c r="B1092" s="13" t="s">
        <v>4817</v>
      </c>
      <c r="C1092" s="14" t="n">
        <v>45112</v>
      </c>
      <c r="D1092" s="13" t="s">
        <v>4264</v>
      </c>
      <c r="E1092" s="15" t="s">
        <v>47</v>
      </c>
      <c r="F1092" s="15" t="str">
        <f aca="false">IFERROR(__xludf.dummyfunction("XLOOKUP(AJ1092,IMPORTRANGE(""1XaInW9DU9nz21V0tYIfzFQ0He9kVQ_JF2mCXgZ3hqFA"",""REKAP ALL 2026 - Andika!G:G""),IMPORTRANGE(""1XaInW9DU9nz21V0tYIfzFQ0He9kVQ_JF2mCXgZ3hqFA"",""REKAP ALL 2026 - Andika!F:F""),"""",0)"),"23093950741")</f>
        <v>23093950741</v>
      </c>
      <c r="G1092" s="13" t="s">
        <v>57</v>
      </c>
      <c r="H1092" s="13" t="s">
        <v>35</v>
      </c>
      <c r="I1092" s="13" t="str">
        <f aca="false">IF(C1092=J1092,"NEW KONTRAK","RE-KONTRAK")</f>
        <v>RE-KONTRAK</v>
      </c>
      <c r="J1092" s="16" t="n">
        <f aca="false" t="array" ref="J1092:J1092">IFERROR(INDEX(AC1092:AE1092,IF(COUNTA(AC1092:AE1092)=0,"",MAX((AC1092:AE1092&lt;&gt;"")*(COLUMN(AC1092:AE1092)-(COLUMN(AC1092)))))-1),"")</f>
        <v>45764</v>
      </c>
      <c r="K1092" s="16" t="n">
        <f aca="false" t="array" ref="K1092:K1092">IFERROR(INDEX(AC1092:AE1092,IF(COUNTA(AC1092:AE1092)=0,"",MAX((AC1092:AE1092&lt;&gt;"")*(COLUMN(AC1092:AE1092)-(COLUMN(AC1092)-1))))-1),"")</f>
        <v>45946</v>
      </c>
      <c r="L1092" s="17" t="str">
        <f aca="false" t="array" ref="L1092:L1092">IFERROR(INDEX(AC1092:AE1092,IF(COUNTA(AC1092:AE1092)=0,"",MAX((AC1092:AE1092&lt;&gt;"")*(COLUMN(AC1092:AE1092)-(COLUMN(AC1092)-2))))-1),"")</f>
        <v>ARCHIVED</v>
      </c>
      <c r="M1092" s="13" t="n">
        <f aca="true">K1092-TODAY()</f>
        <v>-378</v>
      </c>
      <c r="N1092" s="18" t="s">
        <v>36</v>
      </c>
      <c r="O1092" s="13" t="s">
        <v>4255</v>
      </c>
      <c r="P1092" s="27" t="n">
        <v>200000</v>
      </c>
      <c r="Q1092" s="20" t="s">
        <v>4818</v>
      </c>
      <c r="R1092" s="13" t="s">
        <v>65</v>
      </c>
      <c r="S1092" s="14" t="n">
        <v>36667</v>
      </c>
      <c r="T1092" s="13" t="s">
        <v>40</v>
      </c>
      <c r="U1092" s="13" t="s">
        <v>4819</v>
      </c>
      <c r="V1092" s="13" t="s">
        <v>42</v>
      </c>
      <c r="W1092" s="13" t="s">
        <v>43</v>
      </c>
      <c r="X1092" s="21" t="n">
        <v>85850013285</v>
      </c>
      <c r="Y1092" s="22" t="str">
        <f aca="false">O1092</f>
        <v>Operator Cutting</v>
      </c>
      <c r="Z1092" s="13" t="str">
        <f aca="false">IFERROR(__xludf.dummyfunction("if(BJ1092="""","""",GOOGLETRANSLATE(BJ1092,""auto"",""en""))"),"Operator Cutting")</f>
        <v>Operator Cutting</v>
      </c>
      <c r="AA1092" s="23" t="str">
        <f aca="false">IF(C1092="","", CHOOSE(MONTH(C1092),"January","February","March","April","May","June","July","August","September","October","November","December")&amp;" "&amp;DAY(C1092)&amp;MID("thstndrdth",MIN(9,2*RIGHT(DAY(C1092))*(MOD(DAY(C1092)-11,100)&gt;2)+1),2)&amp;","&amp;TEXT(C1092," yyyy"))</f>
        <v>July 5th,2023</v>
      </c>
      <c r="AB1092" s="15" t="str">
        <f aca="true">IF(S1092="","",DATEDIF(S1092,TODAY(),"Y")&amp;" Tahun, "&amp;DATEDIF(S1092,TODAY(),"YM")&amp;" Bulan, "&amp;DATEDIF(S1092,TODAY(),"MD")&amp;" Hari")</f>
        <v>26 Tahun, 5 Bulan, 8 Hari</v>
      </c>
      <c r="AC1092" s="18" t="n">
        <v>45764</v>
      </c>
      <c r="AD1092" s="18" t="n">
        <v>45946</v>
      </c>
      <c r="AE1092" s="18" t="s">
        <v>44</v>
      </c>
    </row>
    <row r="1093" customFormat="false" ht="15.75" hidden="false" customHeight="true" outlineLevel="0" collapsed="false">
      <c r="A1093" s="12" t="n">
        <v>12139</v>
      </c>
      <c r="B1093" s="13" t="s">
        <v>4820</v>
      </c>
      <c r="C1093" s="14" t="n">
        <v>45112</v>
      </c>
      <c r="D1093" s="13" t="s">
        <v>404</v>
      </c>
      <c r="E1093" s="15" t="s">
        <v>47</v>
      </c>
      <c r="F1093" s="15" t="str">
        <f aca="false">IFERROR(__xludf.dummyfunction("XLOOKUP(AJ1093,IMPORTRANGE(""1XaInW9DU9nz21V0tYIfzFQ0He9kVQ_JF2mCXgZ3hqFA"",""REKAP ALL 2026 - Andika!G:G""),IMPORTRANGE(""1XaInW9DU9nz21V0tYIfzFQ0He9kVQ_JF2mCXgZ3hqFA"",""REKAP ALL 2026 - Andika!F:F""),"""",0)"),"23093931139")</f>
        <v>23093931139</v>
      </c>
      <c r="G1093" s="13" t="s">
        <v>4821</v>
      </c>
      <c r="H1093" s="13" t="s">
        <v>35</v>
      </c>
      <c r="I1093" s="13" t="str">
        <f aca="false">IF(C1093=J1093,"NEW KONTRAK","RE-KONTRAK")</f>
        <v>RE-KONTRAK</v>
      </c>
      <c r="J1093" s="16" t="n">
        <f aca="false" t="array" ref="J1093:J1093">IFERROR(INDEX(AC1093:AE1093,IF(COUNTA(AC1093:AE1093)=0,"",MAX((AC1093:AE1093&lt;&gt;"")*(COLUMN(AC1093:AE1093)-(COLUMN(AC1093)))))-1),"")</f>
        <v>45658</v>
      </c>
      <c r="K1093" s="16" t="n">
        <f aca="false" t="array" ref="K1093:K1093">IFERROR(INDEX(AC1093:AE1093,IF(COUNTA(AC1093:AE1093)=0,"",MAX((AC1093:AE1093&lt;&gt;"")*(COLUMN(AC1093:AE1093)-(COLUMN(AC1093)-1))))-1),"")</f>
        <v>46022</v>
      </c>
      <c r="L1093" s="17" t="str">
        <f aca="false" t="array" ref="L1093:L1093">IFERROR(INDEX(AC1093:AE1093,IF(COUNTA(AC1093:AE1093)=0,"",MAX((AC1093:AE1093&lt;&gt;"")*(COLUMN(AC1093:AE1093)-(COLUMN(AC1093)-2))))-1),"")</f>
        <v>ARCHIVED</v>
      </c>
      <c r="M1093" s="13" t="n">
        <f aca="true">K1093-TODAY()</f>
        <v>-302</v>
      </c>
      <c r="N1093" s="18" t="s">
        <v>36</v>
      </c>
      <c r="O1093" s="13" t="s">
        <v>411</v>
      </c>
      <c r="P1093" s="26" t="n">
        <v>5195401</v>
      </c>
      <c r="Q1093" s="20" t="s">
        <v>4822</v>
      </c>
      <c r="R1093" s="13" t="s">
        <v>78</v>
      </c>
      <c r="S1093" s="14" t="n">
        <v>38520</v>
      </c>
      <c r="T1093" s="13" t="s">
        <v>40</v>
      </c>
      <c r="U1093" s="13" t="s">
        <v>518</v>
      </c>
      <c r="V1093" s="13" t="s">
        <v>42</v>
      </c>
      <c r="W1093" s="13" t="s">
        <v>43</v>
      </c>
      <c r="X1093" s="21" t="n">
        <v>82219745889</v>
      </c>
      <c r="Y1093" s="22" t="str">
        <f aca="false">O1093</f>
        <v>Dry Fact</v>
      </c>
      <c r="Z1093" s="13" t="str">
        <f aca="false">IFERROR(__xludf.dummyfunction("if(BJ1093="""","""",GOOGLETRANSLATE(BJ1093,""auto"",""en""))"),"Dry Fact")</f>
        <v>Dry Fact</v>
      </c>
      <c r="AA1093" s="23" t="str">
        <f aca="false">IF(C1093="","", CHOOSE(MONTH(C1093),"January","February","March","April","May","June","July","August","September","October","November","December")&amp;" "&amp;DAY(C1093)&amp;MID("thstndrdth",MIN(9,2*RIGHT(DAY(C1093))*(MOD(DAY(C1093)-11,100)&gt;2)+1),2)&amp;","&amp;TEXT(C1093," yyyy"))</f>
        <v>July 5th,2023</v>
      </c>
      <c r="AB1093" s="15" t="str">
        <f aca="true">IF(S1093="","",DATEDIF(S1093,TODAY(),"Y")&amp;" Tahun, "&amp;DATEDIF(S1093,TODAY(),"YM")&amp;" Bulan, "&amp;DATEDIF(S1093,TODAY(),"MD")&amp;" Hari")</f>
        <v>21 Tahun, 4 Bulan, 12 Hari</v>
      </c>
      <c r="AC1093" s="18" t="n">
        <v>45658</v>
      </c>
      <c r="AD1093" s="18" t="n">
        <v>46022</v>
      </c>
      <c r="AE1093" s="18" t="s">
        <v>44</v>
      </c>
    </row>
    <row r="1094" customFormat="false" ht="15.75" hidden="false" customHeight="true" outlineLevel="0" collapsed="false">
      <c r="A1094" s="12" t="n">
        <v>12140</v>
      </c>
      <c r="B1094" s="13" t="s">
        <v>4823</v>
      </c>
      <c r="C1094" s="14" t="n">
        <v>45112</v>
      </c>
      <c r="D1094" s="13" t="s">
        <v>404</v>
      </c>
      <c r="E1094" s="15" t="s">
        <v>47</v>
      </c>
      <c r="F1094" s="15" t="str">
        <f aca="false">IFERROR(__xludf.dummyfunction("XLOOKUP(AJ1094,IMPORTRANGE(""1XaInW9DU9nz21V0tYIfzFQ0He9kVQ_JF2mCXgZ3hqFA"",""REKAP ALL 2026 - Andika!G:G""),IMPORTRANGE(""1XaInW9DU9nz21V0tYIfzFQ0He9kVQ_JF2mCXgZ3hqFA"",""REKAP ALL 2026 - Andika!F:F""),"""",0)"),"23093931147")</f>
        <v>23093931147</v>
      </c>
      <c r="G1094" s="13" t="s">
        <v>4824</v>
      </c>
      <c r="H1094" s="13" t="s">
        <v>35</v>
      </c>
      <c r="I1094" s="13" t="str">
        <f aca="false">IF(C1094=J1094,"NEW KONTRAK","RE-KONTRAK")</f>
        <v>RE-KONTRAK</v>
      </c>
      <c r="J1094" s="16" t="n">
        <f aca="false" t="array" ref="J1094:J1094">IFERROR(INDEX(AC1094:AE1094,IF(COUNTA(AC1094:AE1094)=0,"",MAX((AC1094:AE1094&lt;&gt;"")*(COLUMN(AC1094:AE1094)-(COLUMN(AC1094)))))-1),"")</f>
        <v>45658</v>
      </c>
      <c r="K1094" s="16" t="n">
        <f aca="false" t="array" ref="K1094:K1094">IFERROR(INDEX(AC1094:AE1094,IF(COUNTA(AC1094:AE1094)=0,"",MAX((AC1094:AE1094&lt;&gt;"")*(COLUMN(AC1094:AE1094)-(COLUMN(AC1094)-1))))-1),"")</f>
        <v>46022</v>
      </c>
      <c r="L1094" s="17" t="str">
        <f aca="false" t="array" ref="L1094:L1094">IFERROR(INDEX(AC1094:AE1094,IF(COUNTA(AC1094:AE1094)=0,"",MAX((AC1094:AE1094&lt;&gt;"")*(COLUMN(AC1094:AE1094)-(COLUMN(AC1094)-2))))-1),"")</f>
        <v>ARCHIVED</v>
      </c>
      <c r="M1094" s="13" t="n">
        <f aca="true">K1094-TODAY()</f>
        <v>-302</v>
      </c>
      <c r="N1094" s="18" t="s">
        <v>36</v>
      </c>
      <c r="O1094" s="13" t="s">
        <v>433</v>
      </c>
      <c r="P1094" s="26" t="n">
        <v>5195401</v>
      </c>
      <c r="Q1094" s="66" t="s">
        <v>4825</v>
      </c>
      <c r="R1094" s="13" t="s">
        <v>78</v>
      </c>
      <c r="S1094" s="14" t="n">
        <v>36430</v>
      </c>
      <c r="T1094" s="13" t="s">
        <v>40</v>
      </c>
      <c r="U1094" s="13" t="s">
        <v>4826</v>
      </c>
      <c r="V1094" s="13" t="s">
        <v>42</v>
      </c>
      <c r="W1094" s="13" t="s">
        <v>43</v>
      </c>
      <c r="X1094" s="21" t="n">
        <v>85735400935</v>
      </c>
      <c r="Y1094" s="22" t="str">
        <f aca="false">O1094</f>
        <v>Refinery</v>
      </c>
      <c r="Z1094" s="13" t="str">
        <f aca="false">IFERROR(__xludf.dummyfunction("if(BJ1094="""","""",GOOGLETRANSLATE(BJ1094,""auto"",""en""))"),"Refinery")</f>
        <v>Refinery</v>
      </c>
      <c r="AA1094" s="23" t="str">
        <f aca="false">IF(C1094="","", CHOOSE(MONTH(C1094),"January","February","March","April","May","June","July","August","September","October","November","December")&amp;" "&amp;DAY(C1094)&amp;MID("thstndrdth",MIN(9,2*RIGHT(DAY(C1094))*(MOD(DAY(C1094)-11,100)&gt;2)+1),2)&amp;","&amp;TEXT(C1094," yyyy"))</f>
        <v>July 5th,2023</v>
      </c>
      <c r="AB1094" s="15" t="str">
        <f aca="true">IF(S1094="","",DATEDIF(S1094,TODAY(),"Y")&amp;" Tahun, "&amp;DATEDIF(S1094,TODAY(),"YM")&amp;" Bulan, "&amp;DATEDIF(S1094,TODAY(),"MD")&amp;" Hari")</f>
        <v>27 Tahun, 1 Bulan, 2 Hari</v>
      </c>
      <c r="AC1094" s="18" t="n">
        <v>45658</v>
      </c>
      <c r="AD1094" s="18" t="n">
        <v>46022</v>
      </c>
      <c r="AE1094" s="18" t="s">
        <v>44</v>
      </c>
    </row>
    <row r="1095" customFormat="false" ht="15.75" hidden="false" customHeight="true" outlineLevel="0" collapsed="false">
      <c r="A1095" s="12" t="n">
        <v>12157</v>
      </c>
      <c r="B1095" s="13" t="s">
        <v>4827</v>
      </c>
      <c r="C1095" s="14" t="n">
        <v>45118</v>
      </c>
      <c r="D1095" s="13" t="s">
        <v>2294</v>
      </c>
      <c r="E1095" s="15" t="s">
        <v>47</v>
      </c>
      <c r="F1095" s="15" t="str">
        <f aca="false">IFERROR(__xludf.dummyfunction("XLOOKUP(AJ1095,IMPORTRANGE(""1XaInW9DU9nz21V0tYIfzFQ0He9kVQ_JF2mCXgZ3hqFA"",""REKAP ALL 2026 - Andika!G:G""),IMPORTRANGE(""1XaInW9DU9nz21V0tYIfzFQ0He9kVQ_JF2mCXgZ3hqFA"",""REKAP ALL 2026 - Andika!F:F""),"""",0)"),"23093939843")</f>
        <v>23093939843</v>
      </c>
      <c r="G1095" s="13" t="s">
        <v>4828</v>
      </c>
      <c r="H1095" s="13" t="s">
        <v>2296</v>
      </c>
      <c r="I1095" s="13" t="str">
        <f aca="false">IF(C1095=J1095,"NEW KONTRAK","RE-KONTRAK")</f>
        <v>RE-KONTRAK</v>
      </c>
      <c r="J1095" s="16" t="n">
        <f aca="false" t="array" ref="J1095:J1095">IFERROR(INDEX(AC1095:AE1095,IF(COUNTA(AC1095:AE1095)=0,"",MAX((AC1095:AE1095&lt;&gt;"")*(COLUMN(AC1095:AE1095)-(COLUMN(AC1095)))))-1),"")</f>
        <v>45844</v>
      </c>
      <c r="K1095" s="16" t="n">
        <f aca="false" t="array" ref="K1095:K1095">IFERROR(INDEX(AC1095:AE1095,IF(COUNTA(AC1095:AE1095)=0,"",MAX((AC1095:AE1095&lt;&gt;"")*(COLUMN(AC1095:AE1095)-(COLUMN(AC1095)-1))))-1),"")</f>
        <v>45935</v>
      </c>
      <c r="L1095" s="17" t="str">
        <f aca="false" t="array" ref="L1095:L1095">IFERROR(INDEX(AC1095:AE1095,IF(COUNTA(AC1095:AE1095)=0,"",MAX((AC1095:AE1095&lt;&gt;"")*(COLUMN(AC1095:AE1095)-(COLUMN(AC1095)-2))))-1),"")</f>
        <v>KEMBALI</v>
      </c>
      <c r="M1095" s="13" t="n">
        <f aca="true">K1095-TODAY()</f>
        <v>-389</v>
      </c>
      <c r="N1095" s="18" t="s">
        <v>615</v>
      </c>
      <c r="O1095" s="13" t="s">
        <v>2297</v>
      </c>
      <c r="P1095" s="19" t="n">
        <v>165635</v>
      </c>
      <c r="Q1095" s="20" t="s">
        <v>4829</v>
      </c>
      <c r="R1095" s="13" t="s">
        <v>232</v>
      </c>
      <c r="S1095" s="14" t="n">
        <v>36030</v>
      </c>
      <c r="T1095" s="13" t="s">
        <v>40</v>
      </c>
      <c r="U1095" s="13" t="s">
        <v>4830</v>
      </c>
      <c r="V1095" s="13" t="s">
        <v>42</v>
      </c>
      <c r="W1095" s="28" t="s">
        <v>54</v>
      </c>
      <c r="X1095" s="21" t="n">
        <v>85336211609</v>
      </c>
      <c r="Y1095" s="22" t="str">
        <f aca="false">O1095</f>
        <v>Borongan muat</v>
      </c>
      <c r="Z1095" s="13" t="str">
        <f aca="false">IFERROR(__xludf.dummyfunction("if(BJ1095="""","""",GOOGLETRANSLATE(BJ1095,""auto"",""en""))"),"Bulk loading")</f>
        <v>Bulk loading</v>
      </c>
      <c r="AA1095" s="23" t="str">
        <f aca="false">IF(C1095="","", CHOOSE(MONTH(C1095),"January","February","March","April","May","June","July","August","September","October","November","December")&amp;" "&amp;DAY(C1095)&amp;MID("thstndrdth",MIN(9,2*RIGHT(DAY(C1095))*(MOD(DAY(C1095)-11,100)&gt;2)+1),2)&amp;","&amp;TEXT(C1095," yyyy"))</f>
        <v>July 11th,2023</v>
      </c>
      <c r="AB1095" s="15" t="str">
        <f aca="true">IF(S1095="","",DATEDIF(S1095,TODAY(),"Y")&amp;" Tahun, "&amp;DATEDIF(S1095,TODAY(),"YM")&amp;" Bulan, "&amp;DATEDIF(S1095,TODAY(),"MD")&amp;" Hari")</f>
        <v>28 Tahun, 2 Bulan, 6 Hari</v>
      </c>
      <c r="AC1095" s="18" t="n">
        <v>45844</v>
      </c>
      <c r="AD1095" s="18" t="n">
        <v>45935</v>
      </c>
      <c r="AE1095" s="13" t="s">
        <v>397</v>
      </c>
    </row>
    <row r="1096" customFormat="false" ht="15.75" hidden="false" customHeight="true" outlineLevel="0" collapsed="false">
      <c r="A1096" s="12" t="n">
        <v>12207</v>
      </c>
      <c r="B1096" s="13" t="s">
        <v>4831</v>
      </c>
      <c r="C1096" s="14" t="n">
        <v>45117</v>
      </c>
      <c r="D1096" s="13" t="s">
        <v>144</v>
      </c>
      <c r="E1096" s="15" t="s">
        <v>102</v>
      </c>
      <c r="F1096" s="15" t="str">
        <f aca="false">IFERROR(__xludf.dummyfunction("XLOOKUP(AJ1096,IMPORTRANGE(""1XaInW9DU9nz21V0tYIfzFQ0He9kVQ_JF2mCXgZ3hqFA"",""REKAP ALL 2026 - Andika!G:G""),IMPORTRANGE(""1XaInW9DU9nz21V0tYIfzFQ0He9kVQ_JF2mCXgZ3hqFA"",""REKAP ALL 2026 - Andika!F:F""),"""",0)"),"23113697587")</f>
        <v>23113697587</v>
      </c>
      <c r="G1096" s="13" t="s">
        <v>4832</v>
      </c>
      <c r="H1096" s="13" t="s">
        <v>35</v>
      </c>
      <c r="I1096" s="13" t="str">
        <f aca="false">IF(C1096=J1096,"NEW KONTRAK","RE-KONTRAK")</f>
        <v>RE-KONTRAK</v>
      </c>
      <c r="J1096" s="16" t="n">
        <f aca="false" t="array" ref="J1096:J1096">IFERROR(INDEX(AC1096:AE1096,IF(COUNTA(AC1096:AE1096)=0,"",MAX((AC1096:AE1096&lt;&gt;"")*(COLUMN(AC1096:AE1096)-(COLUMN(AC1096)))))-1),"")</f>
        <v>45658</v>
      </c>
      <c r="K1096" s="16" t="n">
        <f aca="false" t="array" ref="K1096:K1096">IFERROR(INDEX(AC1096:AE1096,IF(COUNTA(AC1096:AE1096)=0,"",MAX((AC1096:AE1096&lt;&gt;"")*(COLUMN(AC1096:AE1096)-(COLUMN(AC1096)-1))))-1),"")</f>
        <v>46022</v>
      </c>
      <c r="L1096" s="17" t="str">
        <f aca="false" t="array" ref="L1096:L1096">IFERROR(INDEX(AC1096:AE1096,IF(COUNTA(AC1096:AE1096)=0,"",MAX((AC1096:AE1096&lt;&gt;"")*(COLUMN(AC1096:AE1096)-(COLUMN(AC1096)-2))))-1),"")</f>
        <v>ARCHIVED</v>
      </c>
      <c r="M1096" s="13" t="n">
        <f aca="true">K1096-TODAY()</f>
        <v>-302</v>
      </c>
      <c r="N1096" s="18" t="s">
        <v>36</v>
      </c>
      <c r="O1096" s="13" t="s">
        <v>298</v>
      </c>
      <c r="P1096" s="19" t="n">
        <v>5195401</v>
      </c>
      <c r="Q1096" s="20" t="s">
        <v>4833</v>
      </c>
      <c r="R1096" s="13" t="s">
        <v>65</v>
      </c>
      <c r="S1096" s="14" t="n">
        <v>33820</v>
      </c>
      <c r="T1096" s="13" t="s">
        <v>40</v>
      </c>
      <c r="U1096" s="13" t="s">
        <v>4519</v>
      </c>
      <c r="V1096" s="13" t="s">
        <v>42</v>
      </c>
      <c r="W1096" s="13" t="s">
        <v>54</v>
      </c>
      <c r="X1096" s="21" t="n">
        <v>82331264202</v>
      </c>
      <c r="Y1096" s="22" t="str">
        <f aca="false">O1096</f>
        <v>Maintenance</v>
      </c>
      <c r="Z1096" s="13" t="str">
        <f aca="false">IFERROR(__xludf.dummyfunction("if(BJ1096="""","""",GOOGLETRANSLATE(BJ1096,""auto"",""en""))"),"Maintenance")</f>
        <v>Maintenance</v>
      </c>
      <c r="AA1096" s="23" t="str">
        <f aca="false">IF(C1096="","", CHOOSE(MONTH(C1096),"January","February","March","April","May","June","July","August","September","October","November","December")&amp;" "&amp;DAY(C1096)&amp;MID("thstndrdth",MIN(9,2*RIGHT(DAY(C1096))*(MOD(DAY(C1096)-11,100)&gt;2)+1),2)&amp;","&amp;TEXT(C1096," yyyy"))</f>
        <v>July 10th,2023</v>
      </c>
      <c r="AB1096" s="15" t="str">
        <f aca="true">IF(S1096="","",DATEDIF(S1096,TODAY(),"Y")&amp;" Tahun, "&amp;DATEDIF(S1096,TODAY(),"YM")&amp;" Bulan, "&amp;DATEDIF(S1096,TODAY(),"MD")&amp;" Hari")</f>
        <v>34 Tahun, 2 Bulan, 25 Hari</v>
      </c>
      <c r="AC1096" s="18" t="n">
        <v>45658</v>
      </c>
      <c r="AD1096" s="18" t="n">
        <v>46022</v>
      </c>
      <c r="AE1096" s="18" t="s">
        <v>44</v>
      </c>
    </row>
    <row r="1097" customFormat="false" ht="15.75" hidden="false" customHeight="true" outlineLevel="0" collapsed="false">
      <c r="A1097" s="12" t="n">
        <v>12220</v>
      </c>
      <c r="B1097" s="13" t="s">
        <v>4834</v>
      </c>
      <c r="C1097" s="14" t="n">
        <v>45931</v>
      </c>
      <c r="D1097" s="13" t="s">
        <v>774</v>
      </c>
      <c r="E1097" s="15" t="s">
        <v>47</v>
      </c>
      <c r="F1097" s="15" t="str">
        <f aca="false">IFERROR(__xludf.dummyfunction("XLOOKUP(AJ1097,IMPORTRANGE(""1XaInW9DU9nz21V0tYIfzFQ0He9kVQ_JF2mCXgZ3hqFA"",""REKAP ALL 2026 - Andika!G:G""),IMPORTRANGE(""1XaInW9DU9nz21V0tYIfzFQ0He9kVQ_JF2mCXgZ3hqFA"",""REKAP ALL 2026 - Andika!F:F""),"""",0)"),"23113700423")</f>
        <v>23113700423</v>
      </c>
      <c r="G1097" s="13" t="s">
        <v>4835</v>
      </c>
      <c r="H1097" s="13" t="s">
        <v>49</v>
      </c>
      <c r="I1097" s="13" t="str">
        <f aca="false">IF(C1097=J1097,"NEW KONTRAK","RE-KONTRAK")</f>
        <v>NEW KONTRAK</v>
      </c>
      <c r="J1097" s="16" t="n">
        <f aca="false" t="array" ref="J1097:J1097">IFERROR(INDEX(AC1097:AE1097,IF(COUNTA(AC1097:AE1097)=0,"",MAX((AC1097:AE1097&lt;&gt;"")*(COLUMN(AC1097:AE1097)-(COLUMN(AC1097)))))-1),"")</f>
        <v>45931</v>
      </c>
      <c r="K1097" s="16" t="n">
        <f aca="false" t="array" ref="K1097:K1097">IFERROR(INDEX(AC1097:AE1097,IF(COUNTA(AC1097:AE1097)=0,"",MAX((AC1097:AE1097&lt;&gt;"")*(COLUMN(AC1097:AE1097)-(COLUMN(AC1097)-1))))-1),"")</f>
        <v>46295</v>
      </c>
      <c r="L1097" s="17" t="str">
        <f aca="false" t="array" ref="L1097:L1097">IFERROR(INDEX(AC1097:AE1097,IF(COUNTA(AC1097:AE1097)=0,"",MAX((AC1097:AE1097&lt;&gt;"")*(COLUMN(AC1097:AE1097)-(COLUMN(AC1097)-2))))-1),"")</f>
        <v>ARCHIVED</v>
      </c>
      <c r="M1097" s="13" t="n">
        <f aca="true">K1097-TODAY()</f>
        <v>-29</v>
      </c>
      <c r="N1097" s="18" t="s">
        <v>36</v>
      </c>
      <c r="O1097" s="13" t="s">
        <v>4836</v>
      </c>
      <c r="P1097" s="19" t="n">
        <v>6500000</v>
      </c>
      <c r="Q1097" s="20" t="s">
        <v>4837</v>
      </c>
      <c r="R1097" s="13" t="s">
        <v>83</v>
      </c>
      <c r="S1097" s="14" t="n">
        <v>27264</v>
      </c>
      <c r="T1097" s="13" t="s">
        <v>40</v>
      </c>
      <c r="U1097" s="13" t="s">
        <v>4838</v>
      </c>
      <c r="V1097" s="13" t="s">
        <v>42</v>
      </c>
      <c r="W1097" s="13" t="s">
        <v>54</v>
      </c>
      <c r="X1097" s="21" t="n">
        <v>89603333379</v>
      </c>
      <c r="Y1097" s="22" t="str">
        <f aca="false">O1097</f>
        <v>Mandor Gudang</v>
      </c>
      <c r="Z1097" s="13" t="str">
        <f aca="false">IFERROR(__xludf.dummyfunction("if(BJ1097="""","""",GOOGLETRANSLATE(BJ1097,""auto"",""en""))"),"Warehouse Foreman")</f>
        <v>Warehouse Foreman</v>
      </c>
      <c r="AA1097" s="23" t="str">
        <f aca="false">IF(C1097="","", CHOOSE(MONTH(C1097),"January","February","March","April","May","June","July","August","September","October","November","December")&amp;" "&amp;DAY(C1097)&amp;MID("thstndrdth",MIN(9,2*RIGHT(DAY(C1097))*(MOD(DAY(C1097)-11,100)&gt;2)+1),2)&amp;","&amp;TEXT(C1097," yyyy"))</f>
        <v>October 1st,2025</v>
      </c>
      <c r="AB1097" s="15" t="str">
        <f aca="true">IF(S1097="","",DATEDIF(S1097,TODAY(),"Y")&amp;" Tahun, "&amp;DATEDIF(S1097,TODAY(),"YM")&amp;" Bulan, "&amp;DATEDIF(S1097,TODAY(),"MD")&amp;" Hari")</f>
        <v>52 Tahun, 2 Bulan, 6 Hari</v>
      </c>
      <c r="AC1097" s="18" t="n">
        <v>45931</v>
      </c>
      <c r="AD1097" s="18" t="n">
        <v>46295</v>
      </c>
      <c r="AE1097" s="13" t="s">
        <v>44</v>
      </c>
    </row>
    <row r="1098" customFormat="false" ht="15.75" hidden="false" customHeight="true" outlineLevel="0" collapsed="false">
      <c r="A1098" s="12" t="n">
        <v>12221</v>
      </c>
      <c r="B1098" s="13" t="s">
        <v>4839</v>
      </c>
      <c r="C1098" s="14" t="n">
        <v>45123</v>
      </c>
      <c r="D1098" s="13" t="s">
        <v>2607</v>
      </c>
      <c r="E1098" s="15" t="s">
        <v>47</v>
      </c>
      <c r="F1098" s="15" t="str">
        <f aca="false">IFERROR(__xludf.dummyfunction("XLOOKUP(AJ1098,IMPORTRANGE(""1XaInW9DU9nz21V0tYIfzFQ0He9kVQ_JF2mCXgZ3hqFA"",""REKAP ALL 2026 - Andika!G:G""),IMPORTRANGE(""1XaInW9DU9nz21V0tYIfzFQ0He9kVQ_JF2mCXgZ3hqFA"",""REKAP ALL 2026 - Andika!F:F""),"""",0)"),"23113701751")</f>
        <v>23113701751</v>
      </c>
      <c r="G1098" s="13" t="s">
        <v>4840</v>
      </c>
      <c r="H1098" s="13" t="s">
        <v>35</v>
      </c>
      <c r="I1098" s="13" t="str">
        <f aca="false">IF(C1098=J1098,"NEW KONTRAK","RE-KONTRAK")</f>
        <v>RE-KONTRAK</v>
      </c>
      <c r="J1098" s="16" t="n">
        <f aca="false" t="array" ref="J1098:J1098">IFERROR(INDEX(AC1098:AE1098,IF(COUNTA(AC1098:AE1098)=0,"",MAX((AC1098:AE1098&lt;&gt;"")*(COLUMN(AC1098:AE1098)-(COLUMN(AC1098)))))-1),"")</f>
        <v>45569</v>
      </c>
      <c r="K1098" s="16" t="n">
        <f aca="false" t="array" ref="K1098:K1098">IFERROR(INDEX(AC1098:AE1098,IF(COUNTA(AC1098:AE1098)=0,"",MAX((AC1098:AE1098&lt;&gt;"")*(COLUMN(AC1098:AE1098)-(COLUMN(AC1098)-1))))-1),"")</f>
        <v>45933</v>
      </c>
      <c r="L1098" s="17" t="str">
        <f aca="false" t="array" ref="L1098:L1098">IFERROR(INDEX(AC1098:AE1098,IF(COUNTA(AC1098:AE1098)=0,"",MAX((AC1098:AE1098&lt;&gt;"")*(COLUMN(AC1098:AE1098)-(COLUMN(AC1098)-2))))-1),"")</f>
        <v>ARCHIVED</v>
      </c>
      <c r="M1098" s="13" t="n">
        <f aca="true">K1098-TODAY()</f>
        <v>-391</v>
      </c>
      <c r="N1098" s="18" t="s">
        <v>36</v>
      </c>
      <c r="O1098" s="13" t="s">
        <v>839</v>
      </c>
      <c r="P1098" s="19" t="n">
        <v>5195401</v>
      </c>
      <c r="Q1098" s="20" t="s">
        <v>4841</v>
      </c>
      <c r="R1098" s="13" t="s">
        <v>65</v>
      </c>
      <c r="S1098" s="14" t="n">
        <v>25939</v>
      </c>
      <c r="T1098" s="13" t="s">
        <v>40</v>
      </c>
      <c r="U1098" s="13" t="s">
        <v>4842</v>
      </c>
      <c r="V1098" s="13" t="s">
        <v>42</v>
      </c>
      <c r="W1098" s="13" t="s">
        <v>54</v>
      </c>
      <c r="X1098" s="21" t="n">
        <v>81217284037</v>
      </c>
      <c r="Y1098" s="22" t="str">
        <f aca="false">O1098</f>
        <v>Bengkel</v>
      </c>
      <c r="Z1098" s="13" t="str">
        <f aca="false">IFERROR(__xludf.dummyfunction("if(BJ1098="""","""",GOOGLETRANSLATE(BJ1098,""auto"",""en""))"),"Workshop")</f>
        <v>Workshop</v>
      </c>
      <c r="AA1098" s="23" t="str">
        <f aca="false">IF(C1098="","", CHOOSE(MONTH(C1098),"January","February","March","April","May","June","July","August","September","October","November","December")&amp;" "&amp;DAY(C1098)&amp;MID("thstndrdth",MIN(9,2*RIGHT(DAY(C1098))*(MOD(DAY(C1098)-11,100)&gt;2)+1),2)&amp;","&amp;TEXT(C1098," yyyy"))</f>
        <v>July 16th,2023</v>
      </c>
      <c r="AB1098" s="15" t="str">
        <f aca="true">IF(S1098="","",DATEDIF(S1098,TODAY(),"Y")&amp;" Tahun, "&amp;DATEDIF(S1098,TODAY(),"YM")&amp;" Bulan, "&amp;DATEDIF(S1098,TODAY(),"MD")&amp;" Hari")</f>
        <v>55 Tahun, 9 Bulan, 23 Hari</v>
      </c>
      <c r="AC1098" s="18" t="n">
        <v>45569</v>
      </c>
      <c r="AD1098" s="18" t="n">
        <v>45933</v>
      </c>
      <c r="AE1098" s="18" t="s">
        <v>44</v>
      </c>
    </row>
    <row r="1099" customFormat="false" ht="15.75" hidden="false" customHeight="true" outlineLevel="0" collapsed="false">
      <c r="A1099" s="12" t="n">
        <v>12222</v>
      </c>
      <c r="B1099" s="13" t="s">
        <v>4843</v>
      </c>
      <c r="C1099" s="14" t="n">
        <v>45123</v>
      </c>
      <c r="D1099" s="13" t="s">
        <v>2607</v>
      </c>
      <c r="E1099" s="15" t="s">
        <v>47</v>
      </c>
      <c r="F1099" s="15" t="str">
        <f aca="false">IFERROR(__xludf.dummyfunction("XLOOKUP(AJ1099,IMPORTRANGE(""1XaInW9DU9nz21V0tYIfzFQ0He9kVQ_JF2mCXgZ3hqFA"",""REKAP ALL 2026 - Andika!G:G""),IMPORTRANGE(""1XaInW9DU9nz21V0tYIfzFQ0He9kVQ_JF2mCXgZ3hqFA"",""REKAP ALL 2026 - Andika!F:F""),"""",0)"),"23113701785")</f>
        <v>23113701785</v>
      </c>
      <c r="G1099" s="13" t="s">
        <v>4844</v>
      </c>
      <c r="H1099" s="13" t="s">
        <v>35</v>
      </c>
      <c r="I1099" s="13" t="str">
        <f aca="false">IF(C1099=J1099,"NEW KONTRAK","RE-KONTRAK")</f>
        <v>RE-KONTRAK</v>
      </c>
      <c r="J1099" s="16" t="n">
        <f aca="false" t="array" ref="J1099:J1099">IFERROR(INDEX(AC1099:AE1099,IF(COUNTA(AC1099:AE1099)=0,"",MAX((AC1099:AE1099&lt;&gt;"")*(COLUMN(AC1099:AE1099)-(COLUMN(AC1099)))))-1),"")</f>
        <v>45569</v>
      </c>
      <c r="K1099" s="16" t="n">
        <f aca="false" t="array" ref="K1099:K1099">IFERROR(INDEX(AC1099:AE1099,IF(COUNTA(AC1099:AE1099)=0,"",MAX((AC1099:AE1099&lt;&gt;"")*(COLUMN(AC1099:AE1099)-(COLUMN(AC1099)-1))))-1),"")</f>
        <v>45933</v>
      </c>
      <c r="L1099" s="17" t="str">
        <f aca="false" t="array" ref="L1099:L1099">IFERROR(INDEX(AC1099:AE1099,IF(COUNTA(AC1099:AE1099)=0,"",MAX((AC1099:AE1099&lt;&gt;"")*(COLUMN(AC1099:AE1099)-(COLUMN(AC1099)-2))))-1),"")</f>
        <v>ARCHIVED</v>
      </c>
      <c r="M1099" s="13" t="n">
        <f aca="true">K1099-TODAY()</f>
        <v>-391</v>
      </c>
      <c r="N1099" s="18" t="s">
        <v>36</v>
      </c>
      <c r="O1099" s="13" t="s">
        <v>2609</v>
      </c>
      <c r="P1099" s="19" t="n">
        <v>5195401</v>
      </c>
      <c r="Q1099" s="20" t="s">
        <v>4845</v>
      </c>
      <c r="R1099" s="13" t="s">
        <v>168</v>
      </c>
      <c r="S1099" s="14" t="n">
        <v>27630</v>
      </c>
      <c r="T1099" s="13" t="s">
        <v>108</v>
      </c>
      <c r="U1099" s="13" t="s">
        <v>4846</v>
      </c>
      <c r="V1099" s="13" t="s">
        <v>42</v>
      </c>
      <c r="W1099" s="13" t="s">
        <v>54</v>
      </c>
      <c r="X1099" s="21" t="n">
        <v>82326979343</v>
      </c>
      <c r="Y1099" s="22" t="str">
        <f aca="false">O1099</f>
        <v>Produksi H-Jack</v>
      </c>
      <c r="Z1099" s="13" t="str">
        <f aca="false">IFERROR(__xludf.dummyfunction("if(BJ1099="""","""",GOOGLETRANSLATE(BJ1099,""auto"",""en""))"),"H-Jack Production")</f>
        <v>H-Jack Production</v>
      </c>
      <c r="AA1099" s="23" t="str">
        <f aca="false">IF(C1099="","", CHOOSE(MONTH(C1099),"January","February","March","April","May","June","July","August","September","October","November","December")&amp;" "&amp;DAY(C1099)&amp;MID("thstndrdth",MIN(9,2*RIGHT(DAY(C1099))*(MOD(DAY(C1099)-11,100)&gt;2)+1),2)&amp;","&amp;TEXT(C1099," yyyy"))</f>
        <v>July 16th,2023</v>
      </c>
      <c r="AB1099" s="15" t="str">
        <f aca="true">IF(S1099="","",DATEDIF(S1099,TODAY(),"Y")&amp;" Tahun, "&amp;DATEDIF(S1099,TODAY(),"YM")&amp;" Bulan, "&amp;DATEDIF(S1099,TODAY(),"MD")&amp;" Hari")</f>
        <v>51 Tahun, 2 Bulan, 5 Hari</v>
      </c>
      <c r="AC1099" s="18" t="n">
        <v>45569</v>
      </c>
      <c r="AD1099" s="18" t="n">
        <v>45933</v>
      </c>
      <c r="AE1099" s="18" t="s">
        <v>44</v>
      </c>
    </row>
    <row r="1100" customFormat="false" ht="15.75" hidden="false" customHeight="true" outlineLevel="0" collapsed="false">
      <c r="A1100" s="12" t="n">
        <v>12223</v>
      </c>
      <c r="B1100" s="13" t="s">
        <v>4847</v>
      </c>
      <c r="C1100" s="14" t="n">
        <v>45123</v>
      </c>
      <c r="D1100" s="13" t="s">
        <v>2607</v>
      </c>
      <c r="E1100" s="15" t="s">
        <v>47</v>
      </c>
      <c r="F1100" s="15" t="str">
        <f aca="false">IFERROR(__xludf.dummyfunction("XLOOKUP(AJ1100,IMPORTRANGE(""1XaInW9DU9nz21V0tYIfzFQ0He9kVQ_JF2mCXgZ3hqFA"",""REKAP ALL 2026 - Andika!G:G""),IMPORTRANGE(""1XaInW9DU9nz21V0tYIfzFQ0He9kVQ_JF2mCXgZ3hqFA"",""REKAP ALL 2026 - Andika!F:F""),"""",0)"),"99N00077310")</f>
        <v>99N00077310</v>
      </c>
      <c r="G1100" s="13" t="s">
        <v>4848</v>
      </c>
      <c r="H1100" s="13" t="s">
        <v>35</v>
      </c>
      <c r="I1100" s="13" t="str">
        <f aca="false">IF(C1100=J1100,"NEW KONTRAK","RE-KONTRAK")</f>
        <v>RE-KONTRAK</v>
      </c>
      <c r="J1100" s="16" t="n">
        <f aca="false" t="array" ref="J1100:J1100">IFERROR(INDEX(AC1100:AE1100,IF(COUNTA(AC1100:AE1100)=0,"",MAX((AC1100:AE1100&lt;&gt;"")*(COLUMN(AC1100:AE1100)-(COLUMN(AC1100)))))-1),"")</f>
        <v>45569</v>
      </c>
      <c r="K1100" s="16" t="n">
        <f aca="false" t="array" ref="K1100:K1100">IFERROR(INDEX(AC1100:AE1100,IF(COUNTA(AC1100:AE1100)=0,"",MAX((AC1100:AE1100&lt;&gt;"")*(COLUMN(AC1100:AE1100)-(COLUMN(AC1100)-1))))-1),"")</f>
        <v>45933</v>
      </c>
      <c r="L1100" s="17" t="str">
        <f aca="false" t="array" ref="L1100:L1100">IFERROR(INDEX(AC1100:AE1100,IF(COUNTA(AC1100:AE1100)=0,"",MAX((AC1100:AE1100&lt;&gt;"")*(COLUMN(AC1100:AE1100)-(COLUMN(AC1100)-2))))-1),"")</f>
        <v>ARCHIVED</v>
      </c>
      <c r="M1100" s="13" t="n">
        <f aca="true">K1100-TODAY()</f>
        <v>-391</v>
      </c>
      <c r="N1100" s="18" t="s">
        <v>36</v>
      </c>
      <c r="O1100" s="13" t="s">
        <v>2689</v>
      </c>
      <c r="P1100" s="19" t="n">
        <v>5195401</v>
      </c>
      <c r="Q1100" s="20" t="s">
        <v>4849</v>
      </c>
      <c r="R1100" s="13" t="s">
        <v>246</v>
      </c>
      <c r="S1100" s="14" t="n">
        <v>28323</v>
      </c>
      <c r="T1100" s="13" t="s">
        <v>108</v>
      </c>
      <c r="U1100" s="13" t="s">
        <v>4850</v>
      </c>
      <c r="V1100" s="13" t="s">
        <v>42</v>
      </c>
      <c r="W1100" s="13" t="s">
        <v>54</v>
      </c>
      <c r="X1100" s="21" t="n">
        <v>87752192935</v>
      </c>
      <c r="Y1100" s="22" t="str">
        <f aca="false">O1100</f>
        <v>Produksi Wiper</v>
      </c>
      <c r="Z1100" s="13" t="str">
        <f aca="false">IFERROR(__xludf.dummyfunction("if(BJ1100="""","""",GOOGLETRANSLATE(BJ1100,""auto"",""en""))"),"Wiper Production")</f>
        <v>Wiper Production</v>
      </c>
      <c r="AA1100" s="23" t="str">
        <f aca="false">IF(C1100="","", CHOOSE(MONTH(C1100),"January","February","March","April","May","June","July","August","September","October","November","December")&amp;" "&amp;DAY(C1100)&amp;MID("thstndrdth",MIN(9,2*RIGHT(DAY(C1100))*(MOD(DAY(C1100)-11,100)&gt;2)+1),2)&amp;","&amp;TEXT(C1100," yyyy"))</f>
        <v>July 16th,2023</v>
      </c>
      <c r="AB1100" s="15" t="str">
        <f aca="true">IF(S1100="","",DATEDIF(S1100,TODAY(),"Y")&amp;" Tahun, "&amp;DATEDIF(S1100,TODAY(),"YM")&amp;" Bulan, "&amp;DATEDIF(S1100,TODAY(),"MD")&amp;" Hari")</f>
        <v>49 Tahun, 3 Bulan, 12 Hari</v>
      </c>
      <c r="AC1100" s="18" t="n">
        <v>45569</v>
      </c>
      <c r="AD1100" s="18" t="n">
        <v>45933</v>
      </c>
      <c r="AE1100" s="18" t="s">
        <v>44</v>
      </c>
    </row>
    <row r="1101" customFormat="false" ht="15.75" hidden="false" customHeight="true" outlineLevel="0" collapsed="false">
      <c r="A1101" s="12" t="n">
        <v>12250</v>
      </c>
      <c r="B1101" s="13" t="s">
        <v>4851</v>
      </c>
      <c r="C1101" s="14" t="n">
        <v>45124</v>
      </c>
      <c r="D1101" s="13" t="s">
        <v>144</v>
      </c>
      <c r="E1101" s="15" t="s">
        <v>33</v>
      </c>
      <c r="F1101" s="24" t="s">
        <v>4852</v>
      </c>
      <c r="G1101" s="13" t="s">
        <v>4853</v>
      </c>
      <c r="H1101" s="13" t="s">
        <v>35</v>
      </c>
      <c r="I1101" s="13" t="str">
        <f aca="false">IF(C1101=J1101,"NEW KONTRAK","RE-KONTRAK")</f>
        <v>RE-KONTRAK</v>
      </c>
      <c r="J1101" s="16" t="n">
        <f aca="false" t="array" ref="J1101:J1101">IFERROR(INDEX(AC1101:AE1101,IF(COUNTA(AC1101:AE1101)=0,"",MAX((AC1101:AE1101&lt;&gt;"")*(COLUMN(AC1101:AE1101)-(COLUMN(AC1101)))))-1),"")</f>
        <v>45658</v>
      </c>
      <c r="K1101" s="16" t="n">
        <f aca="false" t="array" ref="K1101:K1101">IFERROR(INDEX(AC1101:AE1101,IF(COUNTA(AC1101:AE1101)=0,"",MAX((AC1101:AE1101&lt;&gt;"")*(COLUMN(AC1101:AE1101)-(COLUMN(AC1101)-1))))-1),"")</f>
        <v>46022</v>
      </c>
      <c r="L1101" s="17" t="str">
        <f aca="false" t="array" ref="L1101:L1101">IFERROR(INDEX(AC1101:AE1101,IF(COUNTA(AC1101:AE1101)=0,"",MAX((AC1101:AE1101&lt;&gt;"")*(COLUMN(AC1101:AE1101)-(COLUMN(AC1101)-2))))-1),"")</f>
        <v>ARCHIVED</v>
      </c>
      <c r="M1101" s="13" t="n">
        <f aca="true">K1101-TODAY()</f>
        <v>-302</v>
      </c>
      <c r="N1101" s="18" t="s">
        <v>36</v>
      </c>
      <c r="O1101" s="13" t="s">
        <v>211</v>
      </c>
      <c r="P1101" s="19" t="n">
        <v>5195401</v>
      </c>
      <c r="Q1101" s="20" t="s">
        <v>4854</v>
      </c>
      <c r="R1101" s="13" t="s">
        <v>826</v>
      </c>
      <c r="S1101" s="14" t="n">
        <v>35242</v>
      </c>
      <c r="T1101" s="13" t="s">
        <v>40</v>
      </c>
      <c r="U1101" s="13" t="s">
        <v>4855</v>
      </c>
      <c r="V1101" s="13" t="s">
        <v>42</v>
      </c>
      <c r="W1101" s="13" t="s">
        <v>54</v>
      </c>
      <c r="X1101" s="21" t="n">
        <v>88235505712</v>
      </c>
      <c r="Y1101" s="22" t="str">
        <f aca="false">O1101</f>
        <v>FG Store</v>
      </c>
      <c r="Z1101" s="13" t="str">
        <f aca="false">IFERROR(__xludf.dummyfunction("if(BJ1101="""","""",GOOGLETRANSLATE(BJ1101,""auto"",""en""))"),"FG Store")</f>
        <v>FG Store</v>
      </c>
      <c r="AA1101" s="23" t="str">
        <f aca="false">IF(C1101="","", CHOOSE(MONTH(C1101),"January","February","March","April","May","June","July","August","September","October","November","December")&amp;" "&amp;DAY(C1101)&amp;MID("thstndrdth",MIN(9,2*RIGHT(DAY(C1101))*(MOD(DAY(C1101)-11,100)&gt;2)+1),2)&amp;","&amp;TEXT(C1101," yyyy"))</f>
        <v>July 17th,2023</v>
      </c>
      <c r="AB1101" s="15" t="str">
        <f aca="true">IF(S1101="","",DATEDIF(S1101,TODAY(),"Y")&amp;" Tahun, "&amp;DATEDIF(S1101,TODAY(),"YM")&amp;" Bulan, "&amp;DATEDIF(S1101,TODAY(),"MD")&amp;" Hari")</f>
        <v>30 Tahun, 4 Bulan, 3 Hari</v>
      </c>
      <c r="AC1101" s="18" t="n">
        <v>45658</v>
      </c>
      <c r="AD1101" s="18" t="n">
        <v>46022</v>
      </c>
      <c r="AE1101" s="18" t="s">
        <v>44</v>
      </c>
    </row>
    <row r="1102" customFormat="false" ht="15.75" hidden="false" customHeight="true" outlineLevel="0" collapsed="false">
      <c r="A1102" s="12" t="n">
        <v>12252</v>
      </c>
      <c r="B1102" s="45" t="s">
        <v>4856</v>
      </c>
      <c r="C1102" s="14" t="n">
        <v>45124</v>
      </c>
      <c r="D1102" s="13" t="s">
        <v>144</v>
      </c>
      <c r="E1102" s="15" t="s">
        <v>47</v>
      </c>
      <c r="F1102" s="15" t="str">
        <f aca="false">IFERROR(__xludf.dummyfunction("XLOOKUP(AJ1102,IMPORTRANGE(""1XaInW9DU9nz21V0tYIfzFQ0He9kVQ_JF2mCXgZ3hqFA"",""REKAP ALL 2026 - Andika!G:G""),IMPORTRANGE(""1XaInW9DU9nz21V0tYIfzFQ0He9kVQ_JF2mCXgZ3hqFA"",""REKAP ALL 2026 - Andika!F:F""),"""",0)"),"23113697645")</f>
        <v>23113697645</v>
      </c>
      <c r="G1102" s="13" t="s">
        <v>4857</v>
      </c>
      <c r="H1102" s="13" t="s">
        <v>35</v>
      </c>
      <c r="I1102" s="13" t="str">
        <f aca="false">IF(C1102=J1102,"NEW KONTRAK","RE-KONTRAK")</f>
        <v>RE-KONTRAK</v>
      </c>
      <c r="J1102" s="16" t="n">
        <f aca="false" t="array" ref="J1102:J1102">IFERROR(INDEX(AC1102:AE1102,IF(COUNTA(AC1102:AE1102)=0,"",MAX((AC1102:AE1102&lt;&gt;"")*(COLUMN(AC1102:AE1102)-(COLUMN(AC1102)))))-1),"")</f>
        <v>45658</v>
      </c>
      <c r="K1102" s="16" t="n">
        <f aca="false" t="array" ref="K1102:K1102">IFERROR(INDEX(AC1102:AE1102,IF(COUNTA(AC1102:AE1102)=0,"",MAX((AC1102:AE1102&lt;&gt;"")*(COLUMN(AC1102:AE1102)-(COLUMN(AC1102)-1))))-1),"")</f>
        <v>46022</v>
      </c>
      <c r="L1102" s="17" t="str">
        <f aca="false" t="array" ref="L1102:L1102">IFERROR(INDEX(AC1102:AE1102,IF(COUNTA(AC1102:AE1102)=0,"",MAX((AC1102:AE1102&lt;&gt;"")*(COLUMN(AC1102:AE1102)-(COLUMN(AC1102)-2))))-1),"")</f>
        <v>ARCHIVED</v>
      </c>
      <c r="M1102" s="13" t="n">
        <f aca="true">K1102-TODAY()</f>
        <v>-302</v>
      </c>
      <c r="N1102" s="18" t="s">
        <v>36</v>
      </c>
      <c r="O1102" s="13" t="s">
        <v>161</v>
      </c>
      <c r="P1102" s="19" t="n">
        <v>5195401</v>
      </c>
      <c r="Q1102" s="20" t="s">
        <v>4858</v>
      </c>
      <c r="R1102" s="13" t="s">
        <v>65</v>
      </c>
      <c r="S1102" s="14" t="n">
        <v>31022</v>
      </c>
      <c r="T1102" s="13" t="s">
        <v>40</v>
      </c>
      <c r="U1102" s="13" t="s">
        <v>4859</v>
      </c>
      <c r="V1102" s="13" t="s">
        <v>42</v>
      </c>
      <c r="W1102" s="13" t="s">
        <v>54</v>
      </c>
      <c r="X1102" s="21" t="n">
        <v>816536707</v>
      </c>
      <c r="Y1102" s="22" t="str">
        <f aca="false">O1102</f>
        <v>RM Store</v>
      </c>
      <c r="Z1102" s="13" t="str">
        <f aca="false">IFERROR(__xludf.dummyfunction("if(BJ1102="""","""",GOOGLETRANSLATE(BJ1102,""auto"",""en""))"),"RM Store")</f>
        <v>RM Store</v>
      </c>
      <c r="AA1102" s="23" t="str">
        <f aca="false">IF(C1102="","", CHOOSE(MONTH(C1102),"January","February","March","April","May","June","July","August","September","October","November","December")&amp;" "&amp;DAY(C1102)&amp;MID("thstndrdth",MIN(9,2*RIGHT(DAY(C1102))*(MOD(DAY(C1102)-11,100)&gt;2)+1),2)&amp;","&amp;TEXT(C1102," yyyy"))</f>
        <v>July 17th,2023</v>
      </c>
      <c r="AB1102" s="15" t="str">
        <f aca="true">IF(S1102="","",DATEDIF(S1102,TODAY(),"Y")&amp;" Tahun, "&amp;DATEDIF(S1102,TODAY(),"YM")&amp;" Bulan, "&amp;DATEDIF(S1102,TODAY(),"MD")&amp;" Hari")</f>
        <v>41 Tahun, 10 Bulan, 23 Hari</v>
      </c>
      <c r="AC1102" s="18" t="n">
        <v>45658</v>
      </c>
      <c r="AD1102" s="18" t="n">
        <v>46022</v>
      </c>
      <c r="AE1102" s="18" t="s">
        <v>44</v>
      </c>
    </row>
    <row r="1103" customFormat="false" ht="15.75" hidden="false" customHeight="true" outlineLevel="0" collapsed="false">
      <c r="A1103" s="12" t="n">
        <v>12256</v>
      </c>
      <c r="B1103" s="13" t="s">
        <v>4860</v>
      </c>
      <c r="C1103" s="14" t="n">
        <v>45108</v>
      </c>
      <c r="D1103" s="13" t="s">
        <v>3573</v>
      </c>
      <c r="E1103" s="15" t="s">
        <v>47</v>
      </c>
      <c r="F1103" s="15" t="str">
        <f aca="false">IFERROR(__xludf.dummyfunction("XLOOKUP(AJ1103,IMPORTRANGE(""1XaInW9DU9nz21V0tYIfzFQ0He9kVQ_JF2mCXgZ3hqFA"",""REKAP ALL 2026 - Andika!G:G""),IMPORTRANGE(""1XaInW9DU9nz21V0tYIfzFQ0He9kVQ_JF2mCXgZ3hqFA"",""REKAP ALL 2026 - Andika!F:F""),"""",0)"),"23113697611")</f>
        <v>23113697611</v>
      </c>
      <c r="G1103" s="13" t="s">
        <v>4861</v>
      </c>
      <c r="H1103" s="13" t="s">
        <v>35</v>
      </c>
      <c r="I1103" s="13" t="str">
        <f aca="false">IF(C1103=J1103,"NEW KONTRAK","RE-KONTRAK")</f>
        <v>RE-KONTRAK</v>
      </c>
      <c r="J1103" s="16" t="n">
        <f aca="false" t="array" ref="J1103:J1103">IFERROR(INDEX(AC1103:AE1103,IF(COUNTA(AC1103:AE1103)=0,"",MAX((AC1103:AE1103&lt;&gt;"")*(COLUMN(AC1103:AE1103)-(COLUMN(AC1103)))))-1),"")</f>
        <v>45658</v>
      </c>
      <c r="K1103" s="16" t="n">
        <f aca="false" t="array" ref="K1103:K1103">IFERROR(INDEX(AC1103:AE1103,IF(COUNTA(AC1103:AE1103)=0,"",MAX((AC1103:AE1103&lt;&gt;"")*(COLUMN(AC1103:AE1103)-(COLUMN(AC1103)-1))))-1),"")</f>
        <v>46022</v>
      </c>
      <c r="L1103" s="17" t="str">
        <f aca="false" t="array" ref="L1103:L1103">IFERROR(INDEX(AC1103:AE1103,IF(COUNTA(AC1103:AE1103)=0,"",MAX((AC1103:AE1103&lt;&gt;"")*(COLUMN(AC1103:AE1103)-(COLUMN(AC1103)-2))))-1),"")</f>
        <v>ARCHIVED</v>
      </c>
      <c r="M1103" s="13" t="n">
        <f aca="true">K1103-TODAY()</f>
        <v>-302</v>
      </c>
      <c r="N1103" s="18" t="s">
        <v>3576</v>
      </c>
      <c r="O1103" s="13" t="s">
        <v>3577</v>
      </c>
      <c r="P1103" s="19" t="n">
        <v>2492811</v>
      </c>
      <c r="Q1103" s="20" t="s">
        <v>4862</v>
      </c>
      <c r="R1103" s="13" t="s">
        <v>260</v>
      </c>
      <c r="S1103" s="14" t="n">
        <v>27591</v>
      </c>
      <c r="T1103" s="13" t="s">
        <v>40</v>
      </c>
      <c r="U1103" s="13" t="s">
        <v>4863</v>
      </c>
      <c r="V1103" s="13" t="s">
        <v>99</v>
      </c>
      <c r="W1103" s="13" t="s">
        <v>43</v>
      </c>
      <c r="X1103" s="21" t="n">
        <v>85655742635</v>
      </c>
      <c r="Y1103" s="22" t="str">
        <f aca="false">O1103</f>
        <v>Kerani Gudang</v>
      </c>
      <c r="Z1103" s="13" t="str">
        <f aca="false">IFERROR(__xludf.dummyfunction("if(BJ1103="""","""",GOOGLETRANSLATE(BJ1103,""auto"",""en""))"),"Warehouse Clerk")</f>
        <v>Warehouse Clerk</v>
      </c>
      <c r="AA1103" s="23" t="str">
        <f aca="false">IF(C1103="","", CHOOSE(MONTH(C1103),"January","February","March","April","May","June","July","August","September","October","November","December")&amp;" "&amp;DAY(C1103)&amp;MID("thstndrdth",MIN(9,2*RIGHT(DAY(C1103))*(MOD(DAY(C1103)-11,100)&gt;2)+1),2)&amp;","&amp;TEXT(C1103," yyyy"))</f>
        <v>July 1st,2023</v>
      </c>
      <c r="AB1103" s="15" t="str">
        <f aca="true">IF(S1103="","",DATEDIF(S1103,TODAY(),"Y")&amp;" Tahun, "&amp;DATEDIF(S1103,TODAY(),"YM")&amp;" Bulan, "&amp;DATEDIF(S1103,TODAY(),"MD")&amp;" Hari")</f>
        <v>51 Tahun, 3 Bulan, 13 Hari</v>
      </c>
      <c r="AC1103" s="18" t="n">
        <v>45658</v>
      </c>
      <c r="AD1103" s="18" t="n">
        <v>46022</v>
      </c>
      <c r="AE1103" s="18" t="s">
        <v>44</v>
      </c>
    </row>
    <row r="1104" customFormat="false" ht="15.75" hidden="false" customHeight="true" outlineLevel="0" collapsed="false">
      <c r="A1104" s="12" t="n">
        <v>12260</v>
      </c>
      <c r="B1104" s="13" t="s">
        <v>4864</v>
      </c>
      <c r="C1104" s="14" t="n">
        <v>45114</v>
      </c>
      <c r="D1104" s="13" t="s">
        <v>774</v>
      </c>
      <c r="E1104" s="15" t="s">
        <v>47</v>
      </c>
      <c r="F1104" s="15" t="str">
        <f aca="false">IFERROR(__xludf.dummyfunction("XLOOKUP(AJ1104,IMPORTRANGE(""1XaInW9DU9nz21V0tYIfzFQ0He9kVQ_JF2mCXgZ3hqFA"",""REKAP ALL 2026 - Andika!G:G""),IMPORTRANGE(""1XaInW9DU9nz21V0tYIfzFQ0He9kVQ_JF2mCXgZ3hqFA"",""REKAP ALL 2026 - Andika!F:F""),"""",0)"),"23172179923")</f>
        <v>23172179923</v>
      </c>
      <c r="G1104" s="13" t="s">
        <v>4865</v>
      </c>
      <c r="H1104" s="13" t="s">
        <v>2967</v>
      </c>
      <c r="I1104" s="13" t="str">
        <f aca="false">IF(C1104=J1104,"NEW KONTRAK","RE-KONTRAK")</f>
        <v>RE-KONTRAK</v>
      </c>
      <c r="J1104" s="16" t="n">
        <f aca="false" t="array" ref="J1104:J1104">IFERROR(INDEX(AC1104:AE1104,IF(COUNTA(AC1104:AE1104)=0,"",MAX((AC1104:AE1104&lt;&gt;"")*(COLUMN(AC1104:AE1104)-(COLUMN(AC1104)))))-1),"")</f>
        <v>45570</v>
      </c>
      <c r="K1104" s="16" t="n">
        <f aca="false" t="array" ref="K1104:K1104">IFERROR(INDEX(AC1104:AE1104,IF(COUNTA(AC1104:AE1104)=0,"",MAX((AC1104:AE1104&lt;&gt;"")*(COLUMN(AC1104:AE1104)-(COLUMN(AC1104)-1))))-1),"")</f>
        <v>45934</v>
      </c>
      <c r="L1104" s="17" t="str">
        <f aca="false" t="array" ref="L1104:L1104">IFERROR(INDEX(AC1104:AE1104,IF(COUNTA(AC1104:AE1104)=0,"",MAX((AC1104:AE1104&lt;&gt;"")*(COLUMN(AC1104:AE1104)-(COLUMN(AC1104)-2))))-1),"")</f>
        <v>ARCHIVED</v>
      </c>
      <c r="M1104" s="13" t="n">
        <f aca="true">K1104-TODAY()</f>
        <v>-390</v>
      </c>
      <c r="N1104" s="18" t="s">
        <v>36</v>
      </c>
      <c r="O1104" s="13" t="s">
        <v>780</v>
      </c>
      <c r="P1104" s="19" t="n">
        <v>3500000</v>
      </c>
      <c r="Q1104" s="20" t="s">
        <v>4866</v>
      </c>
      <c r="R1104" s="13" t="s">
        <v>232</v>
      </c>
      <c r="S1104" s="14" t="n">
        <v>36021</v>
      </c>
      <c r="T1104" s="13" t="s">
        <v>40</v>
      </c>
      <c r="U1104" s="13" t="s">
        <v>4867</v>
      </c>
      <c r="V1104" s="13" t="s">
        <v>42</v>
      </c>
      <c r="W1104" s="13" t="s">
        <v>54</v>
      </c>
      <c r="X1104" s="21" t="n">
        <v>85716556028</v>
      </c>
      <c r="Y1104" s="22" t="str">
        <f aca="false">O1104</f>
        <v>Shearing</v>
      </c>
      <c r="Z1104" s="13" t="str">
        <f aca="false">IFERROR(__xludf.dummyfunction("if(BJ1104="""","""",GOOGLETRANSLATE(BJ1104,""auto"",""en""))"),"Shearing")</f>
        <v>Shearing</v>
      </c>
      <c r="AA1104" s="23" t="str">
        <f aca="false">IF(C1104="","", CHOOSE(MONTH(C1104),"January","February","March","April","May","June","July","August","September","October","November","December")&amp;" "&amp;DAY(C1104)&amp;MID("thstndrdth",MIN(9,2*RIGHT(DAY(C1104))*(MOD(DAY(C1104)-11,100)&gt;2)+1),2)&amp;","&amp;TEXT(C1104," yyyy"))</f>
        <v>July 7th,2023</v>
      </c>
      <c r="AB1104" s="15" t="str">
        <f aca="true">IF(S1104="","",DATEDIF(S1104,TODAY(),"Y")&amp;" Tahun, "&amp;DATEDIF(S1104,TODAY(),"YM")&amp;" Bulan, "&amp;DATEDIF(S1104,TODAY(),"MD")&amp;" Hari")</f>
        <v>28 Tahun, 2 Bulan, 15 Hari</v>
      </c>
      <c r="AC1104" s="18" t="n">
        <v>45570</v>
      </c>
      <c r="AD1104" s="18" t="n">
        <v>45934</v>
      </c>
      <c r="AE1104" s="18" t="s">
        <v>44</v>
      </c>
    </row>
    <row r="1105" customFormat="false" ht="15.75" hidden="false" customHeight="true" outlineLevel="0" collapsed="false">
      <c r="A1105" s="12" t="n">
        <v>12263</v>
      </c>
      <c r="B1105" s="13" t="s">
        <v>4868</v>
      </c>
      <c r="C1105" s="14" t="n">
        <v>45118</v>
      </c>
      <c r="D1105" s="13" t="s">
        <v>3022</v>
      </c>
      <c r="E1105" s="15" t="s">
        <v>47</v>
      </c>
      <c r="F1105" s="15" t="str">
        <f aca="false">IFERROR(__xludf.dummyfunction("XLOOKUP(AJ1105,IMPORTRANGE(""1XaInW9DU9nz21V0tYIfzFQ0He9kVQ_JF2mCXgZ3hqFA"",""REKAP ALL 2026 - Andika!G:G""),IMPORTRANGE(""1XaInW9DU9nz21V0tYIfzFQ0He9kVQ_JF2mCXgZ3hqFA"",""REKAP ALL 2026 - Andika!F:F""),"""",0)"),"23172179808")</f>
        <v>23172179808</v>
      </c>
      <c r="G1105" s="13" t="s">
        <v>4869</v>
      </c>
      <c r="H1105" s="13" t="s">
        <v>3024</v>
      </c>
      <c r="I1105" s="13" t="str">
        <f aca="false">IF(C1105=J1105,"NEW KONTRAK","RE-KONTRAK")</f>
        <v>RE-KONTRAK</v>
      </c>
      <c r="J1105" s="16" t="n">
        <f aca="false" t="array" ref="J1105:J1105">IFERROR(INDEX(AC1105:AE1105,IF(COUNTA(AC1105:AE1105)=0,"",MAX((AC1105:AE1105&lt;&gt;"")*(COLUMN(AC1105:AE1105)-(COLUMN(AC1105)))))-1),"")</f>
        <v>45570</v>
      </c>
      <c r="K1105" s="16" t="n">
        <f aca="false" t="array" ref="K1105:K1105">IFERROR(INDEX(AC1105:AE1105,IF(COUNTA(AC1105:AE1105)=0,"",MAX((AC1105:AE1105&lt;&gt;"")*(COLUMN(AC1105:AE1105)-(COLUMN(AC1105)-1))))-1),"")</f>
        <v>45934</v>
      </c>
      <c r="L1105" s="17" t="str">
        <f aca="false" t="array" ref="L1105:L1105">IFERROR(INDEX(AC1105:AE1105,IF(COUNTA(AC1105:AE1105)=0,"",MAX((AC1105:AE1105&lt;&gt;"")*(COLUMN(AC1105:AE1105)-(COLUMN(AC1105)-2))))-1),"")</f>
        <v>ARCHIVED</v>
      </c>
      <c r="M1105" s="13" t="n">
        <f aca="true">K1105-TODAY()</f>
        <v>-390</v>
      </c>
      <c r="N1105" s="18" t="s">
        <v>36</v>
      </c>
      <c r="O1105" s="13" t="s">
        <v>3750</v>
      </c>
      <c r="P1105" s="19" t="n">
        <v>175000</v>
      </c>
      <c r="Q1105" s="20" t="s">
        <v>4870</v>
      </c>
      <c r="R1105" s="13" t="s">
        <v>52</v>
      </c>
      <c r="S1105" s="14" t="n">
        <v>34132</v>
      </c>
      <c r="T1105" s="13" t="s">
        <v>40</v>
      </c>
      <c r="U1105" s="13" t="s">
        <v>4871</v>
      </c>
      <c r="V1105" s="13" t="s">
        <v>42</v>
      </c>
      <c r="W1105" s="13" t="s">
        <v>54</v>
      </c>
      <c r="X1105" s="21" t="n">
        <v>83147824784</v>
      </c>
      <c r="Y1105" s="22" t="str">
        <f aca="false">O1105</f>
        <v>Produksi ( Painting )</v>
      </c>
      <c r="Z1105" s="13" t="str">
        <f aca="false">IFERROR(__xludf.dummyfunction("if(BJ1105="""","""",GOOGLETRANSLATE(BJ1105,""auto"",""en""))"),"Production (Painting)")</f>
        <v>Production (Painting)</v>
      </c>
      <c r="AA1105" s="23" t="str">
        <f aca="false">IF(C1105="","", CHOOSE(MONTH(C1105),"January","February","March","April","May","June","July","August","September","October","November","December")&amp;" "&amp;DAY(C1105)&amp;MID("thstndrdth",MIN(9,2*RIGHT(DAY(C1105))*(MOD(DAY(C1105)-11,100)&gt;2)+1),2)&amp;","&amp;TEXT(C1105," yyyy"))</f>
        <v>July 11th,2023</v>
      </c>
      <c r="AB1105" s="15" t="str">
        <f aca="true">IF(S1105="","",DATEDIF(S1105,TODAY(),"Y")&amp;" Tahun, "&amp;DATEDIF(S1105,TODAY(),"YM")&amp;" Bulan, "&amp;DATEDIF(S1105,TODAY(),"MD")&amp;" Hari")</f>
        <v>33 Tahun, 4 Bulan, 17 Hari</v>
      </c>
      <c r="AC1105" s="18" t="n">
        <v>45570</v>
      </c>
      <c r="AD1105" s="18" t="n">
        <v>45934</v>
      </c>
      <c r="AE1105" s="18" t="s">
        <v>44</v>
      </c>
    </row>
    <row r="1106" customFormat="false" ht="15.75" hidden="false" customHeight="true" outlineLevel="0" collapsed="false">
      <c r="A1106" s="12" t="n">
        <v>12265</v>
      </c>
      <c r="B1106" s="13" t="s">
        <v>4872</v>
      </c>
      <c r="C1106" s="14" t="n">
        <v>45120</v>
      </c>
      <c r="D1106" s="13" t="s">
        <v>774</v>
      </c>
      <c r="E1106" s="15" t="s">
        <v>47</v>
      </c>
      <c r="F1106" s="15" t="str">
        <f aca="false">IFERROR(__xludf.dummyfunction("XLOOKUP(AJ1106,IMPORTRANGE(""1XaInW9DU9nz21V0tYIfzFQ0He9kVQ_JF2mCXgZ3hqFA"",""REKAP ALL 2026 - Andika!G:G""),IMPORTRANGE(""1XaInW9DU9nz21V0tYIfzFQ0He9kVQ_JF2mCXgZ3hqFA"",""REKAP ALL 2026 - Andika!F:F""),"""",0)"),"23172180699")</f>
        <v>23172180699</v>
      </c>
      <c r="G1106" s="13" t="s">
        <v>4873</v>
      </c>
      <c r="H1106" s="13" t="s">
        <v>2967</v>
      </c>
      <c r="I1106" s="13" t="str">
        <f aca="false">IF(C1106=J1106,"NEW KONTRAK","RE-KONTRAK")</f>
        <v>RE-KONTRAK</v>
      </c>
      <c r="J1106" s="16" t="n">
        <f aca="false" t="array" ref="J1106:J1106">IFERROR(INDEX(AC1106:AE1106,IF(COUNTA(AC1106:AE1106)=0,"",MAX((AC1106:AE1106&lt;&gt;"")*(COLUMN(AC1106:AE1106)-(COLUMN(AC1106)))))-1),"")</f>
        <v>45570</v>
      </c>
      <c r="K1106" s="16" t="n">
        <f aca="false" t="array" ref="K1106:K1106">IFERROR(INDEX(AC1106:AE1106,IF(COUNTA(AC1106:AE1106)=0,"",MAX((AC1106:AE1106&lt;&gt;"")*(COLUMN(AC1106:AE1106)-(COLUMN(AC1106)-1))))-1),"")</f>
        <v>45934</v>
      </c>
      <c r="L1106" s="17" t="str">
        <f aca="false" t="array" ref="L1106:L1106">IFERROR(INDEX(AC1106:AE1106,IF(COUNTA(AC1106:AE1106)=0,"",MAX((AC1106:AE1106&lt;&gt;"")*(COLUMN(AC1106:AE1106)-(COLUMN(AC1106)-2))))-1),"")</f>
        <v>ARCHIVED</v>
      </c>
      <c r="M1106" s="13" t="n">
        <f aca="true">K1106-TODAY()</f>
        <v>-390</v>
      </c>
      <c r="N1106" s="18" t="s">
        <v>36</v>
      </c>
      <c r="O1106" s="13" t="s">
        <v>795</v>
      </c>
      <c r="P1106" s="19" t="n">
        <v>3250000</v>
      </c>
      <c r="Q1106" s="20" t="s">
        <v>4874</v>
      </c>
      <c r="R1106" s="13" t="s">
        <v>39</v>
      </c>
      <c r="S1106" s="14" t="n">
        <v>36796</v>
      </c>
      <c r="T1106" s="13" t="s">
        <v>40</v>
      </c>
      <c r="U1106" s="13" t="s">
        <v>4875</v>
      </c>
      <c r="V1106" s="13" t="s">
        <v>42</v>
      </c>
      <c r="W1106" s="13" t="s">
        <v>43</v>
      </c>
      <c r="X1106" s="21" t="n">
        <v>85784525727</v>
      </c>
      <c r="Y1106" s="22" t="str">
        <f aca="false">O1106</f>
        <v>Painting</v>
      </c>
      <c r="Z1106" s="13" t="str">
        <f aca="false">IFERROR(__xludf.dummyfunction("if(BJ1106="""","""",GOOGLETRANSLATE(BJ1106,""auto"",""en""))"),"Painting")</f>
        <v>Painting</v>
      </c>
      <c r="AA1106" s="23" t="str">
        <f aca="false">IF(C1106="","", CHOOSE(MONTH(C1106),"January","February","March","April","May","June","July","August","September","October","November","December")&amp;" "&amp;DAY(C1106)&amp;MID("thstndrdth",MIN(9,2*RIGHT(DAY(C1106))*(MOD(DAY(C1106)-11,100)&gt;2)+1),2)&amp;","&amp;TEXT(C1106," yyyy"))</f>
        <v>July 13th,2023</v>
      </c>
      <c r="AB1106" s="15" t="str">
        <f aca="true">IF(S1106="","",DATEDIF(S1106,TODAY(),"Y")&amp;" Tahun, "&amp;DATEDIF(S1106,TODAY(),"YM")&amp;" Bulan, "&amp;DATEDIF(S1106,TODAY(),"MD")&amp;" Hari")</f>
        <v>26 Tahun, 1 Bulan, 2 Hari</v>
      </c>
      <c r="AC1106" s="18" t="n">
        <v>45570</v>
      </c>
      <c r="AD1106" s="18" t="n">
        <v>45934</v>
      </c>
      <c r="AE1106" s="18" t="s">
        <v>44</v>
      </c>
    </row>
    <row r="1107" customFormat="false" ht="15.75" hidden="false" customHeight="true" outlineLevel="0" collapsed="false">
      <c r="A1107" s="12" t="n">
        <v>12307</v>
      </c>
      <c r="B1107" s="13" t="s">
        <v>4876</v>
      </c>
      <c r="C1107" s="14" t="n">
        <v>45117</v>
      </c>
      <c r="D1107" s="13" t="s">
        <v>4264</v>
      </c>
      <c r="E1107" s="15" t="s">
        <v>47</v>
      </c>
      <c r="F1107" s="15" t="str">
        <f aca="false">IFERROR(__xludf.dummyfunction("XLOOKUP(AJ1107,IMPORTRANGE(""1XaInW9DU9nz21V0tYIfzFQ0He9kVQ_JF2mCXgZ3hqFA"",""REKAP ALL 2026 - Andika!G:G""),IMPORTRANGE(""1XaInW9DU9nz21V0tYIfzFQ0He9kVQ_JF2mCXgZ3hqFA"",""REKAP ALL 2026 - Andika!F:F""),"""",0)"),"23093950550")</f>
        <v>23093950550</v>
      </c>
      <c r="G1107" s="13" t="s">
        <v>57</v>
      </c>
      <c r="H1107" s="13" t="s">
        <v>35</v>
      </c>
      <c r="I1107" s="13" t="str">
        <f aca="false">IF(C1107=J1107,"NEW KONTRAK","RE-KONTRAK")</f>
        <v>RE-KONTRAK</v>
      </c>
      <c r="J1107" s="16" t="n">
        <f aca="false" t="array" ref="J1107:J1107">IFERROR(INDEX(AC1107:AE1107,IF(COUNTA(AC1107:AE1107)=0,"",MAX((AC1107:AE1107&lt;&gt;"")*(COLUMN(AC1107:AE1107)-(COLUMN(AC1107)))))-1),"")</f>
        <v>45764</v>
      </c>
      <c r="K1107" s="16" t="n">
        <f aca="false" t="array" ref="K1107:K1107">IFERROR(INDEX(AC1107:AE1107,IF(COUNTA(AC1107:AE1107)=0,"",MAX((AC1107:AE1107&lt;&gt;"")*(COLUMN(AC1107:AE1107)-(COLUMN(AC1107)-1))))-1),"")</f>
        <v>45946</v>
      </c>
      <c r="L1107" s="17" t="str">
        <f aca="false" t="array" ref="L1107:L1107">IFERROR(INDEX(AC1107:AE1107,IF(COUNTA(AC1107:AE1107)=0,"",MAX((AC1107:AE1107&lt;&gt;"")*(COLUMN(AC1107:AE1107)-(COLUMN(AC1107)-2))))-1),"")</f>
        <v>ARCHIVED</v>
      </c>
      <c r="M1107" s="13" t="n">
        <f aca="true">K1107-TODAY()</f>
        <v>-378</v>
      </c>
      <c r="N1107" s="18" t="s">
        <v>36</v>
      </c>
      <c r="O1107" s="13" t="s">
        <v>4274</v>
      </c>
      <c r="P1107" s="27" t="n">
        <v>200000</v>
      </c>
      <c r="Q1107" s="20" t="s">
        <v>4877</v>
      </c>
      <c r="R1107" s="13" t="s">
        <v>168</v>
      </c>
      <c r="S1107" s="14" t="n">
        <v>35784</v>
      </c>
      <c r="T1107" s="13" t="s">
        <v>40</v>
      </c>
      <c r="U1107" s="13" t="s">
        <v>4878</v>
      </c>
      <c r="V1107" s="13" t="s">
        <v>42</v>
      </c>
      <c r="W1107" s="13" t="s">
        <v>43</v>
      </c>
      <c r="X1107" s="21" t="n">
        <v>85236924236</v>
      </c>
      <c r="Y1107" s="22" t="str">
        <f aca="false">O1107</f>
        <v>Operator Extruder</v>
      </c>
      <c r="Z1107" s="13" t="str">
        <f aca="false">IFERROR(__xludf.dummyfunction("if(BJ1107="""","""",GOOGLETRANSLATE(BJ1107,""auto"",""en""))"),"Operator Extruder")</f>
        <v>Operator Extruder</v>
      </c>
      <c r="AA1107" s="23" t="str">
        <f aca="false">IF(C1107="","", CHOOSE(MONTH(C1107),"January","February","March","April","May","June","July","August","September","October","November","December")&amp;" "&amp;DAY(C1107)&amp;MID("thstndrdth",MIN(9,2*RIGHT(DAY(C1107))*(MOD(DAY(C1107)-11,100)&gt;2)+1),2)&amp;","&amp;TEXT(C1107," yyyy"))</f>
        <v>July 10th,2023</v>
      </c>
      <c r="AB1107" s="15" t="str">
        <f aca="true">IF(S1107="","",DATEDIF(S1107,TODAY(),"Y")&amp;" Tahun, "&amp;DATEDIF(S1107,TODAY(),"YM")&amp;" Bulan, "&amp;DATEDIF(S1107,TODAY(),"MD")&amp;" Hari")</f>
        <v>28 Tahun, 10 Bulan, 9 Hari</v>
      </c>
      <c r="AC1107" s="18" t="n">
        <v>45764</v>
      </c>
      <c r="AD1107" s="18" t="n">
        <v>45946</v>
      </c>
      <c r="AE1107" s="18" t="s">
        <v>44</v>
      </c>
    </row>
    <row r="1108" customFormat="false" ht="15.75" hidden="false" customHeight="true" outlineLevel="0" collapsed="false">
      <c r="A1108" s="12" t="n">
        <v>12308</v>
      </c>
      <c r="B1108" s="13" t="s">
        <v>4879</v>
      </c>
      <c r="C1108" s="14" t="n">
        <v>45119</v>
      </c>
      <c r="D1108" s="13" t="s">
        <v>4252</v>
      </c>
      <c r="E1108" s="15" t="s">
        <v>33</v>
      </c>
      <c r="F1108" s="24" t="s">
        <v>4880</v>
      </c>
      <c r="G1108" s="13" t="s">
        <v>57</v>
      </c>
      <c r="H1108" s="13" t="s">
        <v>35</v>
      </c>
      <c r="I1108" s="13" t="str">
        <f aca="false">IF(C1108=J1108,"NEW KONTRAK","RE-KONTRAK")</f>
        <v>RE-KONTRAK</v>
      </c>
      <c r="J1108" s="16" t="n">
        <f aca="false" t="array" ref="J1108:J1108">IFERROR(INDEX(AC1108:AE1108,IF(COUNTA(AC1108:AE1108)=0,"",MAX((AC1108:AE1108&lt;&gt;"")*(COLUMN(AC1108:AE1108)-(COLUMN(AC1108)))))-1),"")</f>
        <v>45764</v>
      </c>
      <c r="K1108" s="16" t="n">
        <f aca="false" t="array" ref="K1108:K1108">IFERROR(INDEX(AC1108:AE1108,IF(COUNTA(AC1108:AE1108)=0,"",MAX((AC1108:AE1108&lt;&gt;"")*(COLUMN(AC1108:AE1108)-(COLUMN(AC1108)-1))))-1),"")</f>
        <v>45916</v>
      </c>
      <c r="L1108" s="17" t="str">
        <f aca="false" t="array" ref="L1108:L1108">IFERROR(INDEX(AC1108:AE1108,IF(COUNTA(AC1108:AE1108)=0,"",MAX((AC1108:AE1108&lt;&gt;"")*(COLUMN(AC1108:AE1108)-(COLUMN(AC1108)-2))))-1),"")</f>
        <v>ARCHIVED</v>
      </c>
      <c r="M1108" s="13" t="n">
        <f aca="true">K1108-TODAY()</f>
        <v>-408</v>
      </c>
      <c r="N1108" s="18" t="s">
        <v>36</v>
      </c>
      <c r="O1108" s="13" t="s">
        <v>4280</v>
      </c>
      <c r="P1108" s="27" t="n">
        <v>120000</v>
      </c>
      <c r="Q1108" s="20" t="s">
        <v>4881</v>
      </c>
      <c r="R1108" s="13" t="s">
        <v>73</v>
      </c>
      <c r="S1108" s="14" t="n">
        <v>35839</v>
      </c>
      <c r="T1108" s="13" t="s">
        <v>108</v>
      </c>
      <c r="U1108" s="13" t="s">
        <v>4882</v>
      </c>
      <c r="V1108" s="13" t="s">
        <v>42</v>
      </c>
      <c r="W1108" s="13" t="s">
        <v>54</v>
      </c>
      <c r="X1108" s="21" t="n">
        <v>8967875604</v>
      </c>
      <c r="Y1108" s="22" t="str">
        <f aca="false">O1108</f>
        <v>Helper Cutting</v>
      </c>
      <c r="Z1108" s="13" t="str">
        <f aca="false">IFERROR(__xludf.dummyfunction("if(BJ1108="""","""",GOOGLETRANSLATE(BJ1108,""auto"",""en""))"),"Helper Cutting")</f>
        <v>Helper Cutting</v>
      </c>
      <c r="AA1108" s="23" t="str">
        <f aca="false">IF(C1108="","", CHOOSE(MONTH(C1108),"January","February","March","April","May","June","July","August","September","October","November","December")&amp;" "&amp;DAY(C1108)&amp;MID("thstndrdth",MIN(9,2*RIGHT(DAY(C1108))*(MOD(DAY(C1108)-11,100)&gt;2)+1),2)&amp;","&amp;TEXT(C1108," yyyy"))</f>
        <v>July 12th,2023</v>
      </c>
      <c r="AB1108" s="15" t="str">
        <f aca="true">IF(S1108="","",DATEDIF(S1108,TODAY(),"Y")&amp;" Tahun, "&amp;DATEDIF(S1108,TODAY(),"YM")&amp;" Bulan, "&amp;DATEDIF(S1108,TODAY(),"MD")&amp;" Hari")</f>
        <v>28 Tahun, 8 Bulan, 16 Hari</v>
      </c>
      <c r="AC1108" s="18" t="n">
        <v>45764</v>
      </c>
      <c r="AD1108" s="18" t="n">
        <v>45916</v>
      </c>
      <c r="AE1108" s="18" t="s">
        <v>44</v>
      </c>
    </row>
    <row r="1109" customFormat="false" ht="15.75" hidden="false" customHeight="true" outlineLevel="0" collapsed="false">
      <c r="A1109" s="12" t="n">
        <v>12310</v>
      </c>
      <c r="B1109" s="13" t="s">
        <v>4883</v>
      </c>
      <c r="C1109" s="14" t="n">
        <v>45124</v>
      </c>
      <c r="D1109" s="13" t="s">
        <v>4252</v>
      </c>
      <c r="E1109" s="15" t="s">
        <v>33</v>
      </c>
      <c r="F1109" s="24" t="s">
        <v>4884</v>
      </c>
      <c r="G1109" s="13" t="s">
        <v>57</v>
      </c>
      <c r="H1109" s="13" t="s">
        <v>35</v>
      </c>
      <c r="I1109" s="13" t="str">
        <f aca="false">IF(C1109=J1109,"NEW KONTRAK","RE-KONTRAK")</f>
        <v>RE-KONTRAK</v>
      </c>
      <c r="J1109" s="16" t="n">
        <f aca="false" t="array" ref="J1109:J1109">IFERROR(INDEX(AC1109:AE1109,IF(COUNTA(AC1109:AE1109)=0,"",MAX((AC1109:AE1109&lt;&gt;"")*(COLUMN(AC1109:AE1109)-(COLUMN(AC1109)))))-1),"")</f>
        <v>45764</v>
      </c>
      <c r="K1109" s="16" t="n">
        <f aca="false" t="array" ref="K1109:K1109">IFERROR(INDEX(AC1109:AE1109,IF(COUNTA(AC1109:AE1109)=0,"",MAX((AC1109:AE1109&lt;&gt;"")*(COLUMN(AC1109:AE1109)-(COLUMN(AC1109)-1))))-1),"")</f>
        <v>45946</v>
      </c>
      <c r="L1109" s="17" t="str">
        <f aca="false" t="array" ref="L1109:L1109">IFERROR(INDEX(AC1109:AE1109,IF(COUNTA(AC1109:AE1109)=0,"",MAX((AC1109:AE1109&lt;&gt;"")*(COLUMN(AC1109:AE1109)-(COLUMN(AC1109)-2))))-1),"")</f>
        <v>ARCHIVED</v>
      </c>
      <c r="M1109" s="13" t="n">
        <f aca="true">K1109-TODAY()</f>
        <v>-378</v>
      </c>
      <c r="N1109" s="18" t="s">
        <v>36</v>
      </c>
      <c r="O1109" s="13" t="s">
        <v>4280</v>
      </c>
      <c r="P1109" s="27" t="n">
        <v>120000</v>
      </c>
      <c r="Q1109" s="20" t="s">
        <v>4885</v>
      </c>
      <c r="R1109" s="13" t="s">
        <v>39</v>
      </c>
      <c r="S1109" s="14" t="n">
        <v>30237</v>
      </c>
      <c r="T1109" s="13" t="s">
        <v>40</v>
      </c>
      <c r="U1109" s="13" t="s">
        <v>4886</v>
      </c>
      <c r="V1109" s="13" t="s">
        <v>42</v>
      </c>
      <c r="W1109" s="13" t="s">
        <v>54</v>
      </c>
      <c r="X1109" s="21" t="n">
        <v>82233864680</v>
      </c>
      <c r="Y1109" s="22" t="str">
        <f aca="false">O1109</f>
        <v>Helper Cutting</v>
      </c>
      <c r="Z1109" s="13" t="str">
        <f aca="false">IFERROR(__xludf.dummyfunction("if(BJ1109="""","""",GOOGLETRANSLATE(BJ1109,""auto"",""en""))"),"Helper Cutting")</f>
        <v>Helper Cutting</v>
      </c>
      <c r="AA1109" s="23" t="str">
        <f aca="false">IF(C1109="","", CHOOSE(MONTH(C1109),"January","February","March","April","May","June","July","August","September","October","November","December")&amp;" "&amp;DAY(C1109)&amp;MID("thstndrdth",MIN(9,2*RIGHT(DAY(C1109))*(MOD(DAY(C1109)-11,100)&gt;2)+1),2)&amp;","&amp;TEXT(C1109," yyyy"))</f>
        <v>July 17th,2023</v>
      </c>
      <c r="AB1109" s="15" t="str">
        <f aca="true">IF(S1109="","",DATEDIF(S1109,TODAY(),"Y")&amp;" Tahun, "&amp;DATEDIF(S1109,TODAY(),"YM")&amp;" Bulan, "&amp;DATEDIF(S1109,TODAY(),"MD")&amp;" Hari")</f>
        <v>44 Tahun, 0 Bulan, 16 Hari</v>
      </c>
      <c r="AC1109" s="18" t="n">
        <v>45764</v>
      </c>
      <c r="AD1109" s="18" t="n">
        <v>45946</v>
      </c>
      <c r="AE1109" s="18" t="s">
        <v>44</v>
      </c>
    </row>
    <row r="1110" customFormat="false" ht="15.75" hidden="false" customHeight="true" outlineLevel="0" collapsed="false">
      <c r="A1110" s="12" t="n">
        <v>12341</v>
      </c>
      <c r="B1110" s="13" t="s">
        <v>4887</v>
      </c>
      <c r="C1110" s="14" t="n">
        <v>45139</v>
      </c>
      <c r="D1110" s="13" t="s">
        <v>4733</v>
      </c>
      <c r="E1110" s="15" t="s">
        <v>47</v>
      </c>
      <c r="F1110" s="15" t="str">
        <f aca="false">IFERROR(__xludf.dummyfunction("XLOOKUP(AJ1110,IMPORTRANGE(""1XaInW9DU9nz21V0tYIfzFQ0He9kVQ_JF2mCXgZ3hqFA"",""REKAP ALL 2026 - Andika!G:G""),IMPORTRANGE(""1XaInW9DU9nz21V0tYIfzFQ0He9kVQ_JF2mCXgZ3hqFA"",""REKAP ALL 2026 - Andika!F:F""),"""",0)"),"21067634028")</f>
        <v>21067634028</v>
      </c>
      <c r="G1110" s="13" t="s">
        <v>4888</v>
      </c>
      <c r="H1110" s="13" t="s">
        <v>35</v>
      </c>
      <c r="I1110" s="13" t="str">
        <f aca="false">IF(C1110=J1110,"NEW KONTRAK","RE-KONTRAK")</f>
        <v>RE-KONTRAK</v>
      </c>
      <c r="J1110" s="16" t="n">
        <f aca="false" t="array" ref="J1110:J1110">IFERROR(INDEX(AC1110:AE1110,IF(COUNTA(AC1110:AE1110)=0,"",MAX((AC1110:AE1110&lt;&gt;"")*(COLUMN(AC1110:AE1110)-(COLUMN(AC1110)))))-1),"")</f>
        <v>45658</v>
      </c>
      <c r="K1110" s="16" t="n">
        <f aca="false" t="array" ref="K1110:K1110">IFERROR(INDEX(AC1110:AE1110,IF(COUNTA(AC1110:AE1110)=0,"",MAX((AC1110:AE1110&lt;&gt;"")*(COLUMN(AC1110:AE1110)-(COLUMN(AC1110)-1))))-1),"")</f>
        <v>46022</v>
      </c>
      <c r="L1110" s="17" t="str">
        <f aca="false" t="array" ref="L1110:L1110">IFERROR(INDEX(AC1110:AE1110,IF(COUNTA(AC1110:AE1110)=0,"",MAX((AC1110:AE1110&lt;&gt;"")*(COLUMN(AC1110:AE1110)-(COLUMN(AC1110)-2))))-1),"")</f>
        <v>ARCHIVED</v>
      </c>
      <c r="M1110" s="13" t="n">
        <f aca="true">K1110-TODAY()</f>
        <v>-302</v>
      </c>
      <c r="N1110" s="18" t="s">
        <v>4735</v>
      </c>
      <c r="O1110" s="13" t="s">
        <v>3577</v>
      </c>
      <c r="P1110" s="19" t="n">
        <v>3553530</v>
      </c>
      <c r="Q1110" s="20" t="s">
        <v>4889</v>
      </c>
      <c r="R1110" s="13" t="s">
        <v>83</v>
      </c>
      <c r="S1110" s="14" t="n">
        <v>35571</v>
      </c>
      <c r="T1110" s="13" t="s">
        <v>40</v>
      </c>
      <c r="U1110" s="13" t="s">
        <v>4890</v>
      </c>
      <c r="V1110" s="13" t="s">
        <v>42</v>
      </c>
      <c r="W1110" s="13" t="s">
        <v>43</v>
      </c>
      <c r="X1110" s="21" t="n">
        <v>881036599753</v>
      </c>
      <c r="Y1110" s="22" t="str">
        <f aca="false">O1110</f>
        <v>Kerani Gudang</v>
      </c>
      <c r="Z1110" s="13" t="str">
        <f aca="false">IFERROR(__xludf.dummyfunction("if(BJ1110="""","""",GOOGLETRANSLATE(BJ1110,""auto"",""en""))"),"Warehouse Clerk")</f>
        <v>Warehouse Clerk</v>
      </c>
      <c r="AA1110" s="23" t="str">
        <f aca="false">IF(C1110="","", CHOOSE(MONTH(C1110),"January","February","March","April","May","June","July","August","September","October","November","December")&amp;" "&amp;DAY(C1110)&amp;MID("thstndrdth",MIN(9,2*RIGHT(DAY(C1110))*(MOD(DAY(C1110)-11,100)&gt;2)+1),2)&amp;","&amp;TEXT(C1110," yyyy"))</f>
        <v>August 1st,2023</v>
      </c>
      <c r="AB1110" s="15" t="str">
        <f aca="true">IF(S1110="","",DATEDIF(S1110,TODAY(),"Y")&amp;" Tahun, "&amp;DATEDIF(S1110,TODAY(),"YM")&amp;" Bulan, "&amp;DATEDIF(S1110,TODAY(),"MD")&amp;" Hari")</f>
        <v>29 Tahun, 5 Bulan, 8 Hari</v>
      </c>
      <c r="AC1110" s="18" t="n">
        <v>45658</v>
      </c>
      <c r="AD1110" s="18" t="n">
        <v>46022</v>
      </c>
      <c r="AE1110" s="18" t="s">
        <v>44</v>
      </c>
    </row>
    <row r="1111" customFormat="false" ht="15.75" hidden="false" customHeight="true" outlineLevel="0" collapsed="false">
      <c r="A1111" s="12" t="n">
        <v>12343</v>
      </c>
      <c r="B1111" s="13" t="s">
        <v>4891</v>
      </c>
      <c r="C1111" s="14" t="n">
        <v>45110</v>
      </c>
      <c r="D1111" s="13" t="s">
        <v>2033</v>
      </c>
      <c r="E1111" s="15" t="s">
        <v>102</v>
      </c>
      <c r="F1111" s="15" t="str">
        <f aca="false">IFERROR(__xludf.dummyfunction("XLOOKUP(AJ1111,IMPORTRANGE(""1XaInW9DU9nz21V0tYIfzFQ0He9kVQ_JF2mCXgZ3hqFA"",""REKAP ALL 2026 - Andika!G:G""),IMPORTRANGE(""1XaInW9DU9nz21V0tYIfzFQ0He9kVQ_JF2mCXgZ3hqFA"",""REKAP ALL 2026 - Andika!F:F""),"""",0)"),"23113699625")</f>
        <v>23113699625</v>
      </c>
      <c r="G1111" s="13" t="s">
        <v>4892</v>
      </c>
      <c r="H1111" s="13" t="s">
        <v>2035</v>
      </c>
      <c r="I1111" s="13" t="str">
        <f aca="false">IF(C1111=J1111,"NEW KONTRAK","RE-KONTRAK")</f>
        <v>RE-KONTRAK</v>
      </c>
      <c r="J1111" s="16" t="n">
        <f aca="false" t="array" ref="J1111:J1111">IFERROR(INDEX(AC1111:AE1111,IF(COUNTA(AC1111:AE1111)=0,"",MAX((AC1111:AE1111&lt;&gt;"")*(COLUMN(AC1111:AE1111)-(COLUMN(AC1111)))))-1),"")</f>
        <v>45744</v>
      </c>
      <c r="K1111" s="16" t="n">
        <f aca="false" t="array" ref="K1111:K1111">IFERROR(INDEX(AC1111:AE1111,IF(COUNTA(AC1111:AE1111)=0,"",MAX((AC1111:AE1111&lt;&gt;"")*(COLUMN(AC1111:AE1111)-(COLUMN(AC1111)-1))))-1),"")</f>
        <v>45915</v>
      </c>
      <c r="L1111" s="17" t="str">
        <f aca="false" t="array" ref="L1111:L1111">IFERROR(INDEX(AC1111:AE1111,IF(COUNTA(AC1111:AE1111)=0,"",MAX((AC1111:AE1111&lt;&gt;"")*(COLUMN(AC1111:AE1111)-(COLUMN(AC1111)-2))))-1),"")</f>
        <v>ARCHIVED</v>
      </c>
      <c r="M1111" s="13" t="n">
        <f aca="true">K1111-TODAY()</f>
        <v>-409</v>
      </c>
      <c r="N1111" s="18" t="s">
        <v>4893</v>
      </c>
      <c r="O1111" s="13" t="s">
        <v>2037</v>
      </c>
      <c r="P1111" s="19" t="n">
        <v>3872334</v>
      </c>
      <c r="Q1111" s="20" t="s">
        <v>4894</v>
      </c>
      <c r="R1111" s="13" t="s">
        <v>4893</v>
      </c>
      <c r="S1111" s="14" t="n">
        <v>36262</v>
      </c>
      <c r="T1111" s="13" t="s">
        <v>108</v>
      </c>
      <c r="U1111" s="13" t="s">
        <v>4895</v>
      </c>
      <c r="V1111" s="13" t="s">
        <v>42</v>
      </c>
      <c r="W1111" s="13" t="s">
        <v>43</v>
      </c>
      <c r="X1111" s="21" t="n">
        <v>87864735694</v>
      </c>
      <c r="Y1111" s="22" t="str">
        <f aca="false">O1111</f>
        <v>SPG/BA</v>
      </c>
      <c r="Z1111" s="13" t="str">
        <f aca="false">IFERROR(__xludf.dummyfunction("if(BJ1111="""","""",GOOGLETRANSLATE(BJ1111,""auto"",""en""))"),"SPG/BA")</f>
        <v>SPG/BA</v>
      </c>
      <c r="AA1111" s="23" t="str">
        <f aca="false">IF(C1111="","", CHOOSE(MONTH(C1111),"January","February","March","April","May","June","July","August","September","October","November","December")&amp;" "&amp;DAY(C1111)&amp;MID("thstndrdth",MIN(9,2*RIGHT(DAY(C1111))*(MOD(DAY(C1111)-11,100)&gt;2)+1),2)&amp;","&amp;TEXT(C1111," yyyy"))</f>
        <v>July 3rd,2023</v>
      </c>
      <c r="AB1111" s="15" t="str">
        <f aca="true">IF(S1111="","",DATEDIF(S1111,TODAY(),"Y")&amp;" Tahun, "&amp;DATEDIF(S1111,TODAY(),"YM")&amp;" Bulan, "&amp;DATEDIF(S1111,TODAY(),"MD")&amp;" Hari")</f>
        <v>27 Tahun, 6 Bulan, 17 Hari</v>
      </c>
      <c r="AC1111" s="18" t="n">
        <v>45744</v>
      </c>
      <c r="AD1111" s="18" t="n">
        <v>45915</v>
      </c>
      <c r="AE1111" s="18" t="s">
        <v>44</v>
      </c>
    </row>
    <row r="1112" customFormat="false" ht="15.75" hidden="false" customHeight="true" outlineLevel="0" collapsed="false">
      <c r="A1112" s="12" t="n">
        <v>22909</v>
      </c>
      <c r="B1112" s="13" t="s">
        <v>4896</v>
      </c>
      <c r="C1112" s="14" t="n">
        <v>46279</v>
      </c>
      <c r="D1112" s="13" t="s">
        <v>2033</v>
      </c>
      <c r="E1112" s="13" t="s">
        <v>47</v>
      </c>
      <c r="F1112" s="24" t="s">
        <v>4897</v>
      </c>
      <c r="G1112" s="13" t="s">
        <v>1452</v>
      </c>
      <c r="H1112" s="13" t="s">
        <v>35</v>
      </c>
      <c r="I1112" s="13" t="str">
        <f aca="false">IF(C1112=J1112,"NEW KONTRAK","RE-KONTRAK")</f>
        <v>NEW KONTRAK</v>
      </c>
      <c r="J1112" s="16" t="n">
        <f aca="false" t="array" ref="J1112:J1112">IFERROR(INDEX(AC1112:AE1112,IF(COUNTA(AC1112:AE1112)=0,"",MAX((AC1112:AE1112&lt;&gt;"")*(COLUMN(AC1112:AE1112)-(COLUMN(AC1112)))))-1),"")</f>
        <v>46279</v>
      </c>
      <c r="K1112" s="16" t="n">
        <f aca="false" t="array" ref="K1112:K1112">IFERROR(INDEX(AC1112:AE1112,IF(COUNTA(AC1112:AE1112)=0,"",MAX((AC1112:AE1112&lt;&gt;"")*(COLUMN(AC1112:AE1112)-(COLUMN(AC1112)-1))))-1),"")</f>
        <v>46402</v>
      </c>
      <c r="L1112" s="17" t="str">
        <f aca="false" t="array" ref="L1112:L1112">IFERROR(INDEX(AC1112:AE1112,IF(COUNTA(AC1112:AE1112)=0,"",MAX((AC1112:AE1112&lt;&gt;"")*(COLUMN(AC1112:AE1112)-(COLUMN(AC1112)-2))))-1),"")</f>
        <v>KEMBALI ONLINE</v>
      </c>
      <c r="M1112" s="13" t="n">
        <f aca="true">K1112-TODAY()</f>
        <v>78</v>
      </c>
      <c r="N1112" s="28" t="s">
        <v>4898</v>
      </c>
      <c r="O1112" s="13" t="s">
        <v>2384</v>
      </c>
      <c r="P1112" s="26" t="n">
        <v>4035000</v>
      </c>
      <c r="Q1112" s="20" t="s">
        <v>4899</v>
      </c>
      <c r="R1112" s="13" t="s">
        <v>4900</v>
      </c>
      <c r="S1112" s="25" t="n">
        <v>37968</v>
      </c>
      <c r="T1112" s="13" t="s">
        <v>108</v>
      </c>
      <c r="U1112" s="13" t="s">
        <v>4901</v>
      </c>
      <c r="V1112" s="13" t="s">
        <v>42</v>
      </c>
      <c r="W1112" s="13" t="s">
        <v>43</v>
      </c>
      <c r="X1112" s="21" t="n">
        <v>82269478676</v>
      </c>
      <c r="Y1112" s="22" t="str">
        <f aca="false">O1112</f>
        <v>SPG</v>
      </c>
      <c r="Z1112" s="13" t="str">
        <f aca="false">IFERROR(__xludf.dummyfunction("if(BJ1112="""","""",GOOGLETRANSLATE(BJ1112,""auto"",""en""))"),"SPG")</f>
        <v>SPG</v>
      </c>
      <c r="AA1112" s="23" t="str">
        <f aca="false">IF(C1112="","", CHOOSE(MONTH(C1112),"January","February","March","April","May","June","July","August","September","October","November","December")&amp;" "&amp;DAY(C1112)&amp;MID("thstndrdth",MIN(9,2*RIGHT(DAY(C1112))*(MOD(DAY(C1112)-11,100)&gt;2)+1),2)&amp;","&amp;TEXT(C1112," yyyy"))</f>
        <v>September 14th,2026</v>
      </c>
      <c r="AB1112" s="15" t="str">
        <f aca="true">IF(S1112="","",DATEDIF(S1112,TODAY(),"Y")&amp;" Tahun, "&amp;DATEDIF(S1112,TODAY(),"YM")&amp;" Bulan, "&amp;DATEDIF(S1112,TODAY(),"MD")&amp;" Hari")</f>
        <v>22 Tahun, 10 Bulan, 16 Hari</v>
      </c>
      <c r="AC1112" s="14" t="n">
        <v>46279</v>
      </c>
      <c r="AD1112" s="18" t="n">
        <v>46402</v>
      </c>
      <c r="AE1112" s="13" t="s">
        <v>2387</v>
      </c>
    </row>
    <row r="1113" customFormat="false" ht="15.75" hidden="false" customHeight="true" outlineLevel="0" collapsed="false">
      <c r="A1113" s="12" t="n">
        <v>22481</v>
      </c>
      <c r="B1113" s="13" t="s">
        <v>4902</v>
      </c>
      <c r="C1113" s="14" t="n">
        <v>46189</v>
      </c>
      <c r="D1113" s="13" t="s">
        <v>2033</v>
      </c>
      <c r="E1113" s="15" t="s">
        <v>47</v>
      </c>
      <c r="F1113" s="15" t="str">
        <f aca="false">IFERROR(__xludf.dummyfunction("XLOOKUP(AJ1113,IMPORTRANGE(""1XaInW9DU9nz21V0tYIfzFQ0He9kVQ_JF2mCXgZ3hqFA"",""REKAP ALL 2026 - Andika!G:G""),IMPORTRANGE(""1XaInW9DU9nz21V0tYIfzFQ0He9kVQ_JF2mCXgZ3hqFA"",""REKAP ALL 2026 - Andika!F:F""),"""",0)"),"23093939884")</f>
        <v>23093939884</v>
      </c>
      <c r="G1113" s="15" t="s">
        <v>1127</v>
      </c>
      <c r="H1113" s="13" t="s">
        <v>35</v>
      </c>
      <c r="I1113" s="13" t="str">
        <f aca="false">IF(C1113=J1113,"NEW KONTRAK","RE-KONTRAK")</f>
        <v>NEW KONTRAK</v>
      </c>
      <c r="J1113" s="16" t="n">
        <f aca="false" t="array" ref="J1113:J1113">IFERROR(INDEX(AC1113:AE1113,IF(COUNTA(AC1113:AE1113)=0,"",MAX((AC1113:AE1113&lt;&gt;"")*(COLUMN(AC1113:AE1113)-(COLUMN(AC1113)))))-1),"")</f>
        <v>46189</v>
      </c>
      <c r="K1113" s="16" t="n">
        <f aca="false" t="array" ref="K1113:K1113">IFERROR(INDEX(AC1113:AE1113,IF(COUNTA(AC1113:AE1113)=0,"",MAX((AC1113:AE1113&lt;&gt;"")*(COLUMN(AC1113:AE1113)-(COLUMN(AC1113)-1))))-1),"")</f>
        <v>46280</v>
      </c>
      <c r="L1113" s="17" t="str">
        <f aca="false" t="array" ref="L1113:L1113">IFERROR(INDEX(AC1113:AE1113,IF(COUNTA(AC1113:AE1113)=0,"",MAX((AC1113:AE1113&lt;&gt;"")*(COLUMN(AC1113:AE1113)-(COLUMN(AC1113)-2))))-1),"")</f>
        <v>KEMBALI</v>
      </c>
      <c r="M1113" s="13" t="n">
        <f aca="true">K1113-TODAY()</f>
        <v>-44</v>
      </c>
      <c r="N1113" s="13" t="s">
        <v>4903</v>
      </c>
      <c r="O1113" s="13" t="s">
        <v>2384</v>
      </c>
      <c r="P1113" s="19" t="n">
        <v>3205220</v>
      </c>
      <c r="Q1113" s="47" t="s">
        <v>4904</v>
      </c>
      <c r="R1113" s="13" t="s">
        <v>4905</v>
      </c>
      <c r="S1113" s="16" t="n">
        <v>37602</v>
      </c>
      <c r="T1113" s="28" t="s">
        <v>108</v>
      </c>
      <c r="U1113" s="13" t="s">
        <v>4906</v>
      </c>
      <c r="V1113" s="28" t="s">
        <v>99</v>
      </c>
      <c r="W1113" s="13" t="s">
        <v>43</v>
      </c>
      <c r="X1113" s="67" t="s">
        <v>4907</v>
      </c>
      <c r="Y1113" s="22" t="str">
        <f aca="false">O1113</f>
        <v>SPG</v>
      </c>
      <c r="Z1113" s="13" t="str">
        <f aca="false">IFERROR(__xludf.dummyfunction("if(BJ1113="""","""",GOOGLETRANSLATE(BJ1113,""auto"",""en""))"),"SPG")</f>
        <v>SPG</v>
      </c>
      <c r="AA1113" s="23" t="str">
        <f aca="false">IF(C1113="","", CHOOSE(MONTH(C1113),"January","February","March","April","May","June","July","August","September","October","November","December")&amp;" "&amp;DAY(C1113)&amp;MID("thstndrdth",MIN(9,2*RIGHT(DAY(C1113))*(MOD(DAY(C1113)-11,100)&gt;2)+1),2)&amp;","&amp;TEXT(C1113," yyyy"))</f>
        <v>June 16th,2026</v>
      </c>
      <c r="AB1113" s="15" t="str">
        <f aca="true">IF(S1113="","",DATEDIF(S1113,TODAY(),"Y")&amp;" Tahun, "&amp;DATEDIF(S1113,TODAY(),"YM")&amp;" Bulan, "&amp;DATEDIF(S1113,TODAY(),"MD")&amp;" Hari")</f>
        <v>23 Tahun, 10 Bulan, 17 Hari</v>
      </c>
      <c r="AC1113" s="14" t="n">
        <v>46189</v>
      </c>
      <c r="AD1113" s="18" t="n">
        <f aca="false">EDATE(AC1113,3)-1</f>
        <v>46280</v>
      </c>
      <c r="AE1113" s="13" t="s">
        <v>397</v>
      </c>
    </row>
    <row r="1114" customFormat="false" ht="15.75" hidden="false" customHeight="true" outlineLevel="0" collapsed="false">
      <c r="A1114" s="12" t="n">
        <v>1920</v>
      </c>
      <c r="B1114" s="13" t="s">
        <v>4908</v>
      </c>
      <c r="C1114" s="14" t="n">
        <v>43845</v>
      </c>
      <c r="D1114" s="13" t="s">
        <v>101</v>
      </c>
      <c r="E1114" s="15" t="s">
        <v>47</v>
      </c>
      <c r="F1114" s="15" t="str">
        <f aca="false">IFERROR(__xludf.dummyfunction("XLOOKUP(AJ1114,IMPORTRANGE(""1XaInW9DU9nz21V0tYIfzFQ0He9kVQ_JF2mCXgZ3hqFA"",""REKAP ALL 2026 - Andika!G:G""),IMPORTRANGE(""1XaInW9DU9nz21V0tYIfzFQ0He9kVQ_JF2mCXgZ3hqFA"",""REKAP ALL 2026 - Andika!F:F""),"""",0)"),"20021313984")</f>
        <v>20021313984</v>
      </c>
      <c r="G1114" s="13" t="s">
        <v>4909</v>
      </c>
      <c r="H1114" s="13" t="s">
        <v>35</v>
      </c>
      <c r="I1114" s="13" t="str">
        <f aca="false">IF(C1114=J1114,"NEW KONTRAK","RE-KONTRAK")</f>
        <v>RE-KONTRAK</v>
      </c>
      <c r="J1114" s="16" t="n">
        <f aca="false" t="array" ref="J1114:J1114">IFERROR(INDEX(AC1114:AE1114,IF(COUNTA(AC1114:AE1114)=0,"",MAX((AC1114:AE1114&lt;&gt;"")*(COLUMN(AC1114:AE1114)-(COLUMN(AC1114)))))-1),"")</f>
        <v>45672</v>
      </c>
      <c r="K1114" s="16" t="n">
        <f aca="false" t="array" ref="K1114:K1114">IFERROR(INDEX(AC1114:AE1114,IF(COUNTA(AC1114:AE1114)=0,"",MAX((AC1114:AE1114&lt;&gt;"")*(COLUMN(AC1114:AE1114)-(COLUMN(AC1114)-1))))-1),"")</f>
        <v>46036</v>
      </c>
      <c r="L1114" s="17" t="str">
        <f aca="false" t="array" ref="L1114:L1114">IFERROR(INDEX(AC1114:AE1114,IF(COUNTA(AC1114:AE1114)=0,"",MAX((AC1114:AE1114&lt;&gt;"")*(COLUMN(AC1114:AE1114)-(COLUMN(AC1114)-2))))-1),"")</f>
        <v>ARCHIVED</v>
      </c>
      <c r="M1114" s="13" t="n">
        <f aca="true">K1114-TODAY()</f>
        <v>-288</v>
      </c>
      <c r="N1114" s="18" t="s">
        <v>105</v>
      </c>
      <c r="O1114" s="13" t="s">
        <v>106</v>
      </c>
      <c r="P1114" s="31" t="n">
        <v>138915</v>
      </c>
      <c r="Q1114" s="20" t="s">
        <v>4910</v>
      </c>
      <c r="R1114" s="13" t="s">
        <v>83</v>
      </c>
      <c r="S1114" s="25" t="n">
        <v>36795</v>
      </c>
      <c r="T1114" s="13" t="s">
        <v>40</v>
      </c>
      <c r="U1114" s="13" t="s">
        <v>4911</v>
      </c>
      <c r="V1114" s="13" t="s">
        <v>42</v>
      </c>
      <c r="W1114" s="13" t="s">
        <v>43</v>
      </c>
      <c r="X1114" s="21" t="n">
        <v>88217706588</v>
      </c>
      <c r="Y1114" s="22" t="str">
        <f aca="false">O1114</f>
        <v>Produksi - Helper</v>
      </c>
      <c r="Z1114" s="13" t="str">
        <f aca="false">IFERROR(__xludf.dummyfunction("if(BJ1114="""","""",GOOGLETRANSLATE(BJ1114,""auto"",""en""))"),"Production - Helper")</f>
        <v>Production - Helper</v>
      </c>
      <c r="AA1114" s="23" t="str">
        <f aca="false">IF(C1114="","", CHOOSE(MONTH(C1114),"January","February","March","April","May","June","July","August","September","October","November","December")&amp;" "&amp;DAY(C1114)&amp;MID("thstndrdth",MIN(9,2*RIGHT(DAY(C1114))*(MOD(DAY(C1114)-11,100)&gt;2)+1),2)&amp;","&amp;TEXT(C1114," yyyy"))</f>
        <v>January 15th,2020</v>
      </c>
      <c r="AB1114" s="15" t="str">
        <f aca="true">IF(S1114="","",DATEDIF(S1114,TODAY(),"Y")&amp;" Tahun, "&amp;DATEDIF(S1114,TODAY(),"YM")&amp;" Bulan, "&amp;DATEDIF(S1114,TODAY(),"MD")&amp;" Hari")</f>
        <v>26 Tahun, 1 Bulan, 3 Hari</v>
      </c>
      <c r="AC1114" s="18" t="n">
        <v>45672</v>
      </c>
      <c r="AD1114" s="18" t="n">
        <v>46036</v>
      </c>
      <c r="AE1114" s="18" t="s">
        <v>44</v>
      </c>
    </row>
    <row r="1115" customFormat="false" ht="15.75" hidden="false" customHeight="true" outlineLevel="0" collapsed="false">
      <c r="A1115" s="12" t="n">
        <v>22657</v>
      </c>
      <c r="B1115" s="45" t="s">
        <v>4912</v>
      </c>
      <c r="C1115" s="14" t="n">
        <v>46244</v>
      </c>
      <c r="D1115" s="13" t="s">
        <v>101</v>
      </c>
      <c r="E1115" s="15" t="s">
        <v>47</v>
      </c>
      <c r="F1115" s="24" t="s">
        <v>4913</v>
      </c>
      <c r="G1115" s="13" t="s">
        <v>1452</v>
      </c>
      <c r="H1115" s="13" t="s">
        <v>35</v>
      </c>
      <c r="I1115" s="13" t="str">
        <f aca="false">IF(C1115=J1115,"NEW KONTRAK","RE-KONTRAK")</f>
        <v>NEW KONTRAK</v>
      </c>
      <c r="J1115" s="16" t="n">
        <f aca="false" t="array" ref="J1115:J1115">IFERROR(INDEX(AC1115:AE1115,IF(COUNTA(AC1115:AE1115)=0,"",MAX((AC1115:AE1115&lt;&gt;"")*(COLUMN(AC1115:AE1115)-(COLUMN(AC1115)))))-1),"")</f>
        <v>46244</v>
      </c>
      <c r="K1115" s="16" t="n">
        <f aca="false" t="array" ref="K1115:K1115">IFERROR(INDEX(AC1115:AE1115,IF(COUNTA(AC1115:AE1115)=0,"",MAX((AC1115:AE1115&lt;&gt;"")*(COLUMN(AC1115:AE1115)-(COLUMN(AC1115)-1))))-1),"")</f>
        <v>46402</v>
      </c>
      <c r="L1115" s="17" t="str">
        <f aca="false" t="array" ref="L1115:L1115">IFERROR(INDEX(AC1115:AE1115,IF(COUNTA(AC1115:AE1115)=0,"",MAX((AC1115:AE1115&lt;&gt;"")*(COLUMN(AC1115:AE1115)-(COLUMN(AC1115)-2))))-1),"")</f>
        <v>ARCHIVED</v>
      </c>
      <c r="M1115" s="13" t="n">
        <f aca="true">K1115-TODAY()</f>
        <v>78</v>
      </c>
      <c r="N1115" s="18" t="s">
        <v>105</v>
      </c>
      <c r="O1115" s="13" t="s">
        <v>1453</v>
      </c>
      <c r="P1115" s="26" t="n">
        <v>138915</v>
      </c>
      <c r="Q1115" s="20" t="s">
        <v>4914</v>
      </c>
      <c r="R1115" s="13" t="s">
        <v>39</v>
      </c>
      <c r="S1115" s="25" t="n">
        <v>36308</v>
      </c>
      <c r="T1115" s="13" t="s">
        <v>108</v>
      </c>
      <c r="U1115" s="13" t="s">
        <v>4915</v>
      </c>
      <c r="V1115" s="13" t="s">
        <v>42</v>
      </c>
      <c r="W1115" s="13" t="s">
        <v>54</v>
      </c>
      <c r="X1115" s="21" t="n">
        <v>895342296552</v>
      </c>
      <c r="Y1115" s="22" t="str">
        <f aca="false">O1115</f>
        <v>Helper Produksi</v>
      </c>
      <c r="Z1115" s="13" t="str">
        <f aca="false">IFERROR(__xludf.dummyfunction("if(BJ1115="""","""",GOOGLETRANSLATE(BJ1115,""auto"",""en""))"),"Production Helper")</f>
        <v>Production Helper</v>
      </c>
      <c r="AA1115" s="23" t="str">
        <f aca="false">IF(C1115="","", CHOOSE(MONTH(C1115),"January","February","March","April","May","June","July","August","September","October","November","December")&amp;" "&amp;DAY(C1115)&amp;MID("thstndrdth",MIN(9,2*RIGHT(DAY(C1115))*(MOD(DAY(C1115)-11,100)&gt;2)+1),2)&amp;","&amp;TEXT(C1115," yyyy"))</f>
        <v>August 10th,2026</v>
      </c>
      <c r="AB1115" s="15" t="str">
        <f aca="true">IF(S1115="","",DATEDIF(S1115,TODAY(),"Y")&amp;" Tahun, "&amp;DATEDIF(S1115,TODAY(),"YM")&amp;" Bulan, "&amp;DATEDIF(S1115,TODAY(),"MD")&amp;" Hari")</f>
        <v>27 Tahun, 5 Bulan, 1 Hari</v>
      </c>
      <c r="AC1115" s="14" t="n">
        <v>46244</v>
      </c>
      <c r="AD1115" s="18" t="n">
        <v>46402</v>
      </c>
      <c r="AE1115" s="45" t="s">
        <v>44</v>
      </c>
    </row>
    <row r="1116" customFormat="false" ht="15.75" hidden="false" customHeight="true" outlineLevel="0" collapsed="false">
      <c r="A1116" s="12" t="n">
        <v>21374</v>
      </c>
      <c r="B1116" s="13" t="s">
        <v>4916</v>
      </c>
      <c r="C1116" s="16" t="n">
        <v>45916</v>
      </c>
      <c r="D1116" s="13" t="s">
        <v>101</v>
      </c>
      <c r="E1116" s="15" t="s">
        <v>47</v>
      </c>
      <c r="F1116" s="15" t="str">
        <f aca="false">IFERROR(__xludf.dummyfunction("XLOOKUP(AJ1116,IMPORTRANGE(""1XaInW9DU9nz21V0tYIfzFQ0He9kVQ_JF2mCXgZ3hqFA"",""REKAP ALL 2026 - Andika!G:G""),IMPORTRANGE(""1XaInW9DU9nz21V0tYIfzFQ0He9kVQ_JF2mCXgZ3hqFA"",""REKAP ALL 2026 - Andika!F:F""),"""",0)"),"25157577757")</f>
        <v>25157577757</v>
      </c>
      <c r="G1116" s="13" t="s">
        <v>1127</v>
      </c>
      <c r="H1116" s="13" t="s">
        <v>35</v>
      </c>
      <c r="I1116" s="13" t="str">
        <f aca="false">IF(C1116=J1116,"NEW KONTRAK","RE-KONTRAK")</f>
        <v>NEW KONTRAK</v>
      </c>
      <c r="J1116" s="16" t="n">
        <f aca="false" t="array" ref="J1116:J1116">IFERROR(INDEX(AC1116:AE1116,IF(COUNTA(AC1116:AE1116)=0,"",MAX((AC1116:AE1116&lt;&gt;"")*(COLUMN(AC1116:AE1116)-(COLUMN(AC1116)))))-1),"")</f>
        <v>45916</v>
      </c>
      <c r="K1116" s="16" t="n">
        <f aca="false" t="array" ref="K1116:K1116">IFERROR(INDEX(AC1116:AE1116,IF(COUNTA(AC1116:AE1116)=0,"",MAX((AC1116:AE1116&lt;&gt;"")*(COLUMN(AC1116:AE1116)-(COLUMN(AC1116)-1))))-1),"")</f>
        <v>46036</v>
      </c>
      <c r="L1116" s="17" t="str">
        <f aca="false" t="array" ref="L1116:L1116">IFERROR(INDEX(AC1116:AE1116,IF(COUNTA(AC1116:AE1116)=0,"",MAX((AC1116:AE1116&lt;&gt;"")*(COLUMN(AC1116:AE1116)-(COLUMN(AC1116)-2))))-1),"")</f>
        <v>ARCHIVED</v>
      </c>
      <c r="M1116" s="13" t="n">
        <f aca="true">K1116-TODAY()</f>
        <v>-288</v>
      </c>
      <c r="N1116" s="18" t="s">
        <v>105</v>
      </c>
      <c r="O1116" s="13" t="s">
        <v>1434</v>
      </c>
      <c r="P1116" s="19" t="n">
        <v>138915</v>
      </c>
      <c r="Q1116" s="20" t="s">
        <v>4917</v>
      </c>
      <c r="R1116" s="13" t="s">
        <v>39</v>
      </c>
      <c r="S1116" s="25" t="n">
        <v>38287</v>
      </c>
      <c r="T1116" s="13" t="s">
        <v>108</v>
      </c>
      <c r="U1116" s="13" t="s">
        <v>4918</v>
      </c>
      <c r="V1116" s="13" t="s">
        <v>42</v>
      </c>
      <c r="W1116" s="13" t="s">
        <v>43</v>
      </c>
      <c r="X1116" s="21" t="n">
        <v>882005863752</v>
      </c>
      <c r="Y1116" s="22" t="str">
        <f aca="false">O1116</f>
        <v>E-Commerce - Packer</v>
      </c>
      <c r="Z1116" s="13" t="str">
        <f aca="false">IFERROR(__xludf.dummyfunction("if(BJ1116="""","""",GOOGLETRANSLATE(BJ1116,""auto"",""en""))"),"E-Commerce - Packer")</f>
        <v>E-Commerce - Packer</v>
      </c>
      <c r="AA1116" s="23" t="str">
        <f aca="false">IF(C1116="","", CHOOSE(MONTH(C1116),"January","February","March","April","May","June","July","August","September","October","November","December")&amp;" "&amp;DAY(C1116)&amp;MID("thstndrdth",MIN(9,2*RIGHT(DAY(C1116))*(MOD(DAY(C1116)-11,100)&gt;2)+1),2)&amp;","&amp;TEXT(C1116," yyyy"))</f>
        <v>September 16th,2025</v>
      </c>
      <c r="AB1116" s="15" t="str">
        <f aca="true">IF(S1116="","",DATEDIF(S1116,TODAY(),"Y")&amp;" Tahun, "&amp;DATEDIF(S1116,TODAY(),"YM")&amp;" Bulan, "&amp;DATEDIF(S1116,TODAY(),"MD")&amp;" Hari")</f>
        <v>22 Tahun, 0 Bulan, 2 Hari</v>
      </c>
      <c r="AC1116" s="18" t="n">
        <v>45916</v>
      </c>
      <c r="AD1116" s="18" t="n">
        <v>46036</v>
      </c>
      <c r="AE1116" s="13" t="s">
        <v>44</v>
      </c>
    </row>
    <row r="1117" customFormat="false" ht="15.75" hidden="false" customHeight="true" outlineLevel="0" collapsed="false">
      <c r="A1117" s="12" t="n">
        <v>22544</v>
      </c>
      <c r="B1117" s="45" t="s">
        <v>4919</v>
      </c>
      <c r="C1117" s="14" t="n">
        <v>46223</v>
      </c>
      <c r="D1117" s="13" t="s">
        <v>101</v>
      </c>
      <c r="E1117" s="15" t="s">
        <v>47</v>
      </c>
      <c r="F1117" s="24" t="s">
        <v>4920</v>
      </c>
      <c r="G1117" s="28" t="s">
        <v>57</v>
      </c>
      <c r="H1117" s="13" t="s">
        <v>35</v>
      </c>
      <c r="I1117" s="13" t="str">
        <f aca="false">IF(C1117=J1117,"NEW KONTRAK","RE-KONTRAK")</f>
        <v>NEW KONTRAK</v>
      </c>
      <c r="J1117" s="16" t="n">
        <f aca="false" t="array" ref="J1117:J1117">IFERROR(INDEX(AC1117:AE1117,IF(COUNTA(AC1117:AE1117)=0,"",MAX((AC1117:AE1117&lt;&gt;"")*(COLUMN(AC1117:AE1117)-(COLUMN(AC1117)))))-1),"")</f>
        <v>46223</v>
      </c>
      <c r="K1117" s="16" t="n">
        <f aca="false" t="array" ref="K1117:K1117">IFERROR(INDEX(AC1117:AE1117,IF(COUNTA(AC1117:AE1117)=0,"",MAX((AC1117:AE1117&lt;&gt;"")*(COLUMN(AC1117:AE1117)-(COLUMN(AC1117)-1))))-1),"")</f>
        <v>46402</v>
      </c>
      <c r="L1117" s="17" t="str">
        <f aca="false" t="array" ref="L1117:L1117">IFERROR(INDEX(AC1117:AE1117,IF(COUNTA(AC1117:AE1117)=0,"",MAX((AC1117:AE1117&lt;&gt;"")*(COLUMN(AC1117:AE1117)-(COLUMN(AC1117)-2))))-1),"")</f>
        <v>KEMBALI</v>
      </c>
      <c r="M1117" s="13" t="n">
        <f aca="true">K1117-TODAY()</f>
        <v>78</v>
      </c>
      <c r="N1117" s="18" t="s">
        <v>105</v>
      </c>
      <c r="O1117" s="13" t="s">
        <v>1453</v>
      </c>
      <c r="P1117" s="26" t="n">
        <v>138915</v>
      </c>
      <c r="Q1117" s="20" t="s">
        <v>4921</v>
      </c>
      <c r="R1117" s="13" t="s">
        <v>763</v>
      </c>
      <c r="S1117" s="25" t="n">
        <v>37954</v>
      </c>
      <c r="T1117" s="13" t="s">
        <v>40</v>
      </c>
      <c r="U1117" s="17" t="s">
        <v>4922</v>
      </c>
      <c r="V1117" s="13" t="s">
        <v>42</v>
      </c>
      <c r="W1117" s="13" t="s">
        <v>43</v>
      </c>
      <c r="X1117" s="21" t="n">
        <v>85733639466</v>
      </c>
      <c r="Y1117" s="22" t="str">
        <f aca="false">O1117</f>
        <v>Helper Produksi</v>
      </c>
      <c r="Z1117" s="13" t="str">
        <f aca="false">IFERROR(__xludf.dummyfunction("if(BJ1117="""","""",GOOGLETRANSLATE(BJ1117,""auto"",""en""))"),"Production Helper")</f>
        <v>Production Helper</v>
      </c>
      <c r="AA1117" s="23" t="str">
        <f aca="false">IF(C1117="","", CHOOSE(MONTH(C1117),"January","February","March","April","May","June","July","August","September","October","November","December")&amp;" "&amp;DAY(C1117)&amp;MID("thstndrdth",MIN(9,2*RIGHT(DAY(C1117))*(MOD(DAY(C1117)-11,100)&gt;2)+1),2)&amp;","&amp;TEXT(C1117," yyyy"))</f>
        <v>July 20th,2026</v>
      </c>
      <c r="AB1117" s="15" t="str">
        <f aca="true">IF(S1117="","",DATEDIF(S1117,TODAY(),"Y")&amp;" Tahun, "&amp;DATEDIF(S1117,TODAY(),"YM")&amp;" Bulan, "&amp;DATEDIF(S1117,TODAY(),"MD")&amp;" Hari")</f>
        <v>22 Tahun, 11 Bulan, 0 Hari</v>
      </c>
      <c r="AC1117" s="14" t="n">
        <v>46223</v>
      </c>
      <c r="AD1117" s="18" t="n">
        <v>46402</v>
      </c>
      <c r="AE1117" s="13" t="s">
        <v>397</v>
      </c>
    </row>
    <row r="1118" customFormat="false" ht="15.75" hidden="false" customHeight="true" outlineLevel="0" collapsed="false">
      <c r="A1118" s="12" t="n">
        <v>22662</v>
      </c>
      <c r="B1118" s="45" t="s">
        <v>4923</v>
      </c>
      <c r="C1118" s="14" t="n">
        <v>46244</v>
      </c>
      <c r="D1118" s="13" t="s">
        <v>101</v>
      </c>
      <c r="E1118" s="15" t="s">
        <v>47</v>
      </c>
      <c r="F1118" s="24" t="s">
        <v>4924</v>
      </c>
      <c r="G1118" s="13" t="s">
        <v>1452</v>
      </c>
      <c r="H1118" s="13" t="s">
        <v>35</v>
      </c>
      <c r="I1118" s="13" t="str">
        <f aca="false">IF(C1118=J1118,"NEW KONTRAK","RE-KONTRAK")</f>
        <v>NEW KONTRAK</v>
      </c>
      <c r="J1118" s="16" t="n">
        <f aca="false" t="array" ref="J1118:J1118">IFERROR(INDEX(AC1118:AE1118,IF(COUNTA(AC1118:AE1118)=0,"",MAX((AC1118:AE1118&lt;&gt;"")*(COLUMN(AC1118:AE1118)-(COLUMN(AC1118)))))-1),"")</f>
        <v>46244</v>
      </c>
      <c r="K1118" s="16" t="n">
        <f aca="false" t="array" ref="K1118:K1118">IFERROR(INDEX(AC1118:AE1118,IF(COUNTA(AC1118:AE1118)=0,"",MAX((AC1118:AE1118&lt;&gt;"")*(COLUMN(AC1118:AE1118)-(COLUMN(AC1118)-1))))-1),"")</f>
        <v>46402</v>
      </c>
      <c r="L1118" s="17" t="str">
        <f aca="false" t="array" ref="L1118:L1118">IFERROR(INDEX(AC1118:AE1118,IF(COUNTA(AC1118:AE1118)=0,"",MAX((AC1118:AE1118&lt;&gt;"")*(COLUMN(AC1118:AE1118)-(COLUMN(AC1118)-2))))-1),"")</f>
        <v>ARCHIVED</v>
      </c>
      <c r="M1118" s="13" t="n">
        <f aca="true">K1118-TODAY()</f>
        <v>78</v>
      </c>
      <c r="N1118" s="18" t="s">
        <v>105</v>
      </c>
      <c r="O1118" s="13" t="s">
        <v>1453</v>
      </c>
      <c r="P1118" s="26" t="n">
        <v>138915</v>
      </c>
      <c r="Q1118" s="20" t="s">
        <v>4925</v>
      </c>
      <c r="R1118" s="13" t="s">
        <v>52</v>
      </c>
      <c r="S1118" s="25" t="n">
        <v>35690</v>
      </c>
      <c r="T1118" s="13" t="s">
        <v>108</v>
      </c>
      <c r="U1118" s="13" t="s">
        <v>4926</v>
      </c>
      <c r="V1118" s="13" t="s">
        <v>42</v>
      </c>
      <c r="W1118" s="13" t="s">
        <v>43</v>
      </c>
      <c r="X1118" s="21" t="n">
        <v>895370696062</v>
      </c>
      <c r="Y1118" s="22" t="str">
        <f aca="false">O1118</f>
        <v>Helper Produksi</v>
      </c>
      <c r="Z1118" s="13" t="str">
        <f aca="false">IFERROR(__xludf.dummyfunction("if(BJ1118="""","""",GOOGLETRANSLATE(BJ1118,""auto"",""en""))"),"Production Helper")</f>
        <v>Production Helper</v>
      </c>
      <c r="AA1118" s="23" t="str">
        <f aca="false">IF(C1118="","", CHOOSE(MONTH(C1118),"January","February","March","April","May","June","July","August","September","October","November","December")&amp;" "&amp;DAY(C1118)&amp;MID("thstndrdth",MIN(9,2*RIGHT(DAY(C1118))*(MOD(DAY(C1118)-11,100)&gt;2)+1),2)&amp;","&amp;TEXT(C1118," yyyy"))</f>
        <v>August 10th,2026</v>
      </c>
      <c r="AB1118" s="15" t="str">
        <f aca="true">IF(S1118="","",DATEDIF(S1118,TODAY(),"Y")&amp;" Tahun, "&amp;DATEDIF(S1118,TODAY(),"YM")&amp;" Bulan, "&amp;DATEDIF(S1118,TODAY(),"MD")&amp;" Hari")</f>
        <v>29 Tahun, 1 Bulan, 12 Hari</v>
      </c>
      <c r="AC1118" s="14" t="n">
        <v>46244</v>
      </c>
      <c r="AD1118" s="18" t="n">
        <v>46402</v>
      </c>
      <c r="AE1118" s="45" t="s">
        <v>44</v>
      </c>
    </row>
    <row r="1119" customFormat="false" ht="15.75" hidden="false" customHeight="true" outlineLevel="0" collapsed="false">
      <c r="A1119" s="12" t="n">
        <v>22551</v>
      </c>
      <c r="B1119" s="45" t="s">
        <v>4927</v>
      </c>
      <c r="C1119" s="14" t="n">
        <v>46219</v>
      </c>
      <c r="D1119" s="13" t="s">
        <v>101</v>
      </c>
      <c r="E1119" s="15" t="s">
        <v>47</v>
      </c>
      <c r="F1119" s="24" t="s">
        <v>4928</v>
      </c>
      <c r="G1119" s="28" t="s">
        <v>57</v>
      </c>
      <c r="H1119" s="13" t="s">
        <v>35</v>
      </c>
      <c r="I1119" s="13" t="str">
        <f aca="false">IF(C1119=J1119,"NEW KONTRAK","RE-KONTRAK")</f>
        <v>NEW KONTRAK</v>
      </c>
      <c r="J1119" s="16" t="n">
        <f aca="false" t="array" ref="J1119:J1119">IFERROR(INDEX(AC1119:AE1119,IF(COUNTA(AC1119:AE1119)=0,"",MAX((AC1119:AE1119&lt;&gt;"")*(COLUMN(AC1119:AE1119)-(COLUMN(AC1119)))))-1),"")</f>
        <v>46219</v>
      </c>
      <c r="K1119" s="16" t="n">
        <f aca="false" t="array" ref="K1119:K1119">IFERROR(INDEX(AC1119:AE1119,IF(COUNTA(AC1119:AE1119)=0,"",MAX((AC1119:AE1119&lt;&gt;"")*(COLUMN(AC1119:AE1119)-(COLUMN(AC1119)-1))))-1),"")</f>
        <v>46402</v>
      </c>
      <c r="L1119" s="17" t="str">
        <f aca="false" t="array" ref="L1119:L1119">IFERROR(INDEX(AC1119:AE1119,IF(COUNTA(AC1119:AE1119)=0,"",MAX((AC1119:AE1119&lt;&gt;"")*(COLUMN(AC1119:AE1119)-(COLUMN(AC1119)-2))))-1),"")</f>
        <v>KEMBALI</v>
      </c>
      <c r="M1119" s="13" t="n">
        <f aca="true">K1119-TODAY()</f>
        <v>78</v>
      </c>
      <c r="N1119" s="18" t="s">
        <v>105</v>
      </c>
      <c r="O1119" s="13" t="s">
        <v>1453</v>
      </c>
      <c r="P1119" s="26" t="n">
        <v>138915</v>
      </c>
      <c r="Q1119" s="20" t="s">
        <v>4929</v>
      </c>
      <c r="R1119" s="16" t="s">
        <v>39</v>
      </c>
      <c r="S1119" s="25" t="n">
        <v>36232</v>
      </c>
      <c r="T1119" s="13" t="s">
        <v>108</v>
      </c>
      <c r="U1119" s="17" t="s">
        <v>4930</v>
      </c>
      <c r="V1119" s="15" t="s">
        <v>42</v>
      </c>
      <c r="W1119" s="13" t="s">
        <v>43</v>
      </c>
      <c r="X1119" s="21" t="n">
        <v>89514684495</v>
      </c>
      <c r="Y1119" s="22" t="str">
        <f aca="false">O1119</f>
        <v>Helper Produksi</v>
      </c>
      <c r="Z1119" s="13" t="str">
        <f aca="false">IFERROR(__xludf.dummyfunction("if(BJ1119="""","""",GOOGLETRANSLATE(BJ1119,""auto"",""en""))"),"Production Helper")</f>
        <v>Production Helper</v>
      </c>
      <c r="AA1119" s="23" t="str">
        <f aca="false">IF(C1119="","", CHOOSE(MONTH(C1119),"January","February","March","April","May","June","July","August","September","October","November","December")&amp;" "&amp;DAY(C1119)&amp;MID("thstndrdth",MIN(9,2*RIGHT(DAY(C1119))*(MOD(DAY(C1119)-11,100)&gt;2)+1),2)&amp;","&amp;TEXT(C1119," yyyy"))</f>
        <v>July 16th,2026</v>
      </c>
      <c r="AB1119" s="15" t="str">
        <f aca="true">IF(S1119="","",DATEDIF(S1119,TODAY(),"Y")&amp;" Tahun, "&amp;DATEDIF(S1119,TODAY(),"YM")&amp;" Bulan, "&amp;DATEDIF(S1119,TODAY(),"MD")&amp;" Hari")</f>
        <v>27 Tahun, 7 Bulan, 16 Hari</v>
      </c>
      <c r="AC1119" s="14" t="n">
        <v>46219</v>
      </c>
      <c r="AD1119" s="18" t="n">
        <v>46402</v>
      </c>
      <c r="AE1119" s="13" t="s">
        <v>397</v>
      </c>
    </row>
    <row r="1120" customFormat="false" ht="15.75" hidden="false" customHeight="true" outlineLevel="0" collapsed="false">
      <c r="A1120" s="12" t="n">
        <v>22552</v>
      </c>
      <c r="B1120" s="45" t="s">
        <v>4931</v>
      </c>
      <c r="C1120" s="14" t="n">
        <v>46219</v>
      </c>
      <c r="D1120" s="13" t="s">
        <v>101</v>
      </c>
      <c r="E1120" s="15" t="s">
        <v>47</v>
      </c>
      <c r="F1120" s="24" t="s">
        <v>4932</v>
      </c>
      <c r="G1120" s="28" t="s">
        <v>57</v>
      </c>
      <c r="H1120" s="13" t="s">
        <v>35</v>
      </c>
      <c r="I1120" s="13" t="str">
        <f aca="false">IF(C1120=J1120,"NEW KONTRAK","RE-KONTRAK")</f>
        <v>NEW KONTRAK</v>
      </c>
      <c r="J1120" s="16" t="n">
        <f aca="false" t="array" ref="J1120:J1120">IFERROR(INDEX(AC1120:AE1120,IF(COUNTA(AC1120:AE1120)=0,"",MAX((AC1120:AE1120&lt;&gt;"")*(COLUMN(AC1120:AE1120)-(COLUMN(AC1120)))))-1),"")</f>
        <v>46219</v>
      </c>
      <c r="K1120" s="16" t="n">
        <f aca="false" t="array" ref="K1120:K1120">IFERROR(INDEX(AC1120:AE1120,IF(COUNTA(AC1120:AE1120)=0,"",MAX((AC1120:AE1120&lt;&gt;"")*(COLUMN(AC1120:AE1120)-(COLUMN(AC1120)-1))))-1),"")</f>
        <v>46402</v>
      </c>
      <c r="L1120" s="17" t="str">
        <f aca="false" t="array" ref="L1120:L1120">IFERROR(INDEX(AC1120:AE1120,IF(COUNTA(AC1120:AE1120)=0,"",MAX((AC1120:AE1120&lt;&gt;"")*(COLUMN(AC1120:AE1120)-(COLUMN(AC1120)-2))))-1),"")</f>
        <v>KEMBALI</v>
      </c>
      <c r="M1120" s="13" t="n">
        <f aca="true">K1120-TODAY()</f>
        <v>78</v>
      </c>
      <c r="N1120" s="18" t="s">
        <v>105</v>
      </c>
      <c r="O1120" s="13" t="s">
        <v>1453</v>
      </c>
      <c r="P1120" s="26" t="n">
        <v>138915</v>
      </c>
      <c r="Q1120" s="20" t="s">
        <v>4933</v>
      </c>
      <c r="R1120" s="13" t="s">
        <v>52</v>
      </c>
      <c r="S1120" s="25" t="n">
        <v>37504</v>
      </c>
      <c r="T1120" s="13" t="s">
        <v>108</v>
      </c>
      <c r="U1120" s="17" t="s">
        <v>4934</v>
      </c>
      <c r="V1120" s="15" t="s">
        <v>42</v>
      </c>
      <c r="W1120" s="13" t="s">
        <v>43</v>
      </c>
      <c r="X1120" s="21" t="n">
        <v>895335529815</v>
      </c>
      <c r="Y1120" s="22" t="str">
        <f aca="false">O1120</f>
        <v>Helper Produksi</v>
      </c>
      <c r="Z1120" s="13" t="str">
        <f aca="false">IFERROR(__xludf.dummyfunction("if(BJ1120="""","""",GOOGLETRANSLATE(BJ1120,""auto"",""en""))"),"Production Helper")</f>
        <v>Production Helper</v>
      </c>
      <c r="AA1120" s="23" t="str">
        <f aca="false">IF(C1120="","", CHOOSE(MONTH(C1120),"January","February","March","April","May","June","July","August","September","October","November","December")&amp;" "&amp;DAY(C1120)&amp;MID("thstndrdth",MIN(9,2*RIGHT(DAY(C1120))*(MOD(DAY(C1120)-11,100)&gt;2)+1),2)&amp;","&amp;TEXT(C1120," yyyy"))</f>
        <v>July 16th,2026</v>
      </c>
      <c r="AB1120" s="15" t="str">
        <f aca="true">IF(S1120="","",DATEDIF(S1120,TODAY(),"Y")&amp;" Tahun, "&amp;DATEDIF(S1120,TODAY(),"YM")&amp;" Bulan, "&amp;DATEDIF(S1120,TODAY(),"MD")&amp;" Hari")</f>
        <v>24 Tahun, 1 Bulan, 24 Hari</v>
      </c>
      <c r="AC1120" s="14" t="n">
        <v>46219</v>
      </c>
      <c r="AD1120" s="18" t="n">
        <v>46402</v>
      </c>
      <c r="AE1120" s="13" t="s">
        <v>397</v>
      </c>
    </row>
    <row r="1121" customFormat="false" ht="15.75" hidden="false" customHeight="true" outlineLevel="0" collapsed="false">
      <c r="A1121" s="12" t="n">
        <v>22553</v>
      </c>
      <c r="B1121" s="45" t="s">
        <v>4935</v>
      </c>
      <c r="C1121" s="14" t="n">
        <v>46219</v>
      </c>
      <c r="D1121" s="13" t="s">
        <v>101</v>
      </c>
      <c r="E1121" s="15" t="s">
        <v>47</v>
      </c>
      <c r="F1121" s="24" t="s">
        <v>4936</v>
      </c>
      <c r="G1121" s="28" t="s">
        <v>57</v>
      </c>
      <c r="H1121" s="13" t="s">
        <v>35</v>
      </c>
      <c r="I1121" s="13" t="str">
        <f aca="false">IF(C1121=J1121,"NEW KONTRAK","RE-KONTRAK")</f>
        <v>NEW KONTRAK</v>
      </c>
      <c r="J1121" s="16" t="n">
        <f aca="false" t="array" ref="J1121:J1121">IFERROR(INDEX(AC1121:AE1121,IF(COUNTA(AC1121:AE1121)=0,"",MAX((AC1121:AE1121&lt;&gt;"")*(COLUMN(AC1121:AE1121)-(COLUMN(AC1121)))))-1),"")</f>
        <v>46219</v>
      </c>
      <c r="K1121" s="16" t="n">
        <f aca="false" t="array" ref="K1121:K1121">IFERROR(INDEX(AC1121:AE1121,IF(COUNTA(AC1121:AE1121)=0,"",MAX((AC1121:AE1121&lt;&gt;"")*(COLUMN(AC1121:AE1121)-(COLUMN(AC1121)-1))))-1),"")</f>
        <v>46402</v>
      </c>
      <c r="L1121" s="17" t="str">
        <f aca="false" t="array" ref="L1121:L1121">IFERROR(INDEX(AC1121:AE1121,IF(COUNTA(AC1121:AE1121)=0,"",MAX((AC1121:AE1121&lt;&gt;"")*(COLUMN(AC1121:AE1121)-(COLUMN(AC1121)-2))))-1),"")</f>
        <v>KEMBALI</v>
      </c>
      <c r="M1121" s="13" t="n">
        <f aca="true">K1121-TODAY()</f>
        <v>78</v>
      </c>
      <c r="N1121" s="18" t="s">
        <v>105</v>
      </c>
      <c r="O1121" s="13" t="s">
        <v>1453</v>
      </c>
      <c r="P1121" s="26" t="n">
        <v>138915</v>
      </c>
      <c r="Q1121" s="20" t="s">
        <v>4937</v>
      </c>
      <c r="R1121" s="16" t="s">
        <v>78</v>
      </c>
      <c r="S1121" s="25" t="n">
        <v>37559</v>
      </c>
      <c r="T1121" s="13" t="s">
        <v>108</v>
      </c>
      <c r="U1121" s="17" t="s">
        <v>4938</v>
      </c>
      <c r="V1121" s="15" t="s">
        <v>42</v>
      </c>
      <c r="W1121" s="13" t="s">
        <v>43</v>
      </c>
      <c r="X1121" s="21" t="n">
        <v>85746752897</v>
      </c>
      <c r="Y1121" s="22" t="str">
        <f aca="false">O1121</f>
        <v>Helper Produksi</v>
      </c>
      <c r="Z1121" s="13" t="str">
        <f aca="false">IFERROR(__xludf.dummyfunction("if(BJ1121="""","""",GOOGLETRANSLATE(BJ1121,""auto"",""en""))"),"Production Helper")</f>
        <v>Production Helper</v>
      </c>
      <c r="AA1121" s="23" t="str">
        <f aca="false">IF(C1121="","", CHOOSE(MONTH(C1121),"January","February","March","April","May","June","July","August","September","October","November","December")&amp;" "&amp;DAY(C1121)&amp;MID("thstndrdth",MIN(9,2*RIGHT(DAY(C1121))*(MOD(DAY(C1121)-11,100)&gt;2)+1),2)&amp;","&amp;TEXT(C1121," yyyy"))</f>
        <v>July 16th,2026</v>
      </c>
      <c r="AB1121" s="15" t="str">
        <f aca="true">IF(S1121="","",DATEDIF(S1121,TODAY(),"Y")&amp;" Tahun, "&amp;DATEDIF(S1121,TODAY(),"YM")&amp;" Bulan, "&amp;DATEDIF(S1121,TODAY(),"MD")&amp;" Hari")</f>
        <v>23 Tahun, 11 Bulan, 29 Hari</v>
      </c>
      <c r="AC1121" s="14" t="n">
        <v>46219</v>
      </c>
      <c r="AD1121" s="18" t="n">
        <v>46402</v>
      </c>
      <c r="AE1121" s="13" t="s">
        <v>397</v>
      </c>
    </row>
    <row r="1122" customFormat="false" ht="15.75" hidden="false" customHeight="true" outlineLevel="0" collapsed="false">
      <c r="A1122" s="12" t="n">
        <v>16590</v>
      </c>
      <c r="B1122" s="13" t="s">
        <v>4939</v>
      </c>
      <c r="C1122" s="14" t="n">
        <v>45474</v>
      </c>
      <c r="D1122" s="13" t="s">
        <v>101</v>
      </c>
      <c r="E1122" s="15" t="s">
        <v>47</v>
      </c>
      <c r="F1122" s="15" t="str">
        <f aca="false">IFERROR(__xludf.dummyfunction("XLOOKUP(AJ1122,IMPORTRANGE(""1XaInW9DU9nz21V0tYIfzFQ0He9kVQ_JF2mCXgZ3hqFA"",""REKAP ALL 2026 - Andika!G:G""),IMPORTRANGE(""1XaInW9DU9nz21V0tYIfzFQ0He9kVQ_JF2mCXgZ3hqFA"",""REKAP ALL 2026 - Andika!F:F""),"""",0)"),"24120186291")</f>
        <v>24120186291</v>
      </c>
      <c r="G1122" s="15" t="s">
        <v>4940</v>
      </c>
      <c r="H1122" s="13" t="s">
        <v>35</v>
      </c>
      <c r="I1122" s="13" t="str">
        <f aca="false">IF(C1122=J1122,"NEW KONTRAK","RE-KONTRAK")</f>
        <v>RE-KONTRAK</v>
      </c>
      <c r="J1122" s="16" t="n">
        <f aca="false" t="array" ref="J1122:J1122">IFERROR(INDEX(AC1122:AE1122,IF(COUNTA(AC1122:AE1122)=0,"",MAX((AC1122:AE1122&lt;&gt;"")*(COLUMN(AC1122:AE1122)-(COLUMN(AC1122)))))-1),"")</f>
        <v>45672</v>
      </c>
      <c r="K1122" s="16" t="n">
        <f aca="false" t="array" ref="K1122:K1122">IFERROR(INDEX(AC1122:AE1122,IF(COUNTA(AC1122:AE1122)=0,"",MAX((AC1122:AE1122&lt;&gt;"")*(COLUMN(AC1122:AE1122)-(COLUMN(AC1122)-1))))-1),"")</f>
        <v>46036</v>
      </c>
      <c r="L1122" s="17" t="str">
        <f aca="false" t="array" ref="L1122:L1122">IFERROR(INDEX(AC1122:AE1122,IF(COUNTA(AC1122:AE1122)=0,"",MAX((AC1122:AE1122&lt;&gt;"")*(COLUMN(AC1122:AE1122)-(COLUMN(AC1122)-2))))-1),"")</f>
        <v>ARCHIVED</v>
      </c>
      <c r="M1122" s="13" t="n">
        <f aca="true">K1122-TODAY()</f>
        <v>-288</v>
      </c>
      <c r="N1122" s="18" t="s">
        <v>105</v>
      </c>
      <c r="O1122" s="13" t="s">
        <v>1476</v>
      </c>
      <c r="P1122" s="31" t="n">
        <v>176400</v>
      </c>
      <c r="Q1122" s="20" t="s">
        <v>4941</v>
      </c>
      <c r="R1122" s="13" t="s">
        <v>2416</v>
      </c>
      <c r="S1122" s="25" t="n">
        <v>36795</v>
      </c>
      <c r="T1122" s="13" t="s">
        <v>40</v>
      </c>
      <c r="U1122" s="13" t="s">
        <v>4942</v>
      </c>
      <c r="V1122" s="13" t="s">
        <v>42</v>
      </c>
      <c r="W1122" s="13" t="s">
        <v>54</v>
      </c>
      <c r="X1122" s="21" t="n">
        <v>8895697575</v>
      </c>
      <c r="Y1122" s="22" t="str">
        <f aca="false">O1122</f>
        <v>Gudang RMPM - Helper</v>
      </c>
      <c r="Z1122" s="13" t="str">
        <f aca="false">IFERROR(__xludf.dummyfunction("if(BJ1122="""","""",GOOGLETRANSLATE(BJ1122,""auto"",""en""))"),"RMPM Warehouse - Helper")</f>
        <v>RMPM Warehouse - Helper</v>
      </c>
      <c r="AA1122" s="23" t="str">
        <f aca="false">IF(C1122="","", CHOOSE(MONTH(C1122),"January","February","March","April","May","June","July","August","September","October","November","December")&amp;" "&amp;DAY(C1122)&amp;MID("thstndrdth",MIN(9,2*RIGHT(DAY(C1122))*(MOD(DAY(C1122)-11,100)&gt;2)+1),2)&amp;","&amp;TEXT(C1122," yyyy"))</f>
        <v>July 1st,2024</v>
      </c>
      <c r="AB1122" s="15" t="str">
        <f aca="true">IF(S1122="","",DATEDIF(S1122,TODAY(),"Y")&amp;" Tahun, "&amp;DATEDIF(S1122,TODAY(),"YM")&amp;" Bulan, "&amp;DATEDIF(S1122,TODAY(),"MD")&amp;" Hari")</f>
        <v>26 Tahun, 1 Bulan, 3 Hari</v>
      </c>
      <c r="AC1122" s="18" t="n">
        <v>45672</v>
      </c>
      <c r="AD1122" s="18" t="n">
        <v>46036</v>
      </c>
      <c r="AE1122" s="18" t="s">
        <v>44</v>
      </c>
    </row>
    <row r="1123" customFormat="false" ht="15.75" hidden="false" customHeight="true" outlineLevel="0" collapsed="false">
      <c r="A1123" s="12" t="n">
        <v>12386</v>
      </c>
      <c r="B1123" s="13" t="s">
        <v>4943</v>
      </c>
      <c r="C1123" s="14" t="n">
        <v>45108</v>
      </c>
      <c r="D1123" s="13" t="s">
        <v>101</v>
      </c>
      <c r="E1123" s="15" t="s">
        <v>102</v>
      </c>
      <c r="F1123" s="15" t="str">
        <f aca="false">IFERROR(__xludf.dummyfunction("XLOOKUP(AJ1123,IMPORTRANGE(""1XaInW9DU9nz21V0tYIfzFQ0He9kVQ_JF2mCXgZ3hqFA"",""REKAP ALL 2026 - Andika!G:G""),IMPORTRANGE(""1XaInW9DU9nz21V0tYIfzFQ0He9kVQ_JF2mCXgZ3hqFA"",""REKAP ALL 2026 - Andika!F:F""),"""",0)"),"23113700878")</f>
        <v>23113700878</v>
      </c>
      <c r="G1123" s="13" t="s">
        <v>4944</v>
      </c>
      <c r="H1123" s="13" t="s">
        <v>35</v>
      </c>
      <c r="I1123" s="13" t="str">
        <f aca="false">IF(C1123=J1123,"NEW KONTRAK","RE-KONTRAK")</f>
        <v>RE-KONTRAK</v>
      </c>
      <c r="J1123" s="16" t="n">
        <f aca="false" t="array" ref="J1123:J1123">IFERROR(INDEX(AC1123:AE1123,IF(COUNTA(AC1123:AE1123)=0,"",MAX((AC1123:AE1123&lt;&gt;"")*(COLUMN(AC1123:AE1123)-(COLUMN(AC1123)))))-1),"")</f>
        <v>45672</v>
      </c>
      <c r="K1123" s="16" t="n">
        <f aca="false" t="array" ref="K1123:K1123">IFERROR(INDEX(AC1123:AE1123,IF(COUNTA(AC1123:AE1123)=0,"",MAX((AC1123:AE1123&lt;&gt;"")*(COLUMN(AC1123:AE1123)-(COLUMN(AC1123)-1))))-1),"")</f>
        <v>46036</v>
      </c>
      <c r="L1123" s="17" t="str">
        <f aca="false" t="array" ref="L1123:L1123">IFERROR(INDEX(AC1123:AE1123,IF(COUNTA(AC1123:AE1123)=0,"",MAX((AC1123:AE1123&lt;&gt;"")*(COLUMN(AC1123:AE1123)-(COLUMN(AC1123)-2))))-1),"")</f>
        <v>ARCHIVED</v>
      </c>
      <c r="M1123" s="13" t="n">
        <f aca="true">K1123-TODAY()</f>
        <v>-288</v>
      </c>
      <c r="N1123" s="18" t="s">
        <v>105</v>
      </c>
      <c r="O1123" s="13" t="s">
        <v>106</v>
      </c>
      <c r="P1123" s="19" t="n">
        <v>132300</v>
      </c>
      <c r="Q1123" s="20" t="s">
        <v>4945</v>
      </c>
      <c r="R1123" s="13" t="s">
        <v>39</v>
      </c>
      <c r="S1123" s="25" t="n">
        <v>37739</v>
      </c>
      <c r="T1123" s="13" t="s">
        <v>108</v>
      </c>
      <c r="U1123" s="13" t="s">
        <v>1380</v>
      </c>
      <c r="V1123" s="13" t="s">
        <v>42</v>
      </c>
      <c r="W1123" s="13" t="s">
        <v>43</v>
      </c>
      <c r="X1123" s="21" t="n">
        <v>85748020645</v>
      </c>
      <c r="Y1123" s="22" t="str">
        <f aca="false">O1123</f>
        <v>Produksi - Helper</v>
      </c>
      <c r="Z1123" s="13" t="str">
        <f aca="false">IFERROR(__xludf.dummyfunction("if(BJ1123="""","""",GOOGLETRANSLATE(BJ1123,""auto"",""en""))"),"Production - Helper")</f>
        <v>Production - Helper</v>
      </c>
      <c r="AA1123" s="23" t="str">
        <f aca="false">IF(C1123="","", CHOOSE(MONTH(C1123),"January","February","March","April","May","June","July","August","September","October","November","December")&amp;" "&amp;DAY(C1123)&amp;MID("thstndrdth",MIN(9,2*RIGHT(DAY(C1123))*(MOD(DAY(C1123)-11,100)&gt;2)+1),2)&amp;","&amp;TEXT(C1123," yyyy"))</f>
        <v>July 1st,2023</v>
      </c>
      <c r="AB1123" s="15" t="str">
        <f aca="true">IF(S1123="","",DATEDIF(S1123,TODAY(),"Y")&amp;" Tahun, "&amp;DATEDIF(S1123,TODAY(),"YM")&amp;" Bulan, "&amp;DATEDIF(S1123,TODAY(),"MD")&amp;" Hari")</f>
        <v>23 Tahun, 6 Bulan, 1 Hari</v>
      </c>
      <c r="AC1123" s="18" t="n">
        <v>45672</v>
      </c>
      <c r="AD1123" s="18" t="n">
        <v>46036</v>
      </c>
      <c r="AE1123" s="18" t="s">
        <v>44</v>
      </c>
    </row>
    <row r="1124" customFormat="false" ht="15.75" hidden="false" customHeight="true" outlineLevel="0" collapsed="false">
      <c r="A1124" s="12" t="n">
        <v>12389</v>
      </c>
      <c r="B1124" s="13" t="s">
        <v>4946</v>
      </c>
      <c r="C1124" s="14" t="n">
        <v>45108</v>
      </c>
      <c r="D1124" s="13" t="s">
        <v>101</v>
      </c>
      <c r="E1124" s="15" t="s">
        <v>33</v>
      </c>
      <c r="F1124" s="24" t="s">
        <v>4947</v>
      </c>
      <c r="G1124" s="13" t="s">
        <v>4948</v>
      </c>
      <c r="H1124" s="13" t="s">
        <v>35</v>
      </c>
      <c r="I1124" s="13" t="str">
        <f aca="false">IF(C1124=J1124,"NEW KONTRAK","RE-KONTRAK")</f>
        <v>RE-KONTRAK</v>
      </c>
      <c r="J1124" s="16" t="n">
        <f aca="false" t="array" ref="J1124:J1124">IFERROR(INDEX(AC1124:AE1124,IF(COUNTA(AC1124:AE1124)=0,"",MAX((AC1124:AE1124&lt;&gt;"")*(COLUMN(AC1124:AE1124)-(COLUMN(AC1124)))))-1),"")</f>
        <v>45672</v>
      </c>
      <c r="K1124" s="16" t="n">
        <f aca="false" t="array" ref="K1124:K1124">IFERROR(INDEX(AC1124:AE1124,IF(COUNTA(AC1124:AE1124)=0,"",MAX((AC1124:AE1124&lt;&gt;"")*(COLUMN(AC1124:AE1124)-(COLUMN(AC1124)-1))))-1),"")</f>
        <v>46036</v>
      </c>
      <c r="L1124" s="17" t="str">
        <f aca="false" t="array" ref="L1124:L1124">IFERROR(INDEX(AC1124:AE1124,IF(COUNTA(AC1124:AE1124)=0,"",MAX((AC1124:AE1124&lt;&gt;"")*(COLUMN(AC1124:AE1124)-(COLUMN(AC1124)-2))))-1),"")</f>
        <v>ARCHIVED</v>
      </c>
      <c r="M1124" s="13" t="n">
        <f aca="true">K1124-TODAY()</f>
        <v>-288</v>
      </c>
      <c r="N1124" s="18" t="s">
        <v>105</v>
      </c>
      <c r="O1124" s="13" t="s">
        <v>58</v>
      </c>
      <c r="P1124" s="19" t="n">
        <v>126000</v>
      </c>
      <c r="Q1124" s="20" t="s">
        <v>4949</v>
      </c>
      <c r="R1124" s="13" t="s">
        <v>4950</v>
      </c>
      <c r="S1124" s="25" t="n">
        <v>38108</v>
      </c>
      <c r="T1124" s="13" t="s">
        <v>40</v>
      </c>
      <c r="U1124" s="13" t="s">
        <v>4951</v>
      </c>
      <c r="V1124" s="13" t="s">
        <v>42</v>
      </c>
      <c r="W1124" s="13" t="s">
        <v>43</v>
      </c>
      <c r="X1124" s="21" t="n">
        <v>83869775956</v>
      </c>
      <c r="Y1124" s="22" t="str">
        <f aca="false">O1124</f>
        <v>Produksi</v>
      </c>
      <c r="Z1124" s="13" t="str">
        <f aca="false">IFERROR(__xludf.dummyfunction("if(BJ1124="""","""",GOOGLETRANSLATE(BJ1124,""auto"",""en""))"),"Production")</f>
        <v>Production</v>
      </c>
      <c r="AA1124" s="23" t="str">
        <f aca="false">IF(C1124="","", CHOOSE(MONTH(C1124),"January","February","March","April","May","June","July","August","September","October","November","December")&amp;" "&amp;DAY(C1124)&amp;MID("thstndrdth",MIN(9,2*RIGHT(DAY(C1124))*(MOD(DAY(C1124)-11,100)&gt;2)+1),2)&amp;","&amp;TEXT(C1124," yyyy"))</f>
        <v>July 1st,2023</v>
      </c>
      <c r="AB1124" s="15" t="str">
        <f aca="true">IF(S1124="","",DATEDIF(S1124,TODAY(),"Y")&amp;" Tahun, "&amp;DATEDIF(S1124,TODAY(),"YM")&amp;" Bulan, "&amp;DATEDIF(S1124,TODAY(),"MD")&amp;" Hari")</f>
        <v>22 Tahun, 5 Bulan, 28 Hari</v>
      </c>
      <c r="AC1124" s="18" t="n">
        <v>45672</v>
      </c>
      <c r="AD1124" s="18" t="n">
        <v>46036</v>
      </c>
      <c r="AE1124" s="18" t="s">
        <v>44</v>
      </c>
    </row>
    <row r="1125" customFormat="false" ht="15.75" hidden="false" customHeight="true" outlineLevel="0" collapsed="false">
      <c r="A1125" s="12" t="n">
        <v>12397</v>
      </c>
      <c r="B1125" s="13" t="s">
        <v>4952</v>
      </c>
      <c r="C1125" s="14" t="n">
        <v>45108</v>
      </c>
      <c r="D1125" s="13" t="s">
        <v>101</v>
      </c>
      <c r="E1125" s="15" t="s">
        <v>102</v>
      </c>
      <c r="F1125" s="15" t="str">
        <f aca="false">IFERROR(__xludf.dummyfunction("XLOOKUP(AJ1125,IMPORTRANGE(""1XaInW9DU9nz21V0tYIfzFQ0He9kVQ_JF2mCXgZ3hqFA"",""REKAP ALL 2026 - Andika!G:G""),IMPORTRANGE(""1XaInW9DU9nz21V0tYIfzFQ0He9kVQ_JF2mCXgZ3hqFA"",""REKAP ALL 2026 - Andika!F:F""),"""",0)"),"23113701009")</f>
        <v>23113701009</v>
      </c>
      <c r="G1125" s="13" t="s">
        <v>4953</v>
      </c>
      <c r="H1125" s="13" t="s">
        <v>35</v>
      </c>
      <c r="I1125" s="13" t="str">
        <f aca="false">IF(C1125=J1125,"NEW KONTRAK","RE-KONTRAK")</f>
        <v>RE-KONTRAK</v>
      </c>
      <c r="J1125" s="16" t="n">
        <f aca="false" t="array" ref="J1125:J1125">IFERROR(INDEX(AC1125:AE1125,IF(COUNTA(AC1125:AE1125)=0,"",MAX((AC1125:AE1125&lt;&gt;"")*(COLUMN(AC1125:AE1125)-(COLUMN(AC1125)))))-1),"")</f>
        <v>45672</v>
      </c>
      <c r="K1125" s="16" t="n">
        <f aca="false" t="array" ref="K1125:K1125">IFERROR(INDEX(AC1125:AE1125,IF(COUNTA(AC1125:AE1125)=0,"",MAX((AC1125:AE1125&lt;&gt;"")*(COLUMN(AC1125:AE1125)-(COLUMN(AC1125)-1))))-1),"")</f>
        <v>46036</v>
      </c>
      <c r="L1125" s="17" t="str">
        <f aca="false" t="array" ref="L1125:L1125">IFERROR(INDEX(AC1125:AE1125,IF(COUNTA(AC1125:AE1125)=0,"",MAX((AC1125:AE1125&lt;&gt;"")*(COLUMN(AC1125:AE1125)-(COLUMN(AC1125)-2))))-1),"")</f>
        <v>ARCHIVED</v>
      </c>
      <c r="M1125" s="13" t="n">
        <f aca="true">K1125-TODAY()</f>
        <v>-288</v>
      </c>
      <c r="N1125" s="18" t="s">
        <v>105</v>
      </c>
      <c r="O1125" s="13" t="s">
        <v>106</v>
      </c>
      <c r="P1125" s="19" t="n">
        <v>132300</v>
      </c>
      <c r="Q1125" s="20" t="s">
        <v>4954</v>
      </c>
      <c r="R1125" s="13" t="s">
        <v>39</v>
      </c>
      <c r="S1125" s="25" t="n">
        <v>37995</v>
      </c>
      <c r="T1125" s="13" t="s">
        <v>108</v>
      </c>
      <c r="U1125" s="13" t="s">
        <v>4955</v>
      </c>
      <c r="V1125" s="13" t="s">
        <v>42</v>
      </c>
      <c r="W1125" s="13" t="s">
        <v>43</v>
      </c>
      <c r="X1125" s="21" t="n">
        <v>82139000109</v>
      </c>
      <c r="Y1125" s="22" t="str">
        <f aca="false">O1125</f>
        <v>Produksi - Helper</v>
      </c>
      <c r="Z1125" s="13" t="str">
        <f aca="false">IFERROR(__xludf.dummyfunction("if(BJ1125="""","""",GOOGLETRANSLATE(BJ1125,""auto"",""en""))"),"Production - Helper")</f>
        <v>Production - Helper</v>
      </c>
      <c r="AA1125" s="23" t="str">
        <f aca="false">IF(C1125="","", CHOOSE(MONTH(C1125),"January","February","March","April","May","June","July","August","September","October","November","December")&amp;" "&amp;DAY(C1125)&amp;MID("thstndrdth",MIN(9,2*RIGHT(DAY(C1125))*(MOD(DAY(C1125)-11,100)&gt;2)+1),2)&amp;","&amp;TEXT(C1125," yyyy"))</f>
        <v>July 1st,2023</v>
      </c>
      <c r="AB1125" s="15" t="str">
        <f aca="true">IF(S1125="","",DATEDIF(S1125,TODAY(),"Y")&amp;" Tahun, "&amp;DATEDIF(S1125,TODAY(),"YM")&amp;" Bulan, "&amp;DATEDIF(S1125,TODAY(),"MD")&amp;" Hari")</f>
        <v>22 Tahun, 9 Bulan, 20 Hari</v>
      </c>
      <c r="AC1125" s="18" t="n">
        <v>45672</v>
      </c>
      <c r="AD1125" s="18" t="n">
        <v>46036</v>
      </c>
      <c r="AE1125" s="18" t="s">
        <v>44</v>
      </c>
    </row>
    <row r="1126" customFormat="false" ht="15.75" hidden="false" customHeight="true" outlineLevel="0" collapsed="false">
      <c r="A1126" s="12" t="n">
        <v>12398</v>
      </c>
      <c r="B1126" s="13" t="s">
        <v>4956</v>
      </c>
      <c r="C1126" s="14" t="n">
        <v>45108</v>
      </c>
      <c r="D1126" s="13" t="s">
        <v>101</v>
      </c>
      <c r="E1126" s="15" t="s">
        <v>102</v>
      </c>
      <c r="F1126" s="15" t="str">
        <f aca="false">IFERROR(__xludf.dummyfunction("XLOOKUP(AJ1126,IMPORTRANGE(""1XaInW9DU9nz21V0tYIfzFQ0He9kVQ_JF2mCXgZ3hqFA"",""REKAP ALL 2026 - Andika!G:G""),IMPORTRANGE(""1XaInW9DU9nz21V0tYIfzFQ0He9kVQ_JF2mCXgZ3hqFA"",""REKAP ALL 2026 - Andika!F:F""),"""",0)"),"23113700969")</f>
        <v>23113700969</v>
      </c>
      <c r="G1126" s="13" t="s">
        <v>4957</v>
      </c>
      <c r="H1126" s="13" t="s">
        <v>35</v>
      </c>
      <c r="I1126" s="13" t="str">
        <f aca="false">IF(C1126=J1126,"NEW KONTRAK","RE-KONTRAK")</f>
        <v>RE-KONTRAK</v>
      </c>
      <c r="J1126" s="16" t="n">
        <f aca="false" t="array" ref="J1126:J1126">IFERROR(INDEX(AC1126:AE1126,IF(COUNTA(AC1126:AE1126)=0,"",MAX((AC1126:AE1126&lt;&gt;"")*(COLUMN(AC1126:AE1126)-(COLUMN(AC1126)))))-1),"")</f>
        <v>45672</v>
      </c>
      <c r="K1126" s="16" t="n">
        <f aca="false" t="array" ref="K1126:K1126">IFERROR(INDEX(AC1126:AE1126,IF(COUNTA(AC1126:AE1126)=0,"",MAX((AC1126:AE1126&lt;&gt;"")*(COLUMN(AC1126:AE1126)-(COLUMN(AC1126)-1))))-1),"")</f>
        <v>46036</v>
      </c>
      <c r="L1126" s="17" t="str">
        <f aca="false" t="array" ref="L1126:L1126">IFERROR(INDEX(AC1126:AE1126,IF(COUNTA(AC1126:AE1126)=0,"",MAX((AC1126:AE1126&lt;&gt;"")*(COLUMN(AC1126:AE1126)-(COLUMN(AC1126)-2))))-1),"")</f>
        <v>ARCHIVED</v>
      </c>
      <c r="M1126" s="13" t="n">
        <f aca="true">K1126-TODAY()</f>
        <v>-288</v>
      </c>
      <c r="N1126" s="18" t="s">
        <v>105</v>
      </c>
      <c r="O1126" s="13" t="s">
        <v>106</v>
      </c>
      <c r="P1126" s="19" t="n">
        <v>132300</v>
      </c>
      <c r="Q1126" s="20" t="s">
        <v>4958</v>
      </c>
      <c r="R1126" s="13" t="s">
        <v>73</v>
      </c>
      <c r="S1126" s="25" t="n">
        <v>37921</v>
      </c>
      <c r="T1126" s="13" t="s">
        <v>108</v>
      </c>
      <c r="U1126" s="13" t="s">
        <v>4959</v>
      </c>
      <c r="V1126" s="13" t="s">
        <v>42</v>
      </c>
      <c r="W1126" s="13" t="s">
        <v>43</v>
      </c>
      <c r="X1126" s="21" t="n">
        <v>895342920059</v>
      </c>
      <c r="Y1126" s="22" t="str">
        <f aca="false">O1126</f>
        <v>Produksi - Helper</v>
      </c>
      <c r="Z1126" s="13" t="str">
        <f aca="false">IFERROR(__xludf.dummyfunction("if(BJ1126="""","""",GOOGLETRANSLATE(BJ1126,""auto"",""en""))"),"Production - Helper")</f>
        <v>Production - Helper</v>
      </c>
      <c r="AA1126" s="23" t="str">
        <f aca="false">IF(C1126="","", CHOOSE(MONTH(C1126),"January","February","March","April","May","June","July","August","September","October","November","December")&amp;" "&amp;DAY(C1126)&amp;MID("thstndrdth",MIN(9,2*RIGHT(DAY(C1126))*(MOD(DAY(C1126)-11,100)&gt;2)+1),2)&amp;","&amp;TEXT(C1126," yyyy"))</f>
        <v>July 1st,2023</v>
      </c>
      <c r="AB1126" s="15" t="str">
        <f aca="true">IF(S1126="","",DATEDIF(S1126,TODAY(),"Y")&amp;" Tahun, "&amp;DATEDIF(S1126,TODAY(),"YM")&amp;" Bulan, "&amp;DATEDIF(S1126,TODAY(),"MD")&amp;" Hari")</f>
        <v>23 Tahun, 0 Bulan, 2 Hari</v>
      </c>
      <c r="AC1126" s="18" t="n">
        <v>45672</v>
      </c>
      <c r="AD1126" s="18" t="n">
        <v>46036</v>
      </c>
      <c r="AE1126" s="18" t="s">
        <v>44</v>
      </c>
    </row>
    <row r="1127" customFormat="false" ht="15.75" hidden="false" customHeight="true" outlineLevel="0" collapsed="false">
      <c r="A1127" s="12" t="n">
        <v>12399</v>
      </c>
      <c r="B1127" s="13" t="s">
        <v>4960</v>
      </c>
      <c r="C1127" s="14" t="n">
        <v>45108</v>
      </c>
      <c r="D1127" s="13" t="s">
        <v>101</v>
      </c>
      <c r="E1127" s="15" t="s">
        <v>102</v>
      </c>
      <c r="F1127" s="15" t="str">
        <f aca="false">IFERROR(__xludf.dummyfunction("XLOOKUP(AJ1127,IMPORTRANGE(""1XaInW9DU9nz21V0tYIfzFQ0He9kVQ_JF2mCXgZ3hqFA"",""REKAP ALL 2026 - Andika!G:G""),IMPORTRANGE(""1XaInW9DU9nz21V0tYIfzFQ0He9kVQ_JF2mCXgZ3hqFA"",""REKAP ALL 2026 - Andika!F:F""),"""",0)"),"23113700886")</f>
        <v>23113700886</v>
      </c>
      <c r="G1127" s="13" t="s">
        <v>4961</v>
      </c>
      <c r="H1127" s="13" t="s">
        <v>35</v>
      </c>
      <c r="I1127" s="13" t="str">
        <f aca="false">IF(C1127=J1127,"NEW KONTRAK","RE-KONTRAK")</f>
        <v>RE-KONTRAK</v>
      </c>
      <c r="J1127" s="16" t="n">
        <f aca="false" t="array" ref="J1127:J1127">IFERROR(INDEX(AC1127:AE1127,IF(COUNTA(AC1127:AE1127)=0,"",MAX((AC1127:AE1127&lt;&gt;"")*(COLUMN(AC1127:AE1127)-(COLUMN(AC1127)))))-1),"")</f>
        <v>45672</v>
      </c>
      <c r="K1127" s="16" t="n">
        <f aca="false" t="array" ref="K1127:K1127">IFERROR(INDEX(AC1127:AE1127,IF(COUNTA(AC1127:AE1127)=0,"",MAX((AC1127:AE1127&lt;&gt;"")*(COLUMN(AC1127:AE1127)-(COLUMN(AC1127)-1))))-1),"")</f>
        <v>46036</v>
      </c>
      <c r="L1127" s="17" t="str">
        <f aca="false" t="array" ref="L1127:L1127">IFERROR(INDEX(AC1127:AE1127,IF(COUNTA(AC1127:AE1127)=0,"",MAX((AC1127:AE1127&lt;&gt;"")*(COLUMN(AC1127:AE1127)-(COLUMN(AC1127)-2))))-1),"")</f>
        <v>ARCHIVED</v>
      </c>
      <c r="M1127" s="13" t="n">
        <f aca="true">K1127-TODAY()</f>
        <v>-288</v>
      </c>
      <c r="N1127" s="18" t="s">
        <v>105</v>
      </c>
      <c r="O1127" s="13" t="s">
        <v>106</v>
      </c>
      <c r="P1127" s="19" t="n">
        <v>132300</v>
      </c>
      <c r="Q1127" s="20" t="s">
        <v>4962</v>
      </c>
      <c r="R1127" s="13" t="s">
        <v>260</v>
      </c>
      <c r="S1127" s="25" t="n">
        <v>36896</v>
      </c>
      <c r="T1127" s="13" t="s">
        <v>108</v>
      </c>
      <c r="U1127" s="13" t="s">
        <v>4963</v>
      </c>
      <c r="V1127" s="13" t="s">
        <v>42</v>
      </c>
      <c r="W1127" s="13" t="s">
        <v>43</v>
      </c>
      <c r="X1127" s="21" t="n">
        <v>8567078351</v>
      </c>
      <c r="Y1127" s="22" t="str">
        <f aca="false">O1127</f>
        <v>Produksi - Helper</v>
      </c>
      <c r="Z1127" s="13" t="str">
        <f aca="false">IFERROR(__xludf.dummyfunction("if(BJ1127="""","""",GOOGLETRANSLATE(BJ1127,""auto"",""en""))"),"Production - Helper")</f>
        <v>Production - Helper</v>
      </c>
      <c r="AA1127" s="23" t="str">
        <f aca="false">IF(C1127="","", CHOOSE(MONTH(C1127),"January","February","March","April","May","June","July","August","September","October","November","December")&amp;" "&amp;DAY(C1127)&amp;MID("thstndrdth",MIN(9,2*RIGHT(DAY(C1127))*(MOD(DAY(C1127)-11,100)&gt;2)+1),2)&amp;","&amp;TEXT(C1127," yyyy"))</f>
        <v>July 1st,2023</v>
      </c>
      <c r="AB1127" s="15" t="str">
        <f aca="true">IF(S1127="","",DATEDIF(S1127,TODAY(),"Y")&amp;" Tahun, "&amp;DATEDIF(S1127,TODAY(),"YM")&amp;" Bulan, "&amp;DATEDIF(S1127,TODAY(),"MD")&amp;" Hari")</f>
        <v>25 Tahun, 9 Bulan, 24 Hari</v>
      </c>
      <c r="AC1127" s="18" t="n">
        <v>45672</v>
      </c>
      <c r="AD1127" s="18" t="n">
        <v>46036</v>
      </c>
      <c r="AE1127" s="18" t="s">
        <v>44</v>
      </c>
    </row>
    <row r="1128" customFormat="false" ht="15.75" hidden="false" customHeight="true" outlineLevel="0" collapsed="false">
      <c r="A1128" s="12" t="n">
        <v>12400</v>
      </c>
      <c r="B1128" s="13" t="s">
        <v>4964</v>
      </c>
      <c r="C1128" s="14" t="n">
        <v>45108</v>
      </c>
      <c r="D1128" s="13" t="s">
        <v>101</v>
      </c>
      <c r="E1128" s="15" t="s">
        <v>102</v>
      </c>
      <c r="F1128" s="15" t="str">
        <f aca="false">IFERROR(__xludf.dummyfunction("XLOOKUP(AJ1128,IMPORTRANGE(""1XaInW9DU9nz21V0tYIfzFQ0He9kVQ_JF2mCXgZ3hqFA"",""REKAP ALL 2026 - Andika!G:G""),IMPORTRANGE(""1XaInW9DU9nz21V0tYIfzFQ0He9kVQ_JF2mCXgZ3hqFA"",""REKAP ALL 2026 - Andika!F:F""),"""",0)"),"23113700910")</f>
        <v>23113700910</v>
      </c>
      <c r="G1128" s="13" t="s">
        <v>4965</v>
      </c>
      <c r="H1128" s="13" t="s">
        <v>35</v>
      </c>
      <c r="I1128" s="13" t="str">
        <f aca="false">IF(C1128=J1128,"NEW KONTRAK","RE-KONTRAK")</f>
        <v>RE-KONTRAK</v>
      </c>
      <c r="J1128" s="16" t="n">
        <f aca="false" t="array" ref="J1128:J1128">IFERROR(INDEX(AC1128:AE1128,IF(COUNTA(AC1128:AE1128)=0,"",MAX((AC1128:AE1128&lt;&gt;"")*(COLUMN(AC1128:AE1128)-(COLUMN(AC1128)))))-1),"")</f>
        <v>45672</v>
      </c>
      <c r="K1128" s="16" t="n">
        <f aca="false" t="array" ref="K1128:K1128">IFERROR(INDEX(AC1128:AE1128,IF(COUNTA(AC1128:AE1128)=0,"",MAX((AC1128:AE1128&lt;&gt;"")*(COLUMN(AC1128:AE1128)-(COLUMN(AC1128)-1))))-1),"")</f>
        <v>46036</v>
      </c>
      <c r="L1128" s="17" t="str">
        <f aca="false" t="array" ref="L1128:L1128">IFERROR(INDEX(AC1128:AE1128,IF(COUNTA(AC1128:AE1128)=0,"",MAX((AC1128:AE1128&lt;&gt;"")*(COLUMN(AC1128:AE1128)-(COLUMN(AC1128)-2))))-1),"")</f>
        <v>ARCHIVED</v>
      </c>
      <c r="M1128" s="13" t="n">
        <f aca="true">K1128-TODAY()</f>
        <v>-288</v>
      </c>
      <c r="N1128" s="18" t="s">
        <v>105</v>
      </c>
      <c r="O1128" s="13" t="s">
        <v>106</v>
      </c>
      <c r="P1128" s="19" t="n">
        <v>132300</v>
      </c>
      <c r="Q1128" s="20" t="s">
        <v>4966</v>
      </c>
      <c r="R1128" s="13" t="s">
        <v>39</v>
      </c>
      <c r="S1128" s="25" t="n">
        <v>35978</v>
      </c>
      <c r="T1128" s="13" t="s">
        <v>40</v>
      </c>
      <c r="U1128" s="13" t="s">
        <v>4967</v>
      </c>
      <c r="V1128" s="13" t="s">
        <v>42</v>
      </c>
      <c r="W1128" s="13" t="s">
        <v>43</v>
      </c>
      <c r="X1128" s="21" t="n">
        <v>895335902855</v>
      </c>
      <c r="Y1128" s="22" t="str">
        <f aca="false">O1128</f>
        <v>Produksi - Helper</v>
      </c>
      <c r="Z1128" s="13" t="str">
        <f aca="false">IFERROR(__xludf.dummyfunction("if(BJ1128="""","""",GOOGLETRANSLATE(BJ1128,""auto"",""en""))"),"Production - Helper")</f>
        <v>Production - Helper</v>
      </c>
      <c r="AA1128" s="23" t="str">
        <f aca="false">IF(C1128="","", CHOOSE(MONTH(C1128),"January","February","March","April","May","June","July","August","September","October","November","December")&amp;" "&amp;DAY(C1128)&amp;MID("thstndrdth",MIN(9,2*RIGHT(DAY(C1128))*(MOD(DAY(C1128)-11,100)&gt;2)+1),2)&amp;","&amp;TEXT(C1128," yyyy"))</f>
        <v>July 1st,2023</v>
      </c>
      <c r="AB1128" s="15" t="str">
        <f aca="true">IF(S1128="","",DATEDIF(S1128,TODAY(),"Y")&amp;" Tahun, "&amp;DATEDIF(S1128,TODAY(),"YM")&amp;" Bulan, "&amp;DATEDIF(S1128,TODAY(),"MD")&amp;" Hari")</f>
        <v>28 Tahun, 3 Bulan, 27 Hari</v>
      </c>
      <c r="AC1128" s="18" t="n">
        <v>45672</v>
      </c>
      <c r="AD1128" s="18" t="n">
        <v>46036</v>
      </c>
      <c r="AE1128" s="18" t="s">
        <v>44</v>
      </c>
    </row>
    <row r="1129" customFormat="false" ht="15.75" hidden="false" customHeight="true" outlineLevel="0" collapsed="false">
      <c r="A1129" s="12" t="n">
        <v>12407</v>
      </c>
      <c r="B1129" s="13" t="s">
        <v>4968</v>
      </c>
      <c r="C1129" s="14" t="n">
        <v>45108</v>
      </c>
      <c r="D1129" s="13" t="s">
        <v>101</v>
      </c>
      <c r="E1129" s="15" t="s">
        <v>102</v>
      </c>
      <c r="F1129" s="15" t="str">
        <f aca="false">IFERROR(__xludf.dummyfunction("XLOOKUP(AJ1129,IMPORTRANGE(""1XaInW9DU9nz21V0tYIfzFQ0He9kVQ_JF2mCXgZ3hqFA"",""REKAP ALL 2026 - Andika!G:G""),IMPORTRANGE(""1XaInW9DU9nz21V0tYIfzFQ0He9kVQ_JF2mCXgZ3hqFA"",""REKAP ALL 2026 - Andika!F:F""),"""",0)"),"23113700480")</f>
        <v>23113700480</v>
      </c>
      <c r="G1129" s="13" t="s">
        <v>4969</v>
      </c>
      <c r="H1129" s="13" t="s">
        <v>35</v>
      </c>
      <c r="I1129" s="13" t="str">
        <f aca="false">IF(C1129=J1129,"NEW KONTRAK","RE-KONTRAK")</f>
        <v>RE-KONTRAK</v>
      </c>
      <c r="J1129" s="16" t="n">
        <f aca="false" t="array" ref="J1129:J1129">IFERROR(INDEX(AC1129:AE1129,IF(COUNTA(AC1129:AE1129)=0,"",MAX((AC1129:AE1129&lt;&gt;"")*(COLUMN(AC1129:AE1129)-(COLUMN(AC1129)))))-1),"")</f>
        <v>45672</v>
      </c>
      <c r="K1129" s="16" t="n">
        <f aca="false" t="array" ref="K1129:K1129">IFERROR(INDEX(AC1129:AE1129,IF(COUNTA(AC1129:AE1129)=0,"",MAX((AC1129:AE1129&lt;&gt;"")*(COLUMN(AC1129:AE1129)-(COLUMN(AC1129)-1))))-1),"")</f>
        <v>46036</v>
      </c>
      <c r="L1129" s="17" t="str">
        <f aca="false" t="array" ref="L1129:L1129">IFERROR(INDEX(AC1129:AE1129,IF(COUNTA(AC1129:AE1129)=0,"",MAX((AC1129:AE1129&lt;&gt;"")*(COLUMN(AC1129:AE1129)-(COLUMN(AC1129)-2))))-1),"")</f>
        <v>ARCHIVED</v>
      </c>
      <c r="M1129" s="13" t="n">
        <f aca="true">K1129-TODAY()</f>
        <v>-288</v>
      </c>
      <c r="N1129" s="18" t="s">
        <v>105</v>
      </c>
      <c r="O1129" s="13" t="s">
        <v>106</v>
      </c>
      <c r="P1129" s="19" t="n">
        <v>132300</v>
      </c>
      <c r="Q1129" s="20" t="s">
        <v>4970</v>
      </c>
      <c r="R1129" s="13" t="s">
        <v>39</v>
      </c>
      <c r="S1129" s="25" t="n">
        <v>38081</v>
      </c>
      <c r="T1129" s="13" t="s">
        <v>40</v>
      </c>
      <c r="U1129" s="13" t="s">
        <v>4971</v>
      </c>
      <c r="V1129" s="13" t="s">
        <v>42</v>
      </c>
      <c r="W1129" s="13" t="s">
        <v>43</v>
      </c>
      <c r="X1129" s="21" t="n">
        <v>89676188434</v>
      </c>
      <c r="Y1129" s="22" t="str">
        <f aca="false">O1129</f>
        <v>Produksi - Helper</v>
      </c>
      <c r="Z1129" s="13" t="str">
        <f aca="false">IFERROR(__xludf.dummyfunction("if(BJ1129="""","""",GOOGLETRANSLATE(BJ1129,""auto"",""en""))"),"Production - Helper")</f>
        <v>Production - Helper</v>
      </c>
      <c r="AA1129" s="23" t="str">
        <f aca="false">IF(C1129="","", CHOOSE(MONTH(C1129),"January","February","March","April","May","June","July","August","September","October","November","December")&amp;" "&amp;DAY(C1129)&amp;MID("thstndrdth",MIN(9,2*RIGHT(DAY(C1129))*(MOD(DAY(C1129)-11,100)&gt;2)+1),2)&amp;","&amp;TEXT(C1129," yyyy"))</f>
        <v>July 1st,2023</v>
      </c>
      <c r="AB1129" s="15" t="str">
        <f aca="true">IF(S1129="","",DATEDIF(S1129,TODAY(),"Y")&amp;" Tahun, "&amp;DATEDIF(S1129,TODAY(),"YM")&amp;" Bulan, "&amp;DATEDIF(S1129,TODAY(),"MD")&amp;" Hari")</f>
        <v>22 Tahun, 6 Bulan, 25 Hari</v>
      </c>
      <c r="AC1129" s="18" t="n">
        <v>45672</v>
      </c>
      <c r="AD1129" s="18" t="n">
        <v>46036</v>
      </c>
      <c r="AE1129" s="18" t="s">
        <v>44</v>
      </c>
    </row>
    <row r="1130" customFormat="false" ht="15.75" hidden="false" customHeight="true" outlineLevel="0" collapsed="false">
      <c r="A1130" s="12" t="n">
        <v>22554</v>
      </c>
      <c r="B1130" s="45" t="s">
        <v>4972</v>
      </c>
      <c r="C1130" s="14" t="n">
        <v>46219</v>
      </c>
      <c r="D1130" s="13" t="s">
        <v>101</v>
      </c>
      <c r="E1130" s="15" t="s">
        <v>47</v>
      </c>
      <c r="F1130" s="24" t="s">
        <v>4973</v>
      </c>
      <c r="G1130" s="28" t="s">
        <v>57</v>
      </c>
      <c r="H1130" s="13" t="s">
        <v>35</v>
      </c>
      <c r="I1130" s="13" t="str">
        <f aca="false">IF(C1130=J1130,"NEW KONTRAK","RE-KONTRAK")</f>
        <v>NEW KONTRAK</v>
      </c>
      <c r="J1130" s="16" t="n">
        <f aca="false" t="array" ref="J1130:J1130">IFERROR(INDEX(AC1130:AE1130,IF(COUNTA(AC1130:AE1130)=0,"",MAX((AC1130:AE1130&lt;&gt;"")*(COLUMN(AC1130:AE1130)-(COLUMN(AC1130)))))-1),"")</f>
        <v>46219</v>
      </c>
      <c r="K1130" s="16" t="n">
        <f aca="false" t="array" ref="K1130:K1130">IFERROR(INDEX(AC1130:AE1130,IF(COUNTA(AC1130:AE1130)=0,"",MAX((AC1130:AE1130&lt;&gt;"")*(COLUMN(AC1130:AE1130)-(COLUMN(AC1130)-1))))-1),"")</f>
        <v>46402</v>
      </c>
      <c r="L1130" s="17" t="str">
        <f aca="false" t="array" ref="L1130:L1130">IFERROR(INDEX(AC1130:AE1130,IF(COUNTA(AC1130:AE1130)=0,"",MAX((AC1130:AE1130&lt;&gt;"")*(COLUMN(AC1130:AE1130)-(COLUMN(AC1130)-2))))-1),"")</f>
        <v>KEMBALI</v>
      </c>
      <c r="M1130" s="13" t="n">
        <f aca="true">K1130-TODAY()</f>
        <v>78</v>
      </c>
      <c r="N1130" s="18" t="s">
        <v>105</v>
      </c>
      <c r="O1130" s="13" t="s">
        <v>1453</v>
      </c>
      <c r="P1130" s="26" t="n">
        <v>138915</v>
      </c>
      <c r="Q1130" s="20" t="s">
        <v>4974</v>
      </c>
      <c r="R1130" s="16" t="s">
        <v>39</v>
      </c>
      <c r="S1130" s="25" t="n">
        <v>36044</v>
      </c>
      <c r="T1130" s="13" t="s">
        <v>108</v>
      </c>
      <c r="U1130" s="17" t="s">
        <v>4975</v>
      </c>
      <c r="V1130" s="15" t="s">
        <v>42</v>
      </c>
      <c r="W1130" s="13" t="s">
        <v>43</v>
      </c>
      <c r="X1130" s="21" t="n">
        <v>87814833004</v>
      </c>
      <c r="Y1130" s="22" t="str">
        <f aca="false">O1130</f>
        <v>Helper Produksi</v>
      </c>
      <c r="Z1130" s="13" t="str">
        <f aca="false">IFERROR(__xludf.dummyfunction("if(BJ1130="""","""",GOOGLETRANSLATE(BJ1130,""auto"",""en""))"),"Production Helper")</f>
        <v>Production Helper</v>
      </c>
      <c r="AA1130" s="23" t="str">
        <f aca="false">IF(C1130="","", CHOOSE(MONTH(C1130),"January","February","March","April","May","June","July","August","September","October","November","December")&amp;" "&amp;DAY(C1130)&amp;MID("thstndrdth",MIN(9,2*RIGHT(DAY(C1130))*(MOD(DAY(C1130)-11,100)&gt;2)+1),2)&amp;","&amp;TEXT(C1130," yyyy"))</f>
        <v>July 16th,2026</v>
      </c>
      <c r="AB1130" s="15" t="str">
        <f aca="true">IF(S1130="","",DATEDIF(S1130,TODAY(),"Y")&amp;" Tahun, "&amp;DATEDIF(S1130,TODAY(),"YM")&amp;" Bulan, "&amp;DATEDIF(S1130,TODAY(),"MD")&amp;" Hari")</f>
        <v>28 Tahun, 1 Bulan, 23 Hari</v>
      </c>
      <c r="AC1130" s="14" t="n">
        <v>46219</v>
      </c>
      <c r="AD1130" s="18" t="n">
        <v>46402</v>
      </c>
      <c r="AE1130" s="13" t="s">
        <v>397</v>
      </c>
    </row>
    <row r="1131" customFormat="false" ht="15.75" hidden="false" customHeight="true" outlineLevel="0" collapsed="false">
      <c r="A1131" s="12" t="n">
        <v>12422</v>
      </c>
      <c r="B1131" s="13" t="s">
        <v>4976</v>
      </c>
      <c r="C1131" s="14" t="n">
        <v>45108</v>
      </c>
      <c r="D1131" s="13" t="s">
        <v>101</v>
      </c>
      <c r="E1131" s="15" t="s">
        <v>102</v>
      </c>
      <c r="F1131" s="15" t="str">
        <f aca="false">IFERROR(__xludf.dummyfunction("XLOOKUP(AJ1131,IMPORTRANGE(""1XaInW9DU9nz21V0tYIfzFQ0He9kVQ_JF2mCXgZ3hqFA"",""REKAP ALL 2026 - Andika!G:G""),IMPORTRANGE(""1XaInW9DU9nz21V0tYIfzFQ0He9kVQ_JF2mCXgZ3hqFA"",""REKAP ALL 2026 - Andika!F:F""),"""",0)"),"23113701041")</f>
        <v>23113701041</v>
      </c>
      <c r="G1131" s="13" t="s">
        <v>4977</v>
      </c>
      <c r="H1131" s="13" t="s">
        <v>35</v>
      </c>
      <c r="I1131" s="13" t="str">
        <f aca="false">IF(C1131=J1131,"NEW KONTRAK","RE-KONTRAK")</f>
        <v>RE-KONTRAK</v>
      </c>
      <c r="J1131" s="16" t="n">
        <f aca="false" t="array" ref="J1131:J1131">IFERROR(INDEX(AC1131:AE1131,IF(COUNTA(AC1131:AE1131)=0,"",MAX((AC1131:AE1131&lt;&gt;"")*(COLUMN(AC1131:AE1131)-(COLUMN(AC1131)))))-1),"")</f>
        <v>45672</v>
      </c>
      <c r="K1131" s="16" t="n">
        <f aca="false" t="array" ref="K1131:K1131">IFERROR(INDEX(AC1131:AE1131,IF(COUNTA(AC1131:AE1131)=0,"",MAX((AC1131:AE1131&lt;&gt;"")*(COLUMN(AC1131:AE1131)-(COLUMN(AC1131)-1))))-1),"")</f>
        <v>46036</v>
      </c>
      <c r="L1131" s="17" t="str">
        <f aca="false" t="array" ref="L1131:L1131">IFERROR(INDEX(AC1131:AE1131,IF(COUNTA(AC1131:AE1131)=0,"",MAX((AC1131:AE1131&lt;&gt;"")*(COLUMN(AC1131:AE1131)-(COLUMN(AC1131)-2))))-1),"")</f>
        <v>ARCHIVED</v>
      </c>
      <c r="M1131" s="13" t="n">
        <f aca="true">K1131-TODAY()</f>
        <v>-288</v>
      </c>
      <c r="N1131" s="18" t="s">
        <v>105</v>
      </c>
      <c r="O1131" s="13" t="s">
        <v>106</v>
      </c>
      <c r="P1131" s="19" t="n">
        <v>132300</v>
      </c>
      <c r="Q1131" s="20" t="s">
        <v>4978</v>
      </c>
      <c r="R1131" s="13" t="s">
        <v>324</v>
      </c>
      <c r="S1131" s="25" t="n">
        <v>36774</v>
      </c>
      <c r="T1131" s="13" t="s">
        <v>108</v>
      </c>
      <c r="U1131" s="13" t="s">
        <v>4979</v>
      </c>
      <c r="V1131" s="13" t="s">
        <v>42</v>
      </c>
      <c r="W1131" s="13" t="s">
        <v>54</v>
      </c>
      <c r="X1131" s="21" t="n">
        <v>87851323643</v>
      </c>
      <c r="Y1131" s="22" t="str">
        <f aca="false">O1131</f>
        <v>Produksi - Helper</v>
      </c>
      <c r="Z1131" s="13" t="str">
        <f aca="false">IFERROR(__xludf.dummyfunction("if(BJ1131="""","""",GOOGLETRANSLATE(BJ1131,""auto"",""en""))"),"Production - Helper")</f>
        <v>Production - Helper</v>
      </c>
      <c r="AA1131" s="23" t="str">
        <f aca="false">IF(C1131="","", CHOOSE(MONTH(C1131),"January","February","March","April","May","June","July","August","September","October","November","December")&amp;" "&amp;DAY(C1131)&amp;MID("thstndrdth",MIN(9,2*RIGHT(DAY(C1131))*(MOD(DAY(C1131)-11,100)&gt;2)+1),2)&amp;","&amp;TEXT(C1131," yyyy"))</f>
        <v>July 1st,2023</v>
      </c>
      <c r="AB1131" s="15" t="str">
        <f aca="true">IF(S1131="","",DATEDIF(S1131,TODAY(),"Y")&amp;" Tahun, "&amp;DATEDIF(S1131,TODAY(),"YM")&amp;" Bulan, "&amp;DATEDIF(S1131,TODAY(),"MD")&amp;" Hari")</f>
        <v>26 Tahun, 1 Bulan, 24 Hari</v>
      </c>
      <c r="AC1131" s="18" t="n">
        <v>45672</v>
      </c>
      <c r="AD1131" s="18" t="n">
        <v>46036</v>
      </c>
      <c r="AE1131" s="18" t="s">
        <v>44</v>
      </c>
    </row>
    <row r="1132" customFormat="false" ht="15.75" hidden="false" customHeight="true" outlineLevel="0" collapsed="false">
      <c r="A1132" s="12" t="n">
        <v>12426</v>
      </c>
      <c r="B1132" s="13" t="s">
        <v>4980</v>
      </c>
      <c r="C1132" s="14" t="n">
        <v>45108</v>
      </c>
      <c r="D1132" s="13" t="s">
        <v>101</v>
      </c>
      <c r="E1132" s="15" t="s">
        <v>102</v>
      </c>
      <c r="F1132" s="15" t="str">
        <f aca="false">IFERROR(__xludf.dummyfunction("XLOOKUP(AJ1132,IMPORTRANGE(""1XaInW9DU9nz21V0tYIfzFQ0He9kVQ_JF2mCXgZ3hqFA"",""REKAP ALL 2026 - Andika!G:G""),IMPORTRANGE(""1XaInW9DU9nz21V0tYIfzFQ0He9kVQ_JF2mCXgZ3hqFA"",""REKAP ALL 2026 - Andika!F:F""),"""",0)"),"23113700712")</f>
        <v>23113700712</v>
      </c>
      <c r="G1132" s="13" t="s">
        <v>4981</v>
      </c>
      <c r="H1132" s="13" t="s">
        <v>35</v>
      </c>
      <c r="I1132" s="13" t="str">
        <f aca="false">IF(C1132=J1132,"NEW KONTRAK","RE-KONTRAK")</f>
        <v>RE-KONTRAK</v>
      </c>
      <c r="J1132" s="16" t="n">
        <f aca="false" t="array" ref="J1132:J1132">IFERROR(INDEX(AC1132:AE1132,IF(COUNTA(AC1132:AE1132)=0,"",MAX((AC1132:AE1132&lt;&gt;"")*(COLUMN(AC1132:AE1132)-(COLUMN(AC1132)))))-1),"")</f>
        <v>45672</v>
      </c>
      <c r="K1132" s="16" t="n">
        <f aca="false" t="array" ref="K1132:K1132">IFERROR(INDEX(AC1132:AE1132,IF(COUNTA(AC1132:AE1132)=0,"",MAX((AC1132:AE1132&lt;&gt;"")*(COLUMN(AC1132:AE1132)-(COLUMN(AC1132)-1))))-1),"")</f>
        <v>46036</v>
      </c>
      <c r="L1132" s="17" t="str">
        <f aca="false" t="array" ref="L1132:L1132">IFERROR(INDEX(AC1132:AE1132,IF(COUNTA(AC1132:AE1132)=0,"",MAX((AC1132:AE1132&lt;&gt;"")*(COLUMN(AC1132:AE1132)-(COLUMN(AC1132)-2))))-1),"")</f>
        <v>ARCHIVED</v>
      </c>
      <c r="M1132" s="13" t="n">
        <f aca="true">K1132-TODAY()</f>
        <v>-288</v>
      </c>
      <c r="N1132" s="18" t="s">
        <v>105</v>
      </c>
      <c r="O1132" s="13" t="s">
        <v>106</v>
      </c>
      <c r="P1132" s="19" t="n">
        <v>132300</v>
      </c>
      <c r="Q1132" s="20" t="s">
        <v>4982</v>
      </c>
      <c r="R1132" s="13" t="s">
        <v>52</v>
      </c>
      <c r="S1132" s="25" t="n">
        <v>38300</v>
      </c>
      <c r="T1132" s="13" t="s">
        <v>108</v>
      </c>
      <c r="U1132" s="13" t="s">
        <v>4983</v>
      </c>
      <c r="V1132" s="13" t="s">
        <v>42</v>
      </c>
      <c r="W1132" s="13" t="s">
        <v>43</v>
      </c>
      <c r="X1132" s="21" t="n">
        <v>85791952250</v>
      </c>
      <c r="Y1132" s="22" t="str">
        <f aca="false">O1132</f>
        <v>Produksi - Helper</v>
      </c>
      <c r="Z1132" s="13" t="str">
        <f aca="false">IFERROR(__xludf.dummyfunction("if(BJ1132="""","""",GOOGLETRANSLATE(BJ1132,""auto"",""en""))"),"Production - Helper")</f>
        <v>Production - Helper</v>
      </c>
      <c r="AA1132" s="23" t="str">
        <f aca="false">IF(C1132="","", CHOOSE(MONTH(C1132),"January","February","March","April","May","June","July","August","September","October","November","December")&amp;" "&amp;DAY(C1132)&amp;MID("thstndrdth",MIN(9,2*RIGHT(DAY(C1132))*(MOD(DAY(C1132)-11,100)&gt;2)+1),2)&amp;","&amp;TEXT(C1132," yyyy"))</f>
        <v>July 1st,2023</v>
      </c>
      <c r="AB1132" s="15" t="str">
        <f aca="true">IF(S1132="","",DATEDIF(S1132,TODAY(),"Y")&amp;" Tahun, "&amp;DATEDIF(S1132,TODAY(),"YM")&amp;" Bulan, "&amp;DATEDIF(S1132,TODAY(),"MD")&amp;" Hari")</f>
        <v>21 Tahun, 11 Bulan, 20 Hari</v>
      </c>
      <c r="AC1132" s="18" t="n">
        <v>45672</v>
      </c>
      <c r="AD1132" s="18" t="n">
        <v>46036</v>
      </c>
      <c r="AE1132" s="18" t="s">
        <v>44</v>
      </c>
    </row>
    <row r="1133" customFormat="false" ht="15.75" hidden="false" customHeight="true" outlineLevel="0" collapsed="false">
      <c r="A1133" s="12" t="n">
        <v>12431</v>
      </c>
      <c r="B1133" s="13" t="s">
        <v>4984</v>
      </c>
      <c r="C1133" s="14" t="n">
        <v>45117</v>
      </c>
      <c r="D1133" s="13" t="s">
        <v>101</v>
      </c>
      <c r="E1133" s="15" t="s">
        <v>47</v>
      </c>
      <c r="F1133" s="15" t="str">
        <f aca="false">IFERROR(__xludf.dummyfunction("XLOOKUP(AJ1133,IMPORTRANGE(""1XaInW9DU9nz21V0tYIfzFQ0He9kVQ_JF2mCXgZ3hqFA"",""REKAP ALL 2026 - Andika!G:G""),IMPORTRANGE(""1XaInW9DU9nz21V0tYIfzFQ0He9kVQ_JF2mCXgZ3hqFA"",""REKAP ALL 2026 - Andika!F:F""),"""",0)"),"23113700993")</f>
        <v>23113700993</v>
      </c>
      <c r="G1133" s="13" t="s">
        <v>4985</v>
      </c>
      <c r="H1133" s="13" t="s">
        <v>35</v>
      </c>
      <c r="I1133" s="13" t="str">
        <f aca="false">IF(C1133=J1133,"NEW KONTRAK","RE-KONTRAK")</f>
        <v>RE-KONTRAK</v>
      </c>
      <c r="J1133" s="16" t="n">
        <f aca="false" t="array" ref="J1133:J1133">IFERROR(INDEX(AC1133:AE1133,IF(COUNTA(AC1133:AE1133)=0,"",MAX((AC1133:AE1133&lt;&gt;"")*(COLUMN(AC1133:AE1133)-(COLUMN(AC1133)))))-1),"")</f>
        <v>45672</v>
      </c>
      <c r="K1133" s="16" t="n">
        <f aca="false" t="array" ref="K1133:K1133">IFERROR(INDEX(AC1133:AE1133,IF(COUNTA(AC1133:AE1133)=0,"",MAX((AC1133:AE1133&lt;&gt;"")*(COLUMN(AC1133:AE1133)-(COLUMN(AC1133)-1))))-1),"")</f>
        <v>46036</v>
      </c>
      <c r="L1133" s="17" t="str">
        <f aca="false" t="array" ref="L1133:L1133">IFERROR(INDEX(AC1133:AE1133,IF(COUNTA(AC1133:AE1133)=0,"",MAX((AC1133:AE1133&lt;&gt;"")*(COLUMN(AC1133:AE1133)-(COLUMN(AC1133)-2))))-1),"")</f>
        <v>ARCHIVED</v>
      </c>
      <c r="M1133" s="13" t="n">
        <f aca="true">K1133-TODAY()</f>
        <v>-288</v>
      </c>
      <c r="N1133" s="18" t="s">
        <v>105</v>
      </c>
      <c r="O1133" s="13" t="s">
        <v>1476</v>
      </c>
      <c r="P1133" s="31" t="n">
        <v>138915</v>
      </c>
      <c r="Q1133" s="20" t="s">
        <v>4986</v>
      </c>
      <c r="R1133" s="13" t="s">
        <v>553</v>
      </c>
      <c r="S1133" s="25" t="n">
        <v>34877</v>
      </c>
      <c r="T1133" s="13" t="s">
        <v>40</v>
      </c>
      <c r="U1133" s="13" t="s">
        <v>4987</v>
      </c>
      <c r="V1133" s="13" t="s">
        <v>42</v>
      </c>
      <c r="W1133" s="13" t="s">
        <v>43</v>
      </c>
      <c r="X1133" s="21" t="n">
        <v>85883452131</v>
      </c>
      <c r="Y1133" s="22" t="str">
        <f aca="false">O1133</f>
        <v>Gudang RMPM - Helper</v>
      </c>
      <c r="Z1133" s="13" t="str">
        <f aca="false">IFERROR(__xludf.dummyfunction("if(BJ1133="""","""",GOOGLETRANSLATE(BJ1133,""auto"",""en""))"),"RMPM Warehouse - Helper")</f>
        <v>RMPM Warehouse - Helper</v>
      </c>
      <c r="AA1133" s="23" t="str">
        <f aca="false">IF(C1133="","", CHOOSE(MONTH(C1133),"January","February","March","April","May","June","July","August","September","October","November","December")&amp;" "&amp;DAY(C1133)&amp;MID("thstndrdth",MIN(9,2*RIGHT(DAY(C1133))*(MOD(DAY(C1133)-11,100)&gt;2)+1),2)&amp;","&amp;TEXT(C1133," yyyy"))</f>
        <v>July 10th,2023</v>
      </c>
      <c r="AB1133" s="15" t="str">
        <f aca="true">IF(S1133="","",DATEDIF(S1133,TODAY(),"Y")&amp;" Tahun, "&amp;DATEDIF(S1133,TODAY(),"YM")&amp;" Bulan, "&amp;DATEDIF(S1133,TODAY(),"MD")&amp;" Hari")</f>
        <v>31 Tahun, 4 Bulan, 2 Hari</v>
      </c>
      <c r="AC1133" s="18" t="n">
        <v>45672</v>
      </c>
      <c r="AD1133" s="18" t="n">
        <v>46036</v>
      </c>
      <c r="AE1133" s="18" t="s">
        <v>44</v>
      </c>
    </row>
    <row r="1134" customFormat="false" ht="15.75" hidden="false" customHeight="true" outlineLevel="0" collapsed="false">
      <c r="A1134" s="12" t="n">
        <v>12437</v>
      </c>
      <c r="B1134" s="13" t="s">
        <v>4988</v>
      </c>
      <c r="C1134" s="14" t="n">
        <v>45138</v>
      </c>
      <c r="D1134" s="13" t="s">
        <v>4252</v>
      </c>
      <c r="E1134" s="15" t="s">
        <v>33</v>
      </c>
      <c r="F1134" s="24" t="s">
        <v>4989</v>
      </c>
      <c r="G1134" s="13" t="s">
        <v>57</v>
      </c>
      <c r="H1134" s="13" t="s">
        <v>35</v>
      </c>
      <c r="I1134" s="13" t="str">
        <f aca="false">IF(C1134=J1134,"NEW KONTRAK","RE-KONTRAK")</f>
        <v>RE-KONTRAK</v>
      </c>
      <c r="J1134" s="16" t="n">
        <f aca="false" t="array" ref="J1134:J1134">IFERROR(INDEX(AC1134:AE1134,IF(COUNTA(AC1134:AE1134)=0,"",MAX((AC1134:AE1134&lt;&gt;"")*(COLUMN(AC1134:AE1134)-(COLUMN(AC1134)))))-1),"")</f>
        <v>45764</v>
      </c>
      <c r="K1134" s="16" t="n">
        <f aca="false" t="array" ref="K1134:K1134">IFERROR(INDEX(AC1134:AE1134,IF(COUNTA(AC1134:AE1134)=0,"",MAX((AC1134:AE1134&lt;&gt;"")*(COLUMN(AC1134:AE1134)-(COLUMN(AC1134)-1))))-1),"")</f>
        <v>45916</v>
      </c>
      <c r="L1134" s="17" t="str">
        <f aca="false" t="array" ref="L1134:L1134">IFERROR(INDEX(AC1134:AE1134,IF(COUNTA(AC1134:AE1134)=0,"",MAX((AC1134:AE1134&lt;&gt;"")*(COLUMN(AC1134:AE1134)-(COLUMN(AC1134)-2))))-1),"")</f>
        <v>ARCHIVED</v>
      </c>
      <c r="M1134" s="13" t="n">
        <f aca="true">K1134-TODAY()</f>
        <v>-408</v>
      </c>
      <c r="N1134" s="18" t="s">
        <v>36</v>
      </c>
      <c r="O1134" s="13" t="s">
        <v>4288</v>
      </c>
      <c r="P1134" s="27" t="n">
        <v>200000</v>
      </c>
      <c r="Q1134" s="20" t="s">
        <v>4990</v>
      </c>
      <c r="R1134" s="13" t="s">
        <v>232</v>
      </c>
      <c r="S1134" s="14" t="n">
        <v>36386</v>
      </c>
      <c r="T1134" s="13" t="s">
        <v>40</v>
      </c>
      <c r="U1134" s="13" t="s">
        <v>4991</v>
      </c>
      <c r="V1134" s="13" t="s">
        <v>42</v>
      </c>
      <c r="W1134" s="13" t="s">
        <v>43</v>
      </c>
      <c r="X1134" s="21" t="n">
        <v>8816909562</v>
      </c>
      <c r="Y1134" s="22" t="str">
        <f aca="false">O1134</f>
        <v>Operator Printing</v>
      </c>
      <c r="Z1134" s="13" t="str">
        <f aca="false">IFERROR(__xludf.dummyfunction("if(BJ1134="""","""",GOOGLETRANSLATE(BJ1134,""auto"",""en""))"),"Operator Printing")</f>
        <v>Operator Printing</v>
      </c>
      <c r="AA1134" s="23" t="str">
        <f aca="false">IF(C1134="","", CHOOSE(MONTH(C1134),"January","February","March","April","May","June","July","August","September","October","November","December")&amp;" "&amp;DAY(C1134)&amp;MID("thstndrdth",MIN(9,2*RIGHT(DAY(C1134))*(MOD(DAY(C1134)-11,100)&gt;2)+1),2)&amp;","&amp;TEXT(C1134," yyyy"))</f>
        <v>July 31st,2023</v>
      </c>
      <c r="AB1134" s="15" t="str">
        <f aca="true">IF(S1134="","",DATEDIF(S1134,TODAY(),"Y")&amp;" Tahun, "&amp;DATEDIF(S1134,TODAY(),"YM")&amp;" Bulan, "&amp;DATEDIF(S1134,TODAY(),"MD")&amp;" Hari")</f>
        <v>27 Tahun, 2 Bulan, 15 Hari</v>
      </c>
      <c r="AC1134" s="18" t="n">
        <v>45764</v>
      </c>
      <c r="AD1134" s="18" t="n">
        <v>45916</v>
      </c>
      <c r="AE1134" s="18" t="s">
        <v>44</v>
      </c>
    </row>
    <row r="1135" customFormat="false" ht="15.75" hidden="false" customHeight="true" outlineLevel="0" collapsed="false">
      <c r="A1135" s="12" t="n">
        <v>12442</v>
      </c>
      <c r="B1135" s="13" t="s">
        <v>4992</v>
      </c>
      <c r="C1135" s="14" t="n">
        <v>45139</v>
      </c>
      <c r="D1135" s="13" t="s">
        <v>144</v>
      </c>
      <c r="E1135" s="15" t="s">
        <v>47</v>
      </c>
      <c r="F1135" s="15" t="str">
        <f aca="false">IFERROR(__xludf.dummyfunction("XLOOKUP(AJ1135,IMPORTRANGE(""1XaInW9DU9nz21V0tYIfzFQ0He9kVQ_JF2mCXgZ3hqFA"",""REKAP ALL 2026 - Andika!G:G""),IMPORTRANGE(""1XaInW9DU9nz21V0tYIfzFQ0He9kVQ_JF2mCXgZ3hqFA"",""REKAP ALL 2026 - Andika!F:F""),"""",0)"),"23113697603")</f>
        <v>23113697603</v>
      </c>
      <c r="G1135" s="13" t="s">
        <v>4993</v>
      </c>
      <c r="H1135" s="13" t="s">
        <v>35</v>
      </c>
      <c r="I1135" s="13" t="str">
        <f aca="false">IF(C1135=J1135,"NEW KONTRAK","RE-KONTRAK")</f>
        <v>RE-KONTRAK</v>
      </c>
      <c r="J1135" s="16" t="n">
        <f aca="false" t="array" ref="J1135:J1135">IFERROR(INDEX(AC1135:AE1135,IF(COUNTA(AC1135:AE1135)=0,"",MAX((AC1135:AE1135&lt;&gt;"")*(COLUMN(AC1135:AE1135)-(COLUMN(AC1135)))))-1),"")</f>
        <v>45658</v>
      </c>
      <c r="K1135" s="16" t="n">
        <f aca="false" t="array" ref="K1135:K1135">IFERROR(INDEX(AC1135:AE1135,IF(COUNTA(AC1135:AE1135)=0,"",MAX((AC1135:AE1135&lt;&gt;"")*(COLUMN(AC1135:AE1135)-(COLUMN(AC1135)-1))))-1),"")</f>
        <v>46022</v>
      </c>
      <c r="L1135" s="17" t="str">
        <f aca="false" t="array" ref="L1135:L1135">IFERROR(INDEX(AC1135:AE1135,IF(COUNTA(AC1135:AE1135)=0,"",MAX((AC1135:AE1135&lt;&gt;"")*(COLUMN(AC1135:AE1135)-(COLUMN(AC1135)-2))))-1),"")</f>
        <v>ARCHIVED</v>
      </c>
      <c r="M1135" s="13" t="n">
        <f aca="true">K1135-TODAY()</f>
        <v>-302</v>
      </c>
      <c r="N1135" s="18" t="s">
        <v>36</v>
      </c>
      <c r="O1135" s="13" t="s">
        <v>211</v>
      </c>
      <c r="P1135" s="19" t="n">
        <v>5195401</v>
      </c>
      <c r="Q1135" s="20" t="s">
        <v>4994</v>
      </c>
      <c r="R1135" s="13" t="s">
        <v>65</v>
      </c>
      <c r="S1135" s="14" t="n">
        <v>30922</v>
      </c>
      <c r="T1135" s="13" t="s">
        <v>40</v>
      </c>
      <c r="U1135" s="13" t="s">
        <v>4995</v>
      </c>
      <c r="V1135" s="13" t="s">
        <v>42</v>
      </c>
      <c r="W1135" s="13" t="s">
        <v>43</v>
      </c>
      <c r="X1135" s="21" t="n">
        <v>85648843024</v>
      </c>
      <c r="Y1135" s="22" t="str">
        <f aca="false">O1135</f>
        <v>FG Store</v>
      </c>
      <c r="Z1135" s="13" t="str">
        <f aca="false">IFERROR(__xludf.dummyfunction("if(BJ1135="""","""",GOOGLETRANSLATE(BJ1135,""auto"",""en""))"),"FG Store")</f>
        <v>FG Store</v>
      </c>
      <c r="AA1135" s="23" t="str">
        <f aca="false">IF(C1135="","", CHOOSE(MONTH(C1135),"January","February","March","April","May","June","July","August","September","October","November","December")&amp;" "&amp;DAY(C1135)&amp;MID("thstndrdth",MIN(9,2*RIGHT(DAY(C1135))*(MOD(DAY(C1135)-11,100)&gt;2)+1),2)&amp;","&amp;TEXT(C1135," yyyy"))</f>
        <v>August 1st,2023</v>
      </c>
      <c r="AB1135" s="15" t="str">
        <f aca="true">IF(S1135="","",DATEDIF(S1135,TODAY(),"Y")&amp;" Tahun, "&amp;DATEDIF(S1135,TODAY(),"YM")&amp;" Bulan, "&amp;DATEDIF(S1135,TODAY(),"MD")&amp;" Hari")</f>
        <v>42 Tahun, 2 Bulan, 1 Hari</v>
      </c>
      <c r="AC1135" s="18" t="n">
        <v>45658</v>
      </c>
      <c r="AD1135" s="18" t="n">
        <v>46022</v>
      </c>
      <c r="AE1135" s="18" t="s">
        <v>44</v>
      </c>
    </row>
    <row r="1136" customFormat="false" ht="15.75" hidden="false" customHeight="true" outlineLevel="0" collapsed="false">
      <c r="A1136" s="12" t="n">
        <v>12462</v>
      </c>
      <c r="B1136" s="13" t="s">
        <v>4996</v>
      </c>
      <c r="C1136" s="14" t="n">
        <v>45104</v>
      </c>
      <c r="D1136" s="13" t="s">
        <v>2033</v>
      </c>
      <c r="E1136" s="15" t="s">
        <v>33</v>
      </c>
      <c r="F1136" s="24" t="s">
        <v>4997</v>
      </c>
      <c r="G1136" s="13" t="s">
        <v>4998</v>
      </c>
      <c r="H1136" s="13" t="s">
        <v>2035</v>
      </c>
      <c r="I1136" s="13" t="str">
        <f aca="false">IF(C1136=J1136,"NEW KONTRAK","RE-KONTRAK")</f>
        <v>RE-KONTRAK</v>
      </c>
      <c r="J1136" s="16" t="n">
        <f aca="false" t="array" ref="J1136:J1136">IFERROR(INDEX(AC1136:AE1136,IF(COUNTA(AC1136:AE1136)=0,"",MAX((AC1136:AE1136&lt;&gt;"")*(COLUMN(AC1136:AE1136)-(COLUMN(AC1136)))))-1),"")</f>
        <v>45744</v>
      </c>
      <c r="K1136" s="16" t="n">
        <f aca="false" t="array" ref="K1136:K1136">IFERROR(INDEX(AC1136:AE1136,IF(COUNTA(AC1136:AE1136)=0,"",MAX((AC1136:AE1136&lt;&gt;"")*(COLUMN(AC1136:AE1136)-(COLUMN(AC1136)-1))))-1),"")</f>
        <v>45915</v>
      </c>
      <c r="L1136" s="17" t="str">
        <f aca="false" t="array" ref="L1136:L1136">IFERROR(INDEX(AC1136:AE1136,IF(COUNTA(AC1136:AE1136)=0,"",MAX((AC1136:AE1136&lt;&gt;"")*(COLUMN(AC1136:AE1136)-(COLUMN(AC1136)-2))))-1),"")</f>
        <v>ARCHIVED</v>
      </c>
      <c r="M1136" s="13" t="n">
        <f aca="true">K1136-TODAY()</f>
        <v>-409</v>
      </c>
      <c r="N1136" s="18" t="s">
        <v>2356</v>
      </c>
      <c r="O1136" s="13" t="s">
        <v>2037</v>
      </c>
      <c r="P1136" s="19" t="n">
        <v>3943321</v>
      </c>
      <c r="Q1136" s="20" t="s">
        <v>4999</v>
      </c>
      <c r="R1136" s="13" t="s">
        <v>5000</v>
      </c>
      <c r="S1136" s="14" t="n">
        <v>37091</v>
      </c>
      <c r="T1136" s="13" t="s">
        <v>108</v>
      </c>
      <c r="U1136" s="13" t="s">
        <v>5001</v>
      </c>
      <c r="V1136" s="13" t="s">
        <v>42</v>
      </c>
      <c r="W1136" s="13" t="s">
        <v>43</v>
      </c>
      <c r="X1136" s="21" t="n">
        <v>82259189892</v>
      </c>
      <c r="Y1136" s="22" t="str">
        <f aca="false">O1136</f>
        <v>SPG/BA</v>
      </c>
      <c r="Z1136" s="13" t="str">
        <f aca="false">IFERROR(__xludf.dummyfunction("if(BJ1136="""","""",GOOGLETRANSLATE(BJ1136,""auto"",""en""))"),"SPG/BA")</f>
        <v>SPG/BA</v>
      </c>
      <c r="AA1136" s="23" t="str">
        <f aca="false">IF(C1136="","", CHOOSE(MONTH(C1136),"January","February","March","April","May","June","July","August","September","October","November","December")&amp;" "&amp;DAY(C1136)&amp;MID("thstndrdth",MIN(9,2*RIGHT(DAY(C1136))*(MOD(DAY(C1136)-11,100)&gt;2)+1),2)&amp;","&amp;TEXT(C1136," yyyy"))</f>
        <v>June 27th,2023</v>
      </c>
      <c r="AB1136" s="15" t="str">
        <f aca="true">IF(S1136="","",DATEDIF(S1136,TODAY(),"Y")&amp;" Tahun, "&amp;DATEDIF(S1136,TODAY(),"YM")&amp;" Bulan, "&amp;DATEDIF(S1136,TODAY(),"MD")&amp;" Hari")</f>
        <v>25 Tahun, 3 Bulan, 10 Hari</v>
      </c>
      <c r="AC1136" s="18" t="n">
        <v>45744</v>
      </c>
      <c r="AD1136" s="18" t="n">
        <v>45915</v>
      </c>
      <c r="AE1136" s="18" t="s">
        <v>44</v>
      </c>
    </row>
    <row r="1137" customFormat="false" ht="15.75" hidden="false" customHeight="true" outlineLevel="0" collapsed="false">
      <c r="A1137" s="12" t="n">
        <v>20295</v>
      </c>
      <c r="B1137" s="13" t="s">
        <v>5002</v>
      </c>
      <c r="C1137" s="16" t="n">
        <v>45852</v>
      </c>
      <c r="D1137" s="13" t="s">
        <v>2033</v>
      </c>
      <c r="E1137" s="15" t="s">
        <v>47</v>
      </c>
      <c r="F1137" s="15" t="str">
        <f aca="false">IFERROR(__xludf.dummyfunction("XLOOKUP(AJ1137,IMPORTRANGE(""1XaInW9DU9nz21V0tYIfzFQ0He9kVQ_JF2mCXgZ3hqFA"",""REKAP ALL 2026 - Andika!G:G""),IMPORTRANGE(""1XaInW9DU9nz21V0tYIfzFQ0He9kVQ_JF2mCXgZ3hqFA"",""REKAP ALL 2026 - Andika!F:F""),"""",0)"),"25115948306")</f>
        <v>25115948306</v>
      </c>
      <c r="G1137" s="13" t="s">
        <v>5003</v>
      </c>
      <c r="H1137" s="13" t="s">
        <v>2035</v>
      </c>
      <c r="I1137" s="13" t="str">
        <f aca="false">IF(C1137=J1137,"NEW KONTRAK","RE-KONTRAK")</f>
        <v>NEW KONTRAK</v>
      </c>
      <c r="J1137" s="16" t="n">
        <f aca="false" t="array" ref="J1137:J1137">IFERROR(INDEX(AC1137:AE1137,IF(COUNTA(AC1137:AE1137)=0,"",MAX((AC1137:AE1137&lt;&gt;"")*(COLUMN(AC1137:AE1137)-(COLUMN(AC1137)))))-1),"")</f>
        <v>45852</v>
      </c>
      <c r="K1137" s="16" t="n">
        <f aca="false" t="array" ref="K1137:K1137">IFERROR(INDEX(AC1137:AE1137,IF(COUNTA(AC1137:AE1137)=0,"",MAX((AC1137:AE1137&lt;&gt;"")*(COLUMN(AC1137:AE1137)-(COLUMN(AC1137)-1))))-1),"")</f>
        <v>45914</v>
      </c>
      <c r="L1137" s="17" t="str">
        <f aca="false" t="array" ref="L1137:L1137">IFERROR(INDEX(AC1137:AE1137,IF(COUNTA(AC1137:AE1137)=0,"",MAX((AC1137:AE1137&lt;&gt;"")*(COLUMN(AC1137:AE1137)-(COLUMN(AC1137)-2))))-1),"")</f>
        <v>ARCHIVED</v>
      </c>
      <c r="M1137" s="13" t="n">
        <f aca="true">K1137-TODAY()</f>
        <v>-410</v>
      </c>
      <c r="N1137" s="68" t="s">
        <v>5004</v>
      </c>
      <c r="O1137" s="13" t="s">
        <v>2037</v>
      </c>
      <c r="P1137" s="19" t="n">
        <v>2624387</v>
      </c>
      <c r="Q1137" s="20" t="s">
        <v>5005</v>
      </c>
      <c r="R1137" s="13" t="s">
        <v>5006</v>
      </c>
      <c r="S1137" s="16" t="n">
        <v>36519</v>
      </c>
      <c r="T1137" s="13" t="s">
        <v>108</v>
      </c>
      <c r="U1137" s="13" t="s">
        <v>5007</v>
      </c>
      <c r="V1137" s="13" t="s">
        <v>42</v>
      </c>
      <c r="W1137" s="13" t="s">
        <v>54</v>
      </c>
      <c r="X1137" s="21" t="n">
        <v>895343304023</v>
      </c>
      <c r="Y1137" s="22" t="str">
        <f aca="false">O1137</f>
        <v>SPG/BA</v>
      </c>
      <c r="Z1137" s="13" t="str">
        <f aca="false">IFERROR(__xludf.dummyfunction("if(BJ1137="""","""",GOOGLETRANSLATE(BJ1137,""auto"",""en""))"),"SPG/BA")</f>
        <v>SPG/BA</v>
      </c>
      <c r="AA1137" s="23" t="str">
        <f aca="false">IF(C1137="","", CHOOSE(MONTH(C1137),"January","February","March","April","May","June","July","August","September","October","November","December")&amp;" "&amp;DAY(C1137)&amp;MID("thstndrdth",MIN(9,2*RIGHT(DAY(C1137))*(MOD(DAY(C1137)-11,100)&gt;2)+1),2)&amp;","&amp;TEXT(C1137," yyyy"))</f>
        <v>July 14th,2025</v>
      </c>
      <c r="AB1137" s="15" t="str">
        <f aca="true">IF(S1137="","",DATEDIF(S1137,TODAY(),"Y")&amp;" Tahun, "&amp;DATEDIF(S1137,TODAY(),"YM")&amp;" Bulan, "&amp;DATEDIF(S1137,TODAY(),"MD")&amp;" Hari")</f>
        <v>26 Tahun, 10 Bulan, 4 Hari</v>
      </c>
      <c r="AC1137" s="18" t="n">
        <v>45852</v>
      </c>
      <c r="AD1137" s="18" t="n">
        <v>45914</v>
      </c>
      <c r="AE1137" s="18" t="s">
        <v>44</v>
      </c>
    </row>
    <row r="1138" customFormat="false" ht="15.75" hidden="false" customHeight="true" outlineLevel="0" collapsed="false">
      <c r="A1138" s="12" t="n">
        <v>12466</v>
      </c>
      <c r="B1138" s="13" t="s">
        <v>5008</v>
      </c>
      <c r="C1138" s="14" t="n">
        <v>45118</v>
      </c>
      <c r="D1138" s="13" t="s">
        <v>2033</v>
      </c>
      <c r="E1138" s="15" t="s">
        <v>33</v>
      </c>
      <c r="F1138" s="24" t="s">
        <v>5009</v>
      </c>
      <c r="G1138" s="13" t="s">
        <v>5010</v>
      </c>
      <c r="H1138" s="13" t="s">
        <v>2035</v>
      </c>
      <c r="I1138" s="13" t="str">
        <f aca="false">IF(C1138=J1138,"NEW KONTRAK","RE-KONTRAK")</f>
        <v>RE-KONTRAK</v>
      </c>
      <c r="J1138" s="16" t="n">
        <f aca="false" t="array" ref="J1138:J1138">IFERROR(INDEX(AC1138:AE1138,IF(COUNTA(AC1138:AE1138)=0,"",MAX((AC1138:AE1138&lt;&gt;"")*(COLUMN(AC1138:AE1138)-(COLUMN(AC1138)))))-1),"")</f>
        <v>45744</v>
      </c>
      <c r="K1138" s="16" t="n">
        <f aca="false" t="array" ref="K1138:K1138">IFERROR(INDEX(AC1138:AE1138,IF(COUNTA(AC1138:AE1138)=0,"",MAX((AC1138:AE1138&lt;&gt;"")*(COLUMN(AC1138:AE1138)-(COLUMN(AC1138)-1))))-1),"")</f>
        <v>45915</v>
      </c>
      <c r="L1138" s="17" t="str">
        <f aca="false" t="array" ref="L1138:L1138">IFERROR(INDEX(AC1138:AE1138,IF(COUNTA(AC1138:AE1138)=0,"",MAX((AC1138:AE1138&lt;&gt;"")*(COLUMN(AC1138:AE1138)-(COLUMN(AC1138)-2))))-1),"")</f>
        <v>ARCHIVED</v>
      </c>
      <c r="M1138" s="13" t="n">
        <f aca="true">K1138-TODAY()</f>
        <v>-409</v>
      </c>
      <c r="N1138" s="18" t="s">
        <v>2363</v>
      </c>
      <c r="O1138" s="13" t="s">
        <v>2037</v>
      </c>
      <c r="P1138" s="19" t="n">
        <v>4014072</v>
      </c>
      <c r="Q1138" s="20" t="s">
        <v>5011</v>
      </c>
      <c r="R1138" s="13" t="s">
        <v>5012</v>
      </c>
      <c r="S1138" s="14" t="n">
        <v>38180</v>
      </c>
      <c r="T1138" s="13" t="s">
        <v>108</v>
      </c>
      <c r="U1138" s="13" t="s">
        <v>5013</v>
      </c>
      <c r="V1138" s="13" t="s">
        <v>42</v>
      </c>
      <c r="W1138" s="13" t="s">
        <v>43</v>
      </c>
      <c r="X1138" s="21" t="n">
        <v>83191309519</v>
      </c>
      <c r="Y1138" s="22" t="str">
        <f aca="false">O1138</f>
        <v>SPG/BA</v>
      </c>
      <c r="Z1138" s="13" t="str">
        <f aca="false">IFERROR(__xludf.dummyfunction("if(BJ1138="""","""",GOOGLETRANSLATE(BJ1138,""auto"",""en""))"),"SPG/BA")</f>
        <v>SPG/BA</v>
      </c>
      <c r="AA1138" s="23" t="str">
        <f aca="false">IF(C1138="","", CHOOSE(MONTH(C1138),"January","February","March","April","May","June","July","August","September","October","November","December")&amp;" "&amp;DAY(C1138)&amp;MID("thstndrdth",MIN(9,2*RIGHT(DAY(C1138))*(MOD(DAY(C1138)-11,100)&gt;2)+1),2)&amp;","&amp;TEXT(C1138," yyyy"))</f>
        <v>July 11th,2023</v>
      </c>
      <c r="AB1138" s="15" t="str">
        <f aca="true">IF(S1138="","",DATEDIF(S1138,TODAY(),"Y")&amp;" Tahun, "&amp;DATEDIF(S1138,TODAY(),"YM")&amp;" Bulan, "&amp;DATEDIF(S1138,TODAY(),"MD")&amp;" Hari")</f>
        <v>22 Tahun, 3 Bulan, 17 Hari</v>
      </c>
      <c r="AC1138" s="18" t="n">
        <v>45744</v>
      </c>
      <c r="AD1138" s="18" t="n">
        <v>45915</v>
      </c>
      <c r="AE1138" s="18" t="s">
        <v>44</v>
      </c>
    </row>
    <row r="1139" customFormat="false" ht="15.75" hidden="false" customHeight="true" outlineLevel="0" collapsed="false">
      <c r="A1139" s="12" t="n">
        <v>22723</v>
      </c>
      <c r="B1139" s="13" t="s">
        <v>5014</v>
      </c>
      <c r="C1139" s="14" t="n">
        <v>46219</v>
      </c>
      <c r="D1139" s="13" t="s">
        <v>2033</v>
      </c>
      <c r="E1139" s="13" t="s">
        <v>47</v>
      </c>
      <c r="F1139" s="24" t="s">
        <v>5015</v>
      </c>
      <c r="G1139" s="13" t="s">
        <v>1452</v>
      </c>
      <c r="H1139" s="13" t="s">
        <v>35</v>
      </c>
      <c r="I1139" s="13" t="str">
        <f aca="false">IF(C1139=J1139,"NEW KONTRAK","RE-KONTRAK")</f>
        <v>NEW KONTRAK</v>
      </c>
      <c r="J1139" s="16" t="n">
        <f aca="false" t="array" ref="J1139:J1139">IFERROR(INDEX(AC1139:AE1139,IF(COUNTA(AC1139:AE1139)=0,"",MAX((AC1139:AE1139&lt;&gt;"")*(COLUMN(AC1139:AE1139)-(COLUMN(AC1139)))))-1),"")</f>
        <v>46219</v>
      </c>
      <c r="K1139" s="16" t="n">
        <f aca="false" t="array" ref="K1139:K1139">IFERROR(INDEX(AC1139:AE1139,IF(COUNTA(AC1139:AE1139)=0,"",MAX((AC1139:AE1139&lt;&gt;"")*(COLUMN(AC1139:AE1139)-(COLUMN(AC1139)-1))))-1),"")</f>
        <v>46310</v>
      </c>
      <c r="L1139" s="17" t="str">
        <f aca="false" t="array" ref="L1139:L1139">IFERROR(INDEX(AC1139:AE1139,IF(COUNTA(AC1139:AE1139)=0,"",MAX((AC1139:AE1139&lt;&gt;"")*(COLUMN(AC1139:AE1139)-(COLUMN(AC1139)-2))))-1),"")</f>
        <v>KEMBALI</v>
      </c>
      <c r="M1139" s="13" t="n">
        <f aca="true">K1139-TODAY()</f>
        <v>-14</v>
      </c>
      <c r="N1139" s="28" t="s">
        <v>5016</v>
      </c>
      <c r="O1139" s="13" t="s">
        <v>5017</v>
      </c>
      <c r="P1139" s="26" t="n">
        <v>3879520</v>
      </c>
      <c r="Q1139" s="20" t="s">
        <v>5018</v>
      </c>
      <c r="R1139" s="13" t="s">
        <v>5019</v>
      </c>
      <c r="S1139" s="25" t="n">
        <v>34329</v>
      </c>
      <c r="T1139" s="13" t="s">
        <v>108</v>
      </c>
      <c r="U1139" s="13" t="s">
        <v>5020</v>
      </c>
      <c r="V1139" s="13" t="s">
        <v>42</v>
      </c>
      <c r="W1139" s="13" t="s">
        <v>54</v>
      </c>
      <c r="X1139" s="21" t="n">
        <v>82218182686</v>
      </c>
      <c r="Y1139" s="22" t="str">
        <f aca="false">O1139</f>
        <v>Sales</v>
      </c>
      <c r="Z1139" s="13" t="str">
        <f aca="false">IFERROR(__xludf.dummyfunction("if(BJ1139="""","""",GOOGLETRANSLATE(BJ1139,""auto"",""en""))"),"Sales")</f>
        <v>Sales</v>
      </c>
      <c r="AA1139" s="23" t="str">
        <f aca="false">IF(C1139="","", CHOOSE(MONTH(C1139),"January","February","March","April","May","June","July","August","September","October","November","December")&amp;" "&amp;DAY(C1139)&amp;MID("thstndrdth",MIN(9,2*RIGHT(DAY(C1139))*(MOD(DAY(C1139)-11,100)&gt;2)+1),2)&amp;","&amp;TEXT(C1139," yyyy"))</f>
        <v>July 16th,2026</v>
      </c>
      <c r="AB1139" s="15" t="str">
        <f aca="true">IF(S1139="","",DATEDIF(S1139,TODAY(),"Y")&amp;" Tahun, "&amp;DATEDIF(S1139,TODAY(),"YM")&amp;" Bulan, "&amp;DATEDIF(S1139,TODAY(),"MD")&amp;" Hari")</f>
        <v>32 Tahun, 10 Bulan, 3 Hari</v>
      </c>
      <c r="AC1139" s="14" t="n">
        <v>46219</v>
      </c>
      <c r="AD1139" s="18" t="n">
        <f aca="false">EDATE(AC1139,3)-1</f>
        <v>46310</v>
      </c>
      <c r="AE1139" s="13" t="s">
        <v>397</v>
      </c>
    </row>
    <row r="1140" customFormat="false" ht="15.75" hidden="false" customHeight="true" outlineLevel="0" collapsed="false">
      <c r="A1140" s="12" t="n">
        <v>12510</v>
      </c>
      <c r="B1140" s="13" t="s">
        <v>5021</v>
      </c>
      <c r="C1140" s="14" t="n">
        <v>45145</v>
      </c>
      <c r="D1140" s="13" t="s">
        <v>393</v>
      </c>
      <c r="E1140" s="15" t="s">
        <v>47</v>
      </c>
      <c r="F1140" s="15" t="str">
        <f aca="false">IFERROR(__xludf.dummyfunction("XLOOKUP(AJ1140,IMPORTRANGE(""1XaInW9DU9nz21V0tYIfzFQ0He9kVQ_JF2mCXgZ3hqFA"",""REKAP ALL 2026 - Andika!G:G""),IMPORTRANGE(""1XaInW9DU9nz21V0tYIfzFQ0He9kVQ_JF2mCXgZ3hqFA"",""REKAP ALL 2026 - Andika!F:F""),"""",0)"),"23113697561")</f>
        <v>23113697561</v>
      </c>
      <c r="G1140" s="13" t="s">
        <v>5022</v>
      </c>
      <c r="H1140" s="13" t="s">
        <v>35</v>
      </c>
      <c r="I1140" s="13" t="str">
        <f aca="false">IF(C1140=J1140,"NEW KONTRAK","RE-KONTRAK")</f>
        <v>RE-KONTRAK</v>
      </c>
      <c r="J1140" s="16" t="n">
        <f aca="false" t="array" ref="J1140:J1140">IFERROR(INDEX(AC1140:AE1140,IF(COUNTA(AC1140:AE1140)=0,"",MAX((AC1140:AE1140&lt;&gt;"")*(COLUMN(AC1140:AE1140)-(COLUMN(AC1140)))))-1),"")</f>
        <v>45452</v>
      </c>
      <c r="K1140" s="16" t="n">
        <f aca="false" t="array" ref="K1140:K1140">IFERROR(INDEX(AC1140:AE1140,IF(COUNTA(AC1140:AE1140)=0,"",MAX((AC1140:AE1140&lt;&gt;"")*(COLUMN(AC1140:AE1140)-(COLUMN(AC1140)-1))))-1),"")</f>
        <v>46181</v>
      </c>
      <c r="L1140" s="17" t="str">
        <f aca="false" t="array" ref="L1140:L1140">IFERROR(INDEX(AC1140:AE1140,IF(COUNTA(AC1140:AE1140)=0,"",MAX((AC1140:AE1140&lt;&gt;"")*(COLUMN(AC1140:AE1140)-(COLUMN(AC1140)-2))))-1),"")</f>
        <v>KEMBALI</v>
      </c>
      <c r="M1140" s="13" t="n">
        <f aca="true">K1140-TODAY()</f>
        <v>-143</v>
      </c>
      <c r="N1140" s="18" t="s">
        <v>105</v>
      </c>
      <c r="O1140" s="13" t="s">
        <v>58</v>
      </c>
      <c r="P1140" s="19" t="n">
        <v>5191541</v>
      </c>
      <c r="Q1140" s="20" t="s">
        <v>5023</v>
      </c>
      <c r="R1140" s="13" t="s">
        <v>60</v>
      </c>
      <c r="S1140" s="14" t="n">
        <v>34686</v>
      </c>
      <c r="T1140" s="13" t="s">
        <v>40</v>
      </c>
      <c r="U1140" s="13" t="s">
        <v>5024</v>
      </c>
      <c r="V1140" s="13" t="s">
        <v>42</v>
      </c>
      <c r="W1140" s="13" t="s">
        <v>43</v>
      </c>
      <c r="X1140" s="21" t="n">
        <v>88989687631</v>
      </c>
      <c r="Y1140" s="22" t="str">
        <f aca="false">O1140</f>
        <v>Produksi</v>
      </c>
      <c r="Z1140" s="13" t="str">
        <f aca="false">IFERROR(__xludf.dummyfunction("if(BJ1140="""","""",GOOGLETRANSLATE(BJ1140,""auto"",""en""))"),"Production")</f>
        <v>Production</v>
      </c>
      <c r="AA1140" s="23" t="str">
        <f aca="false">IF(C1140="","", CHOOSE(MONTH(C1140),"January","February","March","April","May","June","July","August","September","October","November","December")&amp;" "&amp;DAY(C1140)&amp;MID("thstndrdth",MIN(9,2*RIGHT(DAY(C1140))*(MOD(DAY(C1140)-11,100)&gt;2)+1),2)&amp;","&amp;TEXT(C1140," yyyy"))</f>
        <v>August 7th,2023</v>
      </c>
      <c r="AB1140" s="15" t="str">
        <f aca="true">IF(S1140="","",DATEDIF(S1140,TODAY(),"Y")&amp;" Tahun, "&amp;DATEDIF(S1140,TODAY(),"YM")&amp;" Bulan, "&amp;DATEDIF(S1140,TODAY(),"MD")&amp;" Hari")</f>
        <v>31 Tahun, 10 Bulan, 11 Hari</v>
      </c>
      <c r="AC1140" s="18" t="n">
        <v>45452</v>
      </c>
      <c r="AD1140" s="18" t="n">
        <v>46181</v>
      </c>
      <c r="AE1140" s="13" t="s">
        <v>397</v>
      </c>
    </row>
    <row r="1141" customFormat="false" ht="15.75" hidden="false" customHeight="true" outlineLevel="0" collapsed="false">
      <c r="A1141" s="12" t="n">
        <v>12517</v>
      </c>
      <c r="B1141" s="13" t="s">
        <v>5025</v>
      </c>
      <c r="C1141" s="14" t="n">
        <v>45139</v>
      </c>
      <c r="D1141" s="13" t="s">
        <v>774</v>
      </c>
      <c r="E1141" s="15" t="s">
        <v>47</v>
      </c>
      <c r="F1141" s="15" t="str">
        <f aca="false">IFERROR(__xludf.dummyfunction("XLOOKUP(AJ1141,IMPORTRANGE(""1XaInW9DU9nz21V0tYIfzFQ0He9kVQ_JF2mCXgZ3hqFA"",""REKAP ALL 2026 - Andika!G:G""),IMPORTRANGE(""1XaInW9DU9nz21V0tYIfzFQ0He9kVQ_JF2mCXgZ3hqFA"",""REKAP ALL 2026 - Andika!F:F""),"""",0)"),"23172180731")</f>
        <v>23172180731</v>
      </c>
      <c r="G1141" s="13" t="s">
        <v>5026</v>
      </c>
      <c r="H1141" s="13" t="s">
        <v>2967</v>
      </c>
      <c r="I1141" s="13" t="str">
        <f aca="false">IF(C1141=J1141,"NEW KONTRAK","RE-KONTRAK")</f>
        <v>RE-KONTRAK</v>
      </c>
      <c r="J1141" s="16" t="n">
        <f aca="false" t="array" ref="J1141:J1141">IFERROR(INDEX(AC1141:AE1141,IF(COUNTA(AC1141:AE1141)=0,"",MAX((AC1141:AE1141&lt;&gt;"")*(COLUMN(AC1141:AE1141)-(COLUMN(AC1141)))))-1),"")</f>
        <v>45570</v>
      </c>
      <c r="K1141" s="16" t="n">
        <f aca="false" t="array" ref="K1141:K1141">IFERROR(INDEX(AC1141:AE1141,IF(COUNTA(AC1141:AE1141)=0,"",MAX((AC1141:AE1141&lt;&gt;"")*(COLUMN(AC1141:AE1141)-(COLUMN(AC1141)-1))))-1),"")</f>
        <v>45934</v>
      </c>
      <c r="L1141" s="17" t="str">
        <f aca="false" t="array" ref="L1141:L1141">IFERROR(INDEX(AC1141:AE1141,IF(COUNTA(AC1141:AE1141)=0,"",MAX((AC1141:AE1141&lt;&gt;"")*(COLUMN(AC1141:AE1141)-(COLUMN(AC1141)-2))))-1),"")</f>
        <v>ARCHIVED</v>
      </c>
      <c r="M1141" s="13" t="n">
        <f aca="true">K1141-TODAY()</f>
        <v>-390</v>
      </c>
      <c r="N1141" s="18" t="s">
        <v>36</v>
      </c>
      <c r="O1141" s="13" t="s">
        <v>812</v>
      </c>
      <c r="P1141" s="19" t="n">
        <v>3250000</v>
      </c>
      <c r="Q1141" s="20" t="s">
        <v>5027</v>
      </c>
      <c r="R1141" s="13" t="s">
        <v>52</v>
      </c>
      <c r="S1141" s="14" t="n">
        <v>34271</v>
      </c>
      <c r="T1141" s="13" t="s">
        <v>40</v>
      </c>
      <c r="U1141" s="13" t="s">
        <v>5028</v>
      </c>
      <c r="V1141" s="13" t="s">
        <v>42</v>
      </c>
      <c r="W1141" s="13" t="s">
        <v>54</v>
      </c>
      <c r="X1141" s="21" t="n">
        <v>85748663402</v>
      </c>
      <c r="Y1141" s="22" t="str">
        <f aca="false">O1141</f>
        <v>Heating</v>
      </c>
      <c r="Z1141" s="13" t="str">
        <f aca="false">IFERROR(__xludf.dummyfunction("if(BJ1141="""","""",GOOGLETRANSLATE(BJ1141,""auto"",""en""))"),"Heating")</f>
        <v>Heating</v>
      </c>
      <c r="AA1141" s="23" t="str">
        <f aca="false">IF(C1141="","", CHOOSE(MONTH(C1141),"January","February","March","April","May","June","July","August","September","October","November","December")&amp;" "&amp;DAY(C1141)&amp;MID("thstndrdth",MIN(9,2*RIGHT(DAY(C1141))*(MOD(DAY(C1141)-11,100)&gt;2)+1),2)&amp;","&amp;TEXT(C1141," yyyy"))</f>
        <v>August 1st,2023</v>
      </c>
      <c r="AB1141" s="15" t="str">
        <f aca="true">IF(S1141="","",DATEDIF(S1141,TODAY(),"Y")&amp;" Tahun, "&amp;DATEDIF(S1141,TODAY(),"YM")&amp;" Bulan, "&amp;DATEDIF(S1141,TODAY(),"MD")&amp;" Hari")</f>
        <v>33 Tahun, 0 Bulan, 0 Hari</v>
      </c>
      <c r="AC1141" s="18" t="n">
        <v>45570</v>
      </c>
      <c r="AD1141" s="18" t="n">
        <v>45934</v>
      </c>
      <c r="AE1141" s="18" t="s">
        <v>44</v>
      </c>
    </row>
    <row r="1142" customFormat="false" ht="15.75" hidden="false" customHeight="true" outlineLevel="0" collapsed="false">
      <c r="A1142" s="12" t="n">
        <v>12519</v>
      </c>
      <c r="B1142" s="13" t="s">
        <v>5029</v>
      </c>
      <c r="C1142" s="14" t="n">
        <v>45139</v>
      </c>
      <c r="D1142" s="13" t="s">
        <v>5030</v>
      </c>
      <c r="E1142" s="15" t="s">
        <v>47</v>
      </c>
      <c r="F1142" s="15" t="str">
        <f aca="false">IFERROR(__xludf.dummyfunction("XLOOKUP(AJ1142,IMPORTRANGE(""1XaInW9DU9nz21V0tYIfzFQ0He9kVQ_JF2mCXgZ3hqFA"",""REKAP ALL 2026 - Andika!G:G""),IMPORTRANGE(""1XaInW9DU9nz21V0tYIfzFQ0He9kVQ_JF2mCXgZ3hqFA"",""REKAP ALL 2026 - Andika!F:F""),"""",0)"),"23121249355")</f>
        <v>23121249355</v>
      </c>
      <c r="G1142" s="13" t="s">
        <v>5031</v>
      </c>
      <c r="H1142" s="13" t="s">
        <v>35</v>
      </c>
      <c r="I1142" s="13" t="str">
        <f aca="false">IF(C1142=J1142,"NEW KONTRAK","RE-KONTRAK")</f>
        <v>RE-KONTRAK</v>
      </c>
      <c r="J1142" s="16" t="n">
        <f aca="false" t="array" ref="J1142:J1142">IFERROR(INDEX(AC1142:AE1142,IF(COUNTA(AC1142:AE1142)=0,"",MAX((AC1142:AE1142&lt;&gt;"")*(COLUMN(AC1142:AE1142)-(COLUMN(AC1142)))))-1),"")</f>
        <v>45870</v>
      </c>
      <c r="K1142" s="16" t="n">
        <f aca="false" t="array" ref="K1142:K1142">IFERROR(INDEX(AC1142:AE1142,IF(COUNTA(AC1142:AE1142)=0,"",MAX((AC1142:AE1142&lt;&gt;"")*(COLUMN(AC1142:AE1142)-(COLUMN(AC1142)-1))))-1),"")</f>
        <v>46234</v>
      </c>
      <c r="L1142" s="17" t="str">
        <f aca="false" t="array" ref="L1142:L1142">IFERROR(INDEX(AC1142:AE1142,IF(COUNTA(AC1142:AE1142)=0,"",MAX((AC1142:AE1142&lt;&gt;"")*(COLUMN(AC1142:AE1142)-(COLUMN(AC1142)-2))))-1),"")</f>
        <v>ARCHIVED</v>
      </c>
      <c r="M1142" s="13" t="n">
        <f aca="true">K1142-TODAY()</f>
        <v>-90</v>
      </c>
      <c r="N1142" s="18" t="s">
        <v>728</v>
      </c>
      <c r="O1142" s="13" t="s">
        <v>5032</v>
      </c>
      <c r="P1142" s="27" t="n">
        <v>5195401</v>
      </c>
      <c r="Q1142" s="20" t="s">
        <v>5033</v>
      </c>
      <c r="R1142" s="13" t="s">
        <v>52</v>
      </c>
      <c r="S1142" s="14" t="n">
        <v>24326</v>
      </c>
      <c r="T1142" s="13" t="s">
        <v>40</v>
      </c>
      <c r="U1142" s="13" t="s">
        <v>5034</v>
      </c>
      <c r="V1142" s="13" t="s">
        <v>42</v>
      </c>
      <c r="W1142" s="13" t="s">
        <v>54</v>
      </c>
      <c r="X1142" s="21" t="n">
        <v>82338554649</v>
      </c>
      <c r="Y1142" s="22" t="str">
        <f aca="false">O1142</f>
        <v>Operator Genset</v>
      </c>
      <c r="Z1142" s="13" t="str">
        <f aca="false">IFERROR(__xludf.dummyfunction("if(BJ1142="""","""",GOOGLETRANSLATE(BJ1142,""auto"",""en""))"),"Generator Operator")</f>
        <v>Generator Operator</v>
      </c>
      <c r="AA1142" s="23" t="str">
        <f aca="false">IF(C1142="","", CHOOSE(MONTH(C1142),"January","February","March","April","May","June","July","August","September","October","November","December")&amp;" "&amp;DAY(C1142)&amp;MID("thstndrdth",MIN(9,2*RIGHT(DAY(C1142))*(MOD(DAY(C1142)-11,100)&gt;2)+1),2)&amp;","&amp;TEXT(C1142," yyyy"))</f>
        <v>August 1st,2023</v>
      </c>
      <c r="AB1142" s="15" t="str">
        <f aca="true">IF(S1142="","",DATEDIF(S1142,TODAY(),"Y")&amp;" Tahun, "&amp;DATEDIF(S1142,TODAY(),"YM")&amp;" Bulan, "&amp;DATEDIF(S1142,TODAY(),"MD")&amp;" Hari")</f>
        <v>60 Tahun, 2 Bulan, 22 Hari</v>
      </c>
      <c r="AC1142" s="18" t="n">
        <v>45870</v>
      </c>
      <c r="AD1142" s="18" t="n">
        <v>46234</v>
      </c>
      <c r="AE1142" s="18" t="s">
        <v>44</v>
      </c>
    </row>
    <row r="1143" customFormat="false" ht="15.75" hidden="false" customHeight="true" outlineLevel="0" collapsed="false">
      <c r="A1143" s="12" t="n">
        <v>12523</v>
      </c>
      <c r="B1143" s="13" t="s">
        <v>5035</v>
      </c>
      <c r="C1143" s="14" t="n">
        <v>45139</v>
      </c>
      <c r="D1143" s="13" t="s">
        <v>5030</v>
      </c>
      <c r="E1143" s="15" t="s">
        <v>47</v>
      </c>
      <c r="F1143" s="15" t="str">
        <f aca="false">IFERROR(__xludf.dummyfunction("XLOOKUP(AJ1143,IMPORTRANGE(""1XaInW9DU9nz21V0tYIfzFQ0He9kVQ_JF2mCXgZ3hqFA"",""REKAP ALL 2026 - Andika!G:G""),IMPORTRANGE(""1XaInW9DU9nz21V0tYIfzFQ0He9kVQ_JF2mCXgZ3hqFA"",""REKAP ALL 2026 - Andika!F:F""),"""",0)"),"23121249488")</f>
        <v>23121249488</v>
      </c>
      <c r="G1143" s="13" t="s">
        <v>5036</v>
      </c>
      <c r="H1143" s="13" t="s">
        <v>35</v>
      </c>
      <c r="I1143" s="13" t="str">
        <f aca="false">IF(C1143=J1143,"NEW KONTRAK","RE-KONTRAK")</f>
        <v>RE-KONTRAK</v>
      </c>
      <c r="J1143" s="16" t="n">
        <f aca="false" t="array" ref="J1143:J1143">IFERROR(INDEX(AC1143:AE1143,IF(COUNTA(AC1143:AE1143)=0,"",MAX((AC1143:AE1143&lt;&gt;"")*(COLUMN(AC1143:AE1143)-(COLUMN(AC1143)))))-1),"")</f>
        <v>45870</v>
      </c>
      <c r="K1143" s="16" t="n">
        <f aca="false" t="array" ref="K1143:K1143">IFERROR(INDEX(AC1143:AE1143,IF(COUNTA(AC1143:AE1143)=0,"",MAX((AC1143:AE1143&lt;&gt;"")*(COLUMN(AC1143:AE1143)-(COLUMN(AC1143)-1))))-1),"")</f>
        <v>46234</v>
      </c>
      <c r="L1143" s="17" t="str">
        <f aca="false" t="array" ref="L1143:L1143">IFERROR(INDEX(AC1143:AE1143,IF(COUNTA(AC1143:AE1143)=0,"",MAX((AC1143:AE1143&lt;&gt;"")*(COLUMN(AC1143:AE1143)-(COLUMN(AC1143)-2))))-1),"")</f>
        <v>ARCHIVED</v>
      </c>
      <c r="M1143" s="13" t="n">
        <f aca="true">K1143-TODAY()</f>
        <v>-90</v>
      </c>
      <c r="N1143" s="18" t="s">
        <v>728</v>
      </c>
      <c r="O1143" s="13" t="s">
        <v>5032</v>
      </c>
      <c r="P1143" s="27" t="n">
        <v>5195401</v>
      </c>
      <c r="Q1143" s="20" t="s">
        <v>5037</v>
      </c>
      <c r="R1143" s="13" t="s">
        <v>5038</v>
      </c>
      <c r="S1143" s="14" t="n">
        <v>26385</v>
      </c>
      <c r="T1143" s="13" t="s">
        <v>40</v>
      </c>
      <c r="U1143" s="13" t="s">
        <v>5039</v>
      </c>
      <c r="V1143" s="13" t="s">
        <v>42</v>
      </c>
      <c r="W1143" s="13" t="s">
        <v>43</v>
      </c>
      <c r="X1143" s="21" t="n">
        <v>82139015065</v>
      </c>
      <c r="Y1143" s="22" t="str">
        <f aca="false">O1143</f>
        <v>Operator Genset</v>
      </c>
      <c r="Z1143" s="13" t="str">
        <f aca="false">IFERROR(__xludf.dummyfunction("if(BJ1143="""","""",GOOGLETRANSLATE(BJ1143,""auto"",""en""))"),"Generator Operator")</f>
        <v>Generator Operator</v>
      </c>
      <c r="AA1143" s="23" t="str">
        <f aca="false">IF(C1143="","", CHOOSE(MONTH(C1143),"January","February","March","April","May","June","July","August","September","October","November","December")&amp;" "&amp;DAY(C1143)&amp;MID("thstndrdth",MIN(9,2*RIGHT(DAY(C1143))*(MOD(DAY(C1143)-11,100)&gt;2)+1),2)&amp;","&amp;TEXT(C1143," yyyy"))</f>
        <v>August 1st,2023</v>
      </c>
      <c r="AB1143" s="15" t="str">
        <f aca="true">IF(S1143="","",DATEDIF(S1143,TODAY(),"Y")&amp;" Tahun, "&amp;DATEDIF(S1143,TODAY(),"YM")&amp;" Bulan, "&amp;DATEDIF(S1143,TODAY(),"MD")&amp;" Hari")</f>
        <v>54 Tahun, 7 Bulan, 2 Hari</v>
      </c>
      <c r="AC1143" s="18" t="n">
        <v>45870</v>
      </c>
      <c r="AD1143" s="18" t="n">
        <v>46234</v>
      </c>
      <c r="AE1143" s="18" t="s">
        <v>44</v>
      </c>
    </row>
    <row r="1144" customFormat="false" ht="15.75" hidden="false" customHeight="true" outlineLevel="0" collapsed="false">
      <c r="A1144" s="12" t="n">
        <v>12524</v>
      </c>
      <c r="B1144" s="13" t="s">
        <v>5040</v>
      </c>
      <c r="C1144" s="14" t="n">
        <v>45139</v>
      </c>
      <c r="D1144" s="13" t="s">
        <v>5030</v>
      </c>
      <c r="E1144" s="15" t="s">
        <v>47</v>
      </c>
      <c r="F1144" s="15" t="str">
        <f aca="false">IFERROR(__xludf.dummyfunction("XLOOKUP(AJ1144,IMPORTRANGE(""1XaInW9DU9nz21V0tYIfzFQ0He9kVQ_JF2mCXgZ3hqFA"",""REKAP ALL 2026 - Andika!G:G""),IMPORTRANGE(""1XaInW9DU9nz21V0tYIfzFQ0He9kVQ_JF2mCXgZ3hqFA"",""REKAP ALL 2026 - Andika!F:F""),"""",0)"),"23121249009")</f>
        <v>23121249009</v>
      </c>
      <c r="G1144" s="13" t="s">
        <v>5041</v>
      </c>
      <c r="H1144" s="13" t="s">
        <v>35</v>
      </c>
      <c r="I1144" s="13" t="str">
        <f aca="false">IF(C1144=J1144,"NEW KONTRAK","RE-KONTRAK")</f>
        <v>RE-KONTRAK</v>
      </c>
      <c r="J1144" s="16" t="n">
        <f aca="false" t="array" ref="J1144:J1144">IFERROR(INDEX(AC1144:AE1144,IF(COUNTA(AC1144:AE1144)=0,"",MAX((AC1144:AE1144&lt;&gt;"")*(COLUMN(AC1144:AE1144)-(COLUMN(AC1144)))))-1),"")</f>
        <v>45870</v>
      </c>
      <c r="K1144" s="16" t="n">
        <f aca="false" t="array" ref="K1144:K1144">IFERROR(INDEX(AC1144:AE1144,IF(COUNTA(AC1144:AE1144)=0,"",MAX((AC1144:AE1144&lt;&gt;"")*(COLUMN(AC1144:AE1144)-(COLUMN(AC1144)-1))))-1),"")</f>
        <v>46234</v>
      </c>
      <c r="L1144" s="17" t="str">
        <f aca="false" t="array" ref="L1144:L1144">IFERROR(INDEX(AC1144:AE1144,IF(COUNTA(AC1144:AE1144)=0,"",MAX((AC1144:AE1144&lt;&gt;"")*(COLUMN(AC1144:AE1144)-(COLUMN(AC1144)-2))))-1),"")</f>
        <v>ARCHIVED</v>
      </c>
      <c r="M1144" s="13" t="n">
        <f aca="true">K1144-TODAY()</f>
        <v>-90</v>
      </c>
      <c r="N1144" s="18" t="s">
        <v>728</v>
      </c>
      <c r="O1144" s="13" t="s">
        <v>5032</v>
      </c>
      <c r="P1144" s="27" t="n">
        <v>5195401</v>
      </c>
      <c r="Q1144" s="20" t="s">
        <v>5042</v>
      </c>
      <c r="R1144" s="13" t="s">
        <v>52</v>
      </c>
      <c r="S1144" s="14" t="n">
        <v>31661</v>
      </c>
      <c r="T1144" s="13" t="s">
        <v>40</v>
      </c>
      <c r="U1144" s="13" t="s">
        <v>5043</v>
      </c>
      <c r="V1144" s="13" t="s">
        <v>42</v>
      </c>
      <c r="W1144" s="13" t="s">
        <v>43</v>
      </c>
      <c r="X1144" s="21" t="n">
        <v>81333036131</v>
      </c>
      <c r="Y1144" s="22" t="str">
        <f aca="false">O1144</f>
        <v>Operator Genset</v>
      </c>
      <c r="Z1144" s="13" t="str">
        <f aca="false">IFERROR(__xludf.dummyfunction("if(BJ1144="""","""",GOOGLETRANSLATE(BJ1144,""auto"",""en""))"),"Generator Operator")</f>
        <v>Generator Operator</v>
      </c>
      <c r="AA1144" s="23" t="str">
        <f aca="false">IF(C1144="","", CHOOSE(MONTH(C1144),"January","February","March","April","May","June","July","August","September","October","November","December")&amp;" "&amp;DAY(C1144)&amp;MID("thstndrdth",MIN(9,2*RIGHT(DAY(C1144))*(MOD(DAY(C1144)-11,100)&gt;2)+1),2)&amp;","&amp;TEXT(C1144," yyyy"))</f>
        <v>August 1st,2023</v>
      </c>
      <c r="AB1144" s="15" t="str">
        <f aca="true">IF(S1144="","",DATEDIF(S1144,TODAY(),"Y")&amp;" Tahun, "&amp;DATEDIF(S1144,TODAY(),"YM")&amp;" Bulan, "&amp;DATEDIF(S1144,TODAY(),"MD")&amp;" Hari")</f>
        <v>40 Tahun, 1 Bulan, 23 Hari</v>
      </c>
      <c r="AC1144" s="18" t="n">
        <v>45870</v>
      </c>
      <c r="AD1144" s="18" t="n">
        <v>46234</v>
      </c>
      <c r="AE1144" s="18" t="s">
        <v>44</v>
      </c>
    </row>
    <row r="1145" customFormat="false" ht="15.75" hidden="false" customHeight="true" outlineLevel="0" collapsed="false">
      <c r="A1145" s="12" t="n">
        <v>12525</v>
      </c>
      <c r="B1145" s="13" t="s">
        <v>5044</v>
      </c>
      <c r="C1145" s="14" t="n">
        <v>45139</v>
      </c>
      <c r="D1145" s="13" t="s">
        <v>5030</v>
      </c>
      <c r="E1145" s="15" t="s">
        <v>47</v>
      </c>
      <c r="F1145" s="15" t="str">
        <f aca="false">IFERROR(__xludf.dummyfunction("XLOOKUP(AJ1145,IMPORTRANGE(""1XaInW9DU9nz21V0tYIfzFQ0He9kVQ_JF2mCXgZ3hqFA"",""REKAP ALL 2026 - Andika!G:G""),IMPORTRANGE(""1XaInW9DU9nz21V0tYIfzFQ0He9kVQ_JF2mCXgZ3hqFA"",""REKAP ALL 2026 - Andika!F:F""),"""",0)"),"23121249397")</f>
        <v>23121249397</v>
      </c>
      <c r="G1145" s="13" t="s">
        <v>5045</v>
      </c>
      <c r="H1145" s="13" t="s">
        <v>35</v>
      </c>
      <c r="I1145" s="13" t="str">
        <f aca="false">IF(C1145=J1145,"NEW KONTRAK","RE-KONTRAK")</f>
        <v>RE-KONTRAK</v>
      </c>
      <c r="J1145" s="16" t="n">
        <f aca="false" t="array" ref="J1145:J1145">IFERROR(INDEX(AC1145:AE1145,IF(COUNTA(AC1145:AE1145)=0,"",MAX((AC1145:AE1145&lt;&gt;"")*(COLUMN(AC1145:AE1145)-(COLUMN(AC1145)))))-1),"")</f>
        <v>45870</v>
      </c>
      <c r="K1145" s="16" t="n">
        <f aca="false" t="array" ref="K1145:K1145">IFERROR(INDEX(AC1145:AE1145,IF(COUNTA(AC1145:AE1145)=0,"",MAX((AC1145:AE1145&lt;&gt;"")*(COLUMN(AC1145:AE1145)-(COLUMN(AC1145)-1))))-1),"")</f>
        <v>46234</v>
      </c>
      <c r="L1145" s="17" t="str">
        <f aca="false" t="array" ref="L1145:L1145">IFERROR(INDEX(AC1145:AE1145,IF(COUNTA(AC1145:AE1145)=0,"",MAX((AC1145:AE1145&lt;&gt;"")*(COLUMN(AC1145:AE1145)-(COLUMN(AC1145)-2))))-1),"")</f>
        <v>ARCHIVED</v>
      </c>
      <c r="M1145" s="13" t="n">
        <f aca="true">K1145-TODAY()</f>
        <v>-90</v>
      </c>
      <c r="N1145" s="18" t="s">
        <v>728</v>
      </c>
      <c r="O1145" s="13" t="s">
        <v>5032</v>
      </c>
      <c r="P1145" s="27" t="n">
        <v>5195401</v>
      </c>
      <c r="Q1145" s="20" t="s">
        <v>5046</v>
      </c>
      <c r="R1145" s="13" t="s">
        <v>52</v>
      </c>
      <c r="S1145" s="14" t="n">
        <v>32254</v>
      </c>
      <c r="T1145" s="13" t="s">
        <v>40</v>
      </c>
      <c r="U1145" s="13" t="s">
        <v>5047</v>
      </c>
      <c r="V1145" s="13" t="s">
        <v>42</v>
      </c>
      <c r="W1145" s="13" t="s">
        <v>43</v>
      </c>
      <c r="X1145" s="21" t="n">
        <v>81717399416</v>
      </c>
      <c r="Y1145" s="22" t="str">
        <f aca="false">O1145</f>
        <v>Operator Genset</v>
      </c>
      <c r="Z1145" s="13" t="str">
        <f aca="false">IFERROR(__xludf.dummyfunction("if(BJ1145="""","""",GOOGLETRANSLATE(BJ1145,""auto"",""en""))"),"Generator Operator")</f>
        <v>Generator Operator</v>
      </c>
      <c r="AA1145" s="23" t="str">
        <f aca="false">IF(C1145="","", CHOOSE(MONTH(C1145),"January","February","March","April","May","June","July","August","September","October","November","December")&amp;" "&amp;DAY(C1145)&amp;MID("thstndrdth",MIN(9,2*RIGHT(DAY(C1145))*(MOD(DAY(C1145)-11,100)&gt;2)+1),2)&amp;","&amp;TEXT(C1145," yyyy"))</f>
        <v>August 1st,2023</v>
      </c>
      <c r="AB1145" s="15" t="str">
        <f aca="true">IF(S1145="","",DATEDIF(S1145,TODAY(),"Y")&amp;" Tahun, "&amp;DATEDIF(S1145,TODAY(),"YM")&amp;" Bulan, "&amp;DATEDIF(S1145,TODAY(),"MD")&amp;" Hari")</f>
        <v>38 Tahun, 6 Bulan, 8 Hari</v>
      </c>
      <c r="AC1145" s="18" t="n">
        <v>45870</v>
      </c>
      <c r="AD1145" s="18" t="n">
        <v>46234</v>
      </c>
      <c r="AE1145" s="18" t="s">
        <v>44</v>
      </c>
    </row>
    <row r="1146" customFormat="false" ht="15.75" hidden="false" customHeight="true" outlineLevel="0" collapsed="false">
      <c r="A1146" s="12" t="n">
        <v>12526</v>
      </c>
      <c r="B1146" s="13" t="s">
        <v>5048</v>
      </c>
      <c r="C1146" s="14" t="n">
        <v>45139</v>
      </c>
      <c r="D1146" s="13" t="s">
        <v>5030</v>
      </c>
      <c r="E1146" s="15" t="s">
        <v>47</v>
      </c>
      <c r="F1146" s="15" t="str">
        <f aca="false">IFERROR(__xludf.dummyfunction("XLOOKUP(AJ1146,IMPORTRANGE(""1XaInW9DU9nz21V0tYIfzFQ0He9kVQ_JF2mCXgZ3hqFA"",""REKAP ALL 2026 - Andika!G:G""),IMPORTRANGE(""1XaInW9DU9nz21V0tYIfzFQ0He9kVQ_JF2mCXgZ3hqFA"",""REKAP ALL 2026 - Andika!F:F""),"""",0)"),"23121249165")</f>
        <v>23121249165</v>
      </c>
      <c r="G1146" s="13" t="s">
        <v>5049</v>
      </c>
      <c r="H1146" s="13" t="s">
        <v>35</v>
      </c>
      <c r="I1146" s="13" t="str">
        <f aca="false">IF(C1146=J1146,"NEW KONTRAK","RE-KONTRAK")</f>
        <v>RE-KONTRAK</v>
      </c>
      <c r="J1146" s="16" t="n">
        <f aca="false" t="array" ref="J1146:J1146">IFERROR(INDEX(AC1146:AE1146,IF(COUNTA(AC1146:AE1146)=0,"",MAX((AC1146:AE1146&lt;&gt;"")*(COLUMN(AC1146:AE1146)-(COLUMN(AC1146)))))-1),"")</f>
        <v>45870</v>
      </c>
      <c r="K1146" s="16" t="n">
        <f aca="false" t="array" ref="K1146:K1146">IFERROR(INDEX(AC1146:AE1146,IF(COUNTA(AC1146:AE1146)=0,"",MAX((AC1146:AE1146&lt;&gt;"")*(COLUMN(AC1146:AE1146)-(COLUMN(AC1146)-1))))-1),"")</f>
        <v>46234</v>
      </c>
      <c r="L1146" s="17" t="str">
        <f aca="false" t="array" ref="L1146:L1146">IFERROR(INDEX(AC1146:AE1146,IF(COUNTA(AC1146:AE1146)=0,"",MAX((AC1146:AE1146&lt;&gt;"")*(COLUMN(AC1146:AE1146)-(COLUMN(AC1146)-2))))-1),"")</f>
        <v>ARCHIVED</v>
      </c>
      <c r="M1146" s="13" t="n">
        <f aca="true">K1146-TODAY()</f>
        <v>-90</v>
      </c>
      <c r="N1146" s="18" t="s">
        <v>728</v>
      </c>
      <c r="O1146" s="13" t="s">
        <v>5032</v>
      </c>
      <c r="P1146" s="27" t="n">
        <v>5195401</v>
      </c>
      <c r="Q1146" s="20" t="s">
        <v>5050</v>
      </c>
      <c r="R1146" s="13" t="s">
        <v>255</v>
      </c>
      <c r="S1146" s="14" t="n">
        <v>34846</v>
      </c>
      <c r="T1146" s="13" t="s">
        <v>40</v>
      </c>
      <c r="U1146" s="13" t="s">
        <v>5051</v>
      </c>
      <c r="V1146" s="13" t="s">
        <v>42</v>
      </c>
      <c r="W1146" s="13" t="s">
        <v>54</v>
      </c>
      <c r="X1146" s="21" t="n">
        <v>81232422464</v>
      </c>
      <c r="Y1146" s="22" t="str">
        <f aca="false">O1146</f>
        <v>Operator Genset</v>
      </c>
      <c r="Z1146" s="13" t="str">
        <f aca="false">IFERROR(__xludf.dummyfunction("if(BJ1146="""","""",GOOGLETRANSLATE(BJ1146,""auto"",""en""))"),"Generator Operator")</f>
        <v>Generator Operator</v>
      </c>
      <c r="AA1146" s="23" t="str">
        <f aca="false">IF(C1146="","", CHOOSE(MONTH(C1146),"January","February","March","April","May","June","July","August","September","October","November","December")&amp;" "&amp;DAY(C1146)&amp;MID("thstndrdth",MIN(9,2*RIGHT(DAY(C1146))*(MOD(DAY(C1146)-11,100)&gt;2)+1),2)&amp;","&amp;TEXT(C1146," yyyy"))</f>
        <v>August 1st,2023</v>
      </c>
      <c r="AB1146" s="15" t="str">
        <f aca="true">IF(S1146="","",DATEDIF(S1146,TODAY(),"Y")&amp;" Tahun, "&amp;DATEDIF(S1146,TODAY(),"YM")&amp;" Bulan, "&amp;DATEDIF(S1146,TODAY(),"MD")&amp;" Hari")</f>
        <v>31 Tahun, 5 Bulan, 2 Hari</v>
      </c>
      <c r="AC1146" s="18" t="n">
        <v>45870</v>
      </c>
      <c r="AD1146" s="18" t="n">
        <v>46234</v>
      </c>
      <c r="AE1146" s="18" t="s">
        <v>44</v>
      </c>
    </row>
    <row r="1147" customFormat="false" ht="15.75" hidden="false" customHeight="true" outlineLevel="0" collapsed="false">
      <c r="A1147" s="12" t="n">
        <v>12528</v>
      </c>
      <c r="B1147" s="13" t="s">
        <v>5052</v>
      </c>
      <c r="C1147" s="14" t="n">
        <v>45139</v>
      </c>
      <c r="D1147" s="13" t="s">
        <v>5030</v>
      </c>
      <c r="E1147" s="15" t="s">
        <v>47</v>
      </c>
      <c r="F1147" s="15" t="str">
        <f aca="false">IFERROR(__xludf.dummyfunction("XLOOKUP(AJ1147,IMPORTRANGE(""1XaInW9DU9nz21V0tYIfzFQ0He9kVQ_JF2mCXgZ3hqFA"",""REKAP ALL 2026 - Andika!G:G""),IMPORTRANGE(""1XaInW9DU9nz21V0tYIfzFQ0He9kVQ_JF2mCXgZ3hqFA"",""REKAP ALL 2026 - Andika!F:F""),"""",0)"),"23121249264")</f>
        <v>23121249264</v>
      </c>
      <c r="G1147" s="13" t="s">
        <v>5053</v>
      </c>
      <c r="H1147" s="13" t="s">
        <v>35</v>
      </c>
      <c r="I1147" s="13" t="str">
        <f aca="false">IF(C1147=J1147,"NEW KONTRAK","RE-KONTRAK")</f>
        <v>RE-KONTRAK</v>
      </c>
      <c r="J1147" s="16" t="n">
        <f aca="false" t="array" ref="J1147:J1147">IFERROR(INDEX(AC1147:AE1147,IF(COUNTA(AC1147:AE1147)=0,"",MAX((AC1147:AE1147&lt;&gt;"")*(COLUMN(AC1147:AE1147)-(COLUMN(AC1147)))))-1),"")</f>
        <v>45870</v>
      </c>
      <c r="K1147" s="16" t="n">
        <f aca="false" t="array" ref="K1147:K1147">IFERROR(INDEX(AC1147:AE1147,IF(COUNTA(AC1147:AE1147)=0,"",MAX((AC1147:AE1147&lt;&gt;"")*(COLUMN(AC1147:AE1147)-(COLUMN(AC1147)-1))))-1),"")</f>
        <v>46234</v>
      </c>
      <c r="L1147" s="17" t="str">
        <f aca="false" t="array" ref="L1147:L1147">IFERROR(INDEX(AC1147:AE1147,IF(COUNTA(AC1147:AE1147)=0,"",MAX((AC1147:AE1147&lt;&gt;"")*(COLUMN(AC1147:AE1147)-(COLUMN(AC1147)-2))))-1),"")</f>
        <v>ARCHIVED</v>
      </c>
      <c r="M1147" s="13" t="n">
        <f aca="true">K1147-TODAY()</f>
        <v>-90</v>
      </c>
      <c r="N1147" s="18" t="s">
        <v>728</v>
      </c>
      <c r="O1147" s="13" t="s">
        <v>5032</v>
      </c>
      <c r="P1147" s="27" t="n">
        <v>5195401</v>
      </c>
      <c r="Q1147" s="20" t="s">
        <v>5054</v>
      </c>
      <c r="R1147" s="13" t="s">
        <v>5055</v>
      </c>
      <c r="S1147" s="14" t="n">
        <v>26632</v>
      </c>
      <c r="T1147" s="13" t="s">
        <v>40</v>
      </c>
      <c r="U1147" s="13" t="s">
        <v>5056</v>
      </c>
      <c r="V1147" s="13" t="s">
        <v>42</v>
      </c>
      <c r="W1147" s="13" t="s">
        <v>54</v>
      </c>
      <c r="X1147" s="21" t="n">
        <v>81259642225</v>
      </c>
      <c r="Y1147" s="22" t="str">
        <f aca="false">O1147</f>
        <v>Operator Genset</v>
      </c>
      <c r="Z1147" s="13" t="str">
        <f aca="false">IFERROR(__xludf.dummyfunction("if(BJ1147="""","""",GOOGLETRANSLATE(BJ1147,""auto"",""en""))"),"Generator Operator")</f>
        <v>Generator Operator</v>
      </c>
      <c r="AA1147" s="23" t="str">
        <f aca="false">IF(C1147="","", CHOOSE(MONTH(C1147),"January","February","March","April","May","June","July","August","September","October","November","December")&amp;" "&amp;DAY(C1147)&amp;MID("thstndrdth",MIN(9,2*RIGHT(DAY(C1147))*(MOD(DAY(C1147)-11,100)&gt;2)+1),2)&amp;","&amp;TEXT(C1147," yyyy"))</f>
        <v>August 1st,2023</v>
      </c>
      <c r="AB1147" s="15" t="str">
        <f aca="true">IF(S1147="","",DATEDIF(S1147,TODAY(),"Y")&amp;" Tahun, "&amp;DATEDIF(S1147,TODAY(),"YM")&amp;" Bulan, "&amp;DATEDIF(S1147,TODAY(),"MD")&amp;" Hari")</f>
        <v>53 Tahun, 11 Bulan, 0 Hari</v>
      </c>
      <c r="AC1147" s="18" t="n">
        <v>45870</v>
      </c>
      <c r="AD1147" s="18" t="n">
        <v>46234</v>
      </c>
      <c r="AE1147" s="18" t="s">
        <v>44</v>
      </c>
    </row>
    <row r="1148" customFormat="false" ht="15.75" hidden="false" customHeight="true" outlineLevel="0" collapsed="false">
      <c r="A1148" s="12" t="n">
        <v>12529</v>
      </c>
      <c r="B1148" s="13" t="s">
        <v>5057</v>
      </c>
      <c r="C1148" s="14" t="n">
        <v>45139</v>
      </c>
      <c r="D1148" s="13" t="s">
        <v>5030</v>
      </c>
      <c r="E1148" s="15" t="s">
        <v>47</v>
      </c>
      <c r="F1148" s="15" t="str">
        <f aca="false">IFERROR(__xludf.dummyfunction("XLOOKUP(AJ1148,IMPORTRANGE(""1XaInW9DU9nz21V0tYIfzFQ0He9kVQ_JF2mCXgZ3hqFA"",""REKAP ALL 2026 - Andika!G:G""),IMPORTRANGE(""1XaInW9DU9nz21V0tYIfzFQ0He9kVQ_JF2mCXgZ3hqFA"",""REKAP ALL 2026 - Andika!F:F""),"""",0)"),"23121249157")</f>
        <v>23121249157</v>
      </c>
      <c r="G1148" s="13" t="s">
        <v>5058</v>
      </c>
      <c r="H1148" s="13" t="s">
        <v>35</v>
      </c>
      <c r="I1148" s="13" t="str">
        <f aca="false">IF(C1148=J1148,"NEW KONTRAK","RE-KONTRAK")</f>
        <v>RE-KONTRAK</v>
      </c>
      <c r="J1148" s="16" t="n">
        <f aca="false" t="array" ref="J1148:J1148">IFERROR(INDEX(AC1148:AE1148,IF(COUNTA(AC1148:AE1148)=0,"",MAX((AC1148:AE1148&lt;&gt;"")*(COLUMN(AC1148:AE1148)-(COLUMN(AC1148)))))-1),"")</f>
        <v>45870</v>
      </c>
      <c r="K1148" s="16" t="n">
        <f aca="false" t="array" ref="K1148:K1148">IFERROR(INDEX(AC1148:AE1148,IF(COUNTA(AC1148:AE1148)=0,"",MAX((AC1148:AE1148&lt;&gt;"")*(COLUMN(AC1148:AE1148)-(COLUMN(AC1148)-1))))-1),"")</f>
        <v>46234</v>
      </c>
      <c r="L1148" s="17" t="str">
        <f aca="false" t="array" ref="L1148:L1148">IFERROR(INDEX(AC1148:AE1148,IF(COUNTA(AC1148:AE1148)=0,"",MAX((AC1148:AE1148&lt;&gt;"")*(COLUMN(AC1148:AE1148)-(COLUMN(AC1148)-2))))-1),"")</f>
        <v>ARCHIVED</v>
      </c>
      <c r="M1148" s="13" t="n">
        <f aca="true">K1148-TODAY()</f>
        <v>-90</v>
      </c>
      <c r="N1148" s="18" t="s">
        <v>728</v>
      </c>
      <c r="O1148" s="13" t="s">
        <v>5032</v>
      </c>
      <c r="P1148" s="27" t="n">
        <v>5195401</v>
      </c>
      <c r="Q1148" s="20" t="s">
        <v>5059</v>
      </c>
      <c r="R1148" s="13" t="s">
        <v>73</v>
      </c>
      <c r="S1148" s="14" t="n">
        <v>34292</v>
      </c>
      <c r="T1148" s="13" t="s">
        <v>40</v>
      </c>
      <c r="U1148" s="13" t="s">
        <v>5060</v>
      </c>
      <c r="V1148" s="13" t="s">
        <v>42</v>
      </c>
      <c r="W1148" s="13" t="s">
        <v>54</v>
      </c>
      <c r="X1148" s="21" t="n">
        <v>81555671847</v>
      </c>
      <c r="Y1148" s="22" t="str">
        <f aca="false">O1148</f>
        <v>Operator Genset</v>
      </c>
      <c r="Z1148" s="13" t="str">
        <f aca="false">IFERROR(__xludf.dummyfunction("if(BJ1148="""","""",GOOGLETRANSLATE(BJ1148,""auto"",""en""))"),"Generator Operator")</f>
        <v>Generator Operator</v>
      </c>
      <c r="AA1148" s="23" t="str">
        <f aca="false">IF(C1148="","", CHOOSE(MONTH(C1148),"January","February","March","April","May","June","July","August","September","October","November","December")&amp;" "&amp;DAY(C1148)&amp;MID("thstndrdth",MIN(9,2*RIGHT(DAY(C1148))*(MOD(DAY(C1148)-11,100)&gt;2)+1),2)&amp;","&amp;TEXT(C1148," yyyy"))</f>
        <v>August 1st,2023</v>
      </c>
      <c r="AB1148" s="15" t="str">
        <f aca="true">IF(S1148="","",DATEDIF(S1148,TODAY(),"Y")&amp;" Tahun, "&amp;DATEDIF(S1148,TODAY(),"YM")&amp;" Bulan, "&amp;DATEDIF(S1148,TODAY(),"MD")&amp;" Hari")</f>
        <v>32 Tahun, 11 Bulan, 10 Hari</v>
      </c>
      <c r="AC1148" s="18" t="n">
        <v>45870</v>
      </c>
      <c r="AD1148" s="18" t="n">
        <v>46234</v>
      </c>
      <c r="AE1148" s="18" t="s">
        <v>44</v>
      </c>
    </row>
    <row r="1149" customFormat="false" ht="15.75" hidden="false" customHeight="true" outlineLevel="0" collapsed="false">
      <c r="A1149" s="12" t="n">
        <v>12530</v>
      </c>
      <c r="B1149" s="13" t="s">
        <v>661</v>
      </c>
      <c r="C1149" s="14" t="n">
        <v>45139</v>
      </c>
      <c r="D1149" s="13" t="s">
        <v>5030</v>
      </c>
      <c r="E1149" s="15" t="s">
        <v>33</v>
      </c>
      <c r="F1149" s="24" t="s">
        <v>5061</v>
      </c>
      <c r="G1149" s="13" t="s">
        <v>5062</v>
      </c>
      <c r="H1149" s="13" t="s">
        <v>35</v>
      </c>
      <c r="I1149" s="13" t="str">
        <f aca="false">IF(C1149=J1149,"NEW KONTRAK","RE-KONTRAK")</f>
        <v>RE-KONTRAK</v>
      </c>
      <c r="J1149" s="16" t="n">
        <f aca="false" t="array" ref="J1149:J1149">IFERROR(INDEX(AC1149:AE1149,IF(COUNTA(AC1149:AE1149)=0,"",MAX((AC1149:AE1149&lt;&gt;"")*(COLUMN(AC1149:AE1149)-(COLUMN(AC1149)))))-1),"")</f>
        <v>45870</v>
      </c>
      <c r="K1149" s="16" t="n">
        <f aca="false" t="array" ref="K1149:K1149">IFERROR(INDEX(AC1149:AE1149,IF(COUNTA(AC1149:AE1149)=0,"",MAX((AC1149:AE1149&lt;&gt;"")*(COLUMN(AC1149:AE1149)-(COLUMN(AC1149)-1))))-1),"")</f>
        <v>46234</v>
      </c>
      <c r="L1149" s="17" t="str">
        <f aca="false" t="array" ref="L1149:L1149">IFERROR(INDEX(AC1149:AE1149,IF(COUNTA(AC1149:AE1149)=0,"",MAX((AC1149:AE1149&lt;&gt;"")*(COLUMN(AC1149:AE1149)-(COLUMN(AC1149)-2))))-1),"")</f>
        <v>ARCHIVED</v>
      </c>
      <c r="M1149" s="13" t="n">
        <f aca="true">K1149-TODAY()</f>
        <v>-90</v>
      </c>
      <c r="N1149" s="18" t="s">
        <v>728</v>
      </c>
      <c r="O1149" s="13" t="s">
        <v>5032</v>
      </c>
      <c r="P1149" s="27" t="n">
        <v>5195401</v>
      </c>
      <c r="Q1149" s="20" t="s">
        <v>5063</v>
      </c>
      <c r="R1149" s="13" t="s">
        <v>1695</v>
      </c>
      <c r="S1149" s="14" t="n">
        <v>36163</v>
      </c>
      <c r="T1149" s="13" t="s">
        <v>40</v>
      </c>
      <c r="U1149" s="13" t="s">
        <v>5064</v>
      </c>
      <c r="V1149" s="13" t="s">
        <v>42</v>
      </c>
      <c r="W1149" s="13" t="s">
        <v>43</v>
      </c>
      <c r="X1149" s="21" t="n">
        <v>82139455068</v>
      </c>
      <c r="Y1149" s="22" t="str">
        <f aca="false">O1149</f>
        <v>Operator Genset</v>
      </c>
      <c r="Z1149" s="13" t="str">
        <f aca="false">IFERROR(__xludf.dummyfunction("if(BJ1149="""","""",GOOGLETRANSLATE(BJ1149,""auto"",""en""))"),"Generator Operator")</f>
        <v>Generator Operator</v>
      </c>
      <c r="AA1149" s="23" t="str">
        <f aca="false">IF(C1149="","", CHOOSE(MONTH(C1149),"January","February","March","April","May","June","July","August","September","October","November","December")&amp;" "&amp;DAY(C1149)&amp;MID("thstndrdth",MIN(9,2*RIGHT(DAY(C1149))*(MOD(DAY(C1149)-11,100)&gt;2)+1),2)&amp;","&amp;TEXT(C1149," yyyy"))</f>
        <v>August 1st,2023</v>
      </c>
      <c r="AB1149" s="15" t="str">
        <f aca="true">IF(S1149="","",DATEDIF(S1149,TODAY(),"Y")&amp;" Tahun, "&amp;DATEDIF(S1149,TODAY(),"YM")&amp;" Bulan, "&amp;DATEDIF(S1149,TODAY(),"MD")&amp;" Hari")</f>
        <v>27 Tahun, 9 Bulan, 26 Hari</v>
      </c>
      <c r="AC1149" s="18" t="n">
        <v>45870</v>
      </c>
      <c r="AD1149" s="18" t="n">
        <v>46234</v>
      </c>
      <c r="AE1149" s="18" t="s">
        <v>44</v>
      </c>
    </row>
    <row r="1150" customFormat="false" ht="15.75" hidden="false" customHeight="true" outlineLevel="0" collapsed="false">
      <c r="A1150" s="12" t="n">
        <v>12532</v>
      </c>
      <c r="B1150" s="13" t="s">
        <v>5065</v>
      </c>
      <c r="C1150" s="14" t="n">
        <v>45139</v>
      </c>
      <c r="D1150" s="13" t="s">
        <v>5030</v>
      </c>
      <c r="E1150" s="15" t="s">
        <v>33</v>
      </c>
      <c r="F1150" s="24" t="s">
        <v>5066</v>
      </c>
      <c r="G1150" s="13" t="s">
        <v>5067</v>
      </c>
      <c r="H1150" s="13" t="s">
        <v>35</v>
      </c>
      <c r="I1150" s="13" t="str">
        <f aca="false">IF(C1150=J1150,"NEW KONTRAK","RE-KONTRAK")</f>
        <v>RE-KONTRAK</v>
      </c>
      <c r="J1150" s="16" t="n">
        <f aca="false" t="array" ref="J1150:J1150">IFERROR(INDEX(AC1150:AE1150,IF(COUNTA(AC1150:AE1150)=0,"",MAX((AC1150:AE1150&lt;&gt;"")*(COLUMN(AC1150:AE1150)-(COLUMN(AC1150)))))-1),"")</f>
        <v>45870</v>
      </c>
      <c r="K1150" s="16" t="n">
        <f aca="false" t="array" ref="K1150:K1150">IFERROR(INDEX(AC1150:AE1150,IF(COUNTA(AC1150:AE1150)=0,"",MAX((AC1150:AE1150&lt;&gt;"")*(COLUMN(AC1150:AE1150)-(COLUMN(AC1150)-1))))-1),"")</f>
        <v>46234</v>
      </c>
      <c r="L1150" s="17" t="str">
        <f aca="false" t="array" ref="L1150:L1150">IFERROR(INDEX(AC1150:AE1150,IF(COUNTA(AC1150:AE1150)=0,"",MAX((AC1150:AE1150&lt;&gt;"")*(COLUMN(AC1150:AE1150)-(COLUMN(AC1150)-2))))-1),"")</f>
        <v>ARCHIVED</v>
      </c>
      <c r="M1150" s="13" t="n">
        <f aca="true">K1150-TODAY()</f>
        <v>-90</v>
      </c>
      <c r="N1150" s="18" t="s">
        <v>728</v>
      </c>
      <c r="O1150" s="13" t="s">
        <v>5032</v>
      </c>
      <c r="P1150" s="27" t="n">
        <v>5195401</v>
      </c>
      <c r="Q1150" s="20" t="s">
        <v>5068</v>
      </c>
      <c r="R1150" s="13" t="s">
        <v>52</v>
      </c>
      <c r="S1150" s="14" t="n">
        <v>36134</v>
      </c>
      <c r="T1150" s="13" t="s">
        <v>40</v>
      </c>
      <c r="U1150" s="13" t="s">
        <v>5069</v>
      </c>
      <c r="V1150" s="13" t="s">
        <v>42</v>
      </c>
      <c r="W1150" s="13" t="s">
        <v>43</v>
      </c>
      <c r="X1150" s="21" t="n">
        <v>85732268817</v>
      </c>
      <c r="Y1150" s="22" t="str">
        <f aca="false">O1150</f>
        <v>Operator Genset</v>
      </c>
      <c r="Z1150" s="13" t="str">
        <f aca="false">IFERROR(__xludf.dummyfunction("if(BJ1150="""","""",GOOGLETRANSLATE(BJ1150,""auto"",""en""))"),"Generator Operator")</f>
        <v>Generator Operator</v>
      </c>
      <c r="AA1150" s="23" t="str">
        <f aca="false">IF(C1150="","", CHOOSE(MONTH(C1150),"January","February","March","April","May","June","July","August","September","October","November","December")&amp;" "&amp;DAY(C1150)&amp;MID("thstndrdth",MIN(9,2*RIGHT(DAY(C1150))*(MOD(DAY(C1150)-11,100)&gt;2)+1),2)&amp;","&amp;TEXT(C1150," yyyy"))</f>
        <v>August 1st,2023</v>
      </c>
      <c r="AB1150" s="15" t="str">
        <f aca="true">IF(S1150="","",DATEDIF(S1150,TODAY(),"Y")&amp;" Tahun, "&amp;DATEDIF(S1150,TODAY(),"YM")&amp;" Bulan, "&amp;DATEDIF(S1150,TODAY(),"MD")&amp;" Hari")</f>
        <v>27 Tahun, 10 Bulan, 24 Hari</v>
      </c>
      <c r="AC1150" s="18" t="n">
        <v>45870</v>
      </c>
      <c r="AD1150" s="18" t="n">
        <v>46234</v>
      </c>
      <c r="AE1150" s="18" t="s">
        <v>44</v>
      </c>
    </row>
    <row r="1151" customFormat="false" ht="15.75" hidden="false" customHeight="true" outlineLevel="0" collapsed="false">
      <c r="A1151" s="12" t="n">
        <v>12533</v>
      </c>
      <c r="B1151" s="13" t="s">
        <v>5070</v>
      </c>
      <c r="C1151" s="14" t="n">
        <v>45139</v>
      </c>
      <c r="D1151" s="13" t="s">
        <v>5030</v>
      </c>
      <c r="E1151" s="15" t="s">
        <v>47</v>
      </c>
      <c r="F1151" s="15" t="str">
        <f aca="false">IFERROR(__xludf.dummyfunction("XLOOKUP(AJ1151,IMPORTRANGE(""1XaInW9DU9nz21V0tYIfzFQ0He9kVQ_JF2mCXgZ3hqFA"",""REKAP ALL 2026 - Andika!G:G""),IMPORTRANGE(""1XaInW9DU9nz21V0tYIfzFQ0He9kVQ_JF2mCXgZ3hqFA"",""REKAP ALL 2026 - Andika!F:F""),"""",0)"),"23121249652")</f>
        <v>23121249652</v>
      </c>
      <c r="G1151" s="13" t="s">
        <v>5071</v>
      </c>
      <c r="H1151" s="13" t="s">
        <v>35</v>
      </c>
      <c r="I1151" s="13" t="str">
        <f aca="false">IF(C1151=J1151,"NEW KONTRAK","RE-KONTRAK")</f>
        <v>RE-KONTRAK</v>
      </c>
      <c r="J1151" s="16" t="n">
        <f aca="false" t="array" ref="J1151:J1151">IFERROR(INDEX(AC1151:AE1151,IF(COUNTA(AC1151:AE1151)=0,"",MAX((AC1151:AE1151&lt;&gt;"")*(COLUMN(AC1151:AE1151)-(COLUMN(AC1151)))))-1),"")</f>
        <v>45870</v>
      </c>
      <c r="K1151" s="16" t="n">
        <f aca="false" t="array" ref="K1151:K1151">IFERROR(INDEX(AC1151:AE1151,IF(COUNTA(AC1151:AE1151)=0,"",MAX((AC1151:AE1151&lt;&gt;"")*(COLUMN(AC1151:AE1151)-(COLUMN(AC1151)-1))))-1),"")</f>
        <v>46234</v>
      </c>
      <c r="L1151" s="17" t="str">
        <f aca="false" t="array" ref="L1151:L1151">IFERROR(INDEX(AC1151:AE1151,IF(COUNTA(AC1151:AE1151)=0,"",MAX((AC1151:AE1151&lt;&gt;"")*(COLUMN(AC1151:AE1151)-(COLUMN(AC1151)-2))))-1),"")</f>
        <v>ARCHIVED</v>
      </c>
      <c r="M1151" s="13" t="n">
        <f aca="true">K1151-TODAY()</f>
        <v>-90</v>
      </c>
      <c r="N1151" s="18" t="s">
        <v>728</v>
      </c>
      <c r="O1151" s="13" t="s">
        <v>5032</v>
      </c>
      <c r="P1151" s="27" t="n">
        <v>5195401</v>
      </c>
      <c r="Q1151" s="20" t="s">
        <v>5072</v>
      </c>
      <c r="R1151" s="13" t="s">
        <v>52</v>
      </c>
      <c r="S1151" s="14" t="n">
        <v>35381</v>
      </c>
      <c r="T1151" s="13" t="s">
        <v>40</v>
      </c>
      <c r="U1151" s="13" t="s">
        <v>5073</v>
      </c>
      <c r="V1151" s="13" t="s">
        <v>42</v>
      </c>
      <c r="W1151" s="13" t="s">
        <v>54</v>
      </c>
      <c r="X1151" s="21" t="n">
        <v>82131643224</v>
      </c>
      <c r="Y1151" s="22" t="str">
        <f aca="false">O1151</f>
        <v>Operator Genset</v>
      </c>
      <c r="Z1151" s="13" t="str">
        <f aca="false">IFERROR(__xludf.dummyfunction("if(BJ1151="""","""",GOOGLETRANSLATE(BJ1151,""auto"",""en""))"),"Generator Operator")</f>
        <v>Generator Operator</v>
      </c>
      <c r="AA1151" s="23" t="str">
        <f aca="false">IF(C1151="","", CHOOSE(MONTH(C1151),"January","February","March","April","May","June","July","August","September","October","November","December")&amp;" "&amp;DAY(C1151)&amp;MID("thstndrdth",MIN(9,2*RIGHT(DAY(C1151))*(MOD(DAY(C1151)-11,100)&gt;2)+1),2)&amp;","&amp;TEXT(C1151," yyyy"))</f>
        <v>August 1st,2023</v>
      </c>
      <c r="AB1151" s="15" t="str">
        <f aca="true">IF(S1151="","",DATEDIF(S1151,TODAY(),"Y")&amp;" Tahun, "&amp;DATEDIF(S1151,TODAY(),"YM")&amp;" Bulan, "&amp;DATEDIF(S1151,TODAY(),"MD")&amp;" Hari")</f>
        <v>29 Tahun, 11 Bulan, 17 Hari</v>
      </c>
      <c r="AC1151" s="18" t="n">
        <v>45870</v>
      </c>
      <c r="AD1151" s="18" t="n">
        <v>46234</v>
      </c>
      <c r="AE1151" s="18" t="s">
        <v>44</v>
      </c>
    </row>
    <row r="1152" customFormat="false" ht="15.75" hidden="false" customHeight="true" outlineLevel="0" collapsed="false">
      <c r="A1152" s="12" t="n">
        <v>12534</v>
      </c>
      <c r="B1152" s="13" t="s">
        <v>5074</v>
      </c>
      <c r="C1152" s="14" t="n">
        <v>45139</v>
      </c>
      <c r="D1152" s="13" t="s">
        <v>5030</v>
      </c>
      <c r="E1152" s="15" t="s">
        <v>47</v>
      </c>
      <c r="F1152" s="15" t="str">
        <f aca="false">IFERROR(__xludf.dummyfunction("XLOOKUP(AJ1152,IMPORTRANGE(""1XaInW9DU9nz21V0tYIfzFQ0He9kVQ_JF2mCXgZ3hqFA"",""REKAP ALL 2026 - Andika!G:G""),IMPORTRANGE(""1XaInW9DU9nz21V0tYIfzFQ0He9kVQ_JF2mCXgZ3hqFA"",""REKAP ALL 2026 - Andika!F:F""),"""",0)"),"23121249017")</f>
        <v>23121249017</v>
      </c>
      <c r="G1152" s="13" t="s">
        <v>5075</v>
      </c>
      <c r="H1152" s="13" t="s">
        <v>35</v>
      </c>
      <c r="I1152" s="13" t="str">
        <f aca="false">IF(C1152=J1152,"NEW KONTRAK","RE-KONTRAK")</f>
        <v>RE-KONTRAK</v>
      </c>
      <c r="J1152" s="16" t="n">
        <f aca="false" t="array" ref="J1152:J1152">IFERROR(INDEX(AC1152:AE1152,IF(COUNTA(AC1152:AE1152)=0,"",MAX((AC1152:AE1152&lt;&gt;"")*(COLUMN(AC1152:AE1152)-(COLUMN(AC1152)))))-1),"")</f>
        <v>45870</v>
      </c>
      <c r="K1152" s="16" t="n">
        <f aca="false" t="array" ref="K1152:K1152">IFERROR(INDEX(AC1152:AE1152,IF(COUNTA(AC1152:AE1152)=0,"",MAX((AC1152:AE1152&lt;&gt;"")*(COLUMN(AC1152:AE1152)-(COLUMN(AC1152)-1))))-1),"")</f>
        <v>46234</v>
      </c>
      <c r="L1152" s="17" t="str">
        <f aca="false" t="array" ref="L1152:L1152">IFERROR(INDEX(AC1152:AE1152,IF(COUNTA(AC1152:AE1152)=0,"",MAX((AC1152:AE1152&lt;&gt;"")*(COLUMN(AC1152:AE1152)-(COLUMN(AC1152)-2))))-1),"")</f>
        <v>ARCHIVED</v>
      </c>
      <c r="M1152" s="13" t="n">
        <f aca="true">K1152-TODAY()</f>
        <v>-90</v>
      </c>
      <c r="N1152" s="18" t="s">
        <v>728</v>
      </c>
      <c r="O1152" s="13" t="s">
        <v>5032</v>
      </c>
      <c r="P1152" s="27" t="n">
        <v>5195401</v>
      </c>
      <c r="Q1152" s="20" t="s">
        <v>5076</v>
      </c>
      <c r="R1152" s="13" t="s">
        <v>52</v>
      </c>
      <c r="S1152" s="14" t="n">
        <v>32448</v>
      </c>
      <c r="T1152" s="13" t="s">
        <v>40</v>
      </c>
      <c r="U1152" s="13" t="s">
        <v>5043</v>
      </c>
      <c r="V1152" s="13" t="s">
        <v>42</v>
      </c>
      <c r="W1152" s="13" t="s">
        <v>43</v>
      </c>
      <c r="X1152" s="21" t="n">
        <v>81213282281</v>
      </c>
      <c r="Y1152" s="22" t="str">
        <f aca="false">O1152</f>
        <v>Operator Genset</v>
      </c>
      <c r="Z1152" s="13" t="str">
        <f aca="false">IFERROR(__xludf.dummyfunction("if(BJ1152="""","""",GOOGLETRANSLATE(BJ1152,""auto"",""en""))"),"Generator Operator")</f>
        <v>Generator Operator</v>
      </c>
      <c r="AA1152" s="23" t="str">
        <f aca="false">IF(C1152="","", CHOOSE(MONTH(C1152),"January","February","March","April","May","June","July","August","September","October","November","December")&amp;" "&amp;DAY(C1152)&amp;MID("thstndrdth",MIN(9,2*RIGHT(DAY(C1152))*(MOD(DAY(C1152)-11,100)&gt;2)+1),2)&amp;","&amp;TEXT(C1152," yyyy"))</f>
        <v>August 1st,2023</v>
      </c>
      <c r="AB1152" s="15" t="str">
        <f aca="true">IF(S1152="","",DATEDIF(S1152,TODAY(),"Y")&amp;" Tahun, "&amp;DATEDIF(S1152,TODAY(),"YM")&amp;" Bulan, "&amp;DATEDIF(S1152,TODAY(),"MD")&amp;" Hari")</f>
        <v>37 Tahun, 11 Bulan, 28 Hari</v>
      </c>
      <c r="AC1152" s="18" t="n">
        <v>45870</v>
      </c>
      <c r="AD1152" s="18" t="n">
        <v>46234</v>
      </c>
      <c r="AE1152" s="18" t="s">
        <v>44</v>
      </c>
    </row>
    <row r="1153" customFormat="false" ht="15.75" hidden="false" customHeight="true" outlineLevel="0" collapsed="false">
      <c r="A1153" s="12" t="n">
        <v>12536</v>
      </c>
      <c r="B1153" s="13" t="s">
        <v>5077</v>
      </c>
      <c r="C1153" s="14" t="n">
        <v>45139</v>
      </c>
      <c r="D1153" s="13" t="s">
        <v>5030</v>
      </c>
      <c r="E1153" s="15" t="s">
        <v>102</v>
      </c>
      <c r="F1153" s="24" t="s">
        <v>5078</v>
      </c>
      <c r="G1153" s="13" t="s">
        <v>5079</v>
      </c>
      <c r="H1153" s="13" t="s">
        <v>35</v>
      </c>
      <c r="I1153" s="13" t="str">
        <f aca="false">IF(C1153=J1153,"NEW KONTRAK","RE-KONTRAK")</f>
        <v>RE-KONTRAK</v>
      </c>
      <c r="J1153" s="16" t="n">
        <f aca="false" t="array" ref="J1153:J1153">IFERROR(INDEX(AC1153:AE1153,IF(COUNTA(AC1153:AE1153)=0,"",MAX((AC1153:AE1153&lt;&gt;"")*(COLUMN(AC1153:AE1153)-(COLUMN(AC1153)))))-1),"")</f>
        <v>45870</v>
      </c>
      <c r="K1153" s="16" t="n">
        <f aca="false" t="array" ref="K1153:K1153">IFERROR(INDEX(AC1153:AE1153,IF(COUNTA(AC1153:AE1153)=0,"",MAX((AC1153:AE1153&lt;&gt;"")*(COLUMN(AC1153:AE1153)-(COLUMN(AC1153)-1))))-1),"")</f>
        <v>46234</v>
      </c>
      <c r="L1153" s="17" t="str">
        <f aca="false" t="array" ref="L1153:L1153">IFERROR(INDEX(AC1153:AE1153,IF(COUNTA(AC1153:AE1153)=0,"",MAX((AC1153:AE1153&lt;&gt;"")*(COLUMN(AC1153:AE1153)-(COLUMN(AC1153)-2))))-1),"")</f>
        <v>ARCHIVED</v>
      </c>
      <c r="M1153" s="13" t="n">
        <f aca="true">K1153-TODAY()</f>
        <v>-90</v>
      </c>
      <c r="N1153" s="18" t="s">
        <v>728</v>
      </c>
      <c r="O1153" s="13" t="s">
        <v>5032</v>
      </c>
      <c r="P1153" s="27" t="n">
        <v>5195401</v>
      </c>
      <c r="Q1153" s="20" t="s">
        <v>5080</v>
      </c>
      <c r="R1153" s="13" t="s">
        <v>52</v>
      </c>
      <c r="S1153" s="14" t="n">
        <v>33191</v>
      </c>
      <c r="T1153" s="13" t="s">
        <v>40</v>
      </c>
      <c r="U1153" s="13" t="s">
        <v>5081</v>
      </c>
      <c r="V1153" s="13" t="s">
        <v>42</v>
      </c>
      <c r="W1153" s="13" t="s">
        <v>54</v>
      </c>
      <c r="X1153" s="21" t="n">
        <v>81335687911</v>
      </c>
      <c r="Y1153" s="22" t="str">
        <f aca="false">O1153</f>
        <v>Operator Genset</v>
      </c>
      <c r="Z1153" s="13" t="str">
        <f aca="false">IFERROR(__xludf.dummyfunction("if(BJ1153="""","""",GOOGLETRANSLATE(BJ1153,""auto"",""en""))"),"Generator Operator")</f>
        <v>Generator Operator</v>
      </c>
      <c r="AA1153" s="23" t="str">
        <f aca="false">IF(C1153="","", CHOOSE(MONTH(C1153),"January","February","March","April","May","June","July","August","September","October","November","December")&amp;" "&amp;DAY(C1153)&amp;MID("thstndrdth",MIN(9,2*RIGHT(DAY(C1153))*(MOD(DAY(C1153)-11,100)&gt;2)+1),2)&amp;","&amp;TEXT(C1153," yyyy"))</f>
        <v>August 1st,2023</v>
      </c>
      <c r="AB1153" s="15" t="str">
        <f aca="true">IF(S1153="","",DATEDIF(S1153,TODAY(),"Y")&amp;" Tahun, "&amp;DATEDIF(S1153,TODAY(),"YM")&amp;" Bulan, "&amp;DATEDIF(S1153,TODAY(),"MD")&amp;" Hari")</f>
        <v>35 Tahun, 11 Bulan, 15 Hari</v>
      </c>
      <c r="AC1153" s="18" t="n">
        <v>45870</v>
      </c>
      <c r="AD1153" s="18" t="n">
        <v>46234</v>
      </c>
      <c r="AE1153" s="18" t="s">
        <v>44</v>
      </c>
    </row>
    <row r="1154" customFormat="false" ht="15.75" hidden="false" customHeight="true" outlineLevel="0" collapsed="false">
      <c r="A1154" s="12" t="n">
        <v>12538</v>
      </c>
      <c r="B1154" s="13" t="s">
        <v>5082</v>
      </c>
      <c r="C1154" s="14" t="n">
        <v>45139</v>
      </c>
      <c r="D1154" s="13" t="s">
        <v>5030</v>
      </c>
      <c r="E1154" s="15" t="s">
        <v>47</v>
      </c>
      <c r="F1154" s="15" t="str">
        <f aca="false">IFERROR(__xludf.dummyfunction("XLOOKUP(AJ1154,IMPORTRANGE(""1XaInW9DU9nz21V0tYIfzFQ0He9kVQ_JF2mCXgZ3hqFA"",""REKAP ALL 2026 - Andika!G:G""),IMPORTRANGE(""1XaInW9DU9nz21V0tYIfzFQ0He9kVQ_JF2mCXgZ3hqFA"",""REKAP ALL 2026 - Andika!F:F""),"""",0)"),"23121249447")</f>
        <v>23121249447</v>
      </c>
      <c r="G1154" s="13" t="s">
        <v>5083</v>
      </c>
      <c r="H1154" s="13" t="s">
        <v>35</v>
      </c>
      <c r="I1154" s="13" t="str">
        <f aca="false">IF(C1154=J1154,"NEW KONTRAK","RE-KONTRAK")</f>
        <v>RE-KONTRAK</v>
      </c>
      <c r="J1154" s="16" t="n">
        <f aca="false" t="array" ref="J1154:J1154">IFERROR(INDEX(AC1154:AE1154,IF(COUNTA(AC1154:AE1154)=0,"",MAX((AC1154:AE1154&lt;&gt;"")*(COLUMN(AC1154:AE1154)-(COLUMN(AC1154)))))-1),"")</f>
        <v>45870</v>
      </c>
      <c r="K1154" s="16" t="n">
        <f aca="false" t="array" ref="K1154:K1154">IFERROR(INDEX(AC1154:AE1154,IF(COUNTA(AC1154:AE1154)=0,"",MAX((AC1154:AE1154&lt;&gt;"")*(COLUMN(AC1154:AE1154)-(COLUMN(AC1154)-1))))-1),"")</f>
        <v>46234</v>
      </c>
      <c r="L1154" s="17" t="str">
        <f aca="false" t="array" ref="L1154:L1154">IFERROR(INDEX(AC1154:AE1154,IF(COUNTA(AC1154:AE1154)=0,"",MAX((AC1154:AE1154&lt;&gt;"")*(COLUMN(AC1154:AE1154)-(COLUMN(AC1154)-2))))-1),"")</f>
        <v>ARCHIVED</v>
      </c>
      <c r="M1154" s="13" t="n">
        <f aca="true">K1154-TODAY()</f>
        <v>-90</v>
      </c>
      <c r="N1154" s="18" t="s">
        <v>728</v>
      </c>
      <c r="O1154" s="13" t="s">
        <v>5032</v>
      </c>
      <c r="P1154" s="27" t="n">
        <v>5195401</v>
      </c>
      <c r="Q1154" s="20" t="s">
        <v>5084</v>
      </c>
      <c r="R1154" s="13" t="s">
        <v>1979</v>
      </c>
      <c r="S1154" s="14" t="n">
        <v>33554</v>
      </c>
      <c r="T1154" s="13" t="s">
        <v>40</v>
      </c>
      <c r="U1154" s="13" t="s">
        <v>5085</v>
      </c>
      <c r="V1154" s="13" t="s">
        <v>42</v>
      </c>
      <c r="W1154" s="13" t="s">
        <v>43</v>
      </c>
      <c r="X1154" s="21" t="n">
        <v>895368260049</v>
      </c>
      <c r="Y1154" s="22" t="str">
        <f aca="false">O1154</f>
        <v>Operator Genset</v>
      </c>
      <c r="Z1154" s="13" t="str">
        <f aca="false">IFERROR(__xludf.dummyfunction("if(BJ1154="""","""",GOOGLETRANSLATE(BJ1154,""auto"",""en""))"),"Generator Operator")</f>
        <v>Generator Operator</v>
      </c>
      <c r="AA1154" s="23" t="str">
        <f aca="false">IF(C1154="","", CHOOSE(MONTH(C1154),"January","February","March","April","May","June","July","August","September","October","November","December")&amp;" "&amp;DAY(C1154)&amp;MID("thstndrdth",MIN(9,2*RIGHT(DAY(C1154))*(MOD(DAY(C1154)-11,100)&gt;2)+1),2)&amp;","&amp;TEXT(C1154," yyyy"))</f>
        <v>August 1st,2023</v>
      </c>
      <c r="AB1154" s="15" t="str">
        <f aca="true">IF(S1154="","",DATEDIF(S1154,TODAY(),"Y")&amp;" Tahun, "&amp;DATEDIF(S1154,TODAY(),"YM")&amp;" Bulan, "&amp;DATEDIF(S1154,TODAY(),"MD")&amp;" Hari")</f>
        <v>34 Tahun, 11 Bulan, 17 Hari</v>
      </c>
      <c r="AC1154" s="18" t="n">
        <v>45870</v>
      </c>
      <c r="AD1154" s="18" t="n">
        <v>46234</v>
      </c>
      <c r="AE1154" s="18" t="s">
        <v>44</v>
      </c>
    </row>
    <row r="1155" customFormat="false" ht="15.75" hidden="false" customHeight="true" outlineLevel="0" collapsed="false">
      <c r="A1155" s="12" t="n">
        <v>12539</v>
      </c>
      <c r="B1155" s="13" t="s">
        <v>5086</v>
      </c>
      <c r="C1155" s="14" t="n">
        <v>45139</v>
      </c>
      <c r="D1155" s="13" t="s">
        <v>5030</v>
      </c>
      <c r="E1155" s="15" t="s">
        <v>102</v>
      </c>
      <c r="F1155" s="15" t="str">
        <f aca="false">IFERROR(__xludf.dummyfunction("XLOOKUP(AJ1155,IMPORTRANGE(""1XaInW9DU9nz21V0tYIfzFQ0He9kVQ_JF2mCXgZ3hqFA"",""REKAP ALL 2026 - Andika!G:G""),IMPORTRANGE(""1XaInW9DU9nz21V0tYIfzFQ0He9kVQ_JF2mCXgZ3hqFA"",""REKAP ALL 2026 - Andika!F:F""),"""",0)"),"23121249181")</f>
        <v>23121249181</v>
      </c>
      <c r="G1155" s="13" t="s">
        <v>5087</v>
      </c>
      <c r="H1155" s="13" t="s">
        <v>35</v>
      </c>
      <c r="I1155" s="13" t="str">
        <f aca="false">IF(C1155=J1155,"NEW KONTRAK","RE-KONTRAK")</f>
        <v>RE-KONTRAK</v>
      </c>
      <c r="J1155" s="16" t="n">
        <f aca="false" t="array" ref="J1155:J1155">IFERROR(INDEX(AC1155:AE1155,IF(COUNTA(AC1155:AE1155)=0,"",MAX((AC1155:AE1155&lt;&gt;"")*(COLUMN(AC1155:AE1155)-(COLUMN(AC1155)))))-1),"")</f>
        <v>45870</v>
      </c>
      <c r="K1155" s="16" t="n">
        <f aca="false" t="array" ref="K1155:K1155">IFERROR(INDEX(AC1155:AE1155,IF(COUNTA(AC1155:AE1155)=0,"",MAX((AC1155:AE1155&lt;&gt;"")*(COLUMN(AC1155:AE1155)-(COLUMN(AC1155)-1))))-1),"")</f>
        <v>46234</v>
      </c>
      <c r="L1155" s="17" t="str">
        <f aca="false" t="array" ref="L1155:L1155">IFERROR(INDEX(AC1155:AE1155,IF(COUNTA(AC1155:AE1155)=0,"",MAX((AC1155:AE1155&lt;&gt;"")*(COLUMN(AC1155:AE1155)-(COLUMN(AC1155)-2))))-1),"")</f>
        <v>ARCHIVED</v>
      </c>
      <c r="M1155" s="13" t="n">
        <f aca="true">K1155-TODAY()</f>
        <v>-90</v>
      </c>
      <c r="N1155" s="18" t="s">
        <v>728</v>
      </c>
      <c r="O1155" s="13" t="s">
        <v>5032</v>
      </c>
      <c r="P1155" s="27" t="n">
        <v>5195401</v>
      </c>
      <c r="Q1155" s="20" t="s">
        <v>5088</v>
      </c>
      <c r="R1155" s="13" t="s">
        <v>83</v>
      </c>
      <c r="S1155" s="14" t="n">
        <v>36272</v>
      </c>
      <c r="T1155" s="13" t="s">
        <v>40</v>
      </c>
      <c r="U1155" s="13" t="s">
        <v>5089</v>
      </c>
      <c r="V1155" s="13" t="s">
        <v>42</v>
      </c>
      <c r="W1155" s="13" t="s">
        <v>43</v>
      </c>
      <c r="X1155" s="21" t="n">
        <v>81217382747</v>
      </c>
      <c r="Y1155" s="22" t="str">
        <f aca="false">O1155</f>
        <v>Operator Genset</v>
      </c>
      <c r="Z1155" s="13" t="str">
        <f aca="false">IFERROR(__xludf.dummyfunction("if(BJ1155="""","""",GOOGLETRANSLATE(BJ1155,""auto"",""en""))"),"Generator Operator")</f>
        <v>Generator Operator</v>
      </c>
      <c r="AA1155" s="23" t="str">
        <f aca="false">IF(C1155="","", CHOOSE(MONTH(C1155),"January","February","March","April","May","June","July","August","September","October","November","December")&amp;" "&amp;DAY(C1155)&amp;MID("thstndrdth",MIN(9,2*RIGHT(DAY(C1155))*(MOD(DAY(C1155)-11,100)&gt;2)+1),2)&amp;","&amp;TEXT(C1155," yyyy"))</f>
        <v>August 1st,2023</v>
      </c>
      <c r="AB1155" s="15" t="str">
        <f aca="true">IF(S1155="","",DATEDIF(S1155,TODAY(),"Y")&amp;" Tahun, "&amp;DATEDIF(S1155,TODAY(),"YM")&amp;" Bulan, "&amp;DATEDIF(S1155,TODAY(),"MD")&amp;" Hari")</f>
        <v>27 Tahun, 6 Bulan, 7 Hari</v>
      </c>
      <c r="AC1155" s="18" t="n">
        <v>45870</v>
      </c>
      <c r="AD1155" s="18" t="n">
        <v>46234</v>
      </c>
      <c r="AE1155" s="18" t="s">
        <v>44</v>
      </c>
    </row>
    <row r="1156" customFormat="false" ht="15.75" hidden="false" customHeight="true" outlineLevel="0" collapsed="false">
      <c r="A1156" s="12" t="n">
        <v>12540</v>
      </c>
      <c r="B1156" s="13" t="s">
        <v>5090</v>
      </c>
      <c r="C1156" s="14" t="n">
        <v>45139</v>
      </c>
      <c r="D1156" s="13" t="s">
        <v>5030</v>
      </c>
      <c r="E1156" s="15" t="s">
        <v>47</v>
      </c>
      <c r="F1156" s="15" t="str">
        <f aca="false">IFERROR(__xludf.dummyfunction("XLOOKUP(AJ1156,IMPORTRANGE(""1XaInW9DU9nz21V0tYIfzFQ0He9kVQ_JF2mCXgZ3hqFA"",""REKAP ALL 2026 - Andika!G:G""),IMPORTRANGE(""1XaInW9DU9nz21V0tYIfzFQ0He9kVQ_JF2mCXgZ3hqFA"",""REKAP ALL 2026 - Andika!F:F""),"""",0)"),"23121249561")</f>
        <v>23121249561</v>
      </c>
      <c r="G1156" s="13" t="s">
        <v>5091</v>
      </c>
      <c r="H1156" s="13" t="s">
        <v>35</v>
      </c>
      <c r="I1156" s="13" t="str">
        <f aca="false">IF(C1156=J1156,"NEW KONTRAK","RE-KONTRAK")</f>
        <v>RE-KONTRAK</v>
      </c>
      <c r="J1156" s="16" t="n">
        <f aca="false" t="array" ref="J1156:J1156">IFERROR(INDEX(AC1156:AE1156,IF(COUNTA(AC1156:AE1156)=0,"",MAX((AC1156:AE1156&lt;&gt;"")*(COLUMN(AC1156:AE1156)-(COLUMN(AC1156)))))-1),"")</f>
        <v>45870</v>
      </c>
      <c r="K1156" s="16" t="n">
        <f aca="false" t="array" ref="K1156:K1156">IFERROR(INDEX(AC1156:AE1156,IF(COUNTA(AC1156:AE1156)=0,"",MAX((AC1156:AE1156&lt;&gt;"")*(COLUMN(AC1156:AE1156)-(COLUMN(AC1156)-1))))-1),"")</f>
        <v>46234</v>
      </c>
      <c r="L1156" s="17" t="str">
        <f aca="false" t="array" ref="L1156:L1156">IFERROR(INDEX(AC1156:AE1156,IF(COUNTA(AC1156:AE1156)=0,"",MAX((AC1156:AE1156&lt;&gt;"")*(COLUMN(AC1156:AE1156)-(COLUMN(AC1156)-2))))-1),"")</f>
        <v>ARCHIVED</v>
      </c>
      <c r="M1156" s="13" t="n">
        <f aca="true">K1156-TODAY()</f>
        <v>-90</v>
      </c>
      <c r="N1156" s="18" t="s">
        <v>728</v>
      </c>
      <c r="O1156" s="13" t="s">
        <v>5032</v>
      </c>
      <c r="P1156" s="27" t="n">
        <v>5195401</v>
      </c>
      <c r="Q1156" s="20" t="s">
        <v>5092</v>
      </c>
      <c r="R1156" s="13" t="s">
        <v>39</v>
      </c>
      <c r="S1156" s="14" t="n">
        <v>34543</v>
      </c>
      <c r="T1156" s="13" t="s">
        <v>40</v>
      </c>
      <c r="U1156" s="13" t="s">
        <v>5093</v>
      </c>
      <c r="V1156" s="13" t="s">
        <v>42</v>
      </c>
      <c r="W1156" s="13" t="s">
        <v>43</v>
      </c>
      <c r="X1156" s="21" t="n">
        <v>82114410173</v>
      </c>
      <c r="Y1156" s="22" t="str">
        <f aca="false">O1156</f>
        <v>Operator Genset</v>
      </c>
      <c r="Z1156" s="13" t="str">
        <f aca="false">IFERROR(__xludf.dummyfunction("if(BJ1156="""","""",GOOGLETRANSLATE(BJ1156,""auto"",""en""))"),"Generator Operator")</f>
        <v>Generator Operator</v>
      </c>
      <c r="AA1156" s="23" t="str">
        <f aca="false">IF(C1156="","", CHOOSE(MONTH(C1156),"January","February","March","April","May","June","July","August","September","October","November","December")&amp;" "&amp;DAY(C1156)&amp;MID("thstndrdth",MIN(9,2*RIGHT(DAY(C1156))*(MOD(DAY(C1156)-11,100)&gt;2)+1),2)&amp;","&amp;TEXT(C1156," yyyy"))</f>
        <v>August 1st,2023</v>
      </c>
      <c r="AB1156" s="15" t="str">
        <f aca="true">IF(S1156="","",DATEDIF(S1156,TODAY(),"Y")&amp;" Tahun, "&amp;DATEDIF(S1156,TODAY(),"YM")&amp;" Bulan, "&amp;DATEDIF(S1156,TODAY(),"MD")&amp;" Hari")</f>
        <v>32 Tahun, 3 Bulan, 1 Hari</v>
      </c>
      <c r="AC1156" s="18" t="n">
        <v>45870</v>
      </c>
      <c r="AD1156" s="18" t="n">
        <v>46234</v>
      </c>
      <c r="AE1156" s="18" t="s">
        <v>44</v>
      </c>
    </row>
    <row r="1157" customFormat="false" ht="15.75" hidden="false" customHeight="true" outlineLevel="0" collapsed="false">
      <c r="A1157" s="12" t="n">
        <v>12541</v>
      </c>
      <c r="B1157" s="13" t="s">
        <v>5094</v>
      </c>
      <c r="C1157" s="14" t="n">
        <v>45139</v>
      </c>
      <c r="D1157" s="13" t="s">
        <v>5030</v>
      </c>
      <c r="E1157" s="15" t="s">
        <v>47</v>
      </c>
      <c r="F1157" s="15" t="str">
        <f aca="false">IFERROR(__xludf.dummyfunction("XLOOKUP(AJ1157,IMPORTRANGE(""1XaInW9DU9nz21V0tYIfzFQ0He9kVQ_JF2mCXgZ3hqFA"",""REKAP ALL 2026 - Andika!G:G""),IMPORTRANGE(""1XaInW9DU9nz21V0tYIfzFQ0He9kVQ_JF2mCXgZ3hqFA"",""REKAP ALL 2026 - Andika!F:F""),"""",0)"),"23121248985")</f>
        <v>23121248985</v>
      </c>
      <c r="G1157" s="13" t="s">
        <v>5095</v>
      </c>
      <c r="H1157" s="13" t="s">
        <v>35</v>
      </c>
      <c r="I1157" s="13" t="str">
        <f aca="false">IF(C1157=J1157,"NEW KONTRAK","RE-KONTRAK")</f>
        <v>RE-KONTRAK</v>
      </c>
      <c r="J1157" s="16" t="n">
        <f aca="false" t="array" ref="J1157:J1157">IFERROR(INDEX(AC1157:AE1157,IF(COUNTA(AC1157:AE1157)=0,"",MAX((AC1157:AE1157&lt;&gt;"")*(COLUMN(AC1157:AE1157)-(COLUMN(AC1157)))))-1),"")</f>
        <v>45870</v>
      </c>
      <c r="K1157" s="16" t="n">
        <f aca="false" t="array" ref="K1157:K1157">IFERROR(INDEX(AC1157:AE1157,IF(COUNTA(AC1157:AE1157)=0,"",MAX((AC1157:AE1157&lt;&gt;"")*(COLUMN(AC1157:AE1157)-(COLUMN(AC1157)-1))))-1),"")</f>
        <v>46234</v>
      </c>
      <c r="L1157" s="17" t="str">
        <f aca="false" t="array" ref="L1157:L1157">IFERROR(INDEX(AC1157:AE1157,IF(COUNTA(AC1157:AE1157)=0,"",MAX((AC1157:AE1157&lt;&gt;"")*(COLUMN(AC1157:AE1157)-(COLUMN(AC1157)-2))))-1),"")</f>
        <v>KEMBALI</v>
      </c>
      <c r="M1157" s="13" t="n">
        <f aca="true">K1157-TODAY()</f>
        <v>-90</v>
      </c>
      <c r="N1157" s="18" t="s">
        <v>728</v>
      </c>
      <c r="O1157" s="13" t="s">
        <v>5032</v>
      </c>
      <c r="P1157" s="27" t="n">
        <v>5195401</v>
      </c>
      <c r="Q1157" s="20" t="s">
        <v>5096</v>
      </c>
      <c r="R1157" s="13" t="s">
        <v>73</v>
      </c>
      <c r="S1157" s="14" t="n">
        <v>31992</v>
      </c>
      <c r="T1157" s="13" t="s">
        <v>40</v>
      </c>
      <c r="U1157" s="13" t="s">
        <v>5097</v>
      </c>
      <c r="V1157" s="13" t="s">
        <v>42</v>
      </c>
      <c r="W1157" s="13" t="s">
        <v>54</v>
      </c>
      <c r="X1157" s="21" t="n">
        <v>85730914993</v>
      </c>
      <c r="Y1157" s="22" t="str">
        <f aca="false">O1157</f>
        <v>Operator Genset</v>
      </c>
      <c r="Z1157" s="13" t="str">
        <f aca="false">IFERROR(__xludf.dummyfunction("if(BJ1157="""","""",GOOGLETRANSLATE(BJ1157,""auto"",""en""))"),"Generator Operator")</f>
        <v>Generator Operator</v>
      </c>
      <c r="AA1157" s="23" t="str">
        <f aca="false">IF(C1157="","", CHOOSE(MONTH(C1157),"January","February","March","April","May","June","July","August","September","October","November","December")&amp;" "&amp;DAY(C1157)&amp;MID("thstndrdth",MIN(9,2*RIGHT(DAY(C1157))*(MOD(DAY(C1157)-11,100)&gt;2)+1),2)&amp;","&amp;TEXT(C1157," yyyy"))</f>
        <v>August 1st,2023</v>
      </c>
      <c r="AB1157" s="15" t="str">
        <f aca="true">IF(S1157="","",DATEDIF(S1157,TODAY(),"Y")&amp;" Tahun, "&amp;DATEDIF(S1157,TODAY(),"YM")&amp;" Bulan, "&amp;DATEDIF(S1157,TODAY(),"MD")&amp;" Hari")</f>
        <v>39 Tahun, 2 Bulan, 26 Hari</v>
      </c>
      <c r="AC1157" s="18" t="n">
        <v>45870</v>
      </c>
      <c r="AD1157" s="18" t="n">
        <v>46234</v>
      </c>
      <c r="AE1157" s="13" t="s">
        <v>397</v>
      </c>
    </row>
    <row r="1158" customFormat="false" ht="15.75" hidden="false" customHeight="true" outlineLevel="0" collapsed="false">
      <c r="A1158" s="12" t="n">
        <v>12542</v>
      </c>
      <c r="B1158" s="13" t="s">
        <v>5098</v>
      </c>
      <c r="C1158" s="14" t="n">
        <v>45139</v>
      </c>
      <c r="D1158" s="13" t="s">
        <v>5030</v>
      </c>
      <c r="E1158" s="15" t="s">
        <v>47</v>
      </c>
      <c r="F1158" s="15" t="str">
        <f aca="false">IFERROR(__xludf.dummyfunction("XLOOKUP(AJ1158,IMPORTRANGE(""1XaInW9DU9nz21V0tYIfzFQ0He9kVQ_JF2mCXgZ3hqFA"",""REKAP ALL 2026 - Andika!G:G""),IMPORTRANGE(""1XaInW9DU9nz21V0tYIfzFQ0He9kVQ_JF2mCXgZ3hqFA"",""REKAP ALL 2026 - Andika!F:F""),"""",0)"),"23121249298")</f>
        <v>23121249298</v>
      </c>
      <c r="G1158" s="13" t="s">
        <v>5099</v>
      </c>
      <c r="H1158" s="13" t="s">
        <v>35</v>
      </c>
      <c r="I1158" s="13" t="str">
        <f aca="false">IF(C1158=J1158,"NEW KONTRAK","RE-KONTRAK")</f>
        <v>RE-KONTRAK</v>
      </c>
      <c r="J1158" s="16" t="n">
        <f aca="false" t="array" ref="J1158:J1158">IFERROR(INDEX(AC1158:AE1158,IF(COUNTA(AC1158:AE1158)=0,"",MAX((AC1158:AE1158&lt;&gt;"")*(COLUMN(AC1158:AE1158)-(COLUMN(AC1158)))))-1),"")</f>
        <v>45870</v>
      </c>
      <c r="K1158" s="16" t="n">
        <f aca="false" t="array" ref="K1158:K1158">IFERROR(INDEX(AC1158:AE1158,IF(COUNTA(AC1158:AE1158)=0,"",MAX((AC1158:AE1158&lt;&gt;"")*(COLUMN(AC1158:AE1158)-(COLUMN(AC1158)-1))))-1),"")</f>
        <v>46234</v>
      </c>
      <c r="L1158" s="17" t="str">
        <f aca="false" t="array" ref="L1158:L1158">IFERROR(INDEX(AC1158:AE1158,IF(COUNTA(AC1158:AE1158)=0,"",MAX((AC1158:AE1158&lt;&gt;"")*(COLUMN(AC1158:AE1158)-(COLUMN(AC1158)-2))))-1),"")</f>
        <v>ARCHIVED</v>
      </c>
      <c r="M1158" s="13" t="n">
        <f aca="true">K1158-TODAY()</f>
        <v>-90</v>
      </c>
      <c r="N1158" s="18" t="s">
        <v>728</v>
      </c>
      <c r="O1158" s="13" t="s">
        <v>5032</v>
      </c>
      <c r="P1158" s="27" t="n">
        <v>5195401</v>
      </c>
      <c r="Q1158" s="20" t="s">
        <v>5100</v>
      </c>
      <c r="R1158" s="13" t="s">
        <v>52</v>
      </c>
      <c r="S1158" s="14" t="n">
        <v>29741</v>
      </c>
      <c r="T1158" s="13" t="s">
        <v>40</v>
      </c>
      <c r="U1158" s="13" t="s">
        <v>5101</v>
      </c>
      <c r="V1158" s="13" t="s">
        <v>42</v>
      </c>
      <c r="W1158" s="13" t="s">
        <v>54</v>
      </c>
      <c r="X1158" s="21" t="n">
        <v>81335824410</v>
      </c>
      <c r="Y1158" s="22" t="str">
        <f aca="false">O1158</f>
        <v>Operator Genset</v>
      </c>
      <c r="Z1158" s="13" t="str">
        <f aca="false">IFERROR(__xludf.dummyfunction("if(BJ1158="""","""",GOOGLETRANSLATE(BJ1158,""auto"",""en""))"),"Generator Operator")</f>
        <v>Generator Operator</v>
      </c>
      <c r="AA1158" s="23" t="str">
        <f aca="false">IF(C1158="","", CHOOSE(MONTH(C1158),"January","February","March","April","May","June","July","August","September","October","November","December")&amp;" "&amp;DAY(C1158)&amp;MID("thstndrdth",MIN(9,2*RIGHT(DAY(C1158))*(MOD(DAY(C1158)-11,100)&gt;2)+1),2)&amp;","&amp;TEXT(C1158," yyyy"))</f>
        <v>August 1st,2023</v>
      </c>
      <c r="AB1158" s="15" t="str">
        <f aca="true">IF(S1158="","",DATEDIF(S1158,TODAY(),"Y")&amp;" Tahun, "&amp;DATEDIF(S1158,TODAY(),"YM")&amp;" Bulan, "&amp;DATEDIF(S1158,TODAY(),"MD")&amp;" Hari")</f>
        <v>45 Tahun, 4 Bulan, 25 Hari</v>
      </c>
      <c r="AC1158" s="18" t="n">
        <v>45870</v>
      </c>
      <c r="AD1158" s="18" t="n">
        <v>46234</v>
      </c>
      <c r="AE1158" s="18" t="s">
        <v>44</v>
      </c>
    </row>
    <row r="1159" customFormat="false" ht="15.75" hidden="false" customHeight="true" outlineLevel="0" collapsed="false">
      <c r="A1159" s="12" t="n">
        <v>12543</v>
      </c>
      <c r="B1159" s="13" t="s">
        <v>5102</v>
      </c>
      <c r="C1159" s="14" t="n">
        <v>45139</v>
      </c>
      <c r="D1159" s="13" t="s">
        <v>5030</v>
      </c>
      <c r="E1159" s="15" t="s">
        <v>47</v>
      </c>
      <c r="F1159" s="15" t="str">
        <f aca="false">IFERROR(__xludf.dummyfunction("XLOOKUP(AJ1159,IMPORTRANGE(""1XaInW9DU9nz21V0tYIfzFQ0He9kVQ_JF2mCXgZ3hqFA"",""REKAP ALL 2026 - Andika!G:G""),IMPORTRANGE(""1XaInW9DU9nz21V0tYIfzFQ0He9kVQ_JF2mCXgZ3hqFA"",""REKAP ALL 2026 - Andika!F:F""),"""",0)"),"23121249439")</f>
        <v>23121249439</v>
      </c>
      <c r="G1159" s="13" t="s">
        <v>5103</v>
      </c>
      <c r="H1159" s="13" t="s">
        <v>35</v>
      </c>
      <c r="I1159" s="13" t="str">
        <f aca="false">IF(C1159=J1159,"NEW KONTRAK","RE-KONTRAK")</f>
        <v>RE-KONTRAK</v>
      </c>
      <c r="J1159" s="16" t="n">
        <f aca="false" t="array" ref="J1159:J1159">IFERROR(INDEX(AC1159:AE1159,IF(COUNTA(AC1159:AE1159)=0,"",MAX((AC1159:AE1159&lt;&gt;"")*(COLUMN(AC1159:AE1159)-(COLUMN(AC1159)))))-1),"")</f>
        <v>45870</v>
      </c>
      <c r="K1159" s="16" t="n">
        <f aca="false" t="array" ref="K1159:K1159">IFERROR(INDEX(AC1159:AE1159,IF(COUNTA(AC1159:AE1159)=0,"",MAX((AC1159:AE1159&lt;&gt;"")*(COLUMN(AC1159:AE1159)-(COLUMN(AC1159)-1))))-1),"")</f>
        <v>46234</v>
      </c>
      <c r="L1159" s="17" t="str">
        <f aca="false" t="array" ref="L1159:L1159">IFERROR(INDEX(AC1159:AE1159,IF(COUNTA(AC1159:AE1159)=0,"",MAX((AC1159:AE1159&lt;&gt;"")*(COLUMN(AC1159:AE1159)-(COLUMN(AC1159)-2))))-1),"")</f>
        <v>ARCHIVED</v>
      </c>
      <c r="M1159" s="13" t="n">
        <f aca="true">K1159-TODAY()</f>
        <v>-90</v>
      </c>
      <c r="N1159" s="18" t="s">
        <v>728</v>
      </c>
      <c r="O1159" s="13" t="s">
        <v>5032</v>
      </c>
      <c r="P1159" s="27" t="n">
        <v>5195401</v>
      </c>
      <c r="Q1159" s="20" t="s">
        <v>5104</v>
      </c>
      <c r="R1159" s="13" t="s">
        <v>52</v>
      </c>
      <c r="S1159" s="14" t="n">
        <v>31495</v>
      </c>
      <c r="T1159" s="13" t="s">
        <v>40</v>
      </c>
      <c r="U1159" s="13" t="s">
        <v>5105</v>
      </c>
      <c r="V1159" s="13" t="s">
        <v>42</v>
      </c>
      <c r="W1159" s="13" t="s">
        <v>54</v>
      </c>
      <c r="X1159" s="21" t="n">
        <v>82139781664</v>
      </c>
      <c r="Y1159" s="22" t="str">
        <f aca="false">O1159</f>
        <v>Operator Genset</v>
      </c>
      <c r="Z1159" s="13" t="str">
        <f aca="false">IFERROR(__xludf.dummyfunction("if(BJ1159="""","""",GOOGLETRANSLATE(BJ1159,""auto"",""en""))"),"Generator Operator")</f>
        <v>Generator Operator</v>
      </c>
      <c r="AA1159" s="23" t="str">
        <f aca="false">IF(C1159="","", CHOOSE(MONTH(C1159),"January","February","March","April","May","June","July","August","September","October","November","December")&amp;" "&amp;DAY(C1159)&amp;MID("thstndrdth",MIN(9,2*RIGHT(DAY(C1159))*(MOD(DAY(C1159)-11,100)&gt;2)+1),2)&amp;","&amp;TEXT(C1159," yyyy"))</f>
        <v>August 1st,2023</v>
      </c>
      <c r="AB1159" s="15" t="str">
        <f aca="true">IF(S1159="","",DATEDIF(S1159,TODAY(),"Y")&amp;" Tahun, "&amp;DATEDIF(S1159,TODAY(),"YM")&amp;" Bulan, "&amp;DATEDIF(S1159,TODAY(),"MD")&amp;" Hari")</f>
        <v>40 Tahun, 7 Bulan, 5 Hari</v>
      </c>
      <c r="AC1159" s="18" t="n">
        <v>45870</v>
      </c>
      <c r="AD1159" s="18" t="n">
        <v>46234</v>
      </c>
      <c r="AE1159" s="18" t="s">
        <v>44</v>
      </c>
    </row>
    <row r="1160" customFormat="false" ht="15.75" hidden="false" customHeight="true" outlineLevel="0" collapsed="false">
      <c r="A1160" s="12" t="n">
        <v>12547</v>
      </c>
      <c r="B1160" s="13" t="s">
        <v>5106</v>
      </c>
      <c r="C1160" s="14" t="n">
        <v>45139</v>
      </c>
      <c r="D1160" s="13" t="s">
        <v>5030</v>
      </c>
      <c r="E1160" s="15" t="s">
        <v>47</v>
      </c>
      <c r="F1160" s="15" t="str">
        <f aca="false">IFERROR(__xludf.dummyfunction("XLOOKUP(AJ1160,IMPORTRANGE(""1XaInW9DU9nz21V0tYIfzFQ0He9kVQ_JF2mCXgZ3hqFA"",""REKAP ALL 2026 - Andika!G:G""),IMPORTRANGE(""1XaInW9DU9nz21V0tYIfzFQ0He9kVQ_JF2mCXgZ3hqFA"",""REKAP ALL 2026 - Andika!F:F""),"""",0)"),"23121249108")</f>
        <v>23121249108</v>
      </c>
      <c r="G1160" s="13" t="s">
        <v>5107</v>
      </c>
      <c r="H1160" s="13" t="s">
        <v>35</v>
      </c>
      <c r="I1160" s="13" t="str">
        <f aca="false">IF(C1160=J1160,"NEW KONTRAK","RE-KONTRAK")</f>
        <v>RE-KONTRAK</v>
      </c>
      <c r="J1160" s="16" t="n">
        <f aca="false" t="array" ref="J1160:J1160">IFERROR(INDEX(AC1160:AE1160,IF(COUNTA(AC1160:AE1160)=0,"",MAX((AC1160:AE1160&lt;&gt;"")*(COLUMN(AC1160:AE1160)-(COLUMN(AC1160)))))-1),"")</f>
        <v>45870</v>
      </c>
      <c r="K1160" s="16" t="n">
        <f aca="false" t="array" ref="K1160:K1160">IFERROR(INDEX(AC1160:AE1160,IF(COUNTA(AC1160:AE1160)=0,"",MAX((AC1160:AE1160&lt;&gt;"")*(COLUMN(AC1160:AE1160)-(COLUMN(AC1160)-1))))-1),"")</f>
        <v>46234</v>
      </c>
      <c r="L1160" s="17" t="str">
        <f aca="false" t="array" ref="L1160:L1160">IFERROR(INDEX(AC1160:AE1160,IF(COUNTA(AC1160:AE1160)=0,"",MAX((AC1160:AE1160&lt;&gt;"")*(COLUMN(AC1160:AE1160)-(COLUMN(AC1160)-2))))-1),"")</f>
        <v>ARCHIVED</v>
      </c>
      <c r="M1160" s="13" t="n">
        <f aca="true">K1160-TODAY()</f>
        <v>-90</v>
      </c>
      <c r="N1160" s="18" t="s">
        <v>728</v>
      </c>
      <c r="O1160" s="13" t="s">
        <v>5032</v>
      </c>
      <c r="P1160" s="27" t="n">
        <v>5195401</v>
      </c>
      <c r="Q1160" s="20" t="s">
        <v>5108</v>
      </c>
      <c r="R1160" s="13" t="s">
        <v>2001</v>
      </c>
      <c r="S1160" s="14" t="n">
        <v>26003</v>
      </c>
      <c r="T1160" s="13" t="s">
        <v>40</v>
      </c>
      <c r="U1160" s="13" t="s">
        <v>5109</v>
      </c>
      <c r="V1160" s="13" t="s">
        <v>42</v>
      </c>
      <c r="W1160" s="13" t="s">
        <v>54</v>
      </c>
      <c r="X1160" s="21" t="n">
        <v>88221237020</v>
      </c>
      <c r="Y1160" s="22" t="str">
        <f aca="false">O1160</f>
        <v>Operator Genset</v>
      </c>
      <c r="Z1160" s="13" t="str">
        <f aca="false">IFERROR(__xludf.dummyfunction("if(BJ1160="""","""",GOOGLETRANSLATE(BJ1160,""auto"",""en""))"),"Generator Operator")</f>
        <v>Generator Operator</v>
      </c>
      <c r="AA1160" s="23" t="str">
        <f aca="false">IF(C1160="","", CHOOSE(MONTH(C1160),"January","February","March","April","May","June","July","August","September","October","November","December")&amp;" "&amp;DAY(C1160)&amp;MID("thstndrdth",MIN(9,2*RIGHT(DAY(C1160))*(MOD(DAY(C1160)-11,100)&gt;2)+1),2)&amp;","&amp;TEXT(C1160," yyyy"))</f>
        <v>August 1st,2023</v>
      </c>
      <c r="AB1160" s="15" t="str">
        <f aca="true">IF(S1160="","",DATEDIF(S1160,TODAY(),"Y")&amp;" Tahun, "&amp;DATEDIF(S1160,TODAY(),"YM")&amp;" Bulan, "&amp;DATEDIF(S1160,TODAY(),"MD")&amp;" Hari")</f>
        <v>55 Tahun, 7 Bulan, 18 Hari</v>
      </c>
      <c r="AC1160" s="18" t="n">
        <v>45870</v>
      </c>
      <c r="AD1160" s="18" t="n">
        <v>46234</v>
      </c>
      <c r="AE1160" s="18" t="s">
        <v>44</v>
      </c>
    </row>
    <row r="1161" customFormat="false" ht="15.75" hidden="false" customHeight="true" outlineLevel="0" collapsed="false">
      <c r="A1161" s="12" t="n">
        <v>12549</v>
      </c>
      <c r="B1161" s="13" t="s">
        <v>5110</v>
      </c>
      <c r="C1161" s="14" t="n">
        <v>45139</v>
      </c>
      <c r="D1161" s="13" t="s">
        <v>5030</v>
      </c>
      <c r="E1161" s="15" t="s">
        <v>47</v>
      </c>
      <c r="F1161" s="15" t="str">
        <f aca="false">IFERROR(__xludf.dummyfunction("XLOOKUP(AJ1161,IMPORTRANGE(""1XaInW9DU9nz21V0tYIfzFQ0He9kVQ_JF2mCXgZ3hqFA"",""REKAP ALL 2026 - Andika!G:G""),IMPORTRANGE(""1XaInW9DU9nz21V0tYIfzFQ0He9kVQ_JF2mCXgZ3hqFA"",""REKAP ALL 2026 - Andika!F:F""),"""",0)"),"23121249579")</f>
        <v>23121249579</v>
      </c>
      <c r="G1161" s="13" t="s">
        <v>5111</v>
      </c>
      <c r="H1161" s="13" t="s">
        <v>35</v>
      </c>
      <c r="I1161" s="13" t="str">
        <f aca="false">IF(C1161=J1161,"NEW KONTRAK","RE-KONTRAK")</f>
        <v>RE-KONTRAK</v>
      </c>
      <c r="J1161" s="16" t="n">
        <f aca="false" t="array" ref="J1161:J1161">IFERROR(INDEX(AC1161:AE1161,IF(COUNTA(AC1161:AE1161)=0,"",MAX((AC1161:AE1161&lt;&gt;"")*(COLUMN(AC1161:AE1161)-(COLUMN(AC1161)))))-1),"")</f>
        <v>45870</v>
      </c>
      <c r="K1161" s="16" t="n">
        <f aca="false" t="array" ref="K1161:K1161">IFERROR(INDEX(AC1161:AE1161,IF(COUNTA(AC1161:AE1161)=0,"",MAX((AC1161:AE1161&lt;&gt;"")*(COLUMN(AC1161:AE1161)-(COLUMN(AC1161)-1))))-1),"")</f>
        <v>46234</v>
      </c>
      <c r="L1161" s="17" t="str">
        <f aca="false" t="array" ref="L1161:L1161">IFERROR(INDEX(AC1161:AE1161,IF(COUNTA(AC1161:AE1161)=0,"",MAX((AC1161:AE1161&lt;&gt;"")*(COLUMN(AC1161:AE1161)-(COLUMN(AC1161)-2))))-1),"")</f>
        <v>ARCHIVED</v>
      </c>
      <c r="M1161" s="13" t="n">
        <f aca="true">K1161-TODAY()</f>
        <v>-90</v>
      </c>
      <c r="N1161" s="18" t="s">
        <v>728</v>
      </c>
      <c r="O1161" s="13" t="s">
        <v>5032</v>
      </c>
      <c r="P1161" s="27" t="n">
        <v>5195401</v>
      </c>
      <c r="Q1161" s="20" t="s">
        <v>5112</v>
      </c>
      <c r="R1161" s="13" t="s">
        <v>52</v>
      </c>
      <c r="S1161" s="14" t="n">
        <v>34497</v>
      </c>
      <c r="T1161" s="13" t="s">
        <v>40</v>
      </c>
      <c r="U1161" s="13" t="s">
        <v>5113</v>
      </c>
      <c r="V1161" s="13" t="s">
        <v>42</v>
      </c>
      <c r="W1161" s="13" t="s">
        <v>43</v>
      </c>
      <c r="X1161" s="21" t="n">
        <v>89671600905</v>
      </c>
      <c r="Y1161" s="22" t="str">
        <f aca="false">O1161</f>
        <v>Operator Genset</v>
      </c>
      <c r="Z1161" s="13" t="str">
        <f aca="false">IFERROR(__xludf.dummyfunction("if(BJ1161="""","""",GOOGLETRANSLATE(BJ1161,""auto"",""en""))"),"Generator Operator")</f>
        <v>Generator Operator</v>
      </c>
      <c r="AA1161" s="23" t="str">
        <f aca="false">IF(C1161="","", CHOOSE(MONTH(C1161),"January","February","March","April","May","June","July","August","September","October","November","December")&amp;" "&amp;DAY(C1161)&amp;MID("thstndrdth",MIN(9,2*RIGHT(DAY(C1161))*(MOD(DAY(C1161)-11,100)&gt;2)+1),2)&amp;","&amp;TEXT(C1161," yyyy"))</f>
        <v>August 1st,2023</v>
      </c>
      <c r="AB1161" s="15" t="str">
        <f aca="true">IF(S1161="","",DATEDIF(S1161,TODAY(),"Y")&amp;" Tahun, "&amp;DATEDIF(S1161,TODAY(),"YM")&amp;" Bulan, "&amp;DATEDIF(S1161,TODAY(),"MD")&amp;" Hari")</f>
        <v>32 Tahun, 4 Bulan, 17 Hari</v>
      </c>
      <c r="AC1161" s="18" t="n">
        <v>45870</v>
      </c>
      <c r="AD1161" s="18" t="n">
        <v>46234</v>
      </c>
      <c r="AE1161" s="18" t="s">
        <v>44</v>
      </c>
    </row>
    <row r="1162" customFormat="false" ht="15.75" hidden="false" customHeight="true" outlineLevel="0" collapsed="false">
      <c r="A1162" s="12" t="n">
        <v>12550</v>
      </c>
      <c r="B1162" s="13" t="s">
        <v>5114</v>
      </c>
      <c r="C1162" s="14" t="n">
        <v>45139</v>
      </c>
      <c r="D1162" s="13" t="s">
        <v>5030</v>
      </c>
      <c r="E1162" s="15" t="s">
        <v>47</v>
      </c>
      <c r="F1162" s="15" t="str">
        <f aca="false">IFERROR(__xludf.dummyfunction("XLOOKUP(AJ1162,IMPORTRANGE(""1XaInW9DU9nz21V0tYIfzFQ0He9kVQ_JF2mCXgZ3hqFA"",""REKAP ALL 2026 - Andika!G:G""),IMPORTRANGE(""1XaInW9DU9nz21V0tYIfzFQ0He9kVQ_JF2mCXgZ3hqFA"",""REKAP ALL 2026 - Andika!F:F""),"""",0)"),"23121249454")</f>
        <v>23121249454</v>
      </c>
      <c r="G1162" s="13" t="s">
        <v>5115</v>
      </c>
      <c r="H1162" s="13" t="s">
        <v>35</v>
      </c>
      <c r="I1162" s="13" t="str">
        <f aca="false">IF(C1162=J1162,"NEW KONTRAK","RE-KONTRAK")</f>
        <v>RE-KONTRAK</v>
      </c>
      <c r="J1162" s="16" t="n">
        <f aca="false" t="array" ref="J1162:J1162">IFERROR(INDEX(AC1162:AE1162,IF(COUNTA(AC1162:AE1162)=0,"",MAX((AC1162:AE1162&lt;&gt;"")*(COLUMN(AC1162:AE1162)-(COLUMN(AC1162)))))-1),"")</f>
        <v>45870</v>
      </c>
      <c r="K1162" s="16" t="n">
        <f aca="false" t="array" ref="K1162:K1162">IFERROR(INDEX(AC1162:AE1162,IF(COUNTA(AC1162:AE1162)=0,"",MAX((AC1162:AE1162&lt;&gt;"")*(COLUMN(AC1162:AE1162)-(COLUMN(AC1162)-1))))-1),"")</f>
        <v>46234</v>
      </c>
      <c r="L1162" s="17" t="str">
        <f aca="false" t="array" ref="L1162:L1162">IFERROR(INDEX(AC1162:AE1162,IF(COUNTA(AC1162:AE1162)=0,"",MAX((AC1162:AE1162&lt;&gt;"")*(COLUMN(AC1162:AE1162)-(COLUMN(AC1162)-2))))-1),"")</f>
        <v>ARCHIVED</v>
      </c>
      <c r="M1162" s="13" t="n">
        <f aca="true">K1162-TODAY()</f>
        <v>-90</v>
      </c>
      <c r="N1162" s="18" t="s">
        <v>728</v>
      </c>
      <c r="O1162" s="13" t="s">
        <v>5032</v>
      </c>
      <c r="P1162" s="27" t="n">
        <v>5195401</v>
      </c>
      <c r="Q1162" s="20" t="s">
        <v>5116</v>
      </c>
      <c r="R1162" s="13" t="s">
        <v>52</v>
      </c>
      <c r="S1162" s="14" t="n">
        <v>29681</v>
      </c>
      <c r="T1162" s="13" t="s">
        <v>40</v>
      </c>
      <c r="U1162" s="13" t="s">
        <v>5117</v>
      </c>
      <c r="V1162" s="13" t="s">
        <v>42</v>
      </c>
      <c r="W1162" s="13" t="s">
        <v>54</v>
      </c>
      <c r="X1162" s="21" t="n">
        <v>81233979526</v>
      </c>
      <c r="Y1162" s="22" t="str">
        <f aca="false">O1162</f>
        <v>Operator Genset</v>
      </c>
      <c r="Z1162" s="13" t="str">
        <f aca="false">IFERROR(__xludf.dummyfunction("if(BJ1162="""","""",GOOGLETRANSLATE(BJ1162,""auto"",""en""))"),"Generator Operator")</f>
        <v>Generator Operator</v>
      </c>
      <c r="AA1162" s="23" t="str">
        <f aca="false">IF(C1162="","", CHOOSE(MONTH(C1162),"January","February","March","April","May","June","July","August","September","October","November","December")&amp;" "&amp;DAY(C1162)&amp;MID("thstndrdth",MIN(9,2*RIGHT(DAY(C1162))*(MOD(DAY(C1162)-11,100)&gt;2)+1),2)&amp;","&amp;TEXT(C1162," yyyy"))</f>
        <v>August 1st,2023</v>
      </c>
      <c r="AB1162" s="15" t="str">
        <f aca="true">IF(S1162="","",DATEDIF(S1162,TODAY(),"Y")&amp;" Tahun, "&amp;DATEDIF(S1162,TODAY(),"YM")&amp;" Bulan, "&amp;DATEDIF(S1162,TODAY(),"MD")&amp;" Hari")</f>
        <v>45 Tahun, 6 Bulan, 24 Hari</v>
      </c>
      <c r="AC1162" s="18" t="n">
        <v>45870</v>
      </c>
      <c r="AD1162" s="18" t="n">
        <v>46234</v>
      </c>
      <c r="AE1162" s="18" t="s">
        <v>44</v>
      </c>
    </row>
    <row r="1163" customFormat="false" ht="15.75" hidden="false" customHeight="true" outlineLevel="0" collapsed="false">
      <c r="A1163" s="12" t="n">
        <v>12551</v>
      </c>
      <c r="B1163" s="13" t="s">
        <v>5118</v>
      </c>
      <c r="C1163" s="14" t="n">
        <v>45139</v>
      </c>
      <c r="D1163" s="13" t="s">
        <v>5030</v>
      </c>
      <c r="E1163" s="15" t="s">
        <v>47</v>
      </c>
      <c r="F1163" s="15" t="str">
        <f aca="false">IFERROR(__xludf.dummyfunction("XLOOKUP(AJ1163,IMPORTRANGE(""1XaInW9DU9nz21V0tYIfzFQ0He9kVQ_JF2mCXgZ3hqFA"",""REKAP ALL 2026 - Andika!G:G""),IMPORTRANGE(""1XaInW9DU9nz21V0tYIfzFQ0He9kVQ_JF2mCXgZ3hqFA"",""REKAP ALL 2026 - Andika!F:F""),"""",0)"),"23121249371")</f>
        <v>23121249371</v>
      </c>
      <c r="G1163" s="13" t="s">
        <v>5119</v>
      </c>
      <c r="H1163" s="13" t="s">
        <v>35</v>
      </c>
      <c r="I1163" s="13" t="str">
        <f aca="false">IF(C1163=J1163,"NEW KONTRAK","RE-KONTRAK")</f>
        <v>RE-KONTRAK</v>
      </c>
      <c r="J1163" s="16" t="n">
        <f aca="false" t="array" ref="J1163:J1163">IFERROR(INDEX(AC1163:AE1163,IF(COUNTA(AC1163:AE1163)=0,"",MAX((AC1163:AE1163&lt;&gt;"")*(COLUMN(AC1163:AE1163)-(COLUMN(AC1163)))))-1),"")</f>
        <v>45870</v>
      </c>
      <c r="K1163" s="16" t="n">
        <f aca="false" t="array" ref="K1163:K1163">IFERROR(INDEX(AC1163:AE1163,IF(COUNTA(AC1163:AE1163)=0,"",MAX((AC1163:AE1163&lt;&gt;"")*(COLUMN(AC1163:AE1163)-(COLUMN(AC1163)-1))))-1),"")</f>
        <v>46234</v>
      </c>
      <c r="L1163" s="17" t="str">
        <f aca="false" t="array" ref="L1163:L1163">IFERROR(INDEX(AC1163:AE1163,IF(COUNTA(AC1163:AE1163)=0,"",MAX((AC1163:AE1163&lt;&gt;"")*(COLUMN(AC1163:AE1163)-(COLUMN(AC1163)-2))))-1),"")</f>
        <v>ARCHIVED</v>
      </c>
      <c r="M1163" s="13" t="n">
        <f aca="true">K1163-TODAY()</f>
        <v>-90</v>
      </c>
      <c r="N1163" s="18" t="s">
        <v>728</v>
      </c>
      <c r="O1163" s="13" t="s">
        <v>5032</v>
      </c>
      <c r="P1163" s="27" t="n">
        <v>5195401</v>
      </c>
      <c r="Q1163" s="20" t="s">
        <v>5120</v>
      </c>
      <c r="R1163" s="13" t="s">
        <v>78</v>
      </c>
      <c r="S1163" s="14" t="n">
        <v>30758</v>
      </c>
      <c r="T1163" s="13" t="s">
        <v>40</v>
      </c>
      <c r="U1163" s="13" t="s">
        <v>5121</v>
      </c>
      <c r="V1163" s="13" t="s">
        <v>42</v>
      </c>
      <c r="W1163" s="13" t="s">
        <v>54</v>
      </c>
      <c r="X1163" s="21" t="n">
        <v>81259521344</v>
      </c>
      <c r="Y1163" s="22" t="str">
        <f aca="false">O1163</f>
        <v>Operator Genset</v>
      </c>
      <c r="Z1163" s="13" t="str">
        <f aca="false">IFERROR(__xludf.dummyfunction("if(BJ1163="""","""",GOOGLETRANSLATE(BJ1163,""auto"",""en""))"),"Generator Operator")</f>
        <v>Generator Operator</v>
      </c>
      <c r="AA1163" s="23" t="str">
        <f aca="false">IF(C1163="","", CHOOSE(MONTH(C1163),"January","February","March","April","May","June","July","August","September","October","November","December")&amp;" "&amp;DAY(C1163)&amp;MID("thstndrdth",MIN(9,2*RIGHT(DAY(C1163))*(MOD(DAY(C1163)-11,100)&gt;2)+1),2)&amp;","&amp;TEXT(C1163," yyyy"))</f>
        <v>August 1st,2023</v>
      </c>
      <c r="AB1163" s="15" t="str">
        <f aca="true">IF(S1163="","",DATEDIF(S1163,TODAY(),"Y")&amp;" Tahun, "&amp;DATEDIF(S1163,TODAY(),"YM")&amp;" Bulan, "&amp;DATEDIF(S1163,TODAY(),"MD")&amp;" Hari")</f>
        <v>42 Tahun, 7 Bulan, 12 Hari</v>
      </c>
      <c r="AC1163" s="18" t="n">
        <v>45870</v>
      </c>
      <c r="AD1163" s="18" t="n">
        <v>46234</v>
      </c>
      <c r="AE1163" s="18" t="s">
        <v>44</v>
      </c>
    </row>
    <row r="1164" customFormat="false" ht="15.75" hidden="false" customHeight="true" outlineLevel="0" collapsed="false">
      <c r="A1164" s="12" t="n">
        <v>12552</v>
      </c>
      <c r="B1164" s="13" t="s">
        <v>5122</v>
      </c>
      <c r="C1164" s="14" t="n">
        <v>45139</v>
      </c>
      <c r="D1164" s="13" t="s">
        <v>5030</v>
      </c>
      <c r="E1164" s="15" t="s">
        <v>47</v>
      </c>
      <c r="F1164" s="15" t="str">
        <f aca="false">IFERROR(__xludf.dummyfunction("XLOOKUP(AJ1164,IMPORTRANGE(""1XaInW9DU9nz21V0tYIfzFQ0He9kVQ_JF2mCXgZ3hqFA"",""REKAP ALL 2026 - Andika!G:G""),IMPORTRANGE(""1XaInW9DU9nz21V0tYIfzFQ0He9kVQ_JF2mCXgZ3hqFA"",""REKAP ALL 2026 - Andika!F:F""),"""",0)"),"23121249553")</f>
        <v>23121249553</v>
      </c>
      <c r="G1164" s="13" t="s">
        <v>5123</v>
      </c>
      <c r="H1164" s="13" t="s">
        <v>35</v>
      </c>
      <c r="I1164" s="13" t="str">
        <f aca="false">IF(C1164=J1164,"NEW KONTRAK","RE-KONTRAK")</f>
        <v>RE-KONTRAK</v>
      </c>
      <c r="J1164" s="16" t="n">
        <f aca="false" t="array" ref="J1164:J1164">IFERROR(INDEX(AC1164:AE1164,IF(COUNTA(AC1164:AE1164)=0,"",MAX((AC1164:AE1164&lt;&gt;"")*(COLUMN(AC1164:AE1164)-(COLUMN(AC1164)))))-1),"")</f>
        <v>45870</v>
      </c>
      <c r="K1164" s="16" t="n">
        <f aca="false" t="array" ref="K1164:K1164">IFERROR(INDEX(AC1164:AE1164,IF(COUNTA(AC1164:AE1164)=0,"",MAX((AC1164:AE1164&lt;&gt;"")*(COLUMN(AC1164:AE1164)-(COLUMN(AC1164)-1))))-1),"")</f>
        <v>46234</v>
      </c>
      <c r="L1164" s="17" t="str">
        <f aca="false" t="array" ref="L1164:L1164">IFERROR(INDEX(AC1164:AE1164,IF(COUNTA(AC1164:AE1164)=0,"",MAX((AC1164:AE1164&lt;&gt;"")*(COLUMN(AC1164:AE1164)-(COLUMN(AC1164)-2))))-1),"")</f>
        <v>ARCHIVED</v>
      </c>
      <c r="M1164" s="13" t="n">
        <f aca="true">K1164-TODAY()</f>
        <v>-90</v>
      </c>
      <c r="N1164" s="18" t="s">
        <v>728</v>
      </c>
      <c r="O1164" s="13" t="s">
        <v>5032</v>
      </c>
      <c r="P1164" s="27" t="n">
        <v>5195401</v>
      </c>
      <c r="Q1164" s="20" t="s">
        <v>5124</v>
      </c>
      <c r="R1164" s="13" t="s">
        <v>52</v>
      </c>
      <c r="S1164" s="14" t="n">
        <v>31534</v>
      </c>
      <c r="T1164" s="13" t="s">
        <v>40</v>
      </c>
      <c r="U1164" s="13" t="s">
        <v>5125</v>
      </c>
      <c r="V1164" s="13" t="s">
        <v>42</v>
      </c>
      <c r="W1164" s="13" t="s">
        <v>43</v>
      </c>
      <c r="X1164" s="21" t="n">
        <v>82116157512</v>
      </c>
      <c r="Y1164" s="22" t="str">
        <f aca="false">O1164</f>
        <v>Operator Genset</v>
      </c>
      <c r="Z1164" s="13" t="str">
        <f aca="false">IFERROR(__xludf.dummyfunction("if(BJ1164="""","""",GOOGLETRANSLATE(BJ1164,""auto"",""en""))"),"Generator Operator")</f>
        <v>Generator Operator</v>
      </c>
      <c r="AA1164" s="23" t="str">
        <f aca="false">IF(C1164="","", CHOOSE(MONTH(C1164),"January","February","March","April","May","June","July","August","September","October","November","December")&amp;" "&amp;DAY(C1164)&amp;MID("thstndrdth",MIN(9,2*RIGHT(DAY(C1164))*(MOD(DAY(C1164)-11,100)&gt;2)+1),2)&amp;","&amp;TEXT(C1164," yyyy"))</f>
        <v>August 1st,2023</v>
      </c>
      <c r="AB1164" s="15" t="str">
        <f aca="true">IF(S1164="","",DATEDIF(S1164,TODAY(),"Y")&amp;" Tahun, "&amp;DATEDIF(S1164,TODAY(),"YM")&amp;" Bulan, "&amp;DATEDIF(S1164,TODAY(),"MD")&amp;" Hari")</f>
        <v>40 Tahun, 5 Bulan, 27 Hari</v>
      </c>
      <c r="AC1164" s="18" t="n">
        <v>45870</v>
      </c>
      <c r="AD1164" s="18" t="n">
        <v>46234</v>
      </c>
      <c r="AE1164" s="18" t="s">
        <v>44</v>
      </c>
    </row>
    <row r="1165" customFormat="false" ht="15.75" hidden="false" customHeight="true" outlineLevel="0" collapsed="false">
      <c r="A1165" s="12" t="n">
        <v>12553</v>
      </c>
      <c r="B1165" s="13" t="s">
        <v>5126</v>
      </c>
      <c r="C1165" s="14" t="n">
        <v>45139</v>
      </c>
      <c r="D1165" s="13" t="s">
        <v>5030</v>
      </c>
      <c r="E1165" s="15" t="s">
        <v>47</v>
      </c>
      <c r="F1165" s="15" t="str">
        <f aca="false">IFERROR(__xludf.dummyfunction("XLOOKUP(AJ1165,IMPORTRANGE(""1XaInW9DU9nz21V0tYIfzFQ0He9kVQ_JF2mCXgZ3hqFA"",""REKAP ALL 2026 - Andika!G:G""),IMPORTRANGE(""1XaInW9DU9nz21V0tYIfzFQ0He9kVQ_JF2mCXgZ3hqFA"",""REKAP ALL 2026 - Andika!F:F""),"""",0)"),"23121249686")</f>
        <v>23121249686</v>
      </c>
      <c r="G1165" s="13" t="s">
        <v>5127</v>
      </c>
      <c r="H1165" s="13" t="s">
        <v>35</v>
      </c>
      <c r="I1165" s="13" t="str">
        <f aca="false">IF(C1165=J1165,"NEW KONTRAK","RE-KONTRAK")</f>
        <v>RE-KONTRAK</v>
      </c>
      <c r="J1165" s="16" t="n">
        <f aca="false" t="array" ref="J1165:J1165">IFERROR(INDEX(AC1165:AE1165,IF(COUNTA(AC1165:AE1165)=0,"",MAX((AC1165:AE1165&lt;&gt;"")*(COLUMN(AC1165:AE1165)-(COLUMN(AC1165)))))-1),"")</f>
        <v>45870</v>
      </c>
      <c r="K1165" s="16" t="n">
        <f aca="false" t="array" ref="K1165:K1165">IFERROR(INDEX(AC1165:AE1165,IF(COUNTA(AC1165:AE1165)=0,"",MAX((AC1165:AE1165&lt;&gt;"")*(COLUMN(AC1165:AE1165)-(COLUMN(AC1165)-1))))-1),"")</f>
        <v>46234</v>
      </c>
      <c r="L1165" s="17" t="str">
        <f aca="false" t="array" ref="L1165:L1165">IFERROR(INDEX(AC1165:AE1165,IF(COUNTA(AC1165:AE1165)=0,"",MAX((AC1165:AE1165&lt;&gt;"")*(COLUMN(AC1165:AE1165)-(COLUMN(AC1165)-2))))-1),"")</f>
        <v>ARCHIVED</v>
      </c>
      <c r="M1165" s="13" t="n">
        <f aca="true">K1165-TODAY()</f>
        <v>-90</v>
      </c>
      <c r="N1165" s="18" t="s">
        <v>728</v>
      </c>
      <c r="O1165" s="13" t="s">
        <v>5032</v>
      </c>
      <c r="P1165" s="27" t="n">
        <v>5195401</v>
      </c>
      <c r="Q1165" s="20" t="s">
        <v>5128</v>
      </c>
      <c r="R1165" s="13" t="s">
        <v>324</v>
      </c>
      <c r="S1165" s="14" t="n">
        <v>35986</v>
      </c>
      <c r="T1165" s="13" t="s">
        <v>40</v>
      </c>
      <c r="U1165" s="13" t="s">
        <v>5129</v>
      </c>
      <c r="V1165" s="13" t="s">
        <v>42</v>
      </c>
      <c r="W1165" s="13" t="s">
        <v>43</v>
      </c>
      <c r="X1165" s="21" t="n">
        <v>85770234352</v>
      </c>
      <c r="Y1165" s="22" t="str">
        <f aca="false">O1165</f>
        <v>Operator Genset</v>
      </c>
      <c r="Z1165" s="13" t="str">
        <f aca="false">IFERROR(__xludf.dummyfunction("if(BJ1165="""","""",GOOGLETRANSLATE(BJ1165,""auto"",""en""))"),"Generator Operator")</f>
        <v>Generator Operator</v>
      </c>
      <c r="AA1165" s="23" t="str">
        <f aca="false">IF(C1165="","", CHOOSE(MONTH(C1165),"January","February","March","April","May","June","July","August","September","October","November","December")&amp;" "&amp;DAY(C1165)&amp;MID("thstndrdth",MIN(9,2*RIGHT(DAY(C1165))*(MOD(DAY(C1165)-11,100)&gt;2)+1),2)&amp;","&amp;TEXT(C1165," yyyy"))</f>
        <v>August 1st,2023</v>
      </c>
      <c r="AB1165" s="15" t="str">
        <f aca="true">IF(S1165="","",DATEDIF(S1165,TODAY(),"Y")&amp;" Tahun, "&amp;DATEDIF(S1165,TODAY(),"YM")&amp;" Bulan, "&amp;DATEDIF(S1165,TODAY(),"MD")&amp;" Hari")</f>
        <v>28 Tahun, 3 Bulan, 19 Hari</v>
      </c>
      <c r="AC1165" s="18" t="n">
        <v>45870</v>
      </c>
      <c r="AD1165" s="18" t="n">
        <v>46234</v>
      </c>
      <c r="AE1165" s="18" t="s">
        <v>44</v>
      </c>
    </row>
    <row r="1166" customFormat="false" ht="15.75" hidden="false" customHeight="true" outlineLevel="0" collapsed="false">
      <c r="A1166" s="12" t="n">
        <v>12554</v>
      </c>
      <c r="B1166" s="13" t="s">
        <v>5130</v>
      </c>
      <c r="C1166" s="14" t="n">
        <v>45139</v>
      </c>
      <c r="D1166" s="13" t="s">
        <v>5030</v>
      </c>
      <c r="E1166" s="15" t="s">
        <v>47</v>
      </c>
      <c r="F1166" s="15" t="str">
        <f aca="false">IFERROR(__xludf.dummyfunction("XLOOKUP(AJ1166,IMPORTRANGE(""1XaInW9DU9nz21V0tYIfzFQ0He9kVQ_JF2mCXgZ3hqFA"",""REKAP ALL 2026 - Andika!G:G""),IMPORTRANGE(""1XaInW9DU9nz21V0tYIfzFQ0He9kVQ_JF2mCXgZ3hqFA"",""REKAP ALL 2026 - Andika!F:F""),"""",0)"),"23121249116")</f>
        <v>23121249116</v>
      </c>
      <c r="G1166" s="13" t="s">
        <v>5131</v>
      </c>
      <c r="H1166" s="13" t="s">
        <v>35</v>
      </c>
      <c r="I1166" s="13" t="str">
        <f aca="false">IF(C1166=J1166,"NEW KONTRAK","RE-KONTRAK")</f>
        <v>RE-KONTRAK</v>
      </c>
      <c r="J1166" s="16" t="n">
        <f aca="false" t="array" ref="J1166:J1166">IFERROR(INDEX(AC1166:AE1166,IF(COUNTA(AC1166:AE1166)=0,"",MAX((AC1166:AE1166&lt;&gt;"")*(COLUMN(AC1166:AE1166)-(COLUMN(AC1166)))))-1),"")</f>
        <v>45870</v>
      </c>
      <c r="K1166" s="16" t="n">
        <f aca="false" t="array" ref="K1166:K1166">IFERROR(INDEX(AC1166:AE1166,IF(COUNTA(AC1166:AE1166)=0,"",MAX((AC1166:AE1166&lt;&gt;"")*(COLUMN(AC1166:AE1166)-(COLUMN(AC1166)-1))))-1),"")</f>
        <v>46234</v>
      </c>
      <c r="L1166" s="17" t="str">
        <f aca="false" t="array" ref="L1166:L1166">IFERROR(INDEX(AC1166:AE1166,IF(COUNTA(AC1166:AE1166)=0,"",MAX((AC1166:AE1166&lt;&gt;"")*(COLUMN(AC1166:AE1166)-(COLUMN(AC1166)-2))))-1),"")</f>
        <v>ARCHIVED</v>
      </c>
      <c r="M1166" s="13" t="n">
        <f aca="true">K1166-TODAY()</f>
        <v>-90</v>
      </c>
      <c r="N1166" s="18" t="s">
        <v>728</v>
      </c>
      <c r="O1166" s="13" t="s">
        <v>5032</v>
      </c>
      <c r="P1166" s="27" t="n">
        <v>5195401</v>
      </c>
      <c r="Q1166" s="20" t="s">
        <v>5132</v>
      </c>
      <c r="R1166" s="13" t="s">
        <v>52</v>
      </c>
      <c r="S1166" s="14" t="n">
        <v>35276</v>
      </c>
      <c r="T1166" s="13" t="s">
        <v>40</v>
      </c>
      <c r="U1166" s="13" t="s">
        <v>5133</v>
      </c>
      <c r="V1166" s="13" t="s">
        <v>42</v>
      </c>
      <c r="W1166" s="13" t="s">
        <v>43</v>
      </c>
      <c r="X1166" s="21" t="n">
        <v>81235618306</v>
      </c>
      <c r="Y1166" s="22" t="str">
        <f aca="false">O1166</f>
        <v>Operator Genset</v>
      </c>
      <c r="Z1166" s="13" t="str">
        <f aca="false">IFERROR(__xludf.dummyfunction("if(BJ1166="""","""",GOOGLETRANSLATE(BJ1166,""auto"",""en""))"),"Generator Operator")</f>
        <v>Generator Operator</v>
      </c>
      <c r="AA1166" s="23" t="str">
        <f aca="false">IF(C1166="","", CHOOSE(MONTH(C1166),"January","February","March","April","May","June","July","August","September","October","November","December")&amp;" "&amp;DAY(C1166)&amp;MID("thstndrdth",MIN(9,2*RIGHT(DAY(C1166))*(MOD(DAY(C1166)-11,100)&gt;2)+1),2)&amp;","&amp;TEXT(C1166," yyyy"))</f>
        <v>August 1st,2023</v>
      </c>
      <c r="AB1166" s="15" t="str">
        <f aca="true">IF(S1166="","",DATEDIF(S1166,TODAY(),"Y")&amp;" Tahun, "&amp;DATEDIF(S1166,TODAY(),"YM")&amp;" Bulan, "&amp;DATEDIF(S1166,TODAY(),"MD")&amp;" Hari")</f>
        <v>30 Tahun, 2 Bulan, 29 Hari</v>
      </c>
      <c r="AC1166" s="18" t="n">
        <v>45870</v>
      </c>
      <c r="AD1166" s="18" t="n">
        <v>46234</v>
      </c>
      <c r="AE1166" s="18" t="s">
        <v>44</v>
      </c>
    </row>
    <row r="1167" customFormat="false" ht="15.75" hidden="false" customHeight="true" outlineLevel="0" collapsed="false">
      <c r="A1167" s="12" t="n">
        <v>12555</v>
      </c>
      <c r="B1167" s="13" t="s">
        <v>5134</v>
      </c>
      <c r="C1167" s="14" t="n">
        <v>45139</v>
      </c>
      <c r="D1167" s="13" t="s">
        <v>5030</v>
      </c>
      <c r="E1167" s="15" t="s">
        <v>102</v>
      </c>
      <c r="F1167" s="15" t="str">
        <f aca="false">IFERROR(__xludf.dummyfunction("XLOOKUP(AJ1167,IMPORTRANGE(""1XaInW9DU9nz21V0tYIfzFQ0He9kVQ_JF2mCXgZ3hqFA"",""REKAP ALL 2026 - Andika!G:G""),IMPORTRANGE(""1XaInW9DU9nz21V0tYIfzFQ0He9kVQ_JF2mCXgZ3hqFA"",""REKAP ALL 2026 - Andika!F:F""),"""",0)"),"23121249082")</f>
        <v>23121249082</v>
      </c>
      <c r="G1167" s="13" t="s">
        <v>5135</v>
      </c>
      <c r="H1167" s="13" t="s">
        <v>35</v>
      </c>
      <c r="I1167" s="13" t="str">
        <f aca="false">IF(C1167=J1167,"NEW KONTRAK","RE-KONTRAK")</f>
        <v>RE-KONTRAK</v>
      </c>
      <c r="J1167" s="16" t="n">
        <f aca="false" t="array" ref="J1167:J1167">IFERROR(INDEX(AC1167:AE1167,IF(COUNTA(AC1167:AE1167)=0,"",MAX((AC1167:AE1167&lt;&gt;"")*(COLUMN(AC1167:AE1167)-(COLUMN(AC1167)))))-1),"")</f>
        <v>45870</v>
      </c>
      <c r="K1167" s="16" t="n">
        <f aca="false" t="array" ref="K1167:K1167">IFERROR(INDEX(AC1167:AE1167,IF(COUNTA(AC1167:AE1167)=0,"",MAX((AC1167:AE1167&lt;&gt;"")*(COLUMN(AC1167:AE1167)-(COLUMN(AC1167)-1))))-1),"")</f>
        <v>46234</v>
      </c>
      <c r="L1167" s="17" t="str">
        <f aca="false" t="array" ref="L1167:L1167">IFERROR(INDEX(AC1167:AE1167,IF(COUNTA(AC1167:AE1167)=0,"",MAX((AC1167:AE1167&lt;&gt;"")*(COLUMN(AC1167:AE1167)-(COLUMN(AC1167)-2))))-1),"")</f>
        <v>ARCHIVED</v>
      </c>
      <c r="M1167" s="13" t="n">
        <f aca="true">K1167-TODAY()</f>
        <v>-90</v>
      </c>
      <c r="N1167" s="18" t="s">
        <v>728</v>
      </c>
      <c r="O1167" s="13" t="s">
        <v>5032</v>
      </c>
      <c r="P1167" s="27" t="n">
        <v>5195401</v>
      </c>
      <c r="Q1167" s="20" t="s">
        <v>5136</v>
      </c>
      <c r="R1167" s="13" t="s">
        <v>52</v>
      </c>
      <c r="S1167" s="14" t="n">
        <v>30369</v>
      </c>
      <c r="T1167" s="13" t="s">
        <v>40</v>
      </c>
      <c r="U1167" s="13" t="s">
        <v>5137</v>
      </c>
      <c r="V1167" s="13" t="s">
        <v>42</v>
      </c>
      <c r="W1167" s="13" t="s">
        <v>54</v>
      </c>
      <c r="X1167" s="21" t="n">
        <v>85100226991</v>
      </c>
      <c r="Y1167" s="22" t="str">
        <f aca="false">O1167</f>
        <v>Operator Genset</v>
      </c>
      <c r="Z1167" s="13" t="str">
        <f aca="false">IFERROR(__xludf.dummyfunction("if(BJ1167="""","""",GOOGLETRANSLATE(BJ1167,""auto"",""en""))"),"Generator Operator")</f>
        <v>Generator Operator</v>
      </c>
      <c r="AA1167" s="23" t="str">
        <f aca="false">IF(C1167="","", CHOOSE(MONTH(C1167),"January","February","March","April","May","June","July","August","September","October","November","December")&amp;" "&amp;DAY(C1167)&amp;MID("thstndrdth",MIN(9,2*RIGHT(DAY(C1167))*(MOD(DAY(C1167)-11,100)&gt;2)+1),2)&amp;","&amp;TEXT(C1167," yyyy"))</f>
        <v>August 1st,2023</v>
      </c>
      <c r="AB1167" s="15" t="str">
        <f aca="true">IF(S1167="","",DATEDIF(S1167,TODAY(),"Y")&amp;" Tahun, "&amp;DATEDIF(S1167,TODAY(),"YM")&amp;" Bulan, "&amp;DATEDIF(S1167,TODAY(),"MD")&amp;" Hari")</f>
        <v>43 Tahun, 8 Bulan, 7 Hari</v>
      </c>
      <c r="AC1167" s="18" t="n">
        <v>45870</v>
      </c>
      <c r="AD1167" s="18" t="n">
        <v>46234</v>
      </c>
      <c r="AE1167" s="18" t="s">
        <v>44</v>
      </c>
    </row>
    <row r="1168" customFormat="false" ht="15.75" hidden="false" customHeight="true" outlineLevel="0" collapsed="false">
      <c r="A1168" s="12" t="n">
        <v>12556</v>
      </c>
      <c r="B1168" s="13" t="s">
        <v>5138</v>
      </c>
      <c r="C1168" s="14" t="n">
        <v>45139</v>
      </c>
      <c r="D1168" s="13" t="s">
        <v>5030</v>
      </c>
      <c r="E1168" s="15" t="s">
        <v>47</v>
      </c>
      <c r="F1168" s="15" t="str">
        <f aca="false">IFERROR(__xludf.dummyfunction("XLOOKUP(AJ1168,IMPORTRANGE(""1XaInW9DU9nz21V0tYIfzFQ0He9kVQ_JF2mCXgZ3hqFA"",""REKAP ALL 2026 - Andika!G:G""),IMPORTRANGE(""1XaInW9DU9nz21V0tYIfzFQ0He9kVQ_JF2mCXgZ3hqFA"",""REKAP ALL 2026 - Andika!F:F""),"""",0)"),"23121249629")</f>
        <v>23121249629</v>
      </c>
      <c r="G1168" s="13" t="s">
        <v>5139</v>
      </c>
      <c r="H1168" s="13" t="s">
        <v>35</v>
      </c>
      <c r="I1168" s="13" t="str">
        <f aca="false">IF(C1168=J1168,"NEW KONTRAK","RE-KONTRAK")</f>
        <v>RE-KONTRAK</v>
      </c>
      <c r="J1168" s="16" t="n">
        <f aca="false" t="array" ref="J1168:J1168">IFERROR(INDEX(AC1168:AE1168,IF(COUNTA(AC1168:AE1168)=0,"",MAX((AC1168:AE1168&lt;&gt;"")*(COLUMN(AC1168:AE1168)-(COLUMN(AC1168)))))-1),"")</f>
        <v>45870</v>
      </c>
      <c r="K1168" s="16" t="n">
        <f aca="false" t="array" ref="K1168:K1168">IFERROR(INDEX(AC1168:AE1168,IF(COUNTA(AC1168:AE1168)=0,"",MAX((AC1168:AE1168&lt;&gt;"")*(COLUMN(AC1168:AE1168)-(COLUMN(AC1168)-1))))-1),"")</f>
        <v>46234</v>
      </c>
      <c r="L1168" s="17" t="str">
        <f aca="false" t="array" ref="L1168:L1168">IFERROR(INDEX(AC1168:AE1168,IF(COUNTA(AC1168:AE1168)=0,"",MAX((AC1168:AE1168&lt;&gt;"")*(COLUMN(AC1168:AE1168)-(COLUMN(AC1168)-2))))-1),"")</f>
        <v>ARCHIVED</v>
      </c>
      <c r="M1168" s="13" t="n">
        <f aca="true">K1168-TODAY()</f>
        <v>-90</v>
      </c>
      <c r="N1168" s="18" t="s">
        <v>728</v>
      </c>
      <c r="O1168" s="13" t="s">
        <v>5032</v>
      </c>
      <c r="P1168" s="27" t="n">
        <v>5195401</v>
      </c>
      <c r="Q1168" s="20" t="s">
        <v>5140</v>
      </c>
      <c r="R1168" s="13" t="s">
        <v>52</v>
      </c>
      <c r="S1168" s="14" t="n">
        <v>32533</v>
      </c>
      <c r="T1168" s="13" t="s">
        <v>40</v>
      </c>
      <c r="U1168" s="13" t="s">
        <v>5141</v>
      </c>
      <c r="V1168" s="13" t="s">
        <v>42</v>
      </c>
      <c r="W1168" s="13" t="s">
        <v>43</v>
      </c>
      <c r="X1168" s="21" t="n">
        <v>82248042082</v>
      </c>
      <c r="Y1168" s="22" t="str">
        <f aca="false">O1168</f>
        <v>Operator Genset</v>
      </c>
      <c r="Z1168" s="13" t="str">
        <f aca="false">IFERROR(__xludf.dummyfunction("if(BJ1168="""","""",GOOGLETRANSLATE(BJ1168,""auto"",""en""))"),"Generator Operator")</f>
        <v>Generator Operator</v>
      </c>
      <c r="AA1168" s="23" t="str">
        <f aca="false">IF(C1168="","", CHOOSE(MONTH(C1168),"January","February","March","April","May","June","July","August","September","October","November","December")&amp;" "&amp;DAY(C1168)&amp;MID("thstndrdth",MIN(9,2*RIGHT(DAY(C1168))*(MOD(DAY(C1168)-11,100)&gt;2)+1),2)&amp;","&amp;TEXT(C1168," yyyy"))</f>
        <v>August 1st,2023</v>
      </c>
      <c r="AB1168" s="15" t="str">
        <f aca="true">IF(S1168="","",DATEDIF(S1168,TODAY(),"Y")&amp;" Tahun, "&amp;DATEDIF(S1168,TODAY(),"YM")&amp;" Bulan, "&amp;DATEDIF(S1168,TODAY(),"MD")&amp;" Hari")</f>
        <v>37 Tahun, 9 Bulan, 4 Hari</v>
      </c>
      <c r="AC1168" s="18" t="n">
        <v>45870</v>
      </c>
      <c r="AD1168" s="18" t="n">
        <v>46234</v>
      </c>
      <c r="AE1168" s="18" t="s">
        <v>44</v>
      </c>
    </row>
    <row r="1169" customFormat="false" ht="15.75" hidden="false" customHeight="true" outlineLevel="0" collapsed="false">
      <c r="A1169" s="12" t="n">
        <v>12557</v>
      </c>
      <c r="B1169" s="13" t="s">
        <v>5142</v>
      </c>
      <c r="C1169" s="14" t="n">
        <v>45139</v>
      </c>
      <c r="D1169" s="13" t="s">
        <v>5030</v>
      </c>
      <c r="E1169" s="15" t="s">
        <v>47</v>
      </c>
      <c r="F1169" s="15" t="str">
        <f aca="false">IFERROR(__xludf.dummyfunction("XLOOKUP(AJ1169,IMPORTRANGE(""1XaInW9DU9nz21V0tYIfzFQ0He9kVQ_JF2mCXgZ3hqFA"",""REKAP ALL 2026 - Andika!G:G""),IMPORTRANGE(""1XaInW9DU9nz21V0tYIfzFQ0He9kVQ_JF2mCXgZ3hqFA"",""REKAP ALL 2026 - Andika!F:F""),"""",0)"),"23121249140")</f>
        <v>23121249140</v>
      </c>
      <c r="G1169" s="13" t="s">
        <v>5143</v>
      </c>
      <c r="H1169" s="13" t="s">
        <v>35</v>
      </c>
      <c r="I1169" s="13" t="str">
        <f aca="false">IF(C1169=J1169,"NEW KONTRAK","RE-KONTRAK")</f>
        <v>RE-KONTRAK</v>
      </c>
      <c r="J1169" s="16" t="n">
        <f aca="false" t="array" ref="J1169:J1169">IFERROR(INDEX(AC1169:AE1169,IF(COUNTA(AC1169:AE1169)=0,"",MAX((AC1169:AE1169&lt;&gt;"")*(COLUMN(AC1169:AE1169)-(COLUMN(AC1169)))))-1),"")</f>
        <v>45870</v>
      </c>
      <c r="K1169" s="16" t="n">
        <f aca="false" t="array" ref="K1169:K1169">IFERROR(INDEX(AC1169:AE1169,IF(COUNTA(AC1169:AE1169)=0,"",MAX((AC1169:AE1169&lt;&gt;"")*(COLUMN(AC1169:AE1169)-(COLUMN(AC1169)-1))))-1),"")</f>
        <v>46234</v>
      </c>
      <c r="L1169" s="17" t="str">
        <f aca="false" t="array" ref="L1169:L1169">IFERROR(INDEX(AC1169:AE1169,IF(COUNTA(AC1169:AE1169)=0,"",MAX((AC1169:AE1169&lt;&gt;"")*(COLUMN(AC1169:AE1169)-(COLUMN(AC1169)-2))))-1),"")</f>
        <v>ARCHIVED</v>
      </c>
      <c r="M1169" s="13" t="n">
        <f aca="true">K1169-TODAY()</f>
        <v>-90</v>
      </c>
      <c r="N1169" s="18" t="s">
        <v>728</v>
      </c>
      <c r="O1169" s="13" t="s">
        <v>5032</v>
      </c>
      <c r="P1169" s="27" t="n">
        <v>5195401</v>
      </c>
      <c r="Q1169" s="20" t="s">
        <v>5144</v>
      </c>
      <c r="R1169" s="13" t="s">
        <v>73</v>
      </c>
      <c r="S1169" s="14" t="n">
        <v>36618</v>
      </c>
      <c r="T1169" s="13" t="s">
        <v>40</v>
      </c>
      <c r="U1169" s="13" t="s">
        <v>5145</v>
      </c>
      <c r="V1169" s="13" t="s">
        <v>42</v>
      </c>
      <c r="W1169" s="13" t="s">
        <v>43</v>
      </c>
      <c r="X1169" s="21" t="n">
        <v>85704215834</v>
      </c>
      <c r="Y1169" s="22" t="str">
        <f aca="false">O1169</f>
        <v>Operator Genset</v>
      </c>
      <c r="Z1169" s="13" t="str">
        <f aca="false">IFERROR(__xludf.dummyfunction("if(BJ1169="""","""",GOOGLETRANSLATE(BJ1169,""auto"",""en""))"),"Generator Operator")</f>
        <v>Generator Operator</v>
      </c>
      <c r="AA1169" s="23" t="str">
        <f aca="false">IF(C1169="","", CHOOSE(MONTH(C1169),"January","February","March","April","May","June","July","August","September","October","November","December")&amp;" "&amp;DAY(C1169)&amp;MID("thstndrdth",MIN(9,2*RIGHT(DAY(C1169))*(MOD(DAY(C1169)-11,100)&gt;2)+1),2)&amp;","&amp;TEXT(C1169," yyyy"))</f>
        <v>August 1st,2023</v>
      </c>
      <c r="AB1169" s="15" t="str">
        <f aca="true">IF(S1169="","",DATEDIF(S1169,TODAY(),"Y")&amp;" Tahun, "&amp;DATEDIF(S1169,TODAY(),"YM")&amp;" Bulan, "&amp;DATEDIF(S1169,TODAY(),"MD")&amp;" Hari")</f>
        <v>26 Tahun, 6 Bulan, 27 Hari</v>
      </c>
      <c r="AC1169" s="18" t="n">
        <v>45870</v>
      </c>
      <c r="AD1169" s="18" t="n">
        <v>46234</v>
      </c>
      <c r="AE1169" s="18" t="s">
        <v>44</v>
      </c>
    </row>
    <row r="1170" customFormat="false" ht="15.75" hidden="false" customHeight="true" outlineLevel="0" collapsed="false">
      <c r="A1170" s="12" t="n">
        <v>12561</v>
      </c>
      <c r="B1170" s="13" t="s">
        <v>5146</v>
      </c>
      <c r="C1170" s="14" t="n">
        <v>45139</v>
      </c>
      <c r="D1170" s="13" t="s">
        <v>5030</v>
      </c>
      <c r="E1170" s="15" t="s">
        <v>47</v>
      </c>
      <c r="F1170" s="15" t="str">
        <f aca="false">IFERROR(__xludf.dummyfunction("XLOOKUP(AJ1170,IMPORTRANGE(""1XaInW9DU9nz21V0tYIfzFQ0He9kVQ_JF2mCXgZ3hqFA"",""REKAP ALL 2026 - Andika!G:G""),IMPORTRANGE(""1XaInW9DU9nz21V0tYIfzFQ0He9kVQ_JF2mCXgZ3hqFA"",""REKAP ALL 2026 - Andika!F:F""),"""",0)"),"23121249066")</f>
        <v>23121249066</v>
      </c>
      <c r="G1170" s="13" t="s">
        <v>5147</v>
      </c>
      <c r="H1170" s="13" t="s">
        <v>35</v>
      </c>
      <c r="I1170" s="13" t="str">
        <f aca="false">IF(C1170=J1170,"NEW KONTRAK","RE-KONTRAK")</f>
        <v>RE-KONTRAK</v>
      </c>
      <c r="J1170" s="16" t="n">
        <f aca="false" t="array" ref="J1170:J1170">IFERROR(INDEX(AC1170:AE1170,IF(COUNTA(AC1170:AE1170)=0,"",MAX((AC1170:AE1170&lt;&gt;"")*(COLUMN(AC1170:AE1170)-(COLUMN(AC1170)))))-1),"")</f>
        <v>45870</v>
      </c>
      <c r="K1170" s="16" t="n">
        <f aca="false" t="array" ref="K1170:K1170">IFERROR(INDEX(AC1170:AE1170,IF(COUNTA(AC1170:AE1170)=0,"",MAX((AC1170:AE1170&lt;&gt;"")*(COLUMN(AC1170:AE1170)-(COLUMN(AC1170)-1))))-1),"")</f>
        <v>46234</v>
      </c>
      <c r="L1170" s="17" t="str">
        <f aca="false" t="array" ref="L1170:L1170">IFERROR(INDEX(AC1170:AE1170,IF(COUNTA(AC1170:AE1170)=0,"",MAX((AC1170:AE1170&lt;&gt;"")*(COLUMN(AC1170:AE1170)-(COLUMN(AC1170)-2))))-1),"")</f>
        <v>ARCHIVED</v>
      </c>
      <c r="M1170" s="13" t="n">
        <f aca="true">K1170-TODAY()</f>
        <v>-90</v>
      </c>
      <c r="N1170" s="18" t="s">
        <v>728</v>
      </c>
      <c r="O1170" s="13" t="s">
        <v>5032</v>
      </c>
      <c r="P1170" s="27" t="n">
        <v>5195401</v>
      </c>
      <c r="Q1170" s="20" t="s">
        <v>5148</v>
      </c>
      <c r="R1170" s="13" t="s">
        <v>1695</v>
      </c>
      <c r="S1170" s="14" t="n">
        <v>34095</v>
      </c>
      <c r="T1170" s="13" t="s">
        <v>40</v>
      </c>
      <c r="U1170" s="13" t="s">
        <v>5149</v>
      </c>
      <c r="V1170" s="13" t="s">
        <v>42</v>
      </c>
      <c r="W1170" s="13" t="s">
        <v>54</v>
      </c>
      <c r="X1170" s="21" t="n">
        <v>859181280679</v>
      </c>
      <c r="Y1170" s="22" t="str">
        <f aca="false">O1170</f>
        <v>Operator Genset</v>
      </c>
      <c r="Z1170" s="13" t="str">
        <f aca="false">IFERROR(__xludf.dummyfunction("if(BJ1170="""","""",GOOGLETRANSLATE(BJ1170,""auto"",""en""))"),"Generator Operator")</f>
        <v>Generator Operator</v>
      </c>
      <c r="AA1170" s="23" t="str">
        <f aca="false">IF(C1170="","", CHOOSE(MONTH(C1170),"January","February","March","April","May","June","July","August","September","October","November","December")&amp;" "&amp;DAY(C1170)&amp;MID("thstndrdth",MIN(9,2*RIGHT(DAY(C1170))*(MOD(DAY(C1170)-11,100)&gt;2)+1),2)&amp;","&amp;TEXT(C1170," yyyy"))</f>
        <v>August 1st,2023</v>
      </c>
      <c r="AB1170" s="15" t="str">
        <f aca="true">IF(S1170="","",DATEDIF(S1170,TODAY(),"Y")&amp;" Tahun, "&amp;DATEDIF(S1170,TODAY(),"YM")&amp;" Bulan, "&amp;DATEDIF(S1170,TODAY(),"MD")&amp;" Hari")</f>
        <v>33 Tahun, 5 Bulan, 23 Hari</v>
      </c>
      <c r="AC1170" s="18" t="n">
        <v>45870</v>
      </c>
      <c r="AD1170" s="18" t="n">
        <v>46234</v>
      </c>
      <c r="AE1170" s="18" t="s">
        <v>44</v>
      </c>
    </row>
    <row r="1171" customFormat="false" ht="15.75" hidden="false" customHeight="true" outlineLevel="0" collapsed="false">
      <c r="A1171" s="12" t="n">
        <v>12562</v>
      </c>
      <c r="B1171" s="13" t="s">
        <v>5150</v>
      </c>
      <c r="C1171" s="14" t="n">
        <v>45139</v>
      </c>
      <c r="D1171" s="13" t="s">
        <v>5030</v>
      </c>
      <c r="E1171" s="15" t="s">
        <v>47</v>
      </c>
      <c r="F1171" s="15" t="str">
        <f aca="false">IFERROR(__xludf.dummyfunction("XLOOKUP(AJ1171,IMPORTRANGE(""1XaInW9DU9nz21V0tYIfzFQ0He9kVQ_JF2mCXgZ3hqFA"",""REKAP ALL 2026 - Andika!G:G""),IMPORTRANGE(""1XaInW9DU9nz21V0tYIfzFQ0He9kVQ_JF2mCXgZ3hqFA"",""REKAP ALL 2026 - Andika!F:F""),"""",0)"),"23121249223")</f>
        <v>23121249223</v>
      </c>
      <c r="G1171" s="13" t="s">
        <v>5151</v>
      </c>
      <c r="H1171" s="13" t="s">
        <v>35</v>
      </c>
      <c r="I1171" s="13" t="str">
        <f aca="false">IF(C1171=J1171,"NEW KONTRAK","RE-KONTRAK")</f>
        <v>RE-KONTRAK</v>
      </c>
      <c r="J1171" s="16" t="n">
        <f aca="false" t="array" ref="J1171:J1171">IFERROR(INDEX(AC1171:AE1171,IF(COUNTA(AC1171:AE1171)=0,"",MAX((AC1171:AE1171&lt;&gt;"")*(COLUMN(AC1171:AE1171)-(COLUMN(AC1171)))))-1),"")</f>
        <v>45870</v>
      </c>
      <c r="K1171" s="16" t="n">
        <f aca="false" t="array" ref="K1171:K1171">IFERROR(INDEX(AC1171:AE1171,IF(COUNTA(AC1171:AE1171)=0,"",MAX((AC1171:AE1171&lt;&gt;"")*(COLUMN(AC1171:AE1171)-(COLUMN(AC1171)-1))))-1),"")</f>
        <v>46234</v>
      </c>
      <c r="L1171" s="17" t="str">
        <f aca="false" t="array" ref="L1171:L1171">IFERROR(INDEX(AC1171:AE1171,IF(COUNTA(AC1171:AE1171)=0,"",MAX((AC1171:AE1171&lt;&gt;"")*(COLUMN(AC1171:AE1171)-(COLUMN(AC1171)-2))))-1),"")</f>
        <v>ARCHIVED</v>
      </c>
      <c r="M1171" s="13" t="n">
        <f aca="true">K1171-TODAY()</f>
        <v>-90</v>
      </c>
      <c r="N1171" s="18" t="s">
        <v>728</v>
      </c>
      <c r="O1171" s="13" t="s">
        <v>5032</v>
      </c>
      <c r="P1171" s="27" t="n">
        <v>5195401</v>
      </c>
      <c r="Q1171" s="20" t="s">
        <v>5152</v>
      </c>
      <c r="R1171" s="13" t="s">
        <v>73</v>
      </c>
      <c r="S1171" s="14" t="n">
        <v>35260</v>
      </c>
      <c r="T1171" s="13" t="s">
        <v>40</v>
      </c>
      <c r="U1171" s="13" t="s">
        <v>5153</v>
      </c>
      <c r="V1171" s="13" t="s">
        <v>42</v>
      </c>
      <c r="W1171" s="13" t="s">
        <v>43</v>
      </c>
      <c r="X1171" s="21" t="n">
        <v>82320004548</v>
      </c>
      <c r="Y1171" s="22" t="str">
        <f aca="false">O1171</f>
        <v>Operator Genset</v>
      </c>
      <c r="Z1171" s="13" t="str">
        <f aca="false">IFERROR(__xludf.dummyfunction("if(BJ1171="""","""",GOOGLETRANSLATE(BJ1171,""auto"",""en""))"),"Generator Operator")</f>
        <v>Generator Operator</v>
      </c>
      <c r="AA1171" s="23" t="str">
        <f aca="false">IF(C1171="","", CHOOSE(MONTH(C1171),"January","February","March","April","May","June","July","August","September","October","November","December")&amp;" "&amp;DAY(C1171)&amp;MID("thstndrdth",MIN(9,2*RIGHT(DAY(C1171))*(MOD(DAY(C1171)-11,100)&gt;2)+1),2)&amp;","&amp;TEXT(C1171," yyyy"))</f>
        <v>August 1st,2023</v>
      </c>
      <c r="AB1171" s="15" t="str">
        <f aca="true">IF(S1171="","",DATEDIF(S1171,TODAY(),"Y")&amp;" Tahun, "&amp;DATEDIF(S1171,TODAY(),"YM")&amp;" Bulan, "&amp;DATEDIF(S1171,TODAY(),"MD")&amp;" Hari")</f>
        <v>30 Tahun, 3 Bulan, 15 Hari</v>
      </c>
      <c r="AC1171" s="18" t="n">
        <v>45870</v>
      </c>
      <c r="AD1171" s="18" t="n">
        <v>46234</v>
      </c>
      <c r="AE1171" s="18" t="s">
        <v>44</v>
      </c>
    </row>
    <row r="1172" customFormat="false" ht="15.75" hidden="false" customHeight="true" outlineLevel="0" collapsed="false">
      <c r="A1172" s="12" t="n">
        <v>12563</v>
      </c>
      <c r="B1172" s="13" t="s">
        <v>5154</v>
      </c>
      <c r="C1172" s="14" t="n">
        <v>45139</v>
      </c>
      <c r="D1172" s="13" t="s">
        <v>5030</v>
      </c>
      <c r="E1172" s="15" t="s">
        <v>47</v>
      </c>
      <c r="F1172" s="15" t="str">
        <f aca="false">IFERROR(__xludf.dummyfunction("XLOOKUP(AJ1172,IMPORTRANGE(""1XaInW9DU9nz21V0tYIfzFQ0He9kVQ_JF2mCXgZ3hqFA"",""REKAP ALL 2026 - Andika!G:G""),IMPORTRANGE(""1XaInW9DU9nz21V0tYIfzFQ0He9kVQ_JF2mCXgZ3hqFA"",""REKAP ALL 2026 - Andika!F:F""),"""",0)"),"23121249041")</f>
        <v>23121249041</v>
      </c>
      <c r="G1172" s="13" t="s">
        <v>5155</v>
      </c>
      <c r="H1172" s="13" t="s">
        <v>35</v>
      </c>
      <c r="I1172" s="13" t="str">
        <f aca="false">IF(C1172=J1172,"NEW KONTRAK","RE-KONTRAK")</f>
        <v>RE-KONTRAK</v>
      </c>
      <c r="J1172" s="16" t="n">
        <f aca="false" t="array" ref="J1172:J1172">IFERROR(INDEX(AC1172:AE1172,IF(COUNTA(AC1172:AE1172)=0,"",MAX((AC1172:AE1172&lt;&gt;"")*(COLUMN(AC1172:AE1172)-(COLUMN(AC1172)))))-1),"")</f>
        <v>45870</v>
      </c>
      <c r="K1172" s="16" t="n">
        <f aca="false" t="array" ref="K1172:K1172">IFERROR(INDEX(AC1172:AE1172,IF(COUNTA(AC1172:AE1172)=0,"",MAX((AC1172:AE1172&lt;&gt;"")*(COLUMN(AC1172:AE1172)-(COLUMN(AC1172)-1))))-1),"")</f>
        <v>46234</v>
      </c>
      <c r="L1172" s="17" t="str">
        <f aca="false" t="array" ref="L1172:L1172">IFERROR(INDEX(AC1172:AE1172,IF(COUNTA(AC1172:AE1172)=0,"",MAX((AC1172:AE1172&lt;&gt;"")*(COLUMN(AC1172:AE1172)-(COLUMN(AC1172)-2))))-1),"")</f>
        <v>ARCHIVED</v>
      </c>
      <c r="M1172" s="13" t="n">
        <f aca="true">K1172-TODAY()</f>
        <v>-90</v>
      </c>
      <c r="N1172" s="18" t="s">
        <v>728</v>
      </c>
      <c r="O1172" s="13" t="s">
        <v>5032</v>
      </c>
      <c r="P1172" s="27" t="n">
        <v>5195401</v>
      </c>
      <c r="Q1172" s="20" t="s">
        <v>5156</v>
      </c>
      <c r="R1172" s="13" t="s">
        <v>227</v>
      </c>
      <c r="S1172" s="14" t="n">
        <v>32426</v>
      </c>
      <c r="T1172" s="13" t="s">
        <v>40</v>
      </c>
      <c r="U1172" s="13" t="s">
        <v>5157</v>
      </c>
      <c r="V1172" s="13" t="s">
        <v>42</v>
      </c>
      <c r="W1172" s="13" t="s">
        <v>54</v>
      </c>
      <c r="X1172" s="21" t="n">
        <v>81952885614</v>
      </c>
      <c r="Y1172" s="22" t="str">
        <f aca="false">O1172</f>
        <v>Operator Genset</v>
      </c>
      <c r="Z1172" s="13" t="str">
        <f aca="false">IFERROR(__xludf.dummyfunction("if(BJ1172="""","""",GOOGLETRANSLATE(BJ1172,""auto"",""en""))"),"Generator Operator")</f>
        <v>Generator Operator</v>
      </c>
      <c r="AA1172" s="23" t="str">
        <f aca="false">IF(C1172="","", CHOOSE(MONTH(C1172),"January","February","March","April","May","June","July","August","September","October","November","December")&amp;" "&amp;DAY(C1172)&amp;MID("thstndrdth",MIN(9,2*RIGHT(DAY(C1172))*(MOD(DAY(C1172)-11,100)&gt;2)+1),2)&amp;","&amp;TEXT(C1172," yyyy"))</f>
        <v>August 1st,2023</v>
      </c>
      <c r="AB1172" s="15" t="str">
        <f aca="true">IF(S1172="","",DATEDIF(S1172,TODAY(),"Y")&amp;" Tahun, "&amp;DATEDIF(S1172,TODAY(),"YM")&amp;" Bulan, "&amp;DATEDIF(S1172,TODAY(),"MD")&amp;" Hari")</f>
        <v>38 Tahun, 0 Bulan, 19 Hari</v>
      </c>
      <c r="AC1172" s="18" t="n">
        <v>45870</v>
      </c>
      <c r="AD1172" s="18" t="n">
        <v>46234</v>
      </c>
      <c r="AE1172" s="18" t="s">
        <v>44</v>
      </c>
    </row>
    <row r="1173" customFormat="false" ht="15.75" hidden="false" customHeight="true" outlineLevel="0" collapsed="false">
      <c r="A1173" s="12" t="n">
        <v>12564</v>
      </c>
      <c r="B1173" s="13" t="s">
        <v>5158</v>
      </c>
      <c r="C1173" s="14" t="n">
        <v>45139</v>
      </c>
      <c r="D1173" s="13" t="s">
        <v>5030</v>
      </c>
      <c r="E1173" s="15" t="s">
        <v>102</v>
      </c>
      <c r="F1173" s="24" t="s">
        <v>5159</v>
      </c>
      <c r="G1173" s="13" t="s">
        <v>5160</v>
      </c>
      <c r="H1173" s="13" t="s">
        <v>35</v>
      </c>
      <c r="I1173" s="13" t="str">
        <f aca="false">IF(C1173=J1173,"NEW KONTRAK","RE-KONTRAK")</f>
        <v>RE-KONTRAK</v>
      </c>
      <c r="J1173" s="16" t="n">
        <f aca="false" t="array" ref="J1173:J1173">IFERROR(INDEX(AC1173:AE1173,IF(COUNTA(AC1173:AE1173)=0,"",MAX((AC1173:AE1173&lt;&gt;"")*(COLUMN(AC1173:AE1173)-(COLUMN(AC1173)))))-1),"")</f>
        <v>45870</v>
      </c>
      <c r="K1173" s="16" t="n">
        <f aca="false" t="array" ref="K1173:K1173">IFERROR(INDEX(AC1173:AE1173,IF(COUNTA(AC1173:AE1173)=0,"",MAX((AC1173:AE1173&lt;&gt;"")*(COLUMN(AC1173:AE1173)-(COLUMN(AC1173)-1))))-1),"")</f>
        <v>46234</v>
      </c>
      <c r="L1173" s="17" t="str">
        <f aca="false" t="array" ref="L1173:L1173">IFERROR(INDEX(AC1173:AE1173,IF(COUNTA(AC1173:AE1173)=0,"",MAX((AC1173:AE1173&lt;&gt;"")*(COLUMN(AC1173:AE1173)-(COLUMN(AC1173)-2))))-1),"")</f>
        <v>ARCHIVED</v>
      </c>
      <c r="M1173" s="13" t="n">
        <f aca="true">K1173-TODAY()</f>
        <v>-90</v>
      </c>
      <c r="N1173" s="18" t="s">
        <v>728</v>
      </c>
      <c r="O1173" s="13" t="s">
        <v>5032</v>
      </c>
      <c r="P1173" s="27" t="n">
        <v>5195401</v>
      </c>
      <c r="Q1173" s="20" t="s">
        <v>5161</v>
      </c>
      <c r="R1173" s="13" t="s">
        <v>255</v>
      </c>
      <c r="S1173" s="14" t="n">
        <v>35259</v>
      </c>
      <c r="T1173" s="13" t="s">
        <v>40</v>
      </c>
      <c r="U1173" s="13" t="s">
        <v>5162</v>
      </c>
      <c r="V1173" s="13" t="s">
        <v>42</v>
      </c>
      <c r="W1173" s="13" t="s">
        <v>43</v>
      </c>
      <c r="X1173" s="21" t="n">
        <v>81358502891</v>
      </c>
      <c r="Y1173" s="22" t="str">
        <f aca="false">O1173</f>
        <v>Operator Genset</v>
      </c>
      <c r="Z1173" s="13" t="str">
        <f aca="false">IFERROR(__xludf.dummyfunction("if(BJ1173="""","""",GOOGLETRANSLATE(BJ1173,""auto"",""en""))"),"Generator Operator")</f>
        <v>Generator Operator</v>
      </c>
      <c r="AA1173" s="23" t="str">
        <f aca="false">IF(C1173="","", CHOOSE(MONTH(C1173),"January","February","March","April","May","June","July","August","September","October","November","December")&amp;" "&amp;DAY(C1173)&amp;MID("thstndrdth",MIN(9,2*RIGHT(DAY(C1173))*(MOD(DAY(C1173)-11,100)&gt;2)+1),2)&amp;","&amp;TEXT(C1173," yyyy"))</f>
        <v>August 1st,2023</v>
      </c>
      <c r="AB1173" s="15" t="str">
        <f aca="true">IF(S1173="","",DATEDIF(S1173,TODAY(),"Y")&amp;" Tahun, "&amp;DATEDIF(S1173,TODAY(),"YM")&amp;" Bulan, "&amp;DATEDIF(S1173,TODAY(),"MD")&amp;" Hari")</f>
        <v>30 Tahun, 3 Bulan, 16 Hari</v>
      </c>
      <c r="AC1173" s="18" t="n">
        <v>45870</v>
      </c>
      <c r="AD1173" s="18" t="n">
        <v>46234</v>
      </c>
      <c r="AE1173" s="18" t="s">
        <v>44</v>
      </c>
    </row>
    <row r="1174" customFormat="false" ht="15.75" hidden="false" customHeight="true" outlineLevel="0" collapsed="false">
      <c r="A1174" s="12" t="n">
        <v>12567</v>
      </c>
      <c r="B1174" s="13" t="s">
        <v>5163</v>
      </c>
      <c r="C1174" s="14" t="n">
        <v>45139</v>
      </c>
      <c r="D1174" s="13" t="s">
        <v>5030</v>
      </c>
      <c r="E1174" s="15" t="s">
        <v>47</v>
      </c>
      <c r="F1174" s="15" t="str">
        <f aca="false">IFERROR(__xludf.dummyfunction("XLOOKUP(AJ1174,IMPORTRANGE(""1XaInW9DU9nz21V0tYIfzFQ0He9kVQ_JF2mCXgZ3hqFA"",""REKAP ALL 2026 - Andika!G:G""),IMPORTRANGE(""1XaInW9DU9nz21V0tYIfzFQ0He9kVQ_JF2mCXgZ3hqFA"",""REKAP ALL 2026 - Andika!F:F""),"""",0)"),"23121249306")</f>
        <v>23121249306</v>
      </c>
      <c r="G1174" s="13" t="s">
        <v>5164</v>
      </c>
      <c r="H1174" s="13" t="s">
        <v>35</v>
      </c>
      <c r="I1174" s="13" t="str">
        <f aca="false">IF(C1174=J1174,"NEW KONTRAK","RE-KONTRAK")</f>
        <v>RE-KONTRAK</v>
      </c>
      <c r="J1174" s="16" t="n">
        <f aca="false" t="array" ref="J1174:J1174">IFERROR(INDEX(AC1174:AE1174,IF(COUNTA(AC1174:AE1174)=0,"",MAX((AC1174:AE1174&lt;&gt;"")*(COLUMN(AC1174:AE1174)-(COLUMN(AC1174)))))-1),"")</f>
        <v>45870</v>
      </c>
      <c r="K1174" s="16" t="n">
        <f aca="false" t="array" ref="K1174:K1174">IFERROR(INDEX(AC1174:AE1174,IF(COUNTA(AC1174:AE1174)=0,"",MAX((AC1174:AE1174&lt;&gt;"")*(COLUMN(AC1174:AE1174)-(COLUMN(AC1174)-1))))-1),"")</f>
        <v>46234</v>
      </c>
      <c r="L1174" s="17" t="str">
        <f aca="false" t="array" ref="L1174:L1174">IFERROR(INDEX(AC1174:AE1174,IF(COUNTA(AC1174:AE1174)=0,"",MAX((AC1174:AE1174&lt;&gt;"")*(COLUMN(AC1174:AE1174)-(COLUMN(AC1174)-2))))-1),"")</f>
        <v>ARCHIVED</v>
      </c>
      <c r="M1174" s="13" t="n">
        <f aca="true">K1174-TODAY()</f>
        <v>-90</v>
      </c>
      <c r="N1174" s="18" t="s">
        <v>728</v>
      </c>
      <c r="O1174" s="13" t="s">
        <v>5032</v>
      </c>
      <c r="P1174" s="27" t="n">
        <v>5195401</v>
      </c>
      <c r="Q1174" s="20" t="s">
        <v>5165</v>
      </c>
      <c r="R1174" s="13" t="s">
        <v>39</v>
      </c>
      <c r="S1174" s="14" t="n">
        <v>33768</v>
      </c>
      <c r="T1174" s="13" t="s">
        <v>40</v>
      </c>
      <c r="U1174" s="13" t="s">
        <v>5166</v>
      </c>
      <c r="V1174" s="13" t="s">
        <v>42</v>
      </c>
      <c r="W1174" s="13" t="s">
        <v>43</v>
      </c>
      <c r="X1174" s="21" t="n">
        <v>81259780400</v>
      </c>
      <c r="Y1174" s="22" t="str">
        <f aca="false">O1174</f>
        <v>Operator Genset</v>
      </c>
      <c r="Z1174" s="13" t="str">
        <f aca="false">IFERROR(__xludf.dummyfunction("if(BJ1174="""","""",GOOGLETRANSLATE(BJ1174,""auto"",""en""))"),"Generator Operator")</f>
        <v>Generator Operator</v>
      </c>
      <c r="AA1174" s="23" t="str">
        <f aca="false">IF(C1174="","", CHOOSE(MONTH(C1174),"January","February","March","April","May","June","July","August","September","October","November","December")&amp;" "&amp;DAY(C1174)&amp;MID("thstndrdth",MIN(9,2*RIGHT(DAY(C1174))*(MOD(DAY(C1174)-11,100)&gt;2)+1),2)&amp;","&amp;TEXT(C1174," yyyy"))</f>
        <v>August 1st,2023</v>
      </c>
      <c r="AB1174" s="15" t="str">
        <f aca="true">IF(S1174="","",DATEDIF(S1174,TODAY(),"Y")&amp;" Tahun, "&amp;DATEDIF(S1174,TODAY(),"YM")&amp;" Bulan, "&amp;DATEDIF(S1174,TODAY(),"MD")&amp;" Hari")</f>
        <v>34 Tahun, 4 Bulan, 16 Hari</v>
      </c>
      <c r="AC1174" s="18" t="n">
        <v>45870</v>
      </c>
      <c r="AD1174" s="18" t="n">
        <v>46234</v>
      </c>
      <c r="AE1174" s="18" t="s">
        <v>44</v>
      </c>
    </row>
    <row r="1175" customFormat="false" ht="15.75" hidden="false" customHeight="true" outlineLevel="0" collapsed="false">
      <c r="A1175" s="12" t="n">
        <v>12568</v>
      </c>
      <c r="B1175" s="13" t="s">
        <v>5167</v>
      </c>
      <c r="C1175" s="14" t="n">
        <v>45139</v>
      </c>
      <c r="D1175" s="13" t="s">
        <v>5030</v>
      </c>
      <c r="E1175" s="15" t="s">
        <v>47</v>
      </c>
      <c r="F1175" s="15" t="str">
        <f aca="false">IFERROR(__xludf.dummyfunction("XLOOKUP(AJ1175,IMPORTRANGE(""1XaInW9DU9nz21V0tYIfzFQ0He9kVQ_JF2mCXgZ3hqFA"",""REKAP ALL 2026 - Andika!G:G""),IMPORTRANGE(""1XaInW9DU9nz21V0tYIfzFQ0He9kVQ_JF2mCXgZ3hqFA"",""REKAP ALL 2026 - Andika!F:F""),"""",0)"),"23121249207")</f>
        <v>23121249207</v>
      </c>
      <c r="G1175" s="13" t="s">
        <v>5168</v>
      </c>
      <c r="H1175" s="13" t="s">
        <v>35</v>
      </c>
      <c r="I1175" s="13" t="str">
        <f aca="false">IF(C1175=J1175,"NEW KONTRAK","RE-KONTRAK")</f>
        <v>RE-KONTRAK</v>
      </c>
      <c r="J1175" s="16" t="n">
        <f aca="false" t="array" ref="J1175:J1175">IFERROR(INDEX(AC1175:AE1175,IF(COUNTA(AC1175:AE1175)=0,"",MAX((AC1175:AE1175&lt;&gt;"")*(COLUMN(AC1175:AE1175)-(COLUMN(AC1175)))))-1),"")</f>
        <v>45870</v>
      </c>
      <c r="K1175" s="16" t="n">
        <f aca="false" t="array" ref="K1175:K1175">IFERROR(INDEX(AC1175:AE1175,IF(COUNTA(AC1175:AE1175)=0,"",MAX((AC1175:AE1175&lt;&gt;"")*(COLUMN(AC1175:AE1175)-(COLUMN(AC1175)-1))))-1),"")</f>
        <v>46234</v>
      </c>
      <c r="L1175" s="17" t="str">
        <f aca="false" t="array" ref="L1175:L1175">IFERROR(INDEX(AC1175:AE1175,IF(COUNTA(AC1175:AE1175)=0,"",MAX((AC1175:AE1175&lt;&gt;"")*(COLUMN(AC1175:AE1175)-(COLUMN(AC1175)-2))))-1),"")</f>
        <v>ARCHIVED</v>
      </c>
      <c r="M1175" s="13" t="n">
        <f aca="true">K1175-TODAY()</f>
        <v>-90</v>
      </c>
      <c r="N1175" s="18" t="s">
        <v>728</v>
      </c>
      <c r="O1175" s="13" t="s">
        <v>5032</v>
      </c>
      <c r="P1175" s="27" t="n">
        <v>5195401</v>
      </c>
      <c r="Q1175" s="20" t="s">
        <v>5169</v>
      </c>
      <c r="R1175" s="13" t="s">
        <v>52</v>
      </c>
      <c r="S1175" s="14" t="n">
        <v>31151</v>
      </c>
      <c r="T1175" s="13" t="s">
        <v>40</v>
      </c>
      <c r="U1175" s="13" t="s">
        <v>5170</v>
      </c>
      <c r="V1175" s="13" t="s">
        <v>42</v>
      </c>
      <c r="W1175" s="13" t="s">
        <v>43</v>
      </c>
      <c r="X1175" s="21" t="n">
        <v>83854128532</v>
      </c>
      <c r="Y1175" s="22" t="str">
        <f aca="false">O1175</f>
        <v>Operator Genset</v>
      </c>
      <c r="Z1175" s="13" t="str">
        <f aca="false">IFERROR(__xludf.dummyfunction("if(BJ1175="""","""",GOOGLETRANSLATE(BJ1175,""auto"",""en""))"),"Generator Operator")</f>
        <v>Generator Operator</v>
      </c>
      <c r="AA1175" s="23" t="str">
        <f aca="false">IF(C1175="","", CHOOSE(MONTH(C1175),"January","February","March","April","May","June","July","August","September","October","November","December")&amp;" "&amp;DAY(C1175)&amp;MID("thstndrdth",MIN(9,2*RIGHT(DAY(C1175))*(MOD(DAY(C1175)-11,100)&gt;2)+1),2)&amp;","&amp;TEXT(C1175," yyyy"))</f>
        <v>August 1st,2023</v>
      </c>
      <c r="AB1175" s="15" t="str">
        <f aca="true">IF(S1175="","",DATEDIF(S1175,TODAY(),"Y")&amp;" Tahun, "&amp;DATEDIF(S1175,TODAY(),"YM")&amp;" Bulan, "&amp;DATEDIF(S1175,TODAY(),"MD")&amp;" Hari")</f>
        <v>41 Tahun, 6 Bulan, 15 Hari</v>
      </c>
      <c r="AC1175" s="18" t="n">
        <v>45870</v>
      </c>
      <c r="AD1175" s="18" t="n">
        <v>46234</v>
      </c>
      <c r="AE1175" s="18" t="s">
        <v>44</v>
      </c>
    </row>
    <row r="1176" customFormat="false" ht="15.75" hidden="false" customHeight="true" outlineLevel="0" collapsed="false">
      <c r="A1176" s="12" t="n">
        <v>12569</v>
      </c>
      <c r="B1176" s="13" t="s">
        <v>5171</v>
      </c>
      <c r="C1176" s="14" t="n">
        <v>45139</v>
      </c>
      <c r="D1176" s="13" t="s">
        <v>5030</v>
      </c>
      <c r="E1176" s="15" t="s">
        <v>47</v>
      </c>
      <c r="F1176" s="15" t="str">
        <f aca="false">IFERROR(__xludf.dummyfunction("XLOOKUP(AJ1176,IMPORTRANGE(""1XaInW9DU9nz21V0tYIfzFQ0He9kVQ_JF2mCXgZ3hqFA"",""REKAP ALL 2026 - Andika!G:G""),IMPORTRANGE(""1XaInW9DU9nz21V0tYIfzFQ0He9kVQ_JF2mCXgZ3hqFA"",""REKAP ALL 2026 - Andika!F:F""),"""",0)"),"23121249322")</f>
        <v>23121249322</v>
      </c>
      <c r="G1176" s="13" t="s">
        <v>5172</v>
      </c>
      <c r="H1176" s="13" t="s">
        <v>35</v>
      </c>
      <c r="I1176" s="13" t="str">
        <f aca="false">IF(C1176=J1176,"NEW KONTRAK","RE-KONTRAK")</f>
        <v>RE-KONTRAK</v>
      </c>
      <c r="J1176" s="16" t="n">
        <f aca="false" t="array" ref="J1176:J1176">IFERROR(INDEX(AC1176:AE1176,IF(COUNTA(AC1176:AE1176)=0,"",MAX((AC1176:AE1176&lt;&gt;"")*(COLUMN(AC1176:AE1176)-(COLUMN(AC1176)))))-1),"")</f>
        <v>45870</v>
      </c>
      <c r="K1176" s="16" t="n">
        <f aca="false" t="array" ref="K1176:K1176">IFERROR(INDEX(AC1176:AE1176,IF(COUNTA(AC1176:AE1176)=0,"",MAX((AC1176:AE1176&lt;&gt;"")*(COLUMN(AC1176:AE1176)-(COLUMN(AC1176)-1))))-1),"")</f>
        <v>46234</v>
      </c>
      <c r="L1176" s="17" t="str">
        <f aca="false" t="array" ref="L1176:L1176">IFERROR(INDEX(AC1176:AE1176,IF(COUNTA(AC1176:AE1176)=0,"",MAX((AC1176:AE1176&lt;&gt;"")*(COLUMN(AC1176:AE1176)-(COLUMN(AC1176)-2))))-1),"")</f>
        <v>ARCHIVED</v>
      </c>
      <c r="M1176" s="13" t="n">
        <f aca="true">K1176-TODAY()</f>
        <v>-90</v>
      </c>
      <c r="N1176" s="18" t="s">
        <v>728</v>
      </c>
      <c r="O1176" s="13" t="s">
        <v>5032</v>
      </c>
      <c r="P1176" s="27" t="n">
        <v>5195401</v>
      </c>
      <c r="Q1176" s="20" t="s">
        <v>5173</v>
      </c>
      <c r="R1176" s="13" t="s">
        <v>52</v>
      </c>
      <c r="S1176" s="14" t="n">
        <v>36287</v>
      </c>
      <c r="T1176" s="13" t="s">
        <v>40</v>
      </c>
      <c r="U1176" s="13" t="s">
        <v>5174</v>
      </c>
      <c r="V1176" s="13" t="s">
        <v>42</v>
      </c>
      <c r="W1176" s="13" t="s">
        <v>43</v>
      </c>
      <c r="X1176" s="21" t="n">
        <v>895403855809</v>
      </c>
      <c r="Y1176" s="22" t="str">
        <f aca="false">O1176</f>
        <v>Operator Genset</v>
      </c>
      <c r="Z1176" s="13" t="str">
        <f aca="false">IFERROR(__xludf.dummyfunction("if(BJ1176="""","""",GOOGLETRANSLATE(BJ1176,""auto"",""en""))"),"Generator Operator")</f>
        <v>Generator Operator</v>
      </c>
      <c r="AA1176" s="23" t="str">
        <f aca="false">IF(C1176="","", CHOOSE(MONTH(C1176),"January","February","March","April","May","June","July","August","September","October","November","December")&amp;" "&amp;DAY(C1176)&amp;MID("thstndrdth",MIN(9,2*RIGHT(DAY(C1176))*(MOD(DAY(C1176)-11,100)&gt;2)+1),2)&amp;","&amp;TEXT(C1176," yyyy"))</f>
        <v>August 1st,2023</v>
      </c>
      <c r="AB1176" s="15" t="str">
        <f aca="true">IF(S1176="","",DATEDIF(S1176,TODAY(),"Y")&amp;" Tahun, "&amp;DATEDIF(S1176,TODAY(),"YM")&amp;" Bulan, "&amp;DATEDIF(S1176,TODAY(),"MD")&amp;" Hari")</f>
        <v>27 Tahun, 5 Bulan, 22 Hari</v>
      </c>
      <c r="AC1176" s="18" t="n">
        <v>45870</v>
      </c>
      <c r="AD1176" s="18" t="n">
        <v>46234</v>
      </c>
      <c r="AE1176" s="18" t="s">
        <v>44</v>
      </c>
    </row>
    <row r="1177" customFormat="false" ht="15.75" hidden="false" customHeight="true" outlineLevel="0" collapsed="false">
      <c r="A1177" s="12" t="n">
        <v>12570</v>
      </c>
      <c r="B1177" s="13" t="s">
        <v>5175</v>
      </c>
      <c r="C1177" s="14" t="n">
        <v>45139</v>
      </c>
      <c r="D1177" s="13" t="s">
        <v>5030</v>
      </c>
      <c r="E1177" s="15" t="s">
        <v>47</v>
      </c>
      <c r="F1177" s="15" t="str">
        <f aca="false">IFERROR(__xludf.dummyfunction("XLOOKUP(AJ1177,IMPORTRANGE(""1XaInW9DU9nz21V0tYIfzFQ0He9kVQ_JF2mCXgZ3hqFA"",""REKAP ALL 2026 - Andika!G:G""),IMPORTRANGE(""1XaInW9DU9nz21V0tYIfzFQ0He9kVQ_JF2mCXgZ3hqFA"",""REKAP ALL 2026 - Andika!F:F""),"""",0)"),"23121249470")</f>
        <v>23121249470</v>
      </c>
      <c r="G1177" s="13" t="s">
        <v>5176</v>
      </c>
      <c r="H1177" s="13" t="s">
        <v>35</v>
      </c>
      <c r="I1177" s="13" t="str">
        <f aca="false">IF(C1177=J1177,"NEW KONTRAK","RE-KONTRAK")</f>
        <v>RE-KONTRAK</v>
      </c>
      <c r="J1177" s="16" t="n">
        <f aca="false" t="array" ref="J1177:J1177">IFERROR(INDEX(AC1177:AE1177,IF(COUNTA(AC1177:AE1177)=0,"",MAX((AC1177:AE1177&lt;&gt;"")*(COLUMN(AC1177:AE1177)-(COLUMN(AC1177)))))-1),"")</f>
        <v>45870</v>
      </c>
      <c r="K1177" s="16" t="n">
        <f aca="false" t="array" ref="K1177:K1177">IFERROR(INDEX(AC1177:AE1177,IF(COUNTA(AC1177:AE1177)=0,"",MAX((AC1177:AE1177&lt;&gt;"")*(COLUMN(AC1177:AE1177)-(COLUMN(AC1177)-1))))-1),"")</f>
        <v>46234</v>
      </c>
      <c r="L1177" s="17" t="str">
        <f aca="false" t="array" ref="L1177:L1177">IFERROR(INDEX(AC1177:AE1177,IF(COUNTA(AC1177:AE1177)=0,"",MAX((AC1177:AE1177&lt;&gt;"")*(COLUMN(AC1177:AE1177)-(COLUMN(AC1177)-2))))-1),"")</f>
        <v>ARCHIVED</v>
      </c>
      <c r="M1177" s="13" t="n">
        <f aca="true">K1177-TODAY()</f>
        <v>-90</v>
      </c>
      <c r="N1177" s="18" t="s">
        <v>728</v>
      </c>
      <c r="O1177" s="13" t="s">
        <v>5032</v>
      </c>
      <c r="P1177" s="27" t="n">
        <v>5195401</v>
      </c>
      <c r="Q1177" s="20" t="s">
        <v>5177</v>
      </c>
      <c r="R1177" s="13" t="s">
        <v>246</v>
      </c>
      <c r="S1177" s="14" t="n">
        <v>32542</v>
      </c>
      <c r="T1177" s="13" t="s">
        <v>40</v>
      </c>
      <c r="U1177" s="13" t="s">
        <v>5178</v>
      </c>
      <c r="V1177" s="13" t="s">
        <v>42</v>
      </c>
      <c r="W1177" s="13" t="s">
        <v>54</v>
      </c>
      <c r="X1177" s="21" t="n">
        <v>81245694684</v>
      </c>
      <c r="Y1177" s="22" t="str">
        <f aca="false">O1177</f>
        <v>Operator Genset</v>
      </c>
      <c r="Z1177" s="13" t="str">
        <f aca="false">IFERROR(__xludf.dummyfunction("if(BJ1177="""","""",GOOGLETRANSLATE(BJ1177,""auto"",""en""))"),"Generator Operator")</f>
        <v>Generator Operator</v>
      </c>
      <c r="AA1177" s="23" t="str">
        <f aca="false">IF(C1177="","", CHOOSE(MONTH(C1177),"January","February","March","April","May","June","July","August","September","October","November","December")&amp;" "&amp;DAY(C1177)&amp;MID("thstndrdth",MIN(9,2*RIGHT(DAY(C1177))*(MOD(DAY(C1177)-11,100)&gt;2)+1),2)&amp;","&amp;TEXT(C1177," yyyy"))</f>
        <v>August 1st,2023</v>
      </c>
      <c r="AB1177" s="15" t="str">
        <f aca="true">IF(S1177="","",DATEDIF(S1177,TODAY(),"Y")&amp;" Tahun, "&amp;DATEDIF(S1177,TODAY(),"YM")&amp;" Bulan, "&amp;DATEDIF(S1177,TODAY(),"MD")&amp;" Hari")</f>
        <v>37 Tahun, 8 Bulan, 26 Hari</v>
      </c>
      <c r="AC1177" s="18" t="n">
        <v>45870</v>
      </c>
      <c r="AD1177" s="18" t="n">
        <v>46234</v>
      </c>
      <c r="AE1177" s="18" t="s">
        <v>44</v>
      </c>
    </row>
    <row r="1178" customFormat="false" ht="15.75" hidden="false" customHeight="true" outlineLevel="0" collapsed="false">
      <c r="A1178" s="12" t="n">
        <v>12571</v>
      </c>
      <c r="B1178" s="13" t="s">
        <v>5179</v>
      </c>
      <c r="C1178" s="14" t="n">
        <v>45139</v>
      </c>
      <c r="D1178" s="13" t="s">
        <v>5030</v>
      </c>
      <c r="E1178" s="15" t="s">
        <v>47</v>
      </c>
      <c r="F1178" s="15" t="str">
        <f aca="false">IFERROR(__xludf.dummyfunction("XLOOKUP(AJ1178,IMPORTRANGE(""1XaInW9DU9nz21V0tYIfzFQ0He9kVQ_JF2mCXgZ3hqFA"",""REKAP ALL 2026 - Andika!G:G""),IMPORTRANGE(""1XaInW9DU9nz21V0tYIfzFQ0He9kVQ_JF2mCXgZ3hqFA"",""REKAP ALL 2026 - Andika!F:F""),"""",0)"),"23121249280")</f>
        <v>23121249280</v>
      </c>
      <c r="G1178" s="13" t="s">
        <v>5180</v>
      </c>
      <c r="H1178" s="13" t="s">
        <v>35</v>
      </c>
      <c r="I1178" s="13" t="str">
        <f aca="false">IF(C1178=J1178,"NEW KONTRAK","RE-KONTRAK")</f>
        <v>RE-KONTRAK</v>
      </c>
      <c r="J1178" s="16" t="n">
        <f aca="false" t="array" ref="J1178:J1178">IFERROR(INDEX(AC1178:AE1178,IF(COUNTA(AC1178:AE1178)=0,"",MAX((AC1178:AE1178&lt;&gt;"")*(COLUMN(AC1178:AE1178)-(COLUMN(AC1178)))))-1),"")</f>
        <v>45870</v>
      </c>
      <c r="K1178" s="16" t="n">
        <f aca="false" t="array" ref="K1178:K1178">IFERROR(INDEX(AC1178:AE1178,IF(COUNTA(AC1178:AE1178)=0,"",MAX((AC1178:AE1178&lt;&gt;"")*(COLUMN(AC1178:AE1178)-(COLUMN(AC1178)-1))))-1),"")</f>
        <v>46234</v>
      </c>
      <c r="L1178" s="17" t="str">
        <f aca="false" t="array" ref="L1178:L1178">IFERROR(INDEX(AC1178:AE1178,IF(COUNTA(AC1178:AE1178)=0,"",MAX((AC1178:AE1178&lt;&gt;"")*(COLUMN(AC1178:AE1178)-(COLUMN(AC1178)-2))))-1),"")</f>
        <v>ARCHIVED</v>
      </c>
      <c r="M1178" s="13" t="n">
        <f aca="true">K1178-TODAY()</f>
        <v>-90</v>
      </c>
      <c r="N1178" s="18" t="s">
        <v>728</v>
      </c>
      <c r="O1178" s="13" t="s">
        <v>5032</v>
      </c>
      <c r="P1178" s="27" t="n">
        <v>5195401</v>
      </c>
      <c r="Q1178" s="20" t="s">
        <v>5181</v>
      </c>
      <c r="R1178" s="13" t="s">
        <v>52</v>
      </c>
      <c r="S1178" s="14" t="n">
        <v>31626</v>
      </c>
      <c r="T1178" s="13" t="s">
        <v>40</v>
      </c>
      <c r="U1178" s="13" t="s">
        <v>5182</v>
      </c>
      <c r="V1178" s="13" t="s">
        <v>42</v>
      </c>
      <c r="W1178" s="13" t="s">
        <v>43</v>
      </c>
      <c r="X1178" s="21" t="n">
        <v>82230246525</v>
      </c>
      <c r="Y1178" s="22" t="str">
        <f aca="false">O1178</f>
        <v>Operator Genset</v>
      </c>
      <c r="Z1178" s="13" t="str">
        <f aca="false">IFERROR(__xludf.dummyfunction("if(BJ1178="""","""",GOOGLETRANSLATE(BJ1178,""auto"",""en""))"),"Generator Operator")</f>
        <v>Generator Operator</v>
      </c>
      <c r="AA1178" s="23" t="str">
        <f aca="false">IF(C1178="","", CHOOSE(MONTH(C1178),"January","February","March","April","May","June","July","August","September","October","November","December")&amp;" "&amp;DAY(C1178)&amp;MID("thstndrdth",MIN(9,2*RIGHT(DAY(C1178))*(MOD(DAY(C1178)-11,100)&gt;2)+1),2)&amp;","&amp;TEXT(C1178," yyyy"))</f>
        <v>August 1st,2023</v>
      </c>
      <c r="AB1178" s="15" t="str">
        <f aca="true">IF(S1178="","",DATEDIF(S1178,TODAY(),"Y")&amp;" Tahun, "&amp;DATEDIF(S1178,TODAY(),"YM")&amp;" Bulan, "&amp;DATEDIF(S1178,TODAY(),"MD")&amp;" Hari")</f>
        <v>40 Tahun, 2 Bulan, 27 Hari</v>
      </c>
      <c r="AC1178" s="18" t="n">
        <v>45870</v>
      </c>
      <c r="AD1178" s="18" t="n">
        <v>46234</v>
      </c>
      <c r="AE1178" s="18" t="s">
        <v>44</v>
      </c>
    </row>
    <row r="1179" customFormat="false" ht="15.75" hidden="false" customHeight="true" outlineLevel="0" collapsed="false">
      <c r="A1179" s="12" t="n">
        <v>12572</v>
      </c>
      <c r="B1179" s="13" t="s">
        <v>5183</v>
      </c>
      <c r="C1179" s="14" t="n">
        <v>45139</v>
      </c>
      <c r="D1179" s="13" t="s">
        <v>5030</v>
      </c>
      <c r="E1179" s="15" t="s">
        <v>47</v>
      </c>
      <c r="F1179" s="15" t="str">
        <f aca="false">IFERROR(__xludf.dummyfunction("XLOOKUP(AJ1179,IMPORTRANGE(""1XaInW9DU9nz21V0tYIfzFQ0He9kVQ_JF2mCXgZ3hqFA"",""REKAP ALL 2026 - Andika!G:G""),IMPORTRANGE(""1XaInW9DU9nz21V0tYIfzFQ0He9kVQ_JF2mCXgZ3hqFA"",""REKAP ALL 2026 - Andika!F:F""),"""",0)"),"23121249611")</f>
        <v>23121249611</v>
      </c>
      <c r="G1179" s="13" t="s">
        <v>5184</v>
      </c>
      <c r="H1179" s="13" t="s">
        <v>35</v>
      </c>
      <c r="I1179" s="13" t="str">
        <f aca="false">IF(C1179=J1179,"NEW KONTRAK","RE-KONTRAK")</f>
        <v>RE-KONTRAK</v>
      </c>
      <c r="J1179" s="16" t="n">
        <f aca="false" t="array" ref="J1179:J1179">IFERROR(INDEX(AC1179:AE1179,IF(COUNTA(AC1179:AE1179)=0,"",MAX((AC1179:AE1179&lt;&gt;"")*(COLUMN(AC1179:AE1179)-(COLUMN(AC1179)))))-1),"")</f>
        <v>45870</v>
      </c>
      <c r="K1179" s="16" t="n">
        <f aca="false" t="array" ref="K1179:K1179">IFERROR(INDEX(AC1179:AE1179,IF(COUNTA(AC1179:AE1179)=0,"",MAX((AC1179:AE1179&lt;&gt;"")*(COLUMN(AC1179:AE1179)-(COLUMN(AC1179)-1))))-1),"")</f>
        <v>46234</v>
      </c>
      <c r="L1179" s="17" t="str">
        <f aca="false" t="array" ref="L1179:L1179">IFERROR(INDEX(AC1179:AE1179,IF(COUNTA(AC1179:AE1179)=0,"",MAX((AC1179:AE1179&lt;&gt;"")*(COLUMN(AC1179:AE1179)-(COLUMN(AC1179)-2))))-1),"")</f>
        <v>ARCHIVED</v>
      </c>
      <c r="M1179" s="13" t="n">
        <f aca="true">K1179-TODAY()</f>
        <v>-90</v>
      </c>
      <c r="N1179" s="18" t="s">
        <v>728</v>
      </c>
      <c r="O1179" s="13" t="s">
        <v>5032</v>
      </c>
      <c r="P1179" s="27" t="n">
        <v>5195401</v>
      </c>
      <c r="Q1179" s="20" t="s">
        <v>5185</v>
      </c>
      <c r="R1179" s="13" t="s">
        <v>52</v>
      </c>
      <c r="S1179" s="14" t="n">
        <v>30471</v>
      </c>
      <c r="T1179" s="13" t="s">
        <v>40</v>
      </c>
      <c r="U1179" s="13" t="s">
        <v>5186</v>
      </c>
      <c r="V1179" s="28" t="s">
        <v>42</v>
      </c>
      <c r="W1179" s="28" t="s">
        <v>54</v>
      </c>
      <c r="X1179" s="21" t="n">
        <v>81253444676</v>
      </c>
      <c r="Y1179" s="22" t="str">
        <f aca="false">O1179</f>
        <v>Operator Genset</v>
      </c>
      <c r="Z1179" s="13" t="str">
        <f aca="false">IFERROR(__xludf.dummyfunction("if(BJ1179="""","""",GOOGLETRANSLATE(BJ1179,""auto"",""en""))"),"Generator Operator")</f>
        <v>Generator Operator</v>
      </c>
      <c r="AA1179" s="23" t="str">
        <f aca="false">IF(C1179="","", CHOOSE(MONTH(C1179),"January","February","March","April","May","June","July","August","September","October","November","December")&amp;" "&amp;DAY(C1179)&amp;MID("thstndrdth",MIN(9,2*RIGHT(DAY(C1179))*(MOD(DAY(C1179)-11,100)&gt;2)+1),2)&amp;","&amp;TEXT(C1179," yyyy"))</f>
        <v>August 1st,2023</v>
      </c>
      <c r="AB1179" s="15" t="str">
        <f aca="true">IF(S1179="","",DATEDIF(S1179,TODAY(),"Y")&amp;" Tahun, "&amp;DATEDIF(S1179,TODAY(),"YM")&amp;" Bulan, "&amp;DATEDIF(S1179,TODAY(),"MD")&amp;" Hari")</f>
        <v>43 Tahun, 4 Bulan, 25 Hari</v>
      </c>
      <c r="AC1179" s="18" t="n">
        <v>45870</v>
      </c>
      <c r="AD1179" s="18" t="n">
        <v>46234</v>
      </c>
      <c r="AE1179" s="18" t="s">
        <v>44</v>
      </c>
    </row>
    <row r="1180" customFormat="false" ht="15.75" hidden="false" customHeight="true" outlineLevel="0" collapsed="false">
      <c r="A1180" s="12" t="n">
        <v>12576</v>
      </c>
      <c r="B1180" s="13" t="s">
        <v>5187</v>
      </c>
      <c r="C1180" s="14" t="n">
        <v>45139</v>
      </c>
      <c r="D1180" s="13" t="s">
        <v>5030</v>
      </c>
      <c r="E1180" s="15" t="s">
        <v>47</v>
      </c>
      <c r="F1180" s="15" t="str">
        <f aca="false">IFERROR(__xludf.dummyfunction("XLOOKUP(AJ1180,IMPORTRANGE(""1XaInW9DU9nz21V0tYIfzFQ0He9kVQ_JF2mCXgZ3hqFA"",""REKAP ALL 2026 - Andika!G:G""),IMPORTRANGE(""1XaInW9DU9nz21V0tYIfzFQ0He9kVQ_JF2mCXgZ3hqFA"",""REKAP ALL 2026 - Andika!F:F""),"""",0)"),"23121249058")</f>
        <v>23121249058</v>
      </c>
      <c r="G1180" s="13" t="s">
        <v>5188</v>
      </c>
      <c r="H1180" s="13" t="s">
        <v>35</v>
      </c>
      <c r="I1180" s="13" t="str">
        <f aca="false">IF(C1180=J1180,"NEW KONTRAK","RE-KONTRAK")</f>
        <v>RE-KONTRAK</v>
      </c>
      <c r="J1180" s="16" t="n">
        <f aca="false" t="array" ref="J1180:J1180">IFERROR(INDEX(AC1180:AE1180,IF(COUNTA(AC1180:AE1180)=0,"",MAX((AC1180:AE1180&lt;&gt;"")*(COLUMN(AC1180:AE1180)-(COLUMN(AC1180)))))-1),"")</f>
        <v>45870</v>
      </c>
      <c r="K1180" s="16" t="n">
        <f aca="false" t="array" ref="K1180:K1180">IFERROR(INDEX(AC1180:AE1180,IF(COUNTA(AC1180:AE1180)=0,"",MAX((AC1180:AE1180&lt;&gt;"")*(COLUMN(AC1180:AE1180)-(COLUMN(AC1180)-1))))-1),"")</f>
        <v>46234</v>
      </c>
      <c r="L1180" s="17" t="str">
        <f aca="false" t="array" ref="L1180:L1180">IFERROR(INDEX(AC1180:AE1180,IF(COUNTA(AC1180:AE1180)=0,"",MAX((AC1180:AE1180&lt;&gt;"")*(COLUMN(AC1180:AE1180)-(COLUMN(AC1180)-2))))-1),"")</f>
        <v>ARCHIVED</v>
      </c>
      <c r="M1180" s="13" t="n">
        <f aca="true">K1180-TODAY()</f>
        <v>-90</v>
      </c>
      <c r="N1180" s="18" t="s">
        <v>728</v>
      </c>
      <c r="O1180" s="13" t="s">
        <v>5032</v>
      </c>
      <c r="P1180" s="27" t="n">
        <v>5195401</v>
      </c>
      <c r="Q1180" s="20" t="s">
        <v>5189</v>
      </c>
      <c r="R1180" s="13" t="s">
        <v>5190</v>
      </c>
      <c r="S1180" s="14" t="n">
        <v>26059</v>
      </c>
      <c r="T1180" s="13" t="s">
        <v>40</v>
      </c>
      <c r="U1180" s="13" t="s">
        <v>5191</v>
      </c>
      <c r="V1180" s="13" t="s">
        <v>42</v>
      </c>
      <c r="W1180" s="13" t="s">
        <v>54</v>
      </c>
      <c r="X1180" s="21" t="n">
        <v>81399225407</v>
      </c>
      <c r="Y1180" s="22" t="str">
        <f aca="false">O1180</f>
        <v>Operator Genset</v>
      </c>
      <c r="Z1180" s="13" t="str">
        <f aca="false">IFERROR(__xludf.dummyfunction("if(BJ1180="""","""",GOOGLETRANSLATE(BJ1180,""auto"",""en""))"),"Generator Operator")</f>
        <v>Generator Operator</v>
      </c>
      <c r="AA1180" s="23" t="str">
        <f aca="false">IF(C1180="","", CHOOSE(MONTH(C1180),"January","February","March","April","May","June","July","August","September","October","November","December")&amp;" "&amp;DAY(C1180)&amp;MID("thstndrdth",MIN(9,2*RIGHT(DAY(C1180))*(MOD(DAY(C1180)-11,100)&gt;2)+1),2)&amp;","&amp;TEXT(C1180," yyyy"))</f>
        <v>August 1st,2023</v>
      </c>
      <c r="AB1180" s="15" t="str">
        <f aca="true">IF(S1180="","",DATEDIF(S1180,TODAY(),"Y")&amp;" Tahun, "&amp;DATEDIF(S1180,TODAY(),"YM")&amp;" Bulan, "&amp;DATEDIF(S1180,TODAY(),"MD")&amp;" Hari")</f>
        <v>55 Tahun, 5 Bulan, 23 Hari</v>
      </c>
      <c r="AC1180" s="18" t="n">
        <v>45870</v>
      </c>
      <c r="AD1180" s="18" t="n">
        <v>46234</v>
      </c>
      <c r="AE1180" s="18" t="s">
        <v>44</v>
      </c>
    </row>
    <row r="1181" customFormat="false" ht="15.75" hidden="false" customHeight="true" outlineLevel="0" collapsed="false">
      <c r="A1181" s="12" t="n">
        <v>12577</v>
      </c>
      <c r="B1181" s="13" t="s">
        <v>5192</v>
      </c>
      <c r="C1181" s="14" t="n">
        <v>45139</v>
      </c>
      <c r="D1181" s="13" t="s">
        <v>5030</v>
      </c>
      <c r="E1181" s="15" t="s">
        <v>47</v>
      </c>
      <c r="F1181" s="15" t="str">
        <f aca="false">IFERROR(__xludf.dummyfunction("XLOOKUP(AJ1181,IMPORTRANGE(""1XaInW9DU9nz21V0tYIfzFQ0He9kVQ_JF2mCXgZ3hqFA"",""REKAP ALL 2026 - Andika!G:G""),IMPORTRANGE(""1XaInW9DU9nz21V0tYIfzFQ0He9kVQ_JF2mCXgZ3hqFA"",""REKAP ALL 2026 - Andika!F:F""),"""",0)"),"23121249496")</f>
        <v>23121249496</v>
      </c>
      <c r="G1181" s="13" t="s">
        <v>5193</v>
      </c>
      <c r="H1181" s="13" t="s">
        <v>35</v>
      </c>
      <c r="I1181" s="13" t="str">
        <f aca="false">IF(C1181=J1181,"NEW KONTRAK","RE-KONTRAK")</f>
        <v>RE-KONTRAK</v>
      </c>
      <c r="J1181" s="16" t="n">
        <f aca="false" t="array" ref="J1181:J1181">IFERROR(INDEX(AC1181:AE1181,IF(COUNTA(AC1181:AE1181)=0,"",MAX((AC1181:AE1181&lt;&gt;"")*(COLUMN(AC1181:AE1181)-(COLUMN(AC1181)))))-1),"")</f>
        <v>45870</v>
      </c>
      <c r="K1181" s="16" t="n">
        <f aca="false" t="array" ref="K1181:K1181">IFERROR(INDEX(AC1181:AE1181,IF(COUNTA(AC1181:AE1181)=0,"",MAX((AC1181:AE1181&lt;&gt;"")*(COLUMN(AC1181:AE1181)-(COLUMN(AC1181)-1))))-1),"")</f>
        <v>46234</v>
      </c>
      <c r="L1181" s="17" t="str">
        <f aca="false" t="array" ref="L1181:L1181">IFERROR(INDEX(AC1181:AE1181,IF(COUNTA(AC1181:AE1181)=0,"",MAX((AC1181:AE1181&lt;&gt;"")*(COLUMN(AC1181:AE1181)-(COLUMN(AC1181)-2))))-1),"")</f>
        <v>ARCHIVED</v>
      </c>
      <c r="M1181" s="13" t="n">
        <f aca="true">K1181-TODAY()</f>
        <v>-90</v>
      </c>
      <c r="N1181" s="18" t="s">
        <v>728</v>
      </c>
      <c r="O1181" s="13" t="s">
        <v>5032</v>
      </c>
      <c r="P1181" s="27" t="n">
        <v>5195401</v>
      </c>
      <c r="Q1181" s="20" t="s">
        <v>5194</v>
      </c>
      <c r="R1181" s="13" t="s">
        <v>52</v>
      </c>
      <c r="S1181" s="14" t="n">
        <v>29569</v>
      </c>
      <c r="T1181" s="13" t="s">
        <v>40</v>
      </c>
      <c r="U1181" s="13" t="s">
        <v>5195</v>
      </c>
      <c r="V1181" s="13" t="s">
        <v>42</v>
      </c>
      <c r="W1181" s="13" t="s">
        <v>54</v>
      </c>
      <c r="X1181" s="21" t="n">
        <v>85748202578</v>
      </c>
      <c r="Y1181" s="22" t="str">
        <f aca="false">O1181</f>
        <v>Operator Genset</v>
      </c>
      <c r="Z1181" s="13" t="str">
        <f aca="false">IFERROR(__xludf.dummyfunction("if(BJ1181="""","""",GOOGLETRANSLATE(BJ1181,""auto"",""en""))"),"Generator Operator")</f>
        <v>Generator Operator</v>
      </c>
      <c r="AA1181" s="23" t="str">
        <f aca="false">IF(C1181="","", CHOOSE(MONTH(C1181),"January","February","March","April","May","June","July","August","September","October","November","December")&amp;" "&amp;DAY(C1181)&amp;MID("thstndrdth",MIN(9,2*RIGHT(DAY(C1181))*(MOD(DAY(C1181)-11,100)&gt;2)+1),2)&amp;","&amp;TEXT(C1181," yyyy"))</f>
        <v>August 1st,2023</v>
      </c>
      <c r="AB1181" s="15" t="str">
        <f aca="true">IF(S1181="","",DATEDIF(S1181,TODAY(),"Y")&amp;" Tahun, "&amp;DATEDIF(S1181,TODAY(),"YM")&amp;" Bulan, "&amp;DATEDIF(S1181,TODAY(),"MD")&amp;" Hari")</f>
        <v>45 Tahun, 10 Bulan, 15 Hari</v>
      </c>
      <c r="AC1181" s="18" t="n">
        <v>45870</v>
      </c>
      <c r="AD1181" s="18" t="n">
        <v>46234</v>
      </c>
      <c r="AE1181" s="18" t="s">
        <v>44</v>
      </c>
    </row>
    <row r="1182" customFormat="false" ht="15.75" hidden="false" customHeight="true" outlineLevel="0" collapsed="false">
      <c r="A1182" s="12" t="n">
        <v>12579</v>
      </c>
      <c r="B1182" s="13" t="s">
        <v>5196</v>
      </c>
      <c r="C1182" s="14" t="n">
        <v>45139</v>
      </c>
      <c r="D1182" s="13" t="s">
        <v>5030</v>
      </c>
      <c r="E1182" s="15" t="s">
        <v>47</v>
      </c>
      <c r="F1182" s="15" t="str">
        <f aca="false">IFERROR(__xludf.dummyfunction("XLOOKUP(AJ1182,IMPORTRANGE(""1XaInW9DU9nz21V0tYIfzFQ0He9kVQ_JF2mCXgZ3hqFA"",""REKAP ALL 2026 - Andika!G:G""),IMPORTRANGE(""1XaInW9DU9nz21V0tYIfzFQ0He9kVQ_JF2mCXgZ3hqFA"",""REKAP ALL 2026 - Andika!F:F""),"""",0)"),"23121249512")</f>
        <v>23121249512</v>
      </c>
      <c r="G1182" s="13" t="s">
        <v>5197</v>
      </c>
      <c r="H1182" s="13" t="s">
        <v>35</v>
      </c>
      <c r="I1182" s="13" t="str">
        <f aca="false">IF(C1182=J1182,"NEW KONTRAK","RE-KONTRAK")</f>
        <v>RE-KONTRAK</v>
      </c>
      <c r="J1182" s="16" t="n">
        <f aca="false" t="array" ref="J1182:J1182">IFERROR(INDEX(AC1182:AE1182,IF(COUNTA(AC1182:AE1182)=0,"",MAX((AC1182:AE1182&lt;&gt;"")*(COLUMN(AC1182:AE1182)-(COLUMN(AC1182)))))-1),"")</f>
        <v>45870</v>
      </c>
      <c r="K1182" s="16" t="n">
        <f aca="false" t="array" ref="K1182:K1182">IFERROR(INDEX(AC1182:AE1182,IF(COUNTA(AC1182:AE1182)=0,"",MAX((AC1182:AE1182&lt;&gt;"")*(COLUMN(AC1182:AE1182)-(COLUMN(AC1182)-1))))-1),"")</f>
        <v>46234</v>
      </c>
      <c r="L1182" s="17" t="str">
        <f aca="false" t="array" ref="L1182:L1182">IFERROR(INDEX(AC1182:AE1182,IF(COUNTA(AC1182:AE1182)=0,"",MAX((AC1182:AE1182&lt;&gt;"")*(COLUMN(AC1182:AE1182)-(COLUMN(AC1182)-2))))-1),"")</f>
        <v>ARCHIVED</v>
      </c>
      <c r="M1182" s="13" t="n">
        <f aca="true">K1182-TODAY()</f>
        <v>-90</v>
      </c>
      <c r="N1182" s="18" t="s">
        <v>728</v>
      </c>
      <c r="O1182" s="13" t="s">
        <v>5032</v>
      </c>
      <c r="P1182" s="27" t="n">
        <v>5195401</v>
      </c>
      <c r="Q1182" s="20" t="s">
        <v>5198</v>
      </c>
      <c r="R1182" s="13" t="s">
        <v>52</v>
      </c>
      <c r="S1182" s="14" t="n">
        <v>26107</v>
      </c>
      <c r="T1182" s="13" t="s">
        <v>40</v>
      </c>
      <c r="U1182" s="13" t="s">
        <v>5199</v>
      </c>
      <c r="V1182" s="13" t="s">
        <v>42</v>
      </c>
      <c r="W1182" s="13" t="s">
        <v>54</v>
      </c>
      <c r="X1182" s="21" t="n">
        <v>81217355050</v>
      </c>
      <c r="Y1182" s="22" t="str">
        <f aca="false">O1182</f>
        <v>Operator Genset</v>
      </c>
      <c r="Z1182" s="13" t="str">
        <f aca="false">IFERROR(__xludf.dummyfunction("if(BJ1182="""","""",GOOGLETRANSLATE(BJ1182,""auto"",""en""))"),"Generator Operator")</f>
        <v>Generator Operator</v>
      </c>
      <c r="AA1182" s="23" t="str">
        <f aca="false">IF(C1182="","", CHOOSE(MONTH(C1182),"January","February","March","April","May","June","July","August","September","October","November","December")&amp;" "&amp;DAY(C1182)&amp;MID("thstndrdth",MIN(9,2*RIGHT(DAY(C1182))*(MOD(DAY(C1182)-11,100)&gt;2)+1),2)&amp;","&amp;TEXT(C1182," yyyy"))</f>
        <v>August 1st,2023</v>
      </c>
      <c r="AB1182" s="15" t="str">
        <f aca="true">IF(S1182="","",DATEDIF(S1182,TODAY(),"Y")&amp;" Tahun, "&amp;DATEDIF(S1182,TODAY(),"YM")&amp;" Bulan, "&amp;DATEDIF(S1182,TODAY(),"MD")&amp;" Hari")</f>
        <v>55 Tahun, 4 Bulan, 6 Hari</v>
      </c>
      <c r="AC1182" s="18" t="n">
        <v>45870</v>
      </c>
      <c r="AD1182" s="18" t="n">
        <v>46234</v>
      </c>
      <c r="AE1182" s="18" t="s">
        <v>44</v>
      </c>
    </row>
    <row r="1183" customFormat="false" ht="15.75" hidden="false" customHeight="true" outlineLevel="0" collapsed="false">
      <c r="A1183" s="12" t="n">
        <v>12582</v>
      </c>
      <c r="B1183" s="13" t="s">
        <v>5200</v>
      </c>
      <c r="C1183" s="14" t="n">
        <v>45139</v>
      </c>
      <c r="D1183" s="13" t="s">
        <v>5030</v>
      </c>
      <c r="E1183" s="15" t="s">
        <v>47</v>
      </c>
      <c r="F1183" s="15" t="str">
        <f aca="false">IFERROR(__xludf.dummyfunction("XLOOKUP(AJ1183,IMPORTRANGE(""1XaInW9DU9nz21V0tYIfzFQ0He9kVQ_JF2mCXgZ3hqFA"",""REKAP ALL 2026 - Andika!G:G""),IMPORTRANGE(""1XaInW9DU9nz21V0tYIfzFQ0He9kVQ_JF2mCXgZ3hqFA"",""REKAP ALL 2026 - Andika!F:F""),"""",0)"),"23121248977")</f>
        <v>23121248977</v>
      </c>
      <c r="G1183" s="13" t="s">
        <v>5201</v>
      </c>
      <c r="H1183" s="13" t="s">
        <v>35</v>
      </c>
      <c r="I1183" s="13" t="str">
        <f aca="false">IF(C1183=J1183,"NEW KONTRAK","RE-KONTRAK")</f>
        <v>RE-KONTRAK</v>
      </c>
      <c r="J1183" s="16" t="n">
        <f aca="false" t="array" ref="J1183:J1183">IFERROR(INDEX(AC1183:AE1183,IF(COUNTA(AC1183:AE1183)=0,"",MAX((AC1183:AE1183&lt;&gt;"")*(COLUMN(AC1183:AE1183)-(COLUMN(AC1183)))))-1),"")</f>
        <v>45870</v>
      </c>
      <c r="K1183" s="16" t="n">
        <f aca="false" t="array" ref="K1183:K1183">IFERROR(INDEX(AC1183:AE1183,IF(COUNTA(AC1183:AE1183)=0,"",MAX((AC1183:AE1183&lt;&gt;"")*(COLUMN(AC1183:AE1183)-(COLUMN(AC1183)-1))))-1),"")</f>
        <v>46234</v>
      </c>
      <c r="L1183" s="17" t="str">
        <f aca="false" t="array" ref="L1183:L1183">IFERROR(INDEX(AC1183:AE1183,IF(COUNTA(AC1183:AE1183)=0,"",MAX((AC1183:AE1183&lt;&gt;"")*(COLUMN(AC1183:AE1183)-(COLUMN(AC1183)-2))))-1),"")</f>
        <v>ARCHIVED</v>
      </c>
      <c r="M1183" s="13" t="n">
        <f aca="true">K1183-TODAY()</f>
        <v>-90</v>
      </c>
      <c r="N1183" s="18" t="s">
        <v>728</v>
      </c>
      <c r="O1183" s="13" t="s">
        <v>5032</v>
      </c>
      <c r="P1183" s="27" t="n">
        <v>5195401</v>
      </c>
      <c r="Q1183" s="20" t="s">
        <v>5202</v>
      </c>
      <c r="R1183" s="13" t="s">
        <v>52</v>
      </c>
      <c r="S1183" s="14" t="n">
        <v>29857</v>
      </c>
      <c r="T1183" s="13" t="s">
        <v>40</v>
      </c>
      <c r="U1183" s="13" t="s">
        <v>5203</v>
      </c>
      <c r="V1183" s="13" t="s">
        <v>42</v>
      </c>
      <c r="W1183" s="13" t="s">
        <v>54</v>
      </c>
      <c r="X1183" s="21" t="n">
        <v>81230724336</v>
      </c>
      <c r="Y1183" s="22" t="str">
        <f aca="false">O1183</f>
        <v>Operator Genset</v>
      </c>
      <c r="Z1183" s="13" t="str">
        <f aca="false">IFERROR(__xludf.dummyfunction("if(BJ1183="""","""",GOOGLETRANSLATE(BJ1183,""auto"",""en""))"),"Generator Operator")</f>
        <v>Generator Operator</v>
      </c>
      <c r="AA1183" s="23" t="str">
        <f aca="false">IF(C1183="","", CHOOSE(MONTH(C1183),"January","February","March","April","May","June","July","August","September","October","November","December")&amp;" "&amp;DAY(C1183)&amp;MID("thstndrdth",MIN(9,2*RIGHT(DAY(C1183))*(MOD(DAY(C1183)-11,100)&gt;2)+1),2)&amp;","&amp;TEXT(C1183," yyyy"))</f>
        <v>August 1st,2023</v>
      </c>
      <c r="AB1183" s="15" t="str">
        <f aca="true">IF(S1183="","",DATEDIF(S1183,TODAY(),"Y")&amp;" Tahun, "&amp;DATEDIF(S1183,TODAY(),"YM")&amp;" Bulan, "&amp;DATEDIF(S1183,TODAY(),"MD")&amp;" Hari")</f>
        <v>45 Tahun, 1 Bulan, 1 Hari</v>
      </c>
      <c r="AC1183" s="18" t="n">
        <v>45870</v>
      </c>
      <c r="AD1183" s="18" t="n">
        <v>46234</v>
      </c>
      <c r="AE1183" s="18" t="s">
        <v>44</v>
      </c>
    </row>
    <row r="1184" customFormat="false" ht="15.75" hidden="false" customHeight="true" outlineLevel="0" collapsed="false">
      <c r="A1184" s="12" t="n">
        <v>12583</v>
      </c>
      <c r="B1184" s="13" t="s">
        <v>5204</v>
      </c>
      <c r="C1184" s="14" t="n">
        <v>45139</v>
      </c>
      <c r="D1184" s="13" t="s">
        <v>5030</v>
      </c>
      <c r="E1184" s="15" t="s">
        <v>33</v>
      </c>
      <c r="F1184" s="24" t="s">
        <v>5205</v>
      </c>
      <c r="G1184" s="13" t="s">
        <v>5206</v>
      </c>
      <c r="H1184" s="13" t="s">
        <v>35</v>
      </c>
      <c r="I1184" s="13" t="str">
        <f aca="false">IF(C1184=J1184,"NEW KONTRAK","RE-KONTRAK")</f>
        <v>RE-KONTRAK</v>
      </c>
      <c r="J1184" s="16" t="n">
        <f aca="false" t="array" ref="J1184:J1184">IFERROR(INDEX(AC1184:AE1184,IF(COUNTA(AC1184:AE1184)=0,"",MAX((AC1184:AE1184&lt;&gt;"")*(COLUMN(AC1184:AE1184)-(COLUMN(AC1184)))))-1),"")</f>
        <v>45505</v>
      </c>
      <c r="K1184" s="16" t="n">
        <f aca="false" t="array" ref="K1184:K1184">IFERROR(INDEX(AC1184:AE1184,IF(COUNTA(AC1184:AE1184)=0,"",MAX((AC1184:AE1184&lt;&gt;"")*(COLUMN(AC1184:AE1184)-(COLUMN(AC1184)-1))))-1),"")</f>
        <v>45869</v>
      </c>
      <c r="L1184" s="17" t="str">
        <f aca="false" t="array" ref="L1184:L1184">IFERROR(INDEX(AC1184:AE1184,IF(COUNTA(AC1184:AE1184)=0,"",MAX((AC1184:AE1184&lt;&gt;"")*(COLUMN(AC1184:AE1184)-(COLUMN(AC1184)-2))))-1),"")</f>
        <v>ARCHIVED</v>
      </c>
      <c r="M1184" s="13" t="n">
        <f aca="true">K1184-TODAY()</f>
        <v>-455</v>
      </c>
      <c r="N1184" s="18" t="s">
        <v>728</v>
      </c>
      <c r="O1184" s="13" t="s">
        <v>5032</v>
      </c>
      <c r="P1184" s="27" t="n">
        <v>5195401</v>
      </c>
      <c r="Q1184" s="20" t="s">
        <v>5207</v>
      </c>
      <c r="R1184" s="13" t="s">
        <v>52</v>
      </c>
      <c r="S1184" s="14" t="n">
        <v>31898</v>
      </c>
      <c r="T1184" s="13" t="s">
        <v>40</v>
      </c>
      <c r="U1184" s="13" t="s">
        <v>5208</v>
      </c>
      <c r="V1184" s="13" t="s">
        <v>42</v>
      </c>
      <c r="W1184" s="13" t="s">
        <v>897</v>
      </c>
      <c r="X1184" s="21" t="n">
        <v>89602002413</v>
      </c>
      <c r="Y1184" s="22" t="str">
        <f aca="false">O1184</f>
        <v>Operator Genset</v>
      </c>
      <c r="Z1184" s="13" t="str">
        <f aca="false">IFERROR(__xludf.dummyfunction("if(BJ1184="""","""",GOOGLETRANSLATE(BJ1184,""auto"",""en""))"),"Generator Operator")</f>
        <v>Generator Operator</v>
      </c>
      <c r="AA1184" s="23" t="str">
        <f aca="false">IF(C1184="","", CHOOSE(MONTH(C1184),"January","February","March","April","May","June","July","August","September","October","November","December")&amp;" "&amp;DAY(C1184)&amp;MID("thstndrdth",MIN(9,2*RIGHT(DAY(C1184))*(MOD(DAY(C1184)-11,100)&gt;2)+1),2)&amp;","&amp;TEXT(C1184," yyyy"))</f>
        <v>August 1st,2023</v>
      </c>
      <c r="AB1184" s="15" t="str">
        <f aca="true">IF(S1184="","",DATEDIF(S1184,TODAY(),"Y")&amp;" Tahun, "&amp;DATEDIF(S1184,TODAY(),"YM")&amp;" Bulan, "&amp;DATEDIF(S1184,TODAY(),"MD")&amp;" Hari")</f>
        <v>39 Tahun, 5 Bulan, 28 Hari</v>
      </c>
      <c r="AC1184" s="18" t="n">
        <v>45505</v>
      </c>
      <c r="AD1184" s="18" t="n">
        <v>45869</v>
      </c>
      <c r="AE1184" s="18" t="s">
        <v>44</v>
      </c>
    </row>
    <row r="1185" customFormat="false" ht="15.75" hidden="false" customHeight="true" outlineLevel="0" collapsed="false">
      <c r="A1185" s="12" t="n">
        <v>12584</v>
      </c>
      <c r="B1185" s="13" t="s">
        <v>5209</v>
      </c>
      <c r="C1185" s="14" t="n">
        <v>45139</v>
      </c>
      <c r="D1185" s="13" t="s">
        <v>5030</v>
      </c>
      <c r="E1185" s="15" t="s">
        <v>47</v>
      </c>
      <c r="F1185" s="15" t="str">
        <f aca="false">IFERROR(__xludf.dummyfunction("XLOOKUP(AJ1185,IMPORTRANGE(""1XaInW9DU9nz21V0tYIfzFQ0He9kVQ_JF2mCXgZ3hqFA"",""REKAP ALL 2026 - Andika!G:G""),IMPORTRANGE(""1XaInW9DU9nz21V0tYIfzFQ0He9kVQ_JF2mCXgZ3hqFA"",""REKAP ALL 2026 - Andika!F:F""),"""",0)"),"23121249025")</f>
        <v>23121249025</v>
      </c>
      <c r="G1185" s="13" t="s">
        <v>5210</v>
      </c>
      <c r="H1185" s="13" t="s">
        <v>35</v>
      </c>
      <c r="I1185" s="13" t="str">
        <f aca="false">IF(C1185=J1185,"NEW KONTRAK","RE-KONTRAK")</f>
        <v>RE-KONTRAK</v>
      </c>
      <c r="J1185" s="16" t="n">
        <f aca="false" t="array" ref="J1185:J1185">IFERROR(INDEX(AC1185:AE1185,IF(COUNTA(AC1185:AE1185)=0,"",MAX((AC1185:AE1185&lt;&gt;"")*(COLUMN(AC1185:AE1185)-(COLUMN(AC1185)))))-1),"")</f>
        <v>45870</v>
      </c>
      <c r="K1185" s="16" t="n">
        <f aca="false" t="array" ref="K1185:K1185">IFERROR(INDEX(AC1185:AE1185,IF(COUNTA(AC1185:AE1185)=0,"",MAX((AC1185:AE1185&lt;&gt;"")*(COLUMN(AC1185:AE1185)-(COLUMN(AC1185)-1))))-1),"")</f>
        <v>46234</v>
      </c>
      <c r="L1185" s="17" t="str">
        <f aca="false" t="array" ref="L1185:L1185">IFERROR(INDEX(AC1185:AE1185,IF(COUNTA(AC1185:AE1185)=0,"",MAX((AC1185:AE1185&lt;&gt;"")*(COLUMN(AC1185:AE1185)-(COLUMN(AC1185)-2))))-1),"")</f>
        <v>ARCHIVED</v>
      </c>
      <c r="M1185" s="13" t="n">
        <f aca="true">K1185-TODAY()</f>
        <v>-90</v>
      </c>
      <c r="N1185" s="18" t="s">
        <v>728</v>
      </c>
      <c r="O1185" s="13" t="s">
        <v>5032</v>
      </c>
      <c r="P1185" s="27" t="n">
        <v>5195401</v>
      </c>
      <c r="Q1185" s="20" t="s">
        <v>5211</v>
      </c>
      <c r="R1185" s="13" t="s">
        <v>52</v>
      </c>
      <c r="S1185" s="14" t="n">
        <v>29387</v>
      </c>
      <c r="T1185" s="13" t="s">
        <v>40</v>
      </c>
      <c r="U1185" s="13" t="s">
        <v>5212</v>
      </c>
      <c r="V1185" s="13" t="s">
        <v>42</v>
      </c>
      <c r="W1185" s="13" t="s">
        <v>54</v>
      </c>
      <c r="X1185" s="21" t="n">
        <v>85733070181</v>
      </c>
      <c r="Y1185" s="22" t="str">
        <f aca="false">O1185</f>
        <v>Operator Genset</v>
      </c>
      <c r="Z1185" s="13" t="str">
        <f aca="false">IFERROR(__xludf.dummyfunction("if(BJ1185="""","""",GOOGLETRANSLATE(BJ1185,""auto"",""en""))"),"Generator Operator")</f>
        <v>Generator Operator</v>
      </c>
      <c r="AA1185" s="23" t="str">
        <f aca="false">IF(C1185="","", CHOOSE(MONTH(C1185),"January","February","March","April","May","June","July","August","September","October","November","December")&amp;" "&amp;DAY(C1185)&amp;MID("thstndrdth",MIN(9,2*RIGHT(DAY(C1185))*(MOD(DAY(C1185)-11,100)&gt;2)+1),2)&amp;","&amp;TEXT(C1185," yyyy"))</f>
        <v>August 1st,2023</v>
      </c>
      <c r="AB1185" s="15" t="str">
        <f aca="true">IF(S1185="","",DATEDIF(S1185,TODAY(),"Y")&amp;" Tahun, "&amp;DATEDIF(S1185,TODAY(),"YM")&amp;" Bulan, "&amp;DATEDIF(S1185,TODAY(),"MD")&amp;" Hari")</f>
        <v>46 Tahun, 4 Bulan, 14 Hari</v>
      </c>
      <c r="AC1185" s="18" t="n">
        <v>45870</v>
      </c>
      <c r="AD1185" s="18" t="n">
        <v>46234</v>
      </c>
      <c r="AE1185" s="18" t="s">
        <v>44</v>
      </c>
    </row>
    <row r="1186" customFormat="false" ht="15.75" hidden="false" customHeight="true" outlineLevel="0" collapsed="false">
      <c r="A1186" s="12" t="n">
        <v>12585</v>
      </c>
      <c r="B1186" s="13" t="s">
        <v>5213</v>
      </c>
      <c r="C1186" s="14" t="n">
        <v>45139</v>
      </c>
      <c r="D1186" s="13" t="s">
        <v>5030</v>
      </c>
      <c r="E1186" s="15" t="s">
        <v>102</v>
      </c>
      <c r="F1186" s="15" t="str">
        <f aca="false">IFERROR(__xludf.dummyfunction("XLOOKUP(AJ1186,IMPORTRANGE(""1XaInW9DU9nz21V0tYIfzFQ0He9kVQ_JF2mCXgZ3hqFA"",""REKAP ALL 2026 - Andika!G:G""),IMPORTRANGE(""1XaInW9DU9nz21V0tYIfzFQ0He9kVQ_JF2mCXgZ3hqFA"",""REKAP ALL 2026 - Andika!F:F""),"""",0)"),"23121249678")</f>
        <v>23121249678</v>
      </c>
      <c r="G1186" s="13" t="s">
        <v>5214</v>
      </c>
      <c r="H1186" s="13" t="s">
        <v>35</v>
      </c>
      <c r="I1186" s="13" t="str">
        <f aca="false">IF(C1186=J1186,"NEW KONTRAK","RE-KONTRAK")</f>
        <v>RE-KONTRAK</v>
      </c>
      <c r="J1186" s="16" t="n">
        <f aca="false" t="array" ref="J1186:J1186">IFERROR(INDEX(AC1186:AE1186,IF(COUNTA(AC1186:AE1186)=0,"",MAX((AC1186:AE1186&lt;&gt;"")*(COLUMN(AC1186:AE1186)-(COLUMN(AC1186)))))-1),"")</f>
        <v>45870</v>
      </c>
      <c r="K1186" s="16" t="n">
        <f aca="false" t="array" ref="K1186:K1186">IFERROR(INDEX(AC1186:AE1186,IF(COUNTA(AC1186:AE1186)=0,"",MAX((AC1186:AE1186&lt;&gt;"")*(COLUMN(AC1186:AE1186)-(COLUMN(AC1186)-1))))-1),"")</f>
        <v>46234</v>
      </c>
      <c r="L1186" s="17" t="str">
        <f aca="false" t="array" ref="L1186:L1186">IFERROR(INDEX(AC1186:AE1186,IF(COUNTA(AC1186:AE1186)=0,"",MAX((AC1186:AE1186&lt;&gt;"")*(COLUMN(AC1186:AE1186)-(COLUMN(AC1186)-2))))-1),"")</f>
        <v>ARCHIVED</v>
      </c>
      <c r="M1186" s="13" t="n">
        <f aca="true">K1186-TODAY()</f>
        <v>-90</v>
      </c>
      <c r="N1186" s="18" t="s">
        <v>728</v>
      </c>
      <c r="O1186" s="13" t="s">
        <v>5032</v>
      </c>
      <c r="P1186" s="27" t="n">
        <v>5195401</v>
      </c>
      <c r="Q1186" s="20" t="s">
        <v>5215</v>
      </c>
      <c r="R1186" s="13" t="s">
        <v>52</v>
      </c>
      <c r="S1186" s="14" t="n">
        <v>36875</v>
      </c>
      <c r="T1186" s="13" t="s">
        <v>40</v>
      </c>
      <c r="U1186" s="13" t="s">
        <v>5216</v>
      </c>
      <c r="V1186" s="13" t="s">
        <v>42</v>
      </c>
      <c r="W1186" s="13" t="s">
        <v>43</v>
      </c>
      <c r="X1186" s="21" t="n">
        <v>82142807209</v>
      </c>
      <c r="Y1186" s="22" t="str">
        <f aca="false">O1186</f>
        <v>Operator Genset</v>
      </c>
      <c r="Z1186" s="13" t="str">
        <f aca="false">IFERROR(__xludf.dummyfunction("if(BJ1186="""","""",GOOGLETRANSLATE(BJ1186,""auto"",""en""))"),"Generator Operator")</f>
        <v>Generator Operator</v>
      </c>
      <c r="AA1186" s="23" t="str">
        <f aca="false">IF(C1186="","", CHOOSE(MONTH(C1186),"January","February","March","April","May","June","July","August","September","October","November","December")&amp;" "&amp;DAY(C1186)&amp;MID("thstndrdth",MIN(9,2*RIGHT(DAY(C1186))*(MOD(DAY(C1186)-11,100)&gt;2)+1),2)&amp;","&amp;TEXT(C1186," yyyy"))</f>
        <v>August 1st,2023</v>
      </c>
      <c r="AB1186" s="15" t="str">
        <f aca="true">IF(S1186="","",DATEDIF(S1186,TODAY(),"Y")&amp;" Tahun, "&amp;DATEDIF(S1186,TODAY(),"YM")&amp;" Bulan, "&amp;DATEDIF(S1186,TODAY(),"MD")&amp;" Hari")</f>
        <v>25 Tahun, 10 Bulan, 14 Hari</v>
      </c>
      <c r="AC1186" s="18" t="n">
        <v>45870</v>
      </c>
      <c r="AD1186" s="18" t="n">
        <v>46234</v>
      </c>
      <c r="AE1186" s="18" t="s">
        <v>44</v>
      </c>
    </row>
    <row r="1187" customFormat="false" ht="15.75" hidden="false" customHeight="true" outlineLevel="0" collapsed="false">
      <c r="A1187" s="12" t="n">
        <v>12586</v>
      </c>
      <c r="B1187" s="13" t="s">
        <v>5217</v>
      </c>
      <c r="C1187" s="14" t="n">
        <v>45139</v>
      </c>
      <c r="D1187" s="13" t="s">
        <v>5030</v>
      </c>
      <c r="E1187" s="15" t="s">
        <v>47</v>
      </c>
      <c r="F1187" s="15" t="str">
        <f aca="false">IFERROR(__xludf.dummyfunction("XLOOKUP(AJ1187,IMPORTRANGE(""1XaInW9DU9nz21V0tYIfzFQ0He9kVQ_JF2mCXgZ3hqFA"",""REKAP ALL 2026 - Andika!G:G""),IMPORTRANGE(""1XaInW9DU9nz21V0tYIfzFQ0He9kVQ_JF2mCXgZ3hqFA"",""REKAP ALL 2026 - Andika!F:F""),"""",0)"),"23121249249")</f>
        <v>23121249249</v>
      </c>
      <c r="G1187" s="13" t="s">
        <v>5218</v>
      </c>
      <c r="H1187" s="13" t="s">
        <v>35</v>
      </c>
      <c r="I1187" s="13" t="str">
        <f aca="false">IF(C1187=J1187,"NEW KONTRAK","RE-KONTRAK")</f>
        <v>RE-KONTRAK</v>
      </c>
      <c r="J1187" s="16" t="n">
        <f aca="false" t="array" ref="J1187:J1187">IFERROR(INDEX(AC1187:AE1187,IF(COUNTA(AC1187:AE1187)=0,"",MAX((AC1187:AE1187&lt;&gt;"")*(COLUMN(AC1187:AE1187)-(COLUMN(AC1187)))))-1),"")</f>
        <v>45870</v>
      </c>
      <c r="K1187" s="16" t="n">
        <f aca="false" t="array" ref="K1187:K1187">IFERROR(INDEX(AC1187:AE1187,IF(COUNTA(AC1187:AE1187)=0,"",MAX((AC1187:AE1187&lt;&gt;"")*(COLUMN(AC1187:AE1187)-(COLUMN(AC1187)-1))))-1),"")</f>
        <v>46234</v>
      </c>
      <c r="L1187" s="17" t="str">
        <f aca="false" t="array" ref="L1187:L1187">IFERROR(INDEX(AC1187:AE1187,IF(COUNTA(AC1187:AE1187)=0,"",MAX((AC1187:AE1187&lt;&gt;"")*(COLUMN(AC1187:AE1187)-(COLUMN(AC1187)-2))))-1),"")</f>
        <v>ARCHIVED</v>
      </c>
      <c r="M1187" s="13" t="n">
        <f aca="true">K1187-TODAY()</f>
        <v>-90</v>
      </c>
      <c r="N1187" s="18" t="s">
        <v>728</v>
      </c>
      <c r="O1187" s="13" t="s">
        <v>5032</v>
      </c>
      <c r="P1187" s="27" t="n">
        <v>5195401</v>
      </c>
      <c r="Q1187" s="20" t="s">
        <v>5219</v>
      </c>
      <c r="R1187" s="17" t="s">
        <v>148</v>
      </c>
      <c r="S1187" s="14" t="n">
        <v>34721</v>
      </c>
      <c r="T1187" s="13" t="s">
        <v>40</v>
      </c>
      <c r="U1187" s="13" t="s">
        <v>5220</v>
      </c>
      <c r="V1187" s="13" t="s">
        <v>42</v>
      </c>
      <c r="W1187" s="13" t="s">
        <v>43</v>
      </c>
      <c r="X1187" s="21" t="n">
        <v>87801825100</v>
      </c>
      <c r="Y1187" s="22" t="str">
        <f aca="false">O1187</f>
        <v>Operator Genset</v>
      </c>
      <c r="Z1187" s="13" t="str">
        <f aca="false">IFERROR(__xludf.dummyfunction("if(BJ1187="""","""",GOOGLETRANSLATE(BJ1187,""auto"",""en""))"),"Generator Operator")</f>
        <v>Generator Operator</v>
      </c>
      <c r="AA1187" s="23" t="str">
        <f aca="false">IF(C1187="","", CHOOSE(MONTH(C1187),"January","February","March","April","May","June","July","August","September","October","November","December")&amp;" "&amp;DAY(C1187)&amp;MID("thstndrdth",MIN(9,2*RIGHT(DAY(C1187))*(MOD(DAY(C1187)-11,100)&gt;2)+1),2)&amp;","&amp;TEXT(C1187," yyyy"))</f>
        <v>August 1st,2023</v>
      </c>
      <c r="AB1187" s="15" t="str">
        <f aca="true">IF(S1187="","",DATEDIF(S1187,TODAY(),"Y")&amp;" Tahun, "&amp;DATEDIF(S1187,TODAY(),"YM")&amp;" Bulan, "&amp;DATEDIF(S1187,TODAY(),"MD")&amp;" Hari")</f>
        <v>31 Tahun, 9 Bulan, 7 Hari</v>
      </c>
      <c r="AC1187" s="18" t="n">
        <v>45870</v>
      </c>
      <c r="AD1187" s="18" t="n">
        <v>46234</v>
      </c>
      <c r="AE1187" s="18" t="s">
        <v>44</v>
      </c>
    </row>
    <row r="1188" customFormat="false" ht="15.75" hidden="false" customHeight="true" outlineLevel="0" collapsed="false">
      <c r="A1188" s="12" t="n">
        <v>12589</v>
      </c>
      <c r="B1188" s="13" t="s">
        <v>5221</v>
      </c>
      <c r="C1188" s="14" t="n">
        <v>45139</v>
      </c>
      <c r="D1188" s="13" t="s">
        <v>5030</v>
      </c>
      <c r="E1188" s="15" t="s">
        <v>47</v>
      </c>
      <c r="F1188" s="15" t="str">
        <f aca="false">IFERROR(__xludf.dummyfunction("XLOOKUP(AJ1188,IMPORTRANGE(""1XaInW9DU9nz21V0tYIfzFQ0He9kVQ_JF2mCXgZ3hqFA"",""REKAP ALL 2026 - Andika!G:G""),IMPORTRANGE(""1XaInW9DU9nz21V0tYIfzFQ0He9kVQ_JF2mCXgZ3hqFA"",""REKAP ALL 2026 - Andika!F:F""),"""",0)"),"26046429770")</f>
        <v>26046429770</v>
      </c>
      <c r="G1188" s="13" t="s">
        <v>5222</v>
      </c>
      <c r="H1188" s="13" t="s">
        <v>35</v>
      </c>
      <c r="I1188" s="13" t="str">
        <f aca="false">IF(C1188=J1188,"NEW KONTRAK","RE-KONTRAK")</f>
        <v>RE-KONTRAK</v>
      </c>
      <c r="J1188" s="16" t="n">
        <f aca="false" t="array" ref="J1188:J1188">IFERROR(INDEX(AC1188:AE1188,IF(COUNTA(AC1188:AE1188)=0,"",MAX((AC1188:AE1188&lt;&gt;"")*(COLUMN(AC1188:AE1188)-(COLUMN(AC1188)))))-1),"")</f>
        <v>45870</v>
      </c>
      <c r="K1188" s="16" t="n">
        <f aca="false" t="array" ref="K1188:K1188">IFERROR(INDEX(AC1188:AE1188,IF(COUNTA(AC1188:AE1188)=0,"",MAX((AC1188:AE1188&lt;&gt;"")*(COLUMN(AC1188:AE1188)-(COLUMN(AC1188)-1))))-1),"")</f>
        <v>46234</v>
      </c>
      <c r="L1188" s="17" t="str">
        <f aca="false" t="array" ref="L1188:L1188">IFERROR(INDEX(AC1188:AE1188,IF(COUNTA(AC1188:AE1188)=0,"",MAX((AC1188:AE1188&lt;&gt;"")*(COLUMN(AC1188:AE1188)-(COLUMN(AC1188)-2))))-1),"")</f>
        <v>ARCHIVED</v>
      </c>
      <c r="M1188" s="13" t="n">
        <f aca="true">K1188-TODAY()</f>
        <v>-90</v>
      </c>
      <c r="N1188" s="18" t="s">
        <v>728</v>
      </c>
      <c r="O1188" s="13" t="s">
        <v>5032</v>
      </c>
      <c r="P1188" s="27" t="n">
        <v>5195401</v>
      </c>
      <c r="Q1188" s="20" t="s">
        <v>5223</v>
      </c>
      <c r="R1188" s="13" t="s">
        <v>241</v>
      </c>
      <c r="S1188" s="14" t="n">
        <v>28434</v>
      </c>
      <c r="T1188" s="13" t="s">
        <v>40</v>
      </c>
      <c r="U1188" s="13" t="s">
        <v>5224</v>
      </c>
      <c r="V1188" s="13" t="s">
        <v>42</v>
      </c>
      <c r="W1188" s="13" t="s">
        <v>54</v>
      </c>
      <c r="X1188" s="21" t="n">
        <v>81249133409</v>
      </c>
      <c r="Y1188" s="22" t="str">
        <f aca="false">O1188</f>
        <v>Operator Genset</v>
      </c>
      <c r="Z1188" s="13" t="str">
        <f aca="false">IFERROR(__xludf.dummyfunction("if(BJ1188="""","""",GOOGLETRANSLATE(BJ1188,""auto"",""en""))"),"Generator Operator")</f>
        <v>Generator Operator</v>
      </c>
      <c r="AA1188" s="23" t="str">
        <f aca="false">IF(C1188="","", CHOOSE(MONTH(C1188),"January","February","March","April","May","June","July","August","September","October","November","December")&amp;" "&amp;DAY(C1188)&amp;MID("thstndrdth",MIN(9,2*RIGHT(DAY(C1188))*(MOD(DAY(C1188)-11,100)&gt;2)+1),2)&amp;","&amp;TEXT(C1188," yyyy"))</f>
        <v>August 1st,2023</v>
      </c>
      <c r="AB1188" s="15" t="str">
        <f aca="true">IF(S1188="","",DATEDIF(S1188,TODAY(),"Y")&amp;" Tahun, "&amp;DATEDIF(S1188,TODAY(),"YM")&amp;" Bulan, "&amp;DATEDIF(S1188,TODAY(),"MD")&amp;" Hari")</f>
        <v>48 Tahun, 11 Bulan, 24 Hari</v>
      </c>
      <c r="AC1188" s="18" t="n">
        <v>45870</v>
      </c>
      <c r="AD1188" s="18" t="n">
        <v>46234</v>
      </c>
      <c r="AE1188" s="18" t="s">
        <v>44</v>
      </c>
    </row>
    <row r="1189" customFormat="false" ht="15.75" hidden="false" customHeight="true" outlineLevel="0" collapsed="false">
      <c r="A1189" s="12" t="n">
        <v>12590</v>
      </c>
      <c r="B1189" s="13" t="s">
        <v>5225</v>
      </c>
      <c r="C1189" s="14" t="n">
        <v>45139</v>
      </c>
      <c r="D1189" s="13" t="s">
        <v>5030</v>
      </c>
      <c r="E1189" s="15" t="s">
        <v>33</v>
      </c>
      <c r="F1189" s="24" t="s">
        <v>5226</v>
      </c>
      <c r="G1189" s="13" t="s">
        <v>5227</v>
      </c>
      <c r="H1189" s="13" t="s">
        <v>35</v>
      </c>
      <c r="I1189" s="13" t="str">
        <f aca="false">IF(C1189=J1189,"NEW KONTRAK","RE-KONTRAK")</f>
        <v>RE-KONTRAK</v>
      </c>
      <c r="J1189" s="16" t="n">
        <f aca="false" t="array" ref="J1189:J1189">IFERROR(INDEX(AC1189:AE1189,IF(COUNTA(AC1189:AE1189)=0,"",MAX((AC1189:AE1189&lt;&gt;"")*(COLUMN(AC1189:AE1189)-(COLUMN(AC1189)))))-1),"")</f>
        <v>45870</v>
      </c>
      <c r="K1189" s="16" t="n">
        <f aca="false" t="array" ref="K1189:K1189">IFERROR(INDEX(AC1189:AE1189,IF(COUNTA(AC1189:AE1189)=0,"",MAX((AC1189:AE1189&lt;&gt;"")*(COLUMN(AC1189:AE1189)-(COLUMN(AC1189)-1))))-1),"")</f>
        <v>46234</v>
      </c>
      <c r="L1189" s="17" t="str">
        <f aca="false" t="array" ref="L1189:L1189">IFERROR(INDEX(AC1189:AE1189,IF(COUNTA(AC1189:AE1189)=0,"",MAX((AC1189:AE1189&lt;&gt;"")*(COLUMN(AC1189:AE1189)-(COLUMN(AC1189)-2))))-1),"")</f>
        <v>ARCHIVED</v>
      </c>
      <c r="M1189" s="13" t="n">
        <f aca="true">K1189-TODAY()</f>
        <v>-90</v>
      </c>
      <c r="N1189" s="18" t="s">
        <v>728</v>
      </c>
      <c r="O1189" s="13" t="s">
        <v>5032</v>
      </c>
      <c r="P1189" s="27" t="n">
        <v>5195401</v>
      </c>
      <c r="Q1189" s="20" t="s">
        <v>5228</v>
      </c>
      <c r="R1189" s="13" t="s">
        <v>52</v>
      </c>
      <c r="S1189" s="14" t="n">
        <v>32189</v>
      </c>
      <c r="T1189" s="13" t="s">
        <v>40</v>
      </c>
      <c r="U1189" s="13" t="s">
        <v>5229</v>
      </c>
      <c r="V1189" s="13" t="s">
        <v>42</v>
      </c>
      <c r="W1189" s="13" t="s">
        <v>43</v>
      </c>
      <c r="X1189" s="21" t="n">
        <v>83830000170</v>
      </c>
      <c r="Y1189" s="22" t="str">
        <f aca="false">O1189</f>
        <v>Operator Genset</v>
      </c>
      <c r="Z1189" s="13" t="str">
        <f aca="false">IFERROR(__xludf.dummyfunction("if(BJ1189="""","""",GOOGLETRANSLATE(BJ1189,""auto"",""en""))"),"Generator Operator")</f>
        <v>Generator Operator</v>
      </c>
      <c r="AA1189" s="23" t="str">
        <f aca="false">IF(C1189="","", CHOOSE(MONTH(C1189),"January","February","March","April","May","June","July","August","September","October","November","December")&amp;" "&amp;DAY(C1189)&amp;MID("thstndrdth",MIN(9,2*RIGHT(DAY(C1189))*(MOD(DAY(C1189)-11,100)&gt;2)+1),2)&amp;","&amp;TEXT(C1189," yyyy"))</f>
        <v>August 1st,2023</v>
      </c>
      <c r="AB1189" s="15" t="str">
        <f aca="true">IF(S1189="","",DATEDIF(S1189,TODAY(),"Y")&amp;" Tahun, "&amp;DATEDIF(S1189,TODAY(),"YM")&amp;" Bulan, "&amp;DATEDIF(S1189,TODAY(),"MD")&amp;" Hari")</f>
        <v>38 Tahun, 8 Bulan, 13 Hari</v>
      </c>
      <c r="AC1189" s="18" t="n">
        <v>45870</v>
      </c>
      <c r="AD1189" s="18" t="n">
        <v>46234</v>
      </c>
      <c r="AE1189" s="18" t="s">
        <v>44</v>
      </c>
    </row>
    <row r="1190" customFormat="false" ht="15.75" hidden="false" customHeight="true" outlineLevel="0" collapsed="false">
      <c r="A1190" s="12" t="n">
        <v>12592</v>
      </c>
      <c r="B1190" s="13" t="s">
        <v>5230</v>
      </c>
      <c r="C1190" s="14" t="n">
        <v>45139</v>
      </c>
      <c r="D1190" s="13" t="s">
        <v>5030</v>
      </c>
      <c r="E1190" s="15" t="s">
        <v>33</v>
      </c>
      <c r="F1190" s="24" t="s">
        <v>5231</v>
      </c>
      <c r="G1190" s="13" t="s">
        <v>5232</v>
      </c>
      <c r="H1190" s="13" t="s">
        <v>35</v>
      </c>
      <c r="I1190" s="13" t="str">
        <f aca="false">IF(C1190=J1190,"NEW KONTRAK","RE-KONTRAK")</f>
        <v>RE-KONTRAK</v>
      </c>
      <c r="J1190" s="16" t="n">
        <f aca="false" t="array" ref="J1190:J1190">IFERROR(INDEX(AC1190:AE1190,IF(COUNTA(AC1190:AE1190)=0,"",MAX((AC1190:AE1190&lt;&gt;"")*(COLUMN(AC1190:AE1190)-(COLUMN(AC1190)))))-1),"")</f>
        <v>45505</v>
      </c>
      <c r="K1190" s="16" t="n">
        <f aca="false" t="array" ref="K1190:K1190">IFERROR(INDEX(AC1190:AE1190,IF(COUNTA(AC1190:AE1190)=0,"",MAX((AC1190:AE1190&lt;&gt;"")*(COLUMN(AC1190:AE1190)-(COLUMN(AC1190)-1))))-1),"")</f>
        <v>45869</v>
      </c>
      <c r="L1190" s="17" t="str">
        <f aca="false" t="array" ref="L1190:L1190">IFERROR(INDEX(AC1190:AE1190,IF(COUNTA(AC1190:AE1190)=0,"",MAX((AC1190:AE1190&lt;&gt;"")*(COLUMN(AC1190:AE1190)-(COLUMN(AC1190)-2))))-1),"")</f>
        <v>ARCHIVED</v>
      </c>
      <c r="M1190" s="13" t="n">
        <f aca="true">K1190-TODAY()</f>
        <v>-455</v>
      </c>
      <c r="N1190" s="18" t="s">
        <v>728</v>
      </c>
      <c r="O1190" s="13" t="s">
        <v>5032</v>
      </c>
      <c r="P1190" s="27" t="n">
        <v>5195401</v>
      </c>
      <c r="Q1190" s="20" t="s">
        <v>5233</v>
      </c>
      <c r="R1190" s="13" t="s">
        <v>65</v>
      </c>
      <c r="S1190" s="14" t="n">
        <v>32585</v>
      </c>
      <c r="T1190" s="13" t="s">
        <v>40</v>
      </c>
      <c r="U1190" s="13" t="s">
        <v>5234</v>
      </c>
      <c r="V1190" s="13" t="s">
        <v>42</v>
      </c>
      <c r="W1190" s="13" t="s">
        <v>43</v>
      </c>
      <c r="X1190" s="21" t="n">
        <v>81333053135</v>
      </c>
      <c r="Y1190" s="22" t="str">
        <f aca="false">O1190</f>
        <v>Operator Genset</v>
      </c>
      <c r="Z1190" s="13" t="str">
        <f aca="false">IFERROR(__xludf.dummyfunction("if(BJ1190="""","""",GOOGLETRANSLATE(BJ1190,""auto"",""en""))"),"Generator Operator")</f>
        <v>Generator Operator</v>
      </c>
      <c r="AA1190" s="23" t="str">
        <f aca="false">IF(C1190="","", CHOOSE(MONTH(C1190),"January","February","March","April","May","June","July","August","September","October","November","December")&amp;" "&amp;DAY(C1190)&amp;MID("thstndrdth",MIN(9,2*RIGHT(DAY(C1190))*(MOD(DAY(C1190)-11,100)&gt;2)+1),2)&amp;","&amp;TEXT(C1190," yyyy"))</f>
        <v>August 1st,2023</v>
      </c>
      <c r="AB1190" s="15" t="str">
        <f aca="true">IF(S1190="","",DATEDIF(S1190,TODAY(),"Y")&amp;" Tahun, "&amp;DATEDIF(S1190,TODAY(),"YM")&amp;" Bulan, "&amp;DATEDIF(S1190,TODAY(),"MD")&amp;" Hari")</f>
        <v>37 Tahun, 7 Bulan, 11 Hari</v>
      </c>
      <c r="AC1190" s="18" t="n">
        <v>45505</v>
      </c>
      <c r="AD1190" s="18" t="n">
        <v>45869</v>
      </c>
      <c r="AE1190" s="18" t="s">
        <v>44</v>
      </c>
    </row>
    <row r="1191" customFormat="false" ht="15.75" hidden="false" customHeight="true" outlineLevel="0" collapsed="false">
      <c r="A1191" s="12" t="n">
        <v>12593</v>
      </c>
      <c r="B1191" s="13" t="s">
        <v>5235</v>
      </c>
      <c r="C1191" s="14" t="n">
        <v>45139</v>
      </c>
      <c r="D1191" s="13" t="s">
        <v>5030</v>
      </c>
      <c r="E1191" s="15" t="s">
        <v>47</v>
      </c>
      <c r="F1191" s="15" t="str">
        <f aca="false">IFERROR(__xludf.dummyfunction("XLOOKUP(AJ1191,IMPORTRANGE(""1XaInW9DU9nz21V0tYIfzFQ0He9kVQ_JF2mCXgZ3hqFA"",""REKAP ALL 2026 - Andika!G:G""),IMPORTRANGE(""1XaInW9DU9nz21V0tYIfzFQ0He9kVQ_JF2mCXgZ3hqFA"",""REKAP ALL 2026 - Andika!F:F""),"""",0)"),"23121249231")</f>
        <v>23121249231</v>
      </c>
      <c r="G1191" s="13" t="s">
        <v>5236</v>
      </c>
      <c r="H1191" s="13" t="s">
        <v>35</v>
      </c>
      <c r="I1191" s="13" t="str">
        <f aca="false">IF(C1191=J1191,"NEW KONTRAK","RE-KONTRAK")</f>
        <v>RE-KONTRAK</v>
      </c>
      <c r="J1191" s="16" t="n">
        <f aca="false" t="array" ref="J1191:J1191">IFERROR(INDEX(AC1191:AE1191,IF(COUNTA(AC1191:AE1191)=0,"",MAX((AC1191:AE1191&lt;&gt;"")*(COLUMN(AC1191:AE1191)-(COLUMN(AC1191)))))-1),"")</f>
        <v>45870</v>
      </c>
      <c r="K1191" s="16" t="n">
        <f aca="false" t="array" ref="K1191:K1191">IFERROR(INDEX(AC1191:AE1191,IF(COUNTA(AC1191:AE1191)=0,"",MAX((AC1191:AE1191&lt;&gt;"")*(COLUMN(AC1191:AE1191)-(COLUMN(AC1191)-1))))-1),"")</f>
        <v>46234</v>
      </c>
      <c r="L1191" s="17" t="str">
        <f aca="false" t="array" ref="L1191:L1191">IFERROR(INDEX(AC1191:AE1191,IF(COUNTA(AC1191:AE1191)=0,"",MAX((AC1191:AE1191&lt;&gt;"")*(COLUMN(AC1191:AE1191)-(COLUMN(AC1191)-2))))-1),"")</f>
        <v>ARCHIVED</v>
      </c>
      <c r="M1191" s="13" t="n">
        <f aca="true">K1191-TODAY()</f>
        <v>-90</v>
      </c>
      <c r="N1191" s="18" t="s">
        <v>728</v>
      </c>
      <c r="O1191" s="13" t="s">
        <v>5032</v>
      </c>
      <c r="P1191" s="27" t="n">
        <v>5195401</v>
      </c>
      <c r="Q1191" s="20" t="s">
        <v>5237</v>
      </c>
      <c r="R1191" s="13" t="s">
        <v>39</v>
      </c>
      <c r="S1191" s="14" t="n">
        <v>33066</v>
      </c>
      <c r="T1191" s="13" t="s">
        <v>40</v>
      </c>
      <c r="U1191" s="13" t="s">
        <v>5238</v>
      </c>
      <c r="V1191" s="13" t="s">
        <v>42</v>
      </c>
      <c r="W1191" s="13" t="s">
        <v>43</v>
      </c>
      <c r="X1191" s="21" t="n">
        <v>895622633750</v>
      </c>
      <c r="Y1191" s="22" t="str">
        <f aca="false">O1191</f>
        <v>Operator Genset</v>
      </c>
      <c r="Z1191" s="13" t="str">
        <f aca="false">IFERROR(__xludf.dummyfunction("if(BJ1191="""","""",GOOGLETRANSLATE(BJ1191,""auto"",""en""))"),"Generator Operator")</f>
        <v>Generator Operator</v>
      </c>
      <c r="AA1191" s="23" t="str">
        <f aca="false">IF(C1191="","", CHOOSE(MONTH(C1191),"January","February","March","April","May","June","July","August","September","October","November","December")&amp;" "&amp;DAY(C1191)&amp;MID("thstndrdth",MIN(9,2*RIGHT(DAY(C1191))*(MOD(DAY(C1191)-11,100)&gt;2)+1),2)&amp;","&amp;TEXT(C1191," yyyy"))</f>
        <v>August 1st,2023</v>
      </c>
      <c r="AB1191" s="15" t="str">
        <f aca="true">IF(S1191="","",DATEDIF(S1191,TODAY(),"Y")&amp;" Tahun, "&amp;DATEDIF(S1191,TODAY(),"YM")&amp;" Bulan, "&amp;DATEDIF(S1191,TODAY(),"MD")&amp;" Hari")</f>
        <v>36 Tahun, 3 Bulan, 17 Hari</v>
      </c>
      <c r="AC1191" s="18" t="n">
        <v>45870</v>
      </c>
      <c r="AD1191" s="18" t="n">
        <v>46234</v>
      </c>
      <c r="AE1191" s="18" t="s">
        <v>44</v>
      </c>
    </row>
    <row r="1192" customFormat="false" ht="15.75" hidden="false" customHeight="true" outlineLevel="0" collapsed="false">
      <c r="A1192" s="12" t="n">
        <v>12629</v>
      </c>
      <c r="B1192" s="13" t="s">
        <v>5239</v>
      </c>
      <c r="C1192" s="14" t="n">
        <v>45143</v>
      </c>
      <c r="D1192" s="13" t="s">
        <v>2033</v>
      </c>
      <c r="E1192" s="15" t="s">
        <v>102</v>
      </c>
      <c r="F1192" s="15" t="str">
        <f aca="false">IFERROR(__xludf.dummyfunction("XLOOKUP(AJ1192,IMPORTRANGE(""1XaInW9DU9nz21V0tYIfzFQ0He9kVQ_JF2mCXgZ3hqFA"",""REKAP ALL 2026 - Andika!G:G""),IMPORTRANGE(""1XaInW9DU9nz21V0tYIfzFQ0He9kVQ_JF2mCXgZ3hqFA"",""REKAP ALL 2026 - Andika!F:F""),"""",0)"),"23113699443")</f>
        <v>23113699443</v>
      </c>
      <c r="G1192" s="13" t="s">
        <v>5240</v>
      </c>
      <c r="H1192" s="13" t="s">
        <v>2035</v>
      </c>
      <c r="I1192" s="13" t="str">
        <f aca="false">IF(C1192=J1192,"NEW KONTRAK","RE-KONTRAK")</f>
        <v>RE-KONTRAK</v>
      </c>
      <c r="J1192" s="16" t="n">
        <f aca="false" t="array" ref="J1192:J1192">IFERROR(INDEX(AC1192:AE1192,IF(COUNTA(AC1192:AE1192)=0,"",MAX((AC1192:AE1192&lt;&gt;"")*(COLUMN(AC1192:AE1192)-(COLUMN(AC1192)))))-1),"")</f>
        <v>45744</v>
      </c>
      <c r="K1192" s="16" t="n">
        <f aca="false" t="array" ref="K1192:K1192">IFERROR(INDEX(AC1192:AE1192,IF(COUNTA(AC1192:AE1192)=0,"",MAX((AC1192:AE1192&lt;&gt;"")*(COLUMN(AC1192:AE1192)-(COLUMN(AC1192)-1))))-1),"")</f>
        <v>45915</v>
      </c>
      <c r="L1192" s="17" t="str">
        <f aca="false" t="array" ref="L1192:L1192">IFERROR(INDEX(AC1192:AE1192,IF(COUNTA(AC1192:AE1192)=0,"",MAX((AC1192:AE1192&lt;&gt;"")*(COLUMN(AC1192:AE1192)-(COLUMN(AC1192)-2))))-1),"")</f>
        <v>ARCHIVED</v>
      </c>
      <c r="M1192" s="13" t="n">
        <f aca="true">K1192-TODAY()</f>
        <v>-409</v>
      </c>
      <c r="N1192" s="18" t="s">
        <v>3902</v>
      </c>
      <c r="O1192" s="13" t="s">
        <v>2037</v>
      </c>
      <c r="P1192" s="19" t="n">
        <v>3491889</v>
      </c>
      <c r="Q1192" s="20" t="s">
        <v>5241</v>
      </c>
      <c r="R1192" s="13" t="s">
        <v>5242</v>
      </c>
      <c r="S1192" s="14" t="n">
        <v>37896</v>
      </c>
      <c r="T1192" s="13" t="s">
        <v>108</v>
      </c>
      <c r="U1192" s="13" t="s">
        <v>5243</v>
      </c>
      <c r="V1192" s="13" t="s">
        <v>42</v>
      </c>
      <c r="W1192" s="13" t="s">
        <v>43</v>
      </c>
      <c r="X1192" s="21" t="n">
        <v>88286803953</v>
      </c>
      <c r="Y1192" s="22" t="str">
        <f aca="false">O1192</f>
        <v>SPG/BA</v>
      </c>
      <c r="Z1192" s="13" t="str">
        <f aca="false">IFERROR(__xludf.dummyfunction("if(BJ1192="""","""",GOOGLETRANSLATE(BJ1192,""auto"",""en""))"),"SPG/BA")</f>
        <v>SPG/BA</v>
      </c>
      <c r="AA1192" s="23" t="str">
        <f aca="false">IF(C1192="","", CHOOSE(MONTH(C1192),"January","February","March","April","May","June","July","August","September","October","November","December")&amp;" "&amp;DAY(C1192)&amp;MID("thstndrdth",MIN(9,2*RIGHT(DAY(C1192))*(MOD(DAY(C1192)-11,100)&gt;2)+1),2)&amp;","&amp;TEXT(C1192," yyyy"))</f>
        <v>August 5th,2023</v>
      </c>
      <c r="AB1192" s="15" t="str">
        <f aca="true">IF(S1192="","",DATEDIF(S1192,TODAY(),"Y")&amp;" Tahun, "&amp;DATEDIF(S1192,TODAY(),"YM")&amp;" Bulan, "&amp;DATEDIF(S1192,TODAY(),"MD")&amp;" Hari")</f>
        <v>23 Tahun, 0 Bulan, 27 Hari</v>
      </c>
      <c r="AC1192" s="18" t="n">
        <v>45744</v>
      </c>
      <c r="AD1192" s="18" t="n">
        <v>45915</v>
      </c>
      <c r="AE1192" s="18" t="s">
        <v>44</v>
      </c>
    </row>
    <row r="1193" customFormat="false" ht="15.75" hidden="false" customHeight="true" outlineLevel="0" collapsed="false">
      <c r="A1193" s="12" t="n">
        <v>12649</v>
      </c>
      <c r="B1193" s="13" t="s">
        <v>5244</v>
      </c>
      <c r="C1193" s="14" t="n">
        <v>45148</v>
      </c>
      <c r="D1193" s="13" t="s">
        <v>3022</v>
      </c>
      <c r="E1193" s="15" t="s">
        <v>47</v>
      </c>
      <c r="F1193" s="15" t="str">
        <f aca="false">IFERROR(__xludf.dummyfunction("XLOOKUP(AJ1193,IMPORTRANGE(""1XaInW9DU9nz21V0tYIfzFQ0He9kVQ_JF2mCXgZ3hqFA"",""REKAP ALL 2026 - Andika!G:G""),IMPORTRANGE(""1XaInW9DU9nz21V0tYIfzFQ0He9kVQ_JF2mCXgZ3hqFA"",""REKAP ALL 2026 - Andika!F:F""),"""",0)"),"23172179196")</f>
        <v>23172179196</v>
      </c>
      <c r="G1193" s="13" t="s">
        <v>5245</v>
      </c>
      <c r="H1193" s="13" t="s">
        <v>3024</v>
      </c>
      <c r="I1193" s="13" t="str">
        <f aca="false">IF(C1193=J1193,"NEW KONTRAK","RE-KONTRAK")</f>
        <v>RE-KONTRAK</v>
      </c>
      <c r="J1193" s="16" t="n">
        <f aca="false" t="array" ref="J1193:J1193">IFERROR(INDEX(AC1193:AE1193,IF(COUNTA(AC1193:AE1193)=0,"",MAX((AC1193:AE1193&lt;&gt;"")*(COLUMN(AC1193:AE1193)-(COLUMN(AC1193)))))-1),"")</f>
        <v>45570</v>
      </c>
      <c r="K1193" s="16" t="n">
        <f aca="false" t="array" ref="K1193:K1193">IFERROR(INDEX(AC1193:AE1193,IF(COUNTA(AC1193:AE1193)=0,"",MAX((AC1193:AE1193&lt;&gt;"")*(COLUMN(AC1193:AE1193)-(COLUMN(AC1193)-1))))-1),"")</f>
        <v>45934</v>
      </c>
      <c r="L1193" s="17" t="str">
        <f aca="false" t="array" ref="L1193:L1193">IFERROR(INDEX(AC1193:AE1193,IF(COUNTA(AC1193:AE1193)=0,"",MAX((AC1193:AE1193&lt;&gt;"")*(COLUMN(AC1193:AE1193)-(COLUMN(AC1193)-2))))-1),"")</f>
        <v>ARCHIVED</v>
      </c>
      <c r="M1193" s="13" t="n">
        <f aca="true">K1193-TODAY()</f>
        <v>-390</v>
      </c>
      <c r="N1193" s="18" t="s">
        <v>36</v>
      </c>
      <c r="O1193" s="13" t="s">
        <v>3750</v>
      </c>
      <c r="P1193" s="19" t="n">
        <v>162500</v>
      </c>
      <c r="Q1193" s="20" t="s">
        <v>5246</v>
      </c>
      <c r="R1193" s="13" t="s">
        <v>5247</v>
      </c>
      <c r="S1193" s="14" t="n">
        <v>36845</v>
      </c>
      <c r="T1193" s="13" t="s">
        <v>40</v>
      </c>
      <c r="U1193" s="13" t="s">
        <v>5248</v>
      </c>
      <c r="V1193" s="13" t="s">
        <v>42</v>
      </c>
      <c r="W1193" s="13" t="s">
        <v>43</v>
      </c>
      <c r="X1193" s="21" t="n">
        <v>895397658117</v>
      </c>
      <c r="Y1193" s="22" t="str">
        <f aca="false">O1193</f>
        <v>Produksi ( Painting )</v>
      </c>
      <c r="Z1193" s="13" t="str">
        <f aca="false">IFERROR(__xludf.dummyfunction("if(BJ1193="""","""",GOOGLETRANSLATE(BJ1193,""auto"",""en""))"),"Production (Painting)")</f>
        <v>Production (Painting)</v>
      </c>
      <c r="AA1193" s="23" t="str">
        <f aca="false">IF(C1193="","", CHOOSE(MONTH(C1193),"January","February","March","April","May","June","July","August","September","October","November","December")&amp;" "&amp;DAY(C1193)&amp;MID("thstndrdth",MIN(9,2*RIGHT(DAY(C1193))*(MOD(DAY(C1193)-11,100)&gt;2)+1),2)&amp;","&amp;TEXT(C1193," yyyy"))</f>
        <v>August 10th,2023</v>
      </c>
      <c r="AB1193" s="15" t="str">
        <f aca="true">IF(S1193="","",DATEDIF(S1193,TODAY(),"Y")&amp;" Tahun, "&amp;DATEDIF(S1193,TODAY(),"YM")&amp;" Bulan, "&amp;DATEDIF(S1193,TODAY(),"MD")&amp;" Hari")</f>
        <v>25 Tahun, 11 Bulan, 14 Hari</v>
      </c>
      <c r="AC1193" s="18" t="n">
        <v>45570</v>
      </c>
      <c r="AD1193" s="18" t="n">
        <v>45934</v>
      </c>
      <c r="AE1193" s="18" t="s">
        <v>44</v>
      </c>
    </row>
    <row r="1194" customFormat="false" ht="15.75" hidden="false" customHeight="true" outlineLevel="0" collapsed="false">
      <c r="A1194" s="12" t="n">
        <v>12697</v>
      </c>
      <c r="B1194" s="13" t="s">
        <v>5249</v>
      </c>
      <c r="C1194" s="14" t="n">
        <v>45159</v>
      </c>
      <c r="D1194" s="13" t="s">
        <v>5250</v>
      </c>
      <c r="E1194" s="15" t="s">
        <v>789</v>
      </c>
      <c r="F1194" s="15" t="str">
        <f aca="false">IFERROR(__xludf.dummyfunction("XLOOKUP(AJ1194,IMPORTRANGE(""1XaInW9DU9nz21V0tYIfzFQ0He9kVQ_JF2mCXgZ3hqFA"",""REKAP ALL 2026 - Andika!G:G""),IMPORTRANGE(""1XaInW9DU9nz21V0tYIfzFQ0He9kVQ_JF2mCXgZ3hqFA"",""REKAP ALL 2026 - Andika!F:F""),"""",0)"),"23172178842")</f>
        <v>23172178842</v>
      </c>
      <c r="G1194" s="13" t="s">
        <v>5251</v>
      </c>
      <c r="H1194" s="13" t="s">
        <v>35</v>
      </c>
      <c r="I1194" s="13" t="str">
        <f aca="false">IF(C1194=J1194,"NEW KONTRAK","RE-KONTRAK")</f>
        <v>RE-KONTRAK</v>
      </c>
      <c r="J1194" s="16" t="n">
        <f aca="false" t="array" ref="J1194:J1194">IFERROR(INDEX(AC1194:AE1194,IF(COUNTA(AC1194:AE1194)=0,"",MAX((AC1194:AE1194&lt;&gt;"")*(COLUMN(AC1194:AE1194)-(COLUMN(AC1194)))))-1),"")</f>
        <v>45658</v>
      </c>
      <c r="K1194" s="16" t="n">
        <f aca="false" t="array" ref="K1194:K1194">IFERROR(INDEX(AC1194:AE1194,IF(COUNTA(AC1194:AE1194)=0,"",MAX((AC1194:AE1194&lt;&gt;"")*(COLUMN(AC1194:AE1194)-(COLUMN(AC1194)-1))))-1),"")</f>
        <v>46022</v>
      </c>
      <c r="L1194" s="17" t="str">
        <f aca="false" t="array" ref="L1194:L1194">IFERROR(INDEX(AC1194:AE1194,IF(COUNTA(AC1194:AE1194)=0,"",MAX((AC1194:AE1194&lt;&gt;"")*(COLUMN(AC1194:AE1194)-(COLUMN(AC1194)-2))))-1),"")</f>
        <v>ARCHIVED</v>
      </c>
      <c r="M1194" s="13" t="n">
        <f aca="true">K1194-TODAY()</f>
        <v>-302</v>
      </c>
      <c r="N1194" s="18" t="s">
        <v>728</v>
      </c>
      <c r="O1194" s="13" t="s">
        <v>5252</v>
      </c>
      <c r="P1194" s="27" t="n">
        <v>5176101</v>
      </c>
      <c r="Q1194" s="20" t="s">
        <v>5253</v>
      </c>
      <c r="R1194" s="13" t="s">
        <v>39</v>
      </c>
      <c r="S1194" s="14" t="n">
        <v>37116</v>
      </c>
      <c r="T1194" s="13" t="s">
        <v>40</v>
      </c>
      <c r="U1194" s="13" t="s">
        <v>5254</v>
      </c>
      <c r="V1194" s="13" t="s">
        <v>42</v>
      </c>
      <c r="W1194" s="13" t="s">
        <v>54</v>
      </c>
      <c r="X1194" s="21" t="n">
        <v>83857924363</v>
      </c>
      <c r="Y1194" s="22" t="str">
        <f aca="false">O1194</f>
        <v>Helper Printing</v>
      </c>
      <c r="Z1194" s="13" t="str">
        <f aca="false">IFERROR(__xludf.dummyfunction("if(BJ1194="""","""",GOOGLETRANSLATE(BJ1194,""auto"",""en""))"),"Helper Printing")</f>
        <v>Helper Printing</v>
      </c>
      <c r="AA1194" s="23" t="str">
        <f aca="false">IF(C1194="","", CHOOSE(MONTH(C1194),"January","February","March","April","May","June","July","August","September","October","November","December")&amp;" "&amp;DAY(C1194)&amp;MID("thstndrdth",MIN(9,2*RIGHT(DAY(C1194))*(MOD(DAY(C1194)-11,100)&gt;2)+1),2)&amp;","&amp;TEXT(C1194," yyyy"))</f>
        <v>August 21st,2023</v>
      </c>
      <c r="AB1194" s="15" t="str">
        <f aca="true">IF(S1194="","",DATEDIF(S1194,TODAY(),"Y")&amp;" Tahun, "&amp;DATEDIF(S1194,TODAY(),"YM")&amp;" Bulan, "&amp;DATEDIF(S1194,TODAY(),"MD")&amp;" Hari")</f>
        <v>25 Tahun, 2 Bulan, 16 Hari</v>
      </c>
      <c r="AC1194" s="18" t="n">
        <v>45658</v>
      </c>
      <c r="AD1194" s="18" t="n">
        <v>46022</v>
      </c>
      <c r="AE1194" s="18" t="s">
        <v>44</v>
      </c>
    </row>
    <row r="1195" customFormat="false" ht="15.75" hidden="false" customHeight="true" outlineLevel="0" collapsed="false">
      <c r="A1195" s="12" t="n">
        <v>12702</v>
      </c>
      <c r="B1195" s="13" t="s">
        <v>5255</v>
      </c>
      <c r="C1195" s="14" t="n">
        <v>45159</v>
      </c>
      <c r="D1195" s="13" t="s">
        <v>2046</v>
      </c>
      <c r="E1195" s="15" t="s">
        <v>789</v>
      </c>
      <c r="F1195" s="24" t="s">
        <v>5256</v>
      </c>
      <c r="G1195" s="13" t="s">
        <v>5257</v>
      </c>
      <c r="H1195" s="13" t="s">
        <v>35</v>
      </c>
      <c r="I1195" s="13" t="str">
        <f aca="false">IF(C1195=J1195,"NEW KONTRAK","RE-KONTRAK")</f>
        <v>RE-KONTRAK</v>
      </c>
      <c r="J1195" s="16" t="n">
        <f aca="false" t="array" ref="J1195:J1195">IFERROR(INDEX(AC1195:AE1195,IF(COUNTA(AC1195:AE1195)=0,"",MAX((AC1195:AE1195&lt;&gt;"")*(COLUMN(AC1195:AE1195)-(COLUMN(AC1195)))))-1),"")</f>
        <v>45839</v>
      </c>
      <c r="K1195" s="16" t="n">
        <f aca="false" t="array" ref="K1195:K1195">IFERROR(INDEX(AC1195:AE1195,IF(COUNTA(AC1195:AE1195)=0,"",MAX((AC1195:AE1195&lt;&gt;"")*(COLUMN(AC1195:AE1195)-(COLUMN(AC1195)-1))))-1),"")</f>
        <v>45961</v>
      </c>
      <c r="L1195" s="17" t="str">
        <f aca="false" t="array" ref="L1195:L1195">IFERROR(INDEX(AC1195:AE1195,IF(COUNTA(AC1195:AE1195)=0,"",MAX((AC1195:AE1195&lt;&gt;"")*(COLUMN(AC1195:AE1195)-(COLUMN(AC1195)-2))))-1),"")</f>
        <v>ARCHIVED</v>
      </c>
      <c r="M1195" s="13" t="n">
        <f aca="true">K1195-TODAY()</f>
        <v>-363</v>
      </c>
      <c r="N1195" s="18" t="s">
        <v>36</v>
      </c>
      <c r="O1195" s="13" t="s">
        <v>2055</v>
      </c>
      <c r="P1195" s="19" t="s">
        <v>2050</v>
      </c>
      <c r="Q1195" s="20" t="s">
        <v>5258</v>
      </c>
      <c r="R1195" s="13" t="s">
        <v>52</v>
      </c>
      <c r="S1195" s="14" t="n">
        <v>38539</v>
      </c>
      <c r="T1195" s="13" t="s">
        <v>40</v>
      </c>
      <c r="U1195" s="13" t="s">
        <v>5259</v>
      </c>
      <c r="V1195" s="13" t="s">
        <v>42</v>
      </c>
      <c r="W1195" s="13" t="s">
        <v>43</v>
      </c>
      <c r="X1195" s="21" t="n">
        <v>81252597064</v>
      </c>
      <c r="Y1195" s="22" t="str">
        <f aca="false">O1195</f>
        <v>Assembly</v>
      </c>
      <c r="Z1195" s="13" t="str">
        <f aca="false">IFERROR(__xludf.dummyfunction("if(BJ1195="""","""",GOOGLETRANSLATE(BJ1195,""auto"",""en""))"),"Assembly")</f>
        <v>Assembly</v>
      </c>
      <c r="AA1195" s="23" t="str">
        <f aca="false">IF(C1195="","", CHOOSE(MONTH(C1195),"January","February","March","April","May","June","July","August","September","October","November","December")&amp;" "&amp;DAY(C1195)&amp;MID("thstndrdth",MIN(9,2*RIGHT(DAY(C1195))*(MOD(DAY(C1195)-11,100)&gt;2)+1),2)&amp;","&amp;TEXT(C1195," yyyy"))</f>
        <v>August 21st,2023</v>
      </c>
      <c r="AB1195" s="15" t="str">
        <f aca="true">IF(S1195="","",DATEDIF(S1195,TODAY(),"Y")&amp;" Tahun, "&amp;DATEDIF(S1195,TODAY(),"YM")&amp;" Bulan, "&amp;DATEDIF(S1195,TODAY(),"MD")&amp;" Hari")</f>
        <v>21 Tahun, 3 Bulan, 23 Hari</v>
      </c>
      <c r="AC1195" s="18" t="n">
        <v>45839</v>
      </c>
      <c r="AD1195" s="18" t="n">
        <v>45961</v>
      </c>
      <c r="AE1195" s="18" t="s">
        <v>44</v>
      </c>
    </row>
    <row r="1196" customFormat="false" ht="15.75" hidden="false" customHeight="true" outlineLevel="0" collapsed="false">
      <c r="A1196" s="12" t="n">
        <v>22734</v>
      </c>
      <c r="B1196" s="13" t="s">
        <v>5260</v>
      </c>
      <c r="C1196" s="14" t="n">
        <v>46218</v>
      </c>
      <c r="D1196" s="13" t="s">
        <v>2033</v>
      </c>
      <c r="E1196" s="13" t="s">
        <v>47</v>
      </c>
      <c r="F1196" s="24" t="s">
        <v>5261</v>
      </c>
      <c r="G1196" s="13" t="s">
        <v>1452</v>
      </c>
      <c r="H1196" s="13" t="s">
        <v>35</v>
      </c>
      <c r="I1196" s="13" t="str">
        <f aca="false">IF(C1196=J1196,"NEW KONTRAK","RE-KONTRAK")</f>
        <v>NEW KONTRAK</v>
      </c>
      <c r="J1196" s="16" t="n">
        <f aca="false" t="array" ref="J1196:J1196">IFERROR(INDEX(AC1196:AE1196,IF(COUNTA(AC1196:AE1196)=0,"",MAX((AC1196:AE1196&lt;&gt;"")*(COLUMN(AC1196:AE1196)-(COLUMN(AC1196)))))-1),"")</f>
        <v>46218</v>
      </c>
      <c r="K1196" s="16" t="n">
        <f aca="false" t="array" ref="K1196:K1196">IFERROR(INDEX(AC1196:AE1196,IF(COUNTA(AC1196:AE1196)=0,"",MAX((AC1196:AE1196&lt;&gt;"")*(COLUMN(AC1196:AE1196)-(COLUMN(AC1196)-1))))-1),"")</f>
        <v>46402</v>
      </c>
      <c r="L1196" s="17" t="str">
        <f aca="false" t="array" ref="L1196:L1196">IFERROR(INDEX(AC1196:AE1196,IF(COUNTA(AC1196:AE1196)=0,"",MAX((AC1196:AE1196&lt;&gt;"")*(COLUMN(AC1196:AE1196)-(COLUMN(AC1196)-2))))-1),"")</f>
        <v>KEMBALI</v>
      </c>
      <c r="M1196" s="13" t="n">
        <f aca="true">K1196-TODAY()</f>
        <v>78</v>
      </c>
      <c r="N1196" s="18" t="s">
        <v>2427</v>
      </c>
      <c r="O1196" s="13" t="s">
        <v>2384</v>
      </c>
      <c r="P1196" s="19" t="n">
        <v>3619467</v>
      </c>
      <c r="Q1196" s="20" t="s">
        <v>5262</v>
      </c>
      <c r="R1196" s="13" t="s">
        <v>2427</v>
      </c>
      <c r="S1196" s="25" t="n">
        <v>38340</v>
      </c>
      <c r="T1196" s="13" t="s">
        <v>108</v>
      </c>
      <c r="U1196" s="13" t="s">
        <v>5263</v>
      </c>
      <c r="V1196" s="13" t="s">
        <v>42</v>
      </c>
      <c r="W1196" s="13" t="s">
        <v>43</v>
      </c>
      <c r="X1196" s="21" t="n">
        <v>82192059306</v>
      </c>
      <c r="Y1196" s="22" t="str">
        <f aca="false">O1196</f>
        <v>SPG</v>
      </c>
      <c r="Z1196" s="13" t="str">
        <f aca="false">IFERROR(__xludf.dummyfunction("if(BJ1196="""","""",GOOGLETRANSLATE(BJ1196,""auto"",""en""))"),"SPG")</f>
        <v>SPG</v>
      </c>
      <c r="AA1196" s="23" t="str">
        <f aca="false">IF(C1196="","", CHOOSE(MONTH(C1196),"January","February","March","April","May","June","July","August","September","October","November","December")&amp;" "&amp;DAY(C1196)&amp;MID("thstndrdth",MIN(9,2*RIGHT(DAY(C1196))*(MOD(DAY(C1196)-11,100)&gt;2)+1),2)&amp;","&amp;TEXT(C1196," yyyy"))</f>
        <v>July 15th,2026</v>
      </c>
      <c r="AB1196" s="15" t="str">
        <f aca="true">IF(S1196="","",DATEDIF(S1196,TODAY(),"Y")&amp;" Tahun, "&amp;DATEDIF(S1196,TODAY(),"YM")&amp;" Bulan, "&amp;DATEDIF(S1196,TODAY(),"MD")&amp;" Hari")</f>
        <v>21 Tahun, 10 Bulan, 10 Hari</v>
      </c>
      <c r="AC1196" s="14" t="n">
        <v>46218</v>
      </c>
      <c r="AD1196" s="18" t="n">
        <v>46402</v>
      </c>
      <c r="AE1196" s="13" t="s">
        <v>397</v>
      </c>
    </row>
    <row r="1197" customFormat="false" ht="15.75" hidden="false" customHeight="true" outlineLevel="0" collapsed="false">
      <c r="A1197" s="12" t="n">
        <v>20090</v>
      </c>
      <c r="B1197" s="13" t="s">
        <v>5264</v>
      </c>
      <c r="C1197" s="16" t="n">
        <v>45829</v>
      </c>
      <c r="D1197" s="13" t="s">
        <v>2033</v>
      </c>
      <c r="E1197" s="15" t="s">
        <v>47</v>
      </c>
      <c r="F1197" s="15" t="str">
        <f aca="false">IFERROR(__xludf.dummyfunction("XLOOKUP(AJ1197,IMPORTRANGE(""1XaInW9DU9nz21V0tYIfzFQ0He9kVQ_JF2mCXgZ3hqFA"",""REKAP ALL 2026 - Andika!G:G""),IMPORTRANGE(""1XaInW9DU9nz21V0tYIfzFQ0He9kVQ_JF2mCXgZ3hqFA"",""REKAP ALL 2026 - Andika!F:F""),"""",0)"),"26062983148")</f>
        <v>26062983148</v>
      </c>
      <c r="G1197" s="13" t="s">
        <v>5265</v>
      </c>
      <c r="H1197" s="13" t="s">
        <v>2035</v>
      </c>
      <c r="I1197" s="13" t="str">
        <f aca="false">IF(C1197=J1197,"NEW KONTRAK","RE-KONTRAK")</f>
        <v>NEW KONTRAK</v>
      </c>
      <c r="J1197" s="16" t="n">
        <f aca="false" t="array" ref="J1197:J1197">IFERROR(INDEX(AC1197:AE1197,IF(COUNTA(AC1197:AE1197)=0,"",MAX((AC1197:AE1197&lt;&gt;"")*(COLUMN(AC1197:AE1197)-(COLUMN(AC1197)))))-1),"")</f>
        <v>45829</v>
      </c>
      <c r="K1197" s="16" t="n">
        <f aca="false" t="array" ref="K1197:K1197">IFERROR(INDEX(AC1197:AE1197,IF(COUNTA(AC1197:AE1197)=0,"",MAX((AC1197:AE1197&lt;&gt;"")*(COLUMN(AC1197:AE1197)-(COLUMN(AC1197)-1))))-1),"")</f>
        <v>45915</v>
      </c>
      <c r="L1197" s="17" t="str">
        <f aca="false" t="array" ref="L1197:L1197">IFERROR(INDEX(AC1197:AE1197,IF(COUNTA(AC1197:AE1197)=0,"",MAX((AC1197:AE1197&lt;&gt;"")*(COLUMN(AC1197:AE1197)-(COLUMN(AC1197)-2))))-1),"")</f>
        <v>ARCHIVED</v>
      </c>
      <c r="M1197" s="13" t="n">
        <f aca="true">K1197-TODAY()</f>
        <v>-409</v>
      </c>
      <c r="N1197" s="18" t="s">
        <v>2356</v>
      </c>
      <c r="O1197" s="13" t="s">
        <v>2037</v>
      </c>
      <c r="P1197" s="19" t="n">
        <v>4148179</v>
      </c>
      <c r="Q1197" s="20" t="s">
        <v>5266</v>
      </c>
      <c r="R1197" s="13" t="s">
        <v>2359</v>
      </c>
      <c r="S1197" s="16" t="n">
        <v>35754</v>
      </c>
      <c r="T1197" s="13" t="s">
        <v>108</v>
      </c>
      <c r="U1197" s="13" t="s">
        <v>5267</v>
      </c>
      <c r="V1197" s="13" t="s">
        <v>42</v>
      </c>
      <c r="W1197" s="13" t="s">
        <v>43</v>
      </c>
      <c r="X1197" s="21" t="n">
        <v>85395754829</v>
      </c>
      <c r="Y1197" s="22" t="str">
        <f aca="false">O1197</f>
        <v>SPG/BA</v>
      </c>
      <c r="Z1197" s="13" t="str">
        <f aca="false">IFERROR(__xludf.dummyfunction("if(BJ1197="""","""",GOOGLETRANSLATE(BJ1197,""auto"",""en""))"),"SPG/BA")</f>
        <v>SPG/BA</v>
      </c>
      <c r="AA1197" s="23" t="str">
        <f aca="false">IF(C1197="","", CHOOSE(MONTH(C1197),"January","February","March","April","May","June","July","August","September","October","November","December")&amp;" "&amp;DAY(C1197)&amp;MID("thstndrdth",MIN(9,2*RIGHT(DAY(C1197))*(MOD(DAY(C1197)-11,100)&gt;2)+1),2)&amp;","&amp;TEXT(C1197," yyyy"))</f>
        <v>June 21st,2025</v>
      </c>
      <c r="AB1197" s="15" t="str">
        <f aca="true">IF(S1197="","",DATEDIF(S1197,TODAY(),"Y")&amp;" Tahun, "&amp;DATEDIF(S1197,TODAY(),"YM")&amp;" Bulan, "&amp;DATEDIF(S1197,TODAY(),"MD")&amp;" Hari")</f>
        <v>28 Tahun, 11 Bulan, 9 Hari</v>
      </c>
      <c r="AC1197" s="18" t="n">
        <v>45829</v>
      </c>
      <c r="AD1197" s="18" t="n">
        <v>45915</v>
      </c>
      <c r="AE1197" s="18" t="s">
        <v>44</v>
      </c>
    </row>
    <row r="1198" customFormat="false" ht="15.75" hidden="false" customHeight="true" outlineLevel="0" collapsed="false">
      <c r="A1198" s="12" t="n">
        <v>12742</v>
      </c>
      <c r="B1198" s="13" t="s">
        <v>5268</v>
      </c>
      <c r="C1198" s="14" t="n">
        <v>45153</v>
      </c>
      <c r="D1198" s="13" t="s">
        <v>2033</v>
      </c>
      <c r="E1198" s="15" t="s">
        <v>102</v>
      </c>
      <c r="F1198" s="15" t="str">
        <f aca="false">IFERROR(__xludf.dummyfunction("XLOOKUP(AJ1198,IMPORTRANGE(""1XaInW9DU9nz21V0tYIfzFQ0He9kVQ_JF2mCXgZ3hqFA"",""REKAP ALL 2026 - Andika!G:G""),IMPORTRANGE(""1XaInW9DU9nz21V0tYIfzFQ0He9kVQ_JF2mCXgZ3hqFA"",""REKAP ALL 2026 - Andika!F:F""),"""",0)"),"23132324502")</f>
        <v>23132324502</v>
      </c>
      <c r="G1198" s="13" t="s">
        <v>5269</v>
      </c>
      <c r="H1198" s="13" t="s">
        <v>2035</v>
      </c>
      <c r="I1198" s="13" t="str">
        <f aca="false">IF(C1198=J1198,"NEW KONTRAK","RE-KONTRAK")</f>
        <v>RE-KONTRAK</v>
      </c>
      <c r="J1198" s="16" t="n">
        <f aca="false" t="array" ref="J1198:J1198">IFERROR(INDEX(AC1198:AE1198,IF(COUNTA(AC1198:AE1198)=0,"",MAX((AC1198:AE1198&lt;&gt;"")*(COLUMN(AC1198:AE1198)-(COLUMN(AC1198)))))-1),"")</f>
        <v>45744</v>
      </c>
      <c r="K1198" s="16" t="n">
        <f aca="false" t="array" ref="K1198:K1198">IFERROR(INDEX(AC1198:AE1198,IF(COUNTA(AC1198:AE1198)=0,"",MAX((AC1198:AE1198&lt;&gt;"")*(COLUMN(AC1198:AE1198)-(COLUMN(AC1198)-1))))-1),"")</f>
        <v>45915</v>
      </c>
      <c r="L1198" s="17" t="str">
        <f aca="false" t="array" ref="L1198:L1198">IFERROR(INDEX(AC1198:AE1198,IF(COUNTA(AC1198:AE1198)=0,"",MAX((AC1198:AE1198&lt;&gt;"")*(COLUMN(AC1198:AE1198)-(COLUMN(AC1198)-2))))-1),"")</f>
        <v>ARCHIVED</v>
      </c>
      <c r="M1198" s="13" t="n">
        <f aca="true">K1198-TODAY()</f>
        <v>-409</v>
      </c>
      <c r="N1198" s="18" t="s">
        <v>2587</v>
      </c>
      <c r="O1198" s="13" t="s">
        <v>2037</v>
      </c>
      <c r="P1198" s="19" t="n">
        <v>3603268</v>
      </c>
      <c r="Q1198" s="20" t="s">
        <v>5270</v>
      </c>
      <c r="R1198" s="13" t="s">
        <v>2587</v>
      </c>
      <c r="S1198" s="14" t="n">
        <v>37089</v>
      </c>
      <c r="T1198" s="13" t="s">
        <v>108</v>
      </c>
      <c r="U1198" s="13" t="s">
        <v>5271</v>
      </c>
      <c r="V1198" s="13" t="s">
        <v>42</v>
      </c>
      <c r="W1198" s="13" t="s">
        <v>43</v>
      </c>
      <c r="X1198" s="21" t="n">
        <v>85256414066</v>
      </c>
      <c r="Y1198" s="22" t="str">
        <f aca="false">O1198</f>
        <v>SPG/BA</v>
      </c>
      <c r="Z1198" s="13" t="str">
        <f aca="false">IFERROR(__xludf.dummyfunction("if(BJ1198="""","""",GOOGLETRANSLATE(BJ1198,""auto"",""en""))"),"SPG/BA")</f>
        <v>SPG/BA</v>
      </c>
      <c r="AA1198" s="23" t="str">
        <f aca="false">IF(C1198="","", CHOOSE(MONTH(C1198),"January","February","March","April","May","June","July","August","September","October","November","December")&amp;" "&amp;DAY(C1198)&amp;MID("thstndrdth",MIN(9,2*RIGHT(DAY(C1198))*(MOD(DAY(C1198)-11,100)&gt;2)+1),2)&amp;","&amp;TEXT(C1198," yyyy"))</f>
        <v>August 15th,2023</v>
      </c>
      <c r="AB1198" s="15" t="str">
        <f aca="true">IF(S1198="","",DATEDIF(S1198,TODAY(),"Y")&amp;" Tahun, "&amp;DATEDIF(S1198,TODAY(),"YM")&amp;" Bulan, "&amp;DATEDIF(S1198,TODAY(),"MD")&amp;" Hari")</f>
        <v>25 Tahun, 3 Bulan, 12 Hari</v>
      </c>
      <c r="AC1198" s="18" t="n">
        <v>45744</v>
      </c>
      <c r="AD1198" s="18" t="n">
        <v>45915</v>
      </c>
      <c r="AE1198" s="18" t="s">
        <v>44</v>
      </c>
    </row>
    <row r="1199" customFormat="false" ht="15.75" hidden="false" customHeight="true" outlineLevel="0" collapsed="false">
      <c r="A1199" s="12" t="n">
        <v>12743</v>
      </c>
      <c r="B1199" s="13" t="s">
        <v>5272</v>
      </c>
      <c r="C1199" s="14" t="n">
        <v>45156</v>
      </c>
      <c r="D1199" s="13" t="s">
        <v>2033</v>
      </c>
      <c r="E1199" s="15" t="s">
        <v>102</v>
      </c>
      <c r="F1199" s="15" t="str">
        <f aca="false">IFERROR(__xludf.dummyfunction("XLOOKUP(AJ1199,IMPORTRANGE(""1XaInW9DU9nz21V0tYIfzFQ0He9kVQ_JF2mCXgZ3hqFA"",""REKAP ALL 2026 - Andika!G:G""),IMPORTRANGE(""1XaInW9DU9nz21V0tYIfzFQ0He9kVQ_JF2mCXgZ3hqFA"",""REKAP ALL 2026 - Andika!F:F""),"""",0)"),"23132324536")</f>
        <v>23132324536</v>
      </c>
      <c r="G1199" s="13" t="s">
        <v>5273</v>
      </c>
      <c r="H1199" s="13" t="s">
        <v>2035</v>
      </c>
      <c r="I1199" s="13" t="str">
        <f aca="false">IF(C1199=J1199,"NEW KONTRAK","RE-KONTRAK")</f>
        <v>RE-KONTRAK</v>
      </c>
      <c r="J1199" s="16" t="n">
        <f aca="false" t="array" ref="J1199:J1199">IFERROR(INDEX(AC1199:AE1199,IF(COUNTA(AC1199:AE1199)=0,"",MAX((AC1199:AE1199&lt;&gt;"")*(COLUMN(AC1199:AE1199)-(COLUMN(AC1199)))))-1),"")</f>
        <v>45744</v>
      </c>
      <c r="K1199" s="16" t="n">
        <f aca="false" t="array" ref="K1199:K1199">IFERROR(INDEX(AC1199:AE1199,IF(COUNTA(AC1199:AE1199)=0,"",MAX((AC1199:AE1199&lt;&gt;"")*(COLUMN(AC1199:AE1199)-(COLUMN(AC1199)-1))))-1),"")</f>
        <v>45915</v>
      </c>
      <c r="L1199" s="17" t="str">
        <f aca="false" t="array" ref="L1199:L1199">IFERROR(INDEX(AC1199:AE1199,IF(COUNTA(AC1199:AE1199)=0,"",MAX((AC1199:AE1199&lt;&gt;"")*(COLUMN(AC1199:AE1199)-(COLUMN(AC1199)-2))))-1),"")</f>
        <v>ARCHIVED</v>
      </c>
      <c r="M1199" s="13" t="n">
        <f aca="true">K1199-TODAY()</f>
        <v>-409</v>
      </c>
      <c r="N1199" s="18" t="s">
        <v>2427</v>
      </c>
      <c r="O1199" s="13" t="s">
        <v>2037</v>
      </c>
      <c r="P1199" s="19" t="n">
        <v>3872334</v>
      </c>
      <c r="Q1199" s="20" t="s">
        <v>5274</v>
      </c>
      <c r="R1199" s="13" t="s">
        <v>2427</v>
      </c>
      <c r="S1199" s="14" t="n">
        <v>37444</v>
      </c>
      <c r="T1199" s="13" t="s">
        <v>108</v>
      </c>
      <c r="U1199" s="13" t="s">
        <v>5275</v>
      </c>
      <c r="V1199" s="13" t="s">
        <v>42</v>
      </c>
      <c r="W1199" s="13" t="s">
        <v>43</v>
      </c>
      <c r="X1199" s="21" t="n">
        <v>87803461264</v>
      </c>
      <c r="Y1199" s="22" t="str">
        <f aca="false">O1199</f>
        <v>SPG/BA</v>
      </c>
      <c r="Z1199" s="13" t="str">
        <f aca="false">IFERROR(__xludf.dummyfunction("if(BJ1199="""","""",GOOGLETRANSLATE(BJ1199,""auto"",""en""))"),"SPG/BA")</f>
        <v>SPG/BA</v>
      </c>
      <c r="AA1199" s="23" t="str">
        <f aca="false">IF(C1199="","", CHOOSE(MONTH(C1199),"January","February","March","April","May","June","July","August","September","October","November","December")&amp;" "&amp;DAY(C1199)&amp;MID("thstndrdth",MIN(9,2*RIGHT(DAY(C1199))*(MOD(DAY(C1199)-11,100)&gt;2)+1),2)&amp;","&amp;TEXT(C1199," yyyy"))</f>
        <v>August 18th,2023</v>
      </c>
      <c r="AB1199" s="15" t="str">
        <f aca="true">IF(S1199="","",DATEDIF(S1199,TODAY(),"Y")&amp;" Tahun, "&amp;DATEDIF(S1199,TODAY(),"YM")&amp;" Bulan, "&amp;DATEDIF(S1199,TODAY(),"MD")&amp;" Hari")</f>
        <v>24 Tahun, 3 Bulan, 22 Hari</v>
      </c>
      <c r="AC1199" s="18" t="n">
        <v>45744</v>
      </c>
      <c r="AD1199" s="18" t="n">
        <v>45915</v>
      </c>
      <c r="AE1199" s="18" t="s">
        <v>44</v>
      </c>
    </row>
    <row r="1200" customFormat="false" ht="15.75" hidden="false" customHeight="true" outlineLevel="0" collapsed="false">
      <c r="A1200" s="12" t="n">
        <v>12774</v>
      </c>
      <c r="B1200" s="13" t="s">
        <v>5276</v>
      </c>
      <c r="C1200" s="14" t="n">
        <v>45152</v>
      </c>
      <c r="D1200" s="13" t="s">
        <v>4264</v>
      </c>
      <c r="E1200" s="15" t="s">
        <v>102</v>
      </c>
      <c r="F1200" s="15" t="str">
        <f aca="false">IFERROR(__xludf.dummyfunction("XLOOKUP(AJ1200,IMPORTRANGE(""1XaInW9DU9nz21V0tYIfzFQ0He9kVQ_JF2mCXgZ3hqFA"",""REKAP ALL 2026 - Andika!G:G""),IMPORTRANGE(""1XaInW9DU9nz21V0tYIfzFQ0He9kVQ_JF2mCXgZ3hqFA"",""REKAP ALL 2026 - Andika!F:F""),"""",0)"),"23132367907")</f>
        <v>23132367907</v>
      </c>
      <c r="G1200" s="13" t="s">
        <v>57</v>
      </c>
      <c r="H1200" s="13" t="s">
        <v>35</v>
      </c>
      <c r="I1200" s="13" t="str">
        <f aca="false">IF(C1200=J1200,"NEW KONTRAK","RE-KONTRAK")</f>
        <v>RE-KONTRAK</v>
      </c>
      <c r="J1200" s="16" t="n">
        <f aca="false" t="array" ref="J1200:J1200">IFERROR(INDEX(AC1200:AE1200,IF(COUNTA(AC1200:AE1200)=0,"",MAX((AC1200:AE1200&lt;&gt;"")*(COLUMN(AC1200:AE1200)-(COLUMN(AC1200)))))-1),"")</f>
        <v>45764</v>
      </c>
      <c r="K1200" s="16" t="n">
        <f aca="false" t="array" ref="K1200:K1200">IFERROR(INDEX(AC1200:AE1200,IF(COUNTA(AC1200:AE1200)=0,"",MAX((AC1200:AE1200&lt;&gt;"")*(COLUMN(AC1200:AE1200)-(COLUMN(AC1200)-1))))-1),"")</f>
        <v>45946</v>
      </c>
      <c r="L1200" s="17" t="str">
        <f aca="false" t="array" ref="L1200:L1200">IFERROR(INDEX(AC1200:AE1200,IF(COUNTA(AC1200:AE1200)=0,"",MAX((AC1200:AE1200&lt;&gt;"")*(COLUMN(AC1200:AE1200)-(COLUMN(AC1200)-2))))-1),"")</f>
        <v>ARCHIVED</v>
      </c>
      <c r="M1200" s="13" t="n">
        <f aca="true">K1200-TODAY()</f>
        <v>-378</v>
      </c>
      <c r="N1200" s="18" t="s">
        <v>36</v>
      </c>
      <c r="O1200" s="13" t="s">
        <v>4288</v>
      </c>
      <c r="P1200" s="27" t="n">
        <v>200000</v>
      </c>
      <c r="Q1200" s="20" t="s">
        <v>5277</v>
      </c>
      <c r="R1200" s="13" t="s">
        <v>246</v>
      </c>
      <c r="S1200" s="14" t="n">
        <v>37896</v>
      </c>
      <c r="T1200" s="13" t="s">
        <v>40</v>
      </c>
      <c r="U1200" s="13" t="s">
        <v>5278</v>
      </c>
      <c r="V1200" s="13" t="s">
        <v>42</v>
      </c>
      <c r="W1200" s="13" t="s">
        <v>43</v>
      </c>
      <c r="X1200" s="21" t="n">
        <v>89621090778</v>
      </c>
      <c r="Y1200" s="22" t="str">
        <f aca="false">O1200</f>
        <v>Operator Printing</v>
      </c>
      <c r="Z1200" s="13" t="str">
        <f aca="false">IFERROR(__xludf.dummyfunction("if(BJ1200="""","""",GOOGLETRANSLATE(BJ1200,""auto"",""en""))"),"Operator Printing")</f>
        <v>Operator Printing</v>
      </c>
      <c r="AA1200" s="23" t="str">
        <f aca="false">IF(C1200="","", CHOOSE(MONTH(C1200),"January","February","March","April","May","June","July","August","September","October","November","December")&amp;" "&amp;DAY(C1200)&amp;MID("thstndrdth",MIN(9,2*RIGHT(DAY(C1200))*(MOD(DAY(C1200)-11,100)&gt;2)+1),2)&amp;","&amp;TEXT(C1200," yyyy"))</f>
        <v>August 14th,2023</v>
      </c>
      <c r="AB1200" s="15" t="str">
        <f aca="true">IF(S1200="","",DATEDIF(S1200,TODAY(),"Y")&amp;" Tahun, "&amp;DATEDIF(S1200,TODAY(),"YM")&amp;" Bulan, "&amp;DATEDIF(S1200,TODAY(),"MD")&amp;" Hari")</f>
        <v>23 Tahun, 0 Bulan, 27 Hari</v>
      </c>
      <c r="AC1200" s="18" t="n">
        <v>45764</v>
      </c>
      <c r="AD1200" s="18" t="n">
        <v>45946</v>
      </c>
      <c r="AE1200" s="18" t="s">
        <v>44</v>
      </c>
    </row>
    <row r="1201" customFormat="false" ht="15.75" hidden="false" customHeight="true" outlineLevel="0" collapsed="false">
      <c r="A1201" s="12" t="n">
        <v>12778</v>
      </c>
      <c r="B1201" s="13" t="s">
        <v>5279</v>
      </c>
      <c r="C1201" s="14" t="n">
        <v>45164</v>
      </c>
      <c r="D1201" s="13" t="s">
        <v>56</v>
      </c>
      <c r="E1201" s="15" t="s">
        <v>47</v>
      </c>
      <c r="F1201" s="15" t="str">
        <f aca="false">IFERROR(__xludf.dummyfunction("XLOOKUP(AJ1201,IMPORTRANGE(""1XaInW9DU9nz21V0tYIfzFQ0He9kVQ_JF2mCXgZ3hqFA"",""REKAP ALL 2026 - Andika!G:G""),IMPORTRANGE(""1XaInW9DU9nz21V0tYIfzFQ0He9kVQ_JF2mCXgZ3hqFA"",""REKAP ALL 2026 - Andika!F:F""),"""",0)"),"23132323942")</f>
        <v>23132323942</v>
      </c>
      <c r="G1201" s="13" t="s">
        <v>57</v>
      </c>
      <c r="H1201" s="13" t="s">
        <v>35</v>
      </c>
      <c r="I1201" s="13" t="str">
        <f aca="false">IF(C1201=J1201,"NEW KONTRAK","RE-KONTRAK")</f>
        <v>RE-KONTRAK</v>
      </c>
      <c r="J1201" s="16" t="n">
        <f aca="false" t="array" ref="J1201:J1201">IFERROR(INDEX(AC1201:AE1201,IF(COUNTA(AC1201:AE1201)=0,"",MAX((AC1201:AE1201&lt;&gt;"")*(COLUMN(AC1201:AE1201)-(COLUMN(AC1201)))))-1),"")</f>
        <v>45839</v>
      </c>
      <c r="K1201" s="16" t="n">
        <f aca="false" t="array" ref="K1201:K1201">IFERROR(INDEX(AC1201:AE1201,IF(COUNTA(AC1201:AE1201)=0,"",MAX((AC1201:AE1201&lt;&gt;"")*(COLUMN(AC1201:AE1201)-(COLUMN(AC1201)-1))))-1),"")</f>
        <v>46022</v>
      </c>
      <c r="L1201" s="17" t="str">
        <f aca="false" t="array" ref="L1201:L1201">IFERROR(INDEX(AC1201:AE1201,IF(COUNTA(AC1201:AE1201)=0,"",MAX((AC1201:AE1201&lt;&gt;"")*(COLUMN(AC1201:AE1201)-(COLUMN(AC1201)-2))))-1),"")</f>
        <v>ARCHIVED</v>
      </c>
      <c r="M1201" s="13" t="n">
        <f aca="true">K1201-TODAY()</f>
        <v>-302</v>
      </c>
      <c r="N1201" s="18" t="s">
        <v>36</v>
      </c>
      <c r="O1201" s="13" t="s">
        <v>76</v>
      </c>
      <c r="P1201" s="19" t="n">
        <v>210000</v>
      </c>
      <c r="Q1201" s="20" t="s">
        <v>5280</v>
      </c>
      <c r="R1201" s="13" t="s">
        <v>65</v>
      </c>
      <c r="S1201" s="14" t="n">
        <v>28589</v>
      </c>
      <c r="T1201" s="13" t="s">
        <v>40</v>
      </c>
      <c r="U1201" s="13" t="s">
        <v>5281</v>
      </c>
      <c r="V1201" s="13" t="s">
        <v>42</v>
      </c>
      <c r="W1201" s="13" t="s">
        <v>54</v>
      </c>
      <c r="X1201" s="21" t="n">
        <v>81353144634</v>
      </c>
      <c r="Y1201" s="22" t="str">
        <f aca="false">O1201</f>
        <v>Operator Forklift</v>
      </c>
      <c r="Z1201" s="13" t="str">
        <f aca="false">IFERROR(__xludf.dummyfunction("if(BJ1201="""","""",GOOGLETRANSLATE(BJ1201,""auto"",""en""))"),"Operator Forklift")</f>
        <v>Operator Forklift</v>
      </c>
      <c r="AA1201" s="23" t="str">
        <f aca="false">IF(C1201="","", CHOOSE(MONTH(C1201),"January","February","March","April","May","June","July","August","September","October","November","December")&amp;" "&amp;DAY(C1201)&amp;MID("thstndrdth",MIN(9,2*RIGHT(DAY(C1201))*(MOD(DAY(C1201)-11,100)&gt;2)+1),2)&amp;","&amp;TEXT(C1201," yyyy"))</f>
        <v>August 26th,2023</v>
      </c>
      <c r="AB1201" s="15" t="str">
        <f aca="true">IF(S1201="","",DATEDIF(S1201,TODAY(),"Y")&amp;" Tahun, "&amp;DATEDIF(S1201,TODAY(),"YM")&amp;" Bulan, "&amp;DATEDIF(S1201,TODAY(),"MD")&amp;" Hari")</f>
        <v>48 Tahun, 6 Bulan, 20 Hari</v>
      </c>
      <c r="AC1201" s="18" t="n">
        <v>45839</v>
      </c>
      <c r="AD1201" s="18" t="n">
        <v>46022</v>
      </c>
      <c r="AE1201" s="18" t="s">
        <v>44</v>
      </c>
    </row>
    <row r="1202" customFormat="false" ht="15.75" hidden="false" customHeight="true" outlineLevel="0" collapsed="false">
      <c r="A1202" s="12" t="n">
        <v>12801</v>
      </c>
      <c r="B1202" s="13" t="s">
        <v>5282</v>
      </c>
      <c r="C1202" s="14" t="n">
        <v>45173</v>
      </c>
      <c r="D1202" s="13" t="s">
        <v>4264</v>
      </c>
      <c r="E1202" s="15" t="s">
        <v>47</v>
      </c>
      <c r="F1202" s="15" t="str">
        <f aca="false">IFERROR(__xludf.dummyfunction("XLOOKUP(AJ1202,IMPORTRANGE(""1XaInW9DU9nz21V0tYIfzFQ0He9kVQ_JF2mCXgZ3hqFA"",""REKAP ALL 2026 - Andika!G:G""),IMPORTRANGE(""1XaInW9DU9nz21V0tYIfzFQ0He9kVQ_JF2mCXgZ3hqFA"",""REKAP ALL 2026 - Andika!F:F""),"""",0)"),"23132367790")</f>
        <v>23132367790</v>
      </c>
      <c r="G1202" s="13" t="s">
        <v>57</v>
      </c>
      <c r="H1202" s="13" t="s">
        <v>35</v>
      </c>
      <c r="I1202" s="13" t="str">
        <f aca="false">IF(C1202=J1202,"NEW KONTRAK","RE-KONTRAK")</f>
        <v>RE-KONTRAK</v>
      </c>
      <c r="J1202" s="16" t="n">
        <f aca="false" t="array" ref="J1202:J1202">IFERROR(INDEX(AC1202:AE1202,IF(COUNTA(AC1202:AE1202)=0,"",MAX((AC1202:AE1202&lt;&gt;"")*(COLUMN(AC1202:AE1202)-(COLUMN(AC1202)))))-1),"")</f>
        <v>45764</v>
      </c>
      <c r="K1202" s="16" t="n">
        <f aca="false" t="array" ref="K1202:K1202">IFERROR(INDEX(AC1202:AE1202,IF(COUNTA(AC1202:AE1202)=0,"",MAX((AC1202:AE1202&lt;&gt;"")*(COLUMN(AC1202:AE1202)-(COLUMN(AC1202)-1))))-1),"")</f>
        <v>45946</v>
      </c>
      <c r="L1202" s="17" t="str">
        <f aca="false" t="array" ref="L1202:L1202">IFERROR(INDEX(AC1202:AE1202,IF(COUNTA(AC1202:AE1202)=0,"",MAX((AC1202:AE1202&lt;&gt;"")*(COLUMN(AC1202:AE1202)-(COLUMN(AC1202)-2))))-1),"")</f>
        <v>ARCHIVED</v>
      </c>
      <c r="M1202" s="13" t="n">
        <f aca="true">K1202-TODAY()</f>
        <v>-378</v>
      </c>
      <c r="N1202" s="18" t="s">
        <v>36</v>
      </c>
      <c r="O1202" s="13" t="s">
        <v>4280</v>
      </c>
      <c r="P1202" s="27" t="n">
        <v>120000</v>
      </c>
      <c r="Q1202" s="20" t="s">
        <v>5283</v>
      </c>
      <c r="R1202" s="13" t="s">
        <v>39</v>
      </c>
      <c r="S1202" s="14" t="n">
        <v>33504</v>
      </c>
      <c r="T1202" s="13" t="s">
        <v>108</v>
      </c>
      <c r="U1202" s="13" t="s">
        <v>4257</v>
      </c>
      <c r="V1202" s="13" t="s">
        <v>42</v>
      </c>
      <c r="W1202" s="13" t="s">
        <v>54</v>
      </c>
      <c r="X1202" s="21" t="n">
        <v>895606088467</v>
      </c>
      <c r="Y1202" s="22" t="str">
        <f aca="false">O1202</f>
        <v>Helper Cutting</v>
      </c>
      <c r="Z1202" s="13" t="str">
        <f aca="false">IFERROR(__xludf.dummyfunction("if(BJ1202="""","""",GOOGLETRANSLATE(BJ1202,""auto"",""en""))"),"Helper Cutting")</f>
        <v>Helper Cutting</v>
      </c>
      <c r="AA1202" s="23" t="str">
        <f aca="false">IF(C1202="","", CHOOSE(MONTH(C1202),"January","February","March","April","May","June","July","August","September","October","November","December")&amp;" "&amp;DAY(C1202)&amp;MID("thstndrdth",MIN(9,2*RIGHT(DAY(C1202))*(MOD(DAY(C1202)-11,100)&gt;2)+1),2)&amp;","&amp;TEXT(C1202," yyyy"))</f>
        <v>September 4th,2023</v>
      </c>
      <c r="AB1202" s="15" t="str">
        <f aca="true">IF(S1202="","",DATEDIF(S1202,TODAY(),"Y")&amp;" Tahun, "&amp;DATEDIF(S1202,TODAY(),"YM")&amp;" Bulan, "&amp;DATEDIF(S1202,TODAY(),"MD")&amp;" Hari")</f>
        <v>35 Tahun, 1 Bulan, 6 Hari</v>
      </c>
      <c r="AC1202" s="18" t="n">
        <v>45764</v>
      </c>
      <c r="AD1202" s="18" t="n">
        <v>45946</v>
      </c>
      <c r="AE1202" s="18" t="s">
        <v>44</v>
      </c>
    </row>
    <row r="1203" customFormat="false" ht="15.75" hidden="false" customHeight="true" outlineLevel="0" collapsed="false">
      <c r="A1203" s="12" t="n">
        <v>12802</v>
      </c>
      <c r="B1203" s="13" t="s">
        <v>5284</v>
      </c>
      <c r="C1203" s="14" t="n">
        <v>45173</v>
      </c>
      <c r="D1203" s="13" t="s">
        <v>4264</v>
      </c>
      <c r="E1203" s="15" t="s">
        <v>47</v>
      </c>
      <c r="F1203" s="15" t="str">
        <f aca="false">IFERROR(__xludf.dummyfunction("XLOOKUP(AJ1203,IMPORTRANGE(""1XaInW9DU9nz21V0tYIfzFQ0He9kVQ_JF2mCXgZ3hqFA"",""REKAP ALL 2026 - Andika!G:G""),IMPORTRANGE(""1XaInW9DU9nz21V0tYIfzFQ0He9kVQ_JF2mCXgZ3hqFA"",""REKAP ALL 2026 - Andika!F:F""),"""",0)"),"23132367857")</f>
        <v>23132367857</v>
      </c>
      <c r="G1203" s="13" t="s">
        <v>57</v>
      </c>
      <c r="H1203" s="13" t="s">
        <v>35</v>
      </c>
      <c r="I1203" s="13" t="str">
        <f aca="false">IF(C1203=J1203,"NEW KONTRAK","RE-KONTRAK")</f>
        <v>RE-KONTRAK</v>
      </c>
      <c r="J1203" s="16" t="n">
        <f aca="false" t="array" ref="J1203:J1203">IFERROR(INDEX(AC1203:AE1203,IF(COUNTA(AC1203:AE1203)=0,"",MAX((AC1203:AE1203&lt;&gt;"")*(COLUMN(AC1203:AE1203)-(COLUMN(AC1203)))))-1),"")</f>
        <v>45764</v>
      </c>
      <c r="K1203" s="16" t="n">
        <f aca="false" t="array" ref="K1203:K1203">IFERROR(INDEX(AC1203:AE1203,IF(COUNTA(AC1203:AE1203)=0,"",MAX((AC1203:AE1203&lt;&gt;"")*(COLUMN(AC1203:AE1203)-(COLUMN(AC1203)-1))))-1),"")</f>
        <v>45946</v>
      </c>
      <c r="L1203" s="17" t="str">
        <f aca="false" t="array" ref="L1203:L1203">IFERROR(INDEX(AC1203:AE1203,IF(COUNTA(AC1203:AE1203)=0,"",MAX((AC1203:AE1203&lt;&gt;"")*(COLUMN(AC1203:AE1203)-(COLUMN(AC1203)-2))))-1),"")</f>
        <v>ARCHIVED</v>
      </c>
      <c r="M1203" s="13" t="n">
        <f aca="true">K1203-TODAY()</f>
        <v>-378</v>
      </c>
      <c r="N1203" s="18" t="s">
        <v>36</v>
      </c>
      <c r="O1203" s="13" t="s">
        <v>4280</v>
      </c>
      <c r="P1203" s="27" t="n">
        <v>120000</v>
      </c>
      <c r="Q1203" s="20" t="s">
        <v>5285</v>
      </c>
      <c r="R1203" s="13" t="s">
        <v>168</v>
      </c>
      <c r="S1203" s="14" t="n">
        <v>37122</v>
      </c>
      <c r="T1203" s="13" t="s">
        <v>108</v>
      </c>
      <c r="U1203" s="13" t="s">
        <v>5286</v>
      </c>
      <c r="V1203" s="13" t="s">
        <v>42</v>
      </c>
      <c r="W1203" s="13" t="s">
        <v>43</v>
      </c>
      <c r="X1203" s="21" t="n">
        <v>85816559780</v>
      </c>
      <c r="Y1203" s="22" t="str">
        <f aca="false">O1203</f>
        <v>Helper Cutting</v>
      </c>
      <c r="Z1203" s="13" t="str">
        <f aca="false">IFERROR(__xludf.dummyfunction("if(BJ1203="""","""",GOOGLETRANSLATE(BJ1203,""auto"",""en""))"),"Helper Cutting")</f>
        <v>Helper Cutting</v>
      </c>
      <c r="AA1203" s="23" t="str">
        <f aca="false">IF(C1203="","", CHOOSE(MONTH(C1203),"January","February","March","April","May","June","July","August","September","October","November","December")&amp;" "&amp;DAY(C1203)&amp;MID("thstndrdth",MIN(9,2*RIGHT(DAY(C1203))*(MOD(DAY(C1203)-11,100)&gt;2)+1),2)&amp;","&amp;TEXT(C1203," yyyy"))</f>
        <v>September 4th,2023</v>
      </c>
      <c r="AB1203" s="15" t="str">
        <f aca="true">IF(S1203="","",DATEDIF(S1203,TODAY(),"Y")&amp;" Tahun, "&amp;DATEDIF(S1203,TODAY(),"YM")&amp;" Bulan, "&amp;DATEDIF(S1203,TODAY(),"MD")&amp;" Hari")</f>
        <v>25 Tahun, 2 Bulan, 10 Hari</v>
      </c>
      <c r="AC1203" s="18" t="n">
        <v>45764</v>
      </c>
      <c r="AD1203" s="18" t="n">
        <v>45946</v>
      </c>
      <c r="AE1203" s="18" t="s">
        <v>44</v>
      </c>
    </row>
    <row r="1204" customFormat="false" ht="15.75" hidden="false" customHeight="true" outlineLevel="0" collapsed="false">
      <c r="A1204" s="12" t="n">
        <v>12807</v>
      </c>
      <c r="B1204" s="13" t="s">
        <v>5287</v>
      </c>
      <c r="C1204" s="14" t="n">
        <v>45173</v>
      </c>
      <c r="D1204" s="13" t="s">
        <v>5250</v>
      </c>
      <c r="E1204" s="15" t="s">
        <v>789</v>
      </c>
      <c r="F1204" s="15" t="str">
        <f aca="false">IFERROR(__xludf.dummyfunction("XLOOKUP(AJ1204,IMPORTRANGE(""1XaInW9DU9nz21V0tYIfzFQ0He9kVQ_JF2mCXgZ3hqFA"",""REKAP ALL 2026 - Andika!G:G""),IMPORTRANGE(""1XaInW9DU9nz21V0tYIfzFQ0He9kVQ_JF2mCXgZ3hqFA"",""REKAP ALL 2026 - Andika!F:F""),"""",0)"),"23197580105")</f>
        <v>23197580105</v>
      </c>
      <c r="G1204" s="13" t="s">
        <v>5288</v>
      </c>
      <c r="H1204" s="13" t="s">
        <v>35</v>
      </c>
      <c r="I1204" s="13" t="str">
        <f aca="false">IF(C1204=J1204,"NEW KONTRAK","RE-KONTRAK")</f>
        <v>RE-KONTRAK</v>
      </c>
      <c r="J1204" s="16" t="n">
        <f aca="false" t="array" ref="J1204:J1204">IFERROR(INDEX(AC1204:AE1204,IF(COUNTA(AC1204:AE1204)=0,"",MAX((AC1204:AE1204&lt;&gt;"")*(COLUMN(AC1204:AE1204)-(COLUMN(AC1204)))))-1),"")</f>
        <v>45658</v>
      </c>
      <c r="K1204" s="16" t="n">
        <f aca="false" t="array" ref="K1204:K1204">IFERROR(INDEX(AC1204:AE1204,IF(COUNTA(AC1204:AE1204)=0,"",MAX((AC1204:AE1204&lt;&gt;"")*(COLUMN(AC1204:AE1204)-(COLUMN(AC1204)-1))))-1),"")</f>
        <v>46022</v>
      </c>
      <c r="L1204" s="17" t="str">
        <f aca="false" t="array" ref="L1204:L1204">IFERROR(INDEX(AC1204:AE1204,IF(COUNTA(AC1204:AE1204)=0,"",MAX((AC1204:AE1204&lt;&gt;"")*(COLUMN(AC1204:AE1204)-(COLUMN(AC1204)-2))))-1),"")</f>
        <v>ARCHIVED</v>
      </c>
      <c r="M1204" s="13" t="n">
        <f aca="true">K1204-TODAY()</f>
        <v>-302</v>
      </c>
      <c r="N1204" s="18" t="s">
        <v>728</v>
      </c>
      <c r="O1204" s="13" t="s">
        <v>3271</v>
      </c>
      <c r="P1204" s="27" t="n">
        <v>5288796</v>
      </c>
      <c r="Q1204" s="20" t="s">
        <v>5289</v>
      </c>
      <c r="R1204" s="13" t="s">
        <v>52</v>
      </c>
      <c r="S1204" s="14" t="n">
        <v>36367</v>
      </c>
      <c r="T1204" s="13" t="s">
        <v>40</v>
      </c>
      <c r="U1204" s="13" t="s">
        <v>5290</v>
      </c>
      <c r="V1204" s="13" t="s">
        <v>42</v>
      </c>
      <c r="W1204" s="13" t="s">
        <v>43</v>
      </c>
      <c r="X1204" s="21" t="n">
        <v>82139230623</v>
      </c>
      <c r="Y1204" s="22" t="str">
        <f aca="false">O1204</f>
        <v>Helper</v>
      </c>
      <c r="Z1204" s="13" t="str">
        <f aca="false">IFERROR(__xludf.dummyfunction("if(BJ1204="""","""",GOOGLETRANSLATE(BJ1204,""auto"",""en""))"),"Helper")</f>
        <v>Helper</v>
      </c>
      <c r="AA1204" s="23" t="str">
        <f aca="false">IF(C1204="","", CHOOSE(MONTH(C1204),"January","February","March","April","May","June","July","August","September","October","November","December")&amp;" "&amp;DAY(C1204)&amp;MID("thstndrdth",MIN(9,2*RIGHT(DAY(C1204))*(MOD(DAY(C1204)-11,100)&gt;2)+1),2)&amp;","&amp;TEXT(C1204," yyyy"))</f>
        <v>September 4th,2023</v>
      </c>
      <c r="AB1204" s="15" t="str">
        <f aca="true">IF(S1204="","",DATEDIF(S1204,TODAY(),"Y")&amp;" Tahun, "&amp;DATEDIF(S1204,TODAY(),"YM")&amp;" Bulan, "&amp;DATEDIF(S1204,TODAY(),"MD")&amp;" Hari")</f>
        <v>27 Tahun, 3 Bulan, 3 Hari</v>
      </c>
      <c r="AC1204" s="18" t="n">
        <v>45658</v>
      </c>
      <c r="AD1204" s="18" t="n">
        <v>46022</v>
      </c>
      <c r="AE1204" s="18" t="s">
        <v>44</v>
      </c>
    </row>
    <row r="1205" customFormat="false" ht="15.75" hidden="false" customHeight="true" outlineLevel="0" collapsed="false">
      <c r="A1205" s="12" t="n">
        <v>12811</v>
      </c>
      <c r="B1205" s="13" t="s">
        <v>5291</v>
      </c>
      <c r="C1205" s="14" t="n">
        <v>45173</v>
      </c>
      <c r="D1205" s="13" t="s">
        <v>404</v>
      </c>
      <c r="E1205" s="15" t="s">
        <v>47</v>
      </c>
      <c r="F1205" s="15" t="str">
        <f aca="false">IFERROR(__xludf.dummyfunction("XLOOKUP(AJ1205,IMPORTRANGE(""1XaInW9DU9nz21V0tYIfzFQ0He9kVQ_JF2mCXgZ3hqFA"",""REKAP ALL 2026 - Andika!G:G""),IMPORTRANGE(""1XaInW9DU9nz21V0tYIfzFQ0He9kVQ_JF2mCXgZ3hqFA"",""REKAP ALL 2026 - Andika!F:F""),"""",0)"),"23132319791")</f>
        <v>23132319791</v>
      </c>
      <c r="G1205" s="13" t="s">
        <v>5292</v>
      </c>
      <c r="H1205" s="13" t="s">
        <v>35</v>
      </c>
      <c r="I1205" s="13" t="str">
        <f aca="false">IF(C1205=J1205,"NEW KONTRAK","RE-KONTRAK")</f>
        <v>RE-KONTRAK</v>
      </c>
      <c r="J1205" s="16" t="n">
        <f aca="false" t="array" ref="J1205:J1205">IFERROR(INDEX(AC1205:AE1205,IF(COUNTA(AC1205:AE1205)=0,"",MAX((AC1205:AE1205&lt;&gt;"")*(COLUMN(AC1205:AE1205)-(COLUMN(AC1205)))))-1),"")</f>
        <v>45658</v>
      </c>
      <c r="K1205" s="16" t="n">
        <f aca="false" t="array" ref="K1205:K1205">IFERROR(INDEX(AC1205:AE1205,IF(COUNTA(AC1205:AE1205)=0,"",MAX((AC1205:AE1205&lt;&gt;"")*(COLUMN(AC1205:AE1205)-(COLUMN(AC1205)-1))))-1),"")</f>
        <v>46022</v>
      </c>
      <c r="L1205" s="17" t="str">
        <f aca="false" t="array" ref="L1205:L1205">IFERROR(INDEX(AC1205:AE1205,IF(COUNTA(AC1205:AE1205)=0,"",MAX((AC1205:AE1205&lt;&gt;"")*(COLUMN(AC1205:AE1205)-(COLUMN(AC1205)-2))))-1),"")</f>
        <v>ARCHIVED</v>
      </c>
      <c r="M1205" s="13" t="n">
        <f aca="true">K1205-TODAY()</f>
        <v>-302</v>
      </c>
      <c r="N1205" s="18" t="s">
        <v>36</v>
      </c>
      <c r="O1205" s="13" t="s">
        <v>433</v>
      </c>
      <c r="P1205" s="26" t="n">
        <v>5195401</v>
      </c>
      <c r="Q1205" s="20" t="s">
        <v>5293</v>
      </c>
      <c r="R1205" s="13" t="s">
        <v>65</v>
      </c>
      <c r="S1205" s="14" t="n">
        <v>36948</v>
      </c>
      <c r="T1205" s="13" t="s">
        <v>40</v>
      </c>
      <c r="U1205" s="13" t="s">
        <v>5294</v>
      </c>
      <c r="V1205" s="13" t="s">
        <v>42</v>
      </c>
      <c r="W1205" s="13" t="s">
        <v>43</v>
      </c>
      <c r="X1205" s="21" t="n">
        <v>81331354048</v>
      </c>
      <c r="Y1205" s="22" t="str">
        <f aca="false">O1205</f>
        <v>Refinery</v>
      </c>
      <c r="Z1205" s="13" t="str">
        <f aca="false">IFERROR(__xludf.dummyfunction("if(BJ1205="""","""",GOOGLETRANSLATE(BJ1205,""auto"",""en""))"),"Refinery")</f>
        <v>Refinery</v>
      </c>
      <c r="AA1205" s="23" t="str">
        <f aca="false">IF(C1205="","", CHOOSE(MONTH(C1205),"January","February","March","April","May","June","July","August","September","October","November","December")&amp;" "&amp;DAY(C1205)&amp;MID("thstndrdth",MIN(9,2*RIGHT(DAY(C1205))*(MOD(DAY(C1205)-11,100)&gt;2)+1),2)&amp;","&amp;TEXT(C1205," yyyy"))</f>
        <v>September 4th,2023</v>
      </c>
      <c r="AB1205" s="15" t="str">
        <f aca="true">IF(S1205="","",DATEDIF(S1205,TODAY(),"Y")&amp;" Tahun, "&amp;DATEDIF(S1205,TODAY(),"YM")&amp;" Bulan, "&amp;DATEDIF(S1205,TODAY(),"MD")&amp;" Hari")</f>
        <v>25 Tahun, 8 Bulan, 3 Hari</v>
      </c>
      <c r="AC1205" s="18" t="n">
        <v>45658</v>
      </c>
      <c r="AD1205" s="18" t="n">
        <v>46022</v>
      </c>
      <c r="AE1205" s="18" t="s">
        <v>44</v>
      </c>
    </row>
    <row r="1206" customFormat="false" ht="15.75" hidden="false" customHeight="true" outlineLevel="0" collapsed="false">
      <c r="A1206" s="12" t="n">
        <v>12812</v>
      </c>
      <c r="B1206" s="13" t="s">
        <v>5295</v>
      </c>
      <c r="C1206" s="14" t="n">
        <v>45173</v>
      </c>
      <c r="D1206" s="13" t="s">
        <v>404</v>
      </c>
      <c r="E1206" s="15" t="s">
        <v>47</v>
      </c>
      <c r="F1206" s="15" t="str">
        <f aca="false">IFERROR(__xludf.dummyfunction("XLOOKUP(AJ1206,IMPORTRANGE(""1XaInW9DU9nz21V0tYIfzFQ0He9kVQ_JF2mCXgZ3hqFA"",""REKAP ALL 2026 - Andika!G:G""),IMPORTRANGE(""1XaInW9DU9nz21V0tYIfzFQ0He9kVQ_JF2mCXgZ3hqFA"",""REKAP ALL 2026 - Andika!F:F""),"""",0)"),"23132319759")</f>
        <v>23132319759</v>
      </c>
      <c r="G1206" s="13" t="s">
        <v>5296</v>
      </c>
      <c r="H1206" s="13" t="s">
        <v>35</v>
      </c>
      <c r="I1206" s="13" t="str">
        <f aca="false">IF(C1206=J1206,"NEW KONTRAK","RE-KONTRAK")</f>
        <v>RE-KONTRAK</v>
      </c>
      <c r="J1206" s="16" t="n">
        <f aca="false" t="array" ref="J1206:J1206">IFERROR(INDEX(AC1206:AE1206,IF(COUNTA(AC1206:AE1206)=0,"",MAX((AC1206:AE1206&lt;&gt;"")*(COLUMN(AC1206:AE1206)-(COLUMN(AC1206)))))-1),"")</f>
        <v>45658</v>
      </c>
      <c r="K1206" s="16" t="n">
        <f aca="false" t="array" ref="K1206:K1206">IFERROR(INDEX(AC1206:AE1206,IF(COUNTA(AC1206:AE1206)=0,"",MAX((AC1206:AE1206&lt;&gt;"")*(COLUMN(AC1206:AE1206)-(COLUMN(AC1206)-1))))-1),"")</f>
        <v>46022</v>
      </c>
      <c r="L1206" s="17" t="str">
        <f aca="false" t="array" ref="L1206:L1206">IFERROR(INDEX(AC1206:AE1206,IF(COUNTA(AC1206:AE1206)=0,"",MAX((AC1206:AE1206&lt;&gt;"")*(COLUMN(AC1206:AE1206)-(COLUMN(AC1206)-2))))-1),"")</f>
        <v>ARCHIVED</v>
      </c>
      <c r="M1206" s="13" t="n">
        <f aca="true">K1206-TODAY()</f>
        <v>-302</v>
      </c>
      <c r="N1206" s="18" t="s">
        <v>36</v>
      </c>
      <c r="O1206" s="13" t="s">
        <v>433</v>
      </c>
      <c r="P1206" s="26" t="n">
        <v>5195401</v>
      </c>
      <c r="Q1206" s="20" t="s">
        <v>5297</v>
      </c>
      <c r="R1206" s="13" t="s">
        <v>78</v>
      </c>
      <c r="S1206" s="14" t="n">
        <v>38180</v>
      </c>
      <c r="T1206" s="13" t="s">
        <v>40</v>
      </c>
      <c r="U1206" s="13" t="s">
        <v>5298</v>
      </c>
      <c r="V1206" s="13" t="s">
        <v>42</v>
      </c>
      <c r="W1206" s="13" t="s">
        <v>43</v>
      </c>
      <c r="X1206" s="21" t="n">
        <v>85785345854</v>
      </c>
      <c r="Y1206" s="22" t="str">
        <f aca="false">O1206</f>
        <v>Refinery</v>
      </c>
      <c r="Z1206" s="13" t="str">
        <f aca="false">IFERROR(__xludf.dummyfunction("if(BJ1206="""","""",GOOGLETRANSLATE(BJ1206,""auto"",""en""))"),"Refinery")</f>
        <v>Refinery</v>
      </c>
      <c r="AA1206" s="23" t="str">
        <f aca="false">IF(C1206="","", CHOOSE(MONTH(C1206),"January","February","March","April","May","June","July","August","September","October","November","December")&amp;" "&amp;DAY(C1206)&amp;MID("thstndrdth",MIN(9,2*RIGHT(DAY(C1206))*(MOD(DAY(C1206)-11,100)&gt;2)+1),2)&amp;","&amp;TEXT(C1206," yyyy"))</f>
        <v>September 4th,2023</v>
      </c>
      <c r="AB1206" s="15" t="str">
        <f aca="true">IF(S1206="","",DATEDIF(S1206,TODAY(),"Y")&amp;" Tahun, "&amp;DATEDIF(S1206,TODAY(),"YM")&amp;" Bulan, "&amp;DATEDIF(S1206,TODAY(),"MD")&amp;" Hari")</f>
        <v>22 Tahun, 3 Bulan, 17 Hari</v>
      </c>
      <c r="AC1206" s="18" t="n">
        <v>45658</v>
      </c>
      <c r="AD1206" s="18" t="n">
        <v>46022</v>
      </c>
      <c r="AE1206" s="18" t="s">
        <v>44</v>
      </c>
    </row>
    <row r="1207" customFormat="false" ht="15.75" hidden="false" customHeight="true" outlineLevel="0" collapsed="false">
      <c r="A1207" s="12" t="n">
        <v>12813</v>
      </c>
      <c r="B1207" s="13" t="s">
        <v>5299</v>
      </c>
      <c r="C1207" s="14" t="n">
        <v>45173</v>
      </c>
      <c r="D1207" s="13" t="s">
        <v>404</v>
      </c>
      <c r="E1207" s="15" t="s">
        <v>47</v>
      </c>
      <c r="F1207" s="15" t="str">
        <f aca="false">IFERROR(__xludf.dummyfunction("XLOOKUP(AJ1207,IMPORTRANGE(""1XaInW9DU9nz21V0tYIfzFQ0He9kVQ_JF2mCXgZ3hqFA"",""REKAP ALL 2026 - Andika!G:G""),IMPORTRANGE(""1XaInW9DU9nz21V0tYIfzFQ0He9kVQ_JF2mCXgZ3hqFA"",""REKAP ALL 2026 - Andika!F:F""),"""",0)"),"23132319783")</f>
        <v>23132319783</v>
      </c>
      <c r="G1207" s="13" t="s">
        <v>5300</v>
      </c>
      <c r="H1207" s="13" t="s">
        <v>35</v>
      </c>
      <c r="I1207" s="13" t="str">
        <f aca="false">IF(C1207=J1207,"NEW KONTRAK","RE-KONTRAK")</f>
        <v>RE-KONTRAK</v>
      </c>
      <c r="J1207" s="16" t="n">
        <f aca="false" t="array" ref="J1207:J1207">IFERROR(INDEX(AC1207:AE1207,IF(COUNTA(AC1207:AE1207)=0,"",MAX((AC1207:AE1207&lt;&gt;"")*(COLUMN(AC1207:AE1207)-(COLUMN(AC1207)))))-1),"")</f>
        <v>45658</v>
      </c>
      <c r="K1207" s="16" t="n">
        <f aca="false" t="array" ref="K1207:K1207">IFERROR(INDEX(AC1207:AE1207,IF(COUNTA(AC1207:AE1207)=0,"",MAX((AC1207:AE1207&lt;&gt;"")*(COLUMN(AC1207:AE1207)-(COLUMN(AC1207)-1))))-1),"")</f>
        <v>46022</v>
      </c>
      <c r="L1207" s="17" t="str">
        <f aca="false" t="array" ref="L1207:L1207">IFERROR(INDEX(AC1207:AE1207,IF(COUNTA(AC1207:AE1207)=0,"",MAX((AC1207:AE1207&lt;&gt;"")*(COLUMN(AC1207:AE1207)-(COLUMN(AC1207)-2))))-1),"")</f>
        <v>ARCHIVED</v>
      </c>
      <c r="M1207" s="13" t="n">
        <f aca="true">K1207-TODAY()</f>
        <v>-302</v>
      </c>
      <c r="N1207" s="18" t="s">
        <v>36</v>
      </c>
      <c r="O1207" s="13" t="s">
        <v>411</v>
      </c>
      <c r="P1207" s="26" t="n">
        <v>5195401</v>
      </c>
      <c r="Q1207" s="20" t="s">
        <v>5301</v>
      </c>
      <c r="R1207" s="13" t="s">
        <v>65</v>
      </c>
      <c r="S1207" s="14" t="n">
        <v>38036</v>
      </c>
      <c r="T1207" s="13" t="s">
        <v>40</v>
      </c>
      <c r="U1207" s="13" t="s">
        <v>5302</v>
      </c>
      <c r="V1207" s="13" t="s">
        <v>42</v>
      </c>
      <c r="W1207" s="13" t="s">
        <v>43</v>
      </c>
      <c r="X1207" s="21" t="n">
        <v>85735116009</v>
      </c>
      <c r="Y1207" s="22" t="str">
        <f aca="false">O1207</f>
        <v>Dry Fact</v>
      </c>
      <c r="Z1207" s="13" t="str">
        <f aca="false">IFERROR(__xludf.dummyfunction("if(BJ1207="""","""",GOOGLETRANSLATE(BJ1207,""auto"",""en""))"),"Dry Fact")</f>
        <v>Dry Fact</v>
      </c>
      <c r="AA1207" s="23" t="str">
        <f aca="false">IF(C1207="","", CHOOSE(MONTH(C1207),"January","February","March","April","May","June","July","August","September","October","November","December")&amp;" "&amp;DAY(C1207)&amp;MID("thstndrdth",MIN(9,2*RIGHT(DAY(C1207))*(MOD(DAY(C1207)-11,100)&gt;2)+1),2)&amp;","&amp;TEXT(C1207," yyyy"))</f>
        <v>September 4th,2023</v>
      </c>
      <c r="AB1207" s="15" t="str">
        <f aca="true">IF(S1207="","",DATEDIF(S1207,TODAY(),"Y")&amp;" Tahun, "&amp;DATEDIF(S1207,TODAY(),"YM")&amp;" Bulan, "&amp;DATEDIF(S1207,TODAY(),"MD")&amp;" Hari")</f>
        <v>22 Tahun, 8 Bulan, 10 Hari</v>
      </c>
      <c r="AC1207" s="18" t="n">
        <v>45658</v>
      </c>
      <c r="AD1207" s="18" t="n">
        <v>46022</v>
      </c>
      <c r="AE1207" s="18" t="s">
        <v>44</v>
      </c>
    </row>
    <row r="1208" customFormat="false" ht="15.75" hidden="false" customHeight="true" outlineLevel="0" collapsed="false">
      <c r="A1208" s="12" t="n">
        <v>12814</v>
      </c>
      <c r="B1208" s="13" t="s">
        <v>5303</v>
      </c>
      <c r="C1208" s="14" t="n">
        <v>45173</v>
      </c>
      <c r="D1208" s="13" t="s">
        <v>404</v>
      </c>
      <c r="E1208" s="15" t="s">
        <v>47</v>
      </c>
      <c r="F1208" s="15" t="str">
        <f aca="false">IFERROR(__xludf.dummyfunction("XLOOKUP(AJ1208,IMPORTRANGE(""1XaInW9DU9nz21V0tYIfzFQ0He9kVQ_JF2mCXgZ3hqFA"",""REKAP ALL 2026 - Andika!G:G""),IMPORTRANGE(""1XaInW9DU9nz21V0tYIfzFQ0He9kVQ_JF2mCXgZ3hqFA"",""REKAP ALL 2026 - Andika!F:F""),"""",0)"),"23132319767")</f>
        <v>23132319767</v>
      </c>
      <c r="G1208" s="13" t="s">
        <v>5304</v>
      </c>
      <c r="H1208" s="13" t="s">
        <v>35</v>
      </c>
      <c r="I1208" s="13" t="str">
        <f aca="false">IF(C1208=J1208,"NEW KONTRAK","RE-KONTRAK")</f>
        <v>RE-KONTRAK</v>
      </c>
      <c r="J1208" s="16" t="n">
        <f aca="false" t="array" ref="J1208:J1208">IFERROR(INDEX(AC1208:AE1208,IF(COUNTA(AC1208:AE1208)=0,"",MAX((AC1208:AE1208&lt;&gt;"")*(COLUMN(AC1208:AE1208)-(COLUMN(AC1208)))))-1),"")</f>
        <v>45658</v>
      </c>
      <c r="K1208" s="16" t="n">
        <f aca="false" t="array" ref="K1208:K1208">IFERROR(INDEX(AC1208:AE1208,IF(COUNTA(AC1208:AE1208)=0,"",MAX((AC1208:AE1208&lt;&gt;"")*(COLUMN(AC1208:AE1208)-(COLUMN(AC1208)-1))))-1),"")</f>
        <v>46022</v>
      </c>
      <c r="L1208" s="17" t="str">
        <f aca="false" t="array" ref="L1208:L1208">IFERROR(INDEX(AC1208:AE1208,IF(COUNTA(AC1208:AE1208)=0,"",MAX((AC1208:AE1208&lt;&gt;"")*(COLUMN(AC1208:AE1208)-(COLUMN(AC1208)-2))))-1),"")</f>
        <v>ARCHIVED</v>
      </c>
      <c r="M1208" s="13" t="n">
        <f aca="true">K1208-TODAY()</f>
        <v>-302</v>
      </c>
      <c r="N1208" s="18" t="s">
        <v>36</v>
      </c>
      <c r="O1208" s="13" t="s">
        <v>411</v>
      </c>
      <c r="P1208" s="26" t="n">
        <v>5195401</v>
      </c>
      <c r="Q1208" s="20" t="s">
        <v>5305</v>
      </c>
      <c r="R1208" s="13" t="s">
        <v>78</v>
      </c>
      <c r="S1208" s="14" t="n">
        <v>38186</v>
      </c>
      <c r="T1208" s="13" t="s">
        <v>40</v>
      </c>
      <c r="U1208" s="13" t="s">
        <v>489</v>
      </c>
      <c r="V1208" s="13" t="s">
        <v>42</v>
      </c>
      <c r="W1208" s="13" t="s">
        <v>43</v>
      </c>
      <c r="X1208" s="21" t="n">
        <v>87872864152</v>
      </c>
      <c r="Y1208" s="22" t="str">
        <f aca="false">O1208</f>
        <v>Dry Fact</v>
      </c>
      <c r="Z1208" s="13" t="str">
        <f aca="false">IFERROR(__xludf.dummyfunction("if(BJ1208="""","""",GOOGLETRANSLATE(BJ1208,""auto"",""en""))"),"Dry Fact")</f>
        <v>Dry Fact</v>
      </c>
      <c r="AA1208" s="23" t="str">
        <f aca="false">IF(C1208="","", CHOOSE(MONTH(C1208),"January","February","March","April","May","June","July","August","September","October","November","December")&amp;" "&amp;DAY(C1208)&amp;MID("thstndrdth",MIN(9,2*RIGHT(DAY(C1208))*(MOD(DAY(C1208)-11,100)&gt;2)+1),2)&amp;","&amp;TEXT(C1208," yyyy"))</f>
        <v>September 4th,2023</v>
      </c>
      <c r="AB1208" s="15" t="str">
        <f aca="true">IF(S1208="","",DATEDIF(S1208,TODAY(),"Y")&amp;" Tahun, "&amp;DATEDIF(S1208,TODAY(),"YM")&amp;" Bulan, "&amp;DATEDIF(S1208,TODAY(),"MD")&amp;" Hari")</f>
        <v>22 Tahun, 3 Bulan, 11 Hari</v>
      </c>
      <c r="AC1208" s="18" t="n">
        <v>45658</v>
      </c>
      <c r="AD1208" s="18" t="n">
        <v>46022</v>
      </c>
      <c r="AE1208" s="18" t="s">
        <v>44</v>
      </c>
    </row>
    <row r="1209" customFormat="false" ht="15.75" hidden="false" customHeight="true" outlineLevel="0" collapsed="false">
      <c r="A1209" s="12" t="n">
        <v>12815</v>
      </c>
      <c r="B1209" s="13" t="s">
        <v>5306</v>
      </c>
      <c r="C1209" s="14" t="n">
        <v>45173</v>
      </c>
      <c r="D1209" s="13" t="s">
        <v>404</v>
      </c>
      <c r="E1209" s="15" t="s">
        <v>47</v>
      </c>
      <c r="F1209" s="15" t="str">
        <f aca="false">IFERROR(__xludf.dummyfunction("XLOOKUP(AJ1209,IMPORTRANGE(""1XaInW9DU9nz21V0tYIfzFQ0He9kVQ_JF2mCXgZ3hqFA"",""REKAP ALL 2026 - Andika!G:G""),IMPORTRANGE(""1XaInW9DU9nz21V0tYIfzFQ0He9kVQ_JF2mCXgZ3hqFA"",""REKAP ALL 2026 - Andika!F:F""),"""",0)"),"23132319809")</f>
        <v>23132319809</v>
      </c>
      <c r="G1209" s="13" t="s">
        <v>5307</v>
      </c>
      <c r="H1209" s="13" t="s">
        <v>35</v>
      </c>
      <c r="I1209" s="13" t="str">
        <f aca="false">IF(C1209=J1209,"NEW KONTRAK","RE-KONTRAK")</f>
        <v>RE-KONTRAK</v>
      </c>
      <c r="J1209" s="16" t="n">
        <f aca="false" t="array" ref="J1209:J1209">IFERROR(INDEX(AC1209:AE1209,IF(COUNTA(AC1209:AE1209)=0,"",MAX((AC1209:AE1209&lt;&gt;"")*(COLUMN(AC1209:AE1209)-(COLUMN(AC1209)))))-1),"")</f>
        <v>45658</v>
      </c>
      <c r="K1209" s="16" t="n">
        <f aca="false" t="array" ref="K1209:K1209">IFERROR(INDEX(AC1209:AE1209,IF(COUNTA(AC1209:AE1209)=0,"",MAX((AC1209:AE1209&lt;&gt;"")*(COLUMN(AC1209:AE1209)-(COLUMN(AC1209)-1))))-1),"")</f>
        <v>46022</v>
      </c>
      <c r="L1209" s="17" t="str">
        <f aca="false" t="array" ref="L1209:L1209">IFERROR(INDEX(AC1209:AE1209,IF(COUNTA(AC1209:AE1209)=0,"",MAX((AC1209:AE1209&lt;&gt;"")*(COLUMN(AC1209:AE1209)-(COLUMN(AC1209)-2))))-1),"")</f>
        <v>ARCHIVED</v>
      </c>
      <c r="M1209" s="13" t="n">
        <f aca="true">K1209-TODAY()</f>
        <v>-302</v>
      </c>
      <c r="N1209" s="18" t="s">
        <v>36</v>
      </c>
      <c r="O1209" s="13" t="s">
        <v>411</v>
      </c>
      <c r="P1209" s="26" t="n">
        <v>5195401</v>
      </c>
      <c r="Q1209" s="20" t="s">
        <v>5308</v>
      </c>
      <c r="R1209" s="13" t="s">
        <v>78</v>
      </c>
      <c r="S1209" s="14" t="n">
        <v>35383</v>
      </c>
      <c r="T1209" s="13" t="s">
        <v>40</v>
      </c>
      <c r="U1209" s="13" t="s">
        <v>5309</v>
      </c>
      <c r="V1209" s="13" t="s">
        <v>42</v>
      </c>
      <c r="W1209" s="13" t="s">
        <v>43</v>
      </c>
      <c r="X1209" s="21" t="n">
        <v>83846657338</v>
      </c>
      <c r="Y1209" s="22" t="str">
        <f aca="false">O1209</f>
        <v>Dry Fact</v>
      </c>
      <c r="Z1209" s="13" t="str">
        <f aca="false">IFERROR(__xludf.dummyfunction("if(BJ1209="""","""",GOOGLETRANSLATE(BJ1209,""auto"",""en""))"),"Dry Fact")</f>
        <v>Dry Fact</v>
      </c>
      <c r="AA1209" s="23" t="str">
        <f aca="false">IF(C1209="","", CHOOSE(MONTH(C1209),"January","February","March","April","May","June","July","August","September","October","November","December")&amp;" "&amp;DAY(C1209)&amp;MID("thstndrdth",MIN(9,2*RIGHT(DAY(C1209))*(MOD(DAY(C1209)-11,100)&gt;2)+1),2)&amp;","&amp;TEXT(C1209," yyyy"))</f>
        <v>September 4th,2023</v>
      </c>
      <c r="AB1209" s="15" t="str">
        <f aca="true">IF(S1209="","",DATEDIF(S1209,TODAY(),"Y")&amp;" Tahun, "&amp;DATEDIF(S1209,TODAY(),"YM")&amp;" Bulan, "&amp;DATEDIF(S1209,TODAY(),"MD")&amp;" Hari")</f>
        <v>29 Tahun, 11 Bulan, 15 Hari</v>
      </c>
      <c r="AC1209" s="18" t="n">
        <v>45658</v>
      </c>
      <c r="AD1209" s="18" t="n">
        <v>46022</v>
      </c>
      <c r="AE1209" s="18" t="s">
        <v>44</v>
      </c>
    </row>
    <row r="1210" customFormat="false" ht="15.75" hidden="false" customHeight="true" outlineLevel="0" collapsed="false">
      <c r="A1210" s="12" t="n">
        <v>12827</v>
      </c>
      <c r="B1210" s="13" t="s">
        <v>5310</v>
      </c>
      <c r="C1210" s="14" t="n">
        <v>45170</v>
      </c>
      <c r="D1210" s="13" t="s">
        <v>2033</v>
      </c>
      <c r="E1210" s="15" t="s">
        <v>33</v>
      </c>
      <c r="F1210" s="24" t="s">
        <v>5311</v>
      </c>
      <c r="G1210" s="13" t="s">
        <v>5312</v>
      </c>
      <c r="H1210" s="13" t="s">
        <v>2035</v>
      </c>
      <c r="I1210" s="13" t="str">
        <f aca="false">IF(C1210=J1210,"NEW KONTRAK","RE-KONTRAK")</f>
        <v>RE-KONTRAK</v>
      </c>
      <c r="J1210" s="16" t="n">
        <f aca="false" t="array" ref="J1210:J1210">IFERROR(INDEX(AC1210:AE1210,IF(COUNTA(AC1210:AE1210)=0,"",MAX((AC1210:AE1210&lt;&gt;"")*(COLUMN(AC1210:AE1210)-(COLUMN(AC1210)))))-1),"")</f>
        <v>45744</v>
      </c>
      <c r="K1210" s="16" t="n">
        <f aca="false" t="array" ref="K1210:K1210">IFERROR(INDEX(AC1210:AE1210,IF(COUNTA(AC1210:AE1210)=0,"",MAX((AC1210:AE1210&lt;&gt;"")*(COLUMN(AC1210:AE1210)-(COLUMN(AC1210)-1))))-1),"")</f>
        <v>45915</v>
      </c>
      <c r="L1210" s="17" t="str">
        <f aca="false" t="array" ref="L1210:L1210">IFERROR(INDEX(AC1210:AE1210,IF(COUNTA(AC1210:AE1210)=0,"",MAX((AC1210:AE1210&lt;&gt;"")*(COLUMN(AC1210:AE1210)-(COLUMN(AC1210)-2))))-1),"")</f>
        <v>ARCHIVED</v>
      </c>
      <c r="M1210" s="13" t="n">
        <f aca="true">K1210-TODAY()</f>
        <v>-409</v>
      </c>
      <c r="N1210" s="18" t="s">
        <v>2587</v>
      </c>
      <c r="O1210" s="13" t="s">
        <v>2037</v>
      </c>
      <c r="P1210" s="19" t="n">
        <v>3603268</v>
      </c>
      <c r="Q1210" s="20" t="s">
        <v>5313</v>
      </c>
      <c r="R1210" s="13" t="s">
        <v>5314</v>
      </c>
      <c r="S1210" s="14" t="n">
        <v>37760</v>
      </c>
      <c r="T1210" s="13" t="s">
        <v>108</v>
      </c>
      <c r="U1210" s="13" t="s">
        <v>5315</v>
      </c>
      <c r="V1210" s="13" t="s">
        <v>42</v>
      </c>
      <c r="W1210" s="13" t="s">
        <v>43</v>
      </c>
      <c r="X1210" s="21" t="n">
        <v>83841983457</v>
      </c>
      <c r="Y1210" s="22" t="str">
        <f aca="false">O1210</f>
        <v>SPG/BA</v>
      </c>
      <c r="Z1210" s="13" t="str">
        <f aca="false">IFERROR(__xludf.dummyfunction("if(BJ1210="""","""",GOOGLETRANSLATE(BJ1210,""auto"",""en""))"),"SPG/BA")</f>
        <v>SPG/BA</v>
      </c>
      <c r="AA1210" s="23" t="str">
        <f aca="false">IF(C1210="","", CHOOSE(MONTH(C1210),"January","February","March","April","May","June","July","August","September","October","November","December")&amp;" "&amp;DAY(C1210)&amp;MID("thstndrdth",MIN(9,2*RIGHT(DAY(C1210))*(MOD(DAY(C1210)-11,100)&gt;2)+1),2)&amp;","&amp;TEXT(C1210," yyyy"))</f>
        <v>September 1st,2023</v>
      </c>
      <c r="AB1210" s="15" t="str">
        <f aca="true">IF(S1210="","",DATEDIF(S1210,TODAY(),"Y")&amp;" Tahun, "&amp;DATEDIF(S1210,TODAY(),"YM")&amp;" Bulan, "&amp;DATEDIF(S1210,TODAY(),"MD")&amp;" Hari")</f>
        <v>23 Tahun, 5 Bulan, 10 Hari</v>
      </c>
      <c r="AC1210" s="18" t="n">
        <v>45744</v>
      </c>
      <c r="AD1210" s="18" t="n">
        <v>45915</v>
      </c>
      <c r="AE1210" s="18" t="s">
        <v>44</v>
      </c>
    </row>
    <row r="1211" customFormat="false" ht="15.75" hidden="false" customHeight="true" outlineLevel="0" collapsed="false">
      <c r="A1211" s="12" t="n">
        <v>22613</v>
      </c>
      <c r="B1211" s="45" t="s">
        <v>5316</v>
      </c>
      <c r="C1211" s="14" t="n">
        <v>46197</v>
      </c>
      <c r="D1211" s="13" t="s">
        <v>2033</v>
      </c>
      <c r="E1211" s="13" t="s">
        <v>47</v>
      </c>
      <c r="F1211" s="24" t="s">
        <v>5317</v>
      </c>
      <c r="G1211" s="13" t="s">
        <v>1452</v>
      </c>
      <c r="H1211" s="13" t="s">
        <v>35</v>
      </c>
      <c r="I1211" s="13" t="str">
        <f aca="false">IF(C1211=J1211,"NEW KONTRAK","RE-KONTRAK")</f>
        <v>NEW KONTRAK</v>
      </c>
      <c r="J1211" s="16" t="n">
        <f aca="false" t="array" ref="J1211:J1211">IFERROR(INDEX(AC1211:AE1211,IF(COUNTA(AC1211:AE1211)=0,"",MAX((AC1211:AE1211&lt;&gt;"")*(COLUMN(AC1211:AE1211)-(COLUMN(AC1211)))))-1),"")</f>
        <v>46197</v>
      </c>
      <c r="K1211" s="16" t="n">
        <f aca="false" t="array" ref="K1211:K1211">IFERROR(INDEX(AC1211:AE1211,IF(COUNTA(AC1211:AE1211)=0,"",MAX((AC1211:AE1211&lt;&gt;"")*(COLUMN(AC1211:AE1211)-(COLUMN(AC1211)-1))))-1),"")</f>
        <v>46288</v>
      </c>
      <c r="L1211" s="17" t="str">
        <f aca="false" t="array" ref="L1211:L1211">IFERROR(INDEX(AC1211:AE1211,IF(COUNTA(AC1211:AE1211)=0,"",MAX((AC1211:AE1211&lt;&gt;"")*(COLUMN(AC1211:AE1211)-(COLUMN(AC1211)-2))))-1),"")</f>
        <v>KEMBALI ONLINE</v>
      </c>
      <c r="M1211" s="13" t="n">
        <f aca="true">K1211-TODAY()</f>
        <v>-36</v>
      </c>
      <c r="N1211" s="13" t="s">
        <v>553</v>
      </c>
      <c r="O1211" s="13" t="s">
        <v>2384</v>
      </c>
      <c r="P1211" s="19" t="n">
        <v>2337700</v>
      </c>
      <c r="Q1211" s="20" t="s">
        <v>5318</v>
      </c>
      <c r="R1211" s="13" t="s">
        <v>553</v>
      </c>
      <c r="S1211" s="25" t="n">
        <v>39805</v>
      </c>
      <c r="T1211" s="13" t="s">
        <v>108</v>
      </c>
      <c r="U1211" s="13" t="s">
        <v>5319</v>
      </c>
      <c r="V1211" s="13" t="s">
        <v>42</v>
      </c>
      <c r="W1211" s="13" t="s">
        <v>43</v>
      </c>
      <c r="X1211" s="47" t="s">
        <v>5320</v>
      </c>
      <c r="Y1211" s="22" t="str">
        <f aca="false">O1211</f>
        <v>SPG</v>
      </c>
      <c r="Z1211" s="13" t="str">
        <f aca="false">IFERROR(__xludf.dummyfunction("if(BJ1211="""","""",GOOGLETRANSLATE(BJ1211,""auto"",""en""))"),"SPG")</f>
        <v>SPG</v>
      </c>
      <c r="AA1211" s="23" t="str">
        <f aca="false">IF(C1211="","", CHOOSE(MONTH(C1211),"January","February","March","April","May","June","July","August","September","October","November","December")&amp;" "&amp;DAY(C1211)&amp;MID("thstndrdth",MIN(9,2*RIGHT(DAY(C1211))*(MOD(DAY(C1211)-11,100)&gt;2)+1),2)&amp;","&amp;TEXT(C1211," yyyy"))</f>
        <v>June 24th,2026</v>
      </c>
      <c r="AB1211" s="15" t="str">
        <f aca="true">IF(S1211="","",DATEDIF(S1211,TODAY(),"Y")&amp;" Tahun, "&amp;DATEDIF(S1211,TODAY(),"YM")&amp;" Bulan, "&amp;DATEDIF(S1211,TODAY(),"MD")&amp;" Hari")</f>
        <v>17 Tahun, 10 Bulan, 6 Hari</v>
      </c>
      <c r="AC1211" s="14" t="n">
        <v>46197</v>
      </c>
      <c r="AD1211" s="18" t="n">
        <f aca="false">EDATE(AC1211,3)-1</f>
        <v>46288</v>
      </c>
      <c r="AE1211" s="13" t="s">
        <v>2387</v>
      </c>
    </row>
    <row r="1212" customFormat="false" ht="15.75" hidden="false" customHeight="true" outlineLevel="0" collapsed="false">
      <c r="A1212" s="12" t="n">
        <v>21869</v>
      </c>
      <c r="B1212" s="69" t="s">
        <v>5321</v>
      </c>
      <c r="C1212" s="16" t="n">
        <v>46054</v>
      </c>
      <c r="D1212" s="13" t="s">
        <v>2033</v>
      </c>
      <c r="E1212" s="15" t="s">
        <v>47</v>
      </c>
      <c r="F1212" s="15" t="str">
        <f aca="false">IFERROR(__xludf.dummyfunction("XLOOKUP(AJ1212,IMPORTRANGE(""1XaInW9DU9nz21V0tYIfzFQ0He9kVQ_JF2mCXgZ3hqFA"",""REKAP ALL 2026 - Andika!G:G""),IMPORTRANGE(""1XaInW9DU9nz21V0tYIfzFQ0He9kVQ_JF2mCXgZ3hqFA"",""REKAP ALL 2026 - Andika!F:F""),"""",0)"),"26035115901")</f>
        <v>26035115901</v>
      </c>
      <c r="G1212" s="13" t="s">
        <v>1127</v>
      </c>
      <c r="H1212" s="13" t="s">
        <v>35</v>
      </c>
      <c r="I1212" s="13" t="str">
        <f aca="false">IF(C1212=J1212,"NEW KONTRAK","RE-KONTRAK")</f>
        <v>NEW KONTRAK</v>
      </c>
      <c r="J1212" s="16" t="n">
        <f aca="false" t="array" ref="J1212:J1212">IFERROR(INDEX(AC1212:AE1212,IF(COUNTA(AC1212:AE1212)=0,"",MAX((AC1212:AE1212&lt;&gt;"")*(COLUMN(AC1212:AE1212)-(COLUMN(AC1212)))))-1),"")</f>
        <v>46054</v>
      </c>
      <c r="K1212" s="16" t="n">
        <f aca="false" t="array" ref="K1212:K1212">IFERROR(INDEX(AC1212:AE1212,IF(COUNTA(AC1212:AE1212)=0,"",MAX((AC1212:AE1212&lt;&gt;"")*(COLUMN(AC1212:AE1212)-(COLUMN(AC1212)-1))))-1),"")</f>
        <v>46188</v>
      </c>
      <c r="L1212" s="17" t="str">
        <f aca="false" t="array" ref="L1212:L1212">IFERROR(INDEX(AC1212:AE1212,IF(COUNTA(AC1212:AE1212)=0,"",MAX((AC1212:AE1212&lt;&gt;"")*(COLUMN(AC1212:AE1212)-(COLUMN(AC1212)-2))))-1),"")</f>
        <v>ARCHIVED</v>
      </c>
      <c r="M1212" s="13" t="n">
        <f aca="true">K1212-TODAY()</f>
        <v>-136</v>
      </c>
      <c r="N1212" s="18" t="s">
        <v>5322</v>
      </c>
      <c r="O1212" s="13" t="s">
        <v>2037</v>
      </c>
      <c r="P1212" s="19" t="n">
        <v>3932552</v>
      </c>
      <c r="Q1212" s="47" t="s">
        <v>5323</v>
      </c>
      <c r="R1212" s="13" t="s">
        <v>4795</v>
      </c>
      <c r="S1212" s="16" t="n">
        <v>36224</v>
      </c>
      <c r="T1212" s="13" t="s">
        <v>108</v>
      </c>
      <c r="U1212" s="13" t="s">
        <v>5324</v>
      </c>
      <c r="V1212" s="13" t="s">
        <v>42</v>
      </c>
      <c r="W1212" s="13" t="s">
        <v>43</v>
      </c>
      <c r="X1212" s="13" t="s">
        <v>5325</v>
      </c>
      <c r="Y1212" s="22" t="str">
        <f aca="false">O1212</f>
        <v>SPG/BA</v>
      </c>
      <c r="Z1212" s="13" t="str">
        <f aca="false">IFERROR(__xludf.dummyfunction("if(BJ1212="""","""",GOOGLETRANSLATE(BJ1212,""auto"",""en""))"),"SPG/BA")</f>
        <v>SPG/BA</v>
      </c>
      <c r="AA1212" s="23" t="str">
        <f aca="false">IF(C1212="","", CHOOSE(MONTH(C1212),"January","February","March","April","May","June","July","August","September","October","November","December")&amp;" "&amp;DAY(C1212)&amp;MID("thstndrdth",MIN(9,2*RIGHT(DAY(C1212))*(MOD(DAY(C1212)-11,100)&gt;2)+1),2)&amp;","&amp;TEXT(C1212," yyyy"))</f>
        <v>February 1st,2026</v>
      </c>
      <c r="AB1212" s="15" t="str">
        <f aca="true">IF(S1212="","",DATEDIF(S1212,TODAY(),"Y")&amp;" Tahun, "&amp;DATEDIF(S1212,TODAY(),"YM")&amp;" Bulan, "&amp;DATEDIF(S1212,TODAY(),"MD")&amp;" Hari")</f>
        <v>27 Tahun, 7 Bulan, 24 Hari</v>
      </c>
      <c r="AC1212" s="18" t="n">
        <v>46054</v>
      </c>
      <c r="AD1212" s="18" t="n">
        <v>46188</v>
      </c>
      <c r="AE1212" s="13" t="s">
        <v>44</v>
      </c>
    </row>
    <row r="1213" customFormat="false" ht="15.75" hidden="false" customHeight="true" outlineLevel="0" collapsed="false">
      <c r="A1213" s="12" t="n">
        <v>12852</v>
      </c>
      <c r="B1213" s="13" t="s">
        <v>5326</v>
      </c>
      <c r="C1213" s="14" t="n">
        <v>45174</v>
      </c>
      <c r="D1213" s="13" t="s">
        <v>774</v>
      </c>
      <c r="E1213" s="15" t="s">
        <v>47</v>
      </c>
      <c r="F1213" s="15" t="str">
        <f aca="false">IFERROR(__xludf.dummyfunction("XLOOKUP(AJ1213,IMPORTRANGE(""1XaInW9DU9nz21V0tYIfzFQ0He9kVQ_JF2mCXgZ3hqFA"",""REKAP ALL 2026 - Andika!G:G""),IMPORTRANGE(""1XaInW9DU9nz21V0tYIfzFQ0He9kVQ_JF2mCXgZ3hqFA"",""REKAP ALL 2026 - Andika!F:F""),"""",0)"),"24195985114")</f>
        <v>24195985114</v>
      </c>
      <c r="G1213" s="15" t="s">
        <v>5327</v>
      </c>
      <c r="H1213" s="13" t="s">
        <v>2967</v>
      </c>
      <c r="I1213" s="13" t="str">
        <f aca="false">IF(C1213=J1213,"NEW KONTRAK","RE-KONTRAK")</f>
        <v>RE-KONTRAK</v>
      </c>
      <c r="J1213" s="16" t="n">
        <f aca="false" t="array" ref="J1213:J1213">IFERROR(INDEX(AC1213:AE1213,IF(COUNTA(AC1213:AE1213)=0,"",MAX((AC1213:AE1213&lt;&gt;"")*(COLUMN(AC1213:AE1213)-(COLUMN(AC1213)))))-1),"")</f>
        <v>45570</v>
      </c>
      <c r="K1213" s="16" t="n">
        <f aca="false" t="array" ref="K1213:K1213">IFERROR(INDEX(AC1213:AE1213,IF(COUNTA(AC1213:AE1213)=0,"",MAX((AC1213:AE1213&lt;&gt;"")*(COLUMN(AC1213:AE1213)-(COLUMN(AC1213)-1))))-1),"")</f>
        <v>45934</v>
      </c>
      <c r="L1213" s="17" t="str">
        <f aca="false" t="array" ref="L1213:L1213">IFERROR(INDEX(AC1213:AE1213,IF(COUNTA(AC1213:AE1213)=0,"",MAX((AC1213:AE1213&lt;&gt;"")*(COLUMN(AC1213:AE1213)-(COLUMN(AC1213)-2))))-1),"")</f>
        <v>ARCHIVED</v>
      </c>
      <c r="M1213" s="13" t="n">
        <f aca="true">K1213-TODAY()</f>
        <v>-390</v>
      </c>
      <c r="N1213" s="18" t="s">
        <v>36</v>
      </c>
      <c r="O1213" s="13" t="s">
        <v>795</v>
      </c>
      <c r="P1213" s="19" t="n">
        <v>3250000</v>
      </c>
      <c r="Q1213" s="20" t="s">
        <v>5328</v>
      </c>
      <c r="R1213" s="13" t="s">
        <v>52</v>
      </c>
      <c r="S1213" s="14" t="n">
        <v>31673</v>
      </c>
      <c r="T1213" s="13" t="s">
        <v>40</v>
      </c>
      <c r="U1213" s="13" t="s">
        <v>5329</v>
      </c>
      <c r="V1213" s="13" t="s">
        <v>42</v>
      </c>
      <c r="W1213" s="13" t="s">
        <v>54</v>
      </c>
      <c r="X1213" s="21" t="n">
        <v>83833884173</v>
      </c>
      <c r="Y1213" s="22" t="str">
        <f aca="false">O1213</f>
        <v>Painting</v>
      </c>
      <c r="Z1213" s="13" t="str">
        <f aca="false">IFERROR(__xludf.dummyfunction("if(BJ1213="""","""",GOOGLETRANSLATE(BJ1213,""auto"",""en""))"),"Painting")</f>
        <v>Painting</v>
      </c>
      <c r="AA1213" s="23" t="str">
        <f aca="false">IF(C1213="","", CHOOSE(MONTH(C1213),"January","February","March","April","May","June","July","August","September","October","November","December")&amp;" "&amp;DAY(C1213)&amp;MID("thstndrdth",MIN(9,2*RIGHT(DAY(C1213))*(MOD(DAY(C1213)-11,100)&gt;2)+1),2)&amp;","&amp;TEXT(C1213," yyyy"))</f>
        <v>September 5th,2023</v>
      </c>
      <c r="AB1213" s="15" t="str">
        <f aca="true">IF(S1213="","",DATEDIF(S1213,TODAY(),"Y")&amp;" Tahun, "&amp;DATEDIF(S1213,TODAY(),"YM")&amp;" Bulan, "&amp;DATEDIF(S1213,TODAY(),"MD")&amp;" Hari")</f>
        <v>40 Tahun, 1 Bulan, 11 Hari</v>
      </c>
      <c r="AC1213" s="18" t="n">
        <v>45570</v>
      </c>
      <c r="AD1213" s="18" t="n">
        <v>45934</v>
      </c>
      <c r="AE1213" s="18" t="s">
        <v>44</v>
      </c>
    </row>
    <row r="1214" customFormat="false" ht="15.75" hidden="false" customHeight="true" outlineLevel="0" collapsed="false">
      <c r="A1214" s="12" t="n">
        <v>12860</v>
      </c>
      <c r="B1214" s="13" t="s">
        <v>5330</v>
      </c>
      <c r="C1214" s="14" t="n">
        <v>45180</v>
      </c>
      <c r="D1214" s="13" t="s">
        <v>5250</v>
      </c>
      <c r="E1214" s="15" t="s">
        <v>789</v>
      </c>
      <c r="F1214" s="15" t="str">
        <f aca="false">IFERROR(__xludf.dummyfunction("XLOOKUP(AJ1214,IMPORTRANGE(""1XaInW9DU9nz21V0tYIfzFQ0He9kVQ_JF2mCXgZ3hqFA"",""REKAP ALL 2026 - Andika!G:G""),IMPORTRANGE(""1XaInW9DU9nz21V0tYIfzFQ0He9kVQ_JF2mCXgZ3hqFA"",""REKAP ALL 2026 - Andika!F:F""),"""",0)"),"24075650531")</f>
        <v>24075650531</v>
      </c>
      <c r="G1214" s="13" t="s">
        <v>5331</v>
      </c>
      <c r="H1214" s="13" t="s">
        <v>35</v>
      </c>
      <c r="I1214" s="13" t="str">
        <f aca="false">IF(C1214=J1214,"NEW KONTRAK","RE-KONTRAK")</f>
        <v>RE-KONTRAK</v>
      </c>
      <c r="J1214" s="16" t="n">
        <f aca="false" t="array" ref="J1214:J1214">IFERROR(INDEX(AC1214:AE1214,IF(COUNTA(AC1214:AE1214)=0,"",MAX((AC1214:AE1214&lt;&gt;"")*(COLUMN(AC1214:AE1214)-(COLUMN(AC1214)))))-1),"")</f>
        <v>45658</v>
      </c>
      <c r="K1214" s="16" t="n">
        <f aca="false" t="array" ref="K1214:K1214">IFERROR(INDEX(AC1214:AE1214,IF(COUNTA(AC1214:AE1214)=0,"",MAX((AC1214:AE1214&lt;&gt;"")*(COLUMN(AC1214:AE1214)-(COLUMN(AC1214)-1))))-1),"")</f>
        <v>46022</v>
      </c>
      <c r="L1214" s="17" t="str">
        <f aca="false" t="array" ref="L1214:L1214">IFERROR(INDEX(AC1214:AE1214,IF(COUNTA(AC1214:AE1214)=0,"",MAX((AC1214:AE1214&lt;&gt;"")*(COLUMN(AC1214:AE1214)-(COLUMN(AC1214)-2))))-1),"")</f>
        <v>ARCHIVED</v>
      </c>
      <c r="M1214" s="13" t="n">
        <f aca="true">K1214-TODAY()</f>
        <v>-302</v>
      </c>
      <c r="N1214" s="18" t="s">
        <v>728</v>
      </c>
      <c r="O1214" s="13" t="s">
        <v>3271</v>
      </c>
      <c r="P1214" s="27" t="n">
        <v>5288796</v>
      </c>
      <c r="Q1214" s="20" t="s">
        <v>5332</v>
      </c>
      <c r="R1214" s="13" t="s">
        <v>52</v>
      </c>
      <c r="S1214" s="14" t="n">
        <v>36513</v>
      </c>
      <c r="T1214" s="13" t="s">
        <v>40</v>
      </c>
      <c r="U1214" s="13" t="s">
        <v>5333</v>
      </c>
      <c r="V1214" s="13" t="s">
        <v>42</v>
      </c>
      <c r="W1214" s="13" t="s">
        <v>43</v>
      </c>
      <c r="X1214" s="21" t="n">
        <v>89630410760</v>
      </c>
      <c r="Y1214" s="22" t="str">
        <f aca="false">O1214</f>
        <v>Helper</v>
      </c>
      <c r="Z1214" s="13" t="str">
        <f aca="false">IFERROR(__xludf.dummyfunction("if(BJ1214="""","""",GOOGLETRANSLATE(BJ1214,""auto"",""en""))"),"Helper")</f>
        <v>Helper</v>
      </c>
      <c r="AA1214" s="23" t="str">
        <f aca="false">IF(C1214="","", CHOOSE(MONTH(C1214),"January","February","March","April","May","June","July","August","September","October","November","December")&amp;" "&amp;DAY(C1214)&amp;MID("thstndrdth",MIN(9,2*RIGHT(DAY(C1214))*(MOD(DAY(C1214)-11,100)&gt;2)+1),2)&amp;","&amp;TEXT(C1214," yyyy"))</f>
        <v>September 11th,2023</v>
      </c>
      <c r="AB1214" s="15" t="str">
        <f aca="true">IF(S1214="","",DATEDIF(S1214,TODAY(),"Y")&amp;" Tahun, "&amp;DATEDIF(S1214,TODAY(),"YM")&amp;" Bulan, "&amp;DATEDIF(S1214,TODAY(),"MD")&amp;" Hari")</f>
        <v>26 Tahun, 10 Bulan, 10 Hari</v>
      </c>
      <c r="AC1214" s="18" t="n">
        <v>45658</v>
      </c>
      <c r="AD1214" s="18" t="n">
        <v>46022</v>
      </c>
      <c r="AE1214" s="18" t="s">
        <v>44</v>
      </c>
    </row>
    <row r="1215" customFormat="false" ht="15.75" hidden="false" customHeight="true" outlineLevel="0" collapsed="false">
      <c r="A1215" s="12" t="n">
        <v>12902</v>
      </c>
      <c r="B1215" s="13" t="s">
        <v>5334</v>
      </c>
      <c r="C1215" s="14" t="n">
        <v>45190</v>
      </c>
      <c r="D1215" s="13" t="s">
        <v>742</v>
      </c>
      <c r="E1215" s="15" t="s">
        <v>47</v>
      </c>
      <c r="F1215" s="15" t="str">
        <f aca="false">IFERROR(__xludf.dummyfunction("XLOOKUP(AJ1215,IMPORTRANGE(""1XaInW9DU9nz21V0tYIfzFQ0He9kVQ_JF2mCXgZ3hqFA"",""REKAP ALL 2026 - Andika!G:G""),IMPORTRANGE(""1XaInW9DU9nz21V0tYIfzFQ0He9kVQ_JF2mCXgZ3hqFA"",""REKAP ALL 2026 - Andika!F:F""),"""",0)"),"23151589977")</f>
        <v>23151589977</v>
      </c>
      <c r="G1215" s="13" t="s">
        <v>5335</v>
      </c>
      <c r="H1215" s="13" t="s">
        <v>35</v>
      </c>
      <c r="I1215" s="13" t="str">
        <f aca="false">IF(C1215=J1215,"NEW KONTRAK","RE-KONTRAK")</f>
        <v>RE-KONTRAK</v>
      </c>
      <c r="J1215" s="16" t="n">
        <f aca="false" t="array" ref="J1215:J1215">IFERROR(INDEX(AC1215:AE1215,IF(COUNTA(AC1215:AE1215)=0,"",MAX((AC1215:AE1215&lt;&gt;"")*(COLUMN(AC1215:AE1215)-(COLUMN(AC1215)))))-1),"")</f>
        <v>45556</v>
      </c>
      <c r="K1215" s="16" t="n">
        <f aca="false" t="array" ref="K1215:K1215">IFERROR(INDEX(AC1215:AE1215,IF(COUNTA(AC1215:AE1215)=0,"",MAX((AC1215:AE1215&lt;&gt;"")*(COLUMN(AC1215:AE1215)-(COLUMN(AC1215)-1))))-1),"")</f>
        <v>45920</v>
      </c>
      <c r="L1215" s="17" t="str">
        <f aca="false" t="array" ref="L1215:L1215">IFERROR(INDEX(AC1215:AE1215,IF(COUNTA(AC1215:AE1215)=0,"",MAX((AC1215:AE1215&lt;&gt;"")*(COLUMN(AC1215:AE1215)-(COLUMN(AC1215)-2))))-1),"")</f>
        <v>ARCHIVED</v>
      </c>
      <c r="M1215" s="13" t="n">
        <f aca="true">K1215-TODAY()</f>
        <v>-404</v>
      </c>
      <c r="N1215" s="18" t="s">
        <v>615</v>
      </c>
      <c r="O1215" s="13" t="s">
        <v>50</v>
      </c>
      <c r="P1215" s="27" t="n">
        <v>2550274</v>
      </c>
      <c r="Q1215" s="20" t="s">
        <v>5336</v>
      </c>
      <c r="R1215" s="13" t="s">
        <v>39</v>
      </c>
      <c r="S1215" s="14" t="n">
        <v>29625</v>
      </c>
      <c r="T1215" s="13" t="s">
        <v>40</v>
      </c>
      <c r="U1215" s="13" t="s">
        <v>5337</v>
      </c>
      <c r="V1215" s="13" t="s">
        <v>42</v>
      </c>
      <c r="W1215" s="13" t="s">
        <v>54</v>
      </c>
      <c r="X1215" s="21" t="n">
        <v>81553834468</v>
      </c>
      <c r="Y1215" s="22" t="str">
        <f aca="false">O1215</f>
        <v>Driver</v>
      </c>
      <c r="Z1215" s="13" t="str">
        <f aca="false">IFERROR(__xludf.dummyfunction("if(BJ1215="""","""",GOOGLETRANSLATE(BJ1215,""auto"",""en""))"),"Driver")</f>
        <v>Driver</v>
      </c>
      <c r="AA1215" s="23" t="str">
        <f aca="false">IF(C1215="","", CHOOSE(MONTH(C1215),"January","February","March","April","May","June","July","August","September","October","November","December")&amp;" "&amp;DAY(C1215)&amp;MID("thstndrdth",MIN(9,2*RIGHT(DAY(C1215))*(MOD(DAY(C1215)-11,100)&gt;2)+1),2)&amp;","&amp;TEXT(C1215," yyyy"))</f>
        <v>September 21st,2023</v>
      </c>
      <c r="AB1215" s="15" t="str">
        <f aca="true">IF(S1215="","",DATEDIF(S1215,TODAY(),"Y")&amp;" Tahun, "&amp;DATEDIF(S1215,TODAY(),"YM")&amp;" Bulan, "&amp;DATEDIF(S1215,TODAY(),"MD")&amp;" Hari")</f>
        <v>45 Tahun, 8 Bulan, 21 Hari</v>
      </c>
      <c r="AC1215" s="18" t="n">
        <v>45556</v>
      </c>
      <c r="AD1215" s="18" t="n">
        <v>45920</v>
      </c>
      <c r="AE1215" s="18" t="s">
        <v>44</v>
      </c>
    </row>
    <row r="1216" customFormat="false" ht="15.75" hidden="false" customHeight="true" outlineLevel="0" collapsed="false">
      <c r="A1216" s="12" t="n">
        <v>22905</v>
      </c>
      <c r="B1216" s="13" t="s">
        <v>5338</v>
      </c>
      <c r="C1216" s="14" t="n">
        <v>46250</v>
      </c>
      <c r="D1216" s="13" t="s">
        <v>2033</v>
      </c>
      <c r="E1216" s="13" t="s">
        <v>47</v>
      </c>
      <c r="F1216" s="24" t="s">
        <v>5339</v>
      </c>
      <c r="G1216" s="13" t="s">
        <v>1452</v>
      </c>
      <c r="H1216" s="13" t="s">
        <v>35</v>
      </c>
      <c r="I1216" s="13" t="str">
        <f aca="false">IF(C1216=J1216,"NEW KONTRAK","RE-KONTRAK")</f>
        <v>NEW KONTRAK</v>
      </c>
      <c r="J1216" s="16" t="n">
        <f aca="false" t="array" ref="J1216:J1216">IFERROR(INDEX(AC1216:AE1216,IF(COUNTA(AC1216:AE1216)=0,"",MAX((AC1216:AE1216&lt;&gt;"")*(COLUMN(AC1216:AE1216)-(COLUMN(AC1216)))))-1),"")</f>
        <v>46250</v>
      </c>
      <c r="K1216" s="16" t="n">
        <f aca="false" t="array" ref="K1216:K1216">IFERROR(INDEX(AC1216:AE1216,IF(COUNTA(AC1216:AE1216)=0,"",MAX((AC1216:AE1216&lt;&gt;"")*(COLUMN(AC1216:AE1216)-(COLUMN(AC1216)-1))))-1),"")</f>
        <v>46402</v>
      </c>
      <c r="L1216" s="17" t="str">
        <f aca="false" t="array" ref="L1216:L1216">IFERROR(INDEX(AC1216:AE1216,IF(COUNTA(AC1216:AE1216)=0,"",MAX((AC1216:AE1216&lt;&gt;"")*(COLUMN(AC1216:AE1216)-(COLUMN(AC1216)-2))))-1),"")</f>
        <v>KEMBALI ONLINE</v>
      </c>
      <c r="M1216" s="13" t="n">
        <f aca="true">K1216-TODAY()</f>
        <v>78</v>
      </c>
      <c r="N1216" s="13" t="s">
        <v>5340</v>
      </c>
      <c r="O1216" s="13" t="s">
        <v>2384</v>
      </c>
      <c r="P1216" s="26" t="n">
        <v>3756643</v>
      </c>
      <c r="Q1216" s="20" t="s">
        <v>5341</v>
      </c>
      <c r="R1216" s="13" t="s">
        <v>5340</v>
      </c>
      <c r="S1216" s="25" t="n">
        <v>35682</v>
      </c>
      <c r="T1216" s="13" t="s">
        <v>108</v>
      </c>
      <c r="U1216" s="13" t="s">
        <v>5342</v>
      </c>
      <c r="V1216" s="13" t="s">
        <v>42</v>
      </c>
      <c r="W1216" s="13" t="s">
        <v>54</v>
      </c>
      <c r="X1216" s="21" t="n">
        <v>85828165321</v>
      </c>
      <c r="Y1216" s="22" t="str">
        <f aca="false">O1216</f>
        <v>SPG</v>
      </c>
      <c r="Z1216" s="13" t="str">
        <f aca="false">IFERROR(__xludf.dummyfunction("if(BJ1216="""","""",GOOGLETRANSLATE(BJ1216,""auto"",""en""))"),"SPG")</f>
        <v>SPG</v>
      </c>
      <c r="AA1216" s="23" t="str">
        <f aca="false">IF(C1216="","", CHOOSE(MONTH(C1216),"January","February","March","April","May","June","July","August","September","October","November","December")&amp;" "&amp;DAY(C1216)&amp;MID("thstndrdth",MIN(9,2*RIGHT(DAY(C1216))*(MOD(DAY(C1216)-11,100)&gt;2)+1),2)&amp;","&amp;TEXT(C1216," yyyy"))</f>
        <v>August 16th,2026</v>
      </c>
      <c r="AB1216" s="15" t="str">
        <f aca="true">IF(S1216="","",DATEDIF(S1216,TODAY(),"Y")&amp;" Tahun, "&amp;DATEDIF(S1216,TODAY(),"YM")&amp;" Bulan, "&amp;DATEDIF(S1216,TODAY(),"MD")&amp;" Hari")</f>
        <v>29 Tahun, 1 Bulan, 20 Hari</v>
      </c>
      <c r="AC1216" s="14" t="n">
        <v>46250</v>
      </c>
      <c r="AD1216" s="18" t="n">
        <v>46402</v>
      </c>
      <c r="AE1216" s="13" t="s">
        <v>2387</v>
      </c>
    </row>
    <row r="1217" customFormat="false" ht="15.75" hidden="false" customHeight="true" outlineLevel="0" collapsed="false">
      <c r="A1217" s="12" t="n">
        <v>12912</v>
      </c>
      <c r="B1217" s="13" t="s">
        <v>5343</v>
      </c>
      <c r="C1217" s="14" t="n">
        <v>45180</v>
      </c>
      <c r="D1217" s="13" t="s">
        <v>2033</v>
      </c>
      <c r="E1217" s="15" t="s">
        <v>33</v>
      </c>
      <c r="F1217" s="24" t="s">
        <v>5344</v>
      </c>
      <c r="G1217" s="13" t="s">
        <v>5345</v>
      </c>
      <c r="H1217" s="13" t="s">
        <v>2035</v>
      </c>
      <c r="I1217" s="13" t="str">
        <f aca="false">IF(C1217=J1217,"NEW KONTRAK","RE-KONTRAK")</f>
        <v>RE-KONTRAK</v>
      </c>
      <c r="J1217" s="16" t="n">
        <f aca="false" t="array" ref="J1217:J1217">IFERROR(INDEX(AC1217:AE1217,IF(COUNTA(AC1217:AE1217)=0,"",MAX((AC1217:AE1217&lt;&gt;"")*(COLUMN(AC1217:AE1217)-(COLUMN(AC1217)))))-1),"")</f>
        <v>45744</v>
      </c>
      <c r="K1217" s="16" t="n">
        <f aca="false" t="array" ref="K1217:K1217">IFERROR(INDEX(AC1217:AE1217,IF(COUNTA(AC1217:AE1217)=0,"",MAX((AC1217:AE1217&lt;&gt;"")*(COLUMN(AC1217:AE1217)-(COLUMN(AC1217)-1))))-1),"")</f>
        <v>45915</v>
      </c>
      <c r="L1217" s="17" t="str">
        <f aca="false" t="array" ref="L1217:L1217">IFERROR(INDEX(AC1217:AE1217,IF(COUNTA(AC1217:AE1217)=0,"",MAX((AC1217:AE1217&lt;&gt;"")*(COLUMN(AC1217:AE1217)-(COLUMN(AC1217)-2))))-1),"")</f>
        <v>ARCHIVED</v>
      </c>
      <c r="M1217" s="13" t="n">
        <f aca="true">K1217-TODAY()</f>
        <v>-409</v>
      </c>
      <c r="N1217" s="18" t="s">
        <v>2363</v>
      </c>
      <c r="O1217" s="13" t="s">
        <v>2037</v>
      </c>
      <c r="P1217" s="19" t="n">
        <v>4014072</v>
      </c>
      <c r="Q1217" s="20" t="s">
        <v>5346</v>
      </c>
      <c r="R1217" s="13" t="s">
        <v>2363</v>
      </c>
      <c r="S1217" s="14" t="n">
        <v>34091</v>
      </c>
      <c r="T1217" s="13" t="s">
        <v>108</v>
      </c>
      <c r="U1217" s="13" t="s">
        <v>5347</v>
      </c>
      <c r="V1217" s="13" t="s">
        <v>42</v>
      </c>
      <c r="W1217" s="13" t="s">
        <v>54</v>
      </c>
      <c r="X1217" s="21" t="n">
        <v>82385033735</v>
      </c>
      <c r="Y1217" s="22" t="str">
        <f aca="false">O1217</f>
        <v>SPG/BA</v>
      </c>
      <c r="Z1217" s="13" t="str">
        <f aca="false">IFERROR(__xludf.dummyfunction("if(BJ1217="""","""",GOOGLETRANSLATE(BJ1217,""auto"",""en""))"),"SPG/BA")</f>
        <v>SPG/BA</v>
      </c>
      <c r="AA1217" s="23" t="str">
        <f aca="false">IF(C1217="","", CHOOSE(MONTH(C1217),"January","February","March","April","May","June","July","August","September","October","November","December")&amp;" "&amp;DAY(C1217)&amp;MID("thstndrdth",MIN(9,2*RIGHT(DAY(C1217))*(MOD(DAY(C1217)-11,100)&gt;2)+1),2)&amp;","&amp;TEXT(C1217," yyyy"))</f>
        <v>September 11th,2023</v>
      </c>
      <c r="AB1217" s="15" t="str">
        <f aca="true">IF(S1217="","",DATEDIF(S1217,TODAY(),"Y")&amp;" Tahun, "&amp;DATEDIF(S1217,TODAY(),"YM")&amp;" Bulan, "&amp;DATEDIF(S1217,TODAY(),"MD")&amp;" Hari")</f>
        <v>33 Tahun, 5 Bulan, 27 Hari</v>
      </c>
      <c r="AC1217" s="18" t="n">
        <v>45744</v>
      </c>
      <c r="AD1217" s="18" t="n">
        <v>45915</v>
      </c>
      <c r="AE1217" s="18" t="s">
        <v>44</v>
      </c>
    </row>
    <row r="1218" customFormat="false" ht="15.75" hidden="false" customHeight="true" outlineLevel="0" collapsed="false">
      <c r="A1218" s="12" t="n">
        <v>13119</v>
      </c>
      <c r="B1218" s="13" t="s">
        <v>5348</v>
      </c>
      <c r="C1218" s="14" t="n">
        <v>45191</v>
      </c>
      <c r="D1218" s="13" t="s">
        <v>4252</v>
      </c>
      <c r="E1218" s="15" t="s">
        <v>536</v>
      </c>
      <c r="F1218" s="24" t="s">
        <v>5349</v>
      </c>
      <c r="G1218" s="13" t="s">
        <v>57</v>
      </c>
      <c r="H1218" s="13" t="s">
        <v>35</v>
      </c>
      <c r="I1218" s="13" t="str">
        <f aca="false">IF(C1218=J1218,"NEW KONTRAK","RE-KONTRAK")</f>
        <v>RE-KONTRAK</v>
      </c>
      <c r="J1218" s="16" t="n">
        <f aca="false" t="array" ref="J1218:J1218">IFERROR(INDEX(AC1218:AE1218,IF(COUNTA(AC1218:AE1218)=0,"",MAX((AC1218:AE1218&lt;&gt;"")*(COLUMN(AC1218:AE1218)-(COLUMN(AC1218)))))-1),"")</f>
        <v>45764</v>
      </c>
      <c r="K1218" s="16" t="n">
        <f aca="false" t="array" ref="K1218:K1218">IFERROR(INDEX(AC1218:AE1218,IF(COUNTA(AC1218:AE1218)=0,"",MAX((AC1218:AE1218&lt;&gt;"")*(COLUMN(AC1218:AE1218)-(COLUMN(AC1218)-1))))-1),"")</f>
        <v>45916</v>
      </c>
      <c r="L1218" s="17" t="str">
        <f aca="false" t="array" ref="L1218:L1218">IFERROR(INDEX(AC1218:AE1218,IF(COUNTA(AC1218:AE1218)=0,"",MAX((AC1218:AE1218&lt;&gt;"")*(COLUMN(AC1218:AE1218)-(COLUMN(AC1218)-2))))-1),"")</f>
        <v>ARCHIVED</v>
      </c>
      <c r="M1218" s="13" t="n">
        <f aca="true">K1218-TODAY()</f>
        <v>-408</v>
      </c>
      <c r="N1218" s="18" t="s">
        <v>36</v>
      </c>
      <c r="O1218" s="13" t="s">
        <v>4274</v>
      </c>
      <c r="P1218" s="27" t="n">
        <v>200000</v>
      </c>
      <c r="Q1218" s="20" t="s">
        <v>5350</v>
      </c>
      <c r="R1218" s="13" t="s">
        <v>232</v>
      </c>
      <c r="S1218" s="14" t="n">
        <v>37238</v>
      </c>
      <c r="T1218" s="13" t="s">
        <v>40</v>
      </c>
      <c r="U1218" s="13" t="s">
        <v>5351</v>
      </c>
      <c r="V1218" s="13" t="s">
        <v>42</v>
      </c>
      <c r="W1218" s="13" t="s">
        <v>43</v>
      </c>
      <c r="X1218" s="21" t="n">
        <v>85708535002</v>
      </c>
      <c r="Y1218" s="22" t="str">
        <f aca="false">O1218</f>
        <v>Operator Extruder</v>
      </c>
      <c r="Z1218" s="13" t="str">
        <f aca="false">IFERROR(__xludf.dummyfunction("if(BJ1218="""","""",GOOGLETRANSLATE(BJ1218,""auto"",""en""))"),"Operator Extruder")</f>
        <v>Operator Extruder</v>
      </c>
      <c r="AA1218" s="23" t="str">
        <f aca="false">IF(C1218="","", CHOOSE(MONTH(C1218),"January","February","March","April","May","June","July","August","September","October","November","December")&amp;" "&amp;DAY(C1218)&amp;MID("thstndrdth",MIN(9,2*RIGHT(DAY(C1218))*(MOD(DAY(C1218)-11,100)&gt;2)+1),2)&amp;","&amp;TEXT(C1218," yyyy"))</f>
        <v>September 22nd,2023</v>
      </c>
      <c r="AB1218" s="15" t="str">
        <f aca="true">IF(S1218="","",DATEDIF(S1218,TODAY(),"Y")&amp;" Tahun, "&amp;DATEDIF(S1218,TODAY(),"YM")&amp;" Bulan, "&amp;DATEDIF(S1218,TODAY(),"MD")&amp;" Hari")</f>
        <v>24 Tahun, 10 Bulan, 16 Hari</v>
      </c>
      <c r="AC1218" s="18" t="n">
        <v>45764</v>
      </c>
      <c r="AD1218" s="18" t="n">
        <v>45916</v>
      </c>
      <c r="AE1218" s="18" t="s">
        <v>44</v>
      </c>
    </row>
    <row r="1219" customFormat="false" ht="15.75" hidden="false" customHeight="true" outlineLevel="0" collapsed="false">
      <c r="A1219" s="12" t="n">
        <v>13124</v>
      </c>
      <c r="B1219" s="13" t="s">
        <v>5352</v>
      </c>
      <c r="C1219" s="14" t="n">
        <v>45195</v>
      </c>
      <c r="D1219" s="13" t="s">
        <v>4264</v>
      </c>
      <c r="E1219" s="15" t="s">
        <v>47</v>
      </c>
      <c r="F1219" s="15" t="str">
        <f aca="false">IFERROR(__xludf.dummyfunction("XLOOKUP(AJ1219,IMPORTRANGE(""1XaInW9DU9nz21V0tYIfzFQ0He9kVQ_JF2mCXgZ3hqFA"",""REKAP ALL 2026 - Andika!G:G""),IMPORTRANGE(""1XaInW9DU9nz21V0tYIfzFQ0He9kVQ_JF2mCXgZ3hqFA"",""REKAP ALL 2026 - Andika!F:F""),"""",0)"),"23151606870")</f>
        <v>23151606870</v>
      </c>
      <c r="G1219" s="13" t="s">
        <v>57</v>
      </c>
      <c r="H1219" s="13" t="s">
        <v>35</v>
      </c>
      <c r="I1219" s="13" t="str">
        <f aca="false">IF(C1219=J1219,"NEW KONTRAK","RE-KONTRAK")</f>
        <v>RE-KONTRAK</v>
      </c>
      <c r="J1219" s="16" t="n">
        <f aca="false" t="array" ref="J1219:J1219">IFERROR(INDEX(AC1219:AE1219,IF(COUNTA(AC1219:AE1219)=0,"",MAX((AC1219:AE1219&lt;&gt;"")*(COLUMN(AC1219:AE1219)-(COLUMN(AC1219)))))-1),"")</f>
        <v>45764</v>
      </c>
      <c r="K1219" s="16" t="n">
        <f aca="false" t="array" ref="K1219:K1219">IFERROR(INDEX(AC1219:AE1219,IF(COUNTA(AC1219:AE1219)=0,"",MAX((AC1219:AE1219&lt;&gt;"")*(COLUMN(AC1219:AE1219)-(COLUMN(AC1219)-1))))-1),"")</f>
        <v>45946</v>
      </c>
      <c r="L1219" s="17" t="str">
        <f aca="false" t="array" ref="L1219:L1219">IFERROR(INDEX(AC1219:AE1219,IF(COUNTA(AC1219:AE1219)=0,"",MAX((AC1219:AE1219&lt;&gt;"")*(COLUMN(AC1219:AE1219)-(COLUMN(AC1219)-2))))-1),"")</f>
        <v>ARCHIVED</v>
      </c>
      <c r="M1219" s="13" t="n">
        <f aca="true">K1219-TODAY()</f>
        <v>-378</v>
      </c>
      <c r="N1219" s="18" t="s">
        <v>36</v>
      </c>
      <c r="O1219" s="13" t="s">
        <v>4274</v>
      </c>
      <c r="P1219" s="27" t="n">
        <v>200000</v>
      </c>
      <c r="Q1219" s="20" t="s">
        <v>5353</v>
      </c>
      <c r="R1219" s="13" t="s">
        <v>255</v>
      </c>
      <c r="S1219" s="14" t="n">
        <v>37970</v>
      </c>
      <c r="T1219" s="13" t="s">
        <v>40</v>
      </c>
      <c r="U1219" s="13" t="s">
        <v>5354</v>
      </c>
      <c r="V1219" s="13" t="s">
        <v>42</v>
      </c>
      <c r="W1219" s="13" t="s">
        <v>43</v>
      </c>
      <c r="X1219" s="21" t="n">
        <v>85655894971</v>
      </c>
      <c r="Y1219" s="22" t="str">
        <f aca="false">O1219</f>
        <v>Operator Extruder</v>
      </c>
      <c r="Z1219" s="13" t="str">
        <f aca="false">IFERROR(__xludf.dummyfunction("if(BJ1219="""","""",GOOGLETRANSLATE(BJ1219,""auto"",""en""))"),"Operator Extruder")</f>
        <v>Operator Extruder</v>
      </c>
      <c r="AA1219" s="23" t="str">
        <f aca="false">IF(C1219="","", CHOOSE(MONTH(C1219),"January","February","March","April","May","June","July","August","September","October","November","December")&amp;" "&amp;DAY(C1219)&amp;MID("thstndrdth",MIN(9,2*RIGHT(DAY(C1219))*(MOD(DAY(C1219)-11,100)&gt;2)+1),2)&amp;","&amp;TEXT(C1219," yyyy"))</f>
        <v>September 26th,2023</v>
      </c>
      <c r="AB1219" s="15" t="str">
        <f aca="true">IF(S1219="","",DATEDIF(S1219,TODAY(),"Y")&amp;" Tahun, "&amp;DATEDIF(S1219,TODAY(),"YM")&amp;" Bulan, "&amp;DATEDIF(S1219,TODAY(),"MD")&amp;" Hari")</f>
        <v>22 Tahun, 10 Bulan, 14 Hari</v>
      </c>
      <c r="AC1219" s="18" t="n">
        <v>45764</v>
      </c>
      <c r="AD1219" s="18" t="n">
        <v>45946</v>
      </c>
      <c r="AE1219" s="18" t="s">
        <v>44</v>
      </c>
    </row>
    <row r="1220" customFormat="false" ht="15.75" hidden="false" customHeight="true" outlineLevel="0" collapsed="false">
      <c r="A1220" s="12" t="n">
        <v>13142</v>
      </c>
      <c r="B1220" s="13" t="s">
        <v>5355</v>
      </c>
      <c r="C1220" s="14" t="n">
        <v>45184</v>
      </c>
      <c r="D1220" s="13" t="s">
        <v>2033</v>
      </c>
      <c r="E1220" s="15" t="s">
        <v>102</v>
      </c>
      <c r="F1220" s="15" t="str">
        <f aca="false">IFERROR(__xludf.dummyfunction("XLOOKUP(AJ1220,IMPORTRANGE(""1XaInW9DU9nz21V0tYIfzFQ0He9kVQ_JF2mCXgZ3hqFA"",""REKAP ALL 2026 - Andika!G:G""),IMPORTRANGE(""1XaInW9DU9nz21V0tYIfzFQ0He9kVQ_JF2mCXgZ3hqFA"",""REKAP ALL 2026 - Andika!F:F""),"""",0)"),"23151591676")</f>
        <v>23151591676</v>
      </c>
      <c r="G1220" s="13" t="s">
        <v>5356</v>
      </c>
      <c r="H1220" s="13" t="s">
        <v>2035</v>
      </c>
      <c r="I1220" s="13" t="str">
        <f aca="false">IF(C1220=J1220,"NEW KONTRAK","RE-KONTRAK")</f>
        <v>RE-KONTRAK</v>
      </c>
      <c r="J1220" s="16" t="n">
        <f aca="false" t="array" ref="J1220:J1220">IFERROR(INDEX(AC1220:AE1220,IF(COUNTA(AC1220:AE1220)=0,"",MAX((AC1220:AE1220&lt;&gt;"")*(COLUMN(AC1220:AE1220)-(COLUMN(AC1220)))))-1),"")</f>
        <v>45744</v>
      </c>
      <c r="K1220" s="16" t="n">
        <f aca="false" t="array" ref="K1220:K1220">IFERROR(INDEX(AC1220:AE1220,IF(COUNTA(AC1220:AE1220)=0,"",MAX((AC1220:AE1220&lt;&gt;"")*(COLUMN(AC1220:AE1220)-(COLUMN(AC1220)-1))))-1),"")</f>
        <v>45915</v>
      </c>
      <c r="L1220" s="17" t="str">
        <f aca="false" t="array" ref="L1220:L1220">IFERROR(INDEX(AC1220:AE1220,IF(COUNTA(AC1220:AE1220)=0,"",MAX((AC1220:AE1220&lt;&gt;"")*(COLUMN(AC1220:AE1220)-(COLUMN(AC1220)-2))))-1),"")</f>
        <v>ARCHIVED</v>
      </c>
      <c r="M1220" s="13" t="n">
        <f aca="true">K1220-TODAY()</f>
        <v>-409</v>
      </c>
      <c r="N1220" s="18" t="s">
        <v>3520</v>
      </c>
      <c r="O1220" s="13" t="s">
        <v>2037</v>
      </c>
      <c r="P1220" s="19" t="n">
        <v>3900395</v>
      </c>
      <c r="Q1220" s="20" t="s">
        <v>5357</v>
      </c>
      <c r="R1220" s="13" t="s">
        <v>5358</v>
      </c>
      <c r="S1220" s="14" t="n">
        <v>36588</v>
      </c>
      <c r="T1220" s="13" t="s">
        <v>108</v>
      </c>
      <c r="U1220" s="13" t="s">
        <v>5359</v>
      </c>
      <c r="V1220" s="13" t="s">
        <v>42</v>
      </c>
      <c r="W1220" s="13" t="s">
        <v>43</v>
      </c>
      <c r="X1220" s="21" t="n">
        <v>81250633583</v>
      </c>
      <c r="Y1220" s="22" t="str">
        <f aca="false">O1220</f>
        <v>SPG/BA</v>
      </c>
      <c r="Z1220" s="13" t="str">
        <f aca="false">IFERROR(__xludf.dummyfunction("if(BJ1220="""","""",GOOGLETRANSLATE(BJ1220,""auto"",""en""))"),"SPG/BA")</f>
        <v>SPG/BA</v>
      </c>
      <c r="AA1220" s="23" t="str">
        <f aca="false">IF(C1220="","", CHOOSE(MONTH(C1220),"January","February","March","April","May","June","July","August","September","October","November","December")&amp;" "&amp;DAY(C1220)&amp;MID("thstndrdth",MIN(9,2*RIGHT(DAY(C1220))*(MOD(DAY(C1220)-11,100)&gt;2)+1),2)&amp;","&amp;TEXT(C1220," yyyy"))</f>
        <v>September 15th,2023</v>
      </c>
      <c r="AB1220" s="15" t="str">
        <f aca="true">IF(S1220="","",DATEDIF(S1220,TODAY(),"Y")&amp;" Tahun, "&amp;DATEDIF(S1220,TODAY(),"YM")&amp;" Bulan, "&amp;DATEDIF(S1220,TODAY(),"MD")&amp;" Hari")</f>
        <v>26 Tahun, 7 Bulan, 26 Hari</v>
      </c>
      <c r="AC1220" s="18" t="n">
        <v>45744</v>
      </c>
      <c r="AD1220" s="18" t="n">
        <v>45915</v>
      </c>
      <c r="AE1220" s="18" t="s">
        <v>44</v>
      </c>
    </row>
    <row r="1221" customFormat="false" ht="15.75" hidden="false" customHeight="true" outlineLevel="0" collapsed="false">
      <c r="A1221" s="12" t="n">
        <v>13163</v>
      </c>
      <c r="B1221" s="13" t="s">
        <v>5360</v>
      </c>
      <c r="C1221" s="14" t="n">
        <v>45202</v>
      </c>
      <c r="D1221" s="13" t="s">
        <v>3022</v>
      </c>
      <c r="E1221" s="15" t="s">
        <v>47</v>
      </c>
      <c r="F1221" s="15" t="str">
        <f aca="false">IFERROR(__xludf.dummyfunction("XLOOKUP(AJ1221,IMPORTRANGE(""1XaInW9DU9nz21V0tYIfzFQ0He9kVQ_JF2mCXgZ3hqFA"",""REKAP ALL 2026 - Andika!G:G""),IMPORTRANGE(""1XaInW9DU9nz21V0tYIfzFQ0He9kVQ_JF2mCXgZ3hqFA"",""REKAP ALL 2026 - Andika!F:F""),"""",0)"),"23172179147")</f>
        <v>23172179147</v>
      </c>
      <c r="G1221" s="13" t="s">
        <v>5361</v>
      </c>
      <c r="H1221" s="13" t="s">
        <v>3024</v>
      </c>
      <c r="I1221" s="13" t="str">
        <f aca="false">IF(C1221=J1221,"NEW KONTRAK","RE-KONTRAK")</f>
        <v>RE-KONTRAK</v>
      </c>
      <c r="J1221" s="16" t="n">
        <f aca="false" t="array" ref="J1221:J1221">IFERROR(INDEX(AC1221:AE1221,IF(COUNTA(AC1221:AE1221)=0,"",MAX((AC1221:AE1221&lt;&gt;"")*(COLUMN(AC1221:AE1221)-(COLUMN(AC1221)))))-1),"")</f>
        <v>45570</v>
      </c>
      <c r="K1221" s="16" t="n">
        <f aca="false" t="array" ref="K1221:K1221">IFERROR(INDEX(AC1221:AE1221,IF(COUNTA(AC1221:AE1221)=0,"",MAX((AC1221:AE1221&lt;&gt;"")*(COLUMN(AC1221:AE1221)-(COLUMN(AC1221)-1))))-1),"")</f>
        <v>45934</v>
      </c>
      <c r="L1221" s="17" t="str">
        <f aca="false" t="array" ref="L1221:L1221">IFERROR(INDEX(AC1221:AE1221,IF(COUNTA(AC1221:AE1221)=0,"",MAX((AC1221:AE1221&lt;&gt;"")*(COLUMN(AC1221:AE1221)-(COLUMN(AC1221)-2))))-1),"")</f>
        <v>ARCHIVED</v>
      </c>
      <c r="M1221" s="13" t="n">
        <f aca="true">K1221-TODAY()</f>
        <v>-390</v>
      </c>
      <c r="N1221" s="18" t="s">
        <v>36</v>
      </c>
      <c r="O1221" s="13" t="s">
        <v>3750</v>
      </c>
      <c r="P1221" s="19" t="n">
        <v>137500</v>
      </c>
      <c r="Q1221" s="20" t="s">
        <v>5362</v>
      </c>
      <c r="R1221" s="13" t="s">
        <v>39</v>
      </c>
      <c r="S1221" s="14" t="n">
        <v>37408</v>
      </c>
      <c r="T1221" s="13" t="s">
        <v>40</v>
      </c>
      <c r="U1221" s="13" t="s">
        <v>5363</v>
      </c>
      <c r="V1221" s="13" t="s">
        <v>42</v>
      </c>
      <c r="W1221" s="13" t="s">
        <v>43</v>
      </c>
      <c r="X1221" s="21" t="n">
        <v>82131074270</v>
      </c>
      <c r="Y1221" s="22" t="str">
        <f aca="false">O1221</f>
        <v>Produksi ( Painting )</v>
      </c>
      <c r="Z1221" s="13" t="str">
        <f aca="false">IFERROR(__xludf.dummyfunction("if(BJ1221="""","""",GOOGLETRANSLATE(BJ1221,""auto"",""en""))"),"Production (Painting)")</f>
        <v>Production (Painting)</v>
      </c>
      <c r="AA1221" s="23" t="str">
        <f aca="false">IF(C1221="","", CHOOSE(MONTH(C1221),"January","February","March","April","May","June","July","August","September","October","November","December")&amp;" "&amp;DAY(C1221)&amp;MID("thstndrdth",MIN(9,2*RIGHT(DAY(C1221))*(MOD(DAY(C1221)-11,100)&gt;2)+1),2)&amp;","&amp;TEXT(C1221," yyyy"))</f>
        <v>October 3rd,2023</v>
      </c>
      <c r="AB1221" s="15" t="str">
        <f aca="true">IF(S1221="","",DATEDIF(S1221,TODAY(),"Y")&amp;" Tahun, "&amp;DATEDIF(S1221,TODAY(),"YM")&amp;" Bulan, "&amp;DATEDIF(S1221,TODAY(),"MD")&amp;" Hari")</f>
        <v>24 Tahun, 4 Bulan, 28 Hari</v>
      </c>
      <c r="AC1221" s="18" t="n">
        <v>45570</v>
      </c>
      <c r="AD1221" s="18" t="n">
        <v>45934</v>
      </c>
      <c r="AE1221" s="18" t="s">
        <v>44</v>
      </c>
    </row>
    <row r="1222" customFormat="false" ht="15.75" hidden="false" customHeight="true" outlineLevel="0" collapsed="false">
      <c r="A1222" s="12" t="n">
        <v>13197</v>
      </c>
      <c r="B1222" s="13" t="s">
        <v>5364</v>
      </c>
      <c r="C1222" s="14" t="n">
        <v>45154</v>
      </c>
      <c r="D1222" s="13" t="s">
        <v>3507</v>
      </c>
      <c r="E1222" s="15" t="s">
        <v>33</v>
      </c>
      <c r="F1222" s="24" t="s">
        <v>5365</v>
      </c>
      <c r="G1222" s="13" t="s">
        <v>5366</v>
      </c>
      <c r="H1222" s="13" t="s">
        <v>35</v>
      </c>
      <c r="I1222" s="13" t="str">
        <f aca="false">IF(C1222=J1222,"NEW KONTRAK","RE-KONTRAK")</f>
        <v>RE-KONTRAK</v>
      </c>
      <c r="J1222" s="16" t="n">
        <f aca="false" t="array" ref="J1222:J1222">IFERROR(INDEX(AC1222:AE1222,IF(COUNTA(AC1222:AE1222)=0,"",MAX((AC1222:AE1222&lt;&gt;"")*(COLUMN(AC1222:AE1222)-(COLUMN(AC1222)))))-1),"")</f>
        <v>45658</v>
      </c>
      <c r="K1222" s="16" t="n">
        <f aca="false" t="array" ref="K1222:K1222">IFERROR(INDEX(AC1222:AE1222,IF(COUNTA(AC1222:AE1222)=0,"",MAX((AC1222:AE1222&lt;&gt;"")*(COLUMN(AC1222:AE1222)-(COLUMN(AC1222)-1))))-1),"")</f>
        <v>46022</v>
      </c>
      <c r="L1222" s="17" t="str">
        <f aca="false" t="array" ref="L1222:L1222">IFERROR(INDEX(AC1222:AE1222,IF(COUNTA(AC1222:AE1222)=0,"",MAX((AC1222:AE1222&lt;&gt;"")*(COLUMN(AC1222:AE1222)-(COLUMN(AC1222)-2))))-1),"")</f>
        <v>ARCHIVED</v>
      </c>
      <c r="M1222" s="13" t="n">
        <f aca="true">K1222-TODAY()</f>
        <v>-302</v>
      </c>
      <c r="N1222" s="18" t="s">
        <v>105</v>
      </c>
      <c r="O1222" s="13" t="s">
        <v>58</v>
      </c>
      <c r="P1222" s="19" t="n">
        <v>123186.88</v>
      </c>
      <c r="Q1222" s="20" t="s">
        <v>5367</v>
      </c>
      <c r="R1222" s="13" t="s">
        <v>78</v>
      </c>
      <c r="S1222" s="14" t="n">
        <v>37162</v>
      </c>
      <c r="T1222" s="13" t="s">
        <v>108</v>
      </c>
      <c r="U1222" s="13" t="s">
        <v>5368</v>
      </c>
      <c r="V1222" s="13" t="s">
        <v>42</v>
      </c>
      <c r="W1222" s="13" t="s">
        <v>54</v>
      </c>
      <c r="X1222" s="21" t="n">
        <v>85749809565</v>
      </c>
      <c r="Y1222" s="22" t="str">
        <f aca="false">O1222</f>
        <v>Produksi</v>
      </c>
      <c r="Z1222" s="13" t="str">
        <f aca="false">IFERROR(__xludf.dummyfunction("if(BJ1222="""","""",GOOGLETRANSLATE(BJ1222,""auto"",""en""))"),"Production")</f>
        <v>Production</v>
      </c>
      <c r="AA1222" s="23" t="str">
        <f aca="false">IF(C1222="","", CHOOSE(MONTH(C1222),"January","February","March","April","May","June","July","August","September","October","November","December")&amp;" "&amp;DAY(C1222)&amp;MID("thstndrdth",MIN(9,2*RIGHT(DAY(C1222))*(MOD(DAY(C1222)-11,100)&gt;2)+1),2)&amp;","&amp;TEXT(C1222," yyyy"))</f>
        <v>August 16th,2023</v>
      </c>
      <c r="AB1222" s="15" t="str">
        <f aca="true">IF(S1222="","",DATEDIF(S1222,TODAY(),"Y")&amp;" Tahun, "&amp;DATEDIF(S1222,TODAY(),"YM")&amp;" Bulan, "&amp;DATEDIF(S1222,TODAY(),"MD")&amp;" Hari")</f>
        <v>25 Tahun, 1 Bulan, 1 Hari</v>
      </c>
      <c r="AC1222" s="18" t="n">
        <v>45658</v>
      </c>
      <c r="AD1222" s="18" t="n">
        <v>46022</v>
      </c>
      <c r="AE1222" s="18" t="s">
        <v>44</v>
      </c>
    </row>
    <row r="1223" customFormat="false" ht="15.75" hidden="false" customHeight="true" outlineLevel="0" collapsed="false">
      <c r="A1223" s="12" t="n">
        <v>13204</v>
      </c>
      <c r="B1223" s="13" t="s">
        <v>5369</v>
      </c>
      <c r="C1223" s="14" t="n">
        <v>45201</v>
      </c>
      <c r="D1223" s="13" t="s">
        <v>2046</v>
      </c>
      <c r="E1223" s="15" t="s">
        <v>789</v>
      </c>
      <c r="F1223" s="24" t="s">
        <v>5370</v>
      </c>
      <c r="G1223" s="13" t="s">
        <v>5371</v>
      </c>
      <c r="H1223" s="13" t="s">
        <v>35</v>
      </c>
      <c r="I1223" s="13" t="str">
        <f aca="false">IF(C1223=J1223,"NEW KONTRAK","RE-KONTRAK")</f>
        <v>RE-KONTRAK</v>
      </c>
      <c r="J1223" s="16" t="n">
        <f aca="false" t="array" ref="J1223:J1223">IFERROR(INDEX(AC1223:AE1223,IF(COUNTA(AC1223:AE1223)=0,"",MAX((AC1223:AE1223&lt;&gt;"")*(COLUMN(AC1223:AE1223)-(COLUMN(AC1223)))))-1),"")</f>
        <v>45839</v>
      </c>
      <c r="K1223" s="16" t="n">
        <f aca="false" t="array" ref="K1223:K1223">IFERROR(INDEX(AC1223:AE1223,IF(COUNTA(AC1223:AE1223)=0,"",MAX((AC1223:AE1223&lt;&gt;"")*(COLUMN(AC1223:AE1223)-(COLUMN(AC1223)-1))))-1),"")</f>
        <v>45961</v>
      </c>
      <c r="L1223" s="17" t="str">
        <f aca="false" t="array" ref="L1223:L1223">IFERROR(INDEX(AC1223:AE1223,IF(COUNTA(AC1223:AE1223)=0,"",MAX((AC1223:AE1223&lt;&gt;"")*(COLUMN(AC1223:AE1223)-(COLUMN(AC1223)-2))))-1),"")</f>
        <v>ARCHIVED</v>
      </c>
      <c r="M1223" s="13" t="n">
        <f aca="true">K1223-TODAY()</f>
        <v>-363</v>
      </c>
      <c r="N1223" s="18" t="s">
        <v>36</v>
      </c>
      <c r="O1223" s="13" t="s">
        <v>2049</v>
      </c>
      <c r="P1223" s="19" t="s">
        <v>2050</v>
      </c>
      <c r="Q1223" s="20" t="s">
        <v>5372</v>
      </c>
      <c r="R1223" s="13" t="s">
        <v>78</v>
      </c>
      <c r="S1223" s="14" t="n">
        <v>36764</v>
      </c>
      <c r="T1223" s="13" t="s">
        <v>40</v>
      </c>
      <c r="U1223" s="13" t="s">
        <v>5373</v>
      </c>
      <c r="V1223" s="13" t="s">
        <v>42</v>
      </c>
      <c r="W1223" s="13" t="s">
        <v>43</v>
      </c>
      <c r="X1223" s="21" t="n">
        <v>85716530078</v>
      </c>
      <c r="Y1223" s="22" t="str">
        <f aca="false">O1223</f>
        <v>Produksi Extrude</v>
      </c>
      <c r="Z1223" s="13" t="str">
        <f aca="false">IFERROR(__xludf.dummyfunction("if(BJ1223="""","""",GOOGLETRANSLATE(BJ1223,""auto"",""en""))"),"Extrude Production")</f>
        <v>Extrude Production</v>
      </c>
      <c r="AA1223" s="23" t="str">
        <f aca="false">IF(C1223="","", CHOOSE(MONTH(C1223),"January","February","March","April","May","June","July","August","September","October","November","December")&amp;" "&amp;DAY(C1223)&amp;MID("thstndrdth",MIN(9,2*RIGHT(DAY(C1223))*(MOD(DAY(C1223)-11,100)&gt;2)+1),2)&amp;","&amp;TEXT(C1223," yyyy"))</f>
        <v>October 2nd,2023</v>
      </c>
      <c r="AB1223" s="15" t="str">
        <f aca="true">IF(S1223="","",DATEDIF(S1223,TODAY(),"Y")&amp;" Tahun, "&amp;DATEDIF(S1223,TODAY(),"YM")&amp;" Bulan, "&amp;DATEDIF(S1223,TODAY(),"MD")&amp;" Hari")</f>
        <v>26 Tahun, 2 Bulan, 3 Hari</v>
      </c>
      <c r="AC1223" s="18" t="n">
        <v>45839</v>
      </c>
      <c r="AD1223" s="18" t="n">
        <v>45961</v>
      </c>
      <c r="AE1223" s="18" t="s">
        <v>44</v>
      </c>
    </row>
    <row r="1224" customFormat="false" ht="15.75" hidden="false" customHeight="true" outlineLevel="0" collapsed="false">
      <c r="A1224" s="12" t="n">
        <v>22286</v>
      </c>
      <c r="B1224" s="13" t="s">
        <v>5374</v>
      </c>
      <c r="C1224" s="16" t="n">
        <v>46150</v>
      </c>
      <c r="D1224" s="13" t="s">
        <v>2033</v>
      </c>
      <c r="E1224" s="15" t="s">
        <v>47</v>
      </c>
      <c r="F1224" s="24" t="s">
        <v>5375</v>
      </c>
      <c r="G1224" s="24" t="s">
        <v>57</v>
      </c>
      <c r="H1224" s="13" t="s">
        <v>35</v>
      </c>
      <c r="I1224" s="13" t="str">
        <f aca="false">IF(C1224=J1224,"NEW KONTRAK","RE-KONTRAK")</f>
        <v>NEW KONTRAK</v>
      </c>
      <c r="J1224" s="16" t="n">
        <f aca="false" t="array" ref="J1224:J1224">IFERROR(INDEX(AC1224:AE1224,IF(COUNTA(AC1224:AE1224)=0,"",MAX((AC1224:AE1224&lt;&gt;"")*(COLUMN(AC1224:AE1224)-(COLUMN(AC1224)))))-1),"")</f>
        <v>46150</v>
      </c>
      <c r="K1224" s="16" t="n">
        <f aca="false" t="array" ref="K1224:K1224">IFERROR(INDEX(AC1224:AE1224,IF(COUNTA(AC1224:AE1224)=0,"",MAX((AC1224:AE1224&lt;&gt;"")*(COLUMN(AC1224:AE1224)-(COLUMN(AC1224)-1))))-1),"")</f>
        <v>46188</v>
      </c>
      <c r="L1224" s="17" t="str">
        <f aca="false" t="array" ref="L1224:L1224">IFERROR(INDEX(AC1224:AE1224,IF(COUNTA(AC1224:AE1224)=0,"",MAX((AC1224:AE1224&lt;&gt;"")*(COLUMN(AC1224:AE1224)-(COLUMN(AC1224)-2))))-1),"")</f>
        <v>KEMBALI</v>
      </c>
      <c r="M1224" s="13" t="n">
        <f aca="true">K1224-TODAY()</f>
        <v>-136</v>
      </c>
      <c r="N1224" s="18" t="s">
        <v>3902</v>
      </c>
      <c r="O1224" s="13" t="s">
        <v>2037</v>
      </c>
      <c r="P1224" s="19" t="n">
        <v>3491889</v>
      </c>
      <c r="Q1224" s="20" t="s">
        <v>5376</v>
      </c>
      <c r="R1224" s="13" t="s">
        <v>3904</v>
      </c>
      <c r="S1224" s="14" t="n">
        <v>37247</v>
      </c>
      <c r="T1224" s="13" t="s">
        <v>108</v>
      </c>
      <c r="U1224" s="13" t="s">
        <v>5377</v>
      </c>
      <c r="V1224" s="13" t="s">
        <v>42</v>
      </c>
      <c r="W1224" s="13" t="s">
        <v>43</v>
      </c>
      <c r="X1224" s="21" t="n">
        <v>887437698333</v>
      </c>
      <c r="Y1224" s="22" t="str">
        <f aca="false">O1224</f>
        <v>SPG/BA</v>
      </c>
      <c r="Z1224" s="13" t="str">
        <f aca="false">IFERROR(__xludf.dummyfunction("if(BJ1224="""","""",GOOGLETRANSLATE(BJ1224,""auto"",""en""))"),"SPG/BA")</f>
        <v>SPG/BA</v>
      </c>
      <c r="AA1224" s="23" t="str">
        <f aca="false">IF(C1224="","", CHOOSE(MONTH(C1224),"January","February","March","April","May","June","July","August","September","October","November","December")&amp;" "&amp;DAY(C1224)&amp;MID("thstndrdth",MIN(9,2*RIGHT(DAY(C1224))*(MOD(DAY(C1224)-11,100)&gt;2)+1),2)&amp;","&amp;TEXT(C1224," yyyy"))</f>
        <v>May 8th,2026</v>
      </c>
      <c r="AB1224" s="15" t="str">
        <f aca="true">IF(S1224="","",DATEDIF(S1224,TODAY(),"Y")&amp;" Tahun, "&amp;DATEDIF(S1224,TODAY(),"YM")&amp;" Bulan, "&amp;DATEDIF(S1224,TODAY(),"MD")&amp;" Hari")</f>
        <v>24 Tahun, 10 Bulan, 7 Hari</v>
      </c>
      <c r="AC1224" s="14" t="n">
        <v>46150</v>
      </c>
      <c r="AD1224" s="64" t="n">
        <v>46188</v>
      </c>
      <c r="AE1224" s="13" t="s">
        <v>397</v>
      </c>
    </row>
    <row r="1225" customFormat="false" ht="15.75" hidden="false" customHeight="true" outlineLevel="0" collapsed="false">
      <c r="A1225" s="12" t="n">
        <v>13241</v>
      </c>
      <c r="B1225" s="13" t="s">
        <v>2381</v>
      </c>
      <c r="C1225" s="14" t="n">
        <v>45201</v>
      </c>
      <c r="D1225" s="13" t="s">
        <v>2033</v>
      </c>
      <c r="E1225" s="15" t="s">
        <v>33</v>
      </c>
      <c r="F1225" s="24" t="s">
        <v>5378</v>
      </c>
      <c r="G1225" s="13" t="s">
        <v>5379</v>
      </c>
      <c r="H1225" s="13" t="s">
        <v>2035</v>
      </c>
      <c r="I1225" s="13" t="str">
        <f aca="false">IF(C1225=J1225,"NEW KONTRAK","RE-KONTRAK")</f>
        <v>RE-KONTRAK</v>
      </c>
      <c r="J1225" s="16" t="n">
        <f aca="false" t="array" ref="J1225:J1225">IFERROR(INDEX(AC1225:AE1225,IF(COUNTA(AC1225:AE1225)=0,"",MAX((AC1225:AE1225&lt;&gt;"")*(COLUMN(AC1225:AE1225)-(COLUMN(AC1225)))))-1),"")</f>
        <v>45744</v>
      </c>
      <c r="K1225" s="16" t="n">
        <f aca="false" t="array" ref="K1225:K1225">IFERROR(INDEX(AC1225:AE1225,IF(COUNTA(AC1225:AE1225)=0,"",MAX((AC1225:AE1225&lt;&gt;"")*(COLUMN(AC1225:AE1225)-(COLUMN(AC1225)-1))))-1),"")</f>
        <v>45915</v>
      </c>
      <c r="L1225" s="17" t="str">
        <f aca="false" t="array" ref="L1225:L1225">IFERROR(INDEX(AC1225:AE1225,IF(COUNTA(AC1225:AE1225)=0,"",MAX((AC1225:AE1225&lt;&gt;"")*(COLUMN(AC1225:AE1225)-(COLUMN(AC1225)-2))))-1),"")</f>
        <v>ARCHIVED</v>
      </c>
      <c r="M1225" s="13" t="n">
        <f aca="true">K1225-TODAY()</f>
        <v>-409</v>
      </c>
      <c r="N1225" s="18" t="s">
        <v>2383</v>
      </c>
      <c r="O1225" s="13" t="s">
        <v>2037</v>
      </c>
      <c r="P1225" s="19" t="n">
        <v>3675937</v>
      </c>
      <c r="Q1225" s="20" t="s">
        <v>2385</v>
      </c>
      <c r="R1225" s="13" t="s">
        <v>2383</v>
      </c>
      <c r="S1225" s="14" t="n">
        <v>37500</v>
      </c>
      <c r="T1225" s="13" t="s">
        <v>108</v>
      </c>
      <c r="U1225" s="13" t="s">
        <v>5380</v>
      </c>
      <c r="V1225" s="13" t="s">
        <v>42</v>
      </c>
      <c r="W1225" s="13" t="s">
        <v>43</v>
      </c>
      <c r="X1225" s="21" t="n">
        <v>87819288121</v>
      </c>
      <c r="Y1225" s="22" t="str">
        <f aca="false">O1225</f>
        <v>SPG/BA</v>
      </c>
      <c r="Z1225" s="13" t="str">
        <f aca="false">IFERROR(__xludf.dummyfunction("if(BJ1225="""","""",GOOGLETRANSLATE(BJ1225,""auto"",""en""))"),"SPG/BA")</f>
        <v>SPG/BA</v>
      </c>
      <c r="AA1225" s="23" t="str">
        <f aca="false">IF(C1225="","", CHOOSE(MONTH(C1225),"January","February","March","April","May","June","July","August","September","October","November","December")&amp;" "&amp;DAY(C1225)&amp;MID("thstndrdth",MIN(9,2*RIGHT(DAY(C1225))*(MOD(DAY(C1225)-11,100)&gt;2)+1),2)&amp;","&amp;TEXT(C1225," yyyy"))</f>
        <v>October 2nd,2023</v>
      </c>
      <c r="AB1225" s="15" t="str">
        <f aca="true">IF(S1225="","",DATEDIF(S1225,TODAY(),"Y")&amp;" Tahun, "&amp;DATEDIF(S1225,TODAY(),"YM")&amp;" Bulan, "&amp;DATEDIF(S1225,TODAY(),"MD")&amp;" Hari")</f>
        <v>24 Tahun, 1 Bulan, 28 Hari</v>
      </c>
      <c r="AC1225" s="18" t="n">
        <v>45744</v>
      </c>
      <c r="AD1225" s="18" t="n">
        <v>45915</v>
      </c>
      <c r="AE1225" s="18" t="s">
        <v>44</v>
      </c>
    </row>
    <row r="1226" customFormat="false" ht="15.75" hidden="false" customHeight="true" outlineLevel="0" collapsed="false">
      <c r="A1226" s="12" t="n">
        <v>13247</v>
      </c>
      <c r="B1226" s="13" t="s">
        <v>5381</v>
      </c>
      <c r="C1226" s="14" t="n">
        <v>45208</v>
      </c>
      <c r="D1226" s="13" t="s">
        <v>4252</v>
      </c>
      <c r="E1226" s="15" t="s">
        <v>33</v>
      </c>
      <c r="F1226" s="24" t="s">
        <v>5382</v>
      </c>
      <c r="G1226" s="13" t="s">
        <v>57</v>
      </c>
      <c r="H1226" s="13" t="s">
        <v>35</v>
      </c>
      <c r="I1226" s="13" t="str">
        <f aca="false">IF(C1226=J1226,"NEW KONTRAK","RE-KONTRAK")</f>
        <v>RE-KONTRAK</v>
      </c>
      <c r="J1226" s="16" t="n">
        <f aca="false" t="array" ref="J1226:J1226">IFERROR(INDEX(AC1226:AE1226,IF(COUNTA(AC1226:AE1226)=0,"",MAX((AC1226:AE1226&lt;&gt;"")*(COLUMN(AC1226:AE1226)-(COLUMN(AC1226)))))-1),"")</f>
        <v>45764</v>
      </c>
      <c r="K1226" s="16" t="n">
        <f aca="false" t="array" ref="K1226:K1226">IFERROR(INDEX(AC1226:AE1226,IF(COUNTA(AC1226:AE1226)=0,"",MAX((AC1226:AE1226&lt;&gt;"")*(COLUMN(AC1226:AE1226)-(COLUMN(AC1226)-1))))-1),"")</f>
        <v>45946</v>
      </c>
      <c r="L1226" s="17" t="str">
        <f aca="false" t="array" ref="L1226:L1226">IFERROR(INDEX(AC1226:AE1226,IF(COUNTA(AC1226:AE1226)=0,"",MAX((AC1226:AE1226&lt;&gt;"")*(COLUMN(AC1226:AE1226)-(COLUMN(AC1226)-2))))-1),"")</f>
        <v>ARCHIVED</v>
      </c>
      <c r="M1226" s="13" t="n">
        <f aca="true">K1226-TODAY()</f>
        <v>-378</v>
      </c>
      <c r="N1226" s="18" t="s">
        <v>36</v>
      </c>
      <c r="O1226" s="13" t="s">
        <v>4280</v>
      </c>
      <c r="P1226" s="27" t="n">
        <v>120000</v>
      </c>
      <c r="Q1226" s="20" t="s">
        <v>5383</v>
      </c>
      <c r="R1226" s="13" t="s">
        <v>401</v>
      </c>
      <c r="S1226" s="14" t="n">
        <v>36702</v>
      </c>
      <c r="T1226" s="13" t="s">
        <v>108</v>
      </c>
      <c r="U1226" s="13" t="s">
        <v>5384</v>
      </c>
      <c r="V1226" s="13" t="s">
        <v>42</v>
      </c>
      <c r="W1226" s="13" t="s">
        <v>43</v>
      </c>
      <c r="X1226" s="21" t="n">
        <v>83832966565</v>
      </c>
      <c r="Y1226" s="22" t="str">
        <f aca="false">O1226</f>
        <v>Helper Cutting</v>
      </c>
      <c r="Z1226" s="13" t="str">
        <f aca="false">IFERROR(__xludf.dummyfunction("if(BJ1226="""","""",GOOGLETRANSLATE(BJ1226,""auto"",""en""))"),"Helper Cutting")</f>
        <v>Helper Cutting</v>
      </c>
      <c r="AA1226" s="23" t="str">
        <f aca="false">IF(C1226="","", CHOOSE(MONTH(C1226),"January","February","March","April","May","June","July","August","September","October","November","December")&amp;" "&amp;DAY(C1226)&amp;MID("thstndrdth",MIN(9,2*RIGHT(DAY(C1226))*(MOD(DAY(C1226)-11,100)&gt;2)+1),2)&amp;","&amp;TEXT(C1226," yyyy"))</f>
        <v>October 9th,2023</v>
      </c>
      <c r="AB1226" s="15" t="str">
        <f aca="true">IF(S1226="","",DATEDIF(S1226,TODAY(),"Y")&amp;" Tahun, "&amp;DATEDIF(S1226,TODAY(),"YM")&amp;" Bulan, "&amp;DATEDIF(S1226,TODAY(),"MD")&amp;" Hari")</f>
        <v>26 Tahun, 4 Bulan, 4 Hari</v>
      </c>
      <c r="AC1226" s="18" t="n">
        <v>45764</v>
      </c>
      <c r="AD1226" s="18" t="n">
        <v>45946</v>
      </c>
      <c r="AE1226" s="18" t="s">
        <v>44</v>
      </c>
    </row>
    <row r="1227" customFormat="false" ht="15.75" hidden="false" customHeight="true" outlineLevel="0" collapsed="false">
      <c r="A1227" s="12" t="n">
        <v>13293</v>
      </c>
      <c r="B1227" s="13" t="s">
        <v>5385</v>
      </c>
      <c r="C1227" s="14" t="n">
        <v>45217</v>
      </c>
      <c r="D1227" s="13" t="s">
        <v>613</v>
      </c>
      <c r="E1227" s="15" t="s">
        <v>704</v>
      </c>
      <c r="F1227" s="24" t="s">
        <v>5386</v>
      </c>
      <c r="G1227" s="13" t="s">
        <v>5387</v>
      </c>
      <c r="H1227" s="13" t="s">
        <v>35</v>
      </c>
      <c r="I1227" s="13" t="str">
        <f aca="false">IF(C1227=J1227,"NEW KONTRAK","RE-KONTRAK")</f>
        <v>RE-KONTRAK</v>
      </c>
      <c r="J1227" s="16" t="n">
        <f aca="false" t="array" ref="J1227:J1227">IFERROR(INDEX(AC1227:AE1227,IF(COUNTA(AC1227:AE1227)=0,"",MAX((AC1227:AE1227&lt;&gt;"")*(COLUMN(AC1227:AE1227)-(COLUMN(AC1227)))))-1),"")</f>
        <v>45704</v>
      </c>
      <c r="K1227" s="16" t="n">
        <f aca="false" t="array" ref="K1227:K1227">IFERROR(INDEX(AC1227:AE1227,IF(COUNTA(AC1227:AE1227)=0,"",MAX((AC1227:AE1227&lt;&gt;"")*(COLUMN(AC1227:AE1227)-(COLUMN(AC1227)-1))))-1),"")</f>
        <v>45884</v>
      </c>
      <c r="L1227" s="17" t="str">
        <f aca="false" t="array" ref="L1227:L1227">IFERROR(INDEX(AC1227:AE1227,IF(COUNTA(AC1227:AE1227)=0,"",MAX((AC1227:AE1227&lt;&gt;"")*(COLUMN(AC1227:AE1227)-(COLUMN(AC1227)-2))))-1),"")</f>
        <v>ARCHIVED</v>
      </c>
      <c r="M1227" s="13" t="n">
        <f aca="true">K1227-TODAY()</f>
        <v>-440</v>
      </c>
      <c r="N1227" s="18" t="s">
        <v>615</v>
      </c>
      <c r="O1227" s="13" t="s">
        <v>58</v>
      </c>
      <c r="P1227" s="19" t="n">
        <v>4856026</v>
      </c>
      <c r="Q1227" s="20" t="s">
        <v>5388</v>
      </c>
      <c r="R1227" s="13" t="s">
        <v>232</v>
      </c>
      <c r="S1227" s="14" t="n">
        <v>37707</v>
      </c>
      <c r="T1227" s="13" t="s">
        <v>40</v>
      </c>
      <c r="U1227" s="13" t="s">
        <v>5389</v>
      </c>
      <c r="V1227" s="13" t="s">
        <v>42</v>
      </c>
      <c r="W1227" s="13" t="s">
        <v>43</v>
      </c>
      <c r="X1227" s="21" t="n">
        <v>87856322491</v>
      </c>
      <c r="Y1227" s="22" t="str">
        <f aca="false">O1227</f>
        <v>Produksi</v>
      </c>
      <c r="Z1227" s="13" t="str">
        <f aca="false">IFERROR(__xludf.dummyfunction("if(BJ1227="""","""",GOOGLETRANSLATE(BJ1227,""auto"",""en""))"),"Production")</f>
        <v>Production</v>
      </c>
      <c r="AA1227" s="23" t="str">
        <f aca="false">IF(C1227="","", CHOOSE(MONTH(C1227),"January","February","March","April","May","June","July","August","September","October","November","December")&amp;" "&amp;DAY(C1227)&amp;MID("thstndrdth",MIN(9,2*RIGHT(DAY(C1227))*(MOD(DAY(C1227)-11,100)&gt;2)+1),2)&amp;","&amp;TEXT(C1227," yyyy"))</f>
        <v>October 18th,2023</v>
      </c>
      <c r="AB1227" s="15" t="str">
        <f aca="true">IF(S1227="","",DATEDIF(S1227,TODAY(),"Y")&amp;" Tahun, "&amp;DATEDIF(S1227,TODAY(),"YM")&amp;" Bulan, "&amp;DATEDIF(S1227,TODAY(),"MD")&amp;" Hari")</f>
        <v>23 Tahun, 7 Bulan, 2 Hari</v>
      </c>
      <c r="AC1227" s="18" t="n">
        <v>45704</v>
      </c>
      <c r="AD1227" s="18" t="n">
        <v>45884</v>
      </c>
      <c r="AE1227" s="18" t="s">
        <v>44</v>
      </c>
    </row>
    <row r="1228" customFormat="false" ht="15.75" hidden="false" customHeight="true" outlineLevel="0" collapsed="false">
      <c r="A1228" s="12" t="n">
        <v>13294</v>
      </c>
      <c r="B1228" s="13" t="s">
        <v>5390</v>
      </c>
      <c r="C1228" s="14" t="n">
        <v>45965</v>
      </c>
      <c r="D1228" s="13" t="s">
        <v>613</v>
      </c>
      <c r="E1228" s="15" t="s">
        <v>47</v>
      </c>
      <c r="F1228" s="15" t="str">
        <f aca="false">IFERROR(__xludf.dummyfunction("XLOOKUP(AJ1228,IMPORTRANGE(""1XaInW9DU9nz21V0tYIfzFQ0He9kVQ_JF2mCXgZ3hqFA"",""REKAP ALL 2026 - Andika!G:G""),IMPORTRANGE(""1XaInW9DU9nz21V0tYIfzFQ0He9kVQ_JF2mCXgZ3hqFA"",""REKAP ALL 2026 - Andika!F:F""),"""",0)"),"25180535780")</f>
        <v>25180535780</v>
      </c>
      <c r="G1228" s="13" t="s">
        <v>5391</v>
      </c>
      <c r="H1228" s="13" t="s">
        <v>35</v>
      </c>
      <c r="I1228" s="13" t="str">
        <f aca="false">IF(C1228=J1228,"NEW KONTRAK","RE-KONTRAK")</f>
        <v>NEW KONTRAK</v>
      </c>
      <c r="J1228" s="16" t="n">
        <f aca="false" t="array" ref="J1228:J1228">IFERROR(INDEX(AC1228:AE1228,IF(COUNTA(AC1228:AE1228)=0,"",MAX((AC1228:AE1228&lt;&gt;"")*(COLUMN(AC1228:AE1228)-(COLUMN(AC1228)))))-1),"")</f>
        <v>45965</v>
      </c>
      <c r="K1228" s="16" t="n">
        <f aca="false" t="array" ref="K1228:K1228">IFERROR(INDEX(AC1228:AE1228,IF(COUNTA(AC1228:AE1228)=0,"",MAX((AC1228:AE1228&lt;&gt;"")*(COLUMN(AC1228:AE1228)-(COLUMN(AC1228)-1))))-1),"")</f>
        <v>46037</v>
      </c>
      <c r="L1228" s="17" t="str">
        <f aca="false" t="array" ref="L1228:L1228">IFERROR(INDEX(AC1228:AE1228,IF(COUNTA(AC1228:AE1228)=0,"",MAX((AC1228:AE1228&lt;&gt;"")*(COLUMN(AC1228:AE1228)-(COLUMN(AC1228)-2))))-1),"")</f>
        <v>ARCHIVED</v>
      </c>
      <c r="M1228" s="13" t="n">
        <f aca="true">K1228-TODAY()</f>
        <v>-287</v>
      </c>
      <c r="N1228" s="18" t="s">
        <v>615</v>
      </c>
      <c r="O1228" s="13" t="s">
        <v>58</v>
      </c>
      <c r="P1228" s="19" t="n">
        <v>5176101</v>
      </c>
      <c r="Q1228" s="20" t="s">
        <v>5392</v>
      </c>
      <c r="R1228" s="13" t="s">
        <v>39</v>
      </c>
      <c r="S1228" s="14" t="n">
        <v>35332</v>
      </c>
      <c r="T1228" s="13" t="s">
        <v>40</v>
      </c>
      <c r="U1228" s="13" t="s">
        <v>5393</v>
      </c>
      <c r="V1228" s="13" t="s">
        <v>42</v>
      </c>
      <c r="W1228" s="13" t="s">
        <v>43</v>
      </c>
      <c r="X1228" s="21" t="n">
        <v>85607777297</v>
      </c>
      <c r="Y1228" s="22" t="str">
        <f aca="false">O1228</f>
        <v>Produksi</v>
      </c>
      <c r="Z1228" s="13" t="str">
        <f aca="false">IFERROR(__xludf.dummyfunction("if(BJ1228="""","""",GOOGLETRANSLATE(BJ1228,""auto"",""en""))"),"Production")</f>
        <v>Production</v>
      </c>
      <c r="AA1228" s="23" t="str">
        <f aca="false">IF(C1228="","", CHOOSE(MONTH(C1228),"January","February","March","April","May","June","July","August","September","October","November","December")&amp;" "&amp;DAY(C1228)&amp;MID("thstndrdth",MIN(9,2*RIGHT(DAY(C1228))*(MOD(DAY(C1228)-11,100)&gt;2)+1),2)&amp;","&amp;TEXT(C1228," yyyy"))</f>
        <v>November 4th,2025</v>
      </c>
      <c r="AB1228" s="15" t="str">
        <f aca="true">IF(S1228="","",DATEDIF(S1228,TODAY(),"Y")&amp;" Tahun, "&amp;DATEDIF(S1228,TODAY(),"YM")&amp;" Bulan, "&amp;DATEDIF(S1228,TODAY(),"MD")&amp;" Hari")</f>
        <v>30 Tahun, 1 Bulan, 5 Hari</v>
      </c>
      <c r="AC1228" s="53" t="n">
        <v>45965</v>
      </c>
      <c r="AD1228" s="18" t="n">
        <v>46037</v>
      </c>
      <c r="AE1228" s="13" t="s">
        <v>44</v>
      </c>
    </row>
    <row r="1229" customFormat="false" ht="15.75" hidden="false" customHeight="true" outlineLevel="0" collapsed="false">
      <c r="A1229" s="12" t="n">
        <v>13300</v>
      </c>
      <c r="B1229" s="13" t="s">
        <v>5394</v>
      </c>
      <c r="C1229" s="14" t="n">
        <v>45206</v>
      </c>
      <c r="D1229" s="13" t="s">
        <v>2046</v>
      </c>
      <c r="E1229" s="15" t="s">
        <v>789</v>
      </c>
      <c r="F1229" s="24" t="s">
        <v>5395</v>
      </c>
      <c r="G1229" s="13" t="s">
        <v>5396</v>
      </c>
      <c r="H1229" s="13" t="s">
        <v>35</v>
      </c>
      <c r="I1229" s="13" t="str">
        <f aca="false">IF(C1229=J1229,"NEW KONTRAK","RE-KONTRAK")</f>
        <v>RE-KONTRAK</v>
      </c>
      <c r="J1229" s="16" t="n">
        <f aca="false" t="array" ref="J1229:J1229">IFERROR(INDEX(AC1229:AE1229,IF(COUNTA(AC1229:AE1229)=0,"",MAX((AC1229:AE1229&lt;&gt;"")*(COLUMN(AC1229:AE1229)-(COLUMN(AC1229)))))-1),"")</f>
        <v>45839</v>
      </c>
      <c r="K1229" s="16" t="n">
        <f aca="false" t="array" ref="K1229:K1229">IFERROR(INDEX(AC1229:AE1229,IF(COUNTA(AC1229:AE1229)=0,"",MAX((AC1229:AE1229&lt;&gt;"")*(COLUMN(AC1229:AE1229)-(COLUMN(AC1229)-1))))-1),"")</f>
        <v>45961</v>
      </c>
      <c r="L1229" s="17" t="str">
        <f aca="false" t="array" ref="L1229:L1229">IFERROR(INDEX(AC1229:AE1229,IF(COUNTA(AC1229:AE1229)=0,"",MAX((AC1229:AE1229&lt;&gt;"")*(COLUMN(AC1229:AE1229)-(COLUMN(AC1229)-2))))-1),"")</f>
        <v>ARCHIVED</v>
      </c>
      <c r="M1229" s="13" t="n">
        <f aca="true">K1229-TODAY()</f>
        <v>-363</v>
      </c>
      <c r="N1229" s="18" t="s">
        <v>36</v>
      </c>
      <c r="O1229" s="13" t="s">
        <v>58</v>
      </c>
      <c r="P1229" s="19" t="s">
        <v>2050</v>
      </c>
      <c r="Q1229" s="20" t="s">
        <v>5397</v>
      </c>
      <c r="R1229" s="13" t="s">
        <v>65</v>
      </c>
      <c r="S1229" s="14" t="n">
        <v>38351</v>
      </c>
      <c r="T1229" s="13" t="s">
        <v>40</v>
      </c>
      <c r="U1229" s="13" t="s">
        <v>5398</v>
      </c>
      <c r="V1229" s="13" t="s">
        <v>42</v>
      </c>
      <c r="W1229" s="13" t="s">
        <v>43</v>
      </c>
      <c r="X1229" s="21" t="n">
        <v>895705878502</v>
      </c>
      <c r="Y1229" s="22" t="str">
        <f aca="false">O1229</f>
        <v>Produksi</v>
      </c>
      <c r="Z1229" s="13" t="str">
        <f aca="false">IFERROR(__xludf.dummyfunction("if(BJ1229="""","""",GOOGLETRANSLATE(BJ1229,""auto"",""en""))"),"Production")</f>
        <v>Production</v>
      </c>
      <c r="AA1229" s="23" t="str">
        <f aca="false">IF(C1229="","", CHOOSE(MONTH(C1229),"January","February","March","April","May","June","July","August","September","October","November","December")&amp;" "&amp;DAY(C1229)&amp;MID("thstndrdth",MIN(9,2*RIGHT(DAY(C1229))*(MOD(DAY(C1229)-11,100)&gt;2)+1),2)&amp;","&amp;TEXT(C1229," yyyy"))</f>
        <v>October 7th,2023</v>
      </c>
      <c r="AB1229" s="15" t="str">
        <f aca="true">IF(S1229="","",DATEDIF(S1229,TODAY(),"Y")&amp;" Tahun, "&amp;DATEDIF(S1229,TODAY(),"YM")&amp;" Bulan, "&amp;DATEDIF(S1229,TODAY(),"MD")&amp;" Hari")</f>
        <v>21 Tahun, 9 Bulan, 29 Hari</v>
      </c>
      <c r="AC1229" s="18" t="n">
        <v>45839</v>
      </c>
      <c r="AD1229" s="18" t="n">
        <v>45961</v>
      </c>
      <c r="AE1229" s="18" t="s">
        <v>44</v>
      </c>
    </row>
    <row r="1230" customFormat="false" ht="15.75" hidden="false" customHeight="true" outlineLevel="0" collapsed="false">
      <c r="A1230" s="12" t="n">
        <v>13336</v>
      </c>
      <c r="B1230" s="13" t="s">
        <v>5399</v>
      </c>
      <c r="C1230" s="14" t="n">
        <v>45231</v>
      </c>
      <c r="D1230" s="13" t="s">
        <v>144</v>
      </c>
      <c r="E1230" s="15" t="s">
        <v>33</v>
      </c>
      <c r="F1230" s="24" t="s">
        <v>5400</v>
      </c>
      <c r="G1230" s="13" t="s">
        <v>5401</v>
      </c>
      <c r="H1230" s="13" t="s">
        <v>35</v>
      </c>
      <c r="I1230" s="13" t="str">
        <f aca="false">IF(C1230=J1230,"NEW KONTRAK","RE-KONTRAK")</f>
        <v>RE-KONTRAK</v>
      </c>
      <c r="J1230" s="16" t="n">
        <f aca="false" t="array" ref="J1230:J1230">IFERROR(INDEX(AC1230:AE1230,IF(COUNTA(AC1230:AE1230)=0,"",MAX((AC1230:AE1230&lt;&gt;"")*(COLUMN(AC1230:AE1230)-(COLUMN(AC1230)))))-1),"")</f>
        <v>45658</v>
      </c>
      <c r="K1230" s="16" t="n">
        <f aca="false" t="array" ref="K1230:K1230">IFERROR(INDEX(AC1230:AE1230,IF(COUNTA(AC1230:AE1230)=0,"",MAX((AC1230:AE1230&lt;&gt;"")*(COLUMN(AC1230:AE1230)-(COLUMN(AC1230)-1))))-1),"")</f>
        <v>46022</v>
      </c>
      <c r="L1230" s="17" t="str">
        <f aca="false" t="array" ref="L1230:L1230">IFERROR(INDEX(AC1230:AE1230,IF(COUNTA(AC1230:AE1230)=0,"",MAX((AC1230:AE1230&lt;&gt;"")*(COLUMN(AC1230:AE1230)-(COLUMN(AC1230)-2))))-1),"")</f>
        <v>ARCHIVED</v>
      </c>
      <c r="M1230" s="13" t="n">
        <f aca="true">K1230-TODAY()</f>
        <v>-302</v>
      </c>
      <c r="N1230" s="18" t="s">
        <v>36</v>
      </c>
      <c r="O1230" s="13" t="s">
        <v>211</v>
      </c>
      <c r="P1230" s="19" t="n">
        <v>5195401</v>
      </c>
      <c r="Q1230" s="20" t="s">
        <v>5402</v>
      </c>
      <c r="R1230" s="13" t="s">
        <v>65</v>
      </c>
      <c r="S1230" s="14" t="n">
        <v>32577</v>
      </c>
      <c r="T1230" s="13" t="s">
        <v>40</v>
      </c>
      <c r="U1230" s="13" t="s">
        <v>5403</v>
      </c>
      <c r="V1230" s="13" t="s">
        <v>42</v>
      </c>
      <c r="W1230" s="13" t="s">
        <v>54</v>
      </c>
      <c r="X1230" s="21" t="n">
        <v>81358938552</v>
      </c>
      <c r="Y1230" s="22" t="str">
        <f aca="false">O1230</f>
        <v>FG Store</v>
      </c>
      <c r="Z1230" s="13" t="str">
        <f aca="false">IFERROR(__xludf.dummyfunction("if(BJ1230="""","""",GOOGLETRANSLATE(BJ1230,""auto"",""en""))"),"FG Store")</f>
        <v>FG Store</v>
      </c>
      <c r="AA1230" s="23" t="str">
        <f aca="false">IF(C1230="","", CHOOSE(MONTH(C1230),"January","February","March","April","May","June","July","August","September","October","November","December")&amp;" "&amp;DAY(C1230)&amp;MID("thstndrdth",MIN(9,2*RIGHT(DAY(C1230))*(MOD(DAY(C1230)-11,100)&gt;2)+1),2)&amp;","&amp;TEXT(C1230," yyyy"))</f>
        <v>November 1st,2023</v>
      </c>
      <c r="AB1230" s="15" t="str">
        <f aca="true">IF(S1230="","",DATEDIF(S1230,TODAY(),"Y")&amp;" Tahun, "&amp;DATEDIF(S1230,TODAY(),"YM")&amp;" Bulan, "&amp;DATEDIF(S1230,TODAY(),"MD")&amp;" Hari")</f>
        <v>37 Tahun, 7 Bulan, 19 Hari</v>
      </c>
      <c r="AC1230" s="18" t="n">
        <v>45658</v>
      </c>
      <c r="AD1230" s="18" t="n">
        <v>46022</v>
      </c>
      <c r="AE1230" s="18" t="s">
        <v>44</v>
      </c>
    </row>
    <row r="1231" customFormat="false" ht="15.75" hidden="false" customHeight="true" outlineLevel="0" collapsed="false">
      <c r="A1231" s="12" t="n">
        <v>13342</v>
      </c>
      <c r="B1231" s="13" t="s">
        <v>5404</v>
      </c>
      <c r="C1231" s="14" t="n">
        <v>45226</v>
      </c>
      <c r="D1231" s="13" t="s">
        <v>5250</v>
      </c>
      <c r="E1231" s="15" t="s">
        <v>789</v>
      </c>
      <c r="F1231" s="15" t="str">
        <f aca="false">IFERROR(__xludf.dummyfunction("XLOOKUP(AJ1231,IMPORTRANGE(""1XaInW9DU9nz21V0tYIfzFQ0He9kVQ_JF2mCXgZ3hqFA"",""REKAP ALL 2026 - Andika!G:G""),IMPORTRANGE(""1XaInW9DU9nz21V0tYIfzFQ0He9kVQ_JF2mCXgZ3hqFA"",""REKAP ALL 2026 - Andika!F:F""),"""",0)"),"24075650515")</f>
        <v>24075650515</v>
      </c>
      <c r="G1231" s="13" t="s">
        <v>5405</v>
      </c>
      <c r="H1231" s="13" t="s">
        <v>35</v>
      </c>
      <c r="I1231" s="13" t="str">
        <f aca="false">IF(C1231=J1231,"NEW KONTRAK","RE-KONTRAK")</f>
        <v>RE-KONTRAK</v>
      </c>
      <c r="J1231" s="16" t="n">
        <f aca="false" t="array" ref="J1231:J1231">IFERROR(INDEX(AC1231:AE1231,IF(COUNTA(AC1231:AE1231)=0,"",MAX((AC1231:AE1231&lt;&gt;"")*(COLUMN(AC1231:AE1231)-(COLUMN(AC1231)))))-1),"")</f>
        <v>45658</v>
      </c>
      <c r="K1231" s="16" t="n">
        <f aca="false" t="array" ref="K1231:K1231">IFERROR(INDEX(AC1231:AE1231,IF(COUNTA(AC1231:AE1231)=0,"",MAX((AC1231:AE1231&lt;&gt;"")*(COLUMN(AC1231:AE1231)-(COLUMN(AC1231)-1))))-1),"")</f>
        <v>46203</v>
      </c>
      <c r="L1231" s="17" t="str">
        <f aca="false" t="array" ref="L1231:L1231">IFERROR(INDEX(AC1231:AE1231,IF(COUNTA(AC1231:AE1231)=0,"",MAX((AC1231:AE1231&lt;&gt;"")*(COLUMN(AC1231:AE1231)-(COLUMN(AC1231)-2))))-1),"")</f>
        <v>KEMBALI</v>
      </c>
      <c r="M1231" s="13" t="n">
        <f aca="true">K1231-TODAY()</f>
        <v>-121</v>
      </c>
      <c r="N1231" s="18" t="s">
        <v>728</v>
      </c>
      <c r="O1231" s="13" t="s">
        <v>5406</v>
      </c>
      <c r="P1231" s="27" t="n">
        <v>2500000</v>
      </c>
      <c r="Q1231" s="20" t="s">
        <v>5407</v>
      </c>
      <c r="R1231" s="13" t="s">
        <v>52</v>
      </c>
      <c r="S1231" s="14" t="n">
        <v>37016</v>
      </c>
      <c r="T1231" s="13" t="s">
        <v>40</v>
      </c>
      <c r="U1231" s="13" t="s">
        <v>5408</v>
      </c>
      <c r="V1231" s="13" t="s">
        <v>42</v>
      </c>
      <c r="W1231" s="13" t="s">
        <v>43</v>
      </c>
      <c r="X1231" s="21" t="n">
        <v>81259827908</v>
      </c>
      <c r="Y1231" s="22" t="str">
        <f aca="false">O1231</f>
        <v>Helper Mesin Cetak</v>
      </c>
      <c r="Z1231" s="13" t="str">
        <f aca="false">IFERROR(__xludf.dummyfunction("if(BJ1231="""","""",GOOGLETRANSLATE(BJ1231,""auto"",""en""))"),"Printing Machine Helper")</f>
        <v>Printing Machine Helper</v>
      </c>
      <c r="AA1231" s="23" t="str">
        <f aca="false">IF(C1231="","", CHOOSE(MONTH(C1231),"January","February","March","April","May","June","July","August","September","October","November","December")&amp;" "&amp;DAY(C1231)&amp;MID("thstndrdth",MIN(9,2*RIGHT(DAY(C1231))*(MOD(DAY(C1231)-11,100)&gt;2)+1),2)&amp;","&amp;TEXT(C1231," yyyy"))</f>
        <v>October 27th,2023</v>
      </c>
      <c r="AB1231" s="15" t="str">
        <f aca="true">IF(S1231="","",DATEDIF(S1231,TODAY(),"Y")&amp;" Tahun, "&amp;DATEDIF(S1231,TODAY(),"YM")&amp;" Bulan, "&amp;DATEDIF(S1231,TODAY(),"MD")&amp;" Hari")</f>
        <v>25 Tahun, 5 Bulan, 24 Hari</v>
      </c>
      <c r="AC1231" s="18" t="n">
        <v>45658</v>
      </c>
      <c r="AD1231" s="18" t="n">
        <v>46203</v>
      </c>
      <c r="AE1231" s="13" t="s">
        <v>397</v>
      </c>
    </row>
    <row r="1232" customFormat="false" ht="15.75" hidden="false" customHeight="true" outlineLevel="0" collapsed="false">
      <c r="A1232" s="12" t="n">
        <v>13359</v>
      </c>
      <c r="B1232" s="13" t="s">
        <v>5409</v>
      </c>
      <c r="C1232" s="14" t="n">
        <v>45220</v>
      </c>
      <c r="D1232" s="13" t="s">
        <v>2033</v>
      </c>
      <c r="E1232" s="15" t="s">
        <v>102</v>
      </c>
      <c r="F1232" s="24" t="s">
        <v>5410</v>
      </c>
      <c r="G1232" s="13" t="s">
        <v>5411</v>
      </c>
      <c r="H1232" s="13" t="s">
        <v>2035</v>
      </c>
      <c r="I1232" s="13" t="str">
        <f aca="false">IF(C1232=J1232,"NEW KONTRAK","RE-KONTRAK")</f>
        <v>RE-KONTRAK</v>
      </c>
      <c r="J1232" s="16" t="n">
        <f aca="false" t="array" ref="J1232:J1232">IFERROR(INDEX(AC1232:AE1232,IF(COUNTA(AC1232:AE1232)=0,"",MAX((AC1232:AE1232&lt;&gt;"")*(COLUMN(AC1232:AE1232)-(COLUMN(AC1232)))))-1),"")</f>
        <v>45744</v>
      </c>
      <c r="K1232" s="16" t="n">
        <f aca="false" t="array" ref="K1232:K1232">IFERROR(INDEX(AC1232:AE1232,IF(COUNTA(AC1232:AE1232)=0,"",MAX((AC1232:AE1232&lt;&gt;"")*(COLUMN(AC1232:AE1232)-(COLUMN(AC1232)-1))))-1),"")</f>
        <v>45915</v>
      </c>
      <c r="L1232" s="17" t="str">
        <f aca="false" t="array" ref="L1232:L1232">IFERROR(INDEX(AC1232:AE1232,IF(COUNTA(AC1232:AE1232)=0,"",MAX((AC1232:AE1232&lt;&gt;"")*(COLUMN(AC1232:AE1232)-(COLUMN(AC1232)-2))))-1),"")</f>
        <v>ARCHIVED</v>
      </c>
      <c r="M1232" s="13" t="n">
        <f aca="true">K1232-TODAY()</f>
        <v>-409</v>
      </c>
      <c r="N1232" s="18" t="s">
        <v>2363</v>
      </c>
      <c r="O1232" s="13" t="s">
        <v>2037</v>
      </c>
      <c r="P1232" s="19" t="n">
        <v>4014072</v>
      </c>
      <c r="Q1232" s="20" t="s">
        <v>5412</v>
      </c>
      <c r="R1232" s="13" t="s">
        <v>5413</v>
      </c>
      <c r="S1232" s="14" t="n">
        <v>36430</v>
      </c>
      <c r="T1232" s="13" t="s">
        <v>108</v>
      </c>
      <c r="U1232" s="13" t="s">
        <v>5414</v>
      </c>
      <c r="V1232" s="13" t="s">
        <v>99</v>
      </c>
      <c r="W1232" s="13" t="s">
        <v>43</v>
      </c>
      <c r="X1232" s="21" t="n">
        <v>81270524996</v>
      </c>
      <c r="Y1232" s="22" t="str">
        <f aca="false">O1232</f>
        <v>SPG/BA</v>
      </c>
      <c r="Z1232" s="13" t="str">
        <f aca="false">IFERROR(__xludf.dummyfunction("if(BJ1232="""","""",GOOGLETRANSLATE(BJ1232,""auto"",""en""))"),"SPG/BA")</f>
        <v>SPG/BA</v>
      </c>
      <c r="AA1232" s="23" t="str">
        <f aca="false">IF(C1232="","", CHOOSE(MONTH(C1232),"January","February","March","April","May","June","July","August","September","October","November","December")&amp;" "&amp;DAY(C1232)&amp;MID("thstndrdth",MIN(9,2*RIGHT(DAY(C1232))*(MOD(DAY(C1232)-11,100)&gt;2)+1),2)&amp;","&amp;TEXT(C1232," yyyy"))</f>
        <v>October 21st,2023</v>
      </c>
      <c r="AB1232" s="15" t="str">
        <f aca="true">IF(S1232="","",DATEDIF(S1232,TODAY(),"Y")&amp;" Tahun, "&amp;DATEDIF(S1232,TODAY(),"YM")&amp;" Bulan, "&amp;DATEDIF(S1232,TODAY(),"MD")&amp;" Hari")</f>
        <v>27 Tahun, 1 Bulan, 2 Hari</v>
      </c>
      <c r="AC1232" s="18" t="n">
        <v>45744</v>
      </c>
      <c r="AD1232" s="18" t="n">
        <v>45915</v>
      </c>
      <c r="AE1232" s="18" t="s">
        <v>44</v>
      </c>
    </row>
    <row r="1233" customFormat="false" ht="15.75" hidden="false" customHeight="true" outlineLevel="0" collapsed="false">
      <c r="A1233" s="12" t="n">
        <v>13366</v>
      </c>
      <c r="B1233" s="13" t="s">
        <v>5415</v>
      </c>
      <c r="C1233" s="14" t="n">
        <v>45229</v>
      </c>
      <c r="D1233" s="13" t="s">
        <v>5416</v>
      </c>
      <c r="E1233" s="15" t="s">
        <v>47</v>
      </c>
      <c r="F1233" s="15" t="str">
        <f aca="false">IFERROR(__xludf.dummyfunction("XLOOKUP(AJ1233,IMPORTRANGE(""1XaInW9DU9nz21V0tYIfzFQ0He9kVQ_JF2mCXgZ3hqFA"",""REKAP ALL 2026 - Andika!G:G""),IMPORTRANGE(""1XaInW9DU9nz21V0tYIfzFQ0He9kVQ_JF2mCXgZ3hqFA"",""REKAP ALL 2026 - Andika!F:F""),"""",0)"),"23172139232")</f>
        <v>23172139232</v>
      </c>
      <c r="G1233" s="13" t="s">
        <v>5417</v>
      </c>
      <c r="H1233" s="13" t="s">
        <v>35</v>
      </c>
      <c r="I1233" s="13" t="str">
        <f aca="false">IF(C1233=J1233,"NEW KONTRAK","RE-KONTRAK")</f>
        <v>RE-KONTRAK</v>
      </c>
      <c r="J1233" s="16" t="n">
        <f aca="false" t="array" ref="J1233:J1233">IFERROR(INDEX(AC1233:AE1233,IF(COUNTA(AC1233:AE1233)=0,"",MAX((AC1233:AE1233&lt;&gt;"")*(COLUMN(AC1233:AE1233)-(COLUMN(AC1233)))))-1),"")</f>
        <v>45868</v>
      </c>
      <c r="K1233" s="16" t="n">
        <f aca="false" t="array" ref="K1233:K1233">IFERROR(INDEX(AC1233:AE1233,IF(COUNTA(AC1233:AE1233)=0,"",MAX((AC1233:AE1233&lt;&gt;"")*(COLUMN(AC1233:AE1233)-(COLUMN(AC1233)-1))))-1),"")</f>
        <v>45947</v>
      </c>
      <c r="L1233" s="17" t="str">
        <f aca="false" t="array" ref="L1233:L1233">IFERROR(INDEX(AC1233:AE1233,IF(COUNTA(AC1233:AE1233)=0,"",MAX((AC1233:AE1233&lt;&gt;"")*(COLUMN(AC1233:AE1233)-(COLUMN(AC1233)-2))))-1),"")</f>
        <v>ARCHIVED</v>
      </c>
      <c r="M1233" s="13" t="n">
        <f aca="true">K1233-TODAY()</f>
        <v>-377</v>
      </c>
      <c r="N1233" s="18" t="s">
        <v>36</v>
      </c>
      <c r="O1233" s="13" t="s">
        <v>5418</v>
      </c>
      <c r="P1233" s="19" t="n">
        <v>5195401</v>
      </c>
      <c r="Q1233" s="20" t="s">
        <v>5419</v>
      </c>
      <c r="R1233" s="13" t="s">
        <v>65</v>
      </c>
      <c r="S1233" s="14" t="n">
        <v>33572</v>
      </c>
      <c r="T1233" s="13" t="s">
        <v>40</v>
      </c>
      <c r="U1233" s="13" t="s">
        <v>5420</v>
      </c>
      <c r="V1233" s="13" t="s">
        <v>42</v>
      </c>
      <c r="W1233" s="13" t="s">
        <v>43</v>
      </c>
      <c r="X1233" s="21" t="n">
        <v>85648321013</v>
      </c>
      <c r="Y1233" s="22" t="str">
        <f aca="false">O1233</f>
        <v>HSE Junior</v>
      </c>
      <c r="Z1233" s="13" t="str">
        <f aca="false">IFERROR(__xludf.dummyfunction("if(BJ1233="""","""",GOOGLETRANSLATE(BJ1233,""auto"",""en""))"),"HSE Junior")</f>
        <v>HSE Junior</v>
      </c>
      <c r="AA1233" s="23" t="str">
        <f aca="false">IF(C1233="","", CHOOSE(MONTH(C1233),"January","February","March","April","May","June","July","August","September","October","November","December")&amp;" "&amp;DAY(C1233)&amp;MID("thstndrdth",MIN(9,2*RIGHT(DAY(C1233))*(MOD(DAY(C1233)-11,100)&gt;2)+1),2)&amp;","&amp;TEXT(C1233," yyyy"))</f>
        <v>October 30th,2023</v>
      </c>
      <c r="AB1233" s="15" t="str">
        <f aca="true">IF(S1233="","",DATEDIF(S1233,TODAY(),"Y")&amp;" Tahun, "&amp;DATEDIF(S1233,TODAY(),"YM")&amp;" Bulan, "&amp;DATEDIF(S1233,TODAY(),"MD")&amp;" Hari")</f>
        <v>34 Tahun, 10 Bulan, 29 Hari</v>
      </c>
      <c r="AC1233" s="18" t="n">
        <v>45868</v>
      </c>
      <c r="AD1233" s="18" t="n">
        <v>45947</v>
      </c>
      <c r="AE1233" s="18" t="s">
        <v>44</v>
      </c>
    </row>
    <row r="1234" customFormat="false" ht="15.75" hidden="false" customHeight="true" outlineLevel="0" collapsed="false">
      <c r="A1234" s="12" t="n">
        <v>13400</v>
      </c>
      <c r="B1234" s="13" t="s">
        <v>5421</v>
      </c>
      <c r="C1234" s="14" t="n">
        <v>45220</v>
      </c>
      <c r="D1234" s="13" t="s">
        <v>4264</v>
      </c>
      <c r="E1234" s="15" t="s">
        <v>47</v>
      </c>
      <c r="F1234" s="15" t="str">
        <f aca="false">IFERROR(__xludf.dummyfunction("XLOOKUP(AJ1234,IMPORTRANGE(""1XaInW9DU9nz21V0tYIfzFQ0He9kVQ_JF2mCXgZ3hqFA"",""REKAP ALL 2026 - Andika!G:G""),IMPORTRANGE(""1XaInW9DU9nz21V0tYIfzFQ0He9kVQ_JF2mCXgZ3hqFA"",""REKAP ALL 2026 - Andika!F:F""),"""",0)"),"23172179337")</f>
        <v>23172179337</v>
      </c>
      <c r="G1234" s="13" t="s">
        <v>57</v>
      </c>
      <c r="H1234" s="13" t="s">
        <v>35</v>
      </c>
      <c r="I1234" s="13" t="str">
        <f aca="false">IF(C1234=J1234,"NEW KONTRAK","RE-KONTRAK")</f>
        <v>RE-KONTRAK</v>
      </c>
      <c r="J1234" s="16" t="n">
        <f aca="false" t="array" ref="J1234:J1234">IFERROR(INDEX(AC1234:AE1234,IF(COUNTA(AC1234:AE1234)=0,"",MAX((AC1234:AE1234&lt;&gt;"")*(COLUMN(AC1234:AE1234)-(COLUMN(AC1234)))))-1),"")</f>
        <v>45764</v>
      </c>
      <c r="K1234" s="16" t="n">
        <f aca="false" t="array" ref="K1234:K1234">IFERROR(INDEX(AC1234:AE1234,IF(COUNTA(AC1234:AE1234)=0,"",MAX((AC1234:AE1234&lt;&gt;"")*(COLUMN(AC1234:AE1234)-(COLUMN(AC1234)-1))))-1),"")</f>
        <v>45946</v>
      </c>
      <c r="L1234" s="17" t="str">
        <f aca="false" t="array" ref="L1234:L1234">IFERROR(INDEX(AC1234:AE1234,IF(COUNTA(AC1234:AE1234)=0,"",MAX((AC1234:AE1234&lt;&gt;"")*(COLUMN(AC1234:AE1234)-(COLUMN(AC1234)-2))))-1),"")</f>
        <v>ARCHIVED</v>
      </c>
      <c r="M1234" s="13" t="n">
        <f aca="true">K1234-TODAY()</f>
        <v>-378</v>
      </c>
      <c r="N1234" s="18" t="s">
        <v>36</v>
      </c>
      <c r="O1234" s="13" t="s">
        <v>4280</v>
      </c>
      <c r="P1234" s="27" t="n">
        <v>120000</v>
      </c>
      <c r="Q1234" s="20" t="s">
        <v>5422</v>
      </c>
      <c r="R1234" s="13" t="s">
        <v>5247</v>
      </c>
      <c r="S1234" s="14" t="n">
        <v>37675</v>
      </c>
      <c r="T1234" s="13" t="s">
        <v>108</v>
      </c>
      <c r="U1234" s="13" t="s">
        <v>5423</v>
      </c>
      <c r="V1234" s="13" t="s">
        <v>42</v>
      </c>
      <c r="W1234" s="13" t="s">
        <v>43</v>
      </c>
      <c r="X1234" s="21" t="n">
        <v>83132369039</v>
      </c>
      <c r="Y1234" s="22" t="str">
        <f aca="false">O1234</f>
        <v>Helper Cutting</v>
      </c>
      <c r="Z1234" s="13" t="str">
        <f aca="false">IFERROR(__xludf.dummyfunction("if(BJ1234="""","""",GOOGLETRANSLATE(BJ1234,""auto"",""en""))"),"Helper Cutting")</f>
        <v>Helper Cutting</v>
      </c>
      <c r="AA1234" s="23" t="str">
        <f aca="false">IF(C1234="","", CHOOSE(MONTH(C1234),"January","February","March","April","May","June","July","August","September","October","November","December")&amp;" "&amp;DAY(C1234)&amp;MID("thstndrdth",MIN(9,2*RIGHT(DAY(C1234))*(MOD(DAY(C1234)-11,100)&gt;2)+1),2)&amp;","&amp;TEXT(C1234," yyyy"))</f>
        <v>October 21st,2023</v>
      </c>
      <c r="AB1234" s="15" t="str">
        <f aca="true">IF(S1234="","",DATEDIF(S1234,TODAY(),"Y")&amp;" Tahun, "&amp;DATEDIF(S1234,TODAY(),"YM")&amp;" Bulan, "&amp;DATEDIF(S1234,TODAY(),"MD")&amp;" Hari")</f>
        <v>23 Tahun, 8 Bulan, 6 Hari</v>
      </c>
      <c r="AC1234" s="18" t="n">
        <v>45764</v>
      </c>
      <c r="AD1234" s="18" t="n">
        <v>45946</v>
      </c>
      <c r="AE1234" s="18" t="s">
        <v>44</v>
      </c>
    </row>
    <row r="1235" customFormat="false" ht="15.75" hidden="false" customHeight="true" outlineLevel="0" collapsed="false">
      <c r="A1235" s="12" t="n">
        <v>13408</v>
      </c>
      <c r="B1235" s="13" t="s">
        <v>5424</v>
      </c>
      <c r="C1235" s="14" t="n">
        <v>45219</v>
      </c>
      <c r="D1235" s="13" t="s">
        <v>4252</v>
      </c>
      <c r="E1235" s="15" t="s">
        <v>33</v>
      </c>
      <c r="F1235" s="24" t="s">
        <v>5425</v>
      </c>
      <c r="G1235" s="13" t="s">
        <v>57</v>
      </c>
      <c r="H1235" s="13" t="s">
        <v>35</v>
      </c>
      <c r="I1235" s="13" t="str">
        <f aca="false">IF(C1235=J1235,"NEW KONTRAK","RE-KONTRAK")</f>
        <v>RE-KONTRAK</v>
      </c>
      <c r="J1235" s="16" t="n">
        <f aca="false" t="array" ref="J1235:J1235">IFERROR(INDEX(AC1235:AE1235,IF(COUNTA(AC1235:AE1235)=0,"",MAX((AC1235:AE1235&lt;&gt;"")*(COLUMN(AC1235:AE1235)-(COLUMN(AC1235)))))-1),"")</f>
        <v>45764</v>
      </c>
      <c r="K1235" s="16" t="n">
        <f aca="false" t="array" ref="K1235:K1235">IFERROR(INDEX(AC1235:AE1235,IF(COUNTA(AC1235:AE1235)=0,"",MAX((AC1235:AE1235&lt;&gt;"")*(COLUMN(AC1235:AE1235)-(COLUMN(AC1235)-1))))-1),"")</f>
        <v>45916</v>
      </c>
      <c r="L1235" s="17" t="str">
        <f aca="false" t="array" ref="L1235:L1235">IFERROR(INDEX(AC1235:AE1235,IF(COUNTA(AC1235:AE1235)=0,"",MAX((AC1235:AE1235&lt;&gt;"")*(COLUMN(AC1235:AE1235)-(COLUMN(AC1235)-2))))-1),"")</f>
        <v>ARCHIVED</v>
      </c>
      <c r="M1235" s="13" t="n">
        <f aca="true">K1235-TODAY()</f>
        <v>-408</v>
      </c>
      <c r="N1235" s="18" t="s">
        <v>36</v>
      </c>
      <c r="O1235" s="13" t="s">
        <v>4280</v>
      </c>
      <c r="P1235" s="27" t="n">
        <v>120000</v>
      </c>
      <c r="Q1235" s="20" t="s">
        <v>5426</v>
      </c>
      <c r="R1235" s="13" t="s">
        <v>39</v>
      </c>
      <c r="S1235" s="14" t="n">
        <v>36572</v>
      </c>
      <c r="T1235" s="13" t="s">
        <v>108</v>
      </c>
      <c r="U1235" s="13" t="s">
        <v>5427</v>
      </c>
      <c r="V1235" s="13" t="s">
        <v>42</v>
      </c>
      <c r="W1235" s="13" t="s">
        <v>43</v>
      </c>
      <c r="X1235" s="21" t="n">
        <v>85736488584</v>
      </c>
      <c r="Y1235" s="22" t="str">
        <f aca="false">O1235</f>
        <v>Helper Cutting</v>
      </c>
      <c r="Z1235" s="13" t="str">
        <f aca="false">IFERROR(__xludf.dummyfunction("if(BJ1235="""","""",GOOGLETRANSLATE(BJ1235,""auto"",""en""))"),"Helper Cutting")</f>
        <v>Helper Cutting</v>
      </c>
      <c r="AA1235" s="23" t="str">
        <f aca="false">IF(C1235="","", CHOOSE(MONTH(C1235),"January","February","March","April","May","June","July","August","September","October","November","December")&amp;" "&amp;DAY(C1235)&amp;MID("thstndrdth",MIN(9,2*RIGHT(DAY(C1235))*(MOD(DAY(C1235)-11,100)&gt;2)+1),2)&amp;","&amp;TEXT(C1235," yyyy"))</f>
        <v>October 20th,2023</v>
      </c>
      <c r="AB1235" s="15" t="str">
        <f aca="true">IF(S1235="","",DATEDIF(S1235,TODAY(),"Y")&amp;" Tahun, "&amp;DATEDIF(S1235,TODAY(),"YM")&amp;" Bulan, "&amp;DATEDIF(S1235,TODAY(),"MD")&amp;" Hari")</f>
        <v>26 Tahun, 8 Bulan, 13 Hari</v>
      </c>
      <c r="AC1235" s="18" t="n">
        <v>45764</v>
      </c>
      <c r="AD1235" s="18" t="n">
        <v>45916</v>
      </c>
      <c r="AE1235" s="18" t="s">
        <v>44</v>
      </c>
    </row>
    <row r="1236" customFormat="false" ht="15.75" hidden="false" customHeight="true" outlineLevel="0" collapsed="false">
      <c r="A1236" s="12" t="n">
        <v>13426</v>
      </c>
      <c r="B1236" s="13" t="s">
        <v>5428</v>
      </c>
      <c r="C1236" s="14" t="n">
        <v>45229</v>
      </c>
      <c r="D1236" s="13" t="s">
        <v>4743</v>
      </c>
      <c r="E1236" s="15" t="s">
        <v>102</v>
      </c>
      <c r="F1236" s="15" t="str">
        <f aca="false">IFERROR(__xludf.dummyfunction("XLOOKUP(AJ1236,IMPORTRANGE(""1XaInW9DU9nz21V0tYIfzFQ0He9kVQ_JF2mCXgZ3hqFA"",""REKAP ALL 2026 - Andika!G:G""),IMPORTRANGE(""1XaInW9DU9nz21V0tYIfzFQ0He9kVQ_JF2mCXgZ3hqFA"",""REKAP ALL 2026 - Andika!F:F""),"""",0)"),"23172139182")</f>
        <v>23172139182</v>
      </c>
      <c r="G1236" s="13" t="s">
        <v>5429</v>
      </c>
      <c r="H1236" s="13" t="s">
        <v>2035</v>
      </c>
      <c r="I1236" s="13" t="str">
        <f aca="false">IF(C1236=J1236,"NEW KONTRAK","RE-KONTRAK")</f>
        <v>RE-KONTRAK</v>
      </c>
      <c r="J1236" s="16" t="n">
        <f aca="false" t="array" ref="J1236:J1236">IFERROR(INDEX(AC1236:AE1236,IF(COUNTA(AC1236:AE1236)=0,"",MAX((AC1236:AE1236&lt;&gt;"")*(COLUMN(AC1236:AE1236)-(COLUMN(AC1236)))))-1),"")</f>
        <v>45777</v>
      </c>
      <c r="K1236" s="16" t="n">
        <f aca="false" t="array" ref="K1236:K1236">IFERROR(INDEX(AC1236:AE1236,IF(COUNTA(AC1236:AE1236)=0,"",MAX((AC1236:AE1236&lt;&gt;"")*(COLUMN(AC1236:AE1236)-(COLUMN(AC1236)-1))))-1),"")</f>
        <v>45959</v>
      </c>
      <c r="L1236" s="17" t="str">
        <f aca="false" t="array" ref="L1236:L1236">IFERROR(INDEX(AC1236:AE1236,IF(COUNTA(AC1236:AE1236)=0,"",MAX((AC1236:AE1236&lt;&gt;"")*(COLUMN(AC1236:AE1236)-(COLUMN(AC1236)-2))))-1),"")</f>
        <v>ARCHIVED</v>
      </c>
      <c r="M1236" s="13" t="n">
        <f aca="true">K1236-TODAY()</f>
        <v>-365</v>
      </c>
      <c r="N1236" s="18" t="s">
        <v>728</v>
      </c>
      <c r="O1236" s="13" t="s">
        <v>5430</v>
      </c>
      <c r="P1236" s="19" t="n">
        <v>4668581</v>
      </c>
      <c r="Q1236" s="20" t="s">
        <v>5431</v>
      </c>
      <c r="R1236" s="13" t="s">
        <v>65</v>
      </c>
      <c r="S1236" s="14" t="n">
        <v>34744</v>
      </c>
      <c r="T1236" s="13" t="s">
        <v>108</v>
      </c>
      <c r="U1236" s="13" t="s">
        <v>5432</v>
      </c>
      <c r="V1236" s="13" t="s">
        <v>42</v>
      </c>
      <c r="W1236" s="13" t="s">
        <v>43</v>
      </c>
      <c r="X1236" s="21" t="n">
        <v>85604677409</v>
      </c>
      <c r="Y1236" s="22" t="str">
        <f aca="false">O1236</f>
        <v>Admin Finance dan Cashier</v>
      </c>
      <c r="Z1236" s="13" t="str">
        <f aca="false">IFERROR(__xludf.dummyfunction("if(BJ1236="""","""",GOOGLETRANSLATE(BJ1236,""auto"",""en""))"),"Finance Admin and Cashier")</f>
        <v>Finance Admin and Cashier</v>
      </c>
      <c r="AA1236" s="23" t="str">
        <f aca="false">IF(C1236="","", CHOOSE(MONTH(C1236),"January","February","March","April","May","June","July","August","September","October","November","December")&amp;" "&amp;DAY(C1236)&amp;MID("thstndrdth",MIN(9,2*RIGHT(DAY(C1236))*(MOD(DAY(C1236)-11,100)&gt;2)+1),2)&amp;","&amp;TEXT(C1236," yyyy"))</f>
        <v>October 30th,2023</v>
      </c>
      <c r="AB1236" s="15" t="str">
        <f aca="true">IF(S1236="","",DATEDIF(S1236,TODAY(),"Y")&amp;" Tahun, "&amp;DATEDIF(S1236,TODAY(),"YM")&amp;" Bulan, "&amp;DATEDIF(S1236,TODAY(),"MD")&amp;" Hari")</f>
        <v>31 Tahun, 8 Bulan, 15 Hari</v>
      </c>
      <c r="AC1236" s="18" t="n">
        <v>45777</v>
      </c>
      <c r="AD1236" s="18" t="n">
        <v>45959</v>
      </c>
      <c r="AE1236" s="18" t="s">
        <v>44</v>
      </c>
    </row>
    <row r="1237" customFormat="false" ht="15.75" hidden="false" customHeight="true" outlineLevel="0" collapsed="false">
      <c r="A1237" s="12" t="n">
        <v>13460</v>
      </c>
      <c r="B1237" s="13" t="s">
        <v>5433</v>
      </c>
      <c r="C1237" s="14" t="n">
        <v>45230</v>
      </c>
      <c r="D1237" s="13" t="s">
        <v>774</v>
      </c>
      <c r="E1237" s="15" t="s">
        <v>47</v>
      </c>
      <c r="F1237" s="15" t="str">
        <f aca="false">IFERROR(__xludf.dummyfunction("XLOOKUP(AJ1237,IMPORTRANGE(""1XaInW9DU9nz21V0tYIfzFQ0He9kVQ_JF2mCXgZ3hqFA"",""REKAP ALL 2026 - Andika!G:G""),IMPORTRANGE(""1XaInW9DU9nz21V0tYIfzFQ0He9kVQ_JF2mCXgZ3hqFA"",""REKAP ALL 2026 - Andika!F:F""),"""",0)"),"23172179352")</f>
        <v>23172179352</v>
      </c>
      <c r="G1237" s="13" t="s">
        <v>5434</v>
      </c>
      <c r="H1237" s="13" t="s">
        <v>2967</v>
      </c>
      <c r="I1237" s="13" t="str">
        <f aca="false">IF(C1237=J1237,"NEW KONTRAK","RE-KONTRAK")</f>
        <v>RE-KONTRAK</v>
      </c>
      <c r="J1237" s="16" t="n">
        <f aca="false" t="array" ref="J1237:J1237">IFERROR(INDEX(AC1237:AE1237,IF(COUNTA(AC1237:AE1237)=0,"",MAX((AC1237:AE1237&lt;&gt;"")*(COLUMN(AC1237:AE1237)-(COLUMN(AC1237)))))-1),"")</f>
        <v>45570</v>
      </c>
      <c r="K1237" s="16" t="n">
        <f aca="false" t="array" ref="K1237:K1237">IFERROR(INDEX(AC1237:AE1237,IF(COUNTA(AC1237:AE1237)=0,"",MAX((AC1237:AE1237&lt;&gt;"")*(COLUMN(AC1237:AE1237)-(COLUMN(AC1237)-1))))-1),"")</f>
        <v>45934</v>
      </c>
      <c r="L1237" s="17" t="str">
        <f aca="false" t="array" ref="L1237:L1237">IFERROR(INDEX(AC1237:AE1237,IF(COUNTA(AC1237:AE1237)=0,"",MAX((AC1237:AE1237&lt;&gt;"")*(COLUMN(AC1237:AE1237)-(COLUMN(AC1237)-2))))-1),"")</f>
        <v>ARCHIVED</v>
      </c>
      <c r="M1237" s="13" t="n">
        <f aca="true">K1237-TODAY()</f>
        <v>-390</v>
      </c>
      <c r="N1237" s="18" t="s">
        <v>36</v>
      </c>
      <c r="O1237" s="13" t="s">
        <v>812</v>
      </c>
      <c r="P1237" s="19" t="n">
        <v>3750000</v>
      </c>
      <c r="Q1237" s="20" t="s">
        <v>5435</v>
      </c>
      <c r="R1237" s="13" t="s">
        <v>65</v>
      </c>
      <c r="S1237" s="14" t="n">
        <v>38221</v>
      </c>
      <c r="T1237" s="13" t="s">
        <v>40</v>
      </c>
      <c r="U1237" s="13" t="s">
        <v>5436</v>
      </c>
      <c r="V1237" s="13" t="s">
        <v>42</v>
      </c>
      <c r="W1237" s="13" t="s">
        <v>43</v>
      </c>
      <c r="X1237" s="21" t="n">
        <v>85608445060</v>
      </c>
      <c r="Y1237" s="22" t="str">
        <f aca="false">O1237</f>
        <v>Heating</v>
      </c>
      <c r="Z1237" s="13" t="str">
        <f aca="false">IFERROR(__xludf.dummyfunction("if(BJ1237="""","""",GOOGLETRANSLATE(BJ1237,""auto"",""en""))"),"Heating")</f>
        <v>Heating</v>
      </c>
      <c r="AA1237" s="23" t="str">
        <f aca="false">IF(C1237="","", CHOOSE(MONTH(C1237),"January","February","March","April","May","June","July","August","September","October","November","December")&amp;" "&amp;DAY(C1237)&amp;MID("thstndrdth",MIN(9,2*RIGHT(DAY(C1237))*(MOD(DAY(C1237)-11,100)&gt;2)+1),2)&amp;","&amp;TEXT(C1237," yyyy"))</f>
        <v>October 31st,2023</v>
      </c>
      <c r="AB1237" s="15" t="str">
        <f aca="true">IF(S1237="","",DATEDIF(S1237,TODAY(),"Y")&amp;" Tahun, "&amp;DATEDIF(S1237,TODAY(),"YM")&amp;" Bulan, "&amp;DATEDIF(S1237,TODAY(),"MD")&amp;" Hari")</f>
        <v>22 Tahun, 2 Bulan, 7 Hari</v>
      </c>
      <c r="AC1237" s="18" t="n">
        <v>45570</v>
      </c>
      <c r="AD1237" s="18" t="n">
        <v>45934</v>
      </c>
      <c r="AE1237" s="18" t="s">
        <v>44</v>
      </c>
    </row>
    <row r="1238" customFormat="false" ht="15.75" hidden="false" customHeight="true" outlineLevel="0" collapsed="false">
      <c r="A1238" s="12" t="n">
        <v>13461</v>
      </c>
      <c r="B1238" s="13" t="s">
        <v>5437</v>
      </c>
      <c r="C1238" s="14" t="n">
        <v>45180</v>
      </c>
      <c r="D1238" s="13" t="s">
        <v>774</v>
      </c>
      <c r="E1238" s="15" t="s">
        <v>47</v>
      </c>
      <c r="F1238" s="15" t="str">
        <f aca="false">IFERROR(__xludf.dummyfunction("XLOOKUP(AJ1238,IMPORTRANGE(""1XaInW9DU9nz21V0tYIfzFQ0He9kVQ_JF2mCXgZ3hqFA"",""REKAP ALL 2026 - Andika!G:G""),IMPORTRANGE(""1XaInW9DU9nz21V0tYIfzFQ0He9kVQ_JF2mCXgZ3hqFA"",""REKAP ALL 2026 - Andika!F:F""),"""",0)"),"23172141667")</f>
        <v>23172141667</v>
      </c>
      <c r="G1238" s="13" t="s">
        <v>5438</v>
      </c>
      <c r="H1238" s="13" t="s">
        <v>3617</v>
      </c>
      <c r="I1238" s="13" t="str">
        <f aca="false">IF(C1238=J1238,"NEW KONTRAK","RE-KONTRAK")</f>
        <v>RE-KONTRAK</v>
      </c>
      <c r="J1238" s="16" t="n">
        <f aca="false" t="array" ref="J1238:J1238">IFERROR(INDEX(AC1238:AE1238,IF(COUNTA(AC1238:AE1238)=0,"",MAX((AC1238:AE1238&lt;&gt;"")*(COLUMN(AC1238:AE1238)-(COLUMN(AC1238)))))-1),"")</f>
        <v>45566</v>
      </c>
      <c r="K1238" s="16" t="n">
        <f aca="false" t="array" ref="K1238:K1238">IFERROR(INDEX(AC1238:AE1238,IF(COUNTA(AC1238:AE1238)=0,"",MAX((AC1238:AE1238&lt;&gt;"")*(COLUMN(AC1238:AE1238)-(COLUMN(AC1238)-1))))-1),"")</f>
        <v>45930</v>
      </c>
      <c r="L1238" s="17" t="str">
        <f aca="false" t="array" ref="L1238:L1238">IFERROR(INDEX(AC1238:AE1238,IF(COUNTA(AC1238:AE1238)=0,"",MAX((AC1238:AE1238&lt;&gt;"")*(COLUMN(AC1238:AE1238)-(COLUMN(AC1238)-2))))-1),"")</f>
        <v>ARCHIVED</v>
      </c>
      <c r="M1238" s="13" t="n">
        <f aca="true">K1238-TODAY()</f>
        <v>-394</v>
      </c>
      <c r="N1238" s="18" t="s">
        <v>763</v>
      </c>
      <c r="O1238" s="13" t="s">
        <v>50</v>
      </c>
      <c r="P1238" s="19" t="n">
        <v>5729876</v>
      </c>
      <c r="Q1238" s="20" t="s">
        <v>5439</v>
      </c>
      <c r="R1238" s="13" t="s">
        <v>771</v>
      </c>
      <c r="S1238" s="14" t="n">
        <v>29063</v>
      </c>
      <c r="T1238" s="13" t="s">
        <v>40</v>
      </c>
      <c r="U1238" s="13" t="s">
        <v>5440</v>
      </c>
      <c r="V1238" s="13" t="s">
        <v>42</v>
      </c>
      <c r="W1238" s="13" t="s">
        <v>54</v>
      </c>
      <c r="X1238" s="21" t="n">
        <v>82322331301</v>
      </c>
      <c r="Y1238" s="22" t="str">
        <f aca="false">O1238</f>
        <v>Driver</v>
      </c>
      <c r="Z1238" s="13" t="str">
        <f aca="false">IFERROR(__xludf.dummyfunction("if(BJ1238="""","""",GOOGLETRANSLATE(BJ1238,""auto"",""en""))"),"Driver")</f>
        <v>Driver</v>
      </c>
      <c r="AA1238" s="23" t="str">
        <f aca="false">IF(C1238="","", CHOOSE(MONTH(C1238),"January","February","March","April","May","June","July","August","September","October","November","December")&amp;" "&amp;DAY(C1238)&amp;MID("thstndrdth",MIN(9,2*RIGHT(DAY(C1238))*(MOD(DAY(C1238)-11,100)&gt;2)+1),2)&amp;","&amp;TEXT(C1238," yyyy"))</f>
        <v>September 11th,2023</v>
      </c>
      <c r="AB1238" s="15" t="str">
        <f aca="true">IF(S1238="","",DATEDIF(S1238,TODAY(),"Y")&amp;" Tahun, "&amp;DATEDIF(S1238,TODAY(),"YM")&amp;" Bulan, "&amp;DATEDIF(S1238,TODAY(),"MD")&amp;" Hari")</f>
        <v>47 Tahun, 3 Bulan, 2 Hari</v>
      </c>
      <c r="AC1238" s="18" t="n">
        <v>45566</v>
      </c>
      <c r="AD1238" s="18" t="n">
        <v>45930</v>
      </c>
      <c r="AE1238" s="18" t="s">
        <v>44</v>
      </c>
    </row>
    <row r="1239" customFormat="false" ht="15.75" hidden="false" customHeight="true" outlineLevel="0" collapsed="false">
      <c r="A1239" s="12" t="n">
        <v>13470</v>
      </c>
      <c r="B1239" s="13" t="s">
        <v>5441</v>
      </c>
      <c r="C1239" s="14" t="n">
        <v>45244</v>
      </c>
      <c r="D1239" s="13" t="s">
        <v>5442</v>
      </c>
      <c r="E1239" s="15" t="s">
        <v>47</v>
      </c>
      <c r="F1239" s="15" t="str">
        <f aca="false">IFERROR(__xludf.dummyfunction("XLOOKUP(AJ1239,IMPORTRANGE(""1XaInW9DU9nz21V0tYIfzFQ0He9kVQ_JF2mCXgZ3hqFA"",""REKAP ALL 2026 - Andika!G:G""),IMPORTRANGE(""1XaInW9DU9nz21V0tYIfzFQ0He9kVQ_JF2mCXgZ3hqFA"",""REKAP ALL 2026 - Andika!F:F""),"""",0)"),"14036694389")</f>
        <v>14036694389</v>
      </c>
      <c r="G1239" s="13" t="s">
        <v>5443</v>
      </c>
      <c r="H1239" s="13" t="s">
        <v>35</v>
      </c>
      <c r="I1239" s="13" t="str">
        <f aca="false">IF(C1239=J1239,"NEW KONTRAK","RE-KONTRAK")</f>
        <v>RE-KONTRAK</v>
      </c>
      <c r="J1239" s="16" t="n">
        <f aca="false" t="array" ref="J1239:J1239">IFERROR(INDEX(AC1239:AE1239,IF(COUNTA(AC1239:AE1239)=0,"",MAX((AC1239:AE1239&lt;&gt;"")*(COLUMN(AC1239:AE1239)-(COLUMN(AC1239)))))-1),"")</f>
        <v>45790</v>
      </c>
      <c r="K1239" s="16" t="n">
        <f aca="false" t="array" ref="K1239:K1239">IFERROR(INDEX(AC1239:AE1239,IF(COUNTA(AC1239:AE1239)=0,"",MAX((AC1239:AE1239&lt;&gt;"")*(COLUMN(AC1239:AE1239)-(COLUMN(AC1239)-1))))-1),"")</f>
        <v>46154</v>
      </c>
      <c r="L1239" s="17" t="str">
        <f aca="false" t="array" ref="L1239:L1239">IFERROR(INDEX(AC1239:AE1239,IF(COUNTA(AC1239:AE1239)=0,"",MAX((AC1239:AE1239&lt;&gt;"")*(COLUMN(AC1239:AE1239)-(COLUMN(AC1239)-2))))-1),"")</f>
        <v>ARCHIVED</v>
      </c>
      <c r="M1239" s="13" t="n">
        <f aca="true">K1239-TODAY()</f>
        <v>-170</v>
      </c>
      <c r="N1239" s="18" t="s">
        <v>105</v>
      </c>
      <c r="O1239" s="13" t="s">
        <v>5444</v>
      </c>
      <c r="P1239" s="19" t="n">
        <v>5191541</v>
      </c>
      <c r="Q1239" s="20" t="s">
        <v>5445</v>
      </c>
      <c r="R1239" s="13" t="s">
        <v>255</v>
      </c>
      <c r="S1239" s="14" t="n">
        <v>33129</v>
      </c>
      <c r="T1239" s="13" t="s">
        <v>40</v>
      </c>
      <c r="U1239" s="13" t="s">
        <v>5446</v>
      </c>
      <c r="V1239" s="13" t="s">
        <v>42</v>
      </c>
      <c r="W1239" s="13" t="s">
        <v>54</v>
      </c>
      <c r="X1239" s="21" t="n">
        <v>81935701926</v>
      </c>
      <c r="Y1239" s="22" t="str">
        <f aca="false">O1239</f>
        <v>Operator Produksi</v>
      </c>
      <c r="Z1239" s="13" t="str">
        <f aca="false">IFERROR(__xludf.dummyfunction("if(BJ1239="""","""",GOOGLETRANSLATE(BJ1239,""auto"",""en""))"),"Production operator")</f>
        <v>Production operator</v>
      </c>
      <c r="AA1239" s="23" t="str">
        <f aca="false">IF(C1239="","", CHOOSE(MONTH(C1239),"January","February","March","April","May","June","July","August","September","October","November","December")&amp;" "&amp;DAY(C1239)&amp;MID("thstndrdth",MIN(9,2*RIGHT(DAY(C1239))*(MOD(DAY(C1239)-11,100)&gt;2)+1),2)&amp;","&amp;TEXT(C1239," yyyy"))</f>
        <v>November 14th,2023</v>
      </c>
      <c r="AB1239" s="15" t="str">
        <f aca="true">IF(S1239="","",DATEDIF(S1239,TODAY(),"Y")&amp;" Tahun, "&amp;DATEDIF(S1239,TODAY(),"YM")&amp;" Bulan, "&amp;DATEDIF(S1239,TODAY(),"MD")&amp;" Hari")</f>
        <v>36 Tahun, 1 Bulan, 16 Hari</v>
      </c>
      <c r="AC1239" s="18" t="n">
        <v>45790</v>
      </c>
      <c r="AD1239" s="18" t="n">
        <v>46154</v>
      </c>
      <c r="AE1239" s="18" t="s">
        <v>44</v>
      </c>
    </row>
    <row r="1240" customFormat="false" ht="15.75" hidden="false" customHeight="true" outlineLevel="0" collapsed="false">
      <c r="A1240" s="12" t="n">
        <v>13471</v>
      </c>
      <c r="B1240" s="13" t="s">
        <v>5447</v>
      </c>
      <c r="C1240" s="14" t="n">
        <v>45244</v>
      </c>
      <c r="D1240" s="13" t="s">
        <v>5442</v>
      </c>
      <c r="E1240" s="15" t="s">
        <v>47</v>
      </c>
      <c r="F1240" s="15" t="str">
        <f aca="false">IFERROR(__xludf.dummyfunction("XLOOKUP(AJ1240,IMPORTRANGE(""1XaInW9DU9nz21V0tYIfzFQ0He9kVQ_JF2mCXgZ3hqFA"",""REKAP ALL 2026 - Andika!G:G""),IMPORTRANGE(""1XaInW9DU9nz21V0tYIfzFQ0He9kVQ_JF2mCXgZ3hqFA"",""REKAP ALL 2026 - Andika!F:F""),"""",0)"),"23172139190")</f>
        <v>23172139190</v>
      </c>
      <c r="G1240" s="13" t="s">
        <v>5448</v>
      </c>
      <c r="H1240" s="13" t="s">
        <v>35</v>
      </c>
      <c r="I1240" s="13" t="str">
        <f aca="false">IF(C1240=J1240,"NEW KONTRAK","RE-KONTRAK")</f>
        <v>RE-KONTRAK</v>
      </c>
      <c r="J1240" s="16" t="n">
        <f aca="false" t="array" ref="J1240:J1240">IFERROR(INDEX(AC1240:AE1240,IF(COUNTA(AC1240:AE1240)=0,"",MAX((AC1240:AE1240&lt;&gt;"")*(COLUMN(AC1240:AE1240)-(COLUMN(AC1240)))))-1),"")</f>
        <v>45790</v>
      </c>
      <c r="K1240" s="16" t="n">
        <f aca="false" t="array" ref="K1240:K1240">IFERROR(INDEX(AC1240:AE1240,IF(COUNTA(AC1240:AE1240)=0,"",MAX((AC1240:AE1240&lt;&gt;"")*(COLUMN(AC1240:AE1240)-(COLUMN(AC1240)-1))))-1),"")</f>
        <v>46154</v>
      </c>
      <c r="L1240" s="17" t="str">
        <f aca="false" t="array" ref="L1240:L1240">IFERROR(INDEX(AC1240:AE1240,IF(COUNTA(AC1240:AE1240)=0,"",MAX((AC1240:AE1240&lt;&gt;"")*(COLUMN(AC1240:AE1240)-(COLUMN(AC1240)-2))))-1),"")</f>
        <v>ARCHIVED</v>
      </c>
      <c r="M1240" s="13" t="n">
        <f aca="true">K1240-TODAY()</f>
        <v>-170</v>
      </c>
      <c r="N1240" s="18" t="s">
        <v>105</v>
      </c>
      <c r="O1240" s="13" t="s">
        <v>5444</v>
      </c>
      <c r="P1240" s="19" t="n">
        <v>5191541</v>
      </c>
      <c r="Q1240" s="20" t="s">
        <v>5449</v>
      </c>
      <c r="R1240" s="13" t="s">
        <v>148</v>
      </c>
      <c r="S1240" s="14" t="n">
        <v>26858</v>
      </c>
      <c r="T1240" s="13" t="s">
        <v>40</v>
      </c>
      <c r="U1240" s="13" t="s">
        <v>5450</v>
      </c>
      <c r="V1240" s="13" t="s">
        <v>42</v>
      </c>
      <c r="W1240" s="13" t="s">
        <v>54</v>
      </c>
      <c r="X1240" s="21" t="n">
        <v>89699947684</v>
      </c>
      <c r="Y1240" s="22" t="str">
        <f aca="false">O1240</f>
        <v>Operator Produksi</v>
      </c>
      <c r="Z1240" s="13" t="str">
        <f aca="false">IFERROR(__xludf.dummyfunction("if(BJ1240="""","""",GOOGLETRANSLATE(BJ1240,""auto"",""en""))"),"Production operator")</f>
        <v>Production operator</v>
      </c>
      <c r="AA1240" s="23" t="str">
        <f aca="false">IF(C1240="","", CHOOSE(MONTH(C1240),"January","February","March","April","May","June","July","August","September","October","November","December")&amp;" "&amp;DAY(C1240)&amp;MID("thstndrdth",MIN(9,2*RIGHT(DAY(C1240))*(MOD(DAY(C1240)-11,100)&gt;2)+1),2)&amp;","&amp;TEXT(C1240," yyyy"))</f>
        <v>November 14th,2023</v>
      </c>
      <c r="AB1240" s="15" t="str">
        <f aca="true">IF(S1240="","",DATEDIF(S1240,TODAY(),"Y")&amp;" Tahun, "&amp;DATEDIF(S1240,TODAY(),"YM")&amp;" Bulan, "&amp;DATEDIF(S1240,TODAY(),"MD")&amp;" Hari")</f>
        <v>53 Tahun, 3 Bulan, 16 Hari</v>
      </c>
      <c r="AC1240" s="18" t="n">
        <v>45790</v>
      </c>
      <c r="AD1240" s="18" t="n">
        <v>46154</v>
      </c>
      <c r="AE1240" s="18" t="s">
        <v>44</v>
      </c>
    </row>
    <row r="1241" customFormat="false" ht="15.75" hidden="false" customHeight="true" outlineLevel="0" collapsed="false">
      <c r="A1241" s="12" t="n">
        <v>13472</v>
      </c>
      <c r="B1241" s="13" t="s">
        <v>5451</v>
      </c>
      <c r="C1241" s="14" t="n">
        <v>45244</v>
      </c>
      <c r="D1241" s="13" t="s">
        <v>5442</v>
      </c>
      <c r="E1241" s="15" t="s">
        <v>47</v>
      </c>
      <c r="F1241" s="15" t="str">
        <f aca="false">IFERROR(__xludf.dummyfunction("XLOOKUP(AJ1241,IMPORTRANGE(""1XaInW9DU9nz21V0tYIfzFQ0He9kVQ_JF2mCXgZ3hqFA"",""REKAP ALL 2026 - Andika!G:G""),IMPORTRANGE(""1XaInW9DU9nz21V0tYIfzFQ0He9kVQ_JF2mCXgZ3hqFA"",""REKAP ALL 2026 - Andika!F:F""),"""",0)"),"14041068371")</f>
        <v>14041068371</v>
      </c>
      <c r="G1241" s="13" t="s">
        <v>5452</v>
      </c>
      <c r="H1241" s="13" t="s">
        <v>35</v>
      </c>
      <c r="I1241" s="13" t="str">
        <f aca="false">IF(C1241=J1241,"NEW KONTRAK","RE-KONTRAK")</f>
        <v>RE-KONTRAK</v>
      </c>
      <c r="J1241" s="16" t="n">
        <f aca="false" t="array" ref="J1241:J1241">IFERROR(INDEX(AC1241:AE1241,IF(COUNTA(AC1241:AE1241)=0,"",MAX((AC1241:AE1241&lt;&gt;"")*(COLUMN(AC1241:AE1241)-(COLUMN(AC1241)))))-1),"")</f>
        <v>45790</v>
      </c>
      <c r="K1241" s="16" t="n">
        <f aca="false" t="array" ref="K1241:K1241">IFERROR(INDEX(AC1241:AE1241,IF(COUNTA(AC1241:AE1241)=0,"",MAX((AC1241:AE1241&lt;&gt;"")*(COLUMN(AC1241:AE1241)-(COLUMN(AC1241)-1))))-1),"")</f>
        <v>46154</v>
      </c>
      <c r="L1241" s="17" t="str">
        <f aca="false" t="array" ref="L1241:L1241">IFERROR(INDEX(AC1241:AE1241,IF(COUNTA(AC1241:AE1241)=0,"",MAX((AC1241:AE1241&lt;&gt;"")*(COLUMN(AC1241:AE1241)-(COLUMN(AC1241)-2))))-1),"")</f>
        <v>KEMBALI</v>
      </c>
      <c r="M1241" s="13" t="n">
        <f aca="true">K1241-TODAY()</f>
        <v>-170</v>
      </c>
      <c r="N1241" s="18" t="s">
        <v>105</v>
      </c>
      <c r="O1241" s="13" t="s">
        <v>5453</v>
      </c>
      <c r="P1241" s="19" t="n">
        <v>5191541</v>
      </c>
      <c r="Q1241" s="20" t="s">
        <v>5454</v>
      </c>
      <c r="R1241" s="13" t="s">
        <v>65</v>
      </c>
      <c r="S1241" s="14" t="n">
        <v>34072</v>
      </c>
      <c r="T1241" s="13" t="s">
        <v>40</v>
      </c>
      <c r="U1241" s="13" t="s">
        <v>5455</v>
      </c>
      <c r="V1241" s="13" t="s">
        <v>42</v>
      </c>
      <c r="W1241" s="13" t="s">
        <v>43</v>
      </c>
      <c r="X1241" s="21" t="n">
        <v>89687808254</v>
      </c>
      <c r="Y1241" s="22" t="str">
        <f aca="false">O1241</f>
        <v>Operator Manda</v>
      </c>
      <c r="Z1241" s="13" t="str">
        <f aca="false">IFERROR(__xludf.dummyfunction("if(BJ1241="""","""",GOOGLETRANSLATE(BJ1241,""auto"",""en""))"),"Operator Command")</f>
        <v>Operator Command</v>
      </c>
      <c r="AA1241" s="23" t="str">
        <f aca="false">IF(C1241="","", CHOOSE(MONTH(C1241),"January","February","March","April","May","June","July","August","September","October","November","December")&amp;" "&amp;DAY(C1241)&amp;MID("thstndrdth",MIN(9,2*RIGHT(DAY(C1241))*(MOD(DAY(C1241)-11,100)&gt;2)+1),2)&amp;","&amp;TEXT(C1241," yyyy"))</f>
        <v>November 14th,2023</v>
      </c>
      <c r="AB1241" s="15" t="str">
        <f aca="true">IF(S1241="","",DATEDIF(S1241,TODAY(),"Y")&amp;" Tahun, "&amp;DATEDIF(S1241,TODAY(),"YM")&amp;" Bulan, "&amp;DATEDIF(S1241,TODAY(),"MD")&amp;" Hari")</f>
        <v>33 Tahun, 6 Bulan, 16 Hari</v>
      </c>
      <c r="AC1241" s="18" t="n">
        <v>45790</v>
      </c>
      <c r="AD1241" s="18" t="n">
        <v>46154</v>
      </c>
      <c r="AE1241" s="13" t="s">
        <v>397</v>
      </c>
    </row>
    <row r="1242" customFormat="false" ht="15.75" hidden="false" customHeight="true" outlineLevel="0" collapsed="false">
      <c r="A1242" s="12" t="n">
        <v>13484</v>
      </c>
      <c r="B1242" s="13" t="s">
        <v>5456</v>
      </c>
      <c r="C1242" s="14" t="n">
        <v>45237</v>
      </c>
      <c r="D1242" s="13" t="s">
        <v>2046</v>
      </c>
      <c r="E1242" s="15" t="s">
        <v>102</v>
      </c>
      <c r="F1242" s="15" t="str">
        <f aca="false">IFERROR(__xludf.dummyfunction("XLOOKUP(AJ1242,IMPORTRANGE(""1XaInW9DU9nz21V0tYIfzFQ0He9kVQ_JF2mCXgZ3hqFA"",""REKAP ALL 2026 - Andika!G:G""),IMPORTRANGE(""1XaInW9DU9nz21V0tYIfzFQ0He9kVQ_JF2mCXgZ3hqFA"",""REKAP ALL 2026 - Andika!F:F""),"""",0)"),"23172178321")</f>
        <v>23172178321</v>
      </c>
      <c r="G1242" s="13" t="s">
        <v>5457</v>
      </c>
      <c r="H1242" s="13" t="s">
        <v>35</v>
      </c>
      <c r="I1242" s="13" t="str">
        <f aca="false">IF(C1242=J1242,"NEW KONTRAK","RE-KONTRAK")</f>
        <v>RE-KONTRAK</v>
      </c>
      <c r="J1242" s="16" t="n">
        <f aca="false" t="array" ref="J1242:J1242">IFERROR(INDEX(AC1242:AE1242,IF(COUNTA(AC1242:AE1242)=0,"",MAX((AC1242:AE1242&lt;&gt;"")*(COLUMN(AC1242:AE1242)-(COLUMN(AC1242)))))-1),"")</f>
        <v>45839</v>
      </c>
      <c r="K1242" s="16" t="n">
        <f aca="false" t="array" ref="K1242:K1242">IFERROR(INDEX(AC1242:AE1242,IF(COUNTA(AC1242:AE1242)=0,"",MAX((AC1242:AE1242&lt;&gt;"")*(COLUMN(AC1242:AE1242)-(COLUMN(AC1242)-1))))-1),"")</f>
        <v>45961</v>
      </c>
      <c r="L1242" s="17" t="str">
        <f aca="false" t="array" ref="L1242:L1242">IFERROR(INDEX(AC1242:AE1242,IF(COUNTA(AC1242:AE1242)=0,"",MAX((AC1242:AE1242&lt;&gt;"")*(COLUMN(AC1242:AE1242)-(COLUMN(AC1242)-2))))-1),"")</f>
        <v>ARCHIVED</v>
      </c>
      <c r="M1242" s="13" t="n">
        <f aca="true">K1242-TODAY()</f>
        <v>-363</v>
      </c>
      <c r="N1242" s="18" t="s">
        <v>36</v>
      </c>
      <c r="O1242" s="13" t="s">
        <v>1773</v>
      </c>
      <c r="P1242" s="19" t="s">
        <v>3133</v>
      </c>
      <c r="Q1242" s="20" t="s">
        <v>5458</v>
      </c>
      <c r="R1242" s="13" t="s">
        <v>39</v>
      </c>
      <c r="S1242" s="14" t="n">
        <v>35745</v>
      </c>
      <c r="T1242" s="13" t="s">
        <v>40</v>
      </c>
      <c r="U1242" s="13" t="s">
        <v>5459</v>
      </c>
      <c r="V1242" s="13" t="s">
        <v>42</v>
      </c>
      <c r="W1242" s="13" t="s">
        <v>43</v>
      </c>
      <c r="X1242" s="21" t="n">
        <v>8563283391</v>
      </c>
      <c r="Y1242" s="22" t="str">
        <f aca="false">O1242</f>
        <v>Warehouse</v>
      </c>
      <c r="Z1242" s="13" t="str">
        <f aca="false">IFERROR(__xludf.dummyfunction("if(BJ1242="""","""",GOOGLETRANSLATE(BJ1242,""auto"",""en""))"),"Warehouse")</f>
        <v>Warehouse</v>
      </c>
      <c r="AA1242" s="23" t="str">
        <f aca="false">IF(C1242="","", CHOOSE(MONTH(C1242),"January","February","March","April","May","June","July","August","September","October","November","December")&amp;" "&amp;DAY(C1242)&amp;MID("thstndrdth",MIN(9,2*RIGHT(DAY(C1242))*(MOD(DAY(C1242)-11,100)&gt;2)+1),2)&amp;","&amp;TEXT(C1242," yyyy"))</f>
        <v>November 7th,2023</v>
      </c>
      <c r="AB1242" s="15" t="str">
        <f aca="true">IF(S1242="","",DATEDIF(S1242,TODAY(),"Y")&amp;" Tahun, "&amp;DATEDIF(S1242,TODAY(),"YM")&amp;" Bulan, "&amp;DATEDIF(S1242,TODAY(),"MD")&amp;" Hari")</f>
        <v>28 Tahun, 11 Bulan, 18 Hari</v>
      </c>
      <c r="AC1242" s="18" t="n">
        <v>45839</v>
      </c>
      <c r="AD1242" s="18" t="n">
        <v>45961</v>
      </c>
      <c r="AE1242" s="18" t="s">
        <v>44</v>
      </c>
    </row>
    <row r="1243" customFormat="false" ht="15.75" hidden="false" customHeight="true" outlineLevel="0" collapsed="false">
      <c r="A1243" s="12" t="n">
        <v>13506</v>
      </c>
      <c r="B1243" s="13" t="s">
        <v>5460</v>
      </c>
      <c r="C1243" s="14" t="n">
        <v>45236</v>
      </c>
      <c r="D1243" s="13" t="s">
        <v>2033</v>
      </c>
      <c r="E1243" s="15" t="s">
        <v>33</v>
      </c>
      <c r="F1243" s="24" t="s">
        <v>5461</v>
      </c>
      <c r="G1243" s="13" t="s">
        <v>5462</v>
      </c>
      <c r="H1243" s="13" t="s">
        <v>2035</v>
      </c>
      <c r="I1243" s="13" t="str">
        <f aca="false">IF(C1243=J1243,"NEW KONTRAK","RE-KONTRAK")</f>
        <v>RE-KONTRAK</v>
      </c>
      <c r="J1243" s="16" t="n">
        <f aca="false" t="array" ref="J1243:J1243">IFERROR(INDEX(AC1243:AE1243,IF(COUNTA(AC1243:AE1243)=0,"",MAX((AC1243:AE1243&lt;&gt;"")*(COLUMN(AC1243:AE1243)-(COLUMN(AC1243)))))-1),"")</f>
        <v>45744</v>
      </c>
      <c r="K1243" s="16" t="n">
        <f aca="false" t="array" ref="K1243:K1243">IFERROR(INDEX(AC1243:AE1243,IF(COUNTA(AC1243:AE1243)=0,"",MAX((AC1243:AE1243&lt;&gt;"")*(COLUMN(AC1243:AE1243)-(COLUMN(AC1243)-1))))-1),"")</f>
        <v>45915</v>
      </c>
      <c r="L1243" s="17" t="str">
        <f aca="false" t="array" ref="L1243:L1243">IFERROR(INDEX(AC1243:AE1243,IF(COUNTA(AC1243:AE1243)=0,"",MAX((AC1243:AE1243&lt;&gt;"")*(COLUMN(AC1243:AE1243)-(COLUMN(AC1243)-2))))-1),"")</f>
        <v>ARCHIVED</v>
      </c>
      <c r="M1243" s="13" t="n">
        <f aca="true">K1243-TODAY()</f>
        <v>-409</v>
      </c>
      <c r="N1243" s="18" t="s">
        <v>2383</v>
      </c>
      <c r="O1243" s="13" t="s">
        <v>2037</v>
      </c>
      <c r="P1243" s="19" t="n">
        <v>3933620</v>
      </c>
      <c r="Q1243" s="20" t="s">
        <v>5463</v>
      </c>
      <c r="R1243" s="13" t="s">
        <v>2379</v>
      </c>
      <c r="S1243" s="14" t="n">
        <v>35273</v>
      </c>
      <c r="T1243" s="13" t="s">
        <v>108</v>
      </c>
      <c r="U1243" s="13" t="s">
        <v>5464</v>
      </c>
      <c r="V1243" s="13" t="s">
        <v>42</v>
      </c>
      <c r="W1243" s="13" t="s">
        <v>43</v>
      </c>
      <c r="X1243" s="21" t="n">
        <v>85314247272</v>
      </c>
      <c r="Y1243" s="22" t="str">
        <f aca="false">O1243</f>
        <v>SPG/BA</v>
      </c>
      <c r="Z1243" s="13" t="str">
        <f aca="false">IFERROR(__xludf.dummyfunction("if(BJ1243="""","""",GOOGLETRANSLATE(BJ1243,""auto"",""en""))"),"SPG/BA")</f>
        <v>SPG/BA</v>
      </c>
      <c r="AA1243" s="23" t="str">
        <f aca="false">IF(C1243="","", CHOOSE(MONTH(C1243),"January","February","March","April","May","June","July","August","September","October","November","December")&amp;" "&amp;DAY(C1243)&amp;MID("thstndrdth",MIN(9,2*RIGHT(DAY(C1243))*(MOD(DAY(C1243)-11,100)&gt;2)+1),2)&amp;","&amp;TEXT(C1243," yyyy"))</f>
        <v>November 6th,2023</v>
      </c>
      <c r="AB1243" s="15" t="str">
        <f aca="true">IF(S1243="","",DATEDIF(S1243,TODAY(),"Y")&amp;" Tahun, "&amp;DATEDIF(S1243,TODAY(),"YM")&amp;" Bulan, "&amp;DATEDIF(S1243,TODAY(),"MD")&amp;" Hari")</f>
        <v>30 Tahun, 3 Bulan, 2 Hari</v>
      </c>
      <c r="AC1243" s="18" t="n">
        <v>45744</v>
      </c>
      <c r="AD1243" s="18" t="n">
        <v>45915</v>
      </c>
      <c r="AE1243" s="18" t="s">
        <v>44</v>
      </c>
    </row>
    <row r="1244" customFormat="false" ht="15.75" hidden="false" customHeight="true" outlineLevel="0" collapsed="false">
      <c r="A1244" s="12" t="n">
        <v>13514</v>
      </c>
      <c r="B1244" s="13" t="s">
        <v>5465</v>
      </c>
      <c r="C1244" s="14" t="n">
        <v>45245</v>
      </c>
      <c r="D1244" s="13" t="s">
        <v>1066</v>
      </c>
      <c r="E1244" s="15" t="s">
        <v>102</v>
      </c>
      <c r="F1244" s="24" t="s">
        <v>5466</v>
      </c>
      <c r="G1244" s="13" t="s">
        <v>5467</v>
      </c>
      <c r="H1244" s="13" t="s">
        <v>35</v>
      </c>
      <c r="I1244" s="13" t="str">
        <f aca="false">IF(C1244=J1244,"NEW KONTRAK","RE-KONTRAK")</f>
        <v>RE-KONTRAK</v>
      </c>
      <c r="J1244" s="16" t="n">
        <f aca="false" t="array" ref="J1244:J1244">IFERROR(INDEX(AC1244:AE1244,IF(COUNTA(AC1244:AE1244)=0,"",MAX((AC1244:AE1244&lt;&gt;"")*(COLUMN(AC1244:AE1244)-(COLUMN(AC1244)))))-1),"")</f>
        <v>45658</v>
      </c>
      <c r="K1244" s="16" t="n">
        <f aca="false" t="array" ref="K1244:K1244">IFERROR(INDEX(AC1244:AE1244,IF(COUNTA(AC1244:AE1244)=0,"",MAX((AC1244:AE1244&lt;&gt;"")*(COLUMN(AC1244:AE1244)-(COLUMN(AC1244)-1))))-1),"")</f>
        <v>46022</v>
      </c>
      <c r="L1244" s="17" t="str">
        <f aca="false" t="array" ref="L1244:L1244">IFERROR(INDEX(AC1244:AE1244,IF(COUNTA(AC1244:AE1244)=0,"",MAX((AC1244:AE1244&lt;&gt;"")*(COLUMN(AC1244:AE1244)-(COLUMN(AC1244)-2))))-1),"")</f>
        <v>ARCHIVED</v>
      </c>
      <c r="M1244" s="13" t="n">
        <f aca="true">K1244-TODAY()</f>
        <v>-302</v>
      </c>
      <c r="N1244" s="18" t="s">
        <v>615</v>
      </c>
      <c r="O1244" s="13" t="s">
        <v>1068</v>
      </c>
      <c r="P1244" s="19" t="n">
        <v>5176101</v>
      </c>
      <c r="Q1244" s="20" t="s">
        <v>5468</v>
      </c>
      <c r="R1244" s="13" t="s">
        <v>232</v>
      </c>
      <c r="S1244" s="14" t="n">
        <v>38352</v>
      </c>
      <c r="T1244" s="13" t="s">
        <v>108</v>
      </c>
      <c r="U1244" s="13" t="s">
        <v>5469</v>
      </c>
      <c r="V1244" s="13" t="s">
        <v>99</v>
      </c>
      <c r="W1244" s="13" t="s">
        <v>43</v>
      </c>
      <c r="X1244" s="21" t="n">
        <v>89677308197</v>
      </c>
      <c r="Y1244" s="22" t="str">
        <f aca="false">O1244</f>
        <v>Production Packer</v>
      </c>
      <c r="Z1244" s="13" t="str">
        <f aca="false">IFERROR(__xludf.dummyfunction("if(BJ1244="""","""",GOOGLETRANSLATE(BJ1244,""auto"",""en""))"),"Production Packer")</f>
        <v>Production Packer</v>
      </c>
      <c r="AA1244" s="23" t="str">
        <f aca="false">IF(C1244="","", CHOOSE(MONTH(C1244),"January","February","March","April","May","June","July","August","September","October","November","December")&amp;" "&amp;DAY(C1244)&amp;MID("thstndrdth",MIN(9,2*RIGHT(DAY(C1244))*(MOD(DAY(C1244)-11,100)&gt;2)+1),2)&amp;","&amp;TEXT(C1244," yyyy"))</f>
        <v>November 15th,2023</v>
      </c>
      <c r="AB1244" s="15" t="str">
        <f aca="true">IF(S1244="","",DATEDIF(S1244,TODAY(),"Y")&amp;" Tahun, "&amp;DATEDIF(S1244,TODAY(),"YM")&amp;" Bulan, "&amp;DATEDIF(S1244,TODAY(),"MD")&amp;" Hari")</f>
        <v>21 Tahun, 9 Bulan, 28 Hari</v>
      </c>
      <c r="AC1244" s="18" t="n">
        <v>45658</v>
      </c>
      <c r="AD1244" s="18" t="n">
        <v>46022</v>
      </c>
      <c r="AE1244" s="18" t="s">
        <v>44</v>
      </c>
    </row>
    <row r="1245" customFormat="false" ht="15.75" hidden="false" customHeight="true" outlineLevel="0" collapsed="false">
      <c r="A1245" s="12" t="n">
        <v>13548</v>
      </c>
      <c r="B1245" s="13" t="s">
        <v>5470</v>
      </c>
      <c r="C1245" s="14" t="n">
        <v>45243</v>
      </c>
      <c r="D1245" s="13" t="s">
        <v>5416</v>
      </c>
      <c r="E1245" s="15" t="s">
        <v>47</v>
      </c>
      <c r="F1245" s="15" t="str">
        <f aca="false">IFERROR(__xludf.dummyfunction("XLOOKUP(AJ1245,IMPORTRANGE(""1XaInW9DU9nz21V0tYIfzFQ0He9kVQ_JF2mCXgZ3hqFA"",""REKAP ALL 2026 - Andika!G:G""),IMPORTRANGE(""1XaInW9DU9nz21V0tYIfzFQ0He9kVQ_JF2mCXgZ3hqFA"",""REKAP ALL 2026 - Andika!F:F""),"""",0)"),"23197578893")</f>
        <v>23197578893</v>
      </c>
      <c r="G1245" s="13" t="s">
        <v>5471</v>
      </c>
      <c r="H1245" s="13" t="s">
        <v>35</v>
      </c>
      <c r="I1245" s="13" t="str">
        <f aca="false">IF(C1245=J1245,"NEW KONTRAK","RE-KONTRAK")</f>
        <v>RE-KONTRAK</v>
      </c>
      <c r="J1245" s="16" t="n">
        <f aca="false" t="array" ref="J1245:J1245">IFERROR(INDEX(AC1245:AE1245,IF(COUNTA(AC1245:AE1245)=0,"",MAX((AC1245:AE1245&lt;&gt;"")*(COLUMN(AC1245:AE1245)-(COLUMN(AC1245)))))-1),"")</f>
        <v>45883</v>
      </c>
      <c r="K1245" s="16" t="n">
        <f aca="false" t="array" ref="K1245:K1245">IFERROR(INDEX(AC1245:AE1245,IF(COUNTA(AC1245:AE1245)=0,"",MAX((AC1245:AE1245&lt;&gt;"")*(COLUMN(AC1245:AE1245)-(COLUMN(AC1245)-1))))-1),"")</f>
        <v>45947</v>
      </c>
      <c r="L1245" s="17" t="str">
        <f aca="false" t="array" ref="L1245:L1245">IFERROR(INDEX(AC1245:AE1245,IF(COUNTA(AC1245:AE1245)=0,"",MAX((AC1245:AE1245&lt;&gt;"")*(COLUMN(AC1245:AE1245)-(COLUMN(AC1245)-2))))-1),"")</f>
        <v>ARCHIVED</v>
      </c>
      <c r="M1245" s="13" t="n">
        <f aca="true">K1245-TODAY()</f>
        <v>-377</v>
      </c>
      <c r="N1245" s="18" t="s">
        <v>36</v>
      </c>
      <c r="O1245" s="13" t="s">
        <v>5418</v>
      </c>
      <c r="P1245" s="19" t="n">
        <v>5195401</v>
      </c>
      <c r="Q1245" s="20" t="s">
        <v>5472</v>
      </c>
      <c r="R1245" s="13" t="s">
        <v>52</v>
      </c>
      <c r="S1245" s="14" t="n">
        <v>35039</v>
      </c>
      <c r="T1245" s="13" t="s">
        <v>40</v>
      </c>
      <c r="U1245" s="13" t="s">
        <v>5473</v>
      </c>
      <c r="V1245" s="13" t="s">
        <v>42</v>
      </c>
      <c r="W1245" s="13" t="s">
        <v>54</v>
      </c>
      <c r="X1245" s="21" t="n">
        <v>87705536074</v>
      </c>
      <c r="Y1245" s="22" t="str">
        <f aca="false">O1245</f>
        <v>HSE Junior</v>
      </c>
      <c r="Z1245" s="13" t="str">
        <f aca="false">IFERROR(__xludf.dummyfunction("if(BJ1245="""","""",GOOGLETRANSLATE(BJ1245,""auto"",""en""))"),"HSE Junior")</f>
        <v>HSE Junior</v>
      </c>
      <c r="AA1245" s="23" t="str">
        <f aca="false">IF(C1245="","", CHOOSE(MONTH(C1245),"January","February","March","April","May","June","July","August","September","October","November","December")&amp;" "&amp;DAY(C1245)&amp;MID("thstndrdth",MIN(9,2*RIGHT(DAY(C1245))*(MOD(DAY(C1245)-11,100)&gt;2)+1),2)&amp;","&amp;TEXT(C1245," yyyy"))</f>
        <v>November 13th,2023</v>
      </c>
      <c r="AB1245" s="15" t="str">
        <f aca="true">IF(S1245="","",DATEDIF(S1245,TODAY(),"Y")&amp;" Tahun, "&amp;DATEDIF(S1245,TODAY(),"YM")&amp;" Bulan, "&amp;DATEDIF(S1245,TODAY(),"MD")&amp;" Hari")</f>
        <v>30 Tahun, 10 Bulan, 23 Hari</v>
      </c>
      <c r="AC1245" s="18" t="n">
        <v>45883</v>
      </c>
      <c r="AD1245" s="18" t="n">
        <v>45947</v>
      </c>
      <c r="AE1245" s="18" t="s">
        <v>44</v>
      </c>
    </row>
    <row r="1246" customFormat="false" ht="15.75" hidden="false" customHeight="true" outlineLevel="0" collapsed="false">
      <c r="A1246" s="12" t="n">
        <v>13562</v>
      </c>
      <c r="B1246" s="13" t="s">
        <v>5474</v>
      </c>
      <c r="C1246" s="14" t="n">
        <v>45247</v>
      </c>
      <c r="D1246" s="13" t="s">
        <v>3838</v>
      </c>
      <c r="E1246" s="15" t="s">
        <v>47</v>
      </c>
      <c r="F1246" s="15" t="str">
        <f aca="false">IFERROR(__xludf.dummyfunction("XLOOKUP(AJ1246,IMPORTRANGE(""1XaInW9DU9nz21V0tYIfzFQ0He9kVQ_JF2mCXgZ3hqFA"",""REKAP ALL 2026 - Andika!G:G""),IMPORTRANGE(""1XaInW9DU9nz21V0tYIfzFQ0He9kVQ_JF2mCXgZ3hqFA"",""REKAP ALL 2026 - Andika!F:F""),"""",0)"),"23197578679")</f>
        <v>23197578679</v>
      </c>
      <c r="G1246" s="13" t="s">
        <v>5475</v>
      </c>
      <c r="H1246" s="13" t="s">
        <v>35</v>
      </c>
      <c r="I1246" s="13" t="str">
        <f aca="false">IF(C1246=J1246,"NEW KONTRAK","RE-KONTRAK")</f>
        <v>RE-KONTRAK</v>
      </c>
      <c r="J1246" s="16" t="n">
        <f aca="false" t="array" ref="J1246:J1246">IFERROR(INDEX(AC1246:AE1246,IF(COUNTA(AC1246:AE1246)=0,"",MAX((AC1246:AE1246&lt;&gt;"")*(COLUMN(AC1246:AE1246)-(COLUMN(AC1246)))))-1),"")</f>
        <v>45658</v>
      </c>
      <c r="K1246" s="16" t="n">
        <f aca="false" t="array" ref="K1246:K1246">IFERROR(INDEX(AC1246:AE1246,IF(COUNTA(AC1246:AE1246)=0,"",MAX((AC1246:AE1246&lt;&gt;"")*(COLUMN(AC1246:AE1246)-(COLUMN(AC1246)-1))))-1),"")</f>
        <v>46022</v>
      </c>
      <c r="L1246" s="17" t="str">
        <f aca="false" t="array" ref="L1246:L1246">IFERROR(INDEX(AC1246:AE1246,IF(COUNTA(AC1246:AE1246)=0,"",MAX((AC1246:AE1246&lt;&gt;"")*(COLUMN(AC1246:AE1246)-(COLUMN(AC1246)-2))))-1),"")</f>
        <v>ARCHIVED</v>
      </c>
      <c r="M1246" s="13" t="n">
        <f aca="true">K1246-TODAY()</f>
        <v>-302</v>
      </c>
      <c r="N1246" s="18" t="s">
        <v>749</v>
      </c>
      <c r="O1246" s="13" t="s">
        <v>2810</v>
      </c>
      <c r="P1246" s="19" t="n">
        <v>3983882</v>
      </c>
      <c r="Q1246" s="20" t="s">
        <v>5476</v>
      </c>
      <c r="R1246" s="13" t="s">
        <v>752</v>
      </c>
      <c r="S1246" s="14" t="n">
        <v>30498</v>
      </c>
      <c r="T1246" s="13" t="s">
        <v>108</v>
      </c>
      <c r="U1246" s="13" t="s">
        <v>5477</v>
      </c>
      <c r="V1246" s="13" t="s">
        <v>42</v>
      </c>
      <c r="W1246" s="13" t="s">
        <v>54</v>
      </c>
      <c r="X1246" s="21" t="n">
        <v>81258423246</v>
      </c>
      <c r="Y1246" s="22" t="str">
        <f aca="false">O1246</f>
        <v>Office Girl</v>
      </c>
      <c r="Z1246" s="13" t="str">
        <f aca="false">IFERROR(__xludf.dummyfunction("if(BJ1246="""","""",GOOGLETRANSLATE(BJ1246,""auto"",""en""))"),"Office Girl")</f>
        <v>Office Girl</v>
      </c>
      <c r="AA1246" s="23" t="str">
        <f aca="false">IF(C1246="","", CHOOSE(MONTH(C1246),"January","February","March","April","May","June","July","August","September","October","November","December")&amp;" "&amp;DAY(C1246)&amp;MID("thstndrdth",MIN(9,2*RIGHT(DAY(C1246))*(MOD(DAY(C1246)-11,100)&gt;2)+1),2)&amp;","&amp;TEXT(C1246," yyyy"))</f>
        <v>November 17th,2023</v>
      </c>
      <c r="AB1246" s="15" t="str">
        <f aca="true">IF(S1246="","",DATEDIF(S1246,TODAY(),"Y")&amp;" Tahun, "&amp;DATEDIF(S1246,TODAY(),"YM")&amp;" Bulan, "&amp;DATEDIF(S1246,TODAY(),"MD")&amp;" Hari")</f>
        <v>43 Tahun, 3 Bulan, 28 Hari</v>
      </c>
      <c r="AC1246" s="18" t="n">
        <v>45658</v>
      </c>
      <c r="AD1246" s="18" t="n">
        <v>46022</v>
      </c>
      <c r="AE1246" s="18" t="s">
        <v>44</v>
      </c>
    </row>
    <row r="1247" customFormat="false" ht="15.75" hidden="false" customHeight="true" outlineLevel="0" collapsed="false">
      <c r="A1247" s="12" t="n">
        <v>13564</v>
      </c>
      <c r="B1247" s="13" t="s">
        <v>5478</v>
      </c>
      <c r="C1247" s="14" t="n">
        <v>45247</v>
      </c>
      <c r="D1247" s="13" t="s">
        <v>5030</v>
      </c>
      <c r="E1247" s="15" t="s">
        <v>47</v>
      </c>
      <c r="F1247" s="15" t="str">
        <f aca="false">IFERROR(__xludf.dummyfunction("XLOOKUP(AJ1247,IMPORTRANGE(""1XaInW9DU9nz21V0tYIfzFQ0He9kVQ_JF2mCXgZ3hqFA"",""REKAP ALL 2026 - Andika!G:G""),IMPORTRANGE(""1XaInW9DU9nz21V0tYIfzFQ0He9kVQ_JF2mCXgZ3hqFA"",""REKAP ALL 2026 - Andika!F:F""),"""",0)"),"23197579768")</f>
        <v>23197579768</v>
      </c>
      <c r="G1247" s="13" t="s">
        <v>5479</v>
      </c>
      <c r="H1247" s="13" t="s">
        <v>35</v>
      </c>
      <c r="I1247" s="13" t="str">
        <f aca="false">IF(C1247=J1247,"NEW KONTRAK","RE-KONTRAK")</f>
        <v>RE-KONTRAK</v>
      </c>
      <c r="J1247" s="16" t="n">
        <f aca="false" t="array" ref="J1247:J1247">IFERROR(INDEX(AC1247:AE1247,IF(COUNTA(AC1247:AE1247)=0,"",MAX((AC1247:AE1247&lt;&gt;"")*(COLUMN(AC1247:AE1247)-(COLUMN(AC1247)))))-1),"")</f>
        <v>45870</v>
      </c>
      <c r="K1247" s="16" t="n">
        <f aca="false" t="array" ref="K1247:K1247">IFERROR(INDEX(AC1247:AE1247,IF(COUNTA(AC1247:AE1247)=0,"",MAX((AC1247:AE1247&lt;&gt;"")*(COLUMN(AC1247:AE1247)-(COLUMN(AC1247)-1))))-1),"")</f>
        <v>46234</v>
      </c>
      <c r="L1247" s="17" t="str">
        <f aca="false" t="array" ref="L1247:L1247">IFERROR(INDEX(AC1247:AE1247,IF(COUNTA(AC1247:AE1247)=0,"",MAX((AC1247:AE1247&lt;&gt;"")*(COLUMN(AC1247:AE1247)-(COLUMN(AC1247)-2))))-1),"")</f>
        <v>ARCHIVED</v>
      </c>
      <c r="M1247" s="13" t="n">
        <f aca="true">K1247-TODAY()</f>
        <v>-90</v>
      </c>
      <c r="N1247" s="18" t="s">
        <v>728</v>
      </c>
      <c r="O1247" s="13" t="s">
        <v>5032</v>
      </c>
      <c r="P1247" s="27" t="n">
        <v>5195401</v>
      </c>
      <c r="Q1247" s="20" t="s">
        <v>5480</v>
      </c>
      <c r="R1247" s="13" t="s">
        <v>52</v>
      </c>
      <c r="S1247" s="14" t="n">
        <v>34427</v>
      </c>
      <c r="T1247" s="13" t="s">
        <v>40</v>
      </c>
      <c r="U1247" s="13" t="s">
        <v>5481</v>
      </c>
      <c r="V1247" s="13" t="s">
        <v>42</v>
      </c>
      <c r="W1247" s="13" t="s">
        <v>43</v>
      </c>
      <c r="X1247" s="21" t="n">
        <v>81252860096</v>
      </c>
      <c r="Y1247" s="22" t="str">
        <f aca="false">O1247</f>
        <v>Operator Genset</v>
      </c>
      <c r="Z1247" s="13" t="str">
        <f aca="false">IFERROR(__xludf.dummyfunction("if(BJ1247="""","""",GOOGLETRANSLATE(BJ1247,""auto"",""en""))"),"Generator Operator")</f>
        <v>Generator Operator</v>
      </c>
      <c r="AA1247" s="23" t="str">
        <f aca="false">IF(C1247="","", CHOOSE(MONTH(C1247),"January","February","March","April","May","June","July","August","September","October","November","December")&amp;" "&amp;DAY(C1247)&amp;MID("thstndrdth",MIN(9,2*RIGHT(DAY(C1247))*(MOD(DAY(C1247)-11,100)&gt;2)+1),2)&amp;","&amp;TEXT(C1247," yyyy"))</f>
        <v>November 17th,2023</v>
      </c>
      <c r="AB1247" s="15" t="str">
        <f aca="true">IF(S1247="","",DATEDIF(S1247,TODAY(),"Y")&amp;" Tahun, "&amp;DATEDIF(S1247,TODAY(),"YM")&amp;" Bulan, "&amp;DATEDIF(S1247,TODAY(),"MD")&amp;" Hari")</f>
        <v>32 Tahun, 6 Bulan, 26 Hari</v>
      </c>
      <c r="AC1247" s="18" t="n">
        <v>45870</v>
      </c>
      <c r="AD1247" s="18" t="n">
        <v>46234</v>
      </c>
      <c r="AE1247" s="18" t="s">
        <v>44</v>
      </c>
    </row>
    <row r="1248" customFormat="false" ht="15.75" hidden="false" customHeight="true" outlineLevel="0" collapsed="false">
      <c r="A1248" s="12" t="n">
        <v>13573</v>
      </c>
      <c r="B1248" s="13" t="s">
        <v>5482</v>
      </c>
      <c r="C1248" s="14" t="n">
        <v>45243</v>
      </c>
      <c r="D1248" s="13" t="s">
        <v>2046</v>
      </c>
      <c r="E1248" s="15" t="s">
        <v>102</v>
      </c>
      <c r="F1248" s="24" t="s">
        <v>5483</v>
      </c>
      <c r="G1248" s="13" t="s">
        <v>5484</v>
      </c>
      <c r="H1248" s="13" t="s">
        <v>35</v>
      </c>
      <c r="I1248" s="13" t="str">
        <f aca="false">IF(C1248=J1248,"NEW KONTRAK","RE-KONTRAK")</f>
        <v>RE-KONTRAK</v>
      </c>
      <c r="J1248" s="16" t="n">
        <f aca="false" t="array" ref="J1248:J1248">IFERROR(INDEX(AC1248:AE1248,IF(COUNTA(AC1248:AE1248)=0,"",MAX((AC1248:AE1248&lt;&gt;"")*(COLUMN(AC1248:AE1248)-(COLUMN(AC1248)))))-1),"")</f>
        <v>45839</v>
      </c>
      <c r="K1248" s="16" t="n">
        <f aca="false" t="array" ref="K1248:K1248">IFERROR(INDEX(AC1248:AE1248,IF(COUNTA(AC1248:AE1248)=0,"",MAX((AC1248:AE1248&lt;&gt;"")*(COLUMN(AC1248:AE1248)-(COLUMN(AC1248)-1))))-1),"")</f>
        <v>45961</v>
      </c>
      <c r="L1248" s="17" t="str">
        <f aca="false" t="array" ref="L1248:L1248">IFERROR(INDEX(AC1248:AE1248,IF(COUNTA(AC1248:AE1248)=0,"",MAX((AC1248:AE1248&lt;&gt;"")*(COLUMN(AC1248:AE1248)-(COLUMN(AC1248)-2))))-1),"")</f>
        <v>ARCHIVED</v>
      </c>
      <c r="M1248" s="13" t="n">
        <f aca="true">K1248-TODAY()</f>
        <v>-363</v>
      </c>
      <c r="N1248" s="18" t="s">
        <v>36</v>
      </c>
      <c r="O1248" s="13" t="s">
        <v>58</v>
      </c>
      <c r="P1248" s="19" t="s">
        <v>2050</v>
      </c>
      <c r="Q1248" s="20" t="s">
        <v>5485</v>
      </c>
      <c r="R1248" s="13" t="s">
        <v>52</v>
      </c>
      <c r="S1248" s="14" t="n">
        <v>36692</v>
      </c>
      <c r="T1248" s="13" t="s">
        <v>40</v>
      </c>
      <c r="U1248" s="13" t="s">
        <v>5486</v>
      </c>
      <c r="V1248" s="13" t="s">
        <v>42</v>
      </c>
      <c r="W1248" s="13" t="s">
        <v>43</v>
      </c>
      <c r="X1248" s="21" t="n">
        <v>85259204233</v>
      </c>
      <c r="Y1248" s="22" t="str">
        <f aca="false">O1248</f>
        <v>Produksi</v>
      </c>
      <c r="Z1248" s="13" t="str">
        <f aca="false">IFERROR(__xludf.dummyfunction("if(BJ1248="""","""",GOOGLETRANSLATE(BJ1248,""auto"",""en""))"),"Production")</f>
        <v>Production</v>
      </c>
      <c r="AA1248" s="23" t="str">
        <f aca="false">IF(C1248="","", CHOOSE(MONTH(C1248),"January","February","March","April","May","June","July","August","September","October","November","December")&amp;" "&amp;DAY(C1248)&amp;MID("thstndrdth",MIN(9,2*RIGHT(DAY(C1248))*(MOD(DAY(C1248)-11,100)&gt;2)+1),2)&amp;","&amp;TEXT(C1248," yyyy"))</f>
        <v>November 13th,2023</v>
      </c>
      <c r="AB1248" s="15" t="str">
        <f aca="true">IF(S1248="","",DATEDIF(S1248,TODAY(),"Y")&amp;" Tahun, "&amp;DATEDIF(S1248,TODAY(),"YM")&amp;" Bulan, "&amp;DATEDIF(S1248,TODAY(),"MD")&amp;" Hari")</f>
        <v>26 Tahun, 4 Bulan, 14 Hari</v>
      </c>
      <c r="AC1248" s="18" t="n">
        <v>45839</v>
      </c>
      <c r="AD1248" s="18" t="n">
        <v>45961</v>
      </c>
      <c r="AE1248" s="18" t="s">
        <v>44</v>
      </c>
    </row>
    <row r="1249" customFormat="false" ht="15.75" hidden="false" customHeight="true" outlineLevel="0" collapsed="false">
      <c r="A1249" s="12" t="n">
        <v>13576</v>
      </c>
      <c r="B1249" s="13" t="s">
        <v>5487</v>
      </c>
      <c r="C1249" s="14" t="n">
        <v>45248</v>
      </c>
      <c r="D1249" s="13" t="s">
        <v>4264</v>
      </c>
      <c r="E1249" s="15" t="s">
        <v>47</v>
      </c>
      <c r="F1249" s="15" t="str">
        <f aca="false">IFERROR(__xludf.dummyfunction("XLOOKUP(AJ1249,IMPORTRANGE(""1XaInW9DU9nz21V0tYIfzFQ0He9kVQ_JF2mCXgZ3hqFA"",""REKAP ALL 2026 - Andika!G:G""),IMPORTRANGE(""1XaInW9DU9nz21V0tYIfzFQ0He9kVQ_JF2mCXgZ3hqFA"",""REKAP ALL 2026 - Andika!F:F""),"""",0)"),"23197580055")</f>
        <v>23197580055</v>
      </c>
      <c r="G1249" s="13" t="s">
        <v>57</v>
      </c>
      <c r="H1249" s="13" t="s">
        <v>35</v>
      </c>
      <c r="I1249" s="13" t="str">
        <f aca="false">IF(C1249=J1249,"NEW KONTRAK","RE-KONTRAK")</f>
        <v>RE-KONTRAK</v>
      </c>
      <c r="J1249" s="16" t="n">
        <f aca="false" t="array" ref="J1249:J1249">IFERROR(INDEX(AC1249:AE1249,IF(COUNTA(AC1249:AE1249)=0,"",MAX((AC1249:AE1249&lt;&gt;"")*(COLUMN(AC1249:AE1249)-(COLUMN(AC1249)))))-1),"")</f>
        <v>45764</v>
      </c>
      <c r="K1249" s="16" t="n">
        <f aca="false" t="array" ref="K1249:K1249">IFERROR(INDEX(AC1249:AE1249,IF(COUNTA(AC1249:AE1249)=0,"",MAX((AC1249:AE1249&lt;&gt;"")*(COLUMN(AC1249:AE1249)-(COLUMN(AC1249)-1))))-1),"")</f>
        <v>45946</v>
      </c>
      <c r="L1249" s="17" t="str">
        <f aca="false" t="array" ref="L1249:L1249">IFERROR(INDEX(AC1249:AE1249,IF(COUNTA(AC1249:AE1249)=0,"",MAX((AC1249:AE1249&lt;&gt;"")*(COLUMN(AC1249:AE1249)-(COLUMN(AC1249)-2))))-1),"")</f>
        <v>ARCHIVED</v>
      </c>
      <c r="M1249" s="13" t="n">
        <f aca="true">K1249-TODAY()</f>
        <v>-378</v>
      </c>
      <c r="N1249" s="18" t="s">
        <v>36</v>
      </c>
      <c r="O1249" s="13" t="s">
        <v>4280</v>
      </c>
      <c r="P1249" s="27" t="n">
        <v>120000</v>
      </c>
      <c r="Q1249" s="20" t="s">
        <v>5488</v>
      </c>
      <c r="R1249" s="13" t="s">
        <v>65</v>
      </c>
      <c r="S1249" s="14" t="n">
        <v>35774</v>
      </c>
      <c r="T1249" s="13" t="s">
        <v>108</v>
      </c>
      <c r="U1249" s="13" t="s">
        <v>5489</v>
      </c>
      <c r="V1249" s="13" t="s">
        <v>42</v>
      </c>
      <c r="W1249" s="13" t="s">
        <v>54</v>
      </c>
      <c r="X1249" s="21" t="n">
        <v>85974877166</v>
      </c>
      <c r="Y1249" s="22" t="str">
        <f aca="false">O1249</f>
        <v>Helper Cutting</v>
      </c>
      <c r="Z1249" s="13" t="str">
        <f aca="false">IFERROR(__xludf.dummyfunction("if(BJ1249="""","""",GOOGLETRANSLATE(BJ1249,""auto"",""en""))"),"Helper Cutting")</f>
        <v>Helper Cutting</v>
      </c>
      <c r="AA1249" s="23" t="str">
        <f aca="false">IF(C1249="","", CHOOSE(MONTH(C1249),"January","February","March","April","May","June","July","August","September","October","November","December")&amp;" "&amp;DAY(C1249)&amp;MID("thstndrdth",MIN(9,2*RIGHT(DAY(C1249))*(MOD(DAY(C1249)-11,100)&gt;2)+1),2)&amp;","&amp;TEXT(C1249," yyyy"))</f>
        <v>November 18th,2023</v>
      </c>
      <c r="AB1249" s="15" t="str">
        <f aca="true">IF(S1249="","",DATEDIF(S1249,TODAY(),"Y")&amp;" Tahun, "&amp;DATEDIF(S1249,TODAY(),"YM")&amp;" Bulan, "&amp;DATEDIF(S1249,TODAY(),"MD")&amp;" Hari")</f>
        <v>28 Tahun, 10 Bulan, 19 Hari</v>
      </c>
      <c r="AC1249" s="18" t="n">
        <v>45764</v>
      </c>
      <c r="AD1249" s="18" t="n">
        <v>45946</v>
      </c>
      <c r="AE1249" s="18" t="s">
        <v>44</v>
      </c>
    </row>
    <row r="1250" customFormat="false" ht="15.75" hidden="false" customHeight="true" outlineLevel="0" collapsed="false">
      <c r="A1250" s="12" t="n">
        <v>13583</v>
      </c>
      <c r="B1250" s="13" t="s">
        <v>5490</v>
      </c>
      <c r="C1250" s="14" t="n">
        <v>45254</v>
      </c>
      <c r="D1250" s="13" t="s">
        <v>404</v>
      </c>
      <c r="E1250" s="15" t="s">
        <v>47</v>
      </c>
      <c r="F1250" s="15" t="str">
        <f aca="false">IFERROR(__xludf.dummyfunction("XLOOKUP(AJ1250,IMPORTRANGE(""1XaInW9DU9nz21V0tYIfzFQ0He9kVQ_JF2mCXgZ3hqFA"",""REKAP ALL 2026 - Andika!G:G""),IMPORTRANGE(""1XaInW9DU9nz21V0tYIfzFQ0He9kVQ_JF2mCXgZ3hqFA"",""REKAP ALL 2026 - Andika!F:F""),"""",0)"),"23197578646")</f>
        <v>23197578646</v>
      </c>
      <c r="G1250" s="13" t="s">
        <v>5491</v>
      </c>
      <c r="H1250" s="13" t="s">
        <v>35</v>
      </c>
      <c r="I1250" s="13" t="str">
        <f aca="false">IF(C1250=J1250,"NEW KONTRAK","RE-KONTRAK")</f>
        <v>RE-KONTRAK</v>
      </c>
      <c r="J1250" s="16" t="n">
        <f aca="false" t="array" ref="J1250:J1250">IFERROR(INDEX(AC1250:AE1250,IF(COUNTA(AC1250:AE1250)=0,"",MAX((AC1250:AE1250&lt;&gt;"")*(COLUMN(AC1250:AE1250)-(COLUMN(AC1250)))))-1),"")</f>
        <v>45658</v>
      </c>
      <c r="K1250" s="16" t="n">
        <f aca="false" t="array" ref="K1250:K1250">IFERROR(INDEX(AC1250:AE1250,IF(COUNTA(AC1250:AE1250)=0,"",MAX((AC1250:AE1250&lt;&gt;"")*(COLUMN(AC1250:AE1250)-(COLUMN(AC1250)-1))))-1),"")</f>
        <v>46022</v>
      </c>
      <c r="L1250" s="17" t="str">
        <f aca="false" t="array" ref="L1250:L1250">IFERROR(INDEX(AC1250:AE1250,IF(COUNTA(AC1250:AE1250)=0,"",MAX((AC1250:AE1250&lt;&gt;"")*(COLUMN(AC1250:AE1250)-(COLUMN(AC1250)-2))))-1),"")</f>
        <v>ARCHIVED</v>
      </c>
      <c r="M1250" s="13" t="n">
        <f aca="true">K1250-TODAY()</f>
        <v>-302</v>
      </c>
      <c r="N1250" s="18" t="s">
        <v>36</v>
      </c>
      <c r="O1250" s="13" t="s">
        <v>433</v>
      </c>
      <c r="P1250" s="26" t="n">
        <v>5195401</v>
      </c>
      <c r="Q1250" s="20" t="s">
        <v>5492</v>
      </c>
      <c r="R1250" s="13" t="s">
        <v>65</v>
      </c>
      <c r="S1250" s="14" t="n">
        <v>36794</v>
      </c>
      <c r="T1250" s="13" t="s">
        <v>40</v>
      </c>
      <c r="U1250" s="13" t="s">
        <v>5493</v>
      </c>
      <c r="V1250" s="13" t="s">
        <v>42</v>
      </c>
      <c r="W1250" s="13" t="s">
        <v>43</v>
      </c>
      <c r="X1250" s="21" t="n">
        <v>81357703262</v>
      </c>
      <c r="Y1250" s="22" t="str">
        <f aca="false">O1250</f>
        <v>Refinery</v>
      </c>
      <c r="Z1250" s="13" t="str">
        <f aca="false">IFERROR(__xludf.dummyfunction("if(BJ1250="""","""",GOOGLETRANSLATE(BJ1250,""auto"",""en""))"),"Refinery")</f>
        <v>Refinery</v>
      </c>
      <c r="AA1250" s="23" t="str">
        <f aca="false">IF(C1250="","", CHOOSE(MONTH(C1250),"January","February","March","April","May","June","July","August","September","October","November","December")&amp;" "&amp;DAY(C1250)&amp;MID("thstndrdth",MIN(9,2*RIGHT(DAY(C1250))*(MOD(DAY(C1250)-11,100)&gt;2)+1),2)&amp;","&amp;TEXT(C1250," yyyy"))</f>
        <v>November 24th,2023</v>
      </c>
      <c r="AB1250" s="15" t="str">
        <f aca="true">IF(S1250="","",DATEDIF(S1250,TODAY(),"Y")&amp;" Tahun, "&amp;DATEDIF(S1250,TODAY(),"YM")&amp;" Bulan, "&amp;DATEDIF(S1250,TODAY(),"MD")&amp;" Hari")</f>
        <v>26 Tahun, 1 Bulan, 4 Hari</v>
      </c>
      <c r="AC1250" s="18" t="n">
        <v>45658</v>
      </c>
      <c r="AD1250" s="18" t="n">
        <v>46022</v>
      </c>
      <c r="AE1250" s="18" t="s">
        <v>44</v>
      </c>
    </row>
    <row r="1251" customFormat="false" ht="15.75" hidden="false" customHeight="true" outlineLevel="0" collapsed="false">
      <c r="A1251" s="12" t="n">
        <v>13618</v>
      </c>
      <c r="B1251" s="13" t="s">
        <v>5494</v>
      </c>
      <c r="C1251" s="14" t="n">
        <v>45252</v>
      </c>
      <c r="D1251" s="13" t="s">
        <v>4264</v>
      </c>
      <c r="E1251" s="15" t="s">
        <v>47</v>
      </c>
      <c r="F1251" s="15" t="str">
        <f aca="false">IFERROR(__xludf.dummyfunction("XLOOKUP(AJ1251,IMPORTRANGE(""1XaInW9DU9nz21V0tYIfzFQ0He9kVQ_JF2mCXgZ3hqFA"",""REKAP ALL 2026 - Andika!G:G""),IMPORTRANGE(""1XaInW9DU9nz21V0tYIfzFQ0He9kVQ_JF2mCXgZ3hqFA"",""REKAP ALL 2026 - Andika!F:F""),"""",0)"),"23197580014")</f>
        <v>23197580014</v>
      </c>
      <c r="G1251" s="13" t="s">
        <v>57</v>
      </c>
      <c r="H1251" s="13" t="s">
        <v>35</v>
      </c>
      <c r="I1251" s="13" t="str">
        <f aca="false">IF(C1251=J1251,"NEW KONTRAK","RE-KONTRAK")</f>
        <v>RE-KONTRAK</v>
      </c>
      <c r="J1251" s="16" t="n">
        <f aca="false" t="array" ref="J1251:J1251">IFERROR(INDEX(AC1251:AE1251,IF(COUNTA(AC1251:AE1251)=0,"",MAX((AC1251:AE1251&lt;&gt;"")*(COLUMN(AC1251:AE1251)-(COLUMN(AC1251)))))-1),"")</f>
        <v>45764</v>
      </c>
      <c r="K1251" s="16" t="n">
        <f aca="false" t="array" ref="K1251:K1251">IFERROR(INDEX(AC1251:AE1251,IF(COUNTA(AC1251:AE1251)=0,"",MAX((AC1251:AE1251&lt;&gt;"")*(COLUMN(AC1251:AE1251)-(COLUMN(AC1251)-1))))-1),"")</f>
        <v>45946</v>
      </c>
      <c r="L1251" s="17" t="str">
        <f aca="false" t="array" ref="L1251:L1251">IFERROR(INDEX(AC1251:AE1251,IF(COUNTA(AC1251:AE1251)=0,"",MAX((AC1251:AE1251&lt;&gt;"")*(COLUMN(AC1251:AE1251)-(COLUMN(AC1251)-2))))-1),"")</f>
        <v>ARCHIVED</v>
      </c>
      <c r="M1251" s="13" t="n">
        <f aca="true">K1251-TODAY()</f>
        <v>-378</v>
      </c>
      <c r="N1251" s="18" t="s">
        <v>36</v>
      </c>
      <c r="O1251" s="13" t="s">
        <v>4274</v>
      </c>
      <c r="P1251" s="27" t="n">
        <v>200000</v>
      </c>
      <c r="Q1251" s="20" t="s">
        <v>5495</v>
      </c>
      <c r="R1251" s="13" t="s">
        <v>826</v>
      </c>
      <c r="S1251" s="14" t="n">
        <v>36200</v>
      </c>
      <c r="T1251" s="13" t="s">
        <v>40</v>
      </c>
      <c r="U1251" s="13" t="s">
        <v>5496</v>
      </c>
      <c r="V1251" s="13" t="s">
        <v>42</v>
      </c>
      <c r="W1251" s="13" t="s">
        <v>43</v>
      </c>
      <c r="X1251" s="21" t="n">
        <v>82338832197</v>
      </c>
      <c r="Y1251" s="22" t="str">
        <f aca="false">O1251</f>
        <v>Operator Extruder</v>
      </c>
      <c r="Z1251" s="13" t="str">
        <f aca="false">IFERROR(__xludf.dummyfunction("if(BJ1251="""","""",GOOGLETRANSLATE(BJ1251,""auto"",""en""))"),"Operator Extruder")</f>
        <v>Operator Extruder</v>
      </c>
      <c r="AA1251" s="23" t="str">
        <f aca="false">IF(C1251="","", CHOOSE(MONTH(C1251),"January","February","March","April","May","June","July","August","September","October","November","December")&amp;" "&amp;DAY(C1251)&amp;MID("thstndrdth",MIN(9,2*RIGHT(DAY(C1251))*(MOD(DAY(C1251)-11,100)&gt;2)+1),2)&amp;","&amp;TEXT(C1251," yyyy"))</f>
        <v>November 22nd,2023</v>
      </c>
      <c r="AB1251" s="15" t="str">
        <f aca="true">IF(S1251="","",DATEDIF(S1251,TODAY(),"Y")&amp;" Tahun, "&amp;DATEDIF(S1251,TODAY(),"YM")&amp;" Bulan, "&amp;DATEDIF(S1251,TODAY(),"MD")&amp;" Hari")</f>
        <v>27 Tahun, 8 Bulan, 20 Hari</v>
      </c>
      <c r="AC1251" s="18" t="n">
        <v>45764</v>
      </c>
      <c r="AD1251" s="18" t="n">
        <v>45946</v>
      </c>
      <c r="AE1251" s="18" t="s">
        <v>44</v>
      </c>
    </row>
    <row r="1252" customFormat="false" ht="15.75" hidden="false" customHeight="true" outlineLevel="0" collapsed="false">
      <c r="A1252" s="12" t="n">
        <v>13623</v>
      </c>
      <c r="B1252" s="13" t="s">
        <v>5497</v>
      </c>
      <c r="C1252" s="14" t="n">
        <v>45251</v>
      </c>
      <c r="D1252" s="13" t="s">
        <v>3022</v>
      </c>
      <c r="E1252" s="15" t="s">
        <v>47</v>
      </c>
      <c r="F1252" s="15" t="str">
        <f aca="false">IFERROR(__xludf.dummyfunction("XLOOKUP(AJ1252,IMPORTRANGE(""1XaInW9DU9nz21V0tYIfzFQ0He9kVQ_JF2mCXgZ3hqFA"",""REKAP ALL 2026 - Andika!G:G""),IMPORTRANGE(""1XaInW9DU9nz21V0tYIfzFQ0He9kVQ_JF2mCXgZ3hqFA"",""REKAP ALL 2026 - Andika!F:F""),"""",0)"),"23197580519")</f>
        <v>23197580519</v>
      </c>
      <c r="G1252" s="15" t="s">
        <v>5498</v>
      </c>
      <c r="H1252" s="13" t="s">
        <v>3024</v>
      </c>
      <c r="I1252" s="13" t="str">
        <f aca="false">IF(C1252=J1252,"NEW KONTRAK","RE-KONTRAK")</f>
        <v>RE-KONTRAK</v>
      </c>
      <c r="J1252" s="16" t="n">
        <f aca="false" t="array" ref="J1252:J1252">IFERROR(INDEX(AC1252:AE1252,IF(COUNTA(AC1252:AE1252)=0,"",MAX((AC1252:AE1252&lt;&gt;"")*(COLUMN(AC1252:AE1252)-(COLUMN(AC1252)))))-1),"")</f>
        <v>45570</v>
      </c>
      <c r="K1252" s="16" t="n">
        <f aca="false" t="array" ref="K1252:K1252">IFERROR(INDEX(AC1252:AE1252,IF(COUNTA(AC1252:AE1252)=0,"",MAX((AC1252:AE1252&lt;&gt;"")*(COLUMN(AC1252:AE1252)-(COLUMN(AC1252)-1))))-1),"")</f>
        <v>45934</v>
      </c>
      <c r="L1252" s="17" t="str">
        <f aca="false" t="array" ref="L1252:L1252">IFERROR(INDEX(AC1252:AE1252,IF(COUNTA(AC1252:AE1252)=0,"",MAX((AC1252:AE1252&lt;&gt;"")*(COLUMN(AC1252:AE1252)-(COLUMN(AC1252)-2))))-1),"")</f>
        <v>ARCHIVED</v>
      </c>
      <c r="M1252" s="13" t="n">
        <f aca="true">K1252-TODAY()</f>
        <v>-390</v>
      </c>
      <c r="N1252" s="18" t="s">
        <v>36</v>
      </c>
      <c r="O1252" s="13" t="s">
        <v>3750</v>
      </c>
      <c r="P1252" s="19" t="n">
        <v>162500</v>
      </c>
      <c r="Q1252" s="20" t="s">
        <v>5499</v>
      </c>
      <c r="R1252" s="13" t="s">
        <v>65</v>
      </c>
      <c r="S1252" s="14" t="n">
        <v>37460</v>
      </c>
      <c r="T1252" s="13" t="s">
        <v>40</v>
      </c>
      <c r="U1252" s="13" t="s">
        <v>5500</v>
      </c>
      <c r="V1252" s="13" t="s">
        <v>42</v>
      </c>
      <c r="W1252" s="13" t="s">
        <v>43</v>
      </c>
      <c r="X1252" s="21" t="n">
        <v>83872748959</v>
      </c>
      <c r="Y1252" s="22" t="str">
        <f aca="false">O1252</f>
        <v>Produksi ( Painting )</v>
      </c>
      <c r="Z1252" s="13" t="str">
        <f aca="false">IFERROR(__xludf.dummyfunction("if(BJ1252="""","""",GOOGLETRANSLATE(BJ1252,""auto"",""en""))"),"Production (Painting)")</f>
        <v>Production (Painting)</v>
      </c>
      <c r="AA1252" s="23" t="str">
        <f aca="false">IF(C1252="","", CHOOSE(MONTH(C1252),"January","February","March","April","May","June","July","August","September","October","November","December")&amp;" "&amp;DAY(C1252)&amp;MID("thstndrdth",MIN(9,2*RIGHT(DAY(C1252))*(MOD(DAY(C1252)-11,100)&gt;2)+1),2)&amp;","&amp;TEXT(C1252," yyyy"))</f>
        <v>November 21st,2023</v>
      </c>
      <c r="AB1252" s="15" t="str">
        <f aca="true">IF(S1252="","",DATEDIF(S1252,TODAY(),"Y")&amp;" Tahun, "&amp;DATEDIF(S1252,TODAY(),"YM")&amp;" Bulan, "&amp;DATEDIF(S1252,TODAY(),"MD")&amp;" Hari")</f>
        <v>24 Tahun, 3 Bulan, 6 Hari</v>
      </c>
      <c r="AC1252" s="18" t="n">
        <v>45570</v>
      </c>
      <c r="AD1252" s="18" t="n">
        <v>45934</v>
      </c>
      <c r="AE1252" s="18" t="s">
        <v>44</v>
      </c>
    </row>
    <row r="1253" customFormat="false" ht="15.75" hidden="false" customHeight="true" outlineLevel="0" collapsed="false">
      <c r="A1253" s="12" t="n">
        <v>13624</v>
      </c>
      <c r="B1253" s="13" t="s">
        <v>5501</v>
      </c>
      <c r="C1253" s="14" t="n">
        <v>45252</v>
      </c>
      <c r="D1253" s="13" t="s">
        <v>3022</v>
      </c>
      <c r="E1253" s="15" t="s">
        <v>47</v>
      </c>
      <c r="F1253" s="15" t="str">
        <f aca="false">IFERROR(__xludf.dummyfunction("XLOOKUP(AJ1253,IMPORTRANGE(""1XaInW9DU9nz21V0tYIfzFQ0He9kVQ_JF2mCXgZ3hqFA"",""REKAP ALL 2026 - Andika!G:G""),IMPORTRANGE(""1XaInW9DU9nz21V0tYIfzFQ0He9kVQ_JF2mCXgZ3hqFA"",""REKAP ALL 2026 - Andika!F:F""),"""",0)"),"23197580469")</f>
        <v>23197580469</v>
      </c>
      <c r="G1253" s="13" t="s">
        <v>5502</v>
      </c>
      <c r="H1253" s="13" t="s">
        <v>3024</v>
      </c>
      <c r="I1253" s="13" t="str">
        <f aca="false">IF(C1253=J1253,"NEW KONTRAK","RE-KONTRAK")</f>
        <v>RE-KONTRAK</v>
      </c>
      <c r="J1253" s="16" t="n">
        <f aca="false" t="array" ref="J1253:J1253">IFERROR(INDEX(AC1253:AE1253,IF(COUNTA(AC1253:AE1253)=0,"",MAX((AC1253:AE1253&lt;&gt;"")*(COLUMN(AC1253:AE1253)-(COLUMN(AC1253)))))-1),"")</f>
        <v>45570</v>
      </c>
      <c r="K1253" s="16" t="n">
        <f aca="false" t="array" ref="K1253:K1253">IFERROR(INDEX(AC1253:AE1253,IF(COUNTA(AC1253:AE1253)=0,"",MAX((AC1253:AE1253&lt;&gt;"")*(COLUMN(AC1253:AE1253)-(COLUMN(AC1253)-1))))-1),"")</f>
        <v>45934</v>
      </c>
      <c r="L1253" s="17" t="str">
        <f aca="false" t="array" ref="L1253:L1253">IFERROR(INDEX(AC1253:AE1253,IF(COUNTA(AC1253:AE1253)=0,"",MAX((AC1253:AE1253&lt;&gt;"")*(COLUMN(AC1253:AE1253)-(COLUMN(AC1253)-2))))-1),"")</f>
        <v>ARCHIVED</v>
      </c>
      <c r="M1253" s="13" t="n">
        <f aca="true">K1253-TODAY()</f>
        <v>-390</v>
      </c>
      <c r="N1253" s="18" t="s">
        <v>36</v>
      </c>
      <c r="O1253" s="13" t="s">
        <v>4182</v>
      </c>
      <c r="P1253" s="19" t="n">
        <v>162500</v>
      </c>
      <c r="Q1253" s="20" t="s">
        <v>5503</v>
      </c>
      <c r="R1253" s="13" t="s">
        <v>73</v>
      </c>
      <c r="S1253" s="14" t="n">
        <v>33997</v>
      </c>
      <c r="T1253" s="13" t="s">
        <v>40</v>
      </c>
      <c r="U1253" s="13" t="s">
        <v>5504</v>
      </c>
      <c r="V1253" s="13" t="s">
        <v>42</v>
      </c>
      <c r="W1253" s="13" t="s">
        <v>43</v>
      </c>
      <c r="X1253" s="21" t="n">
        <v>81334270152</v>
      </c>
      <c r="Y1253" s="22" t="str">
        <f aca="false">O1253</f>
        <v>Produksi ( Heating )</v>
      </c>
      <c r="Z1253" s="13" t="str">
        <f aca="false">IFERROR(__xludf.dummyfunction("if(BJ1253="""","""",GOOGLETRANSLATE(BJ1253,""auto"",""en""))"),"Production (Heating)")</f>
        <v>Production (Heating)</v>
      </c>
      <c r="AA1253" s="23" t="str">
        <f aca="false">IF(C1253="","", CHOOSE(MONTH(C1253),"January","February","March","April","May","June","July","August","September","October","November","December")&amp;" "&amp;DAY(C1253)&amp;MID("thstndrdth",MIN(9,2*RIGHT(DAY(C1253))*(MOD(DAY(C1253)-11,100)&gt;2)+1),2)&amp;","&amp;TEXT(C1253," yyyy"))</f>
        <v>November 22nd,2023</v>
      </c>
      <c r="AB1253" s="15" t="str">
        <f aca="true">IF(S1253="","",DATEDIF(S1253,TODAY(),"Y")&amp;" Tahun, "&amp;DATEDIF(S1253,TODAY(),"YM")&amp;" Bulan, "&amp;DATEDIF(S1253,TODAY(),"MD")&amp;" Hari")</f>
        <v>33 Tahun, 9 Bulan, 1 Hari</v>
      </c>
      <c r="AC1253" s="18" t="n">
        <v>45570</v>
      </c>
      <c r="AD1253" s="18" t="n">
        <v>45934</v>
      </c>
      <c r="AE1253" s="18" t="s">
        <v>44</v>
      </c>
    </row>
    <row r="1254" customFormat="false" ht="15.75" hidden="false" customHeight="true" outlineLevel="0" collapsed="false">
      <c r="A1254" s="12" t="n">
        <v>13627</v>
      </c>
      <c r="B1254" s="13" t="s">
        <v>5505</v>
      </c>
      <c r="C1254" s="14" t="n">
        <v>45253</v>
      </c>
      <c r="D1254" s="13" t="s">
        <v>3022</v>
      </c>
      <c r="E1254" s="15" t="s">
        <v>47</v>
      </c>
      <c r="F1254" s="15" t="str">
        <f aca="false">IFERROR(__xludf.dummyfunction("XLOOKUP(AJ1254,IMPORTRANGE(""1XaInW9DU9nz21V0tYIfzFQ0He9kVQ_JF2mCXgZ3hqFA"",""REKAP ALL 2026 - Andika!G:G""),IMPORTRANGE(""1XaInW9DU9nz21V0tYIfzFQ0He9kVQ_JF2mCXgZ3hqFA"",""REKAP ALL 2026 - Andika!F:F""),"""",0)"),"23197580485")</f>
        <v>23197580485</v>
      </c>
      <c r="G1254" s="13" t="s">
        <v>5506</v>
      </c>
      <c r="H1254" s="13" t="s">
        <v>3024</v>
      </c>
      <c r="I1254" s="13" t="str">
        <f aca="false">IF(C1254=J1254,"NEW KONTRAK","RE-KONTRAK")</f>
        <v>RE-KONTRAK</v>
      </c>
      <c r="J1254" s="16" t="n">
        <f aca="false" t="array" ref="J1254:J1254">IFERROR(INDEX(AC1254:AE1254,IF(COUNTA(AC1254:AE1254)=0,"",MAX((AC1254:AE1254&lt;&gt;"")*(COLUMN(AC1254:AE1254)-(COLUMN(AC1254)))))-1),"")</f>
        <v>45570</v>
      </c>
      <c r="K1254" s="16" t="n">
        <f aca="false" t="array" ref="K1254:K1254">IFERROR(INDEX(AC1254:AE1254,IF(COUNTA(AC1254:AE1254)=0,"",MAX((AC1254:AE1254&lt;&gt;"")*(COLUMN(AC1254:AE1254)-(COLUMN(AC1254)-1))))-1),"")</f>
        <v>45934</v>
      </c>
      <c r="L1254" s="17" t="str">
        <f aca="false" t="array" ref="L1254:L1254">IFERROR(INDEX(AC1254:AE1254,IF(COUNTA(AC1254:AE1254)=0,"",MAX((AC1254:AE1254&lt;&gt;"")*(COLUMN(AC1254:AE1254)-(COLUMN(AC1254)-2))))-1),"")</f>
        <v>ARCHIVED</v>
      </c>
      <c r="M1254" s="13" t="n">
        <f aca="true">K1254-TODAY()</f>
        <v>-390</v>
      </c>
      <c r="N1254" s="18" t="s">
        <v>36</v>
      </c>
      <c r="O1254" s="13" t="s">
        <v>3750</v>
      </c>
      <c r="P1254" s="19" t="n">
        <v>150000</v>
      </c>
      <c r="Q1254" s="20" t="s">
        <v>5507</v>
      </c>
      <c r="R1254" s="13" t="s">
        <v>232</v>
      </c>
      <c r="S1254" s="14" t="n">
        <v>37645</v>
      </c>
      <c r="T1254" s="13" t="s">
        <v>40</v>
      </c>
      <c r="U1254" s="13" t="s">
        <v>5508</v>
      </c>
      <c r="V1254" s="13" t="s">
        <v>42</v>
      </c>
      <c r="W1254" s="13" t="s">
        <v>43</v>
      </c>
      <c r="X1254" s="21" t="n">
        <v>81915813169</v>
      </c>
      <c r="Y1254" s="22" t="str">
        <f aca="false">O1254</f>
        <v>Produksi ( Painting )</v>
      </c>
      <c r="Z1254" s="13" t="str">
        <f aca="false">IFERROR(__xludf.dummyfunction("if(BJ1254="""","""",GOOGLETRANSLATE(BJ1254,""auto"",""en""))"),"Production (Painting)")</f>
        <v>Production (Painting)</v>
      </c>
      <c r="AA1254" s="23" t="str">
        <f aca="false">IF(C1254="","", CHOOSE(MONTH(C1254),"January","February","March","April","May","June","July","August","September","October","November","December")&amp;" "&amp;DAY(C1254)&amp;MID("thstndrdth",MIN(9,2*RIGHT(DAY(C1254))*(MOD(DAY(C1254)-11,100)&gt;2)+1),2)&amp;","&amp;TEXT(C1254," yyyy"))</f>
        <v>November 23rd,2023</v>
      </c>
      <c r="AB1254" s="15" t="str">
        <f aca="true">IF(S1254="","",DATEDIF(S1254,TODAY(),"Y")&amp;" Tahun, "&amp;DATEDIF(S1254,TODAY(),"YM")&amp;" Bulan, "&amp;DATEDIF(S1254,TODAY(),"MD")&amp;" Hari")</f>
        <v>23 Tahun, 9 Bulan, 5 Hari</v>
      </c>
      <c r="AC1254" s="18" t="n">
        <v>45570</v>
      </c>
      <c r="AD1254" s="18" t="n">
        <v>45934</v>
      </c>
      <c r="AE1254" s="18" t="s">
        <v>44</v>
      </c>
    </row>
    <row r="1255" customFormat="false" ht="15.75" hidden="false" customHeight="true" outlineLevel="0" collapsed="false">
      <c r="A1255" s="12" t="n">
        <v>13629</v>
      </c>
      <c r="B1255" s="13" t="s">
        <v>5509</v>
      </c>
      <c r="C1255" s="14" t="n">
        <v>45220</v>
      </c>
      <c r="D1255" s="13" t="s">
        <v>1066</v>
      </c>
      <c r="E1255" s="15" t="s">
        <v>47</v>
      </c>
      <c r="F1255" s="15" t="str">
        <f aca="false">IFERROR(__xludf.dummyfunction("XLOOKUP(AJ1255,IMPORTRANGE(""1XaInW9DU9nz21V0tYIfzFQ0He9kVQ_JF2mCXgZ3hqFA"",""REKAP ALL 2026 - Andika!G:G""),IMPORTRANGE(""1XaInW9DU9nz21V0tYIfzFQ0He9kVQ_JF2mCXgZ3hqFA"",""REKAP ALL 2026 - Andika!F:F""),"""",0)"),"23197579149")</f>
        <v>23197579149</v>
      </c>
      <c r="G1255" s="13" t="s">
        <v>5510</v>
      </c>
      <c r="H1255" s="13" t="s">
        <v>35</v>
      </c>
      <c r="I1255" s="13" t="str">
        <f aca="false">IF(C1255=J1255,"NEW KONTRAK","RE-KONTRAK")</f>
        <v>RE-KONTRAK</v>
      </c>
      <c r="J1255" s="16" t="n">
        <f aca="false" t="array" ref="J1255:J1255">IFERROR(INDEX(AC1255:AE1255,IF(COUNTA(AC1255:AE1255)=0,"",MAX((AC1255:AE1255&lt;&gt;"")*(COLUMN(AC1255:AE1255)-(COLUMN(AC1255)))))-1),"")</f>
        <v>45658</v>
      </c>
      <c r="K1255" s="16" t="n">
        <f aca="false" t="array" ref="K1255:K1255">IFERROR(INDEX(AC1255:AE1255,IF(COUNTA(AC1255:AE1255)=0,"",MAX((AC1255:AE1255&lt;&gt;"")*(COLUMN(AC1255:AE1255)-(COLUMN(AC1255)-1))))-1),"")</f>
        <v>46022</v>
      </c>
      <c r="L1255" s="17" t="str">
        <f aca="false" t="array" ref="L1255:L1255">IFERROR(INDEX(AC1255:AE1255,IF(COUNTA(AC1255:AE1255)=0,"",MAX((AC1255:AE1255&lt;&gt;"")*(COLUMN(AC1255:AE1255)-(COLUMN(AC1255)-2))))-1),"")</f>
        <v>ARCHIVED</v>
      </c>
      <c r="M1255" s="13" t="n">
        <f aca="true">K1255-TODAY()</f>
        <v>-302</v>
      </c>
      <c r="N1255" s="18" t="s">
        <v>615</v>
      </c>
      <c r="O1255" s="13" t="s">
        <v>1184</v>
      </c>
      <c r="P1255" s="19" t="n">
        <v>5176101</v>
      </c>
      <c r="Q1255" s="20" t="s">
        <v>5511</v>
      </c>
      <c r="R1255" s="13" t="s">
        <v>232</v>
      </c>
      <c r="S1255" s="14" t="n">
        <v>37048</v>
      </c>
      <c r="T1255" s="13" t="s">
        <v>40</v>
      </c>
      <c r="U1255" s="13" t="s">
        <v>5512</v>
      </c>
      <c r="V1255" s="13" t="s">
        <v>42</v>
      </c>
      <c r="W1255" s="13" t="s">
        <v>43</v>
      </c>
      <c r="X1255" s="21" t="n">
        <v>85708449301</v>
      </c>
      <c r="Y1255" s="22" t="str">
        <f aca="false">O1255</f>
        <v>Production RMP Helper (Green Bean Area)</v>
      </c>
      <c r="Z1255" s="13" t="str">
        <f aca="false">IFERROR(__xludf.dummyfunction("if(BJ1255="""","""",GOOGLETRANSLATE(BJ1255,""auto"",""en""))"),"Production RMP Helper (Green Bean Area)")</f>
        <v>Production RMP Helper (Green Bean Area)</v>
      </c>
      <c r="AA1255" s="23" t="str">
        <f aca="false">IF(C1255="","", CHOOSE(MONTH(C1255),"January","February","March","April","May","June","July","August","September","October","November","December")&amp;" "&amp;DAY(C1255)&amp;MID("thstndrdth",MIN(9,2*RIGHT(DAY(C1255))*(MOD(DAY(C1255)-11,100)&gt;2)+1),2)&amp;","&amp;TEXT(C1255," yyyy"))</f>
        <v>October 21st,2023</v>
      </c>
      <c r="AB1255" s="15" t="str">
        <f aca="true">IF(S1255="","",DATEDIF(S1255,TODAY(),"Y")&amp;" Tahun, "&amp;DATEDIF(S1255,TODAY(),"YM")&amp;" Bulan, "&amp;DATEDIF(S1255,TODAY(),"MD")&amp;" Hari")</f>
        <v>25 Tahun, 4 Bulan, 23 Hari</v>
      </c>
      <c r="AC1255" s="18" t="n">
        <v>45658</v>
      </c>
      <c r="AD1255" s="18" t="n">
        <v>46022</v>
      </c>
      <c r="AE1255" s="18" t="s">
        <v>44</v>
      </c>
    </row>
    <row r="1256" customFormat="false" ht="15.75" hidden="false" customHeight="true" outlineLevel="0" collapsed="false">
      <c r="A1256" s="12" t="n">
        <v>13649</v>
      </c>
      <c r="B1256" s="13" t="s">
        <v>5513</v>
      </c>
      <c r="C1256" s="14" t="n">
        <v>45266</v>
      </c>
      <c r="D1256" s="13" t="s">
        <v>1066</v>
      </c>
      <c r="E1256" s="15" t="s">
        <v>47</v>
      </c>
      <c r="F1256" s="15" t="str">
        <f aca="false">IFERROR(__xludf.dummyfunction("XLOOKUP(AJ1256,IMPORTRANGE(""1XaInW9DU9nz21V0tYIfzFQ0He9kVQ_JF2mCXgZ3hqFA"",""REKAP ALL 2026 - Andika!G:G""),IMPORTRANGE(""1XaInW9DU9nz21V0tYIfzFQ0He9kVQ_JF2mCXgZ3hqFA"",""REKAP ALL 2026 - Andika!F:F""),"""",0)"),"23197579156")</f>
        <v>23197579156</v>
      </c>
      <c r="G1256" s="13" t="s">
        <v>5514</v>
      </c>
      <c r="H1256" s="13" t="s">
        <v>35</v>
      </c>
      <c r="I1256" s="13" t="str">
        <f aca="false">IF(C1256=J1256,"NEW KONTRAK","RE-KONTRAK")</f>
        <v>RE-KONTRAK</v>
      </c>
      <c r="J1256" s="16" t="n">
        <f aca="false" t="array" ref="J1256:J1256">IFERROR(INDEX(AC1256:AE1256,IF(COUNTA(AC1256:AE1256)=0,"",MAX((AC1256:AE1256&lt;&gt;"")*(COLUMN(AC1256:AE1256)-(COLUMN(AC1256)))))-1),"")</f>
        <v>45658</v>
      </c>
      <c r="K1256" s="16" t="n">
        <f aca="false" t="array" ref="K1256:K1256">IFERROR(INDEX(AC1256:AE1256,IF(COUNTA(AC1256:AE1256)=0,"",MAX((AC1256:AE1256&lt;&gt;"")*(COLUMN(AC1256:AE1256)-(COLUMN(AC1256)-1))))-1),"")</f>
        <v>46022</v>
      </c>
      <c r="L1256" s="17" t="str">
        <f aca="false" t="array" ref="L1256:L1256">IFERROR(INDEX(AC1256:AE1256,IF(COUNTA(AC1256:AE1256)=0,"",MAX((AC1256:AE1256&lt;&gt;"")*(COLUMN(AC1256:AE1256)-(COLUMN(AC1256)-2))))-1),"")</f>
        <v>ARCHIVED</v>
      </c>
      <c r="M1256" s="13" t="n">
        <f aca="true">K1256-TODAY()</f>
        <v>-302</v>
      </c>
      <c r="N1256" s="18" t="s">
        <v>615</v>
      </c>
      <c r="O1256" s="13" t="s">
        <v>1175</v>
      </c>
      <c r="P1256" s="19" t="n">
        <v>5176101</v>
      </c>
      <c r="Q1256" s="20" t="s">
        <v>5515</v>
      </c>
      <c r="R1256" s="13" t="s">
        <v>148</v>
      </c>
      <c r="S1256" s="14" t="n">
        <v>33111</v>
      </c>
      <c r="T1256" s="13" t="s">
        <v>40</v>
      </c>
      <c r="U1256" s="13" t="s">
        <v>5516</v>
      </c>
      <c r="V1256" s="13" t="s">
        <v>42</v>
      </c>
      <c r="W1256" s="13" t="s">
        <v>54</v>
      </c>
      <c r="X1256" s="21" t="n">
        <v>85645903900</v>
      </c>
      <c r="Y1256" s="22" t="str">
        <f aca="false">O1256</f>
        <v>Rajang Sachet</v>
      </c>
      <c r="Z1256" s="13" t="str">
        <f aca="false">IFERROR(__xludf.dummyfunction("if(BJ1256="""","""",GOOGLETRANSLATE(BJ1256,""auto"",""en""))"),"Rajang Sachet")</f>
        <v>Rajang Sachet</v>
      </c>
      <c r="AA1256" s="23" t="str">
        <f aca="false">IF(C1256="","", CHOOSE(MONTH(C1256),"January","February","March","April","May","June","July","August","September","October","November","December")&amp;" "&amp;DAY(C1256)&amp;MID("thstndrdth",MIN(9,2*RIGHT(DAY(C1256))*(MOD(DAY(C1256)-11,100)&gt;2)+1),2)&amp;","&amp;TEXT(C1256," yyyy"))</f>
        <v>December 6th,2023</v>
      </c>
      <c r="AB1256" s="15" t="str">
        <f aca="true">IF(S1256="","",DATEDIF(S1256,TODAY(),"Y")&amp;" Tahun, "&amp;DATEDIF(S1256,TODAY(),"YM")&amp;" Bulan, "&amp;DATEDIF(S1256,TODAY(),"MD")&amp;" Hari")</f>
        <v>36 Tahun, 2 Bulan, 3 Hari</v>
      </c>
      <c r="AC1256" s="18" t="n">
        <v>45658</v>
      </c>
      <c r="AD1256" s="18" t="n">
        <v>46022</v>
      </c>
      <c r="AE1256" s="18" t="s">
        <v>44</v>
      </c>
    </row>
    <row r="1257" customFormat="false" ht="15.75" hidden="false" customHeight="true" outlineLevel="0" collapsed="false">
      <c r="A1257" s="12" t="n">
        <v>13653</v>
      </c>
      <c r="B1257" s="13" t="s">
        <v>5517</v>
      </c>
      <c r="C1257" s="14" t="n">
        <v>45255</v>
      </c>
      <c r="D1257" s="13" t="s">
        <v>4252</v>
      </c>
      <c r="E1257" s="15" t="s">
        <v>33</v>
      </c>
      <c r="F1257" s="24" t="s">
        <v>5518</v>
      </c>
      <c r="G1257" s="13" t="s">
        <v>57</v>
      </c>
      <c r="H1257" s="13" t="s">
        <v>35</v>
      </c>
      <c r="I1257" s="13" t="str">
        <f aca="false">IF(C1257=J1257,"NEW KONTRAK","RE-KONTRAK")</f>
        <v>RE-KONTRAK</v>
      </c>
      <c r="J1257" s="16" t="n">
        <f aca="false" t="array" ref="J1257:J1257">IFERROR(INDEX(AC1257:AE1257,IF(COUNTA(AC1257:AE1257)=0,"",MAX((AC1257:AE1257&lt;&gt;"")*(COLUMN(AC1257:AE1257)-(COLUMN(AC1257)))))-1),"")</f>
        <v>45764</v>
      </c>
      <c r="K1257" s="16" t="n">
        <f aca="false" t="array" ref="K1257:K1257">IFERROR(INDEX(AC1257:AE1257,IF(COUNTA(AC1257:AE1257)=0,"",MAX((AC1257:AE1257&lt;&gt;"")*(COLUMN(AC1257:AE1257)-(COLUMN(AC1257)-1))))-1),"")</f>
        <v>45946</v>
      </c>
      <c r="L1257" s="17" t="str">
        <f aca="false" t="array" ref="L1257:L1257">IFERROR(INDEX(AC1257:AE1257,IF(COUNTA(AC1257:AE1257)=0,"",MAX((AC1257:AE1257&lt;&gt;"")*(COLUMN(AC1257:AE1257)-(COLUMN(AC1257)-2))))-1),"")</f>
        <v>ARCHIVED</v>
      </c>
      <c r="M1257" s="13" t="n">
        <f aca="true">K1257-TODAY()</f>
        <v>-378</v>
      </c>
      <c r="N1257" s="18" t="s">
        <v>36</v>
      </c>
      <c r="O1257" s="13" t="s">
        <v>4288</v>
      </c>
      <c r="P1257" s="27" t="n">
        <v>200000</v>
      </c>
      <c r="Q1257" s="20" t="s">
        <v>5519</v>
      </c>
      <c r="R1257" s="13" t="s">
        <v>232</v>
      </c>
      <c r="S1257" s="14" t="n">
        <v>35585</v>
      </c>
      <c r="T1257" s="13" t="s">
        <v>40</v>
      </c>
      <c r="U1257" s="13" t="s">
        <v>5520</v>
      </c>
      <c r="V1257" s="13" t="s">
        <v>42</v>
      </c>
      <c r="W1257" s="13" t="s">
        <v>54</v>
      </c>
      <c r="X1257" s="21" t="n">
        <v>85755105827</v>
      </c>
      <c r="Y1257" s="22" t="str">
        <f aca="false">O1257</f>
        <v>Operator Printing</v>
      </c>
      <c r="Z1257" s="13" t="str">
        <f aca="false">IFERROR(__xludf.dummyfunction("if(BJ1257="""","""",GOOGLETRANSLATE(BJ1257,""auto"",""en""))"),"Operator Printing")</f>
        <v>Operator Printing</v>
      </c>
      <c r="AA1257" s="23" t="str">
        <f aca="false">IF(C1257="","", CHOOSE(MONTH(C1257),"January","February","March","April","May","June","July","August","September","October","November","December")&amp;" "&amp;DAY(C1257)&amp;MID("thstndrdth",MIN(9,2*RIGHT(DAY(C1257))*(MOD(DAY(C1257)-11,100)&gt;2)+1),2)&amp;","&amp;TEXT(C1257," yyyy"))</f>
        <v>November 25th,2023</v>
      </c>
      <c r="AB1257" s="15" t="str">
        <f aca="true">IF(S1257="","",DATEDIF(S1257,TODAY(),"Y")&amp;" Tahun, "&amp;DATEDIF(S1257,TODAY(),"YM")&amp;" Bulan, "&amp;DATEDIF(S1257,TODAY(),"MD")&amp;" Hari")</f>
        <v>29 Tahun, 4 Bulan, 25 Hari</v>
      </c>
      <c r="AC1257" s="18" t="n">
        <v>45764</v>
      </c>
      <c r="AD1257" s="18" t="n">
        <v>45946</v>
      </c>
      <c r="AE1257" s="18" t="s">
        <v>44</v>
      </c>
    </row>
    <row r="1258" customFormat="false" ht="15.75" hidden="false" customHeight="true" outlineLevel="0" collapsed="false">
      <c r="A1258" s="12" t="n">
        <v>13658</v>
      </c>
      <c r="B1258" s="13" t="s">
        <v>5521</v>
      </c>
      <c r="C1258" s="14" t="n">
        <v>45260</v>
      </c>
      <c r="D1258" s="13" t="s">
        <v>3507</v>
      </c>
      <c r="E1258" s="15" t="s">
        <v>33</v>
      </c>
      <c r="F1258" s="24" t="s">
        <v>5522</v>
      </c>
      <c r="G1258" s="13" t="s">
        <v>5523</v>
      </c>
      <c r="H1258" s="13" t="s">
        <v>35</v>
      </c>
      <c r="I1258" s="13" t="str">
        <f aca="false">IF(C1258=J1258,"NEW KONTRAK","RE-KONTRAK")</f>
        <v>RE-KONTRAK</v>
      </c>
      <c r="J1258" s="16" t="n">
        <f aca="false" t="array" ref="J1258:J1258">IFERROR(INDEX(AC1258:AE1258,IF(COUNTA(AC1258:AE1258)=0,"",MAX((AC1258:AE1258&lt;&gt;"")*(COLUMN(AC1258:AE1258)-(COLUMN(AC1258)))))-1),"")</f>
        <v>45658</v>
      </c>
      <c r="K1258" s="16" t="n">
        <f aca="false" t="array" ref="K1258:K1258">IFERROR(INDEX(AC1258:AE1258,IF(COUNTA(AC1258:AE1258)=0,"",MAX((AC1258:AE1258&lt;&gt;"")*(COLUMN(AC1258:AE1258)-(COLUMN(AC1258)-1))))-1),"")</f>
        <v>46022</v>
      </c>
      <c r="L1258" s="17" t="str">
        <f aca="false" t="array" ref="L1258:L1258">IFERROR(INDEX(AC1258:AE1258,IF(COUNTA(AC1258:AE1258)=0,"",MAX((AC1258:AE1258&lt;&gt;"")*(COLUMN(AC1258:AE1258)-(COLUMN(AC1258)-2))))-1),"")</f>
        <v>ARCHIVED</v>
      </c>
      <c r="M1258" s="13" t="n">
        <f aca="true">K1258-TODAY()</f>
        <v>-302</v>
      </c>
      <c r="N1258" s="18" t="s">
        <v>105</v>
      </c>
      <c r="O1258" s="13" t="s">
        <v>58</v>
      </c>
      <c r="P1258" s="19" t="n">
        <v>123186.88</v>
      </c>
      <c r="Q1258" s="20" t="s">
        <v>5524</v>
      </c>
      <c r="R1258" s="13" t="s">
        <v>39</v>
      </c>
      <c r="S1258" s="14" t="n">
        <v>38100</v>
      </c>
      <c r="T1258" s="13" t="s">
        <v>108</v>
      </c>
      <c r="U1258" s="13" t="s">
        <v>5525</v>
      </c>
      <c r="V1258" s="13" t="s">
        <v>42</v>
      </c>
      <c r="W1258" s="13" t="s">
        <v>43</v>
      </c>
      <c r="X1258" s="21" t="n">
        <v>881036125472</v>
      </c>
      <c r="Y1258" s="22" t="str">
        <f aca="false">O1258</f>
        <v>Produksi</v>
      </c>
      <c r="Z1258" s="13" t="str">
        <f aca="false">IFERROR(__xludf.dummyfunction("if(BJ1258="""","""",GOOGLETRANSLATE(BJ1258,""auto"",""en""))"),"Production")</f>
        <v>Production</v>
      </c>
      <c r="AA1258" s="23" t="str">
        <f aca="false">IF(C1258="","", CHOOSE(MONTH(C1258),"January","February","March","April","May","June","July","August","September","October","November","December")&amp;" "&amp;DAY(C1258)&amp;MID("thstndrdth",MIN(9,2*RIGHT(DAY(C1258))*(MOD(DAY(C1258)-11,100)&gt;2)+1),2)&amp;","&amp;TEXT(C1258," yyyy"))</f>
        <v>November 30th,2023</v>
      </c>
      <c r="AB1258" s="15" t="str">
        <f aca="true">IF(S1258="","",DATEDIF(S1258,TODAY(),"Y")&amp;" Tahun, "&amp;DATEDIF(S1258,TODAY(),"YM")&amp;" Bulan, "&amp;DATEDIF(S1258,TODAY(),"MD")&amp;" Hari")</f>
        <v>22 Tahun, 6 Bulan, 6 Hari</v>
      </c>
      <c r="AC1258" s="18" t="n">
        <v>45658</v>
      </c>
      <c r="AD1258" s="18" t="n">
        <v>46022</v>
      </c>
      <c r="AE1258" s="18" t="s">
        <v>44</v>
      </c>
    </row>
    <row r="1259" customFormat="false" ht="15.75" hidden="false" customHeight="true" outlineLevel="0" collapsed="false">
      <c r="A1259" s="12" t="n">
        <v>13663</v>
      </c>
      <c r="B1259" s="13" t="s">
        <v>5517</v>
      </c>
      <c r="C1259" s="14" t="n">
        <v>45271</v>
      </c>
      <c r="D1259" s="13" t="s">
        <v>5526</v>
      </c>
      <c r="E1259" s="15" t="s">
        <v>47</v>
      </c>
      <c r="F1259" s="15" t="str">
        <f aca="false">IFERROR(__xludf.dummyfunction("XLOOKUP(AJ1259,IMPORTRANGE(""1XaInW9DU9nz21V0tYIfzFQ0He9kVQ_JF2mCXgZ3hqFA"",""REKAP ALL 2026 - Andika!G:G""),IMPORTRANGE(""1XaInW9DU9nz21V0tYIfzFQ0He9kVQ_JF2mCXgZ3hqFA"",""REKAP ALL 2026 - Andika!F:F""),"""",0)"),"17020178988")</f>
        <v>17020178988</v>
      </c>
      <c r="G1259" s="13" t="s">
        <v>5527</v>
      </c>
      <c r="H1259" s="13" t="s">
        <v>35</v>
      </c>
      <c r="I1259" s="13" t="str">
        <f aca="false">IF(C1259=J1259,"NEW KONTRAK","RE-KONTRAK")</f>
        <v>RE-KONTRAK</v>
      </c>
      <c r="J1259" s="16" t="n">
        <f aca="false" t="array" ref="J1259:J1259">IFERROR(INDEX(AC1259:AE1259,IF(COUNTA(AC1259:AE1259)=0,"",MAX((AC1259:AE1259&lt;&gt;"")*(COLUMN(AC1259:AE1259)-(COLUMN(AC1259)))))-1),"")</f>
        <v>45637</v>
      </c>
      <c r="K1259" s="16" t="n">
        <f aca="false" t="array" ref="K1259:K1259">IFERROR(INDEX(AC1259:AE1259,IF(COUNTA(AC1259:AE1259)=0,"",MAX((AC1259:AE1259&lt;&gt;"")*(COLUMN(AC1259:AE1259)-(COLUMN(AC1259)-1))))-1),"")</f>
        <v>46001</v>
      </c>
      <c r="L1259" s="17" t="str">
        <f aca="false" t="array" ref="L1259:L1259">IFERROR(INDEX(AC1259:AE1259,IF(COUNTA(AC1259:AE1259)=0,"",MAX((AC1259:AE1259&lt;&gt;"")*(COLUMN(AC1259:AE1259)-(COLUMN(AC1259)-2))))-1),"")</f>
        <v>ARCHIVED</v>
      </c>
      <c r="M1259" s="13" t="n">
        <f aca="true">K1259-TODAY()</f>
        <v>-323</v>
      </c>
      <c r="N1259" s="18" t="s">
        <v>615</v>
      </c>
      <c r="O1259" s="13" t="s">
        <v>50</v>
      </c>
      <c r="P1259" s="19" t="n">
        <v>5176101</v>
      </c>
      <c r="Q1259" s="20" t="s">
        <v>5528</v>
      </c>
      <c r="R1259" s="13" t="s">
        <v>148</v>
      </c>
      <c r="S1259" s="14" t="n">
        <v>31088</v>
      </c>
      <c r="T1259" s="13" t="s">
        <v>40</v>
      </c>
      <c r="U1259" s="13" t="s">
        <v>5529</v>
      </c>
      <c r="V1259" s="13" t="s">
        <v>42</v>
      </c>
      <c r="W1259" s="13" t="s">
        <v>54</v>
      </c>
      <c r="X1259" s="21" t="n">
        <v>82142007979</v>
      </c>
      <c r="Y1259" s="22" t="str">
        <f aca="false">O1259</f>
        <v>Driver</v>
      </c>
      <c r="Z1259" s="13" t="str">
        <f aca="false">IFERROR(__xludf.dummyfunction("if(BJ1259="""","""",GOOGLETRANSLATE(BJ1259,""auto"",""en""))"),"Driver")</f>
        <v>Driver</v>
      </c>
      <c r="AA1259" s="23" t="str">
        <f aca="false">IF(C1259="","", CHOOSE(MONTH(C1259),"January","February","March","April","May","June","July","August","September","October","November","December")&amp;" "&amp;DAY(C1259)&amp;MID("thstndrdth",MIN(9,2*RIGHT(DAY(C1259))*(MOD(DAY(C1259)-11,100)&gt;2)+1),2)&amp;","&amp;TEXT(C1259," yyyy"))</f>
        <v>December 11th,2023</v>
      </c>
      <c r="AB1259" s="15" t="str">
        <f aca="true">IF(S1259="","",DATEDIF(S1259,TODAY(),"Y")&amp;" Tahun, "&amp;DATEDIF(S1259,TODAY(),"YM")&amp;" Bulan, "&amp;DATEDIF(S1259,TODAY(),"MD")&amp;" Hari")</f>
        <v>41 Tahun, 8 Bulan, 19 Hari</v>
      </c>
      <c r="AC1259" s="18" t="n">
        <v>45637</v>
      </c>
      <c r="AD1259" s="18" t="n">
        <v>46001</v>
      </c>
      <c r="AE1259" s="18" t="s">
        <v>44</v>
      </c>
    </row>
    <row r="1260" customFormat="false" ht="15.75" hidden="false" customHeight="true" outlineLevel="0" collapsed="false">
      <c r="A1260" s="12" t="n">
        <v>13664</v>
      </c>
      <c r="B1260" s="13" t="s">
        <v>5530</v>
      </c>
      <c r="C1260" s="14" t="n">
        <v>45271</v>
      </c>
      <c r="D1260" s="13" t="s">
        <v>5526</v>
      </c>
      <c r="E1260" s="15" t="s">
        <v>47</v>
      </c>
      <c r="F1260" s="15" t="str">
        <f aca="false">IFERROR(__xludf.dummyfunction("XLOOKUP(AJ1260,IMPORTRANGE(""1XaInW9DU9nz21V0tYIfzFQ0He9kVQ_JF2mCXgZ3hqFA"",""REKAP ALL 2026 - Andika!G:G""),IMPORTRANGE(""1XaInW9DU9nz21V0tYIfzFQ0He9kVQ_JF2mCXgZ3hqFA"",""REKAP ALL 2026 - Andika!F:F""),"""",0)"),"23207496318")</f>
        <v>23207496318</v>
      </c>
      <c r="G1260" s="13" t="s">
        <v>5531</v>
      </c>
      <c r="H1260" s="13" t="s">
        <v>35</v>
      </c>
      <c r="I1260" s="13" t="str">
        <f aca="false">IF(C1260=J1260,"NEW KONTRAK","RE-KONTRAK")</f>
        <v>RE-KONTRAK</v>
      </c>
      <c r="J1260" s="16" t="n">
        <f aca="false" t="array" ref="J1260:J1260">IFERROR(INDEX(AC1260:AE1260,IF(COUNTA(AC1260:AE1260)=0,"",MAX((AC1260:AE1260&lt;&gt;"")*(COLUMN(AC1260:AE1260)-(COLUMN(AC1260)))))-1),"")</f>
        <v>45637</v>
      </c>
      <c r="K1260" s="16" t="n">
        <f aca="false" t="array" ref="K1260:K1260">IFERROR(INDEX(AC1260:AE1260,IF(COUNTA(AC1260:AE1260)=0,"",MAX((AC1260:AE1260&lt;&gt;"")*(COLUMN(AC1260:AE1260)-(COLUMN(AC1260)-1))))-1),"")</f>
        <v>46001</v>
      </c>
      <c r="L1260" s="17" t="str">
        <f aca="false" t="array" ref="L1260:L1260">IFERROR(INDEX(AC1260:AE1260,IF(COUNTA(AC1260:AE1260)=0,"",MAX((AC1260:AE1260&lt;&gt;"")*(COLUMN(AC1260:AE1260)-(COLUMN(AC1260)-2))))-1),"")</f>
        <v>ARCHIVED</v>
      </c>
      <c r="M1260" s="13" t="n">
        <f aca="true">K1260-TODAY()</f>
        <v>-323</v>
      </c>
      <c r="N1260" s="18" t="s">
        <v>615</v>
      </c>
      <c r="O1260" s="13" t="s">
        <v>50</v>
      </c>
      <c r="P1260" s="19" t="n">
        <v>5176101</v>
      </c>
      <c r="Q1260" s="20" t="s">
        <v>5532</v>
      </c>
      <c r="R1260" s="13" t="s">
        <v>52</v>
      </c>
      <c r="S1260" s="14" t="n">
        <v>31500</v>
      </c>
      <c r="T1260" s="13" t="s">
        <v>40</v>
      </c>
      <c r="U1260" s="13" t="s">
        <v>5533</v>
      </c>
      <c r="V1260" s="13" t="s">
        <v>42</v>
      </c>
      <c r="W1260" s="13" t="s">
        <v>54</v>
      </c>
      <c r="X1260" s="21" t="n">
        <v>81230282082</v>
      </c>
      <c r="Y1260" s="22" t="str">
        <f aca="false">O1260</f>
        <v>Driver</v>
      </c>
      <c r="Z1260" s="13" t="str">
        <f aca="false">IFERROR(__xludf.dummyfunction("if(BJ1260="""","""",GOOGLETRANSLATE(BJ1260,""auto"",""en""))"),"Driver")</f>
        <v>Driver</v>
      </c>
      <c r="AA1260" s="23" t="str">
        <f aca="false">IF(C1260="","", CHOOSE(MONTH(C1260),"January","February","March","April","May","June","July","August","September","October","November","December")&amp;" "&amp;DAY(C1260)&amp;MID("thstndrdth",MIN(9,2*RIGHT(DAY(C1260))*(MOD(DAY(C1260)-11,100)&gt;2)+1),2)&amp;","&amp;TEXT(C1260," yyyy"))</f>
        <v>December 11th,2023</v>
      </c>
      <c r="AB1260" s="15" t="str">
        <f aca="true">IF(S1260="","",DATEDIF(S1260,TODAY(),"Y")&amp;" Tahun, "&amp;DATEDIF(S1260,TODAY(),"YM")&amp;" Bulan, "&amp;DATEDIF(S1260,TODAY(),"MD")&amp;" Hari")</f>
        <v>40 Tahun, 7 Bulan, 0 Hari</v>
      </c>
      <c r="AC1260" s="18" t="n">
        <v>45637</v>
      </c>
      <c r="AD1260" s="18" t="n">
        <v>46001</v>
      </c>
      <c r="AE1260" s="18" t="s">
        <v>44</v>
      </c>
    </row>
    <row r="1261" customFormat="false" ht="15.75" hidden="false" customHeight="true" outlineLevel="0" collapsed="false">
      <c r="A1261" s="12" t="n">
        <v>13751</v>
      </c>
      <c r="B1261" s="13" t="s">
        <v>5534</v>
      </c>
      <c r="C1261" s="14" t="n">
        <v>45257</v>
      </c>
      <c r="D1261" s="13" t="s">
        <v>3022</v>
      </c>
      <c r="E1261" s="15" t="s">
        <v>47</v>
      </c>
      <c r="F1261" s="15" t="str">
        <f aca="false">IFERROR(__xludf.dummyfunction("XLOOKUP(AJ1261,IMPORTRANGE(""1XaInW9DU9nz21V0tYIfzFQ0He9kVQ_JF2mCXgZ3hqFA"",""REKAP ALL 2026 - Andika!G:G""),IMPORTRANGE(""1XaInW9DU9nz21V0tYIfzFQ0He9kVQ_JF2mCXgZ3hqFA"",""REKAP ALL 2026 - Andika!F:F""),"""",0)"),"24007210230")</f>
        <v>24007210230</v>
      </c>
      <c r="G1261" s="13" t="s">
        <v>5535</v>
      </c>
      <c r="H1261" s="13" t="s">
        <v>3024</v>
      </c>
      <c r="I1261" s="13" t="str">
        <f aca="false">IF(C1261=J1261,"NEW KONTRAK","RE-KONTRAK")</f>
        <v>RE-KONTRAK</v>
      </c>
      <c r="J1261" s="16" t="n">
        <f aca="false" t="array" ref="J1261:J1261">IFERROR(INDEX(AC1261:AE1261,IF(COUNTA(AC1261:AE1261)=0,"",MAX((AC1261:AE1261&lt;&gt;"")*(COLUMN(AC1261:AE1261)-(COLUMN(AC1261)))))-1),"")</f>
        <v>45570</v>
      </c>
      <c r="K1261" s="16" t="n">
        <f aca="false" t="array" ref="K1261:K1261">IFERROR(INDEX(AC1261:AE1261,IF(COUNTA(AC1261:AE1261)=0,"",MAX((AC1261:AE1261&lt;&gt;"")*(COLUMN(AC1261:AE1261)-(COLUMN(AC1261)-1))))-1),"")</f>
        <v>45934</v>
      </c>
      <c r="L1261" s="17" t="str">
        <f aca="false" t="array" ref="L1261:L1261">IFERROR(INDEX(AC1261:AE1261,IF(COUNTA(AC1261:AE1261)=0,"",MAX((AC1261:AE1261&lt;&gt;"")*(COLUMN(AC1261:AE1261)-(COLUMN(AC1261)-2))))-1),"")</f>
        <v>ARCHIVED</v>
      </c>
      <c r="M1261" s="13" t="n">
        <f aca="true">K1261-TODAY()</f>
        <v>-390</v>
      </c>
      <c r="N1261" s="18" t="s">
        <v>36</v>
      </c>
      <c r="O1261" s="13" t="s">
        <v>4182</v>
      </c>
      <c r="P1261" s="19" t="n">
        <v>162500</v>
      </c>
      <c r="Q1261" s="20" t="s">
        <v>5536</v>
      </c>
      <c r="R1261" s="13" t="s">
        <v>65</v>
      </c>
      <c r="S1261" s="14" t="n">
        <v>35415</v>
      </c>
      <c r="T1261" s="13" t="s">
        <v>40</v>
      </c>
      <c r="U1261" s="13" t="s">
        <v>5537</v>
      </c>
      <c r="V1261" s="13" t="s">
        <v>42</v>
      </c>
      <c r="W1261" s="13" t="s">
        <v>43</v>
      </c>
      <c r="X1261" s="21" t="n">
        <v>81233481830</v>
      </c>
      <c r="Y1261" s="22" t="str">
        <f aca="false">O1261</f>
        <v>Produksi ( Heating )</v>
      </c>
      <c r="Z1261" s="13" t="str">
        <f aca="false">IFERROR(__xludf.dummyfunction("if(BJ1261="""","""",GOOGLETRANSLATE(BJ1261,""auto"",""en""))"),"Production (Heating)")</f>
        <v>Production (Heating)</v>
      </c>
      <c r="AA1261" s="23" t="str">
        <f aca="false">IF(C1261="","", CHOOSE(MONTH(C1261),"January","February","March","April","May","June","July","August","September","October","November","December")&amp;" "&amp;DAY(C1261)&amp;MID("thstndrdth",MIN(9,2*RIGHT(DAY(C1261))*(MOD(DAY(C1261)-11,100)&gt;2)+1),2)&amp;","&amp;TEXT(C1261," yyyy"))</f>
        <v>November 27th,2023</v>
      </c>
      <c r="AB1261" s="15" t="str">
        <f aca="true">IF(S1261="","",DATEDIF(S1261,TODAY(),"Y")&amp;" Tahun, "&amp;DATEDIF(S1261,TODAY(),"YM")&amp;" Bulan, "&amp;DATEDIF(S1261,TODAY(),"MD")&amp;" Hari")</f>
        <v>29 Tahun, 10 Bulan, 13 Hari</v>
      </c>
      <c r="AC1261" s="18" t="n">
        <v>45570</v>
      </c>
      <c r="AD1261" s="18" t="n">
        <v>45934</v>
      </c>
      <c r="AE1261" s="18" t="s">
        <v>44</v>
      </c>
    </row>
    <row r="1262" customFormat="false" ht="15.75" hidden="false" customHeight="true" outlineLevel="0" collapsed="false">
      <c r="A1262" s="12" t="n">
        <v>13759</v>
      </c>
      <c r="B1262" s="13" t="s">
        <v>5538</v>
      </c>
      <c r="C1262" s="14" t="n">
        <v>45274</v>
      </c>
      <c r="D1262" s="13" t="s">
        <v>3712</v>
      </c>
      <c r="E1262" s="15" t="s">
        <v>47</v>
      </c>
      <c r="F1262" s="15" t="str">
        <f aca="false">IFERROR(__xludf.dummyfunction("XLOOKUP(AJ1262,IMPORTRANGE(""1XaInW9DU9nz21V0tYIfzFQ0He9kVQ_JF2mCXgZ3hqFA"",""REKAP ALL 2026 - Andika!G:G""),IMPORTRANGE(""1XaInW9DU9nz21V0tYIfzFQ0He9kVQ_JF2mCXgZ3hqFA"",""REKAP ALL 2026 - Andika!F:F""),"""",0)"),"24007209364")</f>
        <v>24007209364</v>
      </c>
      <c r="G1262" s="13" t="s">
        <v>5539</v>
      </c>
      <c r="H1262" s="13" t="s">
        <v>35</v>
      </c>
      <c r="I1262" s="13" t="str">
        <f aca="false">IF(C1262=J1262,"NEW KONTRAK","RE-KONTRAK")</f>
        <v>RE-KONTRAK</v>
      </c>
      <c r="J1262" s="16" t="n">
        <f aca="false" t="array" ref="J1262:J1262">IFERROR(INDEX(AC1262:AE1262,IF(COUNTA(AC1262:AE1262)=0,"",MAX((AC1262:AE1262&lt;&gt;"")*(COLUMN(AC1262:AE1262)-(COLUMN(AC1262)))))-1),"")</f>
        <v>45658</v>
      </c>
      <c r="K1262" s="16" t="n">
        <f aca="false" t="array" ref="K1262:K1262">IFERROR(INDEX(AC1262:AE1262,IF(COUNTA(AC1262:AE1262)=0,"",MAX((AC1262:AE1262&lt;&gt;"")*(COLUMN(AC1262:AE1262)-(COLUMN(AC1262)-1))))-1),"")</f>
        <v>45975</v>
      </c>
      <c r="L1262" s="17" t="str">
        <f aca="false" t="array" ref="L1262:L1262">IFERROR(INDEX(AC1262:AE1262,IF(COUNTA(AC1262:AE1262)=0,"",MAX((AC1262:AE1262&lt;&gt;"")*(COLUMN(AC1262:AE1262)-(COLUMN(AC1262)-2))))-1),"")</f>
        <v>ARCHIVED</v>
      </c>
      <c r="M1262" s="13" t="n">
        <f aca="true">K1262-TODAY()</f>
        <v>-349</v>
      </c>
      <c r="N1262" s="18" t="s">
        <v>3714</v>
      </c>
      <c r="O1262" s="13" t="s">
        <v>3577</v>
      </c>
      <c r="P1262" s="19" t="n">
        <v>2528004</v>
      </c>
      <c r="Q1262" s="20" t="s">
        <v>5540</v>
      </c>
      <c r="R1262" s="13" t="s">
        <v>2855</v>
      </c>
      <c r="S1262" s="14" t="n">
        <v>36262</v>
      </c>
      <c r="T1262" s="13" t="s">
        <v>40</v>
      </c>
      <c r="U1262" s="13" t="s">
        <v>5541</v>
      </c>
      <c r="V1262" s="13" t="s">
        <v>42</v>
      </c>
      <c r="W1262" s="13" t="s">
        <v>43</v>
      </c>
      <c r="X1262" s="21" t="n">
        <v>85258453199</v>
      </c>
      <c r="Y1262" s="22" t="str">
        <f aca="false">O1262</f>
        <v>Kerani Gudang</v>
      </c>
      <c r="Z1262" s="13" t="str">
        <f aca="false">IFERROR(__xludf.dummyfunction("if(BJ1262="""","""",GOOGLETRANSLATE(BJ1262,""auto"",""en""))"),"Warehouse Clerk")</f>
        <v>Warehouse Clerk</v>
      </c>
      <c r="AA1262" s="23" t="str">
        <f aca="false">IF(C1262="","", CHOOSE(MONTH(C1262),"January","February","March","April","May","June","July","August","September","October","November","December")&amp;" "&amp;DAY(C1262)&amp;MID("thstndrdth",MIN(9,2*RIGHT(DAY(C1262))*(MOD(DAY(C1262)-11,100)&gt;2)+1),2)&amp;","&amp;TEXT(C1262," yyyy"))</f>
        <v>December 14th,2023</v>
      </c>
      <c r="AB1262" s="15" t="str">
        <f aca="true">IF(S1262="","",DATEDIF(S1262,TODAY(),"Y")&amp;" Tahun, "&amp;DATEDIF(S1262,TODAY(),"YM")&amp;" Bulan, "&amp;DATEDIF(S1262,TODAY(),"MD")&amp;" Hari")</f>
        <v>27 Tahun, 6 Bulan, 17 Hari</v>
      </c>
      <c r="AC1262" s="18" t="n">
        <v>45658</v>
      </c>
      <c r="AD1262" s="18" t="n">
        <v>45975</v>
      </c>
      <c r="AE1262" s="18" t="s">
        <v>44</v>
      </c>
    </row>
    <row r="1263" customFormat="false" ht="15.75" hidden="false" customHeight="true" outlineLevel="0" collapsed="false">
      <c r="A1263" s="12" t="n">
        <v>13760</v>
      </c>
      <c r="B1263" s="13" t="s">
        <v>1465</v>
      </c>
      <c r="C1263" s="14" t="n">
        <v>45280</v>
      </c>
      <c r="D1263" s="13" t="s">
        <v>404</v>
      </c>
      <c r="E1263" s="15" t="s">
        <v>47</v>
      </c>
      <c r="F1263" s="15" t="str">
        <f aca="false">IFERROR(__xludf.dummyfunction("XLOOKUP(AJ1263,IMPORTRANGE(""1XaInW9DU9nz21V0tYIfzFQ0He9kVQ_JF2mCXgZ3hqFA"",""REKAP ALL 2026 - Andika!G:G""),IMPORTRANGE(""1XaInW9DU9nz21V0tYIfzFQ0He9kVQ_JF2mCXgZ3hqFA"",""REKAP ALL 2026 - Andika!F:F""),"""",0)"),"24007209257")</f>
        <v>24007209257</v>
      </c>
      <c r="G1263" s="13" t="s">
        <v>5542</v>
      </c>
      <c r="H1263" s="13" t="s">
        <v>35</v>
      </c>
      <c r="I1263" s="13" t="str">
        <f aca="false">IF(C1263=J1263,"NEW KONTRAK","RE-KONTRAK")</f>
        <v>RE-KONTRAK</v>
      </c>
      <c r="J1263" s="16" t="n">
        <f aca="false" t="array" ref="J1263:J1263">IFERROR(INDEX(AC1263:AE1263,IF(COUNTA(AC1263:AE1263)=0,"",MAX((AC1263:AE1263&lt;&gt;"")*(COLUMN(AC1263:AE1263)-(COLUMN(AC1263)))))-1),"")</f>
        <v>45658</v>
      </c>
      <c r="K1263" s="16" t="n">
        <f aca="false" t="array" ref="K1263:K1263">IFERROR(INDEX(AC1263:AE1263,IF(COUNTA(AC1263:AE1263)=0,"",MAX((AC1263:AE1263&lt;&gt;"")*(COLUMN(AC1263:AE1263)-(COLUMN(AC1263)-1))))-1),"")</f>
        <v>46022</v>
      </c>
      <c r="L1263" s="17" t="str">
        <f aca="false" t="array" ref="L1263:L1263">IFERROR(INDEX(AC1263:AE1263,IF(COUNTA(AC1263:AE1263)=0,"",MAX((AC1263:AE1263&lt;&gt;"")*(COLUMN(AC1263:AE1263)-(COLUMN(AC1263)-2))))-1),"")</f>
        <v>ARCHIVED</v>
      </c>
      <c r="M1263" s="13" t="n">
        <f aca="true">K1263-TODAY()</f>
        <v>-302</v>
      </c>
      <c r="N1263" s="18" t="s">
        <v>36</v>
      </c>
      <c r="O1263" s="13" t="s">
        <v>3529</v>
      </c>
      <c r="P1263" s="26" t="n">
        <v>5195401</v>
      </c>
      <c r="Q1263" s="20" t="s">
        <v>5543</v>
      </c>
      <c r="R1263" s="13" t="s">
        <v>65</v>
      </c>
      <c r="S1263" s="14" t="n">
        <v>36482</v>
      </c>
      <c r="T1263" s="13" t="s">
        <v>40</v>
      </c>
      <c r="U1263" s="13" t="s">
        <v>5544</v>
      </c>
      <c r="V1263" s="13" t="s">
        <v>42</v>
      </c>
      <c r="W1263" s="13" t="s">
        <v>43</v>
      </c>
      <c r="X1263" s="21" t="n">
        <v>87794131746</v>
      </c>
      <c r="Y1263" s="22" t="str">
        <f aca="false">O1263</f>
        <v>Plastic Converter</v>
      </c>
      <c r="Z1263" s="13" t="str">
        <f aca="false">IFERROR(__xludf.dummyfunction("if(BJ1263="""","""",GOOGLETRANSLATE(BJ1263,""auto"",""en""))"),"Plastic Converter")</f>
        <v>Plastic Converter</v>
      </c>
      <c r="AA1263" s="23" t="str">
        <f aca="false">IF(C1263="","", CHOOSE(MONTH(C1263),"January","February","March","April","May","June","July","August","September","October","November","December")&amp;" "&amp;DAY(C1263)&amp;MID("thstndrdth",MIN(9,2*RIGHT(DAY(C1263))*(MOD(DAY(C1263)-11,100)&gt;2)+1),2)&amp;","&amp;TEXT(C1263," yyyy"))</f>
        <v>December 20th,2023</v>
      </c>
      <c r="AB1263" s="15" t="str">
        <f aca="true">IF(S1263="","",DATEDIF(S1263,TODAY(),"Y")&amp;" Tahun, "&amp;DATEDIF(S1263,TODAY(),"YM")&amp;" Bulan, "&amp;DATEDIF(S1263,TODAY(),"MD")&amp;" Hari")</f>
        <v>26 Tahun, 11 Bulan, 11 Hari</v>
      </c>
      <c r="AC1263" s="18" t="n">
        <v>45658</v>
      </c>
      <c r="AD1263" s="18" t="n">
        <v>46022</v>
      </c>
      <c r="AE1263" s="18" t="s">
        <v>44</v>
      </c>
    </row>
    <row r="1264" customFormat="false" ht="15.75" hidden="false" customHeight="true" outlineLevel="0" collapsed="false">
      <c r="A1264" s="12" t="n">
        <v>13774</v>
      </c>
      <c r="B1264" s="13" t="s">
        <v>5545</v>
      </c>
      <c r="C1264" s="14" t="n">
        <v>45273</v>
      </c>
      <c r="D1264" s="13" t="s">
        <v>5546</v>
      </c>
      <c r="E1264" s="15" t="s">
        <v>102</v>
      </c>
      <c r="F1264" s="24" t="s">
        <v>5547</v>
      </c>
      <c r="G1264" s="13" t="s">
        <v>5548</v>
      </c>
      <c r="H1264" s="13" t="s">
        <v>35</v>
      </c>
      <c r="I1264" s="13" t="str">
        <f aca="false">IF(C1264=J1264,"NEW KONTRAK","RE-KONTRAK")</f>
        <v>RE-KONTRAK</v>
      </c>
      <c r="J1264" s="16" t="n">
        <f aca="false" t="array" ref="J1264:J1264">IFERROR(INDEX(AC1264:AE1264,IF(COUNTA(AC1264:AE1264)=0,"",MAX((AC1264:AE1264&lt;&gt;"")*(COLUMN(AC1264:AE1264)-(COLUMN(AC1264)))))-1),"")</f>
        <v>45638</v>
      </c>
      <c r="K1264" s="16" t="n">
        <f aca="false" t="array" ref="K1264:K1264">IFERROR(INDEX(AC1264:AE1264,IF(COUNTA(AC1264:AE1264)=0,"",MAX((AC1264:AE1264&lt;&gt;"")*(COLUMN(AC1264:AE1264)-(COLUMN(AC1264)-1))))-1),"")</f>
        <v>45727</v>
      </c>
      <c r="L1264" s="17" t="str">
        <f aca="false" t="array" ref="L1264:L1264">IFERROR(INDEX(AC1264:AE1264,IF(COUNTA(AC1264:AE1264)=0,"",MAX((AC1264:AE1264&lt;&gt;"")*(COLUMN(AC1264:AE1264)-(COLUMN(AC1264)-2))))-1),"")</f>
        <v>ARCHIVED</v>
      </c>
      <c r="M1264" s="13" t="n">
        <f aca="true">K1264-TODAY()</f>
        <v>-597</v>
      </c>
      <c r="N1264" s="18" t="s">
        <v>728</v>
      </c>
      <c r="O1264" s="13" t="s">
        <v>5549</v>
      </c>
      <c r="P1264" s="19" t="n">
        <v>4526000</v>
      </c>
      <c r="Q1264" s="20" t="s">
        <v>5550</v>
      </c>
      <c r="R1264" s="13" t="s">
        <v>52</v>
      </c>
      <c r="S1264" s="14" t="n">
        <v>36874</v>
      </c>
      <c r="T1264" s="13" t="s">
        <v>108</v>
      </c>
      <c r="U1264" s="13" t="s">
        <v>5551</v>
      </c>
      <c r="V1264" s="13" t="s">
        <v>42</v>
      </c>
      <c r="W1264" s="13" t="s">
        <v>43</v>
      </c>
      <c r="X1264" s="21" t="n">
        <v>82131017835</v>
      </c>
      <c r="Y1264" s="22" t="str">
        <f aca="false">O1264</f>
        <v>Staff Finance</v>
      </c>
      <c r="Z1264" s="13" t="str">
        <f aca="false">IFERROR(__xludf.dummyfunction("if(BJ1264="""","""",GOOGLETRANSLATE(BJ1264,""auto"",""en""))"),"Staff Finance")</f>
        <v>Staff Finance</v>
      </c>
      <c r="AA1264" s="23" t="str">
        <f aca="false">IF(C1264="","", CHOOSE(MONTH(C1264),"January","February","March","April","May","June","July","August","September","October","November","December")&amp;" "&amp;DAY(C1264)&amp;MID("thstndrdth",MIN(9,2*RIGHT(DAY(C1264))*(MOD(DAY(C1264)-11,100)&gt;2)+1),2)&amp;","&amp;TEXT(C1264," yyyy"))</f>
        <v>December 13th,2023</v>
      </c>
      <c r="AB1264" s="15" t="str">
        <f aca="true">IF(S1264="","",DATEDIF(S1264,TODAY(),"Y")&amp;" Tahun, "&amp;DATEDIF(S1264,TODAY(),"YM")&amp;" Bulan, "&amp;DATEDIF(S1264,TODAY(),"MD")&amp;" Hari")</f>
        <v>25 Tahun, 10 Bulan, 15 Hari</v>
      </c>
      <c r="AC1264" s="18" t="n">
        <v>45638</v>
      </c>
      <c r="AD1264" s="18" t="n">
        <v>45727</v>
      </c>
      <c r="AE1264" s="18" t="s">
        <v>44</v>
      </c>
    </row>
    <row r="1265" customFormat="false" ht="15.75" hidden="false" customHeight="true" outlineLevel="0" collapsed="false">
      <c r="A1265" s="12" t="n">
        <v>13893</v>
      </c>
      <c r="B1265" s="13" t="s">
        <v>5552</v>
      </c>
      <c r="C1265" s="14" t="n">
        <v>45278</v>
      </c>
      <c r="D1265" s="13" t="s">
        <v>2033</v>
      </c>
      <c r="E1265" s="15" t="s">
        <v>102</v>
      </c>
      <c r="F1265" s="15" t="str">
        <f aca="false">IFERROR(__xludf.dummyfunction("XLOOKUP(AJ1265,IMPORTRANGE(""1XaInW9DU9nz21V0tYIfzFQ0He9kVQ_JF2mCXgZ3hqFA"",""REKAP ALL 2026 - Andika!G:G""),IMPORTRANGE(""1XaInW9DU9nz21V0tYIfzFQ0He9kVQ_JF2mCXgZ3hqFA"",""REKAP ALL 2026 - Andika!F:F""),"""",0)"),"24007209786")</f>
        <v>24007209786</v>
      </c>
      <c r="G1265" s="13" t="s">
        <v>5553</v>
      </c>
      <c r="H1265" s="13" t="s">
        <v>2035</v>
      </c>
      <c r="I1265" s="13" t="str">
        <f aca="false">IF(C1265=J1265,"NEW KONTRAK","RE-KONTRAK")</f>
        <v>RE-KONTRAK</v>
      </c>
      <c r="J1265" s="16" t="n">
        <f aca="false" t="array" ref="J1265:J1265">IFERROR(INDEX(AC1265:AE1265,IF(COUNTA(AC1265:AE1265)=0,"",MAX((AC1265:AE1265&lt;&gt;"")*(COLUMN(AC1265:AE1265)-(COLUMN(AC1265)))))-1),"")</f>
        <v>45744</v>
      </c>
      <c r="K1265" s="16" t="n">
        <f aca="false" t="array" ref="K1265:K1265">IFERROR(INDEX(AC1265:AE1265,IF(COUNTA(AC1265:AE1265)=0,"",MAX((AC1265:AE1265&lt;&gt;"")*(COLUMN(AC1265:AE1265)-(COLUMN(AC1265)-1))))-1),"")</f>
        <v>45915</v>
      </c>
      <c r="L1265" s="17" t="str">
        <f aca="false" t="array" ref="L1265:L1265">IFERROR(INDEX(AC1265:AE1265,IF(COUNTA(AC1265:AE1265)=0,"",MAX((AC1265:AE1265&lt;&gt;"")*(COLUMN(AC1265:AE1265)-(COLUMN(AC1265)-2))))-1),"")</f>
        <v>ARCHIVED</v>
      </c>
      <c r="M1265" s="13" t="n">
        <f aca="true">K1265-TODAY()</f>
        <v>-409</v>
      </c>
      <c r="N1265" s="18" t="s">
        <v>2427</v>
      </c>
      <c r="O1265" s="13" t="s">
        <v>2037</v>
      </c>
      <c r="P1265" s="19" t="n">
        <v>3479895</v>
      </c>
      <c r="Q1265" s="20" t="s">
        <v>5554</v>
      </c>
      <c r="R1265" s="13" t="s">
        <v>2427</v>
      </c>
      <c r="S1265" s="14" t="n">
        <v>36666</v>
      </c>
      <c r="T1265" s="13" t="s">
        <v>108</v>
      </c>
      <c r="U1265" s="13" t="s">
        <v>5555</v>
      </c>
      <c r="V1265" s="13" t="s">
        <v>42</v>
      </c>
      <c r="W1265" s="13" t="s">
        <v>43</v>
      </c>
      <c r="X1265" s="21" t="n">
        <v>81340270253</v>
      </c>
      <c r="Y1265" s="22" t="str">
        <f aca="false">O1265</f>
        <v>SPG/BA</v>
      </c>
      <c r="Z1265" s="13" t="str">
        <f aca="false">IFERROR(__xludf.dummyfunction("if(BJ1265="""","""",GOOGLETRANSLATE(BJ1265,""auto"",""en""))"),"SPG/BA")</f>
        <v>SPG/BA</v>
      </c>
      <c r="AA1265" s="23" t="str">
        <f aca="false">IF(C1265="","", CHOOSE(MONTH(C1265),"January","February","March","April","May","June","July","August","September","October","November","December")&amp;" "&amp;DAY(C1265)&amp;MID("thstndrdth",MIN(9,2*RIGHT(DAY(C1265))*(MOD(DAY(C1265)-11,100)&gt;2)+1),2)&amp;","&amp;TEXT(C1265," yyyy"))</f>
        <v>December 18th,2023</v>
      </c>
      <c r="AB1265" s="15" t="str">
        <f aca="true">IF(S1265="","",DATEDIF(S1265,TODAY(),"Y")&amp;" Tahun, "&amp;DATEDIF(S1265,TODAY(),"YM")&amp;" Bulan, "&amp;DATEDIF(S1265,TODAY(),"MD")&amp;" Hari")</f>
        <v>26 Tahun, 5 Bulan, 9 Hari</v>
      </c>
      <c r="AC1265" s="18" t="n">
        <v>45744</v>
      </c>
      <c r="AD1265" s="18" t="n">
        <v>45915</v>
      </c>
      <c r="AE1265" s="18" t="s">
        <v>44</v>
      </c>
    </row>
    <row r="1266" customFormat="false" ht="15.75" hidden="false" customHeight="true" outlineLevel="0" collapsed="false">
      <c r="A1266" s="12" t="n">
        <v>13897</v>
      </c>
      <c r="B1266" s="13" t="s">
        <v>5556</v>
      </c>
      <c r="C1266" s="14" t="n">
        <v>45272</v>
      </c>
      <c r="D1266" s="13" t="s">
        <v>2033</v>
      </c>
      <c r="E1266" s="15" t="s">
        <v>102</v>
      </c>
      <c r="F1266" s="24" t="s">
        <v>5557</v>
      </c>
      <c r="G1266" s="13" t="s">
        <v>5558</v>
      </c>
      <c r="H1266" s="13" t="s">
        <v>2035</v>
      </c>
      <c r="I1266" s="13" t="str">
        <f aca="false">IF(C1266=J1266,"NEW KONTRAK","RE-KONTRAK")</f>
        <v>RE-KONTRAK</v>
      </c>
      <c r="J1266" s="16" t="n">
        <f aca="false" t="array" ref="J1266:J1266">IFERROR(INDEX(AC1266:AE1266,IF(COUNTA(AC1266:AE1266)=0,"",MAX((AC1266:AE1266&lt;&gt;"")*(COLUMN(AC1266:AE1266)-(COLUMN(AC1266)))))-1),"")</f>
        <v>45744</v>
      </c>
      <c r="K1266" s="16" t="n">
        <f aca="false" t="array" ref="K1266:K1266">IFERROR(INDEX(AC1266:AE1266,IF(COUNTA(AC1266:AE1266)=0,"",MAX((AC1266:AE1266&lt;&gt;"")*(COLUMN(AC1266:AE1266)-(COLUMN(AC1266)-1))))-1),"")</f>
        <v>45915</v>
      </c>
      <c r="L1266" s="17" t="str">
        <f aca="false" t="array" ref="L1266:L1266">IFERROR(INDEX(AC1266:AE1266,IF(COUNTA(AC1266:AE1266)=0,"",MAX((AC1266:AE1266&lt;&gt;"")*(COLUMN(AC1266:AE1266)-(COLUMN(AC1266)-2))))-1),"")</f>
        <v>ARCHIVED</v>
      </c>
      <c r="M1266" s="13" t="n">
        <f aca="true">K1266-TODAY()</f>
        <v>-409</v>
      </c>
      <c r="N1266" s="18" t="s">
        <v>2373</v>
      </c>
      <c r="O1266" s="13" t="s">
        <v>2037</v>
      </c>
      <c r="P1266" s="19" t="n">
        <v>2569070</v>
      </c>
      <c r="Q1266" s="20" t="s">
        <v>5559</v>
      </c>
      <c r="R1266" s="13" t="s">
        <v>97</v>
      </c>
      <c r="S1266" s="14" t="n">
        <v>33780</v>
      </c>
      <c r="T1266" s="13" t="s">
        <v>108</v>
      </c>
      <c r="U1266" s="13" t="s">
        <v>5560</v>
      </c>
      <c r="V1266" s="13" t="s">
        <v>42</v>
      </c>
      <c r="W1266" s="13" t="s">
        <v>54</v>
      </c>
      <c r="X1266" s="21" t="n">
        <v>8152214360</v>
      </c>
      <c r="Y1266" s="22" t="str">
        <f aca="false">O1266</f>
        <v>SPG/BA</v>
      </c>
      <c r="Z1266" s="13" t="str">
        <f aca="false">IFERROR(__xludf.dummyfunction("if(BJ1266="""","""",GOOGLETRANSLATE(BJ1266,""auto"",""en""))"),"SPG/BA")</f>
        <v>SPG/BA</v>
      </c>
      <c r="AA1266" s="23" t="str">
        <f aca="false">IF(C1266="","", CHOOSE(MONTH(C1266),"January","February","March","April","May","June","July","August","September","October","November","December")&amp;" "&amp;DAY(C1266)&amp;MID("thstndrdth",MIN(9,2*RIGHT(DAY(C1266))*(MOD(DAY(C1266)-11,100)&gt;2)+1),2)&amp;","&amp;TEXT(C1266," yyyy"))</f>
        <v>December 12th,2023</v>
      </c>
      <c r="AB1266" s="15" t="str">
        <f aca="true">IF(S1266="","",DATEDIF(S1266,TODAY(),"Y")&amp;" Tahun, "&amp;DATEDIF(S1266,TODAY(),"YM")&amp;" Bulan, "&amp;DATEDIF(S1266,TODAY(),"MD")&amp;" Hari")</f>
        <v>34 Tahun, 4 Bulan, 4 Hari</v>
      </c>
      <c r="AC1266" s="18" t="n">
        <v>45744</v>
      </c>
      <c r="AD1266" s="18" t="n">
        <v>45915</v>
      </c>
      <c r="AE1266" s="18" t="s">
        <v>44</v>
      </c>
    </row>
    <row r="1267" customFormat="false" ht="15.75" hidden="false" customHeight="true" outlineLevel="0" collapsed="false">
      <c r="A1267" s="12" t="n">
        <v>13899</v>
      </c>
      <c r="B1267" s="13" t="s">
        <v>5561</v>
      </c>
      <c r="C1267" s="14" t="n">
        <v>45271</v>
      </c>
      <c r="D1267" s="13" t="s">
        <v>2033</v>
      </c>
      <c r="E1267" s="15" t="s">
        <v>33</v>
      </c>
      <c r="F1267" s="24" t="s">
        <v>5562</v>
      </c>
      <c r="G1267" s="13" t="s">
        <v>5563</v>
      </c>
      <c r="H1267" s="13" t="s">
        <v>2035</v>
      </c>
      <c r="I1267" s="13" t="str">
        <f aca="false">IF(C1267=J1267,"NEW KONTRAK","RE-KONTRAK")</f>
        <v>RE-KONTRAK</v>
      </c>
      <c r="J1267" s="16" t="n">
        <f aca="false" t="array" ref="J1267:J1267">IFERROR(INDEX(AC1267:AE1267,IF(COUNTA(AC1267:AE1267)=0,"",MAX((AC1267:AE1267&lt;&gt;"")*(COLUMN(AC1267:AE1267)-(COLUMN(AC1267)))))-1),"")</f>
        <v>45744</v>
      </c>
      <c r="K1267" s="16" t="n">
        <f aca="false" t="array" ref="K1267:K1267">IFERROR(INDEX(AC1267:AE1267,IF(COUNTA(AC1267:AE1267)=0,"",MAX((AC1267:AE1267&lt;&gt;"")*(COLUMN(AC1267:AE1267)-(COLUMN(AC1267)-1))))-1),"")</f>
        <v>45915</v>
      </c>
      <c r="L1267" s="17" t="str">
        <f aca="false" t="array" ref="L1267:L1267">IFERROR(INDEX(AC1267:AE1267,IF(COUNTA(AC1267:AE1267)=0,"",MAX((AC1267:AE1267&lt;&gt;"")*(COLUMN(AC1267:AE1267)-(COLUMN(AC1267)-2))))-1),"")</f>
        <v>ARCHIVED</v>
      </c>
      <c r="M1267" s="13" t="n">
        <f aca="true">K1267-TODAY()</f>
        <v>-409</v>
      </c>
      <c r="N1267" s="18" t="s">
        <v>5322</v>
      </c>
      <c r="O1267" s="13" t="s">
        <v>2037</v>
      </c>
      <c r="P1267" s="19" t="n">
        <v>3783999</v>
      </c>
      <c r="Q1267" s="20" t="s">
        <v>5564</v>
      </c>
      <c r="R1267" s="13" t="s">
        <v>5322</v>
      </c>
      <c r="S1267" s="14" t="n">
        <v>38300</v>
      </c>
      <c r="T1267" s="13" t="s">
        <v>108</v>
      </c>
      <c r="U1267" s="13" t="s">
        <v>5565</v>
      </c>
      <c r="V1267" s="13" t="s">
        <v>42</v>
      </c>
      <c r="W1267" s="13" t="s">
        <v>43</v>
      </c>
      <c r="X1267" s="21" t="n">
        <v>82288518783</v>
      </c>
      <c r="Y1267" s="22" t="str">
        <f aca="false">O1267</f>
        <v>SPG/BA</v>
      </c>
      <c r="Z1267" s="13" t="str">
        <f aca="false">IFERROR(__xludf.dummyfunction("if(BJ1267="""","""",GOOGLETRANSLATE(BJ1267,""auto"",""en""))"),"SPG/BA")</f>
        <v>SPG/BA</v>
      </c>
      <c r="AA1267" s="23" t="str">
        <f aca="false">IF(C1267="","", CHOOSE(MONTH(C1267),"January","February","March","April","May","June","July","August","September","October","November","December")&amp;" "&amp;DAY(C1267)&amp;MID("thstndrdth",MIN(9,2*RIGHT(DAY(C1267))*(MOD(DAY(C1267)-11,100)&gt;2)+1),2)&amp;","&amp;TEXT(C1267," yyyy"))</f>
        <v>December 11th,2023</v>
      </c>
      <c r="AB1267" s="15" t="str">
        <f aca="true">IF(S1267="","",DATEDIF(S1267,TODAY(),"Y")&amp;" Tahun, "&amp;DATEDIF(S1267,TODAY(),"YM")&amp;" Bulan, "&amp;DATEDIF(S1267,TODAY(),"MD")&amp;" Hari")</f>
        <v>21 Tahun, 11 Bulan, 20 Hari</v>
      </c>
      <c r="AC1267" s="18" t="n">
        <v>45744</v>
      </c>
      <c r="AD1267" s="18" t="n">
        <v>45915</v>
      </c>
      <c r="AE1267" s="18" t="s">
        <v>44</v>
      </c>
    </row>
    <row r="1268" customFormat="false" ht="15.75" hidden="false" customHeight="true" outlineLevel="0" collapsed="false">
      <c r="A1268" s="12" t="n">
        <v>13904</v>
      </c>
      <c r="B1268" s="13" t="s">
        <v>5566</v>
      </c>
      <c r="C1268" s="14" t="n">
        <v>45286</v>
      </c>
      <c r="D1268" s="13" t="s">
        <v>5442</v>
      </c>
      <c r="E1268" s="15" t="s">
        <v>47</v>
      </c>
      <c r="F1268" s="15" t="str">
        <f aca="false">IFERROR(__xludf.dummyfunction("XLOOKUP(AJ1268,IMPORTRANGE(""1XaInW9DU9nz21V0tYIfzFQ0He9kVQ_JF2mCXgZ3hqFA"",""REKAP ALL 2026 - Andika!G:G""),IMPORTRANGE(""1XaInW9DU9nz21V0tYIfzFQ0He9kVQ_JF2mCXgZ3hqFA"",""REKAP ALL 2026 - Andika!F:F""),"""",0)"),"24007210842")</f>
        <v>24007210842</v>
      </c>
      <c r="G1268" s="13" t="s">
        <v>5567</v>
      </c>
      <c r="H1268" s="13" t="s">
        <v>35</v>
      </c>
      <c r="I1268" s="13" t="str">
        <f aca="false">IF(C1268=J1268,"NEW KONTRAK","RE-KONTRAK")</f>
        <v>RE-KONTRAK</v>
      </c>
      <c r="J1268" s="16" t="n">
        <f aca="false" t="array" ref="J1268:J1268">IFERROR(INDEX(AC1268:AE1268,IF(COUNTA(AC1268:AE1268)=0,"",MAX((AC1268:AE1268&lt;&gt;"")*(COLUMN(AC1268:AE1268)-(COLUMN(AC1268)))))-1),"")</f>
        <v>45828</v>
      </c>
      <c r="K1268" s="16" t="n">
        <f aca="false" t="array" ref="K1268:K1268">IFERROR(INDEX(AC1268:AE1268,IF(COUNTA(AC1268:AE1268)=0,"",MAX((AC1268:AE1268&lt;&gt;"")*(COLUMN(AC1268:AE1268)-(COLUMN(AC1268)-1))))-1),"")</f>
        <v>46192</v>
      </c>
      <c r="L1268" s="17" t="str">
        <f aca="false" t="array" ref="L1268:L1268">IFERROR(INDEX(AC1268:AE1268,IF(COUNTA(AC1268:AE1268)=0,"",MAX((AC1268:AE1268&lt;&gt;"")*(COLUMN(AC1268:AE1268)-(COLUMN(AC1268)-2))))-1),"")</f>
        <v>KEMBALI</v>
      </c>
      <c r="M1268" s="13" t="n">
        <f aca="true">K1268-TODAY()</f>
        <v>-132</v>
      </c>
      <c r="N1268" s="18" t="s">
        <v>105</v>
      </c>
      <c r="O1268" s="13" t="s">
        <v>5568</v>
      </c>
      <c r="P1268" s="19" t="n">
        <v>5191541</v>
      </c>
      <c r="Q1268" s="20" t="s">
        <v>5569</v>
      </c>
      <c r="R1268" s="13" t="s">
        <v>232</v>
      </c>
      <c r="S1268" s="14" t="n">
        <v>29387</v>
      </c>
      <c r="T1268" s="13" t="s">
        <v>40</v>
      </c>
      <c r="U1268" s="13" t="s">
        <v>5570</v>
      </c>
      <c r="V1268" s="13" t="s">
        <v>42</v>
      </c>
      <c r="W1268" s="13" t="s">
        <v>54</v>
      </c>
      <c r="X1268" s="21" t="n">
        <v>83833003991</v>
      </c>
      <c r="Y1268" s="22" t="str">
        <f aca="false">O1268</f>
        <v>Produksi Pintu (Manda)</v>
      </c>
      <c r="Z1268" s="13" t="str">
        <f aca="false">IFERROR(__xludf.dummyfunction("if(BJ1268="""","""",GOOGLETRANSLATE(BJ1268,""auto"",""en""))"),"Door Production (Manda)")</f>
        <v>Door Production (Manda)</v>
      </c>
      <c r="AA1268" s="23" t="str">
        <f aca="false">IF(C1268="","", CHOOSE(MONTH(C1268),"January","February","March","April","May","June","July","August","September","October","November","December")&amp;" "&amp;DAY(C1268)&amp;MID("thstndrdth",MIN(9,2*RIGHT(DAY(C1268))*(MOD(DAY(C1268)-11,100)&gt;2)+1),2)&amp;","&amp;TEXT(C1268," yyyy"))</f>
        <v>December 26th,2023</v>
      </c>
      <c r="AB1268" s="15" t="str">
        <f aca="true">IF(S1268="","",DATEDIF(S1268,TODAY(),"Y")&amp;" Tahun, "&amp;DATEDIF(S1268,TODAY(),"YM")&amp;" Bulan, "&amp;DATEDIF(S1268,TODAY(),"MD")&amp;" Hari")</f>
        <v>46 Tahun, 4 Bulan, 14 Hari</v>
      </c>
      <c r="AC1268" s="18" t="n">
        <v>45828</v>
      </c>
      <c r="AD1268" s="18" t="n">
        <v>46192</v>
      </c>
      <c r="AE1268" s="13" t="s">
        <v>397</v>
      </c>
    </row>
    <row r="1269" customFormat="false" ht="15.75" hidden="false" customHeight="true" outlineLevel="0" collapsed="false">
      <c r="A1269" s="12" t="n">
        <v>13905</v>
      </c>
      <c r="B1269" s="13" t="s">
        <v>5571</v>
      </c>
      <c r="C1269" s="14" t="n">
        <v>45286</v>
      </c>
      <c r="D1269" s="13" t="s">
        <v>5442</v>
      </c>
      <c r="E1269" s="15" t="s">
        <v>47</v>
      </c>
      <c r="F1269" s="15" t="str">
        <f aca="false">IFERROR(__xludf.dummyfunction("XLOOKUP(AJ1269,IMPORTRANGE(""1XaInW9DU9nz21V0tYIfzFQ0He9kVQ_JF2mCXgZ3hqFA"",""REKAP ALL 2026 - Andika!G:G""),IMPORTRANGE(""1XaInW9DU9nz21V0tYIfzFQ0He9kVQ_JF2mCXgZ3hqFA"",""REKAP ALL 2026 - Andika!F:F""),"""",0)"),"24007210826")</f>
        <v>24007210826</v>
      </c>
      <c r="G1269" s="13" t="s">
        <v>5572</v>
      </c>
      <c r="H1269" s="13" t="s">
        <v>35</v>
      </c>
      <c r="I1269" s="13" t="str">
        <f aca="false">IF(C1269=J1269,"NEW KONTRAK","RE-KONTRAK")</f>
        <v>RE-KONTRAK</v>
      </c>
      <c r="J1269" s="16" t="n">
        <f aca="false" t="array" ref="J1269:J1269">IFERROR(INDEX(AC1269:AE1269,IF(COUNTA(AC1269:AE1269)=0,"",MAX((AC1269:AE1269&lt;&gt;"")*(COLUMN(AC1269:AE1269)-(COLUMN(AC1269)))))-1),"")</f>
        <v>45828</v>
      </c>
      <c r="K1269" s="16" t="n">
        <f aca="false" t="array" ref="K1269:K1269">IFERROR(INDEX(AC1269:AE1269,IF(COUNTA(AC1269:AE1269)=0,"",MAX((AC1269:AE1269&lt;&gt;"")*(COLUMN(AC1269:AE1269)-(COLUMN(AC1269)-1))))-1),"")</f>
        <v>46192</v>
      </c>
      <c r="L1269" s="17" t="str">
        <f aca="false" t="array" ref="L1269:L1269">IFERROR(INDEX(AC1269:AE1269,IF(COUNTA(AC1269:AE1269)=0,"",MAX((AC1269:AE1269&lt;&gt;"")*(COLUMN(AC1269:AE1269)-(COLUMN(AC1269)-2))))-1),"")</f>
        <v>KEMBALI</v>
      </c>
      <c r="M1269" s="13" t="n">
        <f aca="true">K1269-TODAY()</f>
        <v>-132</v>
      </c>
      <c r="N1269" s="18" t="s">
        <v>105</v>
      </c>
      <c r="O1269" s="13" t="s">
        <v>5573</v>
      </c>
      <c r="P1269" s="19" t="n">
        <v>5191541</v>
      </c>
      <c r="Q1269" s="20" t="s">
        <v>5574</v>
      </c>
      <c r="R1269" s="13" t="s">
        <v>232</v>
      </c>
      <c r="S1269" s="14" t="n">
        <v>33155</v>
      </c>
      <c r="T1269" s="13" t="s">
        <v>40</v>
      </c>
      <c r="U1269" s="13" t="s">
        <v>5575</v>
      </c>
      <c r="V1269" s="13" t="s">
        <v>42</v>
      </c>
      <c r="W1269" s="13" t="s">
        <v>54</v>
      </c>
      <c r="X1269" s="21" t="n">
        <v>895331136529</v>
      </c>
      <c r="Y1269" s="22" t="str">
        <f aca="false">O1269</f>
        <v>Produksi Pintu (Mukaan)</v>
      </c>
      <c r="Z1269" s="13" t="str">
        <f aca="false">IFERROR(__xludf.dummyfunction("if(BJ1269="""","""",GOOGLETRANSLATE(BJ1269,""auto"",""en""))"),"Door Production (Front)")</f>
        <v>Door Production (Front)</v>
      </c>
      <c r="AA1269" s="23" t="str">
        <f aca="false">IF(C1269="","", CHOOSE(MONTH(C1269),"January","February","March","April","May","June","July","August","September","October","November","December")&amp;" "&amp;DAY(C1269)&amp;MID("thstndrdth",MIN(9,2*RIGHT(DAY(C1269))*(MOD(DAY(C1269)-11,100)&gt;2)+1),2)&amp;","&amp;TEXT(C1269," yyyy"))</f>
        <v>December 26th,2023</v>
      </c>
      <c r="AB1269" s="15" t="str">
        <f aca="true">IF(S1269="","",DATEDIF(S1269,TODAY(),"Y")&amp;" Tahun, "&amp;DATEDIF(S1269,TODAY(),"YM")&amp;" Bulan, "&amp;DATEDIF(S1269,TODAY(),"MD")&amp;" Hari")</f>
        <v>36 Tahun, 0 Bulan, 20 Hari</v>
      </c>
      <c r="AC1269" s="18" t="n">
        <v>45828</v>
      </c>
      <c r="AD1269" s="18" t="n">
        <v>46192</v>
      </c>
      <c r="AE1269" s="13" t="s">
        <v>397</v>
      </c>
    </row>
    <row r="1270" customFormat="false" ht="15.75" hidden="false" customHeight="true" outlineLevel="0" collapsed="false">
      <c r="A1270" s="12" t="n">
        <v>13906</v>
      </c>
      <c r="B1270" s="13" t="s">
        <v>5576</v>
      </c>
      <c r="C1270" s="14" t="n">
        <v>45286</v>
      </c>
      <c r="D1270" s="13" t="s">
        <v>5442</v>
      </c>
      <c r="E1270" s="15" t="s">
        <v>47</v>
      </c>
      <c r="F1270" s="15" t="str">
        <f aca="false">IFERROR(__xludf.dummyfunction("XLOOKUP(AJ1270,IMPORTRANGE(""1XaInW9DU9nz21V0tYIfzFQ0He9kVQ_JF2mCXgZ3hqFA"",""REKAP ALL 2026 - Andika!G:G""),IMPORTRANGE(""1XaInW9DU9nz21V0tYIfzFQ0He9kVQ_JF2mCXgZ3hqFA"",""REKAP ALL 2026 - Andika!F:F""),"""",0)"),"24007210750")</f>
        <v>24007210750</v>
      </c>
      <c r="G1270" s="13" t="s">
        <v>5577</v>
      </c>
      <c r="H1270" s="13" t="s">
        <v>35</v>
      </c>
      <c r="I1270" s="13" t="str">
        <f aca="false">IF(C1270=J1270,"NEW KONTRAK","RE-KONTRAK")</f>
        <v>RE-KONTRAK</v>
      </c>
      <c r="J1270" s="16" t="n">
        <f aca="false" t="array" ref="J1270:J1270">IFERROR(INDEX(AC1270:AE1270,IF(COUNTA(AC1270:AE1270)=0,"",MAX((AC1270:AE1270&lt;&gt;"")*(COLUMN(AC1270:AE1270)-(COLUMN(AC1270)))))-1),"")</f>
        <v>45828</v>
      </c>
      <c r="K1270" s="16" t="n">
        <f aca="false" t="array" ref="K1270:K1270">IFERROR(INDEX(AC1270:AE1270,IF(COUNTA(AC1270:AE1270)=0,"",MAX((AC1270:AE1270&lt;&gt;"")*(COLUMN(AC1270:AE1270)-(COLUMN(AC1270)-1))))-1),"")</f>
        <v>46192</v>
      </c>
      <c r="L1270" s="17" t="str">
        <f aca="false" t="array" ref="L1270:L1270">IFERROR(INDEX(AC1270:AE1270,IF(COUNTA(AC1270:AE1270)=0,"",MAX((AC1270:AE1270&lt;&gt;"")*(COLUMN(AC1270:AE1270)-(COLUMN(AC1270)-2))))-1),"")</f>
        <v>KEMBALI</v>
      </c>
      <c r="M1270" s="13" t="n">
        <f aca="true">K1270-TODAY()</f>
        <v>-132</v>
      </c>
      <c r="N1270" s="18" t="s">
        <v>105</v>
      </c>
      <c r="O1270" s="13" t="s">
        <v>5578</v>
      </c>
      <c r="P1270" s="19" t="n">
        <v>5191541</v>
      </c>
      <c r="Q1270" s="20" t="s">
        <v>5579</v>
      </c>
      <c r="R1270" s="13" t="s">
        <v>65</v>
      </c>
      <c r="S1270" s="14" t="n">
        <v>33894</v>
      </c>
      <c r="T1270" s="13" t="s">
        <v>40</v>
      </c>
      <c r="U1270" s="13" t="s">
        <v>5580</v>
      </c>
      <c r="V1270" s="13" t="s">
        <v>42</v>
      </c>
      <c r="W1270" s="13" t="s">
        <v>897</v>
      </c>
      <c r="X1270" s="21" t="n">
        <v>89675612468</v>
      </c>
      <c r="Y1270" s="22" t="str">
        <f aca="false">O1270</f>
        <v>Produksi Pintu (Roll)</v>
      </c>
      <c r="Z1270" s="13" t="str">
        <f aca="false">IFERROR(__xludf.dummyfunction("if(BJ1270="""","""",GOOGLETRANSLATE(BJ1270,""auto"",""en""))"),"Door Production (Roll)")</f>
        <v>Door Production (Roll)</v>
      </c>
      <c r="AA1270" s="23" t="str">
        <f aca="false">IF(C1270="","", CHOOSE(MONTH(C1270),"January","February","March","April","May","June","July","August","September","October","November","December")&amp;" "&amp;DAY(C1270)&amp;MID("thstndrdth",MIN(9,2*RIGHT(DAY(C1270))*(MOD(DAY(C1270)-11,100)&gt;2)+1),2)&amp;","&amp;TEXT(C1270," yyyy"))</f>
        <v>December 26th,2023</v>
      </c>
      <c r="AB1270" s="15" t="str">
        <f aca="true">IF(S1270="","",DATEDIF(S1270,TODAY(),"Y")&amp;" Tahun, "&amp;DATEDIF(S1270,TODAY(),"YM")&amp;" Bulan, "&amp;DATEDIF(S1270,TODAY(),"MD")&amp;" Hari")</f>
        <v>34 Tahun, 0 Bulan, 12 Hari</v>
      </c>
      <c r="AC1270" s="18" t="n">
        <v>45828</v>
      </c>
      <c r="AD1270" s="18" t="n">
        <v>46192</v>
      </c>
      <c r="AE1270" s="13" t="s">
        <v>397</v>
      </c>
    </row>
    <row r="1271" customFormat="false" ht="15.75" hidden="false" customHeight="true" outlineLevel="0" collapsed="false">
      <c r="A1271" s="12" t="n">
        <v>13907</v>
      </c>
      <c r="B1271" s="13" t="s">
        <v>5581</v>
      </c>
      <c r="C1271" s="14" t="n">
        <v>45286</v>
      </c>
      <c r="D1271" s="13" t="s">
        <v>5442</v>
      </c>
      <c r="E1271" s="15" t="s">
        <v>47</v>
      </c>
      <c r="F1271" s="15" t="str">
        <f aca="false">IFERROR(__xludf.dummyfunction("XLOOKUP(AJ1271,IMPORTRANGE(""1XaInW9DU9nz21V0tYIfzFQ0He9kVQ_JF2mCXgZ3hqFA"",""REKAP ALL 2026 - Andika!G:G""),IMPORTRANGE(""1XaInW9DU9nz21V0tYIfzFQ0He9kVQ_JF2mCXgZ3hqFA"",""REKAP ALL 2026 - Andika!F:F""),"""",0)"),"24007210834")</f>
        <v>24007210834</v>
      </c>
      <c r="G1271" s="13" t="s">
        <v>5582</v>
      </c>
      <c r="H1271" s="13" t="s">
        <v>35</v>
      </c>
      <c r="I1271" s="13" t="str">
        <f aca="false">IF(C1271=J1271,"NEW KONTRAK","RE-KONTRAK")</f>
        <v>RE-KONTRAK</v>
      </c>
      <c r="J1271" s="16" t="n">
        <f aca="false" t="array" ref="J1271:J1271">IFERROR(INDEX(AC1271:AE1271,IF(COUNTA(AC1271:AE1271)=0,"",MAX((AC1271:AE1271&lt;&gt;"")*(COLUMN(AC1271:AE1271)-(COLUMN(AC1271)))))-1),"")</f>
        <v>45828</v>
      </c>
      <c r="K1271" s="16" t="n">
        <f aca="false" t="array" ref="K1271:K1271">IFERROR(INDEX(AC1271:AE1271,IF(COUNTA(AC1271:AE1271)=0,"",MAX((AC1271:AE1271&lt;&gt;"")*(COLUMN(AC1271:AE1271)-(COLUMN(AC1271)-1))))-1),"")</f>
        <v>46192</v>
      </c>
      <c r="L1271" s="17" t="str">
        <f aca="false" t="array" ref="L1271:L1271">IFERROR(INDEX(AC1271:AE1271,IF(COUNTA(AC1271:AE1271)=0,"",MAX((AC1271:AE1271&lt;&gt;"")*(COLUMN(AC1271:AE1271)-(COLUMN(AC1271)-2))))-1),"")</f>
        <v>ARCHIVED</v>
      </c>
      <c r="M1271" s="13" t="n">
        <f aca="true">K1271-TODAY()</f>
        <v>-132</v>
      </c>
      <c r="N1271" s="18" t="s">
        <v>105</v>
      </c>
      <c r="O1271" s="13" t="s">
        <v>5568</v>
      </c>
      <c r="P1271" s="19" t="n">
        <v>5191541</v>
      </c>
      <c r="Q1271" s="20" t="s">
        <v>5583</v>
      </c>
      <c r="R1271" s="13" t="s">
        <v>401</v>
      </c>
      <c r="S1271" s="14" t="n">
        <v>33482</v>
      </c>
      <c r="T1271" s="13" t="s">
        <v>40</v>
      </c>
      <c r="U1271" s="13" t="s">
        <v>5584</v>
      </c>
      <c r="V1271" s="13" t="s">
        <v>42</v>
      </c>
      <c r="W1271" s="13" t="s">
        <v>54</v>
      </c>
      <c r="X1271" s="21" t="n">
        <v>87825322552</v>
      </c>
      <c r="Y1271" s="22" t="str">
        <f aca="false">O1271</f>
        <v>Produksi Pintu (Manda)</v>
      </c>
      <c r="Z1271" s="13" t="str">
        <f aca="false">IFERROR(__xludf.dummyfunction("if(BJ1271="""","""",GOOGLETRANSLATE(BJ1271,""auto"",""en""))"),"Door Production (Manda)")</f>
        <v>Door Production (Manda)</v>
      </c>
      <c r="AA1271" s="23" t="str">
        <f aca="false">IF(C1271="","", CHOOSE(MONTH(C1271),"January","February","March","April","May","June","July","August","September","October","November","December")&amp;" "&amp;DAY(C1271)&amp;MID("thstndrdth",MIN(9,2*RIGHT(DAY(C1271))*(MOD(DAY(C1271)-11,100)&gt;2)+1),2)&amp;","&amp;TEXT(C1271," yyyy"))</f>
        <v>December 26th,2023</v>
      </c>
      <c r="AB1271" s="15" t="str">
        <f aca="true">IF(S1271="","",DATEDIF(S1271,TODAY(),"Y")&amp;" Tahun, "&amp;DATEDIF(S1271,TODAY(),"YM")&amp;" Bulan, "&amp;DATEDIF(S1271,TODAY(),"MD")&amp;" Hari")</f>
        <v>35 Tahun, 1 Bulan, 28 Hari</v>
      </c>
      <c r="AC1271" s="18" t="n">
        <v>45828</v>
      </c>
      <c r="AD1271" s="18" t="n">
        <v>46192</v>
      </c>
      <c r="AE1271" s="18" t="s">
        <v>44</v>
      </c>
    </row>
    <row r="1272" customFormat="false" ht="15.75" hidden="false" customHeight="true" outlineLevel="0" collapsed="false">
      <c r="A1272" s="12" t="n">
        <v>13908</v>
      </c>
      <c r="B1272" s="13" t="s">
        <v>5585</v>
      </c>
      <c r="C1272" s="14" t="n">
        <v>45286</v>
      </c>
      <c r="D1272" s="13" t="s">
        <v>5442</v>
      </c>
      <c r="E1272" s="15" t="s">
        <v>47</v>
      </c>
      <c r="F1272" s="15" t="str">
        <f aca="false">IFERROR(__xludf.dummyfunction("XLOOKUP(AJ1272,IMPORTRANGE(""1XaInW9DU9nz21V0tYIfzFQ0He9kVQ_JF2mCXgZ3hqFA"",""REKAP ALL 2026 - Andika!G:G""),IMPORTRANGE(""1XaInW9DU9nz21V0tYIfzFQ0He9kVQ_JF2mCXgZ3hqFA"",""REKAP ALL 2026 - Andika!F:F""),"""",0)"),"24007210800")</f>
        <v>24007210800</v>
      </c>
      <c r="G1272" s="13" t="s">
        <v>5586</v>
      </c>
      <c r="H1272" s="13" t="s">
        <v>35</v>
      </c>
      <c r="I1272" s="13" t="str">
        <f aca="false">IF(C1272=J1272,"NEW KONTRAK","RE-KONTRAK")</f>
        <v>RE-KONTRAK</v>
      </c>
      <c r="J1272" s="16" t="n">
        <f aca="false" t="array" ref="J1272:J1272">IFERROR(INDEX(AC1272:AE1272,IF(COUNTA(AC1272:AE1272)=0,"",MAX((AC1272:AE1272&lt;&gt;"")*(COLUMN(AC1272:AE1272)-(COLUMN(AC1272)))))-1),"")</f>
        <v>45828</v>
      </c>
      <c r="K1272" s="16" t="n">
        <f aca="false" t="array" ref="K1272:K1272">IFERROR(INDEX(AC1272:AE1272,IF(COUNTA(AC1272:AE1272)=0,"",MAX((AC1272:AE1272&lt;&gt;"")*(COLUMN(AC1272:AE1272)-(COLUMN(AC1272)-1))))-1),"")</f>
        <v>46192</v>
      </c>
      <c r="L1272" s="17" t="str">
        <f aca="false" t="array" ref="L1272:L1272">IFERROR(INDEX(AC1272:AE1272,IF(COUNTA(AC1272:AE1272)=0,"",MAX((AC1272:AE1272&lt;&gt;"")*(COLUMN(AC1272:AE1272)-(COLUMN(AC1272)-2))))-1),"")</f>
        <v>ARCHIVED</v>
      </c>
      <c r="M1272" s="13" t="n">
        <f aca="true">K1272-TODAY()</f>
        <v>-132</v>
      </c>
      <c r="N1272" s="18" t="s">
        <v>105</v>
      </c>
      <c r="O1272" s="13" t="s">
        <v>5587</v>
      </c>
      <c r="P1272" s="19" t="n">
        <v>5191541</v>
      </c>
      <c r="Q1272" s="20" t="s">
        <v>5588</v>
      </c>
      <c r="R1272" s="13" t="s">
        <v>73</v>
      </c>
      <c r="S1272" s="14" t="n">
        <v>28420</v>
      </c>
      <c r="T1272" s="13" t="s">
        <v>40</v>
      </c>
      <c r="U1272" s="13" t="s">
        <v>5589</v>
      </c>
      <c r="V1272" s="13" t="s">
        <v>42</v>
      </c>
      <c r="W1272" s="13" t="s">
        <v>54</v>
      </c>
      <c r="X1272" s="21" t="n">
        <v>83849723198</v>
      </c>
      <c r="Y1272" s="22" t="str">
        <f aca="false">O1272</f>
        <v>Produksi Pintu (QC)</v>
      </c>
      <c r="Z1272" s="13" t="str">
        <f aca="false">IFERROR(__xludf.dummyfunction("if(BJ1272="""","""",GOOGLETRANSLATE(BJ1272,""auto"",""en""))"),"Door Production (QC)")</f>
        <v>Door Production (QC)</v>
      </c>
      <c r="AA1272" s="23" t="str">
        <f aca="false">IF(C1272="","", CHOOSE(MONTH(C1272),"January","February","March","April","May","June","July","August","September","October","November","December")&amp;" "&amp;DAY(C1272)&amp;MID("thstndrdth",MIN(9,2*RIGHT(DAY(C1272))*(MOD(DAY(C1272)-11,100)&gt;2)+1),2)&amp;","&amp;TEXT(C1272," yyyy"))</f>
        <v>December 26th,2023</v>
      </c>
      <c r="AB1272" s="15" t="str">
        <f aca="true">IF(S1272="","",DATEDIF(S1272,TODAY(),"Y")&amp;" Tahun, "&amp;DATEDIF(S1272,TODAY(),"YM")&amp;" Bulan, "&amp;DATEDIF(S1272,TODAY(),"MD")&amp;" Hari")</f>
        <v>49 Tahun, 0 Bulan, 7 Hari</v>
      </c>
      <c r="AC1272" s="18" t="n">
        <v>45828</v>
      </c>
      <c r="AD1272" s="18" t="n">
        <v>46192</v>
      </c>
      <c r="AE1272" s="18" t="s">
        <v>44</v>
      </c>
    </row>
    <row r="1273" customFormat="false" ht="15.75" hidden="false" customHeight="true" outlineLevel="0" collapsed="false">
      <c r="A1273" s="12" t="n">
        <v>13909</v>
      </c>
      <c r="B1273" s="13" t="s">
        <v>5590</v>
      </c>
      <c r="C1273" s="14" t="n">
        <v>45286</v>
      </c>
      <c r="D1273" s="13" t="s">
        <v>5442</v>
      </c>
      <c r="E1273" s="15" t="s">
        <v>47</v>
      </c>
      <c r="F1273" s="15" t="str">
        <f aca="false">IFERROR(__xludf.dummyfunction("XLOOKUP(AJ1273,IMPORTRANGE(""1XaInW9DU9nz21V0tYIfzFQ0He9kVQ_JF2mCXgZ3hqFA"",""REKAP ALL 2026 - Andika!G:G""),IMPORTRANGE(""1XaInW9DU9nz21V0tYIfzFQ0He9kVQ_JF2mCXgZ3hqFA"",""REKAP ALL 2026 - Andika!F:F""),"""",0)"),"14036693795")</f>
        <v>14036693795</v>
      </c>
      <c r="G1273" s="13" t="s">
        <v>5591</v>
      </c>
      <c r="H1273" s="13" t="s">
        <v>35</v>
      </c>
      <c r="I1273" s="13" t="str">
        <f aca="false">IF(C1273=J1273,"NEW KONTRAK","RE-KONTRAK")</f>
        <v>RE-KONTRAK</v>
      </c>
      <c r="J1273" s="16" t="n">
        <f aca="false" t="array" ref="J1273:J1273">IFERROR(INDEX(AC1273:AE1273,IF(COUNTA(AC1273:AE1273)=0,"",MAX((AC1273:AE1273&lt;&gt;"")*(COLUMN(AC1273:AE1273)-(COLUMN(AC1273)))))-1),"")</f>
        <v>45828</v>
      </c>
      <c r="K1273" s="16" t="n">
        <f aca="false" t="array" ref="K1273:K1273">IFERROR(INDEX(AC1273:AE1273,IF(COUNTA(AC1273:AE1273)=0,"",MAX((AC1273:AE1273&lt;&gt;"")*(COLUMN(AC1273:AE1273)-(COLUMN(AC1273)-1))))-1),"")</f>
        <v>46192</v>
      </c>
      <c r="L1273" s="17" t="str">
        <f aca="false" t="array" ref="L1273:L1273">IFERROR(INDEX(AC1273:AE1273,IF(COUNTA(AC1273:AE1273)=0,"",MAX((AC1273:AE1273&lt;&gt;"")*(COLUMN(AC1273:AE1273)-(COLUMN(AC1273)-2))))-1),"")</f>
        <v>KEMBALI</v>
      </c>
      <c r="M1273" s="13" t="n">
        <f aca="true">K1273-TODAY()</f>
        <v>-132</v>
      </c>
      <c r="N1273" s="18" t="s">
        <v>105</v>
      </c>
      <c r="O1273" s="13" t="s">
        <v>5568</v>
      </c>
      <c r="P1273" s="19" t="n">
        <v>5191541</v>
      </c>
      <c r="Q1273" s="20" t="s">
        <v>5592</v>
      </c>
      <c r="R1273" s="13" t="s">
        <v>65</v>
      </c>
      <c r="S1273" s="14" t="n">
        <v>33593</v>
      </c>
      <c r="T1273" s="13" t="s">
        <v>40</v>
      </c>
      <c r="U1273" s="13" t="s">
        <v>5593</v>
      </c>
      <c r="V1273" s="13" t="s">
        <v>42</v>
      </c>
      <c r="W1273" s="13" t="s">
        <v>54</v>
      </c>
      <c r="X1273" s="21" t="n">
        <v>89616634485</v>
      </c>
      <c r="Y1273" s="22" t="str">
        <f aca="false">O1273</f>
        <v>Produksi Pintu (Manda)</v>
      </c>
      <c r="Z1273" s="13" t="str">
        <f aca="false">IFERROR(__xludf.dummyfunction("if(BJ1273="""","""",GOOGLETRANSLATE(BJ1273,""auto"",""en""))"),"Door Production (Manda)")</f>
        <v>Door Production (Manda)</v>
      </c>
      <c r="AA1273" s="23" t="str">
        <f aca="false">IF(C1273="","", CHOOSE(MONTH(C1273),"January","February","March","April","May","June","July","August","September","October","November","December")&amp;" "&amp;DAY(C1273)&amp;MID("thstndrdth",MIN(9,2*RIGHT(DAY(C1273))*(MOD(DAY(C1273)-11,100)&gt;2)+1),2)&amp;","&amp;TEXT(C1273," yyyy"))</f>
        <v>December 26th,2023</v>
      </c>
      <c r="AB1273" s="15" t="str">
        <f aca="true">IF(S1273="","",DATEDIF(S1273,TODAY(),"Y")&amp;" Tahun, "&amp;DATEDIF(S1273,TODAY(),"YM")&amp;" Bulan, "&amp;DATEDIF(S1273,TODAY(),"MD")&amp;" Hari")</f>
        <v>34 Tahun, 10 Bulan, 8 Hari</v>
      </c>
      <c r="AC1273" s="18" t="n">
        <v>45828</v>
      </c>
      <c r="AD1273" s="18" t="n">
        <v>46192</v>
      </c>
      <c r="AE1273" s="13" t="s">
        <v>397</v>
      </c>
    </row>
    <row r="1274" customFormat="false" ht="15.75" hidden="false" customHeight="true" outlineLevel="0" collapsed="false">
      <c r="A1274" s="12" t="n">
        <v>13925</v>
      </c>
      <c r="B1274" s="13" t="s">
        <v>5594</v>
      </c>
      <c r="C1274" s="14" t="n">
        <v>45282</v>
      </c>
      <c r="D1274" s="13" t="s">
        <v>3022</v>
      </c>
      <c r="E1274" s="15" t="s">
        <v>33</v>
      </c>
      <c r="F1274" s="24" t="s">
        <v>5595</v>
      </c>
      <c r="G1274" s="15" t="s">
        <v>5596</v>
      </c>
      <c r="H1274" s="13" t="s">
        <v>2967</v>
      </c>
      <c r="I1274" s="13" t="str">
        <f aca="false">IF(C1274=J1274,"NEW KONTRAK","RE-KONTRAK")</f>
        <v>RE-KONTRAK</v>
      </c>
      <c r="J1274" s="16" t="n">
        <f aca="false" t="array" ref="J1274:J1274">IFERROR(INDEX(AC1274:AE1274,IF(COUNTA(AC1274:AE1274)=0,"",MAX((AC1274:AE1274&lt;&gt;"")*(COLUMN(AC1274:AE1274)-(COLUMN(AC1274)))))-1),"")</f>
        <v>45570</v>
      </c>
      <c r="K1274" s="16" t="n">
        <f aca="false" t="array" ref="K1274:K1274">IFERROR(INDEX(AC1274:AE1274,IF(COUNTA(AC1274:AE1274)=0,"",MAX((AC1274:AE1274&lt;&gt;"")*(COLUMN(AC1274:AE1274)-(COLUMN(AC1274)-1))))-1),"")</f>
        <v>45934</v>
      </c>
      <c r="L1274" s="17" t="str">
        <f aca="false" t="array" ref="L1274:L1274">IFERROR(INDEX(AC1274:AE1274,IF(COUNTA(AC1274:AE1274)=0,"",MAX((AC1274:AE1274&lt;&gt;"")*(COLUMN(AC1274:AE1274)-(COLUMN(AC1274)-2))))-1),"")</f>
        <v>ARCHIVED</v>
      </c>
      <c r="M1274" s="13" t="n">
        <f aca="true">K1274-TODAY()</f>
        <v>-390</v>
      </c>
      <c r="N1274" s="18" t="s">
        <v>36</v>
      </c>
      <c r="O1274" s="13" t="s">
        <v>3750</v>
      </c>
      <c r="P1274" s="19" t="n">
        <v>102500</v>
      </c>
      <c r="Q1274" s="20" t="s">
        <v>5597</v>
      </c>
      <c r="R1274" s="13" t="s">
        <v>5598</v>
      </c>
      <c r="S1274" s="14" t="n">
        <v>38167</v>
      </c>
      <c r="T1274" s="13" t="s">
        <v>40</v>
      </c>
      <c r="U1274" s="13" t="s">
        <v>5599</v>
      </c>
      <c r="V1274" s="13" t="s">
        <v>42</v>
      </c>
      <c r="W1274" s="13" t="s">
        <v>43</v>
      </c>
      <c r="X1274" s="30" t="n">
        <v>87828809570</v>
      </c>
      <c r="Y1274" s="22" t="str">
        <f aca="false">O1274</f>
        <v>Produksi ( Painting )</v>
      </c>
      <c r="Z1274" s="13" t="str">
        <f aca="false">IFERROR(__xludf.dummyfunction("if(BJ1274="""","""",GOOGLETRANSLATE(BJ1274,""auto"",""en""))"),"Production (Painting)")</f>
        <v>Production (Painting)</v>
      </c>
      <c r="AA1274" s="23" t="str">
        <f aca="false">IF(C1274="","", CHOOSE(MONTH(C1274),"January","February","March","April","May","June","July","August","September","October","November","December")&amp;" "&amp;DAY(C1274)&amp;MID("thstndrdth",MIN(9,2*RIGHT(DAY(C1274))*(MOD(DAY(C1274)-11,100)&gt;2)+1),2)&amp;","&amp;TEXT(C1274," yyyy"))</f>
        <v>December 22nd,2023</v>
      </c>
      <c r="AB1274" s="15" t="str">
        <f aca="true">IF(S1274="","",DATEDIF(S1274,TODAY(),"Y")&amp;" Tahun, "&amp;DATEDIF(S1274,TODAY(),"YM")&amp;" Bulan, "&amp;DATEDIF(S1274,TODAY(),"MD")&amp;" Hari")</f>
        <v>22 Tahun, 4 Bulan, 0 Hari</v>
      </c>
      <c r="AC1274" s="18" t="n">
        <v>45570</v>
      </c>
      <c r="AD1274" s="18" t="n">
        <v>45934</v>
      </c>
      <c r="AE1274" s="18" t="s">
        <v>44</v>
      </c>
    </row>
    <row r="1275" customFormat="false" ht="15.75" hidden="false" customHeight="true" outlineLevel="0" collapsed="false">
      <c r="A1275" s="12" t="n">
        <v>13929</v>
      </c>
      <c r="B1275" s="13" t="s">
        <v>5600</v>
      </c>
      <c r="C1275" s="14" t="n">
        <v>45292</v>
      </c>
      <c r="D1275" s="13" t="s">
        <v>3507</v>
      </c>
      <c r="E1275" s="15" t="s">
        <v>33</v>
      </c>
      <c r="F1275" s="24" t="s">
        <v>5601</v>
      </c>
      <c r="G1275" s="13" t="s">
        <v>5602</v>
      </c>
      <c r="H1275" s="13" t="s">
        <v>35</v>
      </c>
      <c r="I1275" s="13" t="str">
        <f aca="false">IF(C1275=J1275,"NEW KONTRAK","RE-KONTRAK")</f>
        <v>RE-KONTRAK</v>
      </c>
      <c r="J1275" s="16" t="n">
        <f aca="false" t="array" ref="J1275:J1275">IFERROR(INDEX(AC1275:AE1275,IF(COUNTA(AC1275:AE1275)=0,"",MAX((AC1275:AE1275&lt;&gt;"")*(COLUMN(AC1275:AE1275)-(COLUMN(AC1275)))))-1),"")</f>
        <v>45658</v>
      </c>
      <c r="K1275" s="16" t="n">
        <f aca="false" t="array" ref="K1275:K1275">IFERROR(INDEX(AC1275:AE1275,IF(COUNTA(AC1275:AE1275)=0,"",MAX((AC1275:AE1275&lt;&gt;"")*(COLUMN(AC1275:AE1275)-(COLUMN(AC1275)-1))))-1),"")</f>
        <v>46022</v>
      </c>
      <c r="L1275" s="17" t="str">
        <f aca="false" t="array" ref="L1275:L1275">IFERROR(INDEX(AC1275:AE1275,IF(COUNTA(AC1275:AE1275)=0,"",MAX((AC1275:AE1275&lt;&gt;"")*(COLUMN(AC1275:AE1275)-(COLUMN(AC1275)-2))))-1),"")</f>
        <v>ARCHIVED</v>
      </c>
      <c r="M1275" s="13" t="n">
        <f aca="true">K1275-TODAY()</f>
        <v>-302</v>
      </c>
      <c r="N1275" s="18" t="s">
        <v>105</v>
      </c>
      <c r="O1275" s="13" t="s">
        <v>5603</v>
      </c>
      <c r="P1275" s="19" t="n">
        <v>174743.24</v>
      </c>
      <c r="Q1275" s="20" t="s">
        <v>5604</v>
      </c>
      <c r="R1275" s="13" t="s">
        <v>52</v>
      </c>
      <c r="S1275" s="14" t="n">
        <v>31774</v>
      </c>
      <c r="T1275" s="13" t="s">
        <v>40</v>
      </c>
      <c r="U1275" s="13" t="s">
        <v>5605</v>
      </c>
      <c r="V1275" s="13" t="s">
        <v>42</v>
      </c>
      <c r="W1275" s="13" t="s">
        <v>43</v>
      </c>
      <c r="X1275" s="21" t="n">
        <v>82132244778</v>
      </c>
      <c r="Y1275" s="22" t="str">
        <f aca="false">O1275</f>
        <v>Ass. Operator</v>
      </c>
      <c r="Z1275" s="13" t="str">
        <f aca="false">IFERROR(__xludf.dummyfunction("if(BJ1275="""","""",GOOGLETRANSLATE(BJ1275,""auto"",""en""))"),"Ass. Operator")</f>
        <v>Ass. Operator</v>
      </c>
      <c r="AA1275" s="23" t="str">
        <f aca="false">IF(C1275="","", CHOOSE(MONTH(C1275),"January","February","March","April","May","June","July","August","September","October","November","December")&amp;" "&amp;DAY(C1275)&amp;MID("thstndrdth",MIN(9,2*RIGHT(DAY(C1275))*(MOD(DAY(C1275)-11,100)&gt;2)+1),2)&amp;","&amp;TEXT(C1275," yyyy"))</f>
        <v>January 1st,2024</v>
      </c>
      <c r="AB1275" s="15" t="str">
        <f aca="true">IF(S1275="","",DATEDIF(S1275,TODAY(),"Y")&amp;" Tahun, "&amp;DATEDIF(S1275,TODAY(),"YM")&amp;" Bulan, "&amp;DATEDIF(S1275,TODAY(),"MD")&amp;" Hari")</f>
        <v>39 Tahun, 10 Bulan, 1 Hari</v>
      </c>
      <c r="AC1275" s="18" t="n">
        <v>45658</v>
      </c>
      <c r="AD1275" s="18" t="n">
        <v>46022</v>
      </c>
      <c r="AE1275" s="18" t="s">
        <v>44</v>
      </c>
    </row>
    <row r="1276" customFormat="false" ht="15.75" hidden="false" customHeight="true" outlineLevel="0" collapsed="false">
      <c r="A1276" s="12" t="n">
        <v>13930</v>
      </c>
      <c r="B1276" s="13" t="s">
        <v>5606</v>
      </c>
      <c r="C1276" s="14" t="n">
        <v>45292</v>
      </c>
      <c r="D1276" s="13" t="s">
        <v>3507</v>
      </c>
      <c r="E1276" s="15" t="s">
        <v>33</v>
      </c>
      <c r="F1276" s="24" t="s">
        <v>5607</v>
      </c>
      <c r="G1276" s="13" t="s">
        <v>5608</v>
      </c>
      <c r="H1276" s="13" t="s">
        <v>35</v>
      </c>
      <c r="I1276" s="13" t="str">
        <f aca="false">IF(C1276=J1276,"NEW KONTRAK","RE-KONTRAK")</f>
        <v>RE-KONTRAK</v>
      </c>
      <c r="J1276" s="16" t="n">
        <f aca="false" t="array" ref="J1276:J1276">IFERROR(INDEX(AC1276:AE1276,IF(COUNTA(AC1276:AE1276)=0,"",MAX((AC1276:AE1276&lt;&gt;"")*(COLUMN(AC1276:AE1276)-(COLUMN(AC1276)))))-1),"")</f>
        <v>45658</v>
      </c>
      <c r="K1276" s="16" t="n">
        <f aca="false" t="array" ref="K1276:K1276">IFERROR(INDEX(AC1276:AE1276,IF(COUNTA(AC1276:AE1276)=0,"",MAX((AC1276:AE1276&lt;&gt;"")*(COLUMN(AC1276:AE1276)-(COLUMN(AC1276)-1))))-1),"")</f>
        <v>46022</v>
      </c>
      <c r="L1276" s="17" t="str">
        <f aca="false" t="array" ref="L1276:L1276">IFERROR(INDEX(AC1276:AE1276,IF(COUNTA(AC1276:AE1276)=0,"",MAX((AC1276:AE1276&lt;&gt;"")*(COLUMN(AC1276:AE1276)-(COLUMN(AC1276)-2))))-1),"")</f>
        <v>ARCHIVED</v>
      </c>
      <c r="M1276" s="13" t="n">
        <f aca="true">K1276-TODAY()</f>
        <v>-302</v>
      </c>
      <c r="N1276" s="18" t="s">
        <v>105</v>
      </c>
      <c r="O1276" s="13" t="s">
        <v>5603</v>
      </c>
      <c r="P1276" s="19" t="n">
        <v>174743.24</v>
      </c>
      <c r="Q1276" s="20" t="s">
        <v>5609</v>
      </c>
      <c r="R1276" s="13" t="s">
        <v>255</v>
      </c>
      <c r="S1276" s="14" t="n">
        <v>28496</v>
      </c>
      <c r="T1276" s="13" t="s">
        <v>40</v>
      </c>
      <c r="U1276" s="13" t="s">
        <v>5610</v>
      </c>
      <c r="V1276" s="13" t="s">
        <v>42</v>
      </c>
      <c r="W1276" s="13" t="s">
        <v>54</v>
      </c>
      <c r="X1276" s="21" t="n">
        <v>82331066438</v>
      </c>
      <c r="Y1276" s="22" t="str">
        <f aca="false">O1276</f>
        <v>Ass. Operator</v>
      </c>
      <c r="Z1276" s="13" t="str">
        <f aca="false">IFERROR(__xludf.dummyfunction("if(BJ1276="""","""",GOOGLETRANSLATE(BJ1276,""auto"",""en""))"),"Ass. Operator")</f>
        <v>Ass. Operator</v>
      </c>
      <c r="AA1276" s="23" t="str">
        <f aca="false">IF(C1276="","", CHOOSE(MONTH(C1276),"January","February","March","April","May","June","July","August","September","October","November","December")&amp;" "&amp;DAY(C1276)&amp;MID("thstndrdth",MIN(9,2*RIGHT(DAY(C1276))*(MOD(DAY(C1276)-11,100)&gt;2)+1),2)&amp;","&amp;TEXT(C1276," yyyy"))</f>
        <v>January 1st,2024</v>
      </c>
      <c r="AB1276" s="15" t="str">
        <f aca="true">IF(S1276="","",DATEDIF(S1276,TODAY(),"Y")&amp;" Tahun, "&amp;DATEDIF(S1276,TODAY(),"YM")&amp;" Bulan, "&amp;DATEDIF(S1276,TODAY(),"MD")&amp;" Hari")</f>
        <v>48 Tahun, 9 Bulan, 23 Hari</v>
      </c>
      <c r="AC1276" s="18" t="n">
        <v>45658</v>
      </c>
      <c r="AD1276" s="18" t="n">
        <v>46022</v>
      </c>
      <c r="AE1276" s="18" t="s">
        <v>44</v>
      </c>
    </row>
    <row r="1277" customFormat="false" ht="15.75" hidden="false" customHeight="true" outlineLevel="0" collapsed="false">
      <c r="A1277" s="12" t="n">
        <v>13939</v>
      </c>
      <c r="B1277" s="13" t="s">
        <v>5611</v>
      </c>
      <c r="C1277" s="14" t="n">
        <v>45292</v>
      </c>
      <c r="D1277" s="13" t="s">
        <v>961</v>
      </c>
      <c r="E1277" s="15" t="s">
        <v>47</v>
      </c>
      <c r="F1277" s="15" t="str">
        <f aca="false">IFERROR(__xludf.dummyfunction("XLOOKUP(AJ1277,IMPORTRANGE(""1XaInW9DU9nz21V0tYIfzFQ0He9kVQ_JF2mCXgZ3hqFA"",""REKAP ALL 2026 - Andika!G:G""),IMPORTRANGE(""1XaInW9DU9nz21V0tYIfzFQ0He9kVQ_JF2mCXgZ3hqFA"",""REKAP ALL 2026 - Andika!F:F""),"""",0)"),"24007209620")</f>
        <v>24007209620</v>
      </c>
      <c r="G1277" s="13" t="s">
        <v>5612</v>
      </c>
      <c r="H1277" s="13" t="s">
        <v>963</v>
      </c>
      <c r="I1277" s="13" t="str">
        <f aca="false">IF(C1277=J1277,"NEW KONTRAK","RE-KONTRAK")</f>
        <v>RE-KONTRAK</v>
      </c>
      <c r="J1277" s="16" t="n">
        <f aca="false" t="array" ref="J1277:J1277">IFERROR(INDEX(AC1277:AE1277,IF(COUNTA(AC1277:AE1277)=0,"",MAX((AC1277:AE1277&lt;&gt;"")*(COLUMN(AC1277:AE1277)-(COLUMN(AC1277)))))-1),"")</f>
        <v>45658</v>
      </c>
      <c r="K1277" s="16" t="n">
        <f aca="false" t="array" ref="K1277:K1277">IFERROR(INDEX(AC1277:AE1277,IF(COUNTA(AC1277:AE1277)=0,"",MAX((AC1277:AE1277&lt;&gt;"")*(COLUMN(AC1277:AE1277)-(COLUMN(AC1277)-1))))-1),"")</f>
        <v>46022</v>
      </c>
      <c r="L1277" s="17" t="str">
        <f aca="false" t="array" ref="L1277:L1277">IFERROR(INDEX(AC1277:AE1277,IF(COUNTA(AC1277:AE1277)=0,"",MAX((AC1277:AE1277&lt;&gt;"")*(COLUMN(AC1277:AE1277)-(COLUMN(AC1277)-2))))-1),"")</f>
        <v>ARCHIVED</v>
      </c>
      <c r="M1277" s="13" t="n">
        <f aca="true">K1277-TODAY()</f>
        <v>-302</v>
      </c>
      <c r="N1277" s="18" t="s">
        <v>728</v>
      </c>
      <c r="O1277" s="13" t="s">
        <v>524</v>
      </c>
      <c r="P1277" s="19" t="n">
        <v>4961753</v>
      </c>
      <c r="Q1277" s="20" t="s">
        <v>5613</v>
      </c>
      <c r="R1277" s="13" t="s">
        <v>826</v>
      </c>
      <c r="S1277" s="14" t="n">
        <v>31962</v>
      </c>
      <c r="T1277" s="13" t="s">
        <v>40</v>
      </c>
      <c r="U1277" s="13" t="s">
        <v>5614</v>
      </c>
      <c r="V1277" s="13" t="s">
        <v>42</v>
      </c>
      <c r="W1277" s="13" t="s">
        <v>54</v>
      </c>
      <c r="X1277" s="21" t="n">
        <v>85748527544</v>
      </c>
      <c r="Y1277" s="22" t="str">
        <f aca="false">O1277</f>
        <v>Logistik</v>
      </c>
      <c r="Z1277" s="13" t="str">
        <f aca="false">IFERROR(__xludf.dummyfunction("if(BJ1277="""","""",GOOGLETRANSLATE(BJ1277,""auto"",""en""))"),"Logistics")</f>
        <v>Logistics</v>
      </c>
      <c r="AA1277" s="23" t="str">
        <f aca="false">IF(C1277="","", CHOOSE(MONTH(C1277),"January","February","March","April","May","June","July","August","September","October","November","December")&amp;" "&amp;DAY(C1277)&amp;MID("thstndrdth",MIN(9,2*RIGHT(DAY(C1277))*(MOD(DAY(C1277)-11,100)&gt;2)+1),2)&amp;","&amp;TEXT(C1277," yyyy"))</f>
        <v>January 1st,2024</v>
      </c>
      <c r="AB1277" s="15" t="str">
        <f aca="true">IF(S1277="","",DATEDIF(S1277,TODAY(),"Y")&amp;" Tahun, "&amp;DATEDIF(S1277,TODAY(),"YM")&amp;" Bulan, "&amp;DATEDIF(S1277,TODAY(),"MD")&amp;" Hari")</f>
        <v>39 Tahun, 3 Bulan, 25 Hari</v>
      </c>
      <c r="AC1277" s="18" t="n">
        <v>45658</v>
      </c>
      <c r="AD1277" s="18" t="n">
        <v>46022</v>
      </c>
      <c r="AE1277" s="18" t="s">
        <v>44</v>
      </c>
    </row>
    <row r="1278" customFormat="false" ht="15.75" hidden="false" customHeight="true" outlineLevel="0" collapsed="false">
      <c r="A1278" s="12" t="n">
        <v>13940</v>
      </c>
      <c r="B1278" s="13" t="s">
        <v>5615</v>
      </c>
      <c r="C1278" s="14" t="n">
        <v>45292</v>
      </c>
      <c r="D1278" s="13" t="s">
        <v>961</v>
      </c>
      <c r="E1278" s="15" t="s">
        <v>47</v>
      </c>
      <c r="F1278" s="15" t="str">
        <f aca="false">IFERROR(__xludf.dummyfunction("XLOOKUP(AJ1278,IMPORTRANGE(""1XaInW9DU9nz21V0tYIfzFQ0He9kVQ_JF2mCXgZ3hqFA"",""REKAP ALL 2026 - Andika!G:G""),IMPORTRANGE(""1XaInW9DU9nz21V0tYIfzFQ0He9kVQ_JF2mCXgZ3hqFA"",""REKAP ALL 2026 - Andika!F:F""),"""",0)"),"24007209414")</f>
        <v>24007209414</v>
      </c>
      <c r="G1278" s="13" t="s">
        <v>5616</v>
      </c>
      <c r="H1278" s="13" t="s">
        <v>963</v>
      </c>
      <c r="I1278" s="13" t="str">
        <f aca="false">IF(C1278=J1278,"NEW KONTRAK","RE-KONTRAK")</f>
        <v>RE-KONTRAK</v>
      </c>
      <c r="J1278" s="16" t="n">
        <f aca="false" t="array" ref="J1278:J1278">IFERROR(INDEX(AC1278:AE1278,IF(COUNTA(AC1278:AE1278)=0,"",MAX((AC1278:AE1278&lt;&gt;"")*(COLUMN(AC1278:AE1278)-(COLUMN(AC1278)))))-1),"")</f>
        <v>46111</v>
      </c>
      <c r="K1278" s="16" t="n">
        <f aca="false" t="array" ref="K1278:K1278">IFERROR(INDEX(AC1278:AE1278,IF(COUNTA(AC1278:AE1278)=0,"",MAX((AC1278:AE1278&lt;&gt;"")*(COLUMN(AC1278:AE1278)-(COLUMN(AC1278)-1))))-1),"")</f>
        <v>46202</v>
      </c>
      <c r="L1278" s="17" t="str">
        <f aca="false" t="array" ref="L1278:L1278">IFERROR(INDEX(AC1278:AE1278,IF(COUNTA(AC1278:AE1278)=0,"",MAX((AC1278:AE1278&lt;&gt;"")*(COLUMN(AC1278:AE1278)-(COLUMN(AC1278)-2))))-1),"")</f>
        <v>KEMBALI</v>
      </c>
      <c r="M1278" s="13" t="n">
        <f aca="true">K1278-TODAY()</f>
        <v>-122</v>
      </c>
      <c r="N1278" s="18" t="s">
        <v>728</v>
      </c>
      <c r="O1278" s="13" t="s">
        <v>524</v>
      </c>
      <c r="P1278" s="19" t="n">
        <v>4961753</v>
      </c>
      <c r="Q1278" s="20" t="s">
        <v>5617</v>
      </c>
      <c r="R1278" s="13" t="s">
        <v>52</v>
      </c>
      <c r="S1278" s="14" t="n">
        <v>31848</v>
      </c>
      <c r="T1278" s="13" t="s">
        <v>40</v>
      </c>
      <c r="U1278" s="13" t="s">
        <v>5618</v>
      </c>
      <c r="V1278" s="13" t="s">
        <v>42</v>
      </c>
      <c r="W1278" s="13" t="s">
        <v>54</v>
      </c>
      <c r="X1278" s="21" t="n">
        <v>83897668916</v>
      </c>
      <c r="Y1278" s="22" t="str">
        <f aca="false">O1278</f>
        <v>Logistik</v>
      </c>
      <c r="Z1278" s="13" t="str">
        <f aca="false">IFERROR(__xludf.dummyfunction("if(BJ1278="""","""",GOOGLETRANSLATE(BJ1278,""auto"",""en""))"),"Logistics")</f>
        <v>Logistics</v>
      </c>
      <c r="AA1278" s="23" t="str">
        <f aca="false">IF(C1278="","", CHOOSE(MONTH(C1278),"January","February","March","April","May","June","July","August","September","October","November","December")&amp;" "&amp;DAY(C1278)&amp;MID("thstndrdth",MIN(9,2*RIGHT(DAY(C1278))*(MOD(DAY(C1278)-11,100)&gt;2)+1),2)&amp;","&amp;TEXT(C1278," yyyy"))</f>
        <v>January 1st,2024</v>
      </c>
      <c r="AB1278" s="15" t="str">
        <f aca="true">IF(S1278="","",DATEDIF(S1278,TODAY(),"Y")&amp;" Tahun, "&amp;DATEDIF(S1278,TODAY(),"YM")&amp;" Bulan, "&amp;DATEDIF(S1278,TODAY(),"MD")&amp;" Hari")</f>
        <v>39 Tahun, 7 Bulan, 17 Hari</v>
      </c>
      <c r="AC1278" s="18" t="n">
        <v>46111</v>
      </c>
      <c r="AD1278" s="18" t="n">
        <v>46202</v>
      </c>
      <c r="AE1278" s="13" t="s">
        <v>397</v>
      </c>
    </row>
    <row r="1279" customFormat="false" ht="15.75" hidden="false" customHeight="true" outlineLevel="0" collapsed="false">
      <c r="A1279" s="12" t="n">
        <v>13942</v>
      </c>
      <c r="B1279" s="13" t="s">
        <v>5619</v>
      </c>
      <c r="C1279" s="14" t="n">
        <v>45292</v>
      </c>
      <c r="D1279" s="13" t="s">
        <v>961</v>
      </c>
      <c r="E1279" s="15" t="s">
        <v>47</v>
      </c>
      <c r="F1279" s="15" t="str">
        <f aca="false">IFERROR(__xludf.dummyfunction("XLOOKUP(AJ1279,IMPORTRANGE(""1XaInW9DU9nz21V0tYIfzFQ0He9kVQ_JF2mCXgZ3hqFA"",""REKAP ALL 2026 - Andika!G:G""),IMPORTRANGE(""1XaInW9DU9nz21V0tYIfzFQ0He9kVQ_JF2mCXgZ3hqFA"",""REKAP ALL 2026 - Andika!F:F""),"""",0)"),"24007209521")</f>
        <v>24007209521</v>
      </c>
      <c r="G1279" s="13" t="s">
        <v>5620</v>
      </c>
      <c r="H1279" s="13" t="s">
        <v>963</v>
      </c>
      <c r="I1279" s="13" t="str">
        <f aca="false">IF(C1279=J1279,"NEW KONTRAK","RE-KONTRAK")</f>
        <v>RE-KONTRAK</v>
      </c>
      <c r="J1279" s="16" t="n">
        <f aca="false" t="array" ref="J1279:J1279">IFERROR(INDEX(AC1279:AE1279,IF(COUNTA(AC1279:AE1279)=0,"",MAX((AC1279:AE1279&lt;&gt;"")*(COLUMN(AC1279:AE1279)-(COLUMN(AC1279)))))-1),"")</f>
        <v>45658</v>
      </c>
      <c r="K1279" s="16" t="n">
        <f aca="false" t="array" ref="K1279:K1279">IFERROR(INDEX(AC1279:AE1279,IF(COUNTA(AC1279:AE1279)=0,"",MAX((AC1279:AE1279&lt;&gt;"")*(COLUMN(AC1279:AE1279)-(COLUMN(AC1279)-1))))-1),"")</f>
        <v>46022</v>
      </c>
      <c r="L1279" s="17" t="str">
        <f aca="false" t="array" ref="L1279:L1279">IFERROR(INDEX(AC1279:AE1279,IF(COUNTA(AC1279:AE1279)=0,"",MAX((AC1279:AE1279&lt;&gt;"")*(COLUMN(AC1279:AE1279)-(COLUMN(AC1279)-2))))-1),"")</f>
        <v>ARCHIVED</v>
      </c>
      <c r="M1279" s="13" t="n">
        <f aca="true">K1279-TODAY()</f>
        <v>-302</v>
      </c>
      <c r="N1279" s="18" t="s">
        <v>728</v>
      </c>
      <c r="O1279" s="13" t="s">
        <v>524</v>
      </c>
      <c r="P1279" s="19" t="n">
        <v>4961753</v>
      </c>
      <c r="Q1279" s="20" t="s">
        <v>5621</v>
      </c>
      <c r="R1279" s="13" t="s">
        <v>227</v>
      </c>
      <c r="S1279" s="14" t="n">
        <v>35926</v>
      </c>
      <c r="T1279" s="13" t="s">
        <v>40</v>
      </c>
      <c r="U1279" s="13" t="s">
        <v>5622</v>
      </c>
      <c r="V1279" s="13" t="s">
        <v>42</v>
      </c>
      <c r="W1279" s="13" t="s">
        <v>54</v>
      </c>
      <c r="X1279" s="21" t="n">
        <v>82118883075</v>
      </c>
      <c r="Y1279" s="22" t="str">
        <f aca="false">O1279</f>
        <v>Logistik</v>
      </c>
      <c r="Z1279" s="13" t="str">
        <f aca="false">IFERROR(__xludf.dummyfunction("if(BJ1279="""","""",GOOGLETRANSLATE(BJ1279,""auto"",""en""))"),"Logistics")</f>
        <v>Logistics</v>
      </c>
      <c r="AA1279" s="23" t="str">
        <f aca="false">IF(C1279="","", CHOOSE(MONTH(C1279),"January","February","March","April","May","June","July","August","September","October","November","December")&amp;" "&amp;DAY(C1279)&amp;MID("thstndrdth",MIN(9,2*RIGHT(DAY(C1279))*(MOD(DAY(C1279)-11,100)&gt;2)+1),2)&amp;","&amp;TEXT(C1279," yyyy"))</f>
        <v>January 1st,2024</v>
      </c>
      <c r="AB1279" s="15" t="str">
        <f aca="true">IF(S1279="","",DATEDIF(S1279,TODAY(),"Y")&amp;" Tahun, "&amp;DATEDIF(S1279,TODAY(),"YM")&amp;" Bulan, "&amp;DATEDIF(S1279,TODAY(),"MD")&amp;" Hari")</f>
        <v>28 Tahun, 5 Bulan, 18 Hari</v>
      </c>
      <c r="AC1279" s="18" t="n">
        <v>45658</v>
      </c>
      <c r="AD1279" s="18" t="n">
        <v>46022</v>
      </c>
      <c r="AE1279" s="18" t="s">
        <v>44</v>
      </c>
    </row>
    <row r="1280" customFormat="false" ht="15.75" hidden="false" customHeight="true" outlineLevel="0" collapsed="false">
      <c r="A1280" s="12" t="n">
        <v>13943</v>
      </c>
      <c r="B1280" s="13" t="s">
        <v>5623</v>
      </c>
      <c r="C1280" s="14" t="n">
        <v>45292</v>
      </c>
      <c r="D1280" s="13" t="s">
        <v>961</v>
      </c>
      <c r="E1280" s="15" t="s">
        <v>47</v>
      </c>
      <c r="F1280" s="15" t="str">
        <f aca="false">IFERROR(__xludf.dummyfunction("XLOOKUP(AJ1280,IMPORTRANGE(""1XaInW9DU9nz21V0tYIfzFQ0He9kVQ_JF2mCXgZ3hqFA"",""REKAP ALL 2026 - Andika!G:G""),IMPORTRANGE(""1XaInW9DU9nz21V0tYIfzFQ0He9kVQ_JF2mCXgZ3hqFA"",""REKAP ALL 2026 - Andika!F:F""),"""",0)"),"24007209638")</f>
        <v>24007209638</v>
      </c>
      <c r="G1280" s="13" t="s">
        <v>5624</v>
      </c>
      <c r="H1280" s="13" t="s">
        <v>963</v>
      </c>
      <c r="I1280" s="13" t="str">
        <f aca="false">IF(C1280=J1280,"NEW KONTRAK","RE-KONTRAK")</f>
        <v>RE-KONTRAK</v>
      </c>
      <c r="J1280" s="16" t="n">
        <f aca="false" t="array" ref="J1280:J1280">IFERROR(INDEX(AC1280:AE1280,IF(COUNTA(AC1280:AE1280)=0,"",MAX((AC1280:AE1280&lt;&gt;"")*(COLUMN(AC1280:AE1280)-(COLUMN(AC1280)))))-1),"")</f>
        <v>45658</v>
      </c>
      <c r="K1280" s="16" t="n">
        <f aca="false" t="array" ref="K1280:K1280">IFERROR(INDEX(AC1280:AE1280,IF(COUNTA(AC1280:AE1280)=0,"",MAX((AC1280:AE1280&lt;&gt;"")*(COLUMN(AC1280:AE1280)-(COLUMN(AC1280)-1))))-1),"")</f>
        <v>46022</v>
      </c>
      <c r="L1280" s="17" t="str">
        <f aca="false" t="array" ref="L1280:L1280">IFERROR(INDEX(AC1280:AE1280,IF(COUNTA(AC1280:AE1280)=0,"",MAX((AC1280:AE1280&lt;&gt;"")*(COLUMN(AC1280:AE1280)-(COLUMN(AC1280)-2))))-1),"")</f>
        <v>ARCHIVED</v>
      </c>
      <c r="M1280" s="13" t="n">
        <f aca="true">K1280-TODAY()</f>
        <v>-302</v>
      </c>
      <c r="N1280" s="18" t="s">
        <v>728</v>
      </c>
      <c r="O1280" s="13" t="s">
        <v>524</v>
      </c>
      <c r="P1280" s="19" t="n">
        <v>4961753</v>
      </c>
      <c r="Q1280" s="20" t="s">
        <v>5625</v>
      </c>
      <c r="R1280" s="13" t="s">
        <v>52</v>
      </c>
      <c r="S1280" s="14" t="n">
        <v>31350</v>
      </c>
      <c r="T1280" s="13" t="s">
        <v>40</v>
      </c>
      <c r="U1280" s="13" t="s">
        <v>5626</v>
      </c>
      <c r="V1280" s="13" t="s">
        <v>42</v>
      </c>
      <c r="W1280" s="13" t="s">
        <v>54</v>
      </c>
      <c r="X1280" s="21" t="n">
        <v>83871113840</v>
      </c>
      <c r="Y1280" s="22" t="str">
        <f aca="false">O1280</f>
        <v>Logistik</v>
      </c>
      <c r="Z1280" s="13" t="str">
        <f aca="false">IFERROR(__xludf.dummyfunction("if(BJ1280="""","""",GOOGLETRANSLATE(BJ1280,""auto"",""en""))"),"Logistics")</f>
        <v>Logistics</v>
      </c>
      <c r="AA1280" s="23" t="str">
        <f aca="false">IF(C1280="","", CHOOSE(MONTH(C1280),"January","February","March","April","May","June","July","August","September","October","November","December")&amp;" "&amp;DAY(C1280)&amp;MID("thstndrdth",MIN(9,2*RIGHT(DAY(C1280))*(MOD(DAY(C1280)-11,100)&gt;2)+1),2)&amp;","&amp;TEXT(C1280," yyyy"))</f>
        <v>January 1st,2024</v>
      </c>
      <c r="AB1280" s="15" t="str">
        <f aca="true">IF(S1280="","",DATEDIF(S1280,TODAY(),"Y")&amp;" Tahun, "&amp;DATEDIF(S1280,TODAY(),"YM")&amp;" Bulan, "&amp;DATEDIF(S1280,TODAY(),"MD")&amp;" Hari")</f>
        <v>40 Tahun, 11 Bulan, 29 Hari</v>
      </c>
      <c r="AC1280" s="18" t="n">
        <v>45658</v>
      </c>
      <c r="AD1280" s="18" t="n">
        <v>46022</v>
      </c>
      <c r="AE1280" s="18" t="s">
        <v>44</v>
      </c>
    </row>
    <row r="1281" customFormat="false" ht="15.75" hidden="false" customHeight="true" outlineLevel="0" collapsed="false">
      <c r="A1281" s="12" t="n">
        <v>13944</v>
      </c>
      <c r="B1281" s="13" t="s">
        <v>5627</v>
      </c>
      <c r="C1281" s="14" t="n">
        <v>45292</v>
      </c>
      <c r="D1281" s="13" t="s">
        <v>961</v>
      </c>
      <c r="E1281" s="15" t="s">
        <v>47</v>
      </c>
      <c r="F1281" s="15" t="str">
        <f aca="false">IFERROR(__xludf.dummyfunction("XLOOKUP(AJ1281,IMPORTRANGE(""1XaInW9DU9nz21V0tYIfzFQ0He9kVQ_JF2mCXgZ3hqFA"",""REKAP ALL 2026 - Andika!G:G""),IMPORTRANGE(""1XaInW9DU9nz21V0tYIfzFQ0He9kVQ_JF2mCXgZ3hqFA"",""REKAP ALL 2026 - Andika!F:F""),"""",0)"),"24007209398")</f>
        <v>24007209398</v>
      </c>
      <c r="G1281" s="13" t="s">
        <v>5628</v>
      </c>
      <c r="H1281" s="13" t="s">
        <v>963</v>
      </c>
      <c r="I1281" s="13" t="str">
        <f aca="false">IF(C1281=J1281,"NEW KONTRAK","RE-KONTRAK")</f>
        <v>RE-KONTRAK</v>
      </c>
      <c r="J1281" s="16" t="n">
        <f aca="false" t="array" ref="J1281:J1281">IFERROR(INDEX(AC1281:AE1281,IF(COUNTA(AC1281:AE1281)=0,"",MAX((AC1281:AE1281&lt;&gt;"")*(COLUMN(AC1281:AE1281)-(COLUMN(AC1281)))))-1),"")</f>
        <v>45658</v>
      </c>
      <c r="K1281" s="16" t="n">
        <f aca="false" t="array" ref="K1281:K1281">IFERROR(INDEX(AC1281:AE1281,IF(COUNTA(AC1281:AE1281)=0,"",MAX((AC1281:AE1281&lt;&gt;"")*(COLUMN(AC1281:AE1281)-(COLUMN(AC1281)-1))))-1),"")</f>
        <v>46022</v>
      </c>
      <c r="L1281" s="17" t="str">
        <f aca="false" t="array" ref="L1281:L1281">IFERROR(INDEX(AC1281:AE1281,IF(COUNTA(AC1281:AE1281)=0,"",MAX((AC1281:AE1281&lt;&gt;"")*(COLUMN(AC1281:AE1281)-(COLUMN(AC1281)-2))))-1),"")</f>
        <v>ARCHIVED</v>
      </c>
      <c r="M1281" s="13" t="n">
        <f aca="true">K1281-TODAY()</f>
        <v>-302</v>
      </c>
      <c r="N1281" s="18" t="s">
        <v>728</v>
      </c>
      <c r="O1281" s="13" t="s">
        <v>524</v>
      </c>
      <c r="P1281" s="19" t="n">
        <v>4961753</v>
      </c>
      <c r="Q1281" s="20" t="s">
        <v>5629</v>
      </c>
      <c r="R1281" s="13" t="s">
        <v>65</v>
      </c>
      <c r="S1281" s="14" t="n">
        <v>32669</v>
      </c>
      <c r="T1281" s="13" t="s">
        <v>40</v>
      </c>
      <c r="U1281" s="13" t="s">
        <v>5630</v>
      </c>
      <c r="V1281" s="13" t="s">
        <v>42</v>
      </c>
      <c r="W1281" s="13" t="s">
        <v>43</v>
      </c>
      <c r="X1281" s="21" t="n">
        <v>85850274050</v>
      </c>
      <c r="Y1281" s="22" t="str">
        <f aca="false">O1281</f>
        <v>Logistik</v>
      </c>
      <c r="Z1281" s="13" t="str">
        <f aca="false">IFERROR(__xludf.dummyfunction("if(BJ1281="""","""",GOOGLETRANSLATE(BJ1281,""auto"",""en""))"),"Logistics")</f>
        <v>Logistics</v>
      </c>
      <c r="AA1281" s="23" t="str">
        <f aca="false">IF(C1281="","", CHOOSE(MONTH(C1281),"January","February","March","April","May","June","July","August","September","October","November","December")&amp;" "&amp;DAY(C1281)&amp;MID("thstndrdth",MIN(9,2*RIGHT(DAY(C1281))*(MOD(DAY(C1281)-11,100)&gt;2)+1),2)&amp;","&amp;TEXT(C1281," yyyy"))</f>
        <v>January 1st,2024</v>
      </c>
      <c r="AB1281" s="15" t="str">
        <f aca="true">IF(S1281="","",DATEDIF(S1281,TODAY(),"Y")&amp;" Tahun, "&amp;DATEDIF(S1281,TODAY(),"YM")&amp;" Bulan, "&amp;DATEDIF(S1281,TODAY(),"MD")&amp;" Hari")</f>
        <v>37 Tahun, 4 Bulan, 19 Hari</v>
      </c>
      <c r="AC1281" s="18" t="n">
        <v>45658</v>
      </c>
      <c r="AD1281" s="18" t="n">
        <v>46022</v>
      </c>
      <c r="AE1281" s="18" t="s">
        <v>44</v>
      </c>
    </row>
    <row r="1282" customFormat="false" ht="15.75" hidden="false" customHeight="true" outlineLevel="0" collapsed="false">
      <c r="A1282" s="12" t="n">
        <v>13945</v>
      </c>
      <c r="B1282" s="13" t="s">
        <v>5631</v>
      </c>
      <c r="C1282" s="14" t="n">
        <v>45292</v>
      </c>
      <c r="D1282" s="13" t="s">
        <v>961</v>
      </c>
      <c r="E1282" s="15" t="s">
        <v>47</v>
      </c>
      <c r="F1282" s="15" t="str">
        <f aca="false">IFERROR(__xludf.dummyfunction("XLOOKUP(AJ1282,IMPORTRANGE(""1XaInW9DU9nz21V0tYIfzFQ0He9kVQ_JF2mCXgZ3hqFA"",""REKAP ALL 2026 - Andika!G:G""),IMPORTRANGE(""1XaInW9DU9nz21V0tYIfzFQ0He9kVQ_JF2mCXgZ3hqFA"",""REKAP ALL 2026 - Andika!F:F""),"""",0)"),"24007209539")</f>
        <v>24007209539</v>
      </c>
      <c r="G1282" s="13" t="s">
        <v>5632</v>
      </c>
      <c r="H1282" s="13" t="s">
        <v>963</v>
      </c>
      <c r="I1282" s="13" t="str">
        <f aca="false">IF(C1282=J1282,"NEW KONTRAK","RE-KONTRAK")</f>
        <v>RE-KONTRAK</v>
      </c>
      <c r="J1282" s="16" t="n">
        <f aca="false" t="array" ref="J1282:J1282">IFERROR(INDEX(AC1282:AE1282,IF(COUNTA(AC1282:AE1282)=0,"",MAX((AC1282:AE1282&lt;&gt;"")*(COLUMN(AC1282:AE1282)-(COLUMN(AC1282)))))-1),"")</f>
        <v>45658</v>
      </c>
      <c r="K1282" s="16" t="n">
        <f aca="false" t="array" ref="K1282:K1282">IFERROR(INDEX(AC1282:AE1282,IF(COUNTA(AC1282:AE1282)=0,"",MAX((AC1282:AE1282&lt;&gt;"")*(COLUMN(AC1282:AE1282)-(COLUMN(AC1282)-1))))-1),"")</f>
        <v>46022</v>
      </c>
      <c r="L1282" s="17" t="str">
        <f aca="false" t="array" ref="L1282:L1282">IFERROR(INDEX(AC1282:AE1282,IF(COUNTA(AC1282:AE1282)=0,"",MAX((AC1282:AE1282&lt;&gt;"")*(COLUMN(AC1282:AE1282)-(COLUMN(AC1282)-2))))-1),"")</f>
        <v>ARCHIVED</v>
      </c>
      <c r="M1282" s="13" t="n">
        <f aca="true">K1282-TODAY()</f>
        <v>-302</v>
      </c>
      <c r="N1282" s="18" t="s">
        <v>728</v>
      </c>
      <c r="O1282" s="13" t="s">
        <v>524</v>
      </c>
      <c r="P1282" s="19" t="n">
        <v>4961753</v>
      </c>
      <c r="Q1282" s="20" t="s">
        <v>5633</v>
      </c>
      <c r="R1282" s="13" t="s">
        <v>52</v>
      </c>
      <c r="S1282" s="14" t="n">
        <v>30127</v>
      </c>
      <c r="T1282" s="13" t="s">
        <v>40</v>
      </c>
      <c r="U1282" s="13" t="s">
        <v>5634</v>
      </c>
      <c r="V1282" s="13" t="s">
        <v>42</v>
      </c>
      <c r="W1282" s="13" t="s">
        <v>54</v>
      </c>
      <c r="X1282" s="21" t="n">
        <v>83849566677</v>
      </c>
      <c r="Y1282" s="22" t="str">
        <f aca="false">O1282</f>
        <v>Logistik</v>
      </c>
      <c r="Z1282" s="13" t="str">
        <f aca="false">IFERROR(__xludf.dummyfunction("if(BJ1282="""","""",GOOGLETRANSLATE(BJ1282,""auto"",""en""))"),"Logistics")</f>
        <v>Logistics</v>
      </c>
      <c r="AA1282" s="23" t="str">
        <f aca="false">IF(C1282="","", CHOOSE(MONTH(C1282),"January","February","March","April","May","June","July","August","September","October","November","December")&amp;" "&amp;DAY(C1282)&amp;MID("thstndrdth",MIN(9,2*RIGHT(DAY(C1282))*(MOD(DAY(C1282)-11,100)&gt;2)+1),2)&amp;","&amp;TEXT(C1282," yyyy"))</f>
        <v>January 1st,2024</v>
      </c>
      <c r="AB1282" s="15" t="str">
        <f aca="true">IF(S1282="","",DATEDIF(S1282,TODAY(),"Y")&amp;" Tahun, "&amp;DATEDIF(S1282,TODAY(),"YM")&amp;" Bulan, "&amp;DATEDIF(S1282,TODAY(),"MD")&amp;" Hari")</f>
        <v>44 Tahun, 4 Bulan, 4 Hari</v>
      </c>
      <c r="AC1282" s="18" t="n">
        <v>45658</v>
      </c>
      <c r="AD1282" s="18" t="n">
        <v>46022</v>
      </c>
      <c r="AE1282" s="18" t="s">
        <v>44</v>
      </c>
    </row>
    <row r="1283" customFormat="false" ht="15.75" hidden="false" customHeight="true" outlineLevel="0" collapsed="false">
      <c r="A1283" s="12" t="n">
        <v>13961</v>
      </c>
      <c r="B1283" s="13" t="s">
        <v>5635</v>
      </c>
      <c r="C1283" s="14" t="n">
        <v>45293</v>
      </c>
      <c r="D1283" s="13" t="s">
        <v>613</v>
      </c>
      <c r="E1283" s="15" t="s">
        <v>47</v>
      </c>
      <c r="F1283" s="15" t="str">
        <f aca="false">IFERROR(__xludf.dummyfunction("XLOOKUP(AJ1283,IMPORTRANGE(""1XaInW9DU9nz21V0tYIfzFQ0He9kVQ_JF2mCXgZ3hqFA"",""REKAP ALL 2026 - Andika!G:G""),IMPORTRANGE(""1XaInW9DU9nz21V0tYIfzFQ0He9kVQ_JF2mCXgZ3hqFA"",""REKAP ALL 2026 - Andika!F:F""),"""",0)"),"25157578094")</f>
        <v>25157578094</v>
      </c>
      <c r="G1283" s="13" t="s">
        <v>5636</v>
      </c>
      <c r="H1283" s="13" t="s">
        <v>35</v>
      </c>
      <c r="I1283" s="13" t="str">
        <f aca="false">IF(C1283=J1283,"NEW KONTRAK","RE-KONTRAK")</f>
        <v>RE-KONTRAK</v>
      </c>
      <c r="J1283" s="16" t="n">
        <f aca="false" t="array" ref="J1283:J1283">IFERROR(INDEX(AC1283:AE1283,IF(COUNTA(AC1283:AE1283)=0,"",MAX((AC1283:AE1283&lt;&gt;"")*(COLUMN(AC1283:AE1283)-(COLUMN(AC1283)))))-1),"")</f>
        <v>45704</v>
      </c>
      <c r="K1283" s="16" t="n">
        <f aca="false" t="array" ref="K1283:K1283">IFERROR(INDEX(AC1283:AE1283,IF(COUNTA(AC1283:AE1283)=0,"",MAX((AC1283:AE1283&lt;&gt;"")*(COLUMN(AC1283:AE1283)-(COLUMN(AC1283)-1))))-1),"")</f>
        <v>45884</v>
      </c>
      <c r="L1283" s="17" t="str">
        <f aca="false" t="array" ref="L1283:L1283">IFERROR(INDEX(AC1283:AE1283,IF(COUNTA(AC1283:AE1283)=0,"",MAX((AC1283:AE1283&lt;&gt;"")*(COLUMN(AC1283:AE1283)-(COLUMN(AC1283)-2))))-1),"")</f>
        <v>ARCHIVED</v>
      </c>
      <c r="M1283" s="13" t="n">
        <f aca="true">K1283-TODAY()</f>
        <v>-440</v>
      </c>
      <c r="N1283" s="18" t="s">
        <v>615</v>
      </c>
      <c r="O1283" s="13" t="s">
        <v>5637</v>
      </c>
      <c r="P1283" s="19" t="n">
        <v>5176101</v>
      </c>
      <c r="Q1283" s="20" t="s">
        <v>5638</v>
      </c>
      <c r="R1283" s="13" t="s">
        <v>232</v>
      </c>
      <c r="S1283" s="14" t="n">
        <v>34141</v>
      </c>
      <c r="T1283" s="13" t="s">
        <v>40</v>
      </c>
      <c r="U1283" s="13" t="s">
        <v>5639</v>
      </c>
      <c r="V1283" s="13" t="s">
        <v>42</v>
      </c>
      <c r="W1283" s="13" t="s">
        <v>43</v>
      </c>
      <c r="X1283" s="21" t="n">
        <v>895341799494</v>
      </c>
      <c r="Y1283" s="22" t="str">
        <f aca="false">O1283</f>
        <v>Operator Crane</v>
      </c>
      <c r="Z1283" s="13" t="str">
        <f aca="false">IFERROR(__xludf.dummyfunction("if(BJ1283="""","""",GOOGLETRANSLATE(BJ1283,""auto"",""en""))"),"Operator Crane")</f>
        <v>Operator Crane</v>
      </c>
      <c r="AA1283" s="23" t="str">
        <f aca="false">IF(C1283="","", CHOOSE(MONTH(C1283),"January","February","March","April","May","June","July","August","September","October","November","December")&amp;" "&amp;DAY(C1283)&amp;MID("thstndrdth",MIN(9,2*RIGHT(DAY(C1283))*(MOD(DAY(C1283)-11,100)&gt;2)+1),2)&amp;","&amp;TEXT(C1283," yyyy"))</f>
        <v>January 2nd,2024</v>
      </c>
      <c r="AB1283" s="15" t="str">
        <f aca="true">IF(S1283="","",DATEDIF(S1283,TODAY(),"Y")&amp;" Tahun, "&amp;DATEDIF(S1283,TODAY(),"YM")&amp;" Bulan, "&amp;DATEDIF(S1283,TODAY(),"MD")&amp;" Hari")</f>
        <v>33 Tahun, 4 Bulan, 8 Hari</v>
      </c>
      <c r="AC1283" s="18" t="n">
        <v>45704</v>
      </c>
      <c r="AD1283" s="18" t="n">
        <v>45884</v>
      </c>
      <c r="AE1283" s="18" t="s">
        <v>44</v>
      </c>
    </row>
    <row r="1284" customFormat="false" ht="15.75" hidden="false" customHeight="true" outlineLevel="0" collapsed="false">
      <c r="A1284" s="12" t="n">
        <v>7634</v>
      </c>
      <c r="B1284" s="13" t="s">
        <v>5640</v>
      </c>
      <c r="C1284" s="14" t="n">
        <v>44781</v>
      </c>
      <c r="D1284" s="13" t="s">
        <v>2033</v>
      </c>
      <c r="E1284" s="15" t="s">
        <v>47</v>
      </c>
      <c r="F1284" s="15" t="str">
        <f aca="false">IFERROR(__xludf.dummyfunction("XLOOKUP(AJ1284,IMPORTRANGE(""1XaInW9DU9nz21V0tYIfzFQ0He9kVQ_JF2mCXgZ3hqFA"",""REKAP ALL 2026 - Andika!G:G""),IMPORTRANGE(""1XaInW9DU9nz21V0tYIfzFQ0He9kVQ_JF2mCXgZ3hqFA"",""REKAP ALL 2026 - Andika!F:F""),"""",0)"),"22084833569")</f>
        <v>22084833569</v>
      </c>
      <c r="G1284" s="13" t="s">
        <v>5641</v>
      </c>
      <c r="H1284" s="13" t="s">
        <v>2035</v>
      </c>
      <c r="I1284" s="13" t="str">
        <f aca="false">IF(C1284=J1284,"NEW KONTRAK","RE-KONTRAK")</f>
        <v>RE-KONTRAK</v>
      </c>
      <c r="J1284" s="16" t="n">
        <f aca="false" t="array" ref="J1284:J1284">IFERROR(INDEX(AC1284:AE1284,IF(COUNTA(AC1284:AE1284)=0,"",MAX((AC1284:AE1284&lt;&gt;"")*(COLUMN(AC1284:AE1284)-(COLUMN(AC1284)))))-1),"")</f>
        <v>45744</v>
      </c>
      <c r="K1284" s="16" t="n">
        <f aca="false" t="array" ref="K1284:K1284">IFERROR(INDEX(AC1284:AE1284,IF(COUNTA(AC1284:AE1284)=0,"",MAX((AC1284:AE1284&lt;&gt;"")*(COLUMN(AC1284:AE1284)-(COLUMN(AC1284)-1))))-1),"")</f>
        <v>45915</v>
      </c>
      <c r="L1284" s="17" t="str">
        <f aca="false" t="array" ref="L1284:L1284">IFERROR(INDEX(AC1284:AE1284,IF(COUNTA(AC1284:AE1284)=0,"",MAX((AC1284:AE1284&lt;&gt;"")*(COLUMN(AC1284:AE1284)-(COLUMN(AC1284)-2))))-1),"")</f>
        <v>ARCHIVED</v>
      </c>
      <c r="M1284" s="13" t="n">
        <f aca="true">K1284-TODAY()</f>
        <v>-409</v>
      </c>
      <c r="N1284" s="18" t="s">
        <v>2434</v>
      </c>
      <c r="O1284" s="13" t="s">
        <v>2037</v>
      </c>
      <c r="P1284" s="19" t="n">
        <v>2827593</v>
      </c>
      <c r="Q1284" s="20" t="s">
        <v>5642</v>
      </c>
      <c r="R1284" s="13" t="s">
        <v>3734</v>
      </c>
      <c r="S1284" s="14" t="n">
        <v>31290</v>
      </c>
      <c r="T1284" s="13" t="s">
        <v>108</v>
      </c>
      <c r="U1284" s="13" t="s">
        <v>5643</v>
      </c>
      <c r="V1284" s="13" t="s">
        <v>42</v>
      </c>
      <c r="W1284" s="13" t="s">
        <v>2402</v>
      </c>
      <c r="X1284" s="21" t="n">
        <v>81215830661</v>
      </c>
      <c r="Y1284" s="22" t="str">
        <f aca="false">O1284</f>
        <v>SPG/BA</v>
      </c>
      <c r="Z1284" s="13" t="str">
        <f aca="false">IFERROR(__xludf.dummyfunction("if(BJ1284="""","""",GOOGLETRANSLATE(BJ1284,""auto"",""en""))"),"SPG/BA")</f>
        <v>SPG/BA</v>
      </c>
      <c r="AA1284" s="23" t="str">
        <f aca="false">IF(C1284="","", CHOOSE(MONTH(C1284),"January","February","March","April","May","June","July","August","September","October","November","December")&amp;" "&amp;DAY(C1284)&amp;MID("thstndrdth",MIN(9,2*RIGHT(DAY(C1284))*(MOD(DAY(C1284)-11,100)&gt;2)+1),2)&amp;","&amp;TEXT(C1284," yyyy"))</f>
        <v>August 8th,2022</v>
      </c>
      <c r="AB1284" s="15" t="str">
        <f aca="true">IF(S1284="","",DATEDIF(S1284,TODAY(),"Y")&amp;" Tahun, "&amp;DATEDIF(S1284,TODAY(),"YM")&amp;" Bulan, "&amp;DATEDIF(S1284,TODAY(),"MD")&amp;" Hari")</f>
        <v>41 Tahun, 1 Bulan, 28 Hari</v>
      </c>
      <c r="AC1284" s="18" t="n">
        <v>45744</v>
      </c>
      <c r="AD1284" s="18" t="n">
        <v>45915</v>
      </c>
      <c r="AE1284" s="18" t="s">
        <v>44</v>
      </c>
    </row>
    <row r="1285" customFormat="false" ht="15.75" hidden="false" customHeight="true" outlineLevel="0" collapsed="false">
      <c r="A1285" s="12" t="n">
        <v>13977</v>
      </c>
      <c r="B1285" s="13" t="s">
        <v>5644</v>
      </c>
      <c r="C1285" s="14" t="n">
        <v>45292</v>
      </c>
      <c r="D1285" s="13" t="s">
        <v>2033</v>
      </c>
      <c r="E1285" s="15" t="s">
        <v>102</v>
      </c>
      <c r="F1285" s="15" t="str">
        <f aca="false">IFERROR(__xludf.dummyfunction("XLOOKUP(AJ1285,IMPORTRANGE(""1XaInW9DU9nz21V0tYIfzFQ0He9kVQ_JF2mCXgZ3hqFA"",""REKAP ALL 2026 - Andika!G:G""),IMPORTRANGE(""1XaInW9DU9nz21V0tYIfzFQ0He9kVQ_JF2mCXgZ3hqFA"",""REKAP ALL 2026 - Andika!F:F""),"""",0)"),"24007209778")</f>
        <v>24007209778</v>
      </c>
      <c r="G1285" s="13" t="s">
        <v>5645</v>
      </c>
      <c r="H1285" s="13" t="s">
        <v>2035</v>
      </c>
      <c r="I1285" s="13" t="str">
        <f aca="false">IF(C1285=J1285,"NEW KONTRAK","RE-KONTRAK")</f>
        <v>RE-KONTRAK</v>
      </c>
      <c r="J1285" s="16" t="n">
        <f aca="false" t="array" ref="J1285:J1285">IFERROR(INDEX(AC1285:AE1285,IF(COUNTA(AC1285:AE1285)=0,"",MAX((AC1285:AE1285&lt;&gt;"")*(COLUMN(AC1285:AE1285)-(COLUMN(AC1285)))))-1),"")</f>
        <v>45744</v>
      </c>
      <c r="K1285" s="16" t="n">
        <f aca="false" t="array" ref="K1285:K1285">IFERROR(INDEX(AC1285:AE1285,IF(COUNTA(AC1285:AE1285)=0,"",MAX((AC1285:AE1285&lt;&gt;"")*(COLUMN(AC1285:AE1285)-(COLUMN(AC1285)-1))))-1),"")</f>
        <v>45915</v>
      </c>
      <c r="L1285" s="17" t="str">
        <f aca="false" t="array" ref="L1285:L1285">IFERROR(INDEX(AC1285:AE1285,IF(COUNTA(AC1285:AE1285)=0,"",MAX((AC1285:AE1285&lt;&gt;"")*(COLUMN(AC1285:AE1285)-(COLUMN(AC1285)-2))))-1),"")</f>
        <v>ARCHIVED</v>
      </c>
      <c r="M1285" s="13" t="n">
        <f aca="true">K1285-TODAY()</f>
        <v>-409</v>
      </c>
      <c r="N1285" s="18" t="s">
        <v>2363</v>
      </c>
      <c r="O1285" s="13" t="s">
        <v>2037</v>
      </c>
      <c r="P1285" s="19" t="n">
        <v>3684225</v>
      </c>
      <c r="Q1285" s="20" t="s">
        <v>5646</v>
      </c>
      <c r="R1285" s="13" t="s">
        <v>2390</v>
      </c>
      <c r="S1285" s="14" t="n">
        <v>35389</v>
      </c>
      <c r="T1285" s="13" t="s">
        <v>108</v>
      </c>
      <c r="U1285" s="13" t="s">
        <v>5647</v>
      </c>
      <c r="V1285" s="13" t="s">
        <v>42</v>
      </c>
      <c r="W1285" s="13" t="s">
        <v>43</v>
      </c>
      <c r="X1285" s="21" t="n">
        <v>82281463122</v>
      </c>
      <c r="Y1285" s="22" t="str">
        <f aca="false">O1285</f>
        <v>SPG/BA</v>
      </c>
      <c r="Z1285" s="13" t="str">
        <f aca="false">IFERROR(__xludf.dummyfunction("if(BJ1285="""","""",GOOGLETRANSLATE(BJ1285,""auto"",""en""))"),"SPG/BA")</f>
        <v>SPG/BA</v>
      </c>
      <c r="AA1285" s="23" t="str">
        <f aca="false">IF(C1285="","", CHOOSE(MONTH(C1285),"January","February","March","April","May","June","July","August","September","October","November","December")&amp;" "&amp;DAY(C1285)&amp;MID("thstndrdth",MIN(9,2*RIGHT(DAY(C1285))*(MOD(DAY(C1285)-11,100)&gt;2)+1),2)&amp;","&amp;TEXT(C1285," yyyy"))</f>
        <v>January 1st,2024</v>
      </c>
      <c r="AB1285" s="15" t="str">
        <f aca="true">IF(S1285="","",DATEDIF(S1285,TODAY(),"Y")&amp;" Tahun, "&amp;DATEDIF(S1285,TODAY(),"YM")&amp;" Bulan, "&amp;DATEDIF(S1285,TODAY(),"MD")&amp;" Hari")</f>
        <v>29 Tahun, 11 Bulan, 9 Hari</v>
      </c>
      <c r="AC1285" s="18" t="n">
        <v>45744</v>
      </c>
      <c r="AD1285" s="18" t="n">
        <v>45915</v>
      </c>
      <c r="AE1285" s="18" t="s">
        <v>44</v>
      </c>
    </row>
    <row r="1286" customFormat="false" ht="15.75" hidden="false" customHeight="true" outlineLevel="0" collapsed="false">
      <c r="A1286" s="12" t="n">
        <v>23019</v>
      </c>
      <c r="B1286" s="13" t="s">
        <v>5648</v>
      </c>
      <c r="C1286" s="14" t="n">
        <v>46303</v>
      </c>
      <c r="D1286" s="13" t="s">
        <v>2033</v>
      </c>
      <c r="E1286" s="13" t="s">
        <v>47</v>
      </c>
      <c r="F1286" s="24" t="s">
        <v>5649</v>
      </c>
      <c r="G1286" s="13" t="s">
        <v>1127</v>
      </c>
      <c r="H1286" s="13" t="s">
        <v>35</v>
      </c>
      <c r="I1286" s="13" t="str">
        <f aca="false">IF(C1286=J1286,"NEW KONTRAK","RE-KONTRAK")</f>
        <v>NEW KONTRAK</v>
      </c>
      <c r="J1286" s="16" t="n">
        <f aca="false" t="array" ref="J1286:J1286">IFERROR(INDEX(AC1286:AE1286,IF(COUNTA(AC1286:AE1286)=0,"",MAX((AC1286:AE1286&lt;&gt;"")*(COLUMN(AC1286:AE1286)-(COLUMN(AC1286)))))-1),"")</f>
        <v>46303</v>
      </c>
      <c r="K1286" s="16" t="n">
        <f aca="false" t="array" ref="K1286:K1286">IFERROR(INDEX(AC1286:AE1286,IF(COUNTA(AC1286:AE1286)=0,"",MAX((AC1286:AE1286&lt;&gt;"")*(COLUMN(AC1286:AE1286)-(COLUMN(AC1286)-1))))-1),"")</f>
        <v>46402</v>
      </c>
      <c r="L1286" s="17" t="str">
        <f aca="false" t="array" ref="L1286:L1286">IFERROR(INDEX(AC1286:AE1286,IF(COUNTA(AC1286:AE1286)=0,"",MAX((AC1286:AE1286&lt;&gt;"")*(COLUMN(AC1286:AE1286)-(COLUMN(AC1286)-2))))-1),"")</f>
        <v>DRAFTED ONLINE</v>
      </c>
      <c r="M1286" s="13" t="n">
        <f aca="true">K1286-TODAY()</f>
        <v>78</v>
      </c>
      <c r="N1286" s="13" t="s">
        <v>3902</v>
      </c>
      <c r="O1286" s="13" t="s">
        <v>2384</v>
      </c>
      <c r="P1286" s="26" t="n">
        <v>3491889</v>
      </c>
      <c r="Q1286" s="20" t="s">
        <v>5650</v>
      </c>
      <c r="R1286" s="13" t="s">
        <v>5651</v>
      </c>
      <c r="S1286" s="25" t="n">
        <v>36165</v>
      </c>
      <c r="T1286" s="13" t="s">
        <v>108</v>
      </c>
      <c r="U1286" s="13" t="s">
        <v>5652</v>
      </c>
      <c r="V1286" s="13" t="s">
        <v>42</v>
      </c>
      <c r="W1286" s="13" t="s">
        <v>43</v>
      </c>
      <c r="X1286" s="21" t="n">
        <v>89627714786</v>
      </c>
      <c r="Y1286" s="22" t="str">
        <f aca="false">O1286</f>
        <v>SPG</v>
      </c>
      <c r="Z1286" s="13" t="str">
        <f aca="false">IFERROR(__xludf.dummyfunction("if(BJ1286="""","""",GOOGLETRANSLATE(BJ1286,""auto"",""en""))"),"SPG")</f>
        <v>SPG</v>
      </c>
      <c r="AA1286" s="23" t="str">
        <f aca="false">IF(C1286="","", CHOOSE(MONTH(C1286),"January","February","March","April","May","June","July","August","September","October","November","December")&amp;" "&amp;DAY(C1286)&amp;MID("thstndrdth",MIN(9,2*RIGHT(DAY(C1286))*(MOD(DAY(C1286)-11,100)&gt;2)+1),2)&amp;","&amp;TEXT(C1286," yyyy"))</f>
        <v>October 8th,2026</v>
      </c>
      <c r="AB1286" s="15" t="str">
        <f aca="true">IF(S1286="","",DATEDIF(S1286,TODAY(),"Y")&amp;" Tahun, "&amp;DATEDIF(S1286,TODAY(),"YM")&amp;" Bulan, "&amp;DATEDIF(S1286,TODAY(),"MD")&amp;" Hari")</f>
        <v>27 Tahun, 9 Bulan, 24 Hari</v>
      </c>
      <c r="AC1286" s="14" t="n">
        <v>46303</v>
      </c>
      <c r="AD1286" s="18" t="n">
        <v>46402</v>
      </c>
      <c r="AE1286" s="13" t="s">
        <v>2424</v>
      </c>
    </row>
    <row r="1287" customFormat="false" ht="15.75" hidden="false" customHeight="true" outlineLevel="0" collapsed="false">
      <c r="A1287" s="12" t="n">
        <v>13994</v>
      </c>
      <c r="B1287" s="13" t="s">
        <v>5653</v>
      </c>
      <c r="C1287" s="14" t="n">
        <v>45293</v>
      </c>
      <c r="D1287" s="13" t="s">
        <v>3838</v>
      </c>
      <c r="E1287" s="15" t="s">
        <v>47</v>
      </c>
      <c r="F1287" s="15" t="str">
        <f aca="false">IFERROR(__xludf.dummyfunction("XLOOKUP(AJ1287,IMPORTRANGE(""1XaInW9DU9nz21V0tYIfzFQ0He9kVQ_JF2mCXgZ3hqFA"",""REKAP ALL 2026 - Andika!G:G""),IMPORTRANGE(""1XaInW9DU9nz21V0tYIfzFQ0He9kVQ_JF2mCXgZ3hqFA"",""REKAP ALL 2026 - Andika!F:F""),"""",0)"),"24007209331")</f>
        <v>24007209331</v>
      </c>
      <c r="G1287" s="13" t="s">
        <v>5654</v>
      </c>
      <c r="H1287" s="13" t="s">
        <v>35</v>
      </c>
      <c r="I1287" s="13" t="str">
        <f aca="false">IF(C1287=J1287,"NEW KONTRAK","RE-KONTRAK")</f>
        <v>RE-KONTRAK</v>
      </c>
      <c r="J1287" s="16" t="n">
        <f aca="false" t="array" ref="J1287:J1287">IFERROR(INDEX(AC1287:AE1287,IF(COUNTA(AC1287:AE1287)=0,"",MAX((AC1287:AE1287&lt;&gt;"")*(COLUMN(AC1287:AE1287)-(COLUMN(AC1287)))))-1),"")</f>
        <v>45658</v>
      </c>
      <c r="K1287" s="16" t="n">
        <f aca="false" t="array" ref="K1287:K1287">IFERROR(INDEX(AC1287:AE1287,IF(COUNTA(AC1287:AE1287)=0,"",MAX((AC1287:AE1287&lt;&gt;"")*(COLUMN(AC1287:AE1287)-(COLUMN(AC1287)-1))))-1),"")</f>
        <v>46022</v>
      </c>
      <c r="L1287" s="17" t="str">
        <f aca="false" t="array" ref="L1287:L1287">IFERROR(INDEX(AC1287:AE1287,IF(COUNTA(AC1287:AE1287)=0,"",MAX((AC1287:AE1287&lt;&gt;"")*(COLUMN(AC1287:AE1287)-(COLUMN(AC1287)-2))))-1),"")</f>
        <v>ARCHIVED</v>
      </c>
      <c r="M1287" s="13" t="n">
        <f aca="true">K1287-TODAY()</f>
        <v>-302</v>
      </c>
      <c r="N1287" s="18" t="s">
        <v>749</v>
      </c>
      <c r="O1287" s="13" t="s">
        <v>3577</v>
      </c>
      <c r="P1287" s="19" t="n">
        <v>3983882</v>
      </c>
      <c r="Q1287" s="20" t="s">
        <v>5655</v>
      </c>
      <c r="R1287" s="13" t="s">
        <v>752</v>
      </c>
      <c r="S1287" s="14" t="n">
        <v>34104</v>
      </c>
      <c r="T1287" s="13" t="s">
        <v>40</v>
      </c>
      <c r="U1287" s="13" t="s">
        <v>5656</v>
      </c>
      <c r="V1287" s="13" t="s">
        <v>42</v>
      </c>
      <c r="W1287" s="13" t="s">
        <v>54</v>
      </c>
      <c r="X1287" s="21" t="n">
        <v>81930436025</v>
      </c>
      <c r="Y1287" s="22" t="str">
        <f aca="false">O1287</f>
        <v>Kerani Gudang</v>
      </c>
      <c r="Z1287" s="13" t="str">
        <f aca="false">IFERROR(__xludf.dummyfunction("if(BJ1287="""","""",GOOGLETRANSLATE(BJ1287,""auto"",""en""))"),"Warehouse Clerk")</f>
        <v>Warehouse Clerk</v>
      </c>
      <c r="AA1287" s="23" t="str">
        <f aca="false">IF(C1287="","", CHOOSE(MONTH(C1287),"January","February","March","April","May","June","July","August","September","October","November","December")&amp;" "&amp;DAY(C1287)&amp;MID("thstndrdth",MIN(9,2*RIGHT(DAY(C1287))*(MOD(DAY(C1287)-11,100)&gt;2)+1),2)&amp;","&amp;TEXT(C1287," yyyy"))</f>
        <v>January 2nd,2024</v>
      </c>
      <c r="AB1287" s="15" t="str">
        <f aca="true">IF(S1287="","",DATEDIF(S1287,TODAY(),"Y")&amp;" Tahun, "&amp;DATEDIF(S1287,TODAY(),"YM")&amp;" Bulan, "&amp;DATEDIF(S1287,TODAY(),"MD")&amp;" Hari")</f>
        <v>33 Tahun, 5 Bulan, 14 Hari</v>
      </c>
      <c r="AC1287" s="18" t="n">
        <v>45658</v>
      </c>
      <c r="AD1287" s="18" t="n">
        <v>46022</v>
      </c>
      <c r="AE1287" s="18" t="s">
        <v>44</v>
      </c>
    </row>
    <row r="1288" customFormat="false" ht="15" hidden="false" customHeight="true" outlineLevel="0" collapsed="false">
      <c r="A1288" s="12" t="n">
        <v>14032</v>
      </c>
      <c r="B1288" s="13" t="s">
        <v>5657</v>
      </c>
      <c r="C1288" s="14" t="n">
        <v>45293</v>
      </c>
      <c r="D1288" s="13" t="s">
        <v>5442</v>
      </c>
      <c r="E1288" s="15" t="s">
        <v>47</v>
      </c>
      <c r="F1288" s="15" t="str">
        <f aca="false">IFERROR(__xludf.dummyfunction("XLOOKUP(AJ1288,IMPORTRANGE(""1XaInW9DU9nz21V0tYIfzFQ0He9kVQ_JF2mCXgZ3hqFA"",""REKAP ALL 2026 - Andika!G:G""),IMPORTRANGE(""1XaInW9DU9nz21V0tYIfzFQ0He9kVQ_JF2mCXgZ3hqFA"",""REKAP ALL 2026 - Andika!F:F""),"""",0)"),"24007210792")</f>
        <v>24007210792</v>
      </c>
      <c r="G1288" s="13" t="s">
        <v>5658</v>
      </c>
      <c r="H1288" s="13" t="s">
        <v>35</v>
      </c>
      <c r="I1288" s="13" t="str">
        <f aca="false">IF(C1288=J1288,"NEW KONTRAK","RE-KONTRAK")</f>
        <v>RE-KONTRAK</v>
      </c>
      <c r="J1288" s="16" t="n">
        <f aca="false" t="array" ref="J1288:J1288">IFERROR(INDEX(AC1288:AE1288,IF(COUNTA(AC1288:AE1288)=0,"",MAX((AC1288:AE1288&lt;&gt;"")*(COLUMN(AC1288:AE1288)-(COLUMN(AC1288)))))-1),"")</f>
        <v>45828</v>
      </c>
      <c r="K1288" s="16" t="n">
        <f aca="false" t="array" ref="K1288:K1288">IFERROR(INDEX(AC1288:AE1288,IF(COUNTA(AC1288:AE1288)=0,"",MAX((AC1288:AE1288&lt;&gt;"")*(COLUMN(AC1288:AE1288)-(COLUMN(AC1288)-1))))-1),"")</f>
        <v>46192</v>
      </c>
      <c r="L1288" s="17" t="str">
        <f aca="false" t="array" ref="L1288:L1288">IFERROR(INDEX(AC1288:AE1288,IF(COUNTA(AC1288:AE1288)=0,"",MAX((AC1288:AE1288&lt;&gt;"")*(COLUMN(AC1288:AE1288)-(COLUMN(AC1288)-2))))-1),"")</f>
        <v>KEMBALI</v>
      </c>
      <c r="M1288" s="13" t="n">
        <f aca="true">K1288-TODAY()</f>
        <v>-132</v>
      </c>
      <c r="N1288" s="18" t="s">
        <v>105</v>
      </c>
      <c r="O1288" s="13" t="s">
        <v>5568</v>
      </c>
      <c r="P1288" s="19" t="n">
        <v>5191541</v>
      </c>
      <c r="Q1288" s="20" t="s">
        <v>5659</v>
      </c>
      <c r="R1288" s="13" t="s">
        <v>65</v>
      </c>
      <c r="S1288" s="14" t="n">
        <v>30322</v>
      </c>
      <c r="T1288" s="13" t="s">
        <v>40</v>
      </c>
      <c r="U1288" s="13" t="s">
        <v>5660</v>
      </c>
      <c r="V1288" s="13" t="s">
        <v>42</v>
      </c>
      <c r="W1288" s="13" t="s">
        <v>54</v>
      </c>
      <c r="X1288" s="21" t="n">
        <v>89610899420</v>
      </c>
      <c r="Y1288" s="22" t="str">
        <f aca="false">O1288</f>
        <v>Produksi Pintu (Manda)</v>
      </c>
      <c r="Z1288" s="13" t="str">
        <f aca="false">IFERROR(__xludf.dummyfunction("if(BJ1288="""","""",GOOGLETRANSLATE(BJ1288,""auto"",""en""))"),"Door Production (Manda)")</f>
        <v>Door Production (Manda)</v>
      </c>
      <c r="AA1288" s="23" t="str">
        <f aca="false">IF(C1288="","", CHOOSE(MONTH(C1288),"January","February","March","April","May","June","July","August","September","October","November","December")&amp;" "&amp;DAY(C1288)&amp;MID("thstndrdth",MIN(9,2*RIGHT(DAY(C1288))*(MOD(DAY(C1288)-11,100)&gt;2)+1),2)&amp;","&amp;TEXT(C1288," yyyy"))</f>
        <v>January 2nd,2024</v>
      </c>
      <c r="AB1288" s="15" t="str">
        <f aca="true">IF(S1288="","",DATEDIF(S1288,TODAY(),"Y")&amp;" Tahun, "&amp;DATEDIF(S1288,TODAY(),"YM")&amp;" Bulan, "&amp;DATEDIF(S1288,TODAY(),"MD")&amp;" Hari")</f>
        <v>43 Tahun, 9 Bulan, 23 Hari</v>
      </c>
      <c r="AC1288" s="18" t="n">
        <v>45828</v>
      </c>
      <c r="AD1288" s="18" t="n">
        <v>46192</v>
      </c>
      <c r="AE1288" s="13" t="s">
        <v>397</v>
      </c>
    </row>
    <row r="1289" customFormat="false" ht="15" hidden="false" customHeight="true" outlineLevel="0" collapsed="false">
      <c r="A1289" s="12" t="n">
        <v>14047</v>
      </c>
      <c r="B1289" s="13" t="s">
        <v>5661</v>
      </c>
      <c r="C1289" s="14" t="n">
        <v>45294</v>
      </c>
      <c r="D1289" s="13" t="s">
        <v>3022</v>
      </c>
      <c r="E1289" s="15" t="s">
        <v>47</v>
      </c>
      <c r="F1289" s="15" t="str">
        <f aca="false">IFERROR(__xludf.dummyfunction("XLOOKUP(AJ1289,IMPORTRANGE(""1XaInW9DU9nz21V0tYIfzFQ0He9kVQ_JF2mCXgZ3hqFA"",""REKAP ALL 2026 - Andika!G:G""),IMPORTRANGE(""1XaInW9DU9nz21V0tYIfzFQ0He9kVQ_JF2mCXgZ3hqFA"",""REKAP ALL 2026 - Andika!F:F""),"""",0)"),"24033926908")</f>
        <v>24033926908</v>
      </c>
      <c r="G1289" s="13" t="s">
        <v>5662</v>
      </c>
      <c r="H1289" s="13" t="s">
        <v>3024</v>
      </c>
      <c r="I1289" s="13" t="str">
        <f aca="false">IF(C1289=J1289,"NEW KONTRAK","RE-KONTRAK")</f>
        <v>RE-KONTRAK</v>
      </c>
      <c r="J1289" s="16" t="n">
        <f aca="false" t="array" ref="J1289:J1289">IFERROR(INDEX(AC1289:AE1289,IF(COUNTA(AC1289:AE1289)=0,"",MAX((AC1289:AE1289&lt;&gt;"")*(COLUMN(AC1289:AE1289)-(COLUMN(AC1289)))))-1),"")</f>
        <v>45570</v>
      </c>
      <c r="K1289" s="16" t="n">
        <f aca="false" t="array" ref="K1289:K1289">IFERROR(INDEX(AC1289:AE1289,IF(COUNTA(AC1289:AE1289)=0,"",MAX((AC1289:AE1289&lt;&gt;"")*(COLUMN(AC1289:AE1289)-(COLUMN(AC1289)-1))))-1),"")</f>
        <v>45934</v>
      </c>
      <c r="L1289" s="17" t="str">
        <f aca="false" t="array" ref="L1289:L1289">IFERROR(INDEX(AC1289:AE1289,IF(COUNTA(AC1289:AE1289)=0,"",MAX((AC1289:AE1289&lt;&gt;"")*(COLUMN(AC1289:AE1289)-(COLUMN(AC1289)-2))))-1),"")</f>
        <v>ARCHIVED</v>
      </c>
      <c r="M1289" s="13" t="n">
        <f aca="true">K1289-TODAY()</f>
        <v>-390</v>
      </c>
      <c r="N1289" s="18" t="s">
        <v>36</v>
      </c>
      <c r="O1289" s="13" t="s">
        <v>4182</v>
      </c>
      <c r="P1289" s="19" t="n">
        <v>137500</v>
      </c>
      <c r="Q1289" s="20" t="s">
        <v>5663</v>
      </c>
      <c r="R1289" s="13" t="s">
        <v>73</v>
      </c>
      <c r="S1289" s="14" t="n">
        <v>35082</v>
      </c>
      <c r="T1289" s="13" t="s">
        <v>40</v>
      </c>
      <c r="U1289" s="13" t="s">
        <v>5504</v>
      </c>
      <c r="V1289" s="13" t="s">
        <v>42</v>
      </c>
      <c r="W1289" s="13" t="s">
        <v>43</v>
      </c>
      <c r="X1289" s="21" t="n">
        <v>85850663722</v>
      </c>
      <c r="Y1289" s="22" t="str">
        <f aca="false">O1289</f>
        <v>Produksi ( Heating )</v>
      </c>
      <c r="Z1289" s="13" t="str">
        <f aca="false">IFERROR(__xludf.dummyfunction("if(BJ1289="""","""",GOOGLETRANSLATE(BJ1289,""auto"",""en""))"),"Production (Heating)")</f>
        <v>Production (Heating)</v>
      </c>
      <c r="AA1289" s="23" t="str">
        <f aca="false">IF(C1289="","", CHOOSE(MONTH(C1289),"January","February","March","April","May","June","July","August","September","October","November","December")&amp;" "&amp;DAY(C1289)&amp;MID("thstndrdth",MIN(9,2*RIGHT(DAY(C1289))*(MOD(DAY(C1289)-11,100)&gt;2)+1),2)&amp;","&amp;TEXT(C1289," yyyy"))</f>
        <v>January 3rd,2024</v>
      </c>
      <c r="AB1289" s="15" t="str">
        <f aca="true">IF(S1289="","",DATEDIF(S1289,TODAY(),"Y")&amp;" Tahun, "&amp;DATEDIF(S1289,TODAY(),"YM")&amp;" Bulan, "&amp;DATEDIF(S1289,TODAY(),"MD")&amp;" Hari")</f>
        <v>30 Tahun, 9 Bulan, 11 Hari</v>
      </c>
      <c r="AC1289" s="18" t="n">
        <v>45570</v>
      </c>
      <c r="AD1289" s="18" t="n">
        <v>45934</v>
      </c>
      <c r="AE1289" s="18" t="s">
        <v>44</v>
      </c>
    </row>
    <row r="1290" customFormat="false" ht="15" hidden="false" customHeight="true" outlineLevel="0" collapsed="false">
      <c r="A1290" s="12" t="n">
        <v>14049</v>
      </c>
      <c r="B1290" s="13" t="s">
        <v>5664</v>
      </c>
      <c r="C1290" s="14" t="n">
        <v>45299</v>
      </c>
      <c r="D1290" s="13" t="s">
        <v>3022</v>
      </c>
      <c r="E1290" s="15" t="s">
        <v>47</v>
      </c>
      <c r="F1290" s="15" t="str">
        <f aca="false">IFERROR(__xludf.dummyfunction("XLOOKUP(AJ1290,IMPORTRANGE(""1XaInW9DU9nz21V0tYIfzFQ0He9kVQ_JF2mCXgZ3hqFA"",""REKAP ALL 2026 - Andika!G:G""),IMPORTRANGE(""1XaInW9DU9nz21V0tYIfzFQ0He9kVQ_JF2mCXgZ3hqFA"",""REKAP ALL 2026 - Andika!F:F""),"""",0)"),"24033926932")</f>
        <v>24033926932</v>
      </c>
      <c r="G1290" s="13" t="s">
        <v>5665</v>
      </c>
      <c r="H1290" s="13" t="s">
        <v>3024</v>
      </c>
      <c r="I1290" s="13" t="str">
        <f aca="false">IF(C1290=J1290,"NEW KONTRAK","RE-KONTRAK")</f>
        <v>RE-KONTRAK</v>
      </c>
      <c r="J1290" s="16" t="n">
        <f aca="false" t="array" ref="J1290:J1290">IFERROR(INDEX(AC1290:AE1290,IF(COUNTA(AC1290:AE1290)=0,"",MAX((AC1290:AE1290&lt;&gt;"")*(COLUMN(AC1290:AE1290)-(COLUMN(AC1290)))))-1),"")</f>
        <v>45570</v>
      </c>
      <c r="K1290" s="16" t="n">
        <f aca="false" t="array" ref="K1290:K1290">IFERROR(INDEX(AC1290:AE1290,IF(COUNTA(AC1290:AE1290)=0,"",MAX((AC1290:AE1290&lt;&gt;"")*(COLUMN(AC1290:AE1290)-(COLUMN(AC1290)-1))))-1),"")</f>
        <v>45934</v>
      </c>
      <c r="L1290" s="17" t="str">
        <f aca="false" t="array" ref="L1290:L1290">IFERROR(INDEX(AC1290:AE1290,IF(COUNTA(AC1290:AE1290)=0,"",MAX((AC1290:AE1290&lt;&gt;"")*(COLUMN(AC1290:AE1290)-(COLUMN(AC1290)-2))))-1),"")</f>
        <v>ARCHIVED</v>
      </c>
      <c r="M1290" s="13" t="n">
        <f aca="true">K1290-TODAY()</f>
        <v>-390</v>
      </c>
      <c r="N1290" s="18" t="s">
        <v>36</v>
      </c>
      <c r="O1290" s="13" t="s">
        <v>5666</v>
      </c>
      <c r="P1290" s="19" t="n">
        <v>130000</v>
      </c>
      <c r="Q1290" s="20" t="s">
        <v>5667</v>
      </c>
      <c r="R1290" s="13" t="s">
        <v>78</v>
      </c>
      <c r="S1290" s="14" t="n">
        <v>38287</v>
      </c>
      <c r="T1290" s="13" t="s">
        <v>40</v>
      </c>
      <c r="U1290" s="13" t="s">
        <v>5668</v>
      </c>
      <c r="V1290" s="13" t="s">
        <v>42</v>
      </c>
      <c r="W1290" s="13" t="s">
        <v>43</v>
      </c>
      <c r="X1290" s="21" t="n">
        <v>89515846626</v>
      </c>
      <c r="Y1290" s="22" t="str">
        <f aca="false">O1290</f>
        <v>PU Produksi</v>
      </c>
      <c r="Z1290" s="13" t="str">
        <f aca="false">IFERROR(__xludf.dummyfunction("if(BJ1290="""","""",GOOGLETRANSLATE(BJ1290,""auto"",""en""))"),"PU Production")</f>
        <v>PU Production</v>
      </c>
      <c r="AA1290" s="23" t="str">
        <f aca="false">IF(C1290="","", CHOOSE(MONTH(C1290),"January","February","March","April","May","June","July","August","September","October","November","December")&amp;" "&amp;DAY(C1290)&amp;MID("thstndrdth",MIN(9,2*RIGHT(DAY(C1290))*(MOD(DAY(C1290)-11,100)&gt;2)+1),2)&amp;","&amp;TEXT(C1290," yyyy"))</f>
        <v>January 8th,2024</v>
      </c>
      <c r="AB1290" s="15" t="str">
        <f aca="true">IF(S1290="","",DATEDIF(S1290,TODAY(),"Y")&amp;" Tahun, "&amp;DATEDIF(S1290,TODAY(),"YM")&amp;" Bulan, "&amp;DATEDIF(S1290,TODAY(),"MD")&amp;" Hari")</f>
        <v>22 Tahun, 0 Bulan, 2 Hari</v>
      </c>
      <c r="AC1290" s="18" t="n">
        <v>45570</v>
      </c>
      <c r="AD1290" s="18" t="n">
        <v>45934</v>
      </c>
      <c r="AE1290" s="18" t="s">
        <v>44</v>
      </c>
    </row>
    <row r="1291" customFormat="false" ht="15" hidden="false" customHeight="true" outlineLevel="0" collapsed="false">
      <c r="A1291" s="12" t="n">
        <v>14050</v>
      </c>
      <c r="B1291" s="13" t="s">
        <v>5669</v>
      </c>
      <c r="C1291" s="14" t="n">
        <v>45299</v>
      </c>
      <c r="D1291" s="13" t="s">
        <v>3022</v>
      </c>
      <c r="E1291" s="15" t="s">
        <v>789</v>
      </c>
      <c r="F1291" s="24" t="s">
        <v>5670</v>
      </c>
      <c r="G1291" s="13" t="s">
        <v>5671</v>
      </c>
      <c r="H1291" s="13" t="s">
        <v>2967</v>
      </c>
      <c r="I1291" s="13" t="str">
        <f aca="false">IF(C1291=J1291,"NEW KONTRAK","RE-KONTRAK")</f>
        <v>RE-KONTRAK</v>
      </c>
      <c r="J1291" s="16" t="n">
        <f aca="false" t="array" ref="J1291:J1291">IFERROR(INDEX(AC1291:AE1291,IF(COUNTA(AC1291:AE1291)=0,"",MAX((AC1291:AE1291&lt;&gt;"")*(COLUMN(AC1291:AE1291)-(COLUMN(AC1291)))))-1),"")</f>
        <v>45570</v>
      </c>
      <c r="K1291" s="16" t="n">
        <f aca="false" t="array" ref="K1291:K1291">IFERROR(INDEX(AC1291:AE1291,IF(COUNTA(AC1291:AE1291)=0,"",MAX((AC1291:AE1291&lt;&gt;"")*(COLUMN(AC1291:AE1291)-(COLUMN(AC1291)-1))))-1),"")</f>
        <v>45934</v>
      </c>
      <c r="L1291" s="17" t="str">
        <f aca="false" t="array" ref="L1291:L1291">IFERROR(INDEX(AC1291:AE1291,IF(COUNTA(AC1291:AE1291)=0,"",MAX((AC1291:AE1291&lt;&gt;"")*(COLUMN(AC1291:AE1291)-(COLUMN(AC1291)-2))))-1),"")</f>
        <v>ARCHIVED</v>
      </c>
      <c r="M1291" s="13" t="n">
        <f aca="true">K1291-TODAY()</f>
        <v>-390</v>
      </c>
      <c r="N1291" s="18" t="s">
        <v>36</v>
      </c>
      <c r="O1291" s="13" t="s">
        <v>5666</v>
      </c>
      <c r="P1291" s="19" t="n">
        <v>116000</v>
      </c>
      <c r="Q1291" s="20" t="s">
        <v>5672</v>
      </c>
      <c r="R1291" s="13" t="s">
        <v>83</v>
      </c>
      <c r="S1291" s="14" t="n">
        <v>37922</v>
      </c>
      <c r="T1291" s="13" t="s">
        <v>40</v>
      </c>
      <c r="U1291" s="13" t="s">
        <v>5673</v>
      </c>
      <c r="V1291" s="13" t="s">
        <v>42</v>
      </c>
      <c r="W1291" s="13" t="s">
        <v>43</v>
      </c>
      <c r="X1291" s="21" t="n">
        <v>85745126409</v>
      </c>
      <c r="Y1291" s="22" t="str">
        <f aca="false">O1291</f>
        <v>PU Produksi</v>
      </c>
      <c r="Z1291" s="13" t="str">
        <f aca="false">IFERROR(__xludf.dummyfunction("if(BJ1291="""","""",GOOGLETRANSLATE(BJ1291,""auto"",""en""))"),"PU Production")</f>
        <v>PU Production</v>
      </c>
      <c r="AA1291" s="23" t="str">
        <f aca="false">IF(C1291="","", CHOOSE(MONTH(C1291),"January","February","March","April","May","June","July","August","September","October","November","December")&amp;" "&amp;DAY(C1291)&amp;MID("thstndrdth",MIN(9,2*RIGHT(DAY(C1291))*(MOD(DAY(C1291)-11,100)&gt;2)+1),2)&amp;","&amp;TEXT(C1291," yyyy"))</f>
        <v>January 8th,2024</v>
      </c>
      <c r="AB1291" s="15" t="str">
        <f aca="true">IF(S1291="","",DATEDIF(S1291,TODAY(),"Y")&amp;" Tahun, "&amp;DATEDIF(S1291,TODAY(),"YM")&amp;" Bulan, "&amp;DATEDIF(S1291,TODAY(),"MD")&amp;" Hari")</f>
        <v>23 Tahun, 0 Bulan, 1 Hari</v>
      </c>
      <c r="AC1291" s="18" t="n">
        <v>45570</v>
      </c>
      <c r="AD1291" s="18" t="n">
        <v>45934</v>
      </c>
      <c r="AE1291" s="18" t="s">
        <v>44</v>
      </c>
    </row>
    <row r="1292" customFormat="false" ht="15" hidden="false" customHeight="true" outlineLevel="0" collapsed="false">
      <c r="A1292" s="12" t="n">
        <v>14061</v>
      </c>
      <c r="B1292" s="13" t="s">
        <v>5674</v>
      </c>
      <c r="C1292" s="14" t="n">
        <v>45312</v>
      </c>
      <c r="D1292" s="13" t="s">
        <v>5250</v>
      </c>
      <c r="E1292" s="15" t="s">
        <v>789</v>
      </c>
      <c r="F1292" s="15" t="str">
        <f aca="false">IFERROR(__xludf.dummyfunction("XLOOKUP(AJ1292,IMPORTRANGE(""1XaInW9DU9nz21V0tYIfzFQ0He9kVQ_JF2mCXgZ3hqFA"",""REKAP ALL 2026 - Andika!G:G""),IMPORTRANGE(""1XaInW9DU9nz21V0tYIfzFQ0He9kVQ_JF2mCXgZ3hqFA"",""REKAP ALL 2026 - Andika!F:F""),"""",0)"),"24075650523")</f>
        <v>24075650523</v>
      </c>
      <c r="G1292" s="13" t="s">
        <v>5675</v>
      </c>
      <c r="H1292" s="13" t="s">
        <v>35</v>
      </c>
      <c r="I1292" s="13" t="str">
        <f aca="false">IF(C1292=J1292,"NEW KONTRAK","RE-KONTRAK")</f>
        <v>RE-KONTRAK</v>
      </c>
      <c r="J1292" s="16" t="n">
        <f aca="false" t="array" ref="J1292:J1292">IFERROR(INDEX(AC1292:AE1292,IF(COUNTA(AC1292:AE1292)=0,"",MAX((AC1292:AE1292&lt;&gt;"")*(COLUMN(AC1292:AE1292)-(COLUMN(AC1292)))))-1),"")</f>
        <v>45658</v>
      </c>
      <c r="K1292" s="16" t="n">
        <f aca="false" t="array" ref="K1292:K1292">IFERROR(INDEX(AC1292:AE1292,IF(COUNTA(AC1292:AE1292)=0,"",MAX((AC1292:AE1292&lt;&gt;"")*(COLUMN(AC1292:AE1292)-(COLUMN(AC1292)-1))))-1),"")</f>
        <v>46022</v>
      </c>
      <c r="L1292" s="17" t="str">
        <f aca="false" t="array" ref="L1292:L1292">IFERROR(INDEX(AC1292:AE1292,IF(COUNTA(AC1292:AE1292)=0,"",MAX((AC1292:AE1292&lt;&gt;"")*(COLUMN(AC1292:AE1292)-(COLUMN(AC1292)-2))))-1),"")</f>
        <v>ARCHIVED</v>
      </c>
      <c r="M1292" s="13" t="n">
        <f aca="true">K1292-TODAY()</f>
        <v>-302</v>
      </c>
      <c r="N1292" s="18" t="s">
        <v>728</v>
      </c>
      <c r="O1292" s="13" t="s">
        <v>3271</v>
      </c>
      <c r="P1292" s="27" t="n">
        <v>5288796</v>
      </c>
      <c r="Q1292" s="20" t="s">
        <v>5676</v>
      </c>
      <c r="R1292" s="13" t="s">
        <v>65</v>
      </c>
      <c r="S1292" s="14" t="n">
        <v>31937</v>
      </c>
      <c r="T1292" s="13" t="s">
        <v>40</v>
      </c>
      <c r="U1292" s="13" t="s">
        <v>5677</v>
      </c>
      <c r="V1292" s="13" t="s">
        <v>42</v>
      </c>
      <c r="W1292" s="13" t="s">
        <v>54</v>
      </c>
      <c r="X1292" s="21" t="n">
        <v>89668056468</v>
      </c>
      <c r="Y1292" s="22" t="str">
        <f aca="false">O1292</f>
        <v>Helper</v>
      </c>
      <c r="Z1292" s="13" t="str">
        <f aca="false">IFERROR(__xludf.dummyfunction("if(BJ1292="""","""",GOOGLETRANSLATE(BJ1292,""auto"",""en""))"),"Helper")</f>
        <v>Helper</v>
      </c>
      <c r="AA1292" s="23" t="str">
        <f aca="false">IF(C1292="","", CHOOSE(MONTH(C1292),"January","February","March","April","May","June","July","August","September","October","November","December")&amp;" "&amp;DAY(C1292)&amp;MID("thstndrdth",MIN(9,2*RIGHT(DAY(C1292))*(MOD(DAY(C1292)-11,100)&gt;2)+1),2)&amp;","&amp;TEXT(C1292," yyyy"))</f>
        <v>January 21st,2024</v>
      </c>
      <c r="AB1292" s="15" t="str">
        <f aca="true">IF(S1292="","",DATEDIF(S1292,TODAY(),"Y")&amp;" Tahun, "&amp;DATEDIF(S1292,TODAY(),"YM")&amp;" Bulan, "&amp;DATEDIF(S1292,TODAY(),"MD")&amp;" Hari")</f>
        <v>39 Tahun, 4 Bulan, 20 Hari</v>
      </c>
      <c r="AC1292" s="18" t="n">
        <v>45658</v>
      </c>
      <c r="AD1292" s="18" t="n">
        <v>46022</v>
      </c>
      <c r="AE1292" s="18" t="s">
        <v>44</v>
      </c>
    </row>
    <row r="1293" customFormat="false" ht="15" hidden="false" customHeight="true" outlineLevel="0" collapsed="false">
      <c r="A1293" s="12" t="n">
        <v>6516</v>
      </c>
      <c r="B1293" s="13" t="s">
        <v>5678</v>
      </c>
      <c r="C1293" s="14" t="n">
        <v>44704</v>
      </c>
      <c r="D1293" s="13" t="s">
        <v>2148</v>
      </c>
      <c r="E1293" s="15" t="s">
        <v>47</v>
      </c>
      <c r="F1293" s="15" t="str">
        <f aca="false">IFERROR(__xludf.dummyfunction("XLOOKUP(AJ1293,IMPORTRANGE(""1XaInW9DU9nz21V0tYIfzFQ0He9kVQ_JF2mCXgZ3hqFA"",""REKAP ALL 2026 - Andika!G:G""),IMPORTRANGE(""1XaInW9DU9nz21V0tYIfzFQ0He9kVQ_JF2mCXgZ3hqFA"",""REKAP ALL 2026 - Andika!F:F""),"""",0)"),"22058856554")</f>
        <v>22058856554</v>
      </c>
      <c r="G1293" s="13" t="s">
        <v>5679</v>
      </c>
      <c r="H1293" s="13" t="s">
        <v>49</v>
      </c>
      <c r="I1293" s="13" t="str">
        <f aca="false">IF(C1293=J1293,"NEW KONTRAK","RE-KONTRAK")</f>
        <v>RE-KONTRAK</v>
      </c>
      <c r="J1293" s="16" t="n">
        <f aca="false" t="array" ref="J1293:J1293">IFERROR(INDEX(AC1293:AE1293,IF(COUNTA(AC1293:AE1293)=0,"",MAX((AC1293:AE1293&lt;&gt;"")*(COLUMN(AC1293:AE1293)-(COLUMN(AC1293)))))-1),"")</f>
        <v>45672</v>
      </c>
      <c r="K1293" s="16" t="n">
        <f aca="false" t="array" ref="K1293:K1293">IFERROR(INDEX(AC1293:AE1293,IF(COUNTA(AC1293:AE1293)=0,"",MAX((AC1293:AE1293&lt;&gt;"")*(COLUMN(AC1293:AE1293)-(COLUMN(AC1293)-1))))-1),"")</f>
        <v>46036</v>
      </c>
      <c r="L1293" s="17" t="str">
        <f aca="false" t="array" ref="L1293:L1293">IFERROR(INDEX(AC1293:AE1293,IF(COUNTA(AC1293:AE1293)=0,"",MAX((AC1293:AE1293&lt;&gt;"")*(COLUMN(AC1293:AE1293)-(COLUMN(AC1293)-2))))-1),"")</f>
        <v>ARCHIVED</v>
      </c>
      <c r="M1293" s="13" t="n">
        <f aca="true">K1293-TODAY()</f>
        <v>-288</v>
      </c>
      <c r="N1293" s="50" t="s">
        <v>105</v>
      </c>
      <c r="O1293" s="13" t="s">
        <v>5680</v>
      </c>
      <c r="P1293" s="19" t="n">
        <v>207662</v>
      </c>
      <c r="Q1293" s="20" t="s">
        <v>5681</v>
      </c>
      <c r="R1293" s="13" t="s">
        <v>52</v>
      </c>
      <c r="S1293" s="25" t="n">
        <v>34389</v>
      </c>
      <c r="T1293" s="13" t="s">
        <v>40</v>
      </c>
      <c r="U1293" s="13" t="s">
        <v>5682</v>
      </c>
      <c r="V1293" s="13" t="s">
        <v>99</v>
      </c>
      <c r="W1293" s="13" t="s">
        <v>54</v>
      </c>
      <c r="X1293" s="21" t="n">
        <v>881036064662</v>
      </c>
      <c r="Y1293" s="22" t="str">
        <f aca="false">O1293</f>
        <v>GA - Driver Direksi</v>
      </c>
      <c r="Z1293" s="13" t="str">
        <f aca="false">IFERROR(__xludf.dummyfunction("if(BJ1293="""","""",GOOGLETRANSLATE(BJ1293,""auto"",""en""))"),"GA - Director Driver")</f>
        <v>GA - Director Driver</v>
      </c>
      <c r="AA1293" s="23" t="str">
        <f aca="false">IF(C1293="","", CHOOSE(MONTH(C1293),"January","February","March","April","May","June","July","August","September","October","November","December")&amp;" "&amp;DAY(C1293)&amp;MID("thstndrdth",MIN(9,2*RIGHT(DAY(C1293))*(MOD(DAY(C1293)-11,100)&gt;2)+1),2)&amp;","&amp;TEXT(C1293," yyyy"))</f>
        <v>May 23rd,2022</v>
      </c>
      <c r="AB1293" s="15" t="str">
        <f aca="true">IF(S1293="","",DATEDIF(S1293,TODAY(),"Y")&amp;" Tahun, "&amp;DATEDIF(S1293,TODAY(),"YM")&amp;" Bulan, "&amp;DATEDIF(S1293,TODAY(),"MD")&amp;" Hari")</f>
        <v>32 Tahun, 8 Bulan, 5 Hari</v>
      </c>
      <c r="AC1293" s="18" t="n">
        <v>45672</v>
      </c>
      <c r="AD1293" s="18" t="n">
        <v>46036</v>
      </c>
      <c r="AE1293" s="18" t="s">
        <v>44</v>
      </c>
    </row>
    <row r="1294" customFormat="false" ht="15" hidden="false" customHeight="true" outlineLevel="0" collapsed="false">
      <c r="A1294" s="12" t="n">
        <v>14097</v>
      </c>
      <c r="B1294" s="13" t="s">
        <v>5683</v>
      </c>
      <c r="C1294" s="14" t="n">
        <v>45313</v>
      </c>
      <c r="D1294" s="13" t="s">
        <v>613</v>
      </c>
      <c r="E1294" s="15" t="s">
        <v>47</v>
      </c>
      <c r="F1294" s="15" t="str">
        <f aca="false">IFERROR(__xludf.dummyfunction("XLOOKUP(AJ1294,IMPORTRANGE(""1XaInW9DU9nz21V0tYIfzFQ0He9kVQ_JF2mCXgZ3hqFA"",""REKAP ALL 2026 - Andika!G:G""),IMPORTRANGE(""1XaInW9DU9nz21V0tYIfzFQ0He9kVQ_JF2mCXgZ3hqFA"",""REKAP ALL 2026 - Andika!F:F""),"""",0)"),"26005755231")</f>
        <v>26005755231</v>
      </c>
      <c r="G1294" s="13" t="s">
        <v>5684</v>
      </c>
      <c r="H1294" s="13" t="s">
        <v>35</v>
      </c>
      <c r="I1294" s="13" t="str">
        <f aca="false">IF(C1294=J1294,"NEW KONTRAK","RE-KONTRAK")</f>
        <v>RE-KONTRAK</v>
      </c>
      <c r="J1294" s="16" t="n">
        <f aca="false" t="array" ref="J1294:J1294">IFERROR(INDEX(AC1294:AE1294,IF(COUNTA(AC1294:AE1294)=0,"",MAX((AC1294:AE1294&lt;&gt;"")*(COLUMN(AC1294:AE1294)-(COLUMN(AC1294)))))-1),"")</f>
        <v>45704</v>
      </c>
      <c r="K1294" s="16" t="n">
        <f aca="false" t="array" ref="K1294:K1294">IFERROR(INDEX(AC1294:AE1294,IF(COUNTA(AC1294:AE1294)=0,"",MAX((AC1294:AE1294&lt;&gt;"")*(COLUMN(AC1294:AE1294)-(COLUMN(AC1294)-1))))-1),"")</f>
        <v>45884</v>
      </c>
      <c r="L1294" s="17" t="str">
        <f aca="false" t="array" ref="L1294:L1294">IFERROR(INDEX(AC1294:AE1294,IF(COUNTA(AC1294:AE1294)=0,"",MAX((AC1294:AE1294&lt;&gt;"")*(COLUMN(AC1294:AE1294)-(COLUMN(AC1294)-2))))-1),"")</f>
        <v>ARCHIVED</v>
      </c>
      <c r="M1294" s="13" t="n">
        <f aca="true">K1294-TODAY()</f>
        <v>-440</v>
      </c>
      <c r="N1294" s="18" t="s">
        <v>615</v>
      </c>
      <c r="O1294" s="13" t="s">
        <v>58</v>
      </c>
      <c r="P1294" s="19" t="n">
        <v>5176101</v>
      </c>
      <c r="Q1294" s="20" t="s">
        <v>5685</v>
      </c>
      <c r="R1294" s="13" t="s">
        <v>232</v>
      </c>
      <c r="S1294" s="14" t="n">
        <v>37554</v>
      </c>
      <c r="T1294" s="13" t="s">
        <v>40</v>
      </c>
      <c r="U1294" s="13" t="s">
        <v>617</v>
      </c>
      <c r="V1294" s="13" t="s">
        <v>42</v>
      </c>
      <c r="W1294" s="13" t="s">
        <v>43</v>
      </c>
      <c r="X1294" s="21" t="n">
        <v>82223908766</v>
      </c>
      <c r="Y1294" s="22" t="str">
        <f aca="false">O1294</f>
        <v>Produksi</v>
      </c>
      <c r="Z1294" s="13" t="str">
        <f aca="false">IFERROR(__xludf.dummyfunction("if(BJ1294="""","""",GOOGLETRANSLATE(BJ1294,""auto"",""en""))"),"Production")</f>
        <v>Production</v>
      </c>
      <c r="AA1294" s="23" t="str">
        <f aca="false">IF(C1294="","", CHOOSE(MONTH(C1294),"January","February","March","April","May","June","July","August","September","October","November","December")&amp;" "&amp;DAY(C1294)&amp;MID("thstndrdth",MIN(9,2*RIGHT(DAY(C1294))*(MOD(DAY(C1294)-11,100)&gt;2)+1),2)&amp;","&amp;TEXT(C1294," yyyy"))</f>
        <v>January 22nd,2024</v>
      </c>
      <c r="AB1294" s="15" t="str">
        <f aca="true">IF(S1294="","",DATEDIF(S1294,TODAY(),"Y")&amp;" Tahun, "&amp;DATEDIF(S1294,TODAY(),"YM")&amp;" Bulan, "&amp;DATEDIF(S1294,TODAY(),"MD")&amp;" Hari")</f>
        <v>24 Tahun, 0 Bulan, 4 Hari</v>
      </c>
      <c r="AC1294" s="18" t="n">
        <v>45704</v>
      </c>
      <c r="AD1294" s="18" t="n">
        <v>45884</v>
      </c>
      <c r="AE1294" s="18" t="s">
        <v>44</v>
      </c>
    </row>
    <row r="1295" customFormat="false" ht="15" hidden="false" customHeight="true" outlineLevel="0" collapsed="false">
      <c r="A1295" s="12" t="n">
        <v>14110</v>
      </c>
      <c r="B1295" s="13" t="s">
        <v>5686</v>
      </c>
      <c r="C1295" s="14" t="n">
        <v>45308</v>
      </c>
      <c r="D1295" s="13" t="s">
        <v>774</v>
      </c>
      <c r="E1295" s="15" t="s">
        <v>47</v>
      </c>
      <c r="F1295" s="15" t="str">
        <f aca="false">IFERROR(__xludf.dummyfunction("XLOOKUP(AJ1295,IMPORTRANGE(""1XaInW9DU9nz21V0tYIfzFQ0He9kVQ_JF2mCXgZ3hqFA"",""REKAP ALL 2026 - Andika!G:G""),IMPORTRANGE(""1XaInW9DU9nz21V0tYIfzFQ0He9kVQ_JF2mCXgZ3hqFA"",""REKAP ALL 2026 - Andika!F:F""),"""",0)"),"24033926981")</f>
        <v>24033926981</v>
      </c>
      <c r="G1295" s="13" t="s">
        <v>5687</v>
      </c>
      <c r="H1295" s="13" t="s">
        <v>2967</v>
      </c>
      <c r="I1295" s="13" t="str">
        <f aca="false">IF(C1295=J1295,"NEW KONTRAK","RE-KONTRAK")</f>
        <v>RE-KONTRAK</v>
      </c>
      <c r="J1295" s="16" t="n">
        <f aca="false" t="array" ref="J1295:J1295">IFERROR(INDEX(AC1295:AE1295,IF(COUNTA(AC1295:AE1295)=0,"",MAX((AC1295:AE1295&lt;&gt;"")*(COLUMN(AC1295:AE1295)-(COLUMN(AC1295)))))-1),"")</f>
        <v>45570</v>
      </c>
      <c r="K1295" s="16" t="n">
        <f aca="false" t="array" ref="K1295:K1295">IFERROR(INDEX(AC1295:AE1295,IF(COUNTA(AC1295:AE1295)=0,"",MAX((AC1295:AE1295&lt;&gt;"")*(COLUMN(AC1295:AE1295)-(COLUMN(AC1295)-1))))-1),"")</f>
        <v>45934</v>
      </c>
      <c r="L1295" s="17" t="str">
        <f aca="false" t="array" ref="L1295:L1295">IFERROR(INDEX(AC1295:AE1295,IF(COUNTA(AC1295:AE1295)=0,"",MAX((AC1295:AE1295&lt;&gt;"")*(COLUMN(AC1295:AE1295)-(COLUMN(AC1295)-2))))-1),"")</f>
        <v>ARCHIVED</v>
      </c>
      <c r="M1295" s="13" t="n">
        <f aca="true">K1295-TODAY()</f>
        <v>-390</v>
      </c>
      <c r="N1295" s="18" t="s">
        <v>36</v>
      </c>
      <c r="O1295" s="13" t="s">
        <v>750</v>
      </c>
      <c r="P1295" s="19" t="n">
        <v>3750000</v>
      </c>
      <c r="Q1295" s="20" t="s">
        <v>5688</v>
      </c>
      <c r="R1295" s="13" t="s">
        <v>65</v>
      </c>
      <c r="S1295" s="14" t="n">
        <v>36977</v>
      </c>
      <c r="T1295" s="13" t="s">
        <v>108</v>
      </c>
      <c r="U1295" s="13" t="s">
        <v>5689</v>
      </c>
      <c r="V1295" s="13" t="s">
        <v>42</v>
      </c>
      <c r="W1295" s="13" t="s">
        <v>43</v>
      </c>
      <c r="X1295" s="21" t="n">
        <v>85707078637</v>
      </c>
      <c r="Y1295" s="22" t="str">
        <f aca="false">O1295</f>
        <v>Admin</v>
      </c>
      <c r="Z1295" s="13" t="str">
        <f aca="false">IFERROR(__xludf.dummyfunction("if(BJ1295="""","""",GOOGLETRANSLATE(BJ1295,""auto"",""en""))"),"Admin")</f>
        <v>Admin</v>
      </c>
      <c r="AA1295" s="23" t="str">
        <f aca="false">IF(C1295="","", CHOOSE(MONTH(C1295),"January","February","March","April","May","June","July","August","September","October","November","December")&amp;" "&amp;DAY(C1295)&amp;MID("thstndrdth",MIN(9,2*RIGHT(DAY(C1295))*(MOD(DAY(C1295)-11,100)&gt;2)+1),2)&amp;","&amp;TEXT(C1295," yyyy"))</f>
        <v>January 17th,2024</v>
      </c>
      <c r="AB1295" s="15" t="str">
        <f aca="true">IF(S1295="","",DATEDIF(S1295,TODAY(),"Y")&amp;" Tahun, "&amp;DATEDIF(S1295,TODAY(),"YM")&amp;" Bulan, "&amp;DATEDIF(S1295,TODAY(),"MD")&amp;" Hari")</f>
        <v>25 Tahun, 7 Bulan, 2 Hari</v>
      </c>
      <c r="AC1295" s="18" t="n">
        <v>45570</v>
      </c>
      <c r="AD1295" s="18" t="n">
        <v>45934</v>
      </c>
      <c r="AE1295" s="18" t="s">
        <v>44</v>
      </c>
    </row>
    <row r="1296" customFormat="false" ht="15" hidden="false" customHeight="true" outlineLevel="0" collapsed="false">
      <c r="A1296" s="12" t="n">
        <v>14115</v>
      </c>
      <c r="B1296" s="13" t="s">
        <v>5690</v>
      </c>
      <c r="C1296" s="14" t="n">
        <v>45318</v>
      </c>
      <c r="D1296" s="13" t="s">
        <v>4610</v>
      </c>
      <c r="E1296" s="15" t="s">
        <v>47</v>
      </c>
      <c r="F1296" s="15" t="str">
        <f aca="false">IFERROR(__xludf.dummyfunction("XLOOKUP(AJ1296,IMPORTRANGE(""1XaInW9DU9nz21V0tYIfzFQ0He9kVQ_JF2mCXgZ3hqFA"",""REKAP ALL 2026 - Andika!G:G""),IMPORTRANGE(""1XaInW9DU9nz21V0tYIfzFQ0He9kVQ_JF2mCXgZ3hqFA"",""REKAP ALL 2026 - Andika!F:F""),"""",0)"),"24033926635")</f>
        <v>24033926635</v>
      </c>
      <c r="G1296" s="13" t="s">
        <v>57</v>
      </c>
      <c r="H1296" s="13" t="s">
        <v>35</v>
      </c>
      <c r="I1296" s="13" t="str">
        <f aca="false">IF(C1296=J1296,"NEW KONTRAK","RE-KONTRAK")</f>
        <v>RE-KONTRAK</v>
      </c>
      <c r="J1296" s="16" t="n">
        <f aca="false" t="array" ref="J1296:J1296">IFERROR(INDEX(AC1296:AE1296,IF(COUNTA(AC1296:AE1296)=0,"",MAX((AC1296:AE1296&lt;&gt;"")*(COLUMN(AC1296:AE1296)-(COLUMN(AC1296)))))-1),"")</f>
        <v>45764</v>
      </c>
      <c r="K1296" s="16" t="n">
        <f aca="false" t="array" ref="K1296:K1296">IFERROR(INDEX(AC1296:AE1296,IF(COUNTA(AC1296:AE1296)=0,"",MAX((AC1296:AE1296&lt;&gt;"")*(COLUMN(AC1296:AE1296)-(COLUMN(AC1296)-1))))-1),"")</f>
        <v>45946</v>
      </c>
      <c r="L1296" s="17" t="str">
        <f aca="false" t="array" ref="L1296:L1296">IFERROR(INDEX(AC1296:AE1296,IF(COUNTA(AC1296:AE1296)=0,"",MAX((AC1296:AE1296&lt;&gt;"")*(COLUMN(AC1296:AE1296)-(COLUMN(AC1296)-2))))-1),"")</f>
        <v>ARCHIVED</v>
      </c>
      <c r="M1296" s="13" t="n">
        <f aca="true">K1296-TODAY()</f>
        <v>-378</v>
      </c>
      <c r="N1296" s="18" t="s">
        <v>36</v>
      </c>
      <c r="O1296" s="13" t="s">
        <v>4280</v>
      </c>
      <c r="P1296" s="27" t="n">
        <v>120000</v>
      </c>
      <c r="Q1296" s="20" t="s">
        <v>5691</v>
      </c>
      <c r="R1296" s="13" t="s">
        <v>39</v>
      </c>
      <c r="S1296" s="14" t="n">
        <v>32681</v>
      </c>
      <c r="T1296" s="13" t="s">
        <v>108</v>
      </c>
      <c r="U1296" s="13" t="s">
        <v>5692</v>
      </c>
      <c r="V1296" s="13" t="s">
        <v>42</v>
      </c>
      <c r="W1296" s="13" t="s">
        <v>54</v>
      </c>
      <c r="X1296" s="21" t="n">
        <v>85730731155</v>
      </c>
      <c r="Y1296" s="22" t="str">
        <f aca="false">O1296</f>
        <v>Helper Cutting</v>
      </c>
      <c r="Z1296" s="13" t="str">
        <f aca="false">IFERROR(__xludf.dummyfunction("if(BJ1296="""","""",GOOGLETRANSLATE(BJ1296,""auto"",""en""))"),"Helper Cutting")</f>
        <v>Helper Cutting</v>
      </c>
      <c r="AA1296" s="23" t="str">
        <f aca="false">IF(C1296="","", CHOOSE(MONTH(C1296),"January","February","March","April","May","June","July","August","September","October","November","December")&amp;" "&amp;DAY(C1296)&amp;MID("thstndrdth",MIN(9,2*RIGHT(DAY(C1296))*(MOD(DAY(C1296)-11,100)&gt;2)+1),2)&amp;","&amp;TEXT(C1296," yyyy"))</f>
        <v>January 27th,2024</v>
      </c>
      <c r="AB1296" s="15" t="str">
        <f aca="true">IF(S1296="","",DATEDIF(S1296,TODAY(),"Y")&amp;" Tahun, "&amp;DATEDIF(S1296,TODAY(),"YM")&amp;" Bulan, "&amp;DATEDIF(S1296,TODAY(),"MD")&amp;" Hari")</f>
        <v>37 Tahun, 4 Bulan, 7 Hari</v>
      </c>
      <c r="AC1296" s="18" t="n">
        <v>45764</v>
      </c>
      <c r="AD1296" s="18" t="n">
        <v>45946</v>
      </c>
      <c r="AE1296" s="18" t="s">
        <v>44</v>
      </c>
    </row>
    <row r="1297" customFormat="false" ht="15" hidden="false" customHeight="true" outlineLevel="0" collapsed="false">
      <c r="A1297" s="12" t="n">
        <v>14120</v>
      </c>
      <c r="B1297" s="13" t="s">
        <v>5693</v>
      </c>
      <c r="C1297" s="14" t="n">
        <v>45320</v>
      </c>
      <c r="D1297" s="13" t="s">
        <v>404</v>
      </c>
      <c r="E1297" s="15" t="s">
        <v>47</v>
      </c>
      <c r="F1297" s="15" t="str">
        <f aca="false">IFERROR(__xludf.dummyfunction("XLOOKUP(AJ1297,IMPORTRANGE(""1XaInW9DU9nz21V0tYIfzFQ0He9kVQ_JF2mCXgZ3hqFA"",""REKAP ALL 2026 - Andika!G:G""),IMPORTRANGE(""1XaInW9DU9nz21V0tYIfzFQ0He9kVQ_JF2mCXgZ3hqFA"",""REKAP ALL 2026 - Andika!F:F""),"""",0)"),"24033923384")</f>
        <v>24033923384</v>
      </c>
      <c r="G1297" s="47" t="s">
        <v>5694</v>
      </c>
      <c r="H1297" s="13" t="s">
        <v>35</v>
      </c>
      <c r="I1297" s="13" t="str">
        <f aca="false">IF(C1297=J1297,"NEW KONTRAK","RE-KONTRAK")</f>
        <v>RE-KONTRAK</v>
      </c>
      <c r="J1297" s="16" t="n">
        <f aca="false" t="array" ref="J1297:J1297">IFERROR(INDEX(AC1297:AE1297,IF(COUNTA(AC1297:AE1297)=0,"",MAX((AC1297:AE1297&lt;&gt;"")*(COLUMN(AC1297:AE1297)-(COLUMN(AC1297)))))-1),"")</f>
        <v>45658</v>
      </c>
      <c r="K1297" s="16" t="n">
        <f aca="false" t="array" ref="K1297:K1297">IFERROR(INDEX(AC1297:AE1297,IF(COUNTA(AC1297:AE1297)=0,"",MAX((AC1297:AE1297&lt;&gt;"")*(COLUMN(AC1297:AE1297)-(COLUMN(AC1297)-1))))-1),"")</f>
        <v>46022</v>
      </c>
      <c r="L1297" s="17" t="str">
        <f aca="false" t="array" ref="L1297:L1297">IFERROR(INDEX(AC1297:AE1297,IF(COUNTA(AC1297:AE1297)=0,"",MAX((AC1297:AE1297&lt;&gt;"")*(COLUMN(AC1297:AE1297)-(COLUMN(AC1297)-2))))-1),"")</f>
        <v>ARCHIVED</v>
      </c>
      <c r="M1297" s="13" t="n">
        <f aca="true">K1297-TODAY()</f>
        <v>-302</v>
      </c>
      <c r="N1297" s="18" t="s">
        <v>36</v>
      </c>
      <c r="O1297" s="13" t="s">
        <v>5695</v>
      </c>
      <c r="P1297" s="26" t="n">
        <v>5195401</v>
      </c>
      <c r="Q1297" s="20" t="s">
        <v>5696</v>
      </c>
      <c r="R1297" s="13" t="s">
        <v>65</v>
      </c>
      <c r="S1297" s="14" t="n">
        <v>37726</v>
      </c>
      <c r="T1297" s="13" t="s">
        <v>40</v>
      </c>
      <c r="U1297" s="13" t="s">
        <v>5697</v>
      </c>
      <c r="V1297" s="13" t="s">
        <v>42</v>
      </c>
      <c r="W1297" s="13" t="s">
        <v>43</v>
      </c>
      <c r="X1297" s="21" t="n">
        <v>85806678700</v>
      </c>
      <c r="Y1297" s="22" t="str">
        <f aca="false">O1297</f>
        <v>HSE</v>
      </c>
      <c r="Z1297" s="13" t="str">
        <f aca="false">IFERROR(__xludf.dummyfunction("if(BJ1297="""","""",GOOGLETRANSLATE(BJ1297,""auto"",""en""))"),"HSE")</f>
        <v>HSE</v>
      </c>
      <c r="AA1297" s="23" t="str">
        <f aca="false">IF(C1297="","", CHOOSE(MONTH(C1297),"January","February","March","April","May","June","July","August","September","October","November","December")&amp;" "&amp;DAY(C1297)&amp;MID("thstndrdth",MIN(9,2*RIGHT(DAY(C1297))*(MOD(DAY(C1297)-11,100)&gt;2)+1),2)&amp;","&amp;TEXT(C1297," yyyy"))</f>
        <v>January 29th,2024</v>
      </c>
      <c r="AB1297" s="15" t="str">
        <f aca="true">IF(S1297="","",DATEDIF(S1297,TODAY(),"Y")&amp;" Tahun, "&amp;DATEDIF(S1297,TODAY(),"YM")&amp;" Bulan, "&amp;DATEDIF(S1297,TODAY(),"MD")&amp;" Hari")</f>
        <v>23 Tahun, 6 Bulan, 14 Hari</v>
      </c>
      <c r="AC1297" s="18" t="n">
        <v>45658</v>
      </c>
      <c r="AD1297" s="18" t="n">
        <v>46022</v>
      </c>
      <c r="AE1297" s="18" t="s">
        <v>44</v>
      </c>
    </row>
    <row r="1298" customFormat="false" ht="15" hidden="false" customHeight="true" outlineLevel="0" collapsed="false">
      <c r="A1298" s="12" t="n">
        <v>14132</v>
      </c>
      <c r="B1298" s="13" t="s">
        <v>5698</v>
      </c>
      <c r="C1298" s="14" t="n">
        <v>45323</v>
      </c>
      <c r="D1298" s="13" t="s">
        <v>3712</v>
      </c>
      <c r="E1298" s="15" t="s">
        <v>102</v>
      </c>
      <c r="F1298" s="15" t="str">
        <f aca="false">IFERROR(__xludf.dummyfunction("XLOOKUP(AJ1298,IMPORTRANGE(""1XaInW9DU9nz21V0tYIfzFQ0He9kVQ_JF2mCXgZ3hqFA"",""REKAP ALL 2026 - Andika!G:G""),IMPORTRANGE(""1XaInW9DU9nz21V0tYIfzFQ0He9kVQ_JF2mCXgZ3hqFA"",""REKAP ALL 2026 - Andika!F:F""),"""",0)"),"24033238122")</f>
        <v>24033238122</v>
      </c>
      <c r="G1298" s="13" t="s">
        <v>5699</v>
      </c>
      <c r="H1298" s="13" t="s">
        <v>35</v>
      </c>
      <c r="I1298" s="13" t="str">
        <f aca="false">IF(C1298=J1298,"NEW KONTRAK","RE-KONTRAK")</f>
        <v>RE-KONTRAK</v>
      </c>
      <c r="J1298" s="16" t="n">
        <f aca="false" t="array" ref="J1298:J1298">IFERROR(INDEX(AC1298:AE1298,IF(COUNTA(AC1298:AE1298)=0,"",MAX((AC1298:AE1298&lt;&gt;"")*(COLUMN(AC1298:AE1298)-(COLUMN(AC1298)))))-1),"")</f>
        <v>45658</v>
      </c>
      <c r="K1298" s="16" t="n">
        <f aca="false" t="array" ref="K1298:K1298">IFERROR(INDEX(AC1298:AE1298,IF(COUNTA(AC1298:AE1298)=0,"",MAX((AC1298:AE1298&lt;&gt;"")*(COLUMN(AC1298:AE1298)-(COLUMN(AC1298)-1))))-1),"")</f>
        <v>45975</v>
      </c>
      <c r="L1298" s="17" t="str">
        <f aca="false" t="array" ref="L1298:L1298">IFERROR(INDEX(AC1298:AE1298,IF(COUNTA(AC1298:AE1298)=0,"",MAX((AC1298:AE1298&lt;&gt;"")*(COLUMN(AC1298:AE1298)-(COLUMN(AC1298)-2))))-1),"")</f>
        <v>ARCHIVED</v>
      </c>
      <c r="M1298" s="13" t="n">
        <f aca="true">K1298-TODAY()</f>
        <v>-349</v>
      </c>
      <c r="N1298" s="18" t="s">
        <v>3714</v>
      </c>
      <c r="O1298" s="13" t="s">
        <v>3577</v>
      </c>
      <c r="P1298" s="19" t="n">
        <v>2528004</v>
      </c>
      <c r="Q1298" s="20" t="s">
        <v>5700</v>
      </c>
      <c r="R1298" s="13" t="s">
        <v>2855</v>
      </c>
      <c r="S1298" s="14" t="n">
        <v>35328</v>
      </c>
      <c r="T1298" s="13" t="s">
        <v>40</v>
      </c>
      <c r="U1298" s="13" t="s">
        <v>5701</v>
      </c>
      <c r="V1298" s="13" t="s">
        <v>42</v>
      </c>
      <c r="W1298" s="13" t="s">
        <v>43</v>
      </c>
      <c r="X1298" s="21" t="n">
        <v>895325949912</v>
      </c>
      <c r="Y1298" s="22" t="str">
        <f aca="false">O1298</f>
        <v>Kerani Gudang</v>
      </c>
      <c r="Z1298" s="13" t="str">
        <f aca="false">IFERROR(__xludf.dummyfunction("if(BJ1298="""","""",GOOGLETRANSLATE(BJ1298,""auto"",""en""))"),"Warehouse Clerk")</f>
        <v>Warehouse Clerk</v>
      </c>
      <c r="AA1298" s="23" t="str">
        <f aca="false">IF(C1298="","", CHOOSE(MONTH(C1298),"January","February","March","April","May","June","July","August","September","October","November","December")&amp;" "&amp;DAY(C1298)&amp;MID("thstndrdth",MIN(9,2*RIGHT(DAY(C1298))*(MOD(DAY(C1298)-11,100)&gt;2)+1),2)&amp;","&amp;TEXT(C1298," yyyy"))</f>
        <v>February 1st,2024</v>
      </c>
      <c r="AB1298" s="15" t="str">
        <f aca="true">IF(S1298="","",DATEDIF(S1298,TODAY(),"Y")&amp;" Tahun, "&amp;DATEDIF(S1298,TODAY(),"YM")&amp;" Bulan, "&amp;DATEDIF(S1298,TODAY(),"MD")&amp;" Hari")</f>
        <v>30 Tahun, 1 Bulan, 9 Hari</v>
      </c>
      <c r="AC1298" s="18" t="n">
        <v>45658</v>
      </c>
      <c r="AD1298" s="18" t="n">
        <v>45975</v>
      </c>
      <c r="AE1298" s="18" t="s">
        <v>44</v>
      </c>
    </row>
    <row r="1299" customFormat="false" ht="15" hidden="false" customHeight="true" outlineLevel="0" collapsed="false">
      <c r="A1299" s="12" t="n">
        <v>14133</v>
      </c>
      <c r="B1299" s="13" t="s">
        <v>5702</v>
      </c>
      <c r="C1299" s="14" t="n">
        <v>45324</v>
      </c>
      <c r="D1299" s="13" t="s">
        <v>404</v>
      </c>
      <c r="E1299" s="15" t="s">
        <v>47</v>
      </c>
      <c r="F1299" s="15" t="str">
        <f aca="false">IFERROR(__xludf.dummyfunction("XLOOKUP(AJ1299,IMPORTRANGE(""1XaInW9DU9nz21V0tYIfzFQ0He9kVQ_JF2mCXgZ3hqFA"",""REKAP ALL 2026 - Andika!G:G""),IMPORTRANGE(""1XaInW9DU9nz21V0tYIfzFQ0He9kVQ_JF2mCXgZ3hqFA"",""REKAP ALL 2026 - Andika!F:F""),"""",0)"),"24033923418")</f>
        <v>24033923418</v>
      </c>
      <c r="G1299" s="13" t="s">
        <v>5703</v>
      </c>
      <c r="H1299" s="13" t="s">
        <v>35</v>
      </c>
      <c r="I1299" s="13" t="str">
        <f aca="false">IF(C1299=J1299,"NEW KONTRAK","RE-KONTRAK")</f>
        <v>RE-KONTRAK</v>
      </c>
      <c r="J1299" s="16" t="n">
        <f aca="false" t="array" ref="J1299:J1299">IFERROR(INDEX(AC1299:AE1299,IF(COUNTA(AC1299:AE1299)=0,"",MAX((AC1299:AE1299&lt;&gt;"")*(COLUMN(AC1299:AE1299)-(COLUMN(AC1299)))))-1),"")</f>
        <v>45658</v>
      </c>
      <c r="K1299" s="16" t="n">
        <f aca="false" t="array" ref="K1299:K1299">IFERROR(INDEX(AC1299:AE1299,IF(COUNTA(AC1299:AE1299)=0,"",MAX((AC1299:AE1299&lt;&gt;"")*(COLUMN(AC1299:AE1299)-(COLUMN(AC1299)-1))))-1),"")</f>
        <v>46022</v>
      </c>
      <c r="L1299" s="17" t="str">
        <f aca="false" t="array" ref="L1299:L1299">IFERROR(INDEX(AC1299:AE1299,IF(COUNTA(AC1299:AE1299)=0,"",MAX((AC1299:AE1299&lt;&gt;"")*(COLUMN(AC1299:AE1299)-(COLUMN(AC1299)-2))))-1),"")</f>
        <v>ARCHIVED</v>
      </c>
      <c r="M1299" s="13" t="n">
        <f aca="true">K1299-TODAY()</f>
        <v>-302</v>
      </c>
      <c r="N1299" s="18" t="s">
        <v>36</v>
      </c>
      <c r="O1299" s="13" t="s">
        <v>3097</v>
      </c>
      <c r="P1299" s="26" t="n">
        <v>5195401</v>
      </c>
      <c r="Q1299" s="20" t="s">
        <v>5704</v>
      </c>
      <c r="R1299" s="13" t="s">
        <v>78</v>
      </c>
      <c r="S1299" s="14" t="n">
        <v>36677</v>
      </c>
      <c r="T1299" s="13" t="s">
        <v>40</v>
      </c>
      <c r="U1299" s="13" t="s">
        <v>5705</v>
      </c>
      <c r="V1299" s="13" t="s">
        <v>42</v>
      </c>
      <c r="W1299" s="13" t="s">
        <v>43</v>
      </c>
      <c r="X1299" s="21" t="n">
        <v>8885458652</v>
      </c>
      <c r="Y1299" s="22" t="str">
        <f aca="false">O1299</f>
        <v>Engineering</v>
      </c>
      <c r="Z1299" s="13" t="str">
        <f aca="false">IFERROR(__xludf.dummyfunction("if(BJ1299="""","""",GOOGLETRANSLATE(BJ1299,""auto"",""en""))"),"Engineering")</f>
        <v>Engineering</v>
      </c>
      <c r="AA1299" s="23" t="str">
        <f aca="false">IF(C1299="","", CHOOSE(MONTH(C1299),"January","February","March","April","May","June","July","August","September","October","November","December")&amp;" "&amp;DAY(C1299)&amp;MID("thstndrdth",MIN(9,2*RIGHT(DAY(C1299))*(MOD(DAY(C1299)-11,100)&gt;2)+1),2)&amp;","&amp;TEXT(C1299," yyyy"))</f>
        <v>February 2nd,2024</v>
      </c>
      <c r="AB1299" s="15" t="str">
        <f aca="true">IF(S1299="","",DATEDIF(S1299,TODAY(),"Y")&amp;" Tahun, "&amp;DATEDIF(S1299,TODAY(),"YM")&amp;" Bulan, "&amp;DATEDIF(S1299,TODAY(),"MD")&amp;" Hari")</f>
        <v>26 Tahun, 4 Bulan, 28 Hari</v>
      </c>
      <c r="AC1299" s="18" t="n">
        <v>45658</v>
      </c>
      <c r="AD1299" s="18" t="n">
        <v>46022</v>
      </c>
      <c r="AE1299" s="18" t="s">
        <v>44</v>
      </c>
    </row>
    <row r="1300" customFormat="false" ht="15" hidden="false" customHeight="true" outlineLevel="0" collapsed="false">
      <c r="A1300" s="12" t="n">
        <v>14347</v>
      </c>
      <c r="B1300" s="13" t="s">
        <v>5706</v>
      </c>
      <c r="C1300" s="14" t="n">
        <v>45328</v>
      </c>
      <c r="D1300" s="13" t="s">
        <v>774</v>
      </c>
      <c r="E1300" s="15" t="s">
        <v>47</v>
      </c>
      <c r="F1300" s="15" t="str">
        <f aca="false">IFERROR(__xludf.dummyfunction("XLOOKUP(AJ1300,IMPORTRANGE(""1XaInW9DU9nz21V0tYIfzFQ0He9kVQ_JF2mCXgZ3hqFA"",""REKAP ALL 2026 - Andika!G:G""),IMPORTRANGE(""1XaInW9DU9nz21V0tYIfzFQ0He9kVQ_JF2mCXgZ3hqFA"",""REKAP ALL 2026 - Andika!F:F""),"""",0)"),"24033924309")</f>
        <v>24033924309</v>
      </c>
      <c r="G1300" s="13" t="s">
        <v>5707</v>
      </c>
      <c r="H1300" s="13" t="s">
        <v>49</v>
      </c>
      <c r="I1300" s="13" t="str">
        <f aca="false">IF(C1300=J1300,"NEW KONTRAK","RE-KONTRAK")</f>
        <v>RE-KONTRAK</v>
      </c>
      <c r="J1300" s="16" t="n">
        <f aca="false" t="array" ref="J1300:J1300">IFERROR(INDEX(AC1300:AE1300,IF(COUNTA(AC1300:AE1300)=0,"",MAX((AC1300:AE1300&lt;&gt;"")*(COLUMN(AC1300:AE1300)-(COLUMN(AC1300)))))-1),"")</f>
        <v>45566</v>
      </c>
      <c r="K1300" s="16" t="n">
        <f aca="false" t="array" ref="K1300:K1300">IFERROR(INDEX(AC1300:AE1300,IF(COUNTA(AC1300:AE1300)=0,"",MAX((AC1300:AE1300&lt;&gt;"")*(COLUMN(AC1300:AE1300)-(COLUMN(AC1300)-1))))-1),"")</f>
        <v>45930</v>
      </c>
      <c r="L1300" s="17" t="str">
        <f aca="false" t="array" ref="L1300:L1300">IFERROR(INDEX(AC1300:AE1300,IF(COUNTA(AC1300:AE1300)=0,"",MAX((AC1300:AE1300&lt;&gt;"")*(COLUMN(AC1300:AE1300)-(COLUMN(AC1300)-2))))-1),"")</f>
        <v>ARCHIVED</v>
      </c>
      <c r="M1300" s="13" t="n">
        <f aca="true">K1300-TODAY()</f>
        <v>-394</v>
      </c>
      <c r="N1300" s="18" t="s">
        <v>36</v>
      </c>
      <c r="O1300" s="13" t="s">
        <v>298</v>
      </c>
      <c r="P1300" s="19" t="n">
        <v>4000000</v>
      </c>
      <c r="Q1300" s="20" t="s">
        <v>5708</v>
      </c>
      <c r="R1300" s="13" t="s">
        <v>232</v>
      </c>
      <c r="S1300" s="14" t="n">
        <v>34227</v>
      </c>
      <c r="T1300" s="13" t="s">
        <v>40</v>
      </c>
      <c r="U1300" s="13" t="s">
        <v>5709</v>
      </c>
      <c r="V1300" s="13" t="s">
        <v>42</v>
      </c>
      <c r="W1300" s="13" t="s">
        <v>54</v>
      </c>
      <c r="X1300" s="21" t="n">
        <v>89522585809</v>
      </c>
      <c r="Y1300" s="22" t="str">
        <f aca="false">O1300</f>
        <v>Maintenance</v>
      </c>
      <c r="Z1300" s="13" t="str">
        <f aca="false">IFERROR(__xludf.dummyfunction("if(BJ1300="""","""",GOOGLETRANSLATE(BJ1300,""auto"",""en""))"),"Maintenance")</f>
        <v>Maintenance</v>
      </c>
      <c r="AA1300" s="23" t="str">
        <f aca="false">IF(C1300="","", CHOOSE(MONTH(C1300),"January","February","March","April","May","June","July","August","September","October","November","December")&amp;" "&amp;DAY(C1300)&amp;MID("thstndrdth",MIN(9,2*RIGHT(DAY(C1300))*(MOD(DAY(C1300)-11,100)&gt;2)+1),2)&amp;","&amp;TEXT(C1300," yyyy"))</f>
        <v>February 6th,2024</v>
      </c>
      <c r="AB1300" s="15" t="str">
        <f aca="true">IF(S1300="","",DATEDIF(S1300,TODAY(),"Y")&amp;" Tahun, "&amp;DATEDIF(S1300,TODAY(),"YM")&amp;" Bulan, "&amp;DATEDIF(S1300,TODAY(),"MD")&amp;" Hari")</f>
        <v>33 Tahun, 1 Bulan, 14 Hari</v>
      </c>
      <c r="AC1300" s="18" t="n">
        <v>45566</v>
      </c>
      <c r="AD1300" s="18" t="n">
        <v>45930</v>
      </c>
      <c r="AE1300" s="18" t="s">
        <v>44</v>
      </c>
    </row>
    <row r="1301" customFormat="false" ht="15" hidden="false" customHeight="true" outlineLevel="0" collapsed="false">
      <c r="A1301" s="12" t="n">
        <v>14348</v>
      </c>
      <c r="B1301" s="13" t="s">
        <v>5710</v>
      </c>
      <c r="C1301" s="14" t="n">
        <v>45329</v>
      </c>
      <c r="D1301" s="13" t="s">
        <v>3022</v>
      </c>
      <c r="E1301" s="15" t="s">
        <v>33</v>
      </c>
      <c r="F1301" s="24" t="s">
        <v>5711</v>
      </c>
      <c r="G1301" s="13" t="s">
        <v>5712</v>
      </c>
      <c r="H1301" s="13" t="s">
        <v>49</v>
      </c>
      <c r="I1301" s="13" t="str">
        <f aca="false">IF(C1301=J1301,"NEW KONTRAK","RE-KONTRAK")</f>
        <v>RE-KONTRAK</v>
      </c>
      <c r="J1301" s="16" t="n">
        <f aca="false" t="array" ref="J1301:J1301">IFERROR(INDEX(AC1301:AE1301,IF(COUNTA(AC1301:AE1301)=0,"",MAX((AC1301:AE1301&lt;&gt;"")*(COLUMN(AC1301:AE1301)-(COLUMN(AC1301)))))-1),"")</f>
        <v>45566</v>
      </c>
      <c r="K1301" s="16" t="n">
        <f aca="false" t="array" ref="K1301:K1301">IFERROR(INDEX(AC1301:AE1301,IF(COUNTA(AC1301:AE1301)=0,"",MAX((AC1301:AE1301&lt;&gt;"")*(COLUMN(AC1301:AE1301)-(COLUMN(AC1301)-1))))-1),"")</f>
        <v>45930</v>
      </c>
      <c r="L1301" s="17" t="str">
        <f aca="false" t="array" ref="L1301:L1301">IFERROR(INDEX(AC1301:AE1301,IF(COUNTA(AC1301:AE1301)=0,"",MAX((AC1301:AE1301&lt;&gt;"")*(COLUMN(AC1301:AE1301)-(COLUMN(AC1301)-2))))-1),"")</f>
        <v>ARCHIVED</v>
      </c>
      <c r="M1301" s="13" t="n">
        <f aca="true">K1301-TODAY()</f>
        <v>-394</v>
      </c>
      <c r="N1301" s="18" t="s">
        <v>36</v>
      </c>
      <c r="O1301" s="13" t="s">
        <v>5713</v>
      </c>
      <c r="P1301" s="19" t="n">
        <v>125000</v>
      </c>
      <c r="Q1301" s="20" t="s">
        <v>5714</v>
      </c>
      <c r="R1301" s="13" t="s">
        <v>65</v>
      </c>
      <c r="S1301" s="14" t="n">
        <v>32574</v>
      </c>
      <c r="T1301" s="13" t="s">
        <v>40</v>
      </c>
      <c r="U1301" s="13" t="s">
        <v>5715</v>
      </c>
      <c r="V1301" s="13" t="s">
        <v>42</v>
      </c>
      <c r="W1301" s="13" t="s">
        <v>54</v>
      </c>
      <c r="X1301" s="21" t="n">
        <v>85751942047</v>
      </c>
      <c r="Y1301" s="22" t="str">
        <f aca="false">O1301</f>
        <v>Produksi Cutting</v>
      </c>
      <c r="Z1301" s="13" t="str">
        <f aca="false">IFERROR(__xludf.dummyfunction("if(BJ1301="""","""",GOOGLETRANSLATE(BJ1301,""auto"",""en""))"),"Cutting Production")</f>
        <v>Cutting Production</v>
      </c>
      <c r="AA1301" s="23" t="str">
        <f aca="false">IF(C1301="","", CHOOSE(MONTH(C1301),"January","February","March","April","May","June","July","August","September","October","November","December")&amp;" "&amp;DAY(C1301)&amp;MID("thstndrdth",MIN(9,2*RIGHT(DAY(C1301))*(MOD(DAY(C1301)-11,100)&gt;2)+1),2)&amp;","&amp;TEXT(C1301," yyyy"))</f>
        <v>February 7th,2024</v>
      </c>
      <c r="AB1301" s="15" t="str">
        <f aca="true">IF(S1301="","",DATEDIF(S1301,TODAY(),"Y")&amp;" Tahun, "&amp;DATEDIF(S1301,TODAY(),"YM")&amp;" Bulan, "&amp;DATEDIF(S1301,TODAY(),"MD")&amp;" Hari")</f>
        <v>37 Tahun, 7 Bulan, 22 Hari</v>
      </c>
      <c r="AC1301" s="18" t="n">
        <v>45566</v>
      </c>
      <c r="AD1301" s="18" t="n">
        <v>45930</v>
      </c>
      <c r="AE1301" s="18" t="s">
        <v>44</v>
      </c>
    </row>
    <row r="1302" customFormat="false" ht="15" hidden="false" customHeight="true" outlineLevel="0" collapsed="false">
      <c r="A1302" s="12" t="n">
        <v>14349</v>
      </c>
      <c r="B1302" s="13" t="s">
        <v>5716</v>
      </c>
      <c r="C1302" s="14" t="n">
        <v>45334</v>
      </c>
      <c r="D1302" s="13" t="s">
        <v>1066</v>
      </c>
      <c r="E1302" s="15" t="s">
        <v>33</v>
      </c>
      <c r="F1302" s="24" t="s">
        <v>5717</v>
      </c>
      <c r="G1302" s="13" t="s">
        <v>5718</v>
      </c>
      <c r="H1302" s="13" t="s">
        <v>35</v>
      </c>
      <c r="I1302" s="13" t="str">
        <f aca="false">IF(C1302=J1302,"NEW KONTRAK","RE-KONTRAK")</f>
        <v>RE-KONTRAK</v>
      </c>
      <c r="J1302" s="16" t="n">
        <f aca="false" t="array" ref="J1302:J1302">IFERROR(INDEX(AC1302:AE1302,IF(COUNTA(AC1302:AE1302)=0,"",MAX((AC1302:AE1302&lt;&gt;"")*(COLUMN(AC1302:AE1302)-(COLUMN(AC1302)))))-1),"")</f>
        <v>45658</v>
      </c>
      <c r="K1302" s="16" t="n">
        <f aca="false" t="array" ref="K1302:K1302">IFERROR(INDEX(AC1302:AE1302,IF(COUNTA(AC1302:AE1302)=0,"",MAX((AC1302:AE1302&lt;&gt;"")*(COLUMN(AC1302:AE1302)-(COLUMN(AC1302)-1))))-1),"")</f>
        <v>46022</v>
      </c>
      <c r="L1302" s="17" t="str">
        <f aca="false" t="array" ref="L1302:L1302">IFERROR(INDEX(AC1302:AE1302,IF(COUNTA(AC1302:AE1302)=0,"",MAX((AC1302:AE1302&lt;&gt;"")*(COLUMN(AC1302:AE1302)-(COLUMN(AC1302)-2))))-1),"")</f>
        <v>ARCHIVED</v>
      </c>
      <c r="M1302" s="13" t="n">
        <f aca="true">K1302-TODAY()</f>
        <v>-302</v>
      </c>
      <c r="N1302" s="18" t="s">
        <v>615</v>
      </c>
      <c r="O1302" s="13" t="s">
        <v>1287</v>
      </c>
      <c r="P1302" s="19" t="n">
        <v>4856026</v>
      </c>
      <c r="Q1302" s="20" t="s">
        <v>5719</v>
      </c>
      <c r="R1302" s="13" t="s">
        <v>232</v>
      </c>
      <c r="S1302" s="14" t="n">
        <v>35674</v>
      </c>
      <c r="T1302" s="13" t="s">
        <v>40</v>
      </c>
      <c r="U1302" s="13" t="s">
        <v>5720</v>
      </c>
      <c r="V1302" s="13" t="s">
        <v>42</v>
      </c>
      <c r="W1302" s="13" t="s">
        <v>54</v>
      </c>
      <c r="X1302" s="21" t="n">
        <v>87755154820</v>
      </c>
      <c r="Y1302" s="22" t="str">
        <f aca="false">O1302</f>
        <v>Office Boy</v>
      </c>
      <c r="Z1302" s="13" t="str">
        <f aca="false">IFERROR(__xludf.dummyfunction("if(BJ1302="""","""",GOOGLETRANSLATE(BJ1302,""auto"",""en""))"),"Office Boy")</f>
        <v>Office Boy</v>
      </c>
      <c r="AA1302" s="23" t="str">
        <f aca="false">IF(C1302="","", CHOOSE(MONTH(C1302),"January","February","March","April","May","June","July","August","September","October","November","December")&amp;" "&amp;DAY(C1302)&amp;MID("thstndrdth",MIN(9,2*RIGHT(DAY(C1302))*(MOD(DAY(C1302)-11,100)&gt;2)+1),2)&amp;","&amp;TEXT(C1302," yyyy"))</f>
        <v>February 12th,2024</v>
      </c>
      <c r="AB1302" s="15" t="str">
        <f aca="true">IF(S1302="","",DATEDIF(S1302,TODAY(),"Y")&amp;" Tahun, "&amp;DATEDIF(S1302,TODAY(),"YM")&amp;" Bulan, "&amp;DATEDIF(S1302,TODAY(),"MD")&amp;" Hari")</f>
        <v>29 Tahun, 1 Bulan, 28 Hari</v>
      </c>
      <c r="AC1302" s="18" t="n">
        <v>45658</v>
      </c>
      <c r="AD1302" s="18" t="n">
        <v>46022</v>
      </c>
      <c r="AE1302" s="18" t="s">
        <v>44</v>
      </c>
    </row>
    <row r="1303" customFormat="false" ht="15" hidden="false" customHeight="true" outlineLevel="0" collapsed="false">
      <c r="A1303" s="12" t="n">
        <v>14350</v>
      </c>
      <c r="B1303" s="13" t="s">
        <v>5721</v>
      </c>
      <c r="C1303" s="14" t="n">
        <v>45334</v>
      </c>
      <c r="D1303" s="13" t="s">
        <v>1066</v>
      </c>
      <c r="E1303" s="15" t="s">
        <v>102</v>
      </c>
      <c r="F1303" s="15" t="str">
        <f aca="false">IFERROR(__xludf.dummyfunction("XLOOKUP(AJ1303,IMPORTRANGE(""1XaInW9DU9nz21V0tYIfzFQ0He9kVQ_JF2mCXgZ3hqFA"",""REKAP ALL 2026 - Andika!G:G""),IMPORTRANGE(""1XaInW9DU9nz21V0tYIfzFQ0He9kVQ_JF2mCXgZ3hqFA"",""REKAP ALL 2026 - Andika!F:F""),"""",0)"),"24033238189")</f>
        <v>24033238189</v>
      </c>
      <c r="G1303" s="15" t="s">
        <v>5722</v>
      </c>
      <c r="H1303" s="13" t="s">
        <v>35</v>
      </c>
      <c r="I1303" s="13" t="str">
        <f aca="false">IF(C1303=J1303,"NEW KONTRAK","RE-KONTRAK")</f>
        <v>RE-KONTRAK</v>
      </c>
      <c r="J1303" s="16" t="n">
        <f aca="false" t="array" ref="J1303:J1303">IFERROR(INDEX(AC1303:AE1303,IF(COUNTA(AC1303:AE1303)=0,"",MAX((AC1303:AE1303&lt;&gt;"")*(COLUMN(AC1303:AE1303)-(COLUMN(AC1303)))))-1),"")</f>
        <v>45658</v>
      </c>
      <c r="K1303" s="16" t="n">
        <f aca="false" t="array" ref="K1303:K1303">IFERROR(INDEX(AC1303:AE1303,IF(COUNTA(AC1303:AE1303)=0,"",MAX((AC1303:AE1303&lt;&gt;"")*(COLUMN(AC1303:AE1303)-(COLUMN(AC1303)-1))))-1),"")</f>
        <v>46022</v>
      </c>
      <c r="L1303" s="17" t="str">
        <f aca="false" t="array" ref="L1303:L1303">IFERROR(INDEX(AC1303:AE1303,IF(COUNTA(AC1303:AE1303)=0,"",MAX((AC1303:AE1303&lt;&gt;"")*(COLUMN(AC1303:AE1303)-(COLUMN(AC1303)-2))))-1),"")</f>
        <v>ARCHIVED</v>
      </c>
      <c r="M1303" s="13" t="n">
        <f aca="true">K1303-TODAY()</f>
        <v>-302</v>
      </c>
      <c r="N1303" s="18" t="s">
        <v>615</v>
      </c>
      <c r="O1303" s="13" t="s">
        <v>1140</v>
      </c>
      <c r="P1303" s="19" t="n">
        <v>5176101</v>
      </c>
      <c r="Q1303" s="20" t="s">
        <v>5723</v>
      </c>
      <c r="R1303" s="13" t="s">
        <v>232</v>
      </c>
      <c r="S1303" s="14" t="n">
        <v>36589</v>
      </c>
      <c r="T1303" s="13" t="s">
        <v>40</v>
      </c>
      <c r="U1303" s="13" t="s">
        <v>5724</v>
      </c>
      <c r="V1303" s="13" t="s">
        <v>42</v>
      </c>
      <c r="W1303" s="13" t="s">
        <v>43</v>
      </c>
      <c r="X1303" s="21" t="n">
        <v>89685428906</v>
      </c>
      <c r="Y1303" s="22" t="str">
        <f aca="false">O1303</f>
        <v>GBJ Helper</v>
      </c>
      <c r="Z1303" s="13" t="str">
        <f aca="false">IFERROR(__xludf.dummyfunction("if(BJ1303="""","""",GOOGLETRANSLATE(BJ1303,""auto"",""en""))"),"GBJ Helper")</f>
        <v>GBJ Helper</v>
      </c>
      <c r="AA1303" s="23" t="str">
        <f aca="false">IF(C1303="","", CHOOSE(MONTH(C1303),"January","February","March","April","May","June","July","August","September","October","November","December")&amp;" "&amp;DAY(C1303)&amp;MID("thstndrdth",MIN(9,2*RIGHT(DAY(C1303))*(MOD(DAY(C1303)-11,100)&gt;2)+1),2)&amp;","&amp;TEXT(C1303," yyyy"))</f>
        <v>February 12th,2024</v>
      </c>
      <c r="AB1303" s="15" t="str">
        <f aca="true">IF(S1303="","",DATEDIF(S1303,TODAY(),"Y")&amp;" Tahun, "&amp;DATEDIF(S1303,TODAY(),"YM")&amp;" Bulan, "&amp;DATEDIF(S1303,TODAY(),"MD")&amp;" Hari")</f>
        <v>26 Tahun, 7 Bulan, 25 Hari</v>
      </c>
      <c r="AC1303" s="18" t="n">
        <v>45658</v>
      </c>
      <c r="AD1303" s="18" t="n">
        <v>46022</v>
      </c>
      <c r="AE1303" s="18" t="s">
        <v>44</v>
      </c>
    </row>
    <row r="1304" customFormat="false" ht="15" hidden="false" customHeight="true" outlineLevel="0" collapsed="false">
      <c r="A1304" s="12" t="n">
        <v>14439</v>
      </c>
      <c r="B1304" s="13" t="s">
        <v>5725</v>
      </c>
      <c r="C1304" s="14" t="n">
        <v>45331</v>
      </c>
      <c r="D1304" s="13" t="s">
        <v>5726</v>
      </c>
      <c r="E1304" s="15" t="s">
        <v>47</v>
      </c>
      <c r="F1304" s="15" t="str">
        <f aca="false">IFERROR(__xludf.dummyfunction("XLOOKUP(AJ1304,IMPORTRANGE(""1XaInW9DU9nz21V0tYIfzFQ0He9kVQ_JF2mCXgZ3hqFA"",""REKAP ALL 2026 - Andika!G:G""),IMPORTRANGE(""1XaInW9DU9nz21V0tYIfzFQ0He9kVQ_JF2mCXgZ3hqFA"",""REKAP ALL 2026 - Andika!F:F""),"""",0)"),"24061768974")</f>
        <v>24061768974</v>
      </c>
      <c r="G1304" s="13" t="s">
        <v>5727</v>
      </c>
      <c r="H1304" s="13" t="s">
        <v>35</v>
      </c>
      <c r="I1304" s="13" t="str">
        <f aca="false">IF(C1304=J1304,"NEW KONTRAK","RE-KONTRAK")</f>
        <v>RE-KONTRAK</v>
      </c>
      <c r="J1304" s="16" t="n">
        <f aca="false" t="array" ref="J1304:J1304">IFERROR(INDEX(AC1304:AE1304,IF(COUNTA(AC1304:AE1304)=0,"",MAX((AC1304:AE1304&lt;&gt;"")*(COLUMN(AC1304:AE1304)-(COLUMN(AC1304)))))-1),"")</f>
        <v>45878</v>
      </c>
      <c r="K1304" s="16" t="n">
        <f aca="false" t="array" ref="K1304:K1304">IFERROR(INDEX(AC1304:AE1304,IF(COUNTA(AC1304:AE1304)=0,"",MAX((AC1304:AE1304&lt;&gt;"")*(COLUMN(AC1304:AE1304)-(COLUMN(AC1304)-1))))-1),"")</f>
        <v>46061</v>
      </c>
      <c r="L1304" s="17" t="str">
        <f aca="false" t="array" ref="L1304:L1304">IFERROR(INDEX(AC1304:AE1304,IF(COUNTA(AC1304:AE1304)=0,"",MAX((AC1304:AE1304&lt;&gt;"")*(COLUMN(AC1304:AE1304)-(COLUMN(AC1304)-2))))-1),"")</f>
        <v>ARCHIVED</v>
      </c>
      <c r="M1304" s="13" t="n">
        <f aca="true">K1304-TODAY()</f>
        <v>-263</v>
      </c>
      <c r="N1304" s="18" t="s">
        <v>615</v>
      </c>
      <c r="O1304" s="13" t="s">
        <v>750</v>
      </c>
      <c r="P1304" s="19" t="n">
        <v>5176101</v>
      </c>
      <c r="Q1304" s="20" t="s">
        <v>5728</v>
      </c>
      <c r="R1304" s="13" t="s">
        <v>232</v>
      </c>
      <c r="S1304" s="14" t="n">
        <v>35039</v>
      </c>
      <c r="T1304" s="13" t="s">
        <v>40</v>
      </c>
      <c r="U1304" s="13" t="s">
        <v>5729</v>
      </c>
      <c r="V1304" s="13" t="s">
        <v>42</v>
      </c>
      <c r="W1304" s="13" t="s">
        <v>54</v>
      </c>
      <c r="X1304" s="21" t="n">
        <v>85742433840</v>
      </c>
      <c r="Y1304" s="22" t="str">
        <f aca="false">O1304</f>
        <v>Admin</v>
      </c>
      <c r="Z1304" s="13" t="str">
        <f aca="false">IFERROR(__xludf.dummyfunction("if(BJ1304="""","""",GOOGLETRANSLATE(BJ1304,""auto"",""en""))"),"Admin")</f>
        <v>Admin</v>
      </c>
      <c r="AA1304" s="23" t="str">
        <f aca="false">IF(C1304="","", CHOOSE(MONTH(C1304),"January","February","March","April","May","June","July","August","September","October","November","December")&amp;" "&amp;DAY(C1304)&amp;MID("thstndrdth",MIN(9,2*RIGHT(DAY(C1304))*(MOD(DAY(C1304)-11,100)&gt;2)+1),2)&amp;","&amp;TEXT(C1304," yyyy"))</f>
        <v>February 9th,2024</v>
      </c>
      <c r="AB1304" s="15" t="str">
        <f aca="true">IF(S1304="","",DATEDIF(S1304,TODAY(),"Y")&amp;" Tahun, "&amp;DATEDIF(S1304,TODAY(),"YM")&amp;" Bulan, "&amp;DATEDIF(S1304,TODAY(),"MD")&amp;" Hari")</f>
        <v>30 Tahun, 10 Bulan, 23 Hari</v>
      </c>
      <c r="AC1304" s="18" t="n">
        <v>45878</v>
      </c>
      <c r="AD1304" s="18" t="n">
        <v>46061</v>
      </c>
      <c r="AE1304" s="18" t="s">
        <v>44</v>
      </c>
    </row>
    <row r="1305" customFormat="false" ht="15" hidden="false" customHeight="true" outlineLevel="0" collapsed="false">
      <c r="A1305" s="12" t="n">
        <v>14451</v>
      </c>
      <c r="B1305" s="13" t="s">
        <v>5730</v>
      </c>
      <c r="C1305" s="14" t="n">
        <v>45324</v>
      </c>
      <c r="D1305" s="13" t="s">
        <v>4610</v>
      </c>
      <c r="E1305" s="15" t="s">
        <v>47</v>
      </c>
      <c r="F1305" s="15" t="str">
        <f aca="false">IFERROR(__xludf.dummyfunction("XLOOKUP(AJ1305,IMPORTRANGE(""1XaInW9DU9nz21V0tYIfzFQ0He9kVQ_JF2mCXgZ3hqFA"",""REKAP ALL 2026 - Andika!G:G""),IMPORTRANGE(""1XaInW9DU9nz21V0tYIfzFQ0He9kVQ_JF2mCXgZ3hqFA"",""REKAP ALL 2026 - Andika!F:F""),"""",0)"),"24049156235")</f>
        <v>24049156235</v>
      </c>
      <c r="G1305" s="13" t="s">
        <v>57</v>
      </c>
      <c r="H1305" s="13" t="s">
        <v>35</v>
      </c>
      <c r="I1305" s="13" t="str">
        <f aca="false">IF(C1305=J1305,"NEW KONTRAK","RE-KONTRAK")</f>
        <v>RE-KONTRAK</v>
      </c>
      <c r="J1305" s="16" t="n">
        <f aca="false" t="array" ref="J1305:J1305">IFERROR(INDEX(AC1305:AE1305,IF(COUNTA(AC1305:AE1305)=0,"",MAX((AC1305:AE1305&lt;&gt;"")*(COLUMN(AC1305:AE1305)-(COLUMN(AC1305)))))-1),"")</f>
        <v>45764</v>
      </c>
      <c r="K1305" s="16" t="n">
        <f aca="false" t="array" ref="K1305:K1305">IFERROR(INDEX(AC1305:AE1305,IF(COUNTA(AC1305:AE1305)=0,"",MAX((AC1305:AE1305&lt;&gt;"")*(COLUMN(AC1305:AE1305)-(COLUMN(AC1305)-1))))-1),"")</f>
        <v>45946</v>
      </c>
      <c r="L1305" s="17" t="str">
        <f aca="false" t="array" ref="L1305:L1305">IFERROR(INDEX(AC1305:AE1305,IF(COUNTA(AC1305:AE1305)=0,"",MAX((AC1305:AE1305&lt;&gt;"")*(COLUMN(AC1305:AE1305)-(COLUMN(AC1305)-2))))-1),"")</f>
        <v>ARCHIVED</v>
      </c>
      <c r="M1305" s="13" t="n">
        <f aca="true">K1305-TODAY()</f>
        <v>-378</v>
      </c>
      <c r="N1305" s="18" t="s">
        <v>36</v>
      </c>
      <c r="O1305" s="13" t="s">
        <v>4255</v>
      </c>
      <c r="P1305" s="27" t="n">
        <v>200000</v>
      </c>
      <c r="Q1305" s="20" t="s">
        <v>5731</v>
      </c>
      <c r="R1305" s="13" t="s">
        <v>52</v>
      </c>
      <c r="S1305" s="14" t="n">
        <v>30470</v>
      </c>
      <c r="T1305" s="13" t="s">
        <v>40</v>
      </c>
      <c r="U1305" s="13" t="s">
        <v>4461</v>
      </c>
      <c r="V1305" s="13" t="s">
        <v>42</v>
      </c>
      <c r="W1305" s="13" t="s">
        <v>54</v>
      </c>
      <c r="X1305" s="21" t="n">
        <v>85791943665</v>
      </c>
      <c r="Y1305" s="22" t="str">
        <f aca="false">O1305</f>
        <v>Operator Cutting</v>
      </c>
      <c r="Z1305" s="13" t="str">
        <f aca="false">IFERROR(__xludf.dummyfunction("if(BJ1305="""","""",GOOGLETRANSLATE(BJ1305,""auto"",""en""))"),"Operator Cutting")</f>
        <v>Operator Cutting</v>
      </c>
      <c r="AA1305" s="23" t="str">
        <f aca="false">IF(C1305="","", CHOOSE(MONTH(C1305),"January","February","March","April","May","June","July","August","September","October","November","December")&amp;" "&amp;DAY(C1305)&amp;MID("thstndrdth",MIN(9,2*RIGHT(DAY(C1305))*(MOD(DAY(C1305)-11,100)&gt;2)+1),2)&amp;","&amp;TEXT(C1305," yyyy"))</f>
        <v>February 2nd,2024</v>
      </c>
      <c r="AB1305" s="15" t="str">
        <f aca="true">IF(S1305="","",DATEDIF(S1305,TODAY(),"Y")&amp;" Tahun, "&amp;DATEDIF(S1305,TODAY(),"YM")&amp;" Bulan, "&amp;DATEDIF(S1305,TODAY(),"MD")&amp;" Hari")</f>
        <v>43 Tahun, 4 Bulan, 26 Hari</v>
      </c>
      <c r="AC1305" s="18" t="n">
        <v>45764</v>
      </c>
      <c r="AD1305" s="18" t="n">
        <v>45946</v>
      </c>
      <c r="AE1305" s="18" t="s">
        <v>44</v>
      </c>
    </row>
    <row r="1306" customFormat="false" ht="15" hidden="false" customHeight="true" outlineLevel="0" collapsed="false">
      <c r="A1306" s="12" t="n">
        <v>14464</v>
      </c>
      <c r="B1306" s="13" t="s">
        <v>5732</v>
      </c>
      <c r="C1306" s="14" t="n">
        <v>45335</v>
      </c>
      <c r="D1306" s="13" t="s">
        <v>4243</v>
      </c>
      <c r="E1306" s="15" t="s">
        <v>47</v>
      </c>
      <c r="F1306" s="15" t="str">
        <f aca="false">IFERROR(__xludf.dummyfunction("XLOOKUP(AJ1306,IMPORTRANGE(""1XaInW9DU9nz21V0tYIfzFQ0He9kVQ_JF2mCXgZ3hqFA"",""REKAP ALL 2026 - Andika!G:G""),IMPORTRANGE(""1XaInW9DU9nz21V0tYIfzFQ0He9kVQ_JF2mCXgZ3hqFA"",""REKAP ALL 2026 - Andika!F:F""),"""",0)"),"24049154271")</f>
        <v>24049154271</v>
      </c>
      <c r="G1306" s="13" t="s">
        <v>5733</v>
      </c>
      <c r="H1306" s="13" t="s">
        <v>35</v>
      </c>
      <c r="I1306" s="13" t="str">
        <f aca="false">IF(C1306=J1306,"NEW KONTRAK","RE-KONTRAK")</f>
        <v>RE-KONTRAK</v>
      </c>
      <c r="J1306" s="16" t="n">
        <f aca="false" t="array" ref="J1306:J1306">IFERROR(INDEX(AC1306:AE1306,IF(COUNTA(AC1306:AE1306)=0,"",MAX((AC1306:AE1306&lt;&gt;"")*(COLUMN(AC1306:AE1306)-(COLUMN(AC1306)))))-1),"")</f>
        <v>45586</v>
      </c>
      <c r="K1306" s="16" t="n">
        <f aca="false" t="array" ref="K1306:K1306">IFERROR(INDEX(AC1306:AE1306,IF(COUNTA(AC1306:AE1306)=0,"",MAX((AC1306:AE1306&lt;&gt;"")*(COLUMN(AC1306:AE1306)-(COLUMN(AC1306)-1))))-1),"")</f>
        <v>45950</v>
      </c>
      <c r="L1306" s="17" t="str">
        <f aca="false" t="array" ref="L1306:L1306">IFERROR(INDEX(AC1306:AE1306,IF(COUNTA(AC1306:AE1306)=0,"",MAX((AC1306:AE1306&lt;&gt;"")*(COLUMN(AC1306:AE1306)-(COLUMN(AC1306)-2))))-1),"")</f>
        <v>ARCHIVED</v>
      </c>
      <c r="M1306" s="13" t="n">
        <f aca="true">K1306-TODAY()</f>
        <v>-374</v>
      </c>
      <c r="N1306" s="18" t="s">
        <v>728</v>
      </c>
      <c r="O1306" s="13" t="s">
        <v>50</v>
      </c>
      <c r="P1306" s="19" t="n">
        <v>5288796</v>
      </c>
      <c r="Q1306" s="20" t="s">
        <v>5734</v>
      </c>
      <c r="R1306" s="13" t="s">
        <v>255</v>
      </c>
      <c r="S1306" s="14" t="n">
        <v>33954</v>
      </c>
      <c r="T1306" s="13" t="s">
        <v>40</v>
      </c>
      <c r="U1306" s="13" t="s">
        <v>5735</v>
      </c>
      <c r="V1306" s="13" t="s">
        <v>42</v>
      </c>
      <c r="W1306" s="13" t="s">
        <v>54</v>
      </c>
      <c r="X1306" s="21" t="n">
        <v>82244492425</v>
      </c>
      <c r="Y1306" s="22" t="str">
        <f aca="false">O1306</f>
        <v>Driver</v>
      </c>
      <c r="Z1306" s="13" t="str">
        <f aca="false">IFERROR(__xludf.dummyfunction("if(BJ1306="""","""",GOOGLETRANSLATE(BJ1306,""auto"",""en""))"),"Driver")</f>
        <v>Driver</v>
      </c>
      <c r="AA1306" s="23" t="str">
        <f aca="false">IF(C1306="","", CHOOSE(MONTH(C1306),"January","February","March","April","May","June","July","August","September","October","November","December")&amp;" "&amp;DAY(C1306)&amp;MID("thstndrdth",MIN(9,2*RIGHT(DAY(C1306))*(MOD(DAY(C1306)-11,100)&gt;2)+1),2)&amp;","&amp;TEXT(C1306," yyyy"))</f>
        <v>February 13th,2024</v>
      </c>
      <c r="AB1306" s="15" t="str">
        <f aca="true">IF(S1306="","",DATEDIF(S1306,TODAY(),"Y")&amp;" Tahun, "&amp;DATEDIF(S1306,TODAY(),"YM")&amp;" Bulan, "&amp;DATEDIF(S1306,TODAY(),"MD")&amp;" Hari")</f>
        <v>33 Tahun, 10 Bulan, 13 Hari</v>
      </c>
      <c r="AC1306" s="18" t="n">
        <v>45586</v>
      </c>
      <c r="AD1306" s="18" t="n">
        <v>45950</v>
      </c>
      <c r="AE1306" s="18" t="s">
        <v>44</v>
      </c>
    </row>
    <row r="1307" customFormat="false" ht="15" hidden="false" customHeight="true" outlineLevel="0" collapsed="false">
      <c r="A1307" s="12" t="n">
        <v>14496</v>
      </c>
      <c r="B1307" s="13" t="s">
        <v>5736</v>
      </c>
      <c r="C1307" s="14" t="n">
        <v>45342</v>
      </c>
      <c r="D1307" s="13" t="s">
        <v>774</v>
      </c>
      <c r="E1307" s="15" t="s">
        <v>33</v>
      </c>
      <c r="F1307" s="24" t="s">
        <v>5737</v>
      </c>
      <c r="G1307" s="13" t="s">
        <v>5738</v>
      </c>
      <c r="H1307" s="13" t="s">
        <v>49</v>
      </c>
      <c r="I1307" s="13" t="str">
        <f aca="false">IF(C1307=J1307,"NEW KONTRAK","RE-KONTRAK")</f>
        <v>RE-KONTRAK</v>
      </c>
      <c r="J1307" s="16" t="n">
        <f aca="false" t="array" ref="J1307:J1307">IFERROR(INDEX(AC1307:AE1307,IF(COUNTA(AC1307:AE1307)=0,"",MAX((AC1307:AE1307&lt;&gt;"")*(COLUMN(AC1307:AE1307)-(COLUMN(AC1307)))))-1),"")</f>
        <v>45566</v>
      </c>
      <c r="K1307" s="16" t="n">
        <f aca="false" t="array" ref="K1307:K1307">IFERROR(INDEX(AC1307:AE1307,IF(COUNTA(AC1307:AE1307)=0,"",MAX((AC1307:AE1307&lt;&gt;"")*(COLUMN(AC1307:AE1307)-(COLUMN(AC1307)-1))))-1),"")</f>
        <v>45930</v>
      </c>
      <c r="L1307" s="17" t="str">
        <f aca="false" t="array" ref="L1307:L1307">IFERROR(INDEX(AC1307:AE1307,IF(COUNTA(AC1307:AE1307)=0,"",MAX((AC1307:AE1307&lt;&gt;"")*(COLUMN(AC1307:AE1307)-(COLUMN(AC1307)-2))))-1),"")</f>
        <v>ARCHIVED</v>
      </c>
      <c r="M1307" s="13" t="n">
        <f aca="true">K1307-TODAY()</f>
        <v>-394</v>
      </c>
      <c r="N1307" s="18" t="s">
        <v>36</v>
      </c>
      <c r="O1307" s="13" t="s">
        <v>3015</v>
      </c>
      <c r="P1307" s="19" t="n">
        <v>6500000</v>
      </c>
      <c r="Q1307" s="20" t="s">
        <v>5739</v>
      </c>
      <c r="R1307" s="13" t="s">
        <v>52</v>
      </c>
      <c r="S1307" s="14" t="n">
        <v>34169</v>
      </c>
      <c r="T1307" s="13" t="s">
        <v>40</v>
      </c>
      <c r="U1307" s="13" t="s">
        <v>5740</v>
      </c>
      <c r="V1307" s="13" t="s">
        <v>42</v>
      </c>
      <c r="W1307" s="13" t="s">
        <v>43</v>
      </c>
      <c r="X1307" s="21" t="n">
        <v>81331085074</v>
      </c>
      <c r="Y1307" s="22" t="str">
        <f aca="false">O1307</f>
        <v>Staff Produksi</v>
      </c>
      <c r="Z1307" s="13" t="str">
        <f aca="false">IFERROR(__xludf.dummyfunction("if(BJ1307="""","""",GOOGLETRANSLATE(BJ1307,""auto"",""en""))"),"Production Staff")</f>
        <v>Production Staff</v>
      </c>
      <c r="AA1307" s="23" t="str">
        <f aca="false">IF(C1307="","", CHOOSE(MONTH(C1307),"January","February","March","April","May","June","July","August","September","October","November","December")&amp;" "&amp;DAY(C1307)&amp;MID("thstndrdth",MIN(9,2*RIGHT(DAY(C1307))*(MOD(DAY(C1307)-11,100)&gt;2)+1),2)&amp;","&amp;TEXT(C1307," yyyy"))</f>
        <v>February 20th,2024</v>
      </c>
      <c r="AB1307" s="15" t="str">
        <f aca="true">IF(S1307="","",DATEDIF(S1307,TODAY(),"Y")&amp;" Tahun, "&amp;DATEDIF(S1307,TODAY(),"YM")&amp;" Bulan, "&amp;DATEDIF(S1307,TODAY(),"MD")&amp;" Hari")</f>
        <v>33 Tahun, 3 Bulan, 10 Hari</v>
      </c>
      <c r="AC1307" s="18" t="n">
        <v>45566</v>
      </c>
      <c r="AD1307" s="18" t="n">
        <v>45930</v>
      </c>
      <c r="AE1307" s="18" t="s">
        <v>44</v>
      </c>
    </row>
    <row r="1308" customFormat="false" ht="15" hidden="false" customHeight="true" outlineLevel="0" collapsed="false">
      <c r="A1308" s="12" t="n">
        <v>14501</v>
      </c>
      <c r="B1308" s="13" t="s">
        <v>5741</v>
      </c>
      <c r="C1308" s="14" t="n">
        <v>45338</v>
      </c>
      <c r="D1308" s="13" t="s">
        <v>3022</v>
      </c>
      <c r="E1308" s="15" t="s">
        <v>47</v>
      </c>
      <c r="F1308" s="15" t="str">
        <f aca="false">IFERROR(__xludf.dummyfunction("XLOOKUP(AJ1308,IMPORTRANGE(""1XaInW9DU9nz21V0tYIfzFQ0He9kVQ_JF2mCXgZ3hqFA"",""REKAP ALL 2026 - Andika!G:G""),IMPORTRANGE(""1XaInW9DU9nz21V0tYIfzFQ0He9kVQ_JF2mCXgZ3hqFA"",""REKAP ALL 2026 - Andika!F:F""),"""",0)"),"24049156342")</f>
        <v>24049156342</v>
      </c>
      <c r="G1308" s="13" t="s">
        <v>5742</v>
      </c>
      <c r="H1308" s="13" t="s">
        <v>3024</v>
      </c>
      <c r="I1308" s="13" t="str">
        <f aca="false">IF(C1308=J1308,"NEW KONTRAK","RE-KONTRAK")</f>
        <v>RE-KONTRAK</v>
      </c>
      <c r="J1308" s="16" t="n">
        <f aca="false" t="array" ref="J1308:J1308">IFERROR(INDEX(AC1308:AE1308,IF(COUNTA(AC1308:AE1308)=0,"",MAX((AC1308:AE1308&lt;&gt;"")*(COLUMN(AC1308:AE1308)-(COLUMN(AC1308)))))-1),"")</f>
        <v>45570</v>
      </c>
      <c r="K1308" s="16" t="n">
        <f aca="false" t="array" ref="K1308:K1308">IFERROR(INDEX(AC1308:AE1308,IF(COUNTA(AC1308:AE1308)=0,"",MAX((AC1308:AE1308&lt;&gt;"")*(COLUMN(AC1308:AE1308)-(COLUMN(AC1308)-1))))-1),"")</f>
        <v>45934</v>
      </c>
      <c r="L1308" s="17" t="str">
        <f aca="false" t="array" ref="L1308:L1308">IFERROR(INDEX(AC1308:AE1308,IF(COUNTA(AC1308:AE1308)=0,"",MAX((AC1308:AE1308&lt;&gt;"")*(COLUMN(AC1308:AE1308)-(COLUMN(AC1308)-2))))-1),"")</f>
        <v>ARCHIVED</v>
      </c>
      <c r="M1308" s="13" t="n">
        <f aca="true">K1308-TODAY()</f>
        <v>-390</v>
      </c>
      <c r="N1308" s="18" t="s">
        <v>36</v>
      </c>
      <c r="O1308" s="13" t="s">
        <v>2926</v>
      </c>
      <c r="P1308" s="19" t="n">
        <v>150000</v>
      </c>
      <c r="Q1308" s="20" t="s">
        <v>5743</v>
      </c>
      <c r="R1308" s="13" t="s">
        <v>52</v>
      </c>
      <c r="S1308" s="14" t="n">
        <v>37418</v>
      </c>
      <c r="T1308" s="13" t="s">
        <v>40</v>
      </c>
      <c r="U1308" s="13" t="s">
        <v>5744</v>
      </c>
      <c r="V1308" s="13" t="s">
        <v>42</v>
      </c>
      <c r="W1308" s="13" t="s">
        <v>43</v>
      </c>
      <c r="X1308" s="21" t="n">
        <v>89636495462</v>
      </c>
      <c r="Y1308" s="22" t="str">
        <f aca="false">O1308</f>
        <v>Gudang Submat</v>
      </c>
      <c r="Z1308" s="13" t="str">
        <f aca="false">IFERROR(__xludf.dummyfunction("if(BJ1308="""","""",GOOGLETRANSLATE(BJ1308,""auto"",""en""))"),"Submat Warehouse")</f>
        <v>Submat Warehouse</v>
      </c>
      <c r="AA1308" s="23" t="str">
        <f aca="false">IF(C1308="","", CHOOSE(MONTH(C1308),"January","February","March","April","May","June","July","August","September","October","November","December")&amp;" "&amp;DAY(C1308)&amp;MID("thstndrdth",MIN(9,2*RIGHT(DAY(C1308))*(MOD(DAY(C1308)-11,100)&gt;2)+1),2)&amp;","&amp;TEXT(C1308," yyyy"))</f>
        <v>February 16th,2024</v>
      </c>
      <c r="AB1308" s="15" t="str">
        <f aca="true">IF(S1308="","",DATEDIF(S1308,TODAY(),"Y")&amp;" Tahun, "&amp;DATEDIF(S1308,TODAY(),"YM")&amp;" Bulan, "&amp;DATEDIF(S1308,TODAY(),"MD")&amp;" Hari")</f>
        <v>24 Tahun, 4 Bulan, 18 Hari</v>
      </c>
      <c r="AC1308" s="18" t="n">
        <v>45570</v>
      </c>
      <c r="AD1308" s="18" t="n">
        <v>45934</v>
      </c>
      <c r="AE1308" s="18" t="s">
        <v>44</v>
      </c>
    </row>
    <row r="1309" customFormat="false" ht="15" hidden="false" customHeight="true" outlineLevel="0" collapsed="false">
      <c r="A1309" s="12" t="n">
        <v>14536</v>
      </c>
      <c r="B1309" s="13" t="s">
        <v>5745</v>
      </c>
      <c r="C1309" s="14" t="n">
        <v>45342</v>
      </c>
      <c r="D1309" s="13" t="s">
        <v>4610</v>
      </c>
      <c r="E1309" s="15" t="s">
        <v>102</v>
      </c>
      <c r="F1309" s="15" t="str">
        <f aca="false">IFERROR(__xludf.dummyfunction("XLOOKUP(AJ1309,IMPORTRANGE(""1XaInW9DU9nz21V0tYIfzFQ0He9kVQ_JF2mCXgZ3hqFA"",""REKAP ALL 2026 - Andika!G:G""),IMPORTRANGE(""1XaInW9DU9nz21V0tYIfzFQ0He9kVQ_JF2mCXgZ3hqFA"",""REKAP ALL 2026 - Andika!F:F""),"""",0)"),"24049156219")</f>
        <v>24049156219</v>
      </c>
      <c r="G1309" s="13" t="s">
        <v>57</v>
      </c>
      <c r="H1309" s="13" t="s">
        <v>35</v>
      </c>
      <c r="I1309" s="13" t="str">
        <f aca="false">IF(C1309=J1309,"NEW KONTRAK","RE-KONTRAK")</f>
        <v>RE-KONTRAK</v>
      </c>
      <c r="J1309" s="16" t="n">
        <f aca="false" t="array" ref="J1309:J1309">IFERROR(INDEX(AC1309:AE1309,IF(COUNTA(AC1309:AE1309)=0,"",MAX((AC1309:AE1309&lt;&gt;"")*(COLUMN(AC1309:AE1309)-(COLUMN(AC1309)))))-1),"")</f>
        <v>45764</v>
      </c>
      <c r="K1309" s="16" t="n">
        <f aca="false" t="array" ref="K1309:K1309">IFERROR(INDEX(AC1309:AE1309,IF(COUNTA(AC1309:AE1309)=0,"",MAX((AC1309:AE1309&lt;&gt;"")*(COLUMN(AC1309:AE1309)-(COLUMN(AC1309)-1))))-1),"")</f>
        <v>45946</v>
      </c>
      <c r="L1309" s="17" t="str">
        <f aca="false" t="array" ref="L1309:L1309">IFERROR(INDEX(AC1309:AE1309,IF(COUNTA(AC1309:AE1309)=0,"",MAX((AC1309:AE1309&lt;&gt;"")*(COLUMN(AC1309:AE1309)-(COLUMN(AC1309)-2))))-1),"")</f>
        <v>ARCHIVED</v>
      </c>
      <c r="M1309" s="13" t="n">
        <f aca="true">K1309-TODAY()</f>
        <v>-378</v>
      </c>
      <c r="N1309" s="18" t="s">
        <v>36</v>
      </c>
      <c r="O1309" s="13" t="s">
        <v>4280</v>
      </c>
      <c r="P1309" s="27" t="n">
        <v>120000</v>
      </c>
      <c r="Q1309" s="20" t="s">
        <v>5746</v>
      </c>
      <c r="R1309" s="13" t="s">
        <v>148</v>
      </c>
      <c r="S1309" s="14" t="n">
        <v>38260</v>
      </c>
      <c r="T1309" s="13" t="s">
        <v>108</v>
      </c>
      <c r="U1309" s="13" t="s">
        <v>5747</v>
      </c>
      <c r="V1309" s="13" t="s">
        <v>42</v>
      </c>
      <c r="W1309" s="13" t="s">
        <v>43</v>
      </c>
      <c r="X1309" s="21" t="n">
        <v>88991188738</v>
      </c>
      <c r="Y1309" s="22" t="str">
        <f aca="false">O1309</f>
        <v>Helper Cutting</v>
      </c>
      <c r="Z1309" s="13" t="str">
        <f aca="false">IFERROR(__xludf.dummyfunction("if(BJ1309="""","""",GOOGLETRANSLATE(BJ1309,""auto"",""en""))"),"Helper Cutting")</f>
        <v>Helper Cutting</v>
      </c>
      <c r="AA1309" s="23" t="str">
        <f aca="false">IF(C1309="","", CHOOSE(MONTH(C1309),"January","February","March","April","May","June","July","August","September","October","November","December")&amp;" "&amp;DAY(C1309)&amp;MID("thstndrdth",MIN(9,2*RIGHT(DAY(C1309))*(MOD(DAY(C1309)-11,100)&gt;2)+1),2)&amp;","&amp;TEXT(C1309," yyyy"))</f>
        <v>February 20th,2024</v>
      </c>
      <c r="AB1309" s="15" t="str">
        <f aca="true">IF(S1309="","",DATEDIF(S1309,TODAY(),"Y")&amp;" Tahun, "&amp;DATEDIF(S1309,TODAY(),"YM")&amp;" Bulan, "&amp;DATEDIF(S1309,TODAY(),"MD")&amp;" Hari")</f>
        <v>22 Tahun, 0 Bulan, 29 Hari</v>
      </c>
      <c r="AC1309" s="18" t="n">
        <v>45764</v>
      </c>
      <c r="AD1309" s="18" t="n">
        <v>45946</v>
      </c>
      <c r="AE1309" s="18" t="s">
        <v>44</v>
      </c>
    </row>
    <row r="1310" customFormat="false" ht="15" hidden="false" customHeight="true" outlineLevel="0" collapsed="false">
      <c r="A1310" s="12" t="n">
        <v>22224</v>
      </c>
      <c r="B1310" s="13" t="s">
        <v>5748</v>
      </c>
      <c r="C1310" s="16" t="n">
        <v>46125.2916666667</v>
      </c>
      <c r="D1310" s="13" t="s">
        <v>2033</v>
      </c>
      <c r="E1310" s="15" t="s">
        <v>47</v>
      </c>
      <c r="F1310" s="15" t="str">
        <f aca="false">IFERROR(__xludf.dummyfunction("XLOOKUP(AJ1310,IMPORTRANGE(""1XaInW9DU9nz21V0tYIfzFQ0He9kVQ_JF2mCXgZ3hqFA"",""REKAP ALL 2026 - Andika!G:G""),IMPORTRANGE(""1XaInW9DU9nz21V0tYIfzFQ0He9kVQ_JF2mCXgZ3hqFA"",""REKAP ALL 2026 - Andika!F:F""),"""",0)"),"26062984039")</f>
        <v>26062984039</v>
      </c>
      <c r="G1310" s="13" t="s">
        <v>1127</v>
      </c>
      <c r="H1310" s="13" t="s">
        <v>35</v>
      </c>
      <c r="I1310" s="13" t="str">
        <f aca="false">IF(C1310=J1310,"NEW KONTRAK","RE-KONTRAK")</f>
        <v>NEW KONTRAK</v>
      </c>
      <c r="J1310" s="16" t="n">
        <f aca="false" t="array" ref="J1310:J1310">IFERROR(INDEX(AC1310:AE1310,IF(COUNTA(AC1310:AE1310)=0,"",MAX((AC1310:AE1310&lt;&gt;"")*(COLUMN(AC1310:AE1310)-(COLUMN(AC1310)))))-1),"")</f>
        <v>46125.2916666667</v>
      </c>
      <c r="K1310" s="16" t="n">
        <f aca="false" t="array" ref="K1310:K1310">IFERROR(INDEX(AC1310:AE1310,IF(COUNTA(AC1310:AE1310)=0,"",MAX((AC1310:AE1310&lt;&gt;"")*(COLUMN(AC1310:AE1310)-(COLUMN(AC1310)-1))))-1),"")</f>
        <v>46188</v>
      </c>
      <c r="L1310" s="17" t="str">
        <f aca="false" t="array" ref="L1310:L1310">IFERROR(INDEX(AC1310:AE1310,IF(COUNTA(AC1310:AE1310)=0,"",MAX((AC1310:AE1310&lt;&gt;"")*(COLUMN(AC1310:AE1310)-(COLUMN(AC1310)-2))))-1),"")</f>
        <v>ARCHIVED</v>
      </c>
      <c r="M1310" s="13" t="n">
        <f aca="true">K1310-TODAY()</f>
        <v>-136</v>
      </c>
      <c r="N1310" s="18" t="s">
        <v>5749</v>
      </c>
      <c r="O1310" s="13" t="s">
        <v>2037</v>
      </c>
      <c r="P1310" s="19" t="n">
        <v>3932552</v>
      </c>
      <c r="Q1310" s="20" t="s">
        <v>5750</v>
      </c>
      <c r="R1310" s="13" t="s">
        <v>5751</v>
      </c>
      <c r="S1310" s="14" t="n">
        <v>37181</v>
      </c>
      <c r="T1310" s="13" t="s">
        <v>108</v>
      </c>
      <c r="U1310" s="13" t="s">
        <v>5752</v>
      </c>
      <c r="V1310" s="13" t="s">
        <v>42</v>
      </c>
      <c r="W1310" s="13" t="s">
        <v>43</v>
      </c>
      <c r="X1310" s="21" t="n">
        <v>85763586826</v>
      </c>
      <c r="Y1310" s="22" t="str">
        <f aca="false">O1310</f>
        <v>SPG/BA</v>
      </c>
      <c r="Z1310" s="13" t="str">
        <f aca="false">IFERROR(__xludf.dummyfunction("if(BJ1310="""","""",GOOGLETRANSLATE(BJ1310,""auto"",""en""))"),"SPG/BA")</f>
        <v>SPG/BA</v>
      </c>
      <c r="AA1310" s="23" t="str">
        <f aca="false">IF(C1310="","", CHOOSE(MONTH(C1310),"January","February","March","April","May","June","July","August","September","October","November","December")&amp;" "&amp;DAY(C1310)&amp;MID("thstndrdth",MIN(9,2*RIGHT(DAY(C1310))*(MOD(DAY(C1310)-11,100)&gt;2)+1),2)&amp;","&amp;TEXT(C1310," yyyy"))</f>
        <v>April 13th,2026</v>
      </c>
      <c r="AB1310" s="15" t="str">
        <f aca="true">IF(S1310="","",DATEDIF(S1310,TODAY(),"Y")&amp;" Tahun, "&amp;DATEDIF(S1310,TODAY(),"YM")&amp;" Bulan, "&amp;DATEDIF(S1310,TODAY(),"MD")&amp;" Hari")</f>
        <v>25 Tahun, 0 Bulan, 12 Hari</v>
      </c>
      <c r="AC1310" s="14" t="n">
        <f aca="false">C1310</f>
        <v>46125.2916666667</v>
      </c>
      <c r="AD1310" s="64" t="n">
        <v>46188</v>
      </c>
      <c r="AE1310" s="13" t="s">
        <v>44</v>
      </c>
    </row>
    <row r="1311" customFormat="false" ht="15" hidden="false" customHeight="true" outlineLevel="0" collapsed="false">
      <c r="A1311" s="12" t="n">
        <v>12351</v>
      </c>
      <c r="B1311" s="13" t="s">
        <v>5753</v>
      </c>
      <c r="C1311" s="14" t="n">
        <v>45114</v>
      </c>
      <c r="D1311" s="13" t="s">
        <v>2033</v>
      </c>
      <c r="E1311" s="15" t="s">
        <v>47</v>
      </c>
      <c r="F1311" s="15" t="str">
        <f aca="false">IFERROR(__xludf.dummyfunction("XLOOKUP(AJ1311,IMPORTRANGE(""1XaInW9DU9nz21V0tYIfzFQ0He9kVQ_JF2mCXgZ3hqFA"",""REKAP ALL 2026 - Andika!G:G""),IMPORTRANGE(""1XaInW9DU9nz21V0tYIfzFQ0He9kVQ_JF2mCXgZ3hqFA"",""REKAP ALL 2026 - Andika!F:F""),"""",0)"),"23113699534")</f>
        <v>23113699534</v>
      </c>
      <c r="G1311" s="13" t="s">
        <v>5754</v>
      </c>
      <c r="H1311" s="13" t="s">
        <v>2035</v>
      </c>
      <c r="I1311" s="13" t="str">
        <f aca="false">IF(C1311=J1311,"NEW KONTRAK","RE-KONTRAK")</f>
        <v>RE-KONTRAK</v>
      </c>
      <c r="J1311" s="16" t="n">
        <f aca="false" t="array" ref="J1311:J1311">IFERROR(INDEX(AC1311:AE1311,IF(COUNTA(AC1311:AE1311)=0,"",MAX((AC1311:AE1311&lt;&gt;"")*(COLUMN(AC1311:AE1311)-(COLUMN(AC1311)))))-1),"")</f>
        <v>45744</v>
      </c>
      <c r="K1311" s="16" t="n">
        <f aca="false" t="array" ref="K1311:K1311">IFERROR(INDEX(AC1311:AE1311,IF(COUNTA(AC1311:AE1311)=0,"",MAX((AC1311:AE1311&lt;&gt;"")*(COLUMN(AC1311:AE1311)-(COLUMN(AC1311)-1))))-1),"")</f>
        <v>45915</v>
      </c>
      <c r="L1311" s="17" t="str">
        <f aca="false" t="array" ref="L1311:L1311">IFERROR(INDEX(AC1311:AE1311,IF(COUNTA(AC1311:AE1311)=0,"",MAX((AC1311:AE1311&lt;&gt;"")*(COLUMN(AC1311:AE1311)-(COLUMN(AC1311)-2))))-1),"")</f>
        <v>ARCHIVED</v>
      </c>
      <c r="M1311" s="13" t="n">
        <f aca="true">K1311-TODAY()</f>
        <v>-409</v>
      </c>
      <c r="N1311" s="18" t="s">
        <v>2363</v>
      </c>
      <c r="O1311" s="13" t="s">
        <v>2037</v>
      </c>
      <c r="P1311" s="19" t="n">
        <v>4335198</v>
      </c>
      <c r="Q1311" s="20" t="s">
        <v>5755</v>
      </c>
      <c r="R1311" s="13" t="s">
        <v>2363</v>
      </c>
      <c r="S1311" s="14" t="n">
        <v>37197</v>
      </c>
      <c r="T1311" s="13" t="s">
        <v>108</v>
      </c>
      <c r="U1311" s="13" t="s">
        <v>5756</v>
      </c>
      <c r="V1311" s="13" t="s">
        <v>42</v>
      </c>
      <c r="W1311" s="13" t="s">
        <v>43</v>
      </c>
      <c r="X1311" s="21" t="n">
        <v>85219023199</v>
      </c>
      <c r="Y1311" s="22" t="str">
        <f aca="false">O1311</f>
        <v>SPG/BA</v>
      </c>
      <c r="Z1311" s="13" t="str">
        <f aca="false">IFERROR(__xludf.dummyfunction("if(BJ1311="""","""",GOOGLETRANSLATE(BJ1311,""auto"",""en""))"),"SPG/BA")</f>
        <v>SPG/BA</v>
      </c>
      <c r="AA1311" s="23" t="str">
        <f aca="false">IF(C1311="","", CHOOSE(MONTH(C1311),"January","February","March","April","May","June","July","August","September","October","November","December")&amp;" "&amp;DAY(C1311)&amp;MID("thstndrdth",MIN(9,2*RIGHT(DAY(C1311))*(MOD(DAY(C1311)-11,100)&gt;2)+1),2)&amp;","&amp;TEXT(C1311," yyyy"))</f>
        <v>July 7th,2023</v>
      </c>
      <c r="AB1311" s="15" t="str">
        <f aca="true">IF(S1311="","",DATEDIF(S1311,TODAY(),"Y")&amp;" Tahun, "&amp;DATEDIF(S1311,TODAY(),"YM")&amp;" Bulan, "&amp;DATEDIF(S1311,TODAY(),"MD")&amp;" Hari")</f>
        <v>24 Tahun, 11 Bulan, 27 Hari</v>
      </c>
      <c r="AC1311" s="18" t="n">
        <v>45744</v>
      </c>
      <c r="AD1311" s="18" t="n">
        <v>45915</v>
      </c>
      <c r="AE1311" s="18" t="s">
        <v>44</v>
      </c>
    </row>
    <row r="1312" customFormat="false" ht="15" hidden="false" customHeight="true" outlineLevel="0" collapsed="false">
      <c r="A1312" s="12" t="n">
        <v>14575</v>
      </c>
      <c r="B1312" s="13" t="s">
        <v>5757</v>
      </c>
      <c r="C1312" s="14" t="n">
        <v>45367</v>
      </c>
      <c r="D1312" s="13" t="s">
        <v>404</v>
      </c>
      <c r="E1312" s="15" t="s">
        <v>47</v>
      </c>
      <c r="F1312" s="15" t="str">
        <f aca="false">IFERROR(__xludf.dummyfunction("XLOOKUP(AJ1312,IMPORTRANGE(""1XaInW9DU9nz21V0tYIfzFQ0He9kVQ_JF2mCXgZ3hqFA"",""REKAP ALL 2026 - Andika!G:G""),IMPORTRANGE(""1XaInW9DU9nz21V0tYIfzFQ0He9kVQ_JF2mCXgZ3hqFA"",""REKAP ALL 2026 - Andika!F:F""),"""",0)"),"24049154131")</f>
        <v>24049154131</v>
      </c>
      <c r="G1312" s="13" t="s">
        <v>5758</v>
      </c>
      <c r="H1312" s="13" t="s">
        <v>35</v>
      </c>
      <c r="I1312" s="13" t="str">
        <f aca="false">IF(C1312=J1312,"NEW KONTRAK","RE-KONTRAK")</f>
        <v>RE-KONTRAK</v>
      </c>
      <c r="J1312" s="16" t="n">
        <f aca="false" t="array" ref="J1312:J1312">IFERROR(INDEX(AC1312:AE1312,IF(COUNTA(AC1312:AE1312)=0,"",MAX((AC1312:AE1312&lt;&gt;"")*(COLUMN(AC1312:AE1312)-(COLUMN(AC1312)))))-1),"")</f>
        <v>45658</v>
      </c>
      <c r="K1312" s="16" t="n">
        <f aca="false" t="array" ref="K1312:K1312">IFERROR(INDEX(AC1312:AE1312,IF(COUNTA(AC1312:AE1312)=0,"",MAX((AC1312:AE1312&lt;&gt;"")*(COLUMN(AC1312:AE1312)-(COLUMN(AC1312)-1))))-1),"")</f>
        <v>46022</v>
      </c>
      <c r="L1312" s="17" t="str">
        <f aca="false" t="array" ref="L1312:L1312">IFERROR(INDEX(AC1312:AE1312,IF(COUNTA(AC1312:AE1312)=0,"",MAX((AC1312:AE1312&lt;&gt;"")*(COLUMN(AC1312:AE1312)-(COLUMN(AC1312)-2))))-1),"")</f>
        <v>ARCHIVED</v>
      </c>
      <c r="M1312" s="13" t="n">
        <f aca="true">K1312-TODAY()</f>
        <v>-302</v>
      </c>
      <c r="N1312" s="18" t="s">
        <v>36</v>
      </c>
      <c r="O1312" s="13" t="s">
        <v>479</v>
      </c>
      <c r="P1312" s="26" t="n">
        <v>5195401</v>
      </c>
      <c r="Q1312" s="20" t="s">
        <v>5759</v>
      </c>
      <c r="R1312" s="13" t="s">
        <v>65</v>
      </c>
      <c r="S1312" s="14" t="n">
        <v>36984</v>
      </c>
      <c r="T1312" s="13" t="s">
        <v>40</v>
      </c>
      <c r="U1312" s="13" t="s">
        <v>5760</v>
      </c>
      <c r="V1312" s="13" t="s">
        <v>42</v>
      </c>
      <c r="W1312" s="13" t="s">
        <v>43</v>
      </c>
      <c r="X1312" s="21" t="n">
        <v>895395393116</v>
      </c>
      <c r="Y1312" s="22" t="str">
        <f aca="false">O1312</f>
        <v>Bottling Rigid (BT2)</v>
      </c>
      <c r="Z1312" s="13" t="str">
        <f aca="false">IFERROR(__xludf.dummyfunction("if(BJ1312="""","""",GOOGLETRANSLATE(BJ1312,""auto"",""en""))"),"Bottling Rigid (BT2)")</f>
        <v>Bottling Rigid (BT2)</v>
      </c>
      <c r="AA1312" s="23" t="str">
        <f aca="false">IF(C1312="","", CHOOSE(MONTH(C1312),"January","February","March","April","May","June","July","August","September","October","November","December")&amp;" "&amp;DAY(C1312)&amp;MID("thstndrdth",MIN(9,2*RIGHT(DAY(C1312))*(MOD(DAY(C1312)-11,100)&gt;2)+1),2)&amp;","&amp;TEXT(C1312," yyyy"))</f>
        <v>March 16th,2024</v>
      </c>
      <c r="AB1312" s="15" t="str">
        <f aca="true">IF(S1312="","",DATEDIF(S1312,TODAY(),"Y")&amp;" Tahun, "&amp;DATEDIF(S1312,TODAY(),"YM")&amp;" Bulan, "&amp;DATEDIF(S1312,TODAY(),"MD")&amp;" Hari")</f>
        <v>25 Tahun, 6 Bulan, 26 Hari</v>
      </c>
      <c r="AC1312" s="18" t="n">
        <v>45658</v>
      </c>
      <c r="AD1312" s="18" t="n">
        <v>46022</v>
      </c>
      <c r="AE1312" s="18" t="s">
        <v>44</v>
      </c>
    </row>
    <row r="1313" customFormat="false" ht="15" hidden="false" customHeight="true" outlineLevel="0" collapsed="false">
      <c r="A1313" s="12" t="n">
        <v>14576</v>
      </c>
      <c r="B1313" s="13" t="s">
        <v>5761</v>
      </c>
      <c r="C1313" s="14" t="n">
        <v>45367</v>
      </c>
      <c r="D1313" s="13" t="s">
        <v>404</v>
      </c>
      <c r="E1313" s="15" t="s">
        <v>47</v>
      </c>
      <c r="F1313" s="15" t="str">
        <f aca="false">IFERROR(__xludf.dummyfunction("XLOOKUP(AJ1313,IMPORTRANGE(""1XaInW9DU9nz21V0tYIfzFQ0He9kVQ_JF2mCXgZ3hqFA"",""REKAP ALL 2026 - Andika!G:G""),IMPORTRANGE(""1XaInW9DU9nz21V0tYIfzFQ0He9kVQ_JF2mCXgZ3hqFA"",""REKAP ALL 2026 - Andika!F:F""),"""",0)"),"24049154115")</f>
        <v>24049154115</v>
      </c>
      <c r="G1313" s="13" t="s">
        <v>5762</v>
      </c>
      <c r="H1313" s="13" t="s">
        <v>35</v>
      </c>
      <c r="I1313" s="13" t="str">
        <f aca="false">IF(C1313=J1313,"NEW KONTRAK","RE-KONTRAK")</f>
        <v>RE-KONTRAK</v>
      </c>
      <c r="J1313" s="16" t="n">
        <f aca="false" t="array" ref="J1313:J1313">IFERROR(INDEX(AC1313:AE1313,IF(COUNTA(AC1313:AE1313)=0,"",MAX((AC1313:AE1313&lt;&gt;"")*(COLUMN(AC1313:AE1313)-(COLUMN(AC1313)))))-1),"")</f>
        <v>45658</v>
      </c>
      <c r="K1313" s="16" t="n">
        <f aca="false" t="array" ref="K1313:K1313">IFERROR(INDEX(AC1313:AE1313,IF(COUNTA(AC1313:AE1313)=0,"",MAX((AC1313:AE1313&lt;&gt;"")*(COLUMN(AC1313:AE1313)-(COLUMN(AC1313)-1))))-1),"")</f>
        <v>46022</v>
      </c>
      <c r="L1313" s="17" t="str">
        <f aca="false" t="array" ref="L1313:L1313">IFERROR(INDEX(AC1313:AE1313,IF(COUNTA(AC1313:AE1313)=0,"",MAX((AC1313:AE1313&lt;&gt;"")*(COLUMN(AC1313:AE1313)-(COLUMN(AC1313)-2))))-1),"")</f>
        <v>ARCHIVED</v>
      </c>
      <c r="M1313" s="13" t="n">
        <f aca="true">K1313-TODAY()</f>
        <v>-302</v>
      </c>
      <c r="N1313" s="18" t="s">
        <v>36</v>
      </c>
      <c r="O1313" s="13" t="s">
        <v>411</v>
      </c>
      <c r="P1313" s="26" t="n">
        <v>5195401</v>
      </c>
      <c r="Q1313" s="20" t="s">
        <v>5763</v>
      </c>
      <c r="R1313" s="13" t="s">
        <v>78</v>
      </c>
      <c r="S1313" s="14" t="n">
        <v>37480</v>
      </c>
      <c r="T1313" s="13" t="s">
        <v>40</v>
      </c>
      <c r="U1313" s="13" t="s">
        <v>5764</v>
      </c>
      <c r="V1313" s="13" t="s">
        <v>42</v>
      </c>
      <c r="W1313" s="13" t="s">
        <v>43</v>
      </c>
      <c r="X1313" s="21" t="n">
        <v>85812666091</v>
      </c>
      <c r="Y1313" s="22" t="str">
        <f aca="false">O1313</f>
        <v>Dry Fact</v>
      </c>
      <c r="Z1313" s="13" t="str">
        <f aca="false">IFERROR(__xludf.dummyfunction("if(BJ1313="""","""",GOOGLETRANSLATE(BJ1313,""auto"",""en""))"),"Dry Fact")</f>
        <v>Dry Fact</v>
      </c>
      <c r="AA1313" s="23" t="str">
        <f aca="false">IF(C1313="","", CHOOSE(MONTH(C1313),"January","February","March","April","May","June","July","August","September","October","November","December")&amp;" "&amp;DAY(C1313)&amp;MID("thstndrdth",MIN(9,2*RIGHT(DAY(C1313))*(MOD(DAY(C1313)-11,100)&gt;2)+1),2)&amp;","&amp;TEXT(C1313," yyyy"))</f>
        <v>March 16th,2024</v>
      </c>
      <c r="AB1313" s="15" t="str">
        <f aca="true">IF(S1313="","",DATEDIF(S1313,TODAY(),"Y")&amp;" Tahun, "&amp;DATEDIF(S1313,TODAY(),"YM")&amp;" Bulan, "&amp;DATEDIF(S1313,TODAY(),"MD")&amp;" Hari")</f>
        <v>24 Tahun, 2 Bulan, 17 Hari</v>
      </c>
      <c r="AC1313" s="18" t="n">
        <v>45658</v>
      </c>
      <c r="AD1313" s="18" t="n">
        <v>46022</v>
      </c>
      <c r="AE1313" s="18" t="s">
        <v>44</v>
      </c>
    </row>
    <row r="1314" customFormat="false" ht="15" hidden="false" customHeight="true" outlineLevel="0" collapsed="false">
      <c r="A1314" s="12" t="n">
        <v>14580</v>
      </c>
      <c r="B1314" s="13" t="s">
        <v>5765</v>
      </c>
      <c r="C1314" s="14" t="n">
        <v>45357</v>
      </c>
      <c r="D1314" s="13" t="s">
        <v>3022</v>
      </c>
      <c r="E1314" s="15" t="s">
        <v>47</v>
      </c>
      <c r="F1314" s="15" t="str">
        <f aca="false">IFERROR(__xludf.dummyfunction("XLOOKUP(AJ1314,IMPORTRANGE(""1XaInW9DU9nz21V0tYIfzFQ0He9kVQ_JF2mCXgZ3hqFA"",""REKAP ALL 2026 - Andika!G:G""),IMPORTRANGE(""1XaInW9DU9nz21V0tYIfzFQ0He9kVQ_JF2mCXgZ3hqFA"",""REKAP ALL 2026 - Andika!F:F""),"""",0)"),"24049156367")</f>
        <v>24049156367</v>
      </c>
      <c r="G1314" s="13" t="s">
        <v>5766</v>
      </c>
      <c r="H1314" s="13" t="s">
        <v>3024</v>
      </c>
      <c r="I1314" s="13" t="str">
        <f aca="false">IF(C1314=J1314,"NEW KONTRAK","RE-KONTRAK")</f>
        <v>RE-KONTRAK</v>
      </c>
      <c r="J1314" s="16" t="n">
        <f aca="false" t="array" ref="J1314:J1314">IFERROR(INDEX(AC1314:AE1314,IF(COUNTA(AC1314:AE1314)=0,"",MAX((AC1314:AE1314&lt;&gt;"")*(COLUMN(AC1314:AE1314)-(COLUMN(AC1314)))))-1),"")</f>
        <v>45570</v>
      </c>
      <c r="K1314" s="16" t="n">
        <f aca="false" t="array" ref="K1314:K1314">IFERROR(INDEX(AC1314:AE1314,IF(COUNTA(AC1314:AE1314)=0,"",MAX((AC1314:AE1314&lt;&gt;"")*(COLUMN(AC1314:AE1314)-(COLUMN(AC1314)-1))))-1),"")</f>
        <v>45934</v>
      </c>
      <c r="L1314" s="17" t="str">
        <f aca="false" t="array" ref="L1314:L1314">IFERROR(INDEX(AC1314:AE1314,IF(COUNTA(AC1314:AE1314)=0,"",MAX((AC1314:AE1314&lt;&gt;"")*(COLUMN(AC1314:AE1314)-(COLUMN(AC1314)-2))))-1),"")</f>
        <v>ARCHIVED</v>
      </c>
      <c r="M1314" s="13" t="n">
        <f aca="true">K1314-TODAY()</f>
        <v>-390</v>
      </c>
      <c r="N1314" s="18" t="s">
        <v>36</v>
      </c>
      <c r="O1314" s="13" t="s">
        <v>3030</v>
      </c>
      <c r="P1314" s="19" t="n">
        <v>137500</v>
      </c>
      <c r="Q1314" s="20" t="s">
        <v>5767</v>
      </c>
      <c r="R1314" s="13" t="s">
        <v>65</v>
      </c>
      <c r="S1314" s="14" t="n">
        <v>35916</v>
      </c>
      <c r="T1314" s="13" t="s">
        <v>40</v>
      </c>
      <c r="U1314" s="13" t="s">
        <v>5768</v>
      </c>
      <c r="V1314" s="13" t="s">
        <v>42</v>
      </c>
      <c r="W1314" s="13" t="s">
        <v>43</v>
      </c>
      <c r="X1314" s="21" t="n">
        <v>85815743101</v>
      </c>
      <c r="Y1314" s="22" t="str">
        <f aca="false">O1314</f>
        <v>Produksi ( Shearing )</v>
      </c>
      <c r="Z1314" s="13" t="str">
        <f aca="false">IFERROR(__xludf.dummyfunction("if(BJ1314="""","""",GOOGLETRANSLATE(BJ1314,""auto"",""en""))"),"Production (Shearing)")</f>
        <v>Production (Shearing)</v>
      </c>
      <c r="AA1314" s="23" t="str">
        <f aca="false">IF(C1314="","", CHOOSE(MONTH(C1314),"January","February","March","April","May","June","July","August","September","October","November","December")&amp;" "&amp;DAY(C1314)&amp;MID("thstndrdth",MIN(9,2*RIGHT(DAY(C1314))*(MOD(DAY(C1314)-11,100)&gt;2)+1),2)&amp;","&amp;TEXT(C1314," yyyy"))</f>
        <v>March 6th,2024</v>
      </c>
      <c r="AB1314" s="15" t="str">
        <f aca="true">IF(S1314="","",DATEDIF(S1314,TODAY(),"Y")&amp;" Tahun, "&amp;DATEDIF(S1314,TODAY(),"YM")&amp;" Bulan, "&amp;DATEDIF(S1314,TODAY(),"MD")&amp;" Hari")</f>
        <v>28 Tahun, 5 Bulan, 28 Hari</v>
      </c>
      <c r="AC1314" s="18" t="n">
        <v>45570</v>
      </c>
      <c r="AD1314" s="18" t="n">
        <v>45934</v>
      </c>
      <c r="AE1314" s="18" t="s">
        <v>44</v>
      </c>
    </row>
    <row r="1315" customFormat="false" ht="15" hidden="false" customHeight="true" outlineLevel="0" collapsed="false">
      <c r="A1315" s="12" t="n">
        <v>14594</v>
      </c>
      <c r="B1315" s="13" t="s">
        <v>5769</v>
      </c>
      <c r="C1315" s="14" t="n">
        <v>45358</v>
      </c>
      <c r="D1315" s="13" t="s">
        <v>2046</v>
      </c>
      <c r="E1315" s="15" t="s">
        <v>102</v>
      </c>
      <c r="F1315" s="15" t="str">
        <f aca="false">IFERROR(__xludf.dummyfunction("XLOOKUP(AJ1315,IMPORTRANGE(""1XaInW9DU9nz21V0tYIfzFQ0He9kVQ_JF2mCXgZ3hqFA"",""REKAP ALL 2026 - Andika!G:G""),IMPORTRANGE(""1XaInW9DU9nz21V0tYIfzFQ0He9kVQ_JF2mCXgZ3hqFA"",""REKAP ALL 2026 - Andika!F:F""),"""",0)"),"24049127038")</f>
        <v>24049127038</v>
      </c>
      <c r="G1315" s="13" t="s">
        <v>5770</v>
      </c>
      <c r="H1315" s="13" t="s">
        <v>35</v>
      </c>
      <c r="I1315" s="13" t="str">
        <f aca="false">IF(C1315=J1315,"NEW KONTRAK","RE-KONTRAK")</f>
        <v>RE-KONTRAK</v>
      </c>
      <c r="J1315" s="16" t="n">
        <f aca="false" t="array" ref="J1315:J1315">IFERROR(INDEX(AC1315:AE1315,IF(COUNTA(AC1315:AE1315)=0,"",MAX((AC1315:AE1315&lt;&gt;"")*(COLUMN(AC1315:AE1315)-(COLUMN(AC1315)))))-1),"")</f>
        <v>45839</v>
      </c>
      <c r="K1315" s="16" t="n">
        <f aca="false" t="array" ref="K1315:K1315">IFERROR(INDEX(AC1315:AE1315,IF(COUNTA(AC1315:AE1315)=0,"",MAX((AC1315:AE1315&lt;&gt;"")*(COLUMN(AC1315:AE1315)-(COLUMN(AC1315)-1))))-1),"")</f>
        <v>45961</v>
      </c>
      <c r="L1315" s="17" t="str">
        <f aca="false" t="array" ref="L1315:L1315">IFERROR(INDEX(AC1315:AE1315,IF(COUNTA(AC1315:AE1315)=0,"",MAX((AC1315:AE1315&lt;&gt;"")*(COLUMN(AC1315:AE1315)-(COLUMN(AC1315)-2))))-1),"")</f>
        <v>ARCHIVED</v>
      </c>
      <c r="M1315" s="13" t="n">
        <f aca="true">K1315-TODAY()</f>
        <v>-363</v>
      </c>
      <c r="N1315" s="18" t="s">
        <v>36</v>
      </c>
      <c r="O1315" s="13" t="s">
        <v>2049</v>
      </c>
      <c r="P1315" s="19" t="s">
        <v>2050</v>
      </c>
      <c r="Q1315" s="20" t="s">
        <v>5771</v>
      </c>
      <c r="R1315" s="13" t="s">
        <v>39</v>
      </c>
      <c r="S1315" s="14" t="n">
        <v>31844</v>
      </c>
      <c r="T1315" s="13" t="s">
        <v>40</v>
      </c>
      <c r="U1315" s="13" t="s">
        <v>5772</v>
      </c>
      <c r="V1315" s="13" t="s">
        <v>42</v>
      </c>
      <c r="W1315" s="13" t="s">
        <v>54</v>
      </c>
      <c r="X1315" s="21" t="n">
        <v>85733166631</v>
      </c>
      <c r="Y1315" s="22" t="str">
        <f aca="false">O1315</f>
        <v>Produksi Extrude</v>
      </c>
      <c r="Z1315" s="13" t="str">
        <f aca="false">IFERROR(__xludf.dummyfunction("if(BJ1315="""","""",GOOGLETRANSLATE(BJ1315,""auto"",""en""))"),"Extrude Production")</f>
        <v>Extrude Production</v>
      </c>
      <c r="AA1315" s="23" t="str">
        <f aca="false">IF(C1315="","", CHOOSE(MONTH(C1315),"January","February","March","April","May","June","July","August","September","October","November","December")&amp;" "&amp;DAY(C1315)&amp;MID("thstndrdth",MIN(9,2*RIGHT(DAY(C1315))*(MOD(DAY(C1315)-11,100)&gt;2)+1),2)&amp;","&amp;TEXT(C1315," yyyy"))</f>
        <v>March 7th,2024</v>
      </c>
      <c r="AB1315" s="15" t="str">
        <f aca="true">IF(S1315="","",DATEDIF(S1315,TODAY(),"Y")&amp;" Tahun, "&amp;DATEDIF(S1315,TODAY(),"YM")&amp;" Bulan, "&amp;DATEDIF(S1315,TODAY(),"MD")&amp;" Hari")</f>
        <v>39 Tahun, 7 Bulan, 21 Hari</v>
      </c>
      <c r="AC1315" s="18" t="n">
        <v>45839</v>
      </c>
      <c r="AD1315" s="18" t="n">
        <v>45961</v>
      </c>
      <c r="AE1315" s="18" t="s">
        <v>44</v>
      </c>
    </row>
    <row r="1316" customFormat="false" ht="15" hidden="false" customHeight="true" outlineLevel="0" collapsed="false">
      <c r="A1316" s="12" t="n">
        <v>14595</v>
      </c>
      <c r="B1316" s="13" t="s">
        <v>5773</v>
      </c>
      <c r="C1316" s="14" t="n">
        <v>45358</v>
      </c>
      <c r="D1316" s="13" t="s">
        <v>2046</v>
      </c>
      <c r="E1316" s="15" t="s">
        <v>102</v>
      </c>
      <c r="F1316" s="15" t="str">
        <f aca="false">IFERROR(__xludf.dummyfunction("XLOOKUP(AJ1316,IMPORTRANGE(""1XaInW9DU9nz21V0tYIfzFQ0He9kVQ_JF2mCXgZ3hqFA"",""REKAP ALL 2026 - Andika!G:G""),IMPORTRANGE(""1XaInW9DU9nz21V0tYIfzFQ0He9kVQ_JF2mCXgZ3hqFA"",""REKAP ALL 2026 - Andika!F:F""),"""",0)"),"24049127053")</f>
        <v>24049127053</v>
      </c>
      <c r="G1316" s="15" t="s">
        <v>5774</v>
      </c>
      <c r="H1316" s="13" t="s">
        <v>35</v>
      </c>
      <c r="I1316" s="13" t="str">
        <f aca="false">IF(C1316=J1316,"NEW KONTRAK","RE-KONTRAK")</f>
        <v>RE-KONTRAK</v>
      </c>
      <c r="J1316" s="16" t="n">
        <f aca="false" t="array" ref="J1316:J1316">IFERROR(INDEX(AC1316:AE1316,IF(COUNTA(AC1316:AE1316)=0,"",MAX((AC1316:AE1316&lt;&gt;"")*(COLUMN(AC1316:AE1316)-(COLUMN(AC1316)))))-1),"")</f>
        <v>45839</v>
      </c>
      <c r="K1316" s="16" t="n">
        <f aca="false" t="array" ref="K1316:K1316">IFERROR(INDEX(AC1316:AE1316,IF(COUNTA(AC1316:AE1316)=0,"",MAX((AC1316:AE1316&lt;&gt;"")*(COLUMN(AC1316:AE1316)-(COLUMN(AC1316)-1))))-1),"")</f>
        <v>45961</v>
      </c>
      <c r="L1316" s="17" t="str">
        <f aca="false" t="array" ref="L1316:L1316">IFERROR(INDEX(AC1316:AE1316,IF(COUNTA(AC1316:AE1316)=0,"",MAX((AC1316:AE1316&lt;&gt;"")*(COLUMN(AC1316:AE1316)-(COLUMN(AC1316)-2))))-1),"")</f>
        <v>ARCHIVED</v>
      </c>
      <c r="M1316" s="13" t="n">
        <f aca="true">K1316-TODAY()</f>
        <v>-363</v>
      </c>
      <c r="N1316" s="18" t="s">
        <v>36</v>
      </c>
      <c r="O1316" s="13" t="s">
        <v>2049</v>
      </c>
      <c r="P1316" s="19" t="s">
        <v>2050</v>
      </c>
      <c r="Q1316" s="20" t="s">
        <v>5775</v>
      </c>
      <c r="R1316" s="13" t="s">
        <v>83</v>
      </c>
      <c r="S1316" s="14" t="n">
        <v>38480</v>
      </c>
      <c r="T1316" s="13" t="s">
        <v>40</v>
      </c>
      <c r="U1316" s="13" t="s">
        <v>5776</v>
      </c>
      <c r="V1316" s="13" t="s">
        <v>42</v>
      </c>
      <c r="W1316" s="13" t="s">
        <v>43</v>
      </c>
      <c r="X1316" s="21" t="n">
        <v>83851782034</v>
      </c>
      <c r="Y1316" s="22" t="str">
        <f aca="false">O1316</f>
        <v>Produksi Extrude</v>
      </c>
      <c r="Z1316" s="13" t="str">
        <f aca="false">IFERROR(__xludf.dummyfunction("if(BJ1316="""","""",GOOGLETRANSLATE(BJ1316,""auto"",""en""))"),"Extrude Production")</f>
        <v>Extrude Production</v>
      </c>
      <c r="AA1316" s="23" t="str">
        <f aca="false">IF(C1316="","", CHOOSE(MONTH(C1316),"January","February","March","April","May","June","July","August","September","October","November","December")&amp;" "&amp;DAY(C1316)&amp;MID("thstndrdth",MIN(9,2*RIGHT(DAY(C1316))*(MOD(DAY(C1316)-11,100)&gt;2)+1),2)&amp;","&amp;TEXT(C1316," yyyy"))</f>
        <v>March 7th,2024</v>
      </c>
      <c r="AB1316" s="15" t="str">
        <f aca="true">IF(S1316="","",DATEDIF(S1316,TODAY(),"Y")&amp;" Tahun, "&amp;DATEDIF(S1316,TODAY(),"YM")&amp;" Bulan, "&amp;DATEDIF(S1316,TODAY(),"MD")&amp;" Hari")</f>
        <v>21 Tahun, 5 Bulan, 21 Hari</v>
      </c>
      <c r="AC1316" s="18" t="n">
        <v>45839</v>
      </c>
      <c r="AD1316" s="18" t="n">
        <v>45961</v>
      </c>
      <c r="AE1316" s="18" t="s">
        <v>44</v>
      </c>
    </row>
    <row r="1317" customFormat="false" ht="15" hidden="false" customHeight="true" outlineLevel="0" collapsed="false">
      <c r="A1317" s="12" t="n">
        <v>14599</v>
      </c>
      <c r="B1317" s="13" t="s">
        <v>5777</v>
      </c>
      <c r="C1317" s="14" t="n">
        <v>45358</v>
      </c>
      <c r="D1317" s="13" t="s">
        <v>3022</v>
      </c>
      <c r="E1317" s="15" t="s">
        <v>47</v>
      </c>
      <c r="F1317" s="15" t="str">
        <f aca="false">IFERROR(__xludf.dummyfunction("XLOOKUP(AJ1317,IMPORTRANGE(""1XaInW9DU9nz21V0tYIfzFQ0He9kVQ_JF2mCXgZ3hqFA"",""REKAP ALL 2026 - Andika!G:G""),IMPORTRANGE(""1XaInW9DU9nz21V0tYIfzFQ0He9kVQ_JF2mCXgZ3hqFA"",""REKAP ALL 2026 - Andika!F:F""),"""",0)"),"24049156359")</f>
        <v>24049156359</v>
      </c>
      <c r="G1317" s="13" t="s">
        <v>5778</v>
      </c>
      <c r="H1317" s="13" t="s">
        <v>3024</v>
      </c>
      <c r="I1317" s="13" t="str">
        <f aca="false">IF(C1317=J1317,"NEW KONTRAK","RE-KONTRAK")</f>
        <v>RE-KONTRAK</v>
      </c>
      <c r="J1317" s="16" t="n">
        <f aca="false" t="array" ref="J1317:J1317">IFERROR(INDEX(AC1317:AE1317,IF(COUNTA(AC1317:AE1317)=0,"",MAX((AC1317:AE1317&lt;&gt;"")*(COLUMN(AC1317:AE1317)-(COLUMN(AC1317)))))-1),"")</f>
        <v>45570</v>
      </c>
      <c r="K1317" s="16" t="n">
        <f aca="false" t="array" ref="K1317:K1317">IFERROR(INDEX(AC1317:AE1317,IF(COUNTA(AC1317:AE1317)=0,"",MAX((AC1317:AE1317&lt;&gt;"")*(COLUMN(AC1317:AE1317)-(COLUMN(AC1317)-1))))-1),"")</f>
        <v>45934</v>
      </c>
      <c r="L1317" s="17" t="str">
        <f aca="false" t="array" ref="L1317:L1317">IFERROR(INDEX(AC1317:AE1317,IF(COUNTA(AC1317:AE1317)=0,"",MAX((AC1317:AE1317&lt;&gt;"")*(COLUMN(AC1317:AE1317)-(COLUMN(AC1317)-2))))-1),"")</f>
        <v>ARCHIVED</v>
      </c>
      <c r="M1317" s="13" t="n">
        <f aca="true">K1317-TODAY()</f>
        <v>-390</v>
      </c>
      <c r="N1317" s="18" t="s">
        <v>36</v>
      </c>
      <c r="O1317" s="13" t="s">
        <v>3030</v>
      </c>
      <c r="P1317" s="19" t="n">
        <v>137500</v>
      </c>
      <c r="Q1317" s="20" t="s">
        <v>5779</v>
      </c>
      <c r="R1317" s="13" t="s">
        <v>232</v>
      </c>
      <c r="S1317" s="14" t="n">
        <v>35240</v>
      </c>
      <c r="T1317" s="13" t="s">
        <v>40</v>
      </c>
      <c r="U1317" s="13" t="s">
        <v>4867</v>
      </c>
      <c r="V1317" s="13" t="s">
        <v>42</v>
      </c>
      <c r="W1317" s="13" t="s">
        <v>54</v>
      </c>
      <c r="X1317" s="21" t="n">
        <v>82233254876</v>
      </c>
      <c r="Y1317" s="22" t="str">
        <f aca="false">O1317</f>
        <v>Produksi ( Shearing )</v>
      </c>
      <c r="Z1317" s="13" t="str">
        <f aca="false">IFERROR(__xludf.dummyfunction("if(BJ1317="""","""",GOOGLETRANSLATE(BJ1317,""auto"",""en""))"),"Production (Shearing)")</f>
        <v>Production (Shearing)</v>
      </c>
      <c r="AA1317" s="23" t="str">
        <f aca="false">IF(C1317="","", CHOOSE(MONTH(C1317),"January","February","March","April","May","June","July","August","September","October","November","December")&amp;" "&amp;DAY(C1317)&amp;MID("thstndrdth",MIN(9,2*RIGHT(DAY(C1317))*(MOD(DAY(C1317)-11,100)&gt;2)+1),2)&amp;","&amp;TEXT(C1317," yyyy"))</f>
        <v>March 7th,2024</v>
      </c>
      <c r="AB1317" s="15" t="str">
        <f aca="true">IF(S1317="","",DATEDIF(S1317,TODAY(),"Y")&amp;" Tahun, "&amp;DATEDIF(S1317,TODAY(),"YM")&amp;" Bulan, "&amp;DATEDIF(S1317,TODAY(),"MD")&amp;" Hari")</f>
        <v>30 Tahun, 4 Bulan, 5 Hari</v>
      </c>
      <c r="AC1317" s="18" t="n">
        <v>45570</v>
      </c>
      <c r="AD1317" s="18" t="n">
        <v>45934</v>
      </c>
      <c r="AE1317" s="18" t="s">
        <v>44</v>
      </c>
    </row>
    <row r="1318" customFormat="false" ht="15" hidden="false" customHeight="true" outlineLevel="0" collapsed="false">
      <c r="A1318" s="12" t="n">
        <v>14693</v>
      </c>
      <c r="B1318" s="13" t="s">
        <v>5780</v>
      </c>
      <c r="C1318" s="14" t="n">
        <v>45372</v>
      </c>
      <c r="D1318" s="13" t="s">
        <v>5726</v>
      </c>
      <c r="E1318" s="15" t="s">
        <v>789</v>
      </c>
      <c r="F1318" s="24" t="s">
        <v>5781</v>
      </c>
      <c r="G1318" s="15" t="s">
        <v>5782</v>
      </c>
      <c r="H1318" s="13" t="s">
        <v>35</v>
      </c>
      <c r="I1318" s="13" t="str">
        <f aca="false">IF(C1318=J1318,"NEW KONTRAK","RE-KONTRAK")</f>
        <v>RE-KONTRAK</v>
      </c>
      <c r="J1318" s="16" t="n">
        <f aca="false" t="array" ref="J1318:J1318">IFERROR(INDEX(AC1318:AE1318,IF(COUNTA(AC1318:AE1318)=0,"",MAX((AC1318:AE1318&lt;&gt;"")*(COLUMN(AC1318:AE1318)-(COLUMN(AC1318)))))-1),"")</f>
        <v>45737</v>
      </c>
      <c r="K1318" s="16" t="n">
        <f aca="false" t="array" ref="K1318:K1318">IFERROR(INDEX(AC1318:AE1318,IF(COUNTA(AC1318:AE1318)=0,"",MAX((AC1318:AE1318&lt;&gt;"")*(COLUMN(AC1318:AE1318)-(COLUMN(AC1318)-1))))-1),"")</f>
        <v>45920</v>
      </c>
      <c r="L1318" s="17" t="str">
        <f aca="false" t="array" ref="L1318:L1318">IFERROR(INDEX(AC1318:AE1318,IF(COUNTA(AC1318:AE1318)=0,"",MAX((AC1318:AE1318&lt;&gt;"")*(COLUMN(AC1318:AE1318)-(COLUMN(AC1318)-2))))-1),"")</f>
        <v>ARCHIVED</v>
      </c>
      <c r="M1318" s="13" t="n">
        <f aca="true">K1318-TODAY()</f>
        <v>-404</v>
      </c>
      <c r="N1318" s="18" t="s">
        <v>615</v>
      </c>
      <c r="O1318" s="13" t="s">
        <v>5783</v>
      </c>
      <c r="P1318" s="19" t="n">
        <v>5176101</v>
      </c>
      <c r="Q1318" s="20" t="s">
        <v>5784</v>
      </c>
      <c r="R1318" s="13" t="s">
        <v>232</v>
      </c>
      <c r="S1318" s="14" t="n">
        <v>36878</v>
      </c>
      <c r="T1318" s="13" t="s">
        <v>40</v>
      </c>
      <c r="U1318" s="13" t="s">
        <v>5785</v>
      </c>
      <c r="V1318" s="13" t="s">
        <v>42</v>
      </c>
      <c r="W1318" s="13" t="s">
        <v>43</v>
      </c>
      <c r="X1318" s="21" t="n">
        <v>87842261323</v>
      </c>
      <c r="Y1318" s="22" t="str">
        <f aca="false">O1318</f>
        <v>QC</v>
      </c>
      <c r="Z1318" s="13" t="str">
        <f aca="false">IFERROR(__xludf.dummyfunction("if(BJ1318="""","""",GOOGLETRANSLATE(BJ1318,""auto"",""en""))"),"QC")</f>
        <v>QC</v>
      </c>
      <c r="AA1318" s="23" t="str">
        <f aca="false">IF(C1318="","", CHOOSE(MONTH(C1318),"January","February","March","April","May","June","July","August","September","October","November","December")&amp;" "&amp;DAY(C1318)&amp;MID("thstndrdth",MIN(9,2*RIGHT(DAY(C1318))*(MOD(DAY(C1318)-11,100)&gt;2)+1),2)&amp;","&amp;TEXT(C1318," yyyy"))</f>
        <v>March 21st,2024</v>
      </c>
      <c r="AB1318" s="15" t="str">
        <f aca="true">IF(S1318="","",DATEDIF(S1318,TODAY(),"Y")&amp;" Tahun, "&amp;DATEDIF(S1318,TODAY(),"YM")&amp;" Bulan, "&amp;DATEDIF(S1318,TODAY(),"MD")&amp;" Hari")</f>
        <v>25 Tahun, 10 Bulan, 11 Hari</v>
      </c>
      <c r="AC1318" s="18" t="n">
        <v>45737</v>
      </c>
      <c r="AD1318" s="18" t="n">
        <v>45920</v>
      </c>
      <c r="AE1318" s="18" t="s">
        <v>44</v>
      </c>
    </row>
    <row r="1319" customFormat="false" ht="15" hidden="false" customHeight="true" outlineLevel="0" collapsed="false">
      <c r="A1319" s="12" t="n">
        <v>14694</v>
      </c>
      <c r="B1319" s="13" t="s">
        <v>5786</v>
      </c>
      <c r="C1319" s="14" t="n">
        <v>45372</v>
      </c>
      <c r="D1319" s="13" t="s">
        <v>5726</v>
      </c>
      <c r="E1319" s="15" t="s">
        <v>47</v>
      </c>
      <c r="F1319" s="15" t="str">
        <f aca="false">IFERROR(__xludf.dummyfunction("XLOOKUP(AJ1319,IMPORTRANGE(""1XaInW9DU9nz21V0tYIfzFQ0He9kVQ_JF2mCXgZ3hqFA"",""REKAP ALL 2026 - Andika!G:G""),IMPORTRANGE(""1XaInW9DU9nz21V0tYIfzFQ0He9kVQ_JF2mCXgZ3hqFA"",""REKAP ALL 2026 - Andika!F:F""),"""",0)"),"24061769022")</f>
        <v>24061769022</v>
      </c>
      <c r="G1319" s="13" t="s">
        <v>5787</v>
      </c>
      <c r="H1319" s="13" t="s">
        <v>35</v>
      </c>
      <c r="I1319" s="13" t="str">
        <f aca="false">IF(C1319=J1319,"NEW KONTRAK","RE-KONTRAK")</f>
        <v>RE-KONTRAK</v>
      </c>
      <c r="J1319" s="16" t="n">
        <f aca="false" t="array" ref="J1319:J1319">IFERROR(INDEX(AC1319:AE1319,IF(COUNTA(AC1319:AE1319)=0,"",MAX((AC1319:AE1319&lt;&gt;"")*(COLUMN(AC1319:AE1319)-(COLUMN(AC1319)))))-1),"")</f>
        <v>45737</v>
      </c>
      <c r="K1319" s="16" t="n">
        <f aca="false" t="array" ref="K1319:K1319">IFERROR(INDEX(AC1319:AE1319,IF(COUNTA(AC1319:AE1319)=0,"",MAX((AC1319:AE1319&lt;&gt;"")*(COLUMN(AC1319:AE1319)-(COLUMN(AC1319)-1))))-1),"")</f>
        <v>45920</v>
      </c>
      <c r="L1319" s="17" t="str">
        <f aca="false" t="array" ref="L1319:L1319">IFERROR(INDEX(AC1319:AE1319,IF(COUNTA(AC1319:AE1319)=0,"",MAX((AC1319:AE1319&lt;&gt;"")*(COLUMN(AC1319:AE1319)-(COLUMN(AC1319)-2))))-1),"")</f>
        <v>ARCHIVED</v>
      </c>
      <c r="M1319" s="13" t="n">
        <f aca="true">K1319-TODAY()</f>
        <v>-404</v>
      </c>
      <c r="N1319" s="18" t="s">
        <v>615</v>
      </c>
      <c r="O1319" s="13" t="s">
        <v>5783</v>
      </c>
      <c r="P1319" s="19" t="n">
        <v>5176101</v>
      </c>
      <c r="Q1319" s="20" t="s">
        <v>5788</v>
      </c>
      <c r="R1319" s="13" t="s">
        <v>260</v>
      </c>
      <c r="S1319" s="14" t="n">
        <v>35681</v>
      </c>
      <c r="T1319" s="13" t="s">
        <v>40</v>
      </c>
      <c r="U1319" s="13" t="s">
        <v>5789</v>
      </c>
      <c r="V1319" s="13" t="s">
        <v>42</v>
      </c>
      <c r="W1319" s="13" t="s">
        <v>54</v>
      </c>
      <c r="X1319" s="21" t="n">
        <v>85334563005</v>
      </c>
      <c r="Y1319" s="22" t="str">
        <f aca="false">O1319</f>
        <v>QC</v>
      </c>
      <c r="Z1319" s="13" t="str">
        <f aca="false">IFERROR(__xludf.dummyfunction("if(BJ1319="""","""",GOOGLETRANSLATE(BJ1319,""auto"",""en""))"),"QC")</f>
        <v>QC</v>
      </c>
      <c r="AA1319" s="23" t="str">
        <f aca="false">IF(C1319="","", CHOOSE(MONTH(C1319),"January","February","March","April","May","June","July","August","September","October","November","December")&amp;" "&amp;DAY(C1319)&amp;MID("thstndrdth",MIN(9,2*RIGHT(DAY(C1319))*(MOD(DAY(C1319)-11,100)&gt;2)+1),2)&amp;","&amp;TEXT(C1319," yyyy"))</f>
        <v>March 21st,2024</v>
      </c>
      <c r="AB1319" s="15" t="str">
        <f aca="true">IF(S1319="","",DATEDIF(S1319,TODAY(),"Y")&amp;" Tahun, "&amp;DATEDIF(S1319,TODAY(),"YM")&amp;" Bulan, "&amp;DATEDIF(S1319,TODAY(),"MD")&amp;" Hari")</f>
        <v>29 Tahun, 1 Bulan, 21 Hari</v>
      </c>
      <c r="AC1319" s="18" t="n">
        <v>45737</v>
      </c>
      <c r="AD1319" s="18" t="n">
        <f aca="false">EDATE(AC1319,6)-1</f>
        <v>45920</v>
      </c>
      <c r="AE1319" s="18" t="s">
        <v>44</v>
      </c>
    </row>
    <row r="1320" customFormat="false" ht="15" hidden="false" customHeight="true" outlineLevel="0" collapsed="false">
      <c r="A1320" s="12" t="n">
        <v>14733</v>
      </c>
      <c r="B1320" s="13" t="s">
        <v>5790</v>
      </c>
      <c r="C1320" s="14" t="n">
        <v>45371</v>
      </c>
      <c r="D1320" s="13" t="s">
        <v>5791</v>
      </c>
      <c r="E1320" s="15" t="s">
        <v>47</v>
      </c>
      <c r="F1320" s="15" t="str">
        <f aca="false">IFERROR(__xludf.dummyfunction("XLOOKUP(AJ1320,IMPORTRANGE(""1XaInW9DU9nz21V0tYIfzFQ0He9kVQ_JF2mCXgZ3hqFA"",""REKAP ALL 2026 - Andika!G:G""),IMPORTRANGE(""1XaInW9DU9nz21V0tYIfzFQ0He9kVQ_JF2mCXgZ3hqFA"",""REKAP ALL 2026 - Andika!F:F""),"""",0)"),"24061749081")</f>
        <v>24061749081</v>
      </c>
      <c r="G1320" s="13" t="s">
        <v>5792</v>
      </c>
      <c r="H1320" s="13" t="s">
        <v>35</v>
      </c>
      <c r="I1320" s="13" t="str">
        <f aca="false">IF(C1320=J1320,"NEW KONTRAK","RE-KONTRAK")</f>
        <v>RE-KONTRAK</v>
      </c>
      <c r="J1320" s="16" t="n">
        <f aca="false" t="array" ref="J1320:J1320">IFERROR(INDEX(AC1320:AE1320,IF(COUNTA(AC1320:AE1320)=0,"",MAX((AC1320:AE1320&lt;&gt;"")*(COLUMN(AC1320:AE1320)-(COLUMN(AC1320)))))-1),"")</f>
        <v>45828</v>
      </c>
      <c r="K1320" s="16" t="n">
        <f aca="false" t="array" ref="K1320:K1320">IFERROR(INDEX(AC1320:AE1320,IF(COUNTA(AC1320:AE1320)=0,"",MAX((AC1320:AE1320&lt;&gt;"")*(COLUMN(AC1320:AE1320)-(COLUMN(AC1320)-1))))-1),"")</f>
        <v>46010</v>
      </c>
      <c r="L1320" s="17" t="str">
        <f aca="false" t="array" ref="L1320:L1320">IFERROR(INDEX(AC1320:AE1320,IF(COUNTA(AC1320:AE1320)=0,"",MAX((AC1320:AE1320&lt;&gt;"")*(COLUMN(AC1320:AE1320)-(COLUMN(AC1320)-2))))-1),"")</f>
        <v>ARCHIVED</v>
      </c>
      <c r="M1320" s="13" t="n">
        <f aca="true">K1320-TODAY()</f>
        <v>-314</v>
      </c>
      <c r="N1320" s="18" t="s">
        <v>728</v>
      </c>
      <c r="O1320" s="13" t="s">
        <v>3271</v>
      </c>
      <c r="P1320" s="19" t="n">
        <v>125000</v>
      </c>
      <c r="Q1320" s="20" t="s">
        <v>5793</v>
      </c>
      <c r="R1320" s="13" t="s">
        <v>148</v>
      </c>
      <c r="S1320" s="14" t="n">
        <v>31858</v>
      </c>
      <c r="T1320" s="13" t="s">
        <v>40</v>
      </c>
      <c r="U1320" s="13" t="s">
        <v>5794</v>
      </c>
      <c r="V1320" s="13" t="s">
        <v>42</v>
      </c>
      <c r="W1320" s="13" t="s">
        <v>54</v>
      </c>
      <c r="X1320" s="21" t="n">
        <v>85706677298</v>
      </c>
      <c r="Y1320" s="22" t="str">
        <f aca="false">O1320</f>
        <v>Helper</v>
      </c>
      <c r="Z1320" s="13" t="str">
        <f aca="false">IFERROR(__xludf.dummyfunction("if(BJ1320="""","""",GOOGLETRANSLATE(BJ1320,""auto"",""en""))"),"Helper")</f>
        <v>Helper</v>
      </c>
      <c r="AA1320" s="23" t="str">
        <f aca="false">IF(C1320="","", CHOOSE(MONTH(C1320),"January","February","March","April","May","June","July","August","September","October","November","December")&amp;" "&amp;DAY(C1320)&amp;MID("thstndrdth",MIN(9,2*RIGHT(DAY(C1320))*(MOD(DAY(C1320)-11,100)&gt;2)+1),2)&amp;","&amp;TEXT(C1320," yyyy"))</f>
        <v>March 20th,2024</v>
      </c>
      <c r="AB1320" s="15" t="str">
        <f aca="true">IF(S1320="","",DATEDIF(S1320,TODAY(),"Y")&amp;" Tahun, "&amp;DATEDIF(S1320,TODAY(),"YM")&amp;" Bulan, "&amp;DATEDIF(S1320,TODAY(),"MD")&amp;" Hari")</f>
        <v>39 Tahun, 7 Bulan, 7 Hari</v>
      </c>
      <c r="AC1320" s="70" t="n">
        <v>45828</v>
      </c>
      <c r="AD1320" s="70" t="n">
        <v>46010</v>
      </c>
      <c r="AE1320" s="70" t="s">
        <v>44</v>
      </c>
    </row>
    <row r="1321" customFormat="false" ht="15" hidden="false" customHeight="true" outlineLevel="0" collapsed="false">
      <c r="A1321" s="12" t="n">
        <v>14755</v>
      </c>
      <c r="B1321" s="13" t="s">
        <v>5795</v>
      </c>
      <c r="C1321" s="14" t="n">
        <v>45365</v>
      </c>
      <c r="D1321" s="13" t="s">
        <v>3022</v>
      </c>
      <c r="E1321" s="15" t="s">
        <v>47</v>
      </c>
      <c r="F1321" s="15" t="str">
        <f aca="false">IFERROR(__xludf.dummyfunction("XLOOKUP(AJ1321,IMPORTRANGE(""1XaInW9DU9nz21V0tYIfzFQ0He9kVQ_JF2mCXgZ3hqFA"",""REKAP ALL 2026 - Andika!G:G""),IMPORTRANGE(""1XaInW9DU9nz21V0tYIfzFQ0He9kVQ_JF2mCXgZ3hqFA"",""REKAP ALL 2026 - Andika!F:F""),"""",0)"),"24061749347")</f>
        <v>24061749347</v>
      </c>
      <c r="G1321" s="13" t="s">
        <v>5796</v>
      </c>
      <c r="H1321" s="13" t="s">
        <v>3024</v>
      </c>
      <c r="I1321" s="13" t="str">
        <f aca="false">IF(C1321=J1321,"NEW KONTRAK","RE-KONTRAK")</f>
        <v>RE-KONTRAK</v>
      </c>
      <c r="J1321" s="16" t="n">
        <f aca="false" t="array" ref="J1321:J1321">IFERROR(INDEX(AC1321:AE1321,IF(COUNTA(AC1321:AE1321)=0,"",MAX((AC1321:AE1321&lt;&gt;"")*(COLUMN(AC1321:AE1321)-(COLUMN(AC1321)))))-1),"")</f>
        <v>45570</v>
      </c>
      <c r="K1321" s="16" t="n">
        <f aca="false" t="array" ref="K1321:K1321">IFERROR(INDEX(AC1321:AE1321,IF(COUNTA(AC1321:AE1321)=0,"",MAX((AC1321:AE1321&lt;&gt;"")*(COLUMN(AC1321:AE1321)-(COLUMN(AC1321)-1))))-1),"")</f>
        <v>45934</v>
      </c>
      <c r="L1321" s="17" t="str">
        <f aca="false" t="array" ref="L1321:L1321">IFERROR(INDEX(AC1321:AE1321,IF(COUNTA(AC1321:AE1321)=0,"",MAX((AC1321:AE1321&lt;&gt;"")*(COLUMN(AC1321:AE1321)-(COLUMN(AC1321)-2))))-1),"")</f>
        <v>ARCHIVED</v>
      </c>
      <c r="M1321" s="13" t="n">
        <f aca="true">K1321-TODAY()</f>
        <v>-390</v>
      </c>
      <c r="N1321" s="18" t="s">
        <v>36</v>
      </c>
      <c r="O1321" s="13" t="s">
        <v>58</v>
      </c>
      <c r="P1321" s="19" t="n">
        <v>137500</v>
      </c>
      <c r="Q1321" s="20" t="s">
        <v>5797</v>
      </c>
      <c r="R1321" s="13" t="s">
        <v>65</v>
      </c>
      <c r="S1321" s="14" t="n">
        <v>38297</v>
      </c>
      <c r="T1321" s="13" t="s">
        <v>40</v>
      </c>
      <c r="U1321" s="13" t="s">
        <v>5798</v>
      </c>
      <c r="V1321" s="13" t="s">
        <v>42</v>
      </c>
      <c r="W1321" s="13" t="s">
        <v>43</v>
      </c>
      <c r="X1321" s="21" t="n">
        <v>82330403567</v>
      </c>
      <c r="Y1321" s="22" t="str">
        <f aca="false">O1321</f>
        <v>Produksi</v>
      </c>
      <c r="Z1321" s="13" t="str">
        <f aca="false">IFERROR(__xludf.dummyfunction("if(BJ1321="""","""",GOOGLETRANSLATE(BJ1321,""auto"",""en""))"),"Production")</f>
        <v>Production</v>
      </c>
      <c r="AA1321" s="23" t="str">
        <f aca="false">IF(C1321="","", CHOOSE(MONTH(C1321),"January","February","March","April","May","June","July","August","September","October","November","December")&amp;" "&amp;DAY(C1321)&amp;MID("thstndrdth",MIN(9,2*RIGHT(DAY(C1321))*(MOD(DAY(C1321)-11,100)&gt;2)+1),2)&amp;","&amp;TEXT(C1321," yyyy"))</f>
        <v>March 14th,2024</v>
      </c>
      <c r="AB1321" s="15" t="str">
        <f aca="true">IF(S1321="","",DATEDIF(S1321,TODAY(),"Y")&amp;" Tahun, "&amp;DATEDIF(S1321,TODAY(),"YM")&amp;" Bulan, "&amp;DATEDIF(S1321,TODAY(),"MD")&amp;" Hari")</f>
        <v>21 Tahun, 11 Bulan, 23 Hari</v>
      </c>
      <c r="AC1321" s="18" t="n">
        <v>45570</v>
      </c>
      <c r="AD1321" s="18" t="n">
        <v>45934</v>
      </c>
      <c r="AE1321" s="18" t="s">
        <v>44</v>
      </c>
    </row>
    <row r="1322" customFormat="false" ht="15" hidden="false" customHeight="true" outlineLevel="0" collapsed="false">
      <c r="A1322" s="12" t="n">
        <v>14758</v>
      </c>
      <c r="B1322" s="13" t="s">
        <v>5799</v>
      </c>
      <c r="C1322" s="14" t="n">
        <v>45372</v>
      </c>
      <c r="D1322" s="13" t="s">
        <v>3022</v>
      </c>
      <c r="E1322" s="15" t="s">
        <v>47</v>
      </c>
      <c r="F1322" s="15" t="str">
        <f aca="false">IFERROR(__xludf.dummyfunction("XLOOKUP(AJ1322,IMPORTRANGE(""1XaInW9DU9nz21V0tYIfzFQ0He9kVQ_JF2mCXgZ3hqFA"",""REKAP ALL 2026 - Andika!G:G""),IMPORTRANGE(""1XaInW9DU9nz21V0tYIfzFQ0He9kVQ_JF2mCXgZ3hqFA"",""REKAP ALL 2026 - Andika!F:F""),"""",0)"),"24061749362")</f>
        <v>24061749362</v>
      </c>
      <c r="G1322" s="13" t="s">
        <v>5800</v>
      </c>
      <c r="H1322" s="13" t="s">
        <v>3024</v>
      </c>
      <c r="I1322" s="13" t="str">
        <f aca="false">IF(C1322=J1322,"NEW KONTRAK","RE-KONTRAK")</f>
        <v>RE-KONTRAK</v>
      </c>
      <c r="J1322" s="16" t="n">
        <f aca="false" t="array" ref="J1322:J1322">IFERROR(INDEX(AC1322:AE1322,IF(COUNTA(AC1322:AE1322)=0,"",MAX((AC1322:AE1322&lt;&gt;"")*(COLUMN(AC1322:AE1322)-(COLUMN(AC1322)))))-1),"")</f>
        <v>45570</v>
      </c>
      <c r="K1322" s="16" t="n">
        <f aca="false" t="array" ref="K1322:K1322">IFERROR(INDEX(AC1322:AE1322,IF(COUNTA(AC1322:AE1322)=0,"",MAX((AC1322:AE1322&lt;&gt;"")*(COLUMN(AC1322:AE1322)-(COLUMN(AC1322)-1))))-1),"")</f>
        <v>45934</v>
      </c>
      <c r="L1322" s="17" t="str">
        <f aca="false" t="array" ref="L1322:L1322">IFERROR(INDEX(AC1322:AE1322,IF(COUNTA(AC1322:AE1322)=0,"",MAX((AC1322:AE1322&lt;&gt;"")*(COLUMN(AC1322:AE1322)-(COLUMN(AC1322)-2))))-1),"")</f>
        <v>ARCHIVED</v>
      </c>
      <c r="M1322" s="13" t="n">
        <f aca="true">K1322-TODAY()</f>
        <v>-390</v>
      </c>
      <c r="N1322" s="18" t="s">
        <v>36</v>
      </c>
      <c r="O1322" s="13" t="s">
        <v>5801</v>
      </c>
      <c r="P1322" s="19" t="n">
        <v>137500</v>
      </c>
      <c r="Q1322" s="20" t="s">
        <v>5802</v>
      </c>
      <c r="R1322" s="13" t="s">
        <v>148</v>
      </c>
      <c r="S1322" s="14" t="n">
        <v>37130</v>
      </c>
      <c r="T1322" s="13" t="s">
        <v>40</v>
      </c>
      <c r="U1322" s="13" t="s">
        <v>5803</v>
      </c>
      <c r="V1322" s="13" t="s">
        <v>42</v>
      </c>
      <c r="W1322" s="13" t="s">
        <v>43</v>
      </c>
      <c r="X1322" s="21" t="n">
        <v>89635638921</v>
      </c>
      <c r="Y1322" s="22" t="str">
        <f aca="false">O1322</f>
        <v>Produksi( Shearing )</v>
      </c>
      <c r="Z1322" s="13" t="str">
        <f aca="false">IFERROR(__xludf.dummyfunction("if(BJ1322="""","""",GOOGLETRANSLATE(BJ1322,""auto"",""en""))"),"Production (Shearing)")</f>
        <v>Production (Shearing)</v>
      </c>
      <c r="AA1322" s="23" t="str">
        <f aca="false">IF(C1322="","", CHOOSE(MONTH(C1322),"January","February","March","April","May","June","July","August","September","October","November","December")&amp;" "&amp;DAY(C1322)&amp;MID("thstndrdth",MIN(9,2*RIGHT(DAY(C1322))*(MOD(DAY(C1322)-11,100)&gt;2)+1),2)&amp;","&amp;TEXT(C1322," yyyy"))</f>
        <v>March 21st,2024</v>
      </c>
      <c r="AB1322" s="15" t="str">
        <f aca="true">IF(S1322="","",DATEDIF(S1322,TODAY(),"Y")&amp;" Tahun, "&amp;DATEDIF(S1322,TODAY(),"YM")&amp;" Bulan, "&amp;DATEDIF(S1322,TODAY(),"MD")&amp;" Hari")</f>
        <v>25 Tahun, 2 Bulan, 2 Hari</v>
      </c>
      <c r="AC1322" s="18" t="n">
        <v>45570</v>
      </c>
      <c r="AD1322" s="18" t="n">
        <v>45934</v>
      </c>
      <c r="AE1322" s="18" t="s">
        <v>44</v>
      </c>
    </row>
    <row r="1323" customFormat="false" ht="15" hidden="false" customHeight="true" outlineLevel="0" collapsed="false">
      <c r="A1323" s="12" t="n">
        <v>22403</v>
      </c>
      <c r="B1323" s="13" t="s">
        <v>5804</v>
      </c>
      <c r="C1323" s="14" t="n">
        <v>46157</v>
      </c>
      <c r="D1323" s="13" t="s">
        <v>2033</v>
      </c>
      <c r="E1323" s="15" t="s">
        <v>47</v>
      </c>
      <c r="F1323" s="24" t="s">
        <v>5805</v>
      </c>
      <c r="G1323" s="24" t="s">
        <v>57</v>
      </c>
      <c r="H1323" s="13" t="s">
        <v>35</v>
      </c>
      <c r="I1323" s="13" t="str">
        <f aca="false">IF(C1323=J1323,"NEW KONTRAK","RE-KONTRAK")</f>
        <v>NEW KONTRAK</v>
      </c>
      <c r="J1323" s="16" t="n">
        <f aca="false" t="array" ref="J1323:J1323">IFERROR(INDEX(AC1323:AE1323,IF(COUNTA(AC1323:AE1323)=0,"",MAX((AC1323:AE1323&lt;&gt;"")*(COLUMN(AC1323:AE1323)-(COLUMN(AC1323)))))-1),"")</f>
        <v>46157</v>
      </c>
      <c r="K1323" s="16" t="n">
        <f aca="false" t="array" ref="K1323:K1323">IFERROR(INDEX(AC1323:AE1323,IF(COUNTA(AC1323:AE1323)=0,"",MAX((AC1323:AE1323&lt;&gt;"")*(COLUMN(AC1323:AE1323)-(COLUMN(AC1323)-1))))-1),"")</f>
        <v>46248</v>
      </c>
      <c r="L1323" s="17" t="str">
        <f aca="false" t="array" ref="L1323:L1323">IFERROR(INDEX(AC1323:AE1323,IF(COUNTA(AC1323:AE1323)=0,"",MAX((AC1323:AE1323&lt;&gt;"")*(COLUMN(AC1323:AE1323)-(COLUMN(AC1323)-2))))-1),"")</f>
        <v>KEMBALI</v>
      </c>
      <c r="M1323" s="13" t="n">
        <f aca="true">K1323-TODAY()</f>
        <v>-76</v>
      </c>
      <c r="N1323" s="28" t="s">
        <v>2434</v>
      </c>
      <c r="O1323" s="13" t="s">
        <v>2037</v>
      </c>
      <c r="P1323" s="26" t="n">
        <v>2827593</v>
      </c>
      <c r="Q1323" s="47" t="s">
        <v>5806</v>
      </c>
      <c r="R1323" s="13" t="s">
        <v>5807</v>
      </c>
      <c r="S1323" s="16" t="n">
        <v>39499</v>
      </c>
      <c r="T1323" s="13" t="s">
        <v>108</v>
      </c>
      <c r="U1323" s="13" t="s">
        <v>5808</v>
      </c>
      <c r="V1323" s="28" t="s">
        <v>42</v>
      </c>
      <c r="W1323" s="13" t="s">
        <v>43</v>
      </c>
      <c r="X1323" s="21" t="n">
        <v>87819442089</v>
      </c>
      <c r="Y1323" s="22" t="str">
        <f aca="false">O1323</f>
        <v>SPG/BA</v>
      </c>
      <c r="Z1323" s="13" t="str">
        <f aca="false">IFERROR(__xludf.dummyfunction("if(BJ1323="""","""",GOOGLETRANSLATE(BJ1323,""auto"",""en""))"),"SPG/BA")</f>
        <v>SPG/BA</v>
      </c>
      <c r="AA1323" s="23" t="str">
        <f aca="false">IF(C1323="","", CHOOSE(MONTH(C1323),"January","February","March","April","May","June","July","August","September","October","November","December")&amp;" "&amp;DAY(C1323)&amp;MID("thstndrdth",MIN(9,2*RIGHT(DAY(C1323))*(MOD(DAY(C1323)-11,100)&gt;2)+1),2)&amp;","&amp;TEXT(C1323," yyyy"))</f>
        <v>May 15th,2026</v>
      </c>
      <c r="AB1323" s="15" t="str">
        <f aca="true">IF(S1323="","",DATEDIF(S1323,TODAY(),"Y")&amp;" Tahun, "&amp;DATEDIF(S1323,TODAY(),"YM")&amp;" Bulan, "&amp;DATEDIF(S1323,TODAY(),"MD")&amp;" Hari")</f>
        <v>18 Tahun, 8 Bulan, 8 Hari</v>
      </c>
      <c r="AC1323" s="14" t="n">
        <v>46157</v>
      </c>
      <c r="AD1323" s="18" t="n">
        <f aca="false">EDATE(AC1323,3)-1</f>
        <v>46248</v>
      </c>
      <c r="AE1323" s="13" t="s">
        <v>397</v>
      </c>
    </row>
    <row r="1324" customFormat="false" ht="15" hidden="false" customHeight="true" outlineLevel="0" collapsed="false">
      <c r="A1324" s="12" t="n">
        <v>14816</v>
      </c>
      <c r="B1324" s="13" t="s">
        <v>5809</v>
      </c>
      <c r="C1324" s="14" t="n">
        <v>45338</v>
      </c>
      <c r="D1324" s="13" t="s">
        <v>2033</v>
      </c>
      <c r="E1324" s="15" t="s">
        <v>33</v>
      </c>
      <c r="F1324" s="24" t="s">
        <v>5810</v>
      </c>
      <c r="G1324" s="13" t="s">
        <v>5811</v>
      </c>
      <c r="H1324" s="13" t="s">
        <v>2035</v>
      </c>
      <c r="I1324" s="13" t="str">
        <f aca="false">IF(C1324=J1324,"NEW KONTRAK","RE-KONTRAK")</f>
        <v>RE-KONTRAK</v>
      </c>
      <c r="J1324" s="16" t="n">
        <f aca="false" t="array" ref="J1324:J1324">IFERROR(INDEX(AC1324:AE1324,IF(COUNTA(AC1324:AE1324)=0,"",MAX((AC1324:AE1324&lt;&gt;"")*(COLUMN(AC1324:AE1324)-(COLUMN(AC1324)))))-1),"")</f>
        <v>45744</v>
      </c>
      <c r="K1324" s="16" t="n">
        <f aca="false" t="array" ref="K1324:K1324">IFERROR(INDEX(AC1324:AE1324,IF(COUNTA(AC1324:AE1324)=0,"",MAX((AC1324:AE1324&lt;&gt;"")*(COLUMN(AC1324:AE1324)-(COLUMN(AC1324)-1))))-1),"")</f>
        <v>45915</v>
      </c>
      <c r="L1324" s="17" t="str">
        <f aca="false" t="array" ref="L1324:L1324">IFERROR(INDEX(AC1324:AE1324,IF(COUNTA(AC1324:AE1324)=0,"",MAX((AC1324:AE1324&lt;&gt;"")*(COLUMN(AC1324:AE1324)-(COLUMN(AC1324)-2))))-1),"")</f>
        <v>ARCHIVED</v>
      </c>
      <c r="M1324" s="13" t="n">
        <f aca="true">K1324-TODAY()</f>
        <v>-409</v>
      </c>
      <c r="N1324" s="18" t="s">
        <v>2363</v>
      </c>
      <c r="O1324" s="13" t="s">
        <v>2037</v>
      </c>
      <c r="P1324" s="19" t="n">
        <v>4014072</v>
      </c>
      <c r="Q1324" s="20" t="s">
        <v>5812</v>
      </c>
      <c r="R1324" s="13" t="s">
        <v>5813</v>
      </c>
      <c r="S1324" s="14" t="n">
        <v>34346</v>
      </c>
      <c r="T1324" s="13" t="s">
        <v>108</v>
      </c>
      <c r="U1324" s="13" t="s">
        <v>5814</v>
      </c>
      <c r="V1324" s="13" t="s">
        <v>42</v>
      </c>
      <c r="W1324" s="13" t="s">
        <v>54</v>
      </c>
      <c r="X1324" s="21" t="n">
        <v>81360352708</v>
      </c>
      <c r="Y1324" s="22" t="str">
        <f aca="false">O1324</f>
        <v>SPG/BA</v>
      </c>
      <c r="Z1324" s="13" t="str">
        <f aca="false">IFERROR(__xludf.dummyfunction("if(BJ1324="""","""",GOOGLETRANSLATE(BJ1324,""auto"",""en""))"),"SPG/BA")</f>
        <v>SPG/BA</v>
      </c>
      <c r="AA1324" s="23" t="str">
        <f aca="false">IF(C1324="","", CHOOSE(MONTH(C1324),"January","February","March","April","May","June","July","August","September","October","November","December")&amp;" "&amp;DAY(C1324)&amp;MID("thstndrdth",MIN(9,2*RIGHT(DAY(C1324))*(MOD(DAY(C1324)-11,100)&gt;2)+1),2)&amp;","&amp;TEXT(C1324," yyyy"))</f>
        <v>February 16th,2024</v>
      </c>
      <c r="AB1324" s="15" t="str">
        <f aca="true">IF(S1324="","",DATEDIF(S1324,TODAY(),"Y")&amp;" Tahun, "&amp;DATEDIF(S1324,TODAY(),"YM")&amp;" Bulan, "&amp;DATEDIF(S1324,TODAY(),"MD")&amp;" Hari")</f>
        <v>32 Tahun, 9 Bulan, 17 Hari</v>
      </c>
      <c r="AC1324" s="18" t="n">
        <v>45744</v>
      </c>
      <c r="AD1324" s="18" t="n">
        <v>45915</v>
      </c>
      <c r="AE1324" s="18" t="s">
        <v>44</v>
      </c>
    </row>
    <row r="1325" customFormat="false" ht="15" hidden="false" customHeight="true" outlineLevel="0" collapsed="false">
      <c r="A1325" s="12" t="n">
        <v>22597</v>
      </c>
      <c r="B1325" s="45" t="s">
        <v>5815</v>
      </c>
      <c r="C1325" s="14" t="n">
        <v>46199</v>
      </c>
      <c r="D1325" s="13" t="s">
        <v>2033</v>
      </c>
      <c r="E1325" s="13" t="s">
        <v>47</v>
      </c>
      <c r="F1325" s="24" t="s">
        <v>5816</v>
      </c>
      <c r="G1325" s="13" t="s">
        <v>1452</v>
      </c>
      <c r="H1325" s="13" t="s">
        <v>35</v>
      </c>
      <c r="I1325" s="13" t="str">
        <f aca="false">IF(C1325=J1325,"NEW KONTRAK","RE-KONTRAK")</f>
        <v>NEW KONTRAK</v>
      </c>
      <c r="J1325" s="16" t="n">
        <f aca="false" t="array" ref="J1325:J1325">IFERROR(INDEX(AC1325:AE1325,IF(COUNTA(AC1325:AE1325)=0,"",MAX((AC1325:AE1325&lt;&gt;"")*(COLUMN(AC1325:AE1325)-(COLUMN(AC1325)))))-1),"")</f>
        <v>46199</v>
      </c>
      <c r="K1325" s="16" t="n">
        <f aca="false" t="array" ref="K1325:K1325">IFERROR(INDEX(AC1325:AE1325,IF(COUNTA(AC1325:AE1325)=0,"",MAX((AC1325:AE1325&lt;&gt;"")*(COLUMN(AC1325:AE1325)-(COLUMN(AC1325)-1))))-1),"")</f>
        <v>46290</v>
      </c>
      <c r="L1325" s="17" t="str">
        <f aca="false" t="array" ref="L1325:L1325">IFERROR(INDEX(AC1325:AE1325,IF(COUNTA(AC1325:AE1325)=0,"",MAX((AC1325:AE1325&lt;&gt;"")*(COLUMN(AC1325:AE1325)-(COLUMN(AC1325)-2))))-1),"")</f>
        <v>KEMBALI</v>
      </c>
      <c r="M1325" s="13" t="n">
        <f aca="true">K1325-TODAY()</f>
        <v>-34</v>
      </c>
      <c r="N1325" s="13" t="s">
        <v>2390</v>
      </c>
      <c r="O1325" s="13" t="s">
        <v>2384</v>
      </c>
      <c r="P1325" s="26" t="n">
        <v>4192837</v>
      </c>
      <c r="Q1325" s="20" t="s">
        <v>5817</v>
      </c>
      <c r="R1325" s="13" t="s">
        <v>3503</v>
      </c>
      <c r="S1325" s="25" t="n">
        <v>39186</v>
      </c>
      <c r="T1325" s="13" t="s">
        <v>108</v>
      </c>
      <c r="U1325" s="17" t="s">
        <v>5818</v>
      </c>
      <c r="V1325" s="13" t="s">
        <v>42</v>
      </c>
      <c r="W1325" s="13" t="s">
        <v>43</v>
      </c>
      <c r="X1325" s="21" t="n">
        <v>83834350966</v>
      </c>
      <c r="Y1325" s="22" t="str">
        <f aca="false">O1325</f>
        <v>SPG</v>
      </c>
      <c r="Z1325" s="13" t="str">
        <f aca="false">IFERROR(__xludf.dummyfunction("if(BJ1325="""","""",GOOGLETRANSLATE(BJ1325,""auto"",""en""))"),"SPG")</f>
        <v>SPG</v>
      </c>
      <c r="AA1325" s="23" t="str">
        <f aca="false">IF(C1325="","", CHOOSE(MONTH(C1325),"January","February","March","April","May","June","July","August","September","October","November","December")&amp;" "&amp;DAY(C1325)&amp;MID("thstndrdth",MIN(9,2*RIGHT(DAY(C1325))*(MOD(DAY(C1325)-11,100)&gt;2)+1),2)&amp;","&amp;TEXT(C1325," yyyy"))</f>
        <v>June 26th,2026</v>
      </c>
      <c r="AB1325" s="15" t="str">
        <f aca="true">IF(S1325="","",DATEDIF(S1325,TODAY(),"Y")&amp;" Tahun, "&amp;DATEDIF(S1325,TODAY(),"YM")&amp;" Bulan, "&amp;DATEDIF(S1325,TODAY(),"MD")&amp;" Hari")</f>
        <v>19 Tahun, 6 Bulan, 15 Hari</v>
      </c>
      <c r="AC1325" s="14" t="n">
        <v>46199</v>
      </c>
      <c r="AD1325" s="18" t="n">
        <f aca="false">EDATE(AC1325,3)-1</f>
        <v>46290</v>
      </c>
      <c r="AE1325" s="13" t="s">
        <v>397</v>
      </c>
    </row>
    <row r="1326" customFormat="false" ht="15" hidden="false" customHeight="true" outlineLevel="0" collapsed="false">
      <c r="A1326" s="12" t="n">
        <v>14821</v>
      </c>
      <c r="B1326" s="13" t="s">
        <v>5819</v>
      </c>
      <c r="C1326" s="14" t="n">
        <v>45383</v>
      </c>
      <c r="D1326" s="13" t="s">
        <v>961</v>
      </c>
      <c r="E1326" s="15" t="s">
        <v>47</v>
      </c>
      <c r="F1326" s="15" t="str">
        <f aca="false">IFERROR(__xludf.dummyfunction("XLOOKUP(AJ1326,IMPORTRANGE(""1XaInW9DU9nz21V0tYIfzFQ0He9kVQ_JF2mCXgZ3hqFA"",""REKAP ALL 2026 - Andika!G:G""),IMPORTRANGE(""1XaInW9DU9nz21V0tYIfzFQ0He9kVQ_JF2mCXgZ3hqFA"",""REKAP ALL 2026 - Andika!F:F""),"""",0)"),"19000867283")</f>
        <v>19000867283</v>
      </c>
      <c r="G1326" s="13" t="s">
        <v>5820</v>
      </c>
      <c r="H1326" s="13" t="s">
        <v>963</v>
      </c>
      <c r="I1326" s="13" t="str">
        <f aca="false">IF(C1326=J1326,"NEW KONTRAK","RE-KONTRAK")</f>
        <v>RE-KONTRAK</v>
      </c>
      <c r="J1326" s="16" t="n">
        <f aca="false" t="array" ref="J1326:J1326">IFERROR(INDEX(AC1326:AE1326,IF(COUNTA(AC1326:AE1326)=0,"",MAX((AC1326:AE1326&lt;&gt;"")*(COLUMN(AC1326:AE1326)-(COLUMN(AC1326)))))-1),"")</f>
        <v>45658</v>
      </c>
      <c r="K1326" s="16" t="n">
        <f aca="false" t="array" ref="K1326:K1326">IFERROR(INDEX(AC1326:AE1326,IF(COUNTA(AC1326:AE1326)=0,"",MAX((AC1326:AE1326&lt;&gt;"")*(COLUMN(AC1326:AE1326)-(COLUMN(AC1326)-1))))-1),"")</f>
        <v>46022</v>
      </c>
      <c r="L1326" s="17" t="str">
        <f aca="false" t="array" ref="L1326:L1326">IFERROR(INDEX(AC1326:AE1326,IF(COUNTA(AC1326:AE1326)=0,"",MAX((AC1326:AE1326&lt;&gt;"")*(COLUMN(AC1326:AE1326)-(COLUMN(AC1326)-2))))-1),"")</f>
        <v>ARCHIVED</v>
      </c>
      <c r="M1326" s="13" t="n">
        <f aca="true">K1326-TODAY()</f>
        <v>-302</v>
      </c>
      <c r="N1326" s="18" t="s">
        <v>728</v>
      </c>
      <c r="O1326" s="13" t="s">
        <v>3849</v>
      </c>
      <c r="P1326" s="19" t="n">
        <v>4961753</v>
      </c>
      <c r="Q1326" s="20" t="s">
        <v>5821</v>
      </c>
      <c r="R1326" s="13" t="s">
        <v>260</v>
      </c>
      <c r="S1326" s="14" t="n">
        <v>31630</v>
      </c>
      <c r="T1326" s="13" t="s">
        <v>40</v>
      </c>
      <c r="U1326" s="13" t="s">
        <v>5822</v>
      </c>
      <c r="V1326" s="13" t="s">
        <v>42</v>
      </c>
      <c r="W1326" s="13" t="s">
        <v>54</v>
      </c>
      <c r="X1326" s="21" t="n">
        <v>81515936913</v>
      </c>
      <c r="Y1326" s="22" t="str">
        <f aca="false">O1326</f>
        <v>Operator B3</v>
      </c>
      <c r="Z1326" s="13" t="str">
        <f aca="false">IFERROR(__xludf.dummyfunction("if(BJ1326="""","""",GOOGLETRANSLATE(BJ1326,""auto"",""en""))"),"Operator B3")</f>
        <v>Operator B3</v>
      </c>
      <c r="AA1326" s="23" t="str">
        <f aca="false">IF(C1326="","", CHOOSE(MONTH(C1326),"January","February","March","April","May","June","July","August","September","October","November","December")&amp;" "&amp;DAY(C1326)&amp;MID("thstndrdth",MIN(9,2*RIGHT(DAY(C1326))*(MOD(DAY(C1326)-11,100)&gt;2)+1),2)&amp;","&amp;TEXT(C1326," yyyy"))</f>
        <v>April 1st,2024</v>
      </c>
      <c r="AB1326" s="15" t="str">
        <f aca="true">IF(S1326="","",DATEDIF(S1326,TODAY(),"Y")&amp;" Tahun, "&amp;DATEDIF(S1326,TODAY(),"YM")&amp;" Bulan, "&amp;DATEDIF(S1326,TODAY(),"MD")&amp;" Hari")</f>
        <v>40 Tahun, 2 Bulan, 23 Hari</v>
      </c>
      <c r="AC1326" s="18" t="n">
        <v>45658</v>
      </c>
      <c r="AD1326" s="18" t="n">
        <v>46022</v>
      </c>
      <c r="AE1326" s="18" t="s">
        <v>44</v>
      </c>
    </row>
    <row r="1327" customFormat="false" ht="15" hidden="false" customHeight="true" outlineLevel="0" collapsed="false">
      <c r="A1327" s="12" t="n">
        <v>14857</v>
      </c>
      <c r="B1327" s="13" t="s">
        <v>5823</v>
      </c>
      <c r="C1327" s="14" t="n">
        <v>45398</v>
      </c>
      <c r="D1327" s="13" t="s">
        <v>404</v>
      </c>
      <c r="E1327" s="15" t="s">
        <v>47</v>
      </c>
      <c r="F1327" s="15" t="str">
        <f aca="false">IFERROR(__xludf.dummyfunction("XLOOKUP(AJ1327,IMPORTRANGE(""1XaInW9DU9nz21V0tYIfzFQ0He9kVQ_JF2mCXgZ3hqFA"",""REKAP ALL 2026 - Andika!G:G""),IMPORTRANGE(""1XaInW9DU9nz21V0tYIfzFQ0He9kVQ_JF2mCXgZ3hqFA"",""REKAP ALL 2026 - Andika!F:F""),"""",0)"),"24061749065")</f>
        <v>24061749065</v>
      </c>
      <c r="G1327" s="13" t="s">
        <v>5824</v>
      </c>
      <c r="H1327" s="13" t="s">
        <v>35</v>
      </c>
      <c r="I1327" s="13" t="str">
        <f aca="false">IF(C1327=J1327,"NEW KONTRAK","RE-KONTRAK")</f>
        <v>RE-KONTRAK</v>
      </c>
      <c r="J1327" s="16" t="n">
        <f aca="false" t="array" ref="J1327:J1327">IFERROR(INDEX(AC1327:AE1327,IF(COUNTA(AC1327:AE1327)=0,"",MAX((AC1327:AE1327&lt;&gt;"")*(COLUMN(AC1327:AE1327)-(COLUMN(AC1327)))))-1),"")</f>
        <v>45658</v>
      </c>
      <c r="K1327" s="16" t="n">
        <f aca="false" t="array" ref="K1327:K1327">IFERROR(INDEX(AC1327:AE1327,IF(COUNTA(AC1327:AE1327)=0,"",MAX((AC1327:AE1327&lt;&gt;"")*(COLUMN(AC1327:AE1327)-(COLUMN(AC1327)-1))))-1),"")</f>
        <v>46022</v>
      </c>
      <c r="L1327" s="17" t="str">
        <f aca="false" t="array" ref="L1327:L1327">IFERROR(INDEX(AC1327:AE1327,IF(COUNTA(AC1327:AE1327)=0,"",MAX((AC1327:AE1327&lt;&gt;"")*(COLUMN(AC1327:AE1327)-(COLUMN(AC1327)-2))))-1),"")</f>
        <v>ARCHIVED</v>
      </c>
      <c r="M1327" s="13" t="n">
        <f aca="true">K1327-TODAY()</f>
        <v>-302</v>
      </c>
      <c r="N1327" s="18" t="s">
        <v>36</v>
      </c>
      <c r="O1327" s="13" t="s">
        <v>411</v>
      </c>
      <c r="P1327" s="26" t="n">
        <v>5195401</v>
      </c>
      <c r="Q1327" s="20" t="s">
        <v>5825</v>
      </c>
      <c r="R1327" s="13" t="s">
        <v>65</v>
      </c>
      <c r="S1327" s="14" t="n">
        <v>36918</v>
      </c>
      <c r="T1327" s="13" t="s">
        <v>108</v>
      </c>
      <c r="U1327" s="13" t="s">
        <v>5826</v>
      </c>
      <c r="V1327" s="13" t="s">
        <v>42</v>
      </c>
      <c r="W1327" s="13" t="s">
        <v>43</v>
      </c>
      <c r="X1327" s="21" t="n">
        <v>81234503634</v>
      </c>
      <c r="Y1327" s="22" t="str">
        <f aca="false">O1327</f>
        <v>Dry Fact</v>
      </c>
      <c r="Z1327" s="13" t="str">
        <f aca="false">IFERROR(__xludf.dummyfunction("if(BJ1327="""","""",GOOGLETRANSLATE(BJ1327,""auto"",""en""))"),"Dry Fact")</f>
        <v>Dry Fact</v>
      </c>
      <c r="AA1327" s="23" t="str">
        <f aca="false">IF(C1327="","", CHOOSE(MONTH(C1327),"January","February","March","April","May","June","July","August","September","October","November","December")&amp;" "&amp;DAY(C1327)&amp;MID("thstndrdth",MIN(9,2*RIGHT(DAY(C1327))*(MOD(DAY(C1327)-11,100)&gt;2)+1),2)&amp;","&amp;TEXT(C1327," yyyy"))</f>
        <v>April 16th,2024</v>
      </c>
      <c r="AB1327" s="15" t="str">
        <f aca="true">IF(S1327="","",DATEDIF(S1327,TODAY(),"Y")&amp;" Tahun, "&amp;DATEDIF(S1327,TODAY(),"YM")&amp;" Bulan, "&amp;DATEDIF(S1327,TODAY(),"MD")&amp;" Hari")</f>
        <v>25 Tahun, 9 Bulan, 2 Hari</v>
      </c>
      <c r="AC1327" s="18" t="n">
        <v>45658</v>
      </c>
      <c r="AD1327" s="18" t="n">
        <v>46022</v>
      </c>
      <c r="AE1327" s="18" t="s">
        <v>44</v>
      </c>
    </row>
    <row r="1328" customFormat="false" ht="15" hidden="false" customHeight="true" outlineLevel="0" collapsed="false">
      <c r="A1328" s="12" t="n">
        <v>14870</v>
      </c>
      <c r="B1328" s="13" t="s">
        <v>5827</v>
      </c>
      <c r="C1328" s="14" t="n">
        <v>45381</v>
      </c>
      <c r="D1328" s="13" t="s">
        <v>2033</v>
      </c>
      <c r="E1328" s="15" t="s">
        <v>789</v>
      </c>
      <c r="F1328" s="24" t="s">
        <v>5828</v>
      </c>
      <c r="G1328" s="13" t="s">
        <v>5829</v>
      </c>
      <c r="H1328" s="13" t="s">
        <v>2035</v>
      </c>
      <c r="I1328" s="13" t="str">
        <f aca="false">IF(C1328=J1328,"NEW KONTRAK","RE-KONTRAK")</f>
        <v>RE-KONTRAK</v>
      </c>
      <c r="J1328" s="16" t="n">
        <f aca="false" t="array" ref="J1328:J1328">IFERROR(INDEX(AC1328:AE1328,IF(COUNTA(AC1328:AE1328)=0,"",MAX((AC1328:AE1328&lt;&gt;"")*(COLUMN(AC1328:AE1328)-(COLUMN(AC1328)))))-1),"")</f>
        <v>45744</v>
      </c>
      <c r="K1328" s="16" t="n">
        <f aca="false" t="array" ref="K1328:K1328">IFERROR(INDEX(AC1328:AE1328,IF(COUNTA(AC1328:AE1328)=0,"",MAX((AC1328:AE1328&lt;&gt;"")*(COLUMN(AC1328:AE1328)-(COLUMN(AC1328)-1))))-1),"")</f>
        <v>45915</v>
      </c>
      <c r="L1328" s="17" t="str">
        <f aca="false" t="array" ref="L1328:L1328">IFERROR(INDEX(AC1328:AE1328,IF(COUNTA(AC1328:AE1328)=0,"",MAX((AC1328:AE1328&lt;&gt;"")*(COLUMN(AC1328:AE1328)-(COLUMN(AC1328)-2))))-1),"")</f>
        <v>ARCHIVED</v>
      </c>
      <c r="M1328" s="13" t="n">
        <f aca="true">K1328-TODAY()</f>
        <v>-409</v>
      </c>
      <c r="N1328" s="18" t="s">
        <v>5340</v>
      </c>
      <c r="O1328" s="13" t="s">
        <v>2037</v>
      </c>
      <c r="P1328" s="19" t="n">
        <v>3832297</v>
      </c>
      <c r="Q1328" s="20" t="s">
        <v>5830</v>
      </c>
      <c r="R1328" s="13" t="s">
        <v>5340</v>
      </c>
      <c r="S1328" s="14" t="n">
        <v>37065</v>
      </c>
      <c r="T1328" s="13" t="s">
        <v>108</v>
      </c>
      <c r="U1328" s="13" t="s">
        <v>5831</v>
      </c>
      <c r="V1328" s="13" t="s">
        <v>42</v>
      </c>
      <c r="W1328" s="13" t="s">
        <v>43</v>
      </c>
      <c r="X1328" s="21" t="n">
        <v>81521758133</v>
      </c>
      <c r="Y1328" s="22" t="str">
        <f aca="false">O1328</f>
        <v>SPG/BA</v>
      </c>
      <c r="Z1328" s="13" t="str">
        <f aca="false">IFERROR(__xludf.dummyfunction("if(BJ1328="""","""",GOOGLETRANSLATE(BJ1328,""auto"",""en""))"),"SPG/BA")</f>
        <v>SPG/BA</v>
      </c>
      <c r="AA1328" s="23" t="str">
        <f aca="false">IF(C1328="","", CHOOSE(MONTH(C1328),"January","February","March","April","May","June","July","August","September","October","November","December")&amp;" "&amp;DAY(C1328)&amp;MID("thstndrdth",MIN(9,2*RIGHT(DAY(C1328))*(MOD(DAY(C1328)-11,100)&gt;2)+1),2)&amp;","&amp;TEXT(C1328," yyyy"))</f>
        <v>March 30th,2024</v>
      </c>
      <c r="AB1328" s="15" t="str">
        <f aca="true">IF(S1328="","",DATEDIF(S1328,TODAY(),"Y")&amp;" Tahun, "&amp;DATEDIF(S1328,TODAY(),"YM")&amp;" Bulan, "&amp;DATEDIF(S1328,TODAY(),"MD")&amp;" Hari")</f>
        <v>25 Tahun, 4 Bulan, 6 Hari</v>
      </c>
      <c r="AC1328" s="18" t="n">
        <v>45744</v>
      </c>
      <c r="AD1328" s="18" t="n">
        <v>45915</v>
      </c>
      <c r="AE1328" s="18" t="s">
        <v>44</v>
      </c>
    </row>
    <row r="1329" customFormat="false" ht="15" hidden="false" customHeight="true" outlineLevel="0" collapsed="false">
      <c r="A1329" s="12" t="n">
        <v>14871</v>
      </c>
      <c r="B1329" s="13" t="s">
        <v>4312</v>
      </c>
      <c r="C1329" s="14" t="n">
        <v>45383</v>
      </c>
      <c r="D1329" s="13" t="s">
        <v>2033</v>
      </c>
      <c r="E1329" s="15" t="s">
        <v>102</v>
      </c>
      <c r="F1329" s="15" t="str">
        <f aca="false">IFERROR(__xludf.dummyfunction("XLOOKUP(AJ1329,IMPORTRANGE(""1XaInW9DU9nz21V0tYIfzFQ0He9kVQ_JF2mCXgZ3hqFA"",""REKAP ALL 2026 - Andika!G:G""),IMPORTRANGE(""1XaInW9DU9nz21V0tYIfzFQ0He9kVQ_JF2mCXgZ3hqFA"",""REKAP ALL 2026 - Andika!F:F""),"""",0)"),"24061768289")</f>
        <v>24061768289</v>
      </c>
      <c r="G1329" s="13" t="s">
        <v>5832</v>
      </c>
      <c r="H1329" s="13" t="s">
        <v>2035</v>
      </c>
      <c r="I1329" s="13" t="str">
        <f aca="false">IF(C1329=J1329,"NEW KONTRAK","RE-KONTRAK")</f>
        <v>RE-KONTRAK</v>
      </c>
      <c r="J1329" s="16" t="n">
        <f aca="false" t="array" ref="J1329:J1329">IFERROR(INDEX(AC1329:AE1329,IF(COUNTA(AC1329:AE1329)=0,"",MAX((AC1329:AE1329&lt;&gt;"")*(COLUMN(AC1329:AE1329)-(COLUMN(AC1329)))))-1),"")</f>
        <v>45744</v>
      </c>
      <c r="K1329" s="16" t="n">
        <f aca="false" t="array" ref="K1329:K1329">IFERROR(INDEX(AC1329:AE1329,IF(COUNTA(AC1329:AE1329)=0,"",MAX((AC1329:AE1329&lt;&gt;"")*(COLUMN(AC1329:AE1329)-(COLUMN(AC1329)-1))))-1),"")</f>
        <v>45915</v>
      </c>
      <c r="L1329" s="17" t="str">
        <f aca="false" t="array" ref="L1329:L1329">IFERROR(INDEX(AC1329:AE1329,IF(COUNTA(AC1329:AE1329)=0,"",MAX((AC1329:AE1329&lt;&gt;"")*(COLUMN(AC1329:AE1329)-(COLUMN(AC1329)-2))))-1),"")</f>
        <v>ARCHIVED</v>
      </c>
      <c r="M1329" s="13" t="n">
        <f aca="true">K1329-TODAY()</f>
        <v>-409</v>
      </c>
      <c r="N1329" s="18" t="s">
        <v>2587</v>
      </c>
      <c r="O1329" s="13" t="s">
        <v>2037</v>
      </c>
      <c r="P1329" s="19" t="n">
        <v>3599182</v>
      </c>
      <c r="Q1329" s="20" t="s">
        <v>5833</v>
      </c>
      <c r="R1329" s="13" t="s">
        <v>2587</v>
      </c>
      <c r="S1329" s="14" t="n">
        <v>37601</v>
      </c>
      <c r="T1329" s="13" t="s">
        <v>108</v>
      </c>
      <c r="U1329" s="13" t="s">
        <v>5834</v>
      </c>
      <c r="V1329" s="13" t="s">
        <v>42</v>
      </c>
      <c r="W1329" s="13" t="s">
        <v>43</v>
      </c>
      <c r="X1329" s="21" t="n">
        <v>882020884436</v>
      </c>
      <c r="Y1329" s="22" t="str">
        <f aca="false">O1329</f>
        <v>SPG/BA</v>
      </c>
      <c r="Z1329" s="13" t="str">
        <f aca="false">IFERROR(__xludf.dummyfunction("if(BJ1329="""","""",GOOGLETRANSLATE(BJ1329,""auto"",""en""))"),"SPG/BA")</f>
        <v>SPG/BA</v>
      </c>
      <c r="AA1329" s="23" t="str">
        <f aca="false">IF(C1329="","", CHOOSE(MONTH(C1329),"January","February","March","April","May","June","July","August","September","October","November","December")&amp;" "&amp;DAY(C1329)&amp;MID("thstndrdth",MIN(9,2*RIGHT(DAY(C1329))*(MOD(DAY(C1329)-11,100)&gt;2)+1),2)&amp;","&amp;TEXT(C1329," yyyy"))</f>
        <v>April 1st,2024</v>
      </c>
      <c r="AB1329" s="15" t="str">
        <f aca="true">IF(S1329="","",DATEDIF(S1329,TODAY(),"Y")&amp;" Tahun, "&amp;DATEDIF(S1329,TODAY(),"YM")&amp;" Bulan, "&amp;DATEDIF(S1329,TODAY(),"MD")&amp;" Hari")</f>
        <v>23 Tahun, 10 Bulan, 18 Hari</v>
      </c>
      <c r="AC1329" s="18" t="n">
        <v>45744</v>
      </c>
      <c r="AD1329" s="18" t="n">
        <v>45915</v>
      </c>
      <c r="AE1329" s="18" t="s">
        <v>44</v>
      </c>
    </row>
    <row r="1330" customFormat="false" ht="15" hidden="false" customHeight="true" outlineLevel="0" collapsed="false">
      <c r="A1330" s="12" t="n">
        <v>22738</v>
      </c>
      <c r="B1330" s="13" t="s">
        <v>5835</v>
      </c>
      <c r="C1330" s="14" t="n">
        <v>46229</v>
      </c>
      <c r="D1330" s="13" t="s">
        <v>2033</v>
      </c>
      <c r="E1330" s="13" t="s">
        <v>47</v>
      </c>
      <c r="F1330" s="24" t="s">
        <v>5836</v>
      </c>
      <c r="G1330" s="13" t="s">
        <v>1452</v>
      </c>
      <c r="H1330" s="13" t="s">
        <v>35</v>
      </c>
      <c r="I1330" s="13" t="str">
        <f aca="false">IF(C1330=J1330,"NEW KONTRAK","RE-KONTRAK")</f>
        <v>NEW KONTRAK</v>
      </c>
      <c r="J1330" s="16" t="n">
        <f aca="false" t="array" ref="J1330:J1330">IFERROR(INDEX(AC1330:AE1330,IF(COUNTA(AC1330:AE1330)=0,"",MAX((AC1330:AE1330&lt;&gt;"")*(COLUMN(AC1330:AE1330)-(COLUMN(AC1330)))))-1),"")</f>
        <v>46229</v>
      </c>
      <c r="K1330" s="16" t="n">
        <f aca="false" t="array" ref="K1330:K1330">IFERROR(INDEX(AC1330:AE1330,IF(COUNTA(AC1330:AE1330)=0,"",MAX((AC1330:AE1330&lt;&gt;"")*(COLUMN(AC1330:AE1330)-(COLUMN(AC1330)-1))))-1),"")</f>
        <v>46402</v>
      </c>
      <c r="L1330" s="17" t="str">
        <f aca="false" t="array" ref="L1330:L1330">IFERROR(INDEX(AC1330:AE1330,IF(COUNTA(AC1330:AE1330)=0,"",MAX((AC1330:AE1330&lt;&gt;"")*(COLUMN(AC1330:AE1330)-(COLUMN(AC1330)-2))))-1),"")</f>
        <v>ARCHIVED</v>
      </c>
      <c r="M1330" s="13" t="n">
        <f aca="true">K1330-TODAY()</f>
        <v>78</v>
      </c>
      <c r="N1330" s="18" t="s">
        <v>5837</v>
      </c>
      <c r="O1330" s="13" t="s">
        <v>2384</v>
      </c>
      <c r="P1330" s="19" t="n">
        <v>3179565</v>
      </c>
      <c r="Q1330" s="20" t="s">
        <v>5838</v>
      </c>
      <c r="R1330" s="13" t="s">
        <v>2356</v>
      </c>
      <c r="S1330" s="25" t="n">
        <v>37067</v>
      </c>
      <c r="T1330" s="13" t="s">
        <v>108</v>
      </c>
      <c r="U1330" s="13" t="s">
        <v>5839</v>
      </c>
      <c r="V1330" s="13" t="s">
        <v>42</v>
      </c>
      <c r="W1330" s="13" t="s">
        <v>43</v>
      </c>
      <c r="X1330" s="21" t="n">
        <v>85796367533</v>
      </c>
      <c r="Y1330" s="22" t="str">
        <f aca="false">O1330</f>
        <v>SPG</v>
      </c>
      <c r="Z1330" s="13" t="str">
        <f aca="false">IFERROR(__xludf.dummyfunction("if(BJ1330="""","""",GOOGLETRANSLATE(BJ1330,""auto"",""en""))"),"SPG")</f>
        <v>SPG</v>
      </c>
      <c r="AA1330" s="23" t="str">
        <f aca="false">IF(C1330="","", CHOOSE(MONTH(C1330),"January","February","March","April","May","June","July","August","September","October","November","December")&amp;" "&amp;DAY(C1330)&amp;MID("thstndrdth",MIN(9,2*RIGHT(DAY(C1330))*(MOD(DAY(C1330)-11,100)&gt;2)+1),2)&amp;","&amp;TEXT(C1330," yyyy"))</f>
        <v>July 26th,2026</v>
      </c>
      <c r="AB1330" s="15" t="str">
        <f aca="true">IF(S1330="","",DATEDIF(S1330,TODAY(),"Y")&amp;" Tahun, "&amp;DATEDIF(S1330,TODAY(),"YM")&amp;" Bulan, "&amp;DATEDIF(S1330,TODAY(),"MD")&amp;" Hari")</f>
        <v>25 Tahun, 4 Bulan, 4 Hari</v>
      </c>
      <c r="AC1330" s="14" t="n">
        <v>46229</v>
      </c>
      <c r="AD1330" s="18" t="n">
        <v>46402</v>
      </c>
      <c r="AE1330" s="65" t="s">
        <v>44</v>
      </c>
    </row>
    <row r="1331" customFormat="false" ht="15" hidden="false" customHeight="true" outlineLevel="0" collapsed="false">
      <c r="A1331" s="12" t="n">
        <v>14875</v>
      </c>
      <c r="B1331" s="13" t="s">
        <v>5840</v>
      </c>
      <c r="C1331" s="14" t="n">
        <v>45385</v>
      </c>
      <c r="D1331" s="13" t="s">
        <v>2033</v>
      </c>
      <c r="E1331" s="15" t="s">
        <v>33</v>
      </c>
      <c r="F1331" s="24" t="s">
        <v>5841</v>
      </c>
      <c r="G1331" s="13" t="s">
        <v>5842</v>
      </c>
      <c r="H1331" s="13" t="s">
        <v>2035</v>
      </c>
      <c r="I1331" s="13" t="str">
        <f aca="false">IF(C1331=J1331,"NEW KONTRAK","RE-KONTRAK")</f>
        <v>RE-KONTRAK</v>
      </c>
      <c r="J1331" s="16" t="n">
        <f aca="false" t="array" ref="J1331:J1331">IFERROR(INDEX(AC1331:AE1331,IF(COUNTA(AC1331:AE1331)=0,"",MAX((AC1331:AE1331&lt;&gt;"")*(COLUMN(AC1331:AE1331)-(COLUMN(AC1331)))))-1),"")</f>
        <v>45744</v>
      </c>
      <c r="K1331" s="16" t="n">
        <f aca="false" t="array" ref="K1331:K1331">IFERROR(INDEX(AC1331:AE1331,IF(COUNTA(AC1331:AE1331)=0,"",MAX((AC1331:AE1331&lt;&gt;"")*(COLUMN(AC1331:AE1331)-(COLUMN(AC1331)-1))))-1),"")</f>
        <v>45915</v>
      </c>
      <c r="L1331" s="17" t="str">
        <f aca="false" t="array" ref="L1331:L1331">IFERROR(INDEX(AC1331:AE1331,IF(COUNTA(AC1331:AE1331)=0,"",MAX((AC1331:AE1331&lt;&gt;"")*(COLUMN(AC1331:AE1331)-(COLUMN(AC1331)-2))))-1),"")</f>
        <v>ARCHIVED</v>
      </c>
      <c r="M1331" s="13" t="n">
        <f aca="true">K1331-TODAY()</f>
        <v>-409</v>
      </c>
      <c r="N1331" s="18" t="s">
        <v>2363</v>
      </c>
      <c r="O1331" s="13" t="s">
        <v>2037</v>
      </c>
      <c r="P1331" s="19" t="n">
        <v>4014072</v>
      </c>
      <c r="Q1331" s="20" t="s">
        <v>5843</v>
      </c>
      <c r="R1331" s="13" t="s">
        <v>2363</v>
      </c>
      <c r="S1331" s="14" t="n">
        <v>37848</v>
      </c>
      <c r="T1331" s="13" t="s">
        <v>108</v>
      </c>
      <c r="U1331" s="13" t="s">
        <v>5844</v>
      </c>
      <c r="V1331" s="13" t="s">
        <v>99</v>
      </c>
      <c r="W1331" s="13" t="s">
        <v>43</v>
      </c>
      <c r="X1331" s="21" t="n">
        <v>85361275873</v>
      </c>
      <c r="Y1331" s="22" t="str">
        <f aca="false">O1331</f>
        <v>SPG/BA</v>
      </c>
      <c r="Z1331" s="13" t="str">
        <f aca="false">IFERROR(__xludf.dummyfunction("if(BJ1331="""","""",GOOGLETRANSLATE(BJ1331,""auto"",""en""))"),"SPG/BA")</f>
        <v>SPG/BA</v>
      </c>
      <c r="AA1331" s="23" t="str">
        <f aca="false">IF(C1331="","", CHOOSE(MONTH(C1331),"January","February","March","April","May","June","July","August","September","October","November","December")&amp;" "&amp;DAY(C1331)&amp;MID("thstndrdth",MIN(9,2*RIGHT(DAY(C1331))*(MOD(DAY(C1331)-11,100)&gt;2)+1),2)&amp;","&amp;TEXT(C1331," yyyy"))</f>
        <v>April 3rd,2024</v>
      </c>
      <c r="AB1331" s="15" t="str">
        <f aca="true">IF(S1331="","",DATEDIF(S1331,TODAY(),"Y")&amp;" Tahun, "&amp;DATEDIF(S1331,TODAY(),"YM")&amp;" Bulan, "&amp;DATEDIF(S1331,TODAY(),"MD")&amp;" Hari")</f>
        <v>23 Tahun, 2 Bulan, 14 Hari</v>
      </c>
      <c r="AC1331" s="18" t="n">
        <v>45744</v>
      </c>
      <c r="AD1331" s="18" t="n">
        <v>45915</v>
      </c>
      <c r="AE1331" s="18" t="s">
        <v>44</v>
      </c>
    </row>
    <row r="1332" customFormat="false" ht="15" hidden="false" customHeight="true" outlineLevel="0" collapsed="false">
      <c r="A1332" s="12" t="n">
        <v>14880</v>
      </c>
      <c r="B1332" s="13" t="s">
        <v>5845</v>
      </c>
      <c r="C1332" s="14" t="n">
        <v>45383</v>
      </c>
      <c r="D1332" s="13" t="s">
        <v>961</v>
      </c>
      <c r="E1332" s="15" t="s">
        <v>47</v>
      </c>
      <c r="F1332" s="15" t="str">
        <f aca="false">IFERROR(__xludf.dummyfunction("XLOOKUP(AJ1332,IMPORTRANGE(""1XaInW9DU9nz21V0tYIfzFQ0He9kVQ_JF2mCXgZ3hqFA"",""REKAP ALL 2026 - Andika!G:G""),IMPORTRANGE(""1XaInW9DU9nz21V0tYIfzFQ0He9kVQ_JF2mCXgZ3hqFA"",""REKAP ALL 2026 - Andika!F:F""),"""",0)"),"24075690412")</f>
        <v>24075690412</v>
      </c>
      <c r="G1332" s="15" t="s">
        <v>5846</v>
      </c>
      <c r="H1332" s="13" t="s">
        <v>963</v>
      </c>
      <c r="I1332" s="13" t="str">
        <f aca="false">IF(C1332=J1332,"NEW KONTRAK","RE-KONTRAK")</f>
        <v>RE-KONTRAK</v>
      </c>
      <c r="J1332" s="16" t="n">
        <f aca="false" t="array" ref="J1332:J1332">IFERROR(INDEX(AC1332:AE1332,IF(COUNTA(AC1332:AE1332)=0,"",MAX((AC1332:AE1332&lt;&gt;"")*(COLUMN(AC1332:AE1332)-(COLUMN(AC1332)))))-1),"")</f>
        <v>45658</v>
      </c>
      <c r="K1332" s="16" t="n">
        <f aca="false" t="array" ref="K1332:K1332">IFERROR(INDEX(AC1332:AE1332,IF(COUNTA(AC1332:AE1332)=0,"",MAX((AC1332:AE1332&lt;&gt;"")*(COLUMN(AC1332:AE1332)-(COLUMN(AC1332)-1))))-1),"")</f>
        <v>46022</v>
      </c>
      <c r="L1332" s="17" t="str">
        <f aca="false" t="array" ref="L1332:L1332">IFERROR(INDEX(AC1332:AE1332,IF(COUNTA(AC1332:AE1332)=0,"",MAX((AC1332:AE1332&lt;&gt;"")*(COLUMN(AC1332:AE1332)-(COLUMN(AC1332)-2))))-1),"")</f>
        <v>ARCHIVED</v>
      </c>
      <c r="M1332" s="13" t="n">
        <f aca="true">K1332-TODAY()</f>
        <v>-302</v>
      </c>
      <c r="N1332" s="18" t="s">
        <v>728</v>
      </c>
      <c r="O1332" s="13" t="s">
        <v>50</v>
      </c>
      <c r="P1332" s="19" t="n">
        <f aca="false">(4961753*3%)+4961753</f>
        <v>5110605.59</v>
      </c>
      <c r="Q1332" s="20" t="s">
        <v>5847</v>
      </c>
      <c r="R1332" s="13" t="s">
        <v>52</v>
      </c>
      <c r="S1332" s="14" t="n">
        <v>30205</v>
      </c>
      <c r="T1332" s="13" t="s">
        <v>40</v>
      </c>
      <c r="U1332" s="13" t="s">
        <v>5848</v>
      </c>
      <c r="V1332" s="13" t="s">
        <v>42</v>
      </c>
      <c r="W1332" s="13" t="s">
        <v>54</v>
      </c>
      <c r="X1332" s="21" t="n">
        <v>8563095203</v>
      </c>
      <c r="Y1332" s="22" t="str">
        <f aca="false">O1332</f>
        <v>Driver</v>
      </c>
      <c r="Z1332" s="13" t="str">
        <f aca="false">IFERROR(__xludf.dummyfunction("if(BJ1332="""","""",GOOGLETRANSLATE(BJ1332,""auto"",""en""))"),"Driver")</f>
        <v>Driver</v>
      </c>
      <c r="AA1332" s="23" t="str">
        <f aca="false">IF(C1332="","", CHOOSE(MONTH(C1332),"January","February","March","April","May","June","July","August","September","October","November","December")&amp;" "&amp;DAY(C1332)&amp;MID("thstndrdth",MIN(9,2*RIGHT(DAY(C1332))*(MOD(DAY(C1332)-11,100)&gt;2)+1),2)&amp;","&amp;TEXT(C1332," yyyy"))</f>
        <v>April 1st,2024</v>
      </c>
      <c r="AB1332" s="15" t="str">
        <f aca="true">IF(S1332="","",DATEDIF(S1332,TODAY(),"Y")&amp;" Tahun, "&amp;DATEDIF(S1332,TODAY(),"YM")&amp;" Bulan, "&amp;DATEDIF(S1332,TODAY(),"MD")&amp;" Hari")</f>
        <v>44 Tahun, 1 Bulan, 18 Hari</v>
      </c>
      <c r="AC1332" s="18" t="n">
        <v>45658</v>
      </c>
      <c r="AD1332" s="18" t="n">
        <v>46022</v>
      </c>
      <c r="AE1332" s="18" t="s">
        <v>44</v>
      </c>
    </row>
    <row r="1333" customFormat="false" ht="15" hidden="false" customHeight="true" outlineLevel="0" collapsed="false">
      <c r="A1333" s="12" t="n">
        <v>14892</v>
      </c>
      <c r="B1333" s="13" t="s">
        <v>5849</v>
      </c>
      <c r="C1333" s="14" t="n">
        <v>45397</v>
      </c>
      <c r="D1333" s="13" t="s">
        <v>774</v>
      </c>
      <c r="E1333" s="15" t="s">
        <v>47</v>
      </c>
      <c r="F1333" s="15" t="str">
        <f aca="false">IFERROR(__xludf.dummyfunction("XLOOKUP(AJ1333,IMPORTRANGE(""1XaInW9DU9nz21V0tYIfzFQ0He9kVQ_JF2mCXgZ3hqFA"",""REKAP ALL 2026 - Andika!G:G""),IMPORTRANGE(""1XaInW9DU9nz21V0tYIfzFQ0He9kVQ_JF2mCXgZ3hqFA"",""REKAP ALL 2026 - Andika!F:F""),"""",0)"),"24075520460")</f>
        <v>24075520460</v>
      </c>
      <c r="G1333" s="13" t="s">
        <v>5850</v>
      </c>
      <c r="H1333" s="13" t="s">
        <v>49</v>
      </c>
      <c r="I1333" s="13" t="str">
        <f aca="false">IF(C1333=J1333,"NEW KONTRAK","RE-KONTRAK")</f>
        <v>RE-KONTRAK</v>
      </c>
      <c r="J1333" s="16" t="n">
        <f aca="false" t="array" ref="J1333:J1333">IFERROR(INDEX(AC1333:AE1333,IF(COUNTA(AC1333:AE1333)=0,"",MAX((AC1333:AE1333&lt;&gt;"")*(COLUMN(AC1333:AE1333)-(COLUMN(AC1333)))))-1),"")</f>
        <v>45566</v>
      </c>
      <c r="K1333" s="16" t="n">
        <f aca="false" t="array" ref="K1333:K1333">IFERROR(INDEX(AC1333:AE1333,IF(COUNTA(AC1333:AE1333)=0,"",MAX((AC1333:AE1333&lt;&gt;"")*(COLUMN(AC1333:AE1333)-(COLUMN(AC1333)-1))))-1),"")</f>
        <v>45930</v>
      </c>
      <c r="L1333" s="17" t="str">
        <f aca="false" t="array" ref="L1333:L1333">IFERROR(INDEX(AC1333:AE1333,IF(COUNTA(AC1333:AE1333)=0,"",MAX((AC1333:AE1333&lt;&gt;"")*(COLUMN(AC1333:AE1333)-(COLUMN(AC1333)-2))))-1),"")</f>
        <v>ARCHIVED</v>
      </c>
      <c r="M1333" s="13" t="n">
        <f aca="true">K1333-TODAY()</f>
        <v>-394</v>
      </c>
      <c r="N1333" s="18" t="s">
        <v>36</v>
      </c>
      <c r="O1333" s="13" t="s">
        <v>3015</v>
      </c>
      <c r="P1333" s="19" t="n">
        <v>9500000</v>
      </c>
      <c r="Q1333" s="20" t="s">
        <v>5851</v>
      </c>
      <c r="R1333" s="13" t="s">
        <v>5852</v>
      </c>
      <c r="S1333" s="14" t="n">
        <v>25818</v>
      </c>
      <c r="T1333" s="13" t="s">
        <v>40</v>
      </c>
      <c r="U1333" s="13" t="s">
        <v>5853</v>
      </c>
      <c r="V1333" s="13" t="s">
        <v>42</v>
      </c>
      <c r="W1333" s="13" t="s">
        <v>54</v>
      </c>
      <c r="X1333" s="21" t="n">
        <v>816568483</v>
      </c>
      <c r="Y1333" s="22" t="str">
        <f aca="false">O1333</f>
        <v>Staff Produksi</v>
      </c>
      <c r="Z1333" s="13" t="str">
        <f aca="false">IFERROR(__xludf.dummyfunction("if(BJ1333="""","""",GOOGLETRANSLATE(BJ1333,""auto"",""en""))"),"Production Staff")</f>
        <v>Production Staff</v>
      </c>
      <c r="AA1333" s="23" t="str">
        <f aca="false">IF(C1333="","", CHOOSE(MONTH(C1333),"January","February","March","April","May","June","July","August","September","October","November","December")&amp;" "&amp;DAY(C1333)&amp;MID("thstndrdth",MIN(9,2*RIGHT(DAY(C1333))*(MOD(DAY(C1333)-11,100)&gt;2)+1),2)&amp;","&amp;TEXT(C1333," yyyy"))</f>
        <v>April 15th,2024</v>
      </c>
      <c r="AB1333" s="15" t="str">
        <f aca="true">IF(S1333="","",DATEDIF(S1333,TODAY(),"Y")&amp;" Tahun, "&amp;DATEDIF(S1333,TODAY(),"YM")&amp;" Bulan, "&amp;DATEDIF(S1333,TODAY(),"MD")&amp;" Hari")</f>
        <v>56 Tahun, 1 Bulan, 22 Hari</v>
      </c>
      <c r="AC1333" s="18" t="n">
        <v>45566</v>
      </c>
      <c r="AD1333" s="18" t="n">
        <v>45930</v>
      </c>
      <c r="AE1333" s="18" t="s">
        <v>44</v>
      </c>
    </row>
    <row r="1334" customFormat="false" ht="15" hidden="false" customHeight="true" outlineLevel="0" collapsed="false">
      <c r="A1334" s="12" t="n">
        <v>14903</v>
      </c>
      <c r="B1334" s="13" t="s">
        <v>5854</v>
      </c>
      <c r="C1334" s="14" t="n">
        <v>45399</v>
      </c>
      <c r="D1334" s="13" t="s">
        <v>4112</v>
      </c>
      <c r="E1334" s="15" t="s">
        <v>33</v>
      </c>
      <c r="F1334" s="24" t="s">
        <v>5855</v>
      </c>
      <c r="G1334" s="15" t="s">
        <v>5856</v>
      </c>
      <c r="H1334" s="13" t="s">
        <v>35</v>
      </c>
      <c r="I1334" s="13" t="str">
        <f aca="false">IF(C1334=J1334,"NEW KONTRAK","RE-KONTRAK")</f>
        <v>RE-KONTRAK</v>
      </c>
      <c r="J1334" s="16" t="n">
        <f aca="false" t="array" ref="J1334:J1334">IFERROR(INDEX(AC1334:AE1334,IF(COUNTA(AC1334:AE1334)=0,"",MAX((AC1334:AE1334&lt;&gt;"")*(COLUMN(AC1334:AE1334)-(COLUMN(AC1334)))))-1),"")</f>
        <v>45855</v>
      </c>
      <c r="K1334" s="16" t="n">
        <f aca="false" t="array" ref="K1334:K1334">IFERROR(INDEX(AC1334:AE1334,IF(COUNTA(AC1334:AE1334)=0,"",MAX((AC1334:AE1334&lt;&gt;"")*(COLUMN(AC1334:AE1334)-(COLUMN(AC1334)-1))))-1),"")</f>
        <v>46038</v>
      </c>
      <c r="L1334" s="17" t="str">
        <f aca="false" t="array" ref="L1334:L1334">IFERROR(INDEX(AC1334:AE1334,IF(COUNTA(AC1334:AE1334)=0,"",MAX((AC1334:AE1334&lt;&gt;"")*(COLUMN(AC1334:AE1334)-(COLUMN(AC1334)-2))))-1),"")</f>
        <v>ARCHIVED</v>
      </c>
      <c r="M1334" s="13" t="n">
        <f aca="true">K1334-TODAY()</f>
        <v>-286</v>
      </c>
      <c r="N1334" s="18" t="s">
        <v>728</v>
      </c>
      <c r="O1334" s="13" t="s">
        <v>3271</v>
      </c>
      <c r="P1334" s="19" t="n">
        <v>100000</v>
      </c>
      <c r="Q1334" s="20" t="s">
        <v>5857</v>
      </c>
      <c r="R1334" s="13" t="s">
        <v>52</v>
      </c>
      <c r="S1334" s="14" t="n">
        <v>37376</v>
      </c>
      <c r="T1334" s="13" t="s">
        <v>40</v>
      </c>
      <c r="U1334" s="13" t="s">
        <v>5858</v>
      </c>
      <c r="V1334" s="13" t="s">
        <v>42</v>
      </c>
      <c r="W1334" s="13" t="s">
        <v>43</v>
      </c>
      <c r="X1334" s="21" t="n">
        <v>87756060241</v>
      </c>
      <c r="Y1334" s="22" t="str">
        <f aca="false">O1334</f>
        <v>Helper</v>
      </c>
      <c r="Z1334" s="13" t="str">
        <f aca="false">IFERROR(__xludf.dummyfunction("if(BJ1334="""","""",GOOGLETRANSLATE(BJ1334,""auto"",""en""))"),"Helper")</f>
        <v>Helper</v>
      </c>
      <c r="AA1334" s="23" t="str">
        <f aca="false">IF(C1334="","", CHOOSE(MONTH(C1334),"January","February","March","April","May","June","July","August","September","October","November","December")&amp;" "&amp;DAY(C1334)&amp;MID("thstndrdth",MIN(9,2*RIGHT(DAY(C1334))*(MOD(DAY(C1334)-11,100)&gt;2)+1),2)&amp;","&amp;TEXT(C1334," yyyy"))</f>
        <v>April 17th,2024</v>
      </c>
      <c r="AB1334" s="15" t="str">
        <f aca="true">IF(S1334="","",DATEDIF(S1334,TODAY(),"Y")&amp;" Tahun, "&amp;DATEDIF(S1334,TODAY(),"YM")&amp;" Bulan, "&amp;DATEDIF(S1334,TODAY(),"MD")&amp;" Hari")</f>
        <v>24 Tahun, 5 Bulan, 29 Hari</v>
      </c>
      <c r="AC1334" s="18" t="n">
        <v>45855</v>
      </c>
      <c r="AD1334" s="18" t="n">
        <v>46038</v>
      </c>
      <c r="AE1334" s="18" t="s">
        <v>44</v>
      </c>
    </row>
    <row r="1335" customFormat="false" ht="15" hidden="false" customHeight="true" outlineLevel="0" collapsed="false">
      <c r="A1335" s="12" t="n">
        <v>14904</v>
      </c>
      <c r="B1335" s="13" t="s">
        <v>5859</v>
      </c>
      <c r="C1335" s="14" t="n">
        <v>45399</v>
      </c>
      <c r="D1335" s="13" t="s">
        <v>4112</v>
      </c>
      <c r="E1335" s="15" t="s">
        <v>47</v>
      </c>
      <c r="F1335" s="15" t="str">
        <f aca="false">IFERROR(__xludf.dummyfunction("XLOOKUP(AJ1335,IMPORTRANGE(""1XaInW9DU9nz21V0tYIfzFQ0He9kVQ_JF2mCXgZ3hqFA"",""REKAP ALL 2026 - Andika!G:G""),IMPORTRANGE(""1XaInW9DU9nz21V0tYIfzFQ0He9kVQ_JF2mCXgZ3hqFA"",""REKAP ALL 2026 - Andika!F:F""),"""",0)"),"24136903200")</f>
        <v>24136903200</v>
      </c>
      <c r="G1335" s="15" t="s">
        <v>5860</v>
      </c>
      <c r="H1335" s="13" t="s">
        <v>35</v>
      </c>
      <c r="I1335" s="13" t="str">
        <f aca="false">IF(C1335=J1335,"NEW KONTRAK","RE-KONTRAK")</f>
        <v>RE-KONTRAK</v>
      </c>
      <c r="J1335" s="16" t="n">
        <f aca="false" t="array" ref="J1335:J1335">IFERROR(INDEX(AC1335:AE1335,IF(COUNTA(AC1335:AE1335)=0,"",MAX((AC1335:AE1335&lt;&gt;"")*(COLUMN(AC1335:AE1335)-(COLUMN(AC1335)))))-1),"")</f>
        <v>45855</v>
      </c>
      <c r="K1335" s="16" t="n">
        <f aca="false" t="array" ref="K1335:K1335">IFERROR(INDEX(AC1335:AE1335,IF(COUNTA(AC1335:AE1335)=0,"",MAX((AC1335:AE1335&lt;&gt;"")*(COLUMN(AC1335:AE1335)-(COLUMN(AC1335)-1))))-1),"")</f>
        <v>46038</v>
      </c>
      <c r="L1335" s="17" t="str">
        <f aca="false" t="array" ref="L1335:L1335">IFERROR(INDEX(AC1335:AE1335,IF(COUNTA(AC1335:AE1335)=0,"",MAX((AC1335:AE1335&lt;&gt;"")*(COLUMN(AC1335:AE1335)-(COLUMN(AC1335)-2))))-1),"")</f>
        <v>ARCHIVED</v>
      </c>
      <c r="M1335" s="13" t="n">
        <f aca="true">K1335-TODAY()</f>
        <v>-286</v>
      </c>
      <c r="N1335" s="18" t="s">
        <v>728</v>
      </c>
      <c r="O1335" s="13" t="s">
        <v>3271</v>
      </c>
      <c r="P1335" s="19" t="n">
        <v>2800000</v>
      </c>
      <c r="Q1335" s="20" t="s">
        <v>5861</v>
      </c>
      <c r="R1335" s="13" t="s">
        <v>52</v>
      </c>
      <c r="S1335" s="14" t="n">
        <v>38298</v>
      </c>
      <c r="T1335" s="13" t="s">
        <v>40</v>
      </c>
      <c r="U1335" s="13" t="s">
        <v>5862</v>
      </c>
      <c r="V1335" s="13" t="s">
        <v>42</v>
      </c>
      <c r="W1335" s="13" t="s">
        <v>43</v>
      </c>
      <c r="X1335" s="21" t="n">
        <v>8311804867</v>
      </c>
      <c r="Y1335" s="22" t="str">
        <f aca="false">O1335</f>
        <v>Helper</v>
      </c>
      <c r="Z1335" s="13" t="str">
        <f aca="false">IFERROR(__xludf.dummyfunction("if(BJ1335="""","""",GOOGLETRANSLATE(BJ1335,""auto"",""en""))"),"Helper")</f>
        <v>Helper</v>
      </c>
      <c r="AA1335" s="23" t="str">
        <f aca="false">IF(C1335="","", CHOOSE(MONTH(C1335),"January","February","March","April","May","June","July","August","September","October","November","December")&amp;" "&amp;DAY(C1335)&amp;MID("thstndrdth",MIN(9,2*RIGHT(DAY(C1335))*(MOD(DAY(C1335)-11,100)&gt;2)+1),2)&amp;","&amp;TEXT(C1335," yyyy"))</f>
        <v>April 17th,2024</v>
      </c>
      <c r="AB1335" s="15" t="str">
        <f aca="true">IF(S1335="","",DATEDIF(S1335,TODAY(),"Y")&amp;" Tahun, "&amp;DATEDIF(S1335,TODAY(),"YM")&amp;" Bulan, "&amp;DATEDIF(S1335,TODAY(),"MD")&amp;" Hari")</f>
        <v>21 Tahun, 11 Bulan, 22 Hari</v>
      </c>
      <c r="AC1335" s="18" t="n">
        <v>45855</v>
      </c>
      <c r="AD1335" s="18" t="n">
        <v>46038</v>
      </c>
      <c r="AE1335" s="18" t="s">
        <v>44</v>
      </c>
    </row>
    <row r="1336" customFormat="false" ht="15" hidden="false" customHeight="true" outlineLevel="0" collapsed="false">
      <c r="A1336" s="12" t="n">
        <v>14905</v>
      </c>
      <c r="B1336" s="13" t="s">
        <v>5863</v>
      </c>
      <c r="C1336" s="14" t="n">
        <v>45399</v>
      </c>
      <c r="D1336" s="13" t="s">
        <v>4112</v>
      </c>
      <c r="E1336" s="15" t="s">
        <v>102</v>
      </c>
      <c r="F1336" s="15" t="str">
        <f aca="false">IFERROR(__xludf.dummyfunction("XLOOKUP(AJ1336,IMPORTRANGE(""1XaInW9DU9nz21V0tYIfzFQ0He9kVQ_JF2mCXgZ3hqFA"",""REKAP ALL 2026 - Andika!G:G""),IMPORTRANGE(""1XaInW9DU9nz21V0tYIfzFQ0He9kVQ_JF2mCXgZ3hqFA"",""REKAP ALL 2026 - Andika!F:F""),"""",0)"),"24136903234")</f>
        <v>24136903234</v>
      </c>
      <c r="G1336" s="15" t="s">
        <v>5864</v>
      </c>
      <c r="H1336" s="13" t="s">
        <v>35</v>
      </c>
      <c r="I1336" s="13" t="str">
        <f aca="false">IF(C1336=J1336,"NEW KONTRAK","RE-KONTRAK")</f>
        <v>RE-KONTRAK</v>
      </c>
      <c r="J1336" s="16" t="n">
        <f aca="false" t="array" ref="J1336:J1336">IFERROR(INDEX(AC1336:AE1336,IF(COUNTA(AC1336:AE1336)=0,"",MAX((AC1336:AE1336&lt;&gt;"")*(COLUMN(AC1336:AE1336)-(COLUMN(AC1336)))))-1),"")</f>
        <v>45855</v>
      </c>
      <c r="K1336" s="16" t="n">
        <f aca="false" t="array" ref="K1336:K1336">IFERROR(INDEX(AC1336:AE1336,IF(COUNTA(AC1336:AE1336)=0,"",MAX((AC1336:AE1336&lt;&gt;"")*(COLUMN(AC1336:AE1336)-(COLUMN(AC1336)-1))))-1),"")</f>
        <v>46038</v>
      </c>
      <c r="L1336" s="17" t="str">
        <f aca="false" t="array" ref="L1336:L1336">IFERROR(INDEX(AC1336:AE1336,IF(COUNTA(AC1336:AE1336)=0,"",MAX((AC1336:AE1336&lt;&gt;"")*(COLUMN(AC1336:AE1336)-(COLUMN(AC1336)-2))))-1),"")</f>
        <v>ARCHIVED</v>
      </c>
      <c r="M1336" s="13" t="n">
        <f aca="true">K1336-TODAY()</f>
        <v>-286</v>
      </c>
      <c r="N1336" s="18" t="s">
        <v>728</v>
      </c>
      <c r="O1336" s="13" t="s">
        <v>3271</v>
      </c>
      <c r="P1336" s="19" t="n">
        <v>2912000</v>
      </c>
      <c r="Q1336" s="20" t="s">
        <v>5865</v>
      </c>
      <c r="R1336" s="13" t="s">
        <v>52</v>
      </c>
      <c r="S1336" s="14" t="n">
        <v>38445</v>
      </c>
      <c r="T1336" s="13" t="s">
        <v>40</v>
      </c>
      <c r="U1336" s="13" t="s">
        <v>5866</v>
      </c>
      <c r="V1336" s="13" t="s">
        <v>42</v>
      </c>
      <c r="W1336" s="13" t="s">
        <v>43</v>
      </c>
      <c r="X1336" s="21" t="n">
        <v>83137621585</v>
      </c>
      <c r="Y1336" s="22" t="str">
        <f aca="false">O1336</f>
        <v>Helper</v>
      </c>
      <c r="Z1336" s="13" t="str">
        <f aca="false">IFERROR(__xludf.dummyfunction("if(BJ1336="""","""",GOOGLETRANSLATE(BJ1336,""auto"",""en""))"),"Helper")</f>
        <v>Helper</v>
      </c>
      <c r="AA1336" s="23" t="str">
        <f aca="false">IF(C1336="","", CHOOSE(MONTH(C1336),"January","February","March","April","May","June","July","August","September","October","November","December")&amp;" "&amp;DAY(C1336)&amp;MID("thstndrdth",MIN(9,2*RIGHT(DAY(C1336))*(MOD(DAY(C1336)-11,100)&gt;2)+1),2)&amp;","&amp;TEXT(C1336," yyyy"))</f>
        <v>April 17th,2024</v>
      </c>
      <c r="AB1336" s="15" t="str">
        <f aca="true">IF(S1336="","",DATEDIF(S1336,TODAY(),"Y")&amp;" Tahun, "&amp;DATEDIF(S1336,TODAY(),"YM")&amp;" Bulan, "&amp;DATEDIF(S1336,TODAY(),"MD")&amp;" Hari")</f>
        <v>21 Tahun, 6 Bulan, 26 Hari</v>
      </c>
      <c r="AC1336" s="18" t="n">
        <v>45855</v>
      </c>
      <c r="AD1336" s="18" t="n">
        <v>46038</v>
      </c>
      <c r="AE1336" s="18" t="s">
        <v>44</v>
      </c>
    </row>
    <row r="1337" customFormat="false" ht="15" hidden="false" customHeight="true" outlineLevel="0" collapsed="false">
      <c r="A1337" s="12" t="n">
        <v>14909</v>
      </c>
      <c r="B1337" s="13" t="s">
        <v>5867</v>
      </c>
      <c r="C1337" s="14" t="n">
        <v>45399</v>
      </c>
      <c r="D1337" s="13" t="s">
        <v>4112</v>
      </c>
      <c r="E1337" s="15" t="s">
        <v>102</v>
      </c>
      <c r="F1337" s="15" t="str">
        <f aca="false">IFERROR(__xludf.dummyfunction("XLOOKUP(AJ1337,IMPORTRANGE(""1XaInW9DU9nz21V0tYIfzFQ0He9kVQ_JF2mCXgZ3hqFA"",""REKAP ALL 2026 - Andika!G:G""),IMPORTRANGE(""1XaInW9DU9nz21V0tYIfzFQ0He9kVQ_JF2mCXgZ3hqFA"",""REKAP ALL 2026 - Andika!F:F""),"""",0)"),"24136903184")</f>
        <v>24136903184</v>
      </c>
      <c r="G1337" s="15" t="s">
        <v>5868</v>
      </c>
      <c r="H1337" s="13" t="s">
        <v>35</v>
      </c>
      <c r="I1337" s="13" t="str">
        <f aca="false">IF(C1337=J1337,"NEW KONTRAK","RE-KONTRAK")</f>
        <v>RE-KONTRAK</v>
      </c>
      <c r="J1337" s="16" t="n">
        <f aca="false" t="array" ref="J1337:J1337">IFERROR(INDEX(AC1337:AE1337,IF(COUNTA(AC1337:AE1337)=0,"",MAX((AC1337:AE1337&lt;&gt;"")*(COLUMN(AC1337:AE1337)-(COLUMN(AC1337)))))-1),"")</f>
        <v>45855</v>
      </c>
      <c r="K1337" s="16" t="n">
        <f aca="false" t="array" ref="K1337:K1337">IFERROR(INDEX(AC1337:AE1337,IF(COUNTA(AC1337:AE1337)=0,"",MAX((AC1337:AE1337&lt;&gt;"")*(COLUMN(AC1337:AE1337)-(COLUMN(AC1337)-1))))-1),"")</f>
        <v>46038</v>
      </c>
      <c r="L1337" s="17" t="str">
        <f aca="false" t="array" ref="L1337:L1337">IFERROR(INDEX(AC1337:AE1337,IF(COUNTA(AC1337:AE1337)=0,"",MAX((AC1337:AE1337&lt;&gt;"")*(COLUMN(AC1337:AE1337)-(COLUMN(AC1337)-2))))-1),"")</f>
        <v>ARCHIVED</v>
      </c>
      <c r="M1337" s="13" t="n">
        <f aca="true">K1337-TODAY()</f>
        <v>-286</v>
      </c>
      <c r="N1337" s="18" t="s">
        <v>728</v>
      </c>
      <c r="O1337" s="13" t="s">
        <v>3271</v>
      </c>
      <c r="P1337" s="71" t="n">
        <v>2912000</v>
      </c>
      <c r="Q1337" s="20" t="s">
        <v>5869</v>
      </c>
      <c r="R1337" s="13" t="s">
        <v>324</v>
      </c>
      <c r="S1337" s="14" t="n">
        <v>36077</v>
      </c>
      <c r="T1337" s="13" t="s">
        <v>40</v>
      </c>
      <c r="U1337" s="13" t="s">
        <v>5870</v>
      </c>
      <c r="V1337" s="13" t="s">
        <v>42</v>
      </c>
      <c r="W1337" s="13" t="s">
        <v>43</v>
      </c>
      <c r="X1337" s="21" t="n">
        <v>89687564284</v>
      </c>
      <c r="Y1337" s="22" t="str">
        <f aca="false">O1337</f>
        <v>Helper</v>
      </c>
      <c r="Z1337" s="13" t="str">
        <f aca="false">IFERROR(__xludf.dummyfunction("if(BJ1337="""","""",GOOGLETRANSLATE(BJ1337,""auto"",""en""))"),"Helper")</f>
        <v>Helper</v>
      </c>
      <c r="AA1337" s="23" t="str">
        <f aca="false">IF(C1337="","", CHOOSE(MONTH(C1337),"January","February","March","April","May","June","July","August","September","October","November","December")&amp;" "&amp;DAY(C1337)&amp;MID("thstndrdth",MIN(9,2*RIGHT(DAY(C1337))*(MOD(DAY(C1337)-11,100)&gt;2)+1),2)&amp;","&amp;TEXT(C1337," yyyy"))</f>
        <v>April 17th,2024</v>
      </c>
      <c r="AB1337" s="15" t="str">
        <f aca="true">IF(S1337="","",DATEDIF(S1337,TODAY(),"Y")&amp;" Tahun, "&amp;DATEDIF(S1337,TODAY(),"YM")&amp;" Bulan, "&amp;DATEDIF(S1337,TODAY(),"MD")&amp;" Hari")</f>
        <v>28 Tahun, 0 Bulan, 20 Hari</v>
      </c>
      <c r="AC1337" s="18" t="n">
        <v>45855</v>
      </c>
      <c r="AD1337" s="18" t="n">
        <v>46038</v>
      </c>
      <c r="AE1337" s="18" t="s">
        <v>44</v>
      </c>
    </row>
    <row r="1338" customFormat="false" ht="15" hidden="false" customHeight="true" outlineLevel="0" collapsed="false">
      <c r="A1338" s="12" t="n">
        <v>14911</v>
      </c>
      <c r="B1338" s="13" t="s">
        <v>5871</v>
      </c>
      <c r="C1338" s="14" t="n">
        <v>45399</v>
      </c>
      <c r="D1338" s="13" t="s">
        <v>4112</v>
      </c>
      <c r="E1338" s="15" t="s">
        <v>47</v>
      </c>
      <c r="F1338" s="15" t="str">
        <f aca="false">IFERROR(__xludf.dummyfunction("XLOOKUP(AJ1338,IMPORTRANGE(""1XaInW9DU9nz21V0tYIfzFQ0He9kVQ_JF2mCXgZ3hqFA"",""REKAP ALL 2026 - Andika!G:G""),IMPORTRANGE(""1XaInW9DU9nz21V0tYIfzFQ0He9kVQ_JF2mCXgZ3hqFA"",""REKAP ALL 2026 - Andika!F:F""),"""",0)"),"24136903242")</f>
        <v>24136903242</v>
      </c>
      <c r="G1338" s="15" t="s">
        <v>5872</v>
      </c>
      <c r="H1338" s="13" t="s">
        <v>35</v>
      </c>
      <c r="I1338" s="13" t="str">
        <f aca="false">IF(C1338=J1338,"NEW KONTRAK","RE-KONTRAK")</f>
        <v>RE-KONTRAK</v>
      </c>
      <c r="J1338" s="16" t="n">
        <f aca="false" t="array" ref="J1338:J1338">IFERROR(INDEX(AC1338:AE1338,IF(COUNTA(AC1338:AE1338)=0,"",MAX((AC1338:AE1338&lt;&gt;"")*(COLUMN(AC1338:AE1338)-(COLUMN(AC1338)))))-1),"")</f>
        <v>45855</v>
      </c>
      <c r="K1338" s="16" t="n">
        <f aca="false" t="array" ref="K1338:K1338">IFERROR(INDEX(AC1338:AE1338,IF(COUNTA(AC1338:AE1338)=0,"",MAX((AC1338:AE1338&lt;&gt;"")*(COLUMN(AC1338:AE1338)-(COLUMN(AC1338)-1))))-1),"")</f>
        <v>46038</v>
      </c>
      <c r="L1338" s="17" t="str">
        <f aca="false" t="array" ref="L1338:L1338">IFERROR(INDEX(AC1338:AE1338,IF(COUNTA(AC1338:AE1338)=0,"",MAX((AC1338:AE1338&lt;&gt;"")*(COLUMN(AC1338:AE1338)-(COLUMN(AC1338)-2))))-1),"")</f>
        <v>ARCHIVED</v>
      </c>
      <c r="M1338" s="13" t="n">
        <f aca="true">K1338-TODAY()</f>
        <v>-286</v>
      </c>
      <c r="N1338" s="18" t="s">
        <v>728</v>
      </c>
      <c r="O1338" s="13" t="s">
        <v>3271</v>
      </c>
      <c r="P1338" s="19" t="n">
        <v>2800000</v>
      </c>
      <c r="Q1338" s="20" t="s">
        <v>5873</v>
      </c>
      <c r="R1338" s="13" t="s">
        <v>52</v>
      </c>
      <c r="S1338" s="14" t="n">
        <v>38150</v>
      </c>
      <c r="T1338" s="13" t="s">
        <v>40</v>
      </c>
      <c r="U1338" s="13" t="s">
        <v>5874</v>
      </c>
      <c r="V1338" s="13" t="s">
        <v>99</v>
      </c>
      <c r="W1338" s="13" t="s">
        <v>43</v>
      </c>
      <c r="X1338" s="21" t="n">
        <v>895419950409</v>
      </c>
      <c r="Y1338" s="22" t="str">
        <f aca="false">O1338</f>
        <v>Helper</v>
      </c>
      <c r="Z1338" s="13" t="str">
        <f aca="false">IFERROR(__xludf.dummyfunction("if(BJ1338="""","""",GOOGLETRANSLATE(BJ1338,""auto"",""en""))"),"Helper")</f>
        <v>Helper</v>
      </c>
      <c r="AA1338" s="23" t="str">
        <f aca="false">IF(C1338="","", CHOOSE(MONTH(C1338),"January","February","March","April","May","June","July","August","September","October","November","December")&amp;" "&amp;DAY(C1338)&amp;MID("thstndrdth",MIN(9,2*RIGHT(DAY(C1338))*(MOD(DAY(C1338)-11,100)&gt;2)+1),2)&amp;","&amp;TEXT(C1338," yyyy"))</f>
        <v>April 17th,2024</v>
      </c>
      <c r="AB1338" s="15" t="str">
        <f aca="true">IF(S1338="","",DATEDIF(S1338,TODAY(),"Y")&amp;" Tahun, "&amp;DATEDIF(S1338,TODAY(),"YM")&amp;" Bulan, "&amp;DATEDIF(S1338,TODAY(),"MD")&amp;" Hari")</f>
        <v>22 Tahun, 4 Bulan, 17 Hari</v>
      </c>
      <c r="AC1338" s="18" t="n">
        <v>45855</v>
      </c>
      <c r="AD1338" s="18" t="n">
        <v>46038</v>
      </c>
      <c r="AE1338" s="18" t="s">
        <v>44</v>
      </c>
    </row>
    <row r="1339" customFormat="false" ht="15" hidden="false" customHeight="true" outlineLevel="0" collapsed="false">
      <c r="A1339" s="12" t="n">
        <v>14913</v>
      </c>
      <c r="B1339" s="13" t="s">
        <v>5875</v>
      </c>
      <c r="C1339" s="14" t="n">
        <v>45404</v>
      </c>
      <c r="D1339" s="13" t="s">
        <v>4610</v>
      </c>
      <c r="E1339" s="15" t="s">
        <v>47</v>
      </c>
      <c r="F1339" s="15" t="str">
        <f aca="false">IFERROR(__xludf.dummyfunction("XLOOKUP(AJ1339,IMPORTRANGE(""1XaInW9DU9nz21V0tYIfzFQ0He9kVQ_JF2mCXgZ3hqFA"",""REKAP ALL 2026 - Andika!G:G""),IMPORTRANGE(""1XaInW9DU9nz21V0tYIfzFQ0He9kVQ_JF2mCXgZ3hqFA"",""REKAP ALL 2026 - Andika!F:F""),"""",0)"),"24075650853")</f>
        <v>24075650853</v>
      </c>
      <c r="G1339" s="13" t="s">
        <v>57</v>
      </c>
      <c r="H1339" s="13" t="s">
        <v>35</v>
      </c>
      <c r="I1339" s="13" t="str">
        <f aca="false">IF(C1339=J1339,"NEW KONTRAK","RE-KONTRAK")</f>
        <v>RE-KONTRAK</v>
      </c>
      <c r="J1339" s="16" t="n">
        <f aca="false" t="array" ref="J1339:J1339">IFERROR(INDEX(AC1339:AE1339,IF(COUNTA(AC1339:AE1339)=0,"",MAX((AC1339:AE1339&lt;&gt;"")*(COLUMN(AC1339:AE1339)-(COLUMN(AC1339)))))-1),"")</f>
        <v>45764</v>
      </c>
      <c r="K1339" s="16" t="n">
        <f aca="false" t="array" ref="K1339:K1339">IFERROR(INDEX(AC1339:AE1339,IF(COUNTA(AC1339:AE1339)=0,"",MAX((AC1339:AE1339&lt;&gt;"")*(COLUMN(AC1339:AE1339)-(COLUMN(AC1339)-1))))-1),"")</f>
        <v>45946</v>
      </c>
      <c r="L1339" s="17" t="str">
        <f aca="false" t="array" ref="L1339:L1339">IFERROR(INDEX(AC1339:AE1339,IF(COUNTA(AC1339:AE1339)=0,"",MAX((AC1339:AE1339&lt;&gt;"")*(COLUMN(AC1339:AE1339)-(COLUMN(AC1339)-2))))-1),"")</f>
        <v>ARCHIVED</v>
      </c>
      <c r="M1339" s="13" t="n">
        <f aca="true">K1339-TODAY()</f>
        <v>-378</v>
      </c>
      <c r="N1339" s="18" t="s">
        <v>36</v>
      </c>
      <c r="O1339" s="13" t="s">
        <v>4255</v>
      </c>
      <c r="P1339" s="19" t="n">
        <v>200000</v>
      </c>
      <c r="Q1339" s="20" t="s">
        <v>5876</v>
      </c>
      <c r="R1339" s="13" t="s">
        <v>52</v>
      </c>
      <c r="S1339" s="14" t="n">
        <v>36607</v>
      </c>
      <c r="T1339" s="13" t="s">
        <v>40</v>
      </c>
      <c r="U1339" s="13" t="s">
        <v>5877</v>
      </c>
      <c r="V1339" s="13" t="s">
        <v>42</v>
      </c>
      <c r="W1339" s="13" t="s">
        <v>43</v>
      </c>
      <c r="X1339" s="21" t="n">
        <v>89612582125</v>
      </c>
      <c r="Y1339" s="22" t="str">
        <f aca="false">O1339</f>
        <v>Operator Cutting</v>
      </c>
      <c r="Z1339" s="13" t="str">
        <f aca="false">IFERROR(__xludf.dummyfunction("if(BJ1339="""","""",GOOGLETRANSLATE(BJ1339,""auto"",""en""))"),"Operator Cutting")</f>
        <v>Operator Cutting</v>
      </c>
      <c r="AA1339" s="23" t="str">
        <f aca="false">IF(C1339="","", CHOOSE(MONTH(C1339),"January","February","March","April","May","June","July","August","September","October","November","December")&amp;" "&amp;DAY(C1339)&amp;MID("thstndrdth",MIN(9,2*RIGHT(DAY(C1339))*(MOD(DAY(C1339)-11,100)&gt;2)+1),2)&amp;","&amp;TEXT(C1339," yyyy"))</f>
        <v>April 22nd,2024</v>
      </c>
      <c r="AB1339" s="15" t="str">
        <f aca="true">IF(S1339="","",DATEDIF(S1339,TODAY(),"Y")&amp;" Tahun, "&amp;DATEDIF(S1339,TODAY(),"YM")&amp;" Bulan, "&amp;DATEDIF(S1339,TODAY(),"MD")&amp;" Hari")</f>
        <v>26 Tahun, 7 Bulan, 7 Hari</v>
      </c>
      <c r="AC1339" s="18" t="n">
        <v>45764</v>
      </c>
      <c r="AD1339" s="18" t="n">
        <v>45946</v>
      </c>
      <c r="AE1339" s="18" t="s">
        <v>44</v>
      </c>
    </row>
    <row r="1340" customFormat="false" ht="15" hidden="false" customHeight="true" outlineLevel="0" collapsed="false">
      <c r="A1340" s="12" t="n">
        <v>14914</v>
      </c>
      <c r="B1340" s="13" t="s">
        <v>5878</v>
      </c>
      <c r="C1340" s="14" t="n">
        <v>45404</v>
      </c>
      <c r="D1340" s="13" t="s">
        <v>4252</v>
      </c>
      <c r="E1340" s="15" t="s">
        <v>33</v>
      </c>
      <c r="F1340" s="24" t="s">
        <v>5879</v>
      </c>
      <c r="G1340" s="13" t="s">
        <v>57</v>
      </c>
      <c r="H1340" s="13" t="s">
        <v>35</v>
      </c>
      <c r="I1340" s="13" t="str">
        <f aca="false">IF(C1340=J1340,"NEW KONTRAK","RE-KONTRAK")</f>
        <v>RE-KONTRAK</v>
      </c>
      <c r="J1340" s="16" t="n">
        <f aca="false" t="array" ref="J1340:J1340">IFERROR(INDEX(AC1340:AE1340,IF(COUNTA(AC1340:AE1340)=0,"",MAX((AC1340:AE1340&lt;&gt;"")*(COLUMN(AC1340:AE1340)-(COLUMN(AC1340)))))-1),"")</f>
        <v>45764</v>
      </c>
      <c r="K1340" s="16" t="n">
        <f aca="false" t="array" ref="K1340:K1340">IFERROR(INDEX(AC1340:AE1340,IF(COUNTA(AC1340:AE1340)=0,"",MAX((AC1340:AE1340&lt;&gt;"")*(COLUMN(AC1340:AE1340)-(COLUMN(AC1340)-1))))-1),"")</f>
        <v>45946</v>
      </c>
      <c r="L1340" s="17" t="str">
        <f aca="false" t="array" ref="L1340:L1340">IFERROR(INDEX(AC1340:AE1340,IF(COUNTA(AC1340:AE1340)=0,"",MAX((AC1340:AE1340&lt;&gt;"")*(COLUMN(AC1340:AE1340)-(COLUMN(AC1340)-2))))-1),"")</f>
        <v>ARCHIVED</v>
      </c>
      <c r="M1340" s="13" t="n">
        <f aca="true">K1340-TODAY()</f>
        <v>-378</v>
      </c>
      <c r="N1340" s="18" t="s">
        <v>36</v>
      </c>
      <c r="O1340" s="13" t="s">
        <v>4280</v>
      </c>
      <c r="P1340" s="27" t="n">
        <v>120000</v>
      </c>
      <c r="Q1340" s="20" t="s">
        <v>5880</v>
      </c>
      <c r="R1340" s="13" t="s">
        <v>65</v>
      </c>
      <c r="S1340" s="14" t="n">
        <v>37927</v>
      </c>
      <c r="T1340" s="13" t="s">
        <v>108</v>
      </c>
      <c r="U1340" s="13" t="s">
        <v>5881</v>
      </c>
      <c r="V1340" s="13" t="s">
        <v>42</v>
      </c>
      <c r="W1340" s="13" t="s">
        <v>43</v>
      </c>
      <c r="X1340" s="30" t="n">
        <v>82154303911</v>
      </c>
      <c r="Y1340" s="22" t="str">
        <f aca="false">O1340</f>
        <v>Helper Cutting</v>
      </c>
      <c r="Z1340" s="13" t="str">
        <f aca="false">IFERROR(__xludf.dummyfunction("if(BJ1340="""","""",GOOGLETRANSLATE(BJ1340,""auto"",""en""))"),"Helper Cutting")</f>
        <v>Helper Cutting</v>
      </c>
      <c r="AA1340" s="23" t="str">
        <f aca="false">IF(C1340="","", CHOOSE(MONTH(C1340),"January","February","March","April","May","June","July","August","September","October","November","December")&amp;" "&amp;DAY(C1340)&amp;MID("thstndrdth",MIN(9,2*RIGHT(DAY(C1340))*(MOD(DAY(C1340)-11,100)&gt;2)+1),2)&amp;","&amp;TEXT(C1340," yyyy"))</f>
        <v>April 22nd,2024</v>
      </c>
      <c r="AB1340" s="15" t="str">
        <f aca="true">IF(S1340="","",DATEDIF(S1340,TODAY(),"Y")&amp;" Tahun, "&amp;DATEDIF(S1340,TODAY(),"YM")&amp;" Bulan, "&amp;DATEDIF(S1340,TODAY(),"MD")&amp;" Hari")</f>
        <v>22 Tahun, 11 Bulan, 27 Hari</v>
      </c>
      <c r="AC1340" s="18" t="n">
        <v>45764</v>
      </c>
      <c r="AD1340" s="18" t="n">
        <v>45946</v>
      </c>
      <c r="AE1340" s="18" t="s">
        <v>44</v>
      </c>
    </row>
    <row r="1341" customFormat="false" ht="15" hidden="false" customHeight="true" outlineLevel="0" collapsed="false">
      <c r="A1341" s="12" t="n">
        <v>14918</v>
      </c>
      <c r="B1341" s="13" t="s">
        <v>5882</v>
      </c>
      <c r="C1341" s="14" t="n">
        <v>45398</v>
      </c>
      <c r="D1341" s="13" t="s">
        <v>2046</v>
      </c>
      <c r="E1341" s="15" t="s">
        <v>789</v>
      </c>
      <c r="F1341" s="24" t="s">
        <v>5883</v>
      </c>
      <c r="G1341" s="13" t="s">
        <v>5884</v>
      </c>
      <c r="H1341" s="13" t="s">
        <v>35</v>
      </c>
      <c r="I1341" s="13" t="str">
        <f aca="false">IF(C1341=J1341,"NEW KONTRAK","RE-KONTRAK")</f>
        <v>RE-KONTRAK</v>
      </c>
      <c r="J1341" s="16" t="n">
        <f aca="false" t="array" ref="J1341:J1341">IFERROR(INDEX(AC1341:AE1341,IF(COUNTA(AC1341:AE1341)=0,"",MAX((AC1341:AE1341&lt;&gt;"")*(COLUMN(AC1341:AE1341)-(COLUMN(AC1341)))))-1),"")</f>
        <v>45839</v>
      </c>
      <c r="K1341" s="16" t="n">
        <f aca="false" t="array" ref="K1341:K1341">IFERROR(INDEX(AC1341:AE1341,IF(COUNTA(AC1341:AE1341)=0,"",MAX((AC1341:AE1341&lt;&gt;"")*(COLUMN(AC1341:AE1341)-(COLUMN(AC1341)-1))))-1),"")</f>
        <v>45961</v>
      </c>
      <c r="L1341" s="17" t="str">
        <f aca="false" t="array" ref="L1341:L1341">IFERROR(INDEX(AC1341:AE1341,IF(COUNTA(AC1341:AE1341)=0,"",MAX((AC1341:AE1341&lt;&gt;"")*(COLUMN(AC1341:AE1341)-(COLUMN(AC1341)-2))))-1),"")</f>
        <v>ARCHIVED</v>
      </c>
      <c r="M1341" s="13" t="n">
        <f aca="true">K1341-TODAY()</f>
        <v>-363</v>
      </c>
      <c r="N1341" s="18" t="s">
        <v>36</v>
      </c>
      <c r="O1341" s="13" t="s">
        <v>2055</v>
      </c>
      <c r="P1341" s="19" t="s">
        <v>2050</v>
      </c>
      <c r="Q1341" s="20" t="s">
        <v>5885</v>
      </c>
      <c r="R1341" s="13" t="s">
        <v>65</v>
      </c>
      <c r="S1341" s="14" t="n">
        <v>37550</v>
      </c>
      <c r="T1341" s="13" t="s">
        <v>40</v>
      </c>
      <c r="U1341" s="13" t="s">
        <v>5886</v>
      </c>
      <c r="V1341" s="13" t="s">
        <v>42</v>
      </c>
      <c r="W1341" s="13" t="s">
        <v>43</v>
      </c>
      <c r="X1341" s="21" t="n">
        <v>82132358220</v>
      </c>
      <c r="Y1341" s="22" t="str">
        <f aca="false">O1341</f>
        <v>Assembly</v>
      </c>
      <c r="Z1341" s="13" t="str">
        <f aca="false">IFERROR(__xludf.dummyfunction("if(BJ1341="""","""",GOOGLETRANSLATE(BJ1341,""auto"",""en""))"),"Assembly")</f>
        <v>Assembly</v>
      </c>
      <c r="AA1341" s="23" t="str">
        <f aca="false">IF(C1341="","", CHOOSE(MONTH(C1341),"January","February","March","April","May","June","July","August","September","October","November","December")&amp;" "&amp;DAY(C1341)&amp;MID("thstndrdth",MIN(9,2*RIGHT(DAY(C1341))*(MOD(DAY(C1341)-11,100)&gt;2)+1),2)&amp;","&amp;TEXT(C1341," yyyy"))</f>
        <v>April 16th,2024</v>
      </c>
      <c r="AB1341" s="15" t="str">
        <f aca="true">IF(S1341="","",DATEDIF(S1341,TODAY(),"Y")&amp;" Tahun, "&amp;DATEDIF(S1341,TODAY(),"YM")&amp;" Bulan, "&amp;DATEDIF(S1341,TODAY(),"MD")&amp;" Hari")</f>
        <v>24 Tahun, 0 Bulan, 8 Hari</v>
      </c>
      <c r="AC1341" s="18" t="n">
        <v>45839</v>
      </c>
      <c r="AD1341" s="18" t="n">
        <v>45961</v>
      </c>
      <c r="AE1341" s="18" t="s">
        <v>44</v>
      </c>
    </row>
    <row r="1342" customFormat="false" ht="15" hidden="false" customHeight="true" outlineLevel="0" collapsed="false">
      <c r="A1342" s="12" t="n">
        <v>14920</v>
      </c>
      <c r="B1342" s="13" t="s">
        <v>5887</v>
      </c>
      <c r="C1342" s="14" t="n">
        <v>45406</v>
      </c>
      <c r="D1342" s="13" t="s">
        <v>2148</v>
      </c>
      <c r="E1342" s="15" t="s">
        <v>102</v>
      </c>
      <c r="F1342" s="15" t="str">
        <f aca="false">IFERROR(__xludf.dummyfunction("XLOOKUP(AJ1342,IMPORTRANGE(""1XaInW9DU9nz21V0tYIfzFQ0He9kVQ_JF2mCXgZ3hqFA"",""REKAP ALL 2026 - Andika!G:G""),IMPORTRANGE(""1XaInW9DU9nz21V0tYIfzFQ0He9kVQ_JF2mCXgZ3hqFA"",""REKAP ALL 2026 - Andika!F:F""),"""",0)"),"24075691253")</f>
        <v>24075691253</v>
      </c>
      <c r="G1342" s="13" t="s">
        <v>5888</v>
      </c>
      <c r="H1342" s="13" t="s">
        <v>49</v>
      </c>
      <c r="I1342" s="13" t="str">
        <f aca="false">IF(C1342=J1342,"NEW KONTRAK","RE-KONTRAK")</f>
        <v>RE-KONTRAK</v>
      </c>
      <c r="J1342" s="16" t="n">
        <f aca="false" t="array" ref="J1342:J1342">IFERROR(INDEX(AC1342:AE1342,IF(COUNTA(AC1342:AE1342)=0,"",MAX((AC1342:AE1342&lt;&gt;"")*(COLUMN(AC1342:AE1342)-(COLUMN(AC1342)))))-1),"")</f>
        <v>45672</v>
      </c>
      <c r="K1342" s="16" t="n">
        <f aca="false" t="array" ref="K1342:K1342">IFERROR(INDEX(AC1342:AE1342,IF(COUNTA(AC1342:AE1342)=0,"",MAX((AC1342:AE1342&lt;&gt;"")*(COLUMN(AC1342:AE1342)-(COLUMN(AC1342)-1))))-1),"")</f>
        <v>46036</v>
      </c>
      <c r="L1342" s="17" t="str">
        <f aca="false" t="array" ref="L1342:L1342">IFERROR(INDEX(AC1342:AE1342,IF(COUNTA(AC1342:AE1342)=0,"",MAX((AC1342:AE1342&lt;&gt;"")*(COLUMN(AC1342:AE1342)-(COLUMN(AC1342)-2))))-1),"")</f>
        <v>ARCHIVED</v>
      </c>
      <c r="M1342" s="13" t="n">
        <f aca="true">K1342-TODAY()</f>
        <v>-288</v>
      </c>
      <c r="N1342" s="50" t="s">
        <v>105</v>
      </c>
      <c r="O1342" s="13" t="s">
        <v>3548</v>
      </c>
      <c r="P1342" s="19" t="n">
        <v>231525</v>
      </c>
      <c r="Q1342" s="20" t="s">
        <v>5889</v>
      </c>
      <c r="R1342" s="13" t="s">
        <v>52</v>
      </c>
      <c r="S1342" s="25" t="n">
        <v>36935</v>
      </c>
      <c r="T1342" s="13" t="s">
        <v>40</v>
      </c>
      <c r="U1342" s="13" t="s">
        <v>5890</v>
      </c>
      <c r="V1342" s="13" t="s">
        <v>42</v>
      </c>
      <c r="W1342" s="13" t="s">
        <v>43</v>
      </c>
      <c r="X1342" s="21" t="n">
        <v>81217956998</v>
      </c>
      <c r="Y1342" s="22" t="str">
        <f aca="false">O1342</f>
        <v>GA - Admin</v>
      </c>
      <c r="Z1342" s="13" t="str">
        <f aca="false">IFERROR(__xludf.dummyfunction("if(BJ1342="""","""",GOOGLETRANSLATE(BJ1342,""auto"",""en""))"),"GA - Admin")</f>
        <v>GA - Admin</v>
      </c>
      <c r="AA1342" s="23" t="str">
        <f aca="false">IF(C1342="","", CHOOSE(MONTH(C1342),"January","February","March","April","May","June","July","August","September","October","November","December")&amp;" "&amp;DAY(C1342)&amp;MID("thstndrdth",MIN(9,2*RIGHT(DAY(C1342))*(MOD(DAY(C1342)-11,100)&gt;2)+1),2)&amp;","&amp;TEXT(C1342," yyyy"))</f>
        <v>April 24th,2024</v>
      </c>
      <c r="AB1342" s="15" t="str">
        <f aca="true">IF(S1342="","",DATEDIF(S1342,TODAY(),"Y")&amp;" Tahun, "&amp;DATEDIF(S1342,TODAY(),"YM")&amp;" Bulan, "&amp;DATEDIF(S1342,TODAY(),"MD")&amp;" Hari")</f>
        <v>25 Tahun, 8 Bulan, 16 Hari</v>
      </c>
      <c r="AC1342" s="18" t="n">
        <v>45672</v>
      </c>
      <c r="AD1342" s="18" t="n">
        <v>46036</v>
      </c>
      <c r="AE1342" s="18" t="s">
        <v>44</v>
      </c>
    </row>
    <row r="1343" customFormat="false" ht="15" hidden="false" customHeight="true" outlineLevel="0" collapsed="false">
      <c r="A1343" s="12" t="n">
        <v>14924</v>
      </c>
      <c r="B1343" s="13" t="s">
        <v>5891</v>
      </c>
      <c r="C1343" s="14" t="n">
        <v>45383</v>
      </c>
      <c r="D1343" s="13" t="s">
        <v>5892</v>
      </c>
      <c r="E1343" s="15" t="s">
        <v>47</v>
      </c>
      <c r="F1343" s="15" t="str">
        <f aca="false">IFERROR(__xludf.dummyfunction("XLOOKUP(AJ1343,IMPORTRANGE(""1XaInW9DU9nz21V0tYIfzFQ0He9kVQ_JF2mCXgZ3hqFA"",""REKAP ALL 2026 - Andika!G:G""),IMPORTRANGE(""1XaInW9DU9nz21V0tYIfzFQ0He9kVQ_JF2mCXgZ3hqFA"",""REKAP ALL 2026 - Andika!F:F""),"""",0)"),"24075693341")</f>
        <v>24075693341</v>
      </c>
      <c r="G1343" s="13" t="s">
        <v>5893</v>
      </c>
      <c r="H1343" s="13" t="s">
        <v>35</v>
      </c>
      <c r="I1343" s="13" t="str">
        <f aca="false">IF(C1343=J1343,"NEW KONTRAK","RE-KONTRAK")</f>
        <v>RE-KONTRAK</v>
      </c>
      <c r="J1343" s="16" t="n">
        <f aca="false" t="array" ref="J1343:J1343">IFERROR(INDEX(AC1343:AE1343,IF(COUNTA(AC1343:AE1343)=0,"",MAX((AC1343:AE1343&lt;&gt;"")*(COLUMN(AC1343:AE1343)-(COLUMN(AC1343)))))-1),"")</f>
        <v>45839</v>
      </c>
      <c r="K1343" s="16" t="n">
        <f aca="false" t="array" ref="K1343:K1343">IFERROR(INDEX(AC1343:AE1343,IF(COUNTA(AC1343:AE1343)=0,"",MAX((AC1343:AE1343&lt;&gt;"")*(COLUMN(AC1343:AE1343)-(COLUMN(AC1343)-1))))-1),"")</f>
        <v>46022</v>
      </c>
      <c r="L1343" s="17" t="str">
        <f aca="false" t="array" ref="L1343:L1343">IFERROR(INDEX(AC1343:AE1343,IF(COUNTA(AC1343:AE1343)=0,"",MAX((AC1343:AE1343&lt;&gt;"")*(COLUMN(AC1343:AE1343)-(COLUMN(AC1343)-2))))-1),"")</f>
        <v>ARCHIVED</v>
      </c>
      <c r="M1343" s="13" t="n">
        <f aca="true">K1343-TODAY()</f>
        <v>-302</v>
      </c>
      <c r="N1343" s="18" t="s">
        <v>105</v>
      </c>
      <c r="O1343" s="13" t="s">
        <v>5894</v>
      </c>
      <c r="P1343" s="19" t="n">
        <v>4200000</v>
      </c>
      <c r="Q1343" s="20" t="s">
        <v>5895</v>
      </c>
      <c r="R1343" s="13" t="s">
        <v>39</v>
      </c>
      <c r="S1343" s="14" t="n">
        <v>33918</v>
      </c>
      <c r="T1343" s="13" t="s">
        <v>40</v>
      </c>
      <c r="U1343" s="13" t="s">
        <v>5896</v>
      </c>
      <c r="V1343" s="13" t="s">
        <v>42</v>
      </c>
      <c r="W1343" s="13" t="s">
        <v>54</v>
      </c>
      <c r="X1343" s="21" t="n">
        <v>85655343397</v>
      </c>
      <c r="Y1343" s="22" t="str">
        <f aca="false">O1343</f>
        <v>Checker</v>
      </c>
      <c r="Z1343" s="13" t="str">
        <f aca="false">IFERROR(__xludf.dummyfunction("if(BJ1343="""","""",GOOGLETRANSLATE(BJ1343,""auto"",""en""))"),"Checker")</f>
        <v>Checker</v>
      </c>
      <c r="AA1343" s="23" t="str">
        <f aca="false">IF(C1343="","", CHOOSE(MONTH(C1343),"January","February","March","April","May","June","July","August","September","October","November","December")&amp;" "&amp;DAY(C1343)&amp;MID("thstndrdth",MIN(9,2*RIGHT(DAY(C1343))*(MOD(DAY(C1343)-11,100)&gt;2)+1),2)&amp;","&amp;TEXT(C1343," yyyy"))</f>
        <v>April 1st,2024</v>
      </c>
      <c r="AB1343" s="15" t="str">
        <f aca="true">IF(S1343="","",DATEDIF(S1343,TODAY(),"Y")&amp;" Tahun, "&amp;DATEDIF(S1343,TODAY(),"YM")&amp;" Bulan, "&amp;DATEDIF(S1343,TODAY(),"MD")&amp;" Hari")</f>
        <v>33 Tahun, 11 Bulan, 19 Hari</v>
      </c>
      <c r="AC1343" s="18" t="n">
        <v>45839</v>
      </c>
      <c r="AD1343" s="18" t="n">
        <v>46022</v>
      </c>
      <c r="AE1343" s="18" t="s">
        <v>44</v>
      </c>
    </row>
    <row r="1344" customFormat="false" ht="15" hidden="false" customHeight="true" outlineLevel="0" collapsed="false">
      <c r="A1344" s="12" t="n">
        <v>14925</v>
      </c>
      <c r="B1344" s="13" t="s">
        <v>5897</v>
      </c>
      <c r="C1344" s="14" t="n">
        <v>45383</v>
      </c>
      <c r="D1344" s="13" t="s">
        <v>5892</v>
      </c>
      <c r="E1344" s="15" t="s">
        <v>47</v>
      </c>
      <c r="F1344" s="15" t="str">
        <f aca="false">IFERROR(__xludf.dummyfunction("XLOOKUP(AJ1344,IMPORTRANGE(""1XaInW9DU9nz21V0tYIfzFQ0He9kVQ_JF2mCXgZ3hqFA"",""REKAP ALL 2026 - Andika!G:G""),IMPORTRANGE(""1XaInW9DU9nz21V0tYIfzFQ0He9kVQ_JF2mCXgZ3hqFA"",""REKAP ALL 2026 - Andika!F:F""),"""",0)"),"24075693333")</f>
        <v>24075693333</v>
      </c>
      <c r="G1344" s="13" t="s">
        <v>5898</v>
      </c>
      <c r="H1344" s="13" t="s">
        <v>35</v>
      </c>
      <c r="I1344" s="13" t="str">
        <f aca="false">IF(C1344=J1344,"NEW KONTRAK","RE-KONTRAK")</f>
        <v>RE-KONTRAK</v>
      </c>
      <c r="J1344" s="16" t="n">
        <f aca="false" t="array" ref="J1344:J1344">IFERROR(INDEX(AC1344:AE1344,IF(COUNTA(AC1344:AE1344)=0,"",MAX((AC1344:AE1344&lt;&gt;"")*(COLUMN(AC1344:AE1344)-(COLUMN(AC1344)))))-1),"")</f>
        <v>45748</v>
      </c>
      <c r="K1344" s="16" t="n">
        <f aca="false" t="array" ref="K1344:K1344">IFERROR(INDEX(AC1344:AE1344,IF(COUNTA(AC1344:AE1344)=0,"",MAX((AC1344:AE1344&lt;&gt;"")*(COLUMN(AC1344:AE1344)-(COLUMN(AC1344)-1))))-1),"")</f>
        <v>45930</v>
      </c>
      <c r="L1344" s="17" t="str">
        <f aca="false" t="array" ref="L1344:L1344">IFERROR(INDEX(AC1344:AE1344,IF(COUNTA(AC1344:AE1344)=0,"",MAX((AC1344:AE1344&lt;&gt;"")*(COLUMN(AC1344:AE1344)-(COLUMN(AC1344)-2))))-1),"")</f>
        <v>ARCHIVED</v>
      </c>
      <c r="M1344" s="13" t="n">
        <f aca="true">K1344-TODAY()</f>
        <v>-394</v>
      </c>
      <c r="N1344" s="18" t="s">
        <v>105</v>
      </c>
      <c r="O1344" s="13" t="s">
        <v>5899</v>
      </c>
      <c r="P1344" s="19" t="n">
        <v>4140000</v>
      </c>
      <c r="Q1344" s="20" t="s">
        <v>5900</v>
      </c>
      <c r="R1344" s="13" t="s">
        <v>73</v>
      </c>
      <c r="S1344" s="14" t="n">
        <v>34856</v>
      </c>
      <c r="T1344" s="13" t="s">
        <v>40</v>
      </c>
      <c r="U1344" s="13" t="s">
        <v>5901</v>
      </c>
      <c r="V1344" s="13" t="s">
        <v>42</v>
      </c>
      <c r="W1344" s="13" t="s">
        <v>54</v>
      </c>
      <c r="X1344" s="21" t="n">
        <v>8563296339</v>
      </c>
      <c r="Y1344" s="22" t="str">
        <f aca="false">O1344</f>
        <v>PLC</v>
      </c>
      <c r="Z1344" s="13" t="str">
        <f aca="false">IFERROR(__xludf.dummyfunction("if(BJ1344="""","""",GOOGLETRANSLATE(BJ1344,""auto"",""en""))"),"PLC")</f>
        <v>PLC</v>
      </c>
      <c r="AA1344" s="23" t="str">
        <f aca="false">IF(C1344="","", CHOOSE(MONTH(C1344),"January","February","March","April","May","June","July","August","September","October","November","December")&amp;" "&amp;DAY(C1344)&amp;MID("thstndrdth",MIN(9,2*RIGHT(DAY(C1344))*(MOD(DAY(C1344)-11,100)&gt;2)+1),2)&amp;","&amp;TEXT(C1344," yyyy"))</f>
        <v>April 1st,2024</v>
      </c>
      <c r="AB1344" s="15" t="str">
        <f aca="true">IF(S1344="","",DATEDIF(S1344,TODAY(),"Y")&amp;" Tahun, "&amp;DATEDIF(S1344,TODAY(),"YM")&amp;" Bulan, "&amp;DATEDIF(S1344,TODAY(),"MD")&amp;" Hari")</f>
        <v>31 Tahun, 4 Bulan, 23 Hari</v>
      </c>
      <c r="AC1344" s="18" t="n">
        <v>45748</v>
      </c>
      <c r="AD1344" s="18" t="n">
        <v>45930</v>
      </c>
      <c r="AE1344" s="18" t="s">
        <v>44</v>
      </c>
    </row>
    <row r="1345" customFormat="false" ht="15" hidden="false" customHeight="true" outlineLevel="0" collapsed="false">
      <c r="A1345" s="12" t="n">
        <v>14930</v>
      </c>
      <c r="B1345" s="13" t="s">
        <v>5902</v>
      </c>
      <c r="C1345" s="14" t="n">
        <v>45413</v>
      </c>
      <c r="D1345" s="13" t="s">
        <v>5903</v>
      </c>
      <c r="E1345" s="15" t="s">
        <v>47</v>
      </c>
      <c r="F1345" s="15" t="str">
        <f aca="false">IFERROR(__xludf.dummyfunction("XLOOKUP(AJ1345,IMPORTRANGE(""1XaInW9DU9nz21V0tYIfzFQ0He9kVQ_JF2mCXgZ3hqFA"",""REKAP ALL 2026 - Andika!G:G""),IMPORTRANGE(""1XaInW9DU9nz21V0tYIfzFQ0He9kVQ_JF2mCXgZ3hqFA"",""REKAP ALL 2026 - Andika!F:F""),"""",0)"),"24075692756")</f>
        <v>24075692756</v>
      </c>
      <c r="G1345" s="15" t="s">
        <v>5904</v>
      </c>
      <c r="H1345" s="13" t="s">
        <v>35</v>
      </c>
      <c r="I1345" s="13" t="str">
        <f aca="false">IF(C1345=J1345,"NEW KONTRAK","RE-KONTRAK")</f>
        <v>RE-KONTRAK</v>
      </c>
      <c r="J1345" s="16" t="n">
        <f aca="false" t="array" ref="J1345:J1345">IFERROR(INDEX(AC1345:AE1345,IF(COUNTA(AC1345:AE1345)=0,"",MAX((AC1345:AE1345&lt;&gt;"")*(COLUMN(AC1345:AE1345)-(COLUMN(AC1345)))))-1),"")</f>
        <v>45778</v>
      </c>
      <c r="K1345" s="16" t="n">
        <f aca="false" t="array" ref="K1345:K1345">IFERROR(INDEX(AC1345:AE1345,IF(COUNTA(AC1345:AE1345)=0,"",MAX((AC1345:AE1345&lt;&gt;"")*(COLUMN(AC1345:AE1345)-(COLUMN(AC1345)-1))))-1),"")</f>
        <v>46142</v>
      </c>
      <c r="L1345" s="17" t="str">
        <f aca="false" t="array" ref="L1345:L1345">IFERROR(INDEX(AC1345:AE1345,IF(COUNTA(AC1345:AE1345)=0,"",MAX((AC1345:AE1345&lt;&gt;"")*(COLUMN(AC1345:AE1345)-(COLUMN(AC1345)-2))))-1),"")</f>
        <v>ARCHIVED</v>
      </c>
      <c r="M1345" s="13" t="n">
        <f aca="true">K1345-TODAY()</f>
        <v>-182</v>
      </c>
      <c r="N1345" s="50" t="s">
        <v>728</v>
      </c>
      <c r="O1345" s="13" t="s">
        <v>1287</v>
      </c>
      <c r="P1345" s="19" t="n">
        <f aca="false">IFERROR(__xludf.dummyfunction("INDEX(IMPORTRANGE(""12FwpLvlsVhD_IhxpEWawHHAWVeXnjXpHARKGUQ_nP_w"",""harga rukma!H:H""),MATCH(C1345,IMPORTRANGE(""12FwpLvlsVhD_IhxpEWawHHAWVeXnjXpHARKGUQ_nP_w"",""harga rukma!B:B""),0))"),4100000)</f>
        <v>4100000</v>
      </c>
      <c r="Q1345" s="20" t="s">
        <v>5905</v>
      </c>
      <c r="R1345" s="13" t="s">
        <v>52</v>
      </c>
      <c r="S1345" s="14" t="n">
        <v>38181</v>
      </c>
      <c r="T1345" s="13" t="s">
        <v>40</v>
      </c>
      <c r="U1345" s="13" t="s">
        <v>5906</v>
      </c>
      <c r="V1345" s="13" t="s">
        <v>42</v>
      </c>
      <c r="W1345" s="13" t="s">
        <v>43</v>
      </c>
      <c r="X1345" s="21" t="n">
        <v>88991961609</v>
      </c>
      <c r="Y1345" s="22" t="str">
        <f aca="false">O1345</f>
        <v>Office Boy</v>
      </c>
      <c r="Z1345" s="13" t="str">
        <f aca="false">IFERROR(__xludf.dummyfunction("if(BJ1345="""","""",GOOGLETRANSLATE(BJ1345,""auto"",""en""))"),"Office Boy")</f>
        <v>Office Boy</v>
      </c>
      <c r="AA1345" s="23" t="str">
        <f aca="false">IF(C1345="","", CHOOSE(MONTH(C1345),"January","February","March","April","May","June","July","August","September","October","November","December")&amp;" "&amp;DAY(C1345)&amp;MID("thstndrdth",MIN(9,2*RIGHT(DAY(C1345))*(MOD(DAY(C1345)-11,100)&gt;2)+1),2)&amp;","&amp;TEXT(C1345," yyyy"))</f>
        <v>May 1st,2024</v>
      </c>
      <c r="AB1345" s="15" t="str">
        <f aca="true">IF(S1345="","",DATEDIF(S1345,TODAY(),"Y")&amp;" Tahun, "&amp;DATEDIF(S1345,TODAY(),"YM")&amp;" Bulan, "&amp;DATEDIF(S1345,TODAY(),"MD")&amp;" Hari")</f>
        <v>22 Tahun, 3 Bulan, 16 Hari</v>
      </c>
      <c r="AC1345" s="18" t="n">
        <v>45778</v>
      </c>
      <c r="AD1345" s="18" t="n">
        <v>46142</v>
      </c>
      <c r="AE1345" s="18" t="s">
        <v>44</v>
      </c>
    </row>
    <row r="1346" customFormat="false" ht="15" hidden="false" customHeight="true" outlineLevel="0" collapsed="false">
      <c r="A1346" s="12" t="n">
        <v>14931</v>
      </c>
      <c r="B1346" s="13" t="s">
        <v>5907</v>
      </c>
      <c r="C1346" s="14" t="n">
        <v>45413</v>
      </c>
      <c r="D1346" s="13" t="s">
        <v>5903</v>
      </c>
      <c r="E1346" s="15" t="s">
        <v>47</v>
      </c>
      <c r="F1346" s="15" t="str">
        <f aca="false">IFERROR(__xludf.dummyfunction("XLOOKUP(AJ1346,IMPORTRANGE(""1XaInW9DU9nz21V0tYIfzFQ0He9kVQ_JF2mCXgZ3hqFA"",""REKAP ALL 2026 - Andika!G:G""),IMPORTRANGE(""1XaInW9DU9nz21V0tYIfzFQ0He9kVQ_JF2mCXgZ3hqFA"",""REKAP ALL 2026 - Andika!F:F""),"""",0)"),"24075692772")</f>
        <v>24075692772</v>
      </c>
      <c r="G1346" s="15" t="s">
        <v>5908</v>
      </c>
      <c r="H1346" s="13" t="s">
        <v>35</v>
      </c>
      <c r="I1346" s="13" t="str">
        <f aca="false">IF(C1346=J1346,"NEW KONTRAK","RE-KONTRAK")</f>
        <v>RE-KONTRAK</v>
      </c>
      <c r="J1346" s="16" t="n">
        <f aca="false" t="array" ref="J1346:J1346">IFERROR(INDEX(AC1346:AE1346,IF(COUNTA(AC1346:AE1346)=0,"",MAX((AC1346:AE1346&lt;&gt;"")*(COLUMN(AC1346:AE1346)-(COLUMN(AC1346)))))-1),"")</f>
        <v>45778</v>
      </c>
      <c r="K1346" s="16" t="n">
        <f aca="false" t="array" ref="K1346:K1346">IFERROR(INDEX(AC1346:AE1346,IF(COUNTA(AC1346:AE1346)=0,"",MAX((AC1346:AE1346&lt;&gt;"")*(COLUMN(AC1346:AE1346)-(COLUMN(AC1346)-1))))-1),"")</f>
        <v>46142</v>
      </c>
      <c r="L1346" s="17" t="str">
        <f aca="false" t="array" ref="L1346:L1346">IFERROR(INDEX(AC1346:AE1346,IF(COUNTA(AC1346:AE1346)=0,"",MAX((AC1346:AE1346&lt;&gt;"")*(COLUMN(AC1346:AE1346)-(COLUMN(AC1346)-2))))-1),"")</f>
        <v>ARCHIVED</v>
      </c>
      <c r="M1346" s="13" t="n">
        <f aca="true">K1346-TODAY()</f>
        <v>-182</v>
      </c>
      <c r="N1346" s="50" t="s">
        <v>728</v>
      </c>
      <c r="O1346" s="13" t="s">
        <v>1287</v>
      </c>
      <c r="P1346" s="19" t="n">
        <f aca="false">IFERROR(__xludf.dummyfunction("INDEX(IMPORTRANGE(""12FwpLvlsVhD_IhxpEWawHHAWVeXnjXpHARKGUQ_nP_w"",""harga rukma!H:H""),MATCH(C1346,IMPORTRANGE(""12FwpLvlsVhD_IhxpEWawHHAWVeXnjXpHARKGUQ_nP_w"",""harga rukma!B:B""),0))"),3780000)</f>
        <v>3780000</v>
      </c>
      <c r="Q1346" s="20" t="s">
        <v>5909</v>
      </c>
      <c r="R1346" s="13" t="s">
        <v>52</v>
      </c>
      <c r="S1346" s="14" t="n">
        <v>37145</v>
      </c>
      <c r="T1346" s="13" t="s">
        <v>40</v>
      </c>
      <c r="U1346" s="13" t="s">
        <v>5910</v>
      </c>
      <c r="V1346" s="13" t="s">
        <v>42</v>
      </c>
      <c r="W1346" s="13" t="s">
        <v>43</v>
      </c>
      <c r="X1346" s="21" t="n">
        <v>85791971918</v>
      </c>
      <c r="Y1346" s="22" t="str">
        <f aca="false">O1346</f>
        <v>Office Boy</v>
      </c>
      <c r="Z1346" s="13" t="str">
        <f aca="false">IFERROR(__xludf.dummyfunction("if(BJ1346="""","""",GOOGLETRANSLATE(BJ1346,""auto"",""en""))"),"Office Boy")</f>
        <v>Office Boy</v>
      </c>
      <c r="AA1346" s="23" t="str">
        <f aca="false">IF(C1346="","", CHOOSE(MONTH(C1346),"January","February","March","April","May","June","July","August","September","October","November","December")&amp;" "&amp;DAY(C1346)&amp;MID("thstndrdth",MIN(9,2*RIGHT(DAY(C1346))*(MOD(DAY(C1346)-11,100)&gt;2)+1),2)&amp;","&amp;TEXT(C1346," yyyy"))</f>
        <v>May 1st,2024</v>
      </c>
      <c r="AB1346" s="15" t="str">
        <f aca="true">IF(S1346="","",DATEDIF(S1346,TODAY(),"Y")&amp;" Tahun, "&amp;DATEDIF(S1346,TODAY(),"YM")&amp;" Bulan, "&amp;DATEDIF(S1346,TODAY(),"MD")&amp;" Hari")</f>
        <v>25 Tahun, 1 Bulan, 18 Hari</v>
      </c>
      <c r="AC1346" s="18" t="n">
        <v>45778</v>
      </c>
      <c r="AD1346" s="18" t="n">
        <v>46142</v>
      </c>
      <c r="AE1346" s="18" t="s">
        <v>44</v>
      </c>
    </row>
    <row r="1347" customFormat="false" ht="15" hidden="false" customHeight="true" outlineLevel="0" collapsed="false">
      <c r="A1347" s="12" t="n">
        <v>14932</v>
      </c>
      <c r="B1347" s="13" t="s">
        <v>5911</v>
      </c>
      <c r="C1347" s="14" t="n">
        <v>45413</v>
      </c>
      <c r="D1347" s="13" t="s">
        <v>5903</v>
      </c>
      <c r="E1347" s="15" t="s">
        <v>33</v>
      </c>
      <c r="F1347" s="24" t="s">
        <v>5912</v>
      </c>
      <c r="G1347" s="15" t="s">
        <v>5913</v>
      </c>
      <c r="H1347" s="13" t="s">
        <v>35</v>
      </c>
      <c r="I1347" s="13" t="str">
        <f aca="false">IF(C1347=J1347,"NEW KONTRAK","RE-KONTRAK")</f>
        <v>RE-KONTRAK</v>
      </c>
      <c r="J1347" s="16" t="n">
        <f aca="false" t="array" ref="J1347:J1347">IFERROR(INDEX(AC1347:AE1347,IF(COUNTA(AC1347:AE1347)=0,"",MAX((AC1347:AE1347&lt;&gt;"")*(COLUMN(AC1347:AE1347)-(COLUMN(AC1347)))))-1),"")</f>
        <v>45778</v>
      </c>
      <c r="K1347" s="16" t="n">
        <f aca="false" t="array" ref="K1347:K1347">IFERROR(INDEX(AC1347:AE1347,IF(COUNTA(AC1347:AE1347)=0,"",MAX((AC1347:AE1347&lt;&gt;"")*(COLUMN(AC1347:AE1347)-(COLUMN(AC1347)-1))))-1),"")</f>
        <v>46142</v>
      </c>
      <c r="L1347" s="17" t="str">
        <f aca="false" t="array" ref="L1347:L1347">IFERROR(INDEX(AC1347:AE1347,IF(COUNTA(AC1347:AE1347)=0,"",MAX((AC1347:AE1347&lt;&gt;"")*(COLUMN(AC1347:AE1347)-(COLUMN(AC1347)-2))))-1),"")</f>
        <v>ARCHIVED</v>
      </c>
      <c r="M1347" s="13" t="n">
        <f aca="true">K1347-TODAY()</f>
        <v>-182</v>
      </c>
      <c r="N1347" s="50" t="s">
        <v>728</v>
      </c>
      <c r="O1347" s="13" t="s">
        <v>5914</v>
      </c>
      <c r="P1347" s="27" t="n">
        <v>2800000</v>
      </c>
      <c r="Q1347" s="20" t="s">
        <v>5915</v>
      </c>
      <c r="R1347" s="13" t="s">
        <v>52</v>
      </c>
      <c r="S1347" s="14" t="n">
        <v>36410</v>
      </c>
      <c r="T1347" s="13" t="s">
        <v>40</v>
      </c>
      <c r="U1347" s="13" t="s">
        <v>5916</v>
      </c>
      <c r="V1347" s="13" t="s">
        <v>42</v>
      </c>
      <c r="W1347" s="13" t="s">
        <v>43</v>
      </c>
      <c r="X1347" s="21" t="n">
        <v>85843717548</v>
      </c>
      <c r="Y1347" s="22" t="str">
        <f aca="false">O1347</f>
        <v>Washing / Cleaner Container</v>
      </c>
      <c r="Z1347" s="13" t="str">
        <f aca="false">IFERROR(__xludf.dummyfunction("if(BJ1347="""","""",GOOGLETRANSLATE(BJ1347,""auto"",""en""))"),"Washing / Cleaner Container")</f>
        <v>Washing / Cleaner Container</v>
      </c>
      <c r="AA1347" s="23" t="str">
        <f aca="false">IF(C1347="","", CHOOSE(MONTH(C1347),"January","February","March","April","May","June","July","August","September","October","November","December")&amp;" "&amp;DAY(C1347)&amp;MID("thstndrdth",MIN(9,2*RIGHT(DAY(C1347))*(MOD(DAY(C1347)-11,100)&gt;2)+1),2)&amp;","&amp;TEXT(C1347," yyyy"))</f>
        <v>May 1st,2024</v>
      </c>
      <c r="AB1347" s="15" t="str">
        <f aca="true">IF(S1347="","",DATEDIF(S1347,TODAY(),"Y")&amp;" Tahun, "&amp;DATEDIF(S1347,TODAY(),"YM")&amp;" Bulan, "&amp;DATEDIF(S1347,TODAY(),"MD")&amp;" Hari")</f>
        <v>27 Tahun, 1 Bulan, 22 Hari</v>
      </c>
      <c r="AC1347" s="18" t="n">
        <v>45778</v>
      </c>
      <c r="AD1347" s="18" t="n">
        <v>46142</v>
      </c>
      <c r="AE1347" s="18" t="s">
        <v>44</v>
      </c>
    </row>
    <row r="1348" customFormat="false" ht="15" hidden="false" customHeight="true" outlineLevel="0" collapsed="false">
      <c r="A1348" s="12" t="n">
        <v>14933</v>
      </c>
      <c r="B1348" s="13" t="s">
        <v>5917</v>
      </c>
      <c r="C1348" s="14" t="n">
        <v>45413</v>
      </c>
      <c r="D1348" s="13" t="s">
        <v>5903</v>
      </c>
      <c r="E1348" s="15" t="s">
        <v>47</v>
      </c>
      <c r="F1348" s="15" t="str">
        <f aca="false">IFERROR(__xludf.dummyfunction("XLOOKUP(AJ1348,IMPORTRANGE(""1XaInW9DU9nz21V0tYIfzFQ0He9kVQ_JF2mCXgZ3hqFA"",""REKAP ALL 2026 - Andika!G:G""),IMPORTRANGE(""1XaInW9DU9nz21V0tYIfzFQ0He9kVQ_JF2mCXgZ3hqFA"",""REKAP ALL 2026 - Andika!F:F""),"""",0)"),"24075692731")</f>
        <v>24075692731</v>
      </c>
      <c r="G1348" s="15" t="s">
        <v>5918</v>
      </c>
      <c r="H1348" s="13" t="s">
        <v>35</v>
      </c>
      <c r="I1348" s="13" t="str">
        <f aca="false">IF(C1348=J1348,"NEW KONTRAK","RE-KONTRAK")</f>
        <v>RE-KONTRAK</v>
      </c>
      <c r="J1348" s="16" t="n">
        <f aca="false" t="array" ref="J1348:J1348">IFERROR(INDEX(AC1348:AE1348,IF(COUNTA(AC1348:AE1348)=0,"",MAX((AC1348:AE1348&lt;&gt;"")*(COLUMN(AC1348:AE1348)-(COLUMN(AC1348)))))-1),"")</f>
        <v>45778</v>
      </c>
      <c r="K1348" s="16" t="n">
        <f aca="false" t="array" ref="K1348:K1348">IFERROR(INDEX(AC1348:AE1348,IF(COUNTA(AC1348:AE1348)=0,"",MAX((AC1348:AE1348&lt;&gt;"")*(COLUMN(AC1348:AE1348)-(COLUMN(AC1348)-1))))-1),"")</f>
        <v>46142</v>
      </c>
      <c r="L1348" s="17" t="str">
        <f aca="false" t="array" ref="L1348:L1348">IFERROR(INDEX(AC1348:AE1348,IF(COUNTA(AC1348:AE1348)=0,"",MAX((AC1348:AE1348&lt;&gt;"")*(COLUMN(AC1348:AE1348)-(COLUMN(AC1348)-2))))-1),"")</f>
        <v>ARCHIVED</v>
      </c>
      <c r="M1348" s="13" t="n">
        <f aca="true">K1348-TODAY()</f>
        <v>-182</v>
      </c>
      <c r="N1348" s="50" t="s">
        <v>728</v>
      </c>
      <c r="O1348" s="13" t="s">
        <v>5919</v>
      </c>
      <c r="P1348" s="19" t="n">
        <f aca="false">IFERROR(__xludf.dummyfunction("INDEX(IMPORTRANGE(""12FwpLvlsVhD_IhxpEWawHHAWVeXnjXpHARKGUQ_nP_w"",""harga rukma!H:H""),MATCH(C1348,IMPORTRANGE(""12FwpLvlsVhD_IhxpEWawHHAWVeXnjXpHARKGUQ_nP_w"",""harga rukma!B:B""),0))"),3500000)</f>
        <v>3500000</v>
      </c>
      <c r="Q1348" s="20" t="s">
        <v>5920</v>
      </c>
      <c r="R1348" s="13" t="s">
        <v>73</v>
      </c>
      <c r="S1348" s="14" t="n">
        <v>37933</v>
      </c>
      <c r="T1348" s="13" t="s">
        <v>40</v>
      </c>
      <c r="U1348" s="13" t="s">
        <v>5921</v>
      </c>
      <c r="V1348" s="13" t="s">
        <v>42</v>
      </c>
      <c r="W1348" s="13" t="s">
        <v>43</v>
      </c>
      <c r="X1348" s="21" t="n">
        <v>85706673364</v>
      </c>
      <c r="Y1348" s="22" t="str">
        <f aca="false">O1348</f>
        <v>Teknisi Reefer Container</v>
      </c>
      <c r="Z1348" s="13" t="str">
        <f aca="false">IFERROR(__xludf.dummyfunction("if(BJ1348="""","""",GOOGLETRANSLATE(BJ1348,""auto"",""en""))"),"Reefer Container Technician")</f>
        <v>Reefer Container Technician</v>
      </c>
      <c r="AA1348" s="23" t="str">
        <f aca="false">IF(C1348="","", CHOOSE(MONTH(C1348),"January","February","March","April","May","June","July","August","September","October","November","December")&amp;" "&amp;DAY(C1348)&amp;MID("thstndrdth",MIN(9,2*RIGHT(DAY(C1348))*(MOD(DAY(C1348)-11,100)&gt;2)+1),2)&amp;","&amp;TEXT(C1348," yyyy"))</f>
        <v>May 1st,2024</v>
      </c>
      <c r="AB1348" s="15" t="str">
        <f aca="true">IF(S1348="","",DATEDIF(S1348,TODAY(),"Y")&amp;" Tahun, "&amp;DATEDIF(S1348,TODAY(),"YM")&amp;" Bulan, "&amp;DATEDIF(S1348,TODAY(),"MD")&amp;" Hari")</f>
        <v>22 Tahun, 11 Bulan, 21 Hari</v>
      </c>
      <c r="AC1348" s="18" t="n">
        <v>45778</v>
      </c>
      <c r="AD1348" s="18" t="n">
        <v>46142</v>
      </c>
      <c r="AE1348" s="18" t="s">
        <v>44</v>
      </c>
    </row>
    <row r="1349" customFormat="false" ht="15" hidden="false" customHeight="true" outlineLevel="0" collapsed="false">
      <c r="A1349" s="12" t="n">
        <v>14934</v>
      </c>
      <c r="B1349" s="13" t="s">
        <v>5922</v>
      </c>
      <c r="C1349" s="14" t="n">
        <v>45413</v>
      </c>
      <c r="D1349" s="13" t="s">
        <v>5903</v>
      </c>
      <c r="E1349" s="15" t="s">
        <v>47</v>
      </c>
      <c r="F1349" s="15" t="str">
        <f aca="false">IFERROR(__xludf.dummyfunction("XLOOKUP(AJ1349,IMPORTRANGE(""1XaInW9DU9nz21V0tYIfzFQ0He9kVQ_JF2mCXgZ3hqFA"",""REKAP ALL 2026 - Andika!G:G""),IMPORTRANGE(""1XaInW9DU9nz21V0tYIfzFQ0He9kVQ_JF2mCXgZ3hqFA"",""REKAP ALL 2026 - Andika!F:F""),"""",0)"),"24075692558")</f>
        <v>24075692558</v>
      </c>
      <c r="G1349" s="15" t="s">
        <v>5923</v>
      </c>
      <c r="H1349" s="13" t="s">
        <v>35</v>
      </c>
      <c r="I1349" s="13" t="str">
        <f aca="false">IF(C1349=J1349,"NEW KONTRAK","RE-KONTRAK")</f>
        <v>RE-KONTRAK</v>
      </c>
      <c r="J1349" s="16" t="n">
        <f aca="false" t="array" ref="J1349:J1349">IFERROR(INDEX(AC1349:AE1349,IF(COUNTA(AC1349:AE1349)=0,"",MAX((AC1349:AE1349&lt;&gt;"")*(COLUMN(AC1349:AE1349)-(COLUMN(AC1349)))))-1),"")</f>
        <v>45778</v>
      </c>
      <c r="K1349" s="16" t="n">
        <f aca="false" t="array" ref="K1349:K1349">IFERROR(INDEX(AC1349:AE1349,IF(COUNTA(AC1349:AE1349)=0,"",MAX((AC1349:AE1349&lt;&gt;"")*(COLUMN(AC1349:AE1349)-(COLUMN(AC1349)-1))))-1),"")</f>
        <v>46142</v>
      </c>
      <c r="L1349" s="17" t="str">
        <f aca="false" t="array" ref="L1349:L1349">IFERROR(INDEX(AC1349:AE1349,IF(COUNTA(AC1349:AE1349)=0,"",MAX((AC1349:AE1349&lt;&gt;"")*(COLUMN(AC1349:AE1349)-(COLUMN(AC1349)-2))))-1),"")</f>
        <v>ARCHIVED</v>
      </c>
      <c r="M1349" s="13" t="n">
        <f aca="true">K1349-TODAY()</f>
        <v>-182</v>
      </c>
      <c r="N1349" s="50" t="s">
        <v>728</v>
      </c>
      <c r="O1349" s="13" t="s">
        <v>5924</v>
      </c>
      <c r="P1349" s="19" t="n">
        <f aca="false">IFERROR(__xludf.dummyfunction("INDEX(IMPORTRANGE(""12FwpLvlsVhD_IhxpEWawHHAWVeXnjXpHARKGUQ_nP_w"",""harga rukma!H:H""),MATCH(C1349,IMPORTRANGE(""12FwpLvlsVhD_IhxpEWawHHAWVeXnjXpHARKGUQ_nP_w"",""harga rukma!B:B""),0))"),3465000)</f>
        <v>3465000</v>
      </c>
      <c r="Q1349" s="20" t="s">
        <v>5925</v>
      </c>
      <c r="R1349" s="13" t="s">
        <v>65</v>
      </c>
      <c r="S1349" s="14" t="n">
        <v>37305</v>
      </c>
      <c r="T1349" s="13" t="s">
        <v>40</v>
      </c>
      <c r="U1349" s="13" t="s">
        <v>5926</v>
      </c>
      <c r="V1349" s="13" t="s">
        <v>42</v>
      </c>
      <c r="W1349" s="13" t="s">
        <v>43</v>
      </c>
      <c r="X1349" s="21" t="n">
        <v>81217699623</v>
      </c>
      <c r="Y1349" s="22" t="str">
        <f aca="false">O1349</f>
        <v>Repair Body</v>
      </c>
      <c r="Z1349" s="13" t="str">
        <f aca="false">IFERROR(__xludf.dummyfunction("if(BJ1349="""","""",GOOGLETRANSLATE(BJ1349,""auto"",""en""))"),"Repair Body")</f>
        <v>Repair Body</v>
      </c>
      <c r="AA1349" s="23" t="str">
        <f aca="false">IF(C1349="","", CHOOSE(MONTH(C1349),"January","February","March","April","May","June","July","August","September","October","November","December")&amp;" "&amp;DAY(C1349)&amp;MID("thstndrdth",MIN(9,2*RIGHT(DAY(C1349))*(MOD(DAY(C1349)-11,100)&gt;2)+1),2)&amp;","&amp;TEXT(C1349," yyyy"))</f>
        <v>May 1st,2024</v>
      </c>
      <c r="AB1349" s="15" t="str">
        <f aca="true">IF(S1349="","",DATEDIF(S1349,TODAY(),"Y")&amp;" Tahun, "&amp;DATEDIF(S1349,TODAY(),"YM")&amp;" Bulan, "&amp;DATEDIF(S1349,TODAY(),"MD")&amp;" Hari")</f>
        <v>24 Tahun, 8 Bulan, 11 Hari</v>
      </c>
      <c r="AC1349" s="18" t="n">
        <v>45778</v>
      </c>
      <c r="AD1349" s="18" t="n">
        <v>46142</v>
      </c>
      <c r="AE1349" s="18" t="s">
        <v>44</v>
      </c>
    </row>
    <row r="1350" customFormat="false" ht="15" hidden="false" customHeight="true" outlineLevel="0" collapsed="false">
      <c r="A1350" s="12" t="n">
        <v>14935</v>
      </c>
      <c r="B1350" s="13" t="s">
        <v>5927</v>
      </c>
      <c r="C1350" s="14" t="n">
        <v>45413</v>
      </c>
      <c r="D1350" s="13" t="s">
        <v>5903</v>
      </c>
      <c r="E1350" s="15" t="s">
        <v>47</v>
      </c>
      <c r="F1350" s="15" t="str">
        <f aca="false">IFERROR(__xludf.dummyfunction("XLOOKUP(AJ1350,IMPORTRANGE(""1XaInW9DU9nz21V0tYIfzFQ0He9kVQ_JF2mCXgZ3hqFA"",""REKAP ALL 2026 - Andika!G:G""),IMPORTRANGE(""1XaInW9DU9nz21V0tYIfzFQ0He9kVQ_JF2mCXgZ3hqFA"",""REKAP ALL 2026 - Andika!F:F""),"""",0)"),"24075692590")</f>
        <v>24075692590</v>
      </c>
      <c r="G1350" s="15" t="s">
        <v>5928</v>
      </c>
      <c r="H1350" s="13" t="s">
        <v>35</v>
      </c>
      <c r="I1350" s="13" t="str">
        <f aca="false">IF(C1350=J1350,"NEW KONTRAK","RE-KONTRAK")</f>
        <v>RE-KONTRAK</v>
      </c>
      <c r="J1350" s="16" t="n">
        <f aca="false" t="array" ref="J1350:J1350">IFERROR(INDEX(AC1350:AE1350,IF(COUNTA(AC1350:AE1350)=0,"",MAX((AC1350:AE1350&lt;&gt;"")*(COLUMN(AC1350:AE1350)-(COLUMN(AC1350)))))-1),"")</f>
        <v>45778</v>
      </c>
      <c r="K1350" s="16" t="n">
        <f aca="false" t="array" ref="K1350:K1350">IFERROR(INDEX(AC1350:AE1350,IF(COUNTA(AC1350:AE1350)=0,"",MAX((AC1350:AE1350&lt;&gt;"")*(COLUMN(AC1350:AE1350)-(COLUMN(AC1350)-1))))-1),"")</f>
        <v>46142</v>
      </c>
      <c r="L1350" s="17" t="str">
        <f aca="false" t="array" ref="L1350:L1350">IFERROR(INDEX(AC1350:AE1350,IF(COUNTA(AC1350:AE1350)=0,"",MAX((AC1350:AE1350&lt;&gt;"")*(COLUMN(AC1350:AE1350)-(COLUMN(AC1350)-2))))-1),"")</f>
        <v>ARCHIVED</v>
      </c>
      <c r="M1350" s="13" t="n">
        <f aca="true">K1350-TODAY()</f>
        <v>-182</v>
      </c>
      <c r="N1350" s="50" t="s">
        <v>728</v>
      </c>
      <c r="O1350" s="13" t="s">
        <v>5032</v>
      </c>
      <c r="P1350" s="19" t="n">
        <f aca="false">IFERROR(__xludf.dummyfunction("INDEX(IMPORTRANGE(""12FwpLvlsVhD_IhxpEWawHHAWVeXnjXpHARKGUQ_nP_w"",""harga rukma!H:H""),MATCH(C1350,IMPORTRANGE(""12FwpLvlsVhD_IhxpEWawHHAWVeXnjXpHARKGUQ_nP_w"",""harga rukma!B:B""),0))"),4212000)</f>
        <v>4212000</v>
      </c>
      <c r="Q1350" s="20" t="s">
        <v>5929</v>
      </c>
      <c r="R1350" s="13" t="s">
        <v>5930</v>
      </c>
      <c r="S1350" s="14" t="n">
        <v>30463</v>
      </c>
      <c r="T1350" s="13" t="s">
        <v>40</v>
      </c>
      <c r="U1350" s="13" t="s">
        <v>5931</v>
      </c>
      <c r="V1350" s="13" t="s">
        <v>42</v>
      </c>
      <c r="W1350" s="13" t="s">
        <v>54</v>
      </c>
      <c r="X1350" s="21" t="n">
        <v>81230983806</v>
      </c>
      <c r="Y1350" s="22" t="str">
        <f aca="false">O1350</f>
        <v>Operator Genset</v>
      </c>
      <c r="Z1350" s="13" t="str">
        <f aca="false">IFERROR(__xludf.dummyfunction("if(BJ1350="""","""",GOOGLETRANSLATE(BJ1350,""auto"",""en""))"),"Generator Operator")</f>
        <v>Generator Operator</v>
      </c>
      <c r="AA1350" s="23" t="str">
        <f aca="false">IF(C1350="","", CHOOSE(MONTH(C1350),"January","February","March","April","May","June","July","August","September","October","November","December")&amp;" "&amp;DAY(C1350)&amp;MID("thstndrdth",MIN(9,2*RIGHT(DAY(C1350))*(MOD(DAY(C1350)-11,100)&gt;2)+1),2)&amp;","&amp;TEXT(C1350," yyyy"))</f>
        <v>May 1st,2024</v>
      </c>
      <c r="AB1350" s="15" t="str">
        <f aca="true">IF(S1350="","",DATEDIF(S1350,TODAY(),"Y")&amp;" Tahun, "&amp;DATEDIF(S1350,TODAY(),"YM")&amp;" Bulan, "&amp;DATEDIF(S1350,TODAY(),"MD")&amp;" Hari")</f>
        <v>43 Tahun, 5 Bulan, 2 Hari</v>
      </c>
      <c r="AC1350" s="18" t="n">
        <v>45778</v>
      </c>
      <c r="AD1350" s="18" t="n">
        <v>46142</v>
      </c>
      <c r="AE1350" s="18" t="s">
        <v>44</v>
      </c>
    </row>
    <row r="1351" customFormat="false" ht="15" hidden="false" customHeight="true" outlineLevel="0" collapsed="false">
      <c r="A1351" s="12" t="n">
        <v>14936</v>
      </c>
      <c r="B1351" s="13" t="s">
        <v>5932</v>
      </c>
      <c r="C1351" s="14" t="n">
        <v>45413</v>
      </c>
      <c r="D1351" s="13" t="s">
        <v>5903</v>
      </c>
      <c r="E1351" s="15" t="s">
        <v>47</v>
      </c>
      <c r="F1351" s="15" t="str">
        <f aca="false">IFERROR(__xludf.dummyfunction("XLOOKUP(AJ1351,IMPORTRANGE(""1XaInW9DU9nz21V0tYIfzFQ0He9kVQ_JF2mCXgZ3hqFA"",""REKAP ALL 2026 - Andika!G:G""),IMPORTRANGE(""1XaInW9DU9nz21V0tYIfzFQ0He9kVQ_JF2mCXgZ3hqFA"",""REKAP ALL 2026 - Andika!F:F""),"""",0)"),"24075692665")</f>
        <v>24075692665</v>
      </c>
      <c r="G1351" s="15" t="s">
        <v>5933</v>
      </c>
      <c r="H1351" s="13" t="s">
        <v>35</v>
      </c>
      <c r="I1351" s="13" t="str">
        <f aca="false">IF(C1351=J1351,"NEW KONTRAK","RE-KONTRAK")</f>
        <v>RE-KONTRAK</v>
      </c>
      <c r="J1351" s="16" t="n">
        <f aca="false" t="array" ref="J1351:J1351">IFERROR(INDEX(AC1351:AE1351,IF(COUNTA(AC1351:AE1351)=0,"",MAX((AC1351:AE1351&lt;&gt;"")*(COLUMN(AC1351:AE1351)-(COLUMN(AC1351)))))-1),"")</f>
        <v>45778</v>
      </c>
      <c r="K1351" s="16" t="n">
        <f aca="false" t="array" ref="K1351:K1351">IFERROR(INDEX(AC1351:AE1351,IF(COUNTA(AC1351:AE1351)=0,"",MAX((AC1351:AE1351&lt;&gt;"")*(COLUMN(AC1351:AE1351)-(COLUMN(AC1351)-1))))-1),"")</f>
        <v>46142</v>
      </c>
      <c r="L1351" s="17" t="str">
        <f aca="false" t="array" ref="L1351:L1351">IFERROR(INDEX(AC1351:AE1351,IF(COUNTA(AC1351:AE1351)=0,"",MAX((AC1351:AE1351&lt;&gt;"")*(COLUMN(AC1351:AE1351)-(COLUMN(AC1351)-2))))-1),"")</f>
        <v>ARCHIVED</v>
      </c>
      <c r="M1351" s="13" t="n">
        <f aca="true">K1351-TODAY()</f>
        <v>-182</v>
      </c>
      <c r="N1351" s="50" t="s">
        <v>728</v>
      </c>
      <c r="O1351" s="13" t="s">
        <v>624</v>
      </c>
      <c r="P1351" s="19" t="n">
        <f aca="false">IFERROR(__xludf.dummyfunction("INDEX(IMPORTRANGE(""12FwpLvlsVhD_IhxpEWawHHAWVeXnjXpHARKGUQ_nP_w"",""harga rukma!H:H""),MATCH(C1351,IMPORTRANGE(""12FwpLvlsVhD_IhxpEWawHHAWVeXnjXpHARKGUQ_nP_w"",""harga rukma!B:B""),0))"),4680000)</f>
        <v>4680000</v>
      </c>
      <c r="Q1351" s="20" t="s">
        <v>5934</v>
      </c>
      <c r="R1351" s="13" t="s">
        <v>39</v>
      </c>
      <c r="S1351" s="14" t="n">
        <v>36201</v>
      </c>
      <c r="T1351" s="13" t="s">
        <v>40</v>
      </c>
      <c r="U1351" s="13" t="s">
        <v>5935</v>
      </c>
      <c r="V1351" s="13" t="s">
        <v>42</v>
      </c>
      <c r="W1351" s="13" t="s">
        <v>43</v>
      </c>
      <c r="X1351" s="21" t="n">
        <v>85607233288</v>
      </c>
      <c r="Y1351" s="22" t="str">
        <f aca="false">O1351</f>
        <v>Quality Control</v>
      </c>
      <c r="Z1351" s="13" t="str">
        <f aca="false">IFERROR(__xludf.dummyfunction("if(BJ1351="""","""",GOOGLETRANSLATE(BJ1351,""auto"",""en""))"),"Quality Control")</f>
        <v>Quality Control</v>
      </c>
      <c r="AA1351" s="23" t="str">
        <f aca="false">IF(C1351="","", CHOOSE(MONTH(C1351),"January","February","March","April","May","June","July","August","September","October","November","December")&amp;" "&amp;DAY(C1351)&amp;MID("thstndrdth",MIN(9,2*RIGHT(DAY(C1351))*(MOD(DAY(C1351)-11,100)&gt;2)+1),2)&amp;","&amp;TEXT(C1351," yyyy"))</f>
        <v>May 1st,2024</v>
      </c>
      <c r="AB1351" s="15" t="str">
        <f aca="true">IF(S1351="","",DATEDIF(S1351,TODAY(),"Y")&amp;" Tahun, "&amp;DATEDIF(S1351,TODAY(),"YM")&amp;" Bulan, "&amp;DATEDIF(S1351,TODAY(),"MD")&amp;" Hari")</f>
        <v>27 Tahun, 8 Bulan, 19 Hari</v>
      </c>
      <c r="AC1351" s="18" t="n">
        <v>45778</v>
      </c>
      <c r="AD1351" s="18" t="n">
        <v>46142</v>
      </c>
      <c r="AE1351" s="18" t="s">
        <v>44</v>
      </c>
    </row>
    <row r="1352" customFormat="false" ht="15" hidden="false" customHeight="true" outlineLevel="0" collapsed="false">
      <c r="A1352" s="12" t="n">
        <v>14937</v>
      </c>
      <c r="B1352" s="13" t="s">
        <v>5936</v>
      </c>
      <c r="C1352" s="14" t="n">
        <v>45413</v>
      </c>
      <c r="D1352" s="13" t="s">
        <v>5903</v>
      </c>
      <c r="E1352" s="15" t="s">
        <v>47</v>
      </c>
      <c r="F1352" s="15" t="str">
        <f aca="false">IFERROR(__xludf.dummyfunction("XLOOKUP(AJ1352,IMPORTRANGE(""1XaInW9DU9nz21V0tYIfzFQ0He9kVQ_JF2mCXgZ3hqFA"",""REKAP ALL 2026 - Andika!G:G""),IMPORTRANGE(""1XaInW9DU9nz21V0tYIfzFQ0He9kVQ_JF2mCXgZ3hqFA"",""REKAP ALL 2026 - Andika!F:F""),"""",0)"),"24075692822")</f>
        <v>24075692822</v>
      </c>
      <c r="G1352" s="15" t="s">
        <v>5937</v>
      </c>
      <c r="H1352" s="13" t="s">
        <v>35</v>
      </c>
      <c r="I1352" s="13" t="str">
        <f aca="false">IF(C1352=J1352,"NEW KONTRAK","RE-KONTRAK")</f>
        <v>RE-KONTRAK</v>
      </c>
      <c r="J1352" s="16" t="n">
        <f aca="false" t="array" ref="J1352:J1352">IFERROR(INDEX(AC1352:AE1352,IF(COUNTA(AC1352:AE1352)=0,"",MAX((AC1352:AE1352&lt;&gt;"")*(COLUMN(AC1352:AE1352)-(COLUMN(AC1352)))))-1),"")</f>
        <v>45778</v>
      </c>
      <c r="K1352" s="16" t="n">
        <f aca="false" t="array" ref="K1352:K1352">IFERROR(INDEX(AC1352:AE1352,IF(COUNTA(AC1352:AE1352)=0,"",MAX((AC1352:AE1352&lt;&gt;"")*(COLUMN(AC1352:AE1352)-(COLUMN(AC1352)-1))))-1),"")</f>
        <v>46142</v>
      </c>
      <c r="L1352" s="17" t="str">
        <f aca="false" t="array" ref="L1352:L1352">IFERROR(INDEX(AC1352:AE1352,IF(COUNTA(AC1352:AE1352)=0,"",MAX((AC1352:AE1352&lt;&gt;"")*(COLUMN(AC1352:AE1352)-(COLUMN(AC1352)-2))))-1),"")</f>
        <v>ARCHIVED</v>
      </c>
      <c r="M1352" s="13" t="n">
        <f aca="true">K1352-TODAY()</f>
        <v>-182</v>
      </c>
      <c r="N1352" s="50" t="s">
        <v>728</v>
      </c>
      <c r="O1352" s="13" t="s">
        <v>5919</v>
      </c>
      <c r="P1352" s="19" t="n">
        <f aca="false">IFERROR(__xludf.dummyfunction("INDEX(IMPORTRANGE(""12FwpLvlsVhD_IhxpEWawHHAWVeXnjXpHARKGUQ_nP_w"",""harga rukma!H:H""),MATCH(C1352,IMPORTRANGE(""12FwpLvlsVhD_IhxpEWawHHAWVeXnjXpHARKGUQ_nP_w"",""harga rukma!B:B""),0))"),3640000)</f>
        <v>3640000</v>
      </c>
      <c r="Q1352" s="20" t="s">
        <v>5938</v>
      </c>
      <c r="R1352" s="13" t="s">
        <v>274</v>
      </c>
      <c r="S1352" s="14" t="n">
        <v>34862</v>
      </c>
      <c r="T1352" s="13" t="s">
        <v>40</v>
      </c>
      <c r="U1352" s="13" t="s">
        <v>5939</v>
      </c>
      <c r="V1352" s="13" t="s">
        <v>42</v>
      </c>
      <c r="W1352" s="13" t="s">
        <v>43</v>
      </c>
      <c r="X1352" s="21" t="n">
        <v>85855015021</v>
      </c>
      <c r="Y1352" s="22" t="str">
        <f aca="false">O1352</f>
        <v>Teknisi Reefer Container</v>
      </c>
      <c r="Z1352" s="13" t="str">
        <f aca="false">IFERROR(__xludf.dummyfunction("if(BJ1352="""","""",GOOGLETRANSLATE(BJ1352,""auto"",""en""))"),"Reefer Container Technician")</f>
        <v>Reefer Container Technician</v>
      </c>
      <c r="AA1352" s="23" t="str">
        <f aca="false">IF(C1352="","", CHOOSE(MONTH(C1352),"January","February","March","April","May","June","July","August","September","October","November","December")&amp;" "&amp;DAY(C1352)&amp;MID("thstndrdth",MIN(9,2*RIGHT(DAY(C1352))*(MOD(DAY(C1352)-11,100)&gt;2)+1),2)&amp;","&amp;TEXT(C1352," yyyy"))</f>
        <v>May 1st,2024</v>
      </c>
      <c r="AB1352" s="15" t="str">
        <f aca="true">IF(S1352="","",DATEDIF(S1352,TODAY(),"Y")&amp;" Tahun, "&amp;DATEDIF(S1352,TODAY(),"YM")&amp;" Bulan, "&amp;DATEDIF(S1352,TODAY(),"MD")&amp;" Hari")</f>
        <v>31 Tahun, 4 Bulan, 17 Hari</v>
      </c>
      <c r="AC1352" s="18" t="n">
        <v>45778</v>
      </c>
      <c r="AD1352" s="18" t="n">
        <v>46142</v>
      </c>
      <c r="AE1352" s="18" t="s">
        <v>44</v>
      </c>
    </row>
    <row r="1353" customFormat="false" ht="15" hidden="false" customHeight="true" outlineLevel="0" collapsed="false">
      <c r="A1353" s="12" t="n">
        <v>14938</v>
      </c>
      <c r="B1353" s="13" t="s">
        <v>5940</v>
      </c>
      <c r="C1353" s="14" t="n">
        <v>45413</v>
      </c>
      <c r="D1353" s="13" t="s">
        <v>5903</v>
      </c>
      <c r="E1353" s="15" t="s">
        <v>47</v>
      </c>
      <c r="F1353" s="15" t="str">
        <f aca="false">IFERROR(__xludf.dummyfunction("XLOOKUP(AJ1353,IMPORTRANGE(""1XaInW9DU9nz21V0tYIfzFQ0He9kVQ_JF2mCXgZ3hqFA"",""REKAP ALL 2026 - Andika!G:G""),IMPORTRANGE(""1XaInW9DU9nz21V0tYIfzFQ0He9kVQ_JF2mCXgZ3hqFA"",""REKAP ALL 2026 - Andika!F:F""),"""",0)"),"24075692848")</f>
        <v>24075692848</v>
      </c>
      <c r="G1353" s="15" t="s">
        <v>5941</v>
      </c>
      <c r="H1353" s="13" t="s">
        <v>35</v>
      </c>
      <c r="I1353" s="13" t="str">
        <f aca="false">IF(C1353=J1353,"NEW KONTRAK","RE-KONTRAK")</f>
        <v>RE-KONTRAK</v>
      </c>
      <c r="J1353" s="16" t="n">
        <f aca="false" t="array" ref="J1353:J1353">IFERROR(INDEX(AC1353:AE1353,IF(COUNTA(AC1353:AE1353)=0,"",MAX((AC1353:AE1353&lt;&gt;"")*(COLUMN(AC1353:AE1353)-(COLUMN(AC1353)))))-1),"")</f>
        <v>45778</v>
      </c>
      <c r="K1353" s="16" t="n">
        <f aca="false" t="array" ref="K1353:K1353">IFERROR(INDEX(AC1353:AE1353,IF(COUNTA(AC1353:AE1353)=0,"",MAX((AC1353:AE1353&lt;&gt;"")*(COLUMN(AC1353:AE1353)-(COLUMN(AC1353)-1))))-1),"")</f>
        <v>46142</v>
      </c>
      <c r="L1353" s="17" t="str">
        <f aca="false" t="array" ref="L1353:L1353">IFERROR(INDEX(AC1353:AE1353,IF(COUNTA(AC1353:AE1353)=0,"",MAX((AC1353:AE1353&lt;&gt;"")*(COLUMN(AC1353:AE1353)-(COLUMN(AC1353)-2))))-1),"")</f>
        <v>ARCHIVED</v>
      </c>
      <c r="M1353" s="13" t="n">
        <f aca="true">K1353-TODAY()</f>
        <v>-182</v>
      </c>
      <c r="N1353" s="50" t="s">
        <v>728</v>
      </c>
      <c r="O1353" s="13" t="s">
        <v>5919</v>
      </c>
      <c r="P1353" s="19" t="n">
        <f aca="false">IFERROR(__xludf.dummyfunction("INDEX(IMPORTRANGE(""12FwpLvlsVhD_IhxpEWawHHAWVeXnjXpHARKGUQ_nP_w"",""harga rukma!H:H""),MATCH(C1353,IMPORTRANGE(""12FwpLvlsVhD_IhxpEWawHHAWVeXnjXpHARKGUQ_nP_w"",""harga rukma!B:B""),0))"),5300000)</f>
        <v>5300000</v>
      </c>
      <c r="Q1353" s="20" t="s">
        <v>5942</v>
      </c>
      <c r="R1353" s="13" t="s">
        <v>78</v>
      </c>
      <c r="S1353" s="14" t="n">
        <v>35480</v>
      </c>
      <c r="T1353" s="13" t="s">
        <v>40</v>
      </c>
      <c r="U1353" s="13" t="s">
        <v>5943</v>
      </c>
      <c r="V1353" s="13" t="s">
        <v>42</v>
      </c>
      <c r="W1353" s="13" t="s">
        <v>43</v>
      </c>
      <c r="X1353" s="21" t="n">
        <v>82236899401</v>
      </c>
      <c r="Y1353" s="22" t="str">
        <f aca="false">O1353</f>
        <v>Teknisi Reefer Container</v>
      </c>
      <c r="Z1353" s="13" t="str">
        <f aca="false">IFERROR(__xludf.dummyfunction("if(BJ1353="""","""",GOOGLETRANSLATE(BJ1353,""auto"",""en""))"),"Reefer Container Technician")</f>
        <v>Reefer Container Technician</v>
      </c>
      <c r="AA1353" s="23" t="str">
        <f aca="false">IF(C1353="","", CHOOSE(MONTH(C1353),"January","February","March","April","May","June","July","August","September","October","November","December")&amp;" "&amp;DAY(C1353)&amp;MID("thstndrdth",MIN(9,2*RIGHT(DAY(C1353))*(MOD(DAY(C1353)-11,100)&gt;2)+1),2)&amp;","&amp;TEXT(C1353," yyyy"))</f>
        <v>May 1st,2024</v>
      </c>
      <c r="AB1353" s="15" t="str">
        <f aca="true">IF(S1353="","",DATEDIF(S1353,TODAY(),"Y")&amp;" Tahun, "&amp;DATEDIF(S1353,TODAY(),"YM")&amp;" Bulan, "&amp;DATEDIF(S1353,TODAY(),"MD")&amp;" Hari")</f>
        <v>29 Tahun, 8 Bulan, 10 Hari</v>
      </c>
      <c r="AC1353" s="18" t="n">
        <v>45778</v>
      </c>
      <c r="AD1353" s="18" t="n">
        <v>46142</v>
      </c>
      <c r="AE1353" s="18" t="s">
        <v>44</v>
      </c>
    </row>
    <row r="1354" customFormat="false" ht="15" hidden="false" customHeight="true" outlineLevel="0" collapsed="false">
      <c r="A1354" s="12" t="n">
        <v>14939</v>
      </c>
      <c r="B1354" s="13" t="s">
        <v>5944</v>
      </c>
      <c r="C1354" s="14" t="n">
        <v>45413</v>
      </c>
      <c r="D1354" s="13" t="s">
        <v>5903</v>
      </c>
      <c r="E1354" s="15" t="s">
        <v>47</v>
      </c>
      <c r="F1354" s="15" t="str">
        <f aca="false">IFERROR(__xludf.dummyfunction("XLOOKUP(AJ1354,IMPORTRANGE(""1XaInW9DU9nz21V0tYIfzFQ0He9kVQ_JF2mCXgZ3hqFA"",""REKAP ALL 2026 - Andika!G:G""),IMPORTRANGE(""1XaInW9DU9nz21V0tYIfzFQ0He9kVQ_JF2mCXgZ3hqFA"",""REKAP ALL 2026 - Andika!F:F""),"""",0)"),"24075692863")</f>
        <v>24075692863</v>
      </c>
      <c r="G1354" s="15" t="s">
        <v>5945</v>
      </c>
      <c r="H1354" s="13" t="s">
        <v>35</v>
      </c>
      <c r="I1354" s="13" t="str">
        <f aca="false">IF(C1354=J1354,"NEW KONTRAK","RE-KONTRAK")</f>
        <v>RE-KONTRAK</v>
      </c>
      <c r="J1354" s="16" t="n">
        <f aca="false" t="array" ref="J1354:J1354">IFERROR(INDEX(AC1354:AE1354,IF(COUNTA(AC1354:AE1354)=0,"",MAX((AC1354:AE1354&lt;&gt;"")*(COLUMN(AC1354:AE1354)-(COLUMN(AC1354)))))-1),"")</f>
        <v>45778</v>
      </c>
      <c r="K1354" s="16" t="n">
        <f aca="false" t="array" ref="K1354:K1354">IFERROR(INDEX(AC1354:AE1354,IF(COUNTA(AC1354:AE1354)=0,"",MAX((AC1354:AE1354&lt;&gt;"")*(COLUMN(AC1354:AE1354)-(COLUMN(AC1354)-1))))-1),"")</f>
        <v>46142</v>
      </c>
      <c r="L1354" s="17" t="str">
        <f aca="false" t="array" ref="L1354:L1354">IFERROR(INDEX(AC1354:AE1354,IF(COUNTA(AC1354:AE1354)=0,"",MAX((AC1354:AE1354&lt;&gt;"")*(COLUMN(AC1354:AE1354)-(COLUMN(AC1354)-2))))-1),"")</f>
        <v>ARCHIVED</v>
      </c>
      <c r="M1354" s="13" t="n">
        <f aca="true">K1354-TODAY()</f>
        <v>-182</v>
      </c>
      <c r="N1354" s="50" t="s">
        <v>728</v>
      </c>
      <c r="O1354" s="13" t="s">
        <v>5032</v>
      </c>
      <c r="P1354" s="19" t="n">
        <f aca="false">IFERROR(__xludf.dummyfunction("INDEX(IMPORTRANGE(""12FwpLvlsVhD_IhxpEWawHHAWVeXnjXpHARKGUQ_nP_w"",""harga rukma!H:H""),MATCH(C1354,IMPORTRANGE(""12FwpLvlsVhD_IhxpEWawHHAWVeXnjXpHARKGUQ_nP_w"",""harga rukma!B:B""),0))"),3848000)</f>
        <v>3848000</v>
      </c>
      <c r="Q1354" s="20" t="s">
        <v>5946</v>
      </c>
      <c r="R1354" s="13" t="s">
        <v>78</v>
      </c>
      <c r="S1354" s="14" t="n">
        <v>36552</v>
      </c>
      <c r="T1354" s="13" t="s">
        <v>40</v>
      </c>
      <c r="U1354" s="13" t="s">
        <v>5947</v>
      </c>
      <c r="V1354" s="13" t="s">
        <v>42</v>
      </c>
      <c r="W1354" s="13" t="s">
        <v>43</v>
      </c>
      <c r="X1354" s="21" t="n">
        <v>87754310649</v>
      </c>
      <c r="Y1354" s="22" t="str">
        <f aca="false">O1354</f>
        <v>Operator Genset</v>
      </c>
      <c r="Z1354" s="13" t="str">
        <f aca="false">IFERROR(__xludf.dummyfunction("if(BJ1354="""","""",GOOGLETRANSLATE(BJ1354,""auto"",""en""))"),"Generator Operator")</f>
        <v>Generator Operator</v>
      </c>
      <c r="AA1354" s="23" t="str">
        <f aca="false">IF(C1354="","", CHOOSE(MONTH(C1354),"January","February","March","April","May","June","July","August","September","October","November","December")&amp;" "&amp;DAY(C1354)&amp;MID("thstndrdth",MIN(9,2*RIGHT(DAY(C1354))*(MOD(DAY(C1354)-11,100)&gt;2)+1),2)&amp;","&amp;TEXT(C1354," yyyy"))</f>
        <v>May 1st,2024</v>
      </c>
      <c r="AB1354" s="15" t="str">
        <f aca="true">IF(S1354="","",DATEDIF(S1354,TODAY(),"Y")&amp;" Tahun, "&amp;DATEDIF(S1354,TODAY(),"YM")&amp;" Bulan, "&amp;DATEDIF(S1354,TODAY(),"MD")&amp;" Hari")</f>
        <v>26 Tahun, 9 Bulan, 2 Hari</v>
      </c>
      <c r="AC1354" s="18" t="n">
        <v>45778</v>
      </c>
      <c r="AD1354" s="18" t="n">
        <v>46142</v>
      </c>
      <c r="AE1354" s="18" t="s">
        <v>44</v>
      </c>
    </row>
    <row r="1355" customFormat="false" ht="15" hidden="false" customHeight="true" outlineLevel="0" collapsed="false">
      <c r="A1355" s="12" t="n">
        <v>14940</v>
      </c>
      <c r="B1355" s="13" t="s">
        <v>5948</v>
      </c>
      <c r="C1355" s="14" t="n">
        <v>45413</v>
      </c>
      <c r="D1355" s="13" t="s">
        <v>5903</v>
      </c>
      <c r="E1355" s="15" t="s">
        <v>47</v>
      </c>
      <c r="F1355" s="15" t="str">
        <f aca="false">IFERROR(__xludf.dummyfunction("XLOOKUP(AJ1355,IMPORTRANGE(""1XaInW9DU9nz21V0tYIfzFQ0He9kVQ_JF2mCXgZ3hqFA"",""REKAP ALL 2026 - Andika!G:G""),IMPORTRANGE(""1XaInW9DU9nz21V0tYIfzFQ0He9kVQ_JF2mCXgZ3hqFA"",""REKAP ALL 2026 - Andika!F:F""),"""",0)"),"24075692897")</f>
        <v>24075692897</v>
      </c>
      <c r="G1355" s="15" t="s">
        <v>5949</v>
      </c>
      <c r="H1355" s="13" t="s">
        <v>35</v>
      </c>
      <c r="I1355" s="13" t="str">
        <f aca="false">IF(C1355=J1355,"NEW KONTRAK","RE-KONTRAK")</f>
        <v>RE-KONTRAK</v>
      </c>
      <c r="J1355" s="16" t="n">
        <f aca="false" t="array" ref="J1355:J1355">IFERROR(INDEX(AC1355:AE1355,IF(COUNTA(AC1355:AE1355)=0,"",MAX((AC1355:AE1355&lt;&gt;"")*(COLUMN(AC1355:AE1355)-(COLUMN(AC1355)))))-1),"")</f>
        <v>45778</v>
      </c>
      <c r="K1355" s="16" t="n">
        <f aca="false" t="array" ref="K1355:K1355">IFERROR(INDEX(AC1355:AE1355,IF(COUNTA(AC1355:AE1355)=0,"",MAX((AC1355:AE1355&lt;&gt;"")*(COLUMN(AC1355:AE1355)-(COLUMN(AC1355)-1))))-1),"")</f>
        <v>46142</v>
      </c>
      <c r="L1355" s="17" t="str">
        <f aca="false" t="array" ref="L1355:L1355">IFERROR(INDEX(AC1355:AE1355,IF(COUNTA(AC1355:AE1355)=0,"",MAX((AC1355:AE1355&lt;&gt;"")*(COLUMN(AC1355:AE1355)-(COLUMN(AC1355)-2))))-1),"")</f>
        <v>ARCHIVED</v>
      </c>
      <c r="M1355" s="13" t="n">
        <f aca="true">K1355-TODAY()</f>
        <v>-182</v>
      </c>
      <c r="N1355" s="50" t="s">
        <v>728</v>
      </c>
      <c r="O1355" s="13" t="s">
        <v>5950</v>
      </c>
      <c r="P1355" s="19" t="n">
        <f aca="false">IFERROR(__xludf.dummyfunction("INDEX(IMPORTRANGE(""12FwpLvlsVhD_IhxpEWawHHAWVeXnjXpHARKGUQ_nP_w"",""harga rukma!H:H""),MATCH(C1355,IMPORTRANGE(""12FwpLvlsVhD_IhxpEWawHHAWVeXnjXpHARKGUQ_nP_w"",""harga rukma!B:B""),0))"),3952000)</f>
        <v>3952000</v>
      </c>
      <c r="Q1355" s="20" t="s">
        <v>5951</v>
      </c>
      <c r="R1355" s="13" t="s">
        <v>241</v>
      </c>
      <c r="S1355" s="14" t="n">
        <v>37170</v>
      </c>
      <c r="T1355" s="13" t="s">
        <v>40</v>
      </c>
      <c r="U1355" s="13" t="s">
        <v>5952</v>
      </c>
      <c r="V1355" s="13" t="s">
        <v>42</v>
      </c>
      <c r="W1355" s="13" t="s">
        <v>43</v>
      </c>
      <c r="X1355" s="21" t="n">
        <v>85856625735</v>
      </c>
      <c r="Y1355" s="22" t="str">
        <f aca="false">O1355</f>
        <v>Helper Mekanik</v>
      </c>
      <c r="Z1355" s="13" t="str">
        <f aca="false">IFERROR(__xludf.dummyfunction("if(BJ1355="""","""",GOOGLETRANSLATE(BJ1355,""auto"",""en""))"),"Helper Mechanic")</f>
        <v>Helper Mechanic</v>
      </c>
      <c r="AA1355" s="23" t="str">
        <f aca="false">IF(C1355="","", CHOOSE(MONTH(C1355),"January","February","March","April","May","June","July","August","September","October","November","December")&amp;" "&amp;DAY(C1355)&amp;MID("thstndrdth",MIN(9,2*RIGHT(DAY(C1355))*(MOD(DAY(C1355)-11,100)&gt;2)+1),2)&amp;","&amp;TEXT(C1355," yyyy"))</f>
        <v>May 1st,2024</v>
      </c>
      <c r="AB1355" s="15" t="str">
        <f aca="true">IF(S1355="","",DATEDIF(S1355,TODAY(),"Y")&amp;" Tahun, "&amp;DATEDIF(S1355,TODAY(),"YM")&amp;" Bulan, "&amp;DATEDIF(S1355,TODAY(),"MD")&amp;" Hari")</f>
        <v>25 Tahun, 0 Bulan, 23 Hari</v>
      </c>
      <c r="AC1355" s="18" t="n">
        <v>45778</v>
      </c>
      <c r="AD1355" s="18" t="n">
        <v>46142</v>
      </c>
      <c r="AE1355" s="18" t="s">
        <v>44</v>
      </c>
    </row>
    <row r="1356" customFormat="false" ht="15" hidden="false" customHeight="true" outlineLevel="0" collapsed="false">
      <c r="A1356" s="12" t="n">
        <v>14941</v>
      </c>
      <c r="B1356" s="13" t="s">
        <v>5953</v>
      </c>
      <c r="C1356" s="14" t="n">
        <v>45413</v>
      </c>
      <c r="D1356" s="13" t="s">
        <v>5903</v>
      </c>
      <c r="E1356" s="15" t="s">
        <v>47</v>
      </c>
      <c r="F1356" s="15" t="str">
        <f aca="false">IFERROR(__xludf.dummyfunction("XLOOKUP(AJ1356,IMPORTRANGE(""1XaInW9DU9nz21V0tYIfzFQ0He9kVQ_JF2mCXgZ3hqFA"",""REKAP ALL 2026 - Andika!G:G""),IMPORTRANGE(""1XaInW9DU9nz21V0tYIfzFQ0He9kVQ_JF2mCXgZ3hqFA"",""REKAP ALL 2026 - Andika!F:F""),"""",0)"),"24075692913")</f>
        <v>24075692913</v>
      </c>
      <c r="G1356" s="15" t="s">
        <v>5954</v>
      </c>
      <c r="H1356" s="13" t="s">
        <v>35</v>
      </c>
      <c r="I1356" s="13" t="str">
        <f aca="false">IF(C1356=J1356,"NEW KONTRAK","RE-KONTRAK")</f>
        <v>RE-KONTRAK</v>
      </c>
      <c r="J1356" s="16" t="n">
        <f aca="false" t="array" ref="J1356:J1356">IFERROR(INDEX(AC1356:AE1356,IF(COUNTA(AC1356:AE1356)=0,"",MAX((AC1356:AE1356&lt;&gt;"")*(COLUMN(AC1356:AE1356)-(COLUMN(AC1356)))))-1),"")</f>
        <v>45778</v>
      </c>
      <c r="K1356" s="16" t="n">
        <f aca="false" t="array" ref="K1356:K1356">IFERROR(INDEX(AC1356:AE1356,IF(COUNTA(AC1356:AE1356)=0,"",MAX((AC1356:AE1356&lt;&gt;"")*(COLUMN(AC1356:AE1356)-(COLUMN(AC1356)-1))))-1),"")</f>
        <v>46142</v>
      </c>
      <c r="L1356" s="17" t="str">
        <f aca="false" t="array" ref="L1356:L1356">IFERROR(INDEX(AC1356:AE1356,IF(COUNTA(AC1356:AE1356)=0,"",MAX((AC1356:AE1356&lt;&gt;"")*(COLUMN(AC1356:AE1356)-(COLUMN(AC1356)-2))))-1),"")</f>
        <v>ARCHIVED</v>
      </c>
      <c r="M1356" s="13" t="n">
        <f aca="true">K1356-TODAY()</f>
        <v>-182</v>
      </c>
      <c r="N1356" s="18" t="s">
        <v>3454</v>
      </c>
      <c r="O1356" s="13" t="s">
        <v>5919</v>
      </c>
      <c r="P1356" s="19" t="n">
        <f aca="false">IFERROR(__xludf.dummyfunction("INDEX(IMPORTRANGE(""12FwpLvlsVhD_IhxpEWawHHAWVeXnjXpHARKGUQ_nP_w"",""harga rukma!H:H""),MATCH(C1356,IMPORTRANGE(""12FwpLvlsVhD_IhxpEWawHHAWVeXnjXpHARKGUQ_nP_w"",""harga rukma!B:B""),0))"),5800000)</f>
        <v>5800000</v>
      </c>
      <c r="Q1356" s="20" t="s">
        <v>5955</v>
      </c>
      <c r="R1356" s="13" t="s">
        <v>52</v>
      </c>
      <c r="S1356" s="14" t="n">
        <v>35363</v>
      </c>
      <c r="T1356" s="13" t="s">
        <v>40</v>
      </c>
      <c r="U1356" s="13" t="s">
        <v>5956</v>
      </c>
      <c r="V1356" s="13" t="s">
        <v>42</v>
      </c>
      <c r="W1356" s="13" t="s">
        <v>43</v>
      </c>
      <c r="X1356" s="21" t="n">
        <v>81216430826</v>
      </c>
      <c r="Y1356" s="22" t="str">
        <f aca="false">O1356</f>
        <v>Teknisi Reefer Container</v>
      </c>
      <c r="Z1356" s="13" t="str">
        <f aca="false">IFERROR(__xludf.dummyfunction("if(BJ1356="""","""",GOOGLETRANSLATE(BJ1356,""auto"",""en""))"),"Reefer Container Technician")</f>
        <v>Reefer Container Technician</v>
      </c>
      <c r="AA1356" s="23" t="str">
        <f aca="false">IF(C1356="","", CHOOSE(MONTH(C1356),"January","February","March","April","May","June","July","August","September","October","November","December")&amp;" "&amp;DAY(C1356)&amp;MID("thstndrdth",MIN(9,2*RIGHT(DAY(C1356))*(MOD(DAY(C1356)-11,100)&gt;2)+1),2)&amp;","&amp;TEXT(C1356," yyyy"))</f>
        <v>May 1st,2024</v>
      </c>
      <c r="AB1356" s="15" t="str">
        <f aca="true">IF(S1356="","",DATEDIF(S1356,TODAY(),"Y")&amp;" Tahun, "&amp;DATEDIF(S1356,TODAY(),"YM")&amp;" Bulan, "&amp;DATEDIF(S1356,TODAY(),"MD")&amp;" Hari")</f>
        <v>30 Tahun, 0 Bulan, 4 Hari</v>
      </c>
      <c r="AC1356" s="18" t="n">
        <v>45778</v>
      </c>
      <c r="AD1356" s="18" t="n">
        <v>46142</v>
      </c>
      <c r="AE1356" s="18" t="s">
        <v>44</v>
      </c>
    </row>
    <row r="1357" customFormat="false" ht="15" hidden="false" customHeight="true" outlineLevel="0" collapsed="false">
      <c r="A1357" s="12" t="n">
        <v>14942</v>
      </c>
      <c r="B1357" s="13" t="s">
        <v>5957</v>
      </c>
      <c r="C1357" s="14" t="n">
        <v>45413</v>
      </c>
      <c r="D1357" s="13" t="s">
        <v>5903</v>
      </c>
      <c r="E1357" s="15" t="s">
        <v>47</v>
      </c>
      <c r="F1357" s="15" t="str">
        <f aca="false">IFERROR(__xludf.dummyfunction("XLOOKUP(AJ1357,IMPORTRANGE(""1XaInW9DU9nz21V0tYIfzFQ0He9kVQ_JF2mCXgZ3hqFA"",""REKAP ALL 2026 - Andika!G:G""),IMPORTRANGE(""1XaInW9DU9nz21V0tYIfzFQ0He9kVQ_JF2mCXgZ3hqFA"",""REKAP ALL 2026 - Andika!F:F""),"""",0)"),"24075692939")</f>
        <v>24075692939</v>
      </c>
      <c r="G1357" s="15" t="s">
        <v>5958</v>
      </c>
      <c r="H1357" s="13" t="s">
        <v>35</v>
      </c>
      <c r="I1357" s="13" t="str">
        <f aca="false">IF(C1357=J1357,"NEW KONTRAK","RE-KONTRAK")</f>
        <v>RE-KONTRAK</v>
      </c>
      <c r="J1357" s="16" t="n">
        <f aca="false" t="array" ref="J1357:J1357">IFERROR(INDEX(AC1357:AE1357,IF(COUNTA(AC1357:AE1357)=0,"",MAX((AC1357:AE1357&lt;&gt;"")*(COLUMN(AC1357:AE1357)-(COLUMN(AC1357)))))-1),"")</f>
        <v>45778</v>
      </c>
      <c r="K1357" s="16" t="n">
        <f aca="false" t="array" ref="K1357:K1357">IFERROR(INDEX(AC1357:AE1357,IF(COUNTA(AC1357:AE1357)=0,"",MAX((AC1357:AE1357&lt;&gt;"")*(COLUMN(AC1357:AE1357)-(COLUMN(AC1357)-1))))-1),"")</f>
        <v>46142</v>
      </c>
      <c r="L1357" s="17" t="str">
        <f aca="false" t="array" ref="L1357:L1357">IFERROR(INDEX(AC1357:AE1357,IF(COUNTA(AC1357:AE1357)=0,"",MAX((AC1357:AE1357&lt;&gt;"")*(COLUMN(AC1357:AE1357)-(COLUMN(AC1357)-2))))-1),"")</f>
        <v>ARCHIVED</v>
      </c>
      <c r="M1357" s="13" t="n">
        <f aca="true">K1357-TODAY()</f>
        <v>-182</v>
      </c>
      <c r="N1357" s="50" t="s">
        <v>728</v>
      </c>
      <c r="O1357" s="13" t="s">
        <v>5919</v>
      </c>
      <c r="P1357" s="19" t="n">
        <f aca="false">IFERROR(__xludf.dummyfunction("INDEX(IMPORTRANGE(""12FwpLvlsVhD_IhxpEWawHHAWVeXnjXpHARKGUQ_nP_w"",""harga rukma!H:H""),MATCH(C1357,IMPORTRANGE(""12FwpLvlsVhD_IhxpEWawHHAWVeXnjXpHARKGUQ_nP_w"",""harga rukma!B:B""),0))"),3848000)</f>
        <v>3848000</v>
      </c>
      <c r="Q1357" s="20" t="s">
        <v>5959</v>
      </c>
      <c r="R1357" s="13" t="s">
        <v>78</v>
      </c>
      <c r="S1357" s="14" t="n">
        <v>37702</v>
      </c>
      <c r="T1357" s="13" t="s">
        <v>40</v>
      </c>
      <c r="U1357" s="13" t="s">
        <v>5960</v>
      </c>
      <c r="V1357" s="13" t="s">
        <v>42</v>
      </c>
      <c r="W1357" s="13" t="s">
        <v>43</v>
      </c>
      <c r="X1357" s="21" t="n">
        <v>82326277431</v>
      </c>
      <c r="Y1357" s="22" t="str">
        <f aca="false">O1357</f>
        <v>Teknisi Reefer Container</v>
      </c>
      <c r="Z1357" s="13" t="str">
        <f aca="false">IFERROR(__xludf.dummyfunction("if(BJ1357="""","""",GOOGLETRANSLATE(BJ1357,""auto"",""en""))"),"Reefer Container Technician")</f>
        <v>Reefer Container Technician</v>
      </c>
      <c r="AA1357" s="23" t="str">
        <f aca="false">IF(C1357="","", CHOOSE(MONTH(C1357),"January","February","March","April","May","June","July","August","September","October","November","December")&amp;" "&amp;DAY(C1357)&amp;MID("thstndrdth",MIN(9,2*RIGHT(DAY(C1357))*(MOD(DAY(C1357)-11,100)&gt;2)+1),2)&amp;","&amp;TEXT(C1357," yyyy"))</f>
        <v>May 1st,2024</v>
      </c>
      <c r="AB1357" s="15" t="str">
        <f aca="true">IF(S1357="","",DATEDIF(S1357,TODAY(),"Y")&amp;" Tahun, "&amp;DATEDIF(S1357,TODAY(),"YM")&amp;" Bulan, "&amp;DATEDIF(S1357,TODAY(),"MD")&amp;" Hari")</f>
        <v>23 Tahun, 7 Bulan, 7 Hari</v>
      </c>
      <c r="AC1357" s="18" t="n">
        <v>45778</v>
      </c>
      <c r="AD1357" s="18" t="n">
        <v>46142</v>
      </c>
      <c r="AE1357" s="18" t="s">
        <v>44</v>
      </c>
    </row>
    <row r="1358" customFormat="false" ht="15" hidden="false" customHeight="true" outlineLevel="0" collapsed="false">
      <c r="A1358" s="12" t="n">
        <v>14943</v>
      </c>
      <c r="B1358" s="13" t="s">
        <v>5961</v>
      </c>
      <c r="C1358" s="14" t="n">
        <v>45413</v>
      </c>
      <c r="D1358" s="13" t="s">
        <v>5903</v>
      </c>
      <c r="E1358" s="15" t="s">
        <v>47</v>
      </c>
      <c r="F1358" s="15" t="str">
        <f aca="false">IFERROR(__xludf.dummyfunction("XLOOKUP(AJ1358,IMPORTRANGE(""1XaInW9DU9nz21V0tYIfzFQ0He9kVQ_JF2mCXgZ3hqFA"",""REKAP ALL 2026 - Andika!G:G""),IMPORTRANGE(""1XaInW9DU9nz21V0tYIfzFQ0He9kVQ_JF2mCXgZ3hqFA"",""REKAP ALL 2026 - Andika!F:F""),"""",0)"),"24075692715")</f>
        <v>24075692715</v>
      </c>
      <c r="G1358" s="15" t="s">
        <v>5962</v>
      </c>
      <c r="H1358" s="13" t="s">
        <v>35</v>
      </c>
      <c r="I1358" s="13" t="str">
        <f aca="false">IF(C1358=J1358,"NEW KONTRAK","RE-KONTRAK")</f>
        <v>RE-KONTRAK</v>
      </c>
      <c r="J1358" s="16" t="n">
        <f aca="false" t="array" ref="J1358:J1358">IFERROR(INDEX(AC1358:AE1358,IF(COUNTA(AC1358:AE1358)=0,"",MAX((AC1358:AE1358&lt;&gt;"")*(COLUMN(AC1358:AE1358)-(COLUMN(AC1358)))))-1),"")</f>
        <v>45778</v>
      </c>
      <c r="K1358" s="16" t="n">
        <f aca="false" t="array" ref="K1358:K1358">IFERROR(INDEX(AC1358:AE1358,IF(COUNTA(AC1358:AE1358)=0,"",MAX((AC1358:AE1358&lt;&gt;"")*(COLUMN(AC1358:AE1358)-(COLUMN(AC1358)-1))))-1),"")</f>
        <v>46142</v>
      </c>
      <c r="L1358" s="17" t="str">
        <f aca="false" t="array" ref="L1358:L1358">IFERROR(INDEX(AC1358:AE1358,IF(COUNTA(AC1358:AE1358)=0,"",MAX((AC1358:AE1358&lt;&gt;"")*(COLUMN(AC1358:AE1358)-(COLUMN(AC1358)-2))))-1),"")</f>
        <v>ARCHIVED</v>
      </c>
      <c r="M1358" s="13" t="n">
        <f aca="true">K1358-TODAY()</f>
        <v>-182</v>
      </c>
      <c r="N1358" s="50" t="s">
        <v>728</v>
      </c>
      <c r="O1358" s="13" t="s">
        <v>5924</v>
      </c>
      <c r="P1358" s="19" t="n">
        <f aca="false">IFERROR(__xludf.dummyfunction("INDEX(IMPORTRANGE(""12FwpLvlsVhD_IhxpEWawHHAWVeXnjXpHARKGUQ_nP_w"",""harga rukma!H:H""),MATCH(C1358,IMPORTRANGE(""12FwpLvlsVhD_IhxpEWawHHAWVeXnjXpHARKGUQ_nP_w"",""harga rukma!B:B""),0))"),3675000)</f>
        <v>3675000</v>
      </c>
      <c r="Q1358" s="20" t="s">
        <v>5963</v>
      </c>
      <c r="R1358" s="13" t="s">
        <v>78</v>
      </c>
      <c r="S1358" s="14" t="n">
        <v>37257</v>
      </c>
      <c r="T1358" s="13" t="s">
        <v>40</v>
      </c>
      <c r="U1358" s="13" t="s">
        <v>5964</v>
      </c>
      <c r="V1358" s="13" t="s">
        <v>42</v>
      </c>
      <c r="W1358" s="13" t="s">
        <v>43</v>
      </c>
      <c r="X1358" s="21" t="n">
        <v>85732235181</v>
      </c>
      <c r="Y1358" s="22" t="str">
        <f aca="false">O1358</f>
        <v>Repair Body</v>
      </c>
      <c r="Z1358" s="13" t="str">
        <f aca="false">IFERROR(__xludf.dummyfunction("if(BJ1358="""","""",GOOGLETRANSLATE(BJ1358,""auto"",""en""))"),"Repair Body")</f>
        <v>Repair Body</v>
      </c>
      <c r="AA1358" s="23" t="str">
        <f aca="false">IF(C1358="","", CHOOSE(MONTH(C1358),"January","February","March","April","May","June","July","August","September","October","November","December")&amp;" "&amp;DAY(C1358)&amp;MID("thstndrdth",MIN(9,2*RIGHT(DAY(C1358))*(MOD(DAY(C1358)-11,100)&gt;2)+1),2)&amp;","&amp;TEXT(C1358," yyyy"))</f>
        <v>May 1st,2024</v>
      </c>
      <c r="AB1358" s="15" t="str">
        <f aca="true">IF(S1358="","",DATEDIF(S1358,TODAY(),"Y")&amp;" Tahun, "&amp;DATEDIF(S1358,TODAY(),"YM")&amp;" Bulan, "&amp;DATEDIF(S1358,TODAY(),"MD")&amp;" Hari")</f>
        <v>24 Tahun, 9 Bulan, 28 Hari</v>
      </c>
      <c r="AC1358" s="18" t="n">
        <v>45778</v>
      </c>
      <c r="AD1358" s="18" t="n">
        <v>46142</v>
      </c>
      <c r="AE1358" s="18" t="s">
        <v>44</v>
      </c>
    </row>
    <row r="1359" customFormat="false" ht="15" hidden="false" customHeight="true" outlineLevel="0" collapsed="false">
      <c r="A1359" s="12" t="n">
        <v>14944</v>
      </c>
      <c r="B1359" s="13" t="s">
        <v>5965</v>
      </c>
      <c r="C1359" s="14" t="n">
        <v>45413</v>
      </c>
      <c r="D1359" s="13" t="s">
        <v>5903</v>
      </c>
      <c r="E1359" s="15" t="s">
        <v>47</v>
      </c>
      <c r="F1359" s="15" t="str">
        <f aca="false">IFERROR(__xludf.dummyfunction("XLOOKUP(AJ1359,IMPORTRANGE(""1XaInW9DU9nz21V0tYIfzFQ0He9kVQ_JF2mCXgZ3hqFA"",""REKAP ALL 2026 - Andika!G:G""),IMPORTRANGE(""1XaInW9DU9nz21V0tYIfzFQ0He9kVQ_JF2mCXgZ3hqFA"",""REKAP ALL 2026 - Andika!F:F""),"""",0)"),"24075692442")</f>
        <v>24075692442</v>
      </c>
      <c r="G1359" s="15" t="s">
        <v>5966</v>
      </c>
      <c r="H1359" s="13" t="s">
        <v>35</v>
      </c>
      <c r="I1359" s="13" t="str">
        <f aca="false">IF(C1359=J1359,"NEW KONTRAK","RE-KONTRAK")</f>
        <v>RE-KONTRAK</v>
      </c>
      <c r="J1359" s="16" t="n">
        <f aca="false" t="array" ref="J1359:J1359">IFERROR(INDEX(AC1359:AE1359,IF(COUNTA(AC1359:AE1359)=0,"",MAX((AC1359:AE1359&lt;&gt;"")*(COLUMN(AC1359:AE1359)-(COLUMN(AC1359)))))-1),"")</f>
        <v>45778</v>
      </c>
      <c r="K1359" s="16" t="n">
        <f aca="false" t="array" ref="K1359:K1359">IFERROR(INDEX(AC1359:AE1359,IF(COUNTA(AC1359:AE1359)=0,"",MAX((AC1359:AE1359&lt;&gt;"")*(COLUMN(AC1359:AE1359)-(COLUMN(AC1359)-1))))-1),"")</f>
        <v>46142</v>
      </c>
      <c r="L1359" s="17" t="str">
        <f aca="false" t="array" ref="L1359:L1359">IFERROR(INDEX(AC1359:AE1359,IF(COUNTA(AC1359:AE1359)=0,"",MAX((AC1359:AE1359&lt;&gt;"")*(COLUMN(AC1359:AE1359)-(COLUMN(AC1359)-2))))-1),"")</f>
        <v>KEMBALI</v>
      </c>
      <c r="M1359" s="13" t="n">
        <f aca="true">K1359-TODAY()</f>
        <v>-182</v>
      </c>
      <c r="N1359" s="50" t="s">
        <v>728</v>
      </c>
      <c r="O1359" s="13" t="s">
        <v>5919</v>
      </c>
      <c r="P1359" s="19" t="n">
        <f aca="false">IFERROR(__xludf.dummyfunction("INDEX(IMPORTRANGE(""12FwpLvlsVhD_IhxpEWawHHAWVeXnjXpHARKGUQ_nP_w"",""harga rukma!H:H""),MATCH(C1359,IMPORTRANGE(""12FwpLvlsVhD_IhxpEWawHHAWVeXnjXpHARKGUQ_nP_w"",""harga rukma!B:B""),0))"),5300000)</f>
        <v>5300000</v>
      </c>
      <c r="Q1359" s="20" t="s">
        <v>5967</v>
      </c>
      <c r="R1359" s="13" t="s">
        <v>52</v>
      </c>
      <c r="S1359" s="14" t="n">
        <v>34511</v>
      </c>
      <c r="T1359" s="13" t="s">
        <v>40</v>
      </c>
      <c r="U1359" s="13" t="s">
        <v>5968</v>
      </c>
      <c r="V1359" s="13" t="s">
        <v>42</v>
      </c>
      <c r="W1359" s="13" t="s">
        <v>43</v>
      </c>
      <c r="X1359" s="21" t="n">
        <v>81357773731</v>
      </c>
      <c r="Y1359" s="22" t="str">
        <f aca="false">O1359</f>
        <v>Teknisi Reefer Container</v>
      </c>
      <c r="Z1359" s="13" t="str">
        <f aca="false">IFERROR(__xludf.dummyfunction("if(BJ1359="""","""",GOOGLETRANSLATE(BJ1359,""auto"",""en""))"),"Reefer Container Technician")</f>
        <v>Reefer Container Technician</v>
      </c>
      <c r="AA1359" s="23" t="str">
        <f aca="false">IF(C1359="","", CHOOSE(MONTH(C1359),"January","February","March","April","May","June","July","August","September","October","November","December")&amp;" "&amp;DAY(C1359)&amp;MID("thstndrdth",MIN(9,2*RIGHT(DAY(C1359))*(MOD(DAY(C1359)-11,100)&gt;2)+1),2)&amp;","&amp;TEXT(C1359," yyyy"))</f>
        <v>May 1st,2024</v>
      </c>
      <c r="AB1359" s="15" t="str">
        <f aca="true">IF(S1359="","",DATEDIF(S1359,TODAY(),"Y")&amp;" Tahun, "&amp;DATEDIF(S1359,TODAY(),"YM")&amp;" Bulan, "&amp;DATEDIF(S1359,TODAY(),"MD")&amp;" Hari")</f>
        <v>32 Tahun, 4 Bulan, 3 Hari</v>
      </c>
      <c r="AC1359" s="18" t="n">
        <v>45778</v>
      </c>
      <c r="AD1359" s="18" t="n">
        <v>46142</v>
      </c>
      <c r="AE1359" s="13" t="s">
        <v>397</v>
      </c>
    </row>
    <row r="1360" customFormat="false" ht="15" hidden="false" customHeight="true" outlineLevel="0" collapsed="false">
      <c r="A1360" s="12" t="n">
        <v>14945</v>
      </c>
      <c r="B1360" s="13" t="s">
        <v>5969</v>
      </c>
      <c r="C1360" s="14" t="n">
        <v>45413</v>
      </c>
      <c r="D1360" s="13" t="s">
        <v>5903</v>
      </c>
      <c r="E1360" s="15" t="s">
        <v>47</v>
      </c>
      <c r="F1360" s="15" t="str">
        <f aca="false">IFERROR(__xludf.dummyfunction("XLOOKUP(AJ1360,IMPORTRANGE(""1XaInW9DU9nz21V0tYIfzFQ0He9kVQ_JF2mCXgZ3hqFA"",""REKAP ALL 2026 - Andika!G:G""),IMPORTRANGE(""1XaInW9DU9nz21V0tYIfzFQ0He9kVQ_JF2mCXgZ3hqFA"",""REKAP ALL 2026 - Andika!F:F""),"""",0)"),"24075692459")</f>
        <v>24075692459</v>
      </c>
      <c r="G1360" s="15" t="s">
        <v>5970</v>
      </c>
      <c r="H1360" s="13" t="s">
        <v>35</v>
      </c>
      <c r="I1360" s="13" t="str">
        <f aca="false">IF(C1360=J1360,"NEW KONTRAK","RE-KONTRAK")</f>
        <v>RE-KONTRAK</v>
      </c>
      <c r="J1360" s="16" t="n">
        <f aca="false" t="array" ref="J1360:J1360">IFERROR(INDEX(AC1360:AE1360,IF(COUNTA(AC1360:AE1360)=0,"",MAX((AC1360:AE1360&lt;&gt;"")*(COLUMN(AC1360:AE1360)-(COLUMN(AC1360)))))-1),"")</f>
        <v>45778</v>
      </c>
      <c r="K1360" s="16" t="n">
        <f aca="false" t="array" ref="K1360:K1360">IFERROR(INDEX(AC1360:AE1360,IF(COUNTA(AC1360:AE1360)=0,"",MAX((AC1360:AE1360&lt;&gt;"")*(COLUMN(AC1360:AE1360)-(COLUMN(AC1360)-1))))-1),"")</f>
        <v>46142</v>
      </c>
      <c r="L1360" s="17" t="str">
        <f aca="false" t="array" ref="L1360:L1360">IFERROR(INDEX(AC1360:AE1360,IF(COUNTA(AC1360:AE1360)=0,"",MAX((AC1360:AE1360&lt;&gt;"")*(COLUMN(AC1360:AE1360)-(COLUMN(AC1360)-2))))-1),"")</f>
        <v>ARCHIVED</v>
      </c>
      <c r="M1360" s="13" t="n">
        <f aca="true">K1360-TODAY()</f>
        <v>-182</v>
      </c>
      <c r="N1360" s="50" t="s">
        <v>728</v>
      </c>
      <c r="O1360" s="13" t="s">
        <v>5919</v>
      </c>
      <c r="P1360" s="19" t="n">
        <f aca="false">IFERROR(__xludf.dummyfunction("INDEX(IMPORTRANGE(""12FwpLvlsVhD_IhxpEWawHHAWVeXnjXpHARKGUQ_nP_w"",""harga rukma!H:H""),MATCH(C1360,IMPORTRANGE(""12FwpLvlsVhD_IhxpEWawHHAWVeXnjXpHARKGUQ_nP_w"",""harga rukma!B:B""),0))"),4400000)</f>
        <v>4400000</v>
      </c>
      <c r="Q1360" s="20" t="s">
        <v>5971</v>
      </c>
      <c r="R1360" s="13" t="s">
        <v>78</v>
      </c>
      <c r="S1360" s="14" t="n">
        <v>36944</v>
      </c>
      <c r="T1360" s="13" t="s">
        <v>40</v>
      </c>
      <c r="U1360" s="13" t="s">
        <v>5972</v>
      </c>
      <c r="V1360" s="13" t="s">
        <v>42</v>
      </c>
      <c r="W1360" s="13" t="s">
        <v>43</v>
      </c>
      <c r="X1360" s="21" t="n">
        <v>82326277439</v>
      </c>
      <c r="Y1360" s="22" t="str">
        <f aca="false">O1360</f>
        <v>Teknisi Reefer Container</v>
      </c>
      <c r="Z1360" s="13" t="str">
        <f aca="false">IFERROR(__xludf.dummyfunction("if(BJ1360="""","""",GOOGLETRANSLATE(BJ1360,""auto"",""en""))"),"Reefer Container Technician")</f>
        <v>Reefer Container Technician</v>
      </c>
      <c r="AA1360" s="23" t="str">
        <f aca="false">IF(C1360="","", CHOOSE(MONTH(C1360),"January","February","March","April","May","June","July","August","September","October","November","December")&amp;" "&amp;DAY(C1360)&amp;MID("thstndrdth",MIN(9,2*RIGHT(DAY(C1360))*(MOD(DAY(C1360)-11,100)&gt;2)+1),2)&amp;","&amp;TEXT(C1360," yyyy"))</f>
        <v>May 1st,2024</v>
      </c>
      <c r="AB1360" s="15" t="str">
        <f aca="true">IF(S1360="","",DATEDIF(S1360,TODAY(),"Y")&amp;" Tahun, "&amp;DATEDIF(S1360,TODAY(),"YM")&amp;" Bulan, "&amp;DATEDIF(S1360,TODAY(),"MD")&amp;" Hari")</f>
        <v>25 Tahun, 8 Bulan, 7 Hari</v>
      </c>
      <c r="AC1360" s="18" t="n">
        <v>45778</v>
      </c>
      <c r="AD1360" s="18" t="n">
        <v>46142</v>
      </c>
      <c r="AE1360" s="18" t="s">
        <v>44</v>
      </c>
    </row>
    <row r="1361" customFormat="false" ht="15" hidden="false" customHeight="true" outlineLevel="0" collapsed="false">
      <c r="A1361" s="12" t="n">
        <v>14946</v>
      </c>
      <c r="B1361" s="13" t="s">
        <v>5973</v>
      </c>
      <c r="C1361" s="14" t="n">
        <v>45413</v>
      </c>
      <c r="D1361" s="13" t="s">
        <v>5903</v>
      </c>
      <c r="E1361" s="15" t="s">
        <v>47</v>
      </c>
      <c r="F1361" s="15" t="str">
        <f aca="false">IFERROR(__xludf.dummyfunction("XLOOKUP(AJ1361,IMPORTRANGE(""1XaInW9DU9nz21V0tYIfzFQ0He9kVQ_JF2mCXgZ3hqFA"",""REKAP ALL 2026 - Andika!G:G""),IMPORTRANGE(""1XaInW9DU9nz21V0tYIfzFQ0He9kVQ_JF2mCXgZ3hqFA"",""REKAP ALL 2026 - Andika!F:F""),"""",0)"),"24075692475")</f>
        <v>24075692475</v>
      </c>
      <c r="G1361" s="15" t="s">
        <v>5974</v>
      </c>
      <c r="H1361" s="13" t="s">
        <v>35</v>
      </c>
      <c r="I1361" s="13" t="str">
        <f aca="false">IF(C1361=J1361,"NEW KONTRAK","RE-KONTRAK")</f>
        <v>RE-KONTRAK</v>
      </c>
      <c r="J1361" s="16" t="n">
        <f aca="false" t="array" ref="J1361:J1361">IFERROR(INDEX(AC1361:AE1361,IF(COUNTA(AC1361:AE1361)=0,"",MAX((AC1361:AE1361&lt;&gt;"")*(COLUMN(AC1361:AE1361)-(COLUMN(AC1361)))))-1),"")</f>
        <v>45778</v>
      </c>
      <c r="K1361" s="16" t="n">
        <f aca="false" t="array" ref="K1361:K1361">IFERROR(INDEX(AC1361:AE1361,IF(COUNTA(AC1361:AE1361)=0,"",MAX((AC1361:AE1361&lt;&gt;"")*(COLUMN(AC1361:AE1361)-(COLUMN(AC1361)-1))))-1),"")</f>
        <v>46142</v>
      </c>
      <c r="L1361" s="17" t="str">
        <f aca="false" t="array" ref="L1361:L1361">IFERROR(INDEX(AC1361:AE1361,IF(COUNTA(AC1361:AE1361)=0,"",MAX((AC1361:AE1361&lt;&gt;"")*(COLUMN(AC1361:AE1361)-(COLUMN(AC1361)-2))))-1),"")</f>
        <v>ARCHIVED</v>
      </c>
      <c r="M1361" s="13" t="n">
        <f aca="true">K1361-TODAY()</f>
        <v>-182</v>
      </c>
      <c r="N1361" s="50" t="s">
        <v>728</v>
      </c>
      <c r="O1361" s="13" t="s">
        <v>624</v>
      </c>
      <c r="P1361" s="19" t="n">
        <f aca="false">IFERROR(__xludf.dummyfunction("INDEX(IMPORTRANGE(""12FwpLvlsVhD_IhxpEWawHHAWVeXnjXpHARKGUQ_nP_w"",""harga rukma!H:H""),MATCH(C1361,IMPORTRANGE(""12FwpLvlsVhD_IhxpEWawHHAWVeXnjXpHARKGUQ_nP_w"",""harga rukma!B:B""),0))"),4680000)</f>
        <v>4680000</v>
      </c>
      <c r="Q1361" s="20" t="s">
        <v>5975</v>
      </c>
      <c r="R1361" s="13" t="s">
        <v>52</v>
      </c>
      <c r="S1361" s="14" t="n">
        <v>34170</v>
      </c>
      <c r="T1361" s="13" t="s">
        <v>40</v>
      </c>
      <c r="U1361" s="13" t="s">
        <v>5976</v>
      </c>
      <c r="V1361" s="13" t="s">
        <v>42</v>
      </c>
      <c r="W1361" s="13" t="s">
        <v>54</v>
      </c>
      <c r="X1361" s="21" t="n">
        <v>89678093802</v>
      </c>
      <c r="Y1361" s="22" t="str">
        <f aca="false">O1361</f>
        <v>Quality Control</v>
      </c>
      <c r="Z1361" s="13" t="str">
        <f aca="false">IFERROR(__xludf.dummyfunction("if(BJ1361="""","""",GOOGLETRANSLATE(BJ1361,""auto"",""en""))"),"Quality Control")</f>
        <v>Quality Control</v>
      </c>
      <c r="AA1361" s="23" t="str">
        <f aca="false">IF(C1361="","", CHOOSE(MONTH(C1361),"January","February","March","April","May","June","July","August","September","October","November","December")&amp;" "&amp;DAY(C1361)&amp;MID("thstndrdth",MIN(9,2*RIGHT(DAY(C1361))*(MOD(DAY(C1361)-11,100)&gt;2)+1),2)&amp;","&amp;TEXT(C1361," yyyy"))</f>
        <v>May 1st,2024</v>
      </c>
      <c r="AB1361" s="15" t="str">
        <f aca="true">IF(S1361="","",DATEDIF(S1361,TODAY(),"Y")&amp;" Tahun, "&amp;DATEDIF(S1361,TODAY(),"YM")&amp;" Bulan, "&amp;DATEDIF(S1361,TODAY(),"MD")&amp;" Hari")</f>
        <v>33 Tahun, 3 Bulan, 9 Hari</v>
      </c>
      <c r="AC1361" s="18" t="n">
        <v>45778</v>
      </c>
      <c r="AD1361" s="18" t="n">
        <v>46142</v>
      </c>
      <c r="AE1361" s="18" t="s">
        <v>44</v>
      </c>
    </row>
    <row r="1362" customFormat="false" ht="15" hidden="false" customHeight="true" outlineLevel="0" collapsed="false">
      <c r="A1362" s="12" t="n">
        <v>14949</v>
      </c>
      <c r="B1362" s="13" t="s">
        <v>5977</v>
      </c>
      <c r="C1362" s="14" t="n">
        <v>45413</v>
      </c>
      <c r="D1362" s="13" t="s">
        <v>5903</v>
      </c>
      <c r="E1362" s="15" t="s">
        <v>47</v>
      </c>
      <c r="F1362" s="15" t="str">
        <f aca="false">IFERROR(__xludf.dummyfunction("XLOOKUP(AJ1362,IMPORTRANGE(""1XaInW9DU9nz21V0tYIfzFQ0He9kVQ_JF2mCXgZ3hqFA"",""REKAP ALL 2026 - Andika!G:G""),IMPORTRANGE(""1XaInW9DU9nz21V0tYIfzFQ0He9kVQ_JF2mCXgZ3hqFA"",""REKAP ALL 2026 - Andika!F:F""),"""",0)"),"24075692533")</f>
        <v>24075692533</v>
      </c>
      <c r="G1362" s="15" t="s">
        <v>5978</v>
      </c>
      <c r="H1362" s="13" t="s">
        <v>35</v>
      </c>
      <c r="I1362" s="13" t="str">
        <f aca="false">IF(C1362=J1362,"NEW KONTRAK","RE-KONTRAK")</f>
        <v>RE-KONTRAK</v>
      </c>
      <c r="J1362" s="16" t="n">
        <f aca="false" t="array" ref="J1362:J1362">IFERROR(INDEX(AC1362:AE1362,IF(COUNTA(AC1362:AE1362)=0,"",MAX((AC1362:AE1362&lt;&gt;"")*(COLUMN(AC1362:AE1362)-(COLUMN(AC1362)))))-1),"")</f>
        <v>45778</v>
      </c>
      <c r="K1362" s="16" t="n">
        <f aca="false" t="array" ref="K1362:K1362">IFERROR(INDEX(AC1362:AE1362,IF(COUNTA(AC1362:AE1362)=0,"",MAX((AC1362:AE1362&lt;&gt;"")*(COLUMN(AC1362:AE1362)-(COLUMN(AC1362)-1))))-1),"")</f>
        <v>46142</v>
      </c>
      <c r="L1362" s="17" t="str">
        <f aca="false" t="array" ref="L1362:L1362">IFERROR(INDEX(AC1362:AE1362,IF(COUNTA(AC1362:AE1362)=0,"",MAX((AC1362:AE1362&lt;&gt;"")*(COLUMN(AC1362:AE1362)-(COLUMN(AC1362)-2))))-1),"")</f>
        <v>ARCHIVED</v>
      </c>
      <c r="M1362" s="13" t="n">
        <f aca="true">K1362-TODAY()</f>
        <v>-182</v>
      </c>
      <c r="N1362" s="50" t="s">
        <v>728</v>
      </c>
      <c r="O1362" s="13" t="s">
        <v>5919</v>
      </c>
      <c r="P1362" s="19" t="n">
        <f aca="false">IFERROR(__xludf.dummyfunction("INDEX(IMPORTRANGE(""12FwpLvlsVhD_IhxpEWawHHAWVeXnjXpHARKGUQ_nP_w"",""harga rukma!H:H""),MATCH(C1362,IMPORTRANGE(""12FwpLvlsVhD_IhxpEWawHHAWVeXnjXpHARKGUQ_nP_w"",""harga rukma!B:B""),0))"),5300000)</f>
        <v>5300000</v>
      </c>
      <c r="Q1362" s="20" t="s">
        <v>5979</v>
      </c>
      <c r="R1362" s="13" t="s">
        <v>65</v>
      </c>
      <c r="S1362" s="14" t="n">
        <v>36868</v>
      </c>
      <c r="T1362" s="13" t="s">
        <v>40</v>
      </c>
      <c r="U1362" s="13" t="s">
        <v>5980</v>
      </c>
      <c r="V1362" s="13" t="s">
        <v>42</v>
      </c>
      <c r="W1362" s="13" t="s">
        <v>43</v>
      </c>
      <c r="X1362" s="21" t="n">
        <v>88989643827</v>
      </c>
      <c r="Y1362" s="22" t="str">
        <f aca="false">O1362</f>
        <v>Teknisi Reefer Container</v>
      </c>
      <c r="Z1362" s="13" t="str">
        <f aca="false">IFERROR(__xludf.dummyfunction("if(BJ1362="""","""",GOOGLETRANSLATE(BJ1362,""auto"",""en""))"),"Reefer Container Technician")</f>
        <v>Reefer Container Technician</v>
      </c>
      <c r="AA1362" s="23" t="str">
        <f aca="false">IF(C1362="","", CHOOSE(MONTH(C1362),"January","February","March","April","May","June","July","August","September","October","November","December")&amp;" "&amp;DAY(C1362)&amp;MID("thstndrdth",MIN(9,2*RIGHT(DAY(C1362))*(MOD(DAY(C1362)-11,100)&gt;2)+1),2)&amp;","&amp;TEXT(C1362," yyyy"))</f>
        <v>May 1st,2024</v>
      </c>
      <c r="AB1362" s="15" t="str">
        <f aca="true">IF(S1362="","",DATEDIF(S1362,TODAY(),"Y")&amp;" Tahun, "&amp;DATEDIF(S1362,TODAY(),"YM")&amp;" Bulan, "&amp;DATEDIF(S1362,TODAY(),"MD")&amp;" Hari")</f>
        <v>25 Tahun, 10 Bulan, 21 Hari</v>
      </c>
      <c r="AC1362" s="18" t="n">
        <v>45778</v>
      </c>
      <c r="AD1362" s="18" t="n">
        <v>46142</v>
      </c>
      <c r="AE1362" s="18" t="s">
        <v>44</v>
      </c>
    </row>
    <row r="1363" customFormat="false" ht="15" hidden="false" customHeight="true" outlineLevel="0" collapsed="false">
      <c r="A1363" s="12" t="n">
        <v>14951</v>
      </c>
      <c r="B1363" s="13" t="s">
        <v>5981</v>
      </c>
      <c r="C1363" s="14" t="n">
        <v>45413</v>
      </c>
      <c r="D1363" s="13" t="s">
        <v>5903</v>
      </c>
      <c r="E1363" s="15" t="s">
        <v>47</v>
      </c>
      <c r="F1363" s="15" t="str">
        <f aca="false">IFERROR(__xludf.dummyfunction("XLOOKUP(AJ1363,IMPORTRANGE(""1XaInW9DU9nz21V0tYIfzFQ0He9kVQ_JF2mCXgZ3hqFA"",""REKAP ALL 2026 - Andika!G:G""),IMPORTRANGE(""1XaInW9DU9nz21V0tYIfzFQ0He9kVQ_JF2mCXgZ3hqFA"",""REKAP ALL 2026 - Andika!F:F""),"""",0)"),"24075692616")</f>
        <v>24075692616</v>
      </c>
      <c r="G1363" s="15" t="s">
        <v>5982</v>
      </c>
      <c r="H1363" s="13" t="s">
        <v>35</v>
      </c>
      <c r="I1363" s="13" t="str">
        <f aca="false">IF(C1363=J1363,"NEW KONTRAK","RE-KONTRAK")</f>
        <v>RE-KONTRAK</v>
      </c>
      <c r="J1363" s="16" t="n">
        <f aca="false" t="array" ref="J1363:J1363">IFERROR(INDEX(AC1363:AE1363,IF(COUNTA(AC1363:AE1363)=0,"",MAX((AC1363:AE1363&lt;&gt;"")*(COLUMN(AC1363:AE1363)-(COLUMN(AC1363)))))-1),"")</f>
        <v>45778</v>
      </c>
      <c r="K1363" s="16" t="n">
        <f aca="false" t="array" ref="K1363:K1363">IFERROR(INDEX(AC1363:AE1363,IF(COUNTA(AC1363:AE1363)=0,"",MAX((AC1363:AE1363&lt;&gt;"")*(COLUMN(AC1363:AE1363)-(COLUMN(AC1363)-1))))-1),"")</f>
        <v>46142</v>
      </c>
      <c r="L1363" s="17" t="str">
        <f aca="false" t="array" ref="L1363:L1363">IFERROR(INDEX(AC1363:AE1363,IF(COUNTA(AC1363:AE1363)=0,"",MAX((AC1363:AE1363&lt;&gt;"")*(COLUMN(AC1363:AE1363)-(COLUMN(AC1363)-2))))-1),"")</f>
        <v>ARCHIVED</v>
      </c>
      <c r="M1363" s="13" t="n">
        <f aca="true">K1363-TODAY()</f>
        <v>-182</v>
      </c>
      <c r="N1363" s="50" t="s">
        <v>728</v>
      </c>
      <c r="O1363" s="13" t="s">
        <v>5983</v>
      </c>
      <c r="P1363" s="19" t="n">
        <f aca="false">IFERROR(__xludf.dummyfunction("INDEX(IMPORTRANGE(""12FwpLvlsVhD_IhxpEWawHHAWVeXnjXpHARKGUQ_nP_w"",""harga rukma!H:H""),MATCH(C1363,IMPORTRANGE(""12FwpLvlsVhD_IhxpEWawHHAWVeXnjXpHARKGUQ_nP_w"",""harga rukma!B:B""),0))"),3700000)</f>
        <v>3700000</v>
      </c>
      <c r="Q1363" s="20" t="s">
        <v>5984</v>
      </c>
      <c r="R1363" s="13" t="s">
        <v>260</v>
      </c>
      <c r="S1363" s="14" t="n">
        <v>36505</v>
      </c>
      <c r="T1363" s="13" t="s">
        <v>40</v>
      </c>
      <c r="U1363" s="13" t="s">
        <v>5985</v>
      </c>
      <c r="V1363" s="13" t="s">
        <v>42</v>
      </c>
      <c r="W1363" s="13" t="s">
        <v>43</v>
      </c>
      <c r="X1363" s="21" t="n">
        <v>81338969095</v>
      </c>
      <c r="Y1363" s="22" t="str">
        <f aca="false">O1363</f>
        <v>Ops. Bongkaran</v>
      </c>
      <c r="Z1363" s="13" t="str">
        <f aca="false">IFERROR(__xludf.dummyfunction("if(BJ1363="""","""",GOOGLETRANSLATE(BJ1363,""auto"",""en""))"),"Demolition Operation")</f>
        <v>Demolition Operation</v>
      </c>
      <c r="AA1363" s="23" t="str">
        <f aca="false">IF(C1363="","", CHOOSE(MONTH(C1363),"January","February","March","April","May","June","July","August","September","October","November","December")&amp;" "&amp;DAY(C1363)&amp;MID("thstndrdth",MIN(9,2*RIGHT(DAY(C1363))*(MOD(DAY(C1363)-11,100)&gt;2)+1),2)&amp;","&amp;TEXT(C1363," yyyy"))</f>
        <v>May 1st,2024</v>
      </c>
      <c r="AB1363" s="15" t="str">
        <f aca="true">IF(S1363="","",DATEDIF(S1363,TODAY(),"Y")&amp;" Tahun, "&amp;DATEDIF(S1363,TODAY(),"YM")&amp;" Bulan, "&amp;DATEDIF(S1363,TODAY(),"MD")&amp;" Hari")</f>
        <v>26 Tahun, 10 Bulan, 18 Hari</v>
      </c>
      <c r="AC1363" s="18" t="n">
        <v>45778</v>
      </c>
      <c r="AD1363" s="18" t="n">
        <v>46142</v>
      </c>
      <c r="AE1363" s="18" t="s">
        <v>44</v>
      </c>
    </row>
    <row r="1364" customFormat="false" ht="15" hidden="false" customHeight="true" outlineLevel="0" collapsed="false">
      <c r="A1364" s="32" t="n">
        <v>14952</v>
      </c>
      <c r="B1364" s="33" t="s">
        <v>5986</v>
      </c>
      <c r="C1364" s="34" t="n">
        <v>45413</v>
      </c>
      <c r="D1364" s="33" t="s">
        <v>5903</v>
      </c>
      <c r="E1364" s="35" t="s">
        <v>47</v>
      </c>
      <c r="F1364" s="35" t="str">
        <f aca="false">IFERROR(__xludf.dummyfunction("XLOOKUP(AJ1364,IMPORTRANGE(""1XaInW9DU9nz21V0tYIfzFQ0He9kVQ_JF2mCXgZ3hqFA"",""REKAP ALL 2026 - Andika!G:G""),IMPORTRANGE(""1XaInW9DU9nz21V0tYIfzFQ0He9kVQ_JF2mCXgZ3hqFA"",""REKAP ALL 2026 - Andika!F:F""),"""",0)"),"24075692632")</f>
        <v>24075692632</v>
      </c>
      <c r="G1364" s="35" t="s">
        <v>5987</v>
      </c>
      <c r="H1364" s="33" t="s">
        <v>35</v>
      </c>
      <c r="I1364" s="33" t="str">
        <f aca="false">IF(C1364=J1364,"NEW KONTRAK","RE-KONTRAK")</f>
        <v>RE-KONTRAK</v>
      </c>
      <c r="J1364" s="36" t="n">
        <f aca="false" t="array" ref="J1364:J1364">IFERROR(INDEX(AC1364:AE1364,IF(COUNTA(AC1364:AE1364)=0,"",MAX((AC1364:AE1364&lt;&gt;"")*(COLUMN(AC1364:AE1364)-(COLUMN(AC1364)))))-1),"")</f>
        <v>45778</v>
      </c>
      <c r="K1364" s="36" t="n">
        <f aca="false" t="array" ref="K1364:K1364">IFERROR(INDEX(AC1364:AE1364,IF(COUNTA(AC1364:AE1364)=0,"",MAX((AC1364:AE1364&lt;&gt;"")*(COLUMN(AC1364:AE1364)-(COLUMN(AC1364)-1))))-1),"")</f>
        <v>46142</v>
      </c>
      <c r="L1364" s="37" t="str">
        <f aca="false" t="array" ref="L1364:L1364">IFERROR(INDEX(AC1364:AE1364,IF(COUNTA(AC1364:AE1364)=0,"",MAX((AC1364:AE1364&lt;&gt;"")*(COLUMN(AC1364:AE1364)-(COLUMN(AC1364)-2))))-1),"")</f>
        <v>ARCHIVED</v>
      </c>
      <c r="M1364" s="33" t="n">
        <f aca="true">K1364-TODAY()</f>
        <v>-182</v>
      </c>
      <c r="N1364" s="50" t="s">
        <v>728</v>
      </c>
      <c r="O1364" s="33" t="s">
        <v>5924</v>
      </c>
      <c r="P1364" s="72" t="n">
        <f aca="false">IFERROR(__xludf.dummyfunction("INDEX(IMPORTRANGE(""12FwpLvlsVhD_IhxpEWawHHAWVeXnjXpHARKGUQ_nP_w"",""harga rukma!H:H""),MATCH(C1364,IMPORTRANGE(""12FwpLvlsVhD_IhxpEWawHHAWVeXnjXpHARKGUQ_nP_w"",""harga rukma!B:B""),0))"),6000000)</f>
        <v>6000000</v>
      </c>
      <c r="Q1364" s="40" t="s">
        <v>5988</v>
      </c>
      <c r="R1364" s="33" t="s">
        <v>78</v>
      </c>
      <c r="S1364" s="34" t="n">
        <v>34169</v>
      </c>
      <c r="T1364" s="33" t="s">
        <v>40</v>
      </c>
      <c r="U1364" s="33" t="s">
        <v>5964</v>
      </c>
      <c r="V1364" s="33" t="s">
        <v>42</v>
      </c>
      <c r="W1364" s="33" t="s">
        <v>54</v>
      </c>
      <c r="X1364" s="42" t="n">
        <v>85648491339</v>
      </c>
      <c r="Y1364" s="43" t="str">
        <f aca="false">O1364</f>
        <v>Repair Body</v>
      </c>
      <c r="Z1364" s="33" t="str">
        <f aca="false">IFERROR(__xludf.dummyfunction("if(BJ1364="""","""",GOOGLETRANSLATE(BJ1364,""auto"",""en""))"),"Repair Body")</f>
        <v>Repair Body</v>
      </c>
      <c r="AA1364" s="44" t="str">
        <f aca="false">IF(C1364="","", CHOOSE(MONTH(C1364),"January","February","March","April","May","June","July","August","September","October","November","December")&amp;" "&amp;DAY(C1364)&amp;MID("thstndrdth",MIN(9,2*RIGHT(DAY(C1364))*(MOD(DAY(C1364)-11,100)&gt;2)+1),2)&amp;","&amp;TEXT(C1364," yyyy"))</f>
        <v>May 1st,2024</v>
      </c>
      <c r="AB1364" s="35" t="str">
        <f aca="true">IF(S1364="","",DATEDIF(S1364,TODAY(),"Y")&amp;" Tahun, "&amp;DATEDIF(S1364,TODAY(),"YM")&amp;" Bulan, "&amp;DATEDIF(S1364,TODAY(),"MD")&amp;" Hari")</f>
        <v>33 Tahun, 3 Bulan, 10 Hari</v>
      </c>
      <c r="AC1364" s="38" t="n">
        <v>45778</v>
      </c>
      <c r="AD1364" s="38" t="n">
        <v>46142</v>
      </c>
      <c r="AE1364" s="38" t="s">
        <v>44</v>
      </c>
    </row>
    <row r="1365" customFormat="false" ht="15" hidden="false" customHeight="true" outlineLevel="0" collapsed="false">
      <c r="A1365" s="12" t="n">
        <v>14953</v>
      </c>
      <c r="B1365" s="13" t="s">
        <v>5989</v>
      </c>
      <c r="C1365" s="14" t="n">
        <v>45413</v>
      </c>
      <c r="D1365" s="13" t="s">
        <v>5903</v>
      </c>
      <c r="E1365" s="15" t="s">
        <v>47</v>
      </c>
      <c r="F1365" s="15" t="str">
        <f aca="false">IFERROR(__xludf.dummyfunction("XLOOKUP(AJ1365,IMPORTRANGE(""1XaInW9DU9nz21V0tYIfzFQ0He9kVQ_JF2mCXgZ3hqFA"",""REKAP ALL 2026 - Andika!G:G""),IMPORTRANGE(""1XaInW9DU9nz21V0tYIfzFQ0He9kVQ_JF2mCXgZ3hqFA"",""REKAP ALL 2026 - Andika!F:F""),"""",0)"),"24075692673")</f>
        <v>24075692673</v>
      </c>
      <c r="G1365" s="15" t="s">
        <v>5990</v>
      </c>
      <c r="H1365" s="13" t="s">
        <v>35</v>
      </c>
      <c r="I1365" s="13" t="str">
        <f aca="false">IF(C1365=J1365,"NEW KONTRAK","RE-KONTRAK")</f>
        <v>RE-KONTRAK</v>
      </c>
      <c r="J1365" s="16" t="n">
        <f aca="false" t="array" ref="J1365:J1365">IFERROR(INDEX(AC1365:AE1365,IF(COUNTA(AC1365:AE1365)=0,"",MAX((AC1365:AE1365&lt;&gt;"")*(COLUMN(AC1365:AE1365)-(COLUMN(AC1365)))))-1),"")</f>
        <v>45778</v>
      </c>
      <c r="K1365" s="16" t="n">
        <f aca="false" t="array" ref="K1365:K1365">IFERROR(INDEX(AC1365:AE1365,IF(COUNTA(AC1365:AE1365)=0,"",MAX((AC1365:AE1365&lt;&gt;"")*(COLUMN(AC1365:AE1365)-(COLUMN(AC1365)-1))))-1),"")</f>
        <v>46142</v>
      </c>
      <c r="L1365" s="17" t="str">
        <f aca="false" t="array" ref="L1365:L1365">IFERROR(INDEX(AC1365:AE1365,IF(COUNTA(AC1365:AE1365)=0,"",MAX((AC1365:AE1365&lt;&gt;"")*(COLUMN(AC1365:AE1365)-(COLUMN(AC1365)-2))))-1),"")</f>
        <v>ARCHIVED</v>
      </c>
      <c r="M1365" s="13" t="n">
        <f aca="true">K1365-TODAY()</f>
        <v>-182</v>
      </c>
      <c r="N1365" s="50" t="s">
        <v>728</v>
      </c>
      <c r="O1365" s="13" t="s">
        <v>5914</v>
      </c>
      <c r="P1365" s="19" t="n">
        <f aca="false">IFERROR(__xludf.dummyfunction("INDEX(IMPORTRANGE(""12FwpLvlsVhD_IhxpEWawHHAWVeXnjXpHARKGUQ_nP_w"",""harga rukma!H:H""),MATCH(C1365,IMPORTRANGE(""12FwpLvlsVhD_IhxpEWawHHAWVeXnjXpHARKGUQ_nP_w"",""harga rukma!B:B""),0))"),3536000)</f>
        <v>3536000</v>
      </c>
      <c r="Q1365" s="20" t="s">
        <v>5991</v>
      </c>
      <c r="R1365" s="13" t="s">
        <v>826</v>
      </c>
      <c r="S1365" s="14" t="n">
        <v>37850</v>
      </c>
      <c r="T1365" s="13" t="s">
        <v>40</v>
      </c>
      <c r="U1365" s="13" t="s">
        <v>5992</v>
      </c>
      <c r="V1365" s="13" t="s">
        <v>42</v>
      </c>
      <c r="W1365" s="13" t="s">
        <v>43</v>
      </c>
      <c r="X1365" s="21" t="n">
        <v>83114286535</v>
      </c>
      <c r="Y1365" s="22" t="str">
        <f aca="false">O1365</f>
        <v>Washing / Cleaner Container</v>
      </c>
      <c r="Z1365" s="13" t="str">
        <f aca="false">IFERROR(__xludf.dummyfunction("if(BJ1365="""","""",GOOGLETRANSLATE(BJ1365,""auto"",""en""))"),"Washing / Cleaner Container")</f>
        <v>Washing / Cleaner Container</v>
      </c>
      <c r="AA1365" s="23" t="str">
        <f aca="false">IF(C1365="","", CHOOSE(MONTH(C1365),"January","February","March","April","May","June","July","August","September","October","November","December")&amp;" "&amp;DAY(C1365)&amp;MID("thstndrdth",MIN(9,2*RIGHT(DAY(C1365))*(MOD(DAY(C1365)-11,100)&gt;2)+1),2)&amp;","&amp;TEXT(C1365," yyyy"))</f>
        <v>May 1st,2024</v>
      </c>
      <c r="AB1365" s="15" t="str">
        <f aca="true">IF(S1365="","",DATEDIF(S1365,TODAY(),"Y")&amp;" Tahun, "&amp;DATEDIF(S1365,TODAY(),"YM")&amp;" Bulan, "&amp;DATEDIF(S1365,TODAY(),"MD")&amp;" Hari")</f>
        <v>23 Tahun, 2 Bulan, 12 Hari</v>
      </c>
      <c r="AC1365" s="18" t="n">
        <v>45778</v>
      </c>
      <c r="AD1365" s="18" t="n">
        <v>46142</v>
      </c>
      <c r="AE1365" s="18" t="s">
        <v>44</v>
      </c>
    </row>
    <row r="1366" customFormat="false" ht="15" hidden="false" customHeight="true" outlineLevel="0" collapsed="false">
      <c r="A1366" s="12" t="n">
        <v>14954</v>
      </c>
      <c r="B1366" s="13" t="s">
        <v>5993</v>
      </c>
      <c r="C1366" s="14" t="n">
        <v>45413</v>
      </c>
      <c r="D1366" s="13" t="s">
        <v>5903</v>
      </c>
      <c r="E1366" s="15" t="s">
        <v>47</v>
      </c>
      <c r="F1366" s="15" t="str">
        <f aca="false">IFERROR(__xludf.dummyfunction("XLOOKUP(AJ1366,IMPORTRANGE(""1XaInW9DU9nz21V0tYIfzFQ0He9kVQ_JF2mCXgZ3hqFA"",""REKAP ALL 2026 - Andika!G:G""),IMPORTRANGE(""1XaInW9DU9nz21V0tYIfzFQ0He9kVQ_JF2mCXgZ3hqFA"",""REKAP ALL 2026 - Andika!F:F""),"""",0)"),"24075692681")</f>
        <v>24075692681</v>
      </c>
      <c r="G1366" s="15" t="s">
        <v>5994</v>
      </c>
      <c r="H1366" s="13" t="s">
        <v>35</v>
      </c>
      <c r="I1366" s="13" t="str">
        <f aca="false">IF(C1366=J1366,"NEW KONTRAK","RE-KONTRAK")</f>
        <v>RE-KONTRAK</v>
      </c>
      <c r="J1366" s="16" t="n">
        <f aca="false" t="array" ref="J1366:J1366">IFERROR(INDEX(AC1366:AE1366,IF(COUNTA(AC1366:AE1366)=0,"",MAX((AC1366:AE1366&lt;&gt;"")*(COLUMN(AC1366:AE1366)-(COLUMN(AC1366)))))-1),"")</f>
        <v>45778</v>
      </c>
      <c r="K1366" s="16" t="n">
        <f aca="false" t="array" ref="K1366:K1366">IFERROR(INDEX(AC1366:AE1366,IF(COUNTA(AC1366:AE1366)=0,"",MAX((AC1366:AE1366&lt;&gt;"")*(COLUMN(AC1366:AE1366)-(COLUMN(AC1366)-1))))-1),"")</f>
        <v>46142</v>
      </c>
      <c r="L1366" s="17" t="str">
        <f aca="false" t="array" ref="L1366:L1366">IFERROR(INDEX(AC1366:AE1366,IF(COUNTA(AC1366:AE1366)=0,"",MAX((AC1366:AE1366&lt;&gt;"")*(COLUMN(AC1366:AE1366)-(COLUMN(AC1366)-2))))-1),"")</f>
        <v>ARCHIVED</v>
      </c>
      <c r="M1366" s="13" t="n">
        <f aca="true">K1366-TODAY()</f>
        <v>-182</v>
      </c>
      <c r="N1366" s="50" t="s">
        <v>728</v>
      </c>
      <c r="O1366" s="13" t="s">
        <v>5919</v>
      </c>
      <c r="P1366" s="19" t="n">
        <f aca="false">IFERROR(__xludf.dummyfunction("INDEX(IMPORTRANGE(""12FwpLvlsVhD_IhxpEWawHHAWVeXnjXpHARKGUQ_nP_w"",""harga rukma!H:H""),MATCH(C1366,IMPORTRANGE(""12FwpLvlsVhD_IhxpEWawHHAWVeXnjXpHARKGUQ_nP_w"",""harga rukma!B:B""),0))"),2808000)</f>
        <v>2808000</v>
      </c>
      <c r="Q1366" s="20" t="s">
        <v>5995</v>
      </c>
      <c r="R1366" s="13" t="s">
        <v>65</v>
      </c>
      <c r="S1366" s="14" t="n">
        <v>37671</v>
      </c>
      <c r="T1366" s="13" t="s">
        <v>40</v>
      </c>
      <c r="U1366" s="13" t="s">
        <v>5996</v>
      </c>
      <c r="V1366" s="13" t="s">
        <v>42</v>
      </c>
      <c r="W1366" s="13" t="s">
        <v>43</v>
      </c>
      <c r="X1366" s="21" t="n">
        <v>81515527965</v>
      </c>
      <c r="Y1366" s="22" t="str">
        <f aca="false">O1366</f>
        <v>Teknisi Reefer Container</v>
      </c>
      <c r="Z1366" s="13" t="str">
        <f aca="false">IFERROR(__xludf.dummyfunction("if(BJ1366="""","""",GOOGLETRANSLATE(BJ1366,""auto"",""en""))"),"Reefer Container Technician")</f>
        <v>Reefer Container Technician</v>
      </c>
      <c r="AA1366" s="23" t="str">
        <f aca="false">IF(C1366="","", CHOOSE(MONTH(C1366),"January","February","March","April","May","June","July","August","September","October","November","December")&amp;" "&amp;DAY(C1366)&amp;MID("thstndrdth",MIN(9,2*RIGHT(DAY(C1366))*(MOD(DAY(C1366)-11,100)&gt;2)+1),2)&amp;","&amp;TEXT(C1366," yyyy"))</f>
        <v>May 1st,2024</v>
      </c>
      <c r="AB1366" s="15" t="str">
        <f aca="true">IF(S1366="","",DATEDIF(S1366,TODAY(),"Y")&amp;" Tahun, "&amp;DATEDIF(S1366,TODAY(),"YM")&amp;" Bulan, "&amp;DATEDIF(S1366,TODAY(),"MD")&amp;" Hari")</f>
        <v>23 Tahun, 8 Bulan, 10 Hari</v>
      </c>
      <c r="AC1366" s="18" t="n">
        <v>45778</v>
      </c>
      <c r="AD1366" s="18" t="n">
        <v>46142</v>
      </c>
      <c r="AE1366" s="18" t="s">
        <v>44</v>
      </c>
    </row>
    <row r="1367" customFormat="false" ht="15" hidden="false" customHeight="true" outlineLevel="0" collapsed="false">
      <c r="A1367" s="12" t="n">
        <v>14955</v>
      </c>
      <c r="B1367" s="13" t="s">
        <v>5997</v>
      </c>
      <c r="C1367" s="14" t="n">
        <v>45413</v>
      </c>
      <c r="D1367" s="13" t="s">
        <v>5903</v>
      </c>
      <c r="E1367" s="15" t="s">
        <v>47</v>
      </c>
      <c r="F1367" s="15" t="str">
        <f aca="false">IFERROR(__xludf.dummyfunction("XLOOKUP(AJ1367,IMPORTRANGE(""1XaInW9DU9nz21V0tYIfzFQ0He9kVQ_JF2mCXgZ3hqFA"",""REKAP ALL 2026 - Andika!G:G""),IMPORTRANGE(""1XaInW9DU9nz21V0tYIfzFQ0He9kVQ_JF2mCXgZ3hqFA"",""REKAP ALL 2026 - Andika!F:F""),"""",0)"),"24075692699")</f>
        <v>24075692699</v>
      </c>
      <c r="G1367" s="15" t="s">
        <v>5998</v>
      </c>
      <c r="H1367" s="13" t="s">
        <v>35</v>
      </c>
      <c r="I1367" s="13" t="str">
        <f aca="false">IF(C1367=J1367,"NEW KONTRAK","RE-KONTRAK")</f>
        <v>RE-KONTRAK</v>
      </c>
      <c r="J1367" s="16" t="n">
        <f aca="false" t="array" ref="J1367:J1367">IFERROR(INDEX(AC1367:AE1367,IF(COUNTA(AC1367:AE1367)=0,"",MAX((AC1367:AE1367&lt;&gt;"")*(COLUMN(AC1367:AE1367)-(COLUMN(AC1367)))))-1),"")</f>
        <v>45778</v>
      </c>
      <c r="K1367" s="16" t="n">
        <f aca="false" t="array" ref="K1367:K1367">IFERROR(INDEX(AC1367:AE1367,IF(COUNTA(AC1367:AE1367)=0,"",MAX((AC1367:AE1367&lt;&gt;"")*(COLUMN(AC1367:AE1367)-(COLUMN(AC1367)-1))))-1),"")</f>
        <v>46142</v>
      </c>
      <c r="L1367" s="17" t="str">
        <f aca="false" t="array" ref="L1367:L1367">IFERROR(INDEX(AC1367:AE1367,IF(COUNTA(AC1367:AE1367)=0,"",MAX((AC1367:AE1367&lt;&gt;"")*(COLUMN(AC1367:AE1367)-(COLUMN(AC1367)-2))))-1),"")</f>
        <v>ARCHIVED</v>
      </c>
      <c r="M1367" s="13" t="n">
        <f aca="true">K1367-TODAY()</f>
        <v>-182</v>
      </c>
      <c r="N1367" s="50" t="s">
        <v>728</v>
      </c>
      <c r="O1367" s="13" t="s">
        <v>5919</v>
      </c>
      <c r="P1367" s="19" t="n">
        <f aca="false">IFERROR(__xludf.dummyfunction("INDEX(IMPORTRANGE(""12FwpLvlsVhD_IhxpEWawHHAWVeXnjXpHARKGUQ_nP_w"",""harga rukma!H:H""),MATCH(C1367,IMPORTRANGE(""12FwpLvlsVhD_IhxpEWawHHAWVeXnjXpHARKGUQ_nP_w"",""harga rukma!B:B""),0))"),6100000)</f>
        <v>6100000</v>
      </c>
      <c r="Q1367" s="20" t="s">
        <v>5999</v>
      </c>
      <c r="R1367" s="13" t="s">
        <v>78</v>
      </c>
      <c r="S1367" s="14" t="n">
        <v>36892</v>
      </c>
      <c r="T1367" s="13" t="s">
        <v>40</v>
      </c>
      <c r="U1367" s="13" t="s">
        <v>6000</v>
      </c>
      <c r="V1367" s="13" t="s">
        <v>42</v>
      </c>
      <c r="W1367" s="13" t="s">
        <v>43</v>
      </c>
      <c r="X1367" s="21" t="n">
        <v>895621062118</v>
      </c>
      <c r="Y1367" s="22" t="str">
        <f aca="false">O1367</f>
        <v>Teknisi Reefer Container</v>
      </c>
      <c r="Z1367" s="13" t="str">
        <f aca="false">IFERROR(__xludf.dummyfunction("if(BJ1367="""","""",GOOGLETRANSLATE(BJ1367,""auto"",""en""))"),"Reefer Container Technician")</f>
        <v>Reefer Container Technician</v>
      </c>
      <c r="AA1367" s="23" t="str">
        <f aca="false">IF(C1367="","", CHOOSE(MONTH(C1367),"January","February","March","April","May","June","July","August","September","October","November","December")&amp;" "&amp;DAY(C1367)&amp;MID("thstndrdth",MIN(9,2*RIGHT(DAY(C1367))*(MOD(DAY(C1367)-11,100)&gt;2)+1),2)&amp;","&amp;TEXT(C1367," yyyy"))</f>
        <v>May 1st,2024</v>
      </c>
      <c r="AB1367" s="15" t="str">
        <f aca="true">IF(S1367="","",DATEDIF(S1367,TODAY(),"Y")&amp;" Tahun, "&amp;DATEDIF(S1367,TODAY(),"YM")&amp;" Bulan, "&amp;DATEDIF(S1367,TODAY(),"MD")&amp;" Hari")</f>
        <v>25 Tahun, 9 Bulan, 28 Hari</v>
      </c>
      <c r="AC1367" s="18" t="n">
        <v>45778</v>
      </c>
      <c r="AD1367" s="18" t="n">
        <v>46142</v>
      </c>
      <c r="AE1367" s="18" t="s">
        <v>44</v>
      </c>
    </row>
    <row r="1368" customFormat="false" ht="15" hidden="false" customHeight="true" outlineLevel="0" collapsed="false">
      <c r="A1368" s="12" t="n">
        <v>14956</v>
      </c>
      <c r="B1368" s="13" t="s">
        <v>6001</v>
      </c>
      <c r="C1368" s="14" t="n">
        <v>45413</v>
      </c>
      <c r="D1368" s="13" t="s">
        <v>5903</v>
      </c>
      <c r="E1368" s="15" t="s">
        <v>47</v>
      </c>
      <c r="F1368" s="15" t="str">
        <f aca="false">IFERROR(__xludf.dummyfunction("XLOOKUP(AJ1368,IMPORTRANGE(""1XaInW9DU9nz21V0tYIfzFQ0He9kVQ_JF2mCXgZ3hqFA"",""REKAP ALL 2026 - Andika!G:G""),IMPORTRANGE(""1XaInW9DU9nz21V0tYIfzFQ0He9kVQ_JF2mCXgZ3hqFA"",""REKAP ALL 2026 - Andika!F:F""),"""",0)"),"24075692707")</f>
        <v>24075692707</v>
      </c>
      <c r="G1368" s="15" t="s">
        <v>6002</v>
      </c>
      <c r="H1368" s="13" t="s">
        <v>35</v>
      </c>
      <c r="I1368" s="13" t="str">
        <f aca="false">IF(C1368=J1368,"NEW KONTRAK","RE-KONTRAK")</f>
        <v>RE-KONTRAK</v>
      </c>
      <c r="J1368" s="16" t="n">
        <f aca="false" t="array" ref="J1368:J1368">IFERROR(INDEX(AC1368:AE1368,IF(COUNTA(AC1368:AE1368)=0,"",MAX((AC1368:AE1368&lt;&gt;"")*(COLUMN(AC1368:AE1368)-(COLUMN(AC1368)))))-1),"")</f>
        <v>45778</v>
      </c>
      <c r="K1368" s="16" t="n">
        <f aca="false" t="array" ref="K1368:K1368">IFERROR(INDEX(AC1368:AE1368,IF(COUNTA(AC1368:AE1368)=0,"",MAX((AC1368:AE1368&lt;&gt;"")*(COLUMN(AC1368:AE1368)-(COLUMN(AC1368)-1))))-1),"")</f>
        <v>46142</v>
      </c>
      <c r="L1368" s="17" t="str">
        <f aca="false" t="array" ref="L1368:L1368">IFERROR(INDEX(AC1368:AE1368,IF(COUNTA(AC1368:AE1368)=0,"",MAX((AC1368:AE1368&lt;&gt;"")*(COLUMN(AC1368:AE1368)-(COLUMN(AC1368)-2))))-1),"")</f>
        <v>ARCHIVED</v>
      </c>
      <c r="M1368" s="13" t="n">
        <f aca="true">K1368-TODAY()</f>
        <v>-182</v>
      </c>
      <c r="N1368" s="50" t="s">
        <v>728</v>
      </c>
      <c r="O1368" s="13" t="s">
        <v>6003</v>
      </c>
      <c r="P1368" s="19" t="n">
        <f aca="false">IFERROR(__xludf.dummyfunction("INDEX(IMPORTRANGE(""12FwpLvlsVhD_IhxpEWawHHAWVeXnjXpHARKGUQ_nP_w"",""harga rukma!H:H""),MATCH(C1368,IMPORTRANGE(""12FwpLvlsVhD_IhxpEWawHHAWVeXnjXpHARKGUQ_nP_w"",""harga rukma!B:B""),0))"),3536000)</f>
        <v>3536000</v>
      </c>
      <c r="Q1368" s="20" t="s">
        <v>6004</v>
      </c>
      <c r="R1368" s="13" t="s">
        <v>78</v>
      </c>
      <c r="S1368" s="14" t="n">
        <v>38199</v>
      </c>
      <c r="T1368" s="13" t="s">
        <v>40</v>
      </c>
      <c r="U1368" s="13" t="s">
        <v>6005</v>
      </c>
      <c r="V1368" s="13" t="s">
        <v>42</v>
      </c>
      <c r="W1368" s="13" t="s">
        <v>43</v>
      </c>
      <c r="X1368" s="21" t="n">
        <v>82331401483</v>
      </c>
      <c r="Y1368" s="22" t="str">
        <f aca="false">O1368</f>
        <v>Ops. Bongkaran &amp; Teknisi</v>
      </c>
      <c r="Z1368" s="13" t="str">
        <f aca="false">IFERROR(__xludf.dummyfunction("if(BJ1368="""","""",GOOGLETRANSLATE(BJ1368,""auto"",""en""))"),"Demolition &amp; Technician Ops")</f>
        <v>Demolition &amp; Technician Ops</v>
      </c>
      <c r="AA1368" s="23" t="str">
        <f aca="false">IF(C1368="","", CHOOSE(MONTH(C1368),"January","February","March","April","May","June","July","August","September","October","November","December")&amp;" "&amp;DAY(C1368)&amp;MID("thstndrdth",MIN(9,2*RIGHT(DAY(C1368))*(MOD(DAY(C1368)-11,100)&gt;2)+1),2)&amp;","&amp;TEXT(C1368," yyyy"))</f>
        <v>May 1st,2024</v>
      </c>
      <c r="AB1368" s="15" t="str">
        <f aca="true">IF(S1368="","",DATEDIF(S1368,TODAY(),"Y")&amp;" Tahun, "&amp;DATEDIF(S1368,TODAY(),"YM")&amp;" Bulan, "&amp;DATEDIF(S1368,TODAY(),"MD")&amp;" Hari")</f>
        <v>22 Tahun, 2 Bulan, 28 Hari</v>
      </c>
      <c r="AC1368" s="18" t="n">
        <v>45778</v>
      </c>
      <c r="AD1368" s="18" t="n">
        <v>46142</v>
      </c>
      <c r="AE1368" s="18" t="s">
        <v>44</v>
      </c>
    </row>
    <row r="1369" customFormat="false" ht="15" hidden="false" customHeight="true" outlineLevel="0" collapsed="false">
      <c r="A1369" s="12" t="n">
        <v>14957</v>
      </c>
      <c r="B1369" s="13" t="s">
        <v>6006</v>
      </c>
      <c r="C1369" s="14" t="n">
        <v>45413</v>
      </c>
      <c r="D1369" s="13" t="s">
        <v>5903</v>
      </c>
      <c r="E1369" s="15" t="s">
        <v>47</v>
      </c>
      <c r="F1369" s="15" t="str">
        <f aca="false">IFERROR(__xludf.dummyfunction("XLOOKUP(AJ1369,IMPORTRANGE(""1XaInW9DU9nz21V0tYIfzFQ0He9kVQ_JF2mCXgZ3hqFA"",""REKAP ALL 2026 - Andika!G:G""),IMPORTRANGE(""1XaInW9DU9nz21V0tYIfzFQ0He9kVQ_JF2mCXgZ3hqFA"",""REKAP ALL 2026 - Andika!F:F""),"""",0)"),"24075692012")</f>
        <v>24075692012</v>
      </c>
      <c r="G1369" s="15" t="s">
        <v>6007</v>
      </c>
      <c r="H1369" s="13" t="s">
        <v>35</v>
      </c>
      <c r="I1369" s="13" t="str">
        <f aca="false">IF(C1369=J1369,"NEW KONTRAK","RE-KONTRAK")</f>
        <v>RE-KONTRAK</v>
      </c>
      <c r="J1369" s="16" t="n">
        <f aca="false" t="array" ref="J1369:J1369">IFERROR(INDEX(AC1369:AE1369,IF(COUNTA(AC1369:AE1369)=0,"",MAX((AC1369:AE1369&lt;&gt;"")*(COLUMN(AC1369:AE1369)-(COLUMN(AC1369)))))-1),"")</f>
        <v>45778</v>
      </c>
      <c r="K1369" s="16" t="n">
        <f aca="false" t="array" ref="K1369:K1369">IFERROR(INDEX(AC1369:AE1369,IF(COUNTA(AC1369:AE1369)=0,"",MAX((AC1369:AE1369&lt;&gt;"")*(COLUMN(AC1369:AE1369)-(COLUMN(AC1369)-1))))-1),"")</f>
        <v>46142</v>
      </c>
      <c r="L1369" s="17" t="str">
        <f aca="false" t="array" ref="L1369:L1369">IFERROR(INDEX(AC1369:AE1369,IF(COUNTA(AC1369:AE1369)=0,"",MAX((AC1369:AE1369&lt;&gt;"")*(COLUMN(AC1369:AE1369)-(COLUMN(AC1369)-2))))-1),"")</f>
        <v>ARCHIVED</v>
      </c>
      <c r="M1369" s="13" t="n">
        <f aca="true">K1369-TODAY()</f>
        <v>-182</v>
      </c>
      <c r="N1369" s="50" t="s">
        <v>728</v>
      </c>
      <c r="O1369" s="13" t="s">
        <v>6008</v>
      </c>
      <c r="P1369" s="19" t="n">
        <f aca="false">IFERROR(__xludf.dummyfunction("INDEX(IMPORTRANGE(""12FwpLvlsVhD_IhxpEWawHHAWVeXnjXpHARKGUQ_nP_w"",""harga rukma!H:H""),MATCH(C1369,IMPORTRANGE(""12FwpLvlsVhD_IhxpEWawHHAWVeXnjXpHARKGUQ_nP_w"",""harga rukma!B:B""),0))"),4777500)</f>
        <v>4777500</v>
      </c>
      <c r="Q1369" s="20" t="s">
        <v>6009</v>
      </c>
      <c r="R1369" s="13" t="s">
        <v>232</v>
      </c>
      <c r="S1369" s="14" t="n">
        <v>35918</v>
      </c>
      <c r="T1369" s="13" t="s">
        <v>40</v>
      </c>
      <c r="U1369" s="13" t="s">
        <v>6010</v>
      </c>
      <c r="V1369" s="13" t="s">
        <v>42</v>
      </c>
      <c r="W1369" s="13" t="s">
        <v>43</v>
      </c>
      <c r="X1369" s="21" t="n">
        <v>85646310616</v>
      </c>
      <c r="Y1369" s="22" t="str">
        <f aca="false">O1369</f>
        <v>Inv. Depo</v>
      </c>
      <c r="Z1369" s="13" t="str">
        <f aca="false">IFERROR(__xludf.dummyfunction("if(BJ1369="""","""",GOOGLETRANSLATE(BJ1369,""auto"",""en""))"),"Inv. Depo")</f>
        <v>Inv. Depo</v>
      </c>
      <c r="AA1369" s="23" t="str">
        <f aca="false">IF(C1369="","", CHOOSE(MONTH(C1369),"January","February","March","April","May","June","July","August","September","October","November","December")&amp;" "&amp;DAY(C1369)&amp;MID("thstndrdth",MIN(9,2*RIGHT(DAY(C1369))*(MOD(DAY(C1369)-11,100)&gt;2)+1),2)&amp;","&amp;TEXT(C1369," yyyy"))</f>
        <v>May 1st,2024</v>
      </c>
      <c r="AB1369" s="15" t="str">
        <f aca="true">IF(S1369="","",DATEDIF(S1369,TODAY(),"Y")&amp;" Tahun, "&amp;DATEDIF(S1369,TODAY(),"YM")&amp;" Bulan, "&amp;DATEDIF(S1369,TODAY(),"MD")&amp;" Hari")</f>
        <v>28 Tahun, 5 Bulan, 26 Hari</v>
      </c>
      <c r="AC1369" s="18" t="n">
        <v>45778</v>
      </c>
      <c r="AD1369" s="18" t="n">
        <v>46142</v>
      </c>
      <c r="AE1369" s="18" t="s">
        <v>44</v>
      </c>
    </row>
    <row r="1370" customFormat="false" ht="15" hidden="false" customHeight="true" outlineLevel="0" collapsed="false">
      <c r="A1370" s="12" t="n">
        <v>14958</v>
      </c>
      <c r="B1370" s="13" t="s">
        <v>6011</v>
      </c>
      <c r="C1370" s="14" t="n">
        <v>45413</v>
      </c>
      <c r="D1370" s="13" t="s">
        <v>5903</v>
      </c>
      <c r="E1370" s="15" t="s">
        <v>102</v>
      </c>
      <c r="F1370" s="15" t="str">
        <f aca="false">IFERROR(__xludf.dummyfunction("XLOOKUP(AJ1370,IMPORTRANGE(""1XaInW9DU9nz21V0tYIfzFQ0He9kVQ_JF2mCXgZ3hqFA"",""REKAP ALL 2026 - Andika!G:G""),IMPORTRANGE(""1XaInW9DU9nz21V0tYIfzFQ0He9kVQ_JF2mCXgZ3hqFA"",""REKAP ALL 2026 - Andika!F:F""),"""",0)"),"24075692053")</f>
        <v>24075692053</v>
      </c>
      <c r="G1370" s="15" t="s">
        <v>6012</v>
      </c>
      <c r="H1370" s="13" t="s">
        <v>35</v>
      </c>
      <c r="I1370" s="13" t="str">
        <f aca="false">IF(C1370=J1370,"NEW KONTRAK","RE-KONTRAK")</f>
        <v>RE-KONTRAK</v>
      </c>
      <c r="J1370" s="16" t="n">
        <f aca="false" t="array" ref="J1370:J1370">IFERROR(INDEX(AC1370:AE1370,IF(COUNTA(AC1370:AE1370)=0,"",MAX((AC1370:AE1370&lt;&gt;"")*(COLUMN(AC1370:AE1370)-(COLUMN(AC1370)))))-1),"")</f>
        <v>45778</v>
      </c>
      <c r="K1370" s="16" t="n">
        <f aca="false" t="array" ref="K1370:K1370">IFERROR(INDEX(AC1370:AE1370,IF(COUNTA(AC1370:AE1370)=0,"",MAX((AC1370:AE1370&lt;&gt;"")*(COLUMN(AC1370:AE1370)-(COLUMN(AC1370)-1))))-1),"")</f>
        <v>46142</v>
      </c>
      <c r="L1370" s="17" t="str">
        <f aca="false" t="array" ref="L1370:L1370">IFERROR(INDEX(AC1370:AE1370,IF(COUNTA(AC1370:AE1370)=0,"",MAX((AC1370:AE1370&lt;&gt;"")*(COLUMN(AC1370:AE1370)-(COLUMN(AC1370)-2))))-1),"")</f>
        <v>KEMBALI</v>
      </c>
      <c r="M1370" s="13" t="n">
        <f aca="true">K1370-TODAY()</f>
        <v>-182</v>
      </c>
      <c r="N1370" s="50" t="s">
        <v>728</v>
      </c>
      <c r="O1370" s="13" t="s">
        <v>5919</v>
      </c>
      <c r="P1370" s="19" t="n">
        <f aca="false">IFERROR(__xludf.dummyfunction("INDEX(IMPORTRANGE(""12FwpLvlsVhD_IhxpEWawHHAWVeXnjXpHARKGUQ_nP_w"",""harga rukma!H:H""),MATCH(C1370,IMPORTRANGE(""12FwpLvlsVhD_IhxpEWawHHAWVeXnjXpHARKGUQ_nP_w"",""harga rukma!B:B""),0))"),4400000)</f>
        <v>4400000</v>
      </c>
      <c r="Q1370" s="20" t="s">
        <v>6013</v>
      </c>
      <c r="R1370" s="13" t="s">
        <v>78</v>
      </c>
      <c r="S1370" s="14" t="n">
        <v>37348</v>
      </c>
      <c r="T1370" s="13" t="s">
        <v>40</v>
      </c>
      <c r="U1370" s="13" t="s">
        <v>6014</v>
      </c>
      <c r="V1370" s="13" t="s">
        <v>42</v>
      </c>
      <c r="W1370" s="13" t="s">
        <v>43</v>
      </c>
      <c r="X1370" s="21" t="n">
        <v>82143663413</v>
      </c>
      <c r="Y1370" s="22" t="str">
        <f aca="false">O1370</f>
        <v>Teknisi Reefer Container</v>
      </c>
      <c r="Z1370" s="13" t="str">
        <f aca="false">IFERROR(__xludf.dummyfunction("if(BJ1370="""","""",GOOGLETRANSLATE(BJ1370,""auto"",""en""))"),"Reefer Container Technician")</f>
        <v>Reefer Container Technician</v>
      </c>
      <c r="AA1370" s="23" t="str">
        <f aca="false">IF(C1370="","", CHOOSE(MONTH(C1370),"January","February","March","April","May","June","July","August","September","October","November","December")&amp;" "&amp;DAY(C1370)&amp;MID("thstndrdth",MIN(9,2*RIGHT(DAY(C1370))*(MOD(DAY(C1370)-11,100)&gt;2)+1),2)&amp;","&amp;TEXT(C1370," yyyy"))</f>
        <v>May 1st,2024</v>
      </c>
      <c r="AB1370" s="15" t="str">
        <f aca="true">IF(S1370="","",DATEDIF(S1370,TODAY(),"Y")&amp;" Tahun, "&amp;DATEDIF(S1370,TODAY(),"YM")&amp;" Bulan, "&amp;DATEDIF(S1370,TODAY(),"MD")&amp;" Hari")</f>
        <v>24 Tahun, 6 Bulan, 27 Hari</v>
      </c>
      <c r="AC1370" s="18" t="n">
        <v>45778</v>
      </c>
      <c r="AD1370" s="18" t="n">
        <v>46142</v>
      </c>
      <c r="AE1370" s="13" t="s">
        <v>397</v>
      </c>
    </row>
    <row r="1371" customFormat="false" ht="15" hidden="false" customHeight="true" outlineLevel="0" collapsed="false">
      <c r="A1371" s="12" t="n">
        <v>14959</v>
      </c>
      <c r="B1371" s="13" t="s">
        <v>6015</v>
      </c>
      <c r="C1371" s="14" t="n">
        <v>45413</v>
      </c>
      <c r="D1371" s="13" t="s">
        <v>5903</v>
      </c>
      <c r="E1371" s="15" t="s">
        <v>47</v>
      </c>
      <c r="F1371" s="15" t="str">
        <f aca="false">IFERROR(__xludf.dummyfunction("XLOOKUP(AJ1371,IMPORTRANGE(""1XaInW9DU9nz21V0tYIfzFQ0He9kVQ_JF2mCXgZ3hqFA"",""REKAP ALL 2026 - Andika!G:G""),IMPORTRANGE(""1XaInW9DU9nz21V0tYIfzFQ0He9kVQ_JF2mCXgZ3hqFA"",""REKAP ALL 2026 - Andika!F:F""),"""",0)"),"24075692079")</f>
        <v>24075692079</v>
      </c>
      <c r="G1371" s="15" t="s">
        <v>6016</v>
      </c>
      <c r="H1371" s="13" t="s">
        <v>35</v>
      </c>
      <c r="I1371" s="13" t="str">
        <f aca="false">IF(C1371=J1371,"NEW KONTRAK","RE-KONTRAK")</f>
        <v>RE-KONTRAK</v>
      </c>
      <c r="J1371" s="16" t="n">
        <f aca="false" t="array" ref="J1371:J1371">IFERROR(INDEX(AC1371:AE1371,IF(COUNTA(AC1371:AE1371)=0,"",MAX((AC1371:AE1371&lt;&gt;"")*(COLUMN(AC1371:AE1371)-(COLUMN(AC1371)))))-1),"")</f>
        <v>45778</v>
      </c>
      <c r="K1371" s="16" t="n">
        <f aca="false" t="array" ref="K1371:K1371">IFERROR(INDEX(AC1371:AE1371,IF(COUNTA(AC1371:AE1371)=0,"",MAX((AC1371:AE1371&lt;&gt;"")*(COLUMN(AC1371:AE1371)-(COLUMN(AC1371)-1))))-1),"")</f>
        <v>46142</v>
      </c>
      <c r="L1371" s="17" t="str">
        <f aca="false" t="array" ref="L1371:L1371">IFERROR(INDEX(AC1371:AE1371,IF(COUNTA(AC1371:AE1371)=0,"",MAX((AC1371:AE1371&lt;&gt;"")*(COLUMN(AC1371:AE1371)-(COLUMN(AC1371)-2))))-1),"")</f>
        <v>ARCHIVED</v>
      </c>
      <c r="M1371" s="13" t="n">
        <f aca="true">K1371-TODAY()</f>
        <v>-182</v>
      </c>
      <c r="N1371" s="50" t="s">
        <v>728</v>
      </c>
      <c r="O1371" s="13" t="s">
        <v>6017</v>
      </c>
      <c r="P1371" s="19" t="n">
        <f aca="false">IFERROR(__xludf.dummyfunction("INDEX(IMPORTRANGE(""12FwpLvlsVhD_IhxpEWawHHAWVeXnjXpHARKGUQ_nP_w"",""harga rukma!H:H""),MATCH(C1371,IMPORTRANGE(""12FwpLvlsVhD_IhxpEWawHHAWVeXnjXpHARKGUQ_nP_w"",""harga rukma!B:B""),0))"),4900000)</f>
        <v>4900000</v>
      </c>
      <c r="Q1371" s="20" t="s">
        <v>6018</v>
      </c>
      <c r="R1371" s="13" t="s">
        <v>52</v>
      </c>
      <c r="S1371" s="14" t="n">
        <v>35393</v>
      </c>
      <c r="T1371" s="13" t="s">
        <v>40</v>
      </c>
      <c r="U1371" s="13" t="s">
        <v>6019</v>
      </c>
      <c r="V1371" s="13" t="s">
        <v>42</v>
      </c>
      <c r="W1371" s="13" t="s">
        <v>43</v>
      </c>
      <c r="X1371" s="21" t="n">
        <v>85283439978</v>
      </c>
      <c r="Y1371" s="22" t="str">
        <f aca="false">O1371</f>
        <v>Teknisi Loading</v>
      </c>
      <c r="Z1371" s="13" t="str">
        <f aca="false">IFERROR(__xludf.dummyfunction("if(BJ1371="""","""",GOOGLETRANSLATE(BJ1371,""auto"",""en""))"),"Loading Technician")</f>
        <v>Loading Technician</v>
      </c>
      <c r="AA1371" s="23" t="str">
        <f aca="false">IF(C1371="","", CHOOSE(MONTH(C1371),"January","February","March","April","May","June","July","August","September","October","November","December")&amp;" "&amp;DAY(C1371)&amp;MID("thstndrdth",MIN(9,2*RIGHT(DAY(C1371))*(MOD(DAY(C1371)-11,100)&gt;2)+1),2)&amp;","&amp;TEXT(C1371," yyyy"))</f>
        <v>May 1st,2024</v>
      </c>
      <c r="AB1371" s="15" t="str">
        <f aca="true">IF(S1371="","",DATEDIF(S1371,TODAY(),"Y")&amp;" Tahun, "&amp;DATEDIF(S1371,TODAY(),"YM")&amp;" Bulan, "&amp;DATEDIF(S1371,TODAY(),"MD")&amp;" Hari")</f>
        <v>29 Tahun, 11 Bulan, 5 Hari</v>
      </c>
      <c r="AC1371" s="18" t="n">
        <v>45778</v>
      </c>
      <c r="AD1371" s="18" t="n">
        <v>46142</v>
      </c>
      <c r="AE1371" s="18" t="s">
        <v>44</v>
      </c>
    </row>
    <row r="1372" customFormat="false" ht="15" hidden="false" customHeight="true" outlineLevel="0" collapsed="false">
      <c r="A1372" s="12" t="n">
        <v>14960</v>
      </c>
      <c r="B1372" s="13" t="s">
        <v>6020</v>
      </c>
      <c r="C1372" s="14" t="n">
        <v>45413</v>
      </c>
      <c r="D1372" s="13" t="s">
        <v>5903</v>
      </c>
      <c r="E1372" s="15" t="s">
        <v>47</v>
      </c>
      <c r="F1372" s="15" t="str">
        <f aca="false">IFERROR(__xludf.dummyfunction("XLOOKUP(AJ1372,IMPORTRANGE(""1XaInW9DU9nz21V0tYIfzFQ0He9kVQ_JF2mCXgZ3hqFA"",""REKAP ALL 2026 - Andika!G:G""),IMPORTRANGE(""1XaInW9DU9nz21V0tYIfzFQ0He9kVQ_JF2mCXgZ3hqFA"",""REKAP ALL 2026 - Andika!F:F""),"""",0)"),"24075692129")</f>
        <v>24075692129</v>
      </c>
      <c r="G1372" s="15" t="s">
        <v>6021</v>
      </c>
      <c r="H1372" s="13" t="s">
        <v>35</v>
      </c>
      <c r="I1372" s="13" t="str">
        <f aca="false">IF(C1372=J1372,"NEW KONTRAK","RE-KONTRAK")</f>
        <v>RE-KONTRAK</v>
      </c>
      <c r="J1372" s="16" t="n">
        <f aca="false" t="array" ref="J1372:J1372">IFERROR(INDEX(AC1372:AE1372,IF(COUNTA(AC1372:AE1372)=0,"",MAX((AC1372:AE1372&lt;&gt;"")*(COLUMN(AC1372:AE1372)-(COLUMN(AC1372)))))-1),"")</f>
        <v>45778</v>
      </c>
      <c r="K1372" s="16" t="n">
        <f aca="false" t="array" ref="K1372:K1372">IFERROR(INDEX(AC1372:AE1372,IF(COUNTA(AC1372:AE1372)=0,"",MAX((AC1372:AE1372&lt;&gt;"")*(COLUMN(AC1372:AE1372)-(COLUMN(AC1372)-1))))-1),"")</f>
        <v>46142</v>
      </c>
      <c r="L1372" s="17" t="str">
        <f aca="false" t="array" ref="L1372:L1372">IFERROR(INDEX(AC1372:AE1372,IF(COUNTA(AC1372:AE1372)=0,"",MAX((AC1372:AE1372&lt;&gt;"")*(COLUMN(AC1372:AE1372)-(COLUMN(AC1372)-2))))-1),"")</f>
        <v>ARCHIVED</v>
      </c>
      <c r="M1372" s="13" t="n">
        <f aca="true">K1372-TODAY()</f>
        <v>-182</v>
      </c>
      <c r="N1372" s="50" t="s">
        <v>728</v>
      </c>
      <c r="O1372" s="13" t="s">
        <v>5914</v>
      </c>
      <c r="P1372" s="19" t="n">
        <f aca="false">IFERROR(__xludf.dummyfunction("INDEX(IMPORTRANGE(""12FwpLvlsVhD_IhxpEWawHHAWVeXnjXpHARKGUQ_nP_w"",""harga rukma!H:H""),MATCH(C1372,IMPORTRANGE(""12FwpLvlsVhD_IhxpEWawHHAWVeXnjXpHARKGUQ_nP_w"",""harga rukma!B:B""),0))"),3744000)</f>
        <v>3744000</v>
      </c>
      <c r="Q1372" s="20" t="s">
        <v>6022</v>
      </c>
      <c r="R1372" s="13" t="s">
        <v>52</v>
      </c>
      <c r="S1372" s="14" t="n">
        <v>27532</v>
      </c>
      <c r="T1372" s="13" t="s">
        <v>40</v>
      </c>
      <c r="U1372" s="13" t="s">
        <v>6023</v>
      </c>
      <c r="V1372" s="13" t="s">
        <v>42</v>
      </c>
      <c r="W1372" s="13" t="s">
        <v>54</v>
      </c>
      <c r="X1372" s="21" t="n">
        <v>85100682602</v>
      </c>
      <c r="Y1372" s="22" t="str">
        <f aca="false">O1372</f>
        <v>Washing / Cleaner Container</v>
      </c>
      <c r="Z1372" s="13" t="str">
        <f aca="false">IFERROR(__xludf.dummyfunction("if(BJ1372="""","""",GOOGLETRANSLATE(BJ1372,""auto"",""en""))"),"Washing / Cleaner Container")</f>
        <v>Washing / Cleaner Container</v>
      </c>
      <c r="AA1372" s="23" t="str">
        <f aca="false">IF(C1372="","", CHOOSE(MONTH(C1372),"January","February","March","April","May","June","July","August","September","October","November","December")&amp;" "&amp;DAY(C1372)&amp;MID("thstndrdth",MIN(9,2*RIGHT(DAY(C1372))*(MOD(DAY(C1372)-11,100)&gt;2)+1),2)&amp;","&amp;TEXT(C1372," yyyy"))</f>
        <v>May 1st,2024</v>
      </c>
      <c r="AB1372" s="15" t="str">
        <f aca="true">IF(S1372="","",DATEDIF(S1372,TODAY(),"Y")&amp;" Tahun, "&amp;DATEDIF(S1372,TODAY(),"YM")&amp;" Bulan, "&amp;DATEDIF(S1372,TODAY(),"MD")&amp;" Hari")</f>
        <v>51 Tahun, 5 Bulan, 11 Hari</v>
      </c>
      <c r="AC1372" s="18" t="n">
        <v>45778</v>
      </c>
      <c r="AD1372" s="18" t="n">
        <v>46142</v>
      </c>
      <c r="AE1372" s="18" t="s">
        <v>44</v>
      </c>
    </row>
    <row r="1373" customFormat="false" ht="15" hidden="false" customHeight="true" outlineLevel="0" collapsed="false">
      <c r="A1373" s="12" t="n">
        <v>14961</v>
      </c>
      <c r="B1373" s="13" t="s">
        <v>6024</v>
      </c>
      <c r="C1373" s="14" t="n">
        <v>45413</v>
      </c>
      <c r="D1373" s="13" t="s">
        <v>5903</v>
      </c>
      <c r="E1373" s="15" t="s">
        <v>47</v>
      </c>
      <c r="F1373" s="15" t="str">
        <f aca="false">IFERROR(__xludf.dummyfunction("XLOOKUP(AJ1373,IMPORTRANGE(""1XaInW9DU9nz21V0tYIfzFQ0He9kVQ_JF2mCXgZ3hqFA"",""REKAP ALL 2026 - Andika!G:G""),IMPORTRANGE(""1XaInW9DU9nz21V0tYIfzFQ0He9kVQ_JF2mCXgZ3hqFA"",""REKAP ALL 2026 - Andika!F:F""),"""",0)"),"24075692145")</f>
        <v>24075692145</v>
      </c>
      <c r="G1373" s="15" t="s">
        <v>6025</v>
      </c>
      <c r="H1373" s="13" t="s">
        <v>35</v>
      </c>
      <c r="I1373" s="13" t="str">
        <f aca="false">IF(C1373=J1373,"NEW KONTRAK","RE-KONTRAK")</f>
        <v>RE-KONTRAK</v>
      </c>
      <c r="J1373" s="16" t="n">
        <f aca="false" t="array" ref="J1373:J1373">IFERROR(INDEX(AC1373:AE1373,IF(COUNTA(AC1373:AE1373)=0,"",MAX((AC1373:AE1373&lt;&gt;"")*(COLUMN(AC1373:AE1373)-(COLUMN(AC1373)))))-1),"")</f>
        <v>45778</v>
      </c>
      <c r="K1373" s="16" t="n">
        <f aca="false" t="array" ref="K1373:K1373">IFERROR(INDEX(AC1373:AE1373,IF(COUNTA(AC1373:AE1373)=0,"",MAX((AC1373:AE1373&lt;&gt;"")*(COLUMN(AC1373:AE1373)-(COLUMN(AC1373)-1))))-1),"")</f>
        <v>46142</v>
      </c>
      <c r="L1373" s="17" t="str">
        <f aca="false" t="array" ref="L1373:L1373">IFERROR(INDEX(AC1373:AE1373,IF(COUNTA(AC1373:AE1373)=0,"",MAX((AC1373:AE1373&lt;&gt;"")*(COLUMN(AC1373:AE1373)-(COLUMN(AC1373)-2))))-1),"")</f>
        <v>ARCHIVED</v>
      </c>
      <c r="M1373" s="13" t="n">
        <f aca="true">K1373-TODAY()</f>
        <v>-182</v>
      </c>
      <c r="N1373" s="50" t="s">
        <v>728</v>
      </c>
      <c r="O1373" s="13" t="s">
        <v>5924</v>
      </c>
      <c r="P1373" s="19" t="n">
        <f aca="false">IFERROR(__xludf.dummyfunction("INDEX(IMPORTRANGE(""12FwpLvlsVhD_IhxpEWawHHAWVeXnjXpHARKGUQ_nP_w"",""harga rukma!H:H""),MATCH(C1373,IMPORTRANGE(""12FwpLvlsVhD_IhxpEWawHHAWVeXnjXpHARKGUQ_nP_w"",""harga rukma!B:B""),0))"),3224000)</f>
        <v>3224000</v>
      </c>
      <c r="Q1373" s="20" t="s">
        <v>6026</v>
      </c>
      <c r="R1373" s="13" t="s">
        <v>65</v>
      </c>
      <c r="S1373" s="14" t="n">
        <v>34026</v>
      </c>
      <c r="T1373" s="13" t="s">
        <v>40</v>
      </c>
      <c r="U1373" s="13" t="s">
        <v>6027</v>
      </c>
      <c r="V1373" s="13" t="s">
        <v>42</v>
      </c>
      <c r="W1373" s="13" t="s">
        <v>43</v>
      </c>
      <c r="X1373" s="21" t="n">
        <v>85854934047</v>
      </c>
      <c r="Y1373" s="22" t="str">
        <f aca="false">O1373</f>
        <v>Repair Body</v>
      </c>
      <c r="Z1373" s="13" t="str">
        <f aca="false">IFERROR(__xludf.dummyfunction("if(BJ1373="""","""",GOOGLETRANSLATE(BJ1373,""auto"",""en""))"),"Repair Body")</f>
        <v>Repair Body</v>
      </c>
      <c r="AA1373" s="23" t="str">
        <f aca="false">IF(C1373="","", CHOOSE(MONTH(C1373),"January","February","March","April","May","June","July","August","September","October","November","December")&amp;" "&amp;DAY(C1373)&amp;MID("thstndrdth",MIN(9,2*RIGHT(DAY(C1373))*(MOD(DAY(C1373)-11,100)&gt;2)+1),2)&amp;","&amp;TEXT(C1373," yyyy"))</f>
        <v>May 1st,2024</v>
      </c>
      <c r="AB1373" s="15" t="str">
        <f aca="true">IF(S1373="","",DATEDIF(S1373,TODAY(),"Y")&amp;" Tahun, "&amp;DATEDIF(S1373,TODAY(),"YM")&amp;" Bulan, "&amp;DATEDIF(S1373,TODAY(),"MD")&amp;" Hari")</f>
        <v>33 Tahun, 8 Bulan, 3 Hari</v>
      </c>
      <c r="AC1373" s="18" t="n">
        <v>45778</v>
      </c>
      <c r="AD1373" s="18" t="n">
        <v>46142</v>
      </c>
      <c r="AE1373" s="18" t="s">
        <v>44</v>
      </c>
    </row>
    <row r="1374" customFormat="false" ht="15" hidden="false" customHeight="true" outlineLevel="0" collapsed="false">
      <c r="A1374" s="12" t="n">
        <v>14962</v>
      </c>
      <c r="B1374" s="13" t="s">
        <v>6028</v>
      </c>
      <c r="C1374" s="14" t="n">
        <v>45413</v>
      </c>
      <c r="D1374" s="13" t="s">
        <v>5903</v>
      </c>
      <c r="E1374" s="15" t="s">
        <v>47</v>
      </c>
      <c r="F1374" s="15" t="str">
        <f aca="false">IFERROR(__xludf.dummyfunction("XLOOKUP(AJ1374,IMPORTRANGE(""1XaInW9DU9nz21V0tYIfzFQ0He9kVQ_JF2mCXgZ3hqFA"",""REKAP ALL 2026 - Andika!G:G""),IMPORTRANGE(""1XaInW9DU9nz21V0tYIfzFQ0He9kVQ_JF2mCXgZ3hqFA"",""REKAP ALL 2026 - Andika!F:F""),"""",0)"),"24075692038")</f>
        <v>24075692038</v>
      </c>
      <c r="G1374" s="15" t="s">
        <v>6029</v>
      </c>
      <c r="H1374" s="13" t="s">
        <v>35</v>
      </c>
      <c r="I1374" s="13" t="str">
        <f aca="false">IF(C1374=J1374,"NEW KONTRAK","RE-KONTRAK")</f>
        <v>RE-KONTRAK</v>
      </c>
      <c r="J1374" s="16" t="n">
        <f aca="false" t="array" ref="J1374:J1374">IFERROR(INDEX(AC1374:AE1374,IF(COUNTA(AC1374:AE1374)=0,"",MAX((AC1374:AE1374&lt;&gt;"")*(COLUMN(AC1374:AE1374)-(COLUMN(AC1374)))))-1),"")</f>
        <v>45778</v>
      </c>
      <c r="K1374" s="16" t="n">
        <f aca="false" t="array" ref="K1374:K1374">IFERROR(INDEX(AC1374:AE1374,IF(COUNTA(AC1374:AE1374)=0,"",MAX((AC1374:AE1374&lt;&gt;"")*(COLUMN(AC1374:AE1374)-(COLUMN(AC1374)-1))))-1),"")</f>
        <v>46142</v>
      </c>
      <c r="L1374" s="17" t="str">
        <f aca="false" t="array" ref="L1374:L1374">IFERROR(INDEX(AC1374:AE1374,IF(COUNTA(AC1374:AE1374)=0,"",MAX((AC1374:AE1374&lt;&gt;"")*(COLUMN(AC1374:AE1374)-(COLUMN(AC1374)-2))))-1),"")</f>
        <v>ARCHIVED</v>
      </c>
      <c r="M1374" s="13" t="n">
        <f aca="true">K1374-TODAY()</f>
        <v>-182</v>
      </c>
      <c r="N1374" s="50" t="s">
        <v>728</v>
      </c>
      <c r="O1374" s="13" t="s">
        <v>5924</v>
      </c>
      <c r="P1374" s="19" t="n">
        <f aca="false">IFERROR(__xludf.dummyfunction("INDEX(IMPORTRANGE(""12FwpLvlsVhD_IhxpEWawHHAWVeXnjXpHARKGUQ_nP_w"",""harga rukma!H:H""),MATCH(C1374,IMPORTRANGE(""12FwpLvlsVhD_IhxpEWawHHAWVeXnjXpHARKGUQ_nP_w"",""harga rukma!B:B""),0))"),3255000)</f>
        <v>3255000</v>
      </c>
      <c r="Q1374" s="20" t="s">
        <v>6030</v>
      </c>
      <c r="R1374" s="13" t="s">
        <v>78</v>
      </c>
      <c r="S1374" s="14" t="n">
        <v>35957</v>
      </c>
      <c r="T1374" s="13" t="s">
        <v>40</v>
      </c>
      <c r="U1374" s="13" t="s">
        <v>6031</v>
      </c>
      <c r="V1374" s="13" t="s">
        <v>42</v>
      </c>
      <c r="W1374" s="13" t="s">
        <v>43</v>
      </c>
      <c r="X1374" s="21" t="n">
        <v>85158906311</v>
      </c>
      <c r="Y1374" s="22" t="str">
        <f aca="false">O1374</f>
        <v>Repair Body</v>
      </c>
      <c r="Z1374" s="13" t="str">
        <f aca="false">IFERROR(__xludf.dummyfunction("if(BJ1374="""","""",GOOGLETRANSLATE(BJ1374,""auto"",""en""))"),"Repair Body")</f>
        <v>Repair Body</v>
      </c>
      <c r="AA1374" s="23" t="str">
        <f aca="false">IF(C1374="","", CHOOSE(MONTH(C1374),"January","February","March","April","May","June","July","August","September","October","November","December")&amp;" "&amp;DAY(C1374)&amp;MID("thstndrdth",MIN(9,2*RIGHT(DAY(C1374))*(MOD(DAY(C1374)-11,100)&gt;2)+1),2)&amp;","&amp;TEXT(C1374," yyyy"))</f>
        <v>May 1st,2024</v>
      </c>
      <c r="AB1374" s="15" t="str">
        <f aca="true">IF(S1374="","",DATEDIF(S1374,TODAY(),"Y")&amp;" Tahun, "&amp;DATEDIF(S1374,TODAY(),"YM")&amp;" Bulan, "&amp;DATEDIF(S1374,TODAY(),"MD")&amp;" Hari")</f>
        <v>28 Tahun, 4 Bulan, 18 Hari</v>
      </c>
      <c r="AC1374" s="18" t="n">
        <v>45778</v>
      </c>
      <c r="AD1374" s="18" t="n">
        <v>46142</v>
      </c>
      <c r="AE1374" s="18" t="s">
        <v>44</v>
      </c>
    </row>
    <row r="1375" customFormat="false" ht="15" hidden="false" customHeight="true" outlineLevel="0" collapsed="false">
      <c r="A1375" s="12" t="n">
        <v>14963</v>
      </c>
      <c r="B1375" s="13" t="s">
        <v>6032</v>
      </c>
      <c r="C1375" s="14" t="n">
        <v>45413</v>
      </c>
      <c r="D1375" s="13" t="s">
        <v>5903</v>
      </c>
      <c r="E1375" s="15" t="s">
        <v>47</v>
      </c>
      <c r="F1375" s="15" t="str">
        <f aca="false">IFERROR(__xludf.dummyfunction("XLOOKUP(AJ1375,IMPORTRANGE(""1XaInW9DU9nz21V0tYIfzFQ0He9kVQ_JF2mCXgZ3hqFA"",""REKAP ALL 2026 - Andika!G:G""),IMPORTRANGE(""1XaInW9DU9nz21V0tYIfzFQ0He9kVQ_JF2mCXgZ3hqFA"",""REKAP ALL 2026 - Andika!F:F""),"""",0)"),"24075692186")</f>
        <v>24075692186</v>
      </c>
      <c r="G1375" s="15" t="s">
        <v>6033</v>
      </c>
      <c r="H1375" s="13" t="s">
        <v>35</v>
      </c>
      <c r="I1375" s="13" t="str">
        <f aca="false">IF(C1375=J1375,"NEW KONTRAK","RE-KONTRAK")</f>
        <v>RE-KONTRAK</v>
      </c>
      <c r="J1375" s="16" t="n">
        <f aca="false" t="array" ref="J1375:J1375">IFERROR(INDEX(AC1375:AE1375,IF(COUNTA(AC1375:AE1375)=0,"",MAX((AC1375:AE1375&lt;&gt;"")*(COLUMN(AC1375:AE1375)-(COLUMN(AC1375)))))-1),"")</f>
        <v>45778</v>
      </c>
      <c r="K1375" s="16" t="n">
        <f aca="false" t="array" ref="K1375:K1375">IFERROR(INDEX(AC1375:AE1375,IF(COUNTA(AC1375:AE1375)=0,"",MAX((AC1375:AE1375&lt;&gt;"")*(COLUMN(AC1375:AE1375)-(COLUMN(AC1375)-1))))-1),"")</f>
        <v>46142</v>
      </c>
      <c r="L1375" s="17" t="str">
        <f aca="false" t="array" ref="L1375:L1375">IFERROR(INDEX(AC1375:AE1375,IF(COUNTA(AC1375:AE1375)=0,"",MAX((AC1375:AE1375&lt;&gt;"")*(COLUMN(AC1375:AE1375)-(COLUMN(AC1375)-2))))-1),"")</f>
        <v>ARCHIVED</v>
      </c>
      <c r="M1375" s="13" t="n">
        <f aca="true">K1375-TODAY()</f>
        <v>-182</v>
      </c>
      <c r="N1375" s="18" t="s">
        <v>3454</v>
      </c>
      <c r="O1375" s="13" t="s">
        <v>5032</v>
      </c>
      <c r="P1375" s="19" t="n">
        <f aca="false">IFERROR(__xludf.dummyfunction("INDEX(IMPORTRANGE(""12FwpLvlsVhD_IhxpEWawHHAWVeXnjXpHARKGUQ_nP_w"",""harga rukma!H:H""),MATCH(C1375,IMPORTRANGE(""12FwpLvlsVhD_IhxpEWawHHAWVeXnjXpHARKGUQ_nP_w"",""harga rukma!B:B""),0))"),4472000)</f>
        <v>4472000</v>
      </c>
      <c r="Q1375" s="20" t="s">
        <v>6034</v>
      </c>
      <c r="R1375" s="13" t="s">
        <v>6035</v>
      </c>
      <c r="S1375" s="14" t="n">
        <v>25722</v>
      </c>
      <c r="T1375" s="13" t="s">
        <v>40</v>
      </c>
      <c r="U1375" s="13" t="s">
        <v>6036</v>
      </c>
      <c r="V1375" s="13" t="s">
        <v>42</v>
      </c>
      <c r="W1375" s="13" t="s">
        <v>897</v>
      </c>
      <c r="X1375" s="21" t="n">
        <v>82232211525</v>
      </c>
      <c r="Y1375" s="22" t="str">
        <f aca="false">O1375</f>
        <v>Operator Genset</v>
      </c>
      <c r="Z1375" s="13" t="str">
        <f aca="false">IFERROR(__xludf.dummyfunction("if(BJ1375="""","""",GOOGLETRANSLATE(BJ1375,""auto"",""en""))"),"Generator Operator")</f>
        <v>Generator Operator</v>
      </c>
      <c r="AA1375" s="23" t="str">
        <f aca="false">IF(C1375="","", CHOOSE(MONTH(C1375),"January","February","March","April","May","June","July","August","September","October","November","December")&amp;" "&amp;DAY(C1375)&amp;MID("thstndrdth",MIN(9,2*RIGHT(DAY(C1375))*(MOD(DAY(C1375)-11,100)&gt;2)+1),2)&amp;","&amp;TEXT(C1375," yyyy"))</f>
        <v>May 1st,2024</v>
      </c>
      <c r="AB1375" s="15" t="str">
        <f aca="true">IF(S1375="","",DATEDIF(S1375,TODAY(),"Y")&amp;" Tahun, "&amp;DATEDIF(S1375,TODAY(),"YM")&amp;" Bulan, "&amp;DATEDIF(S1375,TODAY(),"MD")&amp;" Hari")</f>
        <v>56 Tahun, 4 Bulan, 26 Hari</v>
      </c>
      <c r="AC1375" s="18" t="n">
        <v>45778</v>
      </c>
      <c r="AD1375" s="18" t="n">
        <v>46142</v>
      </c>
      <c r="AE1375" s="18" t="s">
        <v>44</v>
      </c>
    </row>
    <row r="1376" customFormat="false" ht="15" hidden="false" customHeight="true" outlineLevel="0" collapsed="false">
      <c r="A1376" s="12" t="n">
        <v>14964</v>
      </c>
      <c r="B1376" s="13" t="s">
        <v>6037</v>
      </c>
      <c r="C1376" s="14" t="n">
        <v>45413</v>
      </c>
      <c r="D1376" s="13" t="s">
        <v>5903</v>
      </c>
      <c r="E1376" s="15" t="s">
        <v>47</v>
      </c>
      <c r="F1376" s="15" t="str">
        <f aca="false">IFERROR(__xludf.dummyfunction("XLOOKUP(AJ1376,IMPORTRANGE(""1XaInW9DU9nz21V0tYIfzFQ0He9kVQ_JF2mCXgZ3hqFA"",""REKAP ALL 2026 - Andika!G:G""),IMPORTRANGE(""1XaInW9DU9nz21V0tYIfzFQ0He9kVQ_JF2mCXgZ3hqFA"",""REKAP ALL 2026 - Andika!F:F""),"""",0)"),"24075692202")</f>
        <v>24075692202</v>
      </c>
      <c r="G1376" s="15" t="s">
        <v>6038</v>
      </c>
      <c r="H1376" s="13" t="s">
        <v>35</v>
      </c>
      <c r="I1376" s="13" t="str">
        <f aca="false">IF(C1376=J1376,"NEW KONTRAK","RE-KONTRAK")</f>
        <v>RE-KONTRAK</v>
      </c>
      <c r="J1376" s="16" t="n">
        <f aca="false" t="array" ref="J1376:J1376">IFERROR(INDEX(AC1376:AE1376,IF(COUNTA(AC1376:AE1376)=0,"",MAX((AC1376:AE1376&lt;&gt;"")*(COLUMN(AC1376:AE1376)-(COLUMN(AC1376)))))-1),"")</f>
        <v>45778</v>
      </c>
      <c r="K1376" s="16" t="n">
        <f aca="false" t="array" ref="K1376:K1376">IFERROR(INDEX(AC1376:AE1376,IF(COUNTA(AC1376:AE1376)=0,"",MAX((AC1376:AE1376&lt;&gt;"")*(COLUMN(AC1376:AE1376)-(COLUMN(AC1376)-1))))-1),"")</f>
        <v>46142</v>
      </c>
      <c r="L1376" s="17" t="str">
        <f aca="false" t="array" ref="L1376:L1376">IFERROR(INDEX(AC1376:AE1376,IF(COUNTA(AC1376:AE1376)=0,"",MAX((AC1376:AE1376&lt;&gt;"")*(COLUMN(AC1376:AE1376)-(COLUMN(AC1376)-2))))-1),"")</f>
        <v>ARCHIVED</v>
      </c>
      <c r="M1376" s="13" t="n">
        <f aca="true">K1376-TODAY()</f>
        <v>-182</v>
      </c>
      <c r="N1376" s="50" t="s">
        <v>728</v>
      </c>
      <c r="O1376" s="13" t="s">
        <v>5919</v>
      </c>
      <c r="P1376" s="19" t="n">
        <f aca="false">IFERROR(__xludf.dummyfunction("INDEX(IMPORTRANGE(""12FwpLvlsVhD_IhxpEWawHHAWVeXnjXpHARKGUQ_nP_w"",""harga rukma!H:H""),MATCH(C1376,IMPORTRANGE(""12FwpLvlsVhD_IhxpEWawHHAWVeXnjXpHARKGUQ_nP_w"",""harga rukma!B:B""),0))"),5700000)</f>
        <v>5700000</v>
      </c>
      <c r="Q1376" s="20" t="s">
        <v>6039</v>
      </c>
      <c r="R1376" s="13" t="s">
        <v>78</v>
      </c>
      <c r="S1376" s="14" t="n">
        <v>38454</v>
      </c>
      <c r="T1376" s="13" t="s">
        <v>40</v>
      </c>
      <c r="U1376" s="13" t="s">
        <v>6040</v>
      </c>
      <c r="V1376" s="13" t="s">
        <v>42</v>
      </c>
      <c r="W1376" s="13" t="s">
        <v>43</v>
      </c>
      <c r="X1376" s="21" t="n">
        <v>82229637584</v>
      </c>
      <c r="Y1376" s="22" t="str">
        <f aca="false">O1376</f>
        <v>Teknisi Reefer Container</v>
      </c>
      <c r="Z1376" s="13" t="str">
        <f aca="false">IFERROR(__xludf.dummyfunction("if(BJ1376="""","""",GOOGLETRANSLATE(BJ1376,""auto"",""en""))"),"Reefer Container Technician")</f>
        <v>Reefer Container Technician</v>
      </c>
      <c r="AA1376" s="23" t="str">
        <f aca="false">IF(C1376="","", CHOOSE(MONTH(C1376),"January","February","March","April","May","June","July","August","September","October","November","December")&amp;" "&amp;DAY(C1376)&amp;MID("thstndrdth",MIN(9,2*RIGHT(DAY(C1376))*(MOD(DAY(C1376)-11,100)&gt;2)+1),2)&amp;","&amp;TEXT(C1376," yyyy"))</f>
        <v>May 1st,2024</v>
      </c>
      <c r="AB1376" s="15" t="str">
        <f aca="true">IF(S1376="","",DATEDIF(S1376,TODAY(),"Y")&amp;" Tahun, "&amp;DATEDIF(S1376,TODAY(),"YM")&amp;" Bulan, "&amp;DATEDIF(S1376,TODAY(),"MD")&amp;" Hari")</f>
        <v>21 Tahun, 6 Bulan, 17 Hari</v>
      </c>
      <c r="AC1376" s="18" t="n">
        <v>45778</v>
      </c>
      <c r="AD1376" s="18" t="n">
        <v>46142</v>
      </c>
      <c r="AE1376" s="18" t="s">
        <v>44</v>
      </c>
    </row>
    <row r="1377" customFormat="false" ht="15" hidden="false" customHeight="true" outlineLevel="0" collapsed="false">
      <c r="A1377" s="12" t="n">
        <v>14966</v>
      </c>
      <c r="B1377" s="13" t="s">
        <v>6041</v>
      </c>
      <c r="C1377" s="14" t="n">
        <v>45413</v>
      </c>
      <c r="D1377" s="13" t="s">
        <v>5903</v>
      </c>
      <c r="E1377" s="15" t="s">
        <v>47</v>
      </c>
      <c r="F1377" s="15" t="str">
        <f aca="false">IFERROR(__xludf.dummyfunction("XLOOKUP(AJ1377,IMPORTRANGE(""1XaInW9DU9nz21V0tYIfzFQ0He9kVQ_JF2mCXgZ3hqFA"",""REKAP ALL 2026 - Andika!G:G""),IMPORTRANGE(""1XaInW9DU9nz21V0tYIfzFQ0He9kVQ_JF2mCXgZ3hqFA"",""REKAP ALL 2026 - Andika!F:F""),"""",0)"),"24075692095")</f>
        <v>24075692095</v>
      </c>
      <c r="G1377" s="15" t="s">
        <v>6042</v>
      </c>
      <c r="H1377" s="13" t="s">
        <v>35</v>
      </c>
      <c r="I1377" s="13" t="str">
        <f aca="false">IF(C1377=J1377,"NEW KONTRAK","RE-KONTRAK")</f>
        <v>RE-KONTRAK</v>
      </c>
      <c r="J1377" s="16" t="n">
        <f aca="false" t="array" ref="J1377:J1377">IFERROR(INDEX(AC1377:AE1377,IF(COUNTA(AC1377:AE1377)=0,"",MAX((AC1377:AE1377&lt;&gt;"")*(COLUMN(AC1377:AE1377)-(COLUMN(AC1377)))))-1),"")</f>
        <v>45778</v>
      </c>
      <c r="K1377" s="16" t="n">
        <f aca="false" t="array" ref="K1377:K1377">IFERROR(INDEX(AC1377:AE1377,IF(COUNTA(AC1377:AE1377)=0,"",MAX((AC1377:AE1377&lt;&gt;"")*(COLUMN(AC1377:AE1377)-(COLUMN(AC1377)-1))))-1),"")</f>
        <v>46142</v>
      </c>
      <c r="L1377" s="17" t="str">
        <f aca="false" t="array" ref="L1377:L1377">IFERROR(INDEX(AC1377:AE1377,IF(COUNTA(AC1377:AE1377)=0,"",MAX((AC1377:AE1377&lt;&gt;"")*(COLUMN(AC1377:AE1377)-(COLUMN(AC1377)-2))))-1),"")</f>
        <v>ARCHIVED</v>
      </c>
      <c r="M1377" s="13" t="n">
        <f aca="true">K1377-TODAY()</f>
        <v>-182</v>
      </c>
      <c r="N1377" s="50" t="s">
        <v>728</v>
      </c>
      <c r="O1377" s="13" t="s">
        <v>624</v>
      </c>
      <c r="P1377" s="19" t="n">
        <f aca="false">IFERROR(__xludf.dummyfunction("INDEX(IMPORTRANGE(""12FwpLvlsVhD_IhxpEWawHHAWVeXnjXpHARKGUQ_nP_w"",""harga rukma!H:H""),MATCH(C1377,IMPORTRANGE(""12FwpLvlsVhD_IhxpEWawHHAWVeXnjXpHARKGUQ_nP_w"",""harga rukma!B:B""),0))"),3640000)</f>
        <v>3640000</v>
      </c>
      <c r="Q1377" s="20" t="s">
        <v>6043</v>
      </c>
      <c r="R1377" s="13" t="s">
        <v>52</v>
      </c>
      <c r="S1377" s="14" t="n">
        <v>37623</v>
      </c>
      <c r="T1377" s="13" t="s">
        <v>40</v>
      </c>
      <c r="U1377" s="13" t="s">
        <v>6044</v>
      </c>
      <c r="V1377" s="13" t="s">
        <v>42</v>
      </c>
      <c r="W1377" s="13" t="s">
        <v>43</v>
      </c>
      <c r="X1377" s="21" t="n">
        <v>81216874512</v>
      </c>
      <c r="Y1377" s="22" t="str">
        <f aca="false">O1377</f>
        <v>Quality Control</v>
      </c>
      <c r="Z1377" s="13" t="str">
        <f aca="false">IFERROR(__xludf.dummyfunction("if(BJ1377="""","""",GOOGLETRANSLATE(BJ1377,""auto"",""en""))"),"Quality Control")</f>
        <v>Quality Control</v>
      </c>
      <c r="AA1377" s="23" t="str">
        <f aca="false">IF(C1377="","", CHOOSE(MONTH(C1377),"January","February","March","April","May","June","July","August","September","October","November","December")&amp;" "&amp;DAY(C1377)&amp;MID("thstndrdth",MIN(9,2*RIGHT(DAY(C1377))*(MOD(DAY(C1377)-11,100)&gt;2)+1),2)&amp;","&amp;TEXT(C1377," yyyy"))</f>
        <v>May 1st,2024</v>
      </c>
      <c r="AB1377" s="15" t="str">
        <f aca="true">IF(S1377="","",DATEDIF(S1377,TODAY(),"Y")&amp;" Tahun, "&amp;DATEDIF(S1377,TODAY(),"YM")&amp;" Bulan, "&amp;DATEDIF(S1377,TODAY(),"MD")&amp;" Hari")</f>
        <v>23 Tahun, 9 Bulan, 27 Hari</v>
      </c>
      <c r="AC1377" s="18" t="n">
        <v>45778</v>
      </c>
      <c r="AD1377" s="18" t="n">
        <v>46142</v>
      </c>
      <c r="AE1377" s="18" t="s">
        <v>44</v>
      </c>
    </row>
    <row r="1378" customFormat="false" ht="15" hidden="false" customHeight="true" outlineLevel="0" collapsed="false">
      <c r="A1378" s="12" t="n">
        <v>14967</v>
      </c>
      <c r="B1378" s="13" t="s">
        <v>6045</v>
      </c>
      <c r="C1378" s="14" t="n">
        <v>45413</v>
      </c>
      <c r="D1378" s="13" t="s">
        <v>5903</v>
      </c>
      <c r="E1378" s="15" t="s">
        <v>47</v>
      </c>
      <c r="F1378" s="15" t="str">
        <f aca="false">IFERROR(__xludf.dummyfunction("XLOOKUP(AJ1378,IMPORTRANGE(""1XaInW9DU9nz21V0tYIfzFQ0He9kVQ_JF2mCXgZ3hqFA"",""REKAP ALL 2026 - Andika!G:G""),IMPORTRANGE(""1XaInW9DU9nz21V0tYIfzFQ0He9kVQ_JF2mCXgZ3hqFA"",""REKAP ALL 2026 - Andika!F:F""),"""",0)"),"24075692103")</f>
        <v>24075692103</v>
      </c>
      <c r="G1378" s="15" t="s">
        <v>6046</v>
      </c>
      <c r="H1378" s="13" t="s">
        <v>35</v>
      </c>
      <c r="I1378" s="13" t="str">
        <f aca="false">IF(C1378=J1378,"NEW KONTRAK","RE-KONTRAK")</f>
        <v>RE-KONTRAK</v>
      </c>
      <c r="J1378" s="16" t="n">
        <f aca="false" t="array" ref="J1378:J1378">IFERROR(INDEX(AC1378:AE1378,IF(COUNTA(AC1378:AE1378)=0,"",MAX((AC1378:AE1378&lt;&gt;"")*(COLUMN(AC1378:AE1378)-(COLUMN(AC1378)))))-1),"")</f>
        <v>45778</v>
      </c>
      <c r="K1378" s="16" t="n">
        <f aca="false" t="array" ref="K1378:K1378">IFERROR(INDEX(AC1378:AE1378,IF(COUNTA(AC1378:AE1378)=0,"",MAX((AC1378:AE1378&lt;&gt;"")*(COLUMN(AC1378:AE1378)-(COLUMN(AC1378)-1))))-1),"")</f>
        <v>46142</v>
      </c>
      <c r="L1378" s="17" t="str">
        <f aca="false" t="array" ref="L1378:L1378">IFERROR(INDEX(AC1378:AE1378,IF(COUNTA(AC1378:AE1378)=0,"",MAX((AC1378:AE1378&lt;&gt;"")*(COLUMN(AC1378:AE1378)-(COLUMN(AC1378)-2))))-1),"")</f>
        <v>ARCHIVED</v>
      </c>
      <c r="M1378" s="13" t="n">
        <f aca="true">K1378-TODAY()</f>
        <v>-182</v>
      </c>
      <c r="N1378" s="50" t="s">
        <v>728</v>
      </c>
      <c r="O1378" s="13" t="s">
        <v>5924</v>
      </c>
      <c r="P1378" s="19" t="n">
        <f aca="false">IFERROR(__xludf.dummyfunction("INDEX(IMPORTRANGE(""12FwpLvlsVhD_IhxpEWawHHAWVeXnjXpHARKGUQ_nP_w"",""harga rukma!H:H""),MATCH(C1378,IMPORTRANGE(""12FwpLvlsVhD_IhxpEWawHHAWVeXnjXpHARKGUQ_nP_w"",""harga rukma!B:B""),0))"),3570000)</f>
        <v>3570000</v>
      </c>
      <c r="Q1378" s="20" t="s">
        <v>6047</v>
      </c>
      <c r="R1378" s="13" t="s">
        <v>65</v>
      </c>
      <c r="S1378" s="14" t="n">
        <v>34119</v>
      </c>
      <c r="T1378" s="13" t="s">
        <v>40</v>
      </c>
      <c r="U1378" s="13" t="s">
        <v>6048</v>
      </c>
      <c r="V1378" s="13" t="s">
        <v>42</v>
      </c>
      <c r="W1378" s="13" t="s">
        <v>43</v>
      </c>
      <c r="X1378" s="21" t="n">
        <v>85733561779</v>
      </c>
      <c r="Y1378" s="22" t="str">
        <f aca="false">O1378</f>
        <v>Repair Body</v>
      </c>
      <c r="Z1378" s="13" t="str">
        <f aca="false">IFERROR(__xludf.dummyfunction("if(BJ1378="""","""",GOOGLETRANSLATE(BJ1378,""auto"",""en""))"),"Repair Body")</f>
        <v>Repair Body</v>
      </c>
      <c r="AA1378" s="23" t="str">
        <f aca="false">IF(C1378="","", CHOOSE(MONTH(C1378),"January","February","March","April","May","June","July","August","September","October","November","December")&amp;" "&amp;DAY(C1378)&amp;MID("thstndrdth",MIN(9,2*RIGHT(DAY(C1378))*(MOD(DAY(C1378)-11,100)&gt;2)+1),2)&amp;","&amp;TEXT(C1378," yyyy"))</f>
        <v>May 1st,2024</v>
      </c>
      <c r="AB1378" s="15" t="str">
        <f aca="true">IF(S1378="","",DATEDIF(S1378,TODAY(),"Y")&amp;" Tahun, "&amp;DATEDIF(S1378,TODAY(),"YM")&amp;" Bulan, "&amp;DATEDIF(S1378,TODAY(),"MD")&amp;" Hari")</f>
        <v>33 Tahun, 4 Bulan, 29 Hari</v>
      </c>
      <c r="AC1378" s="18" t="n">
        <v>45778</v>
      </c>
      <c r="AD1378" s="18" t="n">
        <v>46142</v>
      </c>
      <c r="AE1378" s="18" t="s">
        <v>44</v>
      </c>
    </row>
    <row r="1379" customFormat="false" ht="15" hidden="false" customHeight="true" outlineLevel="0" collapsed="false">
      <c r="A1379" s="12" t="n">
        <v>14968</v>
      </c>
      <c r="B1379" s="13" t="s">
        <v>6049</v>
      </c>
      <c r="C1379" s="14" t="n">
        <v>45413</v>
      </c>
      <c r="D1379" s="13" t="s">
        <v>5903</v>
      </c>
      <c r="E1379" s="15" t="s">
        <v>47</v>
      </c>
      <c r="F1379" s="15" t="str">
        <f aca="false">IFERROR(__xludf.dummyfunction("XLOOKUP(AJ1379,IMPORTRANGE(""1XaInW9DU9nz21V0tYIfzFQ0He9kVQ_JF2mCXgZ3hqFA"",""REKAP ALL 2026 - Andika!G:G""),IMPORTRANGE(""1XaInW9DU9nz21V0tYIfzFQ0He9kVQ_JF2mCXgZ3hqFA"",""REKAP ALL 2026 - Andika!F:F""),"""",0)"),"24075692160")</f>
        <v>24075692160</v>
      </c>
      <c r="G1379" s="15" t="s">
        <v>6050</v>
      </c>
      <c r="H1379" s="13" t="s">
        <v>35</v>
      </c>
      <c r="I1379" s="13" t="str">
        <f aca="false">IF(C1379=J1379,"NEW KONTRAK","RE-KONTRAK")</f>
        <v>RE-KONTRAK</v>
      </c>
      <c r="J1379" s="16" t="n">
        <f aca="false" t="array" ref="J1379:J1379">IFERROR(INDEX(AC1379:AE1379,IF(COUNTA(AC1379:AE1379)=0,"",MAX((AC1379:AE1379&lt;&gt;"")*(COLUMN(AC1379:AE1379)-(COLUMN(AC1379)))))-1),"")</f>
        <v>45778</v>
      </c>
      <c r="K1379" s="16" t="n">
        <f aca="false" t="array" ref="K1379:K1379">IFERROR(INDEX(AC1379:AE1379,IF(COUNTA(AC1379:AE1379)=0,"",MAX((AC1379:AE1379&lt;&gt;"")*(COLUMN(AC1379:AE1379)-(COLUMN(AC1379)-1))))-1),"")</f>
        <v>46142</v>
      </c>
      <c r="L1379" s="17" t="str">
        <f aca="false" t="array" ref="L1379:L1379">IFERROR(INDEX(AC1379:AE1379,IF(COUNTA(AC1379:AE1379)=0,"",MAX((AC1379:AE1379&lt;&gt;"")*(COLUMN(AC1379:AE1379)-(COLUMN(AC1379)-2))))-1),"")</f>
        <v>ARCHIVED</v>
      </c>
      <c r="M1379" s="13" t="n">
        <f aca="true">K1379-TODAY()</f>
        <v>-182</v>
      </c>
      <c r="N1379" s="50" t="s">
        <v>728</v>
      </c>
      <c r="O1379" s="13" t="s">
        <v>6051</v>
      </c>
      <c r="P1379" s="19" t="n">
        <f aca="false">IFERROR(__xludf.dummyfunction("INDEX(IMPORTRANGE(""12FwpLvlsVhD_IhxpEWawHHAWVeXnjXpHARKGUQ_nP_w"",""harga rukma!H:H""),MATCH(C1379,IMPORTRANGE(""12FwpLvlsVhD_IhxpEWawHHAWVeXnjXpHARKGUQ_nP_w"",""harga rukma!B:B""),0))"),3780000)</f>
        <v>3780000</v>
      </c>
      <c r="Q1379" s="20" t="s">
        <v>6052</v>
      </c>
      <c r="R1379" s="13" t="s">
        <v>73</v>
      </c>
      <c r="S1379" s="14" t="n">
        <v>30757</v>
      </c>
      <c r="T1379" s="13" t="s">
        <v>40</v>
      </c>
      <c r="U1379" s="13" t="s">
        <v>6053</v>
      </c>
      <c r="V1379" s="13" t="s">
        <v>42</v>
      </c>
      <c r="W1379" s="13" t="s">
        <v>54</v>
      </c>
      <c r="X1379" s="21" t="n">
        <v>85607036995</v>
      </c>
      <c r="Y1379" s="22" t="str">
        <f aca="false">O1379</f>
        <v>Repair Chasis</v>
      </c>
      <c r="Z1379" s="13" t="str">
        <f aca="false">IFERROR(__xludf.dummyfunction("if(BJ1379="""","""",GOOGLETRANSLATE(BJ1379,""auto"",""en""))"),"Chassis Repair")</f>
        <v>Chassis Repair</v>
      </c>
      <c r="AA1379" s="23" t="str">
        <f aca="false">IF(C1379="","", CHOOSE(MONTH(C1379),"January","February","March","April","May","June","July","August","September","October","November","December")&amp;" "&amp;DAY(C1379)&amp;MID("thstndrdth",MIN(9,2*RIGHT(DAY(C1379))*(MOD(DAY(C1379)-11,100)&gt;2)+1),2)&amp;","&amp;TEXT(C1379," yyyy"))</f>
        <v>May 1st,2024</v>
      </c>
      <c r="AB1379" s="15" t="str">
        <f aca="true">IF(S1379="","",DATEDIF(S1379,TODAY(),"Y")&amp;" Tahun, "&amp;DATEDIF(S1379,TODAY(),"YM")&amp;" Bulan, "&amp;DATEDIF(S1379,TODAY(),"MD")&amp;" Hari")</f>
        <v>42 Tahun, 7 Bulan, 13 Hari</v>
      </c>
      <c r="AC1379" s="18" t="n">
        <v>45778</v>
      </c>
      <c r="AD1379" s="18" t="n">
        <v>46142</v>
      </c>
      <c r="AE1379" s="18" t="s">
        <v>44</v>
      </c>
    </row>
    <row r="1380" customFormat="false" ht="15" hidden="false" customHeight="true" outlineLevel="0" collapsed="false">
      <c r="A1380" s="12" t="n">
        <v>14969</v>
      </c>
      <c r="B1380" s="13" t="s">
        <v>6054</v>
      </c>
      <c r="C1380" s="14" t="n">
        <v>45413</v>
      </c>
      <c r="D1380" s="13" t="s">
        <v>5903</v>
      </c>
      <c r="E1380" s="15" t="s">
        <v>47</v>
      </c>
      <c r="F1380" s="15" t="str">
        <f aca="false">IFERROR(__xludf.dummyfunction("XLOOKUP(AJ1380,IMPORTRANGE(""1XaInW9DU9nz21V0tYIfzFQ0He9kVQ_JF2mCXgZ3hqFA"",""REKAP ALL 2026 - Andika!G:G""),IMPORTRANGE(""1XaInW9DU9nz21V0tYIfzFQ0He9kVQ_JF2mCXgZ3hqFA"",""REKAP ALL 2026 - Andika!F:F""),"""",0)"),"24075692244")</f>
        <v>24075692244</v>
      </c>
      <c r="G1380" s="15" t="s">
        <v>6055</v>
      </c>
      <c r="H1380" s="13" t="s">
        <v>35</v>
      </c>
      <c r="I1380" s="13" t="str">
        <f aca="false">IF(C1380=J1380,"NEW KONTRAK","RE-KONTRAK")</f>
        <v>RE-KONTRAK</v>
      </c>
      <c r="J1380" s="16" t="n">
        <f aca="false" t="array" ref="J1380:J1380">IFERROR(INDEX(AC1380:AE1380,IF(COUNTA(AC1380:AE1380)=0,"",MAX((AC1380:AE1380&lt;&gt;"")*(COLUMN(AC1380:AE1380)-(COLUMN(AC1380)))))-1),"")</f>
        <v>45778</v>
      </c>
      <c r="K1380" s="16" t="n">
        <f aca="false" t="array" ref="K1380:K1380">IFERROR(INDEX(AC1380:AE1380,IF(COUNTA(AC1380:AE1380)=0,"",MAX((AC1380:AE1380&lt;&gt;"")*(COLUMN(AC1380:AE1380)-(COLUMN(AC1380)-1))))-1),"")</f>
        <v>46142</v>
      </c>
      <c r="L1380" s="17" t="str">
        <f aca="false" t="array" ref="L1380:L1380">IFERROR(INDEX(AC1380:AE1380,IF(COUNTA(AC1380:AE1380)=0,"",MAX((AC1380:AE1380&lt;&gt;"")*(COLUMN(AC1380:AE1380)-(COLUMN(AC1380)-2))))-1),"")</f>
        <v>ARCHIVED</v>
      </c>
      <c r="M1380" s="13" t="n">
        <f aca="true">K1380-TODAY()</f>
        <v>-182</v>
      </c>
      <c r="N1380" s="50" t="s">
        <v>728</v>
      </c>
      <c r="O1380" s="13" t="s">
        <v>5919</v>
      </c>
      <c r="P1380" s="19" t="n">
        <f aca="false">IFERROR(__xludf.dummyfunction("INDEX(IMPORTRANGE(""12FwpLvlsVhD_IhxpEWawHHAWVeXnjXpHARKGUQ_nP_w"",""harga rukma!H:H""),MATCH(C1380,IMPORTRANGE(""12FwpLvlsVhD_IhxpEWawHHAWVeXnjXpHARKGUQ_nP_w"",""harga rukma!B:B""),0))"),4400000)</f>
        <v>4400000</v>
      </c>
      <c r="Q1380" s="20" t="s">
        <v>6056</v>
      </c>
      <c r="R1380" s="13" t="s">
        <v>255</v>
      </c>
      <c r="S1380" s="14" t="n">
        <v>37223</v>
      </c>
      <c r="T1380" s="13" t="s">
        <v>40</v>
      </c>
      <c r="U1380" s="13" t="s">
        <v>6057</v>
      </c>
      <c r="V1380" s="13" t="s">
        <v>42</v>
      </c>
      <c r="W1380" s="13" t="s">
        <v>43</v>
      </c>
      <c r="X1380" s="21" t="n">
        <v>81248462039</v>
      </c>
      <c r="Y1380" s="22" t="str">
        <f aca="false">O1380</f>
        <v>Teknisi Reefer Container</v>
      </c>
      <c r="Z1380" s="13" t="str">
        <f aca="false">IFERROR(__xludf.dummyfunction("if(BJ1380="""","""",GOOGLETRANSLATE(BJ1380,""auto"",""en""))"),"Reefer Container Technician")</f>
        <v>Reefer Container Technician</v>
      </c>
      <c r="AA1380" s="23" t="str">
        <f aca="false">IF(C1380="","", CHOOSE(MONTH(C1380),"January","February","March","April","May","June","July","August","September","October","November","December")&amp;" "&amp;DAY(C1380)&amp;MID("thstndrdth",MIN(9,2*RIGHT(DAY(C1380))*(MOD(DAY(C1380)-11,100)&gt;2)+1),2)&amp;","&amp;TEXT(C1380," yyyy"))</f>
        <v>May 1st,2024</v>
      </c>
      <c r="AB1380" s="15" t="str">
        <f aca="true">IF(S1380="","",DATEDIF(S1380,TODAY(),"Y")&amp;" Tahun, "&amp;DATEDIF(S1380,TODAY(),"YM")&amp;" Bulan, "&amp;DATEDIF(S1380,TODAY(),"MD")&amp;" Hari")</f>
        <v>24 Tahun, 11 Bulan, 1 Hari</v>
      </c>
      <c r="AC1380" s="18" t="n">
        <v>45778</v>
      </c>
      <c r="AD1380" s="18" t="n">
        <v>46142</v>
      </c>
      <c r="AE1380" s="18" t="s">
        <v>44</v>
      </c>
    </row>
    <row r="1381" customFormat="false" ht="15" hidden="false" customHeight="true" outlineLevel="0" collapsed="false">
      <c r="A1381" s="12" t="n">
        <v>14971</v>
      </c>
      <c r="B1381" s="13" t="s">
        <v>6058</v>
      </c>
      <c r="C1381" s="14" t="n">
        <v>45413</v>
      </c>
      <c r="D1381" s="13" t="s">
        <v>5903</v>
      </c>
      <c r="E1381" s="15" t="s">
        <v>47</v>
      </c>
      <c r="F1381" s="15" t="str">
        <f aca="false">IFERROR(__xludf.dummyfunction("XLOOKUP(AJ1381,IMPORTRANGE(""1XaInW9DU9nz21V0tYIfzFQ0He9kVQ_JF2mCXgZ3hqFA"",""REKAP ALL 2026 - Andika!G:G""),IMPORTRANGE(""1XaInW9DU9nz21V0tYIfzFQ0He9kVQ_JF2mCXgZ3hqFA"",""REKAP ALL 2026 - Andika!F:F""),"""",0)"),"24075692285")</f>
        <v>24075692285</v>
      </c>
      <c r="G1381" s="15" t="s">
        <v>6059</v>
      </c>
      <c r="H1381" s="13" t="s">
        <v>35</v>
      </c>
      <c r="I1381" s="13" t="str">
        <f aca="false">IF(C1381=J1381,"NEW KONTRAK","RE-KONTRAK")</f>
        <v>RE-KONTRAK</v>
      </c>
      <c r="J1381" s="16" t="n">
        <f aca="false" t="array" ref="J1381:J1381">IFERROR(INDEX(AC1381:AE1381,IF(COUNTA(AC1381:AE1381)=0,"",MAX((AC1381:AE1381&lt;&gt;"")*(COLUMN(AC1381:AE1381)-(COLUMN(AC1381)))))-1),"")</f>
        <v>45778</v>
      </c>
      <c r="K1381" s="16" t="n">
        <f aca="false" t="array" ref="K1381:K1381">IFERROR(INDEX(AC1381:AE1381,IF(COUNTA(AC1381:AE1381)=0,"",MAX((AC1381:AE1381&lt;&gt;"")*(COLUMN(AC1381:AE1381)-(COLUMN(AC1381)-1))))-1),"")</f>
        <v>46142</v>
      </c>
      <c r="L1381" s="17" t="str">
        <f aca="false" t="array" ref="L1381:L1381">IFERROR(INDEX(AC1381:AE1381,IF(COUNTA(AC1381:AE1381)=0,"",MAX((AC1381:AE1381&lt;&gt;"")*(COLUMN(AC1381:AE1381)-(COLUMN(AC1381)-2))))-1),"")</f>
        <v>ARCHIVED</v>
      </c>
      <c r="M1381" s="13" t="n">
        <f aca="true">K1381-TODAY()</f>
        <v>-182</v>
      </c>
      <c r="N1381" s="50" t="s">
        <v>728</v>
      </c>
      <c r="O1381" s="13" t="s">
        <v>5919</v>
      </c>
      <c r="P1381" s="19" t="n">
        <f aca="false">IFERROR(__xludf.dummyfunction("INDEX(IMPORTRANGE(""12FwpLvlsVhD_IhxpEWawHHAWVeXnjXpHARKGUQ_nP_w"",""harga rukma!H:H""),MATCH(C1381,IMPORTRANGE(""12FwpLvlsVhD_IhxpEWawHHAWVeXnjXpHARKGUQ_nP_w"",""harga rukma!B:B""),0))"),5300000)</f>
        <v>5300000</v>
      </c>
      <c r="Q1381" s="20" t="s">
        <v>6060</v>
      </c>
      <c r="R1381" s="13" t="s">
        <v>60</v>
      </c>
      <c r="S1381" s="14" t="n">
        <v>35616</v>
      </c>
      <c r="T1381" s="13" t="s">
        <v>40</v>
      </c>
      <c r="U1381" s="13" t="s">
        <v>6061</v>
      </c>
      <c r="V1381" s="13" t="s">
        <v>42</v>
      </c>
      <c r="W1381" s="13" t="s">
        <v>43</v>
      </c>
      <c r="X1381" s="21" t="n">
        <v>85755196815</v>
      </c>
      <c r="Y1381" s="22" t="str">
        <f aca="false">O1381</f>
        <v>Teknisi Reefer Container</v>
      </c>
      <c r="Z1381" s="13" t="str">
        <f aca="false">IFERROR(__xludf.dummyfunction("if(BJ1381="""","""",GOOGLETRANSLATE(BJ1381,""auto"",""en""))"),"Reefer Container Technician")</f>
        <v>Reefer Container Technician</v>
      </c>
      <c r="AA1381" s="23" t="str">
        <f aca="false">IF(C1381="","", CHOOSE(MONTH(C1381),"January","February","March","April","May","June","July","August","September","October","November","December")&amp;" "&amp;DAY(C1381)&amp;MID("thstndrdth",MIN(9,2*RIGHT(DAY(C1381))*(MOD(DAY(C1381)-11,100)&gt;2)+1),2)&amp;","&amp;TEXT(C1381," yyyy"))</f>
        <v>May 1st,2024</v>
      </c>
      <c r="AB1381" s="15" t="str">
        <f aca="true">IF(S1381="","",DATEDIF(S1381,TODAY(),"Y")&amp;" Tahun, "&amp;DATEDIF(S1381,TODAY(),"YM")&amp;" Bulan, "&amp;DATEDIF(S1381,TODAY(),"MD")&amp;" Hari")</f>
        <v>29 Tahun, 3 Bulan, 24 Hari</v>
      </c>
      <c r="AC1381" s="18" t="n">
        <v>45778</v>
      </c>
      <c r="AD1381" s="18" t="n">
        <v>46142</v>
      </c>
      <c r="AE1381" s="18" t="s">
        <v>44</v>
      </c>
    </row>
    <row r="1382" customFormat="false" ht="15" hidden="false" customHeight="true" outlineLevel="0" collapsed="false">
      <c r="A1382" s="12" t="n">
        <v>14972</v>
      </c>
      <c r="B1382" s="13" t="s">
        <v>6062</v>
      </c>
      <c r="C1382" s="14" t="n">
        <v>45413</v>
      </c>
      <c r="D1382" s="13" t="s">
        <v>5903</v>
      </c>
      <c r="E1382" s="15" t="s">
        <v>47</v>
      </c>
      <c r="F1382" s="15" t="str">
        <f aca="false">IFERROR(__xludf.dummyfunction("XLOOKUP(AJ1382,IMPORTRANGE(""1XaInW9DU9nz21V0tYIfzFQ0He9kVQ_JF2mCXgZ3hqFA"",""REKAP ALL 2026 - Andika!G:G""),IMPORTRANGE(""1XaInW9DU9nz21V0tYIfzFQ0He9kVQ_JF2mCXgZ3hqFA"",""REKAP ALL 2026 - Andika!F:F""),"""",0)"),"24075692301")</f>
        <v>24075692301</v>
      </c>
      <c r="G1382" s="15" t="s">
        <v>6063</v>
      </c>
      <c r="H1382" s="13" t="s">
        <v>35</v>
      </c>
      <c r="I1382" s="13" t="str">
        <f aca="false">IF(C1382=J1382,"NEW KONTRAK","RE-KONTRAK")</f>
        <v>RE-KONTRAK</v>
      </c>
      <c r="J1382" s="16" t="n">
        <f aca="false" t="array" ref="J1382:J1382">IFERROR(INDEX(AC1382:AE1382,IF(COUNTA(AC1382:AE1382)=0,"",MAX((AC1382:AE1382&lt;&gt;"")*(COLUMN(AC1382:AE1382)-(COLUMN(AC1382)))))-1),"")</f>
        <v>45778</v>
      </c>
      <c r="K1382" s="16" t="n">
        <f aca="false" t="array" ref="K1382:K1382">IFERROR(INDEX(AC1382:AE1382,IF(COUNTA(AC1382:AE1382)=0,"",MAX((AC1382:AE1382&lt;&gt;"")*(COLUMN(AC1382:AE1382)-(COLUMN(AC1382)-1))))-1),"")</f>
        <v>46142</v>
      </c>
      <c r="L1382" s="17" t="str">
        <f aca="false" t="array" ref="L1382:L1382">IFERROR(INDEX(AC1382:AE1382,IF(COUNTA(AC1382:AE1382)=0,"",MAX((AC1382:AE1382&lt;&gt;"")*(COLUMN(AC1382:AE1382)-(COLUMN(AC1382)-2))))-1),"")</f>
        <v>ARCHIVED</v>
      </c>
      <c r="M1382" s="13" t="n">
        <f aca="true">K1382-TODAY()</f>
        <v>-182</v>
      </c>
      <c r="N1382" s="50" t="s">
        <v>728</v>
      </c>
      <c r="O1382" s="13" t="s">
        <v>6064</v>
      </c>
      <c r="P1382" s="19" t="n">
        <f aca="false">IFERROR(__xludf.dummyfunction("INDEX(IMPORTRANGE(""12FwpLvlsVhD_IhxpEWawHHAWVeXnjXpHARKGUQ_nP_w"",""harga rukma!H:H""),MATCH(C1382,IMPORTRANGE(""12FwpLvlsVhD_IhxpEWawHHAWVeXnjXpHARKGUQ_nP_w"",""harga rukma!B:B""),0))"),3500000)</f>
        <v>3500000</v>
      </c>
      <c r="Q1382" s="20" t="s">
        <v>6065</v>
      </c>
      <c r="R1382" s="13" t="s">
        <v>4950</v>
      </c>
      <c r="S1382" s="14" t="n">
        <v>34664</v>
      </c>
      <c r="T1382" s="13" t="s">
        <v>40</v>
      </c>
      <c r="U1382" s="13" t="s">
        <v>6066</v>
      </c>
      <c r="V1382" s="13" t="s">
        <v>42</v>
      </c>
      <c r="W1382" s="13" t="s">
        <v>43</v>
      </c>
      <c r="X1382" s="21" t="n">
        <v>81395206383</v>
      </c>
      <c r="Y1382" s="22" t="str">
        <f aca="false">O1382</f>
        <v>Reeferman Layar</v>
      </c>
      <c r="Z1382" s="13" t="str">
        <f aca="false">IFERROR(__xludf.dummyfunction("if(BJ1382="""","""",GOOGLETRANSLATE(BJ1382,""auto"",""en""))"),"Reeferman Screen")</f>
        <v>Reeferman Screen</v>
      </c>
      <c r="AA1382" s="23" t="str">
        <f aca="false">IF(C1382="","", CHOOSE(MONTH(C1382),"January","February","March","April","May","June","July","August","September","October","November","December")&amp;" "&amp;DAY(C1382)&amp;MID("thstndrdth",MIN(9,2*RIGHT(DAY(C1382))*(MOD(DAY(C1382)-11,100)&gt;2)+1),2)&amp;","&amp;TEXT(C1382," yyyy"))</f>
        <v>May 1st,2024</v>
      </c>
      <c r="AB1382" s="15" t="str">
        <f aca="true">IF(S1382="","",DATEDIF(S1382,TODAY(),"Y")&amp;" Tahun, "&amp;DATEDIF(S1382,TODAY(),"YM")&amp;" Bulan, "&amp;DATEDIF(S1382,TODAY(),"MD")&amp;" Hari")</f>
        <v>31 Tahun, 11 Bulan, 3 Hari</v>
      </c>
      <c r="AC1382" s="18" t="n">
        <v>45778</v>
      </c>
      <c r="AD1382" s="18" t="n">
        <v>46142</v>
      </c>
      <c r="AE1382" s="18" t="s">
        <v>44</v>
      </c>
    </row>
    <row r="1383" customFormat="false" ht="15" hidden="false" customHeight="true" outlineLevel="0" collapsed="false">
      <c r="A1383" s="12" t="n">
        <v>14973</v>
      </c>
      <c r="B1383" s="13" t="s">
        <v>6067</v>
      </c>
      <c r="C1383" s="14" t="n">
        <v>45413</v>
      </c>
      <c r="D1383" s="13" t="s">
        <v>5903</v>
      </c>
      <c r="E1383" s="15" t="s">
        <v>47</v>
      </c>
      <c r="F1383" s="15" t="str">
        <f aca="false">IFERROR(__xludf.dummyfunction("XLOOKUP(AJ1383,IMPORTRANGE(""1XaInW9DU9nz21V0tYIfzFQ0He9kVQ_JF2mCXgZ3hqFA"",""REKAP ALL 2026 - Andika!G:G""),IMPORTRANGE(""1XaInW9DU9nz21V0tYIfzFQ0He9kVQ_JF2mCXgZ3hqFA"",""REKAP ALL 2026 - Andika!F:F""),"""",0)"),"24075692327")</f>
        <v>24075692327</v>
      </c>
      <c r="G1383" s="15" t="s">
        <v>6068</v>
      </c>
      <c r="H1383" s="13" t="s">
        <v>35</v>
      </c>
      <c r="I1383" s="13" t="str">
        <f aca="false">IF(C1383=J1383,"NEW KONTRAK","RE-KONTRAK")</f>
        <v>RE-KONTRAK</v>
      </c>
      <c r="J1383" s="16" t="n">
        <f aca="false" t="array" ref="J1383:J1383">IFERROR(INDEX(AC1383:AE1383,IF(COUNTA(AC1383:AE1383)=0,"",MAX((AC1383:AE1383&lt;&gt;"")*(COLUMN(AC1383:AE1383)-(COLUMN(AC1383)))))-1),"")</f>
        <v>45778</v>
      </c>
      <c r="K1383" s="16" t="n">
        <f aca="false" t="array" ref="K1383:K1383">IFERROR(INDEX(AC1383:AE1383,IF(COUNTA(AC1383:AE1383)=0,"",MAX((AC1383:AE1383&lt;&gt;"")*(COLUMN(AC1383:AE1383)-(COLUMN(AC1383)-1))))-1),"")</f>
        <v>46142</v>
      </c>
      <c r="L1383" s="17" t="str">
        <f aca="false" t="array" ref="L1383:L1383">IFERROR(INDEX(AC1383:AE1383,IF(COUNTA(AC1383:AE1383)=0,"",MAX((AC1383:AE1383&lt;&gt;"")*(COLUMN(AC1383:AE1383)-(COLUMN(AC1383)-2))))-1),"")</f>
        <v>ARCHIVED</v>
      </c>
      <c r="M1383" s="13" t="n">
        <f aca="true">K1383-TODAY()</f>
        <v>-182</v>
      </c>
      <c r="N1383" s="50" t="s">
        <v>728</v>
      </c>
      <c r="O1383" s="13" t="s">
        <v>5919</v>
      </c>
      <c r="P1383" s="19" t="n">
        <f aca="false">IFERROR(__xludf.dummyfunction("INDEX(IMPORTRANGE(""12FwpLvlsVhD_IhxpEWawHHAWVeXnjXpHARKGUQ_nP_w"",""harga rukma!H:H""),MATCH(C1383,IMPORTRANGE(""12FwpLvlsVhD_IhxpEWawHHAWVeXnjXpHARKGUQ_nP_w"",""harga rukma!B:B""),0))"),3000000)</f>
        <v>3000000</v>
      </c>
      <c r="Q1383" s="20" t="s">
        <v>6069</v>
      </c>
      <c r="R1383" s="13" t="s">
        <v>78</v>
      </c>
      <c r="S1383" s="14" t="n">
        <v>37740</v>
      </c>
      <c r="T1383" s="13" t="s">
        <v>40</v>
      </c>
      <c r="U1383" s="13" t="s">
        <v>6014</v>
      </c>
      <c r="V1383" s="13" t="s">
        <v>42</v>
      </c>
      <c r="W1383" s="13" t="s">
        <v>43</v>
      </c>
      <c r="X1383" s="21" t="n">
        <v>85179610626</v>
      </c>
      <c r="Y1383" s="22" t="str">
        <f aca="false">O1383</f>
        <v>Teknisi Reefer Container</v>
      </c>
      <c r="Z1383" s="13" t="str">
        <f aca="false">IFERROR(__xludf.dummyfunction("if(BJ1383="""","""",GOOGLETRANSLATE(BJ1383,""auto"",""en""))"),"Reefer Container Technician")</f>
        <v>Reefer Container Technician</v>
      </c>
      <c r="AA1383" s="23" t="str">
        <f aca="false">IF(C1383="","", CHOOSE(MONTH(C1383),"January","February","March","April","May","June","July","August","September","October","November","December")&amp;" "&amp;DAY(C1383)&amp;MID("thstndrdth",MIN(9,2*RIGHT(DAY(C1383))*(MOD(DAY(C1383)-11,100)&gt;2)+1),2)&amp;","&amp;TEXT(C1383," yyyy"))</f>
        <v>May 1st,2024</v>
      </c>
      <c r="AB1383" s="15" t="str">
        <f aca="true">IF(S1383="","",DATEDIF(S1383,TODAY(),"Y")&amp;" Tahun, "&amp;DATEDIF(S1383,TODAY(),"YM")&amp;" Bulan, "&amp;DATEDIF(S1383,TODAY(),"MD")&amp;" Hari")</f>
        <v>23 Tahun, 6 Bulan, 0 Hari</v>
      </c>
      <c r="AC1383" s="18" t="n">
        <v>45778</v>
      </c>
      <c r="AD1383" s="18" t="n">
        <v>46142</v>
      </c>
      <c r="AE1383" s="18" t="s">
        <v>44</v>
      </c>
    </row>
    <row r="1384" customFormat="false" ht="15" hidden="false" customHeight="true" outlineLevel="0" collapsed="false">
      <c r="A1384" s="12" t="n">
        <v>14974</v>
      </c>
      <c r="B1384" s="13" t="s">
        <v>6070</v>
      </c>
      <c r="C1384" s="14" t="n">
        <v>45413</v>
      </c>
      <c r="D1384" s="13" t="s">
        <v>5903</v>
      </c>
      <c r="E1384" s="15" t="s">
        <v>33</v>
      </c>
      <c r="F1384" s="24" t="s">
        <v>6071</v>
      </c>
      <c r="G1384" s="15" t="s">
        <v>6072</v>
      </c>
      <c r="H1384" s="13" t="s">
        <v>35</v>
      </c>
      <c r="I1384" s="13" t="str">
        <f aca="false">IF(C1384=J1384,"NEW KONTRAK","RE-KONTRAK")</f>
        <v>RE-KONTRAK</v>
      </c>
      <c r="J1384" s="16" t="n">
        <f aca="false" t="array" ref="J1384:J1384">IFERROR(INDEX(AC1384:AE1384,IF(COUNTA(AC1384:AE1384)=0,"",MAX((AC1384:AE1384&lt;&gt;"")*(COLUMN(AC1384:AE1384)-(COLUMN(AC1384)))))-1),"")</f>
        <v>45778</v>
      </c>
      <c r="K1384" s="16" t="n">
        <f aca="false" t="array" ref="K1384:K1384">IFERROR(INDEX(AC1384:AE1384,IF(COUNTA(AC1384:AE1384)=0,"",MAX((AC1384:AE1384&lt;&gt;"")*(COLUMN(AC1384:AE1384)-(COLUMN(AC1384)-1))))-1),"")</f>
        <v>46142</v>
      </c>
      <c r="L1384" s="17" t="str">
        <f aca="false" t="array" ref="L1384:L1384">IFERROR(INDEX(AC1384:AE1384,IF(COUNTA(AC1384:AE1384)=0,"",MAX((AC1384:AE1384&lt;&gt;"")*(COLUMN(AC1384:AE1384)-(COLUMN(AC1384)-2))))-1),"")</f>
        <v>ARCHIVED</v>
      </c>
      <c r="M1384" s="13" t="n">
        <f aca="true">K1384-TODAY()</f>
        <v>-182</v>
      </c>
      <c r="N1384" s="18" t="s">
        <v>6073</v>
      </c>
      <c r="O1384" s="13" t="s">
        <v>5919</v>
      </c>
      <c r="P1384" s="27" t="n">
        <v>2800000</v>
      </c>
      <c r="Q1384" s="20" t="s">
        <v>6074</v>
      </c>
      <c r="R1384" s="13" t="s">
        <v>78</v>
      </c>
      <c r="S1384" s="14" t="n">
        <v>37772</v>
      </c>
      <c r="T1384" s="13" t="s">
        <v>40</v>
      </c>
      <c r="U1384" s="13" t="s">
        <v>6075</v>
      </c>
      <c r="V1384" s="13" t="s">
        <v>42</v>
      </c>
      <c r="W1384" s="13" t="s">
        <v>43</v>
      </c>
      <c r="X1384" s="21" t="n">
        <v>85895975884</v>
      </c>
      <c r="Y1384" s="22" t="str">
        <f aca="false">O1384</f>
        <v>Teknisi Reefer Container</v>
      </c>
      <c r="Z1384" s="13" t="str">
        <f aca="false">IFERROR(__xludf.dummyfunction("if(BJ1384="""","""",GOOGLETRANSLATE(BJ1384,""auto"",""en""))"),"Reefer Container Technician")</f>
        <v>Reefer Container Technician</v>
      </c>
      <c r="AA1384" s="23" t="str">
        <f aca="false">IF(C1384="","", CHOOSE(MONTH(C1384),"January","February","March","April","May","June","July","August","September","October","November","December")&amp;" "&amp;DAY(C1384)&amp;MID("thstndrdth",MIN(9,2*RIGHT(DAY(C1384))*(MOD(DAY(C1384)-11,100)&gt;2)+1),2)&amp;","&amp;TEXT(C1384," yyyy"))</f>
        <v>May 1st,2024</v>
      </c>
      <c r="AB1384" s="15" t="str">
        <f aca="true">IF(S1384="","",DATEDIF(S1384,TODAY(),"Y")&amp;" Tahun, "&amp;DATEDIF(S1384,TODAY(),"YM")&amp;" Bulan, "&amp;DATEDIF(S1384,TODAY(),"MD")&amp;" Hari")</f>
        <v>23 Tahun, 4 Bulan, 28 Hari</v>
      </c>
      <c r="AC1384" s="18" t="n">
        <v>45778</v>
      </c>
      <c r="AD1384" s="18" t="n">
        <v>46142</v>
      </c>
      <c r="AE1384" s="18" t="s">
        <v>44</v>
      </c>
    </row>
    <row r="1385" customFormat="false" ht="15" hidden="false" customHeight="true" outlineLevel="0" collapsed="false">
      <c r="A1385" s="12" t="n">
        <v>14975</v>
      </c>
      <c r="B1385" s="13" t="s">
        <v>6076</v>
      </c>
      <c r="C1385" s="14" t="n">
        <v>45413</v>
      </c>
      <c r="D1385" s="13" t="s">
        <v>5903</v>
      </c>
      <c r="E1385" s="15" t="s">
        <v>47</v>
      </c>
      <c r="F1385" s="15" t="str">
        <f aca="false">IFERROR(__xludf.dummyfunction("XLOOKUP(AJ1385,IMPORTRANGE(""1XaInW9DU9nz21V0tYIfzFQ0He9kVQ_JF2mCXgZ3hqFA"",""REKAP ALL 2026 - Andika!G:G""),IMPORTRANGE(""1XaInW9DU9nz21V0tYIfzFQ0He9kVQ_JF2mCXgZ3hqFA"",""REKAP ALL 2026 - Andika!F:F""),"""",0)"),"24075691873")</f>
        <v>24075691873</v>
      </c>
      <c r="G1385" s="15" t="s">
        <v>6077</v>
      </c>
      <c r="H1385" s="13" t="s">
        <v>35</v>
      </c>
      <c r="I1385" s="13" t="str">
        <f aca="false">IF(C1385=J1385,"NEW KONTRAK","RE-KONTRAK")</f>
        <v>RE-KONTRAK</v>
      </c>
      <c r="J1385" s="16" t="n">
        <f aca="false" t="array" ref="J1385:J1385">IFERROR(INDEX(AC1385:AE1385,IF(COUNTA(AC1385:AE1385)=0,"",MAX((AC1385:AE1385&lt;&gt;"")*(COLUMN(AC1385:AE1385)-(COLUMN(AC1385)))))-1),"")</f>
        <v>45778</v>
      </c>
      <c r="K1385" s="16" t="n">
        <f aca="false" t="array" ref="K1385:K1385">IFERROR(INDEX(AC1385:AE1385,IF(COUNTA(AC1385:AE1385)=0,"",MAX((AC1385:AE1385&lt;&gt;"")*(COLUMN(AC1385:AE1385)-(COLUMN(AC1385)-1))))-1),"")</f>
        <v>46142</v>
      </c>
      <c r="L1385" s="17" t="str">
        <f aca="false" t="array" ref="L1385:L1385">IFERROR(INDEX(AC1385:AE1385,IF(COUNTA(AC1385:AE1385)=0,"",MAX((AC1385:AE1385&lt;&gt;"")*(COLUMN(AC1385:AE1385)-(COLUMN(AC1385)-2))))-1),"")</f>
        <v>ARCHIVED</v>
      </c>
      <c r="M1385" s="13" t="n">
        <f aca="true">K1385-TODAY()</f>
        <v>-182</v>
      </c>
      <c r="N1385" s="50" t="s">
        <v>728</v>
      </c>
      <c r="O1385" s="13" t="s">
        <v>6078</v>
      </c>
      <c r="P1385" s="19" t="n">
        <f aca="false">IFERROR(__xludf.dummyfunction("INDEX(IMPORTRANGE(""12FwpLvlsVhD_IhxpEWawHHAWVeXnjXpHARKGUQ_nP_w"",""harga rukma!H:H""),MATCH(C1385,IMPORTRANGE(""12FwpLvlsVhD_IhxpEWawHHAWVeXnjXpHARKGUQ_nP_w"",""harga rukma!B:B""),0))"),4472000)</f>
        <v>4472000</v>
      </c>
      <c r="Q1385" s="20" t="s">
        <v>6079</v>
      </c>
      <c r="R1385" s="13" t="s">
        <v>52</v>
      </c>
      <c r="S1385" s="14" t="n">
        <v>35954</v>
      </c>
      <c r="T1385" s="13" t="s">
        <v>40</v>
      </c>
      <c r="U1385" s="13" t="s">
        <v>5047</v>
      </c>
      <c r="V1385" s="13" t="s">
        <v>42</v>
      </c>
      <c r="W1385" s="13" t="s">
        <v>43</v>
      </c>
      <c r="X1385" s="21" t="n">
        <v>87789134363</v>
      </c>
      <c r="Y1385" s="22" t="str">
        <f aca="false">O1385</f>
        <v>Helper Mekanik Chasis</v>
      </c>
      <c r="Z1385" s="13" t="str">
        <f aca="false">IFERROR(__xludf.dummyfunction("if(BJ1385="""","""",GOOGLETRANSLATE(BJ1385,""auto"",""en""))"),"Chassis Helper Mechanic")</f>
        <v>Chassis Helper Mechanic</v>
      </c>
      <c r="AA1385" s="23" t="str">
        <f aca="false">IF(C1385="","", CHOOSE(MONTH(C1385),"January","February","March","April","May","June","July","August","September","October","November","December")&amp;" "&amp;DAY(C1385)&amp;MID("thstndrdth",MIN(9,2*RIGHT(DAY(C1385))*(MOD(DAY(C1385)-11,100)&gt;2)+1),2)&amp;","&amp;TEXT(C1385," yyyy"))</f>
        <v>May 1st,2024</v>
      </c>
      <c r="AB1385" s="15" t="str">
        <f aca="true">IF(S1385="","",DATEDIF(S1385,TODAY(),"Y")&amp;" Tahun, "&amp;DATEDIF(S1385,TODAY(),"YM")&amp;" Bulan, "&amp;DATEDIF(S1385,TODAY(),"MD")&amp;" Hari")</f>
        <v>28 Tahun, 4 Bulan, 21 Hari</v>
      </c>
      <c r="AC1385" s="18" t="n">
        <v>45778</v>
      </c>
      <c r="AD1385" s="18" t="n">
        <v>46142</v>
      </c>
      <c r="AE1385" s="18" t="s">
        <v>44</v>
      </c>
    </row>
    <row r="1386" customFormat="false" ht="15" hidden="false" customHeight="true" outlineLevel="0" collapsed="false">
      <c r="A1386" s="12" t="n">
        <v>14976</v>
      </c>
      <c r="B1386" s="13" t="s">
        <v>6080</v>
      </c>
      <c r="C1386" s="14" t="n">
        <v>45413</v>
      </c>
      <c r="D1386" s="13" t="s">
        <v>5903</v>
      </c>
      <c r="E1386" s="15" t="s">
        <v>47</v>
      </c>
      <c r="F1386" s="15" t="str">
        <f aca="false">IFERROR(__xludf.dummyfunction("XLOOKUP(AJ1386,IMPORTRANGE(""1XaInW9DU9nz21V0tYIfzFQ0He9kVQ_JF2mCXgZ3hqFA"",""REKAP ALL 2026 - Andika!G:G""),IMPORTRANGE(""1XaInW9DU9nz21V0tYIfzFQ0He9kVQ_JF2mCXgZ3hqFA"",""REKAP ALL 2026 - Andika!F:F""),"""",0)"),"24075691881")</f>
        <v>24075691881</v>
      </c>
      <c r="G1386" s="15" t="s">
        <v>6081</v>
      </c>
      <c r="H1386" s="13" t="s">
        <v>35</v>
      </c>
      <c r="I1386" s="13" t="str">
        <f aca="false">IF(C1386=J1386,"NEW KONTRAK","RE-KONTRAK")</f>
        <v>RE-KONTRAK</v>
      </c>
      <c r="J1386" s="16" t="n">
        <f aca="false" t="array" ref="J1386:J1386">IFERROR(INDEX(AC1386:AE1386,IF(COUNTA(AC1386:AE1386)=0,"",MAX((AC1386:AE1386&lt;&gt;"")*(COLUMN(AC1386:AE1386)-(COLUMN(AC1386)))))-1),"")</f>
        <v>45778</v>
      </c>
      <c r="K1386" s="16" t="n">
        <f aca="false" t="array" ref="K1386:K1386">IFERROR(INDEX(AC1386:AE1386,IF(COUNTA(AC1386:AE1386)=0,"",MAX((AC1386:AE1386&lt;&gt;"")*(COLUMN(AC1386:AE1386)-(COLUMN(AC1386)-1))))-1),"")</f>
        <v>46142</v>
      </c>
      <c r="L1386" s="17" t="str">
        <f aca="false" t="array" ref="L1386:L1386">IFERROR(INDEX(AC1386:AE1386,IF(COUNTA(AC1386:AE1386)=0,"",MAX((AC1386:AE1386&lt;&gt;"")*(COLUMN(AC1386:AE1386)-(COLUMN(AC1386)-2))))-1),"")</f>
        <v>ARCHIVED</v>
      </c>
      <c r="M1386" s="13" t="n">
        <f aca="true">K1386-TODAY()</f>
        <v>-182</v>
      </c>
      <c r="N1386" s="50" t="s">
        <v>728</v>
      </c>
      <c r="O1386" s="13" t="s">
        <v>5919</v>
      </c>
      <c r="P1386" s="19" t="n">
        <f aca="false">IFERROR(__xludf.dummyfunction("INDEX(IMPORTRANGE(""12FwpLvlsVhD_IhxpEWawHHAWVeXnjXpHARKGUQ_nP_w"",""harga rukma!H:H""),MATCH(C1386,IMPORTRANGE(""12FwpLvlsVhD_IhxpEWawHHAWVeXnjXpHARKGUQ_nP_w"",""harga rukma!B:B""),0))"),5700000)</f>
        <v>5700000</v>
      </c>
      <c r="Q1386" s="20" t="s">
        <v>6082</v>
      </c>
      <c r="R1386" s="13" t="s">
        <v>65</v>
      </c>
      <c r="S1386" s="14" t="n">
        <v>35928</v>
      </c>
      <c r="T1386" s="13" t="s">
        <v>40</v>
      </c>
      <c r="U1386" s="13" t="s">
        <v>6083</v>
      </c>
      <c r="V1386" s="13" t="s">
        <v>42</v>
      </c>
      <c r="W1386" s="13" t="s">
        <v>43</v>
      </c>
      <c r="X1386" s="21" t="n">
        <v>81558703673</v>
      </c>
      <c r="Y1386" s="22" t="str">
        <f aca="false">O1386</f>
        <v>Teknisi Reefer Container</v>
      </c>
      <c r="Z1386" s="13" t="str">
        <f aca="false">IFERROR(__xludf.dummyfunction("if(BJ1386="""","""",GOOGLETRANSLATE(BJ1386,""auto"",""en""))"),"Reefer Container Technician")</f>
        <v>Reefer Container Technician</v>
      </c>
      <c r="AA1386" s="23" t="str">
        <f aca="false">IF(C1386="","", CHOOSE(MONTH(C1386),"January","February","March","April","May","June","July","August","September","October","November","December")&amp;" "&amp;DAY(C1386)&amp;MID("thstndrdth",MIN(9,2*RIGHT(DAY(C1386))*(MOD(DAY(C1386)-11,100)&gt;2)+1),2)&amp;","&amp;TEXT(C1386," yyyy"))</f>
        <v>May 1st,2024</v>
      </c>
      <c r="AB1386" s="15" t="str">
        <f aca="true">IF(S1386="","",DATEDIF(S1386,TODAY(),"Y")&amp;" Tahun, "&amp;DATEDIF(S1386,TODAY(),"YM")&amp;" Bulan, "&amp;DATEDIF(S1386,TODAY(),"MD")&amp;" Hari")</f>
        <v>28 Tahun, 5 Bulan, 16 Hari</v>
      </c>
      <c r="AC1386" s="18" t="n">
        <v>45778</v>
      </c>
      <c r="AD1386" s="18" t="n">
        <v>46142</v>
      </c>
      <c r="AE1386" s="18" t="s">
        <v>44</v>
      </c>
    </row>
    <row r="1387" customFormat="false" ht="15" hidden="false" customHeight="true" outlineLevel="0" collapsed="false">
      <c r="A1387" s="12" t="n">
        <v>14978</v>
      </c>
      <c r="B1387" s="13" t="s">
        <v>6084</v>
      </c>
      <c r="C1387" s="14" t="n">
        <v>45413</v>
      </c>
      <c r="D1387" s="13" t="s">
        <v>5903</v>
      </c>
      <c r="E1387" s="15" t="s">
        <v>47</v>
      </c>
      <c r="F1387" s="15" t="str">
        <f aca="false">IFERROR(__xludf.dummyfunction("XLOOKUP(AJ1387,IMPORTRANGE(""1XaInW9DU9nz21V0tYIfzFQ0He9kVQ_JF2mCXgZ3hqFA"",""REKAP ALL 2026 - Andika!G:G""),IMPORTRANGE(""1XaInW9DU9nz21V0tYIfzFQ0He9kVQ_JF2mCXgZ3hqFA"",""REKAP ALL 2026 - Andika!F:F""),"""",0)"),"24075693168")</f>
        <v>24075693168</v>
      </c>
      <c r="G1387" s="15" t="s">
        <v>6085</v>
      </c>
      <c r="H1387" s="13" t="s">
        <v>35</v>
      </c>
      <c r="I1387" s="13" t="str">
        <f aca="false">IF(C1387=J1387,"NEW KONTRAK","RE-KONTRAK")</f>
        <v>RE-KONTRAK</v>
      </c>
      <c r="J1387" s="16" t="n">
        <f aca="false" t="array" ref="J1387:J1387">IFERROR(INDEX(AC1387:AE1387,IF(COUNTA(AC1387:AE1387)=0,"",MAX((AC1387:AE1387&lt;&gt;"")*(COLUMN(AC1387:AE1387)-(COLUMN(AC1387)))))-1),"")</f>
        <v>45778</v>
      </c>
      <c r="K1387" s="16" t="n">
        <f aca="false" t="array" ref="K1387:K1387">IFERROR(INDEX(AC1387:AE1387,IF(COUNTA(AC1387:AE1387)=0,"",MAX((AC1387:AE1387&lt;&gt;"")*(COLUMN(AC1387:AE1387)-(COLUMN(AC1387)-1))))-1),"")</f>
        <v>46142</v>
      </c>
      <c r="L1387" s="17" t="str">
        <f aca="false" t="array" ref="L1387:L1387">IFERROR(INDEX(AC1387:AE1387,IF(COUNTA(AC1387:AE1387)=0,"",MAX((AC1387:AE1387&lt;&gt;"")*(COLUMN(AC1387:AE1387)-(COLUMN(AC1387)-2))))-1),"")</f>
        <v>ARCHIVED</v>
      </c>
      <c r="M1387" s="13" t="n">
        <f aca="true">K1387-TODAY()</f>
        <v>-182</v>
      </c>
      <c r="N1387" s="50" t="s">
        <v>728</v>
      </c>
      <c r="O1387" s="13" t="s">
        <v>6064</v>
      </c>
      <c r="P1387" s="19" t="n">
        <f aca="false">IFERROR(__xludf.dummyfunction("INDEX(IMPORTRANGE(""12FwpLvlsVhD_IhxpEWawHHAWVeXnjXpHARKGUQ_nP_w"",""harga rukma!H:H""),MATCH(C1387,IMPORTRANGE(""12FwpLvlsVhD_IhxpEWawHHAWVeXnjXpHARKGUQ_nP_w"",""harga rukma!B:B""),0))"),3952000)</f>
        <v>3952000</v>
      </c>
      <c r="Q1387" s="20" t="s">
        <v>6086</v>
      </c>
      <c r="R1387" s="13" t="s">
        <v>52</v>
      </c>
      <c r="S1387" s="14" t="n">
        <v>30158</v>
      </c>
      <c r="T1387" s="13" t="s">
        <v>40</v>
      </c>
      <c r="U1387" s="13" t="s">
        <v>6087</v>
      </c>
      <c r="V1387" s="28" t="s">
        <v>1216</v>
      </c>
      <c r="W1387" s="13" t="s">
        <v>54</v>
      </c>
      <c r="X1387" s="21" t="n">
        <v>85269207468</v>
      </c>
      <c r="Y1387" s="22" t="str">
        <f aca="false">O1387</f>
        <v>Reeferman Layar</v>
      </c>
      <c r="Z1387" s="13" t="str">
        <f aca="false">IFERROR(__xludf.dummyfunction("if(BJ1387="""","""",GOOGLETRANSLATE(BJ1387,""auto"",""en""))"),"Reeferman Screen")</f>
        <v>Reeferman Screen</v>
      </c>
      <c r="AA1387" s="23" t="str">
        <f aca="false">IF(C1387="","", CHOOSE(MONTH(C1387),"January","February","March","April","May","June","July","August","September","October","November","December")&amp;" "&amp;DAY(C1387)&amp;MID("thstndrdth",MIN(9,2*RIGHT(DAY(C1387))*(MOD(DAY(C1387)-11,100)&gt;2)+1),2)&amp;","&amp;TEXT(C1387," yyyy"))</f>
        <v>May 1st,2024</v>
      </c>
      <c r="AB1387" s="15" t="str">
        <f aca="true">IF(S1387="","",DATEDIF(S1387,TODAY(),"Y")&amp;" Tahun, "&amp;DATEDIF(S1387,TODAY(),"YM")&amp;" Bulan, "&amp;DATEDIF(S1387,TODAY(),"MD")&amp;" Hari")</f>
        <v>44 Tahun, 3 Bulan, 3 Hari</v>
      </c>
      <c r="AC1387" s="18" t="n">
        <v>45778</v>
      </c>
      <c r="AD1387" s="18" t="n">
        <v>46142</v>
      </c>
      <c r="AE1387" s="18" t="s">
        <v>44</v>
      </c>
    </row>
    <row r="1388" customFormat="false" ht="15" hidden="false" customHeight="true" outlineLevel="0" collapsed="false">
      <c r="A1388" s="12" t="n">
        <v>14979</v>
      </c>
      <c r="B1388" s="13" t="s">
        <v>555</v>
      </c>
      <c r="C1388" s="14" t="n">
        <v>45413</v>
      </c>
      <c r="D1388" s="13" t="s">
        <v>5903</v>
      </c>
      <c r="E1388" s="15" t="s">
        <v>47</v>
      </c>
      <c r="F1388" s="15" t="str">
        <f aca="false">IFERROR(__xludf.dummyfunction("XLOOKUP(AJ1388,IMPORTRANGE(""1XaInW9DU9nz21V0tYIfzFQ0He9kVQ_JF2mCXgZ3hqFA"",""REKAP ALL 2026 - Andika!G:G""),IMPORTRANGE(""1XaInW9DU9nz21V0tYIfzFQ0He9kVQ_JF2mCXgZ3hqFA"",""REKAP ALL 2026 - Andika!F:F""),"""",0)"),"24075691899")</f>
        <v>24075691899</v>
      </c>
      <c r="G1388" s="15" t="s">
        <v>6088</v>
      </c>
      <c r="H1388" s="13" t="s">
        <v>35</v>
      </c>
      <c r="I1388" s="13" t="str">
        <f aca="false">IF(C1388=J1388,"NEW KONTRAK","RE-KONTRAK")</f>
        <v>RE-KONTRAK</v>
      </c>
      <c r="J1388" s="16" t="n">
        <f aca="false" t="array" ref="J1388:J1388">IFERROR(INDEX(AC1388:AE1388,IF(COUNTA(AC1388:AE1388)=0,"",MAX((AC1388:AE1388&lt;&gt;"")*(COLUMN(AC1388:AE1388)-(COLUMN(AC1388)))))-1),"")</f>
        <v>45778</v>
      </c>
      <c r="K1388" s="16" t="n">
        <f aca="false" t="array" ref="K1388:K1388">IFERROR(INDEX(AC1388:AE1388,IF(COUNTA(AC1388:AE1388)=0,"",MAX((AC1388:AE1388&lt;&gt;"")*(COLUMN(AC1388:AE1388)-(COLUMN(AC1388)-1))))-1),"")</f>
        <v>46142</v>
      </c>
      <c r="L1388" s="17" t="str">
        <f aca="false" t="array" ref="L1388:L1388">IFERROR(INDEX(AC1388:AE1388,IF(COUNTA(AC1388:AE1388)=0,"",MAX((AC1388:AE1388&lt;&gt;"")*(COLUMN(AC1388:AE1388)-(COLUMN(AC1388)-2))))-1),"")</f>
        <v>ARCHIVED</v>
      </c>
      <c r="M1388" s="13" t="n">
        <f aca="true">K1388-TODAY()</f>
        <v>-182</v>
      </c>
      <c r="N1388" s="50" t="s">
        <v>728</v>
      </c>
      <c r="O1388" s="13" t="s">
        <v>76</v>
      </c>
      <c r="P1388" s="19" t="n">
        <f aca="false">IFERROR(__xludf.dummyfunction("INDEX(IMPORTRANGE(""12FwpLvlsVhD_IhxpEWawHHAWVeXnjXpHARKGUQ_nP_w"",""harga rukma!H:H""),MATCH(C1388,IMPORTRANGE(""12FwpLvlsVhD_IhxpEWawHHAWVeXnjXpHARKGUQ_nP_w"",""harga rukma!B:B""),0))"),4800000)</f>
        <v>4800000</v>
      </c>
      <c r="Q1388" s="20" t="s">
        <v>6089</v>
      </c>
      <c r="R1388" s="13" t="s">
        <v>65</v>
      </c>
      <c r="S1388" s="14" t="n">
        <v>34237</v>
      </c>
      <c r="T1388" s="13" t="s">
        <v>40</v>
      </c>
      <c r="U1388" s="13" t="s">
        <v>6090</v>
      </c>
      <c r="V1388" s="13" t="s">
        <v>42</v>
      </c>
      <c r="W1388" s="13" t="s">
        <v>54</v>
      </c>
      <c r="X1388" s="21" t="n">
        <v>89509256836</v>
      </c>
      <c r="Y1388" s="22" t="str">
        <f aca="false">O1388</f>
        <v>Operator Forklift</v>
      </c>
      <c r="Z1388" s="13" t="str">
        <f aca="false">IFERROR(__xludf.dummyfunction("if(BJ1388="""","""",GOOGLETRANSLATE(BJ1388,""auto"",""en""))"),"Operator Forklift")</f>
        <v>Operator Forklift</v>
      </c>
      <c r="AA1388" s="23" t="str">
        <f aca="false">IF(C1388="","", CHOOSE(MONTH(C1388),"January","February","March","April","May","June","July","August","September","October","November","December")&amp;" "&amp;DAY(C1388)&amp;MID("thstndrdth",MIN(9,2*RIGHT(DAY(C1388))*(MOD(DAY(C1388)-11,100)&gt;2)+1),2)&amp;","&amp;TEXT(C1388," yyyy"))</f>
        <v>May 1st,2024</v>
      </c>
      <c r="AB1388" s="15" t="str">
        <f aca="true">IF(S1388="","",DATEDIF(S1388,TODAY(),"Y")&amp;" Tahun, "&amp;DATEDIF(S1388,TODAY(),"YM")&amp;" Bulan, "&amp;DATEDIF(S1388,TODAY(),"MD")&amp;" Hari")</f>
        <v>33 Tahun, 1 Bulan, 4 Hari</v>
      </c>
      <c r="AC1388" s="18" t="n">
        <v>45778</v>
      </c>
      <c r="AD1388" s="18" t="n">
        <v>46142</v>
      </c>
      <c r="AE1388" s="18" t="s">
        <v>44</v>
      </c>
    </row>
    <row r="1389" customFormat="false" ht="15" hidden="false" customHeight="true" outlineLevel="0" collapsed="false">
      <c r="A1389" s="12" t="n">
        <v>14984</v>
      </c>
      <c r="B1389" s="13" t="s">
        <v>6091</v>
      </c>
      <c r="C1389" s="14" t="n">
        <v>45413</v>
      </c>
      <c r="D1389" s="13" t="s">
        <v>5903</v>
      </c>
      <c r="E1389" s="15" t="s">
        <v>47</v>
      </c>
      <c r="F1389" s="15" t="str">
        <f aca="false">IFERROR(__xludf.dummyfunction("XLOOKUP(AJ1389,IMPORTRANGE(""1XaInW9DU9nz21V0tYIfzFQ0He9kVQ_JF2mCXgZ3hqFA"",""REKAP ALL 2026 - Andika!G:G""),IMPORTRANGE(""1XaInW9DU9nz21V0tYIfzFQ0He9kVQ_JF2mCXgZ3hqFA"",""REKAP ALL 2026 - Andika!F:F""),"""",0)"),"24075691923")</f>
        <v>24075691923</v>
      </c>
      <c r="G1389" s="15" t="s">
        <v>6092</v>
      </c>
      <c r="H1389" s="13" t="s">
        <v>35</v>
      </c>
      <c r="I1389" s="13" t="str">
        <f aca="false">IF(C1389=J1389,"NEW KONTRAK","RE-KONTRAK")</f>
        <v>RE-KONTRAK</v>
      </c>
      <c r="J1389" s="16" t="n">
        <f aca="false" t="array" ref="J1389:J1389">IFERROR(INDEX(AC1389:AE1389,IF(COUNTA(AC1389:AE1389)=0,"",MAX((AC1389:AE1389&lt;&gt;"")*(COLUMN(AC1389:AE1389)-(COLUMN(AC1389)))))-1),"")</f>
        <v>45778</v>
      </c>
      <c r="K1389" s="16" t="n">
        <f aca="false" t="array" ref="K1389:K1389">IFERROR(INDEX(AC1389:AE1389,IF(COUNTA(AC1389:AE1389)=0,"",MAX((AC1389:AE1389&lt;&gt;"")*(COLUMN(AC1389:AE1389)-(COLUMN(AC1389)-1))))-1),"")</f>
        <v>46142</v>
      </c>
      <c r="L1389" s="17" t="str">
        <f aca="false" t="array" ref="L1389:L1389">IFERROR(INDEX(AC1389:AE1389,IF(COUNTA(AC1389:AE1389)=0,"",MAX((AC1389:AE1389&lt;&gt;"")*(COLUMN(AC1389:AE1389)-(COLUMN(AC1389)-2))))-1),"")</f>
        <v>ARCHIVED</v>
      </c>
      <c r="M1389" s="13" t="n">
        <f aca="true">K1389-TODAY()</f>
        <v>-182</v>
      </c>
      <c r="N1389" s="50" t="s">
        <v>728</v>
      </c>
      <c r="O1389" s="13" t="s">
        <v>5919</v>
      </c>
      <c r="P1389" s="19" t="n">
        <f aca="false">IFERROR(__xludf.dummyfunction("INDEX(IMPORTRANGE(""12FwpLvlsVhD_IhxpEWawHHAWVeXnjXpHARKGUQ_nP_w"",""harga rukma!H:H""),MATCH(C1389,IMPORTRANGE(""12FwpLvlsVhD_IhxpEWawHHAWVeXnjXpHARKGUQ_nP_w"",""harga rukma!B:B""),0))"),5300000)</f>
        <v>5300000</v>
      </c>
      <c r="Q1389" s="20" t="s">
        <v>6093</v>
      </c>
      <c r="R1389" s="13" t="s">
        <v>6094</v>
      </c>
      <c r="S1389" s="14" t="n">
        <v>37448</v>
      </c>
      <c r="T1389" s="13" t="s">
        <v>40</v>
      </c>
      <c r="U1389" s="13" t="s">
        <v>6095</v>
      </c>
      <c r="V1389" s="13" t="s">
        <v>42</v>
      </c>
      <c r="W1389" s="13" t="s">
        <v>43</v>
      </c>
      <c r="X1389" s="21" t="n">
        <v>82231265433</v>
      </c>
      <c r="Y1389" s="22" t="str">
        <f aca="false">O1389</f>
        <v>Teknisi Reefer Container</v>
      </c>
      <c r="Z1389" s="13" t="str">
        <f aca="false">IFERROR(__xludf.dummyfunction("if(BJ1389="""","""",GOOGLETRANSLATE(BJ1389,""auto"",""en""))"),"Reefer Container Technician")</f>
        <v>Reefer Container Technician</v>
      </c>
      <c r="AA1389" s="23" t="str">
        <f aca="false">IF(C1389="","", CHOOSE(MONTH(C1389),"January","February","March","April","May","June","July","August","September","October","November","December")&amp;" "&amp;DAY(C1389)&amp;MID("thstndrdth",MIN(9,2*RIGHT(DAY(C1389))*(MOD(DAY(C1389)-11,100)&gt;2)+1),2)&amp;","&amp;TEXT(C1389," yyyy"))</f>
        <v>May 1st,2024</v>
      </c>
      <c r="AB1389" s="15" t="str">
        <f aca="true">IF(S1389="","",DATEDIF(S1389,TODAY(),"Y")&amp;" Tahun, "&amp;DATEDIF(S1389,TODAY(),"YM")&amp;" Bulan, "&amp;DATEDIF(S1389,TODAY(),"MD")&amp;" Hari")</f>
        <v>24 Tahun, 3 Bulan, 18 Hari</v>
      </c>
      <c r="AC1389" s="18" t="n">
        <v>45778</v>
      </c>
      <c r="AD1389" s="18" t="n">
        <v>46142</v>
      </c>
      <c r="AE1389" s="18" t="s">
        <v>44</v>
      </c>
    </row>
    <row r="1390" customFormat="false" ht="15" hidden="false" customHeight="true" outlineLevel="0" collapsed="false">
      <c r="A1390" s="12" t="n">
        <v>14985</v>
      </c>
      <c r="B1390" s="13" t="s">
        <v>6096</v>
      </c>
      <c r="C1390" s="14" t="n">
        <v>45413</v>
      </c>
      <c r="D1390" s="13" t="s">
        <v>5903</v>
      </c>
      <c r="E1390" s="15" t="s">
        <v>47</v>
      </c>
      <c r="F1390" s="15" t="str">
        <f aca="false">IFERROR(__xludf.dummyfunction("XLOOKUP(AJ1390,IMPORTRANGE(""1XaInW9DU9nz21V0tYIfzFQ0He9kVQ_JF2mCXgZ3hqFA"",""REKAP ALL 2026 - Andika!G:G""),IMPORTRANGE(""1XaInW9DU9nz21V0tYIfzFQ0He9kVQ_JF2mCXgZ3hqFA"",""REKAP ALL 2026 - Andika!F:F""),"""",0)"),"24075691949")</f>
        <v>24075691949</v>
      </c>
      <c r="G1390" s="15" t="s">
        <v>6097</v>
      </c>
      <c r="H1390" s="13" t="s">
        <v>35</v>
      </c>
      <c r="I1390" s="13" t="str">
        <f aca="false">IF(C1390=J1390,"NEW KONTRAK","RE-KONTRAK")</f>
        <v>RE-KONTRAK</v>
      </c>
      <c r="J1390" s="16" t="n">
        <f aca="false" t="array" ref="J1390:J1390">IFERROR(INDEX(AC1390:AE1390,IF(COUNTA(AC1390:AE1390)=0,"",MAX((AC1390:AE1390&lt;&gt;"")*(COLUMN(AC1390:AE1390)-(COLUMN(AC1390)))))-1),"")</f>
        <v>45778</v>
      </c>
      <c r="K1390" s="16" t="n">
        <f aca="false" t="array" ref="K1390:K1390">IFERROR(INDEX(AC1390:AE1390,IF(COUNTA(AC1390:AE1390)=0,"",MAX((AC1390:AE1390&lt;&gt;"")*(COLUMN(AC1390:AE1390)-(COLUMN(AC1390)-1))))-1),"")</f>
        <v>46142</v>
      </c>
      <c r="L1390" s="17" t="str">
        <f aca="false" t="array" ref="L1390:L1390">IFERROR(INDEX(AC1390:AE1390,IF(COUNTA(AC1390:AE1390)=0,"",MAX((AC1390:AE1390&lt;&gt;"")*(COLUMN(AC1390:AE1390)-(COLUMN(AC1390)-2))))-1),"")</f>
        <v>ARCHIVED</v>
      </c>
      <c r="M1390" s="13" t="n">
        <f aca="true">K1390-TODAY()</f>
        <v>-182</v>
      </c>
      <c r="N1390" s="50" t="s">
        <v>728</v>
      </c>
      <c r="O1390" s="13" t="s">
        <v>5919</v>
      </c>
      <c r="P1390" s="19" t="n">
        <f aca="false">IFERROR(__xludf.dummyfunction("INDEX(IMPORTRANGE(""12FwpLvlsVhD_IhxpEWawHHAWVeXnjXpHARKGUQ_nP_w"",""harga rukma!H:H""),MATCH(C1390,IMPORTRANGE(""12FwpLvlsVhD_IhxpEWawHHAWVeXnjXpHARKGUQ_nP_w"",""harga rukma!B:B""),0))"),4252000)</f>
        <v>4252000</v>
      </c>
      <c r="Q1390" s="20" t="s">
        <v>6098</v>
      </c>
      <c r="R1390" s="13" t="s">
        <v>78</v>
      </c>
      <c r="S1390" s="14" t="n">
        <v>30504</v>
      </c>
      <c r="T1390" s="13" t="s">
        <v>40</v>
      </c>
      <c r="U1390" s="13" t="s">
        <v>6099</v>
      </c>
      <c r="V1390" s="13" t="s">
        <v>42</v>
      </c>
      <c r="W1390" s="13" t="s">
        <v>54</v>
      </c>
      <c r="X1390" s="21" t="n">
        <v>82248111125</v>
      </c>
      <c r="Y1390" s="22" t="str">
        <f aca="false">O1390</f>
        <v>Teknisi Reefer Container</v>
      </c>
      <c r="Z1390" s="13" t="str">
        <f aca="false">IFERROR(__xludf.dummyfunction("if(BJ1390="""","""",GOOGLETRANSLATE(BJ1390,""auto"",""en""))"),"Reefer Container Technician")</f>
        <v>Reefer Container Technician</v>
      </c>
      <c r="AA1390" s="23" t="str">
        <f aca="false">IF(C1390="","", CHOOSE(MONTH(C1390),"January","February","March","April","May","June","July","August","September","October","November","December")&amp;" "&amp;DAY(C1390)&amp;MID("thstndrdth",MIN(9,2*RIGHT(DAY(C1390))*(MOD(DAY(C1390)-11,100)&gt;2)+1),2)&amp;","&amp;TEXT(C1390," yyyy"))</f>
        <v>May 1st,2024</v>
      </c>
      <c r="AB1390" s="15" t="str">
        <f aca="true">IF(S1390="","",DATEDIF(S1390,TODAY(),"Y")&amp;" Tahun, "&amp;DATEDIF(S1390,TODAY(),"YM")&amp;" Bulan, "&amp;DATEDIF(S1390,TODAY(),"MD")&amp;" Hari")</f>
        <v>43 Tahun, 3 Bulan, 22 Hari</v>
      </c>
      <c r="AC1390" s="18" t="n">
        <v>45778</v>
      </c>
      <c r="AD1390" s="18" t="n">
        <v>46142</v>
      </c>
      <c r="AE1390" s="18" t="s">
        <v>44</v>
      </c>
    </row>
    <row r="1391" customFormat="false" ht="15" hidden="false" customHeight="true" outlineLevel="0" collapsed="false">
      <c r="A1391" s="12" t="n">
        <v>14986</v>
      </c>
      <c r="B1391" s="13" t="s">
        <v>6100</v>
      </c>
      <c r="C1391" s="14" t="n">
        <v>45413</v>
      </c>
      <c r="D1391" s="13" t="s">
        <v>5903</v>
      </c>
      <c r="E1391" s="15" t="s">
        <v>47</v>
      </c>
      <c r="F1391" s="15" t="str">
        <f aca="false">IFERROR(__xludf.dummyfunction("XLOOKUP(AJ1391,IMPORTRANGE(""1XaInW9DU9nz21V0tYIfzFQ0He9kVQ_JF2mCXgZ3hqFA"",""REKAP ALL 2026 - Andika!G:G""),IMPORTRANGE(""1XaInW9DU9nz21V0tYIfzFQ0He9kVQ_JF2mCXgZ3hqFA"",""REKAP ALL 2026 - Andika!F:F""),"""",0)"),"24075691972")</f>
        <v>24075691972</v>
      </c>
      <c r="G1391" s="15" t="s">
        <v>6101</v>
      </c>
      <c r="H1391" s="13" t="s">
        <v>35</v>
      </c>
      <c r="I1391" s="13" t="str">
        <f aca="false">IF(C1391=J1391,"NEW KONTRAK","RE-KONTRAK")</f>
        <v>RE-KONTRAK</v>
      </c>
      <c r="J1391" s="16" t="n">
        <f aca="false" t="array" ref="J1391:J1391">IFERROR(INDEX(AC1391:AE1391,IF(COUNTA(AC1391:AE1391)=0,"",MAX((AC1391:AE1391&lt;&gt;"")*(COLUMN(AC1391:AE1391)-(COLUMN(AC1391)))))-1),"")</f>
        <v>45778</v>
      </c>
      <c r="K1391" s="16" t="n">
        <f aca="false" t="array" ref="K1391:K1391">IFERROR(INDEX(AC1391:AE1391,IF(COUNTA(AC1391:AE1391)=0,"",MAX((AC1391:AE1391&lt;&gt;"")*(COLUMN(AC1391:AE1391)-(COLUMN(AC1391)-1))))-1),"")</f>
        <v>46142</v>
      </c>
      <c r="L1391" s="17" t="str">
        <f aca="false" t="array" ref="L1391:L1391">IFERROR(INDEX(AC1391:AE1391,IF(COUNTA(AC1391:AE1391)=0,"",MAX((AC1391:AE1391&lt;&gt;"")*(COLUMN(AC1391:AE1391)-(COLUMN(AC1391)-2))))-1),"")</f>
        <v>ARCHIVED</v>
      </c>
      <c r="M1391" s="13" t="n">
        <f aca="true">K1391-TODAY()</f>
        <v>-182</v>
      </c>
      <c r="N1391" s="50" t="s">
        <v>728</v>
      </c>
      <c r="O1391" s="13" t="s">
        <v>5919</v>
      </c>
      <c r="P1391" s="19" t="n">
        <f aca="false">IFERROR(__xludf.dummyfunction("INDEX(IMPORTRANGE(""12FwpLvlsVhD_IhxpEWawHHAWVeXnjXpHARKGUQ_nP_w"",""harga rukma!H:H""),MATCH(C1391,IMPORTRANGE(""12FwpLvlsVhD_IhxpEWawHHAWVeXnjXpHARKGUQ_nP_w"",""harga rukma!B:B""),0))"),5300000)</f>
        <v>5300000</v>
      </c>
      <c r="Q1391" s="20" t="s">
        <v>6102</v>
      </c>
      <c r="R1391" s="13" t="s">
        <v>232</v>
      </c>
      <c r="S1391" s="14" t="n">
        <v>35609</v>
      </c>
      <c r="T1391" s="13" t="s">
        <v>40</v>
      </c>
      <c r="U1391" s="13" t="s">
        <v>6103</v>
      </c>
      <c r="V1391" s="13" t="s">
        <v>42</v>
      </c>
      <c r="W1391" s="13" t="s">
        <v>43</v>
      </c>
      <c r="X1391" s="21" t="n">
        <v>8998043488</v>
      </c>
      <c r="Y1391" s="22" t="str">
        <f aca="false">O1391</f>
        <v>Teknisi Reefer Container</v>
      </c>
      <c r="Z1391" s="13" t="str">
        <f aca="false">IFERROR(__xludf.dummyfunction("if(BJ1391="""","""",GOOGLETRANSLATE(BJ1391,""auto"",""en""))"),"Reefer Container Technician")</f>
        <v>Reefer Container Technician</v>
      </c>
      <c r="AA1391" s="23" t="str">
        <f aca="false">IF(C1391="","", CHOOSE(MONTH(C1391),"January","February","March","April","May","June","July","August","September","October","November","December")&amp;" "&amp;DAY(C1391)&amp;MID("thstndrdth",MIN(9,2*RIGHT(DAY(C1391))*(MOD(DAY(C1391)-11,100)&gt;2)+1),2)&amp;","&amp;TEXT(C1391," yyyy"))</f>
        <v>May 1st,2024</v>
      </c>
      <c r="AB1391" s="15" t="str">
        <f aca="true">IF(S1391="","",DATEDIF(S1391,TODAY(),"Y")&amp;" Tahun, "&amp;DATEDIF(S1391,TODAY(),"YM")&amp;" Bulan, "&amp;DATEDIF(S1391,TODAY(),"MD")&amp;" Hari")</f>
        <v>29 Tahun, 4 Bulan, 1 Hari</v>
      </c>
      <c r="AC1391" s="18" t="n">
        <v>45778</v>
      </c>
      <c r="AD1391" s="18" t="n">
        <v>46142</v>
      </c>
      <c r="AE1391" s="18" t="s">
        <v>44</v>
      </c>
    </row>
    <row r="1392" customFormat="false" ht="15" hidden="false" customHeight="true" outlineLevel="0" collapsed="false">
      <c r="A1392" s="12" t="n">
        <v>14987</v>
      </c>
      <c r="B1392" s="13" t="s">
        <v>6104</v>
      </c>
      <c r="C1392" s="14" t="n">
        <v>45411</v>
      </c>
      <c r="D1392" s="13" t="s">
        <v>144</v>
      </c>
      <c r="E1392" s="15" t="s">
        <v>102</v>
      </c>
      <c r="F1392" s="15" t="str">
        <f aca="false">IFERROR(__xludf.dummyfunction("XLOOKUP(AJ1392,IMPORTRANGE(""1XaInW9DU9nz21V0tYIfzFQ0He9kVQ_JF2mCXgZ3hqFA"",""REKAP ALL 2026 - Andika!G:G""),IMPORTRANGE(""1XaInW9DU9nz21V0tYIfzFQ0He9kVQ_JF2mCXgZ3hqFA"",""REKAP ALL 2026 - Andika!F:F""),"""",0)"),"24075691634")</f>
        <v>24075691634</v>
      </c>
      <c r="G1392" s="13" t="s">
        <v>6105</v>
      </c>
      <c r="H1392" s="13" t="s">
        <v>35</v>
      </c>
      <c r="I1392" s="13" t="str">
        <f aca="false">IF(C1392=J1392,"NEW KONTRAK","RE-KONTRAK")</f>
        <v>RE-KONTRAK</v>
      </c>
      <c r="J1392" s="16" t="n">
        <f aca="false" t="array" ref="J1392:J1392">IFERROR(INDEX(AC1392:AE1392,IF(COUNTA(AC1392:AE1392)=0,"",MAX((AC1392:AE1392&lt;&gt;"")*(COLUMN(AC1392:AE1392)-(COLUMN(AC1392)))))-1),"")</f>
        <v>45658</v>
      </c>
      <c r="K1392" s="16" t="n">
        <f aca="false" t="array" ref="K1392:K1392">IFERROR(INDEX(AC1392:AE1392,IF(COUNTA(AC1392:AE1392)=0,"",MAX((AC1392:AE1392&lt;&gt;"")*(COLUMN(AC1392:AE1392)-(COLUMN(AC1392)-1))))-1),"")</f>
        <v>46022</v>
      </c>
      <c r="L1392" s="17" t="str">
        <f aca="false" t="array" ref="L1392:L1392">IFERROR(INDEX(AC1392:AE1392,IF(COUNTA(AC1392:AE1392)=0,"",MAX((AC1392:AE1392&lt;&gt;"")*(COLUMN(AC1392:AE1392)-(COLUMN(AC1392)-2))))-1),"")</f>
        <v>ARCHIVED</v>
      </c>
      <c r="M1392" s="13" t="n">
        <f aca="true">K1392-TODAY()</f>
        <v>-302</v>
      </c>
      <c r="N1392" s="18" t="s">
        <v>36</v>
      </c>
      <c r="O1392" s="13" t="s">
        <v>6106</v>
      </c>
      <c r="P1392" s="19" t="n">
        <v>5195401</v>
      </c>
      <c r="Q1392" s="20" t="s">
        <v>6107</v>
      </c>
      <c r="R1392" s="13" t="s">
        <v>78</v>
      </c>
      <c r="S1392" s="14" t="n">
        <v>35318</v>
      </c>
      <c r="T1392" s="13" t="s">
        <v>40</v>
      </c>
      <c r="U1392" s="13" t="s">
        <v>6108</v>
      </c>
      <c r="V1392" s="13" t="s">
        <v>42</v>
      </c>
      <c r="W1392" s="13" t="s">
        <v>54</v>
      </c>
      <c r="X1392" s="21" t="n">
        <v>85746684721</v>
      </c>
      <c r="Y1392" s="22" t="str">
        <f aca="false">O1392</f>
        <v>RRPC Emulsion</v>
      </c>
      <c r="Z1392" s="13" t="str">
        <f aca="false">IFERROR(__xludf.dummyfunction("if(BJ1392="""","""",GOOGLETRANSLATE(BJ1392,""auto"",""en""))"),"RRPC Emulsion")</f>
        <v>RRPC Emulsion</v>
      </c>
      <c r="AA1392" s="23" t="str">
        <f aca="false">IF(C1392="","", CHOOSE(MONTH(C1392),"January","February","March","April","May","June","July","August","September","October","November","December")&amp;" "&amp;DAY(C1392)&amp;MID("thstndrdth",MIN(9,2*RIGHT(DAY(C1392))*(MOD(DAY(C1392)-11,100)&gt;2)+1),2)&amp;","&amp;TEXT(C1392," yyyy"))</f>
        <v>April 29th,2024</v>
      </c>
      <c r="AB1392" s="15" t="str">
        <f aca="true">IF(S1392="","",DATEDIF(S1392,TODAY(),"Y")&amp;" Tahun, "&amp;DATEDIF(S1392,TODAY(),"YM")&amp;" Bulan, "&amp;DATEDIF(S1392,TODAY(),"MD")&amp;" Hari")</f>
        <v>30 Tahun, 1 Bulan, 19 Hari</v>
      </c>
      <c r="AC1392" s="18" t="n">
        <v>45658</v>
      </c>
      <c r="AD1392" s="18" t="n">
        <v>46022</v>
      </c>
      <c r="AE1392" s="18" t="s">
        <v>44</v>
      </c>
    </row>
    <row r="1393" customFormat="false" ht="15" hidden="false" customHeight="true" outlineLevel="0" collapsed="false">
      <c r="A1393" s="12" t="n">
        <v>14988</v>
      </c>
      <c r="B1393" s="13" t="s">
        <v>6109</v>
      </c>
      <c r="C1393" s="14" t="n">
        <v>45411</v>
      </c>
      <c r="D1393" s="13" t="s">
        <v>144</v>
      </c>
      <c r="E1393" s="15" t="s">
        <v>47</v>
      </c>
      <c r="F1393" s="15" t="str">
        <f aca="false">IFERROR(__xludf.dummyfunction("XLOOKUP(AJ1393,IMPORTRANGE(""1XaInW9DU9nz21V0tYIfzFQ0He9kVQ_JF2mCXgZ3hqFA"",""REKAP ALL 2026 - Andika!G:G""),IMPORTRANGE(""1XaInW9DU9nz21V0tYIfzFQ0He9kVQ_JF2mCXgZ3hqFA"",""REKAP ALL 2026 - Andika!F:F""),"""",0)"),"24075691568")</f>
        <v>24075691568</v>
      </c>
      <c r="G1393" s="13" t="s">
        <v>6110</v>
      </c>
      <c r="H1393" s="13" t="s">
        <v>35</v>
      </c>
      <c r="I1393" s="13" t="str">
        <f aca="false">IF(C1393=J1393,"NEW KONTRAK","RE-KONTRAK")</f>
        <v>RE-KONTRAK</v>
      </c>
      <c r="J1393" s="16" t="n">
        <f aca="false" t="array" ref="J1393:J1393">IFERROR(INDEX(AC1393:AE1393,IF(COUNTA(AC1393:AE1393)=0,"",MAX((AC1393:AE1393&lt;&gt;"")*(COLUMN(AC1393:AE1393)-(COLUMN(AC1393)))))-1),"")</f>
        <v>45658</v>
      </c>
      <c r="K1393" s="16" t="n">
        <f aca="false" t="array" ref="K1393:K1393">IFERROR(INDEX(AC1393:AE1393,IF(COUNTA(AC1393:AE1393)=0,"",MAX((AC1393:AE1393&lt;&gt;"")*(COLUMN(AC1393:AE1393)-(COLUMN(AC1393)-1))))-1),"")</f>
        <v>46022</v>
      </c>
      <c r="L1393" s="17" t="str">
        <f aca="false" t="array" ref="L1393:L1393">IFERROR(INDEX(AC1393:AE1393,IF(COUNTA(AC1393:AE1393)=0,"",MAX((AC1393:AE1393&lt;&gt;"")*(COLUMN(AC1393:AE1393)-(COLUMN(AC1393)-2))))-1),"")</f>
        <v>ARCHIVED</v>
      </c>
      <c r="M1393" s="13" t="n">
        <f aca="true">K1393-TODAY()</f>
        <v>-302</v>
      </c>
      <c r="N1393" s="18" t="s">
        <v>36</v>
      </c>
      <c r="O1393" s="13" t="s">
        <v>156</v>
      </c>
      <c r="P1393" s="19" t="n">
        <v>5195401</v>
      </c>
      <c r="Q1393" s="20" t="s">
        <v>6111</v>
      </c>
      <c r="R1393" s="13" t="s">
        <v>78</v>
      </c>
      <c r="S1393" s="14" t="n">
        <v>35911</v>
      </c>
      <c r="T1393" s="13" t="s">
        <v>40</v>
      </c>
      <c r="U1393" s="13" t="s">
        <v>6112</v>
      </c>
      <c r="V1393" s="13" t="s">
        <v>42</v>
      </c>
      <c r="W1393" s="13" t="s">
        <v>43</v>
      </c>
      <c r="X1393" s="21" t="n">
        <v>85336030163</v>
      </c>
      <c r="Y1393" s="22" t="str">
        <f aca="false">O1393</f>
        <v>Emulsion</v>
      </c>
      <c r="Z1393" s="13" t="str">
        <f aca="false">IFERROR(__xludf.dummyfunction("if(BJ1393="""","""",GOOGLETRANSLATE(BJ1393,""auto"",""en""))"),"Emulsion")</f>
        <v>Emulsion</v>
      </c>
      <c r="AA1393" s="23" t="str">
        <f aca="false">IF(C1393="","", CHOOSE(MONTH(C1393),"January","February","March","April","May","June","July","August","September","October","November","December")&amp;" "&amp;DAY(C1393)&amp;MID("thstndrdth",MIN(9,2*RIGHT(DAY(C1393))*(MOD(DAY(C1393)-11,100)&gt;2)+1),2)&amp;","&amp;TEXT(C1393," yyyy"))</f>
        <v>April 29th,2024</v>
      </c>
      <c r="AB1393" s="15" t="str">
        <f aca="true">IF(S1393="","",DATEDIF(S1393,TODAY(),"Y")&amp;" Tahun, "&amp;DATEDIF(S1393,TODAY(),"YM")&amp;" Bulan, "&amp;DATEDIF(S1393,TODAY(),"MD")&amp;" Hari")</f>
        <v>28 Tahun, 6 Bulan, 3 Hari</v>
      </c>
      <c r="AC1393" s="18" t="n">
        <v>45658</v>
      </c>
      <c r="AD1393" s="18" t="n">
        <v>46022</v>
      </c>
      <c r="AE1393" s="18" t="s">
        <v>44</v>
      </c>
    </row>
    <row r="1394" customFormat="false" ht="15" hidden="false" customHeight="true" outlineLevel="0" collapsed="false">
      <c r="A1394" s="12" t="n">
        <v>14990</v>
      </c>
      <c r="B1394" s="45" t="s">
        <v>6113</v>
      </c>
      <c r="C1394" s="14" t="n">
        <v>45411</v>
      </c>
      <c r="D1394" s="13" t="s">
        <v>144</v>
      </c>
      <c r="E1394" s="15" t="s">
        <v>47</v>
      </c>
      <c r="F1394" s="15" t="str">
        <f aca="false">IFERROR(__xludf.dummyfunction("XLOOKUP(AJ1394,IMPORTRANGE(""1XaInW9DU9nz21V0tYIfzFQ0He9kVQ_JF2mCXgZ3hqFA"",""REKAP ALL 2026 - Andika!G:G""),IMPORTRANGE(""1XaInW9DU9nz21V0tYIfzFQ0He9kVQ_JF2mCXgZ3hqFA"",""REKAP ALL 2026 - Andika!F:F""),"""",0)"),"24075691659")</f>
        <v>24075691659</v>
      </c>
      <c r="G1394" s="13" t="s">
        <v>6114</v>
      </c>
      <c r="H1394" s="13" t="s">
        <v>35</v>
      </c>
      <c r="I1394" s="13" t="str">
        <f aca="false">IF(C1394=J1394,"NEW KONTRAK","RE-KONTRAK")</f>
        <v>RE-KONTRAK</v>
      </c>
      <c r="J1394" s="16" t="n">
        <f aca="false" t="array" ref="J1394:J1394">IFERROR(INDEX(AC1394:AE1394,IF(COUNTA(AC1394:AE1394)=0,"",MAX((AC1394:AE1394&lt;&gt;"")*(COLUMN(AC1394:AE1394)-(COLUMN(AC1394)))))-1),"")</f>
        <v>45658</v>
      </c>
      <c r="K1394" s="16" t="n">
        <f aca="false" t="array" ref="K1394:K1394">IFERROR(INDEX(AC1394:AE1394,IF(COUNTA(AC1394:AE1394)=0,"",MAX((AC1394:AE1394&lt;&gt;"")*(COLUMN(AC1394:AE1394)-(COLUMN(AC1394)-1))))-1),"")</f>
        <v>46022</v>
      </c>
      <c r="L1394" s="17" t="str">
        <f aca="false" t="array" ref="L1394:L1394">IFERROR(INDEX(AC1394:AE1394,IF(COUNTA(AC1394:AE1394)=0,"",MAX((AC1394:AE1394&lt;&gt;"")*(COLUMN(AC1394:AE1394)-(COLUMN(AC1394)-2))))-1),"")</f>
        <v>ARCHIVED</v>
      </c>
      <c r="M1394" s="13" t="n">
        <f aca="true">K1394-TODAY()</f>
        <v>-302</v>
      </c>
      <c r="N1394" s="18" t="s">
        <v>36</v>
      </c>
      <c r="O1394" s="13" t="s">
        <v>3434</v>
      </c>
      <c r="P1394" s="19" t="n">
        <v>5195401</v>
      </c>
      <c r="Q1394" s="20" t="s">
        <v>6115</v>
      </c>
      <c r="R1394" s="13" t="s">
        <v>78</v>
      </c>
      <c r="S1394" s="14" t="n">
        <v>33539</v>
      </c>
      <c r="T1394" s="13" t="s">
        <v>40</v>
      </c>
      <c r="U1394" s="13" t="s">
        <v>6116</v>
      </c>
      <c r="V1394" s="13" t="s">
        <v>42</v>
      </c>
      <c r="W1394" s="13" t="s">
        <v>54</v>
      </c>
      <c r="X1394" s="21" t="n">
        <v>81558910067</v>
      </c>
      <c r="Y1394" s="22" t="str">
        <f aca="false">O1394</f>
        <v>Laboratorium Kimia</v>
      </c>
      <c r="Z1394" s="13" t="str">
        <f aca="false">IFERROR(__xludf.dummyfunction("if(BJ1394="""","""",GOOGLETRANSLATE(BJ1394,""auto"",""en""))"),"Chemistry Laboratory")</f>
        <v>Chemistry Laboratory</v>
      </c>
      <c r="AA1394" s="23" t="str">
        <f aca="false">IF(C1394="","", CHOOSE(MONTH(C1394),"January","February","March","April","May","June","July","August","September","October","November","December")&amp;" "&amp;DAY(C1394)&amp;MID("thstndrdth",MIN(9,2*RIGHT(DAY(C1394))*(MOD(DAY(C1394)-11,100)&gt;2)+1),2)&amp;","&amp;TEXT(C1394," yyyy"))</f>
        <v>April 29th,2024</v>
      </c>
      <c r="AB1394" s="15" t="str">
        <f aca="true">IF(S1394="","",DATEDIF(S1394,TODAY(),"Y")&amp;" Tahun, "&amp;DATEDIF(S1394,TODAY(),"YM")&amp;" Bulan, "&amp;DATEDIF(S1394,TODAY(),"MD")&amp;" Hari")</f>
        <v>35 Tahun, 0 Bulan, 1 Hari</v>
      </c>
      <c r="AC1394" s="18" t="n">
        <v>45658</v>
      </c>
      <c r="AD1394" s="18" t="n">
        <v>46022</v>
      </c>
      <c r="AE1394" s="18" t="s">
        <v>44</v>
      </c>
    </row>
    <row r="1395" customFormat="false" ht="15" hidden="false" customHeight="true" outlineLevel="0" collapsed="false">
      <c r="A1395" s="12" t="n">
        <v>15160</v>
      </c>
      <c r="B1395" s="13" t="s">
        <v>6117</v>
      </c>
      <c r="C1395" s="14" t="n">
        <v>45414</v>
      </c>
      <c r="D1395" s="13" t="s">
        <v>144</v>
      </c>
      <c r="E1395" s="15" t="s">
        <v>102</v>
      </c>
      <c r="F1395" s="24" t="s">
        <v>6118</v>
      </c>
      <c r="G1395" s="13" t="s">
        <v>6119</v>
      </c>
      <c r="H1395" s="13" t="s">
        <v>35</v>
      </c>
      <c r="I1395" s="13" t="str">
        <f aca="false">IF(C1395=J1395,"NEW KONTRAK","RE-KONTRAK")</f>
        <v>RE-KONTRAK</v>
      </c>
      <c r="J1395" s="16" t="n">
        <f aca="false" t="array" ref="J1395:J1395">IFERROR(INDEX(AC1395:AE1395,IF(COUNTA(AC1395:AE1395)=0,"",MAX((AC1395:AE1395&lt;&gt;"")*(COLUMN(AC1395:AE1395)-(COLUMN(AC1395)))))-1),"")</f>
        <v>45658</v>
      </c>
      <c r="K1395" s="16" t="n">
        <f aca="false" t="array" ref="K1395:K1395">IFERROR(INDEX(AC1395:AE1395,IF(COUNTA(AC1395:AE1395)=0,"",MAX((AC1395:AE1395&lt;&gt;"")*(COLUMN(AC1395:AE1395)-(COLUMN(AC1395)-1))))-1),"")</f>
        <v>46022</v>
      </c>
      <c r="L1395" s="17" t="str">
        <f aca="false" t="array" ref="L1395:L1395">IFERROR(INDEX(AC1395:AE1395,IF(COUNTA(AC1395:AE1395)=0,"",MAX((AC1395:AE1395&lt;&gt;"")*(COLUMN(AC1395:AE1395)-(COLUMN(AC1395)-2))))-1),"")</f>
        <v>ARCHIVED</v>
      </c>
      <c r="M1395" s="13" t="n">
        <f aca="true">K1395-TODAY()</f>
        <v>-302</v>
      </c>
      <c r="N1395" s="18" t="s">
        <v>36</v>
      </c>
      <c r="O1395" s="13" t="s">
        <v>6120</v>
      </c>
      <c r="P1395" s="19" t="n">
        <v>5195401</v>
      </c>
      <c r="Q1395" s="20" t="s">
        <v>6121</v>
      </c>
      <c r="R1395" s="13" t="s">
        <v>52</v>
      </c>
      <c r="S1395" s="14" t="n">
        <v>36210</v>
      </c>
      <c r="T1395" s="13" t="s">
        <v>108</v>
      </c>
      <c r="U1395" s="13" t="s">
        <v>6122</v>
      </c>
      <c r="V1395" s="13" t="s">
        <v>42</v>
      </c>
      <c r="W1395" s="13" t="s">
        <v>43</v>
      </c>
      <c r="X1395" s="21" t="n">
        <v>81216166112</v>
      </c>
      <c r="Y1395" s="22" t="str">
        <f aca="false">O1395</f>
        <v>Finance Staff</v>
      </c>
      <c r="Z1395" s="13" t="str">
        <f aca="false">IFERROR(__xludf.dummyfunction("if(BJ1395="""","""",GOOGLETRANSLATE(BJ1395,""auto"",""en""))"),"Finance Staff")</f>
        <v>Finance Staff</v>
      </c>
      <c r="AA1395" s="23" t="str">
        <f aca="false">IF(C1395="","", CHOOSE(MONTH(C1395),"January","February","March","April","May","June","July","August","September","October","November","December")&amp;" "&amp;DAY(C1395)&amp;MID("thstndrdth",MIN(9,2*RIGHT(DAY(C1395))*(MOD(DAY(C1395)-11,100)&gt;2)+1),2)&amp;","&amp;TEXT(C1395," yyyy"))</f>
        <v>May 2nd,2024</v>
      </c>
      <c r="AB1395" s="15" t="str">
        <f aca="true">IF(S1395="","",DATEDIF(S1395,TODAY(),"Y")&amp;" Tahun, "&amp;DATEDIF(S1395,TODAY(),"YM")&amp;" Bulan, "&amp;DATEDIF(S1395,TODAY(),"MD")&amp;" Hari")</f>
        <v>27 Tahun, 8 Bulan, 10 Hari</v>
      </c>
      <c r="AC1395" s="18" t="n">
        <v>45658</v>
      </c>
      <c r="AD1395" s="18" t="n">
        <v>46022</v>
      </c>
      <c r="AE1395" s="18" t="s">
        <v>44</v>
      </c>
    </row>
    <row r="1396" customFormat="false" ht="15" hidden="false" customHeight="true" outlineLevel="0" collapsed="false">
      <c r="A1396" s="12" t="n">
        <v>15185</v>
      </c>
      <c r="B1396" s="13" t="s">
        <v>6123</v>
      </c>
      <c r="C1396" s="14" t="n">
        <v>45413</v>
      </c>
      <c r="D1396" s="13" t="s">
        <v>5903</v>
      </c>
      <c r="E1396" s="15" t="s">
        <v>47</v>
      </c>
      <c r="F1396" s="15" t="str">
        <f aca="false">IFERROR(__xludf.dummyfunction("XLOOKUP(AJ1396,IMPORTRANGE(""1XaInW9DU9nz21V0tYIfzFQ0He9kVQ_JF2mCXgZ3hqFA"",""REKAP ALL 2026 - Andika!G:G""),IMPORTRANGE(""1XaInW9DU9nz21V0tYIfzFQ0He9kVQ_JF2mCXgZ3hqFA"",""REKAP ALL 2026 - Andika!F:F""),"""",0)"),"24075693200")</f>
        <v>24075693200</v>
      </c>
      <c r="G1396" s="15" t="s">
        <v>6124</v>
      </c>
      <c r="H1396" s="13" t="s">
        <v>35</v>
      </c>
      <c r="I1396" s="13" t="str">
        <f aca="false">IF(C1396=J1396,"NEW KONTRAK","RE-KONTRAK")</f>
        <v>RE-KONTRAK</v>
      </c>
      <c r="J1396" s="16" t="n">
        <f aca="false" t="array" ref="J1396:J1396">IFERROR(INDEX(AC1396:AE1396,IF(COUNTA(AC1396:AE1396)=0,"",MAX((AC1396:AE1396&lt;&gt;"")*(COLUMN(AC1396:AE1396)-(COLUMN(AC1396)))))-1),"")</f>
        <v>45778</v>
      </c>
      <c r="K1396" s="16" t="n">
        <f aca="false" t="array" ref="K1396:K1396">IFERROR(INDEX(AC1396:AE1396,IF(COUNTA(AC1396:AE1396)=0,"",MAX((AC1396:AE1396&lt;&gt;"")*(COLUMN(AC1396:AE1396)-(COLUMN(AC1396)-1))))-1),"")</f>
        <v>46142</v>
      </c>
      <c r="L1396" s="17" t="str">
        <f aca="false" t="array" ref="L1396:L1396">IFERROR(INDEX(AC1396:AE1396,IF(COUNTA(AC1396:AE1396)=0,"",MAX((AC1396:AE1396&lt;&gt;"")*(COLUMN(AC1396:AE1396)-(COLUMN(AC1396)-2))))-1),"")</f>
        <v>ARCHIVED</v>
      </c>
      <c r="M1396" s="13" t="n">
        <f aca="true">K1396-TODAY()</f>
        <v>-182</v>
      </c>
      <c r="N1396" s="50" t="s">
        <v>728</v>
      </c>
      <c r="O1396" s="13" t="s">
        <v>6125</v>
      </c>
      <c r="P1396" s="19" t="n">
        <f aca="false">IFERROR(__xludf.dummyfunction("INDEX(IMPORTRANGE(""12FwpLvlsVhD_IhxpEWawHHAWVeXnjXpHARKGUQ_nP_w"",""harga rukma!H:H""),MATCH(C1396,IMPORTRANGE(""12FwpLvlsVhD_IhxpEWawHHAWVeXnjXpHARKGUQ_nP_w"",""harga rukma!B:B""),0))"),5300000)</f>
        <v>5300000</v>
      </c>
      <c r="Q1396" s="20" t="s">
        <v>6126</v>
      </c>
      <c r="R1396" s="13" t="s">
        <v>52</v>
      </c>
      <c r="S1396" s="14" t="n">
        <v>35001</v>
      </c>
      <c r="T1396" s="13" t="s">
        <v>40</v>
      </c>
      <c r="U1396" s="13" t="s">
        <v>6127</v>
      </c>
      <c r="V1396" s="13" t="s">
        <v>42</v>
      </c>
      <c r="W1396" s="13" t="s">
        <v>54</v>
      </c>
      <c r="X1396" s="21" t="n">
        <v>816516115</v>
      </c>
      <c r="Y1396" s="22" t="str">
        <f aca="false">O1396</f>
        <v>Admin Operasional</v>
      </c>
      <c r="Z1396" s="13" t="str">
        <f aca="false">IFERROR(__xludf.dummyfunction("if(BJ1396="""","""",GOOGLETRANSLATE(BJ1396,""auto"",""en""))"),"Operational Admin")</f>
        <v>Operational Admin</v>
      </c>
      <c r="AA1396" s="23" t="str">
        <f aca="false">IF(C1396="","", CHOOSE(MONTH(C1396),"January","February","March","April","May","June","July","August","September","October","November","December")&amp;" "&amp;DAY(C1396)&amp;MID("thstndrdth",MIN(9,2*RIGHT(DAY(C1396))*(MOD(DAY(C1396)-11,100)&gt;2)+1),2)&amp;","&amp;TEXT(C1396," yyyy"))</f>
        <v>May 1st,2024</v>
      </c>
      <c r="AB1396" s="15" t="str">
        <f aca="true">IF(S1396="","",DATEDIF(S1396,TODAY(),"Y")&amp;" Tahun, "&amp;DATEDIF(S1396,TODAY(),"YM")&amp;" Bulan, "&amp;DATEDIF(S1396,TODAY(),"MD")&amp;" Hari")</f>
        <v>31 Tahun, 0 Bulan, 0 Hari</v>
      </c>
      <c r="AC1396" s="18" t="n">
        <v>45778</v>
      </c>
      <c r="AD1396" s="18" t="n">
        <v>46142</v>
      </c>
      <c r="AE1396" s="18" t="s">
        <v>44</v>
      </c>
    </row>
    <row r="1397" customFormat="false" ht="15" hidden="false" customHeight="true" outlineLevel="0" collapsed="false">
      <c r="A1397" s="12" t="n">
        <v>15187</v>
      </c>
      <c r="B1397" s="13" t="s">
        <v>6128</v>
      </c>
      <c r="C1397" s="14" t="n">
        <v>45413</v>
      </c>
      <c r="D1397" s="13" t="s">
        <v>5903</v>
      </c>
      <c r="E1397" s="15" t="s">
        <v>33</v>
      </c>
      <c r="F1397" s="24" t="s">
        <v>6129</v>
      </c>
      <c r="G1397" s="15" t="s">
        <v>6130</v>
      </c>
      <c r="H1397" s="13" t="s">
        <v>35</v>
      </c>
      <c r="I1397" s="13" t="str">
        <f aca="false">IF(C1397=J1397,"NEW KONTRAK","RE-KONTRAK")</f>
        <v>RE-KONTRAK</v>
      </c>
      <c r="J1397" s="16" t="n">
        <f aca="false" t="array" ref="J1397:J1397">IFERROR(INDEX(AC1397:AE1397,IF(COUNTA(AC1397:AE1397)=0,"",MAX((AC1397:AE1397&lt;&gt;"")*(COLUMN(AC1397:AE1397)-(COLUMN(AC1397)))))-1),"")</f>
        <v>45778</v>
      </c>
      <c r="K1397" s="16" t="n">
        <f aca="false" t="array" ref="K1397:K1397">IFERROR(INDEX(AC1397:AE1397,IF(COUNTA(AC1397:AE1397)=0,"",MAX((AC1397:AE1397&lt;&gt;"")*(COLUMN(AC1397:AE1397)-(COLUMN(AC1397)-1))))-1),"")</f>
        <v>46142</v>
      </c>
      <c r="L1397" s="17" t="str">
        <f aca="false" t="array" ref="L1397:L1397">IFERROR(INDEX(AC1397:AE1397,IF(COUNTA(AC1397:AE1397)=0,"",MAX((AC1397:AE1397&lt;&gt;"")*(COLUMN(AC1397:AE1397)-(COLUMN(AC1397)-2))))-1),"")</f>
        <v>ARCHIVED</v>
      </c>
      <c r="M1397" s="13" t="n">
        <f aca="true">K1397-TODAY()</f>
        <v>-182</v>
      </c>
      <c r="N1397" s="50" t="s">
        <v>728</v>
      </c>
      <c r="O1397" s="13" t="s">
        <v>76</v>
      </c>
      <c r="P1397" s="27" t="n">
        <v>5195401</v>
      </c>
      <c r="Q1397" s="20" t="s">
        <v>6131</v>
      </c>
      <c r="R1397" s="13" t="s">
        <v>52</v>
      </c>
      <c r="S1397" s="14" t="n">
        <v>33749</v>
      </c>
      <c r="T1397" s="13" t="s">
        <v>40</v>
      </c>
      <c r="U1397" s="13" t="s">
        <v>6132</v>
      </c>
      <c r="V1397" s="13" t="s">
        <v>42</v>
      </c>
      <c r="W1397" s="13" t="s">
        <v>43</v>
      </c>
      <c r="X1397" s="21" t="n">
        <v>81217773301</v>
      </c>
      <c r="Y1397" s="22" t="str">
        <f aca="false">O1397</f>
        <v>Operator Forklift</v>
      </c>
      <c r="Z1397" s="13" t="str">
        <f aca="false">IFERROR(__xludf.dummyfunction("if(BJ1397="""","""",GOOGLETRANSLATE(BJ1397,""auto"",""en""))"),"Operator Forklift")</f>
        <v>Operator Forklift</v>
      </c>
      <c r="AA1397" s="23" t="str">
        <f aca="false">IF(C1397="","", CHOOSE(MONTH(C1397),"January","February","March","April","May","June","July","August","September","October","November","December")&amp;" "&amp;DAY(C1397)&amp;MID("thstndrdth",MIN(9,2*RIGHT(DAY(C1397))*(MOD(DAY(C1397)-11,100)&gt;2)+1),2)&amp;","&amp;TEXT(C1397," yyyy"))</f>
        <v>May 1st,2024</v>
      </c>
      <c r="AB1397" s="15" t="str">
        <f aca="true">IF(S1397="","",DATEDIF(S1397,TODAY(),"Y")&amp;" Tahun, "&amp;DATEDIF(S1397,TODAY(),"YM")&amp;" Bulan, "&amp;DATEDIF(S1397,TODAY(),"MD")&amp;" Hari")</f>
        <v>34 Tahun, 5 Bulan, 4 Hari</v>
      </c>
      <c r="AC1397" s="18" t="n">
        <v>45778</v>
      </c>
      <c r="AD1397" s="18" t="n">
        <v>46142</v>
      </c>
      <c r="AE1397" s="18" t="s">
        <v>44</v>
      </c>
    </row>
    <row r="1398" customFormat="false" ht="15" hidden="false" customHeight="true" outlineLevel="0" collapsed="false">
      <c r="A1398" s="12" t="n">
        <v>15188</v>
      </c>
      <c r="B1398" s="13" t="s">
        <v>6133</v>
      </c>
      <c r="C1398" s="14" t="n">
        <v>45413</v>
      </c>
      <c r="D1398" s="13" t="s">
        <v>5903</v>
      </c>
      <c r="E1398" s="15" t="s">
        <v>47</v>
      </c>
      <c r="F1398" s="15" t="str">
        <f aca="false">IFERROR(__xludf.dummyfunction("XLOOKUP(AJ1398,IMPORTRANGE(""1XaInW9DU9nz21V0tYIfzFQ0He9kVQ_JF2mCXgZ3hqFA"",""REKAP ALL 2026 - Andika!G:G""),IMPORTRANGE(""1XaInW9DU9nz21V0tYIfzFQ0He9kVQ_JF2mCXgZ3hqFA"",""REKAP ALL 2026 - Andika!F:F""),"""",0)"),"24075692384")</f>
        <v>24075692384</v>
      </c>
      <c r="G1398" s="15" t="s">
        <v>6134</v>
      </c>
      <c r="H1398" s="13" t="s">
        <v>35</v>
      </c>
      <c r="I1398" s="13" t="str">
        <f aca="false">IF(C1398=J1398,"NEW KONTRAK","RE-KONTRAK")</f>
        <v>RE-KONTRAK</v>
      </c>
      <c r="J1398" s="16" t="n">
        <f aca="false" t="array" ref="J1398:J1398">IFERROR(INDEX(AC1398:AE1398,IF(COUNTA(AC1398:AE1398)=0,"",MAX((AC1398:AE1398&lt;&gt;"")*(COLUMN(AC1398:AE1398)-(COLUMN(AC1398)))))-1),"")</f>
        <v>45778</v>
      </c>
      <c r="K1398" s="16" t="n">
        <f aca="false" t="array" ref="K1398:K1398">IFERROR(INDEX(AC1398:AE1398,IF(COUNTA(AC1398:AE1398)=0,"",MAX((AC1398:AE1398&lt;&gt;"")*(COLUMN(AC1398:AE1398)-(COLUMN(AC1398)-1))))-1),"")</f>
        <v>46142</v>
      </c>
      <c r="L1398" s="17" t="str">
        <f aca="false" t="array" ref="L1398:L1398">IFERROR(INDEX(AC1398:AE1398,IF(COUNTA(AC1398:AE1398)=0,"",MAX((AC1398:AE1398&lt;&gt;"")*(COLUMN(AC1398:AE1398)-(COLUMN(AC1398)-2))))-1),"")</f>
        <v>ARCHIVED</v>
      </c>
      <c r="M1398" s="13" t="n">
        <f aca="true">K1398-TODAY()</f>
        <v>-182</v>
      </c>
      <c r="N1398" s="50" t="s">
        <v>728</v>
      </c>
      <c r="O1398" s="13" t="s">
        <v>6135</v>
      </c>
      <c r="P1398" s="19" t="n">
        <f aca="false">IFERROR(__xludf.dummyfunction("INDEX(IMPORTRANGE(""12FwpLvlsVhD_IhxpEWawHHAWVeXnjXpHARKGUQ_nP_w"",""harga rukma!H:H""),MATCH(C1398,IMPORTRANGE(""12FwpLvlsVhD_IhxpEWawHHAWVeXnjXpHARKGUQ_nP_w"",""harga rukma!B:B""),0))"),5000000)</f>
        <v>5000000</v>
      </c>
      <c r="Q1398" s="20" t="s">
        <v>6136</v>
      </c>
      <c r="R1398" s="13" t="s">
        <v>52</v>
      </c>
      <c r="S1398" s="14" t="n">
        <v>36355</v>
      </c>
      <c r="T1398" s="13" t="s">
        <v>40</v>
      </c>
      <c r="U1398" s="13" t="s">
        <v>6137</v>
      </c>
      <c r="V1398" s="13" t="s">
        <v>42</v>
      </c>
      <c r="W1398" s="13" t="s">
        <v>43</v>
      </c>
      <c r="X1398" s="21" t="n">
        <v>82143657758</v>
      </c>
      <c r="Y1398" s="22" t="str">
        <f aca="false">O1398</f>
        <v>Ops Bongkaran</v>
      </c>
      <c r="Z1398" s="13" t="str">
        <f aca="false">IFERROR(__xludf.dummyfunction("if(BJ1398="""","""",GOOGLETRANSLATE(BJ1398,""auto"",""en""))"),"Demolition Operation")</f>
        <v>Demolition Operation</v>
      </c>
      <c r="AA1398" s="23" t="str">
        <f aca="false">IF(C1398="","", CHOOSE(MONTH(C1398),"January","February","March","April","May","June","July","August","September","October","November","December")&amp;" "&amp;DAY(C1398)&amp;MID("thstndrdth",MIN(9,2*RIGHT(DAY(C1398))*(MOD(DAY(C1398)-11,100)&gt;2)+1),2)&amp;","&amp;TEXT(C1398," yyyy"))</f>
        <v>May 1st,2024</v>
      </c>
      <c r="AB1398" s="15" t="str">
        <f aca="true">IF(S1398="","",DATEDIF(S1398,TODAY(),"Y")&amp;" Tahun, "&amp;DATEDIF(S1398,TODAY(),"YM")&amp;" Bulan, "&amp;DATEDIF(S1398,TODAY(),"MD")&amp;" Hari")</f>
        <v>27 Tahun, 3 Bulan, 15 Hari</v>
      </c>
      <c r="AC1398" s="18" t="n">
        <v>45778</v>
      </c>
      <c r="AD1398" s="18" t="n">
        <v>46142</v>
      </c>
      <c r="AE1398" s="18" t="s">
        <v>44</v>
      </c>
    </row>
    <row r="1399" customFormat="false" ht="15" hidden="false" customHeight="true" outlineLevel="0" collapsed="false">
      <c r="A1399" s="12" t="n">
        <v>15189</v>
      </c>
      <c r="B1399" s="13" t="s">
        <v>6138</v>
      </c>
      <c r="C1399" s="14" t="n">
        <v>45413</v>
      </c>
      <c r="D1399" s="13" t="s">
        <v>5903</v>
      </c>
      <c r="E1399" s="15" t="s">
        <v>47</v>
      </c>
      <c r="F1399" s="15" t="str">
        <f aca="false">IFERROR(__xludf.dummyfunction("XLOOKUP(AJ1399,IMPORTRANGE(""1XaInW9DU9nz21V0tYIfzFQ0He9kVQ_JF2mCXgZ3hqFA"",""REKAP ALL 2026 - Andika!G:G""),IMPORTRANGE(""1XaInW9DU9nz21V0tYIfzFQ0He9kVQ_JF2mCXgZ3hqFA"",""REKAP ALL 2026 - Andika!F:F""),"""",0)"),"24075692400")</f>
        <v>24075692400</v>
      </c>
      <c r="G1399" s="15" t="s">
        <v>6139</v>
      </c>
      <c r="H1399" s="13" t="s">
        <v>35</v>
      </c>
      <c r="I1399" s="13" t="str">
        <f aca="false">IF(C1399=J1399,"NEW KONTRAK","RE-KONTRAK")</f>
        <v>RE-KONTRAK</v>
      </c>
      <c r="J1399" s="16" t="n">
        <f aca="false" t="array" ref="J1399:J1399">IFERROR(INDEX(AC1399:AE1399,IF(COUNTA(AC1399:AE1399)=0,"",MAX((AC1399:AE1399&lt;&gt;"")*(COLUMN(AC1399:AE1399)-(COLUMN(AC1399)))))-1),"")</f>
        <v>45778</v>
      </c>
      <c r="K1399" s="16" t="n">
        <f aca="false" t="array" ref="K1399:K1399">IFERROR(INDEX(AC1399:AE1399,IF(COUNTA(AC1399:AE1399)=0,"",MAX((AC1399:AE1399&lt;&gt;"")*(COLUMN(AC1399:AE1399)-(COLUMN(AC1399)-1))))-1),"")</f>
        <v>46142</v>
      </c>
      <c r="L1399" s="17" t="str">
        <f aca="false" t="array" ref="L1399:L1399">IFERROR(INDEX(AC1399:AE1399,IF(COUNTA(AC1399:AE1399)=0,"",MAX((AC1399:AE1399&lt;&gt;"")*(COLUMN(AC1399:AE1399)-(COLUMN(AC1399)-2))))-1),"")</f>
        <v>ARCHIVED</v>
      </c>
      <c r="M1399" s="13" t="n">
        <f aca="true">K1399-TODAY()</f>
        <v>-182</v>
      </c>
      <c r="N1399" s="50" t="s">
        <v>728</v>
      </c>
      <c r="O1399" s="13" t="s">
        <v>6140</v>
      </c>
      <c r="P1399" s="19" t="n">
        <f aca="false">IFERROR(__xludf.dummyfunction("INDEX(IMPORTRANGE(""12FwpLvlsVhD_IhxpEWawHHAWVeXnjXpHARKGUQ_nP_w"",""harga rukma!H:H""),MATCH(C1399,IMPORTRANGE(""12FwpLvlsVhD_IhxpEWawHHAWVeXnjXpHARKGUQ_nP_w"",""harga rukma!B:B""),0))"),5300000)</f>
        <v>5300000</v>
      </c>
      <c r="Q1399" s="20" t="s">
        <v>6141</v>
      </c>
      <c r="R1399" s="13" t="s">
        <v>39</v>
      </c>
      <c r="S1399" s="14" t="n">
        <v>31285</v>
      </c>
      <c r="T1399" s="13" t="s">
        <v>40</v>
      </c>
      <c r="U1399" s="13" t="s">
        <v>6142</v>
      </c>
      <c r="V1399" s="13" t="s">
        <v>42</v>
      </c>
      <c r="W1399" s="13" t="s">
        <v>54</v>
      </c>
      <c r="X1399" s="21" t="n">
        <v>81252937662</v>
      </c>
      <c r="Y1399" s="22" t="str">
        <f aca="false">O1399</f>
        <v>Purchasing</v>
      </c>
      <c r="Z1399" s="13" t="str">
        <f aca="false">IFERROR(__xludf.dummyfunction("if(BJ1399="""","""",GOOGLETRANSLATE(BJ1399,""auto"",""en""))"),"Purchasing")</f>
        <v>Purchasing</v>
      </c>
      <c r="AA1399" s="23" t="str">
        <f aca="false">IF(C1399="","", CHOOSE(MONTH(C1399),"January","February","March","April","May","June","July","August","September","October","November","December")&amp;" "&amp;DAY(C1399)&amp;MID("thstndrdth",MIN(9,2*RIGHT(DAY(C1399))*(MOD(DAY(C1399)-11,100)&gt;2)+1),2)&amp;","&amp;TEXT(C1399," yyyy"))</f>
        <v>May 1st,2024</v>
      </c>
      <c r="AB1399" s="15" t="str">
        <f aca="true">IF(S1399="","",DATEDIF(S1399,TODAY(),"Y")&amp;" Tahun, "&amp;DATEDIF(S1399,TODAY(),"YM")&amp;" Bulan, "&amp;DATEDIF(S1399,TODAY(),"MD")&amp;" Hari")</f>
        <v>41 Tahun, 2 Bulan, 3 Hari</v>
      </c>
      <c r="AC1399" s="18" t="n">
        <v>45778</v>
      </c>
      <c r="AD1399" s="18" t="n">
        <v>46142</v>
      </c>
      <c r="AE1399" s="18" t="s">
        <v>44</v>
      </c>
    </row>
    <row r="1400" customFormat="false" ht="15" hidden="false" customHeight="true" outlineLevel="0" collapsed="false">
      <c r="A1400" s="12" t="n">
        <v>15190</v>
      </c>
      <c r="B1400" s="13" t="s">
        <v>6143</v>
      </c>
      <c r="C1400" s="14" t="n">
        <v>45413</v>
      </c>
      <c r="D1400" s="13" t="s">
        <v>5903</v>
      </c>
      <c r="E1400" s="15" t="s">
        <v>47</v>
      </c>
      <c r="F1400" s="15" t="str">
        <f aca="false">IFERROR(__xludf.dummyfunction("XLOOKUP(AJ1400,IMPORTRANGE(""1XaInW9DU9nz21V0tYIfzFQ0He9kVQ_JF2mCXgZ3hqFA"",""REKAP ALL 2026 - Andika!G:G""),IMPORTRANGE(""1XaInW9DU9nz21V0tYIfzFQ0He9kVQ_JF2mCXgZ3hqFA"",""REKAP ALL 2026 - Andika!F:F""),"""",0)"),"24075692426")</f>
        <v>24075692426</v>
      </c>
      <c r="G1400" s="15" t="s">
        <v>6144</v>
      </c>
      <c r="H1400" s="13" t="s">
        <v>35</v>
      </c>
      <c r="I1400" s="13" t="str">
        <f aca="false">IF(C1400=J1400,"NEW KONTRAK","RE-KONTRAK")</f>
        <v>RE-KONTRAK</v>
      </c>
      <c r="J1400" s="16" t="n">
        <f aca="false" t="array" ref="J1400:J1400">IFERROR(INDEX(AC1400:AE1400,IF(COUNTA(AC1400:AE1400)=0,"",MAX((AC1400:AE1400&lt;&gt;"")*(COLUMN(AC1400:AE1400)-(COLUMN(AC1400)))))-1),"")</f>
        <v>45778</v>
      </c>
      <c r="K1400" s="16" t="n">
        <f aca="false" t="array" ref="K1400:K1400">IFERROR(INDEX(AC1400:AE1400,IF(COUNTA(AC1400:AE1400)=0,"",MAX((AC1400:AE1400&lt;&gt;"")*(COLUMN(AC1400:AE1400)-(COLUMN(AC1400)-1))))-1),"")</f>
        <v>46142</v>
      </c>
      <c r="L1400" s="17" t="str">
        <f aca="false" t="array" ref="L1400:L1400">IFERROR(INDEX(AC1400:AE1400,IF(COUNTA(AC1400:AE1400)=0,"",MAX((AC1400:AE1400&lt;&gt;"")*(COLUMN(AC1400:AE1400)-(COLUMN(AC1400)-2))))-1),"")</f>
        <v>ARCHIVED</v>
      </c>
      <c r="M1400" s="13" t="n">
        <f aca="true">K1400-TODAY()</f>
        <v>-182</v>
      </c>
      <c r="N1400" s="50" t="s">
        <v>728</v>
      </c>
      <c r="O1400" s="13" t="s">
        <v>6017</v>
      </c>
      <c r="P1400" s="19" t="n">
        <f aca="false">IFERROR(__xludf.dummyfunction("INDEX(IMPORTRANGE(""12FwpLvlsVhD_IhxpEWawHHAWVeXnjXpHARKGUQ_nP_w"",""harga rukma!H:H""),MATCH(C1400,IMPORTRANGE(""12FwpLvlsVhD_IhxpEWawHHAWVeXnjXpHARKGUQ_nP_w"",""harga rukma!B:B""),0))"),5355000)</f>
        <v>5355000</v>
      </c>
      <c r="Q1400" s="20" t="s">
        <v>6145</v>
      </c>
      <c r="R1400" s="13" t="s">
        <v>246</v>
      </c>
      <c r="S1400" s="14" t="n">
        <v>34556</v>
      </c>
      <c r="T1400" s="13" t="s">
        <v>40</v>
      </c>
      <c r="U1400" s="13" t="s">
        <v>6146</v>
      </c>
      <c r="V1400" s="13" t="s">
        <v>42</v>
      </c>
      <c r="W1400" s="13" t="s">
        <v>43</v>
      </c>
      <c r="X1400" s="21" t="n">
        <v>82195366386</v>
      </c>
      <c r="Y1400" s="22" t="str">
        <f aca="false">O1400</f>
        <v>Teknisi Loading</v>
      </c>
      <c r="Z1400" s="13" t="str">
        <f aca="false">IFERROR(__xludf.dummyfunction("if(BJ1400="""","""",GOOGLETRANSLATE(BJ1400,""auto"",""en""))"),"Loading Technician")</f>
        <v>Loading Technician</v>
      </c>
      <c r="AA1400" s="23" t="str">
        <f aca="false">IF(C1400="","", CHOOSE(MONTH(C1400),"January","February","March","April","May","June","July","August","September","October","November","December")&amp;" "&amp;DAY(C1400)&amp;MID("thstndrdth",MIN(9,2*RIGHT(DAY(C1400))*(MOD(DAY(C1400)-11,100)&gt;2)+1),2)&amp;","&amp;TEXT(C1400," yyyy"))</f>
        <v>May 1st,2024</v>
      </c>
      <c r="AB1400" s="15" t="str">
        <f aca="true">IF(S1400="","",DATEDIF(S1400,TODAY(),"Y")&amp;" Tahun, "&amp;DATEDIF(S1400,TODAY(),"YM")&amp;" Bulan, "&amp;DATEDIF(S1400,TODAY(),"MD")&amp;" Hari")</f>
        <v>32 Tahun, 2 Bulan, 19 Hari</v>
      </c>
      <c r="AC1400" s="18" t="n">
        <v>45778</v>
      </c>
      <c r="AD1400" s="18" t="n">
        <v>46142</v>
      </c>
      <c r="AE1400" s="18" t="s">
        <v>44</v>
      </c>
    </row>
    <row r="1401" customFormat="false" ht="15" hidden="false" customHeight="true" outlineLevel="0" collapsed="false">
      <c r="A1401" s="12" t="n">
        <v>15191</v>
      </c>
      <c r="B1401" s="13" t="s">
        <v>6147</v>
      </c>
      <c r="C1401" s="14" t="n">
        <v>45413</v>
      </c>
      <c r="D1401" s="13" t="s">
        <v>5903</v>
      </c>
      <c r="E1401" s="15" t="s">
        <v>47</v>
      </c>
      <c r="F1401" s="15" t="str">
        <f aca="false">IFERROR(__xludf.dummyfunction("XLOOKUP(AJ1401,IMPORTRANGE(""1XaInW9DU9nz21V0tYIfzFQ0He9kVQ_JF2mCXgZ3hqFA"",""REKAP ALL 2026 - Andika!G:G""),IMPORTRANGE(""1XaInW9DU9nz21V0tYIfzFQ0He9kVQ_JF2mCXgZ3hqFA"",""REKAP ALL 2026 - Andika!F:F""),"""",0)"),"24075692954")</f>
        <v>24075692954</v>
      </c>
      <c r="G1401" s="15" t="s">
        <v>6148</v>
      </c>
      <c r="H1401" s="13" t="s">
        <v>35</v>
      </c>
      <c r="I1401" s="13" t="str">
        <f aca="false">IF(C1401=J1401,"NEW KONTRAK","RE-KONTRAK")</f>
        <v>RE-KONTRAK</v>
      </c>
      <c r="J1401" s="16" t="n">
        <f aca="false" t="array" ref="J1401:J1401">IFERROR(INDEX(AC1401:AE1401,IF(COUNTA(AC1401:AE1401)=0,"",MAX((AC1401:AE1401&lt;&gt;"")*(COLUMN(AC1401:AE1401)-(COLUMN(AC1401)))))-1),"")</f>
        <v>45778</v>
      </c>
      <c r="K1401" s="16" t="n">
        <f aca="false" t="array" ref="K1401:K1401">IFERROR(INDEX(AC1401:AE1401,IF(COUNTA(AC1401:AE1401)=0,"",MAX((AC1401:AE1401&lt;&gt;"")*(COLUMN(AC1401:AE1401)-(COLUMN(AC1401)-1))))-1),"")</f>
        <v>46142</v>
      </c>
      <c r="L1401" s="17" t="str">
        <f aca="false" t="array" ref="L1401:L1401">IFERROR(INDEX(AC1401:AE1401,IF(COUNTA(AC1401:AE1401)=0,"",MAX((AC1401:AE1401&lt;&gt;"")*(COLUMN(AC1401:AE1401)-(COLUMN(AC1401)-2))))-1),"")</f>
        <v>ARCHIVED</v>
      </c>
      <c r="M1401" s="13" t="n">
        <f aca="true">K1401-TODAY()</f>
        <v>-182</v>
      </c>
      <c r="N1401" s="50" t="s">
        <v>728</v>
      </c>
      <c r="O1401" s="13" t="s">
        <v>6149</v>
      </c>
      <c r="P1401" s="19" t="n">
        <f aca="false">IFERROR(__xludf.dummyfunction("INDEX(IMPORTRANGE(""12FwpLvlsVhD_IhxpEWawHHAWVeXnjXpHARKGUQ_nP_w"",""harga rukma!H:H""),MATCH(C1401,IMPORTRANGE(""12FwpLvlsVhD_IhxpEWawHHAWVeXnjXpHARKGUQ_nP_w"",""harga rukma!B:B""),0))"),4940000)</f>
        <v>4940000</v>
      </c>
      <c r="Q1401" s="20" t="s">
        <v>6150</v>
      </c>
      <c r="R1401" s="13" t="s">
        <v>83</v>
      </c>
      <c r="S1401" s="14" t="n">
        <v>35737</v>
      </c>
      <c r="T1401" s="13" t="s">
        <v>40</v>
      </c>
      <c r="U1401" s="13" t="s">
        <v>6151</v>
      </c>
      <c r="V1401" s="13" t="s">
        <v>42</v>
      </c>
      <c r="W1401" s="13" t="s">
        <v>43</v>
      </c>
      <c r="X1401" s="21" t="n">
        <v>85808221361</v>
      </c>
      <c r="Y1401" s="22" t="str">
        <f aca="false">O1401</f>
        <v>Admin Trucking</v>
      </c>
      <c r="Z1401" s="13" t="str">
        <f aca="false">IFERROR(__xludf.dummyfunction("if(BJ1401="""","""",GOOGLETRANSLATE(BJ1401,""auto"",""en""))"),"Admin Trucking")</f>
        <v>Admin Trucking</v>
      </c>
      <c r="AA1401" s="23" t="str">
        <f aca="false">IF(C1401="","", CHOOSE(MONTH(C1401),"January","February","March","April","May","June","July","August","September","October","November","December")&amp;" "&amp;DAY(C1401)&amp;MID("thstndrdth",MIN(9,2*RIGHT(DAY(C1401))*(MOD(DAY(C1401)-11,100)&gt;2)+1),2)&amp;","&amp;TEXT(C1401," yyyy"))</f>
        <v>May 1st,2024</v>
      </c>
      <c r="AB1401" s="15" t="str">
        <f aca="true">IF(S1401="","",DATEDIF(S1401,TODAY(),"Y")&amp;" Tahun, "&amp;DATEDIF(S1401,TODAY(),"YM")&amp;" Bulan, "&amp;DATEDIF(S1401,TODAY(),"MD")&amp;" Hari")</f>
        <v>28 Tahun, 11 Bulan, 26 Hari</v>
      </c>
      <c r="AC1401" s="18" t="n">
        <v>45778</v>
      </c>
      <c r="AD1401" s="18" t="n">
        <v>46142</v>
      </c>
      <c r="AE1401" s="18" t="s">
        <v>44</v>
      </c>
    </row>
    <row r="1402" customFormat="false" ht="15" hidden="false" customHeight="true" outlineLevel="0" collapsed="false">
      <c r="A1402" s="12" t="n">
        <v>15192</v>
      </c>
      <c r="B1402" s="13" t="s">
        <v>6152</v>
      </c>
      <c r="C1402" s="14" t="n">
        <v>45413</v>
      </c>
      <c r="D1402" s="13" t="s">
        <v>5903</v>
      </c>
      <c r="E1402" s="15" t="s">
        <v>47</v>
      </c>
      <c r="F1402" s="15" t="str">
        <f aca="false">IFERROR(__xludf.dummyfunction("XLOOKUP(AJ1402,IMPORTRANGE(""1XaInW9DU9nz21V0tYIfzFQ0He9kVQ_JF2mCXgZ3hqFA"",""REKAP ALL 2026 - Andika!G:G""),IMPORTRANGE(""1XaInW9DU9nz21V0tYIfzFQ0He9kVQ_JF2mCXgZ3hqFA"",""REKAP ALL 2026 - Andika!F:F""),"""",0)"),"24075692970")</f>
        <v>24075692970</v>
      </c>
      <c r="G1402" s="15" t="s">
        <v>6153</v>
      </c>
      <c r="H1402" s="13" t="s">
        <v>35</v>
      </c>
      <c r="I1402" s="13" t="str">
        <f aca="false">IF(C1402=J1402,"NEW KONTRAK","RE-KONTRAK")</f>
        <v>RE-KONTRAK</v>
      </c>
      <c r="J1402" s="16" t="n">
        <f aca="false" t="array" ref="J1402:J1402">IFERROR(INDEX(AC1402:AE1402,IF(COUNTA(AC1402:AE1402)=0,"",MAX((AC1402:AE1402&lt;&gt;"")*(COLUMN(AC1402:AE1402)-(COLUMN(AC1402)))))-1),"")</f>
        <v>45778</v>
      </c>
      <c r="K1402" s="16" t="n">
        <f aca="false" t="array" ref="K1402:K1402">IFERROR(INDEX(AC1402:AE1402,IF(COUNTA(AC1402:AE1402)=0,"",MAX((AC1402:AE1402&lt;&gt;"")*(COLUMN(AC1402:AE1402)-(COLUMN(AC1402)-1))))-1),"")</f>
        <v>46142</v>
      </c>
      <c r="L1402" s="17" t="str">
        <f aca="false" t="array" ref="L1402:L1402">IFERROR(INDEX(AC1402:AE1402,IF(COUNTA(AC1402:AE1402)=0,"",MAX((AC1402:AE1402&lt;&gt;"")*(COLUMN(AC1402:AE1402)-(COLUMN(AC1402)-2))))-1),"")</f>
        <v>ARCHIVED</v>
      </c>
      <c r="M1402" s="13" t="n">
        <f aca="true">K1402-TODAY()</f>
        <v>-182</v>
      </c>
      <c r="N1402" s="50" t="s">
        <v>728</v>
      </c>
      <c r="O1402" s="13" t="s">
        <v>6008</v>
      </c>
      <c r="P1402" s="19" t="n">
        <f aca="false">IFERROR(__xludf.dummyfunction("INDEX(IMPORTRANGE(""12FwpLvlsVhD_IhxpEWawHHAWVeXnjXpHARKGUQ_nP_w"",""harga rukma!H:H""),MATCH(C1402,IMPORTRANGE(""12FwpLvlsVhD_IhxpEWawHHAWVeXnjXpHARKGUQ_nP_w"",""harga rukma!B:B""),0))"),4576000)</f>
        <v>4576000</v>
      </c>
      <c r="Q1402" s="20" t="s">
        <v>6154</v>
      </c>
      <c r="R1402" s="13" t="s">
        <v>52</v>
      </c>
      <c r="S1402" s="14" t="n">
        <v>32668</v>
      </c>
      <c r="T1402" s="13" t="s">
        <v>40</v>
      </c>
      <c r="U1402" s="13" t="s">
        <v>6155</v>
      </c>
      <c r="V1402" s="13" t="s">
        <v>42</v>
      </c>
      <c r="W1402" s="13" t="s">
        <v>54</v>
      </c>
      <c r="X1402" s="21" t="n">
        <v>81231324488</v>
      </c>
      <c r="Y1402" s="22" t="str">
        <f aca="false">O1402</f>
        <v>Inv. Depo</v>
      </c>
      <c r="Z1402" s="13" t="str">
        <f aca="false">IFERROR(__xludf.dummyfunction("if(BJ1402="""","""",GOOGLETRANSLATE(BJ1402,""auto"",""en""))"),"Inv. Depo")</f>
        <v>Inv. Depo</v>
      </c>
      <c r="AA1402" s="23" t="str">
        <f aca="false">IF(C1402="","", CHOOSE(MONTH(C1402),"January","February","March","April","May","June","July","August","September","October","November","December")&amp;" "&amp;DAY(C1402)&amp;MID("thstndrdth",MIN(9,2*RIGHT(DAY(C1402))*(MOD(DAY(C1402)-11,100)&gt;2)+1),2)&amp;","&amp;TEXT(C1402," yyyy"))</f>
        <v>May 1st,2024</v>
      </c>
      <c r="AB1402" s="15" t="str">
        <f aca="true">IF(S1402="","",DATEDIF(S1402,TODAY(),"Y")&amp;" Tahun, "&amp;DATEDIF(S1402,TODAY(),"YM")&amp;" Bulan, "&amp;DATEDIF(S1402,TODAY(),"MD")&amp;" Hari")</f>
        <v>37 Tahun, 4 Bulan, 20 Hari</v>
      </c>
      <c r="AC1402" s="18" t="n">
        <v>45778</v>
      </c>
      <c r="AD1402" s="18" t="n">
        <v>46142</v>
      </c>
      <c r="AE1402" s="18" t="s">
        <v>44</v>
      </c>
    </row>
    <row r="1403" customFormat="false" ht="15" hidden="false" customHeight="true" outlineLevel="0" collapsed="false">
      <c r="A1403" s="12" t="n">
        <v>15193</v>
      </c>
      <c r="B1403" s="13" t="s">
        <v>6156</v>
      </c>
      <c r="C1403" s="14" t="n">
        <v>45413</v>
      </c>
      <c r="D1403" s="13" t="s">
        <v>5903</v>
      </c>
      <c r="E1403" s="15" t="s">
        <v>47</v>
      </c>
      <c r="F1403" s="15" t="str">
        <f aca="false">IFERROR(__xludf.dummyfunction("XLOOKUP(AJ1403,IMPORTRANGE(""1XaInW9DU9nz21V0tYIfzFQ0He9kVQ_JF2mCXgZ3hqFA"",""REKAP ALL 2026 - Andika!G:G""),IMPORTRANGE(""1XaInW9DU9nz21V0tYIfzFQ0He9kVQ_JF2mCXgZ3hqFA"",""REKAP ALL 2026 - Andika!F:F""),"""",0)"),"24075692988")</f>
        <v>24075692988</v>
      </c>
      <c r="G1403" s="15" t="s">
        <v>6157</v>
      </c>
      <c r="H1403" s="13" t="s">
        <v>35</v>
      </c>
      <c r="I1403" s="13" t="str">
        <f aca="false">IF(C1403=J1403,"NEW KONTRAK","RE-KONTRAK")</f>
        <v>RE-KONTRAK</v>
      </c>
      <c r="J1403" s="16" t="n">
        <f aca="false" t="array" ref="J1403:J1403">IFERROR(INDEX(AC1403:AE1403,IF(COUNTA(AC1403:AE1403)=0,"",MAX((AC1403:AE1403&lt;&gt;"")*(COLUMN(AC1403:AE1403)-(COLUMN(AC1403)))))-1),"")</f>
        <v>45778</v>
      </c>
      <c r="K1403" s="16" t="n">
        <f aca="false" t="array" ref="K1403:K1403">IFERROR(INDEX(AC1403:AE1403,IF(COUNTA(AC1403:AE1403)=0,"",MAX((AC1403:AE1403&lt;&gt;"")*(COLUMN(AC1403:AE1403)-(COLUMN(AC1403)-1))))-1),"")</f>
        <v>46142</v>
      </c>
      <c r="L1403" s="17" t="str">
        <f aca="false" t="array" ref="L1403:L1403">IFERROR(INDEX(AC1403:AE1403,IF(COUNTA(AC1403:AE1403)=0,"",MAX((AC1403:AE1403&lt;&gt;"")*(COLUMN(AC1403:AE1403)-(COLUMN(AC1403)-2))))-1),"")</f>
        <v>ARCHIVED</v>
      </c>
      <c r="M1403" s="13" t="n">
        <f aca="true">K1403-TODAY()</f>
        <v>-182</v>
      </c>
      <c r="N1403" s="50" t="s">
        <v>728</v>
      </c>
      <c r="O1403" s="13" t="s">
        <v>6158</v>
      </c>
      <c r="P1403" s="19" t="n">
        <f aca="false">IFERROR(__xludf.dummyfunction("INDEX(IMPORTRANGE(""12FwpLvlsVhD_IhxpEWawHHAWVeXnjXpHARKGUQ_nP_w"",""harga rukma!H:H""),MATCH(C1403,IMPORTRANGE(""12FwpLvlsVhD_IhxpEWawHHAWVeXnjXpHARKGUQ_nP_w"",""harga rukma!B:B""),0))"),4725000)</f>
        <v>4725000</v>
      </c>
      <c r="Q1403" s="20" t="s">
        <v>6159</v>
      </c>
      <c r="R1403" s="13" t="s">
        <v>52</v>
      </c>
      <c r="S1403" s="14" t="n">
        <v>34538</v>
      </c>
      <c r="T1403" s="13" t="s">
        <v>40</v>
      </c>
      <c r="U1403" s="13" t="s">
        <v>6160</v>
      </c>
      <c r="V1403" s="13" t="s">
        <v>42</v>
      </c>
      <c r="W1403" s="13" t="s">
        <v>897</v>
      </c>
      <c r="X1403" s="21" t="n">
        <v>895638030490</v>
      </c>
      <c r="Y1403" s="22" t="str">
        <f aca="false">O1403</f>
        <v>Inv. Teknisi</v>
      </c>
      <c r="Z1403" s="13" t="str">
        <f aca="false">IFERROR(__xludf.dummyfunction("if(BJ1403="""","""",GOOGLETRANSLATE(BJ1403,""auto"",""en""))"),"Inv. Technician")</f>
        <v>Inv. Technician</v>
      </c>
      <c r="AA1403" s="23" t="str">
        <f aca="false">IF(C1403="","", CHOOSE(MONTH(C1403),"January","February","March","April","May","June","July","August","September","October","November","December")&amp;" "&amp;DAY(C1403)&amp;MID("thstndrdth",MIN(9,2*RIGHT(DAY(C1403))*(MOD(DAY(C1403)-11,100)&gt;2)+1),2)&amp;","&amp;TEXT(C1403," yyyy"))</f>
        <v>May 1st,2024</v>
      </c>
      <c r="AB1403" s="15" t="str">
        <f aca="true">IF(S1403="","",DATEDIF(S1403,TODAY(),"Y")&amp;" Tahun, "&amp;DATEDIF(S1403,TODAY(),"YM")&amp;" Bulan, "&amp;DATEDIF(S1403,TODAY(),"MD")&amp;" Hari")</f>
        <v>32 Tahun, 3 Bulan, 6 Hari</v>
      </c>
      <c r="AC1403" s="18" t="n">
        <v>45778</v>
      </c>
      <c r="AD1403" s="18" t="n">
        <v>46142</v>
      </c>
      <c r="AE1403" s="18" t="s">
        <v>44</v>
      </c>
    </row>
    <row r="1404" customFormat="false" ht="15" hidden="false" customHeight="true" outlineLevel="0" collapsed="false">
      <c r="A1404" s="12" t="n">
        <v>15194</v>
      </c>
      <c r="B1404" s="13" t="s">
        <v>6161</v>
      </c>
      <c r="C1404" s="14" t="n">
        <v>45413</v>
      </c>
      <c r="D1404" s="13" t="s">
        <v>5903</v>
      </c>
      <c r="E1404" s="15" t="s">
        <v>47</v>
      </c>
      <c r="F1404" s="15" t="str">
        <f aca="false">IFERROR(__xludf.dummyfunction("XLOOKUP(AJ1404,IMPORTRANGE(""1XaInW9DU9nz21V0tYIfzFQ0He9kVQ_JF2mCXgZ3hqFA"",""REKAP ALL 2026 - Andika!G:G""),IMPORTRANGE(""1XaInW9DU9nz21V0tYIfzFQ0He9kVQ_JF2mCXgZ3hqFA"",""REKAP ALL 2026 - Andika!F:F""),"""",0)"),"24075693028")</f>
        <v>24075693028</v>
      </c>
      <c r="G1404" s="15" t="s">
        <v>6162</v>
      </c>
      <c r="H1404" s="13" t="s">
        <v>35</v>
      </c>
      <c r="I1404" s="13" t="str">
        <f aca="false">IF(C1404=J1404,"NEW KONTRAK","RE-KONTRAK")</f>
        <v>RE-KONTRAK</v>
      </c>
      <c r="J1404" s="16" t="n">
        <f aca="false" t="array" ref="J1404:J1404">IFERROR(INDEX(AC1404:AE1404,IF(COUNTA(AC1404:AE1404)=0,"",MAX((AC1404:AE1404&lt;&gt;"")*(COLUMN(AC1404:AE1404)-(COLUMN(AC1404)))))-1),"")</f>
        <v>45778</v>
      </c>
      <c r="K1404" s="16" t="n">
        <f aca="false" t="array" ref="K1404:K1404">IFERROR(INDEX(AC1404:AE1404,IF(COUNTA(AC1404:AE1404)=0,"",MAX((AC1404:AE1404&lt;&gt;"")*(COLUMN(AC1404:AE1404)-(COLUMN(AC1404)-1))))-1),"")</f>
        <v>46142</v>
      </c>
      <c r="L1404" s="17" t="str">
        <f aca="false" t="array" ref="L1404:L1404">IFERROR(INDEX(AC1404:AE1404,IF(COUNTA(AC1404:AE1404)=0,"",MAX((AC1404:AE1404&lt;&gt;"")*(COLUMN(AC1404:AE1404)-(COLUMN(AC1404)-2))))-1),"")</f>
        <v>ARCHIVED</v>
      </c>
      <c r="M1404" s="13" t="n">
        <f aca="true">K1404-TODAY()</f>
        <v>-182</v>
      </c>
      <c r="N1404" s="50" t="s">
        <v>728</v>
      </c>
      <c r="O1404" s="13" t="s">
        <v>76</v>
      </c>
      <c r="P1404" s="19" t="n">
        <f aca="false">IFERROR(__xludf.dummyfunction("INDEX(IMPORTRANGE(""12FwpLvlsVhD_IhxpEWawHHAWVeXnjXpHARKGUQ_nP_w"",""harga rukma!H:H""),MATCH(C1404,IMPORTRANGE(""12FwpLvlsVhD_IhxpEWawHHAWVeXnjXpHARKGUQ_nP_w"",""harga rukma!B:B""),0))"),5512000)</f>
        <v>5512000</v>
      </c>
      <c r="Q1404" s="20" t="s">
        <v>6163</v>
      </c>
      <c r="R1404" s="13" t="s">
        <v>401</v>
      </c>
      <c r="S1404" s="14" t="n">
        <v>31908</v>
      </c>
      <c r="T1404" s="13" t="s">
        <v>40</v>
      </c>
      <c r="U1404" s="13" t="s">
        <v>6164</v>
      </c>
      <c r="V1404" s="13" t="s">
        <v>42</v>
      </c>
      <c r="W1404" s="13" t="s">
        <v>54</v>
      </c>
      <c r="X1404" s="21" t="n">
        <v>85335833311</v>
      </c>
      <c r="Y1404" s="22" t="str">
        <f aca="false">O1404</f>
        <v>Operator Forklift</v>
      </c>
      <c r="Z1404" s="13" t="str">
        <f aca="false">IFERROR(__xludf.dummyfunction("if(BJ1404="""","""",GOOGLETRANSLATE(BJ1404,""auto"",""en""))"),"Operator Forklift")</f>
        <v>Operator Forklift</v>
      </c>
      <c r="AA1404" s="23" t="str">
        <f aca="false">IF(C1404="","", CHOOSE(MONTH(C1404),"January","February","March","April","May","June","July","August","September","October","November","December")&amp;" "&amp;DAY(C1404)&amp;MID("thstndrdth",MIN(9,2*RIGHT(DAY(C1404))*(MOD(DAY(C1404)-11,100)&gt;2)+1),2)&amp;","&amp;TEXT(C1404," yyyy"))</f>
        <v>May 1st,2024</v>
      </c>
      <c r="AB1404" s="15" t="str">
        <f aca="true">IF(S1404="","",DATEDIF(S1404,TODAY(),"Y")&amp;" Tahun, "&amp;DATEDIF(S1404,TODAY(),"YM")&amp;" Bulan, "&amp;DATEDIF(S1404,TODAY(),"MD")&amp;" Hari")</f>
        <v>39 Tahun, 5 Bulan, 18 Hari</v>
      </c>
      <c r="AC1404" s="18" t="n">
        <v>45778</v>
      </c>
      <c r="AD1404" s="18" t="n">
        <v>46142</v>
      </c>
      <c r="AE1404" s="18" t="s">
        <v>44</v>
      </c>
    </row>
    <row r="1405" customFormat="false" ht="15" hidden="false" customHeight="true" outlineLevel="0" collapsed="false">
      <c r="A1405" s="12" t="n">
        <v>15195</v>
      </c>
      <c r="B1405" s="13" t="s">
        <v>6165</v>
      </c>
      <c r="C1405" s="14" t="n">
        <v>45413</v>
      </c>
      <c r="D1405" s="13" t="s">
        <v>5903</v>
      </c>
      <c r="E1405" s="15" t="s">
        <v>47</v>
      </c>
      <c r="F1405" s="15" t="str">
        <f aca="false">IFERROR(__xludf.dummyfunction("XLOOKUP(AJ1405,IMPORTRANGE(""1XaInW9DU9nz21V0tYIfzFQ0He9kVQ_JF2mCXgZ3hqFA"",""REKAP ALL 2026 - Andika!G:G""),IMPORTRANGE(""1XaInW9DU9nz21V0tYIfzFQ0He9kVQ_JF2mCXgZ3hqFA"",""REKAP ALL 2026 - Andika!F:F""),"""",0)"),"24075693036")</f>
        <v>24075693036</v>
      </c>
      <c r="G1405" s="15" t="s">
        <v>6166</v>
      </c>
      <c r="H1405" s="13" t="s">
        <v>35</v>
      </c>
      <c r="I1405" s="13" t="str">
        <f aca="false">IF(C1405=J1405,"NEW KONTRAK","RE-KONTRAK")</f>
        <v>RE-KONTRAK</v>
      </c>
      <c r="J1405" s="16" t="n">
        <f aca="false" t="array" ref="J1405:J1405">IFERROR(INDEX(AC1405:AE1405,IF(COUNTA(AC1405:AE1405)=0,"",MAX((AC1405:AE1405&lt;&gt;"")*(COLUMN(AC1405:AE1405)-(COLUMN(AC1405)))))-1),"")</f>
        <v>45778</v>
      </c>
      <c r="K1405" s="16" t="n">
        <f aca="false" t="array" ref="K1405:K1405">IFERROR(INDEX(AC1405:AE1405,IF(COUNTA(AC1405:AE1405)=0,"",MAX((AC1405:AE1405&lt;&gt;"")*(COLUMN(AC1405:AE1405)-(COLUMN(AC1405)-1))))-1),"")</f>
        <v>46142</v>
      </c>
      <c r="L1405" s="17" t="str">
        <f aca="false" t="array" ref="L1405:L1405">IFERROR(INDEX(AC1405:AE1405,IF(COUNTA(AC1405:AE1405)=0,"",MAX((AC1405:AE1405&lt;&gt;"")*(COLUMN(AC1405:AE1405)-(COLUMN(AC1405)-2))))-1),"")</f>
        <v>ARCHIVED</v>
      </c>
      <c r="M1405" s="13" t="n">
        <f aca="true">K1405-TODAY()</f>
        <v>-182</v>
      </c>
      <c r="N1405" s="50" t="s">
        <v>728</v>
      </c>
      <c r="O1405" s="13" t="s">
        <v>5032</v>
      </c>
      <c r="P1405" s="19" t="n">
        <f aca="false">IFERROR(__xludf.dummyfunction("INDEX(IMPORTRANGE(""12FwpLvlsVhD_IhxpEWawHHAWVeXnjXpHARKGUQ_nP_w"",""harga rukma!H:H""),MATCH(C1405,IMPORTRANGE(""12FwpLvlsVhD_IhxpEWawHHAWVeXnjXpHARKGUQ_nP_w"",""harga rukma!B:B""),0))"),4212000)</f>
        <v>4212000</v>
      </c>
      <c r="Q1405" s="20" t="s">
        <v>6167</v>
      </c>
      <c r="R1405" s="13" t="s">
        <v>958</v>
      </c>
      <c r="S1405" s="14" t="n">
        <v>30484</v>
      </c>
      <c r="T1405" s="13" t="s">
        <v>40</v>
      </c>
      <c r="U1405" s="13" t="s">
        <v>6168</v>
      </c>
      <c r="V1405" s="13" t="s">
        <v>42</v>
      </c>
      <c r="W1405" s="13" t="s">
        <v>54</v>
      </c>
      <c r="X1405" s="21" t="n">
        <v>81235522758</v>
      </c>
      <c r="Y1405" s="22" t="str">
        <f aca="false">O1405</f>
        <v>Operator Genset</v>
      </c>
      <c r="Z1405" s="13" t="str">
        <f aca="false">IFERROR(__xludf.dummyfunction("if(BJ1405="""","""",GOOGLETRANSLATE(BJ1405,""auto"",""en""))"),"Generator Operator")</f>
        <v>Generator Operator</v>
      </c>
      <c r="AA1405" s="23" t="str">
        <f aca="false">IF(C1405="","", CHOOSE(MONTH(C1405),"January","February","March","April","May","June","July","August","September","October","November","December")&amp;" "&amp;DAY(C1405)&amp;MID("thstndrdth",MIN(9,2*RIGHT(DAY(C1405))*(MOD(DAY(C1405)-11,100)&gt;2)+1),2)&amp;","&amp;TEXT(C1405," yyyy"))</f>
        <v>May 1st,2024</v>
      </c>
      <c r="AB1405" s="15" t="str">
        <f aca="true">IF(S1405="","",DATEDIF(S1405,TODAY(),"Y")&amp;" Tahun, "&amp;DATEDIF(S1405,TODAY(),"YM")&amp;" Bulan, "&amp;DATEDIF(S1405,TODAY(),"MD")&amp;" Hari")</f>
        <v>43 Tahun, 4 Bulan, 12 Hari</v>
      </c>
      <c r="AC1405" s="18" t="n">
        <v>45778</v>
      </c>
      <c r="AD1405" s="18" t="n">
        <v>46142</v>
      </c>
      <c r="AE1405" s="18" t="s">
        <v>44</v>
      </c>
    </row>
    <row r="1406" customFormat="false" ht="15" hidden="false" customHeight="true" outlineLevel="0" collapsed="false">
      <c r="A1406" s="12" t="n">
        <v>15196</v>
      </c>
      <c r="B1406" s="13" t="s">
        <v>6169</v>
      </c>
      <c r="C1406" s="14" t="n">
        <v>45413</v>
      </c>
      <c r="D1406" s="13" t="s">
        <v>5903</v>
      </c>
      <c r="E1406" s="15" t="s">
        <v>47</v>
      </c>
      <c r="F1406" s="15" t="str">
        <f aca="false">IFERROR(__xludf.dummyfunction("XLOOKUP(AJ1406,IMPORTRANGE(""1XaInW9DU9nz21V0tYIfzFQ0He9kVQ_JF2mCXgZ3hqFA"",""REKAP ALL 2026 - Andika!G:G""),IMPORTRANGE(""1XaInW9DU9nz21V0tYIfzFQ0He9kVQ_JF2mCXgZ3hqFA"",""REKAP ALL 2026 - Andika!F:F""),"""",0)"),"24075693051")</f>
        <v>24075693051</v>
      </c>
      <c r="G1406" s="15" t="s">
        <v>6170</v>
      </c>
      <c r="H1406" s="13" t="s">
        <v>35</v>
      </c>
      <c r="I1406" s="13" t="str">
        <f aca="false">IF(C1406=J1406,"NEW KONTRAK","RE-KONTRAK")</f>
        <v>RE-KONTRAK</v>
      </c>
      <c r="J1406" s="16" t="n">
        <f aca="false" t="array" ref="J1406:J1406">IFERROR(INDEX(AC1406:AE1406,IF(COUNTA(AC1406:AE1406)=0,"",MAX((AC1406:AE1406&lt;&gt;"")*(COLUMN(AC1406:AE1406)-(COLUMN(AC1406)))))-1),"")</f>
        <v>45778</v>
      </c>
      <c r="K1406" s="16" t="n">
        <f aca="false" t="array" ref="K1406:K1406">IFERROR(INDEX(AC1406:AE1406,IF(COUNTA(AC1406:AE1406)=0,"",MAX((AC1406:AE1406&lt;&gt;"")*(COLUMN(AC1406:AE1406)-(COLUMN(AC1406)-1))))-1),"")</f>
        <v>46142</v>
      </c>
      <c r="L1406" s="17" t="str">
        <f aca="false" t="array" ref="L1406:L1406">IFERROR(INDEX(AC1406:AE1406,IF(COUNTA(AC1406:AE1406)=0,"",MAX((AC1406:AE1406&lt;&gt;"")*(COLUMN(AC1406:AE1406)-(COLUMN(AC1406)-2))))-1),"")</f>
        <v>ARCHIVED</v>
      </c>
      <c r="M1406" s="13" t="n">
        <f aca="true">K1406-TODAY()</f>
        <v>-182</v>
      </c>
      <c r="N1406" s="50" t="s">
        <v>728</v>
      </c>
      <c r="O1406" s="13" t="s">
        <v>5032</v>
      </c>
      <c r="P1406" s="19" t="n">
        <f aca="false">IFERROR(__xludf.dummyfunction("INDEX(IMPORTRANGE(""12FwpLvlsVhD_IhxpEWawHHAWVeXnjXpHARKGUQ_nP_w"",""harga rukma!H:H""),MATCH(C1406,IMPORTRANGE(""12FwpLvlsVhD_IhxpEWawHHAWVeXnjXpHARKGUQ_nP_w"",""harga rukma!B:B""),0))"),4316000)</f>
        <v>4316000</v>
      </c>
      <c r="Q1406" s="20" t="s">
        <v>6171</v>
      </c>
      <c r="R1406" s="13" t="s">
        <v>39</v>
      </c>
      <c r="S1406" s="14" t="n">
        <v>30916</v>
      </c>
      <c r="T1406" s="13" t="s">
        <v>40</v>
      </c>
      <c r="U1406" s="13" t="s">
        <v>6172</v>
      </c>
      <c r="V1406" s="13" t="s">
        <v>42</v>
      </c>
      <c r="W1406" s="13" t="s">
        <v>54</v>
      </c>
      <c r="X1406" s="21" t="n">
        <v>81217376672</v>
      </c>
      <c r="Y1406" s="22" t="str">
        <f aca="false">O1406</f>
        <v>Operator Genset</v>
      </c>
      <c r="Z1406" s="13" t="str">
        <f aca="false">IFERROR(__xludf.dummyfunction("if(BJ1406="""","""",GOOGLETRANSLATE(BJ1406,""auto"",""en""))"),"Generator Operator")</f>
        <v>Generator Operator</v>
      </c>
      <c r="AA1406" s="23" t="str">
        <f aca="false">IF(C1406="","", CHOOSE(MONTH(C1406),"January","February","March","April","May","June","July","August","September","October","November","December")&amp;" "&amp;DAY(C1406)&amp;MID("thstndrdth",MIN(9,2*RIGHT(DAY(C1406))*(MOD(DAY(C1406)-11,100)&gt;2)+1),2)&amp;","&amp;TEXT(C1406," yyyy"))</f>
        <v>May 1st,2024</v>
      </c>
      <c r="AB1406" s="15" t="str">
        <f aca="true">IF(S1406="","",DATEDIF(S1406,TODAY(),"Y")&amp;" Tahun, "&amp;DATEDIF(S1406,TODAY(),"YM")&amp;" Bulan, "&amp;DATEDIF(S1406,TODAY(),"MD")&amp;" Hari")</f>
        <v>42 Tahun, 2 Bulan, 7 Hari</v>
      </c>
      <c r="AC1406" s="18" t="n">
        <v>45778</v>
      </c>
      <c r="AD1406" s="18" t="n">
        <v>46142</v>
      </c>
      <c r="AE1406" s="18" t="s">
        <v>44</v>
      </c>
    </row>
    <row r="1407" customFormat="false" ht="15" hidden="false" customHeight="true" outlineLevel="0" collapsed="false">
      <c r="A1407" s="12" t="n">
        <v>15197</v>
      </c>
      <c r="B1407" s="13" t="s">
        <v>6173</v>
      </c>
      <c r="C1407" s="14" t="n">
        <v>45413</v>
      </c>
      <c r="D1407" s="13" t="s">
        <v>5903</v>
      </c>
      <c r="E1407" s="15" t="s">
        <v>47</v>
      </c>
      <c r="F1407" s="15" t="str">
        <f aca="false">IFERROR(__xludf.dummyfunction("XLOOKUP(AJ1407,IMPORTRANGE(""1XaInW9DU9nz21V0tYIfzFQ0He9kVQ_JF2mCXgZ3hqFA"",""REKAP ALL 2026 - Andika!G:G""),IMPORTRANGE(""1XaInW9DU9nz21V0tYIfzFQ0He9kVQ_JF2mCXgZ3hqFA"",""REKAP ALL 2026 - Andika!F:F""),"""",0)"),"24075693069")</f>
        <v>24075693069</v>
      </c>
      <c r="G1407" s="15" t="s">
        <v>6174</v>
      </c>
      <c r="H1407" s="13" t="s">
        <v>35</v>
      </c>
      <c r="I1407" s="13" t="str">
        <f aca="false">IF(C1407=J1407,"NEW KONTRAK","RE-KONTRAK")</f>
        <v>RE-KONTRAK</v>
      </c>
      <c r="J1407" s="16" t="n">
        <f aca="false" t="array" ref="J1407:J1407">IFERROR(INDEX(AC1407:AE1407,IF(COUNTA(AC1407:AE1407)=0,"",MAX((AC1407:AE1407&lt;&gt;"")*(COLUMN(AC1407:AE1407)-(COLUMN(AC1407)))))-1),"")</f>
        <v>45778</v>
      </c>
      <c r="K1407" s="16" t="n">
        <f aca="false" t="array" ref="K1407:K1407">IFERROR(INDEX(AC1407:AE1407,IF(COUNTA(AC1407:AE1407)=0,"",MAX((AC1407:AE1407&lt;&gt;"")*(COLUMN(AC1407:AE1407)-(COLUMN(AC1407)-1))))-1),"")</f>
        <v>46142</v>
      </c>
      <c r="L1407" s="17" t="str">
        <f aca="false" t="array" ref="L1407:L1407">IFERROR(INDEX(AC1407:AE1407,IF(COUNTA(AC1407:AE1407)=0,"",MAX((AC1407:AE1407&lt;&gt;"")*(COLUMN(AC1407:AE1407)-(COLUMN(AC1407)-2))))-1),"")</f>
        <v>ARCHIVED</v>
      </c>
      <c r="M1407" s="13" t="n">
        <f aca="true">K1407-TODAY()</f>
        <v>-182</v>
      </c>
      <c r="N1407" s="50" t="s">
        <v>728</v>
      </c>
      <c r="O1407" s="13" t="s">
        <v>624</v>
      </c>
      <c r="P1407" s="19" t="n">
        <f aca="false">IFERROR(__xludf.dummyfunction("INDEX(IMPORTRANGE(""12FwpLvlsVhD_IhxpEWawHHAWVeXnjXpHARKGUQ_nP_w"",""harga rukma!H:H""),MATCH(C1407,IMPORTRANGE(""12FwpLvlsVhD_IhxpEWawHHAWVeXnjXpHARKGUQ_nP_w"",""harga rukma!B:B""),0))"),5356000)</f>
        <v>5356000</v>
      </c>
      <c r="Q1407" s="20" t="s">
        <v>6175</v>
      </c>
      <c r="R1407" s="13" t="s">
        <v>78</v>
      </c>
      <c r="S1407" s="14" t="n">
        <v>30702</v>
      </c>
      <c r="T1407" s="13" t="s">
        <v>40</v>
      </c>
      <c r="U1407" s="13" t="s">
        <v>6176</v>
      </c>
      <c r="V1407" s="13" t="s">
        <v>42</v>
      </c>
      <c r="W1407" s="13" t="s">
        <v>54</v>
      </c>
      <c r="X1407" s="21" t="n">
        <v>81515224264</v>
      </c>
      <c r="Y1407" s="22" t="str">
        <f aca="false">O1407</f>
        <v>Quality Control</v>
      </c>
      <c r="Z1407" s="13" t="str">
        <f aca="false">IFERROR(__xludf.dummyfunction("if(BJ1407="""","""",GOOGLETRANSLATE(BJ1407,""auto"",""en""))"),"Quality Control")</f>
        <v>Quality Control</v>
      </c>
      <c r="AA1407" s="23" t="str">
        <f aca="false">IF(C1407="","", CHOOSE(MONTH(C1407),"January","February","March","April","May","June","July","August","September","October","November","December")&amp;" "&amp;DAY(C1407)&amp;MID("thstndrdth",MIN(9,2*RIGHT(DAY(C1407))*(MOD(DAY(C1407)-11,100)&gt;2)+1),2)&amp;","&amp;TEXT(C1407," yyyy"))</f>
        <v>May 1st,2024</v>
      </c>
      <c r="AB1407" s="15" t="str">
        <f aca="true">IF(S1407="","",DATEDIF(S1407,TODAY(),"Y")&amp;" Tahun, "&amp;DATEDIF(S1407,TODAY(),"YM")&amp;" Bulan, "&amp;DATEDIF(S1407,TODAY(),"MD")&amp;" Hari")</f>
        <v>42 Tahun, 9 Bulan, 8 Hari</v>
      </c>
      <c r="AC1407" s="18" t="n">
        <v>45778</v>
      </c>
      <c r="AD1407" s="18" t="n">
        <v>46142</v>
      </c>
      <c r="AE1407" s="18" t="s">
        <v>44</v>
      </c>
    </row>
    <row r="1408" customFormat="false" ht="15" hidden="false" customHeight="true" outlineLevel="0" collapsed="false">
      <c r="A1408" s="12" t="n">
        <v>15198</v>
      </c>
      <c r="B1408" s="13" t="s">
        <v>6177</v>
      </c>
      <c r="C1408" s="14" t="n">
        <v>45413</v>
      </c>
      <c r="D1408" s="13" t="s">
        <v>5903</v>
      </c>
      <c r="E1408" s="15" t="s">
        <v>47</v>
      </c>
      <c r="F1408" s="15" t="str">
        <f aca="false">IFERROR(__xludf.dummyfunction("XLOOKUP(AJ1408,IMPORTRANGE(""1XaInW9DU9nz21V0tYIfzFQ0He9kVQ_JF2mCXgZ3hqFA"",""REKAP ALL 2026 - Andika!G:G""),IMPORTRANGE(""1XaInW9DU9nz21V0tYIfzFQ0He9kVQ_JF2mCXgZ3hqFA"",""REKAP ALL 2026 - Andika!F:F""),"""",0)"),"24075693077")</f>
        <v>24075693077</v>
      </c>
      <c r="G1408" s="15" t="s">
        <v>6178</v>
      </c>
      <c r="H1408" s="13" t="s">
        <v>35</v>
      </c>
      <c r="I1408" s="13" t="str">
        <f aca="false">IF(C1408=J1408,"NEW KONTRAK","RE-KONTRAK")</f>
        <v>RE-KONTRAK</v>
      </c>
      <c r="J1408" s="16" t="n">
        <f aca="false" t="array" ref="J1408:J1408">IFERROR(INDEX(AC1408:AE1408,IF(COUNTA(AC1408:AE1408)=0,"",MAX((AC1408:AE1408&lt;&gt;"")*(COLUMN(AC1408:AE1408)-(COLUMN(AC1408)))))-1),"")</f>
        <v>45778</v>
      </c>
      <c r="K1408" s="16" t="n">
        <f aca="false" t="array" ref="K1408:K1408">IFERROR(INDEX(AC1408:AE1408,IF(COUNTA(AC1408:AE1408)=0,"",MAX((AC1408:AE1408&lt;&gt;"")*(COLUMN(AC1408:AE1408)-(COLUMN(AC1408)-1))))-1),"")</f>
        <v>46142</v>
      </c>
      <c r="L1408" s="17" t="str">
        <f aca="false" t="array" ref="L1408:L1408">IFERROR(INDEX(AC1408:AE1408,IF(COUNTA(AC1408:AE1408)=0,"",MAX((AC1408:AE1408&lt;&gt;"")*(COLUMN(AC1408:AE1408)-(COLUMN(AC1408)-2))))-1),"")</f>
        <v>ARCHIVED</v>
      </c>
      <c r="M1408" s="13" t="n">
        <f aca="true">K1408-TODAY()</f>
        <v>-182</v>
      </c>
      <c r="N1408" s="50" t="s">
        <v>728</v>
      </c>
      <c r="O1408" s="13" t="s">
        <v>6064</v>
      </c>
      <c r="P1408" s="19" t="n">
        <f aca="false">IFERROR(__xludf.dummyfunction("INDEX(IMPORTRANGE(""12FwpLvlsVhD_IhxpEWawHHAWVeXnjXpHARKGUQ_nP_w"",""harga rukma!H:H""),MATCH(C1408,IMPORTRANGE(""12FwpLvlsVhD_IhxpEWawHHAWVeXnjXpHARKGUQ_nP_w"",""harga rukma!B:B""),0))"),5355000)</f>
        <v>5355000</v>
      </c>
      <c r="Q1408" s="20" t="s">
        <v>6179</v>
      </c>
      <c r="R1408" s="13" t="s">
        <v>6180</v>
      </c>
      <c r="S1408" s="14" t="n">
        <v>30340</v>
      </c>
      <c r="T1408" s="13" t="s">
        <v>40</v>
      </c>
      <c r="U1408" s="13" t="s">
        <v>6181</v>
      </c>
      <c r="V1408" s="13" t="s">
        <v>42</v>
      </c>
      <c r="W1408" s="13" t="s">
        <v>54</v>
      </c>
      <c r="X1408" s="21" t="n">
        <v>85224697538</v>
      </c>
      <c r="Y1408" s="22" t="str">
        <f aca="false">O1408</f>
        <v>Reeferman Layar</v>
      </c>
      <c r="Z1408" s="13" t="str">
        <f aca="false">IFERROR(__xludf.dummyfunction("if(BJ1408="""","""",GOOGLETRANSLATE(BJ1408,""auto"",""en""))"),"Reeferman Screen")</f>
        <v>Reeferman Screen</v>
      </c>
      <c r="AA1408" s="23" t="str">
        <f aca="false">IF(C1408="","", CHOOSE(MONTH(C1408),"January","February","March","April","May","June","July","August","September","October","November","December")&amp;" "&amp;DAY(C1408)&amp;MID("thstndrdth",MIN(9,2*RIGHT(DAY(C1408))*(MOD(DAY(C1408)-11,100)&gt;2)+1),2)&amp;","&amp;TEXT(C1408," yyyy"))</f>
        <v>May 1st,2024</v>
      </c>
      <c r="AB1408" s="15" t="str">
        <f aca="true">IF(S1408="","",DATEDIF(S1408,TODAY(),"Y")&amp;" Tahun, "&amp;DATEDIF(S1408,TODAY(),"YM")&amp;" Bulan, "&amp;DATEDIF(S1408,TODAY(),"MD")&amp;" Hari")</f>
        <v>43 Tahun, 9 Bulan, 5 Hari</v>
      </c>
      <c r="AC1408" s="18" t="n">
        <v>45778</v>
      </c>
      <c r="AD1408" s="18" t="n">
        <v>46142</v>
      </c>
      <c r="AE1408" s="18" t="s">
        <v>44</v>
      </c>
    </row>
    <row r="1409" customFormat="false" ht="15" hidden="false" customHeight="true" outlineLevel="0" collapsed="false">
      <c r="A1409" s="12" t="n">
        <v>15199</v>
      </c>
      <c r="B1409" s="13" t="s">
        <v>6182</v>
      </c>
      <c r="C1409" s="14" t="n">
        <v>45413</v>
      </c>
      <c r="D1409" s="13" t="s">
        <v>5903</v>
      </c>
      <c r="E1409" s="15" t="s">
        <v>47</v>
      </c>
      <c r="F1409" s="15" t="str">
        <f aca="false">IFERROR(__xludf.dummyfunction("XLOOKUP(AJ1409,IMPORTRANGE(""1XaInW9DU9nz21V0tYIfzFQ0He9kVQ_JF2mCXgZ3hqFA"",""REKAP ALL 2026 - Andika!G:G""),IMPORTRANGE(""1XaInW9DU9nz21V0tYIfzFQ0He9kVQ_JF2mCXgZ3hqFA"",""REKAP ALL 2026 - Andika!F:F""),"""",0)"),"24075693085")</f>
        <v>24075693085</v>
      </c>
      <c r="G1409" s="15" t="s">
        <v>6183</v>
      </c>
      <c r="H1409" s="13" t="s">
        <v>35</v>
      </c>
      <c r="I1409" s="13" t="str">
        <f aca="false">IF(C1409=J1409,"NEW KONTRAK","RE-KONTRAK")</f>
        <v>RE-KONTRAK</v>
      </c>
      <c r="J1409" s="16" t="n">
        <f aca="false" t="array" ref="J1409:J1409">IFERROR(INDEX(AC1409:AE1409,IF(COUNTA(AC1409:AE1409)=0,"",MAX((AC1409:AE1409&lt;&gt;"")*(COLUMN(AC1409:AE1409)-(COLUMN(AC1409)))))-1),"")</f>
        <v>45778</v>
      </c>
      <c r="K1409" s="16" t="n">
        <f aca="false" t="array" ref="K1409:K1409">IFERROR(INDEX(AC1409:AE1409,IF(COUNTA(AC1409:AE1409)=0,"",MAX((AC1409:AE1409&lt;&gt;"")*(COLUMN(AC1409:AE1409)-(COLUMN(AC1409)-1))))-1),"")</f>
        <v>46142</v>
      </c>
      <c r="L1409" s="17" t="str">
        <f aca="false" t="array" ref="L1409:L1409">IFERROR(INDEX(AC1409:AE1409,IF(COUNTA(AC1409:AE1409)=0,"",MAX((AC1409:AE1409&lt;&gt;"")*(COLUMN(AC1409:AE1409)-(COLUMN(AC1409)-2))))-1),"")</f>
        <v>ARCHIVED</v>
      </c>
      <c r="M1409" s="13" t="n">
        <f aca="true">K1409-TODAY()</f>
        <v>-182</v>
      </c>
      <c r="N1409" s="50" t="s">
        <v>728</v>
      </c>
      <c r="O1409" s="13" t="s">
        <v>5924</v>
      </c>
      <c r="P1409" s="19" t="n">
        <f aca="false">IFERROR(__xludf.dummyfunction("INDEX(IMPORTRANGE(""12FwpLvlsVhD_IhxpEWawHHAWVeXnjXpHARKGUQ_nP_w"",""harga rukma!H:H""),MATCH(C1409,IMPORTRANGE(""12FwpLvlsVhD_IhxpEWawHHAWVeXnjXpHARKGUQ_nP_w"",""harga rukma!B:B""),0))"),4900000)</f>
        <v>4900000</v>
      </c>
      <c r="Q1409" s="20" t="s">
        <v>6184</v>
      </c>
      <c r="R1409" s="13" t="s">
        <v>39</v>
      </c>
      <c r="S1409" s="14" t="n">
        <v>31588</v>
      </c>
      <c r="T1409" s="13" t="s">
        <v>40</v>
      </c>
      <c r="U1409" s="13" t="s">
        <v>6185</v>
      </c>
      <c r="V1409" s="13" t="s">
        <v>42</v>
      </c>
      <c r="W1409" s="13" t="s">
        <v>897</v>
      </c>
      <c r="X1409" s="21" t="n">
        <v>85733167131</v>
      </c>
      <c r="Y1409" s="22" t="str">
        <f aca="false">O1409</f>
        <v>Repair Body</v>
      </c>
      <c r="Z1409" s="13" t="str">
        <f aca="false">IFERROR(__xludf.dummyfunction("if(BJ1409="""","""",GOOGLETRANSLATE(BJ1409,""auto"",""en""))"),"Repair Body")</f>
        <v>Repair Body</v>
      </c>
      <c r="AA1409" s="23" t="str">
        <f aca="false">IF(C1409="","", CHOOSE(MONTH(C1409),"January","February","March","April","May","June","July","August","September","October","November","December")&amp;" "&amp;DAY(C1409)&amp;MID("thstndrdth",MIN(9,2*RIGHT(DAY(C1409))*(MOD(DAY(C1409)-11,100)&gt;2)+1),2)&amp;","&amp;TEXT(C1409," yyyy"))</f>
        <v>May 1st,2024</v>
      </c>
      <c r="AB1409" s="15" t="str">
        <f aca="true">IF(S1409="","",DATEDIF(S1409,TODAY(),"Y")&amp;" Tahun, "&amp;DATEDIF(S1409,TODAY(),"YM")&amp;" Bulan, "&amp;DATEDIF(S1409,TODAY(),"MD")&amp;" Hari")</f>
        <v>40 Tahun, 4 Bulan, 4 Hari</v>
      </c>
      <c r="AC1409" s="18" t="n">
        <v>45778</v>
      </c>
      <c r="AD1409" s="18" t="n">
        <v>46142</v>
      </c>
      <c r="AE1409" s="18" t="s">
        <v>44</v>
      </c>
    </row>
    <row r="1410" customFormat="false" ht="15" hidden="false" customHeight="true" outlineLevel="0" collapsed="false">
      <c r="A1410" s="12" t="n">
        <v>15200</v>
      </c>
      <c r="B1410" s="13" t="s">
        <v>6186</v>
      </c>
      <c r="C1410" s="14" t="n">
        <v>45413</v>
      </c>
      <c r="D1410" s="13" t="s">
        <v>5903</v>
      </c>
      <c r="E1410" s="15" t="s">
        <v>47</v>
      </c>
      <c r="F1410" s="15" t="str">
        <f aca="false">IFERROR(__xludf.dummyfunction("XLOOKUP(AJ1410,IMPORTRANGE(""1XaInW9DU9nz21V0tYIfzFQ0He9kVQ_JF2mCXgZ3hqFA"",""REKAP ALL 2026 - Andika!G:G""),IMPORTRANGE(""1XaInW9DU9nz21V0tYIfzFQ0He9kVQ_JF2mCXgZ3hqFA"",""REKAP ALL 2026 - Andika!F:F""),"""",0)"),"24075693192")</f>
        <v>24075693192</v>
      </c>
      <c r="G1410" s="15" t="s">
        <v>6187</v>
      </c>
      <c r="H1410" s="13" t="s">
        <v>35</v>
      </c>
      <c r="I1410" s="13" t="str">
        <f aca="false">IF(C1410=J1410,"NEW KONTRAK","RE-KONTRAK")</f>
        <v>RE-KONTRAK</v>
      </c>
      <c r="J1410" s="16" t="n">
        <f aca="false" t="array" ref="J1410:J1410">IFERROR(INDEX(AC1410:AE1410,IF(COUNTA(AC1410:AE1410)=0,"",MAX((AC1410:AE1410&lt;&gt;"")*(COLUMN(AC1410:AE1410)-(COLUMN(AC1410)))))-1),"")</f>
        <v>45778</v>
      </c>
      <c r="K1410" s="16" t="n">
        <f aca="false" t="array" ref="K1410:K1410">IFERROR(INDEX(AC1410:AE1410,IF(COUNTA(AC1410:AE1410)=0,"",MAX((AC1410:AE1410&lt;&gt;"")*(COLUMN(AC1410:AE1410)-(COLUMN(AC1410)-1))))-1),"")</f>
        <v>46142</v>
      </c>
      <c r="L1410" s="17" t="str">
        <f aca="false" t="array" ref="L1410:L1410">IFERROR(INDEX(AC1410:AE1410,IF(COUNTA(AC1410:AE1410)=0,"",MAX((AC1410:AE1410&lt;&gt;"")*(COLUMN(AC1410:AE1410)-(COLUMN(AC1410)-2))))-1),"")</f>
        <v>ARCHIVED</v>
      </c>
      <c r="M1410" s="13" t="n">
        <f aca="true">K1410-TODAY()</f>
        <v>-182</v>
      </c>
      <c r="N1410" s="50" t="s">
        <v>728</v>
      </c>
      <c r="O1410" s="13" t="s">
        <v>5924</v>
      </c>
      <c r="P1410" s="19" t="n">
        <f aca="false">IFERROR(__xludf.dummyfunction("INDEX(IMPORTRANGE(""12FwpLvlsVhD_IhxpEWawHHAWVeXnjXpHARKGUQ_nP_w"",""harga rukma!H:H""),MATCH(C1410,IMPORTRANGE(""12FwpLvlsVhD_IhxpEWawHHAWVeXnjXpHARKGUQ_nP_w"",""harga rukma!B:B""),0))"),4850000)</f>
        <v>4850000</v>
      </c>
      <c r="Q1410" s="20" t="s">
        <v>6188</v>
      </c>
      <c r="R1410" s="13" t="s">
        <v>65</v>
      </c>
      <c r="S1410" s="14" t="n">
        <v>34119</v>
      </c>
      <c r="T1410" s="13" t="s">
        <v>40</v>
      </c>
      <c r="U1410" s="13" t="s">
        <v>6189</v>
      </c>
      <c r="V1410" s="13" t="s">
        <v>42</v>
      </c>
      <c r="W1410" s="13" t="s">
        <v>43</v>
      </c>
      <c r="X1410" s="21" t="n">
        <v>85730038688</v>
      </c>
      <c r="Y1410" s="22" t="str">
        <f aca="false">O1410</f>
        <v>Repair Body</v>
      </c>
      <c r="Z1410" s="13" t="str">
        <f aca="false">IFERROR(__xludf.dummyfunction("if(BJ1410="""","""",GOOGLETRANSLATE(BJ1410,""auto"",""en""))"),"Repair Body")</f>
        <v>Repair Body</v>
      </c>
      <c r="AA1410" s="23" t="str">
        <f aca="false">IF(C1410="","", CHOOSE(MONTH(C1410),"January","February","March","April","May","June","July","August","September","October","November","December")&amp;" "&amp;DAY(C1410)&amp;MID("thstndrdth",MIN(9,2*RIGHT(DAY(C1410))*(MOD(DAY(C1410)-11,100)&gt;2)+1),2)&amp;","&amp;TEXT(C1410," yyyy"))</f>
        <v>May 1st,2024</v>
      </c>
      <c r="AB1410" s="15" t="str">
        <f aca="true">IF(S1410="","",DATEDIF(S1410,TODAY(),"Y")&amp;" Tahun, "&amp;DATEDIF(S1410,TODAY(),"YM")&amp;" Bulan, "&amp;DATEDIF(S1410,TODAY(),"MD")&amp;" Hari")</f>
        <v>33 Tahun, 4 Bulan, 29 Hari</v>
      </c>
      <c r="AC1410" s="18" t="n">
        <v>45778</v>
      </c>
      <c r="AD1410" s="18" t="n">
        <v>46142</v>
      </c>
      <c r="AE1410" s="18" t="s">
        <v>44</v>
      </c>
    </row>
    <row r="1411" customFormat="false" ht="15" hidden="false" customHeight="true" outlineLevel="0" collapsed="false">
      <c r="A1411" s="12" t="n">
        <v>15201</v>
      </c>
      <c r="B1411" s="13" t="s">
        <v>6190</v>
      </c>
      <c r="C1411" s="14" t="n">
        <v>45413</v>
      </c>
      <c r="D1411" s="13" t="s">
        <v>5903</v>
      </c>
      <c r="E1411" s="15" t="s">
        <v>47</v>
      </c>
      <c r="F1411" s="15" t="str">
        <f aca="false">IFERROR(__xludf.dummyfunction("XLOOKUP(AJ1411,IMPORTRANGE(""1XaInW9DU9nz21V0tYIfzFQ0He9kVQ_JF2mCXgZ3hqFA"",""REKAP ALL 2026 - Andika!G:G""),IMPORTRANGE(""1XaInW9DU9nz21V0tYIfzFQ0He9kVQ_JF2mCXgZ3hqFA"",""REKAP ALL 2026 - Andika!F:F""),"""",0)"),"24075693101")</f>
        <v>24075693101</v>
      </c>
      <c r="G1411" s="15" t="s">
        <v>6191</v>
      </c>
      <c r="H1411" s="13" t="s">
        <v>35</v>
      </c>
      <c r="I1411" s="13" t="str">
        <f aca="false">IF(C1411=J1411,"NEW KONTRAK","RE-KONTRAK")</f>
        <v>RE-KONTRAK</v>
      </c>
      <c r="J1411" s="16" t="n">
        <f aca="false" t="array" ref="J1411:J1411">IFERROR(INDEX(AC1411:AE1411,IF(COUNTA(AC1411:AE1411)=0,"",MAX((AC1411:AE1411&lt;&gt;"")*(COLUMN(AC1411:AE1411)-(COLUMN(AC1411)))))-1),"")</f>
        <v>45778</v>
      </c>
      <c r="K1411" s="16" t="n">
        <f aca="false" t="array" ref="K1411:K1411">IFERROR(INDEX(AC1411:AE1411,IF(COUNTA(AC1411:AE1411)=0,"",MAX((AC1411:AE1411&lt;&gt;"")*(COLUMN(AC1411:AE1411)-(COLUMN(AC1411)-1))))-1),"")</f>
        <v>46142</v>
      </c>
      <c r="L1411" s="17" t="str">
        <f aca="false" t="array" ref="L1411:L1411">IFERROR(INDEX(AC1411:AE1411,IF(COUNTA(AC1411:AE1411)=0,"",MAX((AC1411:AE1411&lt;&gt;"")*(COLUMN(AC1411:AE1411)-(COLUMN(AC1411)-2))))-1),"")</f>
        <v>ARCHIVED</v>
      </c>
      <c r="M1411" s="13" t="n">
        <f aca="true">K1411-TODAY()</f>
        <v>-182</v>
      </c>
      <c r="N1411" s="50" t="s">
        <v>728</v>
      </c>
      <c r="O1411" s="13" t="s">
        <v>5924</v>
      </c>
      <c r="P1411" s="19" t="n">
        <f aca="false">IFERROR(__xludf.dummyfunction("INDEX(IMPORTRANGE(""12FwpLvlsVhD_IhxpEWawHHAWVeXnjXpHARKGUQ_nP_w"",""harga rukma!H:H""),MATCH(C1411,IMPORTRANGE(""12FwpLvlsVhD_IhxpEWawHHAWVeXnjXpHARKGUQ_nP_w"",""harga rukma!B:B""),0))"),4576000)</f>
        <v>4576000</v>
      </c>
      <c r="Q1411" s="20" t="s">
        <v>6192</v>
      </c>
      <c r="R1411" s="13" t="s">
        <v>65</v>
      </c>
      <c r="S1411" s="14" t="n">
        <v>34285</v>
      </c>
      <c r="T1411" s="13" t="s">
        <v>40</v>
      </c>
      <c r="U1411" s="13" t="s">
        <v>6193</v>
      </c>
      <c r="V1411" s="13" t="s">
        <v>42</v>
      </c>
      <c r="W1411" s="13" t="s">
        <v>54</v>
      </c>
      <c r="X1411" s="21" t="n">
        <v>85806043332</v>
      </c>
      <c r="Y1411" s="22" t="str">
        <f aca="false">O1411</f>
        <v>Repair Body</v>
      </c>
      <c r="Z1411" s="13" t="str">
        <f aca="false">IFERROR(__xludf.dummyfunction("if(BJ1411="""","""",GOOGLETRANSLATE(BJ1411,""auto"",""en""))"),"Repair Body")</f>
        <v>Repair Body</v>
      </c>
      <c r="AA1411" s="23" t="str">
        <f aca="false">IF(C1411="","", CHOOSE(MONTH(C1411),"January","February","March","April","May","June","July","August","September","October","November","December")&amp;" "&amp;DAY(C1411)&amp;MID("thstndrdth",MIN(9,2*RIGHT(DAY(C1411))*(MOD(DAY(C1411)-11,100)&gt;2)+1),2)&amp;","&amp;TEXT(C1411," yyyy"))</f>
        <v>May 1st,2024</v>
      </c>
      <c r="AB1411" s="15" t="str">
        <f aca="true">IF(S1411="","",DATEDIF(S1411,TODAY(),"Y")&amp;" Tahun, "&amp;DATEDIF(S1411,TODAY(),"YM")&amp;" Bulan, "&amp;DATEDIF(S1411,TODAY(),"MD")&amp;" Hari")</f>
        <v>32 Tahun, 11 Bulan, 17 Hari</v>
      </c>
      <c r="AC1411" s="18" t="n">
        <v>45778</v>
      </c>
      <c r="AD1411" s="18" t="n">
        <v>46142</v>
      </c>
      <c r="AE1411" s="18" t="s">
        <v>44</v>
      </c>
    </row>
    <row r="1412" customFormat="false" ht="15" hidden="false" customHeight="true" outlineLevel="0" collapsed="false">
      <c r="A1412" s="12" t="n">
        <v>15202</v>
      </c>
      <c r="B1412" s="13" t="s">
        <v>6194</v>
      </c>
      <c r="C1412" s="14" t="n">
        <v>45413</v>
      </c>
      <c r="D1412" s="13" t="s">
        <v>5903</v>
      </c>
      <c r="E1412" s="15" t="s">
        <v>47</v>
      </c>
      <c r="F1412" s="15" t="str">
        <f aca="false">IFERROR(__xludf.dummyfunction("XLOOKUP(AJ1412,IMPORTRANGE(""1XaInW9DU9nz21V0tYIfzFQ0He9kVQ_JF2mCXgZ3hqFA"",""REKAP ALL 2026 - Andika!G:G""),IMPORTRANGE(""1XaInW9DU9nz21V0tYIfzFQ0He9kVQ_JF2mCXgZ3hqFA"",""REKAP ALL 2026 - Andika!F:F""),"""",0)"),"24075693119")</f>
        <v>24075693119</v>
      </c>
      <c r="G1412" s="15" t="s">
        <v>6195</v>
      </c>
      <c r="H1412" s="13" t="s">
        <v>35</v>
      </c>
      <c r="I1412" s="13" t="str">
        <f aca="false">IF(C1412=J1412,"NEW KONTRAK","RE-KONTRAK")</f>
        <v>RE-KONTRAK</v>
      </c>
      <c r="J1412" s="16" t="n">
        <f aca="false" t="array" ref="J1412:J1412">IFERROR(INDEX(AC1412:AE1412,IF(COUNTA(AC1412:AE1412)=0,"",MAX((AC1412:AE1412&lt;&gt;"")*(COLUMN(AC1412:AE1412)-(COLUMN(AC1412)))))-1),"")</f>
        <v>45778</v>
      </c>
      <c r="K1412" s="16" t="n">
        <f aca="false" t="array" ref="K1412:K1412">IFERROR(INDEX(AC1412:AE1412,IF(COUNTA(AC1412:AE1412)=0,"",MAX((AC1412:AE1412&lt;&gt;"")*(COLUMN(AC1412:AE1412)-(COLUMN(AC1412)-1))))-1),"")</f>
        <v>46142</v>
      </c>
      <c r="L1412" s="17" t="str">
        <f aca="false" t="array" ref="L1412:L1412">IFERROR(INDEX(AC1412:AE1412,IF(COUNTA(AC1412:AE1412)=0,"",MAX((AC1412:AE1412&lt;&gt;"")*(COLUMN(AC1412:AE1412)-(COLUMN(AC1412)-2))))-1),"")</f>
        <v>ARCHIVED</v>
      </c>
      <c r="M1412" s="13" t="n">
        <f aca="true">K1412-TODAY()</f>
        <v>-182</v>
      </c>
      <c r="N1412" s="50" t="s">
        <v>728</v>
      </c>
      <c r="O1412" s="13" t="s">
        <v>6196</v>
      </c>
      <c r="P1412" s="19" t="n">
        <f aca="false">IFERROR(__xludf.dummyfunction("INDEX(IMPORTRANGE(""12FwpLvlsVhD_IhxpEWawHHAWVeXnjXpHARKGUQ_nP_w"",""harga rukma!H:H""),MATCH(C1412,IMPORTRANGE(""12FwpLvlsVhD_IhxpEWawHHAWVeXnjXpHARKGUQ_nP_w"",""harga rukma!B:B""),0))"),5355000)</f>
        <v>5355000</v>
      </c>
      <c r="Q1412" s="20" t="s">
        <v>6197</v>
      </c>
      <c r="R1412" s="13" t="s">
        <v>826</v>
      </c>
      <c r="S1412" s="14" t="n">
        <v>34284</v>
      </c>
      <c r="T1412" s="13" t="s">
        <v>40</v>
      </c>
      <c r="U1412" s="13" t="s">
        <v>5992</v>
      </c>
      <c r="V1412" s="13" t="s">
        <v>42</v>
      </c>
      <c r="W1412" s="13" t="s">
        <v>54</v>
      </c>
      <c r="X1412" s="21" t="n">
        <v>85236847037</v>
      </c>
      <c r="Y1412" s="22" t="str">
        <f aca="false">O1412</f>
        <v>Tallyman</v>
      </c>
      <c r="Z1412" s="13" t="str">
        <f aca="false">IFERROR(__xludf.dummyfunction("if(BJ1412="""","""",GOOGLETRANSLATE(BJ1412,""auto"",""en""))"),"Tallyman")</f>
        <v>Tallyman</v>
      </c>
      <c r="AA1412" s="23" t="str">
        <f aca="false">IF(C1412="","", CHOOSE(MONTH(C1412),"January","February","March","April","May","June","July","August","September","October","November","December")&amp;" "&amp;DAY(C1412)&amp;MID("thstndrdth",MIN(9,2*RIGHT(DAY(C1412))*(MOD(DAY(C1412)-11,100)&gt;2)+1),2)&amp;","&amp;TEXT(C1412," yyyy"))</f>
        <v>May 1st,2024</v>
      </c>
      <c r="AB1412" s="15" t="str">
        <f aca="true">IF(S1412="","",DATEDIF(S1412,TODAY(),"Y")&amp;" Tahun, "&amp;DATEDIF(S1412,TODAY(),"YM")&amp;" Bulan, "&amp;DATEDIF(S1412,TODAY(),"MD")&amp;" Hari")</f>
        <v>32 Tahun, 11 Bulan, 18 Hari</v>
      </c>
      <c r="AC1412" s="18" t="n">
        <v>45778</v>
      </c>
      <c r="AD1412" s="18" t="n">
        <v>46142</v>
      </c>
      <c r="AE1412" s="18" t="s">
        <v>44</v>
      </c>
    </row>
    <row r="1413" customFormat="false" ht="15" hidden="false" customHeight="true" outlineLevel="0" collapsed="false">
      <c r="A1413" s="12" t="n">
        <v>15203</v>
      </c>
      <c r="B1413" s="13" t="s">
        <v>6198</v>
      </c>
      <c r="C1413" s="14" t="n">
        <v>45413</v>
      </c>
      <c r="D1413" s="13" t="s">
        <v>5903</v>
      </c>
      <c r="E1413" s="15" t="s">
        <v>47</v>
      </c>
      <c r="F1413" s="15" t="str">
        <f aca="false">IFERROR(__xludf.dummyfunction("XLOOKUP(AJ1413,IMPORTRANGE(""1XaInW9DU9nz21V0tYIfzFQ0He9kVQ_JF2mCXgZ3hqFA"",""REKAP ALL 2026 - Andika!G:G""),IMPORTRANGE(""1XaInW9DU9nz21V0tYIfzFQ0He9kVQ_JF2mCXgZ3hqFA"",""REKAP ALL 2026 - Andika!F:F""),"""",0)"),"24075693127")</f>
        <v>24075693127</v>
      </c>
      <c r="G1413" s="15" t="s">
        <v>6199</v>
      </c>
      <c r="H1413" s="13" t="s">
        <v>35</v>
      </c>
      <c r="I1413" s="13" t="str">
        <f aca="false">IF(C1413=J1413,"NEW KONTRAK","RE-KONTRAK")</f>
        <v>RE-KONTRAK</v>
      </c>
      <c r="J1413" s="16" t="n">
        <f aca="false" t="array" ref="J1413:J1413">IFERROR(INDEX(AC1413:AE1413,IF(COUNTA(AC1413:AE1413)=0,"",MAX((AC1413:AE1413&lt;&gt;"")*(COLUMN(AC1413:AE1413)-(COLUMN(AC1413)))))-1),"")</f>
        <v>45778</v>
      </c>
      <c r="K1413" s="16" t="n">
        <f aca="false" t="array" ref="K1413:K1413">IFERROR(INDEX(AC1413:AE1413,IF(COUNTA(AC1413:AE1413)=0,"",MAX((AC1413:AE1413&lt;&gt;"")*(COLUMN(AC1413:AE1413)-(COLUMN(AC1413)-1))))-1),"")</f>
        <v>46142</v>
      </c>
      <c r="L1413" s="17" t="str">
        <f aca="false" t="array" ref="L1413:L1413">IFERROR(INDEX(AC1413:AE1413,IF(COUNTA(AC1413:AE1413)=0,"",MAX((AC1413:AE1413&lt;&gt;"")*(COLUMN(AC1413:AE1413)-(COLUMN(AC1413)-2))))-1),"")</f>
        <v>ARCHIVED</v>
      </c>
      <c r="M1413" s="13" t="n">
        <f aca="true">K1413-TODAY()</f>
        <v>-182</v>
      </c>
      <c r="N1413" s="50" t="s">
        <v>728</v>
      </c>
      <c r="O1413" s="13" t="s">
        <v>6200</v>
      </c>
      <c r="P1413" s="19" t="n">
        <f aca="false">IFERROR(__xludf.dummyfunction("INDEX(IMPORTRANGE(""12FwpLvlsVhD_IhxpEWawHHAWVeXnjXpHARKGUQ_nP_w"",""harga rukma!H:H""),MATCH(C1413,IMPORTRANGE(""12FwpLvlsVhD_IhxpEWawHHAWVeXnjXpHARKGUQ_nP_w"",""harga rukma!B:B""),0))"),4888000)</f>
        <v>4888000</v>
      </c>
      <c r="Q1413" s="20" t="s">
        <v>6201</v>
      </c>
      <c r="R1413" s="13" t="s">
        <v>227</v>
      </c>
      <c r="S1413" s="14" t="n">
        <v>33272</v>
      </c>
      <c r="T1413" s="13" t="s">
        <v>40</v>
      </c>
      <c r="U1413" s="13" t="s">
        <v>6202</v>
      </c>
      <c r="V1413" s="13" t="s">
        <v>42</v>
      </c>
      <c r="W1413" s="13" t="s">
        <v>54</v>
      </c>
      <c r="X1413" s="21" t="n">
        <v>81357572287</v>
      </c>
      <c r="Y1413" s="22" t="str">
        <f aca="false">O1413</f>
        <v>Teknisi Reefer Depo</v>
      </c>
      <c r="Z1413" s="13" t="str">
        <f aca="false">IFERROR(__xludf.dummyfunction("if(BJ1413="""","""",GOOGLETRANSLATE(BJ1413,""auto"",""en""))"),"Reefer Depot Technician")</f>
        <v>Reefer Depot Technician</v>
      </c>
      <c r="AA1413" s="23" t="str">
        <f aca="false">IF(C1413="","", CHOOSE(MONTH(C1413),"January","February","March","April","May","June","July","August","September","October","November","December")&amp;" "&amp;DAY(C1413)&amp;MID("thstndrdth",MIN(9,2*RIGHT(DAY(C1413))*(MOD(DAY(C1413)-11,100)&gt;2)+1),2)&amp;","&amp;TEXT(C1413," yyyy"))</f>
        <v>May 1st,2024</v>
      </c>
      <c r="AB1413" s="15" t="str">
        <f aca="true">IF(S1413="","",DATEDIF(S1413,TODAY(),"Y")&amp;" Tahun, "&amp;DATEDIF(S1413,TODAY(),"YM")&amp;" Bulan, "&amp;DATEDIF(S1413,TODAY(),"MD")&amp;" Hari")</f>
        <v>35 Tahun, 8 Bulan, 26 Hari</v>
      </c>
      <c r="AC1413" s="18" t="n">
        <v>45778</v>
      </c>
      <c r="AD1413" s="18" t="n">
        <v>46142</v>
      </c>
      <c r="AE1413" s="18" t="s">
        <v>44</v>
      </c>
    </row>
    <row r="1414" customFormat="false" ht="15" hidden="false" customHeight="true" outlineLevel="0" collapsed="false">
      <c r="A1414" s="12" t="n">
        <v>15204</v>
      </c>
      <c r="B1414" s="13" t="s">
        <v>6203</v>
      </c>
      <c r="C1414" s="14" t="n">
        <v>45413</v>
      </c>
      <c r="D1414" s="13" t="s">
        <v>5903</v>
      </c>
      <c r="E1414" s="15" t="s">
        <v>47</v>
      </c>
      <c r="F1414" s="15" t="str">
        <f aca="false">IFERROR(__xludf.dummyfunction("XLOOKUP(AJ1414,IMPORTRANGE(""1XaInW9DU9nz21V0tYIfzFQ0He9kVQ_JF2mCXgZ3hqFA"",""REKAP ALL 2026 - Andika!G:G""),IMPORTRANGE(""1XaInW9DU9nz21V0tYIfzFQ0He9kVQ_JF2mCXgZ3hqFA"",""REKAP ALL 2026 - Andika!F:F""),"""",0)"),"24075693135")</f>
        <v>24075693135</v>
      </c>
      <c r="G1414" s="15" t="s">
        <v>6204</v>
      </c>
      <c r="H1414" s="13" t="s">
        <v>35</v>
      </c>
      <c r="I1414" s="13" t="str">
        <f aca="false">IF(C1414=J1414,"NEW KONTRAK","RE-KONTRAK")</f>
        <v>RE-KONTRAK</v>
      </c>
      <c r="J1414" s="16" t="n">
        <f aca="false" t="array" ref="J1414:J1414">IFERROR(INDEX(AC1414:AE1414,IF(COUNTA(AC1414:AE1414)=0,"",MAX((AC1414:AE1414&lt;&gt;"")*(COLUMN(AC1414:AE1414)-(COLUMN(AC1414)))))-1),"")</f>
        <v>45778</v>
      </c>
      <c r="K1414" s="16" t="n">
        <f aca="false" t="array" ref="K1414:K1414">IFERROR(INDEX(AC1414:AE1414,IF(COUNTA(AC1414:AE1414)=0,"",MAX((AC1414:AE1414&lt;&gt;"")*(COLUMN(AC1414:AE1414)-(COLUMN(AC1414)-1))))-1),"")</f>
        <v>46142</v>
      </c>
      <c r="L1414" s="17" t="str">
        <f aca="false" t="array" ref="L1414:L1414">IFERROR(INDEX(AC1414:AE1414,IF(COUNTA(AC1414:AE1414)=0,"",MAX((AC1414:AE1414&lt;&gt;"")*(COLUMN(AC1414:AE1414)-(COLUMN(AC1414)-2))))-1),"")</f>
        <v>ARCHIVED</v>
      </c>
      <c r="M1414" s="13" t="n">
        <f aca="true">K1414-TODAY()</f>
        <v>-182</v>
      </c>
      <c r="N1414" s="50" t="s">
        <v>728</v>
      </c>
      <c r="O1414" s="13" t="s">
        <v>6200</v>
      </c>
      <c r="P1414" s="19" t="n">
        <f aca="false">IFERROR(__xludf.dummyfunction("INDEX(IMPORTRANGE(""12FwpLvlsVhD_IhxpEWawHHAWVeXnjXpHARKGUQ_nP_w"",""harga rukma!H:H""),MATCH(C1414,IMPORTRANGE(""12FwpLvlsVhD_IhxpEWawHHAWVeXnjXpHARKGUQ_nP_w"",""harga rukma!B:B""),0))"),5304000)</f>
        <v>5304000</v>
      </c>
      <c r="Q1414" s="20" t="s">
        <v>6205</v>
      </c>
      <c r="R1414" s="13" t="s">
        <v>52</v>
      </c>
      <c r="S1414" s="14" t="n">
        <v>31268</v>
      </c>
      <c r="T1414" s="13" t="s">
        <v>40</v>
      </c>
      <c r="U1414" s="13" t="s">
        <v>6206</v>
      </c>
      <c r="V1414" s="13" t="s">
        <v>42</v>
      </c>
      <c r="W1414" s="13" t="s">
        <v>54</v>
      </c>
      <c r="X1414" s="21" t="n">
        <v>81234561985</v>
      </c>
      <c r="Y1414" s="22" t="str">
        <f aca="false">O1414</f>
        <v>Teknisi Reefer Depo</v>
      </c>
      <c r="Z1414" s="13" t="str">
        <f aca="false">IFERROR(__xludf.dummyfunction("if(BJ1414="""","""",GOOGLETRANSLATE(BJ1414,""auto"",""en""))"),"Reefer Depot Technician")</f>
        <v>Reefer Depot Technician</v>
      </c>
      <c r="AA1414" s="23" t="str">
        <f aca="false">IF(C1414="","", CHOOSE(MONTH(C1414),"January","February","March","April","May","June","July","August","September","October","November","December")&amp;" "&amp;DAY(C1414)&amp;MID("thstndrdth",MIN(9,2*RIGHT(DAY(C1414))*(MOD(DAY(C1414)-11,100)&gt;2)+1),2)&amp;","&amp;TEXT(C1414," yyyy"))</f>
        <v>May 1st,2024</v>
      </c>
      <c r="AB1414" s="15" t="str">
        <f aca="true">IF(S1414="","",DATEDIF(S1414,TODAY(),"Y")&amp;" Tahun, "&amp;DATEDIF(S1414,TODAY(),"YM")&amp;" Bulan, "&amp;DATEDIF(S1414,TODAY(),"MD")&amp;" Hari")</f>
        <v>41 Tahun, 2 Bulan, 20 Hari</v>
      </c>
      <c r="AC1414" s="18" t="n">
        <v>45778</v>
      </c>
      <c r="AD1414" s="18" t="n">
        <v>46142</v>
      </c>
      <c r="AE1414" s="18" t="s">
        <v>44</v>
      </c>
    </row>
    <row r="1415" customFormat="false" ht="15" hidden="false" customHeight="true" outlineLevel="0" collapsed="false">
      <c r="A1415" s="12" t="n">
        <v>15205</v>
      </c>
      <c r="B1415" s="13" t="s">
        <v>6207</v>
      </c>
      <c r="C1415" s="14" t="n">
        <v>45413</v>
      </c>
      <c r="D1415" s="13" t="s">
        <v>5903</v>
      </c>
      <c r="E1415" s="15" t="s">
        <v>47</v>
      </c>
      <c r="F1415" s="15" t="str">
        <f aca="false">IFERROR(__xludf.dummyfunction("XLOOKUP(AJ1415,IMPORTRANGE(""1XaInW9DU9nz21V0tYIfzFQ0He9kVQ_JF2mCXgZ3hqFA"",""REKAP ALL 2026 - Andika!G:G""),IMPORTRANGE(""1XaInW9DU9nz21V0tYIfzFQ0He9kVQ_JF2mCXgZ3hqFA"",""REKAP ALL 2026 - Andika!F:F""),"""",0)"),"24075693143")</f>
        <v>24075693143</v>
      </c>
      <c r="G1415" s="15" t="s">
        <v>6208</v>
      </c>
      <c r="H1415" s="13" t="s">
        <v>35</v>
      </c>
      <c r="I1415" s="13" t="str">
        <f aca="false">IF(C1415=J1415,"NEW KONTRAK","RE-KONTRAK")</f>
        <v>RE-KONTRAK</v>
      </c>
      <c r="J1415" s="16" t="n">
        <f aca="false" t="array" ref="J1415:J1415">IFERROR(INDEX(AC1415:AE1415,IF(COUNTA(AC1415:AE1415)=0,"",MAX((AC1415:AE1415&lt;&gt;"")*(COLUMN(AC1415:AE1415)-(COLUMN(AC1415)))))-1),"")</f>
        <v>45778</v>
      </c>
      <c r="K1415" s="16" t="n">
        <f aca="false" t="array" ref="K1415:K1415">IFERROR(INDEX(AC1415:AE1415,IF(COUNTA(AC1415:AE1415)=0,"",MAX((AC1415:AE1415&lt;&gt;"")*(COLUMN(AC1415:AE1415)-(COLUMN(AC1415)-1))))-1),"")</f>
        <v>46142</v>
      </c>
      <c r="L1415" s="17" t="str">
        <f aca="false" t="array" ref="L1415:L1415">IFERROR(INDEX(AC1415:AE1415,IF(COUNTA(AC1415:AE1415)=0,"",MAX((AC1415:AE1415&lt;&gt;"")*(COLUMN(AC1415:AE1415)-(COLUMN(AC1415)-2))))-1),"")</f>
        <v>ARCHIVED</v>
      </c>
      <c r="M1415" s="13" t="n">
        <f aca="true">K1415-TODAY()</f>
        <v>-182</v>
      </c>
      <c r="N1415" s="50" t="s">
        <v>728</v>
      </c>
      <c r="O1415" s="13" t="s">
        <v>6209</v>
      </c>
      <c r="P1415" s="19" t="n">
        <f aca="false">IFERROR(__xludf.dummyfunction("INDEX(IMPORTRANGE(""12FwpLvlsVhD_IhxpEWawHHAWVeXnjXpHARKGUQ_nP_w"",""harga rukma!H:H""),MATCH(C1415,IMPORTRANGE(""12FwpLvlsVhD_IhxpEWawHHAWVeXnjXpHARKGUQ_nP_w"",""harga rukma!B:B""),0))"),4750000)</f>
        <v>4750000</v>
      </c>
      <c r="Q1415" s="20" t="s">
        <v>6210</v>
      </c>
      <c r="R1415" s="13" t="s">
        <v>255</v>
      </c>
      <c r="S1415" s="14" t="n">
        <v>34832</v>
      </c>
      <c r="T1415" s="13" t="s">
        <v>40</v>
      </c>
      <c r="U1415" s="13" t="s">
        <v>6211</v>
      </c>
      <c r="V1415" s="13" t="s">
        <v>42</v>
      </c>
      <c r="W1415" s="13" t="s">
        <v>54</v>
      </c>
      <c r="X1415" s="21" t="n">
        <v>87771370285</v>
      </c>
      <c r="Y1415" s="22" t="str">
        <f aca="false">O1415</f>
        <v>Washing</v>
      </c>
      <c r="Z1415" s="13" t="str">
        <f aca="false">IFERROR(__xludf.dummyfunction("if(BJ1415="""","""",GOOGLETRANSLATE(BJ1415,""auto"",""en""))"),"Washing")</f>
        <v>Washing</v>
      </c>
      <c r="AA1415" s="23" t="str">
        <f aca="false">IF(C1415="","", CHOOSE(MONTH(C1415),"January","February","March","April","May","June","July","August","September","October","November","December")&amp;" "&amp;DAY(C1415)&amp;MID("thstndrdth",MIN(9,2*RIGHT(DAY(C1415))*(MOD(DAY(C1415)-11,100)&gt;2)+1),2)&amp;","&amp;TEXT(C1415," yyyy"))</f>
        <v>May 1st,2024</v>
      </c>
      <c r="AB1415" s="15" t="str">
        <f aca="true">IF(S1415="","",DATEDIF(S1415,TODAY(),"Y")&amp;" Tahun, "&amp;DATEDIF(S1415,TODAY(),"YM")&amp;" Bulan, "&amp;DATEDIF(S1415,TODAY(),"MD")&amp;" Hari")</f>
        <v>31 Tahun, 5 Bulan, 16 Hari</v>
      </c>
      <c r="AC1415" s="18" t="n">
        <v>45778</v>
      </c>
      <c r="AD1415" s="18" t="n">
        <v>46142</v>
      </c>
      <c r="AE1415" s="18" t="s">
        <v>44</v>
      </c>
    </row>
    <row r="1416" customFormat="false" ht="15" hidden="false" customHeight="true" outlineLevel="0" collapsed="false">
      <c r="A1416" s="12" t="n">
        <v>15206</v>
      </c>
      <c r="B1416" s="13" t="s">
        <v>6212</v>
      </c>
      <c r="C1416" s="14" t="n">
        <v>45413</v>
      </c>
      <c r="D1416" s="13" t="s">
        <v>5903</v>
      </c>
      <c r="E1416" s="15" t="s">
        <v>47</v>
      </c>
      <c r="F1416" s="15" t="str">
        <f aca="false">IFERROR(__xludf.dummyfunction("XLOOKUP(AJ1416,IMPORTRANGE(""1XaInW9DU9nz21V0tYIfzFQ0He9kVQ_JF2mCXgZ3hqFA"",""REKAP ALL 2026 - Andika!G:G""),IMPORTRANGE(""1XaInW9DU9nz21V0tYIfzFQ0He9kVQ_JF2mCXgZ3hqFA"",""REKAP ALL 2026 - Andika!F:F""),"""",0)"),"24075693150")</f>
        <v>24075693150</v>
      </c>
      <c r="G1416" s="15" t="s">
        <v>6213</v>
      </c>
      <c r="H1416" s="13" t="s">
        <v>35</v>
      </c>
      <c r="I1416" s="13" t="str">
        <f aca="false">IF(C1416=J1416,"NEW KONTRAK","RE-KONTRAK")</f>
        <v>RE-KONTRAK</v>
      </c>
      <c r="J1416" s="16" t="n">
        <f aca="false" t="array" ref="J1416:J1416">IFERROR(INDEX(AC1416:AE1416,IF(COUNTA(AC1416:AE1416)=0,"",MAX((AC1416:AE1416&lt;&gt;"")*(COLUMN(AC1416:AE1416)-(COLUMN(AC1416)))))-1),"")</f>
        <v>45778</v>
      </c>
      <c r="K1416" s="16" t="n">
        <f aca="false" t="array" ref="K1416:K1416">IFERROR(INDEX(AC1416:AE1416,IF(COUNTA(AC1416:AE1416)=0,"",MAX((AC1416:AE1416&lt;&gt;"")*(COLUMN(AC1416:AE1416)-(COLUMN(AC1416)-1))))-1),"")</f>
        <v>46142</v>
      </c>
      <c r="L1416" s="17" t="str">
        <f aca="false" t="array" ref="L1416:L1416">IFERROR(INDEX(AC1416:AE1416,IF(COUNTA(AC1416:AE1416)=0,"",MAX((AC1416:AE1416&lt;&gt;"")*(COLUMN(AC1416:AE1416)-(COLUMN(AC1416)-2))))-1),"")</f>
        <v>ARCHIVED</v>
      </c>
      <c r="M1416" s="13" t="n">
        <f aca="true">K1416-TODAY()</f>
        <v>-182</v>
      </c>
      <c r="N1416" s="50" t="s">
        <v>728</v>
      </c>
      <c r="O1416" s="13" t="s">
        <v>6214</v>
      </c>
      <c r="P1416" s="19" t="n">
        <f aca="false">IFERROR(__xludf.dummyfunction("INDEX(IMPORTRANGE(""12FwpLvlsVhD_IhxpEWawHHAWVeXnjXpHARKGUQ_nP_w"",""harga rukma!H:H""),MATCH(C1416,IMPORTRANGE(""12FwpLvlsVhD_IhxpEWawHHAWVeXnjXpHARKGUQ_nP_w"",""harga rukma!B:B""),0))"),4264000)</f>
        <v>4264000</v>
      </c>
      <c r="Q1416" s="20" t="s">
        <v>6215</v>
      </c>
      <c r="R1416" s="13" t="s">
        <v>52</v>
      </c>
      <c r="S1416" s="14" t="n">
        <v>36577</v>
      </c>
      <c r="T1416" s="13" t="s">
        <v>40</v>
      </c>
      <c r="U1416" s="13" t="s">
        <v>6216</v>
      </c>
      <c r="V1416" s="13" t="s">
        <v>42</v>
      </c>
      <c r="W1416" s="13" t="s">
        <v>43</v>
      </c>
      <c r="X1416" s="21" t="n">
        <v>82142574140</v>
      </c>
      <c r="Y1416" s="22" t="str">
        <f aca="false">O1416</f>
        <v>Admin Document</v>
      </c>
      <c r="Z1416" s="13" t="str">
        <f aca="false">IFERROR(__xludf.dummyfunction("if(BJ1416="""","""",GOOGLETRANSLATE(BJ1416,""auto"",""en""))"),"Admin Document")</f>
        <v>Admin Document</v>
      </c>
      <c r="AA1416" s="23" t="str">
        <f aca="false">IF(C1416="","", CHOOSE(MONTH(C1416),"January","February","March","April","May","June","July","August","September","October","November","December")&amp;" "&amp;DAY(C1416)&amp;MID("thstndrdth",MIN(9,2*RIGHT(DAY(C1416))*(MOD(DAY(C1416)-11,100)&gt;2)+1),2)&amp;","&amp;TEXT(C1416," yyyy"))</f>
        <v>May 1st,2024</v>
      </c>
      <c r="AB1416" s="15" t="str">
        <f aca="true">IF(S1416="","",DATEDIF(S1416,TODAY(),"Y")&amp;" Tahun, "&amp;DATEDIF(S1416,TODAY(),"YM")&amp;" Bulan, "&amp;DATEDIF(S1416,TODAY(),"MD")&amp;" Hari")</f>
        <v>26 Tahun, 8 Bulan, 8 Hari</v>
      </c>
      <c r="AC1416" s="18" t="n">
        <v>45778</v>
      </c>
      <c r="AD1416" s="18" t="n">
        <v>46142</v>
      </c>
      <c r="AE1416" s="18" t="s">
        <v>44</v>
      </c>
    </row>
    <row r="1417" customFormat="false" ht="15" hidden="false" customHeight="true" outlineLevel="0" collapsed="false">
      <c r="A1417" s="12" t="n">
        <v>15282</v>
      </c>
      <c r="B1417" s="13" t="s">
        <v>6217</v>
      </c>
      <c r="C1417" s="14" t="n">
        <v>45413</v>
      </c>
      <c r="D1417" s="13" t="s">
        <v>4733</v>
      </c>
      <c r="E1417" s="15" t="s">
        <v>47</v>
      </c>
      <c r="F1417" s="15" t="str">
        <f aca="false">IFERROR(__xludf.dummyfunction("XLOOKUP(AJ1417,IMPORTRANGE(""1XaInW9DU9nz21V0tYIfzFQ0He9kVQ_JF2mCXgZ3hqFA"",""REKAP ALL 2026 - Andika!G:G""),IMPORTRANGE(""1XaInW9DU9nz21V0tYIfzFQ0He9kVQ_JF2mCXgZ3hqFA"",""REKAP ALL 2026 - Andika!F:F""),"""",0)"),"24075691600")</f>
        <v>24075691600</v>
      </c>
      <c r="G1417" s="15" t="s">
        <v>6218</v>
      </c>
      <c r="H1417" s="13" t="s">
        <v>35</v>
      </c>
      <c r="I1417" s="13" t="str">
        <f aca="false">IF(C1417=J1417,"NEW KONTRAK","RE-KONTRAK")</f>
        <v>RE-KONTRAK</v>
      </c>
      <c r="J1417" s="16" t="n">
        <f aca="false" t="array" ref="J1417:J1417">IFERROR(INDEX(AC1417:AE1417,IF(COUNTA(AC1417:AE1417)=0,"",MAX((AC1417:AE1417&lt;&gt;"")*(COLUMN(AC1417:AE1417)-(COLUMN(AC1417)))))-1),"")</f>
        <v>45658</v>
      </c>
      <c r="K1417" s="16" t="n">
        <f aca="false" t="array" ref="K1417:K1417">IFERROR(INDEX(AC1417:AE1417,IF(COUNTA(AC1417:AE1417)=0,"",MAX((AC1417:AE1417&lt;&gt;"")*(COLUMN(AC1417:AE1417)-(COLUMN(AC1417)-1))))-1),"")</f>
        <v>46022</v>
      </c>
      <c r="L1417" s="17" t="str">
        <f aca="false" t="array" ref="L1417:L1417">IFERROR(INDEX(AC1417:AE1417,IF(COUNTA(AC1417:AE1417)=0,"",MAX((AC1417:AE1417&lt;&gt;"")*(COLUMN(AC1417:AE1417)-(COLUMN(AC1417)-2))))-1),"")</f>
        <v>ARCHIVED</v>
      </c>
      <c r="M1417" s="13" t="n">
        <f aca="true">K1417-TODAY()</f>
        <v>-302</v>
      </c>
      <c r="N1417" s="18" t="s">
        <v>4735</v>
      </c>
      <c r="O1417" s="13" t="s">
        <v>3577</v>
      </c>
      <c r="P1417" s="19" t="n">
        <v>3553530</v>
      </c>
      <c r="Q1417" s="20" t="s">
        <v>6219</v>
      </c>
      <c r="R1417" s="13" t="s">
        <v>83</v>
      </c>
      <c r="S1417" s="14" t="n">
        <v>30670</v>
      </c>
      <c r="T1417" s="13" t="s">
        <v>40</v>
      </c>
      <c r="U1417" s="13" t="s">
        <v>6220</v>
      </c>
      <c r="V1417" s="13" t="s">
        <v>42</v>
      </c>
      <c r="W1417" s="13" t="s">
        <v>54</v>
      </c>
      <c r="X1417" s="21" t="n">
        <v>85102506669</v>
      </c>
      <c r="Y1417" s="22" t="str">
        <f aca="false">O1417</f>
        <v>Kerani Gudang</v>
      </c>
      <c r="Z1417" s="13" t="str">
        <f aca="false">IFERROR(__xludf.dummyfunction("if(BJ1417="""","""",GOOGLETRANSLATE(BJ1417,""auto"",""en""))"),"Warehouse Clerk")</f>
        <v>Warehouse Clerk</v>
      </c>
      <c r="AA1417" s="23" t="str">
        <f aca="false">IF(C1417="","", CHOOSE(MONTH(C1417),"January","February","March","April","May","June","July","August","September","October","November","December")&amp;" "&amp;DAY(C1417)&amp;MID("thstndrdth",MIN(9,2*RIGHT(DAY(C1417))*(MOD(DAY(C1417)-11,100)&gt;2)+1),2)&amp;","&amp;TEXT(C1417," yyyy"))</f>
        <v>May 1st,2024</v>
      </c>
      <c r="AB1417" s="15" t="str">
        <f aca="true">IF(S1417="","",DATEDIF(S1417,TODAY(),"Y")&amp;" Tahun, "&amp;DATEDIF(S1417,TODAY(),"YM")&amp;" Bulan, "&amp;DATEDIF(S1417,TODAY(),"MD")&amp;" Hari")</f>
        <v>42 Tahun, 10 Bulan, 9 Hari</v>
      </c>
      <c r="AC1417" s="18" t="n">
        <v>45658</v>
      </c>
      <c r="AD1417" s="18" t="n">
        <v>46022</v>
      </c>
      <c r="AE1417" s="18" t="s">
        <v>44</v>
      </c>
    </row>
    <row r="1418" customFormat="false" ht="15" hidden="false" customHeight="true" outlineLevel="0" collapsed="false">
      <c r="A1418" s="12" t="n">
        <v>15289</v>
      </c>
      <c r="B1418" s="13" t="s">
        <v>6221</v>
      </c>
      <c r="C1418" s="14" t="n">
        <v>45414</v>
      </c>
      <c r="D1418" s="13" t="s">
        <v>2046</v>
      </c>
      <c r="E1418" s="15" t="s">
        <v>789</v>
      </c>
      <c r="F1418" s="24" t="s">
        <v>6222</v>
      </c>
      <c r="G1418" s="13" t="s">
        <v>6223</v>
      </c>
      <c r="H1418" s="13" t="s">
        <v>35</v>
      </c>
      <c r="I1418" s="13" t="str">
        <f aca="false">IF(C1418=J1418,"NEW KONTRAK","RE-KONTRAK")</f>
        <v>RE-KONTRAK</v>
      </c>
      <c r="J1418" s="16" t="n">
        <f aca="false" t="array" ref="J1418:J1418">IFERROR(INDEX(AC1418:AE1418,IF(COUNTA(AC1418:AE1418)=0,"",MAX((AC1418:AE1418&lt;&gt;"")*(COLUMN(AC1418:AE1418)-(COLUMN(AC1418)))))-1),"")</f>
        <v>45839</v>
      </c>
      <c r="K1418" s="16" t="n">
        <f aca="false" t="array" ref="K1418:K1418">IFERROR(INDEX(AC1418:AE1418,IF(COUNTA(AC1418:AE1418)=0,"",MAX((AC1418:AE1418&lt;&gt;"")*(COLUMN(AC1418:AE1418)-(COLUMN(AC1418)-1))))-1),"")</f>
        <v>45961</v>
      </c>
      <c r="L1418" s="17" t="str">
        <f aca="false" t="array" ref="L1418:L1418">IFERROR(INDEX(AC1418:AE1418,IF(COUNTA(AC1418:AE1418)=0,"",MAX((AC1418:AE1418&lt;&gt;"")*(COLUMN(AC1418:AE1418)-(COLUMN(AC1418)-2))))-1),"")</f>
        <v>ARCHIVED</v>
      </c>
      <c r="M1418" s="13" t="n">
        <f aca="true">K1418-TODAY()</f>
        <v>-363</v>
      </c>
      <c r="N1418" s="18" t="s">
        <v>36</v>
      </c>
      <c r="O1418" s="13" t="s">
        <v>1773</v>
      </c>
      <c r="P1418" s="19" t="s">
        <v>3133</v>
      </c>
      <c r="Q1418" s="20" t="s">
        <v>6224</v>
      </c>
      <c r="R1418" s="13" t="s">
        <v>52</v>
      </c>
      <c r="S1418" s="14" t="n">
        <v>31694</v>
      </c>
      <c r="T1418" s="13" t="s">
        <v>40</v>
      </c>
      <c r="U1418" s="13" t="s">
        <v>6225</v>
      </c>
      <c r="V1418" s="13" t="s">
        <v>42</v>
      </c>
      <c r="W1418" s="13" t="s">
        <v>54</v>
      </c>
      <c r="X1418" s="21" t="n">
        <v>83899170992</v>
      </c>
      <c r="Y1418" s="22" t="str">
        <f aca="false">O1418</f>
        <v>Warehouse</v>
      </c>
      <c r="Z1418" s="13" t="str">
        <f aca="false">IFERROR(__xludf.dummyfunction("if(BJ1418="""","""",GOOGLETRANSLATE(BJ1418,""auto"",""en""))"),"Warehouse")</f>
        <v>Warehouse</v>
      </c>
      <c r="AA1418" s="23" t="str">
        <f aca="false">IF(C1418="","", CHOOSE(MONTH(C1418),"January","February","March","April","May","June","July","August","September","October","November","December")&amp;" "&amp;DAY(C1418)&amp;MID("thstndrdth",MIN(9,2*RIGHT(DAY(C1418))*(MOD(DAY(C1418)-11,100)&gt;2)+1),2)&amp;","&amp;TEXT(C1418," yyyy"))</f>
        <v>May 2nd,2024</v>
      </c>
      <c r="AB1418" s="15" t="str">
        <f aca="true">IF(S1418="","",DATEDIF(S1418,TODAY(),"Y")&amp;" Tahun, "&amp;DATEDIF(S1418,TODAY(),"YM")&amp;" Bulan, "&amp;DATEDIF(S1418,TODAY(),"MD")&amp;" Hari")</f>
        <v>40 Tahun, 0 Bulan, 20 Hari</v>
      </c>
      <c r="AC1418" s="18" t="n">
        <v>45839</v>
      </c>
      <c r="AD1418" s="18" t="n">
        <v>45961</v>
      </c>
      <c r="AE1418" s="18" t="s">
        <v>44</v>
      </c>
    </row>
    <row r="1419" customFormat="false" ht="15" hidden="false" customHeight="true" outlineLevel="0" collapsed="false">
      <c r="A1419" s="12" t="n">
        <v>15290</v>
      </c>
      <c r="B1419" s="13" t="s">
        <v>6226</v>
      </c>
      <c r="C1419" s="14" t="n">
        <v>45411</v>
      </c>
      <c r="D1419" s="13" t="s">
        <v>2033</v>
      </c>
      <c r="E1419" s="15" t="s">
        <v>33</v>
      </c>
      <c r="F1419" s="24" t="s">
        <v>6227</v>
      </c>
      <c r="G1419" s="15" t="s">
        <v>6228</v>
      </c>
      <c r="H1419" s="13" t="s">
        <v>2035</v>
      </c>
      <c r="I1419" s="13" t="str">
        <f aca="false">IF(C1419=J1419,"NEW KONTRAK","RE-KONTRAK")</f>
        <v>RE-KONTRAK</v>
      </c>
      <c r="J1419" s="16" t="n">
        <f aca="false" t="array" ref="J1419:J1419">IFERROR(INDEX(AC1419:AE1419,IF(COUNTA(AC1419:AE1419)=0,"",MAX((AC1419:AE1419&lt;&gt;"")*(COLUMN(AC1419:AE1419)-(COLUMN(AC1419)))))-1),"")</f>
        <v>45744</v>
      </c>
      <c r="K1419" s="16" t="n">
        <f aca="false" t="array" ref="K1419:K1419">IFERROR(INDEX(AC1419:AE1419,IF(COUNTA(AC1419:AE1419)=0,"",MAX((AC1419:AE1419&lt;&gt;"")*(COLUMN(AC1419:AE1419)-(COLUMN(AC1419)-1))))-1),"")</f>
        <v>45915</v>
      </c>
      <c r="L1419" s="17" t="str">
        <f aca="false" t="array" ref="L1419:L1419">IFERROR(INDEX(AC1419:AE1419,IF(COUNTA(AC1419:AE1419)=0,"",MAX((AC1419:AE1419&lt;&gt;"")*(COLUMN(AC1419:AE1419)-(COLUMN(AC1419)-2))))-1),"")</f>
        <v>ARCHIVED</v>
      </c>
      <c r="M1419" s="13" t="n">
        <f aca="true">K1419-TODAY()</f>
        <v>-409</v>
      </c>
      <c r="N1419" s="18" t="s">
        <v>3520</v>
      </c>
      <c r="O1419" s="13" t="s">
        <v>2037</v>
      </c>
      <c r="P1419" s="19" t="n">
        <v>3701508</v>
      </c>
      <c r="Q1419" s="20" t="s">
        <v>6229</v>
      </c>
      <c r="R1419" s="13" t="s">
        <v>6230</v>
      </c>
      <c r="S1419" s="14" t="n">
        <v>37002</v>
      </c>
      <c r="T1419" s="13" t="s">
        <v>108</v>
      </c>
      <c r="U1419" s="13" t="s">
        <v>6231</v>
      </c>
      <c r="V1419" s="13" t="s">
        <v>42</v>
      </c>
      <c r="W1419" s="13" t="s">
        <v>54</v>
      </c>
      <c r="X1419" s="21" t="n">
        <v>8884576602</v>
      </c>
      <c r="Y1419" s="22" t="str">
        <f aca="false">O1419</f>
        <v>SPG/BA</v>
      </c>
      <c r="Z1419" s="13" t="str">
        <f aca="false">IFERROR(__xludf.dummyfunction("if(BJ1419="""","""",GOOGLETRANSLATE(BJ1419,""auto"",""en""))"),"SPG/BA")</f>
        <v>SPG/BA</v>
      </c>
      <c r="AA1419" s="23" t="str">
        <f aca="false">IF(C1419="","", CHOOSE(MONTH(C1419),"January","February","March","April","May","June","July","August","September","October","November","December")&amp;" "&amp;DAY(C1419)&amp;MID("thstndrdth",MIN(9,2*RIGHT(DAY(C1419))*(MOD(DAY(C1419)-11,100)&gt;2)+1),2)&amp;","&amp;TEXT(C1419," yyyy"))</f>
        <v>April 29th,2024</v>
      </c>
      <c r="AB1419" s="15" t="str">
        <f aca="true">IF(S1419="","",DATEDIF(S1419,TODAY(),"Y")&amp;" Tahun, "&amp;DATEDIF(S1419,TODAY(),"YM")&amp;" Bulan, "&amp;DATEDIF(S1419,TODAY(),"MD")&amp;" Hari")</f>
        <v>25 Tahun, 6 Bulan, 8 Hari</v>
      </c>
      <c r="AC1419" s="18" t="n">
        <v>45744</v>
      </c>
      <c r="AD1419" s="18" t="n">
        <v>45915</v>
      </c>
      <c r="AE1419" s="18" t="s">
        <v>44</v>
      </c>
    </row>
    <row r="1420" customFormat="false" ht="15" hidden="false" customHeight="true" outlineLevel="0" collapsed="false">
      <c r="A1420" s="12" t="n">
        <v>15362</v>
      </c>
      <c r="B1420" s="13" t="s">
        <v>6232</v>
      </c>
      <c r="C1420" s="14" t="n">
        <v>45422</v>
      </c>
      <c r="D1420" s="13" t="s">
        <v>404</v>
      </c>
      <c r="E1420" s="15" t="s">
        <v>47</v>
      </c>
      <c r="F1420" s="15" t="str">
        <f aca="false">IFERROR(__xludf.dummyfunction("XLOOKUP(AJ1420,IMPORTRANGE(""1XaInW9DU9nz21V0tYIfzFQ0He9kVQ_JF2mCXgZ3hqFA"",""REKAP ALL 2026 - Andika!G:G""),IMPORTRANGE(""1XaInW9DU9nz21V0tYIfzFQ0He9kVQ_JF2mCXgZ3hqFA"",""REKAP ALL 2026 - Andika!F:F""),"""",0)"),"24075690800")</f>
        <v>24075690800</v>
      </c>
      <c r="G1420" s="15" t="s">
        <v>6233</v>
      </c>
      <c r="H1420" s="13" t="s">
        <v>35</v>
      </c>
      <c r="I1420" s="13" t="str">
        <f aca="false">IF(C1420=J1420,"NEW KONTRAK","RE-KONTRAK")</f>
        <v>RE-KONTRAK</v>
      </c>
      <c r="J1420" s="16" t="n">
        <f aca="false" t="array" ref="J1420:J1420">IFERROR(INDEX(AC1420:AE1420,IF(COUNTA(AC1420:AE1420)=0,"",MAX((AC1420:AE1420&lt;&gt;"")*(COLUMN(AC1420:AE1420)-(COLUMN(AC1420)))))-1),"")</f>
        <v>45658</v>
      </c>
      <c r="K1420" s="16" t="n">
        <f aca="false" t="array" ref="K1420:K1420">IFERROR(INDEX(AC1420:AE1420,IF(COUNTA(AC1420:AE1420)=0,"",MAX((AC1420:AE1420&lt;&gt;"")*(COLUMN(AC1420:AE1420)-(COLUMN(AC1420)-1))))-1),"")</f>
        <v>46022</v>
      </c>
      <c r="L1420" s="17" t="str">
        <f aca="false" t="array" ref="L1420:L1420">IFERROR(INDEX(AC1420:AE1420,IF(COUNTA(AC1420:AE1420)=0,"",MAX((AC1420:AE1420&lt;&gt;"")*(COLUMN(AC1420:AE1420)-(COLUMN(AC1420)-2))))-1),"")</f>
        <v>ARCHIVED</v>
      </c>
      <c r="M1420" s="13" t="n">
        <f aca="true">K1420-TODAY()</f>
        <v>-302</v>
      </c>
      <c r="N1420" s="18" t="s">
        <v>36</v>
      </c>
      <c r="O1420" s="13" t="s">
        <v>479</v>
      </c>
      <c r="P1420" s="26" t="n">
        <v>5195401</v>
      </c>
      <c r="Q1420" s="20" t="s">
        <v>6234</v>
      </c>
      <c r="R1420" s="13" t="s">
        <v>52</v>
      </c>
      <c r="S1420" s="14" t="n">
        <v>34469</v>
      </c>
      <c r="T1420" s="13" t="s">
        <v>40</v>
      </c>
      <c r="U1420" s="13" t="s">
        <v>6235</v>
      </c>
      <c r="V1420" s="13" t="s">
        <v>42</v>
      </c>
      <c r="W1420" s="13" t="s">
        <v>54</v>
      </c>
      <c r="X1420" s="21" t="n">
        <v>81938355653</v>
      </c>
      <c r="Y1420" s="22" t="str">
        <f aca="false">O1420</f>
        <v>Bottling Rigid (BT2)</v>
      </c>
      <c r="Z1420" s="13" t="str">
        <f aca="false">IFERROR(__xludf.dummyfunction("if(BJ1420="""","""",GOOGLETRANSLATE(BJ1420,""auto"",""en""))"),"Bottling Rigid (BT2)")</f>
        <v>Bottling Rigid (BT2)</v>
      </c>
      <c r="AA1420" s="23" t="str">
        <f aca="false">IF(C1420="","", CHOOSE(MONTH(C1420),"January","February","March","April","May","June","July","August","September","October","November","December")&amp;" "&amp;DAY(C1420)&amp;MID("thstndrdth",MIN(9,2*RIGHT(DAY(C1420))*(MOD(DAY(C1420)-11,100)&gt;2)+1),2)&amp;","&amp;TEXT(C1420," yyyy"))</f>
        <v>May 10th,2024</v>
      </c>
      <c r="AB1420" s="15" t="str">
        <f aca="true">IF(S1420="","",DATEDIF(S1420,TODAY(),"Y")&amp;" Tahun, "&amp;DATEDIF(S1420,TODAY(),"YM")&amp;" Bulan, "&amp;DATEDIF(S1420,TODAY(),"MD")&amp;" Hari")</f>
        <v>32 Tahun, 5 Bulan, 14 Hari</v>
      </c>
      <c r="AC1420" s="18" t="n">
        <v>45658</v>
      </c>
      <c r="AD1420" s="18" t="n">
        <v>46022</v>
      </c>
      <c r="AE1420" s="18" t="s">
        <v>44</v>
      </c>
    </row>
    <row r="1421" customFormat="false" ht="15" hidden="false" customHeight="true" outlineLevel="0" collapsed="false">
      <c r="A1421" s="12" t="n">
        <v>2422</v>
      </c>
      <c r="B1421" s="13" t="s">
        <v>6236</v>
      </c>
      <c r="C1421" s="14" t="n">
        <v>44406</v>
      </c>
      <c r="D1421" s="13" t="s">
        <v>101</v>
      </c>
      <c r="E1421" s="15" t="s">
        <v>47</v>
      </c>
      <c r="F1421" s="15" t="str">
        <f aca="false">IFERROR(__xludf.dummyfunction("XLOOKUP(AJ1421,IMPORTRANGE(""1XaInW9DU9nz21V0tYIfzFQ0He9kVQ_JF2mCXgZ3hqFA"",""REKAP ALL 2026 - Andika!G:G""),IMPORTRANGE(""1XaInW9DU9nz21V0tYIfzFQ0He9kVQ_JF2mCXgZ3hqFA"",""REKAP ALL 2026 - Andika!F:F""),"""",0)"),"21068420823")</f>
        <v>21068420823</v>
      </c>
      <c r="G1421" s="13" t="s">
        <v>6237</v>
      </c>
      <c r="H1421" s="13" t="s">
        <v>35</v>
      </c>
      <c r="I1421" s="13" t="str">
        <f aca="false">IF(C1421=J1421,"NEW KONTRAK","RE-KONTRAK")</f>
        <v>RE-KONTRAK</v>
      </c>
      <c r="J1421" s="16" t="n">
        <f aca="false" t="array" ref="J1421:J1421">IFERROR(INDEX(AC1421:AE1421,IF(COUNTA(AC1421:AE1421)=0,"",MAX((AC1421:AE1421&lt;&gt;"")*(COLUMN(AC1421:AE1421)-(COLUMN(AC1421)))))-1),"")</f>
        <v>45672</v>
      </c>
      <c r="K1421" s="16" t="n">
        <f aca="false" t="array" ref="K1421:K1421">IFERROR(INDEX(AC1421:AE1421,IF(COUNTA(AC1421:AE1421)=0,"",MAX((AC1421:AE1421&lt;&gt;"")*(COLUMN(AC1421:AE1421)-(COLUMN(AC1421)-1))))-1),"")</f>
        <v>46036</v>
      </c>
      <c r="L1421" s="17" t="str">
        <f aca="false" t="array" ref="L1421:L1421">IFERROR(INDEX(AC1421:AE1421,IF(COUNTA(AC1421:AE1421)=0,"",MAX((AC1421:AE1421&lt;&gt;"")*(COLUMN(AC1421:AE1421)-(COLUMN(AC1421)-2))))-1),"")</f>
        <v>ARCHIVED</v>
      </c>
      <c r="M1421" s="13" t="n">
        <f aca="true">K1421-TODAY()</f>
        <v>-288</v>
      </c>
      <c r="N1421" s="18" t="s">
        <v>105</v>
      </c>
      <c r="O1421" s="13" t="s">
        <v>1434</v>
      </c>
      <c r="P1421" s="19" t="n">
        <v>138915</v>
      </c>
      <c r="Q1421" s="20" t="s">
        <v>6238</v>
      </c>
      <c r="R1421" s="13" t="s">
        <v>39</v>
      </c>
      <c r="S1421" s="25" t="n">
        <v>37091</v>
      </c>
      <c r="T1421" s="13" t="s">
        <v>108</v>
      </c>
      <c r="U1421" s="13" t="s">
        <v>6239</v>
      </c>
      <c r="V1421" s="13" t="s">
        <v>42</v>
      </c>
      <c r="W1421" s="13" t="s">
        <v>43</v>
      </c>
      <c r="X1421" s="21" t="n">
        <v>8976409215</v>
      </c>
      <c r="Y1421" s="22" t="str">
        <f aca="false">O1421</f>
        <v>E-Commerce - Packer</v>
      </c>
      <c r="Z1421" s="13" t="str">
        <f aca="false">IFERROR(__xludf.dummyfunction("if(BJ1421="""","""",GOOGLETRANSLATE(BJ1421,""auto"",""en""))"),"E-Commerce - Packer")</f>
        <v>E-Commerce - Packer</v>
      </c>
      <c r="AA1421" s="23" t="str">
        <f aca="false">IF(C1421="","", CHOOSE(MONTH(C1421),"January","February","March","April","May","June","July","August","September","October","November","December")&amp;" "&amp;DAY(C1421)&amp;MID("thstndrdth",MIN(9,2*RIGHT(DAY(C1421))*(MOD(DAY(C1421)-11,100)&gt;2)+1),2)&amp;","&amp;TEXT(C1421," yyyy"))</f>
        <v>July 29th,2021</v>
      </c>
      <c r="AB1421" s="15" t="str">
        <f aca="true">IF(S1421="","",DATEDIF(S1421,TODAY(),"Y")&amp;" Tahun, "&amp;DATEDIF(S1421,TODAY(),"YM")&amp;" Bulan, "&amp;DATEDIF(S1421,TODAY(),"MD")&amp;" Hari")</f>
        <v>25 Tahun, 3 Bulan, 10 Hari</v>
      </c>
      <c r="AC1421" s="18" t="n">
        <v>45672</v>
      </c>
      <c r="AD1421" s="18" t="n">
        <v>46036</v>
      </c>
      <c r="AE1421" s="18" t="s">
        <v>44</v>
      </c>
    </row>
    <row r="1422" customFormat="false" ht="15" hidden="false" customHeight="true" outlineLevel="0" collapsed="false">
      <c r="A1422" s="12" t="n">
        <v>22675</v>
      </c>
      <c r="B1422" s="45" t="s">
        <v>6240</v>
      </c>
      <c r="C1422" s="14" t="n">
        <v>46247</v>
      </c>
      <c r="D1422" s="13" t="s">
        <v>101</v>
      </c>
      <c r="E1422" s="13" t="s">
        <v>47</v>
      </c>
      <c r="F1422" s="24" t="s">
        <v>6241</v>
      </c>
      <c r="G1422" s="13" t="s">
        <v>1452</v>
      </c>
      <c r="H1422" s="13" t="s">
        <v>35</v>
      </c>
      <c r="I1422" s="13" t="str">
        <f aca="false">IF(C1422=J1422,"NEW KONTRAK","RE-KONTRAK")</f>
        <v>NEW KONTRAK</v>
      </c>
      <c r="J1422" s="16" t="n">
        <f aca="false" t="array" ref="J1422:J1422">IFERROR(INDEX(AC1422:AE1422,IF(COUNTA(AC1422:AE1422)=0,"",MAX((AC1422:AE1422&lt;&gt;"")*(COLUMN(AC1422:AE1422)-(COLUMN(AC1422)))))-1),"")</f>
        <v>46247</v>
      </c>
      <c r="K1422" s="16" t="n">
        <f aca="false" t="array" ref="K1422:K1422">IFERROR(INDEX(AC1422:AE1422,IF(COUNTA(AC1422:AE1422)=0,"",MAX((AC1422:AE1422&lt;&gt;"")*(COLUMN(AC1422:AE1422)-(COLUMN(AC1422)-1))))-1),"")</f>
        <v>46402</v>
      </c>
      <c r="L1422" s="17" t="str">
        <f aca="false" t="array" ref="L1422:L1422">IFERROR(INDEX(AC1422:AE1422,IF(COUNTA(AC1422:AE1422)=0,"",MAX((AC1422:AE1422&lt;&gt;"")*(COLUMN(AC1422:AE1422)-(COLUMN(AC1422)-2))))-1),"")</f>
        <v>ARCHIVED</v>
      </c>
      <c r="M1422" s="13" t="n">
        <f aca="true">K1422-TODAY()</f>
        <v>78</v>
      </c>
      <c r="N1422" s="18" t="s">
        <v>105</v>
      </c>
      <c r="O1422" s="13" t="s">
        <v>1453</v>
      </c>
      <c r="P1422" s="26" t="n">
        <v>138915</v>
      </c>
      <c r="Q1422" s="20" t="s">
        <v>6242</v>
      </c>
      <c r="R1422" s="13" t="s">
        <v>39</v>
      </c>
      <c r="S1422" s="25" t="n">
        <v>36855</v>
      </c>
      <c r="T1422" s="13" t="s">
        <v>108</v>
      </c>
      <c r="U1422" s="13" t="s">
        <v>6243</v>
      </c>
      <c r="V1422" s="13" t="s">
        <v>42</v>
      </c>
      <c r="W1422" s="13" t="s">
        <v>43</v>
      </c>
      <c r="X1422" s="21" t="n">
        <v>8223143483748</v>
      </c>
      <c r="Y1422" s="22" t="str">
        <f aca="false">O1422</f>
        <v>Helper Produksi</v>
      </c>
      <c r="Z1422" s="13" t="str">
        <f aca="false">IFERROR(__xludf.dummyfunction("if(BJ1422="""","""",GOOGLETRANSLATE(BJ1422,""auto"",""en""))"),"Production Helper")</f>
        <v>Production Helper</v>
      </c>
      <c r="AA1422" s="23" t="str">
        <f aca="false">IF(C1422="","", CHOOSE(MONTH(C1422),"January","February","March","April","May","June","July","August","September","October","November","December")&amp;" "&amp;DAY(C1422)&amp;MID("thstndrdth",MIN(9,2*RIGHT(DAY(C1422))*(MOD(DAY(C1422)-11,100)&gt;2)+1),2)&amp;","&amp;TEXT(C1422," yyyy"))</f>
        <v>August 13th,2026</v>
      </c>
      <c r="AB1422" s="15" t="str">
        <f aca="true">IF(S1422="","",DATEDIF(S1422,TODAY(),"Y")&amp;" Tahun, "&amp;DATEDIF(S1422,TODAY(),"YM")&amp;" Bulan, "&amp;DATEDIF(S1422,TODAY(),"MD")&amp;" Hari")</f>
        <v>25 Tahun, 11 Bulan, 4 Hari</v>
      </c>
      <c r="AC1422" s="14" t="n">
        <v>46247</v>
      </c>
      <c r="AD1422" s="18" t="n">
        <v>46402</v>
      </c>
      <c r="AE1422" s="45" t="s">
        <v>44</v>
      </c>
    </row>
    <row r="1423" customFormat="false" ht="15" hidden="false" customHeight="true" outlineLevel="0" collapsed="false">
      <c r="A1423" s="12" t="n">
        <v>15385</v>
      </c>
      <c r="B1423" s="13" t="s">
        <v>6244</v>
      </c>
      <c r="C1423" s="14" t="n">
        <v>45445</v>
      </c>
      <c r="D1423" s="13" t="s">
        <v>755</v>
      </c>
      <c r="E1423" s="15" t="s">
        <v>47</v>
      </c>
      <c r="F1423" s="15" t="str">
        <f aca="false">IFERROR(__xludf.dummyfunction("XLOOKUP(AJ1423,IMPORTRANGE(""1XaInW9DU9nz21V0tYIfzFQ0He9kVQ_JF2mCXgZ3hqFA"",""REKAP ALL 2026 - Andika!G:G""),IMPORTRANGE(""1XaInW9DU9nz21V0tYIfzFQ0He9kVQ_JF2mCXgZ3hqFA"",""REKAP ALL 2026 - Andika!F:F""),"""",0)"),"21050512009")</f>
        <v>21050512009</v>
      </c>
      <c r="G1423" s="15" t="s">
        <v>6245</v>
      </c>
      <c r="H1423" s="13" t="s">
        <v>35</v>
      </c>
      <c r="I1423" s="13" t="str">
        <f aca="false">IF(C1423=J1423,"NEW KONTRAK","RE-KONTRAK")</f>
        <v>RE-KONTRAK</v>
      </c>
      <c r="J1423" s="16" t="n">
        <f aca="false" t="array" ref="J1423:J1423">IFERROR(INDEX(AC1423:AE1423,IF(COUNTA(AC1423:AE1423)=0,"",MAX((AC1423:AE1423&lt;&gt;"")*(COLUMN(AC1423:AE1423)-(COLUMN(AC1423)))))-1),"")</f>
        <v>45799</v>
      </c>
      <c r="K1423" s="16" t="n">
        <f aca="false" t="array" ref="K1423:K1423">IFERROR(INDEX(AC1423:AE1423,IF(COUNTA(AC1423:AE1423)=0,"",MAX((AC1423:AE1423&lt;&gt;"")*(COLUMN(AC1423:AE1423)-(COLUMN(AC1423)-1))))-1),"")</f>
        <v>46528</v>
      </c>
      <c r="L1423" s="17" t="str">
        <f aca="false" t="array" ref="L1423:L1423">IFERROR(INDEX(AC1423:AE1423,IF(COUNTA(AC1423:AE1423)=0,"",MAX((AC1423:AE1423&lt;&gt;"")*(COLUMN(AC1423:AE1423)-(COLUMN(AC1423)-2))))-1),"")</f>
        <v>KEMBALI</v>
      </c>
      <c r="M1423" s="13" t="n">
        <f aca="true">K1423-TODAY()</f>
        <v>204</v>
      </c>
      <c r="N1423" s="18" t="s">
        <v>105</v>
      </c>
      <c r="O1423" s="13" t="s">
        <v>757</v>
      </c>
      <c r="P1423" s="19" t="n">
        <v>4870511</v>
      </c>
      <c r="Q1423" s="20" t="s">
        <v>6246</v>
      </c>
      <c r="R1423" s="13" t="s">
        <v>232</v>
      </c>
      <c r="S1423" s="14" t="n">
        <v>37443</v>
      </c>
      <c r="T1423" s="13" t="s">
        <v>40</v>
      </c>
      <c r="U1423" s="13" t="s">
        <v>6247</v>
      </c>
      <c r="V1423" s="13" t="s">
        <v>42</v>
      </c>
      <c r="W1423" s="13" t="s">
        <v>43</v>
      </c>
      <c r="X1423" s="21" t="n">
        <v>85856186638</v>
      </c>
      <c r="Y1423" s="22" t="str">
        <f aca="false">O1423</f>
        <v>Inputor</v>
      </c>
      <c r="Z1423" s="13" t="str">
        <f aca="false">IFERROR(__xludf.dummyfunction("if(BJ1423="""","""",GOOGLETRANSLATE(BJ1423,""auto"",""en""))"),"Inputor")</f>
        <v>Inputor</v>
      </c>
      <c r="AA1423" s="23" t="str">
        <f aca="false">IF(C1423="","", CHOOSE(MONTH(C1423),"January","February","March","April","May","June","July","August","September","October","November","December")&amp;" "&amp;DAY(C1423)&amp;MID("thstndrdth",MIN(9,2*RIGHT(DAY(C1423))*(MOD(DAY(C1423)-11,100)&gt;2)+1),2)&amp;","&amp;TEXT(C1423," yyyy"))</f>
        <v>June 2nd,2024</v>
      </c>
      <c r="AB1423" s="15" t="str">
        <f aca="true">IF(S1423="","",DATEDIF(S1423,TODAY(),"Y")&amp;" Tahun, "&amp;DATEDIF(S1423,TODAY(),"YM")&amp;" Bulan, "&amp;DATEDIF(S1423,TODAY(),"MD")&amp;" Hari")</f>
        <v>24 Tahun, 3 Bulan, 23 Hari</v>
      </c>
      <c r="AC1423" s="18" t="n">
        <v>45799</v>
      </c>
      <c r="AD1423" s="18" t="n">
        <v>46528</v>
      </c>
      <c r="AE1423" s="13" t="s">
        <v>397</v>
      </c>
    </row>
    <row r="1424" customFormat="false" ht="15" hidden="false" customHeight="true" outlineLevel="0" collapsed="false">
      <c r="A1424" s="12" t="n">
        <v>15387</v>
      </c>
      <c r="B1424" s="13" t="s">
        <v>6248</v>
      </c>
      <c r="C1424" s="14" t="n">
        <v>45445</v>
      </c>
      <c r="D1424" s="13" t="s">
        <v>755</v>
      </c>
      <c r="E1424" s="15" t="s">
        <v>47</v>
      </c>
      <c r="F1424" s="15" t="str">
        <f aca="false">IFERROR(__xludf.dummyfunction("XLOOKUP(AJ1424,IMPORTRANGE(""1XaInW9DU9nz21V0tYIfzFQ0He9kVQ_JF2mCXgZ3hqFA"",""REKAP ALL 2026 - Andika!G:G""),IMPORTRANGE(""1XaInW9DU9nz21V0tYIfzFQ0He9kVQ_JF2mCXgZ3hqFA"",""REKAP ALL 2026 - Andika!F:F""),"""",0)"),"24075650937")</f>
        <v>24075650937</v>
      </c>
      <c r="G1424" s="15" t="s">
        <v>6249</v>
      </c>
      <c r="H1424" s="13" t="s">
        <v>35</v>
      </c>
      <c r="I1424" s="13" t="str">
        <f aca="false">IF(C1424=J1424,"NEW KONTRAK","RE-KONTRAK")</f>
        <v>RE-KONTRAK</v>
      </c>
      <c r="J1424" s="16" t="n">
        <f aca="false" t="array" ref="J1424:J1424">IFERROR(INDEX(AC1424:AE1424,IF(COUNTA(AC1424:AE1424)=0,"",MAX((AC1424:AE1424&lt;&gt;"")*(COLUMN(AC1424:AE1424)-(COLUMN(AC1424)))))-1),"")</f>
        <v>45799</v>
      </c>
      <c r="K1424" s="16" t="n">
        <f aca="false" t="array" ref="K1424:K1424">IFERROR(INDEX(AC1424:AE1424,IF(COUNTA(AC1424:AE1424)=0,"",MAX((AC1424:AE1424&lt;&gt;"")*(COLUMN(AC1424:AE1424)-(COLUMN(AC1424)-1))))-1),"")</f>
        <v>46528</v>
      </c>
      <c r="L1424" s="17" t="str">
        <f aca="false" t="array" ref="L1424:L1424">IFERROR(INDEX(AC1424:AE1424,IF(COUNTA(AC1424:AE1424)=0,"",MAX((AC1424:AE1424&lt;&gt;"")*(COLUMN(AC1424:AE1424)-(COLUMN(AC1424)-2))))-1),"")</f>
        <v>KEMBALI</v>
      </c>
      <c r="M1424" s="13" t="n">
        <f aca="true">K1424-TODAY()</f>
        <v>204</v>
      </c>
      <c r="N1424" s="18" t="s">
        <v>105</v>
      </c>
      <c r="O1424" s="13" t="s">
        <v>757</v>
      </c>
      <c r="P1424" s="19" t="n">
        <v>4870511</v>
      </c>
      <c r="Q1424" s="20" t="s">
        <v>6250</v>
      </c>
      <c r="R1424" s="13" t="s">
        <v>73</v>
      </c>
      <c r="S1424" s="14" t="n">
        <v>36755</v>
      </c>
      <c r="T1424" s="13" t="s">
        <v>40</v>
      </c>
      <c r="U1424" s="13" t="s">
        <v>6251</v>
      </c>
      <c r="V1424" s="13" t="s">
        <v>42</v>
      </c>
      <c r="W1424" s="13" t="s">
        <v>43</v>
      </c>
      <c r="X1424" s="21" t="n">
        <v>81284854124</v>
      </c>
      <c r="Y1424" s="22" t="str">
        <f aca="false">O1424</f>
        <v>Inputor</v>
      </c>
      <c r="Z1424" s="13" t="str">
        <f aca="false">IFERROR(__xludf.dummyfunction("if(BJ1424="""","""",GOOGLETRANSLATE(BJ1424,""auto"",""en""))"),"Inputor")</f>
        <v>Inputor</v>
      </c>
      <c r="AA1424" s="23" t="str">
        <f aca="false">IF(C1424="","", CHOOSE(MONTH(C1424),"January","February","March","April","May","June","July","August","September","October","November","December")&amp;" "&amp;DAY(C1424)&amp;MID("thstndrdth",MIN(9,2*RIGHT(DAY(C1424))*(MOD(DAY(C1424)-11,100)&gt;2)+1),2)&amp;","&amp;TEXT(C1424," yyyy"))</f>
        <v>June 2nd,2024</v>
      </c>
      <c r="AB1424" s="15" t="str">
        <f aca="true">IF(S1424="","",DATEDIF(S1424,TODAY(),"Y")&amp;" Tahun, "&amp;DATEDIF(S1424,TODAY(),"YM")&amp;" Bulan, "&amp;DATEDIF(S1424,TODAY(),"MD")&amp;" Hari")</f>
        <v>26 Tahun, 2 Bulan, 12 Hari</v>
      </c>
      <c r="AC1424" s="18" t="n">
        <v>45799</v>
      </c>
      <c r="AD1424" s="18" t="n">
        <v>46528</v>
      </c>
      <c r="AE1424" s="13" t="s">
        <v>397</v>
      </c>
    </row>
    <row r="1425" customFormat="false" ht="15" hidden="false" customHeight="true" outlineLevel="0" collapsed="false">
      <c r="A1425" s="12" t="n">
        <v>15388</v>
      </c>
      <c r="B1425" s="13" t="s">
        <v>6252</v>
      </c>
      <c r="C1425" s="14" t="n">
        <v>45445</v>
      </c>
      <c r="D1425" s="13" t="s">
        <v>755</v>
      </c>
      <c r="E1425" s="15" t="s">
        <v>47</v>
      </c>
      <c r="F1425" s="15" t="str">
        <f aca="false">IFERROR(__xludf.dummyfunction("XLOOKUP(AJ1425,IMPORTRANGE(""1XaInW9DU9nz21V0tYIfzFQ0He9kVQ_JF2mCXgZ3hqFA"",""REKAP ALL 2026 - Andika!G:G""),IMPORTRANGE(""1XaInW9DU9nz21V0tYIfzFQ0He9kVQ_JF2mCXgZ3hqFA"",""REKAP ALL 2026 - Andika!F:F""),"""",0)"),"24075650929")</f>
        <v>24075650929</v>
      </c>
      <c r="G1425" s="15" t="s">
        <v>6253</v>
      </c>
      <c r="H1425" s="13" t="s">
        <v>35</v>
      </c>
      <c r="I1425" s="13" t="str">
        <f aca="false">IF(C1425=J1425,"NEW KONTRAK","RE-KONTRAK")</f>
        <v>RE-KONTRAK</v>
      </c>
      <c r="J1425" s="16" t="n">
        <f aca="false" t="array" ref="J1425:J1425">IFERROR(INDEX(AC1425:AE1425,IF(COUNTA(AC1425:AE1425)=0,"",MAX((AC1425:AE1425&lt;&gt;"")*(COLUMN(AC1425:AE1425)-(COLUMN(AC1425)))))-1),"")</f>
        <v>45799</v>
      </c>
      <c r="K1425" s="16" t="n">
        <f aca="false" t="array" ref="K1425:K1425">IFERROR(INDEX(AC1425:AE1425,IF(COUNTA(AC1425:AE1425)=0,"",MAX((AC1425:AE1425&lt;&gt;"")*(COLUMN(AC1425:AE1425)-(COLUMN(AC1425)-1))))-1),"")</f>
        <v>46528</v>
      </c>
      <c r="L1425" s="17" t="str">
        <f aca="false" t="array" ref="L1425:L1425">IFERROR(INDEX(AC1425:AE1425,IF(COUNTA(AC1425:AE1425)=0,"",MAX((AC1425:AE1425&lt;&gt;"")*(COLUMN(AC1425:AE1425)-(COLUMN(AC1425)-2))))-1),"")</f>
        <v>KEMBALI</v>
      </c>
      <c r="M1425" s="13" t="n">
        <f aca="true">K1425-TODAY()</f>
        <v>204</v>
      </c>
      <c r="N1425" s="18" t="s">
        <v>105</v>
      </c>
      <c r="O1425" s="13" t="s">
        <v>757</v>
      </c>
      <c r="P1425" s="19" t="n">
        <v>4870511</v>
      </c>
      <c r="Q1425" s="20" t="s">
        <v>6254</v>
      </c>
      <c r="R1425" s="13" t="s">
        <v>39</v>
      </c>
      <c r="S1425" s="14" t="n">
        <v>37170</v>
      </c>
      <c r="T1425" s="13" t="s">
        <v>108</v>
      </c>
      <c r="U1425" s="13" t="s">
        <v>6255</v>
      </c>
      <c r="V1425" s="13" t="s">
        <v>42</v>
      </c>
      <c r="W1425" s="13" t="s">
        <v>43</v>
      </c>
      <c r="X1425" s="21" t="n">
        <v>89668664482</v>
      </c>
      <c r="Y1425" s="22" t="str">
        <f aca="false">O1425</f>
        <v>Inputor</v>
      </c>
      <c r="Z1425" s="13" t="str">
        <f aca="false">IFERROR(__xludf.dummyfunction("if(BJ1425="""","""",GOOGLETRANSLATE(BJ1425,""auto"",""en""))"),"Inputor")</f>
        <v>Inputor</v>
      </c>
      <c r="AA1425" s="23" t="str">
        <f aca="false">IF(C1425="","", CHOOSE(MONTH(C1425),"January","February","March","April","May","June","July","August","September","October","November","December")&amp;" "&amp;DAY(C1425)&amp;MID("thstndrdth",MIN(9,2*RIGHT(DAY(C1425))*(MOD(DAY(C1425)-11,100)&gt;2)+1),2)&amp;","&amp;TEXT(C1425," yyyy"))</f>
        <v>June 2nd,2024</v>
      </c>
      <c r="AB1425" s="15" t="str">
        <f aca="true">IF(S1425="","",DATEDIF(S1425,TODAY(),"Y")&amp;" Tahun, "&amp;DATEDIF(S1425,TODAY(),"YM")&amp;" Bulan, "&amp;DATEDIF(S1425,TODAY(),"MD")&amp;" Hari")</f>
        <v>25 Tahun, 0 Bulan, 23 Hari</v>
      </c>
      <c r="AC1425" s="18" t="n">
        <v>45799</v>
      </c>
      <c r="AD1425" s="18" t="n">
        <v>46528</v>
      </c>
      <c r="AE1425" s="13" t="s">
        <v>397</v>
      </c>
    </row>
    <row r="1426" customFormat="false" ht="15" hidden="false" customHeight="true" outlineLevel="0" collapsed="false">
      <c r="A1426" s="12" t="n">
        <v>15389</v>
      </c>
      <c r="B1426" s="13" t="s">
        <v>6256</v>
      </c>
      <c r="C1426" s="14" t="n">
        <v>45445</v>
      </c>
      <c r="D1426" s="13" t="s">
        <v>755</v>
      </c>
      <c r="E1426" s="15" t="s">
        <v>47</v>
      </c>
      <c r="F1426" s="15" t="str">
        <f aca="false">IFERROR(__xludf.dummyfunction("XLOOKUP(AJ1426,IMPORTRANGE(""1XaInW9DU9nz21V0tYIfzFQ0He9kVQ_JF2mCXgZ3hqFA"",""REKAP ALL 2026 - Andika!G:G""),IMPORTRANGE(""1XaInW9DU9nz21V0tYIfzFQ0He9kVQ_JF2mCXgZ3hqFA"",""REKAP ALL 2026 - Andika!F:F""),"""",0)"),"21050512033")</f>
        <v>21050512033</v>
      </c>
      <c r="G1426" s="15" t="s">
        <v>6257</v>
      </c>
      <c r="H1426" s="13" t="s">
        <v>35</v>
      </c>
      <c r="I1426" s="13" t="str">
        <f aca="false">IF(C1426=J1426,"NEW KONTRAK","RE-KONTRAK")</f>
        <v>RE-KONTRAK</v>
      </c>
      <c r="J1426" s="16" t="n">
        <f aca="false" t="array" ref="J1426:J1426">IFERROR(INDEX(AC1426:AE1426,IF(COUNTA(AC1426:AE1426)=0,"",MAX((AC1426:AE1426&lt;&gt;"")*(COLUMN(AC1426:AE1426)-(COLUMN(AC1426)))))-1),"")</f>
        <v>45799</v>
      </c>
      <c r="K1426" s="16" t="n">
        <f aca="false" t="array" ref="K1426:K1426">IFERROR(INDEX(AC1426:AE1426,IF(COUNTA(AC1426:AE1426)=0,"",MAX((AC1426:AE1426&lt;&gt;"")*(COLUMN(AC1426:AE1426)-(COLUMN(AC1426)-1))))-1),"")</f>
        <v>46528</v>
      </c>
      <c r="L1426" s="17" t="str">
        <f aca="false" t="array" ref="L1426:L1426">IFERROR(INDEX(AC1426:AE1426,IF(COUNTA(AC1426:AE1426)=0,"",MAX((AC1426:AE1426&lt;&gt;"")*(COLUMN(AC1426:AE1426)-(COLUMN(AC1426)-2))))-1),"")</f>
        <v>KEMBALI</v>
      </c>
      <c r="M1426" s="13" t="n">
        <f aca="true">K1426-TODAY()</f>
        <v>204</v>
      </c>
      <c r="N1426" s="18" t="s">
        <v>105</v>
      </c>
      <c r="O1426" s="13" t="s">
        <v>757</v>
      </c>
      <c r="P1426" s="19" t="n">
        <v>4870511</v>
      </c>
      <c r="Q1426" s="20" t="s">
        <v>6258</v>
      </c>
      <c r="R1426" s="13" t="s">
        <v>324</v>
      </c>
      <c r="S1426" s="14" t="n">
        <v>37180</v>
      </c>
      <c r="T1426" s="13" t="s">
        <v>40</v>
      </c>
      <c r="U1426" s="13" t="s">
        <v>6259</v>
      </c>
      <c r="V1426" s="13" t="s">
        <v>42</v>
      </c>
      <c r="W1426" s="13" t="s">
        <v>43</v>
      </c>
      <c r="X1426" s="21" t="n">
        <v>895337013549</v>
      </c>
      <c r="Y1426" s="22" t="str">
        <f aca="false">O1426</f>
        <v>Inputor</v>
      </c>
      <c r="Z1426" s="13" t="str">
        <f aca="false">IFERROR(__xludf.dummyfunction("if(BJ1426="""","""",GOOGLETRANSLATE(BJ1426,""auto"",""en""))"),"Inputor")</f>
        <v>Inputor</v>
      </c>
      <c r="AA1426" s="23" t="str">
        <f aca="false">IF(C1426="","", CHOOSE(MONTH(C1426),"January","February","March","April","May","June","July","August","September","October","November","December")&amp;" "&amp;DAY(C1426)&amp;MID("thstndrdth",MIN(9,2*RIGHT(DAY(C1426))*(MOD(DAY(C1426)-11,100)&gt;2)+1),2)&amp;","&amp;TEXT(C1426," yyyy"))</f>
        <v>June 2nd,2024</v>
      </c>
      <c r="AB1426" s="15" t="str">
        <f aca="true">IF(S1426="","",DATEDIF(S1426,TODAY(),"Y")&amp;" Tahun, "&amp;DATEDIF(S1426,TODAY(),"YM")&amp;" Bulan, "&amp;DATEDIF(S1426,TODAY(),"MD")&amp;" Hari")</f>
        <v>25 Tahun, 0 Bulan, 13 Hari</v>
      </c>
      <c r="AC1426" s="18" t="n">
        <v>45799</v>
      </c>
      <c r="AD1426" s="18" t="n">
        <v>46528</v>
      </c>
      <c r="AE1426" s="13" t="s">
        <v>397</v>
      </c>
    </row>
    <row r="1427" customFormat="false" ht="15" hidden="false" customHeight="true" outlineLevel="0" collapsed="false">
      <c r="A1427" s="12" t="n">
        <v>15424</v>
      </c>
      <c r="B1427" s="13" t="s">
        <v>6260</v>
      </c>
      <c r="C1427" s="14" t="n">
        <v>45419</v>
      </c>
      <c r="D1427" s="13" t="s">
        <v>393</v>
      </c>
      <c r="E1427" s="15" t="s">
        <v>47</v>
      </c>
      <c r="F1427" s="15" t="str">
        <f aca="false">IFERROR(__xludf.dummyfunction("XLOOKUP(AJ1427,IMPORTRANGE(""1XaInW9DU9nz21V0tYIfzFQ0He9kVQ_JF2mCXgZ3hqFA"",""REKAP ALL 2026 - Andika!G:G""),IMPORTRANGE(""1XaInW9DU9nz21V0tYIfzFQ0He9kVQ_JF2mCXgZ3hqFA"",""REKAP ALL 2026 - Andika!F:F""),"""",0)"),"24075650903")</f>
        <v>24075650903</v>
      </c>
      <c r="G1427" s="15" t="s">
        <v>6261</v>
      </c>
      <c r="H1427" s="13" t="s">
        <v>35</v>
      </c>
      <c r="I1427" s="13" t="str">
        <f aca="false">IF(C1427=J1427,"NEW KONTRAK","RE-KONTRAK")</f>
        <v>RE-KONTRAK</v>
      </c>
      <c r="J1427" s="16" t="n">
        <f aca="false" t="array" ref="J1427:J1427">IFERROR(INDEX(AC1427:AE1427,IF(COUNTA(AC1427:AE1427)=0,"",MAX((AC1427:AE1427&lt;&gt;"")*(COLUMN(AC1427:AE1427)-(COLUMN(AC1427)))))-1),"")</f>
        <v>45480</v>
      </c>
      <c r="K1427" s="16" t="n">
        <f aca="false" t="array" ref="K1427:K1427">IFERROR(INDEX(AC1427:AE1427,IF(COUNTA(AC1427:AE1427)=0,"",MAX((AC1427:AE1427&lt;&gt;"")*(COLUMN(AC1427:AE1427)-(COLUMN(AC1427)-1))))-1),"")</f>
        <v>46181</v>
      </c>
      <c r="L1427" s="17" t="str">
        <f aca="false" t="array" ref="L1427:L1427">IFERROR(INDEX(AC1427:AE1427,IF(COUNTA(AC1427:AE1427)=0,"",MAX((AC1427:AE1427&lt;&gt;"")*(COLUMN(AC1427:AE1427)-(COLUMN(AC1427)-2))))-1),"")</f>
        <v>KEMBALI</v>
      </c>
      <c r="M1427" s="13" t="n">
        <f aca="true">K1427-TODAY()</f>
        <v>-143</v>
      </c>
      <c r="N1427" s="18" t="s">
        <v>105</v>
      </c>
      <c r="O1427" s="13" t="s">
        <v>58</v>
      </c>
      <c r="P1427" s="19" t="n">
        <v>5191541</v>
      </c>
      <c r="Q1427" s="20" t="s">
        <v>6262</v>
      </c>
      <c r="R1427" s="13" t="s">
        <v>73</v>
      </c>
      <c r="S1427" s="14" t="n">
        <v>32379</v>
      </c>
      <c r="T1427" s="13" t="s">
        <v>40</v>
      </c>
      <c r="U1427" s="13" t="s">
        <v>6263</v>
      </c>
      <c r="V1427" s="13" t="s">
        <v>42</v>
      </c>
      <c r="W1427" s="13" t="s">
        <v>43</v>
      </c>
      <c r="X1427" s="21" t="n">
        <v>85730296866</v>
      </c>
      <c r="Y1427" s="22" t="str">
        <f aca="false">O1427</f>
        <v>Produksi</v>
      </c>
      <c r="Z1427" s="13" t="str">
        <f aca="false">IFERROR(__xludf.dummyfunction("if(BJ1427="""","""",GOOGLETRANSLATE(BJ1427,""auto"",""en""))"),"Production")</f>
        <v>Production</v>
      </c>
      <c r="AA1427" s="23" t="str">
        <f aca="false">IF(C1427="","", CHOOSE(MONTH(C1427),"January","February","March","April","May","June","July","August","September","October","November","December")&amp;" "&amp;DAY(C1427)&amp;MID("thstndrdth",MIN(9,2*RIGHT(DAY(C1427))*(MOD(DAY(C1427)-11,100)&gt;2)+1),2)&amp;","&amp;TEXT(C1427," yyyy"))</f>
        <v>May 7th,2024</v>
      </c>
      <c r="AB1427" s="15" t="str">
        <f aca="true">IF(S1427="","",DATEDIF(S1427,TODAY(),"Y")&amp;" Tahun, "&amp;DATEDIF(S1427,TODAY(),"YM")&amp;" Bulan, "&amp;DATEDIF(S1427,TODAY(),"MD")&amp;" Hari")</f>
        <v>38 Tahun, 2 Bulan, 5 Hari</v>
      </c>
      <c r="AC1427" s="18" t="n">
        <v>45480</v>
      </c>
      <c r="AD1427" s="18" t="n">
        <v>46181</v>
      </c>
      <c r="AE1427" s="13" t="s">
        <v>397</v>
      </c>
    </row>
    <row r="1428" customFormat="false" ht="15" hidden="false" customHeight="true" outlineLevel="0" collapsed="false">
      <c r="A1428" s="12" t="n">
        <v>15512</v>
      </c>
      <c r="B1428" s="13" t="s">
        <v>6264</v>
      </c>
      <c r="C1428" s="14" t="n">
        <v>45429</v>
      </c>
      <c r="D1428" s="13" t="s">
        <v>144</v>
      </c>
      <c r="E1428" s="15" t="s">
        <v>47</v>
      </c>
      <c r="F1428" s="15" t="str">
        <f aca="false">IFERROR(__xludf.dummyfunction("XLOOKUP(AJ1428,IMPORTRANGE(""1XaInW9DU9nz21V0tYIfzFQ0He9kVQ_JF2mCXgZ3hqFA"",""REKAP ALL 2026 - Andika!G:G""),IMPORTRANGE(""1XaInW9DU9nz21V0tYIfzFQ0He9kVQ_JF2mCXgZ3hqFA"",""REKAP ALL 2026 - Andika!F:F""),"""",0)"),"24091263194")</f>
        <v>24091263194</v>
      </c>
      <c r="G1428" s="15" t="s">
        <v>6265</v>
      </c>
      <c r="H1428" s="13" t="s">
        <v>35</v>
      </c>
      <c r="I1428" s="13" t="str">
        <f aca="false">IF(C1428=J1428,"NEW KONTRAK","RE-KONTRAK")</f>
        <v>RE-KONTRAK</v>
      </c>
      <c r="J1428" s="16" t="n">
        <f aca="false" t="array" ref="J1428:J1428">IFERROR(INDEX(AC1428:AE1428,IF(COUNTA(AC1428:AE1428)=0,"",MAX((AC1428:AE1428&lt;&gt;"")*(COLUMN(AC1428:AE1428)-(COLUMN(AC1428)))))-1),"")</f>
        <v>45658</v>
      </c>
      <c r="K1428" s="16" t="n">
        <f aca="false" t="array" ref="K1428:K1428">IFERROR(INDEX(AC1428:AE1428,IF(COUNTA(AC1428:AE1428)=0,"",MAX((AC1428:AE1428&lt;&gt;"")*(COLUMN(AC1428:AE1428)-(COLUMN(AC1428)-1))))-1),"")</f>
        <v>46022</v>
      </c>
      <c r="L1428" s="17" t="str">
        <f aca="false" t="array" ref="L1428:L1428">IFERROR(INDEX(AC1428:AE1428,IF(COUNTA(AC1428:AE1428)=0,"",MAX((AC1428:AE1428&lt;&gt;"")*(COLUMN(AC1428:AE1428)-(COLUMN(AC1428)-2))))-1),"")</f>
        <v>ARCHIVED</v>
      </c>
      <c r="M1428" s="13" t="n">
        <f aca="true">K1428-TODAY()</f>
        <v>-302</v>
      </c>
      <c r="N1428" s="18" t="s">
        <v>36</v>
      </c>
      <c r="O1428" s="13" t="s">
        <v>50</v>
      </c>
      <c r="P1428" s="19" t="n">
        <v>5195401</v>
      </c>
      <c r="Q1428" s="20" t="s">
        <v>6266</v>
      </c>
      <c r="R1428" s="13" t="s">
        <v>78</v>
      </c>
      <c r="S1428" s="14" t="n">
        <v>25339</v>
      </c>
      <c r="T1428" s="13" t="s">
        <v>40</v>
      </c>
      <c r="U1428" s="13" t="s">
        <v>4530</v>
      </c>
      <c r="V1428" s="13" t="s">
        <v>42</v>
      </c>
      <c r="W1428" s="13" t="s">
        <v>54</v>
      </c>
      <c r="X1428" s="21" t="n">
        <v>81331903189</v>
      </c>
      <c r="Y1428" s="22" t="str">
        <f aca="false">O1428</f>
        <v>Driver</v>
      </c>
      <c r="Z1428" s="13" t="str">
        <f aca="false">IFERROR(__xludf.dummyfunction("if(BJ1428="""","""",GOOGLETRANSLATE(BJ1428,""auto"",""en""))"),"Driver")</f>
        <v>Driver</v>
      </c>
      <c r="AA1428" s="23" t="str">
        <f aca="false">IF(C1428="","", CHOOSE(MONTH(C1428),"January","February","March","April","May","June","July","August","September","October","November","December")&amp;" "&amp;DAY(C1428)&amp;MID("thstndrdth",MIN(9,2*RIGHT(DAY(C1428))*(MOD(DAY(C1428)-11,100)&gt;2)+1),2)&amp;","&amp;TEXT(C1428," yyyy"))</f>
        <v>May 17th,2024</v>
      </c>
      <c r="AB1428" s="15" t="str">
        <f aca="true">IF(S1428="","",DATEDIF(S1428,TODAY(),"Y")&amp;" Tahun, "&amp;DATEDIF(S1428,TODAY(),"YM")&amp;" Bulan, "&amp;DATEDIF(S1428,TODAY(),"MD")&amp;" Hari")</f>
        <v>57 Tahun, 5 Bulan, 13 Hari</v>
      </c>
      <c r="AC1428" s="18" t="n">
        <v>45658</v>
      </c>
      <c r="AD1428" s="18" t="n">
        <v>46022</v>
      </c>
      <c r="AE1428" s="18" t="s">
        <v>44</v>
      </c>
    </row>
    <row r="1429" customFormat="false" ht="15" hidden="false" customHeight="true" outlineLevel="0" collapsed="false">
      <c r="A1429" s="12" t="n">
        <v>15514</v>
      </c>
      <c r="B1429" s="13" t="s">
        <v>6267</v>
      </c>
      <c r="C1429" s="14" t="n">
        <v>45433</v>
      </c>
      <c r="D1429" s="13" t="s">
        <v>5030</v>
      </c>
      <c r="E1429" s="15" t="s">
        <v>47</v>
      </c>
      <c r="F1429" s="15" t="str">
        <f aca="false">IFERROR(__xludf.dummyfunction("XLOOKUP(AJ1429,IMPORTRANGE(""1XaInW9DU9nz21V0tYIfzFQ0He9kVQ_JF2mCXgZ3hqFA"",""REKAP ALL 2026 - Andika!G:G""),IMPORTRANGE(""1XaInW9DU9nz21V0tYIfzFQ0He9kVQ_JF2mCXgZ3hqFA"",""REKAP ALL 2026 - Andika!F:F""),"""",0)"),"24091286245")</f>
        <v>24091286245</v>
      </c>
      <c r="G1429" s="15" t="s">
        <v>6268</v>
      </c>
      <c r="H1429" s="13" t="s">
        <v>35</v>
      </c>
      <c r="I1429" s="13" t="str">
        <f aca="false">IF(C1429=J1429,"NEW KONTRAK","RE-KONTRAK")</f>
        <v>RE-KONTRAK</v>
      </c>
      <c r="J1429" s="16" t="n">
        <f aca="false" t="array" ref="J1429:J1429">IFERROR(INDEX(AC1429:AE1429,IF(COUNTA(AC1429:AE1429)=0,"",MAX((AC1429:AE1429&lt;&gt;"")*(COLUMN(AC1429:AE1429)-(COLUMN(AC1429)))))-1),"")</f>
        <v>45870</v>
      </c>
      <c r="K1429" s="16" t="n">
        <f aca="false" t="array" ref="K1429:K1429">IFERROR(INDEX(AC1429:AE1429,IF(COUNTA(AC1429:AE1429)=0,"",MAX((AC1429:AE1429&lt;&gt;"")*(COLUMN(AC1429:AE1429)-(COLUMN(AC1429)-1))))-1),"")</f>
        <v>46234</v>
      </c>
      <c r="L1429" s="17" t="str">
        <f aca="false" t="array" ref="L1429:L1429">IFERROR(INDEX(AC1429:AE1429,IF(COUNTA(AC1429:AE1429)=0,"",MAX((AC1429:AE1429&lt;&gt;"")*(COLUMN(AC1429:AE1429)-(COLUMN(AC1429)-2))))-1),"")</f>
        <v>ARCHIVED</v>
      </c>
      <c r="M1429" s="13" t="n">
        <f aca="true">K1429-TODAY()</f>
        <v>-90</v>
      </c>
      <c r="N1429" s="18" t="s">
        <v>728</v>
      </c>
      <c r="O1429" s="13" t="s">
        <v>5032</v>
      </c>
      <c r="P1429" s="27" t="n">
        <v>5195401</v>
      </c>
      <c r="Q1429" s="20" t="s">
        <v>6269</v>
      </c>
      <c r="R1429" s="13" t="s">
        <v>401</v>
      </c>
      <c r="S1429" s="14" t="n">
        <v>34392</v>
      </c>
      <c r="T1429" s="13" t="s">
        <v>40</v>
      </c>
      <c r="U1429" s="13" t="s">
        <v>6270</v>
      </c>
      <c r="V1429" s="13" t="s">
        <v>42</v>
      </c>
      <c r="W1429" s="13" t="s">
        <v>54</v>
      </c>
      <c r="X1429" s="21" t="n">
        <v>83122564526</v>
      </c>
      <c r="Y1429" s="22" t="str">
        <f aca="false">O1429</f>
        <v>Operator Genset</v>
      </c>
      <c r="Z1429" s="13" t="str">
        <f aca="false">IFERROR(__xludf.dummyfunction("if(BJ1429="""","""",GOOGLETRANSLATE(BJ1429,""auto"",""en""))"),"Generator Operator")</f>
        <v>Generator Operator</v>
      </c>
      <c r="AA1429" s="23" t="str">
        <f aca="false">IF(C1429="","", CHOOSE(MONTH(C1429),"January","February","March","April","May","June","July","August","September","October","November","December")&amp;" "&amp;DAY(C1429)&amp;MID("thstndrdth",MIN(9,2*RIGHT(DAY(C1429))*(MOD(DAY(C1429)-11,100)&gt;2)+1),2)&amp;","&amp;TEXT(C1429," yyyy"))</f>
        <v>May 21st,2024</v>
      </c>
      <c r="AB1429" s="15" t="str">
        <f aca="true">IF(S1429="","",DATEDIF(S1429,TODAY(),"Y")&amp;" Tahun, "&amp;DATEDIF(S1429,TODAY(),"YM")&amp;" Bulan, "&amp;DATEDIF(S1429,TODAY(),"MD")&amp;" Hari")</f>
        <v>32 Tahun, 8 Bulan, 2 Hari</v>
      </c>
      <c r="AC1429" s="18" t="n">
        <v>45870</v>
      </c>
      <c r="AD1429" s="18" t="n">
        <v>46234</v>
      </c>
      <c r="AE1429" s="18" t="s">
        <v>44</v>
      </c>
    </row>
    <row r="1430" customFormat="false" ht="15" hidden="false" customHeight="true" outlineLevel="0" collapsed="false">
      <c r="A1430" s="12" t="n">
        <v>15516</v>
      </c>
      <c r="B1430" s="13" t="s">
        <v>6271</v>
      </c>
      <c r="C1430" s="14" t="n">
        <v>45433</v>
      </c>
      <c r="D1430" s="13" t="s">
        <v>5030</v>
      </c>
      <c r="E1430" s="15" t="s">
        <v>47</v>
      </c>
      <c r="F1430" s="15" t="str">
        <f aca="false">IFERROR(__xludf.dummyfunction("XLOOKUP(AJ1430,IMPORTRANGE(""1XaInW9DU9nz21V0tYIfzFQ0He9kVQ_JF2mCXgZ3hqFA"",""REKAP ALL 2026 - Andika!G:G""),IMPORTRANGE(""1XaInW9DU9nz21V0tYIfzFQ0He9kVQ_JF2mCXgZ3hqFA"",""REKAP ALL 2026 - Andika!F:F""),"""",0)"),"24091286252")</f>
        <v>24091286252</v>
      </c>
      <c r="G1430" s="15" t="s">
        <v>6272</v>
      </c>
      <c r="H1430" s="13" t="s">
        <v>35</v>
      </c>
      <c r="I1430" s="13" t="str">
        <f aca="false">IF(C1430=J1430,"NEW KONTRAK","RE-KONTRAK")</f>
        <v>RE-KONTRAK</v>
      </c>
      <c r="J1430" s="16" t="n">
        <f aca="false" t="array" ref="J1430:J1430">IFERROR(INDEX(AC1430:AE1430,IF(COUNTA(AC1430:AE1430)=0,"",MAX((AC1430:AE1430&lt;&gt;"")*(COLUMN(AC1430:AE1430)-(COLUMN(AC1430)))))-1),"")</f>
        <v>45870</v>
      </c>
      <c r="K1430" s="16" t="n">
        <f aca="false" t="array" ref="K1430:K1430">IFERROR(INDEX(AC1430:AE1430,IF(COUNTA(AC1430:AE1430)=0,"",MAX((AC1430:AE1430&lt;&gt;"")*(COLUMN(AC1430:AE1430)-(COLUMN(AC1430)-1))))-1),"")</f>
        <v>46234</v>
      </c>
      <c r="L1430" s="17" t="str">
        <f aca="false" t="array" ref="L1430:L1430">IFERROR(INDEX(AC1430:AE1430,IF(COUNTA(AC1430:AE1430)=0,"",MAX((AC1430:AE1430&lt;&gt;"")*(COLUMN(AC1430:AE1430)-(COLUMN(AC1430)-2))))-1),"")</f>
        <v>ARCHIVED</v>
      </c>
      <c r="M1430" s="13" t="n">
        <f aca="true">K1430-TODAY()</f>
        <v>-90</v>
      </c>
      <c r="N1430" s="18" t="s">
        <v>728</v>
      </c>
      <c r="O1430" s="13" t="s">
        <v>5032</v>
      </c>
      <c r="P1430" s="27" t="n">
        <v>5195401</v>
      </c>
      <c r="Q1430" s="20" t="s">
        <v>6273</v>
      </c>
      <c r="R1430" s="13" t="s">
        <v>232</v>
      </c>
      <c r="S1430" s="14" t="n">
        <v>30559</v>
      </c>
      <c r="T1430" s="13" t="s">
        <v>40</v>
      </c>
      <c r="U1430" s="13" t="s">
        <v>6274</v>
      </c>
      <c r="V1430" s="13" t="s">
        <v>42</v>
      </c>
      <c r="W1430" s="13" t="s">
        <v>43</v>
      </c>
      <c r="X1430" s="21" t="n">
        <v>83138144624</v>
      </c>
      <c r="Y1430" s="22" t="str">
        <f aca="false">O1430</f>
        <v>Operator Genset</v>
      </c>
      <c r="Z1430" s="13" t="str">
        <f aca="false">IFERROR(__xludf.dummyfunction("if(BJ1430="""","""",GOOGLETRANSLATE(BJ1430,""auto"",""en""))"),"Generator Operator")</f>
        <v>Generator Operator</v>
      </c>
      <c r="AA1430" s="23" t="str">
        <f aca="false">IF(C1430="","", CHOOSE(MONTH(C1430),"January","February","March","April","May","June","July","August","September","October","November","December")&amp;" "&amp;DAY(C1430)&amp;MID("thstndrdth",MIN(9,2*RIGHT(DAY(C1430))*(MOD(DAY(C1430)-11,100)&gt;2)+1),2)&amp;","&amp;TEXT(C1430," yyyy"))</f>
        <v>May 21st,2024</v>
      </c>
      <c r="AB1430" s="15" t="str">
        <f aca="true">IF(S1430="","",DATEDIF(S1430,TODAY(),"Y")&amp;" Tahun, "&amp;DATEDIF(S1430,TODAY(),"YM")&amp;" Bulan, "&amp;DATEDIF(S1430,TODAY(),"MD")&amp;" Hari")</f>
        <v>43 Tahun, 1 Bulan, 28 Hari</v>
      </c>
      <c r="AC1430" s="18" t="n">
        <v>45870</v>
      </c>
      <c r="AD1430" s="18" t="n">
        <v>46234</v>
      </c>
      <c r="AE1430" s="18" t="s">
        <v>44</v>
      </c>
    </row>
    <row r="1431" customFormat="false" ht="15" hidden="false" customHeight="true" outlineLevel="0" collapsed="false">
      <c r="A1431" s="12" t="n">
        <v>15518</v>
      </c>
      <c r="B1431" s="13" t="s">
        <v>6275</v>
      </c>
      <c r="C1431" s="14" t="n">
        <v>45434</v>
      </c>
      <c r="D1431" s="13" t="s">
        <v>4112</v>
      </c>
      <c r="E1431" s="15" t="s">
        <v>47</v>
      </c>
      <c r="F1431" s="15" t="str">
        <f aca="false">IFERROR(__xludf.dummyfunction("XLOOKUP(AJ1431,IMPORTRANGE(""1XaInW9DU9nz21V0tYIfzFQ0He9kVQ_JF2mCXgZ3hqFA"",""REKAP ALL 2026 - Andika!G:G""),IMPORTRANGE(""1XaInW9DU9nz21V0tYIfzFQ0He9kVQ_JF2mCXgZ3hqFA"",""REKAP ALL 2026 - Andika!F:F""),"""",0)"),"24136903143")</f>
        <v>24136903143</v>
      </c>
      <c r="G1431" s="15" t="s">
        <v>6276</v>
      </c>
      <c r="H1431" s="13" t="s">
        <v>35</v>
      </c>
      <c r="I1431" s="13" t="str">
        <f aca="false">IF(C1431=J1431,"NEW KONTRAK","RE-KONTRAK")</f>
        <v>RE-KONTRAK</v>
      </c>
      <c r="J1431" s="16" t="n">
        <f aca="false" t="array" ref="J1431:J1431">IFERROR(INDEX(AC1431:AE1431,IF(COUNTA(AC1431:AE1431)=0,"",MAX((AC1431:AE1431&lt;&gt;"")*(COLUMN(AC1431:AE1431)-(COLUMN(AC1431)))))-1),"")</f>
        <v>45618</v>
      </c>
      <c r="K1431" s="16" t="n">
        <f aca="false" t="array" ref="K1431:K1431">IFERROR(INDEX(AC1431:AE1431,IF(COUNTA(AC1431:AE1431)=0,"",MAX((AC1431:AE1431&lt;&gt;"")*(COLUMN(AC1431:AE1431)-(COLUMN(AC1431)-1))))-1),"")</f>
        <v>45982</v>
      </c>
      <c r="L1431" s="17" t="str">
        <f aca="false" t="array" ref="L1431:L1431">IFERROR(INDEX(AC1431:AE1431,IF(COUNTA(AC1431:AE1431)=0,"",MAX((AC1431:AE1431&lt;&gt;"")*(COLUMN(AC1431:AE1431)-(COLUMN(AC1431)-2))))-1),"")</f>
        <v>ARCHIVED</v>
      </c>
      <c r="M1431" s="13" t="n">
        <f aca="true">K1431-TODAY()</f>
        <v>-342</v>
      </c>
      <c r="N1431" s="18" t="s">
        <v>728</v>
      </c>
      <c r="O1431" s="13" t="s">
        <v>3271</v>
      </c>
      <c r="P1431" s="19" t="n">
        <v>2900000</v>
      </c>
      <c r="Q1431" s="20" t="s">
        <v>6277</v>
      </c>
      <c r="R1431" s="13" t="s">
        <v>52</v>
      </c>
      <c r="S1431" s="14" t="n">
        <v>37371</v>
      </c>
      <c r="T1431" s="13" t="s">
        <v>40</v>
      </c>
      <c r="U1431" s="13" t="s">
        <v>6278</v>
      </c>
      <c r="V1431" s="13" t="s">
        <v>42</v>
      </c>
      <c r="W1431" s="13" t="s">
        <v>43</v>
      </c>
      <c r="X1431" s="21" t="n">
        <v>81358186795</v>
      </c>
      <c r="Y1431" s="22" t="str">
        <f aca="false">O1431</f>
        <v>Helper</v>
      </c>
      <c r="Z1431" s="13" t="str">
        <f aca="false">IFERROR(__xludf.dummyfunction("if(BJ1431="""","""",GOOGLETRANSLATE(BJ1431,""auto"",""en""))"),"Helper")</f>
        <v>Helper</v>
      </c>
      <c r="AA1431" s="23" t="str">
        <f aca="false">IF(C1431="","", CHOOSE(MONTH(C1431),"January","February","March","April","May","June","July","August","September","October","November","December")&amp;" "&amp;DAY(C1431)&amp;MID("thstndrdth",MIN(9,2*RIGHT(DAY(C1431))*(MOD(DAY(C1431)-11,100)&gt;2)+1),2)&amp;","&amp;TEXT(C1431," yyyy"))</f>
        <v>May 22nd,2024</v>
      </c>
      <c r="AB1431" s="15" t="str">
        <f aca="true">IF(S1431="","",DATEDIF(S1431,TODAY(),"Y")&amp;" Tahun, "&amp;DATEDIF(S1431,TODAY(),"YM")&amp;" Bulan, "&amp;DATEDIF(S1431,TODAY(),"MD")&amp;" Hari")</f>
        <v>24 Tahun, 6 Bulan, 4 Hari</v>
      </c>
      <c r="AC1431" s="18" t="n">
        <v>45618</v>
      </c>
      <c r="AD1431" s="18" t="n">
        <f aca="false">EDATE(AC1431,12)-1</f>
        <v>45982</v>
      </c>
      <c r="AE1431" s="18" t="s">
        <v>44</v>
      </c>
    </row>
    <row r="1432" customFormat="false" ht="15" hidden="false" customHeight="true" outlineLevel="0" collapsed="false">
      <c r="A1432" s="12" t="n">
        <v>15519</v>
      </c>
      <c r="B1432" s="13" t="s">
        <v>6279</v>
      </c>
      <c r="C1432" s="14" t="n">
        <v>45434</v>
      </c>
      <c r="D1432" s="13" t="s">
        <v>4112</v>
      </c>
      <c r="E1432" s="15" t="s">
        <v>102</v>
      </c>
      <c r="F1432" s="15" t="str">
        <f aca="false">IFERROR(__xludf.dummyfunction("XLOOKUP(AJ1432,IMPORTRANGE(""1XaInW9DU9nz21V0tYIfzFQ0He9kVQ_JF2mCXgZ3hqFA"",""REKAP ALL 2026 - Andika!G:G""),IMPORTRANGE(""1XaInW9DU9nz21V0tYIfzFQ0He9kVQ_JF2mCXgZ3hqFA"",""REKAP ALL 2026 - Andika!F:F""),"""",0)"),"24136903275")</f>
        <v>24136903275</v>
      </c>
      <c r="G1432" s="15" t="s">
        <v>6280</v>
      </c>
      <c r="H1432" s="13" t="s">
        <v>35</v>
      </c>
      <c r="I1432" s="13" t="str">
        <f aca="false">IF(C1432=J1432,"NEW KONTRAK","RE-KONTRAK")</f>
        <v>RE-KONTRAK</v>
      </c>
      <c r="J1432" s="16" t="n">
        <f aca="false" t="array" ref="J1432:J1432">IFERROR(INDEX(AC1432:AE1432,IF(COUNTA(AC1432:AE1432)=0,"",MAX((AC1432:AE1432&lt;&gt;"")*(COLUMN(AC1432:AE1432)-(COLUMN(AC1432)))))-1),"")</f>
        <v>45891</v>
      </c>
      <c r="K1432" s="16" t="n">
        <f aca="false" t="array" ref="K1432:K1432">IFERROR(INDEX(AC1432:AE1432,IF(COUNTA(AC1432:AE1432)=0,"",MAX((AC1432:AE1432&lt;&gt;"")*(COLUMN(AC1432:AE1432)-(COLUMN(AC1432)-1))))-1),"")</f>
        <v>46074</v>
      </c>
      <c r="L1432" s="17" t="str">
        <f aca="false" t="array" ref="L1432:L1432">IFERROR(INDEX(AC1432:AE1432,IF(COUNTA(AC1432:AE1432)=0,"",MAX((AC1432:AE1432&lt;&gt;"")*(COLUMN(AC1432:AE1432)-(COLUMN(AC1432)-2))))-1),"")</f>
        <v>ARCHIVED</v>
      </c>
      <c r="M1432" s="13" t="n">
        <f aca="true">K1432-TODAY()</f>
        <v>-250</v>
      </c>
      <c r="N1432" s="18" t="s">
        <v>728</v>
      </c>
      <c r="O1432" s="13" t="s">
        <v>3271</v>
      </c>
      <c r="P1432" s="71" t="n">
        <v>2912000</v>
      </c>
      <c r="Q1432" s="20" t="s">
        <v>6281</v>
      </c>
      <c r="R1432" s="13" t="s">
        <v>52</v>
      </c>
      <c r="S1432" s="14" t="n">
        <v>34350</v>
      </c>
      <c r="T1432" s="13" t="s">
        <v>40</v>
      </c>
      <c r="U1432" s="13" t="s">
        <v>6282</v>
      </c>
      <c r="V1432" s="13" t="s">
        <v>42</v>
      </c>
      <c r="W1432" s="13" t="s">
        <v>54</v>
      </c>
      <c r="X1432" s="21" t="n">
        <v>85702180873</v>
      </c>
      <c r="Y1432" s="22" t="str">
        <f aca="false">O1432</f>
        <v>Helper</v>
      </c>
      <c r="Z1432" s="13" t="str">
        <f aca="false">IFERROR(__xludf.dummyfunction("if(BJ1432="""","""",GOOGLETRANSLATE(BJ1432,""auto"",""en""))"),"Helper")</f>
        <v>Helper</v>
      </c>
      <c r="AA1432" s="23" t="str">
        <f aca="false">IF(C1432="","", CHOOSE(MONTH(C1432),"January","February","March","April","May","June","July","August","September","October","November","December")&amp;" "&amp;DAY(C1432)&amp;MID("thstndrdth",MIN(9,2*RIGHT(DAY(C1432))*(MOD(DAY(C1432)-11,100)&gt;2)+1),2)&amp;","&amp;TEXT(C1432," yyyy"))</f>
        <v>May 22nd,2024</v>
      </c>
      <c r="AB1432" s="15" t="str">
        <f aca="true">IF(S1432="","",DATEDIF(S1432,TODAY(),"Y")&amp;" Tahun, "&amp;DATEDIF(S1432,TODAY(),"YM")&amp;" Bulan, "&amp;DATEDIF(S1432,TODAY(),"MD")&amp;" Hari")</f>
        <v>32 Tahun, 9 Bulan, 13 Hari</v>
      </c>
      <c r="AC1432" s="18" t="n">
        <v>45891</v>
      </c>
      <c r="AD1432" s="18" t="n">
        <v>46074</v>
      </c>
      <c r="AE1432" s="18" t="s">
        <v>44</v>
      </c>
    </row>
    <row r="1433" customFormat="false" ht="15" hidden="false" customHeight="true" outlineLevel="0" collapsed="false">
      <c r="A1433" s="12" t="n">
        <v>15521</v>
      </c>
      <c r="B1433" s="13" t="s">
        <v>6283</v>
      </c>
      <c r="C1433" s="14" t="n">
        <v>45422</v>
      </c>
      <c r="D1433" s="13" t="s">
        <v>5892</v>
      </c>
      <c r="E1433" s="15" t="s">
        <v>47</v>
      </c>
      <c r="F1433" s="15" t="str">
        <f aca="false">IFERROR(__xludf.dummyfunction("XLOOKUP(AJ1433,IMPORTRANGE(""1XaInW9DU9nz21V0tYIfzFQ0He9kVQ_JF2mCXgZ3hqFA"",""REKAP ALL 2026 - Andika!G:G""),IMPORTRANGE(""1XaInW9DU9nz21V0tYIfzFQ0He9kVQ_JF2mCXgZ3hqFA"",""REKAP ALL 2026 - Andika!F:F""),"""",0)"),"24091265843")</f>
        <v>24091265843</v>
      </c>
      <c r="G1433" s="15" t="s">
        <v>6284</v>
      </c>
      <c r="H1433" s="13" t="s">
        <v>35</v>
      </c>
      <c r="I1433" s="13" t="str">
        <f aca="false">IF(C1433=J1433,"NEW KONTRAK","RE-KONTRAK")</f>
        <v>RE-KONTRAK</v>
      </c>
      <c r="J1433" s="16" t="n">
        <f aca="false" t="array" ref="J1433:J1433">IFERROR(INDEX(AC1433:AE1433,IF(COUNTA(AC1433:AE1433)=0,"",MAX((AC1433:AE1433&lt;&gt;"")*(COLUMN(AC1433:AE1433)-(COLUMN(AC1433)))))-1),"")</f>
        <v>45787</v>
      </c>
      <c r="K1433" s="16" t="n">
        <f aca="false" t="array" ref="K1433:K1433">IFERROR(INDEX(AC1433:AE1433,IF(COUNTA(AC1433:AE1433)=0,"",MAX((AC1433:AE1433&lt;&gt;"")*(COLUMN(AC1433:AE1433)-(COLUMN(AC1433)-1))))-1),"")</f>
        <v>45970</v>
      </c>
      <c r="L1433" s="17" t="str">
        <f aca="false" t="array" ref="L1433:L1433">IFERROR(INDEX(AC1433:AE1433,IF(COUNTA(AC1433:AE1433)=0,"",MAX((AC1433:AE1433&lt;&gt;"")*(COLUMN(AC1433:AE1433)-(COLUMN(AC1433)-2))))-1),"")</f>
        <v>ARCHIVED</v>
      </c>
      <c r="M1433" s="13" t="n">
        <f aca="true">K1433-TODAY()</f>
        <v>-354</v>
      </c>
      <c r="N1433" s="18" t="s">
        <v>105</v>
      </c>
      <c r="O1433" s="13" t="s">
        <v>6285</v>
      </c>
      <c r="P1433" s="19" t="n">
        <v>4250000</v>
      </c>
      <c r="Q1433" s="20" t="s">
        <v>6286</v>
      </c>
      <c r="R1433" s="13" t="s">
        <v>260</v>
      </c>
      <c r="S1433" s="14" t="n">
        <v>37241</v>
      </c>
      <c r="T1433" s="13" t="s">
        <v>40</v>
      </c>
      <c r="U1433" s="13" t="s">
        <v>6287</v>
      </c>
      <c r="V1433" s="13" t="s">
        <v>42</v>
      </c>
      <c r="W1433" s="13" t="s">
        <v>43</v>
      </c>
      <c r="X1433" s="21" t="n">
        <v>85793407826</v>
      </c>
      <c r="Y1433" s="22" t="str">
        <f aca="false">O1433</f>
        <v>Operator Reach Truck</v>
      </c>
      <c r="Z1433" s="13" t="str">
        <f aca="false">IFERROR(__xludf.dummyfunction("if(BJ1433="""","""",GOOGLETRANSLATE(BJ1433,""auto"",""en""))"),"Operator Reach Truck")</f>
        <v>Operator Reach Truck</v>
      </c>
      <c r="AA1433" s="23" t="str">
        <f aca="false">IF(C1433="","", CHOOSE(MONTH(C1433),"January","February","March","April","May","June","July","August","September","October","November","December")&amp;" "&amp;DAY(C1433)&amp;MID("thstndrdth",MIN(9,2*RIGHT(DAY(C1433))*(MOD(DAY(C1433)-11,100)&gt;2)+1),2)&amp;","&amp;TEXT(C1433," yyyy"))</f>
        <v>May 10th,2024</v>
      </c>
      <c r="AB1433" s="15" t="str">
        <f aca="true">IF(S1433="","",DATEDIF(S1433,TODAY(),"Y")&amp;" Tahun, "&amp;DATEDIF(S1433,TODAY(),"YM")&amp;" Bulan, "&amp;DATEDIF(S1433,TODAY(),"MD")&amp;" Hari")</f>
        <v>24 Tahun, 10 Bulan, 13 Hari</v>
      </c>
      <c r="AC1433" s="18" t="n">
        <v>45787</v>
      </c>
      <c r="AD1433" s="18" t="n">
        <v>45970</v>
      </c>
      <c r="AE1433" s="18" t="s">
        <v>44</v>
      </c>
    </row>
    <row r="1434" customFormat="false" ht="15" hidden="false" customHeight="true" outlineLevel="0" collapsed="false">
      <c r="A1434" s="12" t="n">
        <v>10343</v>
      </c>
      <c r="B1434" s="13" t="s">
        <v>6288</v>
      </c>
      <c r="C1434" s="14" t="n">
        <v>45010</v>
      </c>
      <c r="D1434" s="13" t="s">
        <v>2033</v>
      </c>
      <c r="E1434" s="15" t="s">
        <v>47</v>
      </c>
      <c r="F1434" s="15" t="str">
        <f aca="false">IFERROR(__xludf.dummyfunction("XLOOKUP(AJ1434,IMPORTRANGE(""1XaInW9DU9nz21V0tYIfzFQ0He9kVQ_JF2mCXgZ3hqFA"",""REKAP ALL 2026 - Andika!G:G""),IMPORTRANGE(""1XaInW9DU9nz21V0tYIfzFQ0He9kVQ_JF2mCXgZ3hqFA"",""REKAP ALL 2026 - Andika!F:F""),"""",0)"),"23046250868")</f>
        <v>23046250868</v>
      </c>
      <c r="G1434" s="13" t="s">
        <v>6289</v>
      </c>
      <c r="H1434" s="13" t="s">
        <v>2035</v>
      </c>
      <c r="I1434" s="13" t="str">
        <f aca="false">IF(C1434=J1434,"NEW KONTRAK","RE-KONTRAK")</f>
        <v>RE-KONTRAK</v>
      </c>
      <c r="J1434" s="16" t="n">
        <f aca="false" t="array" ref="J1434:J1434">IFERROR(INDEX(AC1434:AE1434,IF(COUNTA(AC1434:AE1434)=0,"",MAX((AC1434:AE1434&lt;&gt;"")*(COLUMN(AC1434:AE1434)-(COLUMN(AC1434)))))-1),"")</f>
        <v>45744</v>
      </c>
      <c r="K1434" s="16" t="n">
        <f aca="false" t="array" ref="K1434:K1434">IFERROR(INDEX(AC1434:AE1434,IF(COUNTA(AC1434:AE1434)=0,"",MAX((AC1434:AE1434&lt;&gt;"")*(COLUMN(AC1434:AE1434)-(COLUMN(AC1434)-1))))-1),"")</f>
        <v>45915</v>
      </c>
      <c r="L1434" s="17" t="str">
        <f aca="false" t="array" ref="L1434:L1434">IFERROR(INDEX(AC1434:AE1434,IF(COUNTA(AC1434:AE1434)=0,"",MAX((AC1434:AE1434&lt;&gt;"")*(COLUMN(AC1434:AE1434)-(COLUMN(AC1434)-2))))-1),"")</f>
        <v>ARCHIVED</v>
      </c>
      <c r="M1434" s="13" t="n">
        <f aca="true">K1434-TODAY()</f>
        <v>-409</v>
      </c>
      <c r="N1434" s="50" t="s">
        <v>4557</v>
      </c>
      <c r="O1434" s="13" t="s">
        <v>2037</v>
      </c>
      <c r="P1434" s="19" t="n">
        <v>3701709</v>
      </c>
      <c r="Q1434" s="20" t="s">
        <v>6290</v>
      </c>
      <c r="R1434" s="13" t="s">
        <v>6291</v>
      </c>
      <c r="S1434" s="14" t="n">
        <v>33065</v>
      </c>
      <c r="T1434" s="13" t="s">
        <v>108</v>
      </c>
      <c r="U1434" s="13" t="s">
        <v>6292</v>
      </c>
      <c r="V1434" s="13" t="s">
        <v>42</v>
      </c>
      <c r="W1434" s="13" t="s">
        <v>54</v>
      </c>
      <c r="X1434" s="21" t="n">
        <v>895416039314</v>
      </c>
      <c r="Y1434" s="22" t="str">
        <f aca="false">O1434</f>
        <v>SPG/BA</v>
      </c>
      <c r="Z1434" s="13" t="str">
        <f aca="false">IFERROR(__xludf.dummyfunction("if(BJ1434="""","""",GOOGLETRANSLATE(BJ1434,""auto"",""en""))"),"SPG/BA")</f>
        <v>SPG/BA</v>
      </c>
      <c r="AA1434" s="23" t="str">
        <f aca="false">IF(C1434="","", CHOOSE(MONTH(C1434),"January","February","March","April","May","June","July","August","September","October","November","December")&amp;" "&amp;DAY(C1434)&amp;MID("thstndrdth",MIN(9,2*RIGHT(DAY(C1434))*(MOD(DAY(C1434)-11,100)&gt;2)+1),2)&amp;","&amp;TEXT(C1434," yyyy"))</f>
        <v>March 25th,2023</v>
      </c>
      <c r="AB1434" s="15" t="str">
        <f aca="true">IF(S1434="","",DATEDIF(S1434,TODAY(),"Y")&amp;" Tahun, "&amp;DATEDIF(S1434,TODAY(),"YM")&amp;" Bulan, "&amp;DATEDIF(S1434,TODAY(),"MD")&amp;" Hari")</f>
        <v>36 Tahun, 3 Bulan, 18 Hari</v>
      </c>
      <c r="AC1434" s="18" t="n">
        <v>45744</v>
      </c>
      <c r="AD1434" s="18" t="n">
        <v>45915</v>
      </c>
      <c r="AE1434" s="18" t="s">
        <v>44</v>
      </c>
    </row>
    <row r="1435" customFormat="false" ht="15" hidden="false" customHeight="true" outlineLevel="0" collapsed="false">
      <c r="A1435" s="12" t="n">
        <v>15550</v>
      </c>
      <c r="B1435" s="13" t="s">
        <v>6293</v>
      </c>
      <c r="C1435" s="14" t="n">
        <v>45438</v>
      </c>
      <c r="D1435" s="13" t="s">
        <v>1338</v>
      </c>
      <c r="E1435" s="15" t="s">
        <v>33</v>
      </c>
      <c r="F1435" s="24" t="s">
        <v>6294</v>
      </c>
      <c r="G1435" s="15" t="s">
        <v>57</v>
      </c>
      <c r="H1435" s="13" t="s">
        <v>2334</v>
      </c>
      <c r="I1435" s="13" t="str">
        <f aca="false">IF(C1435=J1435,"NEW KONTRAK","RE-KONTRAK")</f>
        <v>RE-KONTRAK</v>
      </c>
      <c r="J1435" s="16" t="n">
        <f aca="false" t="array" ref="J1435:J1435">IFERROR(INDEX(AC1435:AE1435,IF(COUNTA(AC1435:AE1435)=0,"",MAX((AC1435:AE1435&lt;&gt;"")*(COLUMN(AC1435:AE1435)-(COLUMN(AC1435)))))-1),"")</f>
        <v>45754</v>
      </c>
      <c r="K1435" s="16" t="n">
        <f aca="false" t="array" ref="K1435:K1435">IFERROR(INDEX(AC1435:AE1435,IF(COUNTA(AC1435:AE1435)=0,"",MAX((AC1435:AE1435&lt;&gt;"")*(COLUMN(AC1435:AE1435)-(COLUMN(AC1435)-1))))-1),"")</f>
        <v>45844</v>
      </c>
      <c r="L1435" s="17" t="str">
        <f aca="false" t="array" ref="L1435:L1435">IFERROR(INDEX(AC1435:AE1435,IF(COUNTA(AC1435:AE1435)=0,"",MAX((AC1435:AE1435&lt;&gt;"")*(COLUMN(AC1435:AE1435)-(COLUMN(AC1435)-2))))-1),"")</f>
        <v>ARCHIVED</v>
      </c>
      <c r="M1435" s="13" t="n">
        <f aca="true">K1435-TODAY()</f>
        <v>-480</v>
      </c>
      <c r="N1435" s="18" t="s">
        <v>615</v>
      </c>
      <c r="O1435" s="13" t="s">
        <v>2335</v>
      </c>
      <c r="P1435" s="19" t="n">
        <v>160000</v>
      </c>
      <c r="Q1435" s="20" t="s">
        <v>6295</v>
      </c>
      <c r="R1435" s="13" t="s">
        <v>232</v>
      </c>
      <c r="S1435" s="14" t="n">
        <v>31189</v>
      </c>
      <c r="T1435" s="13" t="s">
        <v>40</v>
      </c>
      <c r="U1435" s="13" t="s">
        <v>6296</v>
      </c>
      <c r="V1435" s="13" t="s">
        <v>42</v>
      </c>
      <c r="W1435" s="13" t="s">
        <v>54</v>
      </c>
      <c r="X1435" s="21" t="n">
        <v>82142771005</v>
      </c>
      <c r="Y1435" s="22" t="str">
        <f aca="false">O1435</f>
        <v>Project Management</v>
      </c>
      <c r="Z1435" s="13" t="str">
        <f aca="false">IFERROR(__xludf.dummyfunction("if(BJ1435="""","""",GOOGLETRANSLATE(BJ1435,""auto"",""en""))"),"Project Management")</f>
        <v>Project Management</v>
      </c>
      <c r="AA1435" s="23" t="str">
        <f aca="false">IF(C1435="","", CHOOSE(MONTH(C1435),"January","February","March","April","May","June","July","August","September","October","November","December")&amp;" "&amp;DAY(C1435)&amp;MID("thstndrdth",MIN(9,2*RIGHT(DAY(C1435))*(MOD(DAY(C1435)-11,100)&gt;2)+1),2)&amp;","&amp;TEXT(C1435," yyyy"))</f>
        <v>May 26th,2024</v>
      </c>
      <c r="AB1435" s="15" t="str">
        <f aca="true">IF(S1435="","",DATEDIF(S1435,TODAY(),"Y")&amp;" Tahun, "&amp;DATEDIF(S1435,TODAY(),"YM")&amp;" Bulan, "&amp;DATEDIF(S1435,TODAY(),"MD")&amp;" Hari")</f>
        <v>41 Tahun, 5 Bulan, 7 Hari</v>
      </c>
      <c r="AC1435" s="18" t="n">
        <v>45754</v>
      </c>
      <c r="AD1435" s="18" t="n">
        <v>45844</v>
      </c>
      <c r="AE1435" s="18" t="s">
        <v>44</v>
      </c>
    </row>
    <row r="1436" customFormat="false" ht="15" hidden="false" customHeight="true" outlineLevel="0" collapsed="false">
      <c r="A1436" s="12" t="n">
        <v>15551</v>
      </c>
      <c r="B1436" s="13" t="s">
        <v>6297</v>
      </c>
      <c r="C1436" s="14" t="n">
        <v>45438</v>
      </c>
      <c r="D1436" s="13" t="s">
        <v>1338</v>
      </c>
      <c r="E1436" s="15" t="s">
        <v>33</v>
      </c>
      <c r="F1436" s="24" t="s">
        <v>6298</v>
      </c>
      <c r="G1436" s="15" t="s">
        <v>57</v>
      </c>
      <c r="H1436" s="13" t="s">
        <v>2334</v>
      </c>
      <c r="I1436" s="13" t="str">
        <f aca="false">IF(C1436=J1436,"NEW KONTRAK","RE-KONTRAK")</f>
        <v>RE-KONTRAK</v>
      </c>
      <c r="J1436" s="16" t="n">
        <f aca="false" t="array" ref="J1436:J1436">IFERROR(INDEX(AC1436:AE1436,IF(COUNTA(AC1436:AE1436)=0,"",MAX((AC1436:AE1436&lt;&gt;"")*(COLUMN(AC1436:AE1436)-(COLUMN(AC1436)))))-1),"")</f>
        <v>45754</v>
      </c>
      <c r="K1436" s="16" t="n">
        <f aca="false" t="array" ref="K1436:K1436">IFERROR(INDEX(AC1436:AE1436,IF(COUNTA(AC1436:AE1436)=0,"",MAX((AC1436:AE1436&lt;&gt;"")*(COLUMN(AC1436:AE1436)-(COLUMN(AC1436)-1))))-1),"")</f>
        <v>45844</v>
      </c>
      <c r="L1436" s="17" t="str">
        <f aca="false" t="array" ref="L1436:L1436">IFERROR(INDEX(AC1436:AE1436,IF(COUNTA(AC1436:AE1436)=0,"",MAX((AC1436:AE1436&lt;&gt;"")*(COLUMN(AC1436:AE1436)-(COLUMN(AC1436)-2))))-1),"")</f>
        <v>ARCHIVED</v>
      </c>
      <c r="M1436" s="13" t="n">
        <f aca="true">K1436-TODAY()</f>
        <v>-480</v>
      </c>
      <c r="N1436" s="18" t="s">
        <v>615</v>
      </c>
      <c r="O1436" s="13" t="s">
        <v>2335</v>
      </c>
      <c r="P1436" s="19" t="n">
        <v>160000</v>
      </c>
      <c r="Q1436" s="20" t="s">
        <v>6299</v>
      </c>
      <c r="R1436" s="13" t="s">
        <v>232</v>
      </c>
      <c r="S1436" s="14" t="n">
        <v>29345</v>
      </c>
      <c r="T1436" s="13" t="s">
        <v>40</v>
      </c>
      <c r="U1436" s="13" t="s">
        <v>6300</v>
      </c>
      <c r="V1436" s="13" t="s">
        <v>42</v>
      </c>
      <c r="W1436" s="13" t="s">
        <v>54</v>
      </c>
      <c r="X1436" s="30" t="n">
        <v>83118227824</v>
      </c>
      <c r="Y1436" s="22" t="str">
        <f aca="false">O1436</f>
        <v>Project Management</v>
      </c>
      <c r="Z1436" s="13" t="str">
        <f aca="false">IFERROR(__xludf.dummyfunction("if(BJ1436="""","""",GOOGLETRANSLATE(BJ1436,""auto"",""en""))"),"Project Management")</f>
        <v>Project Management</v>
      </c>
      <c r="AA1436" s="23" t="str">
        <f aca="false">IF(C1436="","", CHOOSE(MONTH(C1436),"January","February","March","April","May","June","July","August","September","October","November","December")&amp;" "&amp;DAY(C1436)&amp;MID("thstndrdth",MIN(9,2*RIGHT(DAY(C1436))*(MOD(DAY(C1436)-11,100)&gt;2)+1),2)&amp;","&amp;TEXT(C1436," yyyy"))</f>
        <v>May 26th,2024</v>
      </c>
      <c r="AB1436" s="15" t="str">
        <f aca="true">IF(S1436="","",DATEDIF(S1436,TODAY(),"Y")&amp;" Tahun, "&amp;DATEDIF(S1436,TODAY(),"YM")&amp;" Bulan, "&amp;DATEDIF(S1436,TODAY(),"MD")&amp;" Hari")</f>
        <v>46 Tahun, 5 Bulan, 25 Hari</v>
      </c>
      <c r="AC1436" s="18" t="n">
        <v>45754</v>
      </c>
      <c r="AD1436" s="18" t="n">
        <v>45844</v>
      </c>
      <c r="AE1436" s="18" t="s">
        <v>44</v>
      </c>
    </row>
    <row r="1437" customFormat="false" ht="15" hidden="false" customHeight="true" outlineLevel="0" collapsed="false">
      <c r="A1437" s="12" t="n">
        <v>15552</v>
      </c>
      <c r="B1437" s="13" t="s">
        <v>6301</v>
      </c>
      <c r="C1437" s="14" t="n">
        <v>45438</v>
      </c>
      <c r="D1437" s="13" t="s">
        <v>1338</v>
      </c>
      <c r="E1437" s="15" t="s">
        <v>47</v>
      </c>
      <c r="F1437" s="15" t="str">
        <f aca="false">IFERROR(__xludf.dummyfunction("XLOOKUP(AJ1437,IMPORTRANGE(""1XaInW9DU9nz21V0tYIfzFQ0He9kVQ_JF2mCXgZ3hqFA"",""REKAP ALL 2026 - Andika!G:G""),IMPORTRANGE(""1XaInW9DU9nz21V0tYIfzFQ0He9kVQ_JF2mCXgZ3hqFA"",""REKAP ALL 2026 - Andika!F:F""),"""",0)"),"24195983457")</f>
        <v>24195983457</v>
      </c>
      <c r="G1437" s="15" t="s">
        <v>57</v>
      </c>
      <c r="H1437" s="13" t="s">
        <v>2334</v>
      </c>
      <c r="I1437" s="13" t="str">
        <f aca="false">IF(C1437=J1437,"NEW KONTRAK","RE-KONTRAK")</f>
        <v>RE-KONTRAK</v>
      </c>
      <c r="J1437" s="16" t="n">
        <f aca="false" t="array" ref="J1437:J1437">IFERROR(INDEX(AC1437:AE1437,IF(COUNTA(AC1437:AE1437)=0,"",MAX((AC1437:AE1437&lt;&gt;"")*(COLUMN(AC1437:AE1437)-(COLUMN(AC1437)))))-1),"")</f>
        <v>45844</v>
      </c>
      <c r="K1437" s="16" t="n">
        <f aca="false" t="array" ref="K1437:K1437">IFERROR(INDEX(AC1437:AE1437,IF(COUNTA(AC1437:AE1437)=0,"",MAX((AC1437:AE1437&lt;&gt;"")*(COLUMN(AC1437:AE1437)-(COLUMN(AC1437)-1))))-1),"")</f>
        <v>45928</v>
      </c>
      <c r="L1437" s="17" t="str">
        <f aca="false" t="array" ref="L1437:L1437">IFERROR(INDEX(AC1437:AE1437,IF(COUNTA(AC1437:AE1437)=0,"",MAX((AC1437:AE1437&lt;&gt;"")*(COLUMN(AC1437:AE1437)-(COLUMN(AC1437)-2))))-1),"")</f>
        <v>KEMBALI</v>
      </c>
      <c r="M1437" s="13" t="n">
        <f aca="true">K1437-TODAY()</f>
        <v>-396</v>
      </c>
      <c r="N1437" s="18" t="s">
        <v>615</v>
      </c>
      <c r="O1437" s="13" t="s">
        <v>2335</v>
      </c>
      <c r="P1437" s="19" t="n">
        <v>160000</v>
      </c>
      <c r="Q1437" s="20" t="s">
        <v>6302</v>
      </c>
      <c r="R1437" s="13" t="s">
        <v>232</v>
      </c>
      <c r="S1437" s="14" t="n">
        <v>32616</v>
      </c>
      <c r="T1437" s="13" t="s">
        <v>40</v>
      </c>
      <c r="U1437" s="13" t="s">
        <v>6303</v>
      </c>
      <c r="V1437" s="13" t="s">
        <v>42</v>
      </c>
      <c r="W1437" s="13" t="s">
        <v>54</v>
      </c>
      <c r="X1437" s="21" t="n">
        <v>85257676759</v>
      </c>
      <c r="Y1437" s="22" t="str">
        <f aca="false">O1437</f>
        <v>Project Management</v>
      </c>
      <c r="Z1437" s="13" t="str">
        <f aca="false">IFERROR(__xludf.dummyfunction("if(BJ1437="""","""",GOOGLETRANSLATE(BJ1437,""auto"",""en""))"),"Project Management")</f>
        <v>Project Management</v>
      </c>
      <c r="AA1437" s="23" t="str">
        <f aca="false">IF(C1437="","", CHOOSE(MONTH(C1437),"January","February","March","April","May","June","July","August","September","October","November","December")&amp;" "&amp;DAY(C1437)&amp;MID("thstndrdth",MIN(9,2*RIGHT(DAY(C1437))*(MOD(DAY(C1437)-11,100)&gt;2)+1),2)&amp;","&amp;TEXT(C1437," yyyy"))</f>
        <v>May 26th,2024</v>
      </c>
      <c r="AB1437" s="15" t="str">
        <f aca="true">IF(S1437="","",DATEDIF(S1437,TODAY(),"Y")&amp;" Tahun, "&amp;DATEDIF(S1437,TODAY(),"YM")&amp;" Bulan, "&amp;DATEDIF(S1437,TODAY(),"MD")&amp;" Hari")</f>
        <v>37 Tahun, 6 Bulan, 11 Hari</v>
      </c>
      <c r="AC1437" s="18" t="n">
        <v>45844</v>
      </c>
      <c r="AD1437" s="18" t="n">
        <v>45928</v>
      </c>
      <c r="AE1437" s="13" t="s">
        <v>397</v>
      </c>
    </row>
    <row r="1438" customFormat="false" ht="15" hidden="false" customHeight="true" outlineLevel="0" collapsed="false">
      <c r="A1438" s="12" t="n">
        <v>15553</v>
      </c>
      <c r="B1438" s="13" t="s">
        <v>6304</v>
      </c>
      <c r="C1438" s="14" t="n">
        <v>45438</v>
      </c>
      <c r="D1438" s="13" t="s">
        <v>1338</v>
      </c>
      <c r="E1438" s="15" t="s">
        <v>33</v>
      </c>
      <c r="F1438" s="24" t="s">
        <v>6305</v>
      </c>
      <c r="G1438" s="15" t="s">
        <v>57</v>
      </c>
      <c r="H1438" s="13" t="s">
        <v>2334</v>
      </c>
      <c r="I1438" s="13" t="str">
        <f aca="false">IF(C1438=J1438,"NEW KONTRAK","RE-KONTRAK")</f>
        <v>RE-KONTRAK</v>
      </c>
      <c r="J1438" s="16" t="n">
        <f aca="false" t="array" ref="J1438:J1438">IFERROR(INDEX(AC1438:AE1438,IF(COUNTA(AC1438:AE1438)=0,"",MAX((AC1438:AE1438&lt;&gt;"")*(COLUMN(AC1438:AE1438)-(COLUMN(AC1438)))))-1),"")</f>
        <v>45754</v>
      </c>
      <c r="K1438" s="16" t="n">
        <f aca="false" t="array" ref="K1438:K1438">IFERROR(INDEX(AC1438:AE1438,IF(COUNTA(AC1438:AE1438)=0,"",MAX((AC1438:AE1438&lt;&gt;"")*(COLUMN(AC1438:AE1438)-(COLUMN(AC1438)-1))))-1),"")</f>
        <v>45844</v>
      </c>
      <c r="L1438" s="17" t="str">
        <f aca="false" t="array" ref="L1438:L1438">IFERROR(INDEX(AC1438:AE1438,IF(COUNTA(AC1438:AE1438)=0,"",MAX((AC1438:AE1438&lt;&gt;"")*(COLUMN(AC1438:AE1438)-(COLUMN(AC1438)-2))))-1),"")</f>
        <v>ARCHIVED</v>
      </c>
      <c r="M1438" s="13" t="n">
        <f aca="true">K1438-TODAY()</f>
        <v>-480</v>
      </c>
      <c r="N1438" s="18" t="s">
        <v>615</v>
      </c>
      <c r="O1438" s="13" t="s">
        <v>2335</v>
      </c>
      <c r="P1438" s="19" t="n">
        <v>190000</v>
      </c>
      <c r="Q1438" s="20" t="s">
        <v>6306</v>
      </c>
      <c r="R1438" s="13" t="s">
        <v>232</v>
      </c>
      <c r="S1438" s="14" t="n">
        <v>24480</v>
      </c>
      <c r="T1438" s="13" t="s">
        <v>40</v>
      </c>
      <c r="U1438" s="13" t="s">
        <v>6307</v>
      </c>
      <c r="V1438" s="13" t="s">
        <v>42</v>
      </c>
      <c r="W1438" s="13" t="s">
        <v>54</v>
      </c>
      <c r="X1438" s="30" t="n">
        <v>87796383465</v>
      </c>
      <c r="Y1438" s="22" t="str">
        <f aca="false">O1438</f>
        <v>Project Management</v>
      </c>
      <c r="Z1438" s="13" t="str">
        <f aca="false">IFERROR(__xludf.dummyfunction("if(BJ1438="""","""",GOOGLETRANSLATE(BJ1438,""auto"",""en""))"),"Project Management")</f>
        <v>Project Management</v>
      </c>
      <c r="AA1438" s="23" t="str">
        <f aca="false">IF(C1438="","", CHOOSE(MONTH(C1438),"January","February","March","April","May","June","July","August","September","October","November","December")&amp;" "&amp;DAY(C1438)&amp;MID("thstndrdth",MIN(9,2*RIGHT(DAY(C1438))*(MOD(DAY(C1438)-11,100)&gt;2)+1),2)&amp;","&amp;TEXT(C1438," yyyy"))</f>
        <v>May 26th,2024</v>
      </c>
      <c r="AB1438" s="15" t="str">
        <f aca="true">IF(S1438="","",DATEDIF(S1438,TODAY(),"Y")&amp;" Tahun, "&amp;DATEDIF(S1438,TODAY(),"YM")&amp;" Bulan, "&amp;DATEDIF(S1438,TODAY(),"MD")&amp;" Hari")</f>
        <v>59 Tahun, 9 Bulan, 21 Hari</v>
      </c>
      <c r="AC1438" s="18" t="n">
        <v>45754</v>
      </c>
      <c r="AD1438" s="18" t="n">
        <v>45844</v>
      </c>
      <c r="AE1438" s="18" t="s">
        <v>44</v>
      </c>
    </row>
    <row r="1439" customFormat="false" ht="15" hidden="false" customHeight="true" outlineLevel="0" collapsed="false">
      <c r="A1439" s="12" t="n">
        <v>22714</v>
      </c>
      <c r="B1439" s="13" t="s">
        <v>6308</v>
      </c>
      <c r="C1439" s="14" t="n">
        <v>46251</v>
      </c>
      <c r="D1439" s="13" t="s">
        <v>1721</v>
      </c>
      <c r="E1439" s="13" t="s">
        <v>47</v>
      </c>
      <c r="F1439" s="24" t="s">
        <v>6309</v>
      </c>
      <c r="G1439" s="13" t="s">
        <v>1452</v>
      </c>
      <c r="H1439" s="13" t="s">
        <v>35</v>
      </c>
      <c r="I1439" s="13" t="str">
        <f aca="false">IF(C1439=J1439,"NEW KONTRAK","RE-KONTRAK")</f>
        <v>NEW KONTRAK</v>
      </c>
      <c r="J1439" s="16" t="n">
        <f aca="false" t="array" ref="J1439:J1439">IFERROR(INDEX(AC1439:AE1439,IF(COUNTA(AC1439:AE1439)=0,"",MAX((AC1439:AE1439&lt;&gt;"")*(COLUMN(AC1439:AE1439)-(COLUMN(AC1439)))))-1),"")</f>
        <v>46251</v>
      </c>
      <c r="K1439" s="16" t="n">
        <f aca="false" t="array" ref="K1439:K1439">IFERROR(INDEX(AC1439:AE1439,IF(COUNTA(AC1439:AE1439)=0,"",MAX((AC1439:AE1439&lt;&gt;"")*(COLUMN(AC1439:AE1439)-(COLUMN(AC1439)-1))))-1),"")</f>
        <v>46342</v>
      </c>
      <c r="L1439" s="17" t="str">
        <f aca="false" t="array" ref="L1439:L1439">IFERROR(INDEX(AC1439:AE1439,IF(COUNTA(AC1439:AE1439)=0,"",MAX((AC1439:AE1439&lt;&gt;"")*(COLUMN(AC1439:AE1439)-(COLUMN(AC1439)-2))))-1),"")</f>
        <v>KEMBALI</v>
      </c>
      <c r="M1439" s="13" t="n">
        <f aca="true">K1439-TODAY()</f>
        <v>18</v>
      </c>
      <c r="N1439" s="18" t="s">
        <v>728</v>
      </c>
      <c r="O1439" s="13" t="s">
        <v>1932</v>
      </c>
      <c r="P1439" s="26" t="n">
        <v>5444909</v>
      </c>
      <c r="Q1439" s="20" t="s">
        <v>6310</v>
      </c>
      <c r="R1439" s="13" t="s">
        <v>735</v>
      </c>
      <c r="S1439" s="25" t="n">
        <v>35663</v>
      </c>
      <c r="T1439" s="13" t="s">
        <v>108</v>
      </c>
      <c r="U1439" s="13" t="s">
        <v>6311</v>
      </c>
      <c r="V1439" s="13" t="s">
        <v>42</v>
      </c>
      <c r="W1439" s="13" t="s">
        <v>54</v>
      </c>
      <c r="X1439" s="21" t="n">
        <v>81338378280</v>
      </c>
      <c r="Y1439" s="22" t="str">
        <f aca="false">O1439</f>
        <v>Blow Moulding</v>
      </c>
      <c r="Z1439" s="13" t="str">
        <f aca="false">IFERROR(__xludf.dummyfunction("if(BJ1439="""","""",GOOGLETRANSLATE(BJ1439,""auto"",""en""))"),"Blow Moulding")</f>
        <v>Blow Moulding</v>
      </c>
      <c r="AA1439" s="23" t="str">
        <f aca="false">IF(C1439="","", CHOOSE(MONTH(C1439),"January","February","March","April","May","June","July","August","September","October","November","December")&amp;" "&amp;DAY(C1439)&amp;MID("thstndrdth",MIN(9,2*RIGHT(DAY(C1439))*(MOD(DAY(C1439)-11,100)&gt;2)+1),2)&amp;","&amp;TEXT(C1439," yyyy"))</f>
        <v>August 17th,2026</v>
      </c>
      <c r="AB1439" s="15" t="str">
        <f aca="true">IF(S1439="","",DATEDIF(S1439,TODAY(),"Y")&amp;" Tahun, "&amp;DATEDIF(S1439,TODAY(),"YM")&amp;" Bulan, "&amp;DATEDIF(S1439,TODAY(),"MD")&amp;" Hari")</f>
        <v>29 Tahun, 2 Bulan, 8 Hari</v>
      </c>
      <c r="AC1439" s="14" t="n">
        <v>46251</v>
      </c>
      <c r="AD1439" s="18" t="n">
        <f aca="false">EDATE(AC1439,3)-1</f>
        <v>46342</v>
      </c>
      <c r="AE1439" s="13" t="s">
        <v>397</v>
      </c>
    </row>
    <row r="1440" customFormat="false" ht="15" hidden="false" customHeight="true" outlineLevel="0" collapsed="false">
      <c r="A1440" s="12" t="n">
        <v>16373</v>
      </c>
      <c r="B1440" s="13" t="s">
        <v>6312</v>
      </c>
      <c r="C1440" s="14" t="n">
        <v>45488</v>
      </c>
      <c r="D1440" s="13" t="s">
        <v>1721</v>
      </c>
      <c r="E1440" s="15" t="s">
        <v>47</v>
      </c>
      <c r="F1440" s="15" t="str">
        <f aca="false">IFERROR(__xludf.dummyfunction("XLOOKUP(AJ1440,IMPORTRANGE(""1XaInW9DU9nz21V0tYIfzFQ0He9kVQ_JF2mCXgZ3hqFA"",""REKAP ALL 2026 - Andika!G:G""),IMPORTRANGE(""1XaInW9DU9nz21V0tYIfzFQ0He9kVQ_JF2mCXgZ3hqFA"",""REKAP ALL 2026 - Andika!F:F""),"""",0)"),"24105107932")</f>
        <v>24105107932</v>
      </c>
      <c r="G1440" s="15" t="s">
        <v>6313</v>
      </c>
      <c r="H1440" s="13" t="s">
        <v>35</v>
      </c>
      <c r="I1440" s="13" t="str">
        <f aca="false">IF(C1440=J1440,"NEW KONTRAK","RE-KONTRAK")</f>
        <v>RE-KONTRAK</v>
      </c>
      <c r="J1440" s="16" t="n">
        <f aca="false" t="array" ref="J1440:J1440">IFERROR(INDEX(AC1440:AE1440,IF(COUNTA(AC1440:AE1440)=0,"",MAX((AC1440:AE1440&lt;&gt;"")*(COLUMN(AC1440:AE1440)-(COLUMN(AC1440)))))-1),"")</f>
        <v>45659</v>
      </c>
      <c r="K1440" s="16" t="n">
        <f aca="false" t="array" ref="K1440:K1440">IFERROR(INDEX(AC1440:AE1440,IF(COUNTA(AC1440:AE1440)=0,"",MAX((AC1440:AE1440&lt;&gt;"")*(COLUMN(AC1440:AE1440)-(COLUMN(AC1440)-1))))-1),"")</f>
        <v>46021</v>
      </c>
      <c r="L1440" s="17" t="str">
        <f aca="false" t="array" ref="L1440:L1440">IFERROR(INDEX(AC1440:AE1440,IF(COUNTA(AC1440:AE1440)=0,"",MAX((AC1440:AE1440&lt;&gt;"")*(COLUMN(AC1440:AE1440)-(COLUMN(AC1440)-2))))-1),"")</f>
        <v>KEMBALI</v>
      </c>
      <c r="M1440" s="13" t="n">
        <f aca="true">K1440-TODAY()</f>
        <v>-303</v>
      </c>
      <c r="N1440" s="18" t="s">
        <v>728</v>
      </c>
      <c r="O1440" s="13" t="s">
        <v>1914</v>
      </c>
      <c r="P1440" s="19" t="n">
        <v>5444909</v>
      </c>
      <c r="Q1440" s="49" t="s">
        <v>6314</v>
      </c>
      <c r="R1440" s="13" t="s">
        <v>5247</v>
      </c>
      <c r="S1440" s="14" t="n">
        <v>37512</v>
      </c>
      <c r="T1440" s="13" t="s">
        <v>108</v>
      </c>
      <c r="U1440" s="13" t="s">
        <v>6315</v>
      </c>
      <c r="V1440" s="13" t="s">
        <v>42</v>
      </c>
      <c r="W1440" s="13" t="s">
        <v>43</v>
      </c>
      <c r="X1440" s="21" t="n">
        <v>82338479475</v>
      </c>
      <c r="Y1440" s="22" t="str">
        <f aca="false">O1440</f>
        <v>Im Operator</v>
      </c>
      <c r="Z1440" s="13" t="str">
        <f aca="false">IFERROR(__xludf.dummyfunction("if(BJ1440="""","""",GOOGLETRANSLATE(BJ1440,""auto"",""en""))"),"Im Operator")</f>
        <v>Im Operator</v>
      </c>
      <c r="AA1440" s="23" t="str">
        <f aca="false">IF(C1440="","", CHOOSE(MONTH(C1440),"January","February","March","April","May","June","July","August","September","October","November","December")&amp;" "&amp;DAY(C1440)&amp;MID("thstndrdth",MIN(9,2*RIGHT(DAY(C1440))*(MOD(DAY(C1440)-11,100)&gt;2)+1),2)&amp;","&amp;TEXT(C1440," yyyy"))</f>
        <v>July 15th,2024</v>
      </c>
      <c r="AB1440" s="15" t="str">
        <f aca="true">IF(S1440="","",DATEDIF(S1440,TODAY(),"Y")&amp;" Tahun, "&amp;DATEDIF(S1440,TODAY(),"YM")&amp;" Bulan, "&amp;DATEDIF(S1440,TODAY(),"MD")&amp;" Hari")</f>
        <v>24 Tahun, 1 Bulan, 16 Hari</v>
      </c>
      <c r="AC1440" s="18" t="n">
        <v>45659</v>
      </c>
      <c r="AD1440" s="18" t="n">
        <v>46021</v>
      </c>
      <c r="AE1440" s="13" t="s">
        <v>397</v>
      </c>
    </row>
    <row r="1441" customFormat="false" ht="15" hidden="false" customHeight="true" outlineLevel="0" collapsed="false">
      <c r="A1441" s="12" t="n">
        <v>21678</v>
      </c>
      <c r="B1441" s="13" t="s">
        <v>6316</v>
      </c>
      <c r="C1441" s="16" t="n">
        <v>46024</v>
      </c>
      <c r="D1441" s="13" t="s">
        <v>1721</v>
      </c>
      <c r="E1441" s="15" t="s">
        <v>47</v>
      </c>
      <c r="F1441" s="15" t="str">
        <f aca="false">IFERROR(__xludf.dummyfunction("XLOOKUP(AJ1441,IMPORTRANGE(""1XaInW9DU9nz21V0tYIfzFQ0He9kVQ_JF2mCXgZ3hqFA"",""REKAP ALL 2026 - Andika!G:G""),IMPORTRANGE(""1XaInW9DU9nz21V0tYIfzFQ0He9kVQ_JF2mCXgZ3hqFA"",""REKAP ALL 2026 - Andika!F:F""),"""",0)"),"26020754649")</f>
        <v>26020754649</v>
      </c>
      <c r="G1441" s="28" t="s">
        <v>57</v>
      </c>
      <c r="H1441" s="13" t="s">
        <v>35</v>
      </c>
      <c r="I1441" s="13" t="str">
        <f aca="false">IF(C1441=J1441,"NEW KONTRAK","RE-KONTRAK")</f>
        <v>NEW KONTRAK</v>
      </c>
      <c r="J1441" s="16" t="n">
        <f aca="false" t="array" ref="J1441:J1441">IFERROR(INDEX(AC1441:AE1441,IF(COUNTA(AC1441:AE1441)=0,"",MAX((AC1441:AE1441&lt;&gt;"")*(COLUMN(AC1441:AE1441)-(COLUMN(AC1441)))))-1),"")</f>
        <v>46024</v>
      </c>
      <c r="K1441" s="16" t="n">
        <f aca="false" t="array" ref="K1441:K1441">IFERROR(INDEX(AC1441:AE1441,IF(COUNTA(AC1441:AE1441)=0,"",MAX((AC1441:AE1441&lt;&gt;"")*(COLUMN(AC1441:AE1441)-(COLUMN(AC1441)-1))))-1),"")</f>
        <v>46113</v>
      </c>
      <c r="L1441" s="17" t="str">
        <f aca="false" t="array" ref="L1441:L1441">IFERROR(INDEX(AC1441:AE1441,IF(COUNTA(AC1441:AE1441)=0,"",MAX((AC1441:AE1441&lt;&gt;"")*(COLUMN(AC1441:AE1441)-(COLUMN(AC1441)-2))))-1),"")</f>
        <v>ARCHIVED</v>
      </c>
      <c r="M1441" s="13" t="n">
        <f aca="true">K1441-TODAY()</f>
        <v>-211</v>
      </c>
      <c r="N1441" s="18" t="s">
        <v>728</v>
      </c>
      <c r="O1441" s="13" t="s">
        <v>6317</v>
      </c>
      <c r="P1441" s="19" t="n">
        <v>5444909</v>
      </c>
      <c r="Q1441" s="47" t="s">
        <v>6318</v>
      </c>
      <c r="R1441" s="13" t="s">
        <v>73</v>
      </c>
      <c r="S1441" s="16" t="n">
        <v>35540</v>
      </c>
      <c r="T1441" s="28" t="s">
        <v>40</v>
      </c>
      <c r="U1441" s="13" t="s">
        <v>6319</v>
      </c>
      <c r="V1441" s="13" t="s">
        <v>42</v>
      </c>
      <c r="W1441" s="13" t="s">
        <v>54</v>
      </c>
      <c r="X1441" s="21" t="s">
        <v>6320</v>
      </c>
      <c r="Y1441" s="22" t="str">
        <f aca="false">O1441</f>
        <v>Im.Feeder</v>
      </c>
      <c r="Z1441" s="13" t="str">
        <f aca="false">IFERROR(__xludf.dummyfunction("if(BJ1441="""","""",GOOGLETRANSLATE(BJ1441,""auto"",""en""))"),"Im.Feeder")</f>
        <v>Im.Feeder</v>
      </c>
      <c r="AA1441" s="23" t="str">
        <f aca="false">IF(C1441="","", CHOOSE(MONTH(C1441),"January","February","March","April","May","June","July","August","September","October","November","December")&amp;" "&amp;DAY(C1441)&amp;MID("thstndrdth",MIN(9,2*RIGHT(DAY(C1441))*(MOD(DAY(C1441)-11,100)&gt;2)+1),2)&amp;","&amp;TEXT(C1441," yyyy"))</f>
        <v>January 2nd,2026</v>
      </c>
      <c r="AB1441" s="15" t="str">
        <f aca="true">IF(S1441="","",DATEDIF(S1441,TODAY(),"Y")&amp;" Tahun, "&amp;DATEDIF(S1441,TODAY(),"YM")&amp;" Bulan, "&amp;DATEDIF(S1441,TODAY(),"MD")&amp;" Hari")</f>
        <v>29 Tahun, 6 Bulan, 9 Hari</v>
      </c>
      <c r="AC1441" s="18" t="n">
        <v>46024</v>
      </c>
      <c r="AD1441" s="18" t="n">
        <f aca="false">EDATE(AC1441,3)-1</f>
        <v>46113</v>
      </c>
      <c r="AE1441" s="18" t="s">
        <v>44</v>
      </c>
    </row>
    <row r="1442" customFormat="false" ht="15" hidden="false" customHeight="true" outlineLevel="0" collapsed="false">
      <c r="A1442" s="12" t="n">
        <v>22830</v>
      </c>
      <c r="B1442" s="13" t="s">
        <v>6321</v>
      </c>
      <c r="C1442" s="14" t="n">
        <v>46279</v>
      </c>
      <c r="D1442" s="13" t="s">
        <v>1721</v>
      </c>
      <c r="E1442" s="13" t="s">
        <v>47</v>
      </c>
      <c r="F1442" s="24" t="s">
        <v>6322</v>
      </c>
      <c r="G1442" s="13" t="s">
        <v>1452</v>
      </c>
      <c r="H1442" s="13" t="s">
        <v>35</v>
      </c>
      <c r="I1442" s="13" t="str">
        <f aca="false">IF(C1442=J1442,"NEW KONTRAK","RE-KONTRAK")</f>
        <v>NEW KONTRAK</v>
      </c>
      <c r="J1442" s="16" t="n">
        <f aca="false" t="array" ref="J1442:J1442">IFERROR(INDEX(AC1442:AE1442,IF(COUNTA(AC1442:AE1442)=0,"",MAX((AC1442:AE1442&lt;&gt;"")*(COLUMN(AC1442:AE1442)-(COLUMN(AC1442)))))-1),"")</f>
        <v>46279</v>
      </c>
      <c r="K1442" s="16" t="n">
        <f aca="false" t="array" ref="K1442:K1442">IFERROR(INDEX(AC1442:AE1442,IF(COUNTA(AC1442:AE1442)=0,"",MAX((AC1442:AE1442&lt;&gt;"")*(COLUMN(AC1442:AE1442)-(COLUMN(AC1442)-1))))-1),"")</f>
        <v>46386</v>
      </c>
      <c r="L1442" s="17" t="str">
        <f aca="false" t="array" ref="L1442:L1442">IFERROR(INDEX(AC1442:AE1442,IF(COUNTA(AC1442:AE1442)=0,"",MAX((AC1442:AE1442&lt;&gt;"")*(COLUMN(AC1442:AE1442)-(COLUMN(AC1442)-2))))-1),"")</f>
        <v>ARCHIVED</v>
      </c>
      <c r="M1442" s="13" t="n">
        <f aca="true">K1442-TODAY()</f>
        <v>62</v>
      </c>
      <c r="N1442" s="18" t="s">
        <v>728</v>
      </c>
      <c r="O1442" s="13" t="s">
        <v>1822</v>
      </c>
      <c r="P1442" s="26" t="n">
        <v>5444909</v>
      </c>
      <c r="Q1442" s="52" t="s">
        <v>6323</v>
      </c>
      <c r="R1442" s="48" t="s">
        <v>52</v>
      </c>
      <c r="S1442" s="25" t="n">
        <v>34312</v>
      </c>
      <c r="T1442" s="13" t="s">
        <v>40</v>
      </c>
      <c r="U1442" s="13" t="s">
        <v>6324</v>
      </c>
      <c r="V1442" s="13" t="s">
        <v>42</v>
      </c>
      <c r="W1442" s="28" t="s">
        <v>43</v>
      </c>
      <c r="X1442" s="21" t="n">
        <v>82230444769</v>
      </c>
      <c r="Y1442" s="22" t="str">
        <f aca="false">O1442</f>
        <v>Assembling</v>
      </c>
      <c r="Z1442" s="13" t="str">
        <f aca="false">IFERROR(__xludf.dummyfunction("if(BJ1442="""","""",GOOGLETRANSLATE(BJ1442,""auto"",""en""))"),"Assembling")</f>
        <v>Assembling</v>
      </c>
      <c r="AA1442" s="23" t="str">
        <f aca="false">IF(C1442="","", CHOOSE(MONTH(C1442),"January","February","March","April","May","June","July","August","September","October","November","December")&amp;" "&amp;DAY(C1442)&amp;MID("thstndrdth",MIN(9,2*RIGHT(DAY(C1442))*(MOD(DAY(C1442)-11,100)&gt;2)+1),2)&amp;","&amp;TEXT(C1442," yyyy"))</f>
        <v>September 14th,2026</v>
      </c>
      <c r="AB1442" s="15" t="str">
        <f aca="true">IF(S1442="","",DATEDIF(S1442,TODAY(),"Y")&amp;" Tahun, "&amp;DATEDIF(S1442,TODAY(),"YM")&amp;" Bulan, "&amp;DATEDIF(S1442,TODAY(),"MD")&amp;" Hari")</f>
        <v>32 Tahun, 10 Bulan, 20 Hari</v>
      </c>
      <c r="AC1442" s="14" t="n">
        <v>46279</v>
      </c>
      <c r="AD1442" s="18" t="n">
        <v>46386</v>
      </c>
      <c r="AE1442" s="13" t="s">
        <v>44</v>
      </c>
    </row>
    <row r="1443" customFormat="false" ht="15" hidden="false" customHeight="true" outlineLevel="0" collapsed="false">
      <c r="A1443" s="12" t="n">
        <v>22538</v>
      </c>
      <c r="B1443" s="45" t="s">
        <v>6325</v>
      </c>
      <c r="C1443" s="14" t="n">
        <v>46216</v>
      </c>
      <c r="D1443" s="13" t="s">
        <v>1721</v>
      </c>
      <c r="E1443" s="15" t="s">
        <v>47</v>
      </c>
      <c r="F1443" s="24" t="s">
        <v>6326</v>
      </c>
      <c r="G1443" s="28" t="s">
        <v>57</v>
      </c>
      <c r="H1443" s="13" t="s">
        <v>35</v>
      </c>
      <c r="I1443" s="13" t="str">
        <f aca="false">IF(C1443=J1443,"NEW KONTRAK","RE-KONTRAK")</f>
        <v>NEW KONTRAK</v>
      </c>
      <c r="J1443" s="16" t="n">
        <f aca="false" t="array" ref="J1443:J1443">IFERROR(INDEX(AC1443:AE1443,IF(COUNTA(AC1443:AE1443)=0,"",MAX((AC1443:AE1443&lt;&gt;"")*(COLUMN(AC1443:AE1443)-(COLUMN(AC1443)))))-1),"")</f>
        <v>46216</v>
      </c>
      <c r="K1443" s="16" t="n">
        <f aca="false" t="array" ref="K1443:K1443">IFERROR(INDEX(AC1443:AE1443,IF(COUNTA(AC1443:AE1443)=0,"",MAX((AC1443:AE1443&lt;&gt;"")*(COLUMN(AC1443:AE1443)-(COLUMN(AC1443)-1))))-1),"")</f>
        <v>46307</v>
      </c>
      <c r="L1443" s="17" t="str">
        <f aca="false" t="array" ref="L1443:L1443">IFERROR(INDEX(AC1443:AE1443,IF(COUNTA(AC1443:AE1443)=0,"",MAX((AC1443:AE1443&lt;&gt;"")*(COLUMN(AC1443:AE1443)-(COLUMN(AC1443)-2))))-1),"")</f>
        <v>KEMBALI</v>
      </c>
      <c r="M1443" s="13" t="n">
        <f aca="true">K1443-TODAY()</f>
        <v>-17</v>
      </c>
      <c r="N1443" s="18" t="s">
        <v>728</v>
      </c>
      <c r="O1443" s="13" t="s">
        <v>624</v>
      </c>
      <c r="P1443" s="19" t="n">
        <v>5444909</v>
      </c>
      <c r="Q1443" s="20" t="s">
        <v>6327</v>
      </c>
      <c r="R1443" s="13" t="s">
        <v>52</v>
      </c>
      <c r="S1443" s="14" t="n">
        <v>38037</v>
      </c>
      <c r="T1443" s="13" t="s">
        <v>108</v>
      </c>
      <c r="U1443" s="13" t="s">
        <v>6328</v>
      </c>
      <c r="V1443" s="13" t="s">
        <v>42</v>
      </c>
      <c r="W1443" s="13" t="s">
        <v>43</v>
      </c>
      <c r="X1443" s="30" t="n">
        <v>89887133150</v>
      </c>
      <c r="Y1443" s="22" t="str">
        <f aca="false">O1443</f>
        <v>Quality Control</v>
      </c>
      <c r="Z1443" s="13" t="str">
        <f aca="false">IFERROR(__xludf.dummyfunction("if(BJ1443="""","""",GOOGLETRANSLATE(BJ1443,""auto"",""en""))"),"Quality Control")</f>
        <v>Quality Control</v>
      </c>
      <c r="AA1443" s="23" t="str">
        <f aca="false">IF(C1443="","", CHOOSE(MONTH(C1443),"January","February","March","April","May","June","July","August","September","October","November","December")&amp;" "&amp;DAY(C1443)&amp;MID("thstndrdth",MIN(9,2*RIGHT(DAY(C1443))*(MOD(DAY(C1443)-11,100)&gt;2)+1),2)&amp;","&amp;TEXT(C1443," yyyy"))</f>
        <v>July 13th,2026</v>
      </c>
      <c r="AB1443" s="15" t="str">
        <f aca="true">IF(S1443="","",DATEDIF(S1443,TODAY(),"Y")&amp;" Tahun, "&amp;DATEDIF(S1443,TODAY(),"YM")&amp;" Bulan, "&amp;DATEDIF(S1443,TODAY(),"MD")&amp;" Hari")</f>
        <v>22 Tahun, 8 Bulan, 9 Hari</v>
      </c>
      <c r="AC1443" s="14" t="n">
        <v>46216</v>
      </c>
      <c r="AD1443" s="18" t="n">
        <f aca="false">EDATE(AC1443,3)-1</f>
        <v>46307</v>
      </c>
      <c r="AE1443" s="13" t="s">
        <v>397</v>
      </c>
    </row>
    <row r="1444" customFormat="false" ht="15" hidden="false" customHeight="true" outlineLevel="0" collapsed="false">
      <c r="A1444" s="12" t="n">
        <v>22690</v>
      </c>
      <c r="B1444" s="13" t="s">
        <v>6329</v>
      </c>
      <c r="C1444" s="14" t="n">
        <v>46251</v>
      </c>
      <c r="D1444" s="13" t="s">
        <v>1721</v>
      </c>
      <c r="E1444" s="13" t="s">
        <v>47</v>
      </c>
      <c r="F1444" s="24" t="s">
        <v>6330</v>
      </c>
      <c r="G1444" s="13" t="s">
        <v>1452</v>
      </c>
      <c r="H1444" s="13" t="s">
        <v>35</v>
      </c>
      <c r="I1444" s="13" t="str">
        <f aca="false">IF(C1444=J1444,"NEW KONTRAK","RE-KONTRAK")</f>
        <v>NEW KONTRAK</v>
      </c>
      <c r="J1444" s="16" t="n">
        <f aca="false" t="array" ref="J1444:J1444">IFERROR(INDEX(AC1444:AE1444,IF(COUNTA(AC1444:AE1444)=0,"",MAX((AC1444:AE1444&lt;&gt;"")*(COLUMN(AC1444:AE1444)-(COLUMN(AC1444)))))-1),"")</f>
        <v>46251</v>
      </c>
      <c r="K1444" s="16" t="n">
        <f aca="false" t="array" ref="K1444:K1444">IFERROR(INDEX(AC1444:AE1444,IF(COUNTA(AC1444:AE1444)=0,"",MAX((AC1444:AE1444&lt;&gt;"")*(COLUMN(AC1444:AE1444)-(COLUMN(AC1444)-1))))-1),"")</f>
        <v>46342</v>
      </c>
      <c r="L1444" s="17" t="str">
        <f aca="false" t="array" ref="L1444:L1444">IFERROR(INDEX(AC1444:AE1444,IF(COUNTA(AC1444:AE1444)=0,"",MAX((AC1444:AE1444&lt;&gt;"")*(COLUMN(AC1444:AE1444)-(COLUMN(AC1444)-2))))-1),"")</f>
        <v>KEMBALI</v>
      </c>
      <c r="M1444" s="13" t="n">
        <f aca="true">K1444-TODAY()</f>
        <v>18</v>
      </c>
      <c r="N1444" s="18" t="s">
        <v>728</v>
      </c>
      <c r="O1444" s="13" t="s">
        <v>1803</v>
      </c>
      <c r="P1444" s="26" t="n">
        <v>5444909</v>
      </c>
      <c r="Q1444" s="20" t="s">
        <v>6331</v>
      </c>
      <c r="R1444" s="13" t="s">
        <v>52</v>
      </c>
      <c r="S1444" s="25" t="n">
        <v>37932</v>
      </c>
      <c r="T1444" s="13" t="s">
        <v>108</v>
      </c>
      <c r="U1444" s="13" t="s">
        <v>6332</v>
      </c>
      <c r="V1444" s="13" t="s">
        <v>42</v>
      </c>
      <c r="W1444" s="13" t="s">
        <v>54</v>
      </c>
      <c r="X1444" s="21" t="n">
        <v>89526451368</v>
      </c>
      <c r="Y1444" s="22" t="str">
        <f aca="false">O1444</f>
        <v>Injectition Moulding</v>
      </c>
      <c r="Z1444" s="13" t="str">
        <f aca="false">IFERROR(__xludf.dummyfunction("if(BJ1444="""","""",GOOGLETRANSLATE(BJ1444,""auto"",""en""))"),"Injectition Moulding")</f>
        <v>Injectition Moulding</v>
      </c>
      <c r="AA1444" s="23" t="str">
        <f aca="false">IF(C1444="","", CHOOSE(MONTH(C1444),"January","February","March","April","May","June","July","August","September","October","November","December")&amp;" "&amp;DAY(C1444)&amp;MID("thstndrdth",MIN(9,2*RIGHT(DAY(C1444))*(MOD(DAY(C1444)-11,100)&gt;2)+1),2)&amp;","&amp;TEXT(C1444," yyyy"))</f>
        <v>August 17th,2026</v>
      </c>
      <c r="AB1444" s="15" t="str">
        <f aca="true">IF(S1444="","",DATEDIF(S1444,TODAY(),"Y")&amp;" Tahun, "&amp;DATEDIF(S1444,TODAY(),"YM")&amp;" Bulan, "&amp;DATEDIF(S1444,TODAY(),"MD")&amp;" Hari")</f>
        <v>22 Tahun, 11 Bulan, 22 Hari</v>
      </c>
      <c r="AC1444" s="14" t="n">
        <v>46251</v>
      </c>
      <c r="AD1444" s="18" t="n">
        <f aca="false">EDATE(AC1444,3)-1</f>
        <v>46342</v>
      </c>
      <c r="AE1444" s="13" t="s">
        <v>397</v>
      </c>
    </row>
    <row r="1445" customFormat="false" ht="15" hidden="false" customHeight="true" outlineLevel="0" collapsed="false">
      <c r="A1445" s="12" t="n">
        <v>15632</v>
      </c>
      <c r="B1445" s="13" t="s">
        <v>1830</v>
      </c>
      <c r="C1445" s="14" t="n">
        <v>45446</v>
      </c>
      <c r="D1445" s="13" t="s">
        <v>1721</v>
      </c>
      <c r="E1445" s="15" t="s">
        <v>1778</v>
      </c>
      <c r="F1445" s="24" t="s">
        <v>6333</v>
      </c>
      <c r="G1445" s="15" t="s">
        <v>6334</v>
      </c>
      <c r="H1445" s="13" t="s">
        <v>35</v>
      </c>
      <c r="I1445" s="13" t="str">
        <f aca="false">IF(C1445=J1445,"NEW KONTRAK","RE-KONTRAK")</f>
        <v>RE-KONTRAK</v>
      </c>
      <c r="J1445" s="16" t="n">
        <f aca="false" t="array" ref="J1445:J1445">IFERROR(INDEX(AC1445:AE1445,IF(COUNTA(AC1445:AE1445)=0,"",MAX((AC1445:AE1445&lt;&gt;"")*(COLUMN(AC1445:AE1445)-(COLUMN(AC1445)))))-1),"")</f>
        <v>45659</v>
      </c>
      <c r="K1445" s="16" t="n">
        <f aca="false" t="array" ref="K1445:K1445">IFERROR(INDEX(AC1445:AE1445,IF(COUNTA(AC1445:AE1445)=0,"",MAX((AC1445:AE1445&lt;&gt;"")*(COLUMN(AC1445:AE1445)-(COLUMN(AC1445)-1))))-1),"")</f>
        <v>46015</v>
      </c>
      <c r="L1445" s="17" t="str">
        <f aca="false" t="array" ref="L1445:L1445">IFERROR(INDEX(AC1445:AE1445,IF(COUNTA(AC1445:AE1445)=0,"",MAX((AC1445:AE1445&lt;&gt;"")*(COLUMN(AC1445:AE1445)-(COLUMN(AC1445)-2))))-1),"")</f>
        <v>ARCHIVED</v>
      </c>
      <c r="M1445" s="13" t="n">
        <f aca="true">K1445-TODAY()</f>
        <v>-309</v>
      </c>
      <c r="N1445" s="18" t="s">
        <v>728</v>
      </c>
      <c r="O1445" s="13" t="s">
        <v>1749</v>
      </c>
      <c r="P1445" s="19" t="n">
        <v>5444909</v>
      </c>
      <c r="Q1445" s="20" t="s">
        <v>1832</v>
      </c>
      <c r="R1445" s="13" t="s">
        <v>274</v>
      </c>
      <c r="S1445" s="14" t="n">
        <v>32596</v>
      </c>
      <c r="T1445" s="13" t="s">
        <v>108</v>
      </c>
      <c r="U1445" s="13" t="s">
        <v>6335</v>
      </c>
      <c r="V1445" s="28" t="s">
        <v>42</v>
      </c>
      <c r="W1445" s="13" t="s">
        <v>54</v>
      </c>
      <c r="X1445" s="21" t="n">
        <v>85732989557</v>
      </c>
      <c r="Y1445" s="22" t="str">
        <f aca="false">O1445</f>
        <v>BM Operator</v>
      </c>
      <c r="Z1445" s="13" t="str">
        <f aca="false">IFERROR(__xludf.dummyfunction("if(BJ1445="""","""",GOOGLETRANSLATE(BJ1445,""auto"",""en""))"),"BM Operator")</f>
        <v>BM Operator</v>
      </c>
      <c r="AA1445" s="23" t="str">
        <f aca="false">IF(C1445="","", CHOOSE(MONTH(C1445),"January","February","March","April","May","June","July","August","September","October","November","December")&amp;" "&amp;DAY(C1445)&amp;MID("thstndrdth",MIN(9,2*RIGHT(DAY(C1445))*(MOD(DAY(C1445)-11,100)&gt;2)+1),2)&amp;","&amp;TEXT(C1445," yyyy"))</f>
        <v>June 3rd,2024</v>
      </c>
      <c r="AB1445" s="15" t="str">
        <f aca="true">IF(S1445="","",DATEDIF(S1445,TODAY(),"Y")&amp;" Tahun, "&amp;DATEDIF(S1445,TODAY(),"YM")&amp;" Bulan, "&amp;DATEDIF(S1445,TODAY(),"MD")&amp;" Hari")</f>
        <v>37 Tahun, 7 Bulan, 0 Hari</v>
      </c>
      <c r="AC1445" s="18" t="n">
        <v>45659</v>
      </c>
      <c r="AD1445" s="18" t="n">
        <v>46015</v>
      </c>
      <c r="AE1445" s="18" t="s">
        <v>44</v>
      </c>
    </row>
    <row r="1446" customFormat="false" ht="15" hidden="false" customHeight="true" outlineLevel="0" collapsed="false">
      <c r="A1446" s="12" t="n">
        <v>15634</v>
      </c>
      <c r="B1446" s="13" t="s">
        <v>6336</v>
      </c>
      <c r="C1446" s="14" t="n">
        <v>45446</v>
      </c>
      <c r="D1446" s="13" t="s">
        <v>1721</v>
      </c>
      <c r="E1446" s="15" t="s">
        <v>33</v>
      </c>
      <c r="F1446" s="24" t="s">
        <v>6337</v>
      </c>
      <c r="G1446" s="15" t="s">
        <v>6338</v>
      </c>
      <c r="H1446" s="13" t="s">
        <v>35</v>
      </c>
      <c r="I1446" s="13" t="str">
        <f aca="false">IF(C1446=J1446,"NEW KONTRAK","RE-KONTRAK")</f>
        <v>RE-KONTRAK</v>
      </c>
      <c r="J1446" s="16" t="n">
        <f aca="false" t="array" ref="J1446:J1446">IFERROR(INDEX(AC1446:AE1446,IF(COUNTA(AC1446:AE1446)=0,"",MAX((AC1446:AE1446&lt;&gt;"")*(COLUMN(AC1446:AE1446)-(COLUMN(AC1446)))))-1),"")</f>
        <v>45659</v>
      </c>
      <c r="K1446" s="16" t="n">
        <f aca="false" t="array" ref="K1446:K1446">IFERROR(INDEX(AC1446:AE1446,IF(COUNTA(AC1446:AE1446)=0,"",MAX((AC1446:AE1446&lt;&gt;"")*(COLUMN(AC1446:AE1446)-(COLUMN(AC1446)-1))))-1),"")</f>
        <v>46015</v>
      </c>
      <c r="L1446" s="17" t="str">
        <f aca="false" t="array" ref="L1446:L1446">IFERROR(INDEX(AC1446:AE1446,IF(COUNTA(AC1446:AE1446)=0,"",MAX((AC1446:AE1446&lt;&gt;"")*(COLUMN(AC1446:AE1446)-(COLUMN(AC1446)-2))))-1),"")</f>
        <v>ARCHIVED</v>
      </c>
      <c r="M1446" s="13" t="n">
        <f aca="true">K1446-TODAY()</f>
        <v>-309</v>
      </c>
      <c r="N1446" s="18" t="s">
        <v>728</v>
      </c>
      <c r="O1446" s="13" t="s">
        <v>1749</v>
      </c>
      <c r="P1446" s="19" t="n">
        <v>5444909</v>
      </c>
      <c r="Q1446" s="20" t="s">
        <v>6339</v>
      </c>
      <c r="R1446" s="13" t="s">
        <v>52</v>
      </c>
      <c r="S1446" s="14" t="n">
        <v>35444</v>
      </c>
      <c r="T1446" s="13" t="s">
        <v>108</v>
      </c>
      <c r="U1446" s="13" t="s">
        <v>6340</v>
      </c>
      <c r="V1446" s="28" t="s">
        <v>42</v>
      </c>
      <c r="W1446" s="13" t="s">
        <v>54</v>
      </c>
      <c r="X1446" s="21" t="n">
        <v>895414627614</v>
      </c>
      <c r="Y1446" s="22" t="str">
        <f aca="false">O1446</f>
        <v>BM Operator</v>
      </c>
      <c r="Z1446" s="13" t="str">
        <f aca="false">IFERROR(__xludf.dummyfunction("if(BJ1446="""","""",GOOGLETRANSLATE(BJ1446,""auto"",""en""))"),"BM Operator")</f>
        <v>BM Operator</v>
      </c>
      <c r="AA1446" s="23" t="str">
        <f aca="false">IF(C1446="","", CHOOSE(MONTH(C1446),"January","February","March","April","May","June","July","August","September","October","November","December")&amp;" "&amp;DAY(C1446)&amp;MID("thstndrdth",MIN(9,2*RIGHT(DAY(C1446))*(MOD(DAY(C1446)-11,100)&gt;2)+1),2)&amp;","&amp;TEXT(C1446," yyyy"))</f>
        <v>June 3rd,2024</v>
      </c>
      <c r="AB1446" s="15" t="str">
        <f aca="true">IF(S1446="","",DATEDIF(S1446,TODAY(),"Y")&amp;" Tahun, "&amp;DATEDIF(S1446,TODAY(),"YM")&amp;" Bulan, "&amp;DATEDIF(S1446,TODAY(),"MD")&amp;" Hari")</f>
        <v>29 Tahun, 9 Bulan, 15 Hari</v>
      </c>
      <c r="AC1446" s="18" t="n">
        <v>45659</v>
      </c>
      <c r="AD1446" s="18" t="n">
        <v>46015</v>
      </c>
      <c r="AE1446" s="18" t="s">
        <v>44</v>
      </c>
    </row>
    <row r="1447" customFormat="false" ht="15" hidden="false" customHeight="true" outlineLevel="0" collapsed="false">
      <c r="A1447" s="12" t="n">
        <v>2177</v>
      </c>
      <c r="B1447" s="13" t="s">
        <v>6341</v>
      </c>
      <c r="C1447" s="14" t="n">
        <v>44505</v>
      </c>
      <c r="D1447" s="13" t="s">
        <v>1721</v>
      </c>
      <c r="E1447" s="15" t="s">
        <v>47</v>
      </c>
      <c r="F1447" s="15" t="str">
        <f aca="false">IFERROR(__xludf.dummyfunction("XLOOKUP(AJ1447,IMPORTRANGE(""1XaInW9DU9nz21V0tYIfzFQ0He9kVQ_JF2mCXgZ3hqFA"",""REKAP ALL 2026 - Andika!G:G""),IMPORTRANGE(""1XaInW9DU9nz21V0tYIfzFQ0He9kVQ_JF2mCXgZ3hqFA"",""REKAP ALL 2026 - Andika!F:F""),"""",0)"),"19010801108")</f>
        <v>19010801108</v>
      </c>
      <c r="G1447" s="13" t="s">
        <v>6342</v>
      </c>
      <c r="H1447" s="13" t="s">
        <v>35</v>
      </c>
      <c r="I1447" s="13" t="str">
        <f aca="false">IF(C1447=J1447,"NEW KONTRAK","RE-KONTRAK")</f>
        <v>RE-KONTRAK</v>
      </c>
      <c r="J1447" s="16" t="n">
        <f aca="false" t="array" ref="J1447:J1447">IFERROR(INDEX(AC1447:AE1447,IF(COUNTA(AC1447:AE1447)=0,"",MAX((AC1447:AE1447&lt;&gt;"")*(COLUMN(AC1447:AE1447)-(COLUMN(AC1447)))))-1),"")</f>
        <v>45659</v>
      </c>
      <c r="K1447" s="16" t="n">
        <f aca="false" t="array" ref="K1447:K1447">IFERROR(INDEX(AC1447:AE1447,IF(COUNTA(AC1447:AE1447)=0,"",MAX((AC1447:AE1447&lt;&gt;"")*(COLUMN(AC1447:AE1447)-(COLUMN(AC1447)-1))))-1),"")</f>
        <v>46021</v>
      </c>
      <c r="L1447" s="17" t="str">
        <f aca="false" t="array" ref="L1447:L1447">IFERROR(INDEX(AC1447:AE1447,IF(COUNTA(AC1447:AE1447)=0,"",MAX((AC1447:AE1447&lt;&gt;"")*(COLUMN(AC1447:AE1447)-(COLUMN(AC1447)-2))))-1),"")</f>
        <v>KEMBALI</v>
      </c>
      <c r="M1447" s="13" t="n">
        <f aca="true">K1447-TODAY()</f>
        <v>-303</v>
      </c>
      <c r="N1447" s="18" t="s">
        <v>728</v>
      </c>
      <c r="O1447" s="13" t="s">
        <v>1744</v>
      </c>
      <c r="P1447" s="19" t="n">
        <v>5444909</v>
      </c>
      <c r="Q1447" s="20" t="s">
        <v>6343</v>
      </c>
      <c r="R1447" s="13" t="s">
        <v>73</v>
      </c>
      <c r="S1447" s="14" t="n">
        <v>36768</v>
      </c>
      <c r="T1447" s="13" t="s">
        <v>40</v>
      </c>
      <c r="U1447" s="13" t="s">
        <v>6344</v>
      </c>
      <c r="V1447" s="13" t="s">
        <v>42</v>
      </c>
      <c r="W1447" s="13" t="s">
        <v>43</v>
      </c>
      <c r="X1447" s="21" t="n">
        <v>85733085954</v>
      </c>
      <c r="Y1447" s="22" t="str">
        <f aca="false">O1447</f>
        <v>Print Operator</v>
      </c>
      <c r="Z1447" s="13" t="str">
        <f aca="false">IFERROR(__xludf.dummyfunction("if(BJ1447="""","""",GOOGLETRANSLATE(BJ1447,""auto"",""en""))"),"Print Operator")</f>
        <v>Print Operator</v>
      </c>
      <c r="AA1447" s="23" t="str">
        <f aca="false">IF(C1447="","", CHOOSE(MONTH(C1447),"January","February","March","April","May","June","July","August","September","October","November","December")&amp;" "&amp;DAY(C1447)&amp;MID("thstndrdth",MIN(9,2*RIGHT(DAY(C1447))*(MOD(DAY(C1447)-11,100)&gt;2)+1),2)&amp;","&amp;TEXT(C1447," yyyy"))</f>
        <v>November 5th,2021</v>
      </c>
      <c r="AB1447" s="15" t="str">
        <f aca="true">IF(S1447="","",DATEDIF(S1447,TODAY(),"Y")&amp;" Tahun, "&amp;DATEDIF(S1447,TODAY(),"YM")&amp;" Bulan, "&amp;DATEDIF(S1447,TODAY(),"MD")&amp;" Hari")</f>
        <v>26 Tahun, 1 Bulan, 29 Hari</v>
      </c>
      <c r="AC1447" s="18" t="n">
        <v>45659</v>
      </c>
      <c r="AD1447" s="18" t="n">
        <v>46021</v>
      </c>
      <c r="AE1447" s="13" t="s">
        <v>397</v>
      </c>
    </row>
    <row r="1448" customFormat="false" ht="15" hidden="false" customHeight="true" outlineLevel="0" collapsed="false">
      <c r="A1448" s="12" t="n">
        <v>22877</v>
      </c>
      <c r="B1448" s="13" t="s">
        <v>6345</v>
      </c>
      <c r="C1448" s="14" t="n">
        <v>46279</v>
      </c>
      <c r="D1448" s="13" t="s">
        <v>1721</v>
      </c>
      <c r="E1448" s="13" t="s">
        <v>47</v>
      </c>
      <c r="F1448" s="24" t="s">
        <v>6346</v>
      </c>
      <c r="G1448" s="13" t="s">
        <v>1452</v>
      </c>
      <c r="H1448" s="13" t="s">
        <v>35</v>
      </c>
      <c r="I1448" s="13" t="str">
        <f aca="false">IF(C1448=J1448,"NEW KONTRAK","RE-KONTRAK")</f>
        <v>NEW KONTRAK</v>
      </c>
      <c r="J1448" s="16" t="n">
        <f aca="false" t="array" ref="J1448:J1448">IFERROR(INDEX(AC1448:AE1448,IF(COUNTA(AC1448:AE1448)=0,"",MAX((AC1448:AE1448&lt;&gt;"")*(COLUMN(AC1448:AE1448)-(COLUMN(AC1448)))))-1),"")</f>
        <v>46279</v>
      </c>
      <c r="K1448" s="16" t="n">
        <f aca="false" t="array" ref="K1448:K1448">IFERROR(INDEX(AC1448:AE1448,IF(COUNTA(AC1448:AE1448)=0,"",MAX((AC1448:AE1448&lt;&gt;"")*(COLUMN(AC1448:AE1448)-(COLUMN(AC1448)-1))))-1),"")</f>
        <v>46386</v>
      </c>
      <c r="L1448" s="17" t="str">
        <f aca="false" t="array" ref="L1448:L1448">IFERROR(INDEX(AC1448:AE1448,IF(COUNTA(AC1448:AE1448)=0,"",MAX((AC1448:AE1448&lt;&gt;"")*(COLUMN(AC1448:AE1448)-(COLUMN(AC1448)-2))))-1),"")</f>
        <v>ARCHIVED</v>
      </c>
      <c r="M1448" s="13" t="n">
        <f aca="true">K1448-TODAY()</f>
        <v>62</v>
      </c>
      <c r="N1448" s="18" t="s">
        <v>728</v>
      </c>
      <c r="O1448" s="13" t="s">
        <v>1755</v>
      </c>
      <c r="P1448" s="26" t="n">
        <v>5444909</v>
      </c>
      <c r="Q1448" s="20" t="s">
        <v>6347</v>
      </c>
      <c r="R1448" s="13" t="s">
        <v>52</v>
      </c>
      <c r="S1448" s="25" t="n">
        <v>33459</v>
      </c>
      <c r="T1448" s="13" t="s">
        <v>108</v>
      </c>
      <c r="U1448" s="13" t="s">
        <v>6348</v>
      </c>
      <c r="V1448" s="13" t="s">
        <v>42</v>
      </c>
      <c r="W1448" s="13" t="s">
        <v>43</v>
      </c>
      <c r="X1448" s="30" t="n">
        <v>85293010310</v>
      </c>
      <c r="Y1448" s="22" t="str">
        <f aca="false">O1448</f>
        <v>Im.Operator</v>
      </c>
      <c r="Z1448" s="13" t="str">
        <f aca="false">IFERROR(__xludf.dummyfunction("if(BJ1448="""","""",GOOGLETRANSLATE(BJ1448,""auto"",""en""))"),"Im.Operator")</f>
        <v>Im.Operator</v>
      </c>
      <c r="AA1448" s="23" t="str">
        <f aca="false">IF(C1448="","", CHOOSE(MONTH(C1448),"January","February","March","April","May","June","July","August","September","October","November","December")&amp;" "&amp;DAY(C1448)&amp;MID("thstndrdth",MIN(9,2*RIGHT(DAY(C1448))*(MOD(DAY(C1448)-11,100)&gt;2)+1),2)&amp;","&amp;TEXT(C1448," yyyy"))</f>
        <v>September 14th,2026</v>
      </c>
      <c r="AB1448" s="15" t="str">
        <f aca="true">IF(S1448="","",DATEDIF(S1448,TODAY(),"Y")&amp;" Tahun, "&amp;DATEDIF(S1448,TODAY(),"YM")&amp;" Bulan, "&amp;DATEDIF(S1448,TODAY(),"MD")&amp;" Hari")</f>
        <v>35 Tahun, 2 Bulan, 20 Hari</v>
      </c>
      <c r="AC1448" s="14" t="n">
        <v>46279</v>
      </c>
      <c r="AD1448" s="18" t="n">
        <v>46386</v>
      </c>
      <c r="AE1448" s="13" t="s">
        <v>44</v>
      </c>
    </row>
    <row r="1449" customFormat="false" ht="15" hidden="false" customHeight="true" outlineLevel="0" collapsed="false">
      <c r="A1449" s="12" t="n">
        <v>15628</v>
      </c>
      <c r="B1449" s="13" t="s">
        <v>6349</v>
      </c>
      <c r="C1449" s="14" t="n">
        <v>45446</v>
      </c>
      <c r="D1449" s="13" t="s">
        <v>1721</v>
      </c>
      <c r="E1449" s="15" t="s">
        <v>47</v>
      </c>
      <c r="F1449" s="15" t="str">
        <f aca="false">IFERROR(__xludf.dummyfunction("XLOOKUP(AJ1449,IMPORTRANGE(""1XaInW9DU9nz21V0tYIfzFQ0He9kVQ_JF2mCXgZ3hqFA"",""REKAP ALL 2026 - Andika!G:G""),IMPORTRANGE(""1XaInW9DU9nz21V0tYIfzFQ0He9kVQ_JF2mCXgZ3hqFA"",""REKAP ALL 2026 - Andika!F:F""),"""",0)"),"24091262238")</f>
        <v>24091262238</v>
      </c>
      <c r="G1449" s="15" t="s">
        <v>6350</v>
      </c>
      <c r="H1449" s="13" t="s">
        <v>35</v>
      </c>
      <c r="I1449" s="13" t="str">
        <f aca="false">IF(C1449=J1449,"NEW KONTRAK","RE-KONTRAK")</f>
        <v>RE-KONTRAK</v>
      </c>
      <c r="J1449" s="16" t="n">
        <f aca="false" t="array" ref="J1449:J1449">IFERROR(INDEX(AC1449:AE1449,IF(COUNTA(AC1449:AE1449)=0,"",MAX((AC1449:AE1449&lt;&gt;"")*(COLUMN(AC1449:AE1449)-(COLUMN(AC1449)))))-1),"")</f>
        <v>45659</v>
      </c>
      <c r="K1449" s="16" t="n">
        <f aca="false" t="array" ref="K1449:K1449">IFERROR(INDEX(AC1449:AE1449,IF(COUNTA(AC1449:AE1449)=0,"",MAX((AC1449:AE1449&lt;&gt;"")*(COLUMN(AC1449:AE1449)-(COLUMN(AC1449)-1))))-1),"")</f>
        <v>46021</v>
      </c>
      <c r="L1449" s="17" t="str">
        <f aca="false" t="array" ref="L1449:L1449">IFERROR(INDEX(AC1449:AE1449,IF(COUNTA(AC1449:AE1449)=0,"",MAX((AC1449:AE1449&lt;&gt;"")*(COLUMN(AC1449:AE1449)-(COLUMN(AC1449)-2))))-1),"")</f>
        <v>KEMBALI</v>
      </c>
      <c r="M1449" s="13" t="n">
        <f aca="true">K1449-TODAY()</f>
        <v>-303</v>
      </c>
      <c r="N1449" s="18" t="s">
        <v>728</v>
      </c>
      <c r="O1449" s="13" t="s">
        <v>1870</v>
      </c>
      <c r="P1449" s="19" t="n">
        <v>5444909</v>
      </c>
      <c r="Q1449" s="20" t="s">
        <v>6351</v>
      </c>
      <c r="R1449" s="13" t="s">
        <v>52</v>
      </c>
      <c r="S1449" s="14" t="n">
        <v>32797</v>
      </c>
      <c r="T1449" s="13" t="s">
        <v>108</v>
      </c>
      <c r="U1449" s="13" t="s">
        <v>6352</v>
      </c>
      <c r="V1449" s="13" t="s">
        <v>42</v>
      </c>
      <c r="W1449" s="13" t="s">
        <v>54</v>
      </c>
      <c r="X1449" s="21" t="n">
        <v>82245923258</v>
      </c>
      <c r="Y1449" s="22" t="str">
        <f aca="false">O1449</f>
        <v>Bm Operator</v>
      </c>
      <c r="Z1449" s="13" t="str">
        <f aca="false">IFERROR(__xludf.dummyfunction("if(BJ1449="""","""",GOOGLETRANSLATE(BJ1449,""auto"",""en""))"),"Bm Operator")</f>
        <v>Bm Operator</v>
      </c>
      <c r="AA1449" s="23" t="str">
        <f aca="false">IF(C1449="","", CHOOSE(MONTH(C1449),"January","February","March","April","May","June","July","August","September","October","November","December")&amp;" "&amp;DAY(C1449)&amp;MID("thstndrdth",MIN(9,2*RIGHT(DAY(C1449))*(MOD(DAY(C1449)-11,100)&gt;2)+1),2)&amp;","&amp;TEXT(C1449," yyyy"))</f>
        <v>June 3rd,2024</v>
      </c>
      <c r="AB1449" s="15" t="str">
        <f aca="true">IF(S1449="","",DATEDIF(S1449,TODAY(),"Y")&amp;" Tahun, "&amp;DATEDIF(S1449,TODAY(),"YM")&amp;" Bulan, "&amp;DATEDIF(S1449,TODAY(),"MD")&amp;" Hari")</f>
        <v>37 Tahun, 0 Bulan, 13 Hari</v>
      </c>
      <c r="AC1449" s="18" t="n">
        <v>45659</v>
      </c>
      <c r="AD1449" s="18" t="n">
        <v>46021</v>
      </c>
      <c r="AE1449" s="13" t="s">
        <v>397</v>
      </c>
    </row>
    <row r="1450" customFormat="false" ht="15" hidden="false" customHeight="true" outlineLevel="0" collapsed="false">
      <c r="A1450" s="12" t="n">
        <v>15640</v>
      </c>
      <c r="B1450" s="13" t="s">
        <v>313</v>
      </c>
      <c r="C1450" s="14" t="n">
        <v>45446</v>
      </c>
      <c r="D1450" s="13" t="s">
        <v>1721</v>
      </c>
      <c r="E1450" s="15" t="s">
        <v>1778</v>
      </c>
      <c r="F1450" s="24" t="s">
        <v>6353</v>
      </c>
      <c r="G1450" s="15" t="s">
        <v>6354</v>
      </c>
      <c r="H1450" s="13" t="s">
        <v>35</v>
      </c>
      <c r="I1450" s="13" t="str">
        <f aca="false">IF(C1450=J1450,"NEW KONTRAK","RE-KONTRAK")</f>
        <v>RE-KONTRAK</v>
      </c>
      <c r="J1450" s="16" t="n">
        <f aca="false" t="array" ref="J1450:J1450">IFERROR(INDEX(AC1450:AE1450,IF(COUNTA(AC1450:AE1450)=0,"",MAX((AC1450:AE1450&lt;&gt;"")*(COLUMN(AC1450:AE1450)-(COLUMN(AC1450)))))-1),"")</f>
        <v>45659</v>
      </c>
      <c r="K1450" s="16" t="n">
        <f aca="false" t="array" ref="K1450:K1450">IFERROR(INDEX(AC1450:AE1450,IF(COUNTA(AC1450:AE1450)=0,"",MAX((AC1450:AE1450&lt;&gt;"")*(COLUMN(AC1450:AE1450)-(COLUMN(AC1450)-1))))-1),"")</f>
        <v>46015</v>
      </c>
      <c r="L1450" s="17" t="str">
        <f aca="false" t="array" ref="L1450:L1450">IFERROR(INDEX(AC1450:AE1450,IF(COUNTA(AC1450:AE1450)=0,"",MAX((AC1450:AE1450&lt;&gt;"")*(COLUMN(AC1450:AE1450)-(COLUMN(AC1450)-2))))-1),"")</f>
        <v>ARCHIVED</v>
      </c>
      <c r="M1450" s="13" t="n">
        <f aca="true">K1450-TODAY()</f>
        <v>-309</v>
      </c>
      <c r="N1450" s="18" t="s">
        <v>728</v>
      </c>
      <c r="O1450" s="13" t="s">
        <v>1749</v>
      </c>
      <c r="P1450" s="19" t="n">
        <v>5444909</v>
      </c>
      <c r="Q1450" s="20" t="s">
        <v>6355</v>
      </c>
      <c r="R1450" s="13" t="s">
        <v>255</v>
      </c>
      <c r="S1450" s="14" t="n">
        <v>35342</v>
      </c>
      <c r="T1450" s="13" t="s">
        <v>40</v>
      </c>
      <c r="U1450" s="13" t="s">
        <v>6356</v>
      </c>
      <c r="V1450" s="28" t="s">
        <v>42</v>
      </c>
      <c r="W1450" s="13" t="s">
        <v>43</v>
      </c>
      <c r="X1450" s="21" t="n">
        <v>81234507626</v>
      </c>
      <c r="Y1450" s="22" t="str">
        <f aca="false">O1450</f>
        <v>BM Operator</v>
      </c>
      <c r="Z1450" s="13" t="str">
        <f aca="false">IFERROR(__xludf.dummyfunction("if(BJ1450="""","""",GOOGLETRANSLATE(BJ1450,""auto"",""en""))"),"BM Operator")</f>
        <v>BM Operator</v>
      </c>
      <c r="AA1450" s="23" t="str">
        <f aca="false">IF(C1450="","", CHOOSE(MONTH(C1450),"January","February","March","April","May","June","July","August","September","October","November","December")&amp;" "&amp;DAY(C1450)&amp;MID("thstndrdth",MIN(9,2*RIGHT(DAY(C1450))*(MOD(DAY(C1450)-11,100)&gt;2)+1),2)&amp;","&amp;TEXT(C1450," yyyy"))</f>
        <v>June 3rd,2024</v>
      </c>
      <c r="AB1450" s="15" t="str">
        <f aca="true">IF(S1450="","",DATEDIF(S1450,TODAY(),"Y")&amp;" Tahun, "&amp;DATEDIF(S1450,TODAY(),"YM")&amp;" Bulan, "&amp;DATEDIF(S1450,TODAY(),"MD")&amp;" Hari")</f>
        <v>30 Tahun, 0 Bulan, 25 Hari</v>
      </c>
      <c r="AC1450" s="18" t="n">
        <v>45659</v>
      </c>
      <c r="AD1450" s="18" t="n">
        <v>46015</v>
      </c>
      <c r="AE1450" s="18" t="s">
        <v>44</v>
      </c>
    </row>
    <row r="1451" customFormat="false" ht="15" hidden="false" customHeight="true" outlineLevel="0" collapsed="false">
      <c r="A1451" s="12" t="n">
        <v>4677</v>
      </c>
      <c r="B1451" s="13" t="s">
        <v>6357</v>
      </c>
      <c r="C1451" s="14" t="n">
        <v>44505</v>
      </c>
      <c r="D1451" s="13" t="s">
        <v>1721</v>
      </c>
      <c r="E1451" s="15" t="s">
        <v>47</v>
      </c>
      <c r="F1451" s="15" t="str">
        <f aca="false">IFERROR(__xludf.dummyfunction("XLOOKUP(AJ1451,IMPORTRANGE(""1XaInW9DU9nz21V0tYIfzFQ0He9kVQ_JF2mCXgZ3hqFA"",""REKAP ALL 2026 - Andika!G:G""),IMPORTRANGE(""1XaInW9DU9nz21V0tYIfzFQ0He9kVQ_JF2mCXgZ3hqFA"",""REKAP ALL 2026 - Andika!F:F""),"""",0)"),"21096161993")</f>
        <v>21096161993</v>
      </c>
      <c r="G1451" s="13" t="s">
        <v>6358</v>
      </c>
      <c r="H1451" s="13" t="s">
        <v>35</v>
      </c>
      <c r="I1451" s="13" t="str">
        <f aca="false">IF(C1451=J1451,"NEW KONTRAK","RE-KONTRAK")</f>
        <v>RE-KONTRAK</v>
      </c>
      <c r="J1451" s="16" t="n">
        <f aca="false" t="array" ref="J1451:J1451">IFERROR(INDEX(AC1451:AE1451,IF(COUNTA(AC1451:AE1451)=0,"",MAX((AC1451:AE1451&lt;&gt;"")*(COLUMN(AC1451:AE1451)-(COLUMN(AC1451)))))-1),"")</f>
        <v>45659</v>
      </c>
      <c r="K1451" s="16" t="n">
        <f aca="false" t="array" ref="K1451:K1451">IFERROR(INDEX(AC1451:AE1451,IF(COUNTA(AC1451:AE1451)=0,"",MAX((AC1451:AE1451&lt;&gt;"")*(COLUMN(AC1451:AE1451)-(COLUMN(AC1451)-1))))-1),"")</f>
        <v>46021</v>
      </c>
      <c r="L1451" s="17" t="str">
        <f aca="false" t="array" ref="L1451:L1451">IFERROR(INDEX(AC1451:AE1451,IF(COUNTA(AC1451:AE1451)=0,"",MAX((AC1451:AE1451&lt;&gt;"")*(COLUMN(AC1451:AE1451)-(COLUMN(AC1451)-2))))-1),"")</f>
        <v>KEMBALI</v>
      </c>
      <c r="M1451" s="13" t="n">
        <f aca="true">K1451-TODAY()</f>
        <v>-303</v>
      </c>
      <c r="N1451" s="18" t="s">
        <v>728</v>
      </c>
      <c r="O1451" s="13" t="s">
        <v>1765</v>
      </c>
      <c r="P1451" s="19" t="n">
        <v>5444909</v>
      </c>
      <c r="Q1451" s="20" t="s">
        <v>6359</v>
      </c>
      <c r="R1451" s="13" t="s">
        <v>260</v>
      </c>
      <c r="S1451" s="14" t="n">
        <v>33471</v>
      </c>
      <c r="T1451" s="13" t="s">
        <v>108</v>
      </c>
      <c r="U1451" s="13" t="s">
        <v>6360</v>
      </c>
      <c r="V1451" s="13" t="s">
        <v>42</v>
      </c>
      <c r="W1451" s="13" t="s">
        <v>54</v>
      </c>
      <c r="X1451" s="21" t="n">
        <v>85736429878</v>
      </c>
      <c r="Y1451" s="22" t="str">
        <f aca="false">O1451</f>
        <v>Assy Operator</v>
      </c>
      <c r="Z1451" s="13" t="str">
        <f aca="false">IFERROR(__xludf.dummyfunction("if(BJ1451="""","""",GOOGLETRANSLATE(BJ1451,""auto"",""en""))"),"Assy Operator")</f>
        <v>Assy Operator</v>
      </c>
      <c r="AA1451" s="23" t="str">
        <f aca="false">IF(C1451="","", CHOOSE(MONTH(C1451),"January","February","March","April","May","June","July","August","September","October","November","December")&amp;" "&amp;DAY(C1451)&amp;MID("thstndrdth",MIN(9,2*RIGHT(DAY(C1451))*(MOD(DAY(C1451)-11,100)&gt;2)+1),2)&amp;","&amp;TEXT(C1451," yyyy"))</f>
        <v>November 5th,2021</v>
      </c>
      <c r="AB1451" s="15" t="str">
        <f aca="true">IF(S1451="","",DATEDIF(S1451,TODAY(),"Y")&amp;" Tahun, "&amp;DATEDIF(S1451,TODAY(),"YM")&amp;" Bulan, "&amp;DATEDIF(S1451,TODAY(),"MD")&amp;" Hari")</f>
        <v>35 Tahun, 2 Bulan, 8 Hari</v>
      </c>
      <c r="AC1451" s="18" t="n">
        <v>45659</v>
      </c>
      <c r="AD1451" s="18" t="n">
        <v>46021</v>
      </c>
      <c r="AE1451" s="13" t="s">
        <v>397</v>
      </c>
    </row>
    <row r="1452" customFormat="false" ht="15" hidden="false" customHeight="true" outlineLevel="0" collapsed="false">
      <c r="A1452" s="12" t="n">
        <v>22703</v>
      </c>
      <c r="B1452" s="13" t="s">
        <v>6361</v>
      </c>
      <c r="C1452" s="14" t="n">
        <v>46251</v>
      </c>
      <c r="D1452" s="13" t="s">
        <v>1721</v>
      </c>
      <c r="E1452" s="13" t="s">
        <v>47</v>
      </c>
      <c r="F1452" s="24" t="s">
        <v>6362</v>
      </c>
      <c r="G1452" s="13" t="s">
        <v>1452</v>
      </c>
      <c r="H1452" s="13" t="s">
        <v>35</v>
      </c>
      <c r="I1452" s="13" t="str">
        <f aca="false">IF(C1452=J1452,"NEW KONTRAK","RE-KONTRAK")</f>
        <v>NEW KONTRAK</v>
      </c>
      <c r="J1452" s="16" t="n">
        <f aca="false" t="array" ref="J1452:J1452">IFERROR(INDEX(AC1452:AE1452,IF(COUNTA(AC1452:AE1452)=0,"",MAX((AC1452:AE1452&lt;&gt;"")*(COLUMN(AC1452:AE1452)-(COLUMN(AC1452)))))-1),"")</f>
        <v>46251</v>
      </c>
      <c r="K1452" s="16" t="n">
        <f aca="false" t="array" ref="K1452:K1452">IFERROR(INDEX(AC1452:AE1452,IF(COUNTA(AC1452:AE1452)=0,"",MAX((AC1452:AE1452&lt;&gt;"")*(COLUMN(AC1452:AE1452)-(COLUMN(AC1452)-1))))-1),"")</f>
        <v>46342</v>
      </c>
      <c r="L1452" s="17" t="str">
        <f aca="false" t="array" ref="L1452:L1452">IFERROR(INDEX(AC1452:AE1452,IF(COUNTA(AC1452:AE1452)=0,"",MAX((AC1452:AE1452&lt;&gt;"")*(COLUMN(AC1452:AE1452)-(COLUMN(AC1452)-2))))-1),"")</f>
        <v>KEMBALI</v>
      </c>
      <c r="M1452" s="13" t="n">
        <f aca="true">K1452-TODAY()</f>
        <v>18</v>
      </c>
      <c r="N1452" s="18" t="s">
        <v>728</v>
      </c>
      <c r="O1452" s="13" t="s">
        <v>1822</v>
      </c>
      <c r="P1452" s="26" t="n">
        <v>5444909</v>
      </c>
      <c r="Q1452" s="20" t="s">
        <v>6363</v>
      </c>
      <c r="R1452" s="13" t="s">
        <v>39</v>
      </c>
      <c r="S1452" s="25" t="n">
        <v>31130</v>
      </c>
      <c r="T1452" s="13" t="s">
        <v>108</v>
      </c>
      <c r="U1452" s="13" t="s">
        <v>6364</v>
      </c>
      <c r="V1452" s="13" t="s">
        <v>42</v>
      </c>
      <c r="W1452" s="13" t="s">
        <v>54</v>
      </c>
      <c r="X1452" s="21" t="n">
        <v>895631516820</v>
      </c>
      <c r="Y1452" s="22" t="str">
        <f aca="false">O1452</f>
        <v>Assembling</v>
      </c>
      <c r="Z1452" s="13" t="str">
        <f aca="false">IFERROR(__xludf.dummyfunction("if(BJ1452="""","""",GOOGLETRANSLATE(BJ1452,""auto"",""en""))"),"Assembling")</f>
        <v>Assembling</v>
      </c>
      <c r="AA1452" s="23" t="str">
        <f aca="false">IF(C1452="","", CHOOSE(MONTH(C1452),"January","February","March","April","May","June","July","August","September","October","November","December")&amp;" "&amp;DAY(C1452)&amp;MID("thstndrdth",MIN(9,2*RIGHT(DAY(C1452))*(MOD(DAY(C1452)-11,100)&gt;2)+1),2)&amp;","&amp;TEXT(C1452," yyyy"))</f>
        <v>August 17th,2026</v>
      </c>
      <c r="AB1452" s="15" t="str">
        <f aca="true">IF(S1452="","",DATEDIF(S1452,TODAY(),"Y")&amp;" Tahun, "&amp;DATEDIF(S1452,TODAY(),"YM")&amp;" Bulan, "&amp;DATEDIF(S1452,TODAY(),"MD")&amp;" Hari")</f>
        <v>41 Tahun, 7 Bulan, 5 Hari</v>
      </c>
      <c r="AC1452" s="14" t="n">
        <v>46251</v>
      </c>
      <c r="AD1452" s="18" t="n">
        <f aca="false">EDATE(AC1452,3)-1</f>
        <v>46342</v>
      </c>
      <c r="AE1452" s="13" t="s">
        <v>397</v>
      </c>
    </row>
    <row r="1453" customFormat="false" ht="15" hidden="false" customHeight="true" outlineLevel="0" collapsed="false">
      <c r="A1453" s="12" t="n">
        <v>15651</v>
      </c>
      <c r="B1453" s="13" t="s">
        <v>6365</v>
      </c>
      <c r="C1453" s="14" t="n">
        <v>45446</v>
      </c>
      <c r="D1453" s="13" t="s">
        <v>1721</v>
      </c>
      <c r="E1453" s="15" t="s">
        <v>102</v>
      </c>
      <c r="F1453" s="15" t="str">
        <f aca="false">IFERROR(__xludf.dummyfunction("XLOOKUP(AJ1453,IMPORTRANGE(""1XaInW9DU9nz21V0tYIfzFQ0He9kVQ_JF2mCXgZ3hqFA"",""REKAP ALL 2026 - Andika!G:G""),IMPORTRANGE(""1XaInW9DU9nz21V0tYIfzFQ0He9kVQ_JF2mCXgZ3hqFA"",""REKAP ALL 2026 - Andika!F:F""),"""",0)"),"24091262212")</f>
        <v>24091262212</v>
      </c>
      <c r="G1453" s="15" t="s">
        <v>6366</v>
      </c>
      <c r="H1453" s="13" t="s">
        <v>35</v>
      </c>
      <c r="I1453" s="13" t="str">
        <f aca="false">IF(C1453=J1453,"NEW KONTRAK","RE-KONTRAK")</f>
        <v>RE-KONTRAK</v>
      </c>
      <c r="J1453" s="16" t="n">
        <f aca="false" t="array" ref="J1453:J1453">IFERROR(INDEX(AC1453:AE1453,IF(COUNTA(AC1453:AE1453)=0,"",MAX((AC1453:AE1453&lt;&gt;"")*(COLUMN(AC1453:AE1453)-(COLUMN(AC1453)))))-1),"")</f>
        <v>45659</v>
      </c>
      <c r="K1453" s="16" t="n">
        <f aca="false" t="array" ref="K1453:K1453">IFERROR(INDEX(AC1453:AE1453,IF(COUNTA(AC1453:AE1453)=0,"",MAX((AC1453:AE1453&lt;&gt;"")*(COLUMN(AC1453:AE1453)-(COLUMN(AC1453)-1))))-1),"")</f>
        <v>46015</v>
      </c>
      <c r="L1453" s="17" t="str">
        <f aca="false" t="array" ref="L1453:L1453">IFERROR(INDEX(AC1453:AE1453,IF(COUNTA(AC1453:AE1453)=0,"",MAX((AC1453:AE1453&lt;&gt;"")*(COLUMN(AC1453:AE1453)-(COLUMN(AC1453)-2))))-1),"")</f>
        <v>ARCHIVED</v>
      </c>
      <c r="M1453" s="13" t="n">
        <f aca="true">K1453-TODAY()</f>
        <v>-309</v>
      </c>
      <c r="N1453" s="18" t="s">
        <v>728</v>
      </c>
      <c r="O1453" s="13" t="s">
        <v>1738</v>
      </c>
      <c r="P1453" s="19" t="n">
        <v>5444909</v>
      </c>
      <c r="Q1453" s="20" t="s">
        <v>6367</v>
      </c>
      <c r="R1453" s="13" t="s">
        <v>52</v>
      </c>
      <c r="S1453" s="14" t="n">
        <v>38090</v>
      </c>
      <c r="T1453" s="13" t="s">
        <v>108</v>
      </c>
      <c r="U1453" s="13" t="s">
        <v>6368</v>
      </c>
      <c r="V1453" s="28" t="s">
        <v>42</v>
      </c>
      <c r="W1453" s="13" t="s">
        <v>43</v>
      </c>
      <c r="X1453" s="21" t="n">
        <v>881027412898</v>
      </c>
      <c r="Y1453" s="22" t="str">
        <f aca="false">O1453</f>
        <v>IM Operator</v>
      </c>
      <c r="Z1453" s="13" t="str">
        <f aca="false">IFERROR(__xludf.dummyfunction("if(BJ1453="""","""",GOOGLETRANSLATE(BJ1453,""auto"",""en""))"),"IM Operator")</f>
        <v>IM Operator</v>
      </c>
      <c r="AA1453" s="23" t="str">
        <f aca="false">IF(C1453="","", CHOOSE(MONTH(C1453),"January","February","March","April","May","June","July","August","September","October","November","December")&amp;" "&amp;DAY(C1453)&amp;MID("thstndrdth",MIN(9,2*RIGHT(DAY(C1453))*(MOD(DAY(C1453)-11,100)&gt;2)+1),2)&amp;","&amp;TEXT(C1453," yyyy"))</f>
        <v>June 3rd,2024</v>
      </c>
      <c r="AB1453" s="15" t="str">
        <f aca="true">IF(S1453="","",DATEDIF(S1453,TODAY(),"Y")&amp;" Tahun, "&amp;DATEDIF(S1453,TODAY(),"YM")&amp;" Bulan, "&amp;DATEDIF(S1453,TODAY(),"MD")&amp;" Hari")</f>
        <v>22 Tahun, 6 Bulan, 16 Hari</v>
      </c>
      <c r="AC1453" s="18" t="n">
        <v>45659</v>
      </c>
      <c r="AD1453" s="18" t="n">
        <v>46015</v>
      </c>
      <c r="AE1453" s="18" t="s">
        <v>44</v>
      </c>
    </row>
    <row r="1454" customFormat="false" ht="15" hidden="false" customHeight="true" outlineLevel="0" collapsed="false">
      <c r="A1454" s="12" t="n">
        <v>22833</v>
      </c>
      <c r="B1454" s="13" t="s">
        <v>6369</v>
      </c>
      <c r="C1454" s="14" t="n">
        <v>46279</v>
      </c>
      <c r="D1454" s="13" t="s">
        <v>1721</v>
      </c>
      <c r="E1454" s="13" t="s">
        <v>47</v>
      </c>
      <c r="F1454" s="24" t="s">
        <v>6370</v>
      </c>
      <c r="G1454" s="13" t="s">
        <v>1452</v>
      </c>
      <c r="H1454" s="13" t="s">
        <v>35</v>
      </c>
      <c r="I1454" s="13" t="str">
        <f aca="false">IF(C1454=J1454,"NEW KONTRAK","RE-KONTRAK")</f>
        <v>NEW KONTRAK</v>
      </c>
      <c r="J1454" s="16" t="n">
        <f aca="false" t="array" ref="J1454:J1454">IFERROR(INDEX(AC1454:AE1454,IF(COUNTA(AC1454:AE1454)=0,"",MAX((AC1454:AE1454&lt;&gt;"")*(COLUMN(AC1454:AE1454)-(COLUMN(AC1454)))))-1),"")</f>
        <v>46279</v>
      </c>
      <c r="K1454" s="16" t="n">
        <f aca="false" t="array" ref="K1454:K1454">IFERROR(INDEX(AC1454:AE1454,IF(COUNTA(AC1454:AE1454)=0,"",MAX((AC1454:AE1454&lt;&gt;"")*(COLUMN(AC1454:AE1454)-(COLUMN(AC1454)-1))))-1),"")</f>
        <v>46386</v>
      </c>
      <c r="L1454" s="17" t="str">
        <f aca="false" t="array" ref="L1454:L1454">IFERROR(INDEX(AC1454:AE1454,IF(COUNTA(AC1454:AE1454)=0,"",MAX((AC1454:AE1454&lt;&gt;"")*(COLUMN(AC1454:AE1454)-(COLUMN(AC1454)-2))))-1),"")</f>
        <v>ARCHIVED</v>
      </c>
      <c r="M1454" s="13" t="n">
        <f aca="true">K1454-TODAY()</f>
        <v>62</v>
      </c>
      <c r="N1454" s="18" t="s">
        <v>728</v>
      </c>
      <c r="O1454" s="13" t="s">
        <v>1822</v>
      </c>
      <c r="P1454" s="26" t="n">
        <v>5444909</v>
      </c>
      <c r="Q1454" s="52" t="s">
        <v>6371</v>
      </c>
      <c r="R1454" s="48" t="s">
        <v>260</v>
      </c>
      <c r="S1454" s="25" t="n">
        <v>34163</v>
      </c>
      <c r="T1454" s="13" t="s">
        <v>40</v>
      </c>
      <c r="U1454" s="13" t="s">
        <v>6372</v>
      </c>
      <c r="V1454" s="13" t="s">
        <v>42</v>
      </c>
      <c r="W1454" s="28" t="s">
        <v>54</v>
      </c>
      <c r="X1454" s="30" t="n">
        <v>85818347382</v>
      </c>
      <c r="Y1454" s="22" t="str">
        <f aca="false">O1454</f>
        <v>Assembling</v>
      </c>
      <c r="Z1454" s="13" t="str">
        <f aca="false">IFERROR(__xludf.dummyfunction("if(BJ1454="""","""",GOOGLETRANSLATE(BJ1454,""auto"",""en""))"),"Assembling")</f>
        <v>Assembling</v>
      </c>
      <c r="AA1454" s="23" t="str">
        <f aca="false">IF(C1454="","", CHOOSE(MONTH(C1454),"January","February","March","April","May","June","July","August","September","October","November","December")&amp;" "&amp;DAY(C1454)&amp;MID("thstndrdth",MIN(9,2*RIGHT(DAY(C1454))*(MOD(DAY(C1454)-11,100)&gt;2)+1),2)&amp;","&amp;TEXT(C1454," yyyy"))</f>
        <v>September 14th,2026</v>
      </c>
      <c r="AB1454" s="15" t="str">
        <f aca="true">IF(S1454="","",DATEDIF(S1454,TODAY(),"Y")&amp;" Tahun, "&amp;DATEDIF(S1454,TODAY(),"YM")&amp;" Bulan, "&amp;DATEDIF(S1454,TODAY(),"MD")&amp;" Hari")</f>
        <v>33 Tahun, 3 Bulan, 16 Hari</v>
      </c>
      <c r="AC1454" s="14" t="n">
        <v>46279</v>
      </c>
      <c r="AD1454" s="18" t="n">
        <v>46386</v>
      </c>
      <c r="AE1454" s="13" t="s">
        <v>44</v>
      </c>
    </row>
    <row r="1455" customFormat="false" ht="15" hidden="false" customHeight="true" outlineLevel="0" collapsed="false">
      <c r="A1455" s="12" t="n">
        <v>22986</v>
      </c>
      <c r="B1455" s="13" t="s">
        <v>6373</v>
      </c>
      <c r="C1455" s="14" t="n">
        <v>46307</v>
      </c>
      <c r="D1455" s="13" t="s">
        <v>1721</v>
      </c>
      <c r="E1455" s="13" t="s">
        <v>47</v>
      </c>
      <c r="F1455" s="24" t="s">
        <v>6374</v>
      </c>
      <c r="G1455" s="13" t="s">
        <v>1127</v>
      </c>
      <c r="H1455" s="13" t="s">
        <v>35</v>
      </c>
      <c r="I1455" s="13" t="str">
        <f aca="false">IF(C1455=J1455,"NEW KONTRAK","RE-KONTRAK")</f>
        <v>NEW KONTRAK</v>
      </c>
      <c r="J1455" s="16" t="n">
        <f aca="false" t="array" ref="J1455:J1455">IFERROR(INDEX(AC1455:AE1455,IF(COUNTA(AC1455:AE1455)=0,"",MAX((AC1455:AE1455&lt;&gt;"")*(COLUMN(AC1455:AE1455)-(COLUMN(AC1455)))))-1),"")</f>
        <v>46307</v>
      </c>
      <c r="K1455" s="16" t="n">
        <f aca="false" t="array" ref="K1455:K1455">IFERROR(INDEX(AC1455:AE1455,IF(COUNTA(AC1455:AE1455)=0,"",MAX((AC1455:AE1455&lt;&gt;"")*(COLUMN(AC1455:AE1455)-(COLUMN(AC1455)-1))))-1),"")</f>
        <v>46386</v>
      </c>
      <c r="L1455" s="17" t="str">
        <f aca="false" t="array" ref="L1455:L1455">IFERROR(INDEX(AC1455:AE1455,IF(COUNTA(AC1455:AE1455)=0,"",MAX((AC1455:AE1455&lt;&gt;"")*(COLUMN(AC1455:AE1455)-(COLUMN(AC1455)-2))))-1),"")</f>
        <v>PRINTED</v>
      </c>
      <c r="M1455" s="13" t="n">
        <f aca="true">K1455-TODAY()</f>
        <v>62</v>
      </c>
      <c r="N1455" s="18" t="s">
        <v>728</v>
      </c>
      <c r="O1455" s="13" t="s">
        <v>1822</v>
      </c>
      <c r="P1455" s="26" t="n">
        <v>5444909</v>
      </c>
      <c r="Q1455" s="20" t="s">
        <v>6375</v>
      </c>
      <c r="R1455" s="13" t="s">
        <v>83</v>
      </c>
      <c r="S1455" s="25" t="n">
        <v>36957</v>
      </c>
      <c r="T1455" s="13" t="s">
        <v>108</v>
      </c>
      <c r="U1455" s="13" t="s">
        <v>6376</v>
      </c>
      <c r="V1455" s="13" t="s">
        <v>42</v>
      </c>
      <c r="W1455" s="13" t="s">
        <v>43</v>
      </c>
      <c r="X1455" s="21" t="n">
        <v>89530644193</v>
      </c>
      <c r="Y1455" s="22" t="str">
        <f aca="false">O1455</f>
        <v>Assembling</v>
      </c>
      <c r="Z1455" s="13" t="str">
        <f aca="false">IFERROR(__xludf.dummyfunction("if(BJ1455="""","""",GOOGLETRANSLATE(BJ1455,""auto"",""en""))"),"Assembling")</f>
        <v>Assembling</v>
      </c>
      <c r="AA1455" s="23" t="str">
        <f aca="false">IF(C1455="","", CHOOSE(MONTH(C1455),"January","February","March","April","May","June","July","August","September","October","November","December")&amp;" "&amp;DAY(C1455)&amp;MID("thstndrdth",MIN(9,2*RIGHT(DAY(C1455))*(MOD(DAY(C1455)-11,100)&gt;2)+1),2)&amp;","&amp;TEXT(C1455," yyyy"))</f>
        <v>October 12th,2026</v>
      </c>
      <c r="AB1455" s="15" t="str">
        <f aca="true">IF(S1455="","",DATEDIF(S1455,TODAY(),"Y")&amp;" Tahun, "&amp;DATEDIF(S1455,TODAY(),"YM")&amp;" Bulan, "&amp;DATEDIF(S1455,TODAY(),"MD")&amp;" Hari")</f>
        <v>25 Tahun, 7 Bulan, 22 Hari</v>
      </c>
      <c r="AC1455" s="14" t="n">
        <v>46307</v>
      </c>
      <c r="AD1455" s="18" t="n">
        <v>46386</v>
      </c>
      <c r="AE1455" s="13" t="s">
        <v>1752</v>
      </c>
    </row>
    <row r="1456" customFormat="false" ht="15" hidden="false" customHeight="true" outlineLevel="0" collapsed="false">
      <c r="A1456" s="12" t="n">
        <v>22875</v>
      </c>
      <c r="B1456" s="13" t="s">
        <v>6377</v>
      </c>
      <c r="C1456" s="14" t="n">
        <v>46279</v>
      </c>
      <c r="D1456" s="13" t="s">
        <v>1721</v>
      </c>
      <c r="E1456" s="13" t="s">
        <v>47</v>
      </c>
      <c r="F1456" s="24" t="s">
        <v>6378</v>
      </c>
      <c r="G1456" s="13" t="s">
        <v>1452</v>
      </c>
      <c r="H1456" s="13" t="s">
        <v>35</v>
      </c>
      <c r="I1456" s="13" t="str">
        <f aca="false">IF(C1456=J1456,"NEW KONTRAK","RE-KONTRAK")</f>
        <v>NEW KONTRAK</v>
      </c>
      <c r="J1456" s="16" t="n">
        <f aca="false" t="array" ref="J1456:J1456">IFERROR(INDEX(AC1456:AE1456,IF(COUNTA(AC1456:AE1456)=0,"",MAX((AC1456:AE1456&lt;&gt;"")*(COLUMN(AC1456:AE1456)-(COLUMN(AC1456)))))-1),"")</f>
        <v>46279</v>
      </c>
      <c r="K1456" s="16" t="n">
        <f aca="false" t="array" ref="K1456:K1456">IFERROR(INDEX(AC1456:AE1456,IF(COUNTA(AC1456:AE1456)=0,"",MAX((AC1456:AE1456&lt;&gt;"")*(COLUMN(AC1456:AE1456)-(COLUMN(AC1456)-1))))-1),"")</f>
        <v>46386</v>
      </c>
      <c r="L1456" s="17" t="str">
        <f aca="false" t="array" ref="L1456:L1456">IFERROR(INDEX(AC1456:AE1456,IF(COUNTA(AC1456:AE1456)=0,"",MAX((AC1456:AE1456&lt;&gt;"")*(COLUMN(AC1456:AE1456)-(COLUMN(AC1456)-2))))-1),"")</f>
        <v>ARCHIVED</v>
      </c>
      <c r="M1456" s="13" t="n">
        <f aca="true">K1456-TODAY()</f>
        <v>62</v>
      </c>
      <c r="N1456" s="18" t="s">
        <v>728</v>
      </c>
      <c r="O1456" s="13" t="s">
        <v>1755</v>
      </c>
      <c r="P1456" s="26" t="n">
        <v>5444909</v>
      </c>
      <c r="Q1456" s="20" t="s">
        <v>6379</v>
      </c>
      <c r="R1456" s="48" t="s">
        <v>148</v>
      </c>
      <c r="S1456" s="25" t="n">
        <v>31587</v>
      </c>
      <c r="T1456" s="13" t="s">
        <v>108</v>
      </c>
      <c r="U1456" s="13" t="s">
        <v>6380</v>
      </c>
      <c r="V1456" s="13" t="s">
        <v>42</v>
      </c>
      <c r="W1456" s="28" t="s">
        <v>54</v>
      </c>
      <c r="X1456" s="30" t="n">
        <v>83137631165</v>
      </c>
      <c r="Y1456" s="22" t="str">
        <f aca="false">O1456</f>
        <v>Im.Operator</v>
      </c>
      <c r="Z1456" s="13" t="str">
        <f aca="false">IFERROR(__xludf.dummyfunction("if(BJ1456="""","""",GOOGLETRANSLATE(BJ1456,""auto"",""en""))"),"Im.Operator")</f>
        <v>Im.Operator</v>
      </c>
      <c r="AA1456" s="23" t="str">
        <f aca="false">IF(C1456="","", CHOOSE(MONTH(C1456),"January","February","March","April","May","June","July","August","September","October","November","December")&amp;" "&amp;DAY(C1456)&amp;MID("thstndrdth",MIN(9,2*RIGHT(DAY(C1456))*(MOD(DAY(C1456)-11,100)&gt;2)+1),2)&amp;","&amp;TEXT(C1456," yyyy"))</f>
        <v>September 14th,2026</v>
      </c>
      <c r="AB1456" s="15" t="str">
        <f aca="true">IF(S1456="","",DATEDIF(S1456,TODAY(),"Y")&amp;" Tahun, "&amp;DATEDIF(S1456,TODAY(),"YM")&amp;" Bulan, "&amp;DATEDIF(S1456,TODAY(),"MD")&amp;" Hari")</f>
        <v>40 Tahun, 4 Bulan, 5 Hari</v>
      </c>
      <c r="AC1456" s="14" t="n">
        <v>46279</v>
      </c>
      <c r="AD1456" s="18" t="n">
        <v>46386</v>
      </c>
      <c r="AE1456" s="13" t="s">
        <v>44</v>
      </c>
    </row>
    <row r="1457" customFormat="false" ht="15" hidden="false" customHeight="true" outlineLevel="0" collapsed="false">
      <c r="A1457" s="12" t="n">
        <v>15660</v>
      </c>
      <c r="B1457" s="13" t="s">
        <v>6381</v>
      </c>
      <c r="C1457" s="14" t="n">
        <v>45446</v>
      </c>
      <c r="D1457" s="13" t="s">
        <v>1721</v>
      </c>
      <c r="E1457" s="15" t="s">
        <v>1742</v>
      </c>
      <c r="F1457" s="15" t="str">
        <f aca="false">IFERROR(__xludf.dummyfunction("XLOOKUP(AJ1457,IMPORTRANGE(""1XaInW9DU9nz21V0tYIfzFQ0He9kVQ_JF2mCXgZ3hqFA"",""REKAP ALL 2026 - Andika!G:G""),IMPORTRANGE(""1XaInW9DU9nz21V0tYIfzFQ0He9kVQ_JF2mCXgZ3hqFA"",""REKAP ALL 2026 - Andika!F:F""),"""",0)"),"24091262618")</f>
        <v>24091262618</v>
      </c>
      <c r="G1457" s="15" t="s">
        <v>6382</v>
      </c>
      <c r="H1457" s="13" t="s">
        <v>35</v>
      </c>
      <c r="I1457" s="13" t="str">
        <f aca="false">IF(C1457=J1457,"NEW KONTRAK","RE-KONTRAK")</f>
        <v>RE-KONTRAK</v>
      </c>
      <c r="J1457" s="16" t="n">
        <f aca="false" t="array" ref="J1457:J1457">IFERROR(INDEX(AC1457:AE1457,IF(COUNTA(AC1457:AE1457)=0,"",MAX((AC1457:AE1457&lt;&gt;"")*(COLUMN(AC1457:AE1457)-(COLUMN(AC1457)))))-1),"")</f>
        <v>45659</v>
      </c>
      <c r="K1457" s="16" t="n">
        <f aca="false" t="array" ref="K1457:K1457">IFERROR(INDEX(AC1457:AE1457,IF(COUNTA(AC1457:AE1457)=0,"",MAX((AC1457:AE1457&lt;&gt;"")*(COLUMN(AC1457:AE1457)-(COLUMN(AC1457)-1))))-1),"")</f>
        <v>46021</v>
      </c>
      <c r="L1457" s="17" t="str">
        <f aca="false" t="array" ref="L1457:L1457">IFERROR(INDEX(AC1457:AE1457,IF(COUNTA(AC1457:AE1457)=0,"",MAX((AC1457:AE1457&lt;&gt;"")*(COLUMN(AC1457:AE1457)-(COLUMN(AC1457)-2))))-1),"")</f>
        <v>KEMBALI</v>
      </c>
      <c r="M1457" s="13" t="n">
        <f aca="true">K1457-TODAY()</f>
        <v>-303</v>
      </c>
      <c r="N1457" s="18" t="s">
        <v>728</v>
      </c>
      <c r="O1457" s="13" t="s">
        <v>1827</v>
      </c>
      <c r="P1457" s="19" t="n">
        <v>5444909</v>
      </c>
      <c r="Q1457" s="20" t="s">
        <v>6383</v>
      </c>
      <c r="R1457" s="13" t="s">
        <v>148</v>
      </c>
      <c r="S1457" s="14" t="n">
        <v>38331</v>
      </c>
      <c r="T1457" s="13" t="s">
        <v>108</v>
      </c>
      <c r="U1457" s="13" t="s">
        <v>6384</v>
      </c>
      <c r="V1457" s="28" t="s">
        <v>42</v>
      </c>
      <c r="W1457" s="13" t="s">
        <v>43</v>
      </c>
      <c r="X1457" s="21" t="n">
        <v>89509454951</v>
      </c>
      <c r="Y1457" s="22" t="str">
        <f aca="false">O1457</f>
        <v>Printing Operator</v>
      </c>
      <c r="Z1457" s="13" t="str">
        <f aca="false">IFERROR(__xludf.dummyfunction("if(BJ1457="""","""",GOOGLETRANSLATE(BJ1457,""auto"",""en""))"),"Printing Operator")</f>
        <v>Printing Operator</v>
      </c>
      <c r="AA1457" s="23" t="str">
        <f aca="false">IF(C1457="","", CHOOSE(MONTH(C1457),"January","February","March","April","May","June","July","August","September","October","November","December")&amp;" "&amp;DAY(C1457)&amp;MID("thstndrdth",MIN(9,2*RIGHT(DAY(C1457))*(MOD(DAY(C1457)-11,100)&gt;2)+1),2)&amp;","&amp;TEXT(C1457," yyyy"))</f>
        <v>June 3rd,2024</v>
      </c>
      <c r="AB1457" s="15" t="str">
        <f aca="true">IF(S1457="","",DATEDIF(S1457,TODAY(),"Y")&amp;" Tahun, "&amp;DATEDIF(S1457,TODAY(),"YM")&amp;" Bulan, "&amp;DATEDIF(S1457,TODAY(),"MD")&amp;" Hari")</f>
        <v>21 Tahun, 10 Bulan, 19 Hari</v>
      </c>
      <c r="AC1457" s="18" t="n">
        <v>45659</v>
      </c>
      <c r="AD1457" s="18" t="n">
        <v>46021</v>
      </c>
      <c r="AE1457" s="13" t="s">
        <v>397</v>
      </c>
    </row>
    <row r="1458" customFormat="false" ht="15" hidden="false" customHeight="true" outlineLevel="0" collapsed="false">
      <c r="A1458" s="12" t="n">
        <v>2184</v>
      </c>
      <c r="B1458" s="13" t="s">
        <v>6385</v>
      </c>
      <c r="C1458" s="14" t="n">
        <v>44199</v>
      </c>
      <c r="D1458" s="13" t="s">
        <v>1721</v>
      </c>
      <c r="E1458" s="15" t="s">
        <v>47</v>
      </c>
      <c r="F1458" s="15" t="str">
        <f aca="false">IFERROR(__xludf.dummyfunction("XLOOKUP(AJ1458,IMPORTRANGE(""1XaInW9DU9nz21V0tYIfzFQ0He9kVQ_JF2mCXgZ3hqFA"",""REKAP ALL 2026 - Andika!G:G""),IMPORTRANGE(""1XaInW9DU9nz21V0tYIfzFQ0He9kVQ_JF2mCXgZ3hqFA"",""REKAP ALL 2026 - Andika!F:F""),"""",0)"),"18113406120")</f>
        <v>18113406120</v>
      </c>
      <c r="G1458" s="13" t="s">
        <v>6386</v>
      </c>
      <c r="H1458" s="13" t="s">
        <v>35</v>
      </c>
      <c r="I1458" s="13" t="str">
        <f aca="false">IF(C1458=J1458,"NEW KONTRAK","RE-KONTRAK")</f>
        <v>RE-KONTRAK</v>
      </c>
      <c r="J1458" s="16" t="n">
        <f aca="false" t="array" ref="J1458:J1458">IFERROR(INDEX(AC1458:AE1458,IF(COUNTA(AC1458:AE1458)=0,"",MAX((AC1458:AE1458&lt;&gt;"")*(COLUMN(AC1458:AE1458)-(COLUMN(AC1458)))))-1),"")</f>
        <v>45659</v>
      </c>
      <c r="K1458" s="16" t="n">
        <f aca="false" t="array" ref="K1458:K1458">IFERROR(INDEX(AC1458:AE1458,IF(COUNTA(AC1458:AE1458)=0,"",MAX((AC1458:AE1458&lt;&gt;"")*(COLUMN(AC1458:AE1458)-(COLUMN(AC1458)-1))))-1),"")</f>
        <v>46015</v>
      </c>
      <c r="L1458" s="17" t="str">
        <f aca="false" t="array" ref="L1458:L1458">IFERROR(INDEX(AC1458:AE1458,IF(COUNTA(AC1458:AE1458)=0,"",MAX((AC1458:AE1458&lt;&gt;"")*(COLUMN(AC1458:AE1458)-(COLUMN(AC1458)-2))))-1),"")</f>
        <v>ARCHIVED</v>
      </c>
      <c r="M1458" s="13" t="n">
        <f aca="true">K1458-TODAY()</f>
        <v>-309</v>
      </c>
      <c r="N1458" s="18" t="s">
        <v>728</v>
      </c>
      <c r="O1458" s="13" t="s">
        <v>1914</v>
      </c>
      <c r="P1458" s="19" t="n">
        <v>5444909</v>
      </c>
      <c r="Q1458" s="20" t="s">
        <v>6387</v>
      </c>
      <c r="R1458" s="13" t="s">
        <v>52</v>
      </c>
      <c r="S1458" s="14" t="n">
        <v>33108</v>
      </c>
      <c r="T1458" s="13" t="s">
        <v>108</v>
      </c>
      <c r="U1458" s="13" t="s">
        <v>6388</v>
      </c>
      <c r="V1458" s="13" t="s">
        <v>42</v>
      </c>
      <c r="W1458" s="13" t="s">
        <v>54</v>
      </c>
      <c r="X1458" s="21" t="n">
        <v>85731548867</v>
      </c>
      <c r="Y1458" s="22" t="str">
        <f aca="false">O1458</f>
        <v>Im Operator</v>
      </c>
      <c r="Z1458" s="13" t="str">
        <f aca="false">IFERROR(__xludf.dummyfunction("if(BJ1458="""","""",GOOGLETRANSLATE(BJ1458,""auto"",""en""))"),"Im Operator")</f>
        <v>Im Operator</v>
      </c>
      <c r="AA1458" s="23" t="str">
        <f aca="false">IF(C1458="","", CHOOSE(MONTH(C1458),"January","February","March","April","May","June","July","August","September","October","November","December")&amp;" "&amp;DAY(C1458)&amp;MID("thstndrdth",MIN(9,2*RIGHT(DAY(C1458))*(MOD(DAY(C1458)-11,100)&gt;2)+1),2)&amp;","&amp;TEXT(C1458," yyyy"))</f>
        <v>January 3rd,2021</v>
      </c>
      <c r="AB1458" s="15" t="str">
        <f aca="true">IF(S1458="","",DATEDIF(S1458,TODAY(),"Y")&amp;" Tahun, "&amp;DATEDIF(S1458,TODAY(),"YM")&amp;" Bulan, "&amp;DATEDIF(S1458,TODAY(),"MD")&amp;" Hari")</f>
        <v>36 Tahun, 2 Bulan, 6 Hari</v>
      </c>
      <c r="AC1458" s="18" t="n">
        <v>45659</v>
      </c>
      <c r="AD1458" s="18" t="n">
        <v>46015</v>
      </c>
      <c r="AE1458" s="18" t="s">
        <v>44</v>
      </c>
    </row>
    <row r="1459" customFormat="false" ht="15" hidden="false" customHeight="true" outlineLevel="0" collapsed="false">
      <c r="A1459" s="12" t="n">
        <v>22865</v>
      </c>
      <c r="B1459" s="13" t="s">
        <v>6389</v>
      </c>
      <c r="C1459" s="14" t="n">
        <v>46279</v>
      </c>
      <c r="D1459" s="13" t="s">
        <v>1721</v>
      </c>
      <c r="E1459" s="13" t="s">
        <v>47</v>
      </c>
      <c r="F1459" s="24" t="s">
        <v>6390</v>
      </c>
      <c r="G1459" s="13" t="s">
        <v>1452</v>
      </c>
      <c r="H1459" s="13" t="s">
        <v>35</v>
      </c>
      <c r="I1459" s="13" t="str">
        <f aca="false">IF(C1459=J1459,"NEW KONTRAK","RE-KONTRAK")</f>
        <v>NEW KONTRAK</v>
      </c>
      <c r="J1459" s="16" t="n">
        <f aca="false" t="array" ref="J1459:J1459">IFERROR(INDEX(AC1459:AE1459,IF(COUNTA(AC1459:AE1459)=0,"",MAX((AC1459:AE1459&lt;&gt;"")*(COLUMN(AC1459:AE1459)-(COLUMN(AC1459)))))-1),"")</f>
        <v>46279</v>
      </c>
      <c r="K1459" s="16" t="n">
        <f aca="false" t="array" ref="K1459:K1459">IFERROR(INDEX(AC1459:AE1459,IF(COUNTA(AC1459:AE1459)=0,"",MAX((AC1459:AE1459&lt;&gt;"")*(COLUMN(AC1459:AE1459)-(COLUMN(AC1459)-1))))-1),"")</f>
        <v>46386</v>
      </c>
      <c r="L1459" s="17" t="str">
        <f aca="false" t="array" ref="L1459:L1459">IFERROR(INDEX(AC1459:AE1459,IF(COUNTA(AC1459:AE1459)=0,"",MAX((AC1459:AE1459&lt;&gt;"")*(COLUMN(AC1459:AE1459)-(COLUMN(AC1459)-2))))-1),"")</f>
        <v>ARCHIVED</v>
      </c>
      <c r="M1459" s="13" t="n">
        <f aca="true">K1459-TODAY()</f>
        <v>62</v>
      </c>
      <c r="N1459" s="18" t="s">
        <v>728</v>
      </c>
      <c r="O1459" s="13" t="s">
        <v>1755</v>
      </c>
      <c r="P1459" s="26" t="n">
        <v>5444909</v>
      </c>
      <c r="Q1459" s="20" t="s">
        <v>6391</v>
      </c>
      <c r="R1459" s="13" t="s">
        <v>260</v>
      </c>
      <c r="S1459" s="25" t="n">
        <v>33798</v>
      </c>
      <c r="T1459" s="13" t="s">
        <v>108</v>
      </c>
      <c r="U1459" s="13" t="s">
        <v>6392</v>
      </c>
      <c r="V1459" s="13" t="s">
        <v>42</v>
      </c>
      <c r="W1459" s="13" t="s">
        <v>54</v>
      </c>
      <c r="X1459" s="30" t="n">
        <v>89667010651</v>
      </c>
      <c r="Y1459" s="22" t="str">
        <f aca="false">O1459</f>
        <v>Im.Operator</v>
      </c>
      <c r="Z1459" s="13" t="str">
        <f aca="false">IFERROR(__xludf.dummyfunction("if(BJ1459="""","""",GOOGLETRANSLATE(BJ1459,""auto"",""en""))"),"Im.Operator")</f>
        <v>Im.Operator</v>
      </c>
      <c r="AA1459" s="23" t="str">
        <f aca="false">IF(C1459="","", CHOOSE(MONTH(C1459),"January","February","March","April","May","June","July","August","September","October","November","December")&amp;" "&amp;DAY(C1459)&amp;MID("thstndrdth",MIN(9,2*RIGHT(DAY(C1459))*(MOD(DAY(C1459)-11,100)&gt;2)+1),2)&amp;","&amp;TEXT(C1459," yyyy"))</f>
        <v>September 14th,2026</v>
      </c>
      <c r="AB1459" s="15" t="str">
        <f aca="true">IF(S1459="","",DATEDIF(S1459,TODAY(),"Y")&amp;" Tahun, "&amp;DATEDIF(S1459,TODAY(),"YM")&amp;" Bulan, "&amp;DATEDIF(S1459,TODAY(),"MD")&amp;" Hari")</f>
        <v>34 Tahun, 3 Bulan, 16 Hari</v>
      </c>
      <c r="AC1459" s="14" t="n">
        <v>46279</v>
      </c>
      <c r="AD1459" s="18" t="n">
        <v>46386</v>
      </c>
      <c r="AE1459" s="13" t="s">
        <v>44</v>
      </c>
    </row>
    <row r="1460" customFormat="false" ht="15" hidden="false" customHeight="true" outlineLevel="0" collapsed="false">
      <c r="A1460" s="12" t="n">
        <v>15666</v>
      </c>
      <c r="B1460" s="13" t="s">
        <v>6393</v>
      </c>
      <c r="C1460" s="14" t="n">
        <v>45448</v>
      </c>
      <c r="D1460" s="13" t="s">
        <v>3022</v>
      </c>
      <c r="E1460" s="15" t="s">
        <v>47</v>
      </c>
      <c r="F1460" s="15" t="str">
        <f aca="false">IFERROR(__xludf.dummyfunction("XLOOKUP(AJ1460,IMPORTRANGE(""1XaInW9DU9nz21V0tYIfzFQ0He9kVQ_JF2mCXgZ3hqFA"",""REKAP ALL 2026 - Andika!G:G""),IMPORTRANGE(""1XaInW9DU9nz21V0tYIfzFQ0He9kVQ_JF2mCXgZ3hqFA"",""REKAP ALL 2026 - Andika!F:F""),"""",0)"),"24091286104")</f>
        <v>24091286104</v>
      </c>
      <c r="G1460" s="13" t="s">
        <v>6394</v>
      </c>
      <c r="H1460" s="13" t="s">
        <v>3024</v>
      </c>
      <c r="I1460" s="13" t="str">
        <f aca="false">IF(C1460=J1460,"NEW KONTRAK","RE-KONTRAK")</f>
        <v>RE-KONTRAK</v>
      </c>
      <c r="J1460" s="16" t="n">
        <f aca="false" t="array" ref="J1460:J1460">IFERROR(INDEX(AC1460:AE1460,IF(COUNTA(AC1460:AE1460)=0,"",MAX((AC1460:AE1460&lt;&gt;"")*(COLUMN(AC1460:AE1460)-(COLUMN(AC1460)))))-1),"")</f>
        <v>45570</v>
      </c>
      <c r="K1460" s="16" t="n">
        <f aca="false" t="array" ref="K1460:K1460">IFERROR(INDEX(AC1460:AE1460,IF(COUNTA(AC1460:AE1460)=0,"",MAX((AC1460:AE1460&lt;&gt;"")*(COLUMN(AC1460:AE1460)-(COLUMN(AC1460)-1))))-1),"")</f>
        <v>45934</v>
      </c>
      <c r="L1460" s="17" t="str">
        <f aca="false" t="array" ref="L1460:L1460">IFERROR(INDEX(AC1460:AE1460,IF(COUNTA(AC1460:AE1460)=0,"",MAX((AC1460:AE1460&lt;&gt;"")*(COLUMN(AC1460:AE1460)-(COLUMN(AC1460)-2))))-1),"")</f>
        <v>ARCHIVED</v>
      </c>
      <c r="M1460" s="13" t="n">
        <f aca="true">K1460-TODAY()</f>
        <v>-390</v>
      </c>
      <c r="N1460" s="18" t="s">
        <v>36</v>
      </c>
      <c r="O1460" s="13" t="s">
        <v>3030</v>
      </c>
      <c r="P1460" s="19" t="n">
        <v>125000</v>
      </c>
      <c r="Q1460" s="20" t="s">
        <v>6395</v>
      </c>
      <c r="R1460" s="13" t="s">
        <v>65</v>
      </c>
      <c r="S1460" s="14" t="n">
        <v>38425</v>
      </c>
      <c r="T1460" s="13" t="s">
        <v>40</v>
      </c>
      <c r="U1460" s="13" t="s">
        <v>6396</v>
      </c>
      <c r="V1460" s="13" t="s">
        <v>42</v>
      </c>
      <c r="W1460" s="13" t="s">
        <v>43</v>
      </c>
      <c r="X1460" s="21" t="n">
        <v>81515275982</v>
      </c>
      <c r="Y1460" s="22" t="str">
        <f aca="false">O1460</f>
        <v>Produksi ( Shearing )</v>
      </c>
      <c r="Z1460" s="13" t="str">
        <f aca="false">IFERROR(__xludf.dummyfunction("if(BJ1460="""","""",GOOGLETRANSLATE(BJ1460,""auto"",""en""))"),"Production (Shearing)")</f>
        <v>Production (Shearing)</v>
      </c>
      <c r="AA1460" s="23" t="str">
        <f aca="false">IF(C1460="","", CHOOSE(MONTH(C1460),"January","February","March","April","May","June","July","August","September","October","November","December")&amp;" "&amp;DAY(C1460)&amp;MID("thstndrdth",MIN(9,2*RIGHT(DAY(C1460))*(MOD(DAY(C1460)-11,100)&gt;2)+1),2)&amp;","&amp;TEXT(C1460," yyyy"))</f>
        <v>June 5th,2024</v>
      </c>
      <c r="AB1460" s="15" t="str">
        <f aca="true">IF(S1460="","",DATEDIF(S1460,TODAY(),"Y")&amp;" Tahun, "&amp;DATEDIF(S1460,TODAY(),"YM")&amp;" Bulan, "&amp;DATEDIF(S1460,TODAY(),"MD")&amp;" Hari")</f>
        <v>21 Tahun, 7 Bulan, 15 Hari</v>
      </c>
      <c r="AC1460" s="18" t="n">
        <v>45570</v>
      </c>
      <c r="AD1460" s="18" t="n">
        <v>45934</v>
      </c>
      <c r="AE1460" s="18" t="s">
        <v>44</v>
      </c>
    </row>
    <row r="1461" customFormat="false" ht="15" hidden="false" customHeight="true" outlineLevel="0" collapsed="false">
      <c r="A1461" s="12" t="n">
        <v>15667</v>
      </c>
      <c r="B1461" s="13" t="s">
        <v>6397</v>
      </c>
      <c r="C1461" s="14" t="n">
        <v>45448</v>
      </c>
      <c r="D1461" s="13" t="s">
        <v>3022</v>
      </c>
      <c r="E1461" s="15" t="s">
        <v>47</v>
      </c>
      <c r="F1461" s="15" t="str">
        <f aca="false">IFERROR(__xludf.dummyfunction("XLOOKUP(AJ1461,IMPORTRANGE(""1XaInW9DU9nz21V0tYIfzFQ0He9kVQ_JF2mCXgZ3hqFA"",""REKAP ALL 2026 - Andika!G:G""),IMPORTRANGE(""1XaInW9DU9nz21V0tYIfzFQ0He9kVQ_JF2mCXgZ3hqFA"",""REKAP ALL 2026 - Andika!F:F""),"""",0)"),"24091286120")</f>
        <v>24091286120</v>
      </c>
      <c r="G1461" s="13" t="s">
        <v>6398</v>
      </c>
      <c r="H1461" s="13" t="s">
        <v>3024</v>
      </c>
      <c r="I1461" s="13" t="str">
        <f aca="false">IF(C1461=J1461,"NEW KONTRAK","RE-KONTRAK")</f>
        <v>RE-KONTRAK</v>
      </c>
      <c r="J1461" s="16" t="n">
        <f aca="false" t="array" ref="J1461:J1461">IFERROR(INDEX(AC1461:AE1461,IF(COUNTA(AC1461:AE1461)=0,"",MAX((AC1461:AE1461&lt;&gt;"")*(COLUMN(AC1461:AE1461)-(COLUMN(AC1461)))))-1),"")</f>
        <v>45570</v>
      </c>
      <c r="K1461" s="16" t="n">
        <f aca="false" t="array" ref="K1461:K1461">IFERROR(INDEX(AC1461:AE1461,IF(COUNTA(AC1461:AE1461)=0,"",MAX((AC1461:AE1461&lt;&gt;"")*(COLUMN(AC1461:AE1461)-(COLUMN(AC1461)-1))))-1),"")</f>
        <v>45934</v>
      </c>
      <c r="L1461" s="17" t="str">
        <f aca="false" t="array" ref="L1461:L1461">IFERROR(INDEX(AC1461:AE1461,IF(COUNTA(AC1461:AE1461)=0,"",MAX((AC1461:AE1461&lt;&gt;"")*(COLUMN(AC1461:AE1461)-(COLUMN(AC1461)-2))))-1),"")</f>
        <v>ARCHIVED</v>
      </c>
      <c r="M1461" s="13" t="n">
        <f aca="true">K1461-TODAY()</f>
        <v>-390</v>
      </c>
      <c r="N1461" s="18" t="s">
        <v>36</v>
      </c>
      <c r="O1461" s="13" t="s">
        <v>4182</v>
      </c>
      <c r="P1461" s="19" t="n">
        <v>112500</v>
      </c>
      <c r="Q1461" s="20" t="s">
        <v>6399</v>
      </c>
      <c r="R1461" s="13" t="s">
        <v>232</v>
      </c>
      <c r="S1461" s="14" t="n">
        <v>38423</v>
      </c>
      <c r="T1461" s="13" t="s">
        <v>40</v>
      </c>
      <c r="U1461" s="13" t="s">
        <v>6400</v>
      </c>
      <c r="V1461" s="13" t="s">
        <v>42</v>
      </c>
      <c r="W1461" s="13" t="s">
        <v>43</v>
      </c>
      <c r="X1461" s="21" t="n">
        <v>85143882949</v>
      </c>
      <c r="Y1461" s="22" t="str">
        <f aca="false">O1461</f>
        <v>Produksi ( Heating )</v>
      </c>
      <c r="Z1461" s="13" t="str">
        <f aca="false">IFERROR(__xludf.dummyfunction("if(BJ1461="""","""",GOOGLETRANSLATE(BJ1461,""auto"",""en""))"),"Production (Heating)")</f>
        <v>Production (Heating)</v>
      </c>
      <c r="AA1461" s="23" t="str">
        <f aca="false">IF(C1461="","", CHOOSE(MONTH(C1461),"January","February","March","April","May","June","July","August","September","October","November","December")&amp;" "&amp;DAY(C1461)&amp;MID("thstndrdth",MIN(9,2*RIGHT(DAY(C1461))*(MOD(DAY(C1461)-11,100)&gt;2)+1),2)&amp;","&amp;TEXT(C1461," yyyy"))</f>
        <v>June 5th,2024</v>
      </c>
      <c r="AB1461" s="15" t="str">
        <f aca="true">IF(S1461="","",DATEDIF(S1461,TODAY(),"Y")&amp;" Tahun, "&amp;DATEDIF(S1461,TODAY(),"YM")&amp;" Bulan, "&amp;DATEDIF(S1461,TODAY(),"MD")&amp;" Hari")</f>
        <v>21 Tahun, 7 Bulan, 17 Hari</v>
      </c>
      <c r="AC1461" s="18" t="n">
        <v>45570</v>
      </c>
      <c r="AD1461" s="18" t="n">
        <v>45934</v>
      </c>
      <c r="AE1461" s="18" t="s">
        <v>44</v>
      </c>
    </row>
    <row r="1462" customFormat="false" ht="15" hidden="false" customHeight="true" outlineLevel="0" collapsed="false">
      <c r="A1462" s="12" t="n">
        <v>15821</v>
      </c>
      <c r="B1462" s="13" t="s">
        <v>6401</v>
      </c>
      <c r="C1462" s="14" t="n">
        <v>45453</v>
      </c>
      <c r="D1462" s="13" t="s">
        <v>393</v>
      </c>
      <c r="E1462" s="15" t="s">
        <v>47</v>
      </c>
      <c r="F1462" s="15" t="str">
        <f aca="false">IFERROR(__xludf.dummyfunction("XLOOKUP(AJ1462,IMPORTRANGE(""1XaInW9DU9nz21V0tYIfzFQ0He9kVQ_JF2mCXgZ3hqFA"",""REKAP ALL 2026 - Andika!G:G""),IMPORTRANGE(""1XaInW9DU9nz21V0tYIfzFQ0He9kVQ_JF2mCXgZ3hqFA"",""REKAP ALL 2026 - Andika!F:F""),"""",0)"),"24091286336")</f>
        <v>24091286336</v>
      </c>
      <c r="G1462" s="15" t="s">
        <v>6402</v>
      </c>
      <c r="H1462" s="13" t="s">
        <v>35</v>
      </c>
      <c r="I1462" s="13" t="str">
        <f aca="false">IF(C1462=J1462,"NEW KONTRAK","RE-KONTRAK")</f>
        <v>NEW KONTRAK</v>
      </c>
      <c r="J1462" s="16" t="n">
        <f aca="false" t="array" ref="J1462:J1462">IFERROR(INDEX(AC1462:AE1462,IF(COUNTA(AC1462:AE1462)=0,"",MAX((AC1462:AE1462&lt;&gt;"")*(COLUMN(AC1462:AE1462)-(COLUMN(AC1462)))))-1),"")</f>
        <v>45453</v>
      </c>
      <c r="K1462" s="16" t="n">
        <f aca="false" t="array" ref="K1462:K1462">IFERROR(INDEX(AC1462:AE1462,IF(COUNTA(AC1462:AE1462)=0,"",MAX((AC1462:AE1462&lt;&gt;"")*(COLUMN(AC1462:AE1462)-(COLUMN(AC1462)-1))))-1),"")</f>
        <v>46181</v>
      </c>
      <c r="L1462" s="17" t="str">
        <f aca="false" t="array" ref="L1462:L1462">IFERROR(INDEX(AC1462:AE1462,IF(COUNTA(AC1462:AE1462)=0,"",MAX((AC1462:AE1462&lt;&gt;"")*(COLUMN(AC1462:AE1462)-(COLUMN(AC1462)-2))))-1),"")</f>
        <v>KEMBALI</v>
      </c>
      <c r="M1462" s="13" t="n">
        <f aca="true">K1462-TODAY()</f>
        <v>-143</v>
      </c>
      <c r="N1462" s="18" t="s">
        <v>105</v>
      </c>
      <c r="O1462" s="13" t="s">
        <v>58</v>
      </c>
      <c r="P1462" s="19" t="n">
        <v>5191541</v>
      </c>
      <c r="Q1462" s="20" t="s">
        <v>6403</v>
      </c>
      <c r="R1462" s="13" t="s">
        <v>39</v>
      </c>
      <c r="S1462" s="14" t="n">
        <v>33030</v>
      </c>
      <c r="T1462" s="13" t="s">
        <v>40</v>
      </c>
      <c r="U1462" s="13" t="s">
        <v>4593</v>
      </c>
      <c r="V1462" s="13" t="s">
        <v>42</v>
      </c>
      <c r="W1462" s="13" t="s">
        <v>54</v>
      </c>
      <c r="X1462" s="21" t="n">
        <v>87754269301</v>
      </c>
      <c r="Y1462" s="22" t="str">
        <f aca="false">O1462</f>
        <v>Produksi</v>
      </c>
      <c r="Z1462" s="13" t="str">
        <f aca="false">IFERROR(__xludf.dummyfunction("if(BJ1462="""","""",GOOGLETRANSLATE(BJ1462,""auto"",""en""))"),"Production")</f>
        <v>Production</v>
      </c>
      <c r="AA1462" s="23" t="str">
        <f aca="false">IF(C1462="","", CHOOSE(MONTH(C1462),"January","February","March","April","May","June","July","August","September","October","November","December")&amp;" "&amp;DAY(C1462)&amp;MID("thstndrdth",MIN(9,2*RIGHT(DAY(C1462))*(MOD(DAY(C1462)-11,100)&gt;2)+1),2)&amp;","&amp;TEXT(C1462," yyyy"))</f>
        <v>June 10th,2024</v>
      </c>
      <c r="AB1462" s="15" t="str">
        <f aca="true">IF(S1462="","",DATEDIF(S1462,TODAY(),"Y")&amp;" Tahun, "&amp;DATEDIF(S1462,TODAY(),"YM")&amp;" Bulan, "&amp;DATEDIF(S1462,TODAY(),"MD")&amp;" Hari")</f>
        <v>36 Tahun, 4 Bulan, 23 Hari</v>
      </c>
      <c r="AC1462" s="18" t="n">
        <v>45453</v>
      </c>
      <c r="AD1462" s="18" t="n">
        <v>46181</v>
      </c>
      <c r="AE1462" s="13" t="s">
        <v>397</v>
      </c>
    </row>
    <row r="1463" customFormat="false" ht="15" hidden="false" customHeight="true" outlineLevel="0" collapsed="false">
      <c r="A1463" s="12" t="n">
        <v>10584</v>
      </c>
      <c r="B1463" s="13" t="s">
        <v>6404</v>
      </c>
      <c r="C1463" s="14" t="n">
        <v>45006</v>
      </c>
      <c r="D1463" s="13" t="s">
        <v>2033</v>
      </c>
      <c r="E1463" s="15" t="s">
        <v>47</v>
      </c>
      <c r="F1463" s="15" t="str">
        <f aca="false">IFERROR(__xludf.dummyfunction("XLOOKUP(AJ1463,IMPORTRANGE(""1XaInW9DU9nz21V0tYIfzFQ0He9kVQ_JF2mCXgZ3hqFA"",""REKAP ALL 2026 - Andika!G:G""),IMPORTRANGE(""1XaInW9DU9nz21V0tYIfzFQ0He9kVQ_JF2mCXgZ3hqFA"",""REKAP ALL 2026 - Andika!F:F""),"""",0)"),"23057165351")</f>
        <v>23057165351</v>
      </c>
      <c r="G1463" s="13" t="s">
        <v>6405</v>
      </c>
      <c r="H1463" s="13" t="s">
        <v>2035</v>
      </c>
      <c r="I1463" s="13" t="str">
        <f aca="false">IF(C1463=J1463,"NEW KONTRAK","RE-KONTRAK")</f>
        <v>RE-KONTRAK</v>
      </c>
      <c r="J1463" s="16" t="n">
        <f aca="false" t="array" ref="J1463:J1463">IFERROR(INDEX(AC1463:AE1463,IF(COUNTA(AC1463:AE1463)=0,"",MAX((AC1463:AE1463&lt;&gt;"")*(COLUMN(AC1463:AE1463)-(COLUMN(AC1463)))))-1),"")</f>
        <v>45744</v>
      </c>
      <c r="K1463" s="16" t="n">
        <f aca="false" t="array" ref="K1463:K1463">IFERROR(INDEX(AC1463:AE1463,IF(COUNTA(AC1463:AE1463)=0,"",MAX((AC1463:AE1463&lt;&gt;"")*(COLUMN(AC1463:AE1463)-(COLUMN(AC1463)-1))))-1),"")</f>
        <v>45915</v>
      </c>
      <c r="L1463" s="17" t="str">
        <f aca="false" t="array" ref="L1463:L1463">IFERROR(INDEX(AC1463:AE1463,IF(COUNTA(AC1463:AE1463)=0,"",MAX((AC1463:AE1463&lt;&gt;"")*(COLUMN(AC1463:AE1463)-(COLUMN(AC1463)-2))))-1),"")</f>
        <v>ARCHIVED</v>
      </c>
      <c r="M1463" s="13" t="n">
        <f aca="true">K1463-TODAY()</f>
        <v>-409</v>
      </c>
      <c r="N1463" s="18" t="s">
        <v>2356</v>
      </c>
      <c r="O1463" s="13" t="s">
        <v>2037</v>
      </c>
      <c r="P1463" s="19" t="n">
        <v>4148179</v>
      </c>
      <c r="Q1463" s="20" t="s">
        <v>6406</v>
      </c>
      <c r="R1463" s="13" t="s">
        <v>6407</v>
      </c>
      <c r="S1463" s="14" t="n">
        <v>37866</v>
      </c>
      <c r="T1463" s="13" t="s">
        <v>108</v>
      </c>
      <c r="U1463" s="13" t="s">
        <v>6408</v>
      </c>
      <c r="V1463" s="13" t="s">
        <v>42</v>
      </c>
      <c r="W1463" s="13" t="s">
        <v>43</v>
      </c>
      <c r="X1463" s="21" t="n">
        <v>81356280318</v>
      </c>
      <c r="Y1463" s="22" t="str">
        <f aca="false">O1463</f>
        <v>SPG/BA</v>
      </c>
      <c r="Z1463" s="13" t="str">
        <f aca="false">IFERROR(__xludf.dummyfunction("if(BJ1463="""","""",GOOGLETRANSLATE(BJ1463,""auto"",""en""))"),"SPG/BA")</f>
        <v>SPG/BA</v>
      </c>
      <c r="AA1463" s="23" t="str">
        <f aca="false">IF(C1463="","", CHOOSE(MONTH(C1463),"January","February","March","April","May","June","July","August","September","October","November","December")&amp;" "&amp;DAY(C1463)&amp;MID("thstndrdth",MIN(9,2*RIGHT(DAY(C1463))*(MOD(DAY(C1463)-11,100)&gt;2)+1),2)&amp;","&amp;TEXT(C1463," yyyy"))</f>
        <v>March 21st,2023</v>
      </c>
      <c r="AB1463" s="15" t="str">
        <f aca="true">IF(S1463="","",DATEDIF(S1463,TODAY(),"Y")&amp;" Tahun, "&amp;DATEDIF(S1463,TODAY(),"YM")&amp;" Bulan, "&amp;DATEDIF(S1463,TODAY(),"MD")&amp;" Hari")</f>
        <v>23 Tahun, 1 Bulan, 27 Hari</v>
      </c>
      <c r="AC1463" s="18" t="n">
        <v>45744</v>
      </c>
      <c r="AD1463" s="18" t="n">
        <v>45915</v>
      </c>
      <c r="AE1463" s="18" t="s">
        <v>44</v>
      </c>
    </row>
    <row r="1464" customFormat="false" ht="15" hidden="false" customHeight="true" outlineLevel="0" collapsed="false">
      <c r="A1464" s="12" t="n">
        <v>15826</v>
      </c>
      <c r="B1464" s="13" t="s">
        <v>6409</v>
      </c>
      <c r="C1464" s="14" t="n">
        <v>45439</v>
      </c>
      <c r="D1464" s="13" t="s">
        <v>2033</v>
      </c>
      <c r="E1464" s="15" t="s">
        <v>33</v>
      </c>
      <c r="F1464" s="24" t="s">
        <v>6410</v>
      </c>
      <c r="G1464" s="15" t="s">
        <v>6411</v>
      </c>
      <c r="H1464" s="13" t="s">
        <v>2035</v>
      </c>
      <c r="I1464" s="13" t="str">
        <f aca="false">IF(C1464=J1464,"NEW KONTRAK","RE-KONTRAK")</f>
        <v>RE-KONTRAK</v>
      </c>
      <c r="J1464" s="16" t="n">
        <f aca="false" t="array" ref="J1464:J1464">IFERROR(INDEX(AC1464:AE1464,IF(COUNTA(AC1464:AE1464)=0,"",MAX((AC1464:AE1464&lt;&gt;"")*(COLUMN(AC1464:AE1464)-(COLUMN(AC1464)))))-1),"")</f>
        <v>45744</v>
      </c>
      <c r="K1464" s="16" t="n">
        <f aca="false" t="array" ref="K1464:K1464">IFERROR(INDEX(AC1464:AE1464,IF(COUNTA(AC1464:AE1464)=0,"",MAX((AC1464:AE1464&lt;&gt;"")*(COLUMN(AC1464:AE1464)-(COLUMN(AC1464)-1))))-1),"")</f>
        <v>45915</v>
      </c>
      <c r="L1464" s="17" t="str">
        <f aca="false" t="array" ref="L1464:L1464">IFERROR(INDEX(AC1464:AE1464,IF(COUNTA(AC1464:AE1464)=0,"",MAX((AC1464:AE1464&lt;&gt;"")*(COLUMN(AC1464:AE1464)-(COLUMN(AC1464)-2))))-1),"")</f>
        <v>ARCHIVED</v>
      </c>
      <c r="M1464" s="13" t="n">
        <f aca="true">K1464-TODAY()</f>
        <v>-409</v>
      </c>
      <c r="N1464" s="18" t="s">
        <v>3703</v>
      </c>
      <c r="O1464" s="13" t="s">
        <v>2037</v>
      </c>
      <c r="P1464" s="19" t="n">
        <v>2680485</v>
      </c>
      <c r="Q1464" s="20" t="s">
        <v>6412</v>
      </c>
      <c r="R1464" s="13" t="s">
        <v>3703</v>
      </c>
      <c r="S1464" s="14" t="n">
        <v>36724</v>
      </c>
      <c r="T1464" s="13" t="s">
        <v>108</v>
      </c>
      <c r="U1464" s="13" t="s">
        <v>6413</v>
      </c>
      <c r="V1464" s="13" t="s">
        <v>42</v>
      </c>
      <c r="W1464" s="13" t="s">
        <v>43</v>
      </c>
      <c r="X1464" s="21" t="n">
        <v>85868240575</v>
      </c>
      <c r="Y1464" s="22" t="str">
        <f aca="false">O1464</f>
        <v>SPG/BA</v>
      </c>
      <c r="Z1464" s="13" t="str">
        <f aca="false">IFERROR(__xludf.dummyfunction("if(BJ1464="""","""",GOOGLETRANSLATE(BJ1464,""auto"",""en""))"),"SPG/BA")</f>
        <v>SPG/BA</v>
      </c>
      <c r="AA1464" s="23" t="str">
        <f aca="false">IF(C1464="","", CHOOSE(MONTH(C1464),"January","February","March","April","May","June","July","August","September","October","November","December")&amp;" "&amp;DAY(C1464)&amp;MID("thstndrdth",MIN(9,2*RIGHT(DAY(C1464))*(MOD(DAY(C1464)-11,100)&gt;2)+1),2)&amp;","&amp;TEXT(C1464," yyyy"))</f>
        <v>May 27th,2024</v>
      </c>
      <c r="AB1464" s="15" t="str">
        <f aca="true">IF(S1464="","",DATEDIF(S1464,TODAY(),"Y")&amp;" Tahun, "&amp;DATEDIF(S1464,TODAY(),"YM")&amp;" Bulan, "&amp;DATEDIF(S1464,TODAY(),"MD")&amp;" Hari")</f>
        <v>26 Tahun, 3 Bulan, 12 Hari</v>
      </c>
      <c r="AC1464" s="18" t="n">
        <v>45744</v>
      </c>
      <c r="AD1464" s="18" t="n">
        <v>45915</v>
      </c>
      <c r="AE1464" s="18" t="s">
        <v>44</v>
      </c>
    </row>
    <row r="1465" customFormat="false" ht="15" hidden="false" customHeight="true" outlineLevel="0" collapsed="false">
      <c r="A1465" s="12" t="n">
        <v>17608</v>
      </c>
      <c r="B1465" s="13" t="s">
        <v>6414</v>
      </c>
      <c r="C1465" s="14" t="n">
        <v>45567</v>
      </c>
      <c r="D1465" s="13" t="s">
        <v>2033</v>
      </c>
      <c r="E1465" s="15" t="s">
        <v>47</v>
      </c>
      <c r="F1465" s="15" t="str">
        <f aca="false">IFERROR(__xludf.dummyfunction("XLOOKUP(AJ1465,IMPORTRANGE(""1XaInW9DU9nz21V0tYIfzFQ0He9kVQ_JF2mCXgZ3hqFA"",""REKAP ALL 2026 - Andika!G:G""),IMPORTRANGE(""1XaInW9DU9nz21V0tYIfzFQ0He9kVQ_JF2mCXgZ3hqFA"",""REKAP ALL 2026 - Andika!F:F""),"""",0)"),"24154920839")</f>
        <v>24154920839</v>
      </c>
      <c r="G1465" s="15" t="s">
        <v>6415</v>
      </c>
      <c r="H1465" s="13" t="s">
        <v>2035</v>
      </c>
      <c r="I1465" s="13" t="str">
        <f aca="false">IF(C1465=J1465,"NEW KONTRAK","RE-KONTRAK")</f>
        <v>RE-KONTRAK</v>
      </c>
      <c r="J1465" s="16" t="n">
        <f aca="false" t="array" ref="J1465:J1465">IFERROR(INDEX(AC1465:AE1465,IF(COUNTA(AC1465:AE1465)=0,"",MAX((AC1465:AE1465&lt;&gt;"")*(COLUMN(AC1465:AE1465)-(COLUMN(AC1465)))))-1),"")</f>
        <v>45744</v>
      </c>
      <c r="K1465" s="16" t="n">
        <f aca="false" t="array" ref="K1465:K1465">IFERROR(INDEX(AC1465:AE1465,IF(COUNTA(AC1465:AE1465)=0,"",MAX((AC1465:AE1465&lt;&gt;"")*(COLUMN(AC1465:AE1465)-(COLUMN(AC1465)-1))))-1),"")</f>
        <v>45915</v>
      </c>
      <c r="L1465" s="17" t="str">
        <f aca="false" t="array" ref="L1465:L1465">IFERROR(INDEX(AC1465:AE1465,IF(COUNTA(AC1465:AE1465)=0,"",MAX((AC1465:AE1465&lt;&gt;"")*(COLUMN(AC1465:AE1465)-(COLUMN(AC1465)-2))))-1),"")</f>
        <v>ARCHIVED</v>
      </c>
      <c r="M1465" s="13" t="n">
        <f aca="true">K1465-TODAY()</f>
        <v>-409</v>
      </c>
      <c r="N1465" s="18" t="s">
        <v>3520</v>
      </c>
      <c r="O1465" s="13" t="s">
        <v>2037</v>
      </c>
      <c r="P1465" s="19" t="n">
        <v>3856694</v>
      </c>
      <c r="Q1465" s="20" t="s">
        <v>6416</v>
      </c>
      <c r="R1465" s="13" t="s">
        <v>3520</v>
      </c>
      <c r="S1465" s="14" t="n">
        <v>38754</v>
      </c>
      <c r="T1465" s="13" t="s">
        <v>108</v>
      </c>
      <c r="U1465" s="13" t="s">
        <v>6417</v>
      </c>
      <c r="V1465" s="13" t="s">
        <v>42</v>
      </c>
      <c r="W1465" s="13" t="s">
        <v>43</v>
      </c>
      <c r="X1465" s="21" t="n">
        <v>87823278016</v>
      </c>
      <c r="Y1465" s="22" t="str">
        <f aca="false">O1465</f>
        <v>SPG/BA</v>
      </c>
      <c r="Z1465" s="13" t="str">
        <f aca="false">IFERROR(__xludf.dummyfunction("if(BJ1465="""","""",GOOGLETRANSLATE(BJ1465,""auto"",""en""))"),"SPG/BA")</f>
        <v>SPG/BA</v>
      </c>
      <c r="AA1465" s="23" t="str">
        <f aca="false">IF(C1465="","", CHOOSE(MONTH(C1465),"January","February","March","April","May","June","July","August","September","October","November","December")&amp;" "&amp;DAY(C1465)&amp;MID("thstndrdth",MIN(9,2*RIGHT(DAY(C1465))*(MOD(DAY(C1465)-11,100)&gt;2)+1),2)&amp;","&amp;TEXT(C1465," yyyy"))</f>
        <v>October 2nd,2024</v>
      </c>
      <c r="AB1465" s="15" t="str">
        <f aca="true">IF(S1465="","",DATEDIF(S1465,TODAY(),"Y")&amp;" Tahun, "&amp;DATEDIF(S1465,TODAY(),"YM")&amp;" Bulan, "&amp;DATEDIF(S1465,TODAY(),"MD")&amp;" Hari")</f>
        <v>20 Tahun, 8 Bulan, 23 Hari</v>
      </c>
      <c r="AC1465" s="18" t="n">
        <v>45744</v>
      </c>
      <c r="AD1465" s="18" t="n">
        <v>45915</v>
      </c>
      <c r="AE1465" s="18" t="s">
        <v>44</v>
      </c>
    </row>
    <row r="1466" customFormat="false" ht="15" hidden="false" customHeight="true" outlineLevel="0" collapsed="false">
      <c r="A1466" s="12" t="n">
        <v>15846</v>
      </c>
      <c r="B1466" s="13" t="s">
        <v>6418</v>
      </c>
      <c r="C1466" s="14" t="n">
        <v>45450</v>
      </c>
      <c r="D1466" s="13" t="s">
        <v>2033</v>
      </c>
      <c r="E1466" s="15" t="s">
        <v>102</v>
      </c>
      <c r="F1466" s="15" t="str">
        <f aca="false">IFERROR(__xludf.dummyfunction("XLOOKUP(AJ1466,IMPORTRANGE(""1XaInW9DU9nz21V0tYIfzFQ0He9kVQ_JF2mCXgZ3hqFA"",""REKAP ALL 2026 - Andika!G:G""),IMPORTRANGE(""1XaInW9DU9nz21V0tYIfzFQ0He9kVQ_JF2mCXgZ3hqFA"",""REKAP ALL 2026 - Andika!F:F""),"""",0)"),"24091263111")</f>
        <v>24091263111</v>
      </c>
      <c r="G1466" s="15" t="s">
        <v>6419</v>
      </c>
      <c r="H1466" s="13" t="s">
        <v>2035</v>
      </c>
      <c r="I1466" s="13" t="str">
        <f aca="false">IF(C1466=J1466,"NEW KONTRAK","RE-KONTRAK")</f>
        <v>RE-KONTRAK</v>
      </c>
      <c r="J1466" s="16" t="n">
        <f aca="false" t="array" ref="J1466:J1466">IFERROR(INDEX(AC1466:AE1466,IF(COUNTA(AC1466:AE1466)=0,"",MAX((AC1466:AE1466&lt;&gt;"")*(COLUMN(AC1466:AE1466)-(COLUMN(AC1466)))))-1),"")</f>
        <v>45744</v>
      </c>
      <c r="K1466" s="16" t="n">
        <f aca="false" t="array" ref="K1466:K1466">IFERROR(INDEX(AC1466:AE1466,IF(COUNTA(AC1466:AE1466)=0,"",MAX((AC1466:AE1466&lt;&gt;"")*(COLUMN(AC1466:AE1466)-(COLUMN(AC1466)-1))))-1),"")</f>
        <v>45915</v>
      </c>
      <c r="L1466" s="17" t="str">
        <f aca="false" t="array" ref="L1466:L1466">IFERROR(INDEX(AC1466:AE1466,IF(COUNTA(AC1466:AE1466)=0,"",MAX((AC1466:AE1466&lt;&gt;"")*(COLUMN(AC1466:AE1466)-(COLUMN(AC1466)-2))))-1),"")</f>
        <v>ARCHIVED</v>
      </c>
      <c r="M1466" s="13" t="n">
        <f aca="true">K1466-TODAY()</f>
        <v>-409</v>
      </c>
      <c r="N1466" s="18" t="s">
        <v>3895</v>
      </c>
      <c r="O1466" s="13" t="s">
        <v>2037</v>
      </c>
      <c r="P1466" s="19" t="n">
        <v>3496195</v>
      </c>
      <c r="Q1466" s="20" t="s">
        <v>6420</v>
      </c>
      <c r="R1466" s="13" t="s">
        <v>6421</v>
      </c>
      <c r="S1466" s="14" t="n">
        <v>38785</v>
      </c>
      <c r="T1466" s="13" t="s">
        <v>108</v>
      </c>
      <c r="U1466" s="13" t="s">
        <v>6422</v>
      </c>
      <c r="V1466" s="13" t="s">
        <v>42</v>
      </c>
      <c r="W1466" s="13" t="s">
        <v>43</v>
      </c>
      <c r="X1466" s="21" t="n">
        <v>81345189292</v>
      </c>
      <c r="Y1466" s="22" t="str">
        <f aca="false">O1466</f>
        <v>SPG/BA</v>
      </c>
      <c r="Z1466" s="13" t="str">
        <f aca="false">IFERROR(__xludf.dummyfunction("if(BJ1466="""","""",GOOGLETRANSLATE(BJ1466,""auto"",""en""))"),"SPG/BA")</f>
        <v>SPG/BA</v>
      </c>
      <c r="AA1466" s="23" t="str">
        <f aca="false">IF(C1466="","", CHOOSE(MONTH(C1466),"January","February","March","April","May","June","July","August","September","October","November","December")&amp;" "&amp;DAY(C1466)&amp;MID("thstndrdth",MIN(9,2*RIGHT(DAY(C1466))*(MOD(DAY(C1466)-11,100)&gt;2)+1),2)&amp;","&amp;TEXT(C1466," yyyy"))</f>
        <v>June 7th,2024</v>
      </c>
      <c r="AB1466" s="15" t="str">
        <f aca="true">IF(S1466="","",DATEDIF(S1466,TODAY(),"Y")&amp;" Tahun, "&amp;DATEDIF(S1466,TODAY(),"YM")&amp;" Bulan, "&amp;DATEDIF(S1466,TODAY(),"MD")&amp;" Hari")</f>
        <v>20 Tahun, 7 Bulan, 20 Hari</v>
      </c>
      <c r="AC1466" s="18" t="n">
        <v>45744</v>
      </c>
      <c r="AD1466" s="18" t="n">
        <v>45915</v>
      </c>
      <c r="AE1466" s="18" t="s">
        <v>44</v>
      </c>
    </row>
    <row r="1467" customFormat="false" ht="15" hidden="false" customHeight="true" outlineLevel="0" collapsed="false">
      <c r="A1467" s="12" t="n">
        <v>15848</v>
      </c>
      <c r="B1467" s="13" t="s">
        <v>6423</v>
      </c>
      <c r="C1467" s="14" t="n">
        <v>45453</v>
      </c>
      <c r="D1467" s="13" t="s">
        <v>2033</v>
      </c>
      <c r="E1467" s="15" t="s">
        <v>102</v>
      </c>
      <c r="F1467" s="15" t="str">
        <f aca="false">IFERROR(__xludf.dummyfunction("XLOOKUP(AJ1467,IMPORTRANGE(""1XaInW9DU9nz21V0tYIfzFQ0He9kVQ_JF2mCXgZ3hqFA"",""REKAP ALL 2026 - Andika!G:G""),IMPORTRANGE(""1XaInW9DU9nz21V0tYIfzFQ0He9kVQ_JF2mCXgZ3hqFA"",""REKAP ALL 2026 - Andika!F:F""),"""",0)"),"24091262881")</f>
        <v>24091262881</v>
      </c>
      <c r="G1467" s="15" t="s">
        <v>6424</v>
      </c>
      <c r="H1467" s="13" t="s">
        <v>2035</v>
      </c>
      <c r="I1467" s="13" t="str">
        <f aca="false">IF(C1467=J1467,"NEW KONTRAK","RE-KONTRAK")</f>
        <v>RE-KONTRAK</v>
      </c>
      <c r="J1467" s="16" t="n">
        <f aca="false" t="array" ref="J1467:J1467">IFERROR(INDEX(AC1467:AE1467,IF(COUNTA(AC1467:AE1467)=0,"",MAX((AC1467:AE1467&lt;&gt;"")*(COLUMN(AC1467:AE1467)-(COLUMN(AC1467)))))-1),"")</f>
        <v>45744</v>
      </c>
      <c r="K1467" s="16" t="n">
        <f aca="false" t="array" ref="K1467:K1467">IFERROR(INDEX(AC1467:AE1467,IF(COUNTA(AC1467:AE1467)=0,"",MAX((AC1467:AE1467&lt;&gt;"")*(COLUMN(AC1467:AE1467)-(COLUMN(AC1467)-1))))-1),"")</f>
        <v>45915</v>
      </c>
      <c r="L1467" s="17" t="str">
        <f aca="false" t="array" ref="L1467:L1467">IFERROR(INDEX(AC1467:AE1467,IF(COUNTA(AC1467:AE1467)=0,"",MAX((AC1467:AE1467&lt;&gt;"")*(COLUMN(AC1467:AE1467)-(COLUMN(AC1467)-2))))-1),"")</f>
        <v>ARCHIVED</v>
      </c>
      <c r="M1467" s="13" t="n">
        <f aca="true">K1467-TODAY()</f>
        <v>-409</v>
      </c>
      <c r="N1467" s="18" t="s">
        <v>2390</v>
      </c>
      <c r="O1467" s="13" t="s">
        <v>3249</v>
      </c>
      <c r="P1467" s="19" t="n">
        <v>4192837</v>
      </c>
      <c r="Q1467" s="20" t="s">
        <v>6425</v>
      </c>
      <c r="R1467" s="13" t="s">
        <v>6426</v>
      </c>
      <c r="S1467" s="14" t="n">
        <v>34287</v>
      </c>
      <c r="T1467" s="13" t="s">
        <v>40</v>
      </c>
      <c r="U1467" s="13" t="s">
        <v>6427</v>
      </c>
      <c r="V1467" s="13" t="s">
        <v>42</v>
      </c>
      <c r="W1467" s="13" t="s">
        <v>43</v>
      </c>
      <c r="X1467" s="21" t="n">
        <v>82179494600</v>
      </c>
      <c r="Y1467" s="22" t="str">
        <f aca="false">O1467</f>
        <v>Sales Exclusive</v>
      </c>
      <c r="Z1467" s="13" t="str">
        <f aca="false">IFERROR(__xludf.dummyfunction("if(BJ1467="""","""",GOOGLETRANSLATE(BJ1467,""auto"",""en""))"),"Sales Exclusive")</f>
        <v>Sales Exclusive</v>
      </c>
      <c r="AA1467" s="23" t="str">
        <f aca="false">IF(C1467="","", CHOOSE(MONTH(C1467),"January","February","March","April","May","June","July","August","September","October","November","December")&amp;" "&amp;DAY(C1467)&amp;MID("thstndrdth",MIN(9,2*RIGHT(DAY(C1467))*(MOD(DAY(C1467)-11,100)&gt;2)+1),2)&amp;","&amp;TEXT(C1467," yyyy"))</f>
        <v>June 10th,2024</v>
      </c>
      <c r="AB1467" s="15" t="str">
        <f aca="true">IF(S1467="","",DATEDIF(S1467,TODAY(),"Y")&amp;" Tahun, "&amp;DATEDIF(S1467,TODAY(),"YM")&amp;" Bulan, "&amp;DATEDIF(S1467,TODAY(),"MD")&amp;" Hari")</f>
        <v>32 Tahun, 11 Bulan, 15 Hari</v>
      </c>
      <c r="AC1467" s="18" t="n">
        <v>45744</v>
      </c>
      <c r="AD1467" s="18" t="n">
        <v>45915</v>
      </c>
      <c r="AE1467" s="18" t="s">
        <v>44</v>
      </c>
    </row>
    <row r="1468" customFormat="false" ht="15" hidden="false" customHeight="true" outlineLevel="0" collapsed="false">
      <c r="A1468" s="12" t="n">
        <v>17808</v>
      </c>
      <c r="B1468" s="13" t="s">
        <v>6428</v>
      </c>
      <c r="C1468" s="14" t="n">
        <v>45581</v>
      </c>
      <c r="D1468" s="13" t="s">
        <v>2033</v>
      </c>
      <c r="E1468" s="15" t="s">
        <v>47</v>
      </c>
      <c r="F1468" s="15" t="str">
        <f aca="false">IFERROR(__xludf.dummyfunction("XLOOKUP(AJ1468,IMPORTRANGE(""1XaInW9DU9nz21V0tYIfzFQ0He9kVQ_JF2mCXgZ3hqFA"",""REKAP ALL 2026 - Andika!G:G""),IMPORTRANGE(""1XaInW9DU9nz21V0tYIfzFQ0He9kVQ_JF2mCXgZ3hqFA"",""REKAP ALL 2026 - Andika!F:F""),"""",0)"),"24195984190")</f>
        <v>24195984190</v>
      </c>
      <c r="G1468" s="15" t="s">
        <v>6429</v>
      </c>
      <c r="H1468" s="13" t="s">
        <v>2035</v>
      </c>
      <c r="I1468" s="13" t="str">
        <f aca="false">IF(C1468=J1468,"NEW KONTRAK","RE-KONTRAK")</f>
        <v>RE-KONTRAK</v>
      </c>
      <c r="J1468" s="16" t="n">
        <f aca="false" t="array" ref="J1468:J1468">IFERROR(INDEX(AC1468:AE1468,IF(COUNTA(AC1468:AE1468)=0,"",MAX((AC1468:AE1468&lt;&gt;"")*(COLUMN(AC1468:AE1468)-(COLUMN(AC1468)))))-1),"")</f>
        <v>45744</v>
      </c>
      <c r="K1468" s="16" t="n">
        <f aca="false" t="array" ref="K1468:K1468">IFERROR(INDEX(AC1468:AE1468,IF(COUNTA(AC1468:AE1468)=0,"",MAX((AC1468:AE1468&lt;&gt;"")*(COLUMN(AC1468:AE1468)-(COLUMN(AC1468)-1))))-1),"")</f>
        <v>45915</v>
      </c>
      <c r="L1468" s="17" t="str">
        <f aca="false" t="array" ref="L1468:L1468">IFERROR(INDEX(AC1468:AE1468,IF(COUNTA(AC1468:AE1468)=0,"",MAX((AC1468:AE1468&lt;&gt;"")*(COLUMN(AC1468:AE1468)-(COLUMN(AC1468)-2))))-1),"")</f>
        <v>ARCHIVED</v>
      </c>
      <c r="M1468" s="13" t="n">
        <f aca="true">K1468-TODAY()</f>
        <v>-409</v>
      </c>
      <c r="N1468" s="18" t="s">
        <v>2383</v>
      </c>
      <c r="O1468" s="13" t="s">
        <v>2037</v>
      </c>
      <c r="P1468" s="19" t="n">
        <v>3998179</v>
      </c>
      <c r="Q1468" s="20" t="s">
        <v>6430</v>
      </c>
      <c r="R1468" s="13" t="s">
        <v>6431</v>
      </c>
      <c r="S1468" s="14" t="n">
        <v>38026</v>
      </c>
      <c r="T1468" s="13" t="s">
        <v>108</v>
      </c>
      <c r="U1468" s="13" t="s">
        <v>6432</v>
      </c>
      <c r="V1468" s="13" t="s">
        <v>42</v>
      </c>
      <c r="W1468" s="13" t="s">
        <v>43</v>
      </c>
      <c r="X1468" s="21" t="n">
        <v>83183905402</v>
      </c>
      <c r="Y1468" s="22" t="str">
        <f aca="false">O1468</f>
        <v>SPG/BA</v>
      </c>
      <c r="Z1468" s="13" t="str">
        <f aca="false">IFERROR(__xludf.dummyfunction("if(BJ1468="""","""",GOOGLETRANSLATE(BJ1468,""auto"",""en""))"),"SPG/BA")</f>
        <v>SPG/BA</v>
      </c>
      <c r="AA1468" s="23" t="str">
        <f aca="false">IF(C1468="","", CHOOSE(MONTH(C1468),"January","February","March","April","May","June","July","August","September","October","November","December")&amp;" "&amp;DAY(C1468)&amp;MID("thstndrdth",MIN(9,2*RIGHT(DAY(C1468))*(MOD(DAY(C1468)-11,100)&gt;2)+1),2)&amp;","&amp;TEXT(C1468," yyyy"))</f>
        <v>October 16th,2024</v>
      </c>
      <c r="AB1468" s="15" t="str">
        <f aca="true">IF(S1468="","",DATEDIF(S1468,TODAY(),"Y")&amp;" Tahun, "&amp;DATEDIF(S1468,TODAY(),"YM")&amp;" Bulan, "&amp;DATEDIF(S1468,TODAY(),"MD")&amp;" Hari")</f>
        <v>22 Tahun, 8 Bulan, 20 Hari</v>
      </c>
      <c r="AC1468" s="18" t="n">
        <v>45744</v>
      </c>
      <c r="AD1468" s="18" t="n">
        <v>45915</v>
      </c>
      <c r="AE1468" s="18" t="s">
        <v>44</v>
      </c>
    </row>
    <row r="1469" customFormat="false" ht="15" hidden="false" customHeight="true" outlineLevel="0" collapsed="false">
      <c r="A1469" s="12" t="n">
        <v>15855</v>
      </c>
      <c r="B1469" s="13" t="s">
        <v>6433</v>
      </c>
      <c r="C1469" s="14" t="n">
        <v>45453</v>
      </c>
      <c r="D1469" s="13" t="s">
        <v>393</v>
      </c>
      <c r="E1469" s="15" t="s">
        <v>102</v>
      </c>
      <c r="F1469" s="15" t="str">
        <f aca="false">IFERROR(__xludf.dummyfunction("XLOOKUP(AJ1469,IMPORTRANGE(""1XaInW9DU9nz21V0tYIfzFQ0He9kVQ_JF2mCXgZ3hqFA"",""REKAP ALL 2026 - Andika!G:G""),IMPORTRANGE(""1XaInW9DU9nz21V0tYIfzFQ0He9kVQ_JF2mCXgZ3hqFA"",""REKAP ALL 2026 - Andika!F:F""),"""",0)"),"13044177817")</f>
        <v>13044177817</v>
      </c>
      <c r="G1469" s="15" t="s">
        <v>6434</v>
      </c>
      <c r="H1469" s="13" t="s">
        <v>35</v>
      </c>
      <c r="I1469" s="13" t="str">
        <f aca="false">IF(C1469=J1469,"NEW KONTRAK","RE-KONTRAK")</f>
        <v>NEW KONTRAK</v>
      </c>
      <c r="J1469" s="16" t="n">
        <f aca="false" t="array" ref="J1469:J1469">IFERROR(INDEX(AC1469:AE1469,IF(COUNTA(AC1469:AE1469)=0,"",MAX((AC1469:AE1469&lt;&gt;"")*(COLUMN(AC1469:AE1469)-(COLUMN(AC1469)))))-1),"")</f>
        <v>45453</v>
      </c>
      <c r="K1469" s="16" t="n">
        <f aca="false" t="array" ref="K1469:K1469">IFERROR(INDEX(AC1469:AE1469,IF(COUNTA(AC1469:AE1469)=0,"",MAX((AC1469:AE1469&lt;&gt;"")*(COLUMN(AC1469:AE1469)-(COLUMN(AC1469)-1))))-1),"")</f>
        <v>46181</v>
      </c>
      <c r="L1469" s="17" t="str">
        <f aca="false" t="array" ref="L1469:L1469">IFERROR(INDEX(AC1469:AE1469,IF(COUNTA(AC1469:AE1469)=0,"",MAX((AC1469:AE1469&lt;&gt;"")*(COLUMN(AC1469:AE1469)-(COLUMN(AC1469)-2))))-1),"")</f>
        <v>KEMBALI</v>
      </c>
      <c r="M1469" s="13" t="n">
        <f aca="true">K1469-TODAY()</f>
        <v>-143</v>
      </c>
      <c r="N1469" s="18" t="s">
        <v>105</v>
      </c>
      <c r="O1469" s="13" t="s">
        <v>58</v>
      </c>
      <c r="P1469" s="19" t="n">
        <v>5191541</v>
      </c>
      <c r="Q1469" s="20" t="s">
        <v>6435</v>
      </c>
      <c r="R1469" s="13" t="s">
        <v>39</v>
      </c>
      <c r="S1469" s="14" t="n">
        <v>30148</v>
      </c>
      <c r="T1469" s="13" t="s">
        <v>40</v>
      </c>
      <c r="U1469" s="13" t="s">
        <v>6436</v>
      </c>
      <c r="V1469" s="13" t="s">
        <v>42</v>
      </c>
      <c r="W1469" s="13" t="s">
        <v>54</v>
      </c>
      <c r="X1469" s="21" t="n">
        <v>85748382930</v>
      </c>
      <c r="Y1469" s="22" t="str">
        <f aca="false">O1469</f>
        <v>Produksi</v>
      </c>
      <c r="Z1469" s="13" t="str">
        <f aca="false">IFERROR(__xludf.dummyfunction("if(BJ1469="""","""",GOOGLETRANSLATE(BJ1469,""auto"",""en""))"),"Production")</f>
        <v>Production</v>
      </c>
      <c r="AA1469" s="23" t="str">
        <f aca="false">IF(C1469="","", CHOOSE(MONTH(C1469),"January","February","March","April","May","June","July","August","September","October","November","December")&amp;" "&amp;DAY(C1469)&amp;MID("thstndrdth",MIN(9,2*RIGHT(DAY(C1469))*(MOD(DAY(C1469)-11,100)&gt;2)+1),2)&amp;","&amp;TEXT(C1469," yyyy"))</f>
        <v>June 10th,2024</v>
      </c>
      <c r="AB1469" s="15" t="str">
        <f aca="true">IF(S1469="","",DATEDIF(S1469,TODAY(),"Y")&amp;" Tahun, "&amp;DATEDIF(S1469,TODAY(),"YM")&amp;" Bulan, "&amp;DATEDIF(S1469,TODAY(),"MD")&amp;" Hari")</f>
        <v>44 Tahun, 3 Bulan, 13 Hari</v>
      </c>
      <c r="AC1469" s="18" t="n">
        <v>45453</v>
      </c>
      <c r="AD1469" s="18" t="n">
        <v>46181</v>
      </c>
      <c r="AE1469" s="13" t="s">
        <v>397</v>
      </c>
    </row>
    <row r="1470" customFormat="false" ht="15" hidden="false" customHeight="true" outlineLevel="0" collapsed="false">
      <c r="A1470" s="12" t="n">
        <v>15886</v>
      </c>
      <c r="B1470" s="13" t="s">
        <v>6437</v>
      </c>
      <c r="C1470" s="14" t="n">
        <v>45461</v>
      </c>
      <c r="D1470" s="13" t="s">
        <v>885</v>
      </c>
      <c r="E1470" s="15" t="s">
        <v>47</v>
      </c>
      <c r="F1470" s="15" t="str">
        <f aca="false">IFERROR(__xludf.dummyfunction("XLOOKUP(AJ1470,IMPORTRANGE(""1XaInW9DU9nz21V0tYIfzFQ0He9kVQ_JF2mCXgZ3hqFA"",""REKAP ALL 2026 - Andika!G:G""),IMPORTRANGE(""1XaInW9DU9nz21V0tYIfzFQ0He9kVQ_JF2mCXgZ3hqFA"",""REKAP ALL 2026 - Andika!F:F""),"""",0)"),"24091261461")</f>
        <v>24091261461</v>
      </c>
      <c r="G1470" s="15" t="s">
        <v>6438</v>
      </c>
      <c r="H1470" s="13" t="s">
        <v>35</v>
      </c>
      <c r="I1470" s="13" t="str">
        <f aca="false">IF(C1470=J1470,"NEW KONTRAK","RE-KONTRAK")</f>
        <v>RE-KONTRAK</v>
      </c>
      <c r="J1470" s="16" t="n">
        <f aca="false" t="array" ref="J1470:J1470">IFERROR(INDEX(AC1470:AE1470,IF(COUNTA(AC1470:AE1470)=0,"",MAX((AC1470:AE1470&lt;&gt;"")*(COLUMN(AC1470:AE1470)-(COLUMN(AC1470)))))-1),"")</f>
        <v>45839</v>
      </c>
      <c r="K1470" s="16" t="n">
        <f aca="false" t="array" ref="K1470:K1470">IFERROR(INDEX(AC1470:AE1470,IF(COUNTA(AC1470:AE1470)=0,"",MAX((AC1470:AE1470&lt;&gt;"")*(COLUMN(AC1470:AE1470)-(COLUMN(AC1470)-1))))-1),"")</f>
        <v>46022</v>
      </c>
      <c r="L1470" s="17" t="str">
        <f aca="false" t="array" ref="L1470:L1470">IFERROR(INDEX(AC1470:AE1470,IF(COUNTA(AC1470:AE1470)=0,"",MAX((AC1470:AE1470&lt;&gt;"")*(COLUMN(AC1470:AE1470)-(COLUMN(AC1470)-2))))-1),"")</f>
        <v>ARCHIVED</v>
      </c>
      <c r="M1470" s="13" t="n">
        <f aca="true">K1470-TODAY()</f>
        <v>-302</v>
      </c>
      <c r="N1470" s="18" t="s">
        <v>728</v>
      </c>
      <c r="O1470" s="13" t="s">
        <v>58</v>
      </c>
      <c r="P1470" s="27" t="n">
        <v>5176101</v>
      </c>
      <c r="Q1470" s="20" t="s">
        <v>6439</v>
      </c>
      <c r="R1470" s="13" t="s">
        <v>52</v>
      </c>
      <c r="S1470" s="14" t="n">
        <v>35950</v>
      </c>
      <c r="T1470" s="13" t="s">
        <v>40</v>
      </c>
      <c r="U1470" s="13" t="s">
        <v>6440</v>
      </c>
      <c r="V1470" s="13" t="s">
        <v>42</v>
      </c>
      <c r="W1470" s="13" t="s">
        <v>43</v>
      </c>
      <c r="X1470" s="21" t="n">
        <v>895327600330</v>
      </c>
      <c r="Y1470" s="22" t="str">
        <f aca="false">O1470</f>
        <v>Produksi</v>
      </c>
      <c r="Z1470" s="13" t="str">
        <f aca="false">IFERROR(__xludf.dummyfunction("if(BJ1470="""","""",GOOGLETRANSLATE(BJ1470,""auto"",""en""))"),"Production")</f>
        <v>Production</v>
      </c>
      <c r="AA1470" s="23" t="str">
        <f aca="false">IF(C1470="","", CHOOSE(MONTH(C1470),"January","February","March","April","May","June","July","August","September","October","November","December")&amp;" "&amp;DAY(C1470)&amp;MID("thstndrdth",MIN(9,2*RIGHT(DAY(C1470))*(MOD(DAY(C1470)-11,100)&gt;2)+1),2)&amp;","&amp;TEXT(C1470," yyyy"))</f>
        <v>June 18th,2024</v>
      </c>
      <c r="AB1470" s="15" t="str">
        <f aca="true">IF(S1470="","",DATEDIF(S1470,TODAY(),"Y")&amp;" Tahun, "&amp;DATEDIF(S1470,TODAY(),"YM")&amp;" Bulan, "&amp;DATEDIF(S1470,TODAY(),"MD")&amp;" Hari")</f>
        <v>28 Tahun, 4 Bulan, 25 Hari</v>
      </c>
      <c r="AC1470" s="18" t="n">
        <v>45839</v>
      </c>
      <c r="AD1470" s="18" t="n">
        <v>46022</v>
      </c>
      <c r="AE1470" s="18" t="s">
        <v>44</v>
      </c>
    </row>
    <row r="1471" customFormat="false" ht="15" hidden="false" customHeight="true" outlineLevel="0" collapsed="false">
      <c r="A1471" s="12" t="n">
        <v>15888</v>
      </c>
      <c r="B1471" s="13" t="s">
        <v>6441</v>
      </c>
      <c r="C1471" s="14" t="n">
        <v>45461</v>
      </c>
      <c r="D1471" s="13" t="s">
        <v>885</v>
      </c>
      <c r="E1471" s="15" t="s">
        <v>47</v>
      </c>
      <c r="F1471" s="15" t="str">
        <f aca="false">IFERROR(__xludf.dummyfunction("XLOOKUP(AJ1471,IMPORTRANGE(""1XaInW9DU9nz21V0tYIfzFQ0He9kVQ_JF2mCXgZ3hqFA"",""REKAP ALL 2026 - Andika!G:G""),IMPORTRANGE(""1XaInW9DU9nz21V0tYIfzFQ0He9kVQ_JF2mCXgZ3hqFA"",""REKAP ALL 2026 - Andika!F:F""),"""",0)"),"24091261453")</f>
        <v>24091261453</v>
      </c>
      <c r="G1471" s="15" t="s">
        <v>6442</v>
      </c>
      <c r="H1471" s="13" t="s">
        <v>35</v>
      </c>
      <c r="I1471" s="13" t="str">
        <f aca="false">IF(C1471=J1471,"NEW KONTRAK","RE-KONTRAK")</f>
        <v>RE-KONTRAK</v>
      </c>
      <c r="J1471" s="16" t="n">
        <f aca="false" t="array" ref="J1471:J1471">IFERROR(INDEX(AC1471:AE1471,IF(COUNTA(AC1471:AE1471)=0,"",MAX((AC1471:AE1471&lt;&gt;"")*(COLUMN(AC1471:AE1471)-(COLUMN(AC1471)))))-1),"")</f>
        <v>45839</v>
      </c>
      <c r="K1471" s="16" t="n">
        <f aca="false" t="array" ref="K1471:K1471">IFERROR(INDEX(AC1471:AE1471,IF(COUNTA(AC1471:AE1471)=0,"",MAX((AC1471:AE1471&lt;&gt;"")*(COLUMN(AC1471:AE1471)-(COLUMN(AC1471)-1))))-1),"")</f>
        <v>46022</v>
      </c>
      <c r="L1471" s="17" t="str">
        <f aca="false" t="array" ref="L1471:L1471">IFERROR(INDEX(AC1471:AE1471,IF(COUNTA(AC1471:AE1471)=0,"",MAX((AC1471:AE1471&lt;&gt;"")*(COLUMN(AC1471:AE1471)-(COLUMN(AC1471)-2))))-1),"")</f>
        <v>ARCHIVED</v>
      </c>
      <c r="M1471" s="13" t="n">
        <f aca="true">K1471-TODAY()</f>
        <v>-302</v>
      </c>
      <c r="N1471" s="18" t="s">
        <v>728</v>
      </c>
      <c r="O1471" s="13" t="s">
        <v>58</v>
      </c>
      <c r="P1471" s="27" t="n">
        <v>5176101</v>
      </c>
      <c r="Q1471" s="20" t="s">
        <v>6443</v>
      </c>
      <c r="R1471" s="13" t="s">
        <v>52</v>
      </c>
      <c r="S1471" s="14" t="n">
        <v>38017</v>
      </c>
      <c r="T1471" s="13" t="s">
        <v>40</v>
      </c>
      <c r="U1471" s="13" t="s">
        <v>6444</v>
      </c>
      <c r="V1471" s="13" t="s">
        <v>42</v>
      </c>
      <c r="W1471" s="13" t="s">
        <v>43</v>
      </c>
      <c r="X1471" s="21" t="n">
        <v>82228535412</v>
      </c>
      <c r="Y1471" s="22" t="str">
        <f aca="false">O1471</f>
        <v>Produksi</v>
      </c>
      <c r="Z1471" s="13" t="str">
        <f aca="false">IFERROR(__xludf.dummyfunction("if(BJ1471="""","""",GOOGLETRANSLATE(BJ1471,""auto"",""en""))"),"Production")</f>
        <v>Production</v>
      </c>
      <c r="AA1471" s="23" t="str">
        <f aca="false">IF(C1471="","", CHOOSE(MONTH(C1471),"January","February","March","April","May","June","July","August","September","October","November","December")&amp;" "&amp;DAY(C1471)&amp;MID("thstndrdth",MIN(9,2*RIGHT(DAY(C1471))*(MOD(DAY(C1471)-11,100)&gt;2)+1),2)&amp;","&amp;TEXT(C1471," yyyy"))</f>
        <v>June 18th,2024</v>
      </c>
      <c r="AB1471" s="15" t="str">
        <f aca="true">IF(S1471="","",DATEDIF(S1471,TODAY(),"Y")&amp;" Tahun, "&amp;DATEDIF(S1471,TODAY(),"YM")&amp;" Bulan, "&amp;DATEDIF(S1471,TODAY(),"MD")&amp;" Hari")</f>
        <v>22 Tahun, 8 Bulan, 28 Hari</v>
      </c>
      <c r="AC1471" s="18" t="n">
        <v>45839</v>
      </c>
      <c r="AD1471" s="18" t="n">
        <v>46022</v>
      </c>
      <c r="AE1471" s="18" t="s">
        <v>44</v>
      </c>
    </row>
    <row r="1472" customFormat="false" ht="15" hidden="false" customHeight="true" outlineLevel="0" collapsed="false">
      <c r="A1472" s="12" t="n">
        <v>15889</v>
      </c>
      <c r="B1472" s="13" t="s">
        <v>6445</v>
      </c>
      <c r="C1472" s="14" t="n">
        <v>45461</v>
      </c>
      <c r="D1472" s="13" t="s">
        <v>885</v>
      </c>
      <c r="E1472" s="15" t="s">
        <v>47</v>
      </c>
      <c r="F1472" s="15" t="str">
        <f aca="false">IFERROR(__xludf.dummyfunction("XLOOKUP(AJ1472,IMPORTRANGE(""1XaInW9DU9nz21V0tYIfzFQ0He9kVQ_JF2mCXgZ3hqFA"",""REKAP ALL 2026 - Andika!G:G""),IMPORTRANGE(""1XaInW9DU9nz21V0tYIfzFQ0He9kVQ_JF2mCXgZ3hqFA"",""REKAP ALL 2026 - Andika!F:F""),"""",0)"),"24091261438")</f>
        <v>24091261438</v>
      </c>
      <c r="G1472" s="15" t="s">
        <v>6446</v>
      </c>
      <c r="H1472" s="13" t="s">
        <v>35</v>
      </c>
      <c r="I1472" s="13" t="str">
        <f aca="false">IF(C1472=J1472,"NEW KONTRAK","RE-KONTRAK")</f>
        <v>RE-KONTRAK</v>
      </c>
      <c r="J1472" s="16" t="n">
        <f aca="false" t="array" ref="J1472:J1472">IFERROR(INDEX(AC1472:AE1472,IF(COUNTA(AC1472:AE1472)=0,"",MAX((AC1472:AE1472&lt;&gt;"")*(COLUMN(AC1472:AE1472)-(COLUMN(AC1472)))))-1),"")</f>
        <v>45839</v>
      </c>
      <c r="K1472" s="16" t="n">
        <f aca="false" t="array" ref="K1472:K1472">IFERROR(INDEX(AC1472:AE1472,IF(COUNTA(AC1472:AE1472)=0,"",MAX((AC1472:AE1472&lt;&gt;"")*(COLUMN(AC1472:AE1472)-(COLUMN(AC1472)-1))))-1),"")</f>
        <v>46022</v>
      </c>
      <c r="L1472" s="17" t="str">
        <f aca="false" t="array" ref="L1472:L1472">IFERROR(INDEX(AC1472:AE1472,IF(COUNTA(AC1472:AE1472)=0,"",MAX((AC1472:AE1472&lt;&gt;"")*(COLUMN(AC1472:AE1472)-(COLUMN(AC1472)-2))))-1),"")</f>
        <v>ARCHIVED</v>
      </c>
      <c r="M1472" s="13" t="n">
        <f aca="true">K1472-TODAY()</f>
        <v>-302</v>
      </c>
      <c r="N1472" s="18" t="s">
        <v>728</v>
      </c>
      <c r="O1472" s="13" t="s">
        <v>58</v>
      </c>
      <c r="P1472" s="27" t="n">
        <v>5176101</v>
      </c>
      <c r="Q1472" s="20" t="s">
        <v>6447</v>
      </c>
      <c r="R1472" s="13" t="s">
        <v>52</v>
      </c>
      <c r="S1472" s="14" t="n">
        <v>35619</v>
      </c>
      <c r="T1472" s="13" t="s">
        <v>40</v>
      </c>
      <c r="U1472" s="13" t="s">
        <v>6448</v>
      </c>
      <c r="V1472" s="13" t="s">
        <v>42</v>
      </c>
      <c r="W1472" s="13" t="s">
        <v>54</v>
      </c>
      <c r="X1472" s="21" t="n">
        <v>81515701051</v>
      </c>
      <c r="Y1472" s="22" t="str">
        <f aca="false">O1472</f>
        <v>Produksi</v>
      </c>
      <c r="Z1472" s="13" t="str">
        <f aca="false">IFERROR(__xludf.dummyfunction("if(BJ1472="""","""",GOOGLETRANSLATE(BJ1472,""auto"",""en""))"),"Production")</f>
        <v>Production</v>
      </c>
      <c r="AA1472" s="23" t="str">
        <f aca="false">IF(C1472="","", CHOOSE(MONTH(C1472),"January","February","March","April","May","June","July","August","September","October","November","December")&amp;" "&amp;DAY(C1472)&amp;MID("thstndrdth",MIN(9,2*RIGHT(DAY(C1472))*(MOD(DAY(C1472)-11,100)&gt;2)+1),2)&amp;","&amp;TEXT(C1472," yyyy"))</f>
        <v>June 18th,2024</v>
      </c>
      <c r="AB1472" s="15" t="str">
        <f aca="true">IF(S1472="","",DATEDIF(S1472,TODAY(),"Y")&amp;" Tahun, "&amp;DATEDIF(S1472,TODAY(),"YM")&amp;" Bulan, "&amp;DATEDIF(S1472,TODAY(),"MD")&amp;" Hari")</f>
        <v>29 Tahun, 3 Bulan, 21 Hari</v>
      </c>
      <c r="AC1472" s="18" t="n">
        <v>45839</v>
      </c>
      <c r="AD1472" s="18" t="n">
        <v>46022</v>
      </c>
      <c r="AE1472" s="18" t="s">
        <v>44</v>
      </c>
    </row>
    <row r="1473" customFormat="false" ht="15" hidden="false" customHeight="true" outlineLevel="0" collapsed="false">
      <c r="A1473" s="12" t="n">
        <v>15890</v>
      </c>
      <c r="B1473" s="13" t="s">
        <v>6449</v>
      </c>
      <c r="C1473" s="14" t="n">
        <v>45461</v>
      </c>
      <c r="D1473" s="13" t="s">
        <v>885</v>
      </c>
      <c r="E1473" s="15" t="s">
        <v>47</v>
      </c>
      <c r="F1473" s="15" t="str">
        <f aca="false">IFERROR(__xludf.dummyfunction("XLOOKUP(AJ1473,IMPORTRANGE(""1XaInW9DU9nz21V0tYIfzFQ0He9kVQ_JF2mCXgZ3hqFA"",""REKAP ALL 2026 - Andika!G:G""),IMPORTRANGE(""1XaInW9DU9nz21V0tYIfzFQ0He9kVQ_JF2mCXgZ3hqFA"",""REKAP ALL 2026 - Andika!F:F""),"""",0)"),"24091261347")</f>
        <v>24091261347</v>
      </c>
      <c r="G1473" s="15" t="s">
        <v>6450</v>
      </c>
      <c r="H1473" s="13" t="s">
        <v>35</v>
      </c>
      <c r="I1473" s="13" t="str">
        <f aca="false">IF(C1473=J1473,"NEW KONTRAK","RE-KONTRAK")</f>
        <v>RE-KONTRAK</v>
      </c>
      <c r="J1473" s="16" t="n">
        <f aca="false" t="array" ref="J1473:J1473">IFERROR(INDEX(AC1473:AE1473,IF(COUNTA(AC1473:AE1473)=0,"",MAX((AC1473:AE1473&lt;&gt;"")*(COLUMN(AC1473:AE1473)-(COLUMN(AC1473)))))-1),"")</f>
        <v>45839</v>
      </c>
      <c r="K1473" s="16" t="n">
        <f aca="false" t="array" ref="K1473:K1473">IFERROR(INDEX(AC1473:AE1473,IF(COUNTA(AC1473:AE1473)=0,"",MAX((AC1473:AE1473&lt;&gt;"")*(COLUMN(AC1473:AE1473)-(COLUMN(AC1473)-1))))-1),"")</f>
        <v>46022</v>
      </c>
      <c r="L1473" s="17" t="str">
        <f aca="false" t="array" ref="L1473:L1473">IFERROR(INDEX(AC1473:AE1473,IF(COUNTA(AC1473:AE1473)=0,"",MAX((AC1473:AE1473&lt;&gt;"")*(COLUMN(AC1473:AE1473)-(COLUMN(AC1473)-2))))-1),"")</f>
        <v>ARCHIVED</v>
      </c>
      <c r="M1473" s="13" t="n">
        <f aca="true">K1473-TODAY()</f>
        <v>-302</v>
      </c>
      <c r="N1473" s="18" t="s">
        <v>728</v>
      </c>
      <c r="O1473" s="13" t="s">
        <v>58</v>
      </c>
      <c r="P1473" s="27" t="n">
        <v>5176101</v>
      </c>
      <c r="Q1473" s="20" t="s">
        <v>6451</v>
      </c>
      <c r="R1473" s="13" t="s">
        <v>6452</v>
      </c>
      <c r="S1473" s="14" t="n">
        <v>33959</v>
      </c>
      <c r="T1473" s="13" t="s">
        <v>40</v>
      </c>
      <c r="U1473" s="13" t="s">
        <v>6453</v>
      </c>
      <c r="V1473" s="13" t="s">
        <v>42</v>
      </c>
      <c r="W1473" s="13" t="s">
        <v>43</v>
      </c>
      <c r="X1473" s="21" t="n">
        <v>81555926154</v>
      </c>
      <c r="Y1473" s="22" t="str">
        <f aca="false">O1473</f>
        <v>Produksi</v>
      </c>
      <c r="Z1473" s="13" t="str">
        <f aca="false">IFERROR(__xludf.dummyfunction("if(BJ1473="""","""",GOOGLETRANSLATE(BJ1473,""auto"",""en""))"),"Production")</f>
        <v>Production</v>
      </c>
      <c r="AA1473" s="23" t="str">
        <f aca="false">IF(C1473="","", CHOOSE(MONTH(C1473),"January","February","March","April","May","June","July","August","September","October","November","December")&amp;" "&amp;DAY(C1473)&amp;MID("thstndrdth",MIN(9,2*RIGHT(DAY(C1473))*(MOD(DAY(C1473)-11,100)&gt;2)+1),2)&amp;","&amp;TEXT(C1473," yyyy"))</f>
        <v>June 18th,2024</v>
      </c>
      <c r="AB1473" s="15" t="str">
        <f aca="true">IF(S1473="","",DATEDIF(S1473,TODAY(),"Y")&amp;" Tahun, "&amp;DATEDIF(S1473,TODAY(),"YM")&amp;" Bulan, "&amp;DATEDIF(S1473,TODAY(),"MD")&amp;" Hari")</f>
        <v>33 Tahun, 10 Bulan, 8 Hari</v>
      </c>
      <c r="AC1473" s="18" t="n">
        <v>45839</v>
      </c>
      <c r="AD1473" s="18" t="n">
        <v>46022</v>
      </c>
      <c r="AE1473" s="18" t="s">
        <v>44</v>
      </c>
    </row>
    <row r="1474" customFormat="false" ht="15" hidden="false" customHeight="true" outlineLevel="0" collapsed="false">
      <c r="A1474" s="12" t="n">
        <v>15891</v>
      </c>
      <c r="B1474" s="13" t="s">
        <v>6454</v>
      </c>
      <c r="C1474" s="14" t="n">
        <v>45461</v>
      </c>
      <c r="D1474" s="13" t="s">
        <v>885</v>
      </c>
      <c r="E1474" s="15" t="s">
        <v>47</v>
      </c>
      <c r="F1474" s="15" t="str">
        <f aca="false">IFERROR(__xludf.dummyfunction("XLOOKUP(AJ1474,IMPORTRANGE(""1XaInW9DU9nz21V0tYIfzFQ0He9kVQ_JF2mCXgZ3hqFA"",""REKAP ALL 2026 - Andika!G:G""),IMPORTRANGE(""1XaInW9DU9nz21V0tYIfzFQ0He9kVQ_JF2mCXgZ3hqFA"",""REKAP ALL 2026 - Andika!F:F""),"""",0)"),"24091261354")</f>
        <v>24091261354</v>
      </c>
      <c r="G1474" s="15" t="s">
        <v>6455</v>
      </c>
      <c r="H1474" s="13" t="s">
        <v>35</v>
      </c>
      <c r="I1474" s="13" t="str">
        <f aca="false">IF(C1474=J1474,"NEW KONTRAK","RE-KONTRAK")</f>
        <v>RE-KONTRAK</v>
      </c>
      <c r="J1474" s="16" t="n">
        <f aca="false" t="array" ref="J1474:J1474">IFERROR(INDEX(AC1474:AE1474,IF(COUNTA(AC1474:AE1474)=0,"",MAX((AC1474:AE1474&lt;&gt;"")*(COLUMN(AC1474:AE1474)-(COLUMN(AC1474)))))-1),"")</f>
        <v>45839</v>
      </c>
      <c r="K1474" s="16" t="n">
        <f aca="false" t="array" ref="K1474:K1474">IFERROR(INDEX(AC1474:AE1474,IF(COUNTA(AC1474:AE1474)=0,"",MAX((AC1474:AE1474&lt;&gt;"")*(COLUMN(AC1474:AE1474)-(COLUMN(AC1474)-1))))-1),"")</f>
        <v>46022</v>
      </c>
      <c r="L1474" s="17" t="str">
        <f aca="false" t="array" ref="L1474:L1474">IFERROR(INDEX(AC1474:AE1474,IF(COUNTA(AC1474:AE1474)=0,"",MAX((AC1474:AE1474&lt;&gt;"")*(COLUMN(AC1474:AE1474)-(COLUMN(AC1474)-2))))-1),"")</f>
        <v>ARCHIVED</v>
      </c>
      <c r="M1474" s="13" t="n">
        <f aca="true">K1474-TODAY()</f>
        <v>-302</v>
      </c>
      <c r="N1474" s="18" t="s">
        <v>728</v>
      </c>
      <c r="O1474" s="13" t="s">
        <v>58</v>
      </c>
      <c r="P1474" s="27" t="n">
        <v>5176101</v>
      </c>
      <c r="Q1474" s="20" t="s">
        <v>6456</v>
      </c>
      <c r="R1474" s="13" t="s">
        <v>6457</v>
      </c>
      <c r="S1474" s="14" t="n">
        <v>35908</v>
      </c>
      <c r="T1474" s="13" t="s">
        <v>40</v>
      </c>
      <c r="U1474" s="13" t="s">
        <v>6458</v>
      </c>
      <c r="V1474" s="13" t="s">
        <v>42</v>
      </c>
      <c r="W1474" s="13" t="s">
        <v>43</v>
      </c>
      <c r="X1474" s="21" t="n">
        <v>85808776881</v>
      </c>
      <c r="Y1474" s="22" t="str">
        <f aca="false">O1474</f>
        <v>Produksi</v>
      </c>
      <c r="Z1474" s="13" t="str">
        <f aca="false">IFERROR(__xludf.dummyfunction("if(BJ1474="""","""",GOOGLETRANSLATE(BJ1474,""auto"",""en""))"),"Production")</f>
        <v>Production</v>
      </c>
      <c r="AA1474" s="23" t="str">
        <f aca="false">IF(C1474="","", CHOOSE(MONTH(C1474),"January","February","March","April","May","June","July","August","September","October","November","December")&amp;" "&amp;DAY(C1474)&amp;MID("thstndrdth",MIN(9,2*RIGHT(DAY(C1474))*(MOD(DAY(C1474)-11,100)&gt;2)+1),2)&amp;","&amp;TEXT(C1474," yyyy"))</f>
        <v>June 18th,2024</v>
      </c>
      <c r="AB1474" s="15" t="str">
        <f aca="true">IF(S1474="","",DATEDIF(S1474,TODAY(),"Y")&amp;" Tahun, "&amp;DATEDIF(S1474,TODAY(),"YM")&amp;" Bulan, "&amp;DATEDIF(S1474,TODAY(),"MD")&amp;" Hari")</f>
        <v>28 Tahun, 6 Bulan, 6 Hari</v>
      </c>
      <c r="AC1474" s="18" t="n">
        <v>45839</v>
      </c>
      <c r="AD1474" s="18" t="n">
        <v>46022</v>
      </c>
      <c r="AE1474" s="18" t="s">
        <v>44</v>
      </c>
    </row>
    <row r="1475" customFormat="false" ht="15" hidden="false" customHeight="true" outlineLevel="0" collapsed="false">
      <c r="A1475" s="12" t="n">
        <v>15892</v>
      </c>
      <c r="B1475" s="13" t="s">
        <v>6459</v>
      </c>
      <c r="C1475" s="14" t="n">
        <v>45461</v>
      </c>
      <c r="D1475" s="13" t="s">
        <v>885</v>
      </c>
      <c r="E1475" s="15" t="s">
        <v>47</v>
      </c>
      <c r="F1475" s="15" t="str">
        <f aca="false">IFERROR(__xludf.dummyfunction("XLOOKUP(AJ1475,IMPORTRANGE(""1XaInW9DU9nz21V0tYIfzFQ0He9kVQ_JF2mCXgZ3hqFA"",""REKAP ALL 2026 - Andika!G:G""),IMPORTRANGE(""1XaInW9DU9nz21V0tYIfzFQ0He9kVQ_JF2mCXgZ3hqFA"",""REKAP ALL 2026 - Andika!F:F""),"""",0)"),"24091261313")</f>
        <v>24091261313</v>
      </c>
      <c r="G1475" s="15" t="s">
        <v>6460</v>
      </c>
      <c r="H1475" s="13" t="s">
        <v>35</v>
      </c>
      <c r="I1475" s="13" t="str">
        <f aca="false">IF(C1475=J1475,"NEW KONTRAK","RE-KONTRAK")</f>
        <v>RE-KONTRAK</v>
      </c>
      <c r="J1475" s="16" t="n">
        <f aca="false" t="array" ref="J1475:J1475">IFERROR(INDEX(AC1475:AE1475,IF(COUNTA(AC1475:AE1475)=0,"",MAX((AC1475:AE1475&lt;&gt;"")*(COLUMN(AC1475:AE1475)-(COLUMN(AC1475)))))-1),"")</f>
        <v>45839</v>
      </c>
      <c r="K1475" s="16" t="n">
        <f aca="false" t="array" ref="K1475:K1475">IFERROR(INDEX(AC1475:AE1475,IF(COUNTA(AC1475:AE1475)=0,"",MAX((AC1475:AE1475&lt;&gt;"")*(COLUMN(AC1475:AE1475)-(COLUMN(AC1475)-1))))-1),"")</f>
        <v>46022</v>
      </c>
      <c r="L1475" s="17" t="str">
        <f aca="false" t="array" ref="L1475:L1475">IFERROR(INDEX(AC1475:AE1475,IF(COUNTA(AC1475:AE1475)=0,"",MAX((AC1475:AE1475&lt;&gt;"")*(COLUMN(AC1475:AE1475)-(COLUMN(AC1475)-2))))-1),"")</f>
        <v>ARCHIVED</v>
      </c>
      <c r="M1475" s="13" t="n">
        <f aca="true">K1475-TODAY()</f>
        <v>-302</v>
      </c>
      <c r="N1475" s="18" t="s">
        <v>728</v>
      </c>
      <c r="O1475" s="13" t="s">
        <v>58</v>
      </c>
      <c r="P1475" s="27" t="n">
        <v>5176101</v>
      </c>
      <c r="Q1475" s="20" t="s">
        <v>6461</v>
      </c>
      <c r="R1475" s="13" t="s">
        <v>52</v>
      </c>
      <c r="S1475" s="14" t="n">
        <v>37733</v>
      </c>
      <c r="T1475" s="13" t="s">
        <v>40</v>
      </c>
      <c r="U1475" s="13" t="s">
        <v>6462</v>
      </c>
      <c r="V1475" s="13" t="s">
        <v>42</v>
      </c>
      <c r="W1475" s="13" t="s">
        <v>43</v>
      </c>
      <c r="X1475" s="21" t="n">
        <v>89639660851</v>
      </c>
      <c r="Y1475" s="22" t="str">
        <f aca="false">O1475</f>
        <v>Produksi</v>
      </c>
      <c r="Z1475" s="13" t="str">
        <f aca="false">IFERROR(__xludf.dummyfunction("if(BJ1475="""","""",GOOGLETRANSLATE(BJ1475,""auto"",""en""))"),"Production")</f>
        <v>Production</v>
      </c>
      <c r="AA1475" s="23" t="str">
        <f aca="false">IF(C1475="","", CHOOSE(MONTH(C1475),"January","February","March","April","May","June","July","August","September","October","November","December")&amp;" "&amp;DAY(C1475)&amp;MID("thstndrdth",MIN(9,2*RIGHT(DAY(C1475))*(MOD(DAY(C1475)-11,100)&gt;2)+1),2)&amp;","&amp;TEXT(C1475," yyyy"))</f>
        <v>June 18th,2024</v>
      </c>
      <c r="AB1475" s="15" t="str">
        <f aca="true">IF(S1475="","",DATEDIF(S1475,TODAY(),"Y")&amp;" Tahun, "&amp;DATEDIF(S1475,TODAY(),"YM")&amp;" Bulan, "&amp;DATEDIF(S1475,TODAY(),"MD")&amp;" Hari")</f>
        <v>23 Tahun, 6 Bulan, 7 Hari</v>
      </c>
      <c r="AC1475" s="18" t="n">
        <v>45839</v>
      </c>
      <c r="AD1475" s="18" t="n">
        <v>46022</v>
      </c>
      <c r="AE1475" s="18" t="s">
        <v>44</v>
      </c>
    </row>
    <row r="1476" customFormat="false" ht="15" hidden="false" customHeight="true" outlineLevel="0" collapsed="false">
      <c r="A1476" s="12" t="n">
        <v>15942</v>
      </c>
      <c r="B1476" s="13" t="s">
        <v>6463</v>
      </c>
      <c r="C1476" s="14" t="n">
        <v>45462</v>
      </c>
      <c r="D1476" s="13" t="s">
        <v>3022</v>
      </c>
      <c r="E1476" s="15" t="s">
        <v>789</v>
      </c>
      <c r="F1476" s="24" t="s">
        <v>6464</v>
      </c>
      <c r="G1476" s="13" t="s">
        <v>6465</v>
      </c>
      <c r="H1476" s="13" t="s">
        <v>2967</v>
      </c>
      <c r="I1476" s="13" t="str">
        <f aca="false">IF(C1476=J1476,"NEW KONTRAK","RE-KONTRAK")</f>
        <v>RE-KONTRAK</v>
      </c>
      <c r="J1476" s="16" t="n">
        <f aca="false" t="array" ref="J1476:J1476">IFERROR(INDEX(AC1476:AE1476,IF(COUNTA(AC1476:AE1476)=0,"",MAX((AC1476:AE1476&lt;&gt;"")*(COLUMN(AC1476:AE1476)-(COLUMN(AC1476)))))-1),"")</f>
        <v>45570</v>
      </c>
      <c r="K1476" s="16" t="n">
        <f aca="false" t="array" ref="K1476:K1476">IFERROR(INDEX(AC1476:AE1476,IF(COUNTA(AC1476:AE1476)=0,"",MAX((AC1476:AE1476&lt;&gt;"")*(COLUMN(AC1476:AE1476)-(COLUMN(AC1476)-1))))-1),"")</f>
        <v>45934</v>
      </c>
      <c r="L1476" s="17" t="str">
        <f aca="false" t="array" ref="L1476:L1476">IFERROR(INDEX(AC1476:AE1476,IF(COUNTA(AC1476:AE1476)=0,"",MAX((AC1476:AE1476&lt;&gt;"")*(COLUMN(AC1476:AE1476)-(COLUMN(AC1476)-2))))-1),"")</f>
        <v>ARCHIVED</v>
      </c>
      <c r="M1476" s="13" t="n">
        <f aca="true">K1476-TODAY()</f>
        <v>-390</v>
      </c>
      <c r="N1476" s="18" t="s">
        <v>36</v>
      </c>
      <c r="O1476" s="13" t="s">
        <v>3025</v>
      </c>
      <c r="P1476" s="19" t="n">
        <v>103500</v>
      </c>
      <c r="Q1476" s="20" t="s">
        <v>6466</v>
      </c>
      <c r="R1476" s="13" t="s">
        <v>65</v>
      </c>
      <c r="S1476" s="14" t="n">
        <v>38439</v>
      </c>
      <c r="T1476" s="13" t="s">
        <v>40</v>
      </c>
      <c r="U1476" s="13" t="s">
        <v>6467</v>
      </c>
      <c r="V1476" s="13" t="s">
        <v>42</v>
      </c>
      <c r="W1476" s="13" t="s">
        <v>43</v>
      </c>
      <c r="X1476" s="21" t="n">
        <v>85704501195</v>
      </c>
      <c r="Y1476" s="22" t="str">
        <f aca="false">O1476</f>
        <v>Gudang ( Warehouse )</v>
      </c>
      <c r="Z1476" s="13" t="str">
        <f aca="false">IFERROR(__xludf.dummyfunction("if(BJ1476="""","""",GOOGLETRANSLATE(BJ1476,""auto"",""en""))"),"Warehouse")</f>
        <v>Warehouse</v>
      </c>
      <c r="AA1476" s="23" t="str">
        <f aca="false">IF(C1476="","", CHOOSE(MONTH(C1476),"January","February","March","April","May","June","July","August","September","October","November","December")&amp;" "&amp;DAY(C1476)&amp;MID("thstndrdth",MIN(9,2*RIGHT(DAY(C1476))*(MOD(DAY(C1476)-11,100)&gt;2)+1),2)&amp;","&amp;TEXT(C1476," yyyy"))</f>
        <v>June 19th,2024</v>
      </c>
      <c r="AB1476" s="15" t="str">
        <f aca="true">IF(S1476="","",DATEDIF(S1476,TODAY(),"Y")&amp;" Tahun, "&amp;DATEDIF(S1476,TODAY(),"YM")&amp;" Bulan, "&amp;DATEDIF(S1476,TODAY(),"MD")&amp;" Hari")</f>
        <v>21 Tahun, 7 Bulan, 1 Hari</v>
      </c>
      <c r="AC1476" s="18" t="n">
        <v>45570</v>
      </c>
      <c r="AD1476" s="18" t="n">
        <v>45934</v>
      </c>
      <c r="AE1476" s="18" t="s">
        <v>44</v>
      </c>
    </row>
    <row r="1477" customFormat="false" ht="15" hidden="false" customHeight="true" outlineLevel="0" collapsed="false">
      <c r="A1477" s="12" t="n">
        <v>15945</v>
      </c>
      <c r="B1477" s="13" t="s">
        <v>6468</v>
      </c>
      <c r="C1477" s="14" t="n">
        <v>45462</v>
      </c>
      <c r="D1477" s="13" t="s">
        <v>774</v>
      </c>
      <c r="E1477" s="15" t="s">
        <v>47</v>
      </c>
      <c r="F1477" s="15" t="str">
        <f aca="false">IFERROR(__xludf.dummyfunction("XLOOKUP(AJ1477,IMPORTRANGE(""1XaInW9DU9nz21V0tYIfzFQ0He9kVQ_JF2mCXgZ3hqFA"",""REKAP ALL 2026 - Andika!G:G""),IMPORTRANGE(""1XaInW9DU9nz21V0tYIfzFQ0He9kVQ_JF2mCXgZ3hqFA"",""REKAP ALL 2026 - Andika!F:F""),"""",0)"),"24091286153")</f>
        <v>24091286153</v>
      </c>
      <c r="G1477" s="13" t="s">
        <v>6469</v>
      </c>
      <c r="H1477" s="13" t="s">
        <v>2967</v>
      </c>
      <c r="I1477" s="13" t="str">
        <f aca="false">IF(C1477=J1477,"NEW KONTRAK","RE-KONTRAK")</f>
        <v>RE-KONTRAK</v>
      </c>
      <c r="J1477" s="16" t="n">
        <f aca="false" t="array" ref="J1477:J1477">IFERROR(INDEX(AC1477:AE1477,IF(COUNTA(AC1477:AE1477)=0,"",MAX((AC1477:AE1477&lt;&gt;"")*(COLUMN(AC1477:AE1477)-(COLUMN(AC1477)))))-1),"")</f>
        <v>45570</v>
      </c>
      <c r="K1477" s="16" t="n">
        <f aca="false" t="array" ref="K1477:K1477">IFERROR(INDEX(AC1477:AE1477,IF(COUNTA(AC1477:AE1477)=0,"",MAX((AC1477:AE1477&lt;&gt;"")*(COLUMN(AC1477:AE1477)-(COLUMN(AC1477)-1))))-1),"")</f>
        <v>45934</v>
      </c>
      <c r="L1477" s="17" t="str">
        <f aca="false" t="array" ref="L1477:L1477">IFERROR(INDEX(AC1477:AE1477,IF(COUNTA(AC1477:AE1477)=0,"",MAX((AC1477:AE1477&lt;&gt;"")*(COLUMN(AC1477:AE1477)-(COLUMN(AC1477)-2))))-1),"")</f>
        <v>ARCHIVED</v>
      </c>
      <c r="M1477" s="13" t="n">
        <f aca="true">K1477-TODAY()</f>
        <v>-390</v>
      </c>
      <c r="N1477" s="18" t="s">
        <v>36</v>
      </c>
      <c r="O1477" s="13" t="s">
        <v>50</v>
      </c>
      <c r="P1477" s="19" t="n">
        <v>4500000</v>
      </c>
      <c r="Q1477" s="20" t="s">
        <v>6470</v>
      </c>
      <c r="R1477" s="13" t="s">
        <v>52</v>
      </c>
      <c r="S1477" s="14" t="n">
        <v>30525</v>
      </c>
      <c r="T1477" s="13" t="s">
        <v>40</v>
      </c>
      <c r="U1477" s="13" t="s">
        <v>6471</v>
      </c>
      <c r="V1477" s="13" t="s">
        <v>42</v>
      </c>
      <c r="W1477" s="13" t="s">
        <v>54</v>
      </c>
      <c r="X1477" s="21" t="n">
        <v>85755271894</v>
      </c>
      <c r="Y1477" s="22" t="str">
        <f aca="false">O1477</f>
        <v>Driver</v>
      </c>
      <c r="Z1477" s="13" t="str">
        <f aca="false">IFERROR(__xludf.dummyfunction("if(BJ1477="""","""",GOOGLETRANSLATE(BJ1477,""auto"",""en""))"),"Driver")</f>
        <v>Driver</v>
      </c>
      <c r="AA1477" s="23" t="str">
        <f aca="false">IF(C1477="","", CHOOSE(MONTH(C1477),"January","February","March","April","May","June","July","August","September","October","November","December")&amp;" "&amp;DAY(C1477)&amp;MID("thstndrdth",MIN(9,2*RIGHT(DAY(C1477))*(MOD(DAY(C1477)-11,100)&gt;2)+1),2)&amp;","&amp;TEXT(C1477," yyyy"))</f>
        <v>June 19th,2024</v>
      </c>
      <c r="AB1477" s="15" t="str">
        <f aca="true">IF(S1477="","",DATEDIF(S1477,TODAY(),"Y")&amp;" Tahun, "&amp;DATEDIF(S1477,TODAY(),"YM")&amp;" Bulan, "&amp;DATEDIF(S1477,TODAY(),"MD")&amp;" Hari")</f>
        <v>43 Tahun, 3 Bulan, 1 Hari</v>
      </c>
      <c r="AC1477" s="18" t="n">
        <v>45570</v>
      </c>
      <c r="AD1477" s="18" t="n">
        <v>45934</v>
      </c>
      <c r="AE1477" s="18" t="s">
        <v>44</v>
      </c>
    </row>
    <row r="1478" customFormat="false" ht="15" hidden="false" customHeight="true" outlineLevel="0" collapsed="false">
      <c r="A1478" s="12" t="n">
        <v>15948</v>
      </c>
      <c r="B1478" s="13" t="s">
        <v>6472</v>
      </c>
      <c r="C1478" s="14" t="n">
        <v>45458</v>
      </c>
      <c r="D1478" s="13" t="s">
        <v>6473</v>
      </c>
      <c r="E1478" s="15" t="s">
        <v>102</v>
      </c>
      <c r="F1478" s="15" t="str">
        <f aca="false">IFERROR(__xludf.dummyfunction("XLOOKUP(AJ1478,IMPORTRANGE(""1XaInW9DU9nz21V0tYIfzFQ0He9kVQ_JF2mCXgZ3hqFA"",""REKAP ALL 2026 - Andika!G:G""),IMPORTRANGE(""1XaInW9DU9nz21V0tYIfzFQ0He9kVQ_JF2mCXgZ3hqFA"",""REKAP ALL 2026 - Andika!F:F""),"""",0)"),"24091278614")</f>
        <v>24091278614</v>
      </c>
      <c r="G1478" s="15" t="s">
        <v>6474</v>
      </c>
      <c r="H1478" s="13" t="s">
        <v>35</v>
      </c>
      <c r="I1478" s="13" t="str">
        <f aca="false">IF(C1478=J1478,"NEW KONTRAK","RE-KONTRAK")</f>
        <v>RE-KONTRAK</v>
      </c>
      <c r="J1478" s="16" t="n">
        <f aca="false" t="array" ref="J1478:J1478">IFERROR(INDEX(AC1478:AE1478,IF(COUNTA(AC1478:AE1478)=0,"",MAX((AC1478:AE1478&lt;&gt;"")*(COLUMN(AC1478:AE1478)-(COLUMN(AC1478)))))-1),"")</f>
        <v>45641</v>
      </c>
      <c r="K1478" s="16" t="n">
        <f aca="false" t="array" ref="K1478:K1478">IFERROR(INDEX(AC1478:AE1478,IF(COUNTA(AC1478:AE1478)=0,"",MAX((AC1478:AE1478&lt;&gt;"")*(COLUMN(AC1478:AE1478)-(COLUMN(AC1478)-1))))-1),"")</f>
        <v>45822</v>
      </c>
      <c r="L1478" s="17" t="str">
        <f aca="false" t="array" ref="L1478:L1478">IFERROR(INDEX(AC1478:AE1478,IF(COUNTA(AC1478:AE1478)=0,"",MAX((AC1478:AE1478&lt;&gt;"")*(COLUMN(AC1478:AE1478)-(COLUMN(AC1478)-2))))-1),"")</f>
        <v>ARCHIVED</v>
      </c>
      <c r="M1478" s="13" t="n">
        <f aca="true">K1478-TODAY()</f>
        <v>-502</v>
      </c>
      <c r="N1478" s="18" t="s">
        <v>728</v>
      </c>
      <c r="O1478" s="13" t="s">
        <v>6475</v>
      </c>
      <c r="P1478" s="73" t="n">
        <v>150000</v>
      </c>
      <c r="Q1478" s="20" t="s">
        <v>6476</v>
      </c>
      <c r="R1478" s="13" t="s">
        <v>52</v>
      </c>
      <c r="S1478" s="14" t="n">
        <v>36181</v>
      </c>
      <c r="T1478" s="13" t="s">
        <v>40</v>
      </c>
      <c r="U1478" s="13" t="s">
        <v>6477</v>
      </c>
      <c r="V1478" s="13" t="s">
        <v>42</v>
      </c>
      <c r="W1478" s="13" t="s">
        <v>43</v>
      </c>
      <c r="X1478" s="21" t="n">
        <v>895329192480</v>
      </c>
      <c r="Y1478" s="22" t="str">
        <f aca="false">O1478</f>
        <v>Helper Bongkar Muat</v>
      </c>
      <c r="Z1478" s="13" t="str">
        <f aca="false">IFERROR(__xludf.dummyfunction("if(BJ1478="""","""",GOOGLETRANSLATE(BJ1478,""auto"",""en""))"),"Unloading Helper")</f>
        <v>Unloading Helper</v>
      </c>
      <c r="AA1478" s="23" t="str">
        <f aca="false">IF(C1478="","", CHOOSE(MONTH(C1478),"January","February","March","April","May","June","July","August","September","October","November","December")&amp;" "&amp;DAY(C1478)&amp;MID("thstndrdth",MIN(9,2*RIGHT(DAY(C1478))*(MOD(DAY(C1478)-11,100)&gt;2)+1),2)&amp;","&amp;TEXT(C1478," yyyy"))</f>
        <v>June 15th,2024</v>
      </c>
      <c r="AB1478" s="15" t="str">
        <f aca="true">IF(S1478="","",DATEDIF(S1478,TODAY(),"Y")&amp;" Tahun, "&amp;DATEDIF(S1478,TODAY(),"YM")&amp;" Bulan, "&amp;DATEDIF(S1478,TODAY(),"MD")&amp;" Hari")</f>
        <v>27 Tahun, 9 Bulan, 8 Hari</v>
      </c>
      <c r="AC1478" s="18" t="n">
        <v>45641</v>
      </c>
      <c r="AD1478" s="18" t="n">
        <v>45822</v>
      </c>
      <c r="AE1478" s="18" t="s">
        <v>44</v>
      </c>
    </row>
    <row r="1479" customFormat="false" ht="15" hidden="false" customHeight="true" outlineLevel="0" collapsed="false">
      <c r="A1479" s="12" t="n">
        <v>15951</v>
      </c>
      <c r="B1479" s="13" t="s">
        <v>6478</v>
      </c>
      <c r="C1479" s="14" t="n">
        <v>45463</v>
      </c>
      <c r="D1479" s="13" t="s">
        <v>393</v>
      </c>
      <c r="E1479" s="15" t="s">
        <v>47</v>
      </c>
      <c r="F1479" s="15" t="str">
        <f aca="false">IFERROR(__xludf.dummyfunction("XLOOKUP(AJ1479,IMPORTRANGE(""1XaInW9DU9nz21V0tYIfzFQ0He9kVQ_JF2mCXgZ3hqFA"",""REKAP ALL 2026 - Andika!G:G""),IMPORTRANGE(""1XaInW9DU9nz21V0tYIfzFQ0He9kVQ_JF2mCXgZ3hqFA"",""REKAP ALL 2026 - Andika!F:F""),"""",0)"),"24091286302")</f>
        <v>24091286302</v>
      </c>
      <c r="G1479" s="15" t="s">
        <v>6479</v>
      </c>
      <c r="H1479" s="13" t="s">
        <v>35</v>
      </c>
      <c r="I1479" s="13" t="str">
        <f aca="false">IF(C1479=J1479,"NEW KONTRAK","RE-KONTRAK")</f>
        <v>NEW KONTRAK</v>
      </c>
      <c r="J1479" s="16" t="n">
        <f aca="false" t="array" ref="J1479:J1479">IFERROR(INDEX(AC1479:AE1479,IF(COUNTA(AC1479:AE1479)=0,"",MAX((AC1479:AE1479&lt;&gt;"")*(COLUMN(AC1479:AE1479)-(COLUMN(AC1479)))))-1),"")</f>
        <v>45463</v>
      </c>
      <c r="K1479" s="16" t="n">
        <f aca="false" t="array" ref="K1479:K1479">IFERROR(INDEX(AC1479:AE1479,IF(COUNTA(AC1479:AE1479)=0,"",MAX((AC1479:AE1479&lt;&gt;"")*(COLUMN(AC1479:AE1479)-(COLUMN(AC1479)-1))))-1),"")</f>
        <v>46181</v>
      </c>
      <c r="L1479" s="17" t="str">
        <f aca="false" t="array" ref="L1479:L1479">IFERROR(INDEX(AC1479:AE1479,IF(COUNTA(AC1479:AE1479)=0,"",MAX((AC1479:AE1479&lt;&gt;"")*(COLUMN(AC1479:AE1479)-(COLUMN(AC1479)-2))))-1),"")</f>
        <v>KEMBALI</v>
      </c>
      <c r="M1479" s="13" t="n">
        <f aca="true">K1479-TODAY()</f>
        <v>-143</v>
      </c>
      <c r="N1479" s="18" t="s">
        <v>105</v>
      </c>
      <c r="O1479" s="13" t="s">
        <v>58</v>
      </c>
      <c r="P1479" s="19" t="n">
        <v>5191541</v>
      </c>
      <c r="Q1479" s="20" t="s">
        <v>6480</v>
      </c>
      <c r="R1479" s="13" t="s">
        <v>39</v>
      </c>
      <c r="S1479" s="14" t="n">
        <v>34566</v>
      </c>
      <c r="T1479" s="13" t="s">
        <v>40</v>
      </c>
      <c r="U1479" s="13" t="s">
        <v>6481</v>
      </c>
      <c r="V1479" s="13" t="s">
        <v>42</v>
      </c>
      <c r="W1479" s="13" t="s">
        <v>54</v>
      </c>
      <c r="X1479" s="21" t="n">
        <v>82143024124</v>
      </c>
      <c r="Y1479" s="22" t="str">
        <f aca="false">O1479</f>
        <v>Produksi</v>
      </c>
      <c r="Z1479" s="13" t="str">
        <f aca="false">IFERROR(__xludf.dummyfunction("if(BJ1479="""","""",GOOGLETRANSLATE(BJ1479,""auto"",""en""))"),"Production")</f>
        <v>Production</v>
      </c>
      <c r="AA1479" s="23" t="str">
        <f aca="false">IF(C1479="","", CHOOSE(MONTH(C1479),"January","February","March","April","May","June","July","August","September","October","November","December")&amp;" "&amp;DAY(C1479)&amp;MID("thstndrdth",MIN(9,2*RIGHT(DAY(C1479))*(MOD(DAY(C1479)-11,100)&gt;2)+1),2)&amp;","&amp;TEXT(C1479," yyyy"))</f>
        <v>June 20th,2024</v>
      </c>
      <c r="AB1479" s="15" t="str">
        <f aca="true">IF(S1479="","",DATEDIF(S1479,TODAY(),"Y")&amp;" Tahun, "&amp;DATEDIF(S1479,TODAY(),"YM")&amp;" Bulan, "&amp;DATEDIF(S1479,TODAY(),"MD")&amp;" Hari")</f>
        <v>32 Tahun, 2 Bulan, 9 Hari</v>
      </c>
      <c r="AC1479" s="18" t="n">
        <v>45463</v>
      </c>
      <c r="AD1479" s="18" t="n">
        <v>46181</v>
      </c>
      <c r="AE1479" s="13" t="s">
        <v>397</v>
      </c>
    </row>
    <row r="1480" customFormat="false" ht="15" hidden="false" customHeight="true" outlineLevel="0" collapsed="false">
      <c r="A1480" s="12" t="n">
        <v>15954</v>
      </c>
      <c r="B1480" s="13" t="s">
        <v>6482</v>
      </c>
      <c r="C1480" s="14" t="n">
        <v>45463</v>
      </c>
      <c r="D1480" s="13" t="s">
        <v>393</v>
      </c>
      <c r="E1480" s="15" t="s">
        <v>47</v>
      </c>
      <c r="F1480" s="15" t="str">
        <f aca="false">IFERROR(__xludf.dummyfunction("XLOOKUP(AJ1480,IMPORTRANGE(""1XaInW9DU9nz21V0tYIfzFQ0He9kVQ_JF2mCXgZ3hqFA"",""REKAP ALL 2026 - Andika!G:G""),IMPORTRANGE(""1XaInW9DU9nz21V0tYIfzFQ0He9kVQ_JF2mCXgZ3hqFA"",""REKAP ALL 2026 - Andika!F:F""),"""",0)"),"24091286310")</f>
        <v>24091286310</v>
      </c>
      <c r="G1480" s="15" t="s">
        <v>6483</v>
      </c>
      <c r="H1480" s="13" t="s">
        <v>35</v>
      </c>
      <c r="I1480" s="13" t="str">
        <f aca="false">IF(C1480=J1480,"NEW KONTRAK","RE-KONTRAK")</f>
        <v>NEW KONTRAK</v>
      </c>
      <c r="J1480" s="16" t="n">
        <f aca="false" t="array" ref="J1480:J1480">IFERROR(INDEX(AC1480:AE1480,IF(COUNTA(AC1480:AE1480)=0,"",MAX((AC1480:AE1480&lt;&gt;"")*(COLUMN(AC1480:AE1480)-(COLUMN(AC1480)))))-1),"")</f>
        <v>45463</v>
      </c>
      <c r="K1480" s="16" t="n">
        <f aca="false" t="array" ref="K1480:K1480">IFERROR(INDEX(AC1480:AE1480,IF(COUNTA(AC1480:AE1480)=0,"",MAX((AC1480:AE1480&lt;&gt;"")*(COLUMN(AC1480:AE1480)-(COLUMN(AC1480)-1))))-1),"")</f>
        <v>46181</v>
      </c>
      <c r="L1480" s="17" t="str">
        <f aca="false" t="array" ref="L1480:L1480">IFERROR(INDEX(AC1480:AE1480,IF(COUNTA(AC1480:AE1480)=0,"",MAX((AC1480:AE1480&lt;&gt;"")*(COLUMN(AC1480:AE1480)-(COLUMN(AC1480)-2))))-1),"")</f>
        <v>KEMBALI</v>
      </c>
      <c r="M1480" s="13" t="n">
        <f aca="true">K1480-TODAY()</f>
        <v>-143</v>
      </c>
      <c r="N1480" s="18" t="s">
        <v>105</v>
      </c>
      <c r="O1480" s="13" t="s">
        <v>58</v>
      </c>
      <c r="P1480" s="19" t="n">
        <v>5191541</v>
      </c>
      <c r="Q1480" s="20" t="s">
        <v>6484</v>
      </c>
      <c r="R1480" s="13" t="s">
        <v>39</v>
      </c>
      <c r="S1480" s="14" t="n">
        <v>26299</v>
      </c>
      <c r="T1480" s="13" t="s">
        <v>40</v>
      </c>
      <c r="U1480" s="13" t="s">
        <v>6485</v>
      </c>
      <c r="V1480" s="13" t="s">
        <v>42</v>
      </c>
      <c r="W1480" s="13" t="s">
        <v>54</v>
      </c>
      <c r="X1480" s="21" t="n">
        <v>82231238884</v>
      </c>
      <c r="Y1480" s="22" t="str">
        <f aca="false">O1480</f>
        <v>Produksi</v>
      </c>
      <c r="Z1480" s="13" t="str">
        <f aca="false">IFERROR(__xludf.dummyfunction("if(BJ1480="""","""",GOOGLETRANSLATE(BJ1480,""auto"",""en""))"),"Production")</f>
        <v>Production</v>
      </c>
      <c r="AA1480" s="23" t="str">
        <f aca="false">IF(C1480="","", CHOOSE(MONTH(C1480),"January","February","March","April","May","June","July","August","September","October","November","December")&amp;" "&amp;DAY(C1480)&amp;MID("thstndrdth",MIN(9,2*RIGHT(DAY(C1480))*(MOD(DAY(C1480)-11,100)&gt;2)+1),2)&amp;","&amp;TEXT(C1480," yyyy"))</f>
        <v>June 20th,2024</v>
      </c>
      <c r="AB1480" s="15" t="str">
        <f aca="true">IF(S1480="","",DATEDIF(S1480,TODAY(),"Y")&amp;" Tahun, "&amp;DATEDIF(S1480,TODAY(),"YM")&amp;" Bulan, "&amp;DATEDIF(S1480,TODAY(),"MD")&amp;" Hari")</f>
        <v>54 Tahun, 9 Bulan, 28 Hari</v>
      </c>
      <c r="AC1480" s="18" t="n">
        <v>45463</v>
      </c>
      <c r="AD1480" s="18" t="n">
        <v>46181</v>
      </c>
      <c r="AE1480" s="13" t="s">
        <v>397</v>
      </c>
    </row>
    <row r="1481" customFormat="false" ht="15" hidden="false" customHeight="true" outlineLevel="0" collapsed="false">
      <c r="A1481" s="12" t="n">
        <v>16064</v>
      </c>
      <c r="B1481" s="13" t="s">
        <v>6486</v>
      </c>
      <c r="C1481" s="14" t="n">
        <v>45474</v>
      </c>
      <c r="D1481" s="13" t="s">
        <v>6487</v>
      </c>
      <c r="E1481" s="15" t="s">
        <v>102</v>
      </c>
      <c r="F1481" s="24" t="s">
        <v>6488</v>
      </c>
      <c r="G1481" s="15" t="s">
        <v>6489</v>
      </c>
      <c r="H1481" s="13" t="s">
        <v>35</v>
      </c>
      <c r="I1481" s="13" t="str">
        <f aca="false">IF(C1481=J1481,"NEW KONTRAK","RE-KONTRAK")</f>
        <v>RE-KONTRAK</v>
      </c>
      <c r="J1481" s="16" t="n">
        <f aca="false" t="array" ref="J1481:J1481">IFERROR(INDEX(AC1481:AE1481,IF(COUNTA(AC1481:AE1481)=0,"",MAX((AC1481:AE1481&lt;&gt;"")*(COLUMN(AC1481:AE1481)-(COLUMN(AC1481)))))-1),"")</f>
        <v>45839</v>
      </c>
      <c r="K1481" s="16" t="n">
        <f aca="false" t="array" ref="K1481:K1481">IFERROR(INDEX(AC1481:AE1481,IF(COUNTA(AC1481:AE1481)=0,"",MAX((AC1481:AE1481&lt;&gt;"")*(COLUMN(AC1481:AE1481)-(COLUMN(AC1481)-1))))-1),"")</f>
        <v>46022</v>
      </c>
      <c r="L1481" s="17" t="str">
        <f aca="false" t="array" ref="L1481:L1481">IFERROR(INDEX(AC1481:AE1481,IF(COUNTA(AC1481:AE1481)=0,"",MAX((AC1481:AE1481&lt;&gt;"")*(COLUMN(AC1481:AE1481)-(COLUMN(AC1481)-2))))-1),"")</f>
        <v>ARCHIVED</v>
      </c>
      <c r="M1481" s="13" t="n">
        <f aca="true">K1481-TODAY()</f>
        <v>-302</v>
      </c>
      <c r="N1481" s="50" t="s">
        <v>4735</v>
      </c>
      <c r="O1481" s="13" t="s">
        <v>50</v>
      </c>
      <c r="P1481" s="19" t="n">
        <v>3802862</v>
      </c>
      <c r="Q1481" s="20" t="s">
        <v>6490</v>
      </c>
      <c r="R1481" s="13" t="s">
        <v>83</v>
      </c>
      <c r="S1481" s="14" t="n">
        <v>35540</v>
      </c>
      <c r="T1481" s="13" t="s">
        <v>40</v>
      </c>
      <c r="U1481" s="13" t="s">
        <v>6491</v>
      </c>
      <c r="V1481" s="13" t="s">
        <v>42</v>
      </c>
      <c r="W1481" s="13" t="s">
        <v>54</v>
      </c>
      <c r="X1481" s="21" t="n">
        <v>81217871132</v>
      </c>
      <c r="Y1481" s="22" t="str">
        <f aca="false">O1481</f>
        <v>Driver</v>
      </c>
      <c r="Z1481" s="13" t="str">
        <f aca="false">IFERROR(__xludf.dummyfunction("if(BJ1481="""","""",GOOGLETRANSLATE(BJ1481,""auto"",""en""))"),"Driver")</f>
        <v>Driver</v>
      </c>
      <c r="AA1481" s="23" t="str">
        <f aca="false">IF(C1481="","", CHOOSE(MONTH(C1481),"January","February","March","April","May","June","July","August","September","October","November","December")&amp;" "&amp;DAY(C1481)&amp;MID("thstndrdth",MIN(9,2*RIGHT(DAY(C1481))*(MOD(DAY(C1481)-11,100)&gt;2)+1),2)&amp;","&amp;TEXT(C1481," yyyy"))</f>
        <v>July 1st,2024</v>
      </c>
      <c r="AB1481" s="15" t="str">
        <f aca="true">IF(S1481="","",DATEDIF(S1481,TODAY(),"Y")&amp;" Tahun, "&amp;DATEDIF(S1481,TODAY(),"YM")&amp;" Bulan, "&amp;DATEDIF(S1481,TODAY(),"MD")&amp;" Hari")</f>
        <v>29 Tahun, 6 Bulan, 9 Hari</v>
      </c>
      <c r="AC1481" s="18" t="n">
        <v>45839</v>
      </c>
      <c r="AD1481" s="18" t="n">
        <v>46022</v>
      </c>
      <c r="AE1481" s="18" t="s">
        <v>44</v>
      </c>
    </row>
    <row r="1482" customFormat="false" ht="15" hidden="false" customHeight="true" outlineLevel="0" collapsed="false">
      <c r="A1482" s="12" t="n">
        <v>16065</v>
      </c>
      <c r="B1482" s="13" t="s">
        <v>6492</v>
      </c>
      <c r="C1482" s="14" t="n">
        <v>45474</v>
      </c>
      <c r="D1482" s="13" t="s">
        <v>6487</v>
      </c>
      <c r="E1482" s="15" t="s">
        <v>102</v>
      </c>
      <c r="F1482" s="24" t="s">
        <v>6493</v>
      </c>
      <c r="G1482" s="15" t="s">
        <v>6494</v>
      </c>
      <c r="H1482" s="13" t="s">
        <v>35</v>
      </c>
      <c r="I1482" s="13" t="str">
        <f aca="false">IF(C1482=J1482,"NEW KONTRAK","RE-KONTRAK")</f>
        <v>RE-KONTRAK</v>
      </c>
      <c r="J1482" s="16" t="n">
        <f aca="false" t="array" ref="J1482:J1482">IFERROR(INDEX(AC1482:AE1482,IF(COUNTA(AC1482:AE1482)=0,"",MAX((AC1482:AE1482&lt;&gt;"")*(COLUMN(AC1482:AE1482)-(COLUMN(AC1482)))))-1),"")</f>
        <v>45839</v>
      </c>
      <c r="K1482" s="16" t="n">
        <f aca="false" t="array" ref="K1482:K1482">IFERROR(INDEX(AC1482:AE1482,IF(COUNTA(AC1482:AE1482)=0,"",MAX((AC1482:AE1482&lt;&gt;"")*(COLUMN(AC1482:AE1482)-(COLUMN(AC1482)-1))))-1),"")</f>
        <v>46022</v>
      </c>
      <c r="L1482" s="17" t="str">
        <f aca="false" t="array" ref="L1482:L1482">IFERROR(INDEX(AC1482:AE1482,IF(COUNTA(AC1482:AE1482)=0,"",MAX((AC1482:AE1482&lt;&gt;"")*(COLUMN(AC1482:AE1482)-(COLUMN(AC1482)-2))))-1),"")</f>
        <v>ARCHIVED</v>
      </c>
      <c r="M1482" s="13" t="n">
        <f aca="true">K1482-TODAY()</f>
        <v>-302</v>
      </c>
      <c r="N1482" s="50" t="s">
        <v>4735</v>
      </c>
      <c r="O1482" s="13" t="s">
        <v>3271</v>
      </c>
      <c r="P1482" s="19" t="n">
        <v>3802862</v>
      </c>
      <c r="Q1482" s="20" t="s">
        <v>6495</v>
      </c>
      <c r="R1482" s="13" t="s">
        <v>83</v>
      </c>
      <c r="S1482" s="14" t="n">
        <v>35553</v>
      </c>
      <c r="T1482" s="13" t="s">
        <v>40</v>
      </c>
      <c r="U1482" s="13" t="s">
        <v>6496</v>
      </c>
      <c r="V1482" s="13" t="s">
        <v>42</v>
      </c>
      <c r="W1482" s="13" t="s">
        <v>54</v>
      </c>
      <c r="X1482" s="21" t="n">
        <v>895702731200</v>
      </c>
      <c r="Y1482" s="22" t="str">
        <f aca="false">O1482</f>
        <v>Helper</v>
      </c>
      <c r="Z1482" s="13" t="str">
        <f aca="false">IFERROR(__xludf.dummyfunction("if(BJ1482="""","""",GOOGLETRANSLATE(BJ1482,""auto"",""en""))"),"Helper")</f>
        <v>Helper</v>
      </c>
      <c r="AA1482" s="23" t="str">
        <f aca="false">IF(C1482="","", CHOOSE(MONTH(C1482),"January","February","March","April","May","June","July","August","September","October","November","December")&amp;" "&amp;DAY(C1482)&amp;MID("thstndrdth",MIN(9,2*RIGHT(DAY(C1482))*(MOD(DAY(C1482)-11,100)&gt;2)+1),2)&amp;","&amp;TEXT(C1482," yyyy"))</f>
        <v>July 1st,2024</v>
      </c>
      <c r="AB1482" s="15" t="str">
        <f aca="true">IF(S1482="","",DATEDIF(S1482,TODAY(),"Y")&amp;" Tahun, "&amp;DATEDIF(S1482,TODAY(),"YM")&amp;" Bulan, "&amp;DATEDIF(S1482,TODAY(),"MD")&amp;" Hari")</f>
        <v>29 Tahun, 5 Bulan, 26 Hari</v>
      </c>
      <c r="AC1482" s="18" t="n">
        <v>45839</v>
      </c>
      <c r="AD1482" s="18" t="n">
        <v>46022</v>
      </c>
      <c r="AE1482" s="18" t="s">
        <v>44</v>
      </c>
    </row>
    <row r="1483" customFormat="false" ht="15" hidden="false" customHeight="true" outlineLevel="0" collapsed="false">
      <c r="A1483" s="12" t="n">
        <v>16108</v>
      </c>
      <c r="B1483" s="13" t="s">
        <v>6497</v>
      </c>
      <c r="C1483" s="14" t="n">
        <v>45474</v>
      </c>
      <c r="D1483" s="13" t="s">
        <v>6498</v>
      </c>
      <c r="E1483" s="15" t="s">
        <v>33</v>
      </c>
      <c r="F1483" s="24" t="s">
        <v>6499</v>
      </c>
      <c r="G1483" s="15" t="s">
        <v>6500</v>
      </c>
      <c r="H1483" s="13" t="s">
        <v>35</v>
      </c>
      <c r="I1483" s="13" t="str">
        <f aca="false">IF(C1483=J1483,"NEW KONTRAK","RE-KONTRAK")</f>
        <v>RE-KONTRAK</v>
      </c>
      <c r="J1483" s="16" t="n">
        <f aca="false" t="array" ref="J1483:J1483">IFERROR(INDEX(AC1483:AE1483,IF(COUNTA(AC1483:AE1483)=0,"",MAX((AC1483:AE1483&lt;&gt;"")*(COLUMN(AC1483:AE1483)-(COLUMN(AC1483)))))-1),"")</f>
        <v>45839</v>
      </c>
      <c r="K1483" s="16" t="n">
        <f aca="false" t="array" ref="K1483:K1483">IFERROR(INDEX(AC1483:AE1483,IF(COUNTA(AC1483:AE1483)=0,"",MAX((AC1483:AE1483&lt;&gt;"")*(COLUMN(AC1483:AE1483)-(COLUMN(AC1483)-1))))-1),"")</f>
        <v>45869</v>
      </c>
      <c r="L1483" s="17" t="str">
        <f aca="false" t="array" ref="L1483:L1483">IFERROR(INDEX(AC1483:AE1483,IF(COUNTA(AC1483:AE1483)=0,"",MAX((AC1483:AE1483&lt;&gt;"")*(COLUMN(AC1483:AE1483)-(COLUMN(AC1483)-2))))-1),"")</f>
        <v>ARCHIVED</v>
      </c>
      <c r="M1483" s="13" t="n">
        <f aca="true">K1483-TODAY()</f>
        <v>-455</v>
      </c>
      <c r="N1483" s="50" t="s">
        <v>728</v>
      </c>
      <c r="O1483" s="13" t="s">
        <v>50</v>
      </c>
      <c r="P1483" s="19" t="n">
        <v>5288796</v>
      </c>
      <c r="Q1483" s="20" t="s">
        <v>6501</v>
      </c>
      <c r="R1483" s="13" t="s">
        <v>227</v>
      </c>
      <c r="S1483" s="14" t="n">
        <v>32865</v>
      </c>
      <c r="T1483" s="13" t="s">
        <v>40</v>
      </c>
      <c r="U1483" s="13" t="s">
        <v>6502</v>
      </c>
      <c r="V1483" s="13" t="s">
        <v>42</v>
      </c>
      <c r="W1483" s="13" t="s">
        <v>54</v>
      </c>
      <c r="X1483" s="21" t="n">
        <v>85231663661</v>
      </c>
      <c r="Y1483" s="22" t="str">
        <f aca="false">O1483</f>
        <v>Driver</v>
      </c>
      <c r="Z1483" s="13" t="str">
        <f aca="false">IFERROR(__xludf.dummyfunction("if(BJ1483="""","""",GOOGLETRANSLATE(BJ1483,""auto"",""en""))"),"Driver")</f>
        <v>Driver</v>
      </c>
      <c r="AA1483" s="23" t="str">
        <f aca="false">IF(C1483="","", CHOOSE(MONTH(C1483),"January","February","March","April","May","June","July","August","September","October","November","December")&amp;" "&amp;DAY(C1483)&amp;MID("thstndrdth",MIN(9,2*RIGHT(DAY(C1483))*(MOD(DAY(C1483)-11,100)&gt;2)+1),2)&amp;","&amp;TEXT(C1483," yyyy"))</f>
        <v>July 1st,2024</v>
      </c>
      <c r="AB1483" s="15" t="str">
        <f aca="true">IF(S1483="","",DATEDIF(S1483,TODAY(),"Y")&amp;" Tahun, "&amp;DATEDIF(S1483,TODAY(),"YM")&amp;" Bulan, "&amp;DATEDIF(S1483,TODAY(),"MD")&amp;" Hari")</f>
        <v>36 Tahun, 10 Bulan, 6 Hari</v>
      </c>
      <c r="AC1483" s="18" t="n">
        <v>45839</v>
      </c>
      <c r="AD1483" s="18" t="n">
        <v>45869</v>
      </c>
      <c r="AE1483" s="18" t="s">
        <v>44</v>
      </c>
    </row>
    <row r="1484" customFormat="false" ht="15" hidden="false" customHeight="true" outlineLevel="0" collapsed="false">
      <c r="A1484" s="12" t="n">
        <v>16109</v>
      </c>
      <c r="B1484" s="13" t="s">
        <v>6503</v>
      </c>
      <c r="C1484" s="14" t="n">
        <v>45474</v>
      </c>
      <c r="D1484" s="13" t="s">
        <v>6498</v>
      </c>
      <c r="E1484" s="15" t="s">
        <v>47</v>
      </c>
      <c r="F1484" s="15" t="str">
        <f aca="false">IFERROR(__xludf.dummyfunction("XLOOKUP(AJ1484,IMPORTRANGE(""1XaInW9DU9nz21V0tYIfzFQ0He9kVQ_JF2mCXgZ3hqFA"",""REKAP ALL 2026 - Andika!G:G""),IMPORTRANGE(""1XaInW9DU9nz21V0tYIfzFQ0He9kVQ_JF2mCXgZ3hqFA"",""REKAP ALL 2026 - Andika!F:F""),"""",0)"),"24105106447")</f>
        <v>24105106447</v>
      </c>
      <c r="G1484" s="15" t="s">
        <v>6504</v>
      </c>
      <c r="H1484" s="13" t="s">
        <v>35</v>
      </c>
      <c r="I1484" s="13" t="str">
        <f aca="false">IF(C1484=J1484,"NEW KONTRAK","RE-KONTRAK")</f>
        <v>RE-KONTRAK</v>
      </c>
      <c r="J1484" s="16" t="n">
        <f aca="false" t="array" ref="J1484:J1484">IFERROR(INDEX(AC1484:AE1484,IF(COUNTA(AC1484:AE1484)=0,"",MAX((AC1484:AE1484&lt;&gt;"")*(COLUMN(AC1484:AE1484)-(COLUMN(AC1484)))))-1),"")</f>
        <v>45839</v>
      </c>
      <c r="K1484" s="16" t="n">
        <f aca="false" t="array" ref="K1484:K1484">IFERROR(INDEX(AC1484:AE1484,IF(COUNTA(AC1484:AE1484)=0,"",MAX((AC1484:AE1484&lt;&gt;"")*(COLUMN(AC1484:AE1484)-(COLUMN(AC1484)-1))))-1),"")</f>
        <v>46022</v>
      </c>
      <c r="L1484" s="17" t="str">
        <f aca="false" t="array" ref="L1484:L1484">IFERROR(INDEX(AC1484:AE1484,IF(COUNTA(AC1484:AE1484)=0,"",MAX((AC1484:AE1484&lt;&gt;"")*(COLUMN(AC1484:AE1484)-(COLUMN(AC1484)-2))))-1),"")</f>
        <v>ARCHIVED</v>
      </c>
      <c r="M1484" s="13" t="n">
        <f aca="true">K1484-TODAY()</f>
        <v>-302</v>
      </c>
      <c r="N1484" s="50" t="s">
        <v>728</v>
      </c>
      <c r="O1484" s="13" t="s">
        <v>50</v>
      </c>
      <c r="P1484" s="19" t="n">
        <v>5288796</v>
      </c>
      <c r="Q1484" s="20" t="s">
        <v>6505</v>
      </c>
      <c r="R1484" s="13" t="s">
        <v>73</v>
      </c>
      <c r="S1484" s="14" t="n">
        <v>34672</v>
      </c>
      <c r="T1484" s="13" t="s">
        <v>40</v>
      </c>
      <c r="U1484" s="13" t="s">
        <v>6506</v>
      </c>
      <c r="V1484" s="13" t="s">
        <v>42</v>
      </c>
      <c r="W1484" s="13" t="s">
        <v>43</v>
      </c>
      <c r="X1484" s="21" t="n">
        <v>85695733400</v>
      </c>
      <c r="Y1484" s="22" t="str">
        <f aca="false">O1484</f>
        <v>Driver</v>
      </c>
      <c r="Z1484" s="13" t="str">
        <f aca="false">IFERROR(__xludf.dummyfunction("if(BJ1484="""","""",GOOGLETRANSLATE(BJ1484,""auto"",""en""))"),"Driver")</f>
        <v>Driver</v>
      </c>
      <c r="AA1484" s="23" t="str">
        <f aca="false">IF(C1484="","", CHOOSE(MONTH(C1484),"January","February","March","April","May","June","July","August","September","October","November","December")&amp;" "&amp;DAY(C1484)&amp;MID("thstndrdth",MIN(9,2*RIGHT(DAY(C1484))*(MOD(DAY(C1484)-11,100)&gt;2)+1),2)&amp;","&amp;TEXT(C1484," yyyy"))</f>
        <v>July 1st,2024</v>
      </c>
      <c r="AB1484" s="15" t="str">
        <f aca="true">IF(S1484="","",DATEDIF(S1484,TODAY(),"Y")&amp;" Tahun, "&amp;DATEDIF(S1484,TODAY(),"YM")&amp;" Bulan, "&amp;DATEDIF(S1484,TODAY(),"MD")&amp;" Hari")</f>
        <v>31 Tahun, 10 Bulan, 25 Hari</v>
      </c>
      <c r="AC1484" s="18" t="n">
        <v>45839</v>
      </c>
      <c r="AD1484" s="18" t="n">
        <v>46022</v>
      </c>
      <c r="AE1484" s="18" t="s">
        <v>44</v>
      </c>
    </row>
    <row r="1485" customFormat="false" ht="15" hidden="false" customHeight="true" outlineLevel="0" collapsed="false">
      <c r="A1485" s="12" t="n">
        <v>16110</v>
      </c>
      <c r="B1485" s="13" t="s">
        <v>6507</v>
      </c>
      <c r="C1485" s="14" t="n">
        <v>45474</v>
      </c>
      <c r="D1485" s="13" t="s">
        <v>6498</v>
      </c>
      <c r="E1485" s="15" t="s">
        <v>47</v>
      </c>
      <c r="F1485" s="15" t="str">
        <f aca="false">IFERROR(__xludf.dummyfunction("XLOOKUP(AJ1485,IMPORTRANGE(""1XaInW9DU9nz21V0tYIfzFQ0He9kVQ_JF2mCXgZ3hqFA"",""REKAP ALL 2026 - Andika!G:G""),IMPORTRANGE(""1XaInW9DU9nz21V0tYIfzFQ0He9kVQ_JF2mCXgZ3hqFA"",""REKAP ALL 2026 - Andika!F:F""),"""",0)"),"24105106470")</f>
        <v>24105106470</v>
      </c>
      <c r="G1485" s="15" t="s">
        <v>6508</v>
      </c>
      <c r="H1485" s="13" t="s">
        <v>35</v>
      </c>
      <c r="I1485" s="13" t="str">
        <f aca="false">IF(C1485=J1485,"NEW KONTRAK","RE-KONTRAK")</f>
        <v>RE-KONTRAK</v>
      </c>
      <c r="J1485" s="16" t="n">
        <f aca="false" t="array" ref="J1485:J1485">IFERROR(INDEX(AC1485:AE1485,IF(COUNTA(AC1485:AE1485)=0,"",MAX((AC1485:AE1485&lt;&gt;"")*(COLUMN(AC1485:AE1485)-(COLUMN(AC1485)))))-1),"")</f>
        <v>45839</v>
      </c>
      <c r="K1485" s="16" t="n">
        <f aca="false" t="array" ref="K1485:K1485">IFERROR(INDEX(AC1485:AE1485,IF(COUNTA(AC1485:AE1485)=0,"",MAX((AC1485:AE1485&lt;&gt;"")*(COLUMN(AC1485:AE1485)-(COLUMN(AC1485)-1))))-1),"")</f>
        <v>46022</v>
      </c>
      <c r="L1485" s="17" t="str">
        <f aca="false" t="array" ref="L1485:L1485">IFERROR(INDEX(AC1485:AE1485,IF(COUNTA(AC1485:AE1485)=0,"",MAX((AC1485:AE1485&lt;&gt;"")*(COLUMN(AC1485:AE1485)-(COLUMN(AC1485)-2))))-1),"")</f>
        <v>ARCHIVED</v>
      </c>
      <c r="M1485" s="13" t="n">
        <f aca="true">K1485-TODAY()</f>
        <v>-302</v>
      </c>
      <c r="N1485" s="50" t="s">
        <v>728</v>
      </c>
      <c r="O1485" s="13" t="s">
        <v>50</v>
      </c>
      <c r="P1485" s="19" t="n">
        <v>5288796</v>
      </c>
      <c r="Q1485" s="20" t="s">
        <v>6509</v>
      </c>
      <c r="R1485" s="13" t="s">
        <v>39</v>
      </c>
      <c r="S1485" s="14" t="n">
        <v>33958</v>
      </c>
      <c r="T1485" s="13" t="s">
        <v>40</v>
      </c>
      <c r="U1485" s="13" t="s">
        <v>6510</v>
      </c>
      <c r="V1485" s="13" t="s">
        <v>42</v>
      </c>
      <c r="W1485" s="28" t="s">
        <v>54</v>
      </c>
      <c r="X1485" s="21" t="n">
        <v>81936792400</v>
      </c>
      <c r="Y1485" s="22" t="str">
        <f aca="false">O1485</f>
        <v>Driver</v>
      </c>
      <c r="Z1485" s="13" t="str">
        <f aca="false">IFERROR(__xludf.dummyfunction("if(BJ1485="""","""",GOOGLETRANSLATE(BJ1485,""auto"",""en""))"),"Driver")</f>
        <v>Driver</v>
      </c>
      <c r="AA1485" s="23" t="str">
        <f aca="false">IF(C1485="","", CHOOSE(MONTH(C1485),"January","February","March","April","May","June","July","August","September","October","November","December")&amp;" "&amp;DAY(C1485)&amp;MID("thstndrdth",MIN(9,2*RIGHT(DAY(C1485))*(MOD(DAY(C1485)-11,100)&gt;2)+1),2)&amp;","&amp;TEXT(C1485," yyyy"))</f>
        <v>July 1st,2024</v>
      </c>
      <c r="AB1485" s="15" t="str">
        <f aca="true">IF(S1485="","",DATEDIF(S1485,TODAY(),"Y")&amp;" Tahun, "&amp;DATEDIF(S1485,TODAY(),"YM")&amp;" Bulan, "&amp;DATEDIF(S1485,TODAY(),"MD")&amp;" Hari")</f>
        <v>33 Tahun, 10 Bulan, 9 Hari</v>
      </c>
      <c r="AC1485" s="18" t="n">
        <v>45839</v>
      </c>
      <c r="AD1485" s="18" t="n">
        <v>46022</v>
      </c>
      <c r="AE1485" s="18" t="s">
        <v>44</v>
      </c>
    </row>
    <row r="1486" customFormat="false" ht="15" hidden="false" customHeight="true" outlineLevel="0" collapsed="false">
      <c r="A1486" s="12" t="n">
        <v>16111</v>
      </c>
      <c r="B1486" s="13" t="s">
        <v>6511</v>
      </c>
      <c r="C1486" s="14" t="n">
        <v>45474</v>
      </c>
      <c r="D1486" s="13" t="s">
        <v>6498</v>
      </c>
      <c r="E1486" s="15" t="s">
        <v>47</v>
      </c>
      <c r="F1486" s="15" t="str">
        <f aca="false">IFERROR(__xludf.dummyfunction("XLOOKUP(AJ1486,IMPORTRANGE(""1XaInW9DU9nz21V0tYIfzFQ0He9kVQ_JF2mCXgZ3hqFA"",""REKAP ALL 2026 - Andika!G:G""),IMPORTRANGE(""1XaInW9DU9nz21V0tYIfzFQ0He9kVQ_JF2mCXgZ3hqFA"",""REKAP ALL 2026 - Andika!F:F""),"""",0)"),"24105106504")</f>
        <v>24105106504</v>
      </c>
      <c r="G1486" s="15" t="s">
        <v>6512</v>
      </c>
      <c r="H1486" s="13" t="s">
        <v>35</v>
      </c>
      <c r="I1486" s="13" t="str">
        <f aca="false">IF(C1486=J1486,"NEW KONTRAK","RE-KONTRAK")</f>
        <v>RE-KONTRAK</v>
      </c>
      <c r="J1486" s="16" t="n">
        <f aca="false" t="array" ref="J1486:J1486">IFERROR(INDEX(AC1486:AE1486,IF(COUNTA(AC1486:AE1486)=0,"",MAX((AC1486:AE1486&lt;&gt;"")*(COLUMN(AC1486:AE1486)-(COLUMN(AC1486)))))-1),"")</f>
        <v>45839</v>
      </c>
      <c r="K1486" s="16" t="n">
        <f aca="false" t="array" ref="K1486:K1486">IFERROR(INDEX(AC1486:AE1486,IF(COUNTA(AC1486:AE1486)=0,"",MAX((AC1486:AE1486&lt;&gt;"")*(COLUMN(AC1486:AE1486)-(COLUMN(AC1486)-1))))-1),"")</f>
        <v>46022</v>
      </c>
      <c r="L1486" s="17" t="str">
        <f aca="false" t="array" ref="L1486:L1486">IFERROR(INDEX(AC1486:AE1486,IF(COUNTA(AC1486:AE1486)=0,"",MAX((AC1486:AE1486&lt;&gt;"")*(COLUMN(AC1486:AE1486)-(COLUMN(AC1486)-2))))-1),"")</f>
        <v>ARCHIVED</v>
      </c>
      <c r="M1486" s="13" t="n">
        <f aca="true">K1486-TODAY()</f>
        <v>-302</v>
      </c>
      <c r="N1486" s="50" t="s">
        <v>728</v>
      </c>
      <c r="O1486" s="13" t="s">
        <v>50</v>
      </c>
      <c r="P1486" s="19" t="n">
        <v>5288796</v>
      </c>
      <c r="Q1486" s="20" t="s">
        <v>6513</v>
      </c>
      <c r="R1486" s="13" t="s">
        <v>52</v>
      </c>
      <c r="S1486" s="14" t="n">
        <v>30816</v>
      </c>
      <c r="T1486" s="13" t="s">
        <v>40</v>
      </c>
      <c r="U1486" s="13" t="s">
        <v>6514</v>
      </c>
      <c r="V1486" s="13" t="s">
        <v>42</v>
      </c>
      <c r="W1486" s="13" t="s">
        <v>2402</v>
      </c>
      <c r="X1486" s="21" t="n">
        <v>82145452304</v>
      </c>
      <c r="Y1486" s="22" t="str">
        <f aca="false">O1486</f>
        <v>Driver</v>
      </c>
      <c r="Z1486" s="13" t="str">
        <f aca="false">IFERROR(__xludf.dummyfunction("if(BJ1486="""","""",GOOGLETRANSLATE(BJ1486,""auto"",""en""))"),"Driver")</f>
        <v>Driver</v>
      </c>
      <c r="AA1486" s="23" t="str">
        <f aca="false">IF(C1486="","", CHOOSE(MONTH(C1486),"January","February","March","April","May","June","July","August","September","October","November","December")&amp;" "&amp;DAY(C1486)&amp;MID("thstndrdth",MIN(9,2*RIGHT(DAY(C1486))*(MOD(DAY(C1486)-11,100)&gt;2)+1),2)&amp;","&amp;TEXT(C1486," yyyy"))</f>
        <v>July 1st,2024</v>
      </c>
      <c r="AB1486" s="15" t="str">
        <f aca="true">IF(S1486="","",DATEDIF(S1486,TODAY(),"Y")&amp;" Tahun, "&amp;DATEDIF(S1486,TODAY(),"YM")&amp;" Bulan, "&amp;DATEDIF(S1486,TODAY(),"MD")&amp;" Hari")</f>
        <v>42 Tahun, 5 Bulan, 15 Hari</v>
      </c>
      <c r="AC1486" s="18" t="n">
        <v>45839</v>
      </c>
      <c r="AD1486" s="18" t="n">
        <v>46022</v>
      </c>
      <c r="AE1486" s="18" t="s">
        <v>44</v>
      </c>
    </row>
    <row r="1487" customFormat="false" ht="15" hidden="false" customHeight="true" outlineLevel="0" collapsed="false">
      <c r="A1487" s="12" t="n">
        <v>16113</v>
      </c>
      <c r="B1487" s="13" t="s">
        <v>6515</v>
      </c>
      <c r="C1487" s="14" t="n">
        <v>45474</v>
      </c>
      <c r="D1487" s="13" t="s">
        <v>6487</v>
      </c>
      <c r="E1487" s="15" t="s">
        <v>47</v>
      </c>
      <c r="F1487" s="15" t="str">
        <f aca="false">IFERROR(__xludf.dummyfunction("XLOOKUP(AJ1487,IMPORTRANGE(""1XaInW9DU9nz21V0tYIfzFQ0He9kVQ_JF2mCXgZ3hqFA"",""REKAP ALL 2026 - Andika!G:G""),IMPORTRANGE(""1XaInW9DU9nz21V0tYIfzFQ0He9kVQ_JF2mCXgZ3hqFA"",""REKAP ALL 2026 - Andika!F:F""),"""",0)"),"24105106520")</f>
        <v>24105106520</v>
      </c>
      <c r="G1487" s="15" t="s">
        <v>6516</v>
      </c>
      <c r="H1487" s="13" t="s">
        <v>35</v>
      </c>
      <c r="I1487" s="13" t="str">
        <f aca="false">IF(C1487=J1487,"NEW KONTRAK","RE-KONTRAK")</f>
        <v>RE-KONTRAK</v>
      </c>
      <c r="J1487" s="16" t="n">
        <f aca="false" t="array" ref="J1487:J1487">IFERROR(INDEX(AC1487:AE1487,IF(COUNTA(AC1487:AE1487)=0,"",MAX((AC1487:AE1487&lt;&gt;"")*(COLUMN(AC1487:AE1487)-(COLUMN(AC1487)))))-1),"")</f>
        <v>45839</v>
      </c>
      <c r="K1487" s="16" t="n">
        <f aca="false" t="array" ref="K1487:K1487">IFERROR(INDEX(AC1487:AE1487,IF(COUNTA(AC1487:AE1487)=0,"",MAX((AC1487:AE1487&lt;&gt;"")*(COLUMN(AC1487:AE1487)-(COLUMN(AC1487)-1))))-1),"")</f>
        <v>46022</v>
      </c>
      <c r="L1487" s="17" t="str">
        <f aca="false" t="array" ref="L1487:L1487">IFERROR(INDEX(AC1487:AE1487,IF(COUNTA(AC1487:AE1487)=0,"",MAX((AC1487:AE1487&lt;&gt;"")*(COLUMN(AC1487:AE1487)-(COLUMN(AC1487)-2))))-1),"")</f>
        <v>ARCHIVED</v>
      </c>
      <c r="M1487" s="13" t="n">
        <f aca="true">K1487-TODAY()</f>
        <v>-302</v>
      </c>
      <c r="N1487" s="18" t="s">
        <v>4735</v>
      </c>
      <c r="O1487" s="13" t="s">
        <v>50</v>
      </c>
      <c r="P1487" s="19" t="n">
        <v>3802862</v>
      </c>
      <c r="Q1487" s="20" t="s">
        <v>6517</v>
      </c>
      <c r="R1487" s="13" t="s">
        <v>83</v>
      </c>
      <c r="S1487" s="14" t="n">
        <v>32874</v>
      </c>
      <c r="T1487" s="13" t="s">
        <v>40</v>
      </c>
      <c r="U1487" s="13" t="s">
        <v>6518</v>
      </c>
      <c r="V1487" s="13" t="s">
        <v>42</v>
      </c>
      <c r="W1487" s="13" t="s">
        <v>43</v>
      </c>
      <c r="X1487" s="21" t="n">
        <v>81559966110</v>
      </c>
      <c r="Y1487" s="22" t="str">
        <f aca="false">O1487</f>
        <v>Driver</v>
      </c>
      <c r="Z1487" s="13" t="str">
        <f aca="false">IFERROR(__xludf.dummyfunction("if(BJ1487="""","""",GOOGLETRANSLATE(BJ1487,""auto"",""en""))"),"Driver")</f>
        <v>Driver</v>
      </c>
      <c r="AA1487" s="23" t="str">
        <f aca="false">IF(C1487="","", CHOOSE(MONTH(C1487),"January","February","March","April","May","June","July","August","September","October","November","December")&amp;" "&amp;DAY(C1487)&amp;MID("thstndrdth",MIN(9,2*RIGHT(DAY(C1487))*(MOD(DAY(C1487)-11,100)&gt;2)+1),2)&amp;","&amp;TEXT(C1487," yyyy"))</f>
        <v>July 1st,2024</v>
      </c>
      <c r="AB1487" s="15" t="str">
        <f aca="true">IF(S1487="","",DATEDIF(S1487,TODAY(),"Y")&amp;" Tahun, "&amp;DATEDIF(S1487,TODAY(),"YM")&amp;" Bulan, "&amp;DATEDIF(S1487,TODAY(),"MD")&amp;" Hari")</f>
        <v>36 Tahun, 9 Bulan, 28 Hari</v>
      </c>
      <c r="AC1487" s="18" t="n">
        <v>45839</v>
      </c>
      <c r="AD1487" s="18" t="n">
        <v>46022</v>
      </c>
      <c r="AE1487" s="18" t="s">
        <v>44</v>
      </c>
    </row>
    <row r="1488" customFormat="false" ht="15" hidden="false" customHeight="true" outlineLevel="0" collapsed="false">
      <c r="A1488" s="12" t="n">
        <v>16114</v>
      </c>
      <c r="B1488" s="13" t="s">
        <v>6519</v>
      </c>
      <c r="C1488" s="14" t="n">
        <v>45474</v>
      </c>
      <c r="D1488" s="13" t="s">
        <v>6498</v>
      </c>
      <c r="E1488" s="15" t="s">
        <v>33</v>
      </c>
      <c r="F1488" s="24" t="s">
        <v>6520</v>
      </c>
      <c r="G1488" s="15" t="s">
        <v>6521</v>
      </c>
      <c r="H1488" s="13" t="s">
        <v>35</v>
      </c>
      <c r="I1488" s="13" t="str">
        <f aca="false">IF(C1488=J1488,"NEW KONTRAK","RE-KONTRAK")</f>
        <v>RE-KONTRAK</v>
      </c>
      <c r="J1488" s="16" t="n">
        <f aca="false" t="array" ref="J1488:J1488">IFERROR(INDEX(AC1488:AE1488,IF(COUNTA(AC1488:AE1488)=0,"",MAX((AC1488:AE1488&lt;&gt;"")*(COLUMN(AC1488:AE1488)-(COLUMN(AC1488)))))-1),"")</f>
        <v>45839</v>
      </c>
      <c r="K1488" s="16" t="n">
        <f aca="false" t="array" ref="K1488:K1488">IFERROR(INDEX(AC1488:AE1488,IF(COUNTA(AC1488:AE1488)=0,"",MAX((AC1488:AE1488&lt;&gt;"")*(COLUMN(AC1488:AE1488)-(COLUMN(AC1488)-1))))-1),"")</f>
        <v>45869</v>
      </c>
      <c r="L1488" s="17" t="str">
        <f aca="false" t="array" ref="L1488:L1488">IFERROR(INDEX(AC1488:AE1488,IF(COUNTA(AC1488:AE1488)=0,"",MAX((AC1488:AE1488&lt;&gt;"")*(COLUMN(AC1488:AE1488)-(COLUMN(AC1488)-2))))-1),"")</f>
        <v>ARCHIVED</v>
      </c>
      <c r="M1488" s="13" t="n">
        <f aca="true">K1488-TODAY()</f>
        <v>-455</v>
      </c>
      <c r="N1488" s="50" t="s">
        <v>728</v>
      </c>
      <c r="O1488" s="13" t="s">
        <v>50</v>
      </c>
      <c r="P1488" s="19" t="n">
        <v>5288796</v>
      </c>
      <c r="Q1488" s="20" t="s">
        <v>6522</v>
      </c>
      <c r="R1488" s="13" t="s">
        <v>73</v>
      </c>
      <c r="S1488" s="14" t="n">
        <v>32264</v>
      </c>
      <c r="T1488" s="13" t="s">
        <v>40</v>
      </c>
      <c r="U1488" s="13" t="s">
        <v>6523</v>
      </c>
      <c r="V1488" s="13" t="s">
        <v>42</v>
      </c>
      <c r="W1488" s="13" t="s">
        <v>54</v>
      </c>
      <c r="X1488" s="21" t="n">
        <v>81332714440</v>
      </c>
      <c r="Y1488" s="22" t="str">
        <f aca="false">O1488</f>
        <v>Driver</v>
      </c>
      <c r="Z1488" s="13" t="str">
        <f aca="false">IFERROR(__xludf.dummyfunction("if(BJ1488="""","""",GOOGLETRANSLATE(BJ1488,""auto"",""en""))"),"Driver")</f>
        <v>Driver</v>
      </c>
      <c r="AA1488" s="23" t="str">
        <f aca="false">IF(C1488="","", CHOOSE(MONTH(C1488),"January","February","March","April","May","June","July","August","September","October","November","December")&amp;" "&amp;DAY(C1488)&amp;MID("thstndrdth",MIN(9,2*RIGHT(DAY(C1488))*(MOD(DAY(C1488)-11,100)&gt;2)+1),2)&amp;","&amp;TEXT(C1488," yyyy"))</f>
        <v>July 1st,2024</v>
      </c>
      <c r="AB1488" s="15" t="str">
        <f aca="true">IF(S1488="","",DATEDIF(S1488,TODAY(),"Y")&amp;" Tahun, "&amp;DATEDIF(S1488,TODAY(),"YM")&amp;" Bulan, "&amp;DATEDIF(S1488,TODAY(),"MD")&amp;" Hari")</f>
        <v>38 Tahun, 5 Bulan, 28 Hari</v>
      </c>
      <c r="AC1488" s="18" t="n">
        <v>45839</v>
      </c>
      <c r="AD1488" s="18" t="n">
        <v>45869</v>
      </c>
      <c r="AE1488" s="18" t="s">
        <v>44</v>
      </c>
    </row>
    <row r="1489" customFormat="false" ht="15" hidden="false" customHeight="true" outlineLevel="0" collapsed="false">
      <c r="A1489" s="12" t="n">
        <v>16115</v>
      </c>
      <c r="B1489" s="13" t="s">
        <v>6524</v>
      </c>
      <c r="C1489" s="14" t="n">
        <v>45474</v>
      </c>
      <c r="D1489" s="13" t="s">
        <v>6498</v>
      </c>
      <c r="E1489" s="15" t="s">
        <v>102</v>
      </c>
      <c r="F1489" s="24" t="s">
        <v>6525</v>
      </c>
      <c r="G1489" s="15" t="s">
        <v>6526</v>
      </c>
      <c r="H1489" s="13" t="s">
        <v>35</v>
      </c>
      <c r="I1489" s="13" t="str">
        <f aca="false">IF(C1489=J1489,"NEW KONTRAK","RE-KONTRAK")</f>
        <v>RE-KONTRAK</v>
      </c>
      <c r="J1489" s="16" t="n">
        <f aca="false" t="array" ref="J1489:J1489">IFERROR(INDEX(AC1489:AE1489,IF(COUNTA(AC1489:AE1489)=0,"",MAX((AC1489:AE1489&lt;&gt;"")*(COLUMN(AC1489:AE1489)-(COLUMN(AC1489)))))-1),"")</f>
        <v>45839</v>
      </c>
      <c r="K1489" s="16" t="n">
        <f aca="false" t="array" ref="K1489:K1489">IFERROR(INDEX(AC1489:AE1489,IF(COUNTA(AC1489:AE1489)=0,"",MAX((AC1489:AE1489&lt;&gt;"")*(COLUMN(AC1489:AE1489)-(COLUMN(AC1489)-1))))-1),"")</f>
        <v>46022</v>
      </c>
      <c r="L1489" s="17" t="str">
        <f aca="false" t="array" ref="L1489:L1489">IFERROR(INDEX(AC1489:AE1489,IF(COUNTA(AC1489:AE1489)=0,"",MAX((AC1489:AE1489&lt;&gt;"")*(COLUMN(AC1489:AE1489)-(COLUMN(AC1489)-2))))-1),"")</f>
        <v>ARCHIVED</v>
      </c>
      <c r="M1489" s="13" t="n">
        <f aca="true">K1489-TODAY()</f>
        <v>-302</v>
      </c>
      <c r="N1489" s="50" t="s">
        <v>728</v>
      </c>
      <c r="O1489" s="13" t="s">
        <v>50</v>
      </c>
      <c r="P1489" s="19" t="n">
        <v>5288796</v>
      </c>
      <c r="Q1489" s="20" t="s">
        <v>6527</v>
      </c>
      <c r="R1489" s="13" t="s">
        <v>553</v>
      </c>
      <c r="S1489" s="14" t="n">
        <v>34844</v>
      </c>
      <c r="T1489" s="13" t="s">
        <v>40</v>
      </c>
      <c r="U1489" s="13" t="s">
        <v>6528</v>
      </c>
      <c r="V1489" s="13" t="s">
        <v>42</v>
      </c>
      <c r="W1489" s="13" t="s">
        <v>43</v>
      </c>
      <c r="X1489" s="21" t="n">
        <v>85850418670</v>
      </c>
      <c r="Y1489" s="22" t="str">
        <f aca="false">O1489</f>
        <v>Driver</v>
      </c>
      <c r="Z1489" s="13" t="str">
        <f aca="false">IFERROR(__xludf.dummyfunction("if(BJ1489="""","""",GOOGLETRANSLATE(BJ1489,""auto"",""en""))"),"Driver")</f>
        <v>Driver</v>
      </c>
      <c r="AA1489" s="23" t="str">
        <f aca="false">IF(C1489="","", CHOOSE(MONTH(C1489),"January","February","March","April","May","June","July","August","September","October","November","December")&amp;" "&amp;DAY(C1489)&amp;MID("thstndrdth",MIN(9,2*RIGHT(DAY(C1489))*(MOD(DAY(C1489)-11,100)&gt;2)+1),2)&amp;","&amp;TEXT(C1489," yyyy"))</f>
        <v>July 1st,2024</v>
      </c>
      <c r="AB1489" s="15" t="str">
        <f aca="true">IF(S1489="","",DATEDIF(S1489,TODAY(),"Y")&amp;" Tahun, "&amp;DATEDIF(S1489,TODAY(),"YM")&amp;" Bulan, "&amp;DATEDIF(S1489,TODAY(),"MD")&amp;" Hari")</f>
        <v>31 Tahun, 5 Bulan, 4 Hari</v>
      </c>
      <c r="AC1489" s="18" t="n">
        <v>45839</v>
      </c>
      <c r="AD1489" s="18" t="n">
        <v>46022</v>
      </c>
      <c r="AE1489" s="18" t="s">
        <v>44</v>
      </c>
    </row>
    <row r="1490" customFormat="false" ht="15" hidden="false" customHeight="true" outlineLevel="0" collapsed="false">
      <c r="A1490" s="12" t="n">
        <v>16116</v>
      </c>
      <c r="B1490" s="13" t="s">
        <v>6529</v>
      </c>
      <c r="C1490" s="14" t="n">
        <v>45474</v>
      </c>
      <c r="D1490" s="13" t="s">
        <v>6498</v>
      </c>
      <c r="E1490" s="15" t="s">
        <v>47</v>
      </c>
      <c r="F1490" s="15" t="str">
        <f aca="false">IFERROR(__xludf.dummyfunction("XLOOKUP(AJ1490,IMPORTRANGE(""1XaInW9DU9nz21V0tYIfzFQ0He9kVQ_JF2mCXgZ3hqFA"",""REKAP ALL 2026 - Andika!G:G""),IMPORTRANGE(""1XaInW9DU9nz21V0tYIfzFQ0He9kVQ_JF2mCXgZ3hqFA"",""REKAP ALL 2026 - Andika!F:F""),"""",0)"),"24105106595")</f>
        <v>24105106595</v>
      </c>
      <c r="G1490" s="15" t="s">
        <v>6530</v>
      </c>
      <c r="H1490" s="13" t="s">
        <v>35</v>
      </c>
      <c r="I1490" s="13" t="str">
        <f aca="false">IF(C1490=J1490,"NEW KONTRAK","RE-KONTRAK")</f>
        <v>RE-KONTRAK</v>
      </c>
      <c r="J1490" s="16" t="n">
        <f aca="false" t="array" ref="J1490:J1490">IFERROR(INDEX(AC1490:AE1490,IF(COUNTA(AC1490:AE1490)=0,"",MAX((AC1490:AE1490&lt;&gt;"")*(COLUMN(AC1490:AE1490)-(COLUMN(AC1490)))))-1),"")</f>
        <v>45839</v>
      </c>
      <c r="K1490" s="16" t="n">
        <f aca="false" t="array" ref="K1490:K1490">IFERROR(INDEX(AC1490:AE1490,IF(COUNTA(AC1490:AE1490)=0,"",MAX((AC1490:AE1490&lt;&gt;"")*(COLUMN(AC1490:AE1490)-(COLUMN(AC1490)-1))))-1),"")</f>
        <v>46022</v>
      </c>
      <c r="L1490" s="17" t="str">
        <f aca="false" t="array" ref="L1490:L1490">IFERROR(INDEX(AC1490:AE1490,IF(COUNTA(AC1490:AE1490)=0,"",MAX((AC1490:AE1490&lt;&gt;"")*(COLUMN(AC1490:AE1490)-(COLUMN(AC1490)-2))))-1),"")</f>
        <v>ARCHIVED</v>
      </c>
      <c r="M1490" s="13" t="n">
        <f aca="true">K1490-TODAY()</f>
        <v>-302</v>
      </c>
      <c r="N1490" s="50" t="s">
        <v>728</v>
      </c>
      <c r="O1490" s="13" t="s">
        <v>50</v>
      </c>
      <c r="P1490" s="19" t="n">
        <v>5288796</v>
      </c>
      <c r="Q1490" s="20" t="s">
        <v>6531</v>
      </c>
      <c r="R1490" s="13" t="s">
        <v>401</v>
      </c>
      <c r="S1490" s="14" t="n">
        <v>33147</v>
      </c>
      <c r="T1490" s="13" t="s">
        <v>40</v>
      </c>
      <c r="U1490" s="13" t="s">
        <v>6532</v>
      </c>
      <c r="V1490" s="13" t="s">
        <v>42</v>
      </c>
      <c r="W1490" s="13" t="s">
        <v>54</v>
      </c>
      <c r="X1490" s="21" t="n">
        <v>87751055021</v>
      </c>
      <c r="Y1490" s="22" t="str">
        <f aca="false">O1490</f>
        <v>Driver</v>
      </c>
      <c r="Z1490" s="13" t="str">
        <f aca="false">IFERROR(__xludf.dummyfunction("if(BJ1490="""","""",GOOGLETRANSLATE(BJ1490,""auto"",""en""))"),"Driver")</f>
        <v>Driver</v>
      </c>
      <c r="AA1490" s="23" t="str">
        <f aca="false">IF(C1490="","", CHOOSE(MONTH(C1490),"January","February","March","April","May","June","July","August","September","October","November","December")&amp;" "&amp;DAY(C1490)&amp;MID("thstndrdth",MIN(9,2*RIGHT(DAY(C1490))*(MOD(DAY(C1490)-11,100)&gt;2)+1),2)&amp;","&amp;TEXT(C1490," yyyy"))</f>
        <v>July 1st,2024</v>
      </c>
      <c r="AB1490" s="15" t="str">
        <f aca="true">IF(S1490="","",DATEDIF(S1490,TODAY(),"Y")&amp;" Tahun, "&amp;DATEDIF(S1490,TODAY(),"YM")&amp;" Bulan, "&amp;DATEDIF(S1490,TODAY(),"MD")&amp;" Hari")</f>
        <v>36 Tahun, 0 Bulan, 28 Hari</v>
      </c>
      <c r="AC1490" s="18" t="n">
        <v>45839</v>
      </c>
      <c r="AD1490" s="18" t="n">
        <v>46022</v>
      </c>
      <c r="AE1490" s="18" t="s">
        <v>44</v>
      </c>
    </row>
    <row r="1491" customFormat="false" ht="15" hidden="false" customHeight="true" outlineLevel="0" collapsed="false">
      <c r="A1491" s="12" t="n">
        <v>16117</v>
      </c>
      <c r="B1491" s="13" t="s">
        <v>6533</v>
      </c>
      <c r="C1491" s="14" t="n">
        <v>45474</v>
      </c>
      <c r="D1491" s="13" t="s">
        <v>6498</v>
      </c>
      <c r="E1491" s="15" t="s">
        <v>47</v>
      </c>
      <c r="F1491" s="15" t="str">
        <f aca="false">IFERROR(__xludf.dummyfunction("XLOOKUP(AJ1491,IMPORTRANGE(""1XaInW9DU9nz21V0tYIfzFQ0He9kVQ_JF2mCXgZ3hqFA"",""REKAP ALL 2026 - Andika!G:G""),IMPORTRANGE(""1XaInW9DU9nz21V0tYIfzFQ0He9kVQ_JF2mCXgZ3hqFA"",""REKAP ALL 2026 - Andika!F:F""),"""",0)"),"24105106629")</f>
        <v>24105106629</v>
      </c>
      <c r="G1491" s="15" t="s">
        <v>6534</v>
      </c>
      <c r="H1491" s="13" t="s">
        <v>35</v>
      </c>
      <c r="I1491" s="13" t="str">
        <f aca="false">IF(C1491=J1491,"NEW KONTRAK","RE-KONTRAK")</f>
        <v>RE-KONTRAK</v>
      </c>
      <c r="J1491" s="16" t="n">
        <f aca="false" t="array" ref="J1491:J1491">IFERROR(INDEX(AC1491:AE1491,IF(COUNTA(AC1491:AE1491)=0,"",MAX((AC1491:AE1491&lt;&gt;"")*(COLUMN(AC1491:AE1491)-(COLUMN(AC1491)))))-1),"")</f>
        <v>45839</v>
      </c>
      <c r="K1491" s="16" t="n">
        <f aca="false" t="array" ref="K1491:K1491">IFERROR(INDEX(AC1491:AE1491,IF(COUNTA(AC1491:AE1491)=0,"",MAX((AC1491:AE1491&lt;&gt;"")*(COLUMN(AC1491:AE1491)-(COLUMN(AC1491)-1))))-1),"")</f>
        <v>46022</v>
      </c>
      <c r="L1491" s="17" t="str">
        <f aca="false" t="array" ref="L1491:L1491">IFERROR(INDEX(AC1491:AE1491,IF(COUNTA(AC1491:AE1491)=0,"",MAX((AC1491:AE1491&lt;&gt;"")*(COLUMN(AC1491:AE1491)-(COLUMN(AC1491)-2))))-1),"")</f>
        <v>ARCHIVED</v>
      </c>
      <c r="M1491" s="13" t="n">
        <f aca="true">K1491-TODAY()</f>
        <v>-302</v>
      </c>
      <c r="N1491" s="50" t="s">
        <v>728</v>
      </c>
      <c r="O1491" s="13" t="s">
        <v>3271</v>
      </c>
      <c r="P1491" s="19" t="n">
        <v>5288796</v>
      </c>
      <c r="Q1491" s="20" t="s">
        <v>6535</v>
      </c>
      <c r="R1491" s="13" t="s">
        <v>52</v>
      </c>
      <c r="S1491" s="14" t="n">
        <v>29398</v>
      </c>
      <c r="T1491" s="13" t="s">
        <v>40</v>
      </c>
      <c r="U1491" s="13" t="s">
        <v>6536</v>
      </c>
      <c r="V1491" s="13" t="s">
        <v>42</v>
      </c>
      <c r="W1491" s="13" t="s">
        <v>54</v>
      </c>
      <c r="X1491" s="21" t="n">
        <v>87812540054</v>
      </c>
      <c r="Y1491" s="22" t="str">
        <f aca="false">O1491</f>
        <v>Helper</v>
      </c>
      <c r="Z1491" s="13" t="str">
        <f aca="false">IFERROR(__xludf.dummyfunction("if(BJ1491="""","""",GOOGLETRANSLATE(BJ1491,""auto"",""en""))"),"Helper")</f>
        <v>Helper</v>
      </c>
      <c r="AA1491" s="23" t="str">
        <f aca="false">IF(C1491="","", CHOOSE(MONTH(C1491),"January","February","March","April","May","June","July","August","September","October","November","December")&amp;" "&amp;DAY(C1491)&amp;MID("thstndrdth",MIN(9,2*RIGHT(DAY(C1491))*(MOD(DAY(C1491)-11,100)&gt;2)+1),2)&amp;","&amp;TEXT(C1491," yyyy"))</f>
        <v>July 1st,2024</v>
      </c>
      <c r="AB1491" s="15" t="str">
        <f aca="true">IF(S1491="","",DATEDIF(S1491,TODAY(),"Y")&amp;" Tahun, "&amp;DATEDIF(S1491,TODAY(),"YM")&amp;" Bulan, "&amp;DATEDIF(S1491,TODAY(),"MD")&amp;" Hari")</f>
        <v>46 Tahun, 4 Bulan, 3 Hari</v>
      </c>
      <c r="AC1491" s="18" t="n">
        <v>45839</v>
      </c>
      <c r="AD1491" s="18" t="n">
        <v>46022</v>
      </c>
      <c r="AE1491" s="18" t="s">
        <v>44</v>
      </c>
    </row>
    <row r="1492" customFormat="false" ht="15" hidden="false" customHeight="true" outlineLevel="0" collapsed="false">
      <c r="A1492" s="12" t="n">
        <v>16118</v>
      </c>
      <c r="B1492" s="13" t="s">
        <v>6537</v>
      </c>
      <c r="C1492" s="14" t="n">
        <v>45474</v>
      </c>
      <c r="D1492" s="13" t="s">
        <v>6498</v>
      </c>
      <c r="E1492" s="15" t="s">
        <v>47</v>
      </c>
      <c r="F1492" s="15" t="str">
        <f aca="false">IFERROR(__xludf.dummyfunction("XLOOKUP(AJ1492,IMPORTRANGE(""1XaInW9DU9nz21V0tYIfzFQ0He9kVQ_JF2mCXgZ3hqFA"",""REKAP ALL 2026 - Andika!G:G""),IMPORTRANGE(""1XaInW9DU9nz21V0tYIfzFQ0He9kVQ_JF2mCXgZ3hqFA"",""REKAP ALL 2026 - Andika!F:F""),"""",0)"),"23121988929")</f>
        <v>23121988929</v>
      </c>
      <c r="G1492" s="15" t="s">
        <v>6538</v>
      </c>
      <c r="H1492" s="13" t="s">
        <v>35</v>
      </c>
      <c r="I1492" s="13" t="str">
        <f aca="false">IF(C1492=J1492,"NEW KONTRAK","RE-KONTRAK")</f>
        <v>RE-KONTRAK</v>
      </c>
      <c r="J1492" s="16" t="n">
        <f aca="false" t="array" ref="J1492:J1492">IFERROR(INDEX(AC1492:AE1492,IF(COUNTA(AC1492:AE1492)=0,"",MAX((AC1492:AE1492&lt;&gt;"")*(COLUMN(AC1492:AE1492)-(COLUMN(AC1492)))))-1),"")</f>
        <v>45839</v>
      </c>
      <c r="K1492" s="16" t="n">
        <f aca="false" t="array" ref="K1492:K1492">IFERROR(INDEX(AC1492:AE1492,IF(COUNTA(AC1492:AE1492)=0,"",MAX((AC1492:AE1492&lt;&gt;"")*(COLUMN(AC1492:AE1492)-(COLUMN(AC1492)-1))))-1),"")</f>
        <v>46022</v>
      </c>
      <c r="L1492" s="17" t="str">
        <f aca="false" t="array" ref="L1492:L1492">IFERROR(INDEX(AC1492:AE1492,IF(COUNTA(AC1492:AE1492)=0,"",MAX((AC1492:AE1492&lt;&gt;"")*(COLUMN(AC1492:AE1492)-(COLUMN(AC1492)-2))))-1),"")</f>
        <v>ARCHIVED</v>
      </c>
      <c r="M1492" s="13" t="n">
        <f aca="true">K1492-TODAY()</f>
        <v>-302</v>
      </c>
      <c r="N1492" s="50" t="s">
        <v>4735</v>
      </c>
      <c r="O1492" s="13" t="s">
        <v>3271</v>
      </c>
      <c r="P1492" s="19" t="n">
        <v>3802862</v>
      </c>
      <c r="Q1492" s="20" t="s">
        <v>6539</v>
      </c>
      <c r="R1492" s="13" t="s">
        <v>2587</v>
      </c>
      <c r="S1492" s="14" t="n">
        <v>32708</v>
      </c>
      <c r="T1492" s="13" t="s">
        <v>40</v>
      </c>
      <c r="U1492" s="13" t="s">
        <v>6540</v>
      </c>
      <c r="V1492" s="13" t="s">
        <v>42</v>
      </c>
      <c r="W1492" s="13" t="s">
        <v>43</v>
      </c>
      <c r="X1492" s="21" t="n">
        <v>81334564447</v>
      </c>
      <c r="Y1492" s="22" t="str">
        <f aca="false">O1492</f>
        <v>Helper</v>
      </c>
      <c r="Z1492" s="13" t="str">
        <f aca="false">IFERROR(__xludf.dummyfunction("if(BJ1492="""","""",GOOGLETRANSLATE(BJ1492,""auto"",""en""))"),"Helper")</f>
        <v>Helper</v>
      </c>
      <c r="AA1492" s="23" t="str">
        <f aca="false">IF(C1492="","", CHOOSE(MONTH(C1492),"January","February","March","April","May","June","July","August","September","October","November","December")&amp;" "&amp;DAY(C1492)&amp;MID("thstndrdth",MIN(9,2*RIGHT(DAY(C1492))*(MOD(DAY(C1492)-11,100)&gt;2)+1),2)&amp;","&amp;TEXT(C1492," yyyy"))</f>
        <v>July 1st,2024</v>
      </c>
      <c r="AB1492" s="15" t="str">
        <f aca="true">IF(S1492="","",DATEDIF(S1492,TODAY(),"Y")&amp;" Tahun, "&amp;DATEDIF(S1492,TODAY(),"YM")&amp;" Bulan, "&amp;DATEDIF(S1492,TODAY(),"MD")&amp;" Hari")</f>
        <v>37 Tahun, 3 Bulan, 10 Hari</v>
      </c>
      <c r="AC1492" s="18" t="n">
        <v>45839</v>
      </c>
      <c r="AD1492" s="18" t="n">
        <v>46022</v>
      </c>
      <c r="AE1492" s="18" t="s">
        <v>44</v>
      </c>
    </row>
    <row r="1493" customFormat="false" ht="15" hidden="false" customHeight="true" outlineLevel="0" collapsed="false">
      <c r="A1493" s="12" t="n">
        <v>16119</v>
      </c>
      <c r="B1493" s="13" t="s">
        <v>6541</v>
      </c>
      <c r="C1493" s="14" t="n">
        <v>45474</v>
      </c>
      <c r="D1493" s="13" t="s">
        <v>6498</v>
      </c>
      <c r="E1493" s="15" t="s">
        <v>47</v>
      </c>
      <c r="F1493" s="15" t="str">
        <f aca="false">IFERROR(__xludf.dummyfunction("XLOOKUP(AJ1493,IMPORTRANGE(""1XaInW9DU9nz21V0tYIfzFQ0He9kVQ_JF2mCXgZ3hqFA"",""REKAP ALL 2026 - Andika!G:G""),IMPORTRANGE(""1XaInW9DU9nz21V0tYIfzFQ0He9kVQ_JF2mCXgZ3hqFA"",""REKAP ALL 2026 - Andika!F:F""),"""",0)"),"24105104517")</f>
        <v>24105104517</v>
      </c>
      <c r="G1493" s="15" t="s">
        <v>6542</v>
      </c>
      <c r="H1493" s="13" t="s">
        <v>35</v>
      </c>
      <c r="I1493" s="13" t="str">
        <f aca="false">IF(C1493=J1493,"NEW KONTRAK","RE-KONTRAK")</f>
        <v>RE-KONTRAK</v>
      </c>
      <c r="J1493" s="16" t="n">
        <f aca="false" t="array" ref="J1493:J1493">IFERROR(INDEX(AC1493:AE1493,IF(COUNTA(AC1493:AE1493)=0,"",MAX((AC1493:AE1493&lt;&gt;"")*(COLUMN(AC1493:AE1493)-(COLUMN(AC1493)))))-1),"")</f>
        <v>45839</v>
      </c>
      <c r="K1493" s="16" t="n">
        <f aca="false" t="array" ref="K1493:K1493">IFERROR(INDEX(AC1493:AE1493,IF(COUNTA(AC1493:AE1493)=0,"",MAX((AC1493:AE1493&lt;&gt;"")*(COLUMN(AC1493:AE1493)-(COLUMN(AC1493)-1))))-1),"")</f>
        <v>46022</v>
      </c>
      <c r="L1493" s="17" t="str">
        <f aca="false" t="array" ref="L1493:L1493">IFERROR(INDEX(AC1493:AE1493,IF(COUNTA(AC1493:AE1493)=0,"",MAX((AC1493:AE1493&lt;&gt;"")*(COLUMN(AC1493:AE1493)-(COLUMN(AC1493)-2))))-1),"")</f>
        <v>ARCHIVED</v>
      </c>
      <c r="M1493" s="13" t="n">
        <f aca="true">K1493-TODAY()</f>
        <v>-302</v>
      </c>
      <c r="N1493" s="50" t="s">
        <v>728</v>
      </c>
      <c r="O1493" s="13" t="s">
        <v>3271</v>
      </c>
      <c r="P1493" s="19" t="n">
        <v>5288796</v>
      </c>
      <c r="Q1493" s="20" t="s">
        <v>6543</v>
      </c>
      <c r="R1493" s="13" t="s">
        <v>735</v>
      </c>
      <c r="S1493" s="14" t="n">
        <v>34420</v>
      </c>
      <c r="T1493" s="13" t="s">
        <v>40</v>
      </c>
      <c r="U1493" s="13" t="s">
        <v>6544</v>
      </c>
      <c r="V1493" s="13" t="s">
        <v>42</v>
      </c>
      <c r="W1493" s="13" t="s">
        <v>43</v>
      </c>
      <c r="X1493" s="21" t="n">
        <v>82140913486</v>
      </c>
      <c r="Y1493" s="22" t="str">
        <f aca="false">O1493</f>
        <v>Helper</v>
      </c>
      <c r="Z1493" s="13" t="str">
        <f aca="false">IFERROR(__xludf.dummyfunction("if(BJ1493="""","""",GOOGLETRANSLATE(BJ1493,""auto"",""en""))"),"Helper")</f>
        <v>Helper</v>
      </c>
      <c r="AA1493" s="23" t="str">
        <f aca="false">IF(C1493="","", CHOOSE(MONTH(C1493),"January","February","March","April","May","June","July","August","September","October","November","December")&amp;" "&amp;DAY(C1493)&amp;MID("thstndrdth",MIN(9,2*RIGHT(DAY(C1493))*(MOD(DAY(C1493)-11,100)&gt;2)+1),2)&amp;","&amp;TEXT(C1493," yyyy"))</f>
        <v>July 1st,2024</v>
      </c>
      <c r="AB1493" s="15" t="str">
        <f aca="true">IF(S1493="","",DATEDIF(S1493,TODAY(),"Y")&amp;" Tahun, "&amp;DATEDIF(S1493,TODAY(),"YM")&amp;" Bulan, "&amp;DATEDIF(S1493,TODAY(),"MD")&amp;" Hari")</f>
        <v>32 Tahun, 7 Bulan, 2 Hari</v>
      </c>
      <c r="AC1493" s="18" t="n">
        <v>45839</v>
      </c>
      <c r="AD1493" s="18" t="n">
        <v>46022</v>
      </c>
      <c r="AE1493" s="18" t="s">
        <v>44</v>
      </c>
    </row>
    <row r="1494" customFormat="false" ht="15" hidden="false" customHeight="true" outlineLevel="0" collapsed="false">
      <c r="A1494" s="12" t="n">
        <v>16120</v>
      </c>
      <c r="B1494" s="13" t="s">
        <v>6545</v>
      </c>
      <c r="C1494" s="14" t="n">
        <v>45474</v>
      </c>
      <c r="D1494" s="13" t="s">
        <v>6498</v>
      </c>
      <c r="E1494" s="15" t="s">
        <v>47</v>
      </c>
      <c r="F1494" s="15" t="str">
        <f aca="false">IFERROR(__xludf.dummyfunction("XLOOKUP(AJ1494,IMPORTRANGE(""1XaInW9DU9nz21V0tYIfzFQ0He9kVQ_JF2mCXgZ3hqFA"",""REKAP ALL 2026 - Andika!G:G""),IMPORTRANGE(""1XaInW9DU9nz21V0tYIfzFQ0He9kVQ_JF2mCXgZ3hqFA"",""REKAP ALL 2026 - Andika!F:F""),"""",0)"),"24105107148")</f>
        <v>24105107148</v>
      </c>
      <c r="G1494" s="15" t="s">
        <v>6546</v>
      </c>
      <c r="H1494" s="13" t="s">
        <v>35</v>
      </c>
      <c r="I1494" s="13" t="str">
        <f aca="false">IF(C1494=J1494,"NEW KONTRAK","RE-KONTRAK")</f>
        <v>RE-KONTRAK</v>
      </c>
      <c r="J1494" s="16" t="n">
        <f aca="false" t="array" ref="J1494:J1494">IFERROR(INDEX(AC1494:AE1494,IF(COUNTA(AC1494:AE1494)=0,"",MAX((AC1494:AE1494&lt;&gt;"")*(COLUMN(AC1494:AE1494)-(COLUMN(AC1494)))))-1),"")</f>
        <v>45839</v>
      </c>
      <c r="K1494" s="16" t="n">
        <f aca="false" t="array" ref="K1494:K1494">IFERROR(INDEX(AC1494:AE1494,IF(COUNTA(AC1494:AE1494)=0,"",MAX((AC1494:AE1494&lt;&gt;"")*(COLUMN(AC1494:AE1494)-(COLUMN(AC1494)-1))))-1),"")</f>
        <v>46022</v>
      </c>
      <c r="L1494" s="17" t="str">
        <f aca="false" t="array" ref="L1494:L1494">IFERROR(INDEX(AC1494:AE1494,IF(COUNTA(AC1494:AE1494)=0,"",MAX((AC1494:AE1494&lt;&gt;"")*(COLUMN(AC1494:AE1494)-(COLUMN(AC1494)-2))))-1),"")</f>
        <v>ARCHIVED</v>
      </c>
      <c r="M1494" s="13" t="n">
        <f aca="true">K1494-TODAY()</f>
        <v>-302</v>
      </c>
      <c r="N1494" s="50" t="s">
        <v>728</v>
      </c>
      <c r="O1494" s="13" t="s">
        <v>3271</v>
      </c>
      <c r="P1494" s="19" t="n">
        <v>5288796</v>
      </c>
      <c r="Q1494" s="20" t="s">
        <v>6547</v>
      </c>
      <c r="R1494" s="13" t="s">
        <v>65</v>
      </c>
      <c r="S1494" s="14" t="n">
        <v>33400</v>
      </c>
      <c r="T1494" s="13" t="s">
        <v>40</v>
      </c>
      <c r="U1494" s="13" t="s">
        <v>6548</v>
      </c>
      <c r="V1494" s="13" t="s">
        <v>42</v>
      </c>
      <c r="W1494" s="13" t="s">
        <v>54</v>
      </c>
      <c r="X1494" s="21" t="n">
        <v>82233010630</v>
      </c>
      <c r="Y1494" s="22" t="str">
        <f aca="false">O1494</f>
        <v>Helper</v>
      </c>
      <c r="Z1494" s="13" t="str">
        <f aca="false">IFERROR(__xludf.dummyfunction("if(BJ1494="""","""",GOOGLETRANSLATE(BJ1494,""auto"",""en""))"),"Helper")</f>
        <v>Helper</v>
      </c>
      <c r="AA1494" s="23" t="str">
        <f aca="false">IF(C1494="","", CHOOSE(MONTH(C1494),"January","February","March","April","May","June","July","August","September","October","November","December")&amp;" "&amp;DAY(C1494)&amp;MID("thstndrdth",MIN(9,2*RIGHT(DAY(C1494))*(MOD(DAY(C1494)-11,100)&gt;2)+1),2)&amp;","&amp;TEXT(C1494," yyyy"))</f>
        <v>July 1st,2024</v>
      </c>
      <c r="AB1494" s="15" t="str">
        <f aca="true">IF(S1494="","",DATEDIF(S1494,TODAY(),"Y")&amp;" Tahun, "&amp;DATEDIF(S1494,TODAY(),"YM")&amp;" Bulan, "&amp;DATEDIF(S1494,TODAY(),"MD")&amp;" Hari")</f>
        <v>35 Tahun, 4 Bulan, 18 Hari</v>
      </c>
      <c r="AC1494" s="18" t="n">
        <v>45839</v>
      </c>
      <c r="AD1494" s="18" t="n">
        <v>46022</v>
      </c>
      <c r="AE1494" s="18" t="s">
        <v>44</v>
      </c>
    </row>
    <row r="1495" customFormat="false" ht="15" hidden="false" customHeight="true" outlineLevel="0" collapsed="false">
      <c r="A1495" s="12" t="n">
        <v>16121</v>
      </c>
      <c r="B1495" s="13" t="s">
        <v>6549</v>
      </c>
      <c r="C1495" s="14" t="n">
        <v>45474</v>
      </c>
      <c r="D1495" s="13" t="s">
        <v>6498</v>
      </c>
      <c r="E1495" s="15" t="s">
        <v>47</v>
      </c>
      <c r="F1495" s="15" t="str">
        <f aca="false">IFERROR(__xludf.dummyfunction("XLOOKUP(AJ1495,IMPORTRANGE(""1XaInW9DU9nz21V0tYIfzFQ0He9kVQ_JF2mCXgZ3hqFA"",""REKAP ALL 2026 - Andika!G:G""),IMPORTRANGE(""1XaInW9DU9nz21V0tYIfzFQ0He9kVQ_JF2mCXgZ3hqFA"",""REKAP ALL 2026 - Andika!F:F""),"""",0)"),"24105104533")</f>
        <v>24105104533</v>
      </c>
      <c r="G1495" s="15" t="s">
        <v>6550</v>
      </c>
      <c r="H1495" s="13" t="s">
        <v>35</v>
      </c>
      <c r="I1495" s="13" t="str">
        <f aca="false">IF(C1495=J1495,"NEW KONTRAK","RE-KONTRAK")</f>
        <v>RE-KONTRAK</v>
      </c>
      <c r="J1495" s="16" t="n">
        <f aca="false" t="array" ref="J1495:J1495">IFERROR(INDEX(AC1495:AE1495,IF(COUNTA(AC1495:AE1495)=0,"",MAX((AC1495:AE1495&lt;&gt;"")*(COLUMN(AC1495:AE1495)-(COLUMN(AC1495)))))-1),"")</f>
        <v>45839</v>
      </c>
      <c r="K1495" s="16" t="n">
        <f aca="false" t="array" ref="K1495:K1495">IFERROR(INDEX(AC1495:AE1495,IF(COUNTA(AC1495:AE1495)=0,"",MAX((AC1495:AE1495&lt;&gt;"")*(COLUMN(AC1495:AE1495)-(COLUMN(AC1495)-1))))-1),"")</f>
        <v>46022</v>
      </c>
      <c r="L1495" s="17" t="str">
        <f aca="false" t="array" ref="L1495:L1495">IFERROR(INDEX(AC1495:AE1495,IF(COUNTA(AC1495:AE1495)=0,"",MAX((AC1495:AE1495&lt;&gt;"")*(COLUMN(AC1495:AE1495)-(COLUMN(AC1495)-2))))-1),"")</f>
        <v>ARCHIVED</v>
      </c>
      <c r="M1495" s="13" t="n">
        <f aca="true">K1495-TODAY()</f>
        <v>-302</v>
      </c>
      <c r="N1495" s="50" t="s">
        <v>728</v>
      </c>
      <c r="O1495" s="13" t="s">
        <v>3271</v>
      </c>
      <c r="P1495" s="19" t="n">
        <v>5288796</v>
      </c>
      <c r="Q1495" s="20" t="s">
        <v>6551</v>
      </c>
      <c r="R1495" s="13" t="s">
        <v>39</v>
      </c>
      <c r="S1495" s="14" t="n">
        <v>36525</v>
      </c>
      <c r="T1495" s="13" t="s">
        <v>40</v>
      </c>
      <c r="U1495" s="13" t="s">
        <v>6552</v>
      </c>
      <c r="V1495" s="13" t="s">
        <v>42</v>
      </c>
      <c r="W1495" s="13" t="s">
        <v>43</v>
      </c>
      <c r="X1495" s="21" t="n">
        <v>85707458913</v>
      </c>
      <c r="Y1495" s="22" t="str">
        <f aca="false">O1495</f>
        <v>Helper</v>
      </c>
      <c r="Z1495" s="13" t="str">
        <f aca="false">IFERROR(__xludf.dummyfunction("if(BJ1495="""","""",GOOGLETRANSLATE(BJ1495,""auto"",""en""))"),"Helper")</f>
        <v>Helper</v>
      </c>
      <c r="AA1495" s="23" t="str">
        <f aca="false">IF(C1495="","", CHOOSE(MONTH(C1495),"January","February","March","April","May","June","July","August","September","October","November","December")&amp;" "&amp;DAY(C1495)&amp;MID("thstndrdth",MIN(9,2*RIGHT(DAY(C1495))*(MOD(DAY(C1495)-11,100)&gt;2)+1),2)&amp;","&amp;TEXT(C1495," yyyy"))</f>
        <v>July 1st,2024</v>
      </c>
      <c r="AB1495" s="15" t="str">
        <f aca="true">IF(S1495="","",DATEDIF(S1495,TODAY(),"Y")&amp;" Tahun, "&amp;DATEDIF(S1495,TODAY(),"YM")&amp;" Bulan, "&amp;DATEDIF(S1495,TODAY(),"MD")&amp;" Hari")</f>
        <v>26 Tahun, 9 Bulan, 28 Hari</v>
      </c>
      <c r="AC1495" s="18" t="n">
        <v>45839</v>
      </c>
      <c r="AD1495" s="18" t="n">
        <v>46022</v>
      </c>
      <c r="AE1495" s="18" t="s">
        <v>44</v>
      </c>
    </row>
    <row r="1496" customFormat="false" ht="15" hidden="false" customHeight="true" outlineLevel="0" collapsed="false">
      <c r="A1496" s="12" t="n">
        <v>16122</v>
      </c>
      <c r="B1496" s="13" t="s">
        <v>6553</v>
      </c>
      <c r="C1496" s="14" t="n">
        <v>45474</v>
      </c>
      <c r="D1496" s="13" t="s">
        <v>6498</v>
      </c>
      <c r="E1496" s="15" t="s">
        <v>47</v>
      </c>
      <c r="F1496" s="15" t="str">
        <f aca="false">IFERROR(__xludf.dummyfunction("XLOOKUP(AJ1496,IMPORTRANGE(""1XaInW9DU9nz21V0tYIfzFQ0He9kVQ_JF2mCXgZ3hqFA"",""REKAP ALL 2026 - Andika!G:G""),IMPORTRANGE(""1XaInW9DU9nz21V0tYIfzFQ0He9kVQ_JF2mCXgZ3hqFA"",""REKAP ALL 2026 - Andika!F:F""),"""",0)"),"24105104541")</f>
        <v>24105104541</v>
      </c>
      <c r="G1496" s="15" t="s">
        <v>6554</v>
      </c>
      <c r="H1496" s="13" t="s">
        <v>35</v>
      </c>
      <c r="I1496" s="13" t="str">
        <f aca="false">IF(C1496=J1496,"NEW KONTRAK","RE-KONTRAK")</f>
        <v>RE-KONTRAK</v>
      </c>
      <c r="J1496" s="16" t="n">
        <f aca="false" t="array" ref="J1496:J1496">IFERROR(INDEX(AC1496:AE1496,IF(COUNTA(AC1496:AE1496)=0,"",MAX((AC1496:AE1496&lt;&gt;"")*(COLUMN(AC1496:AE1496)-(COLUMN(AC1496)))))-1),"")</f>
        <v>45839</v>
      </c>
      <c r="K1496" s="16" t="n">
        <f aca="false" t="array" ref="K1496:K1496">IFERROR(INDEX(AC1496:AE1496,IF(COUNTA(AC1496:AE1496)=0,"",MAX((AC1496:AE1496&lt;&gt;"")*(COLUMN(AC1496:AE1496)-(COLUMN(AC1496)-1))))-1),"")</f>
        <v>46022</v>
      </c>
      <c r="L1496" s="17" t="str">
        <f aca="false" t="array" ref="L1496:L1496">IFERROR(INDEX(AC1496:AE1496,IF(COUNTA(AC1496:AE1496)=0,"",MAX((AC1496:AE1496&lt;&gt;"")*(COLUMN(AC1496:AE1496)-(COLUMN(AC1496)-2))))-1),"")</f>
        <v>ARCHIVED</v>
      </c>
      <c r="M1496" s="13" t="n">
        <f aca="true">K1496-TODAY()</f>
        <v>-302</v>
      </c>
      <c r="N1496" s="50" t="s">
        <v>728</v>
      </c>
      <c r="O1496" s="13" t="s">
        <v>3271</v>
      </c>
      <c r="P1496" s="19" t="n">
        <v>5288796</v>
      </c>
      <c r="Q1496" s="20" t="s">
        <v>6555</v>
      </c>
      <c r="R1496" s="13" t="s">
        <v>6556</v>
      </c>
      <c r="S1496" s="14" t="n">
        <v>33423</v>
      </c>
      <c r="T1496" s="13" t="s">
        <v>40</v>
      </c>
      <c r="U1496" s="13" t="s">
        <v>6557</v>
      </c>
      <c r="V1496" s="13" t="s">
        <v>42</v>
      </c>
      <c r="W1496" s="13" t="s">
        <v>43</v>
      </c>
      <c r="X1496" s="21" t="n">
        <v>82131753374</v>
      </c>
      <c r="Y1496" s="22" t="str">
        <f aca="false">O1496</f>
        <v>Helper</v>
      </c>
      <c r="Z1496" s="13" t="str">
        <f aca="false">IFERROR(__xludf.dummyfunction("if(BJ1496="""","""",GOOGLETRANSLATE(BJ1496,""auto"",""en""))"),"Helper")</f>
        <v>Helper</v>
      </c>
      <c r="AA1496" s="23" t="str">
        <f aca="false">IF(C1496="","", CHOOSE(MONTH(C1496),"January","February","March","April","May","June","July","August","September","October","November","December")&amp;" "&amp;DAY(C1496)&amp;MID("thstndrdth",MIN(9,2*RIGHT(DAY(C1496))*(MOD(DAY(C1496)-11,100)&gt;2)+1),2)&amp;","&amp;TEXT(C1496," yyyy"))</f>
        <v>July 1st,2024</v>
      </c>
      <c r="AB1496" s="15" t="str">
        <f aca="true">IF(S1496="","",DATEDIF(S1496,TODAY(),"Y")&amp;" Tahun, "&amp;DATEDIF(S1496,TODAY(),"YM")&amp;" Bulan, "&amp;DATEDIF(S1496,TODAY(),"MD")&amp;" Hari")</f>
        <v>35 Tahun, 3 Bulan, 25 Hari</v>
      </c>
      <c r="AC1496" s="18" t="n">
        <v>45839</v>
      </c>
      <c r="AD1496" s="18" t="n">
        <v>46022</v>
      </c>
      <c r="AE1496" s="18" t="s">
        <v>44</v>
      </c>
    </row>
    <row r="1497" customFormat="false" ht="15" hidden="false" customHeight="true" outlineLevel="0" collapsed="false">
      <c r="A1497" s="12" t="n">
        <v>16123</v>
      </c>
      <c r="B1497" s="13" t="s">
        <v>6558</v>
      </c>
      <c r="C1497" s="14" t="n">
        <v>45474</v>
      </c>
      <c r="D1497" s="13" t="s">
        <v>6498</v>
      </c>
      <c r="E1497" s="15" t="s">
        <v>47</v>
      </c>
      <c r="F1497" s="15" t="str">
        <f aca="false">IFERROR(__xludf.dummyfunction("XLOOKUP(AJ1497,IMPORTRANGE(""1XaInW9DU9nz21V0tYIfzFQ0He9kVQ_JF2mCXgZ3hqFA"",""REKAP ALL 2026 - Andika!G:G""),IMPORTRANGE(""1XaInW9DU9nz21V0tYIfzFQ0He9kVQ_JF2mCXgZ3hqFA"",""REKAP ALL 2026 - Andika!F:F""),"""",0)"),"24105104566")</f>
        <v>24105104566</v>
      </c>
      <c r="G1497" s="15" t="s">
        <v>6559</v>
      </c>
      <c r="H1497" s="13" t="s">
        <v>35</v>
      </c>
      <c r="I1497" s="13" t="str">
        <f aca="false">IF(C1497=J1497,"NEW KONTRAK","RE-KONTRAK")</f>
        <v>RE-KONTRAK</v>
      </c>
      <c r="J1497" s="16" t="n">
        <f aca="false" t="array" ref="J1497:J1497">IFERROR(INDEX(AC1497:AE1497,IF(COUNTA(AC1497:AE1497)=0,"",MAX((AC1497:AE1497&lt;&gt;"")*(COLUMN(AC1497:AE1497)-(COLUMN(AC1497)))))-1),"")</f>
        <v>45839</v>
      </c>
      <c r="K1497" s="16" t="n">
        <f aca="false" t="array" ref="K1497:K1497">IFERROR(INDEX(AC1497:AE1497,IF(COUNTA(AC1497:AE1497)=0,"",MAX((AC1497:AE1497&lt;&gt;"")*(COLUMN(AC1497:AE1497)-(COLUMN(AC1497)-1))))-1),"")</f>
        <v>46022</v>
      </c>
      <c r="L1497" s="17" t="str">
        <f aca="false" t="array" ref="L1497:L1497">IFERROR(INDEX(AC1497:AE1497,IF(COUNTA(AC1497:AE1497)=0,"",MAX((AC1497:AE1497&lt;&gt;"")*(COLUMN(AC1497:AE1497)-(COLUMN(AC1497)-2))))-1),"")</f>
        <v>ARCHIVED</v>
      </c>
      <c r="M1497" s="13" t="n">
        <f aca="true">K1497-TODAY()</f>
        <v>-302</v>
      </c>
      <c r="N1497" s="50" t="s">
        <v>728</v>
      </c>
      <c r="O1497" s="13" t="s">
        <v>3271</v>
      </c>
      <c r="P1497" s="19" t="n">
        <v>5288796</v>
      </c>
      <c r="Q1497" s="20" t="s">
        <v>6560</v>
      </c>
      <c r="R1497" s="13" t="s">
        <v>52</v>
      </c>
      <c r="S1497" s="14" t="n">
        <v>32581</v>
      </c>
      <c r="T1497" s="13" t="s">
        <v>40</v>
      </c>
      <c r="U1497" s="13" t="s">
        <v>6561</v>
      </c>
      <c r="V1497" s="13" t="s">
        <v>42</v>
      </c>
      <c r="W1497" s="13" t="s">
        <v>43</v>
      </c>
      <c r="X1497" s="21" t="n">
        <v>83830600921</v>
      </c>
      <c r="Y1497" s="22" t="str">
        <f aca="false">O1497</f>
        <v>Helper</v>
      </c>
      <c r="Z1497" s="13" t="str">
        <f aca="false">IFERROR(__xludf.dummyfunction("if(BJ1497="""","""",GOOGLETRANSLATE(BJ1497,""auto"",""en""))"),"Helper")</f>
        <v>Helper</v>
      </c>
      <c r="AA1497" s="23" t="str">
        <f aca="false">IF(C1497="","", CHOOSE(MONTH(C1497),"January","February","March","April","May","June","July","August","September","October","November","December")&amp;" "&amp;DAY(C1497)&amp;MID("thstndrdth",MIN(9,2*RIGHT(DAY(C1497))*(MOD(DAY(C1497)-11,100)&gt;2)+1),2)&amp;","&amp;TEXT(C1497," yyyy"))</f>
        <v>July 1st,2024</v>
      </c>
      <c r="AB1497" s="15" t="str">
        <f aca="true">IF(S1497="","",DATEDIF(S1497,TODAY(),"Y")&amp;" Tahun, "&amp;DATEDIF(S1497,TODAY(),"YM")&amp;" Bulan, "&amp;DATEDIF(S1497,TODAY(),"MD")&amp;" Hari")</f>
        <v>37 Tahun, 7 Bulan, 15 Hari</v>
      </c>
      <c r="AC1497" s="18" t="n">
        <v>45839</v>
      </c>
      <c r="AD1497" s="18" t="n">
        <v>46022</v>
      </c>
      <c r="AE1497" s="18" t="s">
        <v>44</v>
      </c>
    </row>
    <row r="1498" customFormat="false" ht="15" hidden="false" customHeight="true" outlineLevel="0" collapsed="false">
      <c r="A1498" s="12" t="n">
        <v>16124</v>
      </c>
      <c r="B1498" s="13" t="s">
        <v>6562</v>
      </c>
      <c r="C1498" s="14" t="n">
        <v>45474</v>
      </c>
      <c r="D1498" s="13" t="s">
        <v>6498</v>
      </c>
      <c r="E1498" s="15" t="s">
        <v>47</v>
      </c>
      <c r="F1498" s="15" t="str">
        <f aca="false">IFERROR(__xludf.dummyfunction("XLOOKUP(AJ1498,IMPORTRANGE(""1XaInW9DU9nz21V0tYIfzFQ0He9kVQ_JF2mCXgZ3hqFA"",""REKAP ALL 2026 - Andika!G:G""),IMPORTRANGE(""1XaInW9DU9nz21V0tYIfzFQ0He9kVQ_JF2mCXgZ3hqFA"",""REKAP ALL 2026 - Andika!F:F""),"""",0)"),"22077626699")</f>
        <v>22077626699</v>
      </c>
      <c r="G1498" s="15" t="s">
        <v>6563</v>
      </c>
      <c r="H1498" s="13" t="s">
        <v>35</v>
      </c>
      <c r="I1498" s="13" t="str">
        <f aca="false">IF(C1498=J1498,"NEW KONTRAK","RE-KONTRAK")</f>
        <v>RE-KONTRAK</v>
      </c>
      <c r="J1498" s="16" t="n">
        <f aca="false" t="array" ref="J1498:J1498">IFERROR(INDEX(AC1498:AE1498,IF(COUNTA(AC1498:AE1498)=0,"",MAX((AC1498:AE1498&lt;&gt;"")*(COLUMN(AC1498:AE1498)-(COLUMN(AC1498)))))-1),"")</f>
        <v>45839</v>
      </c>
      <c r="K1498" s="16" t="n">
        <f aca="false" t="array" ref="K1498:K1498">IFERROR(INDEX(AC1498:AE1498,IF(COUNTA(AC1498:AE1498)=0,"",MAX((AC1498:AE1498&lt;&gt;"")*(COLUMN(AC1498:AE1498)-(COLUMN(AC1498)-1))))-1),"")</f>
        <v>46022</v>
      </c>
      <c r="L1498" s="17" t="str">
        <f aca="false" t="array" ref="L1498:L1498">IFERROR(INDEX(AC1498:AE1498,IF(COUNTA(AC1498:AE1498)=0,"",MAX((AC1498:AE1498&lt;&gt;"")*(COLUMN(AC1498:AE1498)-(COLUMN(AC1498)-2))))-1),"")</f>
        <v>ARCHIVED</v>
      </c>
      <c r="M1498" s="13" t="n">
        <f aca="true">K1498-TODAY()</f>
        <v>-302</v>
      </c>
      <c r="N1498" s="50" t="s">
        <v>728</v>
      </c>
      <c r="O1498" s="13" t="s">
        <v>3271</v>
      </c>
      <c r="P1498" s="19" t="n">
        <v>5288796</v>
      </c>
      <c r="Q1498" s="20" t="s">
        <v>6564</v>
      </c>
      <c r="R1498" s="13" t="s">
        <v>52</v>
      </c>
      <c r="S1498" s="14" t="n">
        <v>37345</v>
      </c>
      <c r="T1498" s="13" t="s">
        <v>40</v>
      </c>
      <c r="U1498" s="13" t="s">
        <v>6565</v>
      </c>
      <c r="V1498" s="13" t="s">
        <v>42</v>
      </c>
      <c r="W1498" s="13" t="s">
        <v>43</v>
      </c>
      <c r="X1498" s="21" t="n">
        <v>85745346455</v>
      </c>
      <c r="Y1498" s="22" t="str">
        <f aca="false">O1498</f>
        <v>Helper</v>
      </c>
      <c r="Z1498" s="13" t="str">
        <f aca="false">IFERROR(__xludf.dummyfunction("if(BJ1498="""","""",GOOGLETRANSLATE(BJ1498,""auto"",""en""))"),"Helper")</f>
        <v>Helper</v>
      </c>
      <c r="AA1498" s="23" t="str">
        <f aca="false">IF(C1498="","", CHOOSE(MONTH(C1498),"January","February","March","April","May","June","July","August","September","October","November","December")&amp;" "&amp;DAY(C1498)&amp;MID("thstndrdth",MIN(9,2*RIGHT(DAY(C1498))*(MOD(DAY(C1498)-11,100)&gt;2)+1),2)&amp;","&amp;TEXT(C1498," yyyy"))</f>
        <v>July 1st,2024</v>
      </c>
      <c r="AB1498" s="15" t="str">
        <f aca="true">IF(S1498="","",DATEDIF(S1498,TODAY(),"Y")&amp;" Tahun, "&amp;DATEDIF(S1498,TODAY(),"YM")&amp;" Bulan, "&amp;DATEDIF(S1498,TODAY(),"MD")&amp;" Hari")</f>
        <v>24 Tahun, 6 Bulan, 29 Hari</v>
      </c>
      <c r="AC1498" s="18" t="n">
        <v>45839</v>
      </c>
      <c r="AD1498" s="18" t="n">
        <v>46022</v>
      </c>
      <c r="AE1498" s="18" t="s">
        <v>44</v>
      </c>
    </row>
    <row r="1499" customFormat="false" ht="15" hidden="false" customHeight="true" outlineLevel="0" collapsed="false">
      <c r="A1499" s="12" t="n">
        <v>16126</v>
      </c>
      <c r="B1499" s="13" t="s">
        <v>6566</v>
      </c>
      <c r="C1499" s="14" t="n">
        <v>45474</v>
      </c>
      <c r="D1499" s="13" t="s">
        <v>6498</v>
      </c>
      <c r="E1499" s="15" t="s">
        <v>47</v>
      </c>
      <c r="F1499" s="15" t="str">
        <f aca="false">IFERROR(__xludf.dummyfunction("XLOOKUP(AJ1499,IMPORTRANGE(""1XaInW9DU9nz21V0tYIfzFQ0He9kVQ_JF2mCXgZ3hqFA"",""REKAP ALL 2026 - Andika!G:G""),IMPORTRANGE(""1XaInW9DU9nz21V0tYIfzFQ0He9kVQ_JF2mCXgZ3hqFA"",""REKAP ALL 2026 - Andika!F:F""),"""",0)"),"24105104640")</f>
        <v>24105104640</v>
      </c>
      <c r="G1499" s="15" t="s">
        <v>6567</v>
      </c>
      <c r="H1499" s="13" t="s">
        <v>35</v>
      </c>
      <c r="I1499" s="13" t="str">
        <f aca="false">IF(C1499=J1499,"NEW KONTRAK","RE-KONTRAK")</f>
        <v>RE-KONTRAK</v>
      </c>
      <c r="J1499" s="16" t="n">
        <f aca="false" t="array" ref="J1499:J1499">IFERROR(INDEX(AC1499:AE1499,IF(COUNTA(AC1499:AE1499)=0,"",MAX((AC1499:AE1499&lt;&gt;"")*(COLUMN(AC1499:AE1499)-(COLUMN(AC1499)))))-1),"")</f>
        <v>45839</v>
      </c>
      <c r="K1499" s="16" t="n">
        <f aca="false" t="array" ref="K1499:K1499">IFERROR(INDEX(AC1499:AE1499,IF(COUNTA(AC1499:AE1499)=0,"",MAX((AC1499:AE1499&lt;&gt;"")*(COLUMN(AC1499:AE1499)-(COLUMN(AC1499)-1))))-1),"")</f>
        <v>46022</v>
      </c>
      <c r="L1499" s="17" t="str">
        <f aca="false" t="array" ref="L1499:L1499">IFERROR(INDEX(AC1499:AE1499,IF(COUNTA(AC1499:AE1499)=0,"",MAX((AC1499:AE1499&lt;&gt;"")*(COLUMN(AC1499:AE1499)-(COLUMN(AC1499)-2))))-1),"")</f>
        <v>ARCHIVED</v>
      </c>
      <c r="M1499" s="13" t="n">
        <f aca="true">K1499-TODAY()</f>
        <v>-302</v>
      </c>
      <c r="N1499" s="50" t="s">
        <v>728</v>
      </c>
      <c r="O1499" s="13" t="s">
        <v>3271</v>
      </c>
      <c r="P1499" s="19" t="n">
        <v>5288796</v>
      </c>
      <c r="Q1499" s="20" t="s">
        <v>6568</v>
      </c>
      <c r="R1499" s="13" t="s">
        <v>39</v>
      </c>
      <c r="S1499" s="14" t="n">
        <v>36473</v>
      </c>
      <c r="T1499" s="13" t="s">
        <v>40</v>
      </c>
      <c r="U1499" s="13" t="s">
        <v>6552</v>
      </c>
      <c r="V1499" s="13" t="s">
        <v>42</v>
      </c>
      <c r="W1499" s="13" t="s">
        <v>43</v>
      </c>
      <c r="X1499" s="21" t="n">
        <v>85655301702</v>
      </c>
      <c r="Y1499" s="22" t="str">
        <f aca="false">O1499</f>
        <v>Helper</v>
      </c>
      <c r="Z1499" s="13" t="str">
        <f aca="false">IFERROR(__xludf.dummyfunction("if(BJ1499="""","""",GOOGLETRANSLATE(BJ1499,""auto"",""en""))"),"Helper")</f>
        <v>Helper</v>
      </c>
      <c r="AA1499" s="23" t="str">
        <f aca="false">IF(C1499="","", CHOOSE(MONTH(C1499),"January","February","March","April","May","June","July","August","September","October","November","December")&amp;" "&amp;DAY(C1499)&amp;MID("thstndrdth",MIN(9,2*RIGHT(DAY(C1499))*(MOD(DAY(C1499)-11,100)&gt;2)+1),2)&amp;","&amp;TEXT(C1499," yyyy"))</f>
        <v>July 1st,2024</v>
      </c>
      <c r="AB1499" s="15" t="str">
        <f aca="true">IF(S1499="","",DATEDIF(S1499,TODAY(),"Y")&amp;" Tahun, "&amp;DATEDIF(S1499,TODAY(),"YM")&amp;" Bulan, "&amp;DATEDIF(S1499,TODAY(),"MD")&amp;" Hari")</f>
        <v>26 Tahun, 11 Bulan, 20 Hari</v>
      </c>
      <c r="AC1499" s="18" t="n">
        <v>45839</v>
      </c>
      <c r="AD1499" s="18" t="n">
        <v>46022</v>
      </c>
      <c r="AE1499" s="18" t="s">
        <v>44</v>
      </c>
    </row>
    <row r="1500" customFormat="false" ht="15" hidden="false" customHeight="true" outlineLevel="0" collapsed="false">
      <c r="A1500" s="12" t="n">
        <v>16128</v>
      </c>
      <c r="B1500" s="13" t="s">
        <v>6569</v>
      </c>
      <c r="C1500" s="14" t="n">
        <v>45474</v>
      </c>
      <c r="D1500" s="13" t="s">
        <v>6498</v>
      </c>
      <c r="E1500" s="15" t="s">
        <v>33</v>
      </c>
      <c r="F1500" s="24" t="s">
        <v>6570</v>
      </c>
      <c r="G1500" s="15" t="s">
        <v>6571</v>
      </c>
      <c r="H1500" s="13" t="s">
        <v>35</v>
      </c>
      <c r="I1500" s="13" t="str">
        <f aca="false">IF(C1500=J1500,"NEW KONTRAK","RE-KONTRAK")</f>
        <v>RE-KONTRAK</v>
      </c>
      <c r="J1500" s="16" t="n">
        <f aca="false" t="array" ref="J1500:J1500">IFERROR(INDEX(AC1500:AE1500,IF(COUNTA(AC1500:AE1500)=0,"",MAX((AC1500:AE1500&lt;&gt;"")*(COLUMN(AC1500:AE1500)-(COLUMN(AC1500)))))-1),"")</f>
        <v>45839</v>
      </c>
      <c r="K1500" s="16" t="n">
        <f aca="false" t="array" ref="K1500:K1500">IFERROR(INDEX(AC1500:AE1500,IF(COUNTA(AC1500:AE1500)=0,"",MAX((AC1500:AE1500&lt;&gt;"")*(COLUMN(AC1500:AE1500)-(COLUMN(AC1500)-1))))-1),"")</f>
        <v>46022</v>
      </c>
      <c r="L1500" s="17" t="str">
        <f aca="false" t="array" ref="L1500:L1500">IFERROR(INDEX(AC1500:AE1500,IF(COUNTA(AC1500:AE1500)=0,"",MAX((AC1500:AE1500&lt;&gt;"")*(COLUMN(AC1500:AE1500)-(COLUMN(AC1500)-2))))-1),"")</f>
        <v>ARCHIVED</v>
      </c>
      <c r="M1500" s="13" t="n">
        <f aca="true">K1500-TODAY()</f>
        <v>-302</v>
      </c>
      <c r="N1500" s="50" t="s">
        <v>728</v>
      </c>
      <c r="O1500" s="13" t="s">
        <v>3271</v>
      </c>
      <c r="P1500" s="19" t="n">
        <v>5288796</v>
      </c>
      <c r="Q1500" s="20" t="s">
        <v>6572</v>
      </c>
      <c r="R1500" s="13" t="s">
        <v>1695</v>
      </c>
      <c r="S1500" s="14" t="n">
        <v>32645</v>
      </c>
      <c r="T1500" s="13" t="s">
        <v>40</v>
      </c>
      <c r="U1500" s="13" t="s">
        <v>6573</v>
      </c>
      <c r="V1500" s="13" t="s">
        <v>42</v>
      </c>
      <c r="W1500" s="13" t="s">
        <v>54</v>
      </c>
      <c r="X1500" s="21" t="n">
        <v>82245752255</v>
      </c>
      <c r="Y1500" s="22" t="str">
        <f aca="false">O1500</f>
        <v>Helper</v>
      </c>
      <c r="Z1500" s="13" t="str">
        <f aca="false">IFERROR(__xludf.dummyfunction("if(BJ1500="""","""",GOOGLETRANSLATE(BJ1500,""auto"",""en""))"),"Helper")</f>
        <v>Helper</v>
      </c>
      <c r="AA1500" s="23" t="str">
        <f aca="false">IF(C1500="","", CHOOSE(MONTH(C1500),"January","February","March","April","May","June","July","August","September","October","November","December")&amp;" "&amp;DAY(C1500)&amp;MID("thstndrdth",MIN(9,2*RIGHT(DAY(C1500))*(MOD(DAY(C1500)-11,100)&gt;2)+1),2)&amp;","&amp;TEXT(C1500," yyyy"))</f>
        <v>July 1st,2024</v>
      </c>
      <c r="AB1500" s="15" t="str">
        <f aca="true">IF(S1500="","",DATEDIF(S1500,TODAY(),"Y")&amp;" Tahun, "&amp;DATEDIF(S1500,TODAY(),"YM")&amp;" Bulan, "&amp;DATEDIF(S1500,TODAY(),"MD")&amp;" Hari")</f>
        <v>37 Tahun, 5 Bulan, 12 Hari</v>
      </c>
      <c r="AC1500" s="18" t="n">
        <v>45839</v>
      </c>
      <c r="AD1500" s="18" t="n">
        <v>46022</v>
      </c>
      <c r="AE1500" s="18" t="s">
        <v>44</v>
      </c>
    </row>
    <row r="1501" customFormat="false" ht="15" hidden="false" customHeight="true" outlineLevel="0" collapsed="false">
      <c r="A1501" s="12" t="n">
        <v>16129</v>
      </c>
      <c r="B1501" s="13" t="s">
        <v>6574</v>
      </c>
      <c r="C1501" s="14" t="n">
        <v>45474</v>
      </c>
      <c r="D1501" s="13" t="s">
        <v>6498</v>
      </c>
      <c r="E1501" s="15" t="s">
        <v>47</v>
      </c>
      <c r="F1501" s="15" t="str">
        <f aca="false">IFERROR(__xludf.dummyfunction("XLOOKUP(AJ1501,IMPORTRANGE(""1XaInW9DU9nz21V0tYIfzFQ0He9kVQ_JF2mCXgZ3hqFA"",""REKAP ALL 2026 - Andika!G:G""),IMPORTRANGE(""1XaInW9DU9nz21V0tYIfzFQ0He9kVQ_JF2mCXgZ3hqFA"",""REKAP ALL 2026 - Andika!F:F""),"""",0)"),"24105104699")</f>
        <v>24105104699</v>
      </c>
      <c r="G1501" s="15" t="s">
        <v>6575</v>
      </c>
      <c r="H1501" s="13" t="s">
        <v>35</v>
      </c>
      <c r="I1501" s="13" t="str">
        <f aca="false">IF(C1501=J1501,"NEW KONTRAK","RE-KONTRAK")</f>
        <v>RE-KONTRAK</v>
      </c>
      <c r="J1501" s="16" t="n">
        <f aca="false" t="array" ref="J1501:J1501">IFERROR(INDEX(AC1501:AE1501,IF(COUNTA(AC1501:AE1501)=0,"",MAX((AC1501:AE1501&lt;&gt;"")*(COLUMN(AC1501:AE1501)-(COLUMN(AC1501)))))-1),"")</f>
        <v>45839</v>
      </c>
      <c r="K1501" s="16" t="n">
        <f aca="false" t="array" ref="K1501:K1501">IFERROR(INDEX(AC1501:AE1501,IF(COUNTA(AC1501:AE1501)=0,"",MAX((AC1501:AE1501&lt;&gt;"")*(COLUMN(AC1501:AE1501)-(COLUMN(AC1501)-1))))-1),"")</f>
        <v>46022</v>
      </c>
      <c r="L1501" s="17" t="str">
        <f aca="false" t="array" ref="L1501:L1501">IFERROR(INDEX(AC1501:AE1501,IF(COUNTA(AC1501:AE1501)=0,"",MAX((AC1501:AE1501&lt;&gt;"")*(COLUMN(AC1501:AE1501)-(COLUMN(AC1501)-2))))-1),"")</f>
        <v>ARCHIVED</v>
      </c>
      <c r="M1501" s="13" t="n">
        <f aca="true">K1501-TODAY()</f>
        <v>-302</v>
      </c>
      <c r="N1501" s="50" t="s">
        <v>728</v>
      </c>
      <c r="O1501" s="13" t="s">
        <v>3271</v>
      </c>
      <c r="P1501" s="19" t="n">
        <v>5288796</v>
      </c>
      <c r="Q1501" s="20" t="s">
        <v>6576</v>
      </c>
      <c r="R1501" s="13" t="s">
        <v>73</v>
      </c>
      <c r="S1501" s="14" t="n">
        <v>36897</v>
      </c>
      <c r="T1501" s="13" t="s">
        <v>40</v>
      </c>
      <c r="U1501" s="13" t="s">
        <v>6577</v>
      </c>
      <c r="V1501" s="13" t="s">
        <v>42</v>
      </c>
      <c r="W1501" s="13" t="s">
        <v>43</v>
      </c>
      <c r="X1501" s="21" t="n">
        <v>87812209288</v>
      </c>
      <c r="Y1501" s="22" t="str">
        <f aca="false">O1501</f>
        <v>Helper</v>
      </c>
      <c r="Z1501" s="13" t="str">
        <f aca="false">IFERROR(__xludf.dummyfunction("if(BJ1501="""","""",GOOGLETRANSLATE(BJ1501,""auto"",""en""))"),"Helper")</f>
        <v>Helper</v>
      </c>
      <c r="AA1501" s="23" t="str">
        <f aca="false">IF(C1501="","", CHOOSE(MONTH(C1501),"January","February","March","April","May","June","July","August","September","October","November","December")&amp;" "&amp;DAY(C1501)&amp;MID("thstndrdth",MIN(9,2*RIGHT(DAY(C1501))*(MOD(DAY(C1501)-11,100)&gt;2)+1),2)&amp;","&amp;TEXT(C1501," yyyy"))</f>
        <v>July 1st,2024</v>
      </c>
      <c r="AB1501" s="15" t="str">
        <f aca="true">IF(S1501="","",DATEDIF(S1501,TODAY(),"Y")&amp;" Tahun, "&amp;DATEDIF(S1501,TODAY(),"YM")&amp;" Bulan, "&amp;DATEDIF(S1501,TODAY(),"MD")&amp;" Hari")</f>
        <v>25 Tahun, 9 Bulan, 23 Hari</v>
      </c>
      <c r="AC1501" s="18" t="n">
        <v>45839</v>
      </c>
      <c r="AD1501" s="18" t="n">
        <v>46022</v>
      </c>
      <c r="AE1501" s="18" t="s">
        <v>44</v>
      </c>
    </row>
    <row r="1502" customFormat="false" ht="15" hidden="false" customHeight="true" outlineLevel="0" collapsed="false">
      <c r="A1502" s="12" t="n">
        <v>16130</v>
      </c>
      <c r="B1502" s="13" t="s">
        <v>6578</v>
      </c>
      <c r="C1502" s="14" t="n">
        <v>45474</v>
      </c>
      <c r="D1502" s="13" t="s">
        <v>6498</v>
      </c>
      <c r="E1502" s="15" t="s">
        <v>47</v>
      </c>
      <c r="F1502" s="15" t="str">
        <f aca="false">IFERROR(__xludf.dummyfunction("XLOOKUP(AJ1502,IMPORTRANGE(""1XaInW9DU9nz21V0tYIfzFQ0He9kVQ_JF2mCXgZ3hqFA"",""REKAP ALL 2026 - Andika!G:G""),IMPORTRANGE(""1XaInW9DU9nz21V0tYIfzFQ0He9kVQ_JF2mCXgZ3hqFA"",""REKAP ALL 2026 - Andika!F:F""),"""",0)"),"24105104723")</f>
        <v>24105104723</v>
      </c>
      <c r="G1502" s="15" t="s">
        <v>6579</v>
      </c>
      <c r="H1502" s="13" t="s">
        <v>35</v>
      </c>
      <c r="I1502" s="13" t="str">
        <f aca="false">IF(C1502=J1502,"NEW KONTRAK","RE-KONTRAK")</f>
        <v>RE-KONTRAK</v>
      </c>
      <c r="J1502" s="16" t="n">
        <f aca="false" t="array" ref="J1502:J1502">IFERROR(INDEX(AC1502:AE1502,IF(COUNTA(AC1502:AE1502)=0,"",MAX((AC1502:AE1502&lt;&gt;"")*(COLUMN(AC1502:AE1502)-(COLUMN(AC1502)))))-1),"")</f>
        <v>45839</v>
      </c>
      <c r="K1502" s="16" t="n">
        <f aca="false" t="array" ref="K1502:K1502">IFERROR(INDEX(AC1502:AE1502,IF(COUNTA(AC1502:AE1502)=0,"",MAX((AC1502:AE1502&lt;&gt;"")*(COLUMN(AC1502:AE1502)-(COLUMN(AC1502)-1))))-1),"")</f>
        <v>46022</v>
      </c>
      <c r="L1502" s="17" t="str">
        <f aca="false" t="array" ref="L1502:L1502">IFERROR(INDEX(AC1502:AE1502,IF(COUNTA(AC1502:AE1502)=0,"",MAX((AC1502:AE1502&lt;&gt;"")*(COLUMN(AC1502:AE1502)-(COLUMN(AC1502)-2))))-1),"")</f>
        <v>ARCHIVED</v>
      </c>
      <c r="M1502" s="13" t="n">
        <f aca="true">K1502-TODAY()</f>
        <v>-302</v>
      </c>
      <c r="N1502" s="50" t="s">
        <v>728</v>
      </c>
      <c r="O1502" s="13" t="s">
        <v>3271</v>
      </c>
      <c r="P1502" s="19" t="n">
        <v>5288796</v>
      </c>
      <c r="Q1502" s="20" t="s">
        <v>6580</v>
      </c>
      <c r="R1502" s="13" t="s">
        <v>39</v>
      </c>
      <c r="S1502" s="14" t="n">
        <v>36171</v>
      </c>
      <c r="T1502" s="13" t="s">
        <v>40</v>
      </c>
      <c r="U1502" s="13" t="s">
        <v>6581</v>
      </c>
      <c r="V1502" s="13" t="s">
        <v>42</v>
      </c>
      <c r="W1502" s="13" t="s">
        <v>54</v>
      </c>
      <c r="X1502" s="21" t="n">
        <v>85732567635</v>
      </c>
      <c r="Y1502" s="22" t="str">
        <f aca="false">O1502</f>
        <v>Helper</v>
      </c>
      <c r="Z1502" s="13" t="str">
        <f aca="false">IFERROR(__xludf.dummyfunction("if(BJ1502="""","""",GOOGLETRANSLATE(BJ1502,""auto"",""en""))"),"Helper")</f>
        <v>Helper</v>
      </c>
      <c r="AA1502" s="23" t="str">
        <f aca="false">IF(C1502="","", CHOOSE(MONTH(C1502),"January","February","March","April","May","June","July","August","September","October","November","December")&amp;" "&amp;DAY(C1502)&amp;MID("thstndrdth",MIN(9,2*RIGHT(DAY(C1502))*(MOD(DAY(C1502)-11,100)&gt;2)+1),2)&amp;","&amp;TEXT(C1502," yyyy"))</f>
        <v>July 1st,2024</v>
      </c>
      <c r="AB1502" s="15" t="str">
        <f aca="true">IF(S1502="","",DATEDIF(S1502,TODAY(),"Y")&amp;" Tahun, "&amp;DATEDIF(S1502,TODAY(),"YM")&amp;" Bulan, "&amp;DATEDIF(S1502,TODAY(),"MD")&amp;" Hari")</f>
        <v>27 Tahun, 9 Bulan, 18 Hari</v>
      </c>
      <c r="AC1502" s="18" t="n">
        <v>45839</v>
      </c>
      <c r="AD1502" s="18" t="n">
        <v>46022</v>
      </c>
      <c r="AE1502" s="18" t="s">
        <v>44</v>
      </c>
    </row>
    <row r="1503" customFormat="false" ht="15" hidden="false" customHeight="true" outlineLevel="0" collapsed="false">
      <c r="A1503" s="12" t="n">
        <v>16131</v>
      </c>
      <c r="B1503" s="13" t="s">
        <v>6582</v>
      </c>
      <c r="C1503" s="14" t="n">
        <v>45474</v>
      </c>
      <c r="D1503" s="13" t="s">
        <v>6498</v>
      </c>
      <c r="E1503" s="15" t="s">
        <v>47</v>
      </c>
      <c r="F1503" s="15" t="str">
        <f aca="false">IFERROR(__xludf.dummyfunction("XLOOKUP(AJ1503,IMPORTRANGE(""1XaInW9DU9nz21V0tYIfzFQ0He9kVQ_JF2mCXgZ3hqFA"",""REKAP ALL 2026 - Andika!G:G""),IMPORTRANGE(""1XaInW9DU9nz21V0tYIfzFQ0He9kVQ_JF2mCXgZ3hqFA"",""REKAP ALL 2026 - Andika!F:F""),"""",0)"),"24105104749")</f>
        <v>24105104749</v>
      </c>
      <c r="G1503" s="15" t="s">
        <v>6583</v>
      </c>
      <c r="H1503" s="13" t="s">
        <v>35</v>
      </c>
      <c r="I1503" s="13" t="str">
        <f aca="false">IF(C1503=J1503,"NEW KONTRAK","RE-KONTRAK")</f>
        <v>RE-KONTRAK</v>
      </c>
      <c r="J1503" s="16" t="n">
        <f aca="false" t="array" ref="J1503:J1503">IFERROR(INDEX(AC1503:AE1503,IF(COUNTA(AC1503:AE1503)=0,"",MAX((AC1503:AE1503&lt;&gt;"")*(COLUMN(AC1503:AE1503)-(COLUMN(AC1503)))))-1),"")</f>
        <v>45839</v>
      </c>
      <c r="K1503" s="16" t="n">
        <f aca="false" t="array" ref="K1503:K1503">IFERROR(INDEX(AC1503:AE1503,IF(COUNTA(AC1503:AE1503)=0,"",MAX((AC1503:AE1503&lt;&gt;"")*(COLUMN(AC1503:AE1503)-(COLUMN(AC1503)-1))))-1),"")</f>
        <v>46022</v>
      </c>
      <c r="L1503" s="17" t="str">
        <f aca="false" t="array" ref="L1503:L1503">IFERROR(INDEX(AC1503:AE1503,IF(COUNTA(AC1503:AE1503)=0,"",MAX((AC1503:AE1503&lt;&gt;"")*(COLUMN(AC1503:AE1503)-(COLUMN(AC1503)-2))))-1),"")</f>
        <v>ARCHIVED</v>
      </c>
      <c r="M1503" s="13" t="n">
        <f aca="true">K1503-TODAY()</f>
        <v>-302</v>
      </c>
      <c r="N1503" s="50" t="s">
        <v>728</v>
      </c>
      <c r="O1503" s="13" t="s">
        <v>3271</v>
      </c>
      <c r="P1503" s="19" t="n">
        <v>5288796</v>
      </c>
      <c r="Q1503" s="20" t="s">
        <v>6584</v>
      </c>
      <c r="R1503" s="13" t="s">
        <v>65</v>
      </c>
      <c r="S1503" s="14" t="n">
        <v>34256</v>
      </c>
      <c r="T1503" s="13" t="s">
        <v>40</v>
      </c>
      <c r="U1503" s="13" t="s">
        <v>6585</v>
      </c>
      <c r="V1503" s="13" t="s">
        <v>42</v>
      </c>
      <c r="W1503" s="13" t="s">
        <v>54</v>
      </c>
      <c r="X1503" s="21" t="n">
        <v>81357184361</v>
      </c>
      <c r="Y1503" s="22" t="str">
        <f aca="false">O1503</f>
        <v>Helper</v>
      </c>
      <c r="Z1503" s="13" t="str">
        <f aca="false">IFERROR(__xludf.dummyfunction("if(BJ1503="""","""",GOOGLETRANSLATE(BJ1503,""auto"",""en""))"),"Helper")</f>
        <v>Helper</v>
      </c>
      <c r="AA1503" s="23" t="str">
        <f aca="false">IF(C1503="","", CHOOSE(MONTH(C1503),"January","February","March","April","May","June","July","August","September","October","November","December")&amp;" "&amp;DAY(C1503)&amp;MID("thstndrdth",MIN(9,2*RIGHT(DAY(C1503))*(MOD(DAY(C1503)-11,100)&gt;2)+1),2)&amp;","&amp;TEXT(C1503," yyyy"))</f>
        <v>July 1st,2024</v>
      </c>
      <c r="AB1503" s="15" t="str">
        <f aca="true">IF(S1503="","",DATEDIF(S1503,TODAY(),"Y")&amp;" Tahun, "&amp;DATEDIF(S1503,TODAY(),"YM")&amp;" Bulan, "&amp;DATEDIF(S1503,TODAY(),"MD")&amp;" Hari")</f>
        <v>33 Tahun, 0 Bulan, 15 Hari</v>
      </c>
      <c r="AC1503" s="18" t="n">
        <v>45839</v>
      </c>
      <c r="AD1503" s="18" t="n">
        <v>46022</v>
      </c>
      <c r="AE1503" s="18" t="s">
        <v>44</v>
      </c>
    </row>
    <row r="1504" customFormat="false" ht="15" hidden="false" customHeight="true" outlineLevel="0" collapsed="false">
      <c r="A1504" s="12" t="n">
        <v>16132</v>
      </c>
      <c r="B1504" s="13" t="s">
        <v>6586</v>
      </c>
      <c r="C1504" s="14" t="n">
        <v>45474</v>
      </c>
      <c r="D1504" s="13" t="s">
        <v>6498</v>
      </c>
      <c r="E1504" s="15" t="s">
        <v>47</v>
      </c>
      <c r="F1504" s="15" t="str">
        <f aca="false">IFERROR(__xludf.dummyfunction("XLOOKUP(AJ1504,IMPORTRANGE(""1XaInW9DU9nz21V0tYIfzFQ0He9kVQ_JF2mCXgZ3hqFA"",""REKAP ALL 2026 - Andika!G:G""),IMPORTRANGE(""1XaInW9DU9nz21V0tYIfzFQ0He9kVQ_JF2mCXgZ3hqFA"",""REKAP ALL 2026 - Andika!F:F""),"""",0)"),"23098528039")</f>
        <v>23098528039</v>
      </c>
      <c r="G1504" s="15" t="s">
        <v>6587</v>
      </c>
      <c r="H1504" s="13" t="s">
        <v>35</v>
      </c>
      <c r="I1504" s="13" t="str">
        <f aca="false">IF(C1504=J1504,"NEW KONTRAK","RE-KONTRAK")</f>
        <v>RE-KONTRAK</v>
      </c>
      <c r="J1504" s="16" t="n">
        <f aca="false" t="array" ref="J1504:J1504">IFERROR(INDEX(AC1504:AE1504,IF(COUNTA(AC1504:AE1504)=0,"",MAX((AC1504:AE1504&lt;&gt;"")*(COLUMN(AC1504:AE1504)-(COLUMN(AC1504)))))-1),"")</f>
        <v>45839</v>
      </c>
      <c r="K1504" s="16" t="n">
        <f aca="false" t="array" ref="K1504:K1504">IFERROR(INDEX(AC1504:AE1504,IF(COUNTA(AC1504:AE1504)=0,"",MAX((AC1504:AE1504&lt;&gt;"")*(COLUMN(AC1504:AE1504)-(COLUMN(AC1504)-1))))-1),"")</f>
        <v>46022</v>
      </c>
      <c r="L1504" s="17" t="str">
        <f aca="false" t="array" ref="L1504:L1504">IFERROR(INDEX(AC1504:AE1504,IF(COUNTA(AC1504:AE1504)=0,"",MAX((AC1504:AE1504&lt;&gt;"")*(COLUMN(AC1504:AE1504)-(COLUMN(AC1504)-2))))-1),"")</f>
        <v>ARCHIVED</v>
      </c>
      <c r="M1504" s="13" t="n">
        <f aca="true">K1504-TODAY()</f>
        <v>-302</v>
      </c>
      <c r="N1504" s="50" t="s">
        <v>728</v>
      </c>
      <c r="O1504" s="13" t="s">
        <v>3271</v>
      </c>
      <c r="P1504" s="19" t="n">
        <v>5288796</v>
      </c>
      <c r="Q1504" s="20" t="s">
        <v>6588</v>
      </c>
      <c r="R1504" s="13" t="s">
        <v>52</v>
      </c>
      <c r="S1504" s="14" t="n">
        <v>36982</v>
      </c>
      <c r="T1504" s="13" t="s">
        <v>40</v>
      </c>
      <c r="U1504" s="13" t="s">
        <v>6589</v>
      </c>
      <c r="V1504" s="13" t="s">
        <v>42</v>
      </c>
      <c r="W1504" s="13" t="s">
        <v>43</v>
      </c>
      <c r="X1504" s="21" t="n">
        <v>85852301200</v>
      </c>
      <c r="Y1504" s="22" t="str">
        <f aca="false">O1504</f>
        <v>Helper</v>
      </c>
      <c r="Z1504" s="13" t="str">
        <f aca="false">IFERROR(__xludf.dummyfunction("if(BJ1504="""","""",GOOGLETRANSLATE(BJ1504,""auto"",""en""))"),"Helper")</f>
        <v>Helper</v>
      </c>
      <c r="AA1504" s="23" t="str">
        <f aca="false">IF(C1504="","", CHOOSE(MONTH(C1504),"January","February","March","April","May","June","July","August","September","October","November","December")&amp;" "&amp;DAY(C1504)&amp;MID("thstndrdth",MIN(9,2*RIGHT(DAY(C1504))*(MOD(DAY(C1504)-11,100)&gt;2)+1),2)&amp;","&amp;TEXT(C1504," yyyy"))</f>
        <v>July 1st,2024</v>
      </c>
      <c r="AB1504" s="15" t="str">
        <f aca="true">IF(S1504="","",DATEDIF(S1504,TODAY(),"Y")&amp;" Tahun, "&amp;DATEDIF(S1504,TODAY(),"YM")&amp;" Bulan, "&amp;DATEDIF(S1504,TODAY(),"MD")&amp;" Hari")</f>
        <v>25 Tahun, 6 Bulan, 28 Hari</v>
      </c>
      <c r="AC1504" s="18" t="n">
        <v>45839</v>
      </c>
      <c r="AD1504" s="18" t="n">
        <v>46022</v>
      </c>
      <c r="AE1504" s="18" t="s">
        <v>44</v>
      </c>
    </row>
    <row r="1505" customFormat="false" ht="15" hidden="false" customHeight="true" outlineLevel="0" collapsed="false">
      <c r="A1505" s="12" t="n">
        <v>16133</v>
      </c>
      <c r="B1505" s="13" t="s">
        <v>6590</v>
      </c>
      <c r="C1505" s="14" t="n">
        <v>45474</v>
      </c>
      <c r="D1505" s="13" t="s">
        <v>6498</v>
      </c>
      <c r="E1505" s="15" t="s">
        <v>47</v>
      </c>
      <c r="F1505" s="15" t="str">
        <f aca="false">IFERROR(__xludf.dummyfunction("XLOOKUP(AJ1505,IMPORTRANGE(""1XaInW9DU9nz21V0tYIfzFQ0He9kVQ_JF2mCXgZ3hqFA"",""REKAP ALL 2026 - Andika!G:G""),IMPORTRANGE(""1XaInW9DU9nz21V0tYIfzFQ0He9kVQ_JF2mCXgZ3hqFA"",""REKAP ALL 2026 - Andika!F:F""),"""",0)"),"22140513205")</f>
        <v>22140513205</v>
      </c>
      <c r="G1505" s="15" t="s">
        <v>6591</v>
      </c>
      <c r="H1505" s="13" t="s">
        <v>35</v>
      </c>
      <c r="I1505" s="13" t="str">
        <f aca="false">IF(C1505=J1505,"NEW KONTRAK","RE-KONTRAK")</f>
        <v>RE-KONTRAK</v>
      </c>
      <c r="J1505" s="16" t="n">
        <f aca="false" t="array" ref="J1505:J1505">IFERROR(INDEX(AC1505:AE1505,IF(COUNTA(AC1505:AE1505)=0,"",MAX((AC1505:AE1505&lt;&gt;"")*(COLUMN(AC1505:AE1505)-(COLUMN(AC1505)))))-1),"")</f>
        <v>45839</v>
      </c>
      <c r="K1505" s="16" t="n">
        <f aca="false" t="array" ref="K1505:K1505">IFERROR(INDEX(AC1505:AE1505,IF(COUNTA(AC1505:AE1505)=0,"",MAX((AC1505:AE1505&lt;&gt;"")*(COLUMN(AC1505:AE1505)-(COLUMN(AC1505)-1))))-1),"")</f>
        <v>46022</v>
      </c>
      <c r="L1505" s="17" t="str">
        <f aca="false" t="array" ref="L1505:L1505">IFERROR(INDEX(AC1505:AE1505,IF(COUNTA(AC1505:AE1505)=0,"",MAX((AC1505:AE1505&lt;&gt;"")*(COLUMN(AC1505:AE1505)-(COLUMN(AC1505)-2))))-1),"")</f>
        <v>ARCHIVED</v>
      </c>
      <c r="M1505" s="13" t="n">
        <f aca="true">K1505-TODAY()</f>
        <v>-302</v>
      </c>
      <c r="N1505" s="50" t="s">
        <v>728</v>
      </c>
      <c r="O1505" s="13" t="s">
        <v>3271</v>
      </c>
      <c r="P1505" s="19" t="n">
        <v>5288796</v>
      </c>
      <c r="Q1505" s="20" t="s">
        <v>6592</v>
      </c>
      <c r="R1505" s="13" t="s">
        <v>52</v>
      </c>
      <c r="S1505" s="14" t="n">
        <v>34705</v>
      </c>
      <c r="T1505" s="13" t="s">
        <v>40</v>
      </c>
      <c r="U1505" s="13" t="s">
        <v>6593</v>
      </c>
      <c r="V1505" s="13" t="s">
        <v>42</v>
      </c>
      <c r="W1505" s="13" t="s">
        <v>54</v>
      </c>
      <c r="X1505" s="21" t="n">
        <v>81335787603</v>
      </c>
      <c r="Y1505" s="22" t="str">
        <f aca="false">O1505</f>
        <v>Helper</v>
      </c>
      <c r="Z1505" s="13" t="str">
        <f aca="false">IFERROR(__xludf.dummyfunction("if(BJ1505="""","""",GOOGLETRANSLATE(BJ1505,""auto"",""en""))"),"Helper")</f>
        <v>Helper</v>
      </c>
      <c r="AA1505" s="23" t="str">
        <f aca="false">IF(C1505="","", CHOOSE(MONTH(C1505),"January","February","March","April","May","June","July","August","September","October","November","December")&amp;" "&amp;DAY(C1505)&amp;MID("thstndrdth",MIN(9,2*RIGHT(DAY(C1505))*(MOD(DAY(C1505)-11,100)&gt;2)+1),2)&amp;","&amp;TEXT(C1505," yyyy"))</f>
        <v>July 1st,2024</v>
      </c>
      <c r="AB1505" s="15" t="str">
        <f aca="true">IF(S1505="","",DATEDIF(S1505,TODAY(),"Y")&amp;" Tahun, "&amp;DATEDIF(S1505,TODAY(),"YM")&amp;" Bulan, "&amp;DATEDIF(S1505,TODAY(),"MD")&amp;" Hari")</f>
        <v>31 Tahun, 9 Bulan, 23 Hari</v>
      </c>
      <c r="AC1505" s="18" t="n">
        <v>45839</v>
      </c>
      <c r="AD1505" s="18" t="n">
        <v>46022</v>
      </c>
      <c r="AE1505" s="18" t="s">
        <v>44</v>
      </c>
    </row>
    <row r="1506" customFormat="false" ht="15" hidden="false" customHeight="true" outlineLevel="0" collapsed="false">
      <c r="A1506" s="12" t="n">
        <v>16134</v>
      </c>
      <c r="B1506" s="13" t="s">
        <v>6594</v>
      </c>
      <c r="C1506" s="14" t="n">
        <v>45474</v>
      </c>
      <c r="D1506" s="13" t="s">
        <v>6498</v>
      </c>
      <c r="E1506" s="15" t="s">
        <v>47</v>
      </c>
      <c r="F1506" s="15" t="str">
        <f aca="false">IFERROR(__xludf.dummyfunction("XLOOKUP(AJ1506,IMPORTRANGE(""1XaInW9DU9nz21V0tYIfzFQ0He9kVQ_JF2mCXgZ3hqFA"",""REKAP ALL 2026 - Andika!G:G""),IMPORTRANGE(""1XaInW9DU9nz21V0tYIfzFQ0He9kVQ_JF2mCXgZ3hqFA"",""REKAP ALL 2026 - Andika!F:F""),"""",0)"),"22077626707")</f>
        <v>22077626707</v>
      </c>
      <c r="G1506" s="15" t="s">
        <v>6595</v>
      </c>
      <c r="H1506" s="13" t="s">
        <v>35</v>
      </c>
      <c r="I1506" s="13" t="str">
        <f aca="false">IF(C1506=J1506,"NEW KONTRAK","RE-KONTRAK")</f>
        <v>RE-KONTRAK</v>
      </c>
      <c r="J1506" s="16" t="n">
        <f aca="false" t="array" ref="J1506:J1506">IFERROR(INDEX(AC1506:AE1506,IF(COUNTA(AC1506:AE1506)=0,"",MAX((AC1506:AE1506&lt;&gt;"")*(COLUMN(AC1506:AE1506)-(COLUMN(AC1506)))))-1),"")</f>
        <v>45839</v>
      </c>
      <c r="K1506" s="16" t="n">
        <f aca="false" t="array" ref="K1506:K1506">IFERROR(INDEX(AC1506:AE1506,IF(COUNTA(AC1506:AE1506)=0,"",MAX((AC1506:AE1506&lt;&gt;"")*(COLUMN(AC1506:AE1506)-(COLUMN(AC1506)-1))))-1),"")</f>
        <v>46022</v>
      </c>
      <c r="L1506" s="17" t="str">
        <f aca="false" t="array" ref="L1506:L1506">IFERROR(INDEX(AC1506:AE1506,IF(COUNTA(AC1506:AE1506)=0,"",MAX((AC1506:AE1506&lt;&gt;"")*(COLUMN(AC1506:AE1506)-(COLUMN(AC1506)-2))))-1),"")</f>
        <v>ARCHIVED</v>
      </c>
      <c r="M1506" s="13" t="n">
        <f aca="true">K1506-TODAY()</f>
        <v>-302</v>
      </c>
      <c r="N1506" s="50" t="s">
        <v>728</v>
      </c>
      <c r="O1506" s="13" t="s">
        <v>3271</v>
      </c>
      <c r="P1506" s="19" t="n">
        <v>5288796</v>
      </c>
      <c r="Q1506" s="20" t="s">
        <v>6596</v>
      </c>
      <c r="R1506" s="13" t="s">
        <v>260</v>
      </c>
      <c r="S1506" s="14" t="n">
        <v>33780</v>
      </c>
      <c r="T1506" s="13" t="s">
        <v>40</v>
      </c>
      <c r="U1506" s="13" t="s">
        <v>6597</v>
      </c>
      <c r="V1506" s="13" t="s">
        <v>42</v>
      </c>
      <c r="W1506" s="13" t="s">
        <v>43</v>
      </c>
      <c r="X1506" s="21" t="n">
        <v>82232301095</v>
      </c>
      <c r="Y1506" s="22" t="str">
        <f aca="false">O1506</f>
        <v>Helper</v>
      </c>
      <c r="Z1506" s="13" t="str">
        <f aca="false">IFERROR(__xludf.dummyfunction("if(BJ1506="""","""",GOOGLETRANSLATE(BJ1506,""auto"",""en""))"),"Helper")</f>
        <v>Helper</v>
      </c>
      <c r="AA1506" s="23" t="str">
        <f aca="false">IF(C1506="","", CHOOSE(MONTH(C1506),"January","February","March","April","May","June","July","August","September","October","November","December")&amp;" "&amp;DAY(C1506)&amp;MID("thstndrdth",MIN(9,2*RIGHT(DAY(C1506))*(MOD(DAY(C1506)-11,100)&gt;2)+1),2)&amp;","&amp;TEXT(C1506," yyyy"))</f>
        <v>July 1st,2024</v>
      </c>
      <c r="AB1506" s="15" t="str">
        <f aca="true">IF(S1506="","",DATEDIF(S1506,TODAY(),"Y")&amp;" Tahun, "&amp;DATEDIF(S1506,TODAY(),"YM")&amp;" Bulan, "&amp;DATEDIF(S1506,TODAY(),"MD")&amp;" Hari")</f>
        <v>34 Tahun, 4 Bulan, 4 Hari</v>
      </c>
      <c r="AC1506" s="18" t="n">
        <v>45839</v>
      </c>
      <c r="AD1506" s="18" t="n">
        <v>46022</v>
      </c>
      <c r="AE1506" s="18" t="s">
        <v>44</v>
      </c>
    </row>
    <row r="1507" customFormat="false" ht="15" hidden="false" customHeight="true" outlineLevel="0" collapsed="false">
      <c r="A1507" s="12" t="n">
        <v>16158</v>
      </c>
      <c r="B1507" s="13" t="s">
        <v>6598</v>
      </c>
      <c r="C1507" s="14" t="n">
        <v>45467</v>
      </c>
      <c r="D1507" s="13" t="s">
        <v>144</v>
      </c>
      <c r="E1507" s="15" t="s">
        <v>33</v>
      </c>
      <c r="F1507" s="24" t="s">
        <v>6599</v>
      </c>
      <c r="G1507" s="15" t="s">
        <v>6600</v>
      </c>
      <c r="H1507" s="13" t="s">
        <v>35</v>
      </c>
      <c r="I1507" s="13" t="str">
        <f aca="false">IF(C1507=J1507,"NEW KONTRAK","RE-KONTRAK")</f>
        <v>RE-KONTRAK</v>
      </c>
      <c r="J1507" s="16" t="n">
        <f aca="false" t="array" ref="J1507:J1507">IFERROR(INDEX(AC1507:AE1507,IF(COUNTA(AC1507:AE1507)=0,"",MAX((AC1507:AE1507&lt;&gt;"")*(COLUMN(AC1507:AE1507)-(COLUMN(AC1507)))))-1),"")</f>
        <v>45658</v>
      </c>
      <c r="K1507" s="16" t="n">
        <f aca="false" t="array" ref="K1507:K1507">IFERROR(INDEX(AC1507:AE1507,IF(COUNTA(AC1507:AE1507)=0,"",MAX((AC1507:AE1507&lt;&gt;"")*(COLUMN(AC1507:AE1507)-(COLUMN(AC1507)-1))))-1),"")</f>
        <v>46022</v>
      </c>
      <c r="L1507" s="17" t="str">
        <f aca="false" t="array" ref="L1507:L1507">IFERROR(INDEX(AC1507:AE1507,IF(COUNTA(AC1507:AE1507)=0,"",MAX((AC1507:AE1507&lt;&gt;"")*(COLUMN(AC1507:AE1507)-(COLUMN(AC1507)-2))))-1),"")</f>
        <v>ARCHIVED</v>
      </c>
      <c r="M1507" s="13" t="n">
        <f aca="true">K1507-TODAY()</f>
        <v>-302</v>
      </c>
      <c r="N1507" s="18" t="s">
        <v>36</v>
      </c>
      <c r="O1507" s="13" t="s">
        <v>6601</v>
      </c>
      <c r="P1507" s="19" t="n">
        <v>5195401</v>
      </c>
      <c r="Q1507" s="20" t="s">
        <v>6602</v>
      </c>
      <c r="R1507" s="13" t="s">
        <v>2359</v>
      </c>
      <c r="S1507" s="14" t="n">
        <v>34213</v>
      </c>
      <c r="T1507" s="13" t="s">
        <v>108</v>
      </c>
      <c r="U1507" s="13" t="s">
        <v>6603</v>
      </c>
      <c r="V1507" s="13" t="s">
        <v>99</v>
      </c>
      <c r="W1507" s="13" t="s">
        <v>54</v>
      </c>
      <c r="X1507" s="30" t="n">
        <v>85233872624</v>
      </c>
      <c r="Y1507" s="22" t="str">
        <f aca="false">O1507</f>
        <v>Admin Puchasing</v>
      </c>
      <c r="Z1507" s="13" t="str">
        <f aca="false">IFERROR(__xludf.dummyfunction("if(BJ1507="""","""",GOOGLETRANSLATE(BJ1507,""auto"",""en""))"),"Admin Pushing")</f>
        <v>Admin Pushing</v>
      </c>
      <c r="AA1507" s="23" t="str">
        <f aca="false">IF(C1507="","", CHOOSE(MONTH(C1507),"January","February","March","April","May","June","July","August","September","October","November","December")&amp;" "&amp;DAY(C1507)&amp;MID("thstndrdth",MIN(9,2*RIGHT(DAY(C1507))*(MOD(DAY(C1507)-11,100)&gt;2)+1),2)&amp;","&amp;TEXT(C1507," yyyy"))</f>
        <v>June 24th,2024</v>
      </c>
      <c r="AB1507" s="15" t="str">
        <f aca="true">IF(S1507="","",DATEDIF(S1507,TODAY(),"Y")&amp;" Tahun, "&amp;DATEDIF(S1507,TODAY(),"YM")&amp;" Bulan, "&amp;DATEDIF(S1507,TODAY(),"MD")&amp;" Hari")</f>
        <v>33 Tahun, 1 Bulan, 28 Hari</v>
      </c>
      <c r="AC1507" s="18" t="n">
        <v>45658</v>
      </c>
      <c r="AD1507" s="18" t="n">
        <v>46022</v>
      </c>
      <c r="AE1507" s="18" t="s">
        <v>44</v>
      </c>
    </row>
    <row r="1508" customFormat="false" ht="15" hidden="false" customHeight="true" outlineLevel="0" collapsed="false">
      <c r="A1508" s="12" t="n">
        <v>16160</v>
      </c>
      <c r="B1508" s="13" t="s">
        <v>6604</v>
      </c>
      <c r="C1508" s="14" t="n">
        <v>45475</v>
      </c>
      <c r="D1508" s="13" t="s">
        <v>144</v>
      </c>
      <c r="E1508" s="15" t="s">
        <v>47</v>
      </c>
      <c r="F1508" s="15" t="str">
        <f aca="false">IFERROR(__xludf.dummyfunction("XLOOKUP(AJ1508,IMPORTRANGE(""1XaInW9DU9nz21V0tYIfzFQ0He9kVQ_JF2mCXgZ3hqFA"",""REKAP ALL 2026 - Andika!G:G""),IMPORTRANGE(""1XaInW9DU9nz21V0tYIfzFQ0He9kVQ_JF2mCXgZ3hqFA"",""REKAP ALL 2026 - Andika!F:F""),"""",0)"),"24105107866")</f>
        <v>24105107866</v>
      </c>
      <c r="G1508" s="15" t="s">
        <v>6605</v>
      </c>
      <c r="H1508" s="13" t="s">
        <v>35</v>
      </c>
      <c r="I1508" s="13" t="str">
        <f aca="false">IF(C1508=J1508,"NEW KONTRAK","RE-KONTRAK")</f>
        <v>RE-KONTRAK</v>
      </c>
      <c r="J1508" s="16" t="n">
        <f aca="false" t="array" ref="J1508:J1508">IFERROR(INDEX(AC1508:AE1508,IF(COUNTA(AC1508:AE1508)=0,"",MAX((AC1508:AE1508&lt;&gt;"")*(COLUMN(AC1508:AE1508)-(COLUMN(AC1508)))))-1),"")</f>
        <v>45658</v>
      </c>
      <c r="K1508" s="16" t="n">
        <f aca="false" t="array" ref="K1508:K1508">IFERROR(INDEX(AC1508:AE1508,IF(COUNTA(AC1508:AE1508)=0,"",MAX((AC1508:AE1508&lt;&gt;"")*(COLUMN(AC1508:AE1508)-(COLUMN(AC1508)-1))))-1),"")</f>
        <v>46022</v>
      </c>
      <c r="L1508" s="17" t="str">
        <f aca="false" t="array" ref="L1508:L1508">IFERROR(INDEX(AC1508:AE1508,IF(COUNTA(AC1508:AE1508)=0,"",MAX((AC1508:AE1508&lt;&gt;"")*(COLUMN(AC1508:AE1508)-(COLUMN(AC1508)-2))))-1),"")</f>
        <v>ARCHIVED</v>
      </c>
      <c r="M1508" s="13" t="n">
        <f aca="true">K1508-TODAY()</f>
        <v>-302</v>
      </c>
      <c r="N1508" s="18" t="s">
        <v>36</v>
      </c>
      <c r="O1508" s="13" t="s">
        <v>6606</v>
      </c>
      <c r="P1508" s="19" t="n">
        <v>5195401</v>
      </c>
      <c r="Q1508" s="20" t="s">
        <v>6607</v>
      </c>
      <c r="R1508" s="13" t="s">
        <v>78</v>
      </c>
      <c r="S1508" s="14" t="n">
        <v>33616</v>
      </c>
      <c r="T1508" s="13" t="s">
        <v>40</v>
      </c>
      <c r="U1508" s="13" t="s">
        <v>6608</v>
      </c>
      <c r="V1508" s="13" t="s">
        <v>42</v>
      </c>
      <c r="W1508" s="13" t="s">
        <v>43</v>
      </c>
      <c r="X1508" s="21" t="n">
        <v>82244850311</v>
      </c>
      <c r="Y1508" s="22" t="str">
        <f aca="false">O1508</f>
        <v>Picker</v>
      </c>
      <c r="Z1508" s="13" t="str">
        <f aca="false">IFERROR(__xludf.dummyfunction("if(BJ1508="""","""",GOOGLETRANSLATE(BJ1508,""auto"",""en""))"),"Picker")</f>
        <v>Picker</v>
      </c>
      <c r="AA1508" s="23" t="str">
        <f aca="false">IF(C1508="","", CHOOSE(MONTH(C1508),"January","February","March","April","May","June","July","August","September","October","November","December")&amp;" "&amp;DAY(C1508)&amp;MID("thstndrdth",MIN(9,2*RIGHT(DAY(C1508))*(MOD(DAY(C1508)-11,100)&gt;2)+1),2)&amp;","&amp;TEXT(C1508," yyyy"))</f>
        <v>July 2nd,2024</v>
      </c>
      <c r="AB1508" s="15" t="str">
        <f aca="true">IF(S1508="","",DATEDIF(S1508,TODAY(),"Y")&amp;" Tahun, "&amp;DATEDIF(S1508,TODAY(),"YM")&amp;" Bulan, "&amp;DATEDIF(S1508,TODAY(),"MD")&amp;" Hari")</f>
        <v>34 Tahun, 9 Bulan, 16 Hari</v>
      </c>
      <c r="AC1508" s="18" t="n">
        <v>45658</v>
      </c>
      <c r="AD1508" s="18" t="n">
        <v>46022</v>
      </c>
      <c r="AE1508" s="18" t="s">
        <v>44</v>
      </c>
    </row>
    <row r="1509" customFormat="false" ht="15" hidden="false" customHeight="true" outlineLevel="0" collapsed="false">
      <c r="A1509" s="12" t="n">
        <v>16179</v>
      </c>
      <c r="B1509" s="13" t="s">
        <v>6609</v>
      </c>
      <c r="C1509" s="14" t="n">
        <v>45464</v>
      </c>
      <c r="D1509" s="13" t="s">
        <v>747</v>
      </c>
      <c r="E1509" s="15" t="s">
        <v>102</v>
      </c>
      <c r="F1509" s="15" t="str">
        <f aca="false">IFERROR(__xludf.dummyfunction("XLOOKUP(AJ1509,IMPORTRANGE(""1XaInW9DU9nz21V0tYIfzFQ0He9kVQ_JF2mCXgZ3hqFA"",""REKAP ALL 2026 - Andika!G:G""),IMPORTRANGE(""1XaInW9DU9nz21V0tYIfzFQ0He9kVQ_JF2mCXgZ3hqFA"",""REKAP ALL 2026 - Andika!F:F""),"""",0)"),"24105104012")</f>
        <v>24105104012</v>
      </c>
      <c r="G1509" s="13" t="s">
        <v>6610</v>
      </c>
      <c r="H1509" s="13" t="s">
        <v>35</v>
      </c>
      <c r="I1509" s="13" t="str">
        <f aca="false">IF(C1509=J1509,"NEW KONTRAK","RE-KONTRAK")</f>
        <v>RE-KONTRAK</v>
      </c>
      <c r="J1509" s="16" t="n">
        <f aca="false" t="array" ref="J1509:J1509">IFERROR(INDEX(AC1509:AE1509,IF(COUNTA(AC1509:AE1509)=0,"",MAX((AC1509:AE1509&lt;&gt;"")*(COLUMN(AC1509:AE1509)-(COLUMN(AC1509)))))-1),"")</f>
        <v>45647</v>
      </c>
      <c r="K1509" s="16" t="n">
        <f aca="false" t="array" ref="K1509:K1509">IFERROR(INDEX(AC1509:AE1509,IF(COUNTA(AC1509:AE1509)=0,"",MAX((AC1509:AE1509&lt;&gt;"")*(COLUMN(AC1509:AE1509)-(COLUMN(AC1509)-1))))-1),"")</f>
        <v>45736</v>
      </c>
      <c r="L1509" s="17" t="str">
        <f aca="false" t="array" ref="L1509:L1509">IFERROR(INDEX(AC1509:AE1509,IF(COUNTA(AC1509:AE1509)=0,"",MAX((AC1509:AE1509&lt;&gt;"")*(COLUMN(AC1509:AE1509)-(COLUMN(AC1509)-2))))-1),"")</f>
        <v>ARCHIVED</v>
      </c>
      <c r="M1509" s="13" t="n">
        <f aca="true">K1509-TODAY()</f>
        <v>-588</v>
      </c>
      <c r="N1509" s="18" t="s">
        <v>749</v>
      </c>
      <c r="O1509" s="13" t="s">
        <v>3271</v>
      </c>
      <c r="P1509" s="19" t="n">
        <v>3724437.2</v>
      </c>
      <c r="Q1509" s="20" t="s">
        <v>6611</v>
      </c>
      <c r="R1509" s="13" t="s">
        <v>6612</v>
      </c>
      <c r="S1509" s="14" t="n">
        <v>34670</v>
      </c>
      <c r="T1509" s="13" t="s">
        <v>40</v>
      </c>
      <c r="U1509" s="13" t="s">
        <v>6613</v>
      </c>
      <c r="V1509" s="28" t="s">
        <v>1216</v>
      </c>
      <c r="W1509" s="13" t="s">
        <v>43</v>
      </c>
      <c r="X1509" s="21" t="n">
        <v>82253547452</v>
      </c>
      <c r="Y1509" s="22" t="str">
        <f aca="false">O1509</f>
        <v>Helper</v>
      </c>
      <c r="Z1509" s="13" t="str">
        <f aca="false">IFERROR(__xludf.dummyfunction("if(BJ1509="""","""",GOOGLETRANSLATE(BJ1509,""auto"",""en""))"),"Helper")</f>
        <v>Helper</v>
      </c>
      <c r="AA1509" s="23" t="str">
        <f aca="false">IF(C1509="","", CHOOSE(MONTH(C1509),"January","February","March","April","May","June","July","August","September","October","November","December")&amp;" "&amp;DAY(C1509)&amp;MID("thstndrdth",MIN(9,2*RIGHT(DAY(C1509))*(MOD(DAY(C1509)-11,100)&gt;2)+1),2)&amp;","&amp;TEXT(C1509," yyyy"))</f>
        <v>June 21st,2024</v>
      </c>
      <c r="AB1509" s="15" t="str">
        <f aca="true">IF(S1509="","",DATEDIF(S1509,TODAY(),"Y")&amp;" Tahun, "&amp;DATEDIF(S1509,TODAY(),"YM")&amp;" Bulan, "&amp;DATEDIF(S1509,TODAY(),"MD")&amp;" Hari")</f>
        <v>31 Tahun, 10 Bulan, 27 Hari</v>
      </c>
      <c r="AC1509" s="18" t="n">
        <v>45647</v>
      </c>
      <c r="AD1509" s="18" t="n">
        <v>45736</v>
      </c>
      <c r="AE1509" s="18" t="s">
        <v>44</v>
      </c>
    </row>
    <row r="1510" customFormat="false" ht="15" hidden="false" customHeight="true" outlineLevel="0" collapsed="false">
      <c r="A1510" s="12" t="n">
        <v>16180</v>
      </c>
      <c r="B1510" s="13" t="s">
        <v>6614</v>
      </c>
      <c r="C1510" s="14" t="n">
        <v>45477</v>
      </c>
      <c r="D1510" s="13" t="s">
        <v>144</v>
      </c>
      <c r="E1510" s="15" t="s">
        <v>47</v>
      </c>
      <c r="F1510" s="15" t="str">
        <f aca="false">IFERROR(__xludf.dummyfunction("XLOOKUP(AJ1510,IMPORTRANGE(""1XaInW9DU9nz21V0tYIfzFQ0He9kVQ_JF2mCXgZ3hqFA"",""REKAP ALL 2026 - Andika!G:G""),IMPORTRANGE(""1XaInW9DU9nz21V0tYIfzFQ0He9kVQ_JF2mCXgZ3hqFA"",""REKAP ALL 2026 - Andika!F:F""),"""",0)"),"24105107882")</f>
        <v>24105107882</v>
      </c>
      <c r="G1510" s="15" t="s">
        <v>6615</v>
      </c>
      <c r="H1510" s="13" t="s">
        <v>35</v>
      </c>
      <c r="I1510" s="13" t="str">
        <f aca="false">IF(C1510=J1510,"NEW KONTRAK","RE-KONTRAK")</f>
        <v>RE-KONTRAK</v>
      </c>
      <c r="J1510" s="16" t="n">
        <f aca="false" t="array" ref="J1510:J1510">IFERROR(INDEX(AC1510:AE1510,IF(COUNTA(AC1510:AE1510)=0,"",MAX((AC1510:AE1510&lt;&gt;"")*(COLUMN(AC1510:AE1510)-(COLUMN(AC1510)))))-1),"")</f>
        <v>45658</v>
      </c>
      <c r="K1510" s="16" t="n">
        <f aca="false" t="array" ref="K1510:K1510">IFERROR(INDEX(AC1510:AE1510,IF(COUNTA(AC1510:AE1510)=0,"",MAX((AC1510:AE1510&lt;&gt;"")*(COLUMN(AC1510:AE1510)-(COLUMN(AC1510)-1))))-1),"")</f>
        <v>46022</v>
      </c>
      <c r="L1510" s="17" t="str">
        <f aca="false" t="array" ref="L1510:L1510">IFERROR(INDEX(AC1510:AE1510,IF(COUNTA(AC1510:AE1510)=0,"",MAX((AC1510:AE1510&lt;&gt;"")*(COLUMN(AC1510:AE1510)-(COLUMN(AC1510)-2))))-1),"")</f>
        <v>ARCHIVED</v>
      </c>
      <c r="M1510" s="13" t="n">
        <f aca="true">K1510-TODAY()</f>
        <v>-302</v>
      </c>
      <c r="N1510" s="18" t="s">
        <v>36</v>
      </c>
      <c r="O1510" s="13" t="s">
        <v>146</v>
      </c>
      <c r="P1510" s="19" t="n">
        <v>5195401</v>
      </c>
      <c r="Q1510" s="20" t="s">
        <v>6616</v>
      </c>
      <c r="R1510" s="13" t="s">
        <v>65</v>
      </c>
      <c r="S1510" s="14" t="n">
        <v>36964</v>
      </c>
      <c r="T1510" s="13" t="s">
        <v>40</v>
      </c>
      <c r="U1510" s="13" t="s">
        <v>6617</v>
      </c>
      <c r="V1510" s="13" t="s">
        <v>42</v>
      </c>
      <c r="W1510" s="13" t="s">
        <v>43</v>
      </c>
      <c r="X1510" s="21" t="n">
        <v>82131866882</v>
      </c>
      <c r="Y1510" s="22" t="str">
        <f aca="false">O1510</f>
        <v>Enamel</v>
      </c>
      <c r="Z1510" s="13" t="str">
        <f aca="false">IFERROR(__xludf.dummyfunction("if(BJ1510="""","""",GOOGLETRANSLATE(BJ1510,""auto"",""en""))"),"Enamel")</f>
        <v>Enamel</v>
      </c>
      <c r="AA1510" s="23" t="str">
        <f aca="false">IF(C1510="","", CHOOSE(MONTH(C1510),"January","February","March","April","May","June","July","August","September","October","November","December")&amp;" "&amp;DAY(C1510)&amp;MID("thstndrdth",MIN(9,2*RIGHT(DAY(C1510))*(MOD(DAY(C1510)-11,100)&gt;2)+1),2)&amp;","&amp;TEXT(C1510," yyyy"))</f>
        <v>July 4th,2024</v>
      </c>
      <c r="AB1510" s="15" t="str">
        <f aca="true">IF(S1510="","",DATEDIF(S1510,TODAY(),"Y")&amp;" Tahun, "&amp;DATEDIF(S1510,TODAY(),"YM")&amp;" Bulan, "&amp;DATEDIF(S1510,TODAY(),"MD")&amp;" Hari")</f>
        <v>25 Tahun, 7 Bulan, 15 Hari</v>
      </c>
      <c r="AC1510" s="18" t="n">
        <v>45658</v>
      </c>
      <c r="AD1510" s="18" t="n">
        <v>46022</v>
      </c>
      <c r="AE1510" s="18" t="s">
        <v>44</v>
      </c>
    </row>
    <row r="1511" customFormat="false" ht="15" hidden="false" customHeight="true" outlineLevel="0" collapsed="false">
      <c r="A1511" s="12" t="n">
        <v>16182</v>
      </c>
      <c r="B1511" s="13" t="s">
        <v>6618</v>
      </c>
      <c r="C1511" s="14" t="n">
        <v>45477</v>
      </c>
      <c r="D1511" s="13" t="s">
        <v>144</v>
      </c>
      <c r="E1511" s="15" t="s">
        <v>47</v>
      </c>
      <c r="F1511" s="15" t="str">
        <f aca="false">IFERROR(__xludf.dummyfunction("XLOOKUP(AJ1511,IMPORTRANGE(""1XaInW9DU9nz21V0tYIfzFQ0He9kVQ_JF2mCXgZ3hqFA"",""REKAP ALL 2026 - Andika!G:G""),IMPORTRANGE(""1XaInW9DU9nz21V0tYIfzFQ0He9kVQ_JF2mCXgZ3hqFA"",""REKAP ALL 2026 - Andika!F:F""),"""",0)"),"24105107874")</f>
        <v>24105107874</v>
      </c>
      <c r="G1511" s="15" t="s">
        <v>6619</v>
      </c>
      <c r="H1511" s="13" t="s">
        <v>35</v>
      </c>
      <c r="I1511" s="13" t="str">
        <f aca="false">IF(C1511=J1511,"NEW KONTRAK","RE-KONTRAK")</f>
        <v>RE-KONTRAK</v>
      </c>
      <c r="J1511" s="16" t="n">
        <f aca="false" t="array" ref="J1511:J1511">IFERROR(INDEX(AC1511:AE1511,IF(COUNTA(AC1511:AE1511)=0,"",MAX((AC1511:AE1511&lt;&gt;"")*(COLUMN(AC1511:AE1511)-(COLUMN(AC1511)))))-1),"")</f>
        <v>45658</v>
      </c>
      <c r="K1511" s="16" t="n">
        <f aca="false" t="array" ref="K1511:K1511">IFERROR(INDEX(AC1511:AE1511,IF(COUNTA(AC1511:AE1511)=0,"",MAX((AC1511:AE1511&lt;&gt;"")*(COLUMN(AC1511:AE1511)-(COLUMN(AC1511)-1))))-1),"")</f>
        <v>46022</v>
      </c>
      <c r="L1511" s="17" t="str">
        <f aca="false" t="array" ref="L1511:L1511">IFERROR(INDEX(AC1511:AE1511,IF(COUNTA(AC1511:AE1511)=0,"",MAX((AC1511:AE1511&lt;&gt;"")*(COLUMN(AC1511:AE1511)-(COLUMN(AC1511)-2))))-1),"")</f>
        <v>ARCHIVED</v>
      </c>
      <c r="M1511" s="13" t="n">
        <f aca="true">K1511-TODAY()</f>
        <v>-302</v>
      </c>
      <c r="N1511" s="18" t="s">
        <v>36</v>
      </c>
      <c r="O1511" s="13" t="s">
        <v>146</v>
      </c>
      <c r="P1511" s="19" t="n">
        <v>5195401</v>
      </c>
      <c r="Q1511" s="20" t="s">
        <v>6620</v>
      </c>
      <c r="R1511" s="13" t="s">
        <v>65</v>
      </c>
      <c r="S1511" s="14" t="n">
        <v>37092</v>
      </c>
      <c r="T1511" s="13" t="s">
        <v>40</v>
      </c>
      <c r="U1511" s="13" t="s">
        <v>6621</v>
      </c>
      <c r="V1511" s="13" t="s">
        <v>42</v>
      </c>
      <c r="W1511" s="13" t="s">
        <v>43</v>
      </c>
      <c r="X1511" s="21" t="n">
        <v>85732584822</v>
      </c>
      <c r="Y1511" s="22" t="str">
        <f aca="false">O1511</f>
        <v>Enamel</v>
      </c>
      <c r="Z1511" s="13" t="str">
        <f aca="false">IFERROR(__xludf.dummyfunction("if(BJ1511="""","""",GOOGLETRANSLATE(BJ1511,""auto"",""en""))"),"Enamel")</f>
        <v>Enamel</v>
      </c>
      <c r="AA1511" s="23" t="str">
        <f aca="false">IF(C1511="","", CHOOSE(MONTH(C1511),"January","February","March","April","May","June","July","August","September","October","November","December")&amp;" "&amp;DAY(C1511)&amp;MID("thstndrdth",MIN(9,2*RIGHT(DAY(C1511))*(MOD(DAY(C1511)-11,100)&gt;2)+1),2)&amp;","&amp;TEXT(C1511," yyyy"))</f>
        <v>July 4th,2024</v>
      </c>
      <c r="AB1511" s="15" t="str">
        <f aca="true">IF(S1511="","",DATEDIF(S1511,TODAY(),"Y")&amp;" Tahun, "&amp;DATEDIF(S1511,TODAY(),"YM")&amp;" Bulan, "&amp;DATEDIF(S1511,TODAY(),"MD")&amp;" Hari")</f>
        <v>25 Tahun, 3 Bulan, 9 Hari</v>
      </c>
      <c r="AC1511" s="18" t="n">
        <v>45658</v>
      </c>
      <c r="AD1511" s="18" t="n">
        <v>46022</v>
      </c>
      <c r="AE1511" s="18" t="s">
        <v>44</v>
      </c>
    </row>
    <row r="1512" customFormat="false" ht="15" hidden="false" customHeight="true" outlineLevel="0" collapsed="false">
      <c r="A1512" s="12" t="n">
        <v>16200</v>
      </c>
      <c r="B1512" s="13" t="s">
        <v>6622</v>
      </c>
      <c r="C1512" s="14" t="n">
        <v>45478</v>
      </c>
      <c r="D1512" s="13" t="s">
        <v>6623</v>
      </c>
      <c r="E1512" s="15" t="s">
        <v>47</v>
      </c>
      <c r="F1512" s="15" t="str">
        <f aca="false">IFERROR(__xludf.dummyfunction("XLOOKUP(AJ1512,IMPORTRANGE(""1XaInW9DU9nz21V0tYIfzFQ0He9kVQ_JF2mCXgZ3hqFA"",""REKAP ALL 2026 - Andika!G:G""),IMPORTRANGE(""1XaInW9DU9nz21V0tYIfzFQ0He9kVQ_JF2mCXgZ3hqFA"",""REKAP ALL 2026 - Andika!F:F""),"""",0)"),"24105097877")</f>
        <v>24105097877</v>
      </c>
      <c r="G1512" s="15" t="s">
        <v>2809</v>
      </c>
      <c r="H1512" s="13" t="s">
        <v>35</v>
      </c>
      <c r="I1512" s="13" t="str">
        <f aca="false">IF(C1512=J1512,"NEW KONTRAK","RE-KONTRAK")</f>
        <v>RE-KONTRAK</v>
      </c>
      <c r="J1512" s="16" t="n">
        <f aca="false" t="array" ref="J1512:J1512">IFERROR(INDEX(AC1512:AE1512,IF(COUNTA(AC1512:AE1512)=0,"",MAX((AC1512:AE1512&lt;&gt;"")*(COLUMN(AC1512:AE1512)-(COLUMN(AC1512)))))-1),"")</f>
        <v>45851</v>
      </c>
      <c r="K1512" s="16" t="n">
        <f aca="false" t="array" ref="K1512:K1512">IFERROR(INDEX(AC1512:AE1512,IF(COUNTA(AC1512:AE1512)=0,"",MAX((AC1512:AE1512&lt;&gt;"")*(COLUMN(AC1512:AE1512)-(COLUMN(AC1512)-1))))-1),"")</f>
        <v>46215</v>
      </c>
      <c r="L1512" s="17" t="str">
        <f aca="false" t="array" ref="L1512:L1512">IFERROR(INDEX(AC1512:AE1512,IF(COUNTA(AC1512:AE1512)=0,"",MAX((AC1512:AE1512&lt;&gt;"")*(COLUMN(AC1512:AE1512)-(COLUMN(AC1512)-2))))-1),"")</f>
        <v>ARCHIVED</v>
      </c>
      <c r="M1512" s="13" t="n">
        <f aca="true">K1512-TODAY()</f>
        <v>-109</v>
      </c>
      <c r="N1512" s="18" t="s">
        <v>728</v>
      </c>
      <c r="O1512" s="13" t="s">
        <v>6624</v>
      </c>
      <c r="P1512" s="19" t="n">
        <v>3000000</v>
      </c>
      <c r="Q1512" s="20" t="s">
        <v>6625</v>
      </c>
      <c r="R1512" s="13" t="s">
        <v>52</v>
      </c>
      <c r="S1512" s="14" t="n">
        <v>36383</v>
      </c>
      <c r="T1512" s="13" t="s">
        <v>108</v>
      </c>
      <c r="U1512" s="13" t="s">
        <v>6626</v>
      </c>
      <c r="V1512" s="13" t="s">
        <v>42</v>
      </c>
      <c r="W1512" s="13" t="s">
        <v>54</v>
      </c>
      <c r="X1512" s="21" t="n">
        <v>82131386739</v>
      </c>
      <c r="Y1512" s="22" t="str">
        <f aca="false">O1512</f>
        <v>Admin Office</v>
      </c>
      <c r="Z1512" s="13" t="str">
        <f aca="false">IFERROR(__xludf.dummyfunction("if(BJ1512="""","""",GOOGLETRANSLATE(BJ1512,""auto"",""en""))"),"Admin Office")</f>
        <v>Admin Office</v>
      </c>
      <c r="AA1512" s="23" t="str">
        <f aca="false">IF(C1512="","", CHOOSE(MONTH(C1512),"January","February","March","April","May","June","July","August","September","October","November","December")&amp;" "&amp;DAY(C1512)&amp;MID("thstndrdth",MIN(9,2*RIGHT(DAY(C1512))*(MOD(DAY(C1512)-11,100)&gt;2)+1),2)&amp;","&amp;TEXT(C1512," yyyy"))</f>
        <v>July 5th,2024</v>
      </c>
      <c r="AB1512" s="15" t="str">
        <f aca="true">IF(S1512="","",DATEDIF(S1512,TODAY(),"Y")&amp;" Tahun, "&amp;DATEDIF(S1512,TODAY(),"YM")&amp;" Bulan, "&amp;DATEDIF(S1512,TODAY(),"MD")&amp;" Hari")</f>
        <v>27 Tahun, 2 Bulan, 18 Hari</v>
      </c>
      <c r="AC1512" s="18" t="n">
        <v>45851</v>
      </c>
      <c r="AD1512" s="18" t="n">
        <v>46215</v>
      </c>
      <c r="AE1512" s="18" t="s">
        <v>44</v>
      </c>
    </row>
    <row r="1513" customFormat="false" ht="15" hidden="false" customHeight="true" outlineLevel="0" collapsed="false">
      <c r="A1513" s="12" t="n">
        <v>16248</v>
      </c>
      <c r="B1513" s="13" t="s">
        <v>6627</v>
      </c>
      <c r="C1513" s="14" t="n">
        <v>45483</v>
      </c>
      <c r="D1513" s="13" t="s">
        <v>144</v>
      </c>
      <c r="E1513" s="15" t="s">
        <v>47</v>
      </c>
      <c r="F1513" s="15" t="str">
        <f aca="false">IFERROR(__xludf.dummyfunction("XLOOKUP(AJ1513,IMPORTRANGE(""1XaInW9DU9nz21V0tYIfzFQ0He9kVQ_JF2mCXgZ3hqFA"",""REKAP ALL 2026 - Andika!G:G""),IMPORTRANGE(""1XaInW9DU9nz21V0tYIfzFQ0He9kVQ_JF2mCXgZ3hqFA"",""REKAP ALL 2026 - Andika!F:F""),"""",0)"),"24105107908")</f>
        <v>24105107908</v>
      </c>
      <c r="G1513" s="15" t="s">
        <v>6628</v>
      </c>
      <c r="H1513" s="13" t="s">
        <v>35</v>
      </c>
      <c r="I1513" s="13" t="str">
        <f aca="false">IF(C1513=J1513,"NEW KONTRAK","RE-KONTRAK")</f>
        <v>RE-KONTRAK</v>
      </c>
      <c r="J1513" s="16" t="n">
        <f aca="false" t="array" ref="J1513:J1513">IFERROR(INDEX(AC1513:AE1513,IF(COUNTA(AC1513:AE1513)=0,"",MAX((AC1513:AE1513&lt;&gt;"")*(COLUMN(AC1513:AE1513)-(COLUMN(AC1513)))))-1),"")</f>
        <v>45658</v>
      </c>
      <c r="K1513" s="16" t="n">
        <f aca="false" t="array" ref="K1513:K1513">IFERROR(INDEX(AC1513:AE1513,IF(COUNTA(AC1513:AE1513)=0,"",MAX((AC1513:AE1513&lt;&gt;"")*(COLUMN(AC1513:AE1513)-(COLUMN(AC1513)-1))))-1),"")</f>
        <v>46022</v>
      </c>
      <c r="L1513" s="17" t="str">
        <f aca="false" t="array" ref="L1513:L1513">IFERROR(INDEX(AC1513:AE1513,IF(COUNTA(AC1513:AE1513)=0,"",MAX((AC1513:AE1513&lt;&gt;"")*(COLUMN(AC1513:AE1513)-(COLUMN(AC1513)-2))))-1),"")</f>
        <v>ARCHIVED</v>
      </c>
      <c r="M1513" s="13" t="n">
        <f aca="true">K1513-TODAY()</f>
        <v>-302</v>
      </c>
      <c r="N1513" s="18" t="s">
        <v>36</v>
      </c>
      <c r="O1513" s="13" t="s">
        <v>2810</v>
      </c>
      <c r="P1513" s="19" t="n">
        <v>5195401</v>
      </c>
      <c r="Q1513" s="20" t="s">
        <v>6629</v>
      </c>
      <c r="R1513" s="13" t="s">
        <v>52</v>
      </c>
      <c r="S1513" s="14" t="n">
        <v>33577</v>
      </c>
      <c r="T1513" s="13" t="s">
        <v>108</v>
      </c>
      <c r="U1513" s="13" t="s">
        <v>6630</v>
      </c>
      <c r="V1513" s="13" t="s">
        <v>42</v>
      </c>
      <c r="W1513" s="13" t="s">
        <v>897</v>
      </c>
      <c r="X1513" s="21" t="n">
        <v>895331140607</v>
      </c>
      <c r="Y1513" s="22" t="str">
        <f aca="false">O1513</f>
        <v>Office Girl</v>
      </c>
      <c r="Z1513" s="13" t="str">
        <f aca="false">IFERROR(__xludf.dummyfunction("if(BJ1513="""","""",GOOGLETRANSLATE(BJ1513,""auto"",""en""))"),"Office Girl")</f>
        <v>Office Girl</v>
      </c>
      <c r="AA1513" s="23" t="str">
        <f aca="false">IF(C1513="","", CHOOSE(MONTH(C1513),"January","February","March","April","May","June","July","August","September","October","November","December")&amp;" "&amp;DAY(C1513)&amp;MID("thstndrdth",MIN(9,2*RIGHT(DAY(C1513))*(MOD(DAY(C1513)-11,100)&gt;2)+1),2)&amp;","&amp;TEXT(C1513," yyyy"))</f>
        <v>July 10th,2024</v>
      </c>
      <c r="AB1513" s="15" t="str">
        <f aca="true">IF(S1513="","",DATEDIF(S1513,TODAY(),"Y")&amp;" Tahun, "&amp;DATEDIF(S1513,TODAY(),"YM")&amp;" Bulan, "&amp;DATEDIF(S1513,TODAY(),"MD")&amp;" Hari")</f>
        <v>34 Tahun, 10 Bulan, 24 Hari</v>
      </c>
      <c r="AC1513" s="18" t="n">
        <v>45658</v>
      </c>
      <c r="AD1513" s="18" t="n">
        <v>46022</v>
      </c>
      <c r="AE1513" s="18" t="s">
        <v>44</v>
      </c>
    </row>
    <row r="1514" customFormat="false" ht="15" hidden="false" customHeight="true" outlineLevel="0" collapsed="false">
      <c r="A1514" s="12" t="n">
        <v>16254</v>
      </c>
      <c r="B1514" s="13" t="s">
        <v>6631</v>
      </c>
      <c r="C1514" s="14" t="n">
        <v>45494</v>
      </c>
      <c r="D1514" s="13" t="s">
        <v>6632</v>
      </c>
      <c r="E1514" s="15" t="s">
        <v>789</v>
      </c>
      <c r="F1514" s="24" t="s">
        <v>6633</v>
      </c>
      <c r="G1514" s="15" t="s">
        <v>6634</v>
      </c>
      <c r="H1514" s="13" t="s">
        <v>35</v>
      </c>
      <c r="I1514" s="13" t="str">
        <f aca="false">IF(C1514=J1514,"NEW KONTRAK","RE-KONTRAK")</f>
        <v>RE-KONTRAK</v>
      </c>
      <c r="J1514" s="16" t="n">
        <f aca="false" t="array" ref="J1514:J1514">IFERROR(INDEX(AC1514:AE1514,IF(COUNTA(AC1514:AE1514)=0,"",MAX((AC1514:AE1514&lt;&gt;"")*(COLUMN(AC1514:AE1514)-(COLUMN(AC1514)))))-1),"")</f>
        <v>45859</v>
      </c>
      <c r="K1514" s="16" t="n">
        <f aca="false" t="array" ref="K1514:K1514">IFERROR(INDEX(AC1514:AE1514,IF(COUNTA(AC1514:AE1514)=0,"",MAX((AC1514:AE1514&lt;&gt;"")*(COLUMN(AC1514:AE1514)-(COLUMN(AC1514)-1))))-1),"")</f>
        <v>46223</v>
      </c>
      <c r="L1514" s="17" t="str">
        <f aca="false" t="array" ref="L1514:L1514">IFERROR(INDEX(AC1514:AE1514,IF(COUNTA(AC1514:AE1514)=0,"",MAX((AC1514:AE1514&lt;&gt;"")*(COLUMN(AC1514:AE1514)-(COLUMN(AC1514)-2))))-1),"")</f>
        <v>ARCHIVED</v>
      </c>
      <c r="M1514" s="13" t="n">
        <f aca="true">K1514-TODAY()</f>
        <v>-101</v>
      </c>
      <c r="N1514" s="18" t="s">
        <v>4735</v>
      </c>
      <c r="O1514" s="13" t="s">
        <v>50</v>
      </c>
      <c r="P1514" s="19" t="n">
        <v>3368275</v>
      </c>
      <c r="Q1514" s="20" t="s">
        <v>6635</v>
      </c>
      <c r="R1514" s="13" t="s">
        <v>324</v>
      </c>
      <c r="S1514" s="14" t="n">
        <v>34989</v>
      </c>
      <c r="T1514" s="13" t="s">
        <v>40</v>
      </c>
      <c r="U1514" s="13" t="s">
        <v>6636</v>
      </c>
      <c r="V1514" s="13" t="s">
        <v>42</v>
      </c>
      <c r="W1514" s="13" t="s">
        <v>54</v>
      </c>
      <c r="X1514" s="21" t="n">
        <v>81259667906</v>
      </c>
      <c r="Y1514" s="22" t="str">
        <f aca="false">O1514</f>
        <v>Driver</v>
      </c>
      <c r="Z1514" s="13" t="str">
        <f aca="false">IFERROR(__xludf.dummyfunction("if(BJ1514="""","""",GOOGLETRANSLATE(BJ1514,""auto"",""en""))"),"Driver")</f>
        <v>Driver</v>
      </c>
      <c r="AA1514" s="23" t="str">
        <f aca="false">IF(C1514="","", CHOOSE(MONTH(C1514),"January","February","March","April","May","June","July","August","September","October","November","December")&amp;" "&amp;DAY(C1514)&amp;MID("thstndrdth",MIN(9,2*RIGHT(DAY(C1514))*(MOD(DAY(C1514)-11,100)&gt;2)+1),2)&amp;","&amp;TEXT(C1514," yyyy"))</f>
        <v>July 21st,2024</v>
      </c>
      <c r="AB1514" s="15" t="str">
        <f aca="true">IF(S1514="","",DATEDIF(S1514,TODAY(),"Y")&amp;" Tahun, "&amp;DATEDIF(S1514,TODAY(),"YM")&amp;" Bulan, "&amp;DATEDIF(S1514,TODAY(),"MD")&amp;" Hari")</f>
        <v>31 Tahun, 0 Bulan, 12 Hari</v>
      </c>
      <c r="AC1514" s="18" t="n">
        <v>45859</v>
      </c>
      <c r="AD1514" s="18" t="n">
        <v>46223</v>
      </c>
      <c r="AE1514" s="18" t="s">
        <v>44</v>
      </c>
    </row>
    <row r="1515" customFormat="false" ht="15" hidden="false" customHeight="true" outlineLevel="0" collapsed="false">
      <c r="A1515" s="12" t="n">
        <v>16272</v>
      </c>
      <c r="B1515" s="13" t="s">
        <v>6637</v>
      </c>
      <c r="C1515" s="14" t="n">
        <v>45494</v>
      </c>
      <c r="D1515" s="13" t="s">
        <v>6638</v>
      </c>
      <c r="E1515" s="15" t="s">
        <v>47</v>
      </c>
      <c r="F1515" s="15" t="str">
        <f aca="false">IFERROR(__xludf.dummyfunction("XLOOKUP(AJ1515,IMPORTRANGE(""1XaInW9DU9nz21V0tYIfzFQ0He9kVQ_JF2mCXgZ3hqFA"",""REKAP ALL 2026 - Andika!G:G""),IMPORTRANGE(""1XaInW9DU9nz21V0tYIfzFQ0He9kVQ_JF2mCXgZ3hqFA"",""REKAP ALL 2026 - Andika!F:F""),"""",0)"),"22029368820")</f>
        <v>22029368820</v>
      </c>
      <c r="G1515" s="15" t="s">
        <v>6639</v>
      </c>
      <c r="H1515" s="13" t="s">
        <v>35</v>
      </c>
      <c r="I1515" s="13" t="str">
        <f aca="false">IF(C1515=J1515,"NEW KONTRAK","RE-KONTRAK")</f>
        <v>RE-KONTRAK</v>
      </c>
      <c r="J1515" s="16" t="n">
        <f aca="false" t="array" ref="J1515:J1515">IFERROR(INDEX(AC1515:AE1515,IF(COUNTA(AC1515:AE1515)=0,"",MAX((AC1515:AE1515&lt;&gt;"")*(COLUMN(AC1515:AE1515)-(COLUMN(AC1515)))))-1),"")</f>
        <v>45890</v>
      </c>
      <c r="K1515" s="16" t="n">
        <f aca="false" t="array" ref="K1515:K1515">IFERROR(INDEX(AC1515:AE1515,IF(COUNTA(AC1515:AE1515)=0,"",MAX((AC1515:AE1515&lt;&gt;"")*(COLUMN(AC1515:AE1515)-(COLUMN(AC1515)-1))))-1),"")</f>
        <v>45981</v>
      </c>
      <c r="L1515" s="17" t="str">
        <f aca="false" t="array" ref="L1515:L1515">IFERROR(INDEX(AC1515:AE1515,IF(COUNTA(AC1515:AE1515)=0,"",MAX((AC1515:AE1515&lt;&gt;"")*(COLUMN(AC1515:AE1515)-(COLUMN(AC1515)-2))))-1),"")</f>
        <v>ARCHIVED</v>
      </c>
      <c r="M1515" s="13" t="n">
        <f aca="true">K1515-TODAY()</f>
        <v>-343</v>
      </c>
      <c r="N1515" s="18" t="s">
        <v>4735</v>
      </c>
      <c r="O1515" s="13" t="s">
        <v>6640</v>
      </c>
      <c r="P1515" s="19" t="n">
        <v>3033530</v>
      </c>
      <c r="Q1515" s="20" t="s">
        <v>6641</v>
      </c>
      <c r="R1515" s="13" t="s">
        <v>52</v>
      </c>
      <c r="S1515" s="14" t="n">
        <v>37760</v>
      </c>
      <c r="T1515" s="13" t="s">
        <v>40</v>
      </c>
      <c r="U1515" s="13" t="s">
        <v>6642</v>
      </c>
      <c r="V1515" s="13" t="s">
        <v>42</v>
      </c>
      <c r="W1515" s="13" t="s">
        <v>43</v>
      </c>
      <c r="X1515" s="21" t="n">
        <v>81357694871</v>
      </c>
      <c r="Y1515" s="22" t="str">
        <f aca="false">O1515</f>
        <v>Helper IT</v>
      </c>
      <c r="Z1515" s="13" t="str">
        <f aca="false">IFERROR(__xludf.dummyfunction("if(BJ1515="""","""",GOOGLETRANSLATE(BJ1515,""auto"",""en""))"),"Helper IT")</f>
        <v>Helper IT</v>
      </c>
      <c r="AA1515" s="23" t="str">
        <f aca="false">IF(C1515="","", CHOOSE(MONTH(C1515),"January","February","March","April","May","June","July","August","September","October","November","December")&amp;" "&amp;DAY(C1515)&amp;MID("thstndrdth",MIN(9,2*RIGHT(DAY(C1515))*(MOD(DAY(C1515)-11,100)&gt;2)+1),2)&amp;","&amp;TEXT(C1515," yyyy"))</f>
        <v>July 21st,2024</v>
      </c>
      <c r="AB1515" s="15" t="str">
        <f aca="true">IF(S1515="","",DATEDIF(S1515,TODAY(),"Y")&amp;" Tahun, "&amp;DATEDIF(S1515,TODAY(),"YM")&amp;" Bulan, "&amp;DATEDIF(S1515,TODAY(),"MD")&amp;" Hari")</f>
        <v>23 Tahun, 5 Bulan, 10 Hari</v>
      </c>
      <c r="AC1515" s="18" t="n">
        <v>45890</v>
      </c>
      <c r="AD1515" s="18" t="n">
        <v>45981</v>
      </c>
      <c r="AE1515" s="18" t="s">
        <v>44</v>
      </c>
    </row>
    <row r="1516" customFormat="false" ht="15" hidden="false" customHeight="true" outlineLevel="0" collapsed="false">
      <c r="A1516" s="12" t="n">
        <v>16273</v>
      </c>
      <c r="B1516" s="13" t="s">
        <v>6643</v>
      </c>
      <c r="C1516" s="14" t="n">
        <v>45494</v>
      </c>
      <c r="D1516" s="13" t="s">
        <v>6638</v>
      </c>
      <c r="E1516" s="15" t="s">
        <v>33</v>
      </c>
      <c r="F1516" s="24" t="s">
        <v>6644</v>
      </c>
      <c r="G1516" s="15" t="s">
        <v>6645</v>
      </c>
      <c r="H1516" s="13" t="s">
        <v>35</v>
      </c>
      <c r="I1516" s="13" t="str">
        <f aca="false">IF(C1516=J1516,"NEW KONTRAK","RE-KONTRAK")</f>
        <v>RE-KONTRAK</v>
      </c>
      <c r="J1516" s="16" t="n">
        <f aca="false" t="array" ref="J1516:J1516">IFERROR(INDEX(AC1516:AE1516,IF(COUNTA(AC1516:AE1516)=0,"",MAX((AC1516:AE1516&lt;&gt;"")*(COLUMN(AC1516:AE1516)-(COLUMN(AC1516)))))-1),"")</f>
        <v>45859</v>
      </c>
      <c r="K1516" s="16" t="n">
        <f aca="false" t="array" ref="K1516:K1516">IFERROR(INDEX(AC1516:AE1516,IF(COUNTA(AC1516:AE1516)=0,"",MAX((AC1516:AE1516&lt;&gt;"")*(COLUMN(AC1516:AE1516)-(COLUMN(AC1516)-1))))-1),"")</f>
        <v>45889</v>
      </c>
      <c r="L1516" s="17" t="str">
        <f aca="false" t="array" ref="L1516:L1516">IFERROR(INDEX(AC1516:AE1516,IF(COUNTA(AC1516:AE1516)=0,"",MAX((AC1516:AE1516&lt;&gt;"")*(COLUMN(AC1516:AE1516)-(COLUMN(AC1516)-2))))-1),"")</f>
        <v>ARCHIVED</v>
      </c>
      <c r="M1516" s="13" t="n">
        <f aca="true">K1516-TODAY()</f>
        <v>-435</v>
      </c>
      <c r="N1516" s="18" t="s">
        <v>4735</v>
      </c>
      <c r="O1516" s="13" t="s">
        <v>6640</v>
      </c>
      <c r="P1516" s="19" t="n">
        <v>3033530</v>
      </c>
      <c r="Q1516" s="20" t="s">
        <v>6646</v>
      </c>
      <c r="R1516" s="13" t="s">
        <v>324</v>
      </c>
      <c r="S1516" s="14" t="n">
        <v>34865</v>
      </c>
      <c r="T1516" s="13" t="s">
        <v>40</v>
      </c>
      <c r="U1516" s="13" t="s">
        <v>6647</v>
      </c>
      <c r="V1516" s="13" t="s">
        <v>42</v>
      </c>
      <c r="W1516" s="13" t="s">
        <v>43</v>
      </c>
      <c r="X1516" s="21" t="n">
        <v>895383532054</v>
      </c>
      <c r="Y1516" s="22" t="str">
        <f aca="false">O1516</f>
        <v>Helper IT</v>
      </c>
      <c r="Z1516" s="13" t="str">
        <f aca="false">IFERROR(__xludf.dummyfunction("if(BJ1516="""","""",GOOGLETRANSLATE(BJ1516,""auto"",""en""))"),"Helper IT")</f>
        <v>Helper IT</v>
      </c>
      <c r="AA1516" s="23" t="str">
        <f aca="false">IF(C1516="","", CHOOSE(MONTH(C1516),"January","February","March","April","May","June","July","August","September","October","November","December")&amp;" "&amp;DAY(C1516)&amp;MID("thstndrdth",MIN(9,2*RIGHT(DAY(C1516))*(MOD(DAY(C1516)-11,100)&gt;2)+1),2)&amp;","&amp;TEXT(C1516," yyyy"))</f>
        <v>July 21st,2024</v>
      </c>
      <c r="AB1516" s="15" t="str">
        <f aca="true">IF(S1516="","",DATEDIF(S1516,TODAY(),"Y")&amp;" Tahun, "&amp;DATEDIF(S1516,TODAY(),"YM")&amp;" Bulan, "&amp;DATEDIF(S1516,TODAY(),"MD")&amp;" Hari")</f>
        <v>31 Tahun, 4 Bulan, 14 Hari</v>
      </c>
      <c r="AC1516" s="18" t="n">
        <v>45859</v>
      </c>
      <c r="AD1516" s="18" t="n">
        <v>45889</v>
      </c>
      <c r="AE1516" s="18" t="s">
        <v>44</v>
      </c>
    </row>
    <row r="1517" customFormat="false" ht="15" hidden="false" customHeight="true" outlineLevel="0" collapsed="false">
      <c r="A1517" s="12" t="n">
        <v>16274</v>
      </c>
      <c r="B1517" s="13" t="s">
        <v>1285</v>
      </c>
      <c r="C1517" s="14" t="n">
        <v>45494</v>
      </c>
      <c r="D1517" s="13" t="s">
        <v>6638</v>
      </c>
      <c r="E1517" s="15" t="s">
        <v>47</v>
      </c>
      <c r="F1517" s="15" t="str">
        <f aca="false">IFERROR(__xludf.dummyfunction("XLOOKUP(AJ1517,IMPORTRANGE(""1XaInW9DU9nz21V0tYIfzFQ0He9kVQ_JF2mCXgZ3hqFA"",""REKAP ALL 2026 - Andika!G:G""),IMPORTRANGE(""1XaInW9DU9nz21V0tYIfzFQ0He9kVQ_JF2mCXgZ3hqFA"",""REKAP ALL 2026 - Andika!F:F""),"""",0)"),"22048905628")</f>
        <v>22048905628</v>
      </c>
      <c r="G1517" s="15" t="s">
        <v>6648</v>
      </c>
      <c r="H1517" s="13" t="s">
        <v>35</v>
      </c>
      <c r="I1517" s="13" t="str">
        <f aca="false">IF(C1517=J1517,"NEW KONTRAK","RE-KONTRAK")</f>
        <v>RE-KONTRAK</v>
      </c>
      <c r="J1517" s="16" t="n">
        <f aca="false" t="array" ref="J1517:J1517">IFERROR(INDEX(AC1517:AE1517,IF(COUNTA(AC1517:AE1517)=0,"",MAX((AC1517:AE1517&lt;&gt;"")*(COLUMN(AC1517:AE1517)-(COLUMN(AC1517)))))-1),"")</f>
        <v>45859</v>
      </c>
      <c r="K1517" s="16" t="n">
        <f aca="false" t="array" ref="K1517:K1517">IFERROR(INDEX(AC1517:AE1517,IF(COUNTA(AC1517:AE1517)=0,"",MAX((AC1517:AE1517&lt;&gt;"")*(COLUMN(AC1517:AE1517)-(COLUMN(AC1517)-1))))-1),"")</f>
        <v>46042</v>
      </c>
      <c r="L1517" s="17" t="str">
        <f aca="false" t="array" ref="L1517:L1517">IFERROR(INDEX(AC1517:AE1517,IF(COUNTA(AC1517:AE1517)=0,"",MAX((AC1517:AE1517&lt;&gt;"")*(COLUMN(AC1517:AE1517)-(COLUMN(AC1517)-2))))-1),"")</f>
        <v>ARCHIVED</v>
      </c>
      <c r="M1517" s="13" t="n">
        <f aca="true">K1517-TODAY()</f>
        <v>-282</v>
      </c>
      <c r="N1517" s="18" t="s">
        <v>4735</v>
      </c>
      <c r="O1517" s="13" t="s">
        <v>50</v>
      </c>
      <c r="P1517" s="19" t="n">
        <v>3033530</v>
      </c>
      <c r="Q1517" s="20" t="s">
        <v>6649</v>
      </c>
      <c r="R1517" s="13" t="s">
        <v>83</v>
      </c>
      <c r="S1517" s="14" t="n">
        <v>34921</v>
      </c>
      <c r="T1517" s="13" t="s">
        <v>40</v>
      </c>
      <c r="U1517" s="13" t="s">
        <v>6650</v>
      </c>
      <c r="V1517" s="13" t="s">
        <v>42</v>
      </c>
      <c r="W1517" s="13" t="s">
        <v>54</v>
      </c>
      <c r="X1517" s="21" t="n">
        <v>82229225670</v>
      </c>
      <c r="Y1517" s="22" t="str">
        <f aca="false">O1517</f>
        <v>Driver</v>
      </c>
      <c r="Z1517" s="13" t="str">
        <f aca="false">IFERROR(__xludf.dummyfunction("if(BJ1517="""","""",GOOGLETRANSLATE(BJ1517,""auto"",""en""))"),"Driver")</f>
        <v>Driver</v>
      </c>
      <c r="AA1517" s="23" t="str">
        <f aca="false">IF(C1517="","", CHOOSE(MONTH(C1517),"January","February","March","April","May","June","July","August","September","October","November","December")&amp;" "&amp;DAY(C1517)&amp;MID("thstndrdth",MIN(9,2*RIGHT(DAY(C1517))*(MOD(DAY(C1517)-11,100)&gt;2)+1),2)&amp;","&amp;TEXT(C1517," yyyy"))</f>
        <v>July 21st,2024</v>
      </c>
      <c r="AB1517" s="15" t="str">
        <f aca="true">IF(S1517="","",DATEDIF(S1517,TODAY(),"Y")&amp;" Tahun, "&amp;DATEDIF(S1517,TODAY(),"YM")&amp;" Bulan, "&amp;DATEDIF(S1517,TODAY(),"MD")&amp;" Hari")</f>
        <v>31 Tahun, 2 Bulan, 19 Hari</v>
      </c>
      <c r="AC1517" s="18" t="n">
        <v>45859</v>
      </c>
      <c r="AD1517" s="18" t="n">
        <v>46042</v>
      </c>
      <c r="AE1517" s="18" t="s">
        <v>44</v>
      </c>
    </row>
    <row r="1518" customFormat="false" ht="15" hidden="false" customHeight="true" outlineLevel="0" collapsed="false">
      <c r="A1518" s="12" t="n">
        <v>16275</v>
      </c>
      <c r="B1518" s="13" t="s">
        <v>6651</v>
      </c>
      <c r="C1518" s="14" t="n">
        <v>45494</v>
      </c>
      <c r="D1518" s="13" t="s">
        <v>6638</v>
      </c>
      <c r="E1518" s="15" t="s">
        <v>47</v>
      </c>
      <c r="F1518" s="15" t="str">
        <f aca="false">IFERROR(__xludf.dummyfunction("XLOOKUP(AJ1518,IMPORTRANGE(""1XaInW9DU9nz21V0tYIfzFQ0He9kVQ_JF2mCXgZ3hqFA"",""REKAP ALL 2026 - Andika!G:G""),IMPORTRANGE(""1XaInW9DU9nz21V0tYIfzFQ0He9kVQ_JF2mCXgZ3hqFA"",""REKAP ALL 2026 - Andika!F:F""),"""",0)"),"22019802341")</f>
        <v>22019802341</v>
      </c>
      <c r="G1518" s="15" t="s">
        <v>6652</v>
      </c>
      <c r="H1518" s="13" t="s">
        <v>35</v>
      </c>
      <c r="I1518" s="13" t="str">
        <f aca="false">IF(C1518=J1518,"NEW KONTRAK","RE-KONTRAK")</f>
        <v>RE-KONTRAK</v>
      </c>
      <c r="J1518" s="16" t="n">
        <f aca="false" t="array" ref="J1518:J1518">IFERROR(INDEX(AC1518:AE1518,IF(COUNTA(AC1518:AE1518)=0,"",MAX((AC1518:AE1518&lt;&gt;"")*(COLUMN(AC1518:AE1518)-(COLUMN(AC1518)))))-1),"")</f>
        <v>46048</v>
      </c>
      <c r="K1518" s="16" t="n">
        <f aca="false" t="array" ref="K1518:K1518">IFERROR(INDEX(AC1518:AE1518,IF(COUNTA(AC1518:AE1518)=0,"",MAX((AC1518:AE1518&lt;&gt;"")*(COLUMN(AC1518:AE1518)-(COLUMN(AC1518)-1))))-1),"")</f>
        <v>46106</v>
      </c>
      <c r="L1518" s="17" t="str">
        <f aca="false" t="array" ref="L1518:L1518">IFERROR(INDEX(AC1518:AE1518,IF(COUNTA(AC1518:AE1518)=0,"",MAX((AC1518:AE1518&lt;&gt;"")*(COLUMN(AC1518:AE1518)-(COLUMN(AC1518)-2))))-1),"")</f>
        <v>ARCHIVED</v>
      </c>
      <c r="M1518" s="13" t="n">
        <f aca="true">K1518-TODAY()</f>
        <v>-218</v>
      </c>
      <c r="N1518" s="18" t="s">
        <v>4735</v>
      </c>
      <c r="O1518" s="13" t="s">
        <v>6640</v>
      </c>
      <c r="P1518" s="19" t="n">
        <v>3033530</v>
      </c>
      <c r="Q1518" s="20" t="s">
        <v>6653</v>
      </c>
      <c r="R1518" s="13" t="s">
        <v>83</v>
      </c>
      <c r="S1518" s="14" t="n">
        <v>34722</v>
      </c>
      <c r="T1518" s="13" t="s">
        <v>40</v>
      </c>
      <c r="U1518" s="17" t="s">
        <v>6654</v>
      </c>
      <c r="V1518" s="13" t="s">
        <v>42</v>
      </c>
      <c r="W1518" s="13" t="s">
        <v>54</v>
      </c>
      <c r="X1518" s="21" t="n">
        <v>8819710838</v>
      </c>
      <c r="Y1518" s="22" t="str">
        <f aca="false">O1518</f>
        <v>Helper IT</v>
      </c>
      <c r="Z1518" s="13" t="str">
        <f aca="false">IFERROR(__xludf.dummyfunction("if(BJ1518="""","""",GOOGLETRANSLATE(BJ1518,""auto"",""en""))"),"Helper IT")</f>
        <v>Helper IT</v>
      </c>
      <c r="AA1518" s="23" t="str">
        <f aca="false">IF(C1518="","", CHOOSE(MONTH(C1518),"January","February","March","April","May","June","July","August","September","October","November","December")&amp;" "&amp;DAY(C1518)&amp;MID("thstndrdth",MIN(9,2*RIGHT(DAY(C1518))*(MOD(DAY(C1518)-11,100)&gt;2)+1),2)&amp;","&amp;TEXT(C1518," yyyy"))</f>
        <v>July 21st,2024</v>
      </c>
      <c r="AB1518" s="15" t="str">
        <f aca="true">IF(S1518="","",DATEDIF(S1518,TODAY(),"Y")&amp;" Tahun, "&amp;DATEDIF(S1518,TODAY(),"YM")&amp;" Bulan, "&amp;DATEDIF(S1518,TODAY(),"MD")&amp;" Hari")</f>
        <v>31 Tahun, 9 Bulan, 6 Hari</v>
      </c>
      <c r="AC1518" s="18" t="n">
        <v>46048</v>
      </c>
      <c r="AD1518" s="18" t="n">
        <v>46106</v>
      </c>
      <c r="AE1518" s="18" t="s">
        <v>44</v>
      </c>
    </row>
    <row r="1519" customFormat="false" ht="15" hidden="false" customHeight="true" outlineLevel="0" collapsed="false">
      <c r="A1519" s="12" t="n">
        <v>16276</v>
      </c>
      <c r="B1519" s="13" t="s">
        <v>6655</v>
      </c>
      <c r="C1519" s="14" t="n">
        <v>45494</v>
      </c>
      <c r="D1519" s="13" t="s">
        <v>6638</v>
      </c>
      <c r="E1519" s="15" t="s">
        <v>47</v>
      </c>
      <c r="F1519" s="15" t="str">
        <f aca="false">IFERROR(__xludf.dummyfunction("XLOOKUP(AJ1519,IMPORTRANGE(""1XaInW9DU9nz21V0tYIfzFQ0He9kVQ_JF2mCXgZ3hqFA"",""REKAP ALL 2026 - Andika!G:G""),IMPORTRANGE(""1XaInW9DU9nz21V0tYIfzFQ0He9kVQ_JF2mCXgZ3hqFA"",""REKAP ALL 2026 - Andika!F:F""),"""",0)"),"22116724372")</f>
        <v>22116724372</v>
      </c>
      <c r="G1519" s="15" t="s">
        <v>6656</v>
      </c>
      <c r="H1519" s="13" t="s">
        <v>35</v>
      </c>
      <c r="I1519" s="13" t="str">
        <f aca="false">IF(C1519=J1519,"NEW KONTRAK","RE-KONTRAK")</f>
        <v>RE-KONTRAK</v>
      </c>
      <c r="J1519" s="16" t="n">
        <f aca="false" t="array" ref="J1519:J1519">IFERROR(INDEX(AC1519:AE1519,IF(COUNTA(AC1519:AE1519)=0,"",MAX((AC1519:AE1519&lt;&gt;"")*(COLUMN(AC1519:AE1519)-(COLUMN(AC1519)))))-1),"")</f>
        <v>45859</v>
      </c>
      <c r="K1519" s="16" t="n">
        <f aca="false" t="array" ref="K1519:K1519">IFERROR(INDEX(AC1519:AE1519,IF(COUNTA(AC1519:AE1519)=0,"",MAX((AC1519:AE1519&lt;&gt;"")*(COLUMN(AC1519:AE1519)-(COLUMN(AC1519)-1))))-1),"")</f>
        <v>45950</v>
      </c>
      <c r="L1519" s="17" t="str">
        <f aca="false" t="array" ref="L1519:L1519">IFERROR(INDEX(AC1519:AE1519,IF(COUNTA(AC1519:AE1519)=0,"",MAX((AC1519:AE1519&lt;&gt;"")*(COLUMN(AC1519:AE1519)-(COLUMN(AC1519)-2))))-1),"")</f>
        <v>ARCHIVED</v>
      </c>
      <c r="M1519" s="13" t="n">
        <f aca="true">K1519-TODAY()</f>
        <v>-374</v>
      </c>
      <c r="N1519" s="18" t="s">
        <v>4735</v>
      </c>
      <c r="O1519" s="13" t="s">
        <v>50</v>
      </c>
      <c r="P1519" s="19" t="n">
        <v>3033530</v>
      </c>
      <c r="Q1519" s="20" t="s">
        <v>6657</v>
      </c>
      <c r="R1519" s="13" t="s">
        <v>83</v>
      </c>
      <c r="S1519" s="14" t="n">
        <v>31092</v>
      </c>
      <c r="T1519" s="13" t="s">
        <v>40</v>
      </c>
      <c r="U1519" s="13" t="s">
        <v>6658</v>
      </c>
      <c r="V1519" s="13" t="s">
        <v>42</v>
      </c>
      <c r="W1519" s="13" t="s">
        <v>54</v>
      </c>
      <c r="X1519" s="21" t="n">
        <v>81232538711</v>
      </c>
      <c r="Y1519" s="22" t="str">
        <f aca="false">O1519</f>
        <v>Driver</v>
      </c>
      <c r="Z1519" s="13" t="str">
        <f aca="false">IFERROR(__xludf.dummyfunction("if(BJ1519="""","""",GOOGLETRANSLATE(BJ1519,""auto"",""en""))"),"Driver")</f>
        <v>Driver</v>
      </c>
      <c r="AA1519" s="23" t="str">
        <f aca="false">IF(C1519="","", CHOOSE(MONTH(C1519),"January","February","March","April","May","June","July","August","September","October","November","December")&amp;" "&amp;DAY(C1519)&amp;MID("thstndrdth",MIN(9,2*RIGHT(DAY(C1519))*(MOD(DAY(C1519)-11,100)&gt;2)+1),2)&amp;","&amp;TEXT(C1519," yyyy"))</f>
        <v>July 21st,2024</v>
      </c>
      <c r="AB1519" s="15" t="str">
        <f aca="true">IF(S1519="","",DATEDIF(S1519,TODAY(),"Y")&amp;" Tahun, "&amp;DATEDIF(S1519,TODAY(),"YM")&amp;" Bulan, "&amp;DATEDIF(S1519,TODAY(),"MD")&amp;" Hari")</f>
        <v>41 Tahun, 8 Bulan, 15 Hari</v>
      </c>
      <c r="AC1519" s="18" t="n">
        <v>45859</v>
      </c>
      <c r="AD1519" s="18" t="n">
        <v>45950</v>
      </c>
      <c r="AE1519" s="18" t="s">
        <v>44</v>
      </c>
    </row>
    <row r="1520" customFormat="false" ht="15" hidden="false" customHeight="true" outlineLevel="0" collapsed="false">
      <c r="A1520" s="12" t="n">
        <v>16277</v>
      </c>
      <c r="B1520" s="13" t="s">
        <v>6659</v>
      </c>
      <c r="C1520" s="14" t="n">
        <v>45494</v>
      </c>
      <c r="D1520" s="13" t="s">
        <v>6638</v>
      </c>
      <c r="E1520" s="15" t="s">
        <v>789</v>
      </c>
      <c r="F1520" s="24" t="s">
        <v>6660</v>
      </c>
      <c r="G1520" s="15" t="s">
        <v>6661</v>
      </c>
      <c r="H1520" s="13" t="s">
        <v>35</v>
      </c>
      <c r="I1520" s="13" t="str">
        <f aca="false">IF(C1520=J1520,"NEW KONTRAK","RE-KONTRAK")</f>
        <v>RE-KONTRAK</v>
      </c>
      <c r="J1520" s="16" t="n">
        <f aca="false" t="array" ref="J1520:J1520">IFERROR(INDEX(AC1520:AE1520,IF(COUNTA(AC1520:AE1520)=0,"",MAX((AC1520:AE1520&lt;&gt;"")*(COLUMN(AC1520:AE1520)-(COLUMN(AC1520)))))-1),"")</f>
        <v>45859</v>
      </c>
      <c r="K1520" s="16" t="n">
        <f aca="false" t="array" ref="K1520:K1520">IFERROR(INDEX(AC1520:AE1520,IF(COUNTA(AC1520:AE1520)=0,"",MAX((AC1520:AE1520&lt;&gt;"")*(COLUMN(AC1520:AE1520)-(COLUMN(AC1520)-1))))-1),"")</f>
        <v>46022</v>
      </c>
      <c r="L1520" s="17" t="str">
        <f aca="false" t="array" ref="L1520:L1520">IFERROR(INDEX(AC1520:AE1520,IF(COUNTA(AC1520:AE1520)=0,"",MAX((AC1520:AE1520&lt;&gt;"")*(COLUMN(AC1520:AE1520)-(COLUMN(AC1520)-2))))-1),"")</f>
        <v>ARCHIVED</v>
      </c>
      <c r="M1520" s="13" t="n">
        <f aca="true">K1520-TODAY()</f>
        <v>-302</v>
      </c>
      <c r="N1520" s="18" t="s">
        <v>4735</v>
      </c>
      <c r="O1520" s="13" t="s">
        <v>6662</v>
      </c>
      <c r="P1520" s="19" t="n">
        <v>3298796</v>
      </c>
      <c r="Q1520" s="20" t="s">
        <v>6663</v>
      </c>
      <c r="R1520" s="13" t="s">
        <v>2587</v>
      </c>
      <c r="S1520" s="14" t="n">
        <v>36481</v>
      </c>
      <c r="T1520" s="13" t="s">
        <v>108</v>
      </c>
      <c r="U1520" s="13" t="s">
        <v>6664</v>
      </c>
      <c r="V1520" s="13" t="s">
        <v>42</v>
      </c>
      <c r="W1520" s="13" t="s">
        <v>43</v>
      </c>
      <c r="X1520" s="21" t="n">
        <v>89671878767</v>
      </c>
      <c r="Y1520" s="22" t="str">
        <f aca="false">O1520</f>
        <v>Front Office</v>
      </c>
      <c r="Z1520" s="13" t="str">
        <f aca="false">IFERROR(__xludf.dummyfunction("if(BJ1520="""","""",GOOGLETRANSLATE(BJ1520,""auto"",""en""))"),"Front Office")</f>
        <v>Front Office</v>
      </c>
      <c r="AA1520" s="23" t="str">
        <f aca="false">IF(C1520="","", CHOOSE(MONTH(C1520),"January","February","March","April","May","June","July","August","September","October","November","December")&amp;" "&amp;DAY(C1520)&amp;MID("thstndrdth",MIN(9,2*RIGHT(DAY(C1520))*(MOD(DAY(C1520)-11,100)&gt;2)+1),2)&amp;","&amp;TEXT(C1520," yyyy"))</f>
        <v>July 21st,2024</v>
      </c>
      <c r="AB1520" s="15" t="str">
        <f aca="true">IF(S1520="","",DATEDIF(S1520,TODAY(),"Y")&amp;" Tahun, "&amp;DATEDIF(S1520,TODAY(),"YM")&amp;" Bulan, "&amp;DATEDIF(S1520,TODAY(),"MD")&amp;" Hari")</f>
        <v>26 Tahun, 11 Bulan, 12 Hari</v>
      </c>
      <c r="AC1520" s="18" t="n">
        <v>45859</v>
      </c>
      <c r="AD1520" s="18" t="n">
        <v>46022</v>
      </c>
      <c r="AE1520" s="18" t="s">
        <v>44</v>
      </c>
    </row>
    <row r="1521" customFormat="false" ht="15" hidden="false" customHeight="true" outlineLevel="0" collapsed="false">
      <c r="A1521" s="12" t="n">
        <v>16286</v>
      </c>
      <c r="B1521" s="13" t="s">
        <v>6665</v>
      </c>
      <c r="C1521" s="14" t="n">
        <v>45483</v>
      </c>
      <c r="D1521" s="13" t="s">
        <v>613</v>
      </c>
      <c r="E1521" s="15" t="s">
        <v>47</v>
      </c>
      <c r="F1521" s="15" t="str">
        <f aca="false">IFERROR(__xludf.dummyfunction("XLOOKUP(AJ1521,IMPORTRANGE(""1XaInW9DU9nz21V0tYIfzFQ0He9kVQ_JF2mCXgZ3hqFA"",""REKAP ALL 2026 - Andika!G:G""),IMPORTRANGE(""1XaInW9DU9nz21V0tYIfzFQ0He9kVQ_JF2mCXgZ3hqFA"",""REKAP ALL 2026 - Andika!F:F""),"""",0)"),"25133237138")</f>
        <v>25133237138</v>
      </c>
      <c r="G1521" s="15" t="s">
        <v>6666</v>
      </c>
      <c r="H1521" s="13" t="s">
        <v>35</v>
      </c>
      <c r="I1521" s="13" t="str">
        <f aca="false">IF(C1521=J1521,"NEW KONTRAK","RE-KONTRAK")</f>
        <v>RE-KONTRAK</v>
      </c>
      <c r="J1521" s="16" t="n">
        <f aca="false" t="array" ref="J1521:J1521">IFERROR(INDEX(AC1521:AE1521,IF(COUNTA(AC1521:AE1521)=0,"",MAX((AC1521:AE1521&lt;&gt;"")*(COLUMN(AC1521:AE1521)-(COLUMN(AC1521)))))-1),"")</f>
        <v>45704</v>
      </c>
      <c r="K1521" s="16" t="n">
        <f aca="false" t="array" ref="K1521:K1521">IFERROR(INDEX(AC1521:AE1521,IF(COUNTA(AC1521:AE1521)=0,"",MAX((AC1521:AE1521&lt;&gt;"")*(COLUMN(AC1521:AE1521)-(COLUMN(AC1521)-1))))-1),"")</f>
        <v>45884</v>
      </c>
      <c r="L1521" s="17" t="str">
        <f aca="false" t="array" ref="L1521:L1521">IFERROR(INDEX(AC1521:AE1521,IF(COUNTA(AC1521:AE1521)=0,"",MAX((AC1521:AE1521&lt;&gt;"")*(COLUMN(AC1521:AE1521)-(COLUMN(AC1521)-2))))-1),"")</f>
        <v>ARCHIVED</v>
      </c>
      <c r="M1521" s="13" t="n">
        <f aca="true">K1521-TODAY()</f>
        <v>-440</v>
      </c>
      <c r="N1521" s="18" t="s">
        <v>615</v>
      </c>
      <c r="O1521" s="13" t="s">
        <v>58</v>
      </c>
      <c r="P1521" s="19" t="n">
        <v>5176101</v>
      </c>
      <c r="Q1521" s="20" t="s">
        <v>6667</v>
      </c>
      <c r="R1521" s="13" t="s">
        <v>232</v>
      </c>
      <c r="S1521" s="14" t="n">
        <v>36912</v>
      </c>
      <c r="T1521" s="13" t="s">
        <v>40</v>
      </c>
      <c r="U1521" s="13" t="s">
        <v>6668</v>
      </c>
      <c r="V1521" s="13" t="s">
        <v>42</v>
      </c>
      <c r="W1521" s="13" t="s">
        <v>43</v>
      </c>
      <c r="X1521" s="21" t="n">
        <v>81232711699</v>
      </c>
      <c r="Y1521" s="22" t="str">
        <f aca="false">O1521</f>
        <v>Produksi</v>
      </c>
      <c r="Z1521" s="13" t="str">
        <f aca="false">IFERROR(__xludf.dummyfunction("if(BJ1521="""","""",GOOGLETRANSLATE(BJ1521,""auto"",""en""))"),"Production")</f>
        <v>Production</v>
      </c>
      <c r="AA1521" s="23" t="str">
        <f aca="false">IF(C1521="","", CHOOSE(MONTH(C1521),"January","February","March","April","May","June","July","August","September","October","November","December")&amp;" "&amp;DAY(C1521)&amp;MID("thstndrdth",MIN(9,2*RIGHT(DAY(C1521))*(MOD(DAY(C1521)-11,100)&gt;2)+1),2)&amp;","&amp;TEXT(C1521," yyyy"))</f>
        <v>July 10th,2024</v>
      </c>
      <c r="AB1521" s="15" t="str">
        <f aca="true">IF(S1521="","",DATEDIF(S1521,TODAY(),"Y")&amp;" Tahun, "&amp;DATEDIF(S1521,TODAY(),"YM")&amp;" Bulan, "&amp;DATEDIF(S1521,TODAY(),"MD")&amp;" Hari")</f>
        <v>25 Tahun, 9 Bulan, 8 Hari</v>
      </c>
      <c r="AC1521" s="18" t="n">
        <v>45704</v>
      </c>
      <c r="AD1521" s="18" t="n">
        <v>45884</v>
      </c>
      <c r="AE1521" s="18" t="s">
        <v>44</v>
      </c>
    </row>
    <row r="1522" customFormat="false" ht="15" hidden="false" customHeight="true" outlineLevel="0" collapsed="false">
      <c r="A1522" s="12" t="n">
        <v>16287</v>
      </c>
      <c r="B1522" s="13" t="s">
        <v>6669</v>
      </c>
      <c r="C1522" s="14" t="n">
        <v>45961</v>
      </c>
      <c r="D1522" s="13" t="s">
        <v>613</v>
      </c>
      <c r="E1522" s="15" t="s">
        <v>47</v>
      </c>
      <c r="F1522" s="15" t="str">
        <f aca="false">IFERROR(__xludf.dummyfunction("XLOOKUP(AJ1522,IMPORTRANGE(""1XaInW9DU9nz21V0tYIfzFQ0He9kVQ_JF2mCXgZ3hqFA"",""REKAP ALL 2026 - Andika!G:G""),IMPORTRANGE(""1XaInW9DU9nz21V0tYIfzFQ0He9kVQ_JF2mCXgZ3hqFA"",""REKAP ALL 2026 - Andika!F:F""),"""",0)"),"25157578367")</f>
        <v>25157578367</v>
      </c>
      <c r="G1522" s="15" t="s">
        <v>6670</v>
      </c>
      <c r="H1522" s="13" t="s">
        <v>35</v>
      </c>
      <c r="I1522" s="13" t="str">
        <f aca="false">IF(C1522=J1522,"NEW KONTRAK","RE-KONTRAK")</f>
        <v>NEW KONTRAK</v>
      </c>
      <c r="J1522" s="16" t="n">
        <f aca="false" t="array" ref="J1522:J1522">IFERROR(INDEX(AC1522:AE1522,IF(COUNTA(AC1522:AE1522)=0,"",MAX((AC1522:AE1522&lt;&gt;"")*(COLUMN(AC1522:AE1522)-(COLUMN(AC1522)))))-1),"")</f>
        <v>45961</v>
      </c>
      <c r="K1522" s="16" t="n">
        <f aca="false" t="array" ref="K1522:K1522">IFERROR(INDEX(AC1522:AE1522,IF(COUNTA(AC1522:AE1522)=0,"",MAX((AC1522:AE1522&lt;&gt;"")*(COLUMN(AC1522:AE1522)-(COLUMN(AC1522)-1))))-1),"")</f>
        <v>46037</v>
      </c>
      <c r="L1522" s="17" t="str">
        <f aca="false" t="array" ref="L1522:L1522">IFERROR(INDEX(AC1522:AE1522,IF(COUNTA(AC1522:AE1522)=0,"",MAX((AC1522:AE1522&lt;&gt;"")*(COLUMN(AC1522:AE1522)-(COLUMN(AC1522)-2))))-1),"")</f>
        <v>ARCHIVED</v>
      </c>
      <c r="M1522" s="13" t="n">
        <f aca="true">K1522-TODAY()</f>
        <v>-287</v>
      </c>
      <c r="N1522" s="18" t="s">
        <v>615</v>
      </c>
      <c r="O1522" s="13" t="s">
        <v>58</v>
      </c>
      <c r="P1522" s="19" t="n">
        <v>5176101</v>
      </c>
      <c r="Q1522" s="20" t="s">
        <v>6671</v>
      </c>
      <c r="R1522" s="13" t="s">
        <v>232</v>
      </c>
      <c r="S1522" s="14" t="n">
        <v>36818</v>
      </c>
      <c r="T1522" s="13" t="s">
        <v>40</v>
      </c>
      <c r="U1522" s="13" t="s">
        <v>6672</v>
      </c>
      <c r="V1522" s="13" t="s">
        <v>42</v>
      </c>
      <c r="W1522" s="13" t="s">
        <v>43</v>
      </c>
      <c r="X1522" s="21" t="n">
        <v>81336019635</v>
      </c>
      <c r="Y1522" s="22" t="str">
        <f aca="false">O1522</f>
        <v>Produksi</v>
      </c>
      <c r="Z1522" s="13" t="str">
        <f aca="false">IFERROR(__xludf.dummyfunction("if(BJ1522="""","""",GOOGLETRANSLATE(BJ1522,""auto"",""en""))"),"Production")</f>
        <v>Production</v>
      </c>
      <c r="AA1522" s="23" t="str">
        <f aca="false">IF(C1522="","", CHOOSE(MONTH(C1522),"January","February","March","April","May","June","July","August","September","October","November","December")&amp;" "&amp;DAY(C1522)&amp;MID("thstndrdth",MIN(9,2*RIGHT(DAY(C1522))*(MOD(DAY(C1522)-11,100)&gt;2)+1),2)&amp;","&amp;TEXT(C1522," yyyy"))</f>
        <v>October 31st,2025</v>
      </c>
      <c r="AB1522" s="15" t="str">
        <f aca="true">IF(S1522="","",DATEDIF(S1522,TODAY(),"Y")&amp;" Tahun, "&amp;DATEDIF(S1522,TODAY(),"YM")&amp;" Bulan, "&amp;DATEDIF(S1522,TODAY(),"MD")&amp;" Hari")</f>
        <v>26 Tahun, 0 Bulan, 10 Hari</v>
      </c>
      <c r="AC1522" s="53" t="n">
        <v>45961</v>
      </c>
      <c r="AD1522" s="18" t="n">
        <v>46037</v>
      </c>
      <c r="AE1522" s="13" t="s">
        <v>44</v>
      </c>
    </row>
    <row r="1523" customFormat="false" ht="15" hidden="false" customHeight="true" outlineLevel="0" collapsed="false">
      <c r="A1523" s="12" t="n">
        <v>16288</v>
      </c>
      <c r="B1523" s="13" t="s">
        <v>6673</v>
      </c>
      <c r="C1523" s="14" t="n">
        <v>45483</v>
      </c>
      <c r="D1523" s="13" t="s">
        <v>613</v>
      </c>
      <c r="E1523" s="15" t="s">
        <v>47</v>
      </c>
      <c r="F1523" s="15" t="str">
        <f aca="false">IFERROR(__xludf.dummyfunction("XLOOKUP(AJ1523,IMPORTRANGE(""1XaInW9DU9nz21V0tYIfzFQ0He9kVQ_JF2mCXgZ3hqFA"",""REKAP ALL 2026 - Andika!G:G""),IMPORTRANGE(""1XaInW9DU9nz21V0tYIfzFQ0He9kVQ_JF2mCXgZ3hqFA"",""REKAP ALL 2026 - Andika!F:F""),"""",0)"),"24105103188")</f>
        <v>24105103188</v>
      </c>
      <c r="G1523" s="15" t="s">
        <v>6674</v>
      </c>
      <c r="H1523" s="13" t="s">
        <v>35</v>
      </c>
      <c r="I1523" s="13" t="str">
        <f aca="false">IF(C1523=J1523,"NEW KONTRAK","RE-KONTRAK")</f>
        <v>RE-KONTRAK</v>
      </c>
      <c r="J1523" s="16" t="n">
        <f aca="false" t="array" ref="J1523:J1523">IFERROR(INDEX(AC1523:AE1523,IF(COUNTA(AC1523:AE1523)=0,"",MAX((AC1523:AE1523&lt;&gt;"")*(COLUMN(AC1523:AE1523)-(COLUMN(AC1523)))))-1),"")</f>
        <v>45885</v>
      </c>
      <c r="K1523" s="16" t="n">
        <f aca="false" t="array" ref="K1523:K1523">IFERROR(INDEX(AC1523:AE1523,IF(COUNTA(AC1523:AE1523)=0,"",MAX((AC1523:AE1523&lt;&gt;"")*(COLUMN(AC1523:AE1523)-(COLUMN(AC1523)-1))))-1),"")</f>
        <v>46068</v>
      </c>
      <c r="L1523" s="17" t="str">
        <f aca="false" t="array" ref="L1523:L1523">IFERROR(INDEX(AC1523:AE1523,IF(COUNTA(AC1523:AE1523)=0,"",MAX((AC1523:AE1523&lt;&gt;"")*(COLUMN(AC1523:AE1523)-(COLUMN(AC1523)-2))))-1),"")</f>
        <v>ARCHIVED</v>
      </c>
      <c r="M1523" s="13" t="n">
        <f aca="true">K1523-TODAY()</f>
        <v>-256</v>
      </c>
      <c r="N1523" s="18" t="s">
        <v>615</v>
      </c>
      <c r="O1523" s="13" t="s">
        <v>58</v>
      </c>
      <c r="P1523" s="19" t="n">
        <v>5176101</v>
      </c>
      <c r="Q1523" s="20" t="s">
        <v>6675</v>
      </c>
      <c r="R1523" s="13" t="s">
        <v>232</v>
      </c>
      <c r="S1523" s="14" t="n">
        <v>36099</v>
      </c>
      <c r="T1523" s="13" t="s">
        <v>40</v>
      </c>
      <c r="U1523" s="13" t="s">
        <v>6676</v>
      </c>
      <c r="V1523" s="13" t="s">
        <v>42</v>
      </c>
      <c r="W1523" s="13" t="s">
        <v>43</v>
      </c>
      <c r="X1523" s="21" t="n">
        <v>85807121675</v>
      </c>
      <c r="Y1523" s="22" t="str">
        <f aca="false">O1523</f>
        <v>Produksi</v>
      </c>
      <c r="Z1523" s="13" t="str">
        <f aca="false">IFERROR(__xludf.dummyfunction("if(BJ1523="""","""",GOOGLETRANSLATE(BJ1523,""auto"",""en""))"),"Production")</f>
        <v>Production</v>
      </c>
      <c r="AA1523" s="23" t="str">
        <f aca="false">IF(C1523="","", CHOOSE(MONTH(C1523),"January","February","March","April","May","June","July","August","September","October","November","December")&amp;" "&amp;DAY(C1523)&amp;MID("thstndrdth",MIN(9,2*RIGHT(DAY(C1523))*(MOD(DAY(C1523)-11,100)&gt;2)+1),2)&amp;","&amp;TEXT(C1523," yyyy"))</f>
        <v>July 10th,2024</v>
      </c>
      <c r="AB1523" s="15" t="str">
        <f aca="true">IF(S1523="","",DATEDIF(S1523,TODAY(),"Y")&amp;" Tahun, "&amp;DATEDIF(S1523,TODAY(),"YM")&amp;" Bulan, "&amp;DATEDIF(S1523,TODAY(),"MD")&amp;" Hari")</f>
        <v>27 Tahun, 11 Bulan, 28 Hari</v>
      </c>
      <c r="AC1523" s="18" t="n">
        <v>45885</v>
      </c>
      <c r="AD1523" s="18" t="n">
        <v>46068</v>
      </c>
      <c r="AE1523" s="18" t="s">
        <v>44</v>
      </c>
    </row>
    <row r="1524" customFormat="false" ht="15" hidden="false" customHeight="true" outlineLevel="0" collapsed="false">
      <c r="A1524" s="12" t="n">
        <v>21871</v>
      </c>
      <c r="B1524" s="69" t="s">
        <v>6677</v>
      </c>
      <c r="C1524" s="16" t="n">
        <v>46060</v>
      </c>
      <c r="D1524" s="13" t="s">
        <v>2033</v>
      </c>
      <c r="E1524" s="15" t="s">
        <v>47</v>
      </c>
      <c r="F1524" s="15" t="str">
        <f aca="false">IFERROR(__xludf.dummyfunction("XLOOKUP(AJ1524,IMPORTRANGE(""1XaInW9DU9nz21V0tYIfzFQ0He9kVQ_JF2mCXgZ3hqFA"",""REKAP ALL 2026 - Andika!G:G""),IMPORTRANGE(""1XaInW9DU9nz21V0tYIfzFQ0He9kVQ_JF2mCXgZ3hqFA"",""REKAP ALL 2026 - Andika!F:F""),"""",0)"),"26035115893")</f>
        <v>26035115893</v>
      </c>
      <c r="G1524" s="13" t="s">
        <v>1127</v>
      </c>
      <c r="H1524" s="13" t="s">
        <v>35</v>
      </c>
      <c r="I1524" s="13" t="str">
        <f aca="false">IF(C1524=J1524,"NEW KONTRAK","RE-KONTRAK")</f>
        <v>NEW KONTRAK</v>
      </c>
      <c r="J1524" s="16" t="n">
        <f aca="false" t="array" ref="J1524:J1524">IFERROR(INDEX(AC1524:AE1524,IF(COUNTA(AC1524:AE1524)=0,"",MAX((AC1524:AE1524&lt;&gt;"")*(COLUMN(AC1524:AE1524)-(COLUMN(AC1524)))))-1),"")</f>
        <v>46060</v>
      </c>
      <c r="K1524" s="16" t="n">
        <f aca="false" t="array" ref="K1524:K1524">IFERROR(INDEX(AC1524:AE1524,IF(COUNTA(AC1524:AE1524)=0,"",MAX((AC1524:AE1524&lt;&gt;"")*(COLUMN(AC1524:AE1524)-(COLUMN(AC1524)-1))))-1),"")</f>
        <v>46188</v>
      </c>
      <c r="L1524" s="17" t="str">
        <f aca="false" t="array" ref="L1524:L1524">IFERROR(INDEX(AC1524:AE1524,IF(COUNTA(AC1524:AE1524)=0,"",MAX((AC1524:AE1524&lt;&gt;"")*(COLUMN(AC1524:AE1524)-(COLUMN(AC1524)-2))))-1),"")</f>
        <v>ARCHIVED</v>
      </c>
      <c r="M1524" s="13" t="n">
        <f aca="true">K1524-TODAY()</f>
        <v>-136</v>
      </c>
      <c r="N1524" s="18" t="s">
        <v>6678</v>
      </c>
      <c r="O1524" s="13" t="s">
        <v>2037</v>
      </c>
      <c r="P1524" s="19" t="n">
        <v>3405144</v>
      </c>
      <c r="Q1524" s="47" t="s">
        <v>6679</v>
      </c>
      <c r="R1524" s="13" t="s">
        <v>6678</v>
      </c>
      <c r="S1524" s="16" t="n">
        <v>35656</v>
      </c>
      <c r="T1524" s="13" t="s">
        <v>108</v>
      </c>
      <c r="U1524" s="13" t="s">
        <v>6680</v>
      </c>
      <c r="V1524" s="13" t="s">
        <v>42</v>
      </c>
      <c r="W1524" s="13" t="s">
        <v>54</v>
      </c>
      <c r="X1524" s="13" t="s">
        <v>6681</v>
      </c>
      <c r="Y1524" s="22" t="str">
        <f aca="false">O1524</f>
        <v>SPG/BA</v>
      </c>
      <c r="Z1524" s="13" t="str">
        <f aca="false">IFERROR(__xludf.dummyfunction("if(BJ1524="""","""",GOOGLETRANSLATE(BJ1524,""auto"",""en""))"),"SPG/BA")</f>
        <v>SPG/BA</v>
      </c>
      <c r="AA1524" s="23" t="str">
        <f aca="false">IF(C1524="","", CHOOSE(MONTH(C1524),"January","February","March","April","May","June","July","August","September","October","November","December")&amp;" "&amp;DAY(C1524)&amp;MID("thstndrdth",MIN(9,2*RIGHT(DAY(C1524))*(MOD(DAY(C1524)-11,100)&gt;2)+1),2)&amp;","&amp;TEXT(C1524," yyyy"))</f>
        <v>February 7th,2026</v>
      </c>
      <c r="AB1524" s="15" t="str">
        <f aca="true">IF(S1524="","",DATEDIF(S1524,TODAY(),"Y")&amp;" Tahun, "&amp;DATEDIF(S1524,TODAY(),"YM")&amp;" Bulan, "&amp;DATEDIF(S1524,TODAY(),"MD")&amp;" Hari")</f>
        <v>29 Tahun, 2 Bulan, 15 Hari</v>
      </c>
      <c r="AC1524" s="18" t="n">
        <v>46060</v>
      </c>
      <c r="AD1524" s="18" t="n">
        <v>46188</v>
      </c>
      <c r="AE1524" s="13" t="s">
        <v>44</v>
      </c>
    </row>
    <row r="1525" customFormat="false" ht="15" hidden="false" customHeight="true" outlineLevel="0" collapsed="false">
      <c r="A1525" s="12" t="n">
        <v>16305</v>
      </c>
      <c r="B1525" s="13" t="s">
        <v>6682</v>
      </c>
      <c r="C1525" s="14" t="n">
        <v>45456</v>
      </c>
      <c r="D1525" s="13" t="s">
        <v>2033</v>
      </c>
      <c r="E1525" s="15" t="s">
        <v>102</v>
      </c>
      <c r="F1525" s="15" t="str">
        <f aca="false">IFERROR(__xludf.dummyfunction("XLOOKUP(AJ1525,IMPORTRANGE(""1XaInW9DU9nz21V0tYIfzFQ0He9kVQ_JF2mCXgZ3hqFA"",""REKAP ALL 2026 - Andika!G:G""),IMPORTRANGE(""1XaInW9DU9nz21V0tYIfzFQ0He9kVQ_JF2mCXgZ3hqFA"",""REKAP ALL 2026 - Andika!F:F""),"""",0)"),"24105102933")</f>
        <v>24105102933</v>
      </c>
      <c r="G1525" s="15" t="s">
        <v>6683</v>
      </c>
      <c r="H1525" s="13" t="s">
        <v>2035</v>
      </c>
      <c r="I1525" s="13" t="str">
        <f aca="false">IF(C1525=J1525,"NEW KONTRAK","RE-KONTRAK")</f>
        <v>RE-KONTRAK</v>
      </c>
      <c r="J1525" s="16" t="n">
        <f aca="false" t="array" ref="J1525:J1525">IFERROR(INDEX(AC1525:AE1525,IF(COUNTA(AC1525:AE1525)=0,"",MAX((AC1525:AE1525&lt;&gt;"")*(COLUMN(AC1525:AE1525)-(COLUMN(AC1525)))))-1),"")</f>
        <v>45744</v>
      </c>
      <c r="K1525" s="16" t="n">
        <f aca="false" t="array" ref="K1525:K1525">IFERROR(INDEX(AC1525:AE1525,IF(COUNTA(AC1525:AE1525)=0,"",MAX((AC1525:AE1525&lt;&gt;"")*(COLUMN(AC1525:AE1525)-(COLUMN(AC1525)-1))))-1),"")</f>
        <v>45915</v>
      </c>
      <c r="L1525" s="17" t="str">
        <f aca="false" t="array" ref="L1525:L1525">IFERROR(INDEX(AC1525:AE1525,IF(COUNTA(AC1525:AE1525)=0,"",MAX((AC1525:AE1525&lt;&gt;"")*(COLUMN(AC1525:AE1525)-(COLUMN(AC1525)-2))))-1),"")</f>
        <v>ARCHIVED</v>
      </c>
      <c r="M1525" s="13" t="n">
        <f aca="true">K1525-TODAY()</f>
        <v>-409</v>
      </c>
      <c r="N1525" s="18" t="s">
        <v>2363</v>
      </c>
      <c r="O1525" s="13" t="s">
        <v>2037</v>
      </c>
      <c r="P1525" s="19" t="n">
        <v>4014072</v>
      </c>
      <c r="Q1525" s="20" t="s">
        <v>6684</v>
      </c>
      <c r="R1525" s="13" t="s">
        <v>2421</v>
      </c>
      <c r="S1525" s="14" t="n">
        <v>35202</v>
      </c>
      <c r="T1525" s="13" t="s">
        <v>108</v>
      </c>
      <c r="U1525" s="13" t="s">
        <v>6685</v>
      </c>
      <c r="V1525" s="13" t="s">
        <v>99</v>
      </c>
      <c r="W1525" s="13" t="s">
        <v>43</v>
      </c>
      <c r="X1525" s="21" t="n">
        <v>82288159297</v>
      </c>
      <c r="Y1525" s="22" t="str">
        <f aca="false">O1525</f>
        <v>SPG/BA</v>
      </c>
      <c r="Z1525" s="13" t="str">
        <f aca="false">IFERROR(__xludf.dummyfunction("if(BJ1525="""","""",GOOGLETRANSLATE(BJ1525,""auto"",""en""))"),"SPG/BA")</f>
        <v>SPG/BA</v>
      </c>
      <c r="AA1525" s="23" t="str">
        <f aca="false">IF(C1525="","", CHOOSE(MONTH(C1525),"January","February","March","April","May","June","July","August","September","October","November","December")&amp;" "&amp;DAY(C1525)&amp;MID("thstndrdth",MIN(9,2*RIGHT(DAY(C1525))*(MOD(DAY(C1525)-11,100)&gt;2)+1),2)&amp;","&amp;TEXT(C1525," yyyy"))</f>
        <v>June 13th,2024</v>
      </c>
      <c r="AB1525" s="15" t="str">
        <f aca="true">IF(S1525="","",DATEDIF(S1525,TODAY(),"Y")&amp;" Tahun, "&amp;DATEDIF(S1525,TODAY(),"YM")&amp;" Bulan, "&amp;DATEDIF(S1525,TODAY(),"MD")&amp;" Hari")</f>
        <v>30 Tahun, 5 Bulan, 12 Hari</v>
      </c>
      <c r="AC1525" s="18" t="n">
        <v>45744</v>
      </c>
      <c r="AD1525" s="18" t="n">
        <v>45915</v>
      </c>
      <c r="AE1525" s="18" t="s">
        <v>44</v>
      </c>
    </row>
    <row r="1526" customFormat="false" ht="15" hidden="false" customHeight="true" outlineLevel="0" collapsed="false">
      <c r="A1526" s="12" t="n">
        <v>16309</v>
      </c>
      <c r="B1526" s="13" t="s">
        <v>6686</v>
      </c>
      <c r="C1526" s="14" t="n">
        <v>45456</v>
      </c>
      <c r="D1526" s="13" t="s">
        <v>2033</v>
      </c>
      <c r="E1526" s="15" t="s">
        <v>33</v>
      </c>
      <c r="F1526" s="24" t="s">
        <v>6687</v>
      </c>
      <c r="G1526" s="28" t="s">
        <v>57</v>
      </c>
      <c r="H1526" s="13" t="s">
        <v>2035</v>
      </c>
      <c r="I1526" s="13" t="str">
        <f aca="false">IF(C1526=J1526,"NEW KONTRAK","RE-KONTRAK")</f>
        <v>RE-KONTRAK</v>
      </c>
      <c r="J1526" s="16" t="n">
        <f aca="false" t="array" ref="J1526:J1526">IFERROR(INDEX(AC1526:AE1526,IF(COUNTA(AC1526:AE1526)=0,"",MAX((AC1526:AE1526&lt;&gt;"")*(COLUMN(AC1526:AE1526)-(COLUMN(AC1526)))))-1),"")</f>
        <v>45654</v>
      </c>
      <c r="K1526" s="16" t="n">
        <f aca="false" t="array" ref="K1526:K1526">IFERROR(INDEX(AC1526:AE1526,IF(COUNTA(AC1526:AE1526)=0,"",MAX((AC1526:AE1526&lt;&gt;"")*(COLUMN(AC1526:AE1526)-(COLUMN(AC1526)-1))))-1),"")</f>
        <v>45743</v>
      </c>
      <c r="L1526" s="17" t="str">
        <f aca="false" t="array" ref="L1526:L1526">IFERROR(INDEX(AC1526:AE1526,IF(COUNTA(AC1526:AE1526)=0,"",MAX((AC1526:AE1526&lt;&gt;"")*(COLUMN(AC1526:AE1526)-(COLUMN(AC1526)-2))))-1),"")</f>
        <v>ARCHIVED</v>
      </c>
      <c r="M1526" s="13" t="n">
        <f aca="true">K1526-TODAY()</f>
        <v>-581</v>
      </c>
      <c r="N1526" s="18" t="s">
        <v>6688</v>
      </c>
      <c r="O1526" s="13" t="s">
        <v>2037</v>
      </c>
      <c r="P1526" s="19" t="n">
        <v>2813672</v>
      </c>
      <c r="Q1526" s="20" t="s">
        <v>6689</v>
      </c>
      <c r="R1526" s="13" t="s">
        <v>6690</v>
      </c>
      <c r="S1526" s="14" t="n">
        <v>37054</v>
      </c>
      <c r="T1526" s="13" t="s">
        <v>108</v>
      </c>
      <c r="U1526" s="13" t="s">
        <v>6691</v>
      </c>
      <c r="V1526" s="13" t="s">
        <v>1310</v>
      </c>
      <c r="W1526" s="13" t="s">
        <v>43</v>
      </c>
      <c r="X1526" s="21" t="n">
        <v>87751658473</v>
      </c>
      <c r="Y1526" s="22" t="str">
        <f aca="false">O1526</f>
        <v>SPG/BA</v>
      </c>
      <c r="Z1526" s="13" t="str">
        <f aca="false">IFERROR(__xludf.dummyfunction("if(BJ1526="""","""",GOOGLETRANSLATE(BJ1526,""auto"",""en""))"),"SPG/BA")</f>
        <v>SPG/BA</v>
      </c>
      <c r="AA1526" s="23" t="str">
        <f aca="false">IF(C1526="","", CHOOSE(MONTH(C1526),"January","February","March","April","May","June","July","August","September","October","November","December")&amp;" "&amp;DAY(C1526)&amp;MID("thstndrdth",MIN(9,2*RIGHT(DAY(C1526))*(MOD(DAY(C1526)-11,100)&gt;2)+1),2)&amp;","&amp;TEXT(C1526," yyyy"))</f>
        <v>June 13th,2024</v>
      </c>
      <c r="AB1526" s="15" t="str">
        <f aca="true">IF(S1526="","",DATEDIF(S1526,TODAY(),"Y")&amp;" Tahun, "&amp;DATEDIF(S1526,TODAY(),"YM")&amp;" Bulan, "&amp;DATEDIF(S1526,TODAY(),"MD")&amp;" Hari")</f>
        <v>25 Tahun, 4 Bulan, 17 Hari</v>
      </c>
      <c r="AC1526" s="18" t="n">
        <v>45654</v>
      </c>
      <c r="AD1526" s="18" t="n">
        <v>45743</v>
      </c>
      <c r="AE1526" s="18" t="s">
        <v>44</v>
      </c>
    </row>
    <row r="1527" customFormat="false" ht="15" hidden="false" customHeight="true" outlineLevel="0" collapsed="false">
      <c r="A1527" s="12" t="n">
        <v>16322</v>
      </c>
      <c r="B1527" s="13" t="s">
        <v>6692</v>
      </c>
      <c r="C1527" s="14" t="n">
        <v>45477</v>
      </c>
      <c r="D1527" s="13" t="s">
        <v>2033</v>
      </c>
      <c r="E1527" s="15" t="s">
        <v>33</v>
      </c>
      <c r="F1527" s="24" t="s">
        <v>6693</v>
      </c>
      <c r="G1527" s="15" t="s">
        <v>6694</v>
      </c>
      <c r="H1527" s="13" t="s">
        <v>2035</v>
      </c>
      <c r="I1527" s="13" t="str">
        <f aca="false">IF(C1527=J1527,"NEW KONTRAK","RE-KONTRAK")</f>
        <v>RE-KONTRAK</v>
      </c>
      <c r="J1527" s="16" t="n">
        <f aca="false" t="array" ref="J1527:J1527">IFERROR(INDEX(AC1527:AE1527,IF(COUNTA(AC1527:AE1527)=0,"",MAX((AC1527:AE1527&lt;&gt;"")*(COLUMN(AC1527:AE1527)-(COLUMN(AC1527)))))-1),"")</f>
        <v>45744</v>
      </c>
      <c r="K1527" s="16" t="n">
        <f aca="false" t="array" ref="K1527:K1527">IFERROR(INDEX(AC1527:AE1527,IF(COUNTA(AC1527:AE1527)=0,"",MAX((AC1527:AE1527&lt;&gt;"")*(COLUMN(AC1527:AE1527)-(COLUMN(AC1527)-1))))-1),"")</f>
        <v>45915</v>
      </c>
      <c r="L1527" s="17" t="str">
        <f aca="false" t="array" ref="L1527:L1527">IFERROR(INDEX(AC1527:AE1527,IF(COUNTA(AC1527:AE1527)=0,"",MAX((AC1527:AE1527&lt;&gt;"")*(COLUMN(AC1527:AE1527)-(COLUMN(AC1527)-2))))-1),"")</f>
        <v>ARCHIVED</v>
      </c>
      <c r="M1527" s="13" t="n">
        <f aca="true">K1527-TODAY()</f>
        <v>-409</v>
      </c>
      <c r="N1527" s="18" t="s">
        <v>3248</v>
      </c>
      <c r="O1527" s="13" t="s">
        <v>2037</v>
      </c>
      <c r="P1527" s="19" t="n">
        <v>4989600</v>
      </c>
      <c r="Q1527" s="20" t="s">
        <v>6695</v>
      </c>
      <c r="R1527" s="13" t="s">
        <v>6696</v>
      </c>
      <c r="S1527" s="14" t="n">
        <v>37852</v>
      </c>
      <c r="T1527" s="13" t="s">
        <v>108</v>
      </c>
      <c r="U1527" s="13" t="s">
        <v>6697</v>
      </c>
      <c r="V1527" s="13" t="s">
        <v>99</v>
      </c>
      <c r="W1527" s="13" t="s">
        <v>43</v>
      </c>
      <c r="X1527" s="21" t="n">
        <v>82273825625</v>
      </c>
      <c r="Y1527" s="22" t="str">
        <f aca="false">O1527</f>
        <v>SPG/BA</v>
      </c>
      <c r="Z1527" s="13" t="str">
        <f aca="false">IFERROR(__xludf.dummyfunction("if(BJ1527="""","""",GOOGLETRANSLATE(BJ1527,""auto"",""en""))"),"SPG/BA")</f>
        <v>SPG/BA</v>
      </c>
      <c r="AA1527" s="23" t="str">
        <f aca="false">IF(C1527="","", CHOOSE(MONTH(C1527),"January","February","March","April","May","June","July","August","September","October","November","December")&amp;" "&amp;DAY(C1527)&amp;MID("thstndrdth",MIN(9,2*RIGHT(DAY(C1527))*(MOD(DAY(C1527)-11,100)&gt;2)+1),2)&amp;","&amp;TEXT(C1527," yyyy"))</f>
        <v>July 4th,2024</v>
      </c>
      <c r="AB1527" s="15" t="str">
        <f aca="true">IF(S1527="","",DATEDIF(S1527,TODAY(),"Y")&amp;" Tahun, "&amp;DATEDIF(S1527,TODAY(),"YM")&amp;" Bulan, "&amp;DATEDIF(S1527,TODAY(),"MD")&amp;" Hari")</f>
        <v>23 Tahun, 2 Bulan, 10 Hari</v>
      </c>
      <c r="AC1527" s="18" t="n">
        <v>45744</v>
      </c>
      <c r="AD1527" s="18" t="n">
        <v>45915</v>
      </c>
      <c r="AE1527" s="18" t="s">
        <v>44</v>
      </c>
    </row>
    <row r="1528" customFormat="false" ht="15" hidden="false" customHeight="true" outlineLevel="0" collapsed="false">
      <c r="A1528" s="12" t="n">
        <v>21882</v>
      </c>
      <c r="B1528" s="13" t="s">
        <v>6698</v>
      </c>
      <c r="C1528" s="16" t="n">
        <v>46055</v>
      </c>
      <c r="D1528" s="13" t="s">
        <v>2033</v>
      </c>
      <c r="E1528" s="15" t="s">
        <v>47</v>
      </c>
      <c r="F1528" s="15" t="str">
        <f aca="false">IFERROR(__xludf.dummyfunction("XLOOKUP(AJ1528,IMPORTRANGE(""1XaInW9DU9nz21V0tYIfzFQ0He9kVQ_JF2mCXgZ3hqFA"",""REKAP ALL 2026 - Andika!G:G""),IMPORTRANGE(""1XaInW9DU9nz21V0tYIfzFQ0He9kVQ_JF2mCXgZ3hqFA"",""REKAP ALL 2026 - Andika!F:F""),"""",0)"),"26035115828")</f>
        <v>26035115828</v>
      </c>
      <c r="G1528" s="13" t="s">
        <v>1127</v>
      </c>
      <c r="H1528" s="13" t="s">
        <v>35</v>
      </c>
      <c r="I1528" s="13" t="str">
        <f aca="false">IF(C1528=J1528,"NEW KONTRAK","RE-KONTRAK")</f>
        <v>NEW KONTRAK</v>
      </c>
      <c r="J1528" s="16" t="n">
        <f aca="false" t="array" ref="J1528:J1528">IFERROR(INDEX(AC1528:AE1528,IF(COUNTA(AC1528:AE1528)=0,"",MAX((AC1528:AE1528&lt;&gt;"")*(COLUMN(AC1528:AE1528)-(COLUMN(AC1528)))))-1),"")</f>
        <v>46055</v>
      </c>
      <c r="K1528" s="16" t="n">
        <f aca="false" t="array" ref="K1528:K1528">IFERROR(INDEX(AC1528:AE1528,IF(COUNTA(AC1528:AE1528)=0,"",MAX((AC1528:AE1528&lt;&gt;"")*(COLUMN(AC1528:AE1528)-(COLUMN(AC1528)-1))))-1),"")</f>
        <v>46188</v>
      </c>
      <c r="L1528" s="17" t="str">
        <f aca="false" t="array" ref="L1528:L1528">IFERROR(INDEX(AC1528:AE1528,IF(COUNTA(AC1528:AE1528)=0,"",MAX((AC1528:AE1528&lt;&gt;"")*(COLUMN(AC1528:AE1528)-(COLUMN(AC1528)-2))))-1),"")</f>
        <v>ARCHIVED</v>
      </c>
      <c r="M1528" s="13" t="n">
        <f aca="true">K1528-TODAY()</f>
        <v>-136</v>
      </c>
      <c r="N1528" s="74" t="s">
        <v>4557</v>
      </c>
      <c r="O1528" s="13" t="s">
        <v>2037</v>
      </c>
      <c r="P1528" s="75" t="n">
        <v>3701709</v>
      </c>
      <c r="Q1528" s="47" t="s">
        <v>6699</v>
      </c>
      <c r="R1528" s="13" t="s">
        <v>6291</v>
      </c>
      <c r="S1528" s="16" t="n">
        <v>37023</v>
      </c>
      <c r="T1528" s="13" t="s">
        <v>108</v>
      </c>
      <c r="U1528" s="13" t="s">
        <v>6700</v>
      </c>
      <c r="V1528" s="13" t="s">
        <v>42</v>
      </c>
      <c r="W1528" s="13" t="s">
        <v>43</v>
      </c>
      <c r="X1528" s="13" t="s">
        <v>6701</v>
      </c>
      <c r="Y1528" s="22" t="str">
        <f aca="false">O1528</f>
        <v>SPG/BA</v>
      </c>
      <c r="Z1528" s="13" t="str">
        <f aca="false">IFERROR(__xludf.dummyfunction("if(BJ1528="""","""",GOOGLETRANSLATE(BJ1528,""auto"",""en""))"),"SPG/BA")</f>
        <v>SPG/BA</v>
      </c>
      <c r="AA1528" s="23" t="str">
        <f aca="false">IF(C1528="","", CHOOSE(MONTH(C1528),"January","February","March","April","May","June","July","August","September","October","November","December")&amp;" "&amp;DAY(C1528)&amp;MID("thstndrdth",MIN(9,2*RIGHT(DAY(C1528))*(MOD(DAY(C1528)-11,100)&gt;2)+1),2)&amp;","&amp;TEXT(C1528," yyyy"))</f>
        <v>February 2nd,2026</v>
      </c>
      <c r="AB1528" s="15" t="str">
        <f aca="true">IF(S1528="","",DATEDIF(S1528,TODAY(),"Y")&amp;" Tahun, "&amp;DATEDIF(S1528,TODAY(),"YM")&amp;" Bulan, "&amp;DATEDIF(S1528,TODAY(),"MD")&amp;" Hari")</f>
        <v>25 Tahun, 5 Bulan, 17 Hari</v>
      </c>
      <c r="AC1528" s="18" t="n">
        <v>46055</v>
      </c>
      <c r="AD1528" s="18" t="n">
        <v>46188</v>
      </c>
      <c r="AE1528" s="13" t="s">
        <v>44</v>
      </c>
    </row>
    <row r="1529" customFormat="false" ht="15" hidden="false" customHeight="true" outlineLevel="0" collapsed="false">
      <c r="A1529" s="12" t="n">
        <v>16339</v>
      </c>
      <c r="B1529" s="13" t="s">
        <v>1797</v>
      </c>
      <c r="C1529" s="14" t="n">
        <v>45488</v>
      </c>
      <c r="D1529" s="13" t="s">
        <v>1721</v>
      </c>
      <c r="E1529" s="15" t="s">
        <v>33</v>
      </c>
      <c r="F1529" s="24" t="s">
        <v>6702</v>
      </c>
      <c r="G1529" s="15" t="s">
        <v>6703</v>
      </c>
      <c r="H1529" s="13" t="s">
        <v>35</v>
      </c>
      <c r="I1529" s="13" t="str">
        <f aca="false">IF(C1529=J1529,"NEW KONTRAK","RE-KONTRAK")</f>
        <v>RE-KONTRAK</v>
      </c>
      <c r="J1529" s="16" t="n">
        <f aca="false" t="array" ref="J1529:J1529">IFERROR(INDEX(AC1529:AE1529,IF(COUNTA(AC1529:AE1529)=0,"",MAX((AC1529:AE1529&lt;&gt;"")*(COLUMN(AC1529:AE1529)-(COLUMN(AC1529)))))-1),"")</f>
        <v>45659</v>
      </c>
      <c r="K1529" s="16" t="n">
        <f aca="false" t="array" ref="K1529:K1529">IFERROR(INDEX(AC1529:AE1529,IF(COUNTA(AC1529:AE1529)=0,"",MAX((AC1529:AE1529&lt;&gt;"")*(COLUMN(AC1529:AE1529)-(COLUMN(AC1529)-1))))-1),"")</f>
        <v>46015</v>
      </c>
      <c r="L1529" s="17" t="str">
        <f aca="false" t="array" ref="L1529:L1529">IFERROR(INDEX(AC1529:AE1529,IF(COUNTA(AC1529:AE1529)=0,"",MAX((AC1529:AE1529&lt;&gt;"")*(COLUMN(AC1529:AE1529)-(COLUMN(AC1529)-2))))-1),"")</f>
        <v>ARCHIVED</v>
      </c>
      <c r="M1529" s="13" t="n">
        <f aca="true">K1529-TODAY()</f>
        <v>-309</v>
      </c>
      <c r="N1529" s="18" t="s">
        <v>728</v>
      </c>
      <c r="O1529" s="13" t="s">
        <v>1738</v>
      </c>
      <c r="P1529" s="19" t="n">
        <v>5444909</v>
      </c>
      <c r="Q1529" s="49" t="s">
        <v>1799</v>
      </c>
      <c r="R1529" s="13" t="s">
        <v>52</v>
      </c>
      <c r="S1529" s="14" t="n">
        <v>33746</v>
      </c>
      <c r="T1529" s="13" t="s">
        <v>108</v>
      </c>
      <c r="U1529" s="13" t="s">
        <v>6704</v>
      </c>
      <c r="V1529" s="28" t="s">
        <v>42</v>
      </c>
      <c r="W1529" s="13" t="s">
        <v>54</v>
      </c>
      <c r="X1529" s="30" t="n">
        <v>89831781080</v>
      </c>
      <c r="Y1529" s="22" t="str">
        <f aca="false">O1529</f>
        <v>IM Operator</v>
      </c>
      <c r="Z1529" s="13" t="str">
        <f aca="false">IFERROR(__xludf.dummyfunction("if(BJ1529="""","""",GOOGLETRANSLATE(BJ1529,""auto"",""en""))"),"IM Operator")</f>
        <v>IM Operator</v>
      </c>
      <c r="AA1529" s="23" t="str">
        <f aca="false">IF(C1529="","", CHOOSE(MONTH(C1529),"January","February","March","April","May","June","July","August","September","October","November","December")&amp;" "&amp;DAY(C1529)&amp;MID("thstndrdth",MIN(9,2*RIGHT(DAY(C1529))*(MOD(DAY(C1529)-11,100)&gt;2)+1),2)&amp;","&amp;TEXT(C1529," yyyy"))</f>
        <v>July 15th,2024</v>
      </c>
      <c r="AB1529" s="15" t="str">
        <f aca="true">IF(S1529="","",DATEDIF(S1529,TODAY(),"Y")&amp;" Tahun, "&amp;DATEDIF(S1529,TODAY(),"YM")&amp;" Bulan, "&amp;DATEDIF(S1529,TODAY(),"MD")&amp;" Hari")</f>
        <v>34 Tahun, 5 Bulan, 7 Hari</v>
      </c>
      <c r="AC1529" s="18" t="n">
        <v>45659</v>
      </c>
      <c r="AD1529" s="18" t="n">
        <v>46015</v>
      </c>
      <c r="AE1529" s="18" t="s">
        <v>44</v>
      </c>
    </row>
    <row r="1530" customFormat="false" ht="15" hidden="false" customHeight="true" outlineLevel="0" collapsed="false">
      <c r="A1530" s="12" t="n">
        <v>16344</v>
      </c>
      <c r="B1530" s="13" t="s">
        <v>6705</v>
      </c>
      <c r="C1530" s="14" t="n">
        <v>45488</v>
      </c>
      <c r="D1530" s="13" t="s">
        <v>1721</v>
      </c>
      <c r="E1530" s="15" t="s">
        <v>33</v>
      </c>
      <c r="F1530" s="24" t="s">
        <v>6706</v>
      </c>
      <c r="G1530" s="15" t="s">
        <v>6707</v>
      </c>
      <c r="H1530" s="13" t="s">
        <v>35</v>
      </c>
      <c r="I1530" s="13" t="str">
        <f aca="false">IF(C1530=J1530,"NEW KONTRAK","RE-KONTRAK")</f>
        <v>RE-KONTRAK</v>
      </c>
      <c r="J1530" s="16" t="n">
        <f aca="false" t="array" ref="J1530:J1530">IFERROR(INDEX(AC1530:AE1530,IF(COUNTA(AC1530:AE1530)=0,"",MAX((AC1530:AE1530&lt;&gt;"")*(COLUMN(AC1530:AE1530)-(COLUMN(AC1530)))))-1),"")</f>
        <v>45659</v>
      </c>
      <c r="K1530" s="16" t="n">
        <f aca="false" t="array" ref="K1530:K1530">IFERROR(INDEX(AC1530:AE1530,IF(COUNTA(AC1530:AE1530)=0,"",MAX((AC1530:AE1530&lt;&gt;"")*(COLUMN(AC1530:AE1530)-(COLUMN(AC1530)-1))))-1),"")</f>
        <v>46015</v>
      </c>
      <c r="L1530" s="17" t="str">
        <f aca="false" t="array" ref="L1530:L1530">IFERROR(INDEX(AC1530:AE1530,IF(COUNTA(AC1530:AE1530)=0,"",MAX((AC1530:AE1530&lt;&gt;"")*(COLUMN(AC1530:AE1530)-(COLUMN(AC1530)-2))))-1),"")</f>
        <v>ARCHIVED</v>
      </c>
      <c r="M1530" s="13" t="n">
        <f aca="true">K1530-TODAY()</f>
        <v>-309</v>
      </c>
      <c r="N1530" s="18" t="s">
        <v>728</v>
      </c>
      <c r="O1530" s="13" t="s">
        <v>1749</v>
      </c>
      <c r="P1530" s="19" t="n">
        <v>5444909</v>
      </c>
      <c r="Q1530" s="49" t="s">
        <v>6708</v>
      </c>
      <c r="R1530" s="13" t="s">
        <v>39</v>
      </c>
      <c r="S1530" s="14" t="n">
        <v>32396</v>
      </c>
      <c r="T1530" s="13" t="s">
        <v>108</v>
      </c>
      <c r="U1530" s="13" t="s">
        <v>6709</v>
      </c>
      <c r="V1530" s="28" t="s">
        <v>42</v>
      </c>
      <c r="W1530" s="13" t="s">
        <v>2402</v>
      </c>
      <c r="X1530" s="21" t="n">
        <v>85648787726</v>
      </c>
      <c r="Y1530" s="22" t="str">
        <f aca="false">O1530</f>
        <v>BM Operator</v>
      </c>
      <c r="Z1530" s="13" t="str">
        <f aca="false">IFERROR(__xludf.dummyfunction("if(BJ1530="""","""",GOOGLETRANSLATE(BJ1530,""auto"",""en""))"),"BM Operator")</f>
        <v>BM Operator</v>
      </c>
      <c r="AA1530" s="23" t="str">
        <f aca="false">IF(C1530="","", CHOOSE(MONTH(C1530),"January","February","March","April","May","June","July","August","September","October","November","December")&amp;" "&amp;DAY(C1530)&amp;MID("thstndrdth",MIN(9,2*RIGHT(DAY(C1530))*(MOD(DAY(C1530)-11,100)&gt;2)+1),2)&amp;","&amp;TEXT(C1530," yyyy"))</f>
        <v>July 15th,2024</v>
      </c>
      <c r="AB1530" s="15" t="str">
        <f aca="true">IF(S1530="","",DATEDIF(S1530,TODAY(),"Y")&amp;" Tahun, "&amp;DATEDIF(S1530,TODAY(),"YM")&amp;" Bulan, "&amp;DATEDIF(S1530,TODAY(),"MD")&amp;" Hari")</f>
        <v>38 Tahun, 1 Bulan, 19 Hari</v>
      </c>
      <c r="AC1530" s="18" t="n">
        <v>45659</v>
      </c>
      <c r="AD1530" s="18" t="n">
        <v>46015</v>
      </c>
      <c r="AE1530" s="18" t="s">
        <v>44</v>
      </c>
    </row>
    <row r="1531" customFormat="false" ht="15" hidden="false" customHeight="true" outlineLevel="0" collapsed="false">
      <c r="A1531" s="12" t="n">
        <v>16346</v>
      </c>
      <c r="B1531" s="13" t="s">
        <v>6710</v>
      </c>
      <c r="C1531" s="14" t="n">
        <v>45488</v>
      </c>
      <c r="D1531" s="13" t="s">
        <v>1721</v>
      </c>
      <c r="E1531" s="15" t="s">
        <v>33</v>
      </c>
      <c r="F1531" s="24" t="s">
        <v>6711</v>
      </c>
      <c r="G1531" s="15" t="s">
        <v>6712</v>
      </c>
      <c r="H1531" s="13" t="s">
        <v>35</v>
      </c>
      <c r="I1531" s="13" t="str">
        <f aca="false">IF(C1531=J1531,"NEW KONTRAK","RE-KONTRAK")</f>
        <v>RE-KONTRAK</v>
      </c>
      <c r="J1531" s="16" t="n">
        <f aca="false" t="array" ref="J1531:J1531">IFERROR(INDEX(AC1531:AE1531,IF(COUNTA(AC1531:AE1531)=0,"",MAX((AC1531:AE1531&lt;&gt;"")*(COLUMN(AC1531:AE1531)-(COLUMN(AC1531)))))-1),"")</f>
        <v>45659</v>
      </c>
      <c r="K1531" s="16" t="n">
        <f aca="false" t="array" ref="K1531:K1531">IFERROR(INDEX(AC1531:AE1531,IF(COUNTA(AC1531:AE1531)=0,"",MAX((AC1531:AE1531&lt;&gt;"")*(COLUMN(AC1531:AE1531)-(COLUMN(AC1531)-1))))-1),"")</f>
        <v>46015</v>
      </c>
      <c r="L1531" s="17" t="str">
        <f aca="false" t="array" ref="L1531:L1531">IFERROR(INDEX(AC1531:AE1531,IF(COUNTA(AC1531:AE1531)=0,"",MAX((AC1531:AE1531&lt;&gt;"")*(COLUMN(AC1531:AE1531)-(COLUMN(AC1531)-2))))-1),"")</f>
        <v>ARCHIVED</v>
      </c>
      <c r="M1531" s="13" t="n">
        <f aca="true">K1531-TODAY()</f>
        <v>-309</v>
      </c>
      <c r="N1531" s="18" t="s">
        <v>728</v>
      </c>
      <c r="O1531" s="13" t="s">
        <v>1749</v>
      </c>
      <c r="P1531" s="19" t="n">
        <v>5444909</v>
      </c>
      <c r="Q1531" s="49" t="s">
        <v>6713</v>
      </c>
      <c r="R1531" s="13" t="s">
        <v>274</v>
      </c>
      <c r="S1531" s="14" t="n">
        <v>29097</v>
      </c>
      <c r="T1531" s="13" t="s">
        <v>108</v>
      </c>
      <c r="U1531" s="13" t="s">
        <v>6714</v>
      </c>
      <c r="V1531" s="28" t="s">
        <v>42</v>
      </c>
      <c r="W1531" s="13" t="s">
        <v>54</v>
      </c>
      <c r="X1531" s="30" t="n">
        <v>81332677360</v>
      </c>
      <c r="Y1531" s="22" t="str">
        <f aca="false">O1531</f>
        <v>BM Operator</v>
      </c>
      <c r="Z1531" s="13" t="str">
        <f aca="false">IFERROR(__xludf.dummyfunction("if(BJ1531="""","""",GOOGLETRANSLATE(BJ1531,""auto"",""en""))"),"BM Operator")</f>
        <v>BM Operator</v>
      </c>
      <c r="AA1531" s="23" t="str">
        <f aca="false">IF(C1531="","", CHOOSE(MONTH(C1531),"January","February","March","April","May","June","July","August","September","October","November","December")&amp;" "&amp;DAY(C1531)&amp;MID("thstndrdth",MIN(9,2*RIGHT(DAY(C1531))*(MOD(DAY(C1531)-11,100)&gt;2)+1),2)&amp;","&amp;TEXT(C1531," yyyy"))</f>
        <v>July 15th,2024</v>
      </c>
      <c r="AB1531" s="15" t="str">
        <f aca="true">IF(S1531="","",DATEDIF(S1531,TODAY(),"Y")&amp;" Tahun, "&amp;DATEDIF(S1531,TODAY(),"YM")&amp;" Bulan, "&amp;DATEDIF(S1531,TODAY(),"MD")&amp;" Hari")</f>
        <v>47 Tahun, 1 Bulan, 29 Hari</v>
      </c>
      <c r="AC1531" s="18" t="n">
        <v>45659</v>
      </c>
      <c r="AD1531" s="18" t="n">
        <v>46015</v>
      </c>
      <c r="AE1531" s="18" t="s">
        <v>44</v>
      </c>
    </row>
    <row r="1532" customFormat="false" ht="15" hidden="false" customHeight="true" outlineLevel="0" collapsed="false">
      <c r="A1532" s="12" t="n">
        <v>2305</v>
      </c>
      <c r="B1532" s="13" t="s">
        <v>6715</v>
      </c>
      <c r="C1532" s="14" t="n">
        <v>44256</v>
      </c>
      <c r="D1532" s="13" t="s">
        <v>1721</v>
      </c>
      <c r="E1532" s="15" t="s">
        <v>47</v>
      </c>
      <c r="F1532" s="15" t="str">
        <f aca="false">IFERROR(__xludf.dummyfunction("XLOOKUP(AJ1532,IMPORTRANGE(""1XaInW9DU9nz21V0tYIfzFQ0He9kVQ_JF2mCXgZ3hqFA"",""REKAP ALL 2026 - Andika!G:G""),IMPORTRANGE(""1XaInW9DU9nz21V0tYIfzFQ0He9kVQ_JF2mCXgZ3hqFA"",""REKAP ALL 2026 - Andika!F:F""),"""",0)"),"21056201250")</f>
        <v>21056201250</v>
      </c>
      <c r="G1532" s="13" t="s">
        <v>6716</v>
      </c>
      <c r="H1532" s="13" t="s">
        <v>35</v>
      </c>
      <c r="I1532" s="13" t="str">
        <f aca="false">IF(C1532=J1532,"NEW KONTRAK","RE-KONTRAK")</f>
        <v>RE-KONTRAK</v>
      </c>
      <c r="J1532" s="16" t="n">
        <f aca="false" t="array" ref="J1532:J1532">IFERROR(INDEX(AC1532:AE1532,IF(COUNTA(AC1532:AE1532)=0,"",MAX((AC1532:AE1532&lt;&gt;"")*(COLUMN(AC1532:AE1532)-(COLUMN(AC1532)))))-1),"")</f>
        <v>45659</v>
      </c>
      <c r="K1532" s="16" t="n">
        <f aca="false" t="array" ref="K1532:K1532">IFERROR(INDEX(AC1532:AE1532,IF(COUNTA(AC1532:AE1532)=0,"",MAX((AC1532:AE1532&lt;&gt;"")*(COLUMN(AC1532:AE1532)-(COLUMN(AC1532)-1))))-1),"")</f>
        <v>46021</v>
      </c>
      <c r="L1532" s="17" t="str">
        <f aca="false" t="array" ref="L1532:L1532">IFERROR(INDEX(AC1532:AE1532,IF(COUNTA(AC1532:AE1532)=0,"",MAX((AC1532:AE1532&lt;&gt;"")*(COLUMN(AC1532:AE1532)-(COLUMN(AC1532)-2))))-1),"")</f>
        <v>KEMBALI</v>
      </c>
      <c r="M1532" s="13" t="n">
        <f aca="true">K1532-TODAY()</f>
        <v>-303</v>
      </c>
      <c r="N1532" s="18" t="s">
        <v>728</v>
      </c>
      <c r="O1532" s="13" t="s">
        <v>1812</v>
      </c>
      <c r="P1532" s="19" t="n">
        <v>5444909</v>
      </c>
      <c r="Q1532" s="20" t="s">
        <v>6717</v>
      </c>
      <c r="R1532" s="13" t="s">
        <v>52</v>
      </c>
      <c r="S1532" s="14" t="n">
        <v>32824</v>
      </c>
      <c r="T1532" s="13" t="s">
        <v>108</v>
      </c>
      <c r="U1532" s="13" t="s">
        <v>6718</v>
      </c>
      <c r="V1532" s="13" t="s">
        <v>42</v>
      </c>
      <c r="W1532" s="13" t="s">
        <v>54</v>
      </c>
      <c r="X1532" s="21" t="n">
        <v>83856906969</v>
      </c>
      <c r="Y1532" s="22" t="str">
        <f aca="false">O1532</f>
        <v>Qa Inspector Im</v>
      </c>
      <c r="Z1532" s="13" t="str">
        <f aca="false">IFERROR(__xludf.dummyfunction("if(BJ1532="""","""",GOOGLETRANSLATE(BJ1532,""auto"",""en""))"),"Qa Inspector Im")</f>
        <v>Qa Inspector Im</v>
      </c>
      <c r="AA1532" s="23" t="str">
        <f aca="false">IF(C1532="","", CHOOSE(MONTH(C1532),"January","February","March","April","May","June","July","August","September","October","November","December")&amp;" "&amp;DAY(C1532)&amp;MID("thstndrdth",MIN(9,2*RIGHT(DAY(C1532))*(MOD(DAY(C1532)-11,100)&gt;2)+1),2)&amp;","&amp;TEXT(C1532," yyyy"))</f>
        <v>March 1st,2021</v>
      </c>
      <c r="AB1532" s="15" t="str">
        <f aca="true">IF(S1532="","",DATEDIF(S1532,TODAY(),"Y")&amp;" Tahun, "&amp;DATEDIF(S1532,TODAY(),"YM")&amp;" Bulan, "&amp;DATEDIF(S1532,TODAY(),"MD")&amp;" Hari")</f>
        <v>36 Tahun, 11 Bulan, 17 Hari</v>
      </c>
      <c r="AC1532" s="18" t="n">
        <v>45659</v>
      </c>
      <c r="AD1532" s="18" t="n">
        <v>46021</v>
      </c>
      <c r="AE1532" s="13" t="s">
        <v>397</v>
      </c>
    </row>
    <row r="1533" customFormat="false" ht="15" hidden="false" customHeight="true" outlineLevel="0" collapsed="false">
      <c r="A1533" s="12" t="n">
        <v>16356</v>
      </c>
      <c r="B1533" s="13" t="s">
        <v>6719</v>
      </c>
      <c r="C1533" s="14" t="n">
        <v>45488</v>
      </c>
      <c r="D1533" s="13" t="s">
        <v>1721</v>
      </c>
      <c r="E1533" s="15" t="s">
        <v>102</v>
      </c>
      <c r="F1533" s="15" t="str">
        <f aca="false">IFERROR(__xludf.dummyfunction("XLOOKUP(AJ1533,IMPORTRANGE(""1XaInW9DU9nz21V0tYIfzFQ0He9kVQ_JF2mCXgZ3hqFA"",""REKAP ALL 2026 - Andika!G:G""),IMPORTRANGE(""1XaInW9DU9nz21V0tYIfzFQ0He9kVQ_JF2mCXgZ3hqFA"",""REKAP ALL 2026 - Andika!F:F""),"""",0)"),"24105107767")</f>
        <v>24105107767</v>
      </c>
      <c r="G1533" s="15" t="s">
        <v>6720</v>
      </c>
      <c r="H1533" s="13" t="s">
        <v>35</v>
      </c>
      <c r="I1533" s="13" t="str">
        <f aca="false">IF(C1533=J1533,"NEW KONTRAK","RE-KONTRAK")</f>
        <v>RE-KONTRAK</v>
      </c>
      <c r="J1533" s="16" t="n">
        <f aca="false" t="array" ref="J1533:J1533">IFERROR(INDEX(AC1533:AE1533,IF(COUNTA(AC1533:AE1533)=0,"",MAX((AC1533:AE1533&lt;&gt;"")*(COLUMN(AC1533:AE1533)-(COLUMN(AC1533)))))-1),"")</f>
        <v>45659</v>
      </c>
      <c r="K1533" s="16" t="n">
        <f aca="false" t="array" ref="K1533:K1533">IFERROR(INDEX(AC1533:AE1533,IF(COUNTA(AC1533:AE1533)=0,"",MAX((AC1533:AE1533&lt;&gt;"")*(COLUMN(AC1533:AE1533)-(COLUMN(AC1533)-1))))-1),"")</f>
        <v>46015</v>
      </c>
      <c r="L1533" s="17" t="str">
        <f aca="false" t="array" ref="L1533:L1533">IFERROR(INDEX(AC1533:AE1533,IF(COUNTA(AC1533:AE1533)=0,"",MAX((AC1533:AE1533&lt;&gt;"")*(COLUMN(AC1533:AE1533)-(COLUMN(AC1533)-2))))-1),"")</f>
        <v>ARCHIVED</v>
      </c>
      <c r="M1533" s="13" t="n">
        <f aca="true">K1533-TODAY()</f>
        <v>-309</v>
      </c>
      <c r="N1533" s="18" t="s">
        <v>728</v>
      </c>
      <c r="O1533" s="13" t="s">
        <v>1738</v>
      </c>
      <c r="P1533" s="19" t="n">
        <v>5444909</v>
      </c>
      <c r="Q1533" s="49" t="s">
        <v>6721</v>
      </c>
      <c r="R1533" s="13" t="s">
        <v>274</v>
      </c>
      <c r="S1533" s="14" t="n">
        <v>37387</v>
      </c>
      <c r="T1533" s="13" t="s">
        <v>108</v>
      </c>
      <c r="U1533" s="13" t="s">
        <v>6722</v>
      </c>
      <c r="V1533" s="28" t="s">
        <v>42</v>
      </c>
      <c r="W1533" s="13" t="s">
        <v>43</v>
      </c>
      <c r="X1533" s="21" t="n">
        <v>87782700812</v>
      </c>
      <c r="Y1533" s="22" t="str">
        <f aca="false">O1533</f>
        <v>IM Operator</v>
      </c>
      <c r="Z1533" s="13" t="str">
        <f aca="false">IFERROR(__xludf.dummyfunction("if(BJ1533="""","""",GOOGLETRANSLATE(BJ1533,""auto"",""en""))"),"IM Operator")</f>
        <v>IM Operator</v>
      </c>
      <c r="AA1533" s="23" t="str">
        <f aca="false">IF(C1533="","", CHOOSE(MONTH(C1533),"January","February","March","April","May","June","July","August","September","October","November","December")&amp;" "&amp;DAY(C1533)&amp;MID("thstndrdth",MIN(9,2*RIGHT(DAY(C1533))*(MOD(DAY(C1533)-11,100)&gt;2)+1),2)&amp;","&amp;TEXT(C1533," yyyy"))</f>
        <v>July 15th,2024</v>
      </c>
      <c r="AB1533" s="15" t="str">
        <f aca="true">IF(S1533="","",DATEDIF(S1533,TODAY(),"Y")&amp;" Tahun, "&amp;DATEDIF(S1533,TODAY(),"YM")&amp;" Bulan, "&amp;DATEDIF(S1533,TODAY(),"MD")&amp;" Hari")</f>
        <v>24 Tahun, 5 Bulan, 18 Hari</v>
      </c>
      <c r="AC1533" s="18" t="n">
        <v>45659</v>
      </c>
      <c r="AD1533" s="18" t="n">
        <v>46015</v>
      </c>
      <c r="AE1533" s="18" t="s">
        <v>44</v>
      </c>
    </row>
    <row r="1534" customFormat="false" ht="15" hidden="false" customHeight="true" outlineLevel="0" collapsed="false">
      <c r="A1534" s="12" t="n">
        <v>16363</v>
      </c>
      <c r="B1534" s="13" t="s">
        <v>6723</v>
      </c>
      <c r="C1534" s="14" t="n">
        <v>45488</v>
      </c>
      <c r="D1534" s="13" t="s">
        <v>1721</v>
      </c>
      <c r="E1534" s="15" t="s">
        <v>102</v>
      </c>
      <c r="F1534" s="15" t="str">
        <f aca="false">IFERROR(__xludf.dummyfunction("XLOOKUP(AJ1534,IMPORTRANGE(""1XaInW9DU9nz21V0tYIfzFQ0He9kVQ_JF2mCXgZ3hqFA"",""REKAP ALL 2026 - Andika!G:G""),IMPORTRANGE(""1XaInW9DU9nz21V0tYIfzFQ0He9kVQ_JF2mCXgZ3hqFA"",""REKAP ALL 2026 - Andika!F:F""),"""",0)"),"24105107809")</f>
        <v>24105107809</v>
      </c>
      <c r="G1534" s="15" t="s">
        <v>6724</v>
      </c>
      <c r="H1534" s="13" t="s">
        <v>35</v>
      </c>
      <c r="I1534" s="13" t="str">
        <f aca="false">IF(C1534=J1534,"NEW KONTRAK","RE-KONTRAK")</f>
        <v>RE-KONTRAK</v>
      </c>
      <c r="J1534" s="16" t="n">
        <f aca="false" t="array" ref="J1534:J1534">IFERROR(INDEX(AC1534:AE1534,IF(COUNTA(AC1534:AE1534)=0,"",MAX((AC1534:AE1534&lt;&gt;"")*(COLUMN(AC1534:AE1534)-(COLUMN(AC1534)))))-1),"")</f>
        <v>45659</v>
      </c>
      <c r="K1534" s="16" t="n">
        <f aca="false" t="array" ref="K1534:K1534">IFERROR(INDEX(AC1534:AE1534,IF(COUNTA(AC1534:AE1534)=0,"",MAX((AC1534:AE1534&lt;&gt;"")*(COLUMN(AC1534:AE1534)-(COLUMN(AC1534)-1))))-1),"")</f>
        <v>46021</v>
      </c>
      <c r="L1534" s="17" t="str">
        <f aca="false" t="array" ref="L1534:L1534">IFERROR(INDEX(AC1534:AE1534,IF(COUNTA(AC1534:AE1534)=0,"",MAX((AC1534:AE1534&lt;&gt;"")*(COLUMN(AC1534:AE1534)-(COLUMN(AC1534)-2))))-1),"")</f>
        <v>KEMBALI</v>
      </c>
      <c r="M1534" s="13" t="n">
        <f aca="true">K1534-TODAY()</f>
        <v>-303</v>
      </c>
      <c r="N1534" s="18" t="s">
        <v>728</v>
      </c>
      <c r="O1534" s="13" t="s">
        <v>1738</v>
      </c>
      <c r="P1534" s="19" t="n">
        <v>5444909</v>
      </c>
      <c r="Q1534" s="20" t="s">
        <v>6725</v>
      </c>
      <c r="R1534" s="13" t="s">
        <v>78</v>
      </c>
      <c r="S1534" s="14" t="n">
        <v>36865</v>
      </c>
      <c r="T1534" s="13" t="s">
        <v>108</v>
      </c>
      <c r="U1534" s="13" t="s">
        <v>6726</v>
      </c>
      <c r="V1534" s="28" t="s">
        <v>42</v>
      </c>
      <c r="W1534" s="13" t="s">
        <v>43</v>
      </c>
      <c r="X1534" s="21" t="n">
        <v>81359561836</v>
      </c>
      <c r="Y1534" s="22" t="str">
        <f aca="false">O1534</f>
        <v>IM Operator</v>
      </c>
      <c r="Z1534" s="13" t="str">
        <f aca="false">IFERROR(__xludf.dummyfunction("if(BJ1534="""","""",GOOGLETRANSLATE(BJ1534,""auto"",""en""))"),"IM Operator")</f>
        <v>IM Operator</v>
      </c>
      <c r="AA1534" s="23" t="str">
        <f aca="false">IF(C1534="","", CHOOSE(MONTH(C1534),"January","February","March","April","May","June","July","August","September","October","November","December")&amp;" "&amp;DAY(C1534)&amp;MID("thstndrdth",MIN(9,2*RIGHT(DAY(C1534))*(MOD(DAY(C1534)-11,100)&gt;2)+1),2)&amp;","&amp;TEXT(C1534," yyyy"))</f>
        <v>July 15th,2024</v>
      </c>
      <c r="AB1534" s="15" t="str">
        <f aca="true">IF(S1534="","",DATEDIF(S1534,TODAY(),"Y")&amp;" Tahun, "&amp;DATEDIF(S1534,TODAY(),"YM")&amp;" Bulan, "&amp;DATEDIF(S1534,TODAY(),"MD")&amp;" Hari")</f>
        <v>25 Tahun, 10 Bulan, 24 Hari</v>
      </c>
      <c r="AC1534" s="18" t="n">
        <v>45659</v>
      </c>
      <c r="AD1534" s="18" t="n">
        <v>46021</v>
      </c>
      <c r="AE1534" s="13" t="s">
        <v>397</v>
      </c>
    </row>
    <row r="1535" customFormat="false" ht="15" hidden="false" customHeight="true" outlineLevel="0" collapsed="false">
      <c r="A1535" s="12" t="n">
        <v>16366</v>
      </c>
      <c r="B1535" s="13" t="s">
        <v>6727</v>
      </c>
      <c r="C1535" s="14" t="n">
        <v>45488</v>
      </c>
      <c r="D1535" s="13" t="s">
        <v>1721</v>
      </c>
      <c r="E1535" s="15" t="s">
        <v>33</v>
      </c>
      <c r="F1535" s="24" t="s">
        <v>6728</v>
      </c>
      <c r="G1535" s="15" t="s">
        <v>6729</v>
      </c>
      <c r="H1535" s="13" t="s">
        <v>35</v>
      </c>
      <c r="I1535" s="13" t="str">
        <f aca="false">IF(C1535=J1535,"NEW KONTRAK","RE-KONTRAK")</f>
        <v>RE-KONTRAK</v>
      </c>
      <c r="J1535" s="16" t="n">
        <f aca="false" t="array" ref="J1535:J1535">IFERROR(INDEX(AC1535:AE1535,IF(COUNTA(AC1535:AE1535)=0,"",MAX((AC1535:AE1535&lt;&gt;"")*(COLUMN(AC1535:AE1535)-(COLUMN(AC1535)))))-1),"")</f>
        <v>45659</v>
      </c>
      <c r="K1535" s="16" t="n">
        <f aca="false" t="array" ref="K1535:K1535">IFERROR(INDEX(AC1535:AE1535,IF(COUNTA(AC1535:AE1535)=0,"",MAX((AC1535:AE1535&lt;&gt;"")*(COLUMN(AC1535:AE1535)-(COLUMN(AC1535)-1))))-1),"")</f>
        <v>46015</v>
      </c>
      <c r="L1535" s="17" t="str">
        <f aca="false" t="array" ref="L1535:L1535">IFERROR(INDEX(AC1535:AE1535,IF(COUNTA(AC1535:AE1535)=0,"",MAX((AC1535:AE1535&lt;&gt;"")*(COLUMN(AC1535:AE1535)-(COLUMN(AC1535)-2))))-1),"")</f>
        <v>ARCHIVED</v>
      </c>
      <c r="M1535" s="13" t="n">
        <f aca="true">K1535-TODAY()</f>
        <v>-309</v>
      </c>
      <c r="N1535" s="18" t="s">
        <v>728</v>
      </c>
      <c r="O1535" s="13" t="s">
        <v>1738</v>
      </c>
      <c r="P1535" s="19" t="n">
        <v>5444909</v>
      </c>
      <c r="Q1535" s="49" t="s">
        <v>6730</v>
      </c>
      <c r="R1535" s="13" t="s">
        <v>78</v>
      </c>
      <c r="S1535" s="14" t="n">
        <v>37201</v>
      </c>
      <c r="T1535" s="13" t="s">
        <v>108</v>
      </c>
      <c r="U1535" s="13" t="s">
        <v>6731</v>
      </c>
      <c r="V1535" s="28" t="s">
        <v>42</v>
      </c>
      <c r="W1535" s="13" t="s">
        <v>43</v>
      </c>
      <c r="X1535" s="21" t="n">
        <v>85790570842</v>
      </c>
      <c r="Y1535" s="22" t="str">
        <f aca="false">O1535</f>
        <v>IM Operator</v>
      </c>
      <c r="Z1535" s="13" t="str">
        <f aca="false">IFERROR(__xludf.dummyfunction("if(BJ1535="""","""",GOOGLETRANSLATE(BJ1535,""auto"",""en""))"),"IM Operator")</f>
        <v>IM Operator</v>
      </c>
      <c r="AA1535" s="23" t="str">
        <f aca="false">IF(C1535="","", CHOOSE(MONTH(C1535),"January","February","March","April","May","June","July","August","September","October","November","December")&amp;" "&amp;DAY(C1535)&amp;MID("thstndrdth",MIN(9,2*RIGHT(DAY(C1535))*(MOD(DAY(C1535)-11,100)&gt;2)+1),2)&amp;","&amp;TEXT(C1535," yyyy"))</f>
        <v>July 15th,2024</v>
      </c>
      <c r="AB1535" s="15" t="str">
        <f aca="true">IF(S1535="","",DATEDIF(S1535,TODAY(),"Y")&amp;" Tahun, "&amp;DATEDIF(S1535,TODAY(),"YM")&amp;" Bulan, "&amp;DATEDIF(S1535,TODAY(),"MD")&amp;" Hari")</f>
        <v>24 Tahun, 11 Bulan, 23 Hari</v>
      </c>
      <c r="AC1535" s="18" t="n">
        <v>45659</v>
      </c>
      <c r="AD1535" s="18" t="n">
        <v>46015</v>
      </c>
      <c r="AE1535" s="18" t="s">
        <v>44</v>
      </c>
    </row>
    <row r="1536" customFormat="false" ht="15" hidden="false" customHeight="true" outlineLevel="0" collapsed="false">
      <c r="A1536" s="12" t="n">
        <v>19149</v>
      </c>
      <c r="B1536" s="13" t="s">
        <v>6732</v>
      </c>
      <c r="C1536" s="16" t="n">
        <v>45754</v>
      </c>
      <c r="D1536" s="13" t="s">
        <v>1721</v>
      </c>
      <c r="E1536" s="15" t="s">
        <v>47</v>
      </c>
      <c r="F1536" s="15" t="str">
        <f aca="false">IFERROR(__xludf.dummyfunction("XLOOKUP(AJ1536,IMPORTRANGE(""1XaInW9DU9nz21V0tYIfzFQ0He9kVQ_JF2mCXgZ3hqFA"",""REKAP ALL 2026 - Andika!G:G""),IMPORTRANGE(""1XaInW9DU9nz21V0tYIfzFQ0He9kVQ_JF2mCXgZ3hqFA"",""REKAP ALL 2026 - Andika!F:F""),"""",0)"),"25047634230")</f>
        <v>25047634230</v>
      </c>
      <c r="G1536" s="15" t="s">
        <v>6733</v>
      </c>
      <c r="H1536" s="13" t="s">
        <v>35</v>
      </c>
      <c r="I1536" s="13" t="str">
        <f aca="false">IF(C1536=J1536,"NEW KONTRAK","RE-KONTRAK")</f>
        <v>RE-KONTRAK</v>
      </c>
      <c r="J1536" s="16" t="n">
        <f aca="false" t="array" ref="J1536:J1536">IFERROR(INDEX(AC1536:AE1536,IF(COUNTA(AC1536:AE1536)=0,"",MAX((AC1536:AE1536&lt;&gt;"")*(COLUMN(AC1536:AE1536)-(COLUMN(AC1536)))))-1),"")</f>
        <v>45870</v>
      </c>
      <c r="K1536" s="16" t="n">
        <f aca="false" t="array" ref="K1536:K1536">IFERROR(INDEX(AC1536:AE1536,IF(COUNTA(AC1536:AE1536)=0,"",MAX((AC1536:AE1536&lt;&gt;"")*(COLUMN(AC1536:AE1536)-(COLUMN(AC1536)-1))))-1),"")</f>
        <v>46015</v>
      </c>
      <c r="L1536" s="17" t="str">
        <f aca="false" t="array" ref="L1536:L1536">IFERROR(INDEX(AC1536:AE1536,IF(COUNTA(AC1536:AE1536)=0,"",MAX((AC1536:AE1536&lt;&gt;"")*(COLUMN(AC1536:AE1536)-(COLUMN(AC1536)-2))))-1),"")</f>
        <v>ARCHIVED</v>
      </c>
      <c r="M1536" s="13" t="n">
        <f aca="true">K1536-TODAY()</f>
        <v>-309</v>
      </c>
      <c r="N1536" s="18" t="s">
        <v>728</v>
      </c>
      <c r="O1536" s="13" t="s">
        <v>6734</v>
      </c>
      <c r="P1536" s="19" t="n">
        <v>5444909</v>
      </c>
      <c r="Q1536" s="20" t="s">
        <v>6735</v>
      </c>
      <c r="R1536" s="13" t="s">
        <v>260</v>
      </c>
      <c r="S1536" s="14" t="n">
        <v>34632</v>
      </c>
      <c r="T1536" s="13" t="s">
        <v>108</v>
      </c>
      <c r="U1536" s="13" t="s">
        <v>6736</v>
      </c>
      <c r="V1536" s="13" t="s">
        <v>42</v>
      </c>
      <c r="W1536" s="13" t="s">
        <v>54</v>
      </c>
      <c r="X1536" s="21" t="n">
        <v>82265196814</v>
      </c>
      <c r="Y1536" s="22" t="str">
        <f aca="false">O1536</f>
        <v>Warehouse Admin</v>
      </c>
      <c r="Z1536" s="13" t="str">
        <f aca="false">IFERROR(__xludf.dummyfunction("if(BJ1536="""","""",GOOGLETRANSLATE(BJ1536,""auto"",""en""))"),"Warehouse Admin")</f>
        <v>Warehouse Admin</v>
      </c>
      <c r="AA1536" s="23" t="str">
        <f aca="false">IF(C1536="","", CHOOSE(MONTH(C1536),"January","February","March","April","May","June","July","August","September","October","November","December")&amp;" "&amp;DAY(C1536)&amp;MID("thstndrdth",MIN(9,2*RIGHT(DAY(C1536))*(MOD(DAY(C1536)-11,100)&gt;2)+1),2)&amp;","&amp;TEXT(C1536," yyyy"))</f>
        <v>April 7th,2025</v>
      </c>
      <c r="AB1536" s="15" t="str">
        <f aca="true">IF(S1536="","",DATEDIF(S1536,TODAY(),"Y")&amp;" Tahun, "&amp;DATEDIF(S1536,TODAY(),"YM")&amp;" Bulan, "&amp;DATEDIF(S1536,TODAY(),"MD")&amp;" Hari")</f>
        <v>32 Tahun, 0 Bulan, 4 Hari</v>
      </c>
      <c r="AC1536" s="18" t="n">
        <v>45870</v>
      </c>
      <c r="AD1536" s="18" t="n">
        <v>46015</v>
      </c>
      <c r="AE1536" s="18" t="s">
        <v>44</v>
      </c>
    </row>
    <row r="1537" customFormat="false" ht="15" hidden="false" customHeight="true" outlineLevel="0" collapsed="false">
      <c r="A1537" s="12" t="n">
        <v>4635</v>
      </c>
      <c r="B1537" s="13" t="s">
        <v>6737</v>
      </c>
      <c r="C1537" s="14" t="n">
        <v>44256</v>
      </c>
      <c r="D1537" s="13" t="s">
        <v>1721</v>
      </c>
      <c r="E1537" s="15" t="s">
        <v>47</v>
      </c>
      <c r="F1537" s="15" t="str">
        <f aca="false">IFERROR(__xludf.dummyfunction("XLOOKUP(AJ1537,IMPORTRANGE(""1XaInW9DU9nz21V0tYIfzFQ0He9kVQ_JF2mCXgZ3hqFA"",""REKAP ALL 2026 - Andika!G:G""),IMPORTRANGE(""1XaInW9DU9nz21V0tYIfzFQ0He9kVQ_JF2mCXgZ3hqFA"",""REKAP ALL 2026 - Andika!F:F""),"""",0)"),"22015020237")</f>
        <v>22015020237</v>
      </c>
      <c r="G1537" s="13" t="s">
        <v>6738</v>
      </c>
      <c r="H1537" s="13" t="s">
        <v>35</v>
      </c>
      <c r="I1537" s="13" t="str">
        <f aca="false">IF(C1537=J1537,"NEW KONTRAK","RE-KONTRAK")</f>
        <v>RE-KONTRAK</v>
      </c>
      <c r="J1537" s="16" t="n">
        <f aca="false" t="array" ref="J1537:J1537">IFERROR(INDEX(AC1537:AE1537,IF(COUNTA(AC1537:AE1537)=0,"",MAX((AC1537:AE1537&lt;&gt;"")*(COLUMN(AC1537:AE1537)-(COLUMN(AC1537)))))-1),"")</f>
        <v>45659</v>
      </c>
      <c r="K1537" s="16" t="n">
        <f aca="false" t="array" ref="K1537:K1537">IFERROR(INDEX(AC1537:AE1537,IF(COUNTA(AC1537:AE1537)=0,"",MAX((AC1537:AE1537&lt;&gt;"")*(COLUMN(AC1537:AE1537)-(COLUMN(AC1537)-1))))-1),"")</f>
        <v>46015</v>
      </c>
      <c r="L1537" s="17" t="str">
        <f aca="false" t="array" ref="L1537:L1537">IFERROR(INDEX(AC1537:AE1537,IF(COUNTA(AC1537:AE1537)=0,"",MAX((AC1537:AE1537&lt;&gt;"")*(COLUMN(AC1537:AE1537)-(COLUMN(AC1537)-2))))-1),"")</f>
        <v>ARCHIVED</v>
      </c>
      <c r="M1537" s="13" t="n">
        <f aca="true">K1537-TODAY()</f>
        <v>-309</v>
      </c>
      <c r="N1537" s="18" t="s">
        <v>728</v>
      </c>
      <c r="O1537" s="13" t="s">
        <v>1765</v>
      </c>
      <c r="P1537" s="19" t="n">
        <v>5444909</v>
      </c>
      <c r="Q1537" s="20" t="s">
        <v>6739</v>
      </c>
      <c r="R1537" s="13" t="s">
        <v>52</v>
      </c>
      <c r="S1537" s="14" t="n">
        <v>32543</v>
      </c>
      <c r="T1537" s="13" t="s">
        <v>108</v>
      </c>
      <c r="U1537" s="13" t="s">
        <v>6740</v>
      </c>
      <c r="V1537" s="13" t="s">
        <v>42</v>
      </c>
      <c r="W1537" s="13" t="s">
        <v>54</v>
      </c>
      <c r="X1537" s="21" t="n">
        <v>81296588950</v>
      </c>
      <c r="Y1537" s="22" t="str">
        <f aca="false">O1537</f>
        <v>Assy Operator</v>
      </c>
      <c r="Z1537" s="13" t="str">
        <f aca="false">IFERROR(__xludf.dummyfunction("if(BJ1537="""","""",GOOGLETRANSLATE(BJ1537,""auto"",""en""))"),"Assy Operator")</f>
        <v>Assy Operator</v>
      </c>
      <c r="AA1537" s="23" t="str">
        <f aca="false">IF(C1537="","", CHOOSE(MONTH(C1537),"January","February","March","April","May","June","July","August","September","October","November","December")&amp;" "&amp;DAY(C1537)&amp;MID("thstndrdth",MIN(9,2*RIGHT(DAY(C1537))*(MOD(DAY(C1537)-11,100)&gt;2)+1),2)&amp;","&amp;TEXT(C1537," yyyy"))</f>
        <v>March 1st,2021</v>
      </c>
      <c r="AB1537" s="15" t="str">
        <f aca="true">IF(S1537="","",DATEDIF(S1537,TODAY(),"Y")&amp;" Tahun, "&amp;DATEDIF(S1537,TODAY(),"YM")&amp;" Bulan, "&amp;DATEDIF(S1537,TODAY(),"MD")&amp;" Hari")</f>
        <v>37 Tahun, 8 Bulan, 25 Hari</v>
      </c>
      <c r="AC1537" s="18" t="n">
        <v>45659</v>
      </c>
      <c r="AD1537" s="18" t="n">
        <v>46015</v>
      </c>
      <c r="AE1537" s="18" t="s">
        <v>44</v>
      </c>
    </row>
    <row r="1538" customFormat="false" ht="15" hidden="false" customHeight="true" outlineLevel="0" collapsed="false">
      <c r="A1538" s="12" t="n">
        <v>16376</v>
      </c>
      <c r="B1538" s="13" t="s">
        <v>6741</v>
      </c>
      <c r="C1538" s="14" t="n">
        <v>45488</v>
      </c>
      <c r="D1538" s="13" t="s">
        <v>1721</v>
      </c>
      <c r="E1538" s="15" t="s">
        <v>33</v>
      </c>
      <c r="F1538" s="24" t="s">
        <v>6742</v>
      </c>
      <c r="G1538" s="15" t="s">
        <v>6743</v>
      </c>
      <c r="H1538" s="13" t="s">
        <v>35</v>
      </c>
      <c r="I1538" s="13" t="str">
        <f aca="false">IF(C1538=J1538,"NEW KONTRAK","RE-KONTRAK")</f>
        <v>RE-KONTRAK</v>
      </c>
      <c r="J1538" s="16" t="n">
        <f aca="false" t="array" ref="J1538:J1538">IFERROR(INDEX(AC1538:AE1538,IF(COUNTA(AC1538:AE1538)=0,"",MAX((AC1538:AE1538&lt;&gt;"")*(COLUMN(AC1538:AE1538)-(COLUMN(AC1538)))))-1),"")</f>
        <v>45659</v>
      </c>
      <c r="K1538" s="16" t="n">
        <f aca="false" t="array" ref="K1538:K1538">IFERROR(INDEX(AC1538:AE1538,IF(COUNTA(AC1538:AE1538)=0,"",MAX((AC1538:AE1538&lt;&gt;"")*(COLUMN(AC1538:AE1538)-(COLUMN(AC1538)-1))))-1),"")</f>
        <v>46015</v>
      </c>
      <c r="L1538" s="17" t="str">
        <f aca="false" t="array" ref="L1538:L1538">IFERROR(INDEX(AC1538:AE1538,IF(COUNTA(AC1538:AE1538)=0,"",MAX((AC1538:AE1538&lt;&gt;"")*(COLUMN(AC1538:AE1538)-(COLUMN(AC1538)-2))))-1),"")</f>
        <v>ARCHIVED</v>
      </c>
      <c r="M1538" s="13" t="n">
        <f aca="true">K1538-TODAY()</f>
        <v>-309</v>
      </c>
      <c r="N1538" s="18" t="s">
        <v>728</v>
      </c>
      <c r="O1538" s="13" t="s">
        <v>1738</v>
      </c>
      <c r="P1538" s="19" t="n">
        <v>5444909</v>
      </c>
      <c r="Q1538" s="49" t="s">
        <v>6744</v>
      </c>
      <c r="R1538" s="13" t="s">
        <v>52</v>
      </c>
      <c r="S1538" s="14" t="n">
        <v>32783</v>
      </c>
      <c r="T1538" s="13" t="s">
        <v>108</v>
      </c>
      <c r="U1538" s="13" t="s">
        <v>6745</v>
      </c>
      <c r="V1538" s="28" t="s">
        <v>42</v>
      </c>
      <c r="W1538" s="13" t="s">
        <v>54</v>
      </c>
      <c r="X1538" s="21" t="n">
        <v>85707178645</v>
      </c>
      <c r="Y1538" s="22" t="str">
        <f aca="false">O1538</f>
        <v>IM Operator</v>
      </c>
      <c r="Z1538" s="13" t="str">
        <f aca="false">IFERROR(__xludf.dummyfunction("if(BJ1538="""","""",GOOGLETRANSLATE(BJ1538,""auto"",""en""))"),"IM Operator")</f>
        <v>IM Operator</v>
      </c>
      <c r="AA1538" s="23" t="str">
        <f aca="false">IF(C1538="","", CHOOSE(MONTH(C1538),"January","February","March","April","May","June","July","August","September","October","November","December")&amp;" "&amp;DAY(C1538)&amp;MID("thstndrdth",MIN(9,2*RIGHT(DAY(C1538))*(MOD(DAY(C1538)-11,100)&gt;2)+1),2)&amp;","&amp;TEXT(C1538," yyyy"))</f>
        <v>July 15th,2024</v>
      </c>
      <c r="AB1538" s="15" t="str">
        <f aca="true">IF(S1538="","",DATEDIF(S1538,TODAY(),"Y")&amp;" Tahun, "&amp;DATEDIF(S1538,TODAY(),"YM")&amp;" Bulan, "&amp;DATEDIF(S1538,TODAY(),"MD")&amp;" Hari")</f>
        <v>37 Tahun, 0 Bulan, 27 Hari</v>
      </c>
      <c r="AC1538" s="18" t="n">
        <v>45659</v>
      </c>
      <c r="AD1538" s="18" t="n">
        <v>46015</v>
      </c>
      <c r="AE1538" s="18" t="s">
        <v>44</v>
      </c>
    </row>
    <row r="1539" customFormat="false" ht="15" hidden="false" customHeight="true" outlineLevel="0" collapsed="false">
      <c r="A1539" s="12" t="n">
        <v>2187</v>
      </c>
      <c r="B1539" s="13" t="s">
        <v>6746</v>
      </c>
      <c r="C1539" s="14" t="n">
        <v>44256</v>
      </c>
      <c r="D1539" s="13" t="s">
        <v>1721</v>
      </c>
      <c r="E1539" s="15" t="s">
        <v>47</v>
      </c>
      <c r="F1539" s="15" t="str">
        <f aca="false">IFERROR(__xludf.dummyfunction("XLOOKUP(AJ1539,IMPORTRANGE(""1XaInW9DU9nz21V0tYIfzFQ0He9kVQ_JF2mCXgZ3hqFA"",""REKAP ALL 2026 - Andika!G:G""),IMPORTRANGE(""1XaInW9DU9nz21V0tYIfzFQ0He9kVQ_JF2mCXgZ3hqFA"",""REKAP ALL 2026 - Andika!F:F""),"""",0)"),"18113406559")</f>
        <v>18113406559</v>
      </c>
      <c r="G1539" s="13" t="s">
        <v>6747</v>
      </c>
      <c r="H1539" s="13" t="s">
        <v>35</v>
      </c>
      <c r="I1539" s="13" t="str">
        <f aca="false">IF(C1539=J1539,"NEW KONTRAK","RE-KONTRAK")</f>
        <v>RE-KONTRAK</v>
      </c>
      <c r="J1539" s="16" t="n">
        <f aca="false" t="array" ref="J1539:J1539">IFERROR(INDEX(AC1539:AE1539,IF(COUNTA(AC1539:AE1539)=0,"",MAX((AC1539:AE1539&lt;&gt;"")*(COLUMN(AC1539:AE1539)-(COLUMN(AC1539)))))-1),"")</f>
        <v>45659</v>
      </c>
      <c r="K1539" s="16" t="n">
        <f aca="false" t="array" ref="K1539:K1539">IFERROR(INDEX(AC1539:AE1539,IF(COUNTA(AC1539:AE1539)=0,"",MAX((AC1539:AE1539&lt;&gt;"")*(COLUMN(AC1539:AE1539)-(COLUMN(AC1539)-1))))-1),"")</f>
        <v>46015</v>
      </c>
      <c r="L1539" s="17" t="str">
        <f aca="false" t="array" ref="L1539:L1539">IFERROR(INDEX(AC1539:AE1539,IF(COUNTA(AC1539:AE1539)=0,"",MAX((AC1539:AE1539&lt;&gt;"")*(COLUMN(AC1539:AE1539)-(COLUMN(AC1539)-2))))-1),"")</f>
        <v>ARCHIVED</v>
      </c>
      <c r="M1539" s="13" t="n">
        <f aca="true">K1539-TODAY()</f>
        <v>-309</v>
      </c>
      <c r="N1539" s="18" t="s">
        <v>728</v>
      </c>
      <c r="O1539" s="13" t="s">
        <v>1914</v>
      </c>
      <c r="P1539" s="19" t="n">
        <v>5444909</v>
      </c>
      <c r="Q1539" s="20" t="s">
        <v>6748</v>
      </c>
      <c r="R1539" s="13" t="s">
        <v>83</v>
      </c>
      <c r="S1539" s="14" t="n">
        <v>34790</v>
      </c>
      <c r="T1539" s="13" t="s">
        <v>108</v>
      </c>
      <c r="U1539" s="13" t="s">
        <v>6749</v>
      </c>
      <c r="V1539" s="13" t="s">
        <v>42</v>
      </c>
      <c r="W1539" s="13" t="s">
        <v>54</v>
      </c>
      <c r="X1539" s="21" t="n">
        <v>85259837355</v>
      </c>
      <c r="Y1539" s="22" t="str">
        <f aca="false">O1539</f>
        <v>Im Operator</v>
      </c>
      <c r="Z1539" s="13" t="str">
        <f aca="false">IFERROR(__xludf.dummyfunction("if(BJ1539="""","""",GOOGLETRANSLATE(BJ1539,""auto"",""en""))"),"Im Operator")</f>
        <v>Im Operator</v>
      </c>
      <c r="AA1539" s="23" t="str">
        <f aca="false">IF(C1539="","", CHOOSE(MONTH(C1539),"January","February","March","April","May","June","July","August","September","October","November","December")&amp;" "&amp;DAY(C1539)&amp;MID("thstndrdth",MIN(9,2*RIGHT(DAY(C1539))*(MOD(DAY(C1539)-11,100)&gt;2)+1),2)&amp;","&amp;TEXT(C1539," yyyy"))</f>
        <v>March 1st,2021</v>
      </c>
      <c r="AB1539" s="15" t="str">
        <f aca="true">IF(S1539="","",DATEDIF(S1539,TODAY(),"Y")&amp;" Tahun, "&amp;DATEDIF(S1539,TODAY(),"YM")&amp;" Bulan, "&amp;DATEDIF(S1539,TODAY(),"MD")&amp;" Hari")</f>
        <v>31 Tahun, 6 Bulan, 28 Hari</v>
      </c>
      <c r="AC1539" s="18" t="n">
        <v>45659</v>
      </c>
      <c r="AD1539" s="18" t="n">
        <v>46015</v>
      </c>
      <c r="AE1539" s="18" t="s">
        <v>44</v>
      </c>
    </row>
    <row r="1540" customFormat="false" ht="15" hidden="false" customHeight="true" outlineLevel="0" collapsed="false">
      <c r="A1540" s="12" t="n">
        <v>16378</v>
      </c>
      <c r="B1540" s="13" t="s">
        <v>6750</v>
      </c>
      <c r="C1540" s="14" t="n">
        <v>45488</v>
      </c>
      <c r="D1540" s="13" t="s">
        <v>1721</v>
      </c>
      <c r="E1540" s="15" t="s">
        <v>1778</v>
      </c>
      <c r="F1540" s="24" t="s">
        <v>6751</v>
      </c>
      <c r="G1540" s="15" t="s">
        <v>6752</v>
      </c>
      <c r="H1540" s="13" t="s">
        <v>35</v>
      </c>
      <c r="I1540" s="13" t="str">
        <f aca="false">IF(C1540=J1540,"NEW KONTRAK","RE-KONTRAK")</f>
        <v>RE-KONTRAK</v>
      </c>
      <c r="J1540" s="16" t="n">
        <f aca="false" t="array" ref="J1540:J1540">IFERROR(INDEX(AC1540:AE1540,IF(COUNTA(AC1540:AE1540)=0,"",MAX((AC1540:AE1540&lt;&gt;"")*(COLUMN(AC1540:AE1540)-(COLUMN(AC1540)))))-1),"")</f>
        <v>45659</v>
      </c>
      <c r="K1540" s="16" t="n">
        <f aca="false" t="array" ref="K1540:K1540">IFERROR(INDEX(AC1540:AE1540,IF(COUNTA(AC1540:AE1540)=0,"",MAX((AC1540:AE1540&lt;&gt;"")*(COLUMN(AC1540:AE1540)-(COLUMN(AC1540)-1))))-1),"")</f>
        <v>46015</v>
      </c>
      <c r="L1540" s="17" t="str">
        <f aca="false" t="array" ref="L1540:L1540">IFERROR(INDEX(AC1540:AE1540,IF(COUNTA(AC1540:AE1540)=0,"",MAX((AC1540:AE1540&lt;&gt;"")*(COLUMN(AC1540:AE1540)-(COLUMN(AC1540)-2))))-1),"")</f>
        <v>ARCHIVED</v>
      </c>
      <c r="M1540" s="13" t="n">
        <f aca="true">K1540-TODAY()</f>
        <v>-309</v>
      </c>
      <c r="N1540" s="18" t="s">
        <v>728</v>
      </c>
      <c r="O1540" s="13" t="s">
        <v>1827</v>
      </c>
      <c r="P1540" s="19" t="n">
        <v>5444909</v>
      </c>
      <c r="Q1540" s="49" t="s">
        <v>6753</v>
      </c>
      <c r="R1540" s="13" t="s">
        <v>553</v>
      </c>
      <c r="S1540" s="14" t="n">
        <v>36290</v>
      </c>
      <c r="T1540" s="13" t="s">
        <v>108</v>
      </c>
      <c r="U1540" s="13" t="s">
        <v>6754</v>
      </c>
      <c r="V1540" s="28" t="s">
        <v>42</v>
      </c>
      <c r="W1540" s="13" t="s">
        <v>43</v>
      </c>
      <c r="X1540" s="21" t="n">
        <v>81918418201</v>
      </c>
      <c r="Y1540" s="22" t="str">
        <f aca="false">O1540</f>
        <v>Printing Operator</v>
      </c>
      <c r="Z1540" s="13" t="str">
        <f aca="false">IFERROR(__xludf.dummyfunction("if(BJ1540="""","""",GOOGLETRANSLATE(BJ1540,""auto"",""en""))"),"Printing Operator")</f>
        <v>Printing Operator</v>
      </c>
      <c r="AA1540" s="23" t="str">
        <f aca="false">IF(C1540="","", CHOOSE(MONTH(C1540),"January","February","March","April","May","June","July","August","September","October","November","December")&amp;" "&amp;DAY(C1540)&amp;MID("thstndrdth",MIN(9,2*RIGHT(DAY(C1540))*(MOD(DAY(C1540)-11,100)&gt;2)+1),2)&amp;","&amp;TEXT(C1540," yyyy"))</f>
        <v>July 15th,2024</v>
      </c>
      <c r="AB1540" s="15" t="str">
        <f aca="true">IF(S1540="","",DATEDIF(S1540,TODAY(),"Y")&amp;" Tahun, "&amp;DATEDIF(S1540,TODAY(),"YM")&amp;" Bulan, "&amp;DATEDIF(S1540,TODAY(),"MD")&amp;" Hari")</f>
        <v>27 Tahun, 5 Bulan, 19 Hari</v>
      </c>
      <c r="AC1540" s="18" t="n">
        <v>45659</v>
      </c>
      <c r="AD1540" s="18" t="n">
        <v>46015</v>
      </c>
      <c r="AE1540" s="18" t="s">
        <v>44</v>
      </c>
    </row>
    <row r="1541" customFormat="false" ht="15" hidden="false" customHeight="true" outlineLevel="0" collapsed="false">
      <c r="A1541" s="12" t="n">
        <v>22845</v>
      </c>
      <c r="B1541" s="13" t="s">
        <v>6755</v>
      </c>
      <c r="C1541" s="14" t="n">
        <v>46279</v>
      </c>
      <c r="D1541" s="13" t="s">
        <v>1721</v>
      </c>
      <c r="E1541" s="13" t="s">
        <v>47</v>
      </c>
      <c r="F1541" s="24" t="s">
        <v>6756</v>
      </c>
      <c r="G1541" s="13" t="s">
        <v>1452</v>
      </c>
      <c r="H1541" s="13" t="s">
        <v>35</v>
      </c>
      <c r="I1541" s="13" t="str">
        <f aca="false">IF(C1541=J1541,"NEW KONTRAK","RE-KONTRAK")</f>
        <v>NEW KONTRAK</v>
      </c>
      <c r="J1541" s="16" t="n">
        <f aca="false" t="array" ref="J1541:J1541">IFERROR(INDEX(AC1541:AE1541,IF(COUNTA(AC1541:AE1541)=0,"",MAX((AC1541:AE1541&lt;&gt;"")*(COLUMN(AC1541:AE1541)-(COLUMN(AC1541)))))-1),"")</f>
        <v>46279</v>
      </c>
      <c r="K1541" s="16" t="n">
        <f aca="false" t="array" ref="K1541:K1541">IFERROR(INDEX(AC1541:AE1541,IF(COUNTA(AC1541:AE1541)=0,"",MAX((AC1541:AE1541&lt;&gt;"")*(COLUMN(AC1541:AE1541)-(COLUMN(AC1541)-1))))-1),"")</f>
        <v>46386</v>
      </c>
      <c r="L1541" s="17" t="str">
        <f aca="false" t="array" ref="L1541:L1541">IFERROR(INDEX(AC1541:AE1541,IF(COUNTA(AC1541:AE1541)=0,"",MAX((AC1541:AE1541&lt;&gt;"")*(COLUMN(AC1541:AE1541)-(COLUMN(AC1541)-2))))-1),"")</f>
        <v>ARCHIVED</v>
      </c>
      <c r="M1541" s="13" t="n">
        <f aca="true">K1541-TODAY()</f>
        <v>62</v>
      </c>
      <c r="N1541" s="18" t="s">
        <v>728</v>
      </c>
      <c r="O1541" s="13" t="s">
        <v>1755</v>
      </c>
      <c r="P1541" s="26" t="n">
        <v>5444909</v>
      </c>
      <c r="Q1541" s="52" t="s">
        <v>6757</v>
      </c>
      <c r="R1541" s="48" t="s">
        <v>168</v>
      </c>
      <c r="S1541" s="25" t="n">
        <v>34895</v>
      </c>
      <c r="T1541" s="13" t="s">
        <v>108</v>
      </c>
      <c r="U1541" s="13" t="s">
        <v>6758</v>
      </c>
      <c r="V1541" s="13" t="s">
        <v>42</v>
      </c>
      <c r="W1541" s="28" t="s">
        <v>54</v>
      </c>
      <c r="X1541" s="21" t="n">
        <v>81358151130</v>
      </c>
      <c r="Y1541" s="22" t="str">
        <f aca="false">O1541</f>
        <v>Im.Operator</v>
      </c>
      <c r="Z1541" s="13" t="str">
        <f aca="false">IFERROR(__xludf.dummyfunction("if(BJ1541="""","""",GOOGLETRANSLATE(BJ1541,""auto"",""en""))"),"Im.Operator")</f>
        <v>Im.Operator</v>
      </c>
      <c r="AA1541" s="23" t="str">
        <f aca="false">IF(C1541="","", CHOOSE(MONTH(C1541),"January","February","March","April","May","June","July","August","September","October","November","December")&amp;" "&amp;DAY(C1541)&amp;MID("thstndrdth",MIN(9,2*RIGHT(DAY(C1541))*(MOD(DAY(C1541)-11,100)&gt;2)+1),2)&amp;","&amp;TEXT(C1541," yyyy"))</f>
        <v>September 14th,2026</v>
      </c>
      <c r="AB1541" s="15" t="str">
        <f aca="true">IF(S1541="","",DATEDIF(S1541,TODAY(),"Y")&amp;" Tahun, "&amp;DATEDIF(S1541,TODAY(),"YM")&amp;" Bulan, "&amp;DATEDIF(S1541,TODAY(),"MD")&amp;" Hari")</f>
        <v>31 Tahun, 3 Bulan, 14 Hari</v>
      </c>
      <c r="AC1541" s="14" t="n">
        <v>46279</v>
      </c>
      <c r="AD1541" s="18" t="n">
        <v>46386</v>
      </c>
      <c r="AE1541" s="13" t="s">
        <v>44</v>
      </c>
    </row>
    <row r="1542" customFormat="false" ht="15" hidden="false" customHeight="true" outlineLevel="0" collapsed="false">
      <c r="A1542" s="12" t="n">
        <v>22870</v>
      </c>
      <c r="B1542" s="13" t="s">
        <v>6759</v>
      </c>
      <c r="C1542" s="14" t="n">
        <v>46279</v>
      </c>
      <c r="D1542" s="13" t="s">
        <v>1721</v>
      </c>
      <c r="E1542" s="13" t="s">
        <v>47</v>
      </c>
      <c r="F1542" s="24" t="s">
        <v>6760</v>
      </c>
      <c r="G1542" s="13" t="s">
        <v>1452</v>
      </c>
      <c r="H1542" s="13" t="s">
        <v>35</v>
      </c>
      <c r="I1542" s="13" t="str">
        <f aca="false">IF(C1542=J1542,"NEW KONTRAK","RE-KONTRAK")</f>
        <v>NEW KONTRAK</v>
      </c>
      <c r="J1542" s="16" t="n">
        <f aca="false" t="array" ref="J1542:J1542">IFERROR(INDEX(AC1542:AE1542,IF(COUNTA(AC1542:AE1542)=0,"",MAX((AC1542:AE1542&lt;&gt;"")*(COLUMN(AC1542:AE1542)-(COLUMN(AC1542)))))-1),"")</f>
        <v>46279</v>
      </c>
      <c r="K1542" s="16" t="n">
        <f aca="false" t="array" ref="K1542:K1542">IFERROR(INDEX(AC1542:AE1542,IF(COUNTA(AC1542:AE1542)=0,"",MAX((AC1542:AE1542&lt;&gt;"")*(COLUMN(AC1542:AE1542)-(COLUMN(AC1542)-1))))-1),"")</f>
        <v>46386</v>
      </c>
      <c r="L1542" s="17" t="str">
        <f aca="false" t="array" ref="L1542:L1542">IFERROR(INDEX(AC1542:AE1542,IF(COUNTA(AC1542:AE1542)=0,"",MAX((AC1542:AE1542&lt;&gt;"")*(COLUMN(AC1542:AE1542)-(COLUMN(AC1542)-2))))-1),"")</f>
        <v>ARCHIVED</v>
      </c>
      <c r="M1542" s="13" t="n">
        <f aca="true">K1542-TODAY()</f>
        <v>62</v>
      </c>
      <c r="N1542" s="18" t="s">
        <v>728</v>
      </c>
      <c r="O1542" s="13" t="s">
        <v>1755</v>
      </c>
      <c r="P1542" s="26" t="n">
        <v>5444909</v>
      </c>
      <c r="Q1542" s="20" t="s">
        <v>6761</v>
      </c>
      <c r="R1542" s="13" t="s">
        <v>148</v>
      </c>
      <c r="S1542" s="25" t="n">
        <v>38385</v>
      </c>
      <c r="T1542" s="13" t="s">
        <v>108</v>
      </c>
      <c r="U1542" s="13" t="s">
        <v>6762</v>
      </c>
      <c r="V1542" s="13" t="s">
        <v>42</v>
      </c>
      <c r="W1542" s="13" t="s">
        <v>43</v>
      </c>
      <c r="X1542" s="30" t="n">
        <v>82360647468</v>
      </c>
      <c r="Y1542" s="22" t="str">
        <f aca="false">O1542</f>
        <v>Im.Operator</v>
      </c>
      <c r="Z1542" s="13" t="str">
        <f aca="false">IFERROR(__xludf.dummyfunction("if(BJ1542="""","""",GOOGLETRANSLATE(BJ1542,""auto"",""en""))"),"Im.Operator")</f>
        <v>Im.Operator</v>
      </c>
      <c r="AA1542" s="23" t="str">
        <f aca="false">IF(C1542="","", CHOOSE(MONTH(C1542),"January","February","March","April","May","June","July","August","September","October","November","December")&amp;" "&amp;DAY(C1542)&amp;MID("thstndrdth",MIN(9,2*RIGHT(DAY(C1542))*(MOD(DAY(C1542)-11,100)&gt;2)+1),2)&amp;","&amp;TEXT(C1542," yyyy"))</f>
        <v>September 14th,2026</v>
      </c>
      <c r="AB1542" s="15" t="str">
        <f aca="true">IF(S1542="","",DATEDIF(S1542,TODAY(),"Y")&amp;" Tahun, "&amp;DATEDIF(S1542,TODAY(),"YM")&amp;" Bulan, "&amp;DATEDIF(S1542,TODAY(),"MD")&amp;" Hari")</f>
        <v>21 Tahun, 8 Bulan, 27 Hari</v>
      </c>
      <c r="AC1542" s="14" t="n">
        <v>46279</v>
      </c>
      <c r="AD1542" s="18" t="n">
        <v>46386</v>
      </c>
      <c r="AE1542" s="13" t="s">
        <v>44</v>
      </c>
    </row>
    <row r="1543" customFormat="false" ht="15" hidden="false" customHeight="true" outlineLevel="0" collapsed="false">
      <c r="A1543" s="12" t="n">
        <v>16382</v>
      </c>
      <c r="B1543" s="13" t="s">
        <v>6763</v>
      </c>
      <c r="C1543" s="14" t="n">
        <v>45488</v>
      </c>
      <c r="D1543" s="13" t="s">
        <v>1721</v>
      </c>
      <c r="E1543" s="15" t="s">
        <v>1778</v>
      </c>
      <c r="F1543" s="24" t="s">
        <v>6764</v>
      </c>
      <c r="G1543" s="15" t="s">
        <v>6765</v>
      </c>
      <c r="H1543" s="13" t="s">
        <v>35</v>
      </c>
      <c r="I1543" s="13" t="str">
        <f aca="false">IF(C1543=J1543,"NEW KONTRAK","RE-KONTRAK")</f>
        <v>RE-KONTRAK</v>
      </c>
      <c r="J1543" s="16" t="n">
        <f aca="false" t="array" ref="J1543:J1543">IFERROR(INDEX(AC1543:AE1543,IF(COUNTA(AC1543:AE1543)=0,"",MAX((AC1543:AE1543&lt;&gt;"")*(COLUMN(AC1543:AE1543)-(COLUMN(AC1543)))))-1),"")</f>
        <v>45659</v>
      </c>
      <c r="K1543" s="16" t="n">
        <f aca="false" t="array" ref="K1543:K1543">IFERROR(INDEX(AC1543:AE1543,IF(COUNTA(AC1543:AE1543)=0,"",MAX((AC1543:AE1543&lt;&gt;"")*(COLUMN(AC1543:AE1543)-(COLUMN(AC1543)-1))))-1),"")</f>
        <v>46015</v>
      </c>
      <c r="L1543" s="17" t="str">
        <f aca="false" t="array" ref="L1543:L1543">IFERROR(INDEX(AC1543:AE1543,IF(COUNTA(AC1543:AE1543)=0,"",MAX((AC1543:AE1543&lt;&gt;"")*(COLUMN(AC1543:AE1543)-(COLUMN(AC1543)-2))))-1),"")</f>
        <v>ARCHIVED</v>
      </c>
      <c r="M1543" s="13" t="n">
        <f aca="true">K1543-TODAY()</f>
        <v>-309</v>
      </c>
      <c r="N1543" s="18" t="s">
        <v>728</v>
      </c>
      <c r="O1543" s="13" t="s">
        <v>1827</v>
      </c>
      <c r="P1543" s="19" t="n">
        <v>5444909</v>
      </c>
      <c r="Q1543" s="49" t="s">
        <v>6766</v>
      </c>
      <c r="R1543" s="13" t="s">
        <v>52</v>
      </c>
      <c r="S1543" s="14" t="n">
        <v>34170</v>
      </c>
      <c r="T1543" s="13" t="s">
        <v>108</v>
      </c>
      <c r="U1543" s="13" t="s">
        <v>6767</v>
      </c>
      <c r="V1543" s="28" t="s">
        <v>42</v>
      </c>
      <c r="W1543" s="13" t="s">
        <v>43</v>
      </c>
      <c r="X1543" s="21" t="n">
        <v>89655440123</v>
      </c>
      <c r="Y1543" s="22" t="str">
        <f aca="false">O1543</f>
        <v>Printing Operator</v>
      </c>
      <c r="Z1543" s="13" t="str">
        <f aca="false">IFERROR(__xludf.dummyfunction("if(BJ1543="""","""",GOOGLETRANSLATE(BJ1543,""auto"",""en""))"),"Printing Operator")</f>
        <v>Printing Operator</v>
      </c>
      <c r="AA1543" s="23" t="str">
        <f aca="false">IF(C1543="","", CHOOSE(MONTH(C1543),"January","February","March","April","May","June","July","August","September","October","November","December")&amp;" "&amp;DAY(C1543)&amp;MID("thstndrdth",MIN(9,2*RIGHT(DAY(C1543))*(MOD(DAY(C1543)-11,100)&gt;2)+1),2)&amp;","&amp;TEXT(C1543," yyyy"))</f>
        <v>July 15th,2024</v>
      </c>
      <c r="AB1543" s="15" t="str">
        <f aca="true">IF(S1543="","",DATEDIF(S1543,TODAY(),"Y")&amp;" Tahun, "&amp;DATEDIF(S1543,TODAY(),"YM")&amp;" Bulan, "&amp;DATEDIF(S1543,TODAY(),"MD")&amp;" Hari")</f>
        <v>33 Tahun, 3 Bulan, 9 Hari</v>
      </c>
      <c r="AC1543" s="18" t="n">
        <v>45659</v>
      </c>
      <c r="AD1543" s="18" t="n">
        <v>46015</v>
      </c>
      <c r="AE1543" s="18" t="s">
        <v>44</v>
      </c>
    </row>
    <row r="1544" customFormat="false" ht="15" hidden="false" customHeight="true" outlineLevel="0" collapsed="false">
      <c r="A1544" s="12" t="n">
        <v>16386</v>
      </c>
      <c r="B1544" s="13" t="s">
        <v>6768</v>
      </c>
      <c r="C1544" s="14" t="n">
        <v>45485</v>
      </c>
      <c r="D1544" s="13" t="s">
        <v>4252</v>
      </c>
      <c r="E1544" s="15" t="s">
        <v>33</v>
      </c>
      <c r="F1544" s="24" t="s">
        <v>6769</v>
      </c>
      <c r="G1544" s="13" t="s">
        <v>57</v>
      </c>
      <c r="H1544" s="13" t="s">
        <v>35</v>
      </c>
      <c r="I1544" s="13" t="str">
        <f aca="false">IF(C1544=J1544,"NEW KONTRAK","RE-KONTRAK")</f>
        <v>RE-KONTRAK</v>
      </c>
      <c r="J1544" s="16" t="n">
        <f aca="false" t="array" ref="J1544:J1544">IFERROR(INDEX(AC1544:AE1544,IF(COUNTA(AC1544:AE1544)=0,"",MAX((AC1544:AE1544&lt;&gt;"")*(COLUMN(AC1544:AE1544)-(COLUMN(AC1544)))))-1),"")</f>
        <v>45764</v>
      </c>
      <c r="K1544" s="16" t="n">
        <f aca="false" t="array" ref="K1544:K1544">IFERROR(INDEX(AC1544:AE1544,IF(COUNTA(AC1544:AE1544)=0,"",MAX((AC1544:AE1544&lt;&gt;"")*(COLUMN(AC1544:AE1544)-(COLUMN(AC1544)-1))))-1),"")</f>
        <v>45946</v>
      </c>
      <c r="L1544" s="17" t="str">
        <f aca="false" t="array" ref="L1544:L1544">IFERROR(INDEX(AC1544:AE1544,IF(COUNTA(AC1544:AE1544)=0,"",MAX((AC1544:AE1544&lt;&gt;"")*(COLUMN(AC1544:AE1544)-(COLUMN(AC1544)-2))))-1),"")</f>
        <v>ARCHIVED</v>
      </c>
      <c r="M1544" s="13" t="n">
        <f aca="true">K1544-TODAY()</f>
        <v>-378</v>
      </c>
      <c r="N1544" s="18" t="s">
        <v>36</v>
      </c>
      <c r="O1544" s="13" t="s">
        <v>4280</v>
      </c>
      <c r="P1544" s="27" t="n">
        <v>120000</v>
      </c>
      <c r="Q1544" s="20" t="s">
        <v>6770</v>
      </c>
      <c r="R1544" s="13" t="s">
        <v>401</v>
      </c>
      <c r="S1544" s="14" t="n">
        <v>38616</v>
      </c>
      <c r="T1544" s="13" t="s">
        <v>40</v>
      </c>
      <c r="U1544" s="13" t="s">
        <v>6771</v>
      </c>
      <c r="V1544" s="13" t="s">
        <v>42</v>
      </c>
      <c r="W1544" s="13" t="s">
        <v>43</v>
      </c>
      <c r="X1544" s="30" t="n">
        <v>83123430980</v>
      </c>
      <c r="Y1544" s="22" t="str">
        <f aca="false">O1544</f>
        <v>Helper Cutting</v>
      </c>
      <c r="Z1544" s="13" t="str">
        <f aca="false">IFERROR(__xludf.dummyfunction("if(BJ1544="""","""",GOOGLETRANSLATE(BJ1544,""auto"",""en""))"),"Helper Cutting")</f>
        <v>Helper Cutting</v>
      </c>
      <c r="AA1544" s="23" t="str">
        <f aca="false">IF(C1544="","", CHOOSE(MONTH(C1544),"January","February","March","April","May","June","July","August","September","October","November","December")&amp;" "&amp;DAY(C1544)&amp;MID("thstndrdth",MIN(9,2*RIGHT(DAY(C1544))*(MOD(DAY(C1544)-11,100)&gt;2)+1),2)&amp;","&amp;TEXT(C1544," yyyy"))</f>
        <v>July 12th,2024</v>
      </c>
      <c r="AB1544" s="15" t="str">
        <f aca="true">IF(S1544="","",DATEDIF(S1544,TODAY(),"Y")&amp;" Tahun, "&amp;DATEDIF(S1544,TODAY(),"YM")&amp;" Bulan, "&amp;DATEDIF(S1544,TODAY(),"MD")&amp;" Hari")</f>
        <v>21 Tahun, 1 Bulan, 8 Hari</v>
      </c>
      <c r="AC1544" s="18" t="n">
        <v>45764</v>
      </c>
      <c r="AD1544" s="18" t="n">
        <v>45946</v>
      </c>
      <c r="AE1544" s="18" t="s">
        <v>44</v>
      </c>
    </row>
    <row r="1545" customFormat="false" ht="15" hidden="false" customHeight="true" outlineLevel="0" collapsed="false">
      <c r="A1545" s="12" t="n">
        <v>16404</v>
      </c>
      <c r="B1545" s="13" t="s">
        <v>6772</v>
      </c>
      <c r="C1545" s="14" t="n">
        <v>45483</v>
      </c>
      <c r="D1545" s="13" t="s">
        <v>747</v>
      </c>
      <c r="E1545" s="15" t="s">
        <v>47</v>
      </c>
      <c r="F1545" s="15" t="str">
        <f aca="false">IFERROR(__xludf.dummyfunction("XLOOKUP(AJ1545,IMPORTRANGE(""1XaInW9DU9nz21V0tYIfzFQ0He9kVQ_JF2mCXgZ3hqFA"",""REKAP ALL 2026 - Andika!G:G""),IMPORTRANGE(""1XaInW9DU9nz21V0tYIfzFQ0He9kVQ_JF2mCXgZ3hqFA"",""REKAP ALL 2026 - Andika!F:F""),"""",0)"),"24105104004")</f>
        <v>24105104004</v>
      </c>
      <c r="G1545" s="15" t="s">
        <v>6773</v>
      </c>
      <c r="H1545" s="13" t="s">
        <v>35</v>
      </c>
      <c r="I1545" s="13" t="str">
        <f aca="false">IF(C1545=J1545,"NEW KONTRAK","RE-KONTRAK")</f>
        <v>RE-KONTRAK</v>
      </c>
      <c r="J1545" s="16" t="n">
        <f aca="false" t="array" ref="J1545:J1545">IFERROR(INDEX(AC1545:AE1545,IF(COUNTA(AC1545:AE1545)=0,"",MAX((AC1545:AE1545&lt;&gt;"")*(COLUMN(AC1545:AE1545)-(COLUMN(AC1545)))))-1),"")</f>
        <v>45667</v>
      </c>
      <c r="K1545" s="16" t="n">
        <f aca="false" t="array" ref="K1545:K1545">IFERROR(INDEX(AC1545:AE1545,IF(COUNTA(AC1545:AE1545)=0,"",MAX((AC1545:AE1545&lt;&gt;"")*(COLUMN(AC1545:AE1545)-(COLUMN(AC1545)-1))))-1),"")</f>
        <v>45756</v>
      </c>
      <c r="L1545" s="17" t="str">
        <f aca="false" t="array" ref="L1545:L1545">IFERROR(INDEX(AC1545:AE1545,IF(COUNTA(AC1545:AE1545)=0,"",MAX((AC1545:AE1545&lt;&gt;"")*(COLUMN(AC1545:AE1545)-(COLUMN(AC1545)-2))))-1),"")</f>
        <v>ARCHIVED</v>
      </c>
      <c r="M1545" s="13" t="n">
        <f aca="true">K1545-TODAY()</f>
        <v>-568</v>
      </c>
      <c r="N1545" s="18" t="s">
        <v>749</v>
      </c>
      <c r="O1545" s="13" t="s">
        <v>750</v>
      </c>
      <c r="P1545" s="19" t="n">
        <v>3724437.2</v>
      </c>
      <c r="Q1545" s="20" t="s">
        <v>6774</v>
      </c>
      <c r="R1545" s="13" t="s">
        <v>232</v>
      </c>
      <c r="S1545" s="14" t="n">
        <v>36095</v>
      </c>
      <c r="T1545" s="13" t="s">
        <v>108</v>
      </c>
      <c r="U1545" s="13" t="s">
        <v>6775</v>
      </c>
      <c r="V1545" s="13" t="s">
        <v>42</v>
      </c>
      <c r="W1545" s="13" t="s">
        <v>43</v>
      </c>
      <c r="X1545" s="21" t="n">
        <v>87721684843</v>
      </c>
      <c r="Y1545" s="22" t="str">
        <f aca="false">O1545</f>
        <v>Admin</v>
      </c>
      <c r="Z1545" s="13" t="str">
        <f aca="false">IFERROR(__xludf.dummyfunction("if(BJ1545="""","""",GOOGLETRANSLATE(BJ1545,""auto"",""en""))"),"Admin")</f>
        <v>Admin</v>
      </c>
      <c r="AA1545" s="23" t="str">
        <f aca="false">IF(C1545="","", CHOOSE(MONTH(C1545),"January","February","March","April","May","June","July","August","September","October","November","December")&amp;" "&amp;DAY(C1545)&amp;MID("thstndrdth",MIN(9,2*RIGHT(DAY(C1545))*(MOD(DAY(C1545)-11,100)&gt;2)+1),2)&amp;","&amp;TEXT(C1545," yyyy"))</f>
        <v>July 10th,2024</v>
      </c>
      <c r="AB1545" s="15" t="str">
        <f aca="true">IF(S1545="","",DATEDIF(S1545,TODAY(),"Y")&amp;" Tahun, "&amp;DATEDIF(S1545,TODAY(),"YM")&amp;" Bulan, "&amp;DATEDIF(S1545,TODAY(),"MD")&amp;" Hari")</f>
        <v>28 Tahun, 0 Bulan, 2 Hari</v>
      </c>
      <c r="AC1545" s="18" t="n">
        <v>45667</v>
      </c>
      <c r="AD1545" s="18" t="n">
        <v>45756</v>
      </c>
      <c r="AE1545" s="18" t="s">
        <v>44</v>
      </c>
    </row>
    <row r="1546" customFormat="false" ht="15" hidden="false" customHeight="true" outlineLevel="0" collapsed="false">
      <c r="A1546" s="12" t="n">
        <v>16405</v>
      </c>
      <c r="B1546" s="13" t="s">
        <v>6776</v>
      </c>
      <c r="C1546" s="14" t="n">
        <v>45488</v>
      </c>
      <c r="D1546" s="13" t="s">
        <v>613</v>
      </c>
      <c r="E1546" s="15" t="s">
        <v>47</v>
      </c>
      <c r="F1546" s="15" t="str">
        <f aca="false">IFERROR(__xludf.dummyfunction("XLOOKUP(AJ1546,IMPORTRANGE(""1XaInW9DU9nz21V0tYIfzFQ0He9kVQ_JF2mCXgZ3hqFA"",""REKAP ALL 2026 - Andika!G:G""),IMPORTRANGE(""1XaInW9DU9nz21V0tYIfzFQ0He9kVQ_JF2mCXgZ3hqFA"",""REKAP ALL 2026 - Andika!F:F""),"""",0)"),"24105103147")</f>
        <v>24105103147</v>
      </c>
      <c r="G1546" s="15" t="s">
        <v>6777</v>
      </c>
      <c r="H1546" s="13" t="s">
        <v>35</v>
      </c>
      <c r="I1546" s="13" t="str">
        <f aca="false">IF(C1546=J1546,"NEW KONTRAK","RE-KONTRAK")</f>
        <v>RE-KONTRAK</v>
      </c>
      <c r="J1546" s="16" t="n">
        <f aca="false" t="array" ref="J1546:J1546">IFERROR(INDEX(AC1546:AE1546,IF(COUNTA(AC1546:AE1546)=0,"",MAX((AC1546:AE1546&lt;&gt;"")*(COLUMN(AC1546:AE1546)-(COLUMN(AC1546)))))-1),"")</f>
        <v>45885</v>
      </c>
      <c r="K1546" s="16" t="n">
        <f aca="false" t="array" ref="K1546:K1546">IFERROR(INDEX(AC1546:AE1546,IF(COUNTA(AC1546:AE1546)=0,"",MAX((AC1546:AE1546&lt;&gt;"")*(COLUMN(AC1546:AE1546)-(COLUMN(AC1546)-1))))-1),"")</f>
        <v>46068</v>
      </c>
      <c r="L1546" s="17" t="str">
        <f aca="false" t="array" ref="L1546:L1546">IFERROR(INDEX(AC1546:AE1546,IF(COUNTA(AC1546:AE1546)=0,"",MAX((AC1546:AE1546&lt;&gt;"")*(COLUMN(AC1546:AE1546)-(COLUMN(AC1546)-2))))-1),"")</f>
        <v>KEMBALI</v>
      </c>
      <c r="M1546" s="13" t="n">
        <f aca="true">K1546-TODAY()</f>
        <v>-256</v>
      </c>
      <c r="N1546" s="18" t="s">
        <v>615</v>
      </c>
      <c r="O1546" s="13" t="s">
        <v>76</v>
      </c>
      <c r="P1546" s="19" t="n">
        <v>5176101</v>
      </c>
      <c r="Q1546" s="20" t="s">
        <v>6778</v>
      </c>
      <c r="R1546" s="13" t="s">
        <v>232</v>
      </c>
      <c r="S1546" s="14" t="n">
        <v>35199</v>
      </c>
      <c r="T1546" s="13" t="s">
        <v>40</v>
      </c>
      <c r="U1546" s="13" t="s">
        <v>6779</v>
      </c>
      <c r="V1546" s="13" t="s">
        <v>42</v>
      </c>
      <c r="W1546" s="13" t="s">
        <v>54</v>
      </c>
      <c r="X1546" s="21" t="n">
        <v>81252153707</v>
      </c>
      <c r="Y1546" s="22" t="str">
        <f aca="false">O1546</f>
        <v>Operator Forklift</v>
      </c>
      <c r="Z1546" s="13" t="str">
        <f aca="false">IFERROR(__xludf.dummyfunction("if(BJ1546="""","""",GOOGLETRANSLATE(BJ1546,""auto"",""en""))"),"Operator Forklift")</f>
        <v>Operator Forklift</v>
      </c>
      <c r="AA1546" s="23" t="str">
        <f aca="false">IF(C1546="","", CHOOSE(MONTH(C1546),"January","February","March","April","May","June","July","August","September","October","November","December")&amp;" "&amp;DAY(C1546)&amp;MID("thstndrdth",MIN(9,2*RIGHT(DAY(C1546))*(MOD(DAY(C1546)-11,100)&gt;2)+1),2)&amp;","&amp;TEXT(C1546," yyyy"))</f>
        <v>July 15th,2024</v>
      </c>
      <c r="AB1546" s="15" t="str">
        <f aca="true">IF(S1546="","",DATEDIF(S1546,TODAY(),"Y")&amp;" Tahun, "&amp;DATEDIF(S1546,TODAY(),"YM")&amp;" Bulan, "&amp;DATEDIF(S1546,TODAY(),"MD")&amp;" Hari")</f>
        <v>30 Tahun, 5 Bulan, 15 Hari</v>
      </c>
      <c r="AC1546" s="18" t="n">
        <v>45885</v>
      </c>
      <c r="AD1546" s="18" t="n">
        <v>46068</v>
      </c>
      <c r="AE1546" s="13" t="s">
        <v>397</v>
      </c>
    </row>
    <row r="1547" customFormat="false" ht="15" hidden="false" customHeight="true" outlineLevel="0" collapsed="false">
      <c r="A1547" s="12" t="n">
        <v>16430</v>
      </c>
      <c r="B1547" s="13" t="s">
        <v>6780</v>
      </c>
      <c r="C1547" s="14" t="n">
        <v>45495</v>
      </c>
      <c r="D1547" s="13" t="s">
        <v>144</v>
      </c>
      <c r="E1547" s="15" t="s">
        <v>47</v>
      </c>
      <c r="F1547" s="15" t="str">
        <f aca="false">IFERROR(__xludf.dummyfunction("XLOOKUP(AJ1547,IMPORTRANGE(""1XaInW9DU9nz21V0tYIfzFQ0He9kVQ_JF2mCXgZ3hqFA"",""REKAP ALL 2026 - Andika!G:G""),IMPORTRANGE(""1XaInW9DU9nz21V0tYIfzFQ0He9kVQ_JF2mCXgZ3hqFA"",""REKAP ALL 2026 - Andika!F:F""),"""",0)"),"24105107858")</f>
        <v>24105107858</v>
      </c>
      <c r="G1547" s="15" t="s">
        <v>6781</v>
      </c>
      <c r="H1547" s="13" t="s">
        <v>35</v>
      </c>
      <c r="I1547" s="13" t="str">
        <f aca="false">IF(C1547=J1547,"NEW KONTRAK","RE-KONTRAK")</f>
        <v>RE-KONTRAK</v>
      </c>
      <c r="J1547" s="16" t="n">
        <f aca="false" t="array" ref="J1547:J1547">IFERROR(INDEX(AC1547:AE1547,IF(COUNTA(AC1547:AE1547)=0,"",MAX((AC1547:AE1547&lt;&gt;"")*(COLUMN(AC1547:AE1547)-(COLUMN(AC1547)))))-1),"")</f>
        <v>45658</v>
      </c>
      <c r="K1547" s="16" t="n">
        <f aca="false" t="array" ref="K1547:K1547">IFERROR(INDEX(AC1547:AE1547,IF(COUNTA(AC1547:AE1547)=0,"",MAX((AC1547:AE1547&lt;&gt;"")*(COLUMN(AC1547:AE1547)-(COLUMN(AC1547)-1))))-1),"")</f>
        <v>46022</v>
      </c>
      <c r="L1547" s="17" t="str">
        <f aca="false" t="array" ref="L1547:L1547">IFERROR(INDEX(AC1547:AE1547,IF(COUNTA(AC1547:AE1547)=0,"",MAX((AC1547:AE1547&lt;&gt;"")*(COLUMN(AC1547:AE1547)-(COLUMN(AC1547)-2))))-1),"")</f>
        <v>ARCHIVED</v>
      </c>
      <c r="M1547" s="13" t="n">
        <f aca="true">K1547-TODAY()</f>
        <v>-302</v>
      </c>
      <c r="N1547" s="18" t="s">
        <v>36</v>
      </c>
      <c r="O1547" s="13" t="s">
        <v>76</v>
      </c>
      <c r="P1547" s="19" t="n">
        <v>5195401</v>
      </c>
      <c r="Q1547" s="20" t="s">
        <v>6782</v>
      </c>
      <c r="R1547" s="13" t="s">
        <v>763</v>
      </c>
      <c r="S1547" s="14" t="n">
        <v>31989</v>
      </c>
      <c r="T1547" s="13" t="s">
        <v>40</v>
      </c>
      <c r="U1547" s="13" t="s">
        <v>6783</v>
      </c>
      <c r="V1547" s="13" t="s">
        <v>42</v>
      </c>
      <c r="W1547" s="13" t="s">
        <v>54</v>
      </c>
      <c r="X1547" s="21" t="n">
        <v>87854227987</v>
      </c>
      <c r="Y1547" s="22" t="str">
        <f aca="false">O1547</f>
        <v>Operator Forklift</v>
      </c>
      <c r="Z1547" s="13" t="str">
        <f aca="false">IFERROR(__xludf.dummyfunction("if(BJ1547="""","""",GOOGLETRANSLATE(BJ1547,""auto"",""en""))"),"Operator Forklift")</f>
        <v>Operator Forklift</v>
      </c>
      <c r="AA1547" s="23" t="str">
        <f aca="false">IF(C1547="","", CHOOSE(MONTH(C1547),"January","February","March","April","May","June","July","August","September","October","November","December")&amp;" "&amp;DAY(C1547)&amp;MID("thstndrdth",MIN(9,2*RIGHT(DAY(C1547))*(MOD(DAY(C1547)-11,100)&gt;2)+1),2)&amp;","&amp;TEXT(C1547," yyyy"))</f>
        <v>July 22nd,2024</v>
      </c>
      <c r="AB1547" s="15" t="str">
        <f aca="true">IF(S1547="","",DATEDIF(S1547,TODAY(),"Y")&amp;" Tahun, "&amp;DATEDIF(S1547,TODAY(),"YM")&amp;" Bulan, "&amp;DATEDIF(S1547,TODAY(),"MD")&amp;" Hari")</f>
        <v>39 Tahun, 2 Bulan, 28 Hari</v>
      </c>
      <c r="AC1547" s="18" t="n">
        <v>45658</v>
      </c>
      <c r="AD1547" s="18" t="n">
        <v>46022</v>
      </c>
      <c r="AE1547" s="18" t="s">
        <v>44</v>
      </c>
    </row>
    <row r="1548" customFormat="false" ht="15" hidden="false" customHeight="true" outlineLevel="0" collapsed="false">
      <c r="A1548" s="12" t="n">
        <v>16438</v>
      </c>
      <c r="B1548" s="13" t="s">
        <v>6784</v>
      </c>
      <c r="C1548" s="14" t="n">
        <v>45495</v>
      </c>
      <c r="D1548" s="13" t="s">
        <v>32</v>
      </c>
      <c r="E1548" s="15" t="s">
        <v>47</v>
      </c>
      <c r="F1548" s="15" t="str">
        <f aca="false">IFERROR(__xludf.dummyfunction("XLOOKUP(AJ1548,IMPORTRANGE(""1XaInW9DU9nz21V0tYIfzFQ0He9kVQ_JF2mCXgZ3hqFA"",""REKAP ALL 2026 - Andika!G:G""),IMPORTRANGE(""1XaInW9DU9nz21V0tYIfzFQ0He9kVQ_JF2mCXgZ3hqFA"",""REKAP ALL 2026 - Andika!F:F""),"""",0)"),"24105104277")</f>
        <v>24105104277</v>
      </c>
      <c r="G1548" s="15" t="s">
        <v>6785</v>
      </c>
      <c r="H1548" s="13" t="s">
        <v>35</v>
      </c>
      <c r="I1548" s="13" t="str">
        <f aca="false">IF(C1548=J1548,"NEW KONTRAK","RE-KONTRAK")</f>
        <v>RE-KONTRAK</v>
      </c>
      <c r="J1548" s="16" t="n">
        <f aca="false" t="array" ref="J1548:J1548">IFERROR(INDEX(AC1548:AE1548,IF(COUNTA(AC1548:AE1548)=0,"",MAX((AC1548:AE1548&lt;&gt;"")*(COLUMN(AC1548:AE1548)-(COLUMN(AC1548)))))-1),"")</f>
        <v>45658</v>
      </c>
      <c r="K1548" s="16" t="n">
        <f aca="false" t="array" ref="K1548:K1548">IFERROR(INDEX(AC1548:AE1548,IF(COUNTA(AC1548:AE1548)=0,"",MAX((AC1548:AE1548&lt;&gt;"")*(COLUMN(AC1548:AE1548)-(COLUMN(AC1548)-1))))-1),"")</f>
        <v>46022</v>
      </c>
      <c r="L1548" s="17" t="str">
        <f aca="false" t="array" ref="L1548:L1548">IFERROR(INDEX(AC1548:AE1548,IF(COUNTA(AC1548:AE1548)=0,"",MAX((AC1548:AE1548&lt;&gt;"")*(COLUMN(AC1548:AE1548)-(COLUMN(AC1548)-2))))-1),"")</f>
        <v>ARCHIVED</v>
      </c>
      <c r="M1548" s="13" t="n">
        <f aca="true">K1548-TODAY()</f>
        <v>-302</v>
      </c>
      <c r="N1548" s="18" t="s">
        <v>36</v>
      </c>
      <c r="O1548" s="13" t="s">
        <v>6786</v>
      </c>
      <c r="P1548" s="19" t="n">
        <v>5300000</v>
      </c>
      <c r="Q1548" s="20" t="s">
        <v>6787</v>
      </c>
      <c r="R1548" s="13" t="s">
        <v>78</v>
      </c>
      <c r="S1548" s="14" t="n">
        <v>37180</v>
      </c>
      <c r="T1548" s="13" t="s">
        <v>40</v>
      </c>
      <c r="U1548" s="13" t="s">
        <v>6788</v>
      </c>
      <c r="V1548" s="13" t="s">
        <v>42</v>
      </c>
      <c r="W1548" s="13" t="s">
        <v>43</v>
      </c>
      <c r="X1548" s="21" t="n">
        <v>85755516665</v>
      </c>
      <c r="Y1548" s="22" t="str">
        <f aca="false">O1548</f>
        <v>Staff HSE</v>
      </c>
      <c r="Z1548" s="13" t="str">
        <f aca="false">IFERROR(__xludf.dummyfunction("if(BJ1548="""","""",GOOGLETRANSLATE(BJ1548,""auto"",""en""))"),"Staff HSE")</f>
        <v>Staff HSE</v>
      </c>
      <c r="AA1548" s="23" t="str">
        <f aca="false">IF(C1548="","", CHOOSE(MONTH(C1548),"January","February","March","April","May","June","July","August","September","October","November","December")&amp;" "&amp;DAY(C1548)&amp;MID("thstndrdth",MIN(9,2*RIGHT(DAY(C1548))*(MOD(DAY(C1548)-11,100)&gt;2)+1),2)&amp;","&amp;TEXT(C1548," yyyy"))</f>
        <v>July 22nd,2024</v>
      </c>
      <c r="AB1548" s="15" t="str">
        <f aca="true">IF(S1548="","",DATEDIF(S1548,TODAY(),"Y")&amp;" Tahun, "&amp;DATEDIF(S1548,TODAY(),"YM")&amp;" Bulan, "&amp;DATEDIF(S1548,TODAY(),"MD")&amp;" Hari")</f>
        <v>25 Tahun, 0 Bulan, 13 Hari</v>
      </c>
      <c r="AC1548" s="18" t="n">
        <v>45658</v>
      </c>
      <c r="AD1548" s="18" t="n">
        <v>46022</v>
      </c>
      <c r="AE1548" s="18" t="s">
        <v>44</v>
      </c>
    </row>
    <row r="1549" customFormat="false" ht="15" hidden="false" customHeight="true" outlineLevel="0" collapsed="false">
      <c r="A1549" s="12" t="n">
        <v>16464</v>
      </c>
      <c r="B1549" s="13" t="s">
        <v>6789</v>
      </c>
      <c r="C1549" s="14" t="n">
        <v>45491</v>
      </c>
      <c r="D1549" s="13" t="s">
        <v>774</v>
      </c>
      <c r="E1549" s="15" t="s">
        <v>47</v>
      </c>
      <c r="F1549" s="15" t="str">
        <f aca="false">IFERROR(__xludf.dummyfunction("XLOOKUP(AJ1549,IMPORTRANGE(""1XaInW9DU9nz21V0tYIfzFQ0He9kVQ_JF2mCXgZ3hqFA"",""REKAP ALL 2026 - Andika!G:G""),IMPORTRANGE(""1XaInW9DU9nz21V0tYIfzFQ0He9kVQ_JF2mCXgZ3hqFA"",""REKAP ALL 2026 - Andika!F:F""),"""",0)"),"24120209986")</f>
        <v>24120209986</v>
      </c>
      <c r="G1549" s="15" t="s">
        <v>6790</v>
      </c>
      <c r="H1549" s="13" t="s">
        <v>49</v>
      </c>
      <c r="I1549" s="13" t="str">
        <f aca="false">IF(C1549=J1549,"NEW KONTRAK","RE-KONTRAK")</f>
        <v>RE-KONTRAK</v>
      </c>
      <c r="J1549" s="16" t="n">
        <f aca="false" t="array" ref="J1549:J1549">IFERROR(INDEX(AC1549:AE1549,IF(COUNTA(AC1549:AE1549)=0,"",MAX((AC1549:AE1549&lt;&gt;"")*(COLUMN(AC1549:AE1549)-(COLUMN(AC1549)))))-1),"")</f>
        <v>45583</v>
      </c>
      <c r="K1549" s="16" t="n">
        <f aca="false" t="array" ref="K1549:K1549">IFERROR(INDEX(AC1549:AE1549,IF(COUNTA(AC1549:AE1549)=0,"",MAX((AC1549:AE1549&lt;&gt;"")*(COLUMN(AC1549:AE1549)-(COLUMN(AC1549)-1))))-1),"")</f>
        <v>45930</v>
      </c>
      <c r="L1549" s="17" t="str">
        <f aca="false" t="array" ref="L1549:L1549">IFERROR(INDEX(AC1549:AE1549,IF(COUNTA(AC1549:AE1549)=0,"",MAX((AC1549:AE1549&lt;&gt;"")*(COLUMN(AC1549:AE1549)-(COLUMN(AC1549)-2))))-1),"")</f>
        <v>ARCHIVED</v>
      </c>
      <c r="M1549" s="13" t="n">
        <f aca="true">K1549-TODAY()</f>
        <v>-394</v>
      </c>
      <c r="N1549" s="18" t="s">
        <v>36</v>
      </c>
      <c r="O1549" s="13" t="s">
        <v>2916</v>
      </c>
      <c r="P1549" s="19" t="n">
        <v>4000000</v>
      </c>
      <c r="Q1549" s="20" t="s">
        <v>6791</v>
      </c>
      <c r="R1549" s="13" t="s">
        <v>65</v>
      </c>
      <c r="S1549" s="14" t="n">
        <v>30350</v>
      </c>
      <c r="T1549" s="13" t="s">
        <v>40</v>
      </c>
      <c r="U1549" s="13" t="s">
        <v>6792</v>
      </c>
      <c r="V1549" s="13" t="s">
        <v>42</v>
      </c>
      <c r="W1549" s="13" t="s">
        <v>54</v>
      </c>
      <c r="X1549" s="21" t="n">
        <v>81232718471</v>
      </c>
      <c r="Y1549" s="22" t="str">
        <f aca="false">O1549</f>
        <v>Forklift</v>
      </c>
      <c r="Z1549" s="13" t="str">
        <f aca="false">IFERROR(__xludf.dummyfunction("if(BJ1549="""","""",GOOGLETRANSLATE(BJ1549,""auto"",""en""))"),"Forklift")</f>
        <v>Forklift</v>
      </c>
      <c r="AA1549" s="23" t="str">
        <f aca="false">IF(C1549="","", CHOOSE(MONTH(C1549),"January","February","March","April","May","June","July","August","September","October","November","December")&amp;" "&amp;DAY(C1549)&amp;MID("thstndrdth",MIN(9,2*RIGHT(DAY(C1549))*(MOD(DAY(C1549)-11,100)&gt;2)+1),2)&amp;","&amp;TEXT(C1549," yyyy"))</f>
        <v>July 18th,2024</v>
      </c>
      <c r="AB1549" s="15" t="str">
        <f aca="true">IF(S1549="","",DATEDIF(S1549,TODAY(),"Y")&amp;" Tahun, "&amp;DATEDIF(S1549,TODAY(),"YM")&amp;" Bulan, "&amp;DATEDIF(S1549,TODAY(),"MD")&amp;" Hari")</f>
        <v>43 Tahun, 8 Bulan, 26 Hari</v>
      </c>
      <c r="AC1549" s="18" t="n">
        <v>45583</v>
      </c>
      <c r="AD1549" s="18" t="n">
        <v>45930</v>
      </c>
      <c r="AE1549" s="18" t="s">
        <v>44</v>
      </c>
    </row>
    <row r="1550" customFormat="false" ht="15" hidden="false" customHeight="true" outlineLevel="0" collapsed="false">
      <c r="A1550" s="12" t="n">
        <v>16465</v>
      </c>
      <c r="B1550" s="13" t="s">
        <v>6793</v>
      </c>
      <c r="C1550" s="14" t="n">
        <v>45491</v>
      </c>
      <c r="D1550" s="13" t="s">
        <v>774</v>
      </c>
      <c r="E1550" s="15" t="s">
        <v>47</v>
      </c>
      <c r="F1550" s="15" t="str">
        <f aca="false">IFERROR(__xludf.dummyfunction("XLOOKUP(AJ1550,IMPORTRANGE(""1XaInW9DU9nz21V0tYIfzFQ0He9kVQ_JF2mCXgZ3hqFA"",""REKAP ALL 2026 - Andika!G:G""),IMPORTRANGE(""1XaInW9DU9nz21V0tYIfzFQ0He9kVQ_JF2mCXgZ3hqFA"",""REKAP ALL 2026 - Andika!F:F""),"""",0)"),"24120209911")</f>
        <v>24120209911</v>
      </c>
      <c r="G1550" s="15" t="s">
        <v>6794</v>
      </c>
      <c r="H1550" s="13" t="s">
        <v>2967</v>
      </c>
      <c r="I1550" s="13" t="str">
        <f aca="false">IF(C1550=J1550,"NEW KONTRAK","RE-KONTRAK")</f>
        <v>RE-KONTRAK</v>
      </c>
      <c r="J1550" s="16" t="n">
        <f aca="false" t="array" ref="J1550:J1550">IFERROR(INDEX(AC1550:AE1550,IF(COUNTA(AC1550:AE1550)=0,"",MAX((AC1550:AE1550&lt;&gt;"")*(COLUMN(AC1550:AE1550)-(COLUMN(AC1550)))))-1),"")</f>
        <v>45583</v>
      </c>
      <c r="K1550" s="16" t="n">
        <f aca="false" t="array" ref="K1550:K1550">IFERROR(INDEX(AC1550:AE1550,IF(COUNTA(AC1550:AE1550)=0,"",MAX((AC1550:AE1550&lt;&gt;"")*(COLUMN(AC1550:AE1550)-(COLUMN(AC1550)-1))))-1),"")</f>
        <v>45934</v>
      </c>
      <c r="L1550" s="17" t="str">
        <f aca="false" t="array" ref="L1550:L1550">IFERROR(INDEX(AC1550:AE1550,IF(COUNTA(AC1550:AE1550)=0,"",MAX((AC1550:AE1550&lt;&gt;"")*(COLUMN(AC1550:AE1550)-(COLUMN(AC1550)-2))))-1),"")</f>
        <v>ARCHIVED</v>
      </c>
      <c r="M1550" s="13" t="n">
        <f aca="true">K1550-TODAY()</f>
        <v>-390</v>
      </c>
      <c r="N1550" s="18" t="s">
        <v>36</v>
      </c>
      <c r="O1550" s="13" t="s">
        <v>812</v>
      </c>
      <c r="P1550" s="19" t="n">
        <v>3250000</v>
      </c>
      <c r="Q1550" s="20" t="s">
        <v>6795</v>
      </c>
      <c r="R1550" s="13" t="s">
        <v>39</v>
      </c>
      <c r="S1550" s="14" t="n">
        <v>31999</v>
      </c>
      <c r="T1550" s="13" t="s">
        <v>40</v>
      </c>
      <c r="U1550" s="13" t="s">
        <v>6796</v>
      </c>
      <c r="V1550" s="13" t="s">
        <v>42</v>
      </c>
      <c r="W1550" s="13" t="s">
        <v>54</v>
      </c>
      <c r="X1550" s="21" t="n">
        <v>85784611722</v>
      </c>
      <c r="Y1550" s="22" t="str">
        <f aca="false">O1550</f>
        <v>Heating</v>
      </c>
      <c r="Z1550" s="13" t="str">
        <f aca="false">IFERROR(__xludf.dummyfunction("if(BJ1550="""","""",GOOGLETRANSLATE(BJ1550,""auto"",""en""))"),"Heating")</f>
        <v>Heating</v>
      </c>
      <c r="AA1550" s="23" t="str">
        <f aca="false">IF(C1550="","", CHOOSE(MONTH(C1550),"January","February","March","April","May","June","July","August","September","October","November","December")&amp;" "&amp;DAY(C1550)&amp;MID("thstndrdth",MIN(9,2*RIGHT(DAY(C1550))*(MOD(DAY(C1550)-11,100)&gt;2)+1),2)&amp;","&amp;TEXT(C1550," yyyy"))</f>
        <v>July 18th,2024</v>
      </c>
      <c r="AB1550" s="15" t="str">
        <f aca="true">IF(S1550="","",DATEDIF(S1550,TODAY(),"Y")&amp;" Tahun, "&amp;DATEDIF(S1550,TODAY(),"YM")&amp;" Bulan, "&amp;DATEDIF(S1550,TODAY(),"MD")&amp;" Hari")</f>
        <v>39 Tahun, 2 Bulan, 19 Hari</v>
      </c>
      <c r="AC1550" s="18" t="n">
        <v>45583</v>
      </c>
      <c r="AD1550" s="18" t="n">
        <v>45934</v>
      </c>
      <c r="AE1550" s="18" t="s">
        <v>44</v>
      </c>
    </row>
    <row r="1551" customFormat="false" ht="15" hidden="false" customHeight="true" outlineLevel="0" collapsed="false">
      <c r="A1551" s="12" t="n">
        <v>16466</v>
      </c>
      <c r="B1551" s="13" t="s">
        <v>6797</v>
      </c>
      <c r="C1551" s="14" t="n">
        <v>45491</v>
      </c>
      <c r="D1551" s="13" t="s">
        <v>3022</v>
      </c>
      <c r="E1551" s="15" t="s">
        <v>47</v>
      </c>
      <c r="F1551" s="15" t="str">
        <f aca="false">IFERROR(__xludf.dummyfunction("XLOOKUP(AJ1551,IMPORTRANGE(""1XaInW9DU9nz21V0tYIfzFQ0He9kVQ_JF2mCXgZ3hqFA"",""REKAP ALL 2026 - Andika!G:G""),IMPORTRANGE(""1XaInW9DU9nz21V0tYIfzFQ0He9kVQ_JF2mCXgZ3hqFA"",""REKAP ALL 2026 - Andika!F:F""),"""",0)"),"24120209929")</f>
        <v>24120209929</v>
      </c>
      <c r="G1551" s="15" t="s">
        <v>6798</v>
      </c>
      <c r="H1551" s="13" t="s">
        <v>3024</v>
      </c>
      <c r="I1551" s="13" t="str">
        <f aca="false">IF(C1551=J1551,"NEW KONTRAK","RE-KONTRAK")</f>
        <v>RE-KONTRAK</v>
      </c>
      <c r="J1551" s="16" t="n">
        <f aca="false" t="array" ref="J1551:J1551">IFERROR(INDEX(AC1551:AE1551,IF(COUNTA(AC1551:AE1551)=0,"",MAX((AC1551:AE1551&lt;&gt;"")*(COLUMN(AC1551:AE1551)-(COLUMN(AC1551)))))-1),"")</f>
        <v>45583</v>
      </c>
      <c r="K1551" s="16" t="n">
        <f aca="false" t="array" ref="K1551:K1551">IFERROR(INDEX(AC1551:AE1551,IF(COUNTA(AC1551:AE1551)=0,"",MAX((AC1551:AE1551&lt;&gt;"")*(COLUMN(AC1551:AE1551)-(COLUMN(AC1551)-1))))-1),"")</f>
        <v>45934</v>
      </c>
      <c r="L1551" s="17" t="str">
        <f aca="false" t="array" ref="L1551:L1551">IFERROR(INDEX(AC1551:AE1551,IF(COUNTA(AC1551:AE1551)=0,"",MAX((AC1551:AE1551&lt;&gt;"")*(COLUMN(AC1551:AE1551)-(COLUMN(AC1551)-2))))-1),"")</f>
        <v>ARCHIVED</v>
      </c>
      <c r="M1551" s="13" t="n">
        <f aca="true">K1551-TODAY()</f>
        <v>-390</v>
      </c>
      <c r="N1551" s="18" t="s">
        <v>36</v>
      </c>
      <c r="O1551" s="13" t="s">
        <v>3030</v>
      </c>
      <c r="P1551" s="19" t="n">
        <v>137500</v>
      </c>
      <c r="Q1551" s="20" t="s">
        <v>6799</v>
      </c>
      <c r="R1551" s="13" t="s">
        <v>52</v>
      </c>
      <c r="S1551" s="14" t="n">
        <v>38787</v>
      </c>
      <c r="T1551" s="13" t="s">
        <v>40</v>
      </c>
      <c r="U1551" s="13" t="s">
        <v>4762</v>
      </c>
      <c r="V1551" s="13" t="s">
        <v>42</v>
      </c>
      <c r="W1551" s="13" t="s">
        <v>43</v>
      </c>
      <c r="X1551" s="21" t="n">
        <v>81559766452</v>
      </c>
      <c r="Y1551" s="22" t="str">
        <f aca="false">O1551</f>
        <v>Produksi ( Shearing )</v>
      </c>
      <c r="Z1551" s="13" t="str">
        <f aca="false">IFERROR(__xludf.dummyfunction("if(BJ1551="""","""",GOOGLETRANSLATE(BJ1551,""auto"",""en""))"),"Production (Shearing)")</f>
        <v>Production (Shearing)</v>
      </c>
      <c r="AA1551" s="23" t="str">
        <f aca="false">IF(C1551="","", CHOOSE(MONTH(C1551),"January","February","March","April","May","June","July","August","September","October","November","December")&amp;" "&amp;DAY(C1551)&amp;MID("thstndrdth",MIN(9,2*RIGHT(DAY(C1551))*(MOD(DAY(C1551)-11,100)&gt;2)+1),2)&amp;","&amp;TEXT(C1551," yyyy"))</f>
        <v>July 18th,2024</v>
      </c>
      <c r="AB1551" s="15" t="str">
        <f aca="true">IF(S1551="","",DATEDIF(S1551,TODAY(),"Y")&amp;" Tahun, "&amp;DATEDIF(S1551,TODAY(),"YM")&amp;" Bulan, "&amp;DATEDIF(S1551,TODAY(),"MD")&amp;" Hari")</f>
        <v>20 Tahun, 7 Bulan, 18 Hari</v>
      </c>
      <c r="AC1551" s="18" t="n">
        <v>45583</v>
      </c>
      <c r="AD1551" s="18" t="n">
        <v>45934</v>
      </c>
      <c r="AE1551" s="18" t="s">
        <v>44</v>
      </c>
    </row>
    <row r="1552" customFormat="false" ht="15" hidden="false" customHeight="true" outlineLevel="0" collapsed="false">
      <c r="A1552" s="12" t="n">
        <v>22831</v>
      </c>
      <c r="B1552" s="13" t="s">
        <v>6800</v>
      </c>
      <c r="C1552" s="14" t="n">
        <v>46279</v>
      </c>
      <c r="D1552" s="13" t="s">
        <v>1721</v>
      </c>
      <c r="E1552" s="13" t="s">
        <v>47</v>
      </c>
      <c r="F1552" s="24" t="s">
        <v>6801</v>
      </c>
      <c r="G1552" s="13" t="s">
        <v>1452</v>
      </c>
      <c r="H1552" s="13" t="s">
        <v>35</v>
      </c>
      <c r="I1552" s="13" t="str">
        <f aca="false">IF(C1552=J1552,"NEW KONTRAK","RE-KONTRAK")</f>
        <v>NEW KONTRAK</v>
      </c>
      <c r="J1552" s="16" t="n">
        <f aca="false" t="array" ref="J1552:J1552">IFERROR(INDEX(AC1552:AE1552,IF(COUNTA(AC1552:AE1552)=0,"",MAX((AC1552:AE1552&lt;&gt;"")*(COLUMN(AC1552:AE1552)-(COLUMN(AC1552)))))-1),"")</f>
        <v>46279</v>
      </c>
      <c r="K1552" s="16" t="n">
        <f aca="false" t="array" ref="K1552:K1552">IFERROR(INDEX(AC1552:AE1552,IF(COUNTA(AC1552:AE1552)=0,"",MAX((AC1552:AE1552&lt;&gt;"")*(COLUMN(AC1552:AE1552)-(COLUMN(AC1552)-1))))-1),"")</f>
        <v>46386</v>
      </c>
      <c r="L1552" s="17" t="str">
        <f aca="false" t="array" ref="L1552:L1552">IFERROR(INDEX(AC1552:AE1552,IF(COUNTA(AC1552:AE1552)=0,"",MAX((AC1552:AE1552&lt;&gt;"")*(COLUMN(AC1552:AE1552)-(COLUMN(AC1552)-2))))-1),"")</f>
        <v>ARCHIVED</v>
      </c>
      <c r="M1552" s="13" t="n">
        <f aca="true">K1552-TODAY()</f>
        <v>62</v>
      </c>
      <c r="N1552" s="18" t="s">
        <v>728</v>
      </c>
      <c r="O1552" s="13" t="s">
        <v>1822</v>
      </c>
      <c r="P1552" s="26" t="n">
        <v>5444909</v>
      </c>
      <c r="Q1552" s="20" t="s">
        <v>6802</v>
      </c>
      <c r="R1552" s="48" t="s">
        <v>260</v>
      </c>
      <c r="S1552" s="25" t="n">
        <v>37880</v>
      </c>
      <c r="T1552" s="13" t="s">
        <v>40</v>
      </c>
      <c r="U1552" s="13" t="s">
        <v>6803</v>
      </c>
      <c r="V1552" s="13" t="s">
        <v>42</v>
      </c>
      <c r="W1552" s="28" t="s">
        <v>43</v>
      </c>
      <c r="X1552" s="30" t="n">
        <v>85800978820</v>
      </c>
      <c r="Y1552" s="22" t="str">
        <f aca="false">O1552</f>
        <v>Assembling</v>
      </c>
      <c r="Z1552" s="13" t="str">
        <f aca="false">IFERROR(__xludf.dummyfunction("if(BJ1552="""","""",GOOGLETRANSLATE(BJ1552,""auto"",""en""))"),"Assembling")</f>
        <v>Assembling</v>
      </c>
      <c r="AA1552" s="23" t="str">
        <f aca="false">IF(C1552="","", CHOOSE(MONTH(C1552),"January","February","March","April","May","June","July","August","September","October","November","December")&amp;" "&amp;DAY(C1552)&amp;MID("thstndrdth",MIN(9,2*RIGHT(DAY(C1552))*(MOD(DAY(C1552)-11,100)&gt;2)+1),2)&amp;","&amp;TEXT(C1552," yyyy"))</f>
        <v>September 14th,2026</v>
      </c>
      <c r="AB1552" s="15" t="str">
        <f aca="true">IF(S1552="","",DATEDIF(S1552,TODAY(),"Y")&amp;" Tahun, "&amp;DATEDIF(S1552,TODAY(),"YM")&amp;" Bulan, "&amp;DATEDIF(S1552,TODAY(),"MD")&amp;" Hari")</f>
        <v>23 Tahun, 1 Bulan, 13 Hari</v>
      </c>
      <c r="AC1552" s="14" t="n">
        <v>46279</v>
      </c>
      <c r="AD1552" s="18" t="n">
        <v>46386</v>
      </c>
      <c r="AE1552" s="13" t="s">
        <v>44</v>
      </c>
    </row>
    <row r="1553" customFormat="false" ht="15" hidden="false" customHeight="true" outlineLevel="0" collapsed="false">
      <c r="A1553" s="12" t="n">
        <v>16505</v>
      </c>
      <c r="B1553" s="13" t="s">
        <v>6804</v>
      </c>
      <c r="C1553" s="14" t="n">
        <v>45490</v>
      </c>
      <c r="D1553" s="13" t="s">
        <v>1721</v>
      </c>
      <c r="E1553" s="15" t="s">
        <v>33</v>
      </c>
      <c r="F1553" s="24" t="s">
        <v>6805</v>
      </c>
      <c r="G1553" s="15" t="s">
        <v>6806</v>
      </c>
      <c r="H1553" s="13" t="s">
        <v>35</v>
      </c>
      <c r="I1553" s="13" t="str">
        <f aca="false">IF(C1553=J1553,"NEW KONTRAK","RE-KONTRAK")</f>
        <v>RE-KONTRAK</v>
      </c>
      <c r="J1553" s="16" t="n">
        <f aca="false" t="array" ref="J1553:J1553">IFERROR(INDEX(AC1553:AE1553,IF(COUNTA(AC1553:AE1553)=0,"",MAX((AC1553:AE1553&lt;&gt;"")*(COLUMN(AC1553:AE1553)-(COLUMN(AC1553)))))-1),"")</f>
        <v>45659</v>
      </c>
      <c r="K1553" s="16" t="n">
        <f aca="false" t="array" ref="K1553:K1553">IFERROR(INDEX(AC1553:AE1553,IF(COUNTA(AC1553:AE1553)=0,"",MAX((AC1553:AE1553&lt;&gt;"")*(COLUMN(AC1553:AE1553)-(COLUMN(AC1553)-1))))-1),"")</f>
        <v>46015</v>
      </c>
      <c r="L1553" s="17" t="str">
        <f aca="false" t="array" ref="L1553:L1553">IFERROR(INDEX(AC1553:AE1553,IF(COUNTA(AC1553:AE1553)=0,"",MAX((AC1553:AE1553&lt;&gt;"")*(COLUMN(AC1553:AE1553)-(COLUMN(AC1553)-2))))-1),"")</f>
        <v>ARCHIVED</v>
      </c>
      <c r="M1553" s="13" t="n">
        <f aca="true">K1553-TODAY()</f>
        <v>-309</v>
      </c>
      <c r="N1553" s="18" t="s">
        <v>728</v>
      </c>
      <c r="O1553" s="13" t="s">
        <v>1738</v>
      </c>
      <c r="P1553" s="19" t="n">
        <v>5444909</v>
      </c>
      <c r="Q1553" s="20" t="s">
        <v>6807</v>
      </c>
      <c r="R1553" s="13" t="s">
        <v>879</v>
      </c>
      <c r="S1553" s="14" t="n">
        <v>35882</v>
      </c>
      <c r="T1553" s="13" t="s">
        <v>108</v>
      </c>
      <c r="U1553" s="13" t="s">
        <v>6808</v>
      </c>
      <c r="V1553" s="28" t="s">
        <v>42</v>
      </c>
      <c r="W1553" s="13" t="s">
        <v>43</v>
      </c>
      <c r="X1553" s="30" t="n">
        <v>87712191361</v>
      </c>
      <c r="Y1553" s="22" t="str">
        <f aca="false">O1553</f>
        <v>IM Operator</v>
      </c>
      <c r="Z1553" s="13" t="str">
        <f aca="false">IFERROR(__xludf.dummyfunction("if(BJ1553="""","""",GOOGLETRANSLATE(BJ1553,""auto"",""en""))"),"IM Operator")</f>
        <v>IM Operator</v>
      </c>
      <c r="AA1553" s="23" t="str">
        <f aca="false">IF(C1553="","", CHOOSE(MONTH(C1553),"January","February","March","April","May","June","July","August","September","October","November","December")&amp;" "&amp;DAY(C1553)&amp;MID("thstndrdth",MIN(9,2*RIGHT(DAY(C1553))*(MOD(DAY(C1553)-11,100)&gt;2)+1),2)&amp;","&amp;TEXT(C1553," yyyy"))</f>
        <v>July 17th,2024</v>
      </c>
      <c r="AB1553" s="15" t="str">
        <f aca="true">IF(S1553="","",DATEDIF(S1553,TODAY(),"Y")&amp;" Tahun, "&amp;DATEDIF(S1553,TODAY(),"YM")&amp;" Bulan, "&amp;DATEDIF(S1553,TODAY(),"MD")&amp;" Hari")</f>
        <v>28 Tahun, 7 Bulan, 1 Hari</v>
      </c>
      <c r="AC1553" s="18" t="n">
        <v>45659</v>
      </c>
      <c r="AD1553" s="18" t="n">
        <v>46015</v>
      </c>
      <c r="AE1553" s="18" t="s">
        <v>44</v>
      </c>
    </row>
    <row r="1554" customFormat="false" ht="15" hidden="false" customHeight="true" outlineLevel="0" collapsed="false">
      <c r="A1554" s="12" t="n">
        <v>16534</v>
      </c>
      <c r="B1554" s="13" t="s">
        <v>6809</v>
      </c>
      <c r="C1554" s="14" t="n">
        <v>45504</v>
      </c>
      <c r="D1554" s="13" t="s">
        <v>5726</v>
      </c>
      <c r="E1554" s="15" t="s">
        <v>47</v>
      </c>
      <c r="F1554" s="15" t="str">
        <f aca="false">IFERROR(__xludf.dummyfunction("XLOOKUP(AJ1554,IMPORTRANGE(""1XaInW9DU9nz21V0tYIfzFQ0He9kVQ_JF2mCXgZ3hqFA"",""REKAP ALL 2026 - Andika!G:G""),IMPORTRANGE(""1XaInW9DU9nz21V0tYIfzFQ0He9kVQ_JF2mCXgZ3hqFA"",""REKAP ALL 2026 - Andika!F:F""),"""",0)"),"24120185871")</f>
        <v>24120185871</v>
      </c>
      <c r="G1554" s="15" t="s">
        <v>6810</v>
      </c>
      <c r="H1554" s="13" t="s">
        <v>35</v>
      </c>
      <c r="I1554" s="13" t="str">
        <f aca="false">IF(C1554=J1554,"NEW KONTRAK","RE-KONTRAK")</f>
        <v>RE-KONTRAK</v>
      </c>
      <c r="J1554" s="16" t="n">
        <f aca="false" t="array" ref="J1554:J1554">IFERROR(INDEX(AC1554:AE1554,IF(COUNTA(AC1554:AE1554)=0,"",MAX((AC1554:AE1554&lt;&gt;"")*(COLUMN(AC1554:AE1554)-(COLUMN(AC1554)))))-1),"")</f>
        <v>45869</v>
      </c>
      <c r="K1554" s="16" t="n">
        <f aca="false" t="array" ref="K1554:K1554">IFERROR(INDEX(AC1554:AE1554,IF(COUNTA(AC1554:AE1554)=0,"",MAX((AC1554:AE1554&lt;&gt;"")*(COLUMN(AC1554:AE1554)-(COLUMN(AC1554)-1))))-1),"")</f>
        <v>45960</v>
      </c>
      <c r="L1554" s="17" t="str">
        <f aca="false" t="array" ref="L1554:L1554">IFERROR(INDEX(AC1554:AE1554,IF(COUNTA(AC1554:AE1554)=0,"",MAX((AC1554:AE1554&lt;&gt;"")*(COLUMN(AC1554:AE1554)-(COLUMN(AC1554)-2))))-1),"")</f>
        <v>ARCHIVED</v>
      </c>
      <c r="M1554" s="13" t="n">
        <f aca="true">K1554-TODAY()</f>
        <v>-364</v>
      </c>
      <c r="N1554" s="18" t="s">
        <v>615</v>
      </c>
      <c r="O1554" s="13" t="s">
        <v>5783</v>
      </c>
      <c r="P1554" s="19" t="n">
        <v>5176101</v>
      </c>
      <c r="Q1554" s="20" t="s">
        <v>6811</v>
      </c>
      <c r="R1554" s="13" t="s">
        <v>241</v>
      </c>
      <c r="S1554" s="14" t="n">
        <v>35454</v>
      </c>
      <c r="T1554" s="13" t="s">
        <v>108</v>
      </c>
      <c r="U1554" s="13" t="s">
        <v>6812</v>
      </c>
      <c r="V1554" s="13" t="s">
        <v>42</v>
      </c>
      <c r="W1554" s="13" t="s">
        <v>43</v>
      </c>
      <c r="X1554" s="21" t="n">
        <v>82116163463</v>
      </c>
      <c r="Y1554" s="22" t="str">
        <f aca="false">O1554</f>
        <v>QC</v>
      </c>
      <c r="Z1554" s="13" t="str">
        <f aca="false">IFERROR(__xludf.dummyfunction("if(BJ1554="""","""",GOOGLETRANSLATE(BJ1554,""auto"",""en""))"),"QC")</f>
        <v>QC</v>
      </c>
      <c r="AA1554" s="23" t="str">
        <f aca="false">IF(C1554="","", CHOOSE(MONTH(C1554),"January","February","March","April","May","June","July","August","September","October","November","December")&amp;" "&amp;DAY(C1554)&amp;MID("thstndrdth",MIN(9,2*RIGHT(DAY(C1554))*(MOD(DAY(C1554)-11,100)&gt;2)+1),2)&amp;","&amp;TEXT(C1554," yyyy"))</f>
        <v>July 31st,2024</v>
      </c>
      <c r="AB1554" s="15" t="str">
        <f aca="true">IF(S1554="","",DATEDIF(S1554,TODAY(),"Y")&amp;" Tahun, "&amp;DATEDIF(S1554,TODAY(),"YM")&amp;" Bulan, "&amp;DATEDIF(S1554,TODAY(),"MD")&amp;" Hari")</f>
        <v>29 Tahun, 9 Bulan, 5 Hari</v>
      </c>
      <c r="AC1554" s="18" t="n">
        <v>45869</v>
      </c>
      <c r="AD1554" s="18" t="n">
        <v>45960</v>
      </c>
      <c r="AE1554" s="18" t="s">
        <v>44</v>
      </c>
    </row>
    <row r="1555" customFormat="false" ht="15" hidden="false" customHeight="true" outlineLevel="0" collapsed="false">
      <c r="A1555" s="12" t="n">
        <v>16550</v>
      </c>
      <c r="B1555" s="13" t="s">
        <v>6813</v>
      </c>
      <c r="C1555" s="14" t="n">
        <v>45499</v>
      </c>
      <c r="D1555" s="13" t="s">
        <v>3022</v>
      </c>
      <c r="E1555" s="15" t="s">
        <v>789</v>
      </c>
      <c r="F1555" s="24" t="s">
        <v>6814</v>
      </c>
      <c r="G1555" s="15" t="s">
        <v>6815</v>
      </c>
      <c r="H1555" s="13" t="s">
        <v>2967</v>
      </c>
      <c r="I1555" s="13" t="str">
        <f aca="false">IF(C1555=J1555,"NEW KONTRAK","RE-KONTRAK")</f>
        <v>RE-KONTRAK</v>
      </c>
      <c r="J1555" s="16" t="n">
        <f aca="false" t="array" ref="J1555:J1555">IFERROR(INDEX(AC1555:AE1555,IF(COUNTA(AC1555:AE1555)=0,"",MAX((AC1555:AE1555&lt;&gt;"")*(COLUMN(AC1555:AE1555)-(COLUMN(AC1555)))))-1),"")</f>
        <v>45591</v>
      </c>
      <c r="K1555" s="16" t="n">
        <f aca="false" t="array" ref="K1555:K1555">IFERROR(INDEX(AC1555:AE1555,IF(COUNTA(AC1555:AE1555)=0,"",MAX((AC1555:AE1555&lt;&gt;"")*(COLUMN(AC1555:AE1555)-(COLUMN(AC1555)-1))))-1),"")</f>
        <v>45934</v>
      </c>
      <c r="L1555" s="17" t="str">
        <f aca="false" t="array" ref="L1555:L1555">IFERROR(INDEX(AC1555:AE1555,IF(COUNTA(AC1555:AE1555)=0,"",MAX((AC1555:AE1555&lt;&gt;"")*(COLUMN(AC1555:AE1555)-(COLUMN(AC1555)-2))))-1),"")</f>
        <v>ARCHIVED</v>
      </c>
      <c r="M1555" s="13" t="n">
        <f aca="true">K1555-TODAY()</f>
        <v>-390</v>
      </c>
      <c r="N1555" s="18" t="s">
        <v>36</v>
      </c>
      <c r="O1555" s="13" t="s">
        <v>3750</v>
      </c>
      <c r="P1555" s="19" t="n">
        <v>108500</v>
      </c>
      <c r="Q1555" s="20" t="s">
        <v>6816</v>
      </c>
      <c r="R1555" s="13" t="s">
        <v>2855</v>
      </c>
      <c r="S1555" s="14" t="n">
        <v>36165</v>
      </c>
      <c r="T1555" s="13" t="s">
        <v>40</v>
      </c>
      <c r="U1555" s="13" t="s">
        <v>6817</v>
      </c>
      <c r="V1555" s="13" t="s">
        <v>42</v>
      </c>
      <c r="W1555" s="13" t="s">
        <v>43</v>
      </c>
      <c r="X1555" s="21" t="n">
        <v>82230588189</v>
      </c>
      <c r="Y1555" s="22" t="str">
        <f aca="false">O1555</f>
        <v>Produksi ( Painting )</v>
      </c>
      <c r="Z1555" s="13" t="str">
        <f aca="false">IFERROR(__xludf.dummyfunction("if(BJ1555="""","""",GOOGLETRANSLATE(BJ1555,""auto"",""en""))"),"Production (Painting)")</f>
        <v>Production (Painting)</v>
      </c>
      <c r="AA1555" s="23" t="str">
        <f aca="false">IF(C1555="","", CHOOSE(MONTH(C1555),"January","February","March","April","May","June","July","August","September","October","November","December")&amp;" "&amp;DAY(C1555)&amp;MID("thstndrdth",MIN(9,2*RIGHT(DAY(C1555))*(MOD(DAY(C1555)-11,100)&gt;2)+1),2)&amp;","&amp;TEXT(C1555," yyyy"))</f>
        <v>July 26th,2024</v>
      </c>
      <c r="AB1555" s="15" t="str">
        <f aca="true">IF(S1555="","",DATEDIF(S1555,TODAY(),"Y")&amp;" Tahun, "&amp;DATEDIF(S1555,TODAY(),"YM")&amp;" Bulan, "&amp;DATEDIF(S1555,TODAY(),"MD")&amp;" Hari")</f>
        <v>27 Tahun, 9 Bulan, 24 Hari</v>
      </c>
      <c r="AC1555" s="18" t="n">
        <v>45591</v>
      </c>
      <c r="AD1555" s="18" t="n">
        <v>45934</v>
      </c>
      <c r="AE1555" s="18" t="s">
        <v>44</v>
      </c>
    </row>
    <row r="1556" customFormat="false" ht="15" hidden="false" customHeight="true" outlineLevel="0" collapsed="false">
      <c r="A1556" s="12" t="n">
        <v>16552</v>
      </c>
      <c r="B1556" s="13" t="s">
        <v>6818</v>
      </c>
      <c r="C1556" s="14" t="n">
        <v>45493</v>
      </c>
      <c r="D1556" s="13" t="s">
        <v>4610</v>
      </c>
      <c r="E1556" s="15" t="s">
        <v>6819</v>
      </c>
      <c r="F1556" s="15" t="str">
        <f aca="false">IFERROR(__xludf.dummyfunction("XLOOKUP(AJ1556,IMPORTRANGE(""1XaInW9DU9nz21V0tYIfzFQ0He9kVQ_JF2mCXgZ3hqFA"",""REKAP ALL 2026 - Andika!G:G""),IMPORTRANGE(""1XaInW9DU9nz21V0tYIfzFQ0He9kVQ_JF2mCXgZ3hqFA"",""REKAP ALL 2026 - Andika!F:F""),"""",0)"),"24120187737")</f>
        <v>24120187737</v>
      </c>
      <c r="G1556" s="13" t="s">
        <v>57</v>
      </c>
      <c r="H1556" s="13" t="s">
        <v>35</v>
      </c>
      <c r="I1556" s="13" t="str">
        <f aca="false">IF(C1556=J1556,"NEW KONTRAK","RE-KONTRAK")</f>
        <v>RE-KONTRAK</v>
      </c>
      <c r="J1556" s="16" t="n">
        <f aca="false" t="array" ref="J1556:J1556">IFERROR(INDEX(AC1556:AE1556,IF(COUNTA(AC1556:AE1556)=0,"",MAX((AC1556:AE1556&lt;&gt;"")*(COLUMN(AC1556:AE1556)-(COLUMN(AC1556)))))-1),"")</f>
        <v>45764</v>
      </c>
      <c r="K1556" s="16" t="n">
        <f aca="false" t="array" ref="K1556:K1556">IFERROR(INDEX(AC1556:AE1556,IF(COUNTA(AC1556:AE1556)=0,"",MAX((AC1556:AE1556&lt;&gt;"")*(COLUMN(AC1556:AE1556)-(COLUMN(AC1556)-1))))-1),"")</f>
        <v>45946</v>
      </c>
      <c r="L1556" s="17" t="str">
        <f aca="false" t="array" ref="L1556:L1556">IFERROR(INDEX(AC1556:AE1556,IF(COUNTA(AC1556:AE1556)=0,"",MAX((AC1556:AE1556&lt;&gt;"")*(COLUMN(AC1556:AE1556)-(COLUMN(AC1556)-2))))-1),"")</f>
        <v>ARCHIVED</v>
      </c>
      <c r="M1556" s="13" t="n">
        <f aca="true">K1556-TODAY()</f>
        <v>-378</v>
      </c>
      <c r="N1556" s="18" t="s">
        <v>36</v>
      </c>
      <c r="O1556" s="13" t="s">
        <v>4255</v>
      </c>
      <c r="P1556" s="27" t="n">
        <v>200000</v>
      </c>
      <c r="Q1556" s="20" t="s">
        <v>6820</v>
      </c>
      <c r="R1556" s="13" t="s">
        <v>39</v>
      </c>
      <c r="S1556" s="14" t="n">
        <v>34267</v>
      </c>
      <c r="T1556" s="13" t="s">
        <v>40</v>
      </c>
      <c r="U1556" s="13" t="s">
        <v>6821</v>
      </c>
      <c r="V1556" s="13" t="s">
        <v>42</v>
      </c>
      <c r="W1556" s="13" t="s">
        <v>54</v>
      </c>
      <c r="X1556" s="21" t="n">
        <v>8990927312</v>
      </c>
      <c r="Y1556" s="22" t="str">
        <f aca="false">O1556</f>
        <v>Operator Cutting</v>
      </c>
      <c r="Z1556" s="13" t="str">
        <f aca="false">IFERROR(__xludf.dummyfunction("if(BJ1556="""","""",GOOGLETRANSLATE(BJ1556,""auto"",""en""))"),"Operator Cutting")</f>
        <v>Operator Cutting</v>
      </c>
      <c r="AA1556" s="23" t="str">
        <f aca="false">IF(C1556="","", CHOOSE(MONTH(C1556),"January","February","March","April","May","June","July","August","September","October","November","December")&amp;" "&amp;DAY(C1556)&amp;MID("thstndrdth",MIN(9,2*RIGHT(DAY(C1556))*(MOD(DAY(C1556)-11,100)&gt;2)+1),2)&amp;","&amp;TEXT(C1556," yyyy"))</f>
        <v>July 20th,2024</v>
      </c>
      <c r="AB1556" s="15" t="str">
        <f aca="true">IF(S1556="","",DATEDIF(S1556,TODAY(),"Y")&amp;" Tahun, "&amp;DATEDIF(S1556,TODAY(),"YM")&amp;" Bulan, "&amp;DATEDIF(S1556,TODAY(),"MD")&amp;" Hari")</f>
        <v>33 Tahun, 0 Bulan, 4 Hari</v>
      </c>
      <c r="AC1556" s="18" t="n">
        <v>45764</v>
      </c>
      <c r="AD1556" s="18" t="n">
        <v>45946</v>
      </c>
      <c r="AE1556" s="18" t="s">
        <v>44</v>
      </c>
    </row>
    <row r="1557" customFormat="false" ht="15" hidden="false" customHeight="true" outlineLevel="0" collapsed="false">
      <c r="A1557" s="12" t="n">
        <v>16554</v>
      </c>
      <c r="B1557" s="13" t="s">
        <v>6822</v>
      </c>
      <c r="C1557" s="14" t="n">
        <v>45509</v>
      </c>
      <c r="D1557" s="13" t="s">
        <v>5726</v>
      </c>
      <c r="E1557" s="15" t="s">
        <v>789</v>
      </c>
      <c r="F1557" s="24" t="s">
        <v>6823</v>
      </c>
      <c r="G1557" s="15" t="s">
        <v>6824</v>
      </c>
      <c r="H1557" s="13" t="s">
        <v>35</v>
      </c>
      <c r="I1557" s="13" t="str">
        <f aca="false">IF(C1557=J1557,"NEW KONTRAK","RE-KONTRAK")</f>
        <v>NEW KONTRAK</v>
      </c>
      <c r="J1557" s="16" t="n">
        <f aca="false" t="array" ref="J1557:J1557">IFERROR(INDEX(AC1557:AE1557,IF(COUNTA(AC1557:AE1557)=0,"",MAX((AC1557:AE1557&lt;&gt;"")*(COLUMN(AC1557:AE1557)-(COLUMN(AC1557)))))-1),"")</f>
        <v>45509</v>
      </c>
      <c r="K1557" s="16" t="n">
        <f aca="false" t="array" ref="K1557:K1557">IFERROR(INDEX(AC1557:AE1557,IF(COUNTA(AC1557:AE1557)=0,"",MAX((AC1557:AE1557&lt;&gt;"")*(COLUMN(AC1557:AE1557)-(COLUMN(AC1557)-1))))-1),"")</f>
        <v>45873</v>
      </c>
      <c r="L1557" s="17" t="str">
        <f aca="false" t="array" ref="L1557:L1557">IFERROR(INDEX(AC1557:AE1557,IF(COUNTA(AC1557:AE1557)=0,"",MAX((AC1557:AE1557&lt;&gt;"")*(COLUMN(AC1557:AE1557)-(COLUMN(AC1557)-2))))-1),"")</f>
        <v>ARCHIVED</v>
      </c>
      <c r="M1557" s="13" t="n">
        <f aca="true">K1557-TODAY()</f>
        <v>-451</v>
      </c>
      <c r="N1557" s="18" t="s">
        <v>615</v>
      </c>
      <c r="O1557" s="13" t="s">
        <v>1531</v>
      </c>
      <c r="P1557" s="19" t="n">
        <v>4624787</v>
      </c>
      <c r="Q1557" s="20" t="s">
        <v>6825</v>
      </c>
      <c r="R1557" s="13" t="s">
        <v>324</v>
      </c>
      <c r="S1557" s="14" t="n">
        <v>35235</v>
      </c>
      <c r="T1557" s="13" t="s">
        <v>40</v>
      </c>
      <c r="U1557" s="13" t="s">
        <v>6826</v>
      </c>
      <c r="V1557" s="13" t="s">
        <v>42</v>
      </c>
      <c r="W1557" s="13" t="s">
        <v>43</v>
      </c>
      <c r="X1557" s="21" t="n">
        <v>85649697187</v>
      </c>
      <c r="Y1557" s="22" t="str">
        <f aca="false">O1557</f>
        <v>Packer</v>
      </c>
      <c r="Z1557" s="13" t="str">
        <f aca="false">IFERROR(__xludf.dummyfunction("if(BJ1557="""","""",GOOGLETRANSLATE(BJ1557,""auto"",""en""))"),"Packer")</f>
        <v>Packer</v>
      </c>
      <c r="AA1557" s="23" t="str">
        <f aca="false">IF(C1557="","", CHOOSE(MONTH(C1557),"January","February","March","April","May","June","July","August","September","October","November","December")&amp;" "&amp;DAY(C1557)&amp;MID("thstndrdth",MIN(9,2*RIGHT(DAY(C1557))*(MOD(DAY(C1557)-11,100)&gt;2)+1),2)&amp;","&amp;TEXT(C1557," yyyy"))</f>
        <v>August 5th,2024</v>
      </c>
      <c r="AB1557" s="15" t="str">
        <f aca="true">IF(S1557="","",DATEDIF(S1557,TODAY(),"Y")&amp;" Tahun, "&amp;DATEDIF(S1557,TODAY(),"YM")&amp;" Bulan, "&amp;DATEDIF(S1557,TODAY(),"MD")&amp;" Hari")</f>
        <v>30 Tahun, 4 Bulan, 10 Hari</v>
      </c>
      <c r="AC1557" s="18" t="n">
        <v>45509</v>
      </c>
      <c r="AD1557" s="18" t="n">
        <v>45873</v>
      </c>
      <c r="AE1557" s="18" t="s">
        <v>44</v>
      </c>
    </row>
    <row r="1558" customFormat="false" ht="15" hidden="false" customHeight="true" outlineLevel="0" collapsed="false">
      <c r="A1558" s="12" t="n">
        <v>16555</v>
      </c>
      <c r="B1558" s="13" t="s">
        <v>6827</v>
      </c>
      <c r="C1558" s="14" t="n">
        <v>45509</v>
      </c>
      <c r="D1558" s="13" t="s">
        <v>5726</v>
      </c>
      <c r="E1558" s="15" t="s">
        <v>47</v>
      </c>
      <c r="F1558" s="15" t="str">
        <f aca="false">IFERROR(__xludf.dummyfunction("XLOOKUP(AJ1558,IMPORTRANGE(""1XaInW9DU9nz21V0tYIfzFQ0He9kVQ_JF2mCXgZ3hqFA"",""REKAP ALL 2026 - Andika!G:G""),IMPORTRANGE(""1XaInW9DU9nz21V0tYIfzFQ0He9kVQ_JF2mCXgZ3hqFA"",""REKAP ALL 2026 - Andika!F:F""),"""",0)"),"24120185897")</f>
        <v>24120185897</v>
      </c>
      <c r="G1558" s="15" t="s">
        <v>6828</v>
      </c>
      <c r="H1558" s="13" t="s">
        <v>35</v>
      </c>
      <c r="I1558" s="13" t="str">
        <f aca="false">IF(C1558=J1558,"NEW KONTRAK","RE-KONTRAK")</f>
        <v>RE-KONTRAK</v>
      </c>
      <c r="J1558" s="16" t="n">
        <f aca="false" t="array" ref="J1558:J1558">IFERROR(INDEX(AC1558:AE1558,IF(COUNTA(AC1558:AE1558)=0,"",MAX((AC1558:AE1558&lt;&gt;"")*(COLUMN(AC1558:AE1558)-(COLUMN(AC1558)))))-1),"")</f>
        <v>45874</v>
      </c>
      <c r="K1558" s="16" t="n">
        <f aca="false" t="array" ref="K1558:K1558">IFERROR(INDEX(AC1558:AE1558,IF(COUNTA(AC1558:AE1558)=0,"",MAX((AC1558:AE1558&lt;&gt;"")*(COLUMN(AC1558:AE1558)-(COLUMN(AC1558)-1))))-1),"")</f>
        <v>45965</v>
      </c>
      <c r="L1558" s="17" t="str">
        <f aca="false" t="array" ref="L1558:L1558">IFERROR(INDEX(AC1558:AE1558,IF(COUNTA(AC1558:AE1558)=0,"",MAX((AC1558:AE1558&lt;&gt;"")*(COLUMN(AC1558:AE1558)-(COLUMN(AC1558)-2))))-1),"")</f>
        <v>ARCHIVED</v>
      </c>
      <c r="M1558" s="13" t="n">
        <f aca="true">K1558-TODAY()</f>
        <v>-359</v>
      </c>
      <c r="N1558" s="18" t="s">
        <v>615</v>
      </c>
      <c r="O1558" s="13" t="s">
        <v>1531</v>
      </c>
      <c r="P1558" s="19" t="n">
        <v>5176101</v>
      </c>
      <c r="Q1558" s="20" t="s">
        <v>6829</v>
      </c>
      <c r="R1558" s="13" t="s">
        <v>401</v>
      </c>
      <c r="S1558" s="14" t="n">
        <v>33749</v>
      </c>
      <c r="T1558" s="13" t="s">
        <v>40</v>
      </c>
      <c r="U1558" s="13" t="s">
        <v>6830</v>
      </c>
      <c r="V1558" s="13" t="s">
        <v>42</v>
      </c>
      <c r="W1558" s="13" t="s">
        <v>54</v>
      </c>
      <c r="X1558" s="21" t="n">
        <v>85772186924</v>
      </c>
      <c r="Y1558" s="22" t="str">
        <f aca="false">O1558</f>
        <v>Packer</v>
      </c>
      <c r="Z1558" s="13" t="str">
        <f aca="false">IFERROR(__xludf.dummyfunction("if(BJ1558="""","""",GOOGLETRANSLATE(BJ1558,""auto"",""en""))"),"Packer")</f>
        <v>Packer</v>
      </c>
      <c r="AA1558" s="23" t="str">
        <f aca="false">IF(C1558="","", CHOOSE(MONTH(C1558),"January","February","March","April","May","June","July","August","September","October","November","December")&amp;" "&amp;DAY(C1558)&amp;MID("thstndrdth",MIN(9,2*RIGHT(DAY(C1558))*(MOD(DAY(C1558)-11,100)&gt;2)+1),2)&amp;","&amp;TEXT(C1558," yyyy"))</f>
        <v>August 5th,2024</v>
      </c>
      <c r="AB1558" s="15" t="str">
        <f aca="true">IF(S1558="","",DATEDIF(S1558,TODAY(),"Y")&amp;" Tahun, "&amp;DATEDIF(S1558,TODAY(),"YM")&amp;" Bulan, "&amp;DATEDIF(S1558,TODAY(),"MD")&amp;" Hari")</f>
        <v>34 Tahun, 5 Bulan, 4 Hari</v>
      </c>
      <c r="AC1558" s="18" t="n">
        <v>45874</v>
      </c>
      <c r="AD1558" s="18" t="n">
        <v>45965</v>
      </c>
      <c r="AE1558" s="18" t="s">
        <v>44</v>
      </c>
    </row>
    <row r="1559" customFormat="false" ht="15" hidden="false" customHeight="true" outlineLevel="0" collapsed="false">
      <c r="A1559" s="12" t="n">
        <v>16556</v>
      </c>
      <c r="B1559" s="13" t="s">
        <v>6831</v>
      </c>
      <c r="C1559" s="14" t="n">
        <v>45509</v>
      </c>
      <c r="D1559" s="13" t="s">
        <v>5726</v>
      </c>
      <c r="E1559" s="15" t="s">
        <v>789</v>
      </c>
      <c r="F1559" s="24" t="s">
        <v>6832</v>
      </c>
      <c r="G1559" s="15" t="s">
        <v>6833</v>
      </c>
      <c r="H1559" s="13" t="s">
        <v>35</v>
      </c>
      <c r="I1559" s="13" t="str">
        <f aca="false">IF(C1559=J1559,"NEW KONTRAK","RE-KONTRAK")</f>
        <v>RE-KONTRAK</v>
      </c>
      <c r="J1559" s="16" t="n">
        <f aca="false" t="array" ref="J1559:J1559">IFERROR(INDEX(AC1559:AE1559,IF(COUNTA(AC1559:AE1559)=0,"",MAX((AC1559:AE1559&lt;&gt;"")*(COLUMN(AC1559:AE1559)-(COLUMN(AC1559)))))-1),"")</f>
        <v>45874</v>
      </c>
      <c r="K1559" s="16" t="n">
        <f aca="false" t="array" ref="K1559:K1559">IFERROR(INDEX(AC1559:AE1559,IF(COUNTA(AC1559:AE1559)=0,"",MAX((AC1559:AE1559&lt;&gt;"")*(COLUMN(AC1559:AE1559)-(COLUMN(AC1559)-1))))-1),"")</f>
        <v>45965</v>
      </c>
      <c r="L1559" s="17" t="str">
        <f aca="false" t="array" ref="L1559:L1559">IFERROR(INDEX(AC1559:AE1559,IF(COUNTA(AC1559:AE1559)=0,"",MAX((AC1559:AE1559&lt;&gt;"")*(COLUMN(AC1559:AE1559)-(COLUMN(AC1559)-2))))-1),"")</f>
        <v>ARCHIVED</v>
      </c>
      <c r="M1559" s="13" t="n">
        <f aca="true">K1559-TODAY()</f>
        <v>-359</v>
      </c>
      <c r="N1559" s="18" t="s">
        <v>615</v>
      </c>
      <c r="O1559" s="13" t="s">
        <v>1531</v>
      </c>
      <c r="P1559" s="19" t="n">
        <v>5176101</v>
      </c>
      <c r="Q1559" s="20" t="s">
        <v>6834</v>
      </c>
      <c r="R1559" s="13" t="s">
        <v>39</v>
      </c>
      <c r="S1559" s="14" t="n">
        <v>34900</v>
      </c>
      <c r="T1559" s="13" t="s">
        <v>108</v>
      </c>
      <c r="U1559" s="13" t="s">
        <v>6835</v>
      </c>
      <c r="V1559" s="13" t="s">
        <v>42</v>
      </c>
      <c r="W1559" s="13" t="s">
        <v>43</v>
      </c>
      <c r="X1559" s="21" t="n">
        <v>85606009961</v>
      </c>
      <c r="Y1559" s="22" t="str">
        <f aca="false">O1559</f>
        <v>Packer</v>
      </c>
      <c r="Z1559" s="13" t="str">
        <f aca="false">IFERROR(__xludf.dummyfunction("if(BJ1559="""","""",GOOGLETRANSLATE(BJ1559,""auto"",""en""))"),"Packer")</f>
        <v>Packer</v>
      </c>
      <c r="AA1559" s="23" t="str">
        <f aca="false">IF(C1559="","", CHOOSE(MONTH(C1559),"January","February","March","April","May","June","July","August","September","October","November","December")&amp;" "&amp;DAY(C1559)&amp;MID("thstndrdth",MIN(9,2*RIGHT(DAY(C1559))*(MOD(DAY(C1559)-11,100)&gt;2)+1),2)&amp;","&amp;TEXT(C1559," yyyy"))</f>
        <v>August 5th,2024</v>
      </c>
      <c r="AB1559" s="15" t="str">
        <f aca="true">IF(S1559="","",DATEDIF(S1559,TODAY(),"Y")&amp;" Tahun, "&amp;DATEDIF(S1559,TODAY(),"YM")&amp;" Bulan, "&amp;DATEDIF(S1559,TODAY(),"MD")&amp;" Hari")</f>
        <v>31 Tahun, 3 Bulan, 9 Hari</v>
      </c>
      <c r="AC1559" s="18" t="n">
        <v>45874</v>
      </c>
      <c r="AD1559" s="18" t="n">
        <v>45965</v>
      </c>
      <c r="AE1559" s="18" t="s">
        <v>44</v>
      </c>
    </row>
    <row r="1560" customFormat="false" ht="15" hidden="false" customHeight="true" outlineLevel="0" collapsed="false">
      <c r="A1560" s="12" t="n">
        <v>16557</v>
      </c>
      <c r="B1560" s="13" t="s">
        <v>6836</v>
      </c>
      <c r="C1560" s="14" t="n">
        <v>45536</v>
      </c>
      <c r="D1560" s="13" t="s">
        <v>5726</v>
      </c>
      <c r="E1560" s="15" t="s">
        <v>33</v>
      </c>
      <c r="F1560" s="24" t="s">
        <v>6837</v>
      </c>
      <c r="G1560" s="15" t="s">
        <v>6838</v>
      </c>
      <c r="H1560" s="13" t="s">
        <v>35</v>
      </c>
      <c r="I1560" s="13" t="str">
        <f aca="false">IF(C1560=J1560,"NEW KONTRAK","RE-KONTRAK")</f>
        <v>RE-KONTRAK</v>
      </c>
      <c r="J1560" s="16" t="n">
        <f aca="false" t="array" ref="J1560:J1560">IFERROR(INDEX(AC1560:AE1560,IF(COUNTA(AC1560:AE1560)=0,"",MAX((AC1560:AE1560&lt;&gt;"")*(COLUMN(AC1560:AE1560)-(COLUMN(AC1560)))))-1),"")</f>
        <v>45510</v>
      </c>
      <c r="K1560" s="16" t="n">
        <f aca="false" t="array" ref="K1560:K1560">IFERROR(INDEX(AC1560:AE1560,IF(COUNTA(AC1560:AE1560)=0,"",MAX((AC1560:AE1560&lt;&gt;"")*(COLUMN(AC1560:AE1560)-(COLUMN(AC1560)-1))))-1),"")</f>
        <v>45874</v>
      </c>
      <c r="L1560" s="17" t="str">
        <f aca="false" t="array" ref="L1560:L1560">IFERROR(INDEX(AC1560:AE1560,IF(COUNTA(AC1560:AE1560)=0,"",MAX((AC1560:AE1560&lt;&gt;"")*(COLUMN(AC1560:AE1560)-(COLUMN(AC1560)-2))))-1),"")</f>
        <v>ARCHIVED</v>
      </c>
      <c r="M1560" s="13" t="n">
        <f aca="true">K1560-TODAY()</f>
        <v>-450</v>
      </c>
      <c r="N1560" s="18" t="s">
        <v>615</v>
      </c>
      <c r="O1560" s="13" t="s">
        <v>1531</v>
      </c>
      <c r="P1560" s="19" t="n">
        <v>4624787</v>
      </c>
      <c r="Q1560" s="20" t="s">
        <v>6839</v>
      </c>
      <c r="R1560" s="13" t="s">
        <v>232</v>
      </c>
      <c r="S1560" s="14" t="n">
        <v>36490</v>
      </c>
      <c r="T1560" s="13" t="s">
        <v>108</v>
      </c>
      <c r="U1560" s="13" t="s">
        <v>6840</v>
      </c>
      <c r="V1560" s="13" t="s">
        <v>42</v>
      </c>
      <c r="W1560" s="13" t="s">
        <v>43</v>
      </c>
      <c r="X1560" s="21" t="n">
        <v>85706919927</v>
      </c>
      <c r="Y1560" s="22" t="str">
        <f aca="false">O1560</f>
        <v>Packer</v>
      </c>
      <c r="Z1560" s="13" t="str">
        <f aca="false">IFERROR(__xludf.dummyfunction("if(BJ1560="""","""",GOOGLETRANSLATE(BJ1560,""auto"",""en""))"),"Packer")</f>
        <v>Packer</v>
      </c>
      <c r="AA1560" s="23" t="str">
        <f aca="false">IF(C1560="","", CHOOSE(MONTH(C1560),"January","February","March","April","May","June","July","August","September","October","November","December")&amp;" "&amp;DAY(C1560)&amp;MID("thstndrdth",MIN(9,2*RIGHT(DAY(C1560))*(MOD(DAY(C1560)-11,100)&gt;2)+1),2)&amp;","&amp;TEXT(C1560," yyyy"))</f>
        <v>September 1st,2024</v>
      </c>
      <c r="AB1560" s="15" t="str">
        <f aca="true">IF(S1560="","",DATEDIF(S1560,TODAY(),"Y")&amp;" Tahun, "&amp;DATEDIF(S1560,TODAY(),"YM")&amp;" Bulan, "&amp;DATEDIF(S1560,TODAY(),"MD")&amp;" Hari")</f>
        <v>26 Tahun, 11 Bulan, 3 Hari</v>
      </c>
      <c r="AC1560" s="18" t="n">
        <v>45510</v>
      </c>
      <c r="AD1560" s="18" t="n">
        <v>45874</v>
      </c>
      <c r="AE1560" s="18" t="s">
        <v>44</v>
      </c>
    </row>
    <row r="1561" customFormat="false" ht="15" hidden="false" customHeight="true" outlineLevel="0" collapsed="false">
      <c r="A1561" s="12" t="n">
        <v>16558</v>
      </c>
      <c r="B1561" s="13" t="s">
        <v>6841</v>
      </c>
      <c r="C1561" s="14" t="n">
        <v>45510</v>
      </c>
      <c r="D1561" s="13" t="s">
        <v>5726</v>
      </c>
      <c r="E1561" s="15" t="s">
        <v>33</v>
      </c>
      <c r="F1561" s="24" t="s">
        <v>6842</v>
      </c>
      <c r="G1561" s="15" t="s">
        <v>6843</v>
      </c>
      <c r="H1561" s="13" t="s">
        <v>35</v>
      </c>
      <c r="I1561" s="13" t="str">
        <f aca="false">IF(C1561=J1561,"NEW KONTRAK","RE-KONTRAK")</f>
        <v>NEW KONTRAK</v>
      </c>
      <c r="J1561" s="16" t="n">
        <f aca="false" t="array" ref="J1561:J1561">IFERROR(INDEX(AC1561:AE1561,IF(COUNTA(AC1561:AE1561)=0,"",MAX((AC1561:AE1561&lt;&gt;"")*(COLUMN(AC1561:AE1561)-(COLUMN(AC1561)))))-1),"")</f>
        <v>45510</v>
      </c>
      <c r="K1561" s="16" t="n">
        <f aca="false" t="array" ref="K1561:K1561">IFERROR(INDEX(AC1561:AE1561,IF(COUNTA(AC1561:AE1561)=0,"",MAX((AC1561:AE1561&lt;&gt;"")*(COLUMN(AC1561:AE1561)-(COLUMN(AC1561)-1))))-1),"")</f>
        <v>45874</v>
      </c>
      <c r="L1561" s="17" t="str">
        <f aca="false" t="array" ref="L1561:L1561">IFERROR(INDEX(AC1561:AE1561,IF(COUNTA(AC1561:AE1561)=0,"",MAX((AC1561:AE1561&lt;&gt;"")*(COLUMN(AC1561:AE1561)-(COLUMN(AC1561)-2))))-1),"")</f>
        <v>ARCHIVED</v>
      </c>
      <c r="M1561" s="13" t="n">
        <f aca="true">K1561-TODAY()</f>
        <v>-450</v>
      </c>
      <c r="N1561" s="18" t="s">
        <v>615</v>
      </c>
      <c r="O1561" s="13" t="s">
        <v>1531</v>
      </c>
      <c r="P1561" s="19" t="n">
        <v>4624787</v>
      </c>
      <c r="Q1561" s="20" t="s">
        <v>6844</v>
      </c>
      <c r="R1561" s="13" t="s">
        <v>232</v>
      </c>
      <c r="S1561" s="14" t="n">
        <v>35106</v>
      </c>
      <c r="T1561" s="13" t="s">
        <v>40</v>
      </c>
      <c r="U1561" s="13" t="s">
        <v>6845</v>
      </c>
      <c r="V1561" s="13" t="s">
        <v>42</v>
      </c>
      <c r="W1561" s="13" t="s">
        <v>54</v>
      </c>
      <c r="X1561" s="21" t="n">
        <v>85645402672</v>
      </c>
      <c r="Y1561" s="22" t="str">
        <f aca="false">O1561</f>
        <v>Packer</v>
      </c>
      <c r="Z1561" s="13" t="str">
        <f aca="false">IFERROR(__xludf.dummyfunction("if(BJ1561="""","""",GOOGLETRANSLATE(BJ1561,""auto"",""en""))"),"Packer")</f>
        <v>Packer</v>
      </c>
      <c r="AA1561" s="23" t="str">
        <f aca="false">IF(C1561="","", CHOOSE(MONTH(C1561),"January","February","March","April","May","June","July","August","September","October","November","December")&amp;" "&amp;DAY(C1561)&amp;MID("thstndrdth",MIN(9,2*RIGHT(DAY(C1561))*(MOD(DAY(C1561)-11,100)&gt;2)+1),2)&amp;","&amp;TEXT(C1561," yyyy"))</f>
        <v>August 6th,2024</v>
      </c>
      <c r="AB1561" s="15" t="str">
        <f aca="true">IF(S1561="","",DATEDIF(S1561,TODAY(),"Y")&amp;" Tahun, "&amp;DATEDIF(S1561,TODAY(),"YM")&amp;" Bulan, "&amp;DATEDIF(S1561,TODAY(),"MD")&amp;" Hari")</f>
        <v>30 Tahun, 8 Bulan, 18 Hari</v>
      </c>
      <c r="AC1561" s="18" t="n">
        <v>45510</v>
      </c>
      <c r="AD1561" s="18" t="n">
        <v>45874</v>
      </c>
      <c r="AE1561" s="18" t="s">
        <v>44</v>
      </c>
    </row>
    <row r="1562" customFormat="false" ht="15" hidden="false" customHeight="true" outlineLevel="0" collapsed="false">
      <c r="A1562" s="12" t="n">
        <v>16560</v>
      </c>
      <c r="B1562" s="13" t="s">
        <v>6846</v>
      </c>
      <c r="C1562" s="14" t="n">
        <v>45536</v>
      </c>
      <c r="D1562" s="13" t="s">
        <v>5726</v>
      </c>
      <c r="E1562" s="15" t="s">
        <v>33</v>
      </c>
      <c r="F1562" s="24" t="s">
        <v>6847</v>
      </c>
      <c r="G1562" s="15" t="s">
        <v>6848</v>
      </c>
      <c r="H1562" s="13" t="s">
        <v>35</v>
      </c>
      <c r="I1562" s="13" t="str">
        <f aca="false">IF(C1562=J1562,"NEW KONTRAK","RE-KONTRAK")</f>
        <v>RE-KONTRAK</v>
      </c>
      <c r="J1562" s="16" t="n">
        <f aca="false" t="array" ref="J1562:J1562">IFERROR(INDEX(AC1562:AE1562,IF(COUNTA(AC1562:AE1562)=0,"",MAX((AC1562:AE1562&lt;&gt;"")*(COLUMN(AC1562:AE1562)-(COLUMN(AC1562)))))-1),"")</f>
        <v>45516</v>
      </c>
      <c r="K1562" s="16" t="n">
        <f aca="false" t="array" ref="K1562:K1562">IFERROR(INDEX(AC1562:AE1562,IF(COUNTA(AC1562:AE1562)=0,"",MAX((AC1562:AE1562&lt;&gt;"")*(COLUMN(AC1562:AE1562)-(COLUMN(AC1562)-1))))-1),"")</f>
        <v>45880</v>
      </c>
      <c r="L1562" s="17" t="str">
        <f aca="false" t="array" ref="L1562:L1562">IFERROR(INDEX(AC1562:AE1562,IF(COUNTA(AC1562:AE1562)=0,"",MAX((AC1562:AE1562&lt;&gt;"")*(COLUMN(AC1562:AE1562)-(COLUMN(AC1562)-2))))-1),"")</f>
        <v>ARCHIVED</v>
      </c>
      <c r="M1562" s="13" t="n">
        <f aca="true">K1562-TODAY()</f>
        <v>-444</v>
      </c>
      <c r="N1562" s="18" t="s">
        <v>615</v>
      </c>
      <c r="O1562" s="13" t="s">
        <v>1531</v>
      </c>
      <c r="P1562" s="19" t="n">
        <v>4624787</v>
      </c>
      <c r="Q1562" s="20" t="s">
        <v>6849</v>
      </c>
      <c r="R1562" s="13" t="s">
        <v>232</v>
      </c>
      <c r="S1562" s="14" t="n">
        <v>36933</v>
      </c>
      <c r="T1562" s="13" t="s">
        <v>40</v>
      </c>
      <c r="U1562" s="13" t="s">
        <v>6850</v>
      </c>
      <c r="V1562" s="13" t="s">
        <v>42</v>
      </c>
      <c r="W1562" s="13" t="s">
        <v>43</v>
      </c>
      <c r="X1562" s="21" t="n">
        <v>85977201086</v>
      </c>
      <c r="Y1562" s="22" t="str">
        <f aca="false">O1562</f>
        <v>Packer</v>
      </c>
      <c r="Z1562" s="13" t="str">
        <f aca="false">IFERROR(__xludf.dummyfunction("if(BJ1562="""","""",GOOGLETRANSLATE(BJ1562,""auto"",""en""))"),"Packer")</f>
        <v>Packer</v>
      </c>
      <c r="AA1562" s="23" t="str">
        <f aca="false">IF(C1562="","", CHOOSE(MONTH(C1562),"January","February","March","April","May","June","July","August","September","October","November","December")&amp;" "&amp;DAY(C1562)&amp;MID("thstndrdth",MIN(9,2*RIGHT(DAY(C1562))*(MOD(DAY(C1562)-11,100)&gt;2)+1),2)&amp;","&amp;TEXT(C1562," yyyy"))</f>
        <v>September 1st,2024</v>
      </c>
      <c r="AB1562" s="15" t="str">
        <f aca="true">IF(S1562="","",DATEDIF(S1562,TODAY(),"Y")&amp;" Tahun, "&amp;DATEDIF(S1562,TODAY(),"YM")&amp;" Bulan, "&amp;DATEDIF(S1562,TODAY(),"MD")&amp;" Hari")</f>
        <v>25 Tahun, 8 Bulan, 18 Hari</v>
      </c>
      <c r="AC1562" s="18" t="n">
        <v>45516</v>
      </c>
      <c r="AD1562" s="18" t="n">
        <v>45880</v>
      </c>
      <c r="AE1562" s="18" t="s">
        <v>44</v>
      </c>
    </row>
    <row r="1563" customFormat="false" ht="15" hidden="false" customHeight="true" outlineLevel="0" collapsed="false">
      <c r="A1563" s="12" t="n">
        <v>16580</v>
      </c>
      <c r="B1563" s="13" t="s">
        <v>6851</v>
      </c>
      <c r="C1563" s="14" t="n">
        <v>45502</v>
      </c>
      <c r="D1563" s="13" t="s">
        <v>6852</v>
      </c>
      <c r="E1563" s="15" t="s">
        <v>47</v>
      </c>
      <c r="F1563" s="15" t="str">
        <f aca="false">IFERROR(__xludf.dummyfunction("XLOOKUP(AJ1563,IMPORTRANGE(""1XaInW9DU9nz21V0tYIfzFQ0He9kVQ_JF2mCXgZ3hqFA"",""REKAP ALL 2026 - Andika!G:G""),IMPORTRANGE(""1XaInW9DU9nz21V0tYIfzFQ0He9kVQ_JF2mCXgZ3hqFA"",""REKAP ALL 2026 - Andika!F:F""),"""",0)"),"24120185376")</f>
        <v>24120185376</v>
      </c>
      <c r="G1563" s="15" t="s">
        <v>6853</v>
      </c>
      <c r="H1563" s="13" t="s">
        <v>35</v>
      </c>
      <c r="I1563" s="13" t="str">
        <f aca="false">IF(C1563=J1563,"NEW KONTRAK","RE-KONTRAK")</f>
        <v>RE-KONTRAK</v>
      </c>
      <c r="J1563" s="16" t="n">
        <f aca="false" t="array" ref="J1563:J1563">IFERROR(INDEX(AC1563:AE1563,IF(COUNTA(AC1563:AE1563)=0,"",MAX((AC1563:AE1563&lt;&gt;"")*(COLUMN(AC1563:AE1563)-(COLUMN(AC1563)))))-1),"")</f>
        <v>45658</v>
      </c>
      <c r="K1563" s="16" t="n">
        <f aca="false" t="array" ref="K1563:K1563">IFERROR(INDEX(AC1563:AE1563,IF(COUNTA(AC1563:AE1563)=0,"",MAX((AC1563:AE1563&lt;&gt;"")*(COLUMN(AC1563:AE1563)-(COLUMN(AC1563)-1))))-1),"")</f>
        <v>46022</v>
      </c>
      <c r="L1563" s="17" t="str">
        <f aca="false" t="array" ref="L1563:L1563">IFERROR(INDEX(AC1563:AE1563,IF(COUNTA(AC1563:AE1563)=0,"",MAX((AC1563:AE1563&lt;&gt;"")*(COLUMN(AC1563:AE1563)-(COLUMN(AC1563)-2))))-1),"")</f>
        <v>ARCHIVED</v>
      </c>
      <c r="M1563" s="13" t="n">
        <f aca="true">K1563-TODAY()</f>
        <v>-302</v>
      </c>
      <c r="N1563" s="18" t="s">
        <v>36</v>
      </c>
      <c r="O1563" s="13" t="s">
        <v>50</v>
      </c>
      <c r="P1563" s="26" t="n">
        <v>5195401</v>
      </c>
      <c r="Q1563" s="20" t="s">
        <v>6854</v>
      </c>
      <c r="R1563" s="13" t="s">
        <v>65</v>
      </c>
      <c r="S1563" s="14" t="n">
        <v>33551</v>
      </c>
      <c r="T1563" s="13" t="s">
        <v>40</v>
      </c>
      <c r="U1563" s="13" t="s">
        <v>6855</v>
      </c>
      <c r="V1563" s="13" t="s">
        <v>42</v>
      </c>
      <c r="W1563" s="13" t="s">
        <v>43</v>
      </c>
      <c r="X1563" s="21" t="n">
        <v>82298113355</v>
      </c>
      <c r="Y1563" s="22" t="str">
        <f aca="false">O1563</f>
        <v>Driver</v>
      </c>
      <c r="Z1563" s="13" t="str">
        <f aca="false">IFERROR(__xludf.dummyfunction("if(BJ1563="""","""",GOOGLETRANSLATE(BJ1563,""auto"",""en""))"),"Driver")</f>
        <v>Driver</v>
      </c>
      <c r="AA1563" s="23" t="str">
        <f aca="false">IF(C1563="","", CHOOSE(MONTH(C1563),"January","February","March","April","May","June","July","August","September","October","November","December")&amp;" "&amp;DAY(C1563)&amp;MID("thstndrdth",MIN(9,2*RIGHT(DAY(C1563))*(MOD(DAY(C1563)-11,100)&gt;2)+1),2)&amp;","&amp;TEXT(C1563," yyyy"))</f>
        <v>July 29th,2024</v>
      </c>
      <c r="AB1563" s="15" t="str">
        <f aca="true">IF(S1563="","",DATEDIF(S1563,TODAY(),"Y")&amp;" Tahun, "&amp;DATEDIF(S1563,TODAY(),"YM")&amp;" Bulan, "&amp;DATEDIF(S1563,TODAY(),"MD")&amp;" Hari")</f>
        <v>34 Tahun, 11 Bulan, 20 Hari</v>
      </c>
      <c r="AC1563" s="18" t="n">
        <v>45658</v>
      </c>
      <c r="AD1563" s="18" t="n">
        <v>46022</v>
      </c>
      <c r="AE1563" s="18" t="s">
        <v>44</v>
      </c>
    </row>
    <row r="1564" customFormat="false" ht="15" hidden="false" customHeight="true" outlineLevel="0" collapsed="false">
      <c r="A1564" s="12" t="n">
        <v>1965</v>
      </c>
      <c r="B1564" s="13" t="s">
        <v>6856</v>
      </c>
      <c r="C1564" s="14" t="n">
        <v>44019</v>
      </c>
      <c r="D1564" s="13" t="s">
        <v>101</v>
      </c>
      <c r="E1564" s="15" t="s">
        <v>47</v>
      </c>
      <c r="F1564" s="15" t="str">
        <f aca="false">IFERROR(__xludf.dummyfunction("XLOOKUP(AJ1564,IMPORTRANGE(""1XaInW9DU9nz21V0tYIfzFQ0He9kVQ_JF2mCXgZ3hqFA"",""REKAP ALL 2026 - Andika!G:G""),IMPORTRANGE(""1XaInW9DU9nz21V0tYIfzFQ0He9kVQ_JF2mCXgZ3hqFA"",""REKAP ALL 2026 - Andika!F:F""),"""",0)"),"20056450875")</f>
        <v>20056450875</v>
      </c>
      <c r="G1564" s="13" t="s">
        <v>6857</v>
      </c>
      <c r="H1564" s="13" t="s">
        <v>35</v>
      </c>
      <c r="I1564" s="13" t="str">
        <f aca="false">IF(C1564=J1564,"NEW KONTRAK","RE-KONTRAK")</f>
        <v>RE-KONTRAK</v>
      </c>
      <c r="J1564" s="16" t="n">
        <f aca="false" t="array" ref="J1564:J1564">IFERROR(INDEX(AC1564:AE1564,IF(COUNTA(AC1564:AE1564)=0,"",MAX((AC1564:AE1564&lt;&gt;"")*(COLUMN(AC1564:AE1564)-(COLUMN(AC1564)))))-1),"")</f>
        <v>45672</v>
      </c>
      <c r="K1564" s="16" t="n">
        <f aca="false" t="array" ref="K1564:K1564">IFERROR(INDEX(AC1564:AE1564,IF(COUNTA(AC1564:AE1564)=0,"",MAX((AC1564:AE1564&lt;&gt;"")*(COLUMN(AC1564:AE1564)-(COLUMN(AC1564)-1))))-1),"")</f>
        <v>46036</v>
      </c>
      <c r="L1564" s="17" t="str">
        <f aca="false" t="array" ref="L1564:L1564">IFERROR(INDEX(AC1564:AE1564,IF(COUNTA(AC1564:AE1564)=0,"",MAX((AC1564:AE1564&lt;&gt;"")*(COLUMN(AC1564:AE1564)-(COLUMN(AC1564)-2))))-1),"")</f>
        <v>ARCHIVED</v>
      </c>
      <c r="M1564" s="13" t="n">
        <f aca="true">K1564-TODAY()</f>
        <v>-288</v>
      </c>
      <c r="N1564" s="18" t="s">
        <v>105</v>
      </c>
      <c r="O1564" s="13" t="s">
        <v>1392</v>
      </c>
      <c r="P1564" s="31" t="n">
        <v>162068</v>
      </c>
      <c r="Q1564" s="20" t="s">
        <v>6858</v>
      </c>
      <c r="R1564" s="13" t="s">
        <v>3904</v>
      </c>
      <c r="S1564" s="25" t="n">
        <v>35306</v>
      </c>
      <c r="T1564" s="13" t="s">
        <v>40</v>
      </c>
      <c r="U1564" s="13" t="s">
        <v>6859</v>
      </c>
      <c r="V1564" s="13" t="s">
        <v>42</v>
      </c>
      <c r="W1564" s="13" t="s">
        <v>43</v>
      </c>
      <c r="X1564" s="21" t="n">
        <v>89682174341</v>
      </c>
      <c r="Y1564" s="22" t="str">
        <f aca="false">O1564</f>
        <v>Gudang RMPM - Leader</v>
      </c>
      <c r="Z1564" s="13" t="str">
        <f aca="false">IFERROR(__xludf.dummyfunction("if(BJ1564="""","""",GOOGLETRANSLATE(BJ1564,""auto"",""en""))"),"RMPM Warehouse - Leader")</f>
        <v>RMPM Warehouse - Leader</v>
      </c>
      <c r="AA1564" s="23" t="str">
        <f aca="false">IF(C1564="","", CHOOSE(MONTH(C1564),"January","February","March","April","May","June","July","August","September","October","November","December")&amp;" "&amp;DAY(C1564)&amp;MID("thstndrdth",MIN(9,2*RIGHT(DAY(C1564))*(MOD(DAY(C1564)-11,100)&gt;2)+1),2)&amp;","&amp;TEXT(C1564," yyyy"))</f>
        <v>July 7th,2020</v>
      </c>
      <c r="AB1564" s="15" t="str">
        <f aca="true">IF(S1564="","",DATEDIF(S1564,TODAY(),"Y")&amp;" Tahun, "&amp;DATEDIF(S1564,TODAY(),"YM")&amp;" Bulan, "&amp;DATEDIF(S1564,TODAY(),"MD")&amp;" Hari")</f>
        <v>30 Tahun, 2 Bulan, 0 Hari</v>
      </c>
      <c r="AC1564" s="18" t="n">
        <v>45672</v>
      </c>
      <c r="AD1564" s="18" t="n">
        <v>46036</v>
      </c>
      <c r="AE1564" s="18" t="s">
        <v>44</v>
      </c>
    </row>
    <row r="1565" customFormat="false" ht="15" hidden="false" customHeight="true" outlineLevel="0" collapsed="false">
      <c r="A1565" s="12" t="n">
        <v>16596</v>
      </c>
      <c r="B1565" s="13" t="s">
        <v>6860</v>
      </c>
      <c r="C1565" s="14" t="n">
        <v>45502</v>
      </c>
      <c r="D1565" s="13" t="s">
        <v>1338</v>
      </c>
      <c r="E1565" s="15" t="s">
        <v>33</v>
      </c>
      <c r="F1565" s="24" t="s">
        <v>6861</v>
      </c>
      <c r="G1565" s="15" t="s">
        <v>57</v>
      </c>
      <c r="H1565" s="13" t="s">
        <v>2334</v>
      </c>
      <c r="I1565" s="13" t="str">
        <f aca="false">IF(C1565=J1565,"NEW KONTRAK","RE-KONTRAK")</f>
        <v>RE-KONTRAK</v>
      </c>
      <c r="J1565" s="16" t="n">
        <f aca="false" t="array" ref="J1565:J1565">IFERROR(INDEX(AC1565:AE1565,IF(COUNTA(AC1565:AE1565)=0,"",MAX((AC1565:AE1565&lt;&gt;"")*(COLUMN(AC1565:AE1565)-(COLUMN(AC1565)))))-1),"")</f>
        <v>45844</v>
      </c>
      <c r="K1565" s="16" t="n">
        <f aca="false" t="array" ref="K1565:K1565">IFERROR(INDEX(AC1565:AE1565,IF(COUNTA(AC1565:AE1565)=0,"",MAX((AC1565:AE1565&lt;&gt;"")*(COLUMN(AC1565:AE1565)-(COLUMN(AC1565)-1))))-1),"")</f>
        <v>45928</v>
      </c>
      <c r="L1565" s="17" t="str">
        <f aca="false" t="array" ref="L1565:L1565">IFERROR(INDEX(AC1565:AE1565,IF(COUNTA(AC1565:AE1565)=0,"",MAX((AC1565:AE1565&lt;&gt;"")*(COLUMN(AC1565:AE1565)-(COLUMN(AC1565)-2))))-1),"")</f>
        <v>ARCHIVED</v>
      </c>
      <c r="M1565" s="13" t="n">
        <f aca="true">K1565-TODAY()</f>
        <v>-396</v>
      </c>
      <c r="N1565" s="50" t="s">
        <v>615</v>
      </c>
      <c r="O1565" s="13" t="s">
        <v>2335</v>
      </c>
      <c r="P1565" s="19" t="n">
        <v>110000</v>
      </c>
      <c r="Q1565" s="20" t="s">
        <v>6862</v>
      </c>
      <c r="R1565" s="13" t="s">
        <v>232</v>
      </c>
      <c r="S1565" s="14" t="n">
        <v>37725</v>
      </c>
      <c r="T1565" s="13" t="s">
        <v>40</v>
      </c>
      <c r="U1565" s="13" t="s">
        <v>6863</v>
      </c>
      <c r="V1565" s="13" t="s">
        <v>42</v>
      </c>
      <c r="W1565" s="13" t="s">
        <v>43</v>
      </c>
      <c r="X1565" s="30" t="n">
        <v>85299091699</v>
      </c>
      <c r="Y1565" s="22" t="str">
        <f aca="false">O1565</f>
        <v>Project Management</v>
      </c>
      <c r="Z1565" s="13" t="str">
        <f aca="false">IFERROR(__xludf.dummyfunction("if(BJ1565="""","""",GOOGLETRANSLATE(BJ1565,""auto"",""en""))"),"Project Management")</f>
        <v>Project Management</v>
      </c>
      <c r="AA1565" s="23" t="str">
        <f aca="false">IF(C1565="","", CHOOSE(MONTH(C1565),"January","February","March","April","May","June","July","August","September","October","November","December")&amp;" "&amp;DAY(C1565)&amp;MID("thstndrdth",MIN(9,2*RIGHT(DAY(C1565))*(MOD(DAY(C1565)-11,100)&gt;2)+1),2)&amp;","&amp;TEXT(C1565," yyyy"))</f>
        <v>July 29th,2024</v>
      </c>
      <c r="AB1565" s="15" t="str">
        <f aca="true">IF(S1565="","",DATEDIF(S1565,TODAY(),"Y")&amp;" Tahun, "&amp;DATEDIF(S1565,TODAY(),"YM")&amp;" Bulan, "&amp;DATEDIF(S1565,TODAY(),"MD")&amp;" Hari")</f>
        <v>23 Tahun, 6 Bulan, 15 Hari</v>
      </c>
      <c r="AC1565" s="18" t="n">
        <v>45844</v>
      </c>
      <c r="AD1565" s="18" t="n">
        <v>45928</v>
      </c>
      <c r="AE1565" s="18" t="s">
        <v>44</v>
      </c>
    </row>
    <row r="1566" customFormat="false" ht="15" hidden="false" customHeight="true" outlineLevel="0" collapsed="false">
      <c r="A1566" s="12" t="n">
        <v>16597</v>
      </c>
      <c r="B1566" s="13" t="s">
        <v>6864</v>
      </c>
      <c r="C1566" s="14" t="n">
        <v>45502</v>
      </c>
      <c r="D1566" s="13" t="s">
        <v>1338</v>
      </c>
      <c r="E1566" s="15" t="s">
        <v>47</v>
      </c>
      <c r="F1566" s="15" t="str">
        <f aca="false">IFERROR(__xludf.dummyfunction("XLOOKUP(AJ1566,IMPORTRANGE(""1XaInW9DU9nz21V0tYIfzFQ0He9kVQ_JF2mCXgZ3hqFA"",""REKAP ALL 2026 - Andika!G:G""),IMPORTRANGE(""1XaInW9DU9nz21V0tYIfzFQ0He9kVQ_JF2mCXgZ3hqFA"",""REKAP ALL 2026 - Andika!F:F""),"""",0)"),"24120209499")</f>
        <v>24120209499</v>
      </c>
      <c r="G1566" s="15" t="s">
        <v>57</v>
      </c>
      <c r="H1566" s="13" t="s">
        <v>2334</v>
      </c>
      <c r="I1566" s="13" t="str">
        <f aca="false">IF(C1566=J1566,"NEW KONTRAK","RE-KONTRAK")</f>
        <v>RE-KONTRAK</v>
      </c>
      <c r="J1566" s="16" t="n">
        <f aca="false" t="array" ref="J1566:J1566">IFERROR(INDEX(AC1566:AE1566,IF(COUNTA(AC1566:AE1566)=0,"",MAX((AC1566:AE1566&lt;&gt;"")*(COLUMN(AC1566:AE1566)-(COLUMN(AC1566)))))-1),"")</f>
        <v>45844</v>
      </c>
      <c r="K1566" s="16" t="n">
        <f aca="false" t="array" ref="K1566:K1566">IFERROR(INDEX(AC1566:AE1566,IF(COUNTA(AC1566:AE1566)=0,"",MAX((AC1566:AE1566&lt;&gt;"")*(COLUMN(AC1566:AE1566)-(COLUMN(AC1566)-1))))-1),"")</f>
        <v>45928</v>
      </c>
      <c r="L1566" s="17" t="str">
        <f aca="false" t="array" ref="L1566:L1566">IFERROR(INDEX(AC1566:AE1566,IF(COUNTA(AC1566:AE1566)=0,"",MAX((AC1566:AE1566&lt;&gt;"")*(COLUMN(AC1566:AE1566)-(COLUMN(AC1566)-2))))-1),"")</f>
        <v>KEMBALI</v>
      </c>
      <c r="M1566" s="13" t="n">
        <f aca="true">K1566-TODAY()</f>
        <v>-396</v>
      </c>
      <c r="N1566" s="18" t="s">
        <v>615</v>
      </c>
      <c r="O1566" s="13" t="s">
        <v>2335</v>
      </c>
      <c r="P1566" s="19" t="n">
        <v>150000</v>
      </c>
      <c r="Q1566" s="20" t="s">
        <v>6865</v>
      </c>
      <c r="R1566" s="13" t="s">
        <v>232</v>
      </c>
      <c r="S1566" s="14" t="n">
        <v>35340</v>
      </c>
      <c r="T1566" s="13" t="s">
        <v>40</v>
      </c>
      <c r="U1566" s="13" t="s">
        <v>6866</v>
      </c>
      <c r="V1566" s="13" t="s">
        <v>42</v>
      </c>
      <c r="W1566" s="13" t="s">
        <v>54</v>
      </c>
      <c r="X1566" s="21" t="n">
        <v>88231943900</v>
      </c>
      <c r="Y1566" s="22" t="str">
        <f aca="false">O1566</f>
        <v>Project Management</v>
      </c>
      <c r="Z1566" s="13" t="str">
        <f aca="false">IFERROR(__xludf.dummyfunction("if(BJ1566="""","""",GOOGLETRANSLATE(BJ1566,""auto"",""en""))"),"Project Management")</f>
        <v>Project Management</v>
      </c>
      <c r="AA1566" s="23" t="str">
        <f aca="false">IF(C1566="","", CHOOSE(MONTH(C1566),"January","February","March","April","May","June","July","August","September","October","November","December")&amp;" "&amp;DAY(C1566)&amp;MID("thstndrdth",MIN(9,2*RIGHT(DAY(C1566))*(MOD(DAY(C1566)-11,100)&gt;2)+1),2)&amp;","&amp;TEXT(C1566," yyyy"))</f>
        <v>July 29th,2024</v>
      </c>
      <c r="AB1566" s="15" t="str">
        <f aca="true">IF(S1566="","",DATEDIF(S1566,TODAY(),"Y")&amp;" Tahun, "&amp;DATEDIF(S1566,TODAY(),"YM")&amp;" Bulan, "&amp;DATEDIF(S1566,TODAY(),"MD")&amp;" Hari")</f>
        <v>30 Tahun, 0 Bulan, 27 Hari</v>
      </c>
      <c r="AC1566" s="18" t="n">
        <v>45844</v>
      </c>
      <c r="AD1566" s="18" t="n">
        <v>45928</v>
      </c>
      <c r="AE1566" s="13" t="s">
        <v>397</v>
      </c>
    </row>
    <row r="1567" customFormat="false" ht="15" hidden="false" customHeight="true" outlineLevel="0" collapsed="false">
      <c r="A1567" s="12" t="n">
        <v>16611</v>
      </c>
      <c r="B1567" s="13" t="s">
        <v>6867</v>
      </c>
      <c r="C1567" s="14" t="n">
        <v>45505</v>
      </c>
      <c r="D1567" s="13" t="s">
        <v>4610</v>
      </c>
      <c r="E1567" s="15" t="s">
        <v>102</v>
      </c>
      <c r="F1567" s="15" t="str">
        <f aca="false">IFERROR(__xludf.dummyfunction("XLOOKUP(AJ1567,IMPORTRANGE(""1XaInW9DU9nz21V0tYIfzFQ0He9kVQ_JF2mCXgZ3hqFA"",""REKAP ALL 2026 - Andika!G:G""),IMPORTRANGE(""1XaInW9DU9nz21V0tYIfzFQ0He9kVQ_JF2mCXgZ3hqFA"",""REKAP ALL 2026 - Andika!F:F""),"""",0)"),"24120187687")</f>
        <v>24120187687</v>
      </c>
      <c r="G1567" s="13" t="s">
        <v>57</v>
      </c>
      <c r="H1567" s="13" t="s">
        <v>35</v>
      </c>
      <c r="I1567" s="13" t="str">
        <f aca="false">IF(C1567=J1567,"NEW KONTRAK","RE-KONTRAK")</f>
        <v>RE-KONTRAK</v>
      </c>
      <c r="J1567" s="16" t="n">
        <f aca="false" t="array" ref="J1567:J1567">IFERROR(INDEX(AC1567:AE1567,IF(COUNTA(AC1567:AE1567)=0,"",MAX((AC1567:AE1567&lt;&gt;"")*(COLUMN(AC1567:AE1567)-(COLUMN(AC1567)))))-1),"")</f>
        <v>45764</v>
      </c>
      <c r="K1567" s="16" t="n">
        <f aca="false" t="array" ref="K1567:K1567">IFERROR(INDEX(AC1567:AE1567,IF(COUNTA(AC1567:AE1567)=0,"",MAX((AC1567:AE1567&lt;&gt;"")*(COLUMN(AC1567:AE1567)-(COLUMN(AC1567)-1))))-1),"")</f>
        <v>45946</v>
      </c>
      <c r="L1567" s="17" t="str">
        <f aca="false" t="array" ref="L1567:L1567">IFERROR(INDEX(AC1567:AE1567,IF(COUNTA(AC1567:AE1567)=0,"",MAX((AC1567:AE1567&lt;&gt;"")*(COLUMN(AC1567:AE1567)-(COLUMN(AC1567)-2))))-1),"")</f>
        <v>ARCHIVED</v>
      </c>
      <c r="M1567" s="13" t="n">
        <f aca="true">K1567-TODAY()</f>
        <v>-378</v>
      </c>
      <c r="N1567" s="18" t="s">
        <v>36</v>
      </c>
      <c r="O1567" s="13" t="s">
        <v>4280</v>
      </c>
      <c r="P1567" s="27" t="n">
        <v>120000</v>
      </c>
      <c r="Q1567" s="20" t="s">
        <v>6868</v>
      </c>
      <c r="R1567" s="13" t="s">
        <v>39</v>
      </c>
      <c r="S1567" s="14" t="n">
        <v>37016</v>
      </c>
      <c r="T1567" s="13" t="s">
        <v>108</v>
      </c>
      <c r="U1567" s="13" t="s">
        <v>6869</v>
      </c>
      <c r="V1567" s="13" t="s">
        <v>42</v>
      </c>
      <c r="W1567" s="13" t="s">
        <v>43</v>
      </c>
      <c r="X1567" s="21" t="n">
        <v>85964198618</v>
      </c>
      <c r="Y1567" s="22" t="str">
        <f aca="false">O1567</f>
        <v>Helper Cutting</v>
      </c>
      <c r="Z1567" s="13" t="str">
        <f aca="false">IFERROR(__xludf.dummyfunction("if(BJ1567="""","""",GOOGLETRANSLATE(BJ1567,""auto"",""en""))"),"Helper Cutting")</f>
        <v>Helper Cutting</v>
      </c>
      <c r="AA1567" s="23" t="str">
        <f aca="false">IF(C1567="","", CHOOSE(MONTH(C1567),"January","February","March","April","May","June","July","August","September","October","November","December")&amp;" "&amp;DAY(C1567)&amp;MID("thstndrdth",MIN(9,2*RIGHT(DAY(C1567))*(MOD(DAY(C1567)-11,100)&gt;2)+1),2)&amp;","&amp;TEXT(C1567," yyyy"))</f>
        <v>August 1st,2024</v>
      </c>
      <c r="AB1567" s="15" t="str">
        <f aca="true">IF(S1567="","",DATEDIF(S1567,TODAY(),"Y")&amp;" Tahun, "&amp;DATEDIF(S1567,TODAY(),"YM")&amp;" Bulan, "&amp;DATEDIF(S1567,TODAY(),"MD")&amp;" Hari")</f>
        <v>25 Tahun, 5 Bulan, 24 Hari</v>
      </c>
      <c r="AC1567" s="18" t="n">
        <v>45764</v>
      </c>
      <c r="AD1567" s="18" t="n">
        <v>45946</v>
      </c>
      <c r="AE1567" s="18" t="s">
        <v>44</v>
      </c>
    </row>
    <row r="1568" customFormat="false" ht="15" hidden="false" customHeight="true" outlineLevel="0" collapsed="false">
      <c r="A1568" s="12" t="n">
        <v>16614</v>
      </c>
      <c r="B1568" s="13" t="s">
        <v>6870</v>
      </c>
      <c r="C1568" s="14" t="n">
        <v>45509</v>
      </c>
      <c r="D1568" s="13" t="s">
        <v>613</v>
      </c>
      <c r="E1568" s="15" t="s">
        <v>704</v>
      </c>
      <c r="F1568" s="24" t="s">
        <v>6871</v>
      </c>
      <c r="G1568" s="15" t="s">
        <v>6872</v>
      </c>
      <c r="H1568" s="13" t="s">
        <v>35</v>
      </c>
      <c r="I1568" s="13" t="str">
        <f aca="false">IF(C1568=J1568,"NEW KONTRAK","RE-KONTRAK")</f>
        <v>RE-KONTRAK</v>
      </c>
      <c r="J1568" s="16" t="n">
        <f aca="false" t="array" ref="J1568:J1568">IFERROR(INDEX(AC1568:AE1568,IF(COUNTA(AC1568:AE1568)=0,"",MAX((AC1568:AE1568&lt;&gt;"")*(COLUMN(AC1568:AE1568)-(COLUMN(AC1568)))))-1),"")</f>
        <v>45704</v>
      </c>
      <c r="K1568" s="16" t="n">
        <f aca="false" t="array" ref="K1568:K1568">IFERROR(INDEX(AC1568:AE1568,IF(COUNTA(AC1568:AE1568)=0,"",MAX((AC1568:AE1568&lt;&gt;"")*(COLUMN(AC1568:AE1568)-(COLUMN(AC1568)-1))))-1),"")</f>
        <v>45884</v>
      </c>
      <c r="L1568" s="17" t="str">
        <f aca="false" t="array" ref="L1568:L1568">IFERROR(INDEX(AC1568:AE1568,IF(COUNTA(AC1568:AE1568)=0,"",MAX((AC1568:AE1568&lt;&gt;"")*(COLUMN(AC1568:AE1568)-(COLUMN(AC1568)-2))))-1),"")</f>
        <v>ARCHIVED</v>
      </c>
      <c r="M1568" s="13" t="n">
        <f aca="true">K1568-TODAY()</f>
        <v>-440</v>
      </c>
      <c r="N1568" s="18" t="s">
        <v>615</v>
      </c>
      <c r="O1568" s="13" t="s">
        <v>58</v>
      </c>
      <c r="P1568" s="19" t="n">
        <v>4856026</v>
      </c>
      <c r="Q1568" s="20" t="s">
        <v>6873</v>
      </c>
      <c r="R1568" s="13" t="s">
        <v>232</v>
      </c>
      <c r="S1568" s="14" t="n">
        <v>31732</v>
      </c>
      <c r="T1568" s="13" t="s">
        <v>40</v>
      </c>
      <c r="U1568" s="13" t="s">
        <v>6874</v>
      </c>
      <c r="V1568" s="13" t="s">
        <v>42</v>
      </c>
      <c r="W1568" s="13" t="s">
        <v>54</v>
      </c>
      <c r="X1568" s="21" t="n">
        <v>85707201611</v>
      </c>
      <c r="Y1568" s="22" t="str">
        <f aca="false">O1568</f>
        <v>Produksi</v>
      </c>
      <c r="Z1568" s="13" t="str">
        <f aca="false">IFERROR(__xludf.dummyfunction("if(BJ1568="""","""",GOOGLETRANSLATE(BJ1568,""auto"",""en""))"),"Production")</f>
        <v>Production</v>
      </c>
      <c r="AA1568" s="23" t="str">
        <f aca="false">IF(C1568="","", CHOOSE(MONTH(C1568),"January","February","March","April","May","June","July","August","September","October","November","December")&amp;" "&amp;DAY(C1568)&amp;MID("thstndrdth",MIN(9,2*RIGHT(DAY(C1568))*(MOD(DAY(C1568)-11,100)&gt;2)+1),2)&amp;","&amp;TEXT(C1568," yyyy"))</f>
        <v>August 5th,2024</v>
      </c>
      <c r="AB1568" s="15" t="str">
        <f aca="true">IF(S1568="","",DATEDIF(S1568,TODAY(),"Y")&amp;" Tahun, "&amp;DATEDIF(S1568,TODAY(),"YM")&amp;" Bulan, "&amp;DATEDIF(S1568,TODAY(),"MD")&amp;" Hari")</f>
        <v>39 Tahun, 11 Bulan, 13 Hari</v>
      </c>
      <c r="AC1568" s="18" t="n">
        <v>45704</v>
      </c>
      <c r="AD1568" s="18" t="n">
        <v>45884</v>
      </c>
      <c r="AE1568" s="18" t="s">
        <v>44</v>
      </c>
    </row>
    <row r="1569" customFormat="false" ht="15" hidden="false" customHeight="true" outlineLevel="0" collapsed="false">
      <c r="A1569" s="12" t="n">
        <v>16621</v>
      </c>
      <c r="B1569" s="13" t="s">
        <v>6875</v>
      </c>
      <c r="C1569" s="14" t="n">
        <v>45509</v>
      </c>
      <c r="D1569" s="13" t="s">
        <v>774</v>
      </c>
      <c r="E1569" s="15" t="s">
        <v>47</v>
      </c>
      <c r="F1569" s="15" t="str">
        <f aca="false">IFERROR(__xludf.dummyfunction("XLOOKUP(AJ1569,IMPORTRANGE(""1XaInW9DU9nz21V0tYIfzFQ0He9kVQ_JF2mCXgZ3hqFA"",""REKAP ALL 2026 - Andika!G:G""),IMPORTRANGE(""1XaInW9DU9nz21V0tYIfzFQ0He9kVQ_JF2mCXgZ3hqFA"",""REKAP ALL 2026 - Andika!F:F""),"""",0)"),"24120209978")</f>
        <v>24120209978</v>
      </c>
      <c r="G1569" s="13" t="s">
        <v>6876</v>
      </c>
      <c r="H1569" s="13" t="s">
        <v>49</v>
      </c>
      <c r="I1569" s="13" t="str">
        <f aca="false">IF(C1569=J1569,"NEW KONTRAK","RE-KONTRAK")</f>
        <v>RE-KONTRAK</v>
      </c>
      <c r="J1569" s="16" t="n">
        <f aca="false" t="array" ref="J1569:J1569">IFERROR(INDEX(AC1569:AE1569,IF(COUNTA(AC1569:AE1569)=0,"",MAX((AC1569:AE1569&lt;&gt;"")*(COLUMN(AC1569:AE1569)-(COLUMN(AC1569)))))-1),"")</f>
        <v>45566</v>
      </c>
      <c r="K1569" s="16" t="n">
        <f aca="false" t="array" ref="K1569:K1569">IFERROR(INDEX(AC1569:AE1569,IF(COUNTA(AC1569:AE1569)=0,"",MAX((AC1569:AE1569&lt;&gt;"")*(COLUMN(AC1569:AE1569)-(COLUMN(AC1569)-1))))-1),"")</f>
        <v>45930</v>
      </c>
      <c r="L1569" s="17" t="str">
        <f aca="false" t="array" ref="L1569:L1569">IFERROR(INDEX(AC1569:AE1569,IF(COUNTA(AC1569:AE1569)=0,"",MAX((AC1569:AE1569&lt;&gt;"")*(COLUMN(AC1569:AE1569)-(COLUMN(AC1569)-2))))-1),"")</f>
        <v>ARCHIVED</v>
      </c>
      <c r="M1569" s="13" t="n">
        <f aca="true">K1569-TODAY()</f>
        <v>-394</v>
      </c>
      <c r="N1569" s="18" t="s">
        <v>36</v>
      </c>
      <c r="O1569" s="13" t="s">
        <v>6877</v>
      </c>
      <c r="P1569" s="19" t="n">
        <v>5195500</v>
      </c>
      <c r="Q1569" s="20" t="s">
        <v>6878</v>
      </c>
      <c r="R1569" s="13" t="s">
        <v>78</v>
      </c>
      <c r="S1569" s="14" t="n">
        <v>34996</v>
      </c>
      <c r="T1569" s="13" t="s">
        <v>108</v>
      </c>
      <c r="U1569" s="13" t="s">
        <v>6879</v>
      </c>
      <c r="V1569" s="13" t="s">
        <v>42</v>
      </c>
      <c r="W1569" s="13" t="s">
        <v>54</v>
      </c>
      <c r="X1569" s="21" t="n">
        <v>87850093644</v>
      </c>
      <c r="Y1569" s="22" t="str">
        <f aca="false">O1569</f>
        <v>Staff Accounting</v>
      </c>
      <c r="Z1569" s="13" t="str">
        <f aca="false">IFERROR(__xludf.dummyfunction("if(BJ1569="""","""",GOOGLETRANSLATE(BJ1569,""auto"",""en""))"),"Staff Accounting")</f>
        <v>Staff Accounting</v>
      </c>
      <c r="AA1569" s="23" t="str">
        <f aca="false">IF(C1569="","", CHOOSE(MONTH(C1569),"January","February","March","April","May","June","July","August","September","October","November","December")&amp;" "&amp;DAY(C1569)&amp;MID("thstndrdth",MIN(9,2*RIGHT(DAY(C1569))*(MOD(DAY(C1569)-11,100)&gt;2)+1),2)&amp;","&amp;TEXT(C1569," yyyy"))</f>
        <v>August 5th,2024</v>
      </c>
      <c r="AB1569" s="15" t="str">
        <f aca="true">IF(S1569="","",DATEDIF(S1569,TODAY(),"Y")&amp;" Tahun, "&amp;DATEDIF(S1569,TODAY(),"YM")&amp;" Bulan, "&amp;DATEDIF(S1569,TODAY(),"MD")&amp;" Hari")</f>
        <v>31 Tahun, 0 Bulan, 5 Hari</v>
      </c>
      <c r="AC1569" s="18" t="n">
        <v>45566</v>
      </c>
      <c r="AD1569" s="18" t="n">
        <v>45930</v>
      </c>
      <c r="AE1569" s="18" t="s">
        <v>44</v>
      </c>
    </row>
    <row r="1570" customFormat="false" ht="15" hidden="false" customHeight="true" outlineLevel="0" collapsed="false">
      <c r="A1570" s="12" t="n">
        <v>16622</v>
      </c>
      <c r="B1570" s="13" t="s">
        <v>6880</v>
      </c>
      <c r="C1570" s="14" t="n">
        <v>45509</v>
      </c>
      <c r="D1570" s="13" t="s">
        <v>774</v>
      </c>
      <c r="E1570" s="15" t="s">
        <v>47</v>
      </c>
      <c r="F1570" s="15" t="str">
        <f aca="false">IFERROR(__xludf.dummyfunction("XLOOKUP(AJ1570,IMPORTRANGE(""1XaInW9DU9nz21V0tYIfzFQ0He9kVQ_JF2mCXgZ3hqFA"",""REKAP ALL 2026 - Andika!G:G""),IMPORTRANGE(""1XaInW9DU9nz21V0tYIfzFQ0He9kVQ_JF2mCXgZ3hqFA"",""REKAP ALL 2026 - Andika!F:F""),"""",0)"),"23172181101")</f>
        <v>23172181101</v>
      </c>
      <c r="G1570" s="13" t="s">
        <v>6881</v>
      </c>
      <c r="H1570" s="13" t="s">
        <v>49</v>
      </c>
      <c r="I1570" s="13" t="str">
        <f aca="false">IF(C1570=J1570,"NEW KONTRAK","RE-KONTRAK")</f>
        <v>RE-KONTRAK</v>
      </c>
      <c r="J1570" s="16" t="n">
        <f aca="false" t="array" ref="J1570:J1570">IFERROR(INDEX(AC1570:AE1570,IF(COUNTA(AC1570:AE1570)=0,"",MAX((AC1570:AE1570&lt;&gt;"")*(COLUMN(AC1570:AE1570)-(COLUMN(AC1570)))))-1),"")</f>
        <v>45566</v>
      </c>
      <c r="K1570" s="16" t="n">
        <f aca="false" t="array" ref="K1570:K1570">IFERROR(INDEX(AC1570:AE1570,IF(COUNTA(AC1570:AE1570)=0,"",MAX((AC1570:AE1570&lt;&gt;"")*(COLUMN(AC1570:AE1570)-(COLUMN(AC1570)-1))))-1),"")</f>
        <v>45930</v>
      </c>
      <c r="L1570" s="17" t="str">
        <f aca="false" t="array" ref="L1570:L1570">IFERROR(INDEX(AC1570:AE1570,IF(COUNTA(AC1570:AE1570)=0,"",MAX((AC1570:AE1570&lt;&gt;"")*(COLUMN(AC1570:AE1570)-(COLUMN(AC1570)-2))))-1),"")</f>
        <v>ARCHIVED</v>
      </c>
      <c r="M1570" s="13" t="n">
        <f aca="true">K1570-TODAY()</f>
        <v>-394</v>
      </c>
      <c r="N1570" s="18" t="s">
        <v>36</v>
      </c>
      <c r="O1570" s="13" t="s">
        <v>6877</v>
      </c>
      <c r="P1570" s="19" t="n">
        <v>5195500</v>
      </c>
      <c r="Q1570" s="20" t="s">
        <v>6882</v>
      </c>
      <c r="R1570" s="13" t="s">
        <v>60</v>
      </c>
      <c r="S1570" s="14" t="n">
        <v>36476</v>
      </c>
      <c r="T1570" s="13" t="s">
        <v>108</v>
      </c>
      <c r="U1570" s="13" t="s">
        <v>6883</v>
      </c>
      <c r="V1570" s="13" t="s">
        <v>42</v>
      </c>
      <c r="W1570" s="13" t="s">
        <v>43</v>
      </c>
      <c r="X1570" s="21" t="n">
        <v>85843462931</v>
      </c>
      <c r="Y1570" s="22" t="str">
        <f aca="false">O1570</f>
        <v>Staff Accounting</v>
      </c>
      <c r="Z1570" s="13" t="str">
        <f aca="false">IFERROR(__xludf.dummyfunction("if(BJ1570="""","""",GOOGLETRANSLATE(BJ1570,""auto"",""en""))"),"Staff Accounting")</f>
        <v>Staff Accounting</v>
      </c>
      <c r="AA1570" s="23" t="str">
        <f aca="false">IF(C1570="","", CHOOSE(MONTH(C1570),"January","February","March","April","May","June","July","August","September","October","November","December")&amp;" "&amp;DAY(C1570)&amp;MID("thstndrdth",MIN(9,2*RIGHT(DAY(C1570))*(MOD(DAY(C1570)-11,100)&gt;2)+1),2)&amp;","&amp;TEXT(C1570," yyyy"))</f>
        <v>August 5th,2024</v>
      </c>
      <c r="AB1570" s="15" t="str">
        <f aca="true">IF(S1570="","",DATEDIF(S1570,TODAY(),"Y")&amp;" Tahun, "&amp;DATEDIF(S1570,TODAY(),"YM")&amp;" Bulan, "&amp;DATEDIF(S1570,TODAY(),"MD")&amp;" Hari")</f>
        <v>26 Tahun, 11 Bulan, 17 Hari</v>
      </c>
      <c r="AC1570" s="18" t="n">
        <v>45566</v>
      </c>
      <c r="AD1570" s="18" t="n">
        <v>45930</v>
      </c>
      <c r="AE1570" s="18" t="s">
        <v>44</v>
      </c>
    </row>
    <row r="1571" customFormat="false" ht="15" hidden="false" customHeight="true" outlineLevel="0" collapsed="false">
      <c r="A1571" s="12" t="n">
        <v>16623</v>
      </c>
      <c r="B1571" s="13" t="s">
        <v>6884</v>
      </c>
      <c r="C1571" s="14" t="n">
        <v>45509</v>
      </c>
      <c r="D1571" s="13" t="s">
        <v>774</v>
      </c>
      <c r="E1571" s="15" t="s">
        <v>33</v>
      </c>
      <c r="F1571" s="24" t="s">
        <v>6885</v>
      </c>
      <c r="G1571" s="13" t="s">
        <v>6886</v>
      </c>
      <c r="H1571" s="13" t="s">
        <v>49</v>
      </c>
      <c r="I1571" s="13" t="str">
        <f aca="false">IF(C1571=J1571,"NEW KONTRAK","RE-KONTRAK")</f>
        <v>RE-KONTRAK</v>
      </c>
      <c r="J1571" s="16" t="n">
        <f aca="false" t="array" ref="J1571:J1571">IFERROR(INDEX(AC1571:AE1571,IF(COUNTA(AC1571:AE1571)=0,"",MAX((AC1571:AE1571&lt;&gt;"")*(COLUMN(AC1571:AE1571)-(COLUMN(AC1571)))))-1),"")</f>
        <v>45566</v>
      </c>
      <c r="K1571" s="16" t="n">
        <f aca="false" t="array" ref="K1571:K1571">IFERROR(INDEX(AC1571:AE1571,IF(COUNTA(AC1571:AE1571)=0,"",MAX((AC1571:AE1571&lt;&gt;"")*(COLUMN(AC1571:AE1571)-(COLUMN(AC1571)-1))))-1),"")</f>
        <v>45930</v>
      </c>
      <c r="L1571" s="17" t="str">
        <f aca="false" t="array" ref="L1571:L1571">IFERROR(INDEX(AC1571:AE1571,IF(COUNTA(AC1571:AE1571)=0,"",MAX((AC1571:AE1571&lt;&gt;"")*(COLUMN(AC1571:AE1571)-(COLUMN(AC1571)-2))))-1),"")</f>
        <v>ARCHIVED</v>
      </c>
      <c r="M1571" s="13" t="n">
        <f aca="true">K1571-TODAY()</f>
        <v>-394</v>
      </c>
      <c r="N1571" s="18" t="s">
        <v>36</v>
      </c>
      <c r="O1571" s="13" t="s">
        <v>6887</v>
      </c>
      <c r="P1571" s="19" t="n">
        <v>4874133</v>
      </c>
      <c r="Q1571" s="20" t="s">
        <v>6888</v>
      </c>
      <c r="R1571" s="13" t="s">
        <v>52</v>
      </c>
      <c r="S1571" s="14" t="n">
        <v>34126</v>
      </c>
      <c r="T1571" s="13" t="s">
        <v>40</v>
      </c>
      <c r="U1571" s="13" t="s">
        <v>6889</v>
      </c>
      <c r="V1571" s="13" t="s">
        <v>42</v>
      </c>
      <c r="W1571" s="13" t="s">
        <v>43</v>
      </c>
      <c r="X1571" s="21" t="n">
        <v>81335628050</v>
      </c>
      <c r="Y1571" s="22" t="str">
        <f aca="false">O1571</f>
        <v>Admin Accounting</v>
      </c>
      <c r="Z1571" s="13" t="str">
        <f aca="false">IFERROR(__xludf.dummyfunction("if(BJ1571="""","""",GOOGLETRANSLATE(BJ1571,""auto"",""en""))"),"Admin Accounting")</f>
        <v>Admin Accounting</v>
      </c>
      <c r="AA1571" s="23" t="str">
        <f aca="false">IF(C1571="","", CHOOSE(MONTH(C1571),"January","February","March","April","May","June","July","August","September","October","November","December")&amp;" "&amp;DAY(C1571)&amp;MID("thstndrdth",MIN(9,2*RIGHT(DAY(C1571))*(MOD(DAY(C1571)-11,100)&gt;2)+1),2)&amp;","&amp;TEXT(C1571," yyyy"))</f>
        <v>August 5th,2024</v>
      </c>
      <c r="AB1571" s="15" t="str">
        <f aca="true">IF(S1571="","",DATEDIF(S1571,TODAY(),"Y")&amp;" Tahun, "&amp;DATEDIF(S1571,TODAY(),"YM")&amp;" Bulan, "&amp;DATEDIF(S1571,TODAY(),"MD")&amp;" Hari")</f>
        <v>33 Tahun, 4 Bulan, 23 Hari</v>
      </c>
      <c r="AC1571" s="18" t="n">
        <v>45566</v>
      </c>
      <c r="AD1571" s="18" t="n">
        <v>45930</v>
      </c>
      <c r="AE1571" s="18" t="s">
        <v>44</v>
      </c>
    </row>
    <row r="1572" customFormat="false" ht="15" hidden="false" customHeight="true" outlineLevel="0" collapsed="false">
      <c r="A1572" s="12" t="n">
        <v>16626</v>
      </c>
      <c r="B1572" s="13" t="s">
        <v>6890</v>
      </c>
      <c r="C1572" s="14" t="n">
        <v>45514</v>
      </c>
      <c r="D1572" s="13" t="s">
        <v>5726</v>
      </c>
      <c r="E1572" s="15" t="s">
        <v>33</v>
      </c>
      <c r="F1572" s="24" t="s">
        <v>6891</v>
      </c>
      <c r="G1572" s="15" t="s">
        <v>6892</v>
      </c>
      <c r="H1572" s="13" t="s">
        <v>35</v>
      </c>
      <c r="I1572" s="13" t="str">
        <f aca="false">IF(C1572=J1572,"NEW KONTRAK","RE-KONTRAK")</f>
        <v>NEW KONTRAK</v>
      </c>
      <c r="J1572" s="16" t="n">
        <f aca="false" t="array" ref="J1572:J1572">IFERROR(INDEX(AC1572:AE1572,IF(COUNTA(AC1572:AE1572)=0,"",MAX((AC1572:AE1572&lt;&gt;"")*(COLUMN(AC1572:AE1572)-(COLUMN(AC1572)))))-1),"")</f>
        <v>45514</v>
      </c>
      <c r="K1572" s="16" t="n">
        <f aca="false" t="array" ref="K1572:K1572">IFERROR(INDEX(AC1572:AE1572,IF(COUNTA(AC1572:AE1572)=0,"",MAX((AC1572:AE1572&lt;&gt;"")*(COLUMN(AC1572:AE1572)-(COLUMN(AC1572)-1))))-1),"")</f>
        <v>45878</v>
      </c>
      <c r="L1572" s="17" t="str">
        <f aca="false" t="array" ref="L1572:L1572">IFERROR(INDEX(AC1572:AE1572,IF(COUNTA(AC1572:AE1572)=0,"",MAX((AC1572:AE1572&lt;&gt;"")*(COLUMN(AC1572:AE1572)-(COLUMN(AC1572)-2))))-1),"")</f>
        <v>ARCHIVED</v>
      </c>
      <c r="M1572" s="13" t="n">
        <f aca="true">K1572-TODAY()</f>
        <v>-446</v>
      </c>
      <c r="N1572" s="18" t="s">
        <v>615</v>
      </c>
      <c r="O1572" s="13" t="s">
        <v>5783</v>
      </c>
      <c r="P1572" s="19" t="n">
        <v>4624787</v>
      </c>
      <c r="Q1572" s="20" t="s">
        <v>6893</v>
      </c>
      <c r="R1572" s="13" t="s">
        <v>232</v>
      </c>
      <c r="S1572" s="14" t="n">
        <v>35619</v>
      </c>
      <c r="T1572" s="13" t="s">
        <v>108</v>
      </c>
      <c r="U1572" s="13" t="s">
        <v>6894</v>
      </c>
      <c r="V1572" s="13" t="s">
        <v>42</v>
      </c>
      <c r="W1572" s="13" t="s">
        <v>43</v>
      </c>
      <c r="X1572" s="21" t="n">
        <v>85856595200</v>
      </c>
      <c r="Y1572" s="22" t="str">
        <f aca="false">O1572</f>
        <v>QC</v>
      </c>
      <c r="Z1572" s="13" t="str">
        <f aca="false">IFERROR(__xludf.dummyfunction("if(BJ1572="""","""",GOOGLETRANSLATE(BJ1572,""auto"",""en""))"),"QC")</f>
        <v>QC</v>
      </c>
      <c r="AA1572" s="23" t="str">
        <f aca="false">IF(C1572="","", CHOOSE(MONTH(C1572),"January","February","March","April","May","June","July","August","September","October","November","December")&amp;" "&amp;DAY(C1572)&amp;MID("thstndrdth",MIN(9,2*RIGHT(DAY(C1572))*(MOD(DAY(C1572)-11,100)&gt;2)+1),2)&amp;","&amp;TEXT(C1572," yyyy"))</f>
        <v>August 10th,2024</v>
      </c>
      <c r="AB1572" s="15" t="str">
        <f aca="true">IF(S1572="","",DATEDIF(S1572,TODAY(),"Y")&amp;" Tahun, "&amp;DATEDIF(S1572,TODAY(),"YM")&amp;" Bulan, "&amp;DATEDIF(S1572,TODAY(),"MD")&amp;" Hari")</f>
        <v>29 Tahun, 3 Bulan, 21 Hari</v>
      </c>
      <c r="AC1572" s="18" t="n">
        <v>45514</v>
      </c>
      <c r="AD1572" s="18" t="n">
        <v>45878</v>
      </c>
      <c r="AE1572" s="18" t="s">
        <v>44</v>
      </c>
    </row>
    <row r="1573" customFormat="false" ht="15" hidden="false" customHeight="true" outlineLevel="0" collapsed="false">
      <c r="A1573" s="12" t="n">
        <v>16633</v>
      </c>
      <c r="B1573" s="13" t="s">
        <v>6895</v>
      </c>
      <c r="C1573" s="14" t="n">
        <v>45514</v>
      </c>
      <c r="D1573" s="13" t="s">
        <v>5726</v>
      </c>
      <c r="E1573" s="15" t="s">
        <v>47</v>
      </c>
      <c r="F1573" s="15" t="str">
        <f aca="false">IFERROR(__xludf.dummyfunction("XLOOKUP(AJ1573,IMPORTRANGE(""1XaInW9DU9nz21V0tYIfzFQ0He9kVQ_JF2mCXgZ3hqFA"",""REKAP ALL 2026 - Andika!G:G""),IMPORTRANGE(""1XaInW9DU9nz21V0tYIfzFQ0He9kVQ_JF2mCXgZ3hqFA"",""REKAP ALL 2026 - Andika!F:F""),"""",0)"),"24120185798")</f>
        <v>24120185798</v>
      </c>
      <c r="G1573" s="15" t="s">
        <v>6896</v>
      </c>
      <c r="H1573" s="13" t="s">
        <v>35</v>
      </c>
      <c r="I1573" s="13" t="str">
        <f aca="false">IF(C1573=J1573,"NEW KONTRAK","RE-KONTRAK")</f>
        <v>RE-KONTRAK</v>
      </c>
      <c r="J1573" s="16" t="n">
        <f aca="false" t="array" ref="J1573:J1573">IFERROR(INDEX(AC1573:AE1573,IF(COUNTA(AC1573:AE1573)=0,"",MAX((AC1573:AE1573&lt;&gt;"")*(COLUMN(AC1573:AE1573)-(COLUMN(AC1573)))))-1),"")</f>
        <v>45879</v>
      </c>
      <c r="K1573" s="16" t="n">
        <f aca="false" t="array" ref="K1573:K1573">IFERROR(INDEX(AC1573:AE1573,IF(COUNTA(AC1573:AE1573)=0,"",MAX((AC1573:AE1573&lt;&gt;"")*(COLUMN(AC1573:AE1573)-(COLUMN(AC1573)-1))))-1),"")</f>
        <v>45970</v>
      </c>
      <c r="L1573" s="17" t="str">
        <f aca="false" t="array" ref="L1573:L1573">IFERROR(INDEX(AC1573:AE1573,IF(COUNTA(AC1573:AE1573)=0,"",MAX((AC1573:AE1573&lt;&gt;"")*(COLUMN(AC1573:AE1573)-(COLUMN(AC1573)-2))))-1),"")</f>
        <v>ARCHIVED</v>
      </c>
      <c r="M1573" s="13" t="n">
        <f aca="true">K1573-TODAY()</f>
        <v>-354</v>
      </c>
      <c r="N1573" s="18" t="s">
        <v>615</v>
      </c>
      <c r="O1573" s="13" t="s">
        <v>76</v>
      </c>
      <c r="P1573" s="19" t="n">
        <v>5176101</v>
      </c>
      <c r="Q1573" s="20" t="s">
        <v>6897</v>
      </c>
      <c r="R1573" s="13" t="s">
        <v>232</v>
      </c>
      <c r="S1573" s="14" t="n">
        <v>35037</v>
      </c>
      <c r="T1573" s="13" t="s">
        <v>40</v>
      </c>
      <c r="U1573" s="13" t="s">
        <v>6898</v>
      </c>
      <c r="V1573" s="13" t="s">
        <v>42</v>
      </c>
      <c r="W1573" s="13" t="s">
        <v>54</v>
      </c>
      <c r="X1573" s="21" t="n">
        <v>85608005292</v>
      </c>
      <c r="Y1573" s="22" t="str">
        <f aca="false">O1573</f>
        <v>Operator Forklift</v>
      </c>
      <c r="Z1573" s="13" t="str">
        <f aca="false">IFERROR(__xludf.dummyfunction("if(BJ1573="""","""",GOOGLETRANSLATE(BJ1573,""auto"",""en""))"),"Operator Forklift")</f>
        <v>Operator Forklift</v>
      </c>
      <c r="AA1573" s="23" t="str">
        <f aca="false">IF(C1573="","", CHOOSE(MONTH(C1573),"January","February","March","April","May","June","July","August","September","October","November","December")&amp;" "&amp;DAY(C1573)&amp;MID("thstndrdth",MIN(9,2*RIGHT(DAY(C1573))*(MOD(DAY(C1573)-11,100)&gt;2)+1),2)&amp;","&amp;TEXT(C1573," yyyy"))</f>
        <v>August 10th,2024</v>
      </c>
      <c r="AB1573" s="15" t="str">
        <f aca="true">IF(S1573="","",DATEDIF(S1573,TODAY(),"Y")&amp;" Tahun, "&amp;DATEDIF(S1573,TODAY(),"YM")&amp;" Bulan, "&amp;DATEDIF(S1573,TODAY(),"MD")&amp;" Hari")</f>
        <v>30 Tahun, 10 Bulan, 25 Hari</v>
      </c>
      <c r="AC1573" s="18" t="n">
        <v>45879</v>
      </c>
      <c r="AD1573" s="18" t="n">
        <v>45970</v>
      </c>
      <c r="AE1573" s="18" t="s">
        <v>44</v>
      </c>
    </row>
    <row r="1574" customFormat="false" ht="15" hidden="false" customHeight="true" outlineLevel="0" collapsed="false">
      <c r="A1574" s="12" t="n">
        <v>16660</v>
      </c>
      <c r="B1574" s="13" t="s">
        <v>6899</v>
      </c>
      <c r="C1574" s="14" t="n">
        <v>45495</v>
      </c>
      <c r="D1574" s="13" t="s">
        <v>2033</v>
      </c>
      <c r="E1574" s="15" t="s">
        <v>33</v>
      </c>
      <c r="F1574" s="24" t="s">
        <v>6900</v>
      </c>
      <c r="G1574" s="15" t="s">
        <v>6901</v>
      </c>
      <c r="H1574" s="13" t="s">
        <v>2035</v>
      </c>
      <c r="I1574" s="13" t="str">
        <f aca="false">IF(C1574=J1574,"NEW KONTRAK","RE-KONTRAK")</f>
        <v>RE-KONTRAK</v>
      </c>
      <c r="J1574" s="16" t="n">
        <f aca="false" t="array" ref="J1574:J1574">IFERROR(INDEX(AC1574:AE1574,IF(COUNTA(AC1574:AE1574)=0,"",MAX((AC1574:AE1574&lt;&gt;"")*(COLUMN(AC1574:AE1574)-(COLUMN(AC1574)))))-1),"")</f>
        <v>45744</v>
      </c>
      <c r="K1574" s="16" t="n">
        <f aca="false" t="array" ref="K1574:K1574">IFERROR(INDEX(AC1574:AE1574,IF(COUNTA(AC1574:AE1574)=0,"",MAX((AC1574:AE1574&lt;&gt;"")*(COLUMN(AC1574:AE1574)-(COLUMN(AC1574)-1))))-1),"")</f>
        <v>45915</v>
      </c>
      <c r="L1574" s="17" t="str">
        <f aca="false" t="array" ref="L1574:L1574">IFERROR(INDEX(AC1574:AE1574,IF(COUNTA(AC1574:AE1574)=0,"",MAX((AC1574:AE1574&lt;&gt;"")*(COLUMN(AC1574:AE1574)-(COLUMN(AC1574)-2))))-1),"")</f>
        <v>ARCHIVED</v>
      </c>
      <c r="M1574" s="13" t="n">
        <f aca="true">K1574-TODAY()</f>
        <v>-409</v>
      </c>
      <c r="N1574" s="18" t="s">
        <v>2356</v>
      </c>
      <c r="O1574" s="13" t="s">
        <v>6902</v>
      </c>
      <c r="P1574" s="19" t="n">
        <v>3880136</v>
      </c>
      <c r="Q1574" s="20" t="s">
        <v>6903</v>
      </c>
      <c r="R1574" s="13" t="s">
        <v>6904</v>
      </c>
      <c r="S1574" s="14" t="n">
        <v>34949</v>
      </c>
      <c r="T1574" s="13" t="s">
        <v>40</v>
      </c>
      <c r="U1574" s="13" t="s">
        <v>6905</v>
      </c>
      <c r="V1574" s="13" t="s">
        <v>42</v>
      </c>
      <c r="W1574" s="13" t="s">
        <v>43</v>
      </c>
      <c r="X1574" s="21" t="n">
        <v>82217676870</v>
      </c>
      <c r="Y1574" s="22" t="str">
        <f aca="false">O1574</f>
        <v>Team Leader Promotor</v>
      </c>
      <c r="Z1574" s="13" t="str">
        <f aca="false">IFERROR(__xludf.dummyfunction("if(BJ1574="""","""",GOOGLETRANSLATE(BJ1574,""auto"",""en""))"),"Team Leader Promotor")</f>
        <v>Team Leader Promotor</v>
      </c>
      <c r="AA1574" s="23" t="str">
        <f aca="false">IF(C1574="","", CHOOSE(MONTH(C1574),"January","February","March","April","May","June","July","August","September","October","November","December")&amp;" "&amp;DAY(C1574)&amp;MID("thstndrdth",MIN(9,2*RIGHT(DAY(C1574))*(MOD(DAY(C1574)-11,100)&gt;2)+1),2)&amp;","&amp;TEXT(C1574," yyyy"))</f>
        <v>July 22nd,2024</v>
      </c>
      <c r="AB1574" s="15" t="str">
        <f aca="true">IF(S1574="","",DATEDIF(S1574,TODAY(),"Y")&amp;" Tahun, "&amp;DATEDIF(S1574,TODAY(),"YM")&amp;" Bulan, "&amp;DATEDIF(S1574,TODAY(),"MD")&amp;" Hari")</f>
        <v>31 Tahun, 1 Bulan, 22 Hari</v>
      </c>
      <c r="AC1574" s="18" t="n">
        <v>45744</v>
      </c>
      <c r="AD1574" s="18" t="n">
        <v>45915</v>
      </c>
      <c r="AE1574" s="18" t="s">
        <v>44</v>
      </c>
    </row>
    <row r="1575" customFormat="false" ht="15" hidden="false" customHeight="true" outlineLevel="0" collapsed="false">
      <c r="A1575" s="12" t="n">
        <v>16693</v>
      </c>
      <c r="B1575" s="13" t="s">
        <v>6906</v>
      </c>
      <c r="C1575" s="14" t="n">
        <v>45490</v>
      </c>
      <c r="D1575" s="13" t="s">
        <v>2033</v>
      </c>
      <c r="E1575" s="15" t="s">
        <v>33</v>
      </c>
      <c r="F1575" s="24" t="s">
        <v>6907</v>
      </c>
      <c r="G1575" s="15" t="s">
        <v>6908</v>
      </c>
      <c r="H1575" s="13" t="s">
        <v>2035</v>
      </c>
      <c r="I1575" s="13" t="str">
        <f aca="false">IF(C1575=J1575,"NEW KONTRAK","RE-KONTRAK")</f>
        <v>RE-KONTRAK</v>
      </c>
      <c r="J1575" s="16" t="n">
        <f aca="false" t="array" ref="J1575:J1575">IFERROR(INDEX(AC1575:AE1575,IF(COUNTA(AC1575:AE1575)=0,"",MAX((AC1575:AE1575&lt;&gt;"")*(COLUMN(AC1575:AE1575)-(COLUMN(AC1575)))))-1),"")</f>
        <v>45744</v>
      </c>
      <c r="K1575" s="16" t="n">
        <f aca="false" t="array" ref="K1575:K1575">IFERROR(INDEX(AC1575:AE1575,IF(COUNTA(AC1575:AE1575)=0,"",MAX((AC1575:AE1575&lt;&gt;"")*(COLUMN(AC1575:AE1575)-(COLUMN(AC1575)-1))))-1),"")</f>
        <v>45915</v>
      </c>
      <c r="L1575" s="17" t="str">
        <f aca="false" t="array" ref="L1575:L1575">IFERROR(INDEX(AC1575:AE1575,IF(COUNTA(AC1575:AE1575)=0,"",MAX((AC1575:AE1575&lt;&gt;"")*(COLUMN(AC1575:AE1575)-(COLUMN(AC1575)-2))))-1),"")</f>
        <v>ARCHIVED</v>
      </c>
      <c r="M1575" s="13" t="n">
        <f aca="true">K1575-TODAY()</f>
        <v>-409</v>
      </c>
      <c r="N1575" s="18" t="s">
        <v>3525</v>
      </c>
      <c r="O1575" s="13" t="s">
        <v>2037</v>
      </c>
      <c r="P1575" s="19" t="n">
        <v>2416560</v>
      </c>
      <c r="Q1575" s="20" t="s">
        <v>6909</v>
      </c>
      <c r="R1575" s="13" t="s">
        <v>97</v>
      </c>
      <c r="S1575" s="14" t="n">
        <v>38181</v>
      </c>
      <c r="T1575" s="13" t="s">
        <v>108</v>
      </c>
      <c r="U1575" s="13" t="s">
        <v>6910</v>
      </c>
      <c r="V1575" s="13" t="s">
        <v>42</v>
      </c>
      <c r="W1575" s="13" t="s">
        <v>43</v>
      </c>
      <c r="X1575" s="21" t="n">
        <v>85602645020</v>
      </c>
      <c r="Y1575" s="22" t="str">
        <f aca="false">O1575</f>
        <v>SPG/BA</v>
      </c>
      <c r="Z1575" s="13" t="str">
        <f aca="false">IFERROR(__xludf.dummyfunction("if(BJ1575="""","""",GOOGLETRANSLATE(BJ1575,""auto"",""en""))"),"SPG/BA")</f>
        <v>SPG/BA</v>
      </c>
      <c r="AA1575" s="23" t="str">
        <f aca="false">IF(C1575="","", CHOOSE(MONTH(C1575),"January","February","March","April","May","June","July","August","September","October","November","December")&amp;" "&amp;DAY(C1575)&amp;MID("thstndrdth",MIN(9,2*RIGHT(DAY(C1575))*(MOD(DAY(C1575)-11,100)&gt;2)+1),2)&amp;","&amp;TEXT(C1575," yyyy"))</f>
        <v>July 17th,2024</v>
      </c>
      <c r="AB1575" s="15" t="str">
        <f aca="true">IF(S1575="","",DATEDIF(S1575,TODAY(),"Y")&amp;" Tahun, "&amp;DATEDIF(S1575,TODAY(),"YM")&amp;" Bulan, "&amp;DATEDIF(S1575,TODAY(),"MD")&amp;" Hari")</f>
        <v>22 Tahun, 3 Bulan, 16 Hari</v>
      </c>
      <c r="AC1575" s="18" t="n">
        <v>45744</v>
      </c>
      <c r="AD1575" s="18" t="n">
        <v>45915</v>
      </c>
      <c r="AE1575" s="18" t="s">
        <v>44</v>
      </c>
    </row>
    <row r="1576" customFormat="false" ht="15" hidden="false" customHeight="true" outlineLevel="0" collapsed="false">
      <c r="A1576" s="12" t="n">
        <v>16703</v>
      </c>
      <c r="B1576" s="13" t="s">
        <v>6911</v>
      </c>
      <c r="C1576" s="14" t="n">
        <v>45498</v>
      </c>
      <c r="D1576" s="13" t="s">
        <v>2033</v>
      </c>
      <c r="E1576" s="15" t="s">
        <v>102</v>
      </c>
      <c r="F1576" s="15" t="str">
        <f aca="false">IFERROR(__xludf.dummyfunction("XLOOKUP(AJ1576,IMPORTRANGE(""1XaInW9DU9nz21V0tYIfzFQ0He9kVQ_JF2mCXgZ3hqFA"",""REKAP ALL 2026 - Andika!G:G""),IMPORTRANGE(""1XaInW9DU9nz21V0tYIfzFQ0He9kVQ_JF2mCXgZ3hqFA"",""REKAP ALL 2026 - Andika!F:F""),"""",0)"),"24120186036")</f>
        <v>24120186036</v>
      </c>
      <c r="G1576" s="15" t="s">
        <v>6912</v>
      </c>
      <c r="H1576" s="13" t="s">
        <v>2035</v>
      </c>
      <c r="I1576" s="13" t="str">
        <f aca="false">IF(C1576=J1576,"NEW KONTRAK","RE-KONTRAK")</f>
        <v>RE-KONTRAK</v>
      </c>
      <c r="J1576" s="16" t="n">
        <f aca="false" t="array" ref="J1576:J1576">IFERROR(INDEX(AC1576:AE1576,IF(COUNTA(AC1576:AE1576)=0,"",MAX((AC1576:AE1576&lt;&gt;"")*(COLUMN(AC1576:AE1576)-(COLUMN(AC1576)))))-1),"")</f>
        <v>45744</v>
      </c>
      <c r="K1576" s="16" t="n">
        <f aca="false" t="array" ref="K1576:K1576">IFERROR(INDEX(AC1576:AE1576,IF(COUNTA(AC1576:AE1576)=0,"",MAX((AC1576:AE1576&lt;&gt;"")*(COLUMN(AC1576:AE1576)-(COLUMN(AC1576)-1))))-1),"")</f>
        <v>45915</v>
      </c>
      <c r="L1576" s="17" t="str">
        <f aca="false" t="array" ref="L1576:L1576">IFERROR(INDEX(AC1576:AE1576,IF(COUNTA(AC1576:AE1576)=0,"",MAX((AC1576:AE1576&lt;&gt;"")*(COLUMN(AC1576:AE1576)-(COLUMN(AC1576)-2))))-1),"")</f>
        <v>ARCHIVED</v>
      </c>
      <c r="M1576" s="13" t="n">
        <f aca="true">K1576-TODAY()</f>
        <v>-409</v>
      </c>
      <c r="N1576" s="18" t="s">
        <v>4903</v>
      </c>
      <c r="O1576" s="13" t="s">
        <v>2037</v>
      </c>
      <c r="P1576" s="19" t="n">
        <v>3024820</v>
      </c>
      <c r="Q1576" s="20" t="s">
        <v>6913</v>
      </c>
      <c r="R1576" s="13" t="s">
        <v>4903</v>
      </c>
      <c r="S1576" s="14" t="n">
        <v>35273</v>
      </c>
      <c r="T1576" s="13" t="s">
        <v>108</v>
      </c>
      <c r="U1576" s="13" t="s">
        <v>6914</v>
      </c>
      <c r="V1576" s="13" t="s">
        <v>42</v>
      </c>
      <c r="W1576" s="13" t="s">
        <v>43</v>
      </c>
      <c r="X1576" s="21" t="n">
        <v>85350512426</v>
      </c>
      <c r="Y1576" s="22" t="str">
        <f aca="false">O1576</f>
        <v>SPG/BA</v>
      </c>
      <c r="Z1576" s="13" t="str">
        <f aca="false">IFERROR(__xludf.dummyfunction("if(BJ1576="""","""",GOOGLETRANSLATE(BJ1576,""auto"",""en""))"),"SPG/BA")</f>
        <v>SPG/BA</v>
      </c>
      <c r="AA1576" s="23" t="str">
        <f aca="false">IF(C1576="","", CHOOSE(MONTH(C1576),"January","February","March","April","May","June","July","August","September","October","November","December")&amp;" "&amp;DAY(C1576)&amp;MID("thstndrdth",MIN(9,2*RIGHT(DAY(C1576))*(MOD(DAY(C1576)-11,100)&gt;2)+1),2)&amp;","&amp;TEXT(C1576," yyyy"))</f>
        <v>July 25th,2024</v>
      </c>
      <c r="AB1576" s="15" t="str">
        <f aca="true">IF(S1576="","",DATEDIF(S1576,TODAY(),"Y")&amp;" Tahun, "&amp;DATEDIF(S1576,TODAY(),"YM")&amp;" Bulan, "&amp;DATEDIF(S1576,TODAY(),"MD")&amp;" Hari")</f>
        <v>30 Tahun, 3 Bulan, 2 Hari</v>
      </c>
      <c r="AC1576" s="18" t="n">
        <v>45744</v>
      </c>
      <c r="AD1576" s="18" t="n">
        <v>45915</v>
      </c>
      <c r="AE1576" s="18" t="s">
        <v>44</v>
      </c>
    </row>
    <row r="1577" customFormat="false" ht="15" hidden="false" customHeight="true" outlineLevel="0" collapsed="false">
      <c r="A1577" s="12" t="n">
        <v>22221</v>
      </c>
      <c r="B1577" s="13" t="s">
        <v>6915</v>
      </c>
      <c r="C1577" s="16" t="n">
        <v>46128.2916666667</v>
      </c>
      <c r="D1577" s="13" t="s">
        <v>2033</v>
      </c>
      <c r="E1577" s="15" t="s">
        <v>47</v>
      </c>
      <c r="F1577" s="15" t="str">
        <f aca="false">IFERROR(__xludf.dummyfunction("XLOOKUP(AJ1577,IMPORTRANGE(""1XaInW9DU9nz21V0tYIfzFQ0He9kVQ_JF2mCXgZ3hqFA"",""REKAP ALL 2026 - Andika!G:G""),IMPORTRANGE(""1XaInW9DU9nz21V0tYIfzFQ0He9kVQ_JF2mCXgZ3hqFA"",""REKAP ALL 2026 - Andika!F:F""),"""",0)"),"26062984062")</f>
        <v>26062984062</v>
      </c>
      <c r="G1577" s="13" t="s">
        <v>1127</v>
      </c>
      <c r="H1577" s="13" t="s">
        <v>35</v>
      </c>
      <c r="I1577" s="13" t="str">
        <f aca="false">IF(C1577=J1577,"NEW KONTRAK","RE-KONTRAK")</f>
        <v>NEW KONTRAK</v>
      </c>
      <c r="J1577" s="16" t="n">
        <f aca="false" t="array" ref="J1577:J1577">IFERROR(INDEX(AC1577:AE1577,IF(COUNTA(AC1577:AE1577)=0,"",MAX((AC1577:AE1577&lt;&gt;"")*(COLUMN(AC1577:AE1577)-(COLUMN(AC1577)))))-1),"")</f>
        <v>46128.2916666667</v>
      </c>
      <c r="K1577" s="16" t="n">
        <f aca="false" t="array" ref="K1577:K1577">IFERROR(INDEX(AC1577:AE1577,IF(COUNTA(AC1577:AE1577)=0,"",MAX((AC1577:AE1577&lt;&gt;"")*(COLUMN(AC1577:AE1577)-(COLUMN(AC1577)-1))))-1),"")</f>
        <v>46188</v>
      </c>
      <c r="L1577" s="17" t="str">
        <f aca="false" t="array" ref="L1577:L1577">IFERROR(INDEX(AC1577:AE1577,IF(COUNTA(AC1577:AE1577)=0,"",MAX((AC1577:AE1577&lt;&gt;"")*(COLUMN(AC1577:AE1577)-(COLUMN(AC1577)-2))))-1),"")</f>
        <v>KEMBALI</v>
      </c>
      <c r="M1577" s="13" t="n">
        <f aca="true">K1577-TODAY()</f>
        <v>-136</v>
      </c>
      <c r="N1577" s="18" t="s">
        <v>2390</v>
      </c>
      <c r="O1577" s="13" t="s">
        <v>2037</v>
      </c>
      <c r="P1577" s="19" t="n">
        <v>4192837</v>
      </c>
      <c r="Q1577" s="20" t="s">
        <v>6916</v>
      </c>
      <c r="R1577" s="13" t="s">
        <v>6917</v>
      </c>
      <c r="S1577" s="16" t="n">
        <v>38677</v>
      </c>
      <c r="T1577" s="13" t="s">
        <v>108</v>
      </c>
      <c r="U1577" s="13" t="s">
        <v>6918</v>
      </c>
      <c r="V1577" s="13" t="s">
        <v>42</v>
      </c>
      <c r="W1577" s="13" t="s">
        <v>43</v>
      </c>
      <c r="X1577" s="21" t="n">
        <v>85783421824</v>
      </c>
      <c r="Y1577" s="22" t="str">
        <f aca="false">O1577</f>
        <v>SPG/BA</v>
      </c>
      <c r="Z1577" s="13" t="str">
        <f aca="false">IFERROR(__xludf.dummyfunction("if(BJ1577="""","""",GOOGLETRANSLATE(BJ1577,""auto"",""en""))"),"SPG/BA")</f>
        <v>SPG/BA</v>
      </c>
      <c r="AA1577" s="23" t="str">
        <f aca="false">IF(C1577="","", CHOOSE(MONTH(C1577),"January","February","March","April","May","June","July","August","September","October","November","December")&amp;" "&amp;DAY(C1577)&amp;MID("thstndrdth",MIN(9,2*RIGHT(DAY(C1577))*(MOD(DAY(C1577)-11,100)&gt;2)+1),2)&amp;","&amp;TEXT(C1577," yyyy"))</f>
        <v>April 16th,2026</v>
      </c>
      <c r="AB1577" s="15" t="str">
        <f aca="true">IF(S1577="","",DATEDIF(S1577,TODAY(),"Y")&amp;" Tahun, "&amp;DATEDIF(S1577,TODAY(),"YM")&amp;" Bulan, "&amp;DATEDIF(S1577,TODAY(),"MD")&amp;" Hari")</f>
        <v>20 Tahun, 11 Bulan, 8 Hari</v>
      </c>
      <c r="AC1577" s="14" t="n">
        <f aca="false">C1577</f>
        <v>46128.2916666667</v>
      </c>
      <c r="AD1577" s="64" t="n">
        <v>46188</v>
      </c>
      <c r="AE1577" s="13" t="s">
        <v>397</v>
      </c>
    </row>
    <row r="1578" customFormat="false" ht="15" hidden="false" customHeight="true" outlineLevel="0" collapsed="false">
      <c r="A1578" s="12" t="n">
        <v>16709</v>
      </c>
      <c r="B1578" s="13" t="s">
        <v>6919</v>
      </c>
      <c r="C1578" s="14" t="n">
        <v>45509</v>
      </c>
      <c r="D1578" s="13" t="s">
        <v>2033</v>
      </c>
      <c r="E1578" s="15" t="s">
        <v>102</v>
      </c>
      <c r="F1578" s="15" t="str">
        <f aca="false">IFERROR(__xludf.dummyfunction("XLOOKUP(AJ1578,IMPORTRANGE(""1XaInW9DU9nz21V0tYIfzFQ0He9kVQ_JF2mCXgZ3hqFA"",""REKAP ALL 2026 - Andika!G:G""),IMPORTRANGE(""1XaInW9DU9nz21V0tYIfzFQ0He9kVQ_JF2mCXgZ3hqFA"",""REKAP ALL 2026 - Andika!F:F""),"""",0)"),"24120185988")</f>
        <v>24120185988</v>
      </c>
      <c r="G1578" s="15" t="s">
        <v>6920</v>
      </c>
      <c r="H1578" s="13" t="s">
        <v>2035</v>
      </c>
      <c r="I1578" s="13" t="str">
        <f aca="false">IF(C1578=J1578,"NEW KONTRAK","RE-KONTRAK")</f>
        <v>RE-KONTRAK</v>
      </c>
      <c r="J1578" s="16" t="n">
        <f aca="false" t="array" ref="J1578:J1578">IFERROR(INDEX(AC1578:AE1578,IF(COUNTA(AC1578:AE1578)=0,"",MAX((AC1578:AE1578&lt;&gt;"")*(COLUMN(AC1578:AE1578)-(COLUMN(AC1578)))))-1),"")</f>
        <v>45744</v>
      </c>
      <c r="K1578" s="16" t="n">
        <f aca="false" t="array" ref="K1578:K1578">IFERROR(INDEX(AC1578:AE1578,IF(COUNTA(AC1578:AE1578)=0,"",MAX((AC1578:AE1578&lt;&gt;"")*(COLUMN(AC1578:AE1578)-(COLUMN(AC1578)-1))))-1),"")</f>
        <v>45915</v>
      </c>
      <c r="L1578" s="17" t="str">
        <f aca="false" t="array" ref="L1578:L1578">IFERROR(INDEX(AC1578:AE1578,IF(COUNTA(AC1578:AE1578)=0,"",MAX((AC1578:AE1578&lt;&gt;"")*(COLUMN(AC1578:AE1578)-(COLUMN(AC1578)-2))))-1),"")</f>
        <v>ARCHIVED</v>
      </c>
      <c r="M1578" s="13" t="n">
        <f aca="true">K1578-TODAY()</f>
        <v>-409</v>
      </c>
      <c r="N1578" s="18" t="s">
        <v>3443</v>
      </c>
      <c r="O1578" s="13" t="s">
        <v>2037</v>
      </c>
      <c r="P1578" s="19" t="n">
        <v>3921000</v>
      </c>
      <c r="Q1578" s="20" t="s">
        <v>6921</v>
      </c>
      <c r="R1578" s="13" t="s">
        <v>6407</v>
      </c>
      <c r="S1578" s="14" t="n">
        <v>33659</v>
      </c>
      <c r="T1578" s="13" t="s">
        <v>108</v>
      </c>
      <c r="U1578" s="13" t="s">
        <v>6922</v>
      </c>
      <c r="V1578" s="13" t="s">
        <v>42</v>
      </c>
      <c r="W1578" s="13" t="s">
        <v>43</v>
      </c>
      <c r="X1578" s="21" t="n">
        <v>85397295700</v>
      </c>
      <c r="Y1578" s="22" t="str">
        <f aca="false">O1578</f>
        <v>SPG/BA</v>
      </c>
      <c r="Z1578" s="13" t="str">
        <f aca="false">IFERROR(__xludf.dummyfunction("if(BJ1578="""","""",GOOGLETRANSLATE(BJ1578,""auto"",""en""))"),"SPG/BA")</f>
        <v>SPG/BA</v>
      </c>
      <c r="AA1578" s="23" t="str">
        <f aca="false">IF(C1578="","", CHOOSE(MONTH(C1578),"January","February","March","April","May","June","July","August","September","October","November","December")&amp;" "&amp;DAY(C1578)&amp;MID("thstndrdth",MIN(9,2*RIGHT(DAY(C1578))*(MOD(DAY(C1578)-11,100)&gt;2)+1),2)&amp;","&amp;TEXT(C1578," yyyy"))</f>
        <v>August 5th,2024</v>
      </c>
      <c r="AB1578" s="15" t="str">
        <f aca="true">IF(S1578="","",DATEDIF(S1578,TODAY(),"Y")&amp;" Tahun, "&amp;DATEDIF(S1578,TODAY(),"YM")&amp;" Bulan, "&amp;DATEDIF(S1578,TODAY(),"MD")&amp;" Hari")</f>
        <v>34 Tahun, 8 Bulan, 4 Hari</v>
      </c>
      <c r="AC1578" s="18" t="n">
        <v>45744</v>
      </c>
      <c r="AD1578" s="18" t="n">
        <v>45915</v>
      </c>
      <c r="AE1578" s="18" t="s">
        <v>44</v>
      </c>
    </row>
    <row r="1579" customFormat="false" ht="15" hidden="false" customHeight="true" outlineLevel="0" collapsed="false">
      <c r="A1579" s="12" t="n">
        <v>10171</v>
      </c>
      <c r="B1579" s="13" t="s">
        <v>6923</v>
      </c>
      <c r="C1579" s="14" t="n">
        <v>44986</v>
      </c>
      <c r="D1579" s="13" t="s">
        <v>2033</v>
      </c>
      <c r="E1579" s="15" t="s">
        <v>47</v>
      </c>
      <c r="F1579" s="15" t="str">
        <f aca="false">IFERROR(__xludf.dummyfunction("XLOOKUP(AJ1579,IMPORTRANGE(""1XaInW9DU9nz21V0tYIfzFQ0He9kVQ_JF2mCXgZ3hqFA"",""REKAP ALL 2026 - Andika!G:G""),IMPORTRANGE(""1XaInW9DU9nz21V0tYIfzFQ0He9kVQ_JF2mCXgZ3hqFA"",""REKAP ALL 2026 - Andika!F:F""),"""",0)"),"23031603840")</f>
        <v>23031603840</v>
      </c>
      <c r="G1579" s="13" t="s">
        <v>6924</v>
      </c>
      <c r="H1579" s="13" t="s">
        <v>2035</v>
      </c>
      <c r="I1579" s="13" t="str">
        <f aca="false">IF(C1579=J1579,"NEW KONTRAK","RE-KONTRAK")</f>
        <v>RE-KONTRAK</v>
      </c>
      <c r="J1579" s="16" t="n">
        <f aca="false" t="array" ref="J1579:J1579">IFERROR(INDEX(AC1579:AE1579,IF(COUNTA(AC1579:AE1579)=0,"",MAX((AC1579:AE1579&lt;&gt;"")*(COLUMN(AC1579:AE1579)-(COLUMN(AC1579)))))-1),"")</f>
        <v>45744</v>
      </c>
      <c r="K1579" s="16" t="n">
        <f aca="false" t="array" ref="K1579:K1579">IFERROR(INDEX(AC1579:AE1579,IF(COUNTA(AC1579:AE1579)=0,"",MAX((AC1579:AE1579&lt;&gt;"")*(COLUMN(AC1579:AE1579)-(COLUMN(AC1579)-1))))-1),"")</f>
        <v>45915</v>
      </c>
      <c r="L1579" s="17" t="str">
        <f aca="false" t="array" ref="L1579:L1579">IFERROR(INDEX(AC1579:AE1579,IF(COUNTA(AC1579:AE1579)=0,"",MAX((AC1579:AE1579&lt;&gt;"")*(COLUMN(AC1579:AE1579)-(COLUMN(AC1579)-2))))-1),"")</f>
        <v>ARCHIVED</v>
      </c>
      <c r="M1579" s="13" t="n">
        <f aca="true">K1579-TODAY()</f>
        <v>-409</v>
      </c>
      <c r="N1579" s="18" t="s">
        <v>1308</v>
      </c>
      <c r="O1579" s="13" t="s">
        <v>2037</v>
      </c>
      <c r="P1579" s="19" t="n">
        <v>2773184</v>
      </c>
      <c r="Q1579" s="20" t="s">
        <v>6925</v>
      </c>
      <c r="R1579" s="13" t="s">
        <v>1308</v>
      </c>
      <c r="S1579" s="14" t="n">
        <v>32992</v>
      </c>
      <c r="T1579" s="13" t="s">
        <v>108</v>
      </c>
      <c r="U1579" s="13" t="s">
        <v>6926</v>
      </c>
      <c r="V1579" s="13" t="s">
        <v>42</v>
      </c>
      <c r="W1579" s="13" t="s">
        <v>54</v>
      </c>
      <c r="X1579" s="21" t="n">
        <v>82134058181</v>
      </c>
      <c r="Y1579" s="22" t="str">
        <f aca="false">O1579</f>
        <v>SPG/BA</v>
      </c>
      <c r="Z1579" s="13" t="str">
        <f aca="false">IFERROR(__xludf.dummyfunction("if(BJ1579="""","""",GOOGLETRANSLATE(BJ1579,""auto"",""en""))"),"SPG/BA")</f>
        <v>SPG/BA</v>
      </c>
      <c r="AA1579" s="23" t="str">
        <f aca="false">IF(C1579="","", CHOOSE(MONTH(C1579),"January","February","March","April","May","June","July","August","September","October","November","December")&amp;" "&amp;DAY(C1579)&amp;MID("thstndrdth",MIN(9,2*RIGHT(DAY(C1579))*(MOD(DAY(C1579)-11,100)&gt;2)+1),2)&amp;","&amp;TEXT(C1579," yyyy"))</f>
        <v>March 1st,2023</v>
      </c>
      <c r="AB1579" s="15" t="str">
        <f aca="true">IF(S1579="","",DATEDIF(S1579,TODAY(),"Y")&amp;" Tahun, "&amp;DATEDIF(S1579,TODAY(),"YM")&amp;" Bulan, "&amp;DATEDIF(S1579,TODAY(),"MD")&amp;" Hari")</f>
        <v>36 Tahun, 6 Bulan, 0 Hari</v>
      </c>
      <c r="AC1579" s="18" t="n">
        <v>45744</v>
      </c>
      <c r="AD1579" s="18" t="n">
        <v>45915</v>
      </c>
      <c r="AE1579" s="18" t="s">
        <v>44</v>
      </c>
    </row>
    <row r="1580" customFormat="false" ht="15" hidden="false" customHeight="true" outlineLevel="0" collapsed="false">
      <c r="A1580" s="12" t="n">
        <v>16717</v>
      </c>
      <c r="B1580" s="13" t="s">
        <v>6927</v>
      </c>
      <c r="C1580" s="14" t="n">
        <v>45526</v>
      </c>
      <c r="D1580" s="13" t="s">
        <v>5726</v>
      </c>
      <c r="E1580" s="15" t="s">
        <v>47</v>
      </c>
      <c r="F1580" s="15" t="str">
        <f aca="false">IFERROR(__xludf.dummyfunction("XLOOKUP(AJ1580,IMPORTRANGE(""1XaInW9DU9nz21V0tYIfzFQ0He9kVQ_JF2mCXgZ3hqFA"",""REKAP ALL 2026 - Andika!G:G""),IMPORTRANGE(""1XaInW9DU9nz21V0tYIfzFQ0He9kVQ_JF2mCXgZ3hqFA"",""REKAP ALL 2026 - Andika!F:F""),"""",0)"),"24120185814")</f>
        <v>24120185814</v>
      </c>
      <c r="G1580" s="15" t="s">
        <v>6928</v>
      </c>
      <c r="H1580" s="13" t="s">
        <v>35</v>
      </c>
      <c r="I1580" s="13" t="str">
        <f aca="false">IF(C1580=J1580,"NEW KONTRAK","RE-KONTRAK")</f>
        <v>RE-KONTRAK</v>
      </c>
      <c r="J1580" s="16" t="n">
        <f aca="false" t="array" ref="J1580:J1580">IFERROR(INDEX(AC1580:AE1580,IF(COUNTA(AC1580:AE1580)=0,"",MAX((AC1580:AE1580&lt;&gt;"")*(COLUMN(AC1580:AE1580)-(COLUMN(AC1580)))))-1),"")</f>
        <v>45891</v>
      </c>
      <c r="K1580" s="16" t="n">
        <f aca="false" t="array" ref="K1580:K1580">IFERROR(INDEX(AC1580:AE1580,IF(COUNTA(AC1580:AE1580)=0,"",MAX((AC1580:AE1580&lt;&gt;"")*(COLUMN(AC1580:AE1580)-(COLUMN(AC1580)-1))))-1),"")</f>
        <v>45982</v>
      </c>
      <c r="L1580" s="17" t="str">
        <f aca="false" t="array" ref="L1580:L1580">IFERROR(INDEX(AC1580:AE1580,IF(COUNTA(AC1580:AE1580)=0,"",MAX((AC1580:AE1580&lt;&gt;"")*(COLUMN(AC1580:AE1580)-(COLUMN(AC1580)-2))))-1),"")</f>
        <v>ARCHIVED</v>
      </c>
      <c r="M1580" s="13" t="n">
        <f aca="true">K1580-TODAY()</f>
        <v>-342</v>
      </c>
      <c r="N1580" s="18" t="s">
        <v>615</v>
      </c>
      <c r="O1580" s="13" t="s">
        <v>1531</v>
      </c>
      <c r="P1580" s="19" t="n">
        <v>5176101</v>
      </c>
      <c r="Q1580" s="20" t="s">
        <v>6929</v>
      </c>
      <c r="R1580" s="13" t="s">
        <v>232</v>
      </c>
      <c r="S1580" s="14" t="n">
        <v>35763</v>
      </c>
      <c r="T1580" s="13" t="s">
        <v>40</v>
      </c>
      <c r="U1580" s="13" t="s">
        <v>6930</v>
      </c>
      <c r="V1580" s="13" t="s">
        <v>42</v>
      </c>
      <c r="W1580" s="13" t="s">
        <v>54</v>
      </c>
      <c r="X1580" s="21" t="n">
        <v>881026191306</v>
      </c>
      <c r="Y1580" s="22" t="str">
        <f aca="false">O1580</f>
        <v>Packer</v>
      </c>
      <c r="Z1580" s="13" t="str">
        <f aca="false">IFERROR(__xludf.dummyfunction("if(BJ1580="""","""",GOOGLETRANSLATE(BJ1580,""auto"",""en""))"),"Packer")</f>
        <v>Packer</v>
      </c>
      <c r="AA1580" s="23" t="str">
        <f aca="false">IF(C1580="","", CHOOSE(MONTH(C1580),"January","February","March","April","May","June","July","August","September","October","November","December")&amp;" "&amp;DAY(C1580)&amp;MID("thstndrdth",MIN(9,2*RIGHT(DAY(C1580))*(MOD(DAY(C1580)-11,100)&gt;2)+1),2)&amp;","&amp;TEXT(C1580," yyyy"))</f>
        <v>August 22nd,2024</v>
      </c>
      <c r="AB1580" s="15" t="str">
        <f aca="true">IF(S1580="","",DATEDIF(S1580,TODAY(),"Y")&amp;" Tahun, "&amp;DATEDIF(S1580,TODAY(),"YM")&amp;" Bulan, "&amp;DATEDIF(S1580,TODAY(),"MD")&amp;" Hari")</f>
        <v>28 Tahun, 11 Bulan, 0 Hari</v>
      </c>
      <c r="AC1580" s="18" t="n">
        <v>45891</v>
      </c>
      <c r="AD1580" s="18" t="n">
        <v>45982</v>
      </c>
      <c r="AE1580" s="18" t="s">
        <v>44</v>
      </c>
    </row>
    <row r="1581" customFormat="false" ht="15" hidden="false" customHeight="true" outlineLevel="0" collapsed="false">
      <c r="A1581" s="12" t="n">
        <v>16718</v>
      </c>
      <c r="B1581" s="13" t="s">
        <v>6931</v>
      </c>
      <c r="C1581" s="14" t="n">
        <v>45535</v>
      </c>
      <c r="D1581" s="13" t="s">
        <v>5726</v>
      </c>
      <c r="E1581" s="15" t="s">
        <v>47</v>
      </c>
      <c r="F1581" s="15" t="str">
        <f aca="false">IFERROR(__xludf.dummyfunction("XLOOKUP(AJ1581,IMPORTRANGE(""1XaInW9DU9nz21V0tYIfzFQ0He9kVQ_JF2mCXgZ3hqFA"",""REKAP ALL 2026 - Andika!G:G""),IMPORTRANGE(""1XaInW9DU9nz21V0tYIfzFQ0He9kVQ_JF2mCXgZ3hqFA"",""REKAP ALL 2026 - Andika!F:F""),"""",0)"),"24120185913")</f>
        <v>24120185913</v>
      </c>
      <c r="G1581" s="15" t="s">
        <v>6932</v>
      </c>
      <c r="H1581" s="13" t="s">
        <v>35</v>
      </c>
      <c r="I1581" s="13" t="str">
        <f aca="false">IF(C1581=J1581,"NEW KONTRAK","RE-KONTRAK")</f>
        <v>RE-KONTRAK</v>
      </c>
      <c r="J1581" s="16" t="n">
        <f aca="false" t="array" ref="J1581:J1581">IFERROR(INDEX(AC1581:AE1581,IF(COUNTA(AC1581:AE1581)=0,"",MAX((AC1581:AE1581&lt;&gt;"")*(COLUMN(AC1581:AE1581)-(COLUMN(AC1581)))))-1),"")</f>
        <v>45900</v>
      </c>
      <c r="K1581" s="16" t="n">
        <f aca="false" t="array" ref="K1581:K1581">IFERROR(INDEX(AC1581:AE1581,IF(COUNTA(AC1581:AE1581)=0,"",MAX((AC1581:AE1581&lt;&gt;"")*(COLUMN(AC1581:AE1581)-(COLUMN(AC1581)-1))))-1),"")</f>
        <v>45990</v>
      </c>
      <c r="L1581" s="17" t="str">
        <f aca="false" t="array" ref="L1581:L1581">IFERROR(INDEX(AC1581:AE1581,IF(COUNTA(AC1581:AE1581)=0,"",MAX((AC1581:AE1581&lt;&gt;"")*(COLUMN(AC1581:AE1581)-(COLUMN(AC1581)-2))))-1),"")</f>
        <v>ARCHIVED</v>
      </c>
      <c r="M1581" s="13" t="n">
        <f aca="true">K1581-TODAY()</f>
        <v>-334</v>
      </c>
      <c r="N1581" s="18" t="s">
        <v>615</v>
      </c>
      <c r="O1581" s="13" t="s">
        <v>1827</v>
      </c>
      <c r="P1581" s="19" t="n">
        <v>5176101</v>
      </c>
      <c r="Q1581" s="20" t="s">
        <v>6933</v>
      </c>
      <c r="R1581" s="13" t="s">
        <v>232</v>
      </c>
      <c r="S1581" s="14" t="n">
        <v>35292</v>
      </c>
      <c r="T1581" s="13" t="s">
        <v>40</v>
      </c>
      <c r="U1581" s="13" t="s">
        <v>6934</v>
      </c>
      <c r="V1581" s="13" t="s">
        <v>42</v>
      </c>
      <c r="W1581" s="13" t="s">
        <v>54</v>
      </c>
      <c r="X1581" s="21" t="n">
        <v>81515592132</v>
      </c>
      <c r="Y1581" s="22" t="str">
        <f aca="false">O1581</f>
        <v>Printing Operator</v>
      </c>
      <c r="Z1581" s="13" t="str">
        <f aca="false">IFERROR(__xludf.dummyfunction("if(BJ1581="""","""",GOOGLETRANSLATE(BJ1581,""auto"",""en""))"),"Printing Operator")</f>
        <v>Printing Operator</v>
      </c>
      <c r="AA1581" s="23" t="str">
        <f aca="false">IF(C1581="","", CHOOSE(MONTH(C1581),"January","February","March","April","May","June","July","August","September","October","November","December")&amp;" "&amp;DAY(C1581)&amp;MID("thstndrdth",MIN(9,2*RIGHT(DAY(C1581))*(MOD(DAY(C1581)-11,100)&gt;2)+1),2)&amp;","&amp;TEXT(C1581," yyyy"))</f>
        <v>August 31st,2024</v>
      </c>
      <c r="AB1581" s="15" t="str">
        <f aca="true">IF(S1581="","",DATEDIF(S1581,TODAY(),"Y")&amp;" Tahun, "&amp;DATEDIF(S1581,TODAY(),"YM")&amp;" Bulan, "&amp;DATEDIF(S1581,TODAY(),"MD")&amp;" Hari")</f>
        <v>30 Tahun, 2 Bulan, 14 Hari</v>
      </c>
      <c r="AC1581" s="18" t="n">
        <v>45900</v>
      </c>
      <c r="AD1581" s="18" t="n">
        <v>45990</v>
      </c>
      <c r="AE1581" s="18" t="s">
        <v>44</v>
      </c>
    </row>
    <row r="1582" customFormat="false" ht="15" hidden="false" customHeight="true" outlineLevel="0" collapsed="false">
      <c r="A1582" s="12" t="n">
        <v>16719</v>
      </c>
      <c r="B1582" s="13" t="s">
        <v>6935</v>
      </c>
      <c r="C1582" s="14" t="n">
        <v>45533</v>
      </c>
      <c r="D1582" s="13" t="s">
        <v>5726</v>
      </c>
      <c r="E1582" s="15" t="s">
        <v>47</v>
      </c>
      <c r="F1582" s="15" t="str">
        <f aca="false">IFERROR(__xludf.dummyfunction("XLOOKUP(AJ1582,IMPORTRANGE(""1XaInW9DU9nz21V0tYIfzFQ0He9kVQ_JF2mCXgZ3hqFA"",""REKAP ALL 2026 - Andika!G:G""),IMPORTRANGE(""1XaInW9DU9nz21V0tYIfzFQ0He9kVQ_JF2mCXgZ3hqFA"",""REKAP ALL 2026 - Andika!F:F""),"""",0)"),"24120185806")</f>
        <v>24120185806</v>
      </c>
      <c r="G1582" s="15" t="s">
        <v>6936</v>
      </c>
      <c r="H1582" s="13" t="s">
        <v>35</v>
      </c>
      <c r="I1582" s="13" t="str">
        <f aca="false">IF(C1582=J1582,"NEW KONTRAK","RE-KONTRAK")</f>
        <v>RE-KONTRAK</v>
      </c>
      <c r="J1582" s="16" t="n">
        <f aca="false" t="array" ref="J1582:J1582">IFERROR(INDEX(AC1582:AE1582,IF(COUNTA(AC1582:AE1582)=0,"",MAX((AC1582:AE1582&lt;&gt;"")*(COLUMN(AC1582:AE1582)-(COLUMN(AC1582)))))-1),"")</f>
        <v>45898</v>
      </c>
      <c r="K1582" s="16" t="n">
        <f aca="false" t="array" ref="K1582:K1582">IFERROR(INDEX(AC1582:AE1582,IF(COUNTA(AC1582:AE1582)=0,"",MAX((AC1582:AE1582&lt;&gt;"")*(COLUMN(AC1582:AE1582)-(COLUMN(AC1582)-1))))-1),"")</f>
        <v>45989</v>
      </c>
      <c r="L1582" s="17" t="str">
        <f aca="false" t="array" ref="L1582:L1582">IFERROR(INDEX(AC1582:AE1582,IF(COUNTA(AC1582:AE1582)=0,"",MAX((AC1582:AE1582&lt;&gt;"")*(COLUMN(AC1582:AE1582)-(COLUMN(AC1582)-2))))-1),"")</f>
        <v>ARCHIVED</v>
      </c>
      <c r="M1582" s="13" t="n">
        <f aca="true">K1582-TODAY()</f>
        <v>-335</v>
      </c>
      <c r="N1582" s="18" t="s">
        <v>615</v>
      </c>
      <c r="O1582" s="13" t="s">
        <v>1531</v>
      </c>
      <c r="P1582" s="19" t="n">
        <v>5176101</v>
      </c>
      <c r="Q1582" s="20" t="s">
        <v>6937</v>
      </c>
      <c r="R1582" s="13" t="s">
        <v>232</v>
      </c>
      <c r="S1582" s="14" t="n">
        <v>34853</v>
      </c>
      <c r="T1582" s="13" t="s">
        <v>40</v>
      </c>
      <c r="U1582" s="13" t="s">
        <v>6938</v>
      </c>
      <c r="V1582" s="13" t="s">
        <v>42</v>
      </c>
      <c r="W1582" s="13" t="s">
        <v>54</v>
      </c>
      <c r="X1582" s="21" t="n">
        <v>89695802802</v>
      </c>
      <c r="Y1582" s="22" t="str">
        <f aca="false">O1582</f>
        <v>Packer</v>
      </c>
      <c r="Z1582" s="13" t="str">
        <f aca="false">IFERROR(__xludf.dummyfunction("if(BJ1582="""","""",GOOGLETRANSLATE(BJ1582,""auto"",""en""))"),"Packer")</f>
        <v>Packer</v>
      </c>
      <c r="AA1582" s="23" t="str">
        <f aca="false">IF(C1582="","", CHOOSE(MONTH(C1582),"January","February","March","April","May","June","July","August","September","October","November","December")&amp;" "&amp;DAY(C1582)&amp;MID("thstndrdth",MIN(9,2*RIGHT(DAY(C1582))*(MOD(DAY(C1582)-11,100)&gt;2)+1),2)&amp;","&amp;TEXT(C1582," yyyy"))</f>
        <v>August 29th,2024</v>
      </c>
      <c r="AB1582" s="15" t="str">
        <f aca="true">IF(S1582="","",DATEDIF(S1582,TODAY(),"Y")&amp;" Tahun, "&amp;DATEDIF(S1582,TODAY(),"YM")&amp;" Bulan, "&amp;DATEDIF(S1582,TODAY(),"MD")&amp;" Hari")</f>
        <v>31 Tahun, 4 Bulan, 26 Hari</v>
      </c>
      <c r="AC1582" s="18" t="n">
        <v>45898</v>
      </c>
      <c r="AD1582" s="18" t="n">
        <v>45989</v>
      </c>
      <c r="AE1582" s="18" t="s">
        <v>44</v>
      </c>
    </row>
    <row r="1583" customFormat="false" ht="15" hidden="false" customHeight="true" outlineLevel="0" collapsed="false">
      <c r="A1583" s="12" t="n">
        <v>16721</v>
      </c>
      <c r="B1583" s="13" t="s">
        <v>6939</v>
      </c>
      <c r="C1583" s="14" t="n">
        <v>45530</v>
      </c>
      <c r="D1583" s="13" t="s">
        <v>5726</v>
      </c>
      <c r="E1583" s="15" t="s">
        <v>47</v>
      </c>
      <c r="F1583" s="15" t="str">
        <f aca="false">IFERROR(__xludf.dummyfunction("XLOOKUP(AJ1583,IMPORTRANGE(""1XaInW9DU9nz21V0tYIfzFQ0He9kVQ_JF2mCXgZ3hqFA"",""REKAP ALL 2026 - Andika!G:G""),IMPORTRANGE(""1XaInW9DU9nz21V0tYIfzFQ0He9kVQ_JF2mCXgZ3hqFA"",""REKAP ALL 2026 - Andika!F:F""),"""",0)"),"24120185889")</f>
        <v>24120185889</v>
      </c>
      <c r="G1583" s="15" t="s">
        <v>6940</v>
      </c>
      <c r="H1583" s="13" t="s">
        <v>35</v>
      </c>
      <c r="I1583" s="13" t="str">
        <f aca="false">IF(C1583=J1583,"NEW KONTRAK","RE-KONTRAK")</f>
        <v>RE-KONTRAK</v>
      </c>
      <c r="J1583" s="16" t="n">
        <f aca="false" t="array" ref="J1583:J1583">IFERROR(INDEX(AC1583:AE1583,IF(COUNTA(AC1583:AE1583)=0,"",MAX((AC1583:AE1583&lt;&gt;"")*(COLUMN(AC1583:AE1583)-(COLUMN(AC1583)))))-1),"")</f>
        <v>45895</v>
      </c>
      <c r="K1583" s="16" t="n">
        <f aca="false" t="array" ref="K1583:K1583">IFERROR(INDEX(AC1583:AE1583,IF(COUNTA(AC1583:AE1583)=0,"",MAX((AC1583:AE1583&lt;&gt;"")*(COLUMN(AC1583:AE1583)-(COLUMN(AC1583)-1))))-1),"")</f>
        <v>45986</v>
      </c>
      <c r="L1583" s="17" t="str">
        <f aca="false" t="array" ref="L1583:L1583">IFERROR(INDEX(AC1583:AE1583,IF(COUNTA(AC1583:AE1583)=0,"",MAX((AC1583:AE1583&lt;&gt;"")*(COLUMN(AC1583:AE1583)-(COLUMN(AC1583)-2))))-1),"")</f>
        <v>ARCHIVED</v>
      </c>
      <c r="M1583" s="13" t="n">
        <f aca="true">K1583-TODAY()</f>
        <v>-338</v>
      </c>
      <c r="N1583" s="18" t="s">
        <v>615</v>
      </c>
      <c r="O1583" s="13" t="s">
        <v>1531</v>
      </c>
      <c r="P1583" s="19" t="n">
        <v>5176101</v>
      </c>
      <c r="Q1583" s="20" t="s">
        <v>6941</v>
      </c>
      <c r="R1583" s="13" t="s">
        <v>232</v>
      </c>
      <c r="S1583" s="14" t="n">
        <v>36739</v>
      </c>
      <c r="T1583" s="13" t="s">
        <v>108</v>
      </c>
      <c r="U1583" s="13" t="s">
        <v>6942</v>
      </c>
      <c r="V1583" s="13" t="s">
        <v>42</v>
      </c>
      <c r="W1583" s="13" t="s">
        <v>43</v>
      </c>
      <c r="X1583" s="21" t="n">
        <v>82334261037</v>
      </c>
      <c r="Y1583" s="22" t="str">
        <f aca="false">O1583</f>
        <v>Packer</v>
      </c>
      <c r="Z1583" s="13" t="str">
        <f aca="false">IFERROR(__xludf.dummyfunction("if(BJ1583="""","""",GOOGLETRANSLATE(BJ1583,""auto"",""en""))"),"Packer")</f>
        <v>Packer</v>
      </c>
      <c r="AA1583" s="23" t="str">
        <f aca="false">IF(C1583="","", CHOOSE(MONTH(C1583),"January","February","March","April","May","June","July","August","September","October","November","December")&amp;" "&amp;DAY(C1583)&amp;MID("thstndrdth",MIN(9,2*RIGHT(DAY(C1583))*(MOD(DAY(C1583)-11,100)&gt;2)+1),2)&amp;","&amp;TEXT(C1583," yyyy"))</f>
        <v>August 26th,2024</v>
      </c>
      <c r="AB1583" s="15" t="str">
        <f aca="true">IF(S1583="","",DATEDIF(S1583,TODAY(),"Y")&amp;" Tahun, "&amp;DATEDIF(S1583,TODAY(),"YM")&amp;" Bulan, "&amp;DATEDIF(S1583,TODAY(),"MD")&amp;" Hari")</f>
        <v>26 Tahun, 2 Bulan, 28 Hari</v>
      </c>
      <c r="AC1583" s="18" t="n">
        <v>45895</v>
      </c>
      <c r="AD1583" s="18" t="n">
        <v>45986</v>
      </c>
      <c r="AE1583" s="18" t="s">
        <v>44</v>
      </c>
    </row>
    <row r="1584" customFormat="false" ht="15" hidden="false" customHeight="true" outlineLevel="0" collapsed="false">
      <c r="A1584" s="12" t="n">
        <v>16724</v>
      </c>
      <c r="B1584" s="13" t="s">
        <v>6943</v>
      </c>
      <c r="C1584" s="14" t="n">
        <v>45532</v>
      </c>
      <c r="D1584" s="13" t="s">
        <v>5726</v>
      </c>
      <c r="E1584" s="15" t="s">
        <v>47</v>
      </c>
      <c r="F1584" s="15" t="str">
        <f aca="false">IFERROR(__xludf.dummyfunction("XLOOKUP(AJ1584,IMPORTRANGE(""1XaInW9DU9nz21V0tYIfzFQ0He9kVQ_JF2mCXgZ3hqFA"",""REKAP ALL 2026 - Andika!G:G""),IMPORTRANGE(""1XaInW9DU9nz21V0tYIfzFQ0He9kVQ_JF2mCXgZ3hqFA"",""REKAP ALL 2026 - Andika!F:F""),"""",0)"),"24120185764")</f>
        <v>24120185764</v>
      </c>
      <c r="G1584" s="15" t="s">
        <v>6944</v>
      </c>
      <c r="H1584" s="13" t="s">
        <v>35</v>
      </c>
      <c r="I1584" s="13" t="str">
        <f aca="false">IF(C1584=J1584,"NEW KONTRAK","RE-KONTRAK")</f>
        <v>RE-KONTRAK</v>
      </c>
      <c r="J1584" s="16" t="n">
        <f aca="false" t="array" ref="J1584:J1584">IFERROR(INDEX(AC1584:AE1584,IF(COUNTA(AC1584:AE1584)=0,"",MAX((AC1584:AE1584&lt;&gt;"")*(COLUMN(AC1584:AE1584)-(COLUMN(AC1584)))))-1),"")</f>
        <v>45897</v>
      </c>
      <c r="K1584" s="16" t="n">
        <f aca="false" t="array" ref="K1584:K1584">IFERROR(INDEX(AC1584:AE1584,IF(COUNTA(AC1584:AE1584)=0,"",MAX((AC1584:AE1584&lt;&gt;"")*(COLUMN(AC1584:AE1584)-(COLUMN(AC1584)-1))))-1),"")</f>
        <v>45988</v>
      </c>
      <c r="L1584" s="17" t="str">
        <f aca="false" t="array" ref="L1584:L1584">IFERROR(INDEX(AC1584:AE1584,IF(COUNTA(AC1584:AE1584)=0,"",MAX((AC1584:AE1584&lt;&gt;"")*(COLUMN(AC1584:AE1584)-(COLUMN(AC1584)-2))))-1),"")</f>
        <v>ARCHIVED</v>
      </c>
      <c r="M1584" s="13" t="n">
        <f aca="true">K1584-TODAY()</f>
        <v>-336</v>
      </c>
      <c r="N1584" s="18" t="s">
        <v>615</v>
      </c>
      <c r="O1584" s="13" t="s">
        <v>1531</v>
      </c>
      <c r="P1584" s="19" t="n">
        <v>5176101</v>
      </c>
      <c r="Q1584" s="20" t="s">
        <v>6945</v>
      </c>
      <c r="R1584" s="13" t="s">
        <v>232</v>
      </c>
      <c r="S1584" s="14" t="n">
        <v>35798</v>
      </c>
      <c r="T1584" s="13" t="s">
        <v>40</v>
      </c>
      <c r="U1584" s="13" t="s">
        <v>6946</v>
      </c>
      <c r="V1584" s="13" t="s">
        <v>42</v>
      </c>
      <c r="W1584" s="13" t="s">
        <v>54</v>
      </c>
      <c r="X1584" s="21" t="n">
        <v>89676170898</v>
      </c>
      <c r="Y1584" s="22" t="str">
        <f aca="false">O1584</f>
        <v>Packer</v>
      </c>
      <c r="Z1584" s="13" t="str">
        <f aca="false">IFERROR(__xludf.dummyfunction("if(BJ1584="""","""",GOOGLETRANSLATE(BJ1584,""auto"",""en""))"),"Packer")</f>
        <v>Packer</v>
      </c>
      <c r="AA1584" s="23" t="str">
        <f aca="false">IF(C1584="","", CHOOSE(MONTH(C1584),"January","February","March","April","May","June","July","August","September","October","November","December")&amp;" "&amp;DAY(C1584)&amp;MID("thstndrdth",MIN(9,2*RIGHT(DAY(C1584))*(MOD(DAY(C1584)-11,100)&gt;2)+1),2)&amp;","&amp;TEXT(C1584," yyyy"))</f>
        <v>August 28th,2024</v>
      </c>
      <c r="AB1584" s="15" t="str">
        <f aca="true">IF(S1584="","",DATEDIF(S1584,TODAY(),"Y")&amp;" Tahun, "&amp;DATEDIF(S1584,TODAY(),"YM")&amp;" Bulan, "&amp;DATEDIF(S1584,TODAY(),"MD")&amp;" Hari")</f>
        <v>28 Tahun, 9 Bulan, 26 Hari</v>
      </c>
      <c r="AC1584" s="18" t="n">
        <v>45897</v>
      </c>
      <c r="AD1584" s="18" t="n">
        <v>45988</v>
      </c>
      <c r="AE1584" s="18" t="s">
        <v>44</v>
      </c>
    </row>
    <row r="1585" customFormat="false" ht="15" hidden="false" customHeight="true" outlineLevel="0" collapsed="false">
      <c r="A1585" s="12" t="n">
        <v>16731</v>
      </c>
      <c r="B1585" s="13" t="s">
        <v>6947</v>
      </c>
      <c r="C1585" s="14" t="n">
        <v>45525</v>
      </c>
      <c r="D1585" s="13" t="s">
        <v>144</v>
      </c>
      <c r="E1585" s="15" t="s">
        <v>47</v>
      </c>
      <c r="F1585" s="15" t="str">
        <f aca="false">IFERROR(__xludf.dummyfunction("XLOOKUP(AJ1585,IMPORTRANGE(""1XaInW9DU9nz21V0tYIfzFQ0He9kVQ_JF2mCXgZ3hqFA"",""REKAP ALL 2026 - Andika!G:G""),IMPORTRANGE(""1XaInW9DU9nz21V0tYIfzFQ0He9kVQ_JF2mCXgZ3hqFA"",""REKAP ALL 2026 - Andika!F:F""),"""",0)"),"24138556170")</f>
        <v>24138556170</v>
      </c>
      <c r="G1585" s="15" t="s">
        <v>6948</v>
      </c>
      <c r="H1585" s="13" t="s">
        <v>35</v>
      </c>
      <c r="I1585" s="13" t="str">
        <f aca="false">IF(C1585=J1585,"NEW KONTRAK","RE-KONTRAK")</f>
        <v>RE-KONTRAK</v>
      </c>
      <c r="J1585" s="16" t="n">
        <f aca="false" t="array" ref="J1585:J1585">IFERROR(INDEX(AC1585:AE1585,IF(COUNTA(AC1585:AE1585)=0,"",MAX((AC1585:AE1585&lt;&gt;"")*(COLUMN(AC1585:AE1585)-(COLUMN(AC1585)))))-1),"")</f>
        <v>45658</v>
      </c>
      <c r="K1585" s="16" t="n">
        <f aca="false" t="array" ref="K1585:K1585">IFERROR(INDEX(AC1585:AE1585,IF(COUNTA(AC1585:AE1585)=0,"",MAX((AC1585:AE1585&lt;&gt;"")*(COLUMN(AC1585:AE1585)-(COLUMN(AC1585)-1))))-1),"")</f>
        <v>46022</v>
      </c>
      <c r="L1585" s="17" t="str">
        <f aca="false" t="array" ref="L1585:L1585">IFERROR(INDEX(AC1585:AE1585,IF(COUNTA(AC1585:AE1585)=0,"",MAX((AC1585:AE1585&lt;&gt;"")*(COLUMN(AC1585:AE1585)-(COLUMN(AC1585)-2))))-1),"")</f>
        <v>ARCHIVED</v>
      </c>
      <c r="M1585" s="13" t="n">
        <f aca="true">K1585-TODAY()</f>
        <v>-302</v>
      </c>
      <c r="N1585" s="18" t="s">
        <v>36</v>
      </c>
      <c r="O1585" s="13" t="s">
        <v>146</v>
      </c>
      <c r="P1585" s="19" t="n">
        <v>5195401</v>
      </c>
      <c r="Q1585" s="20" t="s">
        <v>6949</v>
      </c>
      <c r="R1585" s="13" t="s">
        <v>78</v>
      </c>
      <c r="S1585" s="14" t="n">
        <v>35177</v>
      </c>
      <c r="T1585" s="13" t="s">
        <v>40</v>
      </c>
      <c r="U1585" s="13" t="s">
        <v>6950</v>
      </c>
      <c r="V1585" s="13" t="s">
        <v>99</v>
      </c>
      <c r="W1585" s="13" t="s">
        <v>43</v>
      </c>
      <c r="X1585" s="21" t="n">
        <v>89606760617</v>
      </c>
      <c r="Y1585" s="22" t="str">
        <f aca="false">O1585</f>
        <v>Enamel</v>
      </c>
      <c r="Z1585" s="13" t="str">
        <f aca="false">IFERROR(__xludf.dummyfunction("if(BJ1585="""","""",GOOGLETRANSLATE(BJ1585,""auto"",""en""))"),"Enamel")</f>
        <v>Enamel</v>
      </c>
      <c r="AA1585" s="23" t="str">
        <f aca="false">IF(C1585="","", CHOOSE(MONTH(C1585),"January","February","March","April","May","June","July","August","September","October","November","December")&amp;" "&amp;DAY(C1585)&amp;MID("thstndrdth",MIN(9,2*RIGHT(DAY(C1585))*(MOD(DAY(C1585)-11,100)&gt;2)+1),2)&amp;","&amp;TEXT(C1585," yyyy"))</f>
        <v>August 21st,2024</v>
      </c>
      <c r="AB1585" s="15" t="str">
        <f aca="true">IF(S1585="","",DATEDIF(S1585,TODAY(),"Y")&amp;" Tahun, "&amp;DATEDIF(S1585,TODAY(),"YM")&amp;" Bulan, "&amp;DATEDIF(S1585,TODAY(),"MD")&amp;" Hari")</f>
        <v>30 Tahun, 6 Bulan, 7 Hari</v>
      </c>
      <c r="AC1585" s="18" t="n">
        <v>45658</v>
      </c>
      <c r="AD1585" s="18" t="n">
        <v>46022</v>
      </c>
      <c r="AE1585" s="18" t="s">
        <v>44</v>
      </c>
    </row>
    <row r="1586" customFormat="false" ht="15" hidden="false" customHeight="true" outlineLevel="0" collapsed="false">
      <c r="A1586" s="12" t="n">
        <v>16733</v>
      </c>
      <c r="B1586" s="13" t="s">
        <v>6951</v>
      </c>
      <c r="C1586" s="14" t="n">
        <v>45525</v>
      </c>
      <c r="D1586" s="13" t="s">
        <v>144</v>
      </c>
      <c r="E1586" s="15" t="s">
        <v>47</v>
      </c>
      <c r="F1586" s="15" t="str">
        <f aca="false">IFERROR(__xludf.dummyfunction("XLOOKUP(AJ1586,IMPORTRANGE(""1XaInW9DU9nz21V0tYIfzFQ0He9kVQ_JF2mCXgZ3hqFA"",""REKAP ALL 2026 - Andika!G:G""),IMPORTRANGE(""1XaInW9DU9nz21V0tYIfzFQ0He9kVQ_JF2mCXgZ3hqFA"",""REKAP ALL 2026 - Andika!F:F""),"""",0)"),"24138556188")</f>
        <v>24138556188</v>
      </c>
      <c r="G1586" s="15" t="s">
        <v>6952</v>
      </c>
      <c r="H1586" s="13" t="s">
        <v>35</v>
      </c>
      <c r="I1586" s="13" t="str">
        <f aca="false">IF(C1586=J1586,"NEW KONTRAK","RE-KONTRAK")</f>
        <v>RE-KONTRAK</v>
      </c>
      <c r="J1586" s="16" t="n">
        <f aca="false" t="array" ref="J1586:J1586">IFERROR(INDEX(AC1586:AE1586,IF(COUNTA(AC1586:AE1586)=0,"",MAX((AC1586:AE1586&lt;&gt;"")*(COLUMN(AC1586:AE1586)-(COLUMN(AC1586)))))-1),"")</f>
        <v>45658</v>
      </c>
      <c r="K1586" s="16" t="n">
        <f aca="false" t="array" ref="K1586:K1586">IFERROR(INDEX(AC1586:AE1586,IF(COUNTA(AC1586:AE1586)=0,"",MAX((AC1586:AE1586&lt;&gt;"")*(COLUMN(AC1586:AE1586)-(COLUMN(AC1586)-1))))-1),"")</f>
        <v>46022</v>
      </c>
      <c r="L1586" s="17" t="str">
        <f aca="false" t="array" ref="L1586:L1586">IFERROR(INDEX(AC1586:AE1586,IF(COUNTA(AC1586:AE1586)=0,"",MAX((AC1586:AE1586&lt;&gt;"")*(COLUMN(AC1586:AE1586)-(COLUMN(AC1586)-2))))-1),"")</f>
        <v>ARCHIVED</v>
      </c>
      <c r="M1586" s="13" t="n">
        <f aca="true">K1586-TODAY()</f>
        <v>-302</v>
      </c>
      <c r="N1586" s="18" t="s">
        <v>36</v>
      </c>
      <c r="O1586" s="13" t="s">
        <v>146</v>
      </c>
      <c r="P1586" s="19" t="n">
        <v>5195401</v>
      </c>
      <c r="Q1586" s="20" t="s">
        <v>6953</v>
      </c>
      <c r="R1586" s="13" t="s">
        <v>232</v>
      </c>
      <c r="S1586" s="14" t="n">
        <v>35948</v>
      </c>
      <c r="T1586" s="13" t="s">
        <v>40</v>
      </c>
      <c r="U1586" s="13" t="s">
        <v>6954</v>
      </c>
      <c r="V1586" s="13" t="s">
        <v>42</v>
      </c>
      <c r="W1586" s="13" t="s">
        <v>43</v>
      </c>
      <c r="X1586" s="21" t="n">
        <v>85704636901</v>
      </c>
      <c r="Y1586" s="22" t="str">
        <f aca="false">O1586</f>
        <v>Enamel</v>
      </c>
      <c r="Z1586" s="13" t="str">
        <f aca="false">IFERROR(__xludf.dummyfunction("if(BJ1586="""","""",GOOGLETRANSLATE(BJ1586,""auto"",""en""))"),"Enamel")</f>
        <v>Enamel</v>
      </c>
      <c r="AA1586" s="23" t="str">
        <f aca="false">IF(C1586="","", CHOOSE(MONTH(C1586),"January","February","March","April","May","June","July","August","September","October","November","December")&amp;" "&amp;DAY(C1586)&amp;MID("thstndrdth",MIN(9,2*RIGHT(DAY(C1586))*(MOD(DAY(C1586)-11,100)&gt;2)+1),2)&amp;","&amp;TEXT(C1586," yyyy"))</f>
        <v>August 21st,2024</v>
      </c>
      <c r="AB1586" s="15" t="str">
        <f aca="true">IF(S1586="","",DATEDIF(S1586,TODAY(),"Y")&amp;" Tahun, "&amp;DATEDIF(S1586,TODAY(),"YM")&amp;" Bulan, "&amp;DATEDIF(S1586,TODAY(),"MD")&amp;" Hari")</f>
        <v>28 Tahun, 4 Bulan, 27 Hari</v>
      </c>
      <c r="AC1586" s="18" t="n">
        <v>45658</v>
      </c>
      <c r="AD1586" s="18" t="n">
        <v>46022</v>
      </c>
      <c r="AE1586" s="18" t="s">
        <v>44</v>
      </c>
    </row>
    <row r="1587" customFormat="false" ht="15" hidden="false" customHeight="true" outlineLevel="0" collapsed="false">
      <c r="A1587" s="12" t="n">
        <v>16739</v>
      </c>
      <c r="B1587" s="13" t="s">
        <v>6955</v>
      </c>
      <c r="C1587" s="14" t="n">
        <v>45528</v>
      </c>
      <c r="D1587" s="13" t="s">
        <v>6956</v>
      </c>
      <c r="E1587" s="15" t="s">
        <v>47</v>
      </c>
      <c r="F1587" s="15" t="str">
        <f aca="false">IFERROR(__xludf.dummyfunction("XLOOKUP(AJ1587,IMPORTRANGE(""1XaInW9DU9nz21V0tYIfzFQ0He9kVQ_JF2mCXgZ3hqFA"",""REKAP ALL 2026 - Andika!G:G""),IMPORTRANGE(""1XaInW9DU9nz21V0tYIfzFQ0He9kVQ_JF2mCXgZ3hqFA"",""REKAP ALL 2026 - Andika!F:F""),"""",0)"),"18017714744")</f>
        <v>18017714744</v>
      </c>
      <c r="G1587" s="15" t="s">
        <v>6957</v>
      </c>
      <c r="H1587" s="13" t="s">
        <v>35</v>
      </c>
      <c r="I1587" s="13" t="str">
        <f aca="false">IF(C1587=J1587,"NEW KONTRAK","RE-KONTRAK")</f>
        <v>RE-KONTRAK</v>
      </c>
      <c r="J1587" s="16" t="n">
        <f aca="false" t="array" ref="J1587:J1587">IFERROR(INDEX(AC1587:AE1587,IF(COUNTA(AC1587:AE1587)=0,"",MAX((AC1587:AE1587&lt;&gt;"")*(COLUMN(AC1587:AE1587)-(COLUMN(AC1587)))))-1),"")</f>
        <v>45840</v>
      </c>
      <c r="K1587" s="16" t="n">
        <f aca="false" t="array" ref="K1587:K1587">IFERROR(INDEX(AC1587:AE1587,IF(COUNTA(AC1587:AE1587)=0,"",MAX((AC1587:AE1587&lt;&gt;"")*(COLUMN(AC1587:AE1587)-(COLUMN(AC1587)-1))))-1),"")</f>
        <v>46022</v>
      </c>
      <c r="L1587" s="17" t="str">
        <f aca="false" t="array" ref="L1587:L1587">IFERROR(INDEX(AC1587:AE1587,IF(COUNTA(AC1587:AE1587)=0,"",MAX((AC1587:AE1587&lt;&gt;"")*(COLUMN(AC1587:AE1587)-(COLUMN(AC1587)-2))))-1),"")</f>
        <v>ARCHIVED</v>
      </c>
      <c r="M1587" s="13" t="n">
        <f aca="true">K1587-TODAY()</f>
        <v>-302</v>
      </c>
      <c r="N1587" s="18" t="s">
        <v>728</v>
      </c>
      <c r="O1587" s="13" t="s">
        <v>6140</v>
      </c>
      <c r="P1587" s="19" t="n">
        <v>200000</v>
      </c>
      <c r="Q1587" s="20" t="s">
        <v>6958</v>
      </c>
      <c r="R1587" s="13" t="s">
        <v>1842</v>
      </c>
      <c r="S1587" s="14" t="n">
        <v>25342</v>
      </c>
      <c r="T1587" s="13" t="s">
        <v>108</v>
      </c>
      <c r="U1587" s="13" t="s">
        <v>6959</v>
      </c>
      <c r="V1587" s="13" t="s">
        <v>42</v>
      </c>
      <c r="W1587" s="13" t="s">
        <v>54</v>
      </c>
      <c r="X1587" s="21" t="n">
        <v>82132328173</v>
      </c>
      <c r="Y1587" s="22" t="str">
        <f aca="false">O1587</f>
        <v>Purchasing</v>
      </c>
      <c r="Z1587" s="13" t="str">
        <f aca="false">IFERROR(__xludf.dummyfunction("if(BJ1587="""","""",GOOGLETRANSLATE(BJ1587,""auto"",""en""))"),"Purchasing")</f>
        <v>Purchasing</v>
      </c>
      <c r="AA1587" s="23" t="str">
        <f aca="false">IF(C1587="","", CHOOSE(MONTH(C1587),"January","February","March","April","May","June","July","August","September","October","November","December")&amp;" "&amp;DAY(C1587)&amp;MID("thstndrdth",MIN(9,2*RIGHT(DAY(C1587))*(MOD(DAY(C1587)-11,100)&gt;2)+1),2)&amp;","&amp;TEXT(C1587," yyyy"))</f>
        <v>August 24th,2024</v>
      </c>
      <c r="AB1587" s="15" t="str">
        <f aca="true">IF(S1587="","",DATEDIF(S1587,TODAY(),"Y")&amp;" Tahun, "&amp;DATEDIF(S1587,TODAY(),"YM")&amp;" Bulan, "&amp;DATEDIF(S1587,TODAY(),"MD")&amp;" Hari")</f>
        <v>57 Tahun, 5 Bulan, 10 Hari</v>
      </c>
      <c r="AC1587" s="18" t="n">
        <v>45840</v>
      </c>
      <c r="AD1587" s="18" t="n">
        <v>46022</v>
      </c>
      <c r="AE1587" s="18" t="s">
        <v>44</v>
      </c>
    </row>
    <row r="1588" customFormat="false" ht="15" hidden="false" customHeight="true" outlineLevel="0" collapsed="false">
      <c r="A1588" s="12" t="n">
        <v>16740</v>
      </c>
      <c r="B1588" s="13" t="s">
        <v>6960</v>
      </c>
      <c r="C1588" s="14" t="n">
        <v>45528</v>
      </c>
      <c r="D1588" s="13" t="s">
        <v>6956</v>
      </c>
      <c r="E1588" s="15" t="s">
        <v>47</v>
      </c>
      <c r="F1588" s="15" t="str">
        <f aca="false">IFERROR(__xludf.dummyfunction("XLOOKUP(AJ1588,IMPORTRANGE(""1XaInW9DU9nz21V0tYIfzFQ0He9kVQ_JF2mCXgZ3hqFA"",""REKAP ALL 2026 - Andika!G:G""),IMPORTRANGE(""1XaInW9DU9nz21V0tYIfzFQ0He9kVQ_JF2mCXgZ3hqFA"",""REKAP ALL 2026 - Andika!F:F""),"""",0)"),"18017714819")</f>
        <v>18017714819</v>
      </c>
      <c r="G1588" s="15" t="s">
        <v>6961</v>
      </c>
      <c r="H1588" s="13" t="s">
        <v>35</v>
      </c>
      <c r="I1588" s="13" t="str">
        <f aca="false">IF(C1588=J1588,"NEW KONTRAK","RE-KONTRAK")</f>
        <v>RE-KONTRAK</v>
      </c>
      <c r="J1588" s="16" t="n">
        <f aca="false" t="array" ref="J1588:J1588">IFERROR(INDEX(AC1588:AE1588,IF(COUNTA(AC1588:AE1588)=0,"",MAX((AC1588:AE1588&lt;&gt;"")*(COLUMN(AC1588:AE1588)-(COLUMN(AC1588)))))-1),"")</f>
        <v>45840</v>
      </c>
      <c r="K1588" s="16" t="n">
        <f aca="false" t="array" ref="K1588:K1588">IFERROR(INDEX(AC1588:AE1588,IF(COUNTA(AC1588:AE1588)=0,"",MAX((AC1588:AE1588&lt;&gt;"")*(COLUMN(AC1588:AE1588)-(COLUMN(AC1588)-1))))-1),"")</f>
        <v>46022</v>
      </c>
      <c r="L1588" s="17" t="str">
        <f aca="false" t="array" ref="L1588:L1588">IFERROR(INDEX(AC1588:AE1588,IF(COUNTA(AC1588:AE1588)=0,"",MAX((AC1588:AE1588&lt;&gt;"")*(COLUMN(AC1588:AE1588)-(COLUMN(AC1588)-2))))-1),"")</f>
        <v>ARCHIVED</v>
      </c>
      <c r="M1588" s="13" t="n">
        <f aca="true">K1588-TODAY()</f>
        <v>-302</v>
      </c>
      <c r="N1588" s="18" t="s">
        <v>728</v>
      </c>
      <c r="O1588" s="13" t="s">
        <v>6140</v>
      </c>
      <c r="P1588" s="19" t="n">
        <v>212143</v>
      </c>
      <c r="Q1588" s="20" t="s">
        <v>6962</v>
      </c>
      <c r="R1588" s="13" t="s">
        <v>65</v>
      </c>
      <c r="S1588" s="14" t="n">
        <v>22268</v>
      </c>
      <c r="T1588" s="13" t="s">
        <v>40</v>
      </c>
      <c r="U1588" s="13" t="s">
        <v>6963</v>
      </c>
      <c r="V1588" s="13" t="s">
        <v>42</v>
      </c>
      <c r="W1588" s="13" t="s">
        <v>54</v>
      </c>
      <c r="X1588" s="21" t="n">
        <v>82131731718</v>
      </c>
      <c r="Y1588" s="22" t="str">
        <f aca="false">O1588</f>
        <v>Purchasing</v>
      </c>
      <c r="Z1588" s="13" t="str">
        <f aca="false">IFERROR(__xludf.dummyfunction("if(BJ1588="""","""",GOOGLETRANSLATE(BJ1588,""auto"",""en""))"),"Purchasing")</f>
        <v>Purchasing</v>
      </c>
      <c r="AA1588" s="23" t="str">
        <f aca="false">IF(C1588="","", CHOOSE(MONTH(C1588),"January","February","March","April","May","June","July","August","September","October","November","December")&amp;" "&amp;DAY(C1588)&amp;MID("thstndrdth",MIN(9,2*RIGHT(DAY(C1588))*(MOD(DAY(C1588)-11,100)&gt;2)+1),2)&amp;","&amp;TEXT(C1588," yyyy"))</f>
        <v>August 24th,2024</v>
      </c>
      <c r="AB1588" s="15" t="str">
        <f aca="true">IF(S1588="","",DATEDIF(S1588,TODAY(),"Y")&amp;" Tahun, "&amp;DATEDIF(S1588,TODAY(),"YM")&amp;" Bulan, "&amp;DATEDIF(S1588,TODAY(),"MD")&amp;" Hari")</f>
        <v>65 Tahun, 10 Bulan, 11 Hari</v>
      </c>
      <c r="AC1588" s="18" t="n">
        <v>45840</v>
      </c>
      <c r="AD1588" s="18" t="n">
        <v>46022</v>
      </c>
      <c r="AE1588" s="18" t="s">
        <v>44</v>
      </c>
    </row>
    <row r="1589" customFormat="false" ht="15" hidden="false" customHeight="true" outlineLevel="0" collapsed="false">
      <c r="A1589" s="12" t="n">
        <v>16743</v>
      </c>
      <c r="B1589" s="13" t="s">
        <v>6964</v>
      </c>
      <c r="C1589" s="14" t="n">
        <v>45528</v>
      </c>
      <c r="D1589" s="13" t="s">
        <v>6956</v>
      </c>
      <c r="E1589" s="15" t="s">
        <v>47</v>
      </c>
      <c r="F1589" s="15" t="str">
        <f aca="false">IFERROR(__xludf.dummyfunction("XLOOKUP(AJ1589,IMPORTRANGE(""1XaInW9DU9nz21V0tYIfzFQ0He9kVQ_JF2mCXgZ3hqFA"",""REKAP ALL 2026 - Andika!G:G""),IMPORTRANGE(""1XaInW9DU9nz21V0tYIfzFQ0He9kVQ_JF2mCXgZ3hqFA"",""REKAP ALL 2026 - Andika!F:F""),"""",0)"),"24136982444")</f>
        <v>24136982444</v>
      </c>
      <c r="G1589" s="15" t="s">
        <v>6965</v>
      </c>
      <c r="H1589" s="13" t="s">
        <v>35</v>
      </c>
      <c r="I1589" s="13" t="str">
        <f aca="false">IF(C1589=J1589,"NEW KONTRAK","RE-KONTRAK")</f>
        <v>RE-KONTRAK</v>
      </c>
      <c r="J1589" s="16" t="n">
        <f aca="false" t="array" ref="J1589:J1589">IFERROR(INDEX(AC1589:AE1589,IF(COUNTA(AC1589:AE1589)=0,"",MAX((AC1589:AE1589&lt;&gt;"")*(COLUMN(AC1589:AE1589)-(COLUMN(AC1589)))))-1),"")</f>
        <v>45840</v>
      </c>
      <c r="K1589" s="16" t="n">
        <f aca="false" t="array" ref="K1589:K1589">IFERROR(INDEX(AC1589:AE1589,IF(COUNTA(AC1589:AE1589)=0,"",MAX((AC1589:AE1589&lt;&gt;"")*(COLUMN(AC1589:AE1589)-(COLUMN(AC1589)-1))))-1),"")</f>
        <v>46022</v>
      </c>
      <c r="L1589" s="17" t="str">
        <f aca="false" t="array" ref="L1589:L1589">IFERROR(INDEX(AC1589:AE1589,IF(COUNTA(AC1589:AE1589)=0,"",MAX((AC1589:AE1589&lt;&gt;"")*(COLUMN(AC1589:AE1589)-(COLUMN(AC1589)-2))))-1),"")</f>
        <v>ARCHIVED</v>
      </c>
      <c r="M1589" s="13" t="n">
        <f aca="true">K1589-TODAY()</f>
        <v>-302</v>
      </c>
      <c r="N1589" s="18" t="s">
        <v>728</v>
      </c>
      <c r="O1589" s="13" t="s">
        <v>6966</v>
      </c>
      <c r="P1589" s="19" t="n">
        <v>200000</v>
      </c>
      <c r="Q1589" s="20" t="s">
        <v>6967</v>
      </c>
      <c r="R1589" s="13" t="s">
        <v>39</v>
      </c>
      <c r="S1589" s="14" t="n">
        <v>35619</v>
      </c>
      <c r="T1589" s="13" t="s">
        <v>40</v>
      </c>
      <c r="U1589" s="13" t="s">
        <v>6968</v>
      </c>
      <c r="V1589" s="13" t="s">
        <v>42</v>
      </c>
      <c r="W1589" s="13" t="s">
        <v>43</v>
      </c>
      <c r="X1589" s="21" t="n">
        <v>8977016254</v>
      </c>
      <c r="Y1589" s="22" t="str">
        <f aca="false">O1589</f>
        <v>Production Control</v>
      </c>
      <c r="Z1589" s="13" t="str">
        <f aca="false">IFERROR(__xludf.dummyfunction("if(BJ1589="""","""",GOOGLETRANSLATE(BJ1589,""auto"",""en""))"),"Production Control")</f>
        <v>Production Control</v>
      </c>
      <c r="AA1589" s="23" t="str">
        <f aca="false">IF(C1589="","", CHOOSE(MONTH(C1589),"January","February","March","April","May","June","July","August","September","October","November","December")&amp;" "&amp;DAY(C1589)&amp;MID("thstndrdth",MIN(9,2*RIGHT(DAY(C1589))*(MOD(DAY(C1589)-11,100)&gt;2)+1),2)&amp;","&amp;TEXT(C1589," yyyy"))</f>
        <v>August 24th,2024</v>
      </c>
      <c r="AB1589" s="15" t="str">
        <f aca="true">IF(S1589="","",DATEDIF(S1589,TODAY(),"Y")&amp;" Tahun, "&amp;DATEDIF(S1589,TODAY(),"YM")&amp;" Bulan, "&amp;DATEDIF(S1589,TODAY(),"MD")&amp;" Hari")</f>
        <v>29 Tahun, 3 Bulan, 21 Hari</v>
      </c>
      <c r="AC1589" s="18" t="n">
        <v>45840</v>
      </c>
      <c r="AD1589" s="18" t="n">
        <v>46022</v>
      </c>
      <c r="AE1589" s="18" t="s">
        <v>44</v>
      </c>
    </row>
    <row r="1590" customFormat="false" ht="15" hidden="false" customHeight="true" outlineLevel="0" collapsed="false">
      <c r="A1590" s="12" t="n">
        <v>16744</v>
      </c>
      <c r="B1590" s="13" t="s">
        <v>6969</v>
      </c>
      <c r="C1590" s="14" t="n">
        <v>45528</v>
      </c>
      <c r="D1590" s="13" t="s">
        <v>6956</v>
      </c>
      <c r="E1590" s="15" t="s">
        <v>47</v>
      </c>
      <c r="F1590" s="15" t="str">
        <f aca="false">IFERROR(__xludf.dummyfunction("XLOOKUP(AJ1590,IMPORTRANGE(""1XaInW9DU9nz21V0tYIfzFQ0He9kVQ_JF2mCXgZ3hqFA"",""REKAP ALL 2026 - Andika!G:G""),IMPORTRANGE(""1XaInW9DU9nz21V0tYIfzFQ0He9kVQ_JF2mCXgZ3hqFA"",""REKAP ALL 2026 - Andika!F:F""),"""",0)"),"24136982451")</f>
        <v>24136982451</v>
      </c>
      <c r="G1590" s="15" t="s">
        <v>6970</v>
      </c>
      <c r="H1590" s="13" t="s">
        <v>35</v>
      </c>
      <c r="I1590" s="13" t="str">
        <f aca="false">IF(C1590=J1590,"NEW KONTRAK","RE-KONTRAK")</f>
        <v>RE-KONTRAK</v>
      </c>
      <c r="J1590" s="16" t="n">
        <f aca="false" t="array" ref="J1590:J1590">IFERROR(INDEX(AC1590:AE1590,IF(COUNTA(AC1590:AE1590)=0,"",MAX((AC1590:AE1590&lt;&gt;"")*(COLUMN(AC1590:AE1590)-(COLUMN(AC1590)))))-1),"")</f>
        <v>45840</v>
      </c>
      <c r="K1590" s="16" t="n">
        <f aca="false" t="array" ref="K1590:K1590">IFERROR(INDEX(AC1590:AE1590,IF(COUNTA(AC1590:AE1590)=0,"",MAX((AC1590:AE1590&lt;&gt;"")*(COLUMN(AC1590:AE1590)-(COLUMN(AC1590)-1))))-1),"")</f>
        <v>46022</v>
      </c>
      <c r="L1590" s="17" t="str">
        <f aca="false" t="array" ref="L1590:L1590">IFERROR(INDEX(AC1590:AE1590,IF(COUNTA(AC1590:AE1590)=0,"",MAX((AC1590:AE1590&lt;&gt;"")*(COLUMN(AC1590:AE1590)-(COLUMN(AC1590)-2))))-1),"")</f>
        <v>ARCHIVED</v>
      </c>
      <c r="M1590" s="13" t="n">
        <f aca="true">K1590-TODAY()</f>
        <v>-302</v>
      </c>
      <c r="N1590" s="18" t="s">
        <v>728</v>
      </c>
      <c r="O1590" s="13" t="s">
        <v>6966</v>
      </c>
      <c r="P1590" s="19" t="n">
        <v>200000</v>
      </c>
      <c r="Q1590" s="20" t="s">
        <v>6971</v>
      </c>
      <c r="R1590" s="13" t="s">
        <v>65</v>
      </c>
      <c r="S1590" s="14" t="n">
        <v>37449</v>
      </c>
      <c r="T1590" s="13" t="s">
        <v>40</v>
      </c>
      <c r="U1590" s="13" t="s">
        <v>6972</v>
      </c>
      <c r="V1590" s="13" t="s">
        <v>42</v>
      </c>
      <c r="W1590" s="13" t="s">
        <v>43</v>
      </c>
      <c r="X1590" s="21" t="n">
        <v>83837991693</v>
      </c>
      <c r="Y1590" s="22" t="str">
        <f aca="false">O1590</f>
        <v>Production Control</v>
      </c>
      <c r="Z1590" s="13" t="str">
        <f aca="false">IFERROR(__xludf.dummyfunction("if(BJ1590="""","""",GOOGLETRANSLATE(BJ1590,""auto"",""en""))"),"Production Control")</f>
        <v>Production Control</v>
      </c>
      <c r="AA1590" s="23" t="str">
        <f aca="false">IF(C1590="","", CHOOSE(MONTH(C1590),"January","February","March","April","May","June","July","August","September","October","November","December")&amp;" "&amp;DAY(C1590)&amp;MID("thstndrdth",MIN(9,2*RIGHT(DAY(C1590))*(MOD(DAY(C1590)-11,100)&gt;2)+1),2)&amp;","&amp;TEXT(C1590," yyyy"))</f>
        <v>August 24th,2024</v>
      </c>
      <c r="AB1590" s="15" t="str">
        <f aca="true">IF(S1590="","",DATEDIF(S1590,TODAY(),"Y")&amp;" Tahun, "&amp;DATEDIF(S1590,TODAY(),"YM")&amp;" Bulan, "&amp;DATEDIF(S1590,TODAY(),"MD")&amp;" Hari")</f>
        <v>24 Tahun, 3 Bulan, 17 Hari</v>
      </c>
      <c r="AC1590" s="18" t="n">
        <v>45840</v>
      </c>
      <c r="AD1590" s="18" t="n">
        <v>46022</v>
      </c>
      <c r="AE1590" s="18" t="s">
        <v>44</v>
      </c>
    </row>
    <row r="1591" customFormat="false" ht="15" hidden="false" customHeight="true" outlineLevel="0" collapsed="false">
      <c r="A1591" s="12" t="n">
        <v>16745</v>
      </c>
      <c r="B1591" s="13" t="s">
        <v>6973</v>
      </c>
      <c r="C1591" s="14" t="n">
        <v>45528</v>
      </c>
      <c r="D1591" s="13" t="s">
        <v>6956</v>
      </c>
      <c r="E1591" s="15" t="s">
        <v>47</v>
      </c>
      <c r="F1591" s="15" t="str">
        <f aca="false">IFERROR(__xludf.dummyfunction("XLOOKUP(AJ1591,IMPORTRANGE(""1XaInW9DU9nz21V0tYIfzFQ0He9kVQ_JF2mCXgZ3hqFA"",""REKAP ALL 2026 - Andika!G:G""),IMPORTRANGE(""1XaInW9DU9nz21V0tYIfzFQ0He9kVQ_JF2mCXgZ3hqFA"",""REKAP ALL 2026 - Andika!F:F""),"""",0)"),"23149543227")</f>
        <v>23149543227</v>
      </c>
      <c r="G1591" s="15" t="s">
        <v>6974</v>
      </c>
      <c r="H1591" s="13" t="s">
        <v>35</v>
      </c>
      <c r="I1591" s="13" t="str">
        <f aca="false">IF(C1591=J1591,"NEW KONTRAK","RE-KONTRAK")</f>
        <v>RE-KONTRAK</v>
      </c>
      <c r="J1591" s="16" t="n">
        <f aca="false" t="array" ref="J1591:J1591">IFERROR(INDEX(AC1591:AE1591,IF(COUNTA(AC1591:AE1591)=0,"",MAX((AC1591:AE1591&lt;&gt;"")*(COLUMN(AC1591:AE1591)-(COLUMN(AC1591)))))-1),"")</f>
        <v>45840</v>
      </c>
      <c r="K1591" s="16" t="n">
        <f aca="false" t="array" ref="K1591:K1591">IFERROR(INDEX(AC1591:AE1591,IF(COUNTA(AC1591:AE1591)=0,"",MAX((AC1591:AE1591&lt;&gt;"")*(COLUMN(AC1591:AE1591)-(COLUMN(AC1591)-1))))-1),"")</f>
        <v>46022</v>
      </c>
      <c r="L1591" s="17" t="str">
        <f aca="false" t="array" ref="L1591:L1591">IFERROR(INDEX(AC1591:AE1591,IF(COUNTA(AC1591:AE1591)=0,"",MAX((AC1591:AE1591&lt;&gt;"")*(COLUMN(AC1591:AE1591)-(COLUMN(AC1591)-2))))-1),"")</f>
        <v>ARCHIVED</v>
      </c>
      <c r="M1591" s="13" t="n">
        <f aca="true">K1591-TODAY()</f>
        <v>-302</v>
      </c>
      <c r="N1591" s="18" t="s">
        <v>728</v>
      </c>
      <c r="O1591" s="13" t="s">
        <v>6966</v>
      </c>
      <c r="P1591" s="19" t="n">
        <v>200000</v>
      </c>
      <c r="Q1591" s="20" t="s">
        <v>6975</v>
      </c>
      <c r="R1591" s="13" t="s">
        <v>148</v>
      </c>
      <c r="S1591" s="14" t="n">
        <v>36107</v>
      </c>
      <c r="T1591" s="13" t="s">
        <v>40</v>
      </c>
      <c r="U1591" s="13" t="s">
        <v>6976</v>
      </c>
      <c r="V1591" s="13" t="s">
        <v>42</v>
      </c>
      <c r="W1591" s="13" t="s">
        <v>54</v>
      </c>
      <c r="X1591" s="21" t="n">
        <v>85697810991</v>
      </c>
      <c r="Y1591" s="22" t="str">
        <f aca="false">O1591</f>
        <v>Production Control</v>
      </c>
      <c r="Z1591" s="13" t="str">
        <f aca="false">IFERROR(__xludf.dummyfunction("if(BJ1591="""","""",GOOGLETRANSLATE(BJ1591,""auto"",""en""))"),"Production Control")</f>
        <v>Production Control</v>
      </c>
      <c r="AA1591" s="23" t="str">
        <f aca="false">IF(C1591="","", CHOOSE(MONTH(C1591),"January","February","March","April","May","June","July","August","September","October","November","December")&amp;" "&amp;DAY(C1591)&amp;MID("thstndrdth",MIN(9,2*RIGHT(DAY(C1591))*(MOD(DAY(C1591)-11,100)&gt;2)+1),2)&amp;","&amp;TEXT(C1591," yyyy"))</f>
        <v>August 24th,2024</v>
      </c>
      <c r="AB1591" s="15" t="str">
        <f aca="true">IF(S1591="","",DATEDIF(S1591,TODAY(),"Y")&amp;" Tahun, "&amp;DATEDIF(S1591,TODAY(),"YM")&amp;" Bulan, "&amp;DATEDIF(S1591,TODAY(),"MD")&amp;" Hari")</f>
        <v>27 Tahun, 11 Bulan, 21 Hari</v>
      </c>
      <c r="AC1591" s="18" t="n">
        <v>45840</v>
      </c>
      <c r="AD1591" s="18" t="n">
        <v>46022</v>
      </c>
      <c r="AE1591" s="18" t="s">
        <v>44</v>
      </c>
    </row>
    <row r="1592" customFormat="false" ht="15" hidden="false" customHeight="true" outlineLevel="0" collapsed="false">
      <c r="A1592" s="12" t="n">
        <v>16748</v>
      </c>
      <c r="B1592" s="13" t="s">
        <v>6977</v>
      </c>
      <c r="C1592" s="14" t="n">
        <v>45528</v>
      </c>
      <c r="D1592" s="13" t="s">
        <v>6956</v>
      </c>
      <c r="E1592" s="15" t="s">
        <v>47</v>
      </c>
      <c r="F1592" s="15" t="str">
        <f aca="false">IFERROR(__xludf.dummyfunction("XLOOKUP(AJ1592,IMPORTRANGE(""1XaInW9DU9nz21V0tYIfzFQ0He9kVQ_JF2mCXgZ3hqFA"",""REKAP ALL 2026 - Andika!G:G""),IMPORTRANGE(""1XaInW9DU9nz21V0tYIfzFQ0He9kVQ_JF2mCXgZ3hqFA"",""REKAP ALL 2026 - Andika!F:F""),"""",0)"),"21061447500")</f>
        <v>21061447500</v>
      </c>
      <c r="G1592" s="15" t="s">
        <v>6978</v>
      </c>
      <c r="H1592" s="13" t="s">
        <v>35</v>
      </c>
      <c r="I1592" s="13" t="str">
        <f aca="false">IF(C1592=J1592,"NEW KONTRAK","RE-KONTRAK")</f>
        <v>RE-KONTRAK</v>
      </c>
      <c r="J1592" s="16" t="n">
        <f aca="false" t="array" ref="J1592:J1592">IFERROR(INDEX(AC1592:AE1592,IF(COUNTA(AC1592:AE1592)=0,"",MAX((AC1592:AE1592&lt;&gt;"")*(COLUMN(AC1592:AE1592)-(COLUMN(AC1592)))))-1),"")</f>
        <v>45840</v>
      </c>
      <c r="K1592" s="16" t="n">
        <f aca="false" t="array" ref="K1592:K1592">IFERROR(INDEX(AC1592:AE1592,IF(COUNTA(AC1592:AE1592)=0,"",MAX((AC1592:AE1592&lt;&gt;"")*(COLUMN(AC1592:AE1592)-(COLUMN(AC1592)-1))))-1),"")</f>
        <v>46022</v>
      </c>
      <c r="L1592" s="17" t="str">
        <f aca="false" t="array" ref="L1592:L1592">IFERROR(INDEX(AC1592:AE1592,IF(COUNTA(AC1592:AE1592)=0,"",MAX((AC1592:AE1592&lt;&gt;"")*(COLUMN(AC1592:AE1592)-(COLUMN(AC1592)-2))))-1),"")</f>
        <v>ARCHIVED</v>
      </c>
      <c r="M1592" s="13" t="n">
        <f aca="true">K1592-TODAY()</f>
        <v>-302</v>
      </c>
      <c r="N1592" s="18" t="s">
        <v>728</v>
      </c>
      <c r="O1592" s="13" t="s">
        <v>6979</v>
      </c>
      <c r="P1592" s="19" t="n">
        <v>200000</v>
      </c>
      <c r="Q1592" s="20" t="s">
        <v>6980</v>
      </c>
      <c r="R1592" s="13" t="s">
        <v>52</v>
      </c>
      <c r="S1592" s="14" t="n">
        <v>36886</v>
      </c>
      <c r="T1592" s="13" t="s">
        <v>108</v>
      </c>
      <c r="U1592" s="13" t="s">
        <v>6981</v>
      </c>
      <c r="V1592" s="13" t="s">
        <v>42</v>
      </c>
      <c r="W1592" s="13" t="s">
        <v>43</v>
      </c>
      <c r="X1592" s="21" t="n">
        <v>85259399862</v>
      </c>
      <c r="Y1592" s="22" t="str">
        <f aca="false">O1592</f>
        <v>Calibration &amp; Testin</v>
      </c>
      <c r="Z1592" s="13" t="str">
        <f aca="false">IFERROR(__xludf.dummyfunction("if(BJ1592="""","""",GOOGLETRANSLATE(BJ1592,""auto"",""en""))"),"Calibration &amp; Testin")</f>
        <v>Calibration &amp; Testin</v>
      </c>
      <c r="AA1592" s="23" t="str">
        <f aca="false">IF(C1592="","", CHOOSE(MONTH(C1592),"January","February","March","April","May","June","July","August","September","October","November","December")&amp;" "&amp;DAY(C1592)&amp;MID("thstndrdth",MIN(9,2*RIGHT(DAY(C1592))*(MOD(DAY(C1592)-11,100)&gt;2)+1),2)&amp;","&amp;TEXT(C1592," yyyy"))</f>
        <v>August 24th,2024</v>
      </c>
      <c r="AB1592" s="15" t="str">
        <f aca="true">IF(S1592="","",DATEDIF(S1592,TODAY(),"Y")&amp;" Tahun, "&amp;DATEDIF(S1592,TODAY(),"YM")&amp;" Bulan, "&amp;DATEDIF(S1592,TODAY(),"MD")&amp;" Hari")</f>
        <v>25 Tahun, 10 Bulan, 3 Hari</v>
      </c>
      <c r="AC1592" s="18" t="n">
        <v>45840</v>
      </c>
      <c r="AD1592" s="18" t="n">
        <v>46022</v>
      </c>
      <c r="AE1592" s="18" t="s">
        <v>44</v>
      </c>
    </row>
    <row r="1593" customFormat="false" ht="15" hidden="false" customHeight="true" outlineLevel="0" collapsed="false">
      <c r="A1593" s="12" t="n">
        <v>16749</v>
      </c>
      <c r="B1593" s="13" t="s">
        <v>2244</v>
      </c>
      <c r="C1593" s="14" t="n">
        <v>45528</v>
      </c>
      <c r="D1593" s="13" t="s">
        <v>6956</v>
      </c>
      <c r="E1593" s="15" t="s">
        <v>47</v>
      </c>
      <c r="F1593" s="15" t="str">
        <f aca="false">IFERROR(__xludf.dummyfunction("XLOOKUP(AJ1593,IMPORTRANGE(""1XaInW9DU9nz21V0tYIfzFQ0He9kVQ_JF2mCXgZ3hqFA"",""REKAP ALL 2026 - Andika!G:G""),IMPORTRANGE(""1XaInW9DU9nz21V0tYIfzFQ0He9kVQ_JF2mCXgZ3hqFA"",""REKAP ALL 2026 - Andika!F:F""),"""",0)"),"21061447161")</f>
        <v>21061447161</v>
      </c>
      <c r="G1593" s="15" t="s">
        <v>6982</v>
      </c>
      <c r="H1593" s="13" t="s">
        <v>35</v>
      </c>
      <c r="I1593" s="13" t="str">
        <f aca="false">IF(C1593=J1593,"NEW KONTRAK","RE-KONTRAK")</f>
        <v>RE-KONTRAK</v>
      </c>
      <c r="J1593" s="16" t="n">
        <f aca="false" t="array" ref="J1593:J1593">IFERROR(INDEX(AC1593:AE1593,IF(COUNTA(AC1593:AE1593)=0,"",MAX((AC1593:AE1593&lt;&gt;"")*(COLUMN(AC1593:AE1593)-(COLUMN(AC1593)))))-1),"")</f>
        <v>45840</v>
      </c>
      <c r="K1593" s="16" t="n">
        <f aca="false" t="array" ref="K1593:K1593">IFERROR(INDEX(AC1593:AE1593,IF(COUNTA(AC1593:AE1593)=0,"",MAX((AC1593:AE1593&lt;&gt;"")*(COLUMN(AC1593:AE1593)-(COLUMN(AC1593)-1))))-1),"")</f>
        <v>46022</v>
      </c>
      <c r="L1593" s="17" t="str">
        <f aca="false" t="array" ref="L1593:L1593">IFERROR(INDEX(AC1593:AE1593,IF(COUNTA(AC1593:AE1593)=0,"",MAX((AC1593:AE1593&lt;&gt;"")*(COLUMN(AC1593:AE1593)-(COLUMN(AC1593)-2))))-1),"")</f>
        <v>ARCHIVED</v>
      </c>
      <c r="M1593" s="13" t="n">
        <f aca="true">K1593-TODAY()</f>
        <v>-302</v>
      </c>
      <c r="N1593" s="18" t="s">
        <v>728</v>
      </c>
      <c r="O1593" s="13" t="s">
        <v>6983</v>
      </c>
      <c r="P1593" s="19" t="n">
        <v>200000</v>
      </c>
      <c r="Q1593" s="20" t="s">
        <v>6984</v>
      </c>
      <c r="R1593" s="13" t="s">
        <v>4407</v>
      </c>
      <c r="S1593" s="14" t="n">
        <v>37784</v>
      </c>
      <c r="T1593" s="13" t="s">
        <v>108</v>
      </c>
      <c r="U1593" s="13" t="s">
        <v>6985</v>
      </c>
      <c r="V1593" s="13" t="s">
        <v>42</v>
      </c>
      <c r="W1593" s="13" t="s">
        <v>43</v>
      </c>
      <c r="X1593" s="21" t="n">
        <v>85711299820</v>
      </c>
      <c r="Y1593" s="22" t="str">
        <f aca="false">O1593</f>
        <v>General Affair</v>
      </c>
      <c r="Z1593" s="13" t="str">
        <f aca="false">IFERROR(__xludf.dummyfunction("if(BJ1593="""","""",GOOGLETRANSLATE(BJ1593,""auto"",""en""))"),"General Affair")</f>
        <v>General Affair</v>
      </c>
      <c r="AA1593" s="23" t="str">
        <f aca="false">IF(C1593="","", CHOOSE(MONTH(C1593),"January","February","March","April","May","June","July","August","September","October","November","December")&amp;" "&amp;DAY(C1593)&amp;MID("thstndrdth",MIN(9,2*RIGHT(DAY(C1593))*(MOD(DAY(C1593)-11,100)&gt;2)+1),2)&amp;","&amp;TEXT(C1593," yyyy"))</f>
        <v>August 24th,2024</v>
      </c>
      <c r="AB1593" s="15" t="str">
        <f aca="true">IF(S1593="","",DATEDIF(S1593,TODAY(),"Y")&amp;" Tahun, "&amp;DATEDIF(S1593,TODAY(),"YM")&amp;" Bulan, "&amp;DATEDIF(S1593,TODAY(),"MD")&amp;" Hari")</f>
        <v>23 Tahun, 4 Bulan, 17 Hari</v>
      </c>
      <c r="AC1593" s="18" t="n">
        <v>45840</v>
      </c>
      <c r="AD1593" s="18" t="n">
        <v>46022</v>
      </c>
      <c r="AE1593" s="18" t="s">
        <v>44</v>
      </c>
    </row>
    <row r="1594" customFormat="false" ht="15" hidden="false" customHeight="true" outlineLevel="0" collapsed="false">
      <c r="A1594" s="12" t="n">
        <v>16758</v>
      </c>
      <c r="B1594" s="13" t="s">
        <v>6986</v>
      </c>
      <c r="C1594" s="14" t="n">
        <v>45528</v>
      </c>
      <c r="D1594" s="13" t="s">
        <v>6956</v>
      </c>
      <c r="E1594" s="15" t="s">
        <v>47</v>
      </c>
      <c r="F1594" s="15" t="str">
        <f aca="false">IFERROR(__xludf.dummyfunction("XLOOKUP(AJ1594,IMPORTRANGE(""1XaInW9DU9nz21V0tYIfzFQ0He9kVQ_JF2mCXgZ3hqFA"",""REKAP ALL 2026 - Andika!G:G""),IMPORTRANGE(""1XaInW9DU9nz21V0tYIfzFQ0He9kVQ_JF2mCXgZ3hqFA"",""REKAP ALL 2026 - Andika!F:F""),"""",0)"),"21061447609")</f>
        <v>21061447609</v>
      </c>
      <c r="G1594" s="15" t="s">
        <v>6987</v>
      </c>
      <c r="H1594" s="13" t="s">
        <v>35</v>
      </c>
      <c r="I1594" s="13" t="str">
        <f aca="false">IF(C1594=J1594,"NEW KONTRAK","RE-KONTRAK")</f>
        <v>RE-KONTRAK</v>
      </c>
      <c r="J1594" s="16" t="n">
        <f aca="false" t="array" ref="J1594:J1594">IFERROR(INDEX(AC1594:AE1594,IF(COUNTA(AC1594:AE1594)=0,"",MAX((AC1594:AE1594&lt;&gt;"")*(COLUMN(AC1594:AE1594)-(COLUMN(AC1594)))))-1),"")</f>
        <v>45840</v>
      </c>
      <c r="K1594" s="16" t="n">
        <f aca="false" t="array" ref="K1594:K1594">IFERROR(INDEX(AC1594:AE1594,IF(COUNTA(AC1594:AE1594)=0,"",MAX((AC1594:AE1594&lt;&gt;"")*(COLUMN(AC1594:AE1594)-(COLUMN(AC1594)-1))))-1),"")</f>
        <v>46022</v>
      </c>
      <c r="L1594" s="17" t="str">
        <f aca="false" t="array" ref="L1594:L1594">IFERROR(INDEX(AC1594:AE1594,IF(COUNTA(AC1594:AE1594)=0,"",MAX((AC1594:AE1594&lt;&gt;"")*(COLUMN(AC1594:AE1594)-(COLUMN(AC1594)-2))))-1),"")</f>
        <v>ARCHIVED</v>
      </c>
      <c r="M1594" s="13" t="n">
        <f aca="true">K1594-TODAY()</f>
        <v>-302</v>
      </c>
      <c r="N1594" s="18" t="s">
        <v>728</v>
      </c>
      <c r="O1594" s="13" t="s">
        <v>6988</v>
      </c>
      <c r="P1594" s="19" t="n">
        <v>200000</v>
      </c>
      <c r="Q1594" s="20" t="s">
        <v>6989</v>
      </c>
      <c r="R1594" s="13" t="s">
        <v>52</v>
      </c>
      <c r="S1594" s="14" t="n">
        <v>35944</v>
      </c>
      <c r="T1594" s="13" t="s">
        <v>40</v>
      </c>
      <c r="U1594" s="13" t="s">
        <v>6990</v>
      </c>
      <c r="V1594" s="13" t="s">
        <v>42</v>
      </c>
      <c r="W1594" s="13" t="s">
        <v>43</v>
      </c>
      <c r="X1594" s="21" t="n">
        <v>89678746060</v>
      </c>
      <c r="Y1594" s="22" t="str">
        <f aca="false">O1594</f>
        <v>Quarantine &amp; Waste Control</v>
      </c>
      <c r="Z1594" s="13" t="str">
        <f aca="false">IFERROR(__xludf.dummyfunction("if(BJ1594="""","""",GOOGLETRANSLATE(BJ1594,""auto"",""en""))"),"Quarantine &amp; Waste Control")</f>
        <v>Quarantine &amp; Waste Control</v>
      </c>
      <c r="AA1594" s="23" t="str">
        <f aca="false">IF(C1594="","", CHOOSE(MONTH(C1594),"January","February","March","April","May","June","July","August","September","October","November","December")&amp;" "&amp;DAY(C1594)&amp;MID("thstndrdth",MIN(9,2*RIGHT(DAY(C1594))*(MOD(DAY(C1594)-11,100)&gt;2)+1),2)&amp;","&amp;TEXT(C1594," yyyy"))</f>
        <v>August 24th,2024</v>
      </c>
      <c r="AB1594" s="15" t="str">
        <f aca="true">IF(S1594="","",DATEDIF(S1594,TODAY(),"Y")&amp;" Tahun, "&amp;DATEDIF(S1594,TODAY(),"YM")&amp;" Bulan, "&amp;DATEDIF(S1594,TODAY(),"MD")&amp;" Hari")</f>
        <v>28 Tahun, 5 Bulan, 0 Hari</v>
      </c>
      <c r="AC1594" s="18" t="n">
        <v>45840</v>
      </c>
      <c r="AD1594" s="18" t="n">
        <v>46022</v>
      </c>
      <c r="AE1594" s="18" t="s">
        <v>44</v>
      </c>
    </row>
    <row r="1595" customFormat="false" ht="15" hidden="false" customHeight="true" outlineLevel="0" collapsed="false">
      <c r="A1595" s="12" t="n">
        <v>16759</v>
      </c>
      <c r="B1595" s="13" t="s">
        <v>6991</v>
      </c>
      <c r="C1595" s="14" t="n">
        <v>45528</v>
      </c>
      <c r="D1595" s="13" t="s">
        <v>6956</v>
      </c>
      <c r="E1595" s="15" t="s">
        <v>47</v>
      </c>
      <c r="F1595" s="15" t="str">
        <f aca="false">IFERROR(__xludf.dummyfunction("XLOOKUP(AJ1595,IMPORTRANGE(""1XaInW9DU9nz21V0tYIfzFQ0He9kVQ_JF2mCXgZ3hqFA"",""REKAP ALL 2026 - Andika!G:G""),IMPORTRANGE(""1XaInW9DU9nz21V0tYIfzFQ0He9kVQ_JF2mCXgZ3hqFA"",""REKAP ALL 2026 - Andika!F:F""),"""",0)"),"24136982402")</f>
        <v>24136982402</v>
      </c>
      <c r="G1595" s="15" t="s">
        <v>6992</v>
      </c>
      <c r="H1595" s="13" t="s">
        <v>35</v>
      </c>
      <c r="I1595" s="13" t="str">
        <f aca="false">IF(C1595=J1595,"NEW KONTRAK","RE-KONTRAK")</f>
        <v>RE-KONTRAK</v>
      </c>
      <c r="J1595" s="16" t="n">
        <f aca="false" t="array" ref="J1595:J1595">IFERROR(INDEX(AC1595:AE1595,IF(COUNTA(AC1595:AE1595)=0,"",MAX((AC1595:AE1595&lt;&gt;"")*(COLUMN(AC1595:AE1595)-(COLUMN(AC1595)))))-1),"")</f>
        <v>45840</v>
      </c>
      <c r="K1595" s="16" t="n">
        <f aca="false" t="array" ref="K1595:K1595">IFERROR(INDEX(AC1595:AE1595,IF(COUNTA(AC1595:AE1595)=0,"",MAX((AC1595:AE1595&lt;&gt;"")*(COLUMN(AC1595:AE1595)-(COLUMN(AC1595)-1))))-1),"")</f>
        <v>46022</v>
      </c>
      <c r="L1595" s="17" t="str">
        <f aca="false" t="array" ref="L1595:L1595">IFERROR(INDEX(AC1595:AE1595,IF(COUNTA(AC1595:AE1595)=0,"",MAX((AC1595:AE1595&lt;&gt;"")*(COLUMN(AC1595:AE1595)-(COLUMN(AC1595)-2))))-1),"")</f>
        <v>ARCHIVED</v>
      </c>
      <c r="M1595" s="13" t="n">
        <f aca="true">K1595-TODAY()</f>
        <v>-302</v>
      </c>
      <c r="N1595" s="18" t="s">
        <v>728</v>
      </c>
      <c r="O1595" s="13" t="s">
        <v>6993</v>
      </c>
      <c r="P1595" s="19" t="n">
        <v>200000</v>
      </c>
      <c r="Q1595" s="20" t="s">
        <v>6994</v>
      </c>
      <c r="R1595" s="13" t="s">
        <v>52</v>
      </c>
      <c r="S1595" s="14" t="n">
        <v>38432</v>
      </c>
      <c r="T1595" s="13" t="s">
        <v>40</v>
      </c>
      <c r="U1595" s="13" t="s">
        <v>6995</v>
      </c>
      <c r="V1595" s="13" t="s">
        <v>42</v>
      </c>
      <c r="W1595" s="13" t="s">
        <v>43</v>
      </c>
      <c r="X1595" s="21" t="n">
        <v>88229539218</v>
      </c>
      <c r="Y1595" s="22" t="str">
        <f aca="false">O1595</f>
        <v>Customer &amp; Distributor Relation</v>
      </c>
      <c r="Z1595" s="13" t="str">
        <f aca="false">IFERROR(__xludf.dummyfunction("if(BJ1595="""","""",GOOGLETRANSLATE(BJ1595,""auto"",""en""))"),"Customer &amp; Distributor Relation")</f>
        <v>Customer &amp; Distributor Relation</v>
      </c>
      <c r="AA1595" s="23" t="str">
        <f aca="false">IF(C1595="","", CHOOSE(MONTH(C1595),"January","February","March","April","May","June","July","August","September","October","November","December")&amp;" "&amp;DAY(C1595)&amp;MID("thstndrdth",MIN(9,2*RIGHT(DAY(C1595))*(MOD(DAY(C1595)-11,100)&gt;2)+1),2)&amp;","&amp;TEXT(C1595," yyyy"))</f>
        <v>August 24th,2024</v>
      </c>
      <c r="AB1595" s="15" t="str">
        <f aca="true">IF(S1595="","",DATEDIF(S1595,TODAY(),"Y")&amp;" Tahun, "&amp;DATEDIF(S1595,TODAY(),"YM")&amp;" Bulan, "&amp;DATEDIF(S1595,TODAY(),"MD")&amp;" Hari")</f>
        <v>21 Tahun, 7 Bulan, 8 Hari</v>
      </c>
      <c r="AC1595" s="18" t="n">
        <v>45840</v>
      </c>
      <c r="AD1595" s="18" t="n">
        <v>46022</v>
      </c>
      <c r="AE1595" s="18" t="s">
        <v>44</v>
      </c>
    </row>
    <row r="1596" customFormat="false" ht="15" hidden="false" customHeight="true" outlineLevel="0" collapsed="false">
      <c r="A1596" s="12" t="n">
        <v>16760</v>
      </c>
      <c r="B1596" s="13" t="s">
        <v>6996</v>
      </c>
      <c r="C1596" s="14" t="n">
        <v>45528</v>
      </c>
      <c r="D1596" s="13" t="s">
        <v>6956</v>
      </c>
      <c r="E1596" s="15" t="s">
        <v>47</v>
      </c>
      <c r="F1596" s="15" t="str">
        <f aca="false">IFERROR(__xludf.dummyfunction("XLOOKUP(AJ1596,IMPORTRANGE(""1XaInW9DU9nz21V0tYIfzFQ0He9kVQ_JF2mCXgZ3hqFA"",""REKAP ALL 2026 - Andika!G:G""),IMPORTRANGE(""1XaInW9DU9nz21V0tYIfzFQ0He9kVQ_JF2mCXgZ3hqFA"",""REKAP ALL 2026 - Andika!F:F""),"""",0)"),"24136982477")</f>
        <v>24136982477</v>
      </c>
      <c r="G1596" s="15" t="s">
        <v>6997</v>
      </c>
      <c r="H1596" s="13" t="s">
        <v>35</v>
      </c>
      <c r="I1596" s="13" t="str">
        <f aca="false">IF(C1596=J1596,"NEW KONTRAK","RE-KONTRAK")</f>
        <v>RE-KONTRAK</v>
      </c>
      <c r="J1596" s="16" t="n">
        <f aca="false" t="array" ref="J1596:J1596">IFERROR(INDEX(AC1596:AE1596,IF(COUNTA(AC1596:AE1596)=0,"",MAX((AC1596:AE1596&lt;&gt;"")*(COLUMN(AC1596:AE1596)-(COLUMN(AC1596)))))-1),"")</f>
        <v>45840</v>
      </c>
      <c r="K1596" s="16" t="n">
        <f aca="false" t="array" ref="K1596:K1596">IFERROR(INDEX(AC1596:AE1596,IF(COUNTA(AC1596:AE1596)=0,"",MAX((AC1596:AE1596&lt;&gt;"")*(COLUMN(AC1596:AE1596)-(COLUMN(AC1596)-1))))-1),"")</f>
        <v>46022</v>
      </c>
      <c r="L1596" s="17" t="str">
        <f aca="false" t="array" ref="L1596:L1596">IFERROR(INDEX(AC1596:AE1596,IF(COUNTA(AC1596:AE1596)=0,"",MAX((AC1596:AE1596&lt;&gt;"")*(COLUMN(AC1596:AE1596)-(COLUMN(AC1596)-2))))-1),"")</f>
        <v>ARCHIVED</v>
      </c>
      <c r="M1596" s="13" t="n">
        <f aca="true">K1596-TODAY()</f>
        <v>-302</v>
      </c>
      <c r="N1596" s="18" t="s">
        <v>728</v>
      </c>
      <c r="O1596" s="13" t="s">
        <v>6998</v>
      </c>
      <c r="P1596" s="19" t="n">
        <v>200000</v>
      </c>
      <c r="Q1596" s="20" t="s">
        <v>6999</v>
      </c>
      <c r="R1596" s="13" t="s">
        <v>65</v>
      </c>
      <c r="S1596" s="14" t="n">
        <v>36268</v>
      </c>
      <c r="T1596" s="13" t="s">
        <v>40</v>
      </c>
      <c r="U1596" s="13" t="s">
        <v>7000</v>
      </c>
      <c r="V1596" s="13" t="s">
        <v>42</v>
      </c>
      <c r="W1596" s="13" t="s">
        <v>54</v>
      </c>
      <c r="X1596" s="21" t="n">
        <v>85746903307</v>
      </c>
      <c r="Y1596" s="22" t="str">
        <f aca="false">O1596</f>
        <v>Produksi Control</v>
      </c>
      <c r="Z1596" s="13" t="str">
        <f aca="false">IFERROR(__xludf.dummyfunction("if(BJ1596="""","""",GOOGLETRANSLATE(BJ1596,""auto"",""en""))"),"Production Control")</f>
        <v>Production Control</v>
      </c>
      <c r="AA1596" s="23" t="str">
        <f aca="false">IF(C1596="","", CHOOSE(MONTH(C1596),"January","February","March","April","May","June","July","August","September","October","November","December")&amp;" "&amp;DAY(C1596)&amp;MID("thstndrdth",MIN(9,2*RIGHT(DAY(C1596))*(MOD(DAY(C1596)-11,100)&gt;2)+1),2)&amp;","&amp;TEXT(C1596," yyyy"))</f>
        <v>August 24th,2024</v>
      </c>
      <c r="AB1596" s="15" t="str">
        <f aca="true">IF(S1596="","",DATEDIF(S1596,TODAY(),"Y")&amp;" Tahun, "&amp;DATEDIF(S1596,TODAY(),"YM")&amp;" Bulan, "&amp;DATEDIF(S1596,TODAY(),"MD")&amp;" Hari")</f>
        <v>27 Tahun, 6 Bulan, 11 Hari</v>
      </c>
      <c r="AC1596" s="18" t="n">
        <v>45840</v>
      </c>
      <c r="AD1596" s="18" t="n">
        <v>46022</v>
      </c>
      <c r="AE1596" s="18" t="s">
        <v>44</v>
      </c>
    </row>
    <row r="1597" customFormat="false" ht="15" hidden="false" customHeight="true" outlineLevel="0" collapsed="false">
      <c r="A1597" s="12" t="n">
        <v>16762</v>
      </c>
      <c r="B1597" s="13" t="s">
        <v>7001</v>
      </c>
      <c r="C1597" s="14" t="n">
        <v>45528</v>
      </c>
      <c r="D1597" s="13" t="s">
        <v>6956</v>
      </c>
      <c r="E1597" s="15" t="s">
        <v>47</v>
      </c>
      <c r="F1597" s="15" t="str">
        <f aca="false">IFERROR(__xludf.dummyfunction("XLOOKUP(AJ1597,IMPORTRANGE(""1XaInW9DU9nz21V0tYIfzFQ0He9kVQ_JF2mCXgZ3hqFA"",""REKAP ALL 2026 - Andika!G:G""),IMPORTRANGE(""1XaInW9DU9nz21V0tYIfzFQ0He9kVQ_JF2mCXgZ3hqFA"",""REKAP ALL 2026 - Andika!F:F""),"""",0)"),"21061447153")</f>
        <v>21061447153</v>
      </c>
      <c r="G1597" s="15" t="s">
        <v>7002</v>
      </c>
      <c r="H1597" s="13" t="s">
        <v>35</v>
      </c>
      <c r="I1597" s="13" t="str">
        <f aca="false">IF(C1597=J1597,"NEW KONTRAK","RE-KONTRAK")</f>
        <v>RE-KONTRAK</v>
      </c>
      <c r="J1597" s="16" t="n">
        <f aca="false" t="array" ref="J1597:J1597">IFERROR(INDEX(AC1597:AE1597,IF(COUNTA(AC1597:AE1597)=0,"",MAX((AC1597:AE1597&lt;&gt;"")*(COLUMN(AC1597:AE1597)-(COLUMN(AC1597)))))-1),"")</f>
        <v>45840</v>
      </c>
      <c r="K1597" s="16" t="n">
        <f aca="false" t="array" ref="K1597:K1597">IFERROR(INDEX(AC1597:AE1597,IF(COUNTA(AC1597:AE1597)=0,"",MAX((AC1597:AE1597&lt;&gt;"")*(COLUMN(AC1597:AE1597)-(COLUMN(AC1597)-1))))-1),"")</f>
        <v>46022</v>
      </c>
      <c r="L1597" s="17" t="str">
        <f aca="false" t="array" ref="L1597:L1597">IFERROR(INDEX(AC1597:AE1597,IF(COUNTA(AC1597:AE1597)=0,"",MAX((AC1597:AE1597&lt;&gt;"")*(COLUMN(AC1597:AE1597)-(COLUMN(AC1597)-2))))-1),"")</f>
        <v>ARCHIVED</v>
      </c>
      <c r="M1597" s="13" t="n">
        <f aca="true">K1597-TODAY()</f>
        <v>-302</v>
      </c>
      <c r="N1597" s="18" t="s">
        <v>728</v>
      </c>
      <c r="O1597" s="13" t="s">
        <v>6998</v>
      </c>
      <c r="P1597" s="19" t="n">
        <v>200000</v>
      </c>
      <c r="Q1597" s="20" t="s">
        <v>7003</v>
      </c>
      <c r="R1597" s="13" t="s">
        <v>52</v>
      </c>
      <c r="S1597" s="14" t="n">
        <v>37100</v>
      </c>
      <c r="T1597" s="13" t="s">
        <v>40</v>
      </c>
      <c r="U1597" s="13" t="s">
        <v>7004</v>
      </c>
      <c r="V1597" s="13" t="s">
        <v>42</v>
      </c>
      <c r="W1597" s="13" t="s">
        <v>43</v>
      </c>
      <c r="X1597" s="21" t="n">
        <v>89635619416</v>
      </c>
      <c r="Y1597" s="22" t="str">
        <f aca="false">O1597</f>
        <v>Produksi Control</v>
      </c>
      <c r="Z1597" s="13" t="str">
        <f aca="false">IFERROR(__xludf.dummyfunction("if(BJ1597="""","""",GOOGLETRANSLATE(BJ1597,""auto"",""en""))"),"Production Control")</f>
        <v>Production Control</v>
      </c>
      <c r="AA1597" s="23" t="str">
        <f aca="false">IF(C1597="","", CHOOSE(MONTH(C1597),"January","February","March","April","May","June","July","August","September","October","November","December")&amp;" "&amp;DAY(C1597)&amp;MID("thstndrdth",MIN(9,2*RIGHT(DAY(C1597))*(MOD(DAY(C1597)-11,100)&gt;2)+1),2)&amp;","&amp;TEXT(C1597," yyyy"))</f>
        <v>August 24th,2024</v>
      </c>
      <c r="AB1597" s="15" t="str">
        <f aca="true">IF(S1597="","",DATEDIF(S1597,TODAY(),"Y")&amp;" Tahun, "&amp;DATEDIF(S1597,TODAY(),"YM")&amp;" Bulan, "&amp;DATEDIF(S1597,TODAY(),"MD")&amp;" Hari")</f>
        <v>25 Tahun, 3 Bulan, 1 Hari</v>
      </c>
      <c r="AC1597" s="18" t="n">
        <v>45840</v>
      </c>
      <c r="AD1597" s="18" t="n">
        <v>46022</v>
      </c>
      <c r="AE1597" s="18" t="s">
        <v>44</v>
      </c>
    </row>
    <row r="1598" customFormat="false" ht="15" hidden="false" customHeight="true" outlineLevel="0" collapsed="false">
      <c r="A1598" s="12" t="n">
        <v>16766</v>
      </c>
      <c r="B1598" s="13" t="s">
        <v>7005</v>
      </c>
      <c r="C1598" s="14" t="n">
        <v>45528</v>
      </c>
      <c r="D1598" s="13" t="s">
        <v>6956</v>
      </c>
      <c r="E1598" s="15" t="s">
        <v>33</v>
      </c>
      <c r="F1598" s="15" t="str">
        <f aca="false">IFERROR(__xludf.dummyfunction("XLOOKUP(AJ1598,IMPORTRANGE(""1XaInW9DU9nz21V0tYIfzFQ0He9kVQ_JF2mCXgZ3hqFA"",""REKAP ALL 2026 - Andika!G:G""),IMPORTRANGE(""1XaInW9DU9nz21V0tYIfzFQ0He9kVQ_JF2mCXgZ3hqFA"",""REKAP ALL 2026 - Andika!F:F""),"""",0)"),"21082506771")</f>
        <v>21082506771</v>
      </c>
      <c r="G1598" s="15" t="s">
        <v>7006</v>
      </c>
      <c r="H1598" s="13" t="s">
        <v>35</v>
      </c>
      <c r="I1598" s="13" t="str">
        <f aca="false">IF(C1598=J1598,"NEW KONTRAK","RE-KONTRAK")</f>
        <v>RE-KONTRAK</v>
      </c>
      <c r="J1598" s="16" t="n">
        <f aca="false" t="array" ref="J1598:J1598">IFERROR(INDEX(AC1598:AE1598,IF(COUNTA(AC1598:AE1598)=0,"",MAX((AC1598:AE1598&lt;&gt;"")*(COLUMN(AC1598:AE1598)-(COLUMN(AC1598)))))-1),"")</f>
        <v>45840</v>
      </c>
      <c r="K1598" s="16" t="n">
        <f aca="false" t="array" ref="K1598:K1598">IFERROR(INDEX(AC1598:AE1598,IF(COUNTA(AC1598:AE1598)=0,"",MAX((AC1598:AE1598&lt;&gt;"")*(COLUMN(AC1598:AE1598)-(COLUMN(AC1598)-1))))-1),"")</f>
        <v>46022</v>
      </c>
      <c r="L1598" s="17" t="str">
        <f aca="false" t="array" ref="L1598:L1598">IFERROR(INDEX(AC1598:AE1598,IF(COUNTA(AC1598:AE1598)=0,"",MAX((AC1598:AE1598&lt;&gt;"")*(COLUMN(AC1598:AE1598)-(COLUMN(AC1598)-2))))-1),"")</f>
        <v>ARCHIVED</v>
      </c>
      <c r="M1598" s="13" t="n">
        <f aca="true">K1598-TODAY()</f>
        <v>-302</v>
      </c>
      <c r="N1598" s="18" t="s">
        <v>728</v>
      </c>
      <c r="O1598" s="13" t="s">
        <v>7007</v>
      </c>
      <c r="P1598" s="19" t="n">
        <v>200000</v>
      </c>
      <c r="Q1598" s="20" t="s">
        <v>7008</v>
      </c>
      <c r="R1598" s="13" t="s">
        <v>52</v>
      </c>
      <c r="S1598" s="14" t="n">
        <v>37016</v>
      </c>
      <c r="T1598" s="13" t="s">
        <v>108</v>
      </c>
      <c r="U1598" s="13" t="s">
        <v>7009</v>
      </c>
      <c r="V1598" s="13" t="s">
        <v>42</v>
      </c>
      <c r="W1598" s="13" t="s">
        <v>43</v>
      </c>
      <c r="X1598" s="21" t="n">
        <v>82142027128</v>
      </c>
      <c r="Y1598" s="22" t="str">
        <f aca="false">O1598</f>
        <v>Finish Good &amp; Logistic</v>
      </c>
      <c r="Z1598" s="13" t="str">
        <f aca="false">IFERROR(__xludf.dummyfunction("if(BJ1598="""","""",GOOGLETRANSLATE(BJ1598,""auto"",""en""))"),"Finish Good &amp; Logistic")</f>
        <v>Finish Good &amp; Logistic</v>
      </c>
      <c r="AA1598" s="23" t="str">
        <f aca="false">IF(C1598="","", CHOOSE(MONTH(C1598),"January","February","March","April","May","June","July","August","September","October","November","December")&amp;" "&amp;DAY(C1598)&amp;MID("thstndrdth",MIN(9,2*RIGHT(DAY(C1598))*(MOD(DAY(C1598)-11,100)&gt;2)+1),2)&amp;","&amp;TEXT(C1598," yyyy"))</f>
        <v>August 24th,2024</v>
      </c>
      <c r="AB1598" s="15" t="str">
        <f aca="true">IF(S1598="","",DATEDIF(S1598,TODAY(),"Y")&amp;" Tahun, "&amp;DATEDIF(S1598,TODAY(),"YM")&amp;" Bulan, "&amp;DATEDIF(S1598,TODAY(),"MD")&amp;" Hari")</f>
        <v>25 Tahun, 5 Bulan, 24 Hari</v>
      </c>
      <c r="AC1598" s="18" t="n">
        <v>45840</v>
      </c>
      <c r="AD1598" s="18" t="n">
        <v>46022</v>
      </c>
      <c r="AE1598" s="18" t="s">
        <v>44</v>
      </c>
    </row>
    <row r="1599" customFormat="false" ht="15" hidden="false" customHeight="true" outlineLevel="0" collapsed="false">
      <c r="A1599" s="12" t="n">
        <v>16768</v>
      </c>
      <c r="B1599" s="13" t="s">
        <v>7010</v>
      </c>
      <c r="C1599" s="14" t="n">
        <v>45528</v>
      </c>
      <c r="D1599" s="13" t="s">
        <v>6956</v>
      </c>
      <c r="E1599" s="15" t="s">
        <v>47</v>
      </c>
      <c r="F1599" s="15" t="str">
        <f aca="false">IFERROR(__xludf.dummyfunction("XLOOKUP(AJ1599,IMPORTRANGE(""1XaInW9DU9nz21V0tYIfzFQ0He9kVQ_JF2mCXgZ3hqFA"",""REKAP ALL 2026 - Andika!G:G""),IMPORTRANGE(""1XaInW9DU9nz21V0tYIfzFQ0He9kVQ_JF2mCXgZ3hqFA"",""REKAP ALL 2026 - Andika!F:F""),"""",0)"),"24136982519")</f>
        <v>24136982519</v>
      </c>
      <c r="G1599" s="15" t="s">
        <v>7011</v>
      </c>
      <c r="H1599" s="13" t="s">
        <v>35</v>
      </c>
      <c r="I1599" s="13" t="str">
        <f aca="false">IF(C1599=J1599,"NEW KONTRAK","RE-KONTRAK")</f>
        <v>RE-KONTRAK</v>
      </c>
      <c r="J1599" s="16" t="n">
        <f aca="false" t="array" ref="J1599:J1599">IFERROR(INDEX(AC1599:AE1599,IF(COUNTA(AC1599:AE1599)=0,"",MAX((AC1599:AE1599&lt;&gt;"")*(COLUMN(AC1599:AE1599)-(COLUMN(AC1599)))))-1),"")</f>
        <v>45840</v>
      </c>
      <c r="K1599" s="16" t="n">
        <f aca="false" t="array" ref="K1599:K1599">IFERROR(INDEX(AC1599:AE1599,IF(COUNTA(AC1599:AE1599)=0,"",MAX((AC1599:AE1599&lt;&gt;"")*(COLUMN(AC1599:AE1599)-(COLUMN(AC1599)-1))))-1),"")</f>
        <v>46022</v>
      </c>
      <c r="L1599" s="17" t="str">
        <f aca="false" t="array" ref="L1599:L1599">IFERROR(INDEX(AC1599:AE1599,IF(COUNTA(AC1599:AE1599)=0,"",MAX((AC1599:AE1599&lt;&gt;"")*(COLUMN(AC1599:AE1599)-(COLUMN(AC1599)-2))))-1),"")</f>
        <v>ARCHIVED</v>
      </c>
      <c r="M1599" s="13" t="n">
        <f aca="true">K1599-TODAY()</f>
        <v>-302</v>
      </c>
      <c r="N1599" s="18" t="s">
        <v>728</v>
      </c>
      <c r="O1599" s="13" t="s">
        <v>6998</v>
      </c>
      <c r="P1599" s="19" t="n">
        <v>200000</v>
      </c>
      <c r="Q1599" s="20" t="s">
        <v>7012</v>
      </c>
      <c r="R1599" s="13" t="s">
        <v>65</v>
      </c>
      <c r="S1599" s="14" t="n">
        <v>36975</v>
      </c>
      <c r="T1599" s="13" t="s">
        <v>40</v>
      </c>
      <c r="U1599" s="13" t="s">
        <v>7013</v>
      </c>
      <c r="V1599" s="13" t="s">
        <v>42</v>
      </c>
      <c r="W1599" s="13" t="s">
        <v>43</v>
      </c>
      <c r="X1599" s="21" t="n">
        <v>895623382656</v>
      </c>
      <c r="Y1599" s="22" t="str">
        <f aca="false">O1599</f>
        <v>Produksi Control</v>
      </c>
      <c r="Z1599" s="13" t="str">
        <f aca="false">IFERROR(__xludf.dummyfunction("if(BJ1599="""","""",GOOGLETRANSLATE(BJ1599,""auto"",""en""))"),"Production Control")</f>
        <v>Production Control</v>
      </c>
      <c r="AA1599" s="23" t="str">
        <f aca="false">IF(C1599="","", CHOOSE(MONTH(C1599),"January","February","March","April","May","June","July","August","September","October","November","December")&amp;" "&amp;DAY(C1599)&amp;MID("thstndrdth",MIN(9,2*RIGHT(DAY(C1599))*(MOD(DAY(C1599)-11,100)&gt;2)+1),2)&amp;","&amp;TEXT(C1599," yyyy"))</f>
        <v>August 24th,2024</v>
      </c>
      <c r="AB1599" s="15" t="str">
        <f aca="true">IF(S1599="","",DATEDIF(S1599,TODAY(),"Y")&amp;" Tahun, "&amp;DATEDIF(S1599,TODAY(),"YM")&amp;" Bulan, "&amp;DATEDIF(S1599,TODAY(),"MD")&amp;" Hari")</f>
        <v>25 Tahun, 7 Bulan, 4 Hari</v>
      </c>
      <c r="AC1599" s="18" t="n">
        <v>45840</v>
      </c>
      <c r="AD1599" s="18" t="n">
        <v>46022</v>
      </c>
      <c r="AE1599" s="18" t="s">
        <v>44</v>
      </c>
    </row>
    <row r="1600" customFormat="false" ht="15" hidden="false" customHeight="true" outlineLevel="0" collapsed="false">
      <c r="A1600" s="12" t="n">
        <v>16772</v>
      </c>
      <c r="B1600" s="13" t="s">
        <v>7014</v>
      </c>
      <c r="C1600" s="14" t="n">
        <v>45528</v>
      </c>
      <c r="D1600" s="13" t="s">
        <v>6956</v>
      </c>
      <c r="E1600" s="15" t="s">
        <v>47</v>
      </c>
      <c r="F1600" s="15" t="str">
        <f aca="false">IFERROR(__xludf.dummyfunction("XLOOKUP(AJ1600,IMPORTRANGE(""1XaInW9DU9nz21V0tYIfzFQ0He9kVQ_JF2mCXgZ3hqFA"",""REKAP ALL 2026 - Andika!G:G""),IMPORTRANGE(""1XaInW9DU9nz21V0tYIfzFQ0He9kVQ_JF2mCXgZ3hqFA"",""REKAP ALL 2026 - Andika!F:F""),"""",0)"),"21061447419")</f>
        <v>21061447419</v>
      </c>
      <c r="G1600" s="15" t="s">
        <v>7015</v>
      </c>
      <c r="H1600" s="13" t="s">
        <v>35</v>
      </c>
      <c r="I1600" s="13" t="str">
        <f aca="false">IF(C1600=J1600,"NEW KONTRAK","RE-KONTRAK")</f>
        <v>RE-KONTRAK</v>
      </c>
      <c r="J1600" s="16" t="n">
        <f aca="false" t="array" ref="J1600:J1600">IFERROR(INDEX(AC1600:AE1600,IF(COUNTA(AC1600:AE1600)=0,"",MAX((AC1600:AE1600&lt;&gt;"")*(COLUMN(AC1600:AE1600)-(COLUMN(AC1600)))))-1),"")</f>
        <v>45840</v>
      </c>
      <c r="K1600" s="16" t="n">
        <f aca="false" t="array" ref="K1600:K1600">IFERROR(INDEX(AC1600:AE1600,IF(COUNTA(AC1600:AE1600)=0,"",MAX((AC1600:AE1600&lt;&gt;"")*(COLUMN(AC1600:AE1600)-(COLUMN(AC1600)-1))))-1),"")</f>
        <v>46022</v>
      </c>
      <c r="L1600" s="17" t="str">
        <f aca="false" t="array" ref="L1600:L1600">IFERROR(INDEX(AC1600:AE1600,IF(COUNTA(AC1600:AE1600)=0,"",MAX((AC1600:AE1600&lt;&gt;"")*(COLUMN(AC1600:AE1600)-(COLUMN(AC1600)-2))))-1),"")</f>
        <v>ARCHIVED</v>
      </c>
      <c r="M1600" s="13" t="n">
        <f aca="true">K1600-TODAY()</f>
        <v>-302</v>
      </c>
      <c r="N1600" s="18" t="s">
        <v>728</v>
      </c>
      <c r="O1600" s="13" t="s">
        <v>7016</v>
      </c>
      <c r="P1600" s="19" t="n">
        <v>200000</v>
      </c>
      <c r="Q1600" s="20" t="s">
        <v>7017</v>
      </c>
      <c r="R1600" s="13" t="s">
        <v>260</v>
      </c>
      <c r="S1600" s="14" t="n">
        <v>37731</v>
      </c>
      <c r="T1600" s="13" t="s">
        <v>108</v>
      </c>
      <c r="U1600" s="13" t="s">
        <v>7018</v>
      </c>
      <c r="V1600" s="13" t="s">
        <v>42</v>
      </c>
      <c r="W1600" s="13" t="s">
        <v>43</v>
      </c>
      <c r="X1600" s="21" t="n">
        <v>85608437427</v>
      </c>
      <c r="Y1600" s="22" t="str">
        <f aca="false">O1600</f>
        <v>Raw Material Warehouse</v>
      </c>
      <c r="Z1600" s="13" t="str">
        <f aca="false">IFERROR(__xludf.dummyfunction("if(BJ1600="""","""",GOOGLETRANSLATE(BJ1600,""auto"",""en""))"),"Raw Material Warehouse")</f>
        <v>Raw Material Warehouse</v>
      </c>
      <c r="AA1600" s="23" t="str">
        <f aca="false">IF(C1600="","", CHOOSE(MONTH(C1600),"January","February","March","April","May","June","July","August","September","October","November","December")&amp;" "&amp;DAY(C1600)&amp;MID("thstndrdth",MIN(9,2*RIGHT(DAY(C1600))*(MOD(DAY(C1600)-11,100)&gt;2)+1),2)&amp;","&amp;TEXT(C1600," yyyy"))</f>
        <v>August 24th,2024</v>
      </c>
      <c r="AB1600" s="15" t="str">
        <f aca="true">IF(S1600="","",DATEDIF(S1600,TODAY(),"Y")&amp;" Tahun, "&amp;DATEDIF(S1600,TODAY(),"YM")&amp;" Bulan, "&amp;DATEDIF(S1600,TODAY(),"MD")&amp;" Hari")</f>
        <v>23 Tahun, 6 Bulan, 9 Hari</v>
      </c>
      <c r="AC1600" s="18" t="n">
        <v>45840</v>
      </c>
      <c r="AD1600" s="18" t="n">
        <v>46022</v>
      </c>
      <c r="AE1600" s="18" t="s">
        <v>44</v>
      </c>
    </row>
    <row r="1601" customFormat="false" ht="15" hidden="false" customHeight="true" outlineLevel="0" collapsed="false">
      <c r="A1601" s="12" t="n">
        <v>16773</v>
      </c>
      <c r="B1601" s="13" t="s">
        <v>7019</v>
      </c>
      <c r="C1601" s="14" t="n">
        <v>45528</v>
      </c>
      <c r="D1601" s="13" t="s">
        <v>6956</v>
      </c>
      <c r="E1601" s="15" t="s">
        <v>47</v>
      </c>
      <c r="F1601" s="15" t="str">
        <f aca="false">IFERROR(__xludf.dummyfunction("XLOOKUP(AJ1601,IMPORTRANGE(""1XaInW9DU9nz21V0tYIfzFQ0He9kVQ_JF2mCXgZ3hqFA"",""REKAP ALL 2026 - Andika!G:G""),IMPORTRANGE(""1XaInW9DU9nz21V0tYIfzFQ0He9kVQ_JF2mCXgZ3hqFA"",""REKAP ALL 2026 - Andika!F:F""),"""",0)"),"24136982220")</f>
        <v>24136982220</v>
      </c>
      <c r="G1601" s="15" t="s">
        <v>7020</v>
      </c>
      <c r="H1601" s="13" t="s">
        <v>35</v>
      </c>
      <c r="I1601" s="13" t="str">
        <f aca="false">IF(C1601=J1601,"NEW KONTRAK","RE-KONTRAK")</f>
        <v>RE-KONTRAK</v>
      </c>
      <c r="J1601" s="16" t="n">
        <f aca="false" t="array" ref="J1601:J1601">IFERROR(INDEX(AC1601:AE1601,IF(COUNTA(AC1601:AE1601)=0,"",MAX((AC1601:AE1601&lt;&gt;"")*(COLUMN(AC1601:AE1601)-(COLUMN(AC1601)))))-1),"")</f>
        <v>45840</v>
      </c>
      <c r="K1601" s="16" t="n">
        <f aca="false" t="array" ref="K1601:K1601">IFERROR(INDEX(AC1601:AE1601,IF(COUNTA(AC1601:AE1601)=0,"",MAX((AC1601:AE1601&lt;&gt;"")*(COLUMN(AC1601:AE1601)-(COLUMN(AC1601)-1))))-1),"")</f>
        <v>46022</v>
      </c>
      <c r="L1601" s="17" t="str">
        <f aca="false" t="array" ref="L1601:L1601">IFERROR(INDEX(AC1601:AE1601,IF(COUNTA(AC1601:AE1601)=0,"",MAX((AC1601:AE1601&lt;&gt;"")*(COLUMN(AC1601:AE1601)-(COLUMN(AC1601)-2))))-1),"")</f>
        <v>ARCHIVED</v>
      </c>
      <c r="M1601" s="13" t="n">
        <f aca="true">K1601-TODAY()</f>
        <v>-302</v>
      </c>
      <c r="N1601" s="18" t="s">
        <v>728</v>
      </c>
      <c r="O1601" s="13" t="s">
        <v>6998</v>
      </c>
      <c r="P1601" s="19" t="n">
        <v>200000</v>
      </c>
      <c r="Q1601" s="20" t="s">
        <v>7021</v>
      </c>
      <c r="R1601" s="13" t="s">
        <v>52</v>
      </c>
      <c r="S1601" s="14" t="n">
        <v>34923</v>
      </c>
      <c r="T1601" s="13" t="s">
        <v>40</v>
      </c>
      <c r="U1601" s="13" t="s">
        <v>7022</v>
      </c>
      <c r="V1601" s="13" t="s">
        <v>42</v>
      </c>
      <c r="W1601" s="13" t="s">
        <v>43</v>
      </c>
      <c r="X1601" s="21" t="n">
        <v>89654287127</v>
      </c>
      <c r="Y1601" s="22" t="str">
        <f aca="false">O1601</f>
        <v>Produksi Control</v>
      </c>
      <c r="Z1601" s="13" t="str">
        <f aca="false">IFERROR(__xludf.dummyfunction("if(BJ1601="""","""",GOOGLETRANSLATE(BJ1601,""auto"",""en""))"),"Production Control")</f>
        <v>Production Control</v>
      </c>
      <c r="AA1601" s="23" t="str">
        <f aca="false">IF(C1601="","", CHOOSE(MONTH(C1601),"January","February","March","April","May","June","July","August","September","October","November","December")&amp;" "&amp;DAY(C1601)&amp;MID("thstndrdth",MIN(9,2*RIGHT(DAY(C1601))*(MOD(DAY(C1601)-11,100)&gt;2)+1),2)&amp;","&amp;TEXT(C1601," yyyy"))</f>
        <v>August 24th,2024</v>
      </c>
      <c r="AB1601" s="15" t="str">
        <f aca="true">IF(S1601="","",DATEDIF(S1601,TODAY(),"Y")&amp;" Tahun, "&amp;DATEDIF(S1601,TODAY(),"YM")&amp;" Bulan, "&amp;DATEDIF(S1601,TODAY(),"MD")&amp;" Hari")</f>
        <v>31 Tahun, 2 Bulan, 17 Hari</v>
      </c>
      <c r="AC1601" s="18" t="n">
        <v>45840</v>
      </c>
      <c r="AD1601" s="18" t="n">
        <v>46022</v>
      </c>
      <c r="AE1601" s="18" t="s">
        <v>44</v>
      </c>
    </row>
    <row r="1602" customFormat="false" ht="15" hidden="false" customHeight="true" outlineLevel="0" collapsed="false">
      <c r="A1602" s="12" t="n">
        <v>16774</v>
      </c>
      <c r="B1602" s="13" t="s">
        <v>7023</v>
      </c>
      <c r="C1602" s="14" t="n">
        <v>45528</v>
      </c>
      <c r="D1602" s="13" t="s">
        <v>6956</v>
      </c>
      <c r="E1602" s="15" t="s">
        <v>47</v>
      </c>
      <c r="F1602" s="15" t="str">
        <f aca="false">IFERROR(__xludf.dummyfunction("XLOOKUP(AJ1602,IMPORTRANGE(""1XaInW9DU9nz21V0tYIfzFQ0He9kVQ_JF2mCXgZ3hqFA"",""REKAP ALL 2026 - Andika!G:G""),IMPORTRANGE(""1XaInW9DU9nz21V0tYIfzFQ0He9kVQ_JF2mCXgZ3hqFA"",""REKAP ALL 2026 - Andika!F:F""),"""",0)"),"24136982238")</f>
        <v>24136982238</v>
      </c>
      <c r="G1602" s="15" t="s">
        <v>7024</v>
      </c>
      <c r="H1602" s="13" t="s">
        <v>35</v>
      </c>
      <c r="I1602" s="13" t="str">
        <f aca="false">IF(C1602=J1602,"NEW KONTRAK","RE-KONTRAK")</f>
        <v>RE-KONTRAK</v>
      </c>
      <c r="J1602" s="16" t="n">
        <f aca="false" t="array" ref="J1602:J1602">IFERROR(INDEX(AC1602:AE1602,IF(COUNTA(AC1602:AE1602)=0,"",MAX((AC1602:AE1602&lt;&gt;"")*(COLUMN(AC1602:AE1602)-(COLUMN(AC1602)))))-1),"")</f>
        <v>45840</v>
      </c>
      <c r="K1602" s="16" t="n">
        <f aca="false" t="array" ref="K1602:K1602">IFERROR(INDEX(AC1602:AE1602,IF(COUNTA(AC1602:AE1602)=0,"",MAX((AC1602:AE1602&lt;&gt;"")*(COLUMN(AC1602:AE1602)-(COLUMN(AC1602)-1))))-1),"")</f>
        <v>46022</v>
      </c>
      <c r="L1602" s="17" t="str">
        <f aca="false" t="array" ref="L1602:L1602">IFERROR(INDEX(AC1602:AE1602,IF(COUNTA(AC1602:AE1602)=0,"",MAX((AC1602:AE1602&lt;&gt;"")*(COLUMN(AC1602:AE1602)-(COLUMN(AC1602)-2))))-1),"")</f>
        <v>ARCHIVED</v>
      </c>
      <c r="M1602" s="13" t="n">
        <f aca="true">K1602-TODAY()</f>
        <v>-302</v>
      </c>
      <c r="N1602" s="18" t="s">
        <v>728</v>
      </c>
      <c r="O1602" s="13" t="s">
        <v>7025</v>
      </c>
      <c r="P1602" s="19" t="n">
        <v>200000</v>
      </c>
      <c r="Q1602" s="20" t="s">
        <v>7026</v>
      </c>
      <c r="R1602" s="13" t="s">
        <v>52</v>
      </c>
      <c r="S1602" s="14" t="n">
        <v>37551</v>
      </c>
      <c r="T1602" s="13" t="s">
        <v>40</v>
      </c>
      <c r="U1602" s="13" t="s">
        <v>7027</v>
      </c>
      <c r="V1602" s="13" t="s">
        <v>99</v>
      </c>
      <c r="W1602" s="13" t="s">
        <v>43</v>
      </c>
      <c r="X1602" s="21" t="n">
        <v>87870168391</v>
      </c>
      <c r="Y1602" s="22" t="str">
        <f aca="false">O1602</f>
        <v>Total Preventive Maintenance</v>
      </c>
      <c r="Z1602" s="13" t="str">
        <f aca="false">IFERROR(__xludf.dummyfunction("if(BJ1602="""","""",GOOGLETRANSLATE(BJ1602,""auto"",""en""))"),"Total Preventive Maintenance")</f>
        <v>Total Preventive Maintenance</v>
      </c>
      <c r="AA1602" s="23" t="str">
        <f aca="false">IF(C1602="","", CHOOSE(MONTH(C1602),"January","February","March","April","May","June","July","August","September","October","November","December")&amp;" "&amp;DAY(C1602)&amp;MID("thstndrdth",MIN(9,2*RIGHT(DAY(C1602))*(MOD(DAY(C1602)-11,100)&gt;2)+1),2)&amp;","&amp;TEXT(C1602," yyyy"))</f>
        <v>August 24th,2024</v>
      </c>
      <c r="AB1602" s="15" t="str">
        <f aca="true">IF(S1602="","",DATEDIF(S1602,TODAY(),"Y")&amp;" Tahun, "&amp;DATEDIF(S1602,TODAY(),"YM")&amp;" Bulan, "&amp;DATEDIF(S1602,TODAY(),"MD")&amp;" Hari")</f>
        <v>24 Tahun, 0 Bulan, 7 Hari</v>
      </c>
      <c r="AC1602" s="18" t="n">
        <v>45840</v>
      </c>
      <c r="AD1602" s="18" t="n">
        <v>46022</v>
      </c>
      <c r="AE1602" s="18" t="s">
        <v>44</v>
      </c>
    </row>
    <row r="1603" customFormat="false" ht="15" hidden="false" customHeight="true" outlineLevel="0" collapsed="false">
      <c r="A1603" s="12" t="n">
        <v>16775</v>
      </c>
      <c r="B1603" s="13" t="s">
        <v>7028</v>
      </c>
      <c r="C1603" s="14" t="n">
        <v>45528</v>
      </c>
      <c r="D1603" s="13" t="s">
        <v>6956</v>
      </c>
      <c r="E1603" s="15" t="s">
        <v>47</v>
      </c>
      <c r="F1603" s="15" t="str">
        <f aca="false">IFERROR(__xludf.dummyfunction("XLOOKUP(AJ1603,IMPORTRANGE(""1XaInW9DU9nz21V0tYIfzFQ0He9kVQ_JF2mCXgZ3hqFA"",""REKAP ALL 2026 - Andika!G:G""),IMPORTRANGE(""1XaInW9DU9nz21V0tYIfzFQ0He9kVQ_JF2mCXgZ3hqFA"",""REKAP ALL 2026 - Andika!F:F""),"""",0)"),"24136982428")</f>
        <v>24136982428</v>
      </c>
      <c r="G1603" s="15" t="s">
        <v>7029</v>
      </c>
      <c r="H1603" s="13" t="s">
        <v>35</v>
      </c>
      <c r="I1603" s="13" t="str">
        <f aca="false">IF(C1603=J1603,"NEW KONTRAK","RE-KONTRAK")</f>
        <v>RE-KONTRAK</v>
      </c>
      <c r="J1603" s="16" t="n">
        <f aca="false" t="array" ref="J1603:J1603">IFERROR(INDEX(AC1603:AE1603,IF(COUNTA(AC1603:AE1603)=0,"",MAX((AC1603:AE1603&lt;&gt;"")*(COLUMN(AC1603:AE1603)-(COLUMN(AC1603)))))-1),"")</f>
        <v>45840</v>
      </c>
      <c r="K1603" s="16" t="n">
        <f aca="false" t="array" ref="K1603:K1603">IFERROR(INDEX(AC1603:AE1603,IF(COUNTA(AC1603:AE1603)=0,"",MAX((AC1603:AE1603&lt;&gt;"")*(COLUMN(AC1603:AE1603)-(COLUMN(AC1603)-1))))-1),"")</f>
        <v>46022</v>
      </c>
      <c r="L1603" s="17" t="str">
        <f aca="false" t="array" ref="L1603:L1603">IFERROR(INDEX(AC1603:AE1603,IF(COUNTA(AC1603:AE1603)=0,"",MAX((AC1603:AE1603&lt;&gt;"")*(COLUMN(AC1603:AE1603)-(COLUMN(AC1603)-2))))-1),"")</f>
        <v>ARCHIVED</v>
      </c>
      <c r="M1603" s="13" t="n">
        <f aca="true">K1603-TODAY()</f>
        <v>-302</v>
      </c>
      <c r="N1603" s="18" t="s">
        <v>728</v>
      </c>
      <c r="O1603" s="13" t="s">
        <v>7016</v>
      </c>
      <c r="P1603" s="19" t="n">
        <v>200000</v>
      </c>
      <c r="Q1603" s="20" t="s">
        <v>7030</v>
      </c>
      <c r="R1603" s="13" t="s">
        <v>52</v>
      </c>
      <c r="S1603" s="14" t="n">
        <v>34604</v>
      </c>
      <c r="T1603" s="13" t="s">
        <v>40</v>
      </c>
      <c r="U1603" s="13" t="s">
        <v>7031</v>
      </c>
      <c r="V1603" s="13" t="s">
        <v>42</v>
      </c>
      <c r="W1603" s="13" t="s">
        <v>54</v>
      </c>
      <c r="X1603" s="21" t="n">
        <v>895606180462</v>
      </c>
      <c r="Y1603" s="22" t="str">
        <f aca="false">O1603</f>
        <v>Raw Material Warehouse</v>
      </c>
      <c r="Z1603" s="13" t="str">
        <f aca="false">IFERROR(__xludf.dummyfunction("if(BJ1603="""","""",GOOGLETRANSLATE(BJ1603,""auto"",""en""))"),"Raw Material Warehouse")</f>
        <v>Raw Material Warehouse</v>
      </c>
      <c r="AA1603" s="23" t="str">
        <f aca="false">IF(C1603="","", CHOOSE(MONTH(C1603),"January","February","March","April","May","June","July","August","September","October","November","December")&amp;" "&amp;DAY(C1603)&amp;MID("thstndrdth",MIN(9,2*RIGHT(DAY(C1603))*(MOD(DAY(C1603)-11,100)&gt;2)+1),2)&amp;","&amp;TEXT(C1603," yyyy"))</f>
        <v>August 24th,2024</v>
      </c>
      <c r="AB1603" s="15" t="str">
        <f aca="true">IF(S1603="","",DATEDIF(S1603,TODAY(),"Y")&amp;" Tahun, "&amp;DATEDIF(S1603,TODAY(),"YM")&amp;" Bulan, "&amp;DATEDIF(S1603,TODAY(),"MD")&amp;" Hari")</f>
        <v>32 Tahun, 1 Bulan, 2 Hari</v>
      </c>
      <c r="AC1603" s="18" t="n">
        <v>45840</v>
      </c>
      <c r="AD1603" s="18" t="n">
        <v>46022</v>
      </c>
      <c r="AE1603" s="18" t="s">
        <v>44</v>
      </c>
    </row>
    <row r="1604" customFormat="false" ht="15" hidden="false" customHeight="true" outlineLevel="0" collapsed="false">
      <c r="A1604" s="12" t="n">
        <v>16776</v>
      </c>
      <c r="B1604" s="13" t="s">
        <v>7032</v>
      </c>
      <c r="C1604" s="14" t="n">
        <v>45528</v>
      </c>
      <c r="D1604" s="13" t="s">
        <v>6956</v>
      </c>
      <c r="E1604" s="15" t="s">
        <v>47</v>
      </c>
      <c r="F1604" s="15" t="str">
        <f aca="false">IFERROR(__xludf.dummyfunction("XLOOKUP(AJ1604,IMPORTRANGE(""1XaInW9DU9nz21V0tYIfzFQ0He9kVQ_JF2mCXgZ3hqFA"",""REKAP ALL 2026 - Andika!G:G""),IMPORTRANGE(""1XaInW9DU9nz21V0tYIfzFQ0He9kVQ_JF2mCXgZ3hqFA"",""REKAP ALL 2026 - Andika!F:F""),"""",0)"),"24136982568")</f>
        <v>24136982568</v>
      </c>
      <c r="G1604" s="15" t="s">
        <v>7033</v>
      </c>
      <c r="H1604" s="13" t="s">
        <v>35</v>
      </c>
      <c r="I1604" s="13" t="str">
        <f aca="false">IF(C1604=J1604,"NEW KONTRAK","RE-KONTRAK")</f>
        <v>RE-KONTRAK</v>
      </c>
      <c r="J1604" s="16" t="n">
        <f aca="false" t="array" ref="J1604:J1604">IFERROR(INDEX(AC1604:AE1604,IF(COUNTA(AC1604:AE1604)=0,"",MAX((AC1604:AE1604&lt;&gt;"")*(COLUMN(AC1604:AE1604)-(COLUMN(AC1604)))))-1),"")</f>
        <v>45840</v>
      </c>
      <c r="K1604" s="16" t="n">
        <f aca="false" t="array" ref="K1604:K1604">IFERROR(INDEX(AC1604:AE1604,IF(COUNTA(AC1604:AE1604)=0,"",MAX((AC1604:AE1604&lt;&gt;"")*(COLUMN(AC1604:AE1604)-(COLUMN(AC1604)-1))))-1),"")</f>
        <v>46022</v>
      </c>
      <c r="L1604" s="17" t="str">
        <f aca="false" t="array" ref="L1604:L1604">IFERROR(INDEX(AC1604:AE1604,IF(COUNTA(AC1604:AE1604)=0,"",MAX((AC1604:AE1604&lt;&gt;"")*(COLUMN(AC1604:AE1604)-(COLUMN(AC1604)-2))))-1),"")</f>
        <v>ARCHIVED</v>
      </c>
      <c r="M1604" s="13" t="n">
        <f aca="true">K1604-TODAY()</f>
        <v>-302</v>
      </c>
      <c r="N1604" s="18" t="s">
        <v>728</v>
      </c>
      <c r="O1604" s="13" t="s">
        <v>6998</v>
      </c>
      <c r="P1604" s="19" t="n">
        <v>200000</v>
      </c>
      <c r="Q1604" s="20" t="s">
        <v>7034</v>
      </c>
      <c r="R1604" s="13" t="s">
        <v>52</v>
      </c>
      <c r="S1604" s="14" t="n">
        <v>35253</v>
      </c>
      <c r="T1604" s="13" t="s">
        <v>40</v>
      </c>
      <c r="U1604" s="13" t="s">
        <v>7035</v>
      </c>
      <c r="V1604" s="13" t="s">
        <v>42</v>
      </c>
      <c r="W1604" s="13" t="s">
        <v>43</v>
      </c>
      <c r="X1604" s="21" t="n">
        <v>89681257725</v>
      </c>
      <c r="Y1604" s="22" t="str">
        <f aca="false">O1604</f>
        <v>Produksi Control</v>
      </c>
      <c r="Z1604" s="13" t="str">
        <f aca="false">IFERROR(__xludf.dummyfunction("if(BJ1604="""","""",GOOGLETRANSLATE(BJ1604,""auto"",""en""))"),"Production Control")</f>
        <v>Production Control</v>
      </c>
      <c r="AA1604" s="23" t="str">
        <f aca="false">IF(C1604="","", CHOOSE(MONTH(C1604),"January","February","March","April","May","June","July","August","September","October","November","December")&amp;" "&amp;DAY(C1604)&amp;MID("thstndrdth",MIN(9,2*RIGHT(DAY(C1604))*(MOD(DAY(C1604)-11,100)&gt;2)+1),2)&amp;","&amp;TEXT(C1604," yyyy"))</f>
        <v>August 24th,2024</v>
      </c>
      <c r="AB1604" s="15" t="str">
        <f aca="true">IF(S1604="","",DATEDIF(S1604,TODAY(),"Y")&amp;" Tahun, "&amp;DATEDIF(S1604,TODAY(),"YM")&amp;" Bulan, "&amp;DATEDIF(S1604,TODAY(),"MD")&amp;" Hari")</f>
        <v>30 Tahun, 3 Bulan, 22 Hari</v>
      </c>
      <c r="AC1604" s="18" t="n">
        <v>45840</v>
      </c>
      <c r="AD1604" s="18" t="n">
        <v>46022</v>
      </c>
      <c r="AE1604" s="18" t="s">
        <v>44</v>
      </c>
    </row>
    <row r="1605" customFormat="false" ht="15" hidden="false" customHeight="true" outlineLevel="0" collapsed="false">
      <c r="A1605" s="12" t="n">
        <v>16777</v>
      </c>
      <c r="B1605" s="13" t="s">
        <v>7036</v>
      </c>
      <c r="C1605" s="14" t="n">
        <v>45528</v>
      </c>
      <c r="D1605" s="13" t="s">
        <v>6956</v>
      </c>
      <c r="E1605" s="15" t="s">
        <v>47</v>
      </c>
      <c r="F1605" s="15" t="str">
        <f aca="false">IFERROR(__xludf.dummyfunction("XLOOKUP(AJ1605,IMPORTRANGE(""1XaInW9DU9nz21V0tYIfzFQ0He9kVQ_JF2mCXgZ3hqFA"",""REKAP ALL 2026 - Andika!G:G""),IMPORTRANGE(""1XaInW9DU9nz21V0tYIfzFQ0He9kVQ_JF2mCXgZ3hqFA"",""REKAP ALL 2026 - Andika!F:F""),"""",0)"),"24136982584")</f>
        <v>24136982584</v>
      </c>
      <c r="G1605" s="13" t="s">
        <v>7037</v>
      </c>
      <c r="H1605" s="13" t="s">
        <v>35</v>
      </c>
      <c r="I1605" s="13" t="str">
        <f aca="false">IF(C1605=J1605,"NEW KONTRAK","RE-KONTRAK")</f>
        <v>RE-KONTRAK</v>
      </c>
      <c r="J1605" s="16" t="n">
        <f aca="false" t="array" ref="J1605:J1605">IFERROR(INDEX(AC1605:AE1605,IF(COUNTA(AC1605:AE1605)=0,"",MAX((AC1605:AE1605&lt;&gt;"")*(COLUMN(AC1605:AE1605)-(COLUMN(AC1605)))))-1),"")</f>
        <v>45840</v>
      </c>
      <c r="K1605" s="16" t="n">
        <f aca="false" t="array" ref="K1605:K1605">IFERROR(INDEX(AC1605:AE1605,IF(COUNTA(AC1605:AE1605)=0,"",MAX((AC1605:AE1605&lt;&gt;"")*(COLUMN(AC1605:AE1605)-(COLUMN(AC1605)-1))))-1),"")</f>
        <v>46022</v>
      </c>
      <c r="L1605" s="17" t="str">
        <f aca="false" t="array" ref="L1605:L1605">IFERROR(INDEX(AC1605:AE1605,IF(COUNTA(AC1605:AE1605)=0,"",MAX((AC1605:AE1605&lt;&gt;"")*(COLUMN(AC1605:AE1605)-(COLUMN(AC1605)-2))))-1),"")</f>
        <v>ARCHIVED</v>
      </c>
      <c r="M1605" s="13" t="n">
        <f aca="true">K1605-TODAY()</f>
        <v>-302</v>
      </c>
      <c r="N1605" s="18" t="s">
        <v>728</v>
      </c>
      <c r="O1605" s="13" t="s">
        <v>6998</v>
      </c>
      <c r="P1605" s="19" t="n">
        <v>200000</v>
      </c>
      <c r="Q1605" s="20" t="s">
        <v>7038</v>
      </c>
      <c r="R1605" s="13" t="s">
        <v>65</v>
      </c>
      <c r="S1605" s="14" t="n">
        <v>37273</v>
      </c>
      <c r="T1605" s="13" t="s">
        <v>40</v>
      </c>
      <c r="U1605" s="13" t="s">
        <v>7039</v>
      </c>
      <c r="V1605" s="13" t="s">
        <v>42</v>
      </c>
      <c r="W1605" s="13" t="s">
        <v>43</v>
      </c>
      <c r="X1605" s="21" t="n">
        <v>85648357837</v>
      </c>
      <c r="Y1605" s="22" t="str">
        <f aca="false">O1605</f>
        <v>Produksi Control</v>
      </c>
      <c r="Z1605" s="13" t="str">
        <f aca="false">IFERROR(__xludf.dummyfunction("if(BJ1605="""","""",GOOGLETRANSLATE(BJ1605,""auto"",""en""))"),"Production Control")</f>
        <v>Production Control</v>
      </c>
      <c r="AA1605" s="23" t="str">
        <f aca="false">IF(C1605="","", CHOOSE(MONTH(C1605),"January","February","March","April","May","June","July","August","September","October","November","December")&amp;" "&amp;DAY(C1605)&amp;MID("thstndrdth",MIN(9,2*RIGHT(DAY(C1605))*(MOD(DAY(C1605)-11,100)&gt;2)+1),2)&amp;","&amp;TEXT(C1605," yyyy"))</f>
        <v>August 24th,2024</v>
      </c>
      <c r="AB1605" s="15" t="str">
        <f aca="true">IF(S1605="","",DATEDIF(S1605,TODAY(),"Y")&amp;" Tahun, "&amp;DATEDIF(S1605,TODAY(),"YM")&amp;" Bulan, "&amp;DATEDIF(S1605,TODAY(),"MD")&amp;" Hari")</f>
        <v>24 Tahun, 9 Bulan, 12 Hari</v>
      </c>
      <c r="AC1605" s="18" t="n">
        <v>45840</v>
      </c>
      <c r="AD1605" s="18" t="n">
        <v>46022</v>
      </c>
      <c r="AE1605" s="18" t="s">
        <v>44</v>
      </c>
    </row>
    <row r="1606" customFormat="false" ht="15" hidden="false" customHeight="true" outlineLevel="0" collapsed="false">
      <c r="A1606" s="12" t="n">
        <v>16793</v>
      </c>
      <c r="B1606" s="13" t="s">
        <v>7040</v>
      </c>
      <c r="C1606" s="14" t="n">
        <v>45530</v>
      </c>
      <c r="D1606" s="13" t="s">
        <v>2148</v>
      </c>
      <c r="E1606" s="15" t="s">
        <v>102</v>
      </c>
      <c r="F1606" s="15" t="str">
        <f aca="false">IFERROR(__xludf.dummyfunction("XLOOKUP(AJ1606,IMPORTRANGE(""1XaInW9DU9nz21V0tYIfzFQ0He9kVQ_JF2mCXgZ3hqFA"",""REKAP ALL 2026 - Andika!G:G""),IMPORTRANGE(""1XaInW9DU9nz21V0tYIfzFQ0He9kVQ_JF2mCXgZ3hqFA"",""REKAP ALL 2026 - Andika!F:F""),"""",0)"),"24136982691")</f>
        <v>24136982691</v>
      </c>
      <c r="G1606" s="15" t="s">
        <v>7041</v>
      </c>
      <c r="H1606" s="13" t="s">
        <v>49</v>
      </c>
      <c r="I1606" s="13" t="str">
        <f aca="false">IF(C1606=J1606,"NEW KONTRAK","RE-KONTRAK")</f>
        <v>RE-KONTRAK</v>
      </c>
      <c r="J1606" s="16" t="n">
        <f aca="false" t="array" ref="J1606:J1606">IFERROR(INDEX(AC1606:AE1606,IF(COUNTA(AC1606:AE1606)=0,"",MAX((AC1606:AE1606&lt;&gt;"")*(COLUMN(AC1606:AE1606)-(COLUMN(AC1606)))))-1),"")</f>
        <v>45672</v>
      </c>
      <c r="K1606" s="16" t="n">
        <f aca="false" t="array" ref="K1606:K1606">IFERROR(INDEX(AC1606:AE1606,IF(COUNTA(AC1606:AE1606)=0,"",MAX((AC1606:AE1606&lt;&gt;"")*(COLUMN(AC1606:AE1606)-(COLUMN(AC1606)-1))))-1),"")</f>
        <v>46036</v>
      </c>
      <c r="L1606" s="17" t="str">
        <f aca="false" t="array" ref="L1606:L1606">IFERROR(INDEX(AC1606:AE1606,IF(COUNTA(AC1606:AE1606)=0,"",MAX((AC1606:AE1606&lt;&gt;"")*(COLUMN(AC1606:AE1606)-(COLUMN(AC1606)-2))))-1),"")</f>
        <v>ARCHIVED</v>
      </c>
      <c r="M1606" s="13" t="n">
        <f aca="true">K1606-TODAY()</f>
        <v>-288</v>
      </c>
      <c r="N1606" s="50" t="s">
        <v>105</v>
      </c>
      <c r="O1606" s="13" t="s">
        <v>7042</v>
      </c>
      <c r="P1606" s="19" t="n">
        <v>231525</v>
      </c>
      <c r="Q1606" s="20" t="s">
        <v>7043</v>
      </c>
      <c r="R1606" s="13" t="s">
        <v>735</v>
      </c>
      <c r="S1606" s="25" t="n">
        <v>36439</v>
      </c>
      <c r="T1606" s="13" t="s">
        <v>108</v>
      </c>
      <c r="U1606" s="13" t="s">
        <v>7044</v>
      </c>
      <c r="V1606" s="13" t="s">
        <v>42</v>
      </c>
      <c r="W1606" s="13" t="s">
        <v>43</v>
      </c>
      <c r="X1606" s="21" t="n">
        <v>88217376273</v>
      </c>
      <c r="Y1606" s="22" t="str">
        <f aca="false">O1606</f>
        <v>GA - Admin Customer Service</v>
      </c>
      <c r="Z1606" s="13" t="str">
        <f aca="false">IFERROR(__xludf.dummyfunction("if(BJ1606="""","""",GOOGLETRANSLATE(BJ1606,""auto"",""en""))"),"GA - Admin Customer Service")</f>
        <v>GA - Admin Customer Service</v>
      </c>
      <c r="AA1606" s="23" t="str">
        <f aca="false">IF(C1606="","", CHOOSE(MONTH(C1606),"January","February","March","April","May","June","July","August","September","October","November","December")&amp;" "&amp;DAY(C1606)&amp;MID("thstndrdth",MIN(9,2*RIGHT(DAY(C1606))*(MOD(DAY(C1606)-11,100)&gt;2)+1),2)&amp;","&amp;TEXT(C1606," yyyy"))</f>
        <v>August 26th,2024</v>
      </c>
      <c r="AB1606" s="15" t="str">
        <f aca="true">IF(S1606="","",DATEDIF(S1606,TODAY(),"Y")&amp;" Tahun, "&amp;DATEDIF(S1606,TODAY(),"YM")&amp;" Bulan, "&amp;DATEDIF(S1606,TODAY(),"MD")&amp;" Hari")</f>
        <v>27 Tahun, 0 Bulan, 23 Hari</v>
      </c>
      <c r="AC1606" s="18" t="n">
        <v>45672</v>
      </c>
      <c r="AD1606" s="18" t="n">
        <v>46036</v>
      </c>
      <c r="AE1606" s="18" t="s">
        <v>44</v>
      </c>
    </row>
    <row r="1607" customFormat="false" ht="15" hidden="false" customHeight="true" outlineLevel="0" collapsed="false">
      <c r="A1607" s="12" t="n">
        <v>16836</v>
      </c>
      <c r="B1607" s="13" t="s">
        <v>7045</v>
      </c>
      <c r="C1607" s="14" t="n">
        <v>45528</v>
      </c>
      <c r="D1607" s="13" t="s">
        <v>5903</v>
      </c>
      <c r="E1607" s="15" t="s">
        <v>102</v>
      </c>
      <c r="F1607" s="15" t="str">
        <f aca="false">IFERROR(__xludf.dummyfunction("XLOOKUP(AJ1607,IMPORTRANGE(""1XaInW9DU9nz21V0tYIfzFQ0He9kVQ_JF2mCXgZ3hqFA"",""REKAP ALL 2026 - Andika!G:G""),IMPORTRANGE(""1XaInW9DU9nz21V0tYIfzFQ0He9kVQ_JF2mCXgZ3hqFA"",""REKAP ALL 2026 - Andika!F:F""),"""",0)"),"24138556162")</f>
        <v>24138556162</v>
      </c>
      <c r="G1607" s="15" t="s">
        <v>7046</v>
      </c>
      <c r="H1607" s="13" t="s">
        <v>35</v>
      </c>
      <c r="I1607" s="13" t="str">
        <f aca="false">IF(C1607=J1607,"NEW KONTRAK","RE-KONTRAK")</f>
        <v>RE-KONTRAK</v>
      </c>
      <c r="J1607" s="16" t="n">
        <f aca="false" t="array" ref="J1607:J1607">IFERROR(INDEX(AC1607:AE1607,IF(COUNTA(AC1607:AE1607)=0,"",MAX((AC1607:AE1607&lt;&gt;"")*(COLUMN(AC1607:AE1607)-(COLUMN(AC1607)))))-1),"")</f>
        <v>45778</v>
      </c>
      <c r="K1607" s="16" t="n">
        <f aca="false" t="array" ref="K1607:K1607">IFERROR(INDEX(AC1607:AE1607,IF(COUNTA(AC1607:AE1607)=0,"",MAX((AC1607:AE1607&lt;&gt;"")*(COLUMN(AC1607:AE1607)-(COLUMN(AC1607)-1))))-1),"")</f>
        <v>46142</v>
      </c>
      <c r="L1607" s="17" t="str">
        <f aca="false" t="array" ref="L1607:L1607">IFERROR(INDEX(AC1607:AE1607,IF(COUNTA(AC1607:AE1607)=0,"",MAX((AC1607:AE1607&lt;&gt;"")*(COLUMN(AC1607:AE1607)-(COLUMN(AC1607)-2))))-1),"")</f>
        <v>ARCHIVED</v>
      </c>
      <c r="M1607" s="13" t="n">
        <f aca="true">K1607-TODAY()</f>
        <v>-182</v>
      </c>
      <c r="N1607" s="50" t="s">
        <v>728</v>
      </c>
      <c r="O1607" s="13" t="s">
        <v>3510</v>
      </c>
      <c r="P1607" s="19" t="n">
        <f aca="false">IFERROR(__xludf.dummyfunction("INDEX(IMPORTRANGE(""12FwpLvlsVhD_IhxpEWawHHAWVeXnjXpHARKGUQ_nP_w"",""harga rukma!H:H""),MATCH(C1607,IMPORTRANGE(""12FwpLvlsVhD_IhxpEWawHHAWVeXnjXpHARKGUQ_nP_w"",""harga rukma!B:B""),0))"),3465000)</f>
        <v>3465000</v>
      </c>
      <c r="Q1607" s="20" t="s">
        <v>7047</v>
      </c>
      <c r="R1607" s="13" t="s">
        <v>52</v>
      </c>
      <c r="S1607" s="14" t="n">
        <v>37801</v>
      </c>
      <c r="T1607" s="13" t="s">
        <v>40</v>
      </c>
      <c r="U1607" s="13" t="s">
        <v>7048</v>
      </c>
      <c r="V1607" s="13" t="s">
        <v>42</v>
      </c>
      <c r="W1607" s="13" t="s">
        <v>43</v>
      </c>
      <c r="X1607" s="21" t="n">
        <v>82333243425</v>
      </c>
      <c r="Y1607" s="22" t="str">
        <f aca="false">O1607</f>
        <v>Teknisi</v>
      </c>
      <c r="Z1607" s="13" t="str">
        <f aca="false">IFERROR(__xludf.dummyfunction("if(BJ1607="""","""",GOOGLETRANSLATE(BJ1607,""auto"",""en""))"),"Technician")</f>
        <v>Technician</v>
      </c>
      <c r="AA1607" s="23" t="str">
        <f aca="false">IF(C1607="","", CHOOSE(MONTH(C1607),"January","February","March","April","May","June","July","August","September","October","November","December")&amp;" "&amp;DAY(C1607)&amp;MID("thstndrdth",MIN(9,2*RIGHT(DAY(C1607))*(MOD(DAY(C1607)-11,100)&gt;2)+1),2)&amp;","&amp;TEXT(C1607," yyyy"))</f>
        <v>August 24th,2024</v>
      </c>
      <c r="AB1607" s="15" t="str">
        <f aca="true">IF(S1607="","",DATEDIF(S1607,TODAY(),"Y")&amp;" Tahun, "&amp;DATEDIF(S1607,TODAY(),"YM")&amp;" Bulan, "&amp;DATEDIF(S1607,TODAY(),"MD")&amp;" Hari")</f>
        <v>23 Tahun, 4 Bulan, 0 Hari</v>
      </c>
      <c r="AC1607" s="18" t="n">
        <v>45778</v>
      </c>
      <c r="AD1607" s="18" t="n">
        <v>46142</v>
      </c>
      <c r="AE1607" s="18" t="s">
        <v>44</v>
      </c>
    </row>
    <row r="1608" customFormat="false" ht="15" hidden="false" customHeight="true" outlineLevel="0" collapsed="false">
      <c r="A1608" s="12" t="n">
        <v>16837</v>
      </c>
      <c r="B1608" s="13" t="s">
        <v>7049</v>
      </c>
      <c r="C1608" s="14" t="n">
        <v>45528</v>
      </c>
      <c r="D1608" s="13" t="s">
        <v>5903</v>
      </c>
      <c r="E1608" s="15" t="s">
        <v>47</v>
      </c>
      <c r="F1608" s="15" t="str">
        <f aca="false">IFERROR(__xludf.dummyfunction("XLOOKUP(AJ1608,IMPORTRANGE(""1XaInW9DU9nz21V0tYIfzFQ0He9kVQ_JF2mCXgZ3hqFA"",""REKAP ALL 2026 - Andika!G:G""),IMPORTRANGE(""1XaInW9DU9nz21V0tYIfzFQ0He9kVQ_JF2mCXgZ3hqFA"",""REKAP ALL 2026 - Andika!F:F""),"""",0)"),"24138556253")</f>
        <v>24138556253</v>
      </c>
      <c r="G1608" s="15" t="s">
        <v>7050</v>
      </c>
      <c r="H1608" s="13" t="s">
        <v>35</v>
      </c>
      <c r="I1608" s="13" t="str">
        <f aca="false">IF(C1608=J1608,"NEW KONTRAK","RE-KONTRAK")</f>
        <v>RE-KONTRAK</v>
      </c>
      <c r="J1608" s="16" t="n">
        <f aca="false" t="array" ref="J1608:J1608">IFERROR(INDEX(AC1608:AE1608,IF(COUNTA(AC1608:AE1608)=0,"",MAX((AC1608:AE1608&lt;&gt;"")*(COLUMN(AC1608:AE1608)-(COLUMN(AC1608)))))-1),"")</f>
        <v>45778</v>
      </c>
      <c r="K1608" s="16" t="n">
        <f aca="false" t="array" ref="K1608:K1608">IFERROR(INDEX(AC1608:AE1608,IF(COUNTA(AC1608:AE1608)=0,"",MAX((AC1608:AE1608&lt;&gt;"")*(COLUMN(AC1608:AE1608)-(COLUMN(AC1608)-1))))-1),"")</f>
        <v>46142</v>
      </c>
      <c r="L1608" s="17" t="str">
        <f aca="false" t="array" ref="L1608:L1608">IFERROR(INDEX(AC1608:AE1608,IF(COUNTA(AC1608:AE1608)=0,"",MAX((AC1608:AE1608&lt;&gt;"")*(COLUMN(AC1608:AE1608)-(COLUMN(AC1608)-2))))-1),"")</f>
        <v>ARCHIVED</v>
      </c>
      <c r="M1608" s="13" t="n">
        <f aca="true">K1608-TODAY()</f>
        <v>-182</v>
      </c>
      <c r="N1608" s="50" t="s">
        <v>728</v>
      </c>
      <c r="O1608" s="13" t="s">
        <v>3510</v>
      </c>
      <c r="P1608" s="19" t="n">
        <f aca="false">IFERROR(__xludf.dummyfunction("INDEX(IMPORTRANGE(""12FwpLvlsVhD_IhxpEWawHHAWVeXnjXpHARKGUQ_nP_w"",""harga rukma!H:H""),MATCH(C1608,IMPORTRANGE(""12FwpLvlsVhD_IhxpEWawHHAWVeXnjXpHARKGUQ_nP_w"",""harga rukma!B:B""),0))"),5300000)</f>
        <v>5300000</v>
      </c>
      <c r="Q1608" s="20" t="s">
        <v>7051</v>
      </c>
      <c r="R1608" s="13" t="s">
        <v>52</v>
      </c>
      <c r="S1608" s="14" t="n">
        <v>36802</v>
      </c>
      <c r="T1608" s="13" t="s">
        <v>40</v>
      </c>
      <c r="U1608" s="13" t="s">
        <v>7052</v>
      </c>
      <c r="V1608" s="13" t="s">
        <v>42</v>
      </c>
      <c r="W1608" s="13" t="s">
        <v>43</v>
      </c>
      <c r="X1608" s="21" t="n">
        <v>82140041581</v>
      </c>
      <c r="Y1608" s="22" t="str">
        <f aca="false">O1608</f>
        <v>Teknisi</v>
      </c>
      <c r="Z1608" s="13" t="str">
        <f aca="false">IFERROR(__xludf.dummyfunction("if(BJ1608="""","""",GOOGLETRANSLATE(BJ1608,""auto"",""en""))"),"Technician")</f>
        <v>Technician</v>
      </c>
      <c r="AA1608" s="23" t="str">
        <f aca="false">IF(C1608="","", CHOOSE(MONTH(C1608),"January","February","March","April","May","June","July","August","September","October","November","December")&amp;" "&amp;DAY(C1608)&amp;MID("thstndrdth",MIN(9,2*RIGHT(DAY(C1608))*(MOD(DAY(C1608)-11,100)&gt;2)+1),2)&amp;","&amp;TEXT(C1608," yyyy"))</f>
        <v>August 24th,2024</v>
      </c>
      <c r="AB1608" s="15" t="str">
        <f aca="true">IF(S1608="","",DATEDIF(S1608,TODAY(),"Y")&amp;" Tahun, "&amp;DATEDIF(S1608,TODAY(),"YM")&amp;" Bulan, "&amp;DATEDIF(S1608,TODAY(),"MD")&amp;" Hari")</f>
        <v>26 Tahun, 0 Bulan, 26 Hari</v>
      </c>
      <c r="AC1608" s="18" t="n">
        <v>45778</v>
      </c>
      <c r="AD1608" s="18" t="n">
        <v>46142</v>
      </c>
      <c r="AE1608" s="18" t="s">
        <v>44</v>
      </c>
    </row>
    <row r="1609" customFormat="false" ht="15" hidden="false" customHeight="true" outlineLevel="0" collapsed="false">
      <c r="A1609" s="12" t="n">
        <v>16847</v>
      </c>
      <c r="B1609" s="13" t="s">
        <v>7053</v>
      </c>
      <c r="C1609" s="14" t="n">
        <v>45530</v>
      </c>
      <c r="D1609" s="13" t="s">
        <v>4755</v>
      </c>
      <c r="E1609" s="15" t="s">
        <v>47</v>
      </c>
      <c r="F1609" s="15" t="str">
        <f aca="false">IFERROR(__xludf.dummyfunction("XLOOKUP(AJ1609,IMPORTRANGE(""1XaInW9DU9nz21V0tYIfzFQ0He9kVQ_JF2mCXgZ3hqFA"",""REKAP ALL 2026 - Andika!G:G""),IMPORTRANGE(""1XaInW9DU9nz21V0tYIfzFQ0He9kVQ_JF2mCXgZ3hqFA"",""REKAP ALL 2026 - Andika!F:F""),"""",0)"),"24195983143")</f>
        <v>24195983143</v>
      </c>
      <c r="G1609" s="13" t="s">
        <v>57</v>
      </c>
      <c r="H1609" s="13" t="s">
        <v>3024</v>
      </c>
      <c r="I1609" s="13" t="str">
        <f aca="false">IF(C1609=J1609,"NEW KONTRAK","RE-KONTRAK")</f>
        <v>RE-KONTRAK</v>
      </c>
      <c r="J1609" s="16" t="n">
        <f aca="false" t="array" ref="J1609:J1609">IFERROR(INDEX(AC1609:AE1609,IF(COUNTA(AC1609:AE1609)=0,"",MAX((AC1609:AE1609&lt;&gt;"")*(COLUMN(AC1609:AE1609)-(COLUMN(AC1609)))))-1),"")</f>
        <v>45658</v>
      </c>
      <c r="K1609" s="16" t="n">
        <f aca="false" t="array" ref="K1609:K1609">IFERROR(INDEX(AC1609:AE1609,IF(COUNTA(AC1609:AE1609)=0,"",MAX((AC1609:AE1609&lt;&gt;"")*(COLUMN(AC1609:AE1609)-(COLUMN(AC1609)-1))))-1),"")</f>
        <v>45747</v>
      </c>
      <c r="L1609" s="17" t="str">
        <f aca="false" t="array" ref="L1609:L1609">IFERROR(INDEX(AC1609:AE1609,IF(COUNTA(AC1609:AE1609)=0,"",MAX((AC1609:AE1609&lt;&gt;"")*(COLUMN(AC1609:AE1609)-(COLUMN(AC1609)-2))))-1),"")</f>
        <v>ARCHIVED</v>
      </c>
      <c r="M1609" s="13" t="n">
        <f aca="true">K1609-TODAY()</f>
        <v>-577</v>
      </c>
      <c r="N1609" s="18" t="s">
        <v>615</v>
      </c>
      <c r="O1609" s="13" t="s">
        <v>1531</v>
      </c>
      <c r="P1609" s="19" t="n">
        <v>207044</v>
      </c>
      <c r="Q1609" s="20" t="s">
        <v>7054</v>
      </c>
      <c r="R1609" s="13" t="s">
        <v>232</v>
      </c>
      <c r="S1609" s="14" t="n">
        <v>37411</v>
      </c>
      <c r="T1609" s="13" t="s">
        <v>108</v>
      </c>
      <c r="U1609" s="13" t="s">
        <v>7055</v>
      </c>
      <c r="V1609" s="13" t="s">
        <v>42</v>
      </c>
      <c r="W1609" s="13" t="s">
        <v>43</v>
      </c>
      <c r="X1609" s="21" t="n">
        <v>88805037106</v>
      </c>
      <c r="Y1609" s="22" t="str">
        <f aca="false">O1609</f>
        <v>Packer</v>
      </c>
      <c r="Z1609" s="13" t="str">
        <f aca="false">IFERROR(__xludf.dummyfunction("if(BJ1609="""","""",GOOGLETRANSLATE(BJ1609,""auto"",""en""))"),"Packer")</f>
        <v>Packer</v>
      </c>
      <c r="AA1609" s="23" t="str">
        <f aca="false">IF(C1609="","", CHOOSE(MONTH(C1609),"January","February","March","April","May","June","July","August","September","October","November","December")&amp;" "&amp;DAY(C1609)&amp;MID("thstndrdth",MIN(9,2*RIGHT(DAY(C1609))*(MOD(DAY(C1609)-11,100)&gt;2)+1),2)&amp;","&amp;TEXT(C1609," yyyy"))</f>
        <v>August 26th,2024</v>
      </c>
      <c r="AB1609" s="15" t="str">
        <f aca="true">IF(S1609="","",DATEDIF(S1609,TODAY(),"Y")&amp;" Tahun, "&amp;DATEDIF(S1609,TODAY(),"YM")&amp;" Bulan, "&amp;DATEDIF(S1609,TODAY(),"MD")&amp;" Hari")</f>
        <v>24 Tahun, 4 Bulan, 25 Hari</v>
      </c>
      <c r="AC1609" s="18" t="n">
        <v>45658</v>
      </c>
      <c r="AD1609" s="18" t="n">
        <v>45747</v>
      </c>
      <c r="AE1609" s="18" t="s">
        <v>44</v>
      </c>
    </row>
    <row r="1610" customFormat="false" ht="15" hidden="false" customHeight="true" outlineLevel="0" collapsed="false">
      <c r="A1610" s="12" t="n">
        <v>16849</v>
      </c>
      <c r="B1610" s="13" t="s">
        <v>7056</v>
      </c>
      <c r="C1610" s="14" t="n">
        <v>45530</v>
      </c>
      <c r="D1610" s="13" t="s">
        <v>4755</v>
      </c>
      <c r="E1610" s="15" t="s">
        <v>47</v>
      </c>
      <c r="F1610" s="15" t="str">
        <f aca="false">IFERROR(__xludf.dummyfunction("XLOOKUP(AJ1610,IMPORTRANGE(""1XaInW9DU9nz21V0tYIfzFQ0He9kVQ_JF2mCXgZ3hqFA"",""REKAP ALL 2026 - Andika!G:G""),IMPORTRANGE(""1XaInW9DU9nz21V0tYIfzFQ0He9kVQ_JF2mCXgZ3hqFA"",""REKAP ALL 2026 - Andika!F:F""),"""",0)"),"24195982848")</f>
        <v>24195982848</v>
      </c>
      <c r="G1610" s="13" t="s">
        <v>57</v>
      </c>
      <c r="H1610" s="13" t="s">
        <v>3024</v>
      </c>
      <c r="I1610" s="13" t="str">
        <f aca="false">IF(C1610=J1610,"NEW KONTRAK","RE-KONTRAK")</f>
        <v>RE-KONTRAK</v>
      </c>
      <c r="J1610" s="16" t="n">
        <f aca="false" t="array" ref="J1610:J1610">IFERROR(INDEX(AC1610:AE1610,IF(COUNTA(AC1610:AE1610)=0,"",MAX((AC1610:AE1610&lt;&gt;"")*(COLUMN(AC1610:AE1610)-(COLUMN(AC1610)))))-1),"")</f>
        <v>45658</v>
      </c>
      <c r="K1610" s="16" t="n">
        <f aca="false" t="array" ref="K1610:K1610">IFERROR(INDEX(AC1610:AE1610,IF(COUNTA(AC1610:AE1610)=0,"",MAX((AC1610:AE1610&lt;&gt;"")*(COLUMN(AC1610:AE1610)-(COLUMN(AC1610)-1))))-1),"")</f>
        <v>45747</v>
      </c>
      <c r="L1610" s="17" t="str">
        <f aca="false" t="array" ref="L1610:L1610">IFERROR(INDEX(AC1610:AE1610,IF(COUNTA(AC1610:AE1610)=0,"",MAX((AC1610:AE1610&lt;&gt;"")*(COLUMN(AC1610:AE1610)-(COLUMN(AC1610)-2))))-1),"")</f>
        <v>ARCHIVED</v>
      </c>
      <c r="M1610" s="13" t="n">
        <f aca="true">K1610-TODAY()</f>
        <v>-577</v>
      </c>
      <c r="N1610" s="18" t="s">
        <v>615</v>
      </c>
      <c r="O1610" s="13" t="s">
        <v>1531</v>
      </c>
      <c r="P1610" s="19" t="n">
        <v>207044</v>
      </c>
      <c r="Q1610" s="20" t="s">
        <v>7057</v>
      </c>
      <c r="R1610" s="13" t="s">
        <v>232</v>
      </c>
      <c r="S1610" s="14" t="n">
        <v>36432</v>
      </c>
      <c r="T1610" s="13" t="s">
        <v>108</v>
      </c>
      <c r="U1610" s="13" t="s">
        <v>7058</v>
      </c>
      <c r="V1610" s="13" t="s">
        <v>42</v>
      </c>
      <c r="W1610" s="13" t="s">
        <v>43</v>
      </c>
      <c r="X1610" s="21" t="n">
        <v>82334117093</v>
      </c>
      <c r="Y1610" s="22" t="str">
        <f aca="false">O1610</f>
        <v>Packer</v>
      </c>
      <c r="Z1610" s="13" t="str">
        <f aca="false">IFERROR(__xludf.dummyfunction("if(BJ1610="""","""",GOOGLETRANSLATE(BJ1610,""auto"",""en""))"),"Packer")</f>
        <v>Packer</v>
      </c>
      <c r="AA1610" s="23" t="str">
        <f aca="false">IF(C1610="","", CHOOSE(MONTH(C1610),"January","February","March","April","May","June","July","August","September","October","November","December")&amp;" "&amp;DAY(C1610)&amp;MID("thstndrdth",MIN(9,2*RIGHT(DAY(C1610))*(MOD(DAY(C1610)-11,100)&gt;2)+1),2)&amp;","&amp;TEXT(C1610," yyyy"))</f>
        <v>August 26th,2024</v>
      </c>
      <c r="AB1610" s="15" t="str">
        <f aca="true">IF(S1610="","",DATEDIF(S1610,TODAY(),"Y")&amp;" Tahun, "&amp;DATEDIF(S1610,TODAY(),"YM")&amp;" Bulan, "&amp;DATEDIF(S1610,TODAY(),"MD")&amp;" Hari")</f>
        <v>27 Tahun, 1 Bulan, 0 Hari</v>
      </c>
      <c r="AC1610" s="18" t="n">
        <v>45658</v>
      </c>
      <c r="AD1610" s="18" t="n">
        <v>45747</v>
      </c>
      <c r="AE1610" s="18" t="s">
        <v>44</v>
      </c>
    </row>
    <row r="1611" customFormat="false" ht="15" hidden="false" customHeight="true" outlineLevel="0" collapsed="false">
      <c r="A1611" s="12" t="n">
        <v>16850</v>
      </c>
      <c r="B1611" s="13" t="s">
        <v>7059</v>
      </c>
      <c r="C1611" s="14" t="n">
        <v>45530</v>
      </c>
      <c r="D1611" s="13" t="s">
        <v>4755</v>
      </c>
      <c r="E1611" s="15" t="s">
        <v>47</v>
      </c>
      <c r="F1611" s="15" t="str">
        <f aca="false">IFERROR(__xludf.dummyfunction("XLOOKUP(AJ1611,IMPORTRANGE(""1XaInW9DU9nz21V0tYIfzFQ0He9kVQ_JF2mCXgZ3hqFA"",""REKAP ALL 2026 - Andika!G:G""),IMPORTRANGE(""1XaInW9DU9nz21V0tYIfzFQ0He9kVQ_JF2mCXgZ3hqFA"",""REKAP ALL 2026 - Andika!F:F""),"""",0)"),"24195982921")</f>
        <v>24195982921</v>
      </c>
      <c r="G1611" s="13" t="s">
        <v>57</v>
      </c>
      <c r="H1611" s="13" t="s">
        <v>3024</v>
      </c>
      <c r="I1611" s="13" t="str">
        <f aca="false">IF(C1611=J1611,"NEW KONTRAK","RE-KONTRAK")</f>
        <v>RE-KONTRAK</v>
      </c>
      <c r="J1611" s="16" t="n">
        <f aca="false" t="array" ref="J1611:J1611">IFERROR(INDEX(AC1611:AE1611,IF(COUNTA(AC1611:AE1611)=0,"",MAX((AC1611:AE1611&lt;&gt;"")*(COLUMN(AC1611:AE1611)-(COLUMN(AC1611)))))-1),"")</f>
        <v>45658</v>
      </c>
      <c r="K1611" s="16" t="n">
        <f aca="false" t="array" ref="K1611:K1611">IFERROR(INDEX(AC1611:AE1611,IF(COUNTA(AC1611:AE1611)=0,"",MAX((AC1611:AE1611&lt;&gt;"")*(COLUMN(AC1611:AE1611)-(COLUMN(AC1611)-1))))-1),"")</f>
        <v>45747</v>
      </c>
      <c r="L1611" s="17" t="str">
        <f aca="false" t="array" ref="L1611:L1611">IFERROR(INDEX(AC1611:AE1611,IF(COUNTA(AC1611:AE1611)=0,"",MAX((AC1611:AE1611&lt;&gt;"")*(COLUMN(AC1611:AE1611)-(COLUMN(AC1611)-2))))-1),"")</f>
        <v>ARCHIVED</v>
      </c>
      <c r="M1611" s="13" t="n">
        <f aca="true">K1611-TODAY()</f>
        <v>-577</v>
      </c>
      <c r="N1611" s="18" t="s">
        <v>615</v>
      </c>
      <c r="O1611" s="13" t="s">
        <v>1531</v>
      </c>
      <c r="P1611" s="19" t="n">
        <v>207044</v>
      </c>
      <c r="Q1611" s="20" t="s">
        <v>7060</v>
      </c>
      <c r="R1611" s="13" t="s">
        <v>232</v>
      </c>
      <c r="S1611" s="14" t="n">
        <v>36164</v>
      </c>
      <c r="T1611" s="13" t="s">
        <v>108</v>
      </c>
      <c r="U1611" s="13" t="s">
        <v>7061</v>
      </c>
      <c r="V1611" s="13" t="s">
        <v>42</v>
      </c>
      <c r="W1611" s="13" t="s">
        <v>43</v>
      </c>
      <c r="X1611" s="21" t="n">
        <v>85707030076</v>
      </c>
      <c r="Y1611" s="22" t="str">
        <f aca="false">O1611</f>
        <v>Packer</v>
      </c>
      <c r="Z1611" s="13" t="str">
        <f aca="false">IFERROR(__xludf.dummyfunction("if(BJ1611="""","""",GOOGLETRANSLATE(BJ1611,""auto"",""en""))"),"Packer")</f>
        <v>Packer</v>
      </c>
      <c r="AA1611" s="23" t="str">
        <f aca="false">IF(C1611="","", CHOOSE(MONTH(C1611),"January","February","March","April","May","June","July","August","September","October","November","December")&amp;" "&amp;DAY(C1611)&amp;MID("thstndrdth",MIN(9,2*RIGHT(DAY(C1611))*(MOD(DAY(C1611)-11,100)&gt;2)+1),2)&amp;","&amp;TEXT(C1611," yyyy"))</f>
        <v>August 26th,2024</v>
      </c>
      <c r="AB1611" s="15" t="str">
        <f aca="true">IF(S1611="","",DATEDIF(S1611,TODAY(),"Y")&amp;" Tahun, "&amp;DATEDIF(S1611,TODAY(),"YM")&amp;" Bulan, "&amp;DATEDIF(S1611,TODAY(),"MD")&amp;" Hari")</f>
        <v>27 Tahun, 9 Bulan, 25 Hari</v>
      </c>
      <c r="AC1611" s="18" t="n">
        <v>45658</v>
      </c>
      <c r="AD1611" s="18" t="n">
        <v>45747</v>
      </c>
      <c r="AE1611" s="18" t="s">
        <v>44</v>
      </c>
    </row>
    <row r="1612" customFormat="false" ht="15" hidden="false" customHeight="true" outlineLevel="0" collapsed="false">
      <c r="A1612" s="12" t="n">
        <v>16851</v>
      </c>
      <c r="B1612" s="13" t="s">
        <v>7062</v>
      </c>
      <c r="C1612" s="14" t="n">
        <v>45530</v>
      </c>
      <c r="D1612" s="13" t="s">
        <v>4755</v>
      </c>
      <c r="E1612" s="15" t="s">
        <v>47</v>
      </c>
      <c r="F1612" s="15" t="str">
        <f aca="false">IFERROR(__xludf.dummyfunction("XLOOKUP(AJ1612,IMPORTRANGE(""1XaInW9DU9nz21V0tYIfzFQ0He9kVQ_JF2mCXgZ3hqFA"",""REKAP ALL 2026 - Andika!G:G""),IMPORTRANGE(""1XaInW9DU9nz21V0tYIfzFQ0He9kVQ_JF2mCXgZ3hqFA"",""REKAP ALL 2026 - Andika!F:F""),"""",0)"),"24195982707")</f>
        <v>24195982707</v>
      </c>
      <c r="G1612" s="13" t="s">
        <v>57</v>
      </c>
      <c r="H1612" s="13" t="s">
        <v>3024</v>
      </c>
      <c r="I1612" s="13" t="str">
        <f aca="false">IF(C1612=J1612,"NEW KONTRAK","RE-KONTRAK")</f>
        <v>RE-KONTRAK</v>
      </c>
      <c r="J1612" s="16" t="n">
        <f aca="false" t="array" ref="J1612:J1612">IFERROR(INDEX(AC1612:AE1612,IF(COUNTA(AC1612:AE1612)=0,"",MAX((AC1612:AE1612&lt;&gt;"")*(COLUMN(AC1612:AE1612)-(COLUMN(AC1612)))))-1),"")</f>
        <v>45658</v>
      </c>
      <c r="K1612" s="16" t="n">
        <f aca="false" t="array" ref="K1612:K1612">IFERROR(INDEX(AC1612:AE1612,IF(COUNTA(AC1612:AE1612)=0,"",MAX((AC1612:AE1612&lt;&gt;"")*(COLUMN(AC1612:AE1612)-(COLUMN(AC1612)-1))))-1),"")</f>
        <v>45747</v>
      </c>
      <c r="L1612" s="17" t="str">
        <f aca="false" t="array" ref="L1612:L1612">IFERROR(INDEX(AC1612:AE1612,IF(COUNTA(AC1612:AE1612)=0,"",MAX((AC1612:AE1612&lt;&gt;"")*(COLUMN(AC1612:AE1612)-(COLUMN(AC1612)-2))))-1),"")</f>
        <v>ARCHIVED</v>
      </c>
      <c r="M1612" s="13" t="n">
        <f aca="true">K1612-TODAY()</f>
        <v>-577</v>
      </c>
      <c r="N1612" s="18" t="s">
        <v>615</v>
      </c>
      <c r="O1612" s="13" t="s">
        <v>1531</v>
      </c>
      <c r="P1612" s="19" t="n">
        <v>207044</v>
      </c>
      <c r="Q1612" s="20" t="s">
        <v>7063</v>
      </c>
      <c r="R1612" s="13" t="s">
        <v>232</v>
      </c>
      <c r="S1612" s="14" t="n">
        <v>36079</v>
      </c>
      <c r="T1612" s="13" t="s">
        <v>108</v>
      </c>
      <c r="U1612" s="13" t="s">
        <v>7064</v>
      </c>
      <c r="V1612" s="13" t="s">
        <v>42</v>
      </c>
      <c r="W1612" s="13" t="s">
        <v>43</v>
      </c>
      <c r="X1612" s="21" t="n">
        <v>81943333470</v>
      </c>
      <c r="Y1612" s="22" t="str">
        <f aca="false">O1612</f>
        <v>Packer</v>
      </c>
      <c r="Z1612" s="13" t="str">
        <f aca="false">IFERROR(__xludf.dummyfunction("if(BJ1612="""","""",GOOGLETRANSLATE(BJ1612,""auto"",""en""))"),"Packer")</f>
        <v>Packer</v>
      </c>
      <c r="AA1612" s="23" t="str">
        <f aca="false">IF(C1612="","", CHOOSE(MONTH(C1612),"January","February","March","April","May","June","July","August","September","October","November","December")&amp;" "&amp;DAY(C1612)&amp;MID("thstndrdth",MIN(9,2*RIGHT(DAY(C1612))*(MOD(DAY(C1612)-11,100)&gt;2)+1),2)&amp;","&amp;TEXT(C1612," yyyy"))</f>
        <v>August 26th,2024</v>
      </c>
      <c r="AB1612" s="15" t="str">
        <f aca="true">IF(S1612="","",DATEDIF(S1612,TODAY(),"Y")&amp;" Tahun, "&amp;DATEDIF(S1612,TODAY(),"YM")&amp;" Bulan, "&amp;DATEDIF(S1612,TODAY(),"MD")&amp;" Hari")</f>
        <v>28 Tahun, 0 Bulan, 18 Hari</v>
      </c>
      <c r="AC1612" s="18" t="n">
        <v>45658</v>
      </c>
      <c r="AD1612" s="18" t="n">
        <v>45747</v>
      </c>
      <c r="AE1612" s="18" t="s">
        <v>44</v>
      </c>
    </row>
    <row r="1613" customFormat="false" ht="15" hidden="false" customHeight="true" outlineLevel="0" collapsed="false">
      <c r="A1613" s="12" t="n">
        <v>16852</v>
      </c>
      <c r="B1613" s="13" t="s">
        <v>7065</v>
      </c>
      <c r="C1613" s="14" t="n">
        <v>45530</v>
      </c>
      <c r="D1613" s="13" t="s">
        <v>4755</v>
      </c>
      <c r="E1613" s="15" t="s">
        <v>47</v>
      </c>
      <c r="F1613" s="15" t="str">
        <f aca="false">IFERROR(__xludf.dummyfunction("XLOOKUP(AJ1613,IMPORTRANGE(""1XaInW9DU9nz21V0tYIfzFQ0He9kVQ_JF2mCXgZ3hqFA"",""REKAP ALL 2026 - Andika!G:G""),IMPORTRANGE(""1XaInW9DU9nz21V0tYIfzFQ0He9kVQ_JF2mCXgZ3hqFA"",""REKAP ALL 2026 - Andika!F:F""),"""",0)"),"24195982665")</f>
        <v>24195982665</v>
      </c>
      <c r="G1613" s="13" t="s">
        <v>57</v>
      </c>
      <c r="H1613" s="13" t="s">
        <v>3024</v>
      </c>
      <c r="I1613" s="13" t="str">
        <f aca="false">IF(C1613=J1613,"NEW KONTRAK","RE-KONTRAK")</f>
        <v>RE-KONTRAK</v>
      </c>
      <c r="J1613" s="16" t="n">
        <f aca="false" t="array" ref="J1613:J1613">IFERROR(INDEX(AC1613:AE1613,IF(COUNTA(AC1613:AE1613)=0,"",MAX((AC1613:AE1613&lt;&gt;"")*(COLUMN(AC1613:AE1613)-(COLUMN(AC1613)))))-1),"")</f>
        <v>45658</v>
      </c>
      <c r="K1613" s="16" t="n">
        <f aca="false" t="array" ref="K1613:K1613">IFERROR(INDEX(AC1613:AE1613,IF(COUNTA(AC1613:AE1613)=0,"",MAX((AC1613:AE1613&lt;&gt;"")*(COLUMN(AC1613:AE1613)-(COLUMN(AC1613)-1))))-1),"")</f>
        <v>45747</v>
      </c>
      <c r="L1613" s="17" t="str">
        <f aca="false" t="array" ref="L1613:L1613">IFERROR(INDEX(AC1613:AE1613,IF(COUNTA(AC1613:AE1613)=0,"",MAX((AC1613:AE1613&lt;&gt;"")*(COLUMN(AC1613:AE1613)-(COLUMN(AC1613)-2))))-1),"")</f>
        <v>ARCHIVED</v>
      </c>
      <c r="M1613" s="13" t="n">
        <f aca="true">K1613-TODAY()</f>
        <v>-577</v>
      </c>
      <c r="N1613" s="18" t="s">
        <v>615</v>
      </c>
      <c r="O1613" s="13" t="s">
        <v>1531</v>
      </c>
      <c r="P1613" s="19" t="n">
        <v>207044</v>
      </c>
      <c r="Q1613" s="20" t="s">
        <v>7066</v>
      </c>
      <c r="R1613" s="13" t="s">
        <v>232</v>
      </c>
      <c r="S1613" s="14" t="n">
        <v>34939</v>
      </c>
      <c r="T1613" s="13" t="s">
        <v>108</v>
      </c>
      <c r="U1613" s="13" t="s">
        <v>7067</v>
      </c>
      <c r="V1613" s="13" t="s">
        <v>42</v>
      </c>
      <c r="W1613" s="13" t="s">
        <v>43</v>
      </c>
      <c r="X1613" s="21" t="n">
        <v>81282253604</v>
      </c>
      <c r="Y1613" s="22" t="str">
        <f aca="false">O1613</f>
        <v>Packer</v>
      </c>
      <c r="Z1613" s="13" t="str">
        <f aca="false">IFERROR(__xludf.dummyfunction("if(BJ1613="""","""",GOOGLETRANSLATE(BJ1613,""auto"",""en""))"),"Packer")</f>
        <v>Packer</v>
      </c>
      <c r="AA1613" s="23" t="str">
        <f aca="false">IF(C1613="","", CHOOSE(MONTH(C1613),"January","February","March","April","May","June","July","August","September","October","November","December")&amp;" "&amp;DAY(C1613)&amp;MID("thstndrdth",MIN(9,2*RIGHT(DAY(C1613))*(MOD(DAY(C1613)-11,100)&gt;2)+1),2)&amp;","&amp;TEXT(C1613," yyyy"))</f>
        <v>August 26th,2024</v>
      </c>
      <c r="AB1613" s="15" t="str">
        <f aca="true">IF(S1613="","",DATEDIF(S1613,TODAY(),"Y")&amp;" Tahun, "&amp;DATEDIF(S1613,TODAY(),"YM")&amp;" Bulan, "&amp;DATEDIF(S1613,TODAY(),"MD")&amp;" Hari")</f>
        <v>31 Tahun, 2 Bulan, 1 Hari</v>
      </c>
      <c r="AC1613" s="18" t="n">
        <v>45658</v>
      </c>
      <c r="AD1613" s="18" t="n">
        <v>45747</v>
      </c>
      <c r="AE1613" s="18" t="s">
        <v>44</v>
      </c>
    </row>
    <row r="1614" customFormat="false" ht="15" hidden="false" customHeight="true" outlineLevel="0" collapsed="false">
      <c r="A1614" s="12" t="n">
        <v>16853</v>
      </c>
      <c r="B1614" s="13" t="s">
        <v>7068</v>
      </c>
      <c r="C1614" s="14" t="n">
        <v>45532</v>
      </c>
      <c r="D1614" s="13" t="s">
        <v>4755</v>
      </c>
      <c r="E1614" s="15" t="s">
        <v>102</v>
      </c>
      <c r="F1614" s="15" t="str">
        <f aca="false">IFERROR(__xludf.dummyfunction("XLOOKUP(AJ1614,IMPORTRANGE(""1XaInW9DU9nz21V0tYIfzFQ0He9kVQ_JF2mCXgZ3hqFA"",""REKAP ALL 2026 - Andika!G:G""),IMPORTRANGE(""1XaInW9DU9nz21V0tYIfzFQ0He9kVQ_JF2mCXgZ3hqFA"",""REKAP ALL 2026 - Andika!F:F""),"""",0)"),"24195983127")</f>
        <v>24195983127</v>
      </c>
      <c r="G1614" s="13" t="s">
        <v>57</v>
      </c>
      <c r="H1614" s="13" t="s">
        <v>3024</v>
      </c>
      <c r="I1614" s="13" t="str">
        <f aca="false">IF(C1614=J1614,"NEW KONTRAK","RE-KONTRAK")</f>
        <v>RE-KONTRAK</v>
      </c>
      <c r="J1614" s="16" t="n">
        <f aca="false" t="array" ref="J1614:J1614">IFERROR(INDEX(AC1614:AE1614,IF(COUNTA(AC1614:AE1614)=0,"",MAX((AC1614:AE1614&lt;&gt;"")*(COLUMN(AC1614:AE1614)-(COLUMN(AC1614)))))-1),"")</f>
        <v>45658</v>
      </c>
      <c r="K1614" s="16" t="n">
        <f aca="false" t="array" ref="K1614:K1614">IFERROR(INDEX(AC1614:AE1614,IF(COUNTA(AC1614:AE1614)=0,"",MAX((AC1614:AE1614&lt;&gt;"")*(COLUMN(AC1614:AE1614)-(COLUMN(AC1614)-1))))-1),"")</f>
        <v>45747</v>
      </c>
      <c r="L1614" s="17" t="str">
        <f aca="false" t="array" ref="L1614:L1614">IFERROR(INDEX(AC1614:AE1614,IF(COUNTA(AC1614:AE1614)=0,"",MAX((AC1614:AE1614&lt;&gt;"")*(COLUMN(AC1614:AE1614)-(COLUMN(AC1614)-2))))-1),"")</f>
        <v>ARCHIVED</v>
      </c>
      <c r="M1614" s="13" t="n">
        <f aca="true">K1614-TODAY()</f>
        <v>-577</v>
      </c>
      <c r="N1614" s="18" t="s">
        <v>615</v>
      </c>
      <c r="O1614" s="13" t="s">
        <v>4756</v>
      </c>
      <c r="P1614" s="19" t="n">
        <v>207044</v>
      </c>
      <c r="Q1614" s="20" t="s">
        <v>7069</v>
      </c>
      <c r="R1614" s="13" t="s">
        <v>232</v>
      </c>
      <c r="S1614" s="14" t="n">
        <v>37562</v>
      </c>
      <c r="T1614" s="13" t="s">
        <v>40</v>
      </c>
      <c r="U1614" s="13" t="s">
        <v>7070</v>
      </c>
      <c r="V1614" s="13" t="s">
        <v>42</v>
      </c>
      <c r="W1614" s="13" t="s">
        <v>43</v>
      </c>
      <c r="X1614" s="21" t="n">
        <v>83830972391</v>
      </c>
      <c r="Y1614" s="22" t="str">
        <f aca="false">O1614</f>
        <v>Reliever</v>
      </c>
      <c r="Z1614" s="13" t="str">
        <f aca="false">IFERROR(__xludf.dummyfunction("if(BJ1614="""","""",GOOGLETRANSLATE(BJ1614,""auto"",""en""))"),"Reliever")</f>
        <v>Reliever</v>
      </c>
      <c r="AA1614" s="23" t="str">
        <f aca="false">IF(C1614="","", CHOOSE(MONTH(C1614),"January","February","March","April","May","June","July","August","September","October","November","December")&amp;" "&amp;DAY(C1614)&amp;MID("thstndrdth",MIN(9,2*RIGHT(DAY(C1614))*(MOD(DAY(C1614)-11,100)&gt;2)+1),2)&amp;","&amp;TEXT(C1614," yyyy"))</f>
        <v>August 28th,2024</v>
      </c>
      <c r="AB1614" s="15" t="str">
        <f aca="true">IF(S1614="","",DATEDIF(S1614,TODAY(),"Y")&amp;" Tahun, "&amp;DATEDIF(S1614,TODAY(),"YM")&amp;" Bulan, "&amp;DATEDIF(S1614,TODAY(),"MD")&amp;" Hari")</f>
        <v>23 Tahun, 11 Bulan, 27 Hari</v>
      </c>
      <c r="AC1614" s="18" t="n">
        <v>45658</v>
      </c>
      <c r="AD1614" s="18" t="n">
        <v>45747</v>
      </c>
      <c r="AE1614" s="18" t="s">
        <v>44</v>
      </c>
    </row>
    <row r="1615" customFormat="false" ht="15" hidden="false" customHeight="true" outlineLevel="0" collapsed="false">
      <c r="A1615" s="12" t="n">
        <v>16854</v>
      </c>
      <c r="B1615" s="13" t="s">
        <v>7071</v>
      </c>
      <c r="C1615" s="14" t="n">
        <v>45532</v>
      </c>
      <c r="D1615" s="13" t="s">
        <v>4755</v>
      </c>
      <c r="E1615" s="15" t="s">
        <v>47</v>
      </c>
      <c r="F1615" s="15" t="str">
        <f aca="false">IFERROR(__xludf.dummyfunction("XLOOKUP(AJ1615,IMPORTRANGE(""1XaInW9DU9nz21V0tYIfzFQ0He9kVQ_JF2mCXgZ3hqFA"",""REKAP ALL 2026 - Andika!G:G""),IMPORTRANGE(""1XaInW9DU9nz21V0tYIfzFQ0He9kVQ_JF2mCXgZ3hqFA"",""REKAP ALL 2026 - Andika!F:F""),"""",0)"),"24195982996")</f>
        <v>24195982996</v>
      </c>
      <c r="G1615" s="13" t="s">
        <v>57</v>
      </c>
      <c r="H1615" s="13" t="s">
        <v>3024</v>
      </c>
      <c r="I1615" s="13" t="str">
        <f aca="false">IF(C1615=J1615,"NEW KONTRAK","RE-KONTRAK")</f>
        <v>RE-KONTRAK</v>
      </c>
      <c r="J1615" s="16" t="n">
        <f aca="false" t="array" ref="J1615:J1615">IFERROR(INDEX(AC1615:AE1615,IF(COUNTA(AC1615:AE1615)=0,"",MAX((AC1615:AE1615&lt;&gt;"")*(COLUMN(AC1615:AE1615)-(COLUMN(AC1615)))))-1),"")</f>
        <v>45658</v>
      </c>
      <c r="K1615" s="16" t="n">
        <f aca="false" t="array" ref="K1615:K1615">IFERROR(INDEX(AC1615:AE1615,IF(COUNTA(AC1615:AE1615)=0,"",MAX((AC1615:AE1615&lt;&gt;"")*(COLUMN(AC1615:AE1615)-(COLUMN(AC1615)-1))))-1),"")</f>
        <v>45747</v>
      </c>
      <c r="L1615" s="17" t="str">
        <f aca="false" t="array" ref="L1615:L1615">IFERROR(INDEX(AC1615:AE1615,IF(COUNTA(AC1615:AE1615)=0,"",MAX((AC1615:AE1615&lt;&gt;"")*(COLUMN(AC1615:AE1615)-(COLUMN(AC1615)-2))))-1),"")</f>
        <v>ARCHIVED</v>
      </c>
      <c r="M1615" s="13" t="n">
        <f aca="true">K1615-TODAY()</f>
        <v>-577</v>
      </c>
      <c r="N1615" s="18" t="s">
        <v>615</v>
      </c>
      <c r="O1615" s="13" t="s">
        <v>4756</v>
      </c>
      <c r="P1615" s="19" t="n">
        <v>207044</v>
      </c>
      <c r="Q1615" s="20" t="s">
        <v>7072</v>
      </c>
      <c r="R1615" s="13" t="s">
        <v>232</v>
      </c>
      <c r="S1615" s="14" t="n">
        <v>38166</v>
      </c>
      <c r="T1615" s="13" t="s">
        <v>40</v>
      </c>
      <c r="U1615" s="13" t="s">
        <v>7073</v>
      </c>
      <c r="V1615" s="13" t="s">
        <v>42</v>
      </c>
      <c r="W1615" s="13" t="s">
        <v>43</v>
      </c>
      <c r="X1615" s="21" t="n">
        <v>87715900765</v>
      </c>
      <c r="Y1615" s="22" t="str">
        <f aca="false">O1615</f>
        <v>Reliever</v>
      </c>
      <c r="Z1615" s="13" t="str">
        <f aca="false">IFERROR(__xludf.dummyfunction("if(BJ1615="""","""",GOOGLETRANSLATE(BJ1615,""auto"",""en""))"),"Reliever")</f>
        <v>Reliever</v>
      </c>
      <c r="AA1615" s="23" t="str">
        <f aca="false">IF(C1615="","", CHOOSE(MONTH(C1615),"January","February","March","April","May","June","July","August","September","October","November","December")&amp;" "&amp;DAY(C1615)&amp;MID("thstndrdth",MIN(9,2*RIGHT(DAY(C1615))*(MOD(DAY(C1615)-11,100)&gt;2)+1),2)&amp;","&amp;TEXT(C1615," yyyy"))</f>
        <v>August 28th,2024</v>
      </c>
      <c r="AB1615" s="15" t="str">
        <f aca="true">IF(S1615="","",DATEDIF(S1615,TODAY(),"Y")&amp;" Tahun, "&amp;DATEDIF(S1615,TODAY(),"YM")&amp;" Bulan, "&amp;DATEDIF(S1615,TODAY(),"MD")&amp;" Hari")</f>
        <v>22 Tahun, 4 Bulan, 1 Hari</v>
      </c>
      <c r="AC1615" s="18" t="n">
        <v>45658</v>
      </c>
      <c r="AD1615" s="18" t="n">
        <v>45747</v>
      </c>
      <c r="AE1615" s="18" t="s">
        <v>44</v>
      </c>
    </row>
    <row r="1616" customFormat="false" ht="15" hidden="false" customHeight="true" outlineLevel="0" collapsed="false">
      <c r="A1616" s="12" t="n">
        <v>16855</v>
      </c>
      <c r="B1616" s="13" t="s">
        <v>7074</v>
      </c>
      <c r="C1616" s="14" t="n">
        <v>45532</v>
      </c>
      <c r="D1616" s="13" t="s">
        <v>4755</v>
      </c>
      <c r="E1616" s="15" t="s">
        <v>47</v>
      </c>
      <c r="F1616" s="15" t="str">
        <f aca="false">IFERROR(__xludf.dummyfunction("XLOOKUP(AJ1616,IMPORTRANGE(""1XaInW9DU9nz21V0tYIfzFQ0He9kVQ_JF2mCXgZ3hqFA"",""REKAP ALL 2026 - Andika!G:G""),IMPORTRANGE(""1XaInW9DU9nz21V0tYIfzFQ0He9kVQ_JF2mCXgZ3hqFA"",""REKAP ALL 2026 - Andika!F:F""),"""",0)"),"25115947399")</f>
        <v>25115947399</v>
      </c>
      <c r="G1616" s="13" t="s">
        <v>57</v>
      </c>
      <c r="H1616" s="13" t="s">
        <v>3024</v>
      </c>
      <c r="I1616" s="13" t="str">
        <f aca="false">IF(C1616=J1616,"NEW KONTRAK","RE-KONTRAK")</f>
        <v>RE-KONTRAK</v>
      </c>
      <c r="J1616" s="16" t="n">
        <f aca="false" t="array" ref="J1616:J1616">IFERROR(INDEX(AC1616:AE1616,IF(COUNTA(AC1616:AE1616)=0,"",MAX((AC1616:AE1616&lt;&gt;"")*(COLUMN(AC1616:AE1616)-(COLUMN(AC1616)))))-1),"")</f>
        <v>45658</v>
      </c>
      <c r="K1616" s="16" t="n">
        <f aca="false" t="array" ref="K1616:K1616">IFERROR(INDEX(AC1616:AE1616,IF(COUNTA(AC1616:AE1616)=0,"",MAX((AC1616:AE1616&lt;&gt;"")*(COLUMN(AC1616:AE1616)-(COLUMN(AC1616)-1))))-1),"")</f>
        <v>45747</v>
      </c>
      <c r="L1616" s="17" t="str">
        <f aca="false" t="array" ref="L1616:L1616">IFERROR(INDEX(AC1616:AE1616,IF(COUNTA(AC1616:AE1616)=0,"",MAX((AC1616:AE1616&lt;&gt;"")*(COLUMN(AC1616:AE1616)-(COLUMN(AC1616)-2))))-1),"")</f>
        <v>ARCHIVED</v>
      </c>
      <c r="M1616" s="13" t="n">
        <f aca="true">K1616-TODAY()</f>
        <v>-577</v>
      </c>
      <c r="N1616" s="18" t="s">
        <v>615</v>
      </c>
      <c r="O1616" s="13" t="s">
        <v>4756</v>
      </c>
      <c r="P1616" s="19" t="n">
        <v>207044</v>
      </c>
      <c r="Q1616" s="20" t="s">
        <v>7075</v>
      </c>
      <c r="R1616" s="13" t="s">
        <v>232</v>
      </c>
      <c r="S1616" s="14" t="n">
        <v>33828</v>
      </c>
      <c r="T1616" s="13" t="s">
        <v>40</v>
      </c>
      <c r="U1616" s="13" t="s">
        <v>7076</v>
      </c>
      <c r="V1616" s="13" t="s">
        <v>42</v>
      </c>
      <c r="W1616" s="13" t="s">
        <v>54</v>
      </c>
      <c r="X1616" s="21" t="n">
        <v>87750305068</v>
      </c>
      <c r="Y1616" s="22" t="str">
        <f aca="false">O1616</f>
        <v>Reliever</v>
      </c>
      <c r="Z1616" s="13" t="str">
        <f aca="false">IFERROR(__xludf.dummyfunction("if(BJ1616="""","""",GOOGLETRANSLATE(BJ1616,""auto"",""en""))"),"Reliever")</f>
        <v>Reliever</v>
      </c>
      <c r="AA1616" s="23" t="str">
        <f aca="false">IF(C1616="","", CHOOSE(MONTH(C1616),"January","February","March","April","May","June","July","August","September","October","November","December")&amp;" "&amp;DAY(C1616)&amp;MID("thstndrdth",MIN(9,2*RIGHT(DAY(C1616))*(MOD(DAY(C1616)-11,100)&gt;2)+1),2)&amp;","&amp;TEXT(C1616," yyyy"))</f>
        <v>August 28th,2024</v>
      </c>
      <c r="AB1616" s="15" t="str">
        <f aca="true">IF(S1616="","",DATEDIF(S1616,TODAY(),"Y")&amp;" Tahun, "&amp;DATEDIF(S1616,TODAY(),"YM")&amp;" Bulan, "&amp;DATEDIF(S1616,TODAY(),"MD")&amp;" Hari")</f>
        <v>34 Tahun, 2 Bulan, 17 Hari</v>
      </c>
      <c r="AC1616" s="18" t="n">
        <v>45658</v>
      </c>
      <c r="AD1616" s="18" t="n">
        <v>45747</v>
      </c>
      <c r="AE1616" s="18" t="s">
        <v>44</v>
      </c>
    </row>
    <row r="1617" customFormat="false" ht="15" hidden="false" customHeight="true" outlineLevel="0" collapsed="false">
      <c r="A1617" s="12" t="n">
        <v>16857</v>
      </c>
      <c r="B1617" s="13" t="s">
        <v>7077</v>
      </c>
      <c r="C1617" s="14" t="n">
        <v>45534</v>
      </c>
      <c r="D1617" s="13" t="s">
        <v>1066</v>
      </c>
      <c r="E1617" s="15" t="s">
        <v>47</v>
      </c>
      <c r="F1617" s="15" t="str">
        <f aca="false">IFERROR(__xludf.dummyfunction("XLOOKUP(AJ1617,IMPORTRANGE(""1XaInW9DU9nz21V0tYIfzFQ0He9kVQ_JF2mCXgZ3hqFA"",""REKAP ALL 2026 - Andika!G:G""),IMPORTRANGE(""1XaInW9DU9nz21V0tYIfzFQ0He9kVQ_JF2mCXgZ3hqFA"",""REKAP ALL 2026 - Andika!F:F""),"""",0)"),"24139691075")</f>
        <v>24139691075</v>
      </c>
      <c r="G1617" s="13" t="s">
        <v>7078</v>
      </c>
      <c r="H1617" s="13" t="s">
        <v>35</v>
      </c>
      <c r="I1617" s="13" t="str">
        <f aca="false">IF(C1617=J1617,"NEW KONTRAK","RE-KONTRAK")</f>
        <v>RE-KONTRAK</v>
      </c>
      <c r="J1617" s="16" t="n">
        <f aca="false" t="array" ref="J1617:J1617">IFERROR(INDEX(AC1617:AE1617,IF(COUNTA(AC1617:AE1617)=0,"",MAX((AC1617:AE1617&lt;&gt;"")*(COLUMN(AC1617:AE1617)-(COLUMN(AC1617)))))-1),"")</f>
        <v>45658</v>
      </c>
      <c r="K1617" s="16" t="n">
        <f aca="false" t="array" ref="K1617:K1617">IFERROR(INDEX(AC1617:AE1617,IF(COUNTA(AC1617:AE1617)=0,"",MAX((AC1617:AE1617&lt;&gt;"")*(COLUMN(AC1617:AE1617)-(COLUMN(AC1617)-1))))-1),"")</f>
        <v>46022</v>
      </c>
      <c r="L1617" s="17" t="str">
        <f aca="false" t="array" ref="L1617:L1617">IFERROR(INDEX(AC1617:AE1617,IF(COUNTA(AC1617:AE1617)=0,"",MAX((AC1617:AE1617&lt;&gt;"")*(COLUMN(AC1617:AE1617)-(COLUMN(AC1617)-2))))-1),"")</f>
        <v>ARCHIVED</v>
      </c>
      <c r="M1617" s="13" t="n">
        <f aca="true">K1617-TODAY()</f>
        <v>-302</v>
      </c>
      <c r="N1617" s="18" t="s">
        <v>615</v>
      </c>
      <c r="O1617" s="13" t="s">
        <v>1175</v>
      </c>
      <c r="P1617" s="19" t="n">
        <v>5176101</v>
      </c>
      <c r="Q1617" s="20" t="s">
        <v>7079</v>
      </c>
      <c r="R1617" s="13" t="s">
        <v>232</v>
      </c>
      <c r="S1617" s="14" t="n">
        <v>34509</v>
      </c>
      <c r="T1617" s="13" t="s">
        <v>40</v>
      </c>
      <c r="U1617" s="13" t="s">
        <v>7080</v>
      </c>
      <c r="V1617" s="13" t="s">
        <v>42</v>
      </c>
      <c r="W1617" s="13" t="s">
        <v>43</v>
      </c>
      <c r="X1617" s="21" t="n">
        <v>85785709431</v>
      </c>
      <c r="Y1617" s="22" t="str">
        <f aca="false">O1617</f>
        <v>Rajang Sachet</v>
      </c>
      <c r="Z1617" s="13" t="str">
        <f aca="false">IFERROR(__xludf.dummyfunction("if(BJ1617="""","""",GOOGLETRANSLATE(BJ1617,""auto"",""en""))"),"Rajang Sachet")</f>
        <v>Rajang Sachet</v>
      </c>
      <c r="AA1617" s="23" t="str">
        <f aca="false">IF(C1617="","", CHOOSE(MONTH(C1617),"January","February","March","April","May","June","July","August","September","October","November","December")&amp;" "&amp;DAY(C1617)&amp;MID("thstndrdth",MIN(9,2*RIGHT(DAY(C1617))*(MOD(DAY(C1617)-11,100)&gt;2)+1),2)&amp;","&amp;TEXT(C1617," yyyy"))</f>
        <v>August 30th,2024</v>
      </c>
      <c r="AB1617" s="15" t="str">
        <f aca="true">IF(S1617="","",DATEDIF(S1617,TODAY(),"Y")&amp;" Tahun, "&amp;DATEDIF(S1617,TODAY(),"YM")&amp;" Bulan, "&amp;DATEDIF(S1617,TODAY(),"MD")&amp;" Hari")</f>
        <v>32 Tahun, 4 Bulan, 5 Hari</v>
      </c>
      <c r="AC1617" s="18" t="n">
        <v>45658</v>
      </c>
      <c r="AD1617" s="18" t="n">
        <v>46022</v>
      </c>
      <c r="AE1617" s="18" t="s">
        <v>44</v>
      </c>
    </row>
    <row r="1618" customFormat="false" ht="15" hidden="false" customHeight="true" outlineLevel="0" collapsed="false">
      <c r="A1618" s="12" t="n">
        <v>16860</v>
      </c>
      <c r="B1618" s="13" t="s">
        <v>7081</v>
      </c>
      <c r="C1618" s="14" t="n">
        <v>45538</v>
      </c>
      <c r="D1618" s="13" t="s">
        <v>5726</v>
      </c>
      <c r="E1618" s="15" t="s">
        <v>33</v>
      </c>
      <c r="F1618" s="24" t="s">
        <v>7082</v>
      </c>
      <c r="G1618" s="15" t="s">
        <v>7083</v>
      </c>
      <c r="H1618" s="13" t="s">
        <v>35</v>
      </c>
      <c r="I1618" s="13" t="str">
        <f aca="false">IF(C1618=J1618,"NEW KONTRAK","RE-KONTRAK")</f>
        <v>RE-KONTRAK</v>
      </c>
      <c r="J1618" s="16" t="n">
        <f aca="false" t="array" ref="J1618:J1618">IFERROR(INDEX(AC1618:AE1618,IF(COUNTA(AC1618:AE1618)=0,"",MAX((AC1618:AE1618&lt;&gt;"")*(COLUMN(AC1618:AE1618)-(COLUMN(AC1618)))))-1),"")</f>
        <v>45903</v>
      </c>
      <c r="K1618" s="16" t="n">
        <f aca="false" t="array" ref="K1618:K1618">IFERROR(INDEX(AC1618:AE1618,IF(COUNTA(AC1618:AE1618)=0,"",MAX((AC1618:AE1618&lt;&gt;"")*(COLUMN(AC1618:AE1618)-(COLUMN(AC1618)-1))))-1),"")</f>
        <v>45993</v>
      </c>
      <c r="L1618" s="17" t="str">
        <f aca="false" t="array" ref="L1618:L1618">IFERROR(INDEX(AC1618:AE1618,IF(COUNTA(AC1618:AE1618)=0,"",MAX((AC1618:AE1618&lt;&gt;"")*(COLUMN(AC1618:AE1618)-(COLUMN(AC1618)-2))))-1),"")</f>
        <v>ARCHIVED</v>
      </c>
      <c r="M1618" s="13" t="n">
        <f aca="true">K1618-TODAY()</f>
        <v>-331</v>
      </c>
      <c r="N1618" s="18" t="s">
        <v>615</v>
      </c>
      <c r="O1618" s="13" t="s">
        <v>1531</v>
      </c>
      <c r="P1618" s="19" t="n">
        <v>4624787</v>
      </c>
      <c r="Q1618" s="20" t="s">
        <v>7084</v>
      </c>
      <c r="R1618" s="13" t="s">
        <v>260</v>
      </c>
      <c r="S1618" s="14" t="n">
        <v>35508</v>
      </c>
      <c r="T1618" s="13" t="s">
        <v>108</v>
      </c>
      <c r="U1618" s="13" t="s">
        <v>7085</v>
      </c>
      <c r="V1618" s="13" t="s">
        <v>42</v>
      </c>
      <c r="W1618" s="13" t="s">
        <v>43</v>
      </c>
      <c r="X1618" s="21" t="n">
        <v>85645205347</v>
      </c>
      <c r="Y1618" s="22" t="str">
        <f aca="false">O1618</f>
        <v>Packer</v>
      </c>
      <c r="Z1618" s="13" t="str">
        <f aca="false">IFERROR(__xludf.dummyfunction("if(BJ1618="""","""",GOOGLETRANSLATE(BJ1618,""auto"",""en""))"),"Packer")</f>
        <v>Packer</v>
      </c>
      <c r="AA1618" s="23" t="str">
        <f aca="false">IF(C1618="","", CHOOSE(MONTH(C1618),"January","February","March","April","May","June","July","August","September","October","November","December")&amp;" "&amp;DAY(C1618)&amp;MID("thstndrdth",MIN(9,2*RIGHT(DAY(C1618))*(MOD(DAY(C1618)-11,100)&gt;2)+1),2)&amp;","&amp;TEXT(C1618," yyyy"))</f>
        <v>September 3rd,2024</v>
      </c>
      <c r="AB1618" s="15" t="str">
        <f aca="true">IF(S1618="","",DATEDIF(S1618,TODAY(),"Y")&amp;" Tahun, "&amp;DATEDIF(S1618,TODAY(),"YM")&amp;" Bulan, "&amp;DATEDIF(S1618,TODAY(),"MD")&amp;" Hari")</f>
        <v>29 Tahun, 7 Bulan, 10 Hari</v>
      </c>
      <c r="AC1618" s="18" t="n">
        <v>45903</v>
      </c>
      <c r="AD1618" s="18" t="n">
        <v>45993</v>
      </c>
      <c r="AE1618" s="18" t="s">
        <v>44</v>
      </c>
    </row>
    <row r="1619" customFormat="false" ht="15" hidden="false" customHeight="true" outlineLevel="0" collapsed="false">
      <c r="A1619" s="12" t="n">
        <v>16861</v>
      </c>
      <c r="B1619" s="13" t="s">
        <v>7086</v>
      </c>
      <c r="C1619" s="14" t="n">
        <v>45543</v>
      </c>
      <c r="D1619" s="13" t="s">
        <v>5726</v>
      </c>
      <c r="E1619" s="15" t="s">
        <v>47</v>
      </c>
      <c r="F1619" s="15" t="str">
        <f aca="false">IFERROR(__xludf.dummyfunction("XLOOKUP(AJ1619,IMPORTRANGE(""1XaInW9DU9nz21V0tYIfzFQ0He9kVQ_JF2mCXgZ3hqFA"",""REKAP ALL 2026 - Andika!G:G""),IMPORTRANGE(""1XaInW9DU9nz21V0tYIfzFQ0He9kVQ_JF2mCXgZ3hqFA"",""REKAP ALL 2026 - Andika!F:F""),"""",0)"),"24139690663")</f>
        <v>24139690663</v>
      </c>
      <c r="G1619" s="15" t="s">
        <v>7087</v>
      </c>
      <c r="H1619" s="13" t="s">
        <v>35</v>
      </c>
      <c r="I1619" s="13" t="str">
        <f aca="false">IF(C1619=J1619,"NEW KONTRAK","RE-KONTRAK")</f>
        <v>RE-KONTRAK</v>
      </c>
      <c r="J1619" s="16" t="n">
        <f aca="false" t="array" ref="J1619:J1619">IFERROR(INDEX(AC1619:AE1619,IF(COUNTA(AC1619:AE1619)=0,"",MAX((AC1619:AE1619&lt;&gt;"")*(COLUMN(AC1619:AE1619)-(COLUMN(AC1619)))))-1),"")</f>
        <v>45908</v>
      </c>
      <c r="K1619" s="16" t="n">
        <f aca="false" t="array" ref="K1619:K1619">IFERROR(INDEX(AC1619:AE1619,IF(COUNTA(AC1619:AE1619)=0,"",MAX((AC1619:AE1619&lt;&gt;"")*(COLUMN(AC1619:AE1619)-(COLUMN(AC1619)-1))))-1),"")</f>
        <v>45998</v>
      </c>
      <c r="L1619" s="17" t="str">
        <f aca="false" t="array" ref="L1619:L1619">IFERROR(INDEX(AC1619:AE1619,IF(COUNTA(AC1619:AE1619)=0,"",MAX((AC1619:AE1619&lt;&gt;"")*(COLUMN(AC1619:AE1619)-(COLUMN(AC1619)-2))))-1),"")</f>
        <v>ARCHIVED</v>
      </c>
      <c r="M1619" s="13" t="n">
        <f aca="true">K1619-TODAY()</f>
        <v>-326</v>
      </c>
      <c r="N1619" s="18" t="s">
        <v>615</v>
      </c>
      <c r="O1619" s="13" t="s">
        <v>7088</v>
      </c>
      <c r="P1619" s="19" t="n">
        <v>5176101</v>
      </c>
      <c r="Q1619" s="20" t="s">
        <v>7089</v>
      </c>
      <c r="R1619" s="13" t="s">
        <v>232</v>
      </c>
      <c r="S1619" s="14" t="n">
        <v>35936</v>
      </c>
      <c r="T1619" s="13" t="s">
        <v>108</v>
      </c>
      <c r="U1619" s="13" t="s">
        <v>7090</v>
      </c>
      <c r="V1619" s="13" t="s">
        <v>42</v>
      </c>
      <c r="W1619" s="13" t="s">
        <v>43</v>
      </c>
      <c r="X1619" s="21" t="n">
        <v>85784563039</v>
      </c>
      <c r="Y1619" s="22" t="str">
        <f aca="false">O1619</f>
        <v>Quality Inspector</v>
      </c>
      <c r="Z1619" s="13" t="str">
        <f aca="false">IFERROR(__xludf.dummyfunction("if(BJ1619="""","""",GOOGLETRANSLATE(BJ1619,""auto"",""en""))"),"Quality Inspector")</f>
        <v>Quality Inspector</v>
      </c>
      <c r="AA1619" s="23" t="str">
        <f aca="false">IF(C1619="","", CHOOSE(MONTH(C1619),"January","February","March","April","May","June","July","August","September","October","November","December")&amp;" "&amp;DAY(C1619)&amp;MID("thstndrdth",MIN(9,2*RIGHT(DAY(C1619))*(MOD(DAY(C1619)-11,100)&gt;2)+1),2)&amp;","&amp;TEXT(C1619," yyyy"))</f>
        <v>September 8th,2024</v>
      </c>
      <c r="AB1619" s="15" t="str">
        <f aca="true">IF(S1619="","",DATEDIF(S1619,TODAY(),"Y")&amp;" Tahun, "&amp;DATEDIF(S1619,TODAY(),"YM")&amp;" Bulan, "&amp;DATEDIF(S1619,TODAY(),"MD")&amp;" Hari")</f>
        <v>28 Tahun, 5 Bulan, 8 Hari</v>
      </c>
      <c r="AC1619" s="18" t="n">
        <v>45908</v>
      </c>
      <c r="AD1619" s="18" t="n">
        <v>45998</v>
      </c>
      <c r="AE1619" s="18" t="s">
        <v>44</v>
      </c>
    </row>
    <row r="1620" customFormat="false" ht="15" hidden="false" customHeight="true" outlineLevel="0" collapsed="false">
      <c r="A1620" s="12" t="n">
        <v>16866</v>
      </c>
      <c r="B1620" s="13" t="s">
        <v>7091</v>
      </c>
      <c r="C1620" s="14" t="n">
        <v>45551</v>
      </c>
      <c r="D1620" s="13" t="s">
        <v>5726</v>
      </c>
      <c r="E1620" s="15" t="s">
        <v>33</v>
      </c>
      <c r="F1620" s="24" t="s">
        <v>7092</v>
      </c>
      <c r="G1620" s="15" t="s">
        <v>7093</v>
      </c>
      <c r="H1620" s="13" t="s">
        <v>35</v>
      </c>
      <c r="I1620" s="13" t="str">
        <f aca="false">IF(C1620=J1620,"NEW KONTRAK","RE-KONTRAK")</f>
        <v>NEW KONTRAK</v>
      </c>
      <c r="J1620" s="16" t="n">
        <f aca="false" t="array" ref="J1620:J1620">IFERROR(INDEX(AC1620:AE1620,IF(COUNTA(AC1620:AE1620)=0,"",MAX((AC1620:AE1620&lt;&gt;"")*(COLUMN(AC1620:AE1620)-(COLUMN(AC1620)))))-1),"")</f>
        <v>45551</v>
      </c>
      <c r="K1620" s="16" t="n">
        <f aca="false" t="array" ref="K1620:K1620">IFERROR(INDEX(AC1620:AE1620,IF(COUNTA(AC1620:AE1620)=0,"",MAX((AC1620:AE1620&lt;&gt;"")*(COLUMN(AC1620:AE1620)-(COLUMN(AC1620)-1))))-1),"")</f>
        <v>45915</v>
      </c>
      <c r="L1620" s="17" t="str">
        <f aca="false" t="array" ref="L1620:L1620">IFERROR(INDEX(AC1620:AE1620,IF(COUNTA(AC1620:AE1620)=0,"",MAX((AC1620:AE1620&lt;&gt;"")*(COLUMN(AC1620:AE1620)-(COLUMN(AC1620)-2))))-1),"")</f>
        <v>ARCHIVED</v>
      </c>
      <c r="M1620" s="13" t="n">
        <f aca="true">K1620-TODAY()</f>
        <v>-409</v>
      </c>
      <c r="N1620" s="18" t="s">
        <v>615</v>
      </c>
      <c r="O1620" s="13" t="s">
        <v>1531</v>
      </c>
      <c r="P1620" s="19" t="n">
        <v>4624787</v>
      </c>
      <c r="Q1620" s="20" t="s">
        <v>7094</v>
      </c>
      <c r="R1620" s="13" t="s">
        <v>232</v>
      </c>
      <c r="S1620" s="14" t="n">
        <v>34831</v>
      </c>
      <c r="T1620" s="13" t="s">
        <v>108</v>
      </c>
      <c r="U1620" s="13" t="s">
        <v>7095</v>
      </c>
      <c r="V1620" s="13" t="s">
        <v>42</v>
      </c>
      <c r="W1620" s="13" t="s">
        <v>43</v>
      </c>
      <c r="X1620" s="21" t="n">
        <v>82257954624</v>
      </c>
      <c r="Y1620" s="22" t="str">
        <f aca="false">O1620</f>
        <v>Packer</v>
      </c>
      <c r="Z1620" s="13" t="str">
        <f aca="false">IFERROR(__xludf.dummyfunction("if(BJ1620="""","""",GOOGLETRANSLATE(BJ1620,""auto"",""en""))"),"Packer")</f>
        <v>Packer</v>
      </c>
      <c r="AA1620" s="23" t="str">
        <f aca="false">IF(C1620="","", CHOOSE(MONTH(C1620),"January","February","March","April","May","June","July","August","September","October","November","December")&amp;" "&amp;DAY(C1620)&amp;MID("thstndrdth",MIN(9,2*RIGHT(DAY(C1620))*(MOD(DAY(C1620)-11,100)&gt;2)+1),2)&amp;","&amp;TEXT(C1620," yyyy"))</f>
        <v>September 16th,2024</v>
      </c>
      <c r="AB1620" s="15" t="str">
        <f aca="true">IF(S1620="","",DATEDIF(S1620,TODAY(),"Y")&amp;" Tahun, "&amp;DATEDIF(S1620,TODAY(),"YM")&amp;" Bulan, "&amp;DATEDIF(S1620,TODAY(),"MD")&amp;" Hari")</f>
        <v>31 Tahun, 5 Bulan, 17 Hari</v>
      </c>
      <c r="AC1620" s="18" t="n">
        <v>45551</v>
      </c>
      <c r="AD1620" s="18" t="n">
        <v>45915</v>
      </c>
      <c r="AE1620" s="18" t="s">
        <v>44</v>
      </c>
    </row>
    <row r="1621" customFormat="false" ht="15" hidden="false" customHeight="true" outlineLevel="0" collapsed="false">
      <c r="A1621" s="12" t="n">
        <v>16887</v>
      </c>
      <c r="B1621" s="13" t="s">
        <v>7096</v>
      </c>
      <c r="C1621" s="14" t="n">
        <v>45535</v>
      </c>
      <c r="D1621" s="13" t="s">
        <v>4610</v>
      </c>
      <c r="E1621" s="15" t="s">
        <v>47</v>
      </c>
      <c r="F1621" s="15" t="str">
        <f aca="false">IFERROR(__xludf.dummyfunction("XLOOKUP(AJ1621,IMPORTRANGE(""1XaInW9DU9nz21V0tYIfzFQ0He9kVQ_JF2mCXgZ3hqFA"",""REKAP ALL 2026 - Andika!G:G""),IMPORTRANGE(""1XaInW9DU9nz21V0tYIfzFQ0He9kVQ_JF2mCXgZ3hqFA"",""REKAP ALL 2026 - Andika!F:F""),"""",0)"),"24139691216")</f>
        <v>24139691216</v>
      </c>
      <c r="G1621" s="13" t="s">
        <v>57</v>
      </c>
      <c r="H1621" s="13" t="s">
        <v>35</v>
      </c>
      <c r="I1621" s="13" t="str">
        <f aca="false">IF(C1621=J1621,"NEW KONTRAK","RE-KONTRAK")</f>
        <v>RE-KONTRAK</v>
      </c>
      <c r="J1621" s="16" t="n">
        <f aca="false" t="array" ref="J1621:J1621">IFERROR(INDEX(AC1621:AE1621,IF(COUNTA(AC1621:AE1621)=0,"",MAX((AC1621:AE1621&lt;&gt;"")*(COLUMN(AC1621:AE1621)-(COLUMN(AC1621)))))-1),"")</f>
        <v>45764</v>
      </c>
      <c r="K1621" s="16" t="n">
        <f aca="false" t="array" ref="K1621:K1621">IFERROR(INDEX(AC1621:AE1621,IF(COUNTA(AC1621:AE1621)=0,"",MAX((AC1621:AE1621&lt;&gt;"")*(COLUMN(AC1621:AE1621)-(COLUMN(AC1621)-1))))-1),"")</f>
        <v>45946</v>
      </c>
      <c r="L1621" s="17" t="str">
        <f aca="false" t="array" ref="L1621:L1621">IFERROR(INDEX(AC1621:AE1621,IF(COUNTA(AC1621:AE1621)=0,"",MAX((AC1621:AE1621&lt;&gt;"")*(COLUMN(AC1621:AE1621)-(COLUMN(AC1621)-2))))-1),"")</f>
        <v>ARCHIVED</v>
      </c>
      <c r="M1621" s="13" t="n">
        <f aca="true">K1621-TODAY()</f>
        <v>-378</v>
      </c>
      <c r="N1621" s="18" t="s">
        <v>36</v>
      </c>
      <c r="O1621" s="13" t="s">
        <v>4288</v>
      </c>
      <c r="P1621" s="27" t="n">
        <v>200000</v>
      </c>
      <c r="Q1621" s="20" t="s">
        <v>7097</v>
      </c>
      <c r="R1621" s="13" t="s">
        <v>52</v>
      </c>
      <c r="S1621" s="14" t="n">
        <v>31664</v>
      </c>
      <c r="T1621" s="13" t="s">
        <v>40</v>
      </c>
      <c r="U1621" s="13" t="s">
        <v>4257</v>
      </c>
      <c r="V1621" s="13" t="s">
        <v>42</v>
      </c>
      <c r="W1621" s="13" t="s">
        <v>43</v>
      </c>
      <c r="X1621" s="21" t="n">
        <v>881027776489</v>
      </c>
      <c r="Y1621" s="22" t="str">
        <f aca="false">O1621</f>
        <v>Operator Printing</v>
      </c>
      <c r="Z1621" s="13" t="str">
        <f aca="false">IFERROR(__xludf.dummyfunction("if(BJ1621="""","""",GOOGLETRANSLATE(BJ1621,""auto"",""en""))"),"Operator Printing")</f>
        <v>Operator Printing</v>
      </c>
      <c r="AA1621" s="23" t="str">
        <f aca="false">IF(C1621="","", CHOOSE(MONTH(C1621),"January","February","March","April","May","June","July","August","September","October","November","December")&amp;" "&amp;DAY(C1621)&amp;MID("thstndrdth",MIN(9,2*RIGHT(DAY(C1621))*(MOD(DAY(C1621)-11,100)&gt;2)+1),2)&amp;","&amp;TEXT(C1621," yyyy"))</f>
        <v>August 31st,2024</v>
      </c>
      <c r="AB1621" s="15" t="str">
        <f aca="true">IF(S1621="","",DATEDIF(S1621,TODAY(),"Y")&amp;" Tahun, "&amp;DATEDIF(S1621,TODAY(),"YM")&amp;" Bulan, "&amp;DATEDIF(S1621,TODAY(),"MD")&amp;" Hari")</f>
        <v>40 Tahun, 1 Bulan, 20 Hari</v>
      </c>
      <c r="AC1621" s="18" t="n">
        <v>45764</v>
      </c>
      <c r="AD1621" s="18" t="n">
        <v>45946</v>
      </c>
      <c r="AE1621" s="18" t="s">
        <v>44</v>
      </c>
    </row>
    <row r="1622" customFormat="false" ht="15" hidden="false" customHeight="true" outlineLevel="0" collapsed="false">
      <c r="A1622" s="12" t="n">
        <v>16890</v>
      </c>
      <c r="B1622" s="13" t="s">
        <v>7098</v>
      </c>
      <c r="C1622" s="14" t="n">
        <v>45534</v>
      </c>
      <c r="D1622" s="13" t="s">
        <v>613</v>
      </c>
      <c r="E1622" s="15" t="s">
        <v>789</v>
      </c>
      <c r="F1622" s="15" t="str">
        <f aca="false">IFERROR(__xludf.dummyfunction("XLOOKUP(AJ1622,IMPORTRANGE(""1XaInW9DU9nz21V0tYIfzFQ0He9kVQ_JF2mCXgZ3hqFA"",""REKAP ALL 2026 - Andika!G:G""),IMPORTRANGE(""1XaInW9DU9nz21V0tYIfzFQ0He9kVQ_JF2mCXgZ3hqFA"",""REKAP ALL 2026 - Andika!F:F""),"""",0)"),"25012463599")</f>
        <v>25012463599</v>
      </c>
      <c r="G1622" s="15" t="s">
        <v>7099</v>
      </c>
      <c r="H1622" s="13" t="s">
        <v>35</v>
      </c>
      <c r="I1622" s="13" t="str">
        <f aca="false">IF(C1622=J1622,"NEW KONTRAK","RE-KONTRAK")</f>
        <v>RE-KONTRAK</v>
      </c>
      <c r="J1622" s="16" t="n">
        <f aca="false" t="array" ref="J1622:J1622">IFERROR(INDEX(AC1622:AE1622,IF(COUNTA(AC1622:AE1622)=0,"",MAX((AC1622:AE1622&lt;&gt;"")*(COLUMN(AC1622:AE1622)-(COLUMN(AC1622)))))-1),"")</f>
        <v>45885</v>
      </c>
      <c r="K1622" s="16" t="n">
        <f aca="false" t="array" ref="K1622:K1622">IFERROR(INDEX(AC1622:AE1622,IF(COUNTA(AC1622:AE1622)=0,"",MAX((AC1622:AE1622&lt;&gt;"")*(COLUMN(AC1622:AE1622)-(COLUMN(AC1622)-1))))-1),"")</f>
        <v>46068</v>
      </c>
      <c r="L1622" s="17" t="str">
        <f aca="false" t="array" ref="L1622:L1622">IFERROR(INDEX(AC1622:AE1622,IF(COUNTA(AC1622:AE1622)=0,"",MAX((AC1622:AE1622&lt;&gt;"")*(COLUMN(AC1622:AE1622)-(COLUMN(AC1622)-2))))-1),"")</f>
        <v>ARCHIVED</v>
      </c>
      <c r="M1622" s="13" t="n">
        <f aca="true">K1622-TODAY()</f>
        <v>-256</v>
      </c>
      <c r="N1622" s="18" t="s">
        <v>615</v>
      </c>
      <c r="O1622" s="13" t="s">
        <v>7100</v>
      </c>
      <c r="P1622" s="19" t="n">
        <v>5176101</v>
      </c>
      <c r="Q1622" s="20" t="s">
        <v>7101</v>
      </c>
      <c r="R1622" s="13" t="s">
        <v>232</v>
      </c>
      <c r="S1622" s="14" t="n">
        <v>36517</v>
      </c>
      <c r="T1622" s="13" t="s">
        <v>40</v>
      </c>
      <c r="U1622" s="13" t="s">
        <v>7102</v>
      </c>
      <c r="V1622" s="13" t="s">
        <v>42</v>
      </c>
      <c r="W1622" s="13" t="s">
        <v>54</v>
      </c>
      <c r="X1622" s="21" t="n">
        <v>87829202270</v>
      </c>
      <c r="Y1622" s="22" t="str">
        <f aca="false">O1622</f>
        <v>Rollshop</v>
      </c>
      <c r="Z1622" s="13" t="str">
        <f aca="false">IFERROR(__xludf.dummyfunction("if(BJ1622="""","""",GOOGLETRANSLATE(BJ1622,""auto"",""en""))"),"Rollshop")</f>
        <v>Rollshop</v>
      </c>
      <c r="AA1622" s="23" t="str">
        <f aca="false">IF(C1622="","", CHOOSE(MONTH(C1622),"January","February","March","April","May","June","July","August","September","October","November","December")&amp;" "&amp;DAY(C1622)&amp;MID("thstndrdth",MIN(9,2*RIGHT(DAY(C1622))*(MOD(DAY(C1622)-11,100)&gt;2)+1),2)&amp;","&amp;TEXT(C1622," yyyy"))</f>
        <v>August 30th,2024</v>
      </c>
      <c r="AB1622" s="15" t="str">
        <f aca="true">IF(S1622="","",DATEDIF(S1622,TODAY(),"Y")&amp;" Tahun, "&amp;DATEDIF(S1622,TODAY(),"YM")&amp;" Bulan, "&amp;DATEDIF(S1622,TODAY(),"MD")&amp;" Hari")</f>
        <v>26 Tahun, 10 Bulan, 6 Hari</v>
      </c>
      <c r="AC1622" s="18" t="n">
        <v>45885</v>
      </c>
      <c r="AD1622" s="18" t="n">
        <v>46068</v>
      </c>
      <c r="AE1622" s="18" t="s">
        <v>44</v>
      </c>
    </row>
    <row r="1623" customFormat="false" ht="15" hidden="false" customHeight="true" outlineLevel="0" collapsed="false">
      <c r="A1623" s="12" t="n">
        <v>16893</v>
      </c>
      <c r="B1623" s="13" t="s">
        <v>7103</v>
      </c>
      <c r="C1623" s="14" t="n">
        <v>45537</v>
      </c>
      <c r="D1623" s="13" t="s">
        <v>4755</v>
      </c>
      <c r="E1623" s="15" t="s">
        <v>47</v>
      </c>
      <c r="F1623" s="15" t="str">
        <f aca="false">IFERROR(__xludf.dummyfunction("XLOOKUP(AJ1623,IMPORTRANGE(""1XaInW9DU9nz21V0tYIfzFQ0He9kVQ_JF2mCXgZ3hqFA"",""REKAP ALL 2026 - Andika!G:G""),IMPORTRANGE(""1XaInW9DU9nz21V0tYIfzFQ0He9kVQ_JF2mCXgZ3hqFA"",""REKAP ALL 2026 - Andika!F:F""),"""",0)"),"25115947423")</f>
        <v>25115947423</v>
      </c>
      <c r="G1623" s="13" t="s">
        <v>57</v>
      </c>
      <c r="H1623" s="13" t="s">
        <v>3024</v>
      </c>
      <c r="I1623" s="13" t="str">
        <f aca="false">IF(C1623=J1623,"NEW KONTRAK","RE-KONTRAK")</f>
        <v>RE-KONTRAK</v>
      </c>
      <c r="J1623" s="16" t="n">
        <f aca="false" t="array" ref="J1623:J1623">IFERROR(INDEX(AC1623:AE1623,IF(COUNTA(AC1623:AE1623)=0,"",MAX((AC1623:AE1623&lt;&gt;"")*(COLUMN(AC1623:AE1623)-(COLUMN(AC1623)))))-1),"")</f>
        <v>45658</v>
      </c>
      <c r="K1623" s="16" t="n">
        <f aca="false" t="array" ref="K1623:K1623">IFERROR(INDEX(AC1623:AE1623,IF(COUNTA(AC1623:AE1623)=0,"",MAX((AC1623:AE1623&lt;&gt;"")*(COLUMN(AC1623:AE1623)-(COLUMN(AC1623)-1))))-1),"")</f>
        <v>45747</v>
      </c>
      <c r="L1623" s="17" t="str">
        <f aca="false" t="array" ref="L1623:L1623">IFERROR(INDEX(AC1623:AE1623,IF(COUNTA(AC1623:AE1623)=0,"",MAX((AC1623:AE1623&lt;&gt;"")*(COLUMN(AC1623:AE1623)-(COLUMN(AC1623)-2))))-1),"")</f>
        <v>ARCHIVED</v>
      </c>
      <c r="M1623" s="13" t="n">
        <f aca="true">K1623-TODAY()</f>
        <v>-577</v>
      </c>
      <c r="N1623" s="18" t="s">
        <v>615</v>
      </c>
      <c r="O1623" s="13" t="s">
        <v>4756</v>
      </c>
      <c r="P1623" s="19" t="n">
        <v>207044</v>
      </c>
      <c r="Q1623" s="20" t="s">
        <v>7104</v>
      </c>
      <c r="R1623" s="13" t="s">
        <v>232</v>
      </c>
      <c r="S1623" s="14" t="n">
        <v>37211</v>
      </c>
      <c r="T1623" s="13" t="s">
        <v>40</v>
      </c>
      <c r="U1623" s="13" t="s">
        <v>7105</v>
      </c>
      <c r="V1623" s="13" t="s">
        <v>42</v>
      </c>
      <c r="W1623" s="13" t="s">
        <v>43</v>
      </c>
      <c r="X1623" s="21" t="n">
        <v>85934680377</v>
      </c>
      <c r="Y1623" s="22" t="str">
        <f aca="false">O1623</f>
        <v>Reliever</v>
      </c>
      <c r="Z1623" s="13" t="str">
        <f aca="false">IFERROR(__xludf.dummyfunction("if(BJ1623="""","""",GOOGLETRANSLATE(BJ1623,""auto"",""en""))"),"Reliever")</f>
        <v>Reliever</v>
      </c>
      <c r="AA1623" s="23" t="str">
        <f aca="false">IF(C1623="","", CHOOSE(MONTH(C1623),"January","February","March","April","May","June","July","August","September","October","November","December")&amp;" "&amp;DAY(C1623)&amp;MID("thstndrdth",MIN(9,2*RIGHT(DAY(C1623))*(MOD(DAY(C1623)-11,100)&gt;2)+1),2)&amp;","&amp;TEXT(C1623," yyyy"))</f>
        <v>September 2nd,2024</v>
      </c>
      <c r="AB1623" s="15" t="str">
        <f aca="true">IF(S1623="","",DATEDIF(S1623,TODAY(),"Y")&amp;" Tahun, "&amp;DATEDIF(S1623,TODAY(),"YM")&amp;" Bulan, "&amp;DATEDIF(S1623,TODAY(),"MD")&amp;" Hari")</f>
        <v>24 Tahun, 11 Bulan, 13 Hari</v>
      </c>
      <c r="AC1623" s="18" t="n">
        <v>45658</v>
      </c>
      <c r="AD1623" s="18" t="n">
        <v>45747</v>
      </c>
      <c r="AE1623" s="18" t="s">
        <v>44</v>
      </c>
    </row>
    <row r="1624" customFormat="false" ht="15" hidden="false" customHeight="true" outlineLevel="0" collapsed="false">
      <c r="A1624" s="12" t="n">
        <v>16914</v>
      </c>
      <c r="B1624" s="13" t="s">
        <v>7106</v>
      </c>
      <c r="C1624" s="14" t="n">
        <v>45539</v>
      </c>
      <c r="D1624" s="13" t="s">
        <v>3022</v>
      </c>
      <c r="E1624" s="15" t="s">
        <v>47</v>
      </c>
      <c r="F1624" s="15" t="str">
        <f aca="false">IFERROR(__xludf.dummyfunction("XLOOKUP(AJ1624,IMPORTRANGE(""1XaInW9DU9nz21V0tYIfzFQ0He9kVQ_JF2mCXgZ3hqFA"",""REKAP ALL 2026 - Andika!G:G""),IMPORTRANGE(""1XaInW9DU9nz21V0tYIfzFQ0He9kVQ_JF2mCXgZ3hqFA"",""REKAP ALL 2026 - Andika!F:F""),"""",0)"),"24139699011")</f>
        <v>24139699011</v>
      </c>
      <c r="G1624" s="13" t="s">
        <v>7107</v>
      </c>
      <c r="H1624" s="13" t="s">
        <v>3024</v>
      </c>
      <c r="I1624" s="13" t="str">
        <f aca="false">IF(C1624=J1624,"NEW KONTRAK","RE-KONTRAK")</f>
        <v>RE-KONTRAK</v>
      </c>
      <c r="J1624" s="16" t="n">
        <f aca="false" t="array" ref="J1624:J1624">IFERROR(INDEX(AC1624:AE1624,IF(COUNTA(AC1624:AE1624)=0,"",MAX((AC1624:AE1624&lt;&gt;"")*(COLUMN(AC1624:AE1624)-(COLUMN(AC1624)))))-1),"")</f>
        <v>45630</v>
      </c>
      <c r="K1624" s="16" t="n">
        <f aca="false" t="array" ref="K1624:K1624">IFERROR(INDEX(AC1624:AE1624,IF(COUNTA(AC1624:AE1624)=0,"",MAX((AC1624:AE1624&lt;&gt;"")*(COLUMN(AC1624:AE1624)-(COLUMN(AC1624)-1))))-1),"")</f>
        <v>45934</v>
      </c>
      <c r="L1624" s="17" t="str">
        <f aca="false" t="array" ref="L1624:L1624">IFERROR(INDEX(AC1624:AE1624,IF(COUNTA(AC1624:AE1624)=0,"",MAX((AC1624:AE1624&lt;&gt;"")*(COLUMN(AC1624:AE1624)-(COLUMN(AC1624)-2))))-1),"")</f>
        <v>ARCHIVED</v>
      </c>
      <c r="M1624" s="13" t="n">
        <f aca="true">K1624-TODAY()</f>
        <v>-390</v>
      </c>
      <c r="N1624" s="18" t="s">
        <v>36</v>
      </c>
      <c r="O1624" s="13" t="s">
        <v>58</v>
      </c>
      <c r="P1624" s="19" t="n">
        <v>137500</v>
      </c>
      <c r="Q1624" s="20" t="s">
        <v>7108</v>
      </c>
      <c r="R1624" s="13" t="s">
        <v>52</v>
      </c>
      <c r="S1624" s="14" t="n">
        <v>36958</v>
      </c>
      <c r="T1624" s="13" t="s">
        <v>40</v>
      </c>
      <c r="U1624" s="13" t="s">
        <v>7109</v>
      </c>
      <c r="V1624" s="13" t="s">
        <v>42</v>
      </c>
      <c r="W1624" s="13" t="s">
        <v>43</v>
      </c>
      <c r="X1624" s="21" t="n">
        <v>89688087246</v>
      </c>
      <c r="Y1624" s="22" t="str">
        <f aca="false">O1624</f>
        <v>Produksi</v>
      </c>
      <c r="Z1624" s="13" t="str">
        <f aca="false">IFERROR(__xludf.dummyfunction("if(BJ1624="""","""",GOOGLETRANSLATE(BJ1624,""auto"",""en""))"),"Production")</f>
        <v>Production</v>
      </c>
      <c r="AA1624" s="23" t="str">
        <f aca="false">IF(C1624="","", CHOOSE(MONTH(C1624),"January","February","March","April","May","June","July","August","September","October","November","December")&amp;" "&amp;DAY(C1624)&amp;MID("thstndrdth",MIN(9,2*RIGHT(DAY(C1624))*(MOD(DAY(C1624)-11,100)&gt;2)+1),2)&amp;","&amp;TEXT(C1624," yyyy"))</f>
        <v>September 4th,2024</v>
      </c>
      <c r="AB1624" s="15" t="str">
        <f aca="true">IF(S1624="","",DATEDIF(S1624,TODAY(),"Y")&amp;" Tahun, "&amp;DATEDIF(S1624,TODAY(),"YM")&amp;" Bulan, "&amp;DATEDIF(S1624,TODAY(),"MD")&amp;" Hari")</f>
        <v>25 Tahun, 7 Bulan, 21 Hari</v>
      </c>
      <c r="AC1624" s="18" t="n">
        <v>45630</v>
      </c>
      <c r="AD1624" s="18" t="n">
        <v>45934</v>
      </c>
      <c r="AE1624" s="18" t="s">
        <v>44</v>
      </c>
    </row>
    <row r="1625" customFormat="false" ht="15" hidden="false" customHeight="true" outlineLevel="0" collapsed="false">
      <c r="A1625" s="12" t="n">
        <v>17109</v>
      </c>
      <c r="B1625" s="13" t="s">
        <v>7110</v>
      </c>
      <c r="C1625" s="14" t="n">
        <v>45556</v>
      </c>
      <c r="D1625" s="13" t="s">
        <v>4112</v>
      </c>
      <c r="E1625" s="15" t="s">
        <v>102</v>
      </c>
      <c r="F1625" s="15" t="str">
        <f aca="false">IFERROR(__xludf.dummyfunction("XLOOKUP(AJ1625,IMPORTRANGE(""1XaInW9DU9nz21V0tYIfzFQ0He9kVQ_JF2mCXgZ3hqFA"",""REKAP ALL 2026 - Andika!G:G""),IMPORTRANGE(""1XaInW9DU9nz21V0tYIfzFQ0He9kVQ_JF2mCXgZ3hqFA"",""REKAP ALL 2026 - Andika!F:F""),"""",0)"),"24196464200")</f>
        <v>24196464200</v>
      </c>
      <c r="G1625" s="15" t="s">
        <v>7111</v>
      </c>
      <c r="H1625" s="13" t="s">
        <v>35</v>
      </c>
      <c r="I1625" s="13" t="str">
        <f aca="false">IF(C1625=J1625,"NEW KONTRAK","RE-KONTRAK")</f>
        <v>RE-KONTRAK</v>
      </c>
      <c r="J1625" s="16" t="n">
        <f aca="false" t="array" ref="J1625:J1625">IFERROR(INDEX(AC1625:AE1625,IF(COUNTA(AC1625:AE1625)=0,"",MAX((AC1625:AE1625&lt;&gt;"")*(COLUMN(AC1625:AE1625)-(COLUMN(AC1625)))))-1),"")</f>
        <v>45737</v>
      </c>
      <c r="K1625" s="16" t="n">
        <f aca="false" t="array" ref="K1625:K1625">IFERROR(INDEX(AC1625:AE1625,IF(COUNTA(AC1625:AE1625)=0,"",MAX((AC1625:AE1625&lt;&gt;"")*(COLUMN(AC1625:AE1625)-(COLUMN(AC1625)-1))))-1),"")</f>
        <v>46101</v>
      </c>
      <c r="L1625" s="17" t="str">
        <f aca="false" t="array" ref="L1625:L1625">IFERROR(INDEX(AC1625:AE1625,IF(COUNTA(AC1625:AE1625)=0,"",MAX((AC1625:AE1625&lt;&gt;"")*(COLUMN(AC1625:AE1625)-(COLUMN(AC1625)-2))))-1),"")</f>
        <v>ARCHIVED</v>
      </c>
      <c r="M1625" s="13" t="n">
        <f aca="true">K1625-TODAY()</f>
        <v>-223</v>
      </c>
      <c r="N1625" s="18" t="s">
        <v>728</v>
      </c>
      <c r="O1625" s="13" t="s">
        <v>3271</v>
      </c>
      <c r="P1625" s="19" t="n">
        <v>3132000</v>
      </c>
      <c r="Q1625" s="20" t="s">
        <v>7112</v>
      </c>
      <c r="R1625" s="13" t="s">
        <v>52</v>
      </c>
      <c r="S1625" s="14" t="n">
        <v>36353</v>
      </c>
      <c r="T1625" s="13" t="s">
        <v>40</v>
      </c>
      <c r="U1625" s="13" t="s">
        <v>6278</v>
      </c>
      <c r="V1625" s="13" t="s">
        <v>42</v>
      </c>
      <c r="W1625" s="13" t="s">
        <v>43</v>
      </c>
      <c r="X1625" s="21" t="n">
        <v>81334577894</v>
      </c>
      <c r="Y1625" s="22" t="str">
        <f aca="false">O1625</f>
        <v>Helper</v>
      </c>
      <c r="Z1625" s="13" t="str">
        <f aca="false">IFERROR(__xludf.dummyfunction("if(BJ1625="""","""",GOOGLETRANSLATE(BJ1625,""auto"",""en""))"),"Helper")</f>
        <v>Helper</v>
      </c>
      <c r="AA1625" s="23" t="str">
        <f aca="false">IF(C1625="","", CHOOSE(MONTH(C1625),"January","February","March","April","May","June","July","August","September","October","November","December")&amp;" "&amp;DAY(C1625)&amp;MID("thstndrdth",MIN(9,2*RIGHT(DAY(C1625))*(MOD(DAY(C1625)-11,100)&gt;2)+1),2)&amp;","&amp;TEXT(C1625," yyyy"))</f>
        <v>September 21st,2024</v>
      </c>
      <c r="AB1625" s="15" t="str">
        <f aca="true">IF(S1625="","",DATEDIF(S1625,TODAY(),"Y")&amp;" Tahun, "&amp;DATEDIF(S1625,TODAY(),"YM")&amp;" Bulan, "&amp;DATEDIF(S1625,TODAY(),"MD")&amp;" Hari")</f>
        <v>27 Tahun, 3 Bulan, 17 Hari</v>
      </c>
      <c r="AC1625" s="18" t="n">
        <v>45737</v>
      </c>
      <c r="AD1625" s="18" t="n">
        <v>46101</v>
      </c>
      <c r="AE1625" s="18" t="s">
        <v>44</v>
      </c>
    </row>
    <row r="1626" customFormat="false" ht="15" hidden="false" customHeight="true" outlineLevel="0" collapsed="false">
      <c r="A1626" s="12" t="n">
        <v>17110</v>
      </c>
      <c r="B1626" s="13" t="s">
        <v>7113</v>
      </c>
      <c r="C1626" s="14" t="n">
        <v>45556</v>
      </c>
      <c r="D1626" s="13" t="s">
        <v>4112</v>
      </c>
      <c r="E1626" s="15" t="s">
        <v>47</v>
      </c>
      <c r="F1626" s="15" t="str">
        <f aca="false">IFERROR(__xludf.dummyfunction("XLOOKUP(AJ1626,IMPORTRANGE(""1XaInW9DU9nz21V0tYIfzFQ0He9kVQ_JF2mCXgZ3hqFA"",""REKAP ALL 2026 - Andika!G:G""),IMPORTRANGE(""1XaInW9DU9nz21V0tYIfzFQ0He9kVQ_JF2mCXgZ3hqFA"",""REKAP ALL 2026 - Andika!F:F""),"""",0)"),"24196464192")</f>
        <v>24196464192</v>
      </c>
      <c r="G1626" s="15" t="s">
        <v>7114</v>
      </c>
      <c r="H1626" s="13" t="s">
        <v>35</v>
      </c>
      <c r="I1626" s="13" t="str">
        <f aca="false">IF(C1626=J1626,"NEW KONTRAK","RE-KONTRAK")</f>
        <v>RE-KONTRAK</v>
      </c>
      <c r="J1626" s="16" t="n">
        <f aca="false" t="array" ref="J1626:J1626">IFERROR(INDEX(AC1626:AE1626,IF(COUNTA(AC1626:AE1626)=0,"",MAX((AC1626:AE1626&lt;&gt;"")*(COLUMN(AC1626:AE1626)-(COLUMN(AC1626)))))-1),"")</f>
        <v>45737</v>
      </c>
      <c r="K1626" s="16" t="n">
        <f aca="false" t="array" ref="K1626:K1626">IFERROR(INDEX(AC1626:AE1626,IF(COUNTA(AC1626:AE1626)=0,"",MAX((AC1626:AE1626&lt;&gt;"")*(COLUMN(AC1626:AE1626)-(COLUMN(AC1626)-1))))-1),"")</f>
        <v>46101</v>
      </c>
      <c r="L1626" s="17" t="str">
        <f aca="false" t="array" ref="L1626:L1626">IFERROR(INDEX(AC1626:AE1626,IF(COUNTA(AC1626:AE1626)=0,"",MAX((AC1626:AE1626&lt;&gt;"")*(COLUMN(AC1626:AE1626)-(COLUMN(AC1626)-2))))-1),"")</f>
        <v>ARCHIVED</v>
      </c>
      <c r="M1626" s="13" t="n">
        <f aca="true">K1626-TODAY()</f>
        <v>-223</v>
      </c>
      <c r="N1626" s="18" t="s">
        <v>728</v>
      </c>
      <c r="O1626" s="13" t="s">
        <v>3271</v>
      </c>
      <c r="P1626" s="19" t="n">
        <v>2900000</v>
      </c>
      <c r="Q1626" s="20" t="s">
        <v>7115</v>
      </c>
      <c r="R1626" s="13" t="s">
        <v>260</v>
      </c>
      <c r="S1626" s="14" t="n">
        <v>35812</v>
      </c>
      <c r="T1626" s="13" t="s">
        <v>40</v>
      </c>
      <c r="U1626" s="13" t="s">
        <v>7116</v>
      </c>
      <c r="V1626" s="13" t="s">
        <v>42</v>
      </c>
      <c r="W1626" s="13" t="s">
        <v>43</v>
      </c>
      <c r="X1626" s="21" t="n">
        <v>89677770903</v>
      </c>
      <c r="Y1626" s="22" t="str">
        <f aca="false">O1626</f>
        <v>Helper</v>
      </c>
      <c r="Z1626" s="13" t="str">
        <f aca="false">IFERROR(__xludf.dummyfunction("if(BJ1626="""","""",GOOGLETRANSLATE(BJ1626,""auto"",""en""))"),"Helper")</f>
        <v>Helper</v>
      </c>
      <c r="AA1626" s="23" t="str">
        <f aca="false">IF(C1626="","", CHOOSE(MONTH(C1626),"January","February","March","April","May","June","July","August","September","October","November","December")&amp;" "&amp;DAY(C1626)&amp;MID("thstndrdth",MIN(9,2*RIGHT(DAY(C1626))*(MOD(DAY(C1626)-11,100)&gt;2)+1),2)&amp;","&amp;TEXT(C1626," yyyy"))</f>
        <v>September 21st,2024</v>
      </c>
      <c r="AB1626" s="15" t="str">
        <f aca="true">IF(S1626="","",DATEDIF(S1626,TODAY(),"Y")&amp;" Tahun, "&amp;DATEDIF(S1626,TODAY(),"YM")&amp;" Bulan, "&amp;DATEDIF(S1626,TODAY(),"MD")&amp;" Hari")</f>
        <v>28 Tahun, 9 Bulan, 12 Hari</v>
      </c>
      <c r="AC1626" s="18" t="n">
        <v>45737</v>
      </c>
      <c r="AD1626" s="18" t="n">
        <v>46101</v>
      </c>
      <c r="AE1626" s="18" t="s">
        <v>44</v>
      </c>
    </row>
    <row r="1627" customFormat="false" ht="15" hidden="false" customHeight="true" outlineLevel="0" collapsed="false">
      <c r="A1627" s="12" t="n">
        <v>17119</v>
      </c>
      <c r="B1627" s="13" t="s">
        <v>7117</v>
      </c>
      <c r="C1627" s="14" t="n">
        <v>45536</v>
      </c>
      <c r="D1627" s="13" t="s">
        <v>3838</v>
      </c>
      <c r="E1627" s="15" t="s">
        <v>102</v>
      </c>
      <c r="F1627" s="24" t="s">
        <v>7118</v>
      </c>
      <c r="G1627" s="15" t="s">
        <v>7119</v>
      </c>
      <c r="H1627" s="13" t="s">
        <v>35</v>
      </c>
      <c r="I1627" s="13" t="str">
        <f aca="false">IF(C1627=J1627,"NEW KONTRAK","RE-KONTRAK")</f>
        <v>RE-KONTRAK</v>
      </c>
      <c r="J1627" s="16" t="n">
        <f aca="false" t="array" ref="J1627:J1627">IFERROR(INDEX(AC1627:AE1627,IF(COUNTA(AC1627:AE1627)=0,"",MAX((AC1627:AE1627&lt;&gt;"")*(COLUMN(AC1627:AE1627)-(COLUMN(AC1627)))))-1),"")</f>
        <v>45658</v>
      </c>
      <c r="K1627" s="16" t="n">
        <f aca="false" t="array" ref="K1627:K1627">IFERROR(INDEX(AC1627:AE1627,IF(COUNTA(AC1627:AE1627)=0,"",MAX((AC1627:AE1627&lt;&gt;"")*(COLUMN(AC1627:AE1627)-(COLUMN(AC1627)-1))))-1),"")</f>
        <v>46022</v>
      </c>
      <c r="L1627" s="17" t="str">
        <f aca="false" t="array" ref="L1627:L1627">IFERROR(INDEX(AC1627:AE1627,IF(COUNTA(AC1627:AE1627)=0,"",MAX((AC1627:AE1627&lt;&gt;"")*(COLUMN(AC1627:AE1627)-(COLUMN(AC1627)-2))))-1),"")</f>
        <v>ARCHIVED</v>
      </c>
      <c r="M1627" s="13" t="n">
        <f aca="true">K1627-TODAY()</f>
        <v>-302</v>
      </c>
      <c r="N1627" s="18" t="s">
        <v>749</v>
      </c>
      <c r="O1627" s="13" t="s">
        <v>3577</v>
      </c>
      <c r="P1627" s="19" t="n">
        <v>3983882</v>
      </c>
      <c r="Q1627" s="20" t="s">
        <v>7120</v>
      </c>
      <c r="R1627" s="13" t="s">
        <v>752</v>
      </c>
      <c r="S1627" s="14" t="n">
        <v>37299</v>
      </c>
      <c r="T1627" s="13" t="s">
        <v>40</v>
      </c>
      <c r="U1627" s="13" t="s">
        <v>7121</v>
      </c>
      <c r="V1627" s="13" t="s">
        <v>42</v>
      </c>
      <c r="W1627" s="13" t="s">
        <v>43</v>
      </c>
      <c r="X1627" s="21" t="n">
        <v>87863133301</v>
      </c>
      <c r="Y1627" s="22" t="str">
        <f aca="false">O1627</f>
        <v>Kerani Gudang</v>
      </c>
      <c r="Z1627" s="13" t="str">
        <f aca="false">IFERROR(__xludf.dummyfunction("if(BJ1627="""","""",GOOGLETRANSLATE(BJ1627,""auto"",""en""))"),"Warehouse Clerk")</f>
        <v>Warehouse Clerk</v>
      </c>
      <c r="AA1627" s="23" t="str">
        <f aca="false">IF(C1627="","", CHOOSE(MONTH(C1627),"January","February","March","April","May","June","July","August","September","October","November","December")&amp;" "&amp;DAY(C1627)&amp;MID("thstndrdth",MIN(9,2*RIGHT(DAY(C1627))*(MOD(DAY(C1627)-11,100)&gt;2)+1),2)&amp;","&amp;TEXT(C1627," yyyy"))</f>
        <v>September 1st,2024</v>
      </c>
      <c r="AB1627" s="15" t="str">
        <f aca="true">IF(S1627="","",DATEDIF(S1627,TODAY(),"Y")&amp;" Tahun, "&amp;DATEDIF(S1627,TODAY(),"YM")&amp;" Bulan, "&amp;DATEDIF(S1627,TODAY(),"MD")&amp;" Hari")</f>
        <v>24 Tahun, 8 Bulan, 17 Hari</v>
      </c>
      <c r="AC1627" s="18" t="n">
        <v>45658</v>
      </c>
      <c r="AD1627" s="18" t="n">
        <v>46022</v>
      </c>
      <c r="AE1627" s="18" t="s">
        <v>44</v>
      </c>
    </row>
    <row r="1628" customFormat="false" ht="15" hidden="false" customHeight="true" outlineLevel="0" collapsed="false">
      <c r="A1628" s="12" t="n">
        <v>17132</v>
      </c>
      <c r="B1628" s="13" t="s">
        <v>7122</v>
      </c>
      <c r="C1628" s="14" t="n">
        <v>45545</v>
      </c>
      <c r="D1628" s="13" t="s">
        <v>3022</v>
      </c>
      <c r="E1628" s="15" t="s">
        <v>47</v>
      </c>
      <c r="F1628" s="15" t="str">
        <f aca="false">IFERROR(__xludf.dummyfunction("XLOOKUP(AJ1628,IMPORTRANGE(""1XaInW9DU9nz21V0tYIfzFQ0He9kVQ_JF2mCXgZ3hqFA"",""REKAP ALL 2026 - Andika!G:G""),IMPORTRANGE(""1XaInW9DU9nz21V0tYIfzFQ0He9kVQ_JF2mCXgZ3hqFA"",""REKAP ALL 2026 - Andika!F:F""),"""",0)"),"24139699060")</f>
        <v>24139699060</v>
      </c>
      <c r="G1628" s="13" t="s">
        <v>7123</v>
      </c>
      <c r="H1628" s="13" t="s">
        <v>3024</v>
      </c>
      <c r="I1628" s="13" t="str">
        <f aca="false">IF(C1628=J1628,"NEW KONTRAK","RE-KONTRAK")</f>
        <v>RE-KONTRAK</v>
      </c>
      <c r="J1628" s="16" t="n">
        <f aca="false" t="array" ref="J1628:J1628">IFERROR(INDEX(AC1628:AE1628,IF(COUNTA(AC1628:AE1628)=0,"",MAX((AC1628:AE1628&lt;&gt;"")*(COLUMN(AC1628:AE1628)-(COLUMN(AC1628)))))-1),"")</f>
        <v>45636</v>
      </c>
      <c r="K1628" s="16" t="n">
        <f aca="false" t="array" ref="K1628:K1628">IFERROR(INDEX(AC1628:AE1628,IF(COUNTA(AC1628:AE1628)=0,"",MAX((AC1628:AE1628&lt;&gt;"")*(COLUMN(AC1628:AE1628)-(COLUMN(AC1628)-1))))-1),"")</f>
        <v>45934</v>
      </c>
      <c r="L1628" s="17" t="str">
        <f aca="false" t="array" ref="L1628:L1628">IFERROR(INDEX(AC1628:AE1628,IF(COUNTA(AC1628:AE1628)=0,"",MAX((AC1628:AE1628&lt;&gt;"")*(COLUMN(AC1628:AE1628)-(COLUMN(AC1628)-2))))-1),"")</f>
        <v>ARCHIVED</v>
      </c>
      <c r="M1628" s="13" t="n">
        <f aca="true">K1628-TODAY()</f>
        <v>-390</v>
      </c>
      <c r="N1628" s="18" t="s">
        <v>36</v>
      </c>
      <c r="O1628" s="13" t="s">
        <v>58</v>
      </c>
      <c r="P1628" s="19" t="n">
        <v>137500</v>
      </c>
      <c r="Q1628" s="20" t="s">
        <v>7124</v>
      </c>
      <c r="R1628" s="13" t="s">
        <v>65</v>
      </c>
      <c r="S1628" s="14" t="n">
        <v>37703</v>
      </c>
      <c r="T1628" s="13" t="s">
        <v>40</v>
      </c>
      <c r="U1628" s="13" t="s">
        <v>7125</v>
      </c>
      <c r="V1628" s="13" t="s">
        <v>42</v>
      </c>
      <c r="W1628" s="13" t="s">
        <v>43</v>
      </c>
      <c r="X1628" s="21" t="n">
        <v>85730667530</v>
      </c>
      <c r="Y1628" s="22" t="str">
        <f aca="false">O1628</f>
        <v>Produksi</v>
      </c>
      <c r="Z1628" s="13" t="str">
        <f aca="false">IFERROR(__xludf.dummyfunction("if(BJ1628="""","""",GOOGLETRANSLATE(BJ1628,""auto"",""en""))"),"Production")</f>
        <v>Production</v>
      </c>
      <c r="AA1628" s="23" t="str">
        <f aca="false">IF(C1628="","", CHOOSE(MONTH(C1628),"January","February","March","April","May","June","July","August","September","October","November","December")&amp;" "&amp;DAY(C1628)&amp;MID("thstndrdth",MIN(9,2*RIGHT(DAY(C1628))*(MOD(DAY(C1628)-11,100)&gt;2)+1),2)&amp;","&amp;TEXT(C1628," yyyy"))</f>
        <v>September 10th,2024</v>
      </c>
      <c r="AB1628" s="15" t="str">
        <f aca="true">IF(S1628="","",DATEDIF(S1628,TODAY(),"Y")&amp;" Tahun, "&amp;DATEDIF(S1628,TODAY(),"YM")&amp;" Bulan, "&amp;DATEDIF(S1628,TODAY(),"MD")&amp;" Hari")</f>
        <v>23 Tahun, 7 Bulan, 6 Hari</v>
      </c>
      <c r="AC1628" s="18" t="n">
        <v>45636</v>
      </c>
      <c r="AD1628" s="18" t="n">
        <v>45934</v>
      </c>
      <c r="AE1628" s="18" t="s">
        <v>44</v>
      </c>
    </row>
    <row r="1629" customFormat="false" ht="15" hidden="false" customHeight="true" outlineLevel="0" collapsed="false">
      <c r="A1629" s="12" t="n">
        <v>17155</v>
      </c>
      <c r="B1629" s="13" t="s">
        <v>7126</v>
      </c>
      <c r="C1629" s="14" t="n">
        <v>45544</v>
      </c>
      <c r="D1629" s="13" t="s">
        <v>4755</v>
      </c>
      <c r="E1629" s="15" t="s">
        <v>47</v>
      </c>
      <c r="F1629" s="15" t="str">
        <f aca="false">IFERROR(__xludf.dummyfunction("XLOOKUP(AJ1629,IMPORTRANGE(""1XaInW9DU9nz21V0tYIfzFQ0He9kVQ_JF2mCXgZ3hqFA"",""REKAP ALL 2026 - Andika!G:G""),IMPORTRANGE(""1XaInW9DU9nz21V0tYIfzFQ0He9kVQ_JF2mCXgZ3hqFA"",""REKAP ALL 2026 - Andika!F:F""),"""",0)"),"24195982756")</f>
        <v>24195982756</v>
      </c>
      <c r="G1629" s="13" t="s">
        <v>57</v>
      </c>
      <c r="H1629" s="13" t="s">
        <v>3024</v>
      </c>
      <c r="I1629" s="13" t="str">
        <f aca="false">IF(C1629=J1629,"NEW KONTRAK","RE-KONTRAK")</f>
        <v>RE-KONTRAK</v>
      </c>
      <c r="J1629" s="16" t="n">
        <f aca="false" t="array" ref="J1629:J1629">IFERROR(INDEX(AC1629:AE1629,IF(COUNTA(AC1629:AE1629)=0,"",MAX((AC1629:AE1629&lt;&gt;"")*(COLUMN(AC1629:AE1629)-(COLUMN(AC1629)))))-1),"")</f>
        <v>45658</v>
      </c>
      <c r="K1629" s="16" t="n">
        <f aca="false" t="array" ref="K1629:K1629">IFERROR(INDEX(AC1629:AE1629,IF(COUNTA(AC1629:AE1629)=0,"",MAX((AC1629:AE1629&lt;&gt;"")*(COLUMN(AC1629:AE1629)-(COLUMN(AC1629)-1))))-1),"")</f>
        <v>45747</v>
      </c>
      <c r="L1629" s="17" t="str">
        <f aca="false" t="array" ref="L1629:L1629">IFERROR(INDEX(AC1629:AE1629,IF(COUNTA(AC1629:AE1629)=0,"",MAX((AC1629:AE1629&lt;&gt;"")*(COLUMN(AC1629:AE1629)-(COLUMN(AC1629)-2))))-1),"")</f>
        <v>ARCHIVED</v>
      </c>
      <c r="M1629" s="13" t="n">
        <f aca="true">K1629-TODAY()</f>
        <v>-577</v>
      </c>
      <c r="N1629" s="18" t="s">
        <v>615</v>
      </c>
      <c r="O1629" s="13" t="s">
        <v>4756</v>
      </c>
      <c r="P1629" s="19" t="n">
        <v>207044</v>
      </c>
      <c r="Q1629" s="20" t="s">
        <v>7127</v>
      </c>
      <c r="R1629" s="13" t="s">
        <v>232</v>
      </c>
      <c r="S1629" s="14" t="n">
        <v>38460</v>
      </c>
      <c r="T1629" s="13" t="s">
        <v>40</v>
      </c>
      <c r="U1629" s="13" t="s">
        <v>7128</v>
      </c>
      <c r="V1629" s="13" t="s">
        <v>42</v>
      </c>
      <c r="W1629" s="13" t="s">
        <v>43</v>
      </c>
      <c r="X1629" s="21" t="n">
        <v>87757637916</v>
      </c>
      <c r="Y1629" s="22" t="str">
        <f aca="false">O1629</f>
        <v>Reliever</v>
      </c>
      <c r="Z1629" s="13" t="str">
        <f aca="false">IFERROR(__xludf.dummyfunction("if(BJ1629="""","""",GOOGLETRANSLATE(BJ1629,""auto"",""en""))"),"Reliever")</f>
        <v>Reliever</v>
      </c>
      <c r="AA1629" s="23" t="str">
        <f aca="false">IF(C1629="","", CHOOSE(MONTH(C1629),"January","February","March","April","May","June","July","August","September","October","November","December")&amp;" "&amp;DAY(C1629)&amp;MID("thstndrdth",MIN(9,2*RIGHT(DAY(C1629))*(MOD(DAY(C1629)-11,100)&gt;2)+1),2)&amp;","&amp;TEXT(C1629," yyyy"))</f>
        <v>September 9th,2024</v>
      </c>
      <c r="AB1629" s="15" t="str">
        <f aca="true">IF(S1629="","",DATEDIF(S1629,TODAY(),"Y")&amp;" Tahun, "&amp;DATEDIF(S1629,TODAY(),"YM")&amp;" Bulan, "&amp;DATEDIF(S1629,TODAY(),"MD")&amp;" Hari")</f>
        <v>21 Tahun, 6 Bulan, 11 Hari</v>
      </c>
      <c r="AC1629" s="18" t="n">
        <v>45658</v>
      </c>
      <c r="AD1629" s="18" t="n">
        <v>45747</v>
      </c>
      <c r="AE1629" s="18" t="s">
        <v>44</v>
      </c>
    </row>
    <row r="1630" customFormat="false" ht="15" hidden="false" customHeight="true" outlineLevel="0" collapsed="false">
      <c r="A1630" s="12" t="n">
        <v>17156</v>
      </c>
      <c r="B1630" s="13" t="s">
        <v>7129</v>
      </c>
      <c r="C1630" s="14" t="n">
        <v>45544</v>
      </c>
      <c r="D1630" s="13" t="s">
        <v>4755</v>
      </c>
      <c r="E1630" s="15" t="s">
        <v>47</v>
      </c>
      <c r="F1630" s="15" t="str">
        <f aca="false">IFERROR(__xludf.dummyfunction("XLOOKUP(AJ1630,IMPORTRANGE(""1XaInW9DU9nz21V0tYIfzFQ0He9kVQ_JF2mCXgZ3hqFA"",""REKAP ALL 2026 - Andika!G:G""),IMPORTRANGE(""1XaInW9DU9nz21V0tYIfzFQ0He9kVQ_JF2mCXgZ3hqFA"",""REKAP ALL 2026 - Andika!F:F""),"""",0)"),"25115947449")</f>
        <v>25115947449</v>
      </c>
      <c r="G1630" s="13" t="s">
        <v>57</v>
      </c>
      <c r="H1630" s="13" t="s">
        <v>3024</v>
      </c>
      <c r="I1630" s="13" t="str">
        <f aca="false">IF(C1630=J1630,"NEW KONTRAK","RE-KONTRAK")</f>
        <v>RE-KONTRAK</v>
      </c>
      <c r="J1630" s="16" t="n">
        <f aca="false" t="array" ref="J1630:J1630">IFERROR(INDEX(AC1630:AE1630,IF(COUNTA(AC1630:AE1630)=0,"",MAX((AC1630:AE1630&lt;&gt;"")*(COLUMN(AC1630:AE1630)-(COLUMN(AC1630)))))-1),"")</f>
        <v>45658</v>
      </c>
      <c r="K1630" s="16" t="n">
        <f aca="false" t="array" ref="K1630:K1630">IFERROR(INDEX(AC1630:AE1630,IF(COUNTA(AC1630:AE1630)=0,"",MAX((AC1630:AE1630&lt;&gt;"")*(COLUMN(AC1630:AE1630)-(COLUMN(AC1630)-1))))-1),"")</f>
        <v>45747</v>
      </c>
      <c r="L1630" s="17" t="str">
        <f aca="false" t="array" ref="L1630:L1630">IFERROR(INDEX(AC1630:AE1630,IF(COUNTA(AC1630:AE1630)=0,"",MAX((AC1630:AE1630&lt;&gt;"")*(COLUMN(AC1630:AE1630)-(COLUMN(AC1630)-2))))-1),"")</f>
        <v>ARCHIVED</v>
      </c>
      <c r="M1630" s="13" t="n">
        <f aca="true">K1630-TODAY()</f>
        <v>-577</v>
      </c>
      <c r="N1630" s="18" t="s">
        <v>615</v>
      </c>
      <c r="O1630" s="13" t="s">
        <v>4756</v>
      </c>
      <c r="P1630" s="19" t="n">
        <v>207044</v>
      </c>
      <c r="Q1630" s="20" t="s">
        <v>7130</v>
      </c>
      <c r="R1630" s="13" t="s">
        <v>232</v>
      </c>
      <c r="S1630" s="14" t="n">
        <v>36574</v>
      </c>
      <c r="T1630" s="13" t="s">
        <v>40</v>
      </c>
      <c r="U1630" s="13" t="s">
        <v>7131</v>
      </c>
      <c r="V1630" s="13" t="s">
        <v>42</v>
      </c>
      <c r="W1630" s="13" t="s">
        <v>43</v>
      </c>
      <c r="X1630" s="21" t="n">
        <v>85655233216</v>
      </c>
      <c r="Y1630" s="22" t="str">
        <f aca="false">O1630</f>
        <v>Reliever</v>
      </c>
      <c r="Z1630" s="13" t="str">
        <f aca="false">IFERROR(__xludf.dummyfunction("if(BJ1630="""","""",GOOGLETRANSLATE(BJ1630,""auto"",""en""))"),"Reliever")</f>
        <v>Reliever</v>
      </c>
      <c r="AA1630" s="23" t="str">
        <f aca="false">IF(C1630="","", CHOOSE(MONTH(C1630),"January","February","March","April","May","June","July","August","September","October","November","December")&amp;" "&amp;DAY(C1630)&amp;MID("thstndrdth",MIN(9,2*RIGHT(DAY(C1630))*(MOD(DAY(C1630)-11,100)&gt;2)+1),2)&amp;","&amp;TEXT(C1630," yyyy"))</f>
        <v>September 9th,2024</v>
      </c>
      <c r="AB1630" s="15" t="str">
        <f aca="true">IF(S1630="","",DATEDIF(S1630,TODAY(),"Y")&amp;" Tahun, "&amp;DATEDIF(S1630,TODAY(),"YM")&amp;" Bulan, "&amp;DATEDIF(S1630,TODAY(),"MD")&amp;" Hari")</f>
        <v>26 Tahun, 8 Bulan, 11 Hari</v>
      </c>
      <c r="AC1630" s="18" t="n">
        <v>45658</v>
      </c>
      <c r="AD1630" s="18" t="n">
        <v>45747</v>
      </c>
      <c r="AE1630" s="18" t="s">
        <v>44</v>
      </c>
    </row>
    <row r="1631" customFormat="false" ht="15" hidden="false" customHeight="true" outlineLevel="0" collapsed="false">
      <c r="A1631" s="12" t="n">
        <v>17158</v>
      </c>
      <c r="B1631" s="13" t="s">
        <v>7132</v>
      </c>
      <c r="C1631" s="14" t="n">
        <v>45544</v>
      </c>
      <c r="D1631" s="13" t="s">
        <v>4755</v>
      </c>
      <c r="E1631" s="15" t="s">
        <v>47</v>
      </c>
      <c r="F1631" s="15" t="str">
        <f aca="false">IFERROR(__xludf.dummyfunction("XLOOKUP(AJ1631,IMPORTRANGE(""1XaInW9DU9nz21V0tYIfzFQ0He9kVQ_JF2mCXgZ3hqFA"",""REKAP ALL 2026 - Andika!G:G""),IMPORTRANGE(""1XaInW9DU9nz21V0tYIfzFQ0He9kVQ_JF2mCXgZ3hqFA"",""REKAP ALL 2026 - Andika!F:F""),"""",0)"),"24195982855")</f>
        <v>24195982855</v>
      </c>
      <c r="G1631" s="13" t="s">
        <v>57</v>
      </c>
      <c r="H1631" s="13" t="s">
        <v>3024</v>
      </c>
      <c r="I1631" s="13" t="str">
        <f aca="false">IF(C1631=J1631,"NEW KONTRAK","RE-KONTRAK")</f>
        <v>RE-KONTRAK</v>
      </c>
      <c r="J1631" s="16" t="n">
        <f aca="false" t="array" ref="J1631:J1631">IFERROR(INDEX(AC1631:AE1631,IF(COUNTA(AC1631:AE1631)=0,"",MAX((AC1631:AE1631&lt;&gt;"")*(COLUMN(AC1631:AE1631)-(COLUMN(AC1631)))))-1),"")</f>
        <v>45658</v>
      </c>
      <c r="K1631" s="16" t="n">
        <f aca="false" t="array" ref="K1631:K1631">IFERROR(INDEX(AC1631:AE1631,IF(COUNTA(AC1631:AE1631)=0,"",MAX((AC1631:AE1631&lt;&gt;"")*(COLUMN(AC1631:AE1631)-(COLUMN(AC1631)-1))))-1),"")</f>
        <v>45747</v>
      </c>
      <c r="L1631" s="17" t="str">
        <f aca="false" t="array" ref="L1631:L1631">IFERROR(INDEX(AC1631:AE1631,IF(COUNTA(AC1631:AE1631)=0,"",MAX((AC1631:AE1631&lt;&gt;"")*(COLUMN(AC1631:AE1631)-(COLUMN(AC1631)-2))))-1),"")</f>
        <v>ARCHIVED</v>
      </c>
      <c r="M1631" s="13" t="n">
        <f aca="true">K1631-TODAY()</f>
        <v>-577</v>
      </c>
      <c r="N1631" s="18" t="s">
        <v>615</v>
      </c>
      <c r="O1631" s="13" t="s">
        <v>4756</v>
      </c>
      <c r="P1631" s="19" t="n">
        <v>207044</v>
      </c>
      <c r="Q1631" s="20" t="s">
        <v>7133</v>
      </c>
      <c r="R1631" s="13" t="s">
        <v>232</v>
      </c>
      <c r="S1631" s="14" t="n">
        <v>35135</v>
      </c>
      <c r="T1631" s="13" t="s">
        <v>40</v>
      </c>
      <c r="U1631" s="13" t="s">
        <v>3322</v>
      </c>
      <c r="V1631" s="13" t="s">
        <v>42</v>
      </c>
      <c r="W1631" s="13" t="s">
        <v>43</v>
      </c>
      <c r="X1631" s="21" t="n">
        <v>85776011115</v>
      </c>
      <c r="Y1631" s="22" t="str">
        <f aca="false">O1631</f>
        <v>Reliever</v>
      </c>
      <c r="Z1631" s="13" t="str">
        <f aca="false">IFERROR(__xludf.dummyfunction("if(BJ1631="""","""",GOOGLETRANSLATE(BJ1631,""auto"",""en""))"),"Reliever")</f>
        <v>Reliever</v>
      </c>
      <c r="AA1631" s="23" t="str">
        <f aca="false">IF(C1631="","", CHOOSE(MONTH(C1631),"January","February","March","April","May","June","July","August","September","October","November","December")&amp;" "&amp;DAY(C1631)&amp;MID("thstndrdth",MIN(9,2*RIGHT(DAY(C1631))*(MOD(DAY(C1631)-11,100)&gt;2)+1),2)&amp;","&amp;TEXT(C1631," yyyy"))</f>
        <v>September 9th,2024</v>
      </c>
      <c r="AB1631" s="15" t="str">
        <f aca="true">IF(S1631="","",DATEDIF(S1631,TODAY(),"Y")&amp;" Tahun, "&amp;DATEDIF(S1631,TODAY(),"YM")&amp;" Bulan, "&amp;DATEDIF(S1631,TODAY(),"MD")&amp;" Hari")</f>
        <v>30 Tahun, 7 Bulan, 18 Hari</v>
      </c>
      <c r="AC1631" s="18" t="n">
        <v>45658</v>
      </c>
      <c r="AD1631" s="18" t="n">
        <v>45747</v>
      </c>
      <c r="AE1631" s="18" t="s">
        <v>44</v>
      </c>
    </row>
    <row r="1632" customFormat="false" ht="15" hidden="false" customHeight="true" outlineLevel="0" collapsed="false">
      <c r="A1632" s="12" t="n">
        <v>17160</v>
      </c>
      <c r="B1632" s="13" t="s">
        <v>7134</v>
      </c>
      <c r="C1632" s="14" t="n">
        <v>45544</v>
      </c>
      <c r="D1632" s="13" t="s">
        <v>4755</v>
      </c>
      <c r="E1632" s="15" t="s">
        <v>47</v>
      </c>
      <c r="F1632" s="15" t="str">
        <f aca="false">IFERROR(__xludf.dummyfunction("XLOOKUP(AJ1632,IMPORTRANGE(""1XaInW9DU9nz21V0tYIfzFQ0He9kVQ_JF2mCXgZ3hqFA"",""REKAP ALL 2026 - Andika!G:G""),IMPORTRANGE(""1XaInW9DU9nz21V0tYIfzFQ0He9kVQ_JF2mCXgZ3hqFA"",""REKAP ALL 2026 - Andika!F:F""),"""",0)"),"24195983267")</f>
        <v>24195983267</v>
      </c>
      <c r="G1632" s="13" t="s">
        <v>57</v>
      </c>
      <c r="H1632" s="13" t="s">
        <v>3024</v>
      </c>
      <c r="I1632" s="13" t="str">
        <f aca="false">IF(C1632=J1632,"NEW KONTRAK","RE-KONTRAK")</f>
        <v>RE-KONTRAK</v>
      </c>
      <c r="J1632" s="16" t="n">
        <f aca="false" t="array" ref="J1632:J1632">IFERROR(INDEX(AC1632:AE1632,IF(COUNTA(AC1632:AE1632)=0,"",MAX((AC1632:AE1632&lt;&gt;"")*(COLUMN(AC1632:AE1632)-(COLUMN(AC1632)))))-1),"")</f>
        <v>45658</v>
      </c>
      <c r="K1632" s="16" t="n">
        <f aca="false" t="array" ref="K1632:K1632">IFERROR(INDEX(AC1632:AE1632,IF(COUNTA(AC1632:AE1632)=0,"",MAX((AC1632:AE1632&lt;&gt;"")*(COLUMN(AC1632:AE1632)-(COLUMN(AC1632)-1))))-1),"")</f>
        <v>45747</v>
      </c>
      <c r="L1632" s="17" t="str">
        <f aca="false" t="array" ref="L1632:L1632">IFERROR(INDEX(AC1632:AE1632,IF(COUNTA(AC1632:AE1632)=0,"",MAX((AC1632:AE1632&lt;&gt;"")*(COLUMN(AC1632:AE1632)-(COLUMN(AC1632)-2))))-1),"")</f>
        <v>ARCHIVED</v>
      </c>
      <c r="M1632" s="13" t="n">
        <f aca="true">K1632-TODAY()</f>
        <v>-577</v>
      </c>
      <c r="N1632" s="18" t="s">
        <v>615</v>
      </c>
      <c r="O1632" s="13" t="s">
        <v>4756</v>
      </c>
      <c r="P1632" s="19" t="n">
        <v>207044</v>
      </c>
      <c r="Q1632" s="20" t="s">
        <v>7135</v>
      </c>
      <c r="R1632" s="13" t="s">
        <v>232</v>
      </c>
      <c r="S1632" s="14" t="n">
        <v>36758</v>
      </c>
      <c r="T1632" s="13" t="s">
        <v>40</v>
      </c>
      <c r="U1632" s="13" t="s">
        <v>7136</v>
      </c>
      <c r="V1632" s="13" t="s">
        <v>42</v>
      </c>
      <c r="W1632" s="13" t="s">
        <v>43</v>
      </c>
      <c r="X1632" s="21" t="n">
        <v>85815891733</v>
      </c>
      <c r="Y1632" s="22" t="str">
        <f aca="false">O1632</f>
        <v>Reliever</v>
      </c>
      <c r="Z1632" s="13" t="str">
        <f aca="false">IFERROR(__xludf.dummyfunction("if(BJ1632="""","""",GOOGLETRANSLATE(BJ1632,""auto"",""en""))"),"Reliever")</f>
        <v>Reliever</v>
      </c>
      <c r="AA1632" s="23" t="str">
        <f aca="false">IF(C1632="","", CHOOSE(MONTH(C1632),"January","February","March","April","May","June","July","August","September","October","November","December")&amp;" "&amp;DAY(C1632)&amp;MID("thstndrdth",MIN(9,2*RIGHT(DAY(C1632))*(MOD(DAY(C1632)-11,100)&gt;2)+1),2)&amp;","&amp;TEXT(C1632," yyyy"))</f>
        <v>September 9th,2024</v>
      </c>
      <c r="AB1632" s="15" t="str">
        <f aca="true">IF(S1632="","",DATEDIF(S1632,TODAY(),"Y")&amp;" Tahun, "&amp;DATEDIF(S1632,TODAY(),"YM")&amp;" Bulan, "&amp;DATEDIF(S1632,TODAY(),"MD")&amp;" Hari")</f>
        <v>26 Tahun, 2 Bulan, 9 Hari</v>
      </c>
      <c r="AC1632" s="18" t="n">
        <v>45658</v>
      </c>
      <c r="AD1632" s="18" t="n">
        <v>45747</v>
      </c>
      <c r="AE1632" s="18" t="s">
        <v>44</v>
      </c>
    </row>
    <row r="1633" customFormat="false" ht="15" hidden="false" customHeight="true" outlineLevel="0" collapsed="false">
      <c r="A1633" s="12" t="n">
        <v>17161</v>
      </c>
      <c r="B1633" s="13" t="s">
        <v>7137</v>
      </c>
      <c r="C1633" s="14" t="n">
        <v>45544</v>
      </c>
      <c r="D1633" s="13" t="s">
        <v>4755</v>
      </c>
      <c r="E1633" s="15" t="s">
        <v>47</v>
      </c>
      <c r="F1633" s="15" t="str">
        <f aca="false">IFERROR(__xludf.dummyfunction("XLOOKUP(AJ1633,IMPORTRANGE(""1XaInW9DU9nz21V0tYIfzFQ0He9kVQ_JF2mCXgZ3hqFA"",""REKAP ALL 2026 - Andika!G:G""),IMPORTRANGE(""1XaInW9DU9nz21V0tYIfzFQ0He9kVQ_JF2mCXgZ3hqFA"",""REKAP ALL 2026 - Andika!F:F""),"""",0)"),"24195982988")</f>
        <v>24195982988</v>
      </c>
      <c r="G1633" s="13" t="s">
        <v>57</v>
      </c>
      <c r="H1633" s="13" t="s">
        <v>3024</v>
      </c>
      <c r="I1633" s="13" t="str">
        <f aca="false">IF(C1633=J1633,"NEW KONTRAK","RE-KONTRAK")</f>
        <v>RE-KONTRAK</v>
      </c>
      <c r="J1633" s="16" t="n">
        <f aca="false" t="array" ref="J1633:J1633">IFERROR(INDEX(AC1633:AE1633,IF(COUNTA(AC1633:AE1633)=0,"",MAX((AC1633:AE1633&lt;&gt;"")*(COLUMN(AC1633:AE1633)-(COLUMN(AC1633)))))-1),"")</f>
        <v>45658</v>
      </c>
      <c r="K1633" s="16" t="n">
        <f aca="false" t="array" ref="K1633:K1633">IFERROR(INDEX(AC1633:AE1633,IF(COUNTA(AC1633:AE1633)=0,"",MAX((AC1633:AE1633&lt;&gt;"")*(COLUMN(AC1633:AE1633)-(COLUMN(AC1633)-1))))-1),"")</f>
        <v>45747</v>
      </c>
      <c r="L1633" s="17" t="str">
        <f aca="false" t="array" ref="L1633:L1633">IFERROR(INDEX(AC1633:AE1633,IF(COUNTA(AC1633:AE1633)=0,"",MAX((AC1633:AE1633&lt;&gt;"")*(COLUMN(AC1633:AE1633)-(COLUMN(AC1633)-2))))-1),"")</f>
        <v>ARCHIVED</v>
      </c>
      <c r="M1633" s="13" t="n">
        <f aca="true">K1633-TODAY()</f>
        <v>-577</v>
      </c>
      <c r="N1633" s="18" t="s">
        <v>615</v>
      </c>
      <c r="O1633" s="13" t="s">
        <v>4756</v>
      </c>
      <c r="P1633" s="19" t="n">
        <v>207044</v>
      </c>
      <c r="Q1633" s="20" t="s">
        <v>7138</v>
      </c>
      <c r="R1633" s="13" t="s">
        <v>232</v>
      </c>
      <c r="S1633" s="14" t="n">
        <v>35614</v>
      </c>
      <c r="T1633" s="13" t="s">
        <v>40</v>
      </c>
      <c r="U1633" s="13" t="s">
        <v>7139</v>
      </c>
      <c r="V1633" s="13" t="s">
        <v>42</v>
      </c>
      <c r="W1633" s="13" t="s">
        <v>43</v>
      </c>
      <c r="X1633" s="21" t="n">
        <v>81775190986</v>
      </c>
      <c r="Y1633" s="22" t="str">
        <f aca="false">O1633</f>
        <v>Reliever</v>
      </c>
      <c r="Z1633" s="13" t="str">
        <f aca="false">IFERROR(__xludf.dummyfunction("if(BJ1633="""","""",GOOGLETRANSLATE(BJ1633,""auto"",""en""))"),"Reliever")</f>
        <v>Reliever</v>
      </c>
      <c r="AA1633" s="23" t="str">
        <f aca="false">IF(C1633="","", CHOOSE(MONTH(C1633),"January","February","March","April","May","June","July","August","September","October","November","December")&amp;" "&amp;DAY(C1633)&amp;MID("thstndrdth",MIN(9,2*RIGHT(DAY(C1633))*(MOD(DAY(C1633)-11,100)&gt;2)+1),2)&amp;","&amp;TEXT(C1633," yyyy"))</f>
        <v>September 9th,2024</v>
      </c>
      <c r="AB1633" s="15" t="str">
        <f aca="true">IF(S1633="","",DATEDIF(S1633,TODAY(),"Y")&amp;" Tahun, "&amp;DATEDIF(S1633,TODAY(),"YM")&amp;" Bulan, "&amp;DATEDIF(S1633,TODAY(),"MD")&amp;" Hari")</f>
        <v>29 Tahun, 3 Bulan, 26 Hari</v>
      </c>
      <c r="AC1633" s="18" t="n">
        <v>45658</v>
      </c>
      <c r="AD1633" s="18" t="n">
        <v>45747</v>
      </c>
      <c r="AE1633" s="18" t="s">
        <v>44</v>
      </c>
    </row>
    <row r="1634" customFormat="false" ht="15" hidden="false" customHeight="true" outlineLevel="0" collapsed="false">
      <c r="A1634" s="12" t="n">
        <v>17162</v>
      </c>
      <c r="B1634" s="13" t="s">
        <v>7140</v>
      </c>
      <c r="C1634" s="14" t="n">
        <v>45544</v>
      </c>
      <c r="D1634" s="13" t="s">
        <v>4755</v>
      </c>
      <c r="E1634" s="15" t="s">
        <v>47</v>
      </c>
      <c r="F1634" s="15" t="str">
        <f aca="false">IFERROR(__xludf.dummyfunction("XLOOKUP(AJ1634,IMPORTRANGE(""1XaInW9DU9nz21V0tYIfzFQ0He9kVQ_JF2mCXgZ3hqFA"",""REKAP ALL 2026 - Andika!G:G""),IMPORTRANGE(""1XaInW9DU9nz21V0tYIfzFQ0He9kVQ_JF2mCXgZ3hqFA"",""REKAP ALL 2026 - Andika!F:F""),"""",0)"),"24195982723")</f>
        <v>24195982723</v>
      </c>
      <c r="G1634" s="13" t="s">
        <v>57</v>
      </c>
      <c r="H1634" s="13" t="s">
        <v>3024</v>
      </c>
      <c r="I1634" s="13" t="str">
        <f aca="false">IF(C1634=J1634,"NEW KONTRAK","RE-KONTRAK")</f>
        <v>RE-KONTRAK</v>
      </c>
      <c r="J1634" s="16" t="n">
        <f aca="false" t="array" ref="J1634:J1634">IFERROR(INDEX(AC1634:AE1634,IF(COUNTA(AC1634:AE1634)=0,"",MAX((AC1634:AE1634&lt;&gt;"")*(COLUMN(AC1634:AE1634)-(COLUMN(AC1634)))))-1),"")</f>
        <v>45658</v>
      </c>
      <c r="K1634" s="16" t="n">
        <f aca="false" t="array" ref="K1634:K1634">IFERROR(INDEX(AC1634:AE1634,IF(COUNTA(AC1634:AE1634)=0,"",MAX((AC1634:AE1634&lt;&gt;"")*(COLUMN(AC1634:AE1634)-(COLUMN(AC1634)-1))))-1),"")</f>
        <v>45747</v>
      </c>
      <c r="L1634" s="17" t="str">
        <f aca="false" t="array" ref="L1634:L1634">IFERROR(INDEX(AC1634:AE1634,IF(COUNTA(AC1634:AE1634)=0,"",MAX((AC1634:AE1634&lt;&gt;"")*(COLUMN(AC1634:AE1634)-(COLUMN(AC1634)-2))))-1),"")</f>
        <v>ARCHIVED</v>
      </c>
      <c r="M1634" s="13" t="n">
        <f aca="true">K1634-TODAY()</f>
        <v>-577</v>
      </c>
      <c r="N1634" s="18" t="s">
        <v>615</v>
      </c>
      <c r="O1634" s="13" t="s">
        <v>4756</v>
      </c>
      <c r="P1634" s="19" t="n">
        <v>207044</v>
      </c>
      <c r="Q1634" s="20" t="s">
        <v>7141</v>
      </c>
      <c r="R1634" s="13" t="s">
        <v>232</v>
      </c>
      <c r="S1634" s="14" t="n">
        <v>36996</v>
      </c>
      <c r="T1634" s="13" t="s">
        <v>40</v>
      </c>
      <c r="U1634" s="13" t="s">
        <v>7142</v>
      </c>
      <c r="V1634" s="13" t="s">
        <v>42</v>
      </c>
      <c r="W1634" s="13" t="s">
        <v>43</v>
      </c>
      <c r="X1634" s="21" t="n">
        <v>85967283784</v>
      </c>
      <c r="Y1634" s="22" t="str">
        <f aca="false">O1634</f>
        <v>Reliever</v>
      </c>
      <c r="Z1634" s="13" t="str">
        <f aca="false">IFERROR(__xludf.dummyfunction("if(BJ1634="""","""",GOOGLETRANSLATE(BJ1634,""auto"",""en""))"),"Reliever")</f>
        <v>Reliever</v>
      </c>
      <c r="AA1634" s="23" t="str">
        <f aca="false">IF(C1634="","", CHOOSE(MONTH(C1634),"January","February","March","April","May","June","July","August","September","October","November","December")&amp;" "&amp;DAY(C1634)&amp;MID("thstndrdth",MIN(9,2*RIGHT(DAY(C1634))*(MOD(DAY(C1634)-11,100)&gt;2)+1),2)&amp;","&amp;TEXT(C1634," yyyy"))</f>
        <v>September 9th,2024</v>
      </c>
      <c r="AB1634" s="15" t="str">
        <f aca="true">IF(S1634="","",DATEDIF(S1634,TODAY(),"Y")&amp;" Tahun, "&amp;DATEDIF(S1634,TODAY(),"YM")&amp;" Bulan, "&amp;DATEDIF(S1634,TODAY(),"MD")&amp;" Hari")</f>
        <v>25 Tahun, 6 Bulan, 14 Hari</v>
      </c>
      <c r="AC1634" s="18" t="n">
        <v>45658</v>
      </c>
      <c r="AD1634" s="18" t="n">
        <v>45747</v>
      </c>
      <c r="AE1634" s="18" t="s">
        <v>44</v>
      </c>
    </row>
    <row r="1635" customFormat="false" ht="15" hidden="false" customHeight="true" outlineLevel="0" collapsed="false">
      <c r="A1635" s="12" t="n">
        <v>17163</v>
      </c>
      <c r="B1635" s="13" t="s">
        <v>7143</v>
      </c>
      <c r="C1635" s="14" t="n">
        <v>45544</v>
      </c>
      <c r="D1635" s="13" t="s">
        <v>4755</v>
      </c>
      <c r="E1635" s="15" t="s">
        <v>704</v>
      </c>
      <c r="F1635" s="24" t="s">
        <v>7144</v>
      </c>
      <c r="G1635" s="13" t="s">
        <v>57</v>
      </c>
      <c r="H1635" s="13" t="s">
        <v>3024</v>
      </c>
      <c r="I1635" s="13" t="str">
        <f aca="false">IF(C1635=J1635,"NEW KONTRAK","RE-KONTRAK")</f>
        <v>RE-KONTRAK</v>
      </c>
      <c r="J1635" s="16" t="n">
        <f aca="false" t="array" ref="J1635:J1635">IFERROR(INDEX(AC1635:AE1635,IF(COUNTA(AC1635:AE1635)=0,"",MAX((AC1635:AE1635&lt;&gt;"")*(COLUMN(AC1635:AE1635)-(COLUMN(AC1635)))))-1),"")</f>
        <v>45658</v>
      </c>
      <c r="K1635" s="16" t="n">
        <f aca="false" t="array" ref="K1635:K1635">IFERROR(INDEX(AC1635:AE1635,IF(COUNTA(AC1635:AE1635)=0,"",MAX((AC1635:AE1635&lt;&gt;"")*(COLUMN(AC1635:AE1635)-(COLUMN(AC1635)-1))))-1),"")</f>
        <v>45747</v>
      </c>
      <c r="L1635" s="17" t="str">
        <f aca="false" t="array" ref="L1635:L1635">IFERROR(INDEX(AC1635:AE1635,IF(COUNTA(AC1635:AE1635)=0,"",MAX((AC1635:AE1635&lt;&gt;"")*(COLUMN(AC1635:AE1635)-(COLUMN(AC1635)-2))))-1),"")</f>
        <v>ARCHIVED</v>
      </c>
      <c r="M1635" s="13" t="n">
        <f aca="true">K1635-TODAY()</f>
        <v>-577</v>
      </c>
      <c r="N1635" s="18" t="s">
        <v>615</v>
      </c>
      <c r="O1635" s="13" t="s">
        <v>4756</v>
      </c>
      <c r="P1635" s="19" t="n">
        <f aca="false">4856026/21</f>
        <v>231239.333333333</v>
      </c>
      <c r="Q1635" s="20" t="s">
        <v>7145</v>
      </c>
      <c r="R1635" s="13" t="s">
        <v>232</v>
      </c>
      <c r="S1635" s="14" t="n">
        <v>36753</v>
      </c>
      <c r="T1635" s="13" t="s">
        <v>40</v>
      </c>
      <c r="U1635" s="13" t="s">
        <v>7146</v>
      </c>
      <c r="V1635" s="13" t="s">
        <v>42</v>
      </c>
      <c r="W1635" s="13" t="s">
        <v>43</v>
      </c>
      <c r="X1635" s="21" t="n">
        <v>85707029875</v>
      </c>
      <c r="Y1635" s="22" t="str">
        <f aca="false">O1635</f>
        <v>Reliever</v>
      </c>
      <c r="Z1635" s="13" t="str">
        <f aca="false">IFERROR(__xludf.dummyfunction("if(BJ1635="""","""",GOOGLETRANSLATE(BJ1635,""auto"",""en""))"),"Reliever")</f>
        <v>Reliever</v>
      </c>
      <c r="AA1635" s="23" t="str">
        <f aca="false">IF(C1635="","", CHOOSE(MONTH(C1635),"January","February","March","April","May","June","July","August","September","October","November","December")&amp;" "&amp;DAY(C1635)&amp;MID("thstndrdth",MIN(9,2*RIGHT(DAY(C1635))*(MOD(DAY(C1635)-11,100)&gt;2)+1),2)&amp;","&amp;TEXT(C1635," yyyy"))</f>
        <v>September 9th,2024</v>
      </c>
      <c r="AB1635" s="15" t="str">
        <f aca="true">IF(S1635="","",DATEDIF(S1635,TODAY(),"Y")&amp;" Tahun, "&amp;DATEDIF(S1635,TODAY(),"YM")&amp;" Bulan, "&amp;DATEDIF(S1635,TODAY(),"MD")&amp;" Hari")</f>
        <v>26 Tahun, 2 Bulan, 14 Hari</v>
      </c>
      <c r="AC1635" s="18" t="n">
        <v>45658</v>
      </c>
      <c r="AD1635" s="18" t="n">
        <v>45747</v>
      </c>
      <c r="AE1635" s="18" t="s">
        <v>44</v>
      </c>
    </row>
    <row r="1636" customFormat="false" ht="15" hidden="false" customHeight="true" outlineLevel="0" collapsed="false">
      <c r="A1636" s="12" t="n">
        <v>17165</v>
      </c>
      <c r="B1636" s="13" t="s">
        <v>7147</v>
      </c>
      <c r="C1636" s="14" t="n">
        <v>45544</v>
      </c>
      <c r="D1636" s="13" t="s">
        <v>4755</v>
      </c>
      <c r="E1636" s="15" t="s">
        <v>47</v>
      </c>
      <c r="F1636" s="15" t="str">
        <f aca="false">IFERROR(__xludf.dummyfunction("XLOOKUP(AJ1636,IMPORTRANGE(""1XaInW9DU9nz21V0tYIfzFQ0He9kVQ_JF2mCXgZ3hqFA"",""REKAP ALL 2026 - Andika!G:G""),IMPORTRANGE(""1XaInW9DU9nz21V0tYIfzFQ0He9kVQ_JF2mCXgZ3hqFA"",""REKAP ALL 2026 - Andika!F:F""),"""",0)"),"24195982673")</f>
        <v>24195982673</v>
      </c>
      <c r="G1636" s="13" t="s">
        <v>57</v>
      </c>
      <c r="H1636" s="13" t="s">
        <v>3024</v>
      </c>
      <c r="I1636" s="13" t="str">
        <f aca="false">IF(C1636=J1636,"NEW KONTRAK","RE-KONTRAK")</f>
        <v>RE-KONTRAK</v>
      </c>
      <c r="J1636" s="16" t="n">
        <f aca="false" t="array" ref="J1636:J1636">IFERROR(INDEX(AC1636:AE1636,IF(COUNTA(AC1636:AE1636)=0,"",MAX((AC1636:AE1636&lt;&gt;"")*(COLUMN(AC1636:AE1636)-(COLUMN(AC1636)))))-1),"")</f>
        <v>45658</v>
      </c>
      <c r="K1636" s="16" t="n">
        <f aca="false" t="array" ref="K1636:K1636">IFERROR(INDEX(AC1636:AE1636,IF(COUNTA(AC1636:AE1636)=0,"",MAX((AC1636:AE1636&lt;&gt;"")*(COLUMN(AC1636:AE1636)-(COLUMN(AC1636)-1))))-1),"")</f>
        <v>45747</v>
      </c>
      <c r="L1636" s="17" t="str">
        <f aca="false" t="array" ref="L1636:L1636">IFERROR(INDEX(AC1636:AE1636,IF(COUNTA(AC1636:AE1636)=0,"",MAX((AC1636:AE1636&lt;&gt;"")*(COLUMN(AC1636:AE1636)-(COLUMN(AC1636)-2))))-1),"")</f>
        <v>ARCHIVED</v>
      </c>
      <c r="M1636" s="13" t="n">
        <f aca="true">K1636-TODAY()</f>
        <v>-577</v>
      </c>
      <c r="N1636" s="18" t="s">
        <v>615</v>
      </c>
      <c r="O1636" s="13" t="s">
        <v>4756</v>
      </c>
      <c r="P1636" s="19" t="n">
        <v>207044</v>
      </c>
      <c r="Q1636" s="20" t="s">
        <v>7148</v>
      </c>
      <c r="R1636" s="13" t="s">
        <v>232</v>
      </c>
      <c r="S1636" s="14" t="n">
        <v>38476</v>
      </c>
      <c r="T1636" s="13" t="s">
        <v>40</v>
      </c>
      <c r="U1636" s="13" t="s">
        <v>7149</v>
      </c>
      <c r="V1636" s="13" t="s">
        <v>42</v>
      </c>
      <c r="W1636" s="13" t="s">
        <v>43</v>
      </c>
      <c r="X1636" s="21" t="n">
        <v>85707659809</v>
      </c>
      <c r="Y1636" s="22" t="str">
        <f aca="false">O1636</f>
        <v>Reliever</v>
      </c>
      <c r="Z1636" s="13" t="str">
        <f aca="false">IFERROR(__xludf.dummyfunction("if(BJ1636="""","""",GOOGLETRANSLATE(BJ1636,""auto"",""en""))"),"Reliever")</f>
        <v>Reliever</v>
      </c>
      <c r="AA1636" s="23" t="str">
        <f aca="false">IF(C1636="","", CHOOSE(MONTH(C1636),"January","February","March","April","May","June","July","August","September","October","November","December")&amp;" "&amp;DAY(C1636)&amp;MID("thstndrdth",MIN(9,2*RIGHT(DAY(C1636))*(MOD(DAY(C1636)-11,100)&gt;2)+1),2)&amp;","&amp;TEXT(C1636," yyyy"))</f>
        <v>September 9th,2024</v>
      </c>
      <c r="AB1636" s="15" t="str">
        <f aca="true">IF(S1636="","",DATEDIF(S1636,TODAY(),"Y")&amp;" Tahun, "&amp;DATEDIF(S1636,TODAY(),"YM")&amp;" Bulan, "&amp;DATEDIF(S1636,TODAY(),"MD")&amp;" Hari")</f>
        <v>21 Tahun, 5 Bulan, 25 Hari</v>
      </c>
      <c r="AC1636" s="18" t="n">
        <v>45658</v>
      </c>
      <c r="AD1636" s="18" t="n">
        <v>45747</v>
      </c>
      <c r="AE1636" s="18" t="s">
        <v>44</v>
      </c>
    </row>
    <row r="1637" customFormat="false" ht="15" hidden="false" customHeight="true" outlineLevel="0" collapsed="false">
      <c r="A1637" s="12" t="n">
        <v>17166</v>
      </c>
      <c r="B1637" s="13" t="s">
        <v>7150</v>
      </c>
      <c r="C1637" s="14" t="n">
        <v>45544</v>
      </c>
      <c r="D1637" s="13" t="s">
        <v>4755</v>
      </c>
      <c r="E1637" s="15" t="s">
        <v>47</v>
      </c>
      <c r="F1637" s="15" t="str">
        <f aca="false">IFERROR(__xludf.dummyfunction("XLOOKUP(AJ1637,IMPORTRANGE(""1XaInW9DU9nz21V0tYIfzFQ0He9kVQ_JF2mCXgZ3hqFA"",""REKAP ALL 2026 - Andika!G:G""),IMPORTRANGE(""1XaInW9DU9nz21V0tYIfzFQ0He9kVQ_JF2mCXgZ3hqFA"",""REKAP ALL 2026 - Andika!F:F""),"""",0)"),"24195982905")</f>
        <v>24195982905</v>
      </c>
      <c r="G1637" s="13" t="s">
        <v>57</v>
      </c>
      <c r="H1637" s="13" t="s">
        <v>3024</v>
      </c>
      <c r="I1637" s="13" t="str">
        <f aca="false">IF(C1637=J1637,"NEW KONTRAK","RE-KONTRAK")</f>
        <v>RE-KONTRAK</v>
      </c>
      <c r="J1637" s="16" t="n">
        <f aca="false" t="array" ref="J1637:J1637">IFERROR(INDEX(AC1637:AE1637,IF(COUNTA(AC1637:AE1637)=0,"",MAX((AC1637:AE1637&lt;&gt;"")*(COLUMN(AC1637:AE1637)-(COLUMN(AC1637)))))-1),"")</f>
        <v>45658</v>
      </c>
      <c r="K1637" s="16" t="n">
        <f aca="false" t="array" ref="K1637:K1637">IFERROR(INDEX(AC1637:AE1637,IF(COUNTA(AC1637:AE1637)=0,"",MAX((AC1637:AE1637&lt;&gt;"")*(COLUMN(AC1637:AE1637)-(COLUMN(AC1637)-1))))-1),"")</f>
        <v>45747</v>
      </c>
      <c r="L1637" s="17" t="str">
        <f aca="false" t="array" ref="L1637:L1637">IFERROR(INDEX(AC1637:AE1637,IF(COUNTA(AC1637:AE1637)=0,"",MAX((AC1637:AE1637&lt;&gt;"")*(COLUMN(AC1637:AE1637)-(COLUMN(AC1637)-2))))-1),"")</f>
        <v>ARCHIVED</v>
      </c>
      <c r="M1637" s="13" t="n">
        <f aca="true">K1637-TODAY()</f>
        <v>-577</v>
      </c>
      <c r="N1637" s="18" t="s">
        <v>615</v>
      </c>
      <c r="O1637" s="13" t="s">
        <v>4756</v>
      </c>
      <c r="P1637" s="19" t="n">
        <v>207044</v>
      </c>
      <c r="Q1637" s="20" t="s">
        <v>7151</v>
      </c>
      <c r="R1637" s="13" t="s">
        <v>232</v>
      </c>
      <c r="S1637" s="14" t="n">
        <v>36092</v>
      </c>
      <c r="T1637" s="13" t="s">
        <v>40</v>
      </c>
      <c r="U1637" s="13" t="s">
        <v>7152</v>
      </c>
      <c r="V1637" s="13" t="s">
        <v>42</v>
      </c>
      <c r="W1637" s="13" t="s">
        <v>43</v>
      </c>
      <c r="X1637" s="21" t="n">
        <v>85846123028</v>
      </c>
      <c r="Y1637" s="22" t="str">
        <f aca="false">O1637</f>
        <v>Reliever</v>
      </c>
      <c r="Z1637" s="13" t="str">
        <f aca="false">IFERROR(__xludf.dummyfunction("if(BJ1637="""","""",GOOGLETRANSLATE(BJ1637,""auto"",""en""))"),"Reliever")</f>
        <v>Reliever</v>
      </c>
      <c r="AA1637" s="23" t="str">
        <f aca="false">IF(C1637="","", CHOOSE(MONTH(C1637),"January","February","March","April","May","June","July","August","September","October","November","December")&amp;" "&amp;DAY(C1637)&amp;MID("thstndrdth",MIN(9,2*RIGHT(DAY(C1637))*(MOD(DAY(C1637)-11,100)&gt;2)+1),2)&amp;","&amp;TEXT(C1637," yyyy"))</f>
        <v>September 9th,2024</v>
      </c>
      <c r="AB1637" s="15" t="str">
        <f aca="true">IF(S1637="","",DATEDIF(S1637,TODAY(),"Y")&amp;" Tahun, "&amp;DATEDIF(S1637,TODAY(),"YM")&amp;" Bulan, "&amp;DATEDIF(S1637,TODAY(),"MD")&amp;" Hari")</f>
        <v>28 Tahun, 0 Bulan, 5 Hari</v>
      </c>
      <c r="AC1637" s="18" t="n">
        <v>45658</v>
      </c>
      <c r="AD1637" s="18" t="n">
        <v>45747</v>
      </c>
      <c r="AE1637" s="18" t="s">
        <v>44</v>
      </c>
    </row>
    <row r="1638" customFormat="false" ht="15" hidden="false" customHeight="true" outlineLevel="0" collapsed="false">
      <c r="A1638" s="12" t="n">
        <v>17167</v>
      </c>
      <c r="B1638" s="13" t="s">
        <v>7153</v>
      </c>
      <c r="C1638" s="14" t="n">
        <v>45544</v>
      </c>
      <c r="D1638" s="13" t="s">
        <v>4755</v>
      </c>
      <c r="E1638" s="15" t="s">
        <v>47</v>
      </c>
      <c r="F1638" s="15" t="str">
        <f aca="false">IFERROR(__xludf.dummyfunction("XLOOKUP(AJ1638,IMPORTRANGE(""1XaInW9DU9nz21V0tYIfzFQ0He9kVQ_JF2mCXgZ3hqFA"",""REKAP ALL 2026 - Andika!G:G""),IMPORTRANGE(""1XaInW9DU9nz21V0tYIfzFQ0He9kVQ_JF2mCXgZ3hqFA"",""REKAP ALL 2026 - Andika!F:F""),"""",0)"),"26035116123")</f>
        <v>26035116123</v>
      </c>
      <c r="G1638" s="13" t="s">
        <v>57</v>
      </c>
      <c r="H1638" s="13" t="s">
        <v>3024</v>
      </c>
      <c r="I1638" s="13" t="str">
        <f aca="false">IF(C1638=J1638,"NEW KONTRAK","RE-KONTRAK")</f>
        <v>RE-KONTRAK</v>
      </c>
      <c r="J1638" s="16" t="n">
        <f aca="false" t="array" ref="J1638:J1638">IFERROR(INDEX(AC1638:AE1638,IF(COUNTA(AC1638:AE1638)=0,"",MAX((AC1638:AE1638&lt;&gt;"")*(COLUMN(AC1638:AE1638)-(COLUMN(AC1638)))))-1),"")</f>
        <v>45658</v>
      </c>
      <c r="K1638" s="16" t="n">
        <f aca="false" t="array" ref="K1638:K1638">IFERROR(INDEX(AC1638:AE1638,IF(COUNTA(AC1638:AE1638)=0,"",MAX((AC1638:AE1638&lt;&gt;"")*(COLUMN(AC1638:AE1638)-(COLUMN(AC1638)-1))))-1),"")</f>
        <v>45747</v>
      </c>
      <c r="L1638" s="17" t="str">
        <f aca="false" t="array" ref="L1638:L1638">IFERROR(INDEX(AC1638:AE1638,IF(COUNTA(AC1638:AE1638)=0,"",MAX((AC1638:AE1638&lt;&gt;"")*(COLUMN(AC1638:AE1638)-(COLUMN(AC1638)-2))))-1),"")</f>
        <v>ARCHIVED</v>
      </c>
      <c r="M1638" s="13" t="n">
        <f aca="true">K1638-TODAY()</f>
        <v>-577</v>
      </c>
      <c r="N1638" s="18" t="s">
        <v>615</v>
      </c>
      <c r="O1638" s="13" t="s">
        <v>4756</v>
      </c>
      <c r="P1638" s="19" t="n">
        <v>207044</v>
      </c>
      <c r="Q1638" s="20" t="s">
        <v>7154</v>
      </c>
      <c r="R1638" s="13" t="s">
        <v>232</v>
      </c>
      <c r="S1638" s="14" t="n">
        <v>38673</v>
      </c>
      <c r="T1638" s="13" t="s">
        <v>40</v>
      </c>
      <c r="U1638" s="13" t="s">
        <v>7155</v>
      </c>
      <c r="V1638" s="13" t="s">
        <v>42</v>
      </c>
      <c r="W1638" s="13" t="s">
        <v>43</v>
      </c>
      <c r="X1638" s="21" t="n">
        <v>85604525017</v>
      </c>
      <c r="Y1638" s="22" t="str">
        <f aca="false">O1638</f>
        <v>Reliever</v>
      </c>
      <c r="Z1638" s="13" t="str">
        <f aca="false">IFERROR(__xludf.dummyfunction("if(BJ1638="""","""",GOOGLETRANSLATE(BJ1638,""auto"",""en""))"),"Reliever")</f>
        <v>Reliever</v>
      </c>
      <c r="AA1638" s="23" t="str">
        <f aca="false">IF(C1638="","", CHOOSE(MONTH(C1638),"January","February","March","April","May","June","July","August","September","October","November","December")&amp;" "&amp;DAY(C1638)&amp;MID("thstndrdth",MIN(9,2*RIGHT(DAY(C1638))*(MOD(DAY(C1638)-11,100)&gt;2)+1),2)&amp;","&amp;TEXT(C1638," yyyy"))</f>
        <v>September 9th,2024</v>
      </c>
      <c r="AB1638" s="15" t="str">
        <f aca="true">IF(S1638="","",DATEDIF(S1638,TODAY(),"Y")&amp;" Tahun, "&amp;DATEDIF(S1638,TODAY(),"YM")&amp;" Bulan, "&amp;DATEDIF(S1638,TODAY(),"MD")&amp;" Hari")</f>
        <v>20 Tahun, 11 Bulan, 12 Hari</v>
      </c>
      <c r="AC1638" s="18" t="n">
        <v>45658</v>
      </c>
      <c r="AD1638" s="18" t="n">
        <v>45747</v>
      </c>
      <c r="AE1638" s="18" t="s">
        <v>44</v>
      </c>
    </row>
    <row r="1639" customFormat="false" ht="15" hidden="false" customHeight="true" outlineLevel="0" collapsed="false">
      <c r="A1639" s="12" t="n">
        <v>17169</v>
      </c>
      <c r="B1639" s="13" t="s">
        <v>7156</v>
      </c>
      <c r="C1639" s="14" t="n">
        <v>45544</v>
      </c>
      <c r="D1639" s="13" t="s">
        <v>4755</v>
      </c>
      <c r="E1639" s="15" t="s">
        <v>47</v>
      </c>
      <c r="F1639" s="15" t="str">
        <f aca="false">IFERROR(__xludf.dummyfunction("XLOOKUP(AJ1639,IMPORTRANGE(""1XaInW9DU9nz21V0tYIfzFQ0He9kVQ_JF2mCXgZ3hqFA"",""REKAP ALL 2026 - Andika!G:G""),IMPORTRANGE(""1XaInW9DU9nz21V0tYIfzFQ0He9kVQ_JF2mCXgZ3hqFA"",""REKAP ALL 2026 - Andika!F:F""),"""",0)"),"24195982962")</f>
        <v>24195982962</v>
      </c>
      <c r="G1639" s="13" t="s">
        <v>57</v>
      </c>
      <c r="H1639" s="13" t="s">
        <v>3024</v>
      </c>
      <c r="I1639" s="13" t="str">
        <f aca="false">IF(C1639=J1639,"NEW KONTRAK","RE-KONTRAK")</f>
        <v>RE-KONTRAK</v>
      </c>
      <c r="J1639" s="16" t="n">
        <f aca="false" t="array" ref="J1639:J1639">IFERROR(INDEX(AC1639:AE1639,IF(COUNTA(AC1639:AE1639)=0,"",MAX((AC1639:AE1639&lt;&gt;"")*(COLUMN(AC1639:AE1639)-(COLUMN(AC1639)))))-1),"")</f>
        <v>45658</v>
      </c>
      <c r="K1639" s="16" t="n">
        <f aca="false" t="array" ref="K1639:K1639">IFERROR(INDEX(AC1639:AE1639,IF(COUNTA(AC1639:AE1639)=0,"",MAX((AC1639:AE1639&lt;&gt;"")*(COLUMN(AC1639:AE1639)-(COLUMN(AC1639)-1))))-1),"")</f>
        <v>45747</v>
      </c>
      <c r="L1639" s="17" t="str">
        <f aca="false" t="array" ref="L1639:L1639">IFERROR(INDEX(AC1639:AE1639,IF(COUNTA(AC1639:AE1639)=0,"",MAX((AC1639:AE1639&lt;&gt;"")*(COLUMN(AC1639:AE1639)-(COLUMN(AC1639)-2))))-1),"")</f>
        <v>ARCHIVED</v>
      </c>
      <c r="M1639" s="13" t="n">
        <f aca="true">K1639-TODAY()</f>
        <v>-577</v>
      </c>
      <c r="N1639" s="18" t="s">
        <v>615</v>
      </c>
      <c r="O1639" s="13" t="s">
        <v>4756</v>
      </c>
      <c r="P1639" s="19" t="n">
        <v>207044</v>
      </c>
      <c r="Q1639" s="20" t="s">
        <v>7157</v>
      </c>
      <c r="R1639" s="13" t="s">
        <v>260</v>
      </c>
      <c r="S1639" s="14" t="n">
        <v>36934</v>
      </c>
      <c r="T1639" s="13" t="s">
        <v>40</v>
      </c>
      <c r="U1639" s="13" t="s">
        <v>7158</v>
      </c>
      <c r="V1639" s="13" t="s">
        <v>42</v>
      </c>
      <c r="W1639" s="13" t="s">
        <v>43</v>
      </c>
      <c r="X1639" s="21" t="n">
        <v>85649107401</v>
      </c>
      <c r="Y1639" s="22" t="str">
        <f aca="false">O1639</f>
        <v>Reliever</v>
      </c>
      <c r="Z1639" s="13" t="str">
        <f aca="false">IFERROR(__xludf.dummyfunction("if(BJ1639="""","""",GOOGLETRANSLATE(BJ1639,""auto"",""en""))"),"Reliever")</f>
        <v>Reliever</v>
      </c>
      <c r="AA1639" s="23" t="str">
        <f aca="false">IF(C1639="","", CHOOSE(MONTH(C1639),"January","February","March","April","May","June","July","August","September","October","November","December")&amp;" "&amp;DAY(C1639)&amp;MID("thstndrdth",MIN(9,2*RIGHT(DAY(C1639))*(MOD(DAY(C1639)-11,100)&gt;2)+1),2)&amp;","&amp;TEXT(C1639," yyyy"))</f>
        <v>September 9th,2024</v>
      </c>
      <c r="AB1639" s="15" t="str">
        <f aca="true">IF(S1639="","",DATEDIF(S1639,TODAY(),"Y")&amp;" Tahun, "&amp;DATEDIF(S1639,TODAY(),"YM")&amp;" Bulan, "&amp;DATEDIF(S1639,TODAY(),"MD")&amp;" Hari")</f>
        <v>25 Tahun, 8 Bulan, 17 Hari</v>
      </c>
      <c r="AC1639" s="18" t="n">
        <v>45658</v>
      </c>
      <c r="AD1639" s="18" t="n">
        <v>45747</v>
      </c>
      <c r="AE1639" s="18" t="s">
        <v>44</v>
      </c>
    </row>
    <row r="1640" customFormat="false" ht="15" hidden="false" customHeight="true" outlineLevel="0" collapsed="false">
      <c r="A1640" s="12" t="n">
        <v>17170</v>
      </c>
      <c r="B1640" s="13" t="s">
        <v>7159</v>
      </c>
      <c r="C1640" s="14" t="n">
        <v>45544</v>
      </c>
      <c r="D1640" s="13" t="s">
        <v>4755</v>
      </c>
      <c r="E1640" s="15" t="s">
        <v>47</v>
      </c>
      <c r="F1640" s="15" t="str">
        <f aca="false">IFERROR(__xludf.dummyfunction("XLOOKUP(AJ1640,IMPORTRANGE(""1XaInW9DU9nz21V0tYIfzFQ0He9kVQ_JF2mCXgZ3hqFA"",""REKAP ALL 2026 - Andika!G:G""),IMPORTRANGE(""1XaInW9DU9nz21V0tYIfzFQ0He9kVQ_JF2mCXgZ3hqFA"",""REKAP ALL 2026 - Andika!F:F""),"""",0)"),"24195982954")</f>
        <v>24195982954</v>
      </c>
      <c r="G1640" s="13" t="s">
        <v>57</v>
      </c>
      <c r="H1640" s="13" t="s">
        <v>3024</v>
      </c>
      <c r="I1640" s="13" t="str">
        <f aca="false">IF(C1640=J1640,"NEW KONTRAK","RE-KONTRAK")</f>
        <v>RE-KONTRAK</v>
      </c>
      <c r="J1640" s="16" t="n">
        <f aca="false" t="array" ref="J1640:J1640">IFERROR(INDEX(AC1640:AE1640,IF(COUNTA(AC1640:AE1640)=0,"",MAX((AC1640:AE1640&lt;&gt;"")*(COLUMN(AC1640:AE1640)-(COLUMN(AC1640)))))-1),"")</f>
        <v>45658</v>
      </c>
      <c r="K1640" s="16" t="n">
        <f aca="false" t="array" ref="K1640:K1640">IFERROR(INDEX(AC1640:AE1640,IF(COUNTA(AC1640:AE1640)=0,"",MAX((AC1640:AE1640&lt;&gt;"")*(COLUMN(AC1640:AE1640)-(COLUMN(AC1640)-1))))-1),"")</f>
        <v>45747</v>
      </c>
      <c r="L1640" s="17" t="str">
        <f aca="false" t="array" ref="L1640:L1640">IFERROR(INDEX(AC1640:AE1640,IF(COUNTA(AC1640:AE1640)=0,"",MAX((AC1640:AE1640&lt;&gt;"")*(COLUMN(AC1640:AE1640)-(COLUMN(AC1640)-2))))-1),"")</f>
        <v>ARCHIVED</v>
      </c>
      <c r="M1640" s="13" t="n">
        <f aca="true">K1640-TODAY()</f>
        <v>-577</v>
      </c>
      <c r="N1640" s="18" t="s">
        <v>615</v>
      </c>
      <c r="O1640" s="13" t="s">
        <v>4756</v>
      </c>
      <c r="P1640" s="19" t="n">
        <v>207044</v>
      </c>
      <c r="Q1640" s="20" t="s">
        <v>7160</v>
      </c>
      <c r="R1640" s="13" t="s">
        <v>232</v>
      </c>
      <c r="S1640" s="14" t="n">
        <v>38883</v>
      </c>
      <c r="T1640" s="13" t="s">
        <v>40</v>
      </c>
      <c r="U1640" s="13" t="s">
        <v>7161</v>
      </c>
      <c r="V1640" s="13" t="s">
        <v>42</v>
      </c>
      <c r="W1640" s="13" t="s">
        <v>43</v>
      </c>
      <c r="X1640" s="21" t="n">
        <v>87862374037</v>
      </c>
      <c r="Y1640" s="22" t="str">
        <f aca="false">O1640</f>
        <v>Reliever</v>
      </c>
      <c r="Z1640" s="13" t="str">
        <f aca="false">IFERROR(__xludf.dummyfunction("if(BJ1640="""","""",GOOGLETRANSLATE(BJ1640,""auto"",""en""))"),"Reliever")</f>
        <v>Reliever</v>
      </c>
      <c r="AA1640" s="23" t="str">
        <f aca="false">IF(C1640="","", CHOOSE(MONTH(C1640),"January","February","March","April","May","June","July","August","September","October","November","December")&amp;" "&amp;DAY(C1640)&amp;MID("thstndrdth",MIN(9,2*RIGHT(DAY(C1640))*(MOD(DAY(C1640)-11,100)&gt;2)+1),2)&amp;","&amp;TEXT(C1640," yyyy"))</f>
        <v>September 9th,2024</v>
      </c>
      <c r="AB1640" s="15" t="str">
        <f aca="true">IF(S1640="","",DATEDIF(S1640,TODAY(),"Y")&amp;" Tahun, "&amp;DATEDIF(S1640,TODAY(),"YM")&amp;" Bulan, "&amp;DATEDIF(S1640,TODAY(),"MD")&amp;" Hari")</f>
        <v>20 Tahun, 4 Bulan, 14 Hari</v>
      </c>
      <c r="AC1640" s="18" t="n">
        <v>45658</v>
      </c>
      <c r="AD1640" s="18" t="n">
        <v>45747</v>
      </c>
      <c r="AE1640" s="18" t="s">
        <v>44</v>
      </c>
    </row>
    <row r="1641" customFormat="false" ht="15" hidden="false" customHeight="true" outlineLevel="0" collapsed="false">
      <c r="A1641" s="12" t="n">
        <v>17172</v>
      </c>
      <c r="B1641" s="13" t="s">
        <v>7162</v>
      </c>
      <c r="C1641" s="14" t="n">
        <v>45544</v>
      </c>
      <c r="D1641" s="13" t="s">
        <v>4755</v>
      </c>
      <c r="E1641" s="15" t="s">
        <v>47</v>
      </c>
      <c r="F1641" s="15" t="str">
        <f aca="false">IFERROR(__xludf.dummyfunction("XLOOKUP(AJ1641,IMPORTRANGE(""1XaInW9DU9nz21V0tYIfzFQ0He9kVQ_JF2mCXgZ3hqFA"",""REKAP ALL 2026 - Andika!G:G""),IMPORTRANGE(""1XaInW9DU9nz21V0tYIfzFQ0He9kVQ_JF2mCXgZ3hqFA"",""REKAP ALL 2026 - Andika!F:F""),"""",0)"),"24195983085")</f>
        <v>24195983085</v>
      </c>
      <c r="G1641" s="13" t="s">
        <v>57</v>
      </c>
      <c r="H1641" s="13" t="s">
        <v>3024</v>
      </c>
      <c r="I1641" s="13" t="str">
        <f aca="false">IF(C1641=J1641,"NEW KONTRAK","RE-KONTRAK")</f>
        <v>RE-KONTRAK</v>
      </c>
      <c r="J1641" s="16" t="n">
        <f aca="false" t="array" ref="J1641:J1641">IFERROR(INDEX(AC1641:AE1641,IF(COUNTA(AC1641:AE1641)=0,"",MAX((AC1641:AE1641&lt;&gt;"")*(COLUMN(AC1641:AE1641)-(COLUMN(AC1641)))))-1),"")</f>
        <v>45658</v>
      </c>
      <c r="K1641" s="16" t="n">
        <f aca="false" t="array" ref="K1641:K1641">IFERROR(INDEX(AC1641:AE1641,IF(COUNTA(AC1641:AE1641)=0,"",MAX((AC1641:AE1641&lt;&gt;"")*(COLUMN(AC1641:AE1641)-(COLUMN(AC1641)-1))))-1),"")</f>
        <v>45747</v>
      </c>
      <c r="L1641" s="17" t="str">
        <f aca="false" t="array" ref="L1641:L1641">IFERROR(INDEX(AC1641:AE1641,IF(COUNTA(AC1641:AE1641)=0,"",MAX((AC1641:AE1641&lt;&gt;"")*(COLUMN(AC1641:AE1641)-(COLUMN(AC1641)-2))))-1),"")</f>
        <v>ARCHIVED</v>
      </c>
      <c r="M1641" s="13" t="n">
        <f aca="true">K1641-TODAY()</f>
        <v>-577</v>
      </c>
      <c r="N1641" s="18" t="s">
        <v>615</v>
      </c>
      <c r="O1641" s="13" t="s">
        <v>4756</v>
      </c>
      <c r="P1641" s="19" t="n">
        <v>207044</v>
      </c>
      <c r="Q1641" s="20" t="s">
        <v>7163</v>
      </c>
      <c r="R1641" s="13" t="s">
        <v>232</v>
      </c>
      <c r="S1641" s="14" t="n">
        <v>37209</v>
      </c>
      <c r="T1641" s="13" t="s">
        <v>40</v>
      </c>
      <c r="U1641" s="13" t="s">
        <v>7164</v>
      </c>
      <c r="V1641" s="13" t="s">
        <v>42</v>
      </c>
      <c r="W1641" s="13" t="s">
        <v>43</v>
      </c>
      <c r="X1641" s="21" t="n">
        <v>85745342296</v>
      </c>
      <c r="Y1641" s="22" t="str">
        <f aca="false">O1641</f>
        <v>Reliever</v>
      </c>
      <c r="Z1641" s="13" t="str">
        <f aca="false">IFERROR(__xludf.dummyfunction("if(BJ1641="""","""",GOOGLETRANSLATE(BJ1641,""auto"",""en""))"),"Reliever")</f>
        <v>Reliever</v>
      </c>
      <c r="AA1641" s="23" t="str">
        <f aca="false">IF(C1641="","", CHOOSE(MONTH(C1641),"January","February","March","April","May","June","July","August","September","October","November","December")&amp;" "&amp;DAY(C1641)&amp;MID("thstndrdth",MIN(9,2*RIGHT(DAY(C1641))*(MOD(DAY(C1641)-11,100)&gt;2)+1),2)&amp;","&amp;TEXT(C1641," yyyy"))</f>
        <v>September 9th,2024</v>
      </c>
      <c r="AB1641" s="15" t="str">
        <f aca="true">IF(S1641="","",DATEDIF(S1641,TODAY(),"Y")&amp;" Tahun, "&amp;DATEDIF(S1641,TODAY(),"YM")&amp;" Bulan, "&amp;DATEDIF(S1641,TODAY(),"MD")&amp;" Hari")</f>
        <v>24 Tahun, 11 Bulan, 15 Hari</v>
      </c>
      <c r="AC1641" s="18" t="n">
        <v>45658</v>
      </c>
      <c r="AD1641" s="18" t="n">
        <v>45747</v>
      </c>
      <c r="AE1641" s="18" t="s">
        <v>44</v>
      </c>
    </row>
    <row r="1642" customFormat="false" ht="15" hidden="false" customHeight="true" outlineLevel="0" collapsed="false">
      <c r="A1642" s="12" t="n">
        <v>17173</v>
      </c>
      <c r="B1642" s="13" t="s">
        <v>7165</v>
      </c>
      <c r="C1642" s="14" t="n">
        <v>45544</v>
      </c>
      <c r="D1642" s="13" t="s">
        <v>4755</v>
      </c>
      <c r="E1642" s="15" t="s">
        <v>47</v>
      </c>
      <c r="F1642" s="15" t="str">
        <f aca="false">IFERROR(__xludf.dummyfunction("XLOOKUP(AJ1642,IMPORTRANGE(""1XaInW9DU9nz21V0tYIfzFQ0He9kVQ_JF2mCXgZ3hqFA"",""REKAP ALL 2026 - Andika!G:G""),IMPORTRANGE(""1XaInW9DU9nz21V0tYIfzFQ0He9kVQ_JF2mCXgZ3hqFA"",""REKAP ALL 2026 - Andika!F:F""),"""",0)"),"24195982632")</f>
        <v>24195982632</v>
      </c>
      <c r="G1642" s="13" t="s">
        <v>57</v>
      </c>
      <c r="H1642" s="13" t="s">
        <v>3024</v>
      </c>
      <c r="I1642" s="13" t="str">
        <f aca="false">IF(C1642=J1642,"NEW KONTRAK","RE-KONTRAK")</f>
        <v>RE-KONTRAK</v>
      </c>
      <c r="J1642" s="16" t="n">
        <f aca="false" t="array" ref="J1642:J1642">IFERROR(INDEX(AC1642:AE1642,IF(COUNTA(AC1642:AE1642)=0,"",MAX((AC1642:AE1642&lt;&gt;"")*(COLUMN(AC1642:AE1642)-(COLUMN(AC1642)))))-1),"")</f>
        <v>45658</v>
      </c>
      <c r="K1642" s="16" t="n">
        <f aca="false" t="array" ref="K1642:K1642">IFERROR(INDEX(AC1642:AE1642,IF(COUNTA(AC1642:AE1642)=0,"",MAX((AC1642:AE1642&lt;&gt;"")*(COLUMN(AC1642:AE1642)-(COLUMN(AC1642)-1))))-1),"")</f>
        <v>45747</v>
      </c>
      <c r="L1642" s="17" t="str">
        <f aca="false" t="array" ref="L1642:L1642">IFERROR(INDEX(AC1642:AE1642,IF(COUNTA(AC1642:AE1642)=0,"",MAX((AC1642:AE1642&lt;&gt;"")*(COLUMN(AC1642:AE1642)-(COLUMN(AC1642)-2))))-1),"")</f>
        <v>ARCHIVED</v>
      </c>
      <c r="M1642" s="13" t="n">
        <f aca="true">K1642-TODAY()</f>
        <v>-577</v>
      </c>
      <c r="N1642" s="18" t="s">
        <v>615</v>
      </c>
      <c r="O1642" s="13" t="s">
        <v>4756</v>
      </c>
      <c r="P1642" s="19" t="n">
        <v>207044</v>
      </c>
      <c r="Q1642" s="20" t="s">
        <v>7166</v>
      </c>
      <c r="R1642" s="13" t="s">
        <v>232</v>
      </c>
      <c r="S1642" s="14" t="n">
        <v>36011</v>
      </c>
      <c r="T1642" s="13" t="s">
        <v>40</v>
      </c>
      <c r="U1642" s="13" t="s">
        <v>7167</v>
      </c>
      <c r="V1642" s="13" t="s">
        <v>42</v>
      </c>
      <c r="W1642" s="13" t="s">
        <v>43</v>
      </c>
      <c r="X1642" s="21" t="n">
        <v>87863231983</v>
      </c>
      <c r="Y1642" s="22" t="str">
        <f aca="false">O1642</f>
        <v>Reliever</v>
      </c>
      <c r="Z1642" s="13" t="str">
        <f aca="false">IFERROR(__xludf.dummyfunction("if(BJ1642="""","""",GOOGLETRANSLATE(BJ1642,""auto"",""en""))"),"Reliever")</f>
        <v>Reliever</v>
      </c>
      <c r="AA1642" s="23" t="str">
        <f aca="false">IF(C1642="","", CHOOSE(MONTH(C1642),"January","February","March","April","May","June","July","August","September","October","November","December")&amp;" "&amp;DAY(C1642)&amp;MID("thstndrdth",MIN(9,2*RIGHT(DAY(C1642))*(MOD(DAY(C1642)-11,100)&gt;2)+1),2)&amp;","&amp;TEXT(C1642," yyyy"))</f>
        <v>September 9th,2024</v>
      </c>
      <c r="AB1642" s="15" t="str">
        <f aca="true">IF(S1642="","",DATEDIF(S1642,TODAY(),"Y")&amp;" Tahun, "&amp;DATEDIF(S1642,TODAY(),"YM")&amp;" Bulan, "&amp;DATEDIF(S1642,TODAY(),"MD")&amp;" Hari")</f>
        <v>28 Tahun, 2 Bulan, 25 Hari</v>
      </c>
      <c r="AC1642" s="18" t="n">
        <v>45658</v>
      </c>
      <c r="AD1642" s="18" t="n">
        <v>45747</v>
      </c>
      <c r="AE1642" s="18" t="s">
        <v>44</v>
      </c>
    </row>
    <row r="1643" customFormat="false" ht="15" hidden="false" customHeight="true" outlineLevel="0" collapsed="false">
      <c r="A1643" s="12" t="n">
        <v>17175</v>
      </c>
      <c r="B1643" s="13" t="s">
        <v>7168</v>
      </c>
      <c r="C1643" s="14" t="n">
        <v>45544</v>
      </c>
      <c r="D1643" s="13" t="s">
        <v>4755</v>
      </c>
      <c r="E1643" s="15" t="s">
        <v>47</v>
      </c>
      <c r="F1643" s="15" t="str">
        <f aca="false">IFERROR(__xludf.dummyfunction("XLOOKUP(AJ1643,IMPORTRANGE(""1XaInW9DU9nz21V0tYIfzFQ0He9kVQ_JF2mCXgZ3hqFA"",""REKAP ALL 2026 - Andika!G:G""),IMPORTRANGE(""1XaInW9DU9nz21V0tYIfzFQ0He9kVQ_JF2mCXgZ3hqFA"",""REKAP ALL 2026 - Andika!F:F""),"""",0)"),"24195982780")</f>
        <v>24195982780</v>
      </c>
      <c r="G1643" s="13" t="s">
        <v>57</v>
      </c>
      <c r="H1643" s="13" t="s">
        <v>3024</v>
      </c>
      <c r="I1643" s="13" t="str">
        <f aca="false">IF(C1643=J1643,"NEW KONTRAK","RE-KONTRAK")</f>
        <v>RE-KONTRAK</v>
      </c>
      <c r="J1643" s="16" t="n">
        <f aca="false" t="array" ref="J1643:J1643">IFERROR(INDEX(AC1643:AE1643,IF(COUNTA(AC1643:AE1643)=0,"",MAX((AC1643:AE1643&lt;&gt;"")*(COLUMN(AC1643:AE1643)-(COLUMN(AC1643)))))-1),"")</f>
        <v>45658</v>
      </c>
      <c r="K1643" s="16" t="n">
        <f aca="false" t="array" ref="K1643:K1643">IFERROR(INDEX(AC1643:AE1643,IF(COUNTA(AC1643:AE1643)=0,"",MAX((AC1643:AE1643&lt;&gt;"")*(COLUMN(AC1643:AE1643)-(COLUMN(AC1643)-1))))-1),"")</f>
        <v>45747</v>
      </c>
      <c r="L1643" s="17" t="str">
        <f aca="false" t="array" ref="L1643:L1643">IFERROR(INDEX(AC1643:AE1643,IF(COUNTA(AC1643:AE1643)=0,"",MAX((AC1643:AE1643&lt;&gt;"")*(COLUMN(AC1643:AE1643)-(COLUMN(AC1643)-2))))-1),"")</f>
        <v>ARCHIVED</v>
      </c>
      <c r="M1643" s="13" t="n">
        <f aca="true">K1643-TODAY()</f>
        <v>-577</v>
      </c>
      <c r="N1643" s="18" t="s">
        <v>615</v>
      </c>
      <c r="O1643" s="13" t="s">
        <v>4756</v>
      </c>
      <c r="P1643" s="19" t="n">
        <v>207044</v>
      </c>
      <c r="Q1643" s="20" t="s">
        <v>7169</v>
      </c>
      <c r="R1643" s="13" t="s">
        <v>232</v>
      </c>
      <c r="S1643" s="14" t="n">
        <v>38961</v>
      </c>
      <c r="T1643" s="13" t="s">
        <v>40</v>
      </c>
      <c r="U1643" s="13" t="s">
        <v>3823</v>
      </c>
      <c r="V1643" s="13" t="s">
        <v>42</v>
      </c>
      <c r="W1643" s="13" t="s">
        <v>43</v>
      </c>
      <c r="X1643" s="21" t="n">
        <v>85785161364</v>
      </c>
      <c r="Y1643" s="22" t="str">
        <f aca="false">O1643</f>
        <v>Reliever</v>
      </c>
      <c r="Z1643" s="13" t="str">
        <f aca="false">IFERROR(__xludf.dummyfunction("if(BJ1643="""","""",GOOGLETRANSLATE(BJ1643,""auto"",""en""))"),"Reliever")</f>
        <v>Reliever</v>
      </c>
      <c r="AA1643" s="23" t="str">
        <f aca="false">IF(C1643="","", CHOOSE(MONTH(C1643),"January","February","March","April","May","June","July","August","September","October","November","December")&amp;" "&amp;DAY(C1643)&amp;MID("thstndrdth",MIN(9,2*RIGHT(DAY(C1643))*(MOD(DAY(C1643)-11,100)&gt;2)+1),2)&amp;","&amp;TEXT(C1643," yyyy"))</f>
        <v>September 9th,2024</v>
      </c>
      <c r="AB1643" s="15" t="str">
        <f aca="true">IF(S1643="","",DATEDIF(S1643,TODAY(),"Y")&amp;" Tahun, "&amp;DATEDIF(S1643,TODAY(),"YM")&amp;" Bulan, "&amp;DATEDIF(S1643,TODAY(),"MD")&amp;" Hari")</f>
        <v>20 Tahun, 1 Bulan, 28 Hari</v>
      </c>
      <c r="AC1643" s="18" t="n">
        <v>45658</v>
      </c>
      <c r="AD1643" s="18" t="n">
        <v>45747</v>
      </c>
      <c r="AE1643" s="18" t="s">
        <v>44</v>
      </c>
    </row>
    <row r="1644" customFormat="false" ht="15" hidden="false" customHeight="true" outlineLevel="0" collapsed="false">
      <c r="A1644" s="12" t="n">
        <v>17176</v>
      </c>
      <c r="B1644" s="13" t="s">
        <v>7170</v>
      </c>
      <c r="C1644" s="14" t="n">
        <v>45544</v>
      </c>
      <c r="D1644" s="13" t="s">
        <v>4755</v>
      </c>
      <c r="E1644" s="15" t="s">
        <v>47</v>
      </c>
      <c r="F1644" s="15" t="str">
        <f aca="false">IFERROR(__xludf.dummyfunction("XLOOKUP(AJ1644,IMPORTRANGE(""1XaInW9DU9nz21V0tYIfzFQ0He9kVQ_JF2mCXgZ3hqFA"",""REKAP ALL 2026 - Andika!G:G""),IMPORTRANGE(""1XaInW9DU9nz21V0tYIfzFQ0He9kVQ_JF2mCXgZ3hqFA"",""REKAP ALL 2026 - Andika!F:F""),"""",0)"),"24195982624")</f>
        <v>24195982624</v>
      </c>
      <c r="G1644" s="13" t="s">
        <v>57</v>
      </c>
      <c r="H1644" s="13" t="s">
        <v>3024</v>
      </c>
      <c r="I1644" s="13" t="str">
        <f aca="false">IF(C1644=J1644,"NEW KONTRAK","RE-KONTRAK")</f>
        <v>RE-KONTRAK</v>
      </c>
      <c r="J1644" s="16" t="n">
        <f aca="false" t="array" ref="J1644:J1644">IFERROR(INDEX(AC1644:AE1644,IF(COUNTA(AC1644:AE1644)=0,"",MAX((AC1644:AE1644&lt;&gt;"")*(COLUMN(AC1644:AE1644)-(COLUMN(AC1644)))))-1),"")</f>
        <v>45658</v>
      </c>
      <c r="K1644" s="16" t="n">
        <f aca="false" t="array" ref="K1644:K1644">IFERROR(INDEX(AC1644:AE1644,IF(COUNTA(AC1644:AE1644)=0,"",MAX((AC1644:AE1644&lt;&gt;"")*(COLUMN(AC1644:AE1644)-(COLUMN(AC1644)-1))))-1),"")</f>
        <v>45747</v>
      </c>
      <c r="L1644" s="17" t="str">
        <f aca="false" t="array" ref="L1644:L1644">IFERROR(INDEX(AC1644:AE1644,IF(COUNTA(AC1644:AE1644)=0,"",MAX((AC1644:AE1644&lt;&gt;"")*(COLUMN(AC1644:AE1644)-(COLUMN(AC1644)-2))))-1),"")</f>
        <v>ARCHIVED</v>
      </c>
      <c r="M1644" s="13" t="n">
        <f aca="true">K1644-TODAY()</f>
        <v>-577</v>
      </c>
      <c r="N1644" s="18" t="s">
        <v>615</v>
      </c>
      <c r="O1644" s="13" t="s">
        <v>4756</v>
      </c>
      <c r="P1644" s="19" t="n">
        <v>207044</v>
      </c>
      <c r="Q1644" s="20" t="s">
        <v>7171</v>
      </c>
      <c r="R1644" s="13" t="s">
        <v>232</v>
      </c>
      <c r="S1644" s="14" t="n">
        <v>35833</v>
      </c>
      <c r="T1644" s="13" t="s">
        <v>40</v>
      </c>
      <c r="U1644" s="13" t="s">
        <v>7172</v>
      </c>
      <c r="V1644" s="13" t="s">
        <v>42</v>
      </c>
      <c r="W1644" s="13" t="s">
        <v>43</v>
      </c>
      <c r="X1644" s="21" t="n">
        <v>85964156093</v>
      </c>
      <c r="Y1644" s="22" t="str">
        <f aca="false">O1644</f>
        <v>Reliever</v>
      </c>
      <c r="Z1644" s="13" t="str">
        <f aca="false">IFERROR(__xludf.dummyfunction("if(BJ1644="""","""",GOOGLETRANSLATE(BJ1644,""auto"",""en""))"),"Reliever")</f>
        <v>Reliever</v>
      </c>
      <c r="AA1644" s="23" t="str">
        <f aca="false">IF(C1644="","", CHOOSE(MONTH(C1644),"January","February","March","April","May","June","July","August","September","October","November","December")&amp;" "&amp;DAY(C1644)&amp;MID("thstndrdth",MIN(9,2*RIGHT(DAY(C1644))*(MOD(DAY(C1644)-11,100)&gt;2)+1),2)&amp;","&amp;TEXT(C1644," yyyy"))</f>
        <v>September 9th,2024</v>
      </c>
      <c r="AB1644" s="15" t="str">
        <f aca="true">IF(S1644="","",DATEDIF(S1644,TODAY(),"Y")&amp;" Tahun, "&amp;DATEDIF(S1644,TODAY(),"YM")&amp;" Bulan, "&amp;DATEDIF(S1644,TODAY(),"MD")&amp;" Hari")</f>
        <v>28 Tahun, 8 Bulan, 22 Hari</v>
      </c>
      <c r="AC1644" s="18" t="n">
        <v>45658</v>
      </c>
      <c r="AD1644" s="18" t="n">
        <v>45747</v>
      </c>
      <c r="AE1644" s="18" t="s">
        <v>44</v>
      </c>
    </row>
    <row r="1645" customFormat="false" ht="15" hidden="false" customHeight="true" outlineLevel="0" collapsed="false">
      <c r="A1645" s="12" t="n">
        <v>17177</v>
      </c>
      <c r="B1645" s="13" t="s">
        <v>7173</v>
      </c>
      <c r="C1645" s="14" t="n">
        <v>45547</v>
      </c>
      <c r="D1645" s="13" t="s">
        <v>144</v>
      </c>
      <c r="E1645" s="15" t="s">
        <v>47</v>
      </c>
      <c r="F1645" s="15" t="str">
        <f aca="false">IFERROR(__xludf.dummyfunction("XLOOKUP(AJ1645,IMPORTRANGE(""1XaInW9DU9nz21V0tYIfzFQ0He9kVQ_JF2mCXgZ3hqFA"",""REKAP ALL 2026 - Andika!G:G""),IMPORTRANGE(""1XaInW9DU9nz21V0tYIfzFQ0He9kVQ_JF2mCXgZ3hqFA"",""REKAP ALL 2026 - Andika!F:F""),"""",0)"),"24138556212")</f>
        <v>24138556212</v>
      </c>
      <c r="G1645" s="15" t="s">
        <v>7174</v>
      </c>
      <c r="H1645" s="13" t="s">
        <v>35</v>
      </c>
      <c r="I1645" s="13" t="str">
        <f aca="false">IF(C1645=J1645,"NEW KONTRAK","RE-KONTRAK")</f>
        <v>RE-KONTRAK</v>
      </c>
      <c r="J1645" s="16" t="n">
        <f aca="false" t="array" ref="J1645:J1645">IFERROR(INDEX(AC1645:AE1645,IF(COUNTA(AC1645:AE1645)=0,"",MAX((AC1645:AE1645&lt;&gt;"")*(COLUMN(AC1645:AE1645)-(COLUMN(AC1645)))))-1),"")</f>
        <v>45658</v>
      </c>
      <c r="K1645" s="16" t="n">
        <f aca="false" t="array" ref="K1645:K1645">IFERROR(INDEX(AC1645:AE1645,IF(COUNTA(AC1645:AE1645)=0,"",MAX((AC1645:AE1645&lt;&gt;"")*(COLUMN(AC1645:AE1645)-(COLUMN(AC1645)-1))))-1),"")</f>
        <v>46022</v>
      </c>
      <c r="L1645" s="17" t="str">
        <f aca="false" t="array" ref="L1645:L1645">IFERROR(INDEX(AC1645:AE1645,IF(COUNTA(AC1645:AE1645)=0,"",MAX((AC1645:AE1645&lt;&gt;"")*(COLUMN(AC1645:AE1645)-(COLUMN(AC1645)-2))))-1),"")</f>
        <v>ARCHIVED</v>
      </c>
      <c r="M1645" s="13" t="n">
        <f aca="true">K1645-TODAY()</f>
        <v>-302</v>
      </c>
      <c r="N1645" s="18" t="s">
        <v>36</v>
      </c>
      <c r="O1645" s="13" t="s">
        <v>6606</v>
      </c>
      <c r="P1645" s="19" t="n">
        <v>5195401</v>
      </c>
      <c r="Q1645" s="20" t="s">
        <v>7175</v>
      </c>
      <c r="R1645" s="13" t="s">
        <v>2001</v>
      </c>
      <c r="S1645" s="14" t="n">
        <v>34567</v>
      </c>
      <c r="T1645" s="13" t="s">
        <v>40</v>
      </c>
      <c r="U1645" s="13" t="s">
        <v>7176</v>
      </c>
      <c r="V1645" s="13" t="s">
        <v>42</v>
      </c>
      <c r="W1645" s="13" t="s">
        <v>43</v>
      </c>
      <c r="X1645" s="21" t="n">
        <v>82229013499</v>
      </c>
      <c r="Y1645" s="22" t="str">
        <f aca="false">O1645</f>
        <v>Picker</v>
      </c>
      <c r="Z1645" s="13" t="str">
        <f aca="false">IFERROR(__xludf.dummyfunction("if(BJ1645="""","""",GOOGLETRANSLATE(BJ1645,""auto"",""en""))"),"Picker")</f>
        <v>Picker</v>
      </c>
      <c r="AA1645" s="23" t="str">
        <f aca="false">IF(C1645="","", CHOOSE(MONTH(C1645),"January","February","March","April","May","June","July","August","September","October","November","December")&amp;" "&amp;DAY(C1645)&amp;MID("thstndrdth",MIN(9,2*RIGHT(DAY(C1645))*(MOD(DAY(C1645)-11,100)&gt;2)+1),2)&amp;","&amp;TEXT(C1645," yyyy"))</f>
        <v>September 12th,2024</v>
      </c>
      <c r="AB1645" s="15" t="str">
        <f aca="true">IF(S1645="","",DATEDIF(S1645,TODAY(),"Y")&amp;" Tahun, "&amp;DATEDIF(S1645,TODAY(),"YM")&amp;" Bulan, "&amp;DATEDIF(S1645,TODAY(),"MD")&amp;" Hari")</f>
        <v>32 Tahun, 2 Bulan, 8 Hari</v>
      </c>
      <c r="AC1645" s="18" t="n">
        <v>45658</v>
      </c>
      <c r="AD1645" s="18" t="n">
        <v>46022</v>
      </c>
      <c r="AE1645" s="18" t="s">
        <v>44</v>
      </c>
    </row>
    <row r="1646" customFormat="false" ht="15" hidden="false" customHeight="true" outlineLevel="0" collapsed="false">
      <c r="A1646" s="12" t="n">
        <v>17179</v>
      </c>
      <c r="B1646" s="13" t="s">
        <v>7177</v>
      </c>
      <c r="C1646" s="14" t="n">
        <v>45547</v>
      </c>
      <c r="D1646" s="13" t="s">
        <v>144</v>
      </c>
      <c r="E1646" s="15" t="s">
        <v>33</v>
      </c>
      <c r="F1646" s="24" t="s">
        <v>7178</v>
      </c>
      <c r="G1646" s="15" t="s">
        <v>7179</v>
      </c>
      <c r="H1646" s="13" t="s">
        <v>35</v>
      </c>
      <c r="I1646" s="13" t="str">
        <f aca="false">IF(C1646=J1646,"NEW KONTRAK","RE-KONTRAK")</f>
        <v>RE-KONTRAK</v>
      </c>
      <c r="J1646" s="16" t="n">
        <f aca="false" t="array" ref="J1646:J1646">IFERROR(INDEX(AC1646:AE1646,IF(COUNTA(AC1646:AE1646)=0,"",MAX((AC1646:AE1646&lt;&gt;"")*(COLUMN(AC1646:AE1646)-(COLUMN(AC1646)))))-1),"")</f>
        <v>45658</v>
      </c>
      <c r="K1646" s="16" t="n">
        <f aca="false" t="array" ref="K1646:K1646">IFERROR(INDEX(AC1646:AE1646,IF(COUNTA(AC1646:AE1646)=0,"",MAX((AC1646:AE1646&lt;&gt;"")*(COLUMN(AC1646:AE1646)-(COLUMN(AC1646)-1))))-1),"")</f>
        <v>46022</v>
      </c>
      <c r="L1646" s="17" t="str">
        <f aca="false" t="array" ref="L1646:L1646">IFERROR(INDEX(AC1646:AE1646,IF(COUNTA(AC1646:AE1646)=0,"",MAX((AC1646:AE1646&lt;&gt;"")*(COLUMN(AC1646:AE1646)-(COLUMN(AC1646)-2))))-1),"")</f>
        <v>ARCHIVED</v>
      </c>
      <c r="M1646" s="13" t="n">
        <f aca="true">K1646-TODAY()</f>
        <v>-302</v>
      </c>
      <c r="N1646" s="18" t="s">
        <v>36</v>
      </c>
      <c r="O1646" s="13" t="s">
        <v>6606</v>
      </c>
      <c r="P1646" s="19" t="n">
        <v>5195401</v>
      </c>
      <c r="Q1646" s="20" t="s">
        <v>7180</v>
      </c>
      <c r="R1646" s="13" t="s">
        <v>52</v>
      </c>
      <c r="S1646" s="14" t="n">
        <v>35785</v>
      </c>
      <c r="T1646" s="13" t="s">
        <v>40</v>
      </c>
      <c r="U1646" s="13" t="s">
        <v>7181</v>
      </c>
      <c r="V1646" s="13" t="s">
        <v>42</v>
      </c>
      <c r="W1646" s="13" t="s">
        <v>43</v>
      </c>
      <c r="X1646" s="21" t="n">
        <v>89678151743</v>
      </c>
      <c r="Y1646" s="22" t="str">
        <f aca="false">O1646</f>
        <v>Picker</v>
      </c>
      <c r="Z1646" s="13" t="str">
        <f aca="false">IFERROR(__xludf.dummyfunction("if(BJ1646="""","""",GOOGLETRANSLATE(BJ1646,""auto"",""en""))"),"Picker")</f>
        <v>Picker</v>
      </c>
      <c r="AA1646" s="23" t="str">
        <f aca="false">IF(C1646="","", CHOOSE(MONTH(C1646),"January","February","March","April","May","June","July","August","September","October","November","December")&amp;" "&amp;DAY(C1646)&amp;MID("thstndrdth",MIN(9,2*RIGHT(DAY(C1646))*(MOD(DAY(C1646)-11,100)&gt;2)+1),2)&amp;","&amp;TEXT(C1646," yyyy"))</f>
        <v>September 12th,2024</v>
      </c>
      <c r="AB1646" s="15" t="str">
        <f aca="true">IF(S1646="","",DATEDIF(S1646,TODAY(),"Y")&amp;" Tahun, "&amp;DATEDIF(S1646,TODAY(),"YM")&amp;" Bulan, "&amp;DATEDIF(S1646,TODAY(),"MD")&amp;" Hari")</f>
        <v>28 Tahun, 10 Bulan, 8 Hari</v>
      </c>
      <c r="AC1646" s="18" t="n">
        <v>45658</v>
      </c>
      <c r="AD1646" s="18" t="n">
        <v>46022</v>
      </c>
      <c r="AE1646" s="18" t="s">
        <v>44</v>
      </c>
    </row>
    <row r="1647" customFormat="false" ht="15" hidden="false" customHeight="true" outlineLevel="0" collapsed="false">
      <c r="A1647" s="12" t="n">
        <v>17180</v>
      </c>
      <c r="B1647" s="13" t="s">
        <v>7182</v>
      </c>
      <c r="C1647" s="14" t="n">
        <v>45547</v>
      </c>
      <c r="D1647" s="13" t="s">
        <v>144</v>
      </c>
      <c r="E1647" s="15" t="s">
        <v>33</v>
      </c>
      <c r="F1647" s="24" t="s">
        <v>7183</v>
      </c>
      <c r="G1647" s="15" t="s">
        <v>7184</v>
      </c>
      <c r="H1647" s="13" t="s">
        <v>35</v>
      </c>
      <c r="I1647" s="13" t="str">
        <f aca="false">IF(C1647=J1647,"NEW KONTRAK","RE-KONTRAK")</f>
        <v>RE-KONTRAK</v>
      </c>
      <c r="J1647" s="16" t="n">
        <f aca="false" t="array" ref="J1647:J1647">IFERROR(INDEX(AC1647:AE1647,IF(COUNTA(AC1647:AE1647)=0,"",MAX((AC1647:AE1647&lt;&gt;"")*(COLUMN(AC1647:AE1647)-(COLUMN(AC1647)))))-1),"")</f>
        <v>45658</v>
      </c>
      <c r="K1647" s="16" t="n">
        <f aca="false" t="array" ref="K1647:K1647">IFERROR(INDEX(AC1647:AE1647,IF(COUNTA(AC1647:AE1647)=0,"",MAX((AC1647:AE1647&lt;&gt;"")*(COLUMN(AC1647:AE1647)-(COLUMN(AC1647)-1))))-1),"")</f>
        <v>46022</v>
      </c>
      <c r="L1647" s="17" t="str">
        <f aca="false" t="array" ref="L1647:L1647">IFERROR(INDEX(AC1647:AE1647,IF(COUNTA(AC1647:AE1647)=0,"",MAX((AC1647:AE1647&lt;&gt;"")*(COLUMN(AC1647:AE1647)-(COLUMN(AC1647)-2))))-1),"")</f>
        <v>ARCHIVED</v>
      </c>
      <c r="M1647" s="13" t="n">
        <f aca="true">K1647-TODAY()</f>
        <v>-302</v>
      </c>
      <c r="N1647" s="18" t="s">
        <v>36</v>
      </c>
      <c r="O1647" s="13" t="s">
        <v>6606</v>
      </c>
      <c r="P1647" s="19" t="n">
        <v>5195401</v>
      </c>
      <c r="Q1647" s="20" t="s">
        <v>7185</v>
      </c>
      <c r="R1647" s="13" t="s">
        <v>7186</v>
      </c>
      <c r="S1647" s="14" t="n">
        <v>31029</v>
      </c>
      <c r="T1647" s="13" t="s">
        <v>40</v>
      </c>
      <c r="U1647" s="13" t="s">
        <v>7187</v>
      </c>
      <c r="V1647" s="13" t="s">
        <v>42</v>
      </c>
      <c r="W1647" s="13" t="s">
        <v>54</v>
      </c>
      <c r="X1647" s="30" t="n">
        <v>87754353462</v>
      </c>
      <c r="Y1647" s="22" t="str">
        <f aca="false">O1647</f>
        <v>Picker</v>
      </c>
      <c r="Z1647" s="13" t="str">
        <f aca="false">IFERROR(__xludf.dummyfunction("if(BJ1647="""","""",GOOGLETRANSLATE(BJ1647,""auto"",""en""))"),"Picker")</f>
        <v>Picker</v>
      </c>
      <c r="AA1647" s="23" t="str">
        <f aca="false">IF(C1647="","", CHOOSE(MONTH(C1647),"January","February","March","April","May","June","July","August","September","October","November","December")&amp;" "&amp;DAY(C1647)&amp;MID("thstndrdth",MIN(9,2*RIGHT(DAY(C1647))*(MOD(DAY(C1647)-11,100)&gt;2)+1),2)&amp;","&amp;TEXT(C1647," yyyy"))</f>
        <v>September 12th,2024</v>
      </c>
      <c r="AB1647" s="15" t="str">
        <f aca="true">IF(S1647="","",DATEDIF(S1647,TODAY(),"Y")&amp;" Tahun, "&amp;DATEDIF(S1647,TODAY(),"YM")&amp;" Bulan, "&amp;DATEDIF(S1647,TODAY(),"MD")&amp;" Hari")</f>
        <v>41 Tahun, 10 Bulan, 16 Hari</v>
      </c>
      <c r="AC1647" s="18" t="n">
        <v>45658</v>
      </c>
      <c r="AD1647" s="18" t="n">
        <v>46022</v>
      </c>
      <c r="AE1647" s="18" t="s">
        <v>44</v>
      </c>
    </row>
    <row r="1648" customFormat="false" ht="15" hidden="false" customHeight="true" outlineLevel="0" collapsed="false">
      <c r="A1648" s="12" t="n">
        <v>17182</v>
      </c>
      <c r="B1648" s="13" t="s">
        <v>7188</v>
      </c>
      <c r="C1648" s="14" t="n">
        <v>45547</v>
      </c>
      <c r="D1648" s="13" t="s">
        <v>144</v>
      </c>
      <c r="E1648" s="15" t="s">
        <v>33</v>
      </c>
      <c r="F1648" s="24" t="s">
        <v>7189</v>
      </c>
      <c r="G1648" s="15" t="s">
        <v>7190</v>
      </c>
      <c r="H1648" s="13" t="s">
        <v>35</v>
      </c>
      <c r="I1648" s="13" t="str">
        <f aca="false">IF(C1648=J1648,"NEW KONTRAK","RE-KONTRAK")</f>
        <v>RE-KONTRAK</v>
      </c>
      <c r="J1648" s="16" t="n">
        <f aca="false" t="array" ref="J1648:J1648">IFERROR(INDEX(AC1648:AE1648,IF(COUNTA(AC1648:AE1648)=0,"",MAX((AC1648:AE1648&lt;&gt;"")*(COLUMN(AC1648:AE1648)-(COLUMN(AC1648)))))-1),"")</f>
        <v>45658</v>
      </c>
      <c r="K1648" s="16" t="n">
        <f aca="false" t="array" ref="K1648:K1648">IFERROR(INDEX(AC1648:AE1648,IF(COUNTA(AC1648:AE1648)=0,"",MAX((AC1648:AE1648&lt;&gt;"")*(COLUMN(AC1648:AE1648)-(COLUMN(AC1648)-1))))-1),"")</f>
        <v>46022</v>
      </c>
      <c r="L1648" s="17" t="str">
        <f aca="false" t="array" ref="L1648:L1648">IFERROR(INDEX(AC1648:AE1648,IF(COUNTA(AC1648:AE1648)=0,"",MAX((AC1648:AE1648&lt;&gt;"")*(COLUMN(AC1648:AE1648)-(COLUMN(AC1648)-2))))-1),"")</f>
        <v>ARCHIVED</v>
      </c>
      <c r="M1648" s="13" t="n">
        <f aca="true">K1648-TODAY()</f>
        <v>-302</v>
      </c>
      <c r="N1648" s="18" t="s">
        <v>36</v>
      </c>
      <c r="O1648" s="13" t="s">
        <v>6606</v>
      </c>
      <c r="P1648" s="19" t="n">
        <v>5195401</v>
      </c>
      <c r="Q1648" s="20" t="s">
        <v>7191</v>
      </c>
      <c r="R1648" s="13" t="s">
        <v>246</v>
      </c>
      <c r="S1648" s="14" t="n">
        <v>33015</v>
      </c>
      <c r="T1648" s="13" t="s">
        <v>40</v>
      </c>
      <c r="U1648" s="13" t="s">
        <v>7192</v>
      </c>
      <c r="V1648" s="13" t="s">
        <v>42</v>
      </c>
      <c r="W1648" s="13" t="s">
        <v>54</v>
      </c>
      <c r="X1648" s="21" t="n">
        <v>85806006664</v>
      </c>
      <c r="Y1648" s="22" t="str">
        <f aca="false">O1648</f>
        <v>Picker</v>
      </c>
      <c r="Z1648" s="13" t="str">
        <f aca="false">IFERROR(__xludf.dummyfunction("if(BJ1648="""","""",GOOGLETRANSLATE(BJ1648,""auto"",""en""))"),"Picker")</f>
        <v>Picker</v>
      </c>
      <c r="AA1648" s="23" t="str">
        <f aca="false">IF(C1648="","", CHOOSE(MONTH(C1648),"January","February","March","April","May","June","July","August","September","October","November","December")&amp;" "&amp;DAY(C1648)&amp;MID("thstndrdth",MIN(9,2*RIGHT(DAY(C1648))*(MOD(DAY(C1648)-11,100)&gt;2)+1),2)&amp;","&amp;TEXT(C1648," yyyy"))</f>
        <v>September 12th,2024</v>
      </c>
      <c r="AB1648" s="15" t="str">
        <f aca="true">IF(S1648="","",DATEDIF(S1648,TODAY(),"Y")&amp;" Tahun, "&amp;DATEDIF(S1648,TODAY(),"YM")&amp;" Bulan, "&amp;DATEDIF(S1648,TODAY(),"MD")&amp;" Hari")</f>
        <v>36 Tahun, 5 Bulan, 7 Hari</v>
      </c>
      <c r="AC1648" s="18" t="n">
        <v>45658</v>
      </c>
      <c r="AD1648" s="18" t="n">
        <v>46022</v>
      </c>
      <c r="AE1648" s="18" t="s">
        <v>44</v>
      </c>
    </row>
    <row r="1649" customFormat="false" ht="15" hidden="false" customHeight="true" outlineLevel="0" collapsed="false">
      <c r="A1649" s="12" t="n">
        <v>17191</v>
      </c>
      <c r="B1649" s="13" t="s">
        <v>7193</v>
      </c>
      <c r="C1649" s="14" t="n">
        <v>45552</v>
      </c>
      <c r="D1649" s="13" t="s">
        <v>5726</v>
      </c>
      <c r="E1649" s="15" t="s">
        <v>47</v>
      </c>
      <c r="F1649" s="15" t="str">
        <f aca="false">IFERROR(__xludf.dummyfunction("XLOOKUP(AJ1649,IMPORTRANGE(""1XaInW9DU9nz21V0tYIfzFQ0He9kVQ_JF2mCXgZ3hqFA"",""REKAP ALL 2026 - Andika!G:G""),IMPORTRANGE(""1XaInW9DU9nz21V0tYIfzFQ0He9kVQ_JF2mCXgZ3hqFA"",""REKAP ALL 2026 - Andika!F:F""),"""",0)"),"24139690598")</f>
        <v>24139690598</v>
      </c>
      <c r="G1649" s="15" t="s">
        <v>7194</v>
      </c>
      <c r="H1649" s="13" t="s">
        <v>35</v>
      </c>
      <c r="I1649" s="13" t="str">
        <f aca="false">IF(C1649=J1649,"NEW KONTRAK","RE-KONTRAK")</f>
        <v>NEW KONTRAK</v>
      </c>
      <c r="J1649" s="16" t="n">
        <f aca="false" t="array" ref="J1649:J1649">IFERROR(INDEX(AC1649:AE1649,IF(COUNTA(AC1649:AE1649)=0,"",MAX((AC1649:AE1649&lt;&gt;"")*(COLUMN(AC1649:AE1649)-(COLUMN(AC1649)))))-1),"")</f>
        <v>45552</v>
      </c>
      <c r="K1649" s="16" t="n">
        <f aca="false" t="array" ref="K1649:K1649">IFERROR(INDEX(AC1649:AE1649,IF(COUNTA(AC1649:AE1649)=0,"",MAX((AC1649:AE1649&lt;&gt;"")*(COLUMN(AC1649:AE1649)-(COLUMN(AC1649)-1))))-1),"")</f>
        <v>45916</v>
      </c>
      <c r="L1649" s="17" t="str">
        <f aca="false" t="array" ref="L1649:L1649">IFERROR(INDEX(AC1649:AE1649,IF(COUNTA(AC1649:AE1649)=0,"",MAX((AC1649:AE1649&lt;&gt;"")*(COLUMN(AC1649:AE1649)-(COLUMN(AC1649)-2))))-1),"")</f>
        <v>ARCHIVED</v>
      </c>
      <c r="M1649" s="13" t="n">
        <f aca="true">K1649-TODAY()</f>
        <v>-408</v>
      </c>
      <c r="N1649" s="18" t="s">
        <v>615</v>
      </c>
      <c r="O1649" s="13" t="s">
        <v>1531</v>
      </c>
      <c r="P1649" s="19" t="n">
        <v>5176101</v>
      </c>
      <c r="Q1649" s="20" t="s">
        <v>7195</v>
      </c>
      <c r="R1649" s="13" t="s">
        <v>232</v>
      </c>
      <c r="S1649" s="14" t="n">
        <v>34297</v>
      </c>
      <c r="T1649" s="13" t="s">
        <v>40</v>
      </c>
      <c r="U1649" s="13" t="s">
        <v>7196</v>
      </c>
      <c r="V1649" s="13" t="s">
        <v>42</v>
      </c>
      <c r="W1649" s="13" t="s">
        <v>54</v>
      </c>
      <c r="X1649" s="21" t="n">
        <v>85730225128</v>
      </c>
      <c r="Y1649" s="22" t="str">
        <f aca="false">O1649</f>
        <v>Packer</v>
      </c>
      <c r="Z1649" s="13" t="str">
        <f aca="false">IFERROR(__xludf.dummyfunction("if(BJ1649="""","""",GOOGLETRANSLATE(BJ1649,""auto"",""en""))"),"Packer")</f>
        <v>Packer</v>
      </c>
      <c r="AA1649" s="23" t="str">
        <f aca="false">IF(C1649="","", CHOOSE(MONTH(C1649),"January","February","March","April","May","June","July","August","September","October","November","December")&amp;" "&amp;DAY(C1649)&amp;MID("thstndrdth",MIN(9,2*RIGHT(DAY(C1649))*(MOD(DAY(C1649)-11,100)&gt;2)+1),2)&amp;","&amp;TEXT(C1649," yyyy"))</f>
        <v>September 17th,2024</v>
      </c>
      <c r="AB1649" s="15" t="str">
        <f aca="true">IF(S1649="","",DATEDIF(S1649,TODAY(),"Y")&amp;" Tahun, "&amp;DATEDIF(S1649,TODAY(),"YM")&amp;" Bulan, "&amp;DATEDIF(S1649,TODAY(),"MD")&amp;" Hari")</f>
        <v>32 Tahun, 11 Bulan, 5 Hari</v>
      </c>
      <c r="AC1649" s="18" t="n">
        <v>45552</v>
      </c>
      <c r="AD1649" s="18" t="n">
        <v>45916</v>
      </c>
      <c r="AE1649" s="18" t="s">
        <v>44</v>
      </c>
    </row>
    <row r="1650" customFormat="false" ht="15" hidden="false" customHeight="true" outlineLevel="0" collapsed="false">
      <c r="A1650" s="12" t="n">
        <v>17192</v>
      </c>
      <c r="B1650" s="13" t="s">
        <v>7197</v>
      </c>
      <c r="C1650" s="14" t="n">
        <v>45557</v>
      </c>
      <c r="D1650" s="13" t="s">
        <v>5726</v>
      </c>
      <c r="E1650" s="15" t="s">
        <v>47</v>
      </c>
      <c r="F1650" s="15" t="str">
        <f aca="false">IFERROR(__xludf.dummyfunction("XLOOKUP(AJ1650,IMPORTRANGE(""1XaInW9DU9nz21V0tYIfzFQ0He9kVQ_JF2mCXgZ3hqFA"",""REKAP ALL 2026 - Andika!G:G""),IMPORTRANGE(""1XaInW9DU9nz21V0tYIfzFQ0He9kVQ_JF2mCXgZ3hqFA"",""REKAP ALL 2026 - Andika!F:F""),"""",0)"),"24139690606")</f>
        <v>24139690606</v>
      </c>
      <c r="G1650" s="15" t="s">
        <v>7198</v>
      </c>
      <c r="H1650" s="13" t="s">
        <v>35</v>
      </c>
      <c r="I1650" s="13" t="str">
        <f aca="false">IF(C1650=J1650,"NEW KONTRAK","RE-KONTRAK")</f>
        <v>NEW KONTRAK</v>
      </c>
      <c r="J1650" s="16" t="n">
        <f aca="false" t="array" ref="J1650:J1650">IFERROR(INDEX(AC1650:AE1650,IF(COUNTA(AC1650:AE1650)=0,"",MAX((AC1650:AE1650&lt;&gt;"")*(COLUMN(AC1650:AE1650)-(COLUMN(AC1650)))))-1),"")</f>
        <v>45557</v>
      </c>
      <c r="K1650" s="16" t="n">
        <f aca="false" t="array" ref="K1650:K1650">IFERROR(INDEX(AC1650:AE1650,IF(COUNTA(AC1650:AE1650)=0,"",MAX((AC1650:AE1650&lt;&gt;"")*(COLUMN(AC1650:AE1650)-(COLUMN(AC1650)-1))))-1),"")</f>
        <v>45921</v>
      </c>
      <c r="L1650" s="17" t="str">
        <f aca="false" t="array" ref="L1650:L1650">IFERROR(INDEX(AC1650:AE1650,IF(COUNTA(AC1650:AE1650)=0,"",MAX((AC1650:AE1650&lt;&gt;"")*(COLUMN(AC1650:AE1650)-(COLUMN(AC1650)-2))))-1),"")</f>
        <v>ARCHIVED</v>
      </c>
      <c r="M1650" s="13" t="n">
        <f aca="true">K1650-TODAY()</f>
        <v>-403</v>
      </c>
      <c r="N1650" s="18" t="s">
        <v>615</v>
      </c>
      <c r="O1650" s="13" t="s">
        <v>5252</v>
      </c>
      <c r="P1650" s="19" t="n">
        <v>5176101</v>
      </c>
      <c r="Q1650" s="20" t="s">
        <v>7199</v>
      </c>
      <c r="R1650" s="13" t="s">
        <v>246</v>
      </c>
      <c r="S1650" s="14" t="n">
        <v>33288</v>
      </c>
      <c r="T1650" s="13" t="s">
        <v>40</v>
      </c>
      <c r="U1650" s="13" t="s">
        <v>7200</v>
      </c>
      <c r="V1650" s="13" t="s">
        <v>42</v>
      </c>
      <c r="W1650" s="13" t="s">
        <v>54</v>
      </c>
      <c r="X1650" s="21" t="n">
        <v>85748583363</v>
      </c>
      <c r="Y1650" s="22" t="str">
        <f aca="false">O1650</f>
        <v>Helper Printing</v>
      </c>
      <c r="Z1650" s="13" t="str">
        <f aca="false">IFERROR(__xludf.dummyfunction("if(BJ1650="""","""",GOOGLETRANSLATE(BJ1650,""auto"",""en""))"),"Helper Printing")</f>
        <v>Helper Printing</v>
      </c>
      <c r="AA1650" s="23" t="str">
        <f aca="false">IF(C1650="","", CHOOSE(MONTH(C1650),"January","February","March","April","May","June","July","August","September","October","November","December")&amp;" "&amp;DAY(C1650)&amp;MID("thstndrdth",MIN(9,2*RIGHT(DAY(C1650))*(MOD(DAY(C1650)-11,100)&gt;2)+1),2)&amp;","&amp;TEXT(C1650," yyyy"))</f>
        <v>September 22nd,2024</v>
      </c>
      <c r="AB1650" s="15" t="str">
        <f aca="true">IF(S1650="","",DATEDIF(S1650,TODAY(),"Y")&amp;" Tahun, "&amp;DATEDIF(S1650,TODAY(),"YM")&amp;" Bulan, "&amp;DATEDIF(S1650,TODAY(),"MD")&amp;" Hari")</f>
        <v>35 Tahun, 8 Bulan, 10 Hari</v>
      </c>
      <c r="AC1650" s="18" t="n">
        <v>45557</v>
      </c>
      <c r="AD1650" s="18" t="n">
        <v>45921</v>
      </c>
      <c r="AE1650" s="18" t="s">
        <v>44</v>
      </c>
    </row>
    <row r="1651" customFormat="false" ht="15" hidden="false" customHeight="true" outlineLevel="0" collapsed="false">
      <c r="A1651" s="12" t="n">
        <v>17272</v>
      </c>
      <c r="B1651" s="13" t="s">
        <v>7201</v>
      </c>
      <c r="C1651" s="14" t="n">
        <v>45560</v>
      </c>
      <c r="D1651" s="13" t="s">
        <v>5726</v>
      </c>
      <c r="E1651" s="15" t="s">
        <v>47</v>
      </c>
      <c r="F1651" s="15" t="str">
        <f aca="false">IFERROR(__xludf.dummyfunction("XLOOKUP(AJ1651,IMPORTRANGE(""1XaInW9DU9nz21V0tYIfzFQ0He9kVQ_JF2mCXgZ3hqFA"",""REKAP ALL 2026 - Andika!G:G""),IMPORTRANGE(""1XaInW9DU9nz21V0tYIfzFQ0He9kVQ_JF2mCXgZ3hqFA"",""REKAP ALL 2026 - Andika!F:F""),"""",0)"),"25012461874")</f>
        <v>25012461874</v>
      </c>
      <c r="G1651" s="15" t="s">
        <v>7202</v>
      </c>
      <c r="H1651" s="13" t="s">
        <v>35</v>
      </c>
      <c r="I1651" s="13" t="str">
        <f aca="false">IF(C1651=J1651,"NEW KONTRAK","RE-KONTRAK")</f>
        <v>NEW KONTRAK</v>
      </c>
      <c r="J1651" s="16" t="n">
        <f aca="false" t="array" ref="J1651:J1651">IFERROR(INDEX(AC1651:AE1651,IF(COUNTA(AC1651:AE1651)=0,"",MAX((AC1651:AE1651&lt;&gt;"")*(COLUMN(AC1651:AE1651)-(COLUMN(AC1651)))))-1),"")</f>
        <v>45560</v>
      </c>
      <c r="K1651" s="16" t="n">
        <f aca="false" t="array" ref="K1651:K1651">IFERROR(INDEX(AC1651:AE1651,IF(COUNTA(AC1651:AE1651)=0,"",MAX((AC1651:AE1651&lt;&gt;"")*(COLUMN(AC1651:AE1651)-(COLUMN(AC1651)-1))))-1),"")</f>
        <v>45924</v>
      </c>
      <c r="L1651" s="17" t="str">
        <f aca="false" t="array" ref="L1651:L1651">IFERROR(INDEX(AC1651:AE1651,IF(COUNTA(AC1651:AE1651)=0,"",MAX((AC1651:AE1651&lt;&gt;"")*(COLUMN(AC1651:AE1651)-(COLUMN(AC1651)-2))))-1),"")</f>
        <v>ARCHIVED</v>
      </c>
      <c r="M1651" s="13" t="n">
        <f aca="true">K1651-TODAY()</f>
        <v>-400</v>
      </c>
      <c r="N1651" s="18" t="s">
        <v>615</v>
      </c>
      <c r="O1651" s="15" t="s">
        <v>7088</v>
      </c>
      <c r="P1651" s="19" t="n">
        <v>5176101</v>
      </c>
      <c r="Q1651" s="20" t="s">
        <v>7203</v>
      </c>
      <c r="R1651" s="13" t="s">
        <v>324</v>
      </c>
      <c r="S1651" s="14" t="n">
        <v>34800</v>
      </c>
      <c r="T1651" s="13" t="s">
        <v>40</v>
      </c>
      <c r="U1651" s="13" t="s">
        <v>7204</v>
      </c>
      <c r="V1651" s="13" t="s">
        <v>42</v>
      </c>
      <c r="W1651" s="13" t="s">
        <v>43</v>
      </c>
      <c r="X1651" s="21" t="n">
        <v>82132561795</v>
      </c>
      <c r="Y1651" s="22" t="str">
        <f aca="false">O1651</f>
        <v>Quality Inspector</v>
      </c>
      <c r="Z1651" s="13" t="str">
        <f aca="false">IFERROR(__xludf.dummyfunction("if(BJ1651="""","""",GOOGLETRANSLATE(BJ1651,""auto"",""en""))"),"Quality Inspector")</f>
        <v>Quality Inspector</v>
      </c>
      <c r="AA1651" s="23" t="str">
        <f aca="false">IF(C1651="","", CHOOSE(MONTH(C1651),"January","February","March","April","May","June","July","August","September","October","November","December")&amp;" "&amp;DAY(C1651)&amp;MID("thstndrdth",MIN(9,2*RIGHT(DAY(C1651))*(MOD(DAY(C1651)-11,100)&gt;2)+1),2)&amp;","&amp;TEXT(C1651," yyyy"))</f>
        <v>September 25th,2024</v>
      </c>
      <c r="AB1651" s="15" t="str">
        <f aca="true">IF(S1651="","",DATEDIF(S1651,TODAY(),"Y")&amp;" Tahun, "&amp;DATEDIF(S1651,TODAY(),"YM")&amp;" Bulan, "&amp;DATEDIF(S1651,TODAY(),"MD")&amp;" Hari")</f>
        <v>31 Tahun, 6 Bulan, 18 Hari</v>
      </c>
      <c r="AC1651" s="18" t="n">
        <v>45560</v>
      </c>
      <c r="AD1651" s="18" t="n">
        <v>45924</v>
      </c>
      <c r="AE1651" s="18" t="s">
        <v>44</v>
      </c>
    </row>
    <row r="1652" customFormat="false" ht="15" hidden="false" customHeight="true" outlineLevel="0" collapsed="false">
      <c r="A1652" s="12" t="n">
        <v>17276</v>
      </c>
      <c r="B1652" s="13" t="s">
        <v>7205</v>
      </c>
      <c r="C1652" s="14" t="n">
        <v>45565</v>
      </c>
      <c r="D1652" s="13" t="s">
        <v>5726</v>
      </c>
      <c r="E1652" s="15" t="s">
        <v>47</v>
      </c>
      <c r="F1652" s="15" t="str">
        <f aca="false">IFERROR(__xludf.dummyfunction("XLOOKUP(AJ1652,IMPORTRANGE(""1XaInW9DU9nz21V0tYIfzFQ0He9kVQ_JF2mCXgZ3hqFA"",""REKAP ALL 2026 - Andika!G:G""),IMPORTRANGE(""1XaInW9DU9nz21V0tYIfzFQ0He9kVQ_JF2mCXgZ3hqFA"",""REKAP ALL 2026 - Andika!F:F""),"""",0)"),"24139690713")</f>
        <v>24139690713</v>
      </c>
      <c r="G1652" s="15" t="s">
        <v>7206</v>
      </c>
      <c r="H1652" s="13" t="s">
        <v>35</v>
      </c>
      <c r="I1652" s="13" t="str">
        <f aca="false">IF(C1652=J1652,"NEW KONTRAK","RE-KONTRAK")</f>
        <v>NEW KONTRAK</v>
      </c>
      <c r="J1652" s="16" t="n">
        <f aca="false" t="array" ref="J1652:J1652">IFERROR(INDEX(AC1652:AE1652,IF(COUNTA(AC1652:AE1652)=0,"",MAX((AC1652:AE1652&lt;&gt;"")*(COLUMN(AC1652:AE1652)-(COLUMN(AC1652)))))-1),"")</f>
        <v>45565</v>
      </c>
      <c r="K1652" s="16" t="n">
        <f aca="false" t="array" ref="K1652:K1652">IFERROR(INDEX(AC1652:AE1652,IF(COUNTA(AC1652:AE1652)=0,"",MAX((AC1652:AE1652&lt;&gt;"")*(COLUMN(AC1652:AE1652)-(COLUMN(AC1652)-1))))-1),"")</f>
        <v>45929</v>
      </c>
      <c r="L1652" s="17" t="str">
        <f aca="false" t="array" ref="L1652:L1652">IFERROR(INDEX(AC1652:AE1652,IF(COUNTA(AC1652:AE1652)=0,"",MAX((AC1652:AE1652&lt;&gt;"")*(COLUMN(AC1652:AE1652)-(COLUMN(AC1652)-2))))-1),"")</f>
        <v>ARCHIVED</v>
      </c>
      <c r="M1652" s="13" t="n">
        <f aca="true">K1652-TODAY()</f>
        <v>-395</v>
      </c>
      <c r="N1652" s="18" t="s">
        <v>615</v>
      </c>
      <c r="O1652" s="15" t="s">
        <v>1531</v>
      </c>
      <c r="P1652" s="19" t="n">
        <v>5176101</v>
      </c>
      <c r="Q1652" s="20" t="s">
        <v>7207</v>
      </c>
      <c r="R1652" s="13" t="s">
        <v>52</v>
      </c>
      <c r="S1652" s="14" t="n">
        <v>35760</v>
      </c>
      <c r="T1652" s="13" t="s">
        <v>40</v>
      </c>
      <c r="U1652" s="13" t="s">
        <v>7208</v>
      </c>
      <c r="V1652" s="13" t="s">
        <v>42</v>
      </c>
      <c r="W1652" s="13" t="s">
        <v>54</v>
      </c>
      <c r="X1652" s="21" t="n">
        <v>8990363761</v>
      </c>
      <c r="Y1652" s="22" t="str">
        <f aca="false">O1652</f>
        <v>Packer</v>
      </c>
      <c r="Z1652" s="13" t="str">
        <f aca="false">IFERROR(__xludf.dummyfunction("if(BJ1652="""","""",GOOGLETRANSLATE(BJ1652,""auto"",""en""))"),"Packer")</f>
        <v>Packer</v>
      </c>
      <c r="AA1652" s="23" t="str">
        <f aca="false">IF(C1652="","", CHOOSE(MONTH(C1652),"January","February","March","April","May","June","July","August","September","October","November","December")&amp;" "&amp;DAY(C1652)&amp;MID("thstndrdth",MIN(9,2*RIGHT(DAY(C1652))*(MOD(DAY(C1652)-11,100)&gt;2)+1),2)&amp;","&amp;TEXT(C1652," yyyy"))</f>
        <v>September 30th,2024</v>
      </c>
      <c r="AB1652" s="15" t="str">
        <f aca="true">IF(S1652="","",DATEDIF(S1652,TODAY(),"Y")&amp;" Tahun, "&amp;DATEDIF(S1652,TODAY(),"YM")&amp;" Bulan, "&amp;DATEDIF(S1652,TODAY(),"MD")&amp;" Hari")</f>
        <v>28 Tahun, 11 Bulan, 3 Hari</v>
      </c>
      <c r="AC1652" s="18" t="n">
        <v>45565</v>
      </c>
      <c r="AD1652" s="18" t="n">
        <v>45929</v>
      </c>
      <c r="AE1652" s="18" t="s">
        <v>44</v>
      </c>
    </row>
    <row r="1653" customFormat="false" ht="15" hidden="false" customHeight="true" outlineLevel="0" collapsed="false">
      <c r="A1653" s="12" t="n">
        <v>17277</v>
      </c>
      <c r="B1653" s="13" t="s">
        <v>7209</v>
      </c>
      <c r="C1653" s="14" t="n">
        <v>45565</v>
      </c>
      <c r="D1653" s="13" t="s">
        <v>5726</v>
      </c>
      <c r="E1653" s="15" t="s">
        <v>47</v>
      </c>
      <c r="F1653" s="15" t="str">
        <f aca="false">IFERROR(__xludf.dummyfunction("XLOOKUP(AJ1653,IMPORTRANGE(""1XaInW9DU9nz21V0tYIfzFQ0He9kVQ_JF2mCXgZ3hqFA"",""REKAP ALL 2026 - Andika!G:G""),IMPORTRANGE(""1XaInW9DU9nz21V0tYIfzFQ0He9kVQ_JF2mCXgZ3hqFA"",""REKAP ALL 2026 - Andika!F:F""),"""",0)"),"25012461940")</f>
        <v>25012461940</v>
      </c>
      <c r="G1653" s="15" t="s">
        <v>7210</v>
      </c>
      <c r="H1653" s="13" t="s">
        <v>35</v>
      </c>
      <c r="I1653" s="13" t="str">
        <f aca="false">IF(C1653=J1653,"NEW KONTRAK","RE-KONTRAK")</f>
        <v>NEW KONTRAK</v>
      </c>
      <c r="J1653" s="16" t="n">
        <f aca="false" t="array" ref="J1653:J1653">IFERROR(INDEX(AC1653:AE1653,IF(COUNTA(AC1653:AE1653)=0,"",MAX((AC1653:AE1653&lt;&gt;"")*(COLUMN(AC1653:AE1653)-(COLUMN(AC1653)))))-1),"")</f>
        <v>45565</v>
      </c>
      <c r="K1653" s="16" t="n">
        <f aca="false" t="array" ref="K1653:K1653">IFERROR(INDEX(AC1653:AE1653,IF(COUNTA(AC1653:AE1653)=0,"",MAX((AC1653:AE1653&lt;&gt;"")*(COLUMN(AC1653:AE1653)-(COLUMN(AC1653)-1))))-1),"")</f>
        <v>45929</v>
      </c>
      <c r="L1653" s="17" t="str">
        <f aca="false" t="array" ref="L1653:L1653">IFERROR(INDEX(AC1653:AE1653,IF(COUNTA(AC1653:AE1653)=0,"",MAX((AC1653:AE1653&lt;&gt;"")*(COLUMN(AC1653:AE1653)-(COLUMN(AC1653)-2))))-1),"")</f>
        <v>ARCHIVED</v>
      </c>
      <c r="M1653" s="13" t="n">
        <f aca="true">K1653-TODAY()</f>
        <v>-395</v>
      </c>
      <c r="N1653" s="18" t="s">
        <v>615</v>
      </c>
      <c r="O1653" s="15" t="s">
        <v>7088</v>
      </c>
      <c r="P1653" s="19" t="n">
        <v>5176101</v>
      </c>
      <c r="Q1653" s="20" t="s">
        <v>7211</v>
      </c>
      <c r="R1653" s="13" t="s">
        <v>232</v>
      </c>
      <c r="S1653" s="14" t="n">
        <v>35002</v>
      </c>
      <c r="T1653" s="13" t="s">
        <v>40</v>
      </c>
      <c r="U1653" s="13" t="s">
        <v>7212</v>
      </c>
      <c r="V1653" s="13" t="s">
        <v>42</v>
      </c>
      <c r="W1653" s="13" t="s">
        <v>54</v>
      </c>
      <c r="X1653" s="21" t="n">
        <v>89678000752</v>
      </c>
      <c r="Y1653" s="22" t="str">
        <f aca="false">O1653</f>
        <v>Quality Inspector</v>
      </c>
      <c r="Z1653" s="13" t="str">
        <f aca="false">IFERROR(__xludf.dummyfunction("if(BJ1653="""","""",GOOGLETRANSLATE(BJ1653,""auto"",""en""))"),"Quality Inspector")</f>
        <v>Quality Inspector</v>
      </c>
      <c r="AA1653" s="23" t="str">
        <f aca="false">IF(C1653="","", CHOOSE(MONTH(C1653),"January","February","March","April","May","June","July","August","September","October","November","December")&amp;" "&amp;DAY(C1653)&amp;MID("thstndrdth",MIN(9,2*RIGHT(DAY(C1653))*(MOD(DAY(C1653)-11,100)&gt;2)+1),2)&amp;","&amp;TEXT(C1653," yyyy"))</f>
        <v>September 30th,2024</v>
      </c>
      <c r="AB1653" s="15" t="str">
        <f aca="true">IF(S1653="","",DATEDIF(S1653,TODAY(),"Y")&amp;" Tahun, "&amp;DATEDIF(S1653,TODAY(),"YM")&amp;" Bulan, "&amp;DATEDIF(S1653,TODAY(),"MD")&amp;" Hari")</f>
        <v>30 Tahun, 11 Bulan, 29 Hari</v>
      </c>
      <c r="AC1653" s="18" t="n">
        <v>45565</v>
      </c>
      <c r="AD1653" s="18" t="n">
        <v>45929</v>
      </c>
      <c r="AE1653" s="18" t="s">
        <v>44</v>
      </c>
    </row>
    <row r="1654" customFormat="false" ht="15" hidden="false" customHeight="true" outlineLevel="0" collapsed="false">
      <c r="A1654" s="12" t="n">
        <v>17289</v>
      </c>
      <c r="B1654" s="13" t="s">
        <v>7213</v>
      </c>
      <c r="C1654" s="14" t="n">
        <v>45544</v>
      </c>
      <c r="D1654" s="13" t="s">
        <v>4755</v>
      </c>
      <c r="E1654" s="15" t="s">
        <v>102</v>
      </c>
      <c r="F1654" s="15" t="str">
        <f aca="false">IFERROR(__xludf.dummyfunction("XLOOKUP(AJ1654,IMPORTRANGE(""1XaInW9DU9nz21V0tYIfzFQ0He9kVQ_JF2mCXgZ3hqFA"",""REKAP ALL 2026 - Andika!G:G""),IMPORTRANGE(""1XaInW9DU9nz21V0tYIfzFQ0He9kVQ_JF2mCXgZ3hqFA"",""REKAP ALL 2026 - Andika!F:F""),"""",0)"),"25115947464")</f>
        <v>25115947464</v>
      </c>
      <c r="G1654" s="13" t="s">
        <v>57</v>
      </c>
      <c r="H1654" s="13" t="s">
        <v>3024</v>
      </c>
      <c r="I1654" s="13" t="str">
        <f aca="false">IF(C1654=J1654,"NEW KONTRAK","RE-KONTRAK")</f>
        <v>RE-KONTRAK</v>
      </c>
      <c r="J1654" s="16" t="n">
        <f aca="false" t="array" ref="J1654:J1654">IFERROR(INDEX(AC1654:AE1654,IF(COUNTA(AC1654:AE1654)=0,"",MAX((AC1654:AE1654&lt;&gt;"")*(COLUMN(AC1654:AE1654)-(COLUMN(AC1654)))))-1),"")</f>
        <v>45658</v>
      </c>
      <c r="K1654" s="16" t="n">
        <f aca="false" t="array" ref="K1654:K1654">IFERROR(INDEX(AC1654:AE1654,IF(COUNTA(AC1654:AE1654)=0,"",MAX((AC1654:AE1654&lt;&gt;"")*(COLUMN(AC1654:AE1654)-(COLUMN(AC1654)-1))))-1),"")</f>
        <v>45747</v>
      </c>
      <c r="L1654" s="17" t="str">
        <f aca="false" t="array" ref="L1654:L1654">IFERROR(INDEX(AC1654:AE1654,IF(COUNTA(AC1654:AE1654)=0,"",MAX((AC1654:AE1654&lt;&gt;"")*(COLUMN(AC1654:AE1654)-(COLUMN(AC1654)-2))))-1),"")</f>
        <v>ARCHIVED</v>
      </c>
      <c r="M1654" s="13" t="n">
        <f aca="true">K1654-TODAY()</f>
        <v>-577</v>
      </c>
      <c r="N1654" s="18" t="s">
        <v>615</v>
      </c>
      <c r="O1654" s="13" t="s">
        <v>4756</v>
      </c>
      <c r="P1654" s="19" t="n">
        <v>207044</v>
      </c>
      <c r="Q1654" s="20" t="s">
        <v>7214</v>
      </c>
      <c r="R1654" s="13" t="s">
        <v>232</v>
      </c>
      <c r="S1654" s="14" t="n">
        <v>33962</v>
      </c>
      <c r="T1654" s="13" t="s">
        <v>40</v>
      </c>
      <c r="U1654" s="13" t="s">
        <v>7215</v>
      </c>
      <c r="V1654" s="13" t="s">
        <v>42</v>
      </c>
      <c r="W1654" s="13" t="s">
        <v>54</v>
      </c>
      <c r="X1654" s="21" t="n">
        <v>85974397629</v>
      </c>
      <c r="Y1654" s="22" t="str">
        <f aca="false">O1654</f>
        <v>Reliever</v>
      </c>
      <c r="Z1654" s="13" t="str">
        <f aca="false">IFERROR(__xludf.dummyfunction("if(BJ1654="""","""",GOOGLETRANSLATE(BJ1654,""auto"",""en""))"),"Reliever")</f>
        <v>Reliever</v>
      </c>
      <c r="AA1654" s="23" t="str">
        <f aca="false">IF(C1654="","", CHOOSE(MONTH(C1654),"January","February","March","April","May","June","July","August","September","October","November","December")&amp;" "&amp;DAY(C1654)&amp;MID("thstndrdth",MIN(9,2*RIGHT(DAY(C1654))*(MOD(DAY(C1654)-11,100)&gt;2)+1),2)&amp;","&amp;TEXT(C1654," yyyy"))</f>
        <v>September 9th,2024</v>
      </c>
      <c r="AB1654" s="15" t="str">
        <f aca="true">IF(S1654="","",DATEDIF(S1654,TODAY(),"Y")&amp;" Tahun, "&amp;DATEDIF(S1654,TODAY(),"YM")&amp;" Bulan, "&amp;DATEDIF(S1654,TODAY(),"MD")&amp;" Hari")</f>
        <v>33 Tahun, 10 Bulan, 5 Hari</v>
      </c>
      <c r="AC1654" s="18" t="n">
        <v>45658</v>
      </c>
      <c r="AD1654" s="18" t="n">
        <v>45747</v>
      </c>
      <c r="AE1654" s="18" t="s">
        <v>44</v>
      </c>
    </row>
    <row r="1655" customFormat="false" ht="15" hidden="false" customHeight="true" outlineLevel="0" collapsed="false">
      <c r="A1655" s="12" t="n">
        <v>17291</v>
      </c>
      <c r="B1655" s="13" t="s">
        <v>7216</v>
      </c>
      <c r="C1655" s="14" t="n">
        <v>45536</v>
      </c>
      <c r="D1655" s="13" t="s">
        <v>3712</v>
      </c>
      <c r="E1655" s="15" t="s">
        <v>47</v>
      </c>
      <c r="F1655" s="15" t="str">
        <f aca="false">IFERROR(__xludf.dummyfunction("XLOOKUP(AJ1655,IMPORTRANGE(""1XaInW9DU9nz21V0tYIfzFQ0He9kVQ_JF2mCXgZ3hqFA"",""REKAP ALL 2026 - Andika!G:G""),IMPORTRANGE(""1XaInW9DU9nz21V0tYIfzFQ0He9kVQ_JF2mCXgZ3hqFA"",""REKAP ALL 2026 - Andika!F:F""),"""",0)"),"24154313936")</f>
        <v>24154313936</v>
      </c>
      <c r="G1655" s="15" t="s">
        <v>7217</v>
      </c>
      <c r="H1655" s="13" t="s">
        <v>35</v>
      </c>
      <c r="I1655" s="13" t="str">
        <f aca="false">IF(C1655=J1655,"NEW KONTRAK","RE-KONTRAK")</f>
        <v>RE-KONTRAK</v>
      </c>
      <c r="J1655" s="16" t="n">
        <f aca="false" t="array" ref="J1655:J1655">IFERROR(INDEX(AC1655:AE1655,IF(COUNTA(AC1655:AE1655)=0,"",MAX((AC1655:AE1655&lt;&gt;"")*(COLUMN(AC1655:AE1655)-(COLUMN(AC1655)))))-1),"")</f>
        <v>45658</v>
      </c>
      <c r="K1655" s="16" t="n">
        <f aca="false" t="array" ref="K1655:K1655">IFERROR(INDEX(AC1655:AE1655,IF(COUNTA(AC1655:AE1655)=0,"",MAX((AC1655:AE1655&lt;&gt;"")*(COLUMN(AC1655:AE1655)-(COLUMN(AC1655)-1))))-1),"")</f>
        <v>45975</v>
      </c>
      <c r="L1655" s="17" t="str">
        <f aca="false" t="array" ref="L1655:L1655">IFERROR(INDEX(AC1655:AE1655,IF(COUNTA(AC1655:AE1655)=0,"",MAX((AC1655:AE1655&lt;&gt;"")*(COLUMN(AC1655:AE1655)-(COLUMN(AC1655)-2))))-1),"")</f>
        <v>ARCHIVED</v>
      </c>
      <c r="M1655" s="13" t="n">
        <f aca="true">K1655-TODAY()</f>
        <v>-349</v>
      </c>
      <c r="N1655" s="18" t="s">
        <v>3714</v>
      </c>
      <c r="O1655" s="13" t="s">
        <v>3577</v>
      </c>
      <c r="P1655" s="19" t="n">
        <v>2528004</v>
      </c>
      <c r="Q1655" s="20" t="s">
        <v>7218</v>
      </c>
      <c r="R1655" s="13" t="s">
        <v>2855</v>
      </c>
      <c r="S1655" s="14" t="n">
        <v>34777</v>
      </c>
      <c r="T1655" s="13" t="s">
        <v>40</v>
      </c>
      <c r="U1655" s="13" t="s">
        <v>7219</v>
      </c>
      <c r="V1655" s="13" t="s">
        <v>42</v>
      </c>
      <c r="W1655" s="13" t="s">
        <v>43</v>
      </c>
      <c r="X1655" s="21" t="n">
        <v>895411810599</v>
      </c>
      <c r="Y1655" s="22" t="str">
        <f aca="false">O1655</f>
        <v>Kerani Gudang</v>
      </c>
      <c r="Z1655" s="13" t="str">
        <f aca="false">IFERROR(__xludf.dummyfunction("if(BJ1655="""","""",GOOGLETRANSLATE(BJ1655,""auto"",""en""))"),"Warehouse Clerk")</f>
        <v>Warehouse Clerk</v>
      </c>
      <c r="AA1655" s="23" t="str">
        <f aca="false">IF(C1655="","", CHOOSE(MONTH(C1655),"January","February","March","April","May","June","July","August","September","October","November","December")&amp;" "&amp;DAY(C1655)&amp;MID("thstndrdth",MIN(9,2*RIGHT(DAY(C1655))*(MOD(DAY(C1655)-11,100)&gt;2)+1),2)&amp;","&amp;TEXT(C1655," yyyy"))</f>
        <v>September 1st,2024</v>
      </c>
      <c r="AB1655" s="15" t="str">
        <f aca="true">IF(S1655="","",DATEDIF(S1655,TODAY(),"Y")&amp;" Tahun, "&amp;DATEDIF(S1655,TODAY(),"YM")&amp;" Bulan, "&amp;DATEDIF(S1655,TODAY(),"MD")&amp;" Hari")</f>
        <v>31 Tahun, 7 Bulan, 10 Hari</v>
      </c>
      <c r="AC1655" s="18" t="n">
        <v>45658</v>
      </c>
      <c r="AD1655" s="18" t="n">
        <v>45975</v>
      </c>
      <c r="AE1655" s="18" t="s">
        <v>44</v>
      </c>
    </row>
    <row r="1656" customFormat="false" ht="15" hidden="false" customHeight="true" outlineLevel="0" collapsed="false">
      <c r="A1656" s="12" t="n">
        <v>17294</v>
      </c>
      <c r="B1656" s="13" t="s">
        <v>7220</v>
      </c>
      <c r="C1656" s="14" t="n">
        <v>45559</v>
      </c>
      <c r="D1656" s="13" t="s">
        <v>774</v>
      </c>
      <c r="E1656" s="15" t="s">
        <v>47</v>
      </c>
      <c r="F1656" s="15" t="str">
        <f aca="false">IFERROR(__xludf.dummyfunction("XLOOKUP(AJ1656,IMPORTRANGE(""1XaInW9DU9nz21V0tYIfzFQ0He9kVQ_JF2mCXgZ3hqFA"",""REKAP ALL 2026 - Andika!G:G""),IMPORTRANGE(""1XaInW9DU9nz21V0tYIfzFQ0He9kVQ_JF2mCXgZ3hqFA"",""REKAP ALL 2026 - Andika!F:F""),"""",0)"),"24154314132")</f>
        <v>24154314132</v>
      </c>
      <c r="G1656" s="15" t="s">
        <v>7221</v>
      </c>
      <c r="H1656" s="13" t="s">
        <v>49</v>
      </c>
      <c r="I1656" s="13" t="str">
        <f aca="false">IF(C1656=J1656,"NEW KONTRAK","RE-KONTRAK")</f>
        <v>RE-KONTRAK</v>
      </c>
      <c r="J1656" s="16" t="n">
        <f aca="false" t="array" ref="J1656:J1656">IFERROR(INDEX(AC1656:AE1656,IF(COUNTA(AC1656:AE1656)=0,"",MAX((AC1656:AE1656&lt;&gt;"")*(COLUMN(AC1656:AE1656)-(COLUMN(AC1656)))))-1),"")</f>
        <v>45650</v>
      </c>
      <c r="K1656" s="16" t="n">
        <f aca="false" t="array" ref="K1656:K1656">IFERROR(INDEX(AC1656:AE1656,IF(COUNTA(AC1656:AE1656)=0,"",MAX((AC1656:AE1656&lt;&gt;"")*(COLUMN(AC1656:AE1656)-(COLUMN(AC1656)-1))))-1),"")</f>
        <v>45930</v>
      </c>
      <c r="L1656" s="17" t="str">
        <f aca="false" t="array" ref="L1656:L1656">IFERROR(INDEX(AC1656:AE1656,IF(COUNTA(AC1656:AE1656)=0,"",MAX((AC1656:AE1656&lt;&gt;"")*(COLUMN(AC1656:AE1656)-(COLUMN(AC1656)-2))))-1),"")</f>
        <v>ARCHIVED</v>
      </c>
      <c r="M1656" s="13" t="n">
        <f aca="true">K1656-TODAY()</f>
        <v>-394</v>
      </c>
      <c r="N1656" s="18" t="s">
        <v>36</v>
      </c>
      <c r="O1656" s="13" t="s">
        <v>2916</v>
      </c>
      <c r="P1656" s="19" t="n">
        <v>4000000</v>
      </c>
      <c r="Q1656" s="20" t="s">
        <v>7222</v>
      </c>
      <c r="R1656" s="13" t="s">
        <v>232</v>
      </c>
      <c r="S1656" s="14" t="n">
        <v>36779</v>
      </c>
      <c r="T1656" s="13" t="s">
        <v>40</v>
      </c>
      <c r="U1656" s="13" t="s">
        <v>7223</v>
      </c>
      <c r="V1656" s="13" t="s">
        <v>42</v>
      </c>
      <c r="W1656" s="13" t="s">
        <v>43</v>
      </c>
      <c r="X1656" s="21" t="n">
        <v>89512096182</v>
      </c>
      <c r="Y1656" s="22" t="str">
        <f aca="false">O1656</f>
        <v>Forklift</v>
      </c>
      <c r="Z1656" s="13" t="str">
        <f aca="false">IFERROR(__xludf.dummyfunction("if(BJ1656="""","""",GOOGLETRANSLATE(BJ1656,""auto"",""en""))"),"Forklift")</f>
        <v>Forklift</v>
      </c>
      <c r="AA1656" s="23" t="str">
        <f aca="false">IF(C1656="","", CHOOSE(MONTH(C1656),"January","February","March","April","May","June","July","August","September","October","November","December")&amp;" "&amp;DAY(C1656)&amp;MID("thstndrdth",MIN(9,2*RIGHT(DAY(C1656))*(MOD(DAY(C1656)-11,100)&gt;2)+1),2)&amp;","&amp;TEXT(C1656," yyyy"))</f>
        <v>September 24th,2024</v>
      </c>
      <c r="AB1656" s="15" t="str">
        <f aca="true">IF(S1656="","",DATEDIF(S1656,TODAY(),"Y")&amp;" Tahun, "&amp;DATEDIF(S1656,TODAY(),"YM")&amp;" Bulan, "&amp;DATEDIF(S1656,TODAY(),"MD")&amp;" Hari")</f>
        <v>26 Tahun, 1 Bulan, 19 Hari</v>
      </c>
      <c r="AC1656" s="18" t="n">
        <v>45650</v>
      </c>
      <c r="AD1656" s="18" t="n">
        <v>45930</v>
      </c>
      <c r="AE1656" s="18" t="s">
        <v>44</v>
      </c>
    </row>
    <row r="1657" customFormat="false" ht="15" hidden="false" customHeight="true" outlineLevel="0" collapsed="false">
      <c r="A1657" s="12" t="n">
        <v>17298</v>
      </c>
      <c r="B1657" s="13" t="s">
        <v>7224</v>
      </c>
      <c r="C1657" s="14" t="n">
        <v>45581</v>
      </c>
      <c r="D1657" s="13" t="s">
        <v>3507</v>
      </c>
      <c r="E1657" s="15" t="s">
        <v>33</v>
      </c>
      <c r="F1657" s="24" t="s">
        <v>7225</v>
      </c>
      <c r="G1657" s="15" t="s">
        <v>7226</v>
      </c>
      <c r="H1657" s="13" t="s">
        <v>35</v>
      </c>
      <c r="I1657" s="13" t="str">
        <f aca="false">IF(C1657=J1657,"NEW KONTRAK","RE-KONTRAK")</f>
        <v>RE-KONTRAK</v>
      </c>
      <c r="J1657" s="16" t="n">
        <f aca="false" t="array" ref="J1657:J1657">IFERROR(INDEX(AC1657:AE1657,IF(COUNTA(AC1657:AE1657)=0,"",MAX((AC1657:AE1657&lt;&gt;"")*(COLUMN(AC1657:AE1657)-(COLUMN(AC1657)))))-1),"")</f>
        <v>45658</v>
      </c>
      <c r="K1657" s="16" t="n">
        <f aca="false" t="array" ref="K1657:K1657">IFERROR(INDEX(AC1657:AE1657,IF(COUNTA(AC1657:AE1657)=0,"",MAX((AC1657:AE1657&lt;&gt;"")*(COLUMN(AC1657:AE1657)-(COLUMN(AC1657)-1))))-1),"")</f>
        <v>46022</v>
      </c>
      <c r="L1657" s="17" t="str">
        <f aca="false" t="array" ref="L1657:L1657">IFERROR(INDEX(AC1657:AE1657,IF(COUNTA(AC1657:AE1657)=0,"",MAX((AC1657:AE1657&lt;&gt;"")*(COLUMN(AC1657:AE1657)-(COLUMN(AC1657)-2))))-1),"")</f>
        <v>ARCHIVED</v>
      </c>
      <c r="M1657" s="13" t="n">
        <f aca="true">K1657-TODAY()</f>
        <v>-302</v>
      </c>
      <c r="N1657" s="18" t="s">
        <v>105</v>
      </c>
      <c r="O1657" s="13" t="s">
        <v>58</v>
      </c>
      <c r="P1657" s="19" t="n">
        <v>115000</v>
      </c>
      <c r="Q1657" s="20" t="s">
        <v>7227</v>
      </c>
      <c r="R1657" s="13" t="s">
        <v>39</v>
      </c>
      <c r="S1657" s="14" t="n">
        <v>35927</v>
      </c>
      <c r="T1657" s="13" t="s">
        <v>108</v>
      </c>
      <c r="U1657" s="13" t="s">
        <v>7228</v>
      </c>
      <c r="V1657" s="13" t="s">
        <v>42</v>
      </c>
      <c r="W1657" s="13" t="s">
        <v>43</v>
      </c>
      <c r="X1657" s="21" t="n">
        <v>81234997312</v>
      </c>
      <c r="Y1657" s="22" t="str">
        <f aca="false">O1657</f>
        <v>Produksi</v>
      </c>
      <c r="Z1657" s="13" t="str">
        <f aca="false">IFERROR(__xludf.dummyfunction("if(BJ1657="""","""",GOOGLETRANSLATE(BJ1657,""auto"",""en""))"),"Production")</f>
        <v>Production</v>
      </c>
      <c r="AA1657" s="23" t="str">
        <f aca="false">IF(C1657="","", CHOOSE(MONTH(C1657),"January","February","March","April","May","June","July","August","September","October","November","December")&amp;" "&amp;DAY(C1657)&amp;MID("thstndrdth",MIN(9,2*RIGHT(DAY(C1657))*(MOD(DAY(C1657)-11,100)&gt;2)+1),2)&amp;","&amp;TEXT(C1657," yyyy"))</f>
        <v>October 16th,2024</v>
      </c>
      <c r="AB1657" s="15" t="str">
        <f aca="true">IF(S1657="","",DATEDIF(S1657,TODAY(),"Y")&amp;" Tahun, "&amp;DATEDIF(S1657,TODAY(),"YM")&amp;" Bulan, "&amp;DATEDIF(S1657,TODAY(),"MD")&amp;" Hari")</f>
        <v>28 Tahun, 5 Bulan, 17 Hari</v>
      </c>
      <c r="AC1657" s="18" t="n">
        <v>45658</v>
      </c>
      <c r="AD1657" s="18" t="n">
        <v>46022</v>
      </c>
      <c r="AE1657" s="18" t="s">
        <v>44</v>
      </c>
    </row>
    <row r="1658" customFormat="false" ht="15" hidden="false" customHeight="true" outlineLevel="0" collapsed="false">
      <c r="A1658" s="12" t="n">
        <v>17329</v>
      </c>
      <c r="B1658" s="13" t="s">
        <v>7229</v>
      </c>
      <c r="C1658" s="14" t="n">
        <v>45561</v>
      </c>
      <c r="D1658" s="13" t="s">
        <v>4755</v>
      </c>
      <c r="E1658" s="15" t="s">
        <v>47</v>
      </c>
      <c r="F1658" s="15" t="str">
        <f aca="false">IFERROR(__xludf.dummyfunction("XLOOKUP(AJ1658,IMPORTRANGE(""1XaInW9DU9nz21V0tYIfzFQ0He9kVQ_JF2mCXgZ3hqFA"",""REKAP ALL 2026 - Andika!G:G""),IMPORTRANGE(""1XaInW9DU9nz21V0tYIfzFQ0He9kVQ_JF2mCXgZ3hqFA"",""REKAP ALL 2026 - Andika!F:F""),"""",0)"),"26062984591")</f>
        <v>26062984591</v>
      </c>
      <c r="G1658" s="13" t="s">
        <v>57</v>
      </c>
      <c r="H1658" s="13" t="s">
        <v>3024</v>
      </c>
      <c r="I1658" s="13" t="str">
        <f aca="false">IF(C1658=J1658,"NEW KONTRAK","RE-KONTRAK")</f>
        <v>RE-KONTRAK</v>
      </c>
      <c r="J1658" s="16" t="n">
        <f aca="false" t="array" ref="J1658:J1658">IFERROR(INDEX(AC1658:AE1658,IF(COUNTA(AC1658:AE1658)=0,"",MAX((AC1658:AE1658&lt;&gt;"")*(COLUMN(AC1658:AE1658)-(COLUMN(AC1658)))))-1),"")</f>
        <v>45658</v>
      </c>
      <c r="K1658" s="16" t="n">
        <f aca="false" t="array" ref="K1658:K1658">IFERROR(INDEX(AC1658:AE1658,IF(COUNTA(AC1658:AE1658)=0,"",MAX((AC1658:AE1658&lt;&gt;"")*(COLUMN(AC1658:AE1658)-(COLUMN(AC1658)-1))))-1),"")</f>
        <v>45747</v>
      </c>
      <c r="L1658" s="17" t="str">
        <f aca="false" t="array" ref="L1658:L1658">IFERROR(INDEX(AC1658:AE1658,IF(COUNTA(AC1658:AE1658)=0,"",MAX((AC1658:AE1658&lt;&gt;"")*(COLUMN(AC1658:AE1658)-(COLUMN(AC1658)-2))))-1),"")</f>
        <v>ARCHIVED</v>
      </c>
      <c r="M1658" s="13" t="n">
        <f aca="true">K1658-TODAY()</f>
        <v>-577</v>
      </c>
      <c r="N1658" s="18" t="s">
        <v>615</v>
      </c>
      <c r="O1658" s="13" t="s">
        <v>4756</v>
      </c>
      <c r="P1658" s="19" t="n">
        <v>207044</v>
      </c>
      <c r="Q1658" s="20" t="s">
        <v>7230</v>
      </c>
      <c r="R1658" s="13" t="s">
        <v>232</v>
      </c>
      <c r="S1658" s="14" t="n">
        <v>37176</v>
      </c>
      <c r="T1658" s="13" t="s">
        <v>40</v>
      </c>
      <c r="U1658" s="13" t="s">
        <v>7231</v>
      </c>
      <c r="V1658" s="13" t="s">
        <v>42</v>
      </c>
      <c r="W1658" s="13" t="s">
        <v>43</v>
      </c>
      <c r="X1658" s="21" t="n">
        <v>8816966438</v>
      </c>
      <c r="Y1658" s="22" t="str">
        <f aca="false">O1658</f>
        <v>Reliever</v>
      </c>
      <c r="Z1658" s="13" t="str">
        <f aca="false">IFERROR(__xludf.dummyfunction("if(BJ1658="""","""",GOOGLETRANSLATE(BJ1658,""auto"",""en""))"),"Reliever")</f>
        <v>Reliever</v>
      </c>
      <c r="AA1658" s="23" t="str">
        <f aca="false">IF(C1658="","", CHOOSE(MONTH(C1658),"January","February","March","April","May","June","July","August","September","October","November","December")&amp;" "&amp;DAY(C1658)&amp;MID("thstndrdth",MIN(9,2*RIGHT(DAY(C1658))*(MOD(DAY(C1658)-11,100)&gt;2)+1),2)&amp;","&amp;TEXT(C1658," yyyy"))</f>
        <v>September 26th,2024</v>
      </c>
      <c r="AB1658" s="15" t="str">
        <f aca="true">IF(S1658="","",DATEDIF(S1658,TODAY(),"Y")&amp;" Tahun, "&amp;DATEDIF(S1658,TODAY(),"YM")&amp;" Bulan, "&amp;DATEDIF(S1658,TODAY(),"MD")&amp;" Hari")</f>
        <v>25 Tahun, 0 Bulan, 17 Hari</v>
      </c>
      <c r="AC1658" s="18" t="n">
        <v>45658</v>
      </c>
      <c r="AD1658" s="18" t="n">
        <v>45747</v>
      </c>
      <c r="AE1658" s="18" t="s">
        <v>44</v>
      </c>
    </row>
    <row r="1659" customFormat="false" ht="15" hidden="false" customHeight="true" outlineLevel="0" collapsed="false">
      <c r="A1659" s="12" t="n">
        <v>17330</v>
      </c>
      <c r="B1659" s="13" t="s">
        <v>7232</v>
      </c>
      <c r="C1659" s="14" t="n">
        <v>45561</v>
      </c>
      <c r="D1659" s="13" t="s">
        <v>3022</v>
      </c>
      <c r="E1659" s="15" t="s">
        <v>47</v>
      </c>
      <c r="F1659" s="15" t="str">
        <f aca="false">IFERROR(__xludf.dummyfunction("XLOOKUP(AJ1659,IMPORTRANGE(""1XaInW9DU9nz21V0tYIfzFQ0He9kVQ_JF2mCXgZ3hqFA"",""REKAP ALL 2026 - Andika!G:G""),IMPORTRANGE(""1XaInW9DU9nz21V0tYIfzFQ0He9kVQ_JF2mCXgZ3hqFA"",""REKAP ALL 2026 - Andika!F:F""),"""",0)"),"24154314116")</f>
        <v>24154314116</v>
      </c>
      <c r="G1659" s="13" t="s">
        <v>7233</v>
      </c>
      <c r="H1659" s="13" t="s">
        <v>3024</v>
      </c>
      <c r="I1659" s="13" t="str">
        <f aca="false">IF(C1659=J1659,"NEW KONTRAK","RE-KONTRAK")</f>
        <v>RE-KONTRAK</v>
      </c>
      <c r="J1659" s="16" t="n">
        <f aca="false" t="array" ref="J1659:J1659">IFERROR(INDEX(AC1659:AE1659,IF(COUNTA(AC1659:AE1659)=0,"",MAX((AC1659:AE1659&lt;&gt;"")*(COLUMN(AC1659:AE1659)-(COLUMN(AC1659)))))-1),"")</f>
        <v>45652</v>
      </c>
      <c r="K1659" s="16" t="n">
        <f aca="false" t="array" ref="K1659:K1659">IFERROR(INDEX(AC1659:AE1659,IF(COUNTA(AC1659:AE1659)=0,"",MAX((AC1659:AE1659&lt;&gt;"")*(COLUMN(AC1659:AE1659)-(COLUMN(AC1659)-1))))-1),"")</f>
        <v>45934</v>
      </c>
      <c r="L1659" s="17" t="str">
        <f aca="false" t="array" ref="L1659:L1659">IFERROR(INDEX(AC1659:AE1659,IF(COUNTA(AC1659:AE1659)=0,"",MAX((AC1659:AE1659&lt;&gt;"")*(COLUMN(AC1659:AE1659)-(COLUMN(AC1659)-2))))-1),"")</f>
        <v>ARCHIVED</v>
      </c>
      <c r="M1659" s="13" t="n">
        <f aca="true">K1659-TODAY()</f>
        <v>-390</v>
      </c>
      <c r="N1659" s="18" t="s">
        <v>36</v>
      </c>
      <c r="O1659" s="13" t="s">
        <v>58</v>
      </c>
      <c r="P1659" s="19" t="n">
        <v>137500</v>
      </c>
      <c r="Q1659" s="20" t="s">
        <v>7234</v>
      </c>
      <c r="R1659" s="13" t="s">
        <v>65</v>
      </c>
      <c r="S1659" s="14" t="n">
        <v>35371</v>
      </c>
      <c r="T1659" s="13" t="s">
        <v>40</v>
      </c>
      <c r="U1659" s="13" t="s">
        <v>7235</v>
      </c>
      <c r="V1659" s="13" t="s">
        <v>42</v>
      </c>
      <c r="W1659" s="13" t="s">
        <v>54</v>
      </c>
      <c r="X1659" s="21" t="n">
        <v>81331765092</v>
      </c>
      <c r="Y1659" s="22" t="str">
        <f aca="false">O1659</f>
        <v>Produksi</v>
      </c>
      <c r="Z1659" s="13" t="str">
        <f aca="false">IFERROR(__xludf.dummyfunction("if(BJ1659="""","""",GOOGLETRANSLATE(BJ1659,""auto"",""en""))"),"Production")</f>
        <v>Production</v>
      </c>
      <c r="AA1659" s="23" t="str">
        <f aca="false">IF(C1659="","", CHOOSE(MONTH(C1659),"January","February","March","April","May","June","July","August","September","October","November","December")&amp;" "&amp;DAY(C1659)&amp;MID("thstndrdth",MIN(9,2*RIGHT(DAY(C1659))*(MOD(DAY(C1659)-11,100)&gt;2)+1),2)&amp;","&amp;TEXT(C1659," yyyy"))</f>
        <v>September 26th,2024</v>
      </c>
      <c r="AB1659" s="15" t="str">
        <f aca="true">IF(S1659="","",DATEDIF(S1659,TODAY(),"Y")&amp;" Tahun, "&amp;DATEDIF(S1659,TODAY(),"YM")&amp;" Bulan, "&amp;DATEDIF(S1659,TODAY(),"MD")&amp;" Hari")</f>
        <v>29 Tahun, 11 Bulan, 27 Hari</v>
      </c>
      <c r="AC1659" s="18" t="n">
        <v>45652</v>
      </c>
      <c r="AD1659" s="18" t="n">
        <v>45934</v>
      </c>
      <c r="AE1659" s="18" t="s">
        <v>44</v>
      </c>
    </row>
    <row r="1660" customFormat="false" ht="15" hidden="false" customHeight="true" outlineLevel="0" collapsed="false">
      <c r="A1660" s="12" t="n">
        <v>17333</v>
      </c>
      <c r="B1660" s="13" t="s">
        <v>7236</v>
      </c>
      <c r="C1660" s="14" t="n">
        <v>45565</v>
      </c>
      <c r="D1660" s="13" t="s">
        <v>4252</v>
      </c>
      <c r="E1660" s="15" t="s">
        <v>33</v>
      </c>
      <c r="F1660" s="24" t="s">
        <v>7237</v>
      </c>
      <c r="G1660" s="15" t="s">
        <v>57</v>
      </c>
      <c r="H1660" s="13" t="s">
        <v>3024</v>
      </c>
      <c r="I1660" s="13" t="str">
        <f aca="false">IF(C1660=J1660,"NEW KONTRAK","RE-KONTRAK")</f>
        <v>RE-KONTRAK</v>
      </c>
      <c r="J1660" s="16" t="n">
        <f aca="false" t="array" ref="J1660:J1660">IFERROR(INDEX(AC1660:AE1660,IF(COUNTA(AC1660:AE1660)=0,"",MAX((AC1660:AE1660&lt;&gt;"")*(COLUMN(AC1660:AE1660)-(COLUMN(AC1660)))))-1),"")</f>
        <v>45855</v>
      </c>
      <c r="K1660" s="16" t="n">
        <f aca="false" t="array" ref="K1660:K1660">IFERROR(INDEX(AC1660:AE1660,IF(COUNTA(AC1660:AE1660)=0,"",MAX((AC1660:AE1660&lt;&gt;"")*(COLUMN(AC1660:AE1660)-(COLUMN(AC1660)-1))))-1),"")</f>
        <v>45946</v>
      </c>
      <c r="L1660" s="17" t="str">
        <f aca="false" t="array" ref="L1660:L1660">IFERROR(INDEX(AC1660:AE1660,IF(COUNTA(AC1660:AE1660)=0,"",MAX((AC1660:AE1660&lt;&gt;"")*(COLUMN(AC1660:AE1660)-(COLUMN(AC1660)-2))))-1),"")</f>
        <v>ARCHIVED</v>
      </c>
      <c r="M1660" s="13" t="n">
        <f aca="true">K1660-TODAY()</f>
        <v>-378</v>
      </c>
      <c r="N1660" s="18" t="s">
        <v>36</v>
      </c>
      <c r="O1660" s="13" t="s">
        <v>7238</v>
      </c>
      <c r="P1660" s="19" t="n">
        <v>134000</v>
      </c>
      <c r="Q1660" s="20" t="s">
        <v>7239</v>
      </c>
      <c r="R1660" s="13" t="s">
        <v>39</v>
      </c>
      <c r="S1660" s="14" t="n">
        <v>36684</v>
      </c>
      <c r="T1660" s="13" t="s">
        <v>108</v>
      </c>
      <c r="U1660" s="13" t="s">
        <v>7240</v>
      </c>
      <c r="V1660" s="13" t="s">
        <v>42</v>
      </c>
      <c r="W1660" s="13" t="s">
        <v>43</v>
      </c>
      <c r="X1660" s="30" t="n">
        <v>85775107991</v>
      </c>
      <c r="Y1660" s="22" t="str">
        <f aca="false">O1660</f>
        <v>Operator Mixing</v>
      </c>
      <c r="Z1660" s="13" t="str">
        <f aca="false">IFERROR(__xludf.dummyfunction("if(BJ1660="""","""",GOOGLETRANSLATE(BJ1660,""auto"",""en""))"),"Operator Mixing")</f>
        <v>Operator Mixing</v>
      </c>
      <c r="AA1660" s="23" t="str">
        <f aca="false">IF(C1660="","", CHOOSE(MONTH(C1660),"January","February","March","April","May","June","July","August","September","October","November","December")&amp;" "&amp;DAY(C1660)&amp;MID("thstndrdth",MIN(9,2*RIGHT(DAY(C1660))*(MOD(DAY(C1660)-11,100)&gt;2)+1),2)&amp;","&amp;TEXT(C1660," yyyy"))</f>
        <v>September 30th,2024</v>
      </c>
      <c r="AB1660" s="15" t="str">
        <f aca="true">IF(S1660="","",DATEDIF(S1660,TODAY(),"Y")&amp;" Tahun, "&amp;DATEDIF(S1660,TODAY(),"YM")&amp;" Bulan, "&amp;DATEDIF(S1660,TODAY(),"MD")&amp;" Hari")</f>
        <v>26 Tahun, 4 Bulan, 22 Hari</v>
      </c>
      <c r="AC1660" s="18" t="n">
        <v>45855</v>
      </c>
      <c r="AD1660" s="18" t="n">
        <v>45946</v>
      </c>
      <c r="AE1660" s="18" t="s">
        <v>44</v>
      </c>
    </row>
    <row r="1661" customFormat="false" ht="15" hidden="false" customHeight="true" outlineLevel="0" collapsed="false">
      <c r="A1661" s="12" t="n">
        <v>17554</v>
      </c>
      <c r="B1661" s="13" t="s">
        <v>7241</v>
      </c>
      <c r="C1661" s="14" t="n">
        <v>45567</v>
      </c>
      <c r="D1661" s="13" t="s">
        <v>5726</v>
      </c>
      <c r="E1661" s="15" t="s">
        <v>33</v>
      </c>
      <c r="F1661" s="24" t="s">
        <v>7242</v>
      </c>
      <c r="G1661" s="15" t="s">
        <v>7243</v>
      </c>
      <c r="H1661" s="13" t="s">
        <v>35</v>
      </c>
      <c r="I1661" s="13" t="str">
        <f aca="false">IF(C1661=J1661,"NEW KONTRAK","RE-KONTRAK")</f>
        <v>NEW KONTRAK</v>
      </c>
      <c r="J1661" s="16" t="n">
        <f aca="false" t="array" ref="J1661:J1661">IFERROR(INDEX(AC1661:AE1661,IF(COUNTA(AC1661:AE1661)=0,"",MAX((AC1661:AE1661&lt;&gt;"")*(COLUMN(AC1661:AE1661)-(COLUMN(AC1661)))))-1),"")</f>
        <v>45567</v>
      </c>
      <c r="K1661" s="16" t="n">
        <f aca="false" t="array" ref="K1661:K1661">IFERROR(INDEX(AC1661:AE1661,IF(COUNTA(AC1661:AE1661)=0,"",MAX((AC1661:AE1661&lt;&gt;"")*(COLUMN(AC1661:AE1661)-(COLUMN(AC1661)-1))))-1),"")</f>
        <v>45931</v>
      </c>
      <c r="L1661" s="17" t="str">
        <f aca="false" t="array" ref="L1661:L1661">IFERROR(INDEX(AC1661:AE1661,IF(COUNTA(AC1661:AE1661)=0,"",MAX((AC1661:AE1661&lt;&gt;"")*(COLUMN(AC1661:AE1661)-(COLUMN(AC1661)-2))))-1),"")</f>
        <v>ARCHIVED</v>
      </c>
      <c r="M1661" s="13" t="n">
        <f aca="true">K1661-TODAY()</f>
        <v>-393</v>
      </c>
      <c r="N1661" s="18" t="s">
        <v>615</v>
      </c>
      <c r="O1661" s="13" t="s">
        <v>7088</v>
      </c>
      <c r="P1661" s="19" t="n">
        <v>4624787</v>
      </c>
      <c r="Q1661" s="20" t="s">
        <v>7244</v>
      </c>
      <c r="R1661" s="13" t="s">
        <v>232</v>
      </c>
      <c r="S1661" s="14" t="n">
        <v>35835</v>
      </c>
      <c r="T1661" s="13" t="s">
        <v>108</v>
      </c>
      <c r="U1661" s="13" t="s">
        <v>7245</v>
      </c>
      <c r="V1661" s="13" t="s">
        <v>42</v>
      </c>
      <c r="W1661" s="13" t="s">
        <v>43</v>
      </c>
      <c r="X1661" s="21" t="n">
        <v>81333613123</v>
      </c>
      <c r="Y1661" s="22" t="str">
        <f aca="false">O1661</f>
        <v>Quality Inspector</v>
      </c>
      <c r="Z1661" s="13" t="str">
        <f aca="false">IFERROR(__xludf.dummyfunction("if(BJ1661="""","""",GOOGLETRANSLATE(BJ1661,""auto"",""en""))"),"Quality Inspector")</f>
        <v>Quality Inspector</v>
      </c>
      <c r="AA1661" s="23" t="str">
        <f aca="false">IF(C1661="","", CHOOSE(MONTH(C1661),"January","February","March","April","May","June","July","August","September","October","November","December")&amp;" "&amp;DAY(C1661)&amp;MID("thstndrdth",MIN(9,2*RIGHT(DAY(C1661))*(MOD(DAY(C1661)-11,100)&gt;2)+1),2)&amp;","&amp;TEXT(C1661," yyyy"))</f>
        <v>October 2nd,2024</v>
      </c>
      <c r="AB1661" s="15" t="str">
        <f aca="true">IF(S1661="","",DATEDIF(S1661,TODAY(),"Y")&amp;" Tahun, "&amp;DATEDIF(S1661,TODAY(),"YM")&amp;" Bulan, "&amp;DATEDIF(S1661,TODAY(),"MD")&amp;" Hari")</f>
        <v>28 Tahun, 8 Bulan, 20 Hari</v>
      </c>
      <c r="AC1661" s="18" t="n">
        <v>45567</v>
      </c>
      <c r="AD1661" s="18" t="n">
        <v>45931</v>
      </c>
      <c r="AE1661" s="18" t="s">
        <v>44</v>
      </c>
    </row>
    <row r="1662" customFormat="false" ht="15" hidden="false" customHeight="true" outlineLevel="0" collapsed="false">
      <c r="A1662" s="12" t="n">
        <v>19049</v>
      </c>
      <c r="B1662" s="76" t="s">
        <v>7246</v>
      </c>
      <c r="C1662" s="16" t="n">
        <v>45754</v>
      </c>
      <c r="D1662" s="13" t="s">
        <v>5726</v>
      </c>
      <c r="E1662" s="15" t="s">
        <v>789</v>
      </c>
      <c r="F1662" s="15" t="str">
        <f aca="false">IFERROR(__xludf.dummyfunction("XLOOKUP(AJ1662,IMPORTRANGE(""1XaInW9DU9nz21V0tYIfzFQ0He9kVQ_JF2mCXgZ3hqFA"",""REKAP ALL 2026 - Andika!G:G""),IMPORTRANGE(""1XaInW9DU9nz21V0tYIfzFQ0He9kVQ_JF2mCXgZ3hqFA"",""REKAP ALL 2026 - Andika!F:F""),"""",0)"),"24061768859")</f>
        <v>24061768859</v>
      </c>
      <c r="G1662" s="13" t="s">
        <v>7247</v>
      </c>
      <c r="H1662" s="13" t="s">
        <v>35</v>
      </c>
      <c r="I1662" s="13" t="str">
        <f aca="false">IF(C1662=J1662,"NEW KONTRAK","RE-KONTRAK")</f>
        <v>RE-KONTRAK</v>
      </c>
      <c r="J1662" s="16" t="n">
        <f aca="false" t="array" ref="J1662:J1662">IFERROR(INDEX(AC1662:AE1662,IF(COUNTA(AC1662:AE1662)=0,"",MAX((AC1662:AE1662&lt;&gt;"")*(COLUMN(AC1662:AE1662)-(COLUMN(AC1662)))))-1),"")</f>
        <v>45845</v>
      </c>
      <c r="K1662" s="16" t="n">
        <f aca="false" t="array" ref="K1662:K1662">IFERROR(INDEX(AC1662:AE1662,IF(COUNTA(AC1662:AE1662)=0,"",MAX((AC1662:AE1662&lt;&gt;"")*(COLUMN(AC1662:AE1662)-(COLUMN(AC1662)-1))))-1),"")</f>
        <v>45936</v>
      </c>
      <c r="L1662" s="17" t="str">
        <f aca="false" t="array" ref="L1662:L1662">IFERROR(INDEX(AC1662:AE1662,IF(COUNTA(AC1662:AE1662)=0,"",MAX((AC1662:AE1662&lt;&gt;"")*(COLUMN(AC1662:AE1662)-(COLUMN(AC1662)-2))))-1),"")</f>
        <v>ARCHIVED</v>
      </c>
      <c r="M1662" s="13" t="n">
        <f aca="true">K1662-TODAY()</f>
        <v>-388</v>
      </c>
      <c r="N1662" s="18" t="s">
        <v>615</v>
      </c>
      <c r="O1662" s="13" t="s">
        <v>1531</v>
      </c>
      <c r="P1662" s="19" t="n">
        <v>5176101</v>
      </c>
      <c r="Q1662" s="77" t="s">
        <v>7248</v>
      </c>
      <c r="R1662" s="76" t="s">
        <v>232</v>
      </c>
      <c r="S1662" s="78" t="n">
        <v>38568</v>
      </c>
      <c r="T1662" s="76" t="s">
        <v>40</v>
      </c>
      <c r="U1662" s="76" t="s">
        <v>7249</v>
      </c>
      <c r="V1662" s="76" t="s">
        <v>42</v>
      </c>
      <c r="W1662" s="13" t="s">
        <v>43</v>
      </c>
      <c r="X1662" s="21" t="n">
        <v>87723059905</v>
      </c>
      <c r="Y1662" s="22" t="str">
        <f aca="false">O1662</f>
        <v>Packer</v>
      </c>
      <c r="Z1662" s="13" t="str">
        <f aca="false">IFERROR(__xludf.dummyfunction("if(BJ1662="""","""",GOOGLETRANSLATE(BJ1662,""auto"",""en""))"),"Packer")</f>
        <v>Packer</v>
      </c>
      <c r="AA1662" s="23" t="str">
        <f aca="false">IF(C1662="","", CHOOSE(MONTH(C1662),"January","February","March","April","May","June","July","August","September","October","November","December")&amp;" "&amp;DAY(C1662)&amp;MID("thstndrdth",MIN(9,2*RIGHT(DAY(C1662))*(MOD(DAY(C1662)-11,100)&gt;2)+1),2)&amp;","&amp;TEXT(C1662," yyyy"))</f>
        <v>April 7th,2025</v>
      </c>
      <c r="AB1662" s="15" t="str">
        <f aca="true">IF(S1662="","",DATEDIF(S1662,TODAY(),"Y")&amp;" Tahun, "&amp;DATEDIF(S1662,TODAY(),"YM")&amp;" Bulan, "&amp;DATEDIF(S1662,TODAY(),"MD")&amp;" Hari")</f>
        <v>21 Tahun, 2 Bulan, 25 Hari</v>
      </c>
      <c r="AC1662" s="18" t="n">
        <v>45845</v>
      </c>
      <c r="AD1662" s="18" t="n">
        <v>45936</v>
      </c>
      <c r="AE1662" s="18" t="s">
        <v>44</v>
      </c>
    </row>
    <row r="1663" customFormat="false" ht="15" hidden="false" customHeight="true" outlineLevel="0" collapsed="false">
      <c r="A1663" s="12" t="n">
        <v>17558</v>
      </c>
      <c r="B1663" s="13" t="s">
        <v>7250</v>
      </c>
      <c r="C1663" s="14" t="n">
        <v>45569</v>
      </c>
      <c r="D1663" s="13" t="s">
        <v>5726</v>
      </c>
      <c r="E1663" s="15" t="s">
        <v>47</v>
      </c>
      <c r="F1663" s="15" t="str">
        <f aca="false">IFERROR(__xludf.dummyfunction("XLOOKUP(AJ1663,IMPORTRANGE(""1XaInW9DU9nz21V0tYIfzFQ0He9kVQ_JF2mCXgZ3hqFA"",""REKAP ALL 2026 - Andika!G:G""),IMPORTRANGE(""1XaInW9DU9nz21V0tYIfzFQ0He9kVQ_JF2mCXgZ3hqFA"",""REKAP ALL 2026 - Andika!F:F""),"""",0)"),"26046410622")</f>
        <v>26046410622</v>
      </c>
      <c r="G1663" s="15" t="s">
        <v>7251</v>
      </c>
      <c r="H1663" s="13" t="s">
        <v>35</v>
      </c>
      <c r="I1663" s="13" t="str">
        <f aca="false">IF(C1663=J1663,"NEW KONTRAK","RE-KONTRAK")</f>
        <v>NEW KONTRAK</v>
      </c>
      <c r="J1663" s="16" t="n">
        <f aca="false" t="array" ref="J1663:J1663">IFERROR(INDEX(AC1663:AE1663,IF(COUNTA(AC1663:AE1663)=0,"",MAX((AC1663:AE1663&lt;&gt;"")*(COLUMN(AC1663:AE1663)-(COLUMN(AC1663)))))-1),"")</f>
        <v>45569</v>
      </c>
      <c r="K1663" s="16" t="n">
        <f aca="false" t="array" ref="K1663:K1663">IFERROR(INDEX(AC1663:AE1663,IF(COUNTA(AC1663:AE1663)=0,"",MAX((AC1663:AE1663&lt;&gt;"")*(COLUMN(AC1663:AE1663)-(COLUMN(AC1663)-1))))-1),"")</f>
        <v>45933</v>
      </c>
      <c r="L1663" s="17" t="str">
        <f aca="false" t="array" ref="L1663:L1663">IFERROR(INDEX(AC1663:AE1663,IF(COUNTA(AC1663:AE1663)=0,"",MAX((AC1663:AE1663&lt;&gt;"")*(COLUMN(AC1663:AE1663)-(COLUMN(AC1663)-2))))-1),"")</f>
        <v>ARCHIVED</v>
      </c>
      <c r="M1663" s="13" t="n">
        <f aca="true">K1663-TODAY()</f>
        <v>-391</v>
      </c>
      <c r="N1663" s="18" t="s">
        <v>615</v>
      </c>
      <c r="O1663" s="13" t="s">
        <v>1531</v>
      </c>
      <c r="P1663" s="19" t="n">
        <v>5176101</v>
      </c>
      <c r="Q1663" s="20" t="s">
        <v>7252</v>
      </c>
      <c r="R1663" s="13" t="s">
        <v>232</v>
      </c>
      <c r="S1663" s="14" t="n">
        <v>37629</v>
      </c>
      <c r="T1663" s="13" t="s">
        <v>40</v>
      </c>
      <c r="U1663" s="13" t="s">
        <v>7253</v>
      </c>
      <c r="V1663" s="13" t="s">
        <v>42</v>
      </c>
      <c r="W1663" s="13" t="s">
        <v>54</v>
      </c>
      <c r="X1663" s="21" t="n">
        <v>83848606836</v>
      </c>
      <c r="Y1663" s="22" t="str">
        <f aca="false">O1663</f>
        <v>Packer</v>
      </c>
      <c r="Z1663" s="13" t="str">
        <f aca="false">IFERROR(__xludf.dummyfunction("if(BJ1663="""","""",GOOGLETRANSLATE(BJ1663,""auto"",""en""))"),"Packer")</f>
        <v>Packer</v>
      </c>
      <c r="AA1663" s="23" t="str">
        <f aca="false">IF(C1663="","", CHOOSE(MONTH(C1663),"January","February","March","April","May","June","July","August","September","October","November","December")&amp;" "&amp;DAY(C1663)&amp;MID("thstndrdth",MIN(9,2*RIGHT(DAY(C1663))*(MOD(DAY(C1663)-11,100)&gt;2)+1),2)&amp;","&amp;TEXT(C1663," yyyy"))</f>
        <v>October 4th,2024</v>
      </c>
      <c r="AB1663" s="15" t="str">
        <f aca="true">IF(S1663="","",DATEDIF(S1663,TODAY(),"Y")&amp;" Tahun, "&amp;DATEDIF(S1663,TODAY(),"YM")&amp;" Bulan, "&amp;DATEDIF(S1663,TODAY(),"MD")&amp;" Hari")</f>
        <v>23 Tahun, 9 Bulan, 21 Hari</v>
      </c>
      <c r="AC1663" s="18" t="n">
        <v>45569</v>
      </c>
      <c r="AD1663" s="18" t="n">
        <v>45933</v>
      </c>
      <c r="AE1663" s="18" t="s">
        <v>44</v>
      </c>
    </row>
    <row r="1664" customFormat="false" ht="15" hidden="false" customHeight="true" outlineLevel="0" collapsed="false">
      <c r="A1664" s="12" t="n">
        <v>17560</v>
      </c>
      <c r="B1664" s="13" t="s">
        <v>7254</v>
      </c>
      <c r="C1664" s="14" t="n">
        <v>45561</v>
      </c>
      <c r="D1664" s="13" t="s">
        <v>6638</v>
      </c>
      <c r="E1664" s="15" t="s">
        <v>33</v>
      </c>
      <c r="F1664" s="24" t="s">
        <v>7255</v>
      </c>
      <c r="G1664" s="15" t="s">
        <v>7256</v>
      </c>
      <c r="H1664" s="13" t="s">
        <v>35</v>
      </c>
      <c r="I1664" s="13" t="str">
        <f aca="false">IF(C1664=J1664,"NEW KONTRAK","RE-KONTRAK")</f>
        <v>RE-KONTRAK</v>
      </c>
      <c r="J1664" s="16" t="n">
        <f aca="false" t="array" ref="J1664:J1664">IFERROR(INDEX(AC1664:AE1664,IF(COUNTA(AC1664:AE1664)=0,"",MAX((AC1664:AE1664&lt;&gt;"")*(COLUMN(AC1664:AE1664)-(COLUMN(AC1664)))))-1),"")</f>
        <v>45742</v>
      </c>
      <c r="K1664" s="16" t="n">
        <f aca="false" t="array" ref="K1664:K1664">IFERROR(INDEX(AC1664:AE1664,IF(COUNTA(AC1664:AE1664)=0,"",MAX((AC1664:AE1664&lt;&gt;"")*(COLUMN(AC1664:AE1664)-(COLUMN(AC1664)-1))))-1),"")</f>
        <v>45925</v>
      </c>
      <c r="L1664" s="17" t="str">
        <f aca="false" t="array" ref="L1664:L1664">IFERROR(INDEX(AC1664:AE1664,IF(COUNTA(AC1664:AE1664)=0,"",MAX((AC1664:AE1664&lt;&gt;"")*(COLUMN(AC1664:AE1664)-(COLUMN(AC1664)-2))))-1),"")</f>
        <v>ARCHIVED</v>
      </c>
      <c r="M1664" s="13" t="n">
        <f aca="true">K1664-TODAY()</f>
        <v>-399</v>
      </c>
      <c r="N1664" s="18" t="s">
        <v>4735</v>
      </c>
      <c r="O1664" s="13" t="s">
        <v>7257</v>
      </c>
      <c r="P1664" s="19" t="n">
        <v>2928275</v>
      </c>
      <c r="Q1664" s="20" t="s">
        <v>7258</v>
      </c>
      <c r="R1664" s="13" t="s">
        <v>1214</v>
      </c>
      <c r="S1664" s="14" t="n">
        <v>37247</v>
      </c>
      <c r="T1664" s="13" t="s">
        <v>108</v>
      </c>
      <c r="U1664" s="13" t="s">
        <v>7259</v>
      </c>
      <c r="V1664" s="13" t="s">
        <v>42</v>
      </c>
      <c r="W1664" s="13" t="s">
        <v>43</v>
      </c>
      <c r="X1664" s="21" t="n">
        <v>82334229282</v>
      </c>
      <c r="Y1664" s="22" t="str">
        <f aca="false">O1664</f>
        <v>HR Project Specialist</v>
      </c>
      <c r="Z1664" s="13" t="str">
        <f aca="false">IFERROR(__xludf.dummyfunction("if(BJ1664="""","""",GOOGLETRANSLATE(BJ1664,""auto"",""en""))"),"HR Project Specialist")</f>
        <v>HR Project Specialist</v>
      </c>
      <c r="AA1664" s="23" t="str">
        <f aca="false">IF(C1664="","", CHOOSE(MONTH(C1664),"January","February","March","April","May","June","July","August","September","October","November","December")&amp;" "&amp;DAY(C1664)&amp;MID("thstndrdth",MIN(9,2*RIGHT(DAY(C1664))*(MOD(DAY(C1664)-11,100)&gt;2)+1),2)&amp;","&amp;TEXT(C1664," yyyy"))</f>
        <v>September 26th,2024</v>
      </c>
      <c r="AB1664" s="15" t="str">
        <f aca="true">IF(S1664="","",DATEDIF(S1664,TODAY(),"Y")&amp;" Tahun, "&amp;DATEDIF(S1664,TODAY(),"YM")&amp;" Bulan, "&amp;DATEDIF(S1664,TODAY(),"MD")&amp;" Hari")</f>
        <v>24 Tahun, 10 Bulan, 7 Hari</v>
      </c>
      <c r="AC1664" s="18" t="n">
        <v>45742</v>
      </c>
      <c r="AD1664" s="18" t="n">
        <v>45925</v>
      </c>
      <c r="AE1664" s="18" t="s">
        <v>44</v>
      </c>
    </row>
    <row r="1665" customFormat="false" ht="15" hidden="false" customHeight="true" outlineLevel="0" collapsed="false">
      <c r="A1665" s="12" t="n">
        <v>17578</v>
      </c>
      <c r="B1665" s="13" t="s">
        <v>7260</v>
      </c>
      <c r="C1665" s="14" t="n">
        <v>45567</v>
      </c>
      <c r="D1665" s="13" t="s">
        <v>4755</v>
      </c>
      <c r="E1665" s="15" t="s">
        <v>47</v>
      </c>
      <c r="F1665" s="15" t="str">
        <f aca="false">IFERROR(__xludf.dummyfunction("XLOOKUP(AJ1665,IMPORTRANGE(""1XaInW9DU9nz21V0tYIfzFQ0He9kVQ_JF2mCXgZ3hqFA"",""REKAP ALL 2026 - Andika!G:G""),IMPORTRANGE(""1XaInW9DU9nz21V0tYIfzFQ0He9kVQ_JF2mCXgZ3hqFA"",""REKAP ALL 2026 - Andika!F:F""),"""",0)"),"24195982715")</f>
        <v>24195982715</v>
      </c>
      <c r="G1665" s="13" t="s">
        <v>57</v>
      </c>
      <c r="H1665" s="13" t="s">
        <v>3024</v>
      </c>
      <c r="I1665" s="13" t="str">
        <f aca="false">IF(C1665=J1665,"NEW KONTRAK","RE-KONTRAK")</f>
        <v>RE-KONTRAK</v>
      </c>
      <c r="J1665" s="16" t="n">
        <f aca="false" t="array" ref="J1665:J1665">IFERROR(INDEX(AC1665:AE1665,IF(COUNTA(AC1665:AE1665)=0,"",MAX((AC1665:AE1665&lt;&gt;"")*(COLUMN(AC1665:AE1665)-(COLUMN(AC1665)))))-1),"")</f>
        <v>45658</v>
      </c>
      <c r="K1665" s="16" t="n">
        <f aca="false" t="array" ref="K1665:K1665">IFERROR(INDEX(AC1665:AE1665,IF(COUNTA(AC1665:AE1665)=0,"",MAX((AC1665:AE1665&lt;&gt;"")*(COLUMN(AC1665:AE1665)-(COLUMN(AC1665)-1))))-1),"")</f>
        <v>45747</v>
      </c>
      <c r="L1665" s="17" t="str">
        <f aca="false" t="array" ref="L1665:L1665">IFERROR(INDEX(AC1665:AE1665,IF(COUNTA(AC1665:AE1665)=0,"",MAX((AC1665:AE1665&lt;&gt;"")*(COLUMN(AC1665:AE1665)-(COLUMN(AC1665)-2))))-1),"")</f>
        <v>ARCHIVED</v>
      </c>
      <c r="M1665" s="13" t="n">
        <f aca="true">K1665-TODAY()</f>
        <v>-577</v>
      </c>
      <c r="N1665" s="18" t="s">
        <v>615</v>
      </c>
      <c r="O1665" s="13" t="s">
        <v>4756</v>
      </c>
      <c r="P1665" s="19" t="n">
        <v>207044</v>
      </c>
      <c r="Q1665" s="20" t="s">
        <v>7261</v>
      </c>
      <c r="R1665" s="13" t="s">
        <v>232</v>
      </c>
      <c r="S1665" s="14" t="n">
        <v>38435</v>
      </c>
      <c r="T1665" s="13" t="s">
        <v>40</v>
      </c>
      <c r="U1665" s="13" t="s">
        <v>7262</v>
      </c>
      <c r="V1665" s="13" t="s">
        <v>42</v>
      </c>
      <c r="W1665" s="13" t="s">
        <v>43</v>
      </c>
      <c r="X1665" s="21" t="n">
        <v>87780022826</v>
      </c>
      <c r="Y1665" s="22" t="str">
        <f aca="false">O1665</f>
        <v>Reliever</v>
      </c>
      <c r="Z1665" s="13" t="str">
        <f aca="false">IFERROR(__xludf.dummyfunction("if(BJ1665="""","""",GOOGLETRANSLATE(BJ1665,""auto"",""en""))"),"Reliever")</f>
        <v>Reliever</v>
      </c>
      <c r="AA1665" s="23" t="str">
        <f aca="false">IF(C1665="","", CHOOSE(MONTH(C1665),"January","February","March","April","May","June","July","August","September","October","November","December")&amp;" "&amp;DAY(C1665)&amp;MID("thstndrdth",MIN(9,2*RIGHT(DAY(C1665))*(MOD(DAY(C1665)-11,100)&gt;2)+1),2)&amp;","&amp;TEXT(C1665," yyyy"))</f>
        <v>October 2nd,2024</v>
      </c>
      <c r="AB1665" s="15" t="str">
        <f aca="true">IF(S1665="","",DATEDIF(S1665,TODAY(),"Y")&amp;" Tahun, "&amp;DATEDIF(S1665,TODAY(),"YM")&amp;" Bulan, "&amp;DATEDIF(S1665,TODAY(),"MD")&amp;" Hari")</f>
        <v>21 Tahun, 7 Bulan, 5 Hari</v>
      </c>
      <c r="AC1665" s="18" t="n">
        <v>45658</v>
      </c>
      <c r="AD1665" s="18" t="n">
        <v>45747</v>
      </c>
      <c r="AE1665" s="18" t="s">
        <v>44</v>
      </c>
    </row>
    <row r="1666" customFormat="false" ht="15" hidden="false" customHeight="true" outlineLevel="0" collapsed="false">
      <c r="A1666" s="12" t="n">
        <v>17579</v>
      </c>
      <c r="B1666" s="13" t="s">
        <v>7263</v>
      </c>
      <c r="C1666" s="14" t="n">
        <v>45567</v>
      </c>
      <c r="D1666" s="13" t="s">
        <v>4755</v>
      </c>
      <c r="E1666" s="15" t="s">
        <v>47</v>
      </c>
      <c r="F1666" s="15" t="str">
        <f aca="false">IFERROR(__xludf.dummyfunction("XLOOKUP(AJ1666,IMPORTRANGE(""1XaInW9DU9nz21V0tYIfzFQ0He9kVQ_JF2mCXgZ3hqFA"",""REKAP ALL 2026 - Andika!G:G""),IMPORTRANGE(""1XaInW9DU9nz21V0tYIfzFQ0He9kVQ_JF2mCXgZ3hqFA"",""REKAP ALL 2026 - Andika!F:F""),"""",0)"),"24195983242")</f>
        <v>24195983242</v>
      </c>
      <c r="G1666" s="13" t="s">
        <v>57</v>
      </c>
      <c r="H1666" s="13" t="s">
        <v>3024</v>
      </c>
      <c r="I1666" s="13" t="str">
        <f aca="false">IF(C1666=J1666,"NEW KONTRAK","RE-KONTRAK")</f>
        <v>RE-KONTRAK</v>
      </c>
      <c r="J1666" s="16" t="n">
        <f aca="false" t="array" ref="J1666:J1666">IFERROR(INDEX(AC1666:AE1666,IF(COUNTA(AC1666:AE1666)=0,"",MAX((AC1666:AE1666&lt;&gt;"")*(COLUMN(AC1666:AE1666)-(COLUMN(AC1666)))))-1),"")</f>
        <v>45658</v>
      </c>
      <c r="K1666" s="16" t="n">
        <f aca="false" t="array" ref="K1666:K1666">IFERROR(INDEX(AC1666:AE1666,IF(COUNTA(AC1666:AE1666)=0,"",MAX((AC1666:AE1666&lt;&gt;"")*(COLUMN(AC1666:AE1666)-(COLUMN(AC1666)-1))))-1),"")</f>
        <v>45747</v>
      </c>
      <c r="L1666" s="17" t="str">
        <f aca="false" t="array" ref="L1666:L1666">IFERROR(INDEX(AC1666:AE1666,IF(COUNTA(AC1666:AE1666)=0,"",MAX((AC1666:AE1666&lt;&gt;"")*(COLUMN(AC1666:AE1666)-(COLUMN(AC1666)-2))))-1),"")</f>
        <v>ARCHIVED</v>
      </c>
      <c r="M1666" s="13" t="n">
        <f aca="true">K1666-TODAY()</f>
        <v>-577</v>
      </c>
      <c r="N1666" s="18" t="s">
        <v>615</v>
      </c>
      <c r="O1666" s="13" t="s">
        <v>4756</v>
      </c>
      <c r="P1666" s="19" t="n">
        <v>207044</v>
      </c>
      <c r="Q1666" s="20" t="s">
        <v>7264</v>
      </c>
      <c r="R1666" s="13" t="s">
        <v>232</v>
      </c>
      <c r="S1666" s="14" t="n">
        <v>38433</v>
      </c>
      <c r="T1666" s="13" t="s">
        <v>40</v>
      </c>
      <c r="U1666" s="13" t="s">
        <v>7265</v>
      </c>
      <c r="V1666" s="13" t="s">
        <v>42</v>
      </c>
      <c r="W1666" s="13" t="s">
        <v>43</v>
      </c>
      <c r="X1666" s="21" t="n">
        <v>87786439486</v>
      </c>
      <c r="Y1666" s="22" t="str">
        <f aca="false">O1666</f>
        <v>Reliever</v>
      </c>
      <c r="Z1666" s="13" t="str">
        <f aca="false">IFERROR(__xludf.dummyfunction("if(BJ1666="""","""",GOOGLETRANSLATE(BJ1666,""auto"",""en""))"),"Reliever")</f>
        <v>Reliever</v>
      </c>
      <c r="AA1666" s="23" t="str">
        <f aca="false">IF(C1666="","", CHOOSE(MONTH(C1666),"January","February","March","April","May","June","July","August","September","October","November","December")&amp;" "&amp;DAY(C1666)&amp;MID("thstndrdth",MIN(9,2*RIGHT(DAY(C1666))*(MOD(DAY(C1666)-11,100)&gt;2)+1),2)&amp;","&amp;TEXT(C1666," yyyy"))</f>
        <v>October 2nd,2024</v>
      </c>
      <c r="AB1666" s="15" t="str">
        <f aca="true">IF(S1666="","",DATEDIF(S1666,TODAY(),"Y")&amp;" Tahun, "&amp;DATEDIF(S1666,TODAY(),"YM")&amp;" Bulan, "&amp;DATEDIF(S1666,TODAY(),"MD")&amp;" Hari")</f>
        <v>21 Tahun, 7 Bulan, 7 Hari</v>
      </c>
      <c r="AC1666" s="18" t="n">
        <v>45658</v>
      </c>
      <c r="AD1666" s="18" t="n">
        <v>45747</v>
      </c>
      <c r="AE1666" s="18" t="s">
        <v>44</v>
      </c>
    </row>
    <row r="1667" customFormat="false" ht="15" hidden="false" customHeight="true" outlineLevel="0" collapsed="false">
      <c r="A1667" s="12" t="n">
        <v>17583</v>
      </c>
      <c r="B1667" s="13" t="s">
        <v>7266</v>
      </c>
      <c r="C1667" s="14" t="n">
        <v>45567</v>
      </c>
      <c r="D1667" s="13" t="s">
        <v>4755</v>
      </c>
      <c r="E1667" s="15" t="s">
        <v>33</v>
      </c>
      <c r="F1667" s="24" t="s">
        <v>7267</v>
      </c>
      <c r="G1667" s="13" t="s">
        <v>57</v>
      </c>
      <c r="H1667" s="13" t="s">
        <v>3024</v>
      </c>
      <c r="I1667" s="13" t="str">
        <f aca="false">IF(C1667=J1667,"NEW KONTRAK","RE-KONTRAK")</f>
        <v>RE-KONTRAK</v>
      </c>
      <c r="J1667" s="16" t="n">
        <f aca="false" t="array" ref="J1667:J1667">IFERROR(INDEX(AC1667:AE1667,IF(COUNTA(AC1667:AE1667)=0,"",MAX((AC1667:AE1667&lt;&gt;"")*(COLUMN(AC1667:AE1667)-(COLUMN(AC1667)))))-1),"")</f>
        <v>45658</v>
      </c>
      <c r="K1667" s="16" t="n">
        <f aca="false" t="array" ref="K1667:K1667">IFERROR(INDEX(AC1667:AE1667,IF(COUNTA(AC1667:AE1667)=0,"",MAX((AC1667:AE1667&lt;&gt;"")*(COLUMN(AC1667:AE1667)-(COLUMN(AC1667)-1))))-1),"")</f>
        <v>45747</v>
      </c>
      <c r="L1667" s="17" t="str">
        <f aca="false" t="array" ref="L1667:L1667">IFERROR(INDEX(AC1667:AE1667,IF(COUNTA(AC1667:AE1667)=0,"",MAX((AC1667:AE1667&lt;&gt;"")*(COLUMN(AC1667:AE1667)-(COLUMN(AC1667)-2))))-1),"")</f>
        <v>ARCHIVED</v>
      </c>
      <c r="M1667" s="13" t="n">
        <f aca="true">K1667-TODAY()</f>
        <v>-577</v>
      </c>
      <c r="N1667" s="18" t="s">
        <v>615</v>
      </c>
      <c r="O1667" s="13" t="s">
        <v>4756</v>
      </c>
      <c r="P1667" s="19" t="n">
        <f aca="false">4856026/21</f>
        <v>231239.333333333</v>
      </c>
      <c r="Q1667" s="20" t="s">
        <v>7268</v>
      </c>
      <c r="R1667" s="13" t="s">
        <v>39</v>
      </c>
      <c r="S1667" s="14" t="n">
        <v>38670</v>
      </c>
      <c r="T1667" s="13" t="s">
        <v>40</v>
      </c>
      <c r="U1667" s="13" t="s">
        <v>7269</v>
      </c>
      <c r="V1667" s="13" t="s">
        <v>42</v>
      </c>
      <c r="W1667" s="13" t="s">
        <v>43</v>
      </c>
      <c r="X1667" s="30" t="n">
        <v>81383842513</v>
      </c>
      <c r="Y1667" s="22" t="str">
        <f aca="false">O1667</f>
        <v>Reliever</v>
      </c>
      <c r="Z1667" s="13" t="str">
        <f aca="false">IFERROR(__xludf.dummyfunction("if(BJ1667="""","""",GOOGLETRANSLATE(BJ1667,""auto"",""en""))"),"Reliever")</f>
        <v>Reliever</v>
      </c>
      <c r="AA1667" s="23" t="str">
        <f aca="false">IF(C1667="","", CHOOSE(MONTH(C1667),"January","February","March","April","May","June","July","August","September","October","November","December")&amp;" "&amp;DAY(C1667)&amp;MID("thstndrdth",MIN(9,2*RIGHT(DAY(C1667))*(MOD(DAY(C1667)-11,100)&gt;2)+1),2)&amp;","&amp;TEXT(C1667," yyyy"))</f>
        <v>October 2nd,2024</v>
      </c>
      <c r="AB1667" s="15" t="str">
        <f aca="true">IF(S1667="","",DATEDIF(S1667,TODAY(),"Y")&amp;" Tahun, "&amp;DATEDIF(S1667,TODAY(),"YM")&amp;" Bulan, "&amp;DATEDIF(S1667,TODAY(),"MD")&amp;" Hari")</f>
        <v>20 Tahun, 11 Bulan, 15 Hari</v>
      </c>
      <c r="AC1667" s="18" t="n">
        <v>45658</v>
      </c>
      <c r="AD1667" s="18" t="n">
        <v>45747</v>
      </c>
      <c r="AE1667" s="18" t="s">
        <v>44</v>
      </c>
    </row>
    <row r="1668" customFormat="false" ht="15" hidden="false" customHeight="true" outlineLevel="0" collapsed="false">
      <c r="A1668" s="12" t="n">
        <v>21954</v>
      </c>
      <c r="B1668" s="13" t="s">
        <v>7270</v>
      </c>
      <c r="C1668" s="79" t="n">
        <v>46075</v>
      </c>
      <c r="D1668" s="13" t="s">
        <v>2033</v>
      </c>
      <c r="E1668" s="15" t="s">
        <v>47</v>
      </c>
      <c r="F1668" s="15" t="str">
        <f aca="false">IFERROR(__xludf.dummyfunction("XLOOKUP(AJ1668,IMPORTRANGE(""1XaInW9DU9nz21V0tYIfzFQ0He9kVQ_JF2mCXgZ3hqFA"",""REKAP ALL 2026 - Andika!G:G""),IMPORTRANGE(""1XaInW9DU9nz21V0tYIfzFQ0He9kVQ_JF2mCXgZ3hqFA"",""REKAP ALL 2026 - Andika!F:F""),"""",0)"),"26035115877")</f>
        <v>26035115877</v>
      </c>
      <c r="G1668" s="13" t="s">
        <v>1127</v>
      </c>
      <c r="H1668" s="13" t="s">
        <v>35</v>
      </c>
      <c r="I1668" s="13" t="str">
        <f aca="false">IF(C1668=J1668,"NEW KONTRAK","RE-KONTRAK")</f>
        <v>NEW KONTRAK</v>
      </c>
      <c r="J1668" s="16" t="n">
        <f aca="false" t="array" ref="J1668:J1668">IFERROR(INDEX(AC1668:AE1668,IF(COUNTA(AC1668:AE1668)=0,"",MAX((AC1668:AE1668&lt;&gt;"")*(COLUMN(AC1668:AE1668)-(COLUMN(AC1668)))))-1),"")</f>
        <v>46075</v>
      </c>
      <c r="K1668" s="16" t="n">
        <f aca="false" t="array" ref="K1668:K1668">IFERROR(INDEX(AC1668:AE1668,IF(COUNTA(AC1668:AE1668)=0,"",MAX((AC1668:AE1668&lt;&gt;"")*(COLUMN(AC1668:AE1668)-(COLUMN(AC1668)-1))))-1),"")</f>
        <v>46188</v>
      </c>
      <c r="L1668" s="17" t="str">
        <f aca="false" t="array" ref="L1668:L1668">IFERROR(INDEX(AC1668:AE1668,IF(COUNTA(AC1668:AE1668)=0,"",MAX((AC1668:AE1668&lt;&gt;"")*(COLUMN(AC1668:AE1668)-(COLUMN(AC1668)-2))))-1),"")</f>
        <v>ARCHIVED</v>
      </c>
      <c r="M1668" s="13" t="n">
        <f aca="true">K1668-TODAY()</f>
        <v>-136</v>
      </c>
      <c r="N1668" s="51" t="s">
        <v>4903</v>
      </c>
      <c r="O1668" s="13" t="s">
        <v>2037</v>
      </c>
      <c r="P1668" s="19" t="n">
        <v>3205220</v>
      </c>
      <c r="Q1668" s="47" t="s">
        <v>7271</v>
      </c>
      <c r="R1668" s="13" t="s">
        <v>7272</v>
      </c>
      <c r="S1668" s="16" t="n">
        <v>36898</v>
      </c>
      <c r="T1668" s="13" t="s">
        <v>108</v>
      </c>
      <c r="U1668" s="13" t="s">
        <v>7273</v>
      </c>
      <c r="V1668" s="13" t="s">
        <v>42</v>
      </c>
      <c r="W1668" s="13" t="s">
        <v>43</v>
      </c>
      <c r="X1668" s="13" t="n">
        <v>83842429657</v>
      </c>
      <c r="Y1668" s="22" t="str">
        <f aca="false">O1668</f>
        <v>SPG/BA</v>
      </c>
      <c r="Z1668" s="13" t="str">
        <f aca="false">IFERROR(__xludf.dummyfunction("if(BJ1668="""","""",GOOGLETRANSLATE(BJ1668,""auto"",""en""))"),"SPG/BA")</f>
        <v>SPG/BA</v>
      </c>
      <c r="AA1668" s="23" t="str">
        <f aca="false">IF(C1668="","", CHOOSE(MONTH(C1668),"January","February","March","April","May","June","July","August","September","October","November","December")&amp;" "&amp;DAY(C1668)&amp;MID("thstndrdth",MIN(9,2*RIGHT(DAY(C1668))*(MOD(DAY(C1668)-11,100)&gt;2)+1),2)&amp;","&amp;TEXT(C1668," yyyy"))</f>
        <v>February 22nd,2026</v>
      </c>
      <c r="AB1668" s="15" t="str">
        <f aca="true">IF(S1668="","",DATEDIF(S1668,TODAY(),"Y")&amp;" Tahun, "&amp;DATEDIF(S1668,TODAY(),"YM")&amp;" Bulan, "&amp;DATEDIF(S1668,TODAY(),"MD")&amp;" Hari")</f>
        <v>25 Tahun, 9 Bulan, 22 Hari</v>
      </c>
      <c r="AC1668" s="80" t="n">
        <v>46075</v>
      </c>
      <c r="AD1668" s="18" t="n">
        <v>46188</v>
      </c>
      <c r="AE1668" s="18" t="s">
        <v>44</v>
      </c>
    </row>
    <row r="1669" customFormat="false" ht="15" hidden="false" customHeight="true" outlineLevel="0" collapsed="false">
      <c r="A1669" s="12" t="n">
        <v>17601</v>
      </c>
      <c r="B1669" s="13" t="s">
        <v>7274</v>
      </c>
      <c r="C1669" s="14" t="n">
        <v>45541</v>
      </c>
      <c r="D1669" s="13" t="s">
        <v>2033</v>
      </c>
      <c r="E1669" s="15" t="s">
        <v>33</v>
      </c>
      <c r="F1669" s="24" t="s">
        <v>7275</v>
      </c>
      <c r="G1669" s="15" t="s">
        <v>7276</v>
      </c>
      <c r="H1669" s="13" t="s">
        <v>2035</v>
      </c>
      <c r="I1669" s="13" t="str">
        <f aca="false">IF(C1669=J1669,"NEW KONTRAK","RE-KONTRAK")</f>
        <v>RE-KONTRAK</v>
      </c>
      <c r="J1669" s="16" t="n">
        <f aca="false" t="array" ref="J1669:J1669">IFERROR(INDEX(AC1669:AE1669,IF(COUNTA(AC1669:AE1669)=0,"",MAX((AC1669:AE1669&lt;&gt;"")*(COLUMN(AC1669:AE1669)-(COLUMN(AC1669)))))-1),"")</f>
        <v>45744</v>
      </c>
      <c r="K1669" s="16" t="n">
        <f aca="false" t="array" ref="K1669:K1669">IFERROR(INDEX(AC1669:AE1669,IF(COUNTA(AC1669:AE1669)=0,"",MAX((AC1669:AE1669&lt;&gt;"")*(COLUMN(AC1669:AE1669)-(COLUMN(AC1669)-1))))-1),"")</f>
        <v>45915</v>
      </c>
      <c r="L1669" s="17" t="str">
        <f aca="false" t="array" ref="L1669:L1669">IFERROR(INDEX(AC1669:AE1669,IF(COUNTA(AC1669:AE1669)=0,"",MAX((AC1669:AE1669&lt;&gt;"")*(COLUMN(AC1669:AE1669)-(COLUMN(AC1669)-2))))-1),"")</f>
        <v>ARCHIVED</v>
      </c>
      <c r="M1669" s="13" t="n">
        <f aca="true">K1669-TODAY()</f>
        <v>-409</v>
      </c>
      <c r="N1669" s="18" t="s">
        <v>2363</v>
      </c>
      <c r="O1669" s="13" t="s">
        <v>5017</v>
      </c>
      <c r="P1669" s="19" t="n">
        <v>4014072</v>
      </c>
      <c r="Q1669" s="20" t="s">
        <v>7277</v>
      </c>
      <c r="R1669" s="13" t="s">
        <v>2363</v>
      </c>
      <c r="S1669" s="14" t="n">
        <v>38123</v>
      </c>
      <c r="T1669" s="13" t="s">
        <v>108</v>
      </c>
      <c r="U1669" s="13" t="s">
        <v>7278</v>
      </c>
      <c r="V1669" s="13" t="s">
        <v>42</v>
      </c>
      <c r="W1669" s="13" t="s">
        <v>43</v>
      </c>
      <c r="X1669" s="21" t="n">
        <v>83878372732</v>
      </c>
      <c r="Y1669" s="22" t="str">
        <f aca="false">O1669</f>
        <v>Sales</v>
      </c>
      <c r="Z1669" s="13" t="str">
        <f aca="false">IFERROR(__xludf.dummyfunction("if(BJ1669="""","""",GOOGLETRANSLATE(BJ1669,""auto"",""en""))"),"Sales")</f>
        <v>Sales</v>
      </c>
      <c r="AA1669" s="23" t="str">
        <f aca="false">IF(C1669="","", CHOOSE(MONTH(C1669),"January","February","March","April","May","June","July","August","September","October","November","December")&amp;" "&amp;DAY(C1669)&amp;MID("thstndrdth",MIN(9,2*RIGHT(DAY(C1669))*(MOD(DAY(C1669)-11,100)&gt;2)+1),2)&amp;","&amp;TEXT(C1669," yyyy"))</f>
        <v>September 6th,2024</v>
      </c>
      <c r="AB1669" s="15" t="str">
        <f aca="true">IF(S1669="","",DATEDIF(S1669,TODAY(),"Y")&amp;" Tahun, "&amp;DATEDIF(S1669,TODAY(),"YM")&amp;" Bulan, "&amp;DATEDIF(S1669,TODAY(),"MD")&amp;" Hari")</f>
        <v>22 Tahun, 5 Bulan, 13 Hari</v>
      </c>
      <c r="AC1669" s="18" t="n">
        <v>45744</v>
      </c>
      <c r="AD1669" s="18" t="n">
        <v>45915</v>
      </c>
      <c r="AE1669" s="18" t="s">
        <v>44</v>
      </c>
    </row>
    <row r="1670" customFormat="false" ht="15" hidden="false" customHeight="true" outlineLevel="0" collapsed="false">
      <c r="A1670" s="12" t="n">
        <v>22724</v>
      </c>
      <c r="B1670" s="13" t="s">
        <v>1503</v>
      </c>
      <c r="C1670" s="14" t="n">
        <v>46227</v>
      </c>
      <c r="D1670" s="13" t="s">
        <v>2033</v>
      </c>
      <c r="E1670" s="13" t="s">
        <v>47</v>
      </c>
      <c r="F1670" s="24" t="s">
        <v>7279</v>
      </c>
      <c r="G1670" s="13" t="s">
        <v>1452</v>
      </c>
      <c r="H1670" s="13" t="s">
        <v>35</v>
      </c>
      <c r="I1670" s="13" t="str">
        <f aca="false">IF(C1670=J1670,"NEW KONTRAK","RE-KONTRAK")</f>
        <v>NEW KONTRAK</v>
      </c>
      <c r="J1670" s="16" t="n">
        <f aca="false" t="array" ref="J1670:J1670">IFERROR(INDEX(AC1670:AE1670,IF(COUNTA(AC1670:AE1670)=0,"",MAX((AC1670:AE1670&lt;&gt;"")*(COLUMN(AC1670:AE1670)-(COLUMN(AC1670)))))-1),"")</f>
        <v>46227</v>
      </c>
      <c r="K1670" s="16" t="n">
        <f aca="false" t="array" ref="K1670:K1670">IFERROR(INDEX(AC1670:AE1670,IF(COUNTA(AC1670:AE1670)=0,"",MAX((AC1670:AE1670&lt;&gt;"")*(COLUMN(AC1670:AE1670)-(COLUMN(AC1670)-1))))-1),"")</f>
        <v>46318</v>
      </c>
      <c r="L1670" s="17" t="str">
        <f aca="false" t="array" ref="L1670:L1670">IFERROR(INDEX(AC1670:AE1670,IF(COUNTA(AC1670:AE1670)=0,"",MAX((AC1670:AE1670&lt;&gt;"")*(COLUMN(AC1670:AE1670)-(COLUMN(AC1670)-2))))-1),"")</f>
        <v>KEMBALI</v>
      </c>
      <c r="M1670" s="13" t="n">
        <f aca="true">K1670-TODAY()</f>
        <v>-6</v>
      </c>
      <c r="N1670" s="13" t="s">
        <v>4893</v>
      </c>
      <c r="O1670" s="13" t="s">
        <v>2384</v>
      </c>
      <c r="P1670" s="26" t="n">
        <v>3921000</v>
      </c>
      <c r="Q1670" s="20" t="s">
        <v>7280</v>
      </c>
      <c r="R1670" s="13" t="s">
        <v>7281</v>
      </c>
      <c r="S1670" s="25" t="n">
        <v>33970</v>
      </c>
      <c r="T1670" s="13" t="s">
        <v>108</v>
      </c>
      <c r="U1670" s="13" t="s">
        <v>7282</v>
      </c>
      <c r="V1670" s="13" t="s">
        <v>42</v>
      </c>
      <c r="W1670" s="13" t="s">
        <v>54</v>
      </c>
      <c r="X1670" s="21" t="n">
        <v>85394201646</v>
      </c>
      <c r="Y1670" s="22" t="str">
        <f aca="false">O1670</f>
        <v>SPG</v>
      </c>
      <c r="Z1670" s="13" t="str">
        <f aca="false">IFERROR(__xludf.dummyfunction("if(BJ1670="""","""",GOOGLETRANSLATE(BJ1670,""auto"",""en""))"),"SPG")</f>
        <v>SPG</v>
      </c>
      <c r="AA1670" s="23" t="str">
        <f aca="false">IF(C1670="","", CHOOSE(MONTH(C1670),"January","February","March","April","May","June","July","August","September","October","November","December")&amp;" "&amp;DAY(C1670)&amp;MID("thstndrdth",MIN(9,2*RIGHT(DAY(C1670))*(MOD(DAY(C1670)-11,100)&gt;2)+1),2)&amp;","&amp;TEXT(C1670," yyyy"))</f>
        <v>July 24th,2026</v>
      </c>
      <c r="AB1670" s="15" t="str">
        <f aca="true">IF(S1670="","",DATEDIF(S1670,TODAY(),"Y")&amp;" Tahun, "&amp;DATEDIF(S1670,TODAY(),"YM")&amp;" Bulan, "&amp;DATEDIF(S1670,TODAY(),"MD")&amp;" Hari")</f>
        <v>33 Tahun, 9 Bulan, 28 Hari</v>
      </c>
      <c r="AC1670" s="14" t="n">
        <v>46227</v>
      </c>
      <c r="AD1670" s="18" t="n">
        <f aca="false">EDATE(AC1670,3)-1</f>
        <v>46318</v>
      </c>
      <c r="AE1670" s="13" t="s">
        <v>397</v>
      </c>
    </row>
    <row r="1671" customFormat="false" ht="15" hidden="false" customHeight="true" outlineLevel="0" collapsed="false">
      <c r="A1671" s="12" t="n">
        <v>7517</v>
      </c>
      <c r="B1671" s="13" t="s">
        <v>7283</v>
      </c>
      <c r="C1671" s="14" t="n">
        <v>44774</v>
      </c>
      <c r="D1671" s="13" t="s">
        <v>2033</v>
      </c>
      <c r="E1671" s="15" t="s">
        <v>47</v>
      </c>
      <c r="F1671" s="15" t="str">
        <f aca="false">IFERROR(__xludf.dummyfunction("XLOOKUP(AJ1671,IMPORTRANGE(""1XaInW9DU9nz21V0tYIfzFQ0He9kVQ_JF2mCXgZ3hqFA"",""REKAP ALL 2026 - Andika!G:G""),IMPORTRANGE(""1XaInW9DU9nz21V0tYIfzFQ0He9kVQ_JF2mCXgZ3hqFA"",""REKAP ALL 2026 - Andika!F:F""),"""",0)"),"22084833627")</f>
        <v>22084833627</v>
      </c>
      <c r="G1671" s="13" t="s">
        <v>7284</v>
      </c>
      <c r="H1671" s="13" t="s">
        <v>2035</v>
      </c>
      <c r="I1671" s="13" t="str">
        <f aca="false">IF(C1671=J1671,"NEW KONTRAK","RE-KONTRAK")</f>
        <v>RE-KONTRAK</v>
      </c>
      <c r="J1671" s="16" t="n">
        <f aca="false" t="array" ref="J1671:J1671">IFERROR(INDEX(AC1671:AE1671,IF(COUNTA(AC1671:AE1671)=0,"",MAX((AC1671:AE1671&lt;&gt;"")*(COLUMN(AC1671:AE1671)-(COLUMN(AC1671)))))-1),"")</f>
        <v>45744</v>
      </c>
      <c r="K1671" s="16" t="n">
        <f aca="false" t="array" ref="K1671:K1671">IFERROR(INDEX(AC1671:AE1671,IF(COUNTA(AC1671:AE1671)=0,"",MAX((AC1671:AE1671&lt;&gt;"")*(COLUMN(AC1671:AE1671)-(COLUMN(AC1671)-1))))-1),"")</f>
        <v>45915</v>
      </c>
      <c r="L1671" s="17" t="str">
        <f aca="false" t="array" ref="L1671:L1671">IFERROR(INDEX(AC1671:AE1671,IF(COUNTA(AC1671:AE1671)=0,"",MAX((AC1671:AE1671&lt;&gt;"")*(COLUMN(AC1671:AE1671)-(COLUMN(AC1671)-2))))-1),"")</f>
        <v>ARCHIVED</v>
      </c>
      <c r="M1671" s="13" t="n">
        <f aca="true">K1671-TODAY()</f>
        <v>-409</v>
      </c>
      <c r="N1671" s="18" t="s">
        <v>3902</v>
      </c>
      <c r="O1671" s="13" t="s">
        <v>2037</v>
      </c>
      <c r="P1671" s="19" t="n">
        <v>3491889</v>
      </c>
      <c r="Q1671" s="20" t="s">
        <v>7285</v>
      </c>
      <c r="R1671" s="13" t="s">
        <v>7286</v>
      </c>
      <c r="S1671" s="14" t="n">
        <v>31593</v>
      </c>
      <c r="T1671" s="13" t="s">
        <v>108</v>
      </c>
      <c r="U1671" s="13" t="s">
        <v>7287</v>
      </c>
      <c r="V1671" s="13" t="s">
        <v>42</v>
      </c>
      <c r="W1671" s="13" t="s">
        <v>897</v>
      </c>
      <c r="X1671" s="21" t="n">
        <v>85767095558</v>
      </c>
      <c r="Y1671" s="22" t="str">
        <f aca="false">O1671</f>
        <v>SPG/BA</v>
      </c>
      <c r="Z1671" s="13" t="str">
        <f aca="false">IFERROR(__xludf.dummyfunction("if(BJ1671="""","""",GOOGLETRANSLATE(BJ1671,""auto"",""en""))"),"SPG/BA")</f>
        <v>SPG/BA</v>
      </c>
      <c r="AA1671" s="23" t="str">
        <f aca="false">IF(C1671="","", CHOOSE(MONTH(C1671),"January","February","March","April","May","June","July","August","September","October","November","December")&amp;" "&amp;DAY(C1671)&amp;MID("thstndrdth",MIN(9,2*RIGHT(DAY(C1671))*(MOD(DAY(C1671)-11,100)&gt;2)+1),2)&amp;","&amp;TEXT(C1671," yyyy"))</f>
        <v>August 1st,2022</v>
      </c>
      <c r="AB1671" s="15" t="str">
        <f aca="true">IF(S1671="","",DATEDIF(S1671,TODAY(),"Y")&amp;" Tahun, "&amp;DATEDIF(S1671,TODAY(),"YM")&amp;" Bulan, "&amp;DATEDIF(S1671,TODAY(),"MD")&amp;" Hari")</f>
        <v>40 Tahun, 3 Bulan, 29 Hari</v>
      </c>
      <c r="AC1671" s="18" t="n">
        <v>45744</v>
      </c>
      <c r="AD1671" s="18" t="n">
        <v>45915</v>
      </c>
      <c r="AE1671" s="18" t="s">
        <v>44</v>
      </c>
    </row>
    <row r="1672" customFormat="false" ht="15" hidden="false" customHeight="true" outlineLevel="0" collapsed="false">
      <c r="A1672" s="12" t="n">
        <v>17623</v>
      </c>
      <c r="B1672" s="13" t="s">
        <v>7288</v>
      </c>
      <c r="C1672" s="14" t="n">
        <v>45597</v>
      </c>
      <c r="D1672" s="13" t="s">
        <v>755</v>
      </c>
      <c r="E1672" s="15" t="s">
        <v>47</v>
      </c>
      <c r="F1672" s="15" t="str">
        <f aca="false">IFERROR(__xludf.dummyfunction("XLOOKUP(AJ1672,IMPORTRANGE(""1XaInW9DU9nz21V0tYIfzFQ0He9kVQ_JF2mCXgZ3hqFA"",""REKAP ALL 2026 - Andika!G:G""),IMPORTRANGE(""1XaInW9DU9nz21V0tYIfzFQ0He9kVQ_JF2mCXgZ3hqFA"",""REKAP ALL 2026 - Andika!F:F""),"""",0)"),"24154314173")</f>
        <v>24154314173</v>
      </c>
      <c r="G1672" s="15" t="s">
        <v>7289</v>
      </c>
      <c r="H1672" s="13" t="s">
        <v>35</v>
      </c>
      <c r="I1672" s="13" t="str">
        <f aca="false">IF(C1672=J1672,"NEW KONTRAK","RE-KONTRAK")</f>
        <v>RE-KONTRAK</v>
      </c>
      <c r="J1672" s="16" t="n">
        <f aca="false" t="array" ref="J1672:J1672">IFERROR(INDEX(AC1672:AE1672,IF(COUNTA(AC1672:AE1672)=0,"",MAX((AC1672:AE1672&lt;&gt;"")*(COLUMN(AC1672:AE1672)-(COLUMN(AC1672)))))-1),"")</f>
        <v>45799</v>
      </c>
      <c r="K1672" s="16" t="n">
        <f aca="false" t="array" ref="K1672:K1672">IFERROR(INDEX(AC1672:AE1672,IF(COUNTA(AC1672:AE1672)=0,"",MAX((AC1672:AE1672&lt;&gt;"")*(COLUMN(AC1672:AE1672)-(COLUMN(AC1672)-1))))-1),"")</f>
        <v>46528</v>
      </c>
      <c r="L1672" s="17" t="str">
        <f aca="false" t="array" ref="L1672:L1672">IFERROR(INDEX(AC1672:AE1672,IF(COUNTA(AC1672:AE1672)=0,"",MAX((AC1672:AE1672&lt;&gt;"")*(COLUMN(AC1672:AE1672)-(COLUMN(AC1672)-2))))-1),"")</f>
        <v>KEMBALI</v>
      </c>
      <c r="M1672" s="13" t="n">
        <f aca="true">K1672-TODAY()</f>
        <v>204</v>
      </c>
      <c r="N1672" s="18" t="s">
        <v>105</v>
      </c>
      <c r="O1672" s="13" t="s">
        <v>757</v>
      </c>
      <c r="P1672" s="19" t="n">
        <v>4870511</v>
      </c>
      <c r="Q1672" s="20" t="s">
        <v>7290</v>
      </c>
      <c r="R1672" s="13" t="s">
        <v>52</v>
      </c>
      <c r="S1672" s="14" t="n">
        <v>37379</v>
      </c>
      <c r="T1672" s="13" t="s">
        <v>108</v>
      </c>
      <c r="U1672" s="13" t="s">
        <v>7291</v>
      </c>
      <c r="V1672" s="13" t="s">
        <v>42</v>
      </c>
      <c r="W1672" s="13" t="s">
        <v>43</v>
      </c>
      <c r="X1672" s="21" t="n">
        <v>85648426092</v>
      </c>
      <c r="Y1672" s="22" t="str">
        <f aca="false">O1672</f>
        <v>Inputor</v>
      </c>
      <c r="Z1672" s="13" t="str">
        <f aca="false">IFERROR(__xludf.dummyfunction("if(BJ1672="""","""",GOOGLETRANSLATE(BJ1672,""auto"",""en""))"),"Inputor")</f>
        <v>Inputor</v>
      </c>
      <c r="AA1672" s="23" t="str">
        <f aca="false">IF(C1672="","", CHOOSE(MONTH(C1672),"January","February","March","April","May","June","July","August","September","October","November","December")&amp;" "&amp;DAY(C1672)&amp;MID("thstndrdth",MIN(9,2*RIGHT(DAY(C1672))*(MOD(DAY(C1672)-11,100)&gt;2)+1),2)&amp;","&amp;TEXT(C1672," yyyy"))</f>
        <v>November 1st,2024</v>
      </c>
      <c r="AB1672" s="15" t="str">
        <f aca="true">IF(S1672="","",DATEDIF(S1672,TODAY(),"Y")&amp;" Tahun, "&amp;DATEDIF(S1672,TODAY(),"YM")&amp;" Bulan, "&amp;DATEDIF(S1672,TODAY(),"MD")&amp;" Hari")</f>
        <v>24 Tahun, 5 Bulan, 26 Hari</v>
      </c>
      <c r="AC1672" s="18" t="n">
        <v>45799</v>
      </c>
      <c r="AD1672" s="18" t="n">
        <v>46528</v>
      </c>
      <c r="AE1672" s="13" t="s">
        <v>397</v>
      </c>
    </row>
    <row r="1673" customFormat="false" ht="15" hidden="false" customHeight="true" outlineLevel="0" collapsed="false">
      <c r="A1673" s="12" t="n">
        <v>17643</v>
      </c>
      <c r="B1673" s="13" t="s">
        <v>7292</v>
      </c>
      <c r="C1673" s="14" t="n">
        <v>45566</v>
      </c>
      <c r="D1673" s="13" t="s">
        <v>393</v>
      </c>
      <c r="E1673" s="15" t="s">
        <v>47</v>
      </c>
      <c r="F1673" s="15" t="str">
        <f aca="false">IFERROR(__xludf.dummyfunction("XLOOKUP(AJ1673,IMPORTRANGE(""1XaInW9DU9nz21V0tYIfzFQ0He9kVQ_JF2mCXgZ3hqFA"",""REKAP ALL 2026 - Andika!G:G""),IMPORTRANGE(""1XaInW9DU9nz21V0tYIfzFQ0He9kVQ_JF2mCXgZ3hqFA"",""REKAP ALL 2026 - Andika!F:F""),"""",0)"),"24154921597")</f>
        <v>24154921597</v>
      </c>
      <c r="G1673" s="15" t="s">
        <v>7293</v>
      </c>
      <c r="H1673" s="13" t="s">
        <v>3024</v>
      </c>
      <c r="I1673" s="13" t="str">
        <f aca="false">IF(C1673=J1673,"NEW KONTRAK","RE-KONTRAK")</f>
        <v>RE-KONTRAK</v>
      </c>
      <c r="J1673" s="16" t="n">
        <f aca="false" t="array" ref="J1673:J1673">IFERROR(INDEX(AC1673:AE1673,IF(COUNTA(AC1673:AE1673)=0,"",MAX((AC1673:AE1673&lt;&gt;"")*(COLUMN(AC1673:AE1673)-(COLUMN(AC1673)))))-1),"")</f>
        <v>45839</v>
      </c>
      <c r="K1673" s="16" t="n">
        <f aca="false" t="array" ref="K1673:K1673">IFERROR(INDEX(AC1673:AE1673,IF(COUNTA(AC1673:AE1673)=0,"",MAX((AC1673:AE1673&lt;&gt;"")*(COLUMN(AC1673:AE1673)-(COLUMN(AC1673)-1))))-1),"")</f>
        <v>46181</v>
      </c>
      <c r="L1673" s="17" t="str">
        <f aca="false" t="array" ref="L1673:L1673">IFERROR(INDEX(AC1673:AE1673,IF(COUNTA(AC1673:AE1673)=0,"",MAX((AC1673:AE1673&lt;&gt;"")*(COLUMN(AC1673:AE1673)-(COLUMN(AC1673)-2))))-1),"")</f>
        <v>ARCHIVED</v>
      </c>
      <c r="M1673" s="13" t="n">
        <f aca="true">K1673-TODAY()</f>
        <v>-143</v>
      </c>
      <c r="N1673" s="18" t="s">
        <v>105</v>
      </c>
      <c r="O1673" s="13" t="s">
        <v>3271</v>
      </c>
      <c r="P1673" s="19" t="n">
        <v>5191541</v>
      </c>
      <c r="Q1673" s="20" t="s">
        <v>7294</v>
      </c>
      <c r="R1673" s="13" t="s">
        <v>60</v>
      </c>
      <c r="S1673" s="14" t="n">
        <v>36603</v>
      </c>
      <c r="T1673" s="13" t="s">
        <v>40</v>
      </c>
      <c r="U1673" s="13" t="s">
        <v>7295</v>
      </c>
      <c r="V1673" s="13" t="s">
        <v>42</v>
      </c>
      <c r="W1673" s="13" t="s">
        <v>43</v>
      </c>
      <c r="X1673" s="21" t="n">
        <v>88217826837</v>
      </c>
      <c r="Y1673" s="22" t="str">
        <f aca="false">O1673</f>
        <v>Helper</v>
      </c>
      <c r="Z1673" s="13" t="str">
        <f aca="false">IFERROR(__xludf.dummyfunction("if(BJ1673="""","""",GOOGLETRANSLATE(BJ1673,""auto"",""en""))"),"Helper")</f>
        <v>Helper</v>
      </c>
      <c r="AA1673" s="23" t="str">
        <f aca="false">IF(C1673="","", CHOOSE(MONTH(C1673),"January","February","March","April","May","June","July","August","September","October","November","December")&amp;" "&amp;DAY(C1673)&amp;MID("thstndrdth",MIN(9,2*RIGHT(DAY(C1673))*(MOD(DAY(C1673)-11,100)&gt;2)+1),2)&amp;","&amp;TEXT(C1673," yyyy"))</f>
        <v>October 1st,2024</v>
      </c>
      <c r="AB1673" s="15" t="str">
        <f aca="true">IF(S1673="","",DATEDIF(S1673,TODAY(),"Y")&amp;" Tahun, "&amp;DATEDIF(S1673,TODAY(),"YM")&amp;" Bulan, "&amp;DATEDIF(S1673,TODAY(),"MD")&amp;" Hari")</f>
        <v>26 Tahun, 7 Bulan, 11 Hari</v>
      </c>
      <c r="AC1673" s="18" t="n">
        <v>45839</v>
      </c>
      <c r="AD1673" s="18" t="n">
        <v>46181</v>
      </c>
      <c r="AE1673" s="18" t="s">
        <v>44</v>
      </c>
    </row>
    <row r="1674" customFormat="false" ht="15" hidden="false" customHeight="true" outlineLevel="0" collapsed="false">
      <c r="A1674" s="12" t="n">
        <v>17649</v>
      </c>
      <c r="B1674" s="13" t="s">
        <v>7296</v>
      </c>
      <c r="C1674" s="14" t="n">
        <v>45566</v>
      </c>
      <c r="D1674" s="13" t="s">
        <v>393</v>
      </c>
      <c r="E1674" s="15" t="s">
        <v>47</v>
      </c>
      <c r="F1674" s="15" t="str">
        <f aca="false">IFERROR(__xludf.dummyfunction("XLOOKUP(AJ1674,IMPORTRANGE(""1XaInW9DU9nz21V0tYIfzFQ0He9kVQ_JF2mCXgZ3hqFA"",""REKAP ALL 2026 - Andika!G:G""),IMPORTRANGE(""1XaInW9DU9nz21V0tYIfzFQ0He9kVQ_JF2mCXgZ3hqFA"",""REKAP ALL 2026 - Andika!F:F""),"""",0)"),"24154921605")</f>
        <v>24154921605</v>
      </c>
      <c r="G1674" s="15" t="s">
        <v>7297</v>
      </c>
      <c r="H1674" s="13" t="s">
        <v>3024</v>
      </c>
      <c r="I1674" s="13" t="str">
        <f aca="false">IF(C1674=J1674,"NEW KONTRAK","RE-KONTRAK")</f>
        <v>RE-KONTRAK</v>
      </c>
      <c r="J1674" s="16" t="n">
        <f aca="false" t="array" ref="J1674:J1674">IFERROR(INDEX(AC1674:AE1674,IF(COUNTA(AC1674:AE1674)=0,"",MAX((AC1674:AE1674&lt;&gt;"")*(COLUMN(AC1674:AE1674)-(COLUMN(AC1674)))))-1),"")</f>
        <v>45839</v>
      </c>
      <c r="K1674" s="16" t="n">
        <f aca="false" t="array" ref="K1674:K1674">IFERROR(INDEX(AC1674:AE1674,IF(COUNTA(AC1674:AE1674)=0,"",MAX((AC1674:AE1674&lt;&gt;"")*(COLUMN(AC1674:AE1674)-(COLUMN(AC1674)-1))))-1),"")</f>
        <v>46181</v>
      </c>
      <c r="L1674" s="17" t="str">
        <f aca="false" t="array" ref="L1674:L1674">IFERROR(INDEX(AC1674:AE1674,IF(COUNTA(AC1674:AE1674)=0,"",MAX((AC1674:AE1674&lt;&gt;"")*(COLUMN(AC1674:AE1674)-(COLUMN(AC1674)-2))))-1),"")</f>
        <v>KEMBALI</v>
      </c>
      <c r="M1674" s="13" t="n">
        <f aca="true">K1674-TODAY()</f>
        <v>-143</v>
      </c>
      <c r="N1674" s="18" t="s">
        <v>105</v>
      </c>
      <c r="O1674" s="13" t="s">
        <v>3271</v>
      </c>
      <c r="P1674" s="19" t="n">
        <v>5191541</v>
      </c>
      <c r="Q1674" s="20" t="s">
        <v>7298</v>
      </c>
      <c r="R1674" s="13" t="s">
        <v>39</v>
      </c>
      <c r="S1674" s="14" t="n">
        <v>29693</v>
      </c>
      <c r="T1674" s="13" t="s">
        <v>40</v>
      </c>
      <c r="U1674" s="13" t="s">
        <v>7299</v>
      </c>
      <c r="V1674" s="13" t="s">
        <v>42</v>
      </c>
      <c r="W1674" s="13" t="s">
        <v>54</v>
      </c>
      <c r="X1674" s="21" t="n">
        <v>87865466267</v>
      </c>
      <c r="Y1674" s="22" t="str">
        <f aca="false">O1674</f>
        <v>Helper</v>
      </c>
      <c r="Z1674" s="13" t="str">
        <f aca="false">IFERROR(__xludf.dummyfunction("if(BJ1674="""","""",GOOGLETRANSLATE(BJ1674,""auto"",""en""))"),"Helper")</f>
        <v>Helper</v>
      </c>
      <c r="AA1674" s="23" t="str">
        <f aca="false">IF(C1674="","", CHOOSE(MONTH(C1674),"January","February","March","April","May","June","July","August","September","October","November","December")&amp;" "&amp;DAY(C1674)&amp;MID("thstndrdth",MIN(9,2*RIGHT(DAY(C1674))*(MOD(DAY(C1674)-11,100)&gt;2)+1),2)&amp;","&amp;TEXT(C1674," yyyy"))</f>
        <v>October 1st,2024</v>
      </c>
      <c r="AB1674" s="15" t="str">
        <f aca="true">IF(S1674="","",DATEDIF(S1674,TODAY(),"Y")&amp;" Tahun, "&amp;DATEDIF(S1674,TODAY(),"YM")&amp;" Bulan, "&amp;DATEDIF(S1674,TODAY(),"MD")&amp;" Hari")</f>
        <v>45 Tahun, 6 Bulan, 12 Hari</v>
      </c>
      <c r="AC1674" s="18" t="n">
        <v>45839</v>
      </c>
      <c r="AD1674" s="18" t="n">
        <v>46181</v>
      </c>
      <c r="AE1674" s="13" t="s">
        <v>397</v>
      </c>
    </row>
    <row r="1675" customFormat="false" ht="15" hidden="false" customHeight="true" outlineLevel="0" collapsed="false">
      <c r="A1675" s="12" t="n">
        <v>17650</v>
      </c>
      <c r="B1675" s="13" t="s">
        <v>7300</v>
      </c>
      <c r="C1675" s="14" t="n">
        <v>45577</v>
      </c>
      <c r="D1675" s="13" t="s">
        <v>6473</v>
      </c>
      <c r="E1675" s="15" t="s">
        <v>33</v>
      </c>
      <c r="F1675" s="24" t="s">
        <v>7301</v>
      </c>
      <c r="G1675" s="15" t="s">
        <v>7302</v>
      </c>
      <c r="H1675" s="13" t="s">
        <v>35</v>
      </c>
      <c r="I1675" s="13" t="str">
        <f aca="false">IF(C1675=J1675,"NEW KONTRAK","RE-KONTRAK")</f>
        <v>NEW KONTRAK</v>
      </c>
      <c r="J1675" s="16" t="n">
        <f aca="false" t="array" ref="J1675:J1675">IFERROR(INDEX(AC1675:AE1675,IF(COUNTA(AC1675:AE1675)=0,"",MAX((AC1675:AE1675&lt;&gt;"")*(COLUMN(AC1675:AE1675)-(COLUMN(AC1675)))))-1),"")</f>
        <v>45577</v>
      </c>
      <c r="K1675" s="16" t="n">
        <f aca="false" t="array" ref="K1675:K1675">IFERROR(INDEX(AC1675:AE1675,IF(COUNTA(AC1675:AE1675)=0,"",MAX((AC1675:AE1675&lt;&gt;"")*(COLUMN(AC1675:AE1675)-(COLUMN(AC1675)-1))))-1),"")</f>
        <v>45758</v>
      </c>
      <c r="L1675" s="17" t="str">
        <f aca="false" t="array" ref="L1675:L1675">IFERROR(INDEX(AC1675:AE1675,IF(COUNTA(AC1675:AE1675)=0,"",MAX((AC1675:AE1675&lt;&gt;"")*(COLUMN(AC1675:AE1675)-(COLUMN(AC1675)-2))))-1),"")</f>
        <v>ARCHIVED</v>
      </c>
      <c r="M1675" s="13" t="n">
        <f aca="true">K1675-TODAY()</f>
        <v>-566</v>
      </c>
      <c r="N1675" s="18" t="s">
        <v>728</v>
      </c>
      <c r="O1675" s="13" t="s">
        <v>6475</v>
      </c>
      <c r="P1675" s="19" t="n">
        <v>3750000</v>
      </c>
      <c r="Q1675" s="20" t="s">
        <v>7303</v>
      </c>
      <c r="R1675" s="13" t="s">
        <v>52</v>
      </c>
      <c r="S1675" s="14" t="n">
        <v>35042</v>
      </c>
      <c r="T1675" s="13" t="s">
        <v>40</v>
      </c>
      <c r="U1675" s="13" t="s">
        <v>7304</v>
      </c>
      <c r="V1675" s="13" t="s">
        <v>42</v>
      </c>
      <c r="W1675" s="13" t="s">
        <v>43</v>
      </c>
      <c r="X1675" s="21" t="n">
        <v>87701348695</v>
      </c>
      <c r="Y1675" s="22" t="str">
        <f aca="false">O1675</f>
        <v>Helper Bongkar Muat</v>
      </c>
      <c r="Z1675" s="13" t="str">
        <f aca="false">IFERROR(__xludf.dummyfunction("if(BJ1675="""","""",GOOGLETRANSLATE(BJ1675,""auto"",""en""))"),"Unloading Helper")</f>
        <v>Unloading Helper</v>
      </c>
      <c r="AA1675" s="23" t="str">
        <f aca="false">IF(C1675="","", CHOOSE(MONTH(C1675),"January","February","March","April","May","June","July","August","September","October","November","December")&amp;" "&amp;DAY(C1675)&amp;MID("thstndrdth",MIN(9,2*RIGHT(DAY(C1675))*(MOD(DAY(C1675)-11,100)&gt;2)+1),2)&amp;","&amp;TEXT(C1675," yyyy"))</f>
        <v>October 12th,2024</v>
      </c>
      <c r="AB1675" s="15" t="str">
        <f aca="true">IF(S1675="","",DATEDIF(S1675,TODAY(),"Y")&amp;" Tahun, "&amp;DATEDIF(S1675,TODAY(),"YM")&amp;" Bulan, "&amp;DATEDIF(S1675,TODAY(),"MD")&amp;" Hari")</f>
        <v>30 Tahun, 10 Bulan, 20 Hari</v>
      </c>
      <c r="AC1675" s="18" t="n">
        <v>45577</v>
      </c>
      <c r="AD1675" s="18" t="n">
        <v>45758</v>
      </c>
      <c r="AE1675" s="18" t="s">
        <v>44</v>
      </c>
    </row>
    <row r="1676" customFormat="false" ht="15" hidden="false" customHeight="true" outlineLevel="0" collapsed="false">
      <c r="A1676" s="12" t="n">
        <v>17655</v>
      </c>
      <c r="B1676" s="13" t="s">
        <v>7305</v>
      </c>
      <c r="C1676" s="14" t="n">
        <v>45579</v>
      </c>
      <c r="D1676" s="13" t="s">
        <v>144</v>
      </c>
      <c r="E1676" s="15" t="s">
        <v>47</v>
      </c>
      <c r="F1676" s="15" t="str">
        <f aca="false">IFERROR(__xludf.dummyfunction("XLOOKUP(AJ1676,IMPORTRANGE(""1XaInW9DU9nz21V0tYIfzFQ0He9kVQ_JF2mCXgZ3hqFA"",""REKAP ALL 2026 - Andika!G:G""),IMPORTRANGE(""1XaInW9DU9nz21V0tYIfzFQ0He9kVQ_JF2mCXgZ3hqFA"",""REKAP ALL 2026 - Andika!F:F""),"""",0)"),"24154920482")</f>
        <v>24154920482</v>
      </c>
      <c r="G1676" s="15" t="s">
        <v>7306</v>
      </c>
      <c r="H1676" s="13" t="s">
        <v>35</v>
      </c>
      <c r="I1676" s="13" t="str">
        <f aca="false">IF(C1676=J1676,"NEW KONTRAK","RE-KONTRAK")</f>
        <v>RE-KONTRAK</v>
      </c>
      <c r="J1676" s="16" t="n">
        <f aca="false" t="array" ref="J1676:J1676">IFERROR(INDEX(AC1676:AE1676,IF(COUNTA(AC1676:AE1676)=0,"",MAX((AC1676:AE1676&lt;&gt;"")*(COLUMN(AC1676:AE1676)-(COLUMN(AC1676)))))-1),"")</f>
        <v>45658</v>
      </c>
      <c r="K1676" s="16" t="n">
        <f aca="false" t="array" ref="K1676:K1676">IFERROR(INDEX(AC1676:AE1676,IF(COUNTA(AC1676:AE1676)=0,"",MAX((AC1676:AE1676&lt;&gt;"")*(COLUMN(AC1676:AE1676)-(COLUMN(AC1676)-1))))-1),"")</f>
        <v>46022</v>
      </c>
      <c r="L1676" s="17" t="str">
        <f aca="false" t="array" ref="L1676:L1676">IFERROR(INDEX(AC1676:AE1676,IF(COUNTA(AC1676:AE1676)=0,"",MAX((AC1676:AE1676&lt;&gt;"")*(COLUMN(AC1676:AE1676)-(COLUMN(AC1676)-2))))-1),"")</f>
        <v>ARCHIVED</v>
      </c>
      <c r="M1676" s="13" t="n">
        <f aca="true">K1676-TODAY()</f>
        <v>-302</v>
      </c>
      <c r="N1676" s="18" t="s">
        <v>36</v>
      </c>
      <c r="O1676" s="13" t="s">
        <v>156</v>
      </c>
      <c r="P1676" s="19" t="n">
        <v>5195401</v>
      </c>
      <c r="Q1676" s="20" t="s">
        <v>7307</v>
      </c>
      <c r="R1676" s="13" t="s">
        <v>78</v>
      </c>
      <c r="S1676" s="14" t="n">
        <v>33497</v>
      </c>
      <c r="T1676" s="13" t="s">
        <v>40</v>
      </c>
      <c r="U1676" s="13" t="s">
        <v>7308</v>
      </c>
      <c r="V1676" s="13" t="s">
        <v>42</v>
      </c>
      <c r="W1676" s="13" t="s">
        <v>54</v>
      </c>
      <c r="X1676" s="21" t="n">
        <v>88901954974</v>
      </c>
      <c r="Y1676" s="22" t="str">
        <f aca="false">O1676</f>
        <v>Emulsion</v>
      </c>
      <c r="Z1676" s="13" t="str">
        <f aca="false">IFERROR(__xludf.dummyfunction("if(BJ1676="""","""",GOOGLETRANSLATE(BJ1676,""auto"",""en""))"),"Emulsion")</f>
        <v>Emulsion</v>
      </c>
      <c r="AA1676" s="23" t="str">
        <f aca="false">IF(C1676="","", CHOOSE(MONTH(C1676),"January","February","March","April","May","June","July","August","September","October","November","December")&amp;" "&amp;DAY(C1676)&amp;MID("thstndrdth",MIN(9,2*RIGHT(DAY(C1676))*(MOD(DAY(C1676)-11,100)&gt;2)+1),2)&amp;","&amp;TEXT(C1676," yyyy"))</f>
        <v>October 14th,2024</v>
      </c>
      <c r="AB1676" s="15" t="str">
        <f aca="true">IF(S1676="","",DATEDIF(S1676,TODAY(),"Y")&amp;" Tahun, "&amp;DATEDIF(S1676,TODAY(),"YM")&amp;" Bulan, "&amp;DATEDIF(S1676,TODAY(),"MD")&amp;" Hari")</f>
        <v>35 Tahun, 1 Bulan, 13 Hari</v>
      </c>
      <c r="AC1676" s="18" t="n">
        <v>45658</v>
      </c>
      <c r="AD1676" s="18" t="n">
        <v>46022</v>
      </c>
      <c r="AE1676" s="18" t="s">
        <v>44</v>
      </c>
    </row>
    <row r="1677" customFormat="false" ht="15" hidden="false" customHeight="true" outlineLevel="0" collapsed="false">
      <c r="A1677" s="12" t="n">
        <v>17656</v>
      </c>
      <c r="B1677" s="13" t="s">
        <v>7309</v>
      </c>
      <c r="C1677" s="14" t="n">
        <v>45577</v>
      </c>
      <c r="D1677" s="13" t="s">
        <v>7310</v>
      </c>
      <c r="E1677" s="15" t="s">
        <v>33</v>
      </c>
      <c r="F1677" s="24" t="s">
        <v>7311</v>
      </c>
      <c r="G1677" s="15" t="s">
        <v>7312</v>
      </c>
      <c r="H1677" s="13" t="s">
        <v>35</v>
      </c>
      <c r="I1677" s="13" t="str">
        <f aca="false">IF(C1677=J1677,"NEW KONTRAK","RE-KONTRAK")</f>
        <v>NEW KONTRAK</v>
      </c>
      <c r="J1677" s="16" t="n">
        <f aca="false" t="array" ref="J1677:J1677">IFERROR(INDEX(AC1677:AE1677,IF(COUNTA(AC1677:AE1677)=0,"",MAX((AC1677:AE1677&lt;&gt;"")*(COLUMN(AC1677:AE1677)-(COLUMN(AC1677)))))-1),"")</f>
        <v>45577</v>
      </c>
      <c r="K1677" s="16" t="n">
        <f aca="false" t="array" ref="K1677:K1677">IFERROR(INDEX(AC1677:AE1677,IF(COUNTA(AC1677:AE1677)=0,"",MAX((AC1677:AE1677&lt;&gt;"")*(COLUMN(AC1677:AE1677)-(COLUMN(AC1677)-1))))-1),"")</f>
        <v>45941</v>
      </c>
      <c r="L1677" s="17" t="str">
        <f aca="false" t="array" ref="L1677:L1677">IFERROR(INDEX(AC1677:AE1677,IF(COUNTA(AC1677:AE1677)=0,"",MAX((AC1677:AE1677&lt;&gt;"")*(COLUMN(AC1677:AE1677)-(COLUMN(AC1677)-2))))-1),"")</f>
        <v>ARCHIVED</v>
      </c>
      <c r="M1677" s="13" t="n">
        <f aca="true">K1677-TODAY()</f>
        <v>-383</v>
      </c>
      <c r="N1677" s="18" t="s">
        <v>7313</v>
      </c>
      <c r="O1677" s="13" t="s">
        <v>50</v>
      </c>
      <c r="P1677" s="19" t="n">
        <v>2240701</v>
      </c>
      <c r="Q1677" s="20" t="s">
        <v>7314</v>
      </c>
      <c r="R1677" s="13" t="s">
        <v>227</v>
      </c>
      <c r="S1677" s="14" t="n">
        <v>36939</v>
      </c>
      <c r="T1677" s="13" t="s">
        <v>40</v>
      </c>
      <c r="U1677" s="13" t="s">
        <v>7315</v>
      </c>
      <c r="V1677" s="13" t="s">
        <v>42</v>
      </c>
      <c r="W1677" s="13" t="s">
        <v>43</v>
      </c>
      <c r="X1677" s="21" t="n">
        <v>83896128517</v>
      </c>
      <c r="Y1677" s="22" t="str">
        <f aca="false">O1677</f>
        <v>Driver</v>
      </c>
      <c r="Z1677" s="13" t="str">
        <f aca="false">IFERROR(__xludf.dummyfunction("if(BJ1677="""","""",GOOGLETRANSLATE(BJ1677,""auto"",""en""))"),"Driver")</f>
        <v>Driver</v>
      </c>
      <c r="AA1677" s="23" t="str">
        <f aca="false">IF(C1677="","", CHOOSE(MONTH(C1677),"January","February","March","April","May","June","July","August","September","October","November","December")&amp;" "&amp;DAY(C1677)&amp;MID("thstndrdth",MIN(9,2*RIGHT(DAY(C1677))*(MOD(DAY(C1677)-11,100)&gt;2)+1),2)&amp;","&amp;TEXT(C1677," yyyy"))</f>
        <v>October 12th,2024</v>
      </c>
      <c r="AB1677" s="15" t="str">
        <f aca="true">IF(S1677="","",DATEDIF(S1677,TODAY(),"Y")&amp;" Tahun, "&amp;DATEDIF(S1677,TODAY(),"YM")&amp;" Bulan, "&amp;DATEDIF(S1677,TODAY(),"MD")&amp;" Hari")</f>
        <v>25 Tahun, 8 Bulan, 12 Hari</v>
      </c>
      <c r="AC1677" s="18" t="n">
        <v>45577</v>
      </c>
      <c r="AD1677" s="18" t="n">
        <v>45941</v>
      </c>
      <c r="AE1677" s="18" t="s">
        <v>44</v>
      </c>
    </row>
    <row r="1678" customFormat="false" ht="15" hidden="false" customHeight="true" outlineLevel="0" collapsed="false">
      <c r="A1678" s="12" t="n">
        <v>17657</v>
      </c>
      <c r="B1678" s="13" t="s">
        <v>7316</v>
      </c>
      <c r="C1678" s="14" t="n">
        <v>45576</v>
      </c>
      <c r="D1678" s="13" t="s">
        <v>7310</v>
      </c>
      <c r="E1678" s="15" t="s">
        <v>47</v>
      </c>
      <c r="F1678" s="15" t="str">
        <f aca="false">IFERROR(__xludf.dummyfunction("XLOOKUP(AJ1678,IMPORTRANGE(""1XaInW9DU9nz21V0tYIfzFQ0He9kVQ_JF2mCXgZ3hqFA"",""REKAP ALL 2026 - Andika!G:G""),IMPORTRANGE(""1XaInW9DU9nz21V0tYIfzFQ0He9kVQ_JF2mCXgZ3hqFA"",""REKAP ALL 2026 - Andika!F:F""),"""",0)"),"24154920128")</f>
        <v>24154920128</v>
      </c>
      <c r="G1678" s="15" t="s">
        <v>7317</v>
      </c>
      <c r="H1678" s="13" t="s">
        <v>35</v>
      </c>
      <c r="I1678" s="13" t="str">
        <f aca="false">IF(C1678=J1678,"NEW KONTRAK","RE-KONTRAK")</f>
        <v>NEW KONTRAK</v>
      </c>
      <c r="J1678" s="16" t="n">
        <f aca="false" t="array" ref="J1678:J1678">IFERROR(INDEX(AC1678:AE1678,IF(COUNTA(AC1678:AE1678)=0,"",MAX((AC1678:AE1678&lt;&gt;"")*(COLUMN(AC1678:AE1678)-(COLUMN(AC1678)))))-1),"")</f>
        <v>45576</v>
      </c>
      <c r="K1678" s="16" t="n">
        <f aca="false" t="array" ref="K1678:K1678">IFERROR(INDEX(AC1678:AE1678,IF(COUNTA(AC1678:AE1678)=0,"",MAX((AC1678:AE1678&lt;&gt;"")*(COLUMN(AC1678:AE1678)-(COLUMN(AC1678)-1))))-1),"")</f>
        <v>45940</v>
      </c>
      <c r="L1678" s="17" t="str">
        <f aca="false" t="array" ref="L1678:L1678">IFERROR(INDEX(AC1678:AE1678,IF(COUNTA(AC1678:AE1678)=0,"",MAX((AC1678:AE1678&lt;&gt;"")*(COLUMN(AC1678:AE1678)-(COLUMN(AC1678)-2))))-1),"")</f>
        <v>ARCHIVED</v>
      </c>
      <c r="M1678" s="13" t="n">
        <f aca="true">K1678-TODAY()</f>
        <v>-384</v>
      </c>
      <c r="N1678" s="18" t="s">
        <v>7313</v>
      </c>
      <c r="O1678" s="13" t="s">
        <v>50</v>
      </c>
      <c r="P1678" s="19" t="n">
        <v>2550274</v>
      </c>
      <c r="Q1678" s="20" t="s">
        <v>7318</v>
      </c>
      <c r="R1678" s="13" t="s">
        <v>227</v>
      </c>
      <c r="S1678" s="14" t="n">
        <v>35428</v>
      </c>
      <c r="T1678" s="13" t="s">
        <v>40</v>
      </c>
      <c r="U1678" s="13" t="s">
        <v>7319</v>
      </c>
      <c r="V1678" s="13" t="s">
        <v>42</v>
      </c>
      <c r="W1678" s="13" t="s">
        <v>43</v>
      </c>
      <c r="X1678" s="21" t="n">
        <v>895393052490</v>
      </c>
      <c r="Y1678" s="22" t="str">
        <f aca="false">O1678</f>
        <v>Driver</v>
      </c>
      <c r="Z1678" s="13" t="str">
        <f aca="false">IFERROR(__xludf.dummyfunction("if(BJ1678="""","""",GOOGLETRANSLATE(BJ1678,""auto"",""en""))"),"Driver")</f>
        <v>Driver</v>
      </c>
      <c r="AA1678" s="23" t="str">
        <f aca="false">IF(C1678="","", CHOOSE(MONTH(C1678),"January","February","March","April","May","June","July","August","September","October","November","December")&amp;" "&amp;DAY(C1678)&amp;MID("thstndrdth",MIN(9,2*RIGHT(DAY(C1678))*(MOD(DAY(C1678)-11,100)&gt;2)+1),2)&amp;","&amp;TEXT(C1678," yyyy"))</f>
        <v>October 11th,2024</v>
      </c>
      <c r="AB1678" s="15" t="str">
        <f aca="true">IF(S1678="","",DATEDIF(S1678,TODAY(),"Y")&amp;" Tahun, "&amp;DATEDIF(S1678,TODAY(),"YM")&amp;" Bulan, "&amp;DATEDIF(S1678,TODAY(),"MD")&amp;" Hari")</f>
        <v>29 Tahun, 10 Bulan, 0 Hari</v>
      </c>
      <c r="AC1678" s="18" t="n">
        <v>45576</v>
      </c>
      <c r="AD1678" s="18" t="n">
        <v>45940</v>
      </c>
      <c r="AE1678" s="18" t="s">
        <v>44</v>
      </c>
    </row>
    <row r="1679" customFormat="false" ht="15" hidden="false" customHeight="true" outlineLevel="0" collapsed="false">
      <c r="A1679" s="12" t="n">
        <v>17658</v>
      </c>
      <c r="B1679" s="13" t="s">
        <v>7320</v>
      </c>
      <c r="C1679" s="14" t="n">
        <v>45579</v>
      </c>
      <c r="D1679" s="13" t="s">
        <v>7310</v>
      </c>
      <c r="E1679" s="15" t="s">
        <v>47</v>
      </c>
      <c r="F1679" s="15" t="str">
        <f aca="false">IFERROR(__xludf.dummyfunction("XLOOKUP(AJ1679,IMPORTRANGE(""1XaInW9DU9nz21V0tYIfzFQ0He9kVQ_JF2mCXgZ3hqFA"",""REKAP ALL 2026 - Andika!G:G""),IMPORTRANGE(""1XaInW9DU9nz21V0tYIfzFQ0He9kVQ_JF2mCXgZ3hqFA"",""REKAP ALL 2026 - Andika!F:F""),"""",0)"),"24154920102")</f>
        <v>24154920102</v>
      </c>
      <c r="G1679" s="13" t="s">
        <v>7321</v>
      </c>
      <c r="H1679" s="13" t="s">
        <v>35</v>
      </c>
      <c r="I1679" s="13" t="str">
        <f aca="false">IF(C1679=J1679,"NEW KONTRAK","RE-KONTRAK")</f>
        <v>NEW KONTRAK</v>
      </c>
      <c r="J1679" s="16" t="n">
        <f aca="false" t="array" ref="J1679:J1679">IFERROR(INDEX(AC1679:AE1679,IF(COUNTA(AC1679:AE1679)=0,"",MAX((AC1679:AE1679&lt;&gt;"")*(COLUMN(AC1679:AE1679)-(COLUMN(AC1679)))))-1),"")</f>
        <v>45579</v>
      </c>
      <c r="K1679" s="16" t="n">
        <f aca="false" t="array" ref="K1679:K1679">IFERROR(INDEX(AC1679:AE1679,IF(COUNTA(AC1679:AE1679)=0,"",MAX((AC1679:AE1679&lt;&gt;"")*(COLUMN(AC1679:AE1679)-(COLUMN(AC1679)-1))))-1),"")</f>
        <v>45943</v>
      </c>
      <c r="L1679" s="17" t="str">
        <f aca="false" t="array" ref="L1679:L1679">IFERROR(INDEX(AC1679:AE1679,IF(COUNTA(AC1679:AE1679)=0,"",MAX((AC1679:AE1679&lt;&gt;"")*(COLUMN(AC1679:AE1679)-(COLUMN(AC1679)-2))))-1),"")</f>
        <v>ARCHIVED</v>
      </c>
      <c r="M1679" s="13" t="n">
        <f aca="true">K1679-TODAY()</f>
        <v>-381</v>
      </c>
      <c r="N1679" s="18" t="s">
        <v>7313</v>
      </c>
      <c r="O1679" s="13" t="s">
        <v>3271</v>
      </c>
      <c r="P1679" s="19" t="n">
        <v>2550274</v>
      </c>
      <c r="Q1679" s="20" t="s">
        <v>7322</v>
      </c>
      <c r="R1679" s="13" t="s">
        <v>735</v>
      </c>
      <c r="S1679" s="14" t="n">
        <v>35770</v>
      </c>
      <c r="T1679" s="13" t="s">
        <v>40</v>
      </c>
      <c r="U1679" s="13" t="s">
        <v>7323</v>
      </c>
      <c r="V1679" s="13" t="s">
        <v>42</v>
      </c>
      <c r="W1679" s="13" t="s">
        <v>54</v>
      </c>
      <c r="X1679" s="21" t="n">
        <v>85735526163</v>
      </c>
      <c r="Y1679" s="22" t="str">
        <f aca="false">O1679</f>
        <v>Helper</v>
      </c>
      <c r="Z1679" s="13" t="str">
        <f aca="false">IFERROR(__xludf.dummyfunction("if(BJ1679="""","""",GOOGLETRANSLATE(BJ1679,""auto"",""en""))"),"Helper")</f>
        <v>Helper</v>
      </c>
      <c r="AA1679" s="23" t="str">
        <f aca="false">IF(C1679="","", CHOOSE(MONTH(C1679),"January","February","March","April","May","June","July","August","September","October","November","December")&amp;" "&amp;DAY(C1679)&amp;MID("thstndrdth",MIN(9,2*RIGHT(DAY(C1679))*(MOD(DAY(C1679)-11,100)&gt;2)+1),2)&amp;","&amp;TEXT(C1679," yyyy"))</f>
        <v>October 14th,2024</v>
      </c>
      <c r="AB1679" s="15" t="str">
        <f aca="true">IF(S1679="","",DATEDIF(S1679,TODAY(),"Y")&amp;" Tahun, "&amp;DATEDIF(S1679,TODAY(),"YM")&amp;" Bulan, "&amp;DATEDIF(S1679,TODAY(),"MD")&amp;" Hari")</f>
        <v>28 Tahun, 10 Bulan, 23 Hari</v>
      </c>
      <c r="AC1679" s="18" t="n">
        <v>45579</v>
      </c>
      <c r="AD1679" s="18" t="n">
        <v>45943</v>
      </c>
      <c r="AE1679" s="18" t="s">
        <v>44</v>
      </c>
    </row>
    <row r="1680" customFormat="false" ht="15" hidden="false" customHeight="true" outlineLevel="0" collapsed="false">
      <c r="A1680" s="12" t="n">
        <v>17659</v>
      </c>
      <c r="B1680" s="13" t="s">
        <v>7324</v>
      </c>
      <c r="C1680" s="14" t="n">
        <v>45576</v>
      </c>
      <c r="D1680" s="13" t="s">
        <v>7310</v>
      </c>
      <c r="E1680" s="15" t="s">
        <v>102</v>
      </c>
      <c r="F1680" s="15" t="str">
        <f aca="false">IFERROR(__xludf.dummyfunction("XLOOKUP(AJ1680,IMPORTRANGE(""1XaInW9DU9nz21V0tYIfzFQ0He9kVQ_JF2mCXgZ3hqFA"",""REKAP ALL 2026 - Andika!G:G""),IMPORTRANGE(""1XaInW9DU9nz21V0tYIfzFQ0He9kVQ_JF2mCXgZ3hqFA"",""REKAP ALL 2026 - Andika!F:F""),"""",0)"),"24154920151")</f>
        <v>24154920151</v>
      </c>
      <c r="G1680" s="13" t="s">
        <v>7325</v>
      </c>
      <c r="H1680" s="13" t="s">
        <v>35</v>
      </c>
      <c r="I1680" s="13" t="str">
        <f aca="false">IF(C1680=J1680,"NEW KONTRAK","RE-KONTRAK")</f>
        <v>NEW KONTRAK</v>
      </c>
      <c r="J1680" s="16" t="n">
        <f aca="false" t="array" ref="J1680:J1680">IFERROR(INDEX(AC1680:AE1680,IF(COUNTA(AC1680:AE1680)=0,"",MAX((AC1680:AE1680&lt;&gt;"")*(COLUMN(AC1680:AE1680)-(COLUMN(AC1680)))))-1),"")</f>
        <v>45576</v>
      </c>
      <c r="K1680" s="16" t="n">
        <f aca="false" t="array" ref="K1680:K1680">IFERROR(INDEX(AC1680:AE1680,IF(COUNTA(AC1680:AE1680)=0,"",MAX((AC1680:AE1680&lt;&gt;"")*(COLUMN(AC1680:AE1680)-(COLUMN(AC1680)-1))))-1),"")</f>
        <v>45940</v>
      </c>
      <c r="L1680" s="17" t="str">
        <f aca="false" t="array" ref="L1680:L1680">IFERROR(INDEX(AC1680:AE1680,IF(COUNTA(AC1680:AE1680)=0,"",MAX((AC1680:AE1680&lt;&gt;"")*(COLUMN(AC1680:AE1680)-(COLUMN(AC1680)-2))))-1),"")</f>
        <v>ARCHIVED</v>
      </c>
      <c r="M1680" s="13" t="n">
        <f aca="true">K1680-TODAY()</f>
        <v>-384</v>
      </c>
      <c r="N1680" s="18" t="s">
        <v>7313</v>
      </c>
      <c r="O1680" s="13" t="s">
        <v>3271</v>
      </c>
      <c r="P1680" s="19" t="n">
        <v>2550274</v>
      </c>
      <c r="Q1680" s="20" t="s">
        <v>7326</v>
      </c>
      <c r="R1680" s="13" t="s">
        <v>227</v>
      </c>
      <c r="S1680" s="14" t="n">
        <v>33641</v>
      </c>
      <c r="T1680" s="13" t="s">
        <v>40</v>
      </c>
      <c r="U1680" s="13" t="s">
        <v>7327</v>
      </c>
      <c r="V1680" s="13" t="s">
        <v>42</v>
      </c>
      <c r="W1680" s="13" t="s">
        <v>54</v>
      </c>
      <c r="X1680" s="21" t="n">
        <v>82143737786</v>
      </c>
      <c r="Y1680" s="22" t="str">
        <f aca="false">O1680</f>
        <v>Helper</v>
      </c>
      <c r="Z1680" s="13" t="str">
        <f aca="false">IFERROR(__xludf.dummyfunction("if(BJ1680="""","""",GOOGLETRANSLATE(BJ1680,""auto"",""en""))"),"Helper")</f>
        <v>Helper</v>
      </c>
      <c r="AA1680" s="23" t="str">
        <f aca="false">IF(C1680="","", CHOOSE(MONTH(C1680),"January","February","March","April","May","June","July","August","September","October","November","December")&amp;" "&amp;DAY(C1680)&amp;MID("thstndrdth",MIN(9,2*RIGHT(DAY(C1680))*(MOD(DAY(C1680)-11,100)&gt;2)+1),2)&amp;","&amp;TEXT(C1680," yyyy"))</f>
        <v>October 11th,2024</v>
      </c>
      <c r="AB1680" s="15" t="str">
        <f aca="true">IF(S1680="","",DATEDIF(S1680,TODAY(),"Y")&amp;" Tahun, "&amp;DATEDIF(S1680,TODAY(),"YM")&amp;" Bulan, "&amp;DATEDIF(S1680,TODAY(),"MD")&amp;" Hari")</f>
        <v>34 Tahun, 8 Bulan, 22 Hari</v>
      </c>
      <c r="AC1680" s="18" t="n">
        <v>45576</v>
      </c>
      <c r="AD1680" s="18" t="n">
        <v>45940</v>
      </c>
      <c r="AE1680" s="18" t="s">
        <v>44</v>
      </c>
    </row>
    <row r="1681" customFormat="false" ht="15" hidden="false" customHeight="true" outlineLevel="0" collapsed="false">
      <c r="A1681" s="12" t="n">
        <v>17665</v>
      </c>
      <c r="B1681" s="13" t="s">
        <v>7328</v>
      </c>
      <c r="C1681" s="14" t="n">
        <v>45572</v>
      </c>
      <c r="D1681" s="13" t="s">
        <v>2033</v>
      </c>
      <c r="E1681" s="15" t="s">
        <v>789</v>
      </c>
      <c r="F1681" s="24" t="s">
        <v>7329</v>
      </c>
      <c r="G1681" s="15" t="s">
        <v>7330</v>
      </c>
      <c r="H1681" s="13" t="s">
        <v>2035</v>
      </c>
      <c r="I1681" s="13" t="str">
        <f aca="false">IF(C1681=J1681,"NEW KONTRAK","RE-KONTRAK")</f>
        <v>RE-KONTRAK</v>
      </c>
      <c r="J1681" s="16" t="n">
        <f aca="false" t="array" ref="J1681:J1681">IFERROR(INDEX(AC1681:AE1681,IF(COUNTA(AC1681:AE1681)=0,"",MAX((AC1681:AE1681&lt;&gt;"")*(COLUMN(AC1681:AE1681)-(COLUMN(AC1681)))))-1),"")</f>
        <v>45744</v>
      </c>
      <c r="K1681" s="16" t="n">
        <f aca="false" t="array" ref="K1681:K1681">IFERROR(INDEX(AC1681:AE1681,IF(COUNTA(AC1681:AE1681)=0,"",MAX((AC1681:AE1681&lt;&gt;"")*(COLUMN(AC1681:AE1681)-(COLUMN(AC1681)-1))))-1),"")</f>
        <v>45915</v>
      </c>
      <c r="L1681" s="17" t="str">
        <f aca="false" t="array" ref="L1681:L1681">IFERROR(INDEX(AC1681:AE1681,IF(COUNTA(AC1681:AE1681)=0,"",MAX((AC1681:AE1681&lt;&gt;"")*(COLUMN(AC1681:AE1681)-(COLUMN(AC1681)-2))))-1),"")</f>
        <v>ARCHIVED</v>
      </c>
      <c r="M1681" s="13" t="n">
        <f aca="true">K1681-TODAY()</f>
        <v>-409</v>
      </c>
      <c r="N1681" s="18" t="s">
        <v>2369</v>
      </c>
      <c r="O1681" s="13" t="s">
        <v>2037</v>
      </c>
      <c r="P1681" s="19" t="n">
        <v>3314394</v>
      </c>
      <c r="Q1681" s="20" t="s">
        <v>7331</v>
      </c>
      <c r="R1681" s="13" t="s">
        <v>2369</v>
      </c>
      <c r="S1681" s="14" t="n">
        <v>36305</v>
      </c>
      <c r="T1681" s="13" t="s">
        <v>108</v>
      </c>
      <c r="U1681" s="13" t="s">
        <v>7332</v>
      </c>
      <c r="V1681" s="13" t="s">
        <v>42</v>
      </c>
      <c r="W1681" s="13" t="s">
        <v>43</v>
      </c>
      <c r="X1681" s="21" t="n">
        <v>87865079814</v>
      </c>
      <c r="Y1681" s="22" t="str">
        <f aca="false">O1681</f>
        <v>SPG/BA</v>
      </c>
      <c r="Z1681" s="13" t="str">
        <f aca="false">IFERROR(__xludf.dummyfunction("if(BJ1681="""","""",GOOGLETRANSLATE(BJ1681,""auto"",""en""))"),"SPG/BA")</f>
        <v>SPG/BA</v>
      </c>
      <c r="AA1681" s="23" t="str">
        <f aca="false">IF(C1681="","", CHOOSE(MONTH(C1681),"January","February","March","April","May","June","July","August","September","October","November","December")&amp;" "&amp;DAY(C1681)&amp;MID("thstndrdth",MIN(9,2*RIGHT(DAY(C1681))*(MOD(DAY(C1681)-11,100)&gt;2)+1),2)&amp;","&amp;TEXT(C1681," yyyy"))</f>
        <v>October 7th,2024</v>
      </c>
      <c r="AB1681" s="15" t="str">
        <f aca="true">IF(S1681="","",DATEDIF(S1681,TODAY(),"Y")&amp;" Tahun, "&amp;DATEDIF(S1681,TODAY(),"YM")&amp;" Bulan, "&amp;DATEDIF(S1681,TODAY(),"MD")&amp;" Hari")</f>
        <v>27 Tahun, 5 Bulan, 4 Hari</v>
      </c>
      <c r="AC1681" s="18" t="n">
        <v>45744</v>
      </c>
      <c r="AD1681" s="18" t="n">
        <v>45915</v>
      </c>
      <c r="AE1681" s="18" t="s">
        <v>44</v>
      </c>
    </row>
    <row r="1682" customFormat="false" ht="15" hidden="false" customHeight="true" outlineLevel="0" collapsed="false">
      <c r="A1682" s="12" t="n">
        <v>22226</v>
      </c>
      <c r="B1682" s="13" t="s">
        <v>7333</v>
      </c>
      <c r="C1682" s="46" t="n">
        <v>46133.2916666667</v>
      </c>
      <c r="D1682" s="13" t="s">
        <v>2033</v>
      </c>
      <c r="E1682" s="15" t="s">
        <v>47</v>
      </c>
      <c r="F1682" s="15" t="str">
        <f aca="false">IFERROR(__xludf.dummyfunction("XLOOKUP(AJ1682,IMPORTRANGE(""1XaInW9DU9nz21V0tYIfzFQ0He9kVQ_JF2mCXgZ3hqFA"",""REKAP ALL 2026 - Andika!G:G""),IMPORTRANGE(""1XaInW9DU9nz21V0tYIfzFQ0He9kVQ_JF2mCXgZ3hqFA"",""REKAP ALL 2026 - Andika!F:F""),"""",0)"),"26062984203")</f>
        <v>26062984203</v>
      </c>
      <c r="G1682" s="13" t="s">
        <v>1127</v>
      </c>
      <c r="H1682" s="13" t="s">
        <v>35</v>
      </c>
      <c r="I1682" s="13" t="str">
        <f aca="false">IF(C1682=J1682,"NEW KONTRAK","RE-KONTRAK")</f>
        <v>NEW KONTRAK</v>
      </c>
      <c r="J1682" s="16" t="n">
        <f aca="false" t="array" ref="J1682:J1682">IFERROR(INDEX(AC1682:AE1682,IF(COUNTA(AC1682:AE1682)=0,"",MAX((AC1682:AE1682&lt;&gt;"")*(COLUMN(AC1682:AE1682)-(COLUMN(AC1682)))))-1),"")</f>
        <v>46133.2916666667</v>
      </c>
      <c r="K1682" s="16" t="n">
        <f aca="false" t="array" ref="K1682:K1682">IFERROR(INDEX(AC1682:AE1682,IF(COUNTA(AC1682:AE1682)=0,"",MAX((AC1682:AE1682&lt;&gt;"")*(COLUMN(AC1682:AE1682)-(COLUMN(AC1682)-1))))-1),"")</f>
        <v>46188</v>
      </c>
      <c r="L1682" s="17" t="str">
        <f aca="false" t="array" ref="L1682:L1682">IFERROR(INDEX(AC1682:AE1682,IF(COUNTA(AC1682:AE1682)=0,"",MAX((AC1682:AE1682&lt;&gt;"")*(COLUMN(AC1682:AE1682)-(COLUMN(AC1682)-2))))-1),"")</f>
        <v>ARCHIVED</v>
      </c>
      <c r="M1682" s="13" t="n">
        <f aca="true">K1682-TODAY()</f>
        <v>-136</v>
      </c>
      <c r="N1682" s="18" t="s">
        <v>2363</v>
      </c>
      <c r="O1682" s="13" t="s">
        <v>2037</v>
      </c>
      <c r="P1682" s="19" t="n">
        <v>4335198</v>
      </c>
      <c r="Q1682" s="20" t="s">
        <v>7334</v>
      </c>
      <c r="R1682" s="13" t="s">
        <v>2421</v>
      </c>
      <c r="S1682" s="14" t="n">
        <v>37068</v>
      </c>
      <c r="T1682" s="13" t="s">
        <v>108</v>
      </c>
      <c r="U1682" s="13" t="s">
        <v>7335</v>
      </c>
      <c r="V1682" s="13" t="s">
        <v>42</v>
      </c>
      <c r="W1682" s="13" t="s">
        <v>43</v>
      </c>
      <c r="X1682" s="21" t="n">
        <v>89686258404</v>
      </c>
      <c r="Y1682" s="22" t="str">
        <f aca="false">O1682</f>
        <v>SPG/BA</v>
      </c>
      <c r="Z1682" s="13" t="str">
        <f aca="false">IFERROR(__xludf.dummyfunction("if(BJ1682="""","""",GOOGLETRANSLATE(BJ1682,""auto"",""en""))"),"SPG/BA")</f>
        <v>SPG/BA</v>
      </c>
      <c r="AA1682" s="23" t="str">
        <f aca="false">IF(C1682="","", CHOOSE(MONTH(C1682),"January","February","March","April","May","June","July","August","September","October","November","December")&amp;" "&amp;DAY(C1682)&amp;MID("thstndrdth",MIN(9,2*RIGHT(DAY(C1682))*(MOD(DAY(C1682)-11,100)&gt;2)+1),2)&amp;","&amp;TEXT(C1682," yyyy"))</f>
        <v>April 21st,2026</v>
      </c>
      <c r="AB1682" s="15" t="str">
        <f aca="true">IF(S1682="","",DATEDIF(S1682,TODAY(),"Y")&amp;" Tahun, "&amp;DATEDIF(S1682,TODAY(),"YM")&amp;" Bulan, "&amp;DATEDIF(S1682,TODAY(),"MD")&amp;" Hari")</f>
        <v>25 Tahun, 4 Bulan, 3 Hari</v>
      </c>
      <c r="AC1682" s="14" t="n">
        <f aca="false">C1682</f>
        <v>46133.2916666667</v>
      </c>
      <c r="AD1682" s="64" t="n">
        <v>46188</v>
      </c>
      <c r="AE1682" s="18" t="s">
        <v>44</v>
      </c>
    </row>
    <row r="1683" customFormat="false" ht="15" hidden="false" customHeight="true" outlineLevel="0" collapsed="false">
      <c r="A1683" s="12" t="n">
        <v>17672</v>
      </c>
      <c r="B1683" s="13" t="s">
        <v>7336</v>
      </c>
      <c r="C1683" s="14" t="n">
        <v>45580</v>
      </c>
      <c r="D1683" s="13" t="s">
        <v>1338</v>
      </c>
      <c r="E1683" s="15" t="s">
        <v>789</v>
      </c>
      <c r="F1683" s="24" t="s">
        <v>7337</v>
      </c>
      <c r="G1683" s="15" t="s">
        <v>57</v>
      </c>
      <c r="H1683" s="13" t="s">
        <v>35</v>
      </c>
      <c r="I1683" s="13" t="str">
        <f aca="false">IF(C1683=J1683,"NEW KONTRAK","RE-KONTRAK")</f>
        <v>RE-KONTRAK</v>
      </c>
      <c r="J1683" s="16" t="n">
        <f aca="false" t="array" ref="J1683:J1683">IFERROR(INDEX(AC1683:AE1683,IF(COUNTA(AC1683:AE1683)=0,"",MAX((AC1683:AE1683&lt;&gt;"")*(COLUMN(AC1683:AE1683)-(COLUMN(AC1683)))))-1),"")</f>
        <v>45844</v>
      </c>
      <c r="K1683" s="16" t="n">
        <f aca="false" t="array" ref="K1683:K1683">IFERROR(INDEX(AC1683:AE1683,IF(COUNTA(AC1683:AE1683)=0,"",MAX((AC1683:AE1683&lt;&gt;"")*(COLUMN(AC1683:AE1683)-(COLUMN(AC1683)-1))))-1),"")</f>
        <v>45935</v>
      </c>
      <c r="L1683" s="17" t="str">
        <f aca="false" t="array" ref="L1683:L1683">IFERROR(INDEX(AC1683:AE1683,IF(COUNTA(AC1683:AE1683)=0,"",MAX((AC1683:AE1683&lt;&gt;"")*(COLUMN(AC1683:AE1683)-(COLUMN(AC1683)-2))))-1),"")</f>
        <v>ARCHIVED</v>
      </c>
      <c r="M1683" s="13" t="n">
        <f aca="true">K1683-TODAY()</f>
        <v>-389</v>
      </c>
      <c r="N1683" s="50" t="s">
        <v>615</v>
      </c>
      <c r="O1683" s="13" t="s">
        <v>7338</v>
      </c>
      <c r="P1683" s="19" t="n">
        <v>5400000</v>
      </c>
      <c r="Q1683" s="20" t="s">
        <v>7339</v>
      </c>
      <c r="R1683" s="13" t="s">
        <v>73</v>
      </c>
      <c r="S1683" s="14" t="n">
        <v>37667</v>
      </c>
      <c r="T1683" s="13" t="s">
        <v>40</v>
      </c>
      <c r="U1683" s="13" t="s">
        <v>7340</v>
      </c>
      <c r="V1683" s="13" t="s">
        <v>42</v>
      </c>
      <c r="W1683" s="13" t="s">
        <v>43</v>
      </c>
      <c r="X1683" s="21" t="n">
        <v>89675629866</v>
      </c>
      <c r="Y1683" s="22" t="str">
        <f aca="false">O1683</f>
        <v>Drafter</v>
      </c>
      <c r="Z1683" s="13" t="str">
        <f aca="false">IFERROR(__xludf.dummyfunction("if(BJ1683="""","""",GOOGLETRANSLATE(BJ1683,""auto"",""en""))"),"Drafter")</f>
        <v>Drafter</v>
      </c>
      <c r="AA1683" s="23" t="str">
        <f aca="false">IF(C1683="","", CHOOSE(MONTH(C1683),"January","February","March","April","May","June","July","August","September","October","November","December")&amp;" "&amp;DAY(C1683)&amp;MID("thstndrdth",MIN(9,2*RIGHT(DAY(C1683))*(MOD(DAY(C1683)-11,100)&gt;2)+1),2)&amp;","&amp;TEXT(C1683," yyyy"))</f>
        <v>October 15th,2024</v>
      </c>
      <c r="AB1683" s="15" t="str">
        <f aca="true">IF(S1683="","",DATEDIF(S1683,TODAY(),"Y")&amp;" Tahun, "&amp;DATEDIF(S1683,TODAY(),"YM")&amp;" Bulan, "&amp;DATEDIF(S1683,TODAY(),"MD")&amp;" Hari")</f>
        <v>23 Tahun, 8 Bulan, 14 Hari</v>
      </c>
      <c r="AC1683" s="18" t="n">
        <v>45844</v>
      </c>
      <c r="AD1683" s="18" t="n">
        <v>45935</v>
      </c>
      <c r="AE1683" s="18" t="s">
        <v>44</v>
      </c>
    </row>
    <row r="1684" customFormat="false" ht="15" hidden="false" customHeight="true" outlineLevel="0" collapsed="false">
      <c r="A1684" s="12" t="n">
        <v>17675</v>
      </c>
      <c r="B1684" s="13" t="s">
        <v>7341</v>
      </c>
      <c r="C1684" s="14" t="n">
        <v>46235</v>
      </c>
      <c r="D1684" s="13" t="s">
        <v>5726</v>
      </c>
      <c r="E1684" s="15" t="s">
        <v>47</v>
      </c>
      <c r="F1684" s="15" t="str">
        <f aca="false">IFERROR(__xludf.dummyfunction("XLOOKUP(AJ1684,IMPORTRANGE(""1XaInW9DU9nz21V0tYIfzFQ0He9kVQ_JF2mCXgZ3hqFA"",""REKAP ALL 2026 - Andika!G:G""),IMPORTRANGE(""1XaInW9DU9nz21V0tYIfzFQ0He9kVQ_JF2mCXgZ3hqFA"",""REKAP ALL 2026 - Andika!F:F""),"""",0)"),"24154920441")</f>
        <v>24154920441</v>
      </c>
      <c r="G1684" s="15" t="s">
        <v>7342</v>
      </c>
      <c r="H1684" s="13" t="s">
        <v>35</v>
      </c>
      <c r="I1684" s="13" t="str">
        <f aca="false">IF(C1684=J1684,"NEW KONTRAK","RE-KONTRAK")</f>
        <v>NEW KONTRAK</v>
      </c>
      <c r="J1684" s="16" t="n">
        <f aca="false" t="array" ref="J1684:J1684">IFERROR(INDEX(AC1684:AE1684,IF(COUNTA(AC1684:AE1684)=0,"",MAX((AC1684:AE1684&lt;&gt;"")*(COLUMN(AC1684:AE1684)-(COLUMN(AC1684)))))-1),"")</f>
        <v>46235</v>
      </c>
      <c r="K1684" s="16" t="n">
        <f aca="false" t="array" ref="K1684:K1684">IFERROR(INDEX(AC1684:AE1684,IF(COUNTA(AC1684:AE1684)=0,"",MAX((AC1684:AE1684&lt;&gt;"")*(COLUMN(AC1684:AE1684)-(COLUMN(AC1684)-1))))-1),"")</f>
        <v>46326</v>
      </c>
      <c r="L1684" s="17" t="str">
        <f aca="false" t="array" ref="L1684:L1684">IFERROR(INDEX(AC1684:AE1684,IF(COUNTA(AC1684:AE1684)=0,"",MAX((AC1684:AE1684&lt;&gt;"")*(COLUMN(AC1684:AE1684)-(COLUMN(AC1684)-2))))-1),"")</f>
        <v>KEMBALI</v>
      </c>
      <c r="M1684" s="13" t="n">
        <f aca="true">K1684-TODAY()</f>
        <v>2</v>
      </c>
      <c r="N1684" s="18" t="s">
        <v>615</v>
      </c>
      <c r="O1684" s="13" t="s">
        <v>1531</v>
      </c>
      <c r="P1684" s="19" t="n">
        <v>5176101</v>
      </c>
      <c r="Q1684" s="20" t="s">
        <v>7343</v>
      </c>
      <c r="R1684" s="13" t="s">
        <v>232</v>
      </c>
      <c r="S1684" s="14" t="n">
        <v>36546</v>
      </c>
      <c r="T1684" s="13" t="s">
        <v>108</v>
      </c>
      <c r="U1684" s="13" t="s">
        <v>7344</v>
      </c>
      <c r="V1684" s="13" t="s">
        <v>42</v>
      </c>
      <c r="W1684" s="13" t="s">
        <v>43</v>
      </c>
      <c r="X1684" s="21" t="n">
        <v>81459035827</v>
      </c>
      <c r="Y1684" s="22" t="str">
        <f aca="false">O1684</f>
        <v>Packer</v>
      </c>
      <c r="Z1684" s="13" t="str">
        <f aca="false">IFERROR(__xludf.dummyfunction("if(BJ1684="""","""",GOOGLETRANSLATE(BJ1684,""auto"",""en""))"),"Packer")</f>
        <v>Packer</v>
      </c>
      <c r="AA1684" s="23" t="str">
        <f aca="false">IF(C1684="","", CHOOSE(MONTH(C1684),"January","February","March","April","May","June","July","August","September","October","November","December")&amp;" "&amp;DAY(C1684)&amp;MID("thstndrdth",MIN(9,2*RIGHT(DAY(C1684))*(MOD(DAY(C1684)-11,100)&gt;2)+1),2)&amp;","&amp;TEXT(C1684," yyyy"))</f>
        <v>August 1st,2026</v>
      </c>
      <c r="AB1684" s="15" t="str">
        <f aca="true">IF(S1684="","",DATEDIF(S1684,TODAY(),"Y")&amp;" Tahun, "&amp;DATEDIF(S1684,TODAY(),"YM")&amp;" Bulan, "&amp;DATEDIF(S1684,TODAY(),"MD")&amp;" Hari")</f>
        <v>26 Tahun, 9 Bulan, 8 Hari</v>
      </c>
      <c r="AC1684" s="18" t="n">
        <v>46235</v>
      </c>
      <c r="AD1684" s="18" t="n">
        <f aca="false">EDATE(AC1684,3)-1</f>
        <v>46326</v>
      </c>
      <c r="AE1684" s="13" t="s">
        <v>397</v>
      </c>
    </row>
    <row r="1685" customFormat="false" ht="15" hidden="false" customHeight="true" outlineLevel="0" collapsed="false">
      <c r="A1685" s="12" t="n">
        <v>17690</v>
      </c>
      <c r="B1685" s="13" t="s">
        <v>7345</v>
      </c>
      <c r="C1685" s="14" t="n">
        <v>45567</v>
      </c>
      <c r="D1685" s="13" t="s">
        <v>4755</v>
      </c>
      <c r="E1685" s="15" t="s">
        <v>47</v>
      </c>
      <c r="F1685" s="15" t="str">
        <f aca="false">IFERROR(__xludf.dummyfunction("XLOOKUP(AJ1685,IMPORTRANGE(""1XaInW9DU9nz21V0tYIfzFQ0He9kVQ_JF2mCXgZ3hqFA"",""REKAP ALL 2026 - Andika!G:G""),IMPORTRANGE(""1XaInW9DU9nz21V0tYIfzFQ0He9kVQ_JF2mCXgZ3hqFA"",""REKAP ALL 2026 - Andika!F:F""),"""",0)"),"24195983192")</f>
        <v>24195983192</v>
      </c>
      <c r="G1685" s="13" t="s">
        <v>57</v>
      </c>
      <c r="H1685" s="13" t="s">
        <v>3024</v>
      </c>
      <c r="I1685" s="13" t="str">
        <f aca="false">IF(C1685=J1685,"NEW KONTRAK","RE-KONTRAK")</f>
        <v>RE-KONTRAK</v>
      </c>
      <c r="J1685" s="16" t="n">
        <f aca="false" t="array" ref="J1685:J1685">IFERROR(INDEX(AC1685:AE1685,IF(COUNTA(AC1685:AE1685)=0,"",MAX((AC1685:AE1685&lt;&gt;"")*(COLUMN(AC1685:AE1685)-(COLUMN(AC1685)))))-1),"")</f>
        <v>45658</v>
      </c>
      <c r="K1685" s="16" t="n">
        <f aca="false" t="array" ref="K1685:K1685">IFERROR(INDEX(AC1685:AE1685,IF(COUNTA(AC1685:AE1685)=0,"",MAX((AC1685:AE1685&lt;&gt;"")*(COLUMN(AC1685:AE1685)-(COLUMN(AC1685)-1))))-1),"")</f>
        <v>45747</v>
      </c>
      <c r="L1685" s="17" t="str">
        <f aca="false" t="array" ref="L1685:L1685">IFERROR(INDEX(AC1685:AE1685,IF(COUNTA(AC1685:AE1685)=0,"",MAX((AC1685:AE1685&lt;&gt;"")*(COLUMN(AC1685:AE1685)-(COLUMN(AC1685)-2))))-1),"")</f>
        <v>ARCHIVED</v>
      </c>
      <c r="M1685" s="13" t="n">
        <f aca="true">K1685-TODAY()</f>
        <v>-577</v>
      </c>
      <c r="N1685" s="18" t="s">
        <v>615</v>
      </c>
      <c r="O1685" s="13" t="s">
        <v>4756</v>
      </c>
      <c r="P1685" s="19" t="n">
        <v>207044</v>
      </c>
      <c r="Q1685" s="20" t="s">
        <v>7346</v>
      </c>
      <c r="R1685" s="13" t="s">
        <v>232</v>
      </c>
      <c r="S1685" s="14" t="n">
        <v>37401</v>
      </c>
      <c r="T1685" s="13" t="s">
        <v>40</v>
      </c>
      <c r="U1685" s="13" t="s">
        <v>3807</v>
      </c>
      <c r="V1685" s="13" t="s">
        <v>42</v>
      </c>
      <c r="W1685" s="13" t="s">
        <v>43</v>
      </c>
      <c r="X1685" s="21" t="n">
        <v>85960509286</v>
      </c>
      <c r="Y1685" s="22" t="str">
        <f aca="false">O1685</f>
        <v>Reliever</v>
      </c>
      <c r="Z1685" s="13" t="str">
        <f aca="false">IFERROR(__xludf.dummyfunction("if(BJ1685="""","""",GOOGLETRANSLATE(BJ1685,""auto"",""en""))"),"Reliever")</f>
        <v>Reliever</v>
      </c>
      <c r="AA1685" s="23" t="str">
        <f aca="false">IF(C1685="","", CHOOSE(MONTH(C1685),"January","February","March","April","May","June","July","August","September","October","November","December")&amp;" "&amp;DAY(C1685)&amp;MID("thstndrdth",MIN(9,2*RIGHT(DAY(C1685))*(MOD(DAY(C1685)-11,100)&gt;2)+1),2)&amp;","&amp;TEXT(C1685," yyyy"))</f>
        <v>October 2nd,2024</v>
      </c>
      <c r="AB1685" s="15" t="str">
        <f aca="true">IF(S1685="","",DATEDIF(S1685,TODAY(),"Y")&amp;" Tahun, "&amp;DATEDIF(S1685,TODAY(),"YM")&amp;" Bulan, "&amp;DATEDIF(S1685,TODAY(),"MD")&amp;" Hari")</f>
        <v>24 Tahun, 5 Bulan, 4 Hari</v>
      </c>
      <c r="AC1685" s="18" t="n">
        <v>45658</v>
      </c>
      <c r="AD1685" s="18" t="n">
        <v>45747</v>
      </c>
      <c r="AE1685" s="18" t="s">
        <v>44</v>
      </c>
    </row>
    <row r="1686" customFormat="false" ht="15" hidden="false" customHeight="true" outlineLevel="0" collapsed="false">
      <c r="A1686" s="12" t="n">
        <v>17695</v>
      </c>
      <c r="B1686" s="13" t="s">
        <v>7347</v>
      </c>
      <c r="C1686" s="14" t="n">
        <v>45562</v>
      </c>
      <c r="D1686" s="13" t="s">
        <v>4755</v>
      </c>
      <c r="E1686" s="15" t="s">
        <v>47</v>
      </c>
      <c r="F1686" s="15" t="str">
        <f aca="false">IFERROR(__xludf.dummyfunction("XLOOKUP(AJ1686,IMPORTRANGE(""1XaInW9DU9nz21V0tYIfzFQ0He9kVQ_JF2mCXgZ3hqFA"",""REKAP ALL 2026 - Andika!G:G""),IMPORTRANGE(""1XaInW9DU9nz21V0tYIfzFQ0He9kVQ_JF2mCXgZ3hqFA"",""REKAP ALL 2026 - Andika!F:F""),"""",0)"),"24195983093")</f>
        <v>24195983093</v>
      </c>
      <c r="G1686" s="13" t="s">
        <v>57</v>
      </c>
      <c r="H1686" s="13" t="s">
        <v>3024</v>
      </c>
      <c r="I1686" s="13" t="str">
        <f aca="false">IF(C1686=J1686,"NEW KONTRAK","RE-KONTRAK")</f>
        <v>RE-KONTRAK</v>
      </c>
      <c r="J1686" s="16" t="n">
        <f aca="false" t="array" ref="J1686:J1686">IFERROR(INDEX(AC1686:AE1686,IF(COUNTA(AC1686:AE1686)=0,"",MAX((AC1686:AE1686&lt;&gt;"")*(COLUMN(AC1686:AE1686)-(COLUMN(AC1686)))))-1),"")</f>
        <v>45658</v>
      </c>
      <c r="K1686" s="16" t="n">
        <f aca="false" t="array" ref="K1686:K1686">IFERROR(INDEX(AC1686:AE1686,IF(COUNTA(AC1686:AE1686)=0,"",MAX((AC1686:AE1686&lt;&gt;"")*(COLUMN(AC1686:AE1686)-(COLUMN(AC1686)-1))))-1),"")</f>
        <v>45747</v>
      </c>
      <c r="L1686" s="17" t="str">
        <f aca="false" t="array" ref="L1686:L1686">IFERROR(INDEX(AC1686:AE1686,IF(COUNTA(AC1686:AE1686)=0,"",MAX((AC1686:AE1686&lt;&gt;"")*(COLUMN(AC1686:AE1686)-(COLUMN(AC1686)-2))))-1),"")</f>
        <v>ARCHIVED</v>
      </c>
      <c r="M1686" s="13" t="n">
        <f aca="true">K1686-TODAY()</f>
        <v>-577</v>
      </c>
      <c r="N1686" s="18" t="s">
        <v>615</v>
      </c>
      <c r="O1686" s="13" t="s">
        <v>4756</v>
      </c>
      <c r="P1686" s="19" t="n">
        <v>207044</v>
      </c>
      <c r="Q1686" s="20" t="s">
        <v>7348</v>
      </c>
      <c r="R1686" s="13" t="s">
        <v>232</v>
      </c>
      <c r="S1686" s="14" t="n">
        <v>37798</v>
      </c>
      <c r="T1686" s="13" t="s">
        <v>40</v>
      </c>
      <c r="U1686" s="13" t="s">
        <v>7349</v>
      </c>
      <c r="V1686" s="13" t="s">
        <v>42</v>
      </c>
      <c r="W1686" s="13" t="s">
        <v>43</v>
      </c>
      <c r="X1686" s="21" t="n">
        <v>87741113509</v>
      </c>
      <c r="Y1686" s="22" t="str">
        <f aca="false">O1686</f>
        <v>Reliever</v>
      </c>
      <c r="Z1686" s="13" t="str">
        <f aca="false">IFERROR(__xludf.dummyfunction("if(BJ1686="""","""",GOOGLETRANSLATE(BJ1686,""auto"",""en""))"),"Reliever")</f>
        <v>Reliever</v>
      </c>
      <c r="AA1686" s="23" t="str">
        <f aca="false">IF(C1686="","", CHOOSE(MONTH(C1686),"January","February","March","April","May","June","July","August","September","October","November","December")&amp;" "&amp;DAY(C1686)&amp;MID("thstndrdth",MIN(9,2*RIGHT(DAY(C1686))*(MOD(DAY(C1686)-11,100)&gt;2)+1),2)&amp;","&amp;TEXT(C1686," yyyy"))</f>
        <v>September 27th,2024</v>
      </c>
      <c r="AB1686" s="15" t="str">
        <f aca="true">IF(S1686="","",DATEDIF(S1686,TODAY(),"Y")&amp;" Tahun, "&amp;DATEDIF(S1686,TODAY(),"YM")&amp;" Bulan, "&amp;DATEDIF(S1686,TODAY(),"MD")&amp;" Hari")</f>
        <v>23 Tahun, 4 Bulan, 3 Hari</v>
      </c>
      <c r="AC1686" s="18" t="n">
        <v>45658</v>
      </c>
      <c r="AD1686" s="18" t="n">
        <v>45747</v>
      </c>
      <c r="AE1686" s="18" t="s">
        <v>44</v>
      </c>
    </row>
    <row r="1687" customFormat="false" ht="15" hidden="false" customHeight="true" outlineLevel="0" collapsed="false">
      <c r="A1687" s="12" t="n">
        <v>17700</v>
      </c>
      <c r="B1687" s="13" t="s">
        <v>7350</v>
      </c>
      <c r="C1687" s="14" t="n">
        <v>45581</v>
      </c>
      <c r="D1687" s="13" t="s">
        <v>393</v>
      </c>
      <c r="E1687" s="15" t="s">
        <v>47</v>
      </c>
      <c r="F1687" s="15" t="str">
        <f aca="false">IFERROR(__xludf.dummyfunction("XLOOKUP(AJ1687,IMPORTRANGE(""1XaInW9DU9nz21V0tYIfzFQ0He9kVQ_JF2mCXgZ3hqFA"",""REKAP ALL 2026 - Andika!G:G""),IMPORTRANGE(""1XaInW9DU9nz21V0tYIfzFQ0He9kVQ_JF2mCXgZ3hqFA"",""REKAP ALL 2026 - Andika!F:F""),"""",0)"),"24154921613")</f>
        <v>24154921613</v>
      </c>
      <c r="G1687" s="15" t="s">
        <v>7351</v>
      </c>
      <c r="H1687" s="13" t="s">
        <v>3024</v>
      </c>
      <c r="I1687" s="13" t="str">
        <f aca="false">IF(C1687=J1687,"NEW KONTRAK","RE-KONTRAK")</f>
        <v>RE-KONTRAK</v>
      </c>
      <c r="J1687" s="16" t="n">
        <f aca="false" t="array" ref="J1687:J1687">IFERROR(INDEX(AC1687:AE1687,IF(COUNTA(AC1687:AE1687)=0,"",MAX((AC1687:AE1687&lt;&gt;"")*(COLUMN(AC1687:AE1687)-(COLUMN(AC1687)))))-1),"")</f>
        <v>45839</v>
      </c>
      <c r="K1687" s="16" t="n">
        <f aca="false" t="array" ref="K1687:K1687">IFERROR(INDEX(AC1687:AE1687,IF(COUNTA(AC1687:AE1687)=0,"",MAX((AC1687:AE1687&lt;&gt;"")*(COLUMN(AC1687:AE1687)-(COLUMN(AC1687)-1))))-1),"")</f>
        <v>46181</v>
      </c>
      <c r="L1687" s="17" t="str">
        <f aca="false" t="array" ref="L1687:L1687">IFERROR(INDEX(AC1687:AE1687,IF(COUNTA(AC1687:AE1687)=0,"",MAX((AC1687:AE1687&lt;&gt;"")*(COLUMN(AC1687:AE1687)-(COLUMN(AC1687)-2))))-1),"")</f>
        <v>KEMBALI</v>
      </c>
      <c r="M1687" s="13" t="n">
        <f aca="true">K1687-TODAY()</f>
        <v>-143</v>
      </c>
      <c r="N1687" s="18" t="s">
        <v>105</v>
      </c>
      <c r="O1687" s="13" t="s">
        <v>3271</v>
      </c>
      <c r="P1687" s="19" t="n">
        <v>5191541</v>
      </c>
      <c r="Q1687" s="20" t="s">
        <v>7352</v>
      </c>
      <c r="R1687" s="13" t="s">
        <v>39</v>
      </c>
      <c r="S1687" s="14" t="n">
        <v>31462</v>
      </c>
      <c r="T1687" s="13" t="s">
        <v>40</v>
      </c>
      <c r="U1687" s="13" t="s">
        <v>7353</v>
      </c>
      <c r="V1687" s="13" t="s">
        <v>42</v>
      </c>
      <c r="W1687" s="13" t="s">
        <v>54</v>
      </c>
      <c r="X1687" s="21" t="n">
        <v>85736035295</v>
      </c>
      <c r="Y1687" s="22" t="str">
        <f aca="false">O1687</f>
        <v>Helper</v>
      </c>
      <c r="Z1687" s="13" t="str">
        <f aca="false">IFERROR(__xludf.dummyfunction("if(BJ1687="""","""",GOOGLETRANSLATE(BJ1687,""auto"",""en""))"),"Helper")</f>
        <v>Helper</v>
      </c>
      <c r="AA1687" s="23" t="str">
        <f aca="false">IF(C1687="","", CHOOSE(MONTH(C1687),"January","February","March","April","May","June","July","August","September","October","November","December")&amp;" "&amp;DAY(C1687)&amp;MID("thstndrdth",MIN(9,2*RIGHT(DAY(C1687))*(MOD(DAY(C1687)-11,100)&gt;2)+1),2)&amp;","&amp;TEXT(C1687," yyyy"))</f>
        <v>October 16th,2024</v>
      </c>
      <c r="AB1687" s="15" t="str">
        <f aca="true">IF(S1687="","",DATEDIF(S1687,TODAY(),"Y")&amp;" Tahun, "&amp;DATEDIF(S1687,TODAY(),"YM")&amp;" Bulan, "&amp;DATEDIF(S1687,TODAY(),"MD")&amp;" Hari")</f>
        <v>40 Tahun, 8 Bulan, 10 Hari</v>
      </c>
      <c r="AC1687" s="18" t="n">
        <v>45839</v>
      </c>
      <c r="AD1687" s="18" t="n">
        <v>46181</v>
      </c>
      <c r="AE1687" s="13" t="s">
        <v>397</v>
      </c>
    </row>
    <row r="1688" customFormat="false" ht="15" hidden="false" customHeight="true" outlineLevel="0" collapsed="false">
      <c r="A1688" s="12" t="n">
        <v>17711</v>
      </c>
      <c r="B1688" s="13" t="s">
        <v>7354</v>
      </c>
      <c r="C1688" s="14" t="n">
        <v>45586</v>
      </c>
      <c r="D1688" s="13" t="s">
        <v>5726</v>
      </c>
      <c r="E1688" s="15" t="s">
        <v>47</v>
      </c>
      <c r="F1688" s="15" t="str">
        <f aca="false">IFERROR(__xludf.dummyfunction("XLOOKUP(AJ1688,IMPORTRANGE(""1XaInW9DU9nz21V0tYIfzFQ0He9kVQ_JF2mCXgZ3hqFA"",""REKAP ALL 2026 - Andika!G:G""),IMPORTRANGE(""1XaInW9DU9nz21V0tYIfzFQ0He9kVQ_JF2mCXgZ3hqFA"",""REKAP ALL 2026 - Andika!F:F""),"""",0)"),"24154920409")</f>
        <v>24154920409</v>
      </c>
      <c r="G1688" s="15" t="s">
        <v>7355</v>
      </c>
      <c r="H1688" s="13" t="s">
        <v>35</v>
      </c>
      <c r="I1688" s="13" t="str">
        <f aca="false">IF(C1688=J1688,"NEW KONTRAK","RE-KONTRAK")</f>
        <v>RE-KONTRAK</v>
      </c>
      <c r="J1688" s="16" t="n">
        <f aca="false" t="array" ref="J1688:J1688">IFERROR(INDEX(AC1688:AE1688,IF(COUNTA(AC1688:AE1688)=0,"",MAX((AC1688:AE1688&lt;&gt;"")*(COLUMN(AC1688:AE1688)-(COLUMN(AC1688)))))-1),"")</f>
        <v>45574</v>
      </c>
      <c r="K1688" s="16" t="n">
        <f aca="false" t="array" ref="K1688:K1688">IFERROR(INDEX(AC1688:AE1688,IF(COUNTA(AC1688:AE1688)=0,"",MAX((AC1688:AE1688&lt;&gt;"")*(COLUMN(AC1688:AE1688)-(COLUMN(AC1688)-1))))-1),"")</f>
        <v>45938</v>
      </c>
      <c r="L1688" s="17" t="str">
        <f aca="false" t="array" ref="L1688:L1688">IFERROR(INDEX(AC1688:AE1688,IF(COUNTA(AC1688:AE1688)=0,"",MAX((AC1688:AE1688&lt;&gt;"")*(COLUMN(AC1688:AE1688)-(COLUMN(AC1688)-2))))-1),"")</f>
        <v>ARCHIVED</v>
      </c>
      <c r="M1688" s="13" t="n">
        <f aca="true">K1688-TODAY()</f>
        <v>-386</v>
      </c>
      <c r="N1688" s="18" t="s">
        <v>615</v>
      </c>
      <c r="O1688" s="13" t="s">
        <v>7088</v>
      </c>
      <c r="P1688" s="19" t="n">
        <v>5176101</v>
      </c>
      <c r="Q1688" s="20" t="s">
        <v>7356</v>
      </c>
      <c r="R1688" s="13" t="s">
        <v>39</v>
      </c>
      <c r="S1688" s="14" t="n">
        <v>37159</v>
      </c>
      <c r="T1688" s="13" t="s">
        <v>108</v>
      </c>
      <c r="U1688" s="13" t="s">
        <v>7357</v>
      </c>
      <c r="V1688" s="13" t="s">
        <v>42</v>
      </c>
      <c r="W1688" s="13" t="s">
        <v>43</v>
      </c>
      <c r="X1688" s="21" t="n">
        <v>85784237325</v>
      </c>
      <c r="Y1688" s="22" t="str">
        <f aca="false">O1688</f>
        <v>Quality Inspector</v>
      </c>
      <c r="Z1688" s="13" t="str">
        <f aca="false">IFERROR(__xludf.dummyfunction("if(BJ1688="""","""",GOOGLETRANSLATE(BJ1688,""auto"",""en""))"),"Quality Inspector")</f>
        <v>Quality Inspector</v>
      </c>
      <c r="AA1688" s="23" t="str">
        <f aca="false">IF(C1688="","", CHOOSE(MONTH(C1688),"January","February","March","April","May","June","July","August","September","October","November","December")&amp;" "&amp;DAY(C1688)&amp;MID("thstndrdth",MIN(9,2*RIGHT(DAY(C1688))*(MOD(DAY(C1688)-11,100)&gt;2)+1),2)&amp;","&amp;TEXT(C1688," yyyy"))</f>
        <v>October 21st,2024</v>
      </c>
      <c r="AB1688" s="15" t="str">
        <f aca="true">IF(S1688="","",DATEDIF(S1688,TODAY(),"Y")&amp;" Tahun, "&amp;DATEDIF(S1688,TODAY(),"YM")&amp;" Bulan, "&amp;DATEDIF(S1688,TODAY(),"MD")&amp;" Hari")</f>
        <v>25 Tahun, 1 Bulan, 4 Hari</v>
      </c>
      <c r="AC1688" s="18" t="n">
        <v>45574</v>
      </c>
      <c r="AD1688" s="18" t="n">
        <v>45938</v>
      </c>
      <c r="AE1688" s="18" t="s">
        <v>44</v>
      </c>
    </row>
    <row r="1689" customFormat="false" ht="15" hidden="false" customHeight="true" outlineLevel="0" collapsed="false">
      <c r="A1689" s="12" t="n">
        <v>17712</v>
      </c>
      <c r="B1689" s="13" t="s">
        <v>7358</v>
      </c>
      <c r="C1689" s="14" t="n">
        <v>45587</v>
      </c>
      <c r="D1689" s="13" t="s">
        <v>5726</v>
      </c>
      <c r="E1689" s="15" t="s">
        <v>47</v>
      </c>
      <c r="F1689" s="15" t="str">
        <f aca="false">IFERROR(__xludf.dummyfunction("XLOOKUP(AJ1689,IMPORTRANGE(""1XaInW9DU9nz21V0tYIfzFQ0He9kVQ_JF2mCXgZ3hqFA"",""REKAP ALL 2026 - Andika!G:G""),IMPORTRANGE(""1XaInW9DU9nz21V0tYIfzFQ0He9kVQ_JF2mCXgZ3hqFA"",""REKAP ALL 2026 - Andika!F:F""),"""",0)"),"24154920391")</f>
        <v>24154920391</v>
      </c>
      <c r="G1689" s="15" t="s">
        <v>7359</v>
      </c>
      <c r="H1689" s="13" t="s">
        <v>35</v>
      </c>
      <c r="I1689" s="13" t="str">
        <f aca="false">IF(C1689=J1689,"NEW KONTRAK","RE-KONTRAK")</f>
        <v>RE-KONTRAK</v>
      </c>
      <c r="J1689" s="16" t="n">
        <f aca="false" t="array" ref="J1689:J1689">IFERROR(INDEX(AC1689:AE1689,IF(COUNTA(AC1689:AE1689)=0,"",MAX((AC1689:AE1689&lt;&gt;"")*(COLUMN(AC1689:AE1689)-(COLUMN(AC1689)))))-1),"")</f>
        <v>45586</v>
      </c>
      <c r="K1689" s="16" t="n">
        <f aca="false" t="array" ref="K1689:K1689">IFERROR(INDEX(AC1689:AE1689,IF(COUNTA(AC1689:AE1689)=0,"",MAX((AC1689:AE1689&lt;&gt;"")*(COLUMN(AC1689:AE1689)-(COLUMN(AC1689)-1))))-1),"")</f>
        <v>45950</v>
      </c>
      <c r="L1689" s="17" t="str">
        <f aca="false" t="array" ref="L1689:L1689">IFERROR(INDEX(AC1689:AE1689,IF(COUNTA(AC1689:AE1689)=0,"",MAX((AC1689:AE1689&lt;&gt;"")*(COLUMN(AC1689:AE1689)-(COLUMN(AC1689)-2))))-1),"")</f>
        <v>ARCHIVED</v>
      </c>
      <c r="M1689" s="13" t="n">
        <f aca="true">K1689-TODAY()</f>
        <v>-374</v>
      </c>
      <c r="N1689" s="18" t="s">
        <v>615</v>
      </c>
      <c r="O1689" s="13" t="s">
        <v>7088</v>
      </c>
      <c r="P1689" s="19" t="n">
        <v>5176101</v>
      </c>
      <c r="Q1689" s="20" t="s">
        <v>7360</v>
      </c>
      <c r="R1689" s="13" t="s">
        <v>232</v>
      </c>
      <c r="S1689" s="14" t="n">
        <v>36305</v>
      </c>
      <c r="T1689" s="13" t="s">
        <v>108</v>
      </c>
      <c r="U1689" s="13" t="s">
        <v>7361</v>
      </c>
      <c r="V1689" s="13" t="s">
        <v>42</v>
      </c>
      <c r="W1689" s="13" t="s">
        <v>43</v>
      </c>
      <c r="X1689" s="21" t="n">
        <v>85745365356</v>
      </c>
      <c r="Y1689" s="22" t="str">
        <f aca="false">O1689</f>
        <v>Quality Inspector</v>
      </c>
      <c r="Z1689" s="13" t="str">
        <f aca="false">IFERROR(__xludf.dummyfunction("if(BJ1689="""","""",GOOGLETRANSLATE(BJ1689,""auto"",""en""))"),"Quality Inspector")</f>
        <v>Quality Inspector</v>
      </c>
      <c r="AA1689" s="23" t="str">
        <f aca="false">IF(C1689="","", CHOOSE(MONTH(C1689),"January","February","March","April","May","June","July","August","September","October","November","December")&amp;" "&amp;DAY(C1689)&amp;MID("thstndrdth",MIN(9,2*RIGHT(DAY(C1689))*(MOD(DAY(C1689)-11,100)&gt;2)+1),2)&amp;","&amp;TEXT(C1689," yyyy"))</f>
        <v>October 22nd,2024</v>
      </c>
      <c r="AB1689" s="15" t="str">
        <f aca="true">IF(S1689="","",DATEDIF(S1689,TODAY(),"Y")&amp;" Tahun, "&amp;DATEDIF(S1689,TODAY(),"YM")&amp;" Bulan, "&amp;DATEDIF(S1689,TODAY(),"MD")&amp;" Hari")</f>
        <v>27 Tahun, 5 Bulan, 4 Hari</v>
      </c>
      <c r="AC1689" s="18" t="n">
        <v>45586</v>
      </c>
      <c r="AD1689" s="18" t="n">
        <v>45950</v>
      </c>
      <c r="AE1689" s="18" t="s">
        <v>44</v>
      </c>
    </row>
    <row r="1690" customFormat="false" ht="15" hidden="false" customHeight="true" outlineLevel="0" collapsed="false">
      <c r="A1690" s="12" t="n">
        <v>17713</v>
      </c>
      <c r="B1690" s="13" t="s">
        <v>7362</v>
      </c>
      <c r="C1690" s="14" t="n">
        <v>45588</v>
      </c>
      <c r="D1690" s="13" t="s">
        <v>5726</v>
      </c>
      <c r="E1690" s="15" t="s">
        <v>47</v>
      </c>
      <c r="F1690" s="15" t="str">
        <f aca="false">IFERROR(__xludf.dummyfunction("XLOOKUP(AJ1690,IMPORTRANGE(""1XaInW9DU9nz21V0tYIfzFQ0He9kVQ_JF2mCXgZ3hqFA"",""REKAP ALL 2026 - Andika!G:G""),IMPORTRANGE(""1XaInW9DU9nz21V0tYIfzFQ0He9kVQ_JF2mCXgZ3hqFA"",""REKAP ALL 2026 - Andika!F:F""),"""",0)"),"24154920466")</f>
        <v>24154920466</v>
      </c>
      <c r="G1690" s="15" t="s">
        <v>7363</v>
      </c>
      <c r="H1690" s="13" t="s">
        <v>35</v>
      </c>
      <c r="I1690" s="13" t="str">
        <f aca="false">IF(C1690=J1690,"NEW KONTRAK","RE-KONTRAK")</f>
        <v>RE-KONTRAK</v>
      </c>
      <c r="J1690" s="16" t="n">
        <f aca="false" t="array" ref="J1690:J1690">IFERROR(INDEX(AC1690:AE1690,IF(COUNTA(AC1690:AE1690)=0,"",MAX((AC1690:AE1690&lt;&gt;"")*(COLUMN(AC1690:AE1690)-(COLUMN(AC1690)))))-1),"")</f>
        <v>45587</v>
      </c>
      <c r="K1690" s="16" t="n">
        <f aca="false" t="array" ref="K1690:K1690">IFERROR(INDEX(AC1690:AE1690,IF(COUNTA(AC1690:AE1690)=0,"",MAX((AC1690:AE1690&lt;&gt;"")*(COLUMN(AC1690:AE1690)-(COLUMN(AC1690)-1))))-1),"")</f>
        <v>45951</v>
      </c>
      <c r="L1690" s="17" t="str">
        <f aca="false" t="array" ref="L1690:L1690">IFERROR(INDEX(AC1690:AE1690,IF(COUNTA(AC1690:AE1690)=0,"",MAX((AC1690:AE1690&lt;&gt;"")*(COLUMN(AC1690:AE1690)-(COLUMN(AC1690)-2))))-1),"")</f>
        <v>ARCHIVED</v>
      </c>
      <c r="M1690" s="13" t="n">
        <f aca="true">K1690-TODAY()</f>
        <v>-373</v>
      </c>
      <c r="N1690" s="18" t="s">
        <v>615</v>
      </c>
      <c r="O1690" s="13" t="s">
        <v>750</v>
      </c>
      <c r="P1690" s="19" t="n">
        <v>5176101</v>
      </c>
      <c r="Q1690" s="20" t="s">
        <v>7364</v>
      </c>
      <c r="R1690" s="13" t="s">
        <v>232</v>
      </c>
      <c r="S1690" s="14" t="n">
        <v>36481</v>
      </c>
      <c r="T1690" s="13" t="s">
        <v>108</v>
      </c>
      <c r="U1690" s="13" t="s">
        <v>7365</v>
      </c>
      <c r="V1690" s="13" t="s">
        <v>42</v>
      </c>
      <c r="W1690" s="13" t="s">
        <v>43</v>
      </c>
      <c r="X1690" s="21" t="n">
        <v>85536838399</v>
      </c>
      <c r="Y1690" s="22" t="str">
        <f aca="false">O1690</f>
        <v>Admin</v>
      </c>
      <c r="Z1690" s="13" t="str">
        <f aca="false">IFERROR(__xludf.dummyfunction("if(BJ1690="""","""",GOOGLETRANSLATE(BJ1690,""auto"",""en""))"),"Admin")</f>
        <v>Admin</v>
      </c>
      <c r="AA1690" s="23" t="str">
        <f aca="false">IF(C1690="","", CHOOSE(MONTH(C1690),"January","February","March","April","May","June","July","August","September","October","November","December")&amp;" "&amp;DAY(C1690)&amp;MID("thstndrdth",MIN(9,2*RIGHT(DAY(C1690))*(MOD(DAY(C1690)-11,100)&gt;2)+1),2)&amp;","&amp;TEXT(C1690," yyyy"))</f>
        <v>October 23rd,2024</v>
      </c>
      <c r="AB1690" s="15" t="str">
        <f aca="true">IF(S1690="","",DATEDIF(S1690,TODAY(),"Y")&amp;" Tahun, "&amp;DATEDIF(S1690,TODAY(),"YM")&amp;" Bulan, "&amp;DATEDIF(S1690,TODAY(),"MD")&amp;" Hari")</f>
        <v>26 Tahun, 11 Bulan, 12 Hari</v>
      </c>
      <c r="AC1690" s="18" t="n">
        <v>45587</v>
      </c>
      <c r="AD1690" s="18" t="n">
        <v>45951</v>
      </c>
      <c r="AE1690" s="18" t="s">
        <v>44</v>
      </c>
    </row>
    <row r="1691" customFormat="false" ht="15" hidden="false" customHeight="true" outlineLevel="0" collapsed="false">
      <c r="A1691" s="12" t="n">
        <v>17715</v>
      </c>
      <c r="B1691" s="13" t="s">
        <v>7366</v>
      </c>
      <c r="C1691" s="14" t="n">
        <v>45593</v>
      </c>
      <c r="D1691" s="13" t="s">
        <v>5726</v>
      </c>
      <c r="E1691" s="15" t="s">
        <v>47</v>
      </c>
      <c r="F1691" s="15" t="str">
        <f aca="false">IFERROR(__xludf.dummyfunction("XLOOKUP(AJ1691,IMPORTRANGE(""1XaInW9DU9nz21V0tYIfzFQ0He9kVQ_JF2mCXgZ3hqFA"",""REKAP ALL 2026 - Andika!G:G""),IMPORTRANGE(""1XaInW9DU9nz21V0tYIfzFQ0He9kVQ_JF2mCXgZ3hqFA"",""REKAP ALL 2026 - Andika!F:F""),"""",0)"),"24154920375")</f>
        <v>24154920375</v>
      </c>
      <c r="G1691" s="15" t="s">
        <v>7367</v>
      </c>
      <c r="H1691" s="13" t="s">
        <v>35</v>
      </c>
      <c r="I1691" s="13" t="str">
        <f aca="false">IF(C1691=J1691,"NEW KONTRAK","RE-KONTRAK")</f>
        <v>RE-KONTRAK</v>
      </c>
      <c r="J1691" s="16" t="n">
        <f aca="false" t="array" ref="J1691:J1691">IFERROR(INDEX(AC1691:AE1691,IF(COUNTA(AC1691:AE1691)=0,"",MAX((AC1691:AE1691&lt;&gt;"")*(COLUMN(AC1691:AE1691)-(COLUMN(AC1691)))))-1),"")</f>
        <v>45592</v>
      </c>
      <c r="K1691" s="16" t="n">
        <f aca="false" t="array" ref="K1691:K1691">IFERROR(INDEX(AC1691:AE1691,IF(COUNTA(AC1691:AE1691)=0,"",MAX((AC1691:AE1691&lt;&gt;"")*(COLUMN(AC1691:AE1691)-(COLUMN(AC1691)-1))))-1),"")</f>
        <v>45956</v>
      </c>
      <c r="L1691" s="17" t="str">
        <f aca="false" t="array" ref="L1691:L1691">IFERROR(INDEX(AC1691:AE1691,IF(COUNTA(AC1691:AE1691)=0,"",MAX((AC1691:AE1691&lt;&gt;"")*(COLUMN(AC1691:AE1691)-(COLUMN(AC1691)-2))))-1),"")</f>
        <v>ARCHIVED</v>
      </c>
      <c r="M1691" s="13" t="n">
        <f aca="true">K1691-TODAY()</f>
        <v>-368</v>
      </c>
      <c r="N1691" s="18" t="s">
        <v>615</v>
      </c>
      <c r="O1691" s="13" t="s">
        <v>1531</v>
      </c>
      <c r="P1691" s="19" t="n">
        <v>5176101</v>
      </c>
      <c r="Q1691" s="20" t="s">
        <v>7368</v>
      </c>
      <c r="R1691" s="13" t="s">
        <v>52</v>
      </c>
      <c r="S1691" s="14" t="n">
        <v>35725</v>
      </c>
      <c r="T1691" s="13" t="s">
        <v>40</v>
      </c>
      <c r="U1691" s="13" t="s">
        <v>7369</v>
      </c>
      <c r="V1691" s="13" t="s">
        <v>42</v>
      </c>
      <c r="W1691" s="13" t="s">
        <v>43</v>
      </c>
      <c r="X1691" s="21" t="n">
        <v>8563602166</v>
      </c>
      <c r="Y1691" s="22" t="str">
        <f aca="false">O1691</f>
        <v>Packer</v>
      </c>
      <c r="Z1691" s="13" t="str">
        <f aca="false">IFERROR(__xludf.dummyfunction("if(BJ1691="""","""",GOOGLETRANSLATE(BJ1691,""auto"",""en""))"),"Packer")</f>
        <v>Packer</v>
      </c>
      <c r="AA1691" s="23" t="str">
        <f aca="false">IF(C1691="","", CHOOSE(MONTH(C1691),"January","February","March","April","May","June","July","August","September","October","November","December")&amp;" "&amp;DAY(C1691)&amp;MID("thstndrdth",MIN(9,2*RIGHT(DAY(C1691))*(MOD(DAY(C1691)-11,100)&gt;2)+1),2)&amp;","&amp;TEXT(C1691," yyyy"))</f>
        <v>October 28th,2024</v>
      </c>
      <c r="AB1691" s="15" t="str">
        <f aca="true">IF(S1691="","",DATEDIF(S1691,TODAY(),"Y")&amp;" Tahun, "&amp;DATEDIF(S1691,TODAY(),"YM")&amp;" Bulan, "&amp;DATEDIF(S1691,TODAY(),"MD")&amp;" Hari")</f>
        <v>29 Tahun, 0 Bulan, 7 Hari</v>
      </c>
      <c r="AC1691" s="18" t="n">
        <v>45592</v>
      </c>
      <c r="AD1691" s="18" t="n">
        <v>45956</v>
      </c>
      <c r="AE1691" s="18" t="s">
        <v>44</v>
      </c>
    </row>
    <row r="1692" customFormat="false" ht="15" hidden="false" customHeight="true" outlineLevel="0" collapsed="false">
      <c r="A1692" s="12" t="n">
        <v>17748</v>
      </c>
      <c r="B1692" s="13" t="s">
        <v>7370</v>
      </c>
      <c r="C1692" s="14" t="n">
        <v>45572</v>
      </c>
      <c r="D1692" s="13" t="s">
        <v>5892</v>
      </c>
      <c r="E1692" s="15" t="s">
        <v>47</v>
      </c>
      <c r="F1692" s="15" t="str">
        <f aca="false">IFERROR(__xludf.dummyfunction("XLOOKUP(AJ1692,IMPORTRANGE(""1XaInW9DU9nz21V0tYIfzFQ0He9kVQ_JF2mCXgZ3hqFA"",""REKAP ALL 2026 - Andika!G:G""),IMPORTRANGE(""1XaInW9DU9nz21V0tYIfzFQ0He9kVQ_JF2mCXgZ3hqFA"",""REKAP ALL 2026 - Andika!F:F""),"""",0)"),"24195984430")</f>
        <v>24195984430</v>
      </c>
      <c r="G1692" s="15" t="s">
        <v>7371</v>
      </c>
      <c r="H1692" s="13" t="s">
        <v>35</v>
      </c>
      <c r="I1692" s="13" t="str">
        <f aca="false">IF(C1692=J1692,"NEW KONTRAK","RE-KONTRAK")</f>
        <v>RE-KONTRAK</v>
      </c>
      <c r="J1692" s="16" t="n">
        <f aca="false" t="array" ref="J1692:J1692">IFERROR(INDEX(AC1692:AE1692,IF(COUNTA(AC1692:AE1692)=0,"",MAX((AC1692:AE1692&lt;&gt;"")*(COLUMN(AC1692:AE1692)-(COLUMN(AC1692)))))-1),"")</f>
        <v>45845</v>
      </c>
      <c r="K1692" s="16" t="n">
        <f aca="false" t="array" ref="K1692:K1692">IFERROR(INDEX(AC1692:AE1692,IF(COUNTA(AC1692:AE1692)=0,"",MAX((AC1692:AE1692&lt;&gt;"")*(COLUMN(AC1692:AE1692)-(COLUMN(AC1692)-1))))-1),"")</f>
        <v>46028</v>
      </c>
      <c r="L1692" s="17" t="str">
        <f aca="false" t="array" ref="L1692:L1692">IFERROR(INDEX(AC1692:AE1692,IF(COUNTA(AC1692:AE1692)=0,"",MAX((AC1692:AE1692&lt;&gt;"")*(COLUMN(AC1692:AE1692)-(COLUMN(AC1692)-2))))-1),"")</f>
        <v>ARCHIVED</v>
      </c>
      <c r="M1692" s="13" t="n">
        <f aca="true">K1692-TODAY()</f>
        <v>-296</v>
      </c>
      <c r="N1692" s="18" t="s">
        <v>105</v>
      </c>
      <c r="O1692" s="13" t="s">
        <v>5894</v>
      </c>
      <c r="P1692" s="19" t="n">
        <v>4200000</v>
      </c>
      <c r="Q1692" s="20" t="s">
        <v>7372</v>
      </c>
      <c r="R1692" s="13" t="s">
        <v>52</v>
      </c>
      <c r="S1692" s="14" t="n">
        <v>36135</v>
      </c>
      <c r="T1692" s="13" t="s">
        <v>40</v>
      </c>
      <c r="U1692" s="13" t="s">
        <v>7373</v>
      </c>
      <c r="V1692" s="13" t="s">
        <v>42</v>
      </c>
      <c r="W1692" s="13" t="s">
        <v>43</v>
      </c>
      <c r="X1692" s="21" t="n">
        <v>81219427675</v>
      </c>
      <c r="Y1692" s="22" t="str">
        <f aca="false">O1692</f>
        <v>Checker</v>
      </c>
      <c r="Z1692" s="13" t="str">
        <f aca="false">IFERROR(__xludf.dummyfunction("if(BJ1692="""","""",GOOGLETRANSLATE(BJ1692,""auto"",""en""))"),"Checker")</f>
        <v>Checker</v>
      </c>
      <c r="AA1692" s="23" t="str">
        <f aca="false">IF(C1692="","", CHOOSE(MONTH(C1692),"January","February","March","April","May","June","July","August","September","October","November","December")&amp;" "&amp;DAY(C1692)&amp;MID("thstndrdth",MIN(9,2*RIGHT(DAY(C1692))*(MOD(DAY(C1692)-11,100)&gt;2)+1),2)&amp;","&amp;TEXT(C1692," yyyy"))</f>
        <v>October 7th,2024</v>
      </c>
      <c r="AB1692" s="15" t="str">
        <f aca="true">IF(S1692="","",DATEDIF(S1692,TODAY(),"Y")&amp;" Tahun, "&amp;DATEDIF(S1692,TODAY(),"YM")&amp;" Bulan, "&amp;DATEDIF(S1692,TODAY(),"MD")&amp;" Hari")</f>
        <v>27 Tahun, 10 Bulan, 23 Hari</v>
      </c>
      <c r="AC1692" s="18" t="n">
        <v>45845</v>
      </c>
      <c r="AD1692" s="18" t="n">
        <v>46028</v>
      </c>
      <c r="AE1692" s="18" t="s">
        <v>44</v>
      </c>
    </row>
    <row r="1693" customFormat="false" ht="15" hidden="false" customHeight="true" outlineLevel="0" collapsed="false">
      <c r="A1693" s="12" t="n">
        <v>17752</v>
      </c>
      <c r="B1693" s="13" t="s">
        <v>7374</v>
      </c>
      <c r="C1693" s="14" t="n">
        <v>45588</v>
      </c>
      <c r="D1693" s="13" t="s">
        <v>4610</v>
      </c>
      <c r="E1693" s="15" t="s">
        <v>47</v>
      </c>
      <c r="F1693" s="15" t="str">
        <f aca="false">IFERROR(__xludf.dummyfunction("XLOOKUP(AJ1693,IMPORTRANGE(""1XaInW9DU9nz21V0tYIfzFQ0He9kVQ_JF2mCXgZ3hqFA"",""REKAP ALL 2026 - Andika!G:G""),IMPORTRANGE(""1XaInW9DU9nz21V0tYIfzFQ0He9kVQ_JF2mCXgZ3hqFA"",""REKAP ALL 2026 - Andika!F:F""),"""",0)"),"24195984950")</f>
        <v>24195984950</v>
      </c>
      <c r="G1693" s="13" t="s">
        <v>57</v>
      </c>
      <c r="H1693" s="13" t="s">
        <v>35</v>
      </c>
      <c r="I1693" s="13" t="str">
        <f aca="false">IF(C1693=J1693,"NEW KONTRAK","RE-KONTRAK")</f>
        <v>RE-KONTRAK</v>
      </c>
      <c r="J1693" s="16" t="n">
        <f aca="false" t="array" ref="J1693:J1693">IFERROR(INDEX(AC1693:AE1693,IF(COUNTA(AC1693:AE1693)=0,"",MAX((AC1693:AE1693&lt;&gt;"")*(COLUMN(AC1693:AE1693)-(COLUMN(AC1693)))))-1),"")</f>
        <v>45764</v>
      </c>
      <c r="K1693" s="16" t="n">
        <f aca="false" t="array" ref="K1693:K1693">IFERROR(INDEX(AC1693:AE1693,IF(COUNTA(AC1693:AE1693)=0,"",MAX((AC1693:AE1693&lt;&gt;"")*(COLUMN(AC1693:AE1693)-(COLUMN(AC1693)-1))))-1),"")</f>
        <v>45946</v>
      </c>
      <c r="L1693" s="17" t="str">
        <f aca="false" t="array" ref="L1693:L1693">IFERROR(INDEX(AC1693:AE1693,IF(COUNTA(AC1693:AE1693)=0,"",MAX((AC1693:AE1693&lt;&gt;"")*(COLUMN(AC1693:AE1693)-(COLUMN(AC1693)-2))))-1),"")</f>
        <v>ARCHIVED</v>
      </c>
      <c r="M1693" s="13" t="n">
        <f aca="true">K1693-TODAY()</f>
        <v>-378</v>
      </c>
      <c r="N1693" s="18" t="s">
        <v>36</v>
      </c>
      <c r="O1693" s="13" t="s">
        <v>4255</v>
      </c>
      <c r="P1693" s="19" t="n">
        <v>200000</v>
      </c>
      <c r="Q1693" s="20" t="s">
        <v>7375</v>
      </c>
      <c r="R1693" s="13" t="s">
        <v>39</v>
      </c>
      <c r="S1693" s="14" t="n">
        <v>35078</v>
      </c>
      <c r="T1693" s="13" t="s">
        <v>40</v>
      </c>
      <c r="U1693" s="13" t="s">
        <v>7376</v>
      </c>
      <c r="V1693" s="13" t="s">
        <v>42</v>
      </c>
      <c r="W1693" s="13" t="s">
        <v>54</v>
      </c>
      <c r="X1693" s="21" t="n">
        <v>85648266465</v>
      </c>
      <c r="Y1693" s="22" t="str">
        <f aca="false">O1693</f>
        <v>Operator Cutting</v>
      </c>
      <c r="Z1693" s="13" t="str">
        <f aca="false">IFERROR(__xludf.dummyfunction("if(BJ1693="""","""",GOOGLETRANSLATE(BJ1693,""auto"",""en""))"),"Operator Cutting")</f>
        <v>Operator Cutting</v>
      </c>
      <c r="AA1693" s="23" t="str">
        <f aca="false">IF(C1693="","", CHOOSE(MONTH(C1693),"January","February","March","April","May","June","July","August","September","October","November","December")&amp;" "&amp;DAY(C1693)&amp;MID("thstndrdth",MIN(9,2*RIGHT(DAY(C1693))*(MOD(DAY(C1693)-11,100)&gt;2)+1),2)&amp;","&amp;TEXT(C1693," yyyy"))</f>
        <v>October 23rd,2024</v>
      </c>
      <c r="AB1693" s="15" t="str">
        <f aca="true">IF(S1693="","",DATEDIF(S1693,TODAY(),"Y")&amp;" Tahun, "&amp;DATEDIF(S1693,TODAY(),"YM")&amp;" Bulan, "&amp;DATEDIF(S1693,TODAY(),"MD")&amp;" Hari")</f>
        <v>30 Tahun, 9 Bulan, 15 Hari</v>
      </c>
      <c r="AC1693" s="18" t="n">
        <v>45764</v>
      </c>
      <c r="AD1693" s="18" t="n">
        <v>45946</v>
      </c>
      <c r="AE1693" s="18" t="s">
        <v>44</v>
      </c>
    </row>
    <row r="1694" customFormat="false" ht="15" hidden="false" customHeight="true" outlineLevel="0" collapsed="false">
      <c r="A1694" s="12" t="n">
        <v>17756</v>
      </c>
      <c r="B1694" s="13" t="s">
        <v>7377</v>
      </c>
      <c r="C1694" s="14" t="n">
        <v>45589</v>
      </c>
      <c r="D1694" s="13" t="s">
        <v>1338</v>
      </c>
      <c r="E1694" s="15" t="s">
        <v>102</v>
      </c>
      <c r="F1694" s="15" t="str">
        <f aca="false">IFERROR(__xludf.dummyfunction("XLOOKUP(AJ1694,IMPORTRANGE(""1XaInW9DU9nz21V0tYIfzFQ0He9kVQ_JF2mCXgZ3hqFA"",""REKAP ALL 2026 - Andika!G:G""),IMPORTRANGE(""1XaInW9DU9nz21V0tYIfzFQ0He9kVQ_JF2mCXgZ3hqFA"",""REKAP ALL 2026 - Andika!F:F""),"""",0)"),"24195983465")</f>
        <v>24195983465</v>
      </c>
      <c r="G1694" s="28" t="s">
        <v>57</v>
      </c>
      <c r="H1694" s="13" t="s">
        <v>2296</v>
      </c>
      <c r="I1694" s="13" t="str">
        <f aca="false">IF(C1694=J1694,"NEW KONTRAK","RE-KONTRAK")</f>
        <v>RE-KONTRAK</v>
      </c>
      <c r="J1694" s="16" t="n">
        <f aca="false" t="array" ref="J1694:J1694">IFERROR(INDEX(AC1694:AE1694,IF(COUNTA(AC1694:AE1694)=0,"",MAX((AC1694:AE1694&lt;&gt;"")*(COLUMN(AC1694:AE1694)-(COLUMN(AC1694)))))-1),"")</f>
        <v>45844</v>
      </c>
      <c r="K1694" s="16" t="n">
        <f aca="false" t="array" ref="K1694:K1694">IFERROR(INDEX(AC1694:AE1694,IF(COUNTA(AC1694:AE1694)=0,"",MAX((AC1694:AE1694&lt;&gt;"")*(COLUMN(AC1694:AE1694)-(COLUMN(AC1694)-1))))-1),"")</f>
        <v>45935</v>
      </c>
      <c r="L1694" s="17" t="str">
        <f aca="false" t="array" ref="L1694:L1694">IFERROR(INDEX(AC1694:AE1694,IF(COUNTA(AC1694:AE1694)=0,"",MAX((AC1694:AE1694&lt;&gt;"")*(COLUMN(AC1694:AE1694)-(COLUMN(AC1694)-2))))-1),"")</f>
        <v>ARCHIVED</v>
      </c>
      <c r="M1694" s="13" t="n">
        <f aca="true">K1694-TODAY()</f>
        <v>-389</v>
      </c>
      <c r="N1694" s="18" t="s">
        <v>615</v>
      </c>
      <c r="O1694" s="13" t="s">
        <v>2297</v>
      </c>
      <c r="P1694" s="19" t="n">
        <v>165635</v>
      </c>
      <c r="Q1694" s="20" t="s">
        <v>7378</v>
      </c>
      <c r="R1694" s="13" t="s">
        <v>232</v>
      </c>
      <c r="S1694" s="14" t="n">
        <v>38561</v>
      </c>
      <c r="T1694" s="13" t="s">
        <v>40</v>
      </c>
      <c r="U1694" s="13" t="s">
        <v>7379</v>
      </c>
      <c r="V1694" s="13" t="s">
        <v>42</v>
      </c>
      <c r="W1694" s="13" t="s">
        <v>43</v>
      </c>
      <c r="X1694" s="21" t="n">
        <v>82142170950</v>
      </c>
      <c r="Y1694" s="22" t="str">
        <f aca="false">O1694</f>
        <v>Borongan muat</v>
      </c>
      <c r="Z1694" s="13" t="str">
        <f aca="false">IFERROR(__xludf.dummyfunction("if(BJ1694="""","""",GOOGLETRANSLATE(BJ1694,""auto"",""en""))"),"Bulk loading")</f>
        <v>Bulk loading</v>
      </c>
      <c r="AA1694" s="23" t="str">
        <f aca="false">IF(C1694="","", CHOOSE(MONTH(C1694),"January","February","March","April","May","June","July","August","September","October","November","December")&amp;" "&amp;DAY(C1694)&amp;MID("thstndrdth",MIN(9,2*RIGHT(DAY(C1694))*(MOD(DAY(C1694)-11,100)&gt;2)+1),2)&amp;","&amp;TEXT(C1694," yyyy"))</f>
        <v>October 24th,2024</v>
      </c>
      <c r="AB1694" s="15" t="str">
        <f aca="true">IF(S1694="","",DATEDIF(S1694,TODAY(),"Y")&amp;" Tahun, "&amp;DATEDIF(S1694,TODAY(),"YM")&amp;" Bulan, "&amp;DATEDIF(S1694,TODAY(),"MD")&amp;" Hari")</f>
        <v>21 Tahun, 3 Bulan, 1 Hari</v>
      </c>
      <c r="AC1694" s="18" t="n">
        <v>45844</v>
      </c>
      <c r="AD1694" s="18" t="n">
        <v>45935</v>
      </c>
      <c r="AE1694" s="18" t="s">
        <v>44</v>
      </c>
    </row>
    <row r="1695" customFormat="false" ht="15" hidden="false" customHeight="true" outlineLevel="0" collapsed="false">
      <c r="A1695" s="12" t="n">
        <v>17770</v>
      </c>
      <c r="B1695" s="13" t="s">
        <v>7380</v>
      </c>
      <c r="C1695" s="14" t="n">
        <v>45569</v>
      </c>
      <c r="D1695" s="13" t="s">
        <v>5791</v>
      </c>
      <c r="E1695" s="15" t="s">
        <v>47</v>
      </c>
      <c r="F1695" s="15" t="str">
        <f aca="false">IFERROR(__xludf.dummyfunction("XLOOKUP(AJ1695,IMPORTRANGE(""1XaInW9DU9nz21V0tYIfzFQ0He9kVQ_JF2mCXgZ3hqFA"",""REKAP ALL 2026 - Andika!G:G""),IMPORTRANGE(""1XaInW9DU9nz21V0tYIfzFQ0He9kVQ_JF2mCXgZ3hqFA"",""REKAP ALL 2026 - Andika!F:F""),"""",0)"),"24195983432")</f>
        <v>24195983432</v>
      </c>
      <c r="G1695" s="15" t="s">
        <v>7381</v>
      </c>
      <c r="H1695" s="13" t="s">
        <v>35</v>
      </c>
      <c r="I1695" s="13" t="str">
        <f aca="false">IF(C1695=J1695,"NEW KONTRAK","RE-KONTRAK")</f>
        <v>RE-KONTRAK</v>
      </c>
      <c r="J1695" s="16" t="n">
        <f aca="false" t="array" ref="J1695:J1695">IFERROR(INDEX(AC1695:AE1695,IF(COUNTA(AC1695:AE1695)=0,"",MAX((AC1695:AE1695&lt;&gt;"")*(COLUMN(AC1695:AE1695)-(COLUMN(AC1695)))))-1),"")</f>
        <v>45751</v>
      </c>
      <c r="K1695" s="16" t="n">
        <f aca="false" t="array" ref="K1695:K1695">IFERROR(INDEX(AC1695:AE1695,IF(COUNTA(AC1695:AE1695)=0,"",MAX((AC1695:AE1695&lt;&gt;"")*(COLUMN(AC1695:AE1695)-(COLUMN(AC1695)-1))))-1),"")</f>
        <v>46115</v>
      </c>
      <c r="L1695" s="17" t="str">
        <f aca="false" t="array" ref="L1695:L1695">IFERROR(INDEX(AC1695:AE1695,IF(COUNTA(AC1695:AE1695)=0,"",MAX((AC1695:AE1695&lt;&gt;"")*(COLUMN(AC1695:AE1695)-(COLUMN(AC1695)-2))))-1),"")</f>
        <v>ARCHIVED</v>
      </c>
      <c r="M1695" s="13" t="n">
        <f aca="true">K1695-TODAY()</f>
        <v>-209</v>
      </c>
      <c r="N1695" s="18" t="s">
        <v>728</v>
      </c>
      <c r="O1695" s="13" t="s">
        <v>3271</v>
      </c>
      <c r="P1695" s="19" t="n">
        <v>125000</v>
      </c>
      <c r="Q1695" s="20" t="s">
        <v>7382</v>
      </c>
      <c r="R1695" s="13" t="s">
        <v>2001</v>
      </c>
      <c r="S1695" s="14" t="n">
        <v>34746</v>
      </c>
      <c r="T1695" s="13" t="s">
        <v>40</v>
      </c>
      <c r="U1695" s="13" t="s">
        <v>7383</v>
      </c>
      <c r="V1695" s="13" t="s">
        <v>42</v>
      </c>
      <c r="W1695" s="13" t="s">
        <v>54</v>
      </c>
      <c r="X1695" s="21" t="n">
        <v>88289556914</v>
      </c>
      <c r="Y1695" s="22" t="str">
        <f aca="false">O1695</f>
        <v>Helper</v>
      </c>
      <c r="Z1695" s="13" t="str">
        <f aca="false">IFERROR(__xludf.dummyfunction("if(BJ1695="""","""",GOOGLETRANSLATE(BJ1695,""auto"",""en""))"),"Helper")</f>
        <v>Helper</v>
      </c>
      <c r="AA1695" s="23" t="str">
        <f aca="false">IF(C1695="","", CHOOSE(MONTH(C1695),"January","February","March","April","May","June","July","August","September","October","November","December")&amp;" "&amp;DAY(C1695)&amp;MID("thstndrdth",MIN(9,2*RIGHT(DAY(C1695))*(MOD(DAY(C1695)-11,100)&gt;2)+1),2)&amp;","&amp;TEXT(C1695," yyyy"))</f>
        <v>October 4th,2024</v>
      </c>
      <c r="AB1695" s="15" t="str">
        <f aca="true">IF(S1695="","",DATEDIF(S1695,TODAY(),"Y")&amp;" Tahun, "&amp;DATEDIF(S1695,TODAY(),"YM")&amp;" Bulan, "&amp;DATEDIF(S1695,TODAY(),"MD")&amp;" Hari")</f>
        <v>31 Tahun, 8 Bulan, 13 Hari</v>
      </c>
      <c r="AC1695" s="70" t="n">
        <v>45751</v>
      </c>
      <c r="AD1695" s="70" t="n">
        <v>46115</v>
      </c>
      <c r="AE1695" s="70" t="s">
        <v>44</v>
      </c>
    </row>
    <row r="1696" customFormat="false" ht="15" hidden="false" customHeight="true" outlineLevel="0" collapsed="false">
      <c r="A1696" s="12" t="n">
        <v>17771</v>
      </c>
      <c r="B1696" s="13" t="s">
        <v>7384</v>
      </c>
      <c r="C1696" s="14" t="n">
        <v>45591</v>
      </c>
      <c r="D1696" s="13" t="s">
        <v>5442</v>
      </c>
      <c r="E1696" s="15" t="s">
        <v>47</v>
      </c>
      <c r="F1696" s="15" t="str">
        <f aca="false">IFERROR(__xludf.dummyfunction("XLOOKUP(AJ1696,IMPORTRANGE(""1XaInW9DU9nz21V0tYIfzFQ0He9kVQ_JF2mCXgZ3hqFA"",""REKAP ALL 2026 - Andika!G:G""),IMPORTRANGE(""1XaInW9DU9nz21V0tYIfzFQ0He9kVQ_JF2mCXgZ3hqFA"",""REKAP ALL 2026 - Andika!F:F""),"""",0)"),"24195433172")</f>
        <v>24195433172</v>
      </c>
      <c r="G1696" s="15" t="s">
        <v>7385</v>
      </c>
      <c r="H1696" s="13" t="s">
        <v>35</v>
      </c>
      <c r="I1696" s="13" t="str">
        <f aca="false">IF(C1696=J1696,"NEW KONTRAK","RE-KONTRAK")</f>
        <v>RE-KONTRAK</v>
      </c>
      <c r="J1696" s="16" t="n">
        <f aca="false" t="array" ref="J1696:J1696">IFERROR(INDEX(AC1696:AE1696,IF(COUNTA(AC1696:AE1696)=0,"",MAX((AC1696:AE1696&lt;&gt;"")*(COLUMN(AC1696:AE1696)-(COLUMN(AC1696)))))-1),"")</f>
        <v>45773</v>
      </c>
      <c r="K1696" s="16" t="n">
        <f aca="false" t="array" ref="K1696:K1696">IFERROR(INDEX(AC1696:AE1696,IF(COUNTA(AC1696:AE1696)=0,"",MAX((AC1696:AE1696&lt;&gt;"")*(COLUMN(AC1696:AE1696)-(COLUMN(AC1696)-1))))-1),"")</f>
        <v>46137</v>
      </c>
      <c r="L1696" s="17" t="str">
        <f aca="false" t="array" ref="L1696:L1696">IFERROR(INDEX(AC1696:AE1696,IF(COUNTA(AC1696:AE1696)=0,"",MAX((AC1696:AE1696&lt;&gt;"")*(COLUMN(AC1696:AE1696)-(COLUMN(AC1696)-2))))-1),"")</f>
        <v>KEMBALI</v>
      </c>
      <c r="M1696" s="13" t="n">
        <f aca="true">K1696-TODAY()</f>
        <v>-187</v>
      </c>
      <c r="N1696" s="18" t="s">
        <v>105</v>
      </c>
      <c r="O1696" s="13" t="s">
        <v>50</v>
      </c>
      <c r="P1696" s="19" t="n">
        <v>4300000</v>
      </c>
      <c r="Q1696" s="20" t="s">
        <v>7386</v>
      </c>
      <c r="R1696" s="13" t="s">
        <v>7387</v>
      </c>
      <c r="S1696" s="14" t="n">
        <v>36956</v>
      </c>
      <c r="T1696" s="13" t="s">
        <v>40</v>
      </c>
      <c r="U1696" s="13" t="s">
        <v>7388</v>
      </c>
      <c r="V1696" s="13" t="s">
        <v>42</v>
      </c>
      <c r="W1696" s="13" t="s">
        <v>43</v>
      </c>
      <c r="X1696" s="21" t="n">
        <v>85808306368</v>
      </c>
      <c r="Y1696" s="22" t="str">
        <f aca="false">O1696</f>
        <v>Driver</v>
      </c>
      <c r="Z1696" s="13" t="str">
        <f aca="false">IFERROR(__xludf.dummyfunction("if(BJ1696="""","""",GOOGLETRANSLATE(BJ1696,""auto"",""en""))"),"Driver")</f>
        <v>Driver</v>
      </c>
      <c r="AA1696" s="23" t="str">
        <f aca="false">IF(C1696="","", CHOOSE(MONTH(C1696),"January","February","March","April","May","June","July","August","September","October","November","December")&amp;" "&amp;DAY(C1696)&amp;MID("thstndrdth",MIN(9,2*RIGHT(DAY(C1696))*(MOD(DAY(C1696)-11,100)&gt;2)+1),2)&amp;","&amp;TEXT(C1696," yyyy"))</f>
        <v>October 26th,2024</v>
      </c>
      <c r="AB1696" s="15" t="str">
        <f aca="true">IF(S1696="","",DATEDIF(S1696,TODAY(),"Y")&amp;" Tahun, "&amp;DATEDIF(S1696,TODAY(),"YM")&amp;" Bulan, "&amp;DATEDIF(S1696,TODAY(),"MD")&amp;" Hari")</f>
        <v>25 Tahun, 7 Bulan, 23 Hari</v>
      </c>
      <c r="AC1696" s="18" t="n">
        <v>45773</v>
      </c>
      <c r="AD1696" s="18" t="n">
        <v>46137</v>
      </c>
      <c r="AE1696" s="13" t="s">
        <v>397</v>
      </c>
    </row>
    <row r="1697" customFormat="false" ht="15" hidden="false" customHeight="true" outlineLevel="0" collapsed="false">
      <c r="A1697" s="12" t="n">
        <v>17781</v>
      </c>
      <c r="B1697" s="13" t="s">
        <v>7389</v>
      </c>
      <c r="C1697" s="14" t="n">
        <v>45600</v>
      </c>
      <c r="D1697" s="13" t="s">
        <v>404</v>
      </c>
      <c r="E1697" s="15" t="s">
        <v>102</v>
      </c>
      <c r="F1697" s="15" t="str">
        <f aca="false">IFERROR(__xludf.dummyfunction("XLOOKUP(AJ1697,IMPORTRANGE(""1XaInW9DU9nz21V0tYIfzFQ0He9kVQ_JF2mCXgZ3hqFA"",""REKAP ALL 2026 - Andika!G:G""),IMPORTRANGE(""1XaInW9DU9nz21V0tYIfzFQ0He9kVQ_JF2mCXgZ3hqFA"",""REKAP ALL 2026 - Andika!F:F""),"""",0)"),"24195982558")</f>
        <v>24195982558</v>
      </c>
      <c r="G1697" s="15" t="s">
        <v>7390</v>
      </c>
      <c r="H1697" s="13" t="s">
        <v>35</v>
      </c>
      <c r="I1697" s="13" t="str">
        <f aca="false">IF(C1697=J1697,"NEW KONTRAK","RE-KONTRAK")</f>
        <v>RE-KONTRAK</v>
      </c>
      <c r="J1697" s="16" t="n">
        <f aca="false" t="array" ref="J1697:J1697">IFERROR(INDEX(AC1697:AE1697,IF(COUNTA(AC1697:AE1697)=0,"",MAX((AC1697:AE1697&lt;&gt;"")*(COLUMN(AC1697:AE1697)-(COLUMN(AC1697)))))-1),"")</f>
        <v>45658</v>
      </c>
      <c r="K1697" s="16" t="n">
        <f aca="false" t="array" ref="K1697:K1697">IFERROR(INDEX(AC1697:AE1697,IF(COUNTA(AC1697:AE1697)=0,"",MAX((AC1697:AE1697&lt;&gt;"")*(COLUMN(AC1697:AE1697)-(COLUMN(AC1697)-1))))-1),"")</f>
        <v>46022</v>
      </c>
      <c r="L1697" s="17" t="str">
        <f aca="false" t="array" ref="L1697:L1697">IFERROR(INDEX(AC1697:AE1697,IF(COUNTA(AC1697:AE1697)=0,"",MAX((AC1697:AE1697&lt;&gt;"")*(COLUMN(AC1697:AE1697)-(COLUMN(AC1697)-2))))-1),"")</f>
        <v>ARCHIVED</v>
      </c>
      <c r="M1697" s="13" t="n">
        <f aca="true">K1697-TODAY()</f>
        <v>-302</v>
      </c>
      <c r="N1697" s="18" t="s">
        <v>36</v>
      </c>
      <c r="O1697" s="13" t="s">
        <v>512</v>
      </c>
      <c r="P1697" s="27" t="n">
        <v>5195401</v>
      </c>
      <c r="Q1697" s="20" t="s">
        <v>7391</v>
      </c>
      <c r="R1697" s="13" t="s">
        <v>2434</v>
      </c>
      <c r="S1697" s="14" t="n">
        <v>37473</v>
      </c>
      <c r="T1697" s="13" t="s">
        <v>40</v>
      </c>
      <c r="U1697" s="13" t="s">
        <v>7392</v>
      </c>
      <c r="V1697" s="13" t="s">
        <v>42</v>
      </c>
      <c r="W1697" s="13" t="s">
        <v>43</v>
      </c>
      <c r="X1697" s="21" t="n">
        <v>81232739168</v>
      </c>
      <c r="Y1697" s="22" t="str">
        <f aca="false">O1697</f>
        <v>Laboratorium</v>
      </c>
      <c r="Z1697" s="13" t="str">
        <f aca="false">IFERROR(__xludf.dummyfunction("if(BJ1697="""","""",GOOGLETRANSLATE(BJ1697,""auto"",""en""))"),"Laboratory")</f>
        <v>Laboratory</v>
      </c>
      <c r="AA1697" s="23" t="str">
        <f aca="false">IF(C1697="","", CHOOSE(MONTH(C1697),"January","February","March","April","May","June","July","August","September","October","November","December")&amp;" "&amp;DAY(C1697)&amp;MID("thstndrdth",MIN(9,2*RIGHT(DAY(C1697))*(MOD(DAY(C1697)-11,100)&gt;2)+1),2)&amp;","&amp;TEXT(C1697," yyyy"))</f>
        <v>November 4th,2024</v>
      </c>
      <c r="AB1697" s="15" t="str">
        <f aca="true">IF(S1697="","",DATEDIF(S1697,TODAY(),"Y")&amp;" Tahun, "&amp;DATEDIF(S1697,TODAY(),"YM")&amp;" Bulan, "&amp;DATEDIF(S1697,TODAY(),"MD")&amp;" Hari")</f>
        <v>24 Tahun, 2 Bulan, 24 Hari</v>
      </c>
      <c r="AC1697" s="18" t="n">
        <v>45658</v>
      </c>
      <c r="AD1697" s="18" t="n">
        <v>46022</v>
      </c>
      <c r="AE1697" s="18" t="s">
        <v>44</v>
      </c>
    </row>
    <row r="1698" customFormat="false" ht="15" hidden="false" customHeight="true" outlineLevel="0" collapsed="false">
      <c r="A1698" s="12" t="n">
        <v>17792</v>
      </c>
      <c r="B1698" s="13" t="s">
        <v>7393</v>
      </c>
      <c r="C1698" s="14" t="n">
        <v>45581</v>
      </c>
      <c r="D1698" s="13" t="s">
        <v>613</v>
      </c>
      <c r="E1698" s="15" t="s">
        <v>47</v>
      </c>
      <c r="F1698" s="15" t="str">
        <f aca="false">IFERROR(__xludf.dummyfunction("XLOOKUP(AJ1698,IMPORTRANGE(""1XaInW9DU9nz21V0tYIfzFQ0He9kVQ_JF2mCXgZ3hqFA"",""REKAP ALL 2026 - Andika!G:G""),IMPORTRANGE(""1XaInW9DU9nz21V0tYIfzFQ0He9kVQ_JF2mCXgZ3hqFA"",""REKAP ALL 2026 - Andika!F:F""),"""",0)"),"24195983838")</f>
        <v>24195983838</v>
      </c>
      <c r="G1698" s="15" t="s">
        <v>7394</v>
      </c>
      <c r="H1698" s="13" t="s">
        <v>35</v>
      </c>
      <c r="I1698" s="13" t="str">
        <f aca="false">IF(C1698=J1698,"NEW KONTRAK","RE-KONTRAK")</f>
        <v>RE-KONTRAK</v>
      </c>
      <c r="J1698" s="16" t="n">
        <f aca="false" t="array" ref="J1698:J1698">IFERROR(INDEX(AC1698:AE1698,IF(COUNTA(AC1698:AE1698)=0,"",MAX((AC1698:AE1698&lt;&gt;"")*(COLUMN(AC1698:AE1698)-(COLUMN(AC1698)))))-1),"")</f>
        <v>45885</v>
      </c>
      <c r="K1698" s="16" t="n">
        <f aca="false" t="array" ref="K1698:K1698">IFERROR(INDEX(AC1698:AE1698,IF(COUNTA(AC1698:AE1698)=0,"",MAX((AC1698:AE1698&lt;&gt;"")*(COLUMN(AC1698:AE1698)-(COLUMN(AC1698)-1))))-1),"")</f>
        <v>46068</v>
      </c>
      <c r="L1698" s="17" t="str">
        <f aca="false" t="array" ref="L1698:L1698">IFERROR(INDEX(AC1698:AE1698,IF(COUNTA(AC1698:AE1698)=0,"",MAX((AC1698:AE1698&lt;&gt;"")*(COLUMN(AC1698:AE1698)-(COLUMN(AC1698)-2))))-1),"")</f>
        <v>ARCHIVED</v>
      </c>
      <c r="M1698" s="13" t="n">
        <f aca="true">K1698-TODAY()</f>
        <v>-256</v>
      </c>
      <c r="N1698" s="18" t="s">
        <v>615</v>
      </c>
      <c r="O1698" s="13" t="s">
        <v>7395</v>
      </c>
      <c r="P1698" s="19" t="n">
        <v>5176101</v>
      </c>
      <c r="Q1698" s="20" t="s">
        <v>7396</v>
      </c>
      <c r="R1698" s="13" t="s">
        <v>39</v>
      </c>
      <c r="S1698" s="14" t="n">
        <v>36846</v>
      </c>
      <c r="T1698" s="13" t="s">
        <v>108</v>
      </c>
      <c r="U1698" s="13" t="s">
        <v>7397</v>
      </c>
      <c r="V1698" s="13" t="s">
        <v>42</v>
      </c>
      <c r="W1698" s="13" t="s">
        <v>43</v>
      </c>
      <c r="X1698" s="21" t="n">
        <v>81217626512</v>
      </c>
      <c r="Y1698" s="22" t="str">
        <f aca="false">O1698</f>
        <v>Staff Administrasi</v>
      </c>
      <c r="Z1698" s="13" t="str">
        <f aca="false">IFERROR(__xludf.dummyfunction("if(BJ1698="""","""",GOOGLETRANSLATE(BJ1698,""auto"",""en""))"),"Administrative staff")</f>
        <v>Administrative staff</v>
      </c>
      <c r="AA1698" s="23" t="str">
        <f aca="false">IF(C1698="","", CHOOSE(MONTH(C1698),"January","February","March","April","May","June","July","August","September","October","November","December")&amp;" "&amp;DAY(C1698)&amp;MID("thstndrdth",MIN(9,2*RIGHT(DAY(C1698))*(MOD(DAY(C1698)-11,100)&gt;2)+1),2)&amp;","&amp;TEXT(C1698," yyyy"))</f>
        <v>October 16th,2024</v>
      </c>
      <c r="AB1698" s="15" t="str">
        <f aca="true">IF(S1698="","",DATEDIF(S1698,TODAY(),"Y")&amp;" Tahun, "&amp;DATEDIF(S1698,TODAY(),"YM")&amp;" Bulan, "&amp;DATEDIF(S1698,TODAY(),"MD")&amp;" Hari")</f>
        <v>25 Tahun, 11 Bulan, 13 Hari</v>
      </c>
      <c r="AC1698" s="18" t="n">
        <v>45885</v>
      </c>
      <c r="AD1698" s="18" t="n">
        <v>46068</v>
      </c>
      <c r="AE1698" s="18" t="s">
        <v>44</v>
      </c>
    </row>
    <row r="1699" customFormat="false" ht="15" hidden="false" customHeight="true" outlineLevel="0" collapsed="false">
      <c r="A1699" s="12" t="n">
        <v>17793</v>
      </c>
      <c r="B1699" s="13" t="s">
        <v>7398</v>
      </c>
      <c r="C1699" s="14" t="n">
        <v>45581</v>
      </c>
      <c r="D1699" s="13" t="s">
        <v>613</v>
      </c>
      <c r="E1699" s="15" t="s">
        <v>47</v>
      </c>
      <c r="F1699" s="15" t="str">
        <f aca="false">IFERROR(__xludf.dummyfunction("XLOOKUP(AJ1699,IMPORTRANGE(""1XaInW9DU9nz21V0tYIfzFQ0He9kVQ_JF2mCXgZ3hqFA"",""REKAP ALL 2026 - Andika!G:G""),IMPORTRANGE(""1XaInW9DU9nz21V0tYIfzFQ0He9kVQ_JF2mCXgZ3hqFA"",""REKAP ALL 2026 - Andika!F:F""),"""",0)"),"24195983853")</f>
        <v>24195983853</v>
      </c>
      <c r="G1699" s="15" t="s">
        <v>7399</v>
      </c>
      <c r="H1699" s="13" t="s">
        <v>35</v>
      </c>
      <c r="I1699" s="13" t="str">
        <f aca="false">IF(C1699=J1699,"NEW KONTRAK","RE-KONTRAK")</f>
        <v>RE-KONTRAK</v>
      </c>
      <c r="J1699" s="16" t="n">
        <f aca="false" t="array" ref="J1699:J1699">IFERROR(INDEX(AC1699:AE1699,IF(COUNTA(AC1699:AE1699)=0,"",MAX((AC1699:AE1699&lt;&gt;"")*(COLUMN(AC1699:AE1699)-(COLUMN(AC1699)))))-1),"")</f>
        <v>45854</v>
      </c>
      <c r="K1699" s="16" t="n">
        <f aca="false" t="array" ref="K1699:K1699">IFERROR(INDEX(AC1699:AE1699,IF(COUNTA(AC1699:AE1699)=0,"",MAX((AC1699:AE1699&lt;&gt;"")*(COLUMN(AC1699:AE1699)-(COLUMN(AC1699)-1))))-1),"")</f>
        <v>46037</v>
      </c>
      <c r="L1699" s="17" t="str">
        <f aca="false" t="array" ref="L1699:L1699">IFERROR(INDEX(AC1699:AE1699,IF(COUNTA(AC1699:AE1699)=0,"",MAX((AC1699:AE1699&lt;&gt;"")*(COLUMN(AC1699:AE1699)-(COLUMN(AC1699)-2))))-1),"")</f>
        <v>ARCHIVED</v>
      </c>
      <c r="M1699" s="13" t="n">
        <f aca="true">K1699-TODAY()</f>
        <v>-287</v>
      </c>
      <c r="N1699" s="18" t="s">
        <v>615</v>
      </c>
      <c r="O1699" s="13" t="s">
        <v>7395</v>
      </c>
      <c r="P1699" s="19" t="n">
        <v>5176101</v>
      </c>
      <c r="Q1699" s="20" t="s">
        <v>7400</v>
      </c>
      <c r="R1699" s="13" t="s">
        <v>232</v>
      </c>
      <c r="S1699" s="14" t="n">
        <v>35495</v>
      </c>
      <c r="T1699" s="13" t="s">
        <v>108</v>
      </c>
      <c r="U1699" s="13" t="s">
        <v>7401</v>
      </c>
      <c r="V1699" s="13" t="s">
        <v>42</v>
      </c>
      <c r="W1699" s="13" t="s">
        <v>43</v>
      </c>
      <c r="X1699" s="21" t="n">
        <v>85735517958</v>
      </c>
      <c r="Y1699" s="22" t="str">
        <f aca="false">O1699</f>
        <v>Staff Administrasi</v>
      </c>
      <c r="Z1699" s="13" t="str">
        <f aca="false">IFERROR(__xludf.dummyfunction("if(BJ1699="""","""",GOOGLETRANSLATE(BJ1699,""auto"",""en""))"),"Administrative staff")</f>
        <v>Administrative staff</v>
      </c>
      <c r="AA1699" s="23" t="str">
        <f aca="false">IF(C1699="","", CHOOSE(MONTH(C1699),"January","February","March","April","May","June","July","August","September","October","November","December")&amp;" "&amp;DAY(C1699)&amp;MID("thstndrdth",MIN(9,2*RIGHT(DAY(C1699))*(MOD(DAY(C1699)-11,100)&gt;2)+1),2)&amp;","&amp;TEXT(C1699," yyyy"))</f>
        <v>October 16th,2024</v>
      </c>
      <c r="AB1699" s="15" t="str">
        <f aca="true">IF(S1699="","",DATEDIF(S1699,TODAY(),"Y")&amp;" Tahun, "&amp;DATEDIF(S1699,TODAY(),"YM")&amp;" Bulan, "&amp;DATEDIF(S1699,TODAY(),"MD")&amp;" Hari")</f>
        <v>29 Tahun, 7 Bulan, 23 Hari</v>
      </c>
      <c r="AC1699" s="18" t="n">
        <v>45854</v>
      </c>
      <c r="AD1699" s="18" t="n">
        <v>46037</v>
      </c>
      <c r="AE1699" s="18" t="s">
        <v>44</v>
      </c>
    </row>
    <row r="1700" customFormat="false" ht="15" hidden="false" customHeight="true" outlineLevel="0" collapsed="false">
      <c r="A1700" s="12" t="n">
        <v>12469</v>
      </c>
      <c r="B1700" s="13" t="s">
        <v>7402</v>
      </c>
      <c r="C1700" s="14" t="n">
        <v>45141</v>
      </c>
      <c r="D1700" s="13" t="s">
        <v>2033</v>
      </c>
      <c r="E1700" s="15" t="s">
        <v>47</v>
      </c>
      <c r="F1700" s="15" t="str">
        <f aca="false">IFERROR(__xludf.dummyfunction("XLOOKUP(AJ1700,IMPORTRANGE(""1XaInW9DU9nz21V0tYIfzFQ0He9kVQ_JF2mCXgZ3hqFA"",""REKAP ALL 2026 - Andika!G:G""),IMPORTRANGE(""1XaInW9DU9nz21V0tYIfzFQ0He9kVQ_JF2mCXgZ3hqFA"",""REKAP ALL 2026 - Andika!F:F""),"""",0)"),"23113699708")</f>
        <v>23113699708</v>
      </c>
      <c r="G1700" s="13" t="s">
        <v>7403</v>
      </c>
      <c r="H1700" s="13" t="s">
        <v>2035</v>
      </c>
      <c r="I1700" s="13" t="str">
        <f aca="false">IF(C1700=J1700,"NEW KONTRAK","RE-KONTRAK")</f>
        <v>RE-KONTRAK</v>
      </c>
      <c r="J1700" s="16" t="n">
        <f aca="false" t="array" ref="J1700:J1700">IFERROR(INDEX(AC1700:AE1700,IF(COUNTA(AC1700:AE1700)=0,"",MAX((AC1700:AE1700&lt;&gt;"")*(COLUMN(AC1700:AE1700)-(COLUMN(AC1700)))))-1),"")</f>
        <v>45744</v>
      </c>
      <c r="K1700" s="16" t="n">
        <f aca="false" t="array" ref="K1700:K1700">IFERROR(INDEX(AC1700:AE1700,IF(COUNTA(AC1700:AE1700)=0,"",MAX((AC1700:AE1700&lt;&gt;"")*(COLUMN(AC1700:AE1700)-(COLUMN(AC1700)-1))))-1),"")</f>
        <v>45915</v>
      </c>
      <c r="L1700" s="17" t="str">
        <f aca="false" t="array" ref="L1700:L1700">IFERROR(INDEX(AC1700:AE1700,IF(COUNTA(AC1700:AE1700)=0,"",MAX((AC1700:AE1700&lt;&gt;"")*(COLUMN(AC1700:AE1700)-(COLUMN(AC1700)-2))))-1),"")</f>
        <v>ARCHIVED</v>
      </c>
      <c r="M1700" s="13" t="n">
        <f aca="true">K1700-TODAY()</f>
        <v>-409</v>
      </c>
      <c r="N1700" s="18" t="s">
        <v>7404</v>
      </c>
      <c r="O1700" s="13" t="s">
        <v>3249</v>
      </c>
      <c r="P1700" s="19" t="n">
        <v>3993876</v>
      </c>
      <c r="Q1700" s="20" t="s">
        <v>7405</v>
      </c>
      <c r="R1700" s="13" t="s">
        <v>7406</v>
      </c>
      <c r="S1700" s="14" t="n">
        <v>35486</v>
      </c>
      <c r="T1700" s="13" t="s">
        <v>40</v>
      </c>
      <c r="U1700" s="13" t="s">
        <v>7407</v>
      </c>
      <c r="V1700" s="13" t="s">
        <v>42</v>
      </c>
      <c r="W1700" s="13" t="s">
        <v>54</v>
      </c>
      <c r="X1700" s="21" t="n">
        <v>83177975624</v>
      </c>
      <c r="Y1700" s="22" t="str">
        <f aca="false">O1700</f>
        <v>Sales Exclusive</v>
      </c>
      <c r="Z1700" s="13" t="str">
        <f aca="false">IFERROR(__xludf.dummyfunction("if(BJ1700="""","""",GOOGLETRANSLATE(BJ1700,""auto"",""en""))"),"Sales Exclusive")</f>
        <v>Sales Exclusive</v>
      </c>
      <c r="AA1700" s="23" t="str">
        <f aca="false">IF(C1700="","", CHOOSE(MONTH(C1700),"January","February","March","April","May","June","July","August","September","October","November","December")&amp;" "&amp;DAY(C1700)&amp;MID("thstndrdth",MIN(9,2*RIGHT(DAY(C1700))*(MOD(DAY(C1700)-11,100)&gt;2)+1),2)&amp;","&amp;TEXT(C1700," yyyy"))</f>
        <v>August 3rd,2023</v>
      </c>
      <c r="AB1700" s="15" t="str">
        <f aca="true">IF(S1700="","",DATEDIF(S1700,TODAY(),"Y")&amp;" Tahun, "&amp;DATEDIF(S1700,TODAY(),"YM")&amp;" Bulan, "&amp;DATEDIF(S1700,TODAY(),"MD")&amp;" Hari")</f>
        <v>29 Tahun, 8 Bulan, 4 Hari</v>
      </c>
      <c r="AC1700" s="18" t="n">
        <v>45744</v>
      </c>
      <c r="AD1700" s="18" t="n">
        <v>45915</v>
      </c>
      <c r="AE1700" s="18" t="s">
        <v>44</v>
      </c>
    </row>
    <row r="1701" customFormat="false" ht="15" hidden="false" customHeight="true" outlineLevel="0" collapsed="false">
      <c r="A1701" s="12" t="n">
        <v>22284</v>
      </c>
      <c r="B1701" s="13" t="s">
        <v>7408</v>
      </c>
      <c r="C1701" s="16" t="n">
        <v>46143</v>
      </c>
      <c r="D1701" s="13" t="s">
        <v>2033</v>
      </c>
      <c r="E1701" s="15" t="s">
        <v>47</v>
      </c>
      <c r="F1701" s="24" t="s">
        <v>7409</v>
      </c>
      <c r="G1701" s="24" t="s">
        <v>57</v>
      </c>
      <c r="H1701" s="13" t="s">
        <v>35</v>
      </c>
      <c r="I1701" s="13" t="str">
        <f aca="false">IF(C1701=J1701,"NEW KONTRAK","RE-KONTRAK")</f>
        <v>NEW KONTRAK</v>
      </c>
      <c r="J1701" s="16" t="n">
        <f aca="false" t="array" ref="J1701:J1701">IFERROR(INDEX(AC1701:AE1701,IF(COUNTA(AC1701:AE1701)=0,"",MAX((AC1701:AE1701&lt;&gt;"")*(COLUMN(AC1701:AE1701)-(COLUMN(AC1701)))))-1),"")</f>
        <v>46143</v>
      </c>
      <c r="K1701" s="16" t="n">
        <f aca="false" t="array" ref="K1701:K1701">IFERROR(INDEX(AC1701:AE1701,IF(COUNTA(AC1701:AE1701)=0,"",MAX((AC1701:AE1701&lt;&gt;"")*(COLUMN(AC1701:AE1701)-(COLUMN(AC1701)-1))))-1),"")</f>
        <v>46188</v>
      </c>
      <c r="L1701" s="17" t="str">
        <f aca="false" t="array" ref="L1701:L1701">IFERROR(INDEX(AC1701:AE1701,IF(COUNTA(AC1701:AE1701)=0,"",MAX((AC1701:AE1701&lt;&gt;"")*(COLUMN(AC1701:AE1701)-(COLUMN(AC1701)-2))))-1),"")</f>
        <v>ARCHIVED</v>
      </c>
      <c r="M1701" s="13" t="n">
        <f aca="true">K1701-TODAY()</f>
        <v>-136</v>
      </c>
      <c r="N1701" s="18" t="s">
        <v>2363</v>
      </c>
      <c r="O1701" s="13" t="s">
        <v>2037</v>
      </c>
      <c r="P1701" s="19" t="n">
        <v>4335198</v>
      </c>
      <c r="Q1701" s="20" t="s">
        <v>7410</v>
      </c>
      <c r="R1701" s="13" t="s">
        <v>7411</v>
      </c>
      <c r="S1701" s="14" t="n">
        <v>36833</v>
      </c>
      <c r="T1701" s="13" t="s">
        <v>108</v>
      </c>
      <c r="U1701" s="13" t="s">
        <v>7412</v>
      </c>
      <c r="V1701" s="13" t="s">
        <v>42</v>
      </c>
      <c r="W1701" s="13" t="s">
        <v>43</v>
      </c>
      <c r="X1701" s="21" t="n">
        <v>8979473575</v>
      </c>
      <c r="Y1701" s="22" t="str">
        <f aca="false">O1701</f>
        <v>SPG/BA</v>
      </c>
      <c r="Z1701" s="13" t="str">
        <f aca="false">IFERROR(__xludf.dummyfunction("if(BJ1701="""","""",GOOGLETRANSLATE(BJ1701,""auto"",""en""))"),"SPG/BA")</f>
        <v>SPG/BA</v>
      </c>
      <c r="AA1701" s="23" t="str">
        <f aca="false">IF(C1701="","", CHOOSE(MONTH(C1701),"January","February","March","April","May","June","July","August","September","October","November","December")&amp;" "&amp;DAY(C1701)&amp;MID("thstndrdth",MIN(9,2*RIGHT(DAY(C1701))*(MOD(DAY(C1701)-11,100)&gt;2)+1),2)&amp;","&amp;TEXT(C1701," yyyy"))</f>
        <v>May 1st,2026</v>
      </c>
      <c r="AB1701" s="15" t="str">
        <f aca="true">IF(S1701="","",DATEDIF(S1701,TODAY(),"Y")&amp;" Tahun, "&amp;DATEDIF(S1701,TODAY(),"YM")&amp;" Bulan, "&amp;DATEDIF(S1701,TODAY(),"MD")&amp;" Hari")</f>
        <v>25 Tahun, 11 Bulan, 26 Hari</v>
      </c>
      <c r="AC1701" s="14" t="n">
        <v>46143</v>
      </c>
      <c r="AD1701" s="64" t="n">
        <v>46188</v>
      </c>
      <c r="AE1701" s="18" t="s">
        <v>44</v>
      </c>
    </row>
    <row r="1702" customFormat="false" ht="15" hidden="false" customHeight="true" outlineLevel="0" collapsed="false">
      <c r="A1702" s="12" t="n">
        <v>17818</v>
      </c>
      <c r="B1702" s="13" t="s">
        <v>7413</v>
      </c>
      <c r="C1702" s="14" t="n">
        <v>45600</v>
      </c>
      <c r="D1702" s="13" t="s">
        <v>6498</v>
      </c>
      <c r="E1702" s="15" t="s">
        <v>47</v>
      </c>
      <c r="F1702" s="15" t="str">
        <f aca="false">IFERROR(__xludf.dummyfunction("XLOOKUP(AJ1702,IMPORTRANGE(""1XaInW9DU9nz21V0tYIfzFQ0He9kVQ_JF2mCXgZ3hqFA"",""REKAP ALL 2026 - Andika!G:G""),IMPORTRANGE(""1XaInW9DU9nz21V0tYIfzFQ0He9kVQ_JF2mCXgZ3hqFA"",""REKAP ALL 2026 - Andika!F:F""),"""",0)"),"24195983440")</f>
        <v>24195983440</v>
      </c>
      <c r="G1702" s="15" t="s">
        <v>7414</v>
      </c>
      <c r="H1702" s="13" t="s">
        <v>35</v>
      </c>
      <c r="I1702" s="13" t="str">
        <f aca="false">IF(C1702=J1702,"NEW KONTRAK","RE-KONTRAK")</f>
        <v>RE-KONTRAK</v>
      </c>
      <c r="J1702" s="16" t="n">
        <f aca="false" t="array" ref="J1702:J1702">IFERROR(INDEX(AC1702:AE1702,IF(COUNTA(AC1702:AE1702)=0,"",MAX((AC1702:AE1702&lt;&gt;"")*(COLUMN(AC1702:AE1702)-(COLUMN(AC1702)))))-1),"")</f>
        <v>45781</v>
      </c>
      <c r="K1702" s="16" t="n">
        <f aca="false" t="array" ref="K1702:K1702">IFERROR(INDEX(AC1702:AE1702,IF(COUNTA(AC1702:AE1702)=0,"",MAX((AC1702:AE1702&lt;&gt;"")*(COLUMN(AC1702:AE1702)-(COLUMN(AC1702)-1))))-1),"")</f>
        <v>46022</v>
      </c>
      <c r="L1702" s="17" t="str">
        <f aca="false" t="array" ref="L1702:L1702">IFERROR(INDEX(AC1702:AE1702,IF(COUNTA(AC1702:AE1702)=0,"",MAX((AC1702:AE1702&lt;&gt;"")*(COLUMN(AC1702:AE1702)-(COLUMN(AC1702)-2))))-1),"")</f>
        <v>ARCHIVED</v>
      </c>
      <c r="M1702" s="13" t="n">
        <f aca="true">K1702-TODAY()</f>
        <v>-302</v>
      </c>
      <c r="N1702" s="50" t="s">
        <v>728</v>
      </c>
      <c r="O1702" s="13" t="s">
        <v>1287</v>
      </c>
      <c r="P1702" s="19" t="n">
        <v>5288796</v>
      </c>
      <c r="Q1702" s="20" t="s">
        <v>7415</v>
      </c>
      <c r="R1702" s="13" t="s">
        <v>168</v>
      </c>
      <c r="S1702" s="14" t="n">
        <v>34907</v>
      </c>
      <c r="T1702" s="13" t="s">
        <v>40</v>
      </c>
      <c r="U1702" s="13" t="s">
        <v>7416</v>
      </c>
      <c r="V1702" s="13" t="s">
        <v>42</v>
      </c>
      <c r="W1702" s="13" t="s">
        <v>43</v>
      </c>
      <c r="X1702" s="21" t="n">
        <v>89608857043</v>
      </c>
      <c r="Y1702" s="22" t="str">
        <f aca="false">O1702</f>
        <v>Office Boy</v>
      </c>
      <c r="Z1702" s="13" t="str">
        <f aca="false">IFERROR(__xludf.dummyfunction("if(BJ1702="""","""",GOOGLETRANSLATE(BJ1702,""auto"",""en""))"),"Office Boy")</f>
        <v>Office Boy</v>
      </c>
      <c r="AA1702" s="23" t="str">
        <f aca="false">IF(C1702="","", CHOOSE(MONTH(C1702),"January","February","March","April","May","June","July","August","September","October","November","December")&amp;" "&amp;DAY(C1702)&amp;MID("thstndrdth",MIN(9,2*RIGHT(DAY(C1702))*(MOD(DAY(C1702)-11,100)&gt;2)+1),2)&amp;","&amp;TEXT(C1702," yyyy"))</f>
        <v>November 4th,2024</v>
      </c>
      <c r="AB1702" s="15" t="str">
        <f aca="true">IF(S1702="","",DATEDIF(S1702,TODAY(),"Y")&amp;" Tahun, "&amp;DATEDIF(S1702,TODAY(),"YM")&amp;" Bulan, "&amp;DATEDIF(S1702,TODAY(),"MD")&amp;" Hari")</f>
        <v>31 Tahun, 3 Bulan, 2 Hari</v>
      </c>
      <c r="AC1702" s="18" t="n">
        <v>45781</v>
      </c>
      <c r="AD1702" s="18" t="n">
        <v>46022</v>
      </c>
      <c r="AE1702" s="18" t="s">
        <v>44</v>
      </c>
    </row>
    <row r="1703" customFormat="false" ht="15" hidden="false" customHeight="true" outlineLevel="0" collapsed="false">
      <c r="A1703" s="12" t="n">
        <v>17858</v>
      </c>
      <c r="B1703" s="13" t="s">
        <v>7417</v>
      </c>
      <c r="C1703" s="14" t="n">
        <v>45566</v>
      </c>
      <c r="D1703" s="13" t="s">
        <v>7418</v>
      </c>
      <c r="E1703" s="15" t="s">
        <v>47</v>
      </c>
      <c r="F1703" s="15" t="str">
        <f aca="false">IFERROR(__xludf.dummyfunction("XLOOKUP(AJ1703,IMPORTRANGE(""1XaInW9DU9nz21V0tYIfzFQ0He9kVQ_JF2mCXgZ3hqFA"",""REKAP ALL 2026 - Andika!G:G""),IMPORTRANGE(""1XaInW9DU9nz21V0tYIfzFQ0He9kVQ_JF2mCXgZ3hqFA"",""REKAP ALL 2026 - Andika!F:F""),"""",0)"),"25157579894")</f>
        <v>25157579894</v>
      </c>
      <c r="G1703" s="13" t="s">
        <v>2809</v>
      </c>
      <c r="H1703" s="13" t="s">
        <v>3024</v>
      </c>
      <c r="I1703" s="13" t="str">
        <f aca="false">IF(C1703=J1703,"NEW KONTRAK","RE-KONTRAK")</f>
        <v>NEW KONTRAK</v>
      </c>
      <c r="J1703" s="16" t="n">
        <f aca="false" t="array" ref="J1703:J1703">IFERROR(INDEX(AC1703:AE1703,IF(COUNTA(AC1703:AE1703)=0,"",MAX((AC1703:AE1703&lt;&gt;"")*(COLUMN(AC1703:AE1703)-(COLUMN(AC1703)))))-1),"")</f>
        <v>45566</v>
      </c>
      <c r="K1703" s="16" t="n">
        <f aca="false" t="array" ref="K1703:K1703">IFERROR(INDEX(AC1703:AE1703,IF(COUNTA(AC1703:AE1703)=0,"",MAX((AC1703:AE1703&lt;&gt;"")*(COLUMN(AC1703:AE1703)-(COLUMN(AC1703)-1))))-1),"")</f>
        <v>45657</v>
      </c>
      <c r="L1703" s="17" t="str">
        <f aca="false" t="array" ref="L1703:L1703">IFERROR(INDEX(AC1703:AE1703,IF(COUNTA(AC1703:AE1703)=0,"",MAX((AC1703:AE1703&lt;&gt;"")*(COLUMN(AC1703:AE1703)-(COLUMN(AC1703)-2))))-1),"")</f>
        <v>ARCHIVED</v>
      </c>
      <c r="M1703" s="13" t="n">
        <f aca="true">K1703-TODAY()</f>
        <v>-667</v>
      </c>
      <c r="N1703" s="18" t="s">
        <v>615</v>
      </c>
      <c r="O1703" s="13" t="s">
        <v>7419</v>
      </c>
      <c r="P1703" s="27" t="n">
        <v>211551</v>
      </c>
      <c r="Q1703" s="20" t="s">
        <v>7420</v>
      </c>
      <c r="R1703" s="13" t="s">
        <v>232</v>
      </c>
      <c r="S1703" s="14" t="n">
        <v>31627</v>
      </c>
      <c r="T1703" s="13" t="s">
        <v>40</v>
      </c>
      <c r="U1703" s="13" t="s">
        <v>7421</v>
      </c>
      <c r="V1703" s="13" t="s">
        <v>42</v>
      </c>
      <c r="W1703" s="13" t="s">
        <v>54</v>
      </c>
      <c r="X1703" s="30" t="n">
        <v>87842784980</v>
      </c>
      <c r="Y1703" s="22" t="str">
        <f aca="false">O1703</f>
        <v>TKBM</v>
      </c>
      <c r="Z1703" s="13" t="str">
        <f aca="false">IFERROR(__xludf.dummyfunction("if(BJ1703="""","""",GOOGLETRANSLATE(BJ1703,""auto"",""en""))"),"TKBM")</f>
        <v>TKBM</v>
      </c>
      <c r="AA1703" s="23" t="str">
        <f aca="false">IF(C1703="","", CHOOSE(MONTH(C1703),"January","February","March","April","May","June","July","August","September","October","November","December")&amp;" "&amp;DAY(C1703)&amp;MID("thstndrdth",MIN(9,2*RIGHT(DAY(C1703))*(MOD(DAY(C1703)-11,100)&gt;2)+1),2)&amp;","&amp;TEXT(C1703," yyyy"))</f>
        <v>October 1st,2024</v>
      </c>
      <c r="AB1703" s="15" t="str">
        <f aca="true">IF(S1703="","",DATEDIF(S1703,TODAY(),"Y")&amp;" Tahun, "&amp;DATEDIF(S1703,TODAY(),"YM")&amp;" Bulan, "&amp;DATEDIF(S1703,TODAY(),"MD")&amp;" Hari")</f>
        <v>40 Tahun, 2 Bulan, 26 Hari</v>
      </c>
      <c r="AC1703" s="18" t="n">
        <v>45566</v>
      </c>
      <c r="AD1703" s="18" t="n">
        <v>45657</v>
      </c>
      <c r="AE1703" s="18" t="s">
        <v>44</v>
      </c>
    </row>
    <row r="1704" customFormat="false" ht="15" hidden="false" customHeight="true" outlineLevel="0" collapsed="false">
      <c r="A1704" s="12" t="n">
        <v>17859</v>
      </c>
      <c r="B1704" s="13" t="s">
        <v>7422</v>
      </c>
      <c r="C1704" s="14" t="n">
        <v>45566</v>
      </c>
      <c r="D1704" s="13" t="s">
        <v>7418</v>
      </c>
      <c r="E1704" s="15" t="s">
        <v>47</v>
      </c>
      <c r="F1704" s="15" t="str">
        <f aca="false">IFERROR(__xludf.dummyfunction("XLOOKUP(AJ1704,IMPORTRANGE(""1XaInW9DU9nz21V0tYIfzFQ0He9kVQ_JF2mCXgZ3hqFA"",""REKAP ALL 2026 - Andika!G:G""),IMPORTRANGE(""1XaInW9DU9nz21V0tYIfzFQ0He9kVQ_JF2mCXgZ3hqFA"",""REKAP ALL 2026 - Andika!F:F""),"""",0)"),"25157579910")</f>
        <v>25157579910</v>
      </c>
      <c r="G1704" s="13" t="s">
        <v>2809</v>
      </c>
      <c r="H1704" s="13" t="s">
        <v>3024</v>
      </c>
      <c r="I1704" s="13" t="str">
        <f aca="false">IF(C1704=J1704,"NEW KONTRAK","RE-KONTRAK")</f>
        <v>NEW KONTRAK</v>
      </c>
      <c r="J1704" s="16" t="n">
        <f aca="false" t="array" ref="J1704:J1704">IFERROR(INDEX(AC1704:AE1704,IF(COUNTA(AC1704:AE1704)=0,"",MAX((AC1704:AE1704&lt;&gt;"")*(COLUMN(AC1704:AE1704)-(COLUMN(AC1704)))))-1),"")</f>
        <v>45566</v>
      </c>
      <c r="K1704" s="16" t="n">
        <f aca="false" t="array" ref="K1704:K1704">IFERROR(INDEX(AC1704:AE1704,IF(COUNTA(AC1704:AE1704)=0,"",MAX((AC1704:AE1704&lt;&gt;"")*(COLUMN(AC1704:AE1704)-(COLUMN(AC1704)-1))))-1),"")</f>
        <v>45657</v>
      </c>
      <c r="L1704" s="17" t="str">
        <f aca="false" t="array" ref="L1704:L1704">IFERROR(INDEX(AC1704:AE1704,IF(COUNTA(AC1704:AE1704)=0,"",MAX((AC1704:AE1704&lt;&gt;"")*(COLUMN(AC1704:AE1704)-(COLUMN(AC1704)-2))))-1),"")</f>
        <v>ARCHIVED</v>
      </c>
      <c r="M1704" s="13" t="n">
        <f aca="true">K1704-TODAY()</f>
        <v>-667</v>
      </c>
      <c r="N1704" s="18" t="s">
        <v>615</v>
      </c>
      <c r="O1704" s="13" t="s">
        <v>7419</v>
      </c>
      <c r="P1704" s="27" t="n">
        <v>211551</v>
      </c>
      <c r="Q1704" s="20" t="s">
        <v>7423</v>
      </c>
      <c r="R1704" s="13" t="s">
        <v>227</v>
      </c>
      <c r="S1704" s="14" t="n">
        <v>32277</v>
      </c>
      <c r="T1704" s="13" t="s">
        <v>40</v>
      </c>
      <c r="U1704" s="13" t="s">
        <v>7424</v>
      </c>
      <c r="V1704" s="13" t="s">
        <v>42</v>
      </c>
      <c r="W1704" s="13" t="s">
        <v>54</v>
      </c>
      <c r="X1704" s="30" t="n">
        <v>85712411824</v>
      </c>
      <c r="Y1704" s="22" t="str">
        <f aca="false">O1704</f>
        <v>TKBM</v>
      </c>
      <c r="Z1704" s="13" t="str">
        <f aca="false">IFERROR(__xludf.dummyfunction("if(BJ1704="""","""",GOOGLETRANSLATE(BJ1704,""auto"",""en""))"),"TKBM")</f>
        <v>TKBM</v>
      </c>
      <c r="AA1704" s="23" t="str">
        <f aca="false">IF(C1704="","", CHOOSE(MONTH(C1704),"January","February","March","April","May","June","July","August","September","October","November","December")&amp;" "&amp;DAY(C1704)&amp;MID("thstndrdth",MIN(9,2*RIGHT(DAY(C1704))*(MOD(DAY(C1704)-11,100)&gt;2)+1),2)&amp;","&amp;TEXT(C1704," yyyy"))</f>
        <v>October 1st,2024</v>
      </c>
      <c r="AB1704" s="15" t="str">
        <f aca="true">IF(S1704="","",DATEDIF(S1704,TODAY(),"Y")&amp;" Tahun, "&amp;DATEDIF(S1704,TODAY(),"YM")&amp;" Bulan, "&amp;DATEDIF(S1704,TODAY(),"MD")&amp;" Hari")</f>
        <v>38 Tahun, 5 Bulan, 15 Hari</v>
      </c>
      <c r="AC1704" s="18" t="n">
        <v>45566</v>
      </c>
      <c r="AD1704" s="18" t="n">
        <v>45657</v>
      </c>
      <c r="AE1704" s="18" t="s">
        <v>44</v>
      </c>
    </row>
    <row r="1705" customFormat="false" ht="15" hidden="false" customHeight="true" outlineLevel="0" collapsed="false">
      <c r="A1705" s="12" t="n">
        <v>17860</v>
      </c>
      <c r="B1705" s="13" t="s">
        <v>7425</v>
      </c>
      <c r="C1705" s="14" t="n">
        <v>45566</v>
      </c>
      <c r="D1705" s="13" t="s">
        <v>7418</v>
      </c>
      <c r="E1705" s="15" t="s">
        <v>47</v>
      </c>
      <c r="F1705" s="15" t="str">
        <f aca="false">IFERROR(__xludf.dummyfunction("XLOOKUP(AJ1705,IMPORTRANGE(""1XaInW9DU9nz21V0tYIfzFQ0He9kVQ_JF2mCXgZ3hqFA"",""REKAP ALL 2026 - Andika!G:G""),IMPORTRANGE(""1XaInW9DU9nz21V0tYIfzFQ0He9kVQ_JF2mCXgZ3hqFA"",""REKAP ALL 2026 - Andika!F:F""),"""",0)"),"25157579936")</f>
        <v>25157579936</v>
      </c>
      <c r="G1705" s="13" t="s">
        <v>2809</v>
      </c>
      <c r="H1705" s="13" t="s">
        <v>3024</v>
      </c>
      <c r="I1705" s="13" t="str">
        <f aca="false">IF(C1705=J1705,"NEW KONTRAK","RE-KONTRAK")</f>
        <v>NEW KONTRAK</v>
      </c>
      <c r="J1705" s="16" t="n">
        <f aca="false" t="array" ref="J1705:J1705">IFERROR(INDEX(AC1705:AE1705,IF(COUNTA(AC1705:AE1705)=0,"",MAX((AC1705:AE1705&lt;&gt;"")*(COLUMN(AC1705:AE1705)-(COLUMN(AC1705)))))-1),"")</f>
        <v>45566</v>
      </c>
      <c r="K1705" s="16" t="n">
        <f aca="false" t="array" ref="K1705:K1705">IFERROR(INDEX(AC1705:AE1705,IF(COUNTA(AC1705:AE1705)=0,"",MAX((AC1705:AE1705&lt;&gt;"")*(COLUMN(AC1705:AE1705)-(COLUMN(AC1705)-1))))-1),"")</f>
        <v>45657</v>
      </c>
      <c r="L1705" s="17" t="str">
        <f aca="false" t="array" ref="L1705:L1705">IFERROR(INDEX(AC1705:AE1705,IF(COUNTA(AC1705:AE1705)=0,"",MAX((AC1705:AE1705&lt;&gt;"")*(COLUMN(AC1705:AE1705)-(COLUMN(AC1705)-2))))-1),"")</f>
        <v>ARCHIVED</v>
      </c>
      <c r="M1705" s="13" t="n">
        <f aca="true">K1705-TODAY()</f>
        <v>-667</v>
      </c>
      <c r="N1705" s="18" t="s">
        <v>615</v>
      </c>
      <c r="O1705" s="13" t="s">
        <v>7419</v>
      </c>
      <c r="P1705" s="27" t="n">
        <v>211551</v>
      </c>
      <c r="Q1705" s="20" t="s">
        <v>7426</v>
      </c>
      <c r="R1705" s="13" t="s">
        <v>1695</v>
      </c>
      <c r="S1705" s="14" t="n">
        <v>35247</v>
      </c>
      <c r="T1705" s="13" t="s">
        <v>40</v>
      </c>
      <c r="U1705" s="13" t="s">
        <v>7427</v>
      </c>
      <c r="V1705" s="13" t="s">
        <v>42</v>
      </c>
      <c r="W1705" s="13" t="s">
        <v>43</v>
      </c>
      <c r="X1705" s="30" t="n">
        <v>85793534874</v>
      </c>
      <c r="Y1705" s="22" t="str">
        <f aca="false">O1705</f>
        <v>TKBM</v>
      </c>
      <c r="Z1705" s="13" t="str">
        <f aca="false">IFERROR(__xludf.dummyfunction("if(BJ1705="""","""",GOOGLETRANSLATE(BJ1705,""auto"",""en""))"),"TKBM")</f>
        <v>TKBM</v>
      </c>
      <c r="AA1705" s="23" t="str">
        <f aca="false">IF(C1705="","", CHOOSE(MONTH(C1705),"January","February","March","April","May","June","July","August","September","October","November","December")&amp;" "&amp;DAY(C1705)&amp;MID("thstndrdth",MIN(9,2*RIGHT(DAY(C1705))*(MOD(DAY(C1705)-11,100)&gt;2)+1),2)&amp;","&amp;TEXT(C1705," yyyy"))</f>
        <v>October 1st,2024</v>
      </c>
      <c r="AB1705" s="15" t="str">
        <f aca="true">IF(S1705="","",DATEDIF(S1705,TODAY(),"Y")&amp;" Tahun, "&amp;DATEDIF(S1705,TODAY(),"YM")&amp;" Bulan, "&amp;DATEDIF(S1705,TODAY(),"MD")&amp;" Hari")</f>
        <v>30 Tahun, 3 Bulan, 28 Hari</v>
      </c>
      <c r="AC1705" s="18" t="n">
        <v>45566</v>
      </c>
      <c r="AD1705" s="18" t="n">
        <v>45657</v>
      </c>
      <c r="AE1705" s="18" t="s">
        <v>44</v>
      </c>
    </row>
    <row r="1706" customFormat="false" ht="15" hidden="false" customHeight="true" outlineLevel="0" collapsed="false">
      <c r="A1706" s="12" t="n">
        <v>17861</v>
      </c>
      <c r="B1706" s="13" t="s">
        <v>7428</v>
      </c>
      <c r="C1706" s="14" t="n">
        <v>45566</v>
      </c>
      <c r="D1706" s="13" t="s">
        <v>7418</v>
      </c>
      <c r="E1706" s="15" t="s">
        <v>47</v>
      </c>
      <c r="F1706" s="15" t="str">
        <f aca="false">IFERROR(__xludf.dummyfunction("XLOOKUP(AJ1706,IMPORTRANGE(""1XaInW9DU9nz21V0tYIfzFQ0He9kVQ_JF2mCXgZ3hqFA"",""REKAP ALL 2026 - Andika!G:G""),IMPORTRANGE(""1XaInW9DU9nz21V0tYIfzFQ0He9kVQ_JF2mCXgZ3hqFA"",""REKAP ALL 2026 - Andika!F:F""),"""",0)"),"25157579951")</f>
        <v>25157579951</v>
      </c>
      <c r="G1706" s="13" t="s">
        <v>2809</v>
      </c>
      <c r="H1706" s="13" t="s">
        <v>3024</v>
      </c>
      <c r="I1706" s="13" t="str">
        <f aca="false">IF(C1706=J1706,"NEW KONTRAK","RE-KONTRAK")</f>
        <v>NEW KONTRAK</v>
      </c>
      <c r="J1706" s="16" t="n">
        <f aca="false" t="array" ref="J1706:J1706">IFERROR(INDEX(AC1706:AE1706,IF(COUNTA(AC1706:AE1706)=0,"",MAX((AC1706:AE1706&lt;&gt;"")*(COLUMN(AC1706:AE1706)-(COLUMN(AC1706)))))-1),"")</f>
        <v>45566</v>
      </c>
      <c r="K1706" s="16" t="n">
        <f aca="false" t="array" ref="K1706:K1706">IFERROR(INDEX(AC1706:AE1706,IF(COUNTA(AC1706:AE1706)=0,"",MAX((AC1706:AE1706&lt;&gt;"")*(COLUMN(AC1706:AE1706)-(COLUMN(AC1706)-1))))-1),"")</f>
        <v>45657</v>
      </c>
      <c r="L1706" s="17" t="str">
        <f aca="false" t="array" ref="L1706:L1706">IFERROR(INDEX(AC1706:AE1706,IF(COUNTA(AC1706:AE1706)=0,"",MAX((AC1706:AE1706&lt;&gt;"")*(COLUMN(AC1706:AE1706)-(COLUMN(AC1706)-2))))-1),"")</f>
        <v>ARCHIVED</v>
      </c>
      <c r="M1706" s="13" t="n">
        <f aca="true">K1706-TODAY()</f>
        <v>-667</v>
      </c>
      <c r="N1706" s="18" t="s">
        <v>615</v>
      </c>
      <c r="O1706" s="13" t="s">
        <v>7419</v>
      </c>
      <c r="P1706" s="27" t="n">
        <v>211551</v>
      </c>
      <c r="Q1706" s="20" t="s">
        <v>7429</v>
      </c>
      <c r="R1706" s="13" t="s">
        <v>227</v>
      </c>
      <c r="S1706" s="14" t="n">
        <v>34170</v>
      </c>
      <c r="T1706" s="13" t="s">
        <v>40</v>
      </c>
      <c r="U1706" s="13" t="s">
        <v>7430</v>
      </c>
      <c r="V1706" s="13" t="s">
        <v>42</v>
      </c>
      <c r="W1706" s="13" t="s">
        <v>54</v>
      </c>
      <c r="X1706" s="30" t="n">
        <v>81216400524</v>
      </c>
      <c r="Y1706" s="22" t="str">
        <f aca="false">O1706</f>
        <v>TKBM</v>
      </c>
      <c r="Z1706" s="13" t="str">
        <f aca="false">IFERROR(__xludf.dummyfunction("if(BJ1706="""","""",GOOGLETRANSLATE(BJ1706,""auto"",""en""))"),"TKBM")</f>
        <v>TKBM</v>
      </c>
      <c r="AA1706" s="23" t="str">
        <f aca="false">IF(C1706="","", CHOOSE(MONTH(C1706),"January","February","March","April","May","June","July","August","September","October","November","December")&amp;" "&amp;DAY(C1706)&amp;MID("thstndrdth",MIN(9,2*RIGHT(DAY(C1706))*(MOD(DAY(C1706)-11,100)&gt;2)+1),2)&amp;","&amp;TEXT(C1706," yyyy"))</f>
        <v>October 1st,2024</v>
      </c>
      <c r="AB1706" s="15" t="str">
        <f aca="true">IF(S1706="","",DATEDIF(S1706,TODAY(),"Y")&amp;" Tahun, "&amp;DATEDIF(S1706,TODAY(),"YM")&amp;" Bulan, "&amp;DATEDIF(S1706,TODAY(),"MD")&amp;" Hari")</f>
        <v>33 Tahun, 3 Bulan, 9 Hari</v>
      </c>
      <c r="AC1706" s="18" t="n">
        <v>45566</v>
      </c>
      <c r="AD1706" s="18" t="n">
        <v>45657</v>
      </c>
      <c r="AE1706" s="18" t="s">
        <v>44</v>
      </c>
    </row>
    <row r="1707" customFormat="false" ht="15" hidden="false" customHeight="true" outlineLevel="0" collapsed="false">
      <c r="A1707" s="12" t="n">
        <v>17862</v>
      </c>
      <c r="B1707" s="13" t="s">
        <v>7431</v>
      </c>
      <c r="C1707" s="14" t="n">
        <v>45566</v>
      </c>
      <c r="D1707" s="13" t="s">
        <v>7418</v>
      </c>
      <c r="E1707" s="15" t="s">
        <v>47</v>
      </c>
      <c r="F1707" s="15" t="str">
        <f aca="false">IFERROR(__xludf.dummyfunction("XLOOKUP(AJ1707,IMPORTRANGE(""1XaInW9DU9nz21V0tYIfzFQ0He9kVQ_JF2mCXgZ3hqFA"",""REKAP ALL 2026 - Andika!G:G""),IMPORTRANGE(""1XaInW9DU9nz21V0tYIfzFQ0He9kVQ_JF2mCXgZ3hqFA"",""REKAP ALL 2026 - Andika!F:F""),"""",0)"),"25157579977")</f>
        <v>25157579977</v>
      </c>
      <c r="G1707" s="13" t="s">
        <v>2809</v>
      </c>
      <c r="H1707" s="13" t="s">
        <v>3024</v>
      </c>
      <c r="I1707" s="13" t="str">
        <f aca="false">IF(C1707=J1707,"NEW KONTRAK","RE-KONTRAK")</f>
        <v>NEW KONTRAK</v>
      </c>
      <c r="J1707" s="16" t="n">
        <f aca="false" t="array" ref="J1707:J1707">IFERROR(INDEX(AC1707:AE1707,IF(COUNTA(AC1707:AE1707)=0,"",MAX((AC1707:AE1707&lt;&gt;"")*(COLUMN(AC1707:AE1707)-(COLUMN(AC1707)))))-1),"")</f>
        <v>45566</v>
      </c>
      <c r="K1707" s="16" t="n">
        <f aca="false" t="array" ref="K1707:K1707">IFERROR(INDEX(AC1707:AE1707,IF(COUNTA(AC1707:AE1707)=0,"",MAX((AC1707:AE1707&lt;&gt;"")*(COLUMN(AC1707:AE1707)-(COLUMN(AC1707)-1))))-1),"")</f>
        <v>45657</v>
      </c>
      <c r="L1707" s="17" t="str">
        <f aca="false" t="array" ref="L1707:L1707">IFERROR(INDEX(AC1707:AE1707,IF(COUNTA(AC1707:AE1707)=0,"",MAX((AC1707:AE1707&lt;&gt;"")*(COLUMN(AC1707:AE1707)-(COLUMN(AC1707)-2))))-1),"")</f>
        <v>ARCHIVED</v>
      </c>
      <c r="M1707" s="13" t="n">
        <f aca="true">K1707-TODAY()</f>
        <v>-667</v>
      </c>
      <c r="N1707" s="18" t="s">
        <v>615</v>
      </c>
      <c r="O1707" s="13" t="s">
        <v>7419</v>
      </c>
      <c r="P1707" s="27" t="n">
        <v>211551</v>
      </c>
      <c r="Q1707" s="20" t="s">
        <v>7432</v>
      </c>
      <c r="R1707" s="13" t="s">
        <v>227</v>
      </c>
      <c r="S1707" s="14" t="n">
        <v>31594</v>
      </c>
      <c r="T1707" s="13" t="s">
        <v>40</v>
      </c>
      <c r="U1707" s="13" t="s">
        <v>7433</v>
      </c>
      <c r="V1707" s="13" t="s">
        <v>42</v>
      </c>
      <c r="W1707" s="13" t="s">
        <v>54</v>
      </c>
      <c r="X1707" s="30" t="n">
        <v>82378680112</v>
      </c>
      <c r="Y1707" s="22" t="str">
        <f aca="false">O1707</f>
        <v>TKBM</v>
      </c>
      <c r="Z1707" s="13" t="str">
        <f aca="false">IFERROR(__xludf.dummyfunction("if(BJ1707="""","""",GOOGLETRANSLATE(BJ1707,""auto"",""en""))"),"TKBM")</f>
        <v>TKBM</v>
      </c>
      <c r="AA1707" s="23" t="str">
        <f aca="false">IF(C1707="","", CHOOSE(MONTH(C1707),"January","February","March","April","May","June","July","August","September","October","November","December")&amp;" "&amp;DAY(C1707)&amp;MID("thstndrdth",MIN(9,2*RIGHT(DAY(C1707))*(MOD(DAY(C1707)-11,100)&gt;2)+1),2)&amp;","&amp;TEXT(C1707," yyyy"))</f>
        <v>October 1st,2024</v>
      </c>
      <c r="AB1707" s="15" t="str">
        <f aca="true">IF(S1707="","",DATEDIF(S1707,TODAY(),"Y")&amp;" Tahun, "&amp;DATEDIF(S1707,TODAY(),"YM")&amp;" Bulan, "&amp;DATEDIF(S1707,TODAY(),"MD")&amp;" Hari")</f>
        <v>40 Tahun, 3 Bulan, 28 Hari</v>
      </c>
      <c r="AC1707" s="18" t="n">
        <v>45566</v>
      </c>
      <c r="AD1707" s="18" t="n">
        <v>45657</v>
      </c>
      <c r="AE1707" s="18" t="s">
        <v>44</v>
      </c>
    </row>
    <row r="1708" customFormat="false" ht="15" hidden="false" customHeight="true" outlineLevel="0" collapsed="false">
      <c r="A1708" s="12" t="n">
        <v>17863</v>
      </c>
      <c r="B1708" s="13" t="s">
        <v>7434</v>
      </c>
      <c r="C1708" s="14" t="n">
        <v>45566</v>
      </c>
      <c r="D1708" s="13" t="s">
        <v>7418</v>
      </c>
      <c r="E1708" s="15" t="s">
        <v>47</v>
      </c>
      <c r="F1708" s="15" t="str">
        <f aca="false">IFERROR(__xludf.dummyfunction("XLOOKUP(AJ1708,IMPORTRANGE(""1XaInW9DU9nz21V0tYIfzFQ0He9kVQ_JF2mCXgZ3hqFA"",""REKAP ALL 2026 - Andika!G:G""),IMPORTRANGE(""1XaInW9DU9nz21V0tYIfzFQ0He9kVQ_JF2mCXgZ3hqFA"",""REKAP ALL 2026 - Andika!F:F""),"""",0)"),"25157579993")</f>
        <v>25157579993</v>
      </c>
      <c r="G1708" s="13" t="s">
        <v>2809</v>
      </c>
      <c r="H1708" s="13" t="s">
        <v>3024</v>
      </c>
      <c r="I1708" s="13" t="str">
        <f aca="false">IF(C1708=J1708,"NEW KONTRAK","RE-KONTRAK")</f>
        <v>NEW KONTRAK</v>
      </c>
      <c r="J1708" s="16" t="n">
        <f aca="false" t="array" ref="J1708:J1708">IFERROR(INDEX(AC1708:AE1708,IF(COUNTA(AC1708:AE1708)=0,"",MAX((AC1708:AE1708&lt;&gt;"")*(COLUMN(AC1708:AE1708)-(COLUMN(AC1708)))))-1),"")</f>
        <v>45566</v>
      </c>
      <c r="K1708" s="16" t="n">
        <f aca="false" t="array" ref="K1708:K1708">IFERROR(INDEX(AC1708:AE1708,IF(COUNTA(AC1708:AE1708)=0,"",MAX((AC1708:AE1708&lt;&gt;"")*(COLUMN(AC1708:AE1708)-(COLUMN(AC1708)-1))))-1),"")</f>
        <v>45657</v>
      </c>
      <c r="L1708" s="17" t="str">
        <f aca="false" t="array" ref="L1708:L1708">IFERROR(INDEX(AC1708:AE1708,IF(COUNTA(AC1708:AE1708)=0,"",MAX((AC1708:AE1708&lt;&gt;"")*(COLUMN(AC1708:AE1708)-(COLUMN(AC1708)-2))))-1),"")</f>
        <v>ARCHIVED</v>
      </c>
      <c r="M1708" s="13" t="n">
        <f aca="true">K1708-TODAY()</f>
        <v>-667</v>
      </c>
      <c r="N1708" s="18" t="s">
        <v>615</v>
      </c>
      <c r="O1708" s="13" t="s">
        <v>7419</v>
      </c>
      <c r="P1708" s="27" t="n">
        <v>211551</v>
      </c>
      <c r="Q1708" s="20" t="s">
        <v>7435</v>
      </c>
      <c r="R1708" s="13" t="s">
        <v>1695</v>
      </c>
      <c r="S1708" s="14" t="n">
        <v>34579</v>
      </c>
      <c r="T1708" s="13" t="s">
        <v>40</v>
      </c>
      <c r="U1708" s="13" t="s">
        <v>7430</v>
      </c>
      <c r="V1708" s="13" t="s">
        <v>42</v>
      </c>
      <c r="W1708" s="13" t="s">
        <v>54</v>
      </c>
      <c r="X1708" s="30" t="n">
        <v>81259826204</v>
      </c>
      <c r="Y1708" s="22" t="str">
        <f aca="false">O1708</f>
        <v>TKBM</v>
      </c>
      <c r="Z1708" s="13" t="str">
        <f aca="false">IFERROR(__xludf.dummyfunction("if(BJ1708="""","""",GOOGLETRANSLATE(BJ1708,""auto"",""en""))"),"TKBM")</f>
        <v>TKBM</v>
      </c>
      <c r="AA1708" s="23" t="str">
        <f aca="false">IF(C1708="","", CHOOSE(MONTH(C1708),"January","February","March","April","May","June","July","August","September","October","November","December")&amp;" "&amp;DAY(C1708)&amp;MID("thstndrdth",MIN(9,2*RIGHT(DAY(C1708))*(MOD(DAY(C1708)-11,100)&gt;2)+1),2)&amp;","&amp;TEXT(C1708," yyyy"))</f>
        <v>October 1st,2024</v>
      </c>
      <c r="AB1708" s="15" t="str">
        <f aca="true">IF(S1708="","",DATEDIF(S1708,TODAY(),"Y")&amp;" Tahun, "&amp;DATEDIF(S1708,TODAY(),"YM")&amp;" Bulan, "&amp;DATEDIF(S1708,TODAY(),"MD")&amp;" Hari")</f>
        <v>32 Tahun, 1 Bulan, 27 Hari</v>
      </c>
      <c r="AC1708" s="18" t="n">
        <v>45566</v>
      </c>
      <c r="AD1708" s="18" t="n">
        <v>45657</v>
      </c>
      <c r="AE1708" s="18" t="s">
        <v>44</v>
      </c>
    </row>
    <row r="1709" customFormat="false" ht="15" hidden="false" customHeight="true" outlineLevel="0" collapsed="false">
      <c r="A1709" s="12" t="n">
        <v>17865</v>
      </c>
      <c r="B1709" s="13" t="s">
        <v>7436</v>
      </c>
      <c r="C1709" s="14" t="n">
        <v>45608</v>
      </c>
      <c r="D1709" s="13" t="s">
        <v>144</v>
      </c>
      <c r="E1709" s="15" t="s">
        <v>33</v>
      </c>
      <c r="F1709" s="24" t="s">
        <v>7437</v>
      </c>
      <c r="G1709" s="15" t="s">
        <v>7438</v>
      </c>
      <c r="H1709" s="13" t="s">
        <v>35</v>
      </c>
      <c r="I1709" s="13" t="str">
        <f aca="false">IF(C1709=J1709,"NEW KONTRAK","RE-KONTRAK")</f>
        <v>RE-KONTRAK</v>
      </c>
      <c r="J1709" s="16" t="n">
        <f aca="false" t="array" ref="J1709:J1709">IFERROR(INDEX(AC1709:AE1709,IF(COUNTA(AC1709:AE1709)=0,"",MAX((AC1709:AE1709&lt;&gt;"")*(COLUMN(AC1709:AE1709)-(COLUMN(AC1709)))))-1),"")</f>
        <v>45658</v>
      </c>
      <c r="K1709" s="16" t="n">
        <f aca="false" t="array" ref="K1709:K1709">IFERROR(INDEX(AC1709:AE1709,IF(COUNTA(AC1709:AE1709)=0,"",MAX((AC1709:AE1709&lt;&gt;"")*(COLUMN(AC1709:AE1709)-(COLUMN(AC1709)-1))))-1),"")</f>
        <v>46022</v>
      </c>
      <c r="L1709" s="17" t="str">
        <f aca="false" t="array" ref="L1709:L1709">IFERROR(INDEX(AC1709:AE1709,IF(COUNTA(AC1709:AE1709)=0,"",MAX((AC1709:AE1709&lt;&gt;"")*(COLUMN(AC1709:AE1709)-(COLUMN(AC1709)-2))))-1),"")</f>
        <v>ARCHIVED</v>
      </c>
      <c r="M1709" s="13" t="n">
        <f aca="true">K1709-TODAY()</f>
        <v>-302</v>
      </c>
      <c r="N1709" s="18" t="s">
        <v>36</v>
      </c>
      <c r="O1709" s="13" t="s">
        <v>7439</v>
      </c>
      <c r="P1709" s="19" t="n">
        <v>5195401</v>
      </c>
      <c r="Q1709" s="20" t="s">
        <v>7440</v>
      </c>
      <c r="R1709" s="13" t="s">
        <v>246</v>
      </c>
      <c r="S1709" s="14" t="n">
        <v>35901</v>
      </c>
      <c r="T1709" s="13" t="s">
        <v>108</v>
      </c>
      <c r="U1709" s="13" t="s">
        <v>7441</v>
      </c>
      <c r="V1709" s="13" t="s">
        <v>42</v>
      </c>
      <c r="W1709" s="13" t="s">
        <v>54</v>
      </c>
      <c r="X1709" s="21" t="n">
        <v>85745417299</v>
      </c>
      <c r="Y1709" s="22" t="str">
        <f aca="false">O1709</f>
        <v>Admin Marketing</v>
      </c>
      <c r="Z1709" s="13" t="str">
        <f aca="false">IFERROR(__xludf.dummyfunction("if(BJ1709="""","""",GOOGLETRANSLATE(BJ1709,""auto"",""en""))"),"Admin Marketing")</f>
        <v>Admin Marketing</v>
      </c>
      <c r="AA1709" s="23" t="str">
        <f aca="false">IF(C1709="","", CHOOSE(MONTH(C1709),"January","February","March","April","May","June","July","August","September","October","November","December")&amp;" "&amp;DAY(C1709)&amp;MID("thstndrdth",MIN(9,2*RIGHT(DAY(C1709))*(MOD(DAY(C1709)-11,100)&gt;2)+1),2)&amp;","&amp;TEXT(C1709," yyyy"))</f>
        <v>November 12th,2024</v>
      </c>
      <c r="AB1709" s="15" t="str">
        <f aca="true">IF(S1709="","",DATEDIF(S1709,TODAY(),"Y")&amp;" Tahun, "&amp;DATEDIF(S1709,TODAY(),"YM")&amp;" Bulan, "&amp;DATEDIF(S1709,TODAY(),"MD")&amp;" Hari")</f>
        <v>28 Tahun, 6 Bulan, 13 Hari</v>
      </c>
      <c r="AC1709" s="18" t="n">
        <v>45658</v>
      </c>
      <c r="AD1709" s="18" t="n">
        <v>46022</v>
      </c>
      <c r="AE1709" s="18" t="s">
        <v>44</v>
      </c>
    </row>
    <row r="1710" customFormat="false" ht="15" hidden="false" customHeight="true" outlineLevel="0" collapsed="false">
      <c r="A1710" s="12" t="n">
        <v>17873</v>
      </c>
      <c r="B1710" s="13" t="s">
        <v>7442</v>
      </c>
      <c r="C1710" s="14" t="n">
        <v>45614</v>
      </c>
      <c r="D1710" s="13" t="s">
        <v>404</v>
      </c>
      <c r="E1710" s="15" t="s">
        <v>47</v>
      </c>
      <c r="F1710" s="15" t="str">
        <f aca="false">IFERROR(__xludf.dummyfunction("XLOOKUP(AJ1710,IMPORTRANGE(""1XaInW9DU9nz21V0tYIfzFQ0He9kVQ_JF2mCXgZ3hqFA"",""REKAP ALL 2026 - Andika!G:G""),IMPORTRANGE(""1XaInW9DU9nz21V0tYIfzFQ0He9kVQ_JF2mCXgZ3hqFA"",""REKAP ALL 2026 - Andika!F:F""),"""",0)"),"24195982525")</f>
        <v>24195982525</v>
      </c>
      <c r="G1710" s="15" t="s">
        <v>7443</v>
      </c>
      <c r="H1710" s="13" t="s">
        <v>35</v>
      </c>
      <c r="I1710" s="13" t="str">
        <f aca="false">IF(C1710=J1710,"NEW KONTRAK","RE-KONTRAK")</f>
        <v>RE-KONTRAK</v>
      </c>
      <c r="J1710" s="16" t="n">
        <f aca="false" t="array" ref="J1710:J1710">IFERROR(INDEX(AC1710:AE1710,IF(COUNTA(AC1710:AE1710)=0,"",MAX((AC1710:AE1710&lt;&gt;"")*(COLUMN(AC1710:AE1710)-(COLUMN(AC1710)))))-1),"")</f>
        <v>45658</v>
      </c>
      <c r="K1710" s="16" t="n">
        <f aca="false" t="array" ref="K1710:K1710">IFERROR(INDEX(AC1710:AE1710,IF(COUNTA(AC1710:AE1710)=0,"",MAX((AC1710:AE1710&lt;&gt;"")*(COLUMN(AC1710:AE1710)-(COLUMN(AC1710)-1))))-1),"")</f>
        <v>46022</v>
      </c>
      <c r="L1710" s="17" t="str">
        <f aca="false" t="array" ref="L1710:L1710">IFERROR(INDEX(AC1710:AE1710,IF(COUNTA(AC1710:AE1710)=0,"",MAX((AC1710:AE1710&lt;&gt;"")*(COLUMN(AC1710:AE1710)-(COLUMN(AC1710)-2))))-1),"")</f>
        <v>ARCHIVED</v>
      </c>
      <c r="M1710" s="13" t="n">
        <f aca="true">K1710-TODAY()</f>
        <v>-302</v>
      </c>
      <c r="N1710" s="18" t="s">
        <v>36</v>
      </c>
      <c r="O1710" s="13" t="s">
        <v>406</v>
      </c>
      <c r="P1710" s="26" t="n">
        <v>5195401</v>
      </c>
      <c r="Q1710" s="20" t="s">
        <v>7444</v>
      </c>
      <c r="R1710" s="13" t="s">
        <v>65</v>
      </c>
      <c r="S1710" s="14" t="n">
        <v>36973</v>
      </c>
      <c r="T1710" s="13" t="s">
        <v>40</v>
      </c>
      <c r="U1710" s="13" t="s">
        <v>7445</v>
      </c>
      <c r="V1710" s="13" t="s">
        <v>42</v>
      </c>
      <c r="W1710" s="13" t="s">
        <v>43</v>
      </c>
      <c r="X1710" s="21" t="n">
        <v>81337555711</v>
      </c>
      <c r="Y1710" s="22" t="str">
        <f aca="false">O1710</f>
        <v>Utility</v>
      </c>
      <c r="Z1710" s="13" t="str">
        <f aca="false">IFERROR(__xludf.dummyfunction("if(BJ1710="""","""",GOOGLETRANSLATE(BJ1710,""auto"",""en""))"),"Utility")</f>
        <v>Utility</v>
      </c>
      <c r="AA1710" s="23" t="str">
        <f aca="false">IF(C1710="","", CHOOSE(MONTH(C1710),"January","February","March","April","May","June","July","August","September","October","November","December")&amp;" "&amp;DAY(C1710)&amp;MID("thstndrdth",MIN(9,2*RIGHT(DAY(C1710))*(MOD(DAY(C1710)-11,100)&gt;2)+1),2)&amp;","&amp;TEXT(C1710," yyyy"))</f>
        <v>November 18th,2024</v>
      </c>
      <c r="AB1710" s="15" t="str">
        <f aca="true">IF(S1710="","",DATEDIF(S1710,TODAY(),"Y")&amp;" Tahun, "&amp;DATEDIF(S1710,TODAY(),"YM")&amp;" Bulan, "&amp;DATEDIF(S1710,TODAY(),"MD")&amp;" Hari")</f>
        <v>25 Tahun, 7 Bulan, 6 Hari</v>
      </c>
      <c r="AC1710" s="18" t="n">
        <v>45658</v>
      </c>
      <c r="AD1710" s="18" t="n">
        <v>46022</v>
      </c>
      <c r="AE1710" s="18" t="s">
        <v>44</v>
      </c>
    </row>
    <row r="1711" customFormat="false" ht="15" hidden="false" customHeight="true" outlineLevel="0" collapsed="false">
      <c r="A1711" s="12" t="n">
        <v>17878</v>
      </c>
      <c r="B1711" s="13" t="s">
        <v>7446</v>
      </c>
      <c r="C1711" s="14" t="n">
        <v>45597</v>
      </c>
      <c r="D1711" s="13" t="s">
        <v>5526</v>
      </c>
      <c r="E1711" s="15" t="s">
        <v>102</v>
      </c>
      <c r="F1711" s="15" t="str">
        <f aca="false">IFERROR(__xludf.dummyfunction("XLOOKUP(AJ1711,IMPORTRANGE(""1XaInW9DU9nz21V0tYIfzFQ0He9kVQ_JF2mCXgZ3hqFA"",""REKAP ALL 2026 - Andika!G:G""),IMPORTRANGE(""1XaInW9DU9nz21V0tYIfzFQ0He9kVQ_JF2mCXgZ3hqFA"",""REKAP ALL 2026 - Andika!F:F""),"""",0)"),"24195984455")</f>
        <v>24195984455</v>
      </c>
      <c r="G1711" s="15" t="s">
        <v>7447</v>
      </c>
      <c r="H1711" s="13" t="s">
        <v>35</v>
      </c>
      <c r="I1711" s="13" t="str">
        <f aca="false">IF(C1711=J1711,"NEW KONTRAK","RE-KONTRAK")</f>
        <v>RE-KONTRAK</v>
      </c>
      <c r="J1711" s="16" t="n">
        <f aca="false" t="array" ref="J1711:J1711">IFERROR(INDEX(AC1711:AE1711,IF(COUNTA(AC1711:AE1711)=0,"",MAX((AC1711:AE1711&lt;&gt;"")*(COLUMN(AC1711:AE1711)-(COLUMN(AC1711)))))-1),"")</f>
        <v>45637</v>
      </c>
      <c r="K1711" s="16" t="n">
        <f aca="false" t="array" ref="K1711:K1711">IFERROR(INDEX(AC1711:AE1711,IF(COUNTA(AC1711:AE1711)=0,"",MAX((AC1711:AE1711&lt;&gt;"")*(COLUMN(AC1711:AE1711)-(COLUMN(AC1711)-1))))-1),"")</f>
        <v>46001</v>
      </c>
      <c r="L1711" s="17" t="str">
        <f aca="false" t="array" ref="L1711:L1711">IFERROR(INDEX(AC1711:AE1711,IF(COUNTA(AC1711:AE1711)=0,"",MAX((AC1711:AE1711&lt;&gt;"")*(COLUMN(AC1711:AE1711)-(COLUMN(AC1711)-2))))-1),"")</f>
        <v>ARCHIVED</v>
      </c>
      <c r="M1711" s="13" t="n">
        <f aca="true">K1711-TODAY()</f>
        <v>-323</v>
      </c>
      <c r="N1711" s="18" t="s">
        <v>615</v>
      </c>
      <c r="O1711" s="13" t="s">
        <v>50</v>
      </c>
      <c r="P1711" s="19" t="n">
        <v>5176101</v>
      </c>
      <c r="Q1711" s="20" t="s">
        <v>7448</v>
      </c>
      <c r="R1711" s="13" t="s">
        <v>52</v>
      </c>
      <c r="S1711" s="14" t="n">
        <v>34395</v>
      </c>
      <c r="T1711" s="13" t="s">
        <v>40</v>
      </c>
      <c r="U1711" s="13" t="s">
        <v>7449</v>
      </c>
      <c r="V1711" s="13" t="s">
        <v>42</v>
      </c>
      <c r="W1711" s="13" t="s">
        <v>54</v>
      </c>
      <c r="X1711" s="21" t="n">
        <v>82230319828</v>
      </c>
      <c r="Y1711" s="22" t="str">
        <f aca="false">O1711</f>
        <v>Driver</v>
      </c>
      <c r="Z1711" s="13" t="str">
        <f aca="false">IFERROR(__xludf.dummyfunction("if(BJ1711="""","""",GOOGLETRANSLATE(BJ1711,""auto"",""en""))"),"Driver")</f>
        <v>Driver</v>
      </c>
      <c r="AA1711" s="23" t="str">
        <f aca="false">IF(C1711="","", CHOOSE(MONTH(C1711),"January","February","March","April","May","June","July","August","September","October","November","December")&amp;" "&amp;DAY(C1711)&amp;MID("thstndrdth",MIN(9,2*RIGHT(DAY(C1711))*(MOD(DAY(C1711)-11,100)&gt;2)+1),2)&amp;","&amp;TEXT(C1711," yyyy"))</f>
        <v>November 1st,2024</v>
      </c>
      <c r="AB1711" s="15" t="str">
        <f aca="true">IF(S1711="","",DATEDIF(S1711,TODAY(),"Y")&amp;" Tahun, "&amp;DATEDIF(S1711,TODAY(),"YM")&amp;" Bulan, "&amp;DATEDIF(S1711,TODAY(),"MD")&amp;" Hari")</f>
        <v>32 Tahun, 7 Bulan, 27 Hari</v>
      </c>
      <c r="AC1711" s="18" t="n">
        <v>45637</v>
      </c>
      <c r="AD1711" s="18" t="n">
        <v>46001</v>
      </c>
      <c r="AE1711" s="18" t="s">
        <v>44</v>
      </c>
    </row>
    <row r="1712" customFormat="false" ht="15" hidden="false" customHeight="true" outlineLevel="0" collapsed="false">
      <c r="A1712" s="12" t="n">
        <v>17882</v>
      </c>
      <c r="B1712" s="13" t="s">
        <v>7450</v>
      </c>
      <c r="C1712" s="14" t="n">
        <v>45607</v>
      </c>
      <c r="D1712" s="13" t="s">
        <v>5791</v>
      </c>
      <c r="E1712" s="15" t="s">
        <v>47</v>
      </c>
      <c r="F1712" s="15" t="str">
        <f aca="false">IFERROR(__xludf.dummyfunction("XLOOKUP(AJ1712,IMPORTRANGE(""1XaInW9DU9nz21V0tYIfzFQ0He9kVQ_JF2mCXgZ3hqFA"",""REKAP ALL 2026 - Andika!G:G""),IMPORTRANGE(""1XaInW9DU9nz21V0tYIfzFQ0He9kVQ_JF2mCXgZ3hqFA"",""REKAP ALL 2026 - Andika!F:F""),"""",0)"),"24195983580")</f>
        <v>24195983580</v>
      </c>
      <c r="G1712" s="15" t="s">
        <v>7451</v>
      </c>
      <c r="H1712" s="13" t="s">
        <v>35</v>
      </c>
      <c r="I1712" s="13" t="str">
        <f aca="false">IF(C1712=J1712,"NEW KONTRAK","RE-KONTRAK")</f>
        <v>RE-KONTRAK</v>
      </c>
      <c r="J1712" s="16" t="n">
        <f aca="false" t="array" ref="J1712:J1712">IFERROR(INDEX(AC1712:AE1712,IF(COUNTA(AC1712:AE1712)=0,"",MAX((AC1712:AE1712&lt;&gt;"")*(COLUMN(AC1712:AE1712)-(COLUMN(AC1712)))))-1),"")</f>
        <v>45880</v>
      </c>
      <c r="K1712" s="16" t="n">
        <f aca="false" t="array" ref="K1712:K1712">IFERROR(INDEX(AC1712:AE1712,IF(COUNTA(AC1712:AE1712)=0,"",MAX((AC1712:AE1712&lt;&gt;"")*(COLUMN(AC1712:AE1712)-(COLUMN(AC1712)-1))))-1),"")</f>
        <v>45940</v>
      </c>
      <c r="L1712" s="17" t="str">
        <f aca="false" t="array" ref="L1712:L1712">IFERROR(INDEX(AC1712:AE1712,IF(COUNTA(AC1712:AE1712)=0,"",MAX((AC1712:AE1712&lt;&gt;"")*(COLUMN(AC1712:AE1712)-(COLUMN(AC1712)-2))))-1),"")</f>
        <v>ARCHIVED</v>
      </c>
      <c r="M1712" s="13" t="n">
        <f aca="true">K1712-TODAY()</f>
        <v>-384</v>
      </c>
      <c r="N1712" s="18" t="s">
        <v>728</v>
      </c>
      <c r="O1712" s="13" t="s">
        <v>3271</v>
      </c>
      <c r="P1712" s="19" t="n">
        <v>125000</v>
      </c>
      <c r="Q1712" s="20" t="s">
        <v>7452</v>
      </c>
      <c r="R1712" s="13" t="s">
        <v>52</v>
      </c>
      <c r="S1712" s="14" t="n">
        <v>37049</v>
      </c>
      <c r="T1712" s="13" t="s">
        <v>40</v>
      </c>
      <c r="U1712" s="13" t="s">
        <v>7453</v>
      </c>
      <c r="V1712" s="13" t="s">
        <v>42</v>
      </c>
      <c r="W1712" s="13" t="s">
        <v>43</v>
      </c>
      <c r="X1712" s="21" t="n">
        <v>82213225614</v>
      </c>
      <c r="Y1712" s="22" t="str">
        <f aca="false">O1712</f>
        <v>Helper</v>
      </c>
      <c r="Z1712" s="13" t="str">
        <f aca="false">IFERROR(__xludf.dummyfunction("if(BJ1712="""","""",GOOGLETRANSLATE(BJ1712,""auto"",""en""))"),"Helper")</f>
        <v>Helper</v>
      </c>
      <c r="AA1712" s="23" t="str">
        <f aca="false">IF(C1712="","", CHOOSE(MONTH(C1712),"January","February","March","April","May","June","July","August","September","October","November","December")&amp;" "&amp;DAY(C1712)&amp;MID("thstndrdth",MIN(9,2*RIGHT(DAY(C1712))*(MOD(DAY(C1712)-11,100)&gt;2)+1),2)&amp;","&amp;TEXT(C1712," yyyy"))</f>
        <v>November 11th,2024</v>
      </c>
      <c r="AB1712" s="15" t="str">
        <f aca="true">IF(S1712="","",DATEDIF(S1712,TODAY(),"Y")&amp;" Tahun, "&amp;DATEDIF(S1712,TODAY(),"YM")&amp;" Bulan, "&amp;DATEDIF(S1712,TODAY(),"MD")&amp;" Hari")</f>
        <v>25 Tahun, 4 Bulan, 22 Hari</v>
      </c>
      <c r="AC1712" s="70" t="n">
        <v>45880</v>
      </c>
      <c r="AD1712" s="70" t="n">
        <v>45940</v>
      </c>
      <c r="AE1712" s="70" t="s">
        <v>44</v>
      </c>
    </row>
    <row r="1713" customFormat="false" ht="15" hidden="false" customHeight="true" outlineLevel="0" collapsed="false">
      <c r="A1713" s="12" t="n">
        <v>17897</v>
      </c>
      <c r="B1713" s="13" t="s">
        <v>7454</v>
      </c>
      <c r="C1713" s="14" t="n">
        <v>45615</v>
      </c>
      <c r="D1713" s="13" t="s">
        <v>6632</v>
      </c>
      <c r="E1713" s="15" t="s">
        <v>102</v>
      </c>
      <c r="F1713" s="15" t="str">
        <f aca="false">IFERROR(__xludf.dummyfunction("XLOOKUP(AJ1713,IMPORTRANGE(""1XaInW9DU9nz21V0tYIfzFQ0He9kVQ_JF2mCXgZ3hqFA"",""REKAP ALL 2026 - Andika!G:G""),IMPORTRANGE(""1XaInW9DU9nz21V0tYIfzFQ0He9kVQ_JF2mCXgZ3hqFA"",""REKAP ALL 2026 - Andika!F:F""),"""",0)"),"24195982467")</f>
        <v>24195982467</v>
      </c>
      <c r="G1713" s="15" t="s">
        <v>7455</v>
      </c>
      <c r="H1713" s="13" t="s">
        <v>35</v>
      </c>
      <c r="I1713" s="13" t="str">
        <f aca="false">IF(C1713=J1713,"NEW KONTRAK","RE-KONTRAK")</f>
        <v>RE-KONTRAK</v>
      </c>
      <c r="J1713" s="16" t="n">
        <f aca="false" t="array" ref="J1713:J1713">IFERROR(INDEX(AC1713:AE1713,IF(COUNTA(AC1713:AE1713)=0,"",MAX((AC1713:AE1713&lt;&gt;"")*(COLUMN(AC1713:AE1713)-(COLUMN(AC1713)))))-1),"")</f>
        <v>45859</v>
      </c>
      <c r="K1713" s="16" t="n">
        <f aca="false" t="array" ref="K1713:K1713">IFERROR(INDEX(AC1713:AE1713,IF(COUNTA(AC1713:AE1713)=0,"",MAX((AC1713:AE1713&lt;&gt;"")*(COLUMN(AC1713:AE1713)-(COLUMN(AC1713)-1))))-1),"")</f>
        <v>46223</v>
      </c>
      <c r="L1713" s="17" t="str">
        <f aca="false" t="array" ref="L1713:L1713">IFERROR(INDEX(AC1713:AE1713,IF(COUNTA(AC1713:AE1713)=0,"",MAX((AC1713:AE1713&lt;&gt;"")*(COLUMN(AC1713:AE1713)-(COLUMN(AC1713)-2))))-1),"")</f>
        <v>ARCHIVED</v>
      </c>
      <c r="M1713" s="13" t="n">
        <f aca="true">K1713-TODAY()</f>
        <v>-101</v>
      </c>
      <c r="N1713" s="18" t="s">
        <v>4735</v>
      </c>
      <c r="O1713" s="13" t="s">
        <v>750</v>
      </c>
      <c r="P1713" s="19" t="n">
        <v>3368275</v>
      </c>
      <c r="Q1713" s="20" t="s">
        <v>7456</v>
      </c>
      <c r="R1713" s="13" t="s">
        <v>83</v>
      </c>
      <c r="S1713" s="14" t="n">
        <v>36680</v>
      </c>
      <c r="T1713" s="13" t="s">
        <v>108</v>
      </c>
      <c r="U1713" s="13" t="s">
        <v>7457</v>
      </c>
      <c r="V1713" s="13" t="s">
        <v>42</v>
      </c>
      <c r="W1713" s="13" t="s">
        <v>43</v>
      </c>
      <c r="X1713" s="21" t="n">
        <v>82233600539</v>
      </c>
      <c r="Y1713" s="22" t="str">
        <f aca="false">O1713</f>
        <v>Admin</v>
      </c>
      <c r="Z1713" s="13" t="str">
        <f aca="false">IFERROR(__xludf.dummyfunction("if(BJ1713="""","""",GOOGLETRANSLATE(BJ1713,""auto"",""en""))"),"Admin")</f>
        <v>Admin</v>
      </c>
      <c r="AA1713" s="23" t="str">
        <f aca="false">IF(C1713="","", CHOOSE(MONTH(C1713),"January","February","March","April","May","June","July","August","September","October","November","December")&amp;" "&amp;DAY(C1713)&amp;MID("thstndrdth",MIN(9,2*RIGHT(DAY(C1713))*(MOD(DAY(C1713)-11,100)&gt;2)+1),2)&amp;","&amp;TEXT(C1713," yyyy"))</f>
        <v>November 19th,2024</v>
      </c>
      <c r="AB1713" s="15" t="str">
        <f aca="true">IF(S1713="","",DATEDIF(S1713,TODAY(),"Y")&amp;" Tahun, "&amp;DATEDIF(S1713,TODAY(),"YM")&amp;" Bulan, "&amp;DATEDIF(S1713,TODAY(),"MD")&amp;" Hari")</f>
        <v>26 Tahun, 4 Bulan, 26 Hari</v>
      </c>
      <c r="AC1713" s="18" t="n">
        <v>45859</v>
      </c>
      <c r="AD1713" s="18" t="n">
        <v>46223</v>
      </c>
      <c r="AE1713" s="18" t="s">
        <v>44</v>
      </c>
    </row>
    <row r="1714" customFormat="false" ht="15" hidden="false" customHeight="true" outlineLevel="0" collapsed="false">
      <c r="A1714" s="12" t="n">
        <v>17898</v>
      </c>
      <c r="B1714" s="13" t="s">
        <v>7458</v>
      </c>
      <c r="C1714" s="14" t="n">
        <v>45639</v>
      </c>
      <c r="D1714" s="13" t="s">
        <v>755</v>
      </c>
      <c r="E1714" s="15" t="s">
        <v>47</v>
      </c>
      <c r="F1714" s="15" t="str">
        <f aca="false">IFERROR(__xludf.dummyfunction("XLOOKUP(AJ1714,IMPORTRANGE(""1XaInW9DU9nz21V0tYIfzFQ0He9kVQ_JF2mCXgZ3hqFA"",""REKAP ALL 2026 - Andika!G:G""),IMPORTRANGE(""1XaInW9DU9nz21V0tYIfzFQ0He9kVQ_JF2mCXgZ3hqFA"",""REKAP ALL 2026 - Andika!F:F""),"""",0)"),"22006661320")</f>
        <v>22006661320</v>
      </c>
      <c r="G1714" s="15" t="s">
        <v>7459</v>
      </c>
      <c r="H1714" s="13" t="s">
        <v>35</v>
      </c>
      <c r="I1714" s="13" t="str">
        <f aca="false">IF(C1714=J1714,"NEW KONTRAK","RE-KONTRAK")</f>
        <v>RE-KONTRAK</v>
      </c>
      <c r="J1714" s="16" t="n">
        <f aca="false" t="array" ref="J1714:J1714">IFERROR(INDEX(AC1714:AE1714,IF(COUNTA(AC1714:AE1714)=0,"",MAX((AC1714:AE1714&lt;&gt;"")*(COLUMN(AC1714:AE1714)-(COLUMN(AC1714)))))-1),"")</f>
        <v>45799</v>
      </c>
      <c r="K1714" s="16" t="n">
        <f aca="false" t="array" ref="K1714:K1714">IFERROR(INDEX(AC1714:AE1714,IF(COUNTA(AC1714:AE1714)=0,"",MAX((AC1714:AE1714&lt;&gt;"")*(COLUMN(AC1714:AE1714)-(COLUMN(AC1714)-1))))-1),"")</f>
        <v>46528</v>
      </c>
      <c r="L1714" s="17" t="str">
        <f aca="false" t="array" ref="L1714:L1714">IFERROR(INDEX(AC1714:AE1714,IF(COUNTA(AC1714:AE1714)=0,"",MAX((AC1714:AE1714&lt;&gt;"")*(COLUMN(AC1714:AE1714)-(COLUMN(AC1714)-2))))-1),"")</f>
        <v>KEMBALI</v>
      </c>
      <c r="M1714" s="13" t="n">
        <f aca="true">K1714-TODAY()</f>
        <v>204</v>
      </c>
      <c r="N1714" s="18" t="s">
        <v>105</v>
      </c>
      <c r="O1714" s="13" t="s">
        <v>757</v>
      </c>
      <c r="P1714" s="19" t="n">
        <v>4870511</v>
      </c>
      <c r="Q1714" s="20" t="s">
        <v>7460</v>
      </c>
      <c r="R1714" s="13" t="s">
        <v>39</v>
      </c>
      <c r="S1714" s="14" t="n">
        <v>37372</v>
      </c>
      <c r="T1714" s="13" t="s">
        <v>108</v>
      </c>
      <c r="U1714" s="13" t="s">
        <v>7461</v>
      </c>
      <c r="V1714" s="13" t="s">
        <v>42</v>
      </c>
      <c r="W1714" s="13" t="s">
        <v>43</v>
      </c>
      <c r="X1714" s="21" t="n">
        <v>85850142054</v>
      </c>
      <c r="Y1714" s="22" t="str">
        <f aca="false">O1714</f>
        <v>Inputor</v>
      </c>
      <c r="Z1714" s="13" t="str">
        <f aca="false">IFERROR(__xludf.dummyfunction("if(BJ1714="""","""",GOOGLETRANSLATE(BJ1714,""auto"",""en""))"),"Inputor")</f>
        <v>Inputor</v>
      </c>
      <c r="AA1714" s="23" t="str">
        <f aca="false">IF(C1714="","", CHOOSE(MONTH(C1714),"January","February","March","April","May","June","July","August","September","October","November","December")&amp;" "&amp;DAY(C1714)&amp;MID("thstndrdth",MIN(9,2*RIGHT(DAY(C1714))*(MOD(DAY(C1714)-11,100)&gt;2)+1),2)&amp;","&amp;TEXT(C1714," yyyy"))</f>
        <v>December 13th,2024</v>
      </c>
      <c r="AB1714" s="15" t="str">
        <f aca="true">IF(S1714="","",DATEDIF(S1714,TODAY(),"Y")&amp;" Tahun, "&amp;DATEDIF(S1714,TODAY(),"YM")&amp;" Bulan, "&amp;DATEDIF(S1714,TODAY(),"MD")&amp;" Hari")</f>
        <v>24 Tahun, 6 Bulan, 3 Hari</v>
      </c>
      <c r="AC1714" s="18" t="n">
        <v>45799</v>
      </c>
      <c r="AD1714" s="18" t="n">
        <v>46528</v>
      </c>
      <c r="AE1714" s="13" t="s">
        <v>397</v>
      </c>
    </row>
    <row r="1715" customFormat="false" ht="15" hidden="false" customHeight="true" outlineLevel="0" collapsed="false">
      <c r="A1715" s="12" t="n">
        <v>17899</v>
      </c>
      <c r="B1715" s="13" t="s">
        <v>7462</v>
      </c>
      <c r="C1715" s="14" t="n">
        <v>45627</v>
      </c>
      <c r="D1715" s="13" t="s">
        <v>755</v>
      </c>
      <c r="E1715" s="15" t="s">
        <v>47</v>
      </c>
      <c r="F1715" s="15" t="str">
        <f aca="false">IFERROR(__xludf.dummyfunction("XLOOKUP(AJ1715,IMPORTRANGE(""1XaInW9DU9nz21V0tYIfzFQ0He9kVQ_JF2mCXgZ3hqFA"",""REKAP ALL 2026 - Andika!G:G""),IMPORTRANGE(""1XaInW9DU9nz21V0tYIfzFQ0He9kVQ_JF2mCXgZ3hqFA"",""REKAP ALL 2026 - Andika!F:F""),"""",0)"),"24195209630")</f>
        <v>24195209630</v>
      </c>
      <c r="G1715" s="15" t="s">
        <v>7463</v>
      </c>
      <c r="H1715" s="13" t="s">
        <v>35</v>
      </c>
      <c r="I1715" s="13" t="str">
        <f aca="false">IF(C1715=J1715,"NEW KONTRAK","RE-KONTRAK")</f>
        <v>RE-KONTRAK</v>
      </c>
      <c r="J1715" s="16" t="n">
        <f aca="false" t="array" ref="J1715:J1715">IFERROR(INDEX(AC1715:AE1715,IF(COUNTA(AC1715:AE1715)=0,"",MAX((AC1715:AE1715&lt;&gt;"")*(COLUMN(AC1715:AE1715)-(COLUMN(AC1715)))))-1),"")</f>
        <v>45799</v>
      </c>
      <c r="K1715" s="16" t="n">
        <f aca="false" t="array" ref="K1715:K1715">IFERROR(INDEX(AC1715:AE1715,IF(COUNTA(AC1715:AE1715)=0,"",MAX((AC1715:AE1715&lt;&gt;"")*(COLUMN(AC1715:AE1715)-(COLUMN(AC1715)-1))))-1),"")</f>
        <v>46528</v>
      </c>
      <c r="L1715" s="17" t="str">
        <f aca="false" t="array" ref="L1715:L1715">IFERROR(INDEX(AC1715:AE1715,IF(COUNTA(AC1715:AE1715)=0,"",MAX((AC1715:AE1715&lt;&gt;"")*(COLUMN(AC1715:AE1715)-(COLUMN(AC1715)-2))))-1),"")</f>
        <v>KEMBALI</v>
      </c>
      <c r="M1715" s="13" t="n">
        <f aca="true">K1715-TODAY()</f>
        <v>204</v>
      </c>
      <c r="N1715" s="18" t="s">
        <v>105</v>
      </c>
      <c r="O1715" s="13" t="s">
        <v>757</v>
      </c>
      <c r="P1715" s="19" t="n">
        <v>4870511</v>
      </c>
      <c r="Q1715" s="20" t="s">
        <v>7464</v>
      </c>
      <c r="R1715" s="13" t="s">
        <v>83</v>
      </c>
      <c r="S1715" s="14" t="n">
        <v>37636</v>
      </c>
      <c r="T1715" s="13" t="s">
        <v>108</v>
      </c>
      <c r="U1715" s="13" t="s">
        <v>7465</v>
      </c>
      <c r="V1715" s="13" t="s">
        <v>42</v>
      </c>
      <c r="W1715" s="13" t="s">
        <v>43</v>
      </c>
      <c r="X1715" s="21" t="n">
        <v>895323580282</v>
      </c>
      <c r="Y1715" s="22" t="str">
        <f aca="false">O1715</f>
        <v>Inputor</v>
      </c>
      <c r="Z1715" s="13" t="str">
        <f aca="false">IFERROR(__xludf.dummyfunction("if(BJ1715="""","""",GOOGLETRANSLATE(BJ1715,""auto"",""en""))"),"Inputor")</f>
        <v>Inputor</v>
      </c>
      <c r="AA1715" s="23" t="str">
        <f aca="false">IF(C1715="","", CHOOSE(MONTH(C1715),"January","February","March","April","May","June","July","August","September","October","November","December")&amp;" "&amp;DAY(C1715)&amp;MID("thstndrdth",MIN(9,2*RIGHT(DAY(C1715))*(MOD(DAY(C1715)-11,100)&gt;2)+1),2)&amp;","&amp;TEXT(C1715," yyyy"))</f>
        <v>December 1st,2024</v>
      </c>
      <c r="AB1715" s="15" t="str">
        <f aca="true">IF(S1715="","",DATEDIF(S1715,TODAY(),"Y")&amp;" Tahun, "&amp;DATEDIF(S1715,TODAY(),"YM")&amp;" Bulan, "&amp;DATEDIF(S1715,TODAY(),"MD")&amp;" Hari")</f>
        <v>23 Tahun, 9 Bulan, 14 Hari</v>
      </c>
      <c r="AC1715" s="18" t="n">
        <v>45799</v>
      </c>
      <c r="AD1715" s="18" t="n">
        <v>46528</v>
      </c>
      <c r="AE1715" s="13" t="s">
        <v>397</v>
      </c>
    </row>
    <row r="1716" customFormat="false" ht="15" hidden="false" customHeight="true" outlineLevel="0" collapsed="false">
      <c r="A1716" s="12" t="n">
        <v>17900</v>
      </c>
      <c r="B1716" s="13" t="s">
        <v>7466</v>
      </c>
      <c r="C1716" s="14" t="n">
        <v>45627</v>
      </c>
      <c r="D1716" s="13" t="s">
        <v>755</v>
      </c>
      <c r="E1716" s="15" t="s">
        <v>47</v>
      </c>
      <c r="F1716" s="15" t="str">
        <f aca="false">IFERROR(__xludf.dummyfunction("XLOOKUP(AJ1716,IMPORTRANGE(""1XaInW9DU9nz21V0tYIfzFQ0He9kVQ_JF2mCXgZ3hqFA"",""REKAP ALL 2026 - Andika!G:G""),IMPORTRANGE(""1XaInW9DU9nz21V0tYIfzFQ0He9kVQ_JF2mCXgZ3hqFA"",""REKAP ALL 2026 - Andika!F:F""),"""",0)"),"24195209655")</f>
        <v>24195209655</v>
      </c>
      <c r="G1716" s="15" t="s">
        <v>7467</v>
      </c>
      <c r="H1716" s="13" t="s">
        <v>35</v>
      </c>
      <c r="I1716" s="13" t="str">
        <f aca="false">IF(C1716=J1716,"NEW KONTRAK","RE-KONTRAK")</f>
        <v>RE-KONTRAK</v>
      </c>
      <c r="J1716" s="16" t="n">
        <f aca="false" t="array" ref="J1716:J1716">IFERROR(INDEX(AC1716:AE1716,IF(COUNTA(AC1716:AE1716)=0,"",MAX((AC1716:AE1716&lt;&gt;"")*(COLUMN(AC1716:AE1716)-(COLUMN(AC1716)))))-1),"")</f>
        <v>45799</v>
      </c>
      <c r="K1716" s="16" t="n">
        <f aca="false" t="array" ref="K1716:K1716">IFERROR(INDEX(AC1716:AE1716,IF(COUNTA(AC1716:AE1716)=0,"",MAX((AC1716:AE1716&lt;&gt;"")*(COLUMN(AC1716:AE1716)-(COLUMN(AC1716)-1))))-1),"")</f>
        <v>46528</v>
      </c>
      <c r="L1716" s="17" t="str">
        <f aca="false" t="array" ref="L1716:L1716">IFERROR(INDEX(AC1716:AE1716,IF(COUNTA(AC1716:AE1716)=0,"",MAX((AC1716:AE1716&lt;&gt;"")*(COLUMN(AC1716:AE1716)-(COLUMN(AC1716)-2))))-1),"")</f>
        <v>KEMBALI</v>
      </c>
      <c r="M1716" s="13" t="n">
        <f aca="true">K1716-TODAY()</f>
        <v>204</v>
      </c>
      <c r="N1716" s="18" t="s">
        <v>105</v>
      </c>
      <c r="O1716" s="13" t="s">
        <v>757</v>
      </c>
      <c r="P1716" s="19" t="n">
        <v>4870511</v>
      </c>
      <c r="Q1716" s="20" t="s">
        <v>7468</v>
      </c>
      <c r="R1716" s="13" t="s">
        <v>3774</v>
      </c>
      <c r="S1716" s="14" t="n">
        <v>37323</v>
      </c>
      <c r="T1716" s="13" t="s">
        <v>40</v>
      </c>
      <c r="U1716" s="13" t="s">
        <v>7469</v>
      </c>
      <c r="V1716" s="13" t="s">
        <v>42</v>
      </c>
      <c r="W1716" s="13" t="s">
        <v>43</v>
      </c>
      <c r="X1716" s="21" t="n">
        <v>85156263865</v>
      </c>
      <c r="Y1716" s="22" t="str">
        <f aca="false">O1716</f>
        <v>Inputor</v>
      </c>
      <c r="Z1716" s="13" t="str">
        <f aca="false">IFERROR(__xludf.dummyfunction("if(BJ1716="""","""",GOOGLETRANSLATE(BJ1716,""auto"",""en""))"),"Inputor")</f>
        <v>Inputor</v>
      </c>
      <c r="AA1716" s="23" t="str">
        <f aca="false">IF(C1716="","", CHOOSE(MONTH(C1716),"January","February","March","April","May","June","July","August","September","October","November","December")&amp;" "&amp;DAY(C1716)&amp;MID("thstndrdth",MIN(9,2*RIGHT(DAY(C1716))*(MOD(DAY(C1716)-11,100)&gt;2)+1),2)&amp;","&amp;TEXT(C1716," yyyy"))</f>
        <v>December 1st,2024</v>
      </c>
      <c r="AB1716" s="15" t="str">
        <f aca="true">IF(S1716="","",DATEDIF(S1716,TODAY(),"Y")&amp;" Tahun, "&amp;DATEDIF(S1716,TODAY(),"YM")&amp;" Bulan, "&amp;DATEDIF(S1716,TODAY(),"MD")&amp;" Hari")</f>
        <v>24 Tahun, 7 Bulan, 21 Hari</v>
      </c>
      <c r="AC1716" s="18" t="n">
        <v>45799</v>
      </c>
      <c r="AD1716" s="18" t="n">
        <v>46528</v>
      </c>
      <c r="AE1716" s="13" t="s">
        <v>397</v>
      </c>
    </row>
    <row r="1717" customFormat="false" ht="15" hidden="false" customHeight="true" outlineLevel="0" collapsed="false">
      <c r="A1717" s="12" t="n">
        <v>17901</v>
      </c>
      <c r="B1717" s="13" t="s">
        <v>7470</v>
      </c>
      <c r="C1717" s="14" t="n">
        <v>45627</v>
      </c>
      <c r="D1717" s="13" t="s">
        <v>755</v>
      </c>
      <c r="E1717" s="15" t="s">
        <v>47</v>
      </c>
      <c r="F1717" s="15" t="str">
        <f aca="false">IFERROR(__xludf.dummyfunction("XLOOKUP(AJ1717,IMPORTRANGE(""1XaInW9DU9nz21V0tYIfzFQ0He9kVQ_JF2mCXgZ3hqFA"",""REKAP ALL 2026 - Andika!G:G""),IMPORTRANGE(""1XaInW9DU9nz21V0tYIfzFQ0He9kVQ_JF2mCXgZ3hqFA"",""REKAP ALL 2026 - Andika!F:F""),"""",0)"),"24195209648")</f>
        <v>24195209648</v>
      </c>
      <c r="G1717" s="15" t="s">
        <v>7471</v>
      </c>
      <c r="H1717" s="13" t="s">
        <v>35</v>
      </c>
      <c r="I1717" s="13" t="str">
        <f aca="false">IF(C1717=J1717,"NEW KONTRAK","RE-KONTRAK")</f>
        <v>RE-KONTRAK</v>
      </c>
      <c r="J1717" s="16" t="n">
        <f aca="false" t="array" ref="J1717:J1717">IFERROR(INDEX(AC1717:AE1717,IF(COUNTA(AC1717:AE1717)=0,"",MAX((AC1717:AE1717&lt;&gt;"")*(COLUMN(AC1717:AE1717)-(COLUMN(AC1717)))))-1),"")</f>
        <v>45799</v>
      </c>
      <c r="K1717" s="16" t="n">
        <f aca="false" t="array" ref="K1717:K1717">IFERROR(INDEX(AC1717:AE1717,IF(COUNTA(AC1717:AE1717)=0,"",MAX((AC1717:AE1717&lt;&gt;"")*(COLUMN(AC1717:AE1717)-(COLUMN(AC1717)-1))))-1),"")</f>
        <v>46528</v>
      </c>
      <c r="L1717" s="17" t="str">
        <f aca="false" t="array" ref="L1717:L1717">IFERROR(INDEX(AC1717:AE1717,IF(COUNTA(AC1717:AE1717)=0,"",MAX((AC1717:AE1717&lt;&gt;"")*(COLUMN(AC1717:AE1717)-(COLUMN(AC1717)-2))))-1),"")</f>
        <v>KEMBALI</v>
      </c>
      <c r="M1717" s="13" t="n">
        <f aca="true">K1717-TODAY()</f>
        <v>204</v>
      </c>
      <c r="N1717" s="18" t="s">
        <v>105</v>
      </c>
      <c r="O1717" s="13" t="s">
        <v>757</v>
      </c>
      <c r="P1717" s="19" t="n">
        <v>4870511</v>
      </c>
      <c r="Q1717" s="20" t="s">
        <v>7472</v>
      </c>
      <c r="R1717" s="13" t="s">
        <v>255</v>
      </c>
      <c r="S1717" s="14" t="n">
        <v>37886</v>
      </c>
      <c r="T1717" s="13" t="s">
        <v>108</v>
      </c>
      <c r="U1717" s="13" t="s">
        <v>7473</v>
      </c>
      <c r="V1717" s="13" t="s">
        <v>42</v>
      </c>
      <c r="W1717" s="13" t="s">
        <v>43</v>
      </c>
      <c r="X1717" s="21" t="n">
        <v>85749159428</v>
      </c>
      <c r="Y1717" s="22" t="str">
        <f aca="false">O1717</f>
        <v>Inputor</v>
      </c>
      <c r="Z1717" s="13" t="str">
        <f aca="false">IFERROR(__xludf.dummyfunction("if(BJ1717="""","""",GOOGLETRANSLATE(BJ1717,""auto"",""en""))"),"Inputor")</f>
        <v>Inputor</v>
      </c>
      <c r="AA1717" s="23" t="str">
        <f aca="false">IF(C1717="","", CHOOSE(MONTH(C1717),"January","February","March","April","May","June","July","August","September","October","November","December")&amp;" "&amp;DAY(C1717)&amp;MID("thstndrdth",MIN(9,2*RIGHT(DAY(C1717))*(MOD(DAY(C1717)-11,100)&gt;2)+1),2)&amp;","&amp;TEXT(C1717," yyyy"))</f>
        <v>December 1st,2024</v>
      </c>
      <c r="AB1717" s="15" t="str">
        <f aca="true">IF(S1717="","",DATEDIF(S1717,TODAY(),"Y")&amp;" Tahun, "&amp;DATEDIF(S1717,TODAY(),"YM")&amp;" Bulan, "&amp;DATEDIF(S1717,TODAY(),"MD")&amp;" Hari")</f>
        <v>23 Tahun, 1 Bulan, 7 Hari</v>
      </c>
      <c r="AC1717" s="18" t="n">
        <v>45799</v>
      </c>
      <c r="AD1717" s="18" t="n">
        <v>46528</v>
      </c>
      <c r="AE1717" s="13" t="s">
        <v>397</v>
      </c>
    </row>
    <row r="1718" customFormat="false" ht="15" hidden="false" customHeight="true" outlineLevel="0" collapsed="false">
      <c r="A1718" s="12" t="n">
        <v>17909</v>
      </c>
      <c r="B1718" s="13" t="s">
        <v>7474</v>
      </c>
      <c r="C1718" s="14" t="n">
        <v>45583</v>
      </c>
      <c r="D1718" s="13" t="s">
        <v>144</v>
      </c>
      <c r="E1718" s="15" t="s">
        <v>47</v>
      </c>
      <c r="F1718" s="15" t="str">
        <f aca="false">IFERROR(__xludf.dummyfunction("XLOOKUP(AJ1718,IMPORTRANGE(""1XaInW9DU9nz21V0tYIfzFQ0He9kVQ_JF2mCXgZ3hqFA"",""REKAP ALL 2026 - Andika!G:G""),IMPORTRANGE(""1XaInW9DU9nz21V0tYIfzFQ0He9kVQ_JF2mCXgZ3hqFA"",""REKAP ALL 2026 - Andika!F:F""),"""",0)"),"24195983739")</f>
        <v>24195983739</v>
      </c>
      <c r="G1718" s="15" t="s">
        <v>7475</v>
      </c>
      <c r="H1718" s="13" t="s">
        <v>35</v>
      </c>
      <c r="I1718" s="13" t="str">
        <f aca="false">IF(C1718=J1718,"NEW KONTRAK","RE-KONTRAK")</f>
        <v>RE-KONTRAK</v>
      </c>
      <c r="J1718" s="16" t="n">
        <f aca="false" t="array" ref="J1718:J1718">IFERROR(INDEX(AC1718:AE1718,IF(COUNTA(AC1718:AE1718)=0,"",MAX((AC1718:AE1718&lt;&gt;"")*(COLUMN(AC1718:AE1718)-(COLUMN(AC1718)))))-1),"")</f>
        <v>45658</v>
      </c>
      <c r="K1718" s="16" t="n">
        <f aca="false" t="array" ref="K1718:K1718">IFERROR(INDEX(AC1718:AE1718,IF(COUNTA(AC1718:AE1718)=0,"",MAX((AC1718:AE1718&lt;&gt;"")*(COLUMN(AC1718:AE1718)-(COLUMN(AC1718)-1))))-1),"")</f>
        <v>46022</v>
      </c>
      <c r="L1718" s="17" t="str">
        <f aca="false" t="array" ref="L1718:L1718">IFERROR(INDEX(AC1718:AE1718,IF(COUNTA(AC1718:AE1718)=0,"",MAX((AC1718:AE1718&lt;&gt;"")*(COLUMN(AC1718:AE1718)-(COLUMN(AC1718)-2))))-1),"")</f>
        <v>ARCHIVED</v>
      </c>
      <c r="M1718" s="13" t="n">
        <f aca="true">K1718-TODAY()</f>
        <v>-302</v>
      </c>
      <c r="N1718" s="18" t="s">
        <v>36</v>
      </c>
      <c r="O1718" s="13" t="s">
        <v>156</v>
      </c>
      <c r="P1718" s="19" t="n">
        <v>5195401</v>
      </c>
      <c r="Q1718" s="20" t="s">
        <v>7476</v>
      </c>
      <c r="R1718" s="13" t="s">
        <v>78</v>
      </c>
      <c r="S1718" s="14" t="n">
        <v>35850</v>
      </c>
      <c r="T1718" s="13" t="s">
        <v>40</v>
      </c>
      <c r="U1718" s="13" t="s">
        <v>7477</v>
      </c>
      <c r="V1718" s="13" t="s">
        <v>42</v>
      </c>
      <c r="W1718" s="13" t="s">
        <v>43</v>
      </c>
      <c r="X1718" s="21" t="n">
        <v>85136562556</v>
      </c>
      <c r="Y1718" s="22" t="str">
        <f aca="false">O1718</f>
        <v>Emulsion</v>
      </c>
      <c r="Z1718" s="13" t="str">
        <f aca="false">IFERROR(__xludf.dummyfunction("if(BJ1718="""","""",GOOGLETRANSLATE(BJ1718,""auto"",""en""))"),"Emulsion")</f>
        <v>Emulsion</v>
      </c>
      <c r="AA1718" s="23" t="str">
        <f aca="false">IF(C1718="","", CHOOSE(MONTH(C1718),"January","February","March","April","May","June","July","August","September","October","November","December")&amp;" "&amp;DAY(C1718)&amp;MID("thstndrdth",MIN(9,2*RIGHT(DAY(C1718))*(MOD(DAY(C1718)-11,100)&gt;2)+1),2)&amp;","&amp;TEXT(C1718," yyyy"))</f>
        <v>October 18th,2024</v>
      </c>
      <c r="AB1718" s="15" t="str">
        <f aca="true">IF(S1718="","",DATEDIF(S1718,TODAY(),"Y")&amp;" Tahun, "&amp;DATEDIF(S1718,TODAY(),"YM")&amp;" Bulan, "&amp;DATEDIF(S1718,TODAY(),"MD")&amp;" Hari")</f>
        <v>28 Tahun, 8 Bulan, 5 Hari</v>
      </c>
      <c r="AC1718" s="18" t="n">
        <v>45658</v>
      </c>
      <c r="AD1718" s="18" t="n">
        <v>46022</v>
      </c>
      <c r="AE1718" s="18" t="s">
        <v>44</v>
      </c>
    </row>
    <row r="1719" customFormat="false" ht="15" hidden="false" customHeight="true" outlineLevel="0" collapsed="false">
      <c r="A1719" s="12" t="n">
        <v>17910</v>
      </c>
      <c r="B1719" s="13" t="s">
        <v>7478</v>
      </c>
      <c r="C1719" s="14" t="n">
        <v>45583</v>
      </c>
      <c r="D1719" s="13" t="s">
        <v>144</v>
      </c>
      <c r="E1719" s="15" t="s">
        <v>47</v>
      </c>
      <c r="F1719" s="15" t="str">
        <f aca="false">IFERROR(__xludf.dummyfunction("XLOOKUP(AJ1719,IMPORTRANGE(""1XaInW9DU9nz21V0tYIfzFQ0He9kVQ_JF2mCXgZ3hqFA"",""REKAP ALL 2026 - Andika!G:G""),IMPORTRANGE(""1XaInW9DU9nz21V0tYIfzFQ0He9kVQ_JF2mCXgZ3hqFA"",""REKAP ALL 2026 - Andika!F:F""),"""",0)"),"24195983697")</f>
        <v>24195983697</v>
      </c>
      <c r="G1719" s="15" t="s">
        <v>7479</v>
      </c>
      <c r="H1719" s="13" t="s">
        <v>35</v>
      </c>
      <c r="I1719" s="13" t="str">
        <f aca="false">IF(C1719=J1719,"NEW KONTRAK","RE-KONTRAK")</f>
        <v>RE-KONTRAK</v>
      </c>
      <c r="J1719" s="16" t="n">
        <f aca="false" t="array" ref="J1719:J1719">IFERROR(INDEX(AC1719:AE1719,IF(COUNTA(AC1719:AE1719)=0,"",MAX((AC1719:AE1719&lt;&gt;"")*(COLUMN(AC1719:AE1719)-(COLUMN(AC1719)))))-1),"")</f>
        <v>45658</v>
      </c>
      <c r="K1719" s="16" t="n">
        <f aca="false" t="array" ref="K1719:K1719">IFERROR(INDEX(AC1719:AE1719,IF(COUNTA(AC1719:AE1719)=0,"",MAX((AC1719:AE1719&lt;&gt;"")*(COLUMN(AC1719:AE1719)-(COLUMN(AC1719)-1))))-1),"")</f>
        <v>46022</v>
      </c>
      <c r="L1719" s="17" t="str">
        <f aca="false" t="array" ref="L1719:L1719">IFERROR(INDEX(AC1719:AE1719,IF(COUNTA(AC1719:AE1719)=0,"",MAX((AC1719:AE1719&lt;&gt;"")*(COLUMN(AC1719:AE1719)-(COLUMN(AC1719)-2))))-1),"")</f>
        <v>ARCHIVED</v>
      </c>
      <c r="M1719" s="13" t="n">
        <f aca="true">K1719-TODAY()</f>
        <v>-302</v>
      </c>
      <c r="N1719" s="18" t="s">
        <v>36</v>
      </c>
      <c r="O1719" s="13" t="s">
        <v>156</v>
      </c>
      <c r="P1719" s="19" t="n">
        <v>5195401</v>
      </c>
      <c r="Q1719" s="20" t="s">
        <v>7480</v>
      </c>
      <c r="R1719" s="13" t="s">
        <v>78</v>
      </c>
      <c r="S1719" s="14" t="n">
        <v>37123</v>
      </c>
      <c r="T1719" s="13" t="s">
        <v>40</v>
      </c>
      <c r="U1719" s="13" t="s">
        <v>7481</v>
      </c>
      <c r="V1719" s="13" t="s">
        <v>42</v>
      </c>
      <c r="W1719" s="13" t="s">
        <v>43</v>
      </c>
      <c r="X1719" s="21" t="n">
        <v>85846482991</v>
      </c>
      <c r="Y1719" s="22" t="str">
        <f aca="false">O1719</f>
        <v>Emulsion</v>
      </c>
      <c r="Z1719" s="13" t="str">
        <f aca="false">IFERROR(__xludf.dummyfunction("if(BJ1719="""","""",GOOGLETRANSLATE(BJ1719,""auto"",""en""))"),"Emulsion")</f>
        <v>Emulsion</v>
      </c>
      <c r="AA1719" s="23" t="str">
        <f aca="false">IF(C1719="","", CHOOSE(MONTH(C1719),"January","February","March","April","May","June","July","August","September","October","November","December")&amp;" "&amp;DAY(C1719)&amp;MID("thstndrdth",MIN(9,2*RIGHT(DAY(C1719))*(MOD(DAY(C1719)-11,100)&gt;2)+1),2)&amp;","&amp;TEXT(C1719," yyyy"))</f>
        <v>October 18th,2024</v>
      </c>
      <c r="AB1719" s="15" t="str">
        <f aca="true">IF(S1719="","",DATEDIF(S1719,TODAY(),"Y")&amp;" Tahun, "&amp;DATEDIF(S1719,TODAY(),"YM")&amp;" Bulan, "&amp;DATEDIF(S1719,TODAY(),"MD")&amp;" Hari")</f>
        <v>25 Tahun, 2 Bulan, 9 Hari</v>
      </c>
      <c r="AC1719" s="18" t="n">
        <v>45658</v>
      </c>
      <c r="AD1719" s="18" t="n">
        <v>46022</v>
      </c>
      <c r="AE1719" s="18" t="s">
        <v>44</v>
      </c>
    </row>
    <row r="1720" customFormat="false" ht="15" hidden="false" customHeight="true" outlineLevel="0" collapsed="false">
      <c r="A1720" s="12" t="n">
        <v>17912</v>
      </c>
      <c r="B1720" s="13" t="s">
        <v>7482</v>
      </c>
      <c r="C1720" s="14" t="n">
        <v>45583</v>
      </c>
      <c r="D1720" s="13" t="s">
        <v>144</v>
      </c>
      <c r="E1720" s="15" t="s">
        <v>47</v>
      </c>
      <c r="F1720" s="15" t="str">
        <f aca="false">IFERROR(__xludf.dummyfunction("XLOOKUP(AJ1720,IMPORTRANGE(""1XaInW9DU9nz21V0tYIfzFQ0He9kVQ_JF2mCXgZ3hqFA"",""REKAP ALL 2026 - Andika!G:G""),IMPORTRANGE(""1XaInW9DU9nz21V0tYIfzFQ0He9kVQ_JF2mCXgZ3hqFA"",""REKAP ALL 2026 - Andika!F:F""),"""",0)"),"24195983671")</f>
        <v>24195983671</v>
      </c>
      <c r="G1720" s="15" t="s">
        <v>7483</v>
      </c>
      <c r="H1720" s="13" t="s">
        <v>35</v>
      </c>
      <c r="I1720" s="13" t="str">
        <f aca="false">IF(C1720=J1720,"NEW KONTRAK","RE-KONTRAK")</f>
        <v>RE-KONTRAK</v>
      </c>
      <c r="J1720" s="16" t="n">
        <f aca="false" t="array" ref="J1720:J1720">IFERROR(INDEX(AC1720:AE1720,IF(COUNTA(AC1720:AE1720)=0,"",MAX((AC1720:AE1720&lt;&gt;"")*(COLUMN(AC1720:AE1720)-(COLUMN(AC1720)))))-1),"")</f>
        <v>45658</v>
      </c>
      <c r="K1720" s="16" t="n">
        <f aca="false" t="array" ref="K1720:K1720">IFERROR(INDEX(AC1720:AE1720,IF(COUNTA(AC1720:AE1720)=0,"",MAX((AC1720:AE1720&lt;&gt;"")*(COLUMN(AC1720:AE1720)-(COLUMN(AC1720)-1))))-1),"")</f>
        <v>46022</v>
      </c>
      <c r="L1720" s="17" t="str">
        <f aca="false" t="array" ref="L1720:L1720">IFERROR(INDEX(AC1720:AE1720,IF(COUNTA(AC1720:AE1720)=0,"",MAX((AC1720:AE1720&lt;&gt;"")*(COLUMN(AC1720:AE1720)-(COLUMN(AC1720)-2))))-1),"")</f>
        <v>ARCHIVED</v>
      </c>
      <c r="M1720" s="13" t="n">
        <f aca="true">K1720-TODAY()</f>
        <v>-302</v>
      </c>
      <c r="N1720" s="18" t="s">
        <v>36</v>
      </c>
      <c r="O1720" s="13" t="s">
        <v>6606</v>
      </c>
      <c r="P1720" s="19" t="n">
        <v>5195401</v>
      </c>
      <c r="Q1720" s="20" t="s">
        <v>7484</v>
      </c>
      <c r="R1720" s="13" t="s">
        <v>260</v>
      </c>
      <c r="S1720" s="14" t="n">
        <v>32836</v>
      </c>
      <c r="T1720" s="13" t="s">
        <v>40</v>
      </c>
      <c r="U1720" s="13" t="s">
        <v>7485</v>
      </c>
      <c r="V1720" s="13" t="s">
        <v>42</v>
      </c>
      <c r="W1720" s="13" t="s">
        <v>43</v>
      </c>
      <c r="X1720" s="21" t="n">
        <v>87850015654</v>
      </c>
      <c r="Y1720" s="22" t="str">
        <f aca="false">O1720</f>
        <v>Picker</v>
      </c>
      <c r="Z1720" s="13" t="str">
        <f aca="false">IFERROR(__xludf.dummyfunction("if(BJ1720="""","""",GOOGLETRANSLATE(BJ1720,""auto"",""en""))"),"Picker")</f>
        <v>Picker</v>
      </c>
      <c r="AA1720" s="23" t="str">
        <f aca="false">IF(C1720="","", CHOOSE(MONTH(C1720),"January","February","March","April","May","June","July","August","September","October","November","December")&amp;" "&amp;DAY(C1720)&amp;MID("thstndrdth",MIN(9,2*RIGHT(DAY(C1720))*(MOD(DAY(C1720)-11,100)&gt;2)+1),2)&amp;","&amp;TEXT(C1720," yyyy"))</f>
        <v>October 18th,2024</v>
      </c>
      <c r="AB1720" s="15" t="str">
        <f aca="true">IF(S1720="","",DATEDIF(S1720,TODAY(),"Y")&amp;" Tahun, "&amp;DATEDIF(S1720,TODAY(),"YM")&amp;" Bulan, "&amp;DATEDIF(S1720,TODAY(),"MD")&amp;" Hari")</f>
        <v>36 Tahun, 11 Bulan, 5 Hari</v>
      </c>
      <c r="AC1720" s="18" t="n">
        <v>45658</v>
      </c>
      <c r="AD1720" s="18" t="n">
        <v>46022</v>
      </c>
      <c r="AE1720" s="18" t="s">
        <v>44</v>
      </c>
    </row>
    <row r="1721" customFormat="false" ht="15" hidden="false" customHeight="true" outlineLevel="0" collapsed="false">
      <c r="A1721" s="12" t="n">
        <v>17913</v>
      </c>
      <c r="B1721" s="13" t="s">
        <v>7486</v>
      </c>
      <c r="C1721" s="14" t="n">
        <v>45583</v>
      </c>
      <c r="D1721" s="13" t="s">
        <v>144</v>
      </c>
      <c r="E1721" s="15" t="s">
        <v>33</v>
      </c>
      <c r="F1721" s="15" t="str">
        <f aca="false">IFERROR(__xludf.dummyfunction("XLOOKUP(AJ1721,IMPORTRANGE(""1XaInW9DU9nz21V0tYIfzFQ0He9kVQ_JF2mCXgZ3hqFA"",""REKAP ALL 2026 - Andika!G:G""),IMPORTRANGE(""1XaInW9DU9nz21V0tYIfzFQ0He9kVQ_JF2mCXgZ3hqFA"",""REKAP ALL 2026 - Andika!F:F""),"""",0)"),"26062988808")</f>
        <v>26062988808</v>
      </c>
      <c r="G1721" s="15" t="s">
        <v>7487</v>
      </c>
      <c r="H1721" s="13" t="s">
        <v>35</v>
      </c>
      <c r="I1721" s="13" t="str">
        <f aca="false">IF(C1721=J1721,"NEW KONTRAK","RE-KONTRAK")</f>
        <v>RE-KONTRAK</v>
      </c>
      <c r="J1721" s="16" t="n">
        <f aca="false" t="array" ref="J1721:J1721">IFERROR(INDEX(AC1721:AE1721,IF(COUNTA(AC1721:AE1721)=0,"",MAX((AC1721:AE1721&lt;&gt;"")*(COLUMN(AC1721:AE1721)-(COLUMN(AC1721)))))-1),"")</f>
        <v>45658</v>
      </c>
      <c r="K1721" s="16" t="n">
        <f aca="false" t="array" ref="K1721:K1721">IFERROR(INDEX(AC1721:AE1721,IF(COUNTA(AC1721:AE1721)=0,"",MAX((AC1721:AE1721&lt;&gt;"")*(COLUMN(AC1721:AE1721)-(COLUMN(AC1721)-1))))-1),"")</f>
        <v>46022</v>
      </c>
      <c r="L1721" s="17" t="str">
        <f aca="false" t="array" ref="L1721:L1721">IFERROR(INDEX(AC1721:AE1721,IF(COUNTA(AC1721:AE1721)=0,"",MAX((AC1721:AE1721&lt;&gt;"")*(COLUMN(AC1721:AE1721)-(COLUMN(AC1721)-2))))-1),"")</f>
        <v>ARCHIVED</v>
      </c>
      <c r="M1721" s="13" t="n">
        <f aca="true">K1721-TODAY()</f>
        <v>-302</v>
      </c>
      <c r="N1721" s="18" t="s">
        <v>36</v>
      </c>
      <c r="O1721" s="13" t="s">
        <v>6606</v>
      </c>
      <c r="P1721" s="19" t="n">
        <v>5195401</v>
      </c>
      <c r="Q1721" s="20" t="s">
        <v>7488</v>
      </c>
      <c r="R1721" s="13" t="s">
        <v>52</v>
      </c>
      <c r="S1721" s="14" t="n">
        <v>36859</v>
      </c>
      <c r="T1721" s="13" t="s">
        <v>40</v>
      </c>
      <c r="U1721" s="13" t="s">
        <v>7489</v>
      </c>
      <c r="V1721" s="13" t="s">
        <v>42</v>
      </c>
      <c r="W1721" s="13" t="s">
        <v>43</v>
      </c>
      <c r="X1721" s="30" t="n">
        <v>87805331586</v>
      </c>
      <c r="Y1721" s="22" t="str">
        <f aca="false">O1721</f>
        <v>Picker</v>
      </c>
      <c r="Z1721" s="13" t="str">
        <f aca="false">IFERROR(__xludf.dummyfunction("if(BJ1721="""","""",GOOGLETRANSLATE(BJ1721,""auto"",""en""))"),"Picker")</f>
        <v>Picker</v>
      </c>
      <c r="AA1721" s="23" t="str">
        <f aca="false">IF(C1721="","", CHOOSE(MONTH(C1721),"January","February","March","April","May","June","July","August","September","October","November","December")&amp;" "&amp;DAY(C1721)&amp;MID("thstndrdth",MIN(9,2*RIGHT(DAY(C1721))*(MOD(DAY(C1721)-11,100)&gt;2)+1),2)&amp;","&amp;TEXT(C1721," yyyy"))</f>
        <v>October 18th,2024</v>
      </c>
      <c r="AB1721" s="15" t="str">
        <f aca="true">IF(S1721="","",DATEDIF(S1721,TODAY(),"Y")&amp;" Tahun, "&amp;DATEDIF(S1721,TODAY(),"YM")&amp;" Bulan, "&amp;DATEDIF(S1721,TODAY(),"MD")&amp;" Hari")</f>
        <v>25 Tahun, 11 Bulan, 0 Hari</v>
      </c>
      <c r="AC1721" s="18" t="n">
        <v>45658</v>
      </c>
      <c r="AD1721" s="18" t="n">
        <v>46022</v>
      </c>
      <c r="AE1721" s="18" t="s">
        <v>44</v>
      </c>
    </row>
    <row r="1722" customFormat="false" ht="15" hidden="false" customHeight="true" outlineLevel="0" collapsed="false">
      <c r="A1722" s="12" t="n">
        <v>17914</v>
      </c>
      <c r="B1722" s="13" t="s">
        <v>7490</v>
      </c>
      <c r="C1722" s="14" t="n">
        <v>45583</v>
      </c>
      <c r="D1722" s="13" t="s">
        <v>144</v>
      </c>
      <c r="E1722" s="15" t="s">
        <v>33</v>
      </c>
      <c r="F1722" s="24" t="s">
        <v>7491</v>
      </c>
      <c r="G1722" s="15" t="s">
        <v>7492</v>
      </c>
      <c r="H1722" s="13" t="s">
        <v>35</v>
      </c>
      <c r="I1722" s="13" t="str">
        <f aca="false">IF(C1722=J1722,"NEW KONTRAK","RE-KONTRAK")</f>
        <v>RE-KONTRAK</v>
      </c>
      <c r="J1722" s="16" t="n">
        <f aca="false" t="array" ref="J1722:J1722">IFERROR(INDEX(AC1722:AE1722,IF(COUNTA(AC1722:AE1722)=0,"",MAX((AC1722:AE1722&lt;&gt;"")*(COLUMN(AC1722:AE1722)-(COLUMN(AC1722)))))-1),"")</f>
        <v>45658</v>
      </c>
      <c r="K1722" s="16" t="n">
        <f aca="false" t="array" ref="K1722:K1722">IFERROR(INDEX(AC1722:AE1722,IF(COUNTA(AC1722:AE1722)=0,"",MAX((AC1722:AE1722&lt;&gt;"")*(COLUMN(AC1722:AE1722)-(COLUMN(AC1722)-1))))-1),"")</f>
        <v>46022</v>
      </c>
      <c r="L1722" s="17" t="str">
        <f aca="false" t="array" ref="L1722:L1722">IFERROR(INDEX(AC1722:AE1722,IF(COUNTA(AC1722:AE1722)=0,"",MAX((AC1722:AE1722&lt;&gt;"")*(COLUMN(AC1722:AE1722)-(COLUMN(AC1722)-2))))-1),"")</f>
        <v>ARCHIVED</v>
      </c>
      <c r="M1722" s="13" t="n">
        <f aca="true">K1722-TODAY()</f>
        <v>-302</v>
      </c>
      <c r="N1722" s="18" t="s">
        <v>36</v>
      </c>
      <c r="O1722" s="13" t="s">
        <v>6606</v>
      </c>
      <c r="P1722" s="19" t="n">
        <v>5195401</v>
      </c>
      <c r="Q1722" s="20" t="s">
        <v>7493</v>
      </c>
      <c r="R1722" s="13" t="s">
        <v>65</v>
      </c>
      <c r="S1722" s="14" t="n">
        <v>31040</v>
      </c>
      <c r="T1722" s="13" t="s">
        <v>40</v>
      </c>
      <c r="U1722" s="13" t="s">
        <v>7494</v>
      </c>
      <c r="V1722" s="13" t="s">
        <v>42</v>
      </c>
      <c r="W1722" s="13" t="s">
        <v>43</v>
      </c>
      <c r="X1722" s="21" t="n">
        <v>85645401495</v>
      </c>
      <c r="Y1722" s="22" t="str">
        <f aca="false">O1722</f>
        <v>Picker</v>
      </c>
      <c r="Z1722" s="13" t="str">
        <f aca="false">IFERROR(__xludf.dummyfunction("if(BJ1722="""","""",GOOGLETRANSLATE(BJ1722,""auto"",""en""))"),"Picker")</f>
        <v>Picker</v>
      </c>
      <c r="AA1722" s="23" t="str">
        <f aca="false">IF(C1722="","", CHOOSE(MONTH(C1722),"January","February","March","April","May","June","July","August","September","October","November","December")&amp;" "&amp;DAY(C1722)&amp;MID("thstndrdth",MIN(9,2*RIGHT(DAY(C1722))*(MOD(DAY(C1722)-11,100)&gt;2)+1),2)&amp;","&amp;TEXT(C1722," yyyy"))</f>
        <v>October 18th,2024</v>
      </c>
      <c r="AB1722" s="15" t="str">
        <f aca="true">IF(S1722="","",DATEDIF(S1722,TODAY(),"Y")&amp;" Tahun, "&amp;DATEDIF(S1722,TODAY(),"YM")&amp;" Bulan, "&amp;DATEDIF(S1722,TODAY(),"MD")&amp;" Hari")</f>
        <v>41 Tahun, 10 Bulan, 5 Hari</v>
      </c>
      <c r="AC1722" s="18" t="n">
        <v>45658</v>
      </c>
      <c r="AD1722" s="18" t="n">
        <v>46022</v>
      </c>
      <c r="AE1722" s="18" t="s">
        <v>44</v>
      </c>
    </row>
    <row r="1723" customFormat="false" ht="15" hidden="false" customHeight="true" outlineLevel="0" collapsed="false">
      <c r="A1723" s="12" t="n">
        <v>17920</v>
      </c>
      <c r="B1723" s="13" t="s">
        <v>7495</v>
      </c>
      <c r="C1723" s="14" t="n">
        <v>45614</v>
      </c>
      <c r="D1723" s="13" t="s">
        <v>6498</v>
      </c>
      <c r="E1723" s="15" t="s">
        <v>47</v>
      </c>
      <c r="F1723" s="15" t="str">
        <f aca="false">IFERROR(__xludf.dummyfunction("XLOOKUP(AJ1723,IMPORTRANGE(""1XaInW9DU9nz21V0tYIfzFQ0He9kVQ_JF2mCXgZ3hqFA"",""REKAP ALL 2026 - Andika!G:G""),IMPORTRANGE(""1XaInW9DU9nz21V0tYIfzFQ0He9kVQ_JF2mCXgZ3hqFA"",""REKAP ALL 2026 - Andika!F:F""),"""",0)"),"24216705822")</f>
        <v>24216705822</v>
      </c>
      <c r="G1723" s="15" t="s">
        <v>7496</v>
      </c>
      <c r="H1723" s="13" t="s">
        <v>35</v>
      </c>
      <c r="I1723" s="13" t="str">
        <f aca="false">IF(C1723=J1723,"NEW KONTRAK","RE-KONTRAK")</f>
        <v>RE-KONTRAK</v>
      </c>
      <c r="J1723" s="16" t="n">
        <f aca="false" t="array" ref="J1723:J1723">IFERROR(INDEX(AC1723:AE1723,IF(COUNTA(AC1723:AE1723)=0,"",MAX((AC1723:AE1723&lt;&gt;"")*(COLUMN(AC1723:AE1723)-(COLUMN(AC1723)))))-1),"")</f>
        <v>45795</v>
      </c>
      <c r="K1723" s="16" t="n">
        <f aca="false" t="array" ref="K1723:K1723">IFERROR(INDEX(AC1723:AE1723,IF(COUNTA(AC1723:AE1723)=0,"",MAX((AC1723:AE1723&lt;&gt;"")*(COLUMN(AC1723:AE1723)-(COLUMN(AC1723)-1))))-1),"")</f>
        <v>46022</v>
      </c>
      <c r="L1723" s="17" t="str">
        <f aca="false" t="array" ref="L1723:L1723">IFERROR(INDEX(AC1723:AE1723,IF(COUNTA(AC1723:AE1723)=0,"",MAX((AC1723:AE1723&lt;&gt;"")*(COLUMN(AC1723:AE1723)-(COLUMN(AC1723)-2))))-1),"")</f>
        <v>ARCHIVED</v>
      </c>
      <c r="M1723" s="13" t="n">
        <f aca="true">K1723-TODAY()</f>
        <v>-302</v>
      </c>
      <c r="N1723" s="50" t="s">
        <v>728</v>
      </c>
      <c r="O1723" s="13" t="s">
        <v>3271</v>
      </c>
      <c r="P1723" s="19" t="n">
        <v>5288796</v>
      </c>
      <c r="Q1723" s="20" t="s">
        <v>7497</v>
      </c>
      <c r="R1723" s="13" t="s">
        <v>52</v>
      </c>
      <c r="S1723" s="14" t="n">
        <v>31172</v>
      </c>
      <c r="T1723" s="13" t="s">
        <v>40</v>
      </c>
      <c r="U1723" s="13" t="s">
        <v>7498</v>
      </c>
      <c r="V1723" s="13" t="s">
        <v>42</v>
      </c>
      <c r="W1723" s="13" t="s">
        <v>54</v>
      </c>
      <c r="X1723" s="21" t="n">
        <v>81252570035</v>
      </c>
      <c r="Y1723" s="22" t="str">
        <f aca="false">O1723</f>
        <v>Helper</v>
      </c>
      <c r="Z1723" s="13" t="str">
        <f aca="false">IFERROR(__xludf.dummyfunction("if(BJ1723="""","""",GOOGLETRANSLATE(BJ1723,""auto"",""en""))"),"Helper")</f>
        <v>Helper</v>
      </c>
      <c r="AA1723" s="23" t="str">
        <f aca="false">IF(C1723="","", CHOOSE(MONTH(C1723),"January","February","March","April","May","June","July","August","September","October","November","December")&amp;" "&amp;DAY(C1723)&amp;MID("thstndrdth",MIN(9,2*RIGHT(DAY(C1723))*(MOD(DAY(C1723)-11,100)&gt;2)+1),2)&amp;","&amp;TEXT(C1723," yyyy"))</f>
        <v>November 18th,2024</v>
      </c>
      <c r="AB1723" s="15" t="str">
        <f aca="true">IF(S1723="","",DATEDIF(S1723,TODAY(),"Y")&amp;" Tahun, "&amp;DATEDIF(S1723,TODAY(),"YM")&amp;" Bulan, "&amp;DATEDIF(S1723,TODAY(),"MD")&amp;" Hari")</f>
        <v>41 Tahun, 5 Bulan, 24 Hari</v>
      </c>
      <c r="AC1723" s="18" t="n">
        <v>45795</v>
      </c>
      <c r="AD1723" s="18" t="n">
        <v>46022</v>
      </c>
      <c r="AE1723" s="18" t="s">
        <v>44</v>
      </c>
    </row>
    <row r="1724" customFormat="false" ht="15" hidden="false" customHeight="true" outlineLevel="0" collapsed="false">
      <c r="A1724" s="12" t="n">
        <v>17931</v>
      </c>
      <c r="B1724" s="13" t="s">
        <v>7499</v>
      </c>
      <c r="C1724" s="14" t="n">
        <v>45621</v>
      </c>
      <c r="D1724" s="13" t="s">
        <v>144</v>
      </c>
      <c r="E1724" s="15" t="s">
        <v>47</v>
      </c>
      <c r="F1724" s="15" t="str">
        <f aca="false">IFERROR(__xludf.dummyfunction("XLOOKUP(AJ1724,IMPORTRANGE(""1XaInW9DU9nz21V0tYIfzFQ0He9kVQ_JF2mCXgZ3hqFA"",""REKAP ALL 2026 - Andika!G:G""),IMPORTRANGE(""1XaInW9DU9nz21V0tYIfzFQ0He9kVQ_JF2mCXgZ3hqFA"",""REKAP ALL 2026 - Andika!F:F""),"""",0)"),"24216706424")</f>
        <v>24216706424</v>
      </c>
      <c r="G1724" s="15" t="s">
        <v>7500</v>
      </c>
      <c r="H1724" s="13" t="s">
        <v>35</v>
      </c>
      <c r="I1724" s="13" t="str">
        <f aca="false">IF(C1724=J1724,"NEW KONTRAK","RE-KONTRAK")</f>
        <v>RE-KONTRAK</v>
      </c>
      <c r="J1724" s="16" t="n">
        <f aca="false" t="array" ref="J1724:J1724">IFERROR(INDEX(AC1724:AE1724,IF(COUNTA(AC1724:AE1724)=0,"",MAX((AC1724:AE1724&lt;&gt;"")*(COLUMN(AC1724:AE1724)-(COLUMN(AC1724)))))-1),"")</f>
        <v>45658</v>
      </c>
      <c r="K1724" s="16" t="n">
        <f aca="false" t="array" ref="K1724:K1724">IFERROR(INDEX(AC1724:AE1724,IF(COUNTA(AC1724:AE1724)=0,"",MAX((AC1724:AE1724&lt;&gt;"")*(COLUMN(AC1724:AE1724)-(COLUMN(AC1724)-1))))-1),"")</f>
        <v>46022</v>
      </c>
      <c r="L1724" s="17" t="str">
        <f aca="false" t="array" ref="L1724:L1724">IFERROR(INDEX(AC1724:AE1724,IF(COUNTA(AC1724:AE1724)=0,"",MAX((AC1724:AE1724&lt;&gt;"")*(COLUMN(AC1724:AE1724)-(COLUMN(AC1724)-2))))-1),"")</f>
        <v>ARCHIVED</v>
      </c>
      <c r="M1724" s="13" t="n">
        <f aca="true">K1724-TODAY()</f>
        <v>-302</v>
      </c>
      <c r="N1724" s="18" t="s">
        <v>36</v>
      </c>
      <c r="O1724" s="13" t="s">
        <v>146</v>
      </c>
      <c r="P1724" s="19" t="n">
        <v>5195401</v>
      </c>
      <c r="Q1724" s="20" t="s">
        <v>7501</v>
      </c>
      <c r="R1724" s="13" t="s">
        <v>65</v>
      </c>
      <c r="S1724" s="14" t="n">
        <v>34970</v>
      </c>
      <c r="T1724" s="13" t="s">
        <v>40</v>
      </c>
      <c r="U1724" s="13" t="s">
        <v>7502</v>
      </c>
      <c r="V1724" s="13" t="s">
        <v>42</v>
      </c>
      <c r="W1724" s="13" t="s">
        <v>43</v>
      </c>
      <c r="X1724" s="21" t="n">
        <v>87865538088</v>
      </c>
      <c r="Y1724" s="22" t="str">
        <f aca="false">O1724</f>
        <v>Enamel</v>
      </c>
      <c r="Z1724" s="13" t="str">
        <f aca="false">IFERROR(__xludf.dummyfunction("if(BJ1724="""","""",GOOGLETRANSLATE(BJ1724,""auto"",""en""))"),"Enamel")</f>
        <v>Enamel</v>
      </c>
      <c r="AA1724" s="23" t="str">
        <f aca="false">IF(C1724="","", CHOOSE(MONTH(C1724),"January","February","March","April","May","June","July","August","September","October","November","December")&amp;" "&amp;DAY(C1724)&amp;MID("thstndrdth",MIN(9,2*RIGHT(DAY(C1724))*(MOD(DAY(C1724)-11,100)&gt;2)+1),2)&amp;","&amp;TEXT(C1724," yyyy"))</f>
        <v>November 25th,2024</v>
      </c>
      <c r="AB1724" s="15" t="str">
        <f aca="true">IF(S1724="","",DATEDIF(S1724,TODAY(),"Y")&amp;" Tahun, "&amp;DATEDIF(S1724,TODAY(),"YM")&amp;" Bulan, "&amp;DATEDIF(S1724,TODAY(),"MD")&amp;" Hari")</f>
        <v>31 Tahun, 1 Bulan, 1 Hari</v>
      </c>
      <c r="AC1724" s="18" t="n">
        <v>45658</v>
      </c>
      <c r="AD1724" s="18" t="n">
        <v>46022</v>
      </c>
      <c r="AE1724" s="18" t="s">
        <v>44</v>
      </c>
    </row>
    <row r="1725" customFormat="false" ht="15" hidden="false" customHeight="true" outlineLevel="0" collapsed="false">
      <c r="A1725" s="12" t="n">
        <v>17932</v>
      </c>
      <c r="B1725" s="13" t="s">
        <v>7503</v>
      </c>
      <c r="C1725" s="14" t="n">
        <v>45621</v>
      </c>
      <c r="D1725" s="13" t="s">
        <v>144</v>
      </c>
      <c r="E1725" s="15" t="s">
        <v>47</v>
      </c>
      <c r="F1725" s="15" t="str">
        <f aca="false">IFERROR(__xludf.dummyfunction("XLOOKUP(AJ1725,IMPORTRANGE(""1XaInW9DU9nz21V0tYIfzFQ0He9kVQ_JF2mCXgZ3hqFA"",""REKAP ALL 2026 - Andika!G:G""),IMPORTRANGE(""1XaInW9DU9nz21V0tYIfzFQ0He9kVQ_JF2mCXgZ3hqFA"",""REKAP ALL 2026 - Andika!F:F""),"""",0)"),"24216706416")</f>
        <v>24216706416</v>
      </c>
      <c r="G1725" s="15" t="s">
        <v>7504</v>
      </c>
      <c r="H1725" s="13" t="s">
        <v>35</v>
      </c>
      <c r="I1725" s="13" t="str">
        <f aca="false">IF(C1725=J1725,"NEW KONTRAK","RE-KONTRAK")</f>
        <v>RE-KONTRAK</v>
      </c>
      <c r="J1725" s="16" t="n">
        <f aca="false" t="array" ref="J1725:J1725">IFERROR(INDEX(AC1725:AE1725,IF(COUNTA(AC1725:AE1725)=0,"",MAX((AC1725:AE1725&lt;&gt;"")*(COLUMN(AC1725:AE1725)-(COLUMN(AC1725)))))-1),"")</f>
        <v>45658</v>
      </c>
      <c r="K1725" s="16" t="n">
        <f aca="false" t="array" ref="K1725:K1725">IFERROR(INDEX(AC1725:AE1725,IF(COUNTA(AC1725:AE1725)=0,"",MAX((AC1725:AE1725&lt;&gt;"")*(COLUMN(AC1725:AE1725)-(COLUMN(AC1725)-1))))-1),"")</f>
        <v>46022</v>
      </c>
      <c r="L1725" s="17" t="str">
        <f aca="false" t="array" ref="L1725:L1725">IFERROR(INDEX(AC1725:AE1725,IF(COUNTA(AC1725:AE1725)=0,"",MAX((AC1725:AE1725&lt;&gt;"")*(COLUMN(AC1725:AE1725)-(COLUMN(AC1725)-2))))-1),"")</f>
        <v>ARCHIVED</v>
      </c>
      <c r="M1725" s="13" t="n">
        <f aca="true">K1725-TODAY()</f>
        <v>-302</v>
      </c>
      <c r="N1725" s="18" t="s">
        <v>36</v>
      </c>
      <c r="O1725" s="13" t="s">
        <v>146</v>
      </c>
      <c r="P1725" s="19" t="n">
        <v>5195401</v>
      </c>
      <c r="Q1725" s="20" t="s">
        <v>7505</v>
      </c>
      <c r="R1725" s="13" t="s">
        <v>52</v>
      </c>
      <c r="S1725" s="14" t="n">
        <v>34474</v>
      </c>
      <c r="T1725" s="13" t="s">
        <v>40</v>
      </c>
      <c r="U1725" s="13" t="s">
        <v>7506</v>
      </c>
      <c r="V1725" s="13" t="s">
        <v>42</v>
      </c>
      <c r="W1725" s="13" t="s">
        <v>43</v>
      </c>
      <c r="X1725" s="21" t="n">
        <v>85735422254</v>
      </c>
      <c r="Y1725" s="22" t="str">
        <f aca="false">O1725</f>
        <v>Enamel</v>
      </c>
      <c r="Z1725" s="13" t="str">
        <f aca="false">IFERROR(__xludf.dummyfunction("if(BJ1725="""","""",GOOGLETRANSLATE(BJ1725,""auto"",""en""))"),"Enamel")</f>
        <v>Enamel</v>
      </c>
      <c r="AA1725" s="23" t="str">
        <f aca="false">IF(C1725="","", CHOOSE(MONTH(C1725),"January","February","March","April","May","June","July","August","September","October","November","December")&amp;" "&amp;DAY(C1725)&amp;MID("thstndrdth",MIN(9,2*RIGHT(DAY(C1725))*(MOD(DAY(C1725)-11,100)&gt;2)+1),2)&amp;","&amp;TEXT(C1725," yyyy"))</f>
        <v>November 25th,2024</v>
      </c>
      <c r="AB1725" s="15" t="str">
        <f aca="true">IF(S1725="","",DATEDIF(S1725,TODAY(),"Y")&amp;" Tahun, "&amp;DATEDIF(S1725,TODAY(),"YM")&amp;" Bulan, "&amp;DATEDIF(S1725,TODAY(),"MD")&amp;" Hari")</f>
        <v>32 Tahun, 5 Bulan, 9 Hari</v>
      </c>
      <c r="AC1725" s="18" t="n">
        <v>45658</v>
      </c>
      <c r="AD1725" s="18" t="n">
        <v>46022</v>
      </c>
      <c r="AE1725" s="18" t="s">
        <v>44</v>
      </c>
    </row>
    <row r="1726" customFormat="false" ht="15" hidden="false" customHeight="true" outlineLevel="0" collapsed="false">
      <c r="A1726" s="12" t="n">
        <v>17933</v>
      </c>
      <c r="B1726" s="13" t="s">
        <v>7507</v>
      </c>
      <c r="C1726" s="14" t="n">
        <v>45621</v>
      </c>
      <c r="D1726" s="13" t="s">
        <v>144</v>
      </c>
      <c r="E1726" s="15" t="s">
        <v>47</v>
      </c>
      <c r="F1726" s="15" t="str">
        <f aca="false">IFERROR(__xludf.dummyfunction("XLOOKUP(AJ1726,IMPORTRANGE(""1XaInW9DU9nz21V0tYIfzFQ0He9kVQ_JF2mCXgZ3hqFA"",""REKAP ALL 2026 - Andika!G:G""),IMPORTRANGE(""1XaInW9DU9nz21V0tYIfzFQ0He9kVQ_JF2mCXgZ3hqFA"",""REKAP ALL 2026 - Andika!F:F""),"""",0)"),"24216706408")</f>
        <v>24216706408</v>
      </c>
      <c r="G1726" s="15" t="s">
        <v>7508</v>
      </c>
      <c r="H1726" s="13" t="s">
        <v>35</v>
      </c>
      <c r="I1726" s="13" t="str">
        <f aca="false">IF(C1726=J1726,"NEW KONTRAK","RE-KONTRAK")</f>
        <v>RE-KONTRAK</v>
      </c>
      <c r="J1726" s="16" t="n">
        <f aca="false" t="array" ref="J1726:J1726">IFERROR(INDEX(AC1726:AE1726,IF(COUNTA(AC1726:AE1726)=0,"",MAX((AC1726:AE1726&lt;&gt;"")*(COLUMN(AC1726:AE1726)-(COLUMN(AC1726)))))-1),"")</f>
        <v>45658</v>
      </c>
      <c r="K1726" s="16" t="n">
        <f aca="false" t="array" ref="K1726:K1726">IFERROR(INDEX(AC1726:AE1726,IF(COUNTA(AC1726:AE1726)=0,"",MAX((AC1726:AE1726&lt;&gt;"")*(COLUMN(AC1726:AE1726)-(COLUMN(AC1726)-1))))-1),"")</f>
        <v>46022</v>
      </c>
      <c r="L1726" s="17" t="str">
        <f aca="false" t="array" ref="L1726:L1726">IFERROR(INDEX(AC1726:AE1726,IF(COUNTA(AC1726:AE1726)=0,"",MAX((AC1726:AE1726&lt;&gt;"")*(COLUMN(AC1726:AE1726)-(COLUMN(AC1726)-2))))-1),"")</f>
        <v>ARCHIVED</v>
      </c>
      <c r="M1726" s="13" t="n">
        <f aca="true">K1726-TODAY()</f>
        <v>-302</v>
      </c>
      <c r="N1726" s="18" t="s">
        <v>36</v>
      </c>
      <c r="O1726" s="13" t="s">
        <v>146</v>
      </c>
      <c r="P1726" s="19" t="n">
        <v>5195401</v>
      </c>
      <c r="Q1726" s="20" t="s">
        <v>7509</v>
      </c>
      <c r="R1726" s="13" t="s">
        <v>65</v>
      </c>
      <c r="S1726" s="14" t="n">
        <v>33992</v>
      </c>
      <c r="T1726" s="13" t="s">
        <v>40</v>
      </c>
      <c r="U1726" s="13" t="s">
        <v>7510</v>
      </c>
      <c r="V1726" s="13" t="s">
        <v>42</v>
      </c>
      <c r="W1726" s="13" t="s">
        <v>54</v>
      </c>
      <c r="X1726" s="21" t="n">
        <v>85290260824</v>
      </c>
      <c r="Y1726" s="22" t="str">
        <f aca="false">O1726</f>
        <v>Enamel</v>
      </c>
      <c r="Z1726" s="13" t="str">
        <f aca="false">IFERROR(__xludf.dummyfunction("if(BJ1726="""","""",GOOGLETRANSLATE(BJ1726,""auto"",""en""))"),"Enamel")</f>
        <v>Enamel</v>
      </c>
      <c r="AA1726" s="23" t="str">
        <f aca="false">IF(C1726="","", CHOOSE(MONTH(C1726),"January","February","March","April","May","June","July","August","September","October","November","December")&amp;" "&amp;DAY(C1726)&amp;MID("thstndrdth",MIN(9,2*RIGHT(DAY(C1726))*(MOD(DAY(C1726)-11,100)&gt;2)+1),2)&amp;","&amp;TEXT(C1726," yyyy"))</f>
        <v>November 25th,2024</v>
      </c>
      <c r="AB1726" s="15" t="str">
        <f aca="true">IF(S1726="","",DATEDIF(S1726,TODAY(),"Y")&amp;" Tahun, "&amp;DATEDIF(S1726,TODAY(),"YM")&amp;" Bulan, "&amp;DATEDIF(S1726,TODAY(),"MD")&amp;" Hari")</f>
        <v>33 Tahun, 9 Bulan, 6 Hari</v>
      </c>
      <c r="AC1726" s="18" t="n">
        <v>45658</v>
      </c>
      <c r="AD1726" s="18" t="n">
        <v>46022</v>
      </c>
      <c r="AE1726" s="18" t="s">
        <v>44</v>
      </c>
    </row>
    <row r="1727" customFormat="false" ht="15" hidden="false" customHeight="true" outlineLevel="0" collapsed="false">
      <c r="A1727" s="12" t="n">
        <v>17937</v>
      </c>
      <c r="B1727" s="13" t="s">
        <v>7511</v>
      </c>
      <c r="C1727" s="14" t="n">
        <v>45597</v>
      </c>
      <c r="D1727" s="13" t="s">
        <v>3573</v>
      </c>
      <c r="E1727" s="15" t="s">
        <v>102</v>
      </c>
      <c r="F1727" s="15" t="str">
        <f aca="false">IFERROR(__xludf.dummyfunction("XLOOKUP(AJ1727,IMPORTRANGE(""1XaInW9DU9nz21V0tYIfzFQ0He9kVQ_JF2mCXgZ3hqFA"",""REKAP ALL 2026 - Andika!G:G""),IMPORTRANGE(""1XaInW9DU9nz21V0tYIfzFQ0He9kVQ_JF2mCXgZ3hqFA"",""REKAP ALL 2026 - Andika!F:F""),"""",0)"),"24216681841")</f>
        <v>24216681841</v>
      </c>
      <c r="G1727" s="15" t="s">
        <v>7512</v>
      </c>
      <c r="H1727" s="13" t="s">
        <v>35</v>
      </c>
      <c r="I1727" s="13" t="str">
        <f aca="false">IF(C1727=J1727,"NEW KONTRAK","RE-KONTRAK")</f>
        <v>RE-KONTRAK</v>
      </c>
      <c r="J1727" s="16" t="n">
        <f aca="false" t="array" ref="J1727:J1727">IFERROR(INDEX(AC1727:AE1727,IF(COUNTA(AC1727:AE1727)=0,"",MAX((AC1727:AE1727&lt;&gt;"")*(COLUMN(AC1727:AE1727)-(COLUMN(AC1727)))))-1),"")</f>
        <v>45658</v>
      </c>
      <c r="K1727" s="16" t="n">
        <f aca="false" t="array" ref="K1727:K1727">IFERROR(INDEX(AC1727:AE1727,IF(COUNTA(AC1727:AE1727)=0,"",MAX((AC1727:AE1727&lt;&gt;"")*(COLUMN(AC1727:AE1727)-(COLUMN(AC1727)-1))))-1),"")</f>
        <v>46022</v>
      </c>
      <c r="L1727" s="17" t="str">
        <f aca="false" t="array" ref="L1727:L1727">IFERROR(INDEX(AC1727:AE1727,IF(COUNTA(AC1727:AE1727)=0,"",MAX((AC1727:AE1727&lt;&gt;"")*(COLUMN(AC1727:AE1727)-(COLUMN(AC1727)-2))))-1),"")</f>
        <v>ARCHIVED</v>
      </c>
      <c r="M1727" s="13" t="n">
        <f aca="true">K1727-TODAY()</f>
        <v>-302</v>
      </c>
      <c r="N1727" s="18" t="s">
        <v>3576</v>
      </c>
      <c r="O1727" s="13" t="s">
        <v>3577</v>
      </c>
      <c r="P1727" s="19" t="n">
        <v>2492811</v>
      </c>
      <c r="Q1727" s="20" t="s">
        <v>7513</v>
      </c>
      <c r="R1727" s="13" t="s">
        <v>260</v>
      </c>
      <c r="S1727" s="14" t="n">
        <v>36197</v>
      </c>
      <c r="T1727" s="13" t="s">
        <v>40</v>
      </c>
      <c r="U1727" s="13" t="s">
        <v>7514</v>
      </c>
      <c r="V1727" s="13" t="s">
        <v>42</v>
      </c>
      <c r="W1727" s="13" t="s">
        <v>43</v>
      </c>
      <c r="X1727" s="21" t="n">
        <v>89696568077</v>
      </c>
      <c r="Y1727" s="22" t="str">
        <f aca="false">O1727</f>
        <v>Kerani Gudang</v>
      </c>
      <c r="Z1727" s="13" t="str">
        <f aca="false">IFERROR(__xludf.dummyfunction("if(BJ1727="""","""",GOOGLETRANSLATE(BJ1727,""auto"",""en""))"),"Warehouse Clerk")</f>
        <v>Warehouse Clerk</v>
      </c>
      <c r="AA1727" s="23" t="str">
        <f aca="false">IF(C1727="","", CHOOSE(MONTH(C1727),"January","February","March","April","May","June","July","August","September","October","November","December")&amp;" "&amp;DAY(C1727)&amp;MID("thstndrdth",MIN(9,2*RIGHT(DAY(C1727))*(MOD(DAY(C1727)-11,100)&gt;2)+1),2)&amp;","&amp;TEXT(C1727," yyyy"))</f>
        <v>November 1st,2024</v>
      </c>
      <c r="AB1727" s="15" t="str">
        <f aca="true">IF(S1727="","",DATEDIF(S1727,TODAY(),"Y")&amp;" Tahun, "&amp;DATEDIF(S1727,TODAY(),"YM")&amp;" Bulan, "&amp;DATEDIF(S1727,TODAY(),"MD")&amp;" Hari")</f>
        <v>27 Tahun, 8 Bulan, 23 Hari</v>
      </c>
      <c r="AC1727" s="18" t="n">
        <v>45658</v>
      </c>
      <c r="AD1727" s="18" t="n">
        <v>46022</v>
      </c>
      <c r="AE1727" s="18" t="s">
        <v>44</v>
      </c>
    </row>
    <row r="1728" customFormat="false" ht="15" hidden="false" customHeight="true" outlineLevel="0" collapsed="false">
      <c r="A1728" s="12" t="n">
        <v>17940</v>
      </c>
      <c r="B1728" s="13" t="s">
        <v>7515</v>
      </c>
      <c r="C1728" s="14" t="n">
        <v>45615</v>
      </c>
      <c r="D1728" s="13" t="s">
        <v>2033</v>
      </c>
      <c r="E1728" s="15" t="s">
        <v>102</v>
      </c>
      <c r="F1728" s="15" t="str">
        <f aca="false">IFERROR(__xludf.dummyfunction("XLOOKUP(AJ1728,IMPORTRANGE(""1XaInW9DU9nz21V0tYIfzFQ0He9kVQ_JF2mCXgZ3hqFA"",""REKAP ALL 2026 - Andika!G:G""),IMPORTRANGE(""1XaInW9DU9nz21V0tYIfzFQ0He9kVQ_JF2mCXgZ3hqFA"",""REKAP ALL 2026 - Andika!F:F""),"""",0)"),"25062536153")</f>
        <v>25062536153</v>
      </c>
      <c r="G1728" s="15" t="s">
        <v>7516</v>
      </c>
      <c r="H1728" s="13" t="s">
        <v>2035</v>
      </c>
      <c r="I1728" s="13" t="str">
        <f aca="false">IF(C1728=J1728,"NEW KONTRAK","RE-KONTRAK")</f>
        <v>RE-KONTRAK</v>
      </c>
      <c r="J1728" s="16" t="n">
        <f aca="false" t="array" ref="J1728:J1728">IFERROR(INDEX(AC1728:AE1728,IF(COUNTA(AC1728:AE1728)=0,"",MAX((AC1728:AE1728&lt;&gt;"")*(COLUMN(AC1728:AE1728)-(COLUMN(AC1728)))))-1),"")</f>
        <v>45744</v>
      </c>
      <c r="K1728" s="16" t="n">
        <f aca="false" t="array" ref="K1728:K1728">IFERROR(INDEX(AC1728:AE1728,IF(COUNTA(AC1728:AE1728)=0,"",MAX((AC1728:AE1728&lt;&gt;"")*(COLUMN(AC1728:AE1728)-(COLUMN(AC1728)-1))))-1),"")</f>
        <v>45915</v>
      </c>
      <c r="L1728" s="17" t="str">
        <f aca="false" t="array" ref="L1728:L1728">IFERROR(INDEX(AC1728:AE1728,IF(COUNTA(AC1728:AE1728)=0,"",MAX((AC1728:AE1728&lt;&gt;"")*(COLUMN(AC1728:AE1728)-(COLUMN(AC1728)-2))))-1),"")</f>
        <v>ARCHIVED</v>
      </c>
      <c r="M1728" s="13" t="n">
        <f aca="true">K1728-TODAY()</f>
        <v>-409</v>
      </c>
      <c r="N1728" s="51" t="s">
        <v>2356</v>
      </c>
      <c r="O1728" s="13" t="s">
        <v>2037</v>
      </c>
      <c r="P1728" s="19" t="n">
        <v>4148179</v>
      </c>
      <c r="Q1728" s="20" t="s">
        <v>7517</v>
      </c>
      <c r="R1728" s="13" t="s">
        <v>7518</v>
      </c>
      <c r="S1728" s="14" t="n">
        <v>36474</v>
      </c>
      <c r="T1728" s="13" t="s">
        <v>108</v>
      </c>
      <c r="U1728" s="13" t="s">
        <v>7519</v>
      </c>
      <c r="V1728" s="13" t="s">
        <v>42</v>
      </c>
      <c r="W1728" s="13" t="s">
        <v>43</v>
      </c>
      <c r="X1728" s="21" t="n">
        <v>81255129316</v>
      </c>
      <c r="Y1728" s="22" t="str">
        <f aca="false">O1728</f>
        <v>SPG/BA</v>
      </c>
      <c r="Z1728" s="13" t="str">
        <f aca="false">IFERROR(__xludf.dummyfunction("if(BJ1728="""","""",GOOGLETRANSLATE(BJ1728,""auto"",""en""))"),"SPG/BA")</f>
        <v>SPG/BA</v>
      </c>
      <c r="AA1728" s="23" t="str">
        <f aca="false">IF(C1728="","", CHOOSE(MONTH(C1728),"January","February","March","April","May","June","July","August","September","October","November","December")&amp;" "&amp;DAY(C1728)&amp;MID("thstndrdth",MIN(9,2*RIGHT(DAY(C1728))*(MOD(DAY(C1728)-11,100)&gt;2)+1),2)&amp;","&amp;TEXT(C1728," yyyy"))</f>
        <v>November 19th,2024</v>
      </c>
      <c r="AB1728" s="15" t="str">
        <f aca="true">IF(S1728="","",DATEDIF(S1728,TODAY(),"Y")&amp;" Tahun, "&amp;DATEDIF(S1728,TODAY(),"YM")&amp;" Bulan, "&amp;DATEDIF(S1728,TODAY(),"MD")&amp;" Hari")</f>
        <v>26 Tahun, 11 Bulan, 19 Hari</v>
      </c>
      <c r="AC1728" s="18" t="n">
        <v>45744</v>
      </c>
      <c r="AD1728" s="18" t="n">
        <v>45915</v>
      </c>
      <c r="AE1728" s="18" t="s">
        <v>44</v>
      </c>
    </row>
    <row r="1729" customFormat="false" ht="15" hidden="false" customHeight="true" outlineLevel="0" collapsed="false">
      <c r="A1729" s="12" t="n">
        <v>19874</v>
      </c>
      <c r="B1729" s="13" t="s">
        <v>7520</v>
      </c>
      <c r="C1729" s="16" t="n">
        <v>45824</v>
      </c>
      <c r="D1729" s="13" t="s">
        <v>2033</v>
      </c>
      <c r="E1729" s="15" t="s">
        <v>47</v>
      </c>
      <c r="F1729" s="15" t="str">
        <f aca="false">IFERROR(__xludf.dummyfunction("XLOOKUP(AJ1729,IMPORTRANGE(""1XaInW9DU9nz21V0tYIfzFQ0He9kVQ_JF2mCXgZ3hqFA"",""REKAP ALL 2026 - Andika!G:G""),IMPORTRANGE(""1XaInW9DU9nz21V0tYIfzFQ0He9kVQ_JF2mCXgZ3hqFA"",""REKAP ALL 2026 - Andika!F:F""),"""",0)"),"25079803455")</f>
        <v>25079803455</v>
      </c>
      <c r="G1729" s="13" t="s">
        <v>1127</v>
      </c>
      <c r="H1729" s="13" t="s">
        <v>2035</v>
      </c>
      <c r="I1729" s="13" t="str">
        <f aca="false">IF(C1729=J1729,"NEW KONTRAK","RE-KONTRAK")</f>
        <v>NEW KONTRAK</v>
      </c>
      <c r="J1729" s="16" t="n">
        <f aca="false" t="array" ref="J1729:J1729">IFERROR(INDEX(AC1729:AE1729,IF(COUNTA(AC1729:AE1729)=0,"",MAX((AC1729:AE1729&lt;&gt;"")*(COLUMN(AC1729:AE1729)-(COLUMN(AC1729)))))-1),"")</f>
        <v>45824</v>
      </c>
      <c r="K1729" s="16" t="n">
        <f aca="false" t="array" ref="K1729:K1729">IFERROR(INDEX(AC1729:AE1729,IF(COUNTA(AC1729:AE1729)=0,"",MAX((AC1729:AE1729&lt;&gt;"")*(COLUMN(AC1729:AE1729)-(COLUMN(AC1729)-1))))-1),"")</f>
        <v>45915</v>
      </c>
      <c r="L1729" s="17" t="str">
        <f aca="false" t="array" ref="L1729:L1729">IFERROR(INDEX(AC1729:AE1729,IF(COUNTA(AC1729:AE1729)=0,"",MAX((AC1729:AE1729&lt;&gt;"")*(COLUMN(AC1729:AE1729)-(COLUMN(AC1729)-2))))-1),"")</f>
        <v>ARCHIVED</v>
      </c>
      <c r="M1729" s="13" t="n">
        <f aca="true">K1729-TODAY()</f>
        <v>-409</v>
      </c>
      <c r="N1729" s="18" t="s">
        <v>2587</v>
      </c>
      <c r="O1729" s="13" t="s">
        <v>2037</v>
      </c>
      <c r="P1729" s="19" t="n">
        <v>3855894</v>
      </c>
      <c r="Q1729" s="20" t="s">
        <v>7521</v>
      </c>
      <c r="R1729" s="13" t="s">
        <v>2587</v>
      </c>
      <c r="S1729" s="16" t="n">
        <v>37570</v>
      </c>
      <c r="T1729" s="13" t="s">
        <v>108</v>
      </c>
      <c r="U1729" s="13" t="s">
        <v>7522</v>
      </c>
      <c r="V1729" s="13" t="s">
        <v>42</v>
      </c>
      <c r="W1729" s="13" t="s">
        <v>43</v>
      </c>
      <c r="X1729" s="21" t="n">
        <v>895373018684</v>
      </c>
      <c r="Y1729" s="22" t="str">
        <f aca="false">O1729</f>
        <v>SPG/BA</v>
      </c>
      <c r="Z1729" s="13" t="str">
        <f aca="false">IFERROR(__xludf.dummyfunction("if(BJ1729="""","""",GOOGLETRANSLATE(BJ1729,""auto"",""en""))"),"SPG/BA")</f>
        <v>SPG/BA</v>
      </c>
      <c r="AA1729" s="23" t="str">
        <f aca="false">IF(C1729="","", CHOOSE(MONTH(C1729),"January","February","March","April","May","June","July","August","September","October","November","December")&amp;" "&amp;DAY(C1729)&amp;MID("thstndrdth",MIN(9,2*RIGHT(DAY(C1729))*(MOD(DAY(C1729)-11,100)&gt;2)+1),2)&amp;","&amp;TEXT(C1729," yyyy"))</f>
        <v>June 16th,2025</v>
      </c>
      <c r="AB1729" s="15" t="str">
        <f aca="true">IF(S1729="","",DATEDIF(S1729,TODAY(),"Y")&amp;" Tahun, "&amp;DATEDIF(S1729,TODAY(),"YM")&amp;" Bulan, "&amp;DATEDIF(S1729,TODAY(),"MD")&amp;" Hari")</f>
        <v>23 Tahun, 11 Bulan, 19 Hari</v>
      </c>
      <c r="AC1729" s="18" t="n">
        <v>45824</v>
      </c>
      <c r="AD1729" s="18" t="n">
        <v>45915</v>
      </c>
      <c r="AE1729" s="18" t="s">
        <v>44</v>
      </c>
    </row>
    <row r="1730" customFormat="false" ht="15" hidden="false" customHeight="true" outlineLevel="0" collapsed="false">
      <c r="A1730" s="12" t="n">
        <v>17943</v>
      </c>
      <c r="B1730" s="69" t="s">
        <v>7523</v>
      </c>
      <c r="C1730" s="14" t="n">
        <v>45623</v>
      </c>
      <c r="D1730" s="13" t="s">
        <v>2033</v>
      </c>
      <c r="E1730" s="15" t="s">
        <v>102</v>
      </c>
      <c r="F1730" s="15" t="str">
        <f aca="false">IFERROR(__xludf.dummyfunction("XLOOKUP(AJ1730,IMPORTRANGE(""1XaInW9DU9nz21V0tYIfzFQ0He9kVQ_JF2mCXgZ3hqFA"",""REKAP ALL 2026 - Andika!G:G""),IMPORTRANGE(""1XaInW9DU9nz21V0tYIfzFQ0He9kVQ_JF2mCXgZ3hqFA"",""REKAP ALL 2026 - Andika!F:F""),"""",0)"),"25062536237")</f>
        <v>25062536237</v>
      </c>
      <c r="G1730" s="15" t="s">
        <v>7524</v>
      </c>
      <c r="H1730" s="13" t="s">
        <v>2035</v>
      </c>
      <c r="I1730" s="13" t="str">
        <f aca="false">IF(C1730=J1730,"NEW KONTRAK","RE-KONTRAK")</f>
        <v>RE-KONTRAK</v>
      </c>
      <c r="J1730" s="16" t="n">
        <f aca="false" t="array" ref="J1730:J1730">IFERROR(INDEX(AC1730:AE1730,IF(COUNTA(AC1730:AE1730)=0,"",MAX((AC1730:AE1730&lt;&gt;"")*(COLUMN(AC1730:AE1730)-(COLUMN(AC1730)))))-1),"")</f>
        <v>45744</v>
      </c>
      <c r="K1730" s="16" t="n">
        <f aca="false" t="array" ref="K1730:K1730">IFERROR(INDEX(AC1730:AE1730,IF(COUNTA(AC1730:AE1730)=0,"",MAX((AC1730:AE1730&lt;&gt;"")*(COLUMN(AC1730:AE1730)-(COLUMN(AC1730)-1))))-1),"")</f>
        <v>45915</v>
      </c>
      <c r="L1730" s="17" t="str">
        <f aca="false" t="array" ref="L1730:L1730">IFERROR(INDEX(AC1730:AE1730,IF(COUNTA(AC1730:AE1730)=0,"",MAX((AC1730:AE1730&lt;&gt;"")*(COLUMN(AC1730:AE1730)-(COLUMN(AC1730)-2))))-1),"")</f>
        <v>ARCHIVED</v>
      </c>
      <c r="M1730" s="13" t="n">
        <f aca="true">K1730-TODAY()</f>
        <v>-409</v>
      </c>
      <c r="N1730" s="51" t="s">
        <v>7525</v>
      </c>
      <c r="O1730" s="13" t="s">
        <v>2037</v>
      </c>
      <c r="P1730" s="19" t="n">
        <v>3525154</v>
      </c>
      <c r="Q1730" s="20" t="s">
        <v>7526</v>
      </c>
      <c r="R1730" s="13" t="s">
        <v>7527</v>
      </c>
      <c r="S1730" s="14" t="n">
        <v>38606</v>
      </c>
      <c r="T1730" s="13" t="s">
        <v>108</v>
      </c>
      <c r="U1730" s="13" t="s">
        <v>7528</v>
      </c>
      <c r="V1730" s="13" t="s">
        <v>42</v>
      </c>
      <c r="W1730" s="13" t="s">
        <v>43</v>
      </c>
      <c r="X1730" s="21" t="n">
        <v>81346339584</v>
      </c>
      <c r="Y1730" s="22" t="str">
        <f aca="false">O1730</f>
        <v>SPG/BA</v>
      </c>
      <c r="Z1730" s="13" t="str">
        <f aca="false">IFERROR(__xludf.dummyfunction("if(BJ1730="""","""",GOOGLETRANSLATE(BJ1730,""auto"",""en""))"),"SPG/BA")</f>
        <v>SPG/BA</v>
      </c>
      <c r="AA1730" s="23" t="str">
        <f aca="false">IF(C1730="","", CHOOSE(MONTH(C1730),"January","February","March","April","May","June","July","August","September","October","November","December")&amp;" "&amp;DAY(C1730)&amp;MID("thstndrdth",MIN(9,2*RIGHT(DAY(C1730))*(MOD(DAY(C1730)-11,100)&gt;2)+1),2)&amp;","&amp;TEXT(C1730," yyyy"))</f>
        <v>November 27th,2024</v>
      </c>
      <c r="AB1730" s="15" t="str">
        <f aca="true">IF(S1730="","",DATEDIF(S1730,TODAY(),"Y")&amp;" Tahun, "&amp;DATEDIF(S1730,TODAY(),"YM")&amp;" Bulan, "&amp;DATEDIF(S1730,TODAY(),"MD")&amp;" Hari")</f>
        <v>21 Tahun, 1 Bulan, 18 Hari</v>
      </c>
      <c r="AC1730" s="18" t="n">
        <v>45744</v>
      </c>
      <c r="AD1730" s="18" t="n">
        <v>45915</v>
      </c>
      <c r="AE1730" s="18" t="s">
        <v>44</v>
      </c>
    </row>
    <row r="1731" customFormat="false" ht="15" hidden="false" customHeight="true" outlineLevel="0" collapsed="false">
      <c r="A1731" s="12" t="n">
        <v>17949</v>
      </c>
      <c r="B1731" s="13" t="s">
        <v>7529</v>
      </c>
      <c r="C1731" s="14" t="n">
        <v>45626</v>
      </c>
      <c r="D1731" s="13" t="s">
        <v>1338</v>
      </c>
      <c r="E1731" s="15" t="s">
        <v>47</v>
      </c>
      <c r="F1731" s="24" t="s">
        <v>7530</v>
      </c>
      <c r="G1731" s="15" t="s">
        <v>57</v>
      </c>
      <c r="H1731" s="13" t="s">
        <v>2334</v>
      </c>
      <c r="I1731" s="13" t="str">
        <f aca="false">IF(C1731=J1731,"NEW KONTRAK","RE-KONTRAK")</f>
        <v>RE-KONTRAK</v>
      </c>
      <c r="J1731" s="16" t="n">
        <f aca="false" t="array" ref="J1731:J1731">IFERROR(INDEX(AC1731:AE1731,IF(COUNTA(AC1731:AE1731)=0,"",MAX((AC1731:AE1731&lt;&gt;"")*(COLUMN(AC1731:AE1731)-(COLUMN(AC1731)))))-1),"")</f>
        <v>45844</v>
      </c>
      <c r="K1731" s="16" t="n">
        <f aca="false" t="array" ref="K1731:K1731">IFERROR(INDEX(AC1731:AE1731,IF(COUNTA(AC1731:AE1731)=0,"",MAX((AC1731:AE1731&lt;&gt;"")*(COLUMN(AC1731:AE1731)-(COLUMN(AC1731)-1))))-1),"")</f>
        <v>45935</v>
      </c>
      <c r="L1731" s="17" t="str">
        <f aca="false" t="array" ref="L1731:L1731">IFERROR(INDEX(AC1731:AE1731,IF(COUNTA(AC1731:AE1731)=0,"",MAX((AC1731:AE1731&lt;&gt;"")*(COLUMN(AC1731:AE1731)-(COLUMN(AC1731)-2))))-1),"")</f>
        <v>KEMBALI</v>
      </c>
      <c r="M1731" s="13" t="n">
        <f aca="true">K1731-TODAY()</f>
        <v>-389</v>
      </c>
      <c r="N1731" s="18" t="s">
        <v>615</v>
      </c>
      <c r="O1731" s="13" t="s">
        <v>2335</v>
      </c>
      <c r="P1731" s="19" t="n">
        <v>200000</v>
      </c>
      <c r="Q1731" s="20" t="s">
        <v>7531</v>
      </c>
      <c r="R1731" s="13" t="s">
        <v>232</v>
      </c>
      <c r="S1731" s="14" t="n">
        <v>24438</v>
      </c>
      <c r="T1731" s="13" t="s">
        <v>40</v>
      </c>
      <c r="U1731" s="13" t="s">
        <v>7532</v>
      </c>
      <c r="V1731" s="13" t="s">
        <v>42</v>
      </c>
      <c r="W1731" s="13" t="s">
        <v>54</v>
      </c>
      <c r="X1731" s="30" t="n">
        <v>82232260256</v>
      </c>
      <c r="Y1731" s="22" t="str">
        <f aca="false">O1731</f>
        <v>Project Management</v>
      </c>
      <c r="Z1731" s="13" t="str">
        <f aca="false">IFERROR(__xludf.dummyfunction("if(BJ1731="""","""",GOOGLETRANSLATE(BJ1731,""auto"",""en""))"),"Project Management")</f>
        <v>Project Management</v>
      </c>
      <c r="AA1731" s="23" t="str">
        <f aca="false">IF(C1731="","", CHOOSE(MONTH(C1731),"January","February","March","April","May","June","July","August","September","October","November","December")&amp;" "&amp;DAY(C1731)&amp;MID("thstndrdth",MIN(9,2*RIGHT(DAY(C1731))*(MOD(DAY(C1731)-11,100)&gt;2)+1),2)&amp;","&amp;TEXT(C1731," yyyy"))</f>
        <v>November 30th,2024</v>
      </c>
      <c r="AB1731" s="15" t="str">
        <f aca="true">IF(S1731="","",DATEDIF(S1731,TODAY(),"Y")&amp;" Tahun, "&amp;DATEDIF(S1731,TODAY(),"YM")&amp;" Bulan, "&amp;DATEDIF(S1731,TODAY(),"MD")&amp;" Hari")</f>
        <v>59 Tahun, 11 Bulan, 2 Hari</v>
      </c>
      <c r="AC1731" s="18" t="n">
        <v>45844</v>
      </c>
      <c r="AD1731" s="18" t="n">
        <v>45935</v>
      </c>
      <c r="AE1731" s="13" t="s">
        <v>397</v>
      </c>
    </row>
    <row r="1732" customFormat="false" ht="15" hidden="false" customHeight="true" outlineLevel="0" collapsed="false">
      <c r="A1732" s="12" t="n">
        <v>17954</v>
      </c>
      <c r="B1732" s="13" t="s">
        <v>7533</v>
      </c>
      <c r="C1732" s="14" t="n">
        <v>45627</v>
      </c>
      <c r="D1732" s="13" t="s">
        <v>7534</v>
      </c>
      <c r="E1732" s="15" t="s">
        <v>102</v>
      </c>
      <c r="F1732" s="15" t="str">
        <f aca="false">IFERROR(__xludf.dummyfunction("XLOOKUP(AJ1732,IMPORTRANGE(""1XaInW9DU9nz21V0tYIfzFQ0He9kVQ_JF2mCXgZ3hqFA"",""REKAP ALL 2026 - Andika!G:G""),IMPORTRANGE(""1XaInW9DU9nz21V0tYIfzFQ0He9kVQ_JF2mCXgZ3hqFA"",""REKAP ALL 2026 - Andika!F:F""),"""",0)"),"24216705848")</f>
        <v>24216705848</v>
      </c>
      <c r="G1732" s="15" t="s">
        <v>7535</v>
      </c>
      <c r="H1732" s="13" t="s">
        <v>35</v>
      </c>
      <c r="I1732" s="13" t="str">
        <f aca="false">IF(C1732=J1732,"NEW KONTRAK","RE-KONTRAK")</f>
        <v>RE-KONTRAK</v>
      </c>
      <c r="J1732" s="16" t="n">
        <f aca="false" t="array" ref="J1732:J1732">IFERROR(INDEX(AC1732:AE1732,IF(COUNTA(AC1732:AE1732)=0,"",MAX((AC1732:AE1732&lt;&gt;"")*(COLUMN(AC1732:AE1732)-(COLUMN(AC1732)))))-1),"")</f>
        <v>45748</v>
      </c>
      <c r="K1732" s="16" t="n">
        <f aca="false" t="array" ref="K1732:K1732">IFERROR(INDEX(AC1732:AE1732,IF(COUNTA(AC1732:AE1732)=0,"",MAX((AC1732:AE1732&lt;&gt;"")*(COLUMN(AC1732:AE1732)-(COLUMN(AC1732)-1))))-1),"")</f>
        <v>45930</v>
      </c>
      <c r="L1732" s="17" t="str">
        <f aca="false" t="array" ref="L1732:L1732">IFERROR(INDEX(AC1732:AE1732,IF(COUNTA(AC1732:AE1732)=0,"",MAX((AC1732:AE1732&lt;&gt;"")*(COLUMN(AC1732:AE1732)-(COLUMN(AC1732)-2))))-1),"")</f>
        <v>ARCHIVED</v>
      </c>
      <c r="M1732" s="13" t="n">
        <f aca="true">K1732-TODAY()</f>
        <v>-394</v>
      </c>
      <c r="N1732" s="18" t="s">
        <v>4735</v>
      </c>
      <c r="O1732" s="13" t="s">
        <v>7536</v>
      </c>
      <c r="P1732" s="19" t="n">
        <v>3553530</v>
      </c>
      <c r="Q1732" s="20" t="s">
        <v>7537</v>
      </c>
      <c r="R1732" s="13" t="s">
        <v>83</v>
      </c>
      <c r="S1732" s="14" t="n">
        <v>38845</v>
      </c>
      <c r="T1732" s="13" t="s">
        <v>108</v>
      </c>
      <c r="U1732" s="13" t="s">
        <v>7538</v>
      </c>
      <c r="V1732" s="13" t="s">
        <v>42</v>
      </c>
      <c r="W1732" s="13" t="s">
        <v>43</v>
      </c>
      <c r="X1732" s="21" t="n">
        <v>87775875536</v>
      </c>
      <c r="Y1732" s="22" t="str">
        <f aca="false">O1732</f>
        <v>Host Live</v>
      </c>
      <c r="Z1732" s="13" t="str">
        <f aca="false">IFERROR(__xludf.dummyfunction("if(BJ1732="""","""",GOOGLETRANSLATE(BJ1732,""auto"",""en""))"),"Host Live")</f>
        <v>Host Live</v>
      </c>
      <c r="AA1732" s="23" t="str">
        <f aca="false">IF(C1732="","", CHOOSE(MONTH(C1732),"January","February","March","April","May","June","July","August","September","October","November","December")&amp;" "&amp;DAY(C1732)&amp;MID("thstndrdth",MIN(9,2*RIGHT(DAY(C1732))*(MOD(DAY(C1732)-11,100)&gt;2)+1),2)&amp;","&amp;TEXT(C1732," yyyy"))</f>
        <v>December 1st,2024</v>
      </c>
      <c r="AB1732" s="15" t="str">
        <f aca="true">IF(S1732="","",DATEDIF(S1732,TODAY(),"Y")&amp;" Tahun, "&amp;DATEDIF(S1732,TODAY(),"YM")&amp;" Bulan, "&amp;DATEDIF(S1732,TODAY(),"MD")&amp;" Hari")</f>
        <v>20 Tahun, 5 Bulan, 21 Hari</v>
      </c>
      <c r="AC1732" s="18" t="n">
        <v>45748</v>
      </c>
      <c r="AD1732" s="18" t="n">
        <v>45930</v>
      </c>
      <c r="AE1732" s="18" t="s">
        <v>44</v>
      </c>
    </row>
    <row r="1733" customFormat="false" ht="15" hidden="false" customHeight="true" outlineLevel="0" collapsed="false">
      <c r="A1733" s="12" t="n">
        <v>17959</v>
      </c>
      <c r="B1733" s="13" t="s">
        <v>7539</v>
      </c>
      <c r="C1733" s="14" t="n">
        <v>45628</v>
      </c>
      <c r="D1733" s="13" t="s">
        <v>4112</v>
      </c>
      <c r="E1733" s="15" t="s">
        <v>33</v>
      </c>
      <c r="F1733" s="24" t="s">
        <v>7540</v>
      </c>
      <c r="G1733" s="15" t="s">
        <v>7541</v>
      </c>
      <c r="H1733" s="13" t="s">
        <v>35</v>
      </c>
      <c r="I1733" s="13" t="str">
        <f aca="false">IF(C1733=J1733,"NEW KONTRAK","RE-KONTRAK")</f>
        <v>RE-KONTRAK</v>
      </c>
      <c r="J1733" s="16" t="n">
        <f aca="false" t="array" ref="J1733:J1733">IFERROR(INDEX(AC1733:AE1733,IF(COUNTA(AC1733:AE1733)=0,"",MAX((AC1733:AE1733&lt;&gt;"")*(COLUMN(AC1733:AE1733)-(COLUMN(AC1733)))))-1),"")</f>
        <v>45718</v>
      </c>
      <c r="K1733" s="16" t="n">
        <f aca="false" t="array" ref="K1733:K1733">IFERROR(INDEX(AC1733:AE1733,IF(COUNTA(AC1733:AE1733)=0,"",MAX((AC1733:AE1733&lt;&gt;"")*(COLUMN(AC1733:AE1733)-(COLUMN(AC1733)-1))))-1),"")</f>
        <v>46082</v>
      </c>
      <c r="L1733" s="17" t="str">
        <f aca="false" t="array" ref="L1733:L1733">IFERROR(INDEX(AC1733:AE1733,IF(COUNTA(AC1733:AE1733)=0,"",MAX((AC1733:AE1733&lt;&gt;"")*(COLUMN(AC1733:AE1733)-(COLUMN(AC1733)-2))))-1),"")</f>
        <v>ARCHIVED</v>
      </c>
      <c r="M1733" s="13" t="n">
        <f aca="true">K1733-TODAY()</f>
        <v>-242</v>
      </c>
      <c r="N1733" s="18" t="s">
        <v>728</v>
      </c>
      <c r="O1733" s="13" t="s">
        <v>719</v>
      </c>
      <c r="P1733" s="19" t="n">
        <v>140000</v>
      </c>
      <c r="Q1733" s="20" t="s">
        <v>7542</v>
      </c>
      <c r="R1733" s="13" t="s">
        <v>148</v>
      </c>
      <c r="S1733" s="14" t="n">
        <v>38880</v>
      </c>
      <c r="T1733" s="13" t="s">
        <v>40</v>
      </c>
      <c r="U1733" s="13" t="s">
        <v>7543</v>
      </c>
      <c r="V1733" s="13" t="s">
        <v>42</v>
      </c>
      <c r="W1733" s="13" t="s">
        <v>43</v>
      </c>
      <c r="X1733" s="21" t="n">
        <v>81252426784</v>
      </c>
      <c r="Y1733" s="22" t="str">
        <f aca="false">O1733</f>
        <v>Cleaning Service</v>
      </c>
      <c r="Z1733" s="13" t="str">
        <f aca="false">IFERROR(__xludf.dummyfunction("if(BJ1733="""","""",GOOGLETRANSLATE(BJ1733,""auto"",""en""))"),"Cleaning Service")</f>
        <v>Cleaning Service</v>
      </c>
      <c r="AA1733" s="23" t="str">
        <f aca="false">IF(C1733="","", CHOOSE(MONTH(C1733),"January","February","March","April","May","June","July","August","September","October","November","December")&amp;" "&amp;DAY(C1733)&amp;MID("thstndrdth",MIN(9,2*RIGHT(DAY(C1733))*(MOD(DAY(C1733)-11,100)&gt;2)+1),2)&amp;","&amp;TEXT(C1733," yyyy"))</f>
        <v>December 2nd,2024</v>
      </c>
      <c r="AB1733" s="15" t="str">
        <f aca="true">IF(S1733="","",DATEDIF(S1733,TODAY(),"Y")&amp;" Tahun, "&amp;DATEDIF(S1733,TODAY(),"YM")&amp;" Bulan, "&amp;DATEDIF(S1733,TODAY(),"MD")&amp;" Hari")</f>
        <v>20 Tahun, 4 Bulan, 17 Hari</v>
      </c>
      <c r="AC1733" s="18" t="n">
        <v>45718</v>
      </c>
      <c r="AD1733" s="18" t="n">
        <v>46082</v>
      </c>
      <c r="AE1733" s="18" t="s">
        <v>44</v>
      </c>
    </row>
    <row r="1734" customFormat="false" ht="15" hidden="false" customHeight="true" outlineLevel="0" collapsed="false">
      <c r="A1734" s="12" t="n">
        <v>17961</v>
      </c>
      <c r="B1734" s="13" t="s">
        <v>7544</v>
      </c>
      <c r="C1734" s="14" t="n">
        <v>45628</v>
      </c>
      <c r="D1734" s="13" t="s">
        <v>144</v>
      </c>
      <c r="E1734" s="15" t="s">
        <v>33</v>
      </c>
      <c r="F1734" s="24" t="s">
        <v>7545</v>
      </c>
      <c r="G1734" s="15" t="s">
        <v>7546</v>
      </c>
      <c r="H1734" s="13" t="s">
        <v>35</v>
      </c>
      <c r="I1734" s="13" t="str">
        <f aca="false">IF(C1734=J1734,"NEW KONTRAK","RE-KONTRAK")</f>
        <v>RE-KONTRAK</v>
      </c>
      <c r="J1734" s="16" t="n">
        <f aca="false" t="array" ref="J1734:J1734">IFERROR(INDEX(AC1734:AE1734,IF(COUNTA(AC1734:AE1734)=0,"",MAX((AC1734:AE1734&lt;&gt;"")*(COLUMN(AC1734:AE1734)-(COLUMN(AC1734)))))-1),"")</f>
        <v>45658</v>
      </c>
      <c r="K1734" s="16" t="n">
        <f aca="false" t="array" ref="K1734:K1734">IFERROR(INDEX(AC1734:AE1734,IF(COUNTA(AC1734:AE1734)=0,"",MAX((AC1734:AE1734&lt;&gt;"")*(COLUMN(AC1734:AE1734)-(COLUMN(AC1734)-1))))-1),"")</f>
        <v>46022</v>
      </c>
      <c r="L1734" s="17" t="str">
        <f aca="false" t="array" ref="L1734:L1734">IFERROR(INDEX(AC1734:AE1734,IF(COUNTA(AC1734:AE1734)=0,"",MAX((AC1734:AE1734&lt;&gt;"")*(COLUMN(AC1734:AE1734)-(COLUMN(AC1734)-2))))-1),"")</f>
        <v>ARCHIVED</v>
      </c>
      <c r="M1734" s="13" t="n">
        <f aca="true">K1734-TODAY()</f>
        <v>-302</v>
      </c>
      <c r="N1734" s="18" t="s">
        <v>36</v>
      </c>
      <c r="O1734" s="13" t="s">
        <v>156</v>
      </c>
      <c r="P1734" s="19" t="n">
        <v>5195401</v>
      </c>
      <c r="Q1734" s="20" t="s">
        <v>7547</v>
      </c>
      <c r="R1734" s="13" t="s">
        <v>78</v>
      </c>
      <c r="S1734" s="14" t="n">
        <v>36323</v>
      </c>
      <c r="T1734" s="13" t="s">
        <v>40</v>
      </c>
      <c r="U1734" s="13" t="s">
        <v>7548</v>
      </c>
      <c r="V1734" s="13" t="s">
        <v>42</v>
      </c>
      <c r="W1734" s="13" t="s">
        <v>43</v>
      </c>
      <c r="X1734" s="30" t="n">
        <v>85242160733</v>
      </c>
      <c r="Y1734" s="22" t="str">
        <f aca="false">O1734</f>
        <v>Emulsion</v>
      </c>
      <c r="Z1734" s="13" t="str">
        <f aca="false">IFERROR(__xludf.dummyfunction("if(BJ1734="""","""",GOOGLETRANSLATE(BJ1734,""auto"",""en""))"),"Emulsion")</f>
        <v>Emulsion</v>
      </c>
      <c r="AA1734" s="23" t="str">
        <f aca="false">IF(C1734="","", CHOOSE(MONTH(C1734),"January","February","March","April","May","June","July","August","September","October","November","December")&amp;" "&amp;DAY(C1734)&amp;MID("thstndrdth",MIN(9,2*RIGHT(DAY(C1734))*(MOD(DAY(C1734)-11,100)&gt;2)+1),2)&amp;","&amp;TEXT(C1734," yyyy"))</f>
        <v>December 2nd,2024</v>
      </c>
      <c r="AB1734" s="15" t="str">
        <f aca="true">IF(S1734="","",DATEDIF(S1734,TODAY(),"Y")&amp;" Tahun, "&amp;DATEDIF(S1734,TODAY(),"YM")&amp;" Bulan, "&amp;DATEDIF(S1734,TODAY(),"MD")&amp;" Hari")</f>
        <v>27 Tahun, 4 Bulan, 17 Hari</v>
      </c>
      <c r="AC1734" s="18" t="n">
        <v>45658</v>
      </c>
      <c r="AD1734" s="18" t="n">
        <v>46022</v>
      </c>
      <c r="AE1734" s="18" t="s">
        <v>44</v>
      </c>
    </row>
    <row r="1735" customFormat="false" ht="15" hidden="false" customHeight="true" outlineLevel="0" collapsed="false">
      <c r="A1735" s="12" t="n">
        <v>17963</v>
      </c>
      <c r="B1735" s="13" t="s">
        <v>7549</v>
      </c>
      <c r="C1735" s="14" t="n">
        <v>45628</v>
      </c>
      <c r="D1735" s="13" t="s">
        <v>144</v>
      </c>
      <c r="E1735" s="15" t="s">
        <v>33</v>
      </c>
      <c r="F1735" s="24" t="s">
        <v>7550</v>
      </c>
      <c r="G1735" s="15" t="s">
        <v>7551</v>
      </c>
      <c r="H1735" s="13" t="s">
        <v>35</v>
      </c>
      <c r="I1735" s="13" t="str">
        <f aca="false">IF(C1735=J1735,"NEW KONTRAK","RE-KONTRAK")</f>
        <v>RE-KONTRAK</v>
      </c>
      <c r="J1735" s="16" t="n">
        <f aca="false" t="array" ref="J1735:J1735">IFERROR(INDEX(AC1735:AE1735,IF(COUNTA(AC1735:AE1735)=0,"",MAX((AC1735:AE1735&lt;&gt;"")*(COLUMN(AC1735:AE1735)-(COLUMN(AC1735)))))-1),"")</f>
        <v>45658</v>
      </c>
      <c r="K1735" s="16" t="n">
        <f aca="false" t="array" ref="K1735:K1735">IFERROR(INDEX(AC1735:AE1735,IF(COUNTA(AC1735:AE1735)=0,"",MAX((AC1735:AE1735&lt;&gt;"")*(COLUMN(AC1735:AE1735)-(COLUMN(AC1735)-1))))-1),"")</f>
        <v>46022</v>
      </c>
      <c r="L1735" s="17" t="str">
        <f aca="false" t="array" ref="L1735:L1735">IFERROR(INDEX(AC1735:AE1735,IF(COUNTA(AC1735:AE1735)=0,"",MAX((AC1735:AE1735&lt;&gt;"")*(COLUMN(AC1735:AE1735)-(COLUMN(AC1735)-2))))-1),"")</f>
        <v>ARCHIVED</v>
      </c>
      <c r="M1735" s="13" t="n">
        <f aca="true">K1735-TODAY()</f>
        <v>-302</v>
      </c>
      <c r="N1735" s="18" t="s">
        <v>36</v>
      </c>
      <c r="O1735" s="13" t="s">
        <v>3599</v>
      </c>
      <c r="P1735" s="19" t="n">
        <v>5195401</v>
      </c>
      <c r="Q1735" s="20" t="s">
        <v>7552</v>
      </c>
      <c r="R1735" s="13" t="s">
        <v>39</v>
      </c>
      <c r="S1735" s="14" t="n">
        <v>36682</v>
      </c>
      <c r="T1735" s="13" t="s">
        <v>108</v>
      </c>
      <c r="U1735" s="13" t="s">
        <v>7553</v>
      </c>
      <c r="V1735" s="13" t="s">
        <v>42</v>
      </c>
      <c r="W1735" s="13" t="s">
        <v>43</v>
      </c>
      <c r="X1735" s="21" t="n">
        <v>85791931051</v>
      </c>
      <c r="Y1735" s="22" t="str">
        <f aca="false">O1735</f>
        <v>Admin Gudang</v>
      </c>
      <c r="Z1735" s="13" t="str">
        <f aca="false">IFERROR(__xludf.dummyfunction("if(BJ1735="""","""",GOOGLETRANSLATE(BJ1735,""auto"",""en""))"),"Warehouse Admin")</f>
        <v>Warehouse Admin</v>
      </c>
      <c r="AA1735" s="23" t="str">
        <f aca="false">IF(C1735="","", CHOOSE(MONTH(C1735),"January","February","March","April","May","June","July","August","September","October","November","December")&amp;" "&amp;DAY(C1735)&amp;MID("thstndrdth",MIN(9,2*RIGHT(DAY(C1735))*(MOD(DAY(C1735)-11,100)&gt;2)+1),2)&amp;","&amp;TEXT(C1735," yyyy"))</f>
        <v>December 2nd,2024</v>
      </c>
      <c r="AB1735" s="15" t="str">
        <f aca="true">IF(S1735="","",DATEDIF(S1735,TODAY(),"Y")&amp;" Tahun, "&amp;DATEDIF(S1735,TODAY(),"YM")&amp;" Bulan, "&amp;DATEDIF(S1735,TODAY(),"MD")&amp;" Hari")</f>
        <v>26 Tahun, 4 Bulan, 24 Hari</v>
      </c>
      <c r="AC1735" s="18" t="n">
        <v>45658</v>
      </c>
      <c r="AD1735" s="18" t="n">
        <v>46022</v>
      </c>
      <c r="AE1735" s="18" t="s">
        <v>44</v>
      </c>
    </row>
    <row r="1736" customFormat="false" ht="15" hidden="false" customHeight="true" outlineLevel="0" collapsed="false">
      <c r="A1736" s="12" t="n">
        <v>17975</v>
      </c>
      <c r="B1736" s="13" t="s">
        <v>7554</v>
      </c>
      <c r="C1736" s="14" t="n">
        <v>45636</v>
      </c>
      <c r="D1736" s="13" t="s">
        <v>7555</v>
      </c>
      <c r="E1736" s="81" t="s">
        <v>7556</v>
      </c>
      <c r="F1736" s="24" t="s">
        <v>7557</v>
      </c>
      <c r="G1736" s="15" t="s">
        <v>7558</v>
      </c>
      <c r="H1736" s="13" t="s">
        <v>35</v>
      </c>
      <c r="I1736" s="13" t="str">
        <f aca="false">IF(C1736=J1736,"NEW KONTRAK","RE-KONTRAK")</f>
        <v>RE-KONTRAK</v>
      </c>
      <c r="J1736" s="16" t="n">
        <f aca="false" t="array" ref="J1736:J1736">IFERROR(INDEX(AC1736:AE1736,IF(COUNTA(AC1736:AE1736)=0,"",MAX((AC1736:AE1736&lt;&gt;"")*(COLUMN(AC1736:AE1736)-(COLUMN(AC1736)))))-1),"")</f>
        <v>45839</v>
      </c>
      <c r="K1736" s="16" t="n">
        <f aca="false" t="array" ref="K1736:K1736">IFERROR(INDEX(AC1736:AE1736,IF(COUNTA(AC1736:AE1736)=0,"",MAX((AC1736:AE1736&lt;&gt;"")*(COLUMN(AC1736:AE1736)-(COLUMN(AC1736)-1))))-1),"")</f>
        <v>46022</v>
      </c>
      <c r="L1736" s="17" t="str">
        <f aca="false" t="array" ref="L1736:L1736">IFERROR(INDEX(AC1736:AE1736,IF(COUNTA(AC1736:AE1736)=0,"",MAX((AC1736:AE1736&lt;&gt;"")*(COLUMN(AC1736:AE1736)-(COLUMN(AC1736)-2))))-1),"")</f>
        <v>ARCHIVED</v>
      </c>
      <c r="M1736" s="13" t="n">
        <f aca="true">K1736-TODAY()</f>
        <v>-302</v>
      </c>
      <c r="N1736" s="18" t="s">
        <v>728</v>
      </c>
      <c r="O1736" s="13" t="s">
        <v>7559</v>
      </c>
      <c r="P1736" s="19" t="n">
        <v>4725479</v>
      </c>
      <c r="Q1736" s="20" t="s">
        <v>7560</v>
      </c>
      <c r="R1736" s="13" t="s">
        <v>52</v>
      </c>
      <c r="S1736" s="14" t="n">
        <v>36404</v>
      </c>
      <c r="T1736" s="13" t="s">
        <v>40</v>
      </c>
      <c r="U1736" s="13" t="s">
        <v>7561</v>
      </c>
      <c r="V1736" s="13" t="s">
        <v>42</v>
      </c>
      <c r="W1736" s="13" t="s">
        <v>43</v>
      </c>
      <c r="X1736" s="21" t="n">
        <v>81235001032</v>
      </c>
      <c r="Y1736" s="22" t="str">
        <f aca="false">O1736</f>
        <v>Finance Administration Staff</v>
      </c>
      <c r="Z1736" s="13" t="str">
        <f aca="false">IFERROR(__xludf.dummyfunction("if(BJ1736="""","""",GOOGLETRANSLATE(BJ1736,""auto"",""en""))"),"Finance Administration Staff")</f>
        <v>Finance Administration Staff</v>
      </c>
      <c r="AA1736" s="23" t="str">
        <f aca="false">IF(C1736="","", CHOOSE(MONTH(C1736),"January","February","March","April","May","June","July","August","September","October","November","December")&amp;" "&amp;DAY(C1736)&amp;MID("thstndrdth",MIN(9,2*RIGHT(DAY(C1736))*(MOD(DAY(C1736)-11,100)&gt;2)+1),2)&amp;","&amp;TEXT(C1736," yyyy"))</f>
        <v>December 10th,2024</v>
      </c>
      <c r="AB1736" s="15" t="str">
        <f aca="true">IF(S1736="","",DATEDIF(S1736,TODAY(),"Y")&amp;" Tahun, "&amp;DATEDIF(S1736,TODAY(),"YM")&amp;" Bulan, "&amp;DATEDIF(S1736,TODAY(),"MD")&amp;" Hari")</f>
        <v>27 Tahun, 1 Bulan, 28 Hari</v>
      </c>
      <c r="AC1736" s="18" t="n">
        <v>45839</v>
      </c>
      <c r="AD1736" s="18" t="n">
        <v>46022</v>
      </c>
      <c r="AE1736" s="18" t="s">
        <v>44</v>
      </c>
    </row>
    <row r="1737" customFormat="false" ht="15" hidden="false" customHeight="true" outlineLevel="0" collapsed="false">
      <c r="A1737" s="12" t="n">
        <v>17976</v>
      </c>
      <c r="B1737" s="13" t="s">
        <v>7562</v>
      </c>
      <c r="C1737" s="14" t="n">
        <v>45635</v>
      </c>
      <c r="D1737" s="13" t="s">
        <v>404</v>
      </c>
      <c r="E1737" s="15" t="s">
        <v>33</v>
      </c>
      <c r="F1737" s="24" t="s">
        <v>7563</v>
      </c>
      <c r="G1737" s="15" t="s">
        <v>7564</v>
      </c>
      <c r="H1737" s="13" t="s">
        <v>35</v>
      </c>
      <c r="I1737" s="13" t="str">
        <f aca="false">IF(C1737=J1737,"NEW KONTRAK","RE-KONTRAK")</f>
        <v>RE-KONTRAK</v>
      </c>
      <c r="J1737" s="16" t="n">
        <f aca="false" t="array" ref="J1737:J1737">IFERROR(INDEX(AC1737:AE1737,IF(COUNTA(AC1737:AE1737)=0,"",MAX((AC1737:AE1737&lt;&gt;"")*(COLUMN(AC1737:AE1737)-(COLUMN(AC1737)))))-1),"")</f>
        <v>45658</v>
      </c>
      <c r="K1737" s="16" t="n">
        <f aca="false" t="array" ref="K1737:K1737">IFERROR(INDEX(AC1737:AE1737,IF(COUNTA(AC1737:AE1737)=0,"",MAX((AC1737:AE1737&lt;&gt;"")*(COLUMN(AC1737:AE1737)-(COLUMN(AC1737)-1))))-1),"")</f>
        <v>46022</v>
      </c>
      <c r="L1737" s="17" t="str">
        <f aca="false" t="array" ref="L1737:L1737">IFERROR(INDEX(AC1737:AE1737,IF(COUNTA(AC1737:AE1737)=0,"",MAX((AC1737:AE1737&lt;&gt;"")*(COLUMN(AC1737:AE1737)-(COLUMN(AC1737)-2))))-1),"")</f>
        <v>ARCHIVED</v>
      </c>
      <c r="M1737" s="13" t="n">
        <f aca="true">K1737-TODAY()</f>
        <v>-302</v>
      </c>
      <c r="N1737" s="18" t="s">
        <v>36</v>
      </c>
      <c r="O1737" s="13" t="s">
        <v>450</v>
      </c>
      <c r="P1737" s="27" t="n">
        <v>5195401</v>
      </c>
      <c r="Q1737" s="20" t="s">
        <v>7565</v>
      </c>
      <c r="R1737" s="13" t="s">
        <v>52</v>
      </c>
      <c r="S1737" s="14" t="n">
        <v>35941</v>
      </c>
      <c r="T1737" s="13" t="s">
        <v>40</v>
      </c>
      <c r="U1737" s="13" t="s">
        <v>7566</v>
      </c>
      <c r="V1737" s="13" t="s">
        <v>42</v>
      </c>
      <c r="W1737" s="13" t="s">
        <v>43</v>
      </c>
      <c r="X1737" s="21" t="n">
        <v>85785596825</v>
      </c>
      <c r="Y1737" s="22" t="str">
        <f aca="false">O1737</f>
        <v>QC &amp; QA</v>
      </c>
      <c r="Z1737" s="13" t="str">
        <f aca="false">IFERROR(__xludf.dummyfunction("if(BJ1737="""","""",GOOGLETRANSLATE(BJ1737,""auto"",""en""))"),"QC &amp; QA")</f>
        <v>QC &amp; QA</v>
      </c>
      <c r="AA1737" s="23" t="str">
        <f aca="false">IF(C1737="","", CHOOSE(MONTH(C1737),"January","February","March","April","May","June","July","August","September","October","November","December")&amp;" "&amp;DAY(C1737)&amp;MID("thstndrdth",MIN(9,2*RIGHT(DAY(C1737))*(MOD(DAY(C1737)-11,100)&gt;2)+1),2)&amp;","&amp;TEXT(C1737," yyyy"))</f>
        <v>December 9th,2024</v>
      </c>
      <c r="AB1737" s="15" t="str">
        <f aca="true">IF(S1737="","",DATEDIF(S1737,TODAY(),"Y")&amp;" Tahun, "&amp;DATEDIF(S1737,TODAY(),"YM")&amp;" Bulan, "&amp;DATEDIF(S1737,TODAY(),"MD")&amp;" Hari")</f>
        <v>28 Tahun, 5 Bulan, 3 Hari</v>
      </c>
      <c r="AC1737" s="18" t="n">
        <v>45658</v>
      </c>
      <c r="AD1737" s="18" t="n">
        <v>46022</v>
      </c>
      <c r="AE1737" s="18" t="s">
        <v>44</v>
      </c>
    </row>
    <row r="1738" customFormat="false" ht="15" hidden="false" customHeight="true" outlineLevel="0" collapsed="false">
      <c r="A1738" s="12" t="n">
        <v>17979</v>
      </c>
      <c r="B1738" s="13" t="s">
        <v>7567</v>
      </c>
      <c r="C1738" s="14" t="n">
        <v>45633</v>
      </c>
      <c r="D1738" s="13" t="s">
        <v>1338</v>
      </c>
      <c r="E1738" s="15" t="s">
        <v>33</v>
      </c>
      <c r="F1738" s="24" t="s">
        <v>7568</v>
      </c>
      <c r="G1738" s="15" t="s">
        <v>57</v>
      </c>
      <c r="H1738" s="13" t="s">
        <v>2334</v>
      </c>
      <c r="I1738" s="13" t="str">
        <f aca="false">IF(C1738=J1738,"NEW KONTRAK","RE-KONTRAK")</f>
        <v>RE-KONTRAK</v>
      </c>
      <c r="J1738" s="16" t="n">
        <f aca="false" t="array" ref="J1738:J1738">IFERROR(INDEX(AC1738:AE1738,IF(COUNTA(AC1738:AE1738)=0,"",MAX((AC1738:AE1738&lt;&gt;"")*(COLUMN(AC1738:AE1738)-(COLUMN(AC1738)))))-1),"")</f>
        <v>45844</v>
      </c>
      <c r="K1738" s="16" t="n">
        <f aca="false" t="array" ref="K1738:K1738">IFERROR(INDEX(AC1738:AE1738,IF(COUNTA(AC1738:AE1738)=0,"",MAX((AC1738:AE1738&lt;&gt;"")*(COLUMN(AC1738:AE1738)-(COLUMN(AC1738)-1))))-1),"")</f>
        <v>45935</v>
      </c>
      <c r="L1738" s="17" t="str">
        <f aca="false" t="array" ref="L1738:L1738">IFERROR(INDEX(AC1738:AE1738,IF(COUNTA(AC1738:AE1738)=0,"",MAX((AC1738:AE1738&lt;&gt;"")*(COLUMN(AC1738:AE1738)-(COLUMN(AC1738)-2))))-1),"")</f>
        <v>ARCHIVED</v>
      </c>
      <c r="M1738" s="13" t="n">
        <f aca="true">K1738-TODAY()</f>
        <v>-389</v>
      </c>
      <c r="N1738" s="50" t="s">
        <v>615</v>
      </c>
      <c r="O1738" s="13" t="s">
        <v>2335</v>
      </c>
      <c r="P1738" s="19" t="n">
        <v>160000</v>
      </c>
      <c r="Q1738" s="20" t="s">
        <v>7569</v>
      </c>
      <c r="R1738" s="13" t="s">
        <v>232</v>
      </c>
      <c r="S1738" s="14" t="n">
        <v>38313</v>
      </c>
      <c r="T1738" s="13" t="s">
        <v>40</v>
      </c>
      <c r="U1738" s="13" t="s">
        <v>7570</v>
      </c>
      <c r="V1738" s="13" t="s">
        <v>42</v>
      </c>
      <c r="W1738" s="13" t="s">
        <v>43</v>
      </c>
      <c r="X1738" s="21" t="n">
        <v>85857387976</v>
      </c>
      <c r="Y1738" s="22" t="str">
        <f aca="false">O1738</f>
        <v>Project Management</v>
      </c>
      <c r="Z1738" s="13" t="str">
        <f aca="false">IFERROR(__xludf.dummyfunction("if(BJ1738="""","""",GOOGLETRANSLATE(BJ1738,""auto"",""en""))"),"Project Management")</f>
        <v>Project Management</v>
      </c>
      <c r="AA1738" s="23" t="str">
        <f aca="false">IF(C1738="","", CHOOSE(MONTH(C1738),"January","February","March","April","May","June","July","August","September","October","November","December")&amp;" "&amp;DAY(C1738)&amp;MID("thstndrdth",MIN(9,2*RIGHT(DAY(C1738))*(MOD(DAY(C1738)-11,100)&gt;2)+1),2)&amp;","&amp;TEXT(C1738," yyyy"))</f>
        <v>December 7th,2024</v>
      </c>
      <c r="AB1738" s="15" t="str">
        <f aca="true">IF(S1738="","",DATEDIF(S1738,TODAY(),"Y")&amp;" Tahun, "&amp;DATEDIF(S1738,TODAY(),"YM")&amp;" Bulan, "&amp;DATEDIF(S1738,TODAY(),"MD")&amp;" Hari")</f>
        <v>21 Tahun, 11 Bulan, 7 Hari</v>
      </c>
      <c r="AC1738" s="18" t="n">
        <v>45844</v>
      </c>
      <c r="AD1738" s="18" t="n">
        <v>45935</v>
      </c>
      <c r="AE1738" s="18" t="s">
        <v>44</v>
      </c>
    </row>
    <row r="1739" customFormat="false" ht="15" hidden="false" customHeight="true" outlineLevel="0" collapsed="false">
      <c r="A1739" s="12" t="n">
        <v>17983</v>
      </c>
      <c r="B1739" s="13" t="s">
        <v>7571</v>
      </c>
      <c r="C1739" s="14" t="n">
        <v>45632</v>
      </c>
      <c r="D1739" s="13" t="s">
        <v>1338</v>
      </c>
      <c r="E1739" s="15" t="s">
        <v>47</v>
      </c>
      <c r="F1739" s="15" t="str">
        <f aca="false">IFERROR(__xludf.dummyfunction("XLOOKUP(AJ1739,IMPORTRANGE(""1XaInW9DU9nz21V0tYIfzFQ0He9kVQ_JF2mCXgZ3hqFA"",""REKAP ALL 2026 - Andika!G:G""),IMPORTRANGE(""1XaInW9DU9nz21V0tYIfzFQ0He9kVQ_JF2mCXgZ3hqFA"",""REKAP ALL 2026 - Andika!F:F""),"""",0)"),"24216706077")</f>
        <v>24216706077</v>
      </c>
      <c r="G1739" s="15" t="s">
        <v>57</v>
      </c>
      <c r="H1739" s="13" t="s">
        <v>2334</v>
      </c>
      <c r="I1739" s="13" t="str">
        <f aca="false">IF(C1739=J1739,"NEW KONTRAK","RE-KONTRAK")</f>
        <v>RE-KONTRAK</v>
      </c>
      <c r="J1739" s="16" t="n">
        <f aca="false" t="array" ref="J1739:J1739">IFERROR(INDEX(AC1739:AE1739,IF(COUNTA(AC1739:AE1739)=0,"",MAX((AC1739:AE1739&lt;&gt;"")*(COLUMN(AC1739:AE1739)-(COLUMN(AC1739)))))-1),"")</f>
        <v>45844</v>
      </c>
      <c r="K1739" s="16" t="n">
        <f aca="false" t="array" ref="K1739:K1739">IFERROR(INDEX(AC1739:AE1739,IF(COUNTA(AC1739:AE1739)=0,"",MAX((AC1739:AE1739&lt;&gt;"")*(COLUMN(AC1739:AE1739)-(COLUMN(AC1739)-1))))-1),"")</f>
        <v>45935</v>
      </c>
      <c r="L1739" s="17" t="str">
        <f aca="false" t="array" ref="L1739:L1739">IFERROR(INDEX(AC1739:AE1739,IF(COUNTA(AC1739:AE1739)=0,"",MAX((AC1739:AE1739&lt;&gt;"")*(COLUMN(AC1739:AE1739)-(COLUMN(AC1739)-2))))-1),"")</f>
        <v>KEMBALI</v>
      </c>
      <c r="M1739" s="13" t="n">
        <f aca="true">K1739-TODAY()</f>
        <v>-389</v>
      </c>
      <c r="N1739" s="18" t="s">
        <v>615</v>
      </c>
      <c r="O1739" s="13" t="s">
        <v>2335</v>
      </c>
      <c r="P1739" s="19" t="n">
        <v>200000</v>
      </c>
      <c r="Q1739" s="20" t="s">
        <v>7572</v>
      </c>
      <c r="R1739" s="13" t="s">
        <v>52</v>
      </c>
      <c r="S1739" s="14" t="n">
        <v>30634</v>
      </c>
      <c r="T1739" s="13" t="s">
        <v>40</v>
      </c>
      <c r="U1739" s="13" t="s">
        <v>7573</v>
      </c>
      <c r="V1739" s="13" t="s">
        <v>42</v>
      </c>
      <c r="W1739" s="13" t="s">
        <v>54</v>
      </c>
      <c r="X1739" s="30" t="n">
        <v>89854330365</v>
      </c>
      <c r="Y1739" s="22" t="str">
        <f aca="false">O1739</f>
        <v>Project Management</v>
      </c>
      <c r="Z1739" s="13" t="str">
        <f aca="false">IFERROR(__xludf.dummyfunction("if(BJ1739="""","""",GOOGLETRANSLATE(BJ1739,""auto"",""en""))"),"Project Management")</f>
        <v>Project Management</v>
      </c>
      <c r="AA1739" s="23" t="str">
        <f aca="false">IF(C1739="","", CHOOSE(MONTH(C1739),"January","February","March","April","May","June","July","August","September","October","November","December")&amp;" "&amp;DAY(C1739)&amp;MID("thstndrdth",MIN(9,2*RIGHT(DAY(C1739))*(MOD(DAY(C1739)-11,100)&gt;2)+1),2)&amp;","&amp;TEXT(C1739," yyyy"))</f>
        <v>December 6th,2024</v>
      </c>
      <c r="AB1739" s="15" t="str">
        <f aca="true">IF(S1739="","",DATEDIF(S1739,TODAY(),"Y")&amp;" Tahun, "&amp;DATEDIF(S1739,TODAY(),"YM")&amp;" Bulan, "&amp;DATEDIF(S1739,TODAY(),"MD")&amp;" Hari")</f>
        <v>42 Tahun, 11 Bulan, 15 Hari</v>
      </c>
      <c r="AC1739" s="18" t="n">
        <v>45844</v>
      </c>
      <c r="AD1739" s="18" t="n">
        <v>45935</v>
      </c>
      <c r="AE1739" s="13" t="s">
        <v>397</v>
      </c>
    </row>
    <row r="1740" customFormat="false" ht="15" hidden="false" customHeight="true" outlineLevel="0" collapsed="false">
      <c r="A1740" s="12" t="n">
        <v>17986</v>
      </c>
      <c r="B1740" s="13" t="s">
        <v>7574</v>
      </c>
      <c r="C1740" s="14" t="n">
        <v>45632</v>
      </c>
      <c r="D1740" s="13" t="s">
        <v>1338</v>
      </c>
      <c r="E1740" s="15" t="s">
        <v>47</v>
      </c>
      <c r="F1740" s="15" t="str">
        <f aca="false">IFERROR(__xludf.dummyfunction("XLOOKUP(AJ1740,IMPORTRANGE(""1XaInW9DU9nz21V0tYIfzFQ0He9kVQ_JF2mCXgZ3hqFA"",""REKAP ALL 2026 - Andika!G:G""),IMPORTRANGE(""1XaInW9DU9nz21V0tYIfzFQ0He9kVQ_JF2mCXgZ3hqFA"",""REKAP ALL 2026 - Andika!F:F""),"""",0)"),"24216705970")</f>
        <v>24216705970</v>
      </c>
      <c r="G1740" s="15" t="s">
        <v>57</v>
      </c>
      <c r="H1740" s="13" t="s">
        <v>2334</v>
      </c>
      <c r="I1740" s="13" t="str">
        <f aca="false">IF(C1740=J1740,"NEW KONTRAK","RE-KONTRAK")</f>
        <v>RE-KONTRAK</v>
      </c>
      <c r="J1740" s="16" t="n">
        <f aca="false" t="array" ref="J1740:J1740">IFERROR(INDEX(AC1740:AE1740,IF(COUNTA(AC1740:AE1740)=0,"",MAX((AC1740:AE1740&lt;&gt;"")*(COLUMN(AC1740:AE1740)-(COLUMN(AC1740)))))-1),"")</f>
        <v>45844</v>
      </c>
      <c r="K1740" s="16" t="n">
        <f aca="false" t="array" ref="K1740:K1740">IFERROR(INDEX(AC1740:AE1740,IF(COUNTA(AC1740:AE1740)=0,"",MAX((AC1740:AE1740&lt;&gt;"")*(COLUMN(AC1740:AE1740)-(COLUMN(AC1740)-1))))-1),"")</f>
        <v>45935</v>
      </c>
      <c r="L1740" s="17" t="str">
        <f aca="false" t="array" ref="L1740:L1740">IFERROR(INDEX(AC1740:AE1740,IF(COUNTA(AC1740:AE1740)=0,"",MAX((AC1740:AE1740&lt;&gt;"")*(COLUMN(AC1740:AE1740)-(COLUMN(AC1740)-2))))-1),"")</f>
        <v>KEMBALI</v>
      </c>
      <c r="M1740" s="13" t="n">
        <f aca="true">K1740-TODAY()</f>
        <v>-389</v>
      </c>
      <c r="N1740" s="18" t="s">
        <v>615</v>
      </c>
      <c r="O1740" s="13" t="s">
        <v>2335</v>
      </c>
      <c r="P1740" s="19" t="n">
        <v>160000</v>
      </c>
      <c r="Q1740" s="20" t="s">
        <v>7575</v>
      </c>
      <c r="R1740" s="13" t="s">
        <v>232</v>
      </c>
      <c r="S1740" s="14" t="n">
        <v>34553</v>
      </c>
      <c r="T1740" s="13" t="s">
        <v>40</v>
      </c>
      <c r="U1740" s="13" t="s">
        <v>7576</v>
      </c>
      <c r="V1740" s="13" t="s">
        <v>42</v>
      </c>
      <c r="W1740" s="13" t="s">
        <v>54</v>
      </c>
      <c r="X1740" s="21" t="n">
        <v>85707417050</v>
      </c>
      <c r="Y1740" s="22" t="str">
        <f aca="false">O1740</f>
        <v>Project Management</v>
      </c>
      <c r="Z1740" s="13" t="str">
        <f aca="false">IFERROR(__xludf.dummyfunction("if(BJ1740="""","""",GOOGLETRANSLATE(BJ1740,""auto"",""en""))"),"Project Management")</f>
        <v>Project Management</v>
      </c>
      <c r="AA1740" s="23" t="str">
        <f aca="false">IF(C1740="","", CHOOSE(MONTH(C1740),"January","February","March","April","May","June","July","August","September","October","November","December")&amp;" "&amp;DAY(C1740)&amp;MID("thstndrdth",MIN(9,2*RIGHT(DAY(C1740))*(MOD(DAY(C1740)-11,100)&gt;2)+1),2)&amp;","&amp;TEXT(C1740," yyyy"))</f>
        <v>December 6th,2024</v>
      </c>
      <c r="AB1740" s="15" t="str">
        <f aca="true">IF(S1740="","",DATEDIF(S1740,TODAY(),"Y")&amp;" Tahun, "&amp;DATEDIF(S1740,TODAY(),"YM")&amp;" Bulan, "&amp;DATEDIF(S1740,TODAY(),"MD")&amp;" Hari")</f>
        <v>32 Tahun, 2 Bulan, 22 Hari</v>
      </c>
      <c r="AC1740" s="18" t="n">
        <v>45844</v>
      </c>
      <c r="AD1740" s="18" t="n">
        <v>45935</v>
      </c>
      <c r="AE1740" s="13" t="s">
        <v>397</v>
      </c>
    </row>
    <row r="1741" customFormat="false" ht="15" hidden="false" customHeight="true" outlineLevel="0" collapsed="false">
      <c r="A1741" s="12" t="n">
        <v>17987</v>
      </c>
      <c r="B1741" s="13" t="s">
        <v>7577</v>
      </c>
      <c r="C1741" s="14" t="n">
        <v>45632</v>
      </c>
      <c r="D1741" s="13" t="s">
        <v>1338</v>
      </c>
      <c r="E1741" s="15" t="s">
        <v>102</v>
      </c>
      <c r="F1741" s="24" t="s">
        <v>7578</v>
      </c>
      <c r="G1741" s="15" t="s">
        <v>57</v>
      </c>
      <c r="H1741" s="13" t="s">
        <v>2334</v>
      </c>
      <c r="I1741" s="13" t="str">
        <f aca="false">IF(C1741=J1741,"NEW KONTRAK","RE-KONTRAK")</f>
        <v>RE-KONTRAK</v>
      </c>
      <c r="J1741" s="16" t="n">
        <f aca="false" t="array" ref="J1741:J1741">IFERROR(INDEX(AC1741:AE1741,IF(COUNTA(AC1741:AE1741)=0,"",MAX((AC1741:AE1741&lt;&gt;"")*(COLUMN(AC1741:AE1741)-(COLUMN(AC1741)))))-1),"")</f>
        <v>45844</v>
      </c>
      <c r="K1741" s="16" t="n">
        <f aca="false" t="array" ref="K1741:K1741">IFERROR(INDEX(AC1741:AE1741,IF(COUNTA(AC1741:AE1741)=0,"",MAX((AC1741:AE1741&lt;&gt;"")*(COLUMN(AC1741:AE1741)-(COLUMN(AC1741)-1))))-1),"")</f>
        <v>45935</v>
      </c>
      <c r="L1741" s="17" t="str">
        <f aca="false" t="array" ref="L1741:L1741">IFERROR(INDEX(AC1741:AE1741,IF(COUNTA(AC1741:AE1741)=0,"",MAX((AC1741:AE1741&lt;&gt;"")*(COLUMN(AC1741:AE1741)-(COLUMN(AC1741)-2))))-1),"")</f>
        <v>ARCHIVED</v>
      </c>
      <c r="M1741" s="13" t="n">
        <f aca="true">K1741-TODAY()</f>
        <v>-389</v>
      </c>
      <c r="N1741" s="50" t="s">
        <v>615</v>
      </c>
      <c r="O1741" s="13" t="s">
        <v>2335</v>
      </c>
      <c r="P1741" s="19" t="n">
        <v>200000</v>
      </c>
      <c r="Q1741" s="20" t="s">
        <v>7579</v>
      </c>
      <c r="R1741" s="13" t="s">
        <v>232</v>
      </c>
      <c r="S1741" s="14" t="n">
        <v>30502</v>
      </c>
      <c r="T1741" s="13" t="s">
        <v>40</v>
      </c>
      <c r="U1741" s="13" t="s">
        <v>7580</v>
      </c>
      <c r="V1741" s="13" t="s">
        <v>42</v>
      </c>
      <c r="W1741" s="13" t="s">
        <v>54</v>
      </c>
      <c r="X1741" s="21" t="n">
        <v>81553931062</v>
      </c>
      <c r="Y1741" s="22" t="str">
        <f aca="false">O1741</f>
        <v>Project Management</v>
      </c>
      <c r="Z1741" s="13" t="str">
        <f aca="false">IFERROR(__xludf.dummyfunction("if(BJ1741="""","""",GOOGLETRANSLATE(BJ1741,""auto"",""en""))"),"Project Management")</f>
        <v>Project Management</v>
      </c>
      <c r="AA1741" s="23" t="str">
        <f aca="false">IF(C1741="","", CHOOSE(MONTH(C1741),"January","February","March","April","May","June","July","August","September","October","November","December")&amp;" "&amp;DAY(C1741)&amp;MID("thstndrdth",MIN(9,2*RIGHT(DAY(C1741))*(MOD(DAY(C1741)-11,100)&gt;2)+1),2)&amp;","&amp;TEXT(C1741," yyyy"))</f>
        <v>December 6th,2024</v>
      </c>
      <c r="AB1741" s="15" t="str">
        <f aca="true">IF(S1741="","",DATEDIF(S1741,TODAY(),"Y")&amp;" Tahun, "&amp;DATEDIF(S1741,TODAY(),"YM")&amp;" Bulan, "&amp;DATEDIF(S1741,TODAY(),"MD")&amp;" Hari")</f>
        <v>43 Tahun, 3 Bulan, 24 Hari</v>
      </c>
      <c r="AC1741" s="18" t="n">
        <v>45844</v>
      </c>
      <c r="AD1741" s="18" t="n">
        <v>45935</v>
      </c>
      <c r="AE1741" s="18" t="s">
        <v>44</v>
      </c>
    </row>
    <row r="1742" customFormat="false" ht="15" hidden="false" customHeight="true" outlineLevel="0" collapsed="false">
      <c r="A1742" s="12" t="n">
        <v>17988</v>
      </c>
      <c r="B1742" s="13" t="s">
        <v>7581</v>
      </c>
      <c r="C1742" s="14" t="n">
        <v>45632</v>
      </c>
      <c r="D1742" s="13" t="s">
        <v>1338</v>
      </c>
      <c r="E1742" s="15" t="s">
        <v>102</v>
      </c>
      <c r="F1742" s="15" t="str">
        <f aca="false">IFERROR(__xludf.dummyfunction("XLOOKUP(AJ1742,IMPORTRANGE(""1XaInW9DU9nz21V0tYIfzFQ0He9kVQ_JF2mCXgZ3hqFA"",""REKAP ALL 2026 - Andika!G:G""),IMPORTRANGE(""1XaInW9DU9nz21V0tYIfzFQ0He9kVQ_JF2mCXgZ3hqFA"",""REKAP ALL 2026 - Andika!F:F""),"""",0)"),"24216706044")</f>
        <v>24216706044</v>
      </c>
      <c r="G1742" s="15" t="s">
        <v>57</v>
      </c>
      <c r="H1742" s="13" t="s">
        <v>2334</v>
      </c>
      <c r="I1742" s="13" t="str">
        <f aca="false">IF(C1742=J1742,"NEW KONTRAK","RE-KONTRAK")</f>
        <v>RE-KONTRAK</v>
      </c>
      <c r="J1742" s="16" t="n">
        <f aca="false" t="array" ref="J1742:J1742">IFERROR(INDEX(AC1742:AE1742,IF(COUNTA(AC1742:AE1742)=0,"",MAX((AC1742:AE1742&lt;&gt;"")*(COLUMN(AC1742:AE1742)-(COLUMN(AC1742)))))-1),"")</f>
        <v>45844</v>
      </c>
      <c r="K1742" s="16" t="n">
        <f aca="false" t="array" ref="K1742:K1742">IFERROR(INDEX(AC1742:AE1742,IF(COUNTA(AC1742:AE1742)=0,"",MAX((AC1742:AE1742&lt;&gt;"")*(COLUMN(AC1742:AE1742)-(COLUMN(AC1742)-1))))-1),"")</f>
        <v>45935</v>
      </c>
      <c r="L1742" s="17" t="str">
        <f aca="false" t="array" ref="L1742:L1742">IFERROR(INDEX(AC1742:AE1742,IF(COUNTA(AC1742:AE1742)=0,"",MAX((AC1742:AE1742&lt;&gt;"")*(COLUMN(AC1742:AE1742)-(COLUMN(AC1742)-2))))-1),"")</f>
        <v>ARCHIVED</v>
      </c>
      <c r="M1742" s="13" t="n">
        <f aca="true">K1742-TODAY()</f>
        <v>-389</v>
      </c>
      <c r="N1742" s="50" t="s">
        <v>615</v>
      </c>
      <c r="O1742" s="13" t="s">
        <v>2335</v>
      </c>
      <c r="P1742" s="19" t="n">
        <v>160000</v>
      </c>
      <c r="Q1742" s="20" t="s">
        <v>7582</v>
      </c>
      <c r="R1742" s="13" t="s">
        <v>232</v>
      </c>
      <c r="S1742" s="14" t="n">
        <v>33069</v>
      </c>
      <c r="T1742" s="13" t="s">
        <v>40</v>
      </c>
      <c r="U1742" s="13" t="s">
        <v>7583</v>
      </c>
      <c r="V1742" s="13" t="s">
        <v>42</v>
      </c>
      <c r="W1742" s="13" t="s">
        <v>54</v>
      </c>
      <c r="X1742" s="21" t="n">
        <v>87770178897</v>
      </c>
      <c r="Y1742" s="22" t="str">
        <f aca="false">O1742</f>
        <v>Project Management</v>
      </c>
      <c r="Z1742" s="13" t="str">
        <f aca="false">IFERROR(__xludf.dummyfunction("if(BJ1742="""","""",GOOGLETRANSLATE(BJ1742,""auto"",""en""))"),"Project Management")</f>
        <v>Project Management</v>
      </c>
      <c r="AA1742" s="23" t="str">
        <f aca="false">IF(C1742="","", CHOOSE(MONTH(C1742),"January","February","March","April","May","June","July","August","September","October","November","December")&amp;" "&amp;DAY(C1742)&amp;MID("thstndrdth",MIN(9,2*RIGHT(DAY(C1742))*(MOD(DAY(C1742)-11,100)&gt;2)+1),2)&amp;","&amp;TEXT(C1742," yyyy"))</f>
        <v>December 6th,2024</v>
      </c>
      <c r="AB1742" s="15" t="str">
        <f aca="true">IF(S1742="","",DATEDIF(S1742,TODAY(),"Y")&amp;" Tahun, "&amp;DATEDIF(S1742,TODAY(),"YM")&amp;" Bulan, "&amp;DATEDIF(S1742,TODAY(),"MD")&amp;" Hari")</f>
        <v>36 Tahun, 3 Bulan, 14 Hari</v>
      </c>
      <c r="AC1742" s="18" t="n">
        <v>45844</v>
      </c>
      <c r="AD1742" s="18" t="n">
        <v>45935</v>
      </c>
      <c r="AE1742" s="18" t="s">
        <v>44</v>
      </c>
    </row>
    <row r="1743" customFormat="false" ht="15" hidden="false" customHeight="true" outlineLevel="0" collapsed="false">
      <c r="A1743" s="12" t="n">
        <v>17998</v>
      </c>
      <c r="B1743" s="13" t="s">
        <v>7584</v>
      </c>
      <c r="C1743" s="14" t="n">
        <v>45630</v>
      </c>
      <c r="D1743" s="13" t="s">
        <v>613</v>
      </c>
      <c r="E1743" s="15" t="s">
        <v>47</v>
      </c>
      <c r="F1743" s="15" t="str">
        <f aca="false">IFERROR(__xludf.dummyfunction("XLOOKUP(AJ1743,IMPORTRANGE(""1XaInW9DU9nz21V0tYIfzFQ0He9kVQ_JF2mCXgZ3hqFA"",""REKAP ALL 2026 - Andika!G:G""),IMPORTRANGE(""1XaInW9DU9nz21V0tYIfzFQ0He9kVQ_JF2mCXgZ3hqFA"",""REKAP ALL 2026 - Andika!F:F""),"""",0)"),"25157578185")</f>
        <v>25157578185</v>
      </c>
      <c r="G1743" s="15" t="s">
        <v>7585</v>
      </c>
      <c r="H1743" s="13" t="s">
        <v>35</v>
      </c>
      <c r="I1743" s="13" t="str">
        <f aca="false">IF(C1743=J1743,"NEW KONTRAK","RE-KONTRAK")</f>
        <v>RE-KONTRAK</v>
      </c>
      <c r="J1743" s="16" t="n">
        <f aca="false" t="array" ref="J1743:J1743">IFERROR(INDEX(AC1743:AE1743,IF(COUNTA(AC1743:AE1743)=0,"",MAX((AC1743:AE1743&lt;&gt;"")*(COLUMN(AC1743:AE1743)-(COLUMN(AC1743)))))-1),"")</f>
        <v>45885</v>
      </c>
      <c r="K1743" s="16" t="n">
        <f aca="false" t="array" ref="K1743:K1743">IFERROR(INDEX(AC1743:AE1743,IF(COUNTA(AC1743:AE1743)=0,"",MAX((AC1743:AE1743&lt;&gt;"")*(COLUMN(AC1743:AE1743)-(COLUMN(AC1743)-1))))-1),"")</f>
        <v>46068</v>
      </c>
      <c r="L1743" s="17" t="str">
        <f aca="false" t="array" ref="L1743:L1743">IFERROR(INDEX(AC1743:AE1743,IF(COUNTA(AC1743:AE1743)=0,"",MAX((AC1743:AE1743&lt;&gt;"")*(COLUMN(AC1743:AE1743)-(COLUMN(AC1743)-2))))-1),"")</f>
        <v>ARCHIVED</v>
      </c>
      <c r="M1743" s="13" t="n">
        <f aca="true">K1743-TODAY()</f>
        <v>-256</v>
      </c>
      <c r="N1743" s="18" t="s">
        <v>615</v>
      </c>
      <c r="O1743" s="13" t="s">
        <v>76</v>
      </c>
      <c r="P1743" s="19" t="n">
        <v>5176101</v>
      </c>
      <c r="Q1743" s="20" t="s">
        <v>7586</v>
      </c>
      <c r="R1743" s="13" t="s">
        <v>232</v>
      </c>
      <c r="S1743" s="14" t="n">
        <v>37245</v>
      </c>
      <c r="T1743" s="13" t="s">
        <v>40</v>
      </c>
      <c r="U1743" s="13" t="s">
        <v>7587</v>
      </c>
      <c r="V1743" s="13" t="s">
        <v>42</v>
      </c>
      <c r="W1743" s="13" t="s">
        <v>43</v>
      </c>
      <c r="X1743" s="21" t="n">
        <v>85792295520</v>
      </c>
      <c r="Y1743" s="22" t="str">
        <f aca="false">O1743</f>
        <v>Operator Forklift</v>
      </c>
      <c r="Z1743" s="13" t="str">
        <f aca="false">IFERROR(__xludf.dummyfunction("if(BJ1743="""","""",GOOGLETRANSLATE(BJ1743,""auto"",""en""))"),"Operator Forklift")</f>
        <v>Operator Forklift</v>
      </c>
      <c r="AA1743" s="23" t="str">
        <f aca="false">IF(C1743="","", CHOOSE(MONTH(C1743),"January","February","March","April","May","June","July","August","September","October","November","December")&amp;" "&amp;DAY(C1743)&amp;MID("thstndrdth",MIN(9,2*RIGHT(DAY(C1743))*(MOD(DAY(C1743)-11,100)&gt;2)+1),2)&amp;","&amp;TEXT(C1743," yyyy"))</f>
        <v>December 4th,2024</v>
      </c>
      <c r="AB1743" s="15" t="str">
        <f aca="true">IF(S1743="","",DATEDIF(S1743,TODAY(),"Y")&amp;" Tahun, "&amp;DATEDIF(S1743,TODAY(),"YM")&amp;" Bulan, "&amp;DATEDIF(S1743,TODAY(),"MD")&amp;" Hari")</f>
        <v>24 Tahun, 10 Bulan, 9 Hari</v>
      </c>
      <c r="AC1743" s="18" t="n">
        <v>45885</v>
      </c>
      <c r="AD1743" s="18" t="n">
        <v>46068</v>
      </c>
      <c r="AE1743" s="18" t="s">
        <v>44</v>
      </c>
    </row>
    <row r="1744" customFormat="false" ht="15" hidden="false" customHeight="true" outlineLevel="0" collapsed="false">
      <c r="A1744" s="12" t="n">
        <v>3401</v>
      </c>
      <c r="B1744" s="13" t="s">
        <v>7588</v>
      </c>
      <c r="C1744" s="14" t="n">
        <v>44470</v>
      </c>
      <c r="D1744" s="13" t="s">
        <v>2033</v>
      </c>
      <c r="E1744" s="15" t="s">
        <v>47</v>
      </c>
      <c r="F1744" s="15" t="str">
        <f aca="false">IFERROR(__xludf.dummyfunction("XLOOKUP(AJ1744,IMPORTRANGE(""1XaInW9DU9nz21V0tYIfzFQ0He9kVQ_JF2mCXgZ3hqFA"",""REKAP ALL 2026 - Andika!G:G""),IMPORTRANGE(""1XaInW9DU9nz21V0tYIfzFQ0He9kVQ_JF2mCXgZ3hqFA"",""REKAP ALL 2026 - Andika!F:F""),"""",0)"),"21082691276")</f>
        <v>21082691276</v>
      </c>
      <c r="G1744" s="13" t="s">
        <v>7589</v>
      </c>
      <c r="H1744" s="13" t="s">
        <v>2035</v>
      </c>
      <c r="I1744" s="13" t="str">
        <f aca="false">IF(C1744=J1744,"NEW KONTRAK","RE-KONTRAK")</f>
        <v>RE-KONTRAK</v>
      </c>
      <c r="J1744" s="16" t="n">
        <f aca="false" t="array" ref="J1744:J1744">IFERROR(INDEX(AC1744:AE1744,IF(COUNTA(AC1744:AE1744)=0,"",MAX((AC1744:AE1744&lt;&gt;"")*(COLUMN(AC1744:AE1744)-(COLUMN(AC1744)))))-1),"")</f>
        <v>45744</v>
      </c>
      <c r="K1744" s="16" t="n">
        <f aca="false" t="array" ref="K1744:K1744">IFERROR(INDEX(AC1744:AE1744,IF(COUNTA(AC1744:AE1744)=0,"",MAX((AC1744:AE1744&lt;&gt;"")*(COLUMN(AC1744:AE1744)-(COLUMN(AC1744)-1))))-1),"")</f>
        <v>45915</v>
      </c>
      <c r="L1744" s="17" t="str">
        <f aca="false" t="array" ref="L1744:L1744">IFERROR(INDEX(AC1744:AE1744,IF(COUNTA(AC1744:AE1744)=0,"",MAX((AC1744:AE1744&lt;&gt;"")*(COLUMN(AC1744:AE1744)-(COLUMN(AC1744)-2))))-1),"")</f>
        <v>ARCHIVED</v>
      </c>
      <c r="M1744" s="13" t="n">
        <f aca="true">K1744-TODAY()</f>
        <v>-409</v>
      </c>
      <c r="N1744" s="18" t="s">
        <v>7590</v>
      </c>
      <c r="O1744" s="13" t="s">
        <v>2037</v>
      </c>
      <c r="P1744" s="19" t="n">
        <v>3921000</v>
      </c>
      <c r="Q1744" s="20" t="s">
        <v>7591</v>
      </c>
      <c r="R1744" s="13" t="s">
        <v>7590</v>
      </c>
      <c r="S1744" s="14" t="n">
        <v>37640</v>
      </c>
      <c r="T1744" s="13" t="s">
        <v>108</v>
      </c>
      <c r="U1744" s="13" t="s">
        <v>7592</v>
      </c>
      <c r="V1744" s="13" t="s">
        <v>42</v>
      </c>
      <c r="W1744" s="13" t="s">
        <v>43</v>
      </c>
      <c r="X1744" s="21" t="n">
        <v>81243724750</v>
      </c>
      <c r="Y1744" s="22" t="str">
        <f aca="false">O1744</f>
        <v>SPG/BA</v>
      </c>
      <c r="Z1744" s="13" t="str">
        <f aca="false">IFERROR(__xludf.dummyfunction("if(BJ1744="""","""",GOOGLETRANSLATE(BJ1744,""auto"",""en""))"),"SPG/BA")</f>
        <v>SPG/BA</v>
      </c>
      <c r="AA1744" s="23" t="str">
        <f aca="false">IF(C1744="","", CHOOSE(MONTH(C1744),"January","February","March","April","May","June","July","August","September","October","November","December")&amp;" "&amp;DAY(C1744)&amp;MID("thstndrdth",MIN(9,2*RIGHT(DAY(C1744))*(MOD(DAY(C1744)-11,100)&gt;2)+1),2)&amp;","&amp;TEXT(C1744," yyyy"))</f>
        <v>October 1st,2021</v>
      </c>
      <c r="AB1744" s="15" t="str">
        <f aca="true">IF(S1744="","",DATEDIF(S1744,TODAY(),"Y")&amp;" Tahun, "&amp;DATEDIF(S1744,TODAY(),"YM")&amp;" Bulan, "&amp;DATEDIF(S1744,TODAY(),"MD")&amp;" Hari")</f>
        <v>23 Tahun, 9 Bulan, 10 Hari</v>
      </c>
      <c r="AC1744" s="18" t="n">
        <v>45744</v>
      </c>
      <c r="AD1744" s="18" t="n">
        <v>45915</v>
      </c>
      <c r="AE1744" s="18" t="s">
        <v>44</v>
      </c>
    </row>
    <row r="1745" customFormat="false" ht="15" hidden="false" customHeight="true" outlineLevel="0" collapsed="false">
      <c r="A1745" s="12" t="n">
        <v>18005</v>
      </c>
      <c r="B1745" s="13" t="s">
        <v>7593</v>
      </c>
      <c r="C1745" s="14" t="n">
        <v>45635</v>
      </c>
      <c r="D1745" s="13" t="s">
        <v>144</v>
      </c>
      <c r="E1745" s="15" t="s">
        <v>47</v>
      </c>
      <c r="F1745" s="15" t="str">
        <f aca="false">IFERROR(__xludf.dummyfunction("XLOOKUP(AJ1745,IMPORTRANGE(""1XaInW9DU9nz21V0tYIfzFQ0He9kVQ_JF2mCXgZ3hqFA"",""REKAP ALL 2026 - Andika!G:G""),IMPORTRANGE(""1XaInW9DU9nz21V0tYIfzFQ0He9kVQ_JF2mCXgZ3hqFA"",""REKAP ALL 2026 - Andika!F:F""),"""",0)"),"24216706390")</f>
        <v>24216706390</v>
      </c>
      <c r="G1745" s="15" t="s">
        <v>7594</v>
      </c>
      <c r="H1745" s="13" t="s">
        <v>35</v>
      </c>
      <c r="I1745" s="13" t="str">
        <f aca="false">IF(C1745=J1745,"NEW KONTRAK","RE-KONTRAK")</f>
        <v>RE-KONTRAK</v>
      </c>
      <c r="J1745" s="16" t="n">
        <f aca="false" t="array" ref="J1745:J1745">IFERROR(INDEX(AC1745:AE1745,IF(COUNTA(AC1745:AE1745)=0,"",MAX((AC1745:AE1745&lt;&gt;"")*(COLUMN(AC1745:AE1745)-(COLUMN(AC1745)))))-1),"")</f>
        <v>45658</v>
      </c>
      <c r="K1745" s="16" t="n">
        <f aca="false" t="array" ref="K1745:K1745">IFERROR(INDEX(AC1745:AE1745,IF(COUNTA(AC1745:AE1745)=0,"",MAX((AC1745:AE1745&lt;&gt;"")*(COLUMN(AC1745:AE1745)-(COLUMN(AC1745)-1))))-1),"")</f>
        <v>46022</v>
      </c>
      <c r="L1745" s="17" t="str">
        <f aca="false" t="array" ref="L1745:L1745">IFERROR(INDEX(AC1745:AE1745,IF(COUNTA(AC1745:AE1745)=0,"",MAX((AC1745:AE1745&lt;&gt;"")*(COLUMN(AC1745:AE1745)-(COLUMN(AC1745)-2))))-1),"")</f>
        <v>ARCHIVED</v>
      </c>
      <c r="M1745" s="13" t="n">
        <f aca="true">K1745-TODAY()</f>
        <v>-302</v>
      </c>
      <c r="N1745" s="18" t="s">
        <v>36</v>
      </c>
      <c r="O1745" s="13" t="s">
        <v>1287</v>
      </c>
      <c r="P1745" s="19" t="n">
        <v>5195401</v>
      </c>
      <c r="Q1745" s="20" t="s">
        <v>7595</v>
      </c>
      <c r="R1745" s="13" t="s">
        <v>52</v>
      </c>
      <c r="S1745" s="14" t="n">
        <v>31596</v>
      </c>
      <c r="T1745" s="13" t="s">
        <v>40</v>
      </c>
      <c r="U1745" s="13" t="s">
        <v>7596</v>
      </c>
      <c r="V1745" s="13" t="s">
        <v>42</v>
      </c>
      <c r="W1745" s="13" t="s">
        <v>54</v>
      </c>
      <c r="X1745" s="21" t="n">
        <v>85607050465</v>
      </c>
      <c r="Y1745" s="22" t="str">
        <f aca="false">O1745</f>
        <v>Office Boy</v>
      </c>
      <c r="Z1745" s="13" t="str">
        <f aca="false">IFERROR(__xludf.dummyfunction("if(BJ1745="""","""",GOOGLETRANSLATE(BJ1745,""auto"",""en""))"),"Office Boy")</f>
        <v>Office Boy</v>
      </c>
      <c r="AA1745" s="23" t="str">
        <f aca="false">IF(C1745="","", CHOOSE(MONTH(C1745),"January","February","March","April","May","June","July","August","September","October","November","December")&amp;" "&amp;DAY(C1745)&amp;MID("thstndrdth",MIN(9,2*RIGHT(DAY(C1745))*(MOD(DAY(C1745)-11,100)&gt;2)+1),2)&amp;","&amp;TEXT(C1745," yyyy"))</f>
        <v>December 9th,2024</v>
      </c>
      <c r="AB1745" s="15" t="str">
        <f aca="true">IF(S1745="","",DATEDIF(S1745,TODAY(),"Y")&amp;" Tahun, "&amp;DATEDIF(S1745,TODAY(),"YM")&amp;" Bulan, "&amp;DATEDIF(S1745,TODAY(),"MD")&amp;" Hari")</f>
        <v>40 Tahun, 3 Bulan, 26 Hari</v>
      </c>
      <c r="AC1745" s="18" t="n">
        <v>45658</v>
      </c>
      <c r="AD1745" s="18" t="n">
        <v>46022</v>
      </c>
      <c r="AE1745" s="18" t="s">
        <v>44</v>
      </c>
    </row>
    <row r="1746" customFormat="false" ht="15" hidden="false" customHeight="true" outlineLevel="0" collapsed="false">
      <c r="A1746" s="12" t="n">
        <v>18011</v>
      </c>
      <c r="B1746" s="13" t="s">
        <v>7597</v>
      </c>
      <c r="C1746" s="14" t="n">
        <v>45642</v>
      </c>
      <c r="D1746" s="13" t="s">
        <v>5726</v>
      </c>
      <c r="E1746" s="15" t="s">
        <v>47</v>
      </c>
      <c r="F1746" s="15" t="str">
        <f aca="false">IFERROR(__xludf.dummyfunction("XLOOKUP(AJ1746,IMPORTRANGE(""1XaInW9DU9nz21V0tYIfzFQ0He9kVQ_JF2mCXgZ3hqFA"",""REKAP ALL 2026 - Andika!G:G""),IMPORTRANGE(""1XaInW9DU9nz21V0tYIfzFQ0He9kVQ_JF2mCXgZ3hqFA"",""REKAP ALL 2026 - Andika!F:F""),"""",0)"),"24216706341")</f>
        <v>24216706341</v>
      </c>
      <c r="G1746" s="15" t="s">
        <v>7598</v>
      </c>
      <c r="H1746" s="13" t="s">
        <v>35</v>
      </c>
      <c r="I1746" s="13" t="str">
        <f aca="false">IF(C1746=J1746,"NEW KONTRAK","RE-KONTRAK")</f>
        <v>RE-KONTRAK</v>
      </c>
      <c r="J1746" s="16" t="n">
        <f aca="false" t="array" ref="J1746:J1746">IFERROR(INDEX(AC1746:AE1746,IF(COUNTA(AC1746:AE1746)=0,"",MAX((AC1746:AE1746&lt;&gt;"")*(COLUMN(AC1746:AE1746)-(COLUMN(AC1746)))))-1),"")</f>
        <v>45824</v>
      </c>
      <c r="K1746" s="16" t="n">
        <f aca="false" t="array" ref="K1746:K1746">IFERROR(INDEX(AC1746:AE1746,IF(COUNTA(AC1746:AE1746)=0,"",MAX((AC1746:AE1746&lt;&gt;"")*(COLUMN(AC1746:AE1746)-(COLUMN(AC1746)-1))))-1),"")</f>
        <v>45915</v>
      </c>
      <c r="L1746" s="17" t="str">
        <f aca="false" t="array" ref="L1746:L1746">IFERROR(INDEX(AC1746:AE1746,IF(COUNTA(AC1746:AE1746)=0,"",MAX((AC1746:AE1746&lt;&gt;"")*(COLUMN(AC1746:AE1746)-(COLUMN(AC1746)-2))))-1),"")</f>
        <v>ARCHIVED</v>
      </c>
      <c r="M1746" s="13" t="n">
        <f aca="true">K1746-TODAY()</f>
        <v>-409</v>
      </c>
      <c r="N1746" s="18" t="s">
        <v>615</v>
      </c>
      <c r="O1746" s="13" t="s">
        <v>7088</v>
      </c>
      <c r="P1746" s="19" t="n">
        <v>5176101</v>
      </c>
      <c r="Q1746" s="20" t="s">
        <v>7599</v>
      </c>
      <c r="R1746" s="13" t="s">
        <v>232</v>
      </c>
      <c r="S1746" s="14" t="n">
        <v>35032</v>
      </c>
      <c r="T1746" s="13" t="s">
        <v>108</v>
      </c>
      <c r="U1746" s="13" t="s">
        <v>7600</v>
      </c>
      <c r="V1746" s="13" t="s">
        <v>42</v>
      </c>
      <c r="W1746" s="13" t="s">
        <v>54</v>
      </c>
      <c r="X1746" s="21" t="n">
        <v>85733880488</v>
      </c>
      <c r="Y1746" s="22" t="str">
        <f aca="false">O1746</f>
        <v>Quality Inspector</v>
      </c>
      <c r="Z1746" s="13" t="str">
        <f aca="false">IFERROR(__xludf.dummyfunction("if(BJ1746="""","""",GOOGLETRANSLATE(BJ1746,""auto"",""en""))"),"Quality Inspector")</f>
        <v>Quality Inspector</v>
      </c>
      <c r="AA1746" s="23" t="str">
        <f aca="false">IF(C1746="","", CHOOSE(MONTH(C1746),"January","February","March","April","May","June","July","August","September","October","November","December")&amp;" "&amp;DAY(C1746)&amp;MID("thstndrdth",MIN(9,2*RIGHT(DAY(C1746))*(MOD(DAY(C1746)-11,100)&gt;2)+1),2)&amp;","&amp;TEXT(C1746," yyyy"))</f>
        <v>December 16th,2024</v>
      </c>
      <c r="AB1746" s="15" t="str">
        <f aca="true">IF(S1746="","",DATEDIF(S1746,TODAY(),"Y")&amp;" Tahun, "&amp;DATEDIF(S1746,TODAY(),"YM")&amp;" Bulan, "&amp;DATEDIF(S1746,TODAY(),"MD")&amp;" Hari")</f>
        <v>30 Tahun, 11 Bulan, 0 Hari</v>
      </c>
      <c r="AC1746" s="18" t="n">
        <v>45824</v>
      </c>
      <c r="AD1746" s="18" t="n">
        <v>45915</v>
      </c>
      <c r="AE1746" s="18" t="s">
        <v>44</v>
      </c>
    </row>
    <row r="1747" customFormat="false" ht="15" hidden="false" customHeight="true" outlineLevel="0" collapsed="false">
      <c r="A1747" s="12" t="n">
        <v>18012</v>
      </c>
      <c r="B1747" s="13" t="s">
        <v>7601</v>
      </c>
      <c r="C1747" s="14" t="n">
        <v>45642</v>
      </c>
      <c r="D1747" s="13" t="s">
        <v>5726</v>
      </c>
      <c r="E1747" s="15" t="s">
        <v>47</v>
      </c>
      <c r="F1747" s="15" t="str">
        <f aca="false">IFERROR(__xludf.dummyfunction("XLOOKUP(AJ1747,IMPORTRANGE(""1XaInW9DU9nz21V0tYIfzFQ0He9kVQ_JF2mCXgZ3hqFA"",""REKAP ALL 2026 - Andika!G:G""),IMPORTRANGE(""1XaInW9DU9nz21V0tYIfzFQ0He9kVQ_JF2mCXgZ3hqFA"",""REKAP ALL 2026 - Andika!F:F""),"""",0)"),"24216706374")</f>
        <v>24216706374</v>
      </c>
      <c r="G1747" s="15" t="s">
        <v>7602</v>
      </c>
      <c r="H1747" s="13" t="s">
        <v>35</v>
      </c>
      <c r="I1747" s="13" t="str">
        <f aca="false">IF(C1747=J1747,"NEW KONTRAK","RE-KONTRAK")</f>
        <v>RE-KONTRAK</v>
      </c>
      <c r="J1747" s="16" t="n">
        <f aca="false" t="array" ref="J1747:J1747">IFERROR(INDEX(AC1747:AE1747,IF(COUNTA(AC1747:AE1747)=0,"",MAX((AC1747:AE1747&lt;&gt;"")*(COLUMN(AC1747:AE1747)-(COLUMN(AC1747)))))-1),"")</f>
        <v>45551</v>
      </c>
      <c r="K1747" s="16" t="n">
        <f aca="false" t="array" ref="K1747:K1747">IFERROR(INDEX(AC1747:AE1747,IF(COUNTA(AC1747:AE1747)=0,"",MAX((AC1747:AE1747&lt;&gt;"")*(COLUMN(AC1747:AE1747)-(COLUMN(AC1747)-1))))-1),"")</f>
        <v>45915</v>
      </c>
      <c r="L1747" s="17" t="str">
        <f aca="false" t="array" ref="L1747:L1747">IFERROR(INDEX(AC1747:AE1747,IF(COUNTA(AC1747:AE1747)=0,"",MAX((AC1747:AE1747&lt;&gt;"")*(COLUMN(AC1747:AE1747)-(COLUMN(AC1747)-2))))-1),"")</f>
        <v>ARCHIVED</v>
      </c>
      <c r="M1747" s="13" t="n">
        <f aca="true">K1747-TODAY()</f>
        <v>-409</v>
      </c>
      <c r="N1747" s="18" t="s">
        <v>615</v>
      </c>
      <c r="O1747" s="13" t="s">
        <v>7088</v>
      </c>
      <c r="P1747" s="19" t="n">
        <v>5176101</v>
      </c>
      <c r="Q1747" s="20" t="s">
        <v>7603</v>
      </c>
      <c r="R1747" s="13" t="s">
        <v>763</v>
      </c>
      <c r="S1747" s="14" t="n">
        <v>35496</v>
      </c>
      <c r="T1747" s="13" t="s">
        <v>108</v>
      </c>
      <c r="U1747" s="13" t="s">
        <v>7604</v>
      </c>
      <c r="V1747" s="13" t="s">
        <v>42</v>
      </c>
      <c r="W1747" s="13" t="s">
        <v>54</v>
      </c>
      <c r="X1747" s="21" t="n">
        <v>82335832878</v>
      </c>
      <c r="Y1747" s="22" t="str">
        <f aca="false">O1747</f>
        <v>Quality Inspector</v>
      </c>
      <c r="Z1747" s="13" t="str">
        <f aca="false">IFERROR(__xludf.dummyfunction("if(BJ1747="""","""",GOOGLETRANSLATE(BJ1747,""auto"",""en""))"),"Quality Inspector")</f>
        <v>Quality Inspector</v>
      </c>
      <c r="AA1747" s="23" t="str">
        <f aca="false">IF(C1747="","", CHOOSE(MONTH(C1747),"January","February","March","April","May","June","July","August","September","October","November","December")&amp;" "&amp;DAY(C1747)&amp;MID("thstndrdth",MIN(9,2*RIGHT(DAY(C1747))*(MOD(DAY(C1747)-11,100)&gt;2)+1),2)&amp;","&amp;TEXT(C1747," yyyy"))</f>
        <v>December 16th,2024</v>
      </c>
      <c r="AB1747" s="15" t="str">
        <f aca="true">IF(S1747="","",DATEDIF(S1747,TODAY(),"Y")&amp;" Tahun, "&amp;DATEDIF(S1747,TODAY(),"YM")&amp;" Bulan, "&amp;DATEDIF(S1747,TODAY(),"MD")&amp;" Hari")</f>
        <v>29 Tahun, 7 Bulan, 22 Hari</v>
      </c>
      <c r="AC1747" s="18" t="n">
        <v>45551</v>
      </c>
      <c r="AD1747" s="18" t="n">
        <v>45915</v>
      </c>
      <c r="AE1747" s="18" t="s">
        <v>44</v>
      </c>
    </row>
    <row r="1748" customFormat="false" ht="15" hidden="false" customHeight="true" outlineLevel="0" collapsed="false">
      <c r="A1748" s="12" t="n">
        <v>18013</v>
      </c>
      <c r="B1748" s="13" t="s">
        <v>7605</v>
      </c>
      <c r="C1748" s="14" t="n">
        <v>45642</v>
      </c>
      <c r="D1748" s="13" t="s">
        <v>5726</v>
      </c>
      <c r="E1748" s="15" t="s">
        <v>47</v>
      </c>
      <c r="F1748" s="15" t="str">
        <f aca="false">IFERROR(__xludf.dummyfunction("XLOOKUP(AJ1748,IMPORTRANGE(""1XaInW9DU9nz21V0tYIfzFQ0He9kVQ_JF2mCXgZ3hqFA"",""REKAP ALL 2026 - Andika!G:G""),IMPORTRANGE(""1XaInW9DU9nz21V0tYIfzFQ0He9kVQ_JF2mCXgZ3hqFA"",""REKAP ALL 2026 - Andika!F:F""),"""",0)"),"24216706358")</f>
        <v>24216706358</v>
      </c>
      <c r="G1748" s="15" t="s">
        <v>7606</v>
      </c>
      <c r="H1748" s="13" t="s">
        <v>35</v>
      </c>
      <c r="I1748" s="13" t="str">
        <f aca="false">IF(C1748=J1748,"NEW KONTRAK","RE-KONTRAK")</f>
        <v>RE-KONTRAK</v>
      </c>
      <c r="J1748" s="16" t="n">
        <f aca="false" t="array" ref="J1748:J1748">IFERROR(INDEX(AC1748:AE1748,IF(COUNTA(AC1748:AE1748)=0,"",MAX((AC1748:AE1748&lt;&gt;"")*(COLUMN(AC1748:AE1748)-(COLUMN(AC1748)))))-1),"")</f>
        <v>45824</v>
      </c>
      <c r="K1748" s="16" t="n">
        <f aca="false" t="array" ref="K1748:K1748">IFERROR(INDEX(AC1748:AE1748,IF(COUNTA(AC1748:AE1748)=0,"",MAX((AC1748:AE1748&lt;&gt;"")*(COLUMN(AC1748:AE1748)-(COLUMN(AC1748)-1))))-1),"")</f>
        <v>45915</v>
      </c>
      <c r="L1748" s="17" t="str">
        <f aca="false" t="array" ref="L1748:L1748">IFERROR(INDEX(AC1748:AE1748,IF(COUNTA(AC1748:AE1748)=0,"",MAX((AC1748:AE1748&lt;&gt;"")*(COLUMN(AC1748:AE1748)-(COLUMN(AC1748)-2))))-1),"")</f>
        <v>ARCHIVED</v>
      </c>
      <c r="M1748" s="13" t="n">
        <f aca="true">K1748-TODAY()</f>
        <v>-409</v>
      </c>
      <c r="N1748" s="18" t="s">
        <v>615</v>
      </c>
      <c r="O1748" s="13" t="s">
        <v>7088</v>
      </c>
      <c r="P1748" s="19" t="n">
        <v>5176101</v>
      </c>
      <c r="Q1748" s="20" t="s">
        <v>7607</v>
      </c>
      <c r="R1748" s="13" t="s">
        <v>232</v>
      </c>
      <c r="S1748" s="14" t="n">
        <v>36419</v>
      </c>
      <c r="T1748" s="13" t="s">
        <v>108</v>
      </c>
      <c r="U1748" s="13" t="s">
        <v>7608</v>
      </c>
      <c r="V1748" s="13" t="s">
        <v>42</v>
      </c>
      <c r="W1748" s="13" t="s">
        <v>43</v>
      </c>
      <c r="X1748" s="21" t="n">
        <v>85853964653</v>
      </c>
      <c r="Y1748" s="22" t="str">
        <f aca="false">O1748</f>
        <v>Quality Inspector</v>
      </c>
      <c r="Z1748" s="13" t="str">
        <f aca="false">IFERROR(__xludf.dummyfunction("if(BJ1748="""","""",GOOGLETRANSLATE(BJ1748,""auto"",""en""))"),"Quality Inspector")</f>
        <v>Quality Inspector</v>
      </c>
      <c r="AA1748" s="23" t="str">
        <f aca="false">IF(C1748="","", CHOOSE(MONTH(C1748),"January","February","March","April","May","June","July","August","September","October","November","December")&amp;" "&amp;DAY(C1748)&amp;MID("thstndrdth",MIN(9,2*RIGHT(DAY(C1748))*(MOD(DAY(C1748)-11,100)&gt;2)+1),2)&amp;","&amp;TEXT(C1748," yyyy"))</f>
        <v>December 16th,2024</v>
      </c>
      <c r="AB1748" s="15" t="str">
        <f aca="true">IF(S1748="","",DATEDIF(S1748,TODAY(),"Y")&amp;" Tahun, "&amp;DATEDIF(S1748,TODAY(),"YM")&amp;" Bulan, "&amp;DATEDIF(S1748,TODAY(),"MD")&amp;" Hari")</f>
        <v>27 Tahun, 1 Bulan, 13 Hari</v>
      </c>
      <c r="AC1748" s="18" t="n">
        <v>45824</v>
      </c>
      <c r="AD1748" s="18" t="n">
        <v>45915</v>
      </c>
      <c r="AE1748" s="18" t="s">
        <v>44</v>
      </c>
    </row>
    <row r="1749" customFormat="false" ht="15" hidden="false" customHeight="true" outlineLevel="0" collapsed="false">
      <c r="A1749" s="12" t="n">
        <v>18023</v>
      </c>
      <c r="B1749" s="13" t="s">
        <v>7609</v>
      </c>
      <c r="C1749" s="14" t="n">
        <v>45638</v>
      </c>
      <c r="D1749" s="13" t="s">
        <v>7310</v>
      </c>
      <c r="E1749" s="15" t="s">
        <v>47</v>
      </c>
      <c r="F1749" s="15" t="str">
        <f aca="false">IFERROR(__xludf.dummyfunction("XLOOKUP(AJ1749,IMPORTRANGE(""1XaInW9DU9nz21V0tYIfzFQ0He9kVQ_JF2mCXgZ3hqFA"",""REKAP ALL 2026 - Andika!G:G""),IMPORTRANGE(""1XaInW9DU9nz21V0tYIfzFQ0He9kVQ_JF2mCXgZ3hqFA"",""REKAP ALL 2026 - Andika!F:F""),"""",0)"),"24216705871")</f>
        <v>24216705871</v>
      </c>
      <c r="G1749" s="15" t="s">
        <v>7610</v>
      </c>
      <c r="H1749" s="13" t="s">
        <v>35</v>
      </c>
      <c r="I1749" s="13" t="str">
        <f aca="false">IF(C1749=J1749,"NEW KONTRAK","RE-KONTRAK")</f>
        <v>NEW KONTRAK</v>
      </c>
      <c r="J1749" s="16" t="n">
        <f aca="false" t="array" ref="J1749:J1749">IFERROR(INDEX(AC1749:AE1749,IF(COUNTA(AC1749:AE1749)=0,"",MAX((AC1749:AE1749&lt;&gt;"")*(COLUMN(AC1749:AE1749)-(COLUMN(AC1749)))))-1),"")</f>
        <v>45638</v>
      </c>
      <c r="K1749" s="16" t="n">
        <f aca="false" t="array" ref="K1749:K1749">IFERROR(INDEX(AC1749:AE1749,IF(COUNTA(AC1749:AE1749)=0,"",MAX((AC1749:AE1749&lt;&gt;"")*(COLUMN(AC1749:AE1749)-(COLUMN(AC1749)-1))))-1),"")</f>
        <v>46002</v>
      </c>
      <c r="L1749" s="17" t="str">
        <f aca="false" t="array" ref="L1749:L1749">IFERROR(INDEX(AC1749:AE1749,IF(COUNTA(AC1749:AE1749)=0,"",MAX((AC1749:AE1749&lt;&gt;"")*(COLUMN(AC1749:AE1749)-(COLUMN(AC1749)-2))))-1),"")</f>
        <v>ARCHIVED</v>
      </c>
      <c r="M1749" s="13" t="n">
        <f aca="true">K1749-TODAY()</f>
        <v>-322</v>
      </c>
      <c r="N1749" s="18" t="s">
        <v>7313</v>
      </c>
      <c r="O1749" s="13" t="s">
        <v>7611</v>
      </c>
      <c r="P1749" s="19" t="n">
        <v>2550274</v>
      </c>
      <c r="Q1749" s="20" t="s">
        <v>7612</v>
      </c>
      <c r="R1749" s="13" t="s">
        <v>227</v>
      </c>
      <c r="S1749" s="14" t="n">
        <v>37946</v>
      </c>
      <c r="T1749" s="13" t="s">
        <v>40</v>
      </c>
      <c r="U1749" s="13" t="s">
        <v>7613</v>
      </c>
      <c r="V1749" s="13" t="s">
        <v>42</v>
      </c>
      <c r="W1749" s="13" t="s">
        <v>43</v>
      </c>
      <c r="X1749" s="21" t="n">
        <v>81335139278</v>
      </c>
      <c r="Y1749" s="22" t="str">
        <f aca="false">O1749</f>
        <v>Helper Kernet</v>
      </c>
      <c r="Z1749" s="13" t="str">
        <f aca="false">IFERROR(__xludf.dummyfunction("if(BJ1749="""","""",GOOGLETRANSLATE(BJ1749,""auto"",""en""))"),"Helper Kernet")</f>
        <v>Helper Kernet</v>
      </c>
      <c r="AA1749" s="23" t="str">
        <f aca="false">IF(C1749="","", CHOOSE(MONTH(C1749),"January","February","March","April","May","June","July","August","September","October","November","December")&amp;" "&amp;DAY(C1749)&amp;MID("thstndrdth",MIN(9,2*RIGHT(DAY(C1749))*(MOD(DAY(C1749)-11,100)&gt;2)+1),2)&amp;","&amp;TEXT(C1749," yyyy"))</f>
        <v>December 12th,2024</v>
      </c>
      <c r="AB1749" s="15" t="str">
        <f aca="true">IF(S1749="","",DATEDIF(S1749,TODAY(),"Y")&amp;" Tahun, "&amp;DATEDIF(S1749,TODAY(),"YM")&amp;" Bulan, "&amp;DATEDIF(S1749,TODAY(),"MD")&amp;" Hari")</f>
        <v>22 Tahun, 11 Bulan, 8 Hari</v>
      </c>
      <c r="AC1749" s="18" t="n">
        <v>45638</v>
      </c>
      <c r="AD1749" s="18" t="n">
        <v>46002</v>
      </c>
      <c r="AE1749" s="18" t="s">
        <v>44</v>
      </c>
    </row>
    <row r="1750" customFormat="false" ht="15" hidden="false" customHeight="true" outlineLevel="0" collapsed="false">
      <c r="A1750" s="12" t="n">
        <v>18025</v>
      </c>
      <c r="B1750" s="13" t="s">
        <v>7614</v>
      </c>
      <c r="C1750" s="14" t="n">
        <v>45635</v>
      </c>
      <c r="D1750" s="13" t="s">
        <v>4743</v>
      </c>
      <c r="E1750" s="15" t="s">
        <v>47</v>
      </c>
      <c r="F1750" s="15" t="str">
        <f aca="false">IFERROR(__xludf.dummyfunction("XLOOKUP(AJ1750,IMPORTRANGE(""1XaInW9DU9nz21V0tYIfzFQ0He9kVQ_JF2mCXgZ3hqFA"",""REKAP ALL 2026 - Andika!G:G""),IMPORTRANGE(""1XaInW9DU9nz21V0tYIfzFQ0He9kVQ_JF2mCXgZ3hqFA"",""REKAP ALL 2026 - Andika!F:F""),"""",0)"),"24216681916")</f>
        <v>24216681916</v>
      </c>
      <c r="G1750" s="15" t="s">
        <v>7615</v>
      </c>
      <c r="H1750" s="13" t="s">
        <v>35</v>
      </c>
      <c r="I1750" s="13" t="str">
        <f aca="false">IF(C1750=J1750,"NEW KONTRAK","RE-KONTRAK")</f>
        <v>RE-KONTRAK</v>
      </c>
      <c r="J1750" s="16" t="n">
        <f aca="false" t="array" ref="J1750:J1750">IFERROR(INDEX(AC1750:AE1750,IF(COUNTA(AC1750:AE1750)=0,"",MAX((AC1750:AE1750&lt;&gt;"")*(COLUMN(AC1750:AE1750)-(COLUMN(AC1750)))))-1),"")</f>
        <v>45725</v>
      </c>
      <c r="K1750" s="16" t="n">
        <f aca="false" t="array" ref="K1750:K1750">IFERROR(INDEX(AC1750:AE1750,IF(COUNTA(AC1750:AE1750)=0,"",MAX((AC1750:AE1750&lt;&gt;"")*(COLUMN(AC1750:AE1750)-(COLUMN(AC1750)-1))))-1),"")</f>
        <v>45908</v>
      </c>
      <c r="L1750" s="17" t="str">
        <f aca="false" t="array" ref="L1750:L1750">IFERROR(INDEX(AC1750:AE1750,IF(COUNTA(AC1750:AE1750)=0,"",MAX((AC1750:AE1750&lt;&gt;"")*(COLUMN(AC1750:AE1750)-(COLUMN(AC1750)-2))))-1),"")</f>
        <v>ARCHIVED</v>
      </c>
      <c r="M1750" s="13" t="n">
        <f aca="true">K1750-TODAY()</f>
        <v>-416</v>
      </c>
      <c r="N1750" s="18" t="s">
        <v>728</v>
      </c>
      <c r="O1750" s="13" t="s">
        <v>7616</v>
      </c>
      <c r="P1750" s="19" t="n">
        <v>4368591</v>
      </c>
      <c r="Q1750" s="20" t="s">
        <v>7617</v>
      </c>
      <c r="R1750" s="13" t="s">
        <v>52</v>
      </c>
      <c r="S1750" s="14" t="n">
        <v>34781</v>
      </c>
      <c r="T1750" s="13" t="s">
        <v>108</v>
      </c>
      <c r="U1750" s="13" t="s">
        <v>7618</v>
      </c>
      <c r="V1750" s="13" t="s">
        <v>42</v>
      </c>
      <c r="W1750" s="13" t="s">
        <v>54</v>
      </c>
      <c r="X1750" s="21" t="n">
        <v>89505478862</v>
      </c>
      <c r="Y1750" s="22" t="str">
        <f aca="false">O1750</f>
        <v>Sales Counter</v>
      </c>
      <c r="Z1750" s="13" t="str">
        <f aca="false">IFERROR(__xludf.dummyfunction("if(BJ1750="""","""",GOOGLETRANSLATE(BJ1750,""auto"",""en""))"),"Sales Counter")</f>
        <v>Sales Counter</v>
      </c>
      <c r="AA1750" s="23" t="str">
        <f aca="false">IF(C1750="","", CHOOSE(MONTH(C1750),"January","February","March","April","May","June","July","August","September","October","November","December")&amp;" "&amp;DAY(C1750)&amp;MID("thstndrdth",MIN(9,2*RIGHT(DAY(C1750))*(MOD(DAY(C1750)-11,100)&gt;2)+1),2)&amp;","&amp;TEXT(C1750," yyyy"))</f>
        <v>December 9th,2024</v>
      </c>
      <c r="AB1750" s="15" t="str">
        <f aca="true">IF(S1750="","",DATEDIF(S1750,TODAY(),"Y")&amp;" Tahun, "&amp;DATEDIF(S1750,TODAY(),"YM")&amp;" Bulan, "&amp;DATEDIF(S1750,TODAY(),"MD")&amp;" Hari")</f>
        <v>31 Tahun, 7 Bulan, 6 Hari</v>
      </c>
      <c r="AC1750" s="18" t="n">
        <v>45725</v>
      </c>
      <c r="AD1750" s="18" t="n">
        <v>45908</v>
      </c>
      <c r="AE1750" s="18" t="s">
        <v>44</v>
      </c>
    </row>
    <row r="1751" customFormat="false" ht="15" hidden="false" customHeight="true" outlineLevel="0" collapsed="false">
      <c r="A1751" s="12" t="n">
        <v>18030</v>
      </c>
      <c r="B1751" s="13" t="s">
        <v>7619</v>
      </c>
      <c r="C1751" s="14" t="n">
        <v>45646</v>
      </c>
      <c r="D1751" s="13" t="s">
        <v>404</v>
      </c>
      <c r="E1751" s="15" t="s">
        <v>47</v>
      </c>
      <c r="F1751" s="15" t="str">
        <f aca="false">IFERROR(__xludf.dummyfunction("XLOOKUP(AJ1751,IMPORTRANGE(""1XaInW9DU9nz21V0tYIfzFQ0He9kVQ_JF2mCXgZ3hqFA"",""REKAP ALL 2026 - Andika!G:G""),IMPORTRANGE(""1XaInW9DU9nz21V0tYIfzFQ0He9kVQ_JF2mCXgZ3hqFA"",""REKAP ALL 2026 - Andika!F:F""),"""",0)"),"24216705806")</f>
        <v>24216705806</v>
      </c>
      <c r="G1751" s="15" t="s">
        <v>7620</v>
      </c>
      <c r="H1751" s="13" t="s">
        <v>35</v>
      </c>
      <c r="I1751" s="13" t="str">
        <f aca="false">IF(C1751=J1751,"NEW KONTRAK","RE-KONTRAK")</f>
        <v>RE-KONTRAK</v>
      </c>
      <c r="J1751" s="16" t="n">
        <f aca="false" t="array" ref="J1751:J1751">IFERROR(INDEX(AC1751:AE1751,IF(COUNTA(AC1751:AE1751)=0,"",MAX((AC1751:AE1751&lt;&gt;"")*(COLUMN(AC1751:AE1751)-(COLUMN(AC1751)))))-1),"")</f>
        <v>45658</v>
      </c>
      <c r="K1751" s="16" t="n">
        <f aca="false" t="array" ref="K1751:K1751">IFERROR(INDEX(AC1751:AE1751,IF(COUNTA(AC1751:AE1751)=0,"",MAX((AC1751:AE1751&lt;&gt;"")*(COLUMN(AC1751:AE1751)-(COLUMN(AC1751)-1))))-1),"")</f>
        <v>46022</v>
      </c>
      <c r="L1751" s="17" t="str">
        <f aca="false" t="array" ref="L1751:L1751">IFERROR(INDEX(AC1751:AE1751,IF(COUNTA(AC1751:AE1751)=0,"",MAX((AC1751:AE1751&lt;&gt;"")*(COLUMN(AC1751:AE1751)-(COLUMN(AC1751)-2))))-1),"")</f>
        <v>ARCHIVED</v>
      </c>
      <c r="M1751" s="13" t="n">
        <f aca="true">K1751-TODAY()</f>
        <v>-302</v>
      </c>
      <c r="N1751" s="18" t="s">
        <v>36</v>
      </c>
      <c r="O1751" s="13" t="s">
        <v>512</v>
      </c>
      <c r="P1751" s="26" t="n">
        <v>5195401</v>
      </c>
      <c r="Q1751" s="20" t="s">
        <v>7621</v>
      </c>
      <c r="R1751" s="13" t="s">
        <v>7622</v>
      </c>
      <c r="S1751" s="14" t="n">
        <v>37317</v>
      </c>
      <c r="T1751" s="13" t="s">
        <v>40</v>
      </c>
      <c r="U1751" s="13" t="s">
        <v>7623</v>
      </c>
      <c r="V1751" s="13" t="s">
        <v>42</v>
      </c>
      <c r="W1751" s="13" t="s">
        <v>43</v>
      </c>
      <c r="X1751" s="21" t="n">
        <v>85875718040</v>
      </c>
      <c r="Y1751" s="22" t="str">
        <f aca="false">O1751</f>
        <v>Laboratorium</v>
      </c>
      <c r="Z1751" s="13" t="str">
        <f aca="false">IFERROR(__xludf.dummyfunction("if(BJ1751="""","""",GOOGLETRANSLATE(BJ1751,""auto"",""en""))"),"Laboratory")</f>
        <v>Laboratory</v>
      </c>
      <c r="AA1751" s="23" t="str">
        <f aca="false">IF(C1751="","", CHOOSE(MONTH(C1751),"January","February","March","April","May","June","July","August","September","October","November","December")&amp;" "&amp;DAY(C1751)&amp;MID("thstndrdth",MIN(9,2*RIGHT(DAY(C1751))*(MOD(DAY(C1751)-11,100)&gt;2)+1),2)&amp;","&amp;TEXT(C1751," yyyy"))</f>
        <v>December 20th,2024</v>
      </c>
      <c r="AB1751" s="15" t="str">
        <f aca="true">IF(S1751="","",DATEDIF(S1751,TODAY(),"Y")&amp;" Tahun, "&amp;DATEDIF(S1751,TODAY(),"YM")&amp;" Bulan, "&amp;DATEDIF(S1751,TODAY(),"MD")&amp;" Hari")</f>
        <v>24 Tahun, 7 Bulan, 27 Hari</v>
      </c>
      <c r="AC1751" s="18" t="n">
        <v>45658</v>
      </c>
      <c r="AD1751" s="18" t="n">
        <v>46022</v>
      </c>
      <c r="AE1751" s="18" t="s">
        <v>44</v>
      </c>
    </row>
    <row r="1752" customFormat="false" ht="15" hidden="false" customHeight="true" outlineLevel="0" collapsed="false">
      <c r="A1752" s="12" t="n">
        <v>18031</v>
      </c>
      <c r="B1752" s="13" t="s">
        <v>7624</v>
      </c>
      <c r="C1752" s="14" t="n">
        <v>45638</v>
      </c>
      <c r="D1752" s="13" t="s">
        <v>7310</v>
      </c>
      <c r="E1752" s="15" t="s">
        <v>33</v>
      </c>
      <c r="F1752" s="24" t="s">
        <v>7625</v>
      </c>
      <c r="G1752" s="15" t="s">
        <v>7626</v>
      </c>
      <c r="H1752" s="13" t="s">
        <v>35</v>
      </c>
      <c r="I1752" s="13" t="str">
        <f aca="false">IF(C1752=J1752,"NEW KONTRAK","RE-KONTRAK")</f>
        <v>NEW KONTRAK</v>
      </c>
      <c r="J1752" s="16" t="n">
        <f aca="false" t="array" ref="J1752:J1752">IFERROR(INDEX(AC1752:AE1752,IF(COUNTA(AC1752:AE1752)=0,"",MAX((AC1752:AE1752&lt;&gt;"")*(COLUMN(AC1752:AE1752)-(COLUMN(AC1752)))))-1),"")</f>
        <v>45638</v>
      </c>
      <c r="K1752" s="16" t="n">
        <f aca="false" t="array" ref="K1752:K1752">IFERROR(INDEX(AC1752:AE1752,IF(COUNTA(AC1752:AE1752)=0,"",MAX((AC1752:AE1752&lt;&gt;"")*(COLUMN(AC1752:AE1752)-(COLUMN(AC1752)-1))))-1),"")</f>
        <v>46002</v>
      </c>
      <c r="L1752" s="17" t="str">
        <f aca="false" t="array" ref="L1752:L1752">IFERROR(INDEX(AC1752:AE1752,IF(COUNTA(AC1752:AE1752)=0,"",MAX((AC1752:AE1752&lt;&gt;"")*(COLUMN(AC1752:AE1752)-(COLUMN(AC1752)-2))))-1),"")</f>
        <v>ARCHIVED</v>
      </c>
      <c r="M1752" s="13" t="n">
        <f aca="true">K1752-TODAY()</f>
        <v>-322</v>
      </c>
      <c r="N1752" s="18" t="s">
        <v>7313</v>
      </c>
      <c r="O1752" s="13" t="s">
        <v>7611</v>
      </c>
      <c r="P1752" s="19" t="n">
        <v>2240701</v>
      </c>
      <c r="Q1752" s="20" t="s">
        <v>7627</v>
      </c>
      <c r="R1752" s="13" t="s">
        <v>227</v>
      </c>
      <c r="S1752" s="14" t="n">
        <v>37089</v>
      </c>
      <c r="T1752" s="13" t="s">
        <v>40</v>
      </c>
      <c r="U1752" s="13" t="s">
        <v>7628</v>
      </c>
      <c r="V1752" s="13" t="s">
        <v>42</v>
      </c>
      <c r="W1752" s="13" t="s">
        <v>43</v>
      </c>
      <c r="X1752" s="21" t="n">
        <v>85607866705</v>
      </c>
      <c r="Y1752" s="22" t="str">
        <f aca="false">O1752</f>
        <v>Helper Kernet</v>
      </c>
      <c r="Z1752" s="13" t="str">
        <f aca="false">IFERROR(__xludf.dummyfunction("if(BJ1752="""","""",GOOGLETRANSLATE(BJ1752,""auto"",""en""))"),"Helper Kernet")</f>
        <v>Helper Kernet</v>
      </c>
      <c r="AA1752" s="23" t="str">
        <f aca="false">IF(C1752="","", CHOOSE(MONTH(C1752),"January","February","March","April","May","June","July","August","September","October","November","December")&amp;" "&amp;DAY(C1752)&amp;MID("thstndrdth",MIN(9,2*RIGHT(DAY(C1752))*(MOD(DAY(C1752)-11,100)&gt;2)+1),2)&amp;","&amp;TEXT(C1752," yyyy"))</f>
        <v>December 12th,2024</v>
      </c>
      <c r="AB1752" s="15" t="str">
        <f aca="true">IF(S1752="","",DATEDIF(S1752,TODAY(),"Y")&amp;" Tahun, "&amp;DATEDIF(S1752,TODAY(),"YM")&amp;" Bulan, "&amp;DATEDIF(S1752,TODAY(),"MD")&amp;" Hari")</f>
        <v>25 Tahun, 3 Bulan, 12 Hari</v>
      </c>
      <c r="AC1752" s="18" t="n">
        <v>45638</v>
      </c>
      <c r="AD1752" s="18" t="n">
        <v>46002</v>
      </c>
      <c r="AE1752" s="18" t="s">
        <v>44</v>
      </c>
    </row>
    <row r="1753" customFormat="false" ht="15" hidden="false" customHeight="true" outlineLevel="0" collapsed="false">
      <c r="A1753" s="12" t="n">
        <v>18032</v>
      </c>
      <c r="B1753" s="13" t="s">
        <v>7629</v>
      </c>
      <c r="C1753" s="14" t="n">
        <v>45638</v>
      </c>
      <c r="D1753" s="13" t="s">
        <v>7310</v>
      </c>
      <c r="E1753" s="15" t="s">
        <v>47</v>
      </c>
      <c r="F1753" s="15" t="str">
        <f aca="false">IFERROR(__xludf.dummyfunction("XLOOKUP(AJ1753,IMPORTRANGE(""1XaInW9DU9nz21V0tYIfzFQ0He9kVQ_JF2mCXgZ3hqFA"",""REKAP ALL 2026 - Andika!G:G""),IMPORTRANGE(""1XaInW9DU9nz21V0tYIfzFQ0He9kVQ_JF2mCXgZ3hqFA"",""REKAP ALL 2026 - Andika!F:F""),"""",0)"),"24216705905")</f>
        <v>24216705905</v>
      </c>
      <c r="G1753" s="15" t="s">
        <v>7630</v>
      </c>
      <c r="H1753" s="13" t="s">
        <v>35</v>
      </c>
      <c r="I1753" s="13" t="str">
        <f aca="false">IF(C1753=J1753,"NEW KONTRAK","RE-KONTRAK")</f>
        <v>NEW KONTRAK</v>
      </c>
      <c r="J1753" s="16" t="n">
        <f aca="false" t="array" ref="J1753:J1753">IFERROR(INDEX(AC1753:AE1753,IF(COUNTA(AC1753:AE1753)=0,"",MAX((AC1753:AE1753&lt;&gt;"")*(COLUMN(AC1753:AE1753)-(COLUMN(AC1753)))))-1),"")</f>
        <v>45638</v>
      </c>
      <c r="K1753" s="16" t="n">
        <f aca="false" t="array" ref="K1753:K1753">IFERROR(INDEX(AC1753:AE1753,IF(COUNTA(AC1753:AE1753)=0,"",MAX((AC1753:AE1753&lt;&gt;"")*(COLUMN(AC1753:AE1753)-(COLUMN(AC1753)-1))))-1),"")</f>
        <v>46002</v>
      </c>
      <c r="L1753" s="17" t="str">
        <f aca="false" t="array" ref="L1753:L1753">IFERROR(INDEX(AC1753:AE1753,IF(COUNTA(AC1753:AE1753)=0,"",MAX((AC1753:AE1753&lt;&gt;"")*(COLUMN(AC1753:AE1753)-(COLUMN(AC1753)-2))))-1),"")</f>
        <v>ARCHIVED</v>
      </c>
      <c r="M1753" s="13" t="n">
        <f aca="true">K1753-TODAY()</f>
        <v>-322</v>
      </c>
      <c r="N1753" s="18" t="s">
        <v>7313</v>
      </c>
      <c r="O1753" s="13" t="s">
        <v>7611</v>
      </c>
      <c r="P1753" s="19" t="n">
        <v>2550274</v>
      </c>
      <c r="Q1753" s="20" t="s">
        <v>7631</v>
      </c>
      <c r="R1753" s="13" t="s">
        <v>227</v>
      </c>
      <c r="S1753" s="14" t="n">
        <v>35573</v>
      </c>
      <c r="T1753" s="13" t="s">
        <v>40</v>
      </c>
      <c r="U1753" s="13" t="s">
        <v>7632</v>
      </c>
      <c r="V1753" s="13" t="s">
        <v>42</v>
      </c>
      <c r="W1753" s="13" t="s">
        <v>43</v>
      </c>
      <c r="X1753" s="21" t="n">
        <v>85745093885</v>
      </c>
      <c r="Y1753" s="22" t="str">
        <f aca="false">O1753</f>
        <v>Helper Kernet</v>
      </c>
      <c r="Z1753" s="13" t="str">
        <f aca="false">IFERROR(__xludf.dummyfunction("if(BJ1753="""","""",GOOGLETRANSLATE(BJ1753,""auto"",""en""))"),"Helper Kernet")</f>
        <v>Helper Kernet</v>
      </c>
      <c r="AA1753" s="23" t="str">
        <f aca="false">IF(C1753="","", CHOOSE(MONTH(C1753),"January","February","March","April","May","June","July","August","September","October","November","December")&amp;" "&amp;DAY(C1753)&amp;MID("thstndrdth",MIN(9,2*RIGHT(DAY(C1753))*(MOD(DAY(C1753)-11,100)&gt;2)+1),2)&amp;","&amp;TEXT(C1753," yyyy"))</f>
        <v>December 12th,2024</v>
      </c>
      <c r="AB1753" s="15" t="str">
        <f aca="true">IF(S1753="","",DATEDIF(S1753,TODAY(),"Y")&amp;" Tahun, "&amp;DATEDIF(S1753,TODAY(),"YM")&amp;" Bulan, "&amp;DATEDIF(S1753,TODAY(),"MD")&amp;" Hari")</f>
        <v>29 Tahun, 5 Bulan, 6 Hari</v>
      </c>
      <c r="AC1753" s="18" t="n">
        <v>45638</v>
      </c>
      <c r="AD1753" s="18" t="n">
        <v>46002</v>
      </c>
      <c r="AE1753" s="18" t="s">
        <v>44</v>
      </c>
    </row>
    <row r="1754" customFormat="false" ht="15" hidden="false" customHeight="true" outlineLevel="0" collapsed="false">
      <c r="A1754" s="82" t="n">
        <v>18033</v>
      </c>
      <c r="B1754" s="83" t="s">
        <v>7633</v>
      </c>
      <c r="C1754" s="84" t="n">
        <v>45647</v>
      </c>
      <c r="D1754" s="83" t="s">
        <v>393</v>
      </c>
      <c r="E1754" s="85" t="s">
        <v>47</v>
      </c>
      <c r="F1754" s="85" t="str">
        <f aca="false">IFERROR(__xludf.dummyfunction("XLOOKUP(AJ1754,IMPORTRANGE(""1XaInW9DU9nz21V0tYIfzFQ0He9kVQ_JF2mCXgZ3hqFA"",""REKAP ALL 2026 - Andika!G:G""),IMPORTRANGE(""1XaInW9DU9nz21V0tYIfzFQ0He9kVQ_JF2mCXgZ3hqFA"",""REKAP ALL 2026 - Andika!F:F""),"""",0)"),"24216706994")</f>
        <v>24216706994</v>
      </c>
      <c r="G1754" s="85" t="s">
        <v>7634</v>
      </c>
      <c r="H1754" s="83" t="s">
        <v>35</v>
      </c>
      <c r="I1754" s="83" t="str">
        <f aca="false">IF(C1754=J1754,"NEW KONTRAK","RE-KONTRAK")</f>
        <v>NEW KONTRAK</v>
      </c>
      <c r="J1754" s="86" t="n">
        <f aca="false" t="array" ref="J1754:J1754">IFERROR(INDEX(AC1754:AE1754,IF(COUNTA(AC1754:AE1754)=0,"",MAX((AC1754:AE1754&lt;&gt;"")*(COLUMN(AC1754:AE1754)-(COLUMN(AC1754)))))-1),"")</f>
        <v>45647</v>
      </c>
      <c r="K1754" s="86" t="n">
        <f aca="false" t="array" ref="K1754:K1754">IFERROR(INDEX(AC1754:AE1754,IF(COUNTA(AC1754:AE1754)=0,"",MAX((AC1754:AE1754&lt;&gt;"")*(COLUMN(AC1754:AE1754)-(COLUMN(AC1754)-1))))-1),"")</f>
        <v>46181</v>
      </c>
      <c r="L1754" s="87" t="str">
        <f aca="false" t="array" ref="L1754:L1754">IFERROR(INDEX(AC1754:AE1754,IF(COUNTA(AC1754:AE1754)=0,"",MAX((AC1754:AE1754&lt;&gt;"")*(COLUMN(AC1754:AE1754)-(COLUMN(AC1754)-2))))-1),"")</f>
        <v>KEMBALI</v>
      </c>
      <c r="M1754" s="83" t="n">
        <f aca="true">K1754-TODAY()</f>
        <v>-143</v>
      </c>
      <c r="N1754" s="88" t="s">
        <v>105</v>
      </c>
      <c r="O1754" s="83" t="s">
        <v>58</v>
      </c>
      <c r="P1754" s="89" t="n">
        <v>5191541</v>
      </c>
      <c r="Q1754" s="52" t="s">
        <v>7635</v>
      </c>
      <c r="R1754" s="83" t="s">
        <v>39</v>
      </c>
      <c r="S1754" s="84" t="n">
        <v>33734</v>
      </c>
      <c r="T1754" s="83" t="s">
        <v>40</v>
      </c>
      <c r="U1754" s="83" t="s">
        <v>7636</v>
      </c>
      <c r="V1754" s="83" t="s">
        <v>42</v>
      </c>
      <c r="W1754" s="83" t="s">
        <v>54</v>
      </c>
      <c r="X1754" s="90" t="n">
        <v>8993351517</v>
      </c>
      <c r="Y1754" s="91" t="str">
        <f aca="false">O1754</f>
        <v>Produksi</v>
      </c>
      <c r="Z1754" s="83" t="str">
        <f aca="false">IFERROR(__xludf.dummyfunction("if(BJ1754="""","""",GOOGLETRANSLATE(BJ1754,""auto"",""en""))"),"Production")</f>
        <v>Production</v>
      </c>
      <c r="AA1754" s="92" t="str">
        <f aca="false">IF(C1754="","", CHOOSE(MONTH(C1754),"January","February","March","April","May","June","July","August","September","October","November","December")&amp;" "&amp;DAY(C1754)&amp;MID("thstndrdth",MIN(9,2*RIGHT(DAY(C1754))*(MOD(DAY(C1754)-11,100)&gt;2)+1),2)&amp;","&amp;TEXT(C1754," yyyy"))</f>
        <v>December 21st,2024</v>
      </c>
      <c r="AB1754" s="85" t="str">
        <f aca="true">IF(S1754="","",DATEDIF(S1754,TODAY(),"Y")&amp;" Tahun, "&amp;DATEDIF(S1754,TODAY(),"YM")&amp;" Bulan, "&amp;DATEDIF(S1754,TODAY(),"MD")&amp;" Hari")</f>
        <v>34 Tahun, 5 Bulan, 19 Hari</v>
      </c>
      <c r="AC1754" s="88" t="n">
        <v>45647</v>
      </c>
      <c r="AD1754" s="88" t="n">
        <v>46181</v>
      </c>
      <c r="AE1754" s="83" t="s">
        <v>397</v>
      </c>
    </row>
    <row r="1755" customFormat="false" ht="15" hidden="false" customHeight="true" outlineLevel="0" collapsed="false">
      <c r="A1755" s="12" t="n">
        <v>18034</v>
      </c>
      <c r="B1755" s="13" t="s">
        <v>7637</v>
      </c>
      <c r="C1755" s="14" t="n">
        <v>45647</v>
      </c>
      <c r="D1755" s="13" t="s">
        <v>393</v>
      </c>
      <c r="E1755" s="15" t="s">
        <v>47</v>
      </c>
      <c r="F1755" s="15" t="str">
        <f aca="false">IFERROR(__xludf.dummyfunction("XLOOKUP(AJ1755,IMPORTRANGE(""1XaInW9DU9nz21V0tYIfzFQ0He9kVQ_JF2mCXgZ3hqFA"",""REKAP ALL 2026 - Andika!G:G""),IMPORTRANGE(""1XaInW9DU9nz21V0tYIfzFQ0He9kVQ_JF2mCXgZ3hqFA"",""REKAP ALL 2026 - Andika!F:F""),"""",0)"),"24216706937")</f>
        <v>24216706937</v>
      </c>
      <c r="G1755" s="15" t="s">
        <v>7638</v>
      </c>
      <c r="H1755" s="13" t="s">
        <v>35</v>
      </c>
      <c r="I1755" s="13" t="str">
        <f aca="false">IF(C1755=J1755,"NEW KONTRAK","RE-KONTRAK")</f>
        <v>NEW KONTRAK</v>
      </c>
      <c r="J1755" s="16" t="n">
        <f aca="false" t="array" ref="J1755:J1755">IFERROR(INDEX(AC1755:AE1755,IF(COUNTA(AC1755:AE1755)=0,"",MAX((AC1755:AE1755&lt;&gt;"")*(COLUMN(AC1755:AE1755)-(COLUMN(AC1755)))))-1),"")</f>
        <v>45647</v>
      </c>
      <c r="K1755" s="16" t="n">
        <f aca="false" t="array" ref="K1755:K1755">IFERROR(INDEX(AC1755:AE1755,IF(COUNTA(AC1755:AE1755)=0,"",MAX((AC1755:AE1755&lt;&gt;"")*(COLUMN(AC1755:AE1755)-(COLUMN(AC1755)-1))))-1),"")</f>
        <v>46181</v>
      </c>
      <c r="L1755" s="17" t="str">
        <f aca="false" t="array" ref="L1755:L1755">IFERROR(INDEX(AC1755:AE1755,IF(COUNTA(AC1755:AE1755)=0,"",MAX((AC1755:AE1755&lt;&gt;"")*(COLUMN(AC1755:AE1755)-(COLUMN(AC1755)-2))))-1),"")</f>
        <v>KEMBALI</v>
      </c>
      <c r="M1755" s="13" t="n">
        <f aca="true">K1755-TODAY()</f>
        <v>-143</v>
      </c>
      <c r="N1755" s="18" t="s">
        <v>105</v>
      </c>
      <c r="O1755" s="13" t="s">
        <v>58</v>
      </c>
      <c r="P1755" s="19" t="n">
        <v>5191541</v>
      </c>
      <c r="Q1755" s="20" t="s">
        <v>7639</v>
      </c>
      <c r="R1755" s="13" t="s">
        <v>39</v>
      </c>
      <c r="S1755" s="14" t="n">
        <v>32025</v>
      </c>
      <c r="T1755" s="13" t="s">
        <v>40</v>
      </c>
      <c r="U1755" s="13" t="s">
        <v>7640</v>
      </c>
      <c r="V1755" s="13" t="s">
        <v>42</v>
      </c>
      <c r="W1755" s="13" t="s">
        <v>54</v>
      </c>
      <c r="X1755" s="21" t="n">
        <v>85975133171</v>
      </c>
      <c r="Y1755" s="22" t="str">
        <f aca="false">O1755</f>
        <v>Produksi</v>
      </c>
      <c r="Z1755" s="13" t="str">
        <f aca="false">IFERROR(__xludf.dummyfunction("if(BJ1755="""","""",GOOGLETRANSLATE(BJ1755,""auto"",""en""))"),"Production")</f>
        <v>Production</v>
      </c>
      <c r="AA1755" s="23" t="str">
        <f aca="false">IF(C1755="","", CHOOSE(MONTH(C1755),"January","February","March","April","May","June","July","August","September","October","November","December")&amp;" "&amp;DAY(C1755)&amp;MID("thstndrdth",MIN(9,2*RIGHT(DAY(C1755))*(MOD(DAY(C1755)-11,100)&gt;2)+1),2)&amp;","&amp;TEXT(C1755," yyyy"))</f>
        <v>December 21st,2024</v>
      </c>
      <c r="AB1755" s="15" t="str">
        <f aca="true">IF(S1755="","",DATEDIF(S1755,TODAY(),"Y")&amp;" Tahun, "&amp;DATEDIF(S1755,TODAY(),"YM")&amp;" Bulan, "&amp;DATEDIF(S1755,TODAY(),"MD")&amp;" Hari")</f>
        <v>39 Tahun, 1 Bulan, 24 Hari</v>
      </c>
      <c r="AC1755" s="18" t="n">
        <v>45647</v>
      </c>
      <c r="AD1755" s="18" t="n">
        <v>46181</v>
      </c>
      <c r="AE1755" s="13" t="s">
        <v>397</v>
      </c>
    </row>
    <row r="1756" customFormat="false" ht="15" hidden="false" customHeight="true" outlineLevel="0" collapsed="false">
      <c r="A1756" s="12" t="n">
        <v>18035</v>
      </c>
      <c r="B1756" s="13" t="s">
        <v>7641</v>
      </c>
      <c r="C1756" s="14" t="n">
        <v>45647</v>
      </c>
      <c r="D1756" s="13" t="s">
        <v>393</v>
      </c>
      <c r="E1756" s="15" t="s">
        <v>47</v>
      </c>
      <c r="F1756" s="15" t="str">
        <f aca="false">IFERROR(__xludf.dummyfunction("XLOOKUP(AJ1756,IMPORTRANGE(""1XaInW9DU9nz21V0tYIfzFQ0He9kVQ_JF2mCXgZ3hqFA"",""REKAP ALL 2026 - Andika!G:G""),IMPORTRANGE(""1XaInW9DU9nz21V0tYIfzFQ0He9kVQ_JF2mCXgZ3hqFA"",""REKAP ALL 2026 - Andika!F:F""),"""",0)"),"24216706895")</f>
        <v>24216706895</v>
      </c>
      <c r="G1756" s="15" t="s">
        <v>7642</v>
      </c>
      <c r="H1756" s="13" t="s">
        <v>35</v>
      </c>
      <c r="I1756" s="13" t="str">
        <f aca="false">IF(C1756=J1756,"NEW KONTRAK","RE-KONTRAK")</f>
        <v>NEW KONTRAK</v>
      </c>
      <c r="J1756" s="16" t="n">
        <f aca="false" t="array" ref="J1756:J1756">IFERROR(INDEX(AC1756:AE1756,IF(COUNTA(AC1756:AE1756)=0,"",MAX((AC1756:AE1756&lt;&gt;"")*(COLUMN(AC1756:AE1756)-(COLUMN(AC1756)))))-1),"")</f>
        <v>45647</v>
      </c>
      <c r="K1756" s="16" t="n">
        <f aca="false" t="array" ref="K1756:K1756">IFERROR(INDEX(AC1756:AE1756,IF(COUNTA(AC1756:AE1756)=0,"",MAX((AC1756:AE1756&lt;&gt;"")*(COLUMN(AC1756:AE1756)-(COLUMN(AC1756)-1))))-1),"")</f>
        <v>46181</v>
      </c>
      <c r="L1756" s="17" t="str">
        <f aca="false" t="array" ref="L1756:L1756">IFERROR(INDEX(AC1756:AE1756,IF(COUNTA(AC1756:AE1756)=0,"",MAX((AC1756:AE1756&lt;&gt;"")*(COLUMN(AC1756:AE1756)-(COLUMN(AC1756)-2))))-1),"")</f>
        <v>KEMBALI</v>
      </c>
      <c r="M1756" s="13" t="n">
        <f aca="true">K1756-TODAY()</f>
        <v>-143</v>
      </c>
      <c r="N1756" s="18" t="s">
        <v>105</v>
      </c>
      <c r="O1756" s="13" t="s">
        <v>58</v>
      </c>
      <c r="P1756" s="19" t="n">
        <v>5191541</v>
      </c>
      <c r="Q1756" s="20" t="s">
        <v>7643</v>
      </c>
      <c r="R1756" s="13" t="s">
        <v>39</v>
      </c>
      <c r="S1756" s="14" t="n">
        <v>33599</v>
      </c>
      <c r="T1756" s="13" t="s">
        <v>40</v>
      </c>
      <c r="U1756" s="13" t="s">
        <v>7644</v>
      </c>
      <c r="V1756" s="13" t="s">
        <v>42</v>
      </c>
      <c r="W1756" s="13" t="s">
        <v>54</v>
      </c>
      <c r="X1756" s="21" t="n">
        <v>85808322080</v>
      </c>
      <c r="Y1756" s="22" t="str">
        <f aca="false">O1756</f>
        <v>Produksi</v>
      </c>
      <c r="Z1756" s="13" t="str">
        <f aca="false">IFERROR(__xludf.dummyfunction("if(BJ1756="""","""",GOOGLETRANSLATE(BJ1756,""auto"",""en""))"),"Production")</f>
        <v>Production</v>
      </c>
      <c r="AA1756" s="23" t="str">
        <f aca="false">IF(C1756="","", CHOOSE(MONTH(C1756),"January","February","March","April","May","June","July","August","September","October","November","December")&amp;" "&amp;DAY(C1756)&amp;MID("thstndrdth",MIN(9,2*RIGHT(DAY(C1756))*(MOD(DAY(C1756)-11,100)&gt;2)+1),2)&amp;","&amp;TEXT(C1756," yyyy"))</f>
        <v>December 21st,2024</v>
      </c>
      <c r="AB1756" s="15" t="str">
        <f aca="true">IF(S1756="","",DATEDIF(S1756,TODAY(),"Y")&amp;" Tahun, "&amp;DATEDIF(S1756,TODAY(),"YM")&amp;" Bulan, "&amp;DATEDIF(S1756,TODAY(),"MD")&amp;" Hari")</f>
        <v>34 Tahun, 10 Bulan, 2 Hari</v>
      </c>
      <c r="AC1756" s="18" t="n">
        <v>45647</v>
      </c>
      <c r="AD1756" s="18" t="n">
        <v>46181</v>
      </c>
      <c r="AE1756" s="13" t="s">
        <v>397</v>
      </c>
    </row>
    <row r="1757" customFormat="false" ht="15" hidden="false" customHeight="true" outlineLevel="0" collapsed="false">
      <c r="A1757" s="12" t="n">
        <v>18036</v>
      </c>
      <c r="B1757" s="13" t="s">
        <v>7645</v>
      </c>
      <c r="C1757" s="14" t="n">
        <v>45647</v>
      </c>
      <c r="D1757" s="13" t="s">
        <v>393</v>
      </c>
      <c r="E1757" s="15" t="s">
        <v>47</v>
      </c>
      <c r="F1757" s="15" t="str">
        <f aca="false">IFERROR(__xludf.dummyfunction("XLOOKUP(AJ1757,IMPORTRANGE(""1XaInW9DU9nz21V0tYIfzFQ0He9kVQ_JF2mCXgZ3hqFA"",""REKAP ALL 2026 - Andika!G:G""),IMPORTRANGE(""1XaInW9DU9nz21V0tYIfzFQ0He9kVQ_JF2mCXgZ3hqFA"",""REKAP ALL 2026 - Andika!F:F""),"""",0)"),"24216706887")</f>
        <v>24216706887</v>
      </c>
      <c r="G1757" s="15" t="s">
        <v>7646</v>
      </c>
      <c r="H1757" s="13" t="s">
        <v>35</v>
      </c>
      <c r="I1757" s="13" t="str">
        <f aca="false">IF(C1757=J1757,"NEW KONTRAK","RE-KONTRAK")</f>
        <v>NEW KONTRAK</v>
      </c>
      <c r="J1757" s="16" t="n">
        <f aca="false" t="array" ref="J1757:J1757">IFERROR(INDEX(AC1757:AE1757,IF(COUNTA(AC1757:AE1757)=0,"",MAX((AC1757:AE1757&lt;&gt;"")*(COLUMN(AC1757:AE1757)-(COLUMN(AC1757)))))-1),"")</f>
        <v>45647</v>
      </c>
      <c r="K1757" s="16" t="n">
        <f aca="false" t="array" ref="K1757:K1757">IFERROR(INDEX(AC1757:AE1757,IF(COUNTA(AC1757:AE1757)=0,"",MAX((AC1757:AE1757&lt;&gt;"")*(COLUMN(AC1757:AE1757)-(COLUMN(AC1757)-1))))-1),"")</f>
        <v>46181</v>
      </c>
      <c r="L1757" s="17" t="str">
        <f aca="false" t="array" ref="L1757:L1757">IFERROR(INDEX(AC1757:AE1757,IF(COUNTA(AC1757:AE1757)=0,"",MAX((AC1757:AE1757&lt;&gt;"")*(COLUMN(AC1757:AE1757)-(COLUMN(AC1757)-2))))-1),"")</f>
        <v>KEMBALI</v>
      </c>
      <c r="M1757" s="13" t="n">
        <f aca="true">K1757-TODAY()</f>
        <v>-143</v>
      </c>
      <c r="N1757" s="18" t="s">
        <v>105</v>
      </c>
      <c r="O1757" s="13" t="s">
        <v>58</v>
      </c>
      <c r="P1757" s="19" t="n">
        <v>5191541</v>
      </c>
      <c r="Q1757" s="20" t="s">
        <v>7647</v>
      </c>
      <c r="R1757" s="13" t="s">
        <v>1214</v>
      </c>
      <c r="S1757" s="14" t="n">
        <v>32053</v>
      </c>
      <c r="T1757" s="13" t="s">
        <v>40</v>
      </c>
      <c r="U1757" s="13" t="s">
        <v>7648</v>
      </c>
      <c r="V1757" s="13" t="s">
        <v>42</v>
      </c>
      <c r="W1757" s="13" t="s">
        <v>54</v>
      </c>
      <c r="X1757" s="21" t="n">
        <v>81235377206</v>
      </c>
      <c r="Y1757" s="22" t="str">
        <f aca="false">O1757</f>
        <v>Produksi</v>
      </c>
      <c r="Z1757" s="13" t="str">
        <f aca="false">IFERROR(__xludf.dummyfunction("if(BJ1757="""","""",GOOGLETRANSLATE(BJ1757,""auto"",""en""))"),"Production")</f>
        <v>Production</v>
      </c>
      <c r="AA1757" s="23" t="str">
        <f aca="false">IF(C1757="","", CHOOSE(MONTH(C1757),"January","February","March","April","May","June","July","August","September","October","November","December")&amp;" "&amp;DAY(C1757)&amp;MID("thstndrdth",MIN(9,2*RIGHT(DAY(C1757))*(MOD(DAY(C1757)-11,100)&gt;2)+1),2)&amp;","&amp;TEXT(C1757," yyyy"))</f>
        <v>December 21st,2024</v>
      </c>
      <c r="AB1757" s="15" t="str">
        <f aca="true">IF(S1757="","",DATEDIF(S1757,TODAY(),"Y")&amp;" Tahun, "&amp;DATEDIF(S1757,TODAY(),"YM")&amp;" Bulan, "&amp;DATEDIF(S1757,TODAY(),"MD")&amp;" Hari")</f>
        <v>39 Tahun, 0 Bulan, 26 Hari</v>
      </c>
      <c r="AC1757" s="18" t="n">
        <v>45647</v>
      </c>
      <c r="AD1757" s="18" t="n">
        <v>46181</v>
      </c>
      <c r="AE1757" s="13" t="s">
        <v>397</v>
      </c>
    </row>
    <row r="1758" customFormat="false" ht="15" hidden="false" customHeight="true" outlineLevel="0" collapsed="false">
      <c r="A1758" s="12" t="n">
        <v>18037</v>
      </c>
      <c r="B1758" s="13" t="s">
        <v>7649</v>
      </c>
      <c r="C1758" s="14" t="n">
        <v>45647</v>
      </c>
      <c r="D1758" s="13" t="s">
        <v>393</v>
      </c>
      <c r="E1758" s="15" t="s">
        <v>47</v>
      </c>
      <c r="F1758" s="15" t="str">
        <f aca="false">IFERROR(__xludf.dummyfunction("XLOOKUP(AJ1758,IMPORTRANGE(""1XaInW9DU9nz21V0tYIfzFQ0He9kVQ_JF2mCXgZ3hqFA"",""REKAP ALL 2026 - Andika!G:G""),IMPORTRANGE(""1XaInW9DU9nz21V0tYIfzFQ0He9kVQ_JF2mCXgZ3hqFA"",""REKAP ALL 2026 - Andika!F:F""),"""",0)"),"24216706838")</f>
        <v>24216706838</v>
      </c>
      <c r="G1758" s="15" t="s">
        <v>7650</v>
      </c>
      <c r="H1758" s="13" t="s">
        <v>35</v>
      </c>
      <c r="I1758" s="13" t="str">
        <f aca="false">IF(C1758=J1758,"NEW KONTRAK","RE-KONTRAK")</f>
        <v>NEW KONTRAK</v>
      </c>
      <c r="J1758" s="16" t="n">
        <f aca="false" t="array" ref="J1758:J1758">IFERROR(INDEX(AC1758:AE1758,IF(COUNTA(AC1758:AE1758)=0,"",MAX((AC1758:AE1758&lt;&gt;"")*(COLUMN(AC1758:AE1758)-(COLUMN(AC1758)))))-1),"")</f>
        <v>45647</v>
      </c>
      <c r="K1758" s="16" t="n">
        <f aca="false" t="array" ref="K1758:K1758">IFERROR(INDEX(AC1758:AE1758,IF(COUNTA(AC1758:AE1758)=0,"",MAX((AC1758:AE1758&lt;&gt;"")*(COLUMN(AC1758:AE1758)-(COLUMN(AC1758)-1))))-1),"")</f>
        <v>46181</v>
      </c>
      <c r="L1758" s="17" t="str">
        <f aca="false" t="array" ref="L1758:L1758">IFERROR(INDEX(AC1758:AE1758,IF(COUNTA(AC1758:AE1758)=0,"",MAX((AC1758:AE1758&lt;&gt;"")*(COLUMN(AC1758:AE1758)-(COLUMN(AC1758)-2))))-1),"")</f>
        <v>KEMBALI</v>
      </c>
      <c r="M1758" s="13" t="n">
        <f aca="true">K1758-TODAY()</f>
        <v>-143</v>
      </c>
      <c r="N1758" s="18" t="s">
        <v>105</v>
      </c>
      <c r="O1758" s="13" t="s">
        <v>58</v>
      </c>
      <c r="P1758" s="19" t="n">
        <v>5191541</v>
      </c>
      <c r="Q1758" s="20" t="s">
        <v>7651</v>
      </c>
      <c r="R1758" s="13" t="s">
        <v>39</v>
      </c>
      <c r="S1758" s="14" t="n">
        <v>33600</v>
      </c>
      <c r="T1758" s="13" t="s">
        <v>40</v>
      </c>
      <c r="U1758" s="13" t="s">
        <v>7652</v>
      </c>
      <c r="V1758" s="13" t="s">
        <v>42</v>
      </c>
      <c r="W1758" s="13" t="s">
        <v>54</v>
      </c>
      <c r="X1758" s="21" t="n">
        <v>8214497743</v>
      </c>
      <c r="Y1758" s="22" t="str">
        <f aca="false">O1758</f>
        <v>Produksi</v>
      </c>
      <c r="Z1758" s="13" t="str">
        <f aca="false">IFERROR(__xludf.dummyfunction("if(BJ1758="""","""",GOOGLETRANSLATE(BJ1758,""auto"",""en""))"),"Production")</f>
        <v>Production</v>
      </c>
      <c r="AA1758" s="23" t="str">
        <f aca="false">IF(C1758="","", CHOOSE(MONTH(C1758),"January","February","March","April","May","June","July","August","September","October","November","December")&amp;" "&amp;DAY(C1758)&amp;MID("thstndrdth",MIN(9,2*RIGHT(DAY(C1758))*(MOD(DAY(C1758)-11,100)&gt;2)+1),2)&amp;","&amp;TEXT(C1758," yyyy"))</f>
        <v>December 21st,2024</v>
      </c>
      <c r="AB1758" s="15" t="str">
        <f aca="true">IF(S1758="","",DATEDIF(S1758,TODAY(),"Y")&amp;" Tahun, "&amp;DATEDIF(S1758,TODAY(),"YM")&amp;" Bulan, "&amp;DATEDIF(S1758,TODAY(),"MD")&amp;" Hari")</f>
        <v>34 Tahun, 10 Bulan, 1 Hari</v>
      </c>
      <c r="AC1758" s="18" t="n">
        <v>45647</v>
      </c>
      <c r="AD1758" s="18" t="n">
        <v>46181</v>
      </c>
      <c r="AE1758" s="13" t="s">
        <v>397</v>
      </c>
    </row>
    <row r="1759" customFormat="false" ht="15" hidden="false" customHeight="true" outlineLevel="0" collapsed="false">
      <c r="A1759" s="12" t="n">
        <v>18038</v>
      </c>
      <c r="B1759" s="13" t="s">
        <v>7653</v>
      </c>
      <c r="C1759" s="14" t="n">
        <v>45647</v>
      </c>
      <c r="D1759" s="13" t="s">
        <v>393</v>
      </c>
      <c r="E1759" s="15" t="s">
        <v>102</v>
      </c>
      <c r="F1759" s="15" t="str">
        <f aca="false">IFERROR(__xludf.dummyfunction("XLOOKUP(AJ1759,IMPORTRANGE(""1XaInW9DU9nz21V0tYIfzFQ0He9kVQ_JF2mCXgZ3hqFA"",""REKAP ALL 2026 - Andika!G:G""),IMPORTRANGE(""1XaInW9DU9nz21V0tYIfzFQ0He9kVQ_JF2mCXgZ3hqFA"",""REKAP ALL 2026 - Andika!F:F""),"""",0)"),"07009717419")</f>
        <v>07009717419</v>
      </c>
      <c r="G1759" s="15" t="s">
        <v>7654</v>
      </c>
      <c r="H1759" s="13" t="s">
        <v>35</v>
      </c>
      <c r="I1759" s="13" t="str">
        <f aca="false">IF(C1759=J1759,"NEW KONTRAK","RE-KONTRAK")</f>
        <v>NEW KONTRAK</v>
      </c>
      <c r="J1759" s="16" t="n">
        <f aca="false" t="array" ref="J1759:J1759">IFERROR(INDEX(AC1759:AE1759,IF(COUNTA(AC1759:AE1759)=0,"",MAX((AC1759:AE1759&lt;&gt;"")*(COLUMN(AC1759:AE1759)-(COLUMN(AC1759)))))-1),"")</f>
        <v>45647</v>
      </c>
      <c r="K1759" s="16" t="n">
        <f aca="false" t="array" ref="K1759:K1759">IFERROR(INDEX(AC1759:AE1759,IF(COUNTA(AC1759:AE1759)=0,"",MAX((AC1759:AE1759&lt;&gt;"")*(COLUMN(AC1759:AE1759)-(COLUMN(AC1759)-1))))-1),"")</f>
        <v>46181</v>
      </c>
      <c r="L1759" s="17" t="str">
        <f aca="false" t="array" ref="L1759:L1759">IFERROR(INDEX(AC1759:AE1759,IF(COUNTA(AC1759:AE1759)=0,"",MAX((AC1759:AE1759&lt;&gt;"")*(COLUMN(AC1759:AE1759)-(COLUMN(AC1759)-2))))-1),"")</f>
        <v>KEMBALI</v>
      </c>
      <c r="M1759" s="13" t="n">
        <f aca="true">K1759-TODAY()</f>
        <v>-143</v>
      </c>
      <c r="N1759" s="18" t="s">
        <v>105</v>
      </c>
      <c r="O1759" s="13" t="s">
        <v>58</v>
      </c>
      <c r="P1759" s="19" t="n">
        <v>5191541</v>
      </c>
      <c r="Q1759" s="20" t="s">
        <v>7655</v>
      </c>
      <c r="R1759" s="13" t="s">
        <v>73</v>
      </c>
      <c r="S1759" s="14" t="n">
        <v>30859</v>
      </c>
      <c r="T1759" s="13" t="s">
        <v>40</v>
      </c>
      <c r="U1759" s="13" t="s">
        <v>7656</v>
      </c>
      <c r="V1759" s="13" t="s">
        <v>42</v>
      </c>
      <c r="W1759" s="13" t="s">
        <v>54</v>
      </c>
      <c r="X1759" s="21" t="n">
        <v>85646142610</v>
      </c>
      <c r="Y1759" s="22" t="str">
        <f aca="false">O1759</f>
        <v>Produksi</v>
      </c>
      <c r="Z1759" s="13" t="str">
        <f aca="false">IFERROR(__xludf.dummyfunction("if(BJ1759="""","""",GOOGLETRANSLATE(BJ1759,""auto"",""en""))"),"Production")</f>
        <v>Production</v>
      </c>
      <c r="AA1759" s="23" t="str">
        <f aca="false">IF(C1759="","", CHOOSE(MONTH(C1759),"January","February","March","April","May","June","July","August","September","October","November","December")&amp;" "&amp;DAY(C1759)&amp;MID("thstndrdth",MIN(9,2*RIGHT(DAY(C1759))*(MOD(DAY(C1759)-11,100)&gt;2)+1),2)&amp;","&amp;TEXT(C1759," yyyy"))</f>
        <v>December 21st,2024</v>
      </c>
      <c r="AB1759" s="15" t="str">
        <f aca="true">IF(S1759="","",DATEDIF(S1759,TODAY(),"Y")&amp;" Tahun, "&amp;DATEDIF(S1759,TODAY(),"YM")&amp;" Bulan, "&amp;DATEDIF(S1759,TODAY(),"MD")&amp;" Hari")</f>
        <v>42 Tahun, 4 Bulan, 3 Hari</v>
      </c>
      <c r="AC1759" s="18" t="n">
        <v>45647</v>
      </c>
      <c r="AD1759" s="18" t="n">
        <v>46181</v>
      </c>
      <c r="AE1759" s="13" t="s">
        <v>397</v>
      </c>
    </row>
    <row r="1760" customFormat="false" ht="15" hidden="false" customHeight="true" outlineLevel="0" collapsed="false">
      <c r="A1760" s="12" t="n">
        <v>18039</v>
      </c>
      <c r="B1760" s="13" t="s">
        <v>7657</v>
      </c>
      <c r="C1760" s="14" t="n">
        <v>45647</v>
      </c>
      <c r="D1760" s="13" t="s">
        <v>393</v>
      </c>
      <c r="E1760" s="15" t="s">
        <v>47</v>
      </c>
      <c r="F1760" s="15" t="str">
        <f aca="false">IFERROR(__xludf.dummyfunction("XLOOKUP(AJ1760,IMPORTRANGE(""1XaInW9DU9nz21V0tYIfzFQ0He9kVQ_JF2mCXgZ3hqFA"",""REKAP ALL 2026 - Andika!G:G""),IMPORTRANGE(""1XaInW9DU9nz21V0tYIfzFQ0He9kVQ_JF2mCXgZ3hqFA"",""REKAP ALL 2026 - Andika!F:F""),"""",0)"),"24216706945")</f>
        <v>24216706945</v>
      </c>
      <c r="G1760" s="15" t="s">
        <v>7658</v>
      </c>
      <c r="H1760" s="13" t="s">
        <v>35</v>
      </c>
      <c r="I1760" s="13" t="str">
        <f aca="false">IF(C1760=J1760,"NEW KONTRAK","RE-KONTRAK")</f>
        <v>NEW KONTRAK</v>
      </c>
      <c r="J1760" s="16" t="n">
        <f aca="false" t="array" ref="J1760:J1760">IFERROR(INDEX(AC1760:AE1760,IF(COUNTA(AC1760:AE1760)=0,"",MAX((AC1760:AE1760&lt;&gt;"")*(COLUMN(AC1760:AE1760)-(COLUMN(AC1760)))))-1),"")</f>
        <v>45647</v>
      </c>
      <c r="K1760" s="16" t="n">
        <f aca="false" t="array" ref="K1760:K1760">IFERROR(INDEX(AC1760:AE1760,IF(COUNTA(AC1760:AE1760)=0,"",MAX((AC1760:AE1760&lt;&gt;"")*(COLUMN(AC1760:AE1760)-(COLUMN(AC1760)-1))))-1),"")</f>
        <v>46181</v>
      </c>
      <c r="L1760" s="17" t="str">
        <f aca="false" t="array" ref="L1760:L1760">IFERROR(INDEX(AC1760:AE1760,IF(COUNTA(AC1760:AE1760)=0,"",MAX((AC1760:AE1760&lt;&gt;"")*(COLUMN(AC1760:AE1760)-(COLUMN(AC1760)-2))))-1),"")</f>
        <v>ARCHIVED</v>
      </c>
      <c r="M1760" s="13" t="n">
        <f aca="true">K1760-TODAY()</f>
        <v>-143</v>
      </c>
      <c r="N1760" s="18" t="s">
        <v>105</v>
      </c>
      <c r="O1760" s="13" t="s">
        <v>58</v>
      </c>
      <c r="P1760" s="19" t="n">
        <v>5191541</v>
      </c>
      <c r="Q1760" s="20" t="s">
        <v>7659</v>
      </c>
      <c r="R1760" s="13" t="s">
        <v>73</v>
      </c>
      <c r="S1760" s="14" t="n">
        <v>28605</v>
      </c>
      <c r="T1760" s="13" t="s">
        <v>40</v>
      </c>
      <c r="U1760" s="13" t="s">
        <v>7660</v>
      </c>
      <c r="V1760" s="13" t="s">
        <v>42</v>
      </c>
      <c r="W1760" s="13" t="s">
        <v>54</v>
      </c>
      <c r="X1760" s="21" t="n">
        <v>89644775864</v>
      </c>
      <c r="Y1760" s="22" t="str">
        <f aca="false">O1760</f>
        <v>Produksi</v>
      </c>
      <c r="Z1760" s="13" t="str">
        <f aca="false">IFERROR(__xludf.dummyfunction("if(BJ1760="""","""",GOOGLETRANSLATE(BJ1760,""auto"",""en""))"),"Production")</f>
        <v>Production</v>
      </c>
      <c r="AA1760" s="23" t="str">
        <f aca="false">IF(C1760="","", CHOOSE(MONTH(C1760),"January","February","March","April","May","June","July","August","September","October","November","December")&amp;" "&amp;DAY(C1760)&amp;MID("thstndrdth",MIN(9,2*RIGHT(DAY(C1760))*(MOD(DAY(C1760)-11,100)&gt;2)+1),2)&amp;","&amp;TEXT(C1760," yyyy"))</f>
        <v>December 21st,2024</v>
      </c>
      <c r="AB1760" s="15" t="str">
        <f aca="true">IF(S1760="","",DATEDIF(S1760,TODAY(),"Y")&amp;" Tahun, "&amp;DATEDIF(S1760,TODAY(),"YM")&amp;" Bulan, "&amp;DATEDIF(S1760,TODAY(),"MD")&amp;" Hari")</f>
        <v>48 Tahun, 6 Bulan, 4 Hari</v>
      </c>
      <c r="AC1760" s="18" t="n">
        <v>45647</v>
      </c>
      <c r="AD1760" s="18" t="n">
        <v>46181</v>
      </c>
      <c r="AE1760" s="18" t="s">
        <v>44</v>
      </c>
    </row>
    <row r="1761" customFormat="false" ht="15" hidden="false" customHeight="true" outlineLevel="0" collapsed="false">
      <c r="A1761" s="12" t="n">
        <v>18040</v>
      </c>
      <c r="B1761" s="13" t="s">
        <v>7661</v>
      </c>
      <c r="C1761" s="14" t="n">
        <v>45647</v>
      </c>
      <c r="D1761" s="13" t="s">
        <v>393</v>
      </c>
      <c r="E1761" s="15" t="s">
        <v>47</v>
      </c>
      <c r="F1761" s="15" t="str">
        <f aca="false">IFERROR(__xludf.dummyfunction("XLOOKUP(AJ1761,IMPORTRANGE(""1XaInW9DU9nz21V0tYIfzFQ0He9kVQ_JF2mCXgZ3hqFA"",""REKAP ALL 2026 - Andika!G:G""),IMPORTRANGE(""1XaInW9DU9nz21V0tYIfzFQ0He9kVQ_JF2mCXgZ3hqFA"",""REKAP ALL 2026 - Andika!F:F""),"""",0)"),"24216706846")</f>
        <v>24216706846</v>
      </c>
      <c r="G1761" s="15" t="s">
        <v>7662</v>
      </c>
      <c r="H1761" s="13" t="s">
        <v>35</v>
      </c>
      <c r="I1761" s="13" t="str">
        <f aca="false">IF(C1761=J1761,"NEW KONTRAK","RE-KONTRAK")</f>
        <v>NEW KONTRAK</v>
      </c>
      <c r="J1761" s="16" t="n">
        <f aca="false" t="array" ref="J1761:J1761">IFERROR(INDEX(AC1761:AE1761,IF(COUNTA(AC1761:AE1761)=0,"",MAX((AC1761:AE1761&lt;&gt;"")*(COLUMN(AC1761:AE1761)-(COLUMN(AC1761)))))-1),"")</f>
        <v>45647</v>
      </c>
      <c r="K1761" s="16" t="n">
        <f aca="false" t="array" ref="K1761:K1761">IFERROR(INDEX(AC1761:AE1761,IF(COUNTA(AC1761:AE1761)=0,"",MAX((AC1761:AE1761&lt;&gt;"")*(COLUMN(AC1761:AE1761)-(COLUMN(AC1761)-1))))-1),"")</f>
        <v>46181</v>
      </c>
      <c r="L1761" s="17" t="str">
        <f aca="false" t="array" ref="L1761:L1761">IFERROR(INDEX(AC1761:AE1761,IF(COUNTA(AC1761:AE1761)=0,"",MAX((AC1761:AE1761&lt;&gt;"")*(COLUMN(AC1761:AE1761)-(COLUMN(AC1761)-2))))-1),"")</f>
        <v>KEMBALI</v>
      </c>
      <c r="M1761" s="13" t="n">
        <f aca="true">K1761-TODAY()</f>
        <v>-143</v>
      </c>
      <c r="N1761" s="18" t="s">
        <v>105</v>
      </c>
      <c r="O1761" s="13" t="s">
        <v>58</v>
      </c>
      <c r="P1761" s="19" t="n">
        <v>5191541</v>
      </c>
      <c r="Q1761" s="20" t="s">
        <v>7663</v>
      </c>
      <c r="R1761" s="13" t="s">
        <v>39</v>
      </c>
      <c r="S1761" s="14" t="n">
        <v>31422</v>
      </c>
      <c r="T1761" s="13" t="s">
        <v>40</v>
      </c>
      <c r="U1761" s="13" t="s">
        <v>7664</v>
      </c>
      <c r="V1761" s="13" t="s">
        <v>42</v>
      </c>
      <c r="W1761" s="13" t="s">
        <v>54</v>
      </c>
      <c r="X1761" s="21" t="n">
        <v>81216546597</v>
      </c>
      <c r="Y1761" s="22" t="str">
        <f aca="false">O1761</f>
        <v>Produksi</v>
      </c>
      <c r="Z1761" s="13" t="str">
        <f aca="false">IFERROR(__xludf.dummyfunction("if(BJ1761="""","""",GOOGLETRANSLATE(BJ1761,""auto"",""en""))"),"Production")</f>
        <v>Production</v>
      </c>
      <c r="AA1761" s="23" t="str">
        <f aca="false">IF(C1761="","", CHOOSE(MONTH(C1761),"January","February","March","April","May","June","July","August","September","October","November","December")&amp;" "&amp;DAY(C1761)&amp;MID("thstndrdth",MIN(9,2*RIGHT(DAY(C1761))*(MOD(DAY(C1761)-11,100)&gt;2)+1),2)&amp;","&amp;TEXT(C1761," yyyy"))</f>
        <v>December 21st,2024</v>
      </c>
      <c r="AB1761" s="15" t="str">
        <f aca="true">IF(S1761="","",DATEDIF(S1761,TODAY(),"Y")&amp;" Tahun, "&amp;DATEDIF(S1761,TODAY(),"YM")&amp;" Bulan, "&amp;DATEDIF(S1761,TODAY(),"MD")&amp;" Hari")</f>
        <v>40 Tahun, 9 Bulan, 19 Hari</v>
      </c>
      <c r="AC1761" s="18" t="n">
        <v>45647</v>
      </c>
      <c r="AD1761" s="18" t="n">
        <v>46181</v>
      </c>
      <c r="AE1761" s="13" t="s">
        <v>397</v>
      </c>
    </row>
    <row r="1762" customFormat="false" ht="15" hidden="false" customHeight="true" outlineLevel="0" collapsed="false">
      <c r="A1762" s="12" t="n">
        <v>18041</v>
      </c>
      <c r="B1762" s="13" t="s">
        <v>7665</v>
      </c>
      <c r="C1762" s="14" t="n">
        <v>45647</v>
      </c>
      <c r="D1762" s="13" t="s">
        <v>393</v>
      </c>
      <c r="E1762" s="15" t="s">
        <v>47</v>
      </c>
      <c r="F1762" s="15" t="str">
        <f aca="false">IFERROR(__xludf.dummyfunction("XLOOKUP(AJ1762,IMPORTRANGE(""1XaInW9DU9nz21V0tYIfzFQ0He9kVQ_JF2mCXgZ3hqFA"",""REKAP ALL 2026 - Andika!G:G""),IMPORTRANGE(""1XaInW9DU9nz21V0tYIfzFQ0He9kVQ_JF2mCXgZ3hqFA"",""REKAP ALL 2026 - Andika!F:F""),"""",0)"),"24216706820")</f>
        <v>24216706820</v>
      </c>
      <c r="G1762" s="15" t="s">
        <v>7666</v>
      </c>
      <c r="H1762" s="13" t="s">
        <v>35</v>
      </c>
      <c r="I1762" s="13" t="str">
        <f aca="false">IF(C1762=J1762,"NEW KONTRAK","RE-KONTRAK")</f>
        <v>NEW KONTRAK</v>
      </c>
      <c r="J1762" s="16" t="n">
        <f aca="false" t="array" ref="J1762:J1762">IFERROR(INDEX(AC1762:AE1762,IF(COUNTA(AC1762:AE1762)=0,"",MAX((AC1762:AE1762&lt;&gt;"")*(COLUMN(AC1762:AE1762)-(COLUMN(AC1762)))))-1),"")</f>
        <v>45647</v>
      </c>
      <c r="K1762" s="16" t="n">
        <f aca="false" t="array" ref="K1762:K1762">IFERROR(INDEX(AC1762:AE1762,IF(COUNTA(AC1762:AE1762)=0,"",MAX((AC1762:AE1762&lt;&gt;"")*(COLUMN(AC1762:AE1762)-(COLUMN(AC1762)-1))))-1),"")</f>
        <v>46181</v>
      </c>
      <c r="L1762" s="17" t="str">
        <f aca="false" t="array" ref="L1762:L1762">IFERROR(INDEX(AC1762:AE1762,IF(COUNTA(AC1762:AE1762)=0,"",MAX((AC1762:AE1762&lt;&gt;"")*(COLUMN(AC1762:AE1762)-(COLUMN(AC1762)-2))))-1),"")</f>
        <v>KEMBALI</v>
      </c>
      <c r="M1762" s="13" t="n">
        <f aca="true">K1762-TODAY()</f>
        <v>-143</v>
      </c>
      <c r="N1762" s="18" t="s">
        <v>105</v>
      </c>
      <c r="O1762" s="13" t="s">
        <v>58</v>
      </c>
      <c r="P1762" s="19" t="n">
        <v>5191541</v>
      </c>
      <c r="Q1762" s="20" t="s">
        <v>7667</v>
      </c>
      <c r="R1762" s="13" t="s">
        <v>39</v>
      </c>
      <c r="S1762" s="14" t="n">
        <v>31695</v>
      </c>
      <c r="T1762" s="13" t="s">
        <v>40</v>
      </c>
      <c r="U1762" s="13" t="s">
        <v>7668</v>
      </c>
      <c r="V1762" s="13" t="s">
        <v>42</v>
      </c>
      <c r="W1762" s="13" t="s">
        <v>54</v>
      </c>
      <c r="X1762" s="21" t="n">
        <v>85749472453</v>
      </c>
      <c r="Y1762" s="22" t="str">
        <f aca="false">O1762</f>
        <v>Produksi</v>
      </c>
      <c r="Z1762" s="13" t="str">
        <f aca="false">IFERROR(__xludf.dummyfunction("if(BJ1762="""","""",GOOGLETRANSLATE(BJ1762,""auto"",""en""))"),"Production")</f>
        <v>Production</v>
      </c>
      <c r="AA1762" s="23" t="str">
        <f aca="false">IF(C1762="","", CHOOSE(MONTH(C1762),"January","February","March","April","May","June","July","August","September","October","November","December")&amp;" "&amp;DAY(C1762)&amp;MID("thstndrdth",MIN(9,2*RIGHT(DAY(C1762))*(MOD(DAY(C1762)-11,100)&gt;2)+1),2)&amp;","&amp;TEXT(C1762," yyyy"))</f>
        <v>December 21st,2024</v>
      </c>
      <c r="AB1762" s="15" t="str">
        <f aca="true">IF(S1762="","",DATEDIF(S1762,TODAY(),"Y")&amp;" Tahun, "&amp;DATEDIF(S1762,TODAY(),"YM")&amp;" Bulan, "&amp;DATEDIF(S1762,TODAY(),"MD")&amp;" Hari")</f>
        <v>40 Tahun, 0 Bulan, 19 Hari</v>
      </c>
      <c r="AC1762" s="18" t="n">
        <v>45647</v>
      </c>
      <c r="AD1762" s="18" t="n">
        <v>46181</v>
      </c>
      <c r="AE1762" s="13" t="s">
        <v>397</v>
      </c>
    </row>
    <row r="1763" customFormat="false" ht="15" hidden="false" customHeight="true" outlineLevel="0" collapsed="false">
      <c r="A1763" s="12" t="n">
        <v>18042</v>
      </c>
      <c r="B1763" s="13" t="s">
        <v>7669</v>
      </c>
      <c r="C1763" s="14" t="n">
        <v>45647</v>
      </c>
      <c r="D1763" s="13" t="s">
        <v>393</v>
      </c>
      <c r="E1763" s="15" t="s">
        <v>47</v>
      </c>
      <c r="F1763" s="15" t="str">
        <f aca="false">IFERROR(__xludf.dummyfunction("XLOOKUP(AJ1763,IMPORTRANGE(""1XaInW9DU9nz21V0tYIfzFQ0He9kVQ_JF2mCXgZ3hqFA"",""REKAP ALL 2026 - Andika!G:G""),IMPORTRANGE(""1XaInW9DU9nz21V0tYIfzFQ0He9kVQ_JF2mCXgZ3hqFA"",""REKAP ALL 2026 - Andika!F:F""),"""",0)"),"24216706861")</f>
        <v>24216706861</v>
      </c>
      <c r="G1763" s="15" t="s">
        <v>7670</v>
      </c>
      <c r="H1763" s="13" t="s">
        <v>35</v>
      </c>
      <c r="I1763" s="13" t="str">
        <f aca="false">IF(C1763=J1763,"NEW KONTRAK","RE-KONTRAK")</f>
        <v>NEW KONTRAK</v>
      </c>
      <c r="J1763" s="16" t="n">
        <f aca="false" t="array" ref="J1763:J1763">IFERROR(INDEX(AC1763:AE1763,IF(COUNTA(AC1763:AE1763)=0,"",MAX((AC1763:AE1763&lt;&gt;"")*(COLUMN(AC1763:AE1763)-(COLUMN(AC1763)))))-1),"")</f>
        <v>45647</v>
      </c>
      <c r="K1763" s="16" t="n">
        <f aca="false" t="array" ref="K1763:K1763">IFERROR(INDEX(AC1763:AE1763,IF(COUNTA(AC1763:AE1763)=0,"",MAX((AC1763:AE1763&lt;&gt;"")*(COLUMN(AC1763:AE1763)-(COLUMN(AC1763)-1))))-1),"")</f>
        <v>46181</v>
      </c>
      <c r="L1763" s="17" t="str">
        <f aca="false" t="array" ref="L1763:L1763">IFERROR(INDEX(AC1763:AE1763,IF(COUNTA(AC1763:AE1763)=0,"",MAX((AC1763:AE1763&lt;&gt;"")*(COLUMN(AC1763:AE1763)-(COLUMN(AC1763)-2))))-1),"")</f>
        <v>KEMBALI</v>
      </c>
      <c r="M1763" s="13" t="n">
        <f aca="true">K1763-TODAY()</f>
        <v>-143</v>
      </c>
      <c r="N1763" s="18" t="s">
        <v>105</v>
      </c>
      <c r="O1763" s="13" t="s">
        <v>58</v>
      </c>
      <c r="P1763" s="19" t="n">
        <v>5191541</v>
      </c>
      <c r="Q1763" s="20" t="s">
        <v>7671</v>
      </c>
      <c r="R1763" s="13" t="s">
        <v>39</v>
      </c>
      <c r="S1763" s="14" t="n">
        <v>30844</v>
      </c>
      <c r="T1763" s="13" t="s">
        <v>40</v>
      </c>
      <c r="U1763" s="13" t="s">
        <v>7672</v>
      </c>
      <c r="V1763" s="13" t="s">
        <v>42</v>
      </c>
      <c r="W1763" s="13" t="s">
        <v>54</v>
      </c>
      <c r="X1763" s="21" t="n">
        <v>8976451280</v>
      </c>
      <c r="Y1763" s="22" t="str">
        <f aca="false">O1763</f>
        <v>Produksi</v>
      </c>
      <c r="Z1763" s="13" t="str">
        <f aca="false">IFERROR(__xludf.dummyfunction("if(BJ1763="""","""",GOOGLETRANSLATE(BJ1763,""auto"",""en""))"),"Production")</f>
        <v>Production</v>
      </c>
      <c r="AA1763" s="23" t="str">
        <f aca="false">IF(C1763="","", CHOOSE(MONTH(C1763),"January","February","March","April","May","June","July","August","September","October","November","December")&amp;" "&amp;DAY(C1763)&amp;MID("thstndrdth",MIN(9,2*RIGHT(DAY(C1763))*(MOD(DAY(C1763)-11,100)&gt;2)+1),2)&amp;","&amp;TEXT(C1763," yyyy"))</f>
        <v>December 21st,2024</v>
      </c>
      <c r="AB1763" s="15" t="str">
        <f aca="true">IF(S1763="","",DATEDIF(S1763,TODAY(),"Y")&amp;" Tahun, "&amp;DATEDIF(S1763,TODAY(),"YM")&amp;" Bulan, "&amp;DATEDIF(S1763,TODAY(),"MD")&amp;" Hari")</f>
        <v>42 Tahun, 4 Bulan, 18 Hari</v>
      </c>
      <c r="AC1763" s="18" t="n">
        <v>45647</v>
      </c>
      <c r="AD1763" s="18" t="n">
        <v>46181</v>
      </c>
      <c r="AE1763" s="13" t="s">
        <v>397</v>
      </c>
    </row>
    <row r="1764" customFormat="false" ht="15" hidden="false" customHeight="true" outlineLevel="0" collapsed="false">
      <c r="A1764" s="12" t="n">
        <v>18043</v>
      </c>
      <c r="B1764" s="13" t="s">
        <v>7673</v>
      </c>
      <c r="C1764" s="14" t="n">
        <v>45647</v>
      </c>
      <c r="D1764" s="13" t="s">
        <v>393</v>
      </c>
      <c r="E1764" s="15" t="s">
        <v>47</v>
      </c>
      <c r="F1764" s="15" t="str">
        <f aca="false">IFERROR(__xludf.dummyfunction("XLOOKUP(AJ1764,IMPORTRANGE(""1XaInW9DU9nz21V0tYIfzFQ0He9kVQ_JF2mCXgZ3hqFA"",""REKAP ALL 2026 - Andika!G:G""),IMPORTRANGE(""1XaInW9DU9nz21V0tYIfzFQ0He9kVQ_JF2mCXgZ3hqFA"",""REKAP ALL 2026 - Andika!F:F""),"""",0)"),"09014781034")</f>
        <v>09014781034</v>
      </c>
      <c r="G1764" s="15" t="s">
        <v>7674</v>
      </c>
      <c r="H1764" s="13" t="s">
        <v>35</v>
      </c>
      <c r="I1764" s="13" t="str">
        <f aca="false">IF(C1764=J1764,"NEW KONTRAK","RE-KONTRAK")</f>
        <v>NEW KONTRAK</v>
      </c>
      <c r="J1764" s="16" t="n">
        <f aca="false" t="array" ref="J1764:J1764">IFERROR(INDEX(AC1764:AE1764,IF(COUNTA(AC1764:AE1764)=0,"",MAX((AC1764:AE1764&lt;&gt;"")*(COLUMN(AC1764:AE1764)-(COLUMN(AC1764)))))-1),"")</f>
        <v>45647</v>
      </c>
      <c r="K1764" s="16" t="n">
        <f aca="false" t="array" ref="K1764:K1764">IFERROR(INDEX(AC1764:AE1764,IF(COUNTA(AC1764:AE1764)=0,"",MAX((AC1764:AE1764&lt;&gt;"")*(COLUMN(AC1764:AE1764)-(COLUMN(AC1764)-1))))-1),"")</f>
        <v>46181</v>
      </c>
      <c r="L1764" s="17" t="str">
        <f aca="false" t="array" ref="L1764:L1764">IFERROR(INDEX(AC1764:AE1764,IF(COUNTA(AC1764:AE1764)=0,"",MAX((AC1764:AE1764&lt;&gt;"")*(COLUMN(AC1764:AE1764)-(COLUMN(AC1764)-2))))-1),"")</f>
        <v>KEMBALI</v>
      </c>
      <c r="M1764" s="13" t="n">
        <f aca="true">K1764-TODAY()</f>
        <v>-143</v>
      </c>
      <c r="N1764" s="18" t="s">
        <v>105</v>
      </c>
      <c r="O1764" s="13" t="s">
        <v>58</v>
      </c>
      <c r="P1764" s="19" t="n">
        <v>5191541</v>
      </c>
      <c r="Q1764" s="20" t="s">
        <v>7675</v>
      </c>
      <c r="R1764" s="13" t="s">
        <v>39</v>
      </c>
      <c r="S1764" s="14" t="n">
        <v>33341</v>
      </c>
      <c r="T1764" s="13" t="s">
        <v>40</v>
      </c>
      <c r="U1764" s="13" t="s">
        <v>7676</v>
      </c>
      <c r="V1764" s="13" t="s">
        <v>42</v>
      </c>
      <c r="W1764" s="13" t="s">
        <v>54</v>
      </c>
      <c r="X1764" s="21" t="n">
        <v>85794111660</v>
      </c>
      <c r="Y1764" s="22" t="str">
        <f aca="false">O1764</f>
        <v>Produksi</v>
      </c>
      <c r="Z1764" s="13" t="str">
        <f aca="false">IFERROR(__xludf.dummyfunction("if(BJ1764="""","""",GOOGLETRANSLATE(BJ1764,""auto"",""en""))"),"Production")</f>
        <v>Production</v>
      </c>
      <c r="AA1764" s="23" t="str">
        <f aca="false">IF(C1764="","", CHOOSE(MONTH(C1764),"January","February","March","April","May","June","July","August","September","October","November","December")&amp;" "&amp;DAY(C1764)&amp;MID("thstndrdth",MIN(9,2*RIGHT(DAY(C1764))*(MOD(DAY(C1764)-11,100)&gt;2)+1),2)&amp;","&amp;TEXT(C1764," yyyy"))</f>
        <v>December 21st,2024</v>
      </c>
      <c r="AB1764" s="15" t="str">
        <f aca="true">IF(S1764="","",DATEDIF(S1764,TODAY(),"Y")&amp;" Tahun, "&amp;DATEDIF(S1764,TODAY(),"YM")&amp;" Bulan, "&amp;DATEDIF(S1764,TODAY(),"MD")&amp;" Hari")</f>
        <v>35 Tahun, 6 Bulan, 16 Hari</v>
      </c>
      <c r="AC1764" s="18" t="n">
        <v>45647</v>
      </c>
      <c r="AD1764" s="18" t="n">
        <v>46181</v>
      </c>
      <c r="AE1764" s="13" t="s">
        <v>397</v>
      </c>
    </row>
    <row r="1765" customFormat="false" ht="15" hidden="false" customHeight="true" outlineLevel="0" collapsed="false">
      <c r="A1765" s="12" t="n">
        <v>18044</v>
      </c>
      <c r="B1765" s="13" t="s">
        <v>7677</v>
      </c>
      <c r="C1765" s="14" t="n">
        <v>45647</v>
      </c>
      <c r="D1765" s="13" t="s">
        <v>393</v>
      </c>
      <c r="E1765" s="15" t="s">
        <v>47</v>
      </c>
      <c r="F1765" s="15" t="str">
        <f aca="false">IFERROR(__xludf.dummyfunction("XLOOKUP(AJ1765,IMPORTRANGE(""1XaInW9DU9nz21V0tYIfzFQ0He9kVQ_JF2mCXgZ3hqFA"",""REKAP ALL 2026 - Andika!G:G""),IMPORTRANGE(""1XaInW9DU9nz21V0tYIfzFQ0He9kVQ_JF2mCXgZ3hqFA"",""REKAP ALL 2026 - Andika!F:F""),"""",0)"),"13034889058")</f>
        <v>13034889058</v>
      </c>
      <c r="G1765" s="15" t="s">
        <v>7678</v>
      </c>
      <c r="H1765" s="13" t="s">
        <v>35</v>
      </c>
      <c r="I1765" s="13" t="str">
        <f aca="false">IF(C1765=J1765,"NEW KONTRAK","RE-KONTRAK")</f>
        <v>NEW KONTRAK</v>
      </c>
      <c r="J1765" s="16" t="n">
        <f aca="false" t="array" ref="J1765:J1765">IFERROR(INDEX(AC1765:AE1765,IF(COUNTA(AC1765:AE1765)=0,"",MAX((AC1765:AE1765&lt;&gt;"")*(COLUMN(AC1765:AE1765)-(COLUMN(AC1765)))))-1),"")</f>
        <v>45647</v>
      </c>
      <c r="K1765" s="16" t="n">
        <f aca="false" t="array" ref="K1765:K1765">IFERROR(INDEX(AC1765:AE1765,IF(COUNTA(AC1765:AE1765)=0,"",MAX((AC1765:AE1765&lt;&gt;"")*(COLUMN(AC1765:AE1765)-(COLUMN(AC1765)-1))))-1),"")</f>
        <v>46181</v>
      </c>
      <c r="L1765" s="17" t="str">
        <f aca="false" t="array" ref="L1765:L1765">IFERROR(INDEX(AC1765:AE1765,IF(COUNTA(AC1765:AE1765)=0,"",MAX((AC1765:AE1765&lt;&gt;"")*(COLUMN(AC1765:AE1765)-(COLUMN(AC1765)-2))))-1),"")</f>
        <v>KEMBALI</v>
      </c>
      <c r="M1765" s="13" t="n">
        <f aca="true">K1765-TODAY()</f>
        <v>-143</v>
      </c>
      <c r="N1765" s="18" t="s">
        <v>105</v>
      </c>
      <c r="O1765" s="13" t="s">
        <v>58</v>
      </c>
      <c r="P1765" s="19" t="n">
        <v>5191541</v>
      </c>
      <c r="Q1765" s="20" t="s">
        <v>7679</v>
      </c>
      <c r="R1765" s="13" t="s">
        <v>39</v>
      </c>
      <c r="S1765" s="14" t="n">
        <v>30205</v>
      </c>
      <c r="T1765" s="13" t="s">
        <v>40</v>
      </c>
      <c r="U1765" s="13" t="s">
        <v>7680</v>
      </c>
      <c r="V1765" s="13" t="s">
        <v>42</v>
      </c>
      <c r="W1765" s="13" t="s">
        <v>54</v>
      </c>
      <c r="X1765" s="21" t="n">
        <v>85961599948</v>
      </c>
      <c r="Y1765" s="22" t="str">
        <f aca="false">O1765</f>
        <v>Produksi</v>
      </c>
      <c r="Z1765" s="13" t="str">
        <f aca="false">IFERROR(__xludf.dummyfunction("if(BJ1765="""","""",GOOGLETRANSLATE(BJ1765,""auto"",""en""))"),"Production")</f>
        <v>Production</v>
      </c>
      <c r="AA1765" s="23" t="str">
        <f aca="false">IF(C1765="","", CHOOSE(MONTH(C1765),"January","February","March","April","May","June","July","August","September","October","November","December")&amp;" "&amp;DAY(C1765)&amp;MID("thstndrdth",MIN(9,2*RIGHT(DAY(C1765))*(MOD(DAY(C1765)-11,100)&gt;2)+1),2)&amp;","&amp;TEXT(C1765," yyyy"))</f>
        <v>December 21st,2024</v>
      </c>
      <c r="AB1765" s="15" t="str">
        <f aca="true">IF(S1765="","",DATEDIF(S1765,TODAY(),"Y")&amp;" Tahun, "&amp;DATEDIF(S1765,TODAY(),"YM")&amp;" Bulan, "&amp;DATEDIF(S1765,TODAY(),"MD")&amp;" Hari")</f>
        <v>44 Tahun, 1 Bulan, 18 Hari</v>
      </c>
      <c r="AC1765" s="18" t="n">
        <v>45647</v>
      </c>
      <c r="AD1765" s="18" t="n">
        <v>46181</v>
      </c>
      <c r="AE1765" s="13" t="s">
        <v>397</v>
      </c>
    </row>
    <row r="1766" customFormat="false" ht="15" hidden="false" customHeight="true" outlineLevel="0" collapsed="false">
      <c r="A1766" s="12" t="n">
        <v>18045</v>
      </c>
      <c r="B1766" s="13" t="s">
        <v>7380</v>
      </c>
      <c r="C1766" s="14" t="n">
        <v>45647</v>
      </c>
      <c r="D1766" s="13" t="s">
        <v>393</v>
      </c>
      <c r="E1766" s="15" t="s">
        <v>47</v>
      </c>
      <c r="F1766" s="15" t="str">
        <f aca="false">IFERROR(__xludf.dummyfunction("XLOOKUP(AJ1766,IMPORTRANGE(""1XaInW9DU9nz21V0tYIfzFQ0He9kVQ_JF2mCXgZ3hqFA"",""REKAP ALL 2026 - Andika!G:G""),IMPORTRANGE(""1XaInW9DU9nz21V0tYIfzFQ0He9kVQ_JF2mCXgZ3hqFA"",""REKAP ALL 2026 - Andika!F:F""),"""",0)"),"24216707000")</f>
        <v>24216707000</v>
      </c>
      <c r="G1766" s="15" t="s">
        <v>7681</v>
      </c>
      <c r="H1766" s="13" t="s">
        <v>35</v>
      </c>
      <c r="I1766" s="13" t="str">
        <f aca="false">IF(C1766=J1766,"NEW KONTRAK","RE-KONTRAK")</f>
        <v>NEW KONTRAK</v>
      </c>
      <c r="J1766" s="16" t="n">
        <f aca="false" t="array" ref="J1766:J1766">IFERROR(INDEX(AC1766:AE1766,IF(COUNTA(AC1766:AE1766)=0,"",MAX((AC1766:AE1766&lt;&gt;"")*(COLUMN(AC1766:AE1766)-(COLUMN(AC1766)))))-1),"")</f>
        <v>45647</v>
      </c>
      <c r="K1766" s="16" t="n">
        <f aca="false" t="array" ref="K1766:K1766">IFERROR(INDEX(AC1766:AE1766,IF(COUNTA(AC1766:AE1766)=0,"",MAX((AC1766:AE1766&lt;&gt;"")*(COLUMN(AC1766:AE1766)-(COLUMN(AC1766)-1))))-1),"")</f>
        <v>46181</v>
      </c>
      <c r="L1766" s="17" t="str">
        <f aca="false" t="array" ref="L1766:L1766">IFERROR(INDEX(AC1766:AE1766,IF(COUNTA(AC1766:AE1766)=0,"",MAX((AC1766:AE1766&lt;&gt;"")*(COLUMN(AC1766:AE1766)-(COLUMN(AC1766)-2))))-1),"")</f>
        <v>ARCHIVED</v>
      </c>
      <c r="M1766" s="13" t="n">
        <f aca="true">K1766-TODAY()</f>
        <v>-143</v>
      </c>
      <c r="N1766" s="18" t="s">
        <v>105</v>
      </c>
      <c r="O1766" s="13" t="s">
        <v>58</v>
      </c>
      <c r="P1766" s="19" t="n">
        <v>5191541</v>
      </c>
      <c r="Q1766" s="20" t="s">
        <v>7682</v>
      </c>
      <c r="R1766" s="13" t="s">
        <v>39</v>
      </c>
      <c r="S1766" s="14" t="n">
        <v>32202</v>
      </c>
      <c r="T1766" s="13" t="s">
        <v>40</v>
      </c>
      <c r="U1766" s="13" t="s">
        <v>7683</v>
      </c>
      <c r="V1766" s="13" t="s">
        <v>42</v>
      </c>
      <c r="W1766" s="13" t="s">
        <v>54</v>
      </c>
      <c r="X1766" s="21" t="n">
        <v>81332712257</v>
      </c>
      <c r="Y1766" s="22" t="str">
        <f aca="false">O1766</f>
        <v>Produksi</v>
      </c>
      <c r="Z1766" s="13" t="str">
        <f aca="false">IFERROR(__xludf.dummyfunction("if(BJ1766="""","""",GOOGLETRANSLATE(BJ1766,""auto"",""en""))"),"Production")</f>
        <v>Production</v>
      </c>
      <c r="AA1766" s="23" t="str">
        <f aca="false">IF(C1766="","", CHOOSE(MONTH(C1766),"January","February","March","April","May","June","July","August","September","October","November","December")&amp;" "&amp;DAY(C1766)&amp;MID("thstndrdth",MIN(9,2*RIGHT(DAY(C1766))*(MOD(DAY(C1766)-11,100)&gt;2)+1),2)&amp;","&amp;TEXT(C1766," yyyy"))</f>
        <v>December 21st,2024</v>
      </c>
      <c r="AB1766" s="15" t="str">
        <f aca="true">IF(S1766="","",DATEDIF(S1766,TODAY(),"Y")&amp;" Tahun, "&amp;DATEDIF(S1766,TODAY(),"YM")&amp;" Bulan, "&amp;DATEDIF(S1766,TODAY(),"MD")&amp;" Hari")</f>
        <v>38 Tahun, 8 Bulan, 0 Hari</v>
      </c>
      <c r="AC1766" s="18" t="n">
        <v>45647</v>
      </c>
      <c r="AD1766" s="18" t="n">
        <v>46181</v>
      </c>
      <c r="AE1766" s="18" t="s">
        <v>44</v>
      </c>
    </row>
    <row r="1767" customFormat="false" ht="15" hidden="false" customHeight="true" outlineLevel="0" collapsed="false">
      <c r="A1767" s="12" t="n">
        <v>18046</v>
      </c>
      <c r="B1767" s="13" t="s">
        <v>7684</v>
      </c>
      <c r="C1767" s="14" t="n">
        <v>45647</v>
      </c>
      <c r="D1767" s="13" t="s">
        <v>393</v>
      </c>
      <c r="E1767" s="15" t="s">
        <v>47</v>
      </c>
      <c r="F1767" s="15" t="str">
        <f aca="false">IFERROR(__xludf.dummyfunction("XLOOKUP(AJ1767,IMPORTRANGE(""1XaInW9DU9nz21V0tYIfzFQ0He9kVQ_JF2mCXgZ3hqFA"",""REKAP ALL 2026 - Andika!G:G""),IMPORTRANGE(""1XaInW9DU9nz21V0tYIfzFQ0He9kVQ_JF2mCXgZ3hqFA"",""REKAP ALL 2026 - Andika!F:F""),"""",0)"),"24216706960")</f>
        <v>24216706960</v>
      </c>
      <c r="G1767" s="15" t="s">
        <v>7685</v>
      </c>
      <c r="H1767" s="13" t="s">
        <v>35</v>
      </c>
      <c r="I1767" s="13" t="str">
        <f aca="false">IF(C1767=J1767,"NEW KONTRAK","RE-KONTRAK")</f>
        <v>NEW KONTRAK</v>
      </c>
      <c r="J1767" s="16" t="n">
        <f aca="false" t="array" ref="J1767:J1767">IFERROR(INDEX(AC1767:AE1767,IF(COUNTA(AC1767:AE1767)=0,"",MAX((AC1767:AE1767&lt;&gt;"")*(COLUMN(AC1767:AE1767)-(COLUMN(AC1767)))))-1),"")</f>
        <v>45647</v>
      </c>
      <c r="K1767" s="16" t="n">
        <f aca="false" t="array" ref="K1767:K1767">IFERROR(INDEX(AC1767:AE1767,IF(COUNTA(AC1767:AE1767)=0,"",MAX((AC1767:AE1767&lt;&gt;"")*(COLUMN(AC1767:AE1767)-(COLUMN(AC1767)-1))))-1),"")</f>
        <v>46181</v>
      </c>
      <c r="L1767" s="17" t="str">
        <f aca="false" t="array" ref="L1767:L1767">IFERROR(INDEX(AC1767:AE1767,IF(COUNTA(AC1767:AE1767)=0,"",MAX((AC1767:AE1767&lt;&gt;"")*(COLUMN(AC1767:AE1767)-(COLUMN(AC1767)-2))))-1),"")</f>
        <v>KEMBALI</v>
      </c>
      <c r="M1767" s="13" t="n">
        <f aca="true">K1767-TODAY()</f>
        <v>-143</v>
      </c>
      <c r="N1767" s="18" t="s">
        <v>105</v>
      </c>
      <c r="O1767" s="13" t="s">
        <v>58</v>
      </c>
      <c r="P1767" s="19" t="n">
        <v>5191541</v>
      </c>
      <c r="Q1767" s="20" t="s">
        <v>7686</v>
      </c>
      <c r="R1767" s="13" t="s">
        <v>60</v>
      </c>
      <c r="S1767" s="14" t="n">
        <v>34232</v>
      </c>
      <c r="T1767" s="13" t="s">
        <v>40</v>
      </c>
      <c r="U1767" s="13" t="s">
        <v>7687</v>
      </c>
      <c r="V1767" s="13" t="s">
        <v>42</v>
      </c>
      <c r="W1767" s="13" t="s">
        <v>54</v>
      </c>
      <c r="X1767" s="21" t="n">
        <v>81233464512</v>
      </c>
      <c r="Y1767" s="22" t="str">
        <f aca="false">O1767</f>
        <v>Produksi</v>
      </c>
      <c r="Z1767" s="13" t="str">
        <f aca="false">IFERROR(__xludf.dummyfunction("if(BJ1767="""","""",GOOGLETRANSLATE(BJ1767,""auto"",""en""))"),"Production")</f>
        <v>Production</v>
      </c>
      <c r="AA1767" s="23" t="str">
        <f aca="false">IF(C1767="","", CHOOSE(MONTH(C1767),"January","February","March","April","May","June","July","August","September","October","November","December")&amp;" "&amp;DAY(C1767)&amp;MID("thstndrdth",MIN(9,2*RIGHT(DAY(C1767))*(MOD(DAY(C1767)-11,100)&gt;2)+1),2)&amp;","&amp;TEXT(C1767," yyyy"))</f>
        <v>December 21st,2024</v>
      </c>
      <c r="AB1767" s="15" t="str">
        <f aca="true">IF(S1767="","",DATEDIF(S1767,TODAY(),"Y")&amp;" Tahun, "&amp;DATEDIF(S1767,TODAY(),"YM")&amp;" Bulan, "&amp;DATEDIF(S1767,TODAY(),"MD")&amp;" Hari")</f>
        <v>33 Tahun, 1 Bulan, 9 Hari</v>
      </c>
      <c r="AC1767" s="18" t="n">
        <v>45647</v>
      </c>
      <c r="AD1767" s="18" t="n">
        <v>46181</v>
      </c>
      <c r="AE1767" s="13" t="s">
        <v>397</v>
      </c>
    </row>
    <row r="1768" customFormat="false" ht="15" hidden="false" customHeight="true" outlineLevel="0" collapsed="false">
      <c r="A1768" s="12" t="n">
        <v>18047</v>
      </c>
      <c r="B1768" s="13" t="s">
        <v>7688</v>
      </c>
      <c r="C1768" s="14" t="n">
        <v>45647</v>
      </c>
      <c r="D1768" s="13" t="s">
        <v>393</v>
      </c>
      <c r="E1768" s="15" t="s">
        <v>47</v>
      </c>
      <c r="F1768" s="15" t="str">
        <f aca="false">IFERROR(__xludf.dummyfunction("XLOOKUP(AJ1768,IMPORTRANGE(""1XaInW9DU9nz21V0tYIfzFQ0He9kVQ_JF2mCXgZ3hqFA"",""REKAP ALL 2026 - Andika!G:G""),IMPORTRANGE(""1XaInW9DU9nz21V0tYIfzFQ0He9kVQ_JF2mCXgZ3hqFA"",""REKAP ALL 2026 - Andika!F:F""),"""",0)"),"24216706952")</f>
        <v>24216706952</v>
      </c>
      <c r="G1768" s="15" t="s">
        <v>7689</v>
      </c>
      <c r="H1768" s="13" t="s">
        <v>35</v>
      </c>
      <c r="I1768" s="13" t="str">
        <f aca="false">IF(C1768=J1768,"NEW KONTRAK","RE-KONTRAK")</f>
        <v>NEW KONTRAK</v>
      </c>
      <c r="J1768" s="16" t="n">
        <f aca="false" t="array" ref="J1768:J1768">IFERROR(INDEX(AC1768:AE1768,IF(COUNTA(AC1768:AE1768)=0,"",MAX((AC1768:AE1768&lt;&gt;"")*(COLUMN(AC1768:AE1768)-(COLUMN(AC1768)))))-1),"")</f>
        <v>45647</v>
      </c>
      <c r="K1768" s="16" t="n">
        <f aca="false" t="array" ref="K1768:K1768">IFERROR(INDEX(AC1768:AE1768,IF(COUNTA(AC1768:AE1768)=0,"",MAX((AC1768:AE1768&lt;&gt;"")*(COLUMN(AC1768:AE1768)-(COLUMN(AC1768)-1))))-1),"")</f>
        <v>46181</v>
      </c>
      <c r="L1768" s="17" t="str">
        <f aca="false" t="array" ref="L1768:L1768">IFERROR(INDEX(AC1768:AE1768,IF(COUNTA(AC1768:AE1768)=0,"",MAX((AC1768:AE1768&lt;&gt;"")*(COLUMN(AC1768:AE1768)-(COLUMN(AC1768)-2))))-1),"")</f>
        <v>KEMBALI</v>
      </c>
      <c r="M1768" s="13" t="n">
        <f aca="true">K1768-TODAY()</f>
        <v>-143</v>
      </c>
      <c r="N1768" s="18" t="s">
        <v>105</v>
      </c>
      <c r="O1768" s="13" t="s">
        <v>58</v>
      </c>
      <c r="P1768" s="19" t="n">
        <v>5191541</v>
      </c>
      <c r="Q1768" s="20" t="s">
        <v>7690</v>
      </c>
      <c r="R1768" s="13" t="s">
        <v>39</v>
      </c>
      <c r="S1768" s="14" t="n">
        <v>34768</v>
      </c>
      <c r="T1768" s="13" t="s">
        <v>40</v>
      </c>
      <c r="U1768" s="13" t="s">
        <v>7691</v>
      </c>
      <c r="V1768" s="13" t="s">
        <v>42</v>
      </c>
      <c r="W1768" s="13" t="s">
        <v>54</v>
      </c>
      <c r="X1768" s="21" t="n">
        <v>895622152155</v>
      </c>
      <c r="Y1768" s="22" t="str">
        <f aca="false">O1768</f>
        <v>Produksi</v>
      </c>
      <c r="Z1768" s="13" t="str">
        <f aca="false">IFERROR(__xludf.dummyfunction("if(BJ1768="""","""",GOOGLETRANSLATE(BJ1768,""auto"",""en""))"),"Production")</f>
        <v>Production</v>
      </c>
      <c r="AA1768" s="23" t="str">
        <f aca="false">IF(C1768="","", CHOOSE(MONTH(C1768),"January","February","March","April","May","June","July","August","September","October","November","December")&amp;" "&amp;DAY(C1768)&amp;MID("thstndrdth",MIN(9,2*RIGHT(DAY(C1768))*(MOD(DAY(C1768)-11,100)&gt;2)+1),2)&amp;","&amp;TEXT(C1768," yyyy"))</f>
        <v>December 21st,2024</v>
      </c>
      <c r="AB1768" s="15" t="str">
        <f aca="true">IF(S1768="","",DATEDIF(S1768,TODAY(),"Y")&amp;" Tahun, "&amp;DATEDIF(S1768,TODAY(),"YM")&amp;" Bulan, "&amp;DATEDIF(S1768,TODAY(),"MD")&amp;" Hari")</f>
        <v>31 Tahun, 7 Bulan, 19 Hari</v>
      </c>
      <c r="AC1768" s="18" t="n">
        <v>45647</v>
      </c>
      <c r="AD1768" s="18" t="n">
        <v>46181</v>
      </c>
      <c r="AE1768" s="13" t="s">
        <v>397</v>
      </c>
    </row>
    <row r="1769" customFormat="false" ht="15" hidden="false" customHeight="true" outlineLevel="0" collapsed="false">
      <c r="A1769" s="12" t="n">
        <v>18048</v>
      </c>
      <c r="B1769" s="13" t="s">
        <v>7692</v>
      </c>
      <c r="C1769" s="14" t="n">
        <v>45647</v>
      </c>
      <c r="D1769" s="13" t="s">
        <v>393</v>
      </c>
      <c r="E1769" s="15" t="s">
        <v>47</v>
      </c>
      <c r="F1769" s="15" t="str">
        <f aca="false">IFERROR(__xludf.dummyfunction("XLOOKUP(AJ1769,IMPORTRANGE(""1XaInW9DU9nz21V0tYIfzFQ0He9kVQ_JF2mCXgZ3hqFA"",""REKAP ALL 2026 - Andika!G:G""),IMPORTRANGE(""1XaInW9DU9nz21V0tYIfzFQ0He9kVQ_JF2mCXgZ3hqFA"",""REKAP ALL 2026 - Andika!F:F""),"""",0)"),"24216706929")</f>
        <v>24216706929</v>
      </c>
      <c r="G1769" s="15" t="s">
        <v>7693</v>
      </c>
      <c r="H1769" s="13" t="s">
        <v>35</v>
      </c>
      <c r="I1769" s="13" t="str">
        <f aca="false">IF(C1769=J1769,"NEW KONTRAK","RE-KONTRAK")</f>
        <v>NEW KONTRAK</v>
      </c>
      <c r="J1769" s="16" t="n">
        <f aca="false" t="array" ref="J1769:J1769">IFERROR(INDEX(AC1769:AE1769,IF(COUNTA(AC1769:AE1769)=0,"",MAX((AC1769:AE1769&lt;&gt;"")*(COLUMN(AC1769:AE1769)-(COLUMN(AC1769)))))-1),"")</f>
        <v>45647</v>
      </c>
      <c r="K1769" s="16" t="n">
        <f aca="false" t="array" ref="K1769:K1769">IFERROR(INDEX(AC1769:AE1769,IF(COUNTA(AC1769:AE1769)=0,"",MAX((AC1769:AE1769&lt;&gt;"")*(COLUMN(AC1769:AE1769)-(COLUMN(AC1769)-1))))-1),"")</f>
        <v>46181</v>
      </c>
      <c r="L1769" s="17" t="str">
        <f aca="false" t="array" ref="L1769:L1769">IFERROR(INDEX(AC1769:AE1769,IF(COUNTA(AC1769:AE1769)=0,"",MAX((AC1769:AE1769&lt;&gt;"")*(COLUMN(AC1769:AE1769)-(COLUMN(AC1769)-2))))-1),"")</f>
        <v>ARCHIVED</v>
      </c>
      <c r="M1769" s="13" t="n">
        <f aca="true">K1769-TODAY()</f>
        <v>-143</v>
      </c>
      <c r="N1769" s="18" t="s">
        <v>105</v>
      </c>
      <c r="O1769" s="13" t="s">
        <v>58</v>
      </c>
      <c r="P1769" s="19" t="n">
        <v>5191541</v>
      </c>
      <c r="Q1769" s="20" t="s">
        <v>7694</v>
      </c>
      <c r="R1769" s="13" t="s">
        <v>52</v>
      </c>
      <c r="S1769" s="14" t="n">
        <v>31797</v>
      </c>
      <c r="T1769" s="13" t="s">
        <v>40</v>
      </c>
      <c r="U1769" s="13" t="s">
        <v>7695</v>
      </c>
      <c r="V1769" s="13" t="s">
        <v>42</v>
      </c>
      <c r="W1769" s="13" t="s">
        <v>43</v>
      </c>
      <c r="X1769" s="21" t="n">
        <v>82143690806</v>
      </c>
      <c r="Y1769" s="22" t="str">
        <f aca="false">O1769</f>
        <v>Produksi</v>
      </c>
      <c r="Z1769" s="13" t="str">
        <f aca="false">IFERROR(__xludf.dummyfunction("if(BJ1769="""","""",GOOGLETRANSLATE(BJ1769,""auto"",""en""))"),"Production")</f>
        <v>Production</v>
      </c>
      <c r="AA1769" s="23" t="str">
        <f aca="false">IF(C1769="","", CHOOSE(MONTH(C1769),"January","February","March","April","May","June","July","August","September","October","November","December")&amp;" "&amp;DAY(C1769)&amp;MID("thstndrdth",MIN(9,2*RIGHT(DAY(C1769))*(MOD(DAY(C1769)-11,100)&gt;2)+1),2)&amp;","&amp;TEXT(C1769," yyyy"))</f>
        <v>December 21st,2024</v>
      </c>
      <c r="AB1769" s="15" t="str">
        <f aca="true">IF(S1769="","",DATEDIF(S1769,TODAY(),"Y")&amp;" Tahun, "&amp;DATEDIF(S1769,TODAY(),"YM")&amp;" Bulan, "&amp;DATEDIF(S1769,TODAY(),"MD")&amp;" Hari")</f>
        <v>39 Tahun, 9 Bulan, 9 Hari</v>
      </c>
      <c r="AC1769" s="18" t="n">
        <v>45647</v>
      </c>
      <c r="AD1769" s="18" t="n">
        <v>46181</v>
      </c>
      <c r="AE1769" s="18" t="s">
        <v>44</v>
      </c>
    </row>
    <row r="1770" customFormat="false" ht="15" hidden="false" customHeight="true" outlineLevel="0" collapsed="false">
      <c r="A1770" s="12" t="n">
        <v>18049</v>
      </c>
      <c r="B1770" s="13" t="s">
        <v>3559</v>
      </c>
      <c r="C1770" s="14" t="n">
        <v>45647</v>
      </c>
      <c r="D1770" s="13" t="s">
        <v>393</v>
      </c>
      <c r="E1770" s="15" t="s">
        <v>47</v>
      </c>
      <c r="F1770" s="15" t="str">
        <f aca="false">IFERROR(__xludf.dummyfunction("XLOOKUP(AJ1770,IMPORTRANGE(""1XaInW9DU9nz21V0tYIfzFQ0He9kVQ_JF2mCXgZ3hqFA"",""REKAP ALL 2026 - Andika!G:G""),IMPORTRANGE(""1XaInW9DU9nz21V0tYIfzFQ0He9kVQ_JF2mCXgZ3hqFA"",""REKAP ALL 2026 - Andika!F:F""),"""",0)"),"24216706879")</f>
        <v>24216706879</v>
      </c>
      <c r="G1770" s="15" t="s">
        <v>7696</v>
      </c>
      <c r="H1770" s="13" t="s">
        <v>35</v>
      </c>
      <c r="I1770" s="13" t="str">
        <f aca="false">IF(C1770=J1770,"NEW KONTRAK","RE-KONTRAK")</f>
        <v>NEW KONTRAK</v>
      </c>
      <c r="J1770" s="16" t="n">
        <f aca="false" t="array" ref="J1770:J1770">IFERROR(INDEX(AC1770:AE1770,IF(COUNTA(AC1770:AE1770)=0,"",MAX((AC1770:AE1770&lt;&gt;"")*(COLUMN(AC1770:AE1770)-(COLUMN(AC1770)))))-1),"")</f>
        <v>45647</v>
      </c>
      <c r="K1770" s="16" t="n">
        <f aca="false" t="array" ref="K1770:K1770">IFERROR(INDEX(AC1770:AE1770,IF(COUNTA(AC1770:AE1770)=0,"",MAX((AC1770:AE1770&lt;&gt;"")*(COLUMN(AC1770:AE1770)-(COLUMN(AC1770)-1))))-1),"")</f>
        <v>46181</v>
      </c>
      <c r="L1770" s="17" t="str">
        <f aca="false" t="array" ref="L1770:L1770">IFERROR(INDEX(AC1770:AE1770,IF(COUNTA(AC1770:AE1770)=0,"",MAX((AC1770:AE1770&lt;&gt;"")*(COLUMN(AC1770:AE1770)-(COLUMN(AC1770)-2))))-1),"")</f>
        <v>KEMBALI</v>
      </c>
      <c r="M1770" s="13" t="n">
        <f aca="true">K1770-TODAY()</f>
        <v>-143</v>
      </c>
      <c r="N1770" s="18" t="s">
        <v>105</v>
      </c>
      <c r="O1770" s="13" t="s">
        <v>58</v>
      </c>
      <c r="P1770" s="19" t="n">
        <v>5191541</v>
      </c>
      <c r="Q1770" s="20" t="s">
        <v>7697</v>
      </c>
      <c r="R1770" s="13" t="s">
        <v>232</v>
      </c>
      <c r="S1770" s="14" t="n">
        <v>32276</v>
      </c>
      <c r="T1770" s="13" t="s">
        <v>40</v>
      </c>
      <c r="U1770" s="13" t="s">
        <v>7698</v>
      </c>
      <c r="V1770" s="13" t="s">
        <v>42</v>
      </c>
      <c r="W1770" s="13" t="s">
        <v>54</v>
      </c>
      <c r="X1770" s="21" t="n">
        <v>85852245113</v>
      </c>
      <c r="Y1770" s="22" t="str">
        <f aca="false">O1770</f>
        <v>Produksi</v>
      </c>
      <c r="Z1770" s="13" t="str">
        <f aca="false">IFERROR(__xludf.dummyfunction("if(BJ1770="""","""",GOOGLETRANSLATE(BJ1770,""auto"",""en""))"),"Production")</f>
        <v>Production</v>
      </c>
      <c r="AA1770" s="23" t="str">
        <f aca="false">IF(C1770="","", CHOOSE(MONTH(C1770),"January","February","March","April","May","June","July","August","September","October","November","December")&amp;" "&amp;DAY(C1770)&amp;MID("thstndrdth",MIN(9,2*RIGHT(DAY(C1770))*(MOD(DAY(C1770)-11,100)&gt;2)+1),2)&amp;","&amp;TEXT(C1770," yyyy"))</f>
        <v>December 21st,2024</v>
      </c>
      <c r="AB1770" s="15" t="str">
        <f aca="true">IF(S1770="","",DATEDIF(S1770,TODAY(),"Y")&amp;" Tahun, "&amp;DATEDIF(S1770,TODAY(),"YM")&amp;" Bulan, "&amp;DATEDIF(S1770,TODAY(),"MD")&amp;" Hari")</f>
        <v>38 Tahun, 5 Bulan, 16 Hari</v>
      </c>
      <c r="AC1770" s="18" t="n">
        <v>45647</v>
      </c>
      <c r="AD1770" s="18" t="n">
        <v>46181</v>
      </c>
      <c r="AE1770" s="13" t="s">
        <v>397</v>
      </c>
    </row>
    <row r="1771" customFormat="false" ht="15" hidden="false" customHeight="true" outlineLevel="0" collapsed="false">
      <c r="A1771" s="12" t="n">
        <v>18050</v>
      </c>
      <c r="B1771" s="13" t="s">
        <v>238</v>
      </c>
      <c r="C1771" s="14" t="n">
        <v>45647</v>
      </c>
      <c r="D1771" s="13" t="s">
        <v>393</v>
      </c>
      <c r="E1771" s="15" t="s">
        <v>47</v>
      </c>
      <c r="F1771" s="15" t="str">
        <f aca="false">IFERROR(__xludf.dummyfunction("XLOOKUP(AJ1771,IMPORTRANGE(""1XaInW9DU9nz21V0tYIfzFQ0He9kVQ_JF2mCXgZ3hqFA"",""REKAP ALL 2026 - Andika!G:G""),IMPORTRANGE(""1XaInW9DU9nz21V0tYIfzFQ0He9kVQ_JF2mCXgZ3hqFA"",""REKAP ALL 2026 - Andika!F:F""),"""",0)"),"24216706986")</f>
        <v>24216706986</v>
      </c>
      <c r="G1771" s="15" t="s">
        <v>7699</v>
      </c>
      <c r="H1771" s="13" t="s">
        <v>35</v>
      </c>
      <c r="I1771" s="13" t="str">
        <f aca="false">IF(C1771=J1771,"NEW KONTRAK","RE-KONTRAK")</f>
        <v>NEW KONTRAK</v>
      </c>
      <c r="J1771" s="16" t="n">
        <f aca="false" t="array" ref="J1771:J1771">IFERROR(INDEX(AC1771:AE1771,IF(COUNTA(AC1771:AE1771)=0,"",MAX((AC1771:AE1771&lt;&gt;"")*(COLUMN(AC1771:AE1771)-(COLUMN(AC1771)))))-1),"")</f>
        <v>45647</v>
      </c>
      <c r="K1771" s="16" t="n">
        <f aca="false" t="array" ref="K1771:K1771">IFERROR(INDEX(AC1771:AE1771,IF(COUNTA(AC1771:AE1771)=0,"",MAX((AC1771:AE1771&lt;&gt;"")*(COLUMN(AC1771:AE1771)-(COLUMN(AC1771)-1))))-1),"")</f>
        <v>46181</v>
      </c>
      <c r="L1771" s="17" t="str">
        <f aca="false" t="array" ref="L1771:L1771">IFERROR(INDEX(AC1771:AE1771,IF(COUNTA(AC1771:AE1771)=0,"",MAX((AC1771:AE1771&lt;&gt;"")*(COLUMN(AC1771:AE1771)-(COLUMN(AC1771)-2))))-1),"")</f>
        <v>KEMBALI</v>
      </c>
      <c r="M1771" s="13" t="n">
        <f aca="true">K1771-TODAY()</f>
        <v>-143</v>
      </c>
      <c r="N1771" s="18" t="s">
        <v>105</v>
      </c>
      <c r="O1771" s="13" t="s">
        <v>58</v>
      </c>
      <c r="P1771" s="19" t="n">
        <v>5191541</v>
      </c>
      <c r="Q1771" s="20" t="s">
        <v>7700</v>
      </c>
      <c r="R1771" s="13" t="s">
        <v>232</v>
      </c>
      <c r="S1771" s="14" t="n">
        <v>33068</v>
      </c>
      <c r="T1771" s="13" t="s">
        <v>40</v>
      </c>
      <c r="U1771" s="13" t="s">
        <v>7701</v>
      </c>
      <c r="V1771" s="13" t="s">
        <v>42</v>
      </c>
      <c r="W1771" s="13" t="s">
        <v>54</v>
      </c>
      <c r="X1771" s="21" t="n">
        <v>89676590221</v>
      </c>
      <c r="Y1771" s="22" t="str">
        <f aca="false">O1771</f>
        <v>Produksi</v>
      </c>
      <c r="Z1771" s="13" t="str">
        <f aca="false">IFERROR(__xludf.dummyfunction("if(BJ1771="""","""",GOOGLETRANSLATE(BJ1771,""auto"",""en""))"),"Production")</f>
        <v>Production</v>
      </c>
      <c r="AA1771" s="23" t="str">
        <f aca="false">IF(C1771="","", CHOOSE(MONTH(C1771),"January","February","March","April","May","June","July","August","September","October","November","December")&amp;" "&amp;DAY(C1771)&amp;MID("thstndrdth",MIN(9,2*RIGHT(DAY(C1771))*(MOD(DAY(C1771)-11,100)&gt;2)+1),2)&amp;","&amp;TEXT(C1771," yyyy"))</f>
        <v>December 21st,2024</v>
      </c>
      <c r="AB1771" s="15" t="str">
        <f aca="true">IF(S1771="","",DATEDIF(S1771,TODAY(),"Y")&amp;" Tahun, "&amp;DATEDIF(S1771,TODAY(),"YM")&amp;" Bulan, "&amp;DATEDIF(S1771,TODAY(),"MD")&amp;" Hari")</f>
        <v>36 Tahun, 3 Bulan, 15 Hari</v>
      </c>
      <c r="AC1771" s="18" t="n">
        <v>45647</v>
      </c>
      <c r="AD1771" s="18" t="n">
        <v>46181</v>
      </c>
      <c r="AE1771" s="13" t="s">
        <v>397</v>
      </c>
    </row>
    <row r="1772" customFormat="false" ht="15" hidden="false" customHeight="true" outlineLevel="0" collapsed="false">
      <c r="A1772" s="12" t="n">
        <v>18051</v>
      </c>
      <c r="B1772" s="13" t="s">
        <v>7702</v>
      </c>
      <c r="C1772" s="14" t="n">
        <v>45647</v>
      </c>
      <c r="D1772" s="13" t="s">
        <v>393</v>
      </c>
      <c r="E1772" s="15" t="s">
        <v>47</v>
      </c>
      <c r="F1772" s="15" t="str">
        <f aca="false">IFERROR(__xludf.dummyfunction("XLOOKUP(AJ1772,IMPORTRANGE(""1XaInW9DU9nz21V0tYIfzFQ0He9kVQ_JF2mCXgZ3hqFA"",""REKAP ALL 2026 - Andika!G:G""),IMPORTRANGE(""1XaInW9DU9nz21V0tYIfzFQ0He9kVQ_JF2mCXgZ3hqFA"",""REKAP ALL 2026 - Andika!F:F""),"""",0)"),"13011167189")</f>
        <v>13011167189</v>
      </c>
      <c r="G1772" s="15" t="s">
        <v>7703</v>
      </c>
      <c r="H1772" s="13" t="s">
        <v>35</v>
      </c>
      <c r="I1772" s="13" t="str">
        <f aca="false">IF(C1772=J1772,"NEW KONTRAK","RE-KONTRAK")</f>
        <v>NEW KONTRAK</v>
      </c>
      <c r="J1772" s="16" t="n">
        <f aca="false" t="array" ref="J1772:J1772">IFERROR(INDEX(AC1772:AE1772,IF(COUNTA(AC1772:AE1772)=0,"",MAX((AC1772:AE1772&lt;&gt;"")*(COLUMN(AC1772:AE1772)-(COLUMN(AC1772)))))-1),"")</f>
        <v>45647</v>
      </c>
      <c r="K1772" s="16" t="n">
        <f aca="false" t="array" ref="K1772:K1772">IFERROR(INDEX(AC1772:AE1772,IF(COUNTA(AC1772:AE1772)=0,"",MAX((AC1772:AE1772&lt;&gt;"")*(COLUMN(AC1772:AE1772)-(COLUMN(AC1772)-1))))-1),"")</f>
        <v>46181</v>
      </c>
      <c r="L1772" s="17" t="str">
        <f aca="false" t="array" ref="L1772:L1772">IFERROR(INDEX(AC1772:AE1772,IF(COUNTA(AC1772:AE1772)=0,"",MAX((AC1772:AE1772&lt;&gt;"")*(COLUMN(AC1772:AE1772)-(COLUMN(AC1772)-2))))-1),"")</f>
        <v>KEMBALI</v>
      </c>
      <c r="M1772" s="13" t="n">
        <f aca="true">K1772-TODAY()</f>
        <v>-143</v>
      </c>
      <c r="N1772" s="18" t="s">
        <v>105</v>
      </c>
      <c r="O1772" s="13" t="s">
        <v>58</v>
      </c>
      <c r="P1772" s="19" t="n">
        <v>5191541</v>
      </c>
      <c r="Q1772" s="20" t="s">
        <v>7704</v>
      </c>
      <c r="R1772" s="13" t="s">
        <v>232</v>
      </c>
      <c r="S1772" s="14" t="n">
        <v>30297</v>
      </c>
      <c r="T1772" s="13" t="s">
        <v>40</v>
      </c>
      <c r="U1772" s="13" t="s">
        <v>7705</v>
      </c>
      <c r="V1772" s="13" t="s">
        <v>42</v>
      </c>
      <c r="W1772" s="13" t="s">
        <v>54</v>
      </c>
      <c r="X1772" s="21" t="n">
        <v>82330917447</v>
      </c>
      <c r="Y1772" s="22" t="str">
        <f aca="false">O1772</f>
        <v>Produksi</v>
      </c>
      <c r="Z1772" s="13" t="str">
        <f aca="false">IFERROR(__xludf.dummyfunction("if(BJ1772="""","""",GOOGLETRANSLATE(BJ1772,""auto"",""en""))"),"Production")</f>
        <v>Production</v>
      </c>
      <c r="AA1772" s="23" t="str">
        <f aca="false">IF(C1772="","", CHOOSE(MONTH(C1772),"January","February","March","April","May","June","July","August","September","October","November","December")&amp;" "&amp;DAY(C1772)&amp;MID("thstndrdth",MIN(9,2*RIGHT(DAY(C1772))*(MOD(DAY(C1772)-11,100)&gt;2)+1),2)&amp;","&amp;TEXT(C1772," yyyy"))</f>
        <v>December 21st,2024</v>
      </c>
      <c r="AB1772" s="15" t="str">
        <f aca="true">IF(S1772="","",DATEDIF(S1772,TODAY(),"Y")&amp;" Tahun, "&amp;DATEDIF(S1772,TODAY(),"YM")&amp;" Bulan, "&amp;DATEDIF(S1772,TODAY(),"MD")&amp;" Hari")</f>
        <v>43 Tahun, 10 Bulan, 17 Hari</v>
      </c>
      <c r="AC1772" s="18" t="n">
        <v>45647</v>
      </c>
      <c r="AD1772" s="18" t="n">
        <v>46181</v>
      </c>
      <c r="AE1772" s="13" t="s">
        <v>397</v>
      </c>
    </row>
    <row r="1773" customFormat="false" ht="15" hidden="false" customHeight="true" outlineLevel="0" collapsed="false">
      <c r="A1773" s="12" t="n">
        <v>18052</v>
      </c>
      <c r="B1773" s="13" t="s">
        <v>7706</v>
      </c>
      <c r="C1773" s="14" t="n">
        <v>45647</v>
      </c>
      <c r="D1773" s="13" t="s">
        <v>393</v>
      </c>
      <c r="E1773" s="15" t="s">
        <v>47</v>
      </c>
      <c r="F1773" s="15" t="str">
        <f aca="false">IFERROR(__xludf.dummyfunction("XLOOKUP(AJ1773,IMPORTRANGE(""1XaInW9DU9nz21V0tYIfzFQ0He9kVQ_JF2mCXgZ3hqFA"",""REKAP ALL 2026 - Andika!G:G""),IMPORTRANGE(""1XaInW9DU9nz21V0tYIfzFQ0He9kVQ_JF2mCXgZ3hqFA"",""REKAP ALL 2026 - Andika!F:F""),"""",0)"),"12039377572")</f>
        <v>12039377572</v>
      </c>
      <c r="G1773" s="15" t="s">
        <v>7707</v>
      </c>
      <c r="H1773" s="13" t="s">
        <v>35</v>
      </c>
      <c r="I1773" s="13" t="str">
        <f aca="false">IF(C1773=J1773,"NEW KONTRAK","RE-KONTRAK")</f>
        <v>NEW KONTRAK</v>
      </c>
      <c r="J1773" s="16" t="n">
        <f aca="false" t="array" ref="J1773:J1773">IFERROR(INDEX(AC1773:AE1773,IF(COUNTA(AC1773:AE1773)=0,"",MAX((AC1773:AE1773&lt;&gt;"")*(COLUMN(AC1773:AE1773)-(COLUMN(AC1773)))))-1),"")</f>
        <v>45647</v>
      </c>
      <c r="K1773" s="16" t="n">
        <f aca="false" t="array" ref="K1773:K1773">IFERROR(INDEX(AC1773:AE1773,IF(COUNTA(AC1773:AE1773)=0,"",MAX((AC1773:AE1773&lt;&gt;"")*(COLUMN(AC1773:AE1773)-(COLUMN(AC1773)-1))))-1),"")</f>
        <v>46181</v>
      </c>
      <c r="L1773" s="17" t="str">
        <f aca="false" t="array" ref="L1773:L1773">IFERROR(INDEX(AC1773:AE1773,IF(COUNTA(AC1773:AE1773)=0,"",MAX((AC1773:AE1773&lt;&gt;"")*(COLUMN(AC1773:AE1773)-(COLUMN(AC1773)-2))))-1),"")</f>
        <v>KEMBALI</v>
      </c>
      <c r="M1773" s="13" t="n">
        <f aca="true">K1773-TODAY()</f>
        <v>-143</v>
      </c>
      <c r="N1773" s="18" t="s">
        <v>105</v>
      </c>
      <c r="O1773" s="13" t="s">
        <v>58</v>
      </c>
      <c r="P1773" s="19" t="n">
        <v>5191541</v>
      </c>
      <c r="Q1773" s="20" t="s">
        <v>7708</v>
      </c>
      <c r="R1773" s="13" t="s">
        <v>39</v>
      </c>
      <c r="S1773" s="14" t="n">
        <v>31937</v>
      </c>
      <c r="T1773" s="13" t="s">
        <v>40</v>
      </c>
      <c r="U1773" s="13" t="s">
        <v>6481</v>
      </c>
      <c r="V1773" s="13" t="s">
        <v>42</v>
      </c>
      <c r="W1773" s="13" t="s">
        <v>54</v>
      </c>
      <c r="X1773" s="21" t="n">
        <v>89508047127</v>
      </c>
      <c r="Y1773" s="22" t="str">
        <f aca="false">O1773</f>
        <v>Produksi</v>
      </c>
      <c r="Z1773" s="13" t="str">
        <f aca="false">IFERROR(__xludf.dummyfunction("if(BJ1773="""","""",GOOGLETRANSLATE(BJ1773,""auto"",""en""))"),"Production")</f>
        <v>Production</v>
      </c>
      <c r="AA1773" s="23" t="str">
        <f aca="false">IF(C1773="","", CHOOSE(MONTH(C1773),"January","February","March","April","May","June","July","August","September","October","November","December")&amp;" "&amp;DAY(C1773)&amp;MID("thstndrdth",MIN(9,2*RIGHT(DAY(C1773))*(MOD(DAY(C1773)-11,100)&gt;2)+1),2)&amp;","&amp;TEXT(C1773," yyyy"))</f>
        <v>December 21st,2024</v>
      </c>
      <c r="AB1773" s="15" t="str">
        <f aca="true">IF(S1773="","",DATEDIF(S1773,TODAY(),"Y")&amp;" Tahun, "&amp;DATEDIF(S1773,TODAY(),"YM")&amp;" Bulan, "&amp;DATEDIF(S1773,TODAY(),"MD")&amp;" Hari")</f>
        <v>39 Tahun, 4 Bulan, 20 Hari</v>
      </c>
      <c r="AC1773" s="18" t="n">
        <v>45647</v>
      </c>
      <c r="AD1773" s="18" t="n">
        <v>46181</v>
      </c>
      <c r="AE1773" s="13" t="s">
        <v>397</v>
      </c>
    </row>
    <row r="1774" customFormat="false" ht="15" hidden="false" customHeight="true" outlineLevel="0" collapsed="false">
      <c r="A1774" s="12" t="n">
        <v>18053</v>
      </c>
      <c r="B1774" s="13" t="s">
        <v>7709</v>
      </c>
      <c r="C1774" s="14" t="n">
        <v>45647</v>
      </c>
      <c r="D1774" s="13" t="s">
        <v>393</v>
      </c>
      <c r="E1774" s="15" t="s">
        <v>47</v>
      </c>
      <c r="F1774" s="15" t="str">
        <f aca="false">IFERROR(__xludf.dummyfunction("XLOOKUP(AJ1774,IMPORTRANGE(""1XaInW9DU9nz21V0tYIfzFQ0He9kVQ_JF2mCXgZ3hqFA"",""REKAP ALL 2026 - Andika!G:G""),IMPORTRANGE(""1XaInW9DU9nz21V0tYIfzFQ0He9kVQ_JF2mCXgZ3hqFA"",""REKAP ALL 2026 - Andika!F:F""),"""",0)"),"13011167122")</f>
        <v>13011167122</v>
      </c>
      <c r="G1774" s="15" t="s">
        <v>7710</v>
      </c>
      <c r="H1774" s="13" t="s">
        <v>35</v>
      </c>
      <c r="I1774" s="13" t="str">
        <f aca="false">IF(C1774=J1774,"NEW KONTRAK","RE-KONTRAK")</f>
        <v>NEW KONTRAK</v>
      </c>
      <c r="J1774" s="16" t="n">
        <f aca="false" t="array" ref="J1774:J1774">IFERROR(INDEX(AC1774:AE1774,IF(COUNTA(AC1774:AE1774)=0,"",MAX((AC1774:AE1774&lt;&gt;"")*(COLUMN(AC1774:AE1774)-(COLUMN(AC1774)))))-1),"")</f>
        <v>45647</v>
      </c>
      <c r="K1774" s="16" t="n">
        <f aca="false" t="array" ref="K1774:K1774">IFERROR(INDEX(AC1774:AE1774,IF(COUNTA(AC1774:AE1774)=0,"",MAX((AC1774:AE1774&lt;&gt;"")*(COLUMN(AC1774:AE1774)-(COLUMN(AC1774)-1))))-1),"")</f>
        <v>46181</v>
      </c>
      <c r="L1774" s="17" t="str">
        <f aca="false" t="array" ref="L1774:L1774">IFERROR(INDEX(AC1774:AE1774,IF(COUNTA(AC1774:AE1774)=0,"",MAX((AC1774:AE1774&lt;&gt;"")*(COLUMN(AC1774:AE1774)-(COLUMN(AC1774)-2))))-1),"")</f>
        <v>KEMBALI</v>
      </c>
      <c r="M1774" s="13" t="n">
        <f aca="true">K1774-TODAY()</f>
        <v>-143</v>
      </c>
      <c r="N1774" s="18" t="s">
        <v>105</v>
      </c>
      <c r="O1774" s="13" t="s">
        <v>58</v>
      </c>
      <c r="P1774" s="19" t="n">
        <v>5191541</v>
      </c>
      <c r="Q1774" s="20" t="s">
        <v>7711</v>
      </c>
      <c r="R1774" s="13" t="s">
        <v>39</v>
      </c>
      <c r="S1774" s="14" t="n">
        <v>27853</v>
      </c>
      <c r="T1774" s="13" t="s">
        <v>40</v>
      </c>
      <c r="U1774" s="13" t="s">
        <v>7712</v>
      </c>
      <c r="V1774" s="13" t="s">
        <v>42</v>
      </c>
      <c r="W1774" s="13" t="s">
        <v>54</v>
      </c>
      <c r="X1774" s="21" t="n">
        <v>81246167081</v>
      </c>
      <c r="Y1774" s="22" t="str">
        <f aca="false">O1774</f>
        <v>Produksi</v>
      </c>
      <c r="Z1774" s="13" t="str">
        <f aca="false">IFERROR(__xludf.dummyfunction("if(BJ1774="""","""",GOOGLETRANSLATE(BJ1774,""auto"",""en""))"),"Production")</f>
        <v>Production</v>
      </c>
      <c r="AA1774" s="23" t="str">
        <f aca="false">IF(C1774="","", CHOOSE(MONTH(C1774),"January","February","March","April","May","June","July","August","September","October","November","December")&amp;" "&amp;DAY(C1774)&amp;MID("thstndrdth",MIN(9,2*RIGHT(DAY(C1774))*(MOD(DAY(C1774)-11,100)&gt;2)+1),2)&amp;","&amp;TEXT(C1774," yyyy"))</f>
        <v>December 21st,2024</v>
      </c>
      <c r="AB1774" s="15" t="str">
        <f aca="true">IF(S1774="","",DATEDIF(S1774,TODAY(),"Y")&amp;" Tahun, "&amp;DATEDIF(S1774,TODAY(),"YM")&amp;" Bulan, "&amp;DATEDIF(S1774,TODAY(),"MD")&amp;" Hari")</f>
        <v>50 Tahun, 6 Bulan, 26 Hari</v>
      </c>
      <c r="AC1774" s="18" t="n">
        <v>45647</v>
      </c>
      <c r="AD1774" s="18" t="n">
        <v>46181</v>
      </c>
      <c r="AE1774" s="13" t="s">
        <v>397</v>
      </c>
    </row>
    <row r="1775" customFormat="false" ht="15" hidden="false" customHeight="true" outlineLevel="0" collapsed="false">
      <c r="A1775" s="12" t="n">
        <v>18055</v>
      </c>
      <c r="B1775" s="13" t="s">
        <v>7713</v>
      </c>
      <c r="C1775" s="14" t="n">
        <v>45649</v>
      </c>
      <c r="D1775" s="13" t="s">
        <v>6623</v>
      </c>
      <c r="E1775" s="15" t="s">
        <v>102</v>
      </c>
      <c r="F1775" s="15" t="str">
        <f aca="false">IFERROR(__xludf.dummyfunction("XLOOKUP(AJ1775,IMPORTRANGE(""1XaInW9DU9nz21V0tYIfzFQ0He9kVQ_JF2mCXgZ3hqFA"",""REKAP ALL 2026 - Andika!G:G""),IMPORTRANGE(""1XaInW9DU9nz21V0tYIfzFQ0He9kVQ_JF2mCXgZ3hqFA"",""REKAP ALL 2026 - Andika!F:F""),"""",0)"),"25008050822")</f>
        <v>25008050822</v>
      </c>
      <c r="G1775" s="15" t="s">
        <v>2809</v>
      </c>
      <c r="H1775" s="13" t="s">
        <v>35</v>
      </c>
      <c r="I1775" s="13" t="str">
        <f aca="false">IF(C1775=J1775,"NEW KONTRAK","RE-KONTRAK")</f>
        <v>RE-KONTRAK</v>
      </c>
      <c r="J1775" s="16" t="n">
        <f aca="false" t="array" ref="J1775:J1775">IFERROR(INDEX(AC1775:AE1775,IF(COUNTA(AC1775:AE1775)=0,"",MAX((AC1775:AE1775&lt;&gt;"")*(COLUMN(AC1775:AE1775)-(COLUMN(AC1775)))))-1),"")</f>
        <v>45831</v>
      </c>
      <c r="K1775" s="16" t="n">
        <f aca="false" t="array" ref="K1775:K1775">IFERROR(INDEX(AC1775:AE1775,IF(COUNTA(AC1775:AE1775)=0,"",MAX((AC1775:AE1775&lt;&gt;"")*(COLUMN(AC1775:AE1775)-(COLUMN(AC1775)-1))))-1),"")</f>
        <v>46215</v>
      </c>
      <c r="L1775" s="17" t="str">
        <f aca="false" t="array" ref="L1775:L1775">IFERROR(INDEX(AC1775:AE1775,IF(COUNTA(AC1775:AE1775)=0,"",MAX((AC1775:AE1775&lt;&gt;"")*(COLUMN(AC1775:AE1775)-(COLUMN(AC1775)-2))))-1),"")</f>
        <v>ARCHIVED</v>
      </c>
      <c r="M1775" s="13" t="n">
        <f aca="true">K1775-TODAY()</f>
        <v>-109</v>
      </c>
      <c r="N1775" s="18" t="s">
        <v>728</v>
      </c>
      <c r="O1775" s="13" t="s">
        <v>3599</v>
      </c>
      <c r="P1775" s="19" t="n">
        <v>2200000</v>
      </c>
      <c r="Q1775" s="20" t="s">
        <v>7714</v>
      </c>
      <c r="R1775" s="13" t="s">
        <v>7715</v>
      </c>
      <c r="S1775" s="14" t="n">
        <v>34750</v>
      </c>
      <c r="T1775" s="13" t="s">
        <v>40</v>
      </c>
      <c r="U1775" s="13" t="s">
        <v>7716</v>
      </c>
      <c r="V1775" s="13" t="s">
        <v>42</v>
      </c>
      <c r="W1775" s="13" t="s">
        <v>54</v>
      </c>
      <c r="X1775" s="21" t="n">
        <v>85218414610</v>
      </c>
      <c r="Y1775" s="22" t="str">
        <f aca="false">O1775</f>
        <v>Admin Gudang</v>
      </c>
      <c r="Z1775" s="13" t="str">
        <f aca="false">IFERROR(__xludf.dummyfunction("if(BJ1775="""","""",GOOGLETRANSLATE(BJ1775,""auto"",""en""))"),"Warehouse Admin")</f>
        <v>Warehouse Admin</v>
      </c>
      <c r="AA1775" s="23" t="str">
        <f aca="false">IF(C1775="","", CHOOSE(MONTH(C1775),"January","February","March","April","May","June","July","August","September","October","November","December")&amp;" "&amp;DAY(C1775)&amp;MID("thstndrdth",MIN(9,2*RIGHT(DAY(C1775))*(MOD(DAY(C1775)-11,100)&gt;2)+1),2)&amp;","&amp;TEXT(C1775," yyyy"))</f>
        <v>December 23rd,2024</v>
      </c>
      <c r="AB1775" s="15" t="str">
        <f aca="true">IF(S1775="","",DATEDIF(S1775,TODAY(),"Y")&amp;" Tahun, "&amp;DATEDIF(S1775,TODAY(),"YM")&amp;" Bulan, "&amp;DATEDIF(S1775,TODAY(),"MD")&amp;" Hari")</f>
        <v>31 Tahun, 8 Bulan, 9 Hari</v>
      </c>
      <c r="AC1775" s="18" t="n">
        <v>45831</v>
      </c>
      <c r="AD1775" s="18" t="n">
        <v>46215</v>
      </c>
      <c r="AE1775" s="18" t="s">
        <v>44</v>
      </c>
    </row>
    <row r="1776" customFormat="false" ht="15" hidden="false" customHeight="true" outlineLevel="0" collapsed="false">
      <c r="A1776" s="12" t="n">
        <v>18118</v>
      </c>
      <c r="B1776" s="13" t="s">
        <v>7717</v>
      </c>
      <c r="C1776" s="14" t="n">
        <v>45659</v>
      </c>
      <c r="D1776" s="13" t="s">
        <v>6956</v>
      </c>
      <c r="E1776" s="15" t="s">
        <v>47</v>
      </c>
      <c r="F1776" s="15" t="str">
        <f aca="false">IFERROR(__xludf.dummyfunction("XLOOKUP(AJ1776,IMPORTRANGE(""1XaInW9DU9nz21V0tYIfzFQ0He9kVQ_JF2mCXgZ3hqFA"",""REKAP ALL 2026 - Andika!G:G""),IMPORTRANGE(""1XaInW9DU9nz21V0tYIfzFQ0He9kVQ_JF2mCXgZ3hqFA"",""REKAP ALL 2026 - Andika!F:F""),"""",0)"),"25011041297")</f>
        <v>25011041297</v>
      </c>
      <c r="G1776" s="15" t="s">
        <v>7718</v>
      </c>
      <c r="H1776" s="13" t="s">
        <v>35</v>
      </c>
      <c r="I1776" s="13" t="str">
        <f aca="false">IF(C1776=J1776,"NEW KONTRAK","RE-KONTRAK")</f>
        <v>RE-KONTRAK</v>
      </c>
      <c r="J1776" s="16" t="n">
        <f aca="false" t="array" ref="J1776:J1776">IFERROR(INDEX(AC1776:AE1776,IF(COUNTA(AC1776:AE1776)=0,"",MAX((AC1776:AE1776&lt;&gt;"")*(COLUMN(AC1776:AE1776)-(COLUMN(AC1776)))))-1),"")</f>
        <v>45840</v>
      </c>
      <c r="K1776" s="16" t="n">
        <f aca="false" t="array" ref="K1776:K1776">IFERROR(INDEX(AC1776:AE1776,IF(COUNTA(AC1776:AE1776)=0,"",MAX((AC1776:AE1776&lt;&gt;"")*(COLUMN(AC1776:AE1776)-(COLUMN(AC1776)-1))))-1),"")</f>
        <v>46022</v>
      </c>
      <c r="L1776" s="17" t="str">
        <f aca="false" t="array" ref="L1776:L1776">IFERROR(INDEX(AC1776:AE1776,IF(COUNTA(AC1776:AE1776)=0,"",MAX((AC1776:AE1776&lt;&gt;"")*(COLUMN(AC1776:AE1776)-(COLUMN(AC1776)-2))))-1),"")</f>
        <v>ARCHIVED</v>
      </c>
      <c r="M1776" s="13" t="n">
        <f aca="true">K1776-TODAY()</f>
        <v>-302</v>
      </c>
      <c r="N1776" s="18" t="s">
        <v>728</v>
      </c>
      <c r="O1776" s="13" t="s">
        <v>5783</v>
      </c>
      <c r="P1776" s="19" t="n">
        <v>200000</v>
      </c>
      <c r="Q1776" s="20" t="s">
        <v>7719</v>
      </c>
      <c r="R1776" s="13" t="s">
        <v>78</v>
      </c>
      <c r="S1776" s="14" t="n">
        <v>34672</v>
      </c>
      <c r="T1776" s="13" t="s">
        <v>108</v>
      </c>
      <c r="U1776" s="13" t="s">
        <v>7720</v>
      </c>
      <c r="V1776" s="13" t="s">
        <v>42</v>
      </c>
      <c r="W1776" s="13" t="s">
        <v>43</v>
      </c>
      <c r="X1776" s="21" t="n">
        <v>85546529133</v>
      </c>
      <c r="Y1776" s="22" t="str">
        <f aca="false">O1776</f>
        <v>QC</v>
      </c>
      <c r="Z1776" s="13" t="str">
        <f aca="false">IFERROR(__xludf.dummyfunction("if(BJ1776="""","""",GOOGLETRANSLATE(BJ1776,""auto"",""en""))"),"QC")</f>
        <v>QC</v>
      </c>
      <c r="AA1776" s="23" t="str">
        <f aca="false">IF(C1776="","", CHOOSE(MONTH(C1776),"January","February","March","April","May","June","July","August","September","October","November","December")&amp;" "&amp;DAY(C1776)&amp;MID("thstndrdth",MIN(9,2*RIGHT(DAY(C1776))*(MOD(DAY(C1776)-11,100)&gt;2)+1),2)&amp;","&amp;TEXT(C1776," yyyy"))</f>
        <v>January 2nd,2025</v>
      </c>
      <c r="AB1776" s="15" t="str">
        <f aca="true">IF(S1776="","",DATEDIF(S1776,TODAY(),"Y")&amp;" Tahun, "&amp;DATEDIF(S1776,TODAY(),"YM")&amp;" Bulan, "&amp;DATEDIF(S1776,TODAY(),"MD")&amp;" Hari")</f>
        <v>31 Tahun, 10 Bulan, 25 Hari</v>
      </c>
      <c r="AC1776" s="18" t="n">
        <v>45840</v>
      </c>
      <c r="AD1776" s="18" t="n">
        <v>46022</v>
      </c>
      <c r="AE1776" s="18" t="s">
        <v>44</v>
      </c>
    </row>
    <row r="1777" customFormat="false" ht="15" hidden="false" customHeight="true" outlineLevel="0" collapsed="false">
      <c r="A1777" s="12" t="n">
        <v>18120</v>
      </c>
      <c r="B1777" s="13" t="s">
        <v>7721</v>
      </c>
      <c r="C1777" s="14" t="n">
        <v>45659</v>
      </c>
      <c r="D1777" s="13" t="s">
        <v>6956</v>
      </c>
      <c r="E1777" s="15" t="s">
        <v>33</v>
      </c>
      <c r="F1777" s="24" t="s">
        <v>7722</v>
      </c>
      <c r="G1777" s="15" t="s">
        <v>7723</v>
      </c>
      <c r="H1777" s="13" t="s">
        <v>35</v>
      </c>
      <c r="I1777" s="13" t="str">
        <f aca="false">IF(C1777=J1777,"NEW KONTRAK","RE-KONTRAK")</f>
        <v>RE-KONTRAK</v>
      </c>
      <c r="J1777" s="16" t="n">
        <f aca="false" t="array" ref="J1777:J1777">IFERROR(INDEX(AC1777:AE1777,IF(COUNTA(AC1777:AE1777)=0,"",MAX((AC1777:AE1777&lt;&gt;"")*(COLUMN(AC1777:AE1777)-(COLUMN(AC1777)))))-1),"")</f>
        <v>45840</v>
      </c>
      <c r="K1777" s="16" t="n">
        <f aca="false" t="array" ref="K1777:K1777">IFERROR(INDEX(AC1777:AE1777,IF(COUNTA(AC1777:AE1777)=0,"",MAX((AC1777:AE1777&lt;&gt;"")*(COLUMN(AC1777:AE1777)-(COLUMN(AC1777)-1))))-1),"")</f>
        <v>46022</v>
      </c>
      <c r="L1777" s="17" t="str">
        <f aca="false" t="array" ref="L1777:L1777">IFERROR(INDEX(AC1777:AE1777,IF(COUNTA(AC1777:AE1777)=0,"",MAX((AC1777:AE1777&lt;&gt;"")*(COLUMN(AC1777:AE1777)-(COLUMN(AC1777)-2))))-1),"")</f>
        <v>ARCHIVED</v>
      </c>
      <c r="M1777" s="13" t="n">
        <f aca="true">K1777-TODAY()</f>
        <v>-302</v>
      </c>
      <c r="N1777" s="18" t="s">
        <v>728</v>
      </c>
      <c r="O1777" s="13" t="s">
        <v>7724</v>
      </c>
      <c r="P1777" s="19" t="n">
        <v>185000</v>
      </c>
      <c r="Q1777" s="20" t="s">
        <v>7725</v>
      </c>
      <c r="R1777" s="13" t="s">
        <v>826</v>
      </c>
      <c r="S1777" s="14" t="n">
        <v>35983</v>
      </c>
      <c r="T1777" s="13" t="s">
        <v>108</v>
      </c>
      <c r="U1777" s="13" t="s">
        <v>7726</v>
      </c>
      <c r="V1777" s="13" t="s">
        <v>42</v>
      </c>
      <c r="W1777" s="13" t="s">
        <v>54</v>
      </c>
      <c r="X1777" s="21" t="n">
        <v>85604389427</v>
      </c>
      <c r="Y1777" s="22" t="str">
        <f aca="false">O1777</f>
        <v>GBMP</v>
      </c>
      <c r="Z1777" s="13" t="str">
        <f aca="false">IFERROR(__xludf.dummyfunction("if(BJ1777="""","""",GOOGLETRANSLATE(BJ1777,""auto"",""en""))"),"GBMP")</f>
        <v>GBMP</v>
      </c>
      <c r="AA1777" s="23" t="str">
        <f aca="false">IF(C1777="","", CHOOSE(MONTH(C1777),"January","February","March","April","May","June","July","August","September","October","November","December")&amp;" "&amp;DAY(C1777)&amp;MID("thstndrdth",MIN(9,2*RIGHT(DAY(C1777))*(MOD(DAY(C1777)-11,100)&gt;2)+1),2)&amp;","&amp;TEXT(C1777," yyyy"))</f>
        <v>January 2nd,2025</v>
      </c>
      <c r="AB1777" s="15" t="str">
        <f aca="true">IF(S1777="","",DATEDIF(S1777,TODAY(),"Y")&amp;" Tahun, "&amp;DATEDIF(S1777,TODAY(),"YM")&amp;" Bulan, "&amp;DATEDIF(S1777,TODAY(),"MD")&amp;" Hari")</f>
        <v>28 Tahun, 3 Bulan, 22 Hari</v>
      </c>
      <c r="AC1777" s="18" t="n">
        <v>45840</v>
      </c>
      <c r="AD1777" s="18" t="n">
        <v>46022</v>
      </c>
      <c r="AE1777" s="18" t="s">
        <v>44</v>
      </c>
    </row>
    <row r="1778" customFormat="false" ht="15" hidden="false" customHeight="true" outlineLevel="0" collapsed="false">
      <c r="A1778" s="12" t="n">
        <v>18121</v>
      </c>
      <c r="B1778" s="13" t="s">
        <v>7727</v>
      </c>
      <c r="C1778" s="14" t="n">
        <v>45659</v>
      </c>
      <c r="D1778" s="13" t="s">
        <v>6956</v>
      </c>
      <c r="E1778" s="15" t="s">
        <v>47</v>
      </c>
      <c r="F1778" s="15" t="str">
        <f aca="false">IFERROR(__xludf.dummyfunction("XLOOKUP(AJ1778,IMPORTRANGE(""1XaInW9DU9nz21V0tYIfzFQ0He9kVQ_JF2mCXgZ3hqFA"",""REKAP ALL 2026 - Andika!G:G""),IMPORTRANGE(""1XaInW9DU9nz21V0tYIfzFQ0He9kVQ_JF2mCXgZ3hqFA"",""REKAP ALL 2026 - Andika!F:F""),"""",0)"),"25011041321")</f>
        <v>25011041321</v>
      </c>
      <c r="G1778" s="15" t="s">
        <v>7728</v>
      </c>
      <c r="H1778" s="13" t="s">
        <v>35</v>
      </c>
      <c r="I1778" s="13" t="str">
        <f aca="false">IF(C1778=J1778,"NEW KONTRAK","RE-KONTRAK")</f>
        <v>RE-KONTRAK</v>
      </c>
      <c r="J1778" s="16" t="n">
        <f aca="false" t="array" ref="J1778:J1778">IFERROR(INDEX(AC1778:AE1778,IF(COUNTA(AC1778:AE1778)=0,"",MAX((AC1778:AE1778&lt;&gt;"")*(COLUMN(AC1778:AE1778)-(COLUMN(AC1778)))))-1),"")</f>
        <v>45840</v>
      </c>
      <c r="K1778" s="16" t="n">
        <f aca="false" t="array" ref="K1778:K1778">IFERROR(INDEX(AC1778:AE1778,IF(COUNTA(AC1778:AE1778)=0,"",MAX((AC1778:AE1778&lt;&gt;"")*(COLUMN(AC1778:AE1778)-(COLUMN(AC1778)-1))))-1),"")</f>
        <v>46022</v>
      </c>
      <c r="L1778" s="17" t="str">
        <f aca="false" t="array" ref="L1778:L1778">IFERROR(INDEX(AC1778:AE1778,IF(COUNTA(AC1778:AE1778)=0,"",MAX((AC1778:AE1778&lt;&gt;"")*(COLUMN(AC1778:AE1778)-(COLUMN(AC1778)-2))))-1),"")</f>
        <v>ARCHIVED</v>
      </c>
      <c r="M1778" s="13" t="n">
        <f aca="true">K1778-TODAY()</f>
        <v>-302</v>
      </c>
      <c r="N1778" s="18" t="s">
        <v>728</v>
      </c>
      <c r="O1778" s="13" t="s">
        <v>5783</v>
      </c>
      <c r="P1778" s="19" t="n">
        <v>200000</v>
      </c>
      <c r="Q1778" s="20" t="s">
        <v>7729</v>
      </c>
      <c r="R1778" s="13" t="s">
        <v>227</v>
      </c>
      <c r="S1778" s="14" t="n">
        <v>30789</v>
      </c>
      <c r="T1778" s="13" t="s">
        <v>108</v>
      </c>
      <c r="U1778" s="13" t="s">
        <v>7730</v>
      </c>
      <c r="V1778" s="13" t="s">
        <v>42</v>
      </c>
      <c r="W1778" s="13" t="s">
        <v>54</v>
      </c>
      <c r="X1778" s="21" t="n">
        <v>87854124235</v>
      </c>
      <c r="Y1778" s="22" t="str">
        <f aca="false">O1778</f>
        <v>QC</v>
      </c>
      <c r="Z1778" s="13" t="str">
        <f aca="false">IFERROR(__xludf.dummyfunction("if(BJ1778="""","""",GOOGLETRANSLATE(BJ1778,""auto"",""en""))"),"QC")</f>
        <v>QC</v>
      </c>
      <c r="AA1778" s="23" t="str">
        <f aca="false">IF(C1778="","", CHOOSE(MONTH(C1778),"January","February","March","April","May","June","July","August","September","October","November","December")&amp;" "&amp;DAY(C1778)&amp;MID("thstndrdth",MIN(9,2*RIGHT(DAY(C1778))*(MOD(DAY(C1778)-11,100)&gt;2)+1),2)&amp;","&amp;TEXT(C1778," yyyy"))</f>
        <v>January 2nd,2025</v>
      </c>
      <c r="AB1778" s="15" t="str">
        <f aca="true">IF(S1778="","",DATEDIF(S1778,TODAY(),"Y")&amp;" Tahun, "&amp;DATEDIF(S1778,TODAY(),"YM")&amp;" Bulan, "&amp;DATEDIF(S1778,TODAY(),"MD")&amp;" Hari")</f>
        <v>42 Tahun, 6 Bulan, 12 Hari</v>
      </c>
      <c r="AC1778" s="18" t="n">
        <v>45840</v>
      </c>
      <c r="AD1778" s="18" t="n">
        <v>46022</v>
      </c>
      <c r="AE1778" s="18" t="s">
        <v>44</v>
      </c>
    </row>
    <row r="1779" customFormat="false" ht="15" hidden="false" customHeight="true" outlineLevel="0" collapsed="false">
      <c r="A1779" s="12" t="n">
        <v>18122</v>
      </c>
      <c r="B1779" s="13" t="s">
        <v>7731</v>
      </c>
      <c r="C1779" s="14" t="n">
        <v>45659</v>
      </c>
      <c r="D1779" s="13" t="s">
        <v>6956</v>
      </c>
      <c r="E1779" s="15" t="s">
        <v>47</v>
      </c>
      <c r="F1779" s="15" t="str">
        <f aca="false">IFERROR(__xludf.dummyfunction("XLOOKUP(AJ1779,IMPORTRANGE(""1XaInW9DU9nz21V0tYIfzFQ0He9kVQ_JF2mCXgZ3hqFA"",""REKAP ALL 2026 - Andika!G:G""),IMPORTRANGE(""1XaInW9DU9nz21V0tYIfzFQ0He9kVQ_JF2mCXgZ3hqFA"",""REKAP ALL 2026 - Andika!F:F""),"""",0)"),"25011041339")</f>
        <v>25011041339</v>
      </c>
      <c r="G1779" s="15" t="s">
        <v>7732</v>
      </c>
      <c r="H1779" s="13" t="s">
        <v>35</v>
      </c>
      <c r="I1779" s="13" t="str">
        <f aca="false">IF(C1779=J1779,"NEW KONTRAK","RE-KONTRAK")</f>
        <v>RE-KONTRAK</v>
      </c>
      <c r="J1779" s="16" t="n">
        <f aca="false" t="array" ref="J1779:J1779">IFERROR(INDEX(AC1779:AE1779,IF(COUNTA(AC1779:AE1779)=0,"",MAX((AC1779:AE1779&lt;&gt;"")*(COLUMN(AC1779:AE1779)-(COLUMN(AC1779)))))-1),"")</f>
        <v>45840</v>
      </c>
      <c r="K1779" s="16" t="n">
        <f aca="false" t="array" ref="K1779:K1779">IFERROR(INDEX(AC1779:AE1779,IF(COUNTA(AC1779:AE1779)=0,"",MAX((AC1779:AE1779&lt;&gt;"")*(COLUMN(AC1779:AE1779)-(COLUMN(AC1779)-1))))-1),"")</f>
        <v>46022</v>
      </c>
      <c r="L1779" s="17" t="str">
        <f aca="false" t="array" ref="L1779:L1779">IFERROR(INDEX(AC1779:AE1779,IF(COUNTA(AC1779:AE1779)=0,"",MAX((AC1779:AE1779&lt;&gt;"")*(COLUMN(AC1779:AE1779)-(COLUMN(AC1779)-2))))-1),"")</f>
        <v>ARCHIVED</v>
      </c>
      <c r="M1779" s="13" t="n">
        <f aca="true">K1779-TODAY()</f>
        <v>-302</v>
      </c>
      <c r="N1779" s="18" t="s">
        <v>728</v>
      </c>
      <c r="O1779" s="13" t="s">
        <v>5783</v>
      </c>
      <c r="P1779" s="19" t="n">
        <v>200000</v>
      </c>
      <c r="Q1779" s="20" t="s">
        <v>7733</v>
      </c>
      <c r="R1779" s="13" t="s">
        <v>1695</v>
      </c>
      <c r="S1779" s="14" t="n">
        <v>33979</v>
      </c>
      <c r="T1779" s="13" t="s">
        <v>108</v>
      </c>
      <c r="U1779" s="13" t="s">
        <v>7734</v>
      </c>
      <c r="V1779" s="13" t="s">
        <v>42</v>
      </c>
      <c r="W1779" s="13" t="s">
        <v>43</v>
      </c>
      <c r="X1779" s="21" t="n">
        <v>83856888760</v>
      </c>
      <c r="Y1779" s="22" t="str">
        <f aca="false">O1779</f>
        <v>QC</v>
      </c>
      <c r="Z1779" s="13" t="str">
        <f aca="false">IFERROR(__xludf.dummyfunction("if(BJ1779="""","""",GOOGLETRANSLATE(BJ1779,""auto"",""en""))"),"QC")</f>
        <v>QC</v>
      </c>
      <c r="AA1779" s="23" t="str">
        <f aca="false">IF(C1779="","", CHOOSE(MONTH(C1779),"January","February","March","April","May","June","July","August","September","October","November","December")&amp;" "&amp;DAY(C1779)&amp;MID("thstndrdth",MIN(9,2*RIGHT(DAY(C1779))*(MOD(DAY(C1779)-11,100)&gt;2)+1),2)&amp;","&amp;TEXT(C1779," yyyy"))</f>
        <v>January 2nd,2025</v>
      </c>
      <c r="AB1779" s="15" t="str">
        <f aca="true">IF(S1779="","",DATEDIF(S1779,TODAY(),"Y")&amp;" Tahun, "&amp;DATEDIF(S1779,TODAY(),"YM")&amp;" Bulan, "&amp;DATEDIF(S1779,TODAY(),"MD")&amp;" Hari")</f>
        <v>33 Tahun, 9 Bulan, 19 Hari</v>
      </c>
      <c r="AC1779" s="18" t="n">
        <v>45840</v>
      </c>
      <c r="AD1779" s="18" t="n">
        <v>46022</v>
      </c>
      <c r="AE1779" s="18" t="s">
        <v>44</v>
      </c>
    </row>
    <row r="1780" customFormat="false" ht="15" hidden="false" customHeight="true" outlineLevel="0" collapsed="false">
      <c r="A1780" s="12" t="n">
        <v>18127</v>
      </c>
      <c r="B1780" s="13" t="s">
        <v>7735</v>
      </c>
      <c r="C1780" s="14" t="n">
        <v>45659</v>
      </c>
      <c r="D1780" s="13" t="s">
        <v>6956</v>
      </c>
      <c r="E1780" s="15" t="s">
        <v>47</v>
      </c>
      <c r="F1780" s="15" t="str">
        <f aca="false">IFERROR(__xludf.dummyfunction("XLOOKUP(AJ1780,IMPORTRANGE(""1XaInW9DU9nz21V0tYIfzFQ0He9kVQ_JF2mCXgZ3hqFA"",""REKAP ALL 2026 - Andika!G:G""),IMPORTRANGE(""1XaInW9DU9nz21V0tYIfzFQ0He9kVQ_JF2mCXgZ3hqFA"",""REKAP ALL 2026 - Andika!F:F""),"""",0)"),"25011041388")</f>
        <v>25011041388</v>
      </c>
      <c r="G1780" s="15" t="s">
        <v>7736</v>
      </c>
      <c r="H1780" s="13" t="s">
        <v>35</v>
      </c>
      <c r="I1780" s="13" t="str">
        <f aca="false">IF(C1780=J1780,"NEW KONTRAK","RE-KONTRAK")</f>
        <v>RE-KONTRAK</v>
      </c>
      <c r="J1780" s="16" t="n">
        <f aca="false" t="array" ref="J1780:J1780">IFERROR(INDEX(AC1780:AE1780,IF(COUNTA(AC1780:AE1780)=0,"",MAX((AC1780:AE1780&lt;&gt;"")*(COLUMN(AC1780:AE1780)-(COLUMN(AC1780)))))-1),"")</f>
        <v>45840</v>
      </c>
      <c r="K1780" s="16" t="n">
        <f aca="false" t="array" ref="K1780:K1780">IFERROR(INDEX(AC1780:AE1780,IF(COUNTA(AC1780:AE1780)=0,"",MAX((AC1780:AE1780&lt;&gt;"")*(COLUMN(AC1780:AE1780)-(COLUMN(AC1780)-1))))-1),"")</f>
        <v>46022</v>
      </c>
      <c r="L1780" s="17" t="str">
        <f aca="false" t="array" ref="L1780:L1780">IFERROR(INDEX(AC1780:AE1780,IF(COUNTA(AC1780:AE1780)=0,"",MAX((AC1780:AE1780&lt;&gt;"")*(COLUMN(AC1780:AE1780)-(COLUMN(AC1780)-2))))-1),"")</f>
        <v>ARCHIVED</v>
      </c>
      <c r="M1780" s="13" t="n">
        <f aca="true">K1780-TODAY()</f>
        <v>-302</v>
      </c>
      <c r="N1780" s="18" t="s">
        <v>728</v>
      </c>
      <c r="O1780" s="13" t="s">
        <v>6993</v>
      </c>
      <c r="P1780" s="19" t="n">
        <v>200000</v>
      </c>
      <c r="Q1780" s="20" t="s">
        <v>7737</v>
      </c>
      <c r="R1780" s="13" t="s">
        <v>52</v>
      </c>
      <c r="S1780" s="14" t="n">
        <v>29544</v>
      </c>
      <c r="T1780" s="13" t="s">
        <v>108</v>
      </c>
      <c r="U1780" s="13" t="s">
        <v>7738</v>
      </c>
      <c r="V1780" s="13" t="s">
        <v>42</v>
      </c>
      <c r="W1780" s="13" t="s">
        <v>54</v>
      </c>
      <c r="X1780" s="21" t="n">
        <v>89681673266</v>
      </c>
      <c r="Y1780" s="22" t="str">
        <f aca="false">O1780</f>
        <v>Customer &amp; Distributor Relation</v>
      </c>
      <c r="Z1780" s="13" t="str">
        <f aca="false">IFERROR(__xludf.dummyfunction("if(BJ1780="""","""",GOOGLETRANSLATE(BJ1780,""auto"",""en""))"),"Customer &amp; Distributor Relation")</f>
        <v>Customer &amp; Distributor Relation</v>
      </c>
      <c r="AA1780" s="23" t="str">
        <f aca="false">IF(C1780="","", CHOOSE(MONTH(C1780),"January","February","March","April","May","June","July","August","September","October","November","December")&amp;" "&amp;DAY(C1780)&amp;MID("thstndrdth",MIN(9,2*RIGHT(DAY(C1780))*(MOD(DAY(C1780)-11,100)&gt;2)+1),2)&amp;","&amp;TEXT(C1780," yyyy"))</f>
        <v>January 2nd,2025</v>
      </c>
      <c r="AB1780" s="15" t="str">
        <f aca="true">IF(S1780="","",DATEDIF(S1780,TODAY(),"Y")&amp;" Tahun, "&amp;DATEDIF(S1780,TODAY(),"YM")&amp;" Bulan, "&amp;DATEDIF(S1780,TODAY(),"MD")&amp;" Hari")</f>
        <v>45 Tahun, 11 Bulan, 10 Hari</v>
      </c>
      <c r="AC1780" s="18" t="n">
        <v>45840</v>
      </c>
      <c r="AD1780" s="18" t="n">
        <v>46022</v>
      </c>
      <c r="AE1780" s="18" t="s">
        <v>44</v>
      </c>
    </row>
    <row r="1781" customFormat="false" ht="15" hidden="false" customHeight="true" outlineLevel="0" collapsed="false">
      <c r="A1781" s="12" t="n">
        <v>18128</v>
      </c>
      <c r="B1781" s="13" t="s">
        <v>7739</v>
      </c>
      <c r="C1781" s="14" t="n">
        <v>45659</v>
      </c>
      <c r="D1781" s="13" t="s">
        <v>6956</v>
      </c>
      <c r="E1781" s="15" t="s">
        <v>47</v>
      </c>
      <c r="F1781" s="15" t="str">
        <f aca="false">IFERROR(__xludf.dummyfunction("XLOOKUP(AJ1781,IMPORTRANGE(""1XaInW9DU9nz21V0tYIfzFQ0He9kVQ_JF2mCXgZ3hqFA"",""REKAP ALL 2026 - Andika!G:G""),IMPORTRANGE(""1XaInW9DU9nz21V0tYIfzFQ0He9kVQ_JF2mCXgZ3hqFA"",""REKAP ALL 2026 - Andika!F:F""),"""",0)"),"25011041396")</f>
        <v>25011041396</v>
      </c>
      <c r="G1781" s="15" t="s">
        <v>7740</v>
      </c>
      <c r="H1781" s="13" t="s">
        <v>35</v>
      </c>
      <c r="I1781" s="13" t="str">
        <f aca="false">IF(C1781=J1781,"NEW KONTRAK","RE-KONTRAK")</f>
        <v>RE-KONTRAK</v>
      </c>
      <c r="J1781" s="16" t="n">
        <f aca="false" t="array" ref="J1781:J1781">IFERROR(INDEX(AC1781:AE1781,IF(COUNTA(AC1781:AE1781)=0,"",MAX((AC1781:AE1781&lt;&gt;"")*(COLUMN(AC1781:AE1781)-(COLUMN(AC1781)))))-1),"")</f>
        <v>45840</v>
      </c>
      <c r="K1781" s="16" t="n">
        <f aca="false" t="array" ref="K1781:K1781">IFERROR(INDEX(AC1781:AE1781,IF(COUNTA(AC1781:AE1781)=0,"",MAX((AC1781:AE1781&lt;&gt;"")*(COLUMN(AC1781:AE1781)-(COLUMN(AC1781)-1))))-1),"")</f>
        <v>46022</v>
      </c>
      <c r="L1781" s="17" t="str">
        <f aca="false" t="array" ref="L1781:L1781">IFERROR(INDEX(AC1781:AE1781,IF(COUNTA(AC1781:AE1781)=0,"",MAX((AC1781:AE1781&lt;&gt;"")*(COLUMN(AC1781:AE1781)-(COLUMN(AC1781)-2))))-1),"")</f>
        <v>ARCHIVED</v>
      </c>
      <c r="M1781" s="13" t="n">
        <f aca="true">K1781-TODAY()</f>
        <v>-302</v>
      </c>
      <c r="N1781" s="18" t="s">
        <v>728</v>
      </c>
      <c r="O1781" s="13" t="s">
        <v>6998</v>
      </c>
      <c r="P1781" s="19" t="n">
        <v>200000</v>
      </c>
      <c r="Q1781" s="20" t="s">
        <v>7741</v>
      </c>
      <c r="R1781" s="13" t="s">
        <v>1695</v>
      </c>
      <c r="S1781" s="14" t="n">
        <v>33889</v>
      </c>
      <c r="T1781" s="13" t="s">
        <v>108</v>
      </c>
      <c r="U1781" s="13" t="s">
        <v>7742</v>
      </c>
      <c r="V1781" s="13" t="s">
        <v>42</v>
      </c>
      <c r="W1781" s="13" t="s">
        <v>54</v>
      </c>
      <c r="X1781" s="21" t="n">
        <v>87729284380</v>
      </c>
      <c r="Y1781" s="22" t="str">
        <f aca="false">O1781</f>
        <v>Produksi Control</v>
      </c>
      <c r="Z1781" s="13" t="str">
        <f aca="false">IFERROR(__xludf.dummyfunction("if(BJ1781="""","""",GOOGLETRANSLATE(BJ1781,""auto"",""en""))"),"Production Control")</f>
        <v>Production Control</v>
      </c>
      <c r="AA1781" s="23" t="str">
        <f aca="false">IF(C1781="","", CHOOSE(MONTH(C1781),"January","February","March","April","May","June","July","August","September","October","November","December")&amp;" "&amp;DAY(C1781)&amp;MID("thstndrdth",MIN(9,2*RIGHT(DAY(C1781))*(MOD(DAY(C1781)-11,100)&gt;2)+1),2)&amp;","&amp;TEXT(C1781," yyyy"))</f>
        <v>January 2nd,2025</v>
      </c>
      <c r="AB1781" s="15" t="str">
        <f aca="true">IF(S1781="","",DATEDIF(S1781,TODAY(),"Y")&amp;" Tahun, "&amp;DATEDIF(S1781,TODAY(),"YM")&amp;" Bulan, "&amp;DATEDIF(S1781,TODAY(),"MD")&amp;" Hari")</f>
        <v>34 Tahun, 0 Bulan, 17 Hari</v>
      </c>
      <c r="AC1781" s="18" t="n">
        <v>45840</v>
      </c>
      <c r="AD1781" s="18" t="n">
        <v>46022</v>
      </c>
      <c r="AE1781" s="18" t="s">
        <v>44</v>
      </c>
    </row>
    <row r="1782" customFormat="false" ht="15" hidden="false" customHeight="true" outlineLevel="0" collapsed="false">
      <c r="A1782" s="12" t="n">
        <v>18130</v>
      </c>
      <c r="B1782" s="13" t="s">
        <v>7743</v>
      </c>
      <c r="C1782" s="14" t="n">
        <v>45659</v>
      </c>
      <c r="D1782" s="13" t="s">
        <v>6956</v>
      </c>
      <c r="E1782" s="15" t="s">
        <v>47</v>
      </c>
      <c r="F1782" s="15" t="str">
        <f aca="false">IFERROR(__xludf.dummyfunction("XLOOKUP(AJ1782,IMPORTRANGE(""1XaInW9DU9nz21V0tYIfzFQ0He9kVQ_JF2mCXgZ3hqFA"",""REKAP ALL 2026 - Andika!G:G""),IMPORTRANGE(""1XaInW9DU9nz21V0tYIfzFQ0He9kVQ_JF2mCXgZ3hqFA"",""REKAP ALL 2026 - Andika!F:F""),"""",0)"),"25011041412")</f>
        <v>25011041412</v>
      </c>
      <c r="G1782" s="15" t="s">
        <v>7744</v>
      </c>
      <c r="H1782" s="13" t="s">
        <v>35</v>
      </c>
      <c r="I1782" s="13" t="str">
        <f aca="false">IF(C1782=J1782,"NEW KONTRAK","RE-KONTRAK")</f>
        <v>RE-KONTRAK</v>
      </c>
      <c r="J1782" s="16" t="n">
        <f aca="false" t="array" ref="J1782:J1782">IFERROR(INDEX(AC1782:AE1782,IF(COUNTA(AC1782:AE1782)=0,"",MAX((AC1782:AE1782&lt;&gt;"")*(COLUMN(AC1782:AE1782)-(COLUMN(AC1782)))))-1),"")</f>
        <v>45840</v>
      </c>
      <c r="K1782" s="16" t="n">
        <f aca="false" t="array" ref="K1782:K1782">IFERROR(INDEX(AC1782:AE1782,IF(COUNTA(AC1782:AE1782)=0,"",MAX((AC1782:AE1782&lt;&gt;"")*(COLUMN(AC1782:AE1782)-(COLUMN(AC1782)-1))))-1),"")</f>
        <v>46022</v>
      </c>
      <c r="L1782" s="17" t="str">
        <f aca="false" t="array" ref="L1782:L1782">IFERROR(INDEX(AC1782:AE1782,IF(COUNTA(AC1782:AE1782)=0,"",MAX((AC1782:AE1782&lt;&gt;"")*(COLUMN(AC1782:AE1782)-(COLUMN(AC1782)-2))))-1),"")</f>
        <v>ARCHIVED</v>
      </c>
      <c r="M1782" s="13" t="n">
        <f aca="true">K1782-TODAY()</f>
        <v>-302</v>
      </c>
      <c r="N1782" s="18" t="s">
        <v>728</v>
      </c>
      <c r="O1782" s="13" t="s">
        <v>7025</v>
      </c>
      <c r="P1782" s="19" t="n">
        <v>200000</v>
      </c>
      <c r="Q1782" s="20" t="s">
        <v>7745</v>
      </c>
      <c r="R1782" s="13" t="s">
        <v>324</v>
      </c>
      <c r="S1782" s="14" t="n">
        <v>31174</v>
      </c>
      <c r="T1782" s="13" t="s">
        <v>40</v>
      </c>
      <c r="U1782" s="13" t="s">
        <v>7746</v>
      </c>
      <c r="V1782" s="13" t="s">
        <v>42</v>
      </c>
      <c r="W1782" s="13" t="s">
        <v>54</v>
      </c>
      <c r="X1782" s="21" t="n">
        <v>8978806717</v>
      </c>
      <c r="Y1782" s="22" t="str">
        <f aca="false">O1782</f>
        <v>Total Preventive Maintenance</v>
      </c>
      <c r="Z1782" s="13" t="str">
        <f aca="false">IFERROR(__xludf.dummyfunction("if(BJ1782="""","""",GOOGLETRANSLATE(BJ1782,""auto"",""en""))"),"Total Preventive Maintenance")</f>
        <v>Total Preventive Maintenance</v>
      </c>
      <c r="AA1782" s="23" t="str">
        <f aca="false">IF(C1782="","", CHOOSE(MONTH(C1782),"January","February","March","April","May","June","July","August","September","October","November","December")&amp;" "&amp;DAY(C1782)&amp;MID("thstndrdth",MIN(9,2*RIGHT(DAY(C1782))*(MOD(DAY(C1782)-11,100)&gt;2)+1),2)&amp;","&amp;TEXT(C1782," yyyy"))</f>
        <v>January 2nd,2025</v>
      </c>
      <c r="AB1782" s="15" t="str">
        <f aca="true">IF(S1782="","",DATEDIF(S1782,TODAY(),"Y")&amp;" Tahun, "&amp;DATEDIF(S1782,TODAY(),"YM")&amp;" Bulan, "&amp;DATEDIF(S1782,TODAY(),"MD")&amp;" Hari")</f>
        <v>41 Tahun, 5 Bulan, 22 Hari</v>
      </c>
      <c r="AC1782" s="18" t="n">
        <v>45840</v>
      </c>
      <c r="AD1782" s="18" t="n">
        <v>46022</v>
      </c>
      <c r="AE1782" s="18" t="s">
        <v>44</v>
      </c>
    </row>
    <row r="1783" customFormat="false" ht="15" hidden="false" customHeight="true" outlineLevel="0" collapsed="false">
      <c r="A1783" s="12" t="n">
        <v>18132</v>
      </c>
      <c r="B1783" s="13" t="s">
        <v>7747</v>
      </c>
      <c r="C1783" s="14" t="n">
        <v>45659</v>
      </c>
      <c r="D1783" s="13" t="s">
        <v>6956</v>
      </c>
      <c r="E1783" s="15" t="s">
        <v>47</v>
      </c>
      <c r="F1783" s="15" t="str">
        <f aca="false">IFERROR(__xludf.dummyfunction("XLOOKUP(AJ1783,IMPORTRANGE(""1XaInW9DU9nz21V0tYIfzFQ0He9kVQ_JF2mCXgZ3hqFA"",""REKAP ALL 2026 - Andika!G:G""),IMPORTRANGE(""1XaInW9DU9nz21V0tYIfzFQ0He9kVQ_JF2mCXgZ3hqFA"",""REKAP ALL 2026 - Andika!F:F""),"""",0)"),"25011041438")</f>
        <v>25011041438</v>
      </c>
      <c r="G1783" s="15" t="s">
        <v>7748</v>
      </c>
      <c r="H1783" s="13" t="s">
        <v>35</v>
      </c>
      <c r="I1783" s="13" t="str">
        <f aca="false">IF(C1783=J1783,"NEW KONTRAK","RE-KONTRAK")</f>
        <v>RE-KONTRAK</v>
      </c>
      <c r="J1783" s="16" t="n">
        <f aca="false" t="array" ref="J1783:J1783">IFERROR(INDEX(AC1783:AE1783,IF(COUNTA(AC1783:AE1783)=0,"",MAX((AC1783:AE1783&lt;&gt;"")*(COLUMN(AC1783:AE1783)-(COLUMN(AC1783)))))-1),"")</f>
        <v>45840</v>
      </c>
      <c r="K1783" s="16" t="n">
        <f aca="false" t="array" ref="K1783:K1783">IFERROR(INDEX(AC1783:AE1783,IF(COUNTA(AC1783:AE1783)=0,"",MAX((AC1783:AE1783&lt;&gt;"")*(COLUMN(AC1783:AE1783)-(COLUMN(AC1783)-1))))-1),"")</f>
        <v>46022</v>
      </c>
      <c r="L1783" s="17" t="str">
        <f aca="false" t="array" ref="L1783:L1783">IFERROR(INDEX(AC1783:AE1783,IF(COUNTA(AC1783:AE1783)=0,"",MAX((AC1783:AE1783&lt;&gt;"")*(COLUMN(AC1783:AE1783)-(COLUMN(AC1783)-2))))-1),"")</f>
        <v>ARCHIVED</v>
      </c>
      <c r="M1783" s="13" t="n">
        <f aca="true">K1783-TODAY()</f>
        <v>-302</v>
      </c>
      <c r="N1783" s="18" t="s">
        <v>728</v>
      </c>
      <c r="O1783" s="13" t="s">
        <v>6998</v>
      </c>
      <c r="P1783" s="19" t="n">
        <v>200000</v>
      </c>
      <c r="Q1783" s="20" t="s">
        <v>7749</v>
      </c>
      <c r="R1783" s="13" t="s">
        <v>78</v>
      </c>
      <c r="S1783" s="14" t="n">
        <v>32741</v>
      </c>
      <c r="T1783" s="13" t="s">
        <v>108</v>
      </c>
      <c r="U1783" s="13" t="s">
        <v>7750</v>
      </c>
      <c r="V1783" s="13" t="s">
        <v>42</v>
      </c>
      <c r="W1783" s="13" t="s">
        <v>54</v>
      </c>
      <c r="X1783" s="21" t="n">
        <v>85854983468</v>
      </c>
      <c r="Y1783" s="22" t="str">
        <f aca="false">O1783</f>
        <v>Produksi Control</v>
      </c>
      <c r="Z1783" s="13" t="str">
        <f aca="false">IFERROR(__xludf.dummyfunction("if(BJ1783="""","""",GOOGLETRANSLATE(BJ1783,""auto"",""en""))"),"Production Control")</f>
        <v>Production Control</v>
      </c>
      <c r="AA1783" s="23" t="str">
        <f aca="false">IF(C1783="","", CHOOSE(MONTH(C1783),"January","February","March","April","May","June","July","August","September","October","November","December")&amp;" "&amp;DAY(C1783)&amp;MID("thstndrdth",MIN(9,2*RIGHT(DAY(C1783))*(MOD(DAY(C1783)-11,100)&gt;2)+1),2)&amp;","&amp;TEXT(C1783," yyyy"))</f>
        <v>January 2nd,2025</v>
      </c>
      <c r="AB1783" s="15" t="str">
        <f aca="true">IF(S1783="","",DATEDIF(S1783,TODAY(),"Y")&amp;" Tahun, "&amp;DATEDIF(S1783,TODAY(),"YM")&amp;" Bulan, "&amp;DATEDIF(S1783,TODAY(),"MD")&amp;" Hari")</f>
        <v>37 Tahun, 2 Bulan, 8 Hari</v>
      </c>
      <c r="AC1783" s="18" t="n">
        <v>45840</v>
      </c>
      <c r="AD1783" s="18" t="n">
        <v>46022</v>
      </c>
      <c r="AE1783" s="18" t="s">
        <v>44</v>
      </c>
    </row>
    <row r="1784" customFormat="false" ht="15" hidden="false" customHeight="true" outlineLevel="0" collapsed="false">
      <c r="A1784" s="12" t="n">
        <v>18133</v>
      </c>
      <c r="B1784" s="13" t="s">
        <v>7751</v>
      </c>
      <c r="C1784" s="14" t="n">
        <v>45659</v>
      </c>
      <c r="D1784" s="13" t="s">
        <v>6956</v>
      </c>
      <c r="E1784" s="15" t="s">
        <v>47</v>
      </c>
      <c r="F1784" s="15" t="str">
        <f aca="false">IFERROR(__xludf.dummyfunction("XLOOKUP(AJ1784,IMPORTRANGE(""1XaInW9DU9nz21V0tYIfzFQ0He9kVQ_JF2mCXgZ3hqFA"",""REKAP ALL 2026 - Andika!G:G""),IMPORTRANGE(""1XaInW9DU9nz21V0tYIfzFQ0He9kVQ_JF2mCXgZ3hqFA"",""REKAP ALL 2026 - Andika!F:F""),"""",0)"),"25011041446")</f>
        <v>25011041446</v>
      </c>
      <c r="G1784" s="15" t="s">
        <v>7752</v>
      </c>
      <c r="H1784" s="13" t="s">
        <v>35</v>
      </c>
      <c r="I1784" s="13" t="str">
        <f aca="false">IF(C1784=J1784,"NEW KONTRAK","RE-KONTRAK")</f>
        <v>RE-KONTRAK</v>
      </c>
      <c r="J1784" s="16" t="n">
        <f aca="false" t="array" ref="J1784:J1784">IFERROR(INDEX(AC1784:AE1784,IF(COUNTA(AC1784:AE1784)=0,"",MAX((AC1784:AE1784&lt;&gt;"")*(COLUMN(AC1784:AE1784)-(COLUMN(AC1784)))))-1),"")</f>
        <v>45840</v>
      </c>
      <c r="K1784" s="16" t="n">
        <f aca="false" t="array" ref="K1784:K1784">IFERROR(INDEX(AC1784:AE1784,IF(COUNTA(AC1784:AE1784)=0,"",MAX((AC1784:AE1784&lt;&gt;"")*(COLUMN(AC1784:AE1784)-(COLUMN(AC1784)-1))))-1),"")</f>
        <v>46022</v>
      </c>
      <c r="L1784" s="17" t="str">
        <f aca="false" t="array" ref="L1784:L1784">IFERROR(INDEX(AC1784:AE1784,IF(COUNTA(AC1784:AE1784)=0,"",MAX((AC1784:AE1784&lt;&gt;"")*(COLUMN(AC1784:AE1784)-(COLUMN(AC1784)-2))))-1),"")</f>
        <v>ARCHIVED</v>
      </c>
      <c r="M1784" s="13" t="n">
        <f aca="true">K1784-TODAY()</f>
        <v>-302</v>
      </c>
      <c r="N1784" s="18" t="s">
        <v>728</v>
      </c>
      <c r="O1784" s="13" t="s">
        <v>5783</v>
      </c>
      <c r="P1784" s="19" t="n">
        <v>200000</v>
      </c>
      <c r="Q1784" s="20" t="s">
        <v>7753</v>
      </c>
      <c r="R1784" s="13" t="s">
        <v>227</v>
      </c>
      <c r="S1784" s="14" t="n">
        <v>32660</v>
      </c>
      <c r="T1784" s="13" t="s">
        <v>108</v>
      </c>
      <c r="U1784" s="13" t="s">
        <v>7754</v>
      </c>
      <c r="V1784" s="13" t="s">
        <v>42</v>
      </c>
      <c r="W1784" s="13" t="s">
        <v>43</v>
      </c>
      <c r="X1784" s="21" t="n">
        <v>85804469175</v>
      </c>
      <c r="Y1784" s="22" t="str">
        <f aca="false">O1784</f>
        <v>QC</v>
      </c>
      <c r="Z1784" s="13" t="str">
        <f aca="false">IFERROR(__xludf.dummyfunction("if(BJ1784="""","""",GOOGLETRANSLATE(BJ1784,""auto"",""en""))"),"QC")</f>
        <v>QC</v>
      </c>
      <c r="AA1784" s="23" t="str">
        <f aca="false">IF(C1784="","", CHOOSE(MONTH(C1784),"January","February","March","April","May","June","July","August","September","October","November","December")&amp;" "&amp;DAY(C1784)&amp;MID("thstndrdth",MIN(9,2*RIGHT(DAY(C1784))*(MOD(DAY(C1784)-11,100)&gt;2)+1),2)&amp;","&amp;TEXT(C1784," yyyy"))</f>
        <v>January 2nd,2025</v>
      </c>
      <c r="AB1784" s="15" t="str">
        <f aca="true">IF(S1784="","",DATEDIF(S1784,TODAY(),"Y")&amp;" Tahun, "&amp;DATEDIF(S1784,TODAY(),"YM")&amp;" Bulan, "&amp;DATEDIF(S1784,TODAY(),"MD")&amp;" Hari")</f>
        <v>37 Tahun, 4 Bulan, 28 Hari</v>
      </c>
      <c r="AC1784" s="18" t="n">
        <v>45840</v>
      </c>
      <c r="AD1784" s="18" t="n">
        <v>46022</v>
      </c>
      <c r="AE1784" s="18" t="s">
        <v>44</v>
      </c>
    </row>
    <row r="1785" customFormat="false" ht="15" hidden="false" customHeight="true" outlineLevel="0" collapsed="false">
      <c r="A1785" s="12" t="n">
        <v>18134</v>
      </c>
      <c r="B1785" s="13" t="s">
        <v>7755</v>
      </c>
      <c r="C1785" s="14" t="n">
        <v>45659</v>
      </c>
      <c r="D1785" s="13" t="s">
        <v>6956</v>
      </c>
      <c r="E1785" s="15" t="s">
        <v>102</v>
      </c>
      <c r="F1785" s="15" t="str">
        <f aca="false">IFERROR(__xludf.dummyfunction("XLOOKUP(AJ1785,IMPORTRANGE(""1XaInW9DU9nz21V0tYIfzFQ0He9kVQ_JF2mCXgZ3hqFA"",""REKAP ALL 2026 - Andika!G:G""),IMPORTRANGE(""1XaInW9DU9nz21V0tYIfzFQ0He9kVQ_JF2mCXgZ3hqFA"",""REKAP ALL 2026 - Andika!F:F""),"""",0)"),"25011041453")</f>
        <v>25011041453</v>
      </c>
      <c r="G1785" s="15" t="s">
        <v>7756</v>
      </c>
      <c r="H1785" s="13" t="s">
        <v>35</v>
      </c>
      <c r="I1785" s="13" t="str">
        <f aca="false">IF(C1785=J1785,"NEW KONTRAK","RE-KONTRAK")</f>
        <v>RE-KONTRAK</v>
      </c>
      <c r="J1785" s="16" t="n">
        <f aca="false" t="array" ref="J1785:J1785">IFERROR(INDEX(AC1785:AE1785,IF(COUNTA(AC1785:AE1785)=0,"",MAX((AC1785:AE1785&lt;&gt;"")*(COLUMN(AC1785:AE1785)-(COLUMN(AC1785)))))-1),"")</f>
        <v>45840</v>
      </c>
      <c r="K1785" s="16" t="n">
        <f aca="false" t="array" ref="K1785:K1785">IFERROR(INDEX(AC1785:AE1785,IF(COUNTA(AC1785:AE1785)=0,"",MAX((AC1785:AE1785&lt;&gt;"")*(COLUMN(AC1785:AE1785)-(COLUMN(AC1785)-1))))-1),"")</f>
        <v>46022</v>
      </c>
      <c r="L1785" s="17" t="str">
        <f aca="false" t="array" ref="L1785:L1785">IFERROR(INDEX(AC1785:AE1785,IF(COUNTA(AC1785:AE1785)=0,"",MAX((AC1785:AE1785&lt;&gt;"")*(COLUMN(AC1785:AE1785)-(COLUMN(AC1785)-2))))-1),"")</f>
        <v>ARCHIVED</v>
      </c>
      <c r="M1785" s="13" t="n">
        <f aca="true">K1785-TODAY()</f>
        <v>-302</v>
      </c>
      <c r="N1785" s="18" t="s">
        <v>728</v>
      </c>
      <c r="O1785" s="13" t="s">
        <v>6988</v>
      </c>
      <c r="P1785" s="19" t="n">
        <v>200000</v>
      </c>
      <c r="Q1785" s="20" t="s">
        <v>7757</v>
      </c>
      <c r="R1785" s="13" t="s">
        <v>826</v>
      </c>
      <c r="S1785" s="14" t="n">
        <v>28495</v>
      </c>
      <c r="T1785" s="13" t="s">
        <v>40</v>
      </c>
      <c r="U1785" s="13" t="s">
        <v>7758</v>
      </c>
      <c r="V1785" s="13" t="s">
        <v>42</v>
      </c>
      <c r="W1785" s="13" t="s">
        <v>54</v>
      </c>
      <c r="X1785" s="21" t="n">
        <v>85646500530</v>
      </c>
      <c r="Y1785" s="22" t="str">
        <f aca="false">O1785</f>
        <v>Quarantine &amp; Waste Control</v>
      </c>
      <c r="Z1785" s="13" t="str">
        <f aca="false">IFERROR(__xludf.dummyfunction("if(BJ1785="""","""",GOOGLETRANSLATE(BJ1785,""auto"",""en""))"),"Quarantine &amp; Waste Control")</f>
        <v>Quarantine &amp; Waste Control</v>
      </c>
      <c r="AA1785" s="23" t="str">
        <f aca="false">IF(C1785="","", CHOOSE(MONTH(C1785),"January","February","March","April","May","June","July","August","September","October","November","December")&amp;" "&amp;DAY(C1785)&amp;MID("thstndrdth",MIN(9,2*RIGHT(DAY(C1785))*(MOD(DAY(C1785)-11,100)&gt;2)+1),2)&amp;","&amp;TEXT(C1785," yyyy"))</f>
        <v>January 2nd,2025</v>
      </c>
      <c r="AB1785" s="15" t="str">
        <f aca="true">IF(S1785="","",DATEDIF(S1785,TODAY(),"Y")&amp;" Tahun, "&amp;DATEDIF(S1785,TODAY(),"YM")&amp;" Bulan, "&amp;DATEDIF(S1785,TODAY(),"MD")&amp;" Hari")</f>
        <v>48 Tahun, 9 Bulan, 24 Hari</v>
      </c>
      <c r="AC1785" s="18" t="n">
        <v>45840</v>
      </c>
      <c r="AD1785" s="18" t="n">
        <v>46022</v>
      </c>
      <c r="AE1785" s="18" t="s">
        <v>44</v>
      </c>
    </row>
    <row r="1786" customFormat="false" ht="15" hidden="false" customHeight="true" outlineLevel="0" collapsed="false">
      <c r="A1786" s="12" t="n">
        <v>18135</v>
      </c>
      <c r="B1786" s="13" t="s">
        <v>7759</v>
      </c>
      <c r="C1786" s="14" t="n">
        <v>45659</v>
      </c>
      <c r="D1786" s="13" t="s">
        <v>6956</v>
      </c>
      <c r="E1786" s="15" t="s">
        <v>47</v>
      </c>
      <c r="F1786" s="15" t="str">
        <f aca="false">IFERROR(__xludf.dummyfunction("XLOOKUP(AJ1786,IMPORTRANGE(""1XaInW9DU9nz21V0tYIfzFQ0He9kVQ_JF2mCXgZ3hqFA"",""REKAP ALL 2026 - Andika!G:G""),IMPORTRANGE(""1XaInW9DU9nz21V0tYIfzFQ0He9kVQ_JF2mCXgZ3hqFA"",""REKAP ALL 2026 - Andika!F:F""),"""",0)"),"25011041461")</f>
        <v>25011041461</v>
      </c>
      <c r="G1786" s="15" t="s">
        <v>7760</v>
      </c>
      <c r="H1786" s="13" t="s">
        <v>35</v>
      </c>
      <c r="I1786" s="13" t="str">
        <f aca="false">IF(C1786=J1786,"NEW KONTRAK","RE-KONTRAK")</f>
        <v>RE-KONTRAK</v>
      </c>
      <c r="J1786" s="16" t="n">
        <f aca="false" t="array" ref="J1786:J1786">IFERROR(INDEX(AC1786:AE1786,IF(COUNTA(AC1786:AE1786)=0,"",MAX((AC1786:AE1786&lt;&gt;"")*(COLUMN(AC1786:AE1786)-(COLUMN(AC1786)))))-1),"")</f>
        <v>45840</v>
      </c>
      <c r="K1786" s="16" t="n">
        <f aca="false" t="array" ref="K1786:K1786">IFERROR(INDEX(AC1786:AE1786,IF(COUNTA(AC1786:AE1786)=0,"",MAX((AC1786:AE1786&lt;&gt;"")*(COLUMN(AC1786:AE1786)-(COLUMN(AC1786)-1))))-1),"")</f>
        <v>46022</v>
      </c>
      <c r="L1786" s="17" t="str">
        <f aca="false" t="array" ref="L1786:L1786">IFERROR(INDEX(AC1786:AE1786,IF(COUNTA(AC1786:AE1786)=0,"",MAX((AC1786:AE1786&lt;&gt;"")*(COLUMN(AC1786:AE1786)-(COLUMN(AC1786)-2))))-1),"")</f>
        <v>ARCHIVED</v>
      </c>
      <c r="M1786" s="13" t="n">
        <f aca="true">K1786-TODAY()</f>
        <v>-302</v>
      </c>
      <c r="N1786" s="18" t="s">
        <v>728</v>
      </c>
      <c r="O1786" s="13" t="s">
        <v>6988</v>
      </c>
      <c r="P1786" s="19" t="n">
        <v>200000</v>
      </c>
      <c r="Q1786" s="20" t="s">
        <v>7761</v>
      </c>
      <c r="R1786" s="13" t="s">
        <v>52</v>
      </c>
      <c r="S1786" s="14" t="n">
        <v>30782</v>
      </c>
      <c r="T1786" s="13" t="s">
        <v>108</v>
      </c>
      <c r="U1786" s="13" t="s">
        <v>7762</v>
      </c>
      <c r="V1786" s="13" t="s">
        <v>42</v>
      </c>
      <c r="W1786" s="13" t="s">
        <v>54</v>
      </c>
      <c r="X1786" s="21" t="n">
        <v>895429770805</v>
      </c>
      <c r="Y1786" s="22" t="str">
        <f aca="false">O1786</f>
        <v>Quarantine &amp; Waste Control</v>
      </c>
      <c r="Z1786" s="13" t="str">
        <f aca="false">IFERROR(__xludf.dummyfunction("if(BJ1786="""","""",GOOGLETRANSLATE(BJ1786,""auto"",""en""))"),"Quarantine &amp; Waste Control")</f>
        <v>Quarantine &amp; Waste Control</v>
      </c>
      <c r="AA1786" s="23" t="str">
        <f aca="false">IF(C1786="","", CHOOSE(MONTH(C1786),"January","February","March","April","May","June","July","August","September","October","November","December")&amp;" "&amp;DAY(C1786)&amp;MID("thstndrdth",MIN(9,2*RIGHT(DAY(C1786))*(MOD(DAY(C1786)-11,100)&gt;2)+1),2)&amp;","&amp;TEXT(C1786," yyyy"))</f>
        <v>January 2nd,2025</v>
      </c>
      <c r="AB1786" s="15" t="str">
        <f aca="true">IF(S1786="","",DATEDIF(S1786,TODAY(),"Y")&amp;" Tahun, "&amp;DATEDIF(S1786,TODAY(),"YM")&amp;" Bulan, "&amp;DATEDIF(S1786,TODAY(),"MD")&amp;" Hari")</f>
        <v>42 Tahun, 6 Bulan, 19 Hari</v>
      </c>
      <c r="AC1786" s="18" t="n">
        <v>45840</v>
      </c>
      <c r="AD1786" s="18" t="n">
        <v>46022</v>
      </c>
      <c r="AE1786" s="18" t="s">
        <v>44</v>
      </c>
    </row>
    <row r="1787" customFormat="false" ht="15" hidden="false" customHeight="true" outlineLevel="0" collapsed="false">
      <c r="A1787" s="12" t="n">
        <v>18142</v>
      </c>
      <c r="B1787" s="13" t="s">
        <v>7763</v>
      </c>
      <c r="C1787" s="14" t="n">
        <v>45659</v>
      </c>
      <c r="D1787" s="13" t="s">
        <v>6956</v>
      </c>
      <c r="E1787" s="15" t="s">
        <v>47</v>
      </c>
      <c r="F1787" s="15" t="str">
        <f aca="false">IFERROR(__xludf.dummyfunction("XLOOKUP(AJ1787,IMPORTRANGE(""1XaInW9DU9nz21V0tYIfzFQ0He9kVQ_JF2mCXgZ3hqFA"",""REKAP ALL 2026 - Andika!G:G""),IMPORTRANGE(""1XaInW9DU9nz21V0tYIfzFQ0He9kVQ_JF2mCXgZ3hqFA"",""REKAP ALL 2026 - Andika!F:F""),"""",0)"),"25011041487")</f>
        <v>25011041487</v>
      </c>
      <c r="G1787" s="15" t="s">
        <v>7764</v>
      </c>
      <c r="H1787" s="13" t="s">
        <v>35</v>
      </c>
      <c r="I1787" s="13" t="str">
        <f aca="false">IF(C1787=J1787,"NEW KONTRAK","RE-KONTRAK")</f>
        <v>RE-KONTRAK</v>
      </c>
      <c r="J1787" s="16" t="n">
        <f aca="false" t="array" ref="J1787:J1787">IFERROR(INDEX(AC1787:AE1787,IF(COUNTA(AC1787:AE1787)=0,"",MAX((AC1787:AE1787&lt;&gt;"")*(COLUMN(AC1787:AE1787)-(COLUMN(AC1787)))))-1),"")</f>
        <v>45840</v>
      </c>
      <c r="K1787" s="16" t="n">
        <f aca="false" t="array" ref="K1787:K1787">IFERROR(INDEX(AC1787:AE1787,IF(COUNTA(AC1787:AE1787)=0,"",MAX((AC1787:AE1787&lt;&gt;"")*(COLUMN(AC1787:AE1787)-(COLUMN(AC1787)-1))))-1),"")</f>
        <v>46022</v>
      </c>
      <c r="L1787" s="17" t="str">
        <f aca="false" t="array" ref="L1787:L1787">IFERROR(INDEX(AC1787:AE1787,IF(COUNTA(AC1787:AE1787)=0,"",MAX((AC1787:AE1787&lt;&gt;"")*(COLUMN(AC1787:AE1787)-(COLUMN(AC1787)-2))))-1),"")</f>
        <v>ARCHIVED</v>
      </c>
      <c r="M1787" s="13" t="n">
        <f aca="true">K1787-TODAY()</f>
        <v>-302</v>
      </c>
      <c r="N1787" s="18" t="s">
        <v>728</v>
      </c>
      <c r="O1787" s="13" t="s">
        <v>6998</v>
      </c>
      <c r="P1787" s="19" t="n">
        <v>200000</v>
      </c>
      <c r="Q1787" s="20" t="s">
        <v>7765</v>
      </c>
      <c r="R1787" s="13" t="s">
        <v>2001</v>
      </c>
      <c r="S1787" s="14" t="n">
        <v>28191</v>
      </c>
      <c r="T1787" s="13" t="s">
        <v>108</v>
      </c>
      <c r="U1787" s="13" t="s">
        <v>7766</v>
      </c>
      <c r="V1787" s="13" t="s">
        <v>42</v>
      </c>
      <c r="W1787" s="13" t="s">
        <v>54</v>
      </c>
      <c r="X1787" s="21" t="n">
        <v>8123456789</v>
      </c>
      <c r="Y1787" s="22" t="str">
        <f aca="false">O1787</f>
        <v>Produksi Control</v>
      </c>
      <c r="Z1787" s="13" t="str">
        <f aca="false">IFERROR(__xludf.dummyfunction("if(BJ1787="""","""",GOOGLETRANSLATE(BJ1787,""auto"",""en""))"),"Production Control")</f>
        <v>Production Control</v>
      </c>
      <c r="AA1787" s="23" t="str">
        <f aca="false">IF(C1787="","", CHOOSE(MONTH(C1787),"January","February","March","April","May","June","July","August","September","October","November","December")&amp;" "&amp;DAY(C1787)&amp;MID("thstndrdth",MIN(9,2*RIGHT(DAY(C1787))*(MOD(DAY(C1787)-11,100)&gt;2)+1),2)&amp;","&amp;TEXT(C1787," yyyy"))</f>
        <v>January 2nd,2025</v>
      </c>
      <c r="AB1787" s="15" t="str">
        <f aca="true">IF(S1787="","",DATEDIF(S1787,TODAY(),"Y")&amp;" Tahun, "&amp;DATEDIF(S1787,TODAY(),"YM")&amp;" Bulan, "&amp;DATEDIF(S1787,TODAY(),"MD")&amp;" Hari")</f>
        <v>49 Tahun, 7 Bulan, 22 Hari</v>
      </c>
      <c r="AC1787" s="18" t="n">
        <v>45840</v>
      </c>
      <c r="AD1787" s="18" t="n">
        <v>46022</v>
      </c>
      <c r="AE1787" s="18" t="s">
        <v>44</v>
      </c>
    </row>
    <row r="1788" customFormat="false" ht="15" hidden="false" customHeight="true" outlineLevel="0" collapsed="false">
      <c r="A1788" s="12" t="n">
        <v>18143</v>
      </c>
      <c r="B1788" s="13" t="s">
        <v>7767</v>
      </c>
      <c r="C1788" s="14" t="n">
        <v>45649</v>
      </c>
      <c r="D1788" s="13" t="s">
        <v>3573</v>
      </c>
      <c r="E1788" s="15" t="s">
        <v>47</v>
      </c>
      <c r="F1788" s="15" t="str">
        <f aca="false">IFERROR(__xludf.dummyfunction("XLOOKUP(AJ1788,IMPORTRANGE(""1XaInW9DU9nz21V0tYIfzFQ0He9kVQ_JF2mCXgZ3hqFA"",""REKAP ALL 2026 - Andika!G:G""),IMPORTRANGE(""1XaInW9DU9nz21V0tYIfzFQ0He9kVQ_JF2mCXgZ3hqFA"",""REKAP ALL 2026 - Andika!F:F""),"""",0)"),"25009393262")</f>
        <v>25009393262</v>
      </c>
      <c r="G1788" s="15" t="s">
        <v>7768</v>
      </c>
      <c r="H1788" s="13" t="s">
        <v>35</v>
      </c>
      <c r="I1788" s="13" t="str">
        <f aca="false">IF(C1788=J1788,"NEW KONTRAK","RE-KONTRAK")</f>
        <v>RE-KONTRAK</v>
      </c>
      <c r="J1788" s="16" t="n">
        <f aca="false" t="array" ref="J1788:J1788">IFERROR(INDEX(AC1788:AE1788,IF(COUNTA(AC1788:AE1788)=0,"",MAX((AC1788:AE1788&lt;&gt;"")*(COLUMN(AC1788:AE1788)-(COLUMN(AC1788)))))-1),"")</f>
        <v>45658</v>
      </c>
      <c r="K1788" s="16" t="n">
        <f aca="false" t="array" ref="K1788:K1788">IFERROR(INDEX(AC1788:AE1788,IF(COUNTA(AC1788:AE1788)=0,"",MAX((AC1788:AE1788&lt;&gt;"")*(COLUMN(AC1788:AE1788)-(COLUMN(AC1788)-1))))-1),"")</f>
        <v>46022</v>
      </c>
      <c r="L1788" s="17" t="str">
        <f aca="false" t="array" ref="L1788:L1788">IFERROR(INDEX(AC1788:AE1788,IF(COUNTA(AC1788:AE1788)=0,"",MAX((AC1788:AE1788&lt;&gt;"")*(COLUMN(AC1788:AE1788)-(COLUMN(AC1788)-2))))-1),"")</f>
        <v>ARCHIVED</v>
      </c>
      <c r="M1788" s="13" t="n">
        <f aca="true">K1788-TODAY()</f>
        <v>-302</v>
      </c>
      <c r="N1788" s="18" t="s">
        <v>3576</v>
      </c>
      <c r="O1788" s="13" t="s">
        <v>1287</v>
      </c>
      <c r="P1788" s="19" t="n">
        <v>2492811</v>
      </c>
      <c r="Q1788" s="20" t="s">
        <v>7769</v>
      </c>
      <c r="R1788" s="13" t="s">
        <v>274</v>
      </c>
      <c r="S1788" s="14" t="n">
        <v>38340</v>
      </c>
      <c r="T1788" s="13" t="s">
        <v>40</v>
      </c>
      <c r="U1788" s="13" t="s">
        <v>7770</v>
      </c>
      <c r="V1788" s="13" t="s">
        <v>42</v>
      </c>
      <c r="W1788" s="13" t="s">
        <v>43</v>
      </c>
      <c r="X1788" s="21" t="n">
        <v>89518447343</v>
      </c>
      <c r="Y1788" s="22" t="str">
        <f aca="false">O1788</f>
        <v>Office Boy</v>
      </c>
      <c r="Z1788" s="13" t="str">
        <f aca="false">IFERROR(__xludf.dummyfunction("if(BJ1788="""","""",GOOGLETRANSLATE(BJ1788,""auto"",""en""))"),"Office Boy")</f>
        <v>Office Boy</v>
      </c>
      <c r="AA1788" s="23" t="str">
        <f aca="false">IF(C1788="","", CHOOSE(MONTH(C1788),"January","February","March","April","May","June","July","August","September","October","November","December")&amp;" "&amp;DAY(C1788)&amp;MID("thstndrdth",MIN(9,2*RIGHT(DAY(C1788))*(MOD(DAY(C1788)-11,100)&gt;2)+1),2)&amp;","&amp;TEXT(C1788," yyyy"))</f>
        <v>December 23rd,2024</v>
      </c>
      <c r="AB1788" s="15" t="str">
        <f aca="true">IF(S1788="","",DATEDIF(S1788,TODAY(),"Y")&amp;" Tahun, "&amp;DATEDIF(S1788,TODAY(),"YM")&amp;" Bulan, "&amp;DATEDIF(S1788,TODAY(),"MD")&amp;" Hari")</f>
        <v>21 Tahun, 10 Bulan, 10 Hari</v>
      </c>
      <c r="AC1788" s="18" t="n">
        <v>45658</v>
      </c>
      <c r="AD1788" s="18" t="n">
        <v>46022</v>
      </c>
      <c r="AE1788" s="18" t="s">
        <v>44</v>
      </c>
    </row>
    <row r="1789" customFormat="false" ht="15" hidden="false" customHeight="true" outlineLevel="0" collapsed="false">
      <c r="A1789" s="12" t="n">
        <v>18336</v>
      </c>
      <c r="B1789" s="93" t="s">
        <v>7771</v>
      </c>
      <c r="C1789" s="14" t="n">
        <v>45663</v>
      </c>
      <c r="D1789" s="13" t="s">
        <v>961</v>
      </c>
      <c r="E1789" s="15" t="s">
        <v>47</v>
      </c>
      <c r="F1789" s="15" t="str">
        <f aca="false">IFERROR(__xludf.dummyfunction("XLOOKUP(AJ1789,IMPORTRANGE(""1XaInW9DU9nz21V0tYIfzFQ0He9kVQ_JF2mCXgZ3hqFA"",""REKAP ALL 2026 - Andika!G:G""),IMPORTRANGE(""1XaInW9DU9nz21V0tYIfzFQ0He9kVQ_JF2mCXgZ3hqFA"",""REKAP ALL 2026 - Andika!F:F""),"""",0)"),"25012462518")</f>
        <v>25012462518</v>
      </c>
      <c r="G1789" s="15" t="s">
        <v>7772</v>
      </c>
      <c r="H1789" s="13" t="s">
        <v>35</v>
      </c>
      <c r="I1789" s="13" t="str">
        <f aca="false">IF(C1789=J1789,"NEW KONTRAK","RE-KONTRAK")</f>
        <v>RE-KONTRAK</v>
      </c>
      <c r="J1789" s="16" t="n">
        <f aca="false" t="array" ref="J1789:J1789">IFERROR(INDEX(AC1789:AE1789,IF(COUNTA(AC1789:AE1789)=0,"",MAX((AC1789:AE1789&lt;&gt;"")*(COLUMN(AC1789:AE1789)-(COLUMN(AC1789)))))-1),"")</f>
        <v>45748</v>
      </c>
      <c r="K1789" s="16" t="n">
        <f aca="false" t="array" ref="K1789:K1789">IFERROR(INDEX(AC1789:AE1789,IF(COUNTA(AC1789:AE1789)=0,"",MAX((AC1789:AE1789&lt;&gt;"")*(COLUMN(AC1789:AE1789)-(COLUMN(AC1789)-1))))-1),"")</f>
        <v>46022</v>
      </c>
      <c r="L1789" s="17" t="str">
        <f aca="false" t="array" ref="L1789:L1789">IFERROR(INDEX(AC1789:AE1789,IF(COUNTA(AC1789:AE1789)=0,"",MAX((AC1789:AE1789&lt;&gt;"")*(COLUMN(AC1789:AE1789)-(COLUMN(AC1789)-2))))-1),"")</f>
        <v>ARCHIVED</v>
      </c>
      <c r="M1789" s="13" t="n">
        <f aca="true">K1789-TODAY()</f>
        <v>-302</v>
      </c>
      <c r="N1789" s="18" t="s">
        <v>728</v>
      </c>
      <c r="O1789" s="13" t="s">
        <v>7773</v>
      </c>
      <c r="P1789" s="19" t="n">
        <v>4725479</v>
      </c>
      <c r="Q1789" s="20" t="s">
        <v>7774</v>
      </c>
      <c r="R1789" s="13" t="s">
        <v>39</v>
      </c>
      <c r="S1789" s="14" t="n">
        <v>35098</v>
      </c>
      <c r="T1789" s="13" t="s">
        <v>40</v>
      </c>
      <c r="U1789" s="13" t="s">
        <v>7775</v>
      </c>
      <c r="V1789" s="13" t="s">
        <v>42</v>
      </c>
      <c r="W1789" s="13" t="s">
        <v>43</v>
      </c>
      <c r="X1789" s="21" t="n">
        <v>85606668161</v>
      </c>
      <c r="Y1789" s="22" t="str">
        <f aca="false">O1789</f>
        <v>Relation Officer</v>
      </c>
      <c r="Z1789" s="13" t="str">
        <f aca="false">IFERROR(__xludf.dummyfunction("if(BJ1789="""","""",GOOGLETRANSLATE(BJ1789,""auto"",""en""))"),"Relation Officer")</f>
        <v>Relation Officer</v>
      </c>
      <c r="AA1789" s="23" t="str">
        <f aca="false">IF(C1789="","", CHOOSE(MONTH(C1789),"January","February","March","April","May","June","July","August","September","October","November","December")&amp;" "&amp;DAY(C1789)&amp;MID("thstndrdth",MIN(9,2*RIGHT(DAY(C1789))*(MOD(DAY(C1789)-11,100)&gt;2)+1),2)&amp;","&amp;TEXT(C1789," yyyy"))</f>
        <v>January 6th,2025</v>
      </c>
      <c r="AB1789" s="15" t="str">
        <f aca="true">IF(S1789="","",DATEDIF(S1789,TODAY(),"Y")&amp;" Tahun, "&amp;DATEDIF(S1789,TODAY(),"YM")&amp;" Bulan, "&amp;DATEDIF(S1789,TODAY(),"MD")&amp;" Hari")</f>
        <v>30 Tahun, 8 Bulan, 26 Hari</v>
      </c>
      <c r="AC1789" s="18" t="n">
        <v>45748</v>
      </c>
      <c r="AD1789" s="18" t="n">
        <v>46022</v>
      </c>
      <c r="AE1789" s="18" t="s">
        <v>44</v>
      </c>
    </row>
    <row r="1790" customFormat="false" ht="15" hidden="false" customHeight="true" outlineLevel="0" collapsed="false">
      <c r="A1790" s="12" t="n">
        <v>18341</v>
      </c>
      <c r="B1790" s="13" t="s">
        <v>7776</v>
      </c>
      <c r="C1790" s="14" t="n">
        <v>45659</v>
      </c>
      <c r="D1790" s="13" t="s">
        <v>885</v>
      </c>
      <c r="E1790" s="15" t="s">
        <v>102</v>
      </c>
      <c r="F1790" s="24" t="s">
        <v>7777</v>
      </c>
      <c r="G1790" s="15" t="s">
        <v>7778</v>
      </c>
      <c r="H1790" s="13" t="s">
        <v>35</v>
      </c>
      <c r="I1790" s="13" t="str">
        <f aca="false">IF(C1790=J1790,"NEW KONTRAK","RE-KONTRAK")</f>
        <v>RE-KONTRAK</v>
      </c>
      <c r="J1790" s="16" t="n">
        <f aca="false" t="array" ref="J1790:J1790">IFERROR(INDEX(AC1790:AE1790,IF(COUNTA(AC1790:AE1790)=0,"",MAX((AC1790:AE1790&lt;&gt;"")*(COLUMN(AC1790:AE1790)-(COLUMN(AC1790)))))-1),"")</f>
        <v>45840</v>
      </c>
      <c r="K1790" s="16" t="n">
        <f aca="false" t="array" ref="K1790:K1790">IFERROR(INDEX(AC1790:AE1790,IF(COUNTA(AC1790:AE1790)=0,"",MAX((AC1790:AE1790&lt;&gt;"")*(COLUMN(AC1790:AE1790)-(COLUMN(AC1790)-1))))-1),"")</f>
        <v>46022</v>
      </c>
      <c r="L1790" s="17" t="str">
        <f aca="false" t="array" ref="L1790:L1790">IFERROR(INDEX(AC1790:AE1790,IF(COUNTA(AC1790:AE1790)=0,"",MAX((AC1790:AE1790&lt;&gt;"")*(COLUMN(AC1790:AE1790)-(COLUMN(AC1790)-2))))-1),"")</f>
        <v>ARCHIVED</v>
      </c>
      <c r="M1790" s="13" t="n">
        <f aca="true">K1790-TODAY()</f>
        <v>-302</v>
      </c>
      <c r="N1790" s="18" t="s">
        <v>728</v>
      </c>
      <c r="O1790" s="13" t="s">
        <v>1453</v>
      </c>
      <c r="P1790" s="27" t="n">
        <v>132300</v>
      </c>
      <c r="Q1790" s="20" t="s">
        <v>7779</v>
      </c>
      <c r="R1790" s="13" t="s">
        <v>78</v>
      </c>
      <c r="S1790" s="14" t="n">
        <v>36739</v>
      </c>
      <c r="T1790" s="13" t="s">
        <v>40</v>
      </c>
      <c r="U1790" s="13" t="s">
        <v>7780</v>
      </c>
      <c r="V1790" s="13" t="s">
        <v>42</v>
      </c>
      <c r="W1790" s="13" t="s">
        <v>54</v>
      </c>
      <c r="X1790" s="21" t="n">
        <v>895341434500</v>
      </c>
      <c r="Y1790" s="22" t="str">
        <f aca="false">O1790</f>
        <v>Helper Produksi</v>
      </c>
      <c r="Z1790" s="13" t="str">
        <f aca="false">IFERROR(__xludf.dummyfunction("if(BJ1790="""","""",GOOGLETRANSLATE(BJ1790,""auto"",""en""))"),"Production Helper")</f>
        <v>Production Helper</v>
      </c>
      <c r="AA1790" s="23" t="str">
        <f aca="false">IF(C1790="","", CHOOSE(MONTH(C1790),"January","February","March","April","May","June","July","August","September","October","November","December")&amp;" "&amp;DAY(C1790)&amp;MID("thstndrdth",MIN(9,2*RIGHT(DAY(C1790))*(MOD(DAY(C1790)-11,100)&gt;2)+1),2)&amp;","&amp;TEXT(C1790," yyyy"))</f>
        <v>January 2nd,2025</v>
      </c>
      <c r="AB1790" s="15" t="str">
        <f aca="true">IF(S1790="","",DATEDIF(S1790,TODAY(),"Y")&amp;" Tahun, "&amp;DATEDIF(S1790,TODAY(),"YM")&amp;" Bulan, "&amp;DATEDIF(S1790,TODAY(),"MD")&amp;" Hari")</f>
        <v>26 Tahun, 2 Bulan, 28 Hari</v>
      </c>
      <c r="AC1790" s="18" t="n">
        <v>45840</v>
      </c>
      <c r="AD1790" s="18" t="n">
        <v>46022</v>
      </c>
      <c r="AE1790" s="18" t="s">
        <v>44</v>
      </c>
    </row>
    <row r="1791" customFormat="false" ht="15" hidden="false" customHeight="true" outlineLevel="0" collapsed="false">
      <c r="A1791" s="12" t="n">
        <v>18342</v>
      </c>
      <c r="B1791" s="13" t="s">
        <v>7781</v>
      </c>
      <c r="C1791" s="14" t="n">
        <v>45659</v>
      </c>
      <c r="D1791" s="13" t="s">
        <v>885</v>
      </c>
      <c r="E1791" s="15" t="s">
        <v>47</v>
      </c>
      <c r="F1791" s="15" t="str">
        <f aca="false">IFERROR(__xludf.dummyfunction("XLOOKUP(AJ1791,IMPORTRANGE(""1XaInW9DU9nz21V0tYIfzFQ0He9kVQ_JF2mCXgZ3hqFA"",""REKAP ALL 2026 - Andika!G:G""),IMPORTRANGE(""1XaInW9DU9nz21V0tYIfzFQ0He9kVQ_JF2mCXgZ3hqFA"",""REKAP ALL 2026 - Andika!F:F""),"""",0)"),"25012462625")</f>
        <v>25012462625</v>
      </c>
      <c r="G1791" s="15" t="s">
        <v>7782</v>
      </c>
      <c r="H1791" s="13" t="s">
        <v>35</v>
      </c>
      <c r="I1791" s="13" t="str">
        <f aca="false">IF(C1791=J1791,"NEW KONTRAK","RE-KONTRAK")</f>
        <v>RE-KONTRAK</v>
      </c>
      <c r="J1791" s="16" t="n">
        <f aca="false" t="array" ref="J1791:J1791">IFERROR(INDEX(AC1791:AE1791,IF(COUNTA(AC1791:AE1791)=0,"",MAX((AC1791:AE1791&lt;&gt;"")*(COLUMN(AC1791:AE1791)-(COLUMN(AC1791)))))-1),"")</f>
        <v>45840</v>
      </c>
      <c r="K1791" s="16" t="n">
        <f aca="false" t="array" ref="K1791:K1791">IFERROR(INDEX(AC1791:AE1791,IF(COUNTA(AC1791:AE1791)=0,"",MAX((AC1791:AE1791&lt;&gt;"")*(COLUMN(AC1791:AE1791)-(COLUMN(AC1791)-1))))-1),"")</f>
        <v>46022</v>
      </c>
      <c r="L1791" s="17" t="str">
        <f aca="false" t="array" ref="L1791:L1791">IFERROR(INDEX(AC1791:AE1791,IF(COUNTA(AC1791:AE1791)=0,"",MAX((AC1791:AE1791&lt;&gt;"")*(COLUMN(AC1791:AE1791)-(COLUMN(AC1791)-2))))-1),"")</f>
        <v>ARCHIVED</v>
      </c>
      <c r="M1791" s="13" t="n">
        <f aca="true">K1791-TODAY()</f>
        <v>-302</v>
      </c>
      <c r="N1791" s="18" t="s">
        <v>728</v>
      </c>
      <c r="O1791" s="13" t="s">
        <v>1453</v>
      </c>
      <c r="P1791" s="27" t="n">
        <v>132300</v>
      </c>
      <c r="Q1791" s="20" t="s">
        <v>7783</v>
      </c>
      <c r="R1791" s="13" t="s">
        <v>52</v>
      </c>
      <c r="S1791" s="14" t="n">
        <v>37056</v>
      </c>
      <c r="T1791" s="13" t="s">
        <v>40</v>
      </c>
      <c r="U1791" s="13" t="s">
        <v>7784</v>
      </c>
      <c r="V1791" s="13" t="s">
        <v>42</v>
      </c>
      <c r="W1791" s="13" t="s">
        <v>43</v>
      </c>
      <c r="X1791" s="21" t="n">
        <v>895364865516</v>
      </c>
      <c r="Y1791" s="22" t="str">
        <f aca="false">O1791</f>
        <v>Helper Produksi</v>
      </c>
      <c r="Z1791" s="13" t="str">
        <f aca="false">IFERROR(__xludf.dummyfunction("if(BJ1791="""","""",GOOGLETRANSLATE(BJ1791,""auto"",""en""))"),"Production Helper")</f>
        <v>Production Helper</v>
      </c>
      <c r="AA1791" s="23" t="str">
        <f aca="false">IF(C1791="","", CHOOSE(MONTH(C1791),"January","February","March","April","May","June","July","August","September","October","November","December")&amp;" "&amp;DAY(C1791)&amp;MID("thstndrdth",MIN(9,2*RIGHT(DAY(C1791))*(MOD(DAY(C1791)-11,100)&gt;2)+1),2)&amp;","&amp;TEXT(C1791," yyyy"))</f>
        <v>January 2nd,2025</v>
      </c>
      <c r="AB1791" s="15" t="str">
        <f aca="true">IF(S1791="","",DATEDIF(S1791,TODAY(),"Y")&amp;" Tahun, "&amp;DATEDIF(S1791,TODAY(),"YM")&amp;" Bulan, "&amp;DATEDIF(S1791,TODAY(),"MD")&amp;" Hari")</f>
        <v>25 Tahun, 4 Bulan, 15 Hari</v>
      </c>
      <c r="AC1791" s="18" t="n">
        <v>45840</v>
      </c>
      <c r="AD1791" s="18" t="n">
        <v>46022</v>
      </c>
      <c r="AE1791" s="18" t="s">
        <v>44</v>
      </c>
    </row>
    <row r="1792" customFormat="false" ht="15" hidden="false" customHeight="true" outlineLevel="0" collapsed="false">
      <c r="A1792" s="12" t="n">
        <v>18343</v>
      </c>
      <c r="B1792" s="13" t="s">
        <v>7785</v>
      </c>
      <c r="C1792" s="14" t="n">
        <v>45659</v>
      </c>
      <c r="D1792" s="13" t="s">
        <v>885</v>
      </c>
      <c r="E1792" s="15" t="s">
        <v>33</v>
      </c>
      <c r="F1792" s="24" t="s">
        <v>7786</v>
      </c>
      <c r="G1792" s="15" t="s">
        <v>7787</v>
      </c>
      <c r="H1792" s="13" t="s">
        <v>35</v>
      </c>
      <c r="I1792" s="13" t="str">
        <f aca="false">IF(C1792=J1792,"NEW KONTRAK","RE-KONTRAK")</f>
        <v>NEW KONTRAK</v>
      </c>
      <c r="J1792" s="16" t="n">
        <f aca="false" t="array" ref="J1792:J1792">IFERROR(INDEX(AC1792:AE1792,IF(COUNTA(AC1792:AE1792)=0,"",MAX((AC1792:AE1792&lt;&gt;"")*(COLUMN(AC1792:AE1792)-(COLUMN(AC1792)))))-1),"")</f>
        <v>45659</v>
      </c>
      <c r="K1792" s="16" t="n">
        <f aca="false" t="array" ref="K1792:K1792">IFERROR(INDEX(AC1792:AE1792,IF(COUNTA(AC1792:AE1792)=0,"",MAX((AC1792:AE1792&lt;&gt;"")*(COLUMN(AC1792:AE1792)-(COLUMN(AC1792)-1))))-1),"")</f>
        <v>45839</v>
      </c>
      <c r="L1792" s="17" t="str">
        <f aca="false" t="array" ref="L1792:L1792">IFERROR(INDEX(AC1792:AE1792,IF(COUNTA(AC1792:AE1792)=0,"",MAX((AC1792:AE1792&lt;&gt;"")*(COLUMN(AC1792:AE1792)-(COLUMN(AC1792)-2))))-1),"")</f>
        <v>ARCHIVED</v>
      </c>
      <c r="M1792" s="13" t="n">
        <f aca="true">K1792-TODAY()</f>
        <v>-485</v>
      </c>
      <c r="N1792" s="18" t="s">
        <v>728</v>
      </c>
      <c r="O1792" s="13" t="s">
        <v>1453</v>
      </c>
      <c r="P1792" s="27" t="n">
        <v>132300</v>
      </c>
      <c r="Q1792" s="20" t="s">
        <v>7788</v>
      </c>
      <c r="R1792" s="13" t="s">
        <v>52</v>
      </c>
      <c r="S1792" s="14" t="n">
        <v>32844</v>
      </c>
      <c r="T1792" s="13" t="s">
        <v>40</v>
      </c>
      <c r="U1792" s="13" t="s">
        <v>7789</v>
      </c>
      <c r="V1792" s="13" t="s">
        <v>42</v>
      </c>
      <c r="W1792" s="13" t="s">
        <v>54</v>
      </c>
      <c r="X1792" s="21" t="n">
        <v>81235116515</v>
      </c>
      <c r="Y1792" s="22" t="str">
        <f aca="false">O1792</f>
        <v>Helper Produksi</v>
      </c>
      <c r="Z1792" s="13" t="str">
        <f aca="false">IFERROR(__xludf.dummyfunction("if(BJ1792="""","""",GOOGLETRANSLATE(BJ1792,""auto"",""en""))"),"Production Helper")</f>
        <v>Production Helper</v>
      </c>
      <c r="AA1792" s="23" t="str">
        <f aca="false">IF(C1792="","", CHOOSE(MONTH(C1792),"January","February","March","April","May","June","July","August","September","October","November","December")&amp;" "&amp;DAY(C1792)&amp;MID("thstndrdth",MIN(9,2*RIGHT(DAY(C1792))*(MOD(DAY(C1792)-11,100)&gt;2)+1),2)&amp;","&amp;TEXT(C1792," yyyy"))</f>
        <v>January 2nd,2025</v>
      </c>
      <c r="AB1792" s="15" t="str">
        <f aca="true">IF(S1792="","",DATEDIF(S1792,TODAY(),"Y")&amp;" Tahun, "&amp;DATEDIF(S1792,TODAY(),"YM")&amp;" Bulan, "&amp;DATEDIF(S1792,TODAY(),"MD")&amp;" Hari")</f>
        <v>36 Tahun, 10 Bulan, 27 Hari</v>
      </c>
      <c r="AC1792" s="18" t="n">
        <v>45659</v>
      </c>
      <c r="AD1792" s="18" t="n">
        <v>45839</v>
      </c>
      <c r="AE1792" s="18" t="s">
        <v>44</v>
      </c>
    </row>
    <row r="1793" customFormat="false" ht="15" hidden="false" customHeight="true" outlineLevel="0" collapsed="false">
      <c r="A1793" s="12" t="n">
        <v>18346</v>
      </c>
      <c r="B1793" s="13" t="s">
        <v>7790</v>
      </c>
      <c r="C1793" s="14" t="n">
        <v>45659</v>
      </c>
      <c r="D1793" s="13" t="s">
        <v>885</v>
      </c>
      <c r="E1793" s="15" t="s">
        <v>47</v>
      </c>
      <c r="F1793" s="15" t="str">
        <f aca="false">IFERROR(__xludf.dummyfunction("XLOOKUP(AJ1793,IMPORTRANGE(""1XaInW9DU9nz21V0tYIfzFQ0He9kVQ_JF2mCXgZ3hqFA"",""REKAP ALL 2026 - Andika!G:G""),IMPORTRANGE(""1XaInW9DU9nz21V0tYIfzFQ0He9kVQ_JF2mCXgZ3hqFA"",""REKAP ALL 2026 - Andika!F:F""),"""",0)"),"25012462658")</f>
        <v>25012462658</v>
      </c>
      <c r="G1793" s="15" t="s">
        <v>7791</v>
      </c>
      <c r="H1793" s="13" t="s">
        <v>35</v>
      </c>
      <c r="I1793" s="13" t="str">
        <f aca="false">IF(C1793=J1793,"NEW KONTRAK","RE-KONTRAK")</f>
        <v>RE-KONTRAK</v>
      </c>
      <c r="J1793" s="16" t="n">
        <f aca="false" t="array" ref="J1793:J1793">IFERROR(INDEX(AC1793:AE1793,IF(COUNTA(AC1793:AE1793)=0,"",MAX((AC1793:AE1793&lt;&gt;"")*(COLUMN(AC1793:AE1793)-(COLUMN(AC1793)))))-1),"")</f>
        <v>45840</v>
      </c>
      <c r="K1793" s="16" t="n">
        <f aca="false" t="array" ref="K1793:K1793">IFERROR(INDEX(AC1793:AE1793,IF(COUNTA(AC1793:AE1793)=0,"",MAX((AC1793:AE1793&lt;&gt;"")*(COLUMN(AC1793:AE1793)-(COLUMN(AC1793)-1))))-1),"")</f>
        <v>46022</v>
      </c>
      <c r="L1793" s="17" t="str">
        <f aca="false" t="array" ref="L1793:L1793">IFERROR(INDEX(AC1793:AE1793,IF(COUNTA(AC1793:AE1793)=0,"",MAX((AC1793:AE1793&lt;&gt;"")*(COLUMN(AC1793:AE1793)-(COLUMN(AC1793)-2))))-1),"")</f>
        <v>ARCHIVED</v>
      </c>
      <c r="M1793" s="13" t="n">
        <f aca="true">K1793-TODAY()</f>
        <v>-302</v>
      </c>
      <c r="N1793" s="18" t="s">
        <v>728</v>
      </c>
      <c r="O1793" s="13" t="s">
        <v>1453</v>
      </c>
      <c r="P1793" s="27" t="n">
        <v>132300</v>
      </c>
      <c r="Q1793" s="20" t="s">
        <v>7792</v>
      </c>
      <c r="R1793" s="13" t="s">
        <v>52</v>
      </c>
      <c r="S1793" s="14" t="n">
        <v>36992</v>
      </c>
      <c r="T1793" s="13" t="s">
        <v>40</v>
      </c>
      <c r="U1793" s="13" t="s">
        <v>7793</v>
      </c>
      <c r="V1793" s="13" t="s">
        <v>42</v>
      </c>
      <c r="W1793" s="13" t="s">
        <v>43</v>
      </c>
      <c r="X1793" s="21" t="n">
        <v>895339348237</v>
      </c>
      <c r="Y1793" s="22" t="str">
        <f aca="false">O1793</f>
        <v>Helper Produksi</v>
      </c>
      <c r="Z1793" s="13" t="str">
        <f aca="false">IFERROR(__xludf.dummyfunction("if(BJ1793="""","""",GOOGLETRANSLATE(BJ1793,""auto"",""en""))"),"Production Helper")</f>
        <v>Production Helper</v>
      </c>
      <c r="AA1793" s="23" t="str">
        <f aca="false">IF(C1793="","", CHOOSE(MONTH(C1793),"January","February","March","April","May","June","July","August","September","October","November","December")&amp;" "&amp;DAY(C1793)&amp;MID("thstndrdth",MIN(9,2*RIGHT(DAY(C1793))*(MOD(DAY(C1793)-11,100)&gt;2)+1),2)&amp;","&amp;TEXT(C1793," yyyy"))</f>
        <v>January 2nd,2025</v>
      </c>
      <c r="AB1793" s="15" t="str">
        <f aca="true">IF(S1793="","",DATEDIF(S1793,TODAY(),"Y")&amp;" Tahun, "&amp;DATEDIF(S1793,TODAY(),"YM")&amp;" Bulan, "&amp;DATEDIF(S1793,TODAY(),"MD")&amp;" Hari")</f>
        <v>25 Tahun, 6 Bulan, 18 Hari</v>
      </c>
      <c r="AC1793" s="18" t="n">
        <v>45840</v>
      </c>
      <c r="AD1793" s="18" t="n">
        <v>46022</v>
      </c>
      <c r="AE1793" s="18" t="s">
        <v>44</v>
      </c>
    </row>
    <row r="1794" customFormat="false" ht="15" hidden="false" customHeight="true" outlineLevel="0" collapsed="false">
      <c r="A1794" s="12" t="n">
        <v>18347</v>
      </c>
      <c r="B1794" s="13" t="s">
        <v>7794</v>
      </c>
      <c r="C1794" s="14" t="n">
        <v>45659</v>
      </c>
      <c r="D1794" s="13" t="s">
        <v>885</v>
      </c>
      <c r="E1794" s="15" t="s">
        <v>47</v>
      </c>
      <c r="F1794" s="15" t="str">
        <f aca="false">IFERROR(__xludf.dummyfunction("XLOOKUP(AJ1794,IMPORTRANGE(""1XaInW9DU9nz21V0tYIfzFQ0He9kVQ_JF2mCXgZ3hqFA"",""REKAP ALL 2026 - Andika!G:G""),IMPORTRANGE(""1XaInW9DU9nz21V0tYIfzFQ0He9kVQ_JF2mCXgZ3hqFA"",""REKAP ALL 2026 - Andika!F:F""),"""",0)"),"25012462666")</f>
        <v>25012462666</v>
      </c>
      <c r="G1794" s="15" t="s">
        <v>7795</v>
      </c>
      <c r="H1794" s="13" t="s">
        <v>35</v>
      </c>
      <c r="I1794" s="13" t="str">
        <f aca="false">IF(C1794=J1794,"NEW KONTRAK","RE-KONTRAK")</f>
        <v>RE-KONTRAK</v>
      </c>
      <c r="J1794" s="16" t="n">
        <f aca="false" t="array" ref="J1794:J1794">IFERROR(INDEX(AC1794:AE1794,IF(COUNTA(AC1794:AE1794)=0,"",MAX((AC1794:AE1794&lt;&gt;"")*(COLUMN(AC1794:AE1794)-(COLUMN(AC1794)))))-1),"")</f>
        <v>45840</v>
      </c>
      <c r="K1794" s="16" t="n">
        <f aca="false" t="array" ref="K1794:K1794">IFERROR(INDEX(AC1794:AE1794,IF(COUNTA(AC1794:AE1794)=0,"",MAX((AC1794:AE1794&lt;&gt;"")*(COLUMN(AC1794:AE1794)-(COLUMN(AC1794)-1))))-1),"")</f>
        <v>46022</v>
      </c>
      <c r="L1794" s="17" t="str">
        <f aca="false" t="array" ref="L1794:L1794">IFERROR(INDEX(AC1794:AE1794,IF(COUNTA(AC1794:AE1794)=0,"",MAX((AC1794:AE1794&lt;&gt;"")*(COLUMN(AC1794:AE1794)-(COLUMN(AC1794)-2))))-1),"")</f>
        <v>ARCHIVED</v>
      </c>
      <c r="M1794" s="13" t="n">
        <f aca="true">K1794-TODAY()</f>
        <v>-302</v>
      </c>
      <c r="N1794" s="18" t="s">
        <v>728</v>
      </c>
      <c r="O1794" s="13" t="s">
        <v>1453</v>
      </c>
      <c r="P1794" s="27" t="n">
        <v>132300</v>
      </c>
      <c r="Q1794" s="20" t="s">
        <v>7796</v>
      </c>
      <c r="R1794" s="13" t="s">
        <v>52</v>
      </c>
      <c r="S1794" s="14" t="n">
        <v>38244</v>
      </c>
      <c r="T1794" s="13" t="s">
        <v>40</v>
      </c>
      <c r="U1794" s="13" t="s">
        <v>7797</v>
      </c>
      <c r="V1794" s="13" t="s">
        <v>42</v>
      </c>
      <c r="W1794" s="13" t="s">
        <v>43</v>
      </c>
      <c r="X1794" s="21" t="n">
        <v>881027668973</v>
      </c>
      <c r="Y1794" s="22" t="str">
        <f aca="false">O1794</f>
        <v>Helper Produksi</v>
      </c>
      <c r="Z1794" s="13" t="str">
        <f aca="false">IFERROR(__xludf.dummyfunction("if(BJ1794="""","""",GOOGLETRANSLATE(BJ1794,""auto"",""en""))"),"Production Helper")</f>
        <v>Production Helper</v>
      </c>
      <c r="AA1794" s="23" t="str">
        <f aca="false">IF(C1794="","", CHOOSE(MONTH(C1794),"January","February","March","April","May","June","July","August","September","October","November","December")&amp;" "&amp;DAY(C1794)&amp;MID("thstndrdth",MIN(9,2*RIGHT(DAY(C1794))*(MOD(DAY(C1794)-11,100)&gt;2)+1),2)&amp;","&amp;TEXT(C1794," yyyy"))</f>
        <v>January 2nd,2025</v>
      </c>
      <c r="AB1794" s="15" t="str">
        <f aca="true">IF(S1794="","",DATEDIF(S1794,TODAY(),"Y")&amp;" Tahun, "&amp;DATEDIF(S1794,TODAY(),"YM")&amp;" Bulan, "&amp;DATEDIF(S1794,TODAY(),"MD")&amp;" Hari")</f>
        <v>22 Tahun, 1 Bulan, 15 Hari</v>
      </c>
      <c r="AC1794" s="18" t="n">
        <v>45840</v>
      </c>
      <c r="AD1794" s="18" t="n">
        <v>46022</v>
      </c>
      <c r="AE1794" s="18" t="s">
        <v>44</v>
      </c>
    </row>
    <row r="1795" customFormat="false" ht="15" hidden="false" customHeight="true" outlineLevel="0" collapsed="false">
      <c r="A1795" s="12" t="n">
        <v>18350</v>
      </c>
      <c r="B1795" s="13" t="s">
        <v>7798</v>
      </c>
      <c r="C1795" s="14" t="n">
        <v>45660</v>
      </c>
      <c r="D1795" s="13" t="s">
        <v>885</v>
      </c>
      <c r="E1795" s="15" t="s">
        <v>33</v>
      </c>
      <c r="F1795" s="24" t="s">
        <v>7799</v>
      </c>
      <c r="G1795" s="15" t="s">
        <v>7800</v>
      </c>
      <c r="H1795" s="13" t="s">
        <v>35</v>
      </c>
      <c r="I1795" s="13" t="str">
        <f aca="false">IF(C1795=J1795,"NEW KONTRAK","RE-KONTRAK")</f>
        <v>RE-KONTRAK</v>
      </c>
      <c r="J1795" s="16" t="n">
        <f aca="false" t="array" ref="J1795:J1795">IFERROR(INDEX(AC1795:AE1795,IF(COUNTA(AC1795:AE1795)=0,"",MAX((AC1795:AE1795&lt;&gt;"")*(COLUMN(AC1795:AE1795)-(COLUMN(AC1795)))))-1),"")</f>
        <v>45841</v>
      </c>
      <c r="K1795" s="16" t="n">
        <f aca="false" t="array" ref="K1795:K1795">IFERROR(INDEX(AC1795:AE1795,IF(COUNTA(AC1795:AE1795)=0,"",MAX((AC1795:AE1795&lt;&gt;"")*(COLUMN(AC1795:AE1795)-(COLUMN(AC1795)-1))))-1),"")</f>
        <v>46022</v>
      </c>
      <c r="L1795" s="17" t="str">
        <f aca="false" t="array" ref="L1795:L1795">IFERROR(INDEX(AC1795:AE1795,IF(COUNTA(AC1795:AE1795)=0,"",MAX((AC1795:AE1795&lt;&gt;"")*(COLUMN(AC1795:AE1795)-(COLUMN(AC1795)-2))))-1),"")</f>
        <v>ARCHIVED</v>
      </c>
      <c r="M1795" s="13" t="n">
        <f aca="true">K1795-TODAY()</f>
        <v>-302</v>
      </c>
      <c r="N1795" s="18" t="s">
        <v>728</v>
      </c>
      <c r="O1795" s="13" t="s">
        <v>1453</v>
      </c>
      <c r="P1795" s="27" t="n">
        <v>132300</v>
      </c>
      <c r="Q1795" s="20" t="s">
        <v>7801</v>
      </c>
      <c r="R1795" s="13" t="s">
        <v>52</v>
      </c>
      <c r="S1795" s="14" t="n">
        <v>36874</v>
      </c>
      <c r="T1795" s="13" t="s">
        <v>40</v>
      </c>
      <c r="U1795" s="13" t="s">
        <v>7802</v>
      </c>
      <c r="V1795" s="13" t="s">
        <v>42</v>
      </c>
      <c r="W1795" s="13" t="s">
        <v>43</v>
      </c>
      <c r="X1795" s="21" t="n">
        <v>8113451223</v>
      </c>
      <c r="Y1795" s="22" t="str">
        <f aca="false">O1795</f>
        <v>Helper Produksi</v>
      </c>
      <c r="Z1795" s="13" t="str">
        <f aca="false">IFERROR(__xludf.dummyfunction("if(BJ1795="""","""",GOOGLETRANSLATE(BJ1795,""auto"",""en""))"),"Production Helper")</f>
        <v>Production Helper</v>
      </c>
      <c r="AA1795" s="23" t="str">
        <f aca="false">IF(C1795="","", CHOOSE(MONTH(C1795),"January","February","March","April","May","June","July","August","September","October","November","December")&amp;" "&amp;DAY(C1795)&amp;MID("thstndrdth",MIN(9,2*RIGHT(DAY(C1795))*(MOD(DAY(C1795)-11,100)&gt;2)+1),2)&amp;","&amp;TEXT(C1795," yyyy"))</f>
        <v>January 3rd,2025</v>
      </c>
      <c r="AB1795" s="15" t="str">
        <f aca="true">IF(S1795="","",DATEDIF(S1795,TODAY(),"Y")&amp;" Tahun, "&amp;DATEDIF(S1795,TODAY(),"YM")&amp;" Bulan, "&amp;DATEDIF(S1795,TODAY(),"MD")&amp;" Hari")</f>
        <v>25 Tahun, 10 Bulan, 15 Hari</v>
      </c>
      <c r="AC1795" s="18" t="n">
        <v>45841</v>
      </c>
      <c r="AD1795" s="18" t="n">
        <v>46022</v>
      </c>
      <c r="AE1795" s="18" t="s">
        <v>44</v>
      </c>
    </row>
    <row r="1796" customFormat="false" ht="15" hidden="false" customHeight="true" outlineLevel="0" collapsed="false">
      <c r="A1796" s="12" t="n">
        <v>18352</v>
      </c>
      <c r="B1796" s="13" t="s">
        <v>7803</v>
      </c>
      <c r="C1796" s="14" t="n">
        <v>45660</v>
      </c>
      <c r="D1796" s="13" t="s">
        <v>885</v>
      </c>
      <c r="E1796" s="15" t="s">
        <v>47</v>
      </c>
      <c r="F1796" s="15" t="str">
        <f aca="false">IFERROR(__xludf.dummyfunction("XLOOKUP(AJ1796,IMPORTRANGE(""1XaInW9DU9nz21V0tYIfzFQ0He9kVQ_JF2mCXgZ3hqFA"",""REKAP ALL 2026 - Andika!G:G""),IMPORTRANGE(""1XaInW9DU9nz21V0tYIfzFQ0He9kVQ_JF2mCXgZ3hqFA"",""REKAP ALL 2026 - Andika!F:F""),"""",0)"),"25012462690")</f>
        <v>25012462690</v>
      </c>
      <c r="G1796" s="15" t="s">
        <v>7804</v>
      </c>
      <c r="H1796" s="13" t="s">
        <v>35</v>
      </c>
      <c r="I1796" s="13" t="str">
        <f aca="false">IF(C1796=J1796,"NEW KONTRAK","RE-KONTRAK")</f>
        <v>RE-KONTRAK</v>
      </c>
      <c r="J1796" s="16" t="n">
        <f aca="false" t="array" ref="J1796:J1796">IFERROR(INDEX(AC1796:AE1796,IF(COUNTA(AC1796:AE1796)=0,"",MAX((AC1796:AE1796&lt;&gt;"")*(COLUMN(AC1796:AE1796)-(COLUMN(AC1796)))))-1),"")</f>
        <v>45841</v>
      </c>
      <c r="K1796" s="16" t="n">
        <f aca="false" t="array" ref="K1796:K1796">IFERROR(INDEX(AC1796:AE1796,IF(COUNTA(AC1796:AE1796)=0,"",MAX((AC1796:AE1796&lt;&gt;"")*(COLUMN(AC1796:AE1796)-(COLUMN(AC1796)-1))))-1),"")</f>
        <v>46022</v>
      </c>
      <c r="L1796" s="17" t="str">
        <f aca="false" t="array" ref="L1796:L1796">IFERROR(INDEX(AC1796:AE1796,IF(COUNTA(AC1796:AE1796)=0,"",MAX((AC1796:AE1796&lt;&gt;"")*(COLUMN(AC1796:AE1796)-(COLUMN(AC1796)-2))))-1),"")</f>
        <v>ARCHIVED</v>
      </c>
      <c r="M1796" s="13" t="n">
        <f aca="true">K1796-TODAY()</f>
        <v>-302</v>
      </c>
      <c r="N1796" s="18" t="s">
        <v>728</v>
      </c>
      <c r="O1796" s="13" t="s">
        <v>1453</v>
      </c>
      <c r="P1796" s="27" t="n">
        <v>132300</v>
      </c>
      <c r="Q1796" s="20" t="s">
        <v>7805</v>
      </c>
      <c r="R1796" s="13" t="s">
        <v>52</v>
      </c>
      <c r="S1796" s="14" t="n">
        <v>36686</v>
      </c>
      <c r="T1796" s="13" t="s">
        <v>40</v>
      </c>
      <c r="U1796" s="13" t="s">
        <v>7806</v>
      </c>
      <c r="V1796" s="13" t="s">
        <v>42</v>
      </c>
      <c r="W1796" s="13" t="s">
        <v>43</v>
      </c>
      <c r="X1796" s="21" t="n">
        <v>81249920403</v>
      </c>
      <c r="Y1796" s="22" t="str">
        <f aca="false">O1796</f>
        <v>Helper Produksi</v>
      </c>
      <c r="Z1796" s="13" t="str">
        <f aca="false">IFERROR(__xludf.dummyfunction("if(BJ1796="""","""",GOOGLETRANSLATE(BJ1796,""auto"",""en""))"),"Production Helper")</f>
        <v>Production Helper</v>
      </c>
      <c r="AA1796" s="23" t="str">
        <f aca="false">IF(C1796="","", CHOOSE(MONTH(C1796),"January","February","March","April","May","June","July","August","September","October","November","December")&amp;" "&amp;DAY(C1796)&amp;MID("thstndrdth",MIN(9,2*RIGHT(DAY(C1796))*(MOD(DAY(C1796)-11,100)&gt;2)+1),2)&amp;","&amp;TEXT(C1796," yyyy"))</f>
        <v>January 3rd,2025</v>
      </c>
      <c r="AB1796" s="15" t="str">
        <f aca="true">IF(S1796="","",DATEDIF(S1796,TODAY(),"Y")&amp;" Tahun, "&amp;DATEDIF(S1796,TODAY(),"YM")&amp;" Bulan, "&amp;DATEDIF(S1796,TODAY(),"MD")&amp;" Hari")</f>
        <v>26 Tahun, 4 Bulan, 20 Hari</v>
      </c>
      <c r="AC1796" s="18" t="n">
        <v>45841</v>
      </c>
      <c r="AD1796" s="18" t="n">
        <v>46022</v>
      </c>
      <c r="AE1796" s="18" t="s">
        <v>44</v>
      </c>
    </row>
    <row r="1797" customFormat="false" ht="15" hidden="false" customHeight="true" outlineLevel="0" collapsed="false">
      <c r="A1797" s="12" t="n">
        <v>18355</v>
      </c>
      <c r="B1797" s="13" t="s">
        <v>7807</v>
      </c>
      <c r="C1797" s="14" t="n">
        <v>45660</v>
      </c>
      <c r="D1797" s="13" t="s">
        <v>885</v>
      </c>
      <c r="E1797" s="15" t="s">
        <v>47</v>
      </c>
      <c r="F1797" s="15" t="str">
        <f aca="false">IFERROR(__xludf.dummyfunction("XLOOKUP(AJ1797,IMPORTRANGE(""1XaInW9DU9nz21V0tYIfzFQ0He9kVQ_JF2mCXgZ3hqFA"",""REKAP ALL 2026 - Andika!G:G""),IMPORTRANGE(""1XaInW9DU9nz21V0tYIfzFQ0He9kVQ_JF2mCXgZ3hqFA"",""REKAP ALL 2026 - Andika!F:F""),"""",0)"),"25012462708")</f>
        <v>25012462708</v>
      </c>
      <c r="G1797" s="15" t="s">
        <v>7808</v>
      </c>
      <c r="H1797" s="13" t="s">
        <v>35</v>
      </c>
      <c r="I1797" s="13" t="str">
        <f aca="false">IF(C1797=J1797,"NEW KONTRAK","RE-KONTRAK")</f>
        <v>RE-KONTRAK</v>
      </c>
      <c r="J1797" s="16" t="n">
        <f aca="false" t="array" ref="J1797:J1797">IFERROR(INDEX(AC1797:AE1797,IF(COUNTA(AC1797:AE1797)=0,"",MAX((AC1797:AE1797&lt;&gt;"")*(COLUMN(AC1797:AE1797)-(COLUMN(AC1797)))))-1),"")</f>
        <v>45841</v>
      </c>
      <c r="K1797" s="16" t="n">
        <f aca="false" t="array" ref="K1797:K1797">IFERROR(INDEX(AC1797:AE1797,IF(COUNTA(AC1797:AE1797)=0,"",MAX((AC1797:AE1797&lt;&gt;"")*(COLUMN(AC1797:AE1797)-(COLUMN(AC1797)-1))))-1),"")</f>
        <v>46022</v>
      </c>
      <c r="L1797" s="17" t="str">
        <f aca="false" t="array" ref="L1797:L1797">IFERROR(INDEX(AC1797:AE1797,IF(COUNTA(AC1797:AE1797)=0,"",MAX((AC1797:AE1797&lt;&gt;"")*(COLUMN(AC1797:AE1797)-(COLUMN(AC1797)-2))))-1),"")</f>
        <v>ARCHIVED</v>
      </c>
      <c r="M1797" s="13" t="n">
        <f aca="true">K1797-TODAY()</f>
        <v>-302</v>
      </c>
      <c r="N1797" s="18" t="s">
        <v>728</v>
      </c>
      <c r="O1797" s="13" t="s">
        <v>1453</v>
      </c>
      <c r="P1797" s="27" t="n">
        <v>132300</v>
      </c>
      <c r="Q1797" s="20" t="s">
        <v>7809</v>
      </c>
      <c r="R1797" s="13" t="s">
        <v>52</v>
      </c>
      <c r="S1797" s="14" t="n">
        <v>37320</v>
      </c>
      <c r="T1797" s="13" t="s">
        <v>40</v>
      </c>
      <c r="U1797" s="13" t="s">
        <v>7810</v>
      </c>
      <c r="V1797" s="13" t="s">
        <v>42</v>
      </c>
      <c r="W1797" s="13" t="s">
        <v>43</v>
      </c>
      <c r="X1797" s="21" t="n">
        <v>895342718030</v>
      </c>
      <c r="Y1797" s="22" t="str">
        <f aca="false">O1797</f>
        <v>Helper Produksi</v>
      </c>
      <c r="Z1797" s="13" t="str">
        <f aca="false">IFERROR(__xludf.dummyfunction("if(BJ1797="""","""",GOOGLETRANSLATE(BJ1797,""auto"",""en""))"),"Production Helper")</f>
        <v>Production Helper</v>
      </c>
      <c r="AA1797" s="23" t="str">
        <f aca="false">IF(C1797="","", CHOOSE(MONTH(C1797),"January","February","March","April","May","June","July","August","September","October","November","December")&amp;" "&amp;DAY(C1797)&amp;MID("thstndrdth",MIN(9,2*RIGHT(DAY(C1797))*(MOD(DAY(C1797)-11,100)&gt;2)+1),2)&amp;","&amp;TEXT(C1797," yyyy"))</f>
        <v>January 3rd,2025</v>
      </c>
      <c r="AB1797" s="15" t="str">
        <f aca="true">IF(S1797="","",DATEDIF(S1797,TODAY(),"Y")&amp;" Tahun, "&amp;DATEDIF(S1797,TODAY(),"YM")&amp;" Bulan, "&amp;DATEDIF(S1797,TODAY(),"MD")&amp;" Hari")</f>
        <v>24 Tahun, 7 Bulan, 24 Hari</v>
      </c>
      <c r="AC1797" s="18" t="n">
        <v>45841</v>
      </c>
      <c r="AD1797" s="18" t="n">
        <v>46022</v>
      </c>
      <c r="AE1797" s="18" t="s">
        <v>44</v>
      </c>
    </row>
    <row r="1798" customFormat="false" ht="15" hidden="false" customHeight="true" outlineLevel="0" collapsed="false">
      <c r="A1798" s="12" t="n">
        <v>18356</v>
      </c>
      <c r="B1798" s="13" t="s">
        <v>7811</v>
      </c>
      <c r="C1798" s="14" t="n">
        <v>45660</v>
      </c>
      <c r="D1798" s="13" t="s">
        <v>885</v>
      </c>
      <c r="E1798" s="15" t="s">
        <v>33</v>
      </c>
      <c r="F1798" s="24" t="s">
        <v>7812</v>
      </c>
      <c r="G1798" s="15" t="s">
        <v>7813</v>
      </c>
      <c r="H1798" s="13" t="s">
        <v>35</v>
      </c>
      <c r="I1798" s="13" t="str">
        <f aca="false">IF(C1798=J1798,"NEW KONTRAK","RE-KONTRAK")</f>
        <v>RE-KONTRAK</v>
      </c>
      <c r="J1798" s="16" t="n">
        <f aca="false" t="array" ref="J1798:J1798">IFERROR(INDEX(AC1798:AE1798,IF(COUNTA(AC1798:AE1798)=0,"",MAX((AC1798:AE1798&lt;&gt;"")*(COLUMN(AC1798:AE1798)-(COLUMN(AC1798)))))-1),"")</f>
        <v>45841</v>
      </c>
      <c r="K1798" s="16" t="n">
        <f aca="false" t="array" ref="K1798:K1798">IFERROR(INDEX(AC1798:AE1798,IF(COUNTA(AC1798:AE1798)=0,"",MAX((AC1798:AE1798&lt;&gt;"")*(COLUMN(AC1798:AE1798)-(COLUMN(AC1798)-1))))-1),"")</f>
        <v>46022</v>
      </c>
      <c r="L1798" s="17" t="str">
        <f aca="false" t="array" ref="L1798:L1798">IFERROR(INDEX(AC1798:AE1798,IF(COUNTA(AC1798:AE1798)=0,"",MAX((AC1798:AE1798&lt;&gt;"")*(COLUMN(AC1798:AE1798)-(COLUMN(AC1798)-2))))-1),"")</f>
        <v>ARCHIVED</v>
      </c>
      <c r="M1798" s="13" t="n">
        <f aca="true">K1798-TODAY()</f>
        <v>-302</v>
      </c>
      <c r="N1798" s="18" t="s">
        <v>728</v>
      </c>
      <c r="O1798" s="13" t="s">
        <v>1453</v>
      </c>
      <c r="P1798" s="27" t="n">
        <v>132300</v>
      </c>
      <c r="Q1798" s="20" t="s">
        <v>7814</v>
      </c>
      <c r="R1798" s="13" t="s">
        <v>52</v>
      </c>
      <c r="S1798" s="14" t="n">
        <v>37162</v>
      </c>
      <c r="T1798" s="13" t="s">
        <v>40</v>
      </c>
      <c r="U1798" s="13" t="s">
        <v>7815</v>
      </c>
      <c r="V1798" s="13" t="s">
        <v>42</v>
      </c>
      <c r="W1798" s="13" t="s">
        <v>43</v>
      </c>
      <c r="X1798" s="21" t="n">
        <v>89675900560</v>
      </c>
      <c r="Y1798" s="22" t="str">
        <f aca="false">O1798</f>
        <v>Helper Produksi</v>
      </c>
      <c r="Z1798" s="13" t="str">
        <f aca="false">IFERROR(__xludf.dummyfunction("if(BJ1798="""","""",GOOGLETRANSLATE(BJ1798,""auto"",""en""))"),"Production Helper")</f>
        <v>Production Helper</v>
      </c>
      <c r="AA1798" s="23" t="str">
        <f aca="false">IF(C1798="","", CHOOSE(MONTH(C1798),"January","February","March","April","May","June","July","August","September","October","November","December")&amp;" "&amp;DAY(C1798)&amp;MID("thstndrdth",MIN(9,2*RIGHT(DAY(C1798))*(MOD(DAY(C1798)-11,100)&gt;2)+1),2)&amp;","&amp;TEXT(C1798," yyyy"))</f>
        <v>January 3rd,2025</v>
      </c>
      <c r="AB1798" s="15" t="str">
        <f aca="true">IF(S1798="","",DATEDIF(S1798,TODAY(),"Y")&amp;" Tahun, "&amp;DATEDIF(S1798,TODAY(),"YM")&amp;" Bulan, "&amp;DATEDIF(S1798,TODAY(),"MD")&amp;" Hari")</f>
        <v>25 Tahun, 1 Bulan, 1 Hari</v>
      </c>
      <c r="AC1798" s="18" t="n">
        <v>45841</v>
      </c>
      <c r="AD1798" s="18" t="n">
        <v>46022</v>
      </c>
      <c r="AE1798" s="18" t="s">
        <v>44</v>
      </c>
    </row>
    <row r="1799" customFormat="false" ht="15" hidden="false" customHeight="true" outlineLevel="0" collapsed="false">
      <c r="A1799" s="12" t="n">
        <v>18371</v>
      </c>
      <c r="B1799" s="13" t="s">
        <v>7816</v>
      </c>
      <c r="C1799" s="14" t="n">
        <v>45659</v>
      </c>
      <c r="D1799" s="13" t="s">
        <v>144</v>
      </c>
      <c r="E1799" s="15" t="s">
        <v>33</v>
      </c>
      <c r="F1799" s="15" t="str">
        <f aca="false">IFERROR(__xludf.dummyfunction("XLOOKUP(AJ1799,IMPORTRANGE(""1XaInW9DU9nz21V0tYIfzFQ0He9kVQ_JF2mCXgZ3hqFA"",""REKAP ALL 2026 - Andika!G:G""),IMPORTRANGE(""1XaInW9DU9nz21V0tYIfzFQ0He9kVQ_JF2mCXgZ3hqFA"",""REKAP ALL 2026 - Andika!F:F""),"""",0)"),"25012462377")</f>
        <v>25012462377</v>
      </c>
      <c r="G1799" s="13" t="s">
        <v>7817</v>
      </c>
      <c r="H1799" s="13" t="s">
        <v>35</v>
      </c>
      <c r="I1799" s="13" t="str">
        <f aca="false">IF(C1799=J1799,"NEW KONTRAK","RE-KONTRAK")</f>
        <v>NEW KONTRAK</v>
      </c>
      <c r="J1799" s="16" t="n">
        <f aca="false" t="array" ref="J1799:J1799">IFERROR(INDEX(AC1799:AE1799,IF(COUNTA(AC1799:AE1799)=0,"",MAX((AC1799:AE1799&lt;&gt;"")*(COLUMN(AC1799:AE1799)-(COLUMN(AC1799)))))-1),"")</f>
        <v>45659</v>
      </c>
      <c r="K1799" s="16" t="n">
        <f aca="false" t="array" ref="K1799:K1799">IFERROR(INDEX(AC1799:AE1799,IF(COUNTA(AC1799:AE1799)=0,"",MAX((AC1799:AE1799&lt;&gt;"")*(COLUMN(AC1799:AE1799)-(COLUMN(AC1799)-1))))-1),"")</f>
        <v>46022</v>
      </c>
      <c r="L1799" s="17" t="str">
        <f aca="false" t="array" ref="L1799:L1799">IFERROR(INDEX(AC1799:AE1799,IF(COUNTA(AC1799:AE1799)=0,"",MAX((AC1799:AE1799&lt;&gt;"")*(COLUMN(AC1799:AE1799)-(COLUMN(AC1799)-2))))-1),"")</f>
        <v>ARCHIVED</v>
      </c>
      <c r="M1799" s="13" t="n">
        <f aca="true">K1799-TODAY()</f>
        <v>-302</v>
      </c>
      <c r="N1799" s="18" t="s">
        <v>36</v>
      </c>
      <c r="O1799" s="13" t="s">
        <v>156</v>
      </c>
      <c r="P1799" s="19" t="n">
        <v>5195401</v>
      </c>
      <c r="Q1799" s="20" t="s">
        <v>7818</v>
      </c>
      <c r="R1799" s="13" t="s">
        <v>52</v>
      </c>
      <c r="S1799" s="14" t="n">
        <v>35939</v>
      </c>
      <c r="T1799" s="13" t="s">
        <v>40</v>
      </c>
      <c r="U1799" s="13" t="s">
        <v>7819</v>
      </c>
      <c r="V1799" s="13" t="s">
        <v>42</v>
      </c>
      <c r="W1799" s="13" t="s">
        <v>43</v>
      </c>
      <c r="X1799" s="21" t="n">
        <v>85888883824</v>
      </c>
      <c r="Y1799" s="22" t="str">
        <f aca="false">O1799</f>
        <v>Emulsion</v>
      </c>
      <c r="Z1799" s="13" t="str">
        <f aca="false">IFERROR(__xludf.dummyfunction("if(BJ1799="""","""",GOOGLETRANSLATE(BJ1799,""auto"",""en""))"),"Emulsion")</f>
        <v>Emulsion</v>
      </c>
      <c r="AA1799" s="23" t="str">
        <f aca="false">IF(C1799="","", CHOOSE(MONTH(C1799),"January","February","March","April","May","June","July","August","September","October","November","December")&amp;" "&amp;DAY(C1799)&amp;MID("thstndrdth",MIN(9,2*RIGHT(DAY(C1799))*(MOD(DAY(C1799)-11,100)&gt;2)+1),2)&amp;","&amp;TEXT(C1799," yyyy"))</f>
        <v>January 2nd,2025</v>
      </c>
      <c r="AB1799" s="15" t="str">
        <f aca="true">IF(S1799="","",DATEDIF(S1799,TODAY(),"Y")&amp;" Tahun, "&amp;DATEDIF(S1799,TODAY(),"YM")&amp;" Bulan, "&amp;DATEDIF(S1799,TODAY(),"MD")&amp;" Hari")</f>
        <v>28 Tahun, 5 Bulan, 5 Hari</v>
      </c>
      <c r="AC1799" s="18" t="n">
        <v>45659</v>
      </c>
      <c r="AD1799" s="18" t="n">
        <v>46022</v>
      </c>
      <c r="AE1799" s="18" t="s">
        <v>44</v>
      </c>
    </row>
    <row r="1800" customFormat="false" ht="15" hidden="false" customHeight="true" outlineLevel="0" collapsed="false">
      <c r="A1800" s="12" t="n">
        <v>18372</v>
      </c>
      <c r="B1800" s="13" t="s">
        <v>7820</v>
      </c>
      <c r="C1800" s="14" t="n">
        <v>45659</v>
      </c>
      <c r="D1800" s="13" t="s">
        <v>144</v>
      </c>
      <c r="E1800" s="15" t="s">
        <v>47</v>
      </c>
      <c r="F1800" s="15" t="str">
        <f aca="false">IFERROR(__xludf.dummyfunction("XLOOKUP(AJ1800,IMPORTRANGE(""1XaInW9DU9nz21V0tYIfzFQ0He9kVQ_JF2mCXgZ3hqFA"",""REKAP ALL 2026 - Andika!G:G""),IMPORTRANGE(""1XaInW9DU9nz21V0tYIfzFQ0He9kVQ_JF2mCXgZ3hqFA"",""REKAP ALL 2026 - Andika!F:F""),"""",0)"),"25012462393")</f>
        <v>25012462393</v>
      </c>
      <c r="G1800" s="13" t="s">
        <v>7821</v>
      </c>
      <c r="H1800" s="13" t="s">
        <v>35</v>
      </c>
      <c r="I1800" s="13" t="str">
        <f aca="false">IF(C1800=J1800,"NEW KONTRAK","RE-KONTRAK")</f>
        <v>NEW KONTRAK</v>
      </c>
      <c r="J1800" s="16" t="n">
        <f aca="false" t="array" ref="J1800:J1800">IFERROR(INDEX(AC1800:AE1800,IF(COUNTA(AC1800:AE1800)=0,"",MAX((AC1800:AE1800&lt;&gt;"")*(COLUMN(AC1800:AE1800)-(COLUMN(AC1800)))))-1),"")</f>
        <v>45659</v>
      </c>
      <c r="K1800" s="16" t="n">
        <f aca="false" t="array" ref="K1800:K1800">IFERROR(INDEX(AC1800:AE1800,IF(COUNTA(AC1800:AE1800)=0,"",MAX((AC1800:AE1800&lt;&gt;"")*(COLUMN(AC1800:AE1800)-(COLUMN(AC1800)-1))))-1),"")</f>
        <v>46022</v>
      </c>
      <c r="L1800" s="17" t="str">
        <f aca="false" t="array" ref="L1800:L1800">IFERROR(INDEX(AC1800:AE1800,IF(COUNTA(AC1800:AE1800)=0,"",MAX((AC1800:AE1800&lt;&gt;"")*(COLUMN(AC1800:AE1800)-(COLUMN(AC1800)-2))))-1),"")</f>
        <v>ARCHIVED</v>
      </c>
      <c r="M1800" s="13" t="n">
        <f aca="true">K1800-TODAY()</f>
        <v>-302</v>
      </c>
      <c r="N1800" s="18" t="s">
        <v>36</v>
      </c>
      <c r="O1800" s="13" t="s">
        <v>156</v>
      </c>
      <c r="P1800" s="19" t="n">
        <v>5195401</v>
      </c>
      <c r="Q1800" s="20" t="s">
        <v>7822</v>
      </c>
      <c r="R1800" s="13" t="s">
        <v>65</v>
      </c>
      <c r="S1800" s="14" t="n">
        <v>35031</v>
      </c>
      <c r="T1800" s="13" t="s">
        <v>40</v>
      </c>
      <c r="U1800" s="13" t="s">
        <v>7823</v>
      </c>
      <c r="V1800" s="13" t="s">
        <v>42</v>
      </c>
      <c r="W1800" s="13" t="s">
        <v>43</v>
      </c>
      <c r="X1800" s="21" t="n">
        <v>83832625764</v>
      </c>
      <c r="Y1800" s="22" t="str">
        <f aca="false">O1800</f>
        <v>Emulsion</v>
      </c>
      <c r="Z1800" s="13" t="str">
        <f aca="false">IFERROR(__xludf.dummyfunction("if(BJ1800="""","""",GOOGLETRANSLATE(BJ1800,""auto"",""en""))"),"Emulsion")</f>
        <v>Emulsion</v>
      </c>
      <c r="AA1800" s="23" t="str">
        <f aca="false">IF(C1800="","", CHOOSE(MONTH(C1800),"January","February","March","April","May","June","July","August","September","October","November","December")&amp;" "&amp;DAY(C1800)&amp;MID("thstndrdth",MIN(9,2*RIGHT(DAY(C1800))*(MOD(DAY(C1800)-11,100)&gt;2)+1),2)&amp;","&amp;TEXT(C1800," yyyy"))</f>
        <v>January 2nd,2025</v>
      </c>
      <c r="AB1800" s="15" t="str">
        <f aca="true">IF(S1800="","",DATEDIF(S1800,TODAY(),"Y")&amp;" Tahun, "&amp;DATEDIF(S1800,TODAY(),"YM")&amp;" Bulan, "&amp;DATEDIF(S1800,TODAY(),"MD")&amp;" Hari")</f>
        <v>30 Tahun, 11 Bulan, 1 Hari</v>
      </c>
      <c r="AC1800" s="18" t="n">
        <v>45659</v>
      </c>
      <c r="AD1800" s="18" t="n">
        <v>46022</v>
      </c>
      <c r="AE1800" s="18" t="s">
        <v>44</v>
      </c>
    </row>
    <row r="1801" customFormat="false" ht="15" hidden="false" customHeight="true" outlineLevel="0" collapsed="false">
      <c r="A1801" s="12" t="n">
        <v>18373</v>
      </c>
      <c r="B1801" s="13" t="s">
        <v>7824</v>
      </c>
      <c r="C1801" s="14" t="n">
        <v>45659</v>
      </c>
      <c r="D1801" s="13" t="s">
        <v>144</v>
      </c>
      <c r="E1801" s="15" t="s">
        <v>33</v>
      </c>
      <c r="F1801" s="24" t="s">
        <v>7825</v>
      </c>
      <c r="G1801" s="13" t="s">
        <v>7826</v>
      </c>
      <c r="H1801" s="13" t="s">
        <v>35</v>
      </c>
      <c r="I1801" s="13" t="str">
        <f aca="false">IF(C1801=J1801,"NEW KONTRAK","RE-KONTRAK")</f>
        <v>NEW KONTRAK</v>
      </c>
      <c r="J1801" s="16" t="n">
        <f aca="false" t="array" ref="J1801:J1801">IFERROR(INDEX(AC1801:AE1801,IF(COUNTA(AC1801:AE1801)=0,"",MAX((AC1801:AE1801&lt;&gt;"")*(COLUMN(AC1801:AE1801)-(COLUMN(AC1801)))))-1),"")</f>
        <v>45659</v>
      </c>
      <c r="K1801" s="16" t="n">
        <f aca="false" t="array" ref="K1801:K1801">IFERROR(INDEX(AC1801:AE1801,IF(COUNTA(AC1801:AE1801)=0,"",MAX((AC1801:AE1801&lt;&gt;"")*(COLUMN(AC1801:AE1801)-(COLUMN(AC1801)-1))))-1),"")</f>
        <v>46022</v>
      </c>
      <c r="L1801" s="17" t="str">
        <f aca="false" t="array" ref="L1801:L1801">IFERROR(INDEX(AC1801:AE1801,IF(COUNTA(AC1801:AE1801)=0,"",MAX((AC1801:AE1801&lt;&gt;"")*(COLUMN(AC1801:AE1801)-(COLUMN(AC1801)-2))))-1),"")</f>
        <v>ARCHIVED</v>
      </c>
      <c r="M1801" s="13" t="n">
        <f aca="true">K1801-TODAY()</f>
        <v>-302</v>
      </c>
      <c r="N1801" s="18" t="s">
        <v>36</v>
      </c>
      <c r="O1801" s="13" t="s">
        <v>3599</v>
      </c>
      <c r="P1801" s="19" t="n">
        <v>5195401</v>
      </c>
      <c r="Q1801" s="20" t="s">
        <v>7827</v>
      </c>
      <c r="R1801" s="13" t="s">
        <v>260</v>
      </c>
      <c r="S1801" s="14" t="n">
        <v>34842</v>
      </c>
      <c r="T1801" s="13" t="s">
        <v>108</v>
      </c>
      <c r="U1801" s="13" t="s">
        <v>7828</v>
      </c>
      <c r="V1801" s="13" t="s">
        <v>42</v>
      </c>
      <c r="W1801" s="13" t="s">
        <v>54</v>
      </c>
      <c r="X1801" s="30" t="n">
        <v>85314586850</v>
      </c>
      <c r="Y1801" s="22" t="str">
        <f aca="false">O1801</f>
        <v>Admin Gudang</v>
      </c>
      <c r="Z1801" s="13" t="str">
        <f aca="false">IFERROR(__xludf.dummyfunction("if(BJ1801="""","""",GOOGLETRANSLATE(BJ1801,""auto"",""en""))"),"Warehouse Admin")</f>
        <v>Warehouse Admin</v>
      </c>
      <c r="AA1801" s="23" t="str">
        <f aca="false">IF(C1801="","", CHOOSE(MONTH(C1801),"January","February","March","April","May","June","July","August","September","October","November","December")&amp;" "&amp;DAY(C1801)&amp;MID("thstndrdth",MIN(9,2*RIGHT(DAY(C1801))*(MOD(DAY(C1801)-11,100)&gt;2)+1),2)&amp;","&amp;TEXT(C1801," yyyy"))</f>
        <v>January 2nd,2025</v>
      </c>
      <c r="AB1801" s="15" t="str">
        <f aca="true">IF(S1801="","",DATEDIF(S1801,TODAY(),"Y")&amp;" Tahun, "&amp;DATEDIF(S1801,TODAY(),"YM")&amp;" Bulan, "&amp;DATEDIF(S1801,TODAY(),"MD")&amp;" Hari")</f>
        <v>31 Tahun, 5 Bulan, 6 Hari</v>
      </c>
      <c r="AC1801" s="18" t="n">
        <v>45659</v>
      </c>
      <c r="AD1801" s="18" t="n">
        <v>46022</v>
      </c>
      <c r="AE1801" s="18" t="s">
        <v>44</v>
      </c>
    </row>
    <row r="1802" customFormat="false" ht="15" hidden="false" customHeight="true" outlineLevel="0" collapsed="false">
      <c r="A1802" s="12" t="n">
        <v>18374</v>
      </c>
      <c r="B1802" s="13" t="s">
        <v>1277</v>
      </c>
      <c r="C1802" s="14" t="n">
        <v>45659</v>
      </c>
      <c r="D1802" s="13" t="s">
        <v>144</v>
      </c>
      <c r="E1802" s="15" t="s">
        <v>47</v>
      </c>
      <c r="F1802" s="15" t="str">
        <f aca="false">IFERROR(__xludf.dummyfunction("XLOOKUP(AJ1802,IMPORTRANGE(""1XaInW9DU9nz21V0tYIfzFQ0He9kVQ_JF2mCXgZ3hqFA"",""REKAP ALL 2026 - Andika!G:G""),IMPORTRANGE(""1XaInW9DU9nz21V0tYIfzFQ0He9kVQ_JF2mCXgZ3hqFA"",""REKAP ALL 2026 - Andika!F:F""),"""",0)"),"25012462427")</f>
        <v>25012462427</v>
      </c>
      <c r="G1802" s="13" t="s">
        <v>7829</v>
      </c>
      <c r="H1802" s="13" t="s">
        <v>35</v>
      </c>
      <c r="I1802" s="13" t="str">
        <f aca="false">IF(C1802=J1802,"NEW KONTRAK","RE-KONTRAK")</f>
        <v>NEW KONTRAK</v>
      </c>
      <c r="J1802" s="16" t="n">
        <f aca="false" t="array" ref="J1802:J1802">IFERROR(INDEX(AC1802:AE1802,IF(COUNTA(AC1802:AE1802)=0,"",MAX((AC1802:AE1802&lt;&gt;"")*(COLUMN(AC1802:AE1802)-(COLUMN(AC1802)))))-1),"")</f>
        <v>45659</v>
      </c>
      <c r="K1802" s="16" t="n">
        <f aca="false" t="array" ref="K1802:K1802">IFERROR(INDEX(AC1802:AE1802,IF(COUNTA(AC1802:AE1802)=0,"",MAX((AC1802:AE1802&lt;&gt;"")*(COLUMN(AC1802:AE1802)-(COLUMN(AC1802)-1))))-1),"")</f>
        <v>46022</v>
      </c>
      <c r="L1802" s="17" t="str">
        <f aca="false" t="array" ref="L1802:L1802">IFERROR(INDEX(AC1802:AE1802,IF(COUNTA(AC1802:AE1802)=0,"",MAX((AC1802:AE1802&lt;&gt;"")*(COLUMN(AC1802:AE1802)-(COLUMN(AC1802)-2))))-1),"")</f>
        <v>ARCHIVED</v>
      </c>
      <c r="M1802" s="13" t="n">
        <f aca="true">K1802-TODAY()</f>
        <v>-302</v>
      </c>
      <c r="N1802" s="18" t="s">
        <v>36</v>
      </c>
      <c r="O1802" s="13" t="s">
        <v>6606</v>
      </c>
      <c r="P1802" s="19" t="n">
        <v>5195401</v>
      </c>
      <c r="Q1802" s="20" t="s">
        <v>7830</v>
      </c>
      <c r="R1802" s="13" t="s">
        <v>78</v>
      </c>
      <c r="S1802" s="14" t="n">
        <v>32650</v>
      </c>
      <c r="T1802" s="13" t="s">
        <v>40</v>
      </c>
      <c r="U1802" s="13" t="s">
        <v>7831</v>
      </c>
      <c r="V1802" s="13" t="s">
        <v>42</v>
      </c>
      <c r="W1802" s="13" t="s">
        <v>897</v>
      </c>
      <c r="X1802" s="21" t="n">
        <v>81230571900</v>
      </c>
      <c r="Y1802" s="22" t="str">
        <f aca="false">O1802</f>
        <v>Picker</v>
      </c>
      <c r="Z1802" s="13" t="str">
        <f aca="false">IFERROR(__xludf.dummyfunction("if(BJ1802="""","""",GOOGLETRANSLATE(BJ1802,""auto"",""en""))"),"Picker")</f>
        <v>Picker</v>
      </c>
      <c r="AA1802" s="23" t="str">
        <f aca="false">IF(C1802="","", CHOOSE(MONTH(C1802),"January","February","March","April","May","June","July","August","September","October","November","December")&amp;" "&amp;DAY(C1802)&amp;MID("thstndrdth",MIN(9,2*RIGHT(DAY(C1802))*(MOD(DAY(C1802)-11,100)&gt;2)+1),2)&amp;","&amp;TEXT(C1802," yyyy"))</f>
        <v>January 2nd,2025</v>
      </c>
      <c r="AB1802" s="15" t="str">
        <f aca="true">IF(S1802="","",DATEDIF(S1802,TODAY(),"Y")&amp;" Tahun, "&amp;DATEDIF(S1802,TODAY(),"YM")&amp;" Bulan, "&amp;DATEDIF(S1802,TODAY(),"MD")&amp;" Hari")</f>
        <v>37 Tahun, 5 Bulan, 7 Hari</v>
      </c>
      <c r="AC1802" s="18" t="n">
        <v>45659</v>
      </c>
      <c r="AD1802" s="18" t="n">
        <v>46022</v>
      </c>
      <c r="AE1802" s="18" t="s">
        <v>44</v>
      </c>
    </row>
    <row r="1803" customFormat="false" ht="15" hidden="false" customHeight="true" outlineLevel="0" collapsed="false">
      <c r="A1803" s="12" t="n">
        <v>18379</v>
      </c>
      <c r="B1803" s="13" t="s">
        <v>7832</v>
      </c>
      <c r="C1803" s="14" t="n">
        <v>45663</v>
      </c>
      <c r="D1803" s="13" t="s">
        <v>144</v>
      </c>
      <c r="E1803" s="15" t="s">
        <v>47</v>
      </c>
      <c r="F1803" s="15" t="str">
        <f aca="false">IFERROR(__xludf.dummyfunction("XLOOKUP(AJ1803,IMPORTRANGE(""1XaInW9DU9nz21V0tYIfzFQ0He9kVQ_JF2mCXgZ3hqFA"",""REKAP ALL 2026 - Andika!G:G""),IMPORTRANGE(""1XaInW9DU9nz21V0tYIfzFQ0He9kVQ_JF2mCXgZ3hqFA"",""REKAP ALL 2026 - Andika!F:F""),"""",0)"),"25012462443")</f>
        <v>25012462443</v>
      </c>
      <c r="G1803" s="13" t="s">
        <v>7833</v>
      </c>
      <c r="H1803" s="13" t="s">
        <v>35</v>
      </c>
      <c r="I1803" s="13" t="str">
        <f aca="false">IF(C1803=J1803,"NEW KONTRAK","RE-KONTRAK")</f>
        <v>NEW KONTRAK</v>
      </c>
      <c r="J1803" s="16" t="n">
        <f aca="false" t="array" ref="J1803:J1803">IFERROR(INDEX(AC1803:AE1803,IF(COUNTA(AC1803:AE1803)=0,"",MAX((AC1803:AE1803&lt;&gt;"")*(COLUMN(AC1803:AE1803)-(COLUMN(AC1803)))))-1),"")</f>
        <v>45663</v>
      </c>
      <c r="K1803" s="16" t="n">
        <f aca="false" t="array" ref="K1803:K1803">IFERROR(INDEX(AC1803:AE1803,IF(COUNTA(AC1803:AE1803)=0,"",MAX((AC1803:AE1803&lt;&gt;"")*(COLUMN(AC1803:AE1803)-(COLUMN(AC1803)-1))))-1),"")</f>
        <v>46022</v>
      </c>
      <c r="L1803" s="17" t="str">
        <f aca="false" t="array" ref="L1803:L1803">IFERROR(INDEX(AC1803:AE1803,IF(COUNTA(AC1803:AE1803)=0,"",MAX((AC1803:AE1803&lt;&gt;"")*(COLUMN(AC1803:AE1803)-(COLUMN(AC1803)-2))))-1),"")</f>
        <v>ARCHIVED</v>
      </c>
      <c r="M1803" s="13" t="n">
        <f aca="true">K1803-TODAY()</f>
        <v>-302</v>
      </c>
      <c r="N1803" s="18" t="s">
        <v>36</v>
      </c>
      <c r="O1803" s="13" t="s">
        <v>146</v>
      </c>
      <c r="P1803" s="19" t="n">
        <v>5195401</v>
      </c>
      <c r="Q1803" s="20" t="s">
        <v>7834</v>
      </c>
      <c r="R1803" s="13" t="s">
        <v>735</v>
      </c>
      <c r="S1803" s="14" t="n">
        <v>37446</v>
      </c>
      <c r="T1803" s="13" t="s">
        <v>40</v>
      </c>
      <c r="U1803" s="13" t="s">
        <v>7835</v>
      </c>
      <c r="V1803" s="13" t="s">
        <v>42</v>
      </c>
      <c r="W1803" s="13" t="s">
        <v>43</v>
      </c>
      <c r="X1803" s="21" t="n">
        <v>85806871701</v>
      </c>
      <c r="Y1803" s="22" t="str">
        <f aca="false">O1803</f>
        <v>Enamel</v>
      </c>
      <c r="Z1803" s="13" t="str">
        <f aca="false">IFERROR(__xludf.dummyfunction("if(BJ1803="""","""",GOOGLETRANSLATE(BJ1803,""auto"",""en""))"),"Enamel")</f>
        <v>Enamel</v>
      </c>
      <c r="AA1803" s="23" t="str">
        <f aca="false">IF(C1803="","", CHOOSE(MONTH(C1803),"January","February","March","April","May","June","July","August","September","October","November","December")&amp;" "&amp;DAY(C1803)&amp;MID("thstndrdth",MIN(9,2*RIGHT(DAY(C1803))*(MOD(DAY(C1803)-11,100)&gt;2)+1),2)&amp;","&amp;TEXT(C1803," yyyy"))</f>
        <v>January 6th,2025</v>
      </c>
      <c r="AB1803" s="15" t="str">
        <f aca="true">IF(S1803="","",DATEDIF(S1803,TODAY(),"Y")&amp;" Tahun, "&amp;DATEDIF(S1803,TODAY(),"YM")&amp;" Bulan, "&amp;DATEDIF(S1803,TODAY(),"MD")&amp;" Hari")</f>
        <v>24 Tahun, 3 Bulan, 20 Hari</v>
      </c>
      <c r="AC1803" s="18" t="n">
        <v>45663</v>
      </c>
      <c r="AD1803" s="18" t="n">
        <v>46022</v>
      </c>
      <c r="AE1803" s="18" t="s">
        <v>44</v>
      </c>
    </row>
    <row r="1804" customFormat="false" ht="15" hidden="false" customHeight="true" outlineLevel="0" collapsed="false">
      <c r="A1804" s="12" t="n">
        <v>18380</v>
      </c>
      <c r="B1804" s="13" t="s">
        <v>7836</v>
      </c>
      <c r="C1804" s="14" t="n">
        <v>45663</v>
      </c>
      <c r="D1804" s="13" t="s">
        <v>144</v>
      </c>
      <c r="E1804" s="15" t="s">
        <v>47</v>
      </c>
      <c r="F1804" s="15" t="str">
        <f aca="false">IFERROR(__xludf.dummyfunction("XLOOKUP(AJ1804,IMPORTRANGE(""1XaInW9DU9nz21V0tYIfzFQ0He9kVQ_JF2mCXgZ3hqFA"",""REKAP ALL 2026 - Andika!G:G""),IMPORTRANGE(""1XaInW9DU9nz21V0tYIfzFQ0He9kVQ_JF2mCXgZ3hqFA"",""REKAP ALL 2026 - Andika!F:F""),"""",0)"),"25012462468")</f>
        <v>25012462468</v>
      </c>
      <c r="G1804" s="13" t="s">
        <v>7837</v>
      </c>
      <c r="H1804" s="13" t="s">
        <v>35</v>
      </c>
      <c r="I1804" s="13" t="str">
        <f aca="false">IF(C1804=J1804,"NEW KONTRAK","RE-KONTRAK")</f>
        <v>NEW KONTRAK</v>
      </c>
      <c r="J1804" s="16" t="n">
        <f aca="false" t="array" ref="J1804:J1804">IFERROR(INDEX(AC1804:AE1804,IF(COUNTA(AC1804:AE1804)=0,"",MAX((AC1804:AE1804&lt;&gt;"")*(COLUMN(AC1804:AE1804)-(COLUMN(AC1804)))))-1),"")</f>
        <v>45663</v>
      </c>
      <c r="K1804" s="16" t="n">
        <f aca="false" t="array" ref="K1804:K1804">IFERROR(INDEX(AC1804:AE1804,IF(COUNTA(AC1804:AE1804)=0,"",MAX((AC1804:AE1804&lt;&gt;"")*(COLUMN(AC1804:AE1804)-(COLUMN(AC1804)-1))))-1),"")</f>
        <v>46022</v>
      </c>
      <c r="L1804" s="17" t="str">
        <f aca="false" t="array" ref="L1804:L1804">IFERROR(INDEX(AC1804:AE1804,IF(COUNTA(AC1804:AE1804)=0,"",MAX((AC1804:AE1804&lt;&gt;"")*(COLUMN(AC1804:AE1804)-(COLUMN(AC1804)-2))))-1),"")</f>
        <v>ARCHIVED</v>
      </c>
      <c r="M1804" s="13" t="n">
        <f aca="true">K1804-TODAY()</f>
        <v>-302</v>
      </c>
      <c r="N1804" s="18" t="s">
        <v>36</v>
      </c>
      <c r="O1804" s="13" t="s">
        <v>146</v>
      </c>
      <c r="P1804" s="19" t="n">
        <v>5195401</v>
      </c>
      <c r="Q1804" s="20" t="s">
        <v>7838</v>
      </c>
      <c r="R1804" s="13" t="s">
        <v>52</v>
      </c>
      <c r="S1804" s="14" t="n">
        <v>35113</v>
      </c>
      <c r="T1804" s="13" t="s">
        <v>40</v>
      </c>
      <c r="U1804" s="13" t="s">
        <v>7839</v>
      </c>
      <c r="V1804" s="13" t="s">
        <v>42</v>
      </c>
      <c r="W1804" s="13" t="s">
        <v>43</v>
      </c>
      <c r="X1804" s="21" t="n">
        <v>85707216971</v>
      </c>
      <c r="Y1804" s="22" t="str">
        <f aca="false">O1804</f>
        <v>Enamel</v>
      </c>
      <c r="Z1804" s="13" t="str">
        <f aca="false">IFERROR(__xludf.dummyfunction("if(BJ1804="""","""",GOOGLETRANSLATE(BJ1804,""auto"",""en""))"),"Enamel")</f>
        <v>Enamel</v>
      </c>
      <c r="AA1804" s="23" t="str">
        <f aca="false">IF(C1804="","", CHOOSE(MONTH(C1804),"January","February","March","April","May","June","July","August","September","October","November","December")&amp;" "&amp;DAY(C1804)&amp;MID("thstndrdth",MIN(9,2*RIGHT(DAY(C1804))*(MOD(DAY(C1804)-11,100)&gt;2)+1),2)&amp;","&amp;TEXT(C1804," yyyy"))</f>
        <v>January 6th,2025</v>
      </c>
      <c r="AB1804" s="15" t="str">
        <f aca="true">IF(S1804="","",DATEDIF(S1804,TODAY(),"Y")&amp;" Tahun, "&amp;DATEDIF(S1804,TODAY(),"YM")&amp;" Bulan, "&amp;DATEDIF(S1804,TODAY(),"MD")&amp;" Hari")</f>
        <v>30 Tahun, 8 Bulan, 11 Hari</v>
      </c>
      <c r="AC1804" s="18" t="n">
        <v>45663</v>
      </c>
      <c r="AD1804" s="18" t="n">
        <v>46022</v>
      </c>
      <c r="AE1804" s="18" t="s">
        <v>44</v>
      </c>
    </row>
    <row r="1805" customFormat="false" ht="15" hidden="false" customHeight="true" outlineLevel="0" collapsed="false">
      <c r="A1805" s="12" t="n">
        <v>18381</v>
      </c>
      <c r="B1805" s="13" t="s">
        <v>7840</v>
      </c>
      <c r="C1805" s="14" t="n">
        <v>45663</v>
      </c>
      <c r="D1805" s="13" t="s">
        <v>144</v>
      </c>
      <c r="E1805" s="15" t="s">
        <v>47</v>
      </c>
      <c r="F1805" s="15" t="str">
        <f aca="false">IFERROR(__xludf.dummyfunction("XLOOKUP(AJ1805,IMPORTRANGE(""1XaInW9DU9nz21V0tYIfzFQ0He9kVQ_JF2mCXgZ3hqFA"",""REKAP ALL 2026 - Andika!G:G""),IMPORTRANGE(""1XaInW9DU9nz21V0tYIfzFQ0He9kVQ_JF2mCXgZ3hqFA"",""REKAP ALL 2026 - Andika!F:F""),"""",0)"),"25012462476")</f>
        <v>25012462476</v>
      </c>
      <c r="G1805" s="13" t="s">
        <v>7841</v>
      </c>
      <c r="H1805" s="13" t="s">
        <v>35</v>
      </c>
      <c r="I1805" s="13" t="str">
        <f aca="false">IF(C1805=J1805,"NEW KONTRAK","RE-KONTRAK")</f>
        <v>NEW KONTRAK</v>
      </c>
      <c r="J1805" s="16" t="n">
        <f aca="false" t="array" ref="J1805:J1805">IFERROR(INDEX(AC1805:AE1805,IF(COUNTA(AC1805:AE1805)=0,"",MAX((AC1805:AE1805&lt;&gt;"")*(COLUMN(AC1805:AE1805)-(COLUMN(AC1805)))))-1),"")</f>
        <v>45663</v>
      </c>
      <c r="K1805" s="16" t="n">
        <f aca="false" t="array" ref="K1805:K1805">IFERROR(INDEX(AC1805:AE1805,IF(COUNTA(AC1805:AE1805)=0,"",MAX((AC1805:AE1805&lt;&gt;"")*(COLUMN(AC1805:AE1805)-(COLUMN(AC1805)-1))))-1),"")</f>
        <v>46022</v>
      </c>
      <c r="L1805" s="17" t="str">
        <f aca="false" t="array" ref="L1805:L1805">IFERROR(INDEX(AC1805:AE1805,IF(COUNTA(AC1805:AE1805)=0,"",MAX((AC1805:AE1805&lt;&gt;"")*(COLUMN(AC1805:AE1805)-(COLUMN(AC1805)-2))))-1),"")</f>
        <v>ARCHIVED</v>
      </c>
      <c r="M1805" s="13" t="n">
        <f aca="true">K1805-TODAY()</f>
        <v>-302</v>
      </c>
      <c r="N1805" s="18" t="s">
        <v>36</v>
      </c>
      <c r="O1805" s="13" t="s">
        <v>146</v>
      </c>
      <c r="P1805" s="19" t="n">
        <v>5195401</v>
      </c>
      <c r="Q1805" s="20" t="s">
        <v>7842</v>
      </c>
      <c r="R1805" s="13" t="s">
        <v>52</v>
      </c>
      <c r="S1805" s="14" t="n">
        <v>36816</v>
      </c>
      <c r="T1805" s="13" t="s">
        <v>40</v>
      </c>
      <c r="U1805" s="13" t="s">
        <v>7843</v>
      </c>
      <c r="V1805" s="13" t="s">
        <v>42</v>
      </c>
      <c r="W1805" s="13" t="s">
        <v>54</v>
      </c>
      <c r="X1805" s="21" t="n">
        <v>89523145627</v>
      </c>
      <c r="Y1805" s="22" t="str">
        <f aca="false">O1805</f>
        <v>Enamel</v>
      </c>
      <c r="Z1805" s="13" t="str">
        <f aca="false">IFERROR(__xludf.dummyfunction("if(BJ1805="""","""",GOOGLETRANSLATE(BJ1805,""auto"",""en""))"),"Enamel")</f>
        <v>Enamel</v>
      </c>
      <c r="AA1805" s="23" t="str">
        <f aca="false">IF(C1805="","", CHOOSE(MONTH(C1805),"January","February","March","April","May","June","July","August","September","October","November","December")&amp;" "&amp;DAY(C1805)&amp;MID("thstndrdth",MIN(9,2*RIGHT(DAY(C1805))*(MOD(DAY(C1805)-11,100)&gt;2)+1),2)&amp;","&amp;TEXT(C1805," yyyy"))</f>
        <v>January 6th,2025</v>
      </c>
      <c r="AB1805" s="15" t="str">
        <f aca="true">IF(S1805="","",DATEDIF(S1805,TODAY(),"Y")&amp;" Tahun, "&amp;DATEDIF(S1805,TODAY(),"YM")&amp;" Bulan, "&amp;DATEDIF(S1805,TODAY(),"MD")&amp;" Hari")</f>
        <v>26 Tahun, 0 Bulan, 12 Hari</v>
      </c>
      <c r="AC1805" s="18" t="n">
        <v>45663</v>
      </c>
      <c r="AD1805" s="18" t="n">
        <v>46022</v>
      </c>
      <c r="AE1805" s="18" t="s">
        <v>44</v>
      </c>
    </row>
    <row r="1806" customFormat="false" ht="15" hidden="false" customHeight="true" outlineLevel="0" collapsed="false">
      <c r="A1806" s="12" t="n">
        <v>18411</v>
      </c>
      <c r="B1806" s="13" t="s">
        <v>7844</v>
      </c>
      <c r="C1806" s="14" t="n">
        <v>45658</v>
      </c>
      <c r="D1806" s="13" t="s">
        <v>6956</v>
      </c>
      <c r="E1806" s="15" t="s">
        <v>102</v>
      </c>
      <c r="F1806" s="24" t="s">
        <v>7845</v>
      </c>
      <c r="G1806" s="13" t="s">
        <v>7846</v>
      </c>
      <c r="H1806" s="13" t="s">
        <v>35</v>
      </c>
      <c r="I1806" s="13" t="str">
        <f aca="false">IF(C1806=J1806,"NEW KONTRAK","RE-KONTRAK")</f>
        <v>RE-KONTRAK</v>
      </c>
      <c r="J1806" s="16" t="n">
        <f aca="false" t="array" ref="J1806:J1806">IFERROR(INDEX(AC1806:AE1806,IF(COUNTA(AC1806:AE1806)=0,"",MAX((AC1806:AE1806&lt;&gt;"")*(COLUMN(AC1806:AE1806)-(COLUMN(AC1806)))))-1),"")</f>
        <v>45839</v>
      </c>
      <c r="K1806" s="16" t="n">
        <f aca="false" t="array" ref="K1806:K1806">IFERROR(INDEX(AC1806:AE1806,IF(COUNTA(AC1806:AE1806)=0,"",MAX((AC1806:AE1806&lt;&gt;"")*(COLUMN(AC1806:AE1806)-(COLUMN(AC1806)-1))))-1),"")</f>
        <v>46022</v>
      </c>
      <c r="L1806" s="17" t="str">
        <f aca="false" t="array" ref="L1806:L1806">IFERROR(INDEX(AC1806:AE1806,IF(COUNTA(AC1806:AE1806)=0,"",MAX((AC1806:AE1806&lt;&gt;"")*(COLUMN(AC1806:AE1806)-(COLUMN(AC1806)-2))))-1),"")</f>
        <v>ARCHIVED</v>
      </c>
      <c r="M1806" s="13" t="n">
        <f aca="true">K1806-TODAY()</f>
        <v>-302</v>
      </c>
      <c r="N1806" s="18" t="s">
        <v>728</v>
      </c>
      <c r="O1806" s="13" t="s">
        <v>7847</v>
      </c>
      <c r="P1806" s="19" t="n">
        <v>200000</v>
      </c>
      <c r="Q1806" s="20" t="s">
        <v>7848</v>
      </c>
      <c r="R1806" s="13" t="s">
        <v>52</v>
      </c>
      <c r="S1806" s="14" t="n">
        <v>33350</v>
      </c>
      <c r="T1806" s="13" t="s">
        <v>108</v>
      </c>
      <c r="U1806" s="13" t="s">
        <v>7849</v>
      </c>
      <c r="V1806" s="13" t="s">
        <v>99</v>
      </c>
      <c r="W1806" s="13" t="s">
        <v>54</v>
      </c>
      <c r="X1806" s="21" t="n">
        <v>82324507038</v>
      </c>
      <c r="Y1806" s="22" t="str">
        <f aca="false">O1806</f>
        <v>Pembelian</v>
      </c>
      <c r="Z1806" s="13" t="str">
        <f aca="false">IFERROR(__xludf.dummyfunction("if(BJ1806="""","""",GOOGLETRANSLATE(BJ1806,""auto"",""en""))"),"Purchase")</f>
        <v>Purchase</v>
      </c>
      <c r="AA1806" s="23" t="str">
        <f aca="false">IF(C1806="","", CHOOSE(MONTH(C1806),"January","February","March","April","May","June","July","August","September","October","November","December")&amp;" "&amp;DAY(C1806)&amp;MID("thstndrdth",MIN(9,2*RIGHT(DAY(C1806))*(MOD(DAY(C1806)-11,100)&gt;2)+1),2)&amp;","&amp;TEXT(C1806," yyyy"))</f>
        <v>January 1st,2025</v>
      </c>
      <c r="AB1806" s="15" t="str">
        <f aca="true">IF(S1806="","",DATEDIF(S1806,TODAY(),"Y")&amp;" Tahun, "&amp;DATEDIF(S1806,TODAY(),"YM")&amp;" Bulan, "&amp;DATEDIF(S1806,TODAY(),"MD")&amp;" Hari")</f>
        <v>35 Tahun, 6 Bulan, 7 Hari</v>
      </c>
      <c r="AC1806" s="18" t="n">
        <v>45839</v>
      </c>
      <c r="AD1806" s="18" t="n">
        <v>46022</v>
      </c>
      <c r="AE1806" s="18" t="s">
        <v>44</v>
      </c>
    </row>
    <row r="1807" customFormat="false" ht="15" hidden="false" customHeight="true" outlineLevel="0" collapsed="false">
      <c r="A1807" s="12" t="n">
        <v>18415</v>
      </c>
      <c r="B1807" s="13" t="s">
        <v>7850</v>
      </c>
      <c r="C1807" s="14" t="n">
        <v>45659</v>
      </c>
      <c r="D1807" s="13" t="s">
        <v>3022</v>
      </c>
      <c r="E1807" s="15" t="s">
        <v>789</v>
      </c>
      <c r="F1807" s="24" t="s">
        <v>7851</v>
      </c>
      <c r="G1807" s="13" t="s">
        <v>7852</v>
      </c>
      <c r="H1807" s="13" t="s">
        <v>2967</v>
      </c>
      <c r="I1807" s="13" t="str">
        <f aca="false">IF(C1807=J1807,"NEW KONTRAK","RE-KONTRAK")</f>
        <v>RE-KONTRAK</v>
      </c>
      <c r="J1807" s="16" t="n">
        <f aca="false" t="array" ref="J1807:J1807">IFERROR(INDEX(AC1807:AE1807,IF(COUNTA(AC1807:AE1807)=0,"",MAX((AC1807:AE1807&lt;&gt;"")*(COLUMN(AC1807:AE1807)-(COLUMN(AC1807)))))-1),"")</f>
        <v>45840</v>
      </c>
      <c r="K1807" s="16" t="n">
        <f aca="false" t="array" ref="K1807:K1807">IFERROR(INDEX(AC1807:AE1807,IF(COUNTA(AC1807:AE1807)=0,"",MAX((AC1807:AE1807&lt;&gt;"")*(COLUMN(AC1807:AE1807)-(COLUMN(AC1807)-1))))-1),"")</f>
        <v>45934</v>
      </c>
      <c r="L1807" s="17" t="str">
        <f aca="false" t="array" ref="L1807:L1807">IFERROR(INDEX(AC1807:AE1807,IF(COUNTA(AC1807:AE1807)=0,"",MAX((AC1807:AE1807&lt;&gt;"")*(COLUMN(AC1807:AE1807)-(COLUMN(AC1807)-2))))-1),"")</f>
        <v>ARCHIVED</v>
      </c>
      <c r="M1807" s="13" t="n">
        <f aca="true">K1807-TODAY()</f>
        <v>-390</v>
      </c>
      <c r="N1807" s="18" t="s">
        <v>36</v>
      </c>
      <c r="O1807" s="13" t="s">
        <v>50</v>
      </c>
      <c r="P1807" s="27" t="n">
        <v>135000</v>
      </c>
      <c r="Q1807" s="20" t="s">
        <v>7853</v>
      </c>
      <c r="R1807" s="13" t="s">
        <v>52</v>
      </c>
      <c r="S1807" s="14" t="n">
        <v>31165</v>
      </c>
      <c r="T1807" s="28" t="s">
        <v>40</v>
      </c>
      <c r="U1807" s="13" t="s">
        <v>7854</v>
      </c>
      <c r="V1807" s="13" t="s">
        <v>42</v>
      </c>
      <c r="W1807" s="13" t="s">
        <v>54</v>
      </c>
      <c r="X1807" s="21" t="n">
        <v>81936333030</v>
      </c>
      <c r="Y1807" s="22" t="str">
        <f aca="false">O1807</f>
        <v>Driver</v>
      </c>
      <c r="Z1807" s="13" t="str">
        <f aca="false">IFERROR(__xludf.dummyfunction("if(BJ1807="""","""",GOOGLETRANSLATE(BJ1807,""auto"",""en""))"),"Driver")</f>
        <v>Driver</v>
      </c>
      <c r="AA1807" s="23" t="str">
        <f aca="false">IF(C1807="","", CHOOSE(MONTH(C1807),"January","February","March","April","May","June","July","August","September","October","November","December")&amp;" "&amp;DAY(C1807)&amp;MID("thstndrdth",MIN(9,2*RIGHT(DAY(C1807))*(MOD(DAY(C1807)-11,100)&gt;2)+1),2)&amp;","&amp;TEXT(C1807," yyyy"))</f>
        <v>January 2nd,2025</v>
      </c>
      <c r="AB1807" s="15" t="str">
        <f aca="true">IF(S1807="","",DATEDIF(S1807,TODAY(),"Y")&amp;" Tahun, "&amp;DATEDIF(S1807,TODAY(),"YM")&amp;" Bulan, "&amp;DATEDIF(S1807,TODAY(),"MD")&amp;" Hari")</f>
        <v>41 Tahun, 6 Bulan, 1 Hari</v>
      </c>
      <c r="AC1807" s="18" t="n">
        <v>45840</v>
      </c>
      <c r="AD1807" s="18" t="n">
        <v>45934</v>
      </c>
      <c r="AE1807" s="18" t="s">
        <v>44</v>
      </c>
    </row>
    <row r="1808" customFormat="false" ht="15" hidden="false" customHeight="true" outlineLevel="0" collapsed="false">
      <c r="A1808" s="12" t="n">
        <v>18440</v>
      </c>
      <c r="B1808" s="13" t="s">
        <v>7855</v>
      </c>
      <c r="C1808" s="14" t="n">
        <v>45661</v>
      </c>
      <c r="D1808" s="13" t="s">
        <v>4252</v>
      </c>
      <c r="E1808" s="15" t="s">
        <v>33</v>
      </c>
      <c r="F1808" s="24" t="s">
        <v>7856</v>
      </c>
      <c r="G1808" s="13" t="s">
        <v>57</v>
      </c>
      <c r="H1808" s="13" t="s">
        <v>35</v>
      </c>
      <c r="I1808" s="13" t="str">
        <f aca="false">IF(C1808=J1808,"NEW KONTRAK","RE-KONTRAK")</f>
        <v>RE-KONTRAK</v>
      </c>
      <c r="J1808" s="16" t="n">
        <f aca="false" t="array" ref="J1808:J1808">IFERROR(INDEX(AC1808:AE1808,IF(COUNTA(AC1808:AE1808)=0,"",MAX((AC1808:AE1808&lt;&gt;"")*(COLUMN(AC1808:AE1808)-(COLUMN(AC1808)))))-1),"")</f>
        <v>45764</v>
      </c>
      <c r="K1808" s="16" t="n">
        <f aca="false" t="array" ref="K1808:K1808">IFERROR(INDEX(AC1808:AE1808,IF(COUNTA(AC1808:AE1808)=0,"",MAX((AC1808:AE1808&lt;&gt;"")*(COLUMN(AC1808:AE1808)-(COLUMN(AC1808)-1))))-1),"")</f>
        <v>45946</v>
      </c>
      <c r="L1808" s="17" t="str">
        <f aca="false" t="array" ref="L1808:L1808">IFERROR(INDEX(AC1808:AE1808,IF(COUNTA(AC1808:AE1808)=0,"",MAX((AC1808:AE1808&lt;&gt;"")*(COLUMN(AC1808:AE1808)-(COLUMN(AC1808)-2))))-1),"")</f>
        <v>ARCHIVED</v>
      </c>
      <c r="M1808" s="13" t="n">
        <f aca="true">K1808-TODAY()</f>
        <v>-378</v>
      </c>
      <c r="N1808" s="18" t="s">
        <v>36</v>
      </c>
      <c r="O1808" s="13" t="s">
        <v>4280</v>
      </c>
      <c r="P1808" s="27" t="n">
        <v>120000</v>
      </c>
      <c r="Q1808" s="20" t="s">
        <v>7857</v>
      </c>
      <c r="R1808" s="13" t="s">
        <v>148</v>
      </c>
      <c r="S1808" s="14" t="n">
        <v>36571</v>
      </c>
      <c r="T1808" s="13" t="s">
        <v>108</v>
      </c>
      <c r="U1808" s="13" t="s">
        <v>7858</v>
      </c>
      <c r="V1808" s="13" t="s">
        <v>42</v>
      </c>
      <c r="W1808" s="13" t="s">
        <v>43</v>
      </c>
      <c r="X1808" s="21" t="n">
        <v>85853663325</v>
      </c>
      <c r="Y1808" s="22" t="str">
        <f aca="false">O1808</f>
        <v>Helper Cutting</v>
      </c>
      <c r="Z1808" s="13" t="str">
        <f aca="false">IFERROR(__xludf.dummyfunction("if(BJ1808="""","""",GOOGLETRANSLATE(BJ1808,""auto"",""en""))"),"Helper Cutting")</f>
        <v>Helper Cutting</v>
      </c>
      <c r="AA1808" s="23" t="str">
        <f aca="false">IF(C1808="","", CHOOSE(MONTH(C1808),"January","February","March","April","May","June","July","August","September","October","November","December")&amp;" "&amp;DAY(C1808)&amp;MID("thstndrdth",MIN(9,2*RIGHT(DAY(C1808))*(MOD(DAY(C1808)-11,100)&gt;2)+1),2)&amp;","&amp;TEXT(C1808," yyyy"))</f>
        <v>January 4th,2025</v>
      </c>
      <c r="AB1808" s="15" t="str">
        <f aca="true">IF(S1808="","",DATEDIF(S1808,TODAY(),"Y")&amp;" Tahun, "&amp;DATEDIF(S1808,TODAY(),"YM")&amp;" Bulan, "&amp;DATEDIF(S1808,TODAY(),"MD")&amp;" Hari")</f>
        <v>26 Tahun, 8 Bulan, 14 Hari</v>
      </c>
      <c r="AC1808" s="18" t="n">
        <v>45764</v>
      </c>
      <c r="AD1808" s="18" t="n">
        <v>45946</v>
      </c>
      <c r="AE1808" s="18" t="s">
        <v>44</v>
      </c>
    </row>
    <row r="1809" customFormat="false" ht="15" hidden="false" customHeight="true" outlineLevel="0" collapsed="false">
      <c r="A1809" s="12" t="n">
        <v>18441</v>
      </c>
      <c r="B1809" s="13" t="s">
        <v>7859</v>
      </c>
      <c r="C1809" s="14" t="n">
        <v>45661</v>
      </c>
      <c r="D1809" s="13" t="s">
        <v>4610</v>
      </c>
      <c r="E1809" s="15" t="s">
        <v>47</v>
      </c>
      <c r="F1809" s="15" t="str">
        <f aca="false">IFERROR(__xludf.dummyfunction("XLOOKUP(AJ1809,IMPORTRANGE(""1XaInW9DU9nz21V0tYIfzFQ0He9kVQ_JF2mCXgZ3hqFA"",""REKAP ALL 2026 - Andika!G:G""),IMPORTRANGE(""1XaInW9DU9nz21V0tYIfzFQ0He9kVQ_JF2mCXgZ3hqFA"",""REKAP ALL 2026 - Andika!F:F""),"""",0)"),"25012463961")</f>
        <v>25012463961</v>
      </c>
      <c r="G1809" s="13" t="s">
        <v>57</v>
      </c>
      <c r="H1809" s="13" t="s">
        <v>35</v>
      </c>
      <c r="I1809" s="13" t="str">
        <f aca="false">IF(C1809=J1809,"NEW KONTRAK","RE-KONTRAK")</f>
        <v>RE-KONTRAK</v>
      </c>
      <c r="J1809" s="16" t="n">
        <f aca="false" t="array" ref="J1809:J1809">IFERROR(INDEX(AC1809:AE1809,IF(COUNTA(AC1809:AE1809)=0,"",MAX((AC1809:AE1809&lt;&gt;"")*(COLUMN(AC1809:AE1809)-(COLUMN(AC1809)))))-1),"")</f>
        <v>45764</v>
      </c>
      <c r="K1809" s="16" t="n">
        <f aca="false" t="array" ref="K1809:K1809">IFERROR(INDEX(AC1809:AE1809,IF(COUNTA(AC1809:AE1809)=0,"",MAX((AC1809:AE1809&lt;&gt;"")*(COLUMN(AC1809:AE1809)-(COLUMN(AC1809)-1))))-1),"")</f>
        <v>45946</v>
      </c>
      <c r="L1809" s="17" t="str">
        <f aca="false" t="array" ref="L1809:L1809">IFERROR(INDEX(AC1809:AE1809,IF(COUNTA(AC1809:AE1809)=0,"",MAX((AC1809:AE1809&lt;&gt;"")*(COLUMN(AC1809:AE1809)-(COLUMN(AC1809)-2))))-1),"")</f>
        <v>ARCHIVED</v>
      </c>
      <c r="M1809" s="13" t="n">
        <f aca="true">K1809-TODAY()</f>
        <v>-378</v>
      </c>
      <c r="N1809" s="18" t="s">
        <v>36</v>
      </c>
      <c r="O1809" s="13" t="s">
        <v>4280</v>
      </c>
      <c r="P1809" s="27" t="n">
        <v>120000</v>
      </c>
      <c r="Q1809" s="20" t="s">
        <v>7860</v>
      </c>
      <c r="R1809" s="13" t="s">
        <v>168</v>
      </c>
      <c r="S1809" s="14" t="n">
        <v>38617</v>
      </c>
      <c r="T1809" s="13" t="s">
        <v>108</v>
      </c>
      <c r="U1809" s="13" t="s">
        <v>7861</v>
      </c>
      <c r="V1809" s="13" t="s">
        <v>42</v>
      </c>
      <c r="W1809" s="13" t="s">
        <v>43</v>
      </c>
      <c r="X1809" s="21" t="n">
        <v>85606352921</v>
      </c>
      <c r="Y1809" s="22" t="str">
        <f aca="false">O1809</f>
        <v>Helper Cutting</v>
      </c>
      <c r="Z1809" s="13" t="str">
        <f aca="false">IFERROR(__xludf.dummyfunction("if(BJ1809="""","""",GOOGLETRANSLATE(BJ1809,""auto"",""en""))"),"Helper Cutting")</f>
        <v>Helper Cutting</v>
      </c>
      <c r="AA1809" s="23" t="str">
        <f aca="false">IF(C1809="","", CHOOSE(MONTH(C1809),"January","February","March","April","May","June","July","August","September","October","November","December")&amp;" "&amp;DAY(C1809)&amp;MID("thstndrdth",MIN(9,2*RIGHT(DAY(C1809))*(MOD(DAY(C1809)-11,100)&gt;2)+1),2)&amp;","&amp;TEXT(C1809," yyyy"))</f>
        <v>January 4th,2025</v>
      </c>
      <c r="AB1809" s="15" t="str">
        <f aca="true">IF(S1809="","",DATEDIF(S1809,TODAY(),"Y")&amp;" Tahun, "&amp;DATEDIF(S1809,TODAY(),"YM")&amp;" Bulan, "&amp;DATEDIF(S1809,TODAY(),"MD")&amp;" Hari")</f>
        <v>21 Tahun, 1 Bulan, 7 Hari</v>
      </c>
      <c r="AC1809" s="18" t="n">
        <v>45764</v>
      </c>
      <c r="AD1809" s="18" t="n">
        <v>45946</v>
      </c>
      <c r="AE1809" s="18" t="s">
        <v>44</v>
      </c>
    </row>
    <row r="1810" customFormat="false" ht="15" hidden="false" customHeight="true" outlineLevel="0" collapsed="false">
      <c r="A1810" s="12" t="n">
        <v>18451</v>
      </c>
      <c r="B1810" s="13" t="s">
        <v>7862</v>
      </c>
      <c r="C1810" s="14" t="n">
        <v>45670</v>
      </c>
      <c r="D1810" s="13" t="s">
        <v>404</v>
      </c>
      <c r="E1810" s="15" t="s">
        <v>47</v>
      </c>
      <c r="F1810" s="15" t="str">
        <f aca="false">IFERROR(__xludf.dummyfunction("XLOOKUP(AJ1810,IMPORTRANGE(""1XaInW9DU9nz21V0tYIfzFQ0He9kVQ_JF2mCXgZ3hqFA"",""REKAP ALL 2026 - Andika!G:G""),IMPORTRANGE(""1XaInW9DU9nz21V0tYIfzFQ0He9kVQ_JF2mCXgZ3hqFA"",""REKAP ALL 2026 - Andika!F:F""),"""",0)"),"25012461460")</f>
        <v>25012461460</v>
      </c>
      <c r="G1810" s="13" t="s">
        <v>7863</v>
      </c>
      <c r="H1810" s="13" t="s">
        <v>35</v>
      </c>
      <c r="I1810" s="13" t="str">
        <f aca="false">IF(C1810=J1810,"NEW KONTRAK","RE-KONTRAK")</f>
        <v>NEW KONTRAK</v>
      </c>
      <c r="J1810" s="16" t="n">
        <f aca="false" t="array" ref="J1810:J1810">IFERROR(INDEX(AC1810:AE1810,IF(COUNTA(AC1810:AE1810)=0,"",MAX((AC1810:AE1810&lt;&gt;"")*(COLUMN(AC1810:AE1810)-(COLUMN(AC1810)))))-1),"")</f>
        <v>45670</v>
      </c>
      <c r="K1810" s="16" t="n">
        <f aca="false" t="array" ref="K1810:K1810">IFERROR(INDEX(AC1810:AE1810,IF(COUNTA(AC1810:AE1810)=0,"",MAX((AC1810:AE1810&lt;&gt;"")*(COLUMN(AC1810:AE1810)-(COLUMN(AC1810)-1))))-1),"")</f>
        <v>46022</v>
      </c>
      <c r="L1810" s="17" t="str">
        <f aca="false" t="array" ref="L1810:L1810">IFERROR(INDEX(AC1810:AE1810,IF(COUNTA(AC1810:AE1810)=0,"",MAX((AC1810:AE1810&lt;&gt;"")*(COLUMN(AC1810:AE1810)-(COLUMN(AC1810)-2))))-1),"")</f>
        <v>ARCHIVED</v>
      </c>
      <c r="M1810" s="13" t="n">
        <f aca="true">K1810-TODAY()</f>
        <v>-302</v>
      </c>
      <c r="N1810" s="18" t="s">
        <v>36</v>
      </c>
      <c r="O1810" s="13" t="s">
        <v>624</v>
      </c>
      <c r="P1810" s="26" t="n">
        <v>5195401</v>
      </c>
      <c r="Q1810" s="20" t="s">
        <v>7864</v>
      </c>
      <c r="R1810" s="13" t="s">
        <v>73</v>
      </c>
      <c r="S1810" s="14" t="n">
        <v>37292</v>
      </c>
      <c r="T1810" s="13" t="s">
        <v>40</v>
      </c>
      <c r="U1810" s="13" t="s">
        <v>7865</v>
      </c>
      <c r="V1810" s="13" t="s">
        <v>42</v>
      </c>
      <c r="W1810" s="13" t="s">
        <v>43</v>
      </c>
      <c r="X1810" s="21" t="n">
        <v>83833473767</v>
      </c>
      <c r="Y1810" s="22" t="str">
        <f aca="false">O1810</f>
        <v>Quality Control</v>
      </c>
      <c r="Z1810" s="13" t="str">
        <f aca="false">IFERROR(__xludf.dummyfunction("if(BJ1810="""","""",GOOGLETRANSLATE(BJ1810,""auto"",""en""))"),"Quality Control")</f>
        <v>Quality Control</v>
      </c>
      <c r="AA1810" s="23" t="str">
        <f aca="false">IF(C1810="","", CHOOSE(MONTH(C1810),"January","February","March","April","May","June","July","August","September","October","November","December")&amp;" "&amp;DAY(C1810)&amp;MID("thstndrdth",MIN(9,2*RIGHT(DAY(C1810))*(MOD(DAY(C1810)-11,100)&gt;2)+1),2)&amp;","&amp;TEXT(C1810," yyyy"))</f>
        <v>January 13th,2025</v>
      </c>
      <c r="AB1810" s="15" t="str">
        <f aca="true">IF(S1810="","",DATEDIF(S1810,TODAY(),"Y")&amp;" Tahun, "&amp;DATEDIF(S1810,TODAY(),"YM")&amp;" Bulan, "&amp;DATEDIF(S1810,TODAY(),"MD")&amp;" Hari")</f>
        <v>24 Tahun, 8 Bulan, 24 Hari</v>
      </c>
      <c r="AC1810" s="18" t="n">
        <v>45670</v>
      </c>
      <c r="AD1810" s="18" t="n">
        <v>46022</v>
      </c>
      <c r="AE1810" s="18" t="s">
        <v>44</v>
      </c>
    </row>
    <row r="1811" customFormat="false" ht="15" hidden="false" customHeight="true" outlineLevel="0" collapsed="false">
      <c r="A1811" s="12" t="n">
        <v>18463</v>
      </c>
      <c r="B1811" s="13" t="s">
        <v>7866</v>
      </c>
      <c r="C1811" s="14" t="n">
        <v>45650</v>
      </c>
      <c r="D1811" s="13" t="s">
        <v>7310</v>
      </c>
      <c r="E1811" s="15" t="s">
        <v>47</v>
      </c>
      <c r="F1811" s="15" t="str">
        <f aca="false">IFERROR(__xludf.dummyfunction("XLOOKUP(AJ1811,IMPORTRANGE(""1XaInW9DU9nz21V0tYIfzFQ0He9kVQ_JF2mCXgZ3hqFA"",""REKAP ALL 2026 - Andika!G:G""),IMPORTRANGE(""1XaInW9DU9nz21V0tYIfzFQ0He9kVQ_JF2mCXgZ3hqFA"",""REKAP ALL 2026 - Andika!F:F""),"""",0)"),"25012460983")</f>
        <v>25012460983</v>
      </c>
      <c r="G1811" s="13" t="s">
        <v>7867</v>
      </c>
      <c r="H1811" s="13" t="s">
        <v>35</v>
      </c>
      <c r="I1811" s="13" t="str">
        <f aca="false">IF(C1811=J1811,"NEW KONTRAK","RE-KONTRAK")</f>
        <v>NEW KONTRAK</v>
      </c>
      <c r="J1811" s="16" t="n">
        <f aca="false" t="array" ref="J1811:J1811">IFERROR(INDEX(AC1811:AE1811,IF(COUNTA(AC1811:AE1811)=0,"",MAX((AC1811:AE1811&lt;&gt;"")*(COLUMN(AC1811:AE1811)-(COLUMN(AC1811)))))-1),"")</f>
        <v>45650</v>
      </c>
      <c r="K1811" s="16" t="n">
        <f aca="false" t="array" ref="K1811:K1811">IFERROR(INDEX(AC1811:AE1811,IF(COUNTA(AC1811:AE1811)=0,"",MAX((AC1811:AE1811&lt;&gt;"")*(COLUMN(AC1811:AE1811)-(COLUMN(AC1811)-1))))-1),"")</f>
        <v>46014</v>
      </c>
      <c r="L1811" s="17" t="str">
        <f aca="false" t="array" ref="L1811:L1811">IFERROR(INDEX(AC1811:AE1811,IF(COUNTA(AC1811:AE1811)=0,"",MAX((AC1811:AE1811&lt;&gt;"")*(COLUMN(AC1811:AE1811)-(COLUMN(AC1811)-2))))-1),"")</f>
        <v>ARCHIVED</v>
      </c>
      <c r="M1811" s="13" t="n">
        <f aca="true">K1811-TODAY()</f>
        <v>-310</v>
      </c>
      <c r="N1811" s="18" t="s">
        <v>7313</v>
      </c>
      <c r="O1811" s="13" t="s">
        <v>7611</v>
      </c>
      <c r="P1811" s="19" t="n">
        <v>2550274</v>
      </c>
      <c r="Q1811" s="20" t="s">
        <v>7868</v>
      </c>
      <c r="R1811" s="13" t="s">
        <v>227</v>
      </c>
      <c r="S1811" s="14" t="n">
        <v>38044</v>
      </c>
      <c r="T1811" s="13" t="s">
        <v>40</v>
      </c>
      <c r="U1811" s="13" t="s">
        <v>7869</v>
      </c>
      <c r="V1811" s="13" t="s">
        <v>42</v>
      </c>
      <c r="W1811" s="13" t="s">
        <v>43</v>
      </c>
      <c r="X1811" s="21" t="n">
        <v>83111539036</v>
      </c>
      <c r="Y1811" s="22" t="str">
        <f aca="false">O1811</f>
        <v>Helper Kernet</v>
      </c>
      <c r="Z1811" s="13" t="str">
        <f aca="false">IFERROR(__xludf.dummyfunction("if(BJ1811="""","""",GOOGLETRANSLATE(BJ1811,""auto"",""en""))"),"Helper Kernet")</f>
        <v>Helper Kernet</v>
      </c>
      <c r="AA1811" s="23" t="str">
        <f aca="false">IF(C1811="","", CHOOSE(MONTH(C1811),"January","February","March","April","May","June","July","August","September","October","November","December")&amp;" "&amp;DAY(C1811)&amp;MID("thstndrdth",MIN(9,2*RIGHT(DAY(C1811))*(MOD(DAY(C1811)-11,100)&gt;2)+1),2)&amp;","&amp;TEXT(C1811," yyyy"))</f>
        <v>December 24th,2024</v>
      </c>
      <c r="AB1811" s="15" t="str">
        <f aca="true">IF(S1811="","",DATEDIF(S1811,TODAY(),"Y")&amp;" Tahun, "&amp;DATEDIF(S1811,TODAY(),"YM")&amp;" Bulan, "&amp;DATEDIF(S1811,TODAY(),"MD")&amp;" Hari")</f>
        <v>22 Tahun, 8 Bulan, 2 Hari</v>
      </c>
      <c r="AC1811" s="18" t="n">
        <v>45650</v>
      </c>
      <c r="AD1811" s="18" t="n">
        <v>46014</v>
      </c>
      <c r="AE1811" s="18" t="s">
        <v>44</v>
      </c>
    </row>
    <row r="1812" customFormat="false" ht="15" hidden="false" customHeight="true" outlineLevel="0" collapsed="false">
      <c r="A1812" s="12" t="n">
        <v>22220</v>
      </c>
      <c r="B1812" s="13" t="s">
        <v>7870</v>
      </c>
      <c r="C1812" s="46" t="n">
        <v>46135.2916666667</v>
      </c>
      <c r="D1812" s="13" t="s">
        <v>2033</v>
      </c>
      <c r="E1812" s="15" t="s">
        <v>47</v>
      </c>
      <c r="F1812" s="15" t="str">
        <f aca="false">IFERROR(__xludf.dummyfunction("XLOOKUP(AJ1812,IMPORTRANGE(""1XaInW9DU9nz21V0tYIfzFQ0He9kVQ_JF2mCXgZ3hqFA"",""REKAP ALL 2026 - Andika!G:G""),IMPORTRANGE(""1XaInW9DU9nz21V0tYIfzFQ0He9kVQ_JF2mCXgZ3hqFA"",""REKAP ALL 2026 - Andika!F:F""),"""",0)"),"26062984161")</f>
        <v>26062984161</v>
      </c>
      <c r="G1812" s="13" t="s">
        <v>1127</v>
      </c>
      <c r="H1812" s="13" t="s">
        <v>35</v>
      </c>
      <c r="I1812" s="13" t="str">
        <f aca="false">IF(C1812=J1812,"NEW KONTRAK","RE-KONTRAK")</f>
        <v>NEW KONTRAK</v>
      </c>
      <c r="J1812" s="16" t="n">
        <f aca="false" t="array" ref="J1812:J1812">IFERROR(INDEX(AC1812:AE1812,IF(COUNTA(AC1812:AE1812)=0,"",MAX((AC1812:AE1812&lt;&gt;"")*(COLUMN(AC1812:AE1812)-(COLUMN(AC1812)))))-1),"")</f>
        <v>46135.2916666667</v>
      </c>
      <c r="K1812" s="16" t="n">
        <f aca="false" t="array" ref="K1812:K1812">IFERROR(INDEX(AC1812:AE1812,IF(COUNTA(AC1812:AE1812)=0,"",MAX((AC1812:AE1812&lt;&gt;"")*(COLUMN(AC1812:AE1812)-(COLUMN(AC1812)-1))))-1),"")</f>
        <v>46188</v>
      </c>
      <c r="L1812" s="17" t="str">
        <f aca="false" t="array" ref="L1812:L1812">IFERROR(INDEX(AC1812:AE1812,IF(COUNTA(AC1812:AE1812)=0,"",MAX((AC1812:AE1812&lt;&gt;"")*(COLUMN(AC1812:AE1812)-(COLUMN(AC1812)-2))))-1),"")</f>
        <v>ARCHIVED</v>
      </c>
      <c r="M1812" s="13" t="n">
        <f aca="true">K1812-TODAY()</f>
        <v>-136</v>
      </c>
      <c r="N1812" s="18" t="s">
        <v>5749</v>
      </c>
      <c r="O1812" s="13" t="s">
        <v>2037</v>
      </c>
      <c r="P1812" s="19" t="n">
        <v>3932552</v>
      </c>
      <c r="Q1812" s="20" t="s">
        <v>7871</v>
      </c>
      <c r="R1812" s="13" t="s">
        <v>7872</v>
      </c>
      <c r="S1812" s="14" t="n">
        <v>38720</v>
      </c>
      <c r="T1812" s="13" t="s">
        <v>108</v>
      </c>
      <c r="U1812" s="13" t="s">
        <v>7873</v>
      </c>
      <c r="V1812" s="13" t="s">
        <v>42</v>
      </c>
      <c r="W1812" s="13" t="s">
        <v>43</v>
      </c>
      <c r="X1812" s="21" t="n">
        <v>81260610703</v>
      </c>
      <c r="Y1812" s="22" t="str">
        <f aca="false">O1812</f>
        <v>SPG/BA</v>
      </c>
      <c r="Z1812" s="13" t="str">
        <f aca="false">IFERROR(__xludf.dummyfunction("if(BJ1812="""","""",GOOGLETRANSLATE(BJ1812,""auto"",""en""))"),"SPG/BA")</f>
        <v>SPG/BA</v>
      </c>
      <c r="AA1812" s="23" t="str">
        <f aca="false">IF(C1812="","", CHOOSE(MONTH(C1812),"January","February","March","April","May","June","July","August","September","October","November","December")&amp;" "&amp;DAY(C1812)&amp;MID("thstndrdth",MIN(9,2*RIGHT(DAY(C1812))*(MOD(DAY(C1812)-11,100)&gt;2)+1),2)&amp;","&amp;TEXT(C1812," yyyy"))</f>
        <v>April 23rd,2026</v>
      </c>
      <c r="AB1812" s="15" t="str">
        <f aca="true">IF(S1812="","",DATEDIF(S1812,TODAY(),"Y")&amp;" Tahun, "&amp;DATEDIF(S1812,TODAY(),"YM")&amp;" Bulan, "&amp;DATEDIF(S1812,TODAY(),"MD")&amp;" Hari")</f>
        <v>20 Tahun, 9 Bulan, 26 Hari</v>
      </c>
      <c r="AC1812" s="14" t="n">
        <f aca="false">C1812</f>
        <v>46135.2916666667</v>
      </c>
      <c r="AD1812" s="64" t="n">
        <v>46188</v>
      </c>
      <c r="AE1812" s="18" t="s">
        <v>44</v>
      </c>
    </row>
    <row r="1813" customFormat="false" ht="15" hidden="false" customHeight="true" outlineLevel="0" collapsed="false">
      <c r="A1813" s="12" t="n">
        <v>21536</v>
      </c>
      <c r="B1813" s="13" t="s">
        <v>7874</v>
      </c>
      <c r="C1813" s="16" t="n">
        <v>45977</v>
      </c>
      <c r="D1813" s="13" t="s">
        <v>2033</v>
      </c>
      <c r="E1813" s="15" t="s">
        <v>47</v>
      </c>
      <c r="F1813" s="15" t="str">
        <f aca="false">IFERROR(__xludf.dummyfunction("XLOOKUP(AJ1813,IMPORTRANGE(""1XaInW9DU9nz21V0tYIfzFQ0He9kVQ_JF2mCXgZ3hqFA"",""REKAP ALL 2026 - Andika!G:G""),IMPORTRANGE(""1XaInW9DU9nz21V0tYIfzFQ0He9kVQ_JF2mCXgZ3hqFA"",""REKAP ALL 2026 - Andika!F:F""),"""",0)"),"26005755975")</f>
        <v>26005755975</v>
      </c>
      <c r="G1813" s="13" t="s">
        <v>1127</v>
      </c>
      <c r="H1813" s="13" t="s">
        <v>35</v>
      </c>
      <c r="I1813" s="13" t="str">
        <f aca="false">IF(C1813=J1813,"NEW KONTRAK","RE-KONTRAK")</f>
        <v>NEW KONTRAK</v>
      </c>
      <c r="J1813" s="16" t="n">
        <f aca="false" t="array" ref="J1813:J1813">IFERROR(INDEX(AC1813:AE1813,IF(COUNTA(AC1813:AE1813)=0,"",MAX((AC1813:AE1813&lt;&gt;"")*(COLUMN(AC1813:AE1813)-(COLUMN(AC1813)))))-1),"")</f>
        <v>45977</v>
      </c>
      <c r="K1813" s="16" t="n">
        <f aca="false" t="array" ref="K1813:K1813">IFERROR(INDEX(AC1813:AE1813,IF(COUNTA(AC1813:AE1813)=0,"",MAX((AC1813:AE1813&lt;&gt;"")*(COLUMN(AC1813:AE1813)-(COLUMN(AC1813)-1))))-1),"")</f>
        <v>46037</v>
      </c>
      <c r="L1813" s="17" t="str">
        <f aca="false" t="array" ref="L1813:L1813">IFERROR(INDEX(AC1813:AE1813,IF(COUNTA(AC1813:AE1813)=0,"",MAX((AC1813:AE1813&lt;&gt;"")*(COLUMN(AC1813:AE1813)-(COLUMN(AC1813)-2))))-1),"")</f>
        <v>ARCHIVED</v>
      </c>
      <c r="M1813" s="13" t="n">
        <f aca="true">K1813-TODAY()</f>
        <v>-287</v>
      </c>
      <c r="N1813" s="18" t="s">
        <v>2356</v>
      </c>
      <c r="O1813" s="13" t="s">
        <v>2037</v>
      </c>
      <c r="P1813" s="19" t="n">
        <v>4148179</v>
      </c>
      <c r="Q1813" s="47" t="s">
        <v>7875</v>
      </c>
      <c r="R1813" s="13" t="s">
        <v>2356</v>
      </c>
      <c r="S1813" s="16" t="n">
        <v>34652</v>
      </c>
      <c r="T1813" s="13" t="s">
        <v>108</v>
      </c>
      <c r="U1813" s="13" t="s">
        <v>7876</v>
      </c>
      <c r="V1813" s="13" t="s">
        <v>42</v>
      </c>
      <c r="W1813" s="13" t="s">
        <v>54</v>
      </c>
      <c r="X1813" s="21" t="n">
        <v>89654600003</v>
      </c>
      <c r="Y1813" s="22" t="str">
        <f aca="false">O1813</f>
        <v>SPG/BA</v>
      </c>
      <c r="Z1813" s="13" t="str">
        <f aca="false">IFERROR(__xludf.dummyfunction("if(BJ1813="""","""",GOOGLETRANSLATE(BJ1813,""auto"",""en""))"),"SPG/BA")</f>
        <v>SPG/BA</v>
      </c>
      <c r="AA1813" s="23" t="str">
        <f aca="false">IF(C1813="","", CHOOSE(MONTH(C1813),"January","February","March","April","May","June","July","August","September","October","November","December")&amp;" "&amp;DAY(C1813)&amp;MID("thstndrdth",MIN(9,2*RIGHT(DAY(C1813))*(MOD(DAY(C1813)-11,100)&gt;2)+1),2)&amp;","&amp;TEXT(C1813," yyyy"))</f>
        <v>November 16th,2025</v>
      </c>
      <c r="AB1813" s="15" t="str">
        <f aca="true">IF(S1813="","",DATEDIF(S1813,TODAY(),"Y")&amp;" Tahun, "&amp;DATEDIF(S1813,TODAY(),"YM")&amp;" Bulan, "&amp;DATEDIF(S1813,TODAY(),"MD")&amp;" Hari")</f>
        <v>31 Tahun, 11 Bulan, 15 Hari</v>
      </c>
      <c r="AC1813" s="18" t="n">
        <v>45977</v>
      </c>
      <c r="AD1813" s="18" t="n">
        <v>46037</v>
      </c>
      <c r="AE1813" s="13" t="s">
        <v>44</v>
      </c>
    </row>
    <row r="1814" customFormat="false" ht="15" hidden="false" customHeight="true" outlineLevel="0" collapsed="false">
      <c r="A1814" s="12" t="n">
        <v>12363</v>
      </c>
      <c r="B1814" s="13" t="s">
        <v>7877</v>
      </c>
      <c r="C1814" s="14" t="n">
        <v>45133</v>
      </c>
      <c r="D1814" s="13" t="s">
        <v>2033</v>
      </c>
      <c r="E1814" s="15" t="s">
        <v>47</v>
      </c>
      <c r="F1814" s="15" t="str">
        <f aca="false">IFERROR(__xludf.dummyfunction("XLOOKUP(AJ1814,IMPORTRANGE(""1XaInW9DU9nz21V0tYIfzFQ0He9kVQ_JF2mCXgZ3hqFA"",""REKAP ALL 2026 - Andika!G:G""),IMPORTRANGE(""1XaInW9DU9nz21V0tYIfzFQ0He9kVQ_JF2mCXgZ3hqFA"",""REKAP ALL 2026 - Andika!F:F""),"""",0)"),"23113699666")</f>
        <v>23113699666</v>
      </c>
      <c r="G1814" s="13" t="s">
        <v>7878</v>
      </c>
      <c r="H1814" s="13" t="s">
        <v>2035</v>
      </c>
      <c r="I1814" s="13" t="str">
        <f aca="false">IF(C1814=J1814,"NEW KONTRAK","RE-KONTRAK")</f>
        <v>RE-KONTRAK</v>
      </c>
      <c r="J1814" s="16" t="n">
        <f aca="false" t="array" ref="J1814:J1814">IFERROR(INDEX(AC1814:AE1814,IF(COUNTA(AC1814:AE1814)=0,"",MAX((AC1814:AE1814&lt;&gt;"")*(COLUMN(AC1814:AE1814)-(COLUMN(AC1814)))))-1),"")</f>
        <v>45744</v>
      </c>
      <c r="K1814" s="16" t="n">
        <f aca="false" t="array" ref="K1814:K1814">IFERROR(INDEX(AC1814:AE1814,IF(COUNTA(AC1814:AE1814)=0,"",MAX((AC1814:AE1814&lt;&gt;"")*(COLUMN(AC1814:AE1814)-(COLUMN(AC1814)-1))))-1),"")</f>
        <v>45915</v>
      </c>
      <c r="L1814" s="17" t="str">
        <f aca="false" t="array" ref="L1814:L1814">IFERROR(INDEX(AC1814:AE1814,IF(COUNTA(AC1814:AE1814)=0,"",MAX((AC1814:AE1814&lt;&gt;"")*(COLUMN(AC1814:AE1814)-(COLUMN(AC1814)-2))))-1),"")</f>
        <v>ARCHIVED</v>
      </c>
      <c r="M1814" s="13" t="n">
        <f aca="true">K1814-TODAY()</f>
        <v>-409</v>
      </c>
      <c r="N1814" s="18" t="s">
        <v>4903</v>
      </c>
      <c r="O1814" s="13" t="s">
        <v>2037</v>
      </c>
      <c r="P1814" s="19" t="n">
        <v>3205220</v>
      </c>
      <c r="Q1814" s="20" t="s">
        <v>7879</v>
      </c>
      <c r="R1814" s="13" t="s">
        <v>7880</v>
      </c>
      <c r="S1814" s="14" t="n">
        <v>35743</v>
      </c>
      <c r="T1814" s="13" t="s">
        <v>108</v>
      </c>
      <c r="U1814" s="13" t="s">
        <v>7881</v>
      </c>
      <c r="V1814" s="28" t="s">
        <v>1216</v>
      </c>
      <c r="W1814" s="13" t="s">
        <v>43</v>
      </c>
      <c r="X1814" s="21" t="n">
        <v>83149155084</v>
      </c>
      <c r="Y1814" s="22" t="str">
        <f aca="false">O1814</f>
        <v>SPG/BA</v>
      </c>
      <c r="Z1814" s="13" t="str">
        <f aca="false">IFERROR(__xludf.dummyfunction("if(BJ1814="""","""",GOOGLETRANSLATE(BJ1814,""auto"",""en""))"),"SPG/BA")</f>
        <v>SPG/BA</v>
      </c>
      <c r="AA1814" s="23" t="str">
        <f aca="false">IF(C1814="","", CHOOSE(MONTH(C1814),"January","February","March","April","May","June","July","August","September","October","November","December")&amp;" "&amp;DAY(C1814)&amp;MID("thstndrdth",MIN(9,2*RIGHT(DAY(C1814))*(MOD(DAY(C1814)-11,100)&gt;2)+1),2)&amp;","&amp;TEXT(C1814," yyyy"))</f>
        <v>July 26th,2023</v>
      </c>
      <c r="AB1814" s="15" t="str">
        <f aca="true">IF(S1814="","",DATEDIF(S1814,TODAY(),"Y")&amp;" Tahun, "&amp;DATEDIF(S1814,TODAY(),"YM")&amp;" Bulan, "&amp;DATEDIF(S1814,TODAY(),"MD")&amp;" Hari")</f>
        <v>28 Tahun, 11 Bulan, 20 Hari</v>
      </c>
      <c r="AC1814" s="18" t="n">
        <v>45744</v>
      </c>
      <c r="AD1814" s="18" t="n">
        <v>45915</v>
      </c>
      <c r="AE1814" s="18" t="s">
        <v>44</v>
      </c>
    </row>
    <row r="1815" customFormat="false" ht="15" hidden="false" customHeight="true" outlineLevel="0" collapsed="false">
      <c r="A1815" s="12" t="n">
        <v>18468</v>
      </c>
      <c r="B1815" s="13" t="s">
        <v>7882</v>
      </c>
      <c r="C1815" s="14" t="n">
        <v>45642</v>
      </c>
      <c r="D1815" s="13" t="s">
        <v>2033</v>
      </c>
      <c r="E1815" s="15" t="s">
        <v>102</v>
      </c>
      <c r="F1815" s="15" t="str">
        <f aca="false">IFERROR(__xludf.dummyfunction("XLOOKUP(AJ1815,IMPORTRANGE(""1XaInW9DU9nz21V0tYIfzFQ0He9kVQ_JF2mCXgZ3hqFA"",""REKAP ALL 2026 - Andika!G:G""),IMPORTRANGE(""1XaInW9DU9nz21V0tYIfzFQ0He9kVQ_JF2mCXgZ3hqFA"",""REKAP ALL 2026 - Andika!F:F""),"""",0)"),"25012463623")</f>
        <v>25012463623</v>
      </c>
      <c r="G1815" s="13" t="s">
        <v>7883</v>
      </c>
      <c r="H1815" s="13" t="s">
        <v>2035</v>
      </c>
      <c r="I1815" s="13" t="str">
        <f aca="false">IF(C1815=J1815,"NEW KONTRAK","RE-KONTRAK")</f>
        <v>RE-KONTRAK</v>
      </c>
      <c r="J1815" s="16" t="n">
        <f aca="false" t="array" ref="J1815:J1815">IFERROR(INDEX(AC1815:AE1815,IF(COUNTA(AC1815:AE1815)=0,"",MAX((AC1815:AE1815&lt;&gt;"")*(COLUMN(AC1815:AE1815)-(COLUMN(AC1815)))))-1),"")</f>
        <v>45744</v>
      </c>
      <c r="K1815" s="16" t="n">
        <f aca="false" t="array" ref="K1815:K1815">IFERROR(INDEX(AC1815:AE1815,IF(COUNTA(AC1815:AE1815)=0,"",MAX((AC1815:AE1815&lt;&gt;"")*(COLUMN(AC1815:AE1815)-(COLUMN(AC1815)-1))))-1),"")</f>
        <v>45915</v>
      </c>
      <c r="L1815" s="17" t="str">
        <f aca="false" t="array" ref="L1815:L1815">IFERROR(INDEX(AC1815:AE1815,IF(COUNTA(AC1815:AE1815)=0,"",MAX((AC1815:AE1815&lt;&gt;"")*(COLUMN(AC1815:AE1815)-(COLUMN(AC1815)-2))))-1),"")</f>
        <v>ARCHIVED</v>
      </c>
      <c r="M1815" s="13" t="n">
        <f aca="true">K1815-TODAY()</f>
        <v>-409</v>
      </c>
      <c r="N1815" s="18" t="s">
        <v>4784</v>
      </c>
      <c r="O1815" s="13" t="s">
        <v>2037</v>
      </c>
      <c r="P1815" s="19" t="n">
        <v>4022017</v>
      </c>
      <c r="Q1815" s="20" t="s">
        <v>7884</v>
      </c>
      <c r="R1815" s="13" t="s">
        <v>4784</v>
      </c>
      <c r="S1815" s="14" t="n">
        <v>37370</v>
      </c>
      <c r="T1815" s="13" t="s">
        <v>108</v>
      </c>
      <c r="U1815" s="13" t="s">
        <v>7885</v>
      </c>
      <c r="V1815" s="13" t="s">
        <v>99</v>
      </c>
      <c r="W1815" s="13" t="s">
        <v>54</v>
      </c>
      <c r="X1815" s="21" t="n">
        <v>82195952422</v>
      </c>
      <c r="Y1815" s="22" t="str">
        <f aca="false">O1815</f>
        <v>SPG/BA</v>
      </c>
      <c r="Z1815" s="13" t="str">
        <f aca="false">IFERROR(__xludf.dummyfunction("if(BJ1815="""","""",GOOGLETRANSLATE(BJ1815,""auto"",""en""))"),"SPG/BA")</f>
        <v>SPG/BA</v>
      </c>
      <c r="AA1815" s="23" t="str">
        <f aca="false">IF(C1815="","", CHOOSE(MONTH(C1815),"January","February","March","April","May","June","July","August","September","October","November","December")&amp;" "&amp;DAY(C1815)&amp;MID("thstndrdth",MIN(9,2*RIGHT(DAY(C1815))*(MOD(DAY(C1815)-11,100)&gt;2)+1),2)&amp;","&amp;TEXT(C1815," yyyy"))</f>
        <v>December 16th,2024</v>
      </c>
      <c r="AB1815" s="15" t="str">
        <f aca="true">IF(S1815="","",DATEDIF(S1815,TODAY(),"Y")&amp;" Tahun, "&amp;DATEDIF(S1815,TODAY(),"YM")&amp;" Bulan, "&amp;DATEDIF(S1815,TODAY(),"MD")&amp;" Hari")</f>
        <v>24 Tahun, 6 Bulan, 5 Hari</v>
      </c>
      <c r="AC1815" s="18" t="n">
        <v>45744</v>
      </c>
      <c r="AD1815" s="18" t="n">
        <v>45915</v>
      </c>
      <c r="AE1815" s="18" t="s">
        <v>44</v>
      </c>
    </row>
    <row r="1816" customFormat="false" ht="15" hidden="false" customHeight="true" outlineLevel="0" collapsed="false">
      <c r="A1816" s="12" t="n">
        <v>10164</v>
      </c>
      <c r="B1816" s="13" t="s">
        <v>7886</v>
      </c>
      <c r="C1816" s="14" t="n">
        <v>44977</v>
      </c>
      <c r="D1816" s="13" t="s">
        <v>2033</v>
      </c>
      <c r="E1816" s="15" t="s">
        <v>47</v>
      </c>
      <c r="F1816" s="15" t="str">
        <f aca="false">IFERROR(__xludf.dummyfunction("XLOOKUP(AJ1816,IMPORTRANGE(""1XaInW9DU9nz21V0tYIfzFQ0He9kVQ_JF2mCXgZ3hqFA"",""REKAP ALL 2026 - Andika!G:G""),IMPORTRANGE(""1XaInW9DU9nz21V0tYIfzFQ0He9kVQ_JF2mCXgZ3hqFA"",""REKAP ALL 2026 - Andika!F:F""),"""",0)"),"23031603923")</f>
        <v>23031603923</v>
      </c>
      <c r="G1816" s="13" t="s">
        <v>7887</v>
      </c>
      <c r="H1816" s="13" t="s">
        <v>2035</v>
      </c>
      <c r="I1816" s="13" t="str">
        <f aca="false">IF(C1816=J1816,"NEW KONTRAK","RE-KONTRAK")</f>
        <v>RE-KONTRAK</v>
      </c>
      <c r="J1816" s="16" t="n">
        <f aca="false" t="array" ref="J1816:J1816">IFERROR(INDEX(AC1816:AE1816,IF(COUNTA(AC1816:AE1816)=0,"",MAX((AC1816:AE1816&lt;&gt;"")*(COLUMN(AC1816:AE1816)-(COLUMN(AC1816)))))-1),"")</f>
        <v>45744</v>
      </c>
      <c r="K1816" s="16" t="n">
        <f aca="false" t="array" ref="K1816:K1816">IFERROR(INDEX(AC1816:AE1816,IF(COUNTA(AC1816:AE1816)=0,"",MAX((AC1816:AE1816&lt;&gt;"")*(COLUMN(AC1816:AE1816)-(COLUMN(AC1816)-1))))-1),"")</f>
        <v>45915</v>
      </c>
      <c r="L1816" s="17" t="str">
        <f aca="false" t="array" ref="L1816:L1816">IFERROR(INDEX(AC1816:AE1816,IF(COUNTA(AC1816:AE1816)=0,"",MAX((AC1816:AE1816&lt;&gt;"")*(COLUMN(AC1816:AE1816)-(COLUMN(AC1816)-2))))-1),"")</f>
        <v>ARCHIVED</v>
      </c>
      <c r="M1816" s="13" t="n">
        <f aca="true">K1816-TODAY()</f>
        <v>-409</v>
      </c>
      <c r="N1816" s="18" t="s">
        <v>3703</v>
      </c>
      <c r="O1816" s="13" t="s">
        <v>2037</v>
      </c>
      <c r="P1816" s="19" t="n">
        <v>2633700</v>
      </c>
      <c r="Q1816" s="20" t="s">
        <v>7888</v>
      </c>
      <c r="R1816" s="13" t="s">
        <v>771</v>
      </c>
      <c r="S1816" s="14" t="n">
        <v>35965</v>
      </c>
      <c r="T1816" s="13" t="s">
        <v>108</v>
      </c>
      <c r="U1816" s="13" t="s">
        <v>7889</v>
      </c>
      <c r="V1816" s="13" t="s">
        <v>42</v>
      </c>
      <c r="W1816" s="13" t="s">
        <v>54</v>
      </c>
      <c r="X1816" s="21" t="n">
        <v>85740206355</v>
      </c>
      <c r="Y1816" s="22" t="str">
        <f aca="false">O1816</f>
        <v>SPG/BA</v>
      </c>
      <c r="Z1816" s="13" t="str">
        <f aca="false">IFERROR(__xludf.dummyfunction("if(BJ1816="""","""",GOOGLETRANSLATE(BJ1816,""auto"",""en""))"),"SPG/BA")</f>
        <v>SPG/BA</v>
      </c>
      <c r="AA1816" s="23" t="str">
        <f aca="false">IF(C1816="","", CHOOSE(MONTH(C1816),"January","February","March","April","May","June","July","August","September","October","November","December")&amp;" "&amp;DAY(C1816)&amp;MID("thstndrdth",MIN(9,2*RIGHT(DAY(C1816))*(MOD(DAY(C1816)-11,100)&gt;2)+1),2)&amp;","&amp;TEXT(C1816," yyyy"))</f>
        <v>February 20th,2023</v>
      </c>
      <c r="AB1816" s="15" t="str">
        <f aca="true">IF(S1816="","",DATEDIF(S1816,TODAY(),"Y")&amp;" Tahun, "&amp;DATEDIF(S1816,TODAY(),"YM")&amp;" Bulan, "&amp;DATEDIF(S1816,TODAY(),"MD")&amp;" Hari")</f>
        <v>28 Tahun, 4 Bulan, 10 Hari</v>
      </c>
      <c r="AC1816" s="18" t="n">
        <v>45744</v>
      </c>
      <c r="AD1816" s="18" t="n">
        <v>45915</v>
      </c>
      <c r="AE1816" s="18" t="s">
        <v>44</v>
      </c>
    </row>
    <row r="1817" customFormat="false" ht="15" hidden="false" customHeight="true" outlineLevel="0" collapsed="false">
      <c r="A1817" s="12" t="n">
        <v>18472</v>
      </c>
      <c r="B1817" s="13" t="s">
        <v>7890</v>
      </c>
      <c r="C1817" s="14" t="n">
        <v>45673</v>
      </c>
      <c r="D1817" s="13" t="s">
        <v>613</v>
      </c>
      <c r="E1817" s="15" t="s">
        <v>704</v>
      </c>
      <c r="F1817" s="24" t="s">
        <v>7891</v>
      </c>
      <c r="G1817" s="13" t="s">
        <v>7892</v>
      </c>
      <c r="H1817" s="13" t="s">
        <v>35</v>
      </c>
      <c r="I1817" s="13" t="str">
        <f aca="false">IF(C1817=J1817,"NEW KONTRAK","RE-KONTRAK")</f>
        <v>RE-KONTRAK</v>
      </c>
      <c r="J1817" s="16" t="n">
        <f aca="false" t="array" ref="J1817:J1817">IFERROR(INDEX(AC1817:AE1817,IF(COUNTA(AC1817:AE1817)=0,"",MAX((AC1817:AE1817&lt;&gt;"")*(COLUMN(AC1817:AE1817)-(COLUMN(AC1817)))))-1),"")</f>
        <v>45763</v>
      </c>
      <c r="K1817" s="16" t="n">
        <f aca="false" t="array" ref="K1817:K1817">IFERROR(INDEX(AC1817:AE1817,IF(COUNTA(AC1817:AE1817)=0,"",MAX((AC1817:AE1817&lt;&gt;"")*(COLUMN(AC1817:AE1817)-(COLUMN(AC1817)-1))))-1),"")</f>
        <v>45945</v>
      </c>
      <c r="L1817" s="17" t="str">
        <f aca="false" t="array" ref="L1817:L1817">IFERROR(INDEX(AC1817:AE1817,IF(COUNTA(AC1817:AE1817)=0,"",MAX((AC1817:AE1817&lt;&gt;"")*(COLUMN(AC1817:AE1817)-(COLUMN(AC1817)-2))))-1),"")</f>
        <v>ARCHIVED</v>
      </c>
      <c r="M1817" s="13" t="n">
        <f aca="true">K1817-TODAY()</f>
        <v>-379</v>
      </c>
      <c r="N1817" s="18" t="s">
        <v>615</v>
      </c>
      <c r="O1817" s="13" t="s">
        <v>7395</v>
      </c>
      <c r="P1817" s="19" t="n">
        <v>3000000</v>
      </c>
      <c r="Q1817" s="20" t="s">
        <v>7893</v>
      </c>
      <c r="R1817" s="13" t="s">
        <v>232</v>
      </c>
      <c r="S1817" s="14" t="n">
        <v>36823</v>
      </c>
      <c r="T1817" s="13" t="s">
        <v>108</v>
      </c>
      <c r="U1817" s="13" t="s">
        <v>7894</v>
      </c>
      <c r="V1817" s="13" t="s">
        <v>42</v>
      </c>
      <c r="W1817" s="13" t="s">
        <v>43</v>
      </c>
      <c r="X1817" s="30" t="n">
        <v>82142940196</v>
      </c>
      <c r="Y1817" s="22" t="str">
        <f aca="false">O1817</f>
        <v>Staff Administrasi</v>
      </c>
      <c r="Z1817" s="13" t="str">
        <f aca="false">IFERROR(__xludf.dummyfunction("if(BJ1817="""","""",GOOGLETRANSLATE(BJ1817,""auto"",""en""))"),"Administrative staff")</f>
        <v>Administrative staff</v>
      </c>
      <c r="AA1817" s="23" t="str">
        <f aca="false">IF(C1817="","", CHOOSE(MONTH(C1817),"January","February","March","April","May","June","July","August","September","October","November","December")&amp;" "&amp;DAY(C1817)&amp;MID("thstndrdth",MIN(9,2*RIGHT(DAY(C1817))*(MOD(DAY(C1817)-11,100)&gt;2)+1),2)&amp;","&amp;TEXT(C1817," yyyy"))</f>
        <v>January 16th,2025</v>
      </c>
      <c r="AB1817" s="15" t="str">
        <f aca="true">IF(S1817="","",DATEDIF(S1817,TODAY(),"Y")&amp;" Tahun, "&amp;DATEDIF(S1817,TODAY(),"YM")&amp;" Bulan, "&amp;DATEDIF(S1817,TODAY(),"MD")&amp;" Hari")</f>
        <v>26 Tahun, 0 Bulan, 5 Hari</v>
      </c>
      <c r="AC1817" s="18" t="n">
        <v>45763</v>
      </c>
      <c r="AD1817" s="18" t="n">
        <v>45945</v>
      </c>
      <c r="AE1817" s="18" t="s">
        <v>44</v>
      </c>
    </row>
    <row r="1818" customFormat="false" ht="15" hidden="false" customHeight="true" outlineLevel="0" collapsed="false">
      <c r="A1818" s="12" t="n">
        <v>18473</v>
      </c>
      <c r="B1818" s="13" t="s">
        <v>7895</v>
      </c>
      <c r="C1818" s="14" t="n">
        <v>45673</v>
      </c>
      <c r="D1818" s="13" t="s">
        <v>613</v>
      </c>
      <c r="E1818" s="15" t="s">
        <v>47</v>
      </c>
      <c r="F1818" s="15" t="str">
        <f aca="false">IFERROR(__xludf.dummyfunction("XLOOKUP(AJ1818,IMPORTRANGE(""1XaInW9DU9nz21V0tYIfzFQ0He9kVQ_JF2mCXgZ3hqFA"",""REKAP ALL 2026 - Andika!G:G""),IMPORTRANGE(""1XaInW9DU9nz21V0tYIfzFQ0He9kVQ_JF2mCXgZ3hqFA"",""REKAP ALL 2026 - Andika!F:F""),"""",0)"),"25012463482")</f>
        <v>25012463482</v>
      </c>
      <c r="G1818" s="13" t="s">
        <v>7896</v>
      </c>
      <c r="H1818" s="13" t="s">
        <v>35</v>
      </c>
      <c r="I1818" s="13" t="str">
        <f aca="false">IF(C1818=J1818,"NEW KONTRAK","RE-KONTRAK")</f>
        <v>RE-KONTRAK</v>
      </c>
      <c r="J1818" s="16" t="n">
        <f aca="false" t="array" ref="J1818:J1818">IFERROR(INDEX(AC1818:AE1818,IF(COUNTA(AC1818:AE1818)=0,"",MAX((AC1818:AE1818&lt;&gt;"")*(COLUMN(AC1818:AE1818)-(COLUMN(AC1818)))))-1),"")</f>
        <v>45763</v>
      </c>
      <c r="K1818" s="16" t="n">
        <f aca="false" t="array" ref="K1818:K1818">IFERROR(INDEX(AC1818:AE1818,IF(COUNTA(AC1818:AE1818)=0,"",MAX((AC1818:AE1818&lt;&gt;"")*(COLUMN(AC1818:AE1818)-(COLUMN(AC1818)-1))))-1),"")</f>
        <v>45945</v>
      </c>
      <c r="L1818" s="17" t="str">
        <f aca="false" t="array" ref="L1818:L1818">IFERROR(INDEX(AC1818:AE1818,IF(COUNTA(AC1818:AE1818)=0,"",MAX((AC1818:AE1818&lt;&gt;"")*(COLUMN(AC1818:AE1818)-(COLUMN(AC1818)-2))))-1),"")</f>
        <v>ARCHIVED</v>
      </c>
      <c r="M1818" s="13" t="n">
        <f aca="true">K1818-TODAY()</f>
        <v>-379</v>
      </c>
      <c r="N1818" s="18" t="s">
        <v>615</v>
      </c>
      <c r="O1818" s="13" t="s">
        <v>7395</v>
      </c>
      <c r="P1818" s="19" t="n">
        <v>5176101</v>
      </c>
      <c r="Q1818" s="20" t="s">
        <v>7897</v>
      </c>
      <c r="R1818" s="13" t="s">
        <v>232</v>
      </c>
      <c r="S1818" s="14" t="n">
        <v>37540</v>
      </c>
      <c r="T1818" s="13" t="s">
        <v>108</v>
      </c>
      <c r="U1818" s="13" t="s">
        <v>7898</v>
      </c>
      <c r="V1818" s="13" t="s">
        <v>42</v>
      </c>
      <c r="W1818" s="13" t="s">
        <v>43</v>
      </c>
      <c r="X1818" s="21" t="n">
        <v>81520412099</v>
      </c>
      <c r="Y1818" s="22" t="str">
        <f aca="false">O1818</f>
        <v>Staff Administrasi</v>
      </c>
      <c r="Z1818" s="13" t="str">
        <f aca="false">IFERROR(__xludf.dummyfunction("if(BJ1818="""","""",GOOGLETRANSLATE(BJ1818,""auto"",""en""))"),"Administrative staff")</f>
        <v>Administrative staff</v>
      </c>
      <c r="AA1818" s="23" t="str">
        <f aca="false">IF(C1818="","", CHOOSE(MONTH(C1818),"January","February","March","April","May","June","July","August","September","October","November","December")&amp;" "&amp;DAY(C1818)&amp;MID("thstndrdth",MIN(9,2*RIGHT(DAY(C1818))*(MOD(DAY(C1818)-11,100)&gt;2)+1),2)&amp;","&amp;TEXT(C1818," yyyy"))</f>
        <v>January 16th,2025</v>
      </c>
      <c r="AB1818" s="15" t="str">
        <f aca="true">IF(S1818="","",DATEDIF(S1818,TODAY(),"Y")&amp;" Tahun, "&amp;DATEDIF(S1818,TODAY(),"YM")&amp;" Bulan, "&amp;DATEDIF(S1818,TODAY(),"MD")&amp;" Hari")</f>
        <v>24 Tahun, 0 Bulan, 18 Hari</v>
      </c>
      <c r="AC1818" s="18" t="n">
        <v>45763</v>
      </c>
      <c r="AD1818" s="18" t="n">
        <v>45945</v>
      </c>
      <c r="AE1818" s="18" t="s">
        <v>44</v>
      </c>
    </row>
    <row r="1819" customFormat="false" ht="15" hidden="false" customHeight="true" outlineLevel="0" collapsed="false">
      <c r="A1819" s="12" t="n">
        <v>18474</v>
      </c>
      <c r="B1819" s="13" t="s">
        <v>7899</v>
      </c>
      <c r="C1819" s="14" t="n">
        <v>45673</v>
      </c>
      <c r="D1819" s="13" t="s">
        <v>613</v>
      </c>
      <c r="E1819" s="15" t="s">
        <v>47</v>
      </c>
      <c r="F1819" s="15" t="str">
        <f aca="false">IFERROR(__xludf.dummyfunction("XLOOKUP(AJ1819,IMPORTRANGE(""1XaInW9DU9nz21V0tYIfzFQ0He9kVQ_JF2mCXgZ3hqFA"",""REKAP ALL 2026 - Andika!G:G""),IMPORTRANGE(""1XaInW9DU9nz21V0tYIfzFQ0He9kVQ_JF2mCXgZ3hqFA"",""REKAP ALL 2026 - Andika!F:F""),"""",0)"),"25012463680")</f>
        <v>25012463680</v>
      </c>
      <c r="G1819" s="13" t="s">
        <v>7900</v>
      </c>
      <c r="H1819" s="13" t="s">
        <v>35</v>
      </c>
      <c r="I1819" s="13" t="str">
        <f aca="false">IF(C1819=J1819,"NEW KONTRAK","RE-KONTRAK")</f>
        <v>RE-KONTRAK</v>
      </c>
      <c r="J1819" s="16" t="n">
        <f aca="false" t="array" ref="J1819:J1819">IFERROR(INDEX(AC1819:AE1819,IF(COUNTA(AC1819:AE1819)=0,"",MAX((AC1819:AE1819&lt;&gt;"")*(COLUMN(AC1819:AE1819)-(COLUMN(AC1819)))))-1),"")</f>
        <v>45763</v>
      </c>
      <c r="K1819" s="16" t="n">
        <f aca="false" t="array" ref="K1819:K1819">IFERROR(INDEX(AC1819:AE1819,IF(COUNTA(AC1819:AE1819)=0,"",MAX((AC1819:AE1819&lt;&gt;"")*(COLUMN(AC1819:AE1819)-(COLUMN(AC1819)-1))))-1),"")</f>
        <v>45945</v>
      </c>
      <c r="L1819" s="17" t="str">
        <f aca="false" t="array" ref="L1819:L1819">IFERROR(INDEX(AC1819:AE1819,IF(COUNTA(AC1819:AE1819)=0,"",MAX((AC1819:AE1819&lt;&gt;"")*(COLUMN(AC1819:AE1819)-(COLUMN(AC1819)-2))))-1),"")</f>
        <v>ARCHIVED</v>
      </c>
      <c r="M1819" s="13" t="n">
        <f aca="true">K1819-TODAY()</f>
        <v>-379</v>
      </c>
      <c r="N1819" s="18" t="s">
        <v>615</v>
      </c>
      <c r="O1819" s="13" t="s">
        <v>7395</v>
      </c>
      <c r="P1819" s="19" t="n">
        <v>5176101</v>
      </c>
      <c r="Q1819" s="20" t="s">
        <v>7901</v>
      </c>
      <c r="R1819" s="13" t="s">
        <v>232</v>
      </c>
      <c r="S1819" s="14" t="n">
        <v>36446</v>
      </c>
      <c r="T1819" s="13" t="s">
        <v>108</v>
      </c>
      <c r="U1819" s="13" t="s">
        <v>7902</v>
      </c>
      <c r="V1819" s="13" t="s">
        <v>42</v>
      </c>
      <c r="W1819" s="13" t="s">
        <v>43</v>
      </c>
      <c r="X1819" s="21" t="n">
        <v>85771734409</v>
      </c>
      <c r="Y1819" s="22" t="str">
        <f aca="false">O1819</f>
        <v>Staff Administrasi</v>
      </c>
      <c r="Z1819" s="13" t="str">
        <f aca="false">IFERROR(__xludf.dummyfunction("if(BJ1819="""","""",GOOGLETRANSLATE(BJ1819,""auto"",""en""))"),"Administrative staff")</f>
        <v>Administrative staff</v>
      </c>
      <c r="AA1819" s="23" t="str">
        <f aca="false">IF(C1819="","", CHOOSE(MONTH(C1819),"January","February","March","April","May","June","July","August","September","October","November","December")&amp;" "&amp;DAY(C1819)&amp;MID("thstndrdth",MIN(9,2*RIGHT(DAY(C1819))*(MOD(DAY(C1819)-11,100)&gt;2)+1),2)&amp;","&amp;TEXT(C1819," yyyy"))</f>
        <v>January 16th,2025</v>
      </c>
      <c r="AB1819" s="15" t="str">
        <f aca="true">IF(S1819="","",DATEDIF(S1819,TODAY(),"Y")&amp;" Tahun, "&amp;DATEDIF(S1819,TODAY(),"YM")&amp;" Bulan, "&amp;DATEDIF(S1819,TODAY(),"MD")&amp;" Hari")</f>
        <v>27 Tahun, 0 Bulan, 16 Hari</v>
      </c>
      <c r="AC1819" s="18" t="n">
        <v>45763</v>
      </c>
      <c r="AD1819" s="18" t="n">
        <v>45945</v>
      </c>
      <c r="AE1819" s="18" t="s">
        <v>44</v>
      </c>
    </row>
    <row r="1820" customFormat="false" ht="15" hidden="false" customHeight="true" outlineLevel="0" collapsed="false">
      <c r="A1820" s="12" t="n">
        <v>18476</v>
      </c>
      <c r="B1820" s="13" t="s">
        <v>7903</v>
      </c>
      <c r="C1820" s="14" t="n">
        <v>45691</v>
      </c>
      <c r="D1820" s="13" t="s">
        <v>5726</v>
      </c>
      <c r="E1820" s="15" t="s">
        <v>33</v>
      </c>
      <c r="F1820" s="24" t="s">
        <v>7904</v>
      </c>
      <c r="G1820" s="13" t="s">
        <v>7905</v>
      </c>
      <c r="H1820" s="13" t="s">
        <v>35</v>
      </c>
      <c r="I1820" s="13" t="str">
        <f aca="false">IF(C1820=J1820,"NEW KONTRAK","RE-KONTRAK")</f>
        <v>NEW KONTRAK</v>
      </c>
      <c r="J1820" s="16" t="n">
        <f aca="false" t="array" ref="J1820:J1820">IFERROR(INDEX(AC1820:AE1820,IF(COUNTA(AC1820:AE1820)=0,"",MAX((AC1820:AE1820&lt;&gt;"")*(COLUMN(AC1820:AE1820)-(COLUMN(AC1820)))))-1),"")</f>
        <v>45691</v>
      </c>
      <c r="K1820" s="16" t="n">
        <f aca="false" t="array" ref="K1820:K1820">IFERROR(INDEX(AC1820:AE1820,IF(COUNTA(AC1820:AE1820)=0,"",MAX((AC1820:AE1820&lt;&gt;"")*(COLUMN(AC1820:AE1820)-(COLUMN(AC1820)-1))))-1),"")</f>
        <v>45871</v>
      </c>
      <c r="L1820" s="17" t="str">
        <f aca="false" t="array" ref="L1820:L1820">IFERROR(INDEX(AC1820:AE1820,IF(COUNTA(AC1820:AE1820)=0,"",MAX((AC1820:AE1820&lt;&gt;"")*(COLUMN(AC1820:AE1820)-(COLUMN(AC1820)-2))))-1),"")</f>
        <v>ARCHIVED</v>
      </c>
      <c r="M1820" s="13" t="n">
        <f aca="true">K1820-TODAY()</f>
        <v>-453</v>
      </c>
      <c r="N1820" s="18" t="s">
        <v>615</v>
      </c>
      <c r="O1820" s="13" t="s">
        <v>7906</v>
      </c>
      <c r="P1820" s="19" t="n">
        <v>4856026</v>
      </c>
      <c r="Q1820" s="20" t="s">
        <v>7907</v>
      </c>
      <c r="R1820" s="13" t="s">
        <v>232</v>
      </c>
      <c r="S1820" s="14" t="n">
        <v>35222</v>
      </c>
      <c r="T1820" s="13" t="s">
        <v>108</v>
      </c>
      <c r="U1820" s="13" t="s">
        <v>7908</v>
      </c>
      <c r="V1820" s="13" t="s">
        <v>42</v>
      </c>
      <c r="W1820" s="13" t="s">
        <v>43</v>
      </c>
      <c r="X1820" s="21" t="n">
        <v>82223910371</v>
      </c>
      <c r="Y1820" s="22" t="str">
        <f aca="false">O1820</f>
        <v>Customer Sevice</v>
      </c>
      <c r="Z1820" s="13" t="str">
        <f aca="false">IFERROR(__xludf.dummyfunction("if(BJ1820="""","""",GOOGLETRANSLATE(BJ1820,""auto"",""en""))"),"Customer Sevice")</f>
        <v>Customer Sevice</v>
      </c>
      <c r="AA1820" s="23" t="str">
        <f aca="false">IF(C1820="","", CHOOSE(MONTH(C1820),"January","February","March","April","May","June","July","August","September","October","November","December")&amp;" "&amp;DAY(C1820)&amp;MID("thstndrdth",MIN(9,2*RIGHT(DAY(C1820))*(MOD(DAY(C1820)-11,100)&gt;2)+1),2)&amp;","&amp;TEXT(C1820," yyyy"))</f>
        <v>February 3rd,2025</v>
      </c>
      <c r="AB1820" s="15" t="str">
        <f aca="true">IF(S1820="","",DATEDIF(S1820,TODAY(),"Y")&amp;" Tahun, "&amp;DATEDIF(S1820,TODAY(),"YM")&amp;" Bulan, "&amp;DATEDIF(S1820,TODAY(),"MD")&amp;" Hari")</f>
        <v>30 Tahun, 4 Bulan, 23 Hari</v>
      </c>
      <c r="AC1820" s="18" t="n">
        <v>45691</v>
      </c>
      <c r="AD1820" s="18" t="n">
        <v>45871</v>
      </c>
      <c r="AE1820" s="18" t="s">
        <v>44</v>
      </c>
    </row>
    <row r="1821" customFormat="false" ht="15" hidden="false" customHeight="true" outlineLevel="0" collapsed="false">
      <c r="A1821" s="12" t="n">
        <v>18489</v>
      </c>
      <c r="B1821" s="13" t="s">
        <v>7909</v>
      </c>
      <c r="C1821" s="14" t="n">
        <v>45663</v>
      </c>
      <c r="D1821" s="13" t="s">
        <v>2033</v>
      </c>
      <c r="E1821" s="15" t="s">
        <v>789</v>
      </c>
      <c r="F1821" s="24" t="s">
        <v>7910</v>
      </c>
      <c r="G1821" s="13" t="s">
        <v>7911</v>
      </c>
      <c r="H1821" s="13" t="s">
        <v>2035</v>
      </c>
      <c r="I1821" s="13" t="str">
        <f aca="false">IF(C1821=J1821,"NEW KONTRAK","RE-KONTRAK")</f>
        <v>RE-KONTRAK</v>
      </c>
      <c r="J1821" s="16" t="n">
        <f aca="false" t="array" ref="J1821:J1821">IFERROR(INDEX(AC1821:AE1821,IF(COUNTA(AC1821:AE1821)=0,"",MAX((AC1821:AE1821&lt;&gt;"")*(COLUMN(AC1821:AE1821)-(COLUMN(AC1821)))))-1),"")</f>
        <v>45744</v>
      </c>
      <c r="K1821" s="16" t="n">
        <f aca="false" t="array" ref="K1821:K1821">IFERROR(INDEX(AC1821:AE1821,IF(COUNTA(AC1821:AE1821)=0,"",MAX((AC1821:AE1821&lt;&gt;"")*(COLUMN(AC1821:AE1821)-(COLUMN(AC1821)-1))))-1),"")</f>
        <v>45915</v>
      </c>
      <c r="L1821" s="17" t="str">
        <f aca="false" t="array" ref="L1821:L1821">IFERROR(INDEX(AC1821:AE1821,IF(COUNTA(AC1821:AE1821)=0,"",MAX((AC1821:AE1821&lt;&gt;"")*(COLUMN(AC1821:AE1821)-(COLUMN(AC1821)-2))))-1),"")</f>
        <v>ARCHIVED</v>
      </c>
      <c r="M1821" s="13" t="n">
        <f aca="true">K1821-TODAY()</f>
        <v>-409</v>
      </c>
      <c r="N1821" s="18" t="s">
        <v>3902</v>
      </c>
      <c r="O1821" s="13" t="s">
        <v>2037</v>
      </c>
      <c r="P1821" s="19" t="n">
        <v>3305367</v>
      </c>
      <c r="Q1821" s="20" t="s">
        <v>7912</v>
      </c>
      <c r="R1821" s="13" t="s">
        <v>3904</v>
      </c>
      <c r="S1821" s="14" t="n">
        <v>37008</v>
      </c>
      <c r="T1821" s="13" t="s">
        <v>108</v>
      </c>
      <c r="U1821" s="13" t="s">
        <v>7913</v>
      </c>
      <c r="V1821" s="13" t="s">
        <v>42</v>
      </c>
      <c r="W1821" s="13" t="s">
        <v>43</v>
      </c>
      <c r="X1821" s="21" t="n">
        <v>83180897040</v>
      </c>
      <c r="Y1821" s="22" t="str">
        <f aca="false">O1821</f>
        <v>SPG/BA</v>
      </c>
      <c r="Z1821" s="13" t="str">
        <f aca="false">IFERROR(__xludf.dummyfunction("if(BJ1821="""","""",GOOGLETRANSLATE(BJ1821,""auto"",""en""))"),"SPG/BA")</f>
        <v>SPG/BA</v>
      </c>
      <c r="AA1821" s="23" t="str">
        <f aca="false">IF(C1821="","", CHOOSE(MONTH(C1821),"January","February","March","April","May","June","July","August","September","October","November","December")&amp;" "&amp;DAY(C1821)&amp;MID("thstndrdth",MIN(9,2*RIGHT(DAY(C1821))*(MOD(DAY(C1821)-11,100)&gt;2)+1),2)&amp;","&amp;TEXT(C1821," yyyy"))</f>
        <v>January 6th,2025</v>
      </c>
      <c r="AB1821" s="15" t="str">
        <f aca="true">IF(S1821="","",DATEDIF(S1821,TODAY(),"Y")&amp;" Tahun, "&amp;DATEDIF(S1821,TODAY(),"YM")&amp;" Bulan, "&amp;DATEDIF(S1821,TODAY(),"MD")&amp;" Hari")</f>
        <v>25 Tahun, 6 Bulan, 2 Hari</v>
      </c>
      <c r="AC1821" s="18" t="n">
        <v>45744</v>
      </c>
      <c r="AD1821" s="18" t="n">
        <v>45915</v>
      </c>
      <c r="AE1821" s="18" t="s">
        <v>44</v>
      </c>
    </row>
    <row r="1822" customFormat="false" ht="15" hidden="false" customHeight="true" outlineLevel="0" collapsed="false">
      <c r="A1822" s="12" t="n">
        <v>18490</v>
      </c>
      <c r="B1822" s="13" t="s">
        <v>7914</v>
      </c>
      <c r="C1822" s="14" t="n">
        <v>45661</v>
      </c>
      <c r="D1822" s="13" t="s">
        <v>2033</v>
      </c>
      <c r="E1822" s="15" t="s">
        <v>102</v>
      </c>
      <c r="F1822" s="24" t="s">
        <v>7915</v>
      </c>
      <c r="G1822" s="13" t="s">
        <v>7916</v>
      </c>
      <c r="H1822" s="13" t="s">
        <v>2035</v>
      </c>
      <c r="I1822" s="13" t="str">
        <f aca="false">IF(C1822=J1822,"NEW KONTRAK","RE-KONTRAK")</f>
        <v>RE-KONTRAK</v>
      </c>
      <c r="J1822" s="16" t="n">
        <f aca="false" t="array" ref="J1822:J1822">IFERROR(INDEX(AC1822:AE1822,IF(COUNTA(AC1822:AE1822)=0,"",MAX((AC1822:AE1822&lt;&gt;"")*(COLUMN(AC1822:AE1822)-(COLUMN(AC1822)))))-1),"")</f>
        <v>45744</v>
      </c>
      <c r="K1822" s="16" t="n">
        <f aca="false" t="array" ref="K1822:K1822">IFERROR(INDEX(AC1822:AE1822,IF(COUNTA(AC1822:AE1822)=0,"",MAX((AC1822:AE1822&lt;&gt;"")*(COLUMN(AC1822:AE1822)-(COLUMN(AC1822)-1))))-1),"")</f>
        <v>45915</v>
      </c>
      <c r="L1822" s="17" t="str">
        <f aca="false" t="array" ref="L1822:L1822">IFERROR(INDEX(AC1822:AE1822,IF(COUNTA(AC1822:AE1822)=0,"",MAX((AC1822:AE1822&lt;&gt;"")*(COLUMN(AC1822:AE1822)-(COLUMN(AC1822)-2))))-1),"")</f>
        <v>ARCHIVED</v>
      </c>
      <c r="M1822" s="13" t="n">
        <f aca="true">K1822-TODAY()</f>
        <v>-409</v>
      </c>
      <c r="N1822" s="18" t="s">
        <v>3703</v>
      </c>
      <c r="O1822" s="13" t="s">
        <v>2037</v>
      </c>
      <c r="P1822" s="19" t="n">
        <v>2680485</v>
      </c>
      <c r="Q1822" s="20" t="s">
        <v>7917</v>
      </c>
      <c r="R1822" s="13" t="s">
        <v>3703</v>
      </c>
      <c r="S1822" s="14" t="n">
        <v>36624</v>
      </c>
      <c r="T1822" s="13" t="s">
        <v>108</v>
      </c>
      <c r="U1822" s="13" t="s">
        <v>7918</v>
      </c>
      <c r="V1822" s="13" t="s">
        <v>42</v>
      </c>
      <c r="W1822" s="13" t="s">
        <v>54</v>
      </c>
      <c r="X1822" s="21" t="n">
        <v>882007045017</v>
      </c>
      <c r="Y1822" s="22" t="str">
        <f aca="false">O1822</f>
        <v>SPG/BA</v>
      </c>
      <c r="Z1822" s="13" t="str">
        <f aca="false">IFERROR(__xludf.dummyfunction("if(BJ1822="""","""",GOOGLETRANSLATE(BJ1822,""auto"",""en""))"),"SPG/BA")</f>
        <v>SPG/BA</v>
      </c>
      <c r="AA1822" s="23" t="str">
        <f aca="false">IF(C1822="","", CHOOSE(MONTH(C1822),"January","February","March","April","May","June","July","August","September","October","November","December")&amp;" "&amp;DAY(C1822)&amp;MID("thstndrdth",MIN(9,2*RIGHT(DAY(C1822))*(MOD(DAY(C1822)-11,100)&gt;2)+1),2)&amp;","&amp;TEXT(C1822," yyyy"))</f>
        <v>January 4th,2025</v>
      </c>
      <c r="AB1822" s="15" t="str">
        <f aca="true">IF(S1822="","",DATEDIF(S1822,TODAY(),"Y")&amp;" Tahun, "&amp;DATEDIF(S1822,TODAY(),"YM")&amp;" Bulan, "&amp;DATEDIF(S1822,TODAY(),"MD")&amp;" Hari")</f>
        <v>26 Tahun, 6 Bulan, 21 Hari</v>
      </c>
      <c r="AC1822" s="18" t="n">
        <v>45744</v>
      </c>
      <c r="AD1822" s="18" t="n">
        <v>45915</v>
      </c>
      <c r="AE1822" s="18" t="s">
        <v>44</v>
      </c>
    </row>
    <row r="1823" customFormat="false" ht="15" hidden="false" customHeight="true" outlineLevel="0" collapsed="false">
      <c r="A1823" s="12" t="n">
        <v>18491</v>
      </c>
      <c r="B1823" s="13" t="s">
        <v>7919</v>
      </c>
      <c r="C1823" s="14" t="n">
        <v>45663</v>
      </c>
      <c r="D1823" s="13" t="s">
        <v>2033</v>
      </c>
      <c r="E1823" s="15" t="s">
        <v>33</v>
      </c>
      <c r="F1823" s="24" t="s">
        <v>7920</v>
      </c>
      <c r="G1823" s="13" t="s">
        <v>7921</v>
      </c>
      <c r="H1823" s="13" t="s">
        <v>2035</v>
      </c>
      <c r="I1823" s="13" t="str">
        <f aca="false">IF(C1823=J1823,"NEW KONTRAK","RE-KONTRAK")</f>
        <v>RE-KONTRAK</v>
      </c>
      <c r="J1823" s="16" t="n">
        <f aca="false" t="array" ref="J1823:J1823">IFERROR(INDEX(AC1823:AE1823,IF(COUNTA(AC1823:AE1823)=0,"",MAX((AC1823:AE1823&lt;&gt;"")*(COLUMN(AC1823:AE1823)-(COLUMN(AC1823)))))-1),"")</f>
        <v>45744</v>
      </c>
      <c r="K1823" s="16" t="n">
        <f aca="false" t="array" ref="K1823:K1823">IFERROR(INDEX(AC1823:AE1823,IF(COUNTA(AC1823:AE1823)=0,"",MAX((AC1823:AE1823&lt;&gt;"")*(COLUMN(AC1823:AE1823)-(COLUMN(AC1823)-1))))-1),"")</f>
        <v>45915</v>
      </c>
      <c r="L1823" s="17" t="str">
        <f aca="false" t="array" ref="L1823:L1823">IFERROR(INDEX(AC1823:AE1823,IF(COUNTA(AC1823:AE1823)=0,"",MAX((AC1823:AE1823&lt;&gt;"")*(COLUMN(AC1823:AE1823)-(COLUMN(AC1823)-2))))-1),"")</f>
        <v>ARCHIVED</v>
      </c>
      <c r="M1823" s="13" t="n">
        <f aca="true">K1823-TODAY()</f>
        <v>-409</v>
      </c>
      <c r="N1823" s="18" t="s">
        <v>3902</v>
      </c>
      <c r="O1823" s="13" t="s">
        <v>2037</v>
      </c>
      <c r="P1823" s="19" t="n">
        <v>3305367</v>
      </c>
      <c r="Q1823" s="20" t="s">
        <v>7922</v>
      </c>
      <c r="R1823" s="13" t="s">
        <v>7923</v>
      </c>
      <c r="S1823" s="14" t="n">
        <v>36297</v>
      </c>
      <c r="T1823" s="13" t="s">
        <v>108</v>
      </c>
      <c r="U1823" s="13" t="s">
        <v>7924</v>
      </c>
      <c r="V1823" s="13" t="s">
        <v>42</v>
      </c>
      <c r="W1823" s="13" t="s">
        <v>43</v>
      </c>
      <c r="X1823" s="21" t="n">
        <v>89630511378</v>
      </c>
      <c r="Y1823" s="22" t="str">
        <f aca="false">O1823</f>
        <v>SPG/BA</v>
      </c>
      <c r="Z1823" s="13" t="str">
        <f aca="false">IFERROR(__xludf.dummyfunction("if(BJ1823="""","""",GOOGLETRANSLATE(BJ1823,""auto"",""en""))"),"SPG/BA")</f>
        <v>SPG/BA</v>
      </c>
      <c r="AA1823" s="23" t="str">
        <f aca="false">IF(C1823="","", CHOOSE(MONTH(C1823),"January","February","March","April","May","June","July","August","September","October","November","December")&amp;" "&amp;DAY(C1823)&amp;MID("thstndrdth",MIN(9,2*RIGHT(DAY(C1823))*(MOD(DAY(C1823)-11,100)&gt;2)+1),2)&amp;","&amp;TEXT(C1823," yyyy"))</f>
        <v>January 6th,2025</v>
      </c>
      <c r="AB1823" s="15" t="str">
        <f aca="true">IF(S1823="","",DATEDIF(S1823,TODAY(),"Y")&amp;" Tahun, "&amp;DATEDIF(S1823,TODAY(),"YM")&amp;" Bulan, "&amp;DATEDIF(S1823,TODAY(),"MD")&amp;" Hari")</f>
        <v>27 Tahun, 5 Bulan, 12 Hari</v>
      </c>
      <c r="AC1823" s="18" t="n">
        <v>45744</v>
      </c>
      <c r="AD1823" s="18" t="n">
        <v>45915</v>
      </c>
      <c r="AE1823" s="18" t="s">
        <v>44</v>
      </c>
    </row>
    <row r="1824" customFormat="false" ht="15" hidden="false" customHeight="true" outlineLevel="0" collapsed="false">
      <c r="A1824" s="12" t="n">
        <v>18492</v>
      </c>
      <c r="B1824" s="13" t="s">
        <v>7925</v>
      </c>
      <c r="C1824" s="14" t="n">
        <v>45666</v>
      </c>
      <c r="D1824" s="13" t="s">
        <v>2033</v>
      </c>
      <c r="E1824" s="15" t="s">
        <v>102</v>
      </c>
      <c r="F1824" s="15" t="str">
        <f aca="false">IFERROR(__xludf.dummyfunction("XLOOKUP(AJ1824,IMPORTRANGE(""1XaInW9DU9nz21V0tYIfzFQ0He9kVQ_JF2mCXgZ3hqFA"",""REKAP ALL 2026 - Andika!G:G""),IMPORTRANGE(""1XaInW9DU9nz21V0tYIfzFQ0He9kVQ_JF2mCXgZ3hqFA"",""REKAP ALL 2026 - Andika!F:F""),"""",0)"),"25012463425")</f>
        <v>25012463425</v>
      </c>
      <c r="G1824" s="13" t="s">
        <v>7926</v>
      </c>
      <c r="H1824" s="13" t="s">
        <v>2035</v>
      </c>
      <c r="I1824" s="13" t="str">
        <f aca="false">IF(C1824=J1824,"NEW KONTRAK","RE-KONTRAK")</f>
        <v>RE-KONTRAK</v>
      </c>
      <c r="J1824" s="16" t="n">
        <f aca="false" t="array" ref="J1824:J1824">IFERROR(INDEX(AC1824:AE1824,IF(COUNTA(AC1824:AE1824)=0,"",MAX((AC1824:AE1824&lt;&gt;"")*(COLUMN(AC1824:AE1824)-(COLUMN(AC1824)))))-1),"")</f>
        <v>45744</v>
      </c>
      <c r="K1824" s="16" t="n">
        <f aca="false" t="array" ref="K1824:K1824">IFERROR(INDEX(AC1824:AE1824,IF(COUNTA(AC1824:AE1824)=0,"",MAX((AC1824:AE1824&lt;&gt;"")*(COLUMN(AC1824:AE1824)-(COLUMN(AC1824)-1))))-1),"")</f>
        <v>45915</v>
      </c>
      <c r="L1824" s="17" t="str">
        <f aca="false" t="array" ref="L1824:L1824">IFERROR(INDEX(AC1824:AE1824,IF(COUNTA(AC1824:AE1824)=0,"",MAX((AC1824:AE1824&lt;&gt;"")*(COLUMN(AC1824:AE1824)-(COLUMN(AC1824)-2))))-1),"")</f>
        <v>ARCHIVED</v>
      </c>
      <c r="M1824" s="13" t="n">
        <f aca="true">K1824-TODAY()</f>
        <v>-409</v>
      </c>
      <c r="N1824" s="18" t="s">
        <v>4898</v>
      </c>
      <c r="O1824" s="13" t="s">
        <v>2037</v>
      </c>
      <c r="P1824" s="19" t="n">
        <v>3876600</v>
      </c>
      <c r="Q1824" s="20" t="s">
        <v>7927</v>
      </c>
      <c r="R1824" s="13" t="s">
        <v>7928</v>
      </c>
      <c r="S1824" s="14" t="n">
        <v>37401</v>
      </c>
      <c r="T1824" s="13" t="s">
        <v>108</v>
      </c>
      <c r="U1824" s="13" t="s">
        <v>7929</v>
      </c>
      <c r="V1824" s="13" t="s">
        <v>42</v>
      </c>
      <c r="W1824" s="13" t="s">
        <v>43</v>
      </c>
      <c r="X1824" s="21" t="n">
        <v>81316958717</v>
      </c>
      <c r="Y1824" s="22" t="str">
        <f aca="false">O1824</f>
        <v>SPG/BA</v>
      </c>
      <c r="Z1824" s="13" t="str">
        <f aca="false">IFERROR(__xludf.dummyfunction("if(BJ1824="""","""",GOOGLETRANSLATE(BJ1824,""auto"",""en""))"),"SPG/BA")</f>
        <v>SPG/BA</v>
      </c>
      <c r="AA1824" s="23" t="str">
        <f aca="false">IF(C1824="","", CHOOSE(MONTH(C1824),"January","February","March","April","May","June","July","August","September","October","November","December")&amp;" "&amp;DAY(C1824)&amp;MID("thstndrdth",MIN(9,2*RIGHT(DAY(C1824))*(MOD(DAY(C1824)-11,100)&gt;2)+1),2)&amp;","&amp;TEXT(C1824," yyyy"))</f>
        <v>January 9th,2025</v>
      </c>
      <c r="AB1824" s="15" t="str">
        <f aca="true">IF(S1824="","",DATEDIF(S1824,TODAY(),"Y")&amp;" Tahun, "&amp;DATEDIF(S1824,TODAY(),"YM")&amp;" Bulan, "&amp;DATEDIF(S1824,TODAY(),"MD")&amp;" Hari")</f>
        <v>24 Tahun, 5 Bulan, 4 Hari</v>
      </c>
      <c r="AC1824" s="18" t="n">
        <v>45744</v>
      </c>
      <c r="AD1824" s="18" t="n">
        <v>45915</v>
      </c>
      <c r="AE1824" s="18" t="s">
        <v>44</v>
      </c>
    </row>
    <row r="1825" customFormat="false" ht="15" hidden="false" customHeight="true" outlineLevel="0" collapsed="false">
      <c r="A1825" s="12" t="n">
        <v>18494</v>
      </c>
      <c r="B1825" s="13" t="s">
        <v>7930</v>
      </c>
      <c r="C1825" s="14" t="n">
        <v>45666</v>
      </c>
      <c r="D1825" s="13" t="s">
        <v>2033</v>
      </c>
      <c r="E1825" s="15" t="s">
        <v>102</v>
      </c>
      <c r="F1825" s="15" t="str">
        <f aca="false">IFERROR(__xludf.dummyfunction("XLOOKUP(AJ1825,IMPORTRANGE(""1XaInW9DU9nz21V0tYIfzFQ0He9kVQ_JF2mCXgZ3hqFA"",""REKAP ALL 2026 - Andika!G:G""),IMPORTRANGE(""1XaInW9DU9nz21V0tYIfzFQ0He9kVQ_JF2mCXgZ3hqFA"",""REKAP ALL 2026 - Andika!F:F""),"""",0)"),"25012463441")</f>
        <v>25012463441</v>
      </c>
      <c r="G1825" s="13" t="s">
        <v>7931</v>
      </c>
      <c r="H1825" s="13" t="s">
        <v>2035</v>
      </c>
      <c r="I1825" s="13" t="str">
        <f aca="false">IF(C1825=J1825,"NEW KONTRAK","RE-KONTRAK")</f>
        <v>RE-KONTRAK</v>
      </c>
      <c r="J1825" s="16" t="n">
        <f aca="false" t="array" ref="J1825:J1825">IFERROR(INDEX(AC1825:AE1825,IF(COUNTA(AC1825:AE1825)=0,"",MAX((AC1825:AE1825&lt;&gt;"")*(COLUMN(AC1825:AE1825)-(COLUMN(AC1825)))))-1),"")</f>
        <v>45744</v>
      </c>
      <c r="K1825" s="16" t="n">
        <f aca="false" t="array" ref="K1825:K1825">IFERROR(INDEX(AC1825:AE1825,IF(COUNTA(AC1825:AE1825)=0,"",MAX((AC1825:AE1825&lt;&gt;"")*(COLUMN(AC1825:AE1825)-(COLUMN(AC1825)-1))))-1),"")</f>
        <v>45915</v>
      </c>
      <c r="L1825" s="17" t="str">
        <f aca="false" t="array" ref="L1825:L1825">IFERROR(INDEX(AC1825:AE1825,IF(COUNTA(AC1825:AE1825)=0,"",MAX((AC1825:AE1825&lt;&gt;"")*(COLUMN(AC1825:AE1825)-(COLUMN(AC1825)-2))))-1),"")</f>
        <v>ARCHIVED</v>
      </c>
      <c r="M1825" s="13" t="n">
        <f aca="true">K1825-TODAY()</f>
        <v>-409</v>
      </c>
      <c r="N1825" s="18" t="s">
        <v>2390</v>
      </c>
      <c r="O1825" s="13" t="s">
        <v>2037</v>
      </c>
      <c r="P1825" s="19" t="n">
        <v>3916635</v>
      </c>
      <c r="Q1825" s="20" t="s">
        <v>7932</v>
      </c>
      <c r="R1825" s="13" t="s">
        <v>7933</v>
      </c>
      <c r="S1825" s="14" t="n">
        <v>38536</v>
      </c>
      <c r="T1825" s="13" t="s">
        <v>108</v>
      </c>
      <c r="U1825" s="13" t="s">
        <v>7934</v>
      </c>
      <c r="V1825" s="13" t="s">
        <v>42</v>
      </c>
      <c r="W1825" s="13" t="s">
        <v>43</v>
      </c>
      <c r="X1825" s="21" t="n">
        <v>85279945032</v>
      </c>
      <c r="Y1825" s="22" t="str">
        <f aca="false">O1825</f>
        <v>SPG/BA</v>
      </c>
      <c r="Z1825" s="13" t="str">
        <f aca="false">IFERROR(__xludf.dummyfunction("if(BJ1825="""","""",GOOGLETRANSLATE(BJ1825,""auto"",""en""))"),"SPG/BA")</f>
        <v>SPG/BA</v>
      </c>
      <c r="AA1825" s="23" t="str">
        <f aca="false">IF(C1825="","", CHOOSE(MONTH(C1825),"January","February","March","April","May","June","July","August","September","October","November","December")&amp;" "&amp;DAY(C1825)&amp;MID("thstndrdth",MIN(9,2*RIGHT(DAY(C1825))*(MOD(DAY(C1825)-11,100)&gt;2)+1),2)&amp;","&amp;TEXT(C1825," yyyy"))</f>
        <v>January 9th,2025</v>
      </c>
      <c r="AB1825" s="15" t="str">
        <f aca="true">IF(S1825="","",DATEDIF(S1825,TODAY(),"Y")&amp;" Tahun, "&amp;DATEDIF(S1825,TODAY(),"YM")&amp;" Bulan, "&amp;DATEDIF(S1825,TODAY(),"MD")&amp;" Hari")</f>
        <v>21 Tahun, 3 Bulan, 26 Hari</v>
      </c>
      <c r="AC1825" s="18" t="n">
        <v>45744</v>
      </c>
      <c r="AD1825" s="18" t="n">
        <v>45915</v>
      </c>
      <c r="AE1825" s="18" t="s">
        <v>44</v>
      </c>
    </row>
    <row r="1826" customFormat="false" ht="15" hidden="false" customHeight="true" outlineLevel="0" collapsed="false">
      <c r="A1826" s="12" t="n">
        <v>18500</v>
      </c>
      <c r="B1826" s="13" t="s">
        <v>7935</v>
      </c>
      <c r="C1826" s="14" t="n">
        <v>45656</v>
      </c>
      <c r="D1826" s="13" t="s">
        <v>5892</v>
      </c>
      <c r="E1826" s="15" t="s">
        <v>47</v>
      </c>
      <c r="F1826" s="15" t="str">
        <f aca="false">IFERROR(__xludf.dummyfunction("XLOOKUP(AJ1826,IMPORTRANGE(""1XaInW9DU9nz21V0tYIfzFQ0He9kVQ_JF2mCXgZ3hqFA"",""REKAP ALL 2026 - Andika!G:G""),IMPORTRANGE(""1XaInW9DU9nz21V0tYIfzFQ0He9kVQ_JF2mCXgZ3hqFA"",""REKAP ALL 2026 - Andika!F:F""),"""",0)"),"25026105434")</f>
        <v>25026105434</v>
      </c>
      <c r="G1826" s="13" t="s">
        <v>7936</v>
      </c>
      <c r="H1826" s="13" t="s">
        <v>35</v>
      </c>
      <c r="I1826" s="13" t="str">
        <f aca="false">IF(C1826=J1826,"NEW KONTRAK","RE-KONTRAK")</f>
        <v>RE-KONTRAK</v>
      </c>
      <c r="J1826" s="16" t="n">
        <f aca="false" t="array" ref="J1826:J1826">IFERROR(INDEX(AC1826:AE1826,IF(COUNTA(AC1826:AE1826)=0,"",MAX((AC1826:AE1826&lt;&gt;"")*(COLUMN(AC1826:AE1826)-(COLUMN(AC1826)))))-1),"")</f>
        <v>45746</v>
      </c>
      <c r="K1826" s="16" t="n">
        <f aca="false" t="array" ref="K1826:K1826">IFERROR(INDEX(AC1826:AE1826,IF(COUNTA(AC1826:AE1826)=0,"",MAX((AC1826:AE1826&lt;&gt;"")*(COLUMN(AC1826:AE1826)-(COLUMN(AC1826)-1))))-1),"")</f>
        <v>45929</v>
      </c>
      <c r="L1826" s="17" t="str">
        <f aca="false" t="array" ref="L1826:L1826">IFERROR(INDEX(AC1826:AE1826,IF(COUNTA(AC1826:AE1826)=0,"",MAX((AC1826:AE1826&lt;&gt;"")*(COLUMN(AC1826:AE1826)-(COLUMN(AC1826)-2))))-1),"")</f>
        <v>ARCHIVED</v>
      </c>
      <c r="M1826" s="13" t="n">
        <f aca="true">K1826-TODAY()</f>
        <v>-395</v>
      </c>
      <c r="N1826" s="18" t="s">
        <v>105</v>
      </c>
      <c r="O1826" s="13" t="s">
        <v>5894</v>
      </c>
      <c r="P1826" s="19" t="n">
        <v>4200000</v>
      </c>
      <c r="Q1826" s="20" t="s">
        <v>7937</v>
      </c>
      <c r="R1826" s="13" t="s">
        <v>232</v>
      </c>
      <c r="S1826" s="14" t="n">
        <v>35103</v>
      </c>
      <c r="T1826" s="28" t="s">
        <v>40</v>
      </c>
      <c r="U1826" s="13" t="s">
        <v>7938</v>
      </c>
      <c r="V1826" s="13" t="s">
        <v>42</v>
      </c>
      <c r="W1826" s="13" t="s">
        <v>54</v>
      </c>
      <c r="X1826" s="21" t="n">
        <v>81330648143</v>
      </c>
      <c r="Y1826" s="22" t="str">
        <f aca="false">O1826</f>
        <v>Checker</v>
      </c>
      <c r="Z1826" s="13" t="str">
        <f aca="false">IFERROR(__xludf.dummyfunction("if(BJ1826="""","""",GOOGLETRANSLATE(BJ1826,""auto"",""en""))"),"Checker")</f>
        <v>Checker</v>
      </c>
      <c r="AA1826" s="23" t="str">
        <f aca="false">IF(C1826="","", CHOOSE(MONTH(C1826),"January","February","March","April","May","June","July","August","September","October","November","December")&amp;" "&amp;DAY(C1826)&amp;MID("thstndrdth",MIN(9,2*RIGHT(DAY(C1826))*(MOD(DAY(C1826)-11,100)&gt;2)+1),2)&amp;","&amp;TEXT(C1826," yyyy"))</f>
        <v>December 30th,2024</v>
      </c>
      <c r="AB1826" s="15" t="str">
        <f aca="true">IF(S1826="","",DATEDIF(S1826,TODAY(),"Y")&amp;" Tahun, "&amp;DATEDIF(S1826,TODAY(),"YM")&amp;" Bulan, "&amp;DATEDIF(S1826,TODAY(),"MD")&amp;" Hari")</f>
        <v>30 Tahun, 8 Bulan, 21 Hari</v>
      </c>
      <c r="AC1826" s="18" t="n">
        <v>45746</v>
      </c>
      <c r="AD1826" s="18" t="n">
        <v>45929</v>
      </c>
      <c r="AE1826" s="18" t="s">
        <v>44</v>
      </c>
    </row>
    <row r="1827" customFormat="false" ht="15" hidden="false" customHeight="true" outlineLevel="0" collapsed="false">
      <c r="A1827" s="12" t="n">
        <v>18502</v>
      </c>
      <c r="B1827" s="13" t="s">
        <v>7939</v>
      </c>
      <c r="C1827" s="14" t="n">
        <v>45670</v>
      </c>
      <c r="D1827" s="13" t="s">
        <v>393</v>
      </c>
      <c r="E1827" s="15" t="s">
        <v>47</v>
      </c>
      <c r="F1827" s="15" t="str">
        <f aca="false">IFERROR(__xludf.dummyfunction("XLOOKUP(AJ1827,IMPORTRANGE(""1XaInW9DU9nz21V0tYIfzFQ0He9kVQ_JF2mCXgZ3hqFA"",""REKAP ALL 2026 - Andika!G:G""),IMPORTRANGE(""1XaInW9DU9nz21V0tYIfzFQ0He9kVQ_JF2mCXgZ3hqFA"",""REKAP ALL 2026 - Andika!F:F""),"""",0)"),"24154921571")</f>
        <v>24154921571</v>
      </c>
      <c r="G1827" s="15" t="s">
        <v>7940</v>
      </c>
      <c r="H1827" s="13" t="s">
        <v>3024</v>
      </c>
      <c r="I1827" s="13" t="str">
        <f aca="false">IF(C1827=J1827,"NEW KONTRAK","RE-KONTRAK")</f>
        <v>RE-KONTRAK</v>
      </c>
      <c r="J1827" s="16" t="n">
        <f aca="false" t="array" ref="J1827:J1827">IFERROR(INDEX(AC1827:AE1827,IF(COUNTA(AC1827:AE1827)=0,"",MAX((AC1827:AE1827&lt;&gt;"")*(COLUMN(AC1827:AE1827)-(COLUMN(AC1827)))))-1),"")</f>
        <v>45839</v>
      </c>
      <c r="K1827" s="16" t="n">
        <f aca="false" t="array" ref="K1827:K1827">IFERROR(INDEX(AC1827:AE1827,IF(COUNTA(AC1827:AE1827)=0,"",MAX((AC1827:AE1827&lt;&gt;"")*(COLUMN(AC1827:AE1827)-(COLUMN(AC1827)-1))))-1),"")</f>
        <v>46181</v>
      </c>
      <c r="L1827" s="17" t="str">
        <f aca="false" t="array" ref="L1827:L1827">IFERROR(INDEX(AC1827:AE1827,IF(COUNTA(AC1827:AE1827)=0,"",MAX((AC1827:AE1827&lt;&gt;"")*(COLUMN(AC1827:AE1827)-(COLUMN(AC1827)-2))))-1),"")</f>
        <v>KEMBALI</v>
      </c>
      <c r="M1827" s="13" t="n">
        <f aca="true">K1827-TODAY()</f>
        <v>-143</v>
      </c>
      <c r="N1827" s="18" t="s">
        <v>105</v>
      </c>
      <c r="O1827" s="13" t="s">
        <v>3271</v>
      </c>
      <c r="P1827" s="19" t="n">
        <v>5191541</v>
      </c>
      <c r="Q1827" s="20" t="s">
        <v>7941</v>
      </c>
      <c r="R1827" s="13" t="s">
        <v>255</v>
      </c>
      <c r="S1827" s="14" t="n">
        <v>36853</v>
      </c>
      <c r="T1827" s="13" t="s">
        <v>40</v>
      </c>
      <c r="U1827" s="13" t="s">
        <v>7942</v>
      </c>
      <c r="V1827" s="13" t="s">
        <v>42</v>
      </c>
      <c r="W1827" s="13" t="s">
        <v>54</v>
      </c>
      <c r="X1827" s="21" t="n">
        <v>85335489918</v>
      </c>
      <c r="Y1827" s="22" t="str">
        <f aca="false">O1827</f>
        <v>Helper</v>
      </c>
      <c r="Z1827" s="13" t="str">
        <f aca="false">IFERROR(__xludf.dummyfunction("if(BJ1827="""","""",GOOGLETRANSLATE(BJ1827,""auto"",""en""))"),"Helper")</f>
        <v>Helper</v>
      </c>
      <c r="AA1827" s="23" t="str">
        <f aca="false">IF(C1827="","", CHOOSE(MONTH(C1827),"January","February","March","April","May","June","July","August","September","October","November","December")&amp;" "&amp;DAY(C1827)&amp;MID("thstndrdth",MIN(9,2*RIGHT(DAY(C1827))*(MOD(DAY(C1827)-11,100)&gt;2)+1),2)&amp;","&amp;TEXT(C1827," yyyy"))</f>
        <v>January 13th,2025</v>
      </c>
      <c r="AB1827" s="15" t="str">
        <f aca="true">IF(S1827="","",DATEDIF(S1827,TODAY(),"Y")&amp;" Tahun, "&amp;DATEDIF(S1827,TODAY(),"YM")&amp;" Bulan, "&amp;DATEDIF(S1827,TODAY(),"MD")&amp;" Hari")</f>
        <v>25 Tahun, 11 Bulan, 6 Hari</v>
      </c>
      <c r="AC1827" s="18" t="n">
        <v>45839</v>
      </c>
      <c r="AD1827" s="18" t="n">
        <v>46181</v>
      </c>
      <c r="AE1827" s="13" t="s">
        <v>397</v>
      </c>
    </row>
    <row r="1828" customFormat="false" ht="15" hidden="false" customHeight="true" outlineLevel="0" collapsed="false">
      <c r="A1828" s="12" t="n">
        <v>18515</v>
      </c>
      <c r="B1828" s="13" t="s">
        <v>7943</v>
      </c>
      <c r="C1828" s="14" t="n">
        <v>45680</v>
      </c>
      <c r="D1828" s="13" t="s">
        <v>7310</v>
      </c>
      <c r="E1828" s="15" t="s">
        <v>47</v>
      </c>
      <c r="F1828" s="15" t="str">
        <f aca="false">IFERROR(__xludf.dummyfunction("XLOOKUP(AJ1828,IMPORTRANGE(""1XaInW9DU9nz21V0tYIfzFQ0He9kVQ_JF2mCXgZ3hqFA"",""REKAP ALL 2026 - Andika!G:G""),IMPORTRANGE(""1XaInW9DU9nz21V0tYIfzFQ0He9kVQ_JF2mCXgZ3hqFA"",""REKAP ALL 2026 - Andika!F:F""),"""",0)"),"25026104007")</f>
        <v>25026104007</v>
      </c>
      <c r="G1828" s="13" t="s">
        <v>7944</v>
      </c>
      <c r="H1828" s="13" t="s">
        <v>35</v>
      </c>
      <c r="I1828" s="13" t="str">
        <f aca="false">IF(C1828=J1828,"NEW KONTRAK","RE-KONTRAK")</f>
        <v>NEW KONTRAK</v>
      </c>
      <c r="J1828" s="16" t="n">
        <f aca="false" t="array" ref="J1828:J1828">IFERROR(INDEX(AC1828:AE1828,IF(COUNTA(AC1828:AE1828)=0,"",MAX((AC1828:AE1828&lt;&gt;"")*(COLUMN(AC1828:AE1828)-(COLUMN(AC1828)))))-1),"")</f>
        <v>45680</v>
      </c>
      <c r="K1828" s="16" t="n">
        <f aca="false" t="array" ref="K1828:K1828">IFERROR(INDEX(AC1828:AE1828,IF(COUNTA(AC1828:AE1828)=0,"",MAX((AC1828:AE1828&lt;&gt;"")*(COLUMN(AC1828:AE1828)-(COLUMN(AC1828)-1))))-1),"")</f>
        <v>46044</v>
      </c>
      <c r="L1828" s="17" t="str">
        <f aca="false" t="array" ref="L1828:L1828">IFERROR(INDEX(AC1828:AE1828,IF(COUNTA(AC1828:AE1828)=0,"",MAX((AC1828:AE1828&lt;&gt;"")*(COLUMN(AC1828:AE1828)-(COLUMN(AC1828)-2))))-1),"")</f>
        <v>ARCHIVED</v>
      </c>
      <c r="M1828" s="13" t="n">
        <f aca="true">K1828-TODAY()</f>
        <v>-280</v>
      </c>
      <c r="N1828" s="18" t="s">
        <v>7313</v>
      </c>
      <c r="O1828" s="13" t="s">
        <v>50</v>
      </c>
      <c r="P1828" s="19" t="n">
        <v>2550274</v>
      </c>
      <c r="Q1828" s="94" t="s">
        <v>7945</v>
      </c>
      <c r="R1828" s="13" t="s">
        <v>1695</v>
      </c>
      <c r="S1828" s="14" t="n">
        <v>38132</v>
      </c>
      <c r="T1828" s="13" t="s">
        <v>40</v>
      </c>
      <c r="U1828" s="13" t="s">
        <v>7946</v>
      </c>
      <c r="V1828" s="13" t="s">
        <v>42</v>
      </c>
      <c r="W1828" s="13" t="s">
        <v>43</v>
      </c>
      <c r="X1828" s="21" t="n">
        <v>87777193124</v>
      </c>
      <c r="Y1828" s="22" t="str">
        <f aca="false">O1828</f>
        <v>Driver</v>
      </c>
      <c r="Z1828" s="13" t="str">
        <f aca="false">IFERROR(__xludf.dummyfunction("if(BJ1828="""","""",GOOGLETRANSLATE(BJ1828,""auto"",""en""))"),"Driver")</f>
        <v>Driver</v>
      </c>
      <c r="AA1828" s="23" t="str">
        <f aca="false">IF(C1828="","", CHOOSE(MONTH(C1828),"January","February","March","April","May","June","July","August","September","October","November","December")&amp;" "&amp;DAY(C1828)&amp;MID("thstndrdth",MIN(9,2*RIGHT(DAY(C1828))*(MOD(DAY(C1828)-11,100)&gt;2)+1),2)&amp;","&amp;TEXT(C1828," yyyy"))</f>
        <v>January 23rd,2025</v>
      </c>
      <c r="AB1828" s="15" t="str">
        <f aca="true">IF(S1828="","",DATEDIF(S1828,TODAY(),"Y")&amp;" Tahun, "&amp;DATEDIF(S1828,TODAY(),"YM")&amp;" Bulan, "&amp;DATEDIF(S1828,TODAY(),"MD")&amp;" Hari")</f>
        <v>22 Tahun, 5 Bulan, 4 Hari</v>
      </c>
      <c r="AC1828" s="18" t="n">
        <v>45680</v>
      </c>
      <c r="AD1828" s="18" t="n">
        <v>46044</v>
      </c>
      <c r="AE1828" s="18" t="s">
        <v>44</v>
      </c>
    </row>
    <row r="1829" customFormat="false" ht="15" hidden="false" customHeight="true" outlineLevel="0" collapsed="false">
      <c r="A1829" s="12" t="n">
        <v>18527</v>
      </c>
      <c r="B1829" s="13" t="s">
        <v>7947</v>
      </c>
      <c r="C1829" s="14" t="n">
        <v>45680</v>
      </c>
      <c r="D1829" s="13" t="s">
        <v>7948</v>
      </c>
      <c r="E1829" s="15" t="s">
        <v>7949</v>
      </c>
      <c r="F1829" s="15" t="str">
        <f aca="false">IFERROR(__xludf.dummyfunction("XLOOKUP(AJ1829,IMPORTRANGE(""1XaInW9DU9nz21V0tYIfzFQ0He9kVQ_JF2mCXgZ3hqFA"",""REKAP ALL 2026 - Andika!G:G""),IMPORTRANGE(""1XaInW9DU9nz21V0tYIfzFQ0He9kVQ_JF2mCXgZ3hqFA"",""REKAP ALL 2026 - Andika!F:F""),"""",0)"),"25026104825")</f>
        <v>25026104825</v>
      </c>
      <c r="G1829" s="13" t="s">
        <v>57</v>
      </c>
      <c r="H1829" s="13" t="s">
        <v>7950</v>
      </c>
      <c r="I1829" s="13" t="str">
        <f aca="false">IF(C1829=J1829,"NEW KONTRAK","RE-KONTRAK")</f>
        <v>RE-KONTRAK</v>
      </c>
      <c r="J1829" s="16" t="n">
        <f aca="false" t="array" ref="J1829:J1829">IFERROR(INDEX(AC1829:AE1829,IF(COUNTA(AC1829:AE1829)=0,"",MAX((AC1829:AE1829&lt;&gt;"")*(COLUMN(AC1829:AE1829)-(COLUMN(AC1829)))))-1),"")</f>
        <v>45844</v>
      </c>
      <c r="K1829" s="16" t="n">
        <f aca="false" t="array" ref="K1829:K1829">IFERROR(INDEX(AC1829:AE1829,IF(COUNTA(AC1829:AE1829)=0,"",MAX((AC1829:AE1829&lt;&gt;"")*(COLUMN(AC1829:AE1829)-(COLUMN(AC1829)-1))))-1),"")</f>
        <v>45928</v>
      </c>
      <c r="L1829" s="17" t="str">
        <f aca="false" t="array" ref="L1829:L1829">IFERROR(INDEX(AC1829:AE1829,IF(COUNTA(AC1829:AE1829)=0,"",MAX((AC1829:AE1829&lt;&gt;"")*(COLUMN(AC1829:AE1829)-(COLUMN(AC1829)-2))))-1),"")</f>
        <v>ARCHIVED</v>
      </c>
      <c r="M1829" s="13" t="n">
        <f aca="true">K1829-TODAY()</f>
        <v>-396</v>
      </c>
      <c r="N1829" s="18" t="s">
        <v>4051</v>
      </c>
      <c r="O1829" s="13" t="s">
        <v>7951</v>
      </c>
      <c r="P1829" s="19" t="n">
        <v>350000</v>
      </c>
      <c r="Q1829" s="20" t="s">
        <v>7952</v>
      </c>
      <c r="R1829" s="13" t="s">
        <v>83</v>
      </c>
      <c r="S1829" s="14" t="n">
        <v>29468</v>
      </c>
      <c r="T1829" s="13" t="s">
        <v>40</v>
      </c>
      <c r="U1829" s="13" t="s">
        <v>7953</v>
      </c>
      <c r="V1829" s="13" t="s">
        <v>42</v>
      </c>
      <c r="W1829" s="13" t="s">
        <v>54</v>
      </c>
      <c r="X1829" s="30" t="n">
        <v>87856981693</v>
      </c>
      <c r="Y1829" s="22" t="str">
        <f aca="false">O1829</f>
        <v>Mekanik Kiln</v>
      </c>
      <c r="Z1829" s="13" t="str">
        <f aca="false">IFERROR(__xludf.dummyfunction("if(BJ1829="""","""",GOOGLETRANSLATE(BJ1829,""auto"",""en""))"),"Kiln Mechanics")</f>
        <v>Kiln Mechanics</v>
      </c>
      <c r="AA1829" s="23" t="str">
        <f aca="false">IF(C1829="","", CHOOSE(MONTH(C1829),"January","February","March","April","May","June","July","August","September","October","November","December")&amp;" "&amp;DAY(C1829)&amp;MID("thstndrdth",MIN(9,2*RIGHT(DAY(C1829))*(MOD(DAY(C1829)-11,100)&gt;2)+1),2)&amp;","&amp;TEXT(C1829," yyyy"))</f>
        <v>January 23rd,2025</v>
      </c>
      <c r="AB1829" s="15" t="str">
        <f aca="true">IF(S1829="","",DATEDIF(S1829,TODAY(),"Y")&amp;" Tahun, "&amp;DATEDIF(S1829,TODAY(),"YM")&amp;" Bulan, "&amp;DATEDIF(S1829,TODAY(),"MD")&amp;" Hari")</f>
        <v>46 Tahun, 1 Bulan, 25 Hari</v>
      </c>
      <c r="AC1829" s="18" t="n">
        <v>45844</v>
      </c>
      <c r="AD1829" s="18" t="n">
        <v>45928</v>
      </c>
      <c r="AE1829" s="18" t="s">
        <v>44</v>
      </c>
    </row>
    <row r="1830" customFormat="false" ht="15" hidden="false" customHeight="true" outlineLevel="0" collapsed="false">
      <c r="A1830" s="12" t="n">
        <v>18528</v>
      </c>
      <c r="B1830" s="13" t="s">
        <v>7954</v>
      </c>
      <c r="C1830" s="14" t="n">
        <v>45680</v>
      </c>
      <c r="D1830" s="13" t="s">
        <v>7948</v>
      </c>
      <c r="E1830" s="15" t="s">
        <v>7949</v>
      </c>
      <c r="F1830" s="15" t="str">
        <f aca="false">IFERROR(__xludf.dummyfunction("XLOOKUP(AJ1830,IMPORTRANGE(""1XaInW9DU9nz21V0tYIfzFQ0He9kVQ_JF2mCXgZ3hqFA"",""REKAP ALL 2026 - Andika!G:G""),IMPORTRANGE(""1XaInW9DU9nz21V0tYIfzFQ0He9kVQ_JF2mCXgZ3hqFA"",""REKAP ALL 2026 - Andika!F:F""),"""",0)"),"25026104635")</f>
        <v>25026104635</v>
      </c>
      <c r="G1830" s="13" t="s">
        <v>57</v>
      </c>
      <c r="H1830" s="13" t="s">
        <v>7955</v>
      </c>
      <c r="I1830" s="13" t="str">
        <f aca="false">IF(C1830=J1830,"NEW KONTRAK","RE-KONTRAK")</f>
        <v>RE-KONTRAK</v>
      </c>
      <c r="J1830" s="16" t="n">
        <f aca="false" t="array" ref="J1830:J1830">IFERROR(INDEX(AC1830:AE1830,IF(COUNTA(AC1830:AE1830)=0,"",MAX((AC1830:AE1830&lt;&gt;"")*(COLUMN(AC1830:AE1830)-(COLUMN(AC1830)))))-1),"")</f>
        <v>45844</v>
      </c>
      <c r="K1830" s="16" t="n">
        <f aca="false" t="array" ref="K1830:K1830">IFERROR(INDEX(AC1830:AE1830,IF(COUNTA(AC1830:AE1830)=0,"",MAX((AC1830:AE1830&lt;&gt;"")*(COLUMN(AC1830:AE1830)-(COLUMN(AC1830)-1))))-1),"")</f>
        <v>45928</v>
      </c>
      <c r="L1830" s="17" t="str">
        <f aca="false" t="array" ref="L1830:L1830">IFERROR(INDEX(AC1830:AE1830,IF(COUNTA(AC1830:AE1830)=0,"",MAX((AC1830:AE1830&lt;&gt;"")*(COLUMN(AC1830:AE1830)-(COLUMN(AC1830)-2))))-1),"")</f>
        <v>KEMBALI</v>
      </c>
      <c r="M1830" s="13" t="n">
        <f aca="true">K1830-TODAY()</f>
        <v>-396</v>
      </c>
      <c r="N1830" s="18" t="s">
        <v>4051</v>
      </c>
      <c r="O1830" s="13" t="s">
        <v>2335</v>
      </c>
      <c r="P1830" s="19" t="n">
        <v>245000</v>
      </c>
      <c r="Q1830" s="20" t="s">
        <v>7956</v>
      </c>
      <c r="R1830" s="13" t="s">
        <v>232</v>
      </c>
      <c r="S1830" s="14" t="n">
        <v>29329</v>
      </c>
      <c r="T1830" s="13" t="s">
        <v>40</v>
      </c>
      <c r="U1830" s="13" t="s">
        <v>7957</v>
      </c>
      <c r="V1830" s="13" t="s">
        <v>42</v>
      </c>
      <c r="W1830" s="13" t="s">
        <v>54</v>
      </c>
      <c r="X1830" s="30" t="n">
        <v>85306088356</v>
      </c>
      <c r="Y1830" s="22" t="str">
        <f aca="false">O1830</f>
        <v>Project Management</v>
      </c>
      <c r="Z1830" s="13" t="str">
        <f aca="false">IFERROR(__xludf.dummyfunction("if(BJ1830="""","""",GOOGLETRANSLATE(BJ1830,""auto"",""en""))"),"Project Management")</f>
        <v>Project Management</v>
      </c>
      <c r="AA1830" s="23" t="str">
        <f aca="false">IF(C1830="","", CHOOSE(MONTH(C1830),"January","February","March","April","May","June","July","August","September","October","November","December")&amp;" "&amp;DAY(C1830)&amp;MID("thstndrdth",MIN(9,2*RIGHT(DAY(C1830))*(MOD(DAY(C1830)-11,100)&gt;2)+1),2)&amp;","&amp;TEXT(C1830," yyyy"))</f>
        <v>January 23rd,2025</v>
      </c>
      <c r="AB1830" s="15" t="str">
        <f aca="true">IF(S1830="","",DATEDIF(S1830,TODAY(),"Y")&amp;" Tahun, "&amp;DATEDIF(S1830,TODAY(),"YM")&amp;" Bulan, "&amp;DATEDIF(S1830,TODAY(),"MD")&amp;" Hari")</f>
        <v>46 Tahun, 6 Bulan, 11 Hari</v>
      </c>
      <c r="AC1830" s="18" t="n">
        <v>45844</v>
      </c>
      <c r="AD1830" s="18" t="n">
        <v>45928</v>
      </c>
      <c r="AE1830" s="13" t="s">
        <v>397</v>
      </c>
    </row>
    <row r="1831" customFormat="false" ht="15" hidden="false" customHeight="true" outlineLevel="0" collapsed="false">
      <c r="A1831" s="12" t="n">
        <v>18529</v>
      </c>
      <c r="B1831" s="13" t="s">
        <v>7958</v>
      </c>
      <c r="C1831" s="14" t="n">
        <v>45680</v>
      </c>
      <c r="D1831" s="13" t="s">
        <v>7948</v>
      </c>
      <c r="E1831" s="15" t="s">
        <v>7949</v>
      </c>
      <c r="F1831" s="15" t="str">
        <f aca="false">IFERROR(__xludf.dummyfunction("XLOOKUP(AJ1831,IMPORTRANGE(""1XaInW9DU9nz21V0tYIfzFQ0He9kVQ_JF2mCXgZ3hqFA"",""REKAP ALL 2026 - Andika!G:G""),IMPORTRANGE(""1XaInW9DU9nz21V0tYIfzFQ0He9kVQ_JF2mCXgZ3hqFA"",""REKAP ALL 2026 - Andika!F:F""),"""",0)"),"25026104684")</f>
        <v>25026104684</v>
      </c>
      <c r="G1831" s="13" t="s">
        <v>57</v>
      </c>
      <c r="H1831" s="13" t="s">
        <v>7955</v>
      </c>
      <c r="I1831" s="13" t="str">
        <f aca="false">IF(C1831=J1831,"NEW KONTRAK","RE-KONTRAK")</f>
        <v>RE-KONTRAK</v>
      </c>
      <c r="J1831" s="16" t="n">
        <f aca="false" t="array" ref="J1831:J1831">IFERROR(INDEX(AC1831:AE1831,IF(COUNTA(AC1831:AE1831)=0,"",MAX((AC1831:AE1831&lt;&gt;"")*(COLUMN(AC1831:AE1831)-(COLUMN(AC1831)))))-1),"")</f>
        <v>45844</v>
      </c>
      <c r="K1831" s="16" t="n">
        <f aca="false" t="array" ref="K1831:K1831">IFERROR(INDEX(AC1831:AE1831,IF(COUNTA(AC1831:AE1831)=0,"",MAX((AC1831:AE1831&lt;&gt;"")*(COLUMN(AC1831:AE1831)-(COLUMN(AC1831)-1))))-1),"")</f>
        <v>45928</v>
      </c>
      <c r="L1831" s="17" t="str">
        <f aca="false" t="array" ref="L1831:L1831">IFERROR(INDEX(AC1831:AE1831,IF(COUNTA(AC1831:AE1831)=0,"",MAX((AC1831:AE1831&lt;&gt;"")*(COLUMN(AC1831:AE1831)-(COLUMN(AC1831)-2))))-1),"")</f>
        <v>KEMBALI</v>
      </c>
      <c r="M1831" s="13" t="n">
        <f aca="true">K1831-TODAY()</f>
        <v>-396</v>
      </c>
      <c r="N1831" s="18" t="s">
        <v>4051</v>
      </c>
      <c r="O1831" s="13" t="s">
        <v>2335</v>
      </c>
      <c r="P1831" s="19" t="n">
        <v>245000</v>
      </c>
      <c r="Q1831" s="20" t="s">
        <v>7959</v>
      </c>
      <c r="R1831" s="13" t="s">
        <v>232</v>
      </c>
      <c r="S1831" s="14" t="n">
        <v>30208</v>
      </c>
      <c r="T1831" s="13" t="s">
        <v>40</v>
      </c>
      <c r="U1831" s="13" t="s">
        <v>7960</v>
      </c>
      <c r="V1831" s="13" t="s">
        <v>42</v>
      </c>
      <c r="W1831" s="13" t="s">
        <v>54</v>
      </c>
      <c r="X1831" s="30" t="n">
        <v>81359514846</v>
      </c>
      <c r="Y1831" s="22" t="str">
        <f aca="false">O1831</f>
        <v>Project Management</v>
      </c>
      <c r="Z1831" s="13" t="str">
        <f aca="false">IFERROR(__xludf.dummyfunction("if(BJ1831="""","""",GOOGLETRANSLATE(BJ1831,""auto"",""en""))"),"Project Management")</f>
        <v>Project Management</v>
      </c>
      <c r="AA1831" s="23" t="str">
        <f aca="false">IF(C1831="","", CHOOSE(MONTH(C1831),"January","February","March","April","May","June","July","August","September","October","November","December")&amp;" "&amp;DAY(C1831)&amp;MID("thstndrdth",MIN(9,2*RIGHT(DAY(C1831))*(MOD(DAY(C1831)-11,100)&gt;2)+1),2)&amp;","&amp;TEXT(C1831," yyyy"))</f>
        <v>January 23rd,2025</v>
      </c>
      <c r="AB1831" s="15" t="str">
        <f aca="true">IF(S1831="","",DATEDIF(S1831,TODAY(),"Y")&amp;" Tahun, "&amp;DATEDIF(S1831,TODAY(),"YM")&amp;" Bulan, "&amp;DATEDIF(S1831,TODAY(),"MD")&amp;" Hari")</f>
        <v>44 Tahun, 1 Bulan, 15 Hari</v>
      </c>
      <c r="AC1831" s="18" t="n">
        <v>45844</v>
      </c>
      <c r="AD1831" s="18" t="n">
        <v>45928</v>
      </c>
      <c r="AE1831" s="13" t="s">
        <v>397</v>
      </c>
    </row>
    <row r="1832" customFormat="false" ht="15" hidden="false" customHeight="true" outlineLevel="0" collapsed="false">
      <c r="A1832" s="12" t="n">
        <v>18530</v>
      </c>
      <c r="B1832" s="13" t="s">
        <v>7961</v>
      </c>
      <c r="C1832" s="14" t="n">
        <v>45680</v>
      </c>
      <c r="D1832" s="13" t="s">
        <v>7948</v>
      </c>
      <c r="E1832" s="15" t="s">
        <v>7949</v>
      </c>
      <c r="F1832" s="15" t="str">
        <f aca="false">IFERROR(__xludf.dummyfunction("XLOOKUP(AJ1832,IMPORTRANGE(""1XaInW9DU9nz21V0tYIfzFQ0He9kVQ_JF2mCXgZ3hqFA"",""REKAP ALL 2026 - Andika!G:G""),IMPORTRANGE(""1XaInW9DU9nz21V0tYIfzFQ0He9kVQ_JF2mCXgZ3hqFA"",""REKAP ALL 2026 - Andika!F:F""),"""",0)"),"25026104700")</f>
        <v>25026104700</v>
      </c>
      <c r="G1832" s="13" t="s">
        <v>57</v>
      </c>
      <c r="H1832" s="13" t="s">
        <v>7950</v>
      </c>
      <c r="I1832" s="13" t="str">
        <f aca="false">IF(C1832=J1832,"NEW KONTRAK","RE-KONTRAK")</f>
        <v>RE-KONTRAK</v>
      </c>
      <c r="J1832" s="16" t="n">
        <f aca="false" t="array" ref="J1832:J1832">IFERROR(INDEX(AC1832:AE1832,IF(COUNTA(AC1832:AE1832)=0,"",MAX((AC1832:AE1832&lt;&gt;"")*(COLUMN(AC1832:AE1832)-(COLUMN(AC1832)))))-1),"")</f>
        <v>45844</v>
      </c>
      <c r="K1832" s="16" t="n">
        <f aca="false" t="array" ref="K1832:K1832">IFERROR(INDEX(AC1832:AE1832,IF(COUNTA(AC1832:AE1832)=0,"",MAX((AC1832:AE1832&lt;&gt;"")*(COLUMN(AC1832:AE1832)-(COLUMN(AC1832)-1))))-1),"")</f>
        <v>45928</v>
      </c>
      <c r="L1832" s="17" t="str">
        <f aca="false" t="array" ref="L1832:L1832">IFERROR(INDEX(AC1832:AE1832,IF(COUNTA(AC1832:AE1832)=0,"",MAX((AC1832:AE1832&lt;&gt;"")*(COLUMN(AC1832:AE1832)-(COLUMN(AC1832)-2))))-1),"")</f>
        <v>ARCHIVED</v>
      </c>
      <c r="M1832" s="13" t="n">
        <f aca="true">K1832-TODAY()</f>
        <v>-396</v>
      </c>
      <c r="N1832" s="18" t="s">
        <v>4051</v>
      </c>
      <c r="O1832" s="13" t="s">
        <v>2335</v>
      </c>
      <c r="P1832" s="19" t="n">
        <v>245000</v>
      </c>
      <c r="Q1832" s="20" t="s">
        <v>7962</v>
      </c>
      <c r="R1832" s="13" t="s">
        <v>232</v>
      </c>
      <c r="S1832" s="14" t="n">
        <v>29036</v>
      </c>
      <c r="T1832" s="13" t="s">
        <v>40</v>
      </c>
      <c r="U1832" s="13" t="s">
        <v>7963</v>
      </c>
      <c r="V1832" s="13" t="s">
        <v>42</v>
      </c>
      <c r="W1832" s="13" t="s">
        <v>54</v>
      </c>
      <c r="X1832" s="30" t="n">
        <v>85864823662</v>
      </c>
      <c r="Y1832" s="22" t="str">
        <f aca="false">O1832</f>
        <v>Project Management</v>
      </c>
      <c r="Z1832" s="13" t="str">
        <f aca="false">IFERROR(__xludf.dummyfunction("if(BJ1832="""","""",GOOGLETRANSLATE(BJ1832,""auto"",""en""))"),"Project Management")</f>
        <v>Project Management</v>
      </c>
      <c r="AA1832" s="23" t="str">
        <f aca="false">IF(C1832="","", CHOOSE(MONTH(C1832),"January","February","March","April","May","June","July","August","September","October","November","December")&amp;" "&amp;DAY(C1832)&amp;MID("thstndrdth",MIN(9,2*RIGHT(DAY(C1832))*(MOD(DAY(C1832)-11,100)&gt;2)+1),2)&amp;","&amp;TEXT(C1832," yyyy"))</f>
        <v>January 23rd,2025</v>
      </c>
      <c r="AB1832" s="15" t="str">
        <f aca="true">IF(S1832="","",DATEDIF(S1832,TODAY(),"Y")&amp;" Tahun, "&amp;DATEDIF(S1832,TODAY(),"YM")&amp;" Bulan, "&amp;DATEDIF(S1832,TODAY(),"MD")&amp;" Hari")</f>
        <v>47 Tahun, 3 Bulan, 29 Hari</v>
      </c>
      <c r="AC1832" s="18" t="n">
        <v>45844</v>
      </c>
      <c r="AD1832" s="18" t="n">
        <v>45928</v>
      </c>
      <c r="AE1832" s="18" t="s">
        <v>44</v>
      </c>
    </row>
    <row r="1833" customFormat="false" ht="15" hidden="false" customHeight="true" outlineLevel="0" collapsed="false">
      <c r="A1833" s="12" t="n">
        <v>18534</v>
      </c>
      <c r="B1833" s="13" t="s">
        <v>7964</v>
      </c>
      <c r="C1833" s="14" t="n">
        <v>45680</v>
      </c>
      <c r="D1833" s="13" t="s">
        <v>4610</v>
      </c>
      <c r="E1833" s="15" t="s">
        <v>102</v>
      </c>
      <c r="F1833" s="15" t="str">
        <f aca="false">IFERROR(__xludf.dummyfunction("XLOOKUP(AJ1833,IMPORTRANGE(""1XaInW9DU9nz21V0tYIfzFQ0He9kVQ_JF2mCXgZ3hqFA"",""REKAP ALL 2026 - Andika!G:G""),IMPORTRANGE(""1XaInW9DU9nz21V0tYIfzFQ0He9kVQ_JF2mCXgZ3hqFA"",""REKAP ALL 2026 - Andika!F:F""),"""",0)"),"25026106176")</f>
        <v>25026106176</v>
      </c>
      <c r="G1833" s="13" t="s">
        <v>57</v>
      </c>
      <c r="H1833" s="13" t="s">
        <v>35</v>
      </c>
      <c r="I1833" s="13" t="str">
        <f aca="false">IF(C1833=J1833,"NEW KONTRAK","RE-KONTRAK")</f>
        <v>RE-KONTRAK</v>
      </c>
      <c r="J1833" s="16" t="n">
        <f aca="false" t="array" ref="J1833:J1833">IFERROR(INDEX(AC1833:AE1833,IF(COUNTA(AC1833:AE1833)=0,"",MAX((AC1833:AE1833&lt;&gt;"")*(COLUMN(AC1833:AE1833)-(COLUMN(AC1833)))))-1),"")</f>
        <v>45764</v>
      </c>
      <c r="K1833" s="16" t="n">
        <f aca="false" t="array" ref="K1833:K1833">IFERROR(INDEX(AC1833:AE1833,IF(COUNTA(AC1833:AE1833)=0,"",MAX((AC1833:AE1833&lt;&gt;"")*(COLUMN(AC1833:AE1833)-(COLUMN(AC1833)-1))))-1),"")</f>
        <v>45946</v>
      </c>
      <c r="L1833" s="17" t="str">
        <f aca="false" t="array" ref="L1833:L1833">IFERROR(INDEX(AC1833:AE1833,IF(COUNTA(AC1833:AE1833)=0,"",MAX((AC1833:AE1833&lt;&gt;"")*(COLUMN(AC1833:AE1833)-(COLUMN(AC1833)-2))))-1),"")</f>
        <v>ARCHIVED</v>
      </c>
      <c r="M1833" s="13" t="n">
        <f aca="true">K1833-TODAY()</f>
        <v>-378</v>
      </c>
      <c r="N1833" s="18" t="s">
        <v>36</v>
      </c>
      <c r="O1833" s="13" t="s">
        <v>4280</v>
      </c>
      <c r="P1833" s="27" t="n">
        <v>120000</v>
      </c>
      <c r="Q1833" s="94" t="s">
        <v>7965</v>
      </c>
      <c r="R1833" s="13" t="s">
        <v>73</v>
      </c>
      <c r="S1833" s="14" t="n">
        <v>35038</v>
      </c>
      <c r="T1833" s="28" t="s">
        <v>40</v>
      </c>
      <c r="U1833" s="13" t="s">
        <v>7966</v>
      </c>
      <c r="V1833" s="13" t="s">
        <v>42</v>
      </c>
      <c r="W1833" s="13" t="s">
        <v>54</v>
      </c>
      <c r="X1833" s="21" t="n">
        <v>81553434573</v>
      </c>
      <c r="Y1833" s="22" t="str">
        <f aca="false">O1833</f>
        <v>Helper Cutting</v>
      </c>
      <c r="Z1833" s="13" t="str">
        <f aca="false">IFERROR(__xludf.dummyfunction("if(BJ1833="""","""",GOOGLETRANSLATE(BJ1833,""auto"",""en""))"),"Helper Cutting")</f>
        <v>Helper Cutting</v>
      </c>
      <c r="AA1833" s="23" t="str">
        <f aca="false">IF(C1833="","", CHOOSE(MONTH(C1833),"January","February","March","April","May","June","July","August","September","October","November","December")&amp;" "&amp;DAY(C1833)&amp;MID("thstndrdth",MIN(9,2*RIGHT(DAY(C1833))*(MOD(DAY(C1833)-11,100)&gt;2)+1),2)&amp;","&amp;TEXT(C1833," yyyy"))</f>
        <v>January 23rd,2025</v>
      </c>
      <c r="AB1833" s="15" t="str">
        <f aca="true">IF(S1833="","",DATEDIF(S1833,TODAY(),"Y")&amp;" Tahun, "&amp;DATEDIF(S1833,TODAY(),"YM")&amp;" Bulan, "&amp;DATEDIF(S1833,TODAY(),"MD")&amp;" Hari")</f>
        <v>30 Tahun, 10 Bulan, 24 Hari</v>
      </c>
      <c r="AC1833" s="18" t="n">
        <v>45764</v>
      </c>
      <c r="AD1833" s="18" t="n">
        <v>45946</v>
      </c>
      <c r="AE1833" s="18" t="s">
        <v>44</v>
      </c>
    </row>
    <row r="1834" customFormat="false" ht="15" hidden="false" customHeight="true" outlineLevel="0" collapsed="false">
      <c r="A1834" s="12" t="n">
        <v>18538</v>
      </c>
      <c r="B1834" s="13" t="s">
        <v>7967</v>
      </c>
      <c r="C1834" s="14" t="n">
        <v>45689</v>
      </c>
      <c r="D1834" s="13" t="s">
        <v>7968</v>
      </c>
      <c r="E1834" s="15" t="s">
        <v>789</v>
      </c>
      <c r="F1834" s="24" t="s">
        <v>7969</v>
      </c>
      <c r="G1834" s="13" t="s">
        <v>7970</v>
      </c>
      <c r="H1834" s="13" t="s">
        <v>35</v>
      </c>
      <c r="I1834" s="13" t="str">
        <f aca="false">IF(C1834=J1834,"NEW KONTRAK","RE-KONTRAK")</f>
        <v>NEW KONTRAK</v>
      </c>
      <c r="J1834" s="16" t="n">
        <f aca="false" t="array" ref="J1834:J1834">IFERROR(INDEX(AC1834:AE1834,IF(COUNTA(AC1834:AE1834)=0,"",MAX((AC1834:AE1834&lt;&gt;"")*(COLUMN(AC1834:AE1834)-(COLUMN(AC1834)))))-1),"")</f>
        <v>45689</v>
      </c>
      <c r="K1834" s="16" t="n">
        <f aca="false" t="array" ref="K1834:K1834">IFERROR(INDEX(AC1834:AE1834,IF(COUNTA(AC1834:AE1834)=0,"",MAX((AC1834:AE1834&lt;&gt;"")*(COLUMN(AC1834:AE1834)-(COLUMN(AC1834)-1))))-1),"")</f>
        <v>46022</v>
      </c>
      <c r="L1834" s="17" t="str">
        <f aca="false" t="array" ref="L1834:L1834">IFERROR(INDEX(AC1834:AE1834,IF(COUNTA(AC1834:AE1834)=0,"",MAX((AC1834:AE1834&lt;&gt;"")*(COLUMN(AC1834:AE1834)-(COLUMN(AC1834)-2))))-1),"")</f>
        <v>ARCHIVED</v>
      </c>
      <c r="M1834" s="13" t="n">
        <f aca="true">K1834-TODAY()</f>
        <v>-302</v>
      </c>
      <c r="N1834" s="50" t="s">
        <v>728</v>
      </c>
      <c r="O1834" s="13" t="s">
        <v>50</v>
      </c>
      <c r="P1834" s="27" t="n">
        <v>2550274</v>
      </c>
      <c r="Q1834" s="20" t="s">
        <v>7971</v>
      </c>
      <c r="R1834" s="13" t="s">
        <v>241</v>
      </c>
      <c r="S1834" s="14" t="n">
        <v>28495</v>
      </c>
      <c r="T1834" s="28" t="s">
        <v>40</v>
      </c>
      <c r="U1834" s="13" t="s">
        <v>7972</v>
      </c>
      <c r="V1834" s="13" t="s">
        <v>42</v>
      </c>
      <c r="W1834" s="13" t="s">
        <v>54</v>
      </c>
      <c r="X1834" s="21" t="n">
        <v>81235786198</v>
      </c>
      <c r="Y1834" s="22" t="str">
        <f aca="false">O1834</f>
        <v>Driver</v>
      </c>
      <c r="Z1834" s="13" t="str">
        <f aca="false">IFERROR(__xludf.dummyfunction("if(BJ1834="""","""",GOOGLETRANSLATE(BJ1834,""auto"",""en""))"),"Driver")</f>
        <v>Driver</v>
      </c>
      <c r="AA1834" s="23" t="str">
        <f aca="false">IF(C1834="","", CHOOSE(MONTH(C1834),"January","February","March","April","May","June","July","August","September","October","November","December")&amp;" "&amp;DAY(C1834)&amp;MID("thstndrdth",MIN(9,2*RIGHT(DAY(C1834))*(MOD(DAY(C1834)-11,100)&gt;2)+1),2)&amp;","&amp;TEXT(C1834," yyyy"))</f>
        <v>February 1st,2025</v>
      </c>
      <c r="AB1834" s="15" t="str">
        <f aca="true">IF(S1834="","",DATEDIF(S1834,TODAY(),"Y")&amp;" Tahun, "&amp;DATEDIF(S1834,TODAY(),"YM")&amp;" Bulan, "&amp;DATEDIF(S1834,TODAY(),"MD")&amp;" Hari")</f>
        <v>48 Tahun, 9 Bulan, 24 Hari</v>
      </c>
      <c r="AC1834" s="18" t="n">
        <v>45689</v>
      </c>
      <c r="AD1834" s="18" t="n">
        <v>46022</v>
      </c>
      <c r="AE1834" s="18" t="s">
        <v>44</v>
      </c>
    </row>
    <row r="1835" customFormat="false" ht="15" hidden="false" customHeight="true" outlineLevel="0" collapsed="false">
      <c r="A1835" s="12" t="n">
        <v>18539</v>
      </c>
      <c r="B1835" s="13" t="s">
        <v>7973</v>
      </c>
      <c r="C1835" s="14" t="n">
        <v>45689</v>
      </c>
      <c r="D1835" s="13" t="s">
        <v>7968</v>
      </c>
      <c r="E1835" s="15" t="s">
        <v>47</v>
      </c>
      <c r="F1835" s="15" t="str">
        <f aca="false">IFERROR(__xludf.dummyfunction("XLOOKUP(AJ1835,IMPORTRANGE(""1XaInW9DU9nz21V0tYIfzFQ0He9kVQ_JF2mCXgZ3hqFA"",""REKAP ALL 2026 - Andika!G:G""),IMPORTRANGE(""1XaInW9DU9nz21V0tYIfzFQ0He9kVQ_JF2mCXgZ3hqFA"",""REKAP ALL 2026 - Andika!F:F""),"""",0)"),"25026103538")</f>
        <v>25026103538</v>
      </c>
      <c r="G1835" s="13" t="s">
        <v>7974</v>
      </c>
      <c r="H1835" s="13" t="s">
        <v>35</v>
      </c>
      <c r="I1835" s="13" t="str">
        <f aca="false">IF(C1835=J1835,"NEW KONTRAK","RE-KONTRAK")</f>
        <v>NEW KONTRAK</v>
      </c>
      <c r="J1835" s="16" t="n">
        <f aca="false" t="array" ref="J1835:J1835">IFERROR(INDEX(AC1835:AE1835,IF(COUNTA(AC1835:AE1835)=0,"",MAX((AC1835:AE1835&lt;&gt;"")*(COLUMN(AC1835:AE1835)-(COLUMN(AC1835)))))-1),"")</f>
        <v>45689</v>
      </c>
      <c r="K1835" s="16" t="n">
        <f aca="false" t="array" ref="K1835:K1835">IFERROR(INDEX(AC1835:AE1835,IF(COUNTA(AC1835:AE1835)=0,"",MAX((AC1835:AE1835&lt;&gt;"")*(COLUMN(AC1835:AE1835)-(COLUMN(AC1835)-1))))-1),"")</f>
        <v>46022</v>
      </c>
      <c r="L1835" s="17" t="str">
        <f aca="false" t="array" ref="L1835:L1835">IFERROR(INDEX(AC1835:AE1835,IF(COUNTA(AC1835:AE1835)=0,"",MAX((AC1835:AE1835&lt;&gt;"")*(COLUMN(AC1835:AE1835)-(COLUMN(AC1835)-2))))-1),"")</f>
        <v>ARCHIVED</v>
      </c>
      <c r="M1835" s="13" t="n">
        <f aca="true">K1835-TODAY()</f>
        <v>-302</v>
      </c>
      <c r="N1835" s="50" t="s">
        <v>728</v>
      </c>
      <c r="O1835" s="13" t="s">
        <v>50</v>
      </c>
      <c r="P1835" s="27" t="n">
        <v>2550274</v>
      </c>
      <c r="Q1835" s="20" t="s">
        <v>7975</v>
      </c>
      <c r="R1835" s="13" t="s">
        <v>246</v>
      </c>
      <c r="S1835" s="14" t="n">
        <v>28236</v>
      </c>
      <c r="T1835" s="13" t="s">
        <v>40</v>
      </c>
      <c r="U1835" s="13" t="s">
        <v>7976</v>
      </c>
      <c r="V1835" s="13" t="s">
        <v>99</v>
      </c>
      <c r="W1835" s="13" t="s">
        <v>54</v>
      </c>
      <c r="X1835" s="21" t="n">
        <v>82337443040</v>
      </c>
      <c r="Y1835" s="22" t="str">
        <f aca="false">O1835</f>
        <v>Driver</v>
      </c>
      <c r="Z1835" s="13" t="str">
        <f aca="false">IFERROR(__xludf.dummyfunction("if(BJ1835="""","""",GOOGLETRANSLATE(BJ1835,""auto"",""en""))"),"Driver")</f>
        <v>Driver</v>
      </c>
      <c r="AA1835" s="23" t="str">
        <f aca="false">IF(C1835="","", CHOOSE(MONTH(C1835),"January","February","March","April","May","June","July","August","September","October","November","December")&amp;" "&amp;DAY(C1835)&amp;MID("thstndrdth",MIN(9,2*RIGHT(DAY(C1835))*(MOD(DAY(C1835)-11,100)&gt;2)+1),2)&amp;","&amp;TEXT(C1835," yyyy"))</f>
        <v>February 1st,2025</v>
      </c>
      <c r="AB1835" s="15" t="str">
        <f aca="true">IF(S1835="","",DATEDIF(S1835,TODAY(),"Y")&amp;" Tahun, "&amp;DATEDIF(S1835,TODAY(),"YM")&amp;" Bulan, "&amp;DATEDIF(S1835,TODAY(),"MD")&amp;" Hari")</f>
        <v>49 Tahun, 6 Bulan, 8 Hari</v>
      </c>
      <c r="AC1835" s="18" t="n">
        <v>45689</v>
      </c>
      <c r="AD1835" s="18" t="n">
        <v>46022</v>
      </c>
      <c r="AE1835" s="18" t="s">
        <v>44</v>
      </c>
    </row>
    <row r="1836" customFormat="false" ht="15" hidden="false" customHeight="true" outlineLevel="0" collapsed="false">
      <c r="A1836" s="12" t="n">
        <v>18540</v>
      </c>
      <c r="B1836" s="13" t="s">
        <v>7977</v>
      </c>
      <c r="C1836" s="14" t="n">
        <v>45689</v>
      </c>
      <c r="D1836" s="13" t="s">
        <v>7968</v>
      </c>
      <c r="E1836" s="15" t="s">
        <v>7978</v>
      </c>
      <c r="F1836" s="24" t="s">
        <v>7979</v>
      </c>
      <c r="G1836" s="13" t="s">
        <v>7980</v>
      </c>
      <c r="H1836" s="13" t="s">
        <v>35</v>
      </c>
      <c r="I1836" s="13" t="str">
        <f aca="false">IF(C1836=J1836,"NEW KONTRAK","RE-KONTRAK")</f>
        <v>NEW KONTRAK</v>
      </c>
      <c r="J1836" s="16" t="n">
        <f aca="false" t="array" ref="J1836:J1836">IFERROR(INDEX(AC1836:AE1836,IF(COUNTA(AC1836:AE1836)=0,"",MAX((AC1836:AE1836&lt;&gt;"")*(COLUMN(AC1836:AE1836)-(COLUMN(AC1836)))))-1),"")</f>
        <v>45689</v>
      </c>
      <c r="K1836" s="16" t="n">
        <f aca="false" t="array" ref="K1836:K1836">IFERROR(INDEX(AC1836:AE1836,IF(COUNTA(AC1836:AE1836)=0,"",MAX((AC1836:AE1836&lt;&gt;"")*(COLUMN(AC1836:AE1836)-(COLUMN(AC1836)-1))))-1),"")</f>
        <v>46022</v>
      </c>
      <c r="L1836" s="17" t="str">
        <f aca="false" t="array" ref="L1836:L1836">IFERROR(INDEX(AC1836:AE1836,IF(COUNTA(AC1836:AE1836)=0,"",MAX((AC1836:AE1836&lt;&gt;"")*(COLUMN(AC1836:AE1836)-(COLUMN(AC1836)-2))))-1),"")</f>
        <v>ARCHIVED</v>
      </c>
      <c r="M1836" s="13" t="n">
        <f aca="true">K1836-TODAY()</f>
        <v>-302</v>
      </c>
      <c r="N1836" s="50" t="s">
        <v>728</v>
      </c>
      <c r="O1836" s="13" t="s">
        <v>50</v>
      </c>
      <c r="P1836" s="27" t="n">
        <v>2550274</v>
      </c>
      <c r="Q1836" s="20" t="s">
        <v>7981</v>
      </c>
      <c r="R1836" s="13" t="s">
        <v>52</v>
      </c>
      <c r="S1836" s="14" t="n">
        <v>34625</v>
      </c>
      <c r="T1836" s="28" t="s">
        <v>40</v>
      </c>
      <c r="U1836" s="13" t="s">
        <v>7982</v>
      </c>
      <c r="V1836" s="13" t="s">
        <v>42</v>
      </c>
      <c r="W1836" s="13" t="s">
        <v>54</v>
      </c>
      <c r="X1836" s="21" t="n">
        <v>81909077772</v>
      </c>
      <c r="Y1836" s="22" t="str">
        <f aca="false">O1836</f>
        <v>Driver</v>
      </c>
      <c r="Z1836" s="13" t="str">
        <f aca="false">IFERROR(__xludf.dummyfunction("if(BJ1836="""","""",GOOGLETRANSLATE(BJ1836,""auto"",""en""))"),"Driver")</f>
        <v>Driver</v>
      </c>
      <c r="AA1836" s="23" t="str">
        <f aca="false">IF(C1836="","", CHOOSE(MONTH(C1836),"January","February","March","April","May","June","July","August","September","October","November","December")&amp;" "&amp;DAY(C1836)&amp;MID("thstndrdth",MIN(9,2*RIGHT(DAY(C1836))*(MOD(DAY(C1836)-11,100)&gt;2)+1),2)&amp;","&amp;TEXT(C1836," yyyy"))</f>
        <v>February 1st,2025</v>
      </c>
      <c r="AB1836" s="15" t="str">
        <f aca="true">IF(S1836="","",DATEDIF(S1836,TODAY(),"Y")&amp;" Tahun, "&amp;DATEDIF(S1836,TODAY(),"YM")&amp;" Bulan, "&amp;DATEDIF(S1836,TODAY(),"MD")&amp;" Hari")</f>
        <v>32 Tahun, 0 Bulan, 11 Hari</v>
      </c>
      <c r="AC1836" s="18" t="n">
        <v>45689</v>
      </c>
      <c r="AD1836" s="18" t="n">
        <v>46022</v>
      </c>
      <c r="AE1836" s="18" t="s">
        <v>44</v>
      </c>
    </row>
    <row r="1837" customFormat="false" ht="15" hidden="false" customHeight="true" outlineLevel="0" collapsed="false">
      <c r="A1837" s="12" t="n">
        <v>18541</v>
      </c>
      <c r="B1837" s="13" t="s">
        <v>7983</v>
      </c>
      <c r="C1837" s="14" t="n">
        <v>45689</v>
      </c>
      <c r="D1837" s="13" t="s">
        <v>7968</v>
      </c>
      <c r="E1837" s="15" t="s">
        <v>47</v>
      </c>
      <c r="F1837" s="15" t="str">
        <f aca="false">IFERROR(__xludf.dummyfunction("XLOOKUP(AJ1837,IMPORTRANGE(""1XaInW9DU9nz21V0tYIfzFQ0He9kVQ_JF2mCXgZ3hqFA"",""REKAP ALL 2026 - Andika!G:G""),IMPORTRANGE(""1XaInW9DU9nz21V0tYIfzFQ0He9kVQ_JF2mCXgZ3hqFA"",""REKAP ALL 2026 - Andika!F:F""),"""",0)"),"25026103512")</f>
        <v>25026103512</v>
      </c>
      <c r="G1837" s="13" t="s">
        <v>7984</v>
      </c>
      <c r="H1837" s="13" t="s">
        <v>35</v>
      </c>
      <c r="I1837" s="13" t="str">
        <f aca="false">IF(C1837=J1837,"NEW KONTRAK","RE-KONTRAK")</f>
        <v>NEW KONTRAK</v>
      </c>
      <c r="J1837" s="16" t="n">
        <f aca="false" t="array" ref="J1837:J1837">IFERROR(INDEX(AC1837:AE1837,IF(COUNTA(AC1837:AE1837)=0,"",MAX((AC1837:AE1837&lt;&gt;"")*(COLUMN(AC1837:AE1837)-(COLUMN(AC1837)))))-1),"")</f>
        <v>45689</v>
      </c>
      <c r="K1837" s="16" t="n">
        <f aca="false" t="array" ref="K1837:K1837">IFERROR(INDEX(AC1837:AE1837,IF(COUNTA(AC1837:AE1837)=0,"",MAX((AC1837:AE1837&lt;&gt;"")*(COLUMN(AC1837:AE1837)-(COLUMN(AC1837)-1))))-1),"")</f>
        <v>46022</v>
      </c>
      <c r="L1837" s="17" t="str">
        <f aca="false" t="array" ref="L1837:L1837">IFERROR(INDEX(AC1837:AE1837,IF(COUNTA(AC1837:AE1837)=0,"",MAX((AC1837:AE1837&lt;&gt;"")*(COLUMN(AC1837:AE1837)-(COLUMN(AC1837)-2))))-1),"")</f>
        <v>ARCHIVED</v>
      </c>
      <c r="M1837" s="13" t="n">
        <f aca="true">K1837-TODAY()</f>
        <v>-302</v>
      </c>
      <c r="N1837" s="50" t="s">
        <v>241</v>
      </c>
      <c r="O1837" s="13" t="s">
        <v>50</v>
      </c>
      <c r="P1837" s="27" t="n">
        <v>2550274</v>
      </c>
      <c r="Q1837" s="20" t="s">
        <v>7985</v>
      </c>
      <c r="R1837" s="13" t="s">
        <v>241</v>
      </c>
      <c r="S1837" s="14" t="n">
        <v>26490</v>
      </c>
      <c r="T1837" s="28" t="s">
        <v>40</v>
      </c>
      <c r="U1837" s="13" t="s">
        <v>7986</v>
      </c>
      <c r="V1837" s="13" t="s">
        <v>42</v>
      </c>
      <c r="W1837" s="13" t="s">
        <v>54</v>
      </c>
      <c r="X1837" s="21" t="n">
        <v>81556588699</v>
      </c>
      <c r="Y1837" s="22" t="str">
        <f aca="false">O1837</f>
        <v>Driver</v>
      </c>
      <c r="Z1837" s="13" t="str">
        <f aca="false">IFERROR(__xludf.dummyfunction("if(BJ1837="""","""",GOOGLETRANSLATE(BJ1837,""auto"",""en""))"),"Driver")</f>
        <v>Driver</v>
      </c>
      <c r="AA1837" s="23" t="str">
        <f aca="false">IF(C1837="","", CHOOSE(MONTH(C1837),"January","February","March","April","May","June","July","August","September","October","November","December")&amp;" "&amp;DAY(C1837)&amp;MID("thstndrdth",MIN(9,2*RIGHT(DAY(C1837))*(MOD(DAY(C1837)-11,100)&gt;2)+1),2)&amp;","&amp;TEXT(C1837," yyyy"))</f>
        <v>February 1st,2025</v>
      </c>
      <c r="AB1837" s="15" t="str">
        <f aca="true">IF(S1837="","",DATEDIF(S1837,TODAY(),"Y")&amp;" Tahun, "&amp;DATEDIF(S1837,TODAY(),"YM")&amp;" Bulan, "&amp;DATEDIF(S1837,TODAY(),"MD")&amp;" Hari")</f>
        <v>54 Tahun, 3 Bulan, 19 Hari</v>
      </c>
      <c r="AC1837" s="18" t="n">
        <v>45689</v>
      </c>
      <c r="AD1837" s="18" t="n">
        <v>46022</v>
      </c>
      <c r="AE1837" s="18" t="s">
        <v>44</v>
      </c>
    </row>
    <row r="1838" customFormat="false" ht="15" hidden="false" customHeight="true" outlineLevel="0" collapsed="false">
      <c r="A1838" s="12" t="n">
        <v>18542</v>
      </c>
      <c r="B1838" s="13" t="s">
        <v>7987</v>
      </c>
      <c r="C1838" s="14" t="n">
        <v>45689</v>
      </c>
      <c r="D1838" s="13" t="s">
        <v>7988</v>
      </c>
      <c r="E1838" s="15" t="s">
        <v>47</v>
      </c>
      <c r="F1838" s="15" t="str">
        <f aca="false">IFERROR(__xludf.dummyfunction("XLOOKUP(AJ1838,IMPORTRANGE(""1XaInW9DU9nz21V0tYIfzFQ0He9kVQ_JF2mCXgZ3hqFA"",""REKAP ALL 2026 - Andika!G:G""),IMPORTRANGE(""1XaInW9DU9nz21V0tYIfzFQ0He9kVQ_JF2mCXgZ3hqFA"",""REKAP ALL 2026 - Andika!F:F""),"""",0)"),"23019875352")</f>
        <v>23019875352</v>
      </c>
      <c r="G1838" s="13" t="s">
        <v>7989</v>
      </c>
      <c r="H1838" s="13" t="s">
        <v>35</v>
      </c>
      <c r="I1838" s="13" t="str">
        <f aca="false">IF(C1838=J1838,"NEW KONTRAK","RE-KONTRAK")</f>
        <v>NEW KONTRAK</v>
      </c>
      <c r="J1838" s="16" t="n">
        <f aca="false" t="array" ref="J1838:J1838">IFERROR(INDEX(AC1838:AE1838,IF(COUNTA(AC1838:AE1838)=0,"",MAX((AC1838:AE1838&lt;&gt;"")*(COLUMN(AC1838:AE1838)-(COLUMN(AC1838)))))-1),"")</f>
        <v>45689</v>
      </c>
      <c r="K1838" s="16" t="n">
        <f aca="false" t="array" ref="K1838:K1838">IFERROR(INDEX(AC1838:AE1838,IF(COUNTA(AC1838:AE1838)=0,"",MAX((AC1838:AE1838&lt;&gt;"")*(COLUMN(AC1838:AE1838)-(COLUMN(AC1838)-1))))-1),"")</f>
        <v>46022</v>
      </c>
      <c r="L1838" s="17" t="str">
        <f aca="false" t="array" ref="L1838:L1838">IFERROR(INDEX(AC1838:AE1838,IF(COUNTA(AC1838:AE1838)=0,"",MAX((AC1838:AE1838&lt;&gt;"")*(COLUMN(AC1838:AE1838)-(COLUMN(AC1838)-2))))-1),"")</f>
        <v>ARCHIVED</v>
      </c>
      <c r="M1838" s="13" t="n">
        <f aca="true">K1838-TODAY()</f>
        <v>-302</v>
      </c>
      <c r="N1838" s="50" t="s">
        <v>615</v>
      </c>
      <c r="O1838" s="13" t="s">
        <v>1531</v>
      </c>
      <c r="P1838" s="27" t="n">
        <v>5176101</v>
      </c>
      <c r="Q1838" s="20" t="s">
        <v>7990</v>
      </c>
      <c r="R1838" s="13" t="s">
        <v>232</v>
      </c>
      <c r="S1838" s="14" t="n">
        <v>35289</v>
      </c>
      <c r="T1838" s="28" t="s">
        <v>40</v>
      </c>
      <c r="U1838" s="13" t="s">
        <v>7991</v>
      </c>
      <c r="V1838" s="13" t="s">
        <v>42</v>
      </c>
      <c r="W1838" s="13" t="s">
        <v>43</v>
      </c>
      <c r="X1838" s="21" t="n">
        <v>81359566932</v>
      </c>
      <c r="Y1838" s="22" t="str">
        <f aca="false">O1838</f>
        <v>Packer</v>
      </c>
      <c r="Z1838" s="13" t="str">
        <f aca="false">IFERROR(__xludf.dummyfunction("if(BJ1838="""","""",GOOGLETRANSLATE(BJ1838,""auto"",""en""))"),"Packer")</f>
        <v>Packer</v>
      </c>
      <c r="AA1838" s="23" t="str">
        <f aca="false">IF(C1838="","", CHOOSE(MONTH(C1838),"January","February","March","April","May","June","July","August","September","October","November","December")&amp;" "&amp;DAY(C1838)&amp;MID("thstndrdth",MIN(9,2*RIGHT(DAY(C1838))*(MOD(DAY(C1838)-11,100)&gt;2)+1),2)&amp;","&amp;TEXT(C1838," yyyy"))</f>
        <v>February 1st,2025</v>
      </c>
      <c r="AB1838" s="15" t="str">
        <f aca="true">IF(S1838="","",DATEDIF(S1838,TODAY(),"Y")&amp;" Tahun, "&amp;DATEDIF(S1838,TODAY(),"YM")&amp;" Bulan, "&amp;DATEDIF(S1838,TODAY(),"MD")&amp;" Hari")</f>
        <v>30 Tahun, 2 Bulan, 17 Hari</v>
      </c>
      <c r="AC1838" s="18" t="n">
        <v>45689</v>
      </c>
      <c r="AD1838" s="18" t="n">
        <v>46022</v>
      </c>
      <c r="AE1838" s="18" t="s">
        <v>44</v>
      </c>
    </row>
    <row r="1839" customFormat="false" ht="15" hidden="false" customHeight="true" outlineLevel="0" collapsed="false">
      <c r="A1839" s="12" t="n">
        <v>18543</v>
      </c>
      <c r="B1839" s="13" t="s">
        <v>7992</v>
      </c>
      <c r="C1839" s="14" t="n">
        <v>45689</v>
      </c>
      <c r="D1839" s="13" t="s">
        <v>7988</v>
      </c>
      <c r="E1839" s="15" t="s">
        <v>47</v>
      </c>
      <c r="F1839" s="15" t="str">
        <f aca="false">IFERROR(__xludf.dummyfunction("XLOOKUP(AJ1839,IMPORTRANGE(""1XaInW9DU9nz21V0tYIfzFQ0He9kVQ_JF2mCXgZ3hqFA"",""REKAP ALL 2026 - Andika!G:G""),IMPORTRANGE(""1XaInW9DU9nz21V0tYIfzFQ0He9kVQ_JF2mCXgZ3hqFA"",""REKAP ALL 2026 - Andika!F:F""),"""",0)"),"25026103413")</f>
        <v>25026103413</v>
      </c>
      <c r="G1839" s="13" t="s">
        <v>7993</v>
      </c>
      <c r="H1839" s="13" t="s">
        <v>35</v>
      </c>
      <c r="I1839" s="13" t="str">
        <f aca="false">IF(C1839=J1839,"NEW KONTRAK","RE-KONTRAK")</f>
        <v>NEW KONTRAK</v>
      </c>
      <c r="J1839" s="16" t="n">
        <f aca="false" t="array" ref="J1839:J1839">IFERROR(INDEX(AC1839:AE1839,IF(COUNTA(AC1839:AE1839)=0,"",MAX((AC1839:AE1839&lt;&gt;"")*(COLUMN(AC1839:AE1839)-(COLUMN(AC1839)))))-1),"")</f>
        <v>45689</v>
      </c>
      <c r="K1839" s="16" t="n">
        <f aca="false" t="array" ref="K1839:K1839">IFERROR(INDEX(AC1839:AE1839,IF(COUNTA(AC1839:AE1839)=0,"",MAX((AC1839:AE1839&lt;&gt;"")*(COLUMN(AC1839:AE1839)-(COLUMN(AC1839)-1))))-1),"")</f>
        <v>46022</v>
      </c>
      <c r="L1839" s="17" t="str">
        <f aca="false" t="array" ref="L1839:L1839">IFERROR(INDEX(AC1839:AE1839,IF(COUNTA(AC1839:AE1839)=0,"",MAX((AC1839:AE1839&lt;&gt;"")*(COLUMN(AC1839:AE1839)-(COLUMN(AC1839)-2))))-1),"")</f>
        <v>ARCHIVED</v>
      </c>
      <c r="M1839" s="13" t="n">
        <f aca="true">K1839-TODAY()</f>
        <v>-302</v>
      </c>
      <c r="N1839" s="50" t="s">
        <v>615</v>
      </c>
      <c r="O1839" s="13" t="s">
        <v>1531</v>
      </c>
      <c r="P1839" s="27" t="n">
        <v>5176101</v>
      </c>
      <c r="Q1839" s="20" t="s">
        <v>7994</v>
      </c>
      <c r="R1839" s="13" t="s">
        <v>232</v>
      </c>
      <c r="S1839" s="14" t="n">
        <v>35159</v>
      </c>
      <c r="T1839" s="28" t="s">
        <v>40</v>
      </c>
      <c r="U1839" s="13" t="s">
        <v>7995</v>
      </c>
      <c r="V1839" s="13" t="s">
        <v>42</v>
      </c>
      <c r="W1839" s="13" t="s">
        <v>54</v>
      </c>
      <c r="X1839" s="21" t="n">
        <v>81216724232</v>
      </c>
      <c r="Y1839" s="22" t="str">
        <f aca="false">O1839</f>
        <v>Packer</v>
      </c>
      <c r="Z1839" s="13" t="str">
        <f aca="false">IFERROR(__xludf.dummyfunction("if(BJ1839="""","""",GOOGLETRANSLATE(BJ1839,""auto"",""en""))"),"Packer")</f>
        <v>Packer</v>
      </c>
      <c r="AA1839" s="23" t="str">
        <f aca="false">IF(C1839="","", CHOOSE(MONTH(C1839),"January","February","March","April","May","June","July","August","September","October","November","December")&amp;" "&amp;DAY(C1839)&amp;MID("thstndrdth",MIN(9,2*RIGHT(DAY(C1839))*(MOD(DAY(C1839)-11,100)&gt;2)+1),2)&amp;","&amp;TEXT(C1839," yyyy"))</f>
        <v>February 1st,2025</v>
      </c>
      <c r="AB1839" s="15" t="str">
        <f aca="true">IF(S1839="","",DATEDIF(S1839,TODAY(),"Y")&amp;" Tahun, "&amp;DATEDIF(S1839,TODAY(),"YM")&amp;" Bulan, "&amp;DATEDIF(S1839,TODAY(),"MD")&amp;" Hari")</f>
        <v>30 Tahun, 6 Bulan, 25 Hari</v>
      </c>
      <c r="AC1839" s="18" t="n">
        <v>45689</v>
      </c>
      <c r="AD1839" s="18" t="n">
        <v>46022</v>
      </c>
      <c r="AE1839" s="18" t="s">
        <v>44</v>
      </c>
    </row>
    <row r="1840" customFormat="false" ht="15" hidden="false" customHeight="true" outlineLevel="0" collapsed="false">
      <c r="A1840" s="12" t="n">
        <v>18544</v>
      </c>
      <c r="B1840" s="13" t="s">
        <v>7996</v>
      </c>
      <c r="C1840" s="14" t="n">
        <v>45689</v>
      </c>
      <c r="D1840" s="13" t="s">
        <v>7988</v>
      </c>
      <c r="E1840" s="15" t="s">
        <v>47</v>
      </c>
      <c r="F1840" s="15" t="str">
        <f aca="false">IFERROR(__xludf.dummyfunction("XLOOKUP(AJ1840,IMPORTRANGE(""1XaInW9DU9nz21V0tYIfzFQ0He9kVQ_JF2mCXgZ3hqFA"",""REKAP ALL 2026 - Andika!G:G""),IMPORTRANGE(""1XaInW9DU9nz21V0tYIfzFQ0He9kVQ_JF2mCXgZ3hqFA"",""REKAP ALL 2026 - Andika!F:F""),"""",0)"),"25026103652")</f>
        <v>25026103652</v>
      </c>
      <c r="G1840" s="13" t="s">
        <v>7997</v>
      </c>
      <c r="H1840" s="13" t="s">
        <v>35</v>
      </c>
      <c r="I1840" s="13" t="str">
        <f aca="false">IF(C1840=J1840,"NEW KONTRAK","RE-KONTRAK")</f>
        <v>NEW KONTRAK</v>
      </c>
      <c r="J1840" s="16" t="n">
        <f aca="false" t="array" ref="J1840:J1840">IFERROR(INDEX(AC1840:AE1840,IF(COUNTA(AC1840:AE1840)=0,"",MAX((AC1840:AE1840&lt;&gt;"")*(COLUMN(AC1840:AE1840)-(COLUMN(AC1840)))))-1),"")</f>
        <v>45689</v>
      </c>
      <c r="K1840" s="16" t="n">
        <f aca="false" t="array" ref="K1840:K1840">IFERROR(INDEX(AC1840:AE1840,IF(COUNTA(AC1840:AE1840)=0,"",MAX((AC1840:AE1840&lt;&gt;"")*(COLUMN(AC1840:AE1840)-(COLUMN(AC1840)-1))))-1),"")</f>
        <v>46022</v>
      </c>
      <c r="L1840" s="17" t="str">
        <f aca="false" t="array" ref="L1840:L1840">IFERROR(INDEX(AC1840:AE1840,IF(COUNTA(AC1840:AE1840)=0,"",MAX((AC1840:AE1840&lt;&gt;"")*(COLUMN(AC1840:AE1840)-(COLUMN(AC1840)-2))))-1),"")</f>
        <v>ARCHIVED</v>
      </c>
      <c r="M1840" s="13" t="n">
        <f aca="true">K1840-TODAY()</f>
        <v>-302</v>
      </c>
      <c r="N1840" s="50" t="s">
        <v>615</v>
      </c>
      <c r="O1840" s="13" t="s">
        <v>1531</v>
      </c>
      <c r="P1840" s="27" t="n">
        <v>5176101</v>
      </c>
      <c r="Q1840" s="20" t="s">
        <v>7998</v>
      </c>
      <c r="R1840" s="13" t="s">
        <v>232</v>
      </c>
      <c r="S1840" s="14" t="n">
        <v>34692</v>
      </c>
      <c r="T1840" s="28" t="s">
        <v>40</v>
      </c>
      <c r="U1840" s="13" t="s">
        <v>7999</v>
      </c>
      <c r="V1840" s="13" t="s">
        <v>42</v>
      </c>
      <c r="W1840" s="13" t="s">
        <v>54</v>
      </c>
      <c r="X1840" s="21" t="n">
        <v>81362298350</v>
      </c>
      <c r="Y1840" s="22" t="str">
        <f aca="false">O1840</f>
        <v>Packer</v>
      </c>
      <c r="Z1840" s="13" t="str">
        <f aca="false">IFERROR(__xludf.dummyfunction("if(BJ1840="""","""",GOOGLETRANSLATE(BJ1840,""auto"",""en""))"),"Packer")</f>
        <v>Packer</v>
      </c>
      <c r="AA1840" s="23" t="str">
        <f aca="false">IF(C1840="","", CHOOSE(MONTH(C1840),"January","February","March","April","May","June","July","August","September","October","November","December")&amp;" "&amp;DAY(C1840)&amp;MID("thstndrdth",MIN(9,2*RIGHT(DAY(C1840))*(MOD(DAY(C1840)-11,100)&gt;2)+1),2)&amp;","&amp;TEXT(C1840," yyyy"))</f>
        <v>February 1st,2025</v>
      </c>
      <c r="AB1840" s="15" t="str">
        <f aca="true">IF(S1840="","",DATEDIF(S1840,TODAY(),"Y")&amp;" Tahun, "&amp;DATEDIF(S1840,TODAY(),"YM")&amp;" Bulan, "&amp;DATEDIF(S1840,TODAY(),"MD")&amp;" Hari")</f>
        <v>31 Tahun, 10 Bulan, 5 Hari</v>
      </c>
      <c r="AC1840" s="18" t="n">
        <v>45689</v>
      </c>
      <c r="AD1840" s="18" t="n">
        <v>46022</v>
      </c>
      <c r="AE1840" s="18" t="s">
        <v>44</v>
      </c>
    </row>
    <row r="1841" customFormat="false" ht="15" hidden="false" customHeight="true" outlineLevel="0" collapsed="false">
      <c r="A1841" s="12" t="n">
        <v>18545</v>
      </c>
      <c r="B1841" s="13" t="s">
        <v>8000</v>
      </c>
      <c r="C1841" s="14" t="n">
        <v>45689</v>
      </c>
      <c r="D1841" s="13" t="s">
        <v>7988</v>
      </c>
      <c r="E1841" s="15" t="s">
        <v>47</v>
      </c>
      <c r="F1841" s="15" t="str">
        <f aca="false">IFERROR(__xludf.dummyfunction("XLOOKUP(AJ1841,IMPORTRANGE(""1XaInW9DU9nz21V0tYIfzFQ0He9kVQ_JF2mCXgZ3hqFA"",""REKAP ALL 2026 - Andika!G:G""),IMPORTRANGE(""1XaInW9DU9nz21V0tYIfzFQ0He9kVQ_JF2mCXgZ3hqFA"",""REKAP ALL 2026 - Andika!F:F""),"""",0)"),"23096255932")</f>
        <v>23096255932</v>
      </c>
      <c r="G1841" s="13" t="s">
        <v>8001</v>
      </c>
      <c r="H1841" s="13" t="s">
        <v>35</v>
      </c>
      <c r="I1841" s="13" t="str">
        <f aca="false">IF(C1841=J1841,"NEW KONTRAK","RE-KONTRAK")</f>
        <v>NEW KONTRAK</v>
      </c>
      <c r="J1841" s="16" t="n">
        <f aca="false" t="array" ref="J1841:J1841">IFERROR(INDEX(AC1841:AE1841,IF(COUNTA(AC1841:AE1841)=0,"",MAX((AC1841:AE1841&lt;&gt;"")*(COLUMN(AC1841:AE1841)-(COLUMN(AC1841)))))-1),"")</f>
        <v>45689</v>
      </c>
      <c r="K1841" s="16" t="n">
        <f aca="false" t="array" ref="K1841:K1841">IFERROR(INDEX(AC1841:AE1841,IF(COUNTA(AC1841:AE1841)=0,"",MAX((AC1841:AE1841&lt;&gt;"")*(COLUMN(AC1841:AE1841)-(COLUMN(AC1841)-1))))-1),"")</f>
        <v>46022</v>
      </c>
      <c r="L1841" s="17" t="str">
        <f aca="false" t="array" ref="L1841:L1841">IFERROR(INDEX(AC1841:AE1841,IF(COUNTA(AC1841:AE1841)=0,"",MAX((AC1841:AE1841&lt;&gt;"")*(COLUMN(AC1841:AE1841)-(COLUMN(AC1841)-2))))-1),"")</f>
        <v>ARCHIVED</v>
      </c>
      <c r="M1841" s="13" t="n">
        <f aca="true">K1841-TODAY()</f>
        <v>-302</v>
      </c>
      <c r="N1841" s="50" t="s">
        <v>615</v>
      </c>
      <c r="O1841" s="13" t="s">
        <v>1531</v>
      </c>
      <c r="P1841" s="27" t="n">
        <v>5176101</v>
      </c>
      <c r="Q1841" s="20" t="s">
        <v>8002</v>
      </c>
      <c r="R1841" s="13" t="s">
        <v>232</v>
      </c>
      <c r="S1841" s="14" t="n">
        <v>37846</v>
      </c>
      <c r="T1841" s="28" t="s">
        <v>40</v>
      </c>
      <c r="U1841" s="13" t="s">
        <v>8003</v>
      </c>
      <c r="V1841" s="13" t="s">
        <v>42</v>
      </c>
      <c r="W1841" s="13" t="s">
        <v>54</v>
      </c>
      <c r="X1841" s="21" t="n">
        <v>89652462355</v>
      </c>
      <c r="Y1841" s="22" t="str">
        <f aca="false">O1841</f>
        <v>Packer</v>
      </c>
      <c r="Z1841" s="13" t="str">
        <f aca="false">IFERROR(__xludf.dummyfunction("if(BJ1841="""","""",GOOGLETRANSLATE(BJ1841,""auto"",""en""))"),"Packer")</f>
        <v>Packer</v>
      </c>
      <c r="AA1841" s="23" t="str">
        <f aca="false">IF(C1841="","", CHOOSE(MONTH(C1841),"January","February","March","April","May","June","July","August","September","October","November","December")&amp;" "&amp;DAY(C1841)&amp;MID("thstndrdth",MIN(9,2*RIGHT(DAY(C1841))*(MOD(DAY(C1841)-11,100)&gt;2)+1),2)&amp;","&amp;TEXT(C1841," yyyy"))</f>
        <v>February 1st,2025</v>
      </c>
      <c r="AB1841" s="15" t="str">
        <f aca="true">IF(S1841="","",DATEDIF(S1841,TODAY(),"Y")&amp;" Tahun, "&amp;DATEDIF(S1841,TODAY(),"YM")&amp;" Bulan, "&amp;DATEDIF(S1841,TODAY(),"MD")&amp;" Hari")</f>
        <v>23 Tahun, 2 Bulan, 16 Hari</v>
      </c>
      <c r="AC1841" s="18" t="n">
        <v>45689</v>
      </c>
      <c r="AD1841" s="18" t="n">
        <v>46022</v>
      </c>
      <c r="AE1841" s="18" t="s">
        <v>44</v>
      </c>
    </row>
    <row r="1842" customFormat="false" ht="15" hidden="false" customHeight="true" outlineLevel="0" collapsed="false">
      <c r="A1842" s="12" t="n">
        <v>18546</v>
      </c>
      <c r="B1842" s="13" t="s">
        <v>8004</v>
      </c>
      <c r="C1842" s="14" t="n">
        <v>45689</v>
      </c>
      <c r="D1842" s="13" t="s">
        <v>8005</v>
      </c>
      <c r="E1842" s="15" t="s">
        <v>102</v>
      </c>
      <c r="F1842" s="24" t="s">
        <v>8006</v>
      </c>
      <c r="G1842" s="13" t="s">
        <v>8007</v>
      </c>
      <c r="H1842" s="13" t="s">
        <v>35</v>
      </c>
      <c r="I1842" s="13" t="str">
        <f aca="false">IF(C1842=J1842,"NEW KONTRAK","RE-KONTRAK")</f>
        <v>RE-KONTRAK</v>
      </c>
      <c r="J1842" s="16" t="n">
        <f aca="false" t="array" ref="J1842:J1842">IFERROR(INDEX(AC1842:AE1842,IF(COUNTA(AC1842:AE1842)=0,"",MAX((AC1842:AE1842&lt;&gt;"")*(COLUMN(AC1842:AE1842)-(COLUMN(AC1842)))))-1),"")</f>
        <v>45870</v>
      </c>
      <c r="K1842" s="16" t="n">
        <f aca="false" t="array" ref="K1842:K1842">IFERROR(INDEX(AC1842:AE1842,IF(COUNTA(AC1842:AE1842)=0,"",MAX((AC1842:AE1842&lt;&gt;"")*(COLUMN(AC1842:AE1842)-(COLUMN(AC1842)-1))))-1),"")</f>
        <v>45961</v>
      </c>
      <c r="L1842" s="17" t="str">
        <f aca="false" t="array" ref="L1842:L1842">IFERROR(INDEX(AC1842:AE1842,IF(COUNTA(AC1842:AE1842)=0,"",MAX((AC1842:AE1842&lt;&gt;"")*(COLUMN(AC1842:AE1842)-(COLUMN(AC1842)-2))))-1),"")</f>
        <v>ARCHIVED</v>
      </c>
      <c r="M1842" s="13" t="n">
        <f aca="true">K1842-TODAY()</f>
        <v>-363</v>
      </c>
      <c r="N1842" s="50" t="s">
        <v>615</v>
      </c>
      <c r="O1842" s="13" t="s">
        <v>7419</v>
      </c>
      <c r="P1842" s="27" t="n">
        <v>132300</v>
      </c>
      <c r="Q1842" s="20" t="s">
        <v>8008</v>
      </c>
      <c r="R1842" s="13" t="s">
        <v>232</v>
      </c>
      <c r="S1842" s="14" t="n">
        <v>35226</v>
      </c>
      <c r="T1842" s="28" t="s">
        <v>40</v>
      </c>
      <c r="U1842" s="13" t="s">
        <v>8009</v>
      </c>
      <c r="V1842" s="13" t="s">
        <v>42</v>
      </c>
      <c r="W1842" s="13" t="s">
        <v>43</v>
      </c>
      <c r="X1842" s="21" t="n">
        <v>81336686671</v>
      </c>
      <c r="Y1842" s="22" t="str">
        <f aca="false">O1842</f>
        <v>TKBM</v>
      </c>
      <c r="Z1842" s="13" t="str">
        <f aca="false">IFERROR(__xludf.dummyfunction("if(BJ1842="""","""",GOOGLETRANSLATE(BJ1842,""auto"",""en""))"),"TKBM")</f>
        <v>TKBM</v>
      </c>
      <c r="AA1842" s="23" t="str">
        <f aca="false">IF(C1842="","", CHOOSE(MONTH(C1842),"January","February","March","April","May","June","July","August","September","October","November","December")&amp;" "&amp;DAY(C1842)&amp;MID("thstndrdth",MIN(9,2*RIGHT(DAY(C1842))*(MOD(DAY(C1842)-11,100)&gt;2)+1),2)&amp;","&amp;TEXT(C1842," yyyy"))</f>
        <v>February 1st,2025</v>
      </c>
      <c r="AB1842" s="15" t="str">
        <f aca="true">IF(S1842="","",DATEDIF(S1842,TODAY(),"Y")&amp;" Tahun, "&amp;DATEDIF(S1842,TODAY(),"YM")&amp;" Bulan, "&amp;DATEDIF(S1842,TODAY(),"MD")&amp;" Hari")</f>
        <v>30 Tahun, 4 Bulan, 19 Hari</v>
      </c>
      <c r="AC1842" s="18" t="n">
        <v>45870</v>
      </c>
      <c r="AD1842" s="18" t="n">
        <v>45961</v>
      </c>
      <c r="AE1842" s="18" t="s">
        <v>44</v>
      </c>
    </row>
    <row r="1843" customFormat="false" ht="15" hidden="false" customHeight="true" outlineLevel="0" collapsed="false">
      <c r="A1843" s="12" t="n">
        <v>18547</v>
      </c>
      <c r="B1843" s="13" t="s">
        <v>8010</v>
      </c>
      <c r="C1843" s="14" t="n">
        <v>45689</v>
      </c>
      <c r="D1843" s="13" t="s">
        <v>8005</v>
      </c>
      <c r="E1843" s="15" t="s">
        <v>47</v>
      </c>
      <c r="F1843" s="15" t="str">
        <f aca="false">IFERROR(__xludf.dummyfunction("XLOOKUP(AJ1843,IMPORTRANGE(""1XaInW9DU9nz21V0tYIfzFQ0He9kVQ_JF2mCXgZ3hqFA"",""REKAP ALL 2026 - Andika!G:G""),IMPORTRANGE(""1XaInW9DU9nz21V0tYIfzFQ0He9kVQ_JF2mCXgZ3hqFA"",""REKAP ALL 2026 - Andika!F:F""),"""",0)"),"25026103595")</f>
        <v>25026103595</v>
      </c>
      <c r="G1843" s="13" t="s">
        <v>8011</v>
      </c>
      <c r="H1843" s="13" t="s">
        <v>35</v>
      </c>
      <c r="I1843" s="13" t="str">
        <f aca="false">IF(C1843=J1843,"NEW KONTRAK","RE-KONTRAK")</f>
        <v>RE-KONTRAK</v>
      </c>
      <c r="J1843" s="16" t="n">
        <f aca="false" t="array" ref="J1843:J1843">IFERROR(INDEX(AC1843:AE1843,IF(COUNTA(AC1843:AE1843)=0,"",MAX((AC1843:AE1843&lt;&gt;"")*(COLUMN(AC1843:AE1843)-(COLUMN(AC1843)))))-1),"")</f>
        <v>45870</v>
      </c>
      <c r="K1843" s="16" t="n">
        <f aca="false" t="array" ref="K1843:K1843">IFERROR(INDEX(AC1843:AE1843,IF(COUNTA(AC1843:AE1843)=0,"",MAX((AC1843:AE1843&lt;&gt;"")*(COLUMN(AC1843:AE1843)-(COLUMN(AC1843)-1))))-1),"")</f>
        <v>45961</v>
      </c>
      <c r="L1843" s="17" t="str">
        <f aca="false" t="array" ref="L1843:L1843">IFERROR(INDEX(AC1843:AE1843,IF(COUNTA(AC1843:AE1843)=0,"",MAX((AC1843:AE1843&lt;&gt;"")*(COLUMN(AC1843:AE1843)-(COLUMN(AC1843)-2))))-1),"")</f>
        <v>ARCHIVED</v>
      </c>
      <c r="M1843" s="13" t="n">
        <f aca="true">K1843-TODAY()</f>
        <v>-363</v>
      </c>
      <c r="N1843" s="50" t="s">
        <v>615</v>
      </c>
      <c r="O1843" s="13" t="s">
        <v>7419</v>
      </c>
      <c r="P1843" s="27" t="n">
        <v>132300</v>
      </c>
      <c r="Q1843" s="20" t="s">
        <v>8012</v>
      </c>
      <c r="R1843" s="13" t="s">
        <v>232</v>
      </c>
      <c r="S1843" s="14" t="n">
        <v>28872</v>
      </c>
      <c r="T1843" s="28" t="s">
        <v>40</v>
      </c>
      <c r="U1843" s="13" t="s">
        <v>8013</v>
      </c>
      <c r="V1843" s="13" t="s">
        <v>42</v>
      </c>
      <c r="W1843" s="13" t="s">
        <v>54</v>
      </c>
      <c r="X1843" s="21" t="n">
        <v>85856593793</v>
      </c>
      <c r="Y1843" s="22" t="str">
        <f aca="false">O1843</f>
        <v>TKBM</v>
      </c>
      <c r="Z1843" s="13" t="str">
        <f aca="false">IFERROR(__xludf.dummyfunction("if(BJ1843="""","""",GOOGLETRANSLATE(BJ1843,""auto"",""en""))"),"TKBM")</f>
        <v>TKBM</v>
      </c>
      <c r="AA1843" s="23" t="str">
        <f aca="false">IF(C1843="","", CHOOSE(MONTH(C1843),"January","February","March","April","May","June","July","August","September","October","November","December")&amp;" "&amp;DAY(C1843)&amp;MID("thstndrdth",MIN(9,2*RIGHT(DAY(C1843))*(MOD(DAY(C1843)-11,100)&gt;2)+1),2)&amp;","&amp;TEXT(C1843," yyyy"))</f>
        <v>February 1st,2025</v>
      </c>
      <c r="AB1843" s="15" t="str">
        <f aca="true">IF(S1843="","",DATEDIF(S1843,TODAY(),"Y")&amp;" Tahun, "&amp;DATEDIF(S1843,TODAY(),"YM")&amp;" Bulan, "&amp;DATEDIF(S1843,TODAY(),"MD")&amp;" Hari")</f>
        <v>47 Tahun, 9 Bulan, 12 Hari</v>
      </c>
      <c r="AC1843" s="18" t="n">
        <v>45870</v>
      </c>
      <c r="AD1843" s="18" t="n">
        <v>45961</v>
      </c>
      <c r="AE1843" s="18" t="s">
        <v>44</v>
      </c>
    </row>
    <row r="1844" customFormat="false" ht="15" hidden="false" customHeight="true" outlineLevel="0" collapsed="false">
      <c r="A1844" s="12" t="n">
        <v>18548</v>
      </c>
      <c r="B1844" s="13" t="s">
        <v>8014</v>
      </c>
      <c r="C1844" s="14" t="n">
        <v>45689</v>
      </c>
      <c r="D1844" s="13" t="s">
        <v>8005</v>
      </c>
      <c r="E1844" s="15" t="s">
        <v>47</v>
      </c>
      <c r="F1844" s="15" t="str">
        <f aca="false">IFERROR(__xludf.dummyfunction("XLOOKUP(AJ1844,IMPORTRANGE(""1XaInW9DU9nz21V0tYIfzFQ0He9kVQ_JF2mCXgZ3hqFA"",""REKAP ALL 2026 - Andika!G:G""),IMPORTRANGE(""1XaInW9DU9nz21V0tYIfzFQ0He9kVQ_JF2mCXgZ3hqFA"",""REKAP ALL 2026 - Andika!F:F""),"""",0)"),"25026103629")</f>
        <v>25026103629</v>
      </c>
      <c r="G1844" s="13" t="s">
        <v>8015</v>
      </c>
      <c r="H1844" s="13" t="s">
        <v>35</v>
      </c>
      <c r="I1844" s="13" t="str">
        <f aca="false">IF(C1844=J1844,"NEW KONTRAK","RE-KONTRAK")</f>
        <v>RE-KONTRAK</v>
      </c>
      <c r="J1844" s="16" t="n">
        <f aca="false" t="array" ref="J1844:J1844">IFERROR(INDEX(AC1844:AE1844,IF(COUNTA(AC1844:AE1844)=0,"",MAX((AC1844:AE1844&lt;&gt;"")*(COLUMN(AC1844:AE1844)-(COLUMN(AC1844)))))-1),"")</f>
        <v>45870</v>
      </c>
      <c r="K1844" s="16" t="n">
        <f aca="false" t="array" ref="K1844:K1844">IFERROR(INDEX(AC1844:AE1844,IF(COUNTA(AC1844:AE1844)=0,"",MAX((AC1844:AE1844&lt;&gt;"")*(COLUMN(AC1844:AE1844)-(COLUMN(AC1844)-1))))-1),"")</f>
        <v>45961</v>
      </c>
      <c r="L1844" s="17" t="str">
        <f aca="false" t="array" ref="L1844:L1844">IFERROR(INDEX(AC1844:AE1844,IF(COUNTA(AC1844:AE1844)=0,"",MAX((AC1844:AE1844&lt;&gt;"")*(COLUMN(AC1844:AE1844)-(COLUMN(AC1844)-2))))-1),"")</f>
        <v>ARCHIVED</v>
      </c>
      <c r="M1844" s="13" t="n">
        <f aca="true">K1844-TODAY()</f>
        <v>-363</v>
      </c>
      <c r="N1844" s="50" t="s">
        <v>615</v>
      </c>
      <c r="O1844" s="13" t="s">
        <v>7419</v>
      </c>
      <c r="P1844" s="27" t="n">
        <v>132300</v>
      </c>
      <c r="Q1844" s="20" t="s">
        <v>8016</v>
      </c>
      <c r="R1844" s="13" t="s">
        <v>232</v>
      </c>
      <c r="S1844" s="14" t="n">
        <v>31811</v>
      </c>
      <c r="T1844" s="28" t="s">
        <v>40</v>
      </c>
      <c r="U1844" s="13" t="s">
        <v>8017</v>
      </c>
      <c r="V1844" s="13" t="s">
        <v>42</v>
      </c>
      <c r="W1844" s="13" t="s">
        <v>54</v>
      </c>
      <c r="X1844" s="21" t="n">
        <v>85708066548</v>
      </c>
      <c r="Y1844" s="22" t="str">
        <f aca="false">O1844</f>
        <v>TKBM</v>
      </c>
      <c r="Z1844" s="13" t="str">
        <f aca="false">IFERROR(__xludf.dummyfunction("if(BJ1844="""","""",GOOGLETRANSLATE(BJ1844,""auto"",""en""))"),"TKBM")</f>
        <v>TKBM</v>
      </c>
      <c r="AA1844" s="23" t="str">
        <f aca="false">IF(C1844="","", CHOOSE(MONTH(C1844),"January","February","March","April","May","June","July","August","September","October","November","December")&amp;" "&amp;DAY(C1844)&amp;MID("thstndrdth",MIN(9,2*RIGHT(DAY(C1844))*(MOD(DAY(C1844)-11,100)&gt;2)+1),2)&amp;","&amp;TEXT(C1844," yyyy"))</f>
        <v>February 1st,2025</v>
      </c>
      <c r="AB1844" s="15" t="str">
        <f aca="true">IF(S1844="","",DATEDIF(S1844,TODAY(),"Y")&amp;" Tahun, "&amp;DATEDIF(S1844,TODAY(),"YM")&amp;" Bulan, "&amp;DATEDIF(S1844,TODAY(),"MD")&amp;" Hari")</f>
        <v>39 Tahun, 8 Bulan, 26 Hari</v>
      </c>
      <c r="AC1844" s="18" t="n">
        <v>45870</v>
      </c>
      <c r="AD1844" s="18" t="n">
        <v>45961</v>
      </c>
      <c r="AE1844" s="18" t="s">
        <v>44</v>
      </c>
    </row>
    <row r="1845" customFormat="false" ht="15" hidden="false" customHeight="true" outlineLevel="0" collapsed="false">
      <c r="A1845" s="12" t="n">
        <v>18549</v>
      </c>
      <c r="B1845" s="13" t="s">
        <v>8018</v>
      </c>
      <c r="C1845" s="14" t="n">
        <v>45689</v>
      </c>
      <c r="D1845" s="13" t="s">
        <v>8005</v>
      </c>
      <c r="E1845" s="15" t="s">
        <v>47</v>
      </c>
      <c r="F1845" s="15" t="str">
        <f aca="false">IFERROR(__xludf.dummyfunction("XLOOKUP(AJ1845,IMPORTRANGE(""1XaInW9DU9nz21V0tYIfzFQ0He9kVQ_JF2mCXgZ3hqFA"",""REKAP ALL 2026 - Andika!G:G""),IMPORTRANGE(""1XaInW9DU9nz21V0tYIfzFQ0He9kVQ_JF2mCXgZ3hqFA"",""REKAP ALL 2026 - Andika!F:F""),"""",0)"),"23019875261")</f>
        <v>23019875261</v>
      </c>
      <c r="G1845" s="13" t="s">
        <v>8019</v>
      </c>
      <c r="H1845" s="13" t="s">
        <v>35</v>
      </c>
      <c r="I1845" s="13" t="str">
        <f aca="false">IF(C1845=J1845,"NEW KONTRAK","RE-KONTRAK")</f>
        <v>RE-KONTRAK</v>
      </c>
      <c r="J1845" s="16" t="n">
        <f aca="false" t="array" ref="J1845:J1845">IFERROR(INDEX(AC1845:AE1845,IF(COUNTA(AC1845:AE1845)=0,"",MAX((AC1845:AE1845&lt;&gt;"")*(COLUMN(AC1845:AE1845)-(COLUMN(AC1845)))))-1),"")</f>
        <v>45870</v>
      </c>
      <c r="K1845" s="16" t="n">
        <f aca="false" t="array" ref="K1845:K1845">IFERROR(INDEX(AC1845:AE1845,IF(COUNTA(AC1845:AE1845)=0,"",MAX((AC1845:AE1845&lt;&gt;"")*(COLUMN(AC1845:AE1845)-(COLUMN(AC1845)-1))))-1),"")</f>
        <v>45961</v>
      </c>
      <c r="L1845" s="17" t="str">
        <f aca="false" t="array" ref="L1845:L1845">IFERROR(INDEX(AC1845:AE1845,IF(COUNTA(AC1845:AE1845)=0,"",MAX((AC1845:AE1845&lt;&gt;"")*(COLUMN(AC1845:AE1845)-(COLUMN(AC1845)-2))))-1),"")</f>
        <v>ARCHIVED</v>
      </c>
      <c r="M1845" s="13" t="n">
        <f aca="true">K1845-TODAY()</f>
        <v>-363</v>
      </c>
      <c r="N1845" s="50" t="s">
        <v>615</v>
      </c>
      <c r="O1845" s="13" t="s">
        <v>7419</v>
      </c>
      <c r="P1845" s="27" t="n">
        <v>132300</v>
      </c>
      <c r="Q1845" s="20" t="s">
        <v>8020</v>
      </c>
      <c r="R1845" s="13" t="s">
        <v>232</v>
      </c>
      <c r="S1845" s="14" t="n">
        <v>31966</v>
      </c>
      <c r="T1845" s="28" t="s">
        <v>40</v>
      </c>
      <c r="U1845" s="13" t="s">
        <v>8021</v>
      </c>
      <c r="V1845" s="13" t="s">
        <v>42</v>
      </c>
      <c r="W1845" s="13" t="s">
        <v>54</v>
      </c>
      <c r="X1845" s="21" t="n">
        <v>816539892</v>
      </c>
      <c r="Y1845" s="22" t="str">
        <f aca="false">O1845</f>
        <v>TKBM</v>
      </c>
      <c r="Z1845" s="13" t="str">
        <f aca="false">IFERROR(__xludf.dummyfunction("if(BJ1845="""","""",GOOGLETRANSLATE(BJ1845,""auto"",""en""))"),"TKBM")</f>
        <v>TKBM</v>
      </c>
      <c r="AA1845" s="23" t="str">
        <f aca="false">IF(C1845="","", CHOOSE(MONTH(C1845),"January","February","March","April","May","June","July","August","September","October","November","December")&amp;" "&amp;DAY(C1845)&amp;MID("thstndrdth",MIN(9,2*RIGHT(DAY(C1845))*(MOD(DAY(C1845)-11,100)&gt;2)+1),2)&amp;","&amp;TEXT(C1845," yyyy"))</f>
        <v>February 1st,2025</v>
      </c>
      <c r="AB1845" s="15" t="str">
        <f aca="true">IF(S1845="","",DATEDIF(S1845,TODAY(),"Y")&amp;" Tahun, "&amp;DATEDIF(S1845,TODAY(),"YM")&amp;" Bulan, "&amp;DATEDIF(S1845,TODAY(),"MD")&amp;" Hari")</f>
        <v>39 Tahun, 3 Bulan, 21 Hari</v>
      </c>
      <c r="AC1845" s="18" t="n">
        <v>45870</v>
      </c>
      <c r="AD1845" s="18" t="n">
        <v>45961</v>
      </c>
      <c r="AE1845" s="18" t="s">
        <v>44</v>
      </c>
    </row>
    <row r="1846" customFormat="false" ht="15" hidden="false" customHeight="true" outlineLevel="0" collapsed="false">
      <c r="A1846" s="12" t="n">
        <v>18550</v>
      </c>
      <c r="B1846" s="13" t="s">
        <v>8022</v>
      </c>
      <c r="C1846" s="14" t="n">
        <v>45689</v>
      </c>
      <c r="D1846" s="13" t="s">
        <v>8005</v>
      </c>
      <c r="E1846" s="15" t="s">
        <v>47</v>
      </c>
      <c r="F1846" s="15" t="str">
        <f aca="false">IFERROR(__xludf.dummyfunction("XLOOKUP(AJ1846,IMPORTRANGE(""1XaInW9DU9nz21V0tYIfzFQ0He9kVQ_JF2mCXgZ3hqFA"",""REKAP ALL 2026 - Andika!G:G""),IMPORTRANGE(""1XaInW9DU9nz21V0tYIfzFQ0He9kVQ_JF2mCXgZ3hqFA"",""REKAP ALL 2026 - Andika!F:F""),"""",0)"),"25026103405")</f>
        <v>25026103405</v>
      </c>
      <c r="G1846" s="13" t="s">
        <v>8023</v>
      </c>
      <c r="H1846" s="13" t="s">
        <v>35</v>
      </c>
      <c r="I1846" s="13" t="str">
        <f aca="false">IF(C1846=J1846,"NEW KONTRAK","RE-KONTRAK")</f>
        <v>RE-KONTRAK</v>
      </c>
      <c r="J1846" s="16" t="n">
        <f aca="false" t="array" ref="J1846:J1846">IFERROR(INDEX(AC1846:AE1846,IF(COUNTA(AC1846:AE1846)=0,"",MAX((AC1846:AE1846&lt;&gt;"")*(COLUMN(AC1846:AE1846)-(COLUMN(AC1846)))))-1),"")</f>
        <v>45870</v>
      </c>
      <c r="K1846" s="16" t="n">
        <f aca="false" t="array" ref="K1846:K1846">IFERROR(INDEX(AC1846:AE1846,IF(COUNTA(AC1846:AE1846)=0,"",MAX((AC1846:AE1846&lt;&gt;"")*(COLUMN(AC1846:AE1846)-(COLUMN(AC1846)-1))))-1),"")</f>
        <v>45961</v>
      </c>
      <c r="L1846" s="17" t="str">
        <f aca="false" t="array" ref="L1846:L1846">IFERROR(INDEX(AC1846:AE1846,IF(COUNTA(AC1846:AE1846)=0,"",MAX((AC1846:AE1846&lt;&gt;"")*(COLUMN(AC1846:AE1846)-(COLUMN(AC1846)-2))))-1),"")</f>
        <v>ARCHIVED</v>
      </c>
      <c r="M1846" s="13" t="n">
        <f aca="true">K1846-TODAY()</f>
        <v>-363</v>
      </c>
      <c r="N1846" s="50" t="s">
        <v>615</v>
      </c>
      <c r="O1846" s="13" t="s">
        <v>7419</v>
      </c>
      <c r="P1846" s="27" t="n">
        <v>132300</v>
      </c>
      <c r="Q1846" s="20" t="s">
        <v>8024</v>
      </c>
      <c r="R1846" s="13" t="s">
        <v>232</v>
      </c>
      <c r="S1846" s="14" t="n">
        <v>35835</v>
      </c>
      <c r="T1846" s="28" t="s">
        <v>40</v>
      </c>
      <c r="U1846" s="13" t="s">
        <v>8025</v>
      </c>
      <c r="V1846" s="13" t="s">
        <v>42</v>
      </c>
      <c r="W1846" s="13" t="s">
        <v>54</v>
      </c>
      <c r="X1846" s="21" t="n">
        <v>82145501897</v>
      </c>
      <c r="Y1846" s="22" t="str">
        <f aca="false">O1846</f>
        <v>TKBM</v>
      </c>
      <c r="Z1846" s="13" t="str">
        <f aca="false">IFERROR(__xludf.dummyfunction("if(BJ1846="""","""",GOOGLETRANSLATE(BJ1846,""auto"",""en""))"),"TKBM")</f>
        <v>TKBM</v>
      </c>
      <c r="AA1846" s="23" t="str">
        <f aca="false">IF(C1846="","", CHOOSE(MONTH(C1846),"January","February","March","April","May","June","July","August","September","October","November","December")&amp;" "&amp;DAY(C1846)&amp;MID("thstndrdth",MIN(9,2*RIGHT(DAY(C1846))*(MOD(DAY(C1846)-11,100)&gt;2)+1),2)&amp;","&amp;TEXT(C1846," yyyy"))</f>
        <v>February 1st,2025</v>
      </c>
      <c r="AB1846" s="15" t="str">
        <f aca="true">IF(S1846="","",DATEDIF(S1846,TODAY(),"Y")&amp;" Tahun, "&amp;DATEDIF(S1846,TODAY(),"YM")&amp;" Bulan, "&amp;DATEDIF(S1846,TODAY(),"MD")&amp;" Hari")</f>
        <v>28 Tahun, 8 Bulan, 20 Hari</v>
      </c>
      <c r="AC1846" s="18" t="n">
        <v>45870</v>
      </c>
      <c r="AD1846" s="18" t="n">
        <v>45961</v>
      </c>
      <c r="AE1846" s="18" t="s">
        <v>44</v>
      </c>
    </row>
    <row r="1847" customFormat="false" ht="15" hidden="false" customHeight="true" outlineLevel="0" collapsed="false">
      <c r="A1847" s="12" t="n">
        <v>18551</v>
      </c>
      <c r="B1847" s="13" t="s">
        <v>8026</v>
      </c>
      <c r="C1847" s="14" t="n">
        <v>45689</v>
      </c>
      <c r="D1847" s="13" t="s">
        <v>8005</v>
      </c>
      <c r="E1847" s="15" t="s">
        <v>33</v>
      </c>
      <c r="F1847" s="24" t="s">
        <v>8027</v>
      </c>
      <c r="G1847" s="13" t="s">
        <v>4046</v>
      </c>
      <c r="H1847" s="13" t="s">
        <v>3024</v>
      </c>
      <c r="I1847" s="13" t="str">
        <f aca="false">IF(C1847=J1847,"NEW KONTRAK","RE-KONTRAK")</f>
        <v>RE-KONTRAK</v>
      </c>
      <c r="J1847" s="16" t="n">
        <f aca="false" t="array" ref="J1847:J1847">IFERROR(INDEX(AC1847:AE1847,IF(COUNTA(AC1847:AE1847)=0,"",MAX((AC1847:AE1847&lt;&gt;"")*(COLUMN(AC1847:AE1847)-(COLUMN(AC1847)))))-1),"")</f>
        <v>45778</v>
      </c>
      <c r="K1847" s="16" t="n">
        <f aca="false" t="array" ref="K1847:K1847">IFERROR(INDEX(AC1847:AE1847,IF(COUNTA(AC1847:AE1847)=0,"",MAX((AC1847:AE1847&lt;&gt;"")*(COLUMN(AC1847:AE1847)-(COLUMN(AC1847)-1))))-1),"")</f>
        <v>45869</v>
      </c>
      <c r="L1847" s="17" t="str">
        <f aca="false" t="array" ref="L1847:L1847">IFERROR(INDEX(AC1847:AE1847,IF(COUNTA(AC1847:AE1847)=0,"",MAX((AC1847:AE1847&lt;&gt;"")*(COLUMN(AC1847:AE1847)-(COLUMN(AC1847)-2))))-1),"")</f>
        <v>ARCHIVED</v>
      </c>
      <c r="M1847" s="13" t="n">
        <f aca="true">K1847-TODAY()</f>
        <v>-455</v>
      </c>
      <c r="N1847" s="50" t="s">
        <v>615</v>
      </c>
      <c r="O1847" s="13" t="s">
        <v>7419</v>
      </c>
      <c r="P1847" s="27" t="n">
        <v>132300</v>
      </c>
      <c r="Q1847" s="20" t="s">
        <v>8028</v>
      </c>
      <c r="R1847" s="13" t="s">
        <v>232</v>
      </c>
      <c r="S1847" s="14" t="n">
        <v>31336</v>
      </c>
      <c r="T1847" s="13" t="s">
        <v>40</v>
      </c>
      <c r="U1847" s="13" t="s">
        <v>8029</v>
      </c>
      <c r="V1847" s="13" t="s">
        <v>42</v>
      </c>
      <c r="W1847" s="13" t="s">
        <v>54</v>
      </c>
      <c r="X1847" s="30" t="n">
        <v>85768044369</v>
      </c>
      <c r="Y1847" s="22" t="str">
        <f aca="false">O1847</f>
        <v>TKBM</v>
      </c>
      <c r="Z1847" s="13" t="str">
        <f aca="false">IFERROR(__xludf.dummyfunction("if(BJ1847="""","""",GOOGLETRANSLATE(BJ1847,""auto"",""en""))"),"TKBM")</f>
        <v>TKBM</v>
      </c>
      <c r="AA1847" s="23" t="str">
        <f aca="false">IF(C1847="","", CHOOSE(MONTH(C1847),"January","February","March","April","May","June","July","August","September","October","November","December")&amp;" "&amp;DAY(C1847)&amp;MID("thstndrdth",MIN(9,2*RIGHT(DAY(C1847))*(MOD(DAY(C1847)-11,100)&gt;2)+1),2)&amp;","&amp;TEXT(C1847," yyyy"))</f>
        <v>February 1st,2025</v>
      </c>
      <c r="AB1847" s="15" t="str">
        <f aca="true">IF(S1847="","",DATEDIF(S1847,TODAY(),"Y")&amp;" Tahun, "&amp;DATEDIF(S1847,TODAY(),"YM")&amp;" Bulan, "&amp;DATEDIF(S1847,TODAY(),"MD")&amp;" Hari")</f>
        <v>41 Tahun, 0 Bulan, 13 Hari</v>
      </c>
      <c r="AC1847" s="18" t="n">
        <v>45778</v>
      </c>
      <c r="AD1847" s="18" t="n">
        <v>45869</v>
      </c>
      <c r="AE1847" s="18" t="s">
        <v>44</v>
      </c>
    </row>
    <row r="1848" customFormat="false" ht="15" hidden="false" customHeight="true" outlineLevel="0" collapsed="false">
      <c r="A1848" s="12" t="n">
        <v>18552</v>
      </c>
      <c r="B1848" s="13" t="s">
        <v>8030</v>
      </c>
      <c r="C1848" s="14" t="n">
        <v>45689</v>
      </c>
      <c r="D1848" s="13" t="s">
        <v>8005</v>
      </c>
      <c r="E1848" s="15" t="s">
        <v>47</v>
      </c>
      <c r="F1848" s="15" t="str">
        <f aca="false">IFERROR(__xludf.dummyfunction("XLOOKUP(AJ1848,IMPORTRANGE(""1XaInW9DU9nz21V0tYIfzFQ0He9kVQ_JF2mCXgZ3hqFA"",""REKAP ALL 2026 - Andika!G:G""),IMPORTRANGE(""1XaInW9DU9nz21V0tYIfzFQ0He9kVQ_JF2mCXgZ3hqFA"",""REKAP ALL 2026 - Andika!F:F""),"""",0)"),"25026103603")</f>
        <v>25026103603</v>
      </c>
      <c r="G1848" s="13" t="s">
        <v>8031</v>
      </c>
      <c r="H1848" s="13" t="s">
        <v>35</v>
      </c>
      <c r="I1848" s="13" t="str">
        <f aca="false">IF(C1848=J1848,"NEW KONTRAK","RE-KONTRAK")</f>
        <v>RE-KONTRAK</v>
      </c>
      <c r="J1848" s="16" t="n">
        <f aca="false" t="array" ref="J1848:J1848">IFERROR(INDEX(AC1848:AE1848,IF(COUNTA(AC1848:AE1848)=0,"",MAX((AC1848:AE1848&lt;&gt;"")*(COLUMN(AC1848:AE1848)-(COLUMN(AC1848)))))-1),"")</f>
        <v>45870</v>
      </c>
      <c r="K1848" s="16" t="n">
        <f aca="false" t="array" ref="K1848:K1848">IFERROR(INDEX(AC1848:AE1848,IF(COUNTA(AC1848:AE1848)=0,"",MAX((AC1848:AE1848&lt;&gt;"")*(COLUMN(AC1848:AE1848)-(COLUMN(AC1848)-1))))-1),"")</f>
        <v>45961</v>
      </c>
      <c r="L1848" s="17" t="str">
        <f aca="false" t="array" ref="L1848:L1848">IFERROR(INDEX(AC1848:AE1848,IF(COUNTA(AC1848:AE1848)=0,"",MAX((AC1848:AE1848&lt;&gt;"")*(COLUMN(AC1848:AE1848)-(COLUMN(AC1848)-2))))-1),"")</f>
        <v>ARCHIVED</v>
      </c>
      <c r="M1848" s="13" t="n">
        <f aca="true">K1848-TODAY()</f>
        <v>-363</v>
      </c>
      <c r="N1848" s="50" t="s">
        <v>615</v>
      </c>
      <c r="O1848" s="13" t="s">
        <v>7419</v>
      </c>
      <c r="P1848" s="27" t="n">
        <v>132300</v>
      </c>
      <c r="Q1848" s="20" t="s">
        <v>8032</v>
      </c>
      <c r="R1848" s="13" t="s">
        <v>232</v>
      </c>
      <c r="S1848" s="14" t="n">
        <v>31909</v>
      </c>
      <c r="T1848" s="28" t="s">
        <v>40</v>
      </c>
      <c r="U1848" s="13" t="s">
        <v>8033</v>
      </c>
      <c r="V1848" s="13" t="s">
        <v>42</v>
      </c>
      <c r="W1848" s="13" t="s">
        <v>54</v>
      </c>
      <c r="X1848" s="21" t="n">
        <v>85755554168</v>
      </c>
      <c r="Y1848" s="22" t="str">
        <f aca="false">O1848</f>
        <v>TKBM</v>
      </c>
      <c r="Z1848" s="13" t="str">
        <f aca="false">IFERROR(__xludf.dummyfunction("if(BJ1848="""","""",GOOGLETRANSLATE(BJ1848,""auto"",""en""))"),"TKBM")</f>
        <v>TKBM</v>
      </c>
      <c r="AA1848" s="23" t="str">
        <f aca="false">IF(C1848="","", CHOOSE(MONTH(C1848),"January","February","March","April","May","June","July","August","September","October","November","December")&amp;" "&amp;DAY(C1848)&amp;MID("thstndrdth",MIN(9,2*RIGHT(DAY(C1848))*(MOD(DAY(C1848)-11,100)&gt;2)+1),2)&amp;","&amp;TEXT(C1848," yyyy"))</f>
        <v>February 1st,2025</v>
      </c>
      <c r="AB1848" s="15" t="str">
        <f aca="true">IF(S1848="","",DATEDIF(S1848,TODAY(),"Y")&amp;" Tahun, "&amp;DATEDIF(S1848,TODAY(),"YM")&amp;" Bulan, "&amp;DATEDIF(S1848,TODAY(),"MD")&amp;" Hari")</f>
        <v>39 Tahun, 5 Bulan, 17 Hari</v>
      </c>
      <c r="AC1848" s="18" t="n">
        <v>45870</v>
      </c>
      <c r="AD1848" s="18" t="n">
        <v>45961</v>
      </c>
      <c r="AE1848" s="18" t="s">
        <v>44</v>
      </c>
    </row>
    <row r="1849" customFormat="false" ht="15" hidden="false" customHeight="true" outlineLevel="0" collapsed="false">
      <c r="A1849" s="12" t="n">
        <v>18553</v>
      </c>
      <c r="B1849" s="13" t="s">
        <v>8034</v>
      </c>
      <c r="C1849" s="14" t="n">
        <v>45689</v>
      </c>
      <c r="D1849" s="13" t="s">
        <v>8005</v>
      </c>
      <c r="E1849" s="15" t="s">
        <v>47</v>
      </c>
      <c r="F1849" s="15" t="str">
        <f aca="false">IFERROR(__xludf.dummyfunction("XLOOKUP(AJ1849,IMPORTRANGE(""1XaInW9DU9nz21V0tYIfzFQ0He9kVQ_JF2mCXgZ3hqFA"",""REKAP ALL 2026 - Andika!G:G""),IMPORTRANGE(""1XaInW9DU9nz21V0tYIfzFQ0He9kVQ_JF2mCXgZ3hqFA"",""REKAP ALL 2026 - Andika!F:F""),"""",0)"),"25026103579")</f>
        <v>25026103579</v>
      </c>
      <c r="G1849" s="13" t="s">
        <v>8035</v>
      </c>
      <c r="H1849" s="13" t="s">
        <v>35</v>
      </c>
      <c r="I1849" s="13" t="str">
        <f aca="false">IF(C1849=J1849,"NEW KONTRAK","RE-KONTRAK")</f>
        <v>RE-KONTRAK</v>
      </c>
      <c r="J1849" s="16" t="n">
        <f aca="false" t="array" ref="J1849:J1849">IFERROR(INDEX(AC1849:AE1849,IF(COUNTA(AC1849:AE1849)=0,"",MAX((AC1849:AE1849&lt;&gt;"")*(COLUMN(AC1849:AE1849)-(COLUMN(AC1849)))))-1),"")</f>
        <v>45870</v>
      </c>
      <c r="K1849" s="16" t="n">
        <f aca="false" t="array" ref="K1849:K1849">IFERROR(INDEX(AC1849:AE1849,IF(COUNTA(AC1849:AE1849)=0,"",MAX((AC1849:AE1849&lt;&gt;"")*(COLUMN(AC1849:AE1849)-(COLUMN(AC1849)-1))))-1),"")</f>
        <v>45961</v>
      </c>
      <c r="L1849" s="17" t="str">
        <f aca="false" t="array" ref="L1849:L1849">IFERROR(INDEX(AC1849:AE1849,IF(COUNTA(AC1849:AE1849)=0,"",MAX((AC1849:AE1849&lt;&gt;"")*(COLUMN(AC1849:AE1849)-(COLUMN(AC1849)-2))))-1),"")</f>
        <v>ARCHIVED</v>
      </c>
      <c r="M1849" s="13" t="n">
        <f aca="true">K1849-TODAY()</f>
        <v>-363</v>
      </c>
      <c r="N1849" s="50" t="s">
        <v>615</v>
      </c>
      <c r="O1849" s="13" t="s">
        <v>7419</v>
      </c>
      <c r="P1849" s="27" t="n">
        <v>132300</v>
      </c>
      <c r="Q1849" s="20" t="s">
        <v>8036</v>
      </c>
      <c r="R1849" s="13" t="s">
        <v>232</v>
      </c>
      <c r="S1849" s="14" t="n">
        <v>31544</v>
      </c>
      <c r="T1849" s="28" t="s">
        <v>40</v>
      </c>
      <c r="U1849" s="13" t="s">
        <v>8037</v>
      </c>
      <c r="V1849" s="13" t="s">
        <v>42</v>
      </c>
      <c r="W1849" s="13" t="s">
        <v>54</v>
      </c>
      <c r="X1849" s="21" t="n">
        <v>88230299135</v>
      </c>
      <c r="Y1849" s="22" t="str">
        <f aca="false">O1849</f>
        <v>TKBM</v>
      </c>
      <c r="Z1849" s="13" t="str">
        <f aca="false">IFERROR(__xludf.dummyfunction("if(BJ1849="""","""",GOOGLETRANSLATE(BJ1849,""auto"",""en""))"),"TKBM")</f>
        <v>TKBM</v>
      </c>
      <c r="AA1849" s="23" t="str">
        <f aca="false">IF(C1849="","", CHOOSE(MONTH(C1849),"January","February","March","April","May","June","July","August","September","October","November","December")&amp;" "&amp;DAY(C1849)&amp;MID("thstndrdth",MIN(9,2*RIGHT(DAY(C1849))*(MOD(DAY(C1849)-11,100)&gt;2)+1),2)&amp;","&amp;TEXT(C1849," yyyy"))</f>
        <v>February 1st,2025</v>
      </c>
      <c r="AB1849" s="15" t="str">
        <f aca="true">IF(S1849="","",DATEDIF(S1849,TODAY(),"Y")&amp;" Tahun, "&amp;DATEDIF(S1849,TODAY(),"YM")&amp;" Bulan, "&amp;DATEDIF(S1849,TODAY(),"MD")&amp;" Hari")</f>
        <v>40 Tahun, 5 Bulan, 17 Hari</v>
      </c>
      <c r="AC1849" s="18" t="n">
        <v>45870</v>
      </c>
      <c r="AD1849" s="18" t="n">
        <v>45961</v>
      </c>
      <c r="AE1849" s="18" t="s">
        <v>44</v>
      </c>
    </row>
    <row r="1850" customFormat="false" ht="15" hidden="false" customHeight="true" outlineLevel="0" collapsed="false">
      <c r="A1850" s="12" t="n">
        <v>18554</v>
      </c>
      <c r="B1850" s="13" t="s">
        <v>8038</v>
      </c>
      <c r="C1850" s="14" t="n">
        <v>45689</v>
      </c>
      <c r="D1850" s="13" t="s">
        <v>8005</v>
      </c>
      <c r="E1850" s="15" t="s">
        <v>47</v>
      </c>
      <c r="F1850" s="15" t="str">
        <f aca="false">IFERROR(__xludf.dummyfunction("XLOOKUP(AJ1850,IMPORTRANGE(""1XaInW9DU9nz21V0tYIfzFQ0He9kVQ_JF2mCXgZ3hqFA"",""REKAP ALL 2026 - Andika!G:G""),IMPORTRANGE(""1XaInW9DU9nz21V0tYIfzFQ0He9kVQ_JF2mCXgZ3hqFA"",""REKAP ALL 2026 - Andika!F:F""),"""",0)"),"23171033998")</f>
        <v>23171033998</v>
      </c>
      <c r="G1850" s="13" t="s">
        <v>8039</v>
      </c>
      <c r="H1850" s="13" t="s">
        <v>35</v>
      </c>
      <c r="I1850" s="13" t="str">
        <f aca="false">IF(C1850=J1850,"NEW KONTRAK","RE-KONTRAK")</f>
        <v>RE-KONTRAK</v>
      </c>
      <c r="J1850" s="16" t="n">
        <f aca="false" t="array" ref="J1850:J1850">IFERROR(INDEX(AC1850:AE1850,IF(COUNTA(AC1850:AE1850)=0,"",MAX((AC1850:AE1850&lt;&gt;"")*(COLUMN(AC1850:AE1850)-(COLUMN(AC1850)))))-1),"")</f>
        <v>45870</v>
      </c>
      <c r="K1850" s="16" t="n">
        <f aca="false" t="array" ref="K1850:K1850">IFERROR(INDEX(AC1850:AE1850,IF(COUNTA(AC1850:AE1850)=0,"",MAX((AC1850:AE1850&lt;&gt;"")*(COLUMN(AC1850:AE1850)-(COLUMN(AC1850)-1))))-1),"")</f>
        <v>45961</v>
      </c>
      <c r="L1850" s="17" t="str">
        <f aca="false" t="array" ref="L1850:L1850">IFERROR(INDEX(AC1850:AE1850,IF(COUNTA(AC1850:AE1850)=0,"",MAX((AC1850:AE1850&lt;&gt;"")*(COLUMN(AC1850:AE1850)-(COLUMN(AC1850)-2))))-1),"")</f>
        <v>ARCHIVED</v>
      </c>
      <c r="M1850" s="13" t="n">
        <f aca="true">K1850-TODAY()</f>
        <v>-363</v>
      </c>
      <c r="N1850" s="50" t="s">
        <v>615</v>
      </c>
      <c r="O1850" s="13" t="s">
        <v>7419</v>
      </c>
      <c r="P1850" s="27" t="n">
        <v>132300</v>
      </c>
      <c r="Q1850" s="20" t="s">
        <v>8040</v>
      </c>
      <c r="R1850" s="13" t="s">
        <v>232</v>
      </c>
      <c r="S1850" s="14" t="n">
        <v>34615</v>
      </c>
      <c r="T1850" s="28" t="s">
        <v>40</v>
      </c>
      <c r="U1850" s="13" t="s">
        <v>8041</v>
      </c>
      <c r="V1850" s="13" t="s">
        <v>42</v>
      </c>
      <c r="W1850" s="13" t="s">
        <v>54</v>
      </c>
      <c r="X1850" s="21" t="n">
        <v>83119836123</v>
      </c>
      <c r="Y1850" s="22" t="str">
        <f aca="false">O1850</f>
        <v>TKBM</v>
      </c>
      <c r="Z1850" s="13" t="str">
        <f aca="false">IFERROR(__xludf.dummyfunction("if(BJ1850="""","""",GOOGLETRANSLATE(BJ1850,""auto"",""en""))"),"TKBM")</f>
        <v>TKBM</v>
      </c>
      <c r="AA1850" s="23" t="str">
        <f aca="false">IF(C1850="","", CHOOSE(MONTH(C1850),"January","February","March","April","May","June","July","August","September","October","November","December")&amp;" "&amp;DAY(C1850)&amp;MID("thstndrdth",MIN(9,2*RIGHT(DAY(C1850))*(MOD(DAY(C1850)-11,100)&gt;2)+1),2)&amp;","&amp;TEXT(C1850," yyyy"))</f>
        <v>February 1st,2025</v>
      </c>
      <c r="AB1850" s="15" t="str">
        <f aca="true">IF(S1850="","",DATEDIF(S1850,TODAY(),"Y")&amp;" Tahun, "&amp;DATEDIF(S1850,TODAY(),"YM")&amp;" Bulan, "&amp;DATEDIF(S1850,TODAY(),"MD")&amp;" Hari")</f>
        <v>32 Tahun, 0 Bulan, 21 Hari</v>
      </c>
      <c r="AC1850" s="18" t="n">
        <v>45870</v>
      </c>
      <c r="AD1850" s="18" t="n">
        <v>45961</v>
      </c>
      <c r="AE1850" s="18" t="s">
        <v>44</v>
      </c>
    </row>
    <row r="1851" customFormat="false" ht="15" hidden="false" customHeight="true" outlineLevel="0" collapsed="false">
      <c r="A1851" s="12" t="n">
        <v>18555</v>
      </c>
      <c r="B1851" s="13" t="s">
        <v>8042</v>
      </c>
      <c r="C1851" s="14" t="n">
        <v>45689</v>
      </c>
      <c r="D1851" s="13" t="s">
        <v>8005</v>
      </c>
      <c r="E1851" s="15" t="s">
        <v>47</v>
      </c>
      <c r="F1851" s="15" t="str">
        <f aca="false">IFERROR(__xludf.dummyfunction("XLOOKUP(AJ1851,IMPORTRANGE(""1XaInW9DU9nz21V0tYIfzFQ0He9kVQ_JF2mCXgZ3hqFA"",""REKAP ALL 2026 - Andika!G:G""),IMPORTRANGE(""1XaInW9DU9nz21V0tYIfzFQ0He9kVQ_JF2mCXgZ3hqFA"",""REKAP ALL 2026 - Andika!F:F""),"""",0)"),"25026103496")</f>
        <v>25026103496</v>
      </c>
      <c r="G1851" s="13" t="s">
        <v>8043</v>
      </c>
      <c r="H1851" s="13" t="s">
        <v>35</v>
      </c>
      <c r="I1851" s="13" t="str">
        <f aca="false">IF(C1851=J1851,"NEW KONTRAK","RE-KONTRAK")</f>
        <v>RE-KONTRAK</v>
      </c>
      <c r="J1851" s="16" t="n">
        <f aca="false" t="array" ref="J1851:J1851">IFERROR(INDEX(AC1851:AE1851,IF(COUNTA(AC1851:AE1851)=0,"",MAX((AC1851:AE1851&lt;&gt;"")*(COLUMN(AC1851:AE1851)-(COLUMN(AC1851)))))-1),"")</f>
        <v>45870</v>
      </c>
      <c r="K1851" s="16" t="n">
        <f aca="false" t="array" ref="K1851:K1851">IFERROR(INDEX(AC1851:AE1851,IF(COUNTA(AC1851:AE1851)=0,"",MAX((AC1851:AE1851&lt;&gt;"")*(COLUMN(AC1851:AE1851)-(COLUMN(AC1851)-1))))-1),"")</f>
        <v>45961</v>
      </c>
      <c r="L1851" s="17" t="str">
        <f aca="false" t="array" ref="L1851:L1851">IFERROR(INDEX(AC1851:AE1851,IF(COUNTA(AC1851:AE1851)=0,"",MAX((AC1851:AE1851&lt;&gt;"")*(COLUMN(AC1851:AE1851)-(COLUMN(AC1851)-2))))-1),"")</f>
        <v>ARCHIVED</v>
      </c>
      <c r="M1851" s="13" t="n">
        <f aca="true">K1851-TODAY()</f>
        <v>-363</v>
      </c>
      <c r="N1851" s="50" t="s">
        <v>615</v>
      </c>
      <c r="O1851" s="13" t="s">
        <v>7419</v>
      </c>
      <c r="P1851" s="27" t="n">
        <v>132300</v>
      </c>
      <c r="Q1851" s="20" t="s">
        <v>8044</v>
      </c>
      <c r="R1851" s="13" t="s">
        <v>232</v>
      </c>
      <c r="S1851" s="14" t="n">
        <v>37394</v>
      </c>
      <c r="T1851" s="28" t="s">
        <v>40</v>
      </c>
      <c r="U1851" s="13" t="s">
        <v>8045</v>
      </c>
      <c r="V1851" s="13" t="s">
        <v>42</v>
      </c>
      <c r="W1851" s="13" t="s">
        <v>54</v>
      </c>
      <c r="X1851" s="21" t="n">
        <v>83149005159</v>
      </c>
      <c r="Y1851" s="22" t="str">
        <f aca="false">O1851</f>
        <v>TKBM</v>
      </c>
      <c r="Z1851" s="13" t="str">
        <f aca="false">IFERROR(__xludf.dummyfunction("if(BJ1851="""","""",GOOGLETRANSLATE(BJ1851,""auto"",""en""))"),"TKBM")</f>
        <v>TKBM</v>
      </c>
      <c r="AA1851" s="23" t="str">
        <f aca="false">IF(C1851="","", CHOOSE(MONTH(C1851),"January","February","March","April","May","June","July","August","September","October","November","December")&amp;" "&amp;DAY(C1851)&amp;MID("thstndrdth",MIN(9,2*RIGHT(DAY(C1851))*(MOD(DAY(C1851)-11,100)&gt;2)+1),2)&amp;","&amp;TEXT(C1851," yyyy"))</f>
        <v>February 1st,2025</v>
      </c>
      <c r="AB1851" s="15" t="str">
        <f aca="true">IF(S1851="","",DATEDIF(S1851,TODAY(),"Y")&amp;" Tahun, "&amp;DATEDIF(S1851,TODAY(),"YM")&amp;" Bulan, "&amp;DATEDIF(S1851,TODAY(),"MD")&amp;" Hari")</f>
        <v>24 Tahun, 5 Bulan, 11 Hari</v>
      </c>
      <c r="AC1851" s="18" t="n">
        <v>45870</v>
      </c>
      <c r="AD1851" s="18" t="n">
        <v>45961</v>
      </c>
      <c r="AE1851" s="18" t="s">
        <v>44</v>
      </c>
    </row>
    <row r="1852" customFormat="false" ht="15" hidden="false" customHeight="true" outlineLevel="0" collapsed="false">
      <c r="A1852" s="12" t="n">
        <v>18556</v>
      </c>
      <c r="B1852" s="13" t="s">
        <v>8046</v>
      </c>
      <c r="C1852" s="14" t="n">
        <v>45689</v>
      </c>
      <c r="D1852" s="13" t="s">
        <v>8005</v>
      </c>
      <c r="E1852" s="15" t="s">
        <v>47</v>
      </c>
      <c r="F1852" s="15" t="str">
        <f aca="false">IFERROR(__xludf.dummyfunction("XLOOKUP(AJ1852,IMPORTRANGE(""1XaInW9DU9nz21V0tYIfzFQ0He9kVQ_JF2mCXgZ3hqFA"",""REKAP ALL 2026 - Andika!G:G""),IMPORTRANGE(""1XaInW9DU9nz21V0tYIfzFQ0He9kVQ_JF2mCXgZ3hqFA"",""REKAP ALL 2026 - Andika!F:F""),"""",0)"),"25026103645")</f>
        <v>25026103645</v>
      </c>
      <c r="G1852" s="13" t="s">
        <v>8047</v>
      </c>
      <c r="H1852" s="13" t="s">
        <v>35</v>
      </c>
      <c r="I1852" s="13" t="str">
        <f aca="false">IF(C1852=J1852,"NEW KONTRAK","RE-KONTRAK")</f>
        <v>RE-KONTRAK</v>
      </c>
      <c r="J1852" s="16" t="n">
        <f aca="false" t="array" ref="J1852:J1852">IFERROR(INDEX(AC1852:AE1852,IF(COUNTA(AC1852:AE1852)=0,"",MAX((AC1852:AE1852&lt;&gt;"")*(COLUMN(AC1852:AE1852)-(COLUMN(AC1852)))))-1),"")</f>
        <v>45870</v>
      </c>
      <c r="K1852" s="16" t="n">
        <f aca="false" t="array" ref="K1852:K1852">IFERROR(INDEX(AC1852:AE1852,IF(COUNTA(AC1852:AE1852)=0,"",MAX((AC1852:AE1852&lt;&gt;"")*(COLUMN(AC1852:AE1852)-(COLUMN(AC1852)-1))))-1),"")</f>
        <v>45961</v>
      </c>
      <c r="L1852" s="17" t="str">
        <f aca="false" t="array" ref="L1852:L1852">IFERROR(INDEX(AC1852:AE1852,IF(COUNTA(AC1852:AE1852)=0,"",MAX((AC1852:AE1852&lt;&gt;"")*(COLUMN(AC1852:AE1852)-(COLUMN(AC1852)-2))))-1),"")</f>
        <v>ARCHIVED</v>
      </c>
      <c r="M1852" s="13" t="n">
        <f aca="true">K1852-TODAY()</f>
        <v>-363</v>
      </c>
      <c r="N1852" s="50" t="s">
        <v>615</v>
      </c>
      <c r="O1852" s="13" t="s">
        <v>7419</v>
      </c>
      <c r="P1852" s="27" t="n">
        <v>132300</v>
      </c>
      <c r="Q1852" s="20" t="s">
        <v>8048</v>
      </c>
      <c r="R1852" s="13" t="s">
        <v>232</v>
      </c>
      <c r="S1852" s="14" t="n">
        <v>35572</v>
      </c>
      <c r="T1852" s="13" t="s">
        <v>40</v>
      </c>
      <c r="U1852" s="13" t="s">
        <v>8049</v>
      </c>
      <c r="V1852" s="13" t="s">
        <v>42</v>
      </c>
      <c r="W1852" s="13" t="s">
        <v>54</v>
      </c>
      <c r="X1852" s="21" t="n">
        <v>85704221380</v>
      </c>
      <c r="Y1852" s="22" t="str">
        <f aca="false">O1852</f>
        <v>TKBM</v>
      </c>
      <c r="Z1852" s="13" t="str">
        <f aca="false">IFERROR(__xludf.dummyfunction("if(BJ1852="""","""",GOOGLETRANSLATE(BJ1852,""auto"",""en""))"),"TKBM")</f>
        <v>TKBM</v>
      </c>
      <c r="AA1852" s="23" t="str">
        <f aca="false">IF(C1852="","", CHOOSE(MONTH(C1852),"January","February","March","April","May","June","July","August","September","October","November","December")&amp;" "&amp;DAY(C1852)&amp;MID("thstndrdth",MIN(9,2*RIGHT(DAY(C1852))*(MOD(DAY(C1852)-11,100)&gt;2)+1),2)&amp;","&amp;TEXT(C1852," yyyy"))</f>
        <v>February 1st,2025</v>
      </c>
      <c r="AB1852" s="15" t="str">
        <f aca="true">IF(S1852="","",DATEDIF(S1852,TODAY(),"Y")&amp;" Tahun, "&amp;DATEDIF(S1852,TODAY(),"YM")&amp;" Bulan, "&amp;DATEDIF(S1852,TODAY(),"MD")&amp;" Hari")</f>
        <v>29 Tahun, 5 Bulan, 7 Hari</v>
      </c>
      <c r="AC1852" s="18" t="n">
        <v>45870</v>
      </c>
      <c r="AD1852" s="18" t="n">
        <v>45961</v>
      </c>
      <c r="AE1852" s="18" t="s">
        <v>44</v>
      </c>
    </row>
    <row r="1853" customFormat="false" ht="15" hidden="false" customHeight="true" outlineLevel="0" collapsed="false">
      <c r="A1853" s="12" t="n">
        <v>18557</v>
      </c>
      <c r="B1853" s="13" t="s">
        <v>8050</v>
      </c>
      <c r="C1853" s="14" t="n">
        <v>45689</v>
      </c>
      <c r="D1853" s="13" t="s">
        <v>8005</v>
      </c>
      <c r="E1853" s="15" t="s">
        <v>47</v>
      </c>
      <c r="F1853" s="15" t="str">
        <f aca="false">IFERROR(__xludf.dummyfunction("XLOOKUP(AJ1853,IMPORTRANGE(""1XaInW9DU9nz21V0tYIfzFQ0He9kVQ_JF2mCXgZ3hqFA"",""REKAP ALL 2026 - Andika!G:G""),IMPORTRANGE(""1XaInW9DU9nz21V0tYIfzFQ0He9kVQ_JF2mCXgZ3hqFA"",""REKAP ALL 2026 - Andika!F:F""),"""",0)"),"25026103454")</f>
        <v>25026103454</v>
      </c>
      <c r="G1853" s="13" t="s">
        <v>8051</v>
      </c>
      <c r="H1853" s="13" t="s">
        <v>35</v>
      </c>
      <c r="I1853" s="13" t="str">
        <f aca="false">IF(C1853=J1853,"NEW KONTRAK","RE-KONTRAK")</f>
        <v>RE-KONTRAK</v>
      </c>
      <c r="J1853" s="16" t="n">
        <f aca="false" t="array" ref="J1853:J1853">IFERROR(INDEX(AC1853:AE1853,IF(COUNTA(AC1853:AE1853)=0,"",MAX((AC1853:AE1853&lt;&gt;"")*(COLUMN(AC1853:AE1853)-(COLUMN(AC1853)))))-1),"")</f>
        <v>45870</v>
      </c>
      <c r="K1853" s="16" t="n">
        <f aca="false" t="array" ref="K1853:K1853">IFERROR(INDEX(AC1853:AE1853,IF(COUNTA(AC1853:AE1853)=0,"",MAX((AC1853:AE1853&lt;&gt;"")*(COLUMN(AC1853:AE1853)-(COLUMN(AC1853)-1))))-1),"")</f>
        <v>45961</v>
      </c>
      <c r="L1853" s="17" t="str">
        <f aca="false" t="array" ref="L1853:L1853">IFERROR(INDEX(AC1853:AE1853,IF(COUNTA(AC1853:AE1853)=0,"",MAX((AC1853:AE1853&lt;&gt;"")*(COLUMN(AC1853:AE1853)-(COLUMN(AC1853)-2))))-1),"")</f>
        <v>ARCHIVED</v>
      </c>
      <c r="M1853" s="13" t="n">
        <f aca="true">K1853-TODAY()</f>
        <v>-363</v>
      </c>
      <c r="N1853" s="50" t="s">
        <v>615</v>
      </c>
      <c r="O1853" s="13" t="s">
        <v>7419</v>
      </c>
      <c r="P1853" s="27" t="n">
        <v>132300</v>
      </c>
      <c r="Q1853" s="20" t="s">
        <v>8052</v>
      </c>
      <c r="R1853" s="13" t="s">
        <v>232</v>
      </c>
      <c r="S1853" s="14" t="n">
        <v>31127</v>
      </c>
      <c r="T1853" s="13" t="s">
        <v>40</v>
      </c>
      <c r="U1853" s="13" t="s">
        <v>8053</v>
      </c>
      <c r="V1853" s="13" t="s">
        <v>42</v>
      </c>
      <c r="W1853" s="13" t="s">
        <v>54</v>
      </c>
      <c r="X1853" s="21" t="n">
        <v>85808271179</v>
      </c>
      <c r="Y1853" s="22" t="str">
        <f aca="false">O1853</f>
        <v>TKBM</v>
      </c>
      <c r="Z1853" s="13" t="str">
        <f aca="false">IFERROR(__xludf.dummyfunction("if(BJ1853="""","""",GOOGLETRANSLATE(BJ1853,""auto"",""en""))"),"TKBM")</f>
        <v>TKBM</v>
      </c>
      <c r="AA1853" s="23" t="str">
        <f aca="false">IF(C1853="","", CHOOSE(MONTH(C1853),"January","February","March","April","May","June","July","August","September","October","November","December")&amp;" "&amp;DAY(C1853)&amp;MID("thstndrdth",MIN(9,2*RIGHT(DAY(C1853))*(MOD(DAY(C1853)-11,100)&gt;2)+1),2)&amp;","&amp;TEXT(C1853," yyyy"))</f>
        <v>February 1st,2025</v>
      </c>
      <c r="AB1853" s="15" t="str">
        <f aca="true">IF(S1853="","",DATEDIF(S1853,TODAY(),"Y")&amp;" Tahun, "&amp;DATEDIF(S1853,TODAY(),"YM")&amp;" Bulan, "&amp;DATEDIF(S1853,TODAY(),"MD")&amp;" Hari")</f>
        <v>41 Tahun, 7 Bulan, 8 Hari</v>
      </c>
      <c r="AC1853" s="18" t="n">
        <v>45870</v>
      </c>
      <c r="AD1853" s="18" t="n">
        <v>45961</v>
      </c>
      <c r="AE1853" s="18" t="s">
        <v>44</v>
      </c>
    </row>
    <row r="1854" customFormat="false" ht="15" hidden="false" customHeight="true" outlineLevel="0" collapsed="false">
      <c r="A1854" s="12" t="n">
        <v>18558</v>
      </c>
      <c r="B1854" s="13" t="s">
        <v>8054</v>
      </c>
      <c r="C1854" s="14" t="n">
        <v>45689</v>
      </c>
      <c r="D1854" s="13" t="s">
        <v>8005</v>
      </c>
      <c r="E1854" s="15" t="s">
        <v>47</v>
      </c>
      <c r="F1854" s="15" t="str">
        <f aca="false">IFERROR(__xludf.dummyfunction("XLOOKUP(AJ1854,IMPORTRANGE(""1XaInW9DU9nz21V0tYIfzFQ0He9kVQ_JF2mCXgZ3hqFA"",""REKAP ALL 2026 - Andika!G:G""),IMPORTRANGE(""1XaInW9DU9nz21V0tYIfzFQ0He9kVQ_JF2mCXgZ3hqFA"",""REKAP ALL 2026 - Andika!F:F""),"""",0)"),"25026103447")</f>
        <v>25026103447</v>
      </c>
      <c r="G1854" s="13" t="s">
        <v>8055</v>
      </c>
      <c r="H1854" s="13" t="s">
        <v>35</v>
      </c>
      <c r="I1854" s="13" t="str">
        <f aca="false">IF(C1854=J1854,"NEW KONTRAK","RE-KONTRAK")</f>
        <v>RE-KONTRAK</v>
      </c>
      <c r="J1854" s="16" t="n">
        <f aca="false" t="array" ref="J1854:J1854">IFERROR(INDEX(AC1854:AE1854,IF(COUNTA(AC1854:AE1854)=0,"",MAX((AC1854:AE1854&lt;&gt;"")*(COLUMN(AC1854:AE1854)-(COLUMN(AC1854)))))-1),"")</f>
        <v>45870</v>
      </c>
      <c r="K1854" s="16" t="n">
        <f aca="false" t="array" ref="K1854:K1854">IFERROR(INDEX(AC1854:AE1854,IF(COUNTA(AC1854:AE1854)=0,"",MAX((AC1854:AE1854&lt;&gt;"")*(COLUMN(AC1854:AE1854)-(COLUMN(AC1854)-1))))-1),"")</f>
        <v>45961</v>
      </c>
      <c r="L1854" s="17" t="str">
        <f aca="false" t="array" ref="L1854:L1854">IFERROR(INDEX(AC1854:AE1854,IF(COUNTA(AC1854:AE1854)=0,"",MAX((AC1854:AE1854&lt;&gt;"")*(COLUMN(AC1854:AE1854)-(COLUMN(AC1854)-2))))-1),"")</f>
        <v>ARCHIVED</v>
      </c>
      <c r="M1854" s="13" t="n">
        <f aca="true">K1854-TODAY()</f>
        <v>-363</v>
      </c>
      <c r="N1854" s="50" t="s">
        <v>615</v>
      </c>
      <c r="O1854" s="13" t="s">
        <v>7419</v>
      </c>
      <c r="P1854" s="27" t="n">
        <v>132300</v>
      </c>
      <c r="Q1854" s="20" t="s">
        <v>8056</v>
      </c>
      <c r="R1854" s="13" t="s">
        <v>232</v>
      </c>
      <c r="S1854" s="14" t="n">
        <v>35839</v>
      </c>
      <c r="T1854" s="28" t="s">
        <v>40</v>
      </c>
      <c r="U1854" s="13" t="s">
        <v>8057</v>
      </c>
      <c r="V1854" s="13" t="s">
        <v>42</v>
      </c>
      <c r="W1854" s="13" t="s">
        <v>54</v>
      </c>
      <c r="X1854" s="21" t="n">
        <v>85784078441</v>
      </c>
      <c r="Y1854" s="22" t="str">
        <f aca="false">O1854</f>
        <v>TKBM</v>
      </c>
      <c r="Z1854" s="13" t="str">
        <f aca="false">IFERROR(__xludf.dummyfunction("if(BJ1854="""","""",GOOGLETRANSLATE(BJ1854,""auto"",""en""))"),"TKBM")</f>
        <v>TKBM</v>
      </c>
      <c r="AA1854" s="23" t="str">
        <f aca="false">IF(C1854="","", CHOOSE(MONTH(C1854),"January","February","March","April","May","June","July","August","September","October","November","December")&amp;" "&amp;DAY(C1854)&amp;MID("thstndrdth",MIN(9,2*RIGHT(DAY(C1854))*(MOD(DAY(C1854)-11,100)&gt;2)+1),2)&amp;","&amp;TEXT(C1854," yyyy"))</f>
        <v>February 1st,2025</v>
      </c>
      <c r="AB1854" s="15" t="str">
        <f aca="true">IF(S1854="","",DATEDIF(S1854,TODAY(),"Y")&amp;" Tahun, "&amp;DATEDIF(S1854,TODAY(),"YM")&amp;" Bulan, "&amp;DATEDIF(S1854,TODAY(),"MD")&amp;" Hari")</f>
        <v>28 Tahun, 8 Bulan, 16 Hari</v>
      </c>
      <c r="AC1854" s="18" t="n">
        <v>45870</v>
      </c>
      <c r="AD1854" s="18" t="n">
        <v>45961</v>
      </c>
      <c r="AE1854" s="18" t="s">
        <v>44</v>
      </c>
    </row>
    <row r="1855" customFormat="false" ht="15" hidden="false" customHeight="true" outlineLevel="0" collapsed="false">
      <c r="A1855" s="12" t="n">
        <v>18559</v>
      </c>
      <c r="B1855" s="13" t="s">
        <v>8058</v>
      </c>
      <c r="C1855" s="14" t="n">
        <v>45689</v>
      </c>
      <c r="D1855" s="13" t="s">
        <v>8005</v>
      </c>
      <c r="E1855" s="15" t="s">
        <v>47</v>
      </c>
      <c r="F1855" s="15" t="str">
        <f aca="false">IFERROR(__xludf.dummyfunction("XLOOKUP(AJ1855,IMPORTRANGE(""1XaInW9DU9nz21V0tYIfzFQ0He9kVQ_JF2mCXgZ3hqFA"",""REKAP ALL 2026 - Andika!G:G""),IMPORTRANGE(""1XaInW9DU9nz21V0tYIfzFQ0He9kVQ_JF2mCXgZ3hqFA"",""REKAP ALL 2026 - Andika!F:F""),"""",0)"),"25026103561")</f>
        <v>25026103561</v>
      </c>
      <c r="G1855" s="13" t="s">
        <v>8059</v>
      </c>
      <c r="H1855" s="13" t="s">
        <v>35</v>
      </c>
      <c r="I1855" s="13" t="str">
        <f aca="false">IF(C1855=J1855,"NEW KONTRAK","RE-KONTRAK")</f>
        <v>RE-KONTRAK</v>
      </c>
      <c r="J1855" s="16" t="n">
        <f aca="false" t="array" ref="J1855:J1855">IFERROR(INDEX(AC1855:AE1855,IF(COUNTA(AC1855:AE1855)=0,"",MAX((AC1855:AE1855&lt;&gt;"")*(COLUMN(AC1855:AE1855)-(COLUMN(AC1855)))))-1),"")</f>
        <v>45870</v>
      </c>
      <c r="K1855" s="16" t="n">
        <f aca="false" t="array" ref="K1855:K1855">IFERROR(INDEX(AC1855:AE1855,IF(COUNTA(AC1855:AE1855)=0,"",MAX((AC1855:AE1855&lt;&gt;"")*(COLUMN(AC1855:AE1855)-(COLUMN(AC1855)-1))))-1),"")</f>
        <v>45961</v>
      </c>
      <c r="L1855" s="17" t="str">
        <f aca="false" t="array" ref="L1855:L1855">IFERROR(INDEX(AC1855:AE1855,IF(COUNTA(AC1855:AE1855)=0,"",MAX((AC1855:AE1855&lt;&gt;"")*(COLUMN(AC1855:AE1855)-(COLUMN(AC1855)-2))))-1),"")</f>
        <v>ARCHIVED</v>
      </c>
      <c r="M1855" s="13" t="n">
        <f aca="true">K1855-TODAY()</f>
        <v>-363</v>
      </c>
      <c r="N1855" s="50" t="s">
        <v>615</v>
      </c>
      <c r="O1855" s="13" t="s">
        <v>7419</v>
      </c>
      <c r="P1855" s="27" t="n">
        <v>132300</v>
      </c>
      <c r="Q1855" s="20" t="s">
        <v>8060</v>
      </c>
      <c r="R1855" s="13" t="s">
        <v>232</v>
      </c>
      <c r="S1855" s="14" t="n">
        <v>34383</v>
      </c>
      <c r="T1855" s="28" t="s">
        <v>40</v>
      </c>
      <c r="U1855" s="13" t="s">
        <v>8061</v>
      </c>
      <c r="V1855" s="13" t="s">
        <v>42</v>
      </c>
      <c r="W1855" s="13" t="s">
        <v>54</v>
      </c>
      <c r="X1855" s="21" t="n">
        <v>88217403769</v>
      </c>
      <c r="Y1855" s="22" t="str">
        <f aca="false">O1855</f>
        <v>TKBM</v>
      </c>
      <c r="Z1855" s="13" t="str">
        <f aca="false">IFERROR(__xludf.dummyfunction("if(BJ1855="""","""",GOOGLETRANSLATE(BJ1855,""auto"",""en""))"),"TKBM")</f>
        <v>TKBM</v>
      </c>
      <c r="AA1855" s="23" t="str">
        <f aca="false">IF(C1855="","", CHOOSE(MONTH(C1855),"January","February","March","April","May","June","July","August","September","October","November","December")&amp;" "&amp;DAY(C1855)&amp;MID("thstndrdth",MIN(9,2*RIGHT(DAY(C1855))*(MOD(DAY(C1855)-11,100)&gt;2)+1),2)&amp;","&amp;TEXT(C1855," yyyy"))</f>
        <v>February 1st,2025</v>
      </c>
      <c r="AB1855" s="15" t="str">
        <f aca="true">IF(S1855="","",DATEDIF(S1855,TODAY(),"Y")&amp;" Tahun, "&amp;DATEDIF(S1855,TODAY(),"YM")&amp;" Bulan, "&amp;DATEDIF(S1855,TODAY(),"MD")&amp;" Hari")</f>
        <v>32 Tahun, 8 Bulan, 11 Hari</v>
      </c>
      <c r="AC1855" s="18" t="n">
        <v>45870</v>
      </c>
      <c r="AD1855" s="18" t="n">
        <v>45961</v>
      </c>
      <c r="AE1855" s="18" t="s">
        <v>44</v>
      </c>
    </row>
    <row r="1856" customFormat="false" ht="15" hidden="false" customHeight="true" outlineLevel="0" collapsed="false">
      <c r="A1856" s="12" t="n">
        <v>18560</v>
      </c>
      <c r="B1856" s="13" t="s">
        <v>8062</v>
      </c>
      <c r="C1856" s="14" t="n">
        <v>45689</v>
      </c>
      <c r="D1856" s="13" t="s">
        <v>8005</v>
      </c>
      <c r="E1856" s="15" t="s">
        <v>47</v>
      </c>
      <c r="F1856" s="15" t="str">
        <f aca="false">IFERROR(__xludf.dummyfunction("XLOOKUP(AJ1856,IMPORTRANGE(""1XaInW9DU9nz21V0tYIfzFQ0He9kVQ_JF2mCXgZ3hqFA"",""REKAP ALL 2026 - Andika!G:G""),IMPORTRANGE(""1XaInW9DU9nz21V0tYIfzFQ0He9kVQ_JF2mCXgZ3hqFA"",""REKAP ALL 2026 - Andika!F:F""),"""",0)"),"25026103553")</f>
        <v>25026103553</v>
      </c>
      <c r="G1856" s="13" t="s">
        <v>8063</v>
      </c>
      <c r="H1856" s="13" t="s">
        <v>35</v>
      </c>
      <c r="I1856" s="13" t="str">
        <f aca="false">IF(C1856=J1856,"NEW KONTRAK","RE-KONTRAK")</f>
        <v>RE-KONTRAK</v>
      </c>
      <c r="J1856" s="16" t="n">
        <f aca="false" t="array" ref="J1856:J1856">IFERROR(INDEX(AC1856:AE1856,IF(COUNTA(AC1856:AE1856)=0,"",MAX((AC1856:AE1856&lt;&gt;"")*(COLUMN(AC1856:AE1856)-(COLUMN(AC1856)))))-1),"")</f>
        <v>45870</v>
      </c>
      <c r="K1856" s="16" t="n">
        <f aca="false" t="array" ref="K1856:K1856">IFERROR(INDEX(AC1856:AE1856,IF(COUNTA(AC1856:AE1856)=0,"",MAX((AC1856:AE1856&lt;&gt;"")*(COLUMN(AC1856:AE1856)-(COLUMN(AC1856)-1))))-1),"")</f>
        <v>45961</v>
      </c>
      <c r="L1856" s="17" t="str">
        <f aca="false" t="array" ref="L1856:L1856">IFERROR(INDEX(AC1856:AE1856,IF(COUNTA(AC1856:AE1856)=0,"",MAX((AC1856:AE1856&lt;&gt;"")*(COLUMN(AC1856:AE1856)-(COLUMN(AC1856)-2))))-1),"")</f>
        <v>ARCHIVED</v>
      </c>
      <c r="M1856" s="13" t="n">
        <f aca="true">K1856-TODAY()</f>
        <v>-363</v>
      </c>
      <c r="N1856" s="50" t="s">
        <v>615</v>
      </c>
      <c r="O1856" s="13" t="s">
        <v>7419</v>
      </c>
      <c r="P1856" s="27" t="n">
        <v>132300</v>
      </c>
      <c r="Q1856" s="20" t="s">
        <v>8064</v>
      </c>
      <c r="R1856" s="13" t="s">
        <v>232</v>
      </c>
      <c r="S1856" s="14" t="n">
        <v>36074</v>
      </c>
      <c r="T1856" s="28" t="s">
        <v>40</v>
      </c>
      <c r="U1856" s="13" t="s">
        <v>8065</v>
      </c>
      <c r="V1856" s="13" t="s">
        <v>42</v>
      </c>
      <c r="W1856" s="13" t="s">
        <v>54</v>
      </c>
      <c r="X1856" s="21" t="n">
        <v>85336182030</v>
      </c>
      <c r="Y1856" s="22" t="str">
        <f aca="false">O1856</f>
        <v>TKBM</v>
      </c>
      <c r="Z1856" s="13" t="str">
        <f aca="false">IFERROR(__xludf.dummyfunction("if(BJ1856="""","""",GOOGLETRANSLATE(BJ1856,""auto"",""en""))"),"TKBM")</f>
        <v>TKBM</v>
      </c>
      <c r="AA1856" s="23" t="str">
        <f aca="false">IF(C1856="","", CHOOSE(MONTH(C1856),"January","February","March","April","May","June","July","August","September","October","November","December")&amp;" "&amp;DAY(C1856)&amp;MID("thstndrdth",MIN(9,2*RIGHT(DAY(C1856))*(MOD(DAY(C1856)-11,100)&gt;2)+1),2)&amp;","&amp;TEXT(C1856," yyyy"))</f>
        <v>February 1st,2025</v>
      </c>
      <c r="AB1856" s="15" t="str">
        <f aca="true">IF(S1856="","",DATEDIF(S1856,TODAY(),"Y")&amp;" Tahun, "&amp;DATEDIF(S1856,TODAY(),"YM")&amp;" Bulan, "&amp;DATEDIF(S1856,TODAY(),"MD")&amp;" Hari")</f>
        <v>28 Tahun, 0 Bulan, 23 Hari</v>
      </c>
      <c r="AC1856" s="18" t="n">
        <v>45870</v>
      </c>
      <c r="AD1856" s="18" t="n">
        <v>45961</v>
      </c>
      <c r="AE1856" s="18" t="s">
        <v>44</v>
      </c>
    </row>
    <row r="1857" customFormat="false" ht="15" hidden="false" customHeight="true" outlineLevel="0" collapsed="false">
      <c r="A1857" s="12" t="n">
        <v>18561</v>
      </c>
      <c r="B1857" s="13" t="s">
        <v>8066</v>
      </c>
      <c r="C1857" s="14" t="n">
        <v>45689</v>
      </c>
      <c r="D1857" s="13" t="s">
        <v>8005</v>
      </c>
      <c r="E1857" s="15" t="s">
        <v>47</v>
      </c>
      <c r="F1857" s="15" t="str">
        <f aca="false">IFERROR(__xludf.dummyfunction("XLOOKUP(AJ1857,IMPORTRANGE(""1XaInW9DU9nz21V0tYIfzFQ0He9kVQ_JF2mCXgZ3hqFA"",""REKAP ALL 2026 - Andika!G:G""),IMPORTRANGE(""1XaInW9DU9nz21V0tYIfzFQ0He9kVQ_JF2mCXgZ3hqFA"",""REKAP ALL 2026 - Andika!F:F""),"""",0)"),"25026103439")</f>
        <v>25026103439</v>
      </c>
      <c r="G1857" s="13" t="s">
        <v>8067</v>
      </c>
      <c r="H1857" s="13" t="s">
        <v>35</v>
      </c>
      <c r="I1857" s="13" t="str">
        <f aca="false">IF(C1857=J1857,"NEW KONTRAK","RE-KONTRAK")</f>
        <v>RE-KONTRAK</v>
      </c>
      <c r="J1857" s="16" t="n">
        <f aca="false" t="array" ref="J1857:J1857">IFERROR(INDEX(AC1857:AE1857,IF(COUNTA(AC1857:AE1857)=0,"",MAX((AC1857:AE1857&lt;&gt;"")*(COLUMN(AC1857:AE1857)-(COLUMN(AC1857)))))-1),"")</f>
        <v>45870</v>
      </c>
      <c r="K1857" s="16" t="n">
        <f aca="false" t="array" ref="K1857:K1857">IFERROR(INDEX(AC1857:AE1857,IF(COUNTA(AC1857:AE1857)=0,"",MAX((AC1857:AE1857&lt;&gt;"")*(COLUMN(AC1857:AE1857)-(COLUMN(AC1857)-1))))-1),"")</f>
        <v>45961</v>
      </c>
      <c r="L1857" s="17" t="str">
        <f aca="false" t="array" ref="L1857:L1857">IFERROR(INDEX(AC1857:AE1857,IF(COUNTA(AC1857:AE1857)=0,"",MAX((AC1857:AE1857&lt;&gt;"")*(COLUMN(AC1857:AE1857)-(COLUMN(AC1857)-2))))-1),"")</f>
        <v>ARCHIVED</v>
      </c>
      <c r="M1857" s="13" t="n">
        <f aca="true">K1857-TODAY()</f>
        <v>-363</v>
      </c>
      <c r="N1857" s="50" t="s">
        <v>615</v>
      </c>
      <c r="O1857" s="13" t="s">
        <v>7419</v>
      </c>
      <c r="P1857" s="27" t="n">
        <v>132300</v>
      </c>
      <c r="Q1857" s="20" t="s">
        <v>8068</v>
      </c>
      <c r="R1857" s="13" t="s">
        <v>232</v>
      </c>
      <c r="S1857" s="14" t="n">
        <v>31223</v>
      </c>
      <c r="T1857" s="13" t="s">
        <v>40</v>
      </c>
      <c r="U1857" s="13" t="s">
        <v>8069</v>
      </c>
      <c r="V1857" s="13" t="s">
        <v>42</v>
      </c>
      <c r="W1857" s="13" t="s">
        <v>54</v>
      </c>
      <c r="X1857" s="21" t="n">
        <v>81918594234</v>
      </c>
      <c r="Y1857" s="22" t="str">
        <f aca="false">O1857</f>
        <v>TKBM</v>
      </c>
      <c r="Z1857" s="13" t="str">
        <f aca="false">IFERROR(__xludf.dummyfunction("if(BJ1857="""","""",GOOGLETRANSLATE(BJ1857,""auto"",""en""))"),"TKBM")</f>
        <v>TKBM</v>
      </c>
      <c r="AA1857" s="23" t="str">
        <f aca="false">IF(C1857="","", CHOOSE(MONTH(C1857),"January","February","March","April","May","June","July","August","September","October","November","December")&amp;" "&amp;DAY(C1857)&amp;MID("thstndrdth",MIN(9,2*RIGHT(DAY(C1857))*(MOD(DAY(C1857)-11,100)&gt;2)+1),2)&amp;","&amp;TEXT(C1857," yyyy"))</f>
        <v>February 1st,2025</v>
      </c>
      <c r="AB1857" s="15" t="str">
        <f aca="true">IF(S1857="","",DATEDIF(S1857,TODAY(),"Y")&amp;" Tahun, "&amp;DATEDIF(S1857,TODAY(),"YM")&amp;" Bulan, "&amp;DATEDIF(S1857,TODAY(),"MD")&amp;" Hari")</f>
        <v>41 Tahun, 4 Bulan, 4 Hari</v>
      </c>
      <c r="AC1857" s="18" t="n">
        <v>45870</v>
      </c>
      <c r="AD1857" s="18" t="n">
        <v>45961</v>
      </c>
      <c r="AE1857" s="18" t="s">
        <v>44</v>
      </c>
    </row>
    <row r="1858" customFormat="false" ht="15" hidden="false" customHeight="true" outlineLevel="0" collapsed="false">
      <c r="A1858" s="12" t="n">
        <v>18565</v>
      </c>
      <c r="B1858" s="13" t="s">
        <v>8070</v>
      </c>
      <c r="C1858" s="14" t="n">
        <v>45689</v>
      </c>
      <c r="D1858" s="13" t="s">
        <v>8071</v>
      </c>
      <c r="E1858" s="15" t="s">
        <v>47</v>
      </c>
      <c r="F1858" s="15" t="str">
        <f aca="false">IFERROR(__xludf.dummyfunction("XLOOKUP(AJ1858,IMPORTRANGE(""1XaInW9DU9nz21V0tYIfzFQ0He9kVQ_JF2mCXgZ3hqFA"",""REKAP ALL 2026 - Andika!G:G""),IMPORTRANGE(""1XaInW9DU9nz21V0tYIfzFQ0He9kVQ_JF2mCXgZ3hqFA"",""REKAP ALL 2026 - Andika!F:F""),"""",0)"),"25026104346")</f>
        <v>25026104346</v>
      </c>
      <c r="G1858" s="13" t="s">
        <v>8072</v>
      </c>
      <c r="H1858" s="13" t="s">
        <v>35</v>
      </c>
      <c r="I1858" s="13" t="str">
        <f aca="false">IF(C1858=J1858,"NEW KONTRAK","RE-KONTRAK")</f>
        <v>NEW KONTRAK</v>
      </c>
      <c r="J1858" s="16" t="n">
        <f aca="false" t="array" ref="J1858:J1858">IFERROR(INDEX(AC1858:AE1858,IF(COUNTA(AC1858:AE1858)=0,"",MAX((AC1858:AE1858&lt;&gt;"")*(COLUMN(AC1858:AE1858)-(COLUMN(AC1858)))))-1),"")</f>
        <v>45689</v>
      </c>
      <c r="K1858" s="16" t="n">
        <f aca="false" t="array" ref="K1858:K1858">IFERROR(INDEX(AC1858:AE1858,IF(COUNTA(AC1858:AE1858)=0,"",MAX((AC1858:AE1858&lt;&gt;"")*(COLUMN(AC1858:AE1858)-(COLUMN(AC1858)-1))))-1),"")</f>
        <v>46053</v>
      </c>
      <c r="L1858" s="17" t="str">
        <f aca="false" t="array" ref="L1858:L1858">IFERROR(INDEX(AC1858:AE1858,IF(COUNTA(AC1858:AE1858)=0,"",MAX((AC1858:AE1858&lt;&gt;"")*(COLUMN(AC1858:AE1858)-(COLUMN(AC1858)-2))))-1),"")</f>
        <v>ARCHIVED</v>
      </c>
      <c r="M1858" s="13" t="n">
        <f aca="true">K1858-TODAY()</f>
        <v>-271</v>
      </c>
      <c r="N1858" s="18" t="s">
        <v>105</v>
      </c>
      <c r="O1858" s="13" t="s">
        <v>764</v>
      </c>
      <c r="P1858" s="19" t="n">
        <v>166666.666666667</v>
      </c>
      <c r="Q1858" s="20" t="s">
        <v>8073</v>
      </c>
      <c r="R1858" s="13" t="s">
        <v>83</v>
      </c>
      <c r="S1858" s="14" t="n">
        <v>35639</v>
      </c>
      <c r="T1858" s="13" t="s">
        <v>40</v>
      </c>
      <c r="U1858" s="13" t="s">
        <v>8074</v>
      </c>
      <c r="V1858" s="13" t="s">
        <v>42</v>
      </c>
      <c r="W1858" s="13" t="s">
        <v>43</v>
      </c>
      <c r="X1858" s="21" t="n">
        <v>81553976746</v>
      </c>
      <c r="Y1858" s="22" t="str">
        <f aca="false">O1858</f>
        <v>Operator</v>
      </c>
      <c r="Z1858" s="13" t="str">
        <f aca="false">IFERROR(__xludf.dummyfunction("if(BJ1858="""","""",GOOGLETRANSLATE(BJ1858,""auto"",""en""))"),"Operator")</f>
        <v>Operator</v>
      </c>
      <c r="AA1858" s="23" t="str">
        <f aca="false">IF(C1858="","", CHOOSE(MONTH(C1858),"January","February","March","April","May","June","July","August","September","October","November","December")&amp;" "&amp;DAY(C1858)&amp;MID("thstndrdth",MIN(9,2*RIGHT(DAY(C1858))*(MOD(DAY(C1858)-11,100)&gt;2)+1),2)&amp;","&amp;TEXT(C1858," yyyy"))</f>
        <v>February 1st,2025</v>
      </c>
      <c r="AB1858" s="15" t="str">
        <f aca="true">IF(S1858="","",DATEDIF(S1858,TODAY(),"Y")&amp;" Tahun, "&amp;DATEDIF(S1858,TODAY(),"YM")&amp;" Bulan, "&amp;DATEDIF(S1858,TODAY(),"MD")&amp;" Hari")</f>
        <v>29 Tahun, 3 Bulan, 1 Hari</v>
      </c>
      <c r="AC1858" s="18" t="n">
        <v>45689</v>
      </c>
      <c r="AD1858" s="18" t="n">
        <v>46053</v>
      </c>
      <c r="AE1858" s="18" t="s">
        <v>44</v>
      </c>
    </row>
    <row r="1859" customFormat="false" ht="15" hidden="false" customHeight="true" outlineLevel="0" collapsed="false">
      <c r="A1859" s="12" t="n">
        <v>18566</v>
      </c>
      <c r="B1859" s="13" t="s">
        <v>8075</v>
      </c>
      <c r="C1859" s="14" t="n">
        <v>45689</v>
      </c>
      <c r="D1859" s="13" t="s">
        <v>8071</v>
      </c>
      <c r="E1859" s="15" t="s">
        <v>47</v>
      </c>
      <c r="F1859" s="15" t="str">
        <f aca="false">IFERROR(__xludf.dummyfunction("XLOOKUP(AJ1859,IMPORTRANGE(""1XaInW9DU9nz21V0tYIfzFQ0He9kVQ_JF2mCXgZ3hqFA"",""REKAP ALL 2026 - Andika!G:G""),IMPORTRANGE(""1XaInW9DU9nz21V0tYIfzFQ0He9kVQ_JF2mCXgZ3hqFA"",""REKAP ALL 2026 - Andika!F:F""),"""",0)"),"25026104312")</f>
        <v>25026104312</v>
      </c>
      <c r="G1859" s="13" t="s">
        <v>8076</v>
      </c>
      <c r="H1859" s="13" t="s">
        <v>35</v>
      </c>
      <c r="I1859" s="13" t="str">
        <f aca="false">IF(C1859=J1859,"NEW KONTRAK","RE-KONTRAK")</f>
        <v>NEW KONTRAK</v>
      </c>
      <c r="J1859" s="16" t="n">
        <f aca="false" t="array" ref="J1859:J1859">IFERROR(INDEX(AC1859:AE1859,IF(COUNTA(AC1859:AE1859)=0,"",MAX((AC1859:AE1859&lt;&gt;"")*(COLUMN(AC1859:AE1859)-(COLUMN(AC1859)))))-1),"")</f>
        <v>45689</v>
      </c>
      <c r="K1859" s="16" t="n">
        <f aca="false" t="array" ref="K1859:K1859">IFERROR(INDEX(AC1859:AE1859,IF(COUNTA(AC1859:AE1859)=0,"",MAX((AC1859:AE1859&lt;&gt;"")*(COLUMN(AC1859:AE1859)-(COLUMN(AC1859)-1))))-1),"")</f>
        <v>46053</v>
      </c>
      <c r="L1859" s="17" t="str">
        <f aca="false" t="array" ref="L1859:L1859">IFERROR(INDEX(AC1859:AE1859,IF(COUNTA(AC1859:AE1859)=0,"",MAX((AC1859:AE1859&lt;&gt;"")*(COLUMN(AC1859:AE1859)-(COLUMN(AC1859)-2))))-1),"")</f>
        <v>ARCHIVED</v>
      </c>
      <c r="M1859" s="13" t="n">
        <f aca="true">K1859-TODAY()</f>
        <v>-271</v>
      </c>
      <c r="N1859" s="18" t="s">
        <v>105</v>
      </c>
      <c r="O1859" s="13" t="s">
        <v>764</v>
      </c>
      <c r="P1859" s="19" t="n">
        <v>166666.666666667</v>
      </c>
      <c r="Q1859" s="20" t="s">
        <v>8077</v>
      </c>
      <c r="R1859" s="13" t="s">
        <v>39</v>
      </c>
      <c r="S1859" s="14" t="n">
        <v>31794</v>
      </c>
      <c r="T1859" s="13" t="s">
        <v>40</v>
      </c>
      <c r="U1859" s="13" t="s">
        <v>8078</v>
      </c>
      <c r="V1859" s="13" t="s">
        <v>42</v>
      </c>
      <c r="W1859" s="13" t="s">
        <v>43</v>
      </c>
      <c r="X1859" s="21" t="n">
        <v>85733762606</v>
      </c>
      <c r="Y1859" s="22" t="str">
        <f aca="false">O1859</f>
        <v>Operator</v>
      </c>
      <c r="Z1859" s="13" t="str">
        <f aca="false">IFERROR(__xludf.dummyfunction("if(BJ1859="""","""",GOOGLETRANSLATE(BJ1859,""auto"",""en""))"),"Operator")</f>
        <v>Operator</v>
      </c>
      <c r="AA1859" s="23" t="str">
        <f aca="false">IF(C1859="","", CHOOSE(MONTH(C1859),"January","February","March","April","May","June","July","August","September","October","November","December")&amp;" "&amp;DAY(C1859)&amp;MID("thstndrdth",MIN(9,2*RIGHT(DAY(C1859))*(MOD(DAY(C1859)-11,100)&gt;2)+1),2)&amp;","&amp;TEXT(C1859," yyyy"))</f>
        <v>February 1st,2025</v>
      </c>
      <c r="AB1859" s="15" t="str">
        <f aca="true">IF(S1859="","",DATEDIF(S1859,TODAY(),"Y")&amp;" Tahun, "&amp;DATEDIF(S1859,TODAY(),"YM")&amp;" Bulan, "&amp;DATEDIF(S1859,TODAY(),"MD")&amp;" Hari")</f>
        <v>39 Tahun, 9 Bulan, 12 Hari</v>
      </c>
      <c r="AC1859" s="18" t="n">
        <v>45689</v>
      </c>
      <c r="AD1859" s="18" t="n">
        <v>46053</v>
      </c>
      <c r="AE1859" s="18" t="s">
        <v>44</v>
      </c>
    </row>
    <row r="1860" customFormat="false" ht="15" hidden="false" customHeight="true" outlineLevel="0" collapsed="false">
      <c r="A1860" s="12" t="n">
        <v>18567</v>
      </c>
      <c r="B1860" s="13" t="s">
        <v>8079</v>
      </c>
      <c r="C1860" s="14" t="n">
        <v>45689</v>
      </c>
      <c r="D1860" s="13" t="s">
        <v>8071</v>
      </c>
      <c r="E1860" s="15" t="s">
        <v>47</v>
      </c>
      <c r="F1860" s="15" t="str">
        <f aca="false">IFERROR(__xludf.dummyfunction("XLOOKUP(AJ1860,IMPORTRANGE(""1XaInW9DU9nz21V0tYIfzFQ0He9kVQ_JF2mCXgZ3hqFA"",""REKAP ALL 2026 - Andika!G:G""),IMPORTRANGE(""1XaInW9DU9nz21V0tYIfzFQ0He9kVQ_JF2mCXgZ3hqFA"",""REKAP ALL 2026 - Andika!F:F""),"""",0)"),"25026104296")</f>
        <v>25026104296</v>
      </c>
      <c r="G1860" s="13" t="s">
        <v>8080</v>
      </c>
      <c r="H1860" s="13" t="s">
        <v>35</v>
      </c>
      <c r="I1860" s="13" t="str">
        <f aca="false">IF(C1860=J1860,"NEW KONTRAK","RE-KONTRAK")</f>
        <v>NEW KONTRAK</v>
      </c>
      <c r="J1860" s="16" t="n">
        <f aca="false" t="array" ref="J1860:J1860">IFERROR(INDEX(AC1860:AE1860,IF(COUNTA(AC1860:AE1860)=0,"",MAX((AC1860:AE1860&lt;&gt;"")*(COLUMN(AC1860:AE1860)-(COLUMN(AC1860)))))-1),"")</f>
        <v>45689</v>
      </c>
      <c r="K1860" s="16" t="n">
        <f aca="false" t="array" ref="K1860:K1860">IFERROR(INDEX(AC1860:AE1860,IF(COUNTA(AC1860:AE1860)=0,"",MAX((AC1860:AE1860&lt;&gt;"")*(COLUMN(AC1860:AE1860)-(COLUMN(AC1860)-1))))-1),"")</f>
        <v>46053</v>
      </c>
      <c r="L1860" s="17" t="str">
        <f aca="false" t="array" ref="L1860:L1860">IFERROR(INDEX(AC1860:AE1860,IF(COUNTA(AC1860:AE1860)=0,"",MAX((AC1860:AE1860&lt;&gt;"")*(COLUMN(AC1860:AE1860)-(COLUMN(AC1860)-2))))-1),"")</f>
        <v>ARCHIVED</v>
      </c>
      <c r="M1860" s="13" t="n">
        <f aca="true">K1860-TODAY()</f>
        <v>-271</v>
      </c>
      <c r="N1860" s="18" t="s">
        <v>105</v>
      </c>
      <c r="O1860" s="13" t="s">
        <v>764</v>
      </c>
      <c r="P1860" s="19" t="n">
        <v>166666.666666667</v>
      </c>
      <c r="Q1860" s="20" t="s">
        <v>8081</v>
      </c>
      <c r="R1860" s="13" t="s">
        <v>39</v>
      </c>
      <c r="S1860" s="14" t="n">
        <v>33315</v>
      </c>
      <c r="T1860" s="13" t="s">
        <v>40</v>
      </c>
      <c r="U1860" s="13" t="s">
        <v>8082</v>
      </c>
      <c r="V1860" s="13" t="s">
        <v>42</v>
      </c>
      <c r="W1860" s="13" t="s">
        <v>54</v>
      </c>
      <c r="X1860" s="21" t="n">
        <v>8984444772</v>
      </c>
      <c r="Y1860" s="22" t="str">
        <f aca="false">O1860</f>
        <v>Operator</v>
      </c>
      <c r="Z1860" s="13" t="str">
        <f aca="false">IFERROR(__xludf.dummyfunction("if(BJ1860="""","""",GOOGLETRANSLATE(BJ1860,""auto"",""en""))"),"Operator")</f>
        <v>Operator</v>
      </c>
      <c r="AA1860" s="23" t="str">
        <f aca="false">IF(C1860="","", CHOOSE(MONTH(C1860),"January","February","March","April","May","June","July","August","September","October","November","December")&amp;" "&amp;DAY(C1860)&amp;MID("thstndrdth",MIN(9,2*RIGHT(DAY(C1860))*(MOD(DAY(C1860)-11,100)&gt;2)+1),2)&amp;","&amp;TEXT(C1860," yyyy"))</f>
        <v>February 1st,2025</v>
      </c>
      <c r="AB1860" s="15" t="str">
        <f aca="true">IF(S1860="","",DATEDIF(S1860,TODAY(),"Y")&amp;" Tahun, "&amp;DATEDIF(S1860,TODAY(),"YM")&amp;" Bulan, "&amp;DATEDIF(S1860,TODAY(),"MD")&amp;" Hari")</f>
        <v>35 Tahun, 7 Bulan, 11 Hari</v>
      </c>
      <c r="AC1860" s="18" t="n">
        <v>45689</v>
      </c>
      <c r="AD1860" s="18" t="n">
        <v>46053</v>
      </c>
      <c r="AE1860" s="18" t="s">
        <v>44</v>
      </c>
    </row>
    <row r="1861" customFormat="false" ht="15" hidden="false" customHeight="true" outlineLevel="0" collapsed="false">
      <c r="A1861" s="12" t="n">
        <v>18569</v>
      </c>
      <c r="B1861" s="13" t="s">
        <v>8083</v>
      </c>
      <c r="C1861" s="14" t="n">
        <v>45689</v>
      </c>
      <c r="D1861" s="13" t="s">
        <v>8071</v>
      </c>
      <c r="E1861" s="15" t="s">
        <v>47</v>
      </c>
      <c r="F1861" s="15" t="str">
        <f aca="false">IFERROR(__xludf.dummyfunction("XLOOKUP(AJ1861,IMPORTRANGE(""1XaInW9DU9nz21V0tYIfzFQ0He9kVQ_JF2mCXgZ3hqFA"",""REKAP ALL 2026 - Andika!G:G""),IMPORTRANGE(""1XaInW9DU9nz21V0tYIfzFQ0He9kVQ_JF2mCXgZ3hqFA"",""REKAP ALL 2026 - Andika!F:F""),"""",0)"),"25026104270")</f>
        <v>25026104270</v>
      </c>
      <c r="G1861" s="13" t="s">
        <v>8084</v>
      </c>
      <c r="H1861" s="13" t="s">
        <v>35</v>
      </c>
      <c r="I1861" s="13" t="str">
        <f aca="false">IF(C1861=J1861,"NEW KONTRAK","RE-KONTRAK")</f>
        <v>NEW KONTRAK</v>
      </c>
      <c r="J1861" s="16" t="n">
        <f aca="false" t="array" ref="J1861:J1861">IFERROR(INDEX(AC1861:AE1861,IF(COUNTA(AC1861:AE1861)=0,"",MAX((AC1861:AE1861&lt;&gt;"")*(COLUMN(AC1861:AE1861)-(COLUMN(AC1861)))))-1),"")</f>
        <v>45689</v>
      </c>
      <c r="K1861" s="16" t="n">
        <f aca="false" t="array" ref="K1861:K1861">IFERROR(INDEX(AC1861:AE1861,IF(COUNTA(AC1861:AE1861)=0,"",MAX((AC1861:AE1861&lt;&gt;"")*(COLUMN(AC1861:AE1861)-(COLUMN(AC1861)-1))))-1),"")</f>
        <v>46053</v>
      </c>
      <c r="L1861" s="17" t="str">
        <f aca="false" t="array" ref="L1861:L1861">IFERROR(INDEX(AC1861:AE1861,IF(COUNTA(AC1861:AE1861)=0,"",MAX((AC1861:AE1861&lt;&gt;"")*(COLUMN(AC1861:AE1861)-(COLUMN(AC1861)-2))))-1),"")</f>
        <v>ARCHIVED</v>
      </c>
      <c r="M1861" s="13" t="n">
        <f aca="true">K1861-TODAY()</f>
        <v>-271</v>
      </c>
      <c r="N1861" s="18" t="s">
        <v>105</v>
      </c>
      <c r="O1861" s="13" t="s">
        <v>764</v>
      </c>
      <c r="P1861" s="19" t="n">
        <v>166666.666666667</v>
      </c>
      <c r="Q1861" s="20" t="s">
        <v>8085</v>
      </c>
      <c r="R1861" s="13" t="s">
        <v>1214</v>
      </c>
      <c r="S1861" s="14" t="n">
        <v>38443</v>
      </c>
      <c r="T1861" s="13" t="s">
        <v>40</v>
      </c>
      <c r="U1861" s="13" t="s">
        <v>8086</v>
      </c>
      <c r="V1861" s="13" t="s">
        <v>42</v>
      </c>
      <c r="W1861" s="13" t="s">
        <v>43</v>
      </c>
      <c r="X1861" s="21" t="n">
        <v>81235513015</v>
      </c>
      <c r="Y1861" s="22" t="str">
        <f aca="false">O1861</f>
        <v>Operator</v>
      </c>
      <c r="Z1861" s="13" t="str">
        <f aca="false">IFERROR(__xludf.dummyfunction("if(BJ1861="""","""",GOOGLETRANSLATE(BJ1861,""auto"",""en""))"),"Operator")</f>
        <v>Operator</v>
      </c>
      <c r="AA1861" s="23" t="str">
        <f aca="false">IF(C1861="","", CHOOSE(MONTH(C1861),"January","February","March","April","May","June","July","August","September","October","November","December")&amp;" "&amp;DAY(C1861)&amp;MID("thstndrdth",MIN(9,2*RIGHT(DAY(C1861))*(MOD(DAY(C1861)-11,100)&gt;2)+1),2)&amp;","&amp;TEXT(C1861," yyyy"))</f>
        <v>February 1st,2025</v>
      </c>
      <c r="AB1861" s="15" t="str">
        <f aca="true">IF(S1861="","",DATEDIF(S1861,TODAY(),"Y")&amp;" Tahun, "&amp;DATEDIF(S1861,TODAY(),"YM")&amp;" Bulan, "&amp;DATEDIF(S1861,TODAY(),"MD")&amp;" Hari")</f>
        <v>21 Tahun, 6 Bulan, 28 Hari</v>
      </c>
      <c r="AC1861" s="18" t="n">
        <v>45689</v>
      </c>
      <c r="AD1861" s="18" t="n">
        <v>46053</v>
      </c>
      <c r="AE1861" s="18" t="s">
        <v>44</v>
      </c>
    </row>
    <row r="1862" customFormat="false" ht="15" hidden="false" customHeight="true" outlineLevel="0" collapsed="false">
      <c r="A1862" s="12" t="n">
        <v>18570</v>
      </c>
      <c r="B1862" s="13" t="s">
        <v>8087</v>
      </c>
      <c r="C1862" s="14" t="n">
        <v>45689</v>
      </c>
      <c r="D1862" s="13" t="s">
        <v>8071</v>
      </c>
      <c r="E1862" s="15" t="s">
        <v>47</v>
      </c>
      <c r="F1862" s="15" t="str">
        <f aca="false">IFERROR(__xludf.dummyfunction("XLOOKUP(AJ1862,IMPORTRANGE(""1XaInW9DU9nz21V0tYIfzFQ0He9kVQ_JF2mCXgZ3hqFA"",""REKAP ALL 2026 - Andika!G:G""),IMPORTRANGE(""1XaInW9DU9nz21V0tYIfzFQ0He9kVQ_JF2mCXgZ3hqFA"",""REKAP ALL 2026 - Andika!F:F""),"""",0)"),"25026104353")</f>
        <v>25026104353</v>
      </c>
      <c r="G1862" s="13" t="s">
        <v>8088</v>
      </c>
      <c r="H1862" s="13" t="s">
        <v>35</v>
      </c>
      <c r="I1862" s="13" t="str">
        <f aca="false">IF(C1862=J1862,"NEW KONTRAK","RE-KONTRAK")</f>
        <v>NEW KONTRAK</v>
      </c>
      <c r="J1862" s="16" t="n">
        <f aca="false" t="array" ref="J1862:J1862">IFERROR(INDEX(AC1862:AE1862,IF(COUNTA(AC1862:AE1862)=0,"",MAX((AC1862:AE1862&lt;&gt;"")*(COLUMN(AC1862:AE1862)-(COLUMN(AC1862)))))-1),"")</f>
        <v>45689</v>
      </c>
      <c r="K1862" s="16" t="n">
        <f aca="false" t="array" ref="K1862:K1862">IFERROR(INDEX(AC1862:AE1862,IF(COUNTA(AC1862:AE1862)=0,"",MAX((AC1862:AE1862&lt;&gt;"")*(COLUMN(AC1862:AE1862)-(COLUMN(AC1862)-1))))-1),"")</f>
        <v>46053</v>
      </c>
      <c r="L1862" s="17" t="str">
        <f aca="false" t="array" ref="L1862:L1862">IFERROR(INDEX(AC1862:AE1862,IF(COUNTA(AC1862:AE1862)=0,"",MAX((AC1862:AE1862&lt;&gt;"")*(COLUMN(AC1862:AE1862)-(COLUMN(AC1862)-2))))-1),"")</f>
        <v>ARCHIVED</v>
      </c>
      <c r="M1862" s="13" t="n">
        <f aca="true">K1862-TODAY()</f>
        <v>-271</v>
      </c>
      <c r="N1862" s="18" t="s">
        <v>105</v>
      </c>
      <c r="O1862" s="13" t="s">
        <v>764</v>
      </c>
      <c r="P1862" s="19" t="n">
        <v>166666.666666667</v>
      </c>
      <c r="Q1862" s="20" t="s">
        <v>8089</v>
      </c>
      <c r="R1862" s="13" t="s">
        <v>246</v>
      </c>
      <c r="S1862" s="14" t="n">
        <v>31018</v>
      </c>
      <c r="T1862" s="13" t="s">
        <v>40</v>
      </c>
      <c r="U1862" s="13" t="s">
        <v>8090</v>
      </c>
      <c r="V1862" s="13" t="s">
        <v>42</v>
      </c>
      <c r="W1862" s="13" t="s">
        <v>43</v>
      </c>
      <c r="X1862" s="21" t="n">
        <v>89647760111</v>
      </c>
      <c r="Y1862" s="22" t="str">
        <f aca="false">O1862</f>
        <v>Operator</v>
      </c>
      <c r="Z1862" s="13" t="str">
        <f aca="false">IFERROR(__xludf.dummyfunction("if(BJ1862="""","""",GOOGLETRANSLATE(BJ1862,""auto"",""en""))"),"Operator")</f>
        <v>Operator</v>
      </c>
      <c r="AA1862" s="23" t="str">
        <f aca="false">IF(C1862="","", CHOOSE(MONTH(C1862),"January","February","March","April","May","June","July","August","September","October","November","December")&amp;" "&amp;DAY(C1862)&amp;MID("thstndrdth",MIN(9,2*RIGHT(DAY(C1862))*(MOD(DAY(C1862)-11,100)&gt;2)+1),2)&amp;","&amp;TEXT(C1862," yyyy"))</f>
        <v>February 1st,2025</v>
      </c>
      <c r="AB1862" s="15" t="str">
        <f aca="true">IF(S1862="","",DATEDIF(S1862,TODAY(),"Y")&amp;" Tahun, "&amp;DATEDIF(S1862,TODAY(),"YM")&amp;" Bulan, "&amp;DATEDIF(S1862,TODAY(),"MD")&amp;" Hari")</f>
        <v>41 Tahun, 10 Bulan, 27 Hari</v>
      </c>
      <c r="AC1862" s="18" t="n">
        <v>45689</v>
      </c>
      <c r="AD1862" s="18" t="n">
        <v>46053</v>
      </c>
      <c r="AE1862" s="18" t="s">
        <v>44</v>
      </c>
    </row>
    <row r="1863" customFormat="false" ht="15" hidden="false" customHeight="true" outlineLevel="0" collapsed="false">
      <c r="A1863" s="12" t="n">
        <v>18571</v>
      </c>
      <c r="B1863" s="13" t="s">
        <v>8091</v>
      </c>
      <c r="C1863" s="14" t="n">
        <v>45689</v>
      </c>
      <c r="D1863" s="13" t="s">
        <v>8071</v>
      </c>
      <c r="E1863" s="15" t="s">
        <v>47</v>
      </c>
      <c r="F1863" s="15" t="str">
        <f aca="false">IFERROR(__xludf.dummyfunction("XLOOKUP(AJ1863,IMPORTRANGE(""1XaInW9DU9nz21V0tYIfzFQ0He9kVQ_JF2mCXgZ3hqFA"",""REKAP ALL 2026 - Andika!G:G""),IMPORTRANGE(""1XaInW9DU9nz21V0tYIfzFQ0He9kVQ_JF2mCXgZ3hqFA"",""REKAP ALL 2026 - Andika!F:F""),"""",0)"),"25026104411")</f>
        <v>25026104411</v>
      </c>
      <c r="G1863" s="13" t="s">
        <v>8092</v>
      </c>
      <c r="H1863" s="13" t="s">
        <v>35</v>
      </c>
      <c r="I1863" s="13" t="str">
        <f aca="false">IF(C1863=J1863,"NEW KONTRAK","RE-KONTRAK")</f>
        <v>NEW KONTRAK</v>
      </c>
      <c r="J1863" s="16" t="n">
        <f aca="false" t="array" ref="J1863:J1863">IFERROR(INDEX(AC1863:AE1863,IF(COUNTA(AC1863:AE1863)=0,"",MAX((AC1863:AE1863&lt;&gt;"")*(COLUMN(AC1863:AE1863)-(COLUMN(AC1863)))))-1),"")</f>
        <v>45689</v>
      </c>
      <c r="K1863" s="16" t="n">
        <f aca="false" t="array" ref="K1863:K1863">IFERROR(INDEX(AC1863:AE1863,IF(COUNTA(AC1863:AE1863)=0,"",MAX((AC1863:AE1863&lt;&gt;"")*(COLUMN(AC1863:AE1863)-(COLUMN(AC1863)-1))))-1),"")</f>
        <v>46053</v>
      </c>
      <c r="L1863" s="17" t="str">
        <f aca="false" t="array" ref="L1863:L1863">IFERROR(INDEX(AC1863:AE1863,IF(COUNTA(AC1863:AE1863)=0,"",MAX((AC1863:AE1863&lt;&gt;"")*(COLUMN(AC1863:AE1863)-(COLUMN(AC1863)-2))))-1),"")</f>
        <v>ARCHIVED</v>
      </c>
      <c r="M1863" s="13" t="n">
        <f aca="true">K1863-TODAY()</f>
        <v>-271</v>
      </c>
      <c r="N1863" s="18" t="s">
        <v>105</v>
      </c>
      <c r="O1863" s="13" t="s">
        <v>764</v>
      </c>
      <c r="P1863" s="19" t="n">
        <v>166666.666666667</v>
      </c>
      <c r="Q1863" s="20" t="s">
        <v>8093</v>
      </c>
      <c r="R1863" s="13" t="s">
        <v>735</v>
      </c>
      <c r="S1863" s="14" t="n">
        <v>37013</v>
      </c>
      <c r="T1863" s="13" t="s">
        <v>40</v>
      </c>
      <c r="U1863" s="13" t="s">
        <v>8094</v>
      </c>
      <c r="V1863" s="13" t="s">
        <v>42</v>
      </c>
      <c r="W1863" s="13" t="s">
        <v>43</v>
      </c>
      <c r="X1863" s="21" t="n">
        <v>81515135493</v>
      </c>
      <c r="Y1863" s="22" t="str">
        <f aca="false">O1863</f>
        <v>Operator</v>
      </c>
      <c r="Z1863" s="13" t="str">
        <f aca="false">IFERROR(__xludf.dummyfunction("if(BJ1863="""","""",GOOGLETRANSLATE(BJ1863,""auto"",""en""))"),"Operator")</f>
        <v>Operator</v>
      </c>
      <c r="AA1863" s="23" t="str">
        <f aca="false">IF(C1863="","", CHOOSE(MONTH(C1863),"January","February","March","April","May","June","July","August","September","October","November","December")&amp;" "&amp;DAY(C1863)&amp;MID("thstndrdth",MIN(9,2*RIGHT(DAY(C1863))*(MOD(DAY(C1863)-11,100)&gt;2)+1),2)&amp;","&amp;TEXT(C1863," yyyy"))</f>
        <v>February 1st,2025</v>
      </c>
      <c r="AB1863" s="15" t="str">
        <f aca="true">IF(S1863="","",DATEDIF(S1863,TODAY(),"Y")&amp;" Tahun, "&amp;DATEDIF(S1863,TODAY(),"YM")&amp;" Bulan, "&amp;DATEDIF(S1863,TODAY(),"MD")&amp;" Hari")</f>
        <v>25 Tahun, 5 Bulan, 27 Hari</v>
      </c>
      <c r="AC1863" s="18" t="n">
        <v>45689</v>
      </c>
      <c r="AD1863" s="18" t="n">
        <v>46053</v>
      </c>
      <c r="AE1863" s="18" t="s">
        <v>44</v>
      </c>
    </row>
    <row r="1864" customFormat="false" ht="15" hidden="false" customHeight="true" outlineLevel="0" collapsed="false">
      <c r="A1864" s="12" t="n">
        <v>18573</v>
      </c>
      <c r="B1864" s="13" t="s">
        <v>8095</v>
      </c>
      <c r="C1864" s="14" t="n">
        <v>45689</v>
      </c>
      <c r="D1864" s="13" t="s">
        <v>8071</v>
      </c>
      <c r="E1864" s="15" t="s">
        <v>47</v>
      </c>
      <c r="F1864" s="15" t="str">
        <f aca="false">IFERROR(__xludf.dummyfunction("XLOOKUP(AJ1864,IMPORTRANGE(""1XaInW9DU9nz21V0tYIfzFQ0He9kVQ_JF2mCXgZ3hqFA"",""REKAP ALL 2026 - Andika!G:G""),IMPORTRANGE(""1XaInW9DU9nz21V0tYIfzFQ0He9kVQ_JF2mCXgZ3hqFA"",""REKAP ALL 2026 - Andika!F:F""),"""",0)"),"25026104304")</f>
        <v>25026104304</v>
      </c>
      <c r="G1864" s="13" t="s">
        <v>8096</v>
      </c>
      <c r="H1864" s="13" t="s">
        <v>35</v>
      </c>
      <c r="I1864" s="13" t="str">
        <f aca="false">IF(C1864=J1864,"NEW KONTRAK","RE-KONTRAK")</f>
        <v>NEW KONTRAK</v>
      </c>
      <c r="J1864" s="16" t="n">
        <f aca="false" t="array" ref="J1864:J1864">IFERROR(INDEX(AC1864:AE1864,IF(COUNTA(AC1864:AE1864)=0,"",MAX((AC1864:AE1864&lt;&gt;"")*(COLUMN(AC1864:AE1864)-(COLUMN(AC1864)))))-1),"")</f>
        <v>45689</v>
      </c>
      <c r="K1864" s="16" t="n">
        <f aca="false" t="array" ref="K1864:K1864">IFERROR(INDEX(AC1864:AE1864,IF(COUNTA(AC1864:AE1864)=0,"",MAX((AC1864:AE1864&lt;&gt;"")*(COLUMN(AC1864:AE1864)-(COLUMN(AC1864)-1))))-1),"")</f>
        <v>46053</v>
      </c>
      <c r="L1864" s="17" t="str">
        <f aca="false" t="array" ref="L1864:L1864">IFERROR(INDEX(AC1864:AE1864,IF(COUNTA(AC1864:AE1864)=0,"",MAX((AC1864:AE1864&lt;&gt;"")*(COLUMN(AC1864:AE1864)-(COLUMN(AC1864)-2))))-1),"")</f>
        <v>ARCHIVED</v>
      </c>
      <c r="M1864" s="13" t="n">
        <f aca="true">K1864-TODAY()</f>
        <v>-271</v>
      </c>
      <c r="N1864" s="18" t="s">
        <v>105</v>
      </c>
      <c r="O1864" s="13" t="s">
        <v>764</v>
      </c>
      <c r="P1864" s="19" t="n">
        <v>142857.142857143</v>
      </c>
      <c r="Q1864" s="20" t="s">
        <v>8097</v>
      </c>
      <c r="R1864" s="13" t="s">
        <v>39</v>
      </c>
      <c r="S1864" s="14" t="n">
        <v>35128</v>
      </c>
      <c r="T1864" s="13" t="s">
        <v>40</v>
      </c>
      <c r="U1864" s="13" t="s">
        <v>8098</v>
      </c>
      <c r="V1864" s="13" t="s">
        <v>42</v>
      </c>
      <c r="W1864" s="13" t="s">
        <v>43</v>
      </c>
      <c r="X1864" s="21" t="n">
        <v>895342034373</v>
      </c>
      <c r="Y1864" s="22" t="str">
        <f aca="false">O1864</f>
        <v>Operator</v>
      </c>
      <c r="Z1864" s="13" t="str">
        <f aca="false">IFERROR(__xludf.dummyfunction("if(BJ1864="""","""",GOOGLETRANSLATE(BJ1864,""auto"",""en""))"),"Operator")</f>
        <v>Operator</v>
      </c>
      <c r="AA1864" s="23" t="str">
        <f aca="false">IF(C1864="","", CHOOSE(MONTH(C1864),"January","February","March","April","May","June","July","August","September","October","November","December")&amp;" "&amp;DAY(C1864)&amp;MID("thstndrdth",MIN(9,2*RIGHT(DAY(C1864))*(MOD(DAY(C1864)-11,100)&gt;2)+1),2)&amp;","&amp;TEXT(C1864," yyyy"))</f>
        <v>February 1st,2025</v>
      </c>
      <c r="AB1864" s="15" t="str">
        <f aca="true">IF(S1864="","",DATEDIF(S1864,TODAY(),"Y")&amp;" Tahun, "&amp;DATEDIF(S1864,TODAY(),"YM")&amp;" Bulan, "&amp;DATEDIF(S1864,TODAY(),"MD")&amp;" Hari")</f>
        <v>30 Tahun, 7 Bulan, 25 Hari</v>
      </c>
      <c r="AC1864" s="18" t="n">
        <v>45689</v>
      </c>
      <c r="AD1864" s="18" t="n">
        <v>46053</v>
      </c>
      <c r="AE1864" s="18" t="s">
        <v>44</v>
      </c>
    </row>
    <row r="1865" customFormat="false" ht="15" hidden="false" customHeight="true" outlineLevel="0" collapsed="false">
      <c r="A1865" s="12" t="n">
        <v>18574</v>
      </c>
      <c r="B1865" s="13" t="s">
        <v>8099</v>
      </c>
      <c r="C1865" s="14" t="n">
        <v>45689</v>
      </c>
      <c r="D1865" s="13" t="s">
        <v>8071</v>
      </c>
      <c r="E1865" s="15" t="s">
        <v>47</v>
      </c>
      <c r="F1865" s="15" t="str">
        <f aca="false">IFERROR(__xludf.dummyfunction("XLOOKUP(AJ1865,IMPORTRANGE(""1XaInW9DU9nz21V0tYIfzFQ0He9kVQ_JF2mCXgZ3hqFA"",""REKAP ALL 2026 - Andika!G:G""),IMPORTRANGE(""1XaInW9DU9nz21V0tYIfzFQ0He9kVQ_JF2mCXgZ3hqFA"",""REKAP ALL 2026 - Andika!F:F""),"""",0)"),"25026104387")</f>
        <v>25026104387</v>
      </c>
      <c r="G1865" s="13" t="s">
        <v>8100</v>
      </c>
      <c r="H1865" s="13" t="s">
        <v>35</v>
      </c>
      <c r="I1865" s="13" t="str">
        <f aca="false">IF(C1865=J1865,"NEW KONTRAK","RE-KONTRAK")</f>
        <v>NEW KONTRAK</v>
      </c>
      <c r="J1865" s="16" t="n">
        <f aca="false" t="array" ref="J1865:J1865">IFERROR(INDEX(AC1865:AE1865,IF(COUNTA(AC1865:AE1865)=0,"",MAX((AC1865:AE1865&lt;&gt;"")*(COLUMN(AC1865:AE1865)-(COLUMN(AC1865)))))-1),"")</f>
        <v>45689</v>
      </c>
      <c r="K1865" s="16" t="n">
        <f aca="false" t="array" ref="K1865:K1865">IFERROR(INDEX(AC1865:AE1865,IF(COUNTA(AC1865:AE1865)=0,"",MAX((AC1865:AE1865&lt;&gt;"")*(COLUMN(AC1865:AE1865)-(COLUMN(AC1865)-1))))-1),"")</f>
        <v>46053</v>
      </c>
      <c r="L1865" s="17" t="str">
        <f aca="false" t="array" ref="L1865:L1865">IFERROR(INDEX(AC1865:AE1865,IF(COUNTA(AC1865:AE1865)=0,"",MAX((AC1865:AE1865&lt;&gt;"")*(COLUMN(AC1865:AE1865)-(COLUMN(AC1865)-2))))-1),"")</f>
        <v>ARCHIVED</v>
      </c>
      <c r="M1865" s="13" t="n">
        <f aca="true">K1865-TODAY()</f>
        <v>-271</v>
      </c>
      <c r="N1865" s="18" t="s">
        <v>105</v>
      </c>
      <c r="O1865" s="13" t="s">
        <v>764</v>
      </c>
      <c r="P1865" s="19" t="n">
        <v>142857.142857143</v>
      </c>
      <c r="Q1865" s="20" t="s">
        <v>8101</v>
      </c>
      <c r="R1865" s="13" t="s">
        <v>241</v>
      </c>
      <c r="S1865" s="14" t="n">
        <v>36885</v>
      </c>
      <c r="T1865" s="13" t="s">
        <v>40</v>
      </c>
      <c r="U1865" s="13" t="s">
        <v>8102</v>
      </c>
      <c r="V1865" s="13" t="s">
        <v>42</v>
      </c>
      <c r="W1865" s="13" t="s">
        <v>43</v>
      </c>
      <c r="X1865" s="21" t="n">
        <v>88228264437</v>
      </c>
      <c r="Y1865" s="22" t="str">
        <f aca="false">O1865</f>
        <v>Operator</v>
      </c>
      <c r="Z1865" s="13" t="str">
        <f aca="false">IFERROR(__xludf.dummyfunction("if(BJ1865="""","""",GOOGLETRANSLATE(BJ1865,""auto"",""en""))"),"Operator")</f>
        <v>Operator</v>
      </c>
      <c r="AA1865" s="23" t="str">
        <f aca="false">IF(C1865="","", CHOOSE(MONTH(C1865),"January","February","March","April","May","June","July","August","September","October","November","December")&amp;" "&amp;DAY(C1865)&amp;MID("thstndrdth",MIN(9,2*RIGHT(DAY(C1865))*(MOD(DAY(C1865)-11,100)&gt;2)+1),2)&amp;","&amp;TEXT(C1865," yyyy"))</f>
        <v>February 1st,2025</v>
      </c>
      <c r="AB1865" s="15" t="str">
        <f aca="true">IF(S1865="","",DATEDIF(S1865,TODAY(),"Y")&amp;" Tahun, "&amp;DATEDIF(S1865,TODAY(),"YM")&amp;" Bulan, "&amp;DATEDIF(S1865,TODAY(),"MD")&amp;" Hari")</f>
        <v>25 Tahun, 10 Bulan, 4 Hari</v>
      </c>
      <c r="AC1865" s="18" t="n">
        <v>45689</v>
      </c>
      <c r="AD1865" s="18" t="n">
        <v>46053</v>
      </c>
      <c r="AE1865" s="18" t="s">
        <v>44</v>
      </c>
    </row>
    <row r="1866" customFormat="false" ht="15" hidden="false" customHeight="true" outlineLevel="0" collapsed="false">
      <c r="A1866" s="12" t="n">
        <v>18575</v>
      </c>
      <c r="B1866" s="13" t="s">
        <v>8103</v>
      </c>
      <c r="C1866" s="14" t="n">
        <v>45689</v>
      </c>
      <c r="D1866" s="13" t="s">
        <v>8071</v>
      </c>
      <c r="E1866" s="15" t="s">
        <v>102</v>
      </c>
      <c r="F1866" s="15" t="str">
        <f aca="false">IFERROR(__xludf.dummyfunction("XLOOKUP(AJ1866,IMPORTRANGE(""1XaInW9DU9nz21V0tYIfzFQ0He9kVQ_JF2mCXgZ3hqFA"",""REKAP ALL 2026 - Andika!G:G""),IMPORTRANGE(""1XaInW9DU9nz21V0tYIfzFQ0He9kVQ_JF2mCXgZ3hqFA"",""REKAP ALL 2026 - Andika!F:F""),"""",0)"),"25026104288")</f>
        <v>25026104288</v>
      </c>
      <c r="G1866" s="13" t="s">
        <v>8104</v>
      </c>
      <c r="H1866" s="13" t="s">
        <v>35</v>
      </c>
      <c r="I1866" s="13" t="str">
        <f aca="false">IF(C1866=J1866,"NEW KONTRAK","RE-KONTRAK")</f>
        <v>NEW KONTRAK</v>
      </c>
      <c r="J1866" s="16" t="n">
        <f aca="false" t="array" ref="J1866:J1866">IFERROR(INDEX(AC1866:AE1866,IF(COUNTA(AC1866:AE1866)=0,"",MAX((AC1866:AE1866&lt;&gt;"")*(COLUMN(AC1866:AE1866)-(COLUMN(AC1866)))))-1),"")</f>
        <v>45689</v>
      </c>
      <c r="K1866" s="16" t="n">
        <f aca="false" t="array" ref="K1866:K1866">IFERROR(INDEX(AC1866:AE1866,IF(COUNTA(AC1866:AE1866)=0,"",MAX((AC1866:AE1866&lt;&gt;"")*(COLUMN(AC1866:AE1866)-(COLUMN(AC1866)-1))))-1),"")</f>
        <v>46053</v>
      </c>
      <c r="L1866" s="17" t="str">
        <f aca="false" t="array" ref="L1866:L1866">IFERROR(INDEX(AC1866:AE1866,IF(COUNTA(AC1866:AE1866)=0,"",MAX((AC1866:AE1866&lt;&gt;"")*(COLUMN(AC1866:AE1866)-(COLUMN(AC1866)-2))))-1),"")</f>
        <v>ARCHIVED</v>
      </c>
      <c r="M1866" s="13" t="n">
        <f aca="true">K1866-TODAY()</f>
        <v>-271</v>
      </c>
      <c r="N1866" s="18" t="s">
        <v>105</v>
      </c>
      <c r="O1866" s="13" t="s">
        <v>764</v>
      </c>
      <c r="P1866" s="19" t="n">
        <v>142857.142857143</v>
      </c>
      <c r="Q1866" s="20" t="s">
        <v>8105</v>
      </c>
      <c r="R1866" s="13" t="s">
        <v>8106</v>
      </c>
      <c r="S1866" s="14" t="n">
        <v>36167</v>
      </c>
      <c r="T1866" s="13" t="s">
        <v>40</v>
      </c>
      <c r="U1866" s="13" t="s">
        <v>8107</v>
      </c>
      <c r="V1866" s="13" t="s">
        <v>42</v>
      </c>
      <c r="W1866" s="13" t="s">
        <v>54</v>
      </c>
      <c r="X1866" s="21" t="n">
        <v>85736976950</v>
      </c>
      <c r="Y1866" s="22" t="str">
        <f aca="false">O1866</f>
        <v>Operator</v>
      </c>
      <c r="Z1866" s="13" t="str">
        <f aca="false">IFERROR(__xludf.dummyfunction("if(BJ1866="""","""",GOOGLETRANSLATE(BJ1866,""auto"",""en""))"),"Operator")</f>
        <v>Operator</v>
      </c>
      <c r="AA1866" s="23" t="str">
        <f aca="false">IF(C1866="","", CHOOSE(MONTH(C1866),"January","February","March","April","May","June","July","August","September","October","November","December")&amp;" "&amp;DAY(C1866)&amp;MID("thstndrdth",MIN(9,2*RIGHT(DAY(C1866))*(MOD(DAY(C1866)-11,100)&gt;2)+1),2)&amp;","&amp;TEXT(C1866," yyyy"))</f>
        <v>February 1st,2025</v>
      </c>
      <c r="AB1866" s="15" t="str">
        <f aca="true">IF(S1866="","",DATEDIF(S1866,TODAY(),"Y")&amp;" Tahun, "&amp;DATEDIF(S1866,TODAY(),"YM")&amp;" Bulan, "&amp;DATEDIF(S1866,TODAY(),"MD")&amp;" Hari")</f>
        <v>27 Tahun, 9 Bulan, 22 Hari</v>
      </c>
      <c r="AC1866" s="18" t="n">
        <v>45689</v>
      </c>
      <c r="AD1866" s="18" t="n">
        <v>46053</v>
      </c>
      <c r="AE1866" s="18" t="s">
        <v>44</v>
      </c>
    </row>
    <row r="1867" customFormat="false" ht="15" hidden="false" customHeight="true" outlineLevel="0" collapsed="false">
      <c r="A1867" s="12" t="n">
        <v>18576</v>
      </c>
      <c r="B1867" s="13" t="s">
        <v>8108</v>
      </c>
      <c r="C1867" s="14" t="n">
        <v>45689</v>
      </c>
      <c r="D1867" s="13" t="s">
        <v>8071</v>
      </c>
      <c r="E1867" s="15" t="s">
        <v>47</v>
      </c>
      <c r="F1867" s="15" t="str">
        <f aca="false">IFERROR(__xludf.dummyfunction("XLOOKUP(AJ1867,IMPORTRANGE(""1XaInW9DU9nz21V0tYIfzFQ0He9kVQ_JF2mCXgZ3hqFA"",""REKAP ALL 2026 - Andika!G:G""),IMPORTRANGE(""1XaInW9DU9nz21V0tYIfzFQ0He9kVQ_JF2mCXgZ3hqFA"",""REKAP ALL 2026 - Andika!F:F""),"""",0)"),"25026104338")</f>
        <v>25026104338</v>
      </c>
      <c r="G1867" s="13" t="s">
        <v>8109</v>
      </c>
      <c r="H1867" s="13" t="s">
        <v>35</v>
      </c>
      <c r="I1867" s="13" t="str">
        <f aca="false">IF(C1867=J1867,"NEW KONTRAK","RE-KONTRAK")</f>
        <v>NEW KONTRAK</v>
      </c>
      <c r="J1867" s="16" t="n">
        <f aca="false" t="array" ref="J1867:J1867">IFERROR(INDEX(AC1867:AE1867,IF(COUNTA(AC1867:AE1867)=0,"",MAX((AC1867:AE1867&lt;&gt;"")*(COLUMN(AC1867:AE1867)-(COLUMN(AC1867)))))-1),"")</f>
        <v>45689</v>
      </c>
      <c r="K1867" s="16" t="n">
        <f aca="false" t="array" ref="K1867:K1867">IFERROR(INDEX(AC1867:AE1867,IF(COUNTA(AC1867:AE1867)=0,"",MAX((AC1867:AE1867&lt;&gt;"")*(COLUMN(AC1867:AE1867)-(COLUMN(AC1867)-1))))-1),"")</f>
        <v>46053</v>
      </c>
      <c r="L1867" s="17" t="str">
        <f aca="false" t="array" ref="L1867:L1867">IFERROR(INDEX(AC1867:AE1867,IF(COUNTA(AC1867:AE1867)=0,"",MAX((AC1867:AE1867&lt;&gt;"")*(COLUMN(AC1867:AE1867)-(COLUMN(AC1867)-2))))-1),"")</f>
        <v>ARCHIVED</v>
      </c>
      <c r="M1867" s="13" t="n">
        <f aca="true">K1867-TODAY()</f>
        <v>-271</v>
      </c>
      <c r="N1867" s="18" t="s">
        <v>105</v>
      </c>
      <c r="O1867" s="13" t="s">
        <v>764</v>
      </c>
      <c r="P1867" s="19" t="n">
        <v>142857.142857143</v>
      </c>
      <c r="Q1867" s="20" t="s">
        <v>8110</v>
      </c>
      <c r="R1867" s="13" t="s">
        <v>168</v>
      </c>
      <c r="S1867" s="14" t="n">
        <v>36284</v>
      </c>
      <c r="T1867" s="13" t="s">
        <v>40</v>
      </c>
      <c r="U1867" s="13" t="s">
        <v>8111</v>
      </c>
      <c r="V1867" s="13" t="s">
        <v>42</v>
      </c>
      <c r="W1867" s="13" t="s">
        <v>43</v>
      </c>
      <c r="X1867" s="21" t="n">
        <v>85706766402</v>
      </c>
      <c r="Y1867" s="22" t="str">
        <f aca="false">O1867</f>
        <v>Operator</v>
      </c>
      <c r="Z1867" s="13" t="str">
        <f aca="false">IFERROR(__xludf.dummyfunction("if(BJ1867="""","""",GOOGLETRANSLATE(BJ1867,""auto"",""en""))"),"Operator")</f>
        <v>Operator</v>
      </c>
      <c r="AA1867" s="23" t="str">
        <f aca="false">IF(C1867="","", CHOOSE(MONTH(C1867),"January","February","March","April","May","June","July","August","September","October","November","December")&amp;" "&amp;DAY(C1867)&amp;MID("thstndrdth",MIN(9,2*RIGHT(DAY(C1867))*(MOD(DAY(C1867)-11,100)&gt;2)+1),2)&amp;","&amp;TEXT(C1867," yyyy"))</f>
        <v>February 1st,2025</v>
      </c>
      <c r="AB1867" s="15" t="str">
        <f aca="true">IF(S1867="","",DATEDIF(S1867,TODAY(),"Y")&amp;" Tahun, "&amp;DATEDIF(S1867,TODAY(),"YM")&amp;" Bulan, "&amp;DATEDIF(S1867,TODAY(),"MD")&amp;" Hari")</f>
        <v>27 Tahun, 5 Bulan, 25 Hari</v>
      </c>
      <c r="AC1867" s="18" t="n">
        <v>45689</v>
      </c>
      <c r="AD1867" s="18" t="n">
        <v>46053</v>
      </c>
      <c r="AE1867" s="18" t="s">
        <v>44</v>
      </c>
    </row>
    <row r="1868" customFormat="false" ht="15" hidden="false" customHeight="true" outlineLevel="0" collapsed="false">
      <c r="A1868" s="12" t="n">
        <v>18577</v>
      </c>
      <c r="B1868" s="13" t="s">
        <v>8112</v>
      </c>
      <c r="C1868" s="14" t="n">
        <v>45689</v>
      </c>
      <c r="D1868" s="13" t="s">
        <v>8071</v>
      </c>
      <c r="E1868" s="15" t="s">
        <v>47</v>
      </c>
      <c r="F1868" s="15" t="str">
        <f aca="false">IFERROR(__xludf.dummyfunction("XLOOKUP(AJ1868,IMPORTRANGE(""1XaInW9DU9nz21V0tYIfzFQ0He9kVQ_JF2mCXgZ3hqFA"",""REKAP ALL 2026 - Andika!G:G""),IMPORTRANGE(""1XaInW9DU9nz21V0tYIfzFQ0He9kVQ_JF2mCXgZ3hqFA"",""REKAP ALL 2026 - Andika!F:F""),"""",0)"),"25026104361")</f>
        <v>25026104361</v>
      </c>
      <c r="G1868" s="13" t="s">
        <v>8113</v>
      </c>
      <c r="H1868" s="13" t="s">
        <v>35</v>
      </c>
      <c r="I1868" s="13" t="str">
        <f aca="false">IF(C1868=J1868,"NEW KONTRAK","RE-KONTRAK")</f>
        <v>NEW KONTRAK</v>
      </c>
      <c r="J1868" s="16" t="n">
        <f aca="false" t="array" ref="J1868:J1868">IFERROR(INDEX(AC1868:AE1868,IF(COUNTA(AC1868:AE1868)=0,"",MAX((AC1868:AE1868&lt;&gt;"")*(COLUMN(AC1868:AE1868)-(COLUMN(AC1868)))))-1),"")</f>
        <v>45689</v>
      </c>
      <c r="K1868" s="16" t="n">
        <f aca="false" t="array" ref="K1868:K1868">IFERROR(INDEX(AC1868:AE1868,IF(COUNTA(AC1868:AE1868)=0,"",MAX((AC1868:AE1868&lt;&gt;"")*(COLUMN(AC1868:AE1868)-(COLUMN(AC1868)-1))))-1),"")</f>
        <v>46053</v>
      </c>
      <c r="L1868" s="17" t="str">
        <f aca="false" t="array" ref="L1868:L1868">IFERROR(INDEX(AC1868:AE1868,IF(COUNTA(AC1868:AE1868)=0,"",MAX((AC1868:AE1868&lt;&gt;"")*(COLUMN(AC1868:AE1868)-(COLUMN(AC1868)-2))))-1),"")</f>
        <v>ARCHIVED</v>
      </c>
      <c r="M1868" s="13" t="n">
        <f aca="true">K1868-TODAY()</f>
        <v>-271</v>
      </c>
      <c r="N1868" s="18" t="s">
        <v>105</v>
      </c>
      <c r="O1868" s="13" t="s">
        <v>764</v>
      </c>
      <c r="P1868" s="19" t="n">
        <v>142857.142857143</v>
      </c>
      <c r="Q1868" s="20" t="s">
        <v>8114</v>
      </c>
      <c r="R1868" s="13" t="s">
        <v>39</v>
      </c>
      <c r="S1868" s="14" t="n">
        <v>34343</v>
      </c>
      <c r="T1868" s="13" t="s">
        <v>40</v>
      </c>
      <c r="U1868" s="13" t="s">
        <v>8115</v>
      </c>
      <c r="V1868" s="13" t="s">
        <v>42</v>
      </c>
      <c r="W1868" s="13" t="s">
        <v>54</v>
      </c>
      <c r="X1868" s="21" t="n">
        <v>89695614906</v>
      </c>
      <c r="Y1868" s="22" t="str">
        <f aca="false">O1868</f>
        <v>Operator</v>
      </c>
      <c r="Z1868" s="13" t="str">
        <f aca="false">IFERROR(__xludf.dummyfunction("if(BJ1868="""","""",GOOGLETRANSLATE(BJ1868,""auto"",""en""))"),"Operator")</f>
        <v>Operator</v>
      </c>
      <c r="AA1868" s="23" t="str">
        <f aca="false">IF(C1868="","", CHOOSE(MONTH(C1868),"January","February","March","April","May","June","July","August","September","October","November","December")&amp;" "&amp;DAY(C1868)&amp;MID("thstndrdth",MIN(9,2*RIGHT(DAY(C1868))*(MOD(DAY(C1868)-11,100)&gt;2)+1),2)&amp;","&amp;TEXT(C1868," yyyy"))</f>
        <v>February 1st,2025</v>
      </c>
      <c r="AB1868" s="15" t="str">
        <f aca="true">IF(S1868="","",DATEDIF(S1868,TODAY(),"Y")&amp;" Tahun, "&amp;DATEDIF(S1868,TODAY(),"YM")&amp;" Bulan, "&amp;DATEDIF(S1868,TODAY(),"MD")&amp;" Hari")</f>
        <v>32 Tahun, 9 Bulan, 20 Hari</v>
      </c>
      <c r="AC1868" s="18" t="n">
        <v>45689</v>
      </c>
      <c r="AD1868" s="18" t="n">
        <v>46053</v>
      </c>
      <c r="AE1868" s="18" t="s">
        <v>44</v>
      </c>
    </row>
    <row r="1869" customFormat="false" ht="15" hidden="false" customHeight="true" outlineLevel="0" collapsed="false">
      <c r="A1869" s="12" t="n">
        <v>18578</v>
      </c>
      <c r="B1869" s="13" t="s">
        <v>8116</v>
      </c>
      <c r="C1869" s="14" t="n">
        <v>45689</v>
      </c>
      <c r="D1869" s="13" t="s">
        <v>8071</v>
      </c>
      <c r="E1869" s="15" t="s">
        <v>47</v>
      </c>
      <c r="F1869" s="15" t="str">
        <f aca="false">IFERROR(__xludf.dummyfunction("XLOOKUP(AJ1869,IMPORTRANGE(""1XaInW9DU9nz21V0tYIfzFQ0He9kVQ_JF2mCXgZ3hqFA"",""REKAP ALL 2026 - Andika!G:G""),IMPORTRANGE(""1XaInW9DU9nz21V0tYIfzFQ0He9kVQ_JF2mCXgZ3hqFA"",""REKAP ALL 2026 - Andika!F:F""),"""",0)"),"25026104320")</f>
        <v>25026104320</v>
      </c>
      <c r="G1869" s="13" t="s">
        <v>8117</v>
      </c>
      <c r="H1869" s="13" t="s">
        <v>35</v>
      </c>
      <c r="I1869" s="13" t="str">
        <f aca="false">IF(C1869=J1869,"NEW KONTRAK","RE-KONTRAK")</f>
        <v>NEW KONTRAK</v>
      </c>
      <c r="J1869" s="16" t="n">
        <f aca="false" t="array" ref="J1869:J1869">IFERROR(INDEX(AC1869:AE1869,IF(COUNTA(AC1869:AE1869)=0,"",MAX((AC1869:AE1869&lt;&gt;"")*(COLUMN(AC1869:AE1869)-(COLUMN(AC1869)))))-1),"")</f>
        <v>45689</v>
      </c>
      <c r="K1869" s="16" t="n">
        <f aca="false" t="array" ref="K1869:K1869">IFERROR(INDEX(AC1869:AE1869,IF(COUNTA(AC1869:AE1869)=0,"",MAX((AC1869:AE1869&lt;&gt;"")*(COLUMN(AC1869:AE1869)-(COLUMN(AC1869)-1))))-1),"")</f>
        <v>46053</v>
      </c>
      <c r="L1869" s="17" t="str">
        <f aca="false" t="array" ref="L1869:L1869">IFERROR(INDEX(AC1869:AE1869,IF(COUNTA(AC1869:AE1869)=0,"",MAX((AC1869:AE1869&lt;&gt;"")*(COLUMN(AC1869:AE1869)-(COLUMN(AC1869)-2))))-1),"")</f>
        <v>ARCHIVED</v>
      </c>
      <c r="M1869" s="13" t="n">
        <f aca="true">K1869-TODAY()</f>
        <v>-271</v>
      </c>
      <c r="N1869" s="18" t="s">
        <v>105</v>
      </c>
      <c r="O1869" s="13" t="s">
        <v>764</v>
      </c>
      <c r="P1869" s="19" t="n">
        <v>142857.142857143</v>
      </c>
      <c r="Q1869" s="20" t="s">
        <v>8118</v>
      </c>
      <c r="R1869" s="13" t="s">
        <v>52</v>
      </c>
      <c r="S1869" s="14" t="n">
        <v>32606</v>
      </c>
      <c r="T1869" s="13" t="s">
        <v>40</v>
      </c>
      <c r="U1869" s="13" t="s">
        <v>8119</v>
      </c>
      <c r="V1869" s="13" t="s">
        <v>42</v>
      </c>
      <c r="W1869" s="13" t="s">
        <v>43</v>
      </c>
      <c r="X1869" s="21" t="n">
        <v>87757766741</v>
      </c>
      <c r="Y1869" s="22" t="str">
        <f aca="false">O1869</f>
        <v>Operator</v>
      </c>
      <c r="Z1869" s="13" t="str">
        <f aca="false">IFERROR(__xludf.dummyfunction("if(BJ1869="""","""",GOOGLETRANSLATE(BJ1869,""auto"",""en""))"),"Operator")</f>
        <v>Operator</v>
      </c>
      <c r="AA1869" s="23" t="str">
        <f aca="false">IF(C1869="","", CHOOSE(MONTH(C1869),"January","February","March","April","May","June","July","August","September","October","November","December")&amp;" "&amp;DAY(C1869)&amp;MID("thstndrdth",MIN(9,2*RIGHT(DAY(C1869))*(MOD(DAY(C1869)-11,100)&gt;2)+1),2)&amp;","&amp;TEXT(C1869," yyyy"))</f>
        <v>February 1st,2025</v>
      </c>
      <c r="AB1869" s="15" t="str">
        <f aca="true">IF(S1869="","",DATEDIF(S1869,TODAY(),"Y")&amp;" Tahun, "&amp;DATEDIF(S1869,TODAY(),"YM")&amp;" Bulan, "&amp;DATEDIF(S1869,TODAY(),"MD")&amp;" Hari")</f>
        <v>37 Tahun, 6 Bulan, 21 Hari</v>
      </c>
      <c r="AC1869" s="18" t="n">
        <v>45689</v>
      </c>
      <c r="AD1869" s="18" t="n">
        <v>46053</v>
      </c>
      <c r="AE1869" s="18" t="s">
        <v>44</v>
      </c>
    </row>
    <row r="1870" customFormat="false" ht="15" hidden="false" customHeight="true" outlineLevel="0" collapsed="false">
      <c r="A1870" s="12" t="n">
        <v>18579</v>
      </c>
      <c r="B1870" s="13" t="s">
        <v>8120</v>
      </c>
      <c r="C1870" s="14" t="n">
        <v>45689</v>
      </c>
      <c r="D1870" s="13" t="s">
        <v>8071</v>
      </c>
      <c r="E1870" s="15" t="s">
        <v>47</v>
      </c>
      <c r="F1870" s="15" t="str">
        <f aca="false">IFERROR(__xludf.dummyfunction("XLOOKUP(AJ1870,IMPORTRANGE(""1XaInW9DU9nz21V0tYIfzFQ0He9kVQ_JF2mCXgZ3hqFA"",""REKAP ALL 2026 - Andika!G:G""),IMPORTRANGE(""1XaInW9DU9nz21V0tYIfzFQ0He9kVQ_JF2mCXgZ3hqFA"",""REKAP ALL 2026 - Andika!F:F""),"""",0)"),"25026104395")</f>
        <v>25026104395</v>
      </c>
      <c r="G1870" s="13" t="s">
        <v>8121</v>
      </c>
      <c r="H1870" s="13" t="s">
        <v>35</v>
      </c>
      <c r="I1870" s="13" t="str">
        <f aca="false">IF(C1870=J1870,"NEW KONTRAK","RE-KONTRAK")</f>
        <v>NEW KONTRAK</v>
      </c>
      <c r="J1870" s="16" t="n">
        <f aca="false" t="array" ref="J1870:J1870">IFERROR(INDEX(AC1870:AE1870,IF(COUNTA(AC1870:AE1870)=0,"",MAX((AC1870:AE1870&lt;&gt;"")*(COLUMN(AC1870:AE1870)-(COLUMN(AC1870)))))-1),"")</f>
        <v>45689</v>
      </c>
      <c r="K1870" s="16" t="n">
        <f aca="false" t="array" ref="K1870:K1870">IFERROR(INDEX(AC1870:AE1870,IF(COUNTA(AC1870:AE1870)=0,"",MAX((AC1870:AE1870&lt;&gt;"")*(COLUMN(AC1870:AE1870)-(COLUMN(AC1870)-1))))-1),"")</f>
        <v>46053</v>
      </c>
      <c r="L1870" s="17" t="str">
        <f aca="false" t="array" ref="L1870:L1870">IFERROR(INDEX(AC1870:AE1870,IF(COUNTA(AC1870:AE1870)=0,"",MAX((AC1870:AE1870&lt;&gt;"")*(COLUMN(AC1870:AE1870)-(COLUMN(AC1870)-2))))-1),"")</f>
        <v>ARCHIVED</v>
      </c>
      <c r="M1870" s="13" t="n">
        <f aca="true">K1870-TODAY()</f>
        <v>-271</v>
      </c>
      <c r="N1870" s="18" t="s">
        <v>105</v>
      </c>
      <c r="O1870" s="13" t="s">
        <v>764</v>
      </c>
      <c r="P1870" s="19" t="n">
        <v>142857.142857143</v>
      </c>
      <c r="Q1870" s="20" t="s">
        <v>8122</v>
      </c>
      <c r="R1870" s="13" t="s">
        <v>8123</v>
      </c>
      <c r="S1870" s="14" t="n">
        <v>35188</v>
      </c>
      <c r="T1870" s="13" t="s">
        <v>40</v>
      </c>
      <c r="U1870" s="13" t="s">
        <v>8124</v>
      </c>
      <c r="V1870" s="13" t="s">
        <v>42</v>
      </c>
      <c r="W1870" s="13" t="s">
        <v>54</v>
      </c>
      <c r="X1870" s="21" t="n">
        <v>85706266612</v>
      </c>
      <c r="Y1870" s="22" t="str">
        <f aca="false">O1870</f>
        <v>Operator</v>
      </c>
      <c r="Z1870" s="13" t="str">
        <f aca="false">IFERROR(__xludf.dummyfunction("if(BJ1870="""","""",GOOGLETRANSLATE(BJ1870,""auto"",""en""))"),"Operator")</f>
        <v>Operator</v>
      </c>
      <c r="AA1870" s="23" t="str">
        <f aca="false">IF(C1870="","", CHOOSE(MONTH(C1870),"January","February","March","April","May","June","July","August","September","October","November","December")&amp;" "&amp;DAY(C1870)&amp;MID("thstndrdth",MIN(9,2*RIGHT(DAY(C1870))*(MOD(DAY(C1870)-11,100)&gt;2)+1),2)&amp;","&amp;TEXT(C1870," yyyy"))</f>
        <v>February 1st,2025</v>
      </c>
      <c r="AB1870" s="15" t="str">
        <f aca="true">IF(S1870="","",DATEDIF(S1870,TODAY(),"Y")&amp;" Tahun, "&amp;DATEDIF(S1870,TODAY(),"YM")&amp;" Bulan, "&amp;DATEDIF(S1870,TODAY(),"MD")&amp;" Hari")</f>
        <v>30 Tahun, 5 Bulan, 26 Hari</v>
      </c>
      <c r="AC1870" s="18" t="n">
        <v>45689</v>
      </c>
      <c r="AD1870" s="18" t="n">
        <v>46053</v>
      </c>
      <c r="AE1870" s="18" t="s">
        <v>44</v>
      </c>
    </row>
    <row r="1871" customFormat="false" ht="15" hidden="false" customHeight="true" outlineLevel="0" collapsed="false">
      <c r="A1871" s="12" t="n">
        <v>18580</v>
      </c>
      <c r="B1871" s="13" t="s">
        <v>8125</v>
      </c>
      <c r="C1871" s="14" t="n">
        <v>45689</v>
      </c>
      <c r="D1871" s="13" t="s">
        <v>8071</v>
      </c>
      <c r="E1871" s="15" t="s">
        <v>102</v>
      </c>
      <c r="F1871" s="15" t="str">
        <f aca="false">IFERROR(__xludf.dummyfunction("XLOOKUP(AJ1871,IMPORTRANGE(""1XaInW9DU9nz21V0tYIfzFQ0He9kVQ_JF2mCXgZ3hqFA"",""REKAP ALL 2026 - Andika!G:G""),IMPORTRANGE(""1XaInW9DU9nz21V0tYIfzFQ0He9kVQ_JF2mCXgZ3hqFA"",""REKAP ALL 2026 - Andika!F:F""),"""",0)"),"25026104379")</f>
        <v>25026104379</v>
      </c>
      <c r="G1871" s="13" t="s">
        <v>8126</v>
      </c>
      <c r="H1871" s="13" t="s">
        <v>35</v>
      </c>
      <c r="I1871" s="13" t="str">
        <f aca="false">IF(C1871=J1871,"NEW KONTRAK","RE-KONTRAK")</f>
        <v>NEW KONTRAK</v>
      </c>
      <c r="J1871" s="16" t="n">
        <f aca="false" t="array" ref="J1871:J1871">IFERROR(INDEX(AC1871:AE1871,IF(COUNTA(AC1871:AE1871)=0,"",MAX((AC1871:AE1871&lt;&gt;"")*(COLUMN(AC1871:AE1871)-(COLUMN(AC1871)))))-1),"")</f>
        <v>45689</v>
      </c>
      <c r="K1871" s="16" t="n">
        <f aca="false" t="array" ref="K1871:K1871">IFERROR(INDEX(AC1871:AE1871,IF(COUNTA(AC1871:AE1871)=0,"",MAX((AC1871:AE1871&lt;&gt;"")*(COLUMN(AC1871:AE1871)-(COLUMN(AC1871)-1))))-1),"")</f>
        <v>46053</v>
      </c>
      <c r="L1871" s="17" t="str">
        <f aca="false" t="array" ref="L1871:L1871">IFERROR(INDEX(AC1871:AE1871,IF(COUNTA(AC1871:AE1871)=0,"",MAX((AC1871:AE1871&lt;&gt;"")*(COLUMN(AC1871:AE1871)-(COLUMN(AC1871)-2))))-1),"")</f>
        <v>ARCHIVED</v>
      </c>
      <c r="M1871" s="13" t="n">
        <f aca="true">K1871-TODAY()</f>
        <v>-271</v>
      </c>
      <c r="N1871" s="18" t="s">
        <v>105</v>
      </c>
      <c r="O1871" s="13" t="s">
        <v>764</v>
      </c>
      <c r="P1871" s="19" t="n">
        <v>142857.142857143</v>
      </c>
      <c r="Q1871" s="20" t="s">
        <v>8127</v>
      </c>
      <c r="R1871" s="13" t="s">
        <v>52</v>
      </c>
      <c r="S1871" s="14" t="n">
        <v>38395</v>
      </c>
      <c r="T1871" s="13" t="s">
        <v>40</v>
      </c>
      <c r="U1871" s="13" t="s">
        <v>8128</v>
      </c>
      <c r="V1871" s="13" t="s">
        <v>42</v>
      </c>
      <c r="W1871" s="13" t="s">
        <v>43</v>
      </c>
      <c r="X1871" s="21" t="n">
        <v>83830608081</v>
      </c>
      <c r="Y1871" s="22" t="str">
        <f aca="false">O1871</f>
        <v>Operator</v>
      </c>
      <c r="Z1871" s="13" t="str">
        <f aca="false">IFERROR(__xludf.dummyfunction("if(BJ1871="""","""",GOOGLETRANSLATE(BJ1871,""auto"",""en""))"),"Operator")</f>
        <v>Operator</v>
      </c>
      <c r="AA1871" s="23" t="str">
        <f aca="false">IF(C1871="","", CHOOSE(MONTH(C1871),"January","February","March","April","May","June","July","August","September","October","November","December")&amp;" "&amp;DAY(C1871)&amp;MID("thstndrdth",MIN(9,2*RIGHT(DAY(C1871))*(MOD(DAY(C1871)-11,100)&gt;2)+1),2)&amp;","&amp;TEXT(C1871," yyyy"))</f>
        <v>February 1st,2025</v>
      </c>
      <c r="AB1871" s="15" t="str">
        <f aca="true">IF(S1871="","",DATEDIF(S1871,TODAY(),"Y")&amp;" Tahun, "&amp;DATEDIF(S1871,TODAY(),"YM")&amp;" Bulan, "&amp;DATEDIF(S1871,TODAY(),"MD")&amp;" Hari")</f>
        <v>21 Tahun, 8 Bulan, 17 Hari</v>
      </c>
      <c r="AC1871" s="18" t="n">
        <v>45689</v>
      </c>
      <c r="AD1871" s="18" t="n">
        <v>46053</v>
      </c>
      <c r="AE1871" s="18" t="s">
        <v>44</v>
      </c>
    </row>
    <row r="1872" customFormat="false" ht="15" hidden="false" customHeight="true" outlineLevel="0" collapsed="false">
      <c r="A1872" s="12" t="n">
        <v>18627</v>
      </c>
      <c r="B1872" s="13" t="s">
        <v>8129</v>
      </c>
      <c r="C1872" s="14" t="n">
        <v>45691</v>
      </c>
      <c r="D1872" s="13" t="s">
        <v>144</v>
      </c>
      <c r="E1872" s="15" t="s">
        <v>33</v>
      </c>
      <c r="F1872" s="24" t="s">
        <v>8130</v>
      </c>
      <c r="G1872" s="13" t="s">
        <v>8131</v>
      </c>
      <c r="H1872" s="13" t="s">
        <v>35</v>
      </c>
      <c r="I1872" s="13" t="str">
        <f aca="false">IF(C1872=J1872,"NEW KONTRAK","RE-KONTRAK")</f>
        <v>NEW KONTRAK</v>
      </c>
      <c r="J1872" s="16" t="n">
        <f aca="false" t="array" ref="J1872:J1872">IFERROR(INDEX(AC1872:AE1872,IF(COUNTA(AC1872:AE1872)=0,"",MAX((AC1872:AE1872&lt;&gt;"")*(COLUMN(AC1872:AE1872)-(COLUMN(AC1872)))))-1),"")</f>
        <v>45691</v>
      </c>
      <c r="K1872" s="16" t="n">
        <f aca="false" t="array" ref="K1872:K1872">IFERROR(INDEX(AC1872:AE1872,IF(COUNTA(AC1872:AE1872)=0,"",MAX((AC1872:AE1872&lt;&gt;"")*(COLUMN(AC1872:AE1872)-(COLUMN(AC1872)-1))))-1),"")</f>
        <v>46022</v>
      </c>
      <c r="L1872" s="17" t="str">
        <f aca="false" t="array" ref="L1872:L1872">IFERROR(INDEX(AC1872:AE1872,IF(COUNTA(AC1872:AE1872)=0,"",MAX((AC1872:AE1872&lt;&gt;"")*(COLUMN(AC1872:AE1872)-(COLUMN(AC1872)-2))))-1),"")</f>
        <v>ARCHIVED</v>
      </c>
      <c r="M1872" s="13" t="n">
        <f aca="true">K1872-TODAY()</f>
        <v>-302</v>
      </c>
      <c r="N1872" s="18" t="s">
        <v>36</v>
      </c>
      <c r="O1872" s="13" t="s">
        <v>6285</v>
      </c>
      <c r="P1872" s="19" t="n">
        <v>5195401</v>
      </c>
      <c r="Q1872" s="20" t="s">
        <v>8132</v>
      </c>
      <c r="R1872" s="13" t="s">
        <v>78</v>
      </c>
      <c r="S1872" s="14" t="n">
        <v>34956</v>
      </c>
      <c r="T1872" s="28" t="s">
        <v>40</v>
      </c>
      <c r="U1872" s="13" t="s">
        <v>8133</v>
      </c>
      <c r="V1872" s="13" t="s">
        <v>42</v>
      </c>
      <c r="W1872" s="13" t="s">
        <v>43</v>
      </c>
      <c r="X1872" s="21" t="n">
        <v>85325692949</v>
      </c>
      <c r="Y1872" s="22" t="str">
        <f aca="false">O1872</f>
        <v>Operator Reach Truck</v>
      </c>
      <c r="Z1872" s="13" t="str">
        <f aca="false">IFERROR(__xludf.dummyfunction("if(BJ1872="""","""",GOOGLETRANSLATE(BJ1872,""auto"",""en""))"),"Operator Reach Truck")</f>
        <v>Operator Reach Truck</v>
      </c>
      <c r="AA1872" s="23" t="str">
        <f aca="false">IF(C1872="","", CHOOSE(MONTH(C1872),"January","February","March","April","May","June","July","August","September","October","November","December")&amp;" "&amp;DAY(C1872)&amp;MID("thstndrdth",MIN(9,2*RIGHT(DAY(C1872))*(MOD(DAY(C1872)-11,100)&gt;2)+1),2)&amp;","&amp;TEXT(C1872," yyyy"))</f>
        <v>February 3rd,2025</v>
      </c>
      <c r="AB1872" s="15" t="str">
        <f aca="true">IF(S1872="","",DATEDIF(S1872,TODAY(),"Y")&amp;" Tahun, "&amp;DATEDIF(S1872,TODAY(),"YM")&amp;" Bulan, "&amp;DATEDIF(S1872,TODAY(),"MD")&amp;" Hari")</f>
        <v>31 Tahun, 1 Bulan, 15 Hari</v>
      </c>
      <c r="AC1872" s="18" t="n">
        <v>45691</v>
      </c>
      <c r="AD1872" s="18" t="n">
        <v>46022</v>
      </c>
      <c r="AE1872" s="18" t="s">
        <v>44</v>
      </c>
    </row>
    <row r="1873" customFormat="false" ht="15" hidden="false" customHeight="true" outlineLevel="0" collapsed="false">
      <c r="A1873" s="12" t="n">
        <v>18628</v>
      </c>
      <c r="B1873" s="13" t="s">
        <v>8134</v>
      </c>
      <c r="C1873" s="14" t="n">
        <v>45693</v>
      </c>
      <c r="D1873" s="13" t="s">
        <v>404</v>
      </c>
      <c r="E1873" s="15" t="s">
        <v>102</v>
      </c>
      <c r="F1873" s="15" t="str">
        <f aca="false">IFERROR(__xludf.dummyfunction("XLOOKUP(AJ1873,IMPORTRANGE(""1XaInW9DU9nz21V0tYIfzFQ0He9kVQ_JF2mCXgZ3hqFA"",""REKAP ALL 2026 - Andika!G:G""),IMPORTRANGE(""1XaInW9DU9nz21V0tYIfzFQ0He9kVQ_JF2mCXgZ3hqFA"",""REKAP ALL 2026 - Andika!F:F""),"""",0)"),"25026105244")</f>
        <v>25026105244</v>
      </c>
      <c r="G1873" s="13" t="s">
        <v>8135</v>
      </c>
      <c r="H1873" s="13" t="s">
        <v>35</v>
      </c>
      <c r="I1873" s="13" t="str">
        <f aca="false">IF(C1873=J1873,"NEW KONTRAK","RE-KONTRAK")</f>
        <v>NEW KONTRAK</v>
      </c>
      <c r="J1873" s="16" t="n">
        <f aca="false" t="array" ref="J1873:J1873">IFERROR(INDEX(AC1873:AE1873,IF(COUNTA(AC1873:AE1873)=0,"",MAX((AC1873:AE1873&lt;&gt;"")*(COLUMN(AC1873:AE1873)-(COLUMN(AC1873)))))-1),"")</f>
        <v>45693</v>
      </c>
      <c r="K1873" s="16" t="n">
        <f aca="false" t="array" ref="K1873:K1873">IFERROR(INDEX(AC1873:AE1873,IF(COUNTA(AC1873:AE1873)=0,"",MAX((AC1873:AE1873&lt;&gt;"")*(COLUMN(AC1873:AE1873)-(COLUMN(AC1873)-1))))-1),"")</f>
        <v>46022</v>
      </c>
      <c r="L1873" s="17" t="str">
        <f aca="false" t="array" ref="L1873:L1873">IFERROR(INDEX(AC1873:AE1873,IF(COUNTA(AC1873:AE1873)=0,"",MAX((AC1873:AE1873&lt;&gt;"")*(COLUMN(AC1873:AE1873)-(COLUMN(AC1873)-2))))-1),"")</f>
        <v>ARCHIVED</v>
      </c>
      <c r="M1873" s="13" t="n">
        <f aca="true">K1873-TODAY()</f>
        <v>-302</v>
      </c>
      <c r="N1873" s="18" t="s">
        <v>36</v>
      </c>
      <c r="O1873" s="13" t="s">
        <v>8136</v>
      </c>
      <c r="P1873" s="27" t="n">
        <v>5195401</v>
      </c>
      <c r="Q1873" s="20" t="s">
        <v>8137</v>
      </c>
      <c r="R1873" s="13" t="s">
        <v>148</v>
      </c>
      <c r="S1873" s="14" t="n">
        <v>37144</v>
      </c>
      <c r="T1873" s="28" t="s">
        <v>40</v>
      </c>
      <c r="U1873" s="13" t="s">
        <v>8138</v>
      </c>
      <c r="V1873" s="13" t="s">
        <v>42</v>
      </c>
      <c r="W1873" s="13" t="s">
        <v>43</v>
      </c>
      <c r="X1873" s="21" t="n">
        <v>81258417968</v>
      </c>
      <c r="Y1873" s="22" t="str">
        <f aca="false">O1873</f>
        <v>Analis Lab</v>
      </c>
      <c r="Z1873" s="13" t="str">
        <f aca="false">IFERROR(__xludf.dummyfunction("if(BJ1873="""","""",GOOGLETRANSLATE(BJ1873,""auto"",""en""))"),"Lab Analyst")</f>
        <v>Lab Analyst</v>
      </c>
      <c r="AA1873" s="23" t="str">
        <f aca="false">IF(C1873="","", CHOOSE(MONTH(C1873),"January","February","March","April","May","June","July","August","September","October","November","December")&amp;" "&amp;DAY(C1873)&amp;MID("thstndrdth",MIN(9,2*RIGHT(DAY(C1873))*(MOD(DAY(C1873)-11,100)&gt;2)+1),2)&amp;","&amp;TEXT(C1873," yyyy"))</f>
        <v>February 5th,2025</v>
      </c>
      <c r="AB1873" s="15" t="str">
        <f aca="true">IF(S1873="","",DATEDIF(S1873,TODAY(),"Y")&amp;" Tahun, "&amp;DATEDIF(S1873,TODAY(),"YM")&amp;" Bulan, "&amp;DATEDIF(S1873,TODAY(),"MD")&amp;" Hari")</f>
        <v>25 Tahun, 1 Bulan, 19 Hari</v>
      </c>
      <c r="AC1873" s="18" t="n">
        <v>45693</v>
      </c>
      <c r="AD1873" s="18" t="n">
        <v>46022</v>
      </c>
      <c r="AE1873" s="18" t="s">
        <v>44</v>
      </c>
    </row>
    <row r="1874" customFormat="false" ht="15" hidden="false" customHeight="true" outlineLevel="0" collapsed="false">
      <c r="A1874" s="12" t="n">
        <v>18629</v>
      </c>
      <c r="B1874" s="13" t="s">
        <v>8139</v>
      </c>
      <c r="C1874" s="14" t="n">
        <v>45691</v>
      </c>
      <c r="D1874" s="13" t="s">
        <v>144</v>
      </c>
      <c r="E1874" s="15" t="s">
        <v>47</v>
      </c>
      <c r="F1874" s="15" t="str">
        <f aca="false">IFERROR(__xludf.dummyfunction("XLOOKUP(AJ1874,IMPORTRANGE(""1XaInW9DU9nz21V0tYIfzFQ0He9kVQ_JF2mCXgZ3hqFA"",""REKAP ALL 2026 - Andika!G:G""),IMPORTRANGE(""1XaInW9DU9nz21V0tYIfzFQ0He9kVQ_JF2mCXgZ3hqFA"",""REKAP ALL 2026 - Andika!F:F""),"""",0)"),"25022308313")</f>
        <v>25022308313</v>
      </c>
      <c r="G1874" s="13" t="s">
        <v>8140</v>
      </c>
      <c r="H1874" s="13" t="s">
        <v>35</v>
      </c>
      <c r="I1874" s="13" t="str">
        <f aca="false">IF(C1874=J1874,"NEW KONTRAK","RE-KONTRAK")</f>
        <v>NEW KONTRAK</v>
      </c>
      <c r="J1874" s="16" t="n">
        <f aca="false" t="array" ref="J1874:J1874">IFERROR(INDEX(AC1874:AE1874,IF(COUNTA(AC1874:AE1874)=0,"",MAX((AC1874:AE1874&lt;&gt;"")*(COLUMN(AC1874:AE1874)-(COLUMN(AC1874)))))-1),"")</f>
        <v>45691</v>
      </c>
      <c r="K1874" s="16" t="n">
        <f aca="false" t="array" ref="K1874:K1874">IFERROR(INDEX(AC1874:AE1874,IF(COUNTA(AC1874:AE1874)=0,"",MAX((AC1874:AE1874&lt;&gt;"")*(COLUMN(AC1874:AE1874)-(COLUMN(AC1874)-1))))-1),"")</f>
        <v>46022</v>
      </c>
      <c r="L1874" s="17" t="str">
        <f aca="false" t="array" ref="L1874:L1874">IFERROR(INDEX(AC1874:AE1874,IF(COUNTA(AC1874:AE1874)=0,"",MAX((AC1874:AE1874&lt;&gt;"")*(COLUMN(AC1874:AE1874)-(COLUMN(AC1874)-2))))-1),"")</f>
        <v>ARCHIVED</v>
      </c>
      <c r="M1874" s="13" t="n">
        <f aca="true">K1874-TODAY()</f>
        <v>-302</v>
      </c>
      <c r="N1874" s="18" t="s">
        <v>36</v>
      </c>
      <c r="O1874" s="13" t="s">
        <v>146</v>
      </c>
      <c r="P1874" s="19" t="n">
        <v>5195401</v>
      </c>
      <c r="Q1874" s="20" t="s">
        <v>8141</v>
      </c>
      <c r="R1874" s="13" t="s">
        <v>39</v>
      </c>
      <c r="S1874" s="14" t="n">
        <v>33282</v>
      </c>
      <c r="T1874" s="28" t="s">
        <v>40</v>
      </c>
      <c r="U1874" s="13" t="s">
        <v>8142</v>
      </c>
      <c r="V1874" s="13" t="s">
        <v>42</v>
      </c>
      <c r="W1874" s="13" t="s">
        <v>54</v>
      </c>
      <c r="X1874" s="21" t="n">
        <v>87711217308</v>
      </c>
      <c r="Y1874" s="22" t="str">
        <f aca="false">O1874</f>
        <v>Enamel</v>
      </c>
      <c r="Z1874" s="13" t="str">
        <f aca="false">IFERROR(__xludf.dummyfunction("if(BJ1874="""","""",GOOGLETRANSLATE(BJ1874,""auto"",""en""))"),"Enamel")</f>
        <v>Enamel</v>
      </c>
      <c r="AA1874" s="23" t="str">
        <f aca="false">IF(C1874="","", CHOOSE(MONTH(C1874),"January","February","March","April","May","June","July","August","September","October","November","December")&amp;" "&amp;DAY(C1874)&amp;MID("thstndrdth",MIN(9,2*RIGHT(DAY(C1874))*(MOD(DAY(C1874)-11,100)&gt;2)+1),2)&amp;","&amp;TEXT(C1874," yyyy"))</f>
        <v>February 3rd,2025</v>
      </c>
      <c r="AB1874" s="15" t="str">
        <f aca="true">IF(S1874="","",DATEDIF(S1874,TODAY(),"Y")&amp;" Tahun, "&amp;DATEDIF(S1874,TODAY(),"YM")&amp;" Bulan, "&amp;DATEDIF(S1874,TODAY(),"MD")&amp;" Hari")</f>
        <v>35 Tahun, 8 Bulan, 16 Hari</v>
      </c>
      <c r="AC1874" s="18" t="n">
        <v>45691</v>
      </c>
      <c r="AD1874" s="18" t="n">
        <v>46022</v>
      </c>
      <c r="AE1874" s="18" t="s">
        <v>44</v>
      </c>
    </row>
    <row r="1875" customFormat="false" ht="15" hidden="false" customHeight="true" outlineLevel="0" collapsed="false">
      <c r="A1875" s="12" t="n">
        <v>18631</v>
      </c>
      <c r="B1875" s="13" t="s">
        <v>8143</v>
      </c>
      <c r="C1875" s="14" t="n">
        <v>45691</v>
      </c>
      <c r="D1875" s="13" t="s">
        <v>144</v>
      </c>
      <c r="E1875" s="15" t="s">
        <v>47</v>
      </c>
      <c r="F1875" s="15" t="str">
        <f aca="false">IFERROR(__xludf.dummyfunction("XLOOKUP(AJ1875,IMPORTRANGE(""1XaInW9DU9nz21V0tYIfzFQ0He9kVQ_JF2mCXgZ3hqFA"",""REKAP ALL 2026 - Andika!G:G""),IMPORTRANGE(""1XaInW9DU9nz21V0tYIfzFQ0He9kVQ_JF2mCXgZ3hqFA"",""REKAP ALL 2026 - Andika!F:F""),"""",0)"),"25022308263")</f>
        <v>25022308263</v>
      </c>
      <c r="G1875" s="13" t="s">
        <v>8144</v>
      </c>
      <c r="H1875" s="13" t="s">
        <v>35</v>
      </c>
      <c r="I1875" s="13" t="str">
        <f aca="false">IF(C1875=J1875,"NEW KONTRAK","RE-KONTRAK")</f>
        <v>NEW KONTRAK</v>
      </c>
      <c r="J1875" s="16" t="n">
        <f aca="false" t="array" ref="J1875:J1875">IFERROR(INDEX(AC1875:AE1875,IF(COUNTA(AC1875:AE1875)=0,"",MAX((AC1875:AE1875&lt;&gt;"")*(COLUMN(AC1875:AE1875)-(COLUMN(AC1875)))))-1),"")</f>
        <v>45691</v>
      </c>
      <c r="K1875" s="16" t="n">
        <f aca="false" t="array" ref="K1875:K1875">IFERROR(INDEX(AC1875:AE1875,IF(COUNTA(AC1875:AE1875)=0,"",MAX((AC1875:AE1875&lt;&gt;"")*(COLUMN(AC1875:AE1875)-(COLUMN(AC1875)-1))))-1),"")</f>
        <v>46022</v>
      </c>
      <c r="L1875" s="17" t="str">
        <f aca="false" t="array" ref="L1875:L1875">IFERROR(INDEX(AC1875:AE1875,IF(COUNTA(AC1875:AE1875)=0,"",MAX((AC1875:AE1875&lt;&gt;"")*(COLUMN(AC1875:AE1875)-(COLUMN(AC1875)-2))))-1),"")</f>
        <v>ARCHIVED</v>
      </c>
      <c r="M1875" s="13" t="n">
        <f aca="true">K1875-TODAY()</f>
        <v>-302</v>
      </c>
      <c r="N1875" s="18" t="s">
        <v>36</v>
      </c>
      <c r="O1875" s="13" t="s">
        <v>146</v>
      </c>
      <c r="P1875" s="19" t="n">
        <v>5195401</v>
      </c>
      <c r="Q1875" s="20" t="s">
        <v>8145</v>
      </c>
      <c r="R1875" s="13" t="s">
        <v>65</v>
      </c>
      <c r="S1875" s="14" t="n">
        <v>34176</v>
      </c>
      <c r="T1875" s="28" t="s">
        <v>40</v>
      </c>
      <c r="U1875" s="13" t="s">
        <v>8146</v>
      </c>
      <c r="V1875" s="13" t="s">
        <v>42</v>
      </c>
      <c r="W1875" s="13" t="s">
        <v>43</v>
      </c>
      <c r="X1875" s="21" t="n">
        <v>85773513410</v>
      </c>
      <c r="Y1875" s="22" t="str">
        <f aca="false">O1875</f>
        <v>Enamel</v>
      </c>
      <c r="Z1875" s="13" t="str">
        <f aca="false">IFERROR(__xludf.dummyfunction("if(BJ1875="""","""",GOOGLETRANSLATE(BJ1875,""auto"",""en""))"),"Enamel")</f>
        <v>Enamel</v>
      </c>
      <c r="AA1875" s="23" t="str">
        <f aca="false">IF(C1875="","", CHOOSE(MONTH(C1875),"January","February","March","April","May","June","July","August","September","October","November","December")&amp;" "&amp;DAY(C1875)&amp;MID("thstndrdth",MIN(9,2*RIGHT(DAY(C1875))*(MOD(DAY(C1875)-11,100)&gt;2)+1),2)&amp;","&amp;TEXT(C1875," yyyy"))</f>
        <v>February 3rd,2025</v>
      </c>
      <c r="AB1875" s="15" t="str">
        <f aca="true">IF(S1875="","",DATEDIF(S1875,TODAY(),"Y")&amp;" Tahun, "&amp;DATEDIF(S1875,TODAY(),"YM")&amp;" Bulan, "&amp;DATEDIF(S1875,TODAY(),"MD")&amp;" Hari")</f>
        <v>33 Tahun, 3 Bulan, 3 Hari</v>
      </c>
      <c r="AC1875" s="18" t="n">
        <v>45691</v>
      </c>
      <c r="AD1875" s="18" t="n">
        <v>46022</v>
      </c>
      <c r="AE1875" s="18" t="s">
        <v>44</v>
      </c>
    </row>
    <row r="1876" customFormat="false" ht="15" hidden="false" customHeight="true" outlineLevel="0" collapsed="false">
      <c r="A1876" s="12" t="n">
        <v>18632</v>
      </c>
      <c r="B1876" s="13" t="s">
        <v>8147</v>
      </c>
      <c r="C1876" s="14" t="n">
        <v>45691</v>
      </c>
      <c r="D1876" s="13" t="s">
        <v>144</v>
      </c>
      <c r="E1876" s="15" t="s">
        <v>47</v>
      </c>
      <c r="F1876" s="15" t="str">
        <f aca="false">IFERROR(__xludf.dummyfunction("XLOOKUP(AJ1876,IMPORTRANGE(""1XaInW9DU9nz21V0tYIfzFQ0He9kVQ_JF2mCXgZ3hqFA"",""REKAP ALL 2026 - Andika!G:G""),IMPORTRANGE(""1XaInW9DU9nz21V0tYIfzFQ0He9kVQ_JF2mCXgZ3hqFA"",""REKAP ALL 2026 - Andika!F:F""),"""",0)"),"25022308222")</f>
        <v>25022308222</v>
      </c>
      <c r="G1876" s="13" t="s">
        <v>8148</v>
      </c>
      <c r="H1876" s="13" t="s">
        <v>35</v>
      </c>
      <c r="I1876" s="13" t="str">
        <f aca="false">IF(C1876=J1876,"NEW KONTRAK","RE-KONTRAK")</f>
        <v>NEW KONTRAK</v>
      </c>
      <c r="J1876" s="16" t="n">
        <f aca="false" t="array" ref="J1876:J1876">IFERROR(INDEX(AC1876:AE1876,IF(COUNTA(AC1876:AE1876)=0,"",MAX((AC1876:AE1876&lt;&gt;"")*(COLUMN(AC1876:AE1876)-(COLUMN(AC1876)))))-1),"")</f>
        <v>45691</v>
      </c>
      <c r="K1876" s="16" t="n">
        <f aca="false" t="array" ref="K1876:K1876">IFERROR(INDEX(AC1876:AE1876,IF(COUNTA(AC1876:AE1876)=0,"",MAX((AC1876:AE1876&lt;&gt;"")*(COLUMN(AC1876:AE1876)-(COLUMN(AC1876)-1))))-1),"")</f>
        <v>46022</v>
      </c>
      <c r="L1876" s="17" t="str">
        <f aca="false" t="array" ref="L1876:L1876">IFERROR(INDEX(AC1876:AE1876,IF(COUNTA(AC1876:AE1876)=0,"",MAX((AC1876:AE1876&lt;&gt;"")*(COLUMN(AC1876:AE1876)-(COLUMN(AC1876)-2))))-1),"")</f>
        <v>ARCHIVED</v>
      </c>
      <c r="M1876" s="13" t="n">
        <f aca="true">K1876-TODAY()</f>
        <v>-302</v>
      </c>
      <c r="N1876" s="18" t="s">
        <v>36</v>
      </c>
      <c r="O1876" s="13" t="s">
        <v>146</v>
      </c>
      <c r="P1876" s="19" t="n">
        <v>5195401</v>
      </c>
      <c r="Q1876" s="20" t="s">
        <v>8149</v>
      </c>
      <c r="R1876" s="13" t="s">
        <v>65</v>
      </c>
      <c r="S1876" s="14" t="n">
        <v>37921</v>
      </c>
      <c r="T1876" s="28" t="s">
        <v>40</v>
      </c>
      <c r="U1876" s="13" t="s">
        <v>8150</v>
      </c>
      <c r="V1876" s="13" t="s">
        <v>42</v>
      </c>
      <c r="W1876" s="13" t="s">
        <v>43</v>
      </c>
      <c r="X1876" s="21" t="n">
        <v>85735045828</v>
      </c>
      <c r="Y1876" s="22" t="str">
        <f aca="false">O1876</f>
        <v>Enamel</v>
      </c>
      <c r="Z1876" s="13" t="str">
        <f aca="false">IFERROR(__xludf.dummyfunction("if(BJ1876="""","""",GOOGLETRANSLATE(BJ1876,""auto"",""en""))"),"Enamel")</f>
        <v>Enamel</v>
      </c>
      <c r="AA1876" s="23" t="str">
        <f aca="false">IF(C1876="","", CHOOSE(MONTH(C1876),"January","February","March","April","May","June","July","August","September","October","November","December")&amp;" "&amp;DAY(C1876)&amp;MID("thstndrdth",MIN(9,2*RIGHT(DAY(C1876))*(MOD(DAY(C1876)-11,100)&gt;2)+1),2)&amp;","&amp;TEXT(C1876," yyyy"))</f>
        <v>February 3rd,2025</v>
      </c>
      <c r="AB1876" s="15" t="str">
        <f aca="true">IF(S1876="","",DATEDIF(S1876,TODAY(),"Y")&amp;" Tahun, "&amp;DATEDIF(S1876,TODAY(),"YM")&amp;" Bulan, "&amp;DATEDIF(S1876,TODAY(),"MD")&amp;" Hari")</f>
        <v>23 Tahun, 0 Bulan, 2 Hari</v>
      </c>
      <c r="AC1876" s="18" t="n">
        <v>45691</v>
      </c>
      <c r="AD1876" s="18" t="n">
        <v>46022</v>
      </c>
      <c r="AE1876" s="18" t="s">
        <v>44</v>
      </c>
    </row>
    <row r="1877" customFormat="false" ht="15" hidden="false" customHeight="true" outlineLevel="0" collapsed="false">
      <c r="A1877" s="12" t="n">
        <v>18633</v>
      </c>
      <c r="B1877" s="13" t="s">
        <v>8151</v>
      </c>
      <c r="C1877" s="14" t="n">
        <v>45691</v>
      </c>
      <c r="D1877" s="13" t="s">
        <v>144</v>
      </c>
      <c r="E1877" s="15" t="s">
        <v>47</v>
      </c>
      <c r="F1877" s="15" t="str">
        <f aca="false">IFERROR(__xludf.dummyfunction("XLOOKUP(AJ1877,IMPORTRANGE(""1XaInW9DU9nz21V0tYIfzFQ0He9kVQ_JF2mCXgZ3hqFA"",""REKAP ALL 2026 - Andika!G:G""),IMPORTRANGE(""1XaInW9DU9nz21V0tYIfzFQ0He9kVQ_JF2mCXgZ3hqFA"",""REKAP ALL 2026 - Andika!F:F""),"""",0)"),"25022308271")</f>
        <v>25022308271</v>
      </c>
      <c r="G1877" s="13" t="s">
        <v>8152</v>
      </c>
      <c r="H1877" s="13" t="s">
        <v>35</v>
      </c>
      <c r="I1877" s="13" t="str">
        <f aca="false">IF(C1877=J1877,"NEW KONTRAK","RE-KONTRAK")</f>
        <v>NEW KONTRAK</v>
      </c>
      <c r="J1877" s="16" t="n">
        <f aca="false" t="array" ref="J1877:J1877">IFERROR(INDEX(AC1877:AE1877,IF(COUNTA(AC1877:AE1877)=0,"",MAX((AC1877:AE1877&lt;&gt;"")*(COLUMN(AC1877:AE1877)-(COLUMN(AC1877)))))-1),"")</f>
        <v>45691</v>
      </c>
      <c r="K1877" s="16" t="n">
        <f aca="false" t="array" ref="K1877:K1877">IFERROR(INDEX(AC1877:AE1877,IF(COUNTA(AC1877:AE1877)=0,"",MAX((AC1877:AE1877&lt;&gt;"")*(COLUMN(AC1877:AE1877)-(COLUMN(AC1877)-1))))-1),"")</f>
        <v>46022</v>
      </c>
      <c r="L1877" s="17" t="str">
        <f aca="false" t="array" ref="L1877:L1877">IFERROR(INDEX(AC1877:AE1877,IF(COUNTA(AC1877:AE1877)=0,"",MAX((AC1877:AE1877&lt;&gt;"")*(COLUMN(AC1877:AE1877)-(COLUMN(AC1877)-2))))-1),"")</f>
        <v>ARCHIVED</v>
      </c>
      <c r="M1877" s="13" t="n">
        <f aca="true">K1877-TODAY()</f>
        <v>-302</v>
      </c>
      <c r="N1877" s="18" t="s">
        <v>36</v>
      </c>
      <c r="O1877" s="13" t="s">
        <v>156</v>
      </c>
      <c r="P1877" s="19" t="n">
        <v>5195401</v>
      </c>
      <c r="Q1877" s="20" t="s">
        <v>8153</v>
      </c>
      <c r="R1877" s="13" t="s">
        <v>78</v>
      </c>
      <c r="S1877" s="14" t="n">
        <v>34427</v>
      </c>
      <c r="T1877" s="28" t="s">
        <v>40</v>
      </c>
      <c r="U1877" s="13" t="s">
        <v>8154</v>
      </c>
      <c r="V1877" s="13" t="s">
        <v>42</v>
      </c>
      <c r="W1877" s="13" t="s">
        <v>54</v>
      </c>
      <c r="X1877" s="21" t="n">
        <v>85655929180</v>
      </c>
      <c r="Y1877" s="22" t="str">
        <f aca="false">O1877</f>
        <v>Emulsion</v>
      </c>
      <c r="Z1877" s="13" t="str">
        <f aca="false">IFERROR(__xludf.dummyfunction("if(BJ1877="""","""",GOOGLETRANSLATE(BJ1877,""auto"",""en""))"),"Emulsion")</f>
        <v>Emulsion</v>
      </c>
      <c r="AA1877" s="23" t="str">
        <f aca="false">IF(C1877="","", CHOOSE(MONTH(C1877),"January","February","March","April","May","June","July","August","September","October","November","December")&amp;" "&amp;DAY(C1877)&amp;MID("thstndrdth",MIN(9,2*RIGHT(DAY(C1877))*(MOD(DAY(C1877)-11,100)&gt;2)+1),2)&amp;","&amp;TEXT(C1877," yyyy"))</f>
        <v>February 3rd,2025</v>
      </c>
      <c r="AB1877" s="15" t="str">
        <f aca="true">IF(S1877="","",DATEDIF(S1877,TODAY(),"Y")&amp;" Tahun, "&amp;DATEDIF(S1877,TODAY(),"YM")&amp;" Bulan, "&amp;DATEDIF(S1877,TODAY(),"MD")&amp;" Hari")</f>
        <v>32 Tahun, 6 Bulan, 26 Hari</v>
      </c>
      <c r="AC1877" s="18" t="n">
        <v>45691</v>
      </c>
      <c r="AD1877" s="18" t="n">
        <v>46022</v>
      </c>
      <c r="AE1877" s="18" t="s">
        <v>44</v>
      </c>
    </row>
    <row r="1878" customFormat="false" ht="15" hidden="false" customHeight="true" outlineLevel="0" collapsed="false">
      <c r="A1878" s="12" t="n">
        <v>22556</v>
      </c>
      <c r="B1878" s="45" t="s">
        <v>8155</v>
      </c>
      <c r="C1878" s="14" t="n">
        <v>46219</v>
      </c>
      <c r="D1878" s="13" t="s">
        <v>101</v>
      </c>
      <c r="E1878" s="15" t="s">
        <v>47</v>
      </c>
      <c r="F1878" s="24" t="s">
        <v>8156</v>
      </c>
      <c r="G1878" s="28" t="s">
        <v>57</v>
      </c>
      <c r="H1878" s="13" t="s">
        <v>35</v>
      </c>
      <c r="I1878" s="13" t="str">
        <f aca="false">IF(C1878=J1878,"NEW KONTRAK","RE-KONTRAK")</f>
        <v>NEW KONTRAK</v>
      </c>
      <c r="J1878" s="16" t="n">
        <f aca="false" t="array" ref="J1878:J1878">IFERROR(INDEX(AC1878:AE1878,IF(COUNTA(AC1878:AE1878)=0,"",MAX((AC1878:AE1878&lt;&gt;"")*(COLUMN(AC1878:AE1878)-(COLUMN(AC1878)))))-1),"")</f>
        <v>46219</v>
      </c>
      <c r="K1878" s="16" t="n">
        <f aca="false" t="array" ref="K1878:K1878">IFERROR(INDEX(AC1878:AE1878,IF(COUNTA(AC1878:AE1878)=0,"",MAX((AC1878:AE1878&lt;&gt;"")*(COLUMN(AC1878:AE1878)-(COLUMN(AC1878)-1))))-1),"")</f>
        <v>46402</v>
      </c>
      <c r="L1878" s="17" t="str">
        <f aca="false" t="array" ref="L1878:L1878">IFERROR(INDEX(AC1878:AE1878,IF(COUNTA(AC1878:AE1878)=0,"",MAX((AC1878:AE1878&lt;&gt;"")*(COLUMN(AC1878:AE1878)-(COLUMN(AC1878)-2))))-1),"")</f>
        <v>KEMBALI</v>
      </c>
      <c r="M1878" s="13" t="n">
        <f aca="true">K1878-TODAY()</f>
        <v>78</v>
      </c>
      <c r="N1878" s="18" t="s">
        <v>105</v>
      </c>
      <c r="O1878" s="13" t="s">
        <v>1453</v>
      </c>
      <c r="P1878" s="26" t="n">
        <v>138915</v>
      </c>
      <c r="Q1878" s="20" t="s">
        <v>8157</v>
      </c>
      <c r="R1878" s="16" t="s">
        <v>735</v>
      </c>
      <c r="S1878" s="25" t="n">
        <v>37273</v>
      </c>
      <c r="T1878" s="28" t="s">
        <v>40</v>
      </c>
      <c r="U1878" s="17" t="s">
        <v>8158</v>
      </c>
      <c r="V1878" s="15" t="s">
        <v>42</v>
      </c>
      <c r="W1878" s="13" t="s">
        <v>43</v>
      </c>
      <c r="X1878" s="21" t="n">
        <v>8813187584</v>
      </c>
      <c r="Y1878" s="22" t="str">
        <f aca="false">O1878</f>
        <v>Helper Produksi</v>
      </c>
      <c r="Z1878" s="13" t="str">
        <f aca="false">IFERROR(__xludf.dummyfunction("if(BJ1878="""","""",GOOGLETRANSLATE(BJ1878,""auto"",""en""))"),"Production Helper")</f>
        <v>Production Helper</v>
      </c>
      <c r="AA1878" s="23" t="str">
        <f aca="false">IF(C1878="","", CHOOSE(MONTH(C1878),"January","February","March","April","May","June","July","August","September","October","November","December")&amp;" "&amp;DAY(C1878)&amp;MID("thstndrdth",MIN(9,2*RIGHT(DAY(C1878))*(MOD(DAY(C1878)-11,100)&gt;2)+1),2)&amp;","&amp;TEXT(C1878," yyyy"))</f>
        <v>July 16th,2026</v>
      </c>
      <c r="AB1878" s="15" t="str">
        <f aca="true">IF(S1878="","",DATEDIF(S1878,TODAY(),"Y")&amp;" Tahun, "&amp;DATEDIF(S1878,TODAY(),"YM")&amp;" Bulan, "&amp;DATEDIF(S1878,TODAY(),"MD")&amp;" Hari")</f>
        <v>24 Tahun, 9 Bulan, 12 Hari</v>
      </c>
      <c r="AC1878" s="14" t="n">
        <v>46219</v>
      </c>
      <c r="AD1878" s="18" t="n">
        <v>46402</v>
      </c>
      <c r="AE1878" s="13" t="s">
        <v>397</v>
      </c>
    </row>
    <row r="1879" customFormat="false" ht="15" hidden="false" customHeight="true" outlineLevel="0" collapsed="false">
      <c r="A1879" s="12" t="n">
        <v>18637</v>
      </c>
      <c r="B1879" s="13" t="s">
        <v>8159</v>
      </c>
      <c r="C1879" s="14" t="n">
        <v>45673</v>
      </c>
      <c r="D1879" s="13" t="s">
        <v>101</v>
      </c>
      <c r="E1879" s="15" t="s">
        <v>102</v>
      </c>
      <c r="F1879" s="15" t="str">
        <f aca="false">IFERROR(__xludf.dummyfunction("XLOOKUP(AJ1879,IMPORTRANGE(""1XaInW9DU9nz21V0tYIfzFQ0He9kVQ_JF2mCXgZ3hqFA"",""REKAP ALL 2026 - Andika!G:G""),IMPORTRANGE(""1XaInW9DU9nz21V0tYIfzFQ0He9kVQ_JF2mCXgZ3hqFA"",""REKAP ALL 2026 - Andika!F:F""),"""",0)"),"25026105475")</f>
        <v>25026105475</v>
      </c>
      <c r="G1879" s="13" t="s">
        <v>8160</v>
      </c>
      <c r="H1879" s="13" t="s">
        <v>35</v>
      </c>
      <c r="I1879" s="13" t="str">
        <f aca="false">IF(C1879=J1879,"NEW KONTRAK","RE-KONTRAK")</f>
        <v>NEW KONTRAK</v>
      </c>
      <c r="J1879" s="16" t="n">
        <f aca="false" t="array" ref="J1879:J1879">IFERROR(INDEX(AC1879:AE1879,IF(COUNTA(AC1879:AE1879)=0,"",MAX((AC1879:AE1879&lt;&gt;"")*(COLUMN(AC1879:AE1879)-(COLUMN(AC1879)))))-1),"")</f>
        <v>45673</v>
      </c>
      <c r="K1879" s="16" t="n">
        <f aca="false" t="array" ref="K1879:K1879">IFERROR(INDEX(AC1879:AE1879,IF(COUNTA(AC1879:AE1879)=0,"",MAX((AC1879:AE1879&lt;&gt;"")*(COLUMN(AC1879:AE1879)-(COLUMN(AC1879)-1))))-1),"")</f>
        <v>46036</v>
      </c>
      <c r="L1879" s="17" t="str">
        <f aca="false" t="array" ref="L1879:L1879">IFERROR(INDEX(AC1879:AE1879,IF(COUNTA(AC1879:AE1879)=0,"",MAX((AC1879:AE1879&lt;&gt;"")*(COLUMN(AC1879:AE1879)-(COLUMN(AC1879)-2))))-1),"")</f>
        <v>ARCHIVED</v>
      </c>
      <c r="M1879" s="13" t="n">
        <f aca="true">K1879-TODAY()</f>
        <v>-288</v>
      </c>
      <c r="N1879" s="18" t="s">
        <v>105</v>
      </c>
      <c r="O1879" s="13" t="s">
        <v>106</v>
      </c>
      <c r="P1879" s="19" t="n">
        <v>132300</v>
      </c>
      <c r="Q1879" s="20" t="s">
        <v>8161</v>
      </c>
      <c r="R1879" s="13" t="s">
        <v>52</v>
      </c>
      <c r="S1879" s="25" t="n">
        <v>34769</v>
      </c>
      <c r="T1879" s="28" t="s">
        <v>40</v>
      </c>
      <c r="U1879" s="13" t="s">
        <v>8162</v>
      </c>
      <c r="V1879" s="13" t="s">
        <v>42</v>
      </c>
      <c r="W1879" s="13" t="s">
        <v>54</v>
      </c>
      <c r="X1879" s="21" t="n">
        <v>82264332727</v>
      </c>
      <c r="Y1879" s="22" t="str">
        <f aca="false">O1879</f>
        <v>Produksi - Helper</v>
      </c>
      <c r="Z1879" s="13" t="str">
        <f aca="false">IFERROR(__xludf.dummyfunction("if(BJ1879="""","""",GOOGLETRANSLATE(BJ1879,""auto"",""en""))"),"Production - Helper")</f>
        <v>Production - Helper</v>
      </c>
      <c r="AA1879" s="23" t="str">
        <f aca="false">IF(C1879="","", CHOOSE(MONTH(C1879),"January","February","March","April","May","June","July","August","September","October","November","December")&amp;" "&amp;DAY(C1879)&amp;MID("thstndrdth",MIN(9,2*RIGHT(DAY(C1879))*(MOD(DAY(C1879)-11,100)&gt;2)+1),2)&amp;","&amp;TEXT(C1879," yyyy"))</f>
        <v>January 16th,2025</v>
      </c>
      <c r="AB1879" s="15" t="str">
        <f aca="true">IF(S1879="","",DATEDIF(S1879,TODAY(),"Y")&amp;" Tahun, "&amp;DATEDIF(S1879,TODAY(),"YM")&amp;" Bulan, "&amp;DATEDIF(S1879,TODAY(),"MD")&amp;" Hari")</f>
        <v>31 Tahun, 7 Bulan, 18 Hari</v>
      </c>
      <c r="AC1879" s="18" t="n">
        <v>45673</v>
      </c>
      <c r="AD1879" s="18" t="n">
        <v>46036</v>
      </c>
      <c r="AE1879" s="18" t="s">
        <v>44</v>
      </c>
    </row>
    <row r="1880" customFormat="false" ht="15" hidden="false" customHeight="true" outlineLevel="0" collapsed="false">
      <c r="A1880" s="12" t="n">
        <v>18638</v>
      </c>
      <c r="B1880" s="13" t="s">
        <v>8163</v>
      </c>
      <c r="C1880" s="14" t="n">
        <v>45688</v>
      </c>
      <c r="D1880" s="13" t="s">
        <v>774</v>
      </c>
      <c r="E1880" s="15" t="s">
        <v>47</v>
      </c>
      <c r="F1880" s="15" t="str">
        <f aca="false">IFERROR(__xludf.dummyfunction("XLOOKUP(AJ1880,IMPORTRANGE(""1XaInW9DU9nz21V0tYIfzFQ0He9kVQ_JF2mCXgZ3hqFA"",""REKAP ALL 2026 - Andika!G:G""),IMPORTRANGE(""1XaInW9DU9nz21V0tYIfzFQ0He9kVQ_JF2mCXgZ3hqFA"",""REKAP ALL 2026 - Andika!F:F""),"""",0)"),"25026103355")</f>
        <v>25026103355</v>
      </c>
      <c r="G1880" s="13" t="s">
        <v>8164</v>
      </c>
      <c r="H1880" s="13" t="s">
        <v>2967</v>
      </c>
      <c r="I1880" s="13" t="str">
        <f aca="false">IF(C1880=J1880,"NEW KONTRAK","RE-KONTRAK")</f>
        <v>RE-KONTRAK</v>
      </c>
      <c r="J1880" s="16" t="n">
        <f aca="false" t="array" ref="J1880:J1880">IFERROR(INDEX(AC1880:AE1880,IF(COUNTA(AC1880:AE1880)=0,"",MAX((AC1880:AE1880&lt;&gt;"")*(COLUMN(AC1880:AE1880)-(COLUMN(AC1880)))))-1),"")</f>
        <v>45868</v>
      </c>
      <c r="K1880" s="16" t="n">
        <f aca="false" t="array" ref="K1880:K1880">IFERROR(INDEX(AC1880:AE1880,IF(COUNTA(AC1880:AE1880)=0,"",MAX((AC1880:AE1880&lt;&gt;"")*(COLUMN(AC1880:AE1880)-(COLUMN(AC1880)-1))))-1),"")</f>
        <v>45934</v>
      </c>
      <c r="L1880" s="17" t="str">
        <f aca="false" t="array" ref="L1880:L1880">IFERROR(INDEX(AC1880:AE1880,IF(COUNTA(AC1880:AE1880)=0,"",MAX((AC1880:AE1880&lt;&gt;"")*(COLUMN(AC1880:AE1880)-(COLUMN(AC1880)-2))))-1),"")</f>
        <v>ARCHIVED</v>
      </c>
      <c r="M1880" s="13" t="n">
        <f aca="true">K1880-TODAY()</f>
        <v>-390</v>
      </c>
      <c r="N1880" s="18" t="s">
        <v>36</v>
      </c>
      <c r="O1880" s="13" t="s">
        <v>780</v>
      </c>
      <c r="P1880" s="19" t="n">
        <v>3250000</v>
      </c>
      <c r="Q1880" s="20" t="s">
        <v>8165</v>
      </c>
      <c r="R1880" s="13" t="s">
        <v>65</v>
      </c>
      <c r="S1880" s="14" t="n">
        <v>34030</v>
      </c>
      <c r="T1880" s="28" t="s">
        <v>40</v>
      </c>
      <c r="U1880" s="13" t="s">
        <v>8166</v>
      </c>
      <c r="V1880" s="13" t="s">
        <v>42</v>
      </c>
      <c r="W1880" s="13" t="s">
        <v>54</v>
      </c>
      <c r="X1880" s="21" t="n">
        <v>85735435549</v>
      </c>
      <c r="Y1880" s="22" t="str">
        <f aca="false">O1880</f>
        <v>Shearing</v>
      </c>
      <c r="Z1880" s="13" t="str">
        <f aca="false">IFERROR(__xludf.dummyfunction("if(BJ1880="""","""",GOOGLETRANSLATE(BJ1880,""auto"",""en""))"),"Shearing")</f>
        <v>Shearing</v>
      </c>
      <c r="AA1880" s="23" t="str">
        <f aca="false">IF(C1880="","", CHOOSE(MONTH(C1880),"January","February","March","April","May","June","July","August","September","October","November","December")&amp;" "&amp;DAY(C1880)&amp;MID("thstndrdth",MIN(9,2*RIGHT(DAY(C1880))*(MOD(DAY(C1880)-11,100)&gt;2)+1),2)&amp;","&amp;TEXT(C1880," yyyy"))</f>
        <v>January 31st,2025</v>
      </c>
      <c r="AB1880" s="15" t="str">
        <f aca="true">IF(S1880="","",DATEDIF(S1880,TODAY(),"Y")&amp;" Tahun, "&amp;DATEDIF(S1880,TODAY(),"YM")&amp;" Bulan, "&amp;DATEDIF(S1880,TODAY(),"MD")&amp;" Hari")</f>
        <v>33 Tahun, 7 Bulan, 27 Hari</v>
      </c>
      <c r="AC1880" s="18" t="n">
        <v>45868</v>
      </c>
      <c r="AD1880" s="18" t="n">
        <v>45934</v>
      </c>
      <c r="AE1880" s="18" t="s">
        <v>44</v>
      </c>
    </row>
    <row r="1881" customFormat="false" ht="15" hidden="false" customHeight="true" outlineLevel="0" collapsed="false">
      <c r="A1881" s="12" t="n">
        <v>18639</v>
      </c>
      <c r="B1881" s="13" t="s">
        <v>8167</v>
      </c>
      <c r="C1881" s="14" t="n">
        <v>45689</v>
      </c>
      <c r="D1881" s="13" t="s">
        <v>7310</v>
      </c>
      <c r="E1881" s="15" t="s">
        <v>33</v>
      </c>
      <c r="F1881" s="24" t="s">
        <v>8168</v>
      </c>
      <c r="G1881" s="13" t="s">
        <v>8169</v>
      </c>
      <c r="H1881" s="13" t="s">
        <v>35</v>
      </c>
      <c r="I1881" s="13" t="str">
        <f aca="false">IF(C1881=J1881,"NEW KONTRAK","RE-KONTRAK")</f>
        <v>NEW KONTRAK</v>
      </c>
      <c r="J1881" s="16" t="n">
        <f aca="false" t="array" ref="J1881:J1881">IFERROR(INDEX(AC1881:AE1881,IF(COUNTA(AC1881:AE1881)=0,"",MAX((AC1881:AE1881&lt;&gt;"")*(COLUMN(AC1881:AE1881)-(COLUMN(AC1881)))))-1),"")</f>
        <v>45689</v>
      </c>
      <c r="K1881" s="16" t="n">
        <f aca="false" t="array" ref="K1881:K1881">IFERROR(INDEX(AC1881:AE1881,IF(COUNTA(AC1881:AE1881)=0,"",MAX((AC1881:AE1881&lt;&gt;"")*(COLUMN(AC1881:AE1881)-(COLUMN(AC1881)-1))))-1),"")</f>
        <v>46053</v>
      </c>
      <c r="L1881" s="17" t="str">
        <f aca="false" t="array" ref="L1881:L1881">IFERROR(INDEX(AC1881:AE1881,IF(COUNTA(AC1881:AE1881)=0,"",MAX((AC1881:AE1881&lt;&gt;"")*(COLUMN(AC1881:AE1881)-(COLUMN(AC1881)-2))))-1),"")</f>
        <v>ARCHIVED</v>
      </c>
      <c r="M1881" s="13" t="n">
        <f aca="true">K1881-TODAY()</f>
        <v>-271</v>
      </c>
      <c r="N1881" s="18" t="s">
        <v>7313</v>
      </c>
      <c r="O1881" s="13" t="s">
        <v>50</v>
      </c>
      <c r="P1881" s="19" t="n">
        <v>2397550</v>
      </c>
      <c r="Q1881" s="20" t="s">
        <v>8170</v>
      </c>
      <c r="R1881" s="13" t="s">
        <v>1695</v>
      </c>
      <c r="S1881" s="14" t="n">
        <v>29913</v>
      </c>
      <c r="T1881" s="28" t="s">
        <v>40</v>
      </c>
      <c r="U1881" s="13" t="s">
        <v>8171</v>
      </c>
      <c r="V1881" s="13" t="s">
        <v>42</v>
      </c>
      <c r="W1881" s="13" t="s">
        <v>54</v>
      </c>
      <c r="X1881" s="21" t="n">
        <v>82332626262</v>
      </c>
      <c r="Y1881" s="22" t="str">
        <f aca="false">O1881</f>
        <v>Driver</v>
      </c>
      <c r="Z1881" s="13" t="str">
        <f aca="false">IFERROR(__xludf.dummyfunction("if(BJ1881="""","""",GOOGLETRANSLATE(BJ1881,""auto"",""en""))"),"Driver")</f>
        <v>Driver</v>
      </c>
      <c r="AA1881" s="23" t="str">
        <f aca="false">IF(C1881="","", CHOOSE(MONTH(C1881),"January","February","March","April","May","June","July","August","September","October","November","December")&amp;" "&amp;DAY(C1881)&amp;MID("thstndrdth",MIN(9,2*RIGHT(DAY(C1881))*(MOD(DAY(C1881)-11,100)&gt;2)+1),2)&amp;","&amp;TEXT(C1881," yyyy"))</f>
        <v>February 1st,2025</v>
      </c>
      <c r="AB1881" s="15" t="str">
        <f aca="true">IF(S1881="","",DATEDIF(S1881,TODAY(),"Y")&amp;" Tahun, "&amp;DATEDIF(S1881,TODAY(),"YM")&amp;" Bulan, "&amp;DATEDIF(S1881,TODAY(),"MD")&amp;" Hari")</f>
        <v>44 Tahun, 11 Bulan, 6 Hari</v>
      </c>
      <c r="AC1881" s="18" t="n">
        <v>45689</v>
      </c>
      <c r="AD1881" s="18" t="n">
        <v>46053</v>
      </c>
      <c r="AE1881" s="18" t="s">
        <v>44</v>
      </c>
    </row>
    <row r="1882" customFormat="false" ht="15" hidden="false" customHeight="true" outlineLevel="0" collapsed="false">
      <c r="A1882" s="12" t="n">
        <v>18640</v>
      </c>
      <c r="B1882" s="13" t="s">
        <v>8172</v>
      </c>
      <c r="C1882" s="14" t="n">
        <v>45659</v>
      </c>
      <c r="D1882" s="13" t="s">
        <v>3838</v>
      </c>
      <c r="E1882" s="15" t="s">
        <v>47</v>
      </c>
      <c r="F1882" s="15" t="str">
        <f aca="false">IFERROR(__xludf.dummyfunction("XLOOKUP(AJ1882,IMPORTRANGE(""1XaInW9DU9nz21V0tYIfzFQ0He9kVQ_JF2mCXgZ3hqFA"",""REKAP ALL 2026 - Andika!G:G""),IMPORTRANGE(""1XaInW9DU9nz21V0tYIfzFQ0He9kVQ_JF2mCXgZ3hqFA"",""REKAP ALL 2026 - Andika!F:F""),"""",0)"),"25022308156")</f>
        <v>25022308156</v>
      </c>
      <c r="G1882" s="13" t="s">
        <v>8173</v>
      </c>
      <c r="H1882" s="13" t="s">
        <v>35</v>
      </c>
      <c r="I1882" s="13" t="str">
        <f aca="false">IF(C1882=J1882,"NEW KONTRAK","RE-KONTRAK")</f>
        <v>NEW KONTRAK</v>
      </c>
      <c r="J1882" s="16" t="n">
        <f aca="false" t="array" ref="J1882:J1882">IFERROR(INDEX(AC1882:AE1882,IF(COUNTA(AC1882:AE1882)=0,"",MAX((AC1882:AE1882&lt;&gt;"")*(COLUMN(AC1882:AE1882)-(COLUMN(AC1882)))))-1),"")</f>
        <v>45659</v>
      </c>
      <c r="K1882" s="16" t="n">
        <f aca="false" t="array" ref="K1882:K1882">IFERROR(INDEX(AC1882:AE1882,IF(COUNTA(AC1882:AE1882)=0,"",MAX((AC1882:AE1882&lt;&gt;"")*(COLUMN(AC1882:AE1882)-(COLUMN(AC1882)-1))))-1),"")</f>
        <v>46022</v>
      </c>
      <c r="L1882" s="17" t="str">
        <f aca="false" t="array" ref="L1882:L1882">IFERROR(INDEX(AC1882:AE1882,IF(COUNTA(AC1882:AE1882)=0,"",MAX((AC1882:AE1882&lt;&gt;"")*(COLUMN(AC1882:AE1882)-(COLUMN(AC1882)-2))))-1),"")</f>
        <v>ARCHIVED</v>
      </c>
      <c r="M1882" s="13" t="n">
        <f aca="true">K1882-TODAY()</f>
        <v>-302</v>
      </c>
      <c r="N1882" s="18" t="s">
        <v>749</v>
      </c>
      <c r="O1882" s="13" t="s">
        <v>1287</v>
      </c>
      <c r="P1882" s="19" t="n">
        <v>3983882</v>
      </c>
      <c r="Q1882" s="20" t="s">
        <v>8174</v>
      </c>
      <c r="R1882" s="13" t="s">
        <v>3841</v>
      </c>
      <c r="S1882" s="14" t="n">
        <v>38451</v>
      </c>
      <c r="T1882" s="28" t="s">
        <v>40</v>
      </c>
      <c r="U1882" s="13" t="s">
        <v>3842</v>
      </c>
      <c r="V1882" s="13" t="s">
        <v>42</v>
      </c>
      <c r="W1882" s="13" t="s">
        <v>43</v>
      </c>
      <c r="X1882" s="21" t="n">
        <v>85651294367</v>
      </c>
      <c r="Y1882" s="22" t="str">
        <f aca="false">O1882</f>
        <v>Office Boy</v>
      </c>
      <c r="Z1882" s="13" t="str">
        <f aca="false">IFERROR(__xludf.dummyfunction("if(BJ1882="""","""",GOOGLETRANSLATE(BJ1882,""auto"",""en""))"),"Office Boy")</f>
        <v>Office Boy</v>
      </c>
      <c r="AA1882" s="23" t="str">
        <f aca="false">IF(C1882="","", CHOOSE(MONTH(C1882),"January","February","March","April","May","June","July","August","September","October","November","December")&amp;" "&amp;DAY(C1882)&amp;MID("thstndrdth",MIN(9,2*RIGHT(DAY(C1882))*(MOD(DAY(C1882)-11,100)&gt;2)+1),2)&amp;","&amp;TEXT(C1882," yyyy"))</f>
        <v>January 2nd,2025</v>
      </c>
      <c r="AB1882" s="15" t="str">
        <f aca="true">IF(S1882="","",DATEDIF(S1882,TODAY(),"Y")&amp;" Tahun, "&amp;DATEDIF(S1882,TODAY(),"YM")&amp;" Bulan, "&amp;DATEDIF(S1882,TODAY(),"MD")&amp;" Hari")</f>
        <v>21 Tahun, 6 Bulan, 20 Hari</v>
      </c>
      <c r="AC1882" s="18" t="n">
        <v>45659</v>
      </c>
      <c r="AD1882" s="18" t="n">
        <v>46022</v>
      </c>
      <c r="AE1882" s="18" t="s">
        <v>44</v>
      </c>
    </row>
    <row r="1883" customFormat="false" ht="15" hidden="false" customHeight="true" outlineLevel="0" collapsed="false">
      <c r="A1883" s="12" t="n">
        <v>18647</v>
      </c>
      <c r="B1883" s="13" t="s">
        <v>8175</v>
      </c>
      <c r="C1883" s="14" t="n">
        <v>45688</v>
      </c>
      <c r="D1883" s="13" t="s">
        <v>2033</v>
      </c>
      <c r="E1883" s="15" t="s">
        <v>33</v>
      </c>
      <c r="F1883" s="24" t="s">
        <v>8176</v>
      </c>
      <c r="G1883" s="13" t="s">
        <v>8177</v>
      </c>
      <c r="H1883" s="13" t="s">
        <v>2035</v>
      </c>
      <c r="I1883" s="13" t="str">
        <f aca="false">IF(C1883=J1883,"NEW KONTRAK","RE-KONTRAK")</f>
        <v>RE-KONTRAK</v>
      </c>
      <c r="J1883" s="16" t="n">
        <f aca="false" t="array" ref="J1883:J1883">IFERROR(INDEX(AC1883:AE1883,IF(COUNTA(AC1883:AE1883)=0,"",MAX((AC1883:AE1883&lt;&gt;"")*(COLUMN(AC1883:AE1883)-(COLUMN(AC1883)))))-1),"")</f>
        <v>45744</v>
      </c>
      <c r="K1883" s="16" t="n">
        <f aca="false" t="array" ref="K1883:K1883">IFERROR(INDEX(AC1883:AE1883,IF(COUNTA(AC1883:AE1883)=0,"",MAX((AC1883:AE1883&lt;&gt;"")*(COLUMN(AC1883:AE1883)-(COLUMN(AC1883)-1))))-1),"")</f>
        <v>45915</v>
      </c>
      <c r="L1883" s="17" t="str">
        <f aca="false" t="array" ref="L1883:L1883">IFERROR(INDEX(AC1883:AE1883,IF(COUNTA(AC1883:AE1883)=0,"",MAX((AC1883:AE1883&lt;&gt;"")*(COLUMN(AC1883:AE1883)-(COLUMN(AC1883)-2))))-1),"")</f>
        <v>ARCHIVED</v>
      </c>
      <c r="M1883" s="13" t="n">
        <f aca="true">K1883-TODAY()</f>
        <v>-409</v>
      </c>
      <c r="N1883" s="18" t="s">
        <v>2363</v>
      </c>
      <c r="O1883" s="13" t="s">
        <v>2037</v>
      </c>
      <c r="P1883" s="19" t="n">
        <v>4014072</v>
      </c>
      <c r="Q1883" s="20" t="s">
        <v>8178</v>
      </c>
      <c r="R1883" s="13" t="s">
        <v>4132</v>
      </c>
      <c r="S1883" s="14" t="n">
        <v>36902</v>
      </c>
      <c r="T1883" s="13" t="s">
        <v>108</v>
      </c>
      <c r="U1883" s="13" t="s">
        <v>8179</v>
      </c>
      <c r="V1883" s="13" t="s">
        <v>42</v>
      </c>
      <c r="W1883" s="13" t="s">
        <v>43</v>
      </c>
      <c r="X1883" s="21" t="n">
        <v>85377304718</v>
      </c>
      <c r="Y1883" s="22" t="str">
        <f aca="false">O1883</f>
        <v>SPG/BA</v>
      </c>
      <c r="Z1883" s="13" t="str">
        <f aca="false">IFERROR(__xludf.dummyfunction("if(BJ1883="""","""",GOOGLETRANSLATE(BJ1883,""auto"",""en""))"),"SPG/BA")</f>
        <v>SPG/BA</v>
      </c>
      <c r="AA1883" s="23" t="str">
        <f aca="false">IF(C1883="","", CHOOSE(MONTH(C1883),"January","February","March","April","May","June","July","August","September","October","November","December")&amp;" "&amp;DAY(C1883)&amp;MID("thstndrdth",MIN(9,2*RIGHT(DAY(C1883))*(MOD(DAY(C1883)-11,100)&gt;2)+1),2)&amp;","&amp;TEXT(C1883," yyyy"))</f>
        <v>January 31st,2025</v>
      </c>
      <c r="AB1883" s="15" t="str">
        <f aca="true">IF(S1883="","",DATEDIF(S1883,TODAY(),"Y")&amp;" Tahun, "&amp;DATEDIF(S1883,TODAY(),"YM")&amp;" Bulan, "&amp;DATEDIF(S1883,TODAY(),"MD")&amp;" Hari")</f>
        <v>25 Tahun, 9 Bulan, 18 Hari</v>
      </c>
      <c r="AC1883" s="18" t="n">
        <v>45744</v>
      </c>
      <c r="AD1883" s="18" t="n">
        <v>45915</v>
      </c>
      <c r="AE1883" s="18" t="s">
        <v>44</v>
      </c>
    </row>
    <row r="1884" customFormat="false" ht="15" hidden="false" customHeight="true" outlineLevel="0" collapsed="false">
      <c r="A1884" s="12" t="n">
        <v>18650</v>
      </c>
      <c r="B1884" s="13" t="s">
        <v>8180</v>
      </c>
      <c r="C1884" s="14" t="n">
        <v>45691</v>
      </c>
      <c r="D1884" s="13" t="s">
        <v>2033</v>
      </c>
      <c r="E1884" s="15" t="s">
        <v>33</v>
      </c>
      <c r="F1884" s="24" t="s">
        <v>8181</v>
      </c>
      <c r="G1884" s="13" t="s">
        <v>8182</v>
      </c>
      <c r="H1884" s="13" t="s">
        <v>2035</v>
      </c>
      <c r="I1884" s="13" t="str">
        <f aca="false">IF(C1884=J1884,"NEW KONTRAK","RE-KONTRAK")</f>
        <v>RE-KONTRAK</v>
      </c>
      <c r="J1884" s="16" t="n">
        <f aca="false" t="array" ref="J1884:J1884">IFERROR(INDEX(AC1884:AE1884,IF(COUNTA(AC1884:AE1884)=0,"",MAX((AC1884:AE1884&lt;&gt;"")*(COLUMN(AC1884:AE1884)-(COLUMN(AC1884)))))-1),"")</f>
        <v>45744</v>
      </c>
      <c r="K1884" s="16" t="n">
        <f aca="false" t="array" ref="K1884:K1884">IFERROR(INDEX(AC1884:AE1884,IF(COUNTA(AC1884:AE1884)=0,"",MAX((AC1884:AE1884&lt;&gt;"")*(COLUMN(AC1884:AE1884)-(COLUMN(AC1884)-1))))-1),"")</f>
        <v>45915</v>
      </c>
      <c r="L1884" s="17" t="str">
        <f aca="false" t="array" ref="L1884:L1884">IFERROR(INDEX(AC1884:AE1884,IF(COUNTA(AC1884:AE1884)=0,"",MAX((AC1884:AE1884&lt;&gt;"")*(COLUMN(AC1884:AE1884)-(COLUMN(AC1884)-2))))-1),"")</f>
        <v>ARCHIVED</v>
      </c>
      <c r="M1884" s="13" t="n">
        <f aca="true">K1884-TODAY()</f>
        <v>-409</v>
      </c>
      <c r="N1884" s="18" t="s">
        <v>5852</v>
      </c>
      <c r="O1884" s="13" t="s">
        <v>2037</v>
      </c>
      <c r="P1884" s="19" t="n">
        <v>3298116</v>
      </c>
      <c r="Q1884" s="20" t="s">
        <v>8183</v>
      </c>
      <c r="R1884" s="13" t="s">
        <v>5852</v>
      </c>
      <c r="S1884" s="14" t="n">
        <v>35483</v>
      </c>
      <c r="T1884" s="13" t="s">
        <v>108</v>
      </c>
      <c r="U1884" s="13" t="s">
        <v>8184</v>
      </c>
      <c r="V1884" s="13" t="s">
        <v>42</v>
      </c>
      <c r="W1884" s="13" t="s">
        <v>54</v>
      </c>
      <c r="X1884" s="21" t="n">
        <v>82339522465</v>
      </c>
      <c r="Y1884" s="22" t="str">
        <f aca="false">O1884</f>
        <v>SPG/BA</v>
      </c>
      <c r="Z1884" s="13" t="str">
        <f aca="false">IFERROR(__xludf.dummyfunction("if(BJ1884="""","""",GOOGLETRANSLATE(BJ1884,""auto"",""en""))"),"SPG/BA")</f>
        <v>SPG/BA</v>
      </c>
      <c r="AA1884" s="23" t="str">
        <f aca="false">IF(C1884="","", CHOOSE(MONTH(C1884),"January","February","March","April","May","June","July","August","September","October","November","December")&amp;" "&amp;DAY(C1884)&amp;MID("thstndrdth",MIN(9,2*RIGHT(DAY(C1884))*(MOD(DAY(C1884)-11,100)&gt;2)+1),2)&amp;","&amp;TEXT(C1884," yyyy"))</f>
        <v>February 3rd,2025</v>
      </c>
      <c r="AB1884" s="15" t="str">
        <f aca="true">IF(S1884="","",DATEDIF(S1884,TODAY(),"Y")&amp;" Tahun, "&amp;DATEDIF(S1884,TODAY(),"YM")&amp;" Bulan, "&amp;DATEDIF(S1884,TODAY(),"MD")&amp;" Hari")</f>
        <v>29 Tahun, 8 Bulan, 7 Hari</v>
      </c>
      <c r="AC1884" s="18" t="n">
        <v>45744</v>
      </c>
      <c r="AD1884" s="18" t="n">
        <v>45915</v>
      </c>
      <c r="AE1884" s="18" t="s">
        <v>44</v>
      </c>
    </row>
    <row r="1885" customFormat="false" ht="15" hidden="false" customHeight="true" outlineLevel="0" collapsed="false">
      <c r="A1885" s="12" t="n">
        <v>18652</v>
      </c>
      <c r="B1885" s="13" t="s">
        <v>8185</v>
      </c>
      <c r="C1885" s="14" t="n">
        <v>45698</v>
      </c>
      <c r="D1885" s="13" t="s">
        <v>5726</v>
      </c>
      <c r="E1885" s="15" t="s">
        <v>789</v>
      </c>
      <c r="F1885" s="24" t="s">
        <v>8186</v>
      </c>
      <c r="G1885" s="13" t="s">
        <v>8187</v>
      </c>
      <c r="H1885" s="13" t="s">
        <v>35</v>
      </c>
      <c r="I1885" s="13" t="str">
        <f aca="false">IF(C1885=J1885,"NEW KONTRAK","RE-KONTRAK")</f>
        <v>RE-KONTRAK</v>
      </c>
      <c r="J1885" s="16" t="n">
        <f aca="false" t="array" ref="J1885:J1885">IFERROR(INDEX(AC1885:AE1885,IF(COUNTA(AC1885:AE1885)=0,"",MAX((AC1885:AE1885&lt;&gt;"")*(COLUMN(AC1885:AE1885)-(COLUMN(AC1885)))))-1),"")</f>
        <v>45879</v>
      </c>
      <c r="K1885" s="16" t="n">
        <f aca="false" t="array" ref="K1885:K1885">IFERROR(INDEX(AC1885:AE1885,IF(COUNTA(AC1885:AE1885)=0,"",MAX((AC1885:AE1885&lt;&gt;"")*(COLUMN(AC1885:AE1885)-(COLUMN(AC1885)-1))))-1),"")</f>
        <v>45970</v>
      </c>
      <c r="L1885" s="17" t="str">
        <f aca="false" t="array" ref="L1885:L1885">IFERROR(INDEX(AC1885:AE1885,IF(COUNTA(AC1885:AE1885)=0,"",MAX((AC1885:AE1885&lt;&gt;"")*(COLUMN(AC1885:AE1885)-(COLUMN(AC1885)-2))))-1),"")</f>
        <v>ARCHIVED</v>
      </c>
      <c r="M1885" s="13" t="n">
        <f aca="true">K1885-TODAY()</f>
        <v>-354</v>
      </c>
      <c r="N1885" s="18" t="s">
        <v>615</v>
      </c>
      <c r="O1885" s="13" t="s">
        <v>5252</v>
      </c>
      <c r="P1885" s="19" t="n">
        <v>4856026</v>
      </c>
      <c r="Q1885" s="20" t="s">
        <v>8188</v>
      </c>
      <c r="R1885" s="13" t="s">
        <v>39</v>
      </c>
      <c r="S1885" s="14" t="n">
        <v>33346</v>
      </c>
      <c r="T1885" s="13" t="s">
        <v>40</v>
      </c>
      <c r="U1885" s="13" t="s">
        <v>8189</v>
      </c>
      <c r="V1885" s="13" t="s">
        <v>42</v>
      </c>
      <c r="W1885" s="13" t="s">
        <v>54</v>
      </c>
      <c r="X1885" s="21" t="n">
        <v>82231330884</v>
      </c>
      <c r="Y1885" s="22" t="str">
        <f aca="false">O1885</f>
        <v>Helper Printing</v>
      </c>
      <c r="Z1885" s="13" t="str">
        <f aca="false">IFERROR(__xludf.dummyfunction("if(BJ1885="""","""",GOOGLETRANSLATE(BJ1885,""auto"",""en""))"),"Helper Printing")</f>
        <v>Helper Printing</v>
      </c>
      <c r="AA1885" s="23" t="str">
        <f aca="false">IF(C1885="","", CHOOSE(MONTH(C1885),"January","February","March","April","May","June","July","August","September","October","November","December")&amp;" "&amp;DAY(C1885)&amp;MID("thstndrdth",MIN(9,2*RIGHT(DAY(C1885))*(MOD(DAY(C1885)-11,100)&gt;2)+1),2)&amp;","&amp;TEXT(C1885," yyyy"))</f>
        <v>February 10th,2025</v>
      </c>
      <c r="AB1885" s="15" t="str">
        <f aca="true">IF(S1885="","",DATEDIF(S1885,TODAY(),"Y")&amp;" Tahun, "&amp;DATEDIF(S1885,TODAY(),"YM")&amp;" Bulan, "&amp;DATEDIF(S1885,TODAY(),"MD")&amp;" Hari")</f>
        <v>35 Tahun, 6 Bulan, 11 Hari</v>
      </c>
      <c r="AC1885" s="18" t="n">
        <v>45879</v>
      </c>
      <c r="AD1885" s="18" t="n">
        <v>45970</v>
      </c>
      <c r="AE1885" s="18" t="s">
        <v>44</v>
      </c>
    </row>
    <row r="1886" customFormat="false" ht="15" hidden="false" customHeight="true" outlineLevel="0" collapsed="false">
      <c r="A1886" s="12" t="n">
        <v>18654</v>
      </c>
      <c r="B1886" s="13" t="s">
        <v>8190</v>
      </c>
      <c r="C1886" s="14" t="n">
        <v>45681</v>
      </c>
      <c r="D1886" s="13" t="s">
        <v>774</v>
      </c>
      <c r="E1886" s="15" t="s">
        <v>47</v>
      </c>
      <c r="F1886" s="15" t="str">
        <f aca="false">IFERROR(__xludf.dummyfunction("XLOOKUP(AJ1886,IMPORTRANGE(""1XaInW9DU9nz21V0tYIfzFQ0He9kVQ_JF2mCXgZ3hqFA"",""REKAP ALL 2026 - Andika!G:G""),IMPORTRANGE(""1XaInW9DU9nz21V0tYIfzFQ0He9kVQ_JF2mCXgZ3hqFA"",""REKAP ALL 2026 - Andika!F:F""),"""",0)"),"25026103363")</f>
        <v>25026103363</v>
      </c>
      <c r="G1886" s="13" t="s">
        <v>8191</v>
      </c>
      <c r="H1886" s="13" t="s">
        <v>3024</v>
      </c>
      <c r="I1886" s="13" t="str">
        <f aca="false">IF(C1886=J1886,"NEW KONTRAK","RE-KONTRAK")</f>
        <v>RE-KONTRAK</v>
      </c>
      <c r="J1886" s="16" t="n">
        <f aca="false" t="array" ref="J1886:J1886">IFERROR(INDEX(AC1886:AE1886,IF(COUNTA(AC1886:AE1886)=0,"",MAX((AC1886:AE1886&lt;&gt;"")*(COLUMN(AC1886:AE1886)-(COLUMN(AC1886)))))-1),"")</f>
        <v>45862</v>
      </c>
      <c r="K1886" s="16" t="n">
        <f aca="false" t="array" ref="K1886:K1886">IFERROR(INDEX(AC1886:AE1886,IF(COUNTA(AC1886:AE1886)=0,"",MAX((AC1886:AE1886&lt;&gt;"")*(COLUMN(AC1886:AE1886)-(COLUMN(AC1886)-1))))-1),"")</f>
        <v>45934</v>
      </c>
      <c r="L1886" s="17" t="str">
        <f aca="false" t="array" ref="L1886:L1886">IFERROR(INDEX(AC1886:AE1886,IF(COUNTA(AC1886:AE1886)=0,"",MAX((AC1886:AE1886&lt;&gt;"")*(COLUMN(AC1886:AE1886)-(COLUMN(AC1886)-2))))-1),"")</f>
        <v>ARCHIVED</v>
      </c>
      <c r="M1886" s="13" t="n">
        <f aca="true">K1886-TODAY()</f>
        <v>-390</v>
      </c>
      <c r="N1886" s="18" t="s">
        <v>36</v>
      </c>
      <c r="O1886" s="13" t="s">
        <v>8192</v>
      </c>
      <c r="P1886" s="19" t="n">
        <v>3500000</v>
      </c>
      <c r="Q1886" s="20" t="s">
        <v>8193</v>
      </c>
      <c r="R1886" s="13" t="s">
        <v>52</v>
      </c>
      <c r="S1886" s="14" t="n">
        <v>38488</v>
      </c>
      <c r="T1886" s="13" t="s">
        <v>108</v>
      </c>
      <c r="U1886" s="13" t="s">
        <v>4267</v>
      </c>
      <c r="V1886" s="13" t="s">
        <v>42</v>
      </c>
      <c r="W1886" s="13" t="s">
        <v>43</v>
      </c>
      <c r="X1886" s="21" t="n">
        <v>895341450193</v>
      </c>
      <c r="Y1886" s="22" t="str">
        <f aca="false">O1886</f>
        <v>Admin Produksi</v>
      </c>
      <c r="Z1886" s="13" t="str">
        <f aca="false">IFERROR(__xludf.dummyfunction("if(BJ1886="""","""",GOOGLETRANSLATE(BJ1886,""auto"",""en""))"),"Production Admin")</f>
        <v>Production Admin</v>
      </c>
      <c r="AA1886" s="23" t="str">
        <f aca="false">IF(C1886="","", CHOOSE(MONTH(C1886),"January","February","March","April","May","June","July","August","September","October","November","December")&amp;" "&amp;DAY(C1886)&amp;MID("thstndrdth",MIN(9,2*RIGHT(DAY(C1886))*(MOD(DAY(C1886)-11,100)&gt;2)+1),2)&amp;","&amp;TEXT(C1886," yyyy"))</f>
        <v>January 24th,2025</v>
      </c>
      <c r="AB1886" s="15" t="str">
        <f aca="true">IF(S1886="","",DATEDIF(S1886,TODAY(),"Y")&amp;" Tahun, "&amp;DATEDIF(S1886,TODAY(),"YM")&amp;" Bulan, "&amp;DATEDIF(S1886,TODAY(),"MD")&amp;" Hari")</f>
        <v>21 Tahun, 5 Bulan, 13 Hari</v>
      </c>
      <c r="AC1886" s="18" t="n">
        <v>45862</v>
      </c>
      <c r="AD1886" s="18" t="n">
        <v>45934</v>
      </c>
      <c r="AE1886" s="18" t="s">
        <v>44</v>
      </c>
    </row>
    <row r="1887" customFormat="false" ht="15" hidden="false" customHeight="true" outlineLevel="0" collapsed="false">
      <c r="A1887" s="12" t="n">
        <v>18655</v>
      </c>
      <c r="B1887" s="13" t="s">
        <v>8194</v>
      </c>
      <c r="C1887" s="14" t="n">
        <v>45694</v>
      </c>
      <c r="D1887" s="13" t="s">
        <v>5903</v>
      </c>
      <c r="E1887" s="15" t="s">
        <v>47</v>
      </c>
      <c r="F1887" s="15" t="str">
        <f aca="false">IFERROR(__xludf.dummyfunction("XLOOKUP(AJ1887,IMPORTRANGE(""1XaInW9DU9nz21V0tYIfzFQ0He9kVQ_JF2mCXgZ3hqFA"",""REKAP ALL 2026 - Andika!G:G""),IMPORTRANGE(""1XaInW9DU9nz21V0tYIfzFQ0He9kVQ_JF2mCXgZ3hqFA"",""REKAP ALL 2026 - Andika!F:F""),"""",0)"),"25026105558")</f>
        <v>25026105558</v>
      </c>
      <c r="G1887" s="13" t="s">
        <v>8195</v>
      </c>
      <c r="H1887" s="13" t="s">
        <v>35</v>
      </c>
      <c r="I1887" s="13" t="str">
        <f aca="false">IF(C1887=J1887,"NEW KONTRAK","RE-KONTRAK")</f>
        <v>RE-KONTRAK</v>
      </c>
      <c r="J1887" s="16" t="n">
        <f aca="false" t="array" ref="J1887:J1887">IFERROR(INDEX(AC1887:AE1887,IF(COUNTA(AC1887:AE1887)=0,"",MAX((AC1887:AE1887&lt;&gt;"")*(COLUMN(AC1887:AE1887)-(COLUMN(AC1887)))))-1),"")</f>
        <v>45778</v>
      </c>
      <c r="K1887" s="16" t="n">
        <f aca="false" t="array" ref="K1887:K1887">IFERROR(INDEX(AC1887:AE1887,IF(COUNTA(AC1887:AE1887)=0,"",MAX((AC1887:AE1887&lt;&gt;"")*(COLUMN(AC1887:AE1887)-(COLUMN(AC1887)-1))))-1),"")</f>
        <v>46142</v>
      </c>
      <c r="L1887" s="17" t="str">
        <f aca="false" t="array" ref="L1887:L1887">IFERROR(INDEX(AC1887:AE1887,IF(COUNTA(AC1887:AE1887)=0,"",MAX((AC1887:AE1887&lt;&gt;"")*(COLUMN(AC1887:AE1887)-(COLUMN(AC1887)-2))))-1),"")</f>
        <v>ARCHIVED</v>
      </c>
      <c r="M1887" s="13" t="n">
        <f aca="true">K1887-TODAY()</f>
        <v>-182</v>
      </c>
      <c r="N1887" s="50" t="s">
        <v>728</v>
      </c>
      <c r="O1887" s="13" t="s">
        <v>8196</v>
      </c>
      <c r="P1887" s="19" t="n">
        <f aca="false">IFERROR(__xludf.dummyfunction("INDEX(IMPORTRANGE(""12FwpLvlsVhD_IhxpEWawHHAWVeXnjXpHARKGUQ_nP_w"",""harga rukma!H:H""),MATCH(C1887,IMPORTRANGE(""12FwpLvlsVhD_IhxpEWawHHAWVeXnjXpHARKGUQ_nP_w"",""harga rukma!B:B""),0))"),2800000)</f>
        <v>2800000</v>
      </c>
      <c r="Q1887" s="20" t="s">
        <v>8197</v>
      </c>
      <c r="R1887" s="13" t="s">
        <v>39</v>
      </c>
      <c r="S1887" s="14" t="n">
        <v>38529</v>
      </c>
      <c r="T1887" s="13" t="s">
        <v>40</v>
      </c>
      <c r="U1887" s="13" t="s">
        <v>8198</v>
      </c>
      <c r="V1887" s="13" t="s">
        <v>42</v>
      </c>
      <c r="W1887" s="13" t="s">
        <v>43</v>
      </c>
      <c r="X1887" s="21" t="n">
        <v>89523276603</v>
      </c>
      <c r="Y1887" s="22" t="str">
        <f aca="false">O1887</f>
        <v>Repair Bodi</v>
      </c>
      <c r="Z1887" s="13" t="str">
        <f aca="false">IFERROR(__xludf.dummyfunction("if(BJ1887="""","""",GOOGLETRANSLATE(BJ1887,""auto"",""en""))"),"Repair Bodi")</f>
        <v>Repair Bodi</v>
      </c>
      <c r="AA1887" s="23" t="str">
        <f aca="false">IF(C1887="","", CHOOSE(MONTH(C1887),"January","February","March","April","May","June","July","August","September","October","November","December")&amp;" "&amp;DAY(C1887)&amp;MID("thstndrdth",MIN(9,2*RIGHT(DAY(C1887))*(MOD(DAY(C1887)-11,100)&gt;2)+1),2)&amp;","&amp;TEXT(C1887," yyyy"))</f>
        <v>February 6th,2025</v>
      </c>
      <c r="AB1887" s="15" t="str">
        <f aca="true">IF(S1887="","",DATEDIF(S1887,TODAY(),"Y")&amp;" Tahun, "&amp;DATEDIF(S1887,TODAY(),"YM")&amp;" Bulan, "&amp;DATEDIF(S1887,TODAY(),"MD")&amp;" Hari")</f>
        <v>21 Tahun, 4 Bulan, 3 Hari</v>
      </c>
      <c r="AC1887" s="18" t="n">
        <v>45778</v>
      </c>
      <c r="AD1887" s="18" t="n">
        <v>46142</v>
      </c>
      <c r="AE1887" s="18" t="s">
        <v>44</v>
      </c>
    </row>
    <row r="1888" customFormat="false" ht="15" hidden="false" customHeight="true" outlineLevel="0" collapsed="false">
      <c r="A1888" s="12" t="n">
        <v>18656</v>
      </c>
      <c r="B1888" s="13" t="s">
        <v>8199</v>
      </c>
      <c r="C1888" s="14" t="n">
        <v>45694</v>
      </c>
      <c r="D1888" s="13" t="s">
        <v>5903</v>
      </c>
      <c r="E1888" s="15" t="s">
        <v>47</v>
      </c>
      <c r="F1888" s="15" t="str">
        <f aca="false">IFERROR(__xludf.dummyfunction("XLOOKUP(AJ1888,IMPORTRANGE(""1XaInW9DU9nz21V0tYIfzFQ0He9kVQ_JF2mCXgZ3hqFA"",""REKAP ALL 2026 - Andika!G:G""),IMPORTRANGE(""1XaInW9DU9nz21V0tYIfzFQ0He9kVQ_JF2mCXgZ3hqFA"",""REKAP ALL 2026 - Andika!F:F""),"""",0)"),"25026105574")</f>
        <v>25026105574</v>
      </c>
      <c r="G1888" s="13" t="s">
        <v>8200</v>
      </c>
      <c r="H1888" s="13" t="s">
        <v>35</v>
      </c>
      <c r="I1888" s="13" t="str">
        <f aca="false">IF(C1888=J1888,"NEW KONTRAK","RE-KONTRAK")</f>
        <v>RE-KONTRAK</v>
      </c>
      <c r="J1888" s="16" t="n">
        <f aca="false" t="array" ref="J1888:J1888">IFERROR(INDEX(AC1888:AE1888,IF(COUNTA(AC1888:AE1888)=0,"",MAX((AC1888:AE1888&lt;&gt;"")*(COLUMN(AC1888:AE1888)-(COLUMN(AC1888)))))-1),"")</f>
        <v>45778</v>
      </c>
      <c r="K1888" s="16" t="n">
        <f aca="false" t="array" ref="K1888:K1888">IFERROR(INDEX(AC1888:AE1888,IF(COUNTA(AC1888:AE1888)=0,"",MAX((AC1888:AE1888&lt;&gt;"")*(COLUMN(AC1888:AE1888)-(COLUMN(AC1888)-1))))-1),"")</f>
        <v>46142</v>
      </c>
      <c r="L1888" s="17" t="str">
        <f aca="false" t="array" ref="L1888:L1888">IFERROR(INDEX(AC1888:AE1888,IF(COUNTA(AC1888:AE1888)=0,"",MAX((AC1888:AE1888&lt;&gt;"")*(COLUMN(AC1888:AE1888)-(COLUMN(AC1888)-2))))-1),"")</f>
        <v>ARCHIVED</v>
      </c>
      <c r="M1888" s="13" t="n">
        <f aca="true">K1888-TODAY()</f>
        <v>-182</v>
      </c>
      <c r="N1888" s="50" t="s">
        <v>728</v>
      </c>
      <c r="O1888" s="13" t="s">
        <v>8196</v>
      </c>
      <c r="P1888" s="19" t="n">
        <f aca="false">IFERROR(__xludf.dummyfunction("INDEX(IMPORTRANGE(""12FwpLvlsVhD_IhxpEWawHHAWVeXnjXpHARKGUQ_nP_w"",""harga rukma!H:H""),MATCH(C1888,IMPORTRANGE(""12FwpLvlsVhD_IhxpEWawHHAWVeXnjXpHARKGUQ_nP_w"",""harga rukma!B:B""),0))"),2800000)</f>
        <v>2800000</v>
      </c>
      <c r="Q1888" s="20" t="s">
        <v>8201</v>
      </c>
      <c r="R1888" s="13" t="s">
        <v>78</v>
      </c>
      <c r="S1888" s="14" t="n">
        <v>38261</v>
      </c>
      <c r="T1888" s="13" t="s">
        <v>40</v>
      </c>
      <c r="U1888" s="13" t="s">
        <v>8202</v>
      </c>
      <c r="V1888" s="13" t="s">
        <v>42</v>
      </c>
      <c r="W1888" s="13" t="s">
        <v>43</v>
      </c>
      <c r="X1888" s="21" t="n">
        <v>89524682431</v>
      </c>
      <c r="Y1888" s="22" t="str">
        <f aca="false">O1888</f>
        <v>Repair Bodi</v>
      </c>
      <c r="Z1888" s="13" t="str">
        <f aca="false">IFERROR(__xludf.dummyfunction("if(BJ1888="""","""",GOOGLETRANSLATE(BJ1888,""auto"",""en""))"),"Repair Bodi")</f>
        <v>Repair Bodi</v>
      </c>
      <c r="AA1888" s="23" t="str">
        <f aca="false">IF(C1888="","", CHOOSE(MONTH(C1888),"January","February","March","April","May","June","July","August","September","October","November","December")&amp;" "&amp;DAY(C1888)&amp;MID("thstndrdth",MIN(9,2*RIGHT(DAY(C1888))*(MOD(DAY(C1888)-11,100)&gt;2)+1),2)&amp;","&amp;TEXT(C1888," yyyy"))</f>
        <v>February 6th,2025</v>
      </c>
      <c r="AB1888" s="15" t="str">
        <f aca="true">IF(S1888="","",DATEDIF(S1888,TODAY(),"Y")&amp;" Tahun, "&amp;DATEDIF(S1888,TODAY(),"YM")&amp;" Bulan, "&amp;DATEDIF(S1888,TODAY(),"MD")&amp;" Hari")</f>
        <v>22 Tahun, 0 Bulan, 28 Hari</v>
      </c>
      <c r="AC1888" s="18" t="n">
        <v>45778</v>
      </c>
      <c r="AD1888" s="18" t="n">
        <v>46142</v>
      </c>
      <c r="AE1888" s="18" t="s">
        <v>44</v>
      </c>
    </row>
    <row r="1889" customFormat="false" ht="15" hidden="false" customHeight="true" outlineLevel="0" collapsed="false">
      <c r="A1889" s="12" t="n">
        <v>18657</v>
      </c>
      <c r="B1889" s="13" t="s">
        <v>8203</v>
      </c>
      <c r="C1889" s="14" t="n">
        <v>45694</v>
      </c>
      <c r="D1889" s="13" t="s">
        <v>5903</v>
      </c>
      <c r="E1889" s="15" t="s">
        <v>47</v>
      </c>
      <c r="F1889" s="15" t="str">
        <f aca="false">IFERROR(__xludf.dummyfunction("XLOOKUP(AJ1889,IMPORTRANGE(""1XaInW9DU9nz21V0tYIfzFQ0He9kVQ_JF2mCXgZ3hqFA"",""REKAP ALL 2026 - Andika!G:G""),IMPORTRANGE(""1XaInW9DU9nz21V0tYIfzFQ0He9kVQ_JF2mCXgZ3hqFA"",""REKAP ALL 2026 - Andika!F:F""),"""",0)"),"25026105541")</f>
        <v>25026105541</v>
      </c>
      <c r="G1889" s="13" t="s">
        <v>8204</v>
      </c>
      <c r="H1889" s="13" t="s">
        <v>35</v>
      </c>
      <c r="I1889" s="13" t="str">
        <f aca="false">IF(C1889=J1889,"NEW KONTRAK","RE-KONTRAK")</f>
        <v>RE-KONTRAK</v>
      </c>
      <c r="J1889" s="16" t="n">
        <f aca="false" t="array" ref="J1889:J1889">IFERROR(INDEX(AC1889:AE1889,IF(COUNTA(AC1889:AE1889)=0,"",MAX((AC1889:AE1889&lt;&gt;"")*(COLUMN(AC1889:AE1889)-(COLUMN(AC1889)))))-1),"")</f>
        <v>45778</v>
      </c>
      <c r="K1889" s="16" t="n">
        <f aca="false" t="array" ref="K1889:K1889">IFERROR(INDEX(AC1889:AE1889,IF(COUNTA(AC1889:AE1889)=0,"",MAX((AC1889:AE1889&lt;&gt;"")*(COLUMN(AC1889:AE1889)-(COLUMN(AC1889)-1))))-1),"")</f>
        <v>46142</v>
      </c>
      <c r="L1889" s="17" t="str">
        <f aca="false" t="array" ref="L1889:L1889">IFERROR(INDEX(AC1889:AE1889,IF(COUNTA(AC1889:AE1889)=0,"",MAX((AC1889:AE1889&lt;&gt;"")*(COLUMN(AC1889:AE1889)-(COLUMN(AC1889)-2))))-1),"")</f>
        <v>ARCHIVED</v>
      </c>
      <c r="M1889" s="13" t="n">
        <f aca="true">K1889-TODAY()</f>
        <v>-182</v>
      </c>
      <c r="N1889" s="50" t="s">
        <v>728</v>
      </c>
      <c r="O1889" s="13" t="s">
        <v>3510</v>
      </c>
      <c r="P1889" s="19" t="n">
        <f aca="false">IFERROR(__xludf.dummyfunction("INDEX(IMPORTRANGE(""12FwpLvlsVhD_IhxpEWawHHAWVeXnjXpHARKGUQ_nP_w"",""harga rukma!H:H""),MATCH(C1889,IMPORTRANGE(""12FwpLvlsVhD_IhxpEWawHHAWVeXnjXpHARKGUQ_nP_w"",""harga rukma!B:B""),0))"),3000000)</f>
        <v>3000000</v>
      </c>
      <c r="Q1889" s="20" t="s">
        <v>8205</v>
      </c>
      <c r="R1889" s="13" t="s">
        <v>39</v>
      </c>
      <c r="S1889" s="14" t="n">
        <v>38820</v>
      </c>
      <c r="T1889" s="13" t="s">
        <v>40</v>
      </c>
      <c r="U1889" s="13" t="s">
        <v>8206</v>
      </c>
      <c r="V1889" s="13" t="s">
        <v>42</v>
      </c>
      <c r="W1889" s="13" t="s">
        <v>43</v>
      </c>
      <c r="X1889" s="21" t="n">
        <v>895330630401</v>
      </c>
      <c r="Y1889" s="22" t="str">
        <f aca="false">O1889</f>
        <v>Teknisi</v>
      </c>
      <c r="Z1889" s="13" t="str">
        <f aca="false">IFERROR(__xludf.dummyfunction("if(BJ1889="""","""",GOOGLETRANSLATE(BJ1889,""auto"",""en""))"),"Technician")</f>
        <v>Technician</v>
      </c>
      <c r="AA1889" s="23" t="str">
        <f aca="false">IF(C1889="","", CHOOSE(MONTH(C1889),"January","February","March","April","May","June","July","August","September","October","November","December")&amp;" "&amp;DAY(C1889)&amp;MID("thstndrdth",MIN(9,2*RIGHT(DAY(C1889))*(MOD(DAY(C1889)-11,100)&gt;2)+1),2)&amp;","&amp;TEXT(C1889," yyyy"))</f>
        <v>February 6th,2025</v>
      </c>
      <c r="AB1889" s="15" t="str">
        <f aca="true">IF(S1889="","",DATEDIF(S1889,TODAY(),"Y")&amp;" Tahun, "&amp;DATEDIF(S1889,TODAY(),"YM")&amp;" Bulan, "&amp;DATEDIF(S1889,TODAY(),"MD")&amp;" Hari")</f>
        <v>20 Tahun, 6 Bulan, 16 Hari</v>
      </c>
      <c r="AC1889" s="18" t="n">
        <v>45778</v>
      </c>
      <c r="AD1889" s="18" t="n">
        <v>46142</v>
      </c>
      <c r="AE1889" s="18" t="s">
        <v>44</v>
      </c>
    </row>
    <row r="1890" customFormat="false" ht="15" hidden="false" customHeight="true" outlineLevel="0" collapsed="false">
      <c r="A1890" s="12" t="n">
        <v>18658</v>
      </c>
      <c r="B1890" s="13" t="s">
        <v>8207</v>
      </c>
      <c r="C1890" s="14" t="n">
        <v>45694</v>
      </c>
      <c r="D1890" s="13" t="s">
        <v>5903</v>
      </c>
      <c r="E1890" s="15" t="s">
        <v>33</v>
      </c>
      <c r="F1890" s="24" t="s">
        <v>8208</v>
      </c>
      <c r="G1890" s="13" t="s">
        <v>8209</v>
      </c>
      <c r="H1890" s="13" t="s">
        <v>35</v>
      </c>
      <c r="I1890" s="13" t="str">
        <f aca="false">IF(C1890=J1890,"NEW KONTRAK","RE-KONTRAK")</f>
        <v>RE-KONTRAK</v>
      </c>
      <c r="J1890" s="16" t="n">
        <f aca="false" t="array" ref="J1890:J1890">IFERROR(INDEX(AC1890:AE1890,IF(COUNTA(AC1890:AE1890)=0,"",MAX((AC1890:AE1890&lt;&gt;"")*(COLUMN(AC1890:AE1890)-(COLUMN(AC1890)))))-1),"")</f>
        <v>45778</v>
      </c>
      <c r="K1890" s="16" t="n">
        <f aca="false" t="array" ref="K1890:K1890">IFERROR(INDEX(AC1890:AE1890,IF(COUNTA(AC1890:AE1890)=0,"",MAX((AC1890:AE1890&lt;&gt;"")*(COLUMN(AC1890:AE1890)-(COLUMN(AC1890)-1))))-1),"")</f>
        <v>46142</v>
      </c>
      <c r="L1890" s="17" t="str">
        <f aca="false" t="array" ref="L1890:L1890">IFERROR(INDEX(AC1890:AE1890,IF(COUNTA(AC1890:AE1890)=0,"",MAX((AC1890:AE1890&lt;&gt;"")*(COLUMN(AC1890:AE1890)-(COLUMN(AC1890)-2))))-1),"")</f>
        <v>ARCHIVED</v>
      </c>
      <c r="M1890" s="13" t="n">
        <f aca="true">K1890-TODAY()</f>
        <v>-182</v>
      </c>
      <c r="N1890" s="50" t="s">
        <v>728</v>
      </c>
      <c r="O1890" s="13" t="s">
        <v>3510</v>
      </c>
      <c r="P1890" s="27" t="n">
        <v>2500000</v>
      </c>
      <c r="Q1890" s="20" t="s">
        <v>8210</v>
      </c>
      <c r="R1890" s="13" t="s">
        <v>65</v>
      </c>
      <c r="S1890" s="14" t="n">
        <v>36816</v>
      </c>
      <c r="T1890" s="13" t="s">
        <v>40</v>
      </c>
      <c r="U1890" s="13" t="s">
        <v>8211</v>
      </c>
      <c r="V1890" s="13" t="s">
        <v>42</v>
      </c>
      <c r="W1890" s="13" t="s">
        <v>43</v>
      </c>
      <c r="X1890" s="30" t="n">
        <v>85877738721</v>
      </c>
      <c r="Y1890" s="22" t="str">
        <f aca="false">O1890</f>
        <v>Teknisi</v>
      </c>
      <c r="Z1890" s="13" t="str">
        <f aca="false">IFERROR(__xludf.dummyfunction("if(BJ1890="""","""",GOOGLETRANSLATE(BJ1890,""auto"",""en""))"),"Technician")</f>
        <v>Technician</v>
      </c>
      <c r="AA1890" s="23" t="str">
        <f aca="false">IF(C1890="","", CHOOSE(MONTH(C1890),"January","February","March","April","May","June","July","August","September","October","November","December")&amp;" "&amp;DAY(C1890)&amp;MID("thstndrdth",MIN(9,2*RIGHT(DAY(C1890))*(MOD(DAY(C1890)-11,100)&gt;2)+1),2)&amp;","&amp;TEXT(C1890," yyyy"))</f>
        <v>February 6th,2025</v>
      </c>
      <c r="AB1890" s="15" t="str">
        <f aca="true">IF(S1890="","",DATEDIF(S1890,TODAY(),"Y")&amp;" Tahun, "&amp;DATEDIF(S1890,TODAY(),"YM")&amp;" Bulan, "&amp;DATEDIF(S1890,TODAY(),"MD")&amp;" Hari")</f>
        <v>26 Tahun, 0 Bulan, 12 Hari</v>
      </c>
      <c r="AC1890" s="18" t="n">
        <v>45778</v>
      </c>
      <c r="AD1890" s="18" t="n">
        <v>46142</v>
      </c>
      <c r="AE1890" s="18" t="s">
        <v>44</v>
      </c>
    </row>
    <row r="1891" customFormat="false" ht="15" hidden="false" customHeight="true" outlineLevel="0" collapsed="false">
      <c r="A1891" s="12" t="n">
        <v>18669</v>
      </c>
      <c r="B1891" s="13" t="s">
        <v>8212</v>
      </c>
      <c r="C1891" s="14" t="n">
        <v>45699</v>
      </c>
      <c r="D1891" s="13" t="s">
        <v>144</v>
      </c>
      <c r="E1891" s="15" t="s">
        <v>47</v>
      </c>
      <c r="F1891" s="15" t="str">
        <f aca="false">IFERROR(__xludf.dummyfunction("XLOOKUP(AJ1891,IMPORTRANGE(""1XaInW9DU9nz21V0tYIfzFQ0He9kVQ_JF2mCXgZ3hqFA"",""REKAP ALL 2026 - Andika!G:G""),IMPORTRANGE(""1XaInW9DU9nz21V0tYIfzFQ0He9kVQ_JF2mCXgZ3hqFA"",""REKAP ALL 2026 - Andika!F:F""),"""",0)"),"25022308255")</f>
        <v>25022308255</v>
      </c>
      <c r="G1891" s="13" t="s">
        <v>8213</v>
      </c>
      <c r="H1891" s="13" t="s">
        <v>35</v>
      </c>
      <c r="I1891" s="13" t="str">
        <f aca="false">IF(C1891=J1891,"NEW KONTRAK","RE-KONTRAK")</f>
        <v>NEW KONTRAK</v>
      </c>
      <c r="J1891" s="16" t="n">
        <f aca="false" t="array" ref="J1891:J1891">IFERROR(INDEX(AC1891:AE1891,IF(COUNTA(AC1891:AE1891)=0,"",MAX((AC1891:AE1891&lt;&gt;"")*(COLUMN(AC1891:AE1891)-(COLUMN(AC1891)))))-1),"")</f>
        <v>45699</v>
      </c>
      <c r="K1891" s="16" t="n">
        <f aca="false" t="array" ref="K1891:K1891">IFERROR(INDEX(AC1891:AE1891,IF(COUNTA(AC1891:AE1891)=0,"",MAX((AC1891:AE1891&lt;&gt;"")*(COLUMN(AC1891:AE1891)-(COLUMN(AC1891)-1))))-1),"")</f>
        <v>46022</v>
      </c>
      <c r="L1891" s="17" t="str">
        <f aca="false" t="array" ref="L1891:L1891">IFERROR(INDEX(AC1891:AE1891,IF(COUNTA(AC1891:AE1891)=0,"",MAX((AC1891:AE1891&lt;&gt;"")*(COLUMN(AC1891:AE1891)-(COLUMN(AC1891)-2))))-1),"")</f>
        <v>ARCHIVED</v>
      </c>
      <c r="M1891" s="13" t="n">
        <f aca="true">K1891-TODAY()</f>
        <v>-302</v>
      </c>
      <c r="N1891" s="18" t="s">
        <v>36</v>
      </c>
      <c r="O1891" s="13" t="s">
        <v>8214</v>
      </c>
      <c r="P1891" s="19" t="n">
        <v>5195401</v>
      </c>
      <c r="Q1891" s="20" t="s">
        <v>8215</v>
      </c>
      <c r="R1891" s="13" t="s">
        <v>65</v>
      </c>
      <c r="S1891" s="14" t="n">
        <v>36414</v>
      </c>
      <c r="T1891" s="13" t="s">
        <v>108</v>
      </c>
      <c r="U1891" s="13" t="s">
        <v>8216</v>
      </c>
      <c r="V1891" s="13" t="s">
        <v>42</v>
      </c>
      <c r="W1891" s="13" t="s">
        <v>43</v>
      </c>
      <c r="X1891" s="21" t="n">
        <v>85706298552</v>
      </c>
      <c r="Y1891" s="22" t="str">
        <f aca="false">O1891</f>
        <v>Admin Finance</v>
      </c>
      <c r="Z1891" s="13" t="str">
        <f aca="false">IFERROR(__xludf.dummyfunction("if(BJ1891="""","""",GOOGLETRANSLATE(BJ1891,""auto"",""en""))"),"Admin Finance")</f>
        <v>Admin Finance</v>
      </c>
      <c r="AA1891" s="23" t="str">
        <f aca="false">IF(C1891="","", CHOOSE(MONTH(C1891),"January","February","March","April","May","June","July","August","September","October","November","December")&amp;" "&amp;DAY(C1891)&amp;MID("thstndrdth",MIN(9,2*RIGHT(DAY(C1891))*(MOD(DAY(C1891)-11,100)&gt;2)+1),2)&amp;","&amp;TEXT(C1891," yyyy"))</f>
        <v>February 11th,2025</v>
      </c>
      <c r="AB1891" s="15" t="str">
        <f aca="true">IF(S1891="","",DATEDIF(S1891,TODAY(),"Y")&amp;" Tahun, "&amp;DATEDIF(S1891,TODAY(),"YM")&amp;" Bulan, "&amp;DATEDIF(S1891,TODAY(),"MD")&amp;" Hari")</f>
        <v>27 Tahun, 1 Bulan, 18 Hari</v>
      </c>
      <c r="AC1891" s="18" t="n">
        <v>45699</v>
      </c>
      <c r="AD1891" s="18" t="n">
        <v>46022</v>
      </c>
      <c r="AE1891" s="18" t="s">
        <v>44</v>
      </c>
    </row>
    <row r="1892" customFormat="false" ht="15" hidden="false" customHeight="true" outlineLevel="0" collapsed="false">
      <c r="A1892" s="12" t="n">
        <v>18673</v>
      </c>
      <c r="B1892" s="13" t="s">
        <v>8217</v>
      </c>
      <c r="C1892" s="14" t="n">
        <v>45700</v>
      </c>
      <c r="D1892" s="13" t="s">
        <v>144</v>
      </c>
      <c r="E1892" s="15" t="s">
        <v>47</v>
      </c>
      <c r="F1892" s="15" t="str">
        <f aca="false">IFERROR(__xludf.dummyfunction("XLOOKUP(AJ1892,IMPORTRANGE(""1XaInW9DU9nz21V0tYIfzFQ0He9kVQ_JF2mCXgZ3hqFA"",""REKAP ALL 2026 - Andika!G:G""),IMPORTRANGE(""1XaInW9DU9nz21V0tYIfzFQ0He9kVQ_JF2mCXgZ3hqFA"",""REKAP ALL 2026 - Andika!F:F""),"""",0)"),"25022308206")</f>
        <v>25022308206</v>
      </c>
      <c r="G1892" s="13" t="s">
        <v>8218</v>
      </c>
      <c r="H1892" s="13" t="s">
        <v>35</v>
      </c>
      <c r="I1892" s="13" t="str">
        <f aca="false">IF(C1892=J1892,"NEW KONTRAK","RE-KONTRAK")</f>
        <v>NEW KONTRAK</v>
      </c>
      <c r="J1892" s="16" t="n">
        <f aca="false" t="array" ref="J1892:J1892">IFERROR(INDEX(AC1892:AE1892,IF(COUNTA(AC1892:AE1892)=0,"",MAX((AC1892:AE1892&lt;&gt;"")*(COLUMN(AC1892:AE1892)-(COLUMN(AC1892)))))-1),"")</f>
        <v>45700</v>
      </c>
      <c r="K1892" s="16" t="n">
        <f aca="false" t="array" ref="K1892:K1892">IFERROR(INDEX(AC1892:AE1892,IF(COUNTA(AC1892:AE1892)=0,"",MAX((AC1892:AE1892&lt;&gt;"")*(COLUMN(AC1892:AE1892)-(COLUMN(AC1892)-1))))-1),"")</f>
        <v>46022</v>
      </c>
      <c r="L1892" s="17" t="str">
        <f aca="false" t="array" ref="L1892:L1892">IFERROR(INDEX(AC1892:AE1892,IF(COUNTA(AC1892:AE1892)=0,"",MAX((AC1892:AE1892&lt;&gt;"")*(COLUMN(AC1892:AE1892)-(COLUMN(AC1892)-2))))-1),"")</f>
        <v>ARCHIVED</v>
      </c>
      <c r="M1892" s="13" t="n">
        <f aca="true">K1892-TODAY()</f>
        <v>-302</v>
      </c>
      <c r="N1892" s="18" t="s">
        <v>36</v>
      </c>
      <c r="O1892" s="13" t="s">
        <v>719</v>
      </c>
      <c r="P1892" s="19" t="n">
        <v>5195401</v>
      </c>
      <c r="Q1892" s="20" t="s">
        <v>8219</v>
      </c>
      <c r="R1892" s="13" t="s">
        <v>324</v>
      </c>
      <c r="S1892" s="14" t="n">
        <v>38197</v>
      </c>
      <c r="T1892" s="13" t="s">
        <v>40</v>
      </c>
      <c r="U1892" s="13" t="s">
        <v>8220</v>
      </c>
      <c r="V1892" s="13" t="s">
        <v>42</v>
      </c>
      <c r="W1892" s="13" t="s">
        <v>43</v>
      </c>
      <c r="X1892" s="21" t="n">
        <v>81333598121</v>
      </c>
      <c r="Y1892" s="22" t="str">
        <f aca="false">O1892</f>
        <v>Cleaning Service</v>
      </c>
      <c r="Z1892" s="13" t="str">
        <f aca="false">IFERROR(__xludf.dummyfunction("if(BJ1892="""","""",GOOGLETRANSLATE(BJ1892,""auto"",""en""))"),"Cleaning Service")</f>
        <v>Cleaning Service</v>
      </c>
      <c r="AA1892" s="23" t="str">
        <f aca="false">IF(C1892="","", CHOOSE(MONTH(C1892),"January","February","March","April","May","June","July","August","September","October","November","December")&amp;" "&amp;DAY(C1892)&amp;MID("thstndrdth",MIN(9,2*RIGHT(DAY(C1892))*(MOD(DAY(C1892)-11,100)&gt;2)+1),2)&amp;","&amp;TEXT(C1892," yyyy"))</f>
        <v>February 12th,2025</v>
      </c>
      <c r="AB1892" s="15" t="str">
        <f aca="true">IF(S1892="","",DATEDIF(S1892,TODAY(),"Y")&amp;" Tahun, "&amp;DATEDIF(S1892,TODAY(),"YM")&amp;" Bulan, "&amp;DATEDIF(S1892,TODAY(),"MD")&amp;" Hari")</f>
        <v>22 Tahun, 3 Bulan, 0 Hari</v>
      </c>
      <c r="AC1892" s="18" t="n">
        <v>45700</v>
      </c>
      <c r="AD1892" s="18" t="n">
        <v>46022</v>
      </c>
      <c r="AE1892" s="18" t="s">
        <v>44</v>
      </c>
    </row>
    <row r="1893" customFormat="false" ht="15" hidden="false" customHeight="true" outlineLevel="0" collapsed="false">
      <c r="A1893" s="12" t="n">
        <v>18687</v>
      </c>
      <c r="B1893" s="13" t="s">
        <v>8221</v>
      </c>
      <c r="C1893" s="14" t="n">
        <v>45694</v>
      </c>
      <c r="D1893" s="13" t="s">
        <v>5903</v>
      </c>
      <c r="E1893" s="15" t="s">
        <v>33</v>
      </c>
      <c r="F1893" s="24" t="s">
        <v>8222</v>
      </c>
      <c r="G1893" s="13" t="s">
        <v>8223</v>
      </c>
      <c r="H1893" s="13" t="s">
        <v>35</v>
      </c>
      <c r="I1893" s="13" t="str">
        <f aca="false">IF(C1893=J1893,"NEW KONTRAK","RE-KONTRAK")</f>
        <v>RE-KONTRAK</v>
      </c>
      <c r="J1893" s="16" t="n">
        <f aca="false" t="array" ref="J1893:J1893">IFERROR(INDEX(AC1893:AE1893,IF(COUNTA(AC1893:AE1893)=0,"",MAX((AC1893:AE1893&lt;&gt;"")*(COLUMN(AC1893:AE1893)-(COLUMN(AC1893)))))-1),"")</f>
        <v>45778</v>
      </c>
      <c r="K1893" s="16" t="n">
        <f aca="false" t="array" ref="K1893:K1893">IFERROR(INDEX(AC1893:AE1893,IF(COUNTA(AC1893:AE1893)=0,"",MAX((AC1893:AE1893&lt;&gt;"")*(COLUMN(AC1893:AE1893)-(COLUMN(AC1893)-1))))-1),"")</f>
        <v>46142</v>
      </c>
      <c r="L1893" s="17" t="str">
        <f aca="false" t="array" ref="L1893:L1893">IFERROR(INDEX(AC1893:AE1893,IF(COUNTA(AC1893:AE1893)=0,"",MAX((AC1893:AE1893&lt;&gt;"")*(COLUMN(AC1893:AE1893)-(COLUMN(AC1893)-2))))-1),"")</f>
        <v>ARCHIVED</v>
      </c>
      <c r="M1893" s="13" t="n">
        <f aca="true">K1893-TODAY()</f>
        <v>-182</v>
      </c>
      <c r="N1893" s="50" t="s">
        <v>728</v>
      </c>
      <c r="O1893" s="13" t="s">
        <v>3510</v>
      </c>
      <c r="P1893" s="27" t="n">
        <v>2500000</v>
      </c>
      <c r="Q1893" s="20" t="s">
        <v>8224</v>
      </c>
      <c r="R1893" s="13" t="s">
        <v>39</v>
      </c>
      <c r="S1893" s="14" t="n">
        <v>35302</v>
      </c>
      <c r="T1893" s="13" t="s">
        <v>40</v>
      </c>
      <c r="U1893" s="13" t="s">
        <v>8225</v>
      </c>
      <c r="V1893" s="13" t="s">
        <v>42</v>
      </c>
      <c r="W1893" s="13" t="s">
        <v>54</v>
      </c>
      <c r="X1893" s="21" t="n">
        <v>87737536689</v>
      </c>
      <c r="Y1893" s="22" t="str">
        <f aca="false">O1893</f>
        <v>Teknisi</v>
      </c>
      <c r="Z1893" s="13" t="str">
        <f aca="false">IFERROR(__xludf.dummyfunction("if(BJ1893="""","""",GOOGLETRANSLATE(BJ1893,""auto"",""en""))"),"Technician")</f>
        <v>Technician</v>
      </c>
      <c r="AA1893" s="23" t="str">
        <f aca="false">IF(C1893="","", CHOOSE(MONTH(C1893),"January","February","March","April","May","June","July","August","September","October","November","December")&amp;" "&amp;DAY(C1893)&amp;MID("thstndrdth",MIN(9,2*RIGHT(DAY(C1893))*(MOD(DAY(C1893)-11,100)&gt;2)+1),2)&amp;","&amp;TEXT(C1893," yyyy"))</f>
        <v>February 6th,2025</v>
      </c>
      <c r="AB1893" s="15" t="str">
        <f aca="true">IF(S1893="","",DATEDIF(S1893,TODAY(),"Y")&amp;" Tahun, "&amp;DATEDIF(S1893,TODAY(),"YM")&amp;" Bulan, "&amp;DATEDIF(S1893,TODAY(),"MD")&amp;" Hari")</f>
        <v>30 Tahun, 2 Bulan, 4 Hari</v>
      </c>
      <c r="AC1893" s="18" t="n">
        <v>45778</v>
      </c>
      <c r="AD1893" s="18" t="n">
        <v>46142</v>
      </c>
      <c r="AE1893" s="18" t="s">
        <v>44</v>
      </c>
    </row>
    <row r="1894" customFormat="false" ht="15" hidden="false" customHeight="true" outlineLevel="0" collapsed="false">
      <c r="A1894" s="12" t="n">
        <v>18688</v>
      </c>
      <c r="B1894" s="13" t="s">
        <v>8226</v>
      </c>
      <c r="C1894" s="14" t="n">
        <v>45700</v>
      </c>
      <c r="D1894" s="13" t="s">
        <v>8227</v>
      </c>
      <c r="E1894" s="15" t="s">
        <v>47</v>
      </c>
      <c r="F1894" s="24" t="s">
        <v>8228</v>
      </c>
      <c r="G1894" s="13" t="s">
        <v>2809</v>
      </c>
      <c r="H1894" s="13" t="s">
        <v>35</v>
      </c>
      <c r="I1894" s="13" t="str">
        <f aca="false">IF(C1894=J1894,"NEW KONTRAK","RE-KONTRAK")</f>
        <v>NEW KONTRAK</v>
      </c>
      <c r="J1894" s="16" t="n">
        <f aca="false" t="array" ref="J1894:J1894">IFERROR(INDEX(AC1894:AE1894,IF(COUNTA(AC1894:AE1894)=0,"",MAX((AC1894:AE1894&lt;&gt;"")*(COLUMN(AC1894:AE1894)-(COLUMN(AC1894)))))-1),"")</f>
        <v>45700</v>
      </c>
      <c r="K1894" s="16" t="n">
        <f aca="false" t="array" ref="K1894:K1894">IFERROR(INDEX(AC1894:AE1894,IF(COUNTA(AC1894:AE1894)=0,"",MAX((AC1894:AE1894&lt;&gt;"")*(COLUMN(AC1894:AE1894)-(COLUMN(AC1894)-1))))-1),"")</f>
        <v>45869</v>
      </c>
      <c r="L1894" s="17" t="str">
        <f aca="false" t="array" ref="L1894:L1894">IFERROR(INDEX(AC1894:AE1894,IF(COUNTA(AC1894:AE1894)=0,"",MAX((AC1894:AE1894&lt;&gt;"")*(COLUMN(AC1894:AE1894)-(COLUMN(AC1894)-2))))-1),"")</f>
        <v>ARCHIVED</v>
      </c>
      <c r="M1894" s="13" t="n">
        <f aca="true">K1894-TODAY()</f>
        <v>-455</v>
      </c>
      <c r="N1894" s="18" t="s">
        <v>728</v>
      </c>
      <c r="O1894" s="13" t="s">
        <v>8229</v>
      </c>
      <c r="P1894" s="19" t="n">
        <v>2750000</v>
      </c>
      <c r="Q1894" s="20" t="s">
        <v>8230</v>
      </c>
      <c r="R1894" s="13" t="s">
        <v>52</v>
      </c>
      <c r="S1894" s="14" t="n">
        <v>36600</v>
      </c>
      <c r="T1894" s="13" t="s">
        <v>40</v>
      </c>
      <c r="U1894" s="13" t="s">
        <v>8231</v>
      </c>
      <c r="V1894" s="13" t="s">
        <v>42</v>
      </c>
      <c r="W1894" s="13" t="s">
        <v>54</v>
      </c>
      <c r="X1894" s="21" t="n">
        <v>89512201698</v>
      </c>
      <c r="Y1894" s="22" t="str">
        <f aca="false">O1894</f>
        <v>Handling / Tally</v>
      </c>
      <c r="Z1894" s="13" t="str">
        <f aca="false">IFERROR(__xludf.dummyfunction("if(BJ1894="""","""",GOOGLETRANSLATE(BJ1894,""auto"",""en""))"),"Handling / Tally")</f>
        <v>Handling / Tally</v>
      </c>
      <c r="AA1894" s="23" t="str">
        <f aca="false">IF(C1894="","", CHOOSE(MONTH(C1894),"January","February","March","April","May","June","July","August","September","October","November","December")&amp;" "&amp;DAY(C1894)&amp;MID("thstndrdth",MIN(9,2*RIGHT(DAY(C1894))*(MOD(DAY(C1894)-11,100)&gt;2)+1),2)&amp;","&amp;TEXT(C1894," yyyy"))</f>
        <v>February 12th,2025</v>
      </c>
      <c r="AB1894" s="15" t="str">
        <f aca="true">IF(S1894="","",DATEDIF(S1894,TODAY(),"Y")&amp;" Tahun, "&amp;DATEDIF(S1894,TODAY(),"YM")&amp;" Bulan, "&amp;DATEDIF(S1894,TODAY(),"MD")&amp;" Hari")</f>
        <v>26 Tahun, 7 Bulan, 14 Hari</v>
      </c>
      <c r="AC1894" s="70" t="n">
        <v>45700</v>
      </c>
      <c r="AD1894" s="70" t="n">
        <v>45869</v>
      </c>
      <c r="AE1894" s="70" t="s">
        <v>44</v>
      </c>
    </row>
    <row r="1895" customFormat="false" ht="15" hidden="false" customHeight="true" outlineLevel="0" collapsed="false">
      <c r="A1895" s="12" t="n">
        <v>18690</v>
      </c>
      <c r="B1895" s="13" t="s">
        <v>8232</v>
      </c>
      <c r="C1895" s="14" t="n">
        <v>45674</v>
      </c>
      <c r="D1895" s="13" t="s">
        <v>4252</v>
      </c>
      <c r="E1895" s="15" t="s">
        <v>33</v>
      </c>
      <c r="F1895" s="24" t="s">
        <v>8233</v>
      </c>
      <c r="G1895" s="13" t="s">
        <v>57</v>
      </c>
      <c r="H1895" s="13" t="s">
        <v>35</v>
      </c>
      <c r="I1895" s="13" t="str">
        <f aca="false">IF(C1895=J1895,"NEW KONTRAK","RE-KONTRAK")</f>
        <v>RE-KONTRAK</v>
      </c>
      <c r="J1895" s="16" t="n">
        <f aca="false" t="array" ref="J1895:J1895">IFERROR(INDEX(AC1895:AE1895,IF(COUNTA(AC1895:AE1895)=0,"",MAX((AC1895:AE1895&lt;&gt;"")*(COLUMN(AC1895:AE1895)-(COLUMN(AC1895)))))-1),"")</f>
        <v>45764</v>
      </c>
      <c r="K1895" s="16" t="n">
        <f aca="false" t="array" ref="K1895:K1895">IFERROR(INDEX(AC1895:AE1895,IF(COUNTA(AC1895:AE1895)=0,"",MAX((AC1895:AE1895&lt;&gt;"")*(COLUMN(AC1895:AE1895)-(COLUMN(AC1895)-1))))-1),"")</f>
        <v>45946</v>
      </c>
      <c r="L1895" s="17" t="str">
        <f aca="false" t="array" ref="L1895:L1895">IFERROR(INDEX(AC1895:AE1895,IF(COUNTA(AC1895:AE1895)=0,"",MAX((AC1895:AE1895&lt;&gt;"")*(COLUMN(AC1895:AE1895)-(COLUMN(AC1895)-2))))-1),"")</f>
        <v>ARCHIVED</v>
      </c>
      <c r="M1895" s="13" t="n">
        <f aca="true">K1895-TODAY()</f>
        <v>-378</v>
      </c>
      <c r="N1895" s="18" t="s">
        <v>36</v>
      </c>
      <c r="O1895" s="13" t="s">
        <v>4274</v>
      </c>
      <c r="P1895" s="19" t="n">
        <v>200000</v>
      </c>
      <c r="Q1895" s="20" t="s">
        <v>8234</v>
      </c>
      <c r="R1895" s="13" t="s">
        <v>73</v>
      </c>
      <c r="S1895" s="14" t="n">
        <v>34040</v>
      </c>
      <c r="T1895" s="28" t="s">
        <v>40</v>
      </c>
      <c r="U1895" s="13" t="s">
        <v>8235</v>
      </c>
      <c r="V1895" s="13" t="s">
        <v>42</v>
      </c>
      <c r="W1895" s="13" t="s">
        <v>43</v>
      </c>
      <c r="X1895" s="30" t="n">
        <v>85789513433</v>
      </c>
      <c r="Y1895" s="22" t="str">
        <f aca="false">O1895</f>
        <v>Operator Extruder</v>
      </c>
      <c r="Z1895" s="13" t="str">
        <f aca="false">IFERROR(__xludf.dummyfunction("if(BJ1895="""","""",GOOGLETRANSLATE(BJ1895,""auto"",""en""))"),"Operator Extruder")</f>
        <v>Operator Extruder</v>
      </c>
      <c r="AA1895" s="23" t="str">
        <f aca="false">IF(C1895="","", CHOOSE(MONTH(C1895),"January","February","March","April","May","June","July","August","September","October","November","December")&amp;" "&amp;DAY(C1895)&amp;MID("thstndrdth",MIN(9,2*RIGHT(DAY(C1895))*(MOD(DAY(C1895)-11,100)&gt;2)+1),2)&amp;","&amp;TEXT(C1895," yyyy"))</f>
        <v>January 17th,2025</v>
      </c>
      <c r="AB1895" s="15" t="str">
        <f aca="true">IF(S1895="","",DATEDIF(S1895,TODAY(),"Y")&amp;" Tahun, "&amp;DATEDIF(S1895,TODAY(),"YM")&amp;" Bulan, "&amp;DATEDIF(S1895,TODAY(),"MD")&amp;" Hari")</f>
        <v>33 Tahun, 7 Bulan, 17 Hari</v>
      </c>
      <c r="AC1895" s="18" t="n">
        <v>45764</v>
      </c>
      <c r="AD1895" s="18" t="n">
        <v>45946</v>
      </c>
      <c r="AE1895" s="18" t="s">
        <v>44</v>
      </c>
    </row>
    <row r="1896" customFormat="false" ht="15" hidden="false" customHeight="true" outlineLevel="0" collapsed="false">
      <c r="A1896" s="12" t="n">
        <v>18692</v>
      </c>
      <c r="B1896" s="13" t="s">
        <v>8236</v>
      </c>
      <c r="C1896" s="14" t="n">
        <v>45923</v>
      </c>
      <c r="D1896" s="13" t="s">
        <v>4610</v>
      </c>
      <c r="E1896" s="15" t="s">
        <v>47</v>
      </c>
      <c r="F1896" s="15" t="str">
        <f aca="false">IFERROR(__xludf.dummyfunction("XLOOKUP(AJ1896,IMPORTRANGE(""1XaInW9DU9nz21V0tYIfzFQ0He9kVQ_JF2mCXgZ3hqFA"",""REKAP ALL 2026 - Andika!G:G""),IMPORTRANGE(""1XaInW9DU9nz21V0tYIfzFQ0He9kVQ_JF2mCXgZ3hqFA"",""REKAP ALL 2026 - Andika!F:F""),"""",0)"),"25133240512")</f>
        <v>25133240512</v>
      </c>
      <c r="G1896" s="13" t="s">
        <v>57</v>
      </c>
      <c r="H1896" s="13" t="s">
        <v>35</v>
      </c>
      <c r="I1896" s="13" t="str">
        <f aca="false">IF(C1896=J1896,"NEW KONTRAK","RE-KONTRAK")</f>
        <v>NEW KONTRAK</v>
      </c>
      <c r="J1896" s="16" t="n">
        <f aca="false" t="array" ref="J1896:J1896">IFERROR(INDEX(AC1896:AE1896,IF(COUNTA(AC1896:AE1896)=0,"",MAX((AC1896:AE1896&lt;&gt;"")*(COLUMN(AC1896:AE1896)-(COLUMN(AC1896)))))-1),"")</f>
        <v>45923</v>
      </c>
      <c r="K1896" s="16" t="n">
        <f aca="false" t="array" ref="K1896:K1896">IFERROR(INDEX(AC1896:AE1896,IF(COUNTA(AC1896:AE1896)=0,"",MAX((AC1896:AE1896&lt;&gt;"")*(COLUMN(AC1896:AE1896)-(COLUMN(AC1896)-1))))-1),"")</f>
        <v>46013</v>
      </c>
      <c r="L1896" s="17" t="str">
        <f aca="false" t="array" ref="L1896:L1896">IFERROR(INDEX(AC1896:AE1896,IF(COUNTA(AC1896:AE1896)=0,"",MAX((AC1896:AE1896&lt;&gt;"")*(COLUMN(AC1896:AE1896)-(COLUMN(AC1896)-2))))-1),"")</f>
        <v>ARCHIVED</v>
      </c>
      <c r="M1896" s="13" t="n">
        <f aca="true">K1896-TODAY()</f>
        <v>-311</v>
      </c>
      <c r="N1896" s="18" t="s">
        <v>36</v>
      </c>
      <c r="O1896" s="13" t="s">
        <v>4280</v>
      </c>
      <c r="P1896" s="27" t="n">
        <v>120000</v>
      </c>
      <c r="Q1896" s="20" t="s">
        <v>8237</v>
      </c>
      <c r="R1896" s="13" t="s">
        <v>65</v>
      </c>
      <c r="S1896" s="14" t="n">
        <v>35619</v>
      </c>
      <c r="T1896" s="28" t="s">
        <v>40</v>
      </c>
      <c r="U1896" s="13" t="s">
        <v>8238</v>
      </c>
      <c r="V1896" s="13" t="s">
        <v>42</v>
      </c>
      <c r="W1896" s="13" t="s">
        <v>54</v>
      </c>
      <c r="X1896" s="30" t="n">
        <v>82200379176</v>
      </c>
      <c r="Y1896" s="22" t="str">
        <f aca="false">O1896</f>
        <v>Helper Cutting</v>
      </c>
      <c r="Z1896" s="13" t="str">
        <f aca="false">IFERROR(__xludf.dummyfunction("if(BJ1896="""","""",GOOGLETRANSLATE(BJ1896,""auto"",""en""))"),"Helper Cutting")</f>
        <v>Helper Cutting</v>
      </c>
      <c r="AA1896" s="23" t="str">
        <f aca="false">IF(C1896="","", CHOOSE(MONTH(C1896),"January","February","March","April","May","June","July","August","September","October","November","December")&amp;" "&amp;DAY(C1896)&amp;MID("thstndrdth",MIN(9,2*RIGHT(DAY(C1896))*(MOD(DAY(C1896)-11,100)&gt;2)+1),2)&amp;","&amp;TEXT(C1896," yyyy"))</f>
        <v>September 23rd,2025</v>
      </c>
      <c r="AB1896" s="15" t="str">
        <f aca="true">IF(S1896="","",DATEDIF(S1896,TODAY(),"Y")&amp;" Tahun, "&amp;DATEDIF(S1896,TODAY(),"YM")&amp;" Bulan, "&amp;DATEDIF(S1896,TODAY(),"MD")&amp;" Hari")</f>
        <v>29 Tahun, 3 Bulan, 21 Hari</v>
      </c>
      <c r="AC1896" s="18" t="n">
        <v>45923</v>
      </c>
      <c r="AD1896" s="18" t="n">
        <f aca="false">EDATE(AC1896,3)-1</f>
        <v>46013</v>
      </c>
      <c r="AE1896" s="18" t="s">
        <v>44</v>
      </c>
    </row>
    <row r="1897" customFormat="false" ht="15" hidden="false" customHeight="true" outlineLevel="0" collapsed="false">
      <c r="A1897" s="12" t="n">
        <v>18693</v>
      </c>
      <c r="B1897" s="13" t="s">
        <v>8239</v>
      </c>
      <c r="C1897" s="14" t="n">
        <v>45682</v>
      </c>
      <c r="D1897" s="13" t="s">
        <v>8240</v>
      </c>
      <c r="E1897" s="15" t="s">
        <v>47</v>
      </c>
      <c r="F1897" s="15" t="str">
        <f aca="false">IFERROR(__xludf.dummyfunction("XLOOKUP(AJ1897,IMPORTRANGE(""1XaInW9DU9nz21V0tYIfzFQ0He9kVQ_JF2mCXgZ3hqFA"",""REKAP ALL 2026 - Andika!G:G""),IMPORTRANGE(""1XaInW9DU9nz21V0tYIfzFQ0He9kVQ_JF2mCXgZ3hqFA"",""REKAP ALL 2026 - Andika!F:F""),"""",0)"),"25026106119")</f>
        <v>25026106119</v>
      </c>
      <c r="G1897" s="15" t="s">
        <v>57</v>
      </c>
      <c r="H1897" s="13" t="s">
        <v>35</v>
      </c>
      <c r="I1897" s="13" t="str">
        <f aca="false">IF(C1897=J1897,"NEW KONTRAK","RE-KONTRAK")</f>
        <v>RE-KONTRAK</v>
      </c>
      <c r="J1897" s="16" t="n">
        <f aca="false" t="array" ref="J1897:J1897">IFERROR(INDEX(AC1897:AE1897,IF(COUNTA(AC1897:AE1897)=0,"",MAX((AC1897:AE1897&lt;&gt;"")*(COLUMN(AC1897:AE1897)-(COLUMN(AC1897)))))-1),"")</f>
        <v>45855</v>
      </c>
      <c r="K1897" s="16" t="n">
        <f aca="false" t="array" ref="K1897:K1897">IFERROR(INDEX(AC1897:AE1897,IF(COUNTA(AC1897:AE1897)=0,"",MAX((AC1897:AE1897&lt;&gt;"")*(COLUMN(AC1897:AE1897)-(COLUMN(AC1897)-1))))-1),"")</f>
        <v>45946</v>
      </c>
      <c r="L1897" s="17" t="str">
        <f aca="false" t="array" ref="L1897:L1897">IFERROR(INDEX(AC1897:AE1897,IF(COUNTA(AC1897:AE1897)=0,"",MAX((AC1897:AE1897&lt;&gt;"")*(COLUMN(AC1897:AE1897)-(COLUMN(AC1897)-2))))-1),"")</f>
        <v>ARCHIVED</v>
      </c>
      <c r="M1897" s="13" t="n">
        <f aca="true">K1897-TODAY()</f>
        <v>-378</v>
      </c>
      <c r="N1897" s="18" t="s">
        <v>36</v>
      </c>
      <c r="O1897" s="13" t="s">
        <v>8241</v>
      </c>
      <c r="P1897" s="19" t="n">
        <v>140000</v>
      </c>
      <c r="Q1897" s="20" t="s">
        <v>8242</v>
      </c>
      <c r="R1897" s="13" t="s">
        <v>39</v>
      </c>
      <c r="S1897" s="14" t="n">
        <v>37328</v>
      </c>
      <c r="T1897" s="28" t="s">
        <v>40</v>
      </c>
      <c r="U1897" s="13" t="s">
        <v>8243</v>
      </c>
      <c r="V1897" s="13" t="s">
        <v>42</v>
      </c>
      <c r="W1897" s="13" t="s">
        <v>43</v>
      </c>
      <c r="X1897" s="21" t="n">
        <v>82144985841</v>
      </c>
      <c r="Y1897" s="22" t="str">
        <f aca="false">O1897</f>
        <v>Helper Mixing</v>
      </c>
      <c r="Z1897" s="13" t="str">
        <f aca="false">IFERROR(__xludf.dummyfunction("if(BJ1897="""","""",GOOGLETRANSLATE(BJ1897,""auto"",""en""))"),"Helper Mixing")</f>
        <v>Helper Mixing</v>
      </c>
      <c r="AA1897" s="23" t="str">
        <f aca="false">IF(C1897="","", CHOOSE(MONTH(C1897),"January","February","March","April","May","June","July","August","September","October","November","December")&amp;" "&amp;DAY(C1897)&amp;MID("thstndrdth",MIN(9,2*RIGHT(DAY(C1897))*(MOD(DAY(C1897)-11,100)&gt;2)+1),2)&amp;","&amp;TEXT(C1897," yyyy"))</f>
        <v>January 25th,2025</v>
      </c>
      <c r="AB1897" s="15" t="str">
        <f aca="true">IF(S1897="","",DATEDIF(S1897,TODAY(),"Y")&amp;" Tahun, "&amp;DATEDIF(S1897,TODAY(),"YM")&amp;" Bulan, "&amp;DATEDIF(S1897,TODAY(),"MD")&amp;" Hari")</f>
        <v>24 Tahun, 7 Bulan, 16 Hari</v>
      </c>
      <c r="AC1897" s="18" t="n">
        <v>45855</v>
      </c>
      <c r="AD1897" s="18" t="n">
        <v>45946</v>
      </c>
      <c r="AE1897" s="18" t="s">
        <v>44</v>
      </c>
    </row>
    <row r="1898" customFormat="false" ht="15" hidden="false" customHeight="true" outlineLevel="0" collapsed="false">
      <c r="A1898" s="12" t="n">
        <v>18694</v>
      </c>
      <c r="B1898" s="13" t="s">
        <v>8244</v>
      </c>
      <c r="C1898" s="14" t="n">
        <v>45687</v>
      </c>
      <c r="D1898" s="13" t="s">
        <v>4610</v>
      </c>
      <c r="E1898" s="15" t="s">
        <v>47</v>
      </c>
      <c r="F1898" s="15" t="str">
        <f aca="false">IFERROR(__xludf.dummyfunction("XLOOKUP(AJ1898,IMPORTRANGE(""1XaInW9DU9nz21V0tYIfzFQ0He9kVQ_JF2mCXgZ3hqFA"",""REKAP ALL 2026 - Andika!G:G""),IMPORTRANGE(""1XaInW9DU9nz21V0tYIfzFQ0He9kVQ_JF2mCXgZ3hqFA"",""REKAP ALL 2026 - Andika!F:F""),"""",0)"),"25026106234")</f>
        <v>25026106234</v>
      </c>
      <c r="G1898" s="13" t="s">
        <v>57</v>
      </c>
      <c r="H1898" s="13" t="s">
        <v>35</v>
      </c>
      <c r="I1898" s="13" t="str">
        <f aca="false">IF(C1898=J1898,"NEW KONTRAK","RE-KONTRAK")</f>
        <v>RE-KONTRAK</v>
      </c>
      <c r="J1898" s="16" t="n">
        <f aca="false" t="array" ref="J1898:J1898">IFERROR(INDEX(AC1898:AE1898,IF(COUNTA(AC1898:AE1898)=0,"",MAX((AC1898:AE1898&lt;&gt;"")*(COLUMN(AC1898:AE1898)-(COLUMN(AC1898)))))-1),"")</f>
        <v>45764</v>
      </c>
      <c r="K1898" s="16" t="n">
        <f aca="false" t="array" ref="K1898:K1898">IFERROR(INDEX(AC1898:AE1898,IF(COUNTA(AC1898:AE1898)=0,"",MAX((AC1898:AE1898&lt;&gt;"")*(COLUMN(AC1898:AE1898)-(COLUMN(AC1898)-1))))-1),"")</f>
        <v>45946</v>
      </c>
      <c r="L1898" s="17" t="str">
        <f aca="false" t="array" ref="L1898:L1898">IFERROR(INDEX(AC1898:AE1898,IF(COUNTA(AC1898:AE1898)=0,"",MAX((AC1898:AE1898&lt;&gt;"")*(COLUMN(AC1898:AE1898)-(COLUMN(AC1898)-2))))-1),"")</f>
        <v>ARCHIVED</v>
      </c>
      <c r="M1898" s="13" t="n">
        <f aca="true">K1898-TODAY()</f>
        <v>-378</v>
      </c>
      <c r="N1898" s="18" t="s">
        <v>36</v>
      </c>
      <c r="O1898" s="13" t="s">
        <v>4255</v>
      </c>
      <c r="P1898" s="19" t="n">
        <v>200000</v>
      </c>
      <c r="Q1898" s="20" t="s">
        <v>8245</v>
      </c>
      <c r="R1898" s="13" t="s">
        <v>148</v>
      </c>
      <c r="S1898" s="14" t="n">
        <v>32098</v>
      </c>
      <c r="T1898" s="28" t="s">
        <v>40</v>
      </c>
      <c r="U1898" s="13" t="s">
        <v>8246</v>
      </c>
      <c r="V1898" s="13" t="s">
        <v>42</v>
      </c>
      <c r="W1898" s="13" t="s">
        <v>54</v>
      </c>
      <c r="X1898" s="21" t="n">
        <v>85730079146</v>
      </c>
      <c r="Y1898" s="22" t="str">
        <f aca="false">O1898</f>
        <v>Operator Cutting</v>
      </c>
      <c r="Z1898" s="13" t="str">
        <f aca="false">IFERROR(__xludf.dummyfunction("if(BJ1898="""","""",GOOGLETRANSLATE(BJ1898,""auto"",""en""))"),"Operator Cutting")</f>
        <v>Operator Cutting</v>
      </c>
      <c r="AA1898" s="23" t="str">
        <f aca="false">IF(C1898="","", CHOOSE(MONTH(C1898),"January","February","March","April","May","June","July","August","September","October","November","December")&amp;" "&amp;DAY(C1898)&amp;MID("thstndrdth",MIN(9,2*RIGHT(DAY(C1898))*(MOD(DAY(C1898)-11,100)&gt;2)+1),2)&amp;","&amp;TEXT(C1898," yyyy"))</f>
        <v>January 30th,2025</v>
      </c>
      <c r="AB1898" s="15" t="str">
        <f aca="true">IF(S1898="","",DATEDIF(S1898,TODAY(),"Y")&amp;" Tahun, "&amp;DATEDIF(S1898,TODAY(),"YM")&amp;" Bulan, "&amp;DATEDIF(S1898,TODAY(),"MD")&amp;" Hari")</f>
        <v>38 Tahun, 11 Bulan, 12 Hari</v>
      </c>
      <c r="AC1898" s="18" t="n">
        <v>45764</v>
      </c>
      <c r="AD1898" s="18" t="n">
        <v>45946</v>
      </c>
      <c r="AE1898" s="18" t="s">
        <v>44</v>
      </c>
    </row>
    <row r="1899" customFormat="false" ht="15" hidden="false" customHeight="true" outlineLevel="0" collapsed="false">
      <c r="A1899" s="12" t="n">
        <v>18695</v>
      </c>
      <c r="B1899" s="13" t="s">
        <v>8247</v>
      </c>
      <c r="C1899" s="14" t="n">
        <v>45692</v>
      </c>
      <c r="D1899" s="13" t="s">
        <v>4610</v>
      </c>
      <c r="E1899" s="15" t="s">
        <v>47</v>
      </c>
      <c r="F1899" s="15" t="str">
        <f aca="false">IFERROR(__xludf.dummyfunction("XLOOKUP(AJ1899,IMPORTRANGE(""1XaInW9DU9nz21V0tYIfzFQ0He9kVQ_JF2mCXgZ3hqFA"",""REKAP ALL 2026 - Andika!G:G""),IMPORTRANGE(""1XaInW9DU9nz21V0tYIfzFQ0He9kVQ_JF2mCXgZ3hqFA"",""REKAP ALL 2026 - Andika!F:F""),"""",0)"),"25026106275")</f>
        <v>25026106275</v>
      </c>
      <c r="G1899" s="13" t="s">
        <v>57</v>
      </c>
      <c r="H1899" s="13" t="s">
        <v>35</v>
      </c>
      <c r="I1899" s="13" t="str">
        <f aca="false">IF(C1899=J1899,"NEW KONTRAK","RE-KONTRAK")</f>
        <v>RE-KONTRAK</v>
      </c>
      <c r="J1899" s="16" t="n">
        <f aca="false" t="array" ref="J1899:J1899">IFERROR(INDEX(AC1899:AE1899,IF(COUNTA(AC1899:AE1899)=0,"",MAX((AC1899:AE1899&lt;&gt;"")*(COLUMN(AC1899:AE1899)-(COLUMN(AC1899)))))-1),"")</f>
        <v>45764</v>
      </c>
      <c r="K1899" s="16" t="n">
        <f aca="false" t="array" ref="K1899:K1899">IFERROR(INDEX(AC1899:AE1899,IF(COUNTA(AC1899:AE1899)=0,"",MAX((AC1899:AE1899&lt;&gt;"")*(COLUMN(AC1899:AE1899)-(COLUMN(AC1899)-1))))-1),"")</f>
        <v>45946</v>
      </c>
      <c r="L1899" s="17" t="str">
        <f aca="false" t="array" ref="L1899:L1899">IFERROR(INDEX(AC1899:AE1899,IF(COUNTA(AC1899:AE1899)=0,"",MAX((AC1899:AE1899&lt;&gt;"")*(COLUMN(AC1899:AE1899)-(COLUMN(AC1899)-2))))-1),"")</f>
        <v>ARCHIVED</v>
      </c>
      <c r="M1899" s="13" t="n">
        <f aca="true">K1899-TODAY()</f>
        <v>-378</v>
      </c>
      <c r="N1899" s="18" t="s">
        <v>36</v>
      </c>
      <c r="O1899" s="13" t="s">
        <v>4274</v>
      </c>
      <c r="P1899" s="19" t="n">
        <v>200000</v>
      </c>
      <c r="Q1899" s="20" t="s">
        <v>8248</v>
      </c>
      <c r="R1899" s="13" t="s">
        <v>274</v>
      </c>
      <c r="S1899" s="14" t="n">
        <v>26243</v>
      </c>
      <c r="T1899" s="28" t="s">
        <v>40</v>
      </c>
      <c r="U1899" s="13" t="s">
        <v>8249</v>
      </c>
      <c r="V1899" s="13" t="s">
        <v>42</v>
      </c>
      <c r="W1899" s="13" t="s">
        <v>54</v>
      </c>
      <c r="X1899" s="21" t="n">
        <v>85859039071</v>
      </c>
      <c r="Y1899" s="22" t="str">
        <f aca="false">O1899</f>
        <v>Operator Extruder</v>
      </c>
      <c r="Z1899" s="13" t="str">
        <f aca="false">IFERROR(__xludf.dummyfunction("if(BJ1899="""","""",GOOGLETRANSLATE(BJ1899,""auto"",""en""))"),"Operator Extruder")</f>
        <v>Operator Extruder</v>
      </c>
      <c r="AA1899" s="23" t="str">
        <f aca="false">IF(C1899="","", CHOOSE(MONTH(C1899),"January","February","March","April","May","June","July","August","September","October","November","December")&amp;" "&amp;DAY(C1899)&amp;MID("thstndrdth",MIN(9,2*RIGHT(DAY(C1899))*(MOD(DAY(C1899)-11,100)&gt;2)+1),2)&amp;","&amp;TEXT(C1899," yyyy"))</f>
        <v>February 4th,2025</v>
      </c>
      <c r="AB1899" s="15" t="str">
        <f aca="true">IF(S1899="","",DATEDIF(S1899,TODAY(),"Y")&amp;" Tahun, "&amp;DATEDIF(S1899,TODAY(),"YM")&amp;" Bulan, "&amp;DATEDIF(S1899,TODAY(),"MD")&amp;" Hari")</f>
        <v>54 Tahun, 11 Bulan, 23 Hari</v>
      </c>
      <c r="AC1899" s="18" t="n">
        <v>45764</v>
      </c>
      <c r="AD1899" s="18" t="n">
        <v>45946</v>
      </c>
      <c r="AE1899" s="18" t="s">
        <v>44</v>
      </c>
    </row>
    <row r="1900" customFormat="false" ht="15" hidden="false" customHeight="true" outlineLevel="0" collapsed="false">
      <c r="A1900" s="12" t="n">
        <v>18697</v>
      </c>
      <c r="B1900" s="13" t="s">
        <v>8250</v>
      </c>
      <c r="C1900" s="14" t="n">
        <v>45694</v>
      </c>
      <c r="D1900" s="13" t="s">
        <v>4610</v>
      </c>
      <c r="E1900" s="15" t="s">
        <v>47</v>
      </c>
      <c r="F1900" s="15" t="str">
        <f aca="false">IFERROR(__xludf.dummyfunction("XLOOKUP(AJ1900,IMPORTRANGE(""1XaInW9DU9nz21V0tYIfzFQ0He9kVQ_JF2mCXgZ3hqFA"",""REKAP ALL 2026 - Andika!G:G""),IMPORTRANGE(""1XaInW9DU9nz21V0tYIfzFQ0He9kVQ_JF2mCXgZ3hqFA"",""REKAP ALL 2026 - Andika!F:F""),"""",0)"),"25026106192")</f>
        <v>25026106192</v>
      </c>
      <c r="G1900" s="13" t="s">
        <v>57</v>
      </c>
      <c r="H1900" s="13" t="s">
        <v>35</v>
      </c>
      <c r="I1900" s="13" t="str">
        <f aca="false">IF(C1900=J1900,"NEW KONTRAK","RE-KONTRAK")</f>
        <v>RE-KONTRAK</v>
      </c>
      <c r="J1900" s="16" t="n">
        <f aca="false" t="array" ref="J1900:J1900">IFERROR(INDEX(AC1900:AE1900,IF(COUNTA(AC1900:AE1900)=0,"",MAX((AC1900:AE1900&lt;&gt;"")*(COLUMN(AC1900:AE1900)-(COLUMN(AC1900)))))-1),"")</f>
        <v>45764</v>
      </c>
      <c r="K1900" s="16" t="n">
        <f aca="false" t="array" ref="K1900:K1900">IFERROR(INDEX(AC1900:AE1900,IF(COUNTA(AC1900:AE1900)=0,"",MAX((AC1900:AE1900&lt;&gt;"")*(COLUMN(AC1900:AE1900)-(COLUMN(AC1900)-1))))-1),"")</f>
        <v>45946</v>
      </c>
      <c r="L1900" s="17" t="str">
        <f aca="false" t="array" ref="L1900:L1900">IFERROR(INDEX(AC1900:AE1900,IF(COUNTA(AC1900:AE1900)=0,"",MAX((AC1900:AE1900&lt;&gt;"")*(COLUMN(AC1900:AE1900)-(COLUMN(AC1900)-2))))-1),"")</f>
        <v>ARCHIVED</v>
      </c>
      <c r="M1900" s="13" t="n">
        <f aca="true">K1900-TODAY()</f>
        <v>-378</v>
      </c>
      <c r="N1900" s="18" t="s">
        <v>36</v>
      </c>
      <c r="O1900" s="13" t="s">
        <v>4280</v>
      </c>
      <c r="P1900" s="27" t="n">
        <v>120000</v>
      </c>
      <c r="Q1900" s="20" t="s">
        <v>8251</v>
      </c>
      <c r="R1900" s="13" t="s">
        <v>52</v>
      </c>
      <c r="S1900" s="14" t="n">
        <v>36280</v>
      </c>
      <c r="T1900" s="28" t="s">
        <v>40</v>
      </c>
      <c r="U1900" s="13" t="s">
        <v>8252</v>
      </c>
      <c r="V1900" s="13" t="s">
        <v>42</v>
      </c>
      <c r="W1900" s="13" t="s">
        <v>43</v>
      </c>
      <c r="X1900" s="21" t="n">
        <v>89674039840</v>
      </c>
      <c r="Y1900" s="22" t="str">
        <f aca="false">O1900</f>
        <v>Helper Cutting</v>
      </c>
      <c r="Z1900" s="13" t="str">
        <f aca="false">IFERROR(__xludf.dummyfunction("if(BJ1900="""","""",GOOGLETRANSLATE(BJ1900,""auto"",""en""))"),"Helper Cutting")</f>
        <v>Helper Cutting</v>
      </c>
      <c r="AA1900" s="23" t="str">
        <f aca="false">IF(C1900="","", CHOOSE(MONTH(C1900),"January","February","March","April","May","June","July","August","September","October","November","December")&amp;" "&amp;DAY(C1900)&amp;MID("thstndrdth",MIN(9,2*RIGHT(DAY(C1900))*(MOD(DAY(C1900)-11,100)&gt;2)+1),2)&amp;","&amp;TEXT(C1900," yyyy"))</f>
        <v>February 6th,2025</v>
      </c>
      <c r="AB1900" s="15" t="str">
        <f aca="true">IF(S1900="","",DATEDIF(S1900,TODAY(),"Y")&amp;" Tahun, "&amp;DATEDIF(S1900,TODAY(),"YM")&amp;" Bulan, "&amp;DATEDIF(S1900,TODAY(),"MD")&amp;" Hari")</f>
        <v>27 Tahun, 5 Bulan, 29 Hari</v>
      </c>
      <c r="AC1900" s="18" t="n">
        <v>45764</v>
      </c>
      <c r="AD1900" s="18" t="n">
        <v>45946</v>
      </c>
      <c r="AE1900" s="18" t="s">
        <v>44</v>
      </c>
    </row>
    <row r="1901" customFormat="false" ht="15" hidden="false" customHeight="true" outlineLevel="0" collapsed="false">
      <c r="A1901" s="12" t="n">
        <v>18698</v>
      </c>
      <c r="B1901" s="13" t="s">
        <v>8253</v>
      </c>
      <c r="C1901" s="14" t="n">
        <v>45701</v>
      </c>
      <c r="D1901" s="13" t="s">
        <v>4252</v>
      </c>
      <c r="E1901" s="15" t="s">
        <v>33</v>
      </c>
      <c r="F1901" s="24" t="s">
        <v>8254</v>
      </c>
      <c r="G1901" s="13" t="s">
        <v>57</v>
      </c>
      <c r="H1901" s="13" t="s">
        <v>35</v>
      </c>
      <c r="I1901" s="13" t="str">
        <f aca="false">IF(C1901=J1901,"NEW KONTRAK","RE-KONTRAK")</f>
        <v>RE-KONTRAK</v>
      </c>
      <c r="J1901" s="16" t="n">
        <f aca="false" t="array" ref="J1901:J1901">IFERROR(INDEX(AC1901:AE1901,IF(COUNTA(AC1901:AE1901)=0,"",MAX((AC1901:AE1901&lt;&gt;"")*(COLUMN(AC1901:AE1901)-(COLUMN(AC1901)))))-1),"")</f>
        <v>45764</v>
      </c>
      <c r="K1901" s="16" t="n">
        <f aca="false" t="array" ref="K1901:K1901">IFERROR(INDEX(AC1901:AE1901,IF(COUNTA(AC1901:AE1901)=0,"",MAX((AC1901:AE1901&lt;&gt;"")*(COLUMN(AC1901:AE1901)-(COLUMN(AC1901)-1))))-1),"")</f>
        <v>45946</v>
      </c>
      <c r="L1901" s="17" t="str">
        <f aca="false" t="array" ref="L1901:L1901">IFERROR(INDEX(AC1901:AE1901,IF(COUNTA(AC1901:AE1901)=0,"",MAX((AC1901:AE1901&lt;&gt;"")*(COLUMN(AC1901:AE1901)-(COLUMN(AC1901)-2))))-1),"")</f>
        <v>ARCHIVED</v>
      </c>
      <c r="M1901" s="13" t="n">
        <f aca="true">K1901-TODAY()</f>
        <v>-378</v>
      </c>
      <c r="N1901" s="18" t="s">
        <v>36</v>
      </c>
      <c r="O1901" s="13" t="s">
        <v>4280</v>
      </c>
      <c r="P1901" s="27" t="n">
        <v>120000</v>
      </c>
      <c r="Q1901" s="20" t="s">
        <v>8255</v>
      </c>
      <c r="R1901" s="13" t="s">
        <v>52</v>
      </c>
      <c r="S1901" s="14" t="n">
        <v>30371</v>
      </c>
      <c r="T1901" s="28" t="s">
        <v>40</v>
      </c>
      <c r="U1901" s="13" t="s">
        <v>8256</v>
      </c>
      <c r="V1901" s="13" t="s">
        <v>42</v>
      </c>
      <c r="W1901" s="13" t="s">
        <v>54</v>
      </c>
      <c r="X1901" s="30" t="n">
        <v>85167632016</v>
      </c>
      <c r="Y1901" s="22" t="str">
        <f aca="false">O1901</f>
        <v>Helper Cutting</v>
      </c>
      <c r="Z1901" s="13" t="str">
        <f aca="false">IFERROR(__xludf.dummyfunction("if(BJ1901="""","""",GOOGLETRANSLATE(BJ1901,""auto"",""en""))"),"Helper Cutting")</f>
        <v>Helper Cutting</v>
      </c>
      <c r="AA1901" s="23" t="str">
        <f aca="false">IF(C1901="","", CHOOSE(MONTH(C1901),"January","February","March","April","May","June","July","August","September","October","November","December")&amp;" "&amp;DAY(C1901)&amp;MID("thstndrdth",MIN(9,2*RIGHT(DAY(C1901))*(MOD(DAY(C1901)-11,100)&gt;2)+1),2)&amp;","&amp;TEXT(C1901," yyyy"))</f>
        <v>February 13th,2025</v>
      </c>
      <c r="AB1901" s="15" t="str">
        <f aca="true">IF(S1901="","",DATEDIF(S1901,TODAY(),"Y")&amp;" Tahun, "&amp;DATEDIF(S1901,TODAY(),"YM")&amp;" Bulan, "&amp;DATEDIF(S1901,TODAY(),"MD")&amp;" Hari")</f>
        <v>43 Tahun, 8 Bulan, 5 Hari</v>
      </c>
      <c r="AC1901" s="18" t="n">
        <v>45764</v>
      </c>
      <c r="AD1901" s="18" t="n">
        <v>45946</v>
      </c>
      <c r="AE1901" s="18" t="s">
        <v>44</v>
      </c>
    </row>
    <row r="1902" customFormat="false" ht="15" hidden="false" customHeight="true" outlineLevel="0" collapsed="false">
      <c r="A1902" s="12" t="n">
        <v>18700</v>
      </c>
      <c r="B1902" s="13" t="s">
        <v>8257</v>
      </c>
      <c r="C1902" s="14" t="n">
        <v>45702</v>
      </c>
      <c r="D1902" s="13" t="s">
        <v>4252</v>
      </c>
      <c r="E1902" s="15" t="s">
        <v>33</v>
      </c>
      <c r="F1902" s="24" t="s">
        <v>8258</v>
      </c>
      <c r="G1902" s="13" t="s">
        <v>57</v>
      </c>
      <c r="H1902" s="13" t="s">
        <v>35</v>
      </c>
      <c r="I1902" s="13" t="str">
        <f aca="false">IF(C1902=J1902,"NEW KONTRAK","RE-KONTRAK")</f>
        <v>RE-KONTRAK</v>
      </c>
      <c r="J1902" s="16" t="n">
        <f aca="false" t="array" ref="J1902:J1902">IFERROR(INDEX(AC1902:AE1902,IF(COUNTA(AC1902:AE1902)=0,"",MAX((AC1902:AE1902&lt;&gt;"")*(COLUMN(AC1902:AE1902)-(COLUMN(AC1902)))))-1),"")</f>
        <v>45764</v>
      </c>
      <c r="K1902" s="16" t="n">
        <f aca="false" t="array" ref="K1902:K1902">IFERROR(INDEX(AC1902:AE1902,IF(COUNTA(AC1902:AE1902)=0,"",MAX((AC1902:AE1902&lt;&gt;"")*(COLUMN(AC1902:AE1902)-(COLUMN(AC1902)-1))))-1),"")</f>
        <v>45946</v>
      </c>
      <c r="L1902" s="17" t="str">
        <f aca="false" t="array" ref="L1902:L1902">IFERROR(INDEX(AC1902:AE1902,IF(COUNTA(AC1902:AE1902)=0,"",MAX((AC1902:AE1902&lt;&gt;"")*(COLUMN(AC1902:AE1902)-(COLUMN(AC1902)-2))))-1),"")</f>
        <v>ARCHIVED</v>
      </c>
      <c r="M1902" s="13" t="n">
        <f aca="true">K1902-TODAY()</f>
        <v>-378</v>
      </c>
      <c r="N1902" s="18" t="s">
        <v>36</v>
      </c>
      <c r="O1902" s="13" t="s">
        <v>4280</v>
      </c>
      <c r="P1902" s="27" t="n">
        <v>120000</v>
      </c>
      <c r="Q1902" s="20" t="s">
        <v>8259</v>
      </c>
      <c r="R1902" s="13" t="s">
        <v>52</v>
      </c>
      <c r="S1902" s="14" t="n">
        <v>32190</v>
      </c>
      <c r="T1902" s="28" t="s">
        <v>40</v>
      </c>
      <c r="U1902" s="13" t="s">
        <v>8260</v>
      </c>
      <c r="V1902" s="13" t="s">
        <v>42</v>
      </c>
      <c r="W1902" s="13" t="s">
        <v>54</v>
      </c>
      <c r="X1902" s="30" t="n">
        <v>85228708317</v>
      </c>
      <c r="Y1902" s="22" t="str">
        <f aca="false">O1902</f>
        <v>Helper Cutting</v>
      </c>
      <c r="Z1902" s="13" t="str">
        <f aca="false">IFERROR(__xludf.dummyfunction("if(BJ1902="""","""",GOOGLETRANSLATE(BJ1902,""auto"",""en""))"),"Helper Cutting")</f>
        <v>Helper Cutting</v>
      </c>
      <c r="AA1902" s="23" t="str">
        <f aca="false">IF(C1902="","", CHOOSE(MONTH(C1902),"January","February","March","April","May","June","July","August","September","October","November","December")&amp;" "&amp;DAY(C1902)&amp;MID("thstndrdth",MIN(9,2*RIGHT(DAY(C1902))*(MOD(DAY(C1902)-11,100)&gt;2)+1),2)&amp;","&amp;TEXT(C1902," yyyy"))</f>
        <v>February 14th,2025</v>
      </c>
      <c r="AB1902" s="15" t="str">
        <f aca="true">IF(S1902="","",DATEDIF(S1902,TODAY(),"Y")&amp;" Tahun, "&amp;DATEDIF(S1902,TODAY(),"YM")&amp;" Bulan, "&amp;DATEDIF(S1902,TODAY(),"MD")&amp;" Hari")</f>
        <v>38 Tahun, 8 Bulan, 12 Hari</v>
      </c>
      <c r="AC1902" s="18" t="n">
        <v>45764</v>
      </c>
      <c r="AD1902" s="18" t="n">
        <v>45946</v>
      </c>
      <c r="AE1902" s="18" t="s">
        <v>44</v>
      </c>
    </row>
    <row r="1903" customFormat="false" ht="15" hidden="false" customHeight="true" outlineLevel="0" collapsed="false">
      <c r="A1903" s="12" t="n">
        <v>18701</v>
      </c>
      <c r="B1903" s="13" t="s">
        <v>8261</v>
      </c>
      <c r="C1903" s="14" t="n">
        <v>45703</v>
      </c>
      <c r="D1903" s="13" t="s">
        <v>4252</v>
      </c>
      <c r="E1903" s="15" t="s">
        <v>33</v>
      </c>
      <c r="F1903" s="24" t="s">
        <v>8262</v>
      </c>
      <c r="G1903" s="13" t="s">
        <v>57</v>
      </c>
      <c r="H1903" s="13" t="s">
        <v>35</v>
      </c>
      <c r="I1903" s="13" t="str">
        <f aca="false">IF(C1903=J1903,"NEW KONTRAK","RE-KONTRAK")</f>
        <v>RE-KONTRAK</v>
      </c>
      <c r="J1903" s="16" t="n">
        <f aca="false" t="array" ref="J1903:J1903">IFERROR(INDEX(AC1903:AE1903,IF(COUNTA(AC1903:AE1903)=0,"",MAX((AC1903:AE1903&lt;&gt;"")*(COLUMN(AC1903:AE1903)-(COLUMN(AC1903)))))-1),"")</f>
        <v>45764</v>
      </c>
      <c r="K1903" s="16" t="n">
        <f aca="false" t="array" ref="K1903:K1903">IFERROR(INDEX(AC1903:AE1903,IF(COUNTA(AC1903:AE1903)=0,"",MAX((AC1903:AE1903&lt;&gt;"")*(COLUMN(AC1903:AE1903)-(COLUMN(AC1903)-1))))-1),"")</f>
        <v>45946</v>
      </c>
      <c r="L1903" s="17" t="str">
        <f aca="false" t="array" ref="L1903:L1903">IFERROR(INDEX(AC1903:AE1903,IF(COUNTA(AC1903:AE1903)=0,"",MAX((AC1903:AE1903&lt;&gt;"")*(COLUMN(AC1903:AE1903)-(COLUMN(AC1903)-2))))-1),"")</f>
        <v>ARCHIVED</v>
      </c>
      <c r="M1903" s="13" t="n">
        <f aca="true">K1903-TODAY()</f>
        <v>-378</v>
      </c>
      <c r="N1903" s="18" t="s">
        <v>36</v>
      </c>
      <c r="O1903" s="13" t="s">
        <v>4280</v>
      </c>
      <c r="P1903" s="27" t="n">
        <v>120000</v>
      </c>
      <c r="Q1903" s="20" t="s">
        <v>8263</v>
      </c>
      <c r="R1903" s="13" t="s">
        <v>73</v>
      </c>
      <c r="S1903" s="14" t="n">
        <v>35430</v>
      </c>
      <c r="T1903" s="28" t="s">
        <v>40</v>
      </c>
      <c r="U1903" s="13" t="s">
        <v>8264</v>
      </c>
      <c r="V1903" s="13" t="s">
        <v>42</v>
      </c>
      <c r="W1903" s="13" t="s">
        <v>54</v>
      </c>
      <c r="X1903" s="30" t="n">
        <v>82278895798</v>
      </c>
      <c r="Y1903" s="22" t="str">
        <f aca="false">O1903</f>
        <v>Helper Cutting</v>
      </c>
      <c r="Z1903" s="13" t="str">
        <f aca="false">IFERROR(__xludf.dummyfunction("if(BJ1903="""","""",GOOGLETRANSLATE(BJ1903,""auto"",""en""))"),"Helper Cutting")</f>
        <v>Helper Cutting</v>
      </c>
      <c r="AA1903" s="23" t="str">
        <f aca="false">IF(C1903="","", CHOOSE(MONTH(C1903),"January","February","March","April","May","June","July","August","September","October","November","December")&amp;" "&amp;DAY(C1903)&amp;MID("thstndrdth",MIN(9,2*RIGHT(DAY(C1903))*(MOD(DAY(C1903)-11,100)&gt;2)+1),2)&amp;","&amp;TEXT(C1903," yyyy"))</f>
        <v>February 15th,2025</v>
      </c>
      <c r="AB1903" s="15" t="str">
        <f aca="true">IF(S1903="","",DATEDIF(S1903,TODAY(),"Y")&amp;" Tahun, "&amp;DATEDIF(S1903,TODAY(),"YM")&amp;" Bulan, "&amp;DATEDIF(S1903,TODAY(),"MD")&amp;" Hari")</f>
        <v>29 Tahun, 9 Bulan, 28 Hari</v>
      </c>
      <c r="AC1903" s="18" t="n">
        <v>45764</v>
      </c>
      <c r="AD1903" s="18" t="n">
        <v>45946</v>
      </c>
      <c r="AE1903" s="18" t="s">
        <v>44</v>
      </c>
    </row>
    <row r="1904" customFormat="false" ht="15" hidden="false" customHeight="true" outlineLevel="0" collapsed="false">
      <c r="A1904" s="12" t="n">
        <v>18710</v>
      </c>
      <c r="B1904" s="13" t="s">
        <v>8265</v>
      </c>
      <c r="C1904" s="14" t="n">
        <v>45702</v>
      </c>
      <c r="D1904" s="13" t="s">
        <v>2046</v>
      </c>
      <c r="E1904" s="15" t="s">
        <v>33</v>
      </c>
      <c r="F1904" s="24" t="s">
        <v>8266</v>
      </c>
      <c r="G1904" s="13" t="s">
        <v>8267</v>
      </c>
      <c r="H1904" s="13" t="s">
        <v>35</v>
      </c>
      <c r="I1904" s="13" t="str">
        <f aca="false">IF(C1904=J1904,"NEW KONTRAK","RE-KONTRAK")</f>
        <v>RE-KONTRAK</v>
      </c>
      <c r="J1904" s="16" t="n">
        <f aca="false" t="array" ref="J1904:J1904">IFERROR(INDEX(AC1904:AE1904,IF(COUNTA(AC1904:AE1904)=0,"",MAX((AC1904:AE1904&lt;&gt;"")*(COLUMN(AC1904:AE1904)-(COLUMN(AC1904)))))-1),"")</f>
        <v>45914</v>
      </c>
      <c r="K1904" s="16" t="n">
        <f aca="false" t="array" ref="K1904:K1904">IFERROR(INDEX(AC1904:AE1904,IF(COUNTA(AC1904:AE1904)=0,"",MAX((AC1904:AE1904&lt;&gt;"")*(COLUMN(AC1904:AE1904)-(COLUMN(AC1904)-1))))-1),"")</f>
        <v>45961</v>
      </c>
      <c r="L1904" s="17" t="str">
        <f aca="false" t="array" ref="L1904:L1904">IFERROR(INDEX(AC1904:AE1904,IF(COUNTA(AC1904:AE1904)=0,"",MAX((AC1904:AE1904&lt;&gt;"")*(COLUMN(AC1904:AE1904)-(COLUMN(AC1904)-2))))-1),"")</f>
        <v>ARCHIVED</v>
      </c>
      <c r="M1904" s="13" t="n">
        <f aca="true">K1904-TODAY()</f>
        <v>-363</v>
      </c>
      <c r="N1904" s="18" t="s">
        <v>4557</v>
      </c>
      <c r="O1904" s="13" t="s">
        <v>8268</v>
      </c>
      <c r="P1904" s="19" t="n">
        <v>3454827</v>
      </c>
      <c r="Q1904" s="20" t="s">
        <v>8269</v>
      </c>
      <c r="R1904" s="13" t="s">
        <v>553</v>
      </c>
      <c r="S1904" s="14" t="n">
        <v>37025</v>
      </c>
      <c r="T1904" s="28" t="s">
        <v>40</v>
      </c>
      <c r="U1904" s="13" t="s">
        <v>8270</v>
      </c>
      <c r="V1904" s="13" t="s">
        <v>42</v>
      </c>
      <c r="W1904" s="13" t="s">
        <v>43</v>
      </c>
      <c r="X1904" s="21" t="n">
        <v>81225931834</v>
      </c>
      <c r="Y1904" s="22" t="str">
        <f aca="false">O1904</f>
        <v>Pengawas Proyek</v>
      </c>
      <c r="Z1904" s="13" t="str">
        <f aca="false">IFERROR(__xludf.dummyfunction("if(BJ1904="""","""",GOOGLETRANSLATE(BJ1904,""auto"",""en""))"),"Project Supervisor")</f>
        <v>Project Supervisor</v>
      </c>
      <c r="AA1904" s="23" t="str">
        <f aca="false">IF(C1904="","", CHOOSE(MONTH(C1904),"January","February","March","April","May","June","July","August","September","October","November","December")&amp;" "&amp;DAY(C1904)&amp;MID("thstndrdth",MIN(9,2*RIGHT(DAY(C1904))*(MOD(DAY(C1904)-11,100)&gt;2)+1),2)&amp;","&amp;TEXT(C1904," yyyy"))</f>
        <v>February 14th,2025</v>
      </c>
      <c r="AB1904" s="15" t="str">
        <f aca="true">IF(S1904="","",DATEDIF(S1904,TODAY(),"Y")&amp;" Tahun, "&amp;DATEDIF(S1904,TODAY(),"YM")&amp;" Bulan, "&amp;DATEDIF(S1904,TODAY(),"MD")&amp;" Hari")</f>
        <v>25 Tahun, 5 Bulan, 15 Hari</v>
      </c>
      <c r="AC1904" s="18" t="n">
        <v>45914</v>
      </c>
      <c r="AD1904" s="18" t="n">
        <v>45961</v>
      </c>
      <c r="AE1904" s="18" t="s">
        <v>44</v>
      </c>
    </row>
    <row r="1905" customFormat="false" ht="15" hidden="false" customHeight="true" outlineLevel="0" collapsed="false">
      <c r="A1905" s="12" t="n">
        <v>18716</v>
      </c>
      <c r="B1905" s="13" t="s">
        <v>8271</v>
      </c>
      <c r="C1905" s="16" t="n">
        <v>45712</v>
      </c>
      <c r="D1905" s="13" t="s">
        <v>5726</v>
      </c>
      <c r="E1905" s="15" t="s">
        <v>47</v>
      </c>
      <c r="F1905" s="15" t="str">
        <f aca="false">IFERROR(__xludf.dummyfunction("XLOOKUP(AJ1905,IMPORTRANGE(""1XaInW9DU9nz21V0tYIfzFQ0He9kVQ_JF2mCXgZ3hqFA"",""REKAP ALL 2026 - Andika!G:G""),IMPORTRANGE(""1XaInW9DU9nz21V0tYIfzFQ0He9kVQ_JF2mCXgZ3hqFA"",""REKAP ALL 2026 - Andika!F:F""),"""",0)"),"25022157819")</f>
        <v>25022157819</v>
      </c>
      <c r="G1905" s="13" t="s">
        <v>8272</v>
      </c>
      <c r="H1905" s="13" t="s">
        <v>35</v>
      </c>
      <c r="I1905" s="13" t="str">
        <f aca="false">IF(C1905=J1905,"NEW KONTRAK","RE-KONTRAK")</f>
        <v>RE-KONTRAK</v>
      </c>
      <c r="J1905" s="16" t="n">
        <f aca="false" t="array" ref="J1905:J1905">IFERROR(INDEX(AC1905:AE1905,IF(COUNTA(AC1905:AE1905)=0,"",MAX((AC1905:AE1905&lt;&gt;"")*(COLUMN(AC1905:AE1905)-(COLUMN(AC1905)))))-1),"")</f>
        <v>45893</v>
      </c>
      <c r="K1905" s="16" t="n">
        <f aca="false" t="array" ref="K1905:K1905">IFERROR(INDEX(AC1905:AE1905,IF(COUNTA(AC1905:AE1905)=0,"",MAX((AC1905:AE1905&lt;&gt;"")*(COLUMN(AC1905:AE1905)-(COLUMN(AC1905)-1))))-1),"")</f>
        <v>45984</v>
      </c>
      <c r="L1905" s="17" t="str">
        <f aca="false" t="array" ref="L1905:L1905">IFERROR(INDEX(AC1905:AE1905,IF(COUNTA(AC1905:AE1905)=0,"",MAX((AC1905:AE1905&lt;&gt;"")*(COLUMN(AC1905:AE1905)-(COLUMN(AC1905)-2))))-1),"")</f>
        <v>ARCHIVED</v>
      </c>
      <c r="M1905" s="13" t="n">
        <f aca="true">K1905-TODAY()</f>
        <v>-340</v>
      </c>
      <c r="N1905" s="18" t="s">
        <v>615</v>
      </c>
      <c r="O1905" s="13" t="s">
        <v>7088</v>
      </c>
      <c r="P1905" s="19" t="n">
        <v>5176101</v>
      </c>
      <c r="Q1905" s="94" t="s">
        <v>8273</v>
      </c>
      <c r="R1905" s="13" t="s">
        <v>232</v>
      </c>
      <c r="S1905" s="16" t="n">
        <v>36155</v>
      </c>
      <c r="T1905" s="13" t="s">
        <v>108</v>
      </c>
      <c r="U1905" s="13" t="s">
        <v>8274</v>
      </c>
      <c r="V1905" s="13" t="s">
        <v>42</v>
      </c>
      <c r="W1905" s="13" t="s">
        <v>54</v>
      </c>
      <c r="X1905" s="21" t="n">
        <v>82234173183</v>
      </c>
      <c r="Y1905" s="22" t="str">
        <f aca="false">O1905</f>
        <v>Quality Inspector</v>
      </c>
      <c r="Z1905" s="13" t="str">
        <f aca="false">IFERROR(__xludf.dummyfunction("if(BJ1905="""","""",GOOGLETRANSLATE(BJ1905,""auto"",""en""))"),"Quality Inspector")</f>
        <v>Quality Inspector</v>
      </c>
      <c r="AA1905" s="23" t="str">
        <f aca="false">IF(C1905="","", CHOOSE(MONTH(C1905),"January","February","March","April","May","June","July","August","September","October","November","December")&amp;" "&amp;DAY(C1905)&amp;MID("thstndrdth",MIN(9,2*RIGHT(DAY(C1905))*(MOD(DAY(C1905)-11,100)&gt;2)+1),2)&amp;","&amp;TEXT(C1905," yyyy"))</f>
        <v>February 24th,2025</v>
      </c>
      <c r="AB1905" s="15" t="str">
        <f aca="true">IF(S1905="","",DATEDIF(S1905,TODAY(),"Y")&amp;" Tahun, "&amp;DATEDIF(S1905,TODAY(),"YM")&amp;" Bulan, "&amp;DATEDIF(S1905,TODAY(),"MD")&amp;" Hari")</f>
        <v>27 Tahun, 10 Bulan, 3 Hari</v>
      </c>
      <c r="AC1905" s="18" t="n">
        <v>45893</v>
      </c>
      <c r="AD1905" s="18" t="n">
        <v>45984</v>
      </c>
      <c r="AE1905" s="18" t="s">
        <v>44</v>
      </c>
    </row>
    <row r="1906" customFormat="false" ht="15" hidden="false" customHeight="true" outlineLevel="0" collapsed="false">
      <c r="A1906" s="12" t="n">
        <v>18717</v>
      </c>
      <c r="B1906" s="13" t="s">
        <v>8275</v>
      </c>
      <c r="C1906" s="16" t="n">
        <v>45712</v>
      </c>
      <c r="D1906" s="13" t="s">
        <v>5726</v>
      </c>
      <c r="E1906" s="15" t="s">
        <v>47</v>
      </c>
      <c r="F1906" s="15" t="str">
        <f aca="false">IFERROR(__xludf.dummyfunction("XLOOKUP(AJ1906,IMPORTRANGE(""1XaInW9DU9nz21V0tYIfzFQ0He9kVQ_JF2mCXgZ3hqFA"",""REKAP ALL 2026 - Andika!G:G""),IMPORTRANGE(""1XaInW9DU9nz21V0tYIfzFQ0He9kVQ_JF2mCXgZ3hqFA"",""REKAP ALL 2026 - Andika!F:F""),"""",0)"),"25022157777")</f>
        <v>25022157777</v>
      </c>
      <c r="G1906" s="13" t="s">
        <v>8276</v>
      </c>
      <c r="H1906" s="13" t="s">
        <v>35</v>
      </c>
      <c r="I1906" s="13" t="str">
        <f aca="false">IF(C1906=J1906,"NEW KONTRAK","RE-KONTRAK")</f>
        <v>RE-KONTRAK</v>
      </c>
      <c r="J1906" s="16" t="n">
        <f aca="false" t="array" ref="J1906:J1906">IFERROR(INDEX(AC1906:AE1906,IF(COUNTA(AC1906:AE1906)=0,"",MAX((AC1906:AE1906&lt;&gt;"")*(COLUMN(AC1906:AE1906)-(COLUMN(AC1906)))))-1),"")</f>
        <v>45893</v>
      </c>
      <c r="K1906" s="16" t="n">
        <f aca="false" t="array" ref="K1906:K1906">IFERROR(INDEX(AC1906:AE1906,IF(COUNTA(AC1906:AE1906)=0,"",MAX((AC1906:AE1906&lt;&gt;"")*(COLUMN(AC1906:AE1906)-(COLUMN(AC1906)-1))))-1),"")</f>
        <v>45984</v>
      </c>
      <c r="L1906" s="17" t="str">
        <f aca="false" t="array" ref="L1906:L1906">IFERROR(INDEX(AC1906:AE1906,IF(COUNTA(AC1906:AE1906)=0,"",MAX((AC1906:AE1906&lt;&gt;"")*(COLUMN(AC1906:AE1906)-(COLUMN(AC1906)-2))))-1),"")</f>
        <v>ARCHIVED</v>
      </c>
      <c r="M1906" s="13" t="n">
        <f aca="true">K1906-TODAY()</f>
        <v>-340</v>
      </c>
      <c r="N1906" s="18" t="s">
        <v>615</v>
      </c>
      <c r="O1906" s="13" t="s">
        <v>7088</v>
      </c>
      <c r="P1906" s="19" t="n">
        <v>5176101</v>
      </c>
      <c r="Q1906" s="94" t="s">
        <v>8277</v>
      </c>
      <c r="R1906" s="13" t="s">
        <v>232</v>
      </c>
      <c r="S1906" s="16" t="n">
        <v>32068</v>
      </c>
      <c r="T1906" s="13" t="s">
        <v>108</v>
      </c>
      <c r="U1906" s="13" t="s">
        <v>8278</v>
      </c>
      <c r="V1906" s="13" t="s">
        <v>42</v>
      </c>
      <c r="W1906" s="13" t="s">
        <v>54</v>
      </c>
      <c r="X1906" s="21" t="n">
        <v>85649567818</v>
      </c>
      <c r="Y1906" s="22" t="str">
        <f aca="false">O1906</f>
        <v>Quality Inspector</v>
      </c>
      <c r="Z1906" s="13" t="str">
        <f aca="false">IFERROR(__xludf.dummyfunction("if(BJ1906="""","""",GOOGLETRANSLATE(BJ1906,""auto"",""en""))"),"Quality Inspector")</f>
        <v>Quality Inspector</v>
      </c>
      <c r="AA1906" s="23" t="str">
        <f aca="false">IF(C1906="","", CHOOSE(MONTH(C1906),"January","February","March","April","May","June","July","August","September","October","November","December")&amp;" "&amp;DAY(C1906)&amp;MID("thstndrdth",MIN(9,2*RIGHT(DAY(C1906))*(MOD(DAY(C1906)-11,100)&gt;2)+1),2)&amp;","&amp;TEXT(C1906," yyyy"))</f>
        <v>February 24th,2025</v>
      </c>
      <c r="AB1906" s="15" t="str">
        <f aca="true">IF(S1906="","",DATEDIF(S1906,TODAY(),"Y")&amp;" Tahun, "&amp;DATEDIF(S1906,TODAY(),"YM")&amp;" Bulan, "&amp;DATEDIF(S1906,TODAY(),"MD")&amp;" Hari")</f>
        <v>39 Tahun, 0 Bulan, 11 Hari</v>
      </c>
      <c r="AC1906" s="18" t="n">
        <v>45893</v>
      </c>
      <c r="AD1906" s="18" t="n">
        <v>45984</v>
      </c>
      <c r="AE1906" s="18" t="s">
        <v>44</v>
      </c>
    </row>
    <row r="1907" customFormat="false" ht="15" hidden="false" customHeight="true" outlineLevel="0" collapsed="false">
      <c r="A1907" s="12" t="n">
        <v>18718</v>
      </c>
      <c r="B1907" s="13" t="s">
        <v>8279</v>
      </c>
      <c r="C1907" s="16" t="n">
        <v>45708</v>
      </c>
      <c r="D1907" s="13" t="s">
        <v>7948</v>
      </c>
      <c r="E1907" s="15" t="s">
        <v>7949</v>
      </c>
      <c r="F1907" s="15" t="str">
        <f aca="false">IFERROR(__xludf.dummyfunction("XLOOKUP(AJ1907,IMPORTRANGE(""1XaInW9DU9nz21V0tYIfzFQ0He9kVQ_JF2mCXgZ3hqFA"",""REKAP ALL 2026 - Andika!G:G""),IMPORTRANGE(""1XaInW9DU9nz21V0tYIfzFQ0He9kVQ_JF2mCXgZ3hqFA"",""REKAP ALL 2026 - Andika!F:F""),"""",0)"),"25026104775")</f>
        <v>25026104775</v>
      </c>
      <c r="G1907" s="13" t="s">
        <v>57</v>
      </c>
      <c r="H1907" s="13" t="s">
        <v>7950</v>
      </c>
      <c r="I1907" s="13" t="str">
        <f aca="false">IF(C1907=J1907,"NEW KONTRAK","RE-KONTRAK")</f>
        <v>RE-KONTRAK</v>
      </c>
      <c r="J1907" s="16" t="n">
        <f aca="false" t="array" ref="J1907:J1907">IFERROR(INDEX(AC1907:AE1907,IF(COUNTA(AC1907:AE1907)=0,"",MAX((AC1907:AE1907&lt;&gt;"")*(COLUMN(AC1907:AE1907)-(COLUMN(AC1907)))))-1),"")</f>
        <v>45844</v>
      </c>
      <c r="K1907" s="16" t="n">
        <f aca="false" t="array" ref="K1907:K1907">IFERROR(INDEX(AC1907:AE1907,IF(COUNTA(AC1907:AE1907)=0,"",MAX((AC1907:AE1907&lt;&gt;"")*(COLUMN(AC1907:AE1907)-(COLUMN(AC1907)-1))))-1),"")</f>
        <v>45928</v>
      </c>
      <c r="L1907" s="17" t="str">
        <f aca="false" t="array" ref="L1907:L1907">IFERROR(INDEX(AC1907:AE1907,IF(COUNTA(AC1907:AE1907)=0,"",MAX((AC1907:AE1907&lt;&gt;"")*(COLUMN(AC1907:AE1907)-(COLUMN(AC1907)-2))))-1),"")</f>
        <v>ARCHIVED</v>
      </c>
      <c r="M1907" s="13" t="n">
        <f aca="true">K1907-TODAY()</f>
        <v>-396</v>
      </c>
      <c r="N1907" s="18" t="s">
        <v>4051</v>
      </c>
      <c r="O1907" s="13" t="s">
        <v>7951</v>
      </c>
      <c r="P1907" s="19" t="n">
        <v>210000</v>
      </c>
      <c r="Q1907" s="20" t="s">
        <v>8280</v>
      </c>
      <c r="R1907" s="13" t="s">
        <v>232</v>
      </c>
      <c r="S1907" s="14" t="n">
        <v>30767</v>
      </c>
      <c r="T1907" s="13" t="s">
        <v>40</v>
      </c>
      <c r="U1907" s="13" t="s">
        <v>8281</v>
      </c>
      <c r="V1907" s="13" t="s">
        <v>42</v>
      </c>
      <c r="W1907" s="13" t="s">
        <v>54</v>
      </c>
      <c r="X1907" s="30" t="n">
        <v>89687277434</v>
      </c>
      <c r="Y1907" s="22" t="str">
        <f aca="false">O1907</f>
        <v>Mekanik Kiln</v>
      </c>
      <c r="Z1907" s="13" t="str">
        <f aca="false">IFERROR(__xludf.dummyfunction("if(BJ1907="""","""",GOOGLETRANSLATE(BJ1907,""auto"",""en""))"),"Kiln Mechanics")</f>
        <v>Kiln Mechanics</v>
      </c>
      <c r="AA1907" s="23" t="str">
        <f aca="false">IF(C1907="","", CHOOSE(MONTH(C1907),"January","February","March","April","May","June","July","August","September","October","November","December")&amp;" "&amp;DAY(C1907)&amp;MID("thstndrdth",MIN(9,2*RIGHT(DAY(C1907))*(MOD(DAY(C1907)-11,100)&gt;2)+1),2)&amp;","&amp;TEXT(C1907," yyyy"))</f>
        <v>February 20th,2025</v>
      </c>
      <c r="AB1907" s="15" t="str">
        <f aca="true">IF(S1907="","",DATEDIF(S1907,TODAY(),"Y")&amp;" Tahun, "&amp;DATEDIF(S1907,TODAY(),"YM")&amp;" Bulan, "&amp;DATEDIF(S1907,TODAY(),"MD")&amp;" Hari")</f>
        <v>42 Tahun, 7 Bulan, 3 Hari</v>
      </c>
      <c r="AC1907" s="18" t="n">
        <v>45844</v>
      </c>
      <c r="AD1907" s="18" t="n">
        <v>45928</v>
      </c>
      <c r="AE1907" s="18" t="s">
        <v>44</v>
      </c>
    </row>
    <row r="1908" customFormat="false" ht="15" hidden="false" customHeight="true" outlineLevel="0" collapsed="false">
      <c r="A1908" s="12" t="n">
        <v>18719</v>
      </c>
      <c r="B1908" s="13" t="s">
        <v>8282</v>
      </c>
      <c r="C1908" s="16" t="n">
        <v>45708</v>
      </c>
      <c r="D1908" s="13" t="s">
        <v>1338</v>
      </c>
      <c r="E1908" s="15" t="s">
        <v>47</v>
      </c>
      <c r="F1908" s="15" t="str">
        <f aca="false">IFERROR(__xludf.dummyfunction("XLOOKUP(AJ1908,IMPORTRANGE(""1XaInW9DU9nz21V0tYIfzFQ0He9kVQ_JF2mCXgZ3hqFA"",""REKAP ALL 2026 - Andika!G:G""),IMPORTRANGE(""1XaInW9DU9nz21V0tYIfzFQ0He9kVQ_JF2mCXgZ3hqFA"",""REKAP ALL 2026 - Andika!F:F""),"""",0)"),"25026104841")</f>
        <v>25026104841</v>
      </c>
      <c r="G1908" s="13" t="s">
        <v>57</v>
      </c>
      <c r="H1908" s="13" t="s">
        <v>7950</v>
      </c>
      <c r="I1908" s="13" t="str">
        <f aca="false">IF(C1908=J1908,"NEW KONTRAK","RE-KONTRAK")</f>
        <v>RE-KONTRAK</v>
      </c>
      <c r="J1908" s="16" t="n">
        <f aca="false" t="array" ref="J1908:J1908">IFERROR(INDEX(AC1908:AE1908,IF(COUNTA(AC1908:AE1908)=0,"",MAX((AC1908:AE1908&lt;&gt;"")*(COLUMN(AC1908:AE1908)-(COLUMN(AC1908)))))-1),"")</f>
        <v>45844</v>
      </c>
      <c r="K1908" s="16" t="n">
        <f aca="false" t="array" ref="K1908:K1908">IFERROR(INDEX(AC1908:AE1908,IF(COUNTA(AC1908:AE1908)=0,"",MAX((AC1908:AE1908&lt;&gt;"")*(COLUMN(AC1908:AE1908)-(COLUMN(AC1908)-1))))-1),"")</f>
        <v>45928</v>
      </c>
      <c r="L1908" s="17" t="str">
        <f aca="false" t="array" ref="L1908:L1908">IFERROR(INDEX(AC1908:AE1908,IF(COUNTA(AC1908:AE1908)=0,"",MAX((AC1908:AE1908&lt;&gt;"")*(COLUMN(AC1908:AE1908)-(COLUMN(AC1908)-2))))-1),"")</f>
        <v>ARCHIVED</v>
      </c>
      <c r="M1908" s="13" t="n">
        <f aca="true">K1908-TODAY()</f>
        <v>-396</v>
      </c>
      <c r="N1908" s="18" t="s">
        <v>615</v>
      </c>
      <c r="O1908" s="13" t="s">
        <v>2335</v>
      </c>
      <c r="P1908" s="19" t="n">
        <v>210000</v>
      </c>
      <c r="Q1908" s="20" t="s">
        <v>8283</v>
      </c>
      <c r="R1908" s="13" t="s">
        <v>73</v>
      </c>
      <c r="S1908" s="14" t="n">
        <v>32374</v>
      </c>
      <c r="T1908" s="13" t="s">
        <v>40</v>
      </c>
      <c r="U1908" s="13" t="s">
        <v>8284</v>
      </c>
      <c r="V1908" s="13" t="s">
        <v>42</v>
      </c>
      <c r="W1908" s="13" t="s">
        <v>54</v>
      </c>
      <c r="X1908" s="30" t="n">
        <v>87773471434</v>
      </c>
      <c r="Y1908" s="22" t="str">
        <f aca="false">O1908</f>
        <v>Project Management</v>
      </c>
      <c r="Z1908" s="13" t="str">
        <f aca="false">IFERROR(__xludf.dummyfunction("if(BJ1908="""","""",GOOGLETRANSLATE(BJ1908,""auto"",""en""))"),"Project Management")</f>
        <v>Project Management</v>
      </c>
      <c r="AA1908" s="23" t="str">
        <f aca="false">IF(C1908="","", CHOOSE(MONTH(C1908),"January","February","March","April","May","June","July","August","September","October","November","December")&amp;" "&amp;DAY(C1908)&amp;MID("thstndrdth",MIN(9,2*RIGHT(DAY(C1908))*(MOD(DAY(C1908)-11,100)&gt;2)+1),2)&amp;","&amp;TEXT(C1908," yyyy"))</f>
        <v>February 20th,2025</v>
      </c>
      <c r="AB1908" s="15" t="str">
        <f aca="true">IF(S1908="","",DATEDIF(S1908,TODAY(),"Y")&amp;" Tahun, "&amp;DATEDIF(S1908,TODAY(),"YM")&amp;" Bulan, "&amp;DATEDIF(S1908,TODAY(),"MD")&amp;" Hari")</f>
        <v>38 Tahun, 2 Bulan, 10 Hari</v>
      </c>
      <c r="AC1908" s="18" t="n">
        <v>45844</v>
      </c>
      <c r="AD1908" s="18" t="n">
        <v>45928</v>
      </c>
      <c r="AE1908" s="18" t="s">
        <v>44</v>
      </c>
    </row>
    <row r="1909" customFormat="false" ht="15" hidden="false" customHeight="true" outlineLevel="0" collapsed="false">
      <c r="A1909" s="12" t="n">
        <v>18720</v>
      </c>
      <c r="B1909" s="13" t="s">
        <v>8285</v>
      </c>
      <c r="C1909" s="16" t="n">
        <v>45708</v>
      </c>
      <c r="D1909" s="13" t="s">
        <v>7948</v>
      </c>
      <c r="E1909" s="15" t="s">
        <v>7949</v>
      </c>
      <c r="F1909" s="15" t="str">
        <f aca="false">IFERROR(__xludf.dummyfunction("XLOOKUP(AJ1909,IMPORTRANGE(""1XaInW9DU9nz21V0tYIfzFQ0He9kVQ_JF2mCXgZ3hqFA"",""REKAP ALL 2026 - Andika!G:G""),IMPORTRANGE(""1XaInW9DU9nz21V0tYIfzFQ0He9kVQ_JF2mCXgZ3hqFA"",""REKAP ALL 2026 - Andika!F:F""),"""",0)"),"25026104676")</f>
        <v>25026104676</v>
      </c>
      <c r="G1909" s="13" t="s">
        <v>57</v>
      </c>
      <c r="H1909" s="13" t="s">
        <v>7950</v>
      </c>
      <c r="I1909" s="13" t="str">
        <f aca="false">IF(C1909=J1909,"NEW KONTRAK","RE-KONTRAK")</f>
        <v>RE-KONTRAK</v>
      </c>
      <c r="J1909" s="16" t="n">
        <f aca="false" t="array" ref="J1909:J1909">IFERROR(INDEX(AC1909:AE1909,IF(COUNTA(AC1909:AE1909)=0,"",MAX((AC1909:AE1909&lt;&gt;"")*(COLUMN(AC1909:AE1909)-(COLUMN(AC1909)))))-1),"")</f>
        <v>45844</v>
      </c>
      <c r="K1909" s="16" t="n">
        <f aca="false" t="array" ref="K1909:K1909">IFERROR(INDEX(AC1909:AE1909,IF(COUNTA(AC1909:AE1909)=0,"",MAX((AC1909:AE1909&lt;&gt;"")*(COLUMN(AC1909:AE1909)-(COLUMN(AC1909)-1))))-1),"")</f>
        <v>45928</v>
      </c>
      <c r="L1909" s="17" t="str">
        <f aca="false" t="array" ref="L1909:L1909">IFERROR(INDEX(AC1909:AE1909,IF(COUNTA(AC1909:AE1909)=0,"",MAX((AC1909:AE1909&lt;&gt;"")*(COLUMN(AC1909:AE1909)-(COLUMN(AC1909)-2))))-1),"")</f>
        <v>ARCHIVED</v>
      </c>
      <c r="M1909" s="13" t="n">
        <f aca="true">K1909-TODAY()</f>
        <v>-396</v>
      </c>
      <c r="N1909" s="18" t="s">
        <v>4051</v>
      </c>
      <c r="O1909" s="13" t="s">
        <v>2335</v>
      </c>
      <c r="P1909" s="19" t="n">
        <v>245000</v>
      </c>
      <c r="Q1909" s="20" t="s">
        <v>8286</v>
      </c>
      <c r="R1909" s="13" t="s">
        <v>232</v>
      </c>
      <c r="S1909" s="14" t="n">
        <v>34190</v>
      </c>
      <c r="T1909" s="13" t="s">
        <v>40</v>
      </c>
      <c r="U1909" s="13" t="s">
        <v>8287</v>
      </c>
      <c r="V1909" s="13" t="s">
        <v>42</v>
      </c>
      <c r="W1909" s="13" t="s">
        <v>54</v>
      </c>
      <c r="X1909" s="30" t="n">
        <v>85858122362</v>
      </c>
      <c r="Y1909" s="22" t="str">
        <f aca="false">O1909</f>
        <v>Project Management</v>
      </c>
      <c r="Z1909" s="13" t="str">
        <f aca="false">IFERROR(__xludf.dummyfunction("if(BJ1909="""","""",GOOGLETRANSLATE(BJ1909,""auto"",""en""))"),"Project Management")</f>
        <v>Project Management</v>
      </c>
      <c r="AA1909" s="23" t="str">
        <f aca="false">IF(C1909="","", CHOOSE(MONTH(C1909),"January","February","March","April","May","June","July","August","September","October","November","December")&amp;" "&amp;DAY(C1909)&amp;MID("thstndrdth",MIN(9,2*RIGHT(DAY(C1909))*(MOD(DAY(C1909)-11,100)&gt;2)+1),2)&amp;","&amp;TEXT(C1909," yyyy"))</f>
        <v>February 20th,2025</v>
      </c>
      <c r="AB1909" s="15" t="str">
        <f aca="true">IF(S1909="","",DATEDIF(S1909,TODAY(),"Y")&amp;" Tahun, "&amp;DATEDIF(S1909,TODAY(),"YM")&amp;" Bulan, "&amp;DATEDIF(S1909,TODAY(),"MD")&amp;" Hari")</f>
        <v>33 Tahun, 2 Bulan, 20 Hari</v>
      </c>
      <c r="AC1909" s="18" t="n">
        <v>45844</v>
      </c>
      <c r="AD1909" s="18" t="n">
        <v>45928</v>
      </c>
      <c r="AE1909" s="18" t="s">
        <v>44</v>
      </c>
    </row>
    <row r="1910" customFormat="false" ht="15" hidden="false" customHeight="true" outlineLevel="0" collapsed="false">
      <c r="A1910" s="12" t="n">
        <v>18721</v>
      </c>
      <c r="B1910" s="13" t="s">
        <v>8288</v>
      </c>
      <c r="C1910" s="16" t="n">
        <v>45708</v>
      </c>
      <c r="D1910" s="13" t="s">
        <v>1338</v>
      </c>
      <c r="E1910" s="15" t="s">
        <v>47</v>
      </c>
      <c r="F1910" s="15" t="str">
        <f aca="false">IFERROR(__xludf.dummyfunction("XLOOKUP(AJ1910,IMPORTRANGE(""1XaInW9DU9nz21V0tYIfzFQ0He9kVQ_JF2mCXgZ3hqFA"",""REKAP ALL 2026 - Andika!G:G""),IMPORTRANGE(""1XaInW9DU9nz21V0tYIfzFQ0He9kVQ_JF2mCXgZ3hqFA"",""REKAP ALL 2026 - Andika!F:F""),"""",0)"),"25026104726")</f>
        <v>25026104726</v>
      </c>
      <c r="G1910" s="13" t="s">
        <v>57</v>
      </c>
      <c r="H1910" s="13" t="s">
        <v>7950</v>
      </c>
      <c r="I1910" s="13" t="str">
        <f aca="false">IF(C1910=J1910,"NEW KONTRAK","RE-KONTRAK")</f>
        <v>RE-KONTRAK</v>
      </c>
      <c r="J1910" s="16" t="n">
        <f aca="false" t="array" ref="J1910:J1910">IFERROR(INDEX(AC1910:AE1910,IF(COUNTA(AC1910:AE1910)=0,"",MAX((AC1910:AE1910&lt;&gt;"")*(COLUMN(AC1910:AE1910)-(COLUMN(AC1910)))))-1),"")</f>
        <v>45844</v>
      </c>
      <c r="K1910" s="16" t="n">
        <f aca="false" t="array" ref="K1910:K1910">IFERROR(INDEX(AC1910:AE1910,IF(COUNTA(AC1910:AE1910)=0,"",MAX((AC1910:AE1910&lt;&gt;"")*(COLUMN(AC1910:AE1910)-(COLUMN(AC1910)-1))))-1),"")</f>
        <v>45928</v>
      </c>
      <c r="L1910" s="17" t="str">
        <f aca="false" t="array" ref="L1910:L1910">IFERROR(INDEX(AC1910:AE1910,IF(COUNTA(AC1910:AE1910)=0,"",MAX((AC1910:AE1910&lt;&gt;"")*(COLUMN(AC1910:AE1910)-(COLUMN(AC1910)-2))))-1),"")</f>
        <v>ARCHIVED</v>
      </c>
      <c r="M1910" s="13" t="n">
        <f aca="true">K1910-TODAY()</f>
        <v>-396</v>
      </c>
      <c r="N1910" s="18" t="s">
        <v>615</v>
      </c>
      <c r="O1910" s="13" t="s">
        <v>2335</v>
      </c>
      <c r="P1910" s="19" t="n">
        <v>245000</v>
      </c>
      <c r="Q1910" s="20" t="s">
        <v>8289</v>
      </c>
      <c r="R1910" s="13" t="s">
        <v>73</v>
      </c>
      <c r="S1910" s="14" t="n">
        <v>30291</v>
      </c>
      <c r="T1910" s="13" t="s">
        <v>40</v>
      </c>
      <c r="U1910" s="13" t="s">
        <v>8290</v>
      </c>
      <c r="V1910" s="13" t="s">
        <v>42</v>
      </c>
      <c r="W1910" s="13" t="s">
        <v>54</v>
      </c>
      <c r="X1910" s="30" t="n">
        <v>85116658760</v>
      </c>
      <c r="Y1910" s="22" t="str">
        <f aca="false">O1910</f>
        <v>Project Management</v>
      </c>
      <c r="Z1910" s="13" t="str">
        <f aca="false">IFERROR(__xludf.dummyfunction("if(BJ1910="""","""",GOOGLETRANSLATE(BJ1910,""auto"",""en""))"),"Project Management")</f>
        <v>Project Management</v>
      </c>
      <c r="AA1910" s="23" t="str">
        <f aca="false">IF(C1910="","", CHOOSE(MONTH(C1910),"January","February","March","April","May","June","July","August","September","October","November","December")&amp;" "&amp;DAY(C1910)&amp;MID("thstndrdth",MIN(9,2*RIGHT(DAY(C1910))*(MOD(DAY(C1910)-11,100)&gt;2)+1),2)&amp;","&amp;TEXT(C1910," yyyy"))</f>
        <v>February 20th,2025</v>
      </c>
      <c r="AB1910" s="15" t="str">
        <f aca="true">IF(S1910="","",DATEDIF(S1910,TODAY(),"Y")&amp;" Tahun, "&amp;DATEDIF(S1910,TODAY(),"YM")&amp;" Bulan, "&amp;DATEDIF(S1910,TODAY(),"MD")&amp;" Hari")</f>
        <v>43 Tahun, 10 Bulan, 23 Hari</v>
      </c>
      <c r="AC1910" s="18" t="n">
        <v>45844</v>
      </c>
      <c r="AD1910" s="18" t="n">
        <v>45928</v>
      </c>
      <c r="AE1910" s="18" t="s">
        <v>44</v>
      </c>
    </row>
    <row r="1911" customFormat="false" ht="15" hidden="false" customHeight="true" outlineLevel="0" collapsed="false">
      <c r="A1911" s="12" t="n">
        <v>18722</v>
      </c>
      <c r="B1911" s="13" t="s">
        <v>8291</v>
      </c>
      <c r="C1911" s="16" t="n">
        <v>45708</v>
      </c>
      <c r="D1911" s="13" t="s">
        <v>7948</v>
      </c>
      <c r="E1911" s="15" t="s">
        <v>7949</v>
      </c>
      <c r="F1911" s="15" t="str">
        <f aca="false">IFERROR(__xludf.dummyfunction("XLOOKUP(AJ1911,IMPORTRANGE(""1XaInW9DU9nz21V0tYIfzFQ0He9kVQ_JF2mCXgZ3hqFA"",""REKAP ALL 2026 - Andika!G:G""),IMPORTRANGE(""1XaInW9DU9nz21V0tYIfzFQ0He9kVQ_JF2mCXgZ3hqFA"",""REKAP ALL 2026 - Andika!F:F""),"""",0)"),"25026104767")</f>
        <v>25026104767</v>
      </c>
      <c r="G1911" s="13" t="s">
        <v>57</v>
      </c>
      <c r="H1911" s="13" t="s">
        <v>7955</v>
      </c>
      <c r="I1911" s="13" t="str">
        <f aca="false">IF(C1911=J1911,"NEW KONTRAK","RE-KONTRAK")</f>
        <v>RE-KONTRAK</v>
      </c>
      <c r="J1911" s="16" t="n">
        <f aca="false" t="array" ref="J1911:J1911">IFERROR(INDEX(AC1911:AE1911,IF(COUNTA(AC1911:AE1911)=0,"",MAX((AC1911:AE1911&lt;&gt;"")*(COLUMN(AC1911:AE1911)-(COLUMN(AC1911)))))-1),"")</f>
        <v>45844</v>
      </c>
      <c r="K1911" s="16" t="n">
        <f aca="false" t="array" ref="K1911:K1911">IFERROR(INDEX(AC1911:AE1911,IF(COUNTA(AC1911:AE1911)=0,"",MAX((AC1911:AE1911&lt;&gt;"")*(COLUMN(AC1911:AE1911)-(COLUMN(AC1911)-1))))-1),"")</f>
        <v>45928</v>
      </c>
      <c r="L1911" s="17" t="str">
        <f aca="false" t="array" ref="L1911:L1911">IFERROR(INDEX(AC1911:AE1911,IF(COUNTA(AC1911:AE1911)=0,"",MAX((AC1911:AE1911&lt;&gt;"")*(COLUMN(AC1911:AE1911)-(COLUMN(AC1911)-2))))-1),"")</f>
        <v>KEMBALI</v>
      </c>
      <c r="M1911" s="13" t="n">
        <f aca="true">K1911-TODAY()</f>
        <v>-396</v>
      </c>
      <c r="N1911" s="18" t="s">
        <v>4051</v>
      </c>
      <c r="O1911" s="13" t="s">
        <v>2335</v>
      </c>
      <c r="P1911" s="19" t="n">
        <v>210000</v>
      </c>
      <c r="Q1911" s="20" t="s">
        <v>8292</v>
      </c>
      <c r="R1911" s="13" t="s">
        <v>232</v>
      </c>
      <c r="S1911" s="14" t="n">
        <v>29688</v>
      </c>
      <c r="T1911" s="13" t="s">
        <v>40</v>
      </c>
      <c r="U1911" s="13" t="s">
        <v>8293</v>
      </c>
      <c r="V1911" s="13" t="s">
        <v>42</v>
      </c>
      <c r="W1911" s="13" t="s">
        <v>54</v>
      </c>
      <c r="X1911" s="21" t="n">
        <v>85695114673</v>
      </c>
      <c r="Y1911" s="22" t="str">
        <f aca="false">O1911</f>
        <v>Project Management</v>
      </c>
      <c r="Z1911" s="13" t="str">
        <f aca="false">IFERROR(__xludf.dummyfunction("if(BJ1911="""","""",GOOGLETRANSLATE(BJ1911,""auto"",""en""))"),"Project Management")</f>
        <v>Project Management</v>
      </c>
      <c r="AA1911" s="23" t="str">
        <f aca="false">IF(C1911="","", CHOOSE(MONTH(C1911),"January","February","March","April","May","June","July","August","September","October","November","December")&amp;" "&amp;DAY(C1911)&amp;MID("thstndrdth",MIN(9,2*RIGHT(DAY(C1911))*(MOD(DAY(C1911)-11,100)&gt;2)+1),2)&amp;","&amp;TEXT(C1911," yyyy"))</f>
        <v>February 20th,2025</v>
      </c>
      <c r="AB1911" s="15" t="str">
        <f aca="true">IF(S1911="","",DATEDIF(S1911,TODAY(),"Y")&amp;" Tahun, "&amp;DATEDIF(S1911,TODAY(),"YM")&amp;" Bulan, "&amp;DATEDIF(S1911,TODAY(),"MD")&amp;" Hari")</f>
        <v>45 Tahun, 6 Bulan, 17 Hari</v>
      </c>
      <c r="AC1911" s="18" t="n">
        <v>45844</v>
      </c>
      <c r="AD1911" s="18" t="n">
        <v>45928</v>
      </c>
      <c r="AE1911" s="13" t="s">
        <v>397</v>
      </c>
    </row>
    <row r="1912" customFormat="false" ht="15" hidden="false" customHeight="true" outlineLevel="0" collapsed="false">
      <c r="A1912" s="12" t="n">
        <v>18723</v>
      </c>
      <c r="B1912" s="13" t="s">
        <v>8294</v>
      </c>
      <c r="C1912" s="16" t="n">
        <v>45708</v>
      </c>
      <c r="D1912" s="13" t="s">
        <v>7948</v>
      </c>
      <c r="E1912" s="15" t="s">
        <v>7949</v>
      </c>
      <c r="F1912" s="15" t="str">
        <f aca="false">IFERROR(__xludf.dummyfunction("XLOOKUP(AJ1912,IMPORTRANGE(""1XaInW9DU9nz21V0tYIfzFQ0He9kVQ_JF2mCXgZ3hqFA"",""REKAP ALL 2026 - Andika!G:G""),IMPORTRANGE(""1XaInW9DU9nz21V0tYIfzFQ0He9kVQ_JF2mCXgZ3hqFA"",""REKAP ALL 2026 - Andika!F:F""),"""",0)"),"25026104833")</f>
        <v>25026104833</v>
      </c>
      <c r="G1912" s="13" t="s">
        <v>57</v>
      </c>
      <c r="H1912" s="13" t="s">
        <v>7950</v>
      </c>
      <c r="I1912" s="13" t="str">
        <f aca="false">IF(C1912=J1912,"NEW KONTRAK","RE-KONTRAK")</f>
        <v>RE-KONTRAK</v>
      </c>
      <c r="J1912" s="16" t="n">
        <f aca="false" t="array" ref="J1912:J1912">IFERROR(INDEX(AC1912:AE1912,IF(COUNTA(AC1912:AE1912)=0,"",MAX((AC1912:AE1912&lt;&gt;"")*(COLUMN(AC1912:AE1912)-(COLUMN(AC1912)))))-1),"")</f>
        <v>45844</v>
      </c>
      <c r="K1912" s="16" t="n">
        <f aca="false" t="array" ref="K1912:K1912">IFERROR(INDEX(AC1912:AE1912,IF(COUNTA(AC1912:AE1912)=0,"",MAX((AC1912:AE1912&lt;&gt;"")*(COLUMN(AC1912:AE1912)-(COLUMN(AC1912)-1))))-1),"")</f>
        <v>45928</v>
      </c>
      <c r="L1912" s="17" t="str">
        <f aca="false" t="array" ref="L1912:L1912">IFERROR(INDEX(AC1912:AE1912,IF(COUNTA(AC1912:AE1912)=0,"",MAX((AC1912:AE1912&lt;&gt;"")*(COLUMN(AC1912:AE1912)-(COLUMN(AC1912)-2))))-1),"")</f>
        <v>ARCHIVED</v>
      </c>
      <c r="M1912" s="13" t="n">
        <f aca="true">K1912-TODAY()</f>
        <v>-396</v>
      </c>
      <c r="N1912" s="18" t="s">
        <v>4051</v>
      </c>
      <c r="O1912" s="13" t="s">
        <v>7951</v>
      </c>
      <c r="P1912" s="19" t="n">
        <v>210000</v>
      </c>
      <c r="Q1912" s="20" t="s">
        <v>8295</v>
      </c>
      <c r="R1912" s="13" t="s">
        <v>73</v>
      </c>
      <c r="S1912" s="14" t="n">
        <v>33899</v>
      </c>
      <c r="T1912" s="13" t="s">
        <v>40</v>
      </c>
      <c r="U1912" s="13" t="s">
        <v>8296</v>
      </c>
      <c r="V1912" s="13" t="s">
        <v>42</v>
      </c>
      <c r="W1912" s="13" t="s">
        <v>54</v>
      </c>
      <c r="X1912" s="21" t="n">
        <v>85964128518</v>
      </c>
      <c r="Y1912" s="22" t="str">
        <f aca="false">O1912</f>
        <v>Mekanik Kiln</v>
      </c>
      <c r="Z1912" s="13" t="str">
        <f aca="false">IFERROR(__xludf.dummyfunction("if(BJ1912="""","""",GOOGLETRANSLATE(BJ1912,""auto"",""en""))"),"Kiln Mechanics")</f>
        <v>Kiln Mechanics</v>
      </c>
      <c r="AA1912" s="23" t="str">
        <f aca="false">IF(C1912="","", CHOOSE(MONTH(C1912),"January","February","March","April","May","June","July","August","September","October","November","December")&amp;" "&amp;DAY(C1912)&amp;MID("thstndrdth",MIN(9,2*RIGHT(DAY(C1912))*(MOD(DAY(C1912)-11,100)&gt;2)+1),2)&amp;","&amp;TEXT(C1912," yyyy"))</f>
        <v>February 20th,2025</v>
      </c>
      <c r="AB1912" s="15" t="str">
        <f aca="true">IF(S1912="","",DATEDIF(S1912,TODAY(),"Y")&amp;" Tahun, "&amp;DATEDIF(S1912,TODAY(),"YM")&amp;" Bulan, "&amp;DATEDIF(S1912,TODAY(),"MD")&amp;" Hari")</f>
        <v>34 Tahun, 0 Bulan, 7 Hari</v>
      </c>
      <c r="AC1912" s="18" t="n">
        <v>45844</v>
      </c>
      <c r="AD1912" s="18" t="n">
        <v>45928</v>
      </c>
      <c r="AE1912" s="18" t="s">
        <v>44</v>
      </c>
    </row>
    <row r="1913" customFormat="false" ht="15" hidden="false" customHeight="true" outlineLevel="0" collapsed="false">
      <c r="A1913" s="12" t="n">
        <v>5638</v>
      </c>
      <c r="B1913" s="13" t="s">
        <v>8297</v>
      </c>
      <c r="C1913" s="14" t="n">
        <v>44636</v>
      </c>
      <c r="D1913" s="13" t="s">
        <v>101</v>
      </c>
      <c r="E1913" s="15" t="s">
        <v>47</v>
      </c>
      <c r="F1913" s="15" t="str">
        <f aca="false">IFERROR(__xludf.dummyfunction("XLOOKUP(AJ1913,IMPORTRANGE(""1XaInW9DU9nz21V0tYIfzFQ0He9kVQ_JF2mCXgZ3hqFA"",""REKAP ALL 2026 - Andika!G:G""),IMPORTRANGE(""1XaInW9DU9nz21V0tYIfzFQ0He9kVQ_JF2mCXgZ3hqFA"",""REKAP ALL 2026 - Andika!F:F""),"""",0)"),"22037458639")</f>
        <v>22037458639</v>
      </c>
      <c r="G1913" s="13" t="s">
        <v>8298</v>
      </c>
      <c r="H1913" s="13" t="s">
        <v>35</v>
      </c>
      <c r="I1913" s="13" t="str">
        <f aca="false">IF(C1913=J1913,"NEW KONTRAK","RE-KONTRAK")</f>
        <v>RE-KONTRAK</v>
      </c>
      <c r="J1913" s="16" t="n">
        <f aca="false" t="array" ref="J1913:J1913">IFERROR(INDEX(AC1913:AE1913,IF(COUNTA(AC1913:AE1913)=0,"",MAX((AC1913:AE1913&lt;&gt;"")*(COLUMN(AC1913:AE1913)-(COLUMN(AC1913)))))-1),"")</f>
        <v>45672</v>
      </c>
      <c r="K1913" s="16" t="n">
        <f aca="false" t="array" ref="K1913:K1913">IFERROR(INDEX(AC1913:AE1913,IF(COUNTA(AC1913:AE1913)=0,"",MAX((AC1913:AE1913&lt;&gt;"")*(COLUMN(AC1913:AE1913)-(COLUMN(AC1913)-1))))-1),"")</f>
        <v>46036</v>
      </c>
      <c r="L1913" s="17" t="str">
        <f aca="false" t="array" ref="L1913:L1913">IFERROR(INDEX(AC1913:AE1913,IF(COUNTA(AC1913:AE1913)=0,"",MAX((AC1913:AE1913&lt;&gt;"")*(COLUMN(AC1913:AE1913)-(COLUMN(AC1913)-2))))-1),"")</f>
        <v>ARCHIVED</v>
      </c>
      <c r="M1913" s="13" t="n">
        <f aca="true">K1913-TODAY()</f>
        <v>-288</v>
      </c>
      <c r="N1913" s="18" t="s">
        <v>105</v>
      </c>
      <c r="O1913" s="13" t="s">
        <v>3535</v>
      </c>
      <c r="P1913" s="31" t="n">
        <v>138915</v>
      </c>
      <c r="Q1913" s="20" t="s">
        <v>8299</v>
      </c>
      <c r="R1913" s="13" t="s">
        <v>83</v>
      </c>
      <c r="S1913" s="25" t="n">
        <v>35839</v>
      </c>
      <c r="T1913" s="13" t="s">
        <v>40</v>
      </c>
      <c r="U1913" s="13" t="s">
        <v>8300</v>
      </c>
      <c r="V1913" s="13" t="s">
        <v>42</v>
      </c>
      <c r="W1913" s="13" t="s">
        <v>43</v>
      </c>
      <c r="X1913" s="21" t="n">
        <v>82183160436</v>
      </c>
      <c r="Y1913" s="22" t="str">
        <f aca="false">O1913</f>
        <v>Maintenance - Teknisi</v>
      </c>
      <c r="Z1913" s="13" t="str">
        <f aca="false">IFERROR(__xludf.dummyfunction("if(BJ1913="""","""",GOOGLETRANSLATE(BJ1913,""auto"",""en""))"),"Maintenance - Technician")</f>
        <v>Maintenance - Technician</v>
      </c>
      <c r="AA1913" s="23" t="str">
        <f aca="false">IF(C1913="","", CHOOSE(MONTH(C1913),"January","February","March","April","May","June","July","August","September","October","November","December")&amp;" "&amp;DAY(C1913)&amp;MID("thstndrdth",MIN(9,2*RIGHT(DAY(C1913))*(MOD(DAY(C1913)-11,100)&gt;2)+1),2)&amp;","&amp;TEXT(C1913," yyyy"))</f>
        <v>March 16th,2022</v>
      </c>
      <c r="AB1913" s="15" t="str">
        <f aca="true">IF(S1913="","",DATEDIF(S1913,TODAY(),"Y")&amp;" Tahun, "&amp;DATEDIF(S1913,TODAY(),"YM")&amp;" Bulan, "&amp;DATEDIF(S1913,TODAY(),"MD")&amp;" Hari")</f>
        <v>28 Tahun, 8 Bulan, 16 Hari</v>
      </c>
      <c r="AC1913" s="18" t="n">
        <v>45672</v>
      </c>
      <c r="AD1913" s="18" t="n">
        <v>46036</v>
      </c>
      <c r="AE1913" s="18" t="s">
        <v>44</v>
      </c>
    </row>
    <row r="1914" customFormat="false" ht="15" hidden="false" customHeight="true" outlineLevel="0" collapsed="false">
      <c r="A1914" s="12" t="n">
        <v>18743</v>
      </c>
      <c r="B1914" s="13" t="s">
        <v>8301</v>
      </c>
      <c r="C1914" s="16" t="n">
        <v>45710</v>
      </c>
      <c r="D1914" s="13" t="s">
        <v>5726</v>
      </c>
      <c r="E1914" s="15" t="s">
        <v>47</v>
      </c>
      <c r="F1914" s="15" t="str">
        <f aca="false">IFERROR(__xludf.dummyfunction("XLOOKUP(AJ1914,IMPORTRANGE(""1XaInW9DU9nz21V0tYIfzFQ0He9kVQ_JF2mCXgZ3hqFA"",""REKAP ALL 2026 - Andika!G:G""),IMPORTRANGE(""1XaInW9DU9nz21V0tYIfzFQ0He9kVQ_JF2mCXgZ3hqFA"",""REKAP ALL 2026 - Andika!F:F""),"""",0)"),"25022157801")</f>
        <v>25022157801</v>
      </c>
      <c r="G1914" s="13" t="s">
        <v>8302</v>
      </c>
      <c r="H1914" s="13" t="s">
        <v>35</v>
      </c>
      <c r="I1914" s="13" t="str">
        <f aca="false">IF(C1914=J1914,"NEW KONTRAK","RE-KONTRAK")</f>
        <v>RE-KONTRAK</v>
      </c>
      <c r="J1914" s="16" t="n">
        <f aca="false" t="array" ref="J1914:J1914">IFERROR(INDEX(AC1914:AE1914,IF(COUNTA(AC1914:AE1914)=0,"",MAX((AC1914:AE1914&lt;&gt;"")*(COLUMN(AC1914:AE1914)-(COLUMN(AC1914)))))-1),"")</f>
        <v>45891</v>
      </c>
      <c r="K1914" s="16" t="n">
        <f aca="false" t="array" ref="K1914:K1914">IFERROR(INDEX(AC1914:AE1914,IF(COUNTA(AC1914:AE1914)=0,"",MAX((AC1914:AE1914&lt;&gt;"")*(COLUMN(AC1914:AE1914)-(COLUMN(AC1914)-1))))-1),"")</f>
        <v>45982</v>
      </c>
      <c r="L1914" s="17" t="str">
        <f aca="false" t="array" ref="L1914:L1914">IFERROR(INDEX(AC1914:AE1914,IF(COUNTA(AC1914:AE1914)=0,"",MAX((AC1914:AE1914&lt;&gt;"")*(COLUMN(AC1914:AE1914)-(COLUMN(AC1914)-2))))-1),"")</f>
        <v>ARCHIVED</v>
      </c>
      <c r="M1914" s="13" t="n">
        <f aca="true">K1914-TODAY()</f>
        <v>-342</v>
      </c>
      <c r="N1914" s="18" t="s">
        <v>615</v>
      </c>
      <c r="O1914" s="13" t="s">
        <v>1827</v>
      </c>
      <c r="P1914" s="19" t="n">
        <v>5176101</v>
      </c>
      <c r="Q1914" s="20" t="s">
        <v>8303</v>
      </c>
      <c r="R1914" s="13" t="s">
        <v>232</v>
      </c>
      <c r="S1914" s="16" t="n">
        <v>35833</v>
      </c>
      <c r="T1914" s="13" t="s">
        <v>40</v>
      </c>
      <c r="U1914" s="13" t="s">
        <v>8304</v>
      </c>
      <c r="V1914" s="13" t="s">
        <v>42</v>
      </c>
      <c r="W1914" s="13" t="s">
        <v>54</v>
      </c>
      <c r="X1914" s="21" t="n">
        <v>81252054181</v>
      </c>
      <c r="Y1914" s="22" t="str">
        <f aca="false">O1914</f>
        <v>Printing Operator</v>
      </c>
      <c r="Z1914" s="13" t="str">
        <f aca="false">IFERROR(__xludf.dummyfunction("if(BJ1914="""","""",GOOGLETRANSLATE(BJ1914,""auto"",""en""))"),"Printing Operator")</f>
        <v>Printing Operator</v>
      </c>
      <c r="AA1914" s="23" t="str">
        <f aca="false">IF(C1914="","", CHOOSE(MONTH(C1914),"January","February","March","April","May","June","July","August","September","October","November","December")&amp;" "&amp;DAY(C1914)&amp;MID("thstndrdth",MIN(9,2*RIGHT(DAY(C1914))*(MOD(DAY(C1914)-11,100)&gt;2)+1),2)&amp;","&amp;TEXT(C1914," yyyy"))</f>
        <v>February 22nd,2025</v>
      </c>
      <c r="AB1914" s="15" t="str">
        <f aca="true">IF(S1914="","",DATEDIF(S1914,TODAY(),"Y")&amp;" Tahun, "&amp;DATEDIF(S1914,TODAY(),"YM")&amp;" Bulan, "&amp;DATEDIF(S1914,TODAY(),"MD")&amp;" Hari")</f>
        <v>28 Tahun, 8 Bulan, 22 Hari</v>
      </c>
      <c r="AC1914" s="18" t="n">
        <v>45891</v>
      </c>
      <c r="AD1914" s="18" t="n">
        <v>45982</v>
      </c>
      <c r="AE1914" s="18" t="s">
        <v>44</v>
      </c>
    </row>
    <row r="1915" customFormat="false" ht="15" hidden="false" customHeight="true" outlineLevel="0" collapsed="false">
      <c r="A1915" s="12" t="n">
        <v>18746</v>
      </c>
      <c r="B1915" s="13" t="s">
        <v>8305</v>
      </c>
      <c r="C1915" s="16" t="n">
        <v>45712</v>
      </c>
      <c r="D1915" s="13" t="s">
        <v>5726</v>
      </c>
      <c r="E1915" s="15" t="s">
        <v>47</v>
      </c>
      <c r="F1915" s="15" t="str">
        <f aca="false">IFERROR(__xludf.dummyfunction("XLOOKUP(AJ1915,IMPORTRANGE(""1XaInW9DU9nz21V0tYIfzFQ0He9kVQ_JF2mCXgZ3hqFA"",""REKAP ALL 2026 - Andika!G:G""),IMPORTRANGE(""1XaInW9DU9nz21V0tYIfzFQ0He9kVQ_JF2mCXgZ3hqFA"",""REKAP ALL 2026 - Andika!F:F""),"""",0)"),"25022157769")</f>
        <v>25022157769</v>
      </c>
      <c r="G1915" s="13" t="s">
        <v>8306</v>
      </c>
      <c r="H1915" s="13" t="s">
        <v>35</v>
      </c>
      <c r="I1915" s="13" t="str">
        <f aca="false">IF(C1915=J1915,"NEW KONTRAK","RE-KONTRAK")</f>
        <v>RE-KONTRAK</v>
      </c>
      <c r="J1915" s="16" t="n">
        <f aca="false" t="array" ref="J1915:J1915">IFERROR(INDEX(AC1915:AE1915,IF(COUNTA(AC1915:AE1915)=0,"",MAX((AC1915:AE1915&lt;&gt;"")*(COLUMN(AC1915:AE1915)-(COLUMN(AC1915)))))-1),"")</f>
        <v>45893</v>
      </c>
      <c r="K1915" s="16" t="n">
        <f aca="false" t="array" ref="K1915:K1915">IFERROR(INDEX(AC1915:AE1915,IF(COUNTA(AC1915:AE1915)=0,"",MAX((AC1915:AE1915&lt;&gt;"")*(COLUMN(AC1915:AE1915)-(COLUMN(AC1915)-1))))-1),"")</f>
        <v>45984</v>
      </c>
      <c r="L1915" s="17" t="str">
        <f aca="false" t="array" ref="L1915:L1915">IFERROR(INDEX(AC1915:AE1915,IF(COUNTA(AC1915:AE1915)=0,"",MAX((AC1915:AE1915&lt;&gt;"")*(COLUMN(AC1915:AE1915)-(COLUMN(AC1915)-2))))-1),"")</f>
        <v>ARCHIVED</v>
      </c>
      <c r="M1915" s="13" t="n">
        <f aca="true">K1915-TODAY()</f>
        <v>-340</v>
      </c>
      <c r="N1915" s="18" t="s">
        <v>615</v>
      </c>
      <c r="O1915" s="13" t="s">
        <v>7088</v>
      </c>
      <c r="P1915" s="19" t="n">
        <v>5176101</v>
      </c>
      <c r="Q1915" s="20" t="s">
        <v>8307</v>
      </c>
      <c r="R1915" s="13" t="s">
        <v>232</v>
      </c>
      <c r="S1915" s="16" t="n">
        <v>31183</v>
      </c>
      <c r="T1915" s="13" t="s">
        <v>108</v>
      </c>
      <c r="U1915" s="13" t="s">
        <v>8308</v>
      </c>
      <c r="V1915" s="13" t="s">
        <v>42</v>
      </c>
      <c r="W1915" s="13" t="s">
        <v>54</v>
      </c>
      <c r="X1915" s="21" t="n">
        <v>81249650974</v>
      </c>
      <c r="Y1915" s="22" t="str">
        <f aca="false">O1915</f>
        <v>Quality Inspector</v>
      </c>
      <c r="Z1915" s="13" t="str">
        <f aca="false">IFERROR(__xludf.dummyfunction("if(BJ1915="""","""",GOOGLETRANSLATE(BJ1915,""auto"",""en""))"),"Quality Inspector")</f>
        <v>Quality Inspector</v>
      </c>
      <c r="AA1915" s="23" t="str">
        <f aca="false">IF(C1915="","", CHOOSE(MONTH(C1915),"January","February","March","April","May","June","July","August","September","October","November","December")&amp;" "&amp;DAY(C1915)&amp;MID("thstndrdth",MIN(9,2*RIGHT(DAY(C1915))*(MOD(DAY(C1915)-11,100)&gt;2)+1),2)&amp;","&amp;TEXT(C1915," yyyy"))</f>
        <v>February 24th,2025</v>
      </c>
      <c r="AB1915" s="15" t="str">
        <f aca="true">IF(S1915="","",DATEDIF(S1915,TODAY(),"Y")&amp;" Tahun, "&amp;DATEDIF(S1915,TODAY(),"YM")&amp;" Bulan, "&amp;DATEDIF(S1915,TODAY(),"MD")&amp;" Hari")</f>
        <v>41 Tahun, 5 Bulan, 13 Hari</v>
      </c>
      <c r="AC1915" s="18" t="n">
        <v>45893</v>
      </c>
      <c r="AD1915" s="18" t="n">
        <v>45984</v>
      </c>
      <c r="AE1915" s="18" t="s">
        <v>44</v>
      </c>
    </row>
    <row r="1916" customFormat="false" ht="15" hidden="false" customHeight="true" outlineLevel="0" collapsed="false">
      <c r="A1916" s="12" t="n">
        <v>18747</v>
      </c>
      <c r="B1916" s="13" t="s">
        <v>8309</v>
      </c>
      <c r="C1916" s="16" t="n">
        <v>45709</v>
      </c>
      <c r="D1916" s="13" t="s">
        <v>6473</v>
      </c>
      <c r="E1916" s="15" t="s">
        <v>33</v>
      </c>
      <c r="F1916" s="24" t="s">
        <v>8310</v>
      </c>
      <c r="G1916" s="13" t="s">
        <v>8311</v>
      </c>
      <c r="H1916" s="13" t="s">
        <v>35</v>
      </c>
      <c r="I1916" s="13" t="str">
        <f aca="false">IF(C1916=J1916,"NEW KONTRAK","RE-KONTRAK")</f>
        <v>NEW KONTRAK</v>
      </c>
      <c r="J1916" s="16" t="n">
        <f aca="false" t="array" ref="J1916:J1916">IFERROR(INDEX(AC1916:AE1916,IF(COUNTA(AC1916:AE1916)=0,"",MAX((AC1916:AE1916&lt;&gt;"")*(COLUMN(AC1916:AE1916)-(COLUMN(AC1916)))))-1),"")</f>
        <v>45709</v>
      </c>
      <c r="K1916" s="16" t="n">
        <f aca="false" t="array" ref="K1916:K1916">IFERROR(INDEX(AC1916:AE1916,IF(COUNTA(AC1916:AE1916)=0,"",MAX((AC1916:AE1916&lt;&gt;"")*(COLUMN(AC1916:AE1916)-(COLUMN(AC1916)-1))))-1),"")</f>
        <v>46185</v>
      </c>
      <c r="L1916" s="17" t="str">
        <f aca="false" t="array" ref="L1916:L1916">IFERROR(INDEX(AC1916:AE1916,IF(COUNTA(AC1916:AE1916)=0,"",MAX((AC1916:AE1916&lt;&gt;"")*(COLUMN(AC1916:AE1916)-(COLUMN(AC1916)-2))))-1),"")</f>
        <v>ARCHIVED</v>
      </c>
      <c r="M1916" s="13" t="n">
        <f aca="true">K1916-TODAY()</f>
        <v>-139</v>
      </c>
      <c r="N1916" s="18" t="s">
        <v>728</v>
      </c>
      <c r="O1916" s="13" t="s">
        <v>8312</v>
      </c>
      <c r="P1916" s="19" t="n">
        <v>150000</v>
      </c>
      <c r="Q1916" s="20" t="s">
        <v>8313</v>
      </c>
      <c r="R1916" s="13" t="s">
        <v>52</v>
      </c>
      <c r="S1916" s="14" t="n">
        <v>32642</v>
      </c>
      <c r="T1916" s="13" t="s">
        <v>40</v>
      </c>
      <c r="U1916" s="13" t="s">
        <v>8314</v>
      </c>
      <c r="V1916" s="13" t="s">
        <v>42</v>
      </c>
      <c r="W1916" s="13" t="s">
        <v>43</v>
      </c>
      <c r="X1916" s="21" t="n">
        <v>87873849760</v>
      </c>
      <c r="Y1916" s="22" t="str">
        <f aca="false">O1916</f>
        <v>Bongkar Muat</v>
      </c>
      <c r="Z1916" s="13" t="str">
        <f aca="false">IFERROR(__xludf.dummyfunction("if(BJ1916="""","""",GOOGLETRANSLATE(BJ1916,""auto"",""en""))"),"Unload")</f>
        <v>Unload</v>
      </c>
      <c r="AA1916" s="23" t="str">
        <f aca="false">IF(C1916="","", CHOOSE(MONTH(C1916),"January","February","March","April","May","June","July","August","September","October","November","December")&amp;" "&amp;DAY(C1916)&amp;MID("thstndrdth",MIN(9,2*RIGHT(DAY(C1916))*(MOD(DAY(C1916)-11,100)&gt;2)+1),2)&amp;","&amp;TEXT(C1916," yyyy"))</f>
        <v>February 21st,2025</v>
      </c>
      <c r="AB1916" s="15" t="str">
        <f aca="true">IF(S1916="","",DATEDIF(S1916,TODAY(),"Y")&amp;" Tahun, "&amp;DATEDIF(S1916,TODAY(),"YM")&amp;" Bulan, "&amp;DATEDIF(S1916,TODAY(),"MD")&amp;" Hari")</f>
        <v>37 Tahun, 5 Bulan, 15 Hari</v>
      </c>
      <c r="AC1916" s="18" t="n">
        <v>45709</v>
      </c>
      <c r="AD1916" s="18" t="n">
        <v>46185</v>
      </c>
      <c r="AE1916" s="18" t="s">
        <v>44</v>
      </c>
    </row>
    <row r="1917" customFormat="false" ht="15" hidden="false" customHeight="true" outlineLevel="0" collapsed="false">
      <c r="A1917" s="12" t="n">
        <v>18749</v>
      </c>
      <c r="B1917" s="13" t="s">
        <v>8315</v>
      </c>
      <c r="C1917" s="16" t="n">
        <v>45712</v>
      </c>
      <c r="D1917" s="13" t="s">
        <v>144</v>
      </c>
      <c r="E1917" s="15" t="s">
        <v>47</v>
      </c>
      <c r="F1917" s="15" t="str">
        <f aca="false">IFERROR(__xludf.dummyfunction("XLOOKUP(AJ1917,IMPORTRANGE(""1XaInW9DU9nz21V0tYIfzFQ0He9kVQ_JF2mCXgZ3hqFA"",""REKAP ALL 2026 - Andika!G:G""),IMPORTRANGE(""1XaInW9DU9nz21V0tYIfzFQ0He9kVQ_JF2mCXgZ3hqFA"",""REKAP ALL 2026 - Andika!F:F""),"""",0)"),"25022308230")</f>
        <v>25022308230</v>
      </c>
      <c r="G1917" s="13" t="s">
        <v>8316</v>
      </c>
      <c r="H1917" s="13" t="s">
        <v>35</v>
      </c>
      <c r="I1917" s="13" t="str">
        <f aca="false">IF(C1917=J1917,"NEW KONTRAK","RE-KONTRAK")</f>
        <v>NEW KONTRAK</v>
      </c>
      <c r="J1917" s="16" t="n">
        <f aca="false" t="array" ref="J1917:J1917">IFERROR(INDEX(AC1917:AE1917,IF(COUNTA(AC1917:AE1917)=0,"",MAX((AC1917:AE1917&lt;&gt;"")*(COLUMN(AC1917:AE1917)-(COLUMN(AC1917)))))-1),"")</f>
        <v>45712</v>
      </c>
      <c r="K1917" s="16" t="n">
        <f aca="false" t="array" ref="K1917:K1917">IFERROR(INDEX(AC1917:AE1917,IF(COUNTA(AC1917:AE1917)=0,"",MAX((AC1917:AE1917&lt;&gt;"")*(COLUMN(AC1917:AE1917)-(COLUMN(AC1917)-1))))-1),"")</f>
        <v>46022</v>
      </c>
      <c r="L1917" s="17" t="str">
        <f aca="false" t="array" ref="L1917:L1917">IFERROR(INDEX(AC1917:AE1917,IF(COUNTA(AC1917:AE1917)=0,"",MAX((AC1917:AE1917&lt;&gt;"")*(COLUMN(AC1917:AE1917)-(COLUMN(AC1917)-2))))-1),"")</f>
        <v>ARCHIVED</v>
      </c>
      <c r="M1917" s="13" t="n">
        <f aca="true">K1917-TODAY()</f>
        <v>-302</v>
      </c>
      <c r="N1917" s="18" t="s">
        <v>36</v>
      </c>
      <c r="O1917" s="13" t="s">
        <v>146</v>
      </c>
      <c r="P1917" s="19" t="n">
        <v>5195401</v>
      </c>
      <c r="Q1917" s="20" t="s">
        <v>8317</v>
      </c>
      <c r="R1917" s="13" t="s">
        <v>255</v>
      </c>
      <c r="S1917" s="16" t="n">
        <v>35222</v>
      </c>
      <c r="T1917" s="28" t="s">
        <v>40</v>
      </c>
      <c r="U1917" s="13" t="s">
        <v>8318</v>
      </c>
      <c r="V1917" s="13" t="s">
        <v>42</v>
      </c>
      <c r="W1917" s="13" t="s">
        <v>54</v>
      </c>
      <c r="X1917" s="21" t="n">
        <v>85730513252</v>
      </c>
      <c r="Y1917" s="22" t="str">
        <f aca="false">O1917</f>
        <v>Enamel</v>
      </c>
      <c r="Z1917" s="13" t="str">
        <f aca="false">IFERROR(__xludf.dummyfunction("if(BJ1917="""","""",GOOGLETRANSLATE(BJ1917,""auto"",""en""))"),"Enamel")</f>
        <v>Enamel</v>
      </c>
      <c r="AA1917" s="23" t="str">
        <f aca="false">IF(C1917="","", CHOOSE(MONTH(C1917),"January","February","March","April","May","June","July","August","September","October","November","December")&amp;" "&amp;DAY(C1917)&amp;MID("thstndrdth",MIN(9,2*RIGHT(DAY(C1917))*(MOD(DAY(C1917)-11,100)&gt;2)+1),2)&amp;","&amp;TEXT(C1917," yyyy"))</f>
        <v>February 24th,2025</v>
      </c>
      <c r="AB1917" s="15" t="str">
        <f aca="true">IF(S1917="","",DATEDIF(S1917,TODAY(),"Y")&amp;" Tahun, "&amp;DATEDIF(S1917,TODAY(),"YM")&amp;" Bulan, "&amp;DATEDIF(S1917,TODAY(),"MD")&amp;" Hari")</f>
        <v>30 Tahun, 4 Bulan, 23 Hari</v>
      </c>
      <c r="AC1917" s="18" t="n">
        <v>45712</v>
      </c>
      <c r="AD1917" s="18" t="n">
        <v>46022</v>
      </c>
      <c r="AE1917" s="18" t="s">
        <v>44</v>
      </c>
    </row>
    <row r="1918" customFormat="false" ht="15" hidden="false" customHeight="true" outlineLevel="0" collapsed="false">
      <c r="A1918" s="12" t="n">
        <v>18750</v>
      </c>
      <c r="B1918" s="13" t="s">
        <v>8319</v>
      </c>
      <c r="C1918" s="16" t="n">
        <v>45712</v>
      </c>
      <c r="D1918" s="13" t="s">
        <v>144</v>
      </c>
      <c r="E1918" s="15" t="s">
        <v>33</v>
      </c>
      <c r="F1918" s="24" t="s">
        <v>8320</v>
      </c>
      <c r="G1918" s="13" t="s">
        <v>8321</v>
      </c>
      <c r="H1918" s="13" t="s">
        <v>35</v>
      </c>
      <c r="I1918" s="13" t="str">
        <f aca="false">IF(C1918=J1918,"NEW KONTRAK","RE-KONTRAK")</f>
        <v>NEW KONTRAK</v>
      </c>
      <c r="J1918" s="16" t="n">
        <f aca="false" t="array" ref="J1918:J1918">IFERROR(INDEX(AC1918:AE1918,IF(COUNTA(AC1918:AE1918)=0,"",MAX((AC1918:AE1918&lt;&gt;"")*(COLUMN(AC1918:AE1918)-(COLUMN(AC1918)))))-1),"")</f>
        <v>45712</v>
      </c>
      <c r="K1918" s="16" t="n">
        <f aca="false" t="array" ref="K1918:K1918">IFERROR(INDEX(AC1918:AE1918,IF(COUNTA(AC1918:AE1918)=0,"",MAX((AC1918:AE1918&lt;&gt;"")*(COLUMN(AC1918:AE1918)-(COLUMN(AC1918)-1))))-1),"")</f>
        <v>46022</v>
      </c>
      <c r="L1918" s="17" t="str">
        <f aca="false" t="array" ref="L1918:L1918">IFERROR(INDEX(AC1918:AE1918,IF(COUNTA(AC1918:AE1918)=0,"",MAX((AC1918:AE1918&lt;&gt;"")*(COLUMN(AC1918:AE1918)-(COLUMN(AC1918)-2))))-1),"")</f>
        <v>ARCHIVED</v>
      </c>
      <c r="M1918" s="13" t="n">
        <f aca="true">K1918-TODAY()</f>
        <v>-302</v>
      </c>
      <c r="N1918" s="18" t="s">
        <v>36</v>
      </c>
      <c r="O1918" s="13" t="s">
        <v>156</v>
      </c>
      <c r="P1918" s="19" t="n">
        <v>5195401</v>
      </c>
      <c r="Q1918" s="20" t="s">
        <v>8322</v>
      </c>
      <c r="R1918" s="13" t="s">
        <v>73</v>
      </c>
      <c r="S1918" s="16" t="n">
        <v>35070</v>
      </c>
      <c r="T1918" s="28" t="s">
        <v>40</v>
      </c>
      <c r="U1918" s="13" t="s">
        <v>8323</v>
      </c>
      <c r="V1918" s="13" t="s">
        <v>42</v>
      </c>
      <c r="W1918" s="13" t="s">
        <v>43</v>
      </c>
      <c r="X1918" s="21" t="n">
        <v>87875695148</v>
      </c>
      <c r="Y1918" s="22" t="str">
        <f aca="false">O1918</f>
        <v>Emulsion</v>
      </c>
      <c r="Z1918" s="13" t="str">
        <f aca="false">IFERROR(__xludf.dummyfunction("if(BJ1918="""","""",GOOGLETRANSLATE(BJ1918,""auto"",""en""))"),"Emulsion")</f>
        <v>Emulsion</v>
      </c>
      <c r="AA1918" s="23" t="str">
        <f aca="false">IF(C1918="","", CHOOSE(MONTH(C1918),"January","February","March","April","May","June","July","August","September","October","November","December")&amp;" "&amp;DAY(C1918)&amp;MID("thstndrdth",MIN(9,2*RIGHT(DAY(C1918))*(MOD(DAY(C1918)-11,100)&gt;2)+1),2)&amp;","&amp;TEXT(C1918," yyyy"))</f>
        <v>February 24th,2025</v>
      </c>
      <c r="AB1918" s="15" t="str">
        <f aca="true">IF(S1918="","",DATEDIF(S1918,TODAY(),"Y")&amp;" Tahun, "&amp;DATEDIF(S1918,TODAY(),"YM")&amp;" Bulan, "&amp;DATEDIF(S1918,TODAY(),"MD")&amp;" Hari")</f>
        <v>30 Tahun, 9 Bulan, 23 Hari</v>
      </c>
      <c r="AC1918" s="18" t="n">
        <v>45712</v>
      </c>
      <c r="AD1918" s="18" t="n">
        <v>46022</v>
      </c>
      <c r="AE1918" s="18" t="s">
        <v>44</v>
      </c>
    </row>
    <row r="1919" customFormat="false" ht="15" hidden="false" customHeight="true" outlineLevel="0" collapsed="false">
      <c r="A1919" s="12" t="n">
        <v>18753</v>
      </c>
      <c r="B1919" s="13" t="s">
        <v>8324</v>
      </c>
      <c r="C1919" s="16" t="n">
        <v>45712</v>
      </c>
      <c r="D1919" s="13" t="s">
        <v>144</v>
      </c>
      <c r="E1919" s="15" t="s">
        <v>47</v>
      </c>
      <c r="F1919" s="15" t="str">
        <f aca="false">IFERROR(__xludf.dummyfunction("XLOOKUP(AJ1919,IMPORTRANGE(""1XaInW9DU9nz21V0tYIfzFQ0He9kVQ_JF2mCXgZ3hqFA"",""REKAP ALL 2026 - Andika!G:G""),IMPORTRANGE(""1XaInW9DU9nz21V0tYIfzFQ0He9kVQ_JF2mCXgZ3hqFA"",""REKAP ALL 2026 - Andika!F:F""),"""",0)"),"25022308164")</f>
        <v>25022308164</v>
      </c>
      <c r="G1919" s="13" t="s">
        <v>8325</v>
      </c>
      <c r="H1919" s="13" t="s">
        <v>35</v>
      </c>
      <c r="I1919" s="13" t="str">
        <f aca="false">IF(C1919=J1919,"NEW KONTRAK","RE-KONTRAK")</f>
        <v>NEW KONTRAK</v>
      </c>
      <c r="J1919" s="16" t="n">
        <f aca="false" t="array" ref="J1919:J1919">IFERROR(INDEX(AC1919:AE1919,IF(COUNTA(AC1919:AE1919)=0,"",MAX((AC1919:AE1919&lt;&gt;"")*(COLUMN(AC1919:AE1919)-(COLUMN(AC1919)))))-1),"")</f>
        <v>45712</v>
      </c>
      <c r="K1919" s="16" t="n">
        <f aca="false" t="array" ref="K1919:K1919">IFERROR(INDEX(AC1919:AE1919,IF(COUNTA(AC1919:AE1919)=0,"",MAX((AC1919:AE1919&lt;&gt;"")*(COLUMN(AC1919:AE1919)-(COLUMN(AC1919)-1))))-1),"")</f>
        <v>46022</v>
      </c>
      <c r="L1919" s="17" t="str">
        <f aca="false" t="array" ref="L1919:L1919">IFERROR(INDEX(AC1919:AE1919,IF(COUNTA(AC1919:AE1919)=0,"",MAX((AC1919:AE1919&lt;&gt;"")*(COLUMN(AC1919:AE1919)-(COLUMN(AC1919)-2))))-1),"")</f>
        <v>ARCHIVED</v>
      </c>
      <c r="M1919" s="13" t="n">
        <f aca="true">K1919-TODAY()</f>
        <v>-302</v>
      </c>
      <c r="N1919" s="18" t="s">
        <v>36</v>
      </c>
      <c r="O1919" s="13" t="s">
        <v>146</v>
      </c>
      <c r="P1919" s="19" t="n">
        <v>5195401</v>
      </c>
      <c r="Q1919" s="20" t="s">
        <v>8326</v>
      </c>
      <c r="R1919" s="13" t="s">
        <v>52</v>
      </c>
      <c r="S1919" s="16" t="n">
        <v>37185</v>
      </c>
      <c r="T1919" s="13" t="s">
        <v>40</v>
      </c>
      <c r="U1919" s="13" t="s">
        <v>8327</v>
      </c>
      <c r="V1919" s="13" t="s">
        <v>42</v>
      </c>
      <c r="W1919" s="13" t="s">
        <v>43</v>
      </c>
      <c r="X1919" s="21" t="n">
        <v>89662698032</v>
      </c>
      <c r="Y1919" s="22" t="str">
        <f aca="false">O1919</f>
        <v>Enamel</v>
      </c>
      <c r="Z1919" s="13" t="str">
        <f aca="false">IFERROR(__xludf.dummyfunction("if(BJ1919="""","""",GOOGLETRANSLATE(BJ1919,""auto"",""en""))"),"Enamel")</f>
        <v>Enamel</v>
      </c>
      <c r="AA1919" s="23" t="str">
        <f aca="false">IF(C1919="","", CHOOSE(MONTH(C1919),"January","February","March","April","May","June","July","August","September","October","November","December")&amp;" "&amp;DAY(C1919)&amp;MID("thstndrdth",MIN(9,2*RIGHT(DAY(C1919))*(MOD(DAY(C1919)-11,100)&gt;2)+1),2)&amp;","&amp;TEXT(C1919," yyyy"))</f>
        <v>February 24th,2025</v>
      </c>
      <c r="AB1919" s="15" t="str">
        <f aca="true">IF(S1919="","",DATEDIF(S1919,TODAY(),"Y")&amp;" Tahun, "&amp;DATEDIF(S1919,TODAY(),"YM")&amp;" Bulan, "&amp;DATEDIF(S1919,TODAY(),"MD")&amp;" Hari")</f>
        <v>25 Tahun, 0 Bulan, 8 Hari</v>
      </c>
      <c r="AC1919" s="18" t="n">
        <v>45712</v>
      </c>
      <c r="AD1919" s="18" t="n">
        <v>46022</v>
      </c>
      <c r="AE1919" s="18" t="s">
        <v>44</v>
      </c>
    </row>
    <row r="1920" customFormat="false" ht="15" hidden="false" customHeight="true" outlineLevel="0" collapsed="false">
      <c r="A1920" s="12" t="n">
        <v>18759</v>
      </c>
      <c r="B1920" s="13" t="s">
        <v>8328</v>
      </c>
      <c r="C1920" s="16" t="n">
        <v>45704</v>
      </c>
      <c r="D1920" s="13" t="s">
        <v>4755</v>
      </c>
      <c r="E1920" s="15" t="s">
        <v>704</v>
      </c>
      <c r="F1920" s="24" t="s">
        <v>8329</v>
      </c>
      <c r="G1920" s="13" t="s">
        <v>57</v>
      </c>
      <c r="H1920" s="13" t="s">
        <v>3024</v>
      </c>
      <c r="I1920" s="13" t="str">
        <f aca="false">IF(C1920=J1920,"NEW KONTRAK","RE-KONTRAK")</f>
        <v>NEW KONTRAK</v>
      </c>
      <c r="J1920" s="16" t="n">
        <f aca="false" t="array" ref="J1920:J1920">IFERROR(INDEX(AC1920:AE1920,IF(COUNTA(AC1920:AE1920)=0,"",MAX((AC1920:AE1920&lt;&gt;"")*(COLUMN(AC1920:AE1920)-(COLUMN(AC1920)))))-1),"")</f>
        <v>45704</v>
      </c>
      <c r="K1920" s="16" t="n">
        <f aca="false" t="array" ref="K1920:K1920">IFERROR(INDEX(AC1920:AE1920,IF(COUNTA(AC1920:AE1920)=0,"",MAX((AC1920:AE1920&lt;&gt;"")*(COLUMN(AC1920:AE1920)-(COLUMN(AC1920)-1))))-1),"")</f>
        <v>45792</v>
      </c>
      <c r="L1920" s="17" t="str">
        <f aca="false" t="array" ref="L1920:L1920">IFERROR(INDEX(AC1920:AE1920,IF(COUNTA(AC1920:AE1920)=0,"",MAX((AC1920:AE1920&lt;&gt;"")*(COLUMN(AC1920:AE1920)-(COLUMN(AC1920)-2))))-1),"")</f>
        <v>ARCHIVED</v>
      </c>
      <c r="M1920" s="13" t="n">
        <f aca="true">K1920-TODAY()</f>
        <v>-532</v>
      </c>
      <c r="N1920" s="18" t="s">
        <v>615</v>
      </c>
      <c r="O1920" s="13" t="s">
        <v>4756</v>
      </c>
      <c r="P1920" s="19" t="n">
        <f aca="false">4856026/21</f>
        <v>231239.333333333</v>
      </c>
      <c r="Q1920" s="20" t="s">
        <v>8330</v>
      </c>
      <c r="R1920" s="13" t="s">
        <v>232</v>
      </c>
      <c r="S1920" s="16" t="n">
        <v>38652</v>
      </c>
      <c r="T1920" s="13" t="s">
        <v>40</v>
      </c>
      <c r="U1920" s="13" t="s">
        <v>7164</v>
      </c>
      <c r="V1920" s="13" t="s">
        <v>42</v>
      </c>
      <c r="W1920" s="13" t="s">
        <v>43</v>
      </c>
      <c r="X1920" s="21" t="n">
        <v>85731266762</v>
      </c>
      <c r="Y1920" s="22" t="str">
        <f aca="false">O1920</f>
        <v>Reliever</v>
      </c>
      <c r="Z1920" s="13" t="str">
        <f aca="false">IFERROR(__xludf.dummyfunction("if(BJ1920="""","""",GOOGLETRANSLATE(BJ1920,""auto"",""en""))"),"Reliever")</f>
        <v>Reliever</v>
      </c>
      <c r="AA1920" s="23" t="str">
        <f aca="false">IF(C1920="","", CHOOSE(MONTH(C1920),"January","February","March","April","May","June","July","August","September","October","November","December")&amp;" "&amp;DAY(C1920)&amp;MID("thstndrdth",MIN(9,2*RIGHT(DAY(C1920))*(MOD(DAY(C1920)-11,100)&gt;2)+1),2)&amp;","&amp;TEXT(C1920," yyyy"))</f>
        <v>February 16th,2025</v>
      </c>
      <c r="AB1920" s="15" t="str">
        <f aca="true">IF(S1920="","",DATEDIF(S1920,TODAY(),"Y")&amp;" Tahun, "&amp;DATEDIF(S1920,TODAY(),"YM")&amp;" Bulan, "&amp;DATEDIF(S1920,TODAY(),"MD")&amp;" Hari")</f>
        <v>21 Tahun, 0 Bulan, 2 Hari</v>
      </c>
      <c r="AC1920" s="18" t="n">
        <v>45704</v>
      </c>
      <c r="AD1920" s="18" t="n">
        <v>45792</v>
      </c>
      <c r="AE1920" s="18" t="s">
        <v>44</v>
      </c>
    </row>
    <row r="1921" customFormat="false" ht="15" hidden="false" customHeight="true" outlineLevel="0" collapsed="false">
      <c r="A1921" s="12" t="n">
        <v>18761</v>
      </c>
      <c r="B1921" s="13" t="s">
        <v>8331</v>
      </c>
      <c r="C1921" s="16" t="n">
        <v>45704</v>
      </c>
      <c r="D1921" s="13" t="s">
        <v>4755</v>
      </c>
      <c r="E1921" s="15" t="s">
        <v>47</v>
      </c>
      <c r="F1921" s="15" t="str">
        <f aca="false">IFERROR(__xludf.dummyfunction("XLOOKUP(AJ1921,IMPORTRANGE(""1XaInW9DU9nz21V0tYIfzFQ0He9kVQ_JF2mCXgZ3hqFA"",""REKAP ALL 2026 - Andika!G:G""),IMPORTRANGE(""1XaInW9DU9nz21V0tYIfzFQ0He9kVQ_JF2mCXgZ3hqFA"",""REKAP ALL 2026 - Andika!F:F""),"""",0)"),"25099754977")</f>
        <v>25099754977</v>
      </c>
      <c r="G1921" s="13" t="s">
        <v>57</v>
      </c>
      <c r="H1921" s="13" t="s">
        <v>3024</v>
      </c>
      <c r="I1921" s="13" t="str">
        <f aca="false">IF(C1921=J1921,"NEW KONTRAK","RE-KONTRAK")</f>
        <v>NEW KONTRAK</v>
      </c>
      <c r="J1921" s="16" t="n">
        <f aca="false" t="array" ref="J1921:J1921">IFERROR(INDEX(AC1921:AE1921,IF(COUNTA(AC1921:AE1921)=0,"",MAX((AC1921:AE1921&lt;&gt;"")*(COLUMN(AC1921:AE1921)-(COLUMN(AC1921)))))-1),"")</f>
        <v>45704</v>
      </c>
      <c r="K1921" s="16" t="n">
        <f aca="false" t="array" ref="K1921:K1921">IFERROR(INDEX(AC1921:AE1921,IF(COUNTA(AC1921:AE1921)=0,"",MAX((AC1921:AE1921&lt;&gt;"")*(COLUMN(AC1921:AE1921)-(COLUMN(AC1921)-1))))-1),"")</f>
        <v>45792</v>
      </c>
      <c r="L1921" s="17" t="str">
        <f aca="false" t="array" ref="L1921:L1921">IFERROR(INDEX(AC1921:AE1921,IF(COUNTA(AC1921:AE1921)=0,"",MAX((AC1921:AE1921&lt;&gt;"")*(COLUMN(AC1921:AE1921)-(COLUMN(AC1921)-2))))-1),"")</f>
        <v>ARCHIVED</v>
      </c>
      <c r="M1921" s="13" t="n">
        <f aca="true">K1921-TODAY()</f>
        <v>-532</v>
      </c>
      <c r="N1921" s="18" t="s">
        <v>615</v>
      </c>
      <c r="O1921" s="13" t="s">
        <v>4756</v>
      </c>
      <c r="P1921" s="19" t="n">
        <v>207044</v>
      </c>
      <c r="Q1921" s="20" t="s">
        <v>8332</v>
      </c>
      <c r="R1921" s="13" t="s">
        <v>232</v>
      </c>
      <c r="S1921" s="16" t="n">
        <v>38816</v>
      </c>
      <c r="T1921" s="13" t="s">
        <v>40</v>
      </c>
      <c r="U1921" s="13" t="s">
        <v>8333</v>
      </c>
      <c r="V1921" s="13" t="s">
        <v>42</v>
      </c>
      <c r="W1921" s="13" t="s">
        <v>43</v>
      </c>
      <c r="X1921" s="21" t="n">
        <v>87711267081</v>
      </c>
      <c r="Y1921" s="22" t="str">
        <f aca="false">O1921</f>
        <v>Reliever</v>
      </c>
      <c r="Z1921" s="13" t="str">
        <f aca="false">IFERROR(__xludf.dummyfunction("if(BJ1921="""","""",GOOGLETRANSLATE(BJ1921,""auto"",""en""))"),"Reliever")</f>
        <v>Reliever</v>
      </c>
      <c r="AA1921" s="23" t="str">
        <f aca="false">IF(C1921="","", CHOOSE(MONTH(C1921),"January","February","March","April","May","June","July","August","September","October","November","December")&amp;" "&amp;DAY(C1921)&amp;MID("thstndrdth",MIN(9,2*RIGHT(DAY(C1921))*(MOD(DAY(C1921)-11,100)&gt;2)+1),2)&amp;","&amp;TEXT(C1921," yyyy"))</f>
        <v>February 16th,2025</v>
      </c>
      <c r="AB1921" s="15" t="str">
        <f aca="true">IF(S1921="","",DATEDIF(S1921,TODAY(),"Y")&amp;" Tahun, "&amp;DATEDIF(S1921,TODAY(),"YM")&amp;" Bulan, "&amp;DATEDIF(S1921,TODAY(),"MD")&amp;" Hari")</f>
        <v>20 Tahun, 6 Bulan, 20 Hari</v>
      </c>
      <c r="AC1921" s="18" t="n">
        <v>45704</v>
      </c>
      <c r="AD1921" s="18" t="n">
        <v>45792</v>
      </c>
      <c r="AE1921" s="18" t="s">
        <v>44</v>
      </c>
    </row>
    <row r="1922" customFormat="false" ht="15" hidden="false" customHeight="true" outlineLevel="0" collapsed="false">
      <c r="A1922" s="12" t="n">
        <v>18764</v>
      </c>
      <c r="B1922" s="13" t="s">
        <v>8334</v>
      </c>
      <c r="C1922" s="16" t="n">
        <v>45704</v>
      </c>
      <c r="D1922" s="13" t="s">
        <v>4755</v>
      </c>
      <c r="E1922" s="15" t="s">
        <v>704</v>
      </c>
      <c r="F1922" s="24" t="s">
        <v>8335</v>
      </c>
      <c r="G1922" s="13" t="s">
        <v>57</v>
      </c>
      <c r="H1922" s="13" t="s">
        <v>3024</v>
      </c>
      <c r="I1922" s="13" t="str">
        <f aca="false">IF(C1922=J1922,"NEW KONTRAK","RE-KONTRAK")</f>
        <v>NEW KONTRAK</v>
      </c>
      <c r="J1922" s="16" t="n">
        <f aca="false" t="array" ref="J1922:J1922">IFERROR(INDEX(AC1922:AE1922,IF(COUNTA(AC1922:AE1922)=0,"",MAX((AC1922:AE1922&lt;&gt;"")*(COLUMN(AC1922:AE1922)-(COLUMN(AC1922)))))-1),"")</f>
        <v>45704</v>
      </c>
      <c r="K1922" s="16" t="n">
        <f aca="false" t="array" ref="K1922:K1922">IFERROR(INDEX(AC1922:AE1922,IF(COUNTA(AC1922:AE1922)=0,"",MAX((AC1922:AE1922&lt;&gt;"")*(COLUMN(AC1922:AE1922)-(COLUMN(AC1922)-1))))-1),"")</f>
        <v>45792</v>
      </c>
      <c r="L1922" s="17" t="str">
        <f aca="false" t="array" ref="L1922:L1922">IFERROR(INDEX(AC1922:AE1922,IF(COUNTA(AC1922:AE1922)=0,"",MAX((AC1922:AE1922&lt;&gt;"")*(COLUMN(AC1922:AE1922)-(COLUMN(AC1922)-2))))-1),"")</f>
        <v>ARCHIVED</v>
      </c>
      <c r="M1922" s="13" t="n">
        <f aca="true">K1922-TODAY()</f>
        <v>-532</v>
      </c>
      <c r="N1922" s="18" t="s">
        <v>615</v>
      </c>
      <c r="O1922" s="13" t="s">
        <v>4756</v>
      </c>
      <c r="P1922" s="19" t="n">
        <f aca="false">4856026/21</f>
        <v>231239.333333333</v>
      </c>
      <c r="Q1922" s="20" t="s">
        <v>8336</v>
      </c>
      <c r="R1922" s="13" t="s">
        <v>232</v>
      </c>
      <c r="S1922" s="16" t="n">
        <v>37413</v>
      </c>
      <c r="T1922" s="13" t="s">
        <v>40</v>
      </c>
      <c r="U1922" s="13" t="s">
        <v>8337</v>
      </c>
      <c r="V1922" s="13" t="s">
        <v>42</v>
      </c>
      <c r="W1922" s="13" t="s">
        <v>43</v>
      </c>
      <c r="X1922" s="21" t="n">
        <v>85707372480</v>
      </c>
      <c r="Y1922" s="22" t="str">
        <f aca="false">O1922</f>
        <v>Reliever</v>
      </c>
      <c r="Z1922" s="13" t="str">
        <f aca="false">IFERROR(__xludf.dummyfunction("if(BJ1922="""","""",GOOGLETRANSLATE(BJ1922,""auto"",""en""))"),"Reliever")</f>
        <v>Reliever</v>
      </c>
      <c r="AA1922" s="23" t="str">
        <f aca="false">IF(C1922="","", CHOOSE(MONTH(C1922),"January","February","March","April","May","June","July","August","September","October","November","December")&amp;" "&amp;DAY(C1922)&amp;MID("thstndrdth",MIN(9,2*RIGHT(DAY(C1922))*(MOD(DAY(C1922)-11,100)&gt;2)+1),2)&amp;","&amp;TEXT(C1922," yyyy"))</f>
        <v>February 16th,2025</v>
      </c>
      <c r="AB1922" s="15" t="str">
        <f aca="true">IF(S1922="","",DATEDIF(S1922,TODAY(),"Y")&amp;" Tahun, "&amp;DATEDIF(S1922,TODAY(),"YM")&amp;" Bulan, "&amp;DATEDIF(S1922,TODAY(),"MD")&amp;" Hari")</f>
        <v>24 Tahun, 4 Bulan, 23 Hari</v>
      </c>
      <c r="AC1922" s="18" t="n">
        <v>45704</v>
      </c>
      <c r="AD1922" s="18" t="n">
        <v>45792</v>
      </c>
      <c r="AE1922" s="18" t="s">
        <v>44</v>
      </c>
    </row>
    <row r="1923" customFormat="false" ht="15" hidden="false" customHeight="true" outlineLevel="0" collapsed="false">
      <c r="A1923" s="12" t="n">
        <v>18766</v>
      </c>
      <c r="B1923" s="13" t="s">
        <v>8338</v>
      </c>
      <c r="C1923" s="16" t="n">
        <v>45704</v>
      </c>
      <c r="D1923" s="13" t="s">
        <v>4755</v>
      </c>
      <c r="E1923" s="15" t="s">
        <v>704</v>
      </c>
      <c r="F1923" s="24" t="s">
        <v>8339</v>
      </c>
      <c r="G1923" s="13" t="s">
        <v>57</v>
      </c>
      <c r="H1923" s="13" t="s">
        <v>3024</v>
      </c>
      <c r="I1923" s="13" t="str">
        <f aca="false">IF(C1923=J1923,"NEW KONTRAK","RE-KONTRAK")</f>
        <v>NEW KONTRAK</v>
      </c>
      <c r="J1923" s="16" t="n">
        <f aca="false" t="array" ref="J1923:J1923">IFERROR(INDEX(AC1923:AE1923,IF(COUNTA(AC1923:AE1923)=0,"",MAX((AC1923:AE1923&lt;&gt;"")*(COLUMN(AC1923:AE1923)-(COLUMN(AC1923)))))-1),"")</f>
        <v>45704</v>
      </c>
      <c r="K1923" s="16" t="n">
        <f aca="false" t="array" ref="K1923:K1923">IFERROR(INDEX(AC1923:AE1923,IF(COUNTA(AC1923:AE1923)=0,"",MAX((AC1923:AE1923&lt;&gt;"")*(COLUMN(AC1923:AE1923)-(COLUMN(AC1923)-1))))-1),"")</f>
        <v>45792</v>
      </c>
      <c r="L1923" s="17" t="str">
        <f aca="false" t="array" ref="L1923:L1923">IFERROR(INDEX(AC1923:AE1923,IF(COUNTA(AC1923:AE1923)=0,"",MAX((AC1923:AE1923&lt;&gt;"")*(COLUMN(AC1923:AE1923)-(COLUMN(AC1923)-2))))-1),"")</f>
        <v>ARCHIVED</v>
      </c>
      <c r="M1923" s="13" t="n">
        <f aca="true">K1923-TODAY()</f>
        <v>-532</v>
      </c>
      <c r="N1923" s="18" t="s">
        <v>615</v>
      </c>
      <c r="O1923" s="13" t="s">
        <v>4756</v>
      </c>
      <c r="P1923" s="19" t="n">
        <f aca="false">4856026/21</f>
        <v>231239.333333333</v>
      </c>
      <c r="Q1923" s="20" t="s">
        <v>8340</v>
      </c>
      <c r="R1923" s="13" t="s">
        <v>232</v>
      </c>
      <c r="S1923" s="16" t="n">
        <v>38134</v>
      </c>
      <c r="T1923" s="13" t="s">
        <v>40</v>
      </c>
      <c r="U1923" s="13" t="s">
        <v>8341</v>
      </c>
      <c r="V1923" s="13" t="s">
        <v>42</v>
      </c>
      <c r="W1923" s="13" t="s">
        <v>43</v>
      </c>
      <c r="X1923" s="21" t="n">
        <v>85649272004</v>
      </c>
      <c r="Y1923" s="22" t="str">
        <f aca="false">O1923</f>
        <v>Reliever</v>
      </c>
      <c r="Z1923" s="13" t="str">
        <f aca="false">IFERROR(__xludf.dummyfunction("if(BJ1923="""","""",GOOGLETRANSLATE(BJ1923,""auto"",""en""))"),"Reliever")</f>
        <v>Reliever</v>
      </c>
      <c r="AA1923" s="23" t="str">
        <f aca="false">IF(C1923="","", CHOOSE(MONTH(C1923),"January","February","March","April","May","June","July","August","September","October","November","December")&amp;" "&amp;DAY(C1923)&amp;MID("thstndrdth",MIN(9,2*RIGHT(DAY(C1923))*(MOD(DAY(C1923)-11,100)&gt;2)+1),2)&amp;","&amp;TEXT(C1923," yyyy"))</f>
        <v>February 16th,2025</v>
      </c>
      <c r="AB1923" s="15" t="str">
        <f aca="true">IF(S1923="","",DATEDIF(S1923,TODAY(),"Y")&amp;" Tahun, "&amp;DATEDIF(S1923,TODAY(),"YM")&amp;" Bulan, "&amp;DATEDIF(S1923,TODAY(),"MD")&amp;" Hari")</f>
        <v>22 Tahun, 5 Bulan, 2 Hari</v>
      </c>
      <c r="AC1923" s="18" t="n">
        <v>45704</v>
      </c>
      <c r="AD1923" s="18" t="n">
        <v>45792</v>
      </c>
      <c r="AE1923" s="18" t="s">
        <v>44</v>
      </c>
    </row>
    <row r="1924" customFormat="false" ht="15" hidden="false" customHeight="true" outlineLevel="0" collapsed="false">
      <c r="A1924" s="12" t="n">
        <v>18767</v>
      </c>
      <c r="B1924" s="13" t="s">
        <v>8342</v>
      </c>
      <c r="C1924" s="16" t="n">
        <v>45704</v>
      </c>
      <c r="D1924" s="13" t="s">
        <v>4755</v>
      </c>
      <c r="E1924" s="15" t="s">
        <v>47</v>
      </c>
      <c r="F1924" s="15" t="str">
        <f aca="false">IFERROR(__xludf.dummyfunction("XLOOKUP(AJ1924,IMPORTRANGE(""1XaInW9DU9nz21V0tYIfzFQ0He9kVQ_JF2mCXgZ3hqFA"",""REKAP ALL 2026 - Andika!G:G""),IMPORTRANGE(""1XaInW9DU9nz21V0tYIfzFQ0He9kVQ_JF2mCXgZ3hqFA"",""REKAP ALL 2026 - Andika!F:F""),"""",0)"),"25099755016")</f>
        <v>25099755016</v>
      </c>
      <c r="G1924" s="13" t="s">
        <v>57</v>
      </c>
      <c r="H1924" s="13" t="s">
        <v>3024</v>
      </c>
      <c r="I1924" s="13" t="str">
        <f aca="false">IF(C1924=J1924,"NEW KONTRAK","RE-KONTRAK")</f>
        <v>NEW KONTRAK</v>
      </c>
      <c r="J1924" s="16" t="n">
        <f aca="false" t="array" ref="J1924:J1924">IFERROR(INDEX(AC1924:AE1924,IF(COUNTA(AC1924:AE1924)=0,"",MAX((AC1924:AE1924&lt;&gt;"")*(COLUMN(AC1924:AE1924)-(COLUMN(AC1924)))))-1),"")</f>
        <v>45704</v>
      </c>
      <c r="K1924" s="16" t="n">
        <f aca="false" t="array" ref="K1924:K1924">IFERROR(INDEX(AC1924:AE1924,IF(COUNTA(AC1924:AE1924)=0,"",MAX((AC1924:AE1924&lt;&gt;"")*(COLUMN(AC1924:AE1924)-(COLUMN(AC1924)-1))))-1),"")</f>
        <v>45792</v>
      </c>
      <c r="L1924" s="17" t="str">
        <f aca="false" t="array" ref="L1924:L1924">IFERROR(INDEX(AC1924:AE1924,IF(COUNTA(AC1924:AE1924)=0,"",MAX((AC1924:AE1924&lt;&gt;"")*(COLUMN(AC1924:AE1924)-(COLUMN(AC1924)-2))))-1),"")</f>
        <v>ARCHIVED</v>
      </c>
      <c r="M1924" s="13" t="n">
        <f aca="true">K1924-TODAY()</f>
        <v>-532</v>
      </c>
      <c r="N1924" s="18" t="s">
        <v>615</v>
      </c>
      <c r="O1924" s="13" t="s">
        <v>4756</v>
      </c>
      <c r="P1924" s="19" t="n">
        <v>207044</v>
      </c>
      <c r="Q1924" s="20" t="s">
        <v>8343</v>
      </c>
      <c r="R1924" s="13" t="s">
        <v>232</v>
      </c>
      <c r="S1924" s="16" t="n">
        <v>37012</v>
      </c>
      <c r="T1924" s="13" t="s">
        <v>40</v>
      </c>
      <c r="U1924" s="13" t="s">
        <v>7142</v>
      </c>
      <c r="V1924" s="13" t="s">
        <v>42</v>
      </c>
      <c r="W1924" s="13" t="s">
        <v>43</v>
      </c>
      <c r="X1924" s="21" t="n">
        <v>87770996003</v>
      </c>
      <c r="Y1924" s="22" t="str">
        <f aca="false">O1924</f>
        <v>Reliever</v>
      </c>
      <c r="Z1924" s="13" t="str">
        <f aca="false">IFERROR(__xludf.dummyfunction("if(BJ1924="""","""",GOOGLETRANSLATE(BJ1924,""auto"",""en""))"),"Reliever")</f>
        <v>Reliever</v>
      </c>
      <c r="AA1924" s="23" t="str">
        <f aca="false">IF(C1924="","", CHOOSE(MONTH(C1924),"January","February","March","April","May","June","July","August","September","October","November","December")&amp;" "&amp;DAY(C1924)&amp;MID("thstndrdth",MIN(9,2*RIGHT(DAY(C1924))*(MOD(DAY(C1924)-11,100)&gt;2)+1),2)&amp;","&amp;TEXT(C1924," yyyy"))</f>
        <v>February 16th,2025</v>
      </c>
      <c r="AB1924" s="15" t="str">
        <f aca="true">IF(S1924="","",DATEDIF(S1924,TODAY(),"Y")&amp;" Tahun, "&amp;DATEDIF(S1924,TODAY(),"YM")&amp;" Bulan, "&amp;DATEDIF(S1924,TODAY(),"MD")&amp;" Hari")</f>
        <v>25 Tahun, 5 Bulan, 28 Hari</v>
      </c>
      <c r="AC1924" s="18" t="n">
        <v>45704</v>
      </c>
      <c r="AD1924" s="18" t="n">
        <v>45792</v>
      </c>
      <c r="AE1924" s="18" t="s">
        <v>44</v>
      </c>
    </row>
    <row r="1925" customFormat="false" ht="15" hidden="false" customHeight="true" outlineLevel="0" collapsed="false">
      <c r="A1925" s="12" t="n">
        <v>18769</v>
      </c>
      <c r="B1925" s="13" t="s">
        <v>8344</v>
      </c>
      <c r="C1925" s="16" t="n">
        <v>45709</v>
      </c>
      <c r="D1925" s="13" t="s">
        <v>7310</v>
      </c>
      <c r="E1925" s="15" t="s">
        <v>33</v>
      </c>
      <c r="F1925" s="24" t="s">
        <v>8345</v>
      </c>
      <c r="G1925" s="13" t="s">
        <v>8346</v>
      </c>
      <c r="H1925" s="13" t="s">
        <v>35</v>
      </c>
      <c r="I1925" s="13" t="str">
        <f aca="false">IF(C1925=J1925,"NEW KONTRAK","RE-KONTRAK")</f>
        <v>NEW KONTRAK</v>
      </c>
      <c r="J1925" s="16" t="n">
        <f aca="false" t="array" ref="J1925:J1925">IFERROR(INDEX(AC1925:AE1925,IF(COUNTA(AC1925:AE1925)=0,"",MAX((AC1925:AE1925&lt;&gt;"")*(COLUMN(AC1925:AE1925)-(COLUMN(AC1925)))))-1),"")</f>
        <v>45709</v>
      </c>
      <c r="K1925" s="16" t="n">
        <f aca="false" t="array" ref="K1925:K1925">IFERROR(INDEX(AC1925:AE1925,IF(COUNTA(AC1925:AE1925)=0,"",MAX((AC1925:AE1925&lt;&gt;"")*(COLUMN(AC1925:AE1925)-(COLUMN(AC1925)-1))))-1),"")</f>
        <v>46073</v>
      </c>
      <c r="L1925" s="17" t="str">
        <f aca="false" t="array" ref="L1925:L1925">IFERROR(INDEX(AC1925:AE1925,IF(COUNTA(AC1925:AE1925)=0,"",MAX((AC1925:AE1925&lt;&gt;"")*(COLUMN(AC1925:AE1925)-(COLUMN(AC1925)-2))))-1),"")</f>
        <v>ARCHIVED</v>
      </c>
      <c r="M1925" s="13" t="n">
        <f aca="true">K1925-TODAY()</f>
        <v>-251</v>
      </c>
      <c r="N1925" s="18" t="s">
        <v>7313</v>
      </c>
      <c r="O1925" s="13" t="s">
        <v>50</v>
      </c>
      <c r="P1925" s="19" t="n">
        <v>2397550</v>
      </c>
      <c r="Q1925" s="20" t="s">
        <v>8347</v>
      </c>
      <c r="R1925" s="13" t="s">
        <v>227</v>
      </c>
      <c r="S1925" s="16" t="n">
        <v>37816</v>
      </c>
      <c r="T1925" s="13" t="s">
        <v>40</v>
      </c>
      <c r="U1925" s="13" t="s">
        <v>8348</v>
      </c>
      <c r="V1925" s="13" t="s">
        <v>42</v>
      </c>
      <c r="W1925" s="13" t="s">
        <v>54</v>
      </c>
      <c r="X1925" s="21" t="n">
        <v>85755051945</v>
      </c>
      <c r="Y1925" s="22" t="str">
        <f aca="false">O1925</f>
        <v>Driver</v>
      </c>
      <c r="Z1925" s="13" t="str">
        <f aca="false">IFERROR(__xludf.dummyfunction("if(BJ1925="""","""",GOOGLETRANSLATE(BJ1925,""auto"",""en""))"),"Driver")</f>
        <v>Driver</v>
      </c>
      <c r="AA1925" s="23" t="str">
        <f aca="false">IF(C1925="","", CHOOSE(MONTH(C1925),"January","February","March","April","May","June","July","August","September","October","November","December")&amp;" "&amp;DAY(C1925)&amp;MID("thstndrdth",MIN(9,2*RIGHT(DAY(C1925))*(MOD(DAY(C1925)-11,100)&gt;2)+1),2)&amp;","&amp;TEXT(C1925," yyyy"))</f>
        <v>February 21st,2025</v>
      </c>
      <c r="AB1925" s="15" t="str">
        <f aca="true">IF(S1925="","",DATEDIF(S1925,TODAY(),"Y")&amp;" Tahun, "&amp;DATEDIF(S1925,TODAY(),"YM")&amp;" Bulan, "&amp;DATEDIF(S1925,TODAY(),"MD")&amp;" Hari")</f>
        <v>23 Tahun, 3 Bulan, 15 Hari</v>
      </c>
      <c r="AC1925" s="18" t="n">
        <v>45709</v>
      </c>
      <c r="AD1925" s="18" t="n">
        <v>46073</v>
      </c>
      <c r="AE1925" s="18" t="s">
        <v>44</v>
      </c>
    </row>
    <row r="1926" customFormat="false" ht="15" hidden="false" customHeight="true" outlineLevel="0" collapsed="false">
      <c r="A1926" s="12" t="n">
        <v>18787</v>
      </c>
      <c r="B1926" s="13" t="s">
        <v>8349</v>
      </c>
      <c r="C1926" s="16" t="n">
        <v>45596</v>
      </c>
      <c r="D1926" s="13" t="s">
        <v>5250</v>
      </c>
      <c r="E1926" s="15" t="s">
        <v>789</v>
      </c>
      <c r="F1926" s="15" t="str">
        <f aca="false">IFERROR(__xludf.dummyfunction("XLOOKUP(AJ1926,IMPORTRANGE(""1XaInW9DU9nz21V0tYIfzFQ0He9kVQ_JF2mCXgZ3hqFA"",""REKAP ALL 2026 - Andika!G:G""),IMPORTRANGE(""1XaInW9DU9nz21V0tYIfzFQ0He9kVQ_JF2mCXgZ3hqFA"",""REKAP ALL 2026 - Andika!F:F""),"""",0)"),"25079804099")</f>
        <v>25079804099</v>
      </c>
      <c r="G1926" s="13" t="s">
        <v>8350</v>
      </c>
      <c r="H1926" s="13" t="s">
        <v>35</v>
      </c>
      <c r="I1926" s="13" t="str">
        <f aca="false">IF(C1926=J1926,"NEW KONTRAK","RE-KONTRAK")</f>
        <v>RE-KONTRAK</v>
      </c>
      <c r="J1926" s="16" t="n">
        <f aca="false" t="array" ref="J1926:J1926">IFERROR(INDEX(AC1926:AE1926,IF(COUNTA(AC1926:AE1926)=0,"",MAX((AC1926:AE1926&lt;&gt;"")*(COLUMN(AC1926:AE1926)-(COLUMN(AC1926)))))-1),"")</f>
        <v>45839</v>
      </c>
      <c r="K1926" s="16" t="n">
        <f aca="false" t="array" ref="K1926:K1926">IFERROR(INDEX(AC1926:AE1926,IF(COUNTA(AC1926:AE1926)=0,"",MAX((AC1926:AE1926&lt;&gt;"")*(COLUMN(AC1926:AE1926)-(COLUMN(AC1926)-1))))-1),"")</f>
        <v>46022</v>
      </c>
      <c r="L1926" s="17" t="str">
        <f aca="false" t="array" ref="L1926:L1926">IFERROR(INDEX(AC1926:AE1926,IF(COUNTA(AC1926:AE1926)=0,"",MAX((AC1926:AE1926&lt;&gt;"")*(COLUMN(AC1926:AE1926)-(COLUMN(AC1926)-2))))-1),"")</f>
        <v>ARCHIVED</v>
      </c>
      <c r="M1926" s="13" t="n">
        <f aca="true">K1926-TODAY()</f>
        <v>-302</v>
      </c>
      <c r="N1926" s="18" t="s">
        <v>728</v>
      </c>
      <c r="O1926" s="13" t="s">
        <v>76</v>
      </c>
      <c r="P1926" s="27" t="n">
        <v>5195401</v>
      </c>
      <c r="Q1926" s="20" t="s">
        <v>8351</v>
      </c>
      <c r="R1926" s="13" t="s">
        <v>255</v>
      </c>
      <c r="S1926" s="16" t="n">
        <v>34700</v>
      </c>
      <c r="T1926" s="28" t="s">
        <v>40</v>
      </c>
      <c r="U1926" s="13" t="s">
        <v>8352</v>
      </c>
      <c r="V1926" s="13" t="s">
        <v>42</v>
      </c>
      <c r="W1926" s="13" t="s">
        <v>43</v>
      </c>
      <c r="X1926" s="21" t="n">
        <v>81216739341</v>
      </c>
      <c r="Y1926" s="22" t="str">
        <f aca="false">O1926</f>
        <v>Operator Forklift</v>
      </c>
      <c r="Z1926" s="13" t="str">
        <f aca="false">IFERROR(__xludf.dummyfunction("if(BJ1926="""","""",GOOGLETRANSLATE(BJ1926,""auto"",""en""))"),"Operator Forklift")</f>
        <v>Operator Forklift</v>
      </c>
      <c r="AA1926" s="23" t="str">
        <f aca="false">IF(C1926="","", CHOOSE(MONTH(C1926),"January","February","March","April","May","June","July","August","September","October","November","December")&amp;" "&amp;DAY(C1926)&amp;MID("thstndrdth",MIN(9,2*RIGHT(DAY(C1926))*(MOD(DAY(C1926)-11,100)&gt;2)+1),2)&amp;","&amp;TEXT(C1926," yyyy"))</f>
        <v>October 31st,2024</v>
      </c>
      <c r="AB1926" s="15" t="str">
        <f aca="true">IF(S1926="","",DATEDIF(S1926,TODAY(),"Y")&amp;" Tahun, "&amp;DATEDIF(S1926,TODAY(),"YM")&amp;" Bulan, "&amp;DATEDIF(S1926,TODAY(),"MD")&amp;" Hari")</f>
        <v>31 Tahun, 9 Bulan, 28 Hari</v>
      </c>
      <c r="AC1926" s="18" t="n">
        <v>45839</v>
      </c>
      <c r="AD1926" s="18" t="n">
        <v>46022</v>
      </c>
      <c r="AE1926" s="18" t="s">
        <v>44</v>
      </c>
    </row>
    <row r="1927" customFormat="false" ht="15" hidden="false" customHeight="true" outlineLevel="0" collapsed="false">
      <c r="A1927" s="12" t="n">
        <v>18791</v>
      </c>
      <c r="B1927" s="13" t="s">
        <v>8353</v>
      </c>
      <c r="C1927" s="16" t="n">
        <v>45714</v>
      </c>
      <c r="D1927" s="13" t="s">
        <v>6638</v>
      </c>
      <c r="E1927" s="15" t="s">
        <v>8354</v>
      </c>
      <c r="F1927" s="24" t="s">
        <v>8355</v>
      </c>
      <c r="G1927" s="13" t="s">
        <v>8356</v>
      </c>
      <c r="H1927" s="13" t="s">
        <v>35</v>
      </c>
      <c r="I1927" s="13" t="str">
        <f aca="false">IF(C1927=J1927,"NEW KONTRAK","RE-KONTRAK")</f>
        <v>RE-KONTRAK</v>
      </c>
      <c r="J1927" s="16" t="n">
        <f aca="false" t="array" ref="J1927:J1927">IFERROR(INDEX(AC1927:AE1927,IF(COUNTA(AC1927:AE1927)=0,"",MAX((AC1927:AE1927&lt;&gt;"")*(COLUMN(AC1927:AE1927)-(COLUMN(AC1927)))))-1),"")</f>
        <v>45894</v>
      </c>
      <c r="K1927" s="16" t="n">
        <f aca="false" t="array" ref="K1927:K1927">IFERROR(INDEX(AC1927:AE1927,IF(COUNTA(AC1927:AE1927)=0,"",MAX((AC1927:AE1927&lt;&gt;"")*(COLUMN(AC1927:AE1927)-(COLUMN(AC1927)-1))))-1),"")</f>
        <v>46077</v>
      </c>
      <c r="L1927" s="17" t="str">
        <f aca="false" t="array" ref="L1927:L1927">IFERROR(INDEX(AC1927:AE1927,IF(COUNTA(AC1927:AE1927)=0,"",MAX((AC1927:AE1927&lt;&gt;"")*(COLUMN(AC1927:AE1927)-(COLUMN(AC1927)-2))))-1),"")</f>
        <v>ARCHIVED</v>
      </c>
      <c r="M1927" s="13" t="n">
        <f aca="true">K1927-TODAY()</f>
        <v>-247</v>
      </c>
      <c r="N1927" s="18" t="s">
        <v>4735</v>
      </c>
      <c r="O1927" s="13" t="s">
        <v>7439</v>
      </c>
      <c r="P1927" s="19" t="n">
        <v>3113530</v>
      </c>
      <c r="Q1927" s="20" t="s">
        <v>8357</v>
      </c>
      <c r="R1927" s="13" t="s">
        <v>1214</v>
      </c>
      <c r="S1927" s="16" t="n">
        <v>35757</v>
      </c>
      <c r="T1927" s="13" t="s">
        <v>108</v>
      </c>
      <c r="U1927" s="13" t="s">
        <v>8358</v>
      </c>
      <c r="V1927" s="13" t="s">
        <v>42</v>
      </c>
      <c r="W1927" s="13" t="s">
        <v>54</v>
      </c>
      <c r="X1927" s="21" t="n">
        <v>85604608225</v>
      </c>
      <c r="Y1927" s="22" t="str">
        <f aca="false">O1927</f>
        <v>Admin Marketing</v>
      </c>
      <c r="Z1927" s="13" t="str">
        <f aca="false">IFERROR(__xludf.dummyfunction("if(BJ1927="""","""",GOOGLETRANSLATE(BJ1927,""auto"",""en""))"),"Admin Marketing")</f>
        <v>Admin Marketing</v>
      </c>
      <c r="AA1927" s="23" t="str">
        <f aca="false">IF(C1927="","", CHOOSE(MONTH(C1927),"January","February","March","April","May","June","July","August","September","October","November","December")&amp;" "&amp;DAY(C1927)&amp;MID("thstndrdth",MIN(9,2*RIGHT(DAY(C1927))*(MOD(DAY(C1927)-11,100)&gt;2)+1),2)&amp;","&amp;TEXT(C1927," yyyy"))</f>
        <v>February 26th,2025</v>
      </c>
      <c r="AB1927" s="15" t="str">
        <f aca="true">IF(S1927="","",DATEDIF(S1927,TODAY(),"Y")&amp;" Tahun, "&amp;DATEDIF(S1927,TODAY(),"YM")&amp;" Bulan, "&amp;DATEDIF(S1927,TODAY(),"MD")&amp;" Hari")</f>
        <v>28 Tahun, 11 Bulan, 6 Hari</v>
      </c>
      <c r="AC1927" s="18" t="n">
        <v>45894</v>
      </c>
      <c r="AD1927" s="18" t="n">
        <v>46077</v>
      </c>
      <c r="AE1927" s="18" t="s">
        <v>44</v>
      </c>
    </row>
    <row r="1928" customFormat="false" ht="15" hidden="false" customHeight="true" outlineLevel="0" collapsed="false">
      <c r="A1928" s="12" t="n">
        <v>18797</v>
      </c>
      <c r="B1928" s="13" t="s">
        <v>8359</v>
      </c>
      <c r="C1928" s="16" t="n">
        <v>45719</v>
      </c>
      <c r="D1928" s="13" t="s">
        <v>5250</v>
      </c>
      <c r="E1928" s="15" t="s">
        <v>789</v>
      </c>
      <c r="F1928" s="15" t="str">
        <f aca="false">IFERROR(__xludf.dummyfunction("XLOOKUP(AJ1928,IMPORTRANGE(""1XaInW9DU9nz21V0tYIfzFQ0He9kVQ_JF2mCXgZ3hqFA"",""REKAP ALL 2026 - Andika!G:G""),IMPORTRANGE(""1XaInW9DU9nz21V0tYIfzFQ0He9kVQ_JF2mCXgZ3hqFA"",""REKAP ALL 2026 - Andika!F:F""),"""",0)"),"25036497318")</f>
        <v>25036497318</v>
      </c>
      <c r="G1928" s="13" t="s">
        <v>2809</v>
      </c>
      <c r="H1928" s="13" t="s">
        <v>35</v>
      </c>
      <c r="I1928" s="13" t="str">
        <f aca="false">IF(C1928=J1928,"NEW KONTRAK","RE-KONTRAK")</f>
        <v>RE-KONTRAK</v>
      </c>
      <c r="J1928" s="16" t="n">
        <f aca="false" t="array" ref="J1928:J1928">IFERROR(INDEX(AC1928:AE1928,IF(COUNTA(AC1928:AE1928)=0,"",MAX((AC1928:AE1928&lt;&gt;"")*(COLUMN(AC1928:AE1928)-(COLUMN(AC1928)))))-1),"")</f>
        <v>45811</v>
      </c>
      <c r="K1928" s="16" t="n">
        <f aca="false" t="array" ref="K1928:K1928">IFERROR(INDEX(AC1928:AE1928,IF(COUNTA(AC1928:AE1928)=0,"",MAX((AC1928:AE1928&lt;&gt;"")*(COLUMN(AC1928:AE1928)-(COLUMN(AC1928)-1))))-1),"")</f>
        <v>46022</v>
      </c>
      <c r="L1928" s="17" t="str">
        <f aca="false" t="array" ref="L1928:L1928">IFERROR(INDEX(AC1928:AE1928,IF(COUNTA(AC1928:AE1928)=0,"",MAX((AC1928:AE1928&lt;&gt;"")*(COLUMN(AC1928:AE1928)-(COLUMN(AC1928)-2))))-1),"")</f>
        <v>ARCHIVED</v>
      </c>
      <c r="M1928" s="13" t="n">
        <f aca="true">K1928-TODAY()</f>
        <v>-302</v>
      </c>
      <c r="N1928" s="18" t="s">
        <v>728</v>
      </c>
      <c r="O1928" s="13" t="s">
        <v>3271</v>
      </c>
      <c r="P1928" s="27" t="n">
        <v>5288796</v>
      </c>
      <c r="Q1928" s="20" t="s">
        <v>8360</v>
      </c>
      <c r="R1928" s="13" t="s">
        <v>5190</v>
      </c>
      <c r="S1928" s="16" t="n">
        <v>33771</v>
      </c>
      <c r="T1928" s="28" t="s">
        <v>40</v>
      </c>
      <c r="U1928" s="13" t="s">
        <v>8361</v>
      </c>
      <c r="V1928" s="13" t="s">
        <v>42</v>
      </c>
      <c r="W1928" s="13" t="s">
        <v>43</v>
      </c>
      <c r="X1928" s="21" t="n">
        <v>85336003537</v>
      </c>
      <c r="Y1928" s="22" t="str">
        <f aca="false">O1928</f>
        <v>Helper</v>
      </c>
      <c r="Z1928" s="13" t="str">
        <f aca="false">IFERROR(__xludf.dummyfunction("if(BJ1928="""","""",GOOGLETRANSLATE(BJ1928,""auto"",""en""))"),"Helper")</f>
        <v>Helper</v>
      </c>
      <c r="AA1928" s="23" t="str">
        <f aca="false">IF(C1928="","", CHOOSE(MONTH(C1928),"January","February","March","April","May","June","July","August","September","October","November","December")&amp;" "&amp;DAY(C1928)&amp;MID("thstndrdth",MIN(9,2*RIGHT(DAY(C1928))*(MOD(DAY(C1928)-11,100)&gt;2)+1),2)&amp;","&amp;TEXT(C1928," yyyy"))</f>
        <v>March 3rd,2025</v>
      </c>
      <c r="AB1928" s="15" t="str">
        <f aca="true">IF(S1928="","",DATEDIF(S1928,TODAY(),"Y")&amp;" Tahun, "&amp;DATEDIF(S1928,TODAY(),"YM")&amp;" Bulan, "&amp;DATEDIF(S1928,TODAY(),"MD")&amp;" Hari")</f>
        <v>34 Tahun, 4 Bulan, 13 Hari</v>
      </c>
      <c r="AC1928" s="18" t="n">
        <v>45811</v>
      </c>
      <c r="AD1928" s="18" t="n">
        <v>46022</v>
      </c>
      <c r="AE1928" s="18" t="s">
        <v>44</v>
      </c>
    </row>
    <row r="1929" customFormat="false" ht="15" hidden="false" customHeight="true" outlineLevel="0" collapsed="false">
      <c r="A1929" s="12" t="n">
        <v>18798</v>
      </c>
      <c r="B1929" s="13" t="s">
        <v>8362</v>
      </c>
      <c r="C1929" s="16" t="n">
        <v>45714</v>
      </c>
      <c r="D1929" s="13" t="s">
        <v>7534</v>
      </c>
      <c r="E1929" s="15" t="s">
        <v>102</v>
      </c>
      <c r="F1929" s="15" t="str">
        <f aca="false">IFERROR(__xludf.dummyfunction("XLOOKUP(AJ1929,IMPORTRANGE(""1XaInW9DU9nz21V0tYIfzFQ0He9kVQ_JF2mCXgZ3hqFA"",""REKAP ALL 2026 - Andika!G:G""),IMPORTRANGE(""1XaInW9DU9nz21V0tYIfzFQ0He9kVQ_JF2mCXgZ3hqFA"",""REKAP ALL 2026 - Andika!F:F""),"""",0)"),"25036498233")</f>
        <v>25036498233</v>
      </c>
      <c r="G1929" s="13" t="s">
        <v>8363</v>
      </c>
      <c r="H1929" s="13" t="s">
        <v>35</v>
      </c>
      <c r="I1929" s="13" t="str">
        <f aca="false">IF(C1929=J1929,"NEW KONTRAK","RE-KONTRAK")</f>
        <v>RE-KONTRAK</v>
      </c>
      <c r="J1929" s="16" t="n">
        <f aca="false" t="array" ref="J1929:J1929">IFERROR(INDEX(AC1929:AE1929,IF(COUNTA(AC1929:AE1929)=0,"",MAX((AC1929:AE1929&lt;&gt;"")*(COLUMN(AC1929:AE1929)-(COLUMN(AC1929)))))-1),"")</f>
        <v>45803</v>
      </c>
      <c r="K1929" s="16" t="n">
        <f aca="false" t="array" ref="K1929:K1929">IFERROR(INDEX(AC1929:AE1929,IF(COUNTA(AC1929:AE1929)=0,"",MAX((AC1929:AE1929&lt;&gt;"")*(COLUMN(AC1929:AE1929)-(COLUMN(AC1929)-1))))-1),"")</f>
        <v>45986</v>
      </c>
      <c r="L1929" s="17" t="str">
        <f aca="false" t="array" ref="L1929:L1929">IFERROR(INDEX(AC1929:AE1929,IF(COUNTA(AC1929:AE1929)=0,"",MAX((AC1929:AE1929&lt;&gt;"")*(COLUMN(AC1929:AE1929)-(COLUMN(AC1929)-2))))-1),"")</f>
        <v>ARCHIVED</v>
      </c>
      <c r="M1929" s="13" t="n">
        <f aca="true">K1929-TODAY()</f>
        <v>-338</v>
      </c>
      <c r="N1929" s="18" t="s">
        <v>4735</v>
      </c>
      <c r="O1929" s="13" t="s">
        <v>7536</v>
      </c>
      <c r="P1929" s="19" t="n">
        <v>3553530</v>
      </c>
      <c r="Q1929" s="20" t="s">
        <v>8364</v>
      </c>
      <c r="R1929" s="13" t="s">
        <v>83</v>
      </c>
      <c r="S1929" s="16" t="n">
        <v>38771</v>
      </c>
      <c r="T1929" s="13" t="s">
        <v>108</v>
      </c>
      <c r="U1929" s="13" t="s">
        <v>8365</v>
      </c>
      <c r="V1929" s="13" t="s">
        <v>42</v>
      </c>
      <c r="W1929" s="13" t="s">
        <v>43</v>
      </c>
      <c r="X1929" s="21" t="n">
        <v>81232368172</v>
      </c>
      <c r="Y1929" s="22" t="str">
        <f aca="false">O1929</f>
        <v>Host Live</v>
      </c>
      <c r="Z1929" s="13" t="str">
        <f aca="false">IFERROR(__xludf.dummyfunction("if(BJ1929="""","""",GOOGLETRANSLATE(BJ1929,""auto"",""en""))"),"Host Live")</f>
        <v>Host Live</v>
      </c>
      <c r="AA1929" s="23" t="str">
        <f aca="false">IF(C1929="","", CHOOSE(MONTH(C1929),"January","February","March","April","May","June","July","August","September","October","November","December")&amp;" "&amp;DAY(C1929)&amp;MID("thstndrdth",MIN(9,2*RIGHT(DAY(C1929))*(MOD(DAY(C1929)-11,100)&gt;2)+1),2)&amp;","&amp;TEXT(C1929," yyyy"))</f>
        <v>February 26th,2025</v>
      </c>
      <c r="AB1929" s="15" t="str">
        <f aca="true">IF(S1929="","",DATEDIF(S1929,TODAY(),"Y")&amp;" Tahun, "&amp;DATEDIF(S1929,TODAY(),"YM")&amp;" Bulan, "&amp;DATEDIF(S1929,TODAY(),"MD")&amp;" Hari")</f>
        <v>20 Tahun, 8 Bulan, 6 Hari</v>
      </c>
      <c r="AC1929" s="18" t="n">
        <v>45803</v>
      </c>
      <c r="AD1929" s="18" t="n">
        <v>45986</v>
      </c>
      <c r="AE1929" s="18" t="s">
        <v>44</v>
      </c>
    </row>
    <row r="1930" customFormat="false" ht="15" hidden="false" customHeight="true" outlineLevel="0" collapsed="false">
      <c r="A1930" s="12" t="n">
        <v>18799</v>
      </c>
      <c r="B1930" s="13" t="s">
        <v>8366</v>
      </c>
      <c r="C1930" s="16" t="n">
        <v>45712</v>
      </c>
      <c r="D1930" s="13" t="s">
        <v>1338</v>
      </c>
      <c r="E1930" s="15" t="s">
        <v>536</v>
      </c>
      <c r="F1930" s="24" t="s">
        <v>8367</v>
      </c>
      <c r="G1930" s="15" t="s">
        <v>57</v>
      </c>
      <c r="H1930" s="13" t="s">
        <v>2334</v>
      </c>
      <c r="I1930" s="13" t="str">
        <f aca="false">IF(C1930=J1930,"NEW KONTRAK","RE-KONTRAK")</f>
        <v>RE-KONTRAK</v>
      </c>
      <c r="J1930" s="16" t="n">
        <f aca="false" t="array" ref="J1930:J1930">IFERROR(INDEX(AC1930:AE1930,IF(COUNTA(AC1930:AE1930)=0,"",MAX((AC1930:AE1930&lt;&gt;"")*(COLUMN(AC1930:AE1930)-(COLUMN(AC1930)))))-1),"")</f>
        <v>45844</v>
      </c>
      <c r="K1930" s="16" t="n">
        <f aca="false" t="array" ref="K1930:K1930">IFERROR(INDEX(AC1930:AE1930,IF(COUNTA(AC1930:AE1930)=0,"",MAX((AC1930:AE1930&lt;&gt;"")*(COLUMN(AC1930:AE1930)-(COLUMN(AC1930)-1))))-1),"")</f>
        <v>45928</v>
      </c>
      <c r="L1930" s="17" t="str">
        <f aca="false" t="array" ref="L1930:L1930">IFERROR(INDEX(AC1930:AE1930,IF(COUNTA(AC1930:AE1930)=0,"",MAX((AC1930:AE1930&lt;&gt;"")*(COLUMN(AC1930:AE1930)-(COLUMN(AC1930)-2))))-1),"")</f>
        <v>ARCHIVED</v>
      </c>
      <c r="M1930" s="13" t="n">
        <f aca="true">K1930-TODAY()</f>
        <v>-396</v>
      </c>
      <c r="N1930" s="50" t="s">
        <v>615</v>
      </c>
      <c r="O1930" s="13" t="s">
        <v>2335</v>
      </c>
      <c r="P1930" s="19" t="n">
        <v>160000</v>
      </c>
      <c r="Q1930" s="20" t="s">
        <v>8368</v>
      </c>
      <c r="R1930" s="13" t="s">
        <v>39</v>
      </c>
      <c r="S1930" s="16" t="n">
        <v>30180</v>
      </c>
      <c r="T1930" s="13" t="s">
        <v>40</v>
      </c>
      <c r="U1930" s="13" t="s">
        <v>8369</v>
      </c>
      <c r="V1930" s="13" t="s">
        <v>42</v>
      </c>
      <c r="W1930" s="13" t="s">
        <v>54</v>
      </c>
      <c r="X1930" s="21" t="n">
        <v>83857084818</v>
      </c>
      <c r="Y1930" s="22" t="str">
        <f aca="false">O1930</f>
        <v>Project Management</v>
      </c>
      <c r="Z1930" s="13" t="str">
        <f aca="false">IFERROR(__xludf.dummyfunction("if(BJ1930="""","""",GOOGLETRANSLATE(BJ1930,""auto"",""en""))"),"Project Management")</f>
        <v>Project Management</v>
      </c>
      <c r="AA1930" s="23" t="str">
        <f aca="false">IF(C1930="","", CHOOSE(MONTH(C1930),"January","February","March","April","May","June","July","August","September","October","November","December")&amp;" "&amp;DAY(C1930)&amp;MID("thstndrdth",MIN(9,2*RIGHT(DAY(C1930))*(MOD(DAY(C1930)-11,100)&gt;2)+1),2)&amp;","&amp;TEXT(C1930," yyyy"))</f>
        <v>February 24th,2025</v>
      </c>
      <c r="AB1930" s="15" t="str">
        <f aca="true">IF(S1930="","",DATEDIF(S1930,TODAY(),"Y")&amp;" Tahun, "&amp;DATEDIF(S1930,TODAY(),"YM")&amp;" Bulan, "&amp;DATEDIF(S1930,TODAY(),"MD")&amp;" Hari")</f>
        <v>44 Tahun, 2 Bulan, 12 Hari</v>
      </c>
      <c r="AC1930" s="18" t="n">
        <v>45844</v>
      </c>
      <c r="AD1930" s="18" t="n">
        <v>45928</v>
      </c>
      <c r="AE1930" s="18" t="s">
        <v>44</v>
      </c>
    </row>
    <row r="1931" customFormat="false" ht="15" hidden="false" customHeight="true" outlineLevel="0" collapsed="false">
      <c r="A1931" s="12" t="n">
        <v>18800</v>
      </c>
      <c r="B1931" s="13" t="s">
        <v>8370</v>
      </c>
      <c r="C1931" s="16" t="n">
        <v>46205</v>
      </c>
      <c r="D1931" s="13" t="s">
        <v>1338</v>
      </c>
      <c r="E1931" s="15" t="s">
        <v>47</v>
      </c>
      <c r="F1931" s="15" t="str">
        <f aca="false">IFERROR(__xludf.dummyfunction("XLOOKUP(AJ1931,IMPORTRANGE(""1XaInW9DU9nz21V0tYIfzFQ0He9kVQ_JF2mCXgZ3hqFA"",""REKAP ALL 2026 - Andika!G:G""),IMPORTRANGE(""1XaInW9DU9nz21V0tYIfzFQ0He9kVQ_JF2mCXgZ3hqFA"",""REKAP ALL 2026 - Andika!F:F""),"""",0)"),"24216706085")</f>
        <v>24216706085</v>
      </c>
      <c r="G1931" s="15" t="s">
        <v>57</v>
      </c>
      <c r="H1931" s="13" t="s">
        <v>2334</v>
      </c>
      <c r="I1931" s="13" t="str">
        <f aca="false">IF(C1931=J1931,"NEW KONTRAK","RE-KONTRAK")</f>
        <v>NEW KONTRAK</v>
      </c>
      <c r="J1931" s="16" t="n">
        <f aca="false" t="array" ref="J1931:J1931">IFERROR(INDEX(AC1931:AE1931,IF(COUNTA(AC1931:AE1931)=0,"",MAX((AC1931:AE1931&lt;&gt;"")*(COLUMN(AC1931:AE1931)-(COLUMN(AC1931)))))-1),"")</f>
        <v>46205</v>
      </c>
      <c r="K1931" s="16" t="n">
        <f aca="false" t="array" ref="K1931:K1931">IFERROR(INDEX(AC1931:AE1931,IF(COUNTA(AC1931:AE1931)=0,"",MAX((AC1931:AE1931&lt;&gt;"")*(COLUMN(AC1931:AE1931)-(COLUMN(AC1931)-1))))-1),"")</f>
        <v>46295</v>
      </c>
      <c r="L1931" s="17" t="str">
        <f aca="false" t="array" ref="L1931:L1931">IFERROR(INDEX(AC1931:AE1931,IF(COUNTA(AC1931:AE1931)=0,"",MAX((AC1931:AE1931&lt;&gt;"")*(COLUMN(AC1931:AE1931)-(COLUMN(AC1931)-2))))-1),"")</f>
        <v>KEMBALI</v>
      </c>
      <c r="M1931" s="13" t="n">
        <f aca="true">K1931-TODAY()</f>
        <v>-29</v>
      </c>
      <c r="N1931" s="18" t="s">
        <v>615</v>
      </c>
      <c r="O1931" s="13" t="s">
        <v>2335</v>
      </c>
      <c r="P1931" s="19" t="n">
        <v>160000</v>
      </c>
      <c r="Q1931" s="20" t="s">
        <v>8371</v>
      </c>
      <c r="R1931" s="13" t="s">
        <v>39</v>
      </c>
      <c r="S1931" s="16" t="n">
        <v>29658</v>
      </c>
      <c r="T1931" s="13" t="s">
        <v>40</v>
      </c>
      <c r="U1931" s="13" t="s">
        <v>8372</v>
      </c>
      <c r="V1931" s="13" t="s">
        <v>42</v>
      </c>
      <c r="W1931" s="13" t="s">
        <v>54</v>
      </c>
      <c r="X1931" s="21" t="n">
        <v>81233981599</v>
      </c>
      <c r="Y1931" s="22" t="str">
        <f aca="false">O1931</f>
        <v>Project Management</v>
      </c>
      <c r="Z1931" s="13" t="str">
        <f aca="false">IFERROR(__xludf.dummyfunction("if(BJ1931="""","""",GOOGLETRANSLATE(BJ1931,""auto"",""en""))"),"Project Management")</f>
        <v>Project Management</v>
      </c>
      <c r="AA1931" s="23" t="str">
        <f aca="false">IF(C1931="","", CHOOSE(MONTH(C1931),"January","February","March","April","May","June","July","August","September","October","November","December")&amp;" "&amp;DAY(C1931)&amp;MID("thstndrdth",MIN(9,2*RIGHT(DAY(C1931))*(MOD(DAY(C1931)-11,100)&gt;2)+1),2)&amp;","&amp;TEXT(C1931," yyyy"))</f>
        <v>July 2nd,2026</v>
      </c>
      <c r="AB1931" s="15" t="str">
        <f aca="true">IF(S1931="","",DATEDIF(S1931,TODAY(),"Y")&amp;" Tahun, "&amp;DATEDIF(S1931,TODAY(),"YM")&amp;" Bulan, "&amp;DATEDIF(S1931,TODAY(),"MD")&amp;" Hari")</f>
        <v>45 Tahun, 7 Bulan, 16 Hari</v>
      </c>
      <c r="AC1931" s="16" t="n">
        <v>46205</v>
      </c>
      <c r="AD1931" s="18" t="n">
        <v>46295</v>
      </c>
      <c r="AE1931" s="13" t="s">
        <v>397</v>
      </c>
    </row>
    <row r="1932" customFormat="false" ht="15" hidden="false" customHeight="true" outlineLevel="0" collapsed="false">
      <c r="A1932" s="12" t="n">
        <v>18801</v>
      </c>
      <c r="B1932" s="13" t="s">
        <v>8373</v>
      </c>
      <c r="C1932" s="16" t="n">
        <v>45712</v>
      </c>
      <c r="D1932" s="13" t="s">
        <v>1338</v>
      </c>
      <c r="E1932" s="15" t="s">
        <v>47</v>
      </c>
      <c r="F1932" s="15" t="str">
        <f aca="false">IFERROR(__xludf.dummyfunction("XLOOKUP(AJ1932,IMPORTRANGE(""1XaInW9DU9nz21V0tYIfzFQ0He9kVQ_JF2mCXgZ3hqFA"",""REKAP ALL 2026 - Andika!G:G""),IMPORTRANGE(""1XaInW9DU9nz21V0tYIfzFQ0He9kVQ_JF2mCXgZ3hqFA"",""REKAP ALL 2026 - Andika!F:F""),"""",0)"),"25036497268")</f>
        <v>25036497268</v>
      </c>
      <c r="G1932" s="15" t="s">
        <v>57</v>
      </c>
      <c r="H1932" s="13" t="s">
        <v>2334</v>
      </c>
      <c r="I1932" s="13" t="str">
        <f aca="false">IF(C1932=J1932,"NEW KONTRAK","RE-KONTRAK")</f>
        <v>RE-KONTRAK</v>
      </c>
      <c r="J1932" s="16" t="n">
        <f aca="false" t="array" ref="J1932:J1932">IFERROR(INDEX(AC1932:AE1932,IF(COUNTA(AC1932:AE1932)=0,"",MAX((AC1932:AE1932&lt;&gt;"")*(COLUMN(AC1932:AE1932)-(COLUMN(AC1932)))))-1),"")</f>
        <v>45844</v>
      </c>
      <c r="K1932" s="16" t="n">
        <f aca="false" t="array" ref="K1932:K1932">IFERROR(INDEX(AC1932:AE1932,IF(COUNTA(AC1932:AE1932)=0,"",MAX((AC1932:AE1932&lt;&gt;"")*(COLUMN(AC1932:AE1932)-(COLUMN(AC1932)-1))))-1),"")</f>
        <v>45928</v>
      </c>
      <c r="L1932" s="17" t="str">
        <f aca="false" t="array" ref="L1932:L1932">IFERROR(INDEX(AC1932:AE1932,IF(COUNTA(AC1932:AE1932)=0,"",MAX((AC1932:AE1932&lt;&gt;"")*(COLUMN(AC1932:AE1932)-(COLUMN(AC1932)-2))))-1),"")</f>
        <v>KEMBALI</v>
      </c>
      <c r="M1932" s="13" t="n">
        <f aca="true">K1932-TODAY()</f>
        <v>-396</v>
      </c>
      <c r="N1932" s="18" t="s">
        <v>615</v>
      </c>
      <c r="O1932" s="13" t="s">
        <v>2335</v>
      </c>
      <c r="P1932" s="19" t="n">
        <v>160000</v>
      </c>
      <c r="Q1932" s="20" t="s">
        <v>8374</v>
      </c>
      <c r="R1932" s="13" t="s">
        <v>39</v>
      </c>
      <c r="S1932" s="16" t="n">
        <v>28260</v>
      </c>
      <c r="T1932" s="13" t="s">
        <v>40</v>
      </c>
      <c r="U1932" s="13" t="s">
        <v>8375</v>
      </c>
      <c r="V1932" s="13" t="s">
        <v>42</v>
      </c>
      <c r="W1932" s="13" t="s">
        <v>54</v>
      </c>
      <c r="X1932" s="21" t="n">
        <v>85236141353</v>
      </c>
      <c r="Y1932" s="22" t="str">
        <f aca="false">O1932</f>
        <v>Project Management</v>
      </c>
      <c r="Z1932" s="13" t="str">
        <f aca="false">IFERROR(__xludf.dummyfunction("if(BJ1932="""","""",GOOGLETRANSLATE(BJ1932,""auto"",""en""))"),"Project Management")</f>
        <v>Project Management</v>
      </c>
      <c r="AA1932" s="23" t="str">
        <f aca="false">IF(C1932="","", CHOOSE(MONTH(C1932),"January","February","March","April","May","June","July","August","September","October","November","December")&amp;" "&amp;DAY(C1932)&amp;MID("thstndrdth",MIN(9,2*RIGHT(DAY(C1932))*(MOD(DAY(C1932)-11,100)&gt;2)+1),2)&amp;","&amp;TEXT(C1932," yyyy"))</f>
        <v>February 24th,2025</v>
      </c>
      <c r="AB1932" s="15" t="str">
        <f aca="true">IF(S1932="","",DATEDIF(S1932,TODAY(),"Y")&amp;" Tahun, "&amp;DATEDIF(S1932,TODAY(),"YM")&amp;" Bulan, "&amp;DATEDIF(S1932,TODAY(),"MD")&amp;" Hari")</f>
        <v>49 Tahun, 5 Bulan, 14 Hari</v>
      </c>
      <c r="AC1932" s="18" t="n">
        <v>45844</v>
      </c>
      <c r="AD1932" s="18" t="n">
        <v>45928</v>
      </c>
      <c r="AE1932" s="13" t="s">
        <v>397</v>
      </c>
    </row>
    <row r="1933" customFormat="false" ht="15" hidden="false" customHeight="true" outlineLevel="0" collapsed="false">
      <c r="A1933" s="12" t="n">
        <v>18806</v>
      </c>
      <c r="B1933" s="13" t="s">
        <v>209</v>
      </c>
      <c r="C1933" s="16" t="n">
        <v>45659</v>
      </c>
      <c r="D1933" s="13" t="s">
        <v>5726</v>
      </c>
      <c r="E1933" s="15" t="s">
        <v>47</v>
      </c>
      <c r="F1933" s="15" t="str">
        <f aca="false">IFERROR(__xludf.dummyfunction("XLOOKUP(AJ1933,IMPORTRANGE(""1XaInW9DU9nz21V0tYIfzFQ0He9kVQ_JF2mCXgZ3hqFA"",""REKAP ALL 2026 - Andika!G:G""),IMPORTRANGE(""1XaInW9DU9nz21V0tYIfzFQ0He9kVQ_JF2mCXgZ3hqFA"",""REKAP ALL 2026 - Andika!F:F""),"""",0)"),"25012461833")</f>
        <v>25012461833</v>
      </c>
      <c r="G1933" s="13" t="s">
        <v>8376</v>
      </c>
      <c r="H1933" s="13" t="s">
        <v>35</v>
      </c>
      <c r="I1933" s="13" t="str">
        <f aca="false">IF(C1933=J1933,"NEW KONTRAK","RE-KONTRAK")</f>
        <v>RE-KONTRAK</v>
      </c>
      <c r="J1933" s="16" t="n">
        <f aca="false" t="array" ref="J1933:J1933">IFERROR(INDEX(AC1933:AE1933,IF(COUNTA(AC1933:AE1933)=0,"",MAX((AC1933:AE1933&lt;&gt;"")*(COLUMN(AC1933:AE1933)-(COLUMN(AC1933)))))-1),"")</f>
        <v>45870</v>
      </c>
      <c r="K1933" s="16" t="n">
        <f aca="false" t="array" ref="K1933:K1933">IFERROR(INDEX(AC1933:AE1933,IF(COUNTA(AC1933:AE1933)=0,"",MAX((AC1933:AE1933&lt;&gt;"")*(COLUMN(AC1933:AE1933)-(COLUMN(AC1933)-1))))-1),"")</f>
        <v>45961</v>
      </c>
      <c r="L1933" s="17" t="str">
        <f aca="false" t="array" ref="L1933:L1933">IFERROR(INDEX(AC1933:AE1933,IF(COUNTA(AC1933:AE1933)=0,"",MAX((AC1933:AE1933&lt;&gt;"")*(COLUMN(AC1933:AE1933)-(COLUMN(AC1933)-2))))-1),"")</f>
        <v>ARCHIVED</v>
      </c>
      <c r="M1933" s="13" t="n">
        <f aca="true">K1933-TODAY()</f>
        <v>-363</v>
      </c>
      <c r="N1933" s="18" t="s">
        <v>615</v>
      </c>
      <c r="O1933" s="13" t="s">
        <v>8377</v>
      </c>
      <c r="P1933" s="19" t="n">
        <v>5176101</v>
      </c>
      <c r="Q1933" s="20" t="s">
        <v>8378</v>
      </c>
      <c r="R1933" s="13" t="s">
        <v>232</v>
      </c>
      <c r="S1933" s="16" t="n">
        <v>33017</v>
      </c>
      <c r="T1933" s="13" t="s">
        <v>40</v>
      </c>
      <c r="U1933" s="13" t="s">
        <v>8379</v>
      </c>
      <c r="V1933" s="13" t="s">
        <v>42</v>
      </c>
      <c r="W1933" s="13" t="s">
        <v>54</v>
      </c>
      <c r="X1933" s="21" t="n">
        <v>85859461671</v>
      </c>
      <c r="Y1933" s="22" t="str">
        <f aca="false">O1933</f>
        <v>Helper Molding</v>
      </c>
      <c r="Z1933" s="13" t="str">
        <f aca="false">IFERROR(__xludf.dummyfunction("if(BJ1933="""","""",GOOGLETRANSLATE(BJ1933,""auto"",""en""))"),"Helper Molding")</f>
        <v>Helper Molding</v>
      </c>
      <c r="AA1933" s="23" t="str">
        <f aca="false">IF(C1933="","", CHOOSE(MONTH(C1933),"January","February","March","April","May","June","July","August","September","October","November","December")&amp;" "&amp;DAY(C1933)&amp;MID("thstndrdth",MIN(9,2*RIGHT(DAY(C1933))*(MOD(DAY(C1933)-11,100)&gt;2)+1),2)&amp;","&amp;TEXT(C1933," yyyy"))</f>
        <v>January 2nd,2025</v>
      </c>
      <c r="AB1933" s="15" t="str">
        <f aca="true">IF(S1933="","",DATEDIF(S1933,TODAY(),"Y")&amp;" Tahun, "&amp;DATEDIF(S1933,TODAY(),"YM")&amp;" Bulan, "&amp;DATEDIF(S1933,TODAY(),"MD")&amp;" Hari")</f>
        <v>36 Tahun, 5 Bulan, 5 Hari</v>
      </c>
      <c r="AC1933" s="18" t="n">
        <v>45870</v>
      </c>
      <c r="AD1933" s="18" t="n">
        <v>45961</v>
      </c>
      <c r="AE1933" s="18" t="s">
        <v>44</v>
      </c>
    </row>
    <row r="1934" customFormat="false" ht="15" hidden="false" customHeight="true" outlineLevel="0" collapsed="false">
      <c r="A1934" s="12" t="n">
        <v>18808</v>
      </c>
      <c r="B1934" s="13" t="s">
        <v>7482</v>
      </c>
      <c r="C1934" s="16" t="n">
        <v>45715</v>
      </c>
      <c r="D1934" s="13" t="s">
        <v>1338</v>
      </c>
      <c r="E1934" s="15" t="s">
        <v>33</v>
      </c>
      <c r="F1934" s="24" t="s">
        <v>8380</v>
      </c>
      <c r="G1934" s="13" t="s">
        <v>57</v>
      </c>
      <c r="H1934" s="13" t="s">
        <v>7955</v>
      </c>
      <c r="I1934" s="13" t="str">
        <f aca="false">IF(C1934=J1934,"NEW KONTRAK","RE-KONTRAK")</f>
        <v>RE-KONTRAK</v>
      </c>
      <c r="J1934" s="16" t="n">
        <f aca="false" t="array" ref="J1934:J1934">IFERROR(INDEX(AC1934:AE1934,IF(COUNTA(AC1934:AE1934)=0,"",MAX((AC1934:AE1934&lt;&gt;"")*(COLUMN(AC1934:AE1934)-(COLUMN(AC1934)))))-1),"")</f>
        <v>45804</v>
      </c>
      <c r="K1934" s="16" t="n">
        <f aca="false" t="array" ref="K1934:K1934">IFERROR(INDEX(AC1934:AE1934,IF(COUNTA(AC1934:AE1934)=0,"",MAX((AC1934:AE1934&lt;&gt;"")*(COLUMN(AC1934:AE1934)-(COLUMN(AC1934)-1))))-1),"")</f>
        <v>45844</v>
      </c>
      <c r="L1934" s="17" t="str">
        <f aca="false" t="array" ref="L1934:L1934">IFERROR(INDEX(AC1934:AE1934,IF(COUNTA(AC1934:AE1934)=0,"",MAX((AC1934:AE1934&lt;&gt;"")*(COLUMN(AC1934:AE1934)-(COLUMN(AC1934)-2))))-1),"")</f>
        <v>ARCHIVED</v>
      </c>
      <c r="M1934" s="13" t="n">
        <f aca="true">K1934-TODAY()</f>
        <v>-480</v>
      </c>
      <c r="N1934" s="18" t="s">
        <v>615</v>
      </c>
      <c r="O1934" s="13" t="s">
        <v>3271</v>
      </c>
      <c r="P1934" s="19" t="n">
        <v>210000</v>
      </c>
      <c r="Q1934" s="20" t="s">
        <v>8381</v>
      </c>
      <c r="R1934" s="13" t="s">
        <v>232</v>
      </c>
      <c r="S1934" s="16" t="n">
        <v>30650</v>
      </c>
      <c r="T1934" s="13" t="s">
        <v>40</v>
      </c>
      <c r="U1934" s="13" t="s">
        <v>8382</v>
      </c>
      <c r="V1934" s="13" t="s">
        <v>42</v>
      </c>
      <c r="W1934" s="13" t="s">
        <v>54</v>
      </c>
      <c r="X1934" s="21" t="n">
        <v>82301441634</v>
      </c>
      <c r="Y1934" s="22" t="str">
        <f aca="false">O1934</f>
        <v>Helper</v>
      </c>
      <c r="Z1934" s="13" t="str">
        <f aca="false">IFERROR(__xludf.dummyfunction("if(BJ1934="""","""",GOOGLETRANSLATE(BJ1934,""auto"",""en""))"),"Helper")</f>
        <v>Helper</v>
      </c>
      <c r="AA1934" s="23" t="str">
        <f aca="false">IF(C1934="","", CHOOSE(MONTH(C1934),"January","February","March","April","May","June","July","August","September","October","November","December")&amp;" "&amp;DAY(C1934)&amp;MID("thstndrdth",MIN(9,2*RIGHT(DAY(C1934))*(MOD(DAY(C1934)-11,100)&gt;2)+1),2)&amp;","&amp;TEXT(C1934," yyyy"))</f>
        <v>February 27th,2025</v>
      </c>
      <c r="AB1934" s="15" t="str">
        <f aca="true">IF(S1934="","",DATEDIF(S1934,TODAY(),"Y")&amp;" Tahun, "&amp;DATEDIF(S1934,TODAY(),"YM")&amp;" Bulan, "&amp;DATEDIF(S1934,TODAY(),"MD")&amp;" Hari")</f>
        <v>42 Tahun, 10 Bulan, 29 Hari</v>
      </c>
      <c r="AC1934" s="18" t="n">
        <v>45804</v>
      </c>
      <c r="AD1934" s="18" t="n">
        <v>45844</v>
      </c>
      <c r="AE1934" s="18" t="s">
        <v>44</v>
      </c>
    </row>
    <row r="1935" customFormat="false" ht="15" hidden="false" customHeight="true" outlineLevel="0" collapsed="false">
      <c r="A1935" s="12" t="n">
        <v>18809</v>
      </c>
      <c r="B1935" s="13" t="s">
        <v>8383</v>
      </c>
      <c r="C1935" s="16" t="n">
        <v>45715</v>
      </c>
      <c r="D1935" s="13" t="s">
        <v>1338</v>
      </c>
      <c r="E1935" s="15" t="s">
        <v>47</v>
      </c>
      <c r="F1935" s="15" t="str">
        <f aca="false">IFERROR(__xludf.dummyfunction("XLOOKUP(AJ1935,IMPORTRANGE(""1XaInW9DU9nz21V0tYIfzFQ0He9kVQ_JF2mCXgZ3hqFA"",""REKAP ALL 2026 - Andika!G:G""),IMPORTRANGE(""1XaInW9DU9nz21V0tYIfzFQ0He9kVQ_JF2mCXgZ3hqFA"",""REKAP ALL 2026 - Andika!F:F""),"""",0)"),"25036497029")</f>
        <v>25036497029</v>
      </c>
      <c r="G1935" s="13" t="s">
        <v>57</v>
      </c>
      <c r="H1935" s="13" t="s">
        <v>7955</v>
      </c>
      <c r="I1935" s="13" t="str">
        <f aca="false">IF(C1935=J1935,"NEW KONTRAK","RE-KONTRAK")</f>
        <v>RE-KONTRAK</v>
      </c>
      <c r="J1935" s="16" t="n">
        <f aca="false" t="array" ref="J1935:J1935">IFERROR(INDEX(AC1935:AE1935,IF(COUNTA(AC1935:AE1935)=0,"",MAX((AC1935:AE1935&lt;&gt;"")*(COLUMN(AC1935:AE1935)-(COLUMN(AC1935)))))-1),"")</f>
        <v>45844</v>
      </c>
      <c r="K1935" s="16" t="n">
        <f aca="false" t="array" ref="K1935:K1935">IFERROR(INDEX(AC1935:AE1935,IF(COUNTA(AC1935:AE1935)=0,"",MAX((AC1935:AE1935&lt;&gt;"")*(COLUMN(AC1935:AE1935)-(COLUMN(AC1935)-1))))-1),"")</f>
        <v>45935</v>
      </c>
      <c r="L1935" s="17" t="str">
        <f aca="false" t="array" ref="L1935:L1935">IFERROR(INDEX(AC1935:AE1935,IF(COUNTA(AC1935:AE1935)=0,"",MAX((AC1935:AE1935&lt;&gt;"")*(COLUMN(AC1935:AE1935)-(COLUMN(AC1935)-2))))-1),"")</f>
        <v>KEMBALI</v>
      </c>
      <c r="M1935" s="13" t="n">
        <f aca="true">K1935-TODAY()</f>
        <v>-389</v>
      </c>
      <c r="N1935" s="18" t="s">
        <v>615</v>
      </c>
      <c r="O1935" s="13" t="s">
        <v>7951</v>
      </c>
      <c r="P1935" s="19" t="n">
        <v>245000</v>
      </c>
      <c r="Q1935" s="20" t="s">
        <v>8384</v>
      </c>
      <c r="R1935" s="13" t="s">
        <v>232</v>
      </c>
      <c r="S1935" s="16" t="n">
        <v>30010</v>
      </c>
      <c r="T1935" s="13" t="s">
        <v>40</v>
      </c>
      <c r="U1935" s="13" t="s">
        <v>8385</v>
      </c>
      <c r="V1935" s="13" t="s">
        <v>42</v>
      </c>
      <c r="W1935" s="13" t="s">
        <v>54</v>
      </c>
      <c r="X1935" s="21" t="n">
        <v>81239477872</v>
      </c>
      <c r="Y1935" s="22" t="str">
        <f aca="false">O1935</f>
        <v>Mekanik Kiln</v>
      </c>
      <c r="Z1935" s="13" t="str">
        <f aca="false">IFERROR(__xludf.dummyfunction("if(BJ1935="""","""",GOOGLETRANSLATE(BJ1935,""auto"",""en""))"),"Kiln Mechanics")</f>
        <v>Kiln Mechanics</v>
      </c>
      <c r="AA1935" s="23" t="str">
        <f aca="false">IF(C1935="","", CHOOSE(MONTH(C1935),"January","February","March","April","May","June","July","August","September","October","November","December")&amp;" "&amp;DAY(C1935)&amp;MID("thstndrdth",MIN(9,2*RIGHT(DAY(C1935))*(MOD(DAY(C1935)-11,100)&gt;2)+1),2)&amp;","&amp;TEXT(C1935," yyyy"))</f>
        <v>February 27th,2025</v>
      </c>
      <c r="AB1935" s="15" t="str">
        <f aca="true">IF(S1935="","",DATEDIF(S1935,TODAY(),"Y")&amp;" Tahun, "&amp;DATEDIF(S1935,TODAY(),"YM")&amp;" Bulan, "&amp;DATEDIF(S1935,TODAY(),"MD")&amp;" Hari")</f>
        <v>44 Tahun, 8 Bulan, 1 Hari</v>
      </c>
      <c r="AC1935" s="18" t="n">
        <v>45844</v>
      </c>
      <c r="AD1935" s="18" t="n">
        <v>45935</v>
      </c>
      <c r="AE1935" s="13" t="s">
        <v>397</v>
      </c>
    </row>
    <row r="1936" customFormat="false" ht="15" hidden="false" customHeight="true" outlineLevel="0" collapsed="false">
      <c r="A1936" s="12" t="n">
        <v>18810</v>
      </c>
      <c r="B1936" s="13" t="s">
        <v>8386</v>
      </c>
      <c r="C1936" s="16" t="n">
        <v>45715</v>
      </c>
      <c r="D1936" s="13" t="s">
        <v>7948</v>
      </c>
      <c r="E1936" s="15" t="s">
        <v>7949</v>
      </c>
      <c r="F1936" s="15" t="str">
        <f aca="false">IFERROR(__xludf.dummyfunction("XLOOKUP(AJ1936,IMPORTRANGE(""1XaInW9DU9nz21V0tYIfzFQ0He9kVQ_JF2mCXgZ3hqFA"",""REKAP ALL 2026 - Andika!G:G""),IMPORTRANGE(""1XaInW9DU9nz21V0tYIfzFQ0He9kVQ_JF2mCXgZ3hqFA"",""REKAP ALL 2026 - Andika!F:F""),"""",0)"),"25036497037")</f>
        <v>25036497037</v>
      </c>
      <c r="G1936" s="13" t="s">
        <v>57</v>
      </c>
      <c r="H1936" s="13" t="s">
        <v>7950</v>
      </c>
      <c r="I1936" s="13" t="str">
        <f aca="false">IF(C1936=J1936,"NEW KONTRAK","RE-KONTRAK")</f>
        <v>RE-KONTRAK</v>
      </c>
      <c r="J1936" s="16" t="n">
        <f aca="false" t="array" ref="J1936:J1936">IFERROR(INDEX(AC1936:AE1936,IF(COUNTA(AC1936:AE1936)=0,"",MAX((AC1936:AE1936&lt;&gt;"")*(COLUMN(AC1936:AE1936)-(COLUMN(AC1936)))))-1),"")</f>
        <v>45844</v>
      </c>
      <c r="K1936" s="16" t="n">
        <f aca="false" t="array" ref="K1936:K1936">IFERROR(INDEX(AC1936:AE1936,IF(COUNTA(AC1936:AE1936)=0,"",MAX((AC1936:AE1936&lt;&gt;"")*(COLUMN(AC1936:AE1936)-(COLUMN(AC1936)-1))))-1),"")</f>
        <v>45935</v>
      </c>
      <c r="L1936" s="17" t="str">
        <f aca="false" t="array" ref="L1936:L1936">IFERROR(INDEX(AC1936:AE1936,IF(COUNTA(AC1936:AE1936)=0,"",MAX((AC1936:AE1936&lt;&gt;"")*(COLUMN(AC1936:AE1936)-(COLUMN(AC1936)-2))))-1),"")</f>
        <v>ARCHIVED</v>
      </c>
      <c r="M1936" s="13" t="n">
        <f aca="true">K1936-TODAY()</f>
        <v>-389</v>
      </c>
      <c r="N1936" s="18" t="s">
        <v>4051</v>
      </c>
      <c r="O1936" s="13" t="s">
        <v>7951</v>
      </c>
      <c r="P1936" s="19" t="n">
        <v>245000</v>
      </c>
      <c r="Q1936" s="20" t="s">
        <v>8387</v>
      </c>
      <c r="R1936" s="13" t="s">
        <v>232</v>
      </c>
      <c r="S1936" s="16" t="n">
        <v>31884</v>
      </c>
      <c r="T1936" s="13" t="s">
        <v>40</v>
      </c>
      <c r="U1936" s="13" t="s">
        <v>8388</v>
      </c>
      <c r="V1936" s="13" t="s">
        <v>42</v>
      </c>
      <c r="W1936" s="13" t="s">
        <v>54</v>
      </c>
      <c r="X1936" s="21" t="n">
        <v>85729706383</v>
      </c>
      <c r="Y1936" s="22" t="str">
        <f aca="false">O1936</f>
        <v>Mekanik Kiln</v>
      </c>
      <c r="Z1936" s="13" t="str">
        <f aca="false">IFERROR(__xludf.dummyfunction("if(BJ1936="""","""",GOOGLETRANSLATE(BJ1936,""auto"",""en""))"),"Kiln Mechanics")</f>
        <v>Kiln Mechanics</v>
      </c>
      <c r="AA1936" s="23" t="str">
        <f aca="false">IF(C1936="","", CHOOSE(MONTH(C1936),"January","February","March","April","May","June","July","August","September","October","November","December")&amp;" "&amp;DAY(C1936)&amp;MID("thstndrdth",MIN(9,2*RIGHT(DAY(C1936))*(MOD(DAY(C1936)-11,100)&gt;2)+1),2)&amp;","&amp;TEXT(C1936," yyyy"))</f>
        <v>February 27th,2025</v>
      </c>
      <c r="AB1936" s="15" t="str">
        <f aca="true">IF(S1936="","",DATEDIF(S1936,TODAY(),"Y")&amp;" Tahun, "&amp;DATEDIF(S1936,TODAY(),"YM")&amp;" Bulan, "&amp;DATEDIF(S1936,TODAY(),"MD")&amp;" Hari")</f>
        <v>39 Tahun, 6 Bulan, 12 Hari</v>
      </c>
      <c r="AC1936" s="18" t="n">
        <v>45844</v>
      </c>
      <c r="AD1936" s="18" t="n">
        <v>45935</v>
      </c>
      <c r="AE1936" s="18" t="s">
        <v>44</v>
      </c>
    </row>
    <row r="1937" customFormat="false" ht="15" hidden="false" customHeight="true" outlineLevel="0" collapsed="false">
      <c r="A1937" s="12" t="n">
        <v>18812</v>
      </c>
      <c r="B1937" s="13" t="s">
        <v>8389</v>
      </c>
      <c r="C1937" s="16" t="n">
        <v>45715</v>
      </c>
      <c r="D1937" s="13" t="s">
        <v>7948</v>
      </c>
      <c r="E1937" s="15" t="s">
        <v>7949</v>
      </c>
      <c r="F1937" s="15" t="str">
        <f aca="false">IFERROR(__xludf.dummyfunction("XLOOKUP(AJ1937,IMPORTRANGE(""1XaInW9DU9nz21V0tYIfzFQ0He9kVQ_JF2mCXgZ3hqFA"",""REKAP ALL 2026 - Andika!G:G""),IMPORTRANGE(""1XaInW9DU9nz21V0tYIfzFQ0He9kVQ_JF2mCXgZ3hqFA"",""REKAP ALL 2026 - Andika!F:F""),"""",0)"),"25036497052")</f>
        <v>25036497052</v>
      </c>
      <c r="G1937" s="13" t="s">
        <v>57</v>
      </c>
      <c r="H1937" s="13" t="s">
        <v>7950</v>
      </c>
      <c r="I1937" s="13" t="str">
        <f aca="false">IF(C1937=J1937,"NEW KONTRAK","RE-KONTRAK")</f>
        <v>RE-KONTRAK</v>
      </c>
      <c r="J1937" s="16" t="n">
        <f aca="false" t="array" ref="J1937:J1937">IFERROR(INDEX(AC1937:AE1937,IF(COUNTA(AC1937:AE1937)=0,"",MAX((AC1937:AE1937&lt;&gt;"")*(COLUMN(AC1937:AE1937)-(COLUMN(AC1937)))))-1),"")</f>
        <v>45844</v>
      </c>
      <c r="K1937" s="16" t="n">
        <f aca="false" t="array" ref="K1937:K1937">IFERROR(INDEX(AC1937:AE1937,IF(COUNTA(AC1937:AE1937)=0,"",MAX((AC1937:AE1937&lt;&gt;"")*(COLUMN(AC1937:AE1937)-(COLUMN(AC1937)-1))))-1),"")</f>
        <v>45935</v>
      </c>
      <c r="L1937" s="17" t="str">
        <f aca="false" t="array" ref="L1937:L1937">IFERROR(INDEX(AC1937:AE1937,IF(COUNTA(AC1937:AE1937)=0,"",MAX((AC1937:AE1937&lt;&gt;"")*(COLUMN(AC1937:AE1937)-(COLUMN(AC1937)-2))))-1),"")</f>
        <v>ARCHIVED</v>
      </c>
      <c r="M1937" s="13" t="n">
        <f aca="true">K1937-TODAY()</f>
        <v>-389</v>
      </c>
      <c r="N1937" s="18" t="s">
        <v>4051</v>
      </c>
      <c r="O1937" s="13" t="s">
        <v>7951</v>
      </c>
      <c r="P1937" s="19" t="n">
        <v>210000</v>
      </c>
      <c r="Q1937" s="20" t="s">
        <v>8390</v>
      </c>
      <c r="R1937" s="13" t="s">
        <v>232</v>
      </c>
      <c r="S1937" s="16" t="n">
        <v>32560</v>
      </c>
      <c r="T1937" s="13" t="s">
        <v>40</v>
      </c>
      <c r="U1937" s="13" t="s">
        <v>8391</v>
      </c>
      <c r="V1937" s="13" t="s">
        <v>42</v>
      </c>
      <c r="W1937" s="13" t="s">
        <v>54</v>
      </c>
      <c r="X1937" s="21" t="n">
        <v>85730370329</v>
      </c>
      <c r="Y1937" s="22" t="str">
        <f aca="false">O1937</f>
        <v>Mekanik Kiln</v>
      </c>
      <c r="Z1937" s="13" t="str">
        <f aca="false">IFERROR(__xludf.dummyfunction("if(BJ1937="""","""",GOOGLETRANSLATE(BJ1937,""auto"",""en""))"),"Kiln Mechanics")</f>
        <v>Kiln Mechanics</v>
      </c>
      <c r="AA1937" s="23" t="str">
        <f aca="false">IF(C1937="","", CHOOSE(MONTH(C1937),"January","February","March","April","May","June","July","August","September","October","November","December")&amp;" "&amp;DAY(C1937)&amp;MID("thstndrdth",MIN(9,2*RIGHT(DAY(C1937))*(MOD(DAY(C1937)-11,100)&gt;2)+1),2)&amp;","&amp;TEXT(C1937," yyyy"))</f>
        <v>February 27th,2025</v>
      </c>
      <c r="AB1937" s="15" t="str">
        <f aca="true">IF(S1937="","",DATEDIF(S1937,TODAY(),"Y")&amp;" Tahun, "&amp;DATEDIF(S1937,TODAY(),"YM")&amp;" Bulan, "&amp;DATEDIF(S1937,TODAY(),"MD")&amp;" Hari")</f>
        <v>37 Tahun, 8 Bulan, 8 Hari</v>
      </c>
      <c r="AC1937" s="18" t="n">
        <v>45844</v>
      </c>
      <c r="AD1937" s="18" t="n">
        <v>45935</v>
      </c>
      <c r="AE1937" s="18" t="s">
        <v>44</v>
      </c>
    </row>
    <row r="1938" customFormat="false" ht="15" hidden="false" customHeight="true" outlineLevel="0" collapsed="false">
      <c r="A1938" s="12" t="n">
        <v>18834</v>
      </c>
      <c r="B1938" s="13" t="s">
        <v>8392</v>
      </c>
      <c r="C1938" s="16" t="n">
        <v>45698</v>
      </c>
      <c r="D1938" s="13" t="s">
        <v>1338</v>
      </c>
      <c r="E1938" s="15" t="s">
        <v>102</v>
      </c>
      <c r="F1938" s="15" t="str">
        <f aca="false">IFERROR(__xludf.dummyfunction("XLOOKUP(AJ1938,IMPORTRANGE(""1XaInW9DU9nz21V0tYIfzFQ0He9kVQ_JF2mCXgZ3hqFA"",""REKAP ALL 2026 - Andika!G:G""),IMPORTRANGE(""1XaInW9DU9nz21V0tYIfzFQ0He9kVQ_JF2mCXgZ3hqFA"",""REKAP ALL 2026 - Andika!F:F""),"""",0)"),"25036497243")</f>
        <v>25036497243</v>
      </c>
      <c r="G1938" s="15" t="s">
        <v>57</v>
      </c>
      <c r="H1938" s="13" t="s">
        <v>35</v>
      </c>
      <c r="I1938" s="13" t="str">
        <f aca="false">IF(C1938=J1938,"NEW KONTRAK","RE-KONTRAK")</f>
        <v>RE-KONTRAK</v>
      </c>
      <c r="J1938" s="16" t="n">
        <f aca="false" t="array" ref="J1938:J1938">IFERROR(INDEX(AC1938:AE1938,IF(COUNTA(AC1938:AE1938)=0,"",MAX((AC1938:AE1938&lt;&gt;"")*(COLUMN(AC1938:AE1938)-(COLUMN(AC1938)))))-1),"")</f>
        <v>45844</v>
      </c>
      <c r="K1938" s="16" t="n">
        <f aca="false" t="array" ref="K1938:K1938">IFERROR(INDEX(AC1938:AE1938,IF(COUNTA(AC1938:AE1938)=0,"",MAX((AC1938:AE1938&lt;&gt;"")*(COLUMN(AC1938:AE1938)-(COLUMN(AC1938)-1))))-1),"")</f>
        <v>45935</v>
      </c>
      <c r="L1938" s="17" t="str">
        <f aca="false" t="array" ref="L1938:L1938">IFERROR(INDEX(AC1938:AE1938,IF(COUNTA(AC1938:AE1938)=0,"",MAX((AC1938:AE1938&lt;&gt;"")*(COLUMN(AC1938:AE1938)-(COLUMN(AC1938)-2))))-1),"")</f>
        <v>ARCHIVED</v>
      </c>
      <c r="M1938" s="13" t="n">
        <f aca="true">K1938-TODAY()</f>
        <v>-389</v>
      </c>
      <c r="N1938" s="18" t="s">
        <v>8393</v>
      </c>
      <c r="O1938" s="13" t="s">
        <v>8394</v>
      </c>
      <c r="P1938" s="19" t="n">
        <v>1150000</v>
      </c>
      <c r="Q1938" s="94" t="s">
        <v>8395</v>
      </c>
      <c r="R1938" s="13" t="s">
        <v>2001</v>
      </c>
      <c r="S1938" s="14" t="n">
        <v>37027</v>
      </c>
      <c r="T1938" s="28" t="s">
        <v>40</v>
      </c>
      <c r="U1938" s="13" t="s">
        <v>8396</v>
      </c>
      <c r="V1938" s="13" t="s">
        <v>42</v>
      </c>
      <c r="W1938" s="13" t="s">
        <v>43</v>
      </c>
      <c r="X1938" s="21" t="n">
        <v>895622212240</v>
      </c>
      <c r="Y1938" s="22" t="str">
        <f aca="false">O1938</f>
        <v>Merchendiser</v>
      </c>
      <c r="Z1938" s="13" t="str">
        <f aca="false">IFERROR(__xludf.dummyfunction("if(BJ1938="""","""",GOOGLETRANSLATE(BJ1938,""auto"",""en""))"),"Merchendiser")</f>
        <v>Merchendiser</v>
      </c>
      <c r="AA1938" s="23" t="str">
        <f aca="false">IF(C1938="","", CHOOSE(MONTH(C1938),"January","February","March","April","May","June","July","August","September","October","November","December")&amp;" "&amp;DAY(C1938)&amp;MID("thstndrdth",MIN(9,2*RIGHT(DAY(C1938))*(MOD(DAY(C1938)-11,100)&gt;2)+1),2)&amp;","&amp;TEXT(C1938," yyyy"))</f>
        <v>February 10th,2025</v>
      </c>
      <c r="AB1938" s="15" t="str">
        <f aca="true">IF(S1938="","",DATEDIF(S1938,TODAY(),"Y")&amp;" Tahun, "&amp;DATEDIF(S1938,TODAY(),"YM")&amp;" Bulan, "&amp;DATEDIF(S1938,TODAY(),"MD")&amp;" Hari")</f>
        <v>25 Tahun, 5 Bulan, 13 Hari</v>
      </c>
      <c r="AC1938" s="18" t="n">
        <v>45844</v>
      </c>
      <c r="AD1938" s="18" t="n">
        <v>45935</v>
      </c>
      <c r="AE1938" s="18" t="s">
        <v>44</v>
      </c>
    </row>
    <row r="1939" customFormat="false" ht="15" hidden="false" customHeight="true" outlineLevel="0" collapsed="false">
      <c r="A1939" s="12" t="n">
        <v>18835</v>
      </c>
      <c r="B1939" s="13" t="s">
        <v>8397</v>
      </c>
      <c r="C1939" s="16" t="n">
        <v>45719</v>
      </c>
      <c r="D1939" s="13" t="s">
        <v>5726</v>
      </c>
      <c r="E1939" s="15" t="s">
        <v>47</v>
      </c>
      <c r="F1939" s="15" t="str">
        <f aca="false">IFERROR(__xludf.dummyfunction("XLOOKUP(AJ1939,IMPORTRANGE(""1XaInW9DU9nz21V0tYIfzFQ0He9kVQ_JF2mCXgZ3hqFA"",""REKAP ALL 2026 - Andika!G:G""),IMPORTRANGE(""1XaInW9DU9nz21V0tYIfzFQ0He9kVQ_JF2mCXgZ3hqFA"",""REKAP ALL 2026 - Andika!F:F""),"""",0)"),"25036497474")</f>
        <v>25036497474</v>
      </c>
      <c r="G1939" s="13" t="s">
        <v>8398</v>
      </c>
      <c r="H1939" s="13" t="s">
        <v>35</v>
      </c>
      <c r="I1939" s="13" t="str">
        <f aca="false">IF(C1939=J1939,"NEW KONTRAK","RE-KONTRAK")</f>
        <v>RE-KONTRAK</v>
      </c>
      <c r="J1939" s="16" t="n">
        <f aca="false" t="array" ref="J1939:J1939">IFERROR(INDEX(AC1939:AE1939,IF(COUNTA(AC1939:AE1939)=0,"",MAX((AC1939:AE1939&lt;&gt;"")*(COLUMN(AC1939:AE1939)-(COLUMN(AC1939)))))-1),"")</f>
        <v>45903</v>
      </c>
      <c r="K1939" s="16" t="n">
        <f aca="false" t="array" ref="K1939:K1939">IFERROR(INDEX(AC1939:AE1939,IF(COUNTA(AC1939:AE1939)=0,"",MAX((AC1939:AE1939&lt;&gt;"")*(COLUMN(AC1939:AE1939)-(COLUMN(AC1939)-1))))-1),"")</f>
        <v>45993</v>
      </c>
      <c r="L1939" s="17" t="str">
        <f aca="false" t="array" ref="L1939:L1939">IFERROR(INDEX(AC1939:AE1939,IF(COUNTA(AC1939:AE1939)=0,"",MAX((AC1939:AE1939&lt;&gt;"")*(COLUMN(AC1939:AE1939)-(COLUMN(AC1939)-2))))-1),"")</f>
        <v>ARCHIVED</v>
      </c>
      <c r="M1939" s="13" t="n">
        <f aca="true">K1939-TODAY()</f>
        <v>-331</v>
      </c>
      <c r="N1939" s="18" t="s">
        <v>615</v>
      </c>
      <c r="O1939" s="13" t="s">
        <v>1531</v>
      </c>
      <c r="P1939" s="19" t="n">
        <v>5176101</v>
      </c>
      <c r="Q1939" s="94" t="s">
        <v>8399</v>
      </c>
      <c r="R1939" s="13" t="s">
        <v>232</v>
      </c>
      <c r="S1939" s="16" t="n">
        <v>38594</v>
      </c>
      <c r="T1939" s="13" t="s">
        <v>108</v>
      </c>
      <c r="U1939" s="13" t="s">
        <v>8400</v>
      </c>
      <c r="V1939" s="13" t="s">
        <v>42</v>
      </c>
      <c r="W1939" s="13" t="s">
        <v>43</v>
      </c>
      <c r="X1939" s="21" t="n">
        <v>85857987640</v>
      </c>
      <c r="Y1939" s="22" t="str">
        <f aca="false">O1939</f>
        <v>Packer</v>
      </c>
      <c r="Z1939" s="13" t="str">
        <f aca="false">IFERROR(__xludf.dummyfunction("if(BJ1939="""","""",GOOGLETRANSLATE(BJ1939,""auto"",""en""))"),"Packer")</f>
        <v>Packer</v>
      </c>
      <c r="AA1939" s="23" t="str">
        <f aca="false">IF(C1939="","", CHOOSE(MONTH(C1939),"January","February","March","April","May","June","July","August","September","October","November","December")&amp;" "&amp;DAY(C1939)&amp;MID("thstndrdth",MIN(9,2*RIGHT(DAY(C1939))*(MOD(DAY(C1939)-11,100)&gt;2)+1),2)&amp;","&amp;TEXT(C1939," yyyy"))</f>
        <v>March 3rd,2025</v>
      </c>
      <c r="AB1939" s="15" t="str">
        <f aca="true">IF(S1939="","",DATEDIF(S1939,TODAY(),"Y")&amp;" Tahun, "&amp;DATEDIF(S1939,TODAY(),"YM")&amp;" Bulan, "&amp;DATEDIF(S1939,TODAY(),"MD")&amp;" Hari")</f>
        <v>21 Tahun, 1 Bulan, 29 Hari</v>
      </c>
      <c r="AC1939" s="18" t="n">
        <v>45903</v>
      </c>
      <c r="AD1939" s="18" t="n">
        <v>45993</v>
      </c>
      <c r="AE1939" s="18" t="s">
        <v>44</v>
      </c>
    </row>
    <row r="1940" customFormat="false" ht="15" hidden="false" customHeight="true" outlineLevel="0" collapsed="false">
      <c r="A1940" s="12" t="n">
        <v>18838</v>
      </c>
      <c r="B1940" s="13" t="s">
        <v>8401</v>
      </c>
      <c r="C1940" s="16" t="n">
        <v>45719</v>
      </c>
      <c r="D1940" s="13" t="s">
        <v>613</v>
      </c>
      <c r="E1940" s="15" t="s">
        <v>704</v>
      </c>
      <c r="F1940" s="24" t="s">
        <v>8402</v>
      </c>
      <c r="G1940" s="13" t="s">
        <v>8403</v>
      </c>
      <c r="H1940" s="13" t="s">
        <v>35</v>
      </c>
      <c r="I1940" s="13" t="str">
        <f aca="false">IF(C1940=J1940,"NEW KONTRAK","RE-KONTRAK")</f>
        <v>NEW KONTRAK</v>
      </c>
      <c r="J1940" s="16" t="n">
        <f aca="false" t="array" ref="J1940:J1940">IFERROR(INDEX(AC1940:AE1940,IF(COUNTA(AC1940:AE1940)=0,"",MAX((AC1940:AE1940&lt;&gt;"")*(COLUMN(AC1940:AE1940)-(COLUMN(AC1940)))))-1),"")</f>
        <v>45719</v>
      </c>
      <c r="K1940" s="16" t="n">
        <f aca="false" t="array" ref="K1940:K1940">IFERROR(INDEX(AC1940:AE1940,IF(COUNTA(AC1940:AE1940)=0,"",MAX((AC1940:AE1940&lt;&gt;"")*(COLUMN(AC1940:AE1940)-(COLUMN(AC1940)-1))))-1),"")</f>
        <v>45915</v>
      </c>
      <c r="L1940" s="17" t="str">
        <f aca="false" t="array" ref="L1940:L1940">IFERROR(INDEX(AC1940:AE1940,IF(COUNTA(AC1940:AE1940)=0,"",MAX((AC1940:AE1940&lt;&gt;"")*(COLUMN(AC1940:AE1940)-(COLUMN(AC1940)-2))))-1),"")</f>
        <v>ARCHIVED</v>
      </c>
      <c r="M1940" s="13" t="n">
        <f aca="true">K1940-TODAY()</f>
        <v>-409</v>
      </c>
      <c r="N1940" s="18" t="s">
        <v>615</v>
      </c>
      <c r="O1940" s="13" t="s">
        <v>750</v>
      </c>
      <c r="P1940" s="19" t="n">
        <v>4856026</v>
      </c>
      <c r="Q1940" s="20" t="s">
        <v>8404</v>
      </c>
      <c r="R1940" s="13" t="s">
        <v>52</v>
      </c>
      <c r="S1940" s="16" t="n">
        <v>30483</v>
      </c>
      <c r="T1940" s="13" t="s">
        <v>108</v>
      </c>
      <c r="U1940" s="13" t="s">
        <v>8405</v>
      </c>
      <c r="V1940" s="13" t="s">
        <v>42</v>
      </c>
      <c r="W1940" s="13" t="s">
        <v>54</v>
      </c>
      <c r="X1940" s="21" t="n">
        <v>8123024251</v>
      </c>
      <c r="Y1940" s="22" t="str">
        <f aca="false">O1940</f>
        <v>Admin</v>
      </c>
      <c r="Z1940" s="13" t="str">
        <f aca="false">IFERROR(__xludf.dummyfunction("if(BJ1940="""","""",GOOGLETRANSLATE(BJ1940,""auto"",""en""))"),"Admin")</f>
        <v>Admin</v>
      </c>
      <c r="AA1940" s="23" t="str">
        <f aca="false">IF(C1940="","", CHOOSE(MONTH(C1940),"January","February","March","April","May","June","July","August","September","October","November","December")&amp;" "&amp;DAY(C1940)&amp;MID("thstndrdth",MIN(9,2*RIGHT(DAY(C1940))*(MOD(DAY(C1940)-11,100)&gt;2)+1),2)&amp;","&amp;TEXT(C1940," yyyy"))</f>
        <v>March 3rd,2025</v>
      </c>
      <c r="AB1940" s="15" t="str">
        <f aca="true">IF(S1940="","",DATEDIF(S1940,TODAY(),"Y")&amp;" Tahun, "&amp;DATEDIF(S1940,TODAY(),"YM")&amp;" Bulan, "&amp;DATEDIF(S1940,TODAY(),"MD")&amp;" Hari")</f>
        <v>43 Tahun, 4 Bulan, 13 Hari</v>
      </c>
      <c r="AC1940" s="18" t="n">
        <v>45719</v>
      </c>
      <c r="AD1940" s="18" t="n">
        <v>45915</v>
      </c>
      <c r="AE1940" s="18" t="s">
        <v>44</v>
      </c>
    </row>
    <row r="1941" customFormat="false" ht="15" hidden="false" customHeight="true" outlineLevel="0" collapsed="false">
      <c r="A1941" s="12" t="n">
        <v>18839</v>
      </c>
      <c r="B1941" s="13" t="s">
        <v>8406</v>
      </c>
      <c r="C1941" s="16" t="n">
        <v>45713</v>
      </c>
      <c r="D1941" s="13" t="s">
        <v>5903</v>
      </c>
      <c r="E1941" s="15" t="s">
        <v>47</v>
      </c>
      <c r="F1941" s="15" t="str">
        <f aca="false">IFERROR(__xludf.dummyfunction("XLOOKUP(AJ1941,IMPORTRANGE(""1XaInW9DU9nz21V0tYIfzFQ0He9kVQ_JF2mCXgZ3hqFA"",""REKAP ALL 2026 - Andika!G:G""),IMPORTRANGE(""1XaInW9DU9nz21V0tYIfzFQ0He9kVQ_JF2mCXgZ3hqFA"",""REKAP ALL 2026 - Andika!F:F""),"""",0)"),"25026105582")</f>
        <v>25026105582</v>
      </c>
      <c r="G1941" s="13" t="s">
        <v>8407</v>
      </c>
      <c r="H1941" s="13" t="s">
        <v>35</v>
      </c>
      <c r="I1941" s="13" t="str">
        <f aca="false">IF(C1941=J1941,"NEW KONTRAK","RE-KONTRAK")</f>
        <v>RE-KONTRAK</v>
      </c>
      <c r="J1941" s="16" t="n">
        <f aca="false" t="array" ref="J1941:J1941">IFERROR(INDEX(AC1941:AE1941,IF(COUNTA(AC1941:AE1941)=0,"",MAX((AC1941:AE1941&lt;&gt;"")*(COLUMN(AC1941:AE1941)-(COLUMN(AC1941)))))-1),"")</f>
        <v>45778</v>
      </c>
      <c r="K1941" s="16" t="n">
        <f aca="false" t="array" ref="K1941:K1941">IFERROR(INDEX(AC1941:AE1941,IF(COUNTA(AC1941:AE1941)=0,"",MAX((AC1941:AE1941&lt;&gt;"")*(COLUMN(AC1941:AE1941)-(COLUMN(AC1941)-1))))-1),"")</f>
        <v>46142</v>
      </c>
      <c r="L1941" s="17" t="str">
        <f aca="false" t="array" ref="L1941:L1941">IFERROR(INDEX(AC1941:AE1941,IF(COUNTA(AC1941:AE1941)=0,"",MAX((AC1941:AE1941&lt;&gt;"")*(COLUMN(AC1941:AE1941)-(COLUMN(AC1941)-2))))-1),"")</f>
        <v>ARCHIVED</v>
      </c>
      <c r="M1941" s="13" t="n">
        <f aca="true">K1941-TODAY()</f>
        <v>-182</v>
      </c>
      <c r="N1941" s="50" t="s">
        <v>728</v>
      </c>
      <c r="O1941" s="13" t="s">
        <v>6125</v>
      </c>
      <c r="P1941" s="19" t="n">
        <f aca="false">IFERROR(__xludf.dummyfunction("INDEX(IMPORTRANGE(""12FwpLvlsVhD_IhxpEWawHHAWVeXnjXpHARKGUQ_nP_w"",""harga rukma!H:H""),MATCH(C1941,IMPORTRANGE(""12FwpLvlsVhD_IhxpEWawHHAWVeXnjXpHARKGUQ_nP_w"",""harga rukma!B:B""),0))"),4300000)</f>
        <v>4300000</v>
      </c>
      <c r="Q1941" s="20" t="s">
        <v>8408</v>
      </c>
      <c r="R1941" s="13" t="s">
        <v>52</v>
      </c>
      <c r="S1941" s="16" t="n">
        <v>36887</v>
      </c>
      <c r="T1941" s="13" t="s">
        <v>40</v>
      </c>
      <c r="U1941" s="13" t="s">
        <v>8409</v>
      </c>
      <c r="V1941" s="13" t="s">
        <v>42</v>
      </c>
      <c r="W1941" s="13" t="s">
        <v>43</v>
      </c>
      <c r="X1941" s="21" t="n">
        <v>85895960753</v>
      </c>
      <c r="Y1941" s="22" t="str">
        <f aca="false">O1941</f>
        <v>Admin Operasional</v>
      </c>
      <c r="Z1941" s="13" t="str">
        <f aca="false">IFERROR(__xludf.dummyfunction("if(BJ1941="""","""",GOOGLETRANSLATE(BJ1941,""auto"",""en""))"),"Operational Admin")</f>
        <v>Operational Admin</v>
      </c>
      <c r="AA1941" s="23" t="str">
        <f aca="false">IF(C1941="","", CHOOSE(MONTH(C1941),"January","February","March","April","May","June","July","August","September","October","November","December")&amp;" "&amp;DAY(C1941)&amp;MID("thstndrdth",MIN(9,2*RIGHT(DAY(C1941))*(MOD(DAY(C1941)-11,100)&gt;2)+1),2)&amp;","&amp;TEXT(C1941," yyyy"))</f>
        <v>February 25th,2025</v>
      </c>
      <c r="AB1941" s="15" t="str">
        <f aca="true">IF(S1941="","",DATEDIF(S1941,TODAY(),"Y")&amp;" Tahun, "&amp;DATEDIF(S1941,TODAY(),"YM")&amp;" Bulan, "&amp;DATEDIF(S1941,TODAY(),"MD")&amp;" Hari")</f>
        <v>25 Tahun, 10 Bulan, 2 Hari</v>
      </c>
      <c r="AC1941" s="18" t="n">
        <v>45778</v>
      </c>
      <c r="AD1941" s="18" t="n">
        <v>46142</v>
      </c>
      <c r="AE1941" s="18" t="s">
        <v>44</v>
      </c>
    </row>
    <row r="1942" customFormat="false" ht="15" hidden="false" customHeight="true" outlineLevel="0" collapsed="false">
      <c r="A1942" s="12" t="n">
        <v>18845</v>
      </c>
      <c r="B1942" s="13" t="s">
        <v>8410</v>
      </c>
      <c r="C1942" s="16" t="n">
        <v>45719</v>
      </c>
      <c r="D1942" s="13" t="s">
        <v>1338</v>
      </c>
      <c r="E1942" s="15" t="s">
        <v>33</v>
      </c>
      <c r="F1942" s="24" t="s">
        <v>8411</v>
      </c>
      <c r="G1942" s="15" t="s">
        <v>57</v>
      </c>
      <c r="H1942" s="13" t="s">
        <v>8412</v>
      </c>
      <c r="I1942" s="13" t="str">
        <f aca="false">IF(C1942=J1942,"NEW KONTRAK","RE-KONTRAK")</f>
        <v>RE-KONTRAK</v>
      </c>
      <c r="J1942" s="16" t="n">
        <f aca="false" t="array" ref="J1942:J1942">IFERROR(INDEX(AC1942:AE1942,IF(COUNTA(AC1942:AE1942)=0,"",MAX((AC1942:AE1942&lt;&gt;"")*(COLUMN(AC1942:AE1942)-(COLUMN(AC1942)))))-1),"")</f>
        <v>45811</v>
      </c>
      <c r="K1942" s="16" t="n">
        <f aca="false" t="array" ref="K1942:K1942">IFERROR(INDEX(AC1942:AE1942,IF(COUNTA(AC1942:AE1942)=0,"",MAX((AC1942:AE1942&lt;&gt;"")*(COLUMN(AC1942:AE1942)-(COLUMN(AC1942)-1))))-1),"")</f>
        <v>45844</v>
      </c>
      <c r="L1942" s="17" t="str">
        <f aca="false" t="array" ref="L1942:L1942">IFERROR(INDEX(AC1942:AE1942,IF(COUNTA(AC1942:AE1942)=0,"",MAX((AC1942:AE1942&lt;&gt;"")*(COLUMN(AC1942:AE1942)-(COLUMN(AC1942)-2))))-1),"")</f>
        <v>ARCHIVED</v>
      </c>
      <c r="M1942" s="13" t="n">
        <f aca="true">K1942-TODAY()</f>
        <v>-480</v>
      </c>
      <c r="N1942" s="18" t="s">
        <v>615</v>
      </c>
      <c r="O1942" s="13" t="s">
        <v>8413</v>
      </c>
      <c r="P1942" s="19" t="n">
        <v>180000</v>
      </c>
      <c r="Q1942" s="20" t="s">
        <v>8414</v>
      </c>
      <c r="R1942" s="13" t="s">
        <v>255</v>
      </c>
      <c r="S1942" s="14" t="n">
        <v>37238</v>
      </c>
      <c r="T1942" s="28" t="s">
        <v>40</v>
      </c>
      <c r="U1942" s="13" t="s">
        <v>8415</v>
      </c>
      <c r="V1942" s="13" t="s">
        <v>42</v>
      </c>
      <c r="W1942" s="13" t="s">
        <v>43</v>
      </c>
      <c r="X1942" s="21" t="n">
        <v>85784519273</v>
      </c>
      <c r="Y1942" s="22" t="str">
        <f aca="false">O1942</f>
        <v>HL/Mekanik Listrik</v>
      </c>
      <c r="Z1942" s="13" t="str">
        <f aca="false">IFERROR(__xludf.dummyfunction("if(BJ1942="""","""",GOOGLETRANSLATE(BJ1942,""auto"",""en""))"),"HL/Electrical Mechanic")</f>
        <v>HL/Electrical Mechanic</v>
      </c>
      <c r="AA1942" s="23" t="str">
        <f aca="false">IF(C1942="","", CHOOSE(MONTH(C1942),"January","February","March","April","May","June","July","August","September","October","November","December")&amp;" "&amp;DAY(C1942)&amp;MID("thstndrdth",MIN(9,2*RIGHT(DAY(C1942))*(MOD(DAY(C1942)-11,100)&gt;2)+1),2)&amp;","&amp;TEXT(C1942," yyyy"))</f>
        <v>March 3rd,2025</v>
      </c>
      <c r="AB1942" s="15" t="str">
        <f aca="true">IF(S1942="","",DATEDIF(S1942,TODAY(),"Y")&amp;" Tahun, "&amp;DATEDIF(S1942,TODAY(),"YM")&amp;" Bulan, "&amp;DATEDIF(S1942,TODAY(),"MD")&amp;" Hari")</f>
        <v>24 Tahun, 10 Bulan, 16 Hari</v>
      </c>
      <c r="AC1942" s="18" t="n">
        <v>45811</v>
      </c>
      <c r="AD1942" s="18" t="n">
        <v>45844</v>
      </c>
      <c r="AE1942" s="18" t="s">
        <v>44</v>
      </c>
    </row>
    <row r="1943" customFormat="false" ht="15" hidden="false" customHeight="true" outlineLevel="0" collapsed="false">
      <c r="A1943" s="12" t="n">
        <v>18846</v>
      </c>
      <c r="B1943" s="13" t="s">
        <v>7482</v>
      </c>
      <c r="C1943" s="16" t="n">
        <v>45719</v>
      </c>
      <c r="D1943" s="13" t="s">
        <v>7948</v>
      </c>
      <c r="E1943" s="15" t="s">
        <v>102</v>
      </c>
      <c r="F1943" s="15" t="str">
        <f aca="false">IFERROR(__xludf.dummyfunction("XLOOKUP(AJ1943,IMPORTRANGE(""1XaInW9DU9nz21V0tYIfzFQ0He9kVQ_JF2mCXgZ3hqFA"",""REKAP ALL 2026 - Andika!G:G""),IMPORTRANGE(""1XaInW9DU9nz21V0tYIfzFQ0He9kVQ_JF2mCXgZ3hqFA"",""REKAP ALL 2026 - Andika!F:F""),"""",0)"),"25036497078")</f>
        <v>25036497078</v>
      </c>
      <c r="G1943" s="13" t="s">
        <v>57</v>
      </c>
      <c r="H1943" s="13" t="s">
        <v>7950</v>
      </c>
      <c r="I1943" s="13" t="str">
        <f aca="false">IF(C1943=J1943,"NEW KONTRAK","RE-KONTRAK")</f>
        <v>RE-KONTRAK</v>
      </c>
      <c r="J1943" s="16" t="n">
        <f aca="false" t="array" ref="J1943:J1943">IFERROR(INDEX(AC1943:AE1943,IF(COUNTA(AC1943:AE1943)=0,"",MAX((AC1943:AE1943&lt;&gt;"")*(COLUMN(AC1943:AE1943)-(COLUMN(AC1943)))))-1),"")</f>
        <v>45844</v>
      </c>
      <c r="K1943" s="16" t="n">
        <f aca="false" t="array" ref="K1943:K1943">IFERROR(INDEX(AC1943:AE1943,IF(COUNTA(AC1943:AE1943)=0,"",MAX((AC1943:AE1943&lt;&gt;"")*(COLUMN(AC1943:AE1943)-(COLUMN(AC1943)-1))))-1),"")</f>
        <v>45928</v>
      </c>
      <c r="L1943" s="17" t="str">
        <f aca="false" t="array" ref="L1943:L1943">IFERROR(INDEX(AC1943:AE1943,IF(COUNTA(AC1943:AE1943)=0,"",MAX((AC1943:AE1943&lt;&gt;"")*(COLUMN(AC1943:AE1943)-(COLUMN(AC1943)-2))))-1),"")</f>
        <v>ARCHIVED</v>
      </c>
      <c r="M1943" s="13" t="n">
        <f aca="true">K1943-TODAY()</f>
        <v>-396</v>
      </c>
      <c r="N1943" s="18" t="s">
        <v>4051</v>
      </c>
      <c r="O1943" s="13" t="s">
        <v>7951</v>
      </c>
      <c r="P1943" s="19" t="n">
        <v>210000</v>
      </c>
      <c r="Q1943" s="20" t="s">
        <v>8416</v>
      </c>
      <c r="R1943" s="13" t="s">
        <v>232</v>
      </c>
      <c r="S1943" s="14" t="n">
        <v>33492</v>
      </c>
      <c r="T1943" s="28" t="s">
        <v>40</v>
      </c>
      <c r="U1943" s="13" t="s">
        <v>8417</v>
      </c>
      <c r="V1943" s="13" t="s">
        <v>42</v>
      </c>
      <c r="W1943" s="13" t="s">
        <v>54</v>
      </c>
      <c r="X1943" s="21" t="n">
        <v>85816555048</v>
      </c>
      <c r="Y1943" s="22" t="str">
        <f aca="false">O1943</f>
        <v>Mekanik Kiln</v>
      </c>
      <c r="Z1943" s="13" t="str">
        <f aca="false">IFERROR(__xludf.dummyfunction("if(BJ1943="""","""",GOOGLETRANSLATE(BJ1943,""auto"",""en""))"),"Kiln Mechanics")</f>
        <v>Kiln Mechanics</v>
      </c>
      <c r="AA1943" s="23" t="str">
        <f aca="false">IF(C1943="","", CHOOSE(MONTH(C1943),"January","February","March","April","May","June","July","August","September","October","November","December")&amp;" "&amp;DAY(C1943)&amp;MID("thstndrdth",MIN(9,2*RIGHT(DAY(C1943))*(MOD(DAY(C1943)-11,100)&gt;2)+1),2)&amp;","&amp;TEXT(C1943," yyyy"))</f>
        <v>March 3rd,2025</v>
      </c>
      <c r="AB1943" s="15" t="str">
        <f aca="true">IF(S1943="","",DATEDIF(S1943,TODAY(),"Y")&amp;" Tahun, "&amp;DATEDIF(S1943,TODAY(),"YM")&amp;" Bulan, "&amp;DATEDIF(S1943,TODAY(),"MD")&amp;" Hari")</f>
        <v>35 Tahun, 1 Bulan, 18 Hari</v>
      </c>
      <c r="AC1943" s="18" t="n">
        <v>45844</v>
      </c>
      <c r="AD1943" s="18" t="n">
        <v>45928</v>
      </c>
      <c r="AE1943" s="18" t="s">
        <v>44</v>
      </c>
    </row>
    <row r="1944" customFormat="false" ht="15" hidden="false" customHeight="true" outlineLevel="0" collapsed="false">
      <c r="A1944" s="12" t="n">
        <v>18847</v>
      </c>
      <c r="B1944" s="13" t="s">
        <v>8418</v>
      </c>
      <c r="C1944" s="16" t="n">
        <v>45719</v>
      </c>
      <c r="D1944" s="13" t="s">
        <v>1338</v>
      </c>
      <c r="E1944" s="15" t="s">
        <v>102</v>
      </c>
      <c r="F1944" s="24" t="s">
        <v>8419</v>
      </c>
      <c r="G1944" s="13" t="s">
        <v>57</v>
      </c>
      <c r="H1944" s="13" t="s">
        <v>7955</v>
      </c>
      <c r="I1944" s="13" t="str">
        <f aca="false">IF(C1944=J1944,"NEW KONTRAK","RE-KONTRAK")</f>
        <v>RE-KONTRAK</v>
      </c>
      <c r="J1944" s="16" t="n">
        <f aca="false" t="array" ref="J1944:J1944">IFERROR(INDEX(AC1944:AE1944,IF(COUNTA(AC1944:AE1944)=0,"",MAX((AC1944:AE1944&lt;&gt;"")*(COLUMN(AC1944:AE1944)-(COLUMN(AC1944)))))-1),"")</f>
        <v>45844</v>
      </c>
      <c r="K1944" s="16" t="n">
        <f aca="false" t="array" ref="K1944:K1944">IFERROR(INDEX(AC1944:AE1944,IF(COUNTA(AC1944:AE1944)=0,"",MAX((AC1944:AE1944&lt;&gt;"")*(COLUMN(AC1944:AE1944)-(COLUMN(AC1944)-1))))-1),"")</f>
        <v>45928</v>
      </c>
      <c r="L1944" s="17" t="str">
        <f aca="false" t="array" ref="L1944:L1944">IFERROR(INDEX(AC1944:AE1944,IF(COUNTA(AC1944:AE1944)=0,"",MAX((AC1944:AE1944&lt;&gt;"")*(COLUMN(AC1944:AE1944)-(COLUMN(AC1944)-2))))-1),"")</f>
        <v>ARCHIVED</v>
      </c>
      <c r="M1944" s="13" t="n">
        <f aca="true">K1944-TODAY()</f>
        <v>-396</v>
      </c>
      <c r="N1944" s="50" t="s">
        <v>615</v>
      </c>
      <c r="O1944" s="13" t="s">
        <v>7951</v>
      </c>
      <c r="P1944" s="19" t="n">
        <v>210000</v>
      </c>
      <c r="Q1944" s="20" t="s">
        <v>8420</v>
      </c>
      <c r="R1944" s="13" t="s">
        <v>241</v>
      </c>
      <c r="S1944" s="14" t="n">
        <v>36474</v>
      </c>
      <c r="T1944" s="28" t="s">
        <v>40</v>
      </c>
      <c r="U1944" s="13" t="s">
        <v>8421</v>
      </c>
      <c r="V1944" s="13" t="s">
        <v>42</v>
      </c>
      <c r="W1944" s="13" t="s">
        <v>43</v>
      </c>
      <c r="X1944" s="21" t="n">
        <v>85708332432</v>
      </c>
      <c r="Y1944" s="22" t="str">
        <f aca="false">O1944</f>
        <v>Mekanik Kiln</v>
      </c>
      <c r="Z1944" s="13" t="str">
        <f aca="false">IFERROR(__xludf.dummyfunction("if(BJ1944="""","""",GOOGLETRANSLATE(BJ1944,""auto"",""en""))"),"Kiln Mechanics")</f>
        <v>Kiln Mechanics</v>
      </c>
      <c r="AA1944" s="23" t="str">
        <f aca="false">IF(C1944="","", CHOOSE(MONTH(C1944),"January","February","March","April","May","June","July","August","September","October","November","December")&amp;" "&amp;DAY(C1944)&amp;MID("thstndrdth",MIN(9,2*RIGHT(DAY(C1944))*(MOD(DAY(C1944)-11,100)&gt;2)+1),2)&amp;","&amp;TEXT(C1944," yyyy"))</f>
        <v>March 3rd,2025</v>
      </c>
      <c r="AB1944" s="15" t="str">
        <f aca="true">IF(S1944="","",DATEDIF(S1944,TODAY(),"Y")&amp;" Tahun, "&amp;DATEDIF(S1944,TODAY(),"YM")&amp;" Bulan, "&amp;DATEDIF(S1944,TODAY(),"MD")&amp;" Hari")</f>
        <v>26 Tahun, 11 Bulan, 19 Hari</v>
      </c>
      <c r="AC1944" s="18" t="n">
        <v>45844</v>
      </c>
      <c r="AD1944" s="18" t="n">
        <v>45928</v>
      </c>
      <c r="AE1944" s="18" t="s">
        <v>44</v>
      </c>
    </row>
    <row r="1945" customFormat="false" ht="15" hidden="false" customHeight="true" outlineLevel="0" collapsed="false">
      <c r="A1945" s="12" t="n">
        <v>18848</v>
      </c>
      <c r="B1945" s="13" t="s">
        <v>8422</v>
      </c>
      <c r="C1945" s="16" t="n">
        <v>45719</v>
      </c>
      <c r="D1945" s="13" t="s">
        <v>1338</v>
      </c>
      <c r="E1945" s="15" t="s">
        <v>47</v>
      </c>
      <c r="F1945" s="15" t="str">
        <f aca="false">IFERROR(__xludf.dummyfunction("XLOOKUP(AJ1945,IMPORTRANGE(""1XaInW9DU9nz21V0tYIfzFQ0He9kVQ_JF2mCXgZ3hqFA"",""REKAP ALL 2026 - Andika!G:G""),IMPORTRANGE(""1XaInW9DU9nz21V0tYIfzFQ0He9kVQ_JF2mCXgZ3hqFA"",""REKAP ALL 2026 - Andika!F:F""),"""",0)"),"25036497094")</f>
        <v>25036497094</v>
      </c>
      <c r="G1945" s="13" t="s">
        <v>57</v>
      </c>
      <c r="H1945" s="13" t="s">
        <v>7955</v>
      </c>
      <c r="I1945" s="13" t="str">
        <f aca="false">IF(C1945=J1945,"NEW KONTRAK","RE-KONTRAK")</f>
        <v>RE-KONTRAK</v>
      </c>
      <c r="J1945" s="16" t="n">
        <f aca="false" t="array" ref="J1945:J1945">IFERROR(INDEX(AC1945:AE1945,IF(COUNTA(AC1945:AE1945)=0,"",MAX((AC1945:AE1945&lt;&gt;"")*(COLUMN(AC1945:AE1945)-(COLUMN(AC1945)))))-1),"")</f>
        <v>45844</v>
      </c>
      <c r="K1945" s="16" t="n">
        <f aca="false" t="array" ref="K1945:K1945">IFERROR(INDEX(AC1945:AE1945,IF(COUNTA(AC1945:AE1945)=0,"",MAX((AC1945:AE1945&lt;&gt;"")*(COLUMN(AC1945:AE1945)-(COLUMN(AC1945)-1))))-1),"")</f>
        <v>45928</v>
      </c>
      <c r="L1945" s="17" t="str">
        <f aca="false" t="array" ref="L1945:L1945">IFERROR(INDEX(AC1945:AE1945,IF(COUNTA(AC1945:AE1945)=0,"",MAX((AC1945:AE1945&lt;&gt;"")*(COLUMN(AC1945:AE1945)-(COLUMN(AC1945)-2))))-1),"")</f>
        <v>KEMBALI</v>
      </c>
      <c r="M1945" s="13" t="n">
        <f aca="true">K1945-TODAY()</f>
        <v>-396</v>
      </c>
      <c r="N1945" s="18" t="s">
        <v>615</v>
      </c>
      <c r="O1945" s="13" t="s">
        <v>2335</v>
      </c>
      <c r="P1945" s="19" t="n">
        <v>210000</v>
      </c>
      <c r="Q1945" s="20" t="s">
        <v>8423</v>
      </c>
      <c r="R1945" s="13" t="s">
        <v>73</v>
      </c>
      <c r="S1945" s="14" t="n">
        <v>34152</v>
      </c>
      <c r="T1945" s="28" t="s">
        <v>40</v>
      </c>
      <c r="U1945" s="13" t="s">
        <v>8424</v>
      </c>
      <c r="V1945" s="13" t="s">
        <v>42</v>
      </c>
      <c r="W1945" s="13" t="s">
        <v>54</v>
      </c>
      <c r="X1945" s="30" t="n">
        <v>85166909670</v>
      </c>
      <c r="Y1945" s="22" t="str">
        <f aca="false">O1945</f>
        <v>Project Management</v>
      </c>
      <c r="Z1945" s="13" t="str">
        <f aca="false">IFERROR(__xludf.dummyfunction("if(BJ1945="""","""",GOOGLETRANSLATE(BJ1945,""auto"",""en""))"),"Project Management")</f>
        <v>Project Management</v>
      </c>
      <c r="AA1945" s="23" t="str">
        <f aca="false">IF(C1945="","", CHOOSE(MONTH(C1945),"January","February","March","April","May","June","July","August","September","October","November","December")&amp;" "&amp;DAY(C1945)&amp;MID("thstndrdth",MIN(9,2*RIGHT(DAY(C1945))*(MOD(DAY(C1945)-11,100)&gt;2)+1),2)&amp;","&amp;TEXT(C1945," yyyy"))</f>
        <v>March 3rd,2025</v>
      </c>
      <c r="AB1945" s="15" t="str">
        <f aca="true">IF(S1945="","",DATEDIF(S1945,TODAY(),"Y")&amp;" Tahun, "&amp;DATEDIF(S1945,TODAY(),"YM")&amp;" Bulan, "&amp;DATEDIF(S1945,TODAY(),"MD")&amp;" Hari")</f>
        <v>33 Tahun, 3 Bulan, 27 Hari</v>
      </c>
      <c r="AC1945" s="18" t="n">
        <v>45844</v>
      </c>
      <c r="AD1945" s="18" t="n">
        <v>45928</v>
      </c>
      <c r="AE1945" s="13" t="s">
        <v>397</v>
      </c>
    </row>
    <row r="1946" customFormat="false" ht="15" hidden="false" customHeight="true" outlineLevel="0" collapsed="false">
      <c r="A1946" s="12" t="n">
        <v>18849</v>
      </c>
      <c r="B1946" s="13" t="s">
        <v>8425</v>
      </c>
      <c r="C1946" s="16" t="n">
        <v>45719</v>
      </c>
      <c r="D1946" s="13" t="s">
        <v>1338</v>
      </c>
      <c r="E1946" s="15" t="s">
        <v>47</v>
      </c>
      <c r="F1946" s="15" t="str">
        <f aca="false">IFERROR(__xludf.dummyfunction("XLOOKUP(AJ1946,IMPORTRANGE(""1XaInW9DU9nz21V0tYIfzFQ0He9kVQ_JF2mCXgZ3hqFA"",""REKAP ALL 2026 - Andika!G:G""),IMPORTRANGE(""1XaInW9DU9nz21V0tYIfzFQ0He9kVQ_JF2mCXgZ3hqFA"",""REKAP ALL 2026 - Andika!F:F""),"""",0)"),"25036497102")</f>
        <v>25036497102</v>
      </c>
      <c r="G1946" s="13" t="s">
        <v>57</v>
      </c>
      <c r="H1946" s="13" t="s">
        <v>7955</v>
      </c>
      <c r="I1946" s="13" t="str">
        <f aca="false">IF(C1946=J1946,"NEW KONTRAK","RE-KONTRAK")</f>
        <v>RE-KONTRAK</v>
      </c>
      <c r="J1946" s="16" t="n">
        <f aca="false" t="array" ref="J1946:J1946">IFERROR(INDEX(AC1946:AE1946,IF(COUNTA(AC1946:AE1946)=0,"",MAX((AC1946:AE1946&lt;&gt;"")*(COLUMN(AC1946:AE1946)-(COLUMN(AC1946)))))-1),"")</f>
        <v>45844</v>
      </c>
      <c r="K1946" s="16" t="n">
        <f aca="false" t="array" ref="K1946:K1946">IFERROR(INDEX(AC1946:AE1946,IF(COUNTA(AC1946:AE1946)=0,"",MAX((AC1946:AE1946&lt;&gt;"")*(COLUMN(AC1946:AE1946)-(COLUMN(AC1946)-1))))-1),"")</f>
        <v>45928</v>
      </c>
      <c r="L1946" s="17" t="str">
        <f aca="false" t="array" ref="L1946:L1946">IFERROR(INDEX(AC1946:AE1946,IF(COUNTA(AC1946:AE1946)=0,"",MAX((AC1946:AE1946&lt;&gt;"")*(COLUMN(AC1946:AE1946)-(COLUMN(AC1946)-2))))-1),"")</f>
        <v>KEMBALI</v>
      </c>
      <c r="M1946" s="13" t="n">
        <f aca="true">K1946-TODAY()</f>
        <v>-396</v>
      </c>
      <c r="N1946" s="18" t="s">
        <v>615</v>
      </c>
      <c r="O1946" s="13" t="s">
        <v>2335</v>
      </c>
      <c r="P1946" s="19" t="n">
        <v>210000</v>
      </c>
      <c r="Q1946" s="20" t="s">
        <v>8426</v>
      </c>
      <c r="R1946" s="13" t="s">
        <v>39</v>
      </c>
      <c r="S1946" s="14" t="n">
        <v>31175</v>
      </c>
      <c r="T1946" s="28" t="s">
        <v>40</v>
      </c>
      <c r="U1946" s="13" t="s">
        <v>8427</v>
      </c>
      <c r="V1946" s="13" t="s">
        <v>42</v>
      </c>
      <c r="W1946" s="13" t="s">
        <v>54</v>
      </c>
      <c r="X1946" s="21" t="n">
        <v>83854232139</v>
      </c>
      <c r="Y1946" s="22" t="str">
        <f aca="false">O1946</f>
        <v>Project Management</v>
      </c>
      <c r="Z1946" s="13" t="str">
        <f aca="false">IFERROR(__xludf.dummyfunction("if(BJ1946="""","""",GOOGLETRANSLATE(BJ1946,""auto"",""en""))"),"Project Management")</f>
        <v>Project Management</v>
      </c>
      <c r="AA1946" s="23" t="str">
        <f aca="false">IF(C1946="","", CHOOSE(MONTH(C1946),"January","February","March","April","May","June","July","August","September","October","November","December")&amp;" "&amp;DAY(C1946)&amp;MID("thstndrdth",MIN(9,2*RIGHT(DAY(C1946))*(MOD(DAY(C1946)-11,100)&gt;2)+1),2)&amp;","&amp;TEXT(C1946," yyyy"))</f>
        <v>March 3rd,2025</v>
      </c>
      <c r="AB1946" s="15" t="str">
        <f aca="true">IF(S1946="","",DATEDIF(S1946,TODAY(),"Y")&amp;" Tahun, "&amp;DATEDIF(S1946,TODAY(),"YM")&amp;" Bulan, "&amp;DATEDIF(S1946,TODAY(),"MD")&amp;" Hari")</f>
        <v>41 Tahun, 5 Bulan, 21 Hari</v>
      </c>
      <c r="AC1946" s="18" t="n">
        <v>45844</v>
      </c>
      <c r="AD1946" s="18" t="n">
        <v>45928</v>
      </c>
      <c r="AE1946" s="13" t="s">
        <v>397</v>
      </c>
    </row>
    <row r="1947" customFormat="false" ht="15" hidden="false" customHeight="true" outlineLevel="0" collapsed="false">
      <c r="A1947" s="12" t="n">
        <v>18850</v>
      </c>
      <c r="B1947" s="13" t="s">
        <v>6304</v>
      </c>
      <c r="C1947" s="16" t="n">
        <v>45719</v>
      </c>
      <c r="D1947" s="13" t="s">
        <v>7948</v>
      </c>
      <c r="E1947" s="15" t="s">
        <v>7949</v>
      </c>
      <c r="F1947" s="15" t="str">
        <f aca="false">IFERROR(__xludf.dummyfunction("XLOOKUP(AJ1947,IMPORTRANGE(""1XaInW9DU9nz21V0tYIfzFQ0He9kVQ_JF2mCXgZ3hqFA"",""REKAP ALL 2026 - Andika!G:G""),IMPORTRANGE(""1XaInW9DU9nz21V0tYIfzFQ0He9kVQ_JF2mCXgZ3hqFA"",""REKAP ALL 2026 - Andika!F:F""),"""",0)"),"25036497110")</f>
        <v>25036497110</v>
      </c>
      <c r="G1947" s="13" t="s">
        <v>57</v>
      </c>
      <c r="H1947" s="13" t="s">
        <v>7950</v>
      </c>
      <c r="I1947" s="13" t="str">
        <f aca="false">IF(C1947=J1947,"NEW KONTRAK","RE-KONTRAK")</f>
        <v>RE-KONTRAK</v>
      </c>
      <c r="J1947" s="16" t="n">
        <f aca="false" t="array" ref="J1947:J1947">IFERROR(INDEX(AC1947:AE1947,IF(COUNTA(AC1947:AE1947)=0,"",MAX((AC1947:AE1947&lt;&gt;"")*(COLUMN(AC1947:AE1947)-(COLUMN(AC1947)))))-1),"")</f>
        <v>45844</v>
      </c>
      <c r="K1947" s="16" t="n">
        <f aca="false" t="array" ref="K1947:K1947">IFERROR(INDEX(AC1947:AE1947,IF(COUNTA(AC1947:AE1947)=0,"",MAX((AC1947:AE1947&lt;&gt;"")*(COLUMN(AC1947:AE1947)-(COLUMN(AC1947)-1))))-1),"")</f>
        <v>45928</v>
      </c>
      <c r="L1947" s="17" t="str">
        <f aca="false" t="array" ref="L1947:L1947">IFERROR(INDEX(AC1947:AE1947,IF(COUNTA(AC1947:AE1947)=0,"",MAX((AC1947:AE1947&lt;&gt;"")*(COLUMN(AC1947:AE1947)-(COLUMN(AC1947)-2))))-1),"")</f>
        <v>ARCHIVED</v>
      </c>
      <c r="M1947" s="13" t="n">
        <f aca="true">K1947-TODAY()</f>
        <v>-396</v>
      </c>
      <c r="N1947" s="18" t="s">
        <v>4051</v>
      </c>
      <c r="O1947" s="13" t="s">
        <v>7951</v>
      </c>
      <c r="P1947" s="19" t="n">
        <v>210000</v>
      </c>
      <c r="Q1947" s="20" t="s">
        <v>8428</v>
      </c>
      <c r="R1947" s="13" t="s">
        <v>232</v>
      </c>
      <c r="S1947" s="14" t="n">
        <v>36253</v>
      </c>
      <c r="T1947" s="28" t="s">
        <v>40</v>
      </c>
      <c r="U1947" s="13" t="s">
        <v>8429</v>
      </c>
      <c r="V1947" s="13" t="s">
        <v>42</v>
      </c>
      <c r="W1947" s="13" t="s">
        <v>54</v>
      </c>
      <c r="X1947" s="21" t="n">
        <v>85700524283</v>
      </c>
      <c r="Y1947" s="22" t="str">
        <f aca="false">O1947</f>
        <v>Mekanik Kiln</v>
      </c>
      <c r="Z1947" s="13" t="str">
        <f aca="false">IFERROR(__xludf.dummyfunction("if(BJ1947="""","""",GOOGLETRANSLATE(BJ1947,""auto"",""en""))"),"Kiln Mechanics")</f>
        <v>Kiln Mechanics</v>
      </c>
      <c r="AA1947" s="23" t="str">
        <f aca="false">IF(C1947="","", CHOOSE(MONTH(C1947),"January","February","March","April","May","June","July","August","September","October","November","December")&amp;" "&amp;DAY(C1947)&amp;MID("thstndrdth",MIN(9,2*RIGHT(DAY(C1947))*(MOD(DAY(C1947)-11,100)&gt;2)+1),2)&amp;","&amp;TEXT(C1947," yyyy"))</f>
        <v>March 3rd,2025</v>
      </c>
      <c r="AB1947" s="15" t="str">
        <f aca="true">IF(S1947="","",DATEDIF(S1947,TODAY(),"Y")&amp;" Tahun, "&amp;DATEDIF(S1947,TODAY(),"YM")&amp;" Bulan, "&amp;DATEDIF(S1947,TODAY(),"MD")&amp;" Hari")</f>
        <v>27 Tahun, 6 Bulan, 26 Hari</v>
      </c>
      <c r="AC1947" s="18" t="n">
        <v>45844</v>
      </c>
      <c r="AD1947" s="18" t="n">
        <v>45928</v>
      </c>
      <c r="AE1947" s="18" t="s">
        <v>44</v>
      </c>
    </row>
    <row r="1948" customFormat="false" ht="15" hidden="false" customHeight="true" outlineLevel="0" collapsed="false">
      <c r="A1948" s="12" t="n">
        <v>18851</v>
      </c>
      <c r="B1948" s="13" t="s">
        <v>8430</v>
      </c>
      <c r="C1948" s="16" t="n">
        <v>45719</v>
      </c>
      <c r="D1948" s="13" t="s">
        <v>7948</v>
      </c>
      <c r="E1948" s="15" t="s">
        <v>7949</v>
      </c>
      <c r="F1948" s="15" t="str">
        <f aca="false">IFERROR(__xludf.dummyfunction("XLOOKUP(AJ1948,IMPORTRANGE(""1XaInW9DU9nz21V0tYIfzFQ0He9kVQ_JF2mCXgZ3hqFA"",""REKAP ALL 2026 - Andika!G:G""),IMPORTRANGE(""1XaInW9DU9nz21V0tYIfzFQ0He9kVQ_JF2mCXgZ3hqFA"",""REKAP ALL 2026 - Andika!F:F""),"""",0)"),"25036497128")</f>
        <v>25036497128</v>
      </c>
      <c r="G1948" s="13" t="s">
        <v>57</v>
      </c>
      <c r="H1948" s="13" t="s">
        <v>7950</v>
      </c>
      <c r="I1948" s="13" t="str">
        <f aca="false">IF(C1948=J1948,"NEW KONTRAK","RE-KONTRAK")</f>
        <v>RE-KONTRAK</v>
      </c>
      <c r="J1948" s="16" t="n">
        <f aca="false" t="array" ref="J1948:J1948">IFERROR(INDEX(AC1948:AE1948,IF(COUNTA(AC1948:AE1948)=0,"",MAX((AC1948:AE1948&lt;&gt;"")*(COLUMN(AC1948:AE1948)-(COLUMN(AC1948)))))-1),"")</f>
        <v>45844</v>
      </c>
      <c r="K1948" s="16" t="n">
        <f aca="false" t="array" ref="K1948:K1948">IFERROR(INDEX(AC1948:AE1948,IF(COUNTA(AC1948:AE1948)=0,"",MAX((AC1948:AE1948&lt;&gt;"")*(COLUMN(AC1948:AE1948)-(COLUMN(AC1948)-1))))-1),"")</f>
        <v>45928</v>
      </c>
      <c r="L1948" s="17" t="str">
        <f aca="false" t="array" ref="L1948:L1948">IFERROR(INDEX(AC1948:AE1948,IF(COUNTA(AC1948:AE1948)=0,"",MAX((AC1948:AE1948&lt;&gt;"")*(COLUMN(AC1948:AE1948)-(COLUMN(AC1948)-2))))-1),"")</f>
        <v>ARCHIVED</v>
      </c>
      <c r="M1948" s="13" t="n">
        <f aca="true">K1948-TODAY()</f>
        <v>-396</v>
      </c>
      <c r="N1948" s="18" t="s">
        <v>4051</v>
      </c>
      <c r="O1948" s="13" t="s">
        <v>7951</v>
      </c>
      <c r="P1948" s="19" t="n">
        <v>245000</v>
      </c>
      <c r="Q1948" s="20" t="s">
        <v>8431</v>
      </c>
      <c r="R1948" s="13" t="s">
        <v>232</v>
      </c>
      <c r="S1948" s="14" t="n">
        <v>33274</v>
      </c>
      <c r="T1948" s="28" t="s">
        <v>40</v>
      </c>
      <c r="U1948" s="13" t="s">
        <v>8432</v>
      </c>
      <c r="V1948" s="13" t="s">
        <v>42</v>
      </c>
      <c r="W1948" s="13" t="s">
        <v>43</v>
      </c>
      <c r="X1948" s="21" t="n">
        <v>82231699725</v>
      </c>
      <c r="Y1948" s="22" t="str">
        <f aca="false">O1948</f>
        <v>Mekanik Kiln</v>
      </c>
      <c r="Z1948" s="13" t="str">
        <f aca="false">IFERROR(__xludf.dummyfunction("if(BJ1948="""","""",GOOGLETRANSLATE(BJ1948,""auto"",""en""))"),"Kiln Mechanics")</f>
        <v>Kiln Mechanics</v>
      </c>
      <c r="AA1948" s="23" t="str">
        <f aca="false">IF(C1948="","", CHOOSE(MONTH(C1948),"January","February","March","April","May","June","July","August","September","October","November","December")&amp;" "&amp;DAY(C1948)&amp;MID("thstndrdth",MIN(9,2*RIGHT(DAY(C1948))*(MOD(DAY(C1948)-11,100)&gt;2)+1),2)&amp;","&amp;TEXT(C1948," yyyy"))</f>
        <v>March 3rd,2025</v>
      </c>
      <c r="AB1948" s="15" t="str">
        <f aca="true">IF(S1948="","",DATEDIF(S1948,TODAY(),"Y")&amp;" Tahun, "&amp;DATEDIF(S1948,TODAY(),"YM")&amp;" Bulan, "&amp;DATEDIF(S1948,TODAY(),"MD")&amp;" Hari")</f>
        <v>35 Tahun, 8 Bulan, 24 Hari</v>
      </c>
      <c r="AC1948" s="18" t="n">
        <v>45844</v>
      </c>
      <c r="AD1948" s="18" t="n">
        <v>45928</v>
      </c>
      <c r="AE1948" s="18" t="s">
        <v>44</v>
      </c>
    </row>
    <row r="1949" customFormat="false" ht="15" hidden="false" customHeight="true" outlineLevel="0" collapsed="false">
      <c r="A1949" s="12" t="n">
        <v>18852</v>
      </c>
      <c r="B1949" s="13" t="s">
        <v>8433</v>
      </c>
      <c r="C1949" s="16" t="n">
        <v>45720</v>
      </c>
      <c r="D1949" s="13" t="s">
        <v>5726</v>
      </c>
      <c r="E1949" s="15" t="s">
        <v>47</v>
      </c>
      <c r="F1949" s="15" t="str">
        <f aca="false">IFERROR(__xludf.dummyfunction("XLOOKUP(AJ1949,IMPORTRANGE(""1XaInW9DU9nz21V0tYIfzFQ0He9kVQ_JF2mCXgZ3hqFA"",""REKAP ALL 2026 - Andika!G:G""),IMPORTRANGE(""1XaInW9DU9nz21V0tYIfzFQ0He9kVQ_JF2mCXgZ3hqFA"",""REKAP ALL 2026 - Andika!F:F""),"""",0)"),"25036496898")</f>
        <v>25036496898</v>
      </c>
      <c r="G1949" s="13" t="s">
        <v>8434</v>
      </c>
      <c r="H1949" s="13" t="s">
        <v>35</v>
      </c>
      <c r="I1949" s="13" t="str">
        <f aca="false">IF(C1949=J1949,"NEW KONTRAK","RE-KONTRAK")</f>
        <v>RE-KONTRAK</v>
      </c>
      <c r="J1949" s="16" t="n">
        <f aca="false" t="array" ref="J1949:J1949">IFERROR(INDEX(AC1949:AE1949,IF(COUNTA(AC1949:AE1949)=0,"",MAX((AC1949:AE1949&lt;&gt;"")*(COLUMN(AC1949:AE1949)-(COLUMN(AC1949)))))-1),"")</f>
        <v>45904</v>
      </c>
      <c r="K1949" s="16" t="n">
        <f aca="false" t="array" ref="K1949:K1949">IFERROR(INDEX(AC1949:AE1949,IF(COUNTA(AC1949:AE1949)=0,"",MAX((AC1949:AE1949&lt;&gt;"")*(COLUMN(AC1949:AE1949)-(COLUMN(AC1949)-1))))-1),"")</f>
        <v>45994</v>
      </c>
      <c r="L1949" s="17" t="str">
        <f aca="false" t="array" ref="L1949:L1949">IFERROR(INDEX(AC1949:AE1949,IF(COUNTA(AC1949:AE1949)=0,"",MAX((AC1949:AE1949&lt;&gt;"")*(COLUMN(AC1949:AE1949)-(COLUMN(AC1949)-2))))-1),"")</f>
        <v>ARCHIVED</v>
      </c>
      <c r="M1949" s="13" t="n">
        <f aca="true">K1949-TODAY()</f>
        <v>-330</v>
      </c>
      <c r="N1949" s="18" t="s">
        <v>615</v>
      </c>
      <c r="O1949" s="13" t="s">
        <v>5252</v>
      </c>
      <c r="P1949" s="19" t="n">
        <v>5176101</v>
      </c>
      <c r="Q1949" s="20" t="s">
        <v>8435</v>
      </c>
      <c r="R1949" s="13" t="s">
        <v>232</v>
      </c>
      <c r="S1949" s="16" t="n">
        <v>35232</v>
      </c>
      <c r="T1949" s="13" t="s">
        <v>40</v>
      </c>
      <c r="U1949" s="13" t="s">
        <v>8436</v>
      </c>
      <c r="V1949" s="13" t="s">
        <v>42</v>
      </c>
      <c r="W1949" s="13" t="s">
        <v>43</v>
      </c>
      <c r="X1949" s="21" t="n">
        <v>89509528950</v>
      </c>
      <c r="Y1949" s="22" t="str">
        <f aca="false">O1949</f>
        <v>Helper Printing</v>
      </c>
      <c r="Z1949" s="13" t="str">
        <f aca="false">IFERROR(__xludf.dummyfunction("if(BJ1949="""","""",GOOGLETRANSLATE(BJ1949,""auto"",""en""))"),"Helper Printing")</f>
        <v>Helper Printing</v>
      </c>
      <c r="AA1949" s="23" t="str">
        <f aca="false">IF(C1949="","", CHOOSE(MONTH(C1949),"January","February","March","April","May","June","July","August","September","October","November","December")&amp;" "&amp;DAY(C1949)&amp;MID("thstndrdth",MIN(9,2*RIGHT(DAY(C1949))*(MOD(DAY(C1949)-11,100)&gt;2)+1),2)&amp;","&amp;TEXT(C1949," yyyy"))</f>
        <v>March 4th,2025</v>
      </c>
      <c r="AB1949" s="15" t="str">
        <f aca="true">IF(S1949="","",DATEDIF(S1949,TODAY(),"Y")&amp;" Tahun, "&amp;DATEDIF(S1949,TODAY(),"YM")&amp;" Bulan, "&amp;DATEDIF(S1949,TODAY(),"MD")&amp;" Hari")</f>
        <v>30 Tahun, 4 Bulan, 13 Hari</v>
      </c>
      <c r="AC1949" s="18" t="n">
        <v>45904</v>
      </c>
      <c r="AD1949" s="18" t="n">
        <v>45994</v>
      </c>
      <c r="AE1949" s="18" t="s">
        <v>44</v>
      </c>
    </row>
    <row r="1950" customFormat="false" ht="15" hidden="false" customHeight="true" outlineLevel="0" collapsed="false">
      <c r="A1950" s="12" t="n">
        <v>18853</v>
      </c>
      <c r="B1950" s="13" t="s">
        <v>8437</v>
      </c>
      <c r="C1950" s="16" t="n">
        <v>45720</v>
      </c>
      <c r="D1950" s="13" t="s">
        <v>6638</v>
      </c>
      <c r="E1950" s="15" t="s">
        <v>33</v>
      </c>
      <c r="F1950" s="24" t="s">
        <v>8438</v>
      </c>
      <c r="G1950" s="13" t="s">
        <v>8439</v>
      </c>
      <c r="H1950" s="13" t="s">
        <v>35</v>
      </c>
      <c r="I1950" s="13" t="str">
        <f aca="false">IF(C1950=J1950,"NEW KONTRAK","RE-KONTRAK")</f>
        <v>RE-KONTRAK</v>
      </c>
      <c r="J1950" s="16" t="n">
        <f aca="false" t="array" ref="J1950:J1950">IFERROR(INDEX(AC1950:AE1950,IF(COUNTA(AC1950:AE1950)=0,"",MAX((AC1950:AE1950&lt;&gt;"")*(COLUMN(AC1950:AE1950)-(COLUMN(AC1950)))))-1),"")</f>
        <v>45812</v>
      </c>
      <c r="K1950" s="16" t="n">
        <f aca="false" t="array" ref="K1950:K1950">IFERROR(INDEX(AC1950:AE1950,IF(COUNTA(AC1950:AE1950)=0,"",MAX((AC1950:AE1950&lt;&gt;"")*(COLUMN(AC1950:AE1950)-(COLUMN(AC1950)-1))))-1),"")</f>
        <v>45994</v>
      </c>
      <c r="L1950" s="17" t="str">
        <f aca="false" t="array" ref="L1950:L1950">IFERROR(INDEX(AC1950:AE1950,IF(COUNTA(AC1950:AE1950)=0,"",MAX((AC1950:AE1950&lt;&gt;"")*(COLUMN(AC1950:AE1950)-(COLUMN(AC1950)-2))))-1),"")</f>
        <v>ARCHIVED</v>
      </c>
      <c r="M1950" s="13" t="n">
        <f aca="true">K1950-TODAY()</f>
        <v>-330</v>
      </c>
      <c r="N1950" s="18" t="s">
        <v>4735</v>
      </c>
      <c r="O1950" s="13" t="s">
        <v>8440</v>
      </c>
      <c r="P1950" s="19" t="n">
        <v>3113530</v>
      </c>
      <c r="Q1950" s="20" t="s">
        <v>8441</v>
      </c>
      <c r="R1950" s="13" t="s">
        <v>8106</v>
      </c>
      <c r="S1950" s="16" t="n">
        <v>37599</v>
      </c>
      <c r="T1950" s="13" t="s">
        <v>108</v>
      </c>
      <c r="U1950" s="13" t="s">
        <v>8442</v>
      </c>
      <c r="V1950" s="13" t="s">
        <v>42</v>
      </c>
      <c r="W1950" s="13" t="s">
        <v>43</v>
      </c>
      <c r="X1950" s="21" t="n">
        <v>82143397345</v>
      </c>
      <c r="Y1950" s="22" t="str">
        <f aca="false">O1950</f>
        <v>Admin Affiliate</v>
      </c>
      <c r="Z1950" s="13" t="str">
        <f aca="false">IFERROR(__xludf.dummyfunction("if(BJ1950="""","""",GOOGLETRANSLATE(BJ1950,""auto"",""en""))"),"Admin Affiliate")</f>
        <v>Admin Affiliate</v>
      </c>
      <c r="AA1950" s="23" t="str">
        <f aca="false">IF(C1950="","", CHOOSE(MONTH(C1950),"January","February","March","April","May","June","July","August","September","October","November","December")&amp;" "&amp;DAY(C1950)&amp;MID("thstndrdth",MIN(9,2*RIGHT(DAY(C1950))*(MOD(DAY(C1950)-11,100)&gt;2)+1),2)&amp;","&amp;TEXT(C1950," yyyy"))</f>
        <v>March 4th,2025</v>
      </c>
      <c r="AB1950" s="15" t="str">
        <f aca="true">IF(S1950="","",DATEDIF(S1950,TODAY(),"Y")&amp;" Tahun, "&amp;DATEDIF(S1950,TODAY(),"YM")&amp;" Bulan, "&amp;DATEDIF(S1950,TODAY(),"MD")&amp;" Hari")</f>
        <v>23 Tahun, 10 Bulan, 20 Hari</v>
      </c>
      <c r="AC1950" s="18" t="n">
        <v>45812</v>
      </c>
      <c r="AD1950" s="18" t="n">
        <v>45994</v>
      </c>
      <c r="AE1950" s="18" t="s">
        <v>44</v>
      </c>
    </row>
    <row r="1951" customFormat="false" ht="15" hidden="false" customHeight="true" outlineLevel="0" collapsed="false">
      <c r="A1951" s="12" t="n">
        <v>18854</v>
      </c>
      <c r="B1951" s="13" t="s">
        <v>8443</v>
      </c>
      <c r="C1951" s="16" t="n">
        <v>45726</v>
      </c>
      <c r="D1951" s="13" t="s">
        <v>6638</v>
      </c>
      <c r="E1951" s="15" t="s">
        <v>102</v>
      </c>
      <c r="F1951" s="15" t="str">
        <f aca="false">IFERROR(__xludf.dummyfunction("XLOOKUP(AJ1951,IMPORTRANGE(""1XaInW9DU9nz21V0tYIfzFQ0He9kVQ_JF2mCXgZ3hqFA"",""REKAP ALL 2026 - Andika!G:G""),IMPORTRANGE(""1XaInW9DU9nz21V0tYIfzFQ0He9kVQ_JF2mCXgZ3hqFA"",""REKAP ALL 2026 - Andika!F:F""),"""",0)"),"25036498258")</f>
        <v>25036498258</v>
      </c>
      <c r="G1951" s="13" t="s">
        <v>8444</v>
      </c>
      <c r="H1951" s="13" t="s">
        <v>35</v>
      </c>
      <c r="I1951" s="13" t="str">
        <f aca="false">IF(C1951=J1951,"NEW KONTRAK","RE-KONTRAK")</f>
        <v>RE-KONTRAK</v>
      </c>
      <c r="J1951" s="16" t="n">
        <f aca="false" t="array" ref="J1951:J1951">IFERROR(INDEX(AC1951:AE1951,IF(COUNTA(AC1951:AE1951)=0,"",MAX((AC1951:AE1951&lt;&gt;"")*(COLUMN(AC1951:AE1951)-(COLUMN(AC1951)))))-1),"")</f>
        <v>45818</v>
      </c>
      <c r="K1951" s="16" t="n">
        <f aca="false" t="array" ref="K1951:K1951">IFERROR(INDEX(AC1951:AE1951,IF(COUNTA(AC1951:AE1951)=0,"",MAX((AC1951:AE1951&lt;&gt;"")*(COLUMN(AC1951:AE1951)-(COLUMN(AC1951)-1))))-1),"")</f>
        <v>45909</v>
      </c>
      <c r="L1951" s="17" t="str">
        <f aca="false" t="array" ref="L1951:L1951">IFERROR(INDEX(AC1951:AE1951,IF(COUNTA(AC1951:AE1951)=0,"",MAX((AC1951:AE1951&lt;&gt;"")*(COLUMN(AC1951:AE1951)-(COLUMN(AC1951)-2))))-1),"")</f>
        <v>ARCHIVED</v>
      </c>
      <c r="M1951" s="13" t="n">
        <f aca="true">K1951-TODAY()</f>
        <v>-415</v>
      </c>
      <c r="N1951" s="18" t="s">
        <v>4735</v>
      </c>
      <c r="O1951" s="13" t="s">
        <v>6983</v>
      </c>
      <c r="P1951" s="19" t="n">
        <v>3113530</v>
      </c>
      <c r="Q1951" s="20" t="s">
        <v>8445</v>
      </c>
      <c r="R1951" s="13" t="s">
        <v>83</v>
      </c>
      <c r="S1951" s="16" t="n">
        <v>34436</v>
      </c>
      <c r="T1951" s="13" t="s">
        <v>40</v>
      </c>
      <c r="U1951" s="13" t="s">
        <v>8446</v>
      </c>
      <c r="V1951" s="13" t="s">
        <v>42</v>
      </c>
      <c r="W1951" s="13" t="s">
        <v>43</v>
      </c>
      <c r="X1951" s="21" t="n">
        <v>81336238530</v>
      </c>
      <c r="Y1951" s="22" t="str">
        <f aca="false">O1951</f>
        <v>General Affair</v>
      </c>
      <c r="Z1951" s="13" t="str">
        <f aca="false">IFERROR(__xludf.dummyfunction("if(BJ1951="""","""",GOOGLETRANSLATE(BJ1951,""auto"",""en""))"),"General Affair")</f>
        <v>General Affair</v>
      </c>
      <c r="AA1951" s="23" t="str">
        <f aca="false">IF(C1951="","", CHOOSE(MONTH(C1951),"January","February","March","April","May","June","July","August","September","October","November","December")&amp;" "&amp;DAY(C1951)&amp;MID("thstndrdth",MIN(9,2*RIGHT(DAY(C1951))*(MOD(DAY(C1951)-11,100)&gt;2)+1),2)&amp;","&amp;TEXT(C1951," yyyy"))</f>
        <v>March 10th,2025</v>
      </c>
      <c r="AB1951" s="15" t="str">
        <f aca="true">IF(S1951="","",DATEDIF(S1951,TODAY(),"Y")&amp;" Tahun, "&amp;DATEDIF(S1951,TODAY(),"YM")&amp;" Bulan, "&amp;DATEDIF(S1951,TODAY(),"MD")&amp;" Hari")</f>
        <v>32 Tahun, 6 Bulan, 17 Hari</v>
      </c>
      <c r="AC1951" s="18" t="n">
        <v>45818</v>
      </c>
      <c r="AD1951" s="18" t="n">
        <v>45909</v>
      </c>
      <c r="AE1951" s="18" t="s">
        <v>44</v>
      </c>
    </row>
    <row r="1952" customFormat="false" ht="15" hidden="false" customHeight="true" outlineLevel="0" collapsed="false">
      <c r="A1952" s="12" t="n">
        <v>18862</v>
      </c>
      <c r="B1952" s="13" t="s">
        <v>8447</v>
      </c>
      <c r="C1952" s="16" t="n">
        <v>45723</v>
      </c>
      <c r="D1952" s="13" t="s">
        <v>5726</v>
      </c>
      <c r="E1952" s="15" t="s">
        <v>789</v>
      </c>
      <c r="F1952" s="24" t="s">
        <v>8448</v>
      </c>
      <c r="G1952" s="13" t="s">
        <v>8449</v>
      </c>
      <c r="H1952" s="13" t="s">
        <v>35</v>
      </c>
      <c r="I1952" s="13" t="str">
        <f aca="false">IF(C1952=J1952,"NEW KONTRAK","RE-KONTRAK")</f>
        <v>RE-KONTRAK</v>
      </c>
      <c r="J1952" s="16" t="n">
        <f aca="false" t="array" ref="J1952:J1952">IFERROR(INDEX(AC1952:AE1952,IF(COUNTA(AC1952:AE1952)=0,"",MAX((AC1952:AE1952&lt;&gt;"")*(COLUMN(AC1952:AE1952)-(COLUMN(AC1952)))))-1),"")</f>
        <v>45907</v>
      </c>
      <c r="K1952" s="16" t="n">
        <f aca="false" t="array" ref="K1952:K1952">IFERROR(INDEX(AC1952:AE1952,IF(COUNTA(AC1952:AE1952)=0,"",MAX((AC1952:AE1952&lt;&gt;"")*(COLUMN(AC1952:AE1952)-(COLUMN(AC1952)-1))))-1),"")</f>
        <v>45997</v>
      </c>
      <c r="L1952" s="17" t="str">
        <f aca="false" t="array" ref="L1952:L1952">IFERROR(INDEX(AC1952:AE1952,IF(COUNTA(AC1952:AE1952)=0,"",MAX((AC1952:AE1952&lt;&gt;"")*(COLUMN(AC1952:AE1952)-(COLUMN(AC1952)-2))))-1),"")</f>
        <v>ARCHIVED</v>
      </c>
      <c r="M1952" s="13" t="n">
        <f aca="true">K1952-TODAY()</f>
        <v>-327</v>
      </c>
      <c r="N1952" s="18" t="s">
        <v>615</v>
      </c>
      <c r="O1952" s="13" t="s">
        <v>1531</v>
      </c>
      <c r="P1952" s="19" t="n">
        <f aca="false">60%*4856026</f>
        <v>2913615.6</v>
      </c>
      <c r="Q1952" s="20" t="s">
        <v>8450</v>
      </c>
      <c r="R1952" s="13" t="s">
        <v>553</v>
      </c>
      <c r="S1952" s="16" t="n">
        <v>38390</v>
      </c>
      <c r="T1952" s="13" t="s">
        <v>108</v>
      </c>
      <c r="U1952" s="13" t="s">
        <v>8451</v>
      </c>
      <c r="V1952" s="13" t="s">
        <v>42</v>
      </c>
      <c r="W1952" s="13" t="s">
        <v>43</v>
      </c>
      <c r="X1952" s="21" t="n">
        <v>87794529011</v>
      </c>
      <c r="Y1952" s="22" t="str">
        <f aca="false">O1952</f>
        <v>Packer</v>
      </c>
      <c r="Z1952" s="13" t="str">
        <f aca="false">IFERROR(__xludf.dummyfunction("if(BJ1952="""","""",GOOGLETRANSLATE(BJ1952,""auto"",""en""))"),"Packer")</f>
        <v>Packer</v>
      </c>
      <c r="AA1952" s="23" t="str">
        <f aca="false">IF(C1952="","", CHOOSE(MONTH(C1952),"January","February","March","April","May","June","July","August","September","October","November","December")&amp;" "&amp;DAY(C1952)&amp;MID("thstndrdth",MIN(9,2*RIGHT(DAY(C1952))*(MOD(DAY(C1952)-11,100)&gt;2)+1),2)&amp;","&amp;TEXT(C1952," yyyy"))</f>
        <v>March 7th,2025</v>
      </c>
      <c r="AB1952" s="15" t="str">
        <f aca="true">IF(S1952="","",DATEDIF(S1952,TODAY(),"Y")&amp;" Tahun, "&amp;DATEDIF(S1952,TODAY(),"YM")&amp;" Bulan, "&amp;DATEDIF(S1952,TODAY(),"MD")&amp;" Hari")</f>
        <v>21 Tahun, 8 Bulan, 22 Hari</v>
      </c>
      <c r="AC1952" s="18" t="n">
        <v>45907</v>
      </c>
      <c r="AD1952" s="18" t="n">
        <v>45997</v>
      </c>
      <c r="AE1952" s="18" t="s">
        <v>44</v>
      </c>
    </row>
    <row r="1953" customFormat="false" ht="15" hidden="false" customHeight="true" outlineLevel="0" collapsed="false">
      <c r="A1953" s="12" t="n">
        <v>18865</v>
      </c>
      <c r="B1953" s="13" t="s">
        <v>8452</v>
      </c>
      <c r="C1953" s="16" t="n">
        <v>45726</v>
      </c>
      <c r="D1953" s="13" t="s">
        <v>5726</v>
      </c>
      <c r="E1953" s="15" t="s">
        <v>47</v>
      </c>
      <c r="F1953" s="15" t="str">
        <f aca="false">IFERROR(__xludf.dummyfunction("XLOOKUP(AJ1953,IMPORTRANGE(""1XaInW9DU9nz21V0tYIfzFQ0He9kVQ_JF2mCXgZ3hqFA"",""REKAP ALL 2026 - Andika!G:G""),IMPORTRANGE(""1XaInW9DU9nz21V0tYIfzFQ0He9kVQ_JF2mCXgZ3hqFA"",""REKAP ALL 2026 - Andika!F:F""),"""",0)"),"25036496906")</f>
        <v>25036496906</v>
      </c>
      <c r="G1953" s="13" t="s">
        <v>1127</v>
      </c>
      <c r="H1953" s="13" t="s">
        <v>35</v>
      </c>
      <c r="I1953" s="13" t="str">
        <f aca="false">IF(C1953=J1953,"NEW KONTRAK","RE-KONTRAK")</f>
        <v>RE-KONTRAK</v>
      </c>
      <c r="J1953" s="16" t="n">
        <f aca="false" t="array" ref="J1953:J1953">IFERROR(INDEX(AC1953:AE1953,IF(COUNTA(AC1953:AE1953)=0,"",MAX((AC1953:AE1953&lt;&gt;"")*(COLUMN(AC1953:AE1953)-(COLUMN(AC1953)))))-1),"")</f>
        <v>45818</v>
      </c>
      <c r="K1953" s="16" t="n">
        <f aca="false" t="array" ref="K1953:K1953">IFERROR(INDEX(AC1953:AE1953,IF(COUNTA(AC1953:AE1953)=0,"",MAX((AC1953:AE1953&lt;&gt;"")*(COLUMN(AC1953:AE1953)-(COLUMN(AC1953)-1))))-1),"")</f>
        <v>45909</v>
      </c>
      <c r="L1953" s="17" t="str">
        <f aca="false" t="array" ref="L1953:L1953">IFERROR(INDEX(AC1953:AE1953,IF(COUNTA(AC1953:AE1953)=0,"",MAX((AC1953:AE1953&lt;&gt;"")*(COLUMN(AC1953:AE1953)-(COLUMN(AC1953)-2))))-1),"")</f>
        <v>ARCHIVED</v>
      </c>
      <c r="M1953" s="13" t="n">
        <f aca="true">K1953-TODAY()</f>
        <v>-415</v>
      </c>
      <c r="N1953" s="18" t="s">
        <v>615</v>
      </c>
      <c r="O1953" s="13" t="s">
        <v>1531</v>
      </c>
      <c r="P1953" s="19" t="n">
        <v>5176101</v>
      </c>
      <c r="Q1953" s="20" t="s">
        <v>8453</v>
      </c>
      <c r="R1953" s="13" t="s">
        <v>232</v>
      </c>
      <c r="S1953" s="16" t="n">
        <v>37700</v>
      </c>
      <c r="T1953" s="13" t="s">
        <v>40</v>
      </c>
      <c r="U1953" s="13" t="s">
        <v>8454</v>
      </c>
      <c r="V1953" s="13" t="s">
        <v>42</v>
      </c>
      <c r="W1953" s="13" t="s">
        <v>43</v>
      </c>
      <c r="X1953" s="21" t="n">
        <v>85883464220</v>
      </c>
      <c r="Y1953" s="22" t="str">
        <f aca="false">O1953</f>
        <v>Packer</v>
      </c>
      <c r="Z1953" s="13" t="str">
        <f aca="false">IFERROR(__xludf.dummyfunction("if(BJ1953="""","""",GOOGLETRANSLATE(BJ1953,""auto"",""en""))"),"Packer")</f>
        <v>Packer</v>
      </c>
      <c r="AA1953" s="23" t="str">
        <f aca="false">IF(C1953="","", CHOOSE(MONTH(C1953),"January","February","March","April","May","June","July","August","September","October","November","December")&amp;" "&amp;DAY(C1953)&amp;MID("thstndrdth",MIN(9,2*RIGHT(DAY(C1953))*(MOD(DAY(C1953)-11,100)&gt;2)+1),2)&amp;","&amp;TEXT(C1953," yyyy"))</f>
        <v>March 10th,2025</v>
      </c>
      <c r="AB1953" s="15" t="str">
        <f aca="true">IF(S1953="","",DATEDIF(S1953,TODAY(),"Y")&amp;" Tahun, "&amp;DATEDIF(S1953,TODAY(),"YM")&amp;" Bulan, "&amp;DATEDIF(S1953,TODAY(),"MD")&amp;" Hari")</f>
        <v>23 Tahun, 7 Bulan, 9 Hari</v>
      </c>
      <c r="AC1953" s="18" t="n">
        <v>45818</v>
      </c>
      <c r="AD1953" s="18" t="n">
        <v>45909</v>
      </c>
      <c r="AE1953" s="18" t="s">
        <v>44</v>
      </c>
    </row>
    <row r="1954" customFormat="false" ht="15" hidden="false" customHeight="true" outlineLevel="0" collapsed="false">
      <c r="A1954" s="12" t="n">
        <v>18867</v>
      </c>
      <c r="B1954" s="13" t="s">
        <v>8455</v>
      </c>
      <c r="C1954" s="16" t="n">
        <v>45726</v>
      </c>
      <c r="D1954" s="13" t="s">
        <v>5726</v>
      </c>
      <c r="E1954" s="15" t="s">
        <v>33</v>
      </c>
      <c r="F1954" s="24" t="s">
        <v>8456</v>
      </c>
      <c r="G1954" s="13" t="s">
        <v>8457</v>
      </c>
      <c r="H1954" s="13" t="s">
        <v>35</v>
      </c>
      <c r="I1954" s="13" t="str">
        <f aca="false">IF(C1954=J1954,"NEW KONTRAK","RE-KONTRAK")</f>
        <v>RE-KONTRAK</v>
      </c>
      <c r="J1954" s="16" t="n">
        <f aca="false" t="array" ref="J1954:J1954">IFERROR(INDEX(AC1954:AE1954,IF(COUNTA(AC1954:AE1954)=0,"",MAX((AC1954:AE1954&lt;&gt;"")*(COLUMN(AC1954:AE1954)-(COLUMN(AC1954)))))-1),"")</f>
        <v>45818</v>
      </c>
      <c r="K1954" s="16" t="n">
        <f aca="false" t="array" ref="K1954:K1954">IFERROR(INDEX(AC1954:AE1954,IF(COUNTA(AC1954:AE1954)=0,"",MAX((AC1954:AE1954&lt;&gt;"")*(COLUMN(AC1954:AE1954)-(COLUMN(AC1954)-1))))-1),"")</f>
        <v>45909</v>
      </c>
      <c r="L1954" s="17" t="str">
        <f aca="false" t="array" ref="L1954:L1954">IFERROR(INDEX(AC1954:AE1954,IF(COUNTA(AC1954:AE1954)=0,"",MAX((AC1954:AE1954&lt;&gt;"")*(COLUMN(AC1954:AE1954)-(COLUMN(AC1954)-2))))-1),"")</f>
        <v>ARCHIVED</v>
      </c>
      <c r="M1954" s="13" t="n">
        <f aca="true">K1954-TODAY()</f>
        <v>-415</v>
      </c>
      <c r="N1954" s="18" t="s">
        <v>615</v>
      </c>
      <c r="O1954" s="13" t="s">
        <v>1531</v>
      </c>
      <c r="P1954" s="27" t="n">
        <v>5176101</v>
      </c>
      <c r="Q1954" s="20" t="s">
        <v>8458</v>
      </c>
      <c r="R1954" s="13" t="s">
        <v>401</v>
      </c>
      <c r="S1954" s="16" t="n">
        <v>37248</v>
      </c>
      <c r="T1954" s="13" t="s">
        <v>108</v>
      </c>
      <c r="U1954" s="13" t="s">
        <v>8459</v>
      </c>
      <c r="V1954" s="13" t="s">
        <v>42</v>
      </c>
      <c r="W1954" s="13" t="s">
        <v>43</v>
      </c>
      <c r="X1954" s="21" t="n">
        <v>87822106414</v>
      </c>
      <c r="Y1954" s="22" t="str">
        <f aca="false">O1954</f>
        <v>Packer</v>
      </c>
      <c r="Z1954" s="13" t="str">
        <f aca="false">IFERROR(__xludf.dummyfunction("if(BJ1954="""","""",GOOGLETRANSLATE(BJ1954,""auto"",""en""))"),"Packer")</f>
        <v>Packer</v>
      </c>
      <c r="AA1954" s="23" t="str">
        <f aca="false">IF(C1954="","", CHOOSE(MONTH(C1954),"January","February","March","April","May","June","July","August","September","October","November","December")&amp;" "&amp;DAY(C1954)&amp;MID("thstndrdth",MIN(9,2*RIGHT(DAY(C1954))*(MOD(DAY(C1954)-11,100)&gt;2)+1),2)&amp;","&amp;TEXT(C1954," yyyy"))</f>
        <v>March 10th,2025</v>
      </c>
      <c r="AB1954" s="15" t="str">
        <f aca="true">IF(S1954="","",DATEDIF(S1954,TODAY(),"Y")&amp;" Tahun, "&amp;DATEDIF(S1954,TODAY(),"YM")&amp;" Bulan, "&amp;DATEDIF(S1954,TODAY(),"MD")&amp;" Hari")</f>
        <v>24 Tahun, 10 Bulan, 6 Hari</v>
      </c>
      <c r="AC1954" s="18" t="n">
        <v>45818</v>
      </c>
      <c r="AD1954" s="18" t="n">
        <v>45909</v>
      </c>
      <c r="AE1954" s="18" t="s">
        <v>44</v>
      </c>
    </row>
    <row r="1955" customFormat="false" ht="15" hidden="false" customHeight="true" outlineLevel="0" collapsed="false">
      <c r="A1955" s="12" t="n">
        <v>18882</v>
      </c>
      <c r="B1955" s="13" t="s">
        <v>8460</v>
      </c>
      <c r="C1955" s="16" t="n">
        <v>45726</v>
      </c>
      <c r="D1955" s="13" t="s">
        <v>7948</v>
      </c>
      <c r="E1955" s="15" t="s">
        <v>7949</v>
      </c>
      <c r="F1955" s="15" t="str">
        <f aca="false">IFERROR(__xludf.dummyfunction("XLOOKUP(AJ1955,IMPORTRANGE(""1XaInW9DU9nz21V0tYIfzFQ0He9kVQ_JF2mCXgZ3hqFA"",""REKAP ALL 2026 - Andika!G:G""),IMPORTRANGE(""1XaInW9DU9nz21V0tYIfzFQ0He9kVQ_JF2mCXgZ3hqFA"",""REKAP ALL 2026 - Andika!F:F""),"""",0)"),"25036497292")</f>
        <v>25036497292</v>
      </c>
      <c r="G1955" s="13" t="s">
        <v>57</v>
      </c>
      <c r="H1955" s="13" t="s">
        <v>7950</v>
      </c>
      <c r="I1955" s="13" t="str">
        <f aca="false">IF(C1955=J1955,"NEW KONTRAK","RE-KONTRAK")</f>
        <v>RE-KONTRAK</v>
      </c>
      <c r="J1955" s="16" t="n">
        <f aca="false" t="array" ref="J1955:J1955">IFERROR(INDEX(AC1955:AE1955,IF(COUNTA(AC1955:AE1955)=0,"",MAX((AC1955:AE1955&lt;&gt;"")*(COLUMN(AC1955:AE1955)-(COLUMN(AC1955)))))-1),"")</f>
        <v>45844</v>
      </c>
      <c r="K1955" s="16" t="n">
        <f aca="false" t="array" ref="K1955:K1955">IFERROR(INDEX(AC1955:AE1955,IF(COUNTA(AC1955:AE1955)=0,"",MAX((AC1955:AE1955&lt;&gt;"")*(COLUMN(AC1955:AE1955)-(COLUMN(AC1955)-1))))-1),"")</f>
        <v>45928</v>
      </c>
      <c r="L1955" s="17" t="str">
        <f aca="false" t="array" ref="L1955:L1955">IFERROR(INDEX(AC1955:AE1955,IF(COUNTA(AC1955:AE1955)=0,"",MAX((AC1955:AE1955&lt;&gt;"")*(COLUMN(AC1955:AE1955)-(COLUMN(AC1955)-2))))-1),"")</f>
        <v>ARCHIVED</v>
      </c>
      <c r="M1955" s="13" t="n">
        <f aca="true">K1955-TODAY()</f>
        <v>-396</v>
      </c>
      <c r="N1955" s="18" t="s">
        <v>615</v>
      </c>
      <c r="O1955" s="13" t="s">
        <v>2335</v>
      </c>
      <c r="P1955" s="19" t="n">
        <v>245000</v>
      </c>
      <c r="Q1955" s="20" t="s">
        <v>8461</v>
      </c>
      <c r="R1955" s="13" t="s">
        <v>52</v>
      </c>
      <c r="S1955" s="14" t="n">
        <v>29972</v>
      </c>
      <c r="T1955" s="28" t="s">
        <v>40</v>
      </c>
      <c r="U1955" s="13" t="s">
        <v>8462</v>
      </c>
      <c r="V1955" s="13" t="s">
        <v>42</v>
      </c>
      <c r="W1955" s="13" t="s">
        <v>54</v>
      </c>
      <c r="X1955" s="21" t="n">
        <v>85648187698</v>
      </c>
      <c r="Y1955" s="22" t="str">
        <f aca="false">O1955</f>
        <v>Project Management</v>
      </c>
      <c r="Z1955" s="13" t="str">
        <f aca="false">IFERROR(__xludf.dummyfunction("if(BJ1955="""","""",GOOGLETRANSLATE(BJ1955,""auto"",""en""))"),"Project Management")</f>
        <v>Project Management</v>
      </c>
      <c r="AA1955" s="23" t="str">
        <f aca="false">IF(C1955="","", CHOOSE(MONTH(C1955),"January","February","March","April","May","June","July","August","September","October","November","December")&amp;" "&amp;DAY(C1955)&amp;MID("thstndrdth",MIN(9,2*RIGHT(DAY(C1955))*(MOD(DAY(C1955)-11,100)&gt;2)+1),2)&amp;","&amp;TEXT(C1955," yyyy"))</f>
        <v>March 10th,2025</v>
      </c>
      <c r="AB1955" s="15" t="str">
        <f aca="true">IF(S1955="","",DATEDIF(S1955,TODAY(),"Y")&amp;" Tahun, "&amp;DATEDIF(S1955,TODAY(),"YM")&amp;" Bulan, "&amp;DATEDIF(S1955,TODAY(),"MD")&amp;" Hari")</f>
        <v>44 Tahun, 9 Bulan, 8 Hari</v>
      </c>
      <c r="AC1955" s="18" t="n">
        <v>45844</v>
      </c>
      <c r="AD1955" s="18" t="n">
        <v>45928</v>
      </c>
      <c r="AE1955" s="18" t="s">
        <v>44</v>
      </c>
    </row>
    <row r="1956" customFormat="false" ht="15" hidden="false" customHeight="true" outlineLevel="0" collapsed="false">
      <c r="A1956" s="12" t="n">
        <v>18883</v>
      </c>
      <c r="B1956" s="13" t="s">
        <v>8463</v>
      </c>
      <c r="C1956" s="16" t="n">
        <v>45726</v>
      </c>
      <c r="D1956" s="13" t="s">
        <v>7948</v>
      </c>
      <c r="E1956" s="15" t="s">
        <v>102</v>
      </c>
      <c r="F1956" s="15" t="str">
        <f aca="false">IFERROR(__xludf.dummyfunction("XLOOKUP(AJ1956,IMPORTRANGE(""1XaInW9DU9nz21V0tYIfzFQ0He9kVQ_JF2mCXgZ3hqFA"",""REKAP ALL 2026 - Andika!G:G""),IMPORTRANGE(""1XaInW9DU9nz21V0tYIfzFQ0He9kVQ_JF2mCXgZ3hqFA"",""REKAP ALL 2026 - Andika!F:F""),"""",0)"),"25036497300")</f>
        <v>25036497300</v>
      </c>
      <c r="G1956" s="13" t="s">
        <v>57</v>
      </c>
      <c r="H1956" s="13" t="s">
        <v>7950</v>
      </c>
      <c r="I1956" s="13" t="str">
        <f aca="false">IF(C1956=J1956,"NEW KONTRAK","RE-KONTRAK")</f>
        <v>RE-KONTRAK</v>
      </c>
      <c r="J1956" s="16" t="n">
        <f aca="false" t="array" ref="J1956:J1956">IFERROR(INDEX(AC1956:AE1956,IF(COUNTA(AC1956:AE1956)=0,"",MAX((AC1956:AE1956&lt;&gt;"")*(COLUMN(AC1956:AE1956)-(COLUMN(AC1956)))))-1),"")</f>
        <v>45844</v>
      </c>
      <c r="K1956" s="16" t="n">
        <f aca="false" t="array" ref="K1956:K1956">IFERROR(INDEX(AC1956:AE1956,IF(COUNTA(AC1956:AE1956)=0,"",MAX((AC1956:AE1956&lt;&gt;"")*(COLUMN(AC1956:AE1956)-(COLUMN(AC1956)-1))))-1),"")</f>
        <v>45928</v>
      </c>
      <c r="L1956" s="17" t="str">
        <f aca="false" t="array" ref="L1956:L1956">IFERROR(INDEX(AC1956:AE1956,IF(COUNTA(AC1956:AE1956)=0,"",MAX((AC1956:AE1956&lt;&gt;"")*(COLUMN(AC1956:AE1956)-(COLUMN(AC1956)-2))))-1),"")</f>
        <v>ARCHIVED</v>
      </c>
      <c r="M1956" s="13" t="n">
        <f aca="true">K1956-TODAY()</f>
        <v>-396</v>
      </c>
      <c r="N1956" s="18" t="s">
        <v>4051</v>
      </c>
      <c r="O1956" s="13" t="s">
        <v>2335</v>
      </c>
      <c r="P1956" s="19" t="n">
        <v>210000</v>
      </c>
      <c r="Q1956" s="20" t="s">
        <v>8464</v>
      </c>
      <c r="R1956" s="13" t="s">
        <v>232</v>
      </c>
      <c r="S1956" s="14" t="n">
        <v>34298</v>
      </c>
      <c r="T1956" s="28" t="s">
        <v>40</v>
      </c>
      <c r="U1956" s="13" t="s">
        <v>8465</v>
      </c>
      <c r="V1956" s="13" t="s">
        <v>42</v>
      </c>
      <c r="W1956" s="13" t="s">
        <v>54</v>
      </c>
      <c r="X1956" s="21" t="n">
        <v>85257589481</v>
      </c>
      <c r="Y1956" s="22" t="str">
        <f aca="false">O1956</f>
        <v>Project Management</v>
      </c>
      <c r="Z1956" s="13" t="str">
        <f aca="false">IFERROR(__xludf.dummyfunction("if(BJ1956="""","""",GOOGLETRANSLATE(BJ1956,""auto"",""en""))"),"Project Management")</f>
        <v>Project Management</v>
      </c>
      <c r="AA1956" s="23" t="str">
        <f aca="false">IF(C1956="","", CHOOSE(MONTH(C1956),"January","February","March","April","May","June","July","August","September","October","November","December")&amp;" "&amp;DAY(C1956)&amp;MID("thstndrdth",MIN(9,2*RIGHT(DAY(C1956))*(MOD(DAY(C1956)-11,100)&gt;2)+1),2)&amp;","&amp;TEXT(C1956," yyyy"))</f>
        <v>March 10th,2025</v>
      </c>
      <c r="AB1956" s="15" t="str">
        <f aca="true">IF(S1956="","",DATEDIF(S1956,TODAY(),"Y")&amp;" Tahun, "&amp;DATEDIF(S1956,TODAY(),"YM")&amp;" Bulan, "&amp;DATEDIF(S1956,TODAY(),"MD")&amp;" Hari")</f>
        <v>32 Tahun, 11 Bulan, 4 Hari</v>
      </c>
      <c r="AC1956" s="18" t="n">
        <v>45844</v>
      </c>
      <c r="AD1956" s="18" t="n">
        <v>45928</v>
      </c>
      <c r="AE1956" s="18" t="s">
        <v>44</v>
      </c>
    </row>
    <row r="1957" customFormat="false" ht="15" hidden="false" customHeight="true" outlineLevel="0" collapsed="false">
      <c r="A1957" s="12" t="n">
        <v>18884</v>
      </c>
      <c r="B1957" s="13" t="s">
        <v>8466</v>
      </c>
      <c r="C1957" s="16" t="n">
        <v>45726</v>
      </c>
      <c r="D1957" s="13" t="s">
        <v>7948</v>
      </c>
      <c r="E1957" s="15" t="s">
        <v>7949</v>
      </c>
      <c r="F1957" s="15" t="str">
        <f aca="false">IFERROR(__xludf.dummyfunction("XLOOKUP(AJ1957,IMPORTRANGE(""1XaInW9DU9nz21V0tYIfzFQ0He9kVQ_JF2mCXgZ3hqFA"",""REKAP ALL 2026 - Andika!G:G""),IMPORTRANGE(""1XaInW9DU9nz21V0tYIfzFQ0He9kVQ_JF2mCXgZ3hqFA"",""REKAP ALL 2026 - Andika!F:F""),"""",0)"),"25036497326")</f>
        <v>25036497326</v>
      </c>
      <c r="G1957" s="13" t="s">
        <v>57</v>
      </c>
      <c r="H1957" s="13" t="s">
        <v>7950</v>
      </c>
      <c r="I1957" s="13" t="str">
        <f aca="false">IF(C1957=J1957,"NEW KONTRAK","RE-KONTRAK")</f>
        <v>RE-KONTRAK</v>
      </c>
      <c r="J1957" s="16" t="n">
        <f aca="false" t="array" ref="J1957:J1957">IFERROR(INDEX(AC1957:AE1957,IF(COUNTA(AC1957:AE1957)=0,"",MAX((AC1957:AE1957&lt;&gt;"")*(COLUMN(AC1957:AE1957)-(COLUMN(AC1957)))))-1),"")</f>
        <v>45844</v>
      </c>
      <c r="K1957" s="16" t="n">
        <f aca="false" t="array" ref="K1957:K1957">IFERROR(INDEX(AC1957:AE1957,IF(COUNTA(AC1957:AE1957)=0,"",MAX((AC1957:AE1957&lt;&gt;"")*(COLUMN(AC1957:AE1957)-(COLUMN(AC1957)-1))))-1),"")</f>
        <v>45928</v>
      </c>
      <c r="L1957" s="17" t="str">
        <f aca="false" t="array" ref="L1957:L1957">IFERROR(INDEX(AC1957:AE1957,IF(COUNTA(AC1957:AE1957)=0,"",MAX((AC1957:AE1957&lt;&gt;"")*(COLUMN(AC1957:AE1957)-(COLUMN(AC1957)-2))))-1),"")</f>
        <v>ARCHIVED</v>
      </c>
      <c r="M1957" s="13" t="n">
        <f aca="true">K1957-TODAY()</f>
        <v>-396</v>
      </c>
      <c r="N1957" s="18" t="s">
        <v>4051</v>
      </c>
      <c r="O1957" s="13" t="s">
        <v>7951</v>
      </c>
      <c r="P1957" s="19" t="n">
        <v>210000</v>
      </c>
      <c r="Q1957" s="20" t="s">
        <v>8467</v>
      </c>
      <c r="R1957" s="13" t="s">
        <v>232</v>
      </c>
      <c r="S1957" s="14" t="n">
        <v>31991</v>
      </c>
      <c r="T1957" s="28" t="s">
        <v>40</v>
      </c>
      <c r="U1957" s="13" t="s">
        <v>8468</v>
      </c>
      <c r="V1957" s="13" t="s">
        <v>42</v>
      </c>
      <c r="W1957" s="13" t="s">
        <v>54</v>
      </c>
      <c r="X1957" s="21" t="n">
        <v>85822038873</v>
      </c>
      <c r="Y1957" s="22" t="str">
        <f aca="false">O1957</f>
        <v>Mekanik Kiln</v>
      </c>
      <c r="Z1957" s="13" t="str">
        <f aca="false">IFERROR(__xludf.dummyfunction("if(BJ1957="""","""",GOOGLETRANSLATE(BJ1957,""auto"",""en""))"),"Kiln Mechanics")</f>
        <v>Kiln Mechanics</v>
      </c>
      <c r="AA1957" s="23" t="str">
        <f aca="false">IF(C1957="","", CHOOSE(MONTH(C1957),"January","February","March","April","May","June","July","August","September","October","November","December")&amp;" "&amp;DAY(C1957)&amp;MID("thstndrdth",MIN(9,2*RIGHT(DAY(C1957))*(MOD(DAY(C1957)-11,100)&gt;2)+1),2)&amp;","&amp;TEXT(C1957," yyyy"))</f>
        <v>March 10th,2025</v>
      </c>
      <c r="AB1957" s="15" t="str">
        <f aca="true">IF(S1957="","",DATEDIF(S1957,TODAY(),"Y")&amp;" Tahun, "&amp;DATEDIF(S1957,TODAY(),"YM")&amp;" Bulan, "&amp;DATEDIF(S1957,TODAY(),"MD")&amp;" Hari")</f>
        <v>39 Tahun, 2 Bulan, 27 Hari</v>
      </c>
      <c r="AC1957" s="18" t="n">
        <v>45844</v>
      </c>
      <c r="AD1957" s="18" t="n">
        <v>45928</v>
      </c>
      <c r="AE1957" s="18" t="s">
        <v>44</v>
      </c>
    </row>
    <row r="1958" customFormat="false" ht="15" hidden="false" customHeight="true" outlineLevel="0" collapsed="false">
      <c r="A1958" s="12" t="n">
        <v>18885</v>
      </c>
      <c r="B1958" s="13" t="s">
        <v>8469</v>
      </c>
      <c r="C1958" s="16" t="n">
        <v>45726</v>
      </c>
      <c r="D1958" s="13" t="s">
        <v>7948</v>
      </c>
      <c r="E1958" s="15" t="s">
        <v>7949</v>
      </c>
      <c r="F1958" s="15" t="str">
        <f aca="false">IFERROR(__xludf.dummyfunction("XLOOKUP(AJ1958,IMPORTRANGE(""1XaInW9DU9nz21V0tYIfzFQ0He9kVQ_JF2mCXgZ3hqFA"",""REKAP ALL 2026 - Andika!G:G""),IMPORTRANGE(""1XaInW9DU9nz21V0tYIfzFQ0He9kVQ_JF2mCXgZ3hqFA"",""REKAP ALL 2026 - Andika!F:F""),"""",0)"),"25036497334")</f>
        <v>25036497334</v>
      </c>
      <c r="G1958" s="13" t="s">
        <v>57</v>
      </c>
      <c r="H1958" s="13" t="s">
        <v>7950</v>
      </c>
      <c r="I1958" s="13" t="str">
        <f aca="false">IF(C1958=J1958,"NEW KONTRAK","RE-KONTRAK")</f>
        <v>RE-KONTRAK</v>
      </c>
      <c r="J1958" s="16" t="n">
        <f aca="false" t="array" ref="J1958:J1958">IFERROR(INDEX(AC1958:AE1958,IF(COUNTA(AC1958:AE1958)=0,"",MAX((AC1958:AE1958&lt;&gt;"")*(COLUMN(AC1958:AE1958)-(COLUMN(AC1958)))))-1),"")</f>
        <v>45844</v>
      </c>
      <c r="K1958" s="16" t="n">
        <f aca="false" t="array" ref="K1958:K1958">IFERROR(INDEX(AC1958:AE1958,IF(COUNTA(AC1958:AE1958)=0,"",MAX((AC1958:AE1958&lt;&gt;"")*(COLUMN(AC1958:AE1958)-(COLUMN(AC1958)-1))))-1),"")</f>
        <v>45928</v>
      </c>
      <c r="L1958" s="17" t="str">
        <f aca="false" t="array" ref="L1958:L1958">IFERROR(INDEX(AC1958:AE1958,IF(COUNTA(AC1958:AE1958)=0,"",MAX((AC1958:AE1958&lt;&gt;"")*(COLUMN(AC1958:AE1958)-(COLUMN(AC1958)-2))))-1),"")</f>
        <v>ARCHIVED</v>
      </c>
      <c r="M1958" s="13" t="n">
        <f aca="true">K1958-TODAY()</f>
        <v>-396</v>
      </c>
      <c r="N1958" s="18" t="s">
        <v>4051</v>
      </c>
      <c r="O1958" s="13" t="s">
        <v>7951</v>
      </c>
      <c r="P1958" s="19" t="n">
        <v>210000</v>
      </c>
      <c r="Q1958" s="20" t="s">
        <v>8470</v>
      </c>
      <c r="R1958" s="13" t="s">
        <v>83</v>
      </c>
      <c r="S1958" s="14" t="n">
        <v>37774</v>
      </c>
      <c r="T1958" s="28" t="s">
        <v>40</v>
      </c>
      <c r="U1958" s="13" t="s">
        <v>7960</v>
      </c>
      <c r="V1958" s="13" t="s">
        <v>42</v>
      </c>
      <c r="W1958" s="13" t="s">
        <v>43</v>
      </c>
      <c r="X1958" s="30" t="n">
        <v>87846688937</v>
      </c>
      <c r="Y1958" s="22" t="str">
        <f aca="false">O1958</f>
        <v>Mekanik Kiln</v>
      </c>
      <c r="Z1958" s="13" t="str">
        <f aca="false">IFERROR(__xludf.dummyfunction("if(BJ1958="""","""",GOOGLETRANSLATE(BJ1958,""auto"",""en""))"),"Kiln Mechanics")</f>
        <v>Kiln Mechanics</v>
      </c>
      <c r="AA1958" s="23" t="str">
        <f aca="false">IF(C1958="","", CHOOSE(MONTH(C1958),"January","February","March","April","May","June","July","August","September","October","November","December")&amp;" "&amp;DAY(C1958)&amp;MID("thstndrdth",MIN(9,2*RIGHT(DAY(C1958))*(MOD(DAY(C1958)-11,100)&gt;2)+1),2)&amp;","&amp;TEXT(C1958," yyyy"))</f>
        <v>March 10th,2025</v>
      </c>
      <c r="AB1958" s="15" t="str">
        <f aca="true">IF(S1958="","",DATEDIF(S1958,TODAY(),"Y")&amp;" Tahun, "&amp;DATEDIF(S1958,TODAY(),"YM")&amp;" Bulan, "&amp;DATEDIF(S1958,TODAY(),"MD")&amp;" Hari")</f>
        <v>23 Tahun, 4 Bulan, 27 Hari</v>
      </c>
      <c r="AC1958" s="18" t="n">
        <v>45844</v>
      </c>
      <c r="AD1958" s="18" t="n">
        <v>45928</v>
      </c>
      <c r="AE1958" s="18" t="s">
        <v>44</v>
      </c>
    </row>
    <row r="1959" customFormat="false" ht="15" hidden="false" customHeight="true" outlineLevel="0" collapsed="false">
      <c r="A1959" s="12" t="n">
        <v>18891</v>
      </c>
      <c r="B1959" s="13" t="s">
        <v>8471</v>
      </c>
      <c r="C1959" s="16" t="n">
        <v>45726</v>
      </c>
      <c r="D1959" s="13" t="s">
        <v>6487</v>
      </c>
      <c r="E1959" s="15" t="s">
        <v>33</v>
      </c>
      <c r="F1959" s="24" t="s">
        <v>8472</v>
      </c>
      <c r="G1959" s="13" t="s">
        <v>8473</v>
      </c>
      <c r="H1959" s="13" t="s">
        <v>35</v>
      </c>
      <c r="I1959" s="13" t="str">
        <f aca="false">IF(C1959=J1959,"NEW KONTRAK","RE-KONTRAK")</f>
        <v>RE-KONTRAK</v>
      </c>
      <c r="J1959" s="16" t="n">
        <f aca="false" t="array" ref="J1959:J1959">IFERROR(INDEX(AC1959:AE1959,IF(COUNTA(AC1959:AE1959)=0,"",MAX((AC1959:AE1959&lt;&gt;"")*(COLUMN(AC1959:AE1959)-(COLUMN(AC1959)))))-1),"")</f>
        <v>45839</v>
      </c>
      <c r="K1959" s="16" t="n">
        <f aca="false" t="array" ref="K1959:K1959">IFERROR(INDEX(AC1959:AE1959,IF(COUNTA(AC1959:AE1959)=0,"",MAX((AC1959:AE1959&lt;&gt;"")*(COLUMN(AC1959:AE1959)-(COLUMN(AC1959)-1))))-1),"")</f>
        <v>45869</v>
      </c>
      <c r="L1959" s="17" t="str">
        <f aca="false" t="array" ref="L1959:L1959">IFERROR(INDEX(AC1959:AE1959,IF(COUNTA(AC1959:AE1959)=0,"",MAX((AC1959:AE1959&lt;&gt;"")*(COLUMN(AC1959:AE1959)-(COLUMN(AC1959)-2))))-1),"")</f>
        <v>ARCHIVED</v>
      </c>
      <c r="M1959" s="13" t="n">
        <f aca="true">K1959-TODAY()</f>
        <v>-455</v>
      </c>
      <c r="N1959" s="50" t="s">
        <v>4735</v>
      </c>
      <c r="O1959" s="13" t="s">
        <v>5017</v>
      </c>
      <c r="P1959" s="19" t="n">
        <v>3700000</v>
      </c>
      <c r="Q1959" s="20" t="s">
        <v>8474</v>
      </c>
      <c r="R1959" s="13" t="s">
        <v>83</v>
      </c>
      <c r="S1959" s="16" t="n">
        <v>32301</v>
      </c>
      <c r="T1959" s="28" t="s">
        <v>40</v>
      </c>
      <c r="U1959" s="13" t="s">
        <v>8475</v>
      </c>
      <c r="V1959" s="13" t="s">
        <v>42</v>
      </c>
      <c r="W1959" s="13" t="s">
        <v>54</v>
      </c>
      <c r="X1959" s="21" t="n">
        <v>85755924628</v>
      </c>
      <c r="Y1959" s="22" t="str">
        <f aca="false">O1959</f>
        <v>Sales</v>
      </c>
      <c r="Z1959" s="13" t="str">
        <f aca="false">IFERROR(__xludf.dummyfunction("if(BJ1959="""","""",GOOGLETRANSLATE(BJ1959,""auto"",""en""))"),"Sales")</f>
        <v>Sales</v>
      </c>
      <c r="AA1959" s="23" t="str">
        <f aca="false">IF(C1959="","", CHOOSE(MONTH(C1959),"January","February","March","April","May","June","July","August","September","October","November","December")&amp;" "&amp;DAY(C1959)&amp;MID("thstndrdth",MIN(9,2*RIGHT(DAY(C1959))*(MOD(DAY(C1959)-11,100)&gt;2)+1),2)&amp;","&amp;TEXT(C1959," yyyy"))</f>
        <v>March 10th,2025</v>
      </c>
      <c r="AB1959" s="15" t="str">
        <f aca="true">IF(S1959="","",DATEDIF(S1959,TODAY(),"Y")&amp;" Tahun, "&amp;DATEDIF(S1959,TODAY(),"YM")&amp;" Bulan, "&amp;DATEDIF(S1959,TODAY(),"MD")&amp;" Hari")</f>
        <v>38 Tahun, 4 Bulan, 22 Hari</v>
      </c>
      <c r="AC1959" s="18" t="n">
        <v>45839</v>
      </c>
      <c r="AD1959" s="18" t="n">
        <v>45869</v>
      </c>
      <c r="AE1959" s="18" t="s">
        <v>44</v>
      </c>
    </row>
    <row r="1960" customFormat="false" ht="15" hidden="false" customHeight="true" outlineLevel="0" collapsed="false">
      <c r="A1960" s="12" t="n">
        <v>18892</v>
      </c>
      <c r="B1960" s="13" t="s">
        <v>8476</v>
      </c>
      <c r="C1960" s="16" t="n">
        <v>45714</v>
      </c>
      <c r="D1960" s="13" t="s">
        <v>5892</v>
      </c>
      <c r="E1960" s="15" t="s">
        <v>47</v>
      </c>
      <c r="F1960" s="15" t="str">
        <f aca="false">IFERROR(__xludf.dummyfunction("XLOOKUP(AJ1960,IMPORTRANGE(""1XaInW9DU9nz21V0tYIfzFQ0He9kVQ_JF2mCXgZ3hqFA"",""REKAP ALL 2026 - Andika!G:G""),IMPORTRANGE(""1XaInW9DU9nz21V0tYIfzFQ0He9kVQ_JF2mCXgZ3hqFA"",""REKAP ALL 2026 - Andika!F:F""),"""",0)"),"25036498662")</f>
        <v>25036498662</v>
      </c>
      <c r="G1960" s="13" t="s">
        <v>8477</v>
      </c>
      <c r="H1960" s="13" t="s">
        <v>35</v>
      </c>
      <c r="I1960" s="13" t="str">
        <f aca="false">IF(C1960=J1960,"NEW KONTRAK","RE-KONTRAK")</f>
        <v>NEW KONTRAK</v>
      </c>
      <c r="J1960" s="16" t="n">
        <f aca="false" t="array" ref="J1960:J1960">IFERROR(INDEX(AC1960:AE1960,IF(COUNTA(AC1960:AE1960)=0,"",MAX((AC1960:AE1960&lt;&gt;"")*(COLUMN(AC1960:AE1960)-(COLUMN(AC1960)))))-1),"")</f>
        <v>45714</v>
      </c>
      <c r="K1960" s="16" t="n">
        <f aca="false" t="array" ref="K1960:K1960">IFERROR(INDEX(AC1960:AE1960,IF(COUNTA(AC1960:AE1960)=0,"",MAX((AC1960:AE1960&lt;&gt;"")*(COLUMN(AC1960:AE1960)-(COLUMN(AC1960)-1))))-1),"")</f>
        <v>46078</v>
      </c>
      <c r="L1960" s="17" t="str">
        <f aca="false" t="array" ref="L1960:L1960">IFERROR(INDEX(AC1960:AE1960,IF(COUNTA(AC1960:AE1960)=0,"",MAX((AC1960:AE1960&lt;&gt;"")*(COLUMN(AC1960:AE1960)-(COLUMN(AC1960)-2))))-1),"")</f>
        <v>ARCHIVED</v>
      </c>
      <c r="M1960" s="13" t="n">
        <f aca="true">K1960-TODAY()</f>
        <v>-246</v>
      </c>
      <c r="N1960" s="18" t="s">
        <v>105</v>
      </c>
      <c r="O1960" s="13" t="s">
        <v>5894</v>
      </c>
      <c r="P1960" s="19" t="n">
        <v>4200000</v>
      </c>
      <c r="Q1960" s="20" t="s">
        <v>8478</v>
      </c>
      <c r="R1960" s="13" t="s">
        <v>39</v>
      </c>
      <c r="S1960" s="16" t="n">
        <v>32617</v>
      </c>
      <c r="T1960" s="13" t="s">
        <v>40</v>
      </c>
      <c r="U1960" s="17" t="s">
        <v>8479</v>
      </c>
      <c r="V1960" s="13" t="s">
        <v>42</v>
      </c>
      <c r="W1960" s="13" t="s">
        <v>43</v>
      </c>
      <c r="X1960" s="21" t="n">
        <v>81335605304</v>
      </c>
      <c r="Y1960" s="22" t="str">
        <f aca="false">O1960</f>
        <v>Checker</v>
      </c>
      <c r="Z1960" s="13" t="str">
        <f aca="false">IFERROR(__xludf.dummyfunction("if(BJ1960="""","""",GOOGLETRANSLATE(BJ1960,""auto"",""en""))"),"Checker")</f>
        <v>Checker</v>
      </c>
      <c r="AA1960" s="23" t="str">
        <f aca="false">IF(C1960="","", CHOOSE(MONTH(C1960),"January","February","March","April","May","June","July","August","September","October","November","December")&amp;" "&amp;DAY(C1960)&amp;MID("thstndrdth",MIN(9,2*RIGHT(DAY(C1960))*(MOD(DAY(C1960)-11,100)&gt;2)+1),2)&amp;","&amp;TEXT(C1960," yyyy"))</f>
        <v>February 26th,2025</v>
      </c>
      <c r="AB1960" s="15" t="str">
        <f aca="true">IF(S1960="","",DATEDIF(S1960,TODAY(),"Y")&amp;" Tahun, "&amp;DATEDIF(S1960,TODAY(),"YM")&amp;" Bulan, "&amp;DATEDIF(S1960,TODAY(),"MD")&amp;" Hari")</f>
        <v>37 Tahun, 6 Bulan, 10 Hari</v>
      </c>
      <c r="AC1960" s="18" t="n">
        <v>45714</v>
      </c>
      <c r="AD1960" s="18" t="n">
        <v>46078</v>
      </c>
      <c r="AE1960" s="18" t="s">
        <v>44</v>
      </c>
    </row>
    <row r="1961" customFormat="false" ht="15" hidden="false" customHeight="true" outlineLevel="0" collapsed="false">
      <c r="A1961" s="12" t="n">
        <v>18893</v>
      </c>
      <c r="B1961" s="13" t="s">
        <v>8480</v>
      </c>
      <c r="C1961" s="16" t="n">
        <v>45714</v>
      </c>
      <c r="D1961" s="13" t="s">
        <v>5892</v>
      </c>
      <c r="E1961" s="15" t="s">
        <v>47</v>
      </c>
      <c r="F1961" s="15" t="str">
        <f aca="false">IFERROR(__xludf.dummyfunction("XLOOKUP(AJ1961,IMPORTRANGE(""1XaInW9DU9nz21V0tYIfzFQ0He9kVQ_JF2mCXgZ3hqFA"",""REKAP ALL 2026 - Andika!G:G""),IMPORTRANGE(""1XaInW9DU9nz21V0tYIfzFQ0He9kVQ_JF2mCXgZ3hqFA"",""REKAP ALL 2026 - Andika!F:F""),"""",0)"),"25036498670")</f>
        <v>25036498670</v>
      </c>
      <c r="G1961" s="13" t="s">
        <v>8481</v>
      </c>
      <c r="H1961" s="13" t="s">
        <v>35</v>
      </c>
      <c r="I1961" s="13" t="str">
        <f aca="false">IF(C1961=J1961,"NEW KONTRAK","RE-KONTRAK")</f>
        <v>NEW KONTRAK</v>
      </c>
      <c r="J1961" s="16" t="n">
        <f aca="false" t="array" ref="J1961:J1961">IFERROR(INDEX(AC1961:AE1961,IF(COUNTA(AC1961:AE1961)=0,"",MAX((AC1961:AE1961&lt;&gt;"")*(COLUMN(AC1961:AE1961)-(COLUMN(AC1961)))))-1),"")</f>
        <v>45714</v>
      </c>
      <c r="K1961" s="16" t="n">
        <f aca="false" t="array" ref="K1961:K1961">IFERROR(INDEX(AC1961:AE1961,IF(COUNTA(AC1961:AE1961)=0,"",MAX((AC1961:AE1961&lt;&gt;"")*(COLUMN(AC1961:AE1961)-(COLUMN(AC1961)-1))))-1),"")</f>
        <v>46078</v>
      </c>
      <c r="L1961" s="17" t="str">
        <f aca="false" t="array" ref="L1961:L1961">IFERROR(INDEX(AC1961:AE1961,IF(COUNTA(AC1961:AE1961)=0,"",MAX((AC1961:AE1961&lt;&gt;"")*(COLUMN(AC1961:AE1961)-(COLUMN(AC1961)-2))))-1),"")</f>
        <v>ARCHIVED</v>
      </c>
      <c r="M1961" s="13" t="n">
        <f aca="true">K1961-TODAY()</f>
        <v>-246</v>
      </c>
      <c r="N1961" s="18" t="s">
        <v>105</v>
      </c>
      <c r="O1961" s="13" t="s">
        <v>8482</v>
      </c>
      <c r="P1961" s="19" t="n">
        <v>3045000</v>
      </c>
      <c r="Q1961" s="20" t="s">
        <v>8483</v>
      </c>
      <c r="R1961" s="13" t="s">
        <v>39</v>
      </c>
      <c r="S1961" s="16" t="n">
        <v>35126</v>
      </c>
      <c r="T1961" s="13" t="s">
        <v>40</v>
      </c>
      <c r="U1961" s="13" t="s">
        <v>7240</v>
      </c>
      <c r="V1961" s="13" t="s">
        <v>42</v>
      </c>
      <c r="W1961" s="13" t="s">
        <v>43</v>
      </c>
      <c r="X1961" s="21" t="n">
        <v>85855754751</v>
      </c>
      <c r="Y1961" s="22" t="str">
        <f aca="false">O1961</f>
        <v>Admin Staff</v>
      </c>
      <c r="Z1961" s="13" t="str">
        <f aca="false">IFERROR(__xludf.dummyfunction("if(BJ1961="""","""",GOOGLETRANSLATE(BJ1961,""auto"",""en""))"),"Admin Staff")</f>
        <v>Admin Staff</v>
      </c>
      <c r="AA1961" s="23" t="str">
        <f aca="false">IF(C1961="","", CHOOSE(MONTH(C1961),"January","February","March","April","May","June","July","August","September","October","November","December")&amp;" "&amp;DAY(C1961)&amp;MID("thstndrdth",MIN(9,2*RIGHT(DAY(C1961))*(MOD(DAY(C1961)-11,100)&gt;2)+1),2)&amp;","&amp;TEXT(C1961," yyyy"))</f>
        <v>February 26th,2025</v>
      </c>
      <c r="AB1961" s="15" t="str">
        <f aca="true">IF(S1961="","",DATEDIF(S1961,TODAY(),"Y")&amp;" Tahun, "&amp;DATEDIF(S1961,TODAY(),"YM")&amp;" Bulan, "&amp;DATEDIF(S1961,TODAY(),"MD")&amp;" Hari")</f>
        <v>30 Tahun, 7 Bulan, 27 Hari</v>
      </c>
      <c r="AC1961" s="18" t="n">
        <v>45714</v>
      </c>
      <c r="AD1961" s="18" t="n">
        <v>46078</v>
      </c>
      <c r="AE1961" s="18" t="s">
        <v>44</v>
      </c>
    </row>
    <row r="1962" customFormat="false" ht="15" hidden="false" customHeight="true" outlineLevel="0" collapsed="false">
      <c r="A1962" s="12" t="n">
        <v>18894</v>
      </c>
      <c r="B1962" s="13" t="s">
        <v>8484</v>
      </c>
      <c r="C1962" s="16" t="n">
        <v>45714</v>
      </c>
      <c r="D1962" s="13" t="s">
        <v>5892</v>
      </c>
      <c r="E1962" s="15" t="s">
        <v>102</v>
      </c>
      <c r="F1962" s="15" t="str">
        <f aca="false">IFERROR(__xludf.dummyfunction("XLOOKUP(AJ1962,IMPORTRANGE(""1XaInW9DU9nz21V0tYIfzFQ0He9kVQ_JF2mCXgZ3hqFA"",""REKAP ALL 2026 - Andika!G:G""),IMPORTRANGE(""1XaInW9DU9nz21V0tYIfzFQ0He9kVQ_JF2mCXgZ3hqFA"",""REKAP ALL 2026 - Andika!F:F""),"""",0)"),"25036498688")</f>
        <v>25036498688</v>
      </c>
      <c r="G1962" s="13" t="s">
        <v>8485</v>
      </c>
      <c r="H1962" s="13" t="s">
        <v>35</v>
      </c>
      <c r="I1962" s="13" t="str">
        <f aca="false">IF(C1962=J1962,"NEW KONTRAK","RE-KONTRAK")</f>
        <v>NEW KONTRAK</v>
      </c>
      <c r="J1962" s="16" t="n">
        <f aca="false" t="array" ref="J1962:J1962">IFERROR(INDEX(AC1962:AE1962,IF(COUNTA(AC1962:AE1962)=0,"",MAX((AC1962:AE1962&lt;&gt;"")*(COLUMN(AC1962:AE1962)-(COLUMN(AC1962)))))-1),"")</f>
        <v>45714</v>
      </c>
      <c r="K1962" s="16" t="n">
        <f aca="false" t="array" ref="K1962:K1962">IFERROR(INDEX(AC1962:AE1962,IF(COUNTA(AC1962:AE1962)=0,"",MAX((AC1962:AE1962&lt;&gt;"")*(COLUMN(AC1962:AE1962)-(COLUMN(AC1962)-1))))-1),"")</f>
        <v>46078</v>
      </c>
      <c r="L1962" s="17" t="str">
        <f aca="false" t="array" ref="L1962:L1962">IFERROR(INDEX(AC1962:AE1962,IF(COUNTA(AC1962:AE1962)=0,"",MAX((AC1962:AE1962&lt;&gt;"")*(COLUMN(AC1962:AE1962)-(COLUMN(AC1962)-2))))-1),"")</f>
        <v>ARCHIVED</v>
      </c>
      <c r="M1962" s="13" t="n">
        <f aca="true">K1962-TODAY()</f>
        <v>-246</v>
      </c>
      <c r="N1962" s="18" t="s">
        <v>105</v>
      </c>
      <c r="O1962" s="13" t="s">
        <v>5894</v>
      </c>
      <c r="P1962" s="19" t="n">
        <v>4200000</v>
      </c>
      <c r="Q1962" s="20" t="s">
        <v>8486</v>
      </c>
      <c r="R1962" s="13" t="s">
        <v>39</v>
      </c>
      <c r="S1962" s="16" t="n">
        <v>35571</v>
      </c>
      <c r="T1962" s="13" t="s">
        <v>40</v>
      </c>
      <c r="U1962" s="13" t="s">
        <v>8487</v>
      </c>
      <c r="V1962" s="13" t="s">
        <v>42</v>
      </c>
      <c r="W1962" s="13" t="s">
        <v>43</v>
      </c>
      <c r="X1962" s="21" t="n">
        <v>82132627818</v>
      </c>
      <c r="Y1962" s="22" t="str">
        <f aca="false">O1962</f>
        <v>Checker</v>
      </c>
      <c r="Z1962" s="13" t="str">
        <f aca="false">IFERROR(__xludf.dummyfunction("if(BJ1962="""","""",GOOGLETRANSLATE(BJ1962,""auto"",""en""))"),"Checker")</f>
        <v>Checker</v>
      </c>
      <c r="AA1962" s="23" t="str">
        <f aca="false">IF(C1962="","", CHOOSE(MONTH(C1962),"January","February","March","April","May","June","July","August","September","October","November","December")&amp;" "&amp;DAY(C1962)&amp;MID("thstndrdth",MIN(9,2*RIGHT(DAY(C1962))*(MOD(DAY(C1962)-11,100)&gt;2)+1),2)&amp;","&amp;TEXT(C1962," yyyy"))</f>
        <v>February 26th,2025</v>
      </c>
      <c r="AB1962" s="15" t="str">
        <f aca="true">IF(S1962="","",DATEDIF(S1962,TODAY(),"Y")&amp;" Tahun, "&amp;DATEDIF(S1962,TODAY(),"YM")&amp;" Bulan, "&amp;DATEDIF(S1962,TODAY(),"MD")&amp;" Hari")</f>
        <v>29 Tahun, 5 Bulan, 8 Hari</v>
      </c>
      <c r="AC1962" s="18" t="n">
        <v>45714</v>
      </c>
      <c r="AD1962" s="18" t="n">
        <v>46078</v>
      </c>
      <c r="AE1962" s="18" t="s">
        <v>44</v>
      </c>
    </row>
    <row r="1963" customFormat="false" ht="15" hidden="false" customHeight="true" outlineLevel="0" collapsed="false">
      <c r="A1963" s="12" t="n">
        <v>18895</v>
      </c>
      <c r="B1963" s="13" t="s">
        <v>8488</v>
      </c>
      <c r="C1963" s="16" t="n">
        <v>45714</v>
      </c>
      <c r="D1963" s="13" t="s">
        <v>5892</v>
      </c>
      <c r="E1963" s="15" t="s">
        <v>47</v>
      </c>
      <c r="F1963" s="15" t="str">
        <f aca="false">IFERROR(__xludf.dummyfunction("XLOOKUP(AJ1963,IMPORTRANGE(""1XaInW9DU9nz21V0tYIfzFQ0He9kVQ_JF2mCXgZ3hqFA"",""REKAP ALL 2026 - Andika!G:G""),IMPORTRANGE(""1XaInW9DU9nz21V0tYIfzFQ0He9kVQ_JF2mCXgZ3hqFA"",""REKAP ALL 2026 - Andika!F:F""),"""",0)"),"25036498696")</f>
        <v>25036498696</v>
      </c>
      <c r="G1963" s="13" t="s">
        <v>8489</v>
      </c>
      <c r="H1963" s="13" t="s">
        <v>35</v>
      </c>
      <c r="I1963" s="13" t="str">
        <f aca="false">IF(C1963=J1963,"NEW KONTRAK","RE-KONTRAK")</f>
        <v>NEW KONTRAK</v>
      </c>
      <c r="J1963" s="16" t="n">
        <f aca="false" t="array" ref="J1963:J1963">IFERROR(INDEX(AC1963:AE1963,IF(COUNTA(AC1963:AE1963)=0,"",MAX((AC1963:AE1963&lt;&gt;"")*(COLUMN(AC1963:AE1963)-(COLUMN(AC1963)))))-1),"")</f>
        <v>45714</v>
      </c>
      <c r="K1963" s="16" t="n">
        <f aca="false" t="array" ref="K1963:K1963">IFERROR(INDEX(AC1963:AE1963,IF(COUNTA(AC1963:AE1963)=0,"",MAX((AC1963:AE1963&lt;&gt;"")*(COLUMN(AC1963:AE1963)-(COLUMN(AC1963)-1))))-1),"")</f>
        <v>46078</v>
      </c>
      <c r="L1963" s="17" t="str">
        <f aca="false" t="array" ref="L1963:L1963">IFERROR(INDEX(AC1963:AE1963,IF(COUNTA(AC1963:AE1963)=0,"",MAX((AC1963:AE1963&lt;&gt;"")*(COLUMN(AC1963:AE1963)-(COLUMN(AC1963)-2))))-1),"")</f>
        <v>ARCHIVED</v>
      </c>
      <c r="M1963" s="13" t="n">
        <f aca="true">K1963-TODAY()</f>
        <v>-246</v>
      </c>
      <c r="N1963" s="18" t="s">
        <v>105</v>
      </c>
      <c r="O1963" s="13" t="s">
        <v>5899</v>
      </c>
      <c r="P1963" s="19" t="n">
        <v>4140000</v>
      </c>
      <c r="Q1963" s="20" t="s">
        <v>8490</v>
      </c>
      <c r="R1963" s="13" t="s">
        <v>65</v>
      </c>
      <c r="S1963" s="16" t="n">
        <v>34180</v>
      </c>
      <c r="T1963" s="13" t="s">
        <v>40</v>
      </c>
      <c r="U1963" s="13" t="s">
        <v>8491</v>
      </c>
      <c r="V1963" s="13" t="s">
        <v>42</v>
      </c>
      <c r="W1963" s="13" t="s">
        <v>54</v>
      </c>
      <c r="X1963" s="21" t="n">
        <v>81239929413</v>
      </c>
      <c r="Y1963" s="22" t="str">
        <f aca="false">O1963</f>
        <v>PLC</v>
      </c>
      <c r="Z1963" s="13" t="str">
        <f aca="false">IFERROR(__xludf.dummyfunction("if(BJ1963="""","""",GOOGLETRANSLATE(BJ1963,""auto"",""en""))"),"PLC")</f>
        <v>PLC</v>
      </c>
      <c r="AA1963" s="23" t="str">
        <f aca="false">IF(C1963="","", CHOOSE(MONTH(C1963),"January","February","March","April","May","June","July","August","September","October","November","December")&amp;" "&amp;DAY(C1963)&amp;MID("thstndrdth",MIN(9,2*RIGHT(DAY(C1963))*(MOD(DAY(C1963)-11,100)&gt;2)+1),2)&amp;","&amp;TEXT(C1963," yyyy"))</f>
        <v>February 26th,2025</v>
      </c>
      <c r="AB1963" s="15" t="str">
        <f aca="true">IF(S1963="","",DATEDIF(S1963,TODAY(),"Y")&amp;" Tahun, "&amp;DATEDIF(S1963,TODAY(),"YM")&amp;" Bulan, "&amp;DATEDIF(S1963,TODAY(),"MD")&amp;" Hari")</f>
        <v>33 Tahun, 2 Bulan, 29 Hari</v>
      </c>
      <c r="AC1963" s="18" t="n">
        <v>45714</v>
      </c>
      <c r="AD1963" s="18" t="n">
        <v>46078</v>
      </c>
      <c r="AE1963" s="18" t="s">
        <v>44</v>
      </c>
    </row>
    <row r="1964" customFormat="false" ht="15" hidden="false" customHeight="true" outlineLevel="0" collapsed="false">
      <c r="A1964" s="12" t="n">
        <v>18897</v>
      </c>
      <c r="B1964" s="13" t="s">
        <v>8492</v>
      </c>
      <c r="C1964" s="16" t="n">
        <v>45714</v>
      </c>
      <c r="D1964" s="13" t="s">
        <v>5892</v>
      </c>
      <c r="E1964" s="15" t="s">
        <v>47</v>
      </c>
      <c r="F1964" s="15" t="str">
        <f aca="false">IFERROR(__xludf.dummyfunction("XLOOKUP(AJ1964,IMPORTRANGE(""1XaInW9DU9nz21V0tYIfzFQ0He9kVQ_JF2mCXgZ3hqFA"",""REKAP ALL 2026 - Andika!G:G""),IMPORTRANGE(""1XaInW9DU9nz21V0tYIfzFQ0He9kVQ_JF2mCXgZ3hqFA"",""REKAP ALL 2026 - Andika!F:F""),"""",0)"),"25036498712")</f>
        <v>25036498712</v>
      </c>
      <c r="G1964" s="13" t="s">
        <v>8493</v>
      </c>
      <c r="H1964" s="13" t="s">
        <v>35</v>
      </c>
      <c r="I1964" s="13" t="str">
        <f aca="false">IF(C1964=J1964,"NEW KONTRAK","RE-KONTRAK")</f>
        <v>NEW KONTRAK</v>
      </c>
      <c r="J1964" s="16" t="n">
        <f aca="false" t="array" ref="J1964:J1964">IFERROR(INDEX(AC1964:AE1964,IF(COUNTA(AC1964:AE1964)=0,"",MAX((AC1964:AE1964&lt;&gt;"")*(COLUMN(AC1964:AE1964)-(COLUMN(AC1964)))))-1),"")</f>
        <v>45714</v>
      </c>
      <c r="K1964" s="16" t="n">
        <f aca="false" t="array" ref="K1964:K1964">IFERROR(INDEX(AC1964:AE1964,IF(COUNTA(AC1964:AE1964)=0,"",MAX((AC1964:AE1964&lt;&gt;"")*(COLUMN(AC1964:AE1964)-(COLUMN(AC1964)-1))))-1),"")</f>
        <v>46078</v>
      </c>
      <c r="L1964" s="17" t="str">
        <f aca="false" t="array" ref="L1964:L1964">IFERROR(INDEX(AC1964:AE1964,IF(COUNTA(AC1964:AE1964)=0,"",MAX((AC1964:AE1964&lt;&gt;"")*(COLUMN(AC1964:AE1964)-(COLUMN(AC1964)-2))))-1),"")</f>
        <v>ARCHIVED</v>
      </c>
      <c r="M1964" s="13" t="n">
        <f aca="true">K1964-TODAY()</f>
        <v>-246</v>
      </c>
      <c r="N1964" s="18" t="s">
        <v>105</v>
      </c>
      <c r="O1964" s="13" t="s">
        <v>8482</v>
      </c>
      <c r="P1964" s="19" t="n">
        <v>3000000</v>
      </c>
      <c r="Q1964" s="20" t="s">
        <v>8494</v>
      </c>
      <c r="R1964" s="13" t="s">
        <v>39</v>
      </c>
      <c r="S1964" s="16" t="n">
        <v>35386</v>
      </c>
      <c r="T1964" s="13" t="s">
        <v>40</v>
      </c>
      <c r="U1964" s="13" t="s">
        <v>8495</v>
      </c>
      <c r="V1964" s="13" t="s">
        <v>42</v>
      </c>
      <c r="W1964" s="13" t="s">
        <v>43</v>
      </c>
      <c r="X1964" s="21" t="n">
        <v>8989977188</v>
      </c>
      <c r="Y1964" s="22" t="str">
        <f aca="false">O1964</f>
        <v>Admin Staff</v>
      </c>
      <c r="Z1964" s="13" t="str">
        <f aca="false">IFERROR(__xludf.dummyfunction("if(BJ1964="""","""",GOOGLETRANSLATE(BJ1964,""auto"",""en""))"),"Admin Staff")</f>
        <v>Admin Staff</v>
      </c>
      <c r="AA1964" s="23" t="str">
        <f aca="false">IF(C1964="","", CHOOSE(MONTH(C1964),"January","February","March","April","May","June","July","August","September","October","November","December")&amp;" "&amp;DAY(C1964)&amp;MID("thstndrdth",MIN(9,2*RIGHT(DAY(C1964))*(MOD(DAY(C1964)-11,100)&gt;2)+1),2)&amp;","&amp;TEXT(C1964," yyyy"))</f>
        <v>February 26th,2025</v>
      </c>
      <c r="AB1964" s="15" t="str">
        <f aca="true">IF(S1964="","",DATEDIF(S1964,TODAY(),"Y")&amp;" Tahun, "&amp;DATEDIF(S1964,TODAY(),"YM")&amp;" Bulan, "&amp;DATEDIF(S1964,TODAY(),"MD")&amp;" Hari")</f>
        <v>29 Tahun, 11 Bulan, 12 Hari</v>
      </c>
      <c r="AC1964" s="18" t="n">
        <v>45714</v>
      </c>
      <c r="AD1964" s="18" t="n">
        <v>46078</v>
      </c>
      <c r="AE1964" s="18" t="s">
        <v>44</v>
      </c>
    </row>
    <row r="1965" customFormat="false" ht="15" hidden="false" customHeight="true" outlineLevel="0" collapsed="false">
      <c r="A1965" s="12" t="n">
        <v>18903</v>
      </c>
      <c r="B1965" s="13" t="s">
        <v>8496</v>
      </c>
      <c r="C1965" s="16" t="n">
        <v>45729</v>
      </c>
      <c r="D1965" s="13" t="s">
        <v>144</v>
      </c>
      <c r="E1965" s="15" t="s">
        <v>47</v>
      </c>
      <c r="F1965" s="15" t="str">
        <f aca="false">IFERROR(__xludf.dummyfunction("XLOOKUP(AJ1965,IMPORTRANGE(""1XaInW9DU9nz21V0tYIfzFQ0He9kVQ_JF2mCXgZ3hqFA"",""REKAP ALL 2026 - Andika!G:G""),IMPORTRANGE(""1XaInW9DU9nz21V0tYIfzFQ0He9kVQ_JF2mCXgZ3hqFA"",""REKAP ALL 2026 - Andika!F:F""),"""",0)"),"25036498209")</f>
        <v>25036498209</v>
      </c>
      <c r="G1965" s="13" t="s">
        <v>8497</v>
      </c>
      <c r="H1965" s="13" t="s">
        <v>35</v>
      </c>
      <c r="I1965" s="13" t="str">
        <f aca="false">IF(C1965=J1965,"NEW KONTRAK","RE-KONTRAK")</f>
        <v>NEW KONTRAK</v>
      </c>
      <c r="J1965" s="16" t="n">
        <f aca="false" t="array" ref="J1965:J1965">IFERROR(INDEX(AC1965:AE1965,IF(COUNTA(AC1965:AE1965)=0,"",MAX((AC1965:AE1965&lt;&gt;"")*(COLUMN(AC1965:AE1965)-(COLUMN(AC1965)))))-1),"")</f>
        <v>45729</v>
      </c>
      <c r="K1965" s="16" t="n">
        <f aca="false" t="array" ref="K1965:K1965">IFERROR(INDEX(AC1965:AE1965,IF(COUNTA(AC1965:AE1965)=0,"",MAX((AC1965:AE1965&lt;&gt;"")*(COLUMN(AC1965:AE1965)-(COLUMN(AC1965)-1))))-1),"")</f>
        <v>46022</v>
      </c>
      <c r="L1965" s="17" t="str">
        <f aca="false" t="array" ref="L1965:L1965">IFERROR(INDEX(AC1965:AE1965,IF(COUNTA(AC1965:AE1965)=0,"",MAX((AC1965:AE1965&lt;&gt;"")*(COLUMN(AC1965:AE1965)-(COLUMN(AC1965)-2))))-1),"")</f>
        <v>ARCHIVED</v>
      </c>
      <c r="M1965" s="13" t="n">
        <f aca="true">K1965-TODAY()</f>
        <v>-302</v>
      </c>
      <c r="N1965" s="18" t="s">
        <v>36</v>
      </c>
      <c r="O1965" s="13" t="s">
        <v>6606</v>
      </c>
      <c r="P1965" s="19" t="n">
        <v>5195401</v>
      </c>
      <c r="Q1965" s="20" t="s">
        <v>8498</v>
      </c>
      <c r="R1965" s="13" t="s">
        <v>39</v>
      </c>
      <c r="S1965" s="16" t="n">
        <v>36178</v>
      </c>
      <c r="T1965" s="13" t="s">
        <v>40</v>
      </c>
      <c r="U1965" s="13" t="s">
        <v>8499</v>
      </c>
      <c r="V1965" s="13" t="s">
        <v>42</v>
      </c>
      <c r="W1965" s="13" t="s">
        <v>43</v>
      </c>
      <c r="X1965" s="21" t="n">
        <v>82140047522</v>
      </c>
      <c r="Y1965" s="22" t="str">
        <f aca="false">O1965</f>
        <v>Picker</v>
      </c>
      <c r="Z1965" s="13" t="str">
        <f aca="false">IFERROR(__xludf.dummyfunction("if(BJ1965="""","""",GOOGLETRANSLATE(BJ1965,""auto"",""en""))"),"Picker")</f>
        <v>Picker</v>
      </c>
      <c r="AA1965" s="23" t="str">
        <f aca="false">IF(C1965="","", CHOOSE(MONTH(C1965),"January","February","March","April","May","June","July","August","September","October","November","December")&amp;" "&amp;DAY(C1965)&amp;MID("thstndrdth",MIN(9,2*RIGHT(DAY(C1965))*(MOD(DAY(C1965)-11,100)&gt;2)+1),2)&amp;","&amp;TEXT(C1965," yyyy"))</f>
        <v>March 13th,2025</v>
      </c>
      <c r="AB1965" s="15" t="str">
        <f aca="true">IF(S1965="","",DATEDIF(S1965,TODAY(),"Y")&amp;" Tahun, "&amp;DATEDIF(S1965,TODAY(),"YM")&amp;" Bulan, "&amp;DATEDIF(S1965,TODAY(),"MD")&amp;" Hari")</f>
        <v>27 Tahun, 9 Bulan, 11 Hari</v>
      </c>
      <c r="AC1965" s="18" t="n">
        <v>45729</v>
      </c>
      <c r="AD1965" s="18" t="n">
        <v>46022</v>
      </c>
      <c r="AE1965" s="18" t="s">
        <v>44</v>
      </c>
    </row>
    <row r="1966" customFormat="false" ht="15" hidden="false" customHeight="true" outlineLevel="0" collapsed="false">
      <c r="A1966" s="12" t="n">
        <v>18904</v>
      </c>
      <c r="B1966" s="13" t="s">
        <v>8500</v>
      </c>
      <c r="C1966" s="16" t="n">
        <v>45729</v>
      </c>
      <c r="D1966" s="13" t="s">
        <v>144</v>
      </c>
      <c r="E1966" s="15" t="s">
        <v>47</v>
      </c>
      <c r="F1966" s="15" t="str">
        <f aca="false">IFERROR(__xludf.dummyfunction("XLOOKUP(AJ1966,IMPORTRANGE(""1XaInW9DU9nz21V0tYIfzFQ0He9kVQ_JF2mCXgZ3hqFA"",""REKAP ALL 2026 - Andika!G:G""),IMPORTRANGE(""1XaInW9DU9nz21V0tYIfzFQ0He9kVQ_JF2mCXgZ3hqFA"",""REKAP ALL 2026 - Andika!F:F""),"""",0)"),"25036498217")</f>
        <v>25036498217</v>
      </c>
      <c r="G1966" s="13" t="s">
        <v>8501</v>
      </c>
      <c r="H1966" s="13" t="s">
        <v>35</v>
      </c>
      <c r="I1966" s="13" t="str">
        <f aca="false">IF(C1966=J1966,"NEW KONTRAK","RE-KONTRAK")</f>
        <v>NEW KONTRAK</v>
      </c>
      <c r="J1966" s="16" t="n">
        <f aca="false" t="array" ref="J1966:J1966">IFERROR(INDEX(AC1966:AE1966,IF(COUNTA(AC1966:AE1966)=0,"",MAX((AC1966:AE1966&lt;&gt;"")*(COLUMN(AC1966:AE1966)-(COLUMN(AC1966)))))-1),"")</f>
        <v>45729</v>
      </c>
      <c r="K1966" s="16" t="n">
        <f aca="false" t="array" ref="K1966:K1966">IFERROR(INDEX(AC1966:AE1966,IF(COUNTA(AC1966:AE1966)=0,"",MAX((AC1966:AE1966&lt;&gt;"")*(COLUMN(AC1966:AE1966)-(COLUMN(AC1966)-1))))-1),"")</f>
        <v>46022</v>
      </c>
      <c r="L1966" s="17" t="str">
        <f aca="false" t="array" ref="L1966:L1966">IFERROR(INDEX(AC1966:AE1966,IF(COUNTA(AC1966:AE1966)=0,"",MAX((AC1966:AE1966&lt;&gt;"")*(COLUMN(AC1966:AE1966)-(COLUMN(AC1966)-2))))-1),"")</f>
        <v>ARCHIVED</v>
      </c>
      <c r="M1966" s="13" t="n">
        <f aca="true">K1966-TODAY()</f>
        <v>-302</v>
      </c>
      <c r="N1966" s="18" t="s">
        <v>36</v>
      </c>
      <c r="O1966" s="13" t="s">
        <v>6606</v>
      </c>
      <c r="P1966" s="19" t="n">
        <v>5195401</v>
      </c>
      <c r="Q1966" s="20" t="s">
        <v>8502</v>
      </c>
      <c r="R1966" s="13" t="s">
        <v>52</v>
      </c>
      <c r="S1966" s="16" t="n">
        <v>35967</v>
      </c>
      <c r="T1966" s="13" t="s">
        <v>40</v>
      </c>
      <c r="U1966" s="13" t="s">
        <v>8503</v>
      </c>
      <c r="V1966" s="13" t="s">
        <v>42</v>
      </c>
      <c r="W1966" s="13" t="s">
        <v>43</v>
      </c>
      <c r="X1966" s="21" t="n">
        <v>895423460088</v>
      </c>
      <c r="Y1966" s="22" t="str">
        <f aca="false">O1966</f>
        <v>Picker</v>
      </c>
      <c r="Z1966" s="13" t="str">
        <f aca="false">IFERROR(__xludf.dummyfunction("if(BJ1966="""","""",GOOGLETRANSLATE(BJ1966,""auto"",""en""))"),"Picker")</f>
        <v>Picker</v>
      </c>
      <c r="AA1966" s="23" t="str">
        <f aca="false">IF(C1966="","", CHOOSE(MONTH(C1966),"January","February","March","April","May","June","July","August","September","October","November","December")&amp;" "&amp;DAY(C1966)&amp;MID("thstndrdth",MIN(9,2*RIGHT(DAY(C1966))*(MOD(DAY(C1966)-11,100)&gt;2)+1),2)&amp;","&amp;TEXT(C1966," yyyy"))</f>
        <v>March 13th,2025</v>
      </c>
      <c r="AB1966" s="15" t="str">
        <f aca="true">IF(S1966="","",DATEDIF(S1966,TODAY(),"Y")&amp;" Tahun, "&amp;DATEDIF(S1966,TODAY(),"YM")&amp;" Bulan, "&amp;DATEDIF(S1966,TODAY(),"MD")&amp;" Hari")</f>
        <v>28 Tahun, 4 Bulan, 8 Hari</v>
      </c>
      <c r="AC1966" s="18" t="n">
        <v>45729</v>
      </c>
      <c r="AD1966" s="18" t="n">
        <v>46022</v>
      </c>
      <c r="AE1966" s="18" t="s">
        <v>44</v>
      </c>
    </row>
    <row r="1967" customFormat="false" ht="15" hidden="false" customHeight="true" outlineLevel="0" collapsed="false">
      <c r="A1967" s="12" t="n">
        <v>18932</v>
      </c>
      <c r="B1967" s="13" t="s">
        <v>8504</v>
      </c>
      <c r="C1967" s="16" t="n">
        <v>45717</v>
      </c>
      <c r="D1967" s="13" t="s">
        <v>3838</v>
      </c>
      <c r="E1967" s="15" t="s">
        <v>8505</v>
      </c>
      <c r="F1967" s="15" t="str">
        <f aca="false">IFERROR(__xludf.dummyfunction("XLOOKUP(AJ1967,IMPORTRANGE(""1XaInW9DU9nz21V0tYIfzFQ0He9kVQ_JF2mCXgZ3hqFA"",""REKAP ALL 2026 - Andika!G:G""),IMPORTRANGE(""1XaInW9DU9nz21V0tYIfzFQ0He9kVQ_JF2mCXgZ3hqFA"",""REKAP ALL 2026 - Andika!F:F""),"""",0)"),"25036498225")</f>
        <v>25036498225</v>
      </c>
      <c r="G1967" s="13" t="s">
        <v>8506</v>
      </c>
      <c r="H1967" s="13" t="s">
        <v>35</v>
      </c>
      <c r="I1967" s="13" t="str">
        <f aca="false">IF(C1967=J1967,"NEW KONTRAK","RE-KONTRAK")</f>
        <v>NEW KONTRAK</v>
      </c>
      <c r="J1967" s="16" t="n">
        <f aca="false" t="array" ref="J1967:J1967">IFERROR(INDEX(AC1967:AE1967,IF(COUNTA(AC1967:AE1967)=0,"",MAX((AC1967:AE1967&lt;&gt;"")*(COLUMN(AC1967:AE1967)-(COLUMN(AC1967)))))-1),"")</f>
        <v>45717</v>
      </c>
      <c r="K1967" s="16" t="n">
        <f aca="false" t="array" ref="K1967:K1967">IFERROR(INDEX(AC1967:AE1967,IF(COUNTA(AC1967:AE1967)=0,"",MAX((AC1967:AE1967&lt;&gt;"")*(COLUMN(AC1967:AE1967)-(COLUMN(AC1967)-1))))-1),"")</f>
        <v>46022</v>
      </c>
      <c r="L1967" s="17" t="str">
        <f aca="false" t="array" ref="L1967:L1967">IFERROR(INDEX(AC1967:AE1967,IF(COUNTA(AC1967:AE1967)=0,"",MAX((AC1967:AE1967&lt;&gt;"")*(COLUMN(AC1967:AE1967)-(COLUMN(AC1967)-2))))-1),"")</f>
        <v>ARCHIVED</v>
      </c>
      <c r="M1967" s="13" t="n">
        <f aca="true">K1967-TODAY()</f>
        <v>-302</v>
      </c>
      <c r="N1967" s="18" t="s">
        <v>749</v>
      </c>
      <c r="O1967" s="13" t="s">
        <v>3577</v>
      </c>
      <c r="P1967" s="19" t="n">
        <v>3983882</v>
      </c>
      <c r="Q1967" s="20" t="s">
        <v>8507</v>
      </c>
      <c r="R1967" s="13" t="s">
        <v>8508</v>
      </c>
      <c r="S1967" s="16" t="n">
        <v>37863</v>
      </c>
      <c r="T1967" s="28" t="s">
        <v>40</v>
      </c>
      <c r="U1967" s="13" t="s">
        <v>8509</v>
      </c>
      <c r="V1967" s="13" t="s">
        <v>42</v>
      </c>
      <c r="W1967" s="13" t="s">
        <v>43</v>
      </c>
      <c r="X1967" s="21" t="n">
        <v>83844036723</v>
      </c>
      <c r="Y1967" s="22" t="str">
        <f aca="false">O1967</f>
        <v>Kerani Gudang</v>
      </c>
      <c r="Z1967" s="13" t="str">
        <f aca="false">IFERROR(__xludf.dummyfunction("if(BJ1967="""","""",GOOGLETRANSLATE(BJ1967,""auto"",""en""))"),"Warehouse Clerk")</f>
        <v>Warehouse Clerk</v>
      </c>
      <c r="AA1967" s="23" t="str">
        <f aca="false">IF(C1967="","", CHOOSE(MONTH(C1967),"January","February","March","April","May","June","July","August","September","October","November","December")&amp;" "&amp;DAY(C1967)&amp;MID("thstndrdth",MIN(9,2*RIGHT(DAY(C1967))*(MOD(DAY(C1967)-11,100)&gt;2)+1),2)&amp;","&amp;TEXT(C1967," yyyy"))</f>
        <v>March 1st,2025</v>
      </c>
      <c r="AB1967" s="15" t="str">
        <f aca="true">IF(S1967="","",DATEDIF(S1967,TODAY(),"Y")&amp;" Tahun, "&amp;DATEDIF(S1967,TODAY(),"YM")&amp;" Bulan, "&amp;DATEDIF(S1967,TODAY(),"MD")&amp;" Hari")</f>
        <v>23 Tahun, 1 Bulan, 29 Hari</v>
      </c>
      <c r="AC1967" s="18" t="n">
        <v>45717</v>
      </c>
      <c r="AD1967" s="18" t="n">
        <v>46022</v>
      </c>
      <c r="AE1967" s="18" t="s">
        <v>44</v>
      </c>
    </row>
    <row r="1968" customFormat="false" ht="15" hidden="false" customHeight="true" outlineLevel="0" collapsed="false">
      <c r="A1968" s="12" t="n">
        <v>18934</v>
      </c>
      <c r="B1968" s="13" t="s">
        <v>8510</v>
      </c>
      <c r="C1968" s="16" t="n">
        <v>45733</v>
      </c>
      <c r="D1968" s="13" t="s">
        <v>1338</v>
      </c>
      <c r="E1968" s="15" t="s">
        <v>33</v>
      </c>
      <c r="F1968" s="24" t="s">
        <v>8511</v>
      </c>
      <c r="G1968" s="15" t="s">
        <v>57</v>
      </c>
      <c r="H1968" s="13" t="s">
        <v>2334</v>
      </c>
      <c r="I1968" s="13" t="str">
        <f aca="false">IF(C1968=J1968,"NEW KONTRAK","RE-KONTRAK")</f>
        <v>RE-KONTRAK</v>
      </c>
      <c r="J1968" s="16" t="n">
        <f aca="false" t="array" ref="J1968:J1968">IFERROR(INDEX(AC1968:AE1968,IF(COUNTA(AC1968:AE1968)=0,"",MAX((AC1968:AE1968&lt;&gt;"")*(COLUMN(AC1968:AE1968)-(COLUMN(AC1968)))))-1),"")</f>
        <v>45825</v>
      </c>
      <c r="K1968" s="16" t="n">
        <f aca="false" t="array" ref="K1968:K1968">IFERROR(INDEX(AC1968:AE1968,IF(COUNTA(AC1968:AE1968)=0,"",MAX((AC1968:AE1968&lt;&gt;"")*(COLUMN(AC1968:AE1968)-(COLUMN(AC1968)-1))))-1),"")</f>
        <v>45844</v>
      </c>
      <c r="L1968" s="17" t="str">
        <f aca="false" t="array" ref="L1968:L1968">IFERROR(INDEX(AC1968:AE1968,IF(COUNTA(AC1968:AE1968)=0,"",MAX((AC1968:AE1968&lt;&gt;"")*(COLUMN(AC1968:AE1968)-(COLUMN(AC1968)-2))))-1),"")</f>
        <v>ARCHIVED</v>
      </c>
      <c r="M1968" s="13" t="n">
        <f aca="true">K1968-TODAY()</f>
        <v>-480</v>
      </c>
      <c r="N1968" s="18" t="s">
        <v>615</v>
      </c>
      <c r="O1968" s="13" t="s">
        <v>2335</v>
      </c>
      <c r="P1968" s="19" t="n">
        <v>194241</v>
      </c>
      <c r="Q1968" s="20" t="s">
        <v>8512</v>
      </c>
      <c r="R1968" s="13" t="s">
        <v>39</v>
      </c>
      <c r="S1968" s="16" t="n">
        <v>33501</v>
      </c>
      <c r="T1968" s="28" t="s">
        <v>40</v>
      </c>
      <c r="U1968" s="13" t="s">
        <v>8513</v>
      </c>
      <c r="V1968" s="13" t="s">
        <v>42</v>
      </c>
      <c r="W1968" s="13" t="s">
        <v>54</v>
      </c>
      <c r="X1968" s="30" t="n">
        <v>85246706562</v>
      </c>
      <c r="Y1968" s="22" t="str">
        <f aca="false">O1968</f>
        <v>Project Management</v>
      </c>
      <c r="Z1968" s="13" t="str">
        <f aca="false">IFERROR(__xludf.dummyfunction("if(BJ1968="""","""",GOOGLETRANSLATE(BJ1968,""auto"",""en""))"),"Project Management")</f>
        <v>Project Management</v>
      </c>
      <c r="AA1968" s="23" t="str">
        <f aca="false">IF(C1968="","", CHOOSE(MONTH(C1968),"January","February","March","April","May","June","July","August","September","October","November","December")&amp;" "&amp;DAY(C1968)&amp;MID("thstndrdth",MIN(9,2*RIGHT(DAY(C1968))*(MOD(DAY(C1968)-11,100)&gt;2)+1),2)&amp;","&amp;TEXT(C1968," yyyy"))</f>
        <v>March 17th,2025</v>
      </c>
      <c r="AB1968" s="15" t="str">
        <f aca="true">IF(S1968="","",DATEDIF(S1968,TODAY(),"Y")&amp;" Tahun, "&amp;DATEDIF(S1968,TODAY(),"YM")&amp;" Bulan, "&amp;DATEDIF(S1968,TODAY(),"MD")&amp;" Hari")</f>
        <v>35 Tahun, 1 Bulan, 9 Hari</v>
      </c>
      <c r="AC1968" s="18" t="n">
        <v>45825</v>
      </c>
      <c r="AD1968" s="18" t="n">
        <v>45844</v>
      </c>
      <c r="AE1968" s="18" t="s">
        <v>44</v>
      </c>
    </row>
    <row r="1969" customFormat="false" ht="15" hidden="false" customHeight="true" outlineLevel="0" collapsed="false">
      <c r="A1969" s="12" t="n">
        <v>18937</v>
      </c>
      <c r="B1969" s="13" t="s">
        <v>8514</v>
      </c>
      <c r="C1969" s="16" t="n">
        <v>45733</v>
      </c>
      <c r="D1969" s="13" t="s">
        <v>1338</v>
      </c>
      <c r="E1969" s="15" t="s">
        <v>33</v>
      </c>
      <c r="F1969" s="24" t="s">
        <v>8515</v>
      </c>
      <c r="G1969" s="15" t="s">
        <v>57</v>
      </c>
      <c r="H1969" s="13" t="s">
        <v>2334</v>
      </c>
      <c r="I1969" s="13" t="str">
        <f aca="false">IF(C1969=J1969,"NEW KONTRAK","RE-KONTRAK")</f>
        <v>RE-KONTRAK</v>
      </c>
      <c r="J1969" s="16" t="n">
        <f aca="false" t="array" ref="J1969:J1969">IFERROR(INDEX(AC1969:AE1969,IF(COUNTA(AC1969:AE1969)=0,"",MAX((AC1969:AE1969&lt;&gt;"")*(COLUMN(AC1969:AE1969)-(COLUMN(AC1969)))))-1),"")</f>
        <v>45825</v>
      </c>
      <c r="K1969" s="16" t="n">
        <f aca="false" t="array" ref="K1969:K1969">IFERROR(INDEX(AC1969:AE1969,IF(COUNTA(AC1969:AE1969)=0,"",MAX((AC1969:AE1969&lt;&gt;"")*(COLUMN(AC1969:AE1969)-(COLUMN(AC1969)-1))))-1),"")</f>
        <v>45844</v>
      </c>
      <c r="L1969" s="17" t="str">
        <f aca="false" t="array" ref="L1969:L1969">IFERROR(INDEX(AC1969:AE1969,IF(COUNTA(AC1969:AE1969)=0,"",MAX((AC1969:AE1969&lt;&gt;"")*(COLUMN(AC1969:AE1969)-(COLUMN(AC1969)-2))))-1),"")</f>
        <v>ARCHIVED</v>
      </c>
      <c r="M1969" s="13" t="n">
        <f aca="true">K1969-TODAY()</f>
        <v>-480</v>
      </c>
      <c r="N1969" s="18" t="s">
        <v>615</v>
      </c>
      <c r="O1969" s="13" t="s">
        <v>2335</v>
      </c>
      <c r="P1969" s="19" t="n">
        <v>160000</v>
      </c>
      <c r="Q1969" s="20" t="s">
        <v>8516</v>
      </c>
      <c r="R1969" s="13" t="s">
        <v>232</v>
      </c>
      <c r="S1969" s="16" t="n">
        <v>25363</v>
      </c>
      <c r="T1969" s="28" t="s">
        <v>40</v>
      </c>
      <c r="U1969" s="13" t="s">
        <v>8517</v>
      </c>
      <c r="V1969" s="13" t="s">
        <v>42</v>
      </c>
      <c r="W1969" s="13" t="s">
        <v>54</v>
      </c>
      <c r="X1969" s="30" t="n">
        <v>89829806990</v>
      </c>
      <c r="Y1969" s="22" t="str">
        <f aca="false">O1969</f>
        <v>Project Management</v>
      </c>
      <c r="Z1969" s="13" t="str">
        <f aca="false">IFERROR(__xludf.dummyfunction("if(BJ1969="""","""",GOOGLETRANSLATE(BJ1969,""auto"",""en""))"),"Project Management")</f>
        <v>Project Management</v>
      </c>
      <c r="AA1969" s="23" t="str">
        <f aca="false">IF(C1969="","", CHOOSE(MONTH(C1969),"January","February","March","April","May","June","July","August","September","October","November","December")&amp;" "&amp;DAY(C1969)&amp;MID("thstndrdth",MIN(9,2*RIGHT(DAY(C1969))*(MOD(DAY(C1969)-11,100)&gt;2)+1),2)&amp;","&amp;TEXT(C1969," yyyy"))</f>
        <v>March 17th,2025</v>
      </c>
      <c r="AB1969" s="15" t="str">
        <f aca="true">IF(S1969="","",DATEDIF(S1969,TODAY(),"Y")&amp;" Tahun, "&amp;DATEDIF(S1969,TODAY(),"YM")&amp;" Bulan, "&amp;DATEDIF(S1969,TODAY(),"MD")&amp;" Hari")</f>
        <v>57 Tahun, 4 Bulan, 20 Hari</v>
      </c>
      <c r="AC1969" s="18" t="n">
        <v>45825</v>
      </c>
      <c r="AD1969" s="18" t="n">
        <v>45844</v>
      </c>
      <c r="AE1969" s="18" t="s">
        <v>44</v>
      </c>
    </row>
    <row r="1970" customFormat="false" ht="15" hidden="false" customHeight="true" outlineLevel="0" collapsed="false">
      <c r="A1970" s="12" t="n">
        <v>18939</v>
      </c>
      <c r="B1970" s="13" t="s">
        <v>8518</v>
      </c>
      <c r="C1970" s="16" t="n">
        <v>45736</v>
      </c>
      <c r="D1970" s="13" t="s">
        <v>32</v>
      </c>
      <c r="E1970" s="15" t="s">
        <v>47</v>
      </c>
      <c r="F1970" s="15" t="str">
        <f aca="false">IFERROR(__xludf.dummyfunction("XLOOKUP(AJ1970,IMPORTRANGE(""1XaInW9DU9nz21V0tYIfzFQ0He9kVQ_JF2mCXgZ3hqFA"",""REKAP ALL 2026 - Andika!G:G""),IMPORTRANGE(""1XaInW9DU9nz21V0tYIfzFQ0He9kVQ_JF2mCXgZ3hqFA"",""REKAP ALL 2026 - Andika!F:F""),"""",0)"),"25036497938")</f>
        <v>25036497938</v>
      </c>
      <c r="G1970" s="13" t="s">
        <v>8519</v>
      </c>
      <c r="H1970" s="13" t="s">
        <v>35</v>
      </c>
      <c r="I1970" s="13" t="str">
        <f aca="false">IF(C1970=J1970,"NEW KONTRAK","RE-KONTRAK")</f>
        <v>RE-KONTRAK</v>
      </c>
      <c r="J1970" s="16" t="n">
        <f aca="false" t="array" ref="J1970:J1970">IFERROR(INDEX(AC1970:AE1970,IF(COUNTA(AC1970:AE1970)=0,"",MAX((AC1970:AE1970&lt;&gt;"")*(COLUMN(AC1970:AE1970)-(COLUMN(AC1970)))))-1),"")</f>
        <v>45796</v>
      </c>
      <c r="K1970" s="16" t="n">
        <f aca="false" t="array" ref="K1970:K1970">IFERROR(INDEX(AC1970:AE1970,IF(COUNTA(AC1970:AE1970)=0,"",MAX((AC1970:AE1970&lt;&gt;"")*(COLUMN(AC1970:AE1970)-(COLUMN(AC1970)-1))))-1),"")</f>
        <v>46022</v>
      </c>
      <c r="L1970" s="17" t="str">
        <f aca="false" t="array" ref="L1970:L1970">IFERROR(INDEX(AC1970:AE1970,IF(COUNTA(AC1970:AE1970)=0,"",MAX((AC1970:AE1970&lt;&gt;"")*(COLUMN(AC1970:AE1970)-(COLUMN(AC1970)-2))))-1),"")</f>
        <v>ARCHIVED</v>
      </c>
      <c r="M1970" s="13" t="n">
        <f aca="true">K1970-TODAY()</f>
        <v>-302</v>
      </c>
      <c r="N1970" s="18" t="s">
        <v>36</v>
      </c>
      <c r="O1970" s="13" t="s">
        <v>6877</v>
      </c>
      <c r="P1970" s="19" t="n">
        <v>5300000</v>
      </c>
      <c r="Q1970" s="20" t="s">
        <v>8520</v>
      </c>
      <c r="R1970" s="13" t="s">
        <v>83</v>
      </c>
      <c r="S1970" s="16" t="n">
        <v>37236</v>
      </c>
      <c r="T1970" s="13" t="s">
        <v>40</v>
      </c>
      <c r="U1970" s="13" t="s">
        <v>8521</v>
      </c>
      <c r="V1970" s="13" t="s">
        <v>42</v>
      </c>
      <c r="W1970" s="13" t="s">
        <v>43</v>
      </c>
      <c r="X1970" s="21" t="n">
        <v>81615050588</v>
      </c>
      <c r="Y1970" s="22" t="str">
        <f aca="false">O1970</f>
        <v>Staff Accounting</v>
      </c>
      <c r="Z1970" s="13" t="str">
        <f aca="false">IFERROR(__xludf.dummyfunction("if(BJ1970="""","""",GOOGLETRANSLATE(BJ1970,""auto"",""en""))"),"Staff Accounting")</f>
        <v>Staff Accounting</v>
      </c>
      <c r="AA1970" s="23" t="str">
        <f aca="false">IF(C1970="","", CHOOSE(MONTH(C1970),"January","February","March","April","May","June","July","August","September","October","November","December")&amp;" "&amp;DAY(C1970)&amp;MID("thstndrdth",MIN(9,2*RIGHT(DAY(C1970))*(MOD(DAY(C1970)-11,100)&gt;2)+1),2)&amp;","&amp;TEXT(C1970," yyyy"))</f>
        <v>March 20th,2025</v>
      </c>
      <c r="AB1970" s="15" t="str">
        <f aca="true">IF(S1970="","",DATEDIF(S1970,TODAY(),"Y")&amp;" Tahun, "&amp;DATEDIF(S1970,TODAY(),"YM")&amp;" Bulan, "&amp;DATEDIF(S1970,TODAY(),"MD")&amp;" Hari")</f>
        <v>24 Tahun, 10 Bulan, 18 Hari</v>
      </c>
      <c r="AC1970" s="18" t="n">
        <v>45796</v>
      </c>
      <c r="AD1970" s="18" t="n">
        <v>46022</v>
      </c>
      <c r="AE1970" s="18" t="s">
        <v>44</v>
      </c>
    </row>
    <row r="1971" customFormat="false" ht="15" hidden="false" customHeight="true" outlineLevel="0" collapsed="false">
      <c r="A1971" s="12" t="n">
        <v>18943</v>
      </c>
      <c r="B1971" s="13" t="s">
        <v>8522</v>
      </c>
      <c r="C1971" s="16" t="n">
        <v>45735</v>
      </c>
      <c r="D1971" s="13" t="s">
        <v>7948</v>
      </c>
      <c r="E1971" s="15" t="s">
        <v>7949</v>
      </c>
      <c r="F1971" s="15" t="str">
        <f aca="false">IFERROR(__xludf.dummyfunction("XLOOKUP(AJ1971,IMPORTRANGE(""1XaInW9DU9nz21V0tYIfzFQ0He9kVQ_JF2mCXgZ3hqFA"",""REKAP ALL 2026 - Andika!G:G""),IMPORTRANGE(""1XaInW9DU9nz21V0tYIfzFQ0He9kVQ_JF2mCXgZ3hqFA"",""REKAP ALL 2026 - Andika!F:F""),"""",0)"),"25036497425")</f>
        <v>25036497425</v>
      </c>
      <c r="G1971" s="13" t="s">
        <v>57</v>
      </c>
      <c r="H1971" s="13" t="s">
        <v>7950</v>
      </c>
      <c r="I1971" s="13" t="str">
        <f aca="false">IF(C1971=J1971,"NEW KONTRAK","RE-KONTRAK")</f>
        <v>RE-KONTRAK</v>
      </c>
      <c r="J1971" s="16" t="n">
        <f aca="false" t="array" ref="J1971:J1971">IFERROR(INDEX(AC1971:AE1971,IF(COUNTA(AC1971:AE1971)=0,"",MAX((AC1971:AE1971&lt;&gt;"")*(COLUMN(AC1971:AE1971)-(COLUMN(AC1971)))))-1),"")</f>
        <v>45844</v>
      </c>
      <c r="K1971" s="16" t="n">
        <f aca="false" t="array" ref="K1971:K1971">IFERROR(INDEX(AC1971:AE1971,IF(COUNTA(AC1971:AE1971)=0,"",MAX((AC1971:AE1971&lt;&gt;"")*(COLUMN(AC1971:AE1971)-(COLUMN(AC1971)-1))))-1),"")</f>
        <v>45935</v>
      </c>
      <c r="L1971" s="17" t="str">
        <f aca="false" t="array" ref="L1971:L1971">IFERROR(INDEX(AC1971:AE1971,IF(COUNTA(AC1971:AE1971)=0,"",MAX((AC1971:AE1971&lt;&gt;"")*(COLUMN(AC1971:AE1971)-(COLUMN(AC1971)-2))))-1),"")</f>
        <v>ARCHIVED</v>
      </c>
      <c r="M1971" s="13" t="n">
        <f aca="true">K1971-TODAY()</f>
        <v>-389</v>
      </c>
      <c r="N1971" s="18" t="s">
        <v>4051</v>
      </c>
      <c r="O1971" s="13" t="s">
        <v>7951</v>
      </c>
      <c r="P1971" s="19" t="n">
        <v>210000</v>
      </c>
      <c r="Q1971" s="20" t="s">
        <v>8523</v>
      </c>
      <c r="R1971" s="13" t="s">
        <v>73</v>
      </c>
      <c r="S1971" s="16" t="n">
        <v>36353</v>
      </c>
      <c r="T1971" s="13" t="s">
        <v>40</v>
      </c>
      <c r="U1971" s="13" t="s">
        <v>8524</v>
      </c>
      <c r="V1971" s="13" t="s">
        <v>42</v>
      </c>
      <c r="W1971" s="13" t="s">
        <v>54</v>
      </c>
      <c r="X1971" s="21" t="n">
        <v>82266142842</v>
      </c>
      <c r="Y1971" s="22" t="str">
        <f aca="false">O1971</f>
        <v>Mekanik Kiln</v>
      </c>
      <c r="Z1971" s="13" t="str">
        <f aca="false">IFERROR(__xludf.dummyfunction("if(BJ1971="""","""",GOOGLETRANSLATE(BJ1971,""auto"",""en""))"),"Kiln Mechanics")</f>
        <v>Kiln Mechanics</v>
      </c>
      <c r="AA1971" s="23" t="str">
        <f aca="false">IF(C1971="","", CHOOSE(MONTH(C1971),"January","February","March","April","May","June","July","August","September","October","November","December")&amp;" "&amp;DAY(C1971)&amp;MID("thstndrdth",MIN(9,2*RIGHT(DAY(C1971))*(MOD(DAY(C1971)-11,100)&gt;2)+1),2)&amp;","&amp;TEXT(C1971," yyyy"))</f>
        <v>March 19th,2025</v>
      </c>
      <c r="AB1971" s="15" t="str">
        <f aca="true">IF(S1971="","",DATEDIF(S1971,TODAY(),"Y")&amp;" Tahun, "&amp;DATEDIF(S1971,TODAY(),"YM")&amp;" Bulan, "&amp;DATEDIF(S1971,TODAY(),"MD")&amp;" Hari")</f>
        <v>27 Tahun, 3 Bulan, 17 Hari</v>
      </c>
      <c r="AC1971" s="18" t="n">
        <v>45844</v>
      </c>
      <c r="AD1971" s="18" t="n">
        <v>45935</v>
      </c>
      <c r="AE1971" s="18" t="s">
        <v>44</v>
      </c>
    </row>
    <row r="1972" customFormat="false" ht="15" hidden="false" customHeight="true" outlineLevel="0" collapsed="false">
      <c r="A1972" s="12" t="n">
        <v>18944</v>
      </c>
      <c r="B1972" s="13" t="s">
        <v>4295</v>
      </c>
      <c r="C1972" s="16" t="n">
        <v>45735</v>
      </c>
      <c r="D1972" s="13" t="s">
        <v>7948</v>
      </c>
      <c r="E1972" s="15" t="s">
        <v>7949</v>
      </c>
      <c r="F1972" s="15" t="str">
        <f aca="false">IFERROR(__xludf.dummyfunction("XLOOKUP(AJ1972,IMPORTRANGE(""1XaInW9DU9nz21V0tYIfzFQ0He9kVQ_JF2mCXgZ3hqFA"",""REKAP ALL 2026 - Andika!G:G""),IMPORTRANGE(""1XaInW9DU9nz21V0tYIfzFQ0He9kVQ_JF2mCXgZ3hqFA"",""REKAP ALL 2026 - Andika!F:F""),"""",0)"),"25036497433")</f>
        <v>25036497433</v>
      </c>
      <c r="G1972" s="13" t="s">
        <v>57</v>
      </c>
      <c r="H1972" s="13" t="s">
        <v>7950</v>
      </c>
      <c r="I1972" s="13" t="str">
        <f aca="false">IF(C1972=J1972,"NEW KONTRAK","RE-KONTRAK")</f>
        <v>RE-KONTRAK</v>
      </c>
      <c r="J1972" s="16" t="n">
        <f aca="false" t="array" ref="J1972:J1972">IFERROR(INDEX(AC1972:AE1972,IF(COUNTA(AC1972:AE1972)=0,"",MAX((AC1972:AE1972&lt;&gt;"")*(COLUMN(AC1972:AE1972)-(COLUMN(AC1972)))))-1),"")</f>
        <v>45844</v>
      </c>
      <c r="K1972" s="16" t="n">
        <f aca="false" t="array" ref="K1972:K1972">IFERROR(INDEX(AC1972:AE1972,IF(COUNTA(AC1972:AE1972)=0,"",MAX((AC1972:AE1972&lt;&gt;"")*(COLUMN(AC1972:AE1972)-(COLUMN(AC1972)-1))))-1),"")</f>
        <v>45935</v>
      </c>
      <c r="L1972" s="17" t="str">
        <f aca="false" t="array" ref="L1972:L1972">IFERROR(INDEX(AC1972:AE1972,IF(COUNTA(AC1972:AE1972)=0,"",MAX((AC1972:AE1972&lt;&gt;"")*(COLUMN(AC1972:AE1972)-(COLUMN(AC1972)-2))))-1),"")</f>
        <v>ARCHIVED</v>
      </c>
      <c r="M1972" s="13" t="n">
        <f aca="true">K1972-TODAY()</f>
        <v>-389</v>
      </c>
      <c r="N1972" s="18" t="s">
        <v>4051</v>
      </c>
      <c r="O1972" s="13" t="s">
        <v>7951</v>
      </c>
      <c r="P1972" s="19" t="n">
        <v>210000</v>
      </c>
      <c r="Q1972" s="20" t="s">
        <v>8525</v>
      </c>
      <c r="R1972" s="13" t="s">
        <v>232</v>
      </c>
      <c r="S1972" s="16" t="n">
        <v>34935</v>
      </c>
      <c r="T1972" s="13" t="s">
        <v>40</v>
      </c>
      <c r="U1972" s="13" t="s">
        <v>8526</v>
      </c>
      <c r="V1972" s="13" t="s">
        <v>42</v>
      </c>
      <c r="W1972" s="13" t="s">
        <v>54</v>
      </c>
      <c r="X1972" s="21" t="n">
        <v>87712646872</v>
      </c>
      <c r="Y1972" s="22" t="str">
        <f aca="false">O1972</f>
        <v>Mekanik Kiln</v>
      </c>
      <c r="Z1972" s="13" t="str">
        <f aca="false">IFERROR(__xludf.dummyfunction("if(BJ1972="""","""",GOOGLETRANSLATE(BJ1972,""auto"",""en""))"),"Kiln Mechanics")</f>
        <v>Kiln Mechanics</v>
      </c>
      <c r="AA1972" s="23" t="str">
        <f aca="false">IF(C1972="","", CHOOSE(MONTH(C1972),"January","February","March","April","May","June","July","August","September","October","November","December")&amp;" "&amp;DAY(C1972)&amp;MID("thstndrdth",MIN(9,2*RIGHT(DAY(C1972))*(MOD(DAY(C1972)-11,100)&gt;2)+1),2)&amp;","&amp;TEXT(C1972," yyyy"))</f>
        <v>March 19th,2025</v>
      </c>
      <c r="AB1972" s="15" t="str">
        <f aca="true">IF(S1972="","",DATEDIF(S1972,TODAY(),"Y")&amp;" Tahun, "&amp;DATEDIF(S1972,TODAY(),"YM")&amp;" Bulan, "&amp;DATEDIF(S1972,TODAY(),"MD")&amp;" Hari")</f>
        <v>31 Tahun, 2 Bulan, 5 Hari</v>
      </c>
      <c r="AC1972" s="18" t="n">
        <v>45844</v>
      </c>
      <c r="AD1972" s="18" t="n">
        <v>45935</v>
      </c>
      <c r="AE1972" s="18" t="s">
        <v>44</v>
      </c>
    </row>
    <row r="1973" customFormat="false" ht="15" hidden="false" customHeight="true" outlineLevel="0" collapsed="false">
      <c r="A1973" s="12" t="n">
        <v>18945</v>
      </c>
      <c r="B1973" s="13" t="s">
        <v>8527</v>
      </c>
      <c r="C1973" s="16" t="n">
        <v>45735</v>
      </c>
      <c r="D1973" s="13" t="s">
        <v>7948</v>
      </c>
      <c r="E1973" s="15" t="s">
        <v>7949</v>
      </c>
      <c r="F1973" s="15" t="str">
        <f aca="false">IFERROR(__xludf.dummyfunction("XLOOKUP(AJ1973,IMPORTRANGE(""1XaInW9DU9nz21V0tYIfzFQ0He9kVQ_JF2mCXgZ3hqFA"",""REKAP ALL 2026 - Andika!G:G""),IMPORTRANGE(""1XaInW9DU9nz21V0tYIfzFQ0He9kVQ_JF2mCXgZ3hqFA"",""REKAP ALL 2026 - Andika!F:F""),"""",0)"),"25036497441")</f>
        <v>25036497441</v>
      </c>
      <c r="G1973" s="13" t="s">
        <v>57</v>
      </c>
      <c r="H1973" s="13" t="s">
        <v>7950</v>
      </c>
      <c r="I1973" s="13" t="str">
        <f aca="false">IF(C1973=J1973,"NEW KONTRAK","RE-KONTRAK")</f>
        <v>RE-KONTRAK</v>
      </c>
      <c r="J1973" s="16" t="n">
        <f aca="false" t="array" ref="J1973:J1973">IFERROR(INDEX(AC1973:AE1973,IF(COUNTA(AC1973:AE1973)=0,"",MAX((AC1973:AE1973&lt;&gt;"")*(COLUMN(AC1973:AE1973)-(COLUMN(AC1973)))))-1),"")</f>
        <v>45844</v>
      </c>
      <c r="K1973" s="16" t="n">
        <f aca="false" t="array" ref="K1973:K1973">IFERROR(INDEX(AC1973:AE1973,IF(COUNTA(AC1973:AE1973)=0,"",MAX((AC1973:AE1973&lt;&gt;"")*(COLUMN(AC1973:AE1973)-(COLUMN(AC1973)-1))))-1),"")</f>
        <v>45935</v>
      </c>
      <c r="L1973" s="17" t="str">
        <f aca="false" t="array" ref="L1973:L1973">IFERROR(INDEX(AC1973:AE1973,IF(COUNTA(AC1973:AE1973)=0,"",MAX((AC1973:AE1973&lt;&gt;"")*(COLUMN(AC1973:AE1973)-(COLUMN(AC1973)-2))))-1),"")</f>
        <v>ARCHIVED</v>
      </c>
      <c r="M1973" s="13" t="n">
        <f aca="true">K1973-TODAY()</f>
        <v>-389</v>
      </c>
      <c r="N1973" s="18" t="s">
        <v>4051</v>
      </c>
      <c r="O1973" s="13" t="s">
        <v>7951</v>
      </c>
      <c r="P1973" s="19" t="n">
        <v>210000</v>
      </c>
      <c r="Q1973" s="20" t="s">
        <v>8528</v>
      </c>
      <c r="R1973" s="13" t="s">
        <v>232</v>
      </c>
      <c r="S1973" s="16" t="n">
        <v>30996</v>
      </c>
      <c r="T1973" s="13" t="s">
        <v>40</v>
      </c>
      <c r="U1973" s="13" t="s">
        <v>8529</v>
      </c>
      <c r="V1973" s="13" t="s">
        <v>42</v>
      </c>
      <c r="W1973" s="13" t="s">
        <v>54</v>
      </c>
      <c r="X1973" s="21" t="n">
        <v>85784620775</v>
      </c>
      <c r="Y1973" s="22" t="str">
        <f aca="false">O1973</f>
        <v>Mekanik Kiln</v>
      </c>
      <c r="Z1973" s="13" t="str">
        <f aca="false">IFERROR(__xludf.dummyfunction("if(BJ1973="""","""",GOOGLETRANSLATE(BJ1973,""auto"",""en""))"),"Kiln Mechanics")</f>
        <v>Kiln Mechanics</v>
      </c>
      <c r="AA1973" s="23" t="str">
        <f aca="false">IF(C1973="","", CHOOSE(MONTH(C1973),"January","February","March","April","May","June","July","August","September","October","November","December")&amp;" "&amp;DAY(C1973)&amp;MID("thstndrdth",MIN(9,2*RIGHT(DAY(C1973))*(MOD(DAY(C1973)-11,100)&gt;2)+1),2)&amp;","&amp;TEXT(C1973," yyyy"))</f>
        <v>March 19th,2025</v>
      </c>
      <c r="AB1973" s="15" t="str">
        <f aca="true">IF(S1973="","",DATEDIF(S1973,TODAY(),"Y")&amp;" Tahun, "&amp;DATEDIF(S1973,TODAY(),"YM")&amp;" Bulan, "&amp;DATEDIF(S1973,TODAY(),"MD")&amp;" Hari")</f>
        <v>41 Tahun, 11 Bulan, 19 Hari</v>
      </c>
      <c r="AC1973" s="18" t="n">
        <v>45844</v>
      </c>
      <c r="AD1973" s="18" t="n">
        <v>45935</v>
      </c>
      <c r="AE1973" s="18" t="s">
        <v>44</v>
      </c>
    </row>
    <row r="1974" customFormat="false" ht="15" hidden="false" customHeight="true" outlineLevel="0" collapsed="false">
      <c r="A1974" s="12" t="n">
        <v>18946</v>
      </c>
      <c r="B1974" s="13" t="s">
        <v>8530</v>
      </c>
      <c r="C1974" s="16" t="n">
        <v>45735</v>
      </c>
      <c r="D1974" s="13" t="s">
        <v>7948</v>
      </c>
      <c r="E1974" s="15" t="s">
        <v>7949</v>
      </c>
      <c r="F1974" s="15" t="str">
        <f aca="false">IFERROR(__xludf.dummyfunction("XLOOKUP(AJ1974,IMPORTRANGE(""1XaInW9DU9nz21V0tYIfzFQ0He9kVQ_JF2mCXgZ3hqFA"",""REKAP ALL 2026 - Andika!G:G""),IMPORTRANGE(""1XaInW9DU9nz21V0tYIfzFQ0He9kVQ_JF2mCXgZ3hqFA"",""REKAP ALL 2026 - Andika!F:F""),"""",0)"),"25036497466")</f>
        <v>25036497466</v>
      </c>
      <c r="G1974" s="13" t="s">
        <v>57</v>
      </c>
      <c r="H1974" s="13" t="s">
        <v>7950</v>
      </c>
      <c r="I1974" s="13" t="str">
        <f aca="false">IF(C1974=J1974,"NEW KONTRAK","RE-KONTRAK")</f>
        <v>RE-KONTRAK</v>
      </c>
      <c r="J1974" s="16" t="n">
        <f aca="false" t="array" ref="J1974:J1974">IFERROR(INDEX(AC1974:AE1974,IF(COUNTA(AC1974:AE1974)=0,"",MAX((AC1974:AE1974&lt;&gt;"")*(COLUMN(AC1974:AE1974)-(COLUMN(AC1974)))))-1),"")</f>
        <v>45844</v>
      </c>
      <c r="K1974" s="16" t="n">
        <f aca="false" t="array" ref="K1974:K1974">IFERROR(INDEX(AC1974:AE1974,IF(COUNTA(AC1974:AE1974)=0,"",MAX((AC1974:AE1974&lt;&gt;"")*(COLUMN(AC1974:AE1974)-(COLUMN(AC1974)-1))))-1),"")</f>
        <v>45935</v>
      </c>
      <c r="L1974" s="17" t="str">
        <f aca="false" t="array" ref="L1974:L1974">IFERROR(INDEX(AC1974:AE1974,IF(COUNTA(AC1974:AE1974)=0,"",MAX((AC1974:AE1974&lt;&gt;"")*(COLUMN(AC1974:AE1974)-(COLUMN(AC1974)-2))))-1),"")</f>
        <v>ARCHIVED</v>
      </c>
      <c r="M1974" s="13" t="n">
        <f aca="true">K1974-TODAY()</f>
        <v>-389</v>
      </c>
      <c r="N1974" s="18" t="s">
        <v>4051</v>
      </c>
      <c r="O1974" s="13" t="s">
        <v>7951</v>
      </c>
      <c r="P1974" s="19" t="n">
        <v>210000</v>
      </c>
      <c r="Q1974" s="20" t="s">
        <v>8531</v>
      </c>
      <c r="R1974" s="13" t="s">
        <v>73</v>
      </c>
      <c r="S1974" s="16" t="n">
        <v>31026</v>
      </c>
      <c r="T1974" s="13" t="s">
        <v>40</v>
      </c>
      <c r="U1974" s="13" t="s">
        <v>8532</v>
      </c>
      <c r="V1974" s="13" t="s">
        <v>42</v>
      </c>
      <c r="W1974" s="13" t="s">
        <v>54</v>
      </c>
      <c r="X1974" s="21" t="n">
        <v>82111732454</v>
      </c>
      <c r="Y1974" s="22" t="str">
        <f aca="false">O1974</f>
        <v>Mekanik Kiln</v>
      </c>
      <c r="Z1974" s="13" t="str">
        <f aca="false">IFERROR(__xludf.dummyfunction("if(BJ1974="""","""",GOOGLETRANSLATE(BJ1974,""auto"",""en""))"),"Kiln Mechanics")</f>
        <v>Kiln Mechanics</v>
      </c>
      <c r="AA1974" s="23" t="str">
        <f aca="false">IF(C1974="","", CHOOSE(MONTH(C1974),"January","February","March","April","May","June","July","August","September","October","November","December")&amp;" "&amp;DAY(C1974)&amp;MID("thstndrdth",MIN(9,2*RIGHT(DAY(C1974))*(MOD(DAY(C1974)-11,100)&gt;2)+1),2)&amp;","&amp;TEXT(C1974," yyyy"))</f>
        <v>March 19th,2025</v>
      </c>
      <c r="AB1974" s="15" t="str">
        <f aca="true">IF(S1974="","",DATEDIF(S1974,TODAY(),"Y")&amp;" Tahun, "&amp;DATEDIF(S1974,TODAY(),"YM")&amp;" Bulan, "&amp;DATEDIF(S1974,TODAY(),"MD")&amp;" Hari")</f>
        <v>41 Tahun, 10 Bulan, 19 Hari</v>
      </c>
      <c r="AC1974" s="18" t="n">
        <v>45844</v>
      </c>
      <c r="AD1974" s="18" t="n">
        <v>45935</v>
      </c>
      <c r="AE1974" s="18" t="s">
        <v>44</v>
      </c>
    </row>
    <row r="1975" customFormat="false" ht="15" hidden="false" customHeight="true" outlineLevel="0" collapsed="false">
      <c r="A1975" s="12" t="n">
        <v>18957</v>
      </c>
      <c r="B1975" s="13" t="s">
        <v>8533</v>
      </c>
      <c r="C1975" s="16" t="n">
        <v>45721</v>
      </c>
      <c r="D1975" s="13" t="s">
        <v>2046</v>
      </c>
      <c r="E1975" s="15" t="s">
        <v>102</v>
      </c>
      <c r="F1975" s="24" t="s">
        <v>8534</v>
      </c>
      <c r="G1975" s="13" t="s">
        <v>8535</v>
      </c>
      <c r="H1975" s="13" t="s">
        <v>35</v>
      </c>
      <c r="I1975" s="13" t="str">
        <f aca="false">IF(C1975=J1975,"NEW KONTRAK","RE-KONTRAK")</f>
        <v>RE-KONTRAK</v>
      </c>
      <c r="J1975" s="16" t="n">
        <f aca="false" t="array" ref="J1975:J1975">IFERROR(INDEX(AC1975:AE1975,IF(COUNTA(AC1975:AE1975)=0,"",MAX((AC1975:AE1975&lt;&gt;"")*(COLUMN(AC1975:AE1975)-(COLUMN(AC1975)))))-1),"")</f>
        <v>45839</v>
      </c>
      <c r="K1975" s="16" t="n">
        <f aca="false" t="array" ref="K1975:K1975">IFERROR(INDEX(AC1975:AE1975,IF(COUNTA(AC1975:AE1975)=0,"",MAX((AC1975:AE1975&lt;&gt;"")*(COLUMN(AC1975:AE1975)-(COLUMN(AC1975)-1))))-1),"")</f>
        <v>45961</v>
      </c>
      <c r="L1975" s="17" t="str">
        <f aca="false" t="array" ref="L1975:L1975">IFERROR(INDEX(AC1975:AE1975,IF(COUNTA(AC1975:AE1975)=0,"",MAX((AC1975:AE1975&lt;&gt;"")*(COLUMN(AC1975:AE1975)-(COLUMN(AC1975)-2))))-1),"")</f>
        <v>ARCHIVED</v>
      </c>
      <c r="M1975" s="13" t="n">
        <f aca="true">K1975-TODAY()</f>
        <v>-363</v>
      </c>
      <c r="N1975" s="18" t="s">
        <v>36</v>
      </c>
      <c r="O1975" s="13" t="s">
        <v>4274</v>
      </c>
      <c r="P1975" s="19" t="s">
        <v>2050</v>
      </c>
      <c r="Q1975" s="20" t="s">
        <v>8536</v>
      </c>
      <c r="R1975" s="13" t="s">
        <v>52</v>
      </c>
      <c r="S1975" s="16" t="n">
        <v>36843</v>
      </c>
      <c r="T1975" s="13" t="s">
        <v>40</v>
      </c>
      <c r="U1975" s="13" t="s">
        <v>8537</v>
      </c>
      <c r="V1975" s="13" t="s">
        <v>42</v>
      </c>
      <c r="W1975" s="13" t="s">
        <v>43</v>
      </c>
      <c r="X1975" s="21" t="n">
        <v>83131330809</v>
      </c>
      <c r="Y1975" s="22" t="str">
        <f aca="false">O1975</f>
        <v>Operator Extruder</v>
      </c>
      <c r="Z1975" s="13" t="str">
        <f aca="false">IFERROR(__xludf.dummyfunction("if(BJ1975="""","""",GOOGLETRANSLATE(BJ1975,""auto"",""en""))"),"Operator Extruder")</f>
        <v>Operator Extruder</v>
      </c>
      <c r="AA1975" s="23" t="str">
        <f aca="false">IF(C1975="","", CHOOSE(MONTH(C1975),"January","February","March","April","May","June","July","August","September","October","November","December")&amp;" "&amp;DAY(C1975)&amp;MID("thstndrdth",MIN(9,2*RIGHT(DAY(C1975))*(MOD(DAY(C1975)-11,100)&gt;2)+1),2)&amp;","&amp;TEXT(C1975," yyyy"))</f>
        <v>March 5th,2025</v>
      </c>
      <c r="AB1975" s="15" t="str">
        <f aca="true">IF(S1975="","",DATEDIF(S1975,TODAY(),"Y")&amp;" Tahun, "&amp;DATEDIF(S1975,TODAY(),"YM")&amp;" Bulan, "&amp;DATEDIF(S1975,TODAY(),"MD")&amp;" Hari")</f>
        <v>25 Tahun, 11 Bulan, 16 Hari</v>
      </c>
      <c r="AC1975" s="18" t="n">
        <v>45839</v>
      </c>
      <c r="AD1975" s="18" t="n">
        <v>45961</v>
      </c>
      <c r="AE1975" s="18" t="s">
        <v>44</v>
      </c>
    </row>
    <row r="1976" customFormat="false" ht="15" hidden="false" customHeight="true" outlineLevel="0" collapsed="false">
      <c r="A1976" s="12" t="n">
        <v>18965</v>
      </c>
      <c r="B1976" s="13" t="s">
        <v>8538</v>
      </c>
      <c r="C1976" s="16" t="n">
        <v>45665</v>
      </c>
      <c r="D1976" s="13" t="s">
        <v>613</v>
      </c>
      <c r="E1976" s="15" t="s">
        <v>704</v>
      </c>
      <c r="F1976" s="24" t="s">
        <v>8539</v>
      </c>
      <c r="G1976" s="13" t="s">
        <v>8540</v>
      </c>
      <c r="H1976" s="13" t="s">
        <v>35</v>
      </c>
      <c r="I1976" s="13" t="str">
        <f aca="false">IF(C1976=J1976,"NEW KONTRAK","RE-KONTRAK")</f>
        <v>NEW KONTRAK</v>
      </c>
      <c r="J1976" s="16" t="n">
        <f aca="false" t="array" ref="J1976:J1976">IFERROR(INDEX(AC1976:AE1976,IF(COUNTA(AC1976:AE1976)=0,"",MAX((AC1976:AE1976&lt;&gt;"")*(COLUMN(AC1976:AE1976)-(COLUMN(AC1976)))))-1),"")</f>
        <v>45665</v>
      </c>
      <c r="K1976" s="16" t="n">
        <f aca="false" t="array" ref="K1976:K1976">IFERROR(INDEX(AC1976:AE1976,IF(COUNTA(AC1976:AE1976)=0,"",MAX((AC1976:AE1976&lt;&gt;"")*(COLUMN(AC1976:AE1976)-(COLUMN(AC1976)-1))))-1),"")</f>
        <v>45884</v>
      </c>
      <c r="L1976" s="17" t="str">
        <f aca="false" t="array" ref="L1976:L1976">IFERROR(INDEX(AC1976:AE1976,IF(COUNTA(AC1976:AE1976)=0,"",MAX((AC1976:AE1976&lt;&gt;"")*(COLUMN(AC1976:AE1976)-(COLUMN(AC1976)-2))))-1),"")</f>
        <v>ARCHIVED</v>
      </c>
      <c r="M1976" s="13" t="n">
        <f aca="true">K1976-TODAY()</f>
        <v>-440</v>
      </c>
      <c r="N1976" s="18" t="s">
        <v>615</v>
      </c>
      <c r="O1976" s="13" t="s">
        <v>58</v>
      </c>
      <c r="P1976" s="19" t="n">
        <v>4856026</v>
      </c>
      <c r="Q1976" s="20" t="s">
        <v>8541</v>
      </c>
      <c r="R1976" s="13" t="s">
        <v>232</v>
      </c>
      <c r="S1976" s="16" t="n">
        <v>27671</v>
      </c>
      <c r="T1976" s="13" t="s">
        <v>40</v>
      </c>
      <c r="U1976" s="13" t="s">
        <v>8542</v>
      </c>
      <c r="V1976" s="13" t="s">
        <v>42</v>
      </c>
      <c r="W1976" s="13" t="s">
        <v>54</v>
      </c>
      <c r="X1976" s="21" t="n">
        <v>89509088117</v>
      </c>
      <c r="Y1976" s="22" t="str">
        <f aca="false">O1976</f>
        <v>Produksi</v>
      </c>
      <c r="Z1976" s="13" t="str">
        <f aca="false">IFERROR(__xludf.dummyfunction("if(BJ1976="""","""",GOOGLETRANSLATE(BJ1976,""auto"",""en""))"),"Production")</f>
        <v>Production</v>
      </c>
      <c r="AA1976" s="23" t="str">
        <f aca="false">IF(C1976="","", CHOOSE(MONTH(C1976),"January","February","March","April","May","June","July","August","September","October","November","December")&amp;" "&amp;DAY(C1976)&amp;MID("thstndrdth",MIN(9,2*RIGHT(DAY(C1976))*(MOD(DAY(C1976)-11,100)&gt;2)+1),2)&amp;","&amp;TEXT(C1976," yyyy"))</f>
        <v>January 8th,2025</v>
      </c>
      <c r="AB1976" s="15" t="str">
        <f aca="true">IF(S1976="","",DATEDIF(S1976,TODAY(),"Y")&amp;" Tahun, "&amp;DATEDIF(S1976,TODAY(),"YM")&amp;" Bulan, "&amp;DATEDIF(S1976,TODAY(),"MD")&amp;" Hari")</f>
        <v>51 Tahun, 0 Bulan, 25 Hari</v>
      </c>
      <c r="AC1976" s="18" t="n">
        <v>45665</v>
      </c>
      <c r="AD1976" s="18" t="n">
        <v>45884</v>
      </c>
      <c r="AE1976" s="18" t="s">
        <v>44</v>
      </c>
    </row>
    <row r="1977" customFormat="false" ht="15" hidden="false" customHeight="true" outlineLevel="0" collapsed="false">
      <c r="A1977" s="12" t="n">
        <v>18967</v>
      </c>
      <c r="B1977" s="13" t="s">
        <v>8543</v>
      </c>
      <c r="C1977" s="16" t="n">
        <v>45738</v>
      </c>
      <c r="D1977" s="13" t="s">
        <v>1338</v>
      </c>
      <c r="E1977" s="15" t="s">
        <v>102</v>
      </c>
      <c r="F1977" s="15" t="str">
        <f aca="false">IFERROR(__xludf.dummyfunction("XLOOKUP(AJ1977,IMPORTRANGE(""1XaInW9DU9nz21V0tYIfzFQ0He9kVQ_JF2mCXgZ3hqFA"",""REKAP ALL 2026 - Andika!G:G""),IMPORTRANGE(""1XaInW9DU9nz21V0tYIfzFQ0He9kVQ_JF2mCXgZ3hqFA"",""REKAP ALL 2026 - Andika!F:F""),"""",0)"),"25047635203")</f>
        <v>25047635203</v>
      </c>
      <c r="G1977" s="13" t="s">
        <v>57</v>
      </c>
      <c r="H1977" s="13" t="s">
        <v>2334</v>
      </c>
      <c r="I1977" s="13" t="str">
        <f aca="false">IF(C1977=J1977,"NEW KONTRAK","RE-KONTRAK")</f>
        <v>RE-KONTRAK</v>
      </c>
      <c r="J1977" s="16" t="n">
        <f aca="false" t="array" ref="J1977:J1977">IFERROR(INDEX(AC1977:AE1977,IF(COUNTA(AC1977:AE1977)=0,"",MAX((AC1977:AE1977&lt;&gt;"")*(COLUMN(AC1977:AE1977)-(COLUMN(AC1977)))))-1),"")</f>
        <v>45844</v>
      </c>
      <c r="K1977" s="16" t="n">
        <f aca="false" t="array" ref="K1977:K1977">IFERROR(INDEX(AC1977:AE1977,IF(COUNTA(AC1977:AE1977)=0,"",MAX((AC1977:AE1977&lt;&gt;"")*(COLUMN(AC1977:AE1977)-(COLUMN(AC1977)-1))))-1),"")</f>
        <v>45935</v>
      </c>
      <c r="L1977" s="17" t="str">
        <f aca="false" t="array" ref="L1977:L1977">IFERROR(INDEX(AC1977:AE1977,IF(COUNTA(AC1977:AE1977)=0,"",MAX((AC1977:AE1977&lt;&gt;"")*(COLUMN(AC1977:AE1977)-(COLUMN(AC1977)-2))))-1),"")</f>
        <v>ARCHIVED</v>
      </c>
      <c r="M1977" s="13" t="n">
        <f aca="true">K1977-TODAY()</f>
        <v>-389</v>
      </c>
      <c r="N1977" s="50" t="s">
        <v>615</v>
      </c>
      <c r="O1977" s="13" t="s">
        <v>2335</v>
      </c>
      <c r="P1977" s="19" t="n">
        <v>194241</v>
      </c>
      <c r="Q1977" s="20" t="s">
        <v>8544</v>
      </c>
      <c r="R1977" s="13" t="s">
        <v>232</v>
      </c>
      <c r="S1977" s="16" t="n">
        <v>36757</v>
      </c>
      <c r="T1977" s="13" t="s">
        <v>40</v>
      </c>
      <c r="U1977" s="13" t="s">
        <v>8545</v>
      </c>
      <c r="V1977" s="13" t="s">
        <v>42</v>
      </c>
      <c r="W1977" s="13" t="s">
        <v>43</v>
      </c>
      <c r="X1977" s="21" t="n">
        <v>81333364603</v>
      </c>
      <c r="Y1977" s="22" t="str">
        <f aca="false">O1977</f>
        <v>Project Management</v>
      </c>
      <c r="Z1977" s="13" t="str">
        <f aca="false">IFERROR(__xludf.dummyfunction("if(BJ1977="""","""",GOOGLETRANSLATE(BJ1977,""auto"",""en""))"),"Project Management")</f>
        <v>Project Management</v>
      </c>
      <c r="AA1977" s="23" t="str">
        <f aca="false">IF(C1977="","", CHOOSE(MONTH(C1977),"January","February","March","April","May","June","July","August","September","October","November","December")&amp;" "&amp;DAY(C1977)&amp;MID("thstndrdth",MIN(9,2*RIGHT(DAY(C1977))*(MOD(DAY(C1977)-11,100)&gt;2)+1),2)&amp;","&amp;TEXT(C1977," yyyy"))</f>
        <v>March 22nd,2025</v>
      </c>
      <c r="AB1977" s="15" t="str">
        <f aca="true">IF(S1977="","",DATEDIF(S1977,TODAY(),"Y")&amp;" Tahun, "&amp;DATEDIF(S1977,TODAY(),"YM")&amp;" Bulan, "&amp;DATEDIF(S1977,TODAY(),"MD")&amp;" Hari")</f>
        <v>26 Tahun, 2 Bulan, 10 Hari</v>
      </c>
      <c r="AC1977" s="18" t="n">
        <v>45844</v>
      </c>
      <c r="AD1977" s="18" t="n">
        <v>45935</v>
      </c>
      <c r="AE1977" s="18" t="s">
        <v>44</v>
      </c>
    </row>
    <row r="1978" customFormat="false" ht="15" hidden="false" customHeight="true" outlineLevel="0" collapsed="false">
      <c r="A1978" s="12" t="n">
        <v>18968</v>
      </c>
      <c r="B1978" s="13" t="s">
        <v>8546</v>
      </c>
      <c r="C1978" s="16" t="n">
        <v>45738</v>
      </c>
      <c r="D1978" s="13" t="s">
        <v>1338</v>
      </c>
      <c r="E1978" s="15" t="s">
        <v>789</v>
      </c>
      <c r="F1978" s="24" t="s">
        <v>8547</v>
      </c>
      <c r="G1978" s="13" t="s">
        <v>57</v>
      </c>
      <c r="H1978" s="13" t="s">
        <v>2334</v>
      </c>
      <c r="I1978" s="13" t="str">
        <f aca="false">IF(C1978=J1978,"NEW KONTRAK","RE-KONTRAK")</f>
        <v>RE-KONTRAK</v>
      </c>
      <c r="J1978" s="16" t="n">
        <f aca="false" t="array" ref="J1978:J1978">IFERROR(INDEX(AC1978:AE1978,IF(COUNTA(AC1978:AE1978)=0,"",MAX((AC1978:AE1978&lt;&gt;"")*(COLUMN(AC1978:AE1978)-(COLUMN(AC1978)))))-1),"")</f>
        <v>45844</v>
      </c>
      <c r="K1978" s="16" t="n">
        <f aca="false" t="array" ref="K1978:K1978">IFERROR(INDEX(AC1978:AE1978,IF(COUNTA(AC1978:AE1978)=0,"",MAX((AC1978:AE1978&lt;&gt;"")*(COLUMN(AC1978:AE1978)-(COLUMN(AC1978)-1))))-1),"")</f>
        <v>45935</v>
      </c>
      <c r="L1978" s="17" t="str">
        <f aca="false" t="array" ref="L1978:L1978">IFERROR(INDEX(AC1978:AE1978,IF(COUNTA(AC1978:AE1978)=0,"",MAX((AC1978:AE1978&lt;&gt;"")*(COLUMN(AC1978:AE1978)-(COLUMN(AC1978)-2))))-1),"")</f>
        <v>ARCHIVED</v>
      </c>
      <c r="M1978" s="13" t="n">
        <f aca="true">K1978-TODAY()</f>
        <v>-389</v>
      </c>
      <c r="N1978" s="50" t="s">
        <v>615</v>
      </c>
      <c r="O1978" s="13" t="s">
        <v>2335</v>
      </c>
      <c r="P1978" s="19" t="n">
        <v>194241</v>
      </c>
      <c r="Q1978" s="20" t="s">
        <v>8548</v>
      </c>
      <c r="R1978" s="13" t="s">
        <v>232</v>
      </c>
      <c r="S1978" s="16" t="n">
        <v>35146</v>
      </c>
      <c r="T1978" s="13" t="s">
        <v>40</v>
      </c>
      <c r="U1978" s="13" t="s">
        <v>8549</v>
      </c>
      <c r="V1978" s="13" t="s">
        <v>42</v>
      </c>
      <c r="W1978" s="13" t="s">
        <v>54</v>
      </c>
      <c r="X1978" s="21" t="n">
        <v>81556663533</v>
      </c>
      <c r="Y1978" s="22" t="str">
        <f aca="false">O1978</f>
        <v>Project Management</v>
      </c>
      <c r="Z1978" s="13" t="str">
        <f aca="false">IFERROR(__xludf.dummyfunction("if(BJ1978="""","""",GOOGLETRANSLATE(BJ1978,""auto"",""en""))"),"Project Management")</f>
        <v>Project Management</v>
      </c>
      <c r="AA1978" s="23" t="str">
        <f aca="false">IF(C1978="","", CHOOSE(MONTH(C1978),"January","February","March","April","May","June","July","August","September","October","November","December")&amp;" "&amp;DAY(C1978)&amp;MID("thstndrdth",MIN(9,2*RIGHT(DAY(C1978))*(MOD(DAY(C1978)-11,100)&gt;2)+1),2)&amp;","&amp;TEXT(C1978," yyyy"))</f>
        <v>March 22nd,2025</v>
      </c>
      <c r="AB1978" s="15" t="str">
        <f aca="true">IF(S1978="","",DATEDIF(S1978,TODAY(),"Y")&amp;" Tahun, "&amp;DATEDIF(S1978,TODAY(),"YM")&amp;" Bulan, "&amp;DATEDIF(S1978,TODAY(),"MD")&amp;" Hari")</f>
        <v>30 Tahun, 7 Bulan, 7 Hari</v>
      </c>
      <c r="AC1978" s="18" t="n">
        <v>45844</v>
      </c>
      <c r="AD1978" s="18" t="n">
        <v>45935</v>
      </c>
      <c r="AE1978" s="18" t="s">
        <v>44</v>
      </c>
    </row>
    <row r="1979" customFormat="false" ht="15" hidden="false" customHeight="true" outlineLevel="0" collapsed="false">
      <c r="A1979" s="12" t="n">
        <v>18970</v>
      </c>
      <c r="B1979" s="13" t="s">
        <v>8550</v>
      </c>
      <c r="C1979" s="16" t="n">
        <v>45738</v>
      </c>
      <c r="D1979" s="13" t="s">
        <v>1338</v>
      </c>
      <c r="E1979" s="15" t="s">
        <v>33</v>
      </c>
      <c r="F1979" s="24" t="s">
        <v>8551</v>
      </c>
      <c r="G1979" s="13" t="s">
        <v>57</v>
      </c>
      <c r="H1979" s="13" t="s">
        <v>3024</v>
      </c>
      <c r="I1979" s="13" t="str">
        <f aca="false">IF(C1979=J1979,"NEW KONTRAK","RE-KONTRAK")</f>
        <v>RE-KONTRAK</v>
      </c>
      <c r="J1979" s="16" t="n">
        <f aca="false" t="array" ref="J1979:J1979">IFERROR(INDEX(AC1979:AE1979,IF(COUNTA(AC1979:AE1979)=0,"",MAX((AC1979:AE1979&lt;&gt;"")*(COLUMN(AC1979:AE1979)-(COLUMN(AC1979)))))-1),"")</f>
        <v>45830</v>
      </c>
      <c r="K1979" s="16" t="n">
        <f aca="false" t="array" ref="K1979:K1979">IFERROR(INDEX(AC1979:AE1979,IF(COUNTA(AC1979:AE1979)=0,"",MAX((AC1979:AE1979&lt;&gt;"")*(COLUMN(AC1979:AE1979)-(COLUMN(AC1979)-1))))-1),"")</f>
        <v>45844</v>
      </c>
      <c r="L1979" s="17" t="str">
        <f aca="false" t="array" ref="L1979:L1979">IFERROR(INDEX(AC1979:AE1979,IF(COUNTA(AC1979:AE1979)=0,"",MAX((AC1979:AE1979&lt;&gt;"")*(COLUMN(AC1979:AE1979)-(COLUMN(AC1979)-2))))-1),"")</f>
        <v>ARCHIVED</v>
      </c>
      <c r="M1979" s="13" t="n">
        <f aca="true">K1979-TODAY()</f>
        <v>-480</v>
      </c>
      <c r="N1979" s="18" t="s">
        <v>615</v>
      </c>
      <c r="O1979" s="13" t="s">
        <v>2335</v>
      </c>
      <c r="P1979" s="19" t="n">
        <v>194241</v>
      </c>
      <c r="Q1979" s="20" t="s">
        <v>8552</v>
      </c>
      <c r="R1979" s="13" t="s">
        <v>65</v>
      </c>
      <c r="S1979" s="16" t="n">
        <v>32665</v>
      </c>
      <c r="T1979" s="13" t="s">
        <v>40</v>
      </c>
      <c r="U1979" s="13" t="s">
        <v>8553</v>
      </c>
      <c r="V1979" s="13" t="s">
        <v>42</v>
      </c>
      <c r="W1979" s="13" t="s">
        <v>54</v>
      </c>
      <c r="X1979" s="21" t="n">
        <v>81515491927</v>
      </c>
      <c r="Y1979" s="22" t="str">
        <f aca="false">O1979</f>
        <v>Project Management</v>
      </c>
      <c r="Z1979" s="13" t="str">
        <f aca="false">IFERROR(__xludf.dummyfunction("if(BJ1979="""","""",GOOGLETRANSLATE(BJ1979,""auto"",""en""))"),"Project Management")</f>
        <v>Project Management</v>
      </c>
      <c r="AA1979" s="23" t="str">
        <f aca="false">IF(C1979="","", CHOOSE(MONTH(C1979),"January","February","March","April","May","June","July","August","September","October","November","December")&amp;" "&amp;DAY(C1979)&amp;MID("thstndrdth",MIN(9,2*RIGHT(DAY(C1979))*(MOD(DAY(C1979)-11,100)&gt;2)+1),2)&amp;","&amp;TEXT(C1979," yyyy"))</f>
        <v>March 22nd,2025</v>
      </c>
      <c r="AB1979" s="15" t="str">
        <f aca="true">IF(S1979="","",DATEDIF(S1979,TODAY(),"Y")&amp;" Tahun, "&amp;DATEDIF(S1979,TODAY(),"YM")&amp;" Bulan, "&amp;DATEDIF(S1979,TODAY(),"MD")&amp;" Hari")</f>
        <v>37 Tahun, 4 Bulan, 23 Hari</v>
      </c>
      <c r="AC1979" s="18" t="n">
        <v>45830</v>
      </c>
      <c r="AD1979" s="18" t="n">
        <v>45844</v>
      </c>
      <c r="AE1979" s="18" t="s">
        <v>44</v>
      </c>
    </row>
    <row r="1980" customFormat="false" ht="15" hidden="false" customHeight="true" outlineLevel="0" collapsed="false">
      <c r="A1980" s="12" t="n">
        <v>19005</v>
      </c>
      <c r="B1980" s="93" t="s">
        <v>8554</v>
      </c>
      <c r="C1980" s="16" t="n">
        <v>45739</v>
      </c>
      <c r="D1980" s="13" t="s">
        <v>7948</v>
      </c>
      <c r="E1980" s="15" t="s">
        <v>7949</v>
      </c>
      <c r="F1980" s="15" t="str">
        <f aca="false">IFERROR(__xludf.dummyfunction("XLOOKUP(AJ1980,IMPORTRANGE(""1XaInW9DU9nz21V0tYIfzFQ0He9kVQ_JF2mCXgZ3hqFA"",""REKAP ALL 2026 - Andika!G:G""),IMPORTRANGE(""1XaInW9DU9nz21V0tYIfzFQ0He9kVQ_JF2mCXgZ3hqFA"",""REKAP ALL 2026 - Andika!F:F""),"""",0)"),"25047635187")</f>
        <v>25047635187</v>
      </c>
      <c r="G1980" s="13" t="s">
        <v>57</v>
      </c>
      <c r="H1980" s="13" t="s">
        <v>7950</v>
      </c>
      <c r="I1980" s="13" t="str">
        <f aca="false">IF(C1980=J1980,"NEW KONTRAK","RE-KONTRAK")</f>
        <v>RE-KONTRAK</v>
      </c>
      <c r="J1980" s="16" t="n">
        <f aca="false" t="array" ref="J1980:J1980">IFERROR(INDEX(AC1980:AE1980,IF(COUNTA(AC1980:AE1980)=0,"",MAX((AC1980:AE1980&lt;&gt;"")*(COLUMN(AC1980:AE1980)-(COLUMN(AC1980)))))-1),"")</f>
        <v>45844</v>
      </c>
      <c r="K1980" s="16" t="n">
        <f aca="false" t="array" ref="K1980:K1980">IFERROR(INDEX(AC1980:AE1980,IF(COUNTA(AC1980:AE1980)=0,"",MAX((AC1980:AE1980&lt;&gt;"")*(COLUMN(AC1980:AE1980)-(COLUMN(AC1980)-1))))-1),"")</f>
        <v>45935</v>
      </c>
      <c r="L1980" s="17" t="str">
        <f aca="false" t="array" ref="L1980:L1980">IFERROR(INDEX(AC1980:AE1980,IF(COUNTA(AC1980:AE1980)=0,"",MAX((AC1980:AE1980&lt;&gt;"")*(COLUMN(AC1980:AE1980)-(COLUMN(AC1980)-2))))-1),"")</f>
        <v>ARCHIVED</v>
      </c>
      <c r="M1980" s="13" t="n">
        <f aca="true">K1980-TODAY()</f>
        <v>-389</v>
      </c>
      <c r="N1980" s="18" t="s">
        <v>4051</v>
      </c>
      <c r="O1980" s="95" t="s">
        <v>7951</v>
      </c>
      <c r="P1980" s="19" t="n">
        <v>210000</v>
      </c>
      <c r="Q1980" s="96" t="s">
        <v>8555</v>
      </c>
      <c r="R1980" s="97" t="s">
        <v>232</v>
      </c>
      <c r="S1980" s="16" t="n">
        <v>29720</v>
      </c>
      <c r="T1980" s="13" t="s">
        <v>40</v>
      </c>
      <c r="U1980" s="95" t="s">
        <v>8556</v>
      </c>
      <c r="V1980" s="13" t="s">
        <v>42</v>
      </c>
      <c r="W1980" s="13" t="s">
        <v>54</v>
      </c>
      <c r="X1980" s="30" t="n">
        <v>81362720465</v>
      </c>
      <c r="Y1980" s="22" t="str">
        <f aca="false">O1980</f>
        <v>Mekanik Kiln</v>
      </c>
      <c r="Z1980" s="13" t="str">
        <f aca="false">IFERROR(__xludf.dummyfunction("if(BJ1980="""","""",GOOGLETRANSLATE(BJ1980,""auto"",""en""))"),"Kiln Mechanics")</f>
        <v>Kiln Mechanics</v>
      </c>
      <c r="AA1980" s="23" t="str">
        <f aca="false">IF(C1980="","", CHOOSE(MONTH(C1980),"January","February","March","April","May","June","July","August","September","October","November","December")&amp;" "&amp;DAY(C1980)&amp;MID("thstndrdth",MIN(9,2*RIGHT(DAY(C1980))*(MOD(DAY(C1980)-11,100)&gt;2)+1),2)&amp;","&amp;TEXT(C1980," yyyy"))</f>
        <v>March 23rd,2025</v>
      </c>
      <c r="AB1980" s="15" t="str">
        <f aca="true">IF(S1980="","",DATEDIF(S1980,TODAY(),"Y")&amp;" Tahun, "&amp;DATEDIF(S1980,TODAY(),"YM")&amp;" Bulan, "&amp;DATEDIF(S1980,TODAY(),"MD")&amp;" Hari")</f>
        <v>45 Tahun, 5 Bulan, 15 Hari</v>
      </c>
      <c r="AC1980" s="18" t="n">
        <v>45844</v>
      </c>
      <c r="AD1980" s="18" t="n">
        <v>45935</v>
      </c>
      <c r="AE1980" s="18" t="s">
        <v>44</v>
      </c>
    </row>
    <row r="1981" customFormat="false" ht="15" hidden="false" customHeight="true" outlineLevel="0" collapsed="false">
      <c r="A1981" s="12" t="n">
        <v>19006</v>
      </c>
      <c r="B1981" s="93" t="s">
        <v>8557</v>
      </c>
      <c r="C1981" s="16" t="n">
        <v>45739</v>
      </c>
      <c r="D1981" s="13" t="s">
        <v>1338</v>
      </c>
      <c r="E1981" s="15" t="s">
        <v>47</v>
      </c>
      <c r="F1981" s="15" t="str">
        <f aca="false">IFERROR(__xludf.dummyfunction("XLOOKUP(AJ1981,IMPORTRANGE(""1XaInW9DU9nz21V0tYIfzFQ0He9kVQ_JF2mCXgZ3hqFA"",""REKAP ALL 2026 - Andika!G:G""),IMPORTRANGE(""1XaInW9DU9nz21V0tYIfzFQ0He9kVQ_JF2mCXgZ3hqFA"",""REKAP ALL 2026 - Andika!F:F""),"""",0)"),"25047635195")</f>
        <v>25047635195</v>
      </c>
      <c r="G1981" s="13" t="s">
        <v>57</v>
      </c>
      <c r="H1981" s="13" t="s">
        <v>7950</v>
      </c>
      <c r="I1981" s="13" t="str">
        <f aca="false">IF(C1981=J1981,"NEW KONTRAK","RE-KONTRAK")</f>
        <v>RE-KONTRAK</v>
      </c>
      <c r="J1981" s="16" t="n">
        <f aca="false" t="array" ref="J1981:J1981">IFERROR(INDEX(AC1981:AE1981,IF(COUNTA(AC1981:AE1981)=0,"",MAX((AC1981:AE1981&lt;&gt;"")*(COLUMN(AC1981:AE1981)-(COLUMN(AC1981)))))-1),"")</f>
        <v>45844</v>
      </c>
      <c r="K1981" s="16" t="n">
        <f aca="false" t="array" ref="K1981:K1981">IFERROR(INDEX(AC1981:AE1981,IF(COUNTA(AC1981:AE1981)=0,"",MAX((AC1981:AE1981&lt;&gt;"")*(COLUMN(AC1981:AE1981)-(COLUMN(AC1981)-1))))-1),"")</f>
        <v>45935</v>
      </c>
      <c r="L1981" s="17" t="str">
        <f aca="false" t="array" ref="L1981:L1981">IFERROR(INDEX(AC1981:AE1981,IF(COUNTA(AC1981:AE1981)=0,"",MAX((AC1981:AE1981&lt;&gt;"")*(COLUMN(AC1981:AE1981)-(COLUMN(AC1981)-2))))-1),"")</f>
        <v>ARCHIVED</v>
      </c>
      <c r="M1981" s="13" t="n">
        <f aca="true">K1981-TODAY()</f>
        <v>-389</v>
      </c>
      <c r="N1981" s="18" t="s">
        <v>615</v>
      </c>
      <c r="O1981" s="95" t="s">
        <v>7951</v>
      </c>
      <c r="P1981" s="19" t="n">
        <v>210000</v>
      </c>
      <c r="Q1981" s="96" t="s">
        <v>8558</v>
      </c>
      <c r="R1981" s="97" t="s">
        <v>73</v>
      </c>
      <c r="S1981" s="16" t="n">
        <v>33829</v>
      </c>
      <c r="T1981" s="13" t="s">
        <v>40</v>
      </c>
      <c r="U1981" s="95" t="s">
        <v>8559</v>
      </c>
      <c r="V1981" s="13" t="s">
        <v>42</v>
      </c>
      <c r="W1981" s="13" t="s">
        <v>43</v>
      </c>
      <c r="X1981" s="30" t="n">
        <v>85175564641</v>
      </c>
      <c r="Y1981" s="22" t="str">
        <f aca="false">O1981</f>
        <v>Mekanik Kiln</v>
      </c>
      <c r="Z1981" s="13" t="str">
        <f aca="false">IFERROR(__xludf.dummyfunction("if(BJ1981="""","""",GOOGLETRANSLATE(BJ1981,""auto"",""en""))"),"Kiln Mechanics")</f>
        <v>Kiln Mechanics</v>
      </c>
      <c r="AA1981" s="23" t="str">
        <f aca="false">IF(C1981="","", CHOOSE(MONTH(C1981),"January","February","March","April","May","June","July","August","September","October","November","December")&amp;" "&amp;DAY(C1981)&amp;MID("thstndrdth",MIN(9,2*RIGHT(DAY(C1981))*(MOD(DAY(C1981)-11,100)&gt;2)+1),2)&amp;","&amp;TEXT(C1981," yyyy"))</f>
        <v>March 23rd,2025</v>
      </c>
      <c r="AB1981" s="15" t="str">
        <f aca="true">IF(S1981="","",DATEDIF(S1981,TODAY(),"Y")&amp;" Tahun, "&amp;DATEDIF(S1981,TODAY(),"YM")&amp;" Bulan, "&amp;DATEDIF(S1981,TODAY(),"MD")&amp;" Hari")</f>
        <v>34 Tahun, 2 Bulan, 16 Hari</v>
      </c>
      <c r="AC1981" s="18" t="n">
        <v>45844</v>
      </c>
      <c r="AD1981" s="18" t="n">
        <v>45935</v>
      </c>
      <c r="AE1981" s="18" t="s">
        <v>44</v>
      </c>
    </row>
    <row r="1982" customFormat="false" ht="15" hidden="false" customHeight="true" outlineLevel="0" collapsed="false">
      <c r="A1982" s="12" t="n">
        <v>19007</v>
      </c>
      <c r="B1982" s="93" t="s">
        <v>8560</v>
      </c>
      <c r="C1982" s="16" t="n">
        <v>45739</v>
      </c>
      <c r="D1982" s="13" t="s">
        <v>7948</v>
      </c>
      <c r="E1982" s="15" t="s">
        <v>7949</v>
      </c>
      <c r="F1982" s="15" t="str">
        <f aca="false">IFERROR(__xludf.dummyfunction("XLOOKUP(AJ1982,IMPORTRANGE(""1XaInW9DU9nz21V0tYIfzFQ0He9kVQ_JF2mCXgZ3hqFA"",""REKAP ALL 2026 - Andika!G:G""),IMPORTRANGE(""1XaInW9DU9nz21V0tYIfzFQ0He9kVQ_JF2mCXgZ3hqFA"",""REKAP ALL 2026 - Andika!F:F""),"""",0)"),"25047635229")</f>
        <v>25047635229</v>
      </c>
      <c r="G1982" s="13" t="s">
        <v>57</v>
      </c>
      <c r="H1982" s="13" t="s">
        <v>7950</v>
      </c>
      <c r="I1982" s="13" t="str">
        <f aca="false">IF(C1982=J1982,"NEW KONTRAK","RE-KONTRAK")</f>
        <v>RE-KONTRAK</v>
      </c>
      <c r="J1982" s="16" t="n">
        <f aca="false" t="array" ref="J1982:J1982">IFERROR(INDEX(AC1982:AE1982,IF(COUNTA(AC1982:AE1982)=0,"",MAX((AC1982:AE1982&lt;&gt;"")*(COLUMN(AC1982:AE1982)-(COLUMN(AC1982)))))-1),"")</f>
        <v>45844</v>
      </c>
      <c r="K1982" s="16" t="n">
        <f aca="false" t="array" ref="K1982:K1982">IFERROR(INDEX(AC1982:AE1982,IF(COUNTA(AC1982:AE1982)=0,"",MAX((AC1982:AE1982&lt;&gt;"")*(COLUMN(AC1982:AE1982)-(COLUMN(AC1982)-1))))-1),"")</f>
        <v>45935</v>
      </c>
      <c r="L1982" s="17" t="str">
        <f aca="false" t="array" ref="L1982:L1982">IFERROR(INDEX(AC1982:AE1982,IF(COUNTA(AC1982:AE1982)=0,"",MAX((AC1982:AE1982&lt;&gt;"")*(COLUMN(AC1982:AE1982)-(COLUMN(AC1982)-2))))-1),"")</f>
        <v>ARCHIVED</v>
      </c>
      <c r="M1982" s="13" t="n">
        <f aca="true">K1982-TODAY()</f>
        <v>-389</v>
      </c>
      <c r="N1982" s="18" t="s">
        <v>4051</v>
      </c>
      <c r="O1982" s="95" t="s">
        <v>7951</v>
      </c>
      <c r="P1982" s="19" t="n">
        <v>210000</v>
      </c>
      <c r="Q1982" s="96" t="s">
        <v>8561</v>
      </c>
      <c r="R1982" s="97" t="s">
        <v>73</v>
      </c>
      <c r="S1982" s="16" t="n">
        <v>34449</v>
      </c>
      <c r="T1982" s="13" t="s">
        <v>40</v>
      </c>
      <c r="U1982" s="95" t="s">
        <v>8562</v>
      </c>
      <c r="V1982" s="13" t="s">
        <v>42</v>
      </c>
      <c r="W1982" s="13" t="s">
        <v>54</v>
      </c>
      <c r="X1982" s="30" t="n">
        <v>83108053100</v>
      </c>
      <c r="Y1982" s="22" t="str">
        <f aca="false">O1982</f>
        <v>Mekanik Kiln</v>
      </c>
      <c r="Z1982" s="13" t="str">
        <f aca="false">IFERROR(__xludf.dummyfunction("if(BJ1982="""","""",GOOGLETRANSLATE(BJ1982,""auto"",""en""))"),"Kiln Mechanics")</f>
        <v>Kiln Mechanics</v>
      </c>
      <c r="AA1982" s="23" t="str">
        <f aca="false">IF(C1982="","", CHOOSE(MONTH(C1982),"January","February","March","April","May","June","July","August","September","October","November","December")&amp;" "&amp;DAY(C1982)&amp;MID("thstndrdth",MIN(9,2*RIGHT(DAY(C1982))*(MOD(DAY(C1982)-11,100)&gt;2)+1),2)&amp;","&amp;TEXT(C1982," yyyy"))</f>
        <v>March 23rd,2025</v>
      </c>
      <c r="AB1982" s="15" t="str">
        <f aca="true">IF(S1982="","",DATEDIF(S1982,TODAY(),"Y")&amp;" Tahun, "&amp;DATEDIF(S1982,TODAY(),"YM")&amp;" Bulan, "&amp;DATEDIF(S1982,TODAY(),"MD")&amp;" Hari")</f>
        <v>32 Tahun, 6 Bulan, 4 Hari</v>
      </c>
      <c r="AC1982" s="18" t="n">
        <v>45844</v>
      </c>
      <c r="AD1982" s="18" t="n">
        <v>45935</v>
      </c>
      <c r="AE1982" s="18" t="s">
        <v>44</v>
      </c>
    </row>
    <row r="1983" customFormat="false" ht="15" hidden="false" customHeight="true" outlineLevel="0" collapsed="false">
      <c r="A1983" s="12" t="n">
        <v>19008</v>
      </c>
      <c r="B1983" s="93" t="s">
        <v>8563</v>
      </c>
      <c r="C1983" s="16" t="n">
        <v>45739</v>
      </c>
      <c r="D1983" s="13" t="s">
        <v>7948</v>
      </c>
      <c r="E1983" s="15" t="s">
        <v>7949</v>
      </c>
      <c r="F1983" s="15" t="str">
        <f aca="false">IFERROR(__xludf.dummyfunction("XLOOKUP(AJ1983,IMPORTRANGE(""1XaInW9DU9nz21V0tYIfzFQ0He9kVQ_JF2mCXgZ3hqFA"",""REKAP ALL 2026 - Andika!G:G""),IMPORTRANGE(""1XaInW9DU9nz21V0tYIfzFQ0He9kVQ_JF2mCXgZ3hqFA"",""REKAP ALL 2026 - Andika!F:F""),"""",0)"),"25047635260")</f>
        <v>25047635260</v>
      </c>
      <c r="G1983" s="13" t="s">
        <v>57</v>
      </c>
      <c r="H1983" s="13" t="s">
        <v>7950</v>
      </c>
      <c r="I1983" s="13" t="str">
        <f aca="false">IF(C1983=J1983,"NEW KONTRAK","RE-KONTRAK")</f>
        <v>RE-KONTRAK</v>
      </c>
      <c r="J1983" s="16" t="n">
        <f aca="false" t="array" ref="J1983:J1983">IFERROR(INDEX(AC1983:AE1983,IF(COUNTA(AC1983:AE1983)=0,"",MAX((AC1983:AE1983&lt;&gt;"")*(COLUMN(AC1983:AE1983)-(COLUMN(AC1983)))))-1),"")</f>
        <v>45844</v>
      </c>
      <c r="K1983" s="16" t="n">
        <f aca="false" t="array" ref="K1983:K1983">IFERROR(INDEX(AC1983:AE1983,IF(COUNTA(AC1983:AE1983)=0,"",MAX((AC1983:AE1983&lt;&gt;"")*(COLUMN(AC1983:AE1983)-(COLUMN(AC1983)-1))))-1),"")</f>
        <v>45935</v>
      </c>
      <c r="L1983" s="17" t="str">
        <f aca="false" t="array" ref="L1983:L1983">IFERROR(INDEX(AC1983:AE1983,IF(COUNTA(AC1983:AE1983)=0,"",MAX((AC1983:AE1983&lt;&gt;"")*(COLUMN(AC1983:AE1983)-(COLUMN(AC1983)-2))))-1),"")</f>
        <v>ARCHIVED</v>
      </c>
      <c r="M1983" s="13" t="n">
        <f aca="true">K1983-TODAY()</f>
        <v>-389</v>
      </c>
      <c r="N1983" s="18" t="s">
        <v>4051</v>
      </c>
      <c r="O1983" s="95" t="s">
        <v>7951</v>
      </c>
      <c r="P1983" s="19" t="n">
        <v>245000</v>
      </c>
      <c r="Q1983" s="96" t="s">
        <v>8564</v>
      </c>
      <c r="R1983" s="97" t="s">
        <v>232</v>
      </c>
      <c r="S1983" s="16" t="n">
        <v>28836</v>
      </c>
      <c r="T1983" s="13" t="s">
        <v>40</v>
      </c>
      <c r="U1983" s="95" t="s">
        <v>8565</v>
      </c>
      <c r="V1983" s="13" t="s">
        <v>42</v>
      </c>
      <c r="W1983" s="13" t="s">
        <v>54</v>
      </c>
      <c r="X1983" s="30" t="n">
        <v>85230923271</v>
      </c>
      <c r="Y1983" s="22" t="str">
        <f aca="false">O1983</f>
        <v>Mekanik Kiln</v>
      </c>
      <c r="Z1983" s="13" t="str">
        <f aca="false">IFERROR(__xludf.dummyfunction("if(BJ1983="""","""",GOOGLETRANSLATE(BJ1983,""auto"",""en""))"),"Kiln Mechanics")</f>
        <v>Kiln Mechanics</v>
      </c>
      <c r="AA1983" s="23" t="str">
        <f aca="false">IF(C1983="","", CHOOSE(MONTH(C1983),"January","February","March","April","May","June","July","August","September","October","November","December")&amp;" "&amp;DAY(C1983)&amp;MID("thstndrdth",MIN(9,2*RIGHT(DAY(C1983))*(MOD(DAY(C1983)-11,100)&gt;2)+1),2)&amp;","&amp;TEXT(C1983," yyyy"))</f>
        <v>March 23rd,2025</v>
      </c>
      <c r="AB1983" s="15" t="str">
        <f aca="true">IF(S1983="","",DATEDIF(S1983,TODAY(),"Y")&amp;" Tahun, "&amp;DATEDIF(S1983,TODAY(),"YM")&amp;" Bulan, "&amp;DATEDIF(S1983,TODAY(),"MD")&amp;" Hari")</f>
        <v>47 Tahun, 10 Bulan, 17 Hari</v>
      </c>
      <c r="AC1983" s="18" t="n">
        <v>45844</v>
      </c>
      <c r="AD1983" s="18" t="n">
        <v>45935</v>
      </c>
      <c r="AE1983" s="18" t="s">
        <v>44</v>
      </c>
    </row>
    <row r="1984" customFormat="false" ht="15" hidden="false" customHeight="true" outlineLevel="0" collapsed="false">
      <c r="A1984" s="12" t="n">
        <v>19009</v>
      </c>
      <c r="B1984" s="93" t="s">
        <v>8566</v>
      </c>
      <c r="C1984" s="16" t="n">
        <v>45739</v>
      </c>
      <c r="D1984" s="13" t="s">
        <v>7948</v>
      </c>
      <c r="E1984" s="15" t="s">
        <v>7949</v>
      </c>
      <c r="F1984" s="15" t="str">
        <f aca="false">IFERROR(__xludf.dummyfunction("XLOOKUP(AJ1984,IMPORTRANGE(""1XaInW9DU9nz21V0tYIfzFQ0He9kVQ_JF2mCXgZ3hqFA"",""REKAP ALL 2026 - Andika!G:G""),IMPORTRANGE(""1XaInW9DU9nz21V0tYIfzFQ0He9kVQ_JF2mCXgZ3hqFA"",""REKAP ALL 2026 - Andika!F:F""),"""",0)"),"25047635286")</f>
        <v>25047635286</v>
      </c>
      <c r="G1984" s="13" t="s">
        <v>57</v>
      </c>
      <c r="H1984" s="13" t="s">
        <v>7950</v>
      </c>
      <c r="I1984" s="13" t="str">
        <f aca="false">IF(C1984=J1984,"NEW KONTRAK","RE-KONTRAK")</f>
        <v>RE-KONTRAK</v>
      </c>
      <c r="J1984" s="16" t="n">
        <f aca="false" t="array" ref="J1984:J1984">IFERROR(INDEX(AC1984:AE1984,IF(COUNTA(AC1984:AE1984)=0,"",MAX((AC1984:AE1984&lt;&gt;"")*(COLUMN(AC1984:AE1984)-(COLUMN(AC1984)))))-1),"")</f>
        <v>45844</v>
      </c>
      <c r="K1984" s="16" t="n">
        <f aca="false" t="array" ref="K1984:K1984">IFERROR(INDEX(AC1984:AE1984,IF(COUNTA(AC1984:AE1984)=0,"",MAX((AC1984:AE1984&lt;&gt;"")*(COLUMN(AC1984:AE1984)-(COLUMN(AC1984)-1))))-1),"")</f>
        <v>45935</v>
      </c>
      <c r="L1984" s="17" t="str">
        <f aca="false" t="array" ref="L1984:L1984">IFERROR(INDEX(AC1984:AE1984,IF(COUNTA(AC1984:AE1984)=0,"",MAX((AC1984:AE1984&lt;&gt;"")*(COLUMN(AC1984:AE1984)-(COLUMN(AC1984)-2))))-1),"")</f>
        <v>ARCHIVED</v>
      </c>
      <c r="M1984" s="13" t="n">
        <f aca="true">K1984-TODAY()</f>
        <v>-389</v>
      </c>
      <c r="N1984" s="18" t="s">
        <v>4051</v>
      </c>
      <c r="O1984" s="95" t="s">
        <v>7951</v>
      </c>
      <c r="P1984" s="19" t="n">
        <v>245000</v>
      </c>
      <c r="Q1984" s="96" t="s">
        <v>8567</v>
      </c>
      <c r="R1984" s="97" t="s">
        <v>232</v>
      </c>
      <c r="S1984" s="16" t="n">
        <v>30271</v>
      </c>
      <c r="T1984" s="13" t="s">
        <v>40</v>
      </c>
      <c r="U1984" s="95" t="s">
        <v>8568</v>
      </c>
      <c r="V1984" s="13" t="s">
        <v>42</v>
      </c>
      <c r="W1984" s="13" t="s">
        <v>54</v>
      </c>
      <c r="X1984" s="30" t="n">
        <v>85174529912</v>
      </c>
      <c r="Y1984" s="22" t="str">
        <f aca="false">O1984</f>
        <v>Mekanik Kiln</v>
      </c>
      <c r="Z1984" s="13" t="str">
        <f aca="false">IFERROR(__xludf.dummyfunction("if(BJ1984="""","""",GOOGLETRANSLATE(BJ1984,""auto"",""en""))"),"Kiln Mechanics")</f>
        <v>Kiln Mechanics</v>
      </c>
      <c r="AA1984" s="23" t="str">
        <f aca="false">IF(C1984="","", CHOOSE(MONTH(C1984),"January","February","March","April","May","June","July","August","September","October","November","December")&amp;" "&amp;DAY(C1984)&amp;MID("thstndrdth",MIN(9,2*RIGHT(DAY(C1984))*(MOD(DAY(C1984)-11,100)&gt;2)+1),2)&amp;","&amp;TEXT(C1984," yyyy"))</f>
        <v>March 23rd,2025</v>
      </c>
      <c r="AB1984" s="15" t="str">
        <f aca="true">IF(S1984="","",DATEDIF(S1984,TODAY(),"Y")&amp;" Tahun, "&amp;DATEDIF(S1984,TODAY(),"YM")&amp;" Bulan, "&amp;DATEDIF(S1984,TODAY(),"MD")&amp;" Hari")</f>
        <v>43 Tahun, 11 Bulan, 13 Hari</v>
      </c>
      <c r="AC1984" s="18" t="n">
        <v>45844</v>
      </c>
      <c r="AD1984" s="18" t="n">
        <v>45935</v>
      </c>
      <c r="AE1984" s="18" t="s">
        <v>44</v>
      </c>
    </row>
    <row r="1985" customFormat="false" ht="15" hidden="false" customHeight="true" outlineLevel="0" collapsed="false">
      <c r="A1985" s="12" t="n">
        <v>19011</v>
      </c>
      <c r="B1985" s="13" t="s">
        <v>8569</v>
      </c>
      <c r="C1985" s="16" t="n">
        <v>45740</v>
      </c>
      <c r="D1985" s="13" t="s">
        <v>1338</v>
      </c>
      <c r="E1985" s="15" t="s">
        <v>47</v>
      </c>
      <c r="F1985" s="15" t="str">
        <f aca="false">IFERROR(__xludf.dummyfunction("XLOOKUP(AJ1985,IMPORTRANGE(""1XaInW9DU9nz21V0tYIfzFQ0He9kVQ_JF2mCXgZ3hqFA"",""REKAP ALL 2026 - Andika!G:G""),IMPORTRANGE(""1XaInW9DU9nz21V0tYIfzFQ0He9kVQ_JF2mCXgZ3hqFA"",""REKAP ALL 2026 - Andika!F:F""),"""",0)"),"25047635344")</f>
        <v>25047635344</v>
      </c>
      <c r="G1985" s="13" t="s">
        <v>57</v>
      </c>
      <c r="H1985" s="13" t="s">
        <v>7955</v>
      </c>
      <c r="I1985" s="13" t="str">
        <f aca="false">IF(C1985=J1985,"NEW KONTRAK","RE-KONTRAK")</f>
        <v>RE-KONTRAK</v>
      </c>
      <c r="J1985" s="16" t="n">
        <f aca="false" t="array" ref="J1985:J1985">IFERROR(INDEX(AC1985:AE1985,IF(COUNTA(AC1985:AE1985)=0,"",MAX((AC1985:AE1985&lt;&gt;"")*(COLUMN(AC1985:AE1985)-(COLUMN(AC1985)))))-1),"")</f>
        <v>45844</v>
      </c>
      <c r="K1985" s="16" t="n">
        <f aca="false" t="array" ref="K1985:K1985">IFERROR(INDEX(AC1985:AE1985,IF(COUNTA(AC1985:AE1985)=0,"",MAX((AC1985:AE1985&lt;&gt;"")*(COLUMN(AC1985:AE1985)-(COLUMN(AC1985)-1))))-1),"")</f>
        <v>45935</v>
      </c>
      <c r="L1985" s="17" t="str">
        <f aca="false" t="array" ref="L1985:L1985">IFERROR(INDEX(AC1985:AE1985,IF(COUNTA(AC1985:AE1985)=0,"",MAX((AC1985:AE1985&lt;&gt;"")*(COLUMN(AC1985:AE1985)-(COLUMN(AC1985)-2))))-1),"")</f>
        <v>KEMBALI</v>
      </c>
      <c r="M1985" s="13" t="n">
        <f aca="true">K1985-TODAY()</f>
        <v>-389</v>
      </c>
      <c r="N1985" s="18" t="s">
        <v>615</v>
      </c>
      <c r="O1985" s="13" t="s">
        <v>7951</v>
      </c>
      <c r="P1985" s="19" t="n">
        <v>210000</v>
      </c>
      <c r="Q1985" s="20" t="s">
        <v>8570</v>
      </c>
      <c r="R1985" s="13" t="s">
        <v>65</v>
      </c>
      <c r="S1985" s="16" t="n">
        <v>32241</v>
      </c>
      <c r="T1985" s="13" t="s">
        <v>40</v>
      </c>
      <c r="U1985" s="13" t="s">
        <v>8571</v>
      </c>
      <c r="V1985" s="13" t="s">
        <v>42</v>
      </c>
      <c r="W1985" s="13" t="s">
        <v>54</v>
      </c>
      <c r="X1985" s="21" t="n">
        <v>89678860677</v>
      </c>
      <c r="Y1985" s="22" t="str">
        <f aca="false">O1985</f>
        <v>Mekanik Kiln</v>
      </c>
      <c r="Z1985" s="13" t="str">
        <f aca="false">IFERROR(__xludf.dummyfunction("if(BJ1985="""","""",GOOGLETRANSLATE(BJ1985,""auto"",""en""))"),"Kiln Mechanics")</f>
        <v>Kiln Mechanics</v>
      </c>
      <c r="AA1985" s="23" t="str">
        <f aca="false">IF(C1985="","", CHOOSE(MONTH(C1985),"January","February","March","April","May","June","July","August","September","October","November","December")&amp;" "&amp;DAY(C1985)&amp;MID("thstndrdth",MIN(9,2*RIGHT(DAY(C1985))*(MOD(DAY(C1985)-11,100)&gt;2)+1),2)&amp;","&amp;TEXT(C1985," yyyy"))</f>
        <v>March 24th,2025</v>
      </c>
      <c r="AB1985" s="15" t="str">
        <f aca="true">IF(S1985="","",DATEDIF(S1985,TODAY(),"Y")&amp;" Tahun, "&amp;DATEDIF(S1985,TODAY(),"YM")&amp;" Bulan, "&amp;DATEDIF(S1985,TODAY(),"MD")&amp;" Hari")</f>
        <v>38 Tahun, 6 Bulan, 21 Hari</v>
      </c>
      <c r="AC1985" s="18" t="n">
        <v>45844</v>
      </c>
      <c r="AD1985" s="18" t="n">
        <v>45935</v>
      </c>
      <c r="AE1985" s="13" t="s">
        <v>397</v>
      </c>
    </row>
    <row r="1986" customFormat="false" ht="15" hidden="false" customHeight="true" outlineLevel="0" collapsed="false">
      <c r="A1986" s="12" t="n">
        <v>19012</v>
      </c>
      <c r="B1986" s="13" t="s">
        <v>8572</v>
      </c>
      <c r="C1986" s="16" t="n">
        <v>45740</v>
      </c>
      <c r="D1986" s="13" t="s">
        <v>7948</v>
      </c>
      <c r="E1986" s="15" t="s">
        <v>102</v>
      </c>
      <c r="F1986" s="15" t="str">
        <f aca="false">IFERROR(__xludf.dummyfunction("XLOOKUP(AJ1986,IMPORTRANGE(""1XaInW9DU9nz21V0tYIfzFQ0He9kVQ_JF2mCXgZ3hqFA"",""REKAP ALL 2026 - Andika!G:G""),IMPORTRANGE(""1XaInW9DU9nz21V0tYIfzFQ0He9kVQ_JF2mCXgZ3hqFA"",""REKAP ALL 2026 - Andika!F:F""),"""",0)"),"25047635351")</f>
        <v>25047635351</v>
      </c>
      <c r="G1986" s="13" t="s">
        <v>57</v>
      </c>
      <c r="H1986" s="13" t="s">
        <v>7955</v>
      </c>
      <c r="I1986" s="13" t="str">
        <f aca="false">IF(C1986=J1986,"NEW KONTRAK","RE-KONTRAK")</f>
        <v>RE-KONTRAK</v>
      </c>
      <c r="J1986" s="16" t="n">
        <f aca="false" t="array" ref="J1986:J1986">IFERROR(INDEX(AC1986:AE1986,IF(COUNTA(AC1986:AE1986)=0,"",MAX((AC1986:AE1986&lt;&gt;"")*(COLUMN(AC1986:AE1986)-(COLUMN(AC1986)))))-1),"")</f>
        <v>45844</v>
      </c>
      <c r="K1986" s="16" t="n">
        <f aca="false" t="array" ref="K1986:K1986">IFERROR(INDEX(AC1986:AE1986,IF(COUNTA(AC1986:AE1986)=0,"",MAX((AC1986:AE1986&lt;&gt;"")*(COLUMN(AC1986:AE1986)-(COLUMN(AC1986)-1))))-1),"")</f>
        <v>45935</v>
      </c>
      <c r="L1986" s="17" t="str">
        <f aca="false" t="array" ref="L1986:L1986">IFERROR(INDEX(AC1986:AE1986,IF(COUNTA(AC1986:AE1986)=0,"",MAX((AC1986:AE1986&lt;&gt;"")*(COLUMN(AC1986:AE1986)-(COLUMN(AC1986)-2))))-1),"")</f>
        <v>KEMBALI</v>
      </c>
      <c r="M1986" s="13" t="n">
        <f aca="true">K1986-TODAY()</f>
        <v>-389</v>
      </c>
      <c r="N1986" s="18" t="s">
        <v>4051</v>
      </c>
      <c r="O1986" s="13" t="s">
        <v>7951</v>
      </c>
      <c r="P1986" s="19" t="n">
        <v>210000</v>
      </c>
      <c r="Q1986" s="20" t="s">
        <v>8573</v>
      </c>
      <c r="R1986" s="13" t="s">
        <v>232</v>
      </c>
      <c r="S1986" s="16" t="n">
        <v>29867</v>
      </c>
      <c r="T1986" s="13" t="s">
        <v>40</v>
      </c>
      <c r="U1986" s="13" t="s">
        <v>8574</v>
      </c>
      <c r="V1986" s="13" t="s">
        <v>42</v>
      </c>
      <c r="W1986" s="13" t="s">
        <v>54</v>
      </c>
      <c r="X1986" s="30" t="n">
        <v>85719049663</v>
      </c>
      <c r="Y1986" s="22" t="str">
        <f aca="false">O1986</f>
        <v>Mekanik Kiln</v>
      </c>
      <c r="Z1986" s="13" t="str">
        <f aca="false">IFERROR(__xludf.dummyfunction("if(BJ1986="""","""",GOOGLETRANSLATE(BJ1986,""auto"",""en""))"),"Kiln Mechanics")</f>
        <v>Kiln Mechanics</v>
      </c>
      <c r="AA1986" s="23" t="str">
        <f aca="false">IF(C1986="","", CHOOSE(MONTH(C1986),"January","February","March","April","May","June","July","August","September","October","November","December")&amp;" "&amp;DAY(C1986)&amp;MID("thstndrdth",MIN(9,2*RIGHT(DAY(C1986))*(MOD(DAY(C1986)-11,100)&gt;2)+1),2)&amp;","&amp;TEXT(C1986," yyyy"))</f>
        <v>March 24th,2025</v>
      </c>
      <c r="AB1986" s="15" t="str">
        <f aca="true">IF(S1986="","",DATEDIF(S1986,TODAY(),"Y")&amp;" Tahun, "&amp;DATEDIF(S1986,TODAY(),"YM")&amp;" Bulan, "&amp;DATEDIF(S1986,TODAY(),"MD")&amp;" Hari")</f>
        <v>45 Tahun, 0 Bulan, 21 Hari</v>
      </c>
      <c r="AC1986" s="18" t="n">
        <v>45844</v>
      </c>
      <c r="AD1986" s="18" t="n">
        <v>45935</v>
      </c>
      <c r="AE1986" s="13" t="s">
        <v>397</v>
      </c>
    </row>
    <row r="1987" customFormat="false" ht="15" hidden="false" customHeight="true" outlineLevel="0" collapsed="false">
      <c r="A1987" s="12" t="n">
        <v>19014</v>
      </c>
      <c r="B1987" s="13" t="s">
        <v>8575</v>
      </c>
      <c r="C1987" s="16" t="n">
        <v>45740</v>
      </c>
      <c r="D1987" s="13" t="s">
        <v>7948</v>
      </c>
      <c r="E1987" s="15" t="s">
        <v>7949</v>
      </c>
      <c r="F1987" s="15" t="str">
        <f aca="false">IFERROR(__xludf.dummyfunction("XLOOKUP(AJ1987,IMPORTRANGE(""1XaInW9DU9nz21V0tYIfzFQ0He9kVQ_JF2mCXgZ3hqFA"",""REKAP ALL 2026 - Andika!G:G""),IMPORTRANGE(""1XaInW9DU9nz21V0tYIfzFQ0He9kVQ_JF2mCXgZ3hqFA"",""REKAP ALL 2026 - Andika!F:F""),"""",0)"),"25047635369")</f>
        <v>25047635369</v>
      </c>
      <c r="G1987" s="13" t="s">
        <v>57</v>
      </c>
      <c r="H1987" s="13" t="s">
        <v>7955</v>
      </c>
      <c r="I1987" s="13" t="str">
        <f aca="false">IF(C1987=J1987,"NEW KONTRAK","RE-KONTRAK")</f>
        <v>RE-KONTRAK</v>
      </c>
      <c r="J1987" s="16" t="n">
        <f aca="false" t="array" ref="J1987:J1987">IFERROR(INDEX(AC1987:AE1987,IF(COUNTA(AC1987:AE1987)=0,"",MAX((AC1987:AE1987&lt;&gt;"")*(COLUMN(AC1987:AE1987)-(COLUMN(AC1987)))))-1),"")</f>
        <v>45844</v>
      </c>
      <c r="K1987" s="16" t="n">
        <f aca="false" t="array" ref="K1987:K1987">IFERROR(INDEX(AC1987:AE1987,IF(COUNTA(AC1987:AE1987)=0,"",MAX((AC1987:AE1987&lt;&gt;"")*(COLUMN(AC1987:AE1987)-(COLUMN(AC1987)-1))))-1),"")</f>
        <v>45935</v>
      </c>
      <c r="L1987" s="17" t="str">
        <f aca="false" t="array" ref="L1987:L1987">IFERROR(INDEX(AC1987:AE1987,IF(COUNTA(AC1987:AE1987)=0,"",MAX((AC1987:AE1987&lt;&gt;"")*(COLUMN(AC1987:AE1987)-(COLUMN(AC1987)-2))))-1),"")</f>
        <v>KEMBALI</v>
      </c>
      <c r="M1987" s="13" t="n">
        <f aca="true">K1987-TODAY()</f>
        <v>-389</v>
      </c>
      <c r="N1987" s="18" t="s">
        <v>4051</v>
      </c>
      <c r="O1987" s="13" t="s">
        <v>7951</v>
      </c>
      <c r="P1987" s="19" t="n">
        <v>210000</v>
      </c>
      <c r="Q1987" s="20" t="s">
        <v>8576</v>
      </c>
      <c r="R1987" s="13" t="s">
        <v>232</v>
      </c>
      <c r="S1987" s="16" t="n">
        <v>33166</v>
      </c>
      <c r="T1987" s="13" t="s">
        <v>40</v>
      </c>
      <c r="U1987" s="13" t="s">
        <v>8577</v>
      </c>
      <c r="V1987" s="13" t="s">
        <v>42</v>
      </c>
      <c r="W1987" s="13" t="s">
        <v>43</v>
      </c>
      <c r="X1987" s="30" t="n">
        <v>81393149190</v>
      </c>
      <c r="Y1987" s="22" t="str">
        <f aca="false">O1987</f>
        <v>Mekanik Kiln</v>
      </c>
      <c r="Z1987" s="13" t="str">
        <f aca="false">IFERROR(__xludf.dummyfunction("if(BJ1987="""","""",GOOGLETRANSLATE(BJ1987,""auto"",""en""))"),"Kiln Mechanics")</f>
        <v>Kiln Mechanics</v>
      </c>
      <c r="AA1987" s="23" t="str">
        <f aca="false">IF(C1987="","", CHOOSE(MONTH(C1987),"January","February","March","April","May","June","July","August","September","October","November","December")&amp;" "&amp;DAY(C1987)&amp;MID("thstndrdth",MIN(9,2*RIGHT(DAY(C1987))*(MOD(DAY(C1987)-11,100)&gt;2)+1),2)&amp;","&amp;TEXT(C1987," yyyy"))</f>
        <v>March 24th,2025</v>
      </c>
      <c r="AB1987" s="15" t="str">
        <f aca="true">IF(S1987="","",DATEDIF(S1987,TODAY(),"Y")&amp;" Tahun, "&amp;DATEDIF(S1987,TODAY(),"YM")&amp;" Bulan, "&amp;DATEDIF(S1987,TODAY(),"MD")&amp;" Hari")</f>
        <v>36 Tahun, 0 Bulan, 9 Hari</v>
      </c>
      <c r="AC1987" s="18" t="n">
        <v>45844</v>
      </c>
      <c r="AD1987" s="18" t="n">
        <v>45935</v>
      </c>
      <c r="AE1987" s="13" t="s">
        <v>397</v>
      </c>
    </row>
    <row r="1988" customFormat="false" ht="15" hidden="false" customHeight="true" outlineLevel="0" collapsed="false">
      <c r="A1988" s="12" t="n">
        <v>19016</v>
      </c>
      <c r="B1988" s="13" t="s">
        <v>8578</v>
      </c>
      <c r="C1988" s="16" t="n">
        <v>45740</v>
      </c>
      <c r="D1988" s="13" t="s">
        <v>1338</v>
      </c>
      <c r="E1988" s="15" t="s">
        <v>47</v>
      </c>
      <c r="F1988" s="15" t="str">
        <f aca="false">IFERROR(__xludf.dummyfunction("XLOOKUP(AJ1988,IMPORTRANGE(""1XaInW9DU9nz21V0tYIfzFQ0He9kVQ_JF2mCXgZ3hqFA"",""REKAP ALL 2026 - Andika!G:G""),IMPORTRANGE(""1XaInW9DU9nz21V0tYIfzFQ0He9kVQ_JF2mCXgZ3hqFA"",""REKAP ALL 2026 - Andika!F:F""),"""",0)"),"25047635450")</f>
        <v>25047635450</v>
      </c>
      <c r="G1988" s="13" t="s">
        <v>57</v>
      </c>
      <c r="H1988" s="13" t="s">
        <v>2334</v>
      </c>
      <c r="I1988" s="13" t="str">
        <f aca="false">IF(C1988=J1988,"NEW KONTRAK","RE-KONTRAK")</f>
        <v>RE-KONTRAK</v>
      </c>
      <c r="J1988" s="16" t="n">
        <f aca="false" t="array" ref="J1988:J1988">IFERROR(INDEX(AC1988:AE1988,IF(COUNTA(AC1988:AE1988)=0,"",MAX((AC1988:AE1988&lt;&gt;"")*(COLUMN(AC1988:AE1988)-(COLUMN(AC1988)))))-1),"")</f>
        <v>45844</v>
      </c>
      <c r="K1988" s="16" t="n">
        <f aca="false" t="array" ref="K1988:K1988">IFERROR(INDEX(AC1988:AE1988,IF(COUNTA(AC1988:AE1988)=0,"",MAX((AC1988:AE1988&lt;&gt;"")*(COLUMN(AC1988:AE1988)-(COLUMN(AC1988)-1))))-1),"")</f>
        <v>45935</v>
      </c>
      <c r="L1988" s="17" t="str">
        <f aca="false" t="array" ref="L1988:L1988">IFERROR(INDEX(AC1988:AE1988,IF(COUNTA(AC1988:AE1988)=0,"",MAX((AC1988:AE1988&lt;&gt;"")*(COLUMN(AC1988:AE1988)-(COLUMN(AC1988)-2))))-1),"")</f>
        <v>KEMBALI</v>
      </c>
      <c r="M1988" s="13" t="n">
        <f aca="true">K1988-TODAY()</f>
        <v>-389</v>
      </c>
      <c r="N1988" s="18" t="s">
        <v>615</v>
      </c>
      <c r="O1988" s="13" t="s">
        <v>2335</v>
      </c>
      <c r="P1988" s="19" t="n">
        <v>194241</v>
      </c>
      <c r="Q1988" s="20" t="s">
        <v>8579</v>
      </c>
      <c r="R1988" s="13" t="s">
        <v>232</v>
      </c>
      <c r="S1988" s="16" t="n">
        <v>29772</v>
      </c>
      <c r="T1988" s="13" t="s">
        <v>40</v>
      </c>
      <c r="U1988" s="13" t="s">
        <v>8580</v>
      </c>
      <c r="V1988" s="13" t="s">
        <v>1310</v>
      </c>
      <c r="W1988" s="13" t="s">
        <v>54</v>
      </c>
      <c r="X1988" s="21" t="n">
        <v>81559551166</v>
      </c>
      <c r="Y1988" s="22" t="str">
        <f aca="false">O1988</f>
        <v>Project Management</v>
      </c>
      <c r="Z1988" s="13" t="str">
        <f aca="false">IFERROR(__xludf.dummyfunction("if(BJ1988="""","""",GOOGLETRANSLATE(BJ1988,""auto"",""en""))"),"Project Management")</f>
        <v>Project Management</v>
      </c>
      <c r="AA1988" s="23" t="str">
        <f aca="false">IF(C1988="","", CHOOSE(MONTH(C1988),"January","February","March","April","May","June","July","August","September","October","November","December")&amp;" "&amp;DAY(C1988)&amp;MID("thstndrdth",MIN(9,2*RIGHT(DAY(C1988))*(MOD(DAY(C1988)-11,100)&gt;2)+1),2)&amp;","&amp;TEXT(C1988," yyyy"))</f>
        <v>March 24th,2025</v>
      </c>
      <c r="AB1988" s="15" t="str">
        <f aca="true">IF(S1988="","",DATEDIF(S1988,TODAY(),"Y")&amp;" Tahun, "&amp;DATEDIF(S1988,TODAY(),"YM")&amp;" Bulan, "&amp;DATEDIF(S1988,TODAY(),"MD")&amp;" Hari")</f>
        <v>45 Tahun, 3 Bulan, 24 Hari</v>
      </c>
      <c r="AC1988" s="18" t="n">
        <v>45844</v>
      </c>
      <c r="AD1988" s="18" t="n">
        <v>45935</v>
      </c>
      <c r="AE1988" s="13" t="s">
        <v>397</v>
      </c>
    </row>
    <row r="1989" customFormat="false" ht="15" hidden="false" customHeight="true" outlineLevel="0" collapsed="false">
      <c r="A1989" s="12" t="n">
        <v>19017</v>
      </c>
      <c r="B1989" s="13" t="s">
        <v>8581</v>
      </c>
      <c r="C1989" s="16" t="n">
        <v>45740</v>
      </c>
      <c r="D1989" s="13" t="s">
        <v>1338</v>
      </c>
      <c r="E1989" s="15" t="s">
        <v>789</v>
      </c>
      <c r="F1989" s="24" t="s">
        <v>8582</v>
      </c>
      <c r="G1989" s="13" t="s">
        <v>57</v>
      </c>
      <c r="H1989" s="13" t="s">
        <v>2334</v>
      </c>
      <c r="I1989" s="13" t="str">
        <f aca="false">IF(C1989=J1989,"NEW KONTRAK","RE-KONTRAK")</f>
        <v>RE-KONTRAK</v>
      </c>
      <c r="J1989" s="16" t="n">
        <f aca="false" t="array" ref="J1989:J1989">IFERROR(INDEX(AC1989:AE1989,IF(COUNTA(AC1989:AE1989)=0,"",MAX((AC1989:AE1989&lt;&gt;"")*(COLUMN(AC1989:AE1989)-(COLUMN(AC1989)))))-1),"")</f>
        <v>45844</v>
      </c>
      <c r="K1989" s="16" t="n">
        <f aca="false" t="array" ref="K1989:K1989">IFERROR(INDEX(AC1989:AE1989,IF(COUNTA(AC1989:AE1989)=0,"",MAX((AC1989:AE1989&lt;&gt;"")*(COLUMN(AC1989:AE1989)-(COLUMN(AC1989)-1))))-1),"")</f>
        <v>45935</v>
      </c>
      <c r="L1989" s="17" t="str">
        <f aca="false" t="array" ref="L1989:L1989">IFERROR(INDEX(AC1989:AE1989,IF(COUNTA(AC1989:AE1989)=0,"",MAX((AC1989:AE1989&lt;&gt;"")*(COLUMN(AC1989:AE1989)-(COLUMN(AC1989)-2))))-1),"")</f>
        <v>ARCHIVED</v>
      </c>
      <c r="M1989" s="13" t="n">
        <f aca="true">K1989-TODAY()</f>
        <v>-389</v>
      </c>
      <c r="N1989" s="50" t="s">
        <v>615</v>
      </c>
      <c r="O1989" s="13" t="s">
        <v>2335</v>
      </c>
      <c r="P1989" s="19" t="n">
        <v>160000</v>
      </c>
      <c r="Q1989" s="20" t="s">
        <v>8583</v>
      </c>
      <c r="R1989" s="13" t="s">
        <v>39</v>
      </c>
      <c r="S1989" s="16" t="n">
        <v>32864</v>
      </c>
      <c r="T1989" s="13" t="s">
        <v>40</v>
      </c>
      <c r="U1989" s="13" t="s">
        <v>8584</v>
      </c>
      <c r="V1989" s="13" t="s">
        <v>42</v>
      </c>
      <c r="W1989" s="13" t="s">
        <v>43</v>
      </c>
      <c r="X1989" s="21" t="n">
        <v>8814970944</v>
      </c>
      <c r="Y1989" s="22" t="str">
        <f aca="false">O1989</f>
        <v>Project Management</v>
      </c>
      <c r="Z1989" s="13" t="str">
        <f aca="false">IFERROR(__xludf.dummyfunction("if(BJ1989="""","""",GOOGLETRANSLATE(BJ1989,""auto"",""en""))"),"Project Management")</f>
        <v>Project Management</v>
      </c>
      <c r="AA1989" s="23" t="str">
        <f aca="false">IF(C1989="","", CHOOSE(MONTH(C1989),"January","February","March","April","May","June","July","August","September","October","November","December")&amp;" "&amp;DAY(C1989)&amp;MID("thstndrdth",MIN(9,2*RIGHT(DAY(C1989))*(MOD(DAY(C1989)-11,100)&gt;2)+1),2)&amp;","&amp;TEXT(C1989," yyyy"))</f>
        <v>March 24th,2025</v>
      </c>
      <c r="AB1989" s="15" t="str">
        <f aca="true">IF(S1989="","",DATEDIF(S1989,TODAY(),"Y")&amp;" Tahun, "&amp;DATEDIF(S1989,TODAY(),"YM")&amp;" Bulan, "&amp;DATEDIF(S1989,TODAY(),"MD")&amp;" Hari")</f>
        <v>36 Tahun, 10 Bulan, 7 Hari</v>
      </c>
      <c r="AC1989" s="18" t="n">
        <v>45844</v>
      </c>
      <c r="AD1989" s="18" t="n">
        <v>45935</v>
      </c>
      <c r="AE1989" s="18" t="s">
        <v>44</v>
      </c>
    </row>
    <row r="1990" customFormat="false" ht="15" hidden="false" customHeight="true" outlineLevel="0" collapsed="false">
      <c r="A1990" s="12" t="n">
        <v>19018</v>
      </c>
      <c r="B1990" s="13" t="s">
        <v>8585</v>
      </c>
      <c r="C1990" s="16" t="n">
        <v>45742</v>
      </c>
      <c r="D1990" s="13" t="s">
        <v>7948</v>
      </c>
      <c r="E1990" s="15" t="s">
        <v>7949</v>
      </c>
      <c r="F1990" s="15" t="str">
        <f aca="false">IFERROR(__xludf.dummyfunction("XLOOKUP(AJ1990,IMPORTRANGE(""1XaInW9DU9nz21V0tYIfzFQ0He9kVQ_JF2mCXgZ3hqFA"",""REKAP ALL 2026 - Andika!G:G""),IMPORTRANGE(""1XaInW9DU9nz21V0tYIfzFQ0He9kVQ_JF2mCXgZ3hqFA"",""REKAP ALL 2026 - Andika!F:F""),"""",0)"),"25047635385")</f>
        <v>25047635385</v>
      </c>
      <c r="G1990" s="13" t="s">
        <v>57</v>
      </c>
      <c r="H1990" s="13" t="s">
        <v>7950</v>
      </c>
      <c r="I1990" s="13" t="str">
        <f aca="false">IF(C1990=J1990,"NEW KONTRAK","RE-KONTRAK")</f>
        <v>RE-KONTRAK</v>
      </c>
      <c r="J1990" s="16" t="n">
        <f aca="false" t="array" ref="J1990:J1990">IFERROR(INDEX(AC1990:AE1990,IF(COUNTA(AC1990:AE1990)=0,"",MAX((AC1990:AE1990&lt;&gt;"")*(COLUMN(AC1990:AE1990)-(COLUMN(AC1990)))))-1),"")</f>
        <v>45844</v>
      </c>
      <c r="K1990" s="16" t="n">
        <f aca="false" t="array" ref="K1990:K1990">IFERROR(INDEX(AC1990:AE1990,IF(COUNTA(AC1990:AE1990)=0,"",MAX((AC1990:AE1990&lt;&gt;"")*(COLUMN(AC1990:AE1990)-(COLUMN(AC1990)-1))))-1),"")</f>
        <v>45935</v>
      </c>
      <c r="L1990" s="17" t="str">
        <f aca="false" t="array" ref="L1990:L1990">IFERROR(INDEX(AC1990:AE1990,IF(COUNTA(AC1990:AE1990)=0,"",MAX((AC1990:AE1990&lt;&gt;"")*(COLUMN(AC1990:AE1990)-(COLUMN(AC1990)-2))))-1),"")</f>
        <v>ARCHIVED</v>
      </c>
      <c r="M1990" s="13" t="n">
        <f aca="true">K1990-TODAY()</f>
        <v>-389</v>
      </c>
      <c r="N1990" s="18" t="s">
        <v>4051</v>
      </c>
      <c r="O1990" s="13" t="s">
        <v>7951</v>
      </c>
      <c r="P1990" s="19" t="n">
        <v>210000</v>
      </c>
      <c r="Q1990" s="20" t="s">
        <v>8586</v>
      </c>
      <c r="R1990" s="13" t="s">
        <v>39</v>
      </c>
      <c r="S1990" s="16" t="n">
        <v>33685</v>
      </c>
      <c r="T1990" s="13" t="s">
        <v>40</v>
      </c>
      <c r="U1990" s="13" t="s">
        <v>8587</v>
      </c>
      <c r="V1990" s="13" t="s">
        <v>42</v>
      </c>
      <c r="W1990" s="13" t="s">
        <v>54</v>
      </c>
      <c r="X1990" s="30" t="n">
        <v>87886518506</v>
      </c>
      <c r="Y1990" s="22" t="str">
        <f aca="false">O1990</f>
        <v>Mekanik Kiln</v>
      </c>
      <c r="Z1990" s="13" t="str">
        <f aca="false">IFERROR(__xludf.dummyfunction("if(BJ1990="""","""",GOOGLETRANSLATE(BJ1990,""auto"",""en""))"),"Kiln Mechanics")</f>
        <v>Kiln Mechanics</v>
      </c>
      <c r="AA1990" s="23" t="str">
        <f aca="false">IF(C1990="","", CHOOSE(MONTH(C1990),"January","February","March","April","May","June","July","August","September","October","November","December")&amp;" "&amp;DAY(C1990)&amp;MID("thstndrdth",MIN(9,2*RIGHT(DAY(C1990))*(MOD(DAY(C1990)-11,100)&gt;2)+1),2)&amp;","&amp;TEXT(C1990," yyyy"))</f>
        <v>March 26th,2025</v>
      </c>
      <c r="AB1990" s="15" t="str">
        <f aca="true">IF(S1990="","",DATEDIF(S1990,TODAY(),"Y")&amp;" Tahun, "&amp;DATEDIF(S1990,TODAY(),"YM")&amp;" Bulan, "&amp;DATEDIF(S1990,TODAY(),"MD")&amp;" Hari")</f>
        <v>34 Tahun, 7 Bulan, 7 Hari</v>
      </c>
      <c r="AC1990" s="18" t="n">
        <v>45844</v>
      </c>
      <c r="AD1990" s="18" t="n">
        <v>45935</v>
      </c>
      <c r="AE1990" s="18" t="s">
        <v>44</v>
      </c>
    </row>
    <row r="1991" customFormat="false" ht="15" hidden="false" customHeight="true" outlineLevel="0" collapsed="false">
      <c r="A1991" s="12" t="n">
        <v>19020</v>
      </c>
      <c r="B1991" s="13" t="s">
        <v>8588</v>
      </c>
      <c r="C1991" s="16" t="n">
        <v>45742</v>
      </c>
      <c r="D1991" s="13" t="s">
        <v>7948</v>
      </c>
      <c r="E1991" s="15" t="s">
        <v>33</v>
      </c>
      <c r="F1991" s="24" t="s">
        <v>8589</v>
      </c>
      <c r="G1991" s="13" t="s">
        <v>57</v>
      </c>
      <c r="H1991" s="13" t="s">
        <v>7950</v>
      </c>
      <c r="I1991" s="13" t="str">
        <f aca="false">IF(C1991=J1991,"NEW KONTRAK","RE-KONTRAK")</f>
        <v>RE-KONTRAK</v>
      </c>
      <c r="J1991" s="16" t="n">
        <f aca="false" t="array" ref="J1991:J1991">IFERROR(INDEX(AC1991:AE1991,IF(COUNTA(AC1991:AE1991)=0,"",MAX((AC1991:AE1991&lt;&gt;"")*(COLUMN(AC1991:AE1991)-(COLUMN(AC1991)))))-1),"")</f>
        <v>45844</v>
      </c>
      <c r="K1991" s="16" t="n">
        <f aca="false" t="array" ref="K1991:K1991">IFERROR(INDEX(AC1991:AE1991,IF(COUNTA(AC1991:AE1991)=0,"",MAX((AC1991:AE1991&lt;&gt;"")*(COLUMN(AC1991:AE1991)-(COLUMN(AC1991)-1))))-1),"")</f>
        <v>45935</v>
      </c>
      <c r="L1991" s="17" t="str">
        <f aca="false" t="array" ref="L1991:L1991">IFERROR(INDEX(AC1991:AE1991,IF(COUNTA(AC1991:AE1991)=0,"",MAX((AC1991:AE1991&lt;&gt;"")*(COLUMN(AC1991:AE1991)-(COLUMN(AC1991)-2))))-1),"")</f>
        <v>ARCHIVED</v>
      </c>
      <c r="M1991" s="13" t="n">
        <f aca="true">K1991-TODAY()</f>
        <v>-389</v>
      </c>
      <c r="N1991" s="18" t="s">
        <v>4051</v>
      </c>
      <c r="O1991" s="13" t="s">
        <v>7951</v>
      </c>
      <c r="P1991" s="19" t="n">
        <v>210000</v>
      </c>
      <c r="Q1991" s="20" t="s">
        <v>8590</v>
      </c>
      <c r="R1991" s="13" t="s">
        <v>232</v>
      </c>
      <c r="S1991" s="16" t="n">
        <v>31692</v>
      </c>
      <c r="T1991" s="13" t="s">
        <v>40</v>
      </c>
      <c r="U1991" s="13" t="s">
        <v>8591</v>
      </c>
      <c r="V1991" s="13" t="s">
        <v>42</v>
      </c>
      <c r="W1991" s="13" t="s">
        <v>54</v>
      </c>
      <c r="X1991" s="30" t="n">
        <v>83116572628</v>
      </c>
      <c r="Y1991" s="22" t="str">
        <f aca="false">O1991</f>
        <v>Mekanik Kiln</v>
      </c>
      <c r="Z1991" s="13" t="str">
        <f aca="false">IFERROR(__xludf.dummyfunction("if(BJ1991="""","""",GOOGLETRANSLATE(BJ1991,""auto"",""en""))"),"Kiln Mechanics")</f>
        <v>Kiln Mechanics</v>
      </c>
      <c r="AA1991" s="23" t="str">
        <f aca="false">IF(C1991="","", CHOOSE(MONTH(C1991),"January","February","March","April","May","June","July","August","September","October","November","December")&amp;" "&amp;DAY(C1991)&amp;MID("thstndrdth",MIN(9,2*RIGHT(DAY(C1991))*(MOD(DAY(C1991)-11,100)&gt;2)+1),2)&amp;","&amp;TEXT(C1991," yyyy"))</f>
        <v>March 26th,2025</v>
      </c>
      <c r="AB1991" s="15" t="str">
        <f aca="true">IF(S1991="","",DATEDIF(S1991,TODAY(),"Y")&amp;" Tahun, "&amp;DATEDIF(S1991,TODAY(),"YM")&amp;" Bulan, "&amp;DATEDIF(S1991,TODAY(),"MD")&amp;" Hari")</f>
        <v>40 Tahun, 0 Bulan, 22 Hari</v>
      </c>
      <c r="AC1991" s="18" t="n">
        <v>45844</v>
      </c>
      <c r="AD1991" s="18" t="n">
        <v>45935</v>
      </c>
      <c r="AE1991" s="18" t="s">
        <v>44</v>
      </c>
    </row>
    <row r="1992" customFormat="false" ht="15" hidden="false" customHeight="true" outlineLevel="0" collapsed="false">
      <c r="A1992" s="12" t="n">
        <v>19022</v>
      </c>
      <c r="B1992" s="13" t="s">
        <v>8592</v>
      </c>
      <c r="C1992" s="16" t="n">
        <v>45742</v>
      </c>
      <c r="D1992" s="13" t="s">
        <v>7948</v>
      </c>
      <c r="E1992" s="15" t="s">
        <v>102</v>
      </c>
      <c r="F1992" s="15" t="str">
        <f aca="false">IFERROR(__xludf.dummyfunction("XLOOKUP(AJ1992,IMPORTRANGE(""1XaInW9DU9nz21V0tYIfzFQ0He9kVQ_JF2mCXgZ3hqFA"",""REKAP ALL 2026 - Andika!G:G""),IMPORTRANGE(""1XaInW9DU9nz21V0tYIfzFQ0He9kVQ_JF2mCXgZ3hqFA"",""REKAP ALL 2026 - Andika!F:F""),"""",0)"),"25047635427")</f>
        <v>25047635427</v>
      </c>
      <c r="G1992" s="13" t="s">
        <v>57</v>
      </c>
      <c r="H1992" s="13" t="s">
        <v>7950</v>
      </c>
      <c r="I1992" s="13" t="str">
        <f aca="false">IF(C1992=J1992,"NEW KONTRAK","RE-KONTRAK")</f>
        <v>RE-KONTRAK</v>
      </c>
      <c r="J1992" s="16" t="n">
        <f aca="false" t="array" ref="J1992:J1992">IFERROR(INDEX(AC1992:AE1992,IF(COUNTA(AC1992:AE1992)=0,"",MAX((AC1992:AE1992&lt;&gt;"")*(COLUMN(AC1992:AE1992)-(COLUMN(AC1992)))))-1),"")</f>
        <v>45844</v>
      </c>
      <c r="K1992" s="16" t="n">
        <f aca="false" t="array" ref="K1992:K1992">IFERROR(INDEX(AC1992:AE1992,IF(COUNTA(AC1992:AE1992)=0,"",MAX((AC1992:AE1992&lt;&gt;"")*(COLUMN(AC1992:AE1992)-(COLUMN(AC1992)-1))))-1),"")</f>
        <v>45935</v>
      </c>
      <c r="L1992" s="17" t="str">
        <f aca="false" t="array" ref="L1992:L1992">IFERROR(INDEX(AC1992:AE1992,IF(COUNTA(AC1992:AE1992)=0,"",MAX((AC1992:AE1992&lt;&gt;"")*(COLUMN(AC1992:AE1992)-(COLUMN(AC1992)-2))))-1),"")</f>
        <v>ARCHIVED</v>
      </c>
      <c r="M1992" s="13" t="n">
        <f aca="true">K1992-TODAY()</f>
        <v>-389</v>
      </c>
      <c r="N1992" s="18" t="s">
        <v>4051</v>
      </c>
      <c r="O1992" s="13" t="s">
        <v>7951</v>
      </c>
      <c r="P1992" s="19" t="n">
        <v>210000</v>
      </c>
      <c r="Q1992" s="20" t="s">
        <v>8593</v>
      </c>
      <c r="R1992" s="13" t="s">
        <v>8594</v>
      </c>
      <c r="S1992" s="16" t="n">
        <v>28250</v>
      </c>
      <c r="T1992" s="13" t="s">
        <v>40</v>
      </c>
      <c r="U1992" s="13" t="s">
        <v>8595</v>
      </c>
      <c r="V1992" s="13" t="s">
        <v>42</v>
      </c>
      <c r="W1992" s="13" t="s">
        <v>54</v>
      </c>
      <c r="X1992" s="30" t="n">
        <v>85398776945</v>
      </c>
      <c r="Y1992" s="22" t="str">
        <f aca="false">O1992</f>
        <v>Mekanik Kiln</v>
      </c>
      <c r="Z1992" s="13" t="str">
        <f aca="false">IFERROR(__xludf.dummyfunction("if(BJ1992="""","""",GOOGLETRANSLATE(BJ1992,""auto"",""en""))"),"Kiln Mechanics")</f>
        <v>Kiln Mechanics</v>
      </c>
      <c r="AA1992" s="23" t="str">
        <f aca="false">IF(C1992="","", CHOOSE(MONTH(C1992),"January","February","March","April","May","June","July","August","September","October","November","December")&amp;" "&amp;DAY(C1992)&amp;MID("thstndrdth",MIN(9,2*RIGHT(DAY(C1992))*(MOD(DAY(C1992)-11,100)&gt;2)+1),2)&amp;","&amp;TEXT(C1992," yyyy"))</f>
        <v>March 26th,2025</v>
      </c>
      <c r="AB1992" s="15" t="str">
        <f aca="true">IF(S1992="","",DATEDIF(S1992,TODAY(),"Y")&amp;" Tahun, "&amp;DATEDIF(S1992,TODAY(),"YM")&amp;" Bulan, "&amp;DATEDIF(S1992,TODAY(),"MD")&amp;" Hari")</f>
        <v>49 Tahun, 5 Bulan, 24 Hari</v>
      </c>
      <c r="AC1992" s="18" t="n">
        <v>45844</v>
      </c>
      <c r="AD1992" s="18" t="n">
        <v>45935</v>
      </c>
      <c r="AE1992" s="18" t="s">
        <v>44</v>
      </c>
    </row>
    <row r="1993" customFormat="false" ht="15" hidden="false" customHeight="true" outlineLevel="0" collapsed="false">
      <c r="A1993" s="12" t="n">
        <v>19032</v>
      </c>
      <c r="B1993" s="13" t="s">
        <v>8596</v>
      </c>
      <c r="C1993" s="16" t="n">
        <v>45748</v>
      </c>
      <c r="D1993" s="13" t="s">
        <v>8597</v>
      </c>
      <c r="E1993" s="15" t="s">
        <v>33</v>
      </c>
      <c r="F1993" s="24" t="s">
        <v>8598</v>
      </c>
      <c r="G1993" s="13" t="s">
        <v>8599</v>
      </c>
      <c r="H1993" s="13" t="s">
        <v>35</v>
      </c>
      <c r="I1993" s="13" t="str">
        <f aca="false">IF(C1993=J1993,"NEW KONTRAK","RE-KONTRAK")</f>
        <v>NEW KONTRAK</v>
      </c>
      <c r="J1993" s="16" t="n">
        <f aca="false" t="array" ref="J1993:J1993">IFERROR(INDEX(AC1993:AE1993,IF(COUNTA(AC1993:AE1993)=0,"",MAX((AC1993:AE1993&lt;&gt;"")*(COLUMN(AC1993:AE1993)-(COLUMN(AC1993)))))-1),"")</f>
        <v>45748</v>
      </c>
      <c r="K1993" s="16" t="n">
        <f aca="false" t="array" ref="K1993:K1993">IFERROR(INDEX(AC1993:AE1993,IF(COUNTA(AC1993:AE1993)=0,"",MAX((AC1993:AE1993&lt;&gt;"")*(COLUMN(AC1993:AE1993)-(COLUMN(AC1993)-1))))-1),"")</f>
        <v>45869</v>
      </c>
      <c r="L1993" s="17" t="str">
        <f aca="false" t="array" ref="L1993:L1993">IFERROR(INDEX(AC1993:AE1993,IF(COUNTA(AC1993:AE1993)=0,"",MAX((AC1993:AE1993&lt;&gt;"")*(COLUMN(AC1993:AE1993)-(COLUMN(AC1993)-2))))-1),"")</f>
        <v>ARCHIVED</v>
      </c>
      <c r="M1993" s="13" t="n">
        <f aca="true">K1993-TODAY()</f>
        <v>-455</v>
      </c>
      <c r="N1993" s="18" t="s">
        <v>615</v>
      </c>
      <c r="O1993" s="13" t="s">
        <v>50</v>
      </c>
      <c r="P1993" s="27" t="n">
        <v>2550274</v>
      </c>
      <c r="Q1993" s="20" t="s">
        <v>8600</v>
      </c>
      <c r="R1993" s="13" t="s">
        <v>232</v>
      </c>
      <c r="S1993" s="16" t="n">
        <v>37203</v>
      </c>
      <c r="T1993" s="28" t="s">
        <v>40</v>
      </c>
      <c r="U1993" s="13" t="s">
        <v>8601</v>
      </c>
      <c r="V1993" s="13" t="s">
        <v>42</v>
      </c>
      <c r="W1993" s="13" t="s">
        <v>43</v>
      </c>
      <c r="X1993" s="21" t="n">
        <v>89520558500</v>
      </c>
      <c r="Y1993" s="22" t="str">
        <f aca="false">O1993</f>
        <v>Driver</v>
      </c>
      <c r="Z1993" s="13" t="str">
        <f aca="false">IFERROR(__xludf.dummyfunction("if(BJ1993="""","""",GOOGLETRANSLATE(BJ1993,""auto"",""en""))"),"Driver")</f>
        <v>Driver</v>
      </c>
      <c r="AA1993" s="23" t="str">
        <f aca="false">IF(C1993="","", CHOOSE(MONTH(C1993),"January","February","March","April","May","June","July","August","September","October","November","December")&amp;" "&amp;DAY(C1993)&amp;MID("thstndrdth",MIN(9,2*RIGHT(DAY(C1993))*(MOD(DAY(C1993)-11,100)&gt;2)+1),2)&amp;","&amp;TEXT(C1993," yyyy"))</f>
        <v>April 1st,2025</v>
      </c>
      <c r="AB1993" s="15" t="str">
        <f aca="true">IF(S1993="","",DATEDIF(S1993,TODAY(),"Y")&amp;" Tahun, "&amp;DATEDIF(S1993,TODAY(),"YM")&amp;" Bulan, "&amp;DATEDIF(S1993,TODAY(),"MD")&amp;" Hari")</f>
        <v>24 Tahun, 11 Bulan, 21 Hari</v>
      </c>
      <c r="AC1993" s="18" t="n">
        <v>45748</v>
      </c>
      <c r="AD1993" s="18" t="n">
        <v>45869</v>
      </c>
      <c r="AE1993" s="18" t="s">
        <v>44</v>
      </c>
    </row>
    <row r="1994" customFormat="false" ht="15" hidden="false" customHeight="true" outlineLevel="0" collapsed="false">
      <c r="A1994" s="12" t="n">
        <v>19033</v>
      </c>
      <c r="B1994" s="13" t="s">
        <v>8602</v>
      </c>
      <c r="C1994" s="16" t="n">
        <v>45748</v>
      </c>
      <c r="D1994" s="13" t="s">
        <v>8597</v>
      </c>
      <c r="E1994" s="15" t="s">
        <v>8354</v>
      </c>
      <c r="F1994" s="24" t="s">
        <v>8603</v>
      </c>
      <c r="G1994" s="13" t="s">
        <v>8604</v>
      </c>
      <c r="H1994" s="13" t="s">
        <v>35</v>
      </c>
      <c r="I1994" s="13" t="str">
        <f aca="false">IF(C1994=J1994,"NEW KONTRAK","RE-KONTRAK")</f>
        <v>RE-KONTRAK</v>
      </c>
      <c r="J1994" s="16" t="n">
        <f aca="false" t="array" ref="J1994:J1994">IFERROR(INDEX(AC1994:AE1994,IF(COUNTA(AC1994:AE1994)=0,"",MAX((AC1994:AE1994&lt;&gt;"")*(COLUMN(AC1994:AE1994)-(COLUMN(AC1994)))))-1),"")</f>
        <v>45870</v>
      </c>
      <c r="K1994" s="16" t="n">
        <f aca="false" t="array" ref="K1994:K1994">IFERROR(INDEX(AC1994:AE1994,IF(COUNTA(AC1994:AE1994)=0,"",MAX((AC1994:AE1994&lt;&gt;"")*(COLUMN(AC1994:AE1994)-(COLUMN(AC1994)-1))))-1),"")</f>
        <v>46234</v>
      </c>
      <c r="L1994" s="17" t="str">
        <f aca="false" t="array" ref="L1994:L1994">IFERROR(INDEX(AC1994:AE1994,IF(COUNTA(AC1994:AE1994)=0,"",MAX((AC1994:AE1994&lt;&gt;"")*(COLUMN(AC1994:AE1994)-(COLUMN(AC1994)-2))))-1),"")</f>
        <v>ARCHIVED</v>
      </c>
      <c r="M1994" s="13" t="n">
        <f aca="true">K1994-TODAY()</f>
        <v>-90</v>
      </c>
      <c r="N1994" s="18" t="s">
        <v>615</v>
      </c>
      <c r="O1994" s="13" t="s">
        <v>50</v>
      </c>
      <c r="P1994" s="27" t="n">
        <v>2550274</v>
      </c>
      <c r="Q1994" s="20" t="s">
        <v>8605</v>
      </c>
      <c r="R1994" s="13" t="s">
        <v>1695</v>
      </c>
      <c r="S1994" s="16" t="n">
        <v>29901</v>
      </c>
      <c r="T1994" s="28" t="s">
        <v>40</v>
      </c>
      <c r="U1994" s="13" t="s">
        <v>8606</v>
      </c>
      <c r="V1994" s="13" t="s">
        <v>42</v>
      </c>
      <c r="W1994" s="13" t="s">
        <v>54</v>
      </c>
      <c r="X1994" s="21" t="n">
        <v>81291086494</v>
      </c>
      <c r="Y1994" s="22" t="str">
        <f aca="false">O1994</f>
        <v>Driver</v>
      </c>
      <c r="Z1994" s="13" t="str">
        <f aca="false">IFERROR(__xludf.dummyfunction("if(BJ1994="""","""",GOOGLETRANSLATE(BJ1994,""auto"",""en""))"),"Driver")</f>
        <v>Driver</v>
      </c>
      <c r="AA1994" s="23" t="str">
        <f aca="false">IF(C1994="","", CHOOSE(MONTH(C1994),"January","February","March","April","May","June","July","August","September","October","November","December")&amp;" "&amp;DAY(C1994)&amp;MID("thstndrdth",MIN(9,2*RIGHT(DAY(C1994))*(MOD(DAY(C1994)-11,100)&gt;2)+1),2)&amp;","&amp;TEXT(C1994," yyyy"))</f>
        <v>April 1st,2025</v>
      </c>
      <c r="AB1994" s="15" t="str">
        <f aca="true">IF(S1994="","",DATEDIF(S1994,TODAY(),"Y")&amp;" Tahun, "&amp;DATEDIF(S1994,TODAY(),"YM")&amp;" Bulan, "&amp;DATEDIF(S1994,TODAY(),"MD")&amp;" Hari")</f>
        <v>44 Tahun, 11 Bulan, 18 Hari</v>
      </c>
      <c r="AC1994" s="18" t="n">
        <v>45870</v>
      </c>
      <c r="AD1994" s="18" t="n">
        <v>46234</v>
      </c>
      <c r="AE1994" s="18" t="s">
        <v>44</v>
      </c>
    </row>
    <row r="1995" customFormat="false" ht="15" hidden="false" customHeight="true" outlineLevel="0" collapsed="false">
      <c r="A1995" s="12" t="n">
        <v>19036</v>
      </c>
      <c r="B1995" s="13" t="s">
        <v>8607</v>
      </c>
      <c r="C1995" s="16" t="n">
        <v>45751</v>
      </c>
      <c r="D1995" s="13" t="s">
        <v>7555</v>
      </c>
      <c r="E1995" s="15" t="s">
        <v>33</v>
      </c>
      <c r="F1995" s="24" t="s">
        <v>8608</v>
      </c>
      <c r="G1995" s="13" t="s">
        <v>8609</v>
      </c>
      <c r="H1995" s="13" t="s">
        <v>35</v>
      </c>
      <c r="I1995" s="13" t="str">
        <f aca="false">IF(C1995=J1995,"NEW KONTRAK","RE-KONTRAK")</f>
        <v>RE-KONTRAK</v>
      </c>
      <c r="J1995" s="16" t="n">
        <f aca="false" t="array" ref="J1995:J1995">IFERROR(INDEX(AC1995:AE1995,IF(COUNTA(AC1995:AE1995)=0,"",MAX((AC1995:AE1995&lt;&gt;"")*(COLUMN(AC1995:AE1995)-(COLUMN(AC1995)))))-1),"")</f>
        <v>45839</v>
      </c>
      <c r="K1995" s="16" t="n">
        <f aca="false" t="array" ref="K1995:K1995">IFERROR(INDEX(AC1995:AE1995,IF(COUNTA(AC1995:AE1995)=0,"",MAX((AC1995:AE1995&lt;&gt;"")*(COLUMN(AC1995:AE1995)-(COLUMN(AC1995)-1))))-1),"")</f>
        <v>46022</v>
      </c>
      <c r="L1995" s="17" t="str">
        <f aca="false" t="array" ref="L1995:L1995">IFERROR(INDEX(AC1995:AE1995,IF(COUNTA(AC1995:AE1995)=0,"",MAX((AC1995:AE1995&lt;&gt;"")*(COLUMN(AC1995:AE1995)-(COLUMN(AC1995)-2))))-1),"")</f>
        <v>ARCHIVED</v>
      </c>
      <c r="M1995" s="13" t="n">
        <f aca="true">K1995-TODAY()</f>
        <v>-302</v>
      </c>
      <c r="N1995" s="18" t="s">
        <v>728</v>
      </c>
      <c r="O1995" s="13" t="s">
        <v>8610</v>
      </c>
      <c r="P1995" s="19" t="n">
        <v>4725479</v>
      </c>
      <c r="Q1995" s="20" t="s">
        <v>8611</v>
      </c>
      <c r="R1995" s="13" t="s">
        <v>826</v>
      </c>
      <c r="S1995" s="16" t="n">
        <v>33337</v>
      </c>
      <c r="T1995" s="13" t="s">
        <v>40</v>
      </c>
      <c r="U1995" s="13" t="s">
        <v>8612</v>
      </c>
      <c r="V1995" s="13" t="s">
        <v>42</v>
      </c>
      <c r="W1995" s="13" t="s">
        <v>54</v>
      </c>
      <c r="X1995" s="21" t="n">
        <v>85708875883</v>
      </c>
      <c r="Y1995" s="22" t="str">
        <f aca="false">O1995</f>
        <v>Document Staff</v>
      </c>
      <c r="Z1995" s="13" t="str">
        <f aca="false">IFERROR(__xludf.dummyfunction("if(BJ1995="""","""",GOOGLETRANSLATE(BJ1995,""auto"",""en""))"),"Document Staff")</f>
        <v>Document Staff</v>
      </c>
      <c r="AA1995" s="23" t="str">
        <f aca="false">IF(C1995="","", CHOOSE(MONTH(C1995),"January","February","March","April","May","June","July","August","September","October","November","December")&amp;" "&amp;DAY(C1995)&amp;MID("thstndrdth",MIN(9,2*RIGHT(DAY(C1995))*(MOD(DAY(C1995)-11,100)&gt;2)+1),2)&amp;","&amp;TEXT(C1995," yyyy"))</f>
        <v>April 4th,2025</v>
      </c>
      <c r="AB1995" s="15" t="str">
        <f aca="true">IF(S1995="","",DATEDIF(S1995,TODAY(),"Y")&amp;" Tahun, "&amp;DATEDIF(S1995,TODAY(),"YM")&amp;" Bulan, "&amp;DATEDIF(S1995,TODAY(),"MD")&amp;" Hari")</f>
        <v>35 Tahun, 6 Bulan, 20 Hari</v>
      </c>
      <c r="AC1995" s="18" t="n">
        <v>45839</v>
      </c>
      <c r="AD1995" s="18" t="n">
        <v>46022</v>
      </c>
      <c r="AE1995" s="18" t="s">
        <v>44</v>
      </c>
    </row>
    <row r="1996" customFormat="false" ht="15" hidden="false" customHeight="true" outlineLevel="0" collapsed="false">
      <c r="A1996" s="12" t="n">
        <v>19038</v>
      </c>
      <c r="B1996" s="13" t="s">
        <v>8613</v>
      </c>
      <c r="C1996" s="16" t="n">
        <v>45754</v>
      </c>
      <c r="D1996" s="13" t="s">
        <v>5726</v>
      </c>
      <c r="E1996" s="15" t="s">
        <v>33</v>
      </c>
      <c r="F1996" s="24" t="s">
        <v>8614</v>
      </c>
      <c r="G1996" s="13" t="s">
        <v>8615</v>
      </c>
      <c r="H1996" s="13" t="s">
        <v>35</v>
      </c>
      <c r="I1996" s="13" t="str">
        <f aca="false">IF(C1996=J1996,"NEW KONTRAK","RE-KONTRAK")</f>
        <v>RE-KONTRAK</v>
      </c>
      <c r="J1996" s="16" t="n">
        <f aca="false" t="array" ref="J1996:J1996">IFERROR(INDEX(AC1996:AE1996,IF(COUNTA(AC1996:AE1996)=0,"",MAX((AC1996:AE1996&lt;&gt;"")*(COLUMN(AC1996:AE1996)-(COLUMN(AC1996)))))-1),"")</f>
        <v>45845</v>
      </c>
      <c r="K1996" s="16" t="n">
        <f aca="false" t="array" ref="K1996:K1996">IFERROR(INDEX(AC1996:AE1996,IF(COUNTA(AC1996:AE1996)=0,"",MAX((AC1996:AE1996&lt;&gt;"")*(COLUMN(AC1996:AE1996)-(COLUMN(AC1996)-1))))-1),"")</f>
        <v>45936</v>
      </c>
      <c r="L1996" s="17" t="str">
        <f aca="false" t="array" ref="L1996:L1996">IFERROR(INDEX(AC1996:AE1996,IF(COUNTA(AC1996:AE1996)=0,"",MAX((AC1996:AE1996&lt;&gt;"")*(COLUMN(AC1996:AE1996)-(COLUMN(AC1996)-2))))-1),"")</f>
        <v>ARCHIVED</v>
      </c>
      <c r="M1996" s="13" t="n">
        <f aca="true">K1996-TODAY()</f>
        <v>-388</v>
      </c>
      <c r="N1996" s="18" t="s">
        <v>615</v>
      </c>
      <c r="O1996" s="13" t="s">
        <v>7088</v>
      </c>
      <c r="P1996" s="27" t="n">
        <v>5176101</v>
      </c>
      <c r="Q1996" s="20" t="s">
        <v>8616</v>
      </c>
      <c r="R1996" s="13" t="s">
        <v>232</v>
      </c>
      <c r="S1996" s="16" t="n">
        <v>35872</v>
      </c>
      <c r="T1996" s="13" t="s">
        <v>108</v>
      </c>
      <c r="U1996" s="13" t="s">
        <v>8617</v>
      </c>
      <c r="V1996" s="13" t="s">
        <v>42</v>
      </c>
      <c r="W1996" s="13" t="s">
        <v>54</v>
      </c>
      <c r="X1996" s="21" t="n">
        <v>87855722616</v>
      </c>
      <c r="Y1996" s="22" t="str">
        <f aca="false">O1996</f>
        <v>Quality Inspector</v>
      </c>
      <c r="Z1996" s="13" t="str">
        <f aca="false">IFERROR(__xludf.dummyfunction("if(BJ1996="""","""",GOOGLETRANSLATE(BJ1996,""auto"",""en""))"),"Quality Inspector")</f>
        <v>Quality Inspector</v>
      </c>
      <c r="AA1996" s="23" t="str">
        <f aca="false">IF(C1996="","", CHOOSE(MONTH(C1996),"January","February","March","April","May","June","July","August","September","October","November","December")&amp;" "&amp;DAY(C1996)&amp;MID("thstndrdth",MIN(9,2*RIGHT(DAY(C1996))*(MOD(DAY(C1996)-11,100)&gt;2)+1),2)&amp;","&amp;TEXT(C1996," yyyy"))</f>
        <v>April 7th,2025</v>
      </c>
      <c r="AB1996" s="15" t="str">
        <f aca="true">IF(S1996="","",DATEDIF(S1996,TODAY(),"Y")&amp;" Tahun, "&amp;DATEDIF(S1996,TODAY(),"YM")&amp;" Bulan, "&amp;DATEDIF(S1996,TODAY(),"MD")&amp;" Hari")</f>
        <v>28 Tahun, 7 Bulan, 11 Hari</v>
      </c>
      <c r="AC1996" s="18" t="n">
        <v>45845</v>
      </c>
      <c r="AD1996" s="18" t="n">
        <v>45936</v>
      </c>
      <c r="AE1996" s="18" t="s">
        <v>44</v>
      </c>
    </row>
    <row r="1997" customFormat="false" ht="15" hidden="false" customHeight="true" outlineLevel="0" collapsed="false">
      <c r="A1997" s="12" t="n">
        <v>19041</v>
      </c>
      <c r="B1997" s="76" t="s">
        <v>8618</v>
      </c>
      <c r="C1997" s="16" t="n">
        <v>45754</v>
      </c>
      <c r="D1997" s="13" t="s">
        <v>5726</v>
      </c>
      <c r="E1997" s="15" t="s">
        <v>47</v>
      </c>
      <c r="F1997" s="15" t="str">
        <f aca="false">IFERROR(__xludf.dummyfunction("XLOOKUP(AJ1997,IMPORTRANGE(""1XaInW9DU9nz21V0tYIfzFQ0He9kVQ_JF2mCXgZ3hqFA"",""REKAP ALL 2026 - Andika!G:G""),IMPORTRANGE(""1XaInW9DU9nz21V0tYIfzFQ0He9kVQ_JF2mCXgZ3hqFA"",""REKAP ALL 2026 - Andika!F:F""),"""",0)"),"25012462179")</f>
        <v>25012462179</v>
      </c>
      <c r="G1997" s="13" t="s">
        <v>8619</v>
      </c>
      <c r="H1997" s="13" t="s">
        <v>35</v>
      </c>
      <c r="I1997" s="13" t="str">
        <f aca="false">IF(C1997=J1997,"NEW KONTRAK","RE-KONTRAK")</f>
        <v>RE-KONTRAK</v>
      </c>
      <c r="J1997" s="16" t="n">
        <f aca="false" t="array" ref="J1997:J1997">IFERROR(INDEX(AC1997:AE1997,IF(COUNTA(AC1997:AE1997)=0,"",MAX((AC1997:AE1997&lt;&gt;"")*(COLUMN(AC1997:AE1997)-(COLUMN(AC1997)))))-1),"")</f>
        <v>45845</v>
      </c>
      <c r="K1997" s="16" t="n">
        <f aca="false" t="array" ref="K1997:K1997">IFERROR(INDEX(AC1997:AE1997,IF(COUNTA(AC1997:AE1997)=0,"",MAX((AC1997:AE1997&lt;&gt;"")*(COLUMN(AC1997:AE1997)-(COLUMN(AC1997)-1))))-1),"")</f>
        <v>45936</v>
      </c>
      <c r="L1997" s="17" t="str">
        <f aca="false" t="array" ref="L1997:L1997">IFERROR(INDEX(AC1997:AE1997,IF(COUNTA(AC1997:AE1997)=0,"",MAX((AC1997:AE1997&lt;&gt;"")*(COLUMN(AC1997:AE1997)-(COLUMN(AC1997)-2))))-1),"")</f>
        <v>ARCHIVED</v>
      </c>
      <c r="M1997" s="13" t="n">
        <f aca="true">K1997-TODAY()</f>
        <v>-388</v>
      </c>
      <c r="N1997" s="18" t="s">
        <v>615</v>
      </c>
      <c r="O1997" s="13" t="s">
        <v>1531</v>
      </c>
      <c r="P1997" s="19" t="n">
        <v>5176101</v>
      </c>
      <c r="Q1997" s="77" t="s">
        <v>8620</v>
      </c>
      <c r="R1997" s="76" t="s">
        <v>232</v>
      </c>
      <c r="S1997" s="78" t="n">
        <v>33115</v>
      </c>
      <c r="T1997" s="76" t="s">
        <v>40</v>
      </c>
      <c r="U1997" s="76" t="s">
        <v>8621</v>
      </c>
      <c r="V1997" s="76" t="s">
        <v>42</v>
      </c>
      <c r="W1997" s="13" t="s">
        <v>54</v>
      </c>
      <c r="X1997" s="21" t="n">
        <v>87856500214</v>
      </c>
      <c r="Y1997" s="22" t="str">
        <f aca="false">O1997</f>
        <v>Packer</v>
      </c>
      <c r="Z1997" s="13" t="str">
        <f aca="false">IFERROR(__xludf.dummyfunction("if(BJ1997="""","""",GOOGLETRANSLATE(BJ1997,""auto"",""en""))"),"Packer")</f>
        <v>Packer</v>
      </c>
      <c r="AA1997" s="23" t="str">
        <f aca="false">IF(C1997="","", CHOOSE(MONTH(C1997),"January","February","March","April","May","June","July","August","September","October","November","December")&amp;" "&amp;DAY(C1997)&amp;MID("thstndrdth",MIN(9,2*RIGHT(DAY(C1997))*(MOD(DAY(C1997)-11,100)&gt;2)+1),2)&amp;","&amp;TEXT(C1997," yyyy"))</f>
        <v>April 7th,2025</v>
      </c>
      <c r="AB1997" s="15" t="str">
        <f aca="true">IF(S1997="","",DATEDIF(S1997,TODAY(),"Y")&amp;" Tahun, "&amp;DATEDIF(S1997,TODAY(),"YM")&amp;" Bulan, "&amp;DATEDIF(S1997,TODAY(),"MD")&amp;" Hari")</f>
        <v>36 Tahun, 1 Bulan, 29 Hari</v>
      </c>
      <c r="AC1997" s="18" t="n">
        <v>45845</v>
      </c>
      <c r="AD1997" s="18" t="n">
        <v>45936</v>
      </c>
      <c r="AE1997" s="18" t="s">
        <v>44</v>
      </c>
    </row>
    <row r="1998" customFormat="false" ht="15" hidden="false" customHeight="true" outlineLevel="0" collapsed="false">
      <c r="A1998" s="12" t="n">
        <v>19042</v>
      </c>
      <c r="B1998" s="76" t="s">
        <v>8622</v>
      </c>
      <c r="C1998" s="16" t="n">
        <v>45950</v>
      </c>
      <c r="D1998" s="13" t="s">
        <v>5726</v>
      </c>
      <c r="E1998" s="15" t="s">
        <v>33</v>
      </c>
      <c r="F1998" s="24" t="s">
        <v>8623</v>
      </c>
      <c r="G1998" s="13" t="s">
        <v>8624</v>
      </c>
      <c r="H1998" s="13" t="s">
        <v>35</v>
      </c>
      <c r="I1998" s="13" t="str">
        <f aca="false">IF(C1998=J1998,"NEW KONTRAK","RE-KONTRAK")</f>
        <v>NEW KONTRAK</v>
      </c>
      <c r="J1998" s="16" t="n">
        <f aca="false" t="array" ref="J1998:J1998">IFERROR(INDEX(AC1998:AE1998,IF(COUNTA(AC1998:AE1998)=0,"",MAX((AC1998:AE1998&lt;&gt;"")*(COLUMN(AC1998:AE1998)-(COLUMN(AC1998)))))-1),"")</f>
        <v>45950</v>
      </c>
      <c r="K1998" s="16" t="n">
        <f aca="false" t="array" ref="K1998:K1998">IFERROR(INDEX(AC1998:AE1998,IF(COUNTA(AC1998:AE1998)=0,"",MAX((AC1998:AE1998&lt;&gt;"")*(COLUMN(AC1998:AE1998)-(COLUMN(AC1998)-1))))-1),"")</f>
        <v>46037</v>
      </c>
      <c r="L1998" s="17" t="str">
        <f aca="false" t="array" ref="L1998:L1998">IFERROR(INDEX(AC1998:AE1998,IF(COUNTA(AC1998:AE1998)=0,"",MAX((AC1998:AE1998&lt;&gt;"")*(COLUMN(AC1998:AE1998)-(COLUMN(AC1998)-2))))-1),"")</f>
        <v>ARCHIVED</v>
      </c>
      <c r="M1998" s="13" t="n">
        <f aca="true">K1998-TODAY()</f>
        <v>-287</v>
      </c>
      <c r="N1998" s="18" t="s">
        <v>615</v>
      </c>
      <c r="O1998" s="13" t="s">
        <v>1531</v>
      </c>
      <c r="P1998" s="27" t="n">
        <v>5176101</v>
      </c>
      <c r="Q1998" s="77" t="s">
        <v>8625</v>
      </c>
      <c r="R1998" s="76" t="s">
        <v>324</v>
      </c>
      <c r="S1998" s="78" t="n">
        <v>35609</v>
      </c>
      <c r="T1998" s="98" t="s">
        <v>40</v>
      </c>
      <c r="U1998" s="76" t="s">
        <v>8626</v>
      </c>
      <c r="V1998" s="76" t="s">
        <v>42</v>
      </c>
      <c r="W1998" s="13" t="s">
        <v>43</v>
      </c>
      <c r="X1998" s="21" t="n">
        <v>85855553422</v>
      </c>
      <c r="Y1998" s="22" t="str">
        <f aca="false">O1998</f>
        <v>Packer</v>
      </c>
      <c r="Z1998" s="13" t="str">
        <f aca="false">IFERROR(__xludf.dummyfunction("if(BJ1998="""","""",GOOGLETRANSLATE(BJ1998,""auto"",""en""))"),"Packer")</f>
        <v>Packer</v>
      </c>
      <c r="AA1998" s="23" t="str">
        <f aca="false">IF(C1998="","", CHOOSE(MONTH(C1998),"January","February","March","April","May","June","July","August","September","October","November","December")&amp;" "&amp;DAY(C1998)&amp;MID("thstndrdth",MIN(9,2*RIGHT(DAY(C1998))*(MOD(DAY(C1998)-11,100)&gt;2)+1),2)&amp;","&amp;TEXT(C1998," yyyy"))</f>
        <v>October 20th,2025</v>
      </c>
      <c r="AB1998" s="15" t="str">
        <f aca="true">IF(S1998="","",DATEDIF(S1998,TODAY(),"Y")&amp;" Tahun, "&amp;DATEDIF(S1998,TODAY(),"YM")&amp;" Bulan, "&amp;DATEDIF(S1998,TODAY(),"MD")&amp;" Hari")</f>
        <v>29 Tahun, 4 Bulan, 1 Hari</v>
      </c>
      <c r="AC1998" s="18" t="n">
        <v>45950</v>
      </c>
      <c r="AD1998" s="18" t="n">
        <v>46037</v>
      </c>
      <c r="AE1998" s="13" t="s">
        <v>44</v>
      </c>
    </row>
    <row r="1999" customFormat="false" ht="15" hidden="false" customHeight="true" outlineLevel="0" collapsed="false">
      <c r="A1999" s="12" t="n">
        <v>19045</v>
      </c>
      <c r="B1999" s="76" t="s">
        <v>8627</v>
      </c>
      <c r="C1999" s="16" t="n">
        <v>45754</v>
      </c>
      <c r="D1999" s="13" t="s">
        <v>5726</v>
      </c>
      <c r="E1999" s="15" t="s">
        <v>47</v>
      </c>
      <c r="F1999" s="15" t="str">
        <f aca="false">IFERROR(__xludf.dummyfunction("XLOOKUP(AJ1999,IMPORTRANGE(""1XaInW9DU9nz21V0tYIfzFQ0He9kVQ_JF2mCXgZ3hqFA"",""REKAP ALL 2026 - Andika!G:G""),IMPORTRANGE(""1XaInW9DU9nz21V0tYIfzFQ0He9kVQ_JF2mCXgZ3hqFA"",""REKAP ALL 2026 - Andika!F:F""),"""",0)"),"25012462203")</f>
        <v>25012462203</v>
      </c>
      <c r="G1999" s="13" t="s">
        <v>8628</v>
      </c>
      <c r="H1999" s="13" t="s">
        <v>35</v>
      </c>
      <c r="I1999" s="13" t="str">
        <f aca="false">IF(C1999=J1999,"NEW KONTRAK","RE-KONTRAK")</f>
        <v>RE-KONTRAK</v>
      </c>
      <c r="J1999" s="16" t="n">
        <f aca="false" t="array" ref="J1999:J1999">IFERROR(INDEX(AC1999:AE1999,IF(COUNTA(AC1999:AE1999)=0,"",MAX((AC1999:AE1999&lt;&gt;"")*(COLUMN(AC1999:AE1999)-(COLUMN(AC1999)))))-1),"")</f>
        <v>45845</v>
      </c>
      <c r="K1999" s="16" t="n">
        <f aca="false" t="array" ref="K1999:K1999">IFERROR(INDEX(AC1999:AE1999,IF(COUNTA(AC1999:AE1999)=0,"",MAX((AC1999:AE1999&lt;&gt;"")*(COLUMN(AC1999:AE1999)-(COLUMN(AC1999)-1))))-1),"")</f>
        <v>45936</v>
      </c>
      <c r="L1999" s="17" t="str">
        <f aca="false" t="array" ref="L1999:L1999">IFERROR(INDEX(AC1999:AE1999,IF(COUNTA(AC1999:AE1999)=0,"",MAX((AC1999:AE1999&lt;&gt;"")*(COLUMN(AC1999:AE1999)-(COLUMN(AC1999)-2))))-1),"")</f>
        <v>ARCHIVED</v>
      </c>
      <c r="M1999" s="13" t="n">
        <f aca="true">K1999-TODAY()</f>
        <v>-388</v>
      </c>
      <c r="N1999" s="18" t="s">
        <v>615</v>
      </c>
      <c r="O1999" s="13" t="s">
        <v>1531</v>
      </c>
      <c r="P1999" s="19" t="n">
        <v>5176101</v>
      </c>
      <c r="Q1999" s="77" t="s">
        <v>8629</v>
      </c>
      <c r="R1999" s="76" t="s">
        <v>232</v>
      </c>
      <c r="S1999" s="78" t="n">
        <v>34851</v>
      </c>
      <c r="T1999" s="76" t="s">
        <v>40</v>
      </c>
      <c r="U1999" s="76" t="s">
        <v>8630</v>
      </c>
      <c r="V1999" s="76" t="s">
        <v>42</v>
      </c>
      <c r="W1999" s="13" t="s">
        <v>43</v>
      </c>
      <c r="X1999" s="21" t="n">
        <v>85748376681</v>
      </c>
      <c r="Y1999" s="22" t="str">
        <f aca="false">O1999</f>
        <v>Packer</v>
      </c>
      <c r="Z1999" s="13" t="str">
        <f aca="false">IFERROR(__xludf.dummyfunction("if(BJ1999="""","""",GOOGLETRANSLATE(BJ1999,""auto"",""en""))"),"Packer")</f>
        <v>Packer</v>
      </c>
      <c r="AA1999" s="23" t="str">
        <f aca="false">IF(C1999="","", CHOOSE(MONTH(C1999),"January","February","March","April","May","June","July","August","September","October","November","December")&amp;" "&amp;DAY(C1999)&amp;MID("thstndrdth",MIN(9,2*RIGHT(DAY(C1999))*(MOD(DAY(C1999)-11,100)&gt;2)+1),2)&amp;","&amp;TEXT(C1999," yyyy"))</f>
        <v>April 7th,2025</v>
      </c>
      <c r="AB1999" s="15" t="str">
        <f aca="true">IF(S1999="","",DATEDIF(S1999,TODAY(),"Y")&amp;" Tahun, "&amp;DATEDIF(S1999,TODAY(),"YM")&amp;" Bulan, "&amp;DATEDIF(S1999,TODAY(),"MD")&amp;" Hari")</f>
        <v>31 Tahun, 4 Bulan, 28 Hari</v>
      </c>
      <c r="AC1999" s="18" t="n">
        <v>45845</v>
      </c>
      <c r="AD1999" s="18" t="n">
        <v>45936</v>
      </c>
      <c r="AE1999" s="18" t="s">
        <v>44</v>
      </c>
    </row>
    <row r="2000" customFormat="false" ht="15" hidden="false" customHeight="true" outlineLevel="0" collapsed="false">
      <c r="A2000" s="12" t="n">
        <v>19046</v>
      </c>
      <c r="B2000" s="76" t="s">
        <v>8631</v>
      </c>
      <c r="C2000" s="16" t="n">
        <v>45754</v>
      </c>
      <c r="D2000" s="13" t="s">
        <v>5726</v>
      </c>
      <c r="E2000" s="15" t="s">
        <v>47</v>
      </c>
      <c r="F2000" s="15" t="str">
        <f aca="false">IFERROR(__xludf.dummyfunction("XLOOKUP(AJ2000,IMPORTRANGE(""1XaInW9DU9nz21V0tYIfzFQ0He9kVQ_JF2mCXgZ3hqFA"",""REKAP ALL 2026 - Andika!G:G""),IMPORTRANGE(""1XaInW9DU9nz21V0tYIfzFQ0He9kVQ_JF2mCXgZ3hqFA"",""REKAP ALL 2026 - Andika!F:F""),"""",0)"),"24105097745")</f>
        <v>24105097745</v>
      </c>
      <c r="G2000" s="13" t="s">
        <v>8632</v>
      </c>
      <c r="H2000" s="13" t="s">
        <v>35</v>
      </c>
      <c r="I2000" s="13" t="str">
        <f aca="false">IF(C2000=J2000,"NEW KONTRAK","RE-KONTRAK")</f>
        <v>RE-KONTRAK</v>
      </c>
      <c r="J2000" s="16" t="n">
        <f aca="false" t="array" ref="J2000:J2000">IFERROR(INDEX(AC2000:AE2000,IF(COUNTA(AC2000:AE2000)=0,"",MAX((AC2000:AE2000&lt;&gt;"")*(COLUMN(AC2000:AE2000)-(COLUMN(AC2000)))))-1),"")</f>
        <v>45845</v>
      </c>
      <c r="K2000" s="16" t="n">
        <f aca="false" t="array" ref="K2000:K2000">IFERROR(INDEX(AC2000:AE2000,IF(COUNTA(AC2000:AE2000)=0,"",MAX((AC2000:AE2000&lt;&gt;"")*(COLUMN(AC2000:AE2000)-(COLUMN(AC2000)-1))))-1),"")</f>
        <v>45936</v>
      </c>
      <c r="L2000" s="17" t="str">
        <f aca="false" t="array" ref="L2000:L2000">IFERROR(INDEX(AC2000:AE2000,IF(COUNTA(AC2000:AE2000)=0,"",MAX((AC2000:AE2000&lt;&gt;"")*(COLUMN(AC2000:AE2000)-(COLUMN(AC2000)-2))))-1),"")</f>
        <v>ARCHIVED</v>
      </c>
      <c r="M2000" s="13" t="n">
        <f aca="true">K2000-TODAY()</f>
        <v>-388</v>
      </c>
      <c r="N2000" s="18" t="s">
        <v>615</v>
      </c>
      <c r="O2000" s="13" t="s">
        <v>1531</v>
      </c>
      <c r="P2000" s="19" t="n">
        <v>5176101</v>
      </c>
      <c r="Q2000" s="77" t="s">
        <v>8633</v>
      </c>
      <c r="R2000" s="76" t="s">
        <v>232</v>
      </c>
      <c r="S2000" s="78" t="n">
        <v>36711</v>
      </c>
      <c r="T2000" s="76" t="s">
        <v>40</v>
      </c>
      <c r="U2000" s="76" t="s">
        <v>8634</v>
      </c>
      <c r="V2000" s="76" t="s">
        <v>42</v>
      </c>
      <c r="W2000" s="13" t="s">
        <v>43</v>
      </c>
      <c r="X2000" s="21" t="n">
        <v>85854210743</v>
      </c>
      <c r="Y2000" s="22" t="str">
        <f aca="false">O2000</f>
        <v>Packer</v>
      </c>
      <c r="Z2000" s="13" t="str">
        <f aca="false">IFERROR(__xludf.dummyfunction("if(BJ2000="""","""",GOOGLETRANSLATE(BJ2000,""auto"",""en""))"),"Packer")</f>
        <v>Packer</v>
      </c>
      <c r="AA2000" s="23" t="str">
        <f aca="false">IF(C2000="","", CHOOSE(MONTH(C2000),"January","February","March","April","May","June","July","August","September","October","November","December")&amp;" "&amp;DAY(C2000)&amp;MID("thstndrdth",MIN(9,2*RIGHT(DAY(C2000))*(MOD(DAY(C2000)-11,100)&gt;2)+1),2)&amp;","&amp;TEXT(C2000," yyyy"))</f>
        <v>April 7th,2025</v>
      </c>
      <c r="AB2000" s="15" t="str">
        <f aca="true">IF(S2000="","",DATEDIF(S2000,TODAY(),"Y")&amp;" Tahun, "&amp;DATEDIF(S2000,TODAY(),"YM")&amp;" Bulan, "&amp;DATEDIF(S2000,TODAY(),"MD")&amp;" Hari")</f>
        <v>26 Tahun, 3 Bulan, 25 Hari</v>
      </c>
      <c r="AC2000" s="18" t="n">
        <v>45845</v>
      </c>
      <c r="AD2000" s="18" t="n">
        <v>45936</v>
      </c>
      <c r="AE2000" s="18" t="s">
        <v>44</v>
      </c>
    </row>
    <row r="2001" customFormat="false" ht="15" hidden="false" customHeight="true" outlineLevel="0" collapsed="false">
      <c r="A2001" s="12" t="n">
        <v>19048</v>
      </c>
      <c r="B2001" s="76" t="s">
        <v>8635</v>
      </c>
      <c r="C2001" s="16" t="n">
        <v>45754</v>
      </c>
      <c r="D2001" s="13" t="s">
        <v>5726</v>
      </c>
      <c r="E2001" s="15" t="s">
        <v>33</v>
      </c>
      <c r="F2001" s="24" t="s">
        <v>8636</v>
      </c>
      <c r="G2001" s="13" t="s">
        <v>8637</v>
      </c>
      <c r="H2001" s="13" t="s">
        <v>35</v>
      </c>
      <c r="I2001" s="13" t="str">
        <f aca="false">IF(C2001=J2001,"NEW KONTRAK","RE-KONTRAK")</f>
        <v>NEW KONTRAK</v>
      </c>
      <c r="J2001" s="16" t="n">
        <f aca="false" t="array" ref="J2001:J2001">IFERROR(INDEX(AC2001:AE2001,IF(COUNTA(AC2001:AE2001)=0,"",MAX((AC2001:AE2001&lt;&gt;"")*(COLUMN(AC2001:AE2001)-(COLUMN(AC2001)))))-1),"")</f>
        <v>45754</v>
      </c>
      <c r="K2001" s="16" t="n">
        <f aca="false" t="array" ref="K2001:K2001">IFERROR(INDEX(AC2001:AE2001,IF(COUNTA(AC2001:AE2001)=0,"",MAX((AC2001:AE2001&lt;&gt;"")*(COLUMN(AC2001:AE2001)-(COLUMN(AC2001)-1))))-1),"")</f>
        <v>45844</v>
      </c>
      <c r="L2001" s="17" t="str">
        <f aca="false" t="array" ref="L2001:L2001">IFERROR(INDEX(AC2001:AE2001,IF(COUNTA(AC2001:AE2001)=0,"",MAX((AC2001:AE2001&lt;&gt;"")*(COLUMN(AC2001:AE2001)-(COLUMN(AC2001)-2))))-1),"")</f>
        <v>ARCHIVED</v>
      </c>
      <c r="M2001" s="13" t="n">
        <f aca="true">K2001-TODAY()</f>
        <v>-480</v>
      </c>
      <c r="N2001" s="18" t="s">
        <v>615</v>
      </c>
      <c r="O2001" s="13" t="s">
        <v>1531</v>
      </c>
      <c r="P2001" s="27" t="n">
        <v>5176101</v>
      </c>
      <c r="Q2001" s="77" t="s">
        <v>8638</v>
      </c>
      <c r="R2001" s="76" t="s">
        <v>232</v>
      </c>
      <c r="S2001" s="78" t="n">
        <v>35243</v>
      </c>
      <c r="T2001" s="76" t="s">
        <v>108</v>
      </c>
      <c r="U2001" s="76" t="s">
        <v>8639</v>
      </c>
      <c r="V2001" s="76" t="s">
        <v>42</v>
      </c>
      <c r="W2001" s="13" t="s">
        <v>54</v>
      </c>
      <c r="X2001" s="21" t="n">
        <v>85706032616</v>
      </c>
      <c r="Y2001" s="22" t="str">
        <f aca="false">O2001</f>
        <v>Packer</v>
      </c>
      <c r="Z2001" s="13" t="str">
        <f aca="false">IFERROR(__xludf.dummyfunction("if(BJ2001="""","""",GOOGLETRANSLATE(BJ2001,""auto"",""en""))"),"Packer")</f>
        <v>Packer</v>
      </c>
      <c r="AA2001" s="23" t="str">
        <f aca="false">IF(C2001="","", CHOOSE(MONTH(C2001),"January","February","March","April","May","June","July","August","September","October","November","December")&amp;" "&amp;DAY(C2001)&amp;MID("thstndrdth",MIN(9,2*RIGHT(DAY(C2001))*(MOD(DAY(C2001)-11,100)&gt;2)+1),2)&amp;","&amp;TEXT(C2001," yyyy"))</f>
        <v>April 7th,2025</v>
      </c>
      <c r="AB2001" s="15" t="str">
        <f aca="true">IF(S2001="","",DATEDIF(S2001,TODAY(),"Y")&amp;" Tahun, "&amp;DATEDIF(S2001,TODAY(),"YM")&amp;" Bulan, "&amp;DATEDIF(S2001,TODAY(),"MD")&amp;" Hari")</f>
        <v>30 Tahun, 4 Bulan, 2 Hari</v>
      </c>
      <c r="AC2001" s="18" t="n">
        <v>45754</v>
      </c>
      <c r="AD2001" s="18" t="n">
        <v>45844</v>
      </c>
      <c r="AE2001" s="18" t="s">
        <v>44</v>
      </c>
    </row>
    <row r="2002" customFormat="false" ht="15" hidden="false" customHeight="true" outlineLevel="0" collapsed="false">
      <c r="A2002" s="12" t="n">
        <v>19051</v>
      </c>
      <c r="B2002" s="76" t="s">
        <v>8640</v>
      </c>
      <c r="C2002" s="16" t="n">
        <v>45754</v>
      </c>
      <c r="D2002" s="13" t="s">
        <v>5726</v>
      </c>
      <c r="E2002" s="15" t="s">
        <v>47</v>
      </c>
      <c r="F2002" s="15" t="str">
        <f aca="false">IFERROR(__xludf.dummyfunction("XLOOKUP(AJ2002,IMPORTRANGE(""1XaInW9DU9nz21V0tYIfzFQ0He9kVQ_JF2mCXgZ3hqFA"",""REKAP ALL 2026 - Andika!G:G""),IMPORTRANGE(""1XaInW9DU9nz21V0tYIfzFQ0He9kVQ_JF2mCXgZ3hqFA"",""REKAP ALL 2026 - Andika!F:F""),"""",0)"),"24216706333")</f>
        <v>24216706333</v>
      </c>
      <c r="G2002" s="13" t="s">
        <v>8641</v>
      </c>
      <c r="H2002" s="13" t="s">
        <v>35</v>
      </c>
      <c r="I2002" s="13" t="str">
        <f aca="false">IF(C2002=J2002,"NEW KONTRAK","RE-KONTRAK")</f>
        <v>NEW KONTRAK</v>
      </c>
      <c r="J2002" s="16" t="n">
        <f aca="false" t="array" ref="J2002:J2002">IFERROR(INDEX(AC2002:AE2002,IF(COUNTA(AC2002:AE2002)=0,"",MAX((AC2002:AE2002&lt;&gt;"")*(COLUMN(AC2002:AE2002)-(COLUMN(AC2002)))))-1),"")</f>
        <v>45754</v>
      </c>
      <c r="K2002" s="16" t="n">
        <f aca="false" t="array" ref="K2002:K2002">IFERROR(INDEX(AC2002:AE2002,IF(COUNTA(AC2002:AE2002)=0,"",MAX((AC2002:AE2002&lt;&gt;"")*(COLUMN(AC2002:AE2002)-(COLUMN(AC2002)-1))))-1),"")</f>
        <v>46118</v>
      </c>
      <c r="L2002" s="17" t="str">
        <f aca="false" t="array" ref="L2002:L2002">IFERROR(INDEX(AC2002:AE2002,IF(COUNTA(AC2002:AE2002)=0,"",MAX((AC2002:AE2002&lt;&gt;"")*(COLUMN(AC2002:AE2002)-(COLUMN(AC2002)-2))))-1),"")</f>
        <v>ARCHIVED</v>
      </c>
      <c r="M2002" s="13" t="n">
        <f aca="true">K2002-TODAY()</f>
        <v>-206</v>
      </c>
      <c r="N2002" s="18" t="s">
        <v>615</v>
      </c>
      <c r="O2002" s="13" t="s">
        <v>624</v>
      </c>
      <c r="P2002" s="19" t="n">
        <v>5176101</v>
      </c>
      <c r="Q2002" s="77" t="s">
        <v>8642</v>
      </c>
      <c r="R2002" s="76" t="s">
        <v>73</v>
      </c>
      <c r="S2002" s="78" t="n">
        <v>36511</v>
      </c>
      <c r="T2002" s="76" t="s">
        <v>40</v>
      </c>
      <c r="U2002" s="76" t="s">
        <v>8643</v>
      </c>
      <c r="V2002" s="76" t="s">
        <v>42</v>
      </c>
      <c r="W2002" s="13" t="s">
        <v>43</v>
      </c>
      <c r="X2002" s="21" t="n">
        <v>81334790746</v>
      </c>
      <c r="Y2002" s="22" t="str">
        <f aca="false">O2002</f>
        <v>Quality Control</v>
      </c>
      <c r="Z2002" s="13" t="str">
        <f aca="false">IFERROR(__xludf.dummyfunction("if(BJ2002="""","""",GOOGLETRANSLATE(BJ2002,""auto"",""en""))"),"Quality Control")</f>
        <v>Quality Control</v>
      </c>
      <c r="AA2002" s="23" t="str">
        <f aca="false">IF(C2002="","", CHOOSE(MONTH(C2002),"January","February","March","April","May","June","July","August","September","October","November","December")&amp;" "&amp;DAY(C2002)&amp;MID("thstndrdth",MIN(9,2*RIGHT(DAY(C2002))*(MOD(DAY(C2002)-11,100)&gt;2)+1),2)&amp;","&amp;TEXT(C2002," yyyy"))</f>
        <v>April 7th,2025</v>
      </c>
      <c r="AB2002" s="15" t="str">
        <f aca="true">IF(S2002="","",DATEDIF(S2002,TODAY(),"Y")&amp;" Tahun, "&amp;DATEDIF(S2002,TODAY(),"YM")&amp;" Bulan, "&amp;DATEDIF(S2002,TODAY(),"MD")&amp;" Hari")</f>
        <v>26 Tahun, 10 Bulan, 12 Hari</v>
      </c>
      <c r="AC2002" s="18" t="n">
        <v>45754</v>
      </c>
      <c r="AD2002" s="18" t="n">
        <v>46118</v>
      </c>
      <c r="AE2002" s="18" t="s">
        <v>44</v>
      </c>
    </row>
    <row r="2003" customFormat="false" ht="15" hidden="false" customHeight="true" outlineLevel="0" collapsed="false">
      <c r="A2003" s="12" t="n">
        <v>19055</v>
      </c>
      <c r="B2003" s="76" t="s">
        <v>8644</v>
      </c>
      <c r="C2003" s="16" t="n">
        <v>45754</v>
      </c>
      <c r="D2003" s="13" t="s">
        <v>5726</v>
      </c>
      <c r="E2003" s="15" t="s">
        <v>47</v>
      </c>
      <c r="F2003" s="15" t="str">
        <f aca="false">IFERROR(__xludf.dummyfunction("XLOOKUP(AJ2003,IMPORTRANGE(""1XaInW9DU9nz21V0tYIfzFQ0He9kVQ_JF2mCXgZ3hqFA"",""REKAP ALL 2026 - Andika!G:G""),IMPORTRANGE(""1XaInW9DU9nz21V0tYIfzFQ0He9kVQ_JF2mCXgZ3hqFA"",""REKAP ALL 2026 - Andika!F:F""),"""",0)"),"19034061895")</f>
        <v>19034061895</v>
      </c>
      <c r="G2003" s="13" t="s">
        <v>8645</v>
      </c>
      <c r="H2003" s="13" t="s">
        <v>35</v>
      </c>
      <c r="I2003" s="13" t="str">
        <f aca="false">IF(C2003=J2003,"NEW KONTRAK","RE-KONTRAK")</f>
        <v>RE-KONTRAK</v>
      </c>
      <c r="J2003" s="16" t="n">
        <f aca="false" t="array" ref="J2003:J2003">IFERROR(INDEX(AC2003:AE2003,IF(COUNTA(AC2003:AE2003)=0,"",MAX((AC2003:AE2003&lt;&gt;"")*(COLUMN(AC2003:AE2003)-(COLUMN(AC2003)))))-1),"")</f>
        <v>45845</v>
      </c>
      <c r="K2003" s="16" t="n">
        <f aca="false" t="array" ref="K2003:K2003">IFERROR(INDEX(AC2003:AE2003,IF(COUNTA(AC2003:AE2003)=0,"",MAX((AC2003:AE2003&lt;&gt;"")*(COLUMN(AC2003:AE2003)-(COLUMN(AC2003)-1))))-1),"")</f>
        <v>46028</v>
      </c>
      <c r="L2003" s="17" t="str">
        <f aca="false" t="array" ref="L2003:L2003">IFERROR(INDEX(AC2003:AE2003,IF(COUNTA(AC2003:AE2003)=0,"",MAX((AC2003:AE2003&lt;&gt;"")*(COLUMN(AC2003:AE2003)-(COLUMN(AC2003)-2))))-1),"")</f>
        <v>ARCHIVED</v>
      </c>
      <c r="M2003" s="13" t="n">
        <f aca="true">K2003-TODAY()</f>
        <v>-296</v>
      </c>
      <c r="N2003" s="18" t="s">
        <v>615</v>
      </c>
      <c r="O2003" s="13" t="s">
        <v>764</v>
      </c>
      <c r="P2003" s="19" t="n">
        <v>5176101</v>
      </c>
      <c r="Q2003" s="77" t="s">
        <v>8646</v>
      </c>
      <c r="R2003" s="76" t="s">
        <v>39</v>
      </c>
      <c r="S2003" s="78" t="n">
        <v>34465</v>
      </c>
      <c r="T2003" s="76" t="s">
        <v>40</v>
      </c>
      <c r="U2003" s="76" t="s">
        <v>8647</v>
      </c>
      <c r="V2003" s="76" t="s">
        <v>42</v>
      </c>
      <c r="W2003" s="13" t="s">
        <v>54</v>
      </c>
      <c r="X2003" s="21" t="n">
        <v>82234617181</v>
      </c>
      <c r="Y2003" s="22" t="str">
        <f aca="false">O2003</f>
        <v>Operator</v>
      </c>
      <c r="Z2003" s="13" t="str">
        <f aca="false">IFERROR(__xludf.dummyfunction("if(BJ2003="""","""",GOOGLETRANSLATE(BJ2003,""auto"",""en""))"),"Operator")</f>
        <v>Operator</v>
      </c>
      <c r="AA2003" s="23" t="str">
        <f aca="false">IF(C2003="","", CHOOSE(MONTH(C2003),"January","February","March","April","May","June","July","August","September","October","November","December")&amp;" "&amp;DAY(C2003)&amp;MID("thstndrdth",MIN(9,2*RIGHT(DAY(C2003))*(MOD(DAY(C2003)-11,100)&gt;2)+1),2)&amp;","&amp;TEXT(C2003," yyyy"))</f>
        <v>April 7th,2025</v>
      </c>
      <c r="AB2003" s="15" t="str">
        <f aca="true">IF(S2003="","",DATEDIF(S2003,TODAY(),"Y")&amp;" Tahun, "&amp;DATEDIF(S2003,TODAY(),"YM")&amp;" Bulan, "&amp;DATEDIF(S2003,TODAY(),"MD")&amp;" Hari")</f>
        <v>32 Tahun, 5 Bulan, 18 Hari</v>
      </c>
      <c r="AC2003" s="18" t="n">
        <v>45845</v>
      </c>
      <c r="AD2003" s="18" t="n">
        <v>46028</v>
      </c>
      <c r="AE2003" s="18" t="s">
        <v>44</v>
      </c>
    </row>
    <row r="2004" customFormat="false" ht="15" hidden="false" customHeight="true" outlineLevel="0" collapsed="false">
      <c r="A2004" s="12" t="n">
        <v>19052</v>
      </c>
      <c r="B2004" s="76" t="s">
        <v>8648</v>
      </c>
      <c r="C2004" s="16" t="n">
        <v>45754</v>
      </c>
      <c r="D2004" s="13" t="s">
        <v>5726</v>
      </c>
      <c r="E2004" s="15" t="s">
        <v>33</v>
      </c>
      <c r="F2004" s="24" t="s">
        <v>8649</v>
      </c>
      <c r="G2004" s="13" t="s">
        <v>8650</v>
      </c>
      <c r="H2004" s="13" t="s">
        <v>35</v>
      </c>
      <c r="I2004" s="13" t="str">
        <f aca="false">IF(C2004=J2004,"NEW KONTRAK","RE-KONTRAK")</f>
        <v>RE-KONTRAK</v>
      </c>
      <c r="J2004" s="16" t="n">
        <f aca="false" t="array" ref="J2004:J2004">IFERROR(INDEX(AC2004:AE2004,IF(COUNTA(AC2004:AE2004)=0,"",MAX((AC2004:AE2004&lt;&gt;"")*(COLUMN(AC2004:AE2004)-(COLUMN(AC2004)))))-1),"")</f>
        <v>45845</v>
      </c>
      <c r="K2004" s="16" t="n">
        <f aca="false" t="array" ref="K2004:K2004">IFERROR(INDEX(AC2004:AE2004,IF(COUNTA(AC2004:AE2004)=0,"",MAX((AC2004:AE2004&lt;&gt;"")*(COLUMN(AC2004:AE2004)-(COLUMN(AC2004)-1))))-1),"")</f>
        <v>45936</v>
      </c>
      <c r="L2004" s="17" t="str">
        <f aca="false" t="array" ref="L2004:L2004">IFERROR(INDEX(AC2004:AE2004,IF(COUNTA(AC2004:AE2004)=0,"",MAX((AC2004:AE2004&lt;&gt;"")*(COLUMN(AC2004:AE2004)-(COLUMN(AC2004)-2))))-1),"")</f>
        <v>ARCHIVED</v>
      </c>
      <c r="M2004" s="13" t="n">
        <f aca="true">K2004-TODAY()</f>
        <v>-388</v>
      </c>
      <c r="N2004" s="18" t="s">
        <v>615</v>
      </c>
      <c r="O2004" s="13" t="s">
        <v>624</v>
      </c>
      <c r="P2004" s="27" t="n">
        <v>5176101</v>
      </c>
      <c r="Q2004" s="77" t="s">
        <v>8651</v>
      </c>
      <c r="R2004" s="76" t="s">
        <v>246</v>
      </c>
      <c r="S2004" s="78" t="n">
        <v>36271</v>
      </c>
      <c r="T2004" s="76" t="s">
        <v>108</v>
      </c>
      <c r="U2004" s="76" t="s">
        <v>8652</v>
      </c>
      <c r="V2004" s="76" t="s">
        <v>42</v>
      </c>
      <c r="W2004" s="13" t="s">
        <v>43</v>
      </c>
      <c r="X2004" s="21" t="n">
        <v>85853498705</v>
      </c>
      <c r="Y2004" s="22" t="str">
        <f aca="false">O2004</f>
        <v>Quality Control</v>
      </c>
      <c r="Z2004" s="13" t="str">
        <f aca="false">IFERROR(__xludf.dummyfunction("if(BJ2004="""","""",GOOGLETRANSLATE(BJ2004,""auto"",""en""))"),"Quality Control")</f>
        <v>Quality Control</v>
      </c>
      <c r="AA2004" s="23" t="str">
        <f aca="false">IF(C2004="","", CHOOSE(MONTH(C2004),"January","February","March","April","May","June","July","August","September","October","November","December")&amp;" "&amp;DAY(C2004)&amp;MID("thstndrdth",MIN(9,2*RIGHT(DAY(C2004))*(MOD(DAY(C2004)-11,100)&gt;2)+1),2)&amp;","&amp;TEXT(C2004," yyyy"))</f>
        <v>April 7th,2025</v>
      </c>
      <c r="AB2004" s="15" t="str">
        <f aca="true">IF(S2004="","",DATEDIF(S2004,TODAY(),"Y")&amp;" Tahun, "&amp;DATEDIF(S2004,TODAY(),"YM")&amp;" Bulan, "&amp;DATEDIF(S2004,TODAY(),"MD")&amp;" Hari")</f>
        <v>27 Tahun, 6 Bulan, 8 Hari</v>
      </c>
      <c r="AC2004" s="18" t="n">
        <v>45845</v>
      </c>
      <c r="AD2004" s="18" t="n">
        <v>45936</v>
      </c>
      <c r="AE2004" s="18" t="s">
        <v>44</v>
      </c>
    </row>
    <row r="2005" customFormat="false" ht="15" hidden="false" customHeight="true" outlineLevel="0" collapsed="false">
      <c r="A2005" s="12" t="n">
        <v>19054</v>
      </c>
      <c r="B2005" s="76" t="s">
        <v>8653</v>
      </c>
      <c r="C2005" s="16" t="n">
        <v>45754</v>
      </c>
      <c r="D2005" s="13" t="s">
        <v>5726</v>
      </c>
      <c r="E2005" s="15" t="s">
        <v>33</v>
      </c>
      <c r="F2005" s="24" t="s">
        <v>8654</v>
      </c>
      <c r="G2005" s="13" t="s">
        <v>8655</v>
      </c>
      <c r="H2005" s="13" t="s">
        <v>35</v>
      </c>
      <c r="I2005" s="13" t="str">
        <f aca="false">IF(C2005=J2005,"NEW KONTRAK","RE-KONTRAK")</f>
        <v>NEW KONTRAK</v>
      </c>
      <c r="J2005" s="16" t="n">
        <f aca="false" t="array" ref="J2005:J2005">IFERROR(INDEX(AC2005:AE2005,IF(COUNTA(AC2005:AE2005)=0,"",MAX((AC2005:AE2005&lt;&gt;"")*(COLUMN(AC2005:AE2005)-(COLUMN(AC2005)))))-1),"")</f>
        <v>45754</v>
      </c>
      <c r="K2005" s="16" t="n">
        <f aca="false" t="array" ref="K2005:K2005">IFERROR(INDEX(AC2005:AE2005,IF(COUNTA(AC2005:AE2005)=0,"",MAX((AC2005:AE2005&lt;&gt;"")*(COLUMN(AC2005:AE2005)-(COLUMN(AC2005)-1))))-1),"")</f>
        <v>45844</v>
      </c>
      <c r="L2005" s="17" t="str">
        <f aca="false" t="array" ref="L2005:L2005">IFERROR(INDEX(AC2005:AE2005,IF(COUNTA(AC2005:AE2005)=0,"",MAX((AC2005:AE2005&lt;&gt;"")*(COLUMN(AC2005:AE2005)-(COLUMN(AC2005)-2))))-1),"")</f>
        <v>ARCHIVED</v>
      </c>
      <c r="M2005" s="13" t="n">
        <f aca="true">K2005-TODAY()</f>
        <v>-480</v>
      </c>
      <c r="N2005" s="18" t="s">
        <v>615</v>
      </c>
      <c r="O2005" s="13" t="s">
        <v>1531</v>
      </c>
      <c r="P2005" s="27" t="n">
        <v>5176101</v>
      </c>
      <c r="Q2005" s="77" t="s">
        <v>8656</v>
      </c>
      <c r="R2005" s="76" t="s">
        <v>39</v>
      </c>
      <c r="S2005" s="78" t="n">
        <v>35229</v>
      </c>
      <c r="T2005" s="76" t="s">
        <v>108</v>
      </c>
      <c r="U2005" s="76" t="s">
        <v>8657</v>
      </c>
      <c r="V2005" s="76" t="s">
        <v>42</v>
      </c>
      <c r="W2005" s="13" t="s">
        <v>43</v>
      </c>
      <c r="X2005" s="21" t="n">
        <v>85735365658</v>
      </c>
      <c r="Y2005" s="22" t="str">
        <f aca="false">O2005</f>
        <v>Packer</v>
      </c>
      <c r="Z2005" s="13" t="str">
        <f aca="false">IFERROR(__xludf.dummyfunction("if(BJ2005="""","""",GOOGLETRANSLATE(BJ2005,""auto"",""en""))"),"Packer")</f>
        <v>Packer</v>
      </c>
      <c r="AA2005" s="23" t="str">
        <f aca="false">IF(C2005="","", CHOOSE(MONTH(C2005),"January","February","March","April","May","June","July","August","September","October","November","December")&amp;" "&amp;DAY(C2005)&amp;MID("thstndrdth",MIN(9,2*RIGHT(DAY(C2005))*(MOD(DAY(C2005)-11,100)&gt;2)+1),2)&amp;","&amp;TEXT(C2005," yyyy"))</f>
        <v>April 7th,2025</v>
      </c>
      <c r="AB2005" s="15" t="str">
        <f aca="true">IF(S2005="","",DATEDIF(S2005,TODAY(),"Y")&amp;" Tahun, "&amp;DATEDIF(S2005,TODAY(),"YM")&amp;" Bulan, "&amp;DATEDIF(S2005,TODAY(),"MD")&amp;" Hari")</f>
        <v>30 Tahun, 4 Bulan, 16 Hari</v>
      </c>
      <c r="AC2005" s="18" t="n">
        <v>45754</v>
      </c>
      <c r="AD2005" s="18" t="n">
        <v>45844</v>
      </c>
      <c r="AE2005" s="18" t="s">
        <v>44</v>
      </c>
    </row>
    <row r="2006" customFormat="false" ht="15" hidden="false" customHeight="true" outlineLevel="0" collapsed="false">
      <c r="A2006" s="12" t="n">
        <v>19056</v>
      </c>
      <c r="B2006" s="76" t="s">
        <v>8658</v>
      </c>
      <c r="C2006" s="16" t="n">
        <v>45754</v>
      </c>
      <c r="D2006" s="13" t="s">
        <v>5726</v>
      </c>
      <c r="E2006" s="15" t="s">
        <v>47</v>
      </c>
      <c r="F2006" s="15" t="str">
        <f aca="false">IFERROR(__xludf.dummyfunction("XLOOKUP(AJ2006,IMPORTRANGE(""1XaInW9DU9nz21V0tYIfzFQ0He9kVQ_JF2mCXgZ3hqFA"",""REKAP ALL 2026 - Andika!G:G""),IMPORTRANGE(""1XaInW9DU9nz21V0tYIfzFQ0He9kVQ_JF2mCXgZ3hqFA"",""REKAP ALL 2026 - Andika!F:F""),"""",0)"),"24061768982")</f>
        <v>24061768982</v>
      </c>
      <c r="G2006" s="13" t="s">
        <v>8659</v>
      </c>
      <c r="H2006" s="13" t="s">
        <v>35</v>
      </c>
      <c r="I2006" s="13" t="str">
        <f aca="false">IF(C2006=J2006,"NEW KONTRAK","RE-KONTRAK")</f>
        <v>NEW KONTRAK</v>
      </c>
      <c r="J2006" s="16" t="n">
        <f aca="false" t="array" ref="J2006:J2006">IFERROR(INDEX(AC2006:AE2006,IF(COUNTA(AC2006:AE2006)=0,"",MAX((AC2006:AE2006&lt;&gt;"")*(COLUMN(AC2006:AE2006)-(COLUMN(AC2006)))))-1),"")</f>
        <v>45754</v>
      </c>
      <c r="K2006" s="16" t="n">
        <f aca="false" t="array" ref="K2006:K2006">IFERROR(INDEX(AC2006:AE2006,IF(COUNTA(AC2006:AE2006)=0,"",MAX((AC2006:AE2006&lt;&gt;"")*(COLUMN(AC2006:AE2006)-(COLUMN(AC2006)-1))))-1),"")</f>
        <v>46118</v>
      </c>
      <c r="L2006" s="17" t="str">
        <f aca="false" t="array" ref="L2006:L2006">IFERROR(INDEX(AC2006:AE2006,IF(COUNTA(AC2006:AE2006)=0,"",MAX((AC2006:AE2006&lt;&gt;"")*(COLUMN(AC2006:AE2006)-(COLUMN(AC2006)-2))))-1),"")</f>
        <v>ARCHIVED</v>
      </c>
      <c r="M2006" s="13" t="n">
        <f aca="true">K2006-TODAY()</f>
        <v>-206</v>
      </c>
      <c r="N2006" s="18" t="s">
        <v>615</v>
      </c>
      <c r="O2006" s="13" t="s">
        <v>8660</v>
      </c>
      <c r="P2006" s="19" t="n">
        <v>5176101</v>
      </c>
      <c r="Q2006" s="77" t="s">
        <v>8661</v>
      </c>
      <c r="R2006" s="76" t="s">
        <v>232</v>
      </c>
      <c r="S2006" s="78" t="n">
        <v>37285</v>
      </c>
      <c r="T2006" s="76" t="s">
        <v>40</v>
      </c>
      <c r="U2006" s="76" t="s">
        <v>8662</v>
      </c>
      <c r="V2006" s="76" t="s">
        <v>42</v>
      </c>
      <c r="W2006" s="13" t="s">
        <v>43</v>
      </c>
      <c r="X2006" s="21" t="n">
        <v>85850008217</v>
      </c>
      <c r="Y2006" s="22" t="str">
        <f aca="false">O2006</f>
        <v>NPD</v>
      </c>
      <c r="Z2006" s="13" t="str">
        <f aca="false">IFERROR(__xludf.dummyfunction("if(BJ2006="""","""",GOOGLETRANSLATE(BJ2006,""auto"",""en""))"),"NPD")</f>
        <v>NPD</v>
      </c>
      <c r="AA2006" s="23" t="str">
        <f aca="false">IF(C2006="","", CHOOSE(MONTH(C2006),"January","February","March","April","May","June","July","August","September","October","November","December")&amp;" "&amp;DAY(C2006)&amp;MID("thstndrdth",MIN(9,2*RIGHT(DAY(C2006))*(MOD(DAY(C2006)-11,100)&gt;2)+1),2)&amp;","&amp;TEXT(C2006," yyyy"))</f>
        <v>April 7th,2025</v>
      </c>
      <c r="AB2006" s="15" t="str">
        <f aca="true">IF(S2006="","",DATEDIF(S2006,TODAY(),"Y")&amp;" Tahun, "&amp;DATEDIF(S2006,TODAY(),"YM")&amp;" Bulan, "&amp;DATEDIF(S2006,TODAY(),"MD")&amp;" Hari")</f>
        <v>24 Tahun, 9 Bulan, 0 Hari</v>
      </c>
      <c r="AC2006" s="18" t="n">
        <v>45754</v>
      </c>
      <c r="AD2006" s="18" t="n">
        <v>46118</v>
      </c>
      <c r="AE2006" s="18" t="s">
        <v>44</v>
      </c>
    </row>
    <row r="2007" customFormat="false" ht="15" hidden="false" customHeight="true" outlineLevel="0" collapsed="false">
      <c r="A2007" s="12" t="n">
        <v>19058</v>
      </c>
      <c r="B2007" s="76" t="s">
        <v>8663</v>
      </c>
      <c r="C2007" s="16" t="n">
        <v>45754</v>
      </c>
      <c r="D2007" s="13" t="s">
        <v>5726</v>
      </c>
      <c r="E2007" s="15" t="s">
        <v>47</v>
      </c>
      <c r="F2007" s="15" t="str">
        <f aca="false">IFERROR(__xludf.dummyfunction("XLOOKUP(AJ2007,IMPORTRANGE(""1XaInW9DU9nz21V0tYIfzFQ0He9kVQ_JF2mCXgZ3hqFA"",""REKAP ALL 2026 - Andika!G:G""),IMPORTRANGE(""1XaInW9DU9nz21V0tYIfzFQ0He9kVQ_JF2mCXgZ3hqFA"",""REKAP ALL 2026 - Andika!F:F""),"""",0)"),"24075690396")</f>
        <v>24075690396</v>
      </c>
      <c r="G2007" s="13" t="s">
        <v>8664</v>
      </c>
      <c r="H2007" s="13" t="s">
        <v>35</v>
      </c>
      <c r="I2007" s="13" t="str">
        <f aca="false">IF(C2007=J2007,"NEW KONTRAK","RE-KONTRAK")</f>
        <v>RE-KONTRAK</v>
      </c>
      <c r="J2007" s="16" t="n">
        <f aca="false" t="array" ref="J2007:J2007">IFERROR(INDEX(AC2007:AE2007,IF(COUNTA(AC2007:AE2007)=0,"",MAX((AC2007:AE2007&lt;&gt;"")*(COLUMN(AC2007:AE2007)-(COLUMN(AC2007)))))-1),"")</f>
        <v>45845</v>
      </c>
      <c r="K2007" s="16" t="n">
        <f aca="false" t="array" ref="K2007:K2007">IFERROR(INDEX(AC2007:AE2007,IF(COUNTA(AC2007:AE2007)=0,"",MAX((AC2007:AE2007&lt;&gt;"")*(COLUMN(AC2007:AE2007)-(COLUMN(AC2007)-1))))-1),"")</f>
        <v>45936</v>
      </c>
      <c r="L2007" s="17" t="str">
        <f aca="false" t="array" ref="L2007:L2007">IFERROR(INDEX(AC2007:AE2007,IF(COUNTA(AC2007:AE2007)=0,"",MAX((AC2007:AE2007&lt;&gt;"")*(COLUMN(AC2007:AE2007)-(COLUMN(AC2007)-2))))-1),"")</f>
        <v>ARCHIVED</v>
      </c>
      <c r="M2007" s="13" t="n">
        <f aca="true">K2007-TODAY()</f>
        <v>-388</v>
      </c>
      <c r="N2007" s="18" t="s">
        <v>615</v>
      </c>
      <c r="O2007" s="13" t="s">
        <v>8665</v>
      </c>
      <c r="P2007" s="19" t="n">
        <v>5176101</v>
      </c>
      <c r="Q2007" s="77" t="s">
        <v>8666</v>
      </c>
      <c r="R2007" s="76" t="s">
        <v>232</v>
      </c>
      <c r="S2007" s="78" t="n">
        <v>37142</v>
      </c>
      <c r="T2007" s="76" t="s">
        <v>40</v>
      </c>
      <c r="U2007" s="76" t="s">
        <v>8667</v>
      </c>
      <c r="V2007" s="76" t="s">
        <v>42</v>
      </c>
      <c r="W2007" s="13" t="s">
        <v>43</v>
      </c>
      <c r="X2007" s="21" t="n">
        <v>85785338249</v>
      </c>
      <c r="Y2007" s="22" t="str">
        <f aca="false">O2007</f>
        <v>Prepress</v>
      </c>
      <c r="Z2007" s="13" t="str">
        <f aca="false">IFERROR(__xludf.dummyfunction("if(BJ2007="""","""",GOOGLETRANSLATE(BJ2007,""auto"",""en""))"),"Prepress")</f>
        <v>Prepress</v>
      </c>
      <c r="AA2007" s="23" t="str">
        <f aca="false">IF(C2007="","", CHOOSE(MONTH(C2007),"January","February","March","April","May","June","July","August","September","October","November","December")&amp;" "&amp;DAY(C2007)&amp;MID("thstndrdth",MIN(9,2*RIGHT(DAY(C2007))*(MOD(DAY(C2007)-11,100)&gt;2)+1),2)&amp;","&amp;TEXT(C2007," yyyy"))</f>
        <v>April 7th,2025</v>
      </c>
      <c r="AB2007" s="15" t="str">
        <f aca="true">IF(S2007="","",DATEDIF(S2007,TODAY(),"Y")&amp;" Tahun, "&amp;DATEDIF(S2007,TODAY(),"YM")&amp;" Bulan, "&amp;DATEDIF(S2007,TODAY(),"MD")&amp;" Hari")</f>
        <v>25 Tahun, 1 Bulan, 21 Hari</v>
      </c>
      <c r="AC2007" s="18" t="n">
        <v>45845</v>
      </c>
      <c r="AD2007" s="18" t="n">
        <v>45936</v>
      </c>
      <c r="AE2007" s="18" t="s">
        <v>44</v>
      </c>
    </row>
    <row r="2008" customFormat="false" ht="15" hidden="false" customHeight="true" outlineLevel="0" collapsed="false">
      <c r="A2008" s="12" t="n">
        <v>19059</v>
      </c>
      <c r="B2008" s="76" t="s">
        <v>8668</v>
      </c>
      <c r="C2008" s="16" t="n">
        <v>45754</v>
      </c>
      <c r="D2008" s="13" t="s">
        <v>5726</v>
      </c>
      <c r="E2008" s="15" t="s">
        <v>47</v>
      </c>
      <c r="F2008" s="15" t="str">
        <f aca="false">IFERROR(__xludf.dummyfunction("XLOOKUP(AJ2008,IMPORTRANGE(""1XaInW9DU9nz21V0tYIfzFQ0He9kVQ_JF2mCXgZ3hqFA"",""REKAP ALL 2026 - Andika!G:G""),IMPORTRANGE(""1XaInW9DU9nz21V0tYIfzFQ0He9kVQ_JF2mCXgZ3hqFA"",""REKAP ALL 2026 - Andika!F:F""),"""",0)"),"25012462245")</f>
        <v>25012462245</v>
      </c>
      <c r="G2008" s="13" t="s">
        <v>8669</v>
      </c>
      <c r="H2008" s="13" t="s">
        <v>35</v>
      </c>
      <c r="I2008" s="13" t="str">
        <f aca="false">IF(C2008=J2008,"NEW KONTRAK","RE-KONTRAK")</f>
        <v>RE-KONTRAK</v>
      </c>
      <c r="J2008" s="16" t="n">
        <f aca="false" t="array" ref="J2008:J2008">IFERROR(INDEX(AC2008:AE2008,IF(COUNTA(AC2008:AE2008)=0,"",MAX((AC2008:AE2008&lt;&gt;"")*(COLUMN(AC2008:AE2008)-(COLUMN(AC2008)))))-1),"")</f>
        <v>45845</v>
      </c>
      <c r="K2008" s="16" t="n">
        <f aca="false" t="array" ref="K2008:K2008">IFERROR(INDEX(AC2008:AE2008,IF(COUNTA(AC2008:AE2008)=0,"",MAX((AC2008:AE2008&lt;&gt;"")*(COLUMN(AC2008:AE2008)-(COLUMN(AC2008)-1))))-1),"")</f>
        <v>45936</v>
      </c>
      <c r="L2008" s="17" t="str">
        <f aca="false" t="array" ref="L2008:L2008">IFERROR(INDEX(AC2008:AE2008,IF(COUNTA(AC2008:AE2008)=0,"",MAX((AC2008:AE2008&lt;&gt;"")*(COLUMN(AC2008:AE2008)-(COLUMN(AC2008)-2))))-1),"")</f>
        <v>ARCHIVED</v>
      </c>
      <c r="M2008" s="13" t="n">
        <f aca="true">K2008-TODAY()</f>
        <v>-388</v>
      </c>
      <c r="N2008" s="18" t="s">
        <v>615</v>
      </c>
      <c r="O2008" s="13" t="s">
        <v>3271</v>
      </c>
      <c r="P2008" s="19" t="n">
        <v>5176101</v>
      </c>
      <c r="Q2008" s="77" t="s">
        <v>8670</v>
      </c>
      <c r="R2008" s="76" t="s">
        <v>232</v>
      </c>
      <c r="S2008" s="78" t="n">
        <v>35903</v>
      </c>
      <c r="T2008" s="76" t="s">
        <v>40</v>
      </c>
      <c r="U2008" s="76" t="s">
        <v>8671</v>
      </c>
      <c r="V2008" s="76" t="s">
        <v>42</v>
      </c>
      <c r="W2008" s="13" t="s">
        <v>54</v>
      </c>
      <c r="X2008" s="21" t="n">
        <v>81333121149</v>
      </c>
      <c r="Y2008" s="22" t="str">
        <f aca="false">O2008</f>
        <v>Helper</v>
      </c>
      <c r="Z2008" s="13" t="str">
        <f aca="false">IFERROR(__xludf.dummyfunction("if(BJ2008="""","""",GOOGLETRANSLATE(BJ2008,""auto"",""en""))"),"Helper")</f>
        <v>Helper</v>
      </c>
      <c r="AA2008" s="23" t="str">
        <f aca="false">IF(C2008="","", CHOOSE(MONTH(C2008),"January","February","March","April","May","June","July","August","September","October","November","December")&amp;" "&amp;DAY(C2008)&amp;MID("thstndrdth",MIN(9,2*RIGHT(DAY(C2008))*(MOD(DAY(C2008)-11,100)&gt;2)+1),2)&amp;","&amp;TEXT(C2008," yyyy"))</f>
        <v>April 7th,2025</v>
      </c>
      <c r="AB2008" s="15" t="str">
        <f aca="true">IF(S2008="","",DATEDIF(S2008,TODAY(),"Y")&amp;" Tahun, "&amp;DATEDIF(S2008,TODAY(),"YM")&amp;" Bulan, "&amp;DATEDIF(S2008,TODAY(),"MD")&amp;" Hari")</f>
        <v>28 Tahun, 6 Bulan, 11 Hari</v>
      </c>
      <c r="AC2008" s="18" t="n">
        <v>45845</v>
      </c>
      <c r="AD2008" s="18" t="n">
        <v>45936</v>
      </c>
      <c r="AE2008" s="18" t="s">
        <v>44</v>
      </c>
    </row>
    <row r="2009" customFormat="false" ht="15" hidden="false" customHeight="true" outlineLevel="0" collapsed="false">
      <c r="A2009" s="12" t="n">
        <v>19060</v>
      </c>
      <c r="B2009" s="76" t="s">
        <v>8672</v>
      </c>
      <c r="C2009" s="16" t="n">
        <v>45754</v>
      </c>
      <c r="D2009" s="13" t="s">
        <v>5726</v>
      </c>
      <c r="E2009" s="15" t="s">
        <v>47</v>
      </c>
      <c r="F2009" s="15" t="str">
        <f aca="false">IFERROR(__xludf.dummyfunction("XLOOKUP(AJ2009,IMPORTRANGE(""1XaInW9DU9nz21V0tYIfzFQ0He9kVQ_JF2mCXgZ3hqFA"",""REKAP ALL 2026 - Andika!G:G""),IMPORTRANGE(""1XaInW9DU9nz21V0tYIfzFQ0He9kVQ_JF2mCXgZ3hqFA"",""REKAP ALL 2026 - Andika!F:F""),"""",0)"),"24120209564")</f>
        <v>24120209564</v>
      </c>
      <c r="G2009" s="13" t="s">
        <v>8673</v>
      </c>
      <c r="H2009" s="13" t="s">
        <v>35</v>
      </c>
      <c r="I2009" s="13" t="str">
        <f aca="false">IF(C2009=J2009,"NEW KONTRAK","RE-KONTRAK")</f>
        <v>RE-KONTRAK</v>
      </c>
      <c r="J2009" s="16" t="n">
        <f aca="false" t="array" ref="J2009:J2009">IFERROR(INDEX(AC2009:AE2009,IF(COUNTA(AC2009:AE2009)=0,"",MAX((AC2009:AE2009&lt;&gt;"")*(COLUMN(AC2009:AE2009)-(COLUMN(AC2009)))))-1),"")</f>
        <v>45845</v>
      </c>
      <c r="K2009" s="16" t="n">
        <f aca="false" t="array" ref="K2009:K2009">IFERROR(INDEX(AC2009:AE2009,IF(COUNTA(AC2009:AE2009)=0,"",MAX((AC2009:AE2009&lt;&gt;"")*(COLUMN(AC2009:AE2009)-(COLUMN(AC2009)-1))))-1),"")</f>
        <v>45936</v>
      </c>
      <c r="L2009" s="17" t="str">
        <f aca="false" t="array" ref="L2009:L2009">IFERROR(INDEX(AC2009:AE2009,IF(COUNTA(AC2009:AE2009)=0,"",MAX((AC2009:AE2009&lt;&gt;"")*(COLUMN(AC2009:AE2009)-(COLUMN(AC2009)-2))))-1),"")</f>
        <v>ARCHIVED</v>
      </c>
      <c r="M2009" s="13" t="n">
        <f aca="true">K2009-TODAY()</f>
        <v>-388</v>
      </c>
      <c r="N2009" s="18" t="s">
        <v>615</v>
      </c>
      <c r="O2009" s="13" t="s">
        <v>1531</v>
      </c>
      <c r="P2009" s="19" t="n">
        <v>5176101</v>
      </c>
      <c r="Q2009" s="77" t="s">
        <v>8674</v>
      </c>
      <c r="R2009" s="76" t="s">
        <v>232</v>
      </c>
      <c r="S2009" s="78" t="n">
        <v>38098</v>
      </c>
      <c r="T2009" s="76" t="s">
        <v>108</v>
      </c>
      <c r="U2009" s="76" t="s">
        <v>8675</v>
      </c>
      <c r="V2009" s="76" t="s">
        <v>42</v>
      </c>
      <c r="W2009" s="13" t="s">
        <v>54</v>
      </c>
      <c r="X2009" s="21" t="n">
        <v>85706759720</v>
      </c>
      <c r="Y2009" s="22" t="str">
        <f aca="false">O2009</f>
        <v>Packer</v>
      </c>
      <c r="Z2009" s="13" t="str">
        <f aca="false">IFERROR(__xludf.dummyfunction("if(BJ2009="""","""",GOOGLETRANSLATE(BJ2009,""auto"",""en""))"),"Packer")</f>
        <v>Packer</v>
      </c>
      <c r="AA2009" s="23" t="str">
        <f aca="false">IF(C2009="","", CHOOSE(MONTH(C2009),"January","February","March","April","May","June","July","August","September","October","November","December")&amp;" "&amp;DAY(C2009)&amp;MID("thstndrdth",MIN(9,2*RIGHT(DAY(C2009))*(MOD(DAY(C2009)-11,100)&gt;2)+1),2)&amp;","&amp;TEXT(C2009," yyyy"))</f>
        <v>April 7th,2025</v>
      </c>
      <c r="AB2009" s="15" t="str">
        <f aca="true">IF(S2009="","",DATEDIF(S2009,TODAY(),"Y")&amp;" Tahun, "&amp;DATEDIF(S2009,TODAY(),"YM")&amp;" Bulan, "&amp;DATEDIF(S2009,TODAY(),"MD")&amp;" Hari")</f>
        <v>22 Tahun, 6 Bulan, 8 Hari</v>
      </c>
      <c r="AC2009" s="18" t="n">
        <v>45845</v>
      </c>
      <c r="AD2009" s="18" t="n">
        <v>45936</v>
      </c>
      <c r="AE2009" s="18" t="s">
        <v>44</v>
      </c>
    </row>
    <row r="2010" customFormat="false" ht="15" hidden="false" customHeight="true" outlineLevel="0" collapsed="false">
      <c r="A2010" s="12" t="n">
        <v>19062</v>
      </c>
      <c r="B2010" s="76" t="s">
        <v>8676</v>
      </c>
      <c r="C2010" s="16" t="n">
        <v>45754</v>
      </c>
      <c r="D2010" s="13" t="s">
        <v>5726</v>
      </c>
      <c r="E2010" s="15" t="s">
        <v>47</v>
      </c>
      <c r="F2010" s="15" t="str">
        <f aca="false">IFERROR(__xludf.dummyfunction("XLOOKUP(AJ2010,IMPORTRANGE(""1XaInW9DU9nz21V0tYIfzFQ0He9kVQ_JF2mCXgZ3hqFA"",""REKAP ALL 2026 - Andika!G:G""),IMPORTRANGE(""1XaInW9DU9nz21V0tYIfzFQ0He9kVQ_JF2mCXgZ3hqFA"",""REKAP ALL 2026 - Andika!F:F""),"""",0)"),"25012462229")</f>
        <v>25012462229</v>
      </c>
      <c r="G2010" s="13" t="s">
        <v>8677</v>
      </c>
      <c r="H2010" s="13" t="s">
        <v>35</v>
      </c>
      <c r="I2010" s="13" t="str">
        <f aca="false">IF(C2010=J2010,"NEW KONTRAK","RE-KONTRAK")</f>
        <v>RE-KONTRAK</v>
      </c>
      <c r="J2010" s="16" t="n">
        <f aca="false" t="array" ref="J2010:J2010">IFERROR(INDEX(AC2010:AE2010,IF(COUNTA(AC2010:AE2010)=0,"",MAX((AC2010:AE2010&lt;&gt;"")*(COLUMN(AC2010:AE2010)-(COLUMN(AC2010)))))-1),"")</f>
        <v>45845</v>
      </c>
      <c r="K2010" s="16" t="n">
        <f aca="false" t="array" ref="K2010:K2010">IFERROR(INDEX(AC2010:AE2010,IF(COUNTA(AC2010:AE2010)=0,"",MAX((AC2010:AE2010&lt;&gt;"")*(COLUMN(AC2010:AE2010)-(COLUMN(AC2010)-1))))-1),"")</f>
        <v>45936</v>
      </c>
      <c r="L2010" s="17" t="str">
        <f aca="false" t="array" ref="L2010:L2010">IFERROR(INDEX(AC2010:AE2010,IF(COUNTA(AC2010:AE2010)=0,"",MAX((AC2010:AE2010&lt;&gt;"")*(COLUMN(AC2010:AE2010)-(COLUMN(AC2010)-2))))-1),"")</f>
        <v>ARCHIVED</v>
      </c>
      <c r="M2010" s="13" t="n">
        <f aca="true">K2010-TODAY()</f>
        <v>-388</v>
      </c>
      <c r="N2010" s="18" t="s">
        <v>615</v>
      </c>
      <c r="O2010" s="13" t="s">
        <v>3271</v>
      </c>
      <c r="P2010" s="19" t="n">
        <v>5176101</v>
      </c>
      <c r="Q2010" s="77" t="s">
        <v>8678</v>
      </c>
      <c r="R2010" s="76" t="s">
        <v>232</v>
      </c>
      <c r="S2010" s="78" t="n">
        <v>35901</v>
      </c>
      <c r="T2010" s="76" t="s">
        <v>40</v>
      </c>
      <c r="U2010" s="76" t="s">
        <v>8679</v>
      </c>
      <c r="V2010" s="76" t="s">
        <v>42</v>
      </c>
      <c r="W2010" s="13" t="s">
        <v>54</v>
      </c>
      <c r="X2010" s="21" t="n">
        <v>85755847038</v>
      </c>
      <c r="Y2010" s="22" t="str">
        <f aca="false">O2010</f>
        <v>Helper</v>
      </c>
      <c r="Z2010" s="13" t="str">
        <f aca="false">IFERROR(__xludf.dummyfunction("if(BJ2010="""","""",GOOGLETRANSLATE(BJ2010,""auto"",""en""))"),"Helper")</f>
        <v>Helper</v>
      </c>
      <c r="AA2010" s="23" t="str">
        <f aca="false">IF(C2010="","", CHOOSE(MONTH(C2010),"January","February","March","April","May","June","July","August","September","October","November","December")&amp;" "&amp;DAY(C2010)&amp;MID("thstndrdth",MIN(9,2*RIGHT(DAY(C2010))*(MOD(DAY(C2010)-11,100)&gt;2)+1),2)&amp;","&amp;TEXT(C2010," yyyy"))</f>
        <v>April 7th,2025</v>
      </c>
      <c r="AB2010" s="15" t="str">
        <f aca="true">IF(S2010="","",DATEDIF(S2010,TODAY(),"Y")&amp;" Tahun, "&amp;DATEDIF(S2010,TODAY(),"YM")&amp;" Bulan, "&amp;DATEDIF(S2010,TODAY(),"MD")&amp;" Hari")</f>
        <v>28 Tahun, 6 Bulan, 13 Hari</v>
      </c>
      <c r="AC2010" s="18" t="n">
        <v>45845</v>
      </c>
      <c r="AD2010" s="18" t="n">
        <v>45936</v>
      </c>
      <c r="AE2010" s="18" t="s">
        <v>44</v>
      </c>
    </row>
    <row r="2011" customFormat="false" ht="15" hidden="false" customHeight="true" outlineLevel="0" collapsed="false">
      <c r="A2011" s="12" t="n">
        <v>19061</v>
      </c>
      <c r="B2011" s="76" t="s">
        <v>8680</v>
      </c>
      <c r="C2011" s="16" t="n">
        <v>45754</v>
      </c>
      <c r="D2011" s="13" t="s">
        <v>5726</v>
      </c>
      <c r="E2011" s="15" t="s">
        <v>33</v>
      </c>
      <c r="F2011" s="24" t="s">
        <v>8681</v>
      </c>
      <c r="G2011" s="13" t="s">
        <v>1127</v>
      </c>
      <c r="H2011" s="13" t="s">
        <v>35</v>
      </c>
      <c r="I2011" s="13" t="str">
        <f aca="false">IF(C2011=J2011,"NEW KONTRAK","RE-KONTRAK")</f>
        <v>NEW KONTRAK</v>
      </c>
      <c r="J2011" s="16" t="n">
        <f aca="false" t="array" ref="J2011:J2011">IFERROR(INDEX(AC2011:AE2011,IF(COUNTA(AC2011:AE2011)=0,"",MAX((AC2011:AE2011&lt;&gt;"")*(COLUMN(AC2011:AE2011)-(COLUMN(AC2011)))))-1),"")</f>
        <v>45754</v>
      </c>
      <c r="K2011" s="16" t="n">
        <f aca="false" t="array" ref="K2011:K2011">IFERROR(INDEX(AC2011:AE2011,IF(COUNTA(AC2011:AE2011)=0,"",MAX((AC2011:AE2011&lt;&gt;"")*(COLUMN(AC2011:AE2011)-(COLUMN(AC2011)-1))))-1),"")</f>
        <v>45844</v>
      </c>
      <c r="L2011" s="17" t="str">
        <f aca="false" t="array" ref="L2011:L2011">IFERROR(INDEX(AC2011:AE2011,IF(COUNTA(AC2011:AE2011)=0,"",MAX((AC2011:AE2011&lt;&gt;"")*(COLUMN(AC2011:AE2011)-(COLUMN(AC2011)-2))))-1),"")</f>
        <v>ARCHIVED</v>
      </c>
      <c r="M2011" s="13" t="n">
        <f aca="true">K2011-TODAY()</f>
        <v>-480</v>
      </c>
      <c r="N2011" s="18" t="s">
        <v>615</v>
      </c>
      <c r="O2011" s="13" t="s">
        <v>1531</v>
      </c>
      <c r="P2011" s="27" t="n">
        <v>5176101</v>
      </c>
      <c r="Q2011" s="96" t="s">
        <v>8682</v>
      </c>
      <c r="R2011" s="76" t="s">
        <v>324</v>
      </c>
      <c r="S2011" s="78" t="n">
        <v>35430</v>
      </c>
      <c r="T2011" s="76" t="s">
        <v>108</v>
      </c>
      <c r="U2011" s="76" t="s">
        <v>6845</v>
      </c>
      <c r="V2011" s="76" t="s">
        <v>42</v>
      </c>
      <c r="W2011" s="13" t="s">
        <v>54</v>
      </c>
      <c r="X2011" s="21" t="n">
        <v>87856339231</v>
      </c>
      <c r="Y2011" s="22" t="str">
        <f aca="false">O2011</f>
        <v>Packer</v>
      </c>
      <c r="Z2011" s="13" t="str">
        <f aca="false">IFERROR(__xludf.dummyfunction("if(BJ2011="""","""",GOOGLETRANSLATE(BJ2011,""auto"",""en""))"),"Packer")</f>
        <v>Packer</v>
      </c>
      <c r="AA2011" s="23" t="str">
        <f aca="false">IF(C2011="","", CHOOSE(MONTH(C2011),"January","February","March","April","May","June","July","August","September","October","November","December")&amp;" "&amp;DAY(C2011)&amp;MID("thstndrdth",MIN(9,2*RIGHT(DAY(C2011))*(MOD(DAY(C2011)-11,100)&gt;2)+1),2)&amp;","&amp;TEXT(C2011," yyyy"))</f>
        <v>April 7th,2025</v>
      </c>
      <c r="AB2011" s="15" t="str">
        <f aca="true">IF(S2011="","",DATEDIF(S2011,TODAY(),"Y")&amp;" Tahun, "&amp;DATEDIF(S2011,TODAY(),"YM")&amp;" Bulan, "&amp;DATEDIF(S2011,TODAY(),"MD")&amp;" Hari")</f>
        <v>29 Tahun, 9 Bulan, 28 Hari</v>
      </c>
      <c r="AC2011" s="18" t="n">
        <v>45754</v>
      </c>
      <c r="AD2011" s="18" t="n">
        <v>45844</v>
      </c>
      <c r="AE2011" s="18" t="s">
        <v>44</v>
      </c>
    </row>
    <row r="2012" customFormat="false" ht="15" hidden="false" customHeight="true" outlineLevel="0" collapsed="false">
      <c r="A2012" s="12" t="n">
        <v>19065</v>
      </c>
      <c r="B2012" s="76" t="s">
        <v>8683</v>
      </c>
      <c r="C2012" s="16" t="n">
        <v>45754</v>
      </c>
      <c r="D2012" s="13" t="s">
        <v>5726</v>
      </c>
      <c r="E2012" s="15" t="s">
        <v>47</v>
      </c>
      <c r="F2012" s="15" t="str">
        <f aca="false">IFERROR(__xludf.dummyfunction("XLOOKUP(AJ2012,IMPORTRANGE(""1XaInW9DU9nz21V0tYIfzFQ0He9kVQ_JF2mCXgZ3hqFA"",""REKAP ALL 2026 - Andika!G:G""),IMPORTRANGE(""1XaInW9DU9nz21V0tYIfzFQ0He9kVQ_JF2mCXgZ3hqFA"",""REKAP ALL 2026 - Andika!F:F""),"""",0)"),"25012462302")</f>
        <v>25012462302</v>
      </c>
      <c r="G2012" s="13" t="s">
        <v>8684</v>
      </c>
      <c r="H2012" s="13" t="s">
        <v>35</v>
      </c>
      <c r="I2012" s="13" t="str">
        <f aca="false">IF(C2012=J2012,"NEW KONTRAK","RE-KONTRAK")</f>
        <v>RE-KONTRAK</v>
      </c>
      <c r="J2012" s="16" t="n">
        <f aca="false" t="array" ref="J2012:J2012">IFERROR(INDEX(AC2012:AE2012,IF(COUNTA(AC2012:AE2012)=0,"",MAX((AC2012:AE2012&lt;&gt;"")*(COLUMN(AC2012:AE2012)-(COLUMN(AC2012)))))-1),"")</f>
        <v>45845</v>
      </c>
      <c r="K2012" s="16" t="n">
        <f aca="false" t="array" ref="K2012:K2012">IFERROR(INDEX(AC2012:AE2012,IF(COUNTA(AC2012:AE2012)=0,"",MAX((AC2012:AE2012&lt;&gt;"")*(COLUMN(AC2012:AE2012)-(COLUMN(AC2012)-1))))-1),"")</f>
        <v>45936</v>
      </c>
      <c r="L2012" s="17" t="str">
        <f aca="false" t="array" ref="L2012:L2012">IFERROR(INDEX(AC2012:AE2012,IF(COUNTA(AC2012:AE2012)=0,"",MAX((AC2012:AE2012&lt;&gt;"")*(COLUMN(AC2012:AE2012)-(COLUMN(AC2012)-2))))-1),"")</f>
        <v>ARCHIVED</v>
      </c>
      <c r="M2012" s="13" t="n">
        <f aca="true">K2012-TODAY()</f>
        <v>-388</v>
      </c>
      <c r="N2012" s="18" t="s">
        <v>615</v>
      </c>
      <c r="O2012" s="13" t="s">
        <v>1531</v>
      </c>
      <c r="P2012" s="19" t="n">
        <v>5176101</v>
      </c>
      <c r="Q2012" s="77" t="s">
        <v>8685</v>
      </c>
      <c r="R2012" s="76" t="s">
        <v>255</v>
      </c>
      <c r="S2012" s="78" t="n">
        <v>35784</v>
      </c>
      <c r="T2012" s="98" t="s">
        <v>40</v>
      </c>
      <c r="U2012" s="76" t="s">
        <v>8686</v>
      </c>
      <c r="V2012" s="76" t="s">
        <v>42</v>
      </c>
      <c r="W2012" s="13" t="s">
        <v>43</v>
      </c>
      <c r="X2012" s="21" t="n">
        <v>89684240902</v>
      </c>
      <c r="Y2012" s="22" t="str">
        <f aca="false">O2012</f>
        <v>Packer</v>
      </c>
      <c r="Z2012" s="13" t="str">
        <f aca="false">IFERROR(__xludf.dummyfunction("if(BJ2012="""","""",GOOGLETRANSLATE(BJ2012,""auto"",""en""))"),"Packer")</f>
        <v>Packer</v>
      </c>
      <c r="AA2012" s="23" t="str">
        <f aca="false">IF(C2012="","", CHOOSE(MONTH(C2012),"January","February","March","April","May","June","July","August","September","October","November","December")&amp;" "&amp;DAY(C2012)&amp;MID("thstndrdth",MIN(9,2*RIGHT(DAY(C2012))*(MOD(DAY(C2012)-11,100)&gt;2)+1),2)&amp;","&amp;TEXT(C2012," yyyy"))</f>
        <v>April 7th,2025</v>
      </c>
      <c r="AB2012" s="15" t="str">
        <f aca="true">IF(S2012="","",DATEDIF(S2012,TODAY(),"Y")&amp;" Tahun, "&amp;DATEDIF(S2012,TODAY(),"YM")&amp;" Bulan, "&amp;DATEDIF(S2012,TODAY(),"MD")&amp;" Hari")</f>
        <v>28 Tahun, 10 Bulan, 9 Hari</v>
      </c>
      <c r="AC2012" s="18" t="n">
        <v>45845</v>
      </c>
      <c r="AD2012" s="18" t="n">
        <v>45936</v>
      </c>
      <c r="AE2012" s="18" t="s">
        <v>44</v>
      </c>
    </row>
    <row r="2013" customFormat="false" ht="15" hidden="false" customHeight="true" outlineLevel="0" collapsed="false">
      <c r="A2013" s="12" t="n">
        <v>19066</v>
      </c>
      <c r="B2013" s="76" t="s">
        <v>8687</v>
      </c>
      <c r="C2013" s="16" t="n">
        <v>45754</v>
      </c>
      <c r="D2013" s="13" t="s">
        <v>5726</v>
      </c>
      <c r="E2013" s="15" t="s">
        <v>47</v>
      </c>
      <c r="F2013" s="15" t="str">
        <f aca="false">IFERROR(__xludf.dummyfunction("XLOOKUP(AJ2013,IMPORTRANGE(""1XaInW9DU9nz21V0tYIfzFQ0He9kVQ_JF2mCXgZ3hqFA"",""REKAP ALL 2026 - Andika!G:G""),IMPORTRANGE(""1XaInW9DU9nz21V0tYIfzFQ0He9kVQ_JF2mCXgZ3hqFA"",""REKAP ALL 2026 - Andika!F:F""),"""",0)"),"24120209523")</f>
        <v>24120209523</v>
      </c>
      <c r="G2013" s="13" t="s">
        <v>8688</v>
      </c>
      <c r="H2013" s="13" t="s">
        <v>35</v>
      </c>
      <c r="I2013" s="13" t="str">
        <f aca="false">IF(C2013=J2013,"NEW KONTRAK","RE-KONTRAK")</f>
        <v>RE-KONTRAK</v>
      </c>
      <c r="J2013" s="16" t="n">
        <f aca="false" t="array" ref="J2013:J2013">IFERROR(INDEX(AC2013:AE2013,IF(COUNTA(AC2013:AE2013)=0,"",MAX((AC2013:AE2013&lt;&gt;"")*(COLUMN(AC2013:AE2013)-(COLUMN(AC2013)))))-1),"")</f>
        <v>45845</v>
      </c>
      <c r="K2013" s="16" t="n">
        <f aca="false" t="array" ref="K2013:K2013">IFERROR(INDEX(AC2013:AE2013,IF(COUNTA(AC2013:AE2013)=0,"",MAX((AC2013:AE2013&lt;&gt;"")*(COLUMN(AC2013:AE2013)-(COLUMN(AC2013)-1))))-1),"")</f>
        <v>45936</v>
      </c>
      <c r="L2013" s="17" t="str">
        <f aca="false" t="array" ref="L2013:L2013">IFERROR(INDEX(AC2013:AE2013,IF(COUNTA(AC2013:AE2013)=0,"",MAX((AC2013:AE2013&lt;&gt;"")*(COLUMN(AC2013:AE2013)-(COLUMN(AC2013)-2))))-1),"")</f>
        <v>ARCHIVED</v>
      </c>
      <c r="M2013" s="13" t="n">
        <f aca="true">K2013-TODAY()</f>
        <v>-388</v>
      </c>
      <c r="N2013" s="18" t="s">
        <v>615</v>
      </c>
      <c r="O2013" s="13" t="s">
        <v>1531</v>
      </c>
      <c r="P2013" s="19" t="n">
        <v>5176101</v>
      </c>
      <c r="Q2013" s="77" t="s">
        <v>8689</v>
      </c>
      <c r="R2013" s="76" t="s">
        <v>232</v>
      </c>
      <c r="S2013" s="78" t="n">
        <v>37555</v>
      </c>
      <c r="T2013" s="76" t="s">
        <v>40</v>
      </c>
      <c r="U2013" s="76" t="s">
        <v>8690</v>
      </c>
      <c r="V2013" s="76" t="s">
        <v>42</v>
      </c>
      <c r="W2013" s="13" t="s">
        <v>43</v>
      </c>
      <c r="X2013" s="21" t="n">
        <v>81216704095</v>
      </c>
      <c r="Y2013" s="22" t="str">
        <f aca="false">O2013</f>
        <v>Packer</v>
      </c>
      <c r="Z2013" s="13" t="str">
        <f aca="false">IFERROR(__xludf.dummyfunction("if(BJ2013="""","""",GOOGLETRANSLATE(BJ2013,""auto"",""en""))"),"Packer")</f>
        <v>Packer</v>
      </c>
      <c r="AA2013" s="23" t="str">
        <f aca="false">IF(C2013="","", CHOOSE(MONTH(C2013),"January","February","March","April","May","June","July","August","September","October","November","December")&amp;" "&amp;DAY(C2013)&amp;MID("thstndrdth",MIN(9,2*RIGHT(DAY(C2013))*(MOD(DAY(C2013)-11,100)&gt;2)+1),2)&amp;","&amp;TEXT(C2013," yyyy"))</f>
        <v>April 7th,2025</v>
      </c>
      <c r="AB2013" s="15" t="str">
        <f aca="true">IF(S2013="","",DATEDIF(S2013,TODAY(),"Y")&amp;" Tahun, "&amp;DATEDIF(S2013,TODAY(),"YM")&amp;" Bulan, "&amp;DATEDIF(S2013,TODAY(),"MD")&amp;" Hari")</f>
        <v>24 Tahun, 0 Bulan, 3 Hari</v>
      </c>
      <c r="AC2013" s="18" t="n">
        <v>45845</v>
      </c>
      <c r="AD2013" s="18" t="n">
        <v>45936</v>
      </c>
      <c r="AE2013" s="18" t="s">
        <v>44</v>
      </c>
    </row>
    <row r="2014" customFormat="false" ht="15" hidden="false" customHeight="true" outlineLevel="0" collapsed="false">
      <c r="A2014" s="12" t="n">
        <v>19070</v>
      </c>
      <c r="B2014" s="76" t="s">
        <v>8691</v>
      </c>
      <c r="C2014" s="16" t="n">
        <v>45754</v>
      </c>
      <c r="D2014" s="13" t="s">
        <v>5726</v>
      </c>
      <c r="E2014" s="15" t="s">
        <v>47</v>
      </c>
      <c r="F2014" s="15" t="str">
        <f aca="false">IFERROR(__xludf.dummyfunction("XLOOKUP(AJ2014,IMPORTRANGE(""1XaInW9DU9nz21V0tYIfzFQ0He9kVQ_JF2mCXgZ3hqFA"",""REKAP ALL 2026 - Andika!G:G""),IMPORTRANGE(""1XaInW9DU9nz21V0tYIfzFQ0He9kVQ_JF2mCXgZ3hqFA"",""REKAP ALL 2026 - Andika!F:F""),"""",0)"),"24105097653")</f>
        <v>24105097653</v>
      </c>
      <c r="G2014" s="13" t="s">
        <v>8692</v>
      </c>
      <c r="H2014" s="13" t="s">
        <v>35</v>
      </c>
      <c r="I2014" s="13" t="str">
        <f aca="false">IF(C2014=J2014,"NEW KONTRAK","RE-KONTRAK")</f>
        <v>RE-KONTRAK</v>
      </c>
      <c r="J2014" s="16" t="n">
        <f aca="false" t="array" ref="J2014:J2014">IFERROR(INDEX(AC2014:AE2014,IF(COUNTA(AC2014:AE2014)=0,"",MAX((AC2014:AE2014&lt;&gt;"")*(COLUMN(AC2014:AE2014)-(COLUMN(AC2014)))))-1),"")</f>
        <v>45845</v>
      </c>
      <c r="K2014" s="16" t="n">
        <f aca="false" t="array" ref="K2014:K2014">IFERROR(INDEX(AC2014:AE2014,IF(COUNTA(AC2014:AE2014)=0,"",MAX((AC2014:AE2014&lt;&gt;"")*(COLUMN(AC2014:AE2014)-(COLUMN(AC2014)-1))))-1),"")</f>
        <v>45936</v>
      </c>
      <c r="L2014" s="17" t="str">
        <f aca="false" t="array" ref="L2014:L2014">IFERROR(INDEX(AC2014:AE2014,IF(COUNTA(AC2014:AE2014)=0,"",MAX((AC2014:AE2014&lt;&gt;"")*(COLUMN(AC2014:AE2014)-(COLUMN(AC2014)-2))))-1),"")</f>
        <v>ARCHIVED</v>
      </c>
      <c r="M2014" s="13" t="n">
        <f aca="true">K2014-TODAY()</f>
        <v>-388</v>
      </c>
      <c r="N2014" s="18" t="s">
        <v>615</v>
      </c>
      <c r="O2014" s="13" t="s">
        <v>1531</v>
      </c>
      <c r="P2014" s="19" t="n">
        <v>5176101</v>
      </c>
      <c r="Q2014" s="77" t="s">
        <v>8693</v>
      </c>
      <c r="R2014" s="76" t="s">
        <v>232</v>
      </c>
      <c r="S2014" s="78" t="n">
        <v>37937</v>
      </c>
      <c r="T2014" s="76" t="s">
        <v>40</v>
      </c>
      <c r="U2014" s="76" t="s">
        <v>8694</v>
      </c>
      <c r="V2014" s="76" t="s">
        <v>42</v>
      </c>
      <c r="W2014" s="13" t="s">
        <v>43</v>
      </c>
      <c r="X2014" s="21" t="n">
        <v>87841683443</v>
      </c>
      <c r="Y2014" s="22" t="str">
        <f aca="false">O2014</f>
        <v>Packer</v>
      </c>
      <c r="Z2014" s="13" t="str">
        <f aca="false">IFERROR(__xludf.dummyfunction("if(BJ2014="""","""",GOOGLETRANSLATE(BJ2014,""auto"",""en""))"),"Packer")</f>
        <v>Packer</v>
      </c>
      <c r="AA2014" s="23" t="str">
        <f aca="false">IF(C2014="","", CHOOSE(MONTH(C2014),"January","February","March","April","May","June","July","August","September","October","November","December")&amp;" "&amp;DAY(C2014)&amp;MID("thstndrdth",MIN(9,2*RIGHT(DAY(C2014))*(MOD(DAY(C2014)-11,100)&gt;2)+1),2)&amp;","&amp;TEXT(C2014," yyyy"))</f>
        <v>April 7th,2025</v>
      </c>
      <c r="AB2014" s="15" t="str">
        <f aca="true">IF(S2014="","",DATEDIF(S2014,TODAY(),"Y")&amp;" Tahun, "&amp;DATEDIF(S2014,TODAY(),"YM")&amp;" Bulan, "&amp;DATEDIF(S2014,TODAY(),"MD")&amp;" Hari")</f>
        <v>22 Tahun, 11 Bulan, 17 Hari</v>
      </c>
      <c r="AC2014" s="18" t="n">
        <v>45845</v>
      </c>
      <c r="AD2014" s="18" t="n">
        <v>45936</v>
      </c>
      <c r="AE2014" s="18" t="s">
        <v>44</v>
      </c>
    </row>
    <row r="2015" customFormat="false" ht="15" hidden="false" customHeight="true" outlineLevel="0" collapsed="false">
      <c r="A2015" s="12" t="n">
        <v>19067</v>
      </c>
      <c r="B2015" s="76" t="s">
        <v>8695</v>
      </c>
      <c r="C2015" s="16" t="n">
        <v>45754</v>
      </c>
      <c r="D2015" s="13" t="s">
        <v>5726</v>
      </c>
      <c r="E2015" s="15" t="s">
        <v>33</v>
      </c>
      <c r="F2015" s="24" t="s">
        <v>8696</v>
      </c>
      <c r="G2015" s="13" t="s">
        <v>8697</v>
      </c>
      <c r="H2015" s="13" t="s">
        <v>35</v>
      </c>
      <c r="I2015" s="13" t="str">
        <f aca="false">IF(C2015=J2015,"NEW KONTRAK","RE-KONTRAK")</f>
        <v>NEW KONTRAK</v>
      </c>
      <c r="J2015" s="16" t="n">
        <f aca="false" t="array" ref="J2015:J2015">IFERROR(INDEX(AC2015:AE2015,IF(COUNTA(AC2015:AE2015)=0,"",MAX((AC2015:AE2015&lt;&gt;"")*(COLUMN(AC2015:AE2015)-(COLUMN(AC2015)))))-1),"")</f>
        <v>45754</v>
      </c>
      <c r="K2015" s="16" t="n">
        <f aca="false" t="array" ref="K2015:K2015">IFERROR(INDEX(AC2015:AE2015,IF(COUNTA(AC2015:AE2015)=0,"",MAX((AC2015:AE2015&lt;&gt;"")*(COLUMN(AC2015:AE2015)-(COLUMN(AC2015)-1))))-1),"")</f>
        <v>45844</v>
      </c>
      <c r="L2015" s="17" t="str">
        <f aca="false" t="array" ref="L2015:L2015">IFERROR(INDEX(AC2015:AE2015,IF(COUNTA(AC2015:AE2015)=0,"",MAX((AC2015:AE2015&lt;&gt;"")*(COLUMN(AC2015:AE2015)-(COLUMN(AC2015)-2))))-1),"")</f>
        <v>ARCHIVED</v>
      </c>
      <c r="M2015" s="13" t="n">
        <f aca="true">K2015-TODAY()</f>
        <v>-480</v>
      </c>
      <c r="N2015" s="18" t="s">
        <v>615</v>
      </c>
      <c r="O2015" s="13" t="s">
        <v>1531</v>
      </c>
      <c r="P2015" s="27" t="n">
        <v>5176101</v>
      </c>
      <c r="Q2015" s="77" t="s">
        <v>8698</v>
      </c>
      <c r="R2015" s="76" t="s">
        <v>232</v>
      </c>
      <c r="S2015" s="78" t="n">
        <v>36718</v>
      </c>
      <c r="T2015" s="76" t="s">
        <v>108</v>
      </c>
      <c r="U2015" s="76" t="s">
        <v>8699</v>
      </c>
      <c r="V2015" s="76" t="s">
        <v>42</v>
      </c>
      <c r="W2015" s="13" t="s">
        <v>54</v>
      </c>
      <c r="X2015" s="21" t="n">
        <v>85791271418</v>
      </c>
      <c r="Y2015" s="22" t="str">
        <f aca="false">O2015</f>
        <v>Packer</v>
      </c>
      <c r="Z2015" s="13" t="str">
        <f aca="false">IFERROR(__xludf.dummyfunction("if(BJ2015="""","""",GOOGLETRANSLATE(BJ2015,""auto"",""en""))"),"Packer")</f>
        <v>Packer</v>
      </c>
      <c r="AA2015" s="23" t="str">
        <f aca="false">IF(C2015="","", CHOOSE(MONTH(C2015),"January","February","March","April","May","June","July","August","September","October","November","December")&amp;" "&amp;DAY(C2015)&amp;MID("thstndrdth",MIN(9,2*RIGHT(DAY(C2015))*(MOD(DAY(C2015)-11,100)&gt;2)+1),2)&amp;","&amp;TEXT(C2015," yyyy"))</f>
        <v>April 7th,2025</v>
      </c>
      <c r="AB2015" s="15" t="str">
        <f aca="true">IF(S2015="","",DATEDIF(S2015,TODAY(),"Y")&amp;" Tahun, "&amp;DATEDIF(S2015,TODAY(),"YM")&amp;" Bulan, "&amp;DATEDIF(S2015,TODAY(),"MD")&amp;" Hari")</f>
        <v>26 Tahun, 3 Bulan, 18 Hari</v>
      </c>
      <c r="AC2015" s="18" t="n">
        <v>45754</v>
      </c>
      <c r="AD2015" s="18" t="n">
        <v>45844</v>
      </c>
      <c r="AE2015" s="18" t="s">
        <v>44</v>
      </c>
    </row>
    <row r="2016" customFormat="false" ht="15" hidden="false" customHeight="true" outlineLevel="0" collapsed="false">
      <c r="A2016" s="12" t="n">
        <v>19068</v>
      </c>
      <c r="B2016" s="76" t="s">
        <v>8700</v>
      </c>
      <c r="C2016" s="16" t="n">
        <v>45754</v>
      </c>
      <c r="D2016" s="13" t="s">
        <v>5726</v>
      </c>
      <c r="E2016" s="15" t="s">
        <v>33</v>
      </c>
      <c r="F2016" s="24" t="s">
        <v>8701</v>
      </c>
      <c r="G2016" s="13" t="s">
        <v>8702</v>
      </c>
      <c r="H2016" s="13" t="s">
        <v>35</v>
      </c>
      <c r="I2016" s="13" t="str">
        <f aca="false">IF(C2016=J2016,"NEW KONTRAK","RE-KONTRAK")</f>
        <v>NEW KONTRAK</v>
      </c>
      <c r="J2016" s="16" t="n">
        <f aca="false" t="array" ref="J2016:J2016">IFERROR(INDEX(AC2016:AE2016,IF(COUNTA(AC2016:AE2016)=0,"",MAX((AC2016:AE2016&lt;&gt;"")*(COLUMN(AC2016:AE2016)-(COLUMN(AC2016)))))-1),"")</f>
        <v>45754</v>
      </c>
      <c r="K2016" s="16" t="n">
        <f aca="false" t="array" ref="K2016:K2016">IFERROR(INDEX(AC2016:AE2016,IF(COUNTA(AC2016:AE2016)=0,"",MAX((AC2016:AE2016&lt;&gt;"")*(COLUMN(AC2016:AE2016)-(COLUMN(AC2016)-1))))-1),"")</f>
        <v>45844</v>
      </c>
      <c r="L2016" s="17" t="str">
        <f aca="false" t="array" ref="L2016:L2016">IFERROR(INDEX(AC2016:AE2016,IF(COUNTA(AC2016:AE2016)=0,"",MAX((AC2016:AE2016&lt;&gt;"")*(COLUMN(AC2016:AE2016)-(COLUMN(AC2016)-2))))-1),"")</f>
        <v>ARCHIVED</v>
      </c>
      <c r="M2016" s="13" t="n">
        <f aca="true">K2016-TODAY()</f>
        <v>-480</v>
      </c>
      <c r="N2016" s="18" t="s">
        <v>615</v>
      </c>
      <c r="O2016" s="13" t="s">
        <v>1531</v>
      </c>
      <c r="P2016" s="27" t="n">
        <v>5176101</v>
      </c>
      <c r="Q2016" s="77" t="s">
        <v>8703</v>
      </c>
      <c r="R2016" s="76" t="s">
        <v>324</v>
      </c>
      <c r="S2016" s="78" t="n">
        <v>33710</v>
      </c>
      <c r="T2016" s="76" t="s">
        <v>40</v>
      </c>
      <c r="U2016" s="76" t="s">
        <v>8704</v>
      </c>
      <c r="V2016" s="76" t="s">
        <v>42</v>
      </c>
      <c r="W2016" s="13" t="s">
        <v>54</v>
      </c>
      <c r="X2016" s="21" t="n">
        <v>85608932127</v>
      </c>
      <c r="Y2016" s="22" t="str">
        <f aca="false">O2016</f>
        <v>Packer</v>
      </c>
      <c r="Z2016" s="13" t="str">
        <f aca="false">IFERROR(__xludf.dummyfunction("if(BJ2016="""","""",GOOGLETRANSLATE(BJ2016,""auto"",""en""))"),"Packer")</f>
        <v>Packer</v>
      </c>
      <c r="AA2016" s="23" t="str">
        <f aca="false">IF(C2016="","", CHOOSE(MONTH(C2016),"January","February","March","April","May","June","July","August","September","October","November","December")&amp;" "&amp;DAY(C2016)&amp;MID("thstndrdth",MIN(9,2*RIGHT(DAY(C2016))*(MOD(DAY(C2016)-11,100)&gt;2)+1),2)&amp;","&amp;TEXT(C2016," yyyy"))</f>
        <v>April 7th,2025</v>
      </c>
      <c r="AB2016" s="15" t="str">
        <f aca="true">IF(S2016="","",DATEDIF(S2016,TODAY(),"Y")&amp;" Tahun, "&amp;DATEDIF(S2016,TODAY(),"YM")&amp;" Bulan, "&amp;DATEDIF(S2016,TODAY(),"MD")&amp;" Hari")</f>
        <v>34 Tahun, 6 Bulan, 13 Hari</v>
      </c>
      <c r="AC2016" s="18" t="n">
        <v>45754</v>
      </c>
      <c r="AD2016" s="18" t="n">
        <v>45844</v>
      </c>
      <c r="AE2016" s="18" t="s">
        <v>44</v>
      </c>
    </row>
    <row r="2017" customFormat="false" ht="15" hidden="false" customHeight="true" outlineLevel="0" collapsed="false">
      <c r="A2017" s="12" t="n">
        <v>19071</v>
      </c>
      <c r="B2017" s="76" t="s">
        <v>8705</v>
      </c>
      <c r="C2017" s="16" t="n">
        <v>45754</v>
      </c>
      <c r="D2017" s="13" t="s">
        <v>5726</v>
      </c>
      <c r="E2017" s="15" t="s">
        <v>47</v>
      </c>
      <c r="F2017" s="15" t="str">
        <f aca="false">IFERROR(__xludf.dummyfunction("XLOOKUP(AJ2017,IMPORTRANGE(""1XaInW9DU9nz21V0tYIfzFQ0He9kVQ_JF2mCXgZ3hqFA"",""REKAP ALL 2026 - Andika!G:G""),IMPORTRANGE(""1XaInW9DU9nz21V0tYIfzFQ0He9kVQ_JF2mCXgZ3hqFA"",""REKAP ALL 2026 - Andika!F:F""),"""",0)"),"24120209556")</f>
        <v>24120209556</v>
      </c>
      <c r="G2017" s="13" t="s">
        <v>8706</v>
      </c>
      <c r="H2017" s="13" t="s">
        <v>35</v>
      </c>
      <c r="I2017" s="13" t="str">
        <f aca="false">IF(C2017=J2017,"NEW KONTRAK","RE-KONTRAK")</f>
        <v>RE-KONTRAK</v>
      </c>
      <c r="J2017" s="16" t="n">
        <f aca="false" t="array" ref="J2017:J2017">IFERROR(INDEX(AC2017:AE2017,IF(COUNTA(AC2017:AE2017)=0,"",MAX((AC2017:AE2017&lt;&gt;"")*(COLUMN(AC2017:AE2017)-(COLUMN(AC2017)))))-1),"")</f>
        <v>45845</v>
      </c>
      <c r="K2017" s="16" t="n">
        <f aca="false" t="array" ref="K2017:K2017">IFERROR(INDEX(AC2017:AE2017,IF(COUNTA(AC2017:AE2017)=0,"",MAX((AC2017:AE2017&lt;&gt;"")*(COLUMN(AC2017:AE2017)-(COLUMN(AC2017)-1))))-1),"")</f>
        <v>45936</v>
      </c>
      <c r="L2017" s="17" t="str">
        <f aca="false" t="array" ref="L2017:L2017">IFERROR(INDEX(AC2017:AE2017,IF(COUNTA(AC2017:AE2017)=0,"",MAX((AC2017:AE2017&lt;&gt;"")*(COLUMN(AC2017:AE2017)-(COLUMN(AC2017)-2))))-1),"")</f>
        <v>ARCHIVED</v>
      </c>
      <c r="M2017" s="13" t="n">
        <f aca="true">K2017-TODAY()</f>
        <v>-388</v>
      </c>
      <c r="N2017" s="18" t="s">
        <v>615</v>
      </c>
      <c r="O2017" s="13" t="s">
        <v>1531</v>
      </c>
      <c r="P2017" s="19" t="n">
        <v>5176101</v>
      </c>
      <c r="Q2017" s="77" t="s">
        <v>8707</v>
      </c>
      <c r="R2017" s="76" t="s">
        <v>232</v>
      </c>
      <c r="S2017" s="78" t="n">
        <v>38173</v>
      </c>
      <c r="T2017" s="76" t="s">
        <v>108</v>
      </c>
      <c r="U2017" s="76" t="s">
        <v>8708</v>
      </c>
      <c r="V2017" s="76" t="s">
        <v>42</v>
      </c>
      <c r="W2017" s="13" t="s">
        <v>43</v>
      </c>
      <c r="X2017" s="21" t="n">
        <v>85806759909</v>
      </c>
      <c r="Y2017" s="22" t="str">
        <f aca="false">O2017</f>
        <v>Packer</v>
      </c>
      <c r="Z2017" s="13" t="str">
        <f aca="false">IFERROR(__xludf.dummyfunction("if(BJ2017="""","""",GOOGLETRANSLATE(BJ2017,""auto"",""en""))"),"Packer")</f>
        <v>Packer</v>
      </c>
      <c r="AA2017" s="23" t="str">
        <f aca="false">IF(C2017="","", CHOOSE(MONTH(C2017),"January","February","March","April","May","June","July","August","September","October","November","December")&amp;" "&amp;DAY(C2017)&amp;MID("thstndrdth",MIN(9,2*RIGHT(DAY(C2017))*(MOD(DAY(C2017)-11,100)&gt;2)+1),2)&amp;","&amp;TEXT(C2017," yyyy"))</f>
        <v>April 7th,2025</v>
      </c>
      <c r="AB2017" s="15" t="str">
        <f aca="true">IF(S2017="","",DATEDIF(S2017,TODAY(),"Y")&amp;" Tahun, "&amp;DATEDIF(S2017,TODAY(),"YM")&amp;" Bulan, "&amp;DATEDIF(S2017,TODAY(),"MD")&amp;" Hari")</f>
        <v>22 Tahun, 3 Bulan, 24 Hari</v>
      </c>
      <c r="AC2017" s="18" t="n">
        <v>45845</v>
      </c>
      <c r="AD2017" s="18" t="n">
        <v>45936</v>
      </c>
      <c r="AE2017" s="18" t="s">
        <v>44</v>
      </c>
    </row>
    <row r="2018" customFormat="false" ht="15" hidden="false" customHeight="true" outlineLevel="0" collapsed="false">
      <c r="A2018" s="12" t="n">
        <v>19072</v>
      </c>
      <c r="B2018" s="76" t="s">
        <v>8709</v>
      </c>
      <c r="C2018" s="16" t="n">
        <v>45754</v>
      </c>
      <c r="D2018" s="13" t="s">
        <v>5726</v>
      </c>
      <c r="E2018" s="15" t="s">
        <v>47</v>
      </c>
      <c r="F2018" s="15" t="str">
        <f aca="false">IFERROR(__xludf.dummyfunction("XLOOKUP(AJ2018,IMPORTRANGE(""1XaInW9DU9nz21V0tYIfzFQ0He9kVQ_JF2mCXgZ3hqFA"",""REKAP ALL 2026 - Andika!G:G""),IMPORTRANGE(""1XaInW9DU9nz21V0tYIfzFQ0He9kVQ_JF2mCXgZ3hqFA"",""REKAP ALL 2026 - Andika!F:F""),"""",0)"),"24105097851")</f>
        <v>24105097851</v>
      </c>
      <c r="G2018" s="13" t="s">
        <v>8710</v>
      </c>
      <c r="H2018" s="13" t="s">
        <v>35</v>
      </c>
      <c r="I2018" s="13" t="str">
        <f aca="false">IF(C2018=J2018,"NEW KONTRAK","RE-KONTRAK")</f>
        <v>RE-KONTRAK</v>
      </c>
      <c r="J2018" s="16" t="n">
        <f aca="false" t="array" ref="J2018:J2018">IFERROR(INDEX(AC2018:AE2018,IF(COUNTA(AC2018:AE2018)=0,"",MAX((AC2018:AE2018&lt;&gt;"")*(COLUMN(AC2018:AE2018)-(COLUMN(AC2018)))))-1),"")</f>
        <v>45845</v>
      </c>
      <c r="K2018" s="16" t="n">
        <f aca="false" t="array" ref="K2018:K2018">IFERROR(INDEX(AC2018:AE2018,IF(COUNTA(AC2018:AE2018)=0,"",MAX((AC2018:AE2018&lt;&gt;"")*(COLUMN(AC2018:AE2018)-(COLUMN(AC2018)-1))))-1),"")</f>
        <v>45936</v>
      </c>
      <c r="L2018" s="17" t="str">
        <f aca="false" t="array" ref="L2018:L2018">IFERROR(INDEX(AC2018:AE2018,IF(COUNTA(AC2018:AE2018)=0,"",MAX((AC2018:AE2018&lt;&gt;"")*(COLUMN(AC2018:AE2018)-(COLUMN(AC2018)-2))))-1),"")</f>
        <v>ARCHIVED</v>
      </c>
      <c r="M2018" s="13" t="n">
        <f aca="true">K2018-TODAY()</f>
        <v>-388</v>
      </c>
      <c r="N2018" s="18" t="s">
        <v>615</v>
      </c>
      <c r="O2018" s="13" t="s">
        <v>1531</v>
      </c>
      <c r="P2018" s="19" t="n">
        <v>5176101</v>
      </c>
      <c r="Q2018" s="77" t="s">
        <v>8711</v>
      </c>
      <c r="R2018" s="76" t="s">
        <v>232</v>
      </c>
      <c r="S2018" s="78" t="n">
        <v>37410</v>
      </c>
      <c r="T2018" s="76" t="s">
        <v>108</v>
      </c>
      <c r="U2018" s="76" t="s">
        <v>8712</v>
      </c>
      <c r="V2018" s="76" t="s">
        <v>42</v>
      </c>
      <c r="W2018" s="13" t="s">
        <v>43</v>
      </c>
      <c r="X2018" s="21" t="n">
        <v>85856118286</v>
      </c>
      <c r="Y2018" s="22" t="str">
        <f aca="false">O2018</f>
        <v>Packer</v>
      </c>
      <c r="Z2018" s="13" t="str">
        <f aca="false">IFERROR(__xludf.dummyfunction("if(BJ2018="""","""",GOOGLETRANSLATE(BJ2018,""auto"",""en""))"),"Packer")</f>
        <v>Packer</v>
      </c>
      <c r="AA2018" s="23" t="str">
        <f aca="false">IF(C2018="","", CHOOSE(MONTH(C2018),"January","February","March","April","May","June","July","August","September","October","November","December")&amp;" "&amp;DAY(C2018)&amp;MID("thstndrdth",MIN(9,2*RIGHT(DAY(C2018))*(MOD(DAY(C2018)-11,100)&gt;2)+1),2)&amp;","&amp;TEXT(C2018," yyyy"))</f>
        <v>April 7th,2025</v>
      </c>
      <c r="AB2018" s="15" t="str">
        <f aca="true">IF(S2018="","",DATEDIF(S2018,TODAY(),"Y")&amp;" Tahun, "&amp;DATEDIF(S2018,TODAY(),"YM")&amp;" Bulan, "&amp;DATEDIF(S2018,TODAY(),"MD")&amp;" Hari")</f>
        <v>24 Tahun, 4 Bulan, 26 Hari</v>
      </c>
      <c r="AC2018" s="18" t="n">
        <v>45845</v>
      </c>
      <c r="AD2018" s="18" t="n">
        <v>45936</v>
      </c>
      <c r="AE2018" s="18" t="s">
        <v>44</v>
      </c>
    </row>
    <row r="2019" customFormat="false" ht="15" hidden="false" customHeight="true" outlineLevel="0" collapsed="false">
      <c r="A2019" s="12" t="n">
        <v>19073</v>
      </c>
      <c r="B2019" s="76" t="s">
        <v>8713</v>
      </c>
      <c r="C2019" s="16" t="n">
        <v>45754</v>
      </c>
      <c r="D2019" s="13" t="s">
        <v>5726</v>
      </c>
      <c r="E2019" s="15" t="s">
        <v>47</v>
      </c>
      <c r="F2019" s="15" t="str">
        <f aca="false">IFERROR(__xludf.dummyfunction("XLOOKUP(AJ2019,IMPORTRANGE(""1XaInW9DU9nz21V0tYIfzFQ0He9kVQ_JF2mCXgZ3hqFA"",""REKAP ALL 2026 - Andika!G:G""),IMPORTRANGE(""1XaInW9DU9nz21V0tYIfzFQ0He9kVQ_JF2mCXgZ3hqFA"",""REKAP ALL 2026 - Andika!F:F""),"""",0)"),"24105097778")</f>
        <v>24105097778</v>
      </c>
      <c r="G2019" s="13" t="s">
        <v>8714</v>
      </c>
      <c r="H2019" s="13" t="s">
        <v>35</v>
      </c>
      <c r="I2019" s="13" t="str">
        <f aca="false">IF(C2019=J2019,"NEW KONTRAK","RE-KONTRAK")</f>
        <v>RE-KONTRAK</v>
      </c>
      <c r="J2019" s="16" t="n">
        <f aca="false" t="array" ref="J2019:J2019">IFERROR(INDEX(AC2019:AE2019,IF(COUNTA(AC2019:AE2019)=0,"",MAX((AC2019:AE2019&lt;&gt;"")*(COLUMN(AC2019:AE2019)-(COLUMN(AC2019)))))-1),"")</f>
        <v>45845</v>
      </c>
      <c r="K2019" s="16" t="n">
        <f aca="false" t="array" ref="K2019:K2019">IFERROR(INDEX(AC2019:AE2019,IF(COUNTA(AC2019:AE2019)=0,"",MAX((AC2019:AE2019&lt;&gt;"")*(COLUMN(AC2019:AE2019)-(COLUMN(AC2019)-1))))-1),"")</f>
        <v>45936</v>
      </c>
      <c r="L2019" s="17" t="str">
        <f aca="false" t="array" ref="L2019:L2019">IFERROR(INDEX(AC2019:AE2019,IF(COUNTA(AC2019:AE2019)=0,"",MAX((AC2019:AE2019&lt;&gt;"")*(COLUMN(AC2019:AE2019)-(COLUMN(AC2019)-2))))-1),"")</f>
        <v>ARCHIVED</v>
      </c>
      <c r="M2019" s="13" t="n">
        <f aca="true">K2019-TODAY()</f>
        <v>-388</v>
      </c>
      <c r="N2019" s="18" t="s">
        <v>615</v>
      </c>
      <c r="O2019" s="13" t="s">
        <v>1531</v>
      </c>
      <c r="P2019" s="19" t="n">
        <v>5176101</v>
      </c>
      <c r="Q2019" s="77" t="s">
        <v>8715</v>
      </c>
      <c r="R2019" s="76" t="s">
        <v>324</v>
      </c>
      <c r="S2019" s="78" t="n">
        <v>38272</v>
      </c>
      <c r="T2019" s="76" t="s">
        <v>40</v>
      </c>
      <c r="U2019" s="76" t="s">
        <v>8716</v>
      </c>
      <c r="V2019" s="76" t="s">
        <v>42</v>
      </c>
      <c r="W2019" s="13" t="s">
        <v>43</v>
      </c>
      <c r="X2019" s="21" t="n">
        <v>81331610978</v>
      </c>
      <c r="Y2019" s="22" t="str">
        <f aca="false">O2019</f>
        <v>Packer</v>
      </c>
      <c r="Z2019" s="13" t="str">
        <f aca="false">IFERROR(__xludf.dummyfunction("if(BJ2019="""","""",GOOGLETRANSLATE(BJ2019,""auto"",""en""))"),"Packer")</f>
        <v>Packer</v>
      </c>
      <c r="AA2019" s="23" t="str">
        <f aca="false">IF(C2019="","", CHOOSE(MONTH(C2019),"January","February","March","April","May","June","July","August","September","October","November","December")&amp;" "&amp;DAY(C2019)&amp;MID("thstndrdth",MIN(9,2*RIGHT(DAY(C2019))*(MOD(DAY(C2019)-11,100)&gt;2)+1),2)&amp;","&amp;TEXT(C2019," yyyy"))</f>
        <v>April 7th,2025</v>
      </c>
      <c r="AB2019" s="15" t="str">
        <f aca="true">IF(S2019="","",DATEDIF(S2019,TODAY(),"Y")&amp;" Tahun, "&amp;DATEDIF(S2019,TODAY(),"YM")&amp;" Bulan, "&amp;DATEDIF(S2019,TODAY(),"MD")&amp;" Hari")</f>
        <v>22 Tahun, 0 Bulan, 17 Hari</v>
      </c>
      <c r="AC2019" s="18" t="n">
        <v>45845</v>
      </c>
      <c r="AD2019" s="18" t="n">
        <v>45936</v>
      </c>
      <c r="AE2019" s="18" t="s">
        <v>44</v>
      </c>
    </row>
    <row r="2020" customFormat="false" ht="15" hidden="false" customHeight="true" outlineLevel="0" collapsed="false">
      <c r="A2020" s="12" t="n">
        <v>19074</v>
      </c>
      <c r="B2020" s="76" t="s">
        <v>8717</v>
      </c>
      <c r="C2020" s="14" t="n">
        <v>46235</v>
      </c>
      <c r="D2020" s="13" t="s">
        <v>5726</v>
      </c>
      <c r="E2020" s="15" t="s">
        <v>47</v>
      </c>
      <c r="F2020" s="15" t="str">
        <f aca="false">IFERROR(__xludf.dummyfunction("XLOOKUP(AJ2020,IMPORTRANGE(""1XaInW9DU9nz21V0tYIfzFQ0He9kVQ_JF2mCXgZ3hqFA"",""REKAP ALL 2026 - Andika!G:G""),IMPORTRANGE(""1XaInW9DU9nz21V0tYIfzFQ0He9kVQ_JF2mCXgZ3hqFA"",""REKAP ALL 2026 - Andika!F:F""),"""",0)"),"25012462310")</f>
        <v>25012462310</v>
      </c>
      <c r="G2020" s="13" t="s">
        <v>8718</v>
      </c>
      <c r="H2020" s="13" t="s">
        <v>35</v>
      </c>
      <c r="I2020" s="13" t="str">
        <f aca="false">IF(C2020=J2020,"NEW KONTRAK","RE-KONTRAK")</f>
        <v>NEW KONTRAK</v>
      </c>
      <c r="J2020" s="16" t="n">
        <f aca="false" t="array" ref="J2020:J2020">IFERROR(INDEX(AC2020:AE2020,IF(COUNTA(AC2020:AE2020)=0,"",MAX((AC2020:AE2020&lt;&gt;"")*(COLUMN(AC2020:AE2020)-(COLUMN(AC2020)))))-1),"")</f>
        <v>46235</v>
      </c>
      <c r="K2020" s="16" t="n">
        <f aca="false" t="array" ref="K2020:K2020">IFERROR(INDEX(AC2020:AE2020,IF(COUNTA(AC2020:AE2020)=0,"",MAX((AC2020:AE2020&lt;&gt;"")*(COLUMN(AC2020:AE2020)-(COLUMN(AC2020)-1))))-1),"")</f>
        <v>46326</v>
      </c>
      <c r="L2020" s="17" t="str">
        <f aca="false" t="array" ref="L2020:L2020">IFERROR(INDEX(AC2020:AE2020,IF(COUNTA(AC2020:AE2020)=0,"",MAX((AC2020:AE2020&lt;&gt;"")*(COLUMN(AC2020:AE2020)-(COLUMN(AC2020)-2))))-1),"")</f>
        <v>KEMBALI</v>
      </c>
      <c r="M2020" s="13" t="n">
        <f aca="true">K2020-TODAY()</f>
        <v>2</v>
      </c>
      <c r="N2020" s="18" t="s">
        <v>615</v>
      </c>
      <c r="O2020" s="13" t="s">
        <v>1531</v>
      </c>
      <c r="P2020" s="19" t="n">
        <v>5176101</v>
      </c>
      <c r="Q2020" s="77" t="s">
        <v>8719</v>
      </c>
      <c r="R2020" s="76" t="s">
        <v>255</v>
      </c>
      <c r="S2020" s="78" t="n">
        <v>36130</v>
      </c>
      <c r="T2020" s="13" t="s">
        <v>108</v>
      </c>
      <c r="U2020" s="76" t="s">
        <v>8720</v>
      </c>
      <c r="V2020" s="76" t="s">
        <v>42</v>
      </c>
      <c r="W2020" s="13" t="s">
        <v>43</v>
      </c>
      <c r="X2020" s="21" t="n">
        <v>85852649653</v>
      </c>
      <c r="Y2020" s="22" t="str">
        <f aca="false">O2020</f>
        <v>Packer</v>
      </c>
      <c r="Z2020" s="13" t="str">
        <f aca="false">IFERROR(__xludf.dummyfunction("if(BJ2020="""","""",GOOGLETRANSLATE(BJ2020,""auto"",""en""))"),"Packer")</f>
        <v>Packer</v>
      </c>
      <c r="AA2020" s="23" t="str">
        <f aca="false">IF(C2020="","", CHOOSE(MONTH(C2020),"January","February","March","April","May","June","July","August","September","October","November","December")&amp;" "&amp;DAY(C2020)&amp;MID("thstndrdth",MIN(9,2*RIGHT(DAY(C2020))*(MOD(DAY(C2020)-11,100)&gt;2)+1),2)&amp;","&amp;TEXT(C2020," yyyy"))</f>
        <v>August 1st,2026</v>
      </c>
      <c r="AB2020" s="15" t="str">
        <f aca="true">IF(S2020="","",DATEDIF(S2020,TODAY(),"Y")&amp;" Tahun, "&amp;DATEDIF(S2020,TODAY(),"YM")&amp;" Bulan, "&amp;DATEDIF(S2020,TODAY(),"MD")&amp;" Hari")</f>
        <v>27 Tahun, 10 Bulan, 28 Hari</v>
      </c>
      <c r="AC2020" s="18" t="n">
        <v>46235</v>
      </c>
      <c r="AD2020" s="18" t="n">
        <f aca="false">EDATE(AC2020,3)-1</f>
        <v>46326</v>
      </c>
      <c r="AE2020" s="13" t="s">
        <v>397</v>
      </c>
    </row>
    <row r="2021" customFormat="false" ht="15" hidden="false" customHeight="true" outlineLevel="0" collapsed="false">
      <c r="A2021" s="12" t="n">
        <v>19076</v>
      </c>
      <c r="B2021" s="76" t="s">
        <v>8721</v>
      </c>
      <c r="C2021" s="16" t="n">
        <v>45754</v>
      </c>
      <c r="D2021" s="13" t="s">
        <v>5726</v>
      </c>
      <c r="E2021" s="15" t="s">
        <v>47</v>
      </c>
      <c r="F2021" s="15" t="str">
        <f aca="false">IFERROR(__xludf.dummyfunction("XLOOKUP(AJ2021,IMPORTRANGE(""1XaInW9DU9nz21V0tYIfzFQ0He9kVQ_JF2mCXgZ3hqFA"",""REKAP ALL 2026 - Andika!G:G""),IMPORTRANGE(""1XaInW9DU9nz21V0tYIfzFQ0He9kVQ_JF2mCXgZ3hqFA"",""REKAP ALL 2026 - Andika!F:F""),"""",0)"),"24120209531")</f>
        <v>24120209531</v>
      </c>
      <c r="G2021" s="13" t="s">
        <v>8722</v>
      </c>
      <c r="H2021" s="13" t="s">
        <v>35</v>
      </c>
      <c r="I2021" s="13" t="str">
        <f aca="false">IF(C2021=J2021,"NEW KONTRAK","RE-KONTRAK")</f>
        <v>RE-KONTRAK</v>
      </c>
      <c r="J2021" s="16" t="n">
        <f aca="false" t="array" ref="J2021:J2021">IFERROR(INDEX(AC2021:AE2021,IF(COUNTA(AC2021:AE2021)=0,"",MAX((AC2021:AE2021&lt;&gt;"")*(COLUMN(AC2021:AE2021)-(COLUMN(AC2021)))))-1),"")</f>
        <v>45845</v>
      </c>
      <c r="K2021" s="16" t="n">
        <f aca="false" t="array" ref="K2021:K2021">IFERROR(INDEX(AC2021:AE2021,IF(COUNTA(AC2021:AE2021)=0,"",MAX((AC2021:AE2021&lt;&gt;"")*(COLUMN(AC2021:AE2021)-(COLUMN(AC2021)-1))))-1),"")</f>
        <v>45936</v>
      </c>
      <c r="L2021" s="17" t="str">
        <f aca="false" t="array" ref="L2021:L2021">IFERROR(INDEX(AC2021:AE2021,IF(COUNTA(AC2021:AE2021)=0,"",MAX((AC2021:AE2021&lt;&gt;"")*(COLUMN(AC2021:AE2021)-(COLUMN(AC2021)-2))))-1),"")</f>
        <v>ARCHIVED</v>
      </c>
      <c r="M2021" s="13" t="n">
        <f aca="true">K2021-TODAY()</f>
        <v>-388</v>
      </c>
      <c r="N2021" s="18" t="s">
        <v>615</v>
      </c>
      <c r="O2021" s="13" t="s">
        <v>1531</v>
      </c>
      <c r="P2021" s="19" t="n">
        <v>5176101</v>
      </c>
      <c r="Q2021" s="77" t="s">
        <v>8723</v>
      </c>
      <c r="R2021" s="76" t="s">
        <v>39</v>
      </c>
      <c r="S2021" s="78" t="n">
        <v>38684</v>
      </c>
      <c r="T2021" s="76" t="s">
        <v>108</v>
      </c>
      <c r="U2021" s="76" t="s">
        <v>8724</v>
      </c>
      <c r="V2021" s="76" t="s">
        <v>42</v>
      </c>
      <c r="W2021" s="13" t="s">
        <v>43</v>
      </c>
      <c r="X2021" s="21" t="n">
        <v>89677450989</v>
      </c>
      <c r="Y2021" s="22" t="str">
        <f aca="false">O2021</f>
        <v>Packer</v>
      </c>
      <c r="Z2021" s="13" t="str">
        <f aca="false">IFERROR(__xludf.dummyfunction("if(BJ2021="""","""",GOOGLETRANSLATE(BJ2021,""auto"",""en""))"),"Packer")</f>
        <v>Packer</v>
      </c>
      <c r="AA2021" s="23" t="str">
        <f aca="false">IF(C2021="","", CHOOSE(MONTH(C2021),"January","February","March","April","May","June","July","August","September","October","November","December")&amp;" "&amp;DAY(C2021)&amp;MID("thstndrdth",MIN(9,2*RIGHT(DAY(C2021))*(MOD(DAY(C2021)-11,100)&gt;2)+1),2)&amp;","&amp;TEXT(C2021," yyyy"))</f>
        <v>April 7th,2025</v>
      </c>
      <c r="AB2021" s="15" t="str">
        <f aca="true">IF(S2021="","",DATEDIF(S2021,TODAY(),"Y")&amp;" Tahun, "&amp;DATEDIF(S2021,TODAY(),"YM")&amp;" Bulan, "&amp;DATEDIF(S2021,TODAY(),"MD")&amp;" Hari")</f>
        <v>20 Tahun, 11 Bulan, 1 Hari</v>
      </c>
      <c r="AC2021" s="18" t="n">
        <v>45845</v>
      </c>
      <c r="AD2021" s="18" t="n">
        <v>45936</v>
      </c>
      <c r="AE2021" s="18" t="s">
        <v>44</v>
      </c>
    </row>
    <row r="2022" customFormat="false" ht="15" hidden="false" customHeight="true" outlineLevel="0" collapsed="false">
      <c r="A2022" s="12" t="n">
        <v>19078</v>
      </c>
      <c r="B2022" s="76" t="s">
        <v>8725</v>
      </c>
      <c r="C2022" s="16" t="n">
        <v>45754</v>
      </c>
      <c r="D2022" s="13" t="s">
        <v>5726</v>
      </c>
      <c r="E2022" s="15" t="s">
        <v>47</v>
      </c>
      <c r="F2022" s="15" t="str">
        <f aca="false">IFERROR(__xludf.dummyfunction("XLOOKUP(AJ2022,IMPORTRANGE(""1XaInW9DU9nz21V0tYIfzFQ0He9kVQ_JF2mCXgZ3hqFA"",""REKAP ALL 2026 - Andika!G:G""),IMPORTRANGE(""1XaInW9DU9nz21V0tYIfzFQ0He9kVQ_JF2mCXgZ3hqFA"",""REKAP ALL 2026 - Andika!F:F""),"""",0)"),"25012462344")</f>
        <v>25012462344</v>
      </c>
      <c r="G2022" s="13" t="s">
        <v>8726</v>
      </c>
      <c r="H2022" s="13" t="s">
        <v>35</v>
      </c>
      <c r="I2022" s="13" t="str">
        <f aca="false">IF(C2022=J2022,"NEW KONTRAK","RE-KONTRAK")</f>
        <v>RE-KONTRAK</v>
      </c>
      <c r="J2022" s="16" t="n">
        <f aca="false" t="array" ref="J2022:J2022">IFERROR(INDEX(AC2022:AE2022,IF(COUNTA(AC2022:AE2022)=0,"",MAX((AC2022:AE2022&lt;&gt;"")*(COLUMN(AC2022:AE2022)-(COLUMN(AC2022)))))-1),"")</f>
        <v>45845</v>
      </c>
      <c r="K2022" s="16" t="n">
        <f aca="false" t="array" ref="K2022:K2022">IFERROR(INDEX(AC2022:AE2022,IF(COUNTA(AC2022:AE2022)=0,"",MAX((AC2022:AE2022&lt;&gt;"")*(COLUMN(AC2022:AE2022)-(COLUMN(AC2022)-1))))-1),"")</f>
        <v>45936</v>
      </c>
      <c r="L2022" s="17" t="str">
        <f aca="false" t="array" ref="L2022:L2022">IFERROR(INDEX(AC2022:AE2022,IF(COUNTA(AC2022:AE2022)=0,"",MAX((AC2022:AE2022&lt;&gt;"")*(COLUMN(AC2022:AE2022)-(COLUMN(AC2022)-2))))-1),"")</f>
        <v>ARCHIVED</v>
      </c>
      <c r="M2022" s="13" t="n">
        <f aca="true">K2022-TODAY()</f>
        <v>-388</v>
      </c>
      <c r="N2022" s="18" t="s">
        <v>615</v>
      </c>
      <c r="O2022" s="13" t="s">
        <v>5252</v>
      </c>
      <c r="P2022" s="19" t="n">
        <v>5176101</v>
      </c>
      <c r="Q2022" s="77" t="s">
        <v>8727</v>
      </c>
      <c r="R2022" s="76" t="s">
        <v>232</v>
      </c>
      <c r="S2022" s="78" t="n">
        <v>35920</v>
      </c>
      <c r="T2022" s="76" t="s">
        <v>40</v>
      </c>
      <c r="U2022" s="76" t="s">
        <v>8728</v>
      </c>
      <c r="V2022" s="76" t="s">
        <v>42</v>
      </c>
      <c r="W2022" s="13" t="s">
        <v>43</v>
      </c>
      <c r="X2022" s="21" t="n">
        <v>85749101328</v>
      </c>
      <c r="Y2022" s="22" t="str">
        <f aca="false">O2022</f>
        <v>Helper Printing</v>
      </c>
      <c r="Z2022" s="13" t="str">
        <f aca="false">IFERROR(__xludf.dummyfunction("if(BJ2022="""","""",GOOGLETRANSLATE(BJ2022,""auto"",""en""))"),"Helper Printing")</f>
        <v>Helper Printing</v>
      </c>
      <c r="AA2022" s="23" t="str">
        <f aca="false">IF(C2022="","", CHOOSE(MONTH(C2022),"January","February","March","April","May","June","July","August","September","October","November","December")&amp;" "&amp;DAY(C2022)&amp;MID("thstndrdth",MIN(9,2*RIGHT(DAY(C2022))*(MOD(DAY(C2022)-11,100)&gt;2)+1),2)&amp;","&amp;TEXT(C2022," yyyy"))</f>
        <v>April 7th,2025</v>
      </c>
      <c r="AB2022" s="15" t="str">
        <f aca="true">IF(S2022="","",DATEDIF(S2022,TODAY(),"Y")&amp;" Tahun, "&amp;DATEDIF(S2022,TODAY(),"YM")&amp;" Bulan, "&amp;DATEDIF(S2022,TODAY(),"MD")&amp;" Hari")</f>
        <v>28 Tahun, 5 Bulan, 24 Hari</v>
      </c>
      <c r="AC2022" s="18" t="n">
        <v>45845</v>
      </c>
      <c r="AD2022" s="18" t="n">
        <v>45936</v>
      </c>
      <c r="AE2022" s="18" t="s">
        <v>44</v>
      </c>
    </row>
    <row r="2023" customFormat="false" ht="15" hidden="false" customHeight="true" outlineLevel="0" collapsed="false">
      <c r="A2023" s="12" t="n">
        <v>19077</v>
      </c>
      <c r="B2023" s="76" t="s">
        <v>8729</v>
      </c>
      <c r="C2023" s="16" t="n">
        <v>45754</v>
      </c>
      <c r="D2023" s="13" t="s">
        <v>5726</v>
      </c>
      <c r="E2023" s="15" t="s">
        <v>33</v>
      </c>
      <c r="F2023" s="24" t="s">
        <v>8730</v>
      </c>
      <c r="G2023" s="13" t="s">
        <v>8731</v>
      </c>
      <c r="H2023" s="13" t="s">
        <v>35</v>
      </c>
      <c r="I2023" s="13" t="str">
        <f aca="false">IF(C2023=J2023,"NEW KONTRAK","RE-KONTRAK")</f>
        <v>NEW KONTRAK</v>
      </c>
      <c r="J2023" s="16" t="n">
        <f aca="false" t="array" ref="J2023:J2023">IFERROR(INDEX(AC2023:AE2023,IF(COUNTA(AC2023:AE2023)=0,"",MAX((AC2023:AE2023&lt;&gt;"")*(COLUMN(AC2023:AE2023)-(COLUMN(AC2023)))))-1),"")</f>
        <v>45754</v>
      </c>
      <c r="K2023" s="16" t="n">
        <f aca="false" t="array" ref="K2023:K2023">IFERROR(INDEX(AC2023:AE2023,IF(COUNTA(AC2023:AE2023)=0,"",MAX((AC2023:AE2023&lt;&gt;"")*(COLUMN(AC2023:AE2023)-(COLUMN(AC2023)-1))))-1),"")</f>
        <v>45844</v>
      </c>
      <c r="L2023" s="17" t="str">
        <f aca="false" t="array" ref="L2023:L2023">IFERROR(INDEX(AC2023:AE2023,IF(COUNTA(AC2023:AE2023)=0,"",MAX((AC2023:AE2023&lt;&gt;"")*(COLUMN(AC2023:AE2023)-(COLUMN(AC2023)-2))))-1),"")</f>
        <v>ARCHIVED</v>
      </c>
      <c r="M2023" s="13" t="n">
        <f aca="true">K2023-TODAY()</f>
        <v>-480</v>
      </c>
      <c r="N2023" s="18" t="s">
        <v>615</v>
      </c>
      <c r="O2023" s="13" t="s">
        <v>1531</v>
      </c>
      <c r="P2023" s="27" t="n">
        <v>5176101</v>
      </c>
      <c r="Q2023" s="77" t="s">
        <v>8732</v>
      </c>
      <c r="R2023" s="76" t="s">
        <v>4950</v>
      </c>
      <c r="S2023" s="78" t="n">
        <v>35457</v>
      </c>
      <c r="T2023" s="76" t="s">
        <v>108</v>
      </c>
      <c r="U2023" s="76" t="s">
        <v>8733</v>
      </c>
      <c r="V2023" s="76" t="s">
        <v>42</v>
      </c>
      <c r="W2023" s="13" t="s">
        <v>54</v>
      </c>
      <c r="X2023" s="21" t="n">
        <v>85732656617</v>
      </c>
      <c r="Y2023" s="22" t="str">
        <f aca="false">O2023</f>
        <v>Packer</v>
      </c>
      <c r="Z2023" s="13" t="str">
        <f aca="false">IFERROR(__xludf.dummyfunction("if(BJ2023="""","""",GOOGLETRANSLATE(BJ2023,""auto"",""en""))"),"Packer")</f>
        <v>Packer</v>
      </c>
      <c r="AA2023" s="23" t="str">
        <f aca="false">IF(C2023="","", CHOOSE(MONTH(C2023),"January","February","March","April","May","June","July","August","September","October","November","December")&amp;" "&amp;DAY(C2023)&amp;MID("thstndrdth",MIN(9,2*RIGHT(DAY(C2023))*(MOD(DAY(C2023)-11,100)&gt;2)+1),2)&amp;","&amp;TEXT(C2023," yyyy"))</f>
        <v>April 7th,2025</v>
      </c>
      <c r="AB2023" s="15" t="str">
        <f aca="true">IF(S2023="","",DATEDIF(S2023,TODAY(),"Y")&amp;" Tahun, "&amp;DATEDIF(S2023,TODAY(),"YM")&amp;" Bulan, "&amp;DATEDIF(S2023,TODAY(),"MD")&amp;" Hari")</f>
        <v>29 Tahun, 9 Bulan, 2 Hari</v>
      </c>
      <c r="AC2023" s="18" t="n">
        <v>45754</v>
      </c>
      <c r="AD2023" s="18" t="n">
        <v>45844</v>
      </c>
      <c r="AE2023" s="18" t="s">
        <v>44</v>
      </c>
    </row>
    <row r="2024" customFormat="false" ht="15" hidden="false" customHeight="true" outlineLevel="0" collapsed="false">
      <c r="A2024" s="12" t="n">
        <v>19132</v>
      </c>
      <c r="B2024" s="13" t="s">
        <v>8734</v>
      </c>
      <c r="C2024" s="16" t="n">
        <v>45756</v>
      </c>
      <c r="D2024" s="13" t="s">
        <v>885</v>
      </c>
      <c r="E2024" s="15" t="s">
        <v>47</v>
      </c>
      <c r="F2024" s="15" t="str">
        <f aca="false">IFERROR(__xludf.dummyfunction("XLOOKUP(AJ2024,IMPORTRANGE(""1XaInW9DU9nz21V0tYIfzFQ0He9kVQ_JF2mCXgZ3hqFA"",""REKAP ALL 2026 - Andika!G:G""),IMPORTRANGE(""1XaInW9DU9nz21V0tYIfzFQ0He9kVQ_JF2mCXgZ3hqFA"",""REKAP ALL 2026 - Andika!F:F""),"""",0)"),"25047634339")</f>
        <v>25047634339</v>
      </c>
      <c r="G2024" s="13" t="s">
        <v>8735</v>
      </c>
      <c r="H2024" s="13" t="s">
        <v>35</v>
      </c>
      <c r="I2024" s="13" t="str">
        <f aca="false">IF(C2024=J2024,"NEW KONTRAK","RE-KONTRAK")</f>
        <v>RE-KONTRAK</v>
      </c>
      <c r="J2024" s="16" t="n">
        <f aca="false" t="array" ref="J2024:J2024">IFERROR(INDEX(AC2024:AE2024,IF(COUNTA(AC2024:AE2024)=0,"",MAX((AC2024:AE2024&lt;&gt;"")*(COLUMN(AC2024:AE2024)-(COLUMN(AC2024)))))-1),"")</f>
        <v>45939</v>
      </c>
      <c r="K2024" s="16" t="n">
        <f aca="false" t="array" ref="K2024:K2024">IFERROR(INDEX(AC2024:AE2024,IF(COUNTA(AC2024:AE2024)=0,"",MAX((AC2024:AE2024&lt;&gt;"")*(COLUMN(AC2024:AE2024)-(COLUMN(AC2024)-1))))-1),"")</f>
        <v>46022</v>
      </c>
      <c r="L2024" s="17" t="str">
        <f aca="false" t="array" ref="L2024:L2024">IFERROR(INDEX(AC2024:AE2024,IF(COUNTA(AC2024:AE2024)=0,"",MAX((AC2024:AE2024&lt;&gt;"")*(COLUMN(AC2024:AE2024)-(COLUMN(AC2024)-2))))-1),"")</f>
        <v>ARCHIVED</v>
      </c>
      <c r="M2024" s="13" t="n">
        <f aca="true">K2024-TODAY()</f>
        <v>-302</v>
      </c>
      <c r="N2024" s="18" t="s">
        <v>728</v>
      </c>
      <c r="O2024" s="13" t="s">
        <v>1453</v>
      </c>
      <c r="P2024" s="27" t="n">
        <v>132300</v>
      </c>
      <c r="Q2024" s="20" t="s">
        <v>8736</v>
      </c>
      <c r="R2024" s="13" t="s">
        <v>52</v>
      </c>
      <c r="S2024" s="16" t="n">
        <v>36098</v>
      </c>
      <c r="T2024" s="28" t="s">
        <v>40</v>
      </c>
      <c r="U2024" s="13" t="s">
        <v>8737</v>
      </c>
      <c r="V2024" s="13" t="s">
        <v>42</v>
      </c>
      <c r="W2024" s="13" t="s">
        <v>43</v>
      </c>
      <c r="X2024" s="21" t="n">
        <v>81284776060</v>
      </c>
      <c r="Y2024" s="22" t="str">
        <f aca="false">O2024</f>
        <v>Helper Produksi</v>
      </c>
      <c r="Z2024" s="13" t="str">
        <f aca="false">IFERROR(__xludf.dummyfunction("if(BJ2024="""","""",GOOGLETRANSLATE(BJ2024,""auto"",""en""))"),"Production Helper")</f>
        <v>Production Helper</v>
      </c>
      <c r="AA2024" s="23" t="str">
        <f aca="false">IF(C2024="","", CHOOSE(MONTH(C2024),"January","February","March","April","May","June","July","August","September","October","November","December")&amp;" "&amp;DAY(C2024)&amp;MID("thstndrdth",MIN(9,2*RIGHT(DAY(C2024))*(MOD(DAY(C2024)-11,100)&gt;2)+1),2)&amp;","&amp;TEXT(C2024," yyyy"))</f>
        <v>April 9th,2025</v>
      </c>
      <c r="AB2024" s="15" t="str">
        <f aca="true">IF(S2024="","",DATEDIF(S2024,TODAY(),"Y")&amp;" Tahun, "&amp;DATEDIF(S2024,TODAY(),"YM")&amp;" Bulan, "&amp;DATEDIF(S2024,TODAY(),"MD")&amp;" Hari")</f>
        <v>27 Tahun, 11 Bulan, 29 Hari</v>
      </c>
      <c r="AC2024" s="18" t="n">
        <v>45939</v>
      </c>
      <c r="AD2024" s="18" t="n">
        <v>46022</v>
      </c>
      <c r="AE2024" s="18" t="s">
        <v>44</v>
      </c>
    </row>
    <row r="2025" customFormat="false" ht="15" hidden="false" customHeight="true" outlineLevel="0" collapsed="false">
      <c r="A2025" s="12" t="n">
        <v>19080</v>
      </c>
      <c r="B2025" s="76" t="s">
        <v>8738</v>
      </c>
      <c r="C2025" s="16" t="n">
        <v>45754</v>
      </c>
      <c r="D2025" s="13" t="s">
        <v>5726</v>
      </c>
      <c r="E2025" s="15" t="s">
        <v>33</v>
      </c>
      <c r="F2025" s="24" t="s">
        <v>8739</v>
      </c>
      <c r="G2025" s="13" t="s">
        <v>8740</v>
      </c>
      <c r="H2025" s="13" t="s">
        <v>35</v>
      </c>
      <c r="I2025" s="13" t="str">
        <f aca="false">IF(C2025=J2025,"NEW KONTRAK","RE-KONTRAK")</f>
        <v>NEW KONTRAK</v>
      </c>
      <c r="J2025" s="16" t="n">
        <f aca="false" t="array" ref="J2025:J2025">IFERROR(INDEX(AC2025:AE2025,IF(COUNTA(AC2025:AE2025)=0,"",MAX((AC2025:AE2025&lt;&gt;"")*(COLUMN(AC2025:AE2025)-(COLUMN(AC2025)))))-1),"")</f>
        <v>45754</v>
      </c>
      <c r="K2025" s="16" t="n">
        <f aca="false" t="array" ref="K2025:K2025">IFERROR(INDEX(AC2025:AE2025,IF(COUNTA(AC2025:AE2025)=0,"",MAX((AC2025:AE2025&lt;&gt;"")*(COLUMN(AC2025:AE2025)-(COLUMN(AC2025)-1))))-1),"")</f>
        <v>45844</v>
      </c>
      <c r="L2025" s="17" t="str">
        <f aca="false" t="array" ref="L2025:L2025">IFERROR(INDEX(AC2025:AE2025,IF(COUNTA(AC2025:AE2025)=0,"",MAX((AC2025:AE2025&lt;&gt;"")*(COLUMN(AC2025:AE2025)-(COLUMN(AC2025)-2))))-1),"")</f>
        <v>ARCHIVED</v>
      </c>
      <c r="M2025" s="13" t="n">
        <f aca="true">K2025-TODAY()</f>
        <v>-480</v>
      </c>
      <c r="N2025" s="18" t="s">
        <v>615</v>
      </c>
      <c r="O2025" s="13" t="s">
        <v>1531</v>
      </c>
      <c r="P2025" s="27" t="n">
        <v>5176101</v>
      </c>
      <c r="Q2025" s="77" t="s">
        <v>8741</v>
      </c>
      <c r="R2025" s="76" t="s">
        <v>260</v>
      </c>
      <c r="S2025" s="78" t="n">
        <v>34945</v>
      </c>
      <c r="T2025" s="76" t="s">
        <v>40</v>
      </c>
      <c r="U2025" s="76" t="s">
        <v>8742</v>
      </c>
      <c r="V2025" s="76" t="s">
        <v>42</v>
      </c>
      <c r="W2025" s="13" t="s">
        <v>43</v>
      </c>
      <c r="X2025" s="21" t="n">
        <v>82234449525</v>
      </c>
      <c r="Y2025" s="22" t="str">
        <f aca="false">O2025</f>
        <v>Packer</v>
      </c>
      <c r="Z2025" s="13" t="str">
        <f aca="false">IFERROR(__xludf.dummyfunction("if(BJ2025="""","""",GOOGLETRANSLATE(BJ2025,""auto"",""en""))"),"Packer")</f>
        <v>Packer</v>
      </c>
      <c r="AA2025" s="23" t="str">
        <f aca="false">IF(C2025="","", CHOOSE(MONTH(C2025),"January","February","March","April","May","June","July","August","September","October","November","December")&amp;" "&amp;DAY(C2025)&amp;MID("thstndrdth",MIN(9,2*RIGHT(DAY(C2025))*(MOD(DAY(C2025)-11,100)&gt;2)+1),2)&amp;","&amp;TEXT(C2025," yyyy"))</f>
        <v>April 7th,2025</v>
      </c>
      <c r="AB2025" s="15" t="str">
        <f aca="true">IF(S2025="","",DATEDIF(S2025,TODAY(),"Y")&amp;" Tahun, "&amp;DATEDIF(S2025,TODAY(),"YM")&amp;" Bulan, "&amp;DATEDIF(S2025,TODAY(),"MD")&amp;" Hari")</f>
        <v>31 Tahun, 1 Bulan, 26 Hari</v>
      </c>
      <c r="AC2025" s="18" t="n">
        <v>45754</v>
      </c>
      <c r="AD2025" s="18" t="n">
        <v>45844</v>
      </c>
      <c r="AE2025" s="18" t="s">
        <v>44</v>
      </c>
    </row>
    <row r="2026" customFormat="false" ht="15" hidden="false" customHeight="true" outlineLevel="0" collapsed="false">
      <c r="A2026" s="12" t="n">
        <v>19085</v>
      </c>
      <c r="B2026" s="76" t="s">
        <v>8743</v>
      </c>
      <c r="C2026" s="16" t="n">
        <v>45754</v>
      </c>
      <c r="D2026" s="13" t="s">
        <v>5726</v>
      </c>
      <c r="E2026" s="15" t="s">
        <v>789</v>
      </c>
      <c r="F2026" s="24" t="s">
        <v>8744</v>
      </c>
      <c r="G2026" s="13" t="s">
        <v>8745</v>
      </c>
      <c r="H2026" s="13" t="s">
        <v>35</v>
      </c>
      <c r="I2026" s="13" t="str">
        <f aca="false">IF(C2026=J2026,"NEW KONTRAK","RE-KONTRAK")</f>
        <v>RE-KONTRAK</v>
      </c>
      <c r="J2026" s="16" t="n">
        <f aca="false" t="array" ref="J2026:J2026">IFERROR(INDEX(AC2026:AE2026,IF(COUNTA(AC2026:AE2026)=0,"",MAX((AC2026:AE2026&lt;&gt;"")*(COLUMN(AC2026:AE2026)-(COLUMN(AC2026)))))-1),"")</f>
        <v>45845</v>
      </c>
      <c r="K2026" s="16" t="n">
        <f aca="false" t="array" ref="K2026:K2026">IFERROR(INDEX(AC2026:AE2026,IF(COUNTA(AC2026:AE2026)=0,"",MAX((AC2026:AE2026&lt;&gt;"")*(COLUMN(AC2026:AE2026)-(COLUMN(AC2026)-1))))-1),"")</f>
        <v>45936</v>
      </c>
      <c r="L2026" s="17" t="str">
        <f aca="false" t="array" ref="L2026:L2026">IFERROR(INDEX(AC2026:AE2026,IF(COUNTA(AC2026:AE2026)=0,"",MAX((AC2026:AE2026&lt;&gt;"")*(COLUMN(AC2026:AE2026)-(COLUMN(AC2026)-2))))-1),"")</f>
        <v>ARCHIVED</v>
      </c>
      <c r="M2026" s="13" t="n">
        <f aca="true">K2026-TODAY()</f>
        <v>-388</v>
      </c>
      <c r="N2026" s="18" t="s">
        <v>615</v>
      </c>
      <c r="O2026" s="13" t="s">
        <v>1531</v>
      </c>
      <c r="P2026" s="27" t="n">
        <v>5176101</v>
      </c>
      <c r="Q2026" s="96" t="s">
        <v>8746</v>
      </c>
      <c r="R2026" s="76" t="s">
        <v>39</v>
      </c>
      <c r="S2026" s="78" t="n">
        <v>37363</v>
      </c>
      <c r="T2026" s="98" t="s">
        <v>40</v>
      </c>
      <c r="U2026" s="76" t="s">
        <v>8747</v>
      </c>
      <c r="V2026" s="76" t="s">
        <v>42</v>
      </c>
      <c r="W2026" s="13" t="s">
        <v>43</v>
      </c>
      <c r="X2026" s="21" t="n">
        <v>85161821700</v>
      </c>
      <c r="Y2026" s="22" t="str">
        <f aca="false">O2026</f>
        <v>Packer</v>
      </c>
      <c r="Z2026" s="13" t="str">
        <f aca="false">IFERROR(__xludf.dummyfunction("if(BJ2026="""","""",GOOGLETRANSLATE(BJ2026,""auto"",""en""))"),"Packer")</f>
        <v>Packer</v>
      </c>
      <c r="AA2026" s="23" t="str">
        <f aca="false">IF(C2026="","", CHOOSE(MONTH(C2026),"January","February","March","April","May","June","July","August","September","October","November","December")&amp;" "&amp;DAY(C2026)&amp;MID("thstndrdth",MIN(9,2*RIGHT(DAY(C2026))*(MOD(DAY(C2026)-11,100)&gt;2)+1),2)&amp;","&amp;TEXT(C2026," yyyy"))</f>
        <v>April 7th,2025</v>
      </c>
      <c r="AB2026" s="15" t="str">
        <f aca="true">IF(S2026="","",DATEDIF(S2026,TODAY(),"Y")&amp;" Tahun, "&amp;DATEDIF(S2026,TODAY(),"YM")&amp;" Bulan, "&amp;DATEDIF(S2026,TODAY(),"MD")&amp;" Hari")</f>
        <v>24 Tahun, 6 Bulan, 12 Hari</v>
      </c>
      <c r="AC2026" s="18" t="n">
        <v>45845</v>
      </c>
      <c r="AD2026" s="18" t="n">
        <v>45936</v>
      </c>
      <c r="AE2026" s="18" t="s">
        <v>44</v>
      </c>
    </row>
    <row r="2027" customFormat="false" ht="15" hidden="false" customHeight="true" outlineLevel="0" collapsed="false">
      <c r="A2027" s="12" t="n">
        <v>19133</v>
      </c>
      <c r="B2027" s="13" t="s">
        <v>8748</v>
      </c>
      <c r="C2027" s="16" t="n">
        <v>45756</v>
      </c>
      <c r="D2027" s="13" t="s">
        <v>885</v>
      </c>
      <c r="E2027" s="15" t="s">
        <v>47</v>
      </c>
      <c r="F2027" s="15" t="str">
        <f aca="false">IFERROR(__xludf.dummyfunction("XLOOKUP(AJ2027,IMPORTRANGE(""1XaInW9DU9nz21V0tYIfzFQ0He9kVQ_JF2mCXgZ3hqFA"",""REKAP ALL 2026 - Andika!G:G""),IMPORTRANGE(""1XaInW9DU9nz21V0tYIfzFQ0He9kVQ_JF2mCXgZ3hqFA"",""REKAP ALL 2026 - Andika!F:F""),"""",0)"),"25047634347")</f>
        <v>25047634347</v>
      </c>
      <c r="G2027" s="13" t="s">
        <v>8749</v>
      </c>
      <c r="H2027" s="13" t="s">
        <v>35</v>
      </c>
      <c r="I2027" s="13" t="str">
        <f aca="false">IF(C2027=J2027,"NEW KONTRAK","RE-KONTRAK")</f>
        <v>RE-KONTRAK</v>
      </c>
      <c r="J2027" s="16" t="n">
        <f aca="false" t="array" ref="J2027:J2027">IFERROR(INDEX(AC2027:AE2027,IF(COUNTA(AC2027:AE2027)=0,"",MAX((AC2027:AE2027&lt;&gt;"")*(COLUMN(AC2027:AE2027)-(COLUMN(AC2027)))))-1),"")</f>
        <v>45939</v>
      </c>
      <c r="K2027" s="16" t="n">
        <f aca="false" t="array" ref="K2027:K2027">IFERROR(INDEX(AC2027:AE2027,IF(COUNTA(AC2027:AE2027)=0,"",MAX((AC2027:AE2027&lt;&gt;"")*(COLUMN(AC2027:AE2027)-(COLUMN(AC2027)-1))))-1),"")</f>
        <v>46022</v>
      </c>
      <c r="L2027" s="17" t="str">
        <f aca="false" t="array" ref="L2027:L2027">IFERROR(INDEX(AC2027:AE2027,IF(COUNTA(AC2027:AE2027)=0,"",MAX((AC2027:AE2027&lt;&gt;"")*(COLUMN(AC2027:AE2027)-(COLUMN(AC2027)-2))))-1),"")</f>
        <v>ARCHIVED</v>
      </c>
      <c r="M2027" s="13" t="n">
        <f aca="true">K2027-TODAY()</f>
        <v>-302</v>
      </c>
      <c r="N2027" s="18" t="s">
        <v>728</v>
      </c>
      <c r="O2027" s="13" t="s">
        <v>1453</v>
      </c>
      <c r="P2027" s="19" t="n">
        <v>132300</v>
      </c>
      <c r="Q2027" s="20" t="s">
        <v>8750</v>
      </c>
      <c r="R2027" s="13" t="s">
        <v>52</v>
      </c>
      <c r="S2027" s="16" t="n">
        <v>36796</v>
      </c>
      <c r="T2027" s="13" t="s">
        <v>40</v>
      </c>
      <c r="U2027" s="13" t="s">
        <v>8751</v>
      </c>
      <c r="V2027" s="13" t="s">
        <v>42</v>
      </c>
      <c r="W2027" s="13" t="s">
        <v>43</v>
      </c>
      <c r="X2027" s="21" t="n">
        <v>85748301895</v>
      </c>
      <c r="Y2027" s="22" t="str">
        <f aca="false">O2027</f>
        <v>Helper Produksi</v>
      </c>
      <c r="Z2027" s="13" t="str">
        <f aca="false">IFERROR(__xludf.dummyfunction("if(BJ2027="""","""",GOOGLETRANSLATE(BJ2027,""auto"",""en""))"),"Production Helper")</f>
        <v>Production Helper</v>
      </c>
      <c r="AA2027" s="23" t="str">
        <f aca="false">IF(C2027="","", CHOOSE(MONTH(C2027),"January","February","March","April","May","June","July","August","September","October","November","December")&amp;" "&amp;DAY(C2027)&amp;MID("thstndrdth",MIN(9,2*RIGHT(DAY(C2027))*(MOD(DAY(C2027)-11,100)&gt;2)+1),2)&amp;","&amp;TEXT(C2027," yyyy"))</f>
        <v>April 9th,2025</v>
      </c>
      <c r="AB2027" s="15" t="str">
        <f aca="true">IF(S2027="","",DATEDIF(S2027,TODAY(),"Y")&amp;" Tahun, "&amp;DATEDIF(S2027,TODAY(),"YM")&amp;" Bulan, "&amp;DATEDIF(S2027,TODAY(),"MD")&amp;" Hari")</f>
        <v>26 Tahun, 1 Bulan, 2 Hari</v>
      </c>
      <c r="AC2027" s="18" t="n">
        <v>45939</v>
      </c>
      <c r="AD2027" s="18" t="n">
        <v>46022</v>
      </c>
      <c r="AE2027" s="18" t="s">
        <v>44</v>
      </c>
    </row>
    <row r="2028" customFormat="false" ht="15" hidden="false" customHeight="true" outlineLevel="0" collapsed="false">
      <c r="A2028" s="12" t="n">
        <v>19134</v>
      </c>
      <c r="B2028" s="13" t="s">
        <v>8752</v>
      </c>
      <c r="C2028" s="16" t="n">
        <v>45756</v>
      </c>
      <c r="D2028" s="13" t="s">
        <v>885</v>
      </c>
      <c r="E2028" s="15" t="s">
        <v>47</v>
      </c>
      <c r="F2028" s="15" t="str">
        <f aca="false">IFERROR(__xludf.dummyfunction("XLOOKUP(AJ2028,IMPORTRANGE(""1XaInW9DU9nz21V0tYIfzFQ0He9kVQ_JF2mCXgZ3hqFA"",""REKAP ALL 2026 - Andika!G:G""),IMPORTRANGE(""1XaInW9DU9nz21V0tYIfzFQ0He9kVQ_JF2mCXgZ3hqFA"",""REKAP ALL 2026 - Andika!F:F""),"""",0)"),"25047634354")</f>
        <v>25047634354</v>
      </c>
      <c r="G2028" s="13" t="s">
        <v>8753</v>
      </c>
      <c r="H2028" s="13" t="s">
        <v>35</v>
      </c>
      <c r="I2028" s="13" t="str">
        <f aca="false">IF(C2028=J2028,"NEW KONTRAK","RE-KONTRAK")</f>
        <v>RE-KONTRAK</v>
      </c>
      <c r="J2028" s="16" t="n">
        <f aca="false" t="array" ref="J2028:J2028">IFERROR(INDEX(AC2028:AE2028,IF(COUNTA(AC2028:AE2028)=0,"",MAX((AC2028:AE2028&lt;&gt;"")*(COLUMN(AC2028:AE2028)-(COLUMN(AC2028)))))-1),"")</f>
        <v>45939</v>
      </c>
      <c r="K2028" s="16" t="n">
        <f aca="false" t="array" ref="K2028:K2028">IFERROR(INDEX(AC2028:AE2028,IF(COUNTA(AC2028:AE2028)=0,"",MAX((AC2028:AE2028&lt;&gt;"")*(COLUMN(AC2028:AE2028)-(COLUMN(AC2028)-1))))-1),"")</f>
        <v>46022</v>
      </c>
      <c r="L2028" s="17" t="str">
        <f aca="false" t="array" ref="L2028:L2028">IFERROR(INDEX(AC2028:AE2028,IF(COUNTA(AC2028:AE2028)=0,"",MAX((AC2028:AE2028&lt;&gt;"")*(COLUMN(AC2028:AE2028)-(COLUMN(AC2028)-2))))-1),"")</f>
        <v>ARCHIVED</v>
      </c>
      <c r="M2028" s="13" t="n">
        <f aca="true">K2028-TODAY()</f>
        <v>-302</v>
      </c>
      <c r="N2028" s="18" t="s">
        <v>728</v>
      </c>
      <c r="O2028" s="13" t="s">
        <v>1453</v>
      </c>
      <c r="P2028" s="27" t="n">
        <v>132300</v>
      </c>
      <c r="Q2028" s="20" t="s">
        <v>8754</v>
      </c>
      <c r="R2028" s="13" t="s">
        <v>97</v>
      </c>
      <c r="S2028" s="16" t="n">
        <v>33706</v>
      </c>
      <c r="T2028" s="13" t="s">
        <v>40</v>
      </c>
      <c r="U2028" s="13" t="s">
        <v>8755</v>
      </c>
      <c r="V2028" s="13" t="s">
        <v>99</v>
      </c>
      <c r="W2028" s="13" t="s">
        <v>54</v>
      </c>
      <c r="X2028" s="21" t="n">
        <v>895399786520</v>
      </c>
      <c r="Y2028" s="22" t="str">
        <f aca="false">O2028</f>
        <v>Helper Produksi</v>
      </c>
      <c r="Z2028" s="13" t="str">
        <f aca="false">IFERROR(__xludf.dummyfunction("if(BJ2028="""","""",GOOGLETRANSLATE(BJ2028,""auto"",""en""))"),"Production Helper")</f>
        <v>Production Helper</v>
      </c>
      <c r="AA2028" s="23" t="str">
        <f aca="false">IF(C2028="","", CHOOSE(MONTH(C2028),"January","February","March","April","May","June","July","August","September","October","November","December")&amp;" "&amp;DAY(C2028)&amp;MID("thstndrdth",MIN(9,2*RIGHT(DAY(C2028))*(MOD(DAY(C2028)-11,100)&gt;2)+1),2)&amp;","&amp;TEXT(C2028," yyyy"))</f>
        <v>April 9th,2025</v>
      </c>
      <c r="AB2028" s="15" t="str">
        <f aca="true">IF(S2028="","",DATEDIF(S2028,TODAY(),"Y")&amp;" Tahun, "&amp;DATEDIF(S2028,TODAY(),"YM")&amp;" Bulan, "&amp;DATEDIF(S2028,TODAY(),"MD")&amp;" Hari")</f>
        <v>34 Tahun, 6 Bulan, 17 Hari</v>
      </c>
      <c r="AC2028" s="18" t="n">
        <v>45939</v>
      </c>
      <c r="AD2028" s="18" t="n">
        <v>46022</v>
      </c>
      <c r="AE2028" s="18" t="s">
        <v>44</v>
      </c>
    </row>
    <row r="2029" customFormat="false" ht="15" hidden="false" customHeight="true" outlineLevel="0" collapsed="false">
      <c r="A2029" s="12" t="n">
        <v>19135</v>
      </c>
      <c r="B2029" s="13" t="s">
        <v>8756</v>
      </c>
      <c r="C2029" s="16" t="n">
        <v>45756</v>
      </c>
      <c r="D2029" s="13" t="s">
        <v>885</v>
      </c>
      <c r="E2029" s="15" t="s">
        <v>47</v>
      </c>
      <c r="F2029" s="15" t="str">
        <f aca="false">IFERROR(__xludf.dummyfunction("XLOOKUP(AJ2029,IMPORTRANGE(""1XaInW9DU9nz21V0tYIfzFQ0He9kVQ_JF2mCXgZ3hqFA"",""REKAP ALL 2026 - Andika!G:G""),IMPORTRANGE(""1XaInW9DU9nz21V0tYIfzFQ0He9kVQ_JF2mCXgZ3hqFA"",""REKAP ALL 2026 - Andika!F:F""),"""",0)"),"25047634362")</f>
        <v>25047634362</v>
      </c>
      <c r="G2029" s="13" t="s">
        <v>8757</v>
      </c>
      <c r="H2029" s="13" t="s">
        <v>35</v>
      </c>
      <c r="I2029" s="13" t="str">
        <f aca="false">IF(C2029=J2029,"NEW KONTRAK","RE-KONTRAK")</f>
        <v>RE-KONTRAK</v>
      </c>
      <c r="J2029" s="16" t="n">
        <f aca="false" t="array" ref="J2029:J2029">IFERROR(INDEX(AC2029:AE2029,IF(COUNTA(AC2029:AE2029)=0,"",MAX((AC2029:AE2029&lt;&gt;"")*(COLUMN(AC2029:AE2029)-(COLUMN(AC2029)))))-1),"")</f>
        <v>45939</v>
      </c>
      <c r="K2029" s="16" t="n">
        <f aca="false" t="array" ref="K2029:K2029">IFERROR(INDEX(AC2029:AE2029,IF(COUNTA(AC2029:AE2029)=0,"",MAX((AC2029:AE2029&lt;&gt;"")*(COLUMN(AC2029:AE2029)-(COLUMN(AC2029)-1))))-1),"")</f>
        <v>46022</v>
      </c>
      <c r="L2029" s="17" t="str">
        <f aca="false" t="array" ref="L2029:L2029">IFERROR(INDEX(AC2029:AE2029,IF(COUNTA(AC2029:AE2029)=0,"",MAX((AC2029:AE2029&lt;&gt;"")*(COLUMN(AC2029:AE2029)-(COLUMN(AC2029)-2))))-1),"")</f>
        <v>ARCHIVED</v>
      </c>
      <c r="M2029" s="13" t="n">
        <f aca="true">K2029-TODAY()</f>
        <v>-302</v>
      </c>
      <c r="N2029" s="18" t="s">
        <v>728</v>
      </c>
      <c r="O2029" s="13" t="s">
        <v>1453</v>
      </c>
      <c r="P2029" s="27" t="n">
        <v>132300</v>
      </c>
      <c r="Q2029" s="20" t="s">
        <v>8758</v>
      </c>
      <c r="R2029" s="13" t="s">
        <v>260</v>
      </c>
      <c r="S2029" s="16" t="n">
        <v>35089</v>
      </c>
      <c r="T2029" s="13" t="s">
        <v>40</v>
      </c>
      <c r="U2029" s="13" t="s">
        <v>8759</v>
      </c>
      <c r="V2029" s="13" t="s">
        <v>42</v>
      </c>
      <c r="W2029" s="13" t="s">
        <v>54</v>
      </c>
      <c r="X2029" s="21" t="n">
        <v>85855222680</v>
      </c>
      <c r="Y2029" s="22" t="str">
        <f aca="false">O2029</f>
        <v>Helper Produksi</v>
      </c>
      <c r="Z2029" s="13" t="str">
        <f aca="false">IFERROR(__xludf.dummyfunction("if(BJ2029="""","""",GOOGLETRANSLATE(BJ2029,""auto"",""en""))"),"Production Helper")</f>
        <v>Production Helper</v>
      </c>
      <c r="AA2029" s="23" t="str">
        <f aca="false">IF(C2029="","", CHOOSE(MONTH(C2029),"January","February","March","April","May","June","July","August","September","October","November","December")&amp;" "&amp;DAY(C2029)&amp;MID("thstndrdth",MIN(9,2*RIGHT(DAY(C2029))*(MOD(DAY(C2029)-11,100)&gt;2)+1),2)&amp;","&amp;TEXT(C2029," yyyy"))</f>
        <v>April 9th,2025</v>
      </c>
      <c r="AB2029" s="15" t="str">
        <f aca="true">IF(S2029="","",DATEDIF(S2029,TODAY(),"Y")&amp;" Tahun, "&amp;DATEDIF(S2029,TODAY(),"YM")&amp;" Bulan, "&amp;DATEDIF(S2029,TODAY(),"MD")&amp;" Hari")</f>
        <v>30 Tahun, 9 Bulan, 4 Hari</v>
      </c>
      <c r="AC2029" s="18" t="n">
        <v>45939</v>
      </c>
      <c r="AD2029" s="18" t="n">
        <v>46022</v>
      </c>
      <c r="AE2029" s="18" t="s">
        <v>44</v>
      </c>
    </row>
    <row r="2030" customFormat="false" ht="15" hidden="false" customHeight="true" outlineLevel="0" collapsed="false">
      <c r="A2030" s="12" t="n">
        <v>19136</v>
      </c>
      <c r="B2030" s="13" t="s">
        <v>8760</v>
      </c>
      <c r="C2030" s="16" t="n">
        <v>45756</v>
      </c>
      <c r="D2030" s="13" t="s">
        <v>885</v>
      </c>
      <c r="E2030" s="15" t="s">
        <v>47</v>
      </c>
      <c r="F2030" s="15" t="str">
        <f aca="false">IFERROR(__xludf.dummyfunction("XLOOKUP(AJ2030,IMPORTRANGE(""1XaInW9DU9nz21V0tYIfzFQ0He9kVQ_JF2mCXgZ3hqFA"",""REKAP ALL 2026 - Andika!G:G""),IMPORTRANGE(""1XaInW9DU9nz21V0tYIfzFQ0He9kVQ_JF2mCXgZ3hqFA"",""REKAP ALL 2026 - Andika!F:F""),"""",0)"),"25047634370")</f>
        <v>25047634370</v>
      </c>
      <c r="G2030" s="13" t="s">
        <v>8761</v>
      </c>
      <c r="H2030" s="13" t="s">
        <v>35</v>
      </c>
      <c r="I2030" s="13" t="str">
        <f aca="false">IF(C2030=J2030,"NEW KONTRAK","RE-KONTRAK")</f>
        <v>RE-KONTRAK</v>
      </c>
      <c r="J2030" s="16" t="n">
        <f aca="false" t="array" ref="J2030:J2030">IFERROR(INDEX(AC2030:AE2030,IF(COUNTA(AC2030:AE2030)=0,"",MAX((AC2030:AE2030&lt;&gt;"")*(COLUMN(AC2030:AE2030)-(COLUMN(AC2030)))))-1),"")</f>
        <v>45939</v>
      </c>
      <c r="K2030" s="16" t="n">
        <f aca="false" t="array" ref="K2030:K2030">IFERROR(INDEX(AC2030:AE2030,IF(COUNTA(AC2030:AE2030)=0,"",MAX((AC2030:AE2030&lt;&gt;"")*(COLUMN(AC2030:AE2030)-(COLUMN(AC2030)-1))))-1),"")</f>
        <v>46022</v>
      </c>
      <c r="L2030" s="17" t="str">
        <f aca="false" t="array" ref="L2030:L2030">IFERROR(INDEX(AC2030:AE2030,IF(COUNTA(AC2030:AE2030)=0,"",MAX((AC2030:AE2030&lt;&gt;"")*(COLUMN(AC2030:AE2030)-(COLUMN(AC2030)-2))))-1),"")</f>
        <v>ARCHIVED</v>
      </c>
      <c r="M2030" s="13" t="n">
        <f aca="true">K2030-TODAY()</f>
        <v>-302</v>
      </c>
      <c r="N2030" s="18" t="s">
        <v>728</v>
      </c>
      <c r="O2030" s="13" t="s">
        <v>1453</v>
      </c>
      <c r="P2030" s="27" t="n">
        <v>132300</v>
      </c>
      <c r="Q2030" s="20" t="s">
        <v>8762</v>
      </c>
      <c r="R2030" s="13" t="s">
        <v>65</v>
      </c>
      <c r="S2030" s="16" t="n">
        <v>38357</v>
      </c>
      <c r="T2030" s="13" t="s">
        <v>40</v>
      </c>
      <c r="U2030" s="13" t="s">
        <v>8763</v>
      </c>
      <c r="V2030" s="13" t="s">
        <v>42</v>
      </c>
      <c r="W2030" s="13" t="s">
        <v>43</v>
      </c>
      <c r="X2030" s="21" t="n">
        <v>85847654198</v>
      </c>
      <c r="Y2030" s="22" t="str">
        <f aca="false">O2030</f>
        <v>Helper Produksi</v>
      </c>
      <c r="Z2030" s="13" t="str">
        <f aca="false">IFERROR(__xludf.dummyfunction("if(BJ2030="""","""",GOOGLETRANSLATE(BJ2030,""auto"",""en""))"),"Production Helper")</f>
        <v>Production Helper</v>
      </c>
      <c r="AA2030" s="23" t="str">
        <f aca="false">IF(C2030="","", CHOOSE(MONTH(C2030),"January","February","March","April","May","June","July","August","September","October","November","December")&amp;" "&amp;DAY(C2030)&amp;MID("thstndrdth",MIN(9,2*RIGHT(DAY(C2030))*(MOD(DAY(C2030)-11,100)&gt;2)+1),2)&amp;","&amp;TEXT(C2030," yyyy"))</f>
        <v>April 9th,2025</v>
      </c>
      <c r="AB2030" s="15" t="str">
        <f aca="true">IF(S2030="","",DATEDIF(S2030,TODAY(),"Y")&amp;" Tahun, "&amp;DATEDIF(S2030,TODAY(),"YM")&amp;" Bulan, "&amp;DATEDIF(S2030,TODAY(),"MD")&amp;" Hari")</f>
        <v>21 Tahun, 9 Bulan, 24 Hari</v>
      </c>
      <c r="AC2030" s="18" t="n">
        <v>45939</v>
      </c>
      <c r="AD2030" s="18" t="n">
        <v>46022</v>
      </c>
      <c r="AE2030" s="18" t="s">
        <v>44</v>
      </c>
    </row>
    <row r="2031" customFormat="false" ht="15" hidden="false" customHeight="true" outlineLevel="0" collapsed="false">
      <c r="A2031" s="12" t="n">
        <v>19137</v>
      </c>
      <c r="B2031" s="13" t="s">
        <v>8764</v>
      </c>
      <c r="C2031" s="16" t="n">
        <v>45756</v>
      </c>
      <c r="D2031" s="13" t="s">
        <v>885</v>
      </c>
      <c r="E2031" s="15" t="s">
        <v>47</v>
      </c>
      <c r="F2031" s="15" t="str">
        <f aca="false">IFERROR(__xludf.dummyfunction("XLOOKUP(AJ2031,IMPORTRANGE(""1XaInW9DU9nz21V0tYIfzFQ0He9kVQ_JF2mCXgZ3hqFA"",""REKAP ALL 2026 - Andika!G:G""),IMPORTRANGE(""1XaInW9DU9nz21V0tYIfzFQ0He9kVQ_JF2mCXgZ3hqFA"",""REKAP ALL 2026 - Andika!F:F""),"""",0)"),"25047634388")</f>
        <v>25047634388</v>
      </c>
      <c r="G2031" s="13" t="s">
        <v>8765</v>
      </c>
      <c r="H2031" s="13" t="s">
        <v>35</v>
      </c>
      <c r="I2031" s="13" t="str">
        <f aca="false">IF(C2031=J2031,"NEW KONTRAK","RE-KONTRAK")</f>
        <v>RE-KONTRAK</v>
      </c>
      <c r="J2031" s="16" t="n">
        <f aca="false" t="array" ref="J2031:J2031">IFERROR(INDEX(AC2031:AE2031,IF(COUNTA(AC2031:AE2031)=0,"",MAX((AC2031:AE2031&lt;&gt;"")*(COLUMN(AC2031:AE2031)-(COLUMN(AC2031)))))-1),"")</f>
        <v>45939</v>
      </c>
      <c r="K2031" s="16" t="n">
        <f aca="false" t="array" ref="K2031:K2031">IFERROR(INDEX(AC2031:AE2031,IF(COUNTA(AC2031:AE2031)=0,"",MAX((AC2031:AE2031&lt;&gt;"")*(COLUMN(AC2031:AE2031)-(COLUMN(AC2031)-1))))-1),"")</f>
        <v>46022</v>
      </c>
      <c r="L2031" s="17" t="str">
        <f aca="false" t="array" ref="L2031:L2031">IFERROR(INDEX(AC2031:AE2031,IF(COUNTA(AC2031:AE2031)=0,"",MAX((AC2031:AE2031&lt;&gt;"")*(COLUMN(AC2031:AE2031)-(COLUMN(AC2031)-2))))-1),"")</f>
        <v>ARCHIVED</v>
      </c>
      <c r="M2031" s="13" t="n">
        <f aca="true">K2031-TODAY()</f>
        <v>-302</v>
      </c>
      <c r="N2031" s="18" t="s">
        <v>728</v>
      </c>
      <c r="O2031" s="13" t="s">
        <v>1453</v>
      </c>
      <c r="P2031" s="27" t="n">
        <v>132300</v>
      </c>
      <c r="Q2031" s="20" t="s">
        <v>8766</v>
      </c>
      <c r="R2031" s="13" t="s">
        <v>39</v>
      </c>
      <c r="S2031" s="16" t="n">
        <v>38250</v>
      </c>
      <c r="T2031" s="13" t="s">
        <v>40</v>
      </c>
      <c r="U2031" s="13" t="s">
        <v>8767</v>
      </c>
      <c r="V2031" s="13" t="s">
        <v>42</v>
      </c>
      <c r="W2031" s="13" t="s">
        <v>43</v>
      </c>
      <c r="X2031" s="21" t="n">
        <v>895329202528</v>
      </c>
      <c r="Y2031" s="22" t="str">
        <f aca="false">O2031</f>
        <v>Helper Produksi</v>
      </c>
      <c r="Z2031" s="13" t="str">
        <f aca="false">IFERROR(__xludf.dummyfunction("if(BJ2031="""","""",GOOGLETRANSLATE(BJ2031,""auto"",""en""))"),"Production Helper")</f>
        <v>Production Helper</v>
      </c>
      <c r="AA2031" s="23" t="str">
        <f aca="false">IF(C2031="","", CHOOSE(MONTH(C2031),"January","February","March","April","May","June","July","August","September","October","November","December")&amp;" "&amp;DAY(C2031)&amp;MID("thstndrdth",MIN(9,2*RIGHT(DAY(C2031))*(MOD(DAY(C2031)-11,100)&gt;2)+1),2)&amp;","&amp;TEXT(C2031," yyyy"))</f>
        <v>April 9th,2025</v>
      </c>
      <c r="AB2031" s="15" t="str">
        <f aca="true">IF(S2031="","",DATEDIF(S2031,TODAY(),"Y")&amp;" Tahun, "&amp;DATEDIF(S2031,TODAY(),"YM")&amp;" Bulan, "&amp;DATEDIF(S2031,TODAY(),"MD")&amp;" Hari")</f>
        <v>22 Tahun, 1 Bulan, 9 Hari</v>
      </c>
      <c r="AC2031" s="18" t="n">
        <v>45939</v>
      </c>
      <c r="AD2031" s="18" t="n">
        <v>46022</v>
      </c>
      <c r="AE2031" s="18" t="s">
        <v>44</v>
      </c>
    </row>
    <row r="2032" customFormat="false" ht="15" hidden="false" customHeight="true" outlineLevel="0" collapsed="false">
      <c r="A2032" s="12" t="n">
        <v>19138</v>
      </c>
      <c r="B2032" s="13" t="s">
        <v>8768</v>
      </c>
      <c r="C2032" s="16" t="n">
        <v>45756</v>
      </c>
      <c r="D2032" s="13" t="s">
        <v>885</v>
      </c>
      <c r="E2032" s="15" t="s">
        <v>47</v>
      </c>
      <c r="F2032" s="15" t="str">
        <f aca="false">IFERROR(__xludf.dummyfunction("XLOOKUP(AJ2032,IMPORTRANGE(""1XaInW9DU9nz21V0tYIfzFQ0He9kVQ_JF2mCXgZ3hqFA"",""REKAP ALL 2026 - Andika!G:G""),IMPORTRANGE(""1XaInW9DU9nz21V0tYIfzFQ0He9kVQ_JF2mCXgZ3hqFA"",""REKAP ALL 2026 - Andika!F:F""),"""",0)"),"25047634396")</f>
        <v>25047634396</v>
      </c>
      <c r="G2032" s="13" t="s">
        <v>8769</v>
      </c>
      <c r="H2032" s="13" t="s">
        <v>35</v>
      </c>
      <c r="I2032" s="13" t="str">
        <f aca="false">IF(C2032=J2032,"NEW KONTRAK","RE-KONTRAK")</f>
        <v>RE-KONTRAK</v>
      </c>
      <c r="J2032" s="16" t="n">
        <f aca="false" t="array" ref="J2032:J2032">IFERROR(INDEX(AC2032:AE2032,IF(COUNTA(AC2032:AE2032)=0,"",MAX((AC2032:AE2032&lt;&gt;"")*(COLUMN(AC2032:AE2032)-(COLUMN(AC2032)))))-1),"")</f>
        <v>45939</v>
      </c>
      <c r="K2032" s="16" t="n">
        <f aca="false" t="array" ref="K2032:K2032">IFERROR(INDEX(AC2032:AE2032,IF(COUNTA(AC2032:AE2032)=0,"",MAX((AC2032:AE2032&lt;&gt;"")*(COLUMN(AC2032:AE2032)-(COLUMN(AC2032)-1))))-1),"")</f>
        <v>46022</v>
      </c>
      <c r="L2032" s="17" t="str">
        <f aca="false" t="array" ref="L2032:L2032">IFERROR(INDEX(AC2032:AE2032,IF(COUNTA(AC2032:AE2032)=0,"",MAX((AC2032:AE2032&lt;&gt;"")*(COLUMN(AC2032:AE2032)-(COLUMN(AC2032)-2))))-1),"")</f>
        <v>ARCHIVED</v>
      </c>
      <c r="M2032" s="13" t="n">
        <f aca="true">K2032-TODAY()</f>
        <v>-302</v>
      </c>
      <c r="N2032" s="18" t="s">
        <v>728</v>
      </c>
      <c r="O2032" s="13" t="s">
        <v>1453</v>
      </c>
      <c r="P2032" s="27" t="n">
        <v>132300</v>
      </c>
      <c r="Q2032" s="20" t="s">
        <v>8770</v>
      </c>
      <c r="R2032" s="13" t="s">
        <v>735</v>
      </c>
      <c r="S2032" s="16" t="n">
        <v>37186</v>
      </c>
      <c r="T2032" s="13" t="s">
        <v>40</v>
      </c>
      <c r="U2032" s="13" t="s">
        <v>8771</v>
      </c>
      <c r="V2032" s="13" t="s">
        <v>42</v>
      </c>
      <c r="W2032" s="13" t="s">
        <v>43</v>
      </c>
      <c r="X2032" s="21" t="n">
        <v>85645060377</v>
      </c>
      <c r="Y2032" s="22" t="str">
        <f aca="false">O2032</f>
        <v>Helper Produksi</v>
      </c>
      <c r="Z2032" s="13" t="str">
        <f aca="false">IFERROR(__xludf.dummyfunction("if(BJ2032="""","""",GOOGLETRANSLATE(BJ2032,""auto"",""en""))"),"Production Helper")</f>
        <v>Production Helper</v>
      </c>
      <c r="AA2032" s="23" t="str">
        <f aca="false">IF(C2032="","", CHOOSE(MONTH(C2032),"January","February","March","April","May","June","July","August","September","October","November","December")&amp;" "&amp;DAY(C2032)&amp;MID("thstndrdth",MIN(9,2*RIGHT(DAY(C2032))*(MOD(DAY(C2032)-11,100)&gt;2)+1),2)&amp;","&amp;TEXT(C2032," yyyy"))</f>
        <v>April 9th,2025</v>
      </c>
      <c r="AB2032" s="15" t="str">
        <f aca="true">IF(S2032="","",DATEDIF(S2032,TODAY(),"Y")&amp;" Tahun, "&amp;DATEDIF(S2032,TODAY(),"YM")&amp;" Bulan, "&amp;DATEDIF(S2032,TODAY(),"MD")&amp;" Hari")</f>
        <v>25 Tahun, 0 Bulan, 7 Hari</v>
      </c>
      <c r="AC2032" s="18" t="n">
        <v>45939</v>
      </c>
      <c r="AD2032" s="18" t="n">
        <v>46022</v>
      </c>
      <c r="AE2032" s="18" t="s">
        <v>44</v>
      </c>
    </row>
    <row r="2033" customFormat="false" ht="15" hidden="false" customHeight="true" outlineLevel="0" collapsed="false">
      <c r="A2033" s="12" t="n">
        <v>19139</v>
      </c>
      <c r="B2033" s="13" t="s">
        <v>8772</v>
      </c>
      <c r="C2033" s="16" t="n">
        <v>45756</v>
      </c>
      <c r="D2033" s="13" t="s">
        <v>885</v>
      </c>
      <c r="E2033" s="15" t="s">
        <v>47</v>
      </c>
      <c r="F2033" s="15" t="str">
        <f aca="false">IFERROR(__xludf.dummyfunction("XLOOKUP(AJ2033,IMPORTRANGE(""1XaInW9DU9nz21V0tYIfzFQ0He9kVQ_JF2mCXgZ3hqFA"",""REKAP ALL 2026 - Andika!G:G""),IMPORTRANGE(""1XaInW9DU9nz21V0tYIfzFQ0He9kVQ_JF2mCXgZ3hqFA"",""REKAP ALL 2026 - Andika!F:F""),"""",0)"),"25047634404")</f>
        <v>25047634404</v>
      </c>
      <c r="G2033" s="13" t="s">
        <v>8773</v>
      </c>
      <c r="H2033" s="13" t="s">
        <v>35</v>
      </c>
      <c r="I2033" s="13" t="str">
        <f aca="false">IF(C2033=J2033,"NEW KONTRAK","RE-KONTRAK")</f>
        <v>RE-KONTRAK</v>
      </c>
      <c r="J2033" s="16" t="n">
        <f aca="false" t="array" ref="J2033:J2033">IFERROR(INDEX(AC2033:AE2033,IF(COUNTA(AC2033:AE2033)=0,"",MAX((AC2033:AE2033&lt;&gt;"")*(COLUMN(AC2033:AE2033)-(COLUMN(AC2033)))))-1),"")</f>
        <v>45939</v>
      </c>
      <c r="K2033" s="16" t="n">
        <f aca="false" t="array" ref="K2033:K2033">IFERROR(INDEX(AC2033:AE2033,IF(COUNTA(AC2033:AE2033)=0,"",MAX((AC2033:AE2033&lt;&gt;"")*(COLUMN(AC2033:AE2033)-(COLUMN(AC2033)-1))))-1),"")</f>
        <v>46022</v>
      </c>
      <c r="L2033" s="17" t="str">
        <f aca="false" t="array" ref="L2033:L2033">IFERROR(INDEX(AC2033:AE2033,IF(COUNTA(AC2033:AE2033)=0,"",MAX((AC2033:AE2033&lt;&gt;"")*(COLUMN(AC2033:AE2033)-(COLUMN(AC2033)-2))))-1),"")</f>
        <v>ARCHIVED</v>
      </c>
      <c r="M2033" s="13" t="n">
        <f aca="true">K2033-TODAY()</f>
        <v>-302</v>
      </c>
      <c r="N2033" s="18" t="s">
        <v>728</v>
      </c>
      <c r="O2033" s="13" t="s">
        <v>1453</v>
      </c>
      <c r="P2033" s="27" t="n">
        <v>132300</v>
      </c>
      <c r="Q2033" s="20" t="s">
        <v>8774</v>
      </c>
      <c r="R2033" s="13" t="s">
        <v>39</v>
      </c>
      <c r="S2033" s="16" t="n">
        <v>38476</v>
      </c>
      <c r="T2033" s="13" t="s">
        <v>40</v>
      </c>
      <c r="U2033" s="13" t="s">
        <v>8775</v>
      </c>
      <c r="V2033" s="13" t="s">
        <v>42</v>
      </c>
      <c r="W2033" s="13" t="s">
        <v>43</v>
      </c>
      <c r="X2033" s="21" t="n">
        <v>88226028179</v>
      </c>
      <c r="Y2033" s="22" t="str">
        <f aca="false">O2033</f>
        <v>Helper Produksi</v>
      </c>
      <c r="Z2033" s="13" t="str">
        <f aca="false">IFERROR(__xludf.dummyfunction("if(BJ2033="""","""",GOOGLETRANSLATE(BJ2033,""auto"",""en""))"),"Production Helper")</f>
        <v>Production Helper</v>
      </c>
      <c r="AA2033" s="23" t="str">
        <f aca="false">IF(C2033="","", CHOOSE(MONTH(C2033),"January","February","March","April","May","June","July","August","September","October","November","December")&amp;" "&amp;DAY(C2033)&amp;MID("thstndrdth",MIN(9,2*RIGHT(DAY(C2033))*(MOD(DAY(C2033)-11,100)&gt;2)+1),2)&amp;","&amp;TEXT(C2033," yyyy"))</f>
        <v>April 9th,2025</v>
      </c>
      <c r="AB2033" s="15" t="str">
        <f aca="true">IF(S2033="","",DATEDIF(S2033,TODAY(),"Y")&amp;" Tahun, "&amp;DATEDIF(S2033,TODAY(),"YM")&amp;" Bulan, "&amp;DATEDIF(S2033,TODAY(),"MD")&amp;" Hari")</f>
        <v>21 Tahun, 5 Bulan, 25 Hari</v>
      </c>
      <c r="AC2033" s="18" t="n">
        <v>45939</v>
      </c>
      <c r="AD2033" s="18" t="n">
        <v>46022</v>
      </c>
      <c r="AE2033" s="18" t="s">
        <v>44</v>
      </c>
    </row>
    <row r="2034" customFormat="false" ht="15" hidden="false" customHeight="true" outlineLevel="0" collapsed="false">
      <c r="A2034" s="12" t="n">
        <v>19140</v>
      </c>
      <c r="B2034" s="13" t="s">
        <v>8776</v>
      </c>
      <c r="C2034" s="16" t="n">
        <v>45756</v>
      </c>
      <c r="D2034" s="13" t="s">
        <v>885</v>
      </c>
      <c r="E2034" s="15" t="s">
        <v>47</v>
      </c>
      <c r="F2034" s="15" t="str">
        <f aca="false">IFERROR(__xludf.dummyfunction("XLOOKUP(AJ2034,IMPORTRANGE(""1XaInW9DU9nz21V0tYIfzFQ0He9kVQ_JF2mCXgZ3hqFA"",""REKAP ALL 2026 - Andika!G:G""),IMPORTRANGE(""1XaInW9DU9nz21V0tYIfzFQ0He9kVQ_JF2mCXgZ3hqFA"",""REKAP ALL 2026 - Andika!F:F""),"""",0)"),"25047634412")</f>
        <v>25047634412</v>
      </c>
      <c r="G2034" s="13" t="s">
        <v>8777</v>
      </c>
      <c r="H2034" s="13" t="s">
        <v>35</v>
      </c>
      <c r="I2034" s="13" t="str">
        <f aca="false">IF(C2034=J2034,"NEW KONTRAK","RE-KONTRAK")</f>
        <v>RE-KONTRAK</v>
      </c>
      <c r="J2034" s="16" t="n">
        <f aca="false" t="array" ref="J2034:J2034">IFERROR(INDEX(AC2034:AE2034,IF(COUNTA(AC2034:AE2034)=0,"",MAX((AC2034:AE2034&lt;&gt;"")*(COLUMN(AC2034:AE2034)-(COLUMN(AC2034)))))-1),"")</f>
        <v>45939</v>
      </c>
      <c r="K2034" s="16" t="n">
        <f aca="false" t="array" ref="K2034:K2034">IFERROR(INDEX(AC2034:AE2034,IF(COUNTA(AC2034:AE2034)=0,"",MAX((AC2034:AE2034&lt;&gt;"")*(COLUMN(AC2034:AE2034)-(COLUMN(AC2034)-1))))-1),"")</f>
        <v>46022</v>
      </c>
      <c r="L2034" s="17" t="str">
        <f aca="false" t="array" ref="L2034:L2034">IFERROR(INDEX(AC2034:AE2034,IF(COUNTA(AC2034:AE2034)=0,"",MAX((AC2034:AE2034&lt;&gt;"")*(COLUMN(AC2034:AE2034)-(COLUMN(AC2034)-2))))-1),"")</f>
        <v>ARCHIVED</v>
      </c>
      <c r="M2034" s="13" t="n">
        <f aca="true">K2034-TODAY()</f>
        <v>-302</v>
      </c>
      <c r="N2034" s="18" t="s">
        <v>728</v>
      </c>
      <c r="O2034" s="13" t="s">
        <v>1453</v>
      </c>
      <c r="P2034" s="27" t="n">
        <v>132300</v>
      </c>
      <c r="Q2034" s="20" t="s">
        <v>8778</v>
      </c>
      <c r="R2034" s="13" t="s">
        <v>39</v>
      </c>
      <c r="S2034" s="16" t="n">
        <v>37930</v>
      </c>
      <c r="T2034" s="13" t="s">
        <v>40</v>
      </c>
      <c r="U2034" s="13" t="s">
        <v>8779</v>
      </c>
      <c r="V2034" s="13" t="s">
        <v>42</v>
      </c>
      <c r="W2034" s="13" t="s">
        <v>43</v>
      </c>
      <c r="X2034" s="21" t="n">
        <v>81997818408</v>
      </c>
      <c r="Y2034" s="22" t="str">
        <f aca="false">O2034</f>
        <v>Helper Produksi</v>
      </c>
      <c r="Z2034" s="13" t="str">
        <f aca="false">IFERROR(__xludf.dummyfunction("if(BJ2034="""","""",GOOGLETRANSLATE(BJ2034,""auto"",""en""))"),"Production Helper")</f>
        <v>Production Helper</v>
      </c>
      <c r="AA2034" s="23" t="str">
        <f aca="false">IF(C2034="","", CHOOSE(MONTH(C2034),"January","February","March","April","May","June","July","August","September","October","November","December")&amp;" "&amp;DAY(C2034)&amp;MID("thstndrdth",MIN(9,2*RIGHT(DAY(C2034))*(MOD(DAY(C2034)-11,100)&gt;2)+1),2)&amp;","&amp;TEXT(C2034," yyyy"))</f>
        <v>April 9th,2025</v>
      </c>
      <c r="AB2034" s="15" t="str">
        <f aca="true">IF(S2034="","",DATEDIF(S2034,TODAY(),"Y")&amp;" Tahun, "&amp;DATEDIF(S2034,TODAY(),"YM")&amp;" Bulan, "&amp;DATEDIF(S2034,TODAY(),"MD")&amp;" Hari")</f>
        <v>22 Tahun, 11 Bulan, 24 Hari</v>
      </c>
      <c r="AC2034" s="18" t="n">
        <v>45939</v>
      </c>
      <c r="AD2034" s="18" t="n">
        <v>46022</v>
      </c>
      <c r="AE2034" s="18" t="s">
        <v>44</v>
      </c>
    </row>
    <row r="2035" customFormat="false" ht="15" hidden="false" customHeight="true" outlineLevel="0" collapsed="false">
      <c r="A2035" s="12" t="n">
        <v>19141</v>
      </c>
      <c r="B2035" s="13" t="s">
        <v>8780</v>
      </c>
      <c r="C2035" s="16" t="n">
        <v>45756</v>
      </c>
      <c r="D2035" s="13" t="s">
        <v>885</v>
      </c>
      <c r="E2035" s="15" t="s">
        <v>47</v>
      </c>
      <c r="F2035" s="15" t="str">
        <f aca="false">IFERROR(__xludf.dummyfunction("XLOOKUP(AJ2035,IMPORTRANGE(""1XaInW9DU9nz21V0tYIfzFQ0He9kVQ_JF2mCXgZ3hqFA"",""REKAP ALL 2026 - Andika!G:G""),IMPORTRANGE(""1XaInW9DU9nz21V0tYIfzFQ0He9kVQ_JF2mCXgZ3hqFA"",""REKAP ALL 2026 - Andika!F:F""),"""",0)"),"25047634420")</f>
        <v>25047634420</v>
      </c>
      <c r="G2035" s="13" t="s">
        <v>8781</v>
      </c>
      <c r="H2035" s="13" t="s">
        <v>35</v>
      </c>
      <c r="I2035" s="13" t="str">
        <f aca="false">IF(C2035=J2035,"NEW KONTRAK","RE-KONTRAK")</f>
        <v>RE-KONTRAK</v>
      </c>
      <c r="J2035" s="16" t="n">
        <f aca="false" t="array" ref="J2035:J2035">IFERROR(INDEX(AC2035:AE2035,IF(COUNTA(AC2035:AE2035)=0,"",MAX((AC2035:AE2035&lt;&gt;"")*(COLUMN(AC2035:AE2035)-(COLUMN(AC2035)))))-1),"")</f>
        <v>45939</v>
      </c>
      <c r="K2035" s="16" t="n">
        <f aca="false" t="array" ref="K2035:K2035">IFERROR(INDEX(AC2035:AE2035,IF(COUNTA(AC2035:AE2035)=0,"",MAX((AC2035:AE2035&lt;&gt;"")*(COLUMN(AC2035:AE2035)-(COLUMN(AC2035)-1))))-1),"")</f>
        <v>46022</v>
      </c>
      <c r="L2035" s="17" t="str">
        <f aca="false" t="array" ref="L2035:L2035">IFERROR(INDEX(AC2035:AE2035,IF(COUNTA(AC2035:AE2035)=0,"",MAX((AC2035:AE2035&lt;&gt;"")*(COLUMN(AC2035:AE2035)-(COLUMN(AC2035)-2))))-1),"")</f>
        <v>ARCHIVED</v>
      </c>
      <c r="M2035" s="13" t="n">
        <f aca="true">K2035-TODAY()</f>
        <v>-302</v>
      </c>
      <c r="N2035" s="18" t="s">
        <v>728</v>
      </c>
      <c r="O2035" s="13" t="s">
        <v>1453</v>
      </c>
      <c r="P2035" s="27" t="n">
        <v>132300</v>
      </c>
      <c r="Q2035" s="20" t="s">
        <v>8782</v>
      </c>
      <c r="R2035" s="13" t="s">
        <v>52</v>
      </c>
      <c r="S2035" s="16" t="n">
        <v>37188</v>
      </c>
      <c r="T2035" s="13" t="s">
        <v>40</v>
      </c>
      <c r="U2035" s="13" t="s">
        <v>8783</v>
      </c>
      <c r="V2035" s="13" t="s">
        <v>42</v>
      </c>
      <c r="W2035" s="13" t="s">
        <v>43</v>
      </c>
      <c r="X2035" s="21" t="n">
        <v>89695904953</v>
      </c>
      <c r="Y2035" s="22" t="str">
        <f aca="false">O2035</f>
        <v>Helper Produksi</v>
      </c>
      <c r="Z2035" s="13" t="str">
        <f aca="false">IFERROR(__xludf.dummyfunction("if(BJ2035="""","""",GOOGLETRANSLATE(BJ2035,""auto"",""en""))"),"Production Helper")</f>
        <v>Production Helper</v>
      </c>
      <c r="AA2035" s="23" t="str">
        <f aca="false">IF(C2035="","", CHOOSE(MONTH(C2035),"January","February","March","April","May","June","July","August","September","October","November","December")&amp;" "&amp;DAY(C2035)&amp;MID("thstndrdth",MIN(9,2*RIGHT(DAY(C2035))*(MOD(DAY(C2035)-11,100)&gt;2)+1),2)&amp;","&amp;TEXT(C2035," yyyy"))</f>
        <v>April 9th,2025</v>
      </c>
      <c r="AB2035" s="15" t="str">
        <f aca="true">IF(S2035="","",DATEDIF(S2035,TODAY(),"Y")&amp;" Tahun, "&amp;DATEDIF(S2035,TODAY(),"YM")&amp;" Bulan, "&amp;DATEDIF(S2035,TODAY(),"MD")&amp;" Hari")</f>
        <v>25 Tahun, 0 Bulan, 5 Hari</v>
      </c>
      <c r="AC2035" s="18" t="n">
        <v>45939</v>
      </c>
      <c r="AD2035" s="18" t="n">
        <v>46022</v>
      </c>
      <c r="AE2035" s="18" t="s">
        <v>44</v>
      </c>
    </row>
    <row r="2036" customFormat="false" ht="15" hidden="false" customHeight="true" outlineLevel="0" collapsed="false">
      <c r="A2036" s="12" t="n">
        <v>19145</v>
      </c>
      <c r="B2036" s="13" t="s">
        <v>8784</v>
      </c>
      <c r="C2036" s="16" t="n">
        <v>45756</v>
      </c>
      <c r="D2036" s="13" t="s">
        <v>885</v>
      </c>
      <c r="E2036" s="15" t="s">
        <v>47</v>
      </c>
      <c r="F2036" s="15" t="str">
        <f aca="false">IFERROR(__xludf.dummyfunction("XLOOKUP(AJ2036,IMPORTRANGE(""1XaInW9DU9nz21V0tYIfzFQ0He9kVQ_JF2mCXgZ3hqFA"",""REKAP ALL 2026 - Andika!G:G""),IMPORTRANGE(""1XaInW9DU9nz21V0tYIfzFQ0He9kVQ_JF2mCXgZ3hqFA"",""REKAP ALL 2026 - Andika!F:F""),"""",0)"),"25047634461")</f>
        <v>25047634461</v>
      </c>
      <c r="G2036" s="13" t="s">
        <v>8785</v>
      </c>
      <c r="H2036" s="13" t="s">
        <v>35</v>
      </c>
      <c r="I2036" s="13" t="str">
        <f aca="false">IF(C2036=J2036,"NEW KONTRAK","RE-KONTRAK")</f>
        <v>RE-KONTRAK</v>
      </c>
      <c r="J2036" s="16" t="n">
        <f aca="false" t="array" ref="J2036:J2036">IFERROR(INDEX(AC2036:AE2036,IF(COUNTA(AC2036:AE2036)=0,"",MAX((AC2036:AE2036&lt;&gt;"")*(COLUMN(AC2036:AE2036)-(COLUMN(AC2036)))))-1),"")</f>
        <v>45939</v>
      </c>
      <c r="K2036" s="16" t="n">
        <f aca="false" t="array" ref="K2036:K2036">IFERROR(INDEX(AC2036:AE2036,IF(COUNTA(AC2036:AE2036)=0,"",MAX((AC2036:AE2036&lt;&gt;"")*(COLUMN(AC2036:AE2036)-(COLUMN(AC2036)-1))))-1),"")</f>
        <v>46022</v>
      </c>
      <c r="L2036" s="17" t="str">
        <f aca="false" t="array" ref="L2036:L2036">IFERROR(INDEX(AC2036:AE2036,IF(COUNTA(AC2036:AE2036)=0,"",MAX((AC2036:AE2036&lt;&gt;"")*(COLUMN(AC2036:AE2036)-(COLUMN(AC2036)-2))))-1),"")</f>
        <v>ARCHIVED</v>
      </c>
      <c r="M2036" s="13" t="n">
        <f aca="true">K2036-TODAY()</f>
        <v>-302</v>
      </c>
      <c r="N2036" s="18" t="s">
        <v>728</v>
      </c>
      <c r="O2036" s="13" t="s">
        <v>1453</v>
      </c>
      <c r="P2036" s="27" t="n">
        <v>132300</v>
      </c>
      <c r="Q2036" s="20" t="s">
        <v>8786</v>
      </c>
      <c r="R2036" s="13" t="s">
        <v>52</v>
      </c>
      <c r="S2036" s="16" t="n">
        <v>36131</v>
      </c>
      <c r="T2036" s="13" t="s">
        <v>40</v>
      </c>
      <c r="U2036" s="13" t="s">
        <v>8787</v>
      </c>
      <c r="V2036" s="13" t="s">
        <v>42</v>
      </c>
      <c r="W2036" s="13" t="s">
        <v>43</v>
      </c>
      <c r="X2036" s="21" t="n">
        <v>895329201610</v>
      </c>
      <c r="Y2036" s="22" t="str">
        <f aca="false">O2036</f>
        <v>Helper Produksi</v>
      </c>
      <c r="Z2036" s="13" t="str">
        <f aca="false">IFERROR(__xludf.dummyfunction("if(BJ2036="""","""",GOOGLETRANSLATE(BJ2036,""auto"",""en""))"),"Production Helper")</f>
        <v>Production Helper</v>
      </c>
      <c r="AA2036" s="23" t="str">
        <f aca="false">IF(C2036="","", CHOOSE(MONTH(C2036),"January","February","March","April","May","June","July","August","September","October","November","December")&amp;" "&amp;DAY(C2036)&amp;MID("thstndrdth",MIN(9,2*RIGHT(DAY(C2036))*(MOD(DAY(C2036)-11,100)&gt;2)+1),2)&amp;","&amp;TEXT(C2036," yyyy"))</f>
        <v>April 9th,2025</v>
      </c>
      <c r="AB2036" s="15" t="str">
        <f aca="true">IF(S2036="","",DATEDIF(S2036,TODAY(),"Y")&amp;" Tahun, "&amp;DATEDIF(S2036,TODAY(),"YM")&amp;" Bulan, "&amp;DATEDIF(S2036,TODAY(),"MD")&amp;" Hari")</f>
        <v>27 Tahun, 10 Bulan, 27 Hari</v>
      </c>
      <c r="AC2036" s="18" t="n">
        <v>45939</v>
      </c>
      <c r="AD2036" s="18" t="n">
        <v>46022</v>
      </c>
      <c r="AE2036" s="18" t="s">
        <v>44</v>
      </c>
    </row>
    <row r="2037" customFormat="false" ht="15" hidden="false" customHeight="true" outlineLevel="0" collapsed="false">
      <c r="A2037" s="12" t="n">
        <v>19147</v>
      </c>
      <c r="B2037" s="13" t="s">
        <v>8788</v>
      </c>
      <c r="C2037" s="16" t="n">
        <v>45744</v>
      </c>
      <c r="D2037" s="13" t="s">
        <v>613</v>
      </c>
      <c r="E2037" s="15" t="s">
        <v>47</v>
      </c>
      <c r="F2037" s="15" t="str">
        <f aca="false">IFERROR(__xludf.dummyfunction("XLOOKUP(AJ2037,IMPORTRANGE(""1XaInW9DU9nz21V0tYIfzFQ0He9kVQ_JF2mCXgZ3hqFA"",""REKAP ALL 2026 - Andika!G:G""),IMPORTRANGE(""1XaInW9DU9nz21V0tYIfzFQ0He9kVQ_JF2mCXgZ3hqFA"",""REKAP ALL 2026 - Andika!F:F""),"""",0)"),"25133237161")</f>
        <v>25133237161</v>
      </c>
      <c r="G2037" s="13" t="s">
        <v>8789</v>
      </c>
      <c r="H2037" s="13" t="s">
        <v>35</v>
      </c>
      <c r="I2037" s="13" t="str">
        <f aca="false">IF(C2037=J2037,"NEW KONTRAK","RE-KONTRAK")</f>
        <v>NEW KONTRAK</v>
      </c>
      <c r="J2037" s="16" t="n">
        <f aca="false" t="array" ref="J2037:J2037">IFERROR(INDEX(AC2037:AE2037,IF(COUNTA(AC2037:AE2037)=0,"",MAX((AC2037:AE2037&lt;&gt;"")*(COLUMN(AC2037:AE2037)-(COLUMN(AC2037)))))-1),"")</f>
        <v>45744</v>
      </c>
      <c r="K2037" s="16" t="n">
        <f aca="false" t="array" ref="K2037:K2037">IFERROR(INDEX(AC2037:AE2037,IF(COUNTA(AC2037:AE2037)=0,"",MAX((AC2037:AE2037&lt;&gt;"")*(COLUMN(AC2037:AE2037)-(COLUMN(AC2037)-1))))-1),"")</f>
        <v>45835</v>
      </c>
      <c r="L2037" s="17" t="str">
        <f aca="false" t="array" ref="L2037:L2037">IFERROR(INDEX(AC2037:AE2037,IF(COUNTA(AC2037:AE2037)=0,"",MAX((AC2037:AE2037&lt;&gt;"")*(COLUMN(AC2037:AE2037)-(COLUMN(AC2037)-2))))-1),"")</f>
        <v>ARCHIVED</v>
      </c>
      <c r="M2037" s="13" t="n">
        <f aca="true">K2037-TODAY()</f>
        <v>-489</v>
      </c>
      <c r="N2037" s="18" t="s">
        <v>615</v>
      </c>
      <c r="O2037" s="13" t="s">
        <v>58</v>
      </c>
      <c r="P2037" s="19" t="n">
        <v>5176101</v>
      </c>
      <c r="Q2037" s="20" t="s">
        <v>8790</v>
      </c>
      <c r="R2037" s="13" t="s">
        <v>241</v>
      </c>
      <c r="S2037" s="16" t="n">
        <v>29989</v>
      </c>
      <c r="T2037" s="13" t="s">
        <v>40</v>
      </c>
      <c r="U2037" s="13" t="s">
        <v>8791</v>
      </c>
      <c r="V2037" s="13" t="s">
        <v>42</v>
      </c>
      <c r="W2037" s="13" t="s">
        <v>54</v>
      </c>
      <c r="X2037" s="21" t="n">
        <v>85645759386</v>
      </c>
      <c r="Y2037" s="22" t="str">
        <f aca="false">O2037</f>
        <v>Produksi</v>
      </c>
      <c r="Z2037" s="13" t="str">
        <f aca="false">IFERROR(__xludf.dummyfunction("if(BJ2037="""","""",GOOGLETRANSLATE(BJ2037,""auto"",""en""))"),"Production")</f>
        <v>Production</v>
      </c>
      <c r="AA2037" s="23" t="str">
        <f aca="false">IF(C2037="","", CHOOSE(MONTH(C2037),"January","February","March","April","May","June","July","August","September","October","November","December")&amp;" "&amp;DAY(C2037)&amp;MID("thstndrdth",MIN(9,2*RIGHT(DAY(C2037))*(MOD(DAY(C2037)-11,100)&gt;2)+1),2)&amp;","&amp;TEXT(C2037," yyyy"))</f>
        <v>March 28th,2025</v>
      </c>
      <c r="AB2037" s="15" t="str">
        <f aca="true">IF(S2037="","",DATEDIF(S2037,TODAY(),"Y")&amp;" Tahun, "&amp;DATEDIF(S2037,TODAY(),"YM")&amp;" Bulan, "&amp;DATEDIF(S2037,TODAY(),"MD")&amp;" Hari")</f>
        <v>44 Tahun, 8 Bulan, 22 Hari</v>
      </c>
      <c r="AC2037" s="18" t="n">
        <v>45744</v>
      </c>
      <c r="AD2037" s="18" t="n">
        <v>45835</v>
      </c>
      <c r="AE2037" s="18" t="s">
        <v>44</v>
      </c>
    </row>
    <row r="2038" customFormat="false" ht="15" hidden="false" customHeight="true" outlineLevel="0" collapsed="false">
      <c r="A2038" s="12" t="n">
        <v>19146</v>
      </c>
      <c r="B2038" s="13" t="s">
        <v>8792</v>
      </c>
      <c r="C2038" s="16" t="n">
        <v>45754</v>
      </c>
      <c r="D2038" s="13" t="s">
        <v>5726</v>
      </c>
      <c r="E2038" s="15" t="s">
        <v>789</v>
      </c>
      <c r="F2038" s="24" t="s">
        <v>8793</v>
      </c>
      <c r="G2038" s="13" t="s">
        <v>8794</v>
      </c>
      <c r="H2038" s="13" t="s">
        <v>35</v>
      </c>
      <c r="I2038" s="13" t="str">
        <f aca="false">IF(C2038=J2038,"NEW KONTRAK","RE-KONTRAK")</f>
        <v>RE-KONTRAK</v>
      </c>
      <c r="J2038" s="16" t="n">
        <f aca="false" t="array" ref="J2038:J2038">IFERROR(INDEX(AC2038:AE2038,IF(COUNTA(AC2038:AE2038)=0,"",MAX((AC2038:AE2038&lt;&gt;"")*(COLUMN(AC2038:AE2038)-(COLUMN(AC2038)))))-1),"")</f>
        <v>45845</v>
      </c>
      <c r="K2038" s="16" t="n">
        <f aca="false" t="array" ref="K2038:K2038">IFERROR(INDEX(AC2038:AE2038,IF(COUNTA(AC2038:AE2038)=0,"",MAX((AC2038:AE2038&lt;&gt;"")*(COLUMN(AC2038:AE2038)-(COLUMN(AC2038)-1))))-1),"")</f>
        <v>45936</v>
      </c>
      <c r="L2038" s="17" t="str">
        <f aca="false" t="array" ref="L2038:L2038">IFERROR(INDEX(AC2038:AE2038,IF(COUNTA(AC2038:AE2038)=0,"",MAX((AC2038:AE2038&lt;&gt;"")*(COLUMN(AC2038:AE2038)-(COLUMN(AC2038)-2))))-1),"")</f>
        <v>ARCHIVED</v>
      </c>
      <c r="M2038" s="13" t="n">
        <f aca="true">K2038-TODAY()</f>
        <v>-388</v>
      </c>
      <c r="N2038" s="18" t="s">
        <v>615</v>
      </c>
      <c r="O2038" s="13" t="s">
        <v>3271</v>
      </c>
      <c r="P2038" s="27" t="n">
        <v>5176101</v>
      </c>
      <c r="Q2038" s="20" t="s">
        <v>8795</v>
      </c>
      <c r="R2038" s="13" t="s">
        <v>241</v>
      </c>
      <c r="S2038" s="16" t="n">
        <v>36667</v>
      </c>
      <c r="T2038" s="13" t="s">
        <v>40</v>
      </c>
      <c r="U2038" s="13" t="s">
        <v>8796</v>
      </c>
      <c r="V2038" s="13" t="s">
        <v>42</v>
      </c>
      <c r="W2038" s="13" t="s">
        <v>43</v>
      </c>
      <c r="X2038" s="21" t="n">
        <v>85856940111</v>
      </c>
      <c r="Y2038" s="22" t="str">
        <f aca="false">O2038</f>
        <v>Helper</v>
      </c>
      <c r="Z2038" s="13" t="str">
        <f aca="false">IFERROR(__xludf.dummyfunction("if(BJ2038="""","""",GOOGLETRANSLATE(BJ2038,""auto"",""en""))"),"Helper")</f>
        <v>Helper</v>
      </c>
      <c r="AA2038" s="23" t="str">
        <f aca="false">IF(C2038="","", CHOOSE(MONTH(C2038),"January","February","March","April","May","June","July","August","September","October","November","December")&amp;" "&amp;DAY(C2038)&amp;MID("thstndrdth",MIN(9,2*RIGHT(DAY(C2038))*(MOD(DAY(C2038)-11,100)&gt;2)+1),2)&amp;","&amp;TEXT(C2038," yyyy"))</f>
        <v>April 7th,2025</v>
      </c>
      <c r="AB2038" s="15" t="str">
        <f aca="true">IF(S2038="","",DATEDIF(S2038,TODAY(),"Y")&amp;" Tahun, "&amp;DATEDIF(S2038,TODAY(),"YM")&amp;" Bulan, "&amp;DATEDIF(S2038,TODAY(),"MD")&amp;" Hari")</f>
        <v>26 Tahun, 5 Bulan, 8 Hari</v>
      </c>
      <c r="AC2038" s="18" t="n">
        <v>45845</v>
      </c>
      <c r="AD2038" s="18" t="n">
        <v>45936</v>
      </c>
      <c r="AE2038" s="18" t="s">
        <v>44</v>
      </c>
    </row>
    <row r="2039" customFormat="false" ht="15" hidden="false" customHeight="true" outlineLevel="0" collapsed="false">
      <c r="A2039" s="12" t="n">
        <v>22687</v>
      </c>
      <c r="B2039" s="13" t="s">
        <v>8797</v>
      </c>
      <c r="C2039" s="14" t="n">
        <v>46251</v>
      </c>
      <c r="D2039" s="13" t="s">
        <v>1721</v>
      </c>
      <c r="E2039" s="13" t="s">
        <v>47</v>
      </c>
      <c r="F2039" s="24" t="s">
        <v>8798</v>
      </c>
      <c r="G2039" s="13" t="s">
        <v>1452</v>
      </c>
      <c r="H2039" s="13" t="s">
        <v>35</v>
      </c>
      <c r="I2039" s="13" t="str">
        <f aca="false">IF(C2039=J2039,"NEW KONTRAK","RE-KONTRAK")</f>
        <v>NEW KONTRAK</v>
      </c>
      <c r="J2039" s="16" t="n">
        <f aca="false" t="array" ref="J2039:J2039">IFERROR(INDEX(AC2039:AE2039,IF(COUNTA(AC2039:AE2039)=0,"",MAX((AC2039:AE2039&lt;&gt;"")*(COLUMN(AC2039:AE2039)-(COLUMN(AC2039)))))-1),"")</f>
        <v>46251</v>
      </c>
      <c r="K2039" s="16" t="n">
        <f aca="false" t="array" ref="K2039:K2039">IFERROR(INDEX(AC2039:AE2039,IF(COUNTA(AC2039:AE2039)=0,"",MAX((AC2039:AE2039&lt;&gt;"")*(COLUMN(AC2039:AE2039)-(COLUMN(AC2039)-1))))-1),"")</f>
        <v>46342</v>
      </c>
      <c r="L2039" s="17" t="str">
        <f aca="false" t="array" ref="L2039:L2039">IFERROR(INDEX(AC2039:AE2039,IF(COUNTA(AC2039:AE2039)=0,"",MAX((AC2039:AE2039&lt;&gt;"")*(COLUMN(AC2039:AE2039)-(COLUMN(AC2039)-2))))-1),"")</f>
        <v>KEMBALI</v>
      </c>
      <c r="M2039" s="13" t="n">
        <f aca="true">K2039-TODAY()</f>
        <v>18</v>
      </c>
      <c r="N2039" s="18" t="s">
        <v>728</v>
      </c>
      <c r="O2039" s="13" t="s">
        <v>1803</v>
      </c>
      <c r="P2039" s="26" t="n">
        <v>5444909</v>
      </c>
      <c r="Q2039" s="20" t="s">
        <v>8799</v>
      </c>
      <c r="R2039" s="13" t="s">
        <v>1695</v>
      </c>
      <c r="S2039" s="25" t="n">
        <v>37423</v>
      </c>
      <c r="T2039" s="13" t="s">
        <v>108</v>
      </c>
      <c r="U2039" s="13" t="s">
        <v>8800</v>
      </c>
      <c r="V2039" s="13" t="s">
        <v>42</v>
      </c>
      <c r="W2039" s="13" t="s">
        <v>43</v>
      </c>
      <c r="X2039" s="21" t="n">
        <v>83131526654</v>
      </c>
      <c r="Y2039" s="22" t="str">
        <f aca="false">O2039</f>
        <v>Injectition Moulding</v>
      </c>
      <c r="Z2039" s="13" t="str">
        <f aca="false">IFERROR(__xludf.dummyfunction("if(BJ2039="""","""",GOOGLETRANSLATE(BJ2039,""auto"",""en""))"),"Injectition Moulding")</f>
        <v>Injectition Moulding</v>
      </c>
      <c r="AA2039" s="23" t="str">
        <f aca="false">IF(C2039="","", CHOOSE(MONTH(C2039),"January","February","March","April","May","June","July","August","September","October","November","December")&amp;" "&amp;DAY(C2039)&amp;MID("thstndrdth",MIN(9,2*RIGHT(DAY(C2039))*(MOD(DAY(C2039)-11,100)&gt;2)+1),2)&amp;","&amp;TEXT(C2039," yyyy"))</f>
        <v>August 17th,2026</v>
      </c>
      <c r="AB2039" s="15" t="str">
        <f aca="true">IF(S2039="","",DATEDIF(S2039,TODAY(),"Y")&amp;" Tahun, "&amp;DATEDIF(S2039,TODAY(),"YM")&amp;" Bulan, "&amp;DATEDIF(S2039,TODAY(),"MD")&amp;" Hari")</f>
        <v>24 Tahun, 4 Bulan, 13 Hari</v>
      </c>
      <c r="AC2039" s="14" t="n">
        <v>46251</v>
      </c>
      <c r="AD2039" s="18" t="n">
        <f aca="false">EDATE(AC2039,3)-1</f>
        <v>46342</v>
      </c>
      <c r="AE2039" s="13" t="s">
        <v>397</v>
      </c>
    </row>
    <row r="2040" customFormat="false" ht="15" hidden="false" customHeight="true" outlineLevel="0" collapsed="false">
      <c r="A2040" s="12" t="n">
        <v>19150</v>
      </c>
      <c r="B2040" s="13" t="s">
        <v>8801</v>
      </c>
      <c r="C2040" s="16" t="n">
        <v>45755</v>
      </c>
      <c r="D2040" s="13" t="s">
        <v>1066</v>
      </c>
      <c r="E2040" s="15" t="s">
        <v>47</v>
      </c>
      <c r="F2040" s="15" t="str">
        <f aca="false">IFERROR(__xludf.dummyfunction("XLOOKUP(AJ2040,IMPORTRANGE(""1XaInW9DU9nz21V0tYIfzFQ0He9kVQ_JF2mCXgZ3hqFA"",""REKAP ALL 2026 - Andika!G:G""),IMPORTRANGE(""1XaInW9DU9nz21V0tYIfzFQ0He9kVQ_JF2mCXgZ3hqFA"",""REKAP ALL 2026 - Andika!F:F""),"""",0)"),"25047637167")</f>
        <v>25047637167</v>
      </c>
      <c r="G2040" s="13" t="s">
        <v>8802</v>
      </c>
      <c r="H2040" s="13" t="s">
        <v>35</v>
      </c>
      <c r="I2040" s="13" t="str">
        <f aca="false">IF(C2040=J2040,"NEW KONTRAK","RE-KONTRAK")</f>
        <v>NEW KONTRAK</v>
      </c>
      <c r="J2040" s="16" t="n">
        <f aca="false" t="array" ref="J2040:J2040">IFERROR(INDEX(AC2040:AE2040,IF(COUNTA(AC2040:AE2040)=0,"",MAX((AC2040:AE2040&lt;&gt;"")*(COLUMN(AC2040:AE2040)-(COLUMN(AC2040)))))-1),"")</f>
        <v>45755</v>
      </c>
      <c r="K2040" s="16" t="n">
        <f aca="false" t="array" ref="K2040:K2040">IFERROR(INDEX(AC2040:AE2040,IF(COUNTA(AC2040:AE2040)=0,"",MAX((AC2040:AE2040&lt;&gt;"")*(COLUMN(AC2040:AE2040)-(COLUMN(AC2040)-1))))-1),"")</f>
        <v>46022</v>
      </c>
      <c r="L2040" s="17" t="str">
        <f aca="false" t="array" ref="L2040:L2040">IFERROR(INDEX(AC2040:AE2040,IF(COUNTA(AC2040:AE2040)=0,"",MAX((AC2040:AE2040&lt;&gt;"")*(COLUMN(AC2040:AE2040)-(COLUMN(AC2040)-2))))-1),"")</f>
        <v>ARCHIVED</v>
      </c>
      <c r="M2040" s="13" t="n">
        <f aca="true">K2040-TODAY()</f>
        <v>-302</v>
      </c>
      <c r="N2040" s="18" t="s">
        <v>615</v>
      </c>
      <c r="O2040" s="13" t="s">
        <v>8803</v>
      </c>
      <c r="P2040" s="19" t="n">
        <v>5176101</v>
      </c>
      <c r="Q2040" s="20" t="s">
        <v>8804</v>
      </c>
      <c r="R2040" s="13" t="s">
        <v>78</v>
      </c>
      <c r="S2040" s="16" t="n">
        <v>36222</v>
      </c>
      <c r="T2040" s="13" t="s">
        <v>40</v>
      </c>
      <c r="U2040" s="13" t="s">
        <v>8805</v>
      </c>
      <c r="V2040" s="13" t="s">
        <v>42</v>
      </c>
      <c r="W2040" s="13" t="s">
        <v>43</v>
      </c>
      <c r="X2040" s="21" t="n">
        <v>88217785706</v>
      </c>
      <c r="Y2040" s="22" t="str">
        <f aca="false">O2040</f>
        <v>Helper HRGA</v>
      </c>
      <c r="Z2040" s="13" t="str">
        <f aca="false">IFERROR(__xludf.dummyfunction("if(BJ2040="""","""",GOOGLETRANSLATE(BJ2040,""auto"",""en""))"),"Helper HRGA")</f>
        <v>Helper HRGA</v>
      </c>
      <c r="AA2040" s="23" t="str">
        <f aca="false">IF(C2040="","", CHOOSE(MONTH(C2040),"January","February","March","April","May","June","July","August","September","October","November","December")&amp;" "&amp;DAY(C2040)&amp;MID("thstndrdth",MIN(9,2*RIGHT(DAY(C2040))*(MOD(DAY(C2040)-11,100)&gt;2)+1),2)&amp;","&amp;TEXT(C2040," yyyy"))</f>
        <v>April 8th,2025</v>
      </c>
      <c r="AB2040" s="15" t="str">
        <f aca="true">IF(S2040="","",DATEDIF(S2040,TODAY(),"Y")&amp;" Tahun, "&amp;DATEDIF(S2040,TODAY(),"YM")&amp;" Bulan, "&amp;DATEDIF(S2040,TODAY(),"MD")&amp;" Hari")</f>
        <v>27 Tahun, 7 Bulan, 26 Hari</v>
      </c>
      <c r="AC2040" s="18" t="n">
        <v>45755</v>
      </c>
      <c r="AD2040" s="18" t="n">
        <v>46022</v>
      </c>
      <c r="AE2040" s="18" t="s">
        <v>44</v>
      </c>
    </row>
    <row r="2041" customFormat="false" ht="15" hidden="false" customHeight="true" outlineLevel="0" collapsed="false">
      <c r="A2041" s="12" t="n">
        <v>19154</v>
      </c>
      <c r="B2041" s="13" t="s">
        <v>8806</v>
      </c>
      <c r="C2041" s="16" t="n">
        <v>45754</v>
      </c>
      <c r="D2041" s="13" t="s">
        <v>144</v>
      </c>
      <c r="E2041" s="15" t="s">
        <v>47</v>
      </c>
      <c r="F2041" s="15" t="str">
        <f aca="false">IFERROR(__xludf.dummyfunction("XLOOKUP(AJ2041,IMPORTRANGE(""1XaInW9DU9nz21V0tYIfzFQ0He9kVQ_JF2mCXgZ3hqFA"",""REKAP ALL 2026 - Andika!G:G""),IMPORTRANGE(""1XaInW9DU9nz21V0tYIfzFQ0He9kVQ_JF2mCXgZ3hqFA"",""REKAP ALL 2026 - Andika!F:F""),"""",0)"),"24018290429")</f>
        <v>24018290429</v>
      </c>
      <c r="G2041" s="13" t="s">
        <v>8807</v>
      </c>
      <c r="H2041" s="13" t="s">
        <v>35</v>
      </c>
      <c r="I2041" s="13" t="str">
        <f aca="false">IF(C2041=J2041,"NEW KONTRAK","RE-KONTRAK")</f>
        <v>NEW KONTRAK</v>
      </c>
      <c r="J2041" s="16" t="n">
        <f aca="false" t="array" ref="J2041:J2041">IFERROR(INDEX(AC2041:AE2041,IF(COUNTA(AC2041:AE2041)=0,"",MAX((AC2041:AE2041&lt;&gt;"")*(COLUMN(AC2041:AE2041)-(COLUMN(AC2041)))))-1),"")</f>
        <v>45754</v>
      </c>
      <c r="K2041" s="16" t="n">
        <f aca="false" t="array" ref="K2041:K2041">IFERROR(INDEX(AC2041:AE2041,IF(COUNTA(AC2041:AE2041)=0,"",MAX((AC2041:AE2041&lt;&gt;"")*(COLUMN(AC2041:AE2041)-(COLUMN(AC2041)-1))))-1),"")</f>
        <v>46022</v>
      </c>
      <c r="L2041" s="17" t="str">
        <f aca="false" t="array" ref="L2041:L2041">IFERROR(INDEX(AC2041:AE2041,IF(COUNTA(AC2041:AE2041)=0,"",MAX((AC2041:AE2041&lt;&gt;"")*(COLUMN(AC2041:AE2041)-(COLUMN(AC2041)-2))))-1),"")</f>
        <v>ARCHIVED</v>
      </c>
      <c r="M2041" s="13" t="n">
        <f aca="true">K2041-TODAY()</f>
        <v>-302</v>
      </c>
      <c r="N2041" s="18" t="s">
        <v>36</v>
      </c>
      <c r="O2041" s="13" t="s">
        <v>6606</v>
      </c>
      <c r="P2041" s="19" t="n">
        <v>5195401</v>
      </c>
      <c r="Q2041" s="20" t="s">
        <v>8808</v>
      </c>
      <c r="R2041" s="13" t="s">
        <v>65</v>
      </c>
      <c r="S2041" s="16" t="n">
        <v>36911</v>
      </c>
      <c r="T2041" s="13" t="s">
        <v>40</v>
      </c>
      <c r="U2041" s="13" t="s">
        <v>8809</v>
      </c>
      <c r="V2041" s="13" t="s">
        <v>42</v>
      </c>
      <c r="W2041" s="13" t="s">
        <v>54</v>
      </c>
      <c r="X2041" s="21" t="n">
        <v>85895524249</v>
      </c>
      <c r="Y2041" s="22" t="str">
        <f aca="false">O2041</f>
        <v>Picker</v>
      </c>
      <c r="Z2041" s="13" t="str">
        <f aca="false">IFERROR(__xludf.dummyfunction("if(BJ2041="""","""",GOOGLETRANSLATE(BJ2041,""auto"",""en""))"),"Picker")</f>
        <v>Picker</v>
      </c>
      <c r="AA2041" s="23" t="str">
        <f aca="false">IF(C2041="","", CHOOSE(MONTH(C2041),"January","February","March","April","May","June","July","August","September","October","November","December")&amp;" "&amp;DAY(C2041)&amp;MID("thstndrdth",MIN(9,2*RIGHT(DAY(C2041))*(MOD(DAY(C2041)-11,100)&gt;2)+1),2)&amp;","&amp;TEXT(C2041," yyyy"))</f>
        <v>April 7th,2025</v>
      </c>
      <c r="AB2041" s="15" t="str">
        <f aca="true">IF(S2041="","",DATEDIF(S2041,TODAY(),"Y")&amp;" Tahun, "&amp;DATEDIF(S2041,TODAY(),"YM")&amp;" Bulan, "&amp;DATEDIF(S2041,TODAY(),"MD")&amp;" Hari")</f>
        <v>25 Tahun, 9 Bulan, 9 Hari</v>
      </c>
      <c r="AC2041" s="18" t="n">
        <v>45754</v>
      </c>
      <c r="AD2041" s="18" t="n">
        <v>46022</v>
      </c>
      <c r="AE2041" s="18" t="s">
        <v>44</v>
      </c>
    </row>
    <row r="2042" customFormat="false" ht="15" hidden="false" customHeight="true" outlineLevel="0" collapsed="false">
      <c r="A2042" s="12" t="n">
        <v>19157</v>
      </c>
      <c r="B2042" s="13" t="s">
        <v>8810</v>
      </c>
      <c r="C2042" s="16" t="n">
        <v>45754</v>
      </c>
      <c r="D2042" s="13" t="s">
        <v>144</v>
      </c>
      <c r="E2042" s="15" t="s">
        <v>47</v>
      </c>
      <c r="F2042" s="15" t="str">
        <f aca="false">IFERROR(__xludf.dummyfunction("XLOOKUP(AJ2042,IMPORTRANGE(""1XaInW9DU9nz21V0tYIfzFQ0He9kVQ_JF2mCXgZ3hqFA"",""REKAP ALL 2026 - Andika!G:G""),IMPORTRANGE(""1XaInW9DU9nz21V0tYIfzFQ0He9kVQ_JF2mCXgZ3hqFA"",""REKAP ALL 2026 - Andika!F:F""),"""",0)"),"25047636623")</f>
        <v>25047636623</v>
      </c>
      <c r="G2042" s="13" t="s">
        <v>8811</v>
      </c>
      <c r="H2042" s="13" t="s">
        <v>35</v>
      </c>
      <c r="I2042" s="13" t="str">
        <f aca="false">IF(C2042=J2042,"NEW KONTRAK","RE-KONTRAK")</f>
        <v>NEW KONTRAK</v>
      </c>
      <c r="J2042" s="16" t="n">
        <f aca="false" t="array" ref="J2042:J2042">IFERROR(INDEX(AC2042:AE2042,IF(COUNTA(AC2042:AE2042)=0,"",MAX((AC2042:AE2042&lt;&gt;"")*(COLUMN(AC2042:AE2042)-(COLUMN(AC2042)))))-1),"")</f>
        <v>45754</v>
      </c>
      <c r="K2042" s="16" t="n">
        <f aca="false" t="array" ref="K2042:K2042">IFERROR(INDEX(AC2042:AE2042,IF(COUNTA(AC2042:AE2042)=0,"",MAX((AC2042:AE2042&lt;&gt;"")*(COLUMN(AC2042:AE2042)-(COLUMN(AC2042)-1))))-1),"")</f>
        <v>46022</v>
      </c>
      <c r="L2042" s="17" t="str">
        <f aca="false" t="array" ref="L2042:L2042">IFERROR(INDEX(AC2042:AE2042,IF(COUNTA(AC2042:AE2042)=0,"",MAX((AC2042:AE2042&lt;&gt;"")*(COLUMN(AC2042:AE2042)-(COLUMN(AC2042)-2))))-1),"")</f>
        <v>ARCHIVED</v>
      </c>
      <c r="M2042" s="13" t="n">
        <f aca="true">K2042-TODAY()</f>
        <v>-302</v>
      </c>
      <c r="N2042" s="18" t="s">
        <v>36</v>
      </c>
      <c r="O2042" s="13" t="s">
        <v>5444</v>
      </c>
      <c r="P2042" s="19" t="n">
        <v>5195401</v>
      </c>
      <c r="Q2042" s="20" t="s">
        <v>8812</v>
      </c>
      <c r="R2042" s="13" t="s">
        <v>241</v>
      </c>
      <c r="S2042" s="16" t="n">
        <v>35244</v>
      </c>
      <c r="T2042" s="13" t="s">
        <v>40</v>
      </c>
      <c r="U2042" s="13" t="s">
        <v>8813</v>
      </c>
      <c r="V2042" s="13" t="s">
        <v>42</v>
      </c>
      <c r="W2042" s="13" t="s">
        <v>54</v>
      </c>
      <c r="X2042" s="21" t="n">
        <v>85236757776</v>
      </c>
      <c r="Y2042" s="22" t="str">
        <f aca="false">O2042</f>
        <v>Operator Produksi</v>
      </c>
      <c r="Z2042" s="13" t="str">
        <f aca="false">IFERROR(__xludf.dummyfunction("if(BJ2042="""","""",GOOGLETRANSLATE(BJ2042,""auto"",""en""))"),"Production operator")</f>
        <v>Production operator</v>
      </c>
      <c r="AA2042" s="23" t="str">
        <f aca="false">IF(C2042="","", CHOOSE(MONTH(C2042),"January","February","March","April","May","June","July","August","September","October","November","December")&amp;" "&amp;DAY(C2042)&amp;MID("thstndrdth",MIN(9,2*RIGHT(DAY(C2042))*(MOD(DAY(C2042)-11,100)&gt;2)+1),2)&amp;","&amp;TEXT(C2042," yyyy"))</f>
        <v>April 7th,2025</v>
      </c>
      <c r="AB2042" s="15" t="str">
        <f aca="true">IF(S2042="","",DATEDIF(S2042,TODAY(),"Y")&amp;" Tahun, "&amp;DATEDIF(S2042,TODAY(),"YM")&amp;" Bulan, "&amp;DATEDIF(S2042,TODAY(),"MD")&amp;" Hari")</f>
        <v>30 Tahun, 4 Bulan, 1 Hari</v>
      </c>
      <c r="AC2042" s="18" t="n">
        <v>45754</v>
      </c>
      <c r="AD2042" s="18" t="n">
        <v>46022</v>
      </c>
      <c r="AE2042" s="18" t="s">
        <v>44</v>
      </c>
    </row>
    <row r="2043" customFormat="false" ht="15" hidden="false" customHeight="true" outlineLevel="0" collapsed="false">
      <c r="A2043" s="12" t="n">
        <v>19155</v>
      </c>
      <c r="B2043" s="13" t="s">
        <v>8814</v>
      </c>
      <c r="C2043" s="16" t="n">
        <v>45754</v>
      </c>
      <c r="D2043" s="13" t="s">
        <v>144</v>
      </c>
      <c r="E2043" s="15" t="s">
        <v>789</v>
      </c>
      <c r="F2043" s="15" t="str">
        <f aca="false">IFERROR(__xludf.dummyfunction("XLOOKUP(AJ2043,IMPORTRANGE(""1XaInW9DU9nz21V0tYIfzFQ0He9kVQ_JF2mCXgZ3hqFA"",""REKAP ALL 2026 - Andika!G:G""),IMPORTRANGE(""1XaInW9DU9nz21V0tYIfzFQ0He9kVQ_JF2mCXgZ3hqFA"",""REKAP ALL 2026 - Andika!F:F""),"""",0)"),"25047636607")</f>
        <v>25047636607</v>
      </c>
      <c r="G2043" s="13" t="s">
        <v>8815</v>
      </c>
      <c r="H2043" s="13" t="s">
        <v>35</v>
      </c>
      <c r="I2043" s="13" t="str">
        <f aca="false">IF(C2043=J2043,"NEW KONTRAK","RE-KONTRAK")</f>
        <v>NEW KONTRAK</v>
      </c>
      <c r="J2043" s="16" t="n">
        <f aca="false" t="array" ref="J2043:J2043">IFERROR(INDEX(AC2043:AE2043,IF(COUNTA(AC2043:AE2043)=0,"",MAX((AC2043:AE2043&lt;&gt;"")*(COLUMN(AC2043:AE2043)-(COLUMN(AC2043)))))-1),"")</f>
        <v>45754</v>
      </c>
      <c r="K2043" s="16" t="n">
        <f aca="false" t="array" ref="K2043:K2043">IFERROR(INDEX(AC2043:AE2043,IF(COUNTA(AC2043:AE2043)=0,"",MAX((AC2043:AE2043&lt;&gt;"")*(COLUMN(AC2043:AE2043)-(COLUMN(AC2043)-1))))-1),"")</f>
        <v>46022</v>
      </c>
      <c r="L2043" s="17" t="str">
        <f aca="false" t="array" ref="L2043:L2043">IFERROR(INDEX(AC2043:AE2043,IF(COUNTA(AC2043:AE2043)=0,"",MAX((AC2043:AE2043&lt;&gt;"")*(COLUMN(AC2043:AE2043)-(COLUMN(AC2043)-2))))-1),"")</f>
        <v>ARCHIVED</v>
      </c>
      <c r="M2043" s="13" t="n">
        <f aca="true">K2043-TODAY()</f>
        <v>-302</v>
      </c>
      <c r="N2043" s="18" t="s">
        <v>36</v>
      </c>
      <c r="O2043" s="13" t="s">
        <v>6606</v>
      </c>
      <c r="P2043" s="19" t="n">
        <v>5195401</v>
      </c>
      <c r="Q2043" s="20" t="s">
        <v>8816</v>
      </c>
      <c r="R2043" s="13" t="s">
        <v>78</v>
      </c>
      <c r="S2043" s="16" t="n">
        <v>32765</v>
      </c>
      <c r="T2043" s="13" t="s">
        <v>40</v>
      </c>
      <c r="U2043" s="13" t="s">
        <v>8817</v>
      </c>
      <c r="V2043" s="13" t="s">
        <v>42</v>
      </c>
      <c r="W2043" s="13" t="s">
        <v>54</v>
      </c>
      <c r="X2043" s="21" t="n">
        <v>82229847540</v>
      </c>
      <c r="Y2043" s="22" t="str">
        <f aca="false">O2043</f>
        <v>Picker</v>
      </c>
      <c r="Z2043" s="13" t="str">
        <f aca="false">IFERROR(__xludf.dummyfunction("if(BJ2043="""","""",GOOGLETRANSLATE(BJ2043,""auto"",""en""))"),"Picker")</f>
        <v>Picker</v>
      </c>
      <c r="AA2043" s="23" t="str">
        <f aca="false">IF(C2043="","", CHOOSE(MONTH(C2043),"January","February","March","April","May","June","July","August","September","October","November","December")&amp;" "&amp;DAY(C2043)&amp;MID("thstndrdth",MIN(9,2*RIGHT(DAY(C2043))*(MOD(DAY(C2043)-11,100)&gt;2)+1),2)&amp;","&amp;TEXT(C2043," yyyy"))</f>
        <v>April 7th,2025</v>
      </c>
      <c r="AB2043" s="15" t="str">
        <f aca="true">IF(S2043="","",DATEDIF(S2043,TODAY(),"Y")&amp;" Tahun, "&amp;DATEDIF(S2043,TODAY(),"YM")&amp;" Bulan, "&amp;DATEDIF(S2043,TODAY(),"MD")&amp;" Hari")</f>
        <v>37 Tahun, 1 Bulan, 15 Hari</v>
      </c>
      <c r="AC2043" s="18" t="n">
        <v>45754</v>
      </c>
      <c r="AD2043" s="18" t="n">
        <v>46022</v>
      </c>
      <c r="AE2043" s="18" t="s">
        <v>44</v>
      </c>
    </row>
    <row r="2044" customFormat="false" ht="15" hidden="false" customHeight="true" outlineLevel="0" collapsed="false">
      <c r="A2044" s="12" t="n">
        <v>19156</v>
      </c>
      <c r="B2044" s="13" t="s">
        <v>8818</v>
      </c>
      <c r="C2044" s="16" t="n">
        <v>45754</v>
      </c>
      <c r="D2044" s="13" t="s">
        <v>144</v>
      </c>
      <c r="E2044" s="15" t="s">
        <v>33</v>
      </c>
      <c r="F2044" s="24" t="s">
        <v>8819</v>
      </c>
      <c r="G2044" s="13" t="s">
        <v>8820</v>
      </c>
      <c r="H2044" s="13" t="s">
        <v>35</v>
      </c>
      <c r="I2044" s="13" t="str">
        <f aca="false">IF(C2044=J2044,"NEW KONTRAK","RE-KONTRAK")</f>
        <v>NEW KONTRAK</v>
      </c>
      <c r="J2044" s="16" t="n">
        <f aca="false" t="array" ref="J2044:J2044">IFERROR(INDEX(AC2044:AE2044,IF(COUNTA(AC2044:AE2044)=0,"",MAX((AC2044:AE2044&lt;&gt;"")*(COLUMN(AC2044:AE2044)-(COLUMN(AC2044)))))-1),"")</f>
        <v>45754</v>
      </c>
      <c r="K2044" s="16" t="n">
        <f aca="false" t="array" ref="K2044:K2044">IFERROR(INDEX(AC2044:AE2044,IF(COUNTA(AC2044:AE2044)=0,"",MAX((AC2044:AE2044&lt;&gt;"")*(COLUMN(AC2044:AE2044)-(COLUMN(AC2044)-1))))-1),"")</f>
        <v>46022</v>
      </c>
      <c r="L2044" s="17" t="str">
        <f aca="false" t="array" ref="L2044:L2044">IFERROR(INDEX(AC2044:AE2044,IF(COUNTA(AC2044:AE2044)=0,"",MAX((AC2044:AE2044&lt;&gt;"")*(COLUMN(AC2044:AE2044)-(COLUMN(AC2044)-2))))-1),"")</f>
        <v>ARCHIVED</v>
      </c>
      <c r="M2044" s="13" t="n">
        <f aca="true">K2044-TODAY()</f>
        <v>-302</v>
      </c>
      <c r="N2044" s="18" t="s">
        <v>36</v>
      </c>
      <c r="O2044" s="13" t="s">
        <v>8821</v>
      </c>
      <c r="P2044" s="19" t="n">
        <v>5195401</v>
      </c>
      <c r="Q2044" s="20" t="s">
        <v>8822</v>
      </c>
      <c r="R2044" s="13" t="s">
        <v>65</v>
      </c>
      <c r="S2044" s="16" t="n">
        <v>33516</v>
      </c>
      <c r="T2044" s="13" t="s">
        <v>40</v>
      </c>
      <c r="U2044" s="13" t="s">
        <v>8823</v>
      </c>
      <c r="V2044" s="13" t="s">
        <v>42</v>
      </c>
      <c r="W2044" s="13" t="s">
        <v>54</v>
      </c>
      <c r="X2044" s="21" t="n">
        <v>85721745740</v>
      </c>
      <c r="Y2044" s="22" t="str">
        <f aca="false">O2044</f>
        <v>Koordinator Picker</v>
      </c>
      <c r="Z2044" s="13" t="str">
        <f aca="false">IFERROR(__xludf.dummyfunction("if(BJ2044="""","""",GOOGLETRANSLATE(BJ2044,""auto"",""en""))"),"Koordinator Picker")</f>
        <v>Koordinator Picker</v>
      </c>
      <c r="AA2044" s="23" t="str">
        <f aca="false">IF(C2044="","", CHOOSE(MONTH(C2044),"January","February","March","April","May","June","July","August","September","October","November","December")&amp;" "&amp;DAY(C2044)&amp;MID("thstndrdth",MIN(9,2*RIGHT(DAY(C2044))*(MOD(DAY(C2044)-11,100)&gt;2)+1),2)&amp;","&amp;TEXT(C2044," yyyy"))</f>
        <v>April 7th,2025</v>
      </c>
      <c r="AB2044" s="15" t="str">
        <f aca="true">IF(S2044="","",DATEDIF(S2044,TODAY(),"Y")&amp;" Tahun, "&amp;DATEDIF(S2044,TODAY(),"YM")&amp;" Bulan, "&amp;DATEDIF(S2044,TODAY(),"MD")&amp;" Hari")</f>
        <v>35 Tahun, 0 Bulan, 24 Hari</v>
      </c>
      <c r="AC2044" s="18" t="n">
        <v>45754</v>
      </c>
      <c r="AD2044" s="18" t="n">
        <v>46022</v>
      </c>
      <c r="AE2044" s="18" t="s">
        <v>44</v>
      </c>
    </row>
    <row r="2045" customFormat="false" ht="15" hidden="false" customHeight="true" outlineLevel="0" collapsed="false">
      <c r="A2045" s="12" t="n">
        <v>19158</v>
      </c>
      <c r="B2045" s="13" t="s">
        <v>8824</v>
      </c>
      <c r="C2045" s="16" t="n">
        <v>45754</v>
      </c>
      <c r="D2045" s="13" t="s">
        <v>144</v>
      </c>
      <c r="E2045" s="15" t="s">
        <v>47</v>
      </c>
      <c r="F2045" s="15" t="str">
        <f aca="false">IFERROR(__xludf.dummyfunction("XLOOKUP(AJ2045,IMPORTRANGE(""1XaInW9DU9nz21V0tYIfzFQ0He9kVQ_JF2mCXgZ3hqFA"",""REKAP ALL 2026 - Andika!G:G""),IMPORTRANGE(""1XaInW9DU9nz21V0tYIfzFQ0He9kVQ_JF2mCXgZ3hqFA"",""REKAP ALL 2026 - Andika!F:F""),"""",0)"),"25047636631")</f>
        <v>25047636631</v>
      </c>
      <c r="G2045" s="13" t="s">
        <v>1127</v>
      </c>
      <c r="H2045" s="13" t="s">
        <v>35</v>
      </c>
      <c r="I2045" s="13" t="str">
        <f aca="false">IF(C2045=J2045,"NEW KONTRAK","RE-KONTRAK")</f>
        <v>NEW KONTRAK</v>
      </c>
      <c r="J2045" s="16" t="n">
        <f aca="false" t="array" ref="J2045:J2045">IFERROR(INDEX(AC2045:AE2045,IF(COUNTA(AC2045:AE2045)=0,"",MAX((AC2045:AE2045&lt;&gt;"")*(COLUMN(AC2045:AE2045)-(COLUMN(AC2045)))))-1),"")</f>
        <v>45754</v>
      </c>
      <c r="K2045" s="16" t="n">
        <f aca="false" t="array" ref="K2045:K2045">IFERROR(INDEX(AC2045:AE2045,IF(COUNTA(AC2045:AE2045)=0,"",MAX((AC2045:AE2045&lt;&gt;"")*(COLUMN(AC2045:AE2045)-(COLUMN(AC2045)-1))))-1),"")</f>
        <v>46022</v>
      </c>
      <c r="L2045" s="17" t="str">
        <f aca="false" t="array" ref="L2045:L2045">IFERROR(INDEX(AC2045:AE2045,IF(COUNTA(AC2045:AE2045)=0,"",MAX((AC2045:AE2045&lt;&gt;"")*(COLUMN(AC2045:AE2045)-(COLUMN(AC2045)-2))))-1),"")</f>
        <v>ARCHIVED</v>
      </c>
      <c r="M2045" s="13" t="n">
        <f aca="true">K2045-TODAY()</f>
        <v>-302</v>
      </c>
      <c r="N2045" s="18" t="s">
        <v>36</v>
      </c>
      <c r="O2045" s="13" t="s">
        <v>5444</v>
      </c>
      <c r="P2045" s="19" t="n">
        <v>5195401</v>
      </c>
      <c r="Q2045" s="20" t="s">
        <v>8825</v>
      </c>
      <c r="R2045" s="13" t="s">
        <v>65</v>
      </c>
      <c r="S2045" s="16" t="n">
        <v>33768</v>
      </c>
      <c r="T2045" s="13" t="s">
        <v>40</v>
      </c>
      <c r="U2045" s="13" t="s">
        <v>8826</v>
      </c>
      <c r="V2045" s="13" t="s">
        <v>42</v>
      </c>
      <c r="W2045" s="13" t="s">
        <v>54</v>
      </c>
      <c r="X2045" s="21" t="n">
        <v>81332875732</v>
      </c>
      <c r="Y2045" s="22" t="str">
        <f aca="false">O2045</f>
        <v>Operator Produksi</v>
      </c>
      <c r="Z2045" s="13" t="str">
        <f aca="false">IFERROR(__xludf.dummyfunction("if(BJ2045="""","""",GOOGLETRANSLATE(BJ2045,""auto"",""en""))"),"Production operator")</f>
        <v>Production operator</v>
      </c>
      <c r="AA2045" s="23" t="str">
        <f aca="false">IF(C2045="","", CHOOSE(MONTH(C2045),"January","February","March","April","May","June","July","August","September","October","November","December")&amp;" "&amp;DAY(C2045)&amp;MID("thstndrdth",MIN(9,2*RIGHT(DAY(C2045))*(MOD(DAY(C2045)-11,100)&gt;2)+1),2)&amp;","&amp;TEXT(C2045," yyyy"))</f>
        <v>April 7th,2025</v>
      </c>
      <c r="AB2045" s="15" t="str">
        <f aca="true">IF(S2045="","",DATEDIF(S2045,TODAY(),"Y")&amp;" Tahun, "&amp;DATEDIF(S2045,TODAY(),"YM")&amp;" Bulan, "&amp;DATEDIF(S2045,TODAY(),"MD")&amp;" Hari")</f>
        <v>34 Tahun, 4 Bulan, 16 Hari</v>
      </c>
      <c r="AC2045" s="18" t="n">
        <v>45754</v>
      </c>
      <c r="AD2045" s="18" t="n">
        <v>46022</v>
      </c>
      <c r="AE2045" s="18" t="s">
        <v>44</v>
      </c>
    </row>
    <row r="2046" customFormat="false" ht="15" hidden="false" customHeight="true" outlineLevel="0" collapsed="false">
      <c r="A2046" s="12" t="n">
        <v>19160</v>
      </c>
      <c r="B2046" s="13" t="s">
        <v>8827</v>
      </c>
      <c r="C2046" s="16" t="n">
        <v>45754</v>
      </c>
      <c r="D2046" s="13" t="s">
        <v>144</v>
      </c>
      <c r="E2046" s="15" t="s">
        <v>47</v>
      </c>
      <c r="F2046" s="15" t="str">
        <f aca="false">IFERROR(__xludf.dummyfunction("XLOOKUP(AJ2046,IMPORTRANGE(""1XaInW9DU9nz21V0tYIfzFQ0He9kVQ_JF2mCXgZ3hqFA"",""REKAP ALL 2026 - Andika!G:G""),IMPORTRANGE(""1XaInW9DU9nz21V0tYIfzFQ0He9kVQ_JF2mCXgZ3hqFA"",""REKAP ALL 2026 - Andika!F:F""),"""",0)"),"25047636656")</f>
        <v>25047636656</v>
      </c>
      <c r="G2046" s="13" t="s">
        <v>8828</v>
      </c>
      <c r="H2046" s="13" t="s">
        <v>35</v>
      </c>
      <c r="I2046" s="13" t="str">
        <f aca="false">IF(C2046=J2046,"NEW KONTRAK","RE-KONTRAK")</f>
        <v>NEW KONTRAK</v>
      </c>
      <c r="J2046" s="16" t="n">
        <f aca="false" t="array" ref="J2046:J2046">IFERROR(INDEX(AC2046:AE2046,IF(COUNTA(AC2046:AE2046)=0,"",MAX((AC2046:AE2046&lt;&gt;"")*(COLUMN(AC2046:AE2046)-(COLUMN(AC2046)))))-1),"")</f>
        <v>45754</v>
      </c>
      <c r="K2046" s="16" t="n">
        <f aca="false" t="array" ref="K2046:K2046">IFERROR(INDEX(AC2046:AE2046,IF(COUNTA(AC2046:AE2046)=0,"",MAX((AC2046:AE2046&lt;&gt;"")*(COLUMN(AC2046:AE2046)-(COLUMN(AC2046)-1))))-1),"")</f>
        <v>46022</v>
      </c>
      <c r="L2046" s="17" t="str">
        <f aca="false" t="array" ref="L2046:L2046">IFERROR(INDEX(AC2046:AE2046,IF(COUNTA(AC2046:AE2046)=0,"",MAX((AC2046:AE2046&lt;&gt;"")*(COLUMN(AC2046:AE2046)-(COLUMN(AC2046)-2))))-1),"")</f>
        <v>ARCHIVED</v>
      </c>
      <c r="M2046" s="13" t="n">
        <f aca="true">K2046-TODAY()</f>
        <v>-302</v>
      </c>
      <c r="N2046" s="18" t="s">
        <v>36</v>
      </c>
      <c r="O2046" s="13" t="s">
        <v>8192</v>
      </c>
      <c r="P2046" s="19" t="n">
        <v>5195401</v>
      </c>
      <c r="Q2046" s="20" t="s">
        <v>8829</v>
      </c>
      <c r="R2046" s="13" t="s">
        <v>52</v>
      </c>
      <c r="S2046" s="16" t="n">
        <v>35975</v>
      </c>
      <c r="T2046" s="13" t="s">
        <v>40</v>
      </c>
      <c r="U2046" s="13" t="s">
        <v>8830</v>
      </c>
      <c r="V2046" s="13" t="s">
        <v>42</v>
      </c>
      <c r="W2046" s="13" t="s">
        <v>43</v>
      </c>
      <c r="X2046" s="21" t="n">
        <v>82257550895</v>
      </c>
      <c r="Y2046" s="22" t="str">
        <f aca="false">O2046</f>
        <v>Admin Produksi</v>
      </c>
      <c r="Z2046" s="13" t="str">
        <f aca="false">IFERROR(__xludf.dummyfunction("if(BJ2046="""","""",GOOGLETRANSLATE(BJ2046,""auto"",""en""))"),"Production Admin")</f>
        <v>Production Admin</v>
      </c>
      <c r="AA2046" s="23" t="str">
        <f aca="false">IF(C2046="","", CHOOSE(MONTH(C2046),"January","February","March","April","May","June","July","August","September","October","November","December")&amp;" "&amp;DAY(C2046)&amp;MID("thstndrdth",MIN(9,2*RIGHT(DAY(C2046))*(MOD(DAY(C2046)-11,100)&gt;2)+1),2)&amp;","&amp;TEXT(C2046," yyyy"))</f>
        <v>April 7th,2025</v>
      </c>
      <c r="AB2046" s="15" t="str">
        <f aca="true">IF(S2046="","",DATEDIF(S2046,TODAY(),"Y")&amp;" Tahun, "&amp;DATEDIF(S2046,TODAY(),"YM")&amp;" Bulan, "&amp;DATEDIF(S2046,TODAY(),"MD")&amp;" Hari")</f>
        <v>28 Tahun, 4 Bulan, 0 Hari</v>
      </c>
      <c r="AC2046" s="18" t="n">
        <v>45754</v>
      </c>
      <c r="AD2046" s="18" t="n">
        <v>46022</v>
      </c>
      <c r="AE2046" s="18" t="s">
        <v>44</v>
      </c>
    </row>
    <row r="2047" customFormat="false" ht="15" hidden="false" customHeight="true" outlineLevel="0" collapsed="false">
      <c r="A2047" s="12" t="n">
        <v>19159</v>
      </c>
      <c r="B2047" s="13" t="s">
        <v>8831</v>
      </c>
      <c r="C2047" s="16" t="n">
        <v>45754</v>
      </c>
      <c r="D2047" s="13" t="s">
        <v>144</v>
      </c>
      <c r="E2047" s="15" t="s">
        <v>33</v>
      </c>
      <c r="F2047" s="24" t="s">
        <v>8832</v>
      </c>
      <c r="G2047" s="13" t="s">
        <v>8833</v>
      </c>
      <c r="H2047" s="13" t="s">
        <v>35</v>
      </c>
      <c r="I2047" s="13" t="str">
        <f aca="false">IF(C2047=J2047,"NEW KONTRAK","RE-KONTRAK")</f>
        <v>NEW KONTRAK</v>
      </c>
      <c r="J2047" s="16" t="n">
        <f aca="false" t="array" ref="J2047:J2047">IFERROR(INDEX(AC2047:AE2047,IF(COUNTA(AC2047:AE2047)=0,"",MAX((AC2047:AE2047&lt;&gt;"")*(COLUMN(AC2047:AE2047)-(COLUMN(AC2047)))))-1),"")</f>
        <v>45754</v>
      </c>
      <c r="K2047" s="16" t="n">
        <f aca="false" t="array" ref="K2047:K2047">IFERROR(INDEX(AC2047:AE2047,IF(COUNTA(AC2047:AE2047)=0,"",MAX((AC2047:AE2047&lt;&gt;"")*(COLUMN(AC2047:AE2047)-(COLUMN(AC2047)-1))))-1),"")</f>
        <v>46022</v>
      </c>
      <c r="L2047" s="17" t="str">
        <f aca="false" t="array" ref="L2047:L2047">IFERROR(INDEX(AC2047:AE2047,IF(COUNTA(AC2047:AE2047)=0,"",MAX((AC2047:AE2047&lt;&gt;"")*(COLUMN(AC2047:AE2047)-(COLUMN(AC2047)-2))))-1),"")</f>
        <v>ARCHIVED</v>
      </c>
      <c r="M2047" s="13" t="n">
        <f aca="true">K2047-TODAY()</f>
        <v>-302</v>
      </c>
      <c r="N2047" s="18" t="s">
        <v>36</v>
      </c>
      <c r="O2047" s="13" t="s">
        <v>76</v>
      </c>
      <c r="P2047" s="19" t="n">
        <v>5195401</v>
      </c>
      <c r="Q2047" s="20" t="s">
        <v>8834</v>
      </c>
      <c r="R2047" s="13" t="s">
        <v>232</v>
      </c>
      <c r="S2047" s="16" t="n">
        <v>37551</v>
      </c>
      <c r="T2047" s="13" t="s">
        <v>40</v>
      </c>
      <c r="U2047" s="13" t="s">
        <v>8835</v>
      </c>
      <c r="V2047" s="13" t="s">
        <v>42</v>
      </c>
      <c r="W2047" s="13" t="s">
        <v>43</v>
      </c>
      <c r="X2047" s="21" t="n">
        <v>85790806634</v>
      </c>
      <c r="Y2047" s="22" t="str">
        <f aca="false">O2047</f>
        <v>Operator Forklift</v>
      </c>
      <c r="Z2047" s="13" t="str">
        <f aca="false">IFERROR(__xludf.dummyfunction("if(BJ2047="""","""",GOOGLETRANSLATE(BJ2047,""auto"",""en""))"),"Operator Forklift")</f>
        <v>Operator Forklift</v>
      </c>
      <c r="AA2047" s="23" t="str">
        <f aca="false">IF(C2047="","", CHOOSE(MONTH(C2047),"January","February","March","April","May","June","July","August","September","October","November","December")&amp;" "&amp;DAY(C2047)&amp;MID("thstndrdth",MIN(9,2*RIGHT(DAY(C2047))*(MOD(DAY(C2047)-11,100)&gt;2)+1),2)&amp;","&amp;TEXT(C2047," yyyy"))</f>
        <v>April 7th,2025</v>
      </c>
      <c r="AB2047" s="15" t="str">
        <f aca="true">IF(S2047="","",DATEDIF(S2047,TODAY(),"Y")&amp;" Tahun, "&amp;DATEDIF(S2047,TODAY(),"YM")&amp;" Bulan, "&amp;DATEDIF(S2047,TODAY(),"MD")&amp;" Hari")</f>
        <v>24 Tahun, 0 Bulan, 7 Hari</v>
      </c>
      <c r="AC2047" s="18" t="n">
        <v>45754</v>
      </c>
      <c r="AD2047" s="18" t="n">
        <v>46022</v>
      </c>
      <c r="AE2047" s="18" t="s">
        <v>44</v>
      </c>
    </row>
    <row r="2048" customFormat="false" ht="15" hidden="false" customHeight="true" outlineLevel="0" collapsed="false">
      <c r="A2048" s="12" t="n">
        <v>19170</v>
      </c>
      <c r="B2048" s="13" t="s">
        <v>8836</v>
      </c>
      <c r="C2048" s="16" t="n">
        <v>45755</v>
      </c>
      <c r="D2048" s="13" t="s">
        <v>1338</v>
      </c>
      <c r="E2048" s="15" t="s">
        <v>47</v>
      </c>
      <c r="F2048" s="15" t="str">
        <f aca="false">IFERROR(__xludf.dummyfunction("XLOOKUP(AJ2048,IMPORTRANGE(""1XaInW9DU9nz21V0tYIfzFQ0He9kVQ_JF2mCXgZ3hqFA"",""REKAP ALL 2026 - Andika!G:G""),IMPORTRANGE(""1XaInW9DU9nz21V0tYIfzFQ0He9kVQ_JF2mCXgZ3hqFA"",""REKAP ALL 2026 - Andika!F:F""),"""",0)"),"25047635542")</f>
        <v>25047635542</v>
      </c>
      <c r="G2048" s="13" t="s">
        <v>57</v>
      </c>
      <c r="H2048" s="13" t="s">
        <v>2334</v>
      </c>
      <c r="I2048" s="13" t="str">
        <f aca="false">IF(C2048=J2048,"NEW KONTRAK","RE-KONTRAK")</f>
        <v>RE-KONTRAK</v>
      </c>
      <c r="J2048" s="16" t="n">
        <f aca="false" t="array" ref="J2048:J2048">IFERROR(INDEX(AC2048:AE2048,IF(COUNTA(AC2048:AE2048)=0,"",MAX((AC2048:AE2048&lt;&gt;"")*(COLUMN(AC2048:AE2048)-(COLUMN(AC2048)))))-1),"")</f>
        <v>45844</v>
      </c>
      <c r="K2048" s="16" t="n">
        <f aca="false" t="array" ref="K2048:K2048">IFERROR(INDEX(AC2048:AE2048,IF(COUNTA(AC2048:AE2048)=0,"",MAX((AC2048:AE2048&lt;&gt;"")*(COLUMN(AC2048:AE2048)-(COLUMN(AC2048)-1))))-1),"")</f>
        <v>45928</v>
      </c>
      <c r="L2048" s="17" t="str">
        <f aca="false" t="array" ref="L2048:L2048">IFERROR(INDEX(AC2048:AE2048,IF(COUNTA(AC2048:AE2048)=0,"",MAX((AC2048:AE2048&lt;&gt;"")*(COLUMN(AC2048:AE2048)-(COLUMN(AC2048)-2))))-1),"")</f>
        <v>KEMBALI</v>
      </c>
      <c r="M2048" s="13" t="n">
        <f aca="true">K2048-TODAY()</f>
        <v>-396</v>
      </c>
      <c r="N2048" s="18" t="s">
        <v>615</v>
      </c>
      <c r="O2048" s="13" t="s">
        <v>2335</v>
      </c>
      <c r="P2048" s="19" t="n">
        <v>160000</v>
      </c>
      <c r="Q2048" s="20" t="s">
        <v>8837</v>
      </c>
      <c r="R2048" s="13" t="s">
        <v>39</v>
      </c>
      <c r="S2048" s="16" t="n">
        <v>34932</v>
      </c>
      <c r="T2048" s="28" t="s">
        <v>40</v>
      </c>
      <c r="U2048" s="13" t="s">
        <v>8838</v>
      </c>
      <c r="V2048" s="13" t="s">
        <v>42</v>
      </c>
      <c r="W2048" s="13" t="s">
        <v>43</v>
      </c>
      <c r="X2048" s="21" t="n">
        <v>882009138877</v>
      </c>
      <c r="Y2048" s="22" t="str">
        <f aca="false">O2048</f>
        <v>Project Management</v>
      </c>
      <c r="Z2048" s="13" t="str">
        <f aca="false">IFERROR(__xludf.dummyfunction("if(BJ2048="""","""",GOOGLETRANSLATE(BJ2048,""auto"",""en""))"),"Project Management")</f>
        <v>Project Management</v>
      </c>
      <c r="AA2048" s="23" t="str">
        <f aca="false">IF(C2048="","", CHOOSE(MONTH(C2048),"January","February","March","April","May","June","July","August","September","October","November","December")&amp;" "&amp;DAY(C2048)&amp;MID("thstndrdth",MIN(9,2*RIGHT(DAY(C2048))*(MOD(DAY(C2048)-11,100)&gt;2)+1),2)&amp;","&amp;TEXT(C2048," yyyy"))</f>
        <v>April 8th,2025</v>
      </c>
      <c r="AB2048" s="15" t="str">
        <f aca="true">IF(S2048="","",DATEDIF(S2048,TODAY(),"Y")&amp;" Tahun, "&amp;DATEDIF(S2048,TODAY(),"YM")&amp;" Bulan, "&amp;DATEDIF(S2048,TODAY(),"MD")&amp;" Hari")</f>
        <v>31 Tahun, 2 Bulan, 8 Hari</v>
      </c>
      <c r="AC2048" s="18" t="n">
        <v>45844</v>
      </c>
      <c r="AD2048" s="18" t="n">
        <v>45928</v>
      </c>
      <c r="AE2048" s="13" t="s">
        <v>397</v>
      </c>
    </row>
    <row r="2049" customFormat="false" ht="15" hidden="false" customHeight="true" outlineLevel="0" collapsed="false">
      <c r="A2049" s="12" t="n">
        <v>19161</v>
      </c>
      <c r="B2049" s="13" t="s">
        <v>8839</v>
      </c>
      <c r="C2049" s="16" t="n">
        <v>45742</v>
      </c>
      <c r="D2049" s="13" t="s">
        <v>5030</v>
      </c>
      <c r="E2049" s="15" t="s">
        <v>33</v>
      </c>
      <c r="F2049" s="24" t="s">
        <v>8840</v>
      </c>
      <c r="G2049" s="13" t="s">
        <v>8841</v>
      </c>
      <c r="H2049" s="13" t="s">
        <v>35</v>
      </c>
      <c r="I2049" s="13" t="str">
        <f aca="false">IF(C2049=J2049,"NEW KONTRAK","RE-KONTRAK")</f>
        <v>NEW KONTRAK</v>
      </c>
      <c r="J2049" s="16" t="n">
        <f aca="false" t="array" ref="J2049:J2049">IFERROR(INDEX(AC2049:AE2049,IF(COUNTA(AC2049:AE2049)=0,"",MAX((AC2049:AE2049&lt;&gt;"")*(COLUMN(AC2049:AE2049)-(COLUMN(AC2049)))))-1),"")</f>
        <v>45742</v>
      </c>
      <c r="K2049" s="16" t="n">
        <f aca="false" t="array" ref="K2049:K2049">IFERROR(INDEX(AC2049:AE2049,IF(COUNTA(AC2049:AE2049)=0,"",MAX((AC2049:AE2049&lt;&gt;"")*(COLUMN(AC2049:AE2049)-(COLUMN(AC2049)-1))))-1),"")</f>
        <v>45869</v>
      </c>
      <c r="L2049" s="17" t="str">
        <f aca="false" t="array" ref="L2049:L2049">IFERROR(INDEX(AC2049:AE2049,IF(COUNTA(AC2049:AE2049)=0,"",MAX((AC2049:AE2049&lt;&gt;"")*(COLUMN(AC2049:AE2049)-(COLUMN(AC2049)-2))))-1),"")</f>
        <v>ARCHIVED</v>
      </c>
      <c r="M2049" s="13" t="n">
        <f aca="true">K2049-TODAY()</f>
        <v>-455</v>
      </c>
      <c r="N2049" s="18" t="s">
        <v>728</v>
      </c>
      <c r="O2049" s="13" t="s">
        <v>5032</v>
      </c>
      <c r="P2049" s="27" t="n">
        <v>5195401</v>
      </c>
      <c r="Q2049" s="20" t="s">
        <v>8842</v>
      </c>
      <c r="R2049" s="13" t="s">
        <v>148</v>
      </c>
      <c r="S2049" s="16" t="n">
        <v>35874</v>
      </c>
      <c r="T2049" s="13" t="s">
        <v>40</v>
      </c>
      <c r="U2049" s="13" t="s">
        <v>8843</v>
      </c>
      <c r="V2049" s="13" t="s">
        <v>42</v>
      </c>
      <c r="W2049" s="13" t="s">
        <v>43</v>
      </c>
      <c r="X2049" s="30" t="n">
        <v>85214737996</v>
      </c>
      <c r="Y2049" s="22" t="str">
        <f aca="false">O2049</f>
        <v>Operator Genset</v>
      </c>
      <c r="Z2049" s="13" t="str">
        <f aca="false">IFERROR(__xludf.dummyfunction("if(BJ2049="""","""",GOOGLETRANSLATE(BJ2049,""auto"",""en""))"),"Generator Operator")</f>
        <v>Generator Operator</v>
      </c>
      <c r="AA2049" s="23" t="str">
        <f aca="false">IF(C2049="","", CHOOSE(MONTH(C2049),"January","February","March","April","May","June","July","August","September","October","November","December")&amp;" "&amp;DAY(C2049)&amp;MID("thstndrdth",MIN(9,2*RIGHT(DAY(C2049))*(MOD(DAY(C2049)-11,100)&gt;2)+1),2)&amp;","&amp;TEXT(C2049," yyyy"))</f>
        <v>March 26th,2025</v>
      </c>
      <c r="AB2049" s="15" t="str">
        <f aca="true">IF(S2049="","",DATEDIF(S2049,TODAY(),"Y")&amp;" Tahun, "&amp;DATEDIF(S2049,TODAY(),"YM")&amp;" Bulan, "&amp;DATEDIF(S2049,TODAY(),"MD")&amp;" Hari")</f>
        <v>28 Tahun, 7 Bulan, 9 Hari</v>
      </c>
      <c r="AC2049" s="18" t="n">
        <v>45742</v>
      </c>
      <c r="AD2049" s="18" t="n">
        <v>45869</v>
      </c>
      <c r="AE2049" s="18" t="s">
        <v>44</v>
      </c>
    </row>
    <row r="2050" customFormat="false" ht="15" hidden="false" customHeight="true" outlineLevel="0" collapsed="false">
      <c r="A2050" s="12" t="n">
        <v>19166</v>
      </c>
      <c r="B2050" s="13" t="s">
        <v>8844</v>
      </c>
      <c r="C2050" s="16" t="n">
        <v>45755</v>
      </c>
      <c r="D2050" s="13" t="s">
        <v>1338</v>
      </c>
      <c r="E2050" s="15" t="s">
        <v>33</v>
      </c>
      <c r="F2050" s="24" t="s">
        <v>8845</v>
      </c>
      <c r="G2050" s="15" t="s">
        <v>57</v>
      </c>
      <c r="H2050" s="13" t="s">
        <v>35</v>
      </c>
      <c r="I2050" s="13" t="str">
        <f aca="false">IF(C2050=J2050,"NEW KONTRAK","RE-KONTRAK")</f>
        <v>RE-KONTRAK</v>
      </c>
      <c r="J2050" s="16" t="n">
        <f aca="false" t="array" ref="J2050:J2050">IFERROR(INDEX(AC2050:AE2050,IF(COUNTA(AC2050:AE2050)=0,"",MAX((AC2050:AE2050&lt;&gt;"")*(COLUMN(AC2050:AE2050)-(COLUMN(AC2050)))))-1),"")</f>
        <v>45844</v>
      </c>
      <c r="K2050" s="16" t="n">
        <f aca="false" t="array" ref="K2050:K2050">IFERROR(INDEX(AC2050:AE2050,IF(COUNTA(AC2050:AE2050)=0,"",MAX((AC2050:AE2050&lt;&gt;"")*(COLUMN(AC2050:AE2050)-(COLUMN(AC2050)-1))))-1),"")</f>
        <v>45935</v>
      </c>
      <c r="L2050" s="17" t="str">
        <f aca="false" t="array" ref="L2050:L2050">IFERROR(INDEX(AC2050:AE2050,IF(COUNTA(AC2050:AE2050)=0,"",MAX((AC2050:AE2050&lt;&gt;"")*(COLUMN(AC2050:AE2050)-(COLUMN(AC2050)-2))))-1),"")</f>
        <v>ARCHIVED</v>
      </c>
      <c r="M2050" s="13" t="n">
        <f aca="true">K2050-TODAY()</f>
        <v>-389</v>
      </c>
      <c r="N2050" s="50" t="s">
        <v>615</v>
      </c>
      <c r="O2050" s="13" t="s">
        <v>2335</v>
      </c>
      <c r="P2050" s="19" t="n">
        <v>5500000</v>
      </c>
      <c r="Q2050" s="20" t="s">
        <v>8846</v>
      </c>
      <c r="R2050" s="13" t="s">
        <v>255</v>
      </c>
      <c r="S2050" s="16" t="n">
        <v>33820</v>
      </c>
      <c r="T2050" s="28" t="s">
        <v>40</v>
      </c>
      <c r="U2050" s="13" t="s">
        <v>8847</v>
      </c>
      <c r="V2050" s="13" t="s">
        <v>42</v>
      </c>
      <c r="W2050" s="13" t="s">
        <v>54</v>
      </c>
      <c r="X2050" s="21" t="n">
        <v>895809977557</v>
      </c>
      <c r="Y2050" s="22" t="str">
        <f aca="false">O2050</f>
        <v>Project Management</v>
      </c>
      <c r="Z2050" s="13" t="str">
        <f aca="false">IFERROR(__xludf.dummyfunction("if(BJ2050="""","""",GOOGLETRANSLATE(BJ2050,""auto"",""en""))"),"Project Management")</f>
        <v>Project Management</v>
      </c>
      <c r="AA2050" s="23" t="str">
        <f aca="false">IF(C2050="","", CHOOSE(MONTH(C2050),"January","February","March","April","May","June","July","August","September","October","November","December")&amp;" "&amp;DAY(C2050)&amp;MID("thstndrdth",MIN(9,2*RIGHT(DAY(C2050))*(MOD(DAY(C2050)-11,100)&gt;2)+1),2)&amp;","&amp;TEXT(C2050," yyyy"))</f>
        <v>April 8th,2025</v>
      </c>
      <c r="AB2050" s="15" t="str">
        <f aca="true">IF(S2050="","",DATEDIF(S2050,TODAY(),"Y")&amp;" Tahun, "&amp;DATEDIF(S2050,TODAY(),"YM")&amp;" Bulan, "&amp;DATEDIF(S2050,TODAY(),"MD")&amp;" Hari")</f>
        <v>34 Tahun, 2 Bulan, 25 Hari</v>
      </c>
      <c r="AC2050" s="18" t="n">
        <v>45844</v>
      </c>
      <c r="AD2050" s="18" t="n">
        <v>45935</v>
      </c>
      <c r="AE2050" s="18" t="s">
        <v>44</v>
      </c>
    </row>
    <row r="2051" customFormat="false" ht="15" hidden="false" customHeight="true" outlineLevel="0" collapsed="false">
      <c r="A2051" s="12" t="n">
        <v>19169</v>
      </c>
      <c r="B2051" s="13" t="s">
        <v>8848</v>
      </c>
      <c r="C2051" s="16" t="n">
        <v>45755</v>
      </c>
      <c r="D2051" s="13" t="s">
        <v>1338</v>
      </c>
      <c r="E2051" s="15" t="s">
        <v>33</v>
      </c>
      <c r="F2051" s="24" t="s">
        <v>8849</v>
      </c>
      <c r="G2051" s="13" t="s">
        <v>57</v>
      </c>
      <c r="H2051" s="13" t="s">
        <v>3024</v>
      </c>
      <c r="I2051" s="13" t="str">
        <f aca="false">IF(C2051=J2051,"NEW KONTRAK","RE-KONTRAK")</f>
        <v>NEW KONTRAK</v>
      </c>
      <c r="J2051" s="16" t="n">
        <f aca="false" t="array" ref="J2051:J2051">IFERROR(INDEX(AC2051:AE2051,IF(COUNTA(AC2051:AE2051)=0,"",MAX((AC2051:AE2051&lt;&gt;"")*(COLUMN(AC2051:AE2051)-(COLUMN(AC2051)))))-1),"")</f>
        <v>45755</v>
      </c>
      <c r="K2051" s="16" t="n">
        <f aca="false" t="array" ref="K2051:K2051">IFERROR(INDEX(AC2051:AE2051,IF(COUNTA(AC2051:AE2051)=0,"",MAX((AC2051:AE2051&lt;&gt;"")*(COLUMN(AC2051:AE2051)-(COLUMN(AC2051)-1))))-1),"")</f>
        <v>45844</v>
      </c>
      <c r="L2051" s="17" t="str">
        <f aca="false" t="array" ref="L2051:L2051">IFERROR(INDEX(AC2051:AE2051,IF(COUNTA(AC2051:AE2051)=0,"",MAX((AC2051:AE2051&lt;&gt;"")*(COLUMN(AC2051:AE2051)-(COLUMN(AC2051)-2))))-1),"")</f>
        <v>ARCHIVED</v>
      </c>
      <c r="M2051" s="13" t="n">
        <f aca="true">K2051-TODAY()</f>
        <v>-480</v>
      </c>
      <c r="N2051" s="18" t="s">
        <v>615</v>
      </c>
      <c r="O2051" s="13" t="s">
        <v>2335</v>
      </c>
      <c r="P2051" s="19" t="n">
        <v>160000</v>
      </c>
      <c r="Q2051" s="20" t="s">
        <v>8850</v>
      </c>
      <c r="R2051" s="13" t="s">
        <v>39</v>
      </c>
      <c r="S2051" s="16" t="n">
        <v>33996</v>
      </c>
      <c r="T2051" s="28" t="s">
        <v>40</v>
      </c>
      <c r="U2051" s="13" t="s">
        <v>8851</v>
      </c>
      <c r="V2051" s="13" t="s">
        <v>42</v>
      </c>
      <c r="W2051" s="13" t="s">
        <v>54</v>
      </c>
      <c r="X2051" s="30" t="n">
        <v>85807527354</v>
      </c>
      <c r="Y2051" s="22" t="str">
        <f aca="false">O2051</f>
        <v>Project Management</v>
      </c>
      <c r="Z2051" s="13" t="str">
        <f aca="false">IFERROR(__xludf.dummyfunction("if(BJ2051="""","""",GOOGLETRANSLATE(BJ2051,""auto"",""en""))"),"Project Management")</f>
        <v>Project Management</v>
      </c>
      <c r="AA2051" s="23" t="str">
        <f aca="false">IF(C2051="","", CHOOSE(MONTH(C2051),"January","February","March","April","May","June","July","August","September","October","November","December")&amp;" "&amp;DAY(C2051)&amp;MID("thstndrdth",MIN(9,2*RIGHT(DAY(C2051))*(MOD(DAY(C2051)-11,100)&gt;2)+1),2)&amp;","&amp;TEXT(C2051," yyyy"))</f>
        <v>April 8th,2025</v>
      </c>
      <c r="AB2051" s="15" t="str">
        <f aca="true">IF(S2051="","",DATEDIF(S2051,TODAY(),"Y")&amp;" Tahun, "&amp;DATEDIF(S2051,TODAY(),"YM")&amp;" Bulan, "&amp;DATEDIF(S2051,TODAY(),"MD")&amp;" Hari")</f>
        <v>33 Tahun, 9 Bulan, 2 Hari</v>
      </c>
      <c r="AC2051" s="18" t="n">
        <v>45755</v>
      </c>
      <c r="AD2051" s="18" t="n">
        <v>45844</v>
      </c>
      <c r="AE2051" s="18" t="s">
        <v>44</v>
      </c>
    </row>
    <row r="2052" customFormat="false" ht="15" hidden="false" customHeight="true" outlineLevel="0" collapsed="false">
      <c r="A2052" s="12" t="n">
        <v>19173</v>
      </c>
      <c r="B2052" s="13" t="s">
        <v>8852</v>
      </c>
      <c r="C2052" s="16" t="n">
        <v>45757</v>
      </c>
      <c r="D2052" s="13" t="s">
        <v>1338</v>
      </c>
      <c r="E2052" s="15" t="s">
        <v>47</v>
      </c>
      <c r="F2052" s="15" t="str">
        <f aca="false">IFERROR(__xludf.dummyfunction("XLOOKUP(AJ2052,IMPORTRANGE(""1XaInW9DU9nz21V0tYIfzFQ0He9kVQ_JF2mCXgZ3hqFA"",""REKAP ALL 2026 - Andika!G:G""),IMPORTRANGE(""1XaInW9DU9nz21V0tYIfzFQ0He9kVQ_JF2mCXgZ3hqFA"",""REKAP ALL 2026 - Andika!F:F""),"""",0)"),"25047635575")</f>
        <v>25047635575</v>
      </c>
      <c r="G2052" s="13" t="s">
        <v>57</v>
      </c>
      <c r="H2052" s="13" t="s">
        <v>35</v>
      </c>
      <c r="I2052" s="13" t="str">
        <f aca="false">IF(C2052=J2052,"NEW KONTRAK","RE-KONTRAK")</f>
        <v>RE-KONTRAK</v>
      </c>
      <c r="J2052" s="16" t="n">
        <f aca="false" t="array" ref="J2052:J2052">IFERROR(INDEX(AC2052:AE2052,IF(COUNTA(AC2052:AE2052)=0,"",MAX((AC2052:AE2052&lt;&gt;"")*(COLUMN(AC2052:AE2052)-(COLUMN(AC2052)))))-1),"")</f>
        <v>45844</v>
      </c>
      <c r="K2052" s="16" t="n">
        <f aca="false" t="array" ref="K2052:K2052">IFERROR(INDEX(AC2052:AE2052,IF(COUNTA(AC2052:AE2052)=0,"",MAX((AC2052:AE2052&lt;&gt;"")*(COLUMN(AC2052:AE2052)-(COLUMN(AC2052)-1))))-1),"")</f>
        <v>45935</v>
      </c>
      <c r="L2052" s="17" t="str">
        <f aca="false" t="array" ref="L2052:L2052">IFERROR(INDEX(AC2052:AE2052,IF(COUNTA(AC2052:AE2052)=0,"",MAX((AC2052:AE2052&lt;&gt;"")*(COLUMN(AC2052:AE2052)-(COLUMN(AC2052)-2))))-1),"")</f>
        <v>KEMBALI</v>
      </c>
      <c r="M2052" s="13" t="n">
        <f aca="true">K2052-TODAY()</f>
        <v>-389</v>
      </c>
      <c r="N2052" s="18" t="s">
        <v>615</v>
      </c>
      <c r="O2052" s="13" t="s">
        <v>2335</v>
      </c>
      <c r="P2052" s="19" t="n">
        <v>5176101</v>
      </c>
      <c r="Q2052" s="20" t="s">
        <v>8853</v>
      </c>
      <c r="R2052" s="13" t="s">
        <v>60</v>
      </c>
      <c r="S2052" s="16" t="n">
        <v>36193</v>
      </c>
      <c r="T2052" s="28" t="s">
        <v>40</v>
      </c>
      <c r="U2052" s="13" t="s">
        <v>8854</v>
      </c>
      <c r="V2052" s="13" t="s">
        <v>42</v>
      </c>
      <c r="W2052" s="13" t="s">
        <v>43</v>
      </c>
      <c r="X2052" s="21" t="n">
        <v>82231624308</v>
      </c>
      <c r="Y2052" s="22" t="str">
        <f aca="false">O2052</f>
        <v>Project Management</v>
      </c>
      <c r="Z2052" s="13" t="str">
        <f aca="false">IFERROR(__xludf.dummyfunction("if(BJ2052="""","""",GOOGLETRANSLATE(BJ2052,""auto"",""en""))"),"Project Management")</f>
        <v>Project Management</v>
      </c>
      <c r="AA2052" s="23" t="str">
        <f aca="false">IF(C2052="","", CHOOSE(MONTH(C2052),"January","February","March","April","May","June","July","August","September","October","November","December")&amp;" "&amp;DAY(C2052)&amp;MID("thstndrdth",MIN(9,2*RIGHT(DAY(C2052))*(MOD(DAY(C2052)-11,100)&gt;2)+1),2)&amp;","&amp;TEXT(C2052," yyyy"))</f>
        <v>April 10th,2025</v>
      </c>
      <c r="AB2052" s="15" t="str">
        <f aca="true">IF(S2052="","",DATEDIF(S2052,TODAY(),"Y")&amp;" Tahun, "&amp;DATEDIF(S2052,TODAY(),"YM")&amp;" Bulan, "&amp;DATEDIF(S2052,TODAY(),"MD")&amp;" Hari")</f>
        <v>27 Tahun, 8 Bulan, 27 Hari</v>
      </c>
      <c r="AC2052" s="18" t="n">
        <v>45844</v>
      </c>
      <c r="AD2052" s="18" t="n">
        <v>45935</v>
      </c>
      <c r="AE2052" s="13" t="s">
        <v>397</v>
      </c>
    </row>
    <row r="2053" customFormat="false" ht="15" hidden="false" customHeight="true" outlineLevel="0" collapsed="false">
      <c r="A2053" s="12" t="n">
        <v>19171</v>
      </c>
      <c r="B2053" s="13" t="s">
        <v>8855</v>
      </c>
      <c r="C2053" s="16" t="n">
        <v>45756</v>
      </c>
      <c r="D2053" s="13" t="s">
        <v>1338</v>
      </c>
      <c r="E2053" s="15" t="s">
        <v>33</v>
      </c>
      <c r="F2053" s="24" t="s">
        <v>8856</v>
      </c>
      <c r="G2053" s="13" t="s">
        <v>57</v>
      </c>
      <c r="H2053" s="13" t="s">
        <v>3024</v>
      </c>
      <c r="I2053" s="13" t="str">
        <f aca="false">IF(C2053=J2053,"NEW KONTRAK","RE-KONTRAK")</f>
        <v>NEW KONTRAK</v>
      </c>
      <c r="J2053" s="16" t="n">
        <f aca="false" t="array" ref="J2053:J2053">IFERROR(INDEX(AC2053:AE2053,IF(COUNTA(AC2053:AE2053)=0,"",MAX((AC2053:AE2053&lt;&gt;"")*(COLUMN(AC2053:AE2053)-(COLUMN(AC2053)))))-1),"")</f>
        <v>45756</v>
      </c>
      <c r="K2053" s="16" t="n">
        <f aca="false" t="array" ref="K2053:K2053">IFERROR(INDEX(AC2053:AE2053,IF(COUNTA(AC2053:AE2053)=0,"",MAX((AC2053:AE2053&lt;&gt;"")*(COLUMN(AC2053:AE2053)-(COLUMN(AC2053)-1))))-1),"")</f>
        <v>45844</v>
      </c>
      <c r="L2053" s="17" t="str">
        <f aca="false" t="array" ref="L2053:L2053">IFERROR(INDEX(AC2053:AE2053,IF(COUNTA(AC2053:AE2053)=0,"",MAX((AC2053:AE2053&lt;&gt;"")*(COLUMN(AC2053:AE2053)-(COLUMN(AC2053)-2))))-1),"")</f>
        <v>ARCHIVED</v>
      </c>
      <c r="M2053" s="13" t="n">
        <f aca="true">K2053-TODAY()</f>
        <v>-480</v>
      </c>
      <c r="N2053" s="18" t="s">
        <v>615</v>
      </c>
      <c r="O2053" s="13" t="s">
        <v>2335</v>
      </c>
      <c r="P2053" s="19" t="n">
        <v>160000</v>
      </c>
      <c r="Q2053" s="20" t="s">
        <v>8857</v>
      </c>
      <c r="R2053" s="13" t="s">
        <v>52</v>
      </c>
      <c r="S2053" s="16" t="n">
        <v>25019</v>
      </c>
      <c r="T2053" s="28" t="s">
        <v>40</v>
      </c>
      <c r="U2053" s="13" t="s">
        <v>8858</v>
      </c>
      <c r="V2053" s="13" t="s">
        <v>42</v>
      </c>
      <c r="W2053" s="13" t="s">
        <v>54</v>
      </c>
      <c r="X2053" s="30" t="n">
        <v>85849480831</v>
      </c>
      <c r="Y2053" s="22" t="str">
        <f aca="false">O2053</f>
        <v>Project Management</v>
      </c>
      <c r="Z2053" s="13" t="str">
        <f aca="false">IFERROR(__xludf.dummyfunction("if(BJ2053="""","""",GOOGLETRANSLATE(BJ2053,""auto"",""en""))"),"Project Management")</f>
        <v>Project Management</v>
      </c>
      <c r="AA2053" s="23" t="str">
        <f aca="false">IF(C2053="","", CHOOSE(MONTH(C2053),"January","February","March","April","May","June","July","August","September","October","November","December")&amp;" "&amp;DAY(C2053)&amp;MID("thstndrdth",MIN(9,2*RIGHT(DAY(C2053))*(MOD(DAY(C2053)-11,100)&gt;2)+1),2)&amp;","&amp;TEXT(C2053," yyyy"))</f>
        <v>April 9th,2025</v>
      </c>
      <c r="AB2053" s="15" t="str">
        <f aca="true">IF(S2053="","",DATEDIF(S2053,TODAY(),"Y")&amp;" Tahun, "&amp;DATEDIF(S2053,TODAY(),"YM")&amp;" Bulan, "&amp;DATEDIF(S2053,TODAY(),"MD")&amp;" Hari")</f>
        <v>58 Tahun, 3 Bulan, 29 Hari</v>
      </c>
      <c r="AC2053" s="18" t="n">
        <v>45756</v>
      </c>
      <c r="AD2053" s="18" t="n">
        <v>45844</v>
      </c>
      <c r="AE2053" s="18" t="s">
        <v>44</v>
      </c>
    </row>
    <row r="2054" customFormat="false" ht="15" hidden="false" customHeight="true" outlineLevel="0" collapsed="false">
      <c r="A2054" s="12" t="n">
        <v>19172</v>
      </c>
      <c r="B2054" s="13" t="s">
        <v>8859</v>
      </c>
      <c r="C2054" s="16" t="n">
        <v>45756</v>
      </c>
      <c r="D2054" s="13" t="s">
        <v>1338</v>
      </c>
      <c r="E2054" s="15" t="s">
        <v>102</v>
      </c>
      <c r="F2054" s="24" t="s">
        <v>8860</v>
      </c>
      <c r="G2054" s="13" t="s">
        <v>57</v>
      </c>
      <c r="H2054" s="13" t="s">
        <v>2334</v>
      </c>
      <c r="I2054" s="13" t="str">
        <f aca="false">IF(C2054=J2054,"NEW KONTRAK","RE-KONTRAK")</f>
        <v>RE-KONTRAK</v>
      </c>
      <c r="J2054" s="16" t="n">
        <f aca="false" t="array" ref="J2054:J2054">IFERROR(INDEX(AC2054:AE2054,IF(COUNTA(AC2054:AE2054)=0,"",MAX((AC2054:AE2054&lt;&gt;"")*(COLUMN(AC2054:AE2054)-(COLUMN(AC2054)))))-1),"")</f>
        <v>45844</v>
      </c>
      <c r="K2054" s="16" t="n">
        <f aca="false" t="array" ref="K2054:K2054">IFERROR(INDEX(AC2054:AE2054,IF(COUNTA(AC2054:AE2054)=0,"",MAX((AC2054:AE2054&lt;&gt;"")*(COLUMN(AC2054:AE2054)-(COLUMN(AC2054)-1))))-1),"")</f>
        <v>45928</v>
      </c>
      <c r="L2054" s="17" t="str">
        <f aca="false" t="array" ref="L2054:L2054">IFERROR(INDEX(AC2054:AE2054,IF(COUNTA(AC2054:AE2054)=0,"",MAX((AC2054:AE2054&lt;&gt;"")*(COLUMN(AC2054:AE2054)-(COLUMN(AC2054)-2))))-1),"")</f>
        <v>ARCHIVED</v>
      </c>
      <c r="M2054" s="13" t="n">
        <f aca="true">K2054-TODAY()</f>
        <v>-396</v>
      </c>
      <c r="N2054" s="18" t="s">
        <v>615</v>
      </c>
      <c r="O2054" s="13" t="s">
        <v>2335</v>
      </c>
      <c r="P2054" s="19" t="n">
        <v>160000</v>
      </c>
      <c r="Q2054" s="20" t="s">
        <v>8861</v>
      </c>
      <c r="R2054" s="13" t="s">
        <v>39</v>
      </c>
      <c r="S2054" s="16" t="n">
        <v>32350</v>
      </c>
      <c r="T2054" s="28" t="s">
        <v>40</v>
      </c>
      <c r="U2054" s="13" t="s">
        <v>8862</v>
      </c>
      <c r="V2054" s="13" t="s">
        <v>42</v>
      </c>
      <c r="W2054" s="13" t="s">
        <v>54</v>
      </c>
      <c r="X2054" s="21" t="n">
        <v>82232220262</v>
      </c>
      <c r="Y2054" s="22" t="str">
        <f aca="false">O2054</f>
        <v>Project Management</v>
      </c>
      <c r="Z2054" s="13" t="str">
        <f aca="false">IFERROR(__xludf.dummyfunction("if(BJ2054="""","""",GOOGLETRANSLATE(BJ2054,""auto"",""en""))"),"Project Management")</f>
        <v>Project Management</v>
      </c>
      <c r="AA2054" s="23" t="str">
        <f aca="false">IF(C2054="","", CHOOSE(MONTH(C2054),"January","February","March","April","May","June","July","August","September","October","November","December")&amp;" "&amp;DAY(C2054)&amp;MID("thstndrdth",MIN(9,2*RIGHT(DAY(C2054))*(MOD(DAY(C2054)-11,100)&gt;2)+1),2)&amp;","&amp;TEXT(C2054," yyyy"))</f>
        <v>April 9th,2025</v>
      </c>
      <c r="AB2054" s="15" t="str">
        <f aca="true">IF(S2054="","",DATEDIF(S2054,TODAY(),"Y")&amp;" Tahun, "&amp;DATEDIF(S2054,TODAY(),"YM")&amp;" Bulan, "&amp;DATEDIF(S2054,TODAY(),"MD")&amp;" Hari")</f>
        <v>38 Tahun, 3 Bulan, 3 Hari</v>
      </c>
      <c r="AC2054" s="18" t="n">
        <v>45844</v>
      </c>
      <c r="AD2054" s="18" t="n">
        <v>45928</v>
      </c>
      <c r="AE2054" s="18" t="s">
        <v>44</v>
      </c>
    </row>
    <row r="2055" customFormat="false" ht="15" hidden="false" customHeight="true" outlineLevel="0" collapsed="false">
      <c r="A2055" s="12" t="n">
        <v>19177</v>
      </c>
      <c r="B2055" s="13" t="s">
        <v>8863</v>
      </c>
      <c r="C2055" s="16" t="n">
        <v>45714</v>
      </c>
      <c r="D2055" s="13" t="s">
        <v>8864</v>
      </c>
      <c r="E2055" s="15" t="s">
        <v>47</v>
      </c>
      <c r="F2055" s="15" t="str">
        <f aca="false">IFERROR(__xludf.dummyfunction("XLOOKUP(AJ2055,IMPORTRANGE(""1XaInW9DU9nz21V0tYIfzFQ0He9kVQ_JF2mCXgZ3hqFA"",""REKAP ALL 2026 - Andika!G:G""),IMPORTRANGE(""1XaInW9DU9nz21V0tYIfzFQ0He9kVQ_JF2mCXgZ3hqFA"",""REKAP ALL 2026 - Andika!F:F""),"""",0)"),"25047636060")</f>
        <v>25047636060</v>
      </c>
      <c r="G2055" s="13" t="s">
        <v>57</v>
      </c>
      <c r="H2055" s="13" t="s">
        <v>35</v>
      </c>
      <c r="I2055" s="13" t="str">
        <f aca="false">IF(C2055=J2055,"NEW KONTRAK","RE-KONTRAK")</f>
        <v>NEW KONTRAK</v>
      </c>
      <c r="J2055" s="16" t="n">
        <f aca="false" t="array" ref="J2055:J2055">IFERROR(INDEX(AC2055:AE2055,IF(COUNTA(AC2055:AE2055)=0,"",MAX((AC2055:AE2055&lt;&gt;"")*(COLUMN(AC2055:AE2055)-(COLUMN(AC2055)))))-1),"")</f>
        <v>45714</v>
      </c>
      <c r="K2055" s="16" t="n">
        <f aca="false" t="array" ref="K2055:K2055">IFERROR(INDEX(AC2055:AE2055,IF(COUNTA(AC2055:AE2055)=0,"",MAX((AC2055:AE2055&lt;&gt;"")*(COLUMN(AC2055:AE2055)-(COLUMN(AC2055)-1))))-1),"")</f>
        <v>46078</v>
      </c>
      <c r="L2055" s="17" t="str">
        <f aca="false" t="array" ref="L2055:L2055">IFERROR(INDEX(AC2055:AE2055,IF(COUNTA(AC2055:AE2055)=0,"",MAX((AC2055:AE2055&lt;&gt;"")*(COLUMN(AC2055:AE2055)-(COLUMN(AC2055)-2))))-1),"")</f>
        <v>ARCHIVED</v>
      </c>
      <c r="M2055" s="13" t="n">
        <f aca="true">K2055-TODAY()</f>
        <v>-246</v>
      </c>
      <c r="N2055" s="18" t="s">
        <v>105</v>
      </c>
      <c r="O2055" s="13" t="s">
        <v>8865</v>
      </c>
      <c r="P2055" s="19" t="n">
        <v>2640000</v>
      </c>
      <c r="Q2055" s="20" t="s">
        <v>8866</v>
      </c>
      <c r="R2055" s="13" t="s">
        <v>39</v>
      </c>
      <c r="S2055" s="16" t="n">
        <v>36683</v>
      </c>
      <c r="T2055" s="13" t="s">
        <v>40</v>
      </c>
      <c r="U2055" s="13" t="s">
        <v>8867</v>
      </c>
      <c r="V2055" s="13" t="s">
        <v>42</v>
      </c>
      <c r="W2055" s="13" t="s">
        <v>43</v>
      </c>
      <c r="X2055" s="21" t="n">
        <v>85964240568</v>
      </c>
      <c r="Y2055" s="22" t="str">
        <f aca="false">O2055</f>
        <v>Cleaning Service Leader</v>
      </c>
      <c r="Z2055" s="13" t="str">
        <f aca="false">IFERROR(__xludf.dummyfunction("if(BJ2055="""","""",GOOGLETRANSLATE(BJ2055,""auto"",""en""))"),"Cleaning Service Leader")</f>
        <v>Cleaning Service Leader</v>
      </c>
      <c r="AA2055" s="23" t="str">
        <f aca="false">IF(C2055="","", CHOOSE(MONTH(C2055),"January","February","March","April","May","June","July","August","September","October","November","December")&amp;" "&amp;DAY(C2055)&amp;MID("thstndrdth",MIN(9,2*RIGHT(DAY(C2055))*(MOD(DAY(C2055)-11,100)&gt;2)+1),2)&amp;","&amp;TEXT(C2055," yyyy"))</f>
        <v>February 26th,2025</v>
      </c>
      <c r="AB2055" s="15" t="str">
        <f aca="true">IF(S2055="","",DATEDIF(S2055,TODAY(),"Y")&amp;" Tahun, "&amp;DATEDIF(S2055,TODAY(),"YM")&amp;" Bulan, "&amp;DATEDIF(S2055,TODAY(),"MD")&amp;" Hari")</f>
        <v>26 Tahun, 4 Bulan, 23 Hari</v>
      </c>
      <c r="AC2055" s="18" t="n">
        <v>45714</v>
      </c>
      <c r="AD2055" s="18" t="n">
        <v>46078</v>
      </c>
      <c r="AE2055" s="18" t="s">
        <v>44</v>
      </c>
    </row>
    <row r="2056" customFormat="false" ht="15" hidden="false" customHeight="true" outlineLevel="0" collapsed="false">
      <c r="A2056" s="12" t="n">
        <v>19175</v>
      </c>
      <c r="B2056" s="13" t="s">
        <v>8868</v>
      </c>
      <c r="C2056" s="16" t="n">
        <v>45756</v>
      </c>
      <c r="D2056" s="13" t="s">
        <v>1338</v>
      </c>
      <c r="E2056" s="15" t="s">
        <v>102</v>
      </c>
      <c r="F2056" s="15" t="str">
        <f aca="false">IFERROR(__xludf.dummyfunction("XLOOKUP(AJ2056,IMPORTRANGE(""1XaInW9DU9nz21V0tYIfzFQ0He9kVQ_JF2mCXgZ3hqFA"",""REKAP ALL 2026 - Andika!G:G""),IMPORTRANGE(""1XaInW9DU9nz21V0tYIfzFQ0He9kVQ_JF2mCXgZ3hqFA"",""REKAP ALL 2026 - Andika!F:F""),"""",0)"),"25047635591")</f>
        <v>25047635591</v>
      </c>
      <c r="G2056" s="13" t="s">
        <v>57</v>
      </c>
      <c r="H2056" s="13" t="s">
        <v>35</v>
      </c>
      <c r="I2056" s="13" t="str">
        <f aca="false">IF(C2056=J2056,"NEW KONTRAK","RE-KONTRAK")</f>
        <v>RE-KONTRAK</v>
      </c>
      <c r="J2056" s="16" t="n">
        <f aca="false" t="array" ref="J2056:J2056">IFERROR(INDEX(AC2056:AE2056,IF(COUNTA(AC2056:AE2056)=0,"",MAX((AC2056:AE2056&lt;&gt;"")*(COLUMN(AC2056:AE2056)-(COLUMN(AC2056)))))-1),"")</f>
        <v>45844</v>
      </c>
      <c r="K2056" s="16" t="n">
        <f aca="false" t="array" ref="K2056:K2056">IFERROR(INDEX(AC2056:AE2056,IF(COUNTA(AC2056:AE2056)=0,"",MAX((AC2056:AE2056&lt;&gt;"")*(COLUMN(AC2056:AE2056)-(COLUMN(AC2056)-1))))-1),"")</f>
        <v>45935</v>
      </c>
      <c r="L2056" s="17" t="str">
        <f aca="false" t="array" ref="L2056:L2056">IFERROR(INDEX(AC2056:AE2056,IF(COUNTA(AC2056:AE2056)=0,"",MAX((AC2056:AE2056&lt;&gt;"")*(COLUMN(AC2056:AE2056)-(COLUMN(AC2056)-2))))-1),"")</f>
        <v>ARCHIVED</v>
      </c>
      <c r="M2056" s="13" t="n">
        <f aca="true">K2056-TODAY()</f>
        <v>-389</v>
      </c>
      <c r="N2056" s="50" t="s">
        <v>2434</v>
      </c>
      <c r="O2056" s="13" t="s">
        <v>2384</v>
      </c>
      <c r="P2056" s="19" t="n">
        <v>2827593</v>
      </c>
      <c r="Q2056" s="20" t="s">
        <v>8869</v>
      </c>
      <c r="R2056" s="13" t="s">
        <v>8594</v>
      </c>
      <c r="S2056" s="16" t="n">
        <v>32345</v>
      </c>
      <c r="T2056" s="13" t="s">
        <v>108</v>
      </c>
      <c r="U2056" s="13" t="s">
        <v>8870</v>
      </c>
      <c r="V2056" s="13" t="s">
        <v>42</v>
      </c>
      <c r="W2056" s="13" t="s">
        <v>43</v>
      </c>
      <c r="X2056" s="21" t="n">
        <v>85697400838</v>
      </c>
      <c r="Y2056" s="22" t="str">
        <f aca="false">O2056</f>
        <v>SPG</v>
      </c>
      <c r="Z2056" s="13" t="str">
        <f aca="false">IFERROR(__xludf.dummyfunction("if(BJ2056="""","""",GOOGLETRANSLATE(BJ2056,""auto"",""en""))"),"SPG")</f>
        <v>SPG</v>
      </c>
      <c r="AA2056" s="23" t="str">
        <f aca="false">IF(C2056="","", CHOOSE(MONTH(C2056),"January","February","March","April","May","June","July","August","September","October","November","December")&amp;" "&amp;DAY(C2056)&amp;MID("thstndrdth",MIN(9,2*RIGHT(DAY(C2056))*(MOD(DAY(C2056)-11,100)&gt;2)+1),2)&amp;","&amp;TEXT(C2056," yyyy"))</f>
        <v>April 9th,2025</v>
      </c>
      <c r="AB2056" s="15" t="str">
        <f aca="true">IF(S2056="","",DATEDIF(S2056,TODAY(),"Y")&amp;" Tahun, "&amp;DATEDIF(S2056,TODAY(),"YM")&amp;" Bulan, "&amp;DATEDIF(S2056,TODAY(),"MD")&amp;" Hari")</f>
        <v>38 Tahun, 3 Bulan, 8 Hari</v>
      </c>
      <c r="AC2056" s="18" t="n">
        <v>45844</v>
      </c>
      <c r="AD2056" s="18" t="n">
        <v>45935</v>
      </c>
      <c r="AE2056" s="18" t="s">
        <v>44</v>
      </c>
    </row>
    <row r="2057" customFormat="false" ht="15" hidden="false" customHeight="true" outlineLevel="0" collapsed="false">
      <c r="A2057" s="12" t="n">
        <v>19176</v>
      </c>
      <c r="B2057" s="13" t="s">
        <v>8871</v>
      </c>
      <c r="C2057" s="16" t="n">
        <v>45714</v>
      </c>
      <c r="D2057" s="13" t="s">
        <v>5892</v>
      </c>
      <c r="E2057" s="15" t="s">
        <v>33</v>
      </c>
      <c r="F2057" s="24" t="s">
        <v>8872</v>
      </c>
      <c r="G2057" s="13" t="s">
        <v>57</v>
      </c>
      <c r="H2057" s="13" t="s">
        <v>35</v>
      </c>
      <c r="I2057" s="13" t="str">
        <f aca="false">IF(C2057=J2057,"NEW KONTRAK","RE-KONTRAK")</f>
        <v>NEW KONTRAK</v>
      </c>
      <c r="J2057" s="16" t="n">
        <f aca="false" t="array" ref="J2057:J2057">IFERROR(INDEX(AC2057:AE2057,IF(COUNTA(AC2057:AE2057)=0,"",MAX((AC2057:AE2057&lt;&gt;"")*(COLUMN(AC2057:AE2057)-(COLUMN(AC2057)))))-1),"")</f>
        <v>45714</v>
      </c>
      <c r="K2057" s="16" t="n">
        <f aca="false" t="array" ref="K2057:K2057">IFERROR(INDEX(AC2057:AE2057,IF(COUNTA(AC2057:AE2057)=0,"",MAX((AC2057:AE2057&lt;&gt;"")*(COLUMN(AC2057:AE2057)-(COLUMN(AC2057)-1))))-1),"")</f>
        <v>46078</v>
      </c>
      <c r="L2057" s="17" t="str">
        <f aca="false" t="array" ref="L2057:L2057">IFERROR(INDEX(AC2057:AE2057,IF(COUNTA(AC2057:AE2057)=0,"",MAX((AC2057:AE2057&lt;&gt;"")*(COLUMN(AC2057:AE2057)-(COLUMN(AC2057)-2))))-1),"")</f>
        <v>ARCHIVED</v>
      </c>
      <c r="M2057" s="13" t="n">
        <f aca="true">K2057-TODAY()</f>
        <v>-246</v>
      </c>
      <c r="N2057" s="18" t="s">
        <v>105</v>
      </c>
      <c r="O2057" s="13" t="s">
        <v>8873</v>
      </c>
      <c r="P2057" s="19" t="n">
        <v>3200000</v>
      </c>
      <c r="Q2057" s="20" t="s">
        <v>8874</v>
      </c>
      <c r="R2057" s="13" t="s">
        <v>39</v>
      </c>
      <c r="S2057" s="16" t="n">
        <v>36259</v>
      </c>
      <c r="T2057" s="13" t="s">
        <v>40</v>
      </c>
      <c r="U2057" s="13" t="s">
        <v>8875</v>
      </c>
      <c r="V2057" s="13" t="s">
        <v>42</v>
      </c>
      <c r="W2057" s="13" t="s">
        <v>43</v>
      </c>
      <c r="X2057" s="21" t="n">
        <v>85755829994</v>
      </c>
      <c r="Y2057" s="22" t="str">
        <f aca="false">O2057</f>
        <v>Koordinator Cleaning Service</v>
      </c>
      <c r="Z2057" s="13" t="str">
        <f aca="false">IFERROR(__xludf.dummyfunction("if(BJ2057="""","""",GOOGLETRANSLATE(BJ2057,""auto"",""en""))"),"Koordinator Cleaning Service")</f>
        <v>Koordinator Cleaning Service</v>
      </c>
      <c r="AA2057" s="23" t="str">
        <f aca="false">IF(C2057="","", CHOOSE(MONTH(C2057),"January","February","March","April","May","June","July","August","September","October","November","December")&amp;" "&amp;DAY(C2057)&amp;MID("thstndrdth",MIN(9,2*RIGHT(DAY(C2057))*(MOD(DAY(C2057)-11,100)&gt;2)+1),2)&amp;","&amp;TEXT(C2057," yyyy"))</f>
        <v>February 26th,2025</v>
      </c>
      <c r="AB2057" s="15" t="str">
        <f aca="true">IF(S2057="","",DATEDIF(S2057,TODAY(),"Y")&amp;" Tahun, "&amp;DATEDIF(S2057,TODAY(),"YM")&amp;" Bulan, "&amp;DATEDIF(S2057,TODAY(),"MD")&amp;" Hari")</f>
        <v>27 Tahun, 6 Bulan, 20 Hari</v>
      </c>
      <c r="AC2057" s="18" t="n">
        <v>45714</v>
      </c>
      <c r="AD2057" s="18" t="n">
        <v>46078</v>
      </c>
      <c r="AE2057" s="18" t="s">
        <v>44</v>
      </c>
    </row>
    <row r="2058" customFormat="false" ht="15" hidden="false" customHeight="true" outlineLevel="0" collapsed="false">
      <c r="A2058" s="12" t="n">
        <v>19178</v>
      </c>
      <c r="B2058" s="13" t="s">
        <v>8876</v>
      </c>
      <c r="C2058" s="16" t="n">
        <v>45714</v>
      </c>
      <c r="D2058" s="13" t="s">
        <v>8864</v>
      </c>
      <c r="E2058" s="15" t="s">
        <v>47</v>
      </c>
      <c r="F2058" s="15" t="str">
        <f aca="false">IFERROR(__xludf.dummyfunction("XLOOKUP(AJ2058,IMPORTRANGE(""1XaInW9DU9nz21V0tYIfzFQ0He9kVQ_JF2mCXgZ3hqFA"",""REKAP ALL 2026 - Andika!G:G""),IMPORTRANGE(""1XaInW9DU9nz21V0tYIfzFQ0He9kVQ_JF2mCXgZ3hqFA"",""REKAP ALL 2026 - Andika!F:F""),"""",0)"),"25047634982")</f>
        <v>25047634982</v>
      </c>
      <c r="G2058" s="13" t="s">
        <v>57</v>
      </c>
      <c r="H2058" s="13" t="s">
        <v>35</v>
      </c>
      <c r="I2058" s="13" t="str">
        <f aca="false">IF(C2058=J2058,"NEW KONTRAK","RE-KONTRAK")</f>
        <v>NEW KONTRAK</v>
      </c>
      <c r="J2058" s="16" t="n">
        <f aca="false" t="array" ref="J2058:J2058">IFERROR(INDEX(AC2058:AE2058,IF(COUNTA(AC2058:AE2058)=0,"",MAX((AC2058:AE2058&lt;&gt;"")*(COLUMN(AC2058:AE2058)-(COLUMN(AC2058)))))-1),"")</f>
        <v>45714</v>
      </c>
      <c r="K2058" s="16" t="n">
        <f aca="false" t="array" ref="K2058:K2058">IFERROR(INDEX(AC2058:AE2058,IF(COUNTA(AC2058:AE2058)=0,"",MAX((AC2058:AE2058&lt;&gt;"")*(COLUMN(AC2058:AE2058)-(COLUMN(AC2058)-1))))-1),"")</f>
        <v>46078</v>
      </c>
      <c r="L2058" s="17" t="str">
        <f aca="false" t="array" ref="L2058:L2058">IFERROR(INDEX(AC2058:AE2058,IF(COUNTA(AC2058:AE2058)=0,"",MAX((AC2058:AE2058&lt;&gt;"")*(COLUMN(AC2058:AE2058)-(COLUMN(AC2058)-2))))-1),"")</f>
        <v>ARCHIVED</v>
      </c>
      <c r="M2058" s="13" t="n">
        <f aca="true">K2058-TODAY()</f>
        <v>-246</v>
      </c>
      <c r="N2058" s="18" t="s">
        <v>105</v>
      </c>
      <c r="O2058" s="13" t="s">
        <v>719</v>
      </c>
      <c r="P2058" s="19" t="n">
        <v>3050000</v>
      </c>
      <c r="Q2058" s="20" t="s">
        <v>8877</v>
      </c>
      <c r="R2058" s="13" t="s">
        <v>39</v>
      </c>
      <c r="S2058" s="16" t="n">
        <v>37224</v>
      </c>
      <c r="T2058" s="13" t="s">
        <v>108</v>
      </c>
      <c r="U2058" s="13" t="s">
        <v>8878</v>
      </c>
      <c r="V2058" s="13" t="s">
        <v>42</v>
      </c>
      <c r="W2058" s="13" t="s">
        <v>43</v>
      </c>
      <c r="X2058" s="21" t="n">
        <v>82139953823</v>
      </c>
      <c r="Y2058" s="22" t="str">
        <f aca="false">O2058</f>
        <v>Cleaning Service</v>
      </c>
      <c r="Z2058" s="13" t="str">
        <f aca="false">IFERROR(__xludf.dummyfunction("if(BJ2058="""","""",GOOGLETRANSLATE(BJ2058,""auto"",""en""))"),"Cleaning Service")</f>
        <v>Cleaning Service</v>
      </c>
      <c r="AA2058" s="23" t="str">
        <f aca="false">IF(C2058="","", CHOOSE(MONTH(C2058),"January","February","March","April","May","June","July","August","September","October","November","December")&amp;" "&amp;DAY(C2058)&amp;MID("thstndrdth",MIN(9,2*RIGHT(DAY(C2058))*(MOD(DAY(C2058)-11,100)&gt;2)+1),2)&amp;","&amp;TEXT(C2058," yyyy"))</f>
        <v>February 26th,2025</v>
      </c>
      <c r="AB2058" s="15" t="str">
        <f aca="true">IF(S2058="","",DATEDIF(S2058,TODAY(),"Y")&amp;" Tahun, "&amp;DATEDIF(S2058,TODAY(),"YM")&amp;" Bulan, "&amp;DATEDIF(S2058,TODAY(),"MD")&amp;" Hari")</f>
        <v>24 Tahun, 11 Bulan, 0 Hari</v>
      </c>
      <c r="AC2058" s="18" t="n">
        <v>45714</v>
      </c>
      <c r="AD2058" s="18" t="n">
        <v>46078</v>
      </c>
      <c r="AE2058" s="18" t="s">
        <v>44</v>
      </c>
    </row>
    <row r="2059" customFormat="false" ht="15" hidden="false" customHeight="true" outlineLevel="0" collapsed="false">
      <c r="A2059" s="12" t="n">
        <v>19186</v>
      </c>
      <c r="B2059" s="13" t="s">
        <v>8879</v>
      </c>
      <c r="C2059" s="16" t="n">
        <v>45759</v>
      </c>
      <c r="D2059" s="13" t="s">
        <v>961</v>
      </c>
      <c r="E2059" s="15" t="s">
        <v>47</v>
      </c>
      <c r="F2059" s="15" t="str">
        <f aca="false">IFERROR(__xludf.dummyfunction("XLOOKUP(AJ2059,IMPORTRANGE(""1XaInW9DU9nz21V0tYIfzFQ0He9kVQ_JF2mCXgZ3hqFA"",""REKAP ALL 2026 - Andika!G:G""),IMPORTRANGE(""1XaInW9DU9nz21V0tYIfzFQ0He9kVQ_JF2mCXgZ3hqFA"",""REKAP ALL 2026 - Andika!F:F""),"""",0)"),"25047634479")</f>
        <v>25047634479</v>
      </c>
      <c r="G2059" s="13" t="s">
        <v>8880</v>
      </c>
      <c r="H2059" s="13" t="s">
        <v>35</v>
      </c>
      <c r="I2059" s="13" t="str">
        <f aca="false">IF(C2059=J2059,"NEW KONTRAK","RE-KONTRAK")</f>
        <v>RE-KONTRAK</v>
      </c>
      <c r="J2059" s="16" t="n">
        <f aca="false" t="array" ref="J2059:J2059">IFERROR(INDEX(AC2059:AE2059,IF(COUNTA(AC2059:AE2059)=0,"",MAX((AC2059:AE2059&lt;&gt;"")*(COLUMN(AC2059:AE2059)-(COLUMN(AC2059)))))-1),"")</f>
        <v>45942</v>
      </c>
      <c r="K2059" s="16" t="n">
        <f aca="false" t="array" ref="K2059:K2059">IFERROR(INDEX(AC2059:AE2059,IF(COUNTA(AC2059:AE2059)=0,"",MAX((AC2059:AE2059&lt;&gt;"")*(COLUMN(AC2059:AE2059)-(COLUMN(AC2059)-1))))-1),"")</f>
        <v>46022</v>
      </c>
      <c r="L2059" s="17" t="str">
        <f aca="false" t="array" ref="L2059:L2059">IFERROR(INDEX(AC2059:AE2059,IF(COUNTA(AC2059:AE2059)=0,"",MAX((AC2059:AE2059&lt;&gt;"")*(COLUMN(AC2059:AE2059)-(COLUMN(AC2059)-2))))-1),"")</f>
        <v>ARCHIVED</v>
      </c>
      <c r="M2059" s="13" t="n">
        <f aca="true">K2059-TODAY()</f>
        <v>-302</v>
      </c>
      <c r="N2059" s="18" t="s">
        <v>728</v>
      </c>
      <c r="O2059" s="13" t="s">
        <v>977</v>
      </c>
      <c r="P2059" s="27" t="n">
        <v>4961753</v>
      </c>
      <c r="Q2059" s="20" t="s">
        <v>8881</v>
      </c>
      <c r="R2059" s="13" t="s">
        <v>39</v>
      </c>
      <c r="S2059" s="16" t="n">
        <v>30029</v>
      </c>
      <c r="T2059" s="28" t="s">
        <v>40</v>
      </c>
      <c r="U2059" s="13" t="s">
        <v>8882</v>
      </c>
      <c r="V2059" s="13" t="s">
        <v>42</v>
      </c>
      <c r="W2059" s="13" t="s">
        <v>43</v>
      </c>
      <c r="X2059" s="21" t="n">
        <v>83830250979</v>
      </c>
      <c r="Y2059" s="22" t="str">
        <f aca="false">O2059</f>
        <v>QA</v>
      </c>
      <c r="Z2059" s="13" t="str">
        <f aca="false">IFERROR(__xludf.dummyfunction("if(BJ2059="""","""",GOOGLETRANSLATE(BJ2059,""auto"",""en""))"),"QA")</f>
        <v>QA</v>
      </c>
      <c r="AA2059" s="23" t="str">
        <f aca="false">IF(C2059="","", CHOOSE(MONTH(C2059),"January","February","March","April","May","June","July","August","September","October","November","December")&amp;" "&amp;DAY(C2059)&amp;MID("thstndrdth",MIN(9,2*RIGHT(DAY(C2059))*(MOD(DAY(C2059)-11,100)&gt;2)+1),2)&amp;","&amp;TEXT(C2059," yyyy"))</f>
        <v>April 12th,2025</v>
      </c>
      <c r="AB2059" s="15" t="str">
        <f aca="true">IF(S2059="","",DATEDIF(S2059,TODAY(),"Y")&amp;" Tahun, "&amp;DATEDIF(S2059,TODAY(),"YM")&amp;" Bulan, "&amp;DATEDIF(S2059,TODAY(),"MD")&amp;" Hari")</f>
        <v>44 Tahun, 7 Bulan, 10 Hari</v>
      </c>
      <c r="AC2059" s="18" t="n">
        <v>45942</v>
      </c>
      <c r="AD2059" s="18" t="n">
        <v>46022</v>
      </c>
      <c r="AE2059" s="18" t="s">
        <v>44</v>
      </c>
    </row>
    <row r="2060" customFormat="false" ht="15" hidden="false" customHeight="true" outlineLevel="0" collapsed="false">
      <c r="A2060" s="12" t="n">
        <v>19180</v>
      </c>
      <c r="B2060" s="13" t="s">
        <v>8883</v>
      </c>
      <c r="C2060" s="16" t="n">
        <v>45757</v>
      </c>
      <c r="D2060" s="13" t="s">
        <v>4252</v>
      </c>
      <c r="E2060" s="15" t="s">
        <v>33</v>
      </c>
      <c r="F2060" s="24" t="s">
        <v>8884</v>
      </c>
      <c r="G2060" s="13" t="s">
        <v>57</v>
      </c>
      <c r="H2060" s="13" t="s">
        <v>35</v>
      </c>
      <c r="I2060" s="13" t="str">
        <f aca="false">IF(C2060=J2060,"NEW KONTRAK","RE-KONTRAK")</f>
        <v>RE-KONTRAK</v>
      </c>
      <c r="J2060" s="16" t="n">
        <f aca="false" t="array" ref="J2060:J2060">IFERROR(INDEX(AC2060:AE2060,IF(COUNTA(AC2060:AE2060)=0,"",MAX((AC2060:AE2060&lt;&gt;"")*(COLUMN(AC2060:AE2060)-(COLUMN(AC2060)))))-1),"")</f>
        <v>45764</v>
      </c>
      <c r="K2060" s="16" t="n">
        <f aca="false" t="array" ref="K2060:K2060">IFERROR(INDEX(AC2060:AE2060,IF(COUNTA(AC2060:AE2060)=0,"",MAX((AC2060:AE2060&lt;&gt;"")*(COLUMN(AC2060:AE2060)-(COLUMN(AC2060)-1))))-1),"")</f>
        <v>45946</v>
      </c>
      <c r="L2060" s="17" t="str">
        <f aca="false" t="array" ref="L2060:L2060">IFERROR(INDEX(AC2060:AE2060,IF(COUNTA(AC2060:AE2060)=0,"",MAX((AC2060:AE2060&lt;&gt;"")*(COLUMN(AC2060:AE2060)-(COLUMN(AC2060)-2))))-1),"")</f>
        <v>ARCHIVED</v>
      </c>
      <c r="M2060" s="13" t="n">
        <f aca="true">K2060-TODAY()</f>
        <v>-378</v>
      </c>
      <c r="N2060" s="18" t="s">
        <v>36</v>
      </c>
      <c r="O2060" s="13" t="s">
        <v>4280</v>
      </c>
      <c r="P2060" s="27" t="n">
        <v>120000</v>
      </c>
      <c r="Q2060" s="20" t="s">
        <v>8885</v>
      </c>
      <c r="R2060" s="13" t="s">
        <v>274</v>
      </c>
      <c r="S2060" s="16" t="n">
        <v>36487</v>
      </c>
      <c r="T2060" s="13" t="s">
        <v>40</v>
      </c>
      <c r="U2060" s="13" t="s">
        <v>8886</v>
      </c>
      <c r="V2060" s="13" t="s">
        <v>42</v>
      </c>
      <c r="W2060" s="13" t="s">
        <v>43</v>
      </c>
      <c r="X2060" s="30" t="n">
        <v>85267837770</v>
      </c>
      <c r="Y2060" s="22" t="str">
        <f aca="false">O2060</f>
        <v>Helper Cutting</v>
      </c>
      <c r="Z2060" s="13" t="str">
        <f aca="false">IFERROR(__xludf.dummyfunction("if(BJ2060="""","""",GOOGLETRANSLATE(BJ2060,""auto"",""en""))"),"Helper Cutting")</f>
        <v>Helper Cutting</v>
      </c>
      <c r="AA2060" s="23" t="str">
        <f aca="false">IF(C2060="","", CHOOSE(MONTH(C2060),"January","February","March","April","May","June","July","August","September","October","November","December")&amp;" "&amp;DAY(C2060)&amp;MID("thstndrdth",MIN(9,2*RIGHT(DAY(C2060))*(MOD(DAY(C2060)-11,100)&gt;2)+1),2)&amp;","&amp;TEXT(C2060," yyyy"))</f>
        <v>April 10th,2025</v>
      </c>
      <c r="AB2060" s="15" t="str">
        <f aca="true">IF(S2060="","",DATEDIF(S2060,TODAY(),"Y")&amp;" Tahun, "&amp;DATEDIF(S2060,TODAY(),"YM")&amp;" Bulan, "&amp;DATEDIF(S2060,TODAY(),"MD")&amp;" Hari")</f>
        <v>26 Tahun, 11 Bulan, 6 Hari</v>
      </c>
      <c r="AC2060" s="18" t="n">
        <v>45764</v>
      </c>
      <c r="AD2060" s="18" t="n">
        <v>45946</v>
      </c>
      <c r="AE2060" s="18" t="s">
        <v>44</v>
      </c>
    </row>
    <row r="2061" customFormat="false" ht="15" hidden="false" customHeight="true" outlineLevel="0" collapsed="false">
      <c r="A2061" s="12" t="n">
        <v>19182</v>
      </c>
      <c r="B2061" s="13" t="s">
        <v>8887</v>
      </c>
      <c r="C2061" s="16" t="n">
        <v>45757</v>
      </c>
      <c r="D2061" s="13" t="s">
        <v>7948</v>
      </c>
      <c r="E2061" s="15" t="s">
        <v>7949</v>
      </c>
      <c r="F2061" s="15" t="str">
        <f aca="false">IFERROR(__xludf.dummyfunction("XLOOKUP(AJ2061,IMPORTRANGE(""1XaInW9DU9nz21V0tYIfzFQ0He9kVQ_JF2mCXgZ3hqFA"",""REKAP ALL 2026 - Andika!G:G""),IMPORTRANGE(""1XaInW9DU9nz21V0tYIfzFQ0He9kVQ_JF2mCXgZ3hqFA"",""REKAP ALL 2026 - Andika!F:F""),"""",0)"),"25047635609")</f>
        <v>25047635609</v>
      </c>
      <c r="G2061" s="13" t="s">
        <v>57</v>
      </c>
      <c r="H2061" s="13" t="s">
        <v>7950</v>
      </c>
      <c r="I2061" s="13" t="str">
        <f aca="false">IF(C2061=J2061,"NEW KONTRAK","RE-KONTRAK")</f>
        <v>RE-KONTRAK</v>
      </c>
      <c r="J2061" s="16" t="n">
        <f aca="false" t="array" ref="J2061:J2061">IFERROR(INDEX(AC2061:AE2061,IF(COUNTA(AC2061:AE2061)=0,"",MAX((AC2061:AE2061&lt;&gt;"")*(COLUMN(AC2061:AE2061)-(COLUMN(AC2061)))))-1),"")</f>
        <v>45844</v>
      </c>
      <c r="K2061" s="16" t="n">
        <f aca="false" t="array" ref="K2061:K2061">IFERROR(INDEX(AC2061:AE2061,IF(COUNTA(AC2061:AE2061)=0,"",MAX((AC2061:AE2061&lt;&gt;"")*(COLUMN(AC2061:AE2061)-(COLUMN(AC2061)-1))))-1),"")</f>
        <v>45935</v>
      </c>
      <c r="L2061" s="17" t="str">
        <f aca="false" t="array" ref="L2061:L2061">IFERROR(INDEX(AC2061:AE2061,IF(COUNTA(AC2061:AE2061)=0,"",MAX((AC2061:AE2061&lt;&gt;"")*(COLUMN(AC2061:AE2061)-(COLUMN(AC2061)-2))))-1),"")</f>
        <v>ARCHIVED</v>
      </c>
      <c r="M2061" s="13" t="n">
        <f aca="true">K2061-TODAY()</f>
        <v>-389</v>
      </c>
      <c r="N2061" s="18" t="s">
        <v>4051</v>
      </c>
      <c r="O2061" s="13" t="s">
        <v>7951</v>
      </c>
      <c r="P2061" s="19" t="n">
        <v>245000</v>
      </c>
      <c r="Q2061" s="20" t="s">
        <v>8888</v>
      </c>
      <c r="R2061" s="13" t="s">
        <v>168</v>
      </c>
      <c r="S2061" s="16" t="n">
        <v>31930</v>
      </c>
      <c r="T2061" s="28" t="s">
        <v>40</v>
      </c>
      <c r="U2061" s="13" t="s">
        <v>8889</v>
      </c>
      <c r="V2061" s="13" t="s">
        <v>42</v>
      </c>
      <c r="W2061" s="13" t="s">
        <v>54</v>
      </c>
      <c r="X2061" s="21" t="n">
        <v>81383330535</v>
      </c>
      <c r="Y2061" s="22" t="str">
        <f aca="false">O2061</f>
        <v>Mekanik Kiln</v>
      </c>
      <c r="Z2061" s="13" t="str">
        <f aca="false">IFERROR(__xludf.dummyfunction("if(BJ2061="""","""",GOOGLETRANSLATE(BJ2061,""auto"",""en""))"),"Kiln Mechanics")</f>
        <v>Kiln Mechanics</v>
      </c>
      <c r="AA2061" s="23" t="str">
        <f aca="false">IF(C2061="","", CHOOSE(MONTH(C2061),"January","February","March","April","May","June","July","August","September","October","November","December")&amp;" "&amp;DAY(C2061)&amp;MID("thstndrdth",MIN(9,2*RIGHT(DAY(C2061))*(MOD(DAY(C2061)-11,100)&gt;2)+1),2)&amp;","&amp;TEXT(C2061," yyyy"))</f>
        <v>April 10th,2025</v>
      </c>
      <c r="AB2061" s="15" t="str">
        <f aca="true">IF(S2061="","",DATEDIF(S2061,TODAY(),"Y")&amp;" Tahun, "&amp;DATEDIF(S2061,TODAY(),"YM")&amp;" Bulan, "&amp;DATEDIF(S2061,TODAY(),"MD")&amp;" Hari")</f>
        <v>39 Tahun, 4 Bulan, 27 Hari</v>
      </c>
      <c r="AC2061" s="18" t="n">
        <v>45844</v>
      </c>
      <c r="AD2061" s="18" t="n">
        <v>45935</v>
      </c>
      <c r="AE2061" s="18" t="s">
        <v>44</v>
      </c>
    </row>
    <row r="2062" customFormat="false" ht="15" hidden="false" customHeight="true" outlineLevel="0" collapsed="false">
      <c r="A2062" s="12" t="n">
        <v>19183</v>
      </c>
      <c r="B2062" s="13" t="s">
        <v>8890</v>
      </c>
      <c r="C2062" s="16" t="n">
        <v>45757</v>
      </c>
      <c r="D2062" s="13" t="s">
        <v>1338</v>
      </c>
      <c r="E2062" s="15" t="s">
        <v>33</v>
      </c>
      <c r="F2062" s="24" t="s">
        <v>8891</v>
      </c>
      <c r="G2062" s="13" t="s">
        <v>57</v>
      </c>
      <c r="H2062" s="13" t="s">
        <v>3024</v>
      </c>
      <c r="I2062" s="13" t="str">
        <f aca="false">IF(C2062=J2062,"NEW KONTRAK","RE-KONTRAK")</f>
        <v>NEW KONTRAK</v>
      </c>
      <c r="J2062" s="16" t="n">
        <f aca="false" t="array" ref="J2062:J2062">IFERROR(INDEX(AC2062:AE2062,IF(COUNTA(AC2062:AE2062)=0,"",MAX((AC2062:AE2062&lt;&gt;"")*(COLUMN(AC2062:AE2062)-(COLUMN(AC2062)))))-1),"")</f>
        <v>45757</v>
      </c>
      <c r="K2062" s="16" t="n">
        <f aca="false" t="array" ref="K2062:K2062">IFERROR(INDEX(AC2062:AE2062,IF(COUNTA(AC2062:AE2062)=0,"",MAX((AC2062:AE2062&lt;&gt;"")*(COLUMN(AC2062:AE2062)-(COLUMN(AC2062)-1))))-1),"")</f>
        <v>45844</v>
      </c>
      <c r="L2062" s="17" t="str">
        <f aca="false" t="array" ref="L2062:L2062">IFERROR(INDEX(AC2062:AE2062,IF(COUNTA(AC2062:AE2062)=0,"",MAX((AC2062:AE2062&lt;&gt;"")*(COLUMN(AC2062:AE2062)-(COLUMN(AC2062)-2))))-1),"")</f>
        <v>ARCHIVED</v>
      </c>
      <c r="M2062" s="13" t="n">
        <f aca="true">K2062-TODAY()</f>
        <v>-480</v>
      </c>
      <c r="N2062" s="18" t="s">
        <v>615</v>
      </c>
      <c r="O2062" s="13" t="s">
        <v>8892</v>
      </c>
      <c r="P2062" s="19" t="n">
        <v>210000</v>
      </c>
      <c r="Q2062" s="20" t="s">
        <v>8893</v>
      </c>
      <c r="R2062" s="13" t="s">
        <v>83</v>
      </c>
      <c r="S2062" s="16" t="n">
        <v>37565</v>
      </c>
      <c r="T2062" s="28" t="s">
        <v>40</v>
      </c>
      <c r="U2062" s="13" t="s">
        <v>8894</v>
      </c>
      <c r="V2062" s="13" t="s">
        <v>42</v>
      </c>
      <c r="W2062" s="13" t="s">
        <v>43</v>
      </c>
      <c r="X2062" s="30" t="n">
        <v>81343634957</v>
      </c>
      <c r="Y2062" s="22" t="str">
        <f aca="false">O2062</f>
        <v>Mekanik</v>
      </c>
      <c r="Z2062" s="13" t="str">
        <f aca="false">IFERROR(__xludf.dummyfunction("if(BJ2062="""","""",GOOGLETRANSLATE(BJ2062,""auto"",""en""))"),"Mechanic")</f>
        <v>Mechanic</v>
      </c>
      <c r="AA2062" s="23" t="str">
        <f aca="false">IF(C2062="","", CHOOSE(MONTH(C2062),"January","February","March","April","May","June","July","August","September","October","November","December")&amp;" "&amp;DAY(C2062)&amp;MID("thstndrdth",MIN(9,2*RIGHT(DAY(C2062))*(MOD(DAY(C2062)-11,100)&gt;2)+1),2)&amp;","&amp;TEXT(C2062," yyyy"))</f>
        <v>April 10th,2025</v>
      </c>
      <c r="AB2062" s="15" t="str">
        <f aca="true">IF(S2062="","",DATEDIF(S2062,TODAY(),"Y")&amp;" Tahun, "&amp;DATEDIF(S2062,TODAY(),"YM")&amp;" Bulan, "&amp;DATEDIF(S2062,TODAY(),"MD")&amp;" Hari")</f>
        <v>23 Tahun, 11 Bulan, 24 Hari</v>
      </c>
      <c r="AC2062" s="18" t="n">
        <v>45757</v>
      </c>
      <c r="AD2062" s="18" t="n">
        <v>45844</v>
      </c>
      <c r="AE2062" s="18" t="s">
        <v>44</v>
      </c>
    </row>
    <row r="2063" customFormat="false" ht="15" hidden="false" customHeight="true" outlineLevel="0" collapsed="false">
      <c r="A2063" s="12" t="n">
        <v>19196</v>
      </c>
      <c r="B2063" s="13" t="s">
        <v>8895</v>
      </c>
      <c r="C2063" s="16" t="n">
        <v>45757</v>
      </c>
      <c r="D2063" s="13" t="s">
        <v>3022</v>
      </c>
      <c r="E2063" s="15" t="s">
        <v>47</v>
      </c>
      <c r="F2063" s="15" t="str">
        <f aca="false">IFERROR(__xludf.dummyfunction("XLOOKUP(AJ2063,IMPORTRANGE(""1XaInW9DU9nz21V0tYIfzFQ0He9kVQ_JF2mCXgZ3hqFA"",""REKAP ALL 2026 - Andika!G:G""),IMPORTRANGE(""1XaInW9DU9nz21V0tYIfzFQ0He9kVQ_JF2mCXgZ3hqFA"",""REKAP ALL 2026 - Andika!F:F""),"""",0)"),"25047636508")</f>
        <v>25047636508</v>
      </c>
      <c r="G2063" s="13" t="s">
        <v>8896</v>
      </c>
      <c r="H2063" s="13" t="s">
        <v>3024</v>
      </c>
      <c r="I2063" s="13" t="str">
        <f aca="false">IF(C2063=J2063,"NEW KONTRAK","RE-KONTRAK")</f>
        <v>RE-KONTRAK</v>
      </c>
      <c r="J2063" s="16" t="n">
        <f aca="false" t="array" ref="J2063:J2063">IFERROR(INDEX(AC2063:AE2063,IF(COUNTA(AC2063:AE2063)=0,"",MAX((AC2063:AE2063&lt;&gt;"")*(COLUMN(AC2063:AE2063)-(COLUMN(AC2063)))))-1),"")</f>
        <v>45848</v>
      </c>
      <c r="K2063" s="16" t="n">
        <f aca="false" t="array" ref="K2063:K2063">IFERROR(INDEX(AC2063:AE2063,IF(COUNTA(AC2063:AE2063)=0,"",MAX((AC2063:AE2063&lt;&gt;"")*(COLUMN(AC2063:AE2063)-(COLUMN(AC2063)-1))))-1),"")</f>
        <v>45934</v>
      </c>
      <c r="L2063" s="17" t="str">
        <f aca="false" t="array" ref="L2063:L2063">IFERROR(INDEX(AC2063:AE2063,IF(COUNTA(AC2063:AE2063)=0,"",MAX((AC2063:AE2063&lt;&gt;"")*(COLUMN(AC2063:AE2063)-(COLUMN(AC2063)-2))))-1),"")</f>
        <v>ARCHIVED</v>
      </c>
      <c r="M2063" s="13" t="n">
        <f aca="true">K2063-TODAY()</f>
        <v>-390</v>
      </c>
      <c r="N2063" s="18" t="s">
        <v>36</v>
      </c>
      <c r="O2063" s="13" t="s">
        <v>58</v>
      </c>
      <c r="P2063" s="19" t="n">
        <v>125000</v>
      </c>
      <c r="Q2063" s="20" t="s">
        <v>8897</v>
      </c>
      <c r="R2063" s="13" t="s">
        <v>65</v>
      </c>
      <c r="S2063" s="16" t="n">
        <v>37895</v>
      </c>
      <c r="T2063" s="28" t="s">
        <v>40</v>
      </c>
      <c r="U2063" s="13" t="s">
        <v>8898</v>
      </c>
      <c r="V2063" s="13" t="s">
        <v>42</v>
      </c>
      <c r="W2063" s="13" t="s">
        <v>43</v>
      </c>
      <c r="X2063" s="21" t="n">
        <v>89516906302</v>
      </c>
      <c r="Y2063" s="22" t="str">
        <f aca="false">O2063</f>
        <v>Produksi</v>
      </c>
      <c r="Z2063" s="13" t="str">
        <f aca="false">IFERROR(__xludf.dummyfunction("if(BJ2063="""","""",GOOGLETRANSLATE(BJ2063,""auto"",""en""))"),"Production")</f>
        <v>Production</v>
      </c>
      <c r="AA2063" s="23" t="str">
        <f aca="false">IF(C2063="","", CHOOSE(MONTH(C2063),"January","February","March","April","May","June","July","August","September","October","November","December")&amp;" "&amp;DAY(C2063)&amp;MID("thstndrdth",MIN(9,2*RIGHT(DAY(C2063))*(MOD(DAY(C2063)-11,100)&gt;2)+1),2)&amp;","&amp;TEXT(C2063," yyyy"))</f>
        <v>April 10th,2025</v>
      </c>
      <c r="AB2063" s="15" t="str">
        <f aca="true">IF(S2063="","",DATEDIF(S2063,TODAY(),"Y")&amp;" Tahun, "&amp;DATEDIF(S2063,TODAY(),"YM")&amp;" Bulan, "&amp;DATEDIF(S2063,TODAY(),"MD")&amp;" Hari")</f>
        <v>23 Tahun, 0 Bulan, 28 Hari</v>
      </c>
      <c r="AC2063" s="18" t="n">
        <v>45848</v>
      </c>
      <c r="AD2063" s="18" t="n">
        <v>45934</v>
      </c>
      <c r="AE2063" s="18" t="s">
        <v>44</v>
      </c>
    </row>
    <row r="2064" customFormat="false" ht="15" hidden="false" customHeight="true" outlineLevel="0" collapsed="false">
      <c r="A2064" s="12" t="n">
        <v>19187</v>
      </c>
      <c r="B2064" s="13" t="s">
        <v>8899</v>
      </c>
      <c r="C2064" s="16" t="n">
        <v>45742</v>
      </c>
      <c r="D2064" s="13" t="s">
        <v>144</v>
      </c>
      <c r="E2064" s="15" t="s">
        <v>33</v>
      </c>
      <c r="F2064" s="15" t="str">
        <f aca="false">IFERROR(__xludf.dummyfunction("XLOOKUP(AJ2064,IMPORTRANGE(""1XaInW9DU9nz21V0tYIfzFQ0He9kVQ_JF2mCXgZ3hqFA"",""REKAP ALL 2026 - Andika!G:G""),IMPORTRANGE(""1XaInW9DU9nz21V0tYIfzFQ0He9kVQ_JF2mCXgZ3hqFA"",""REKAP ALL 2026 - Andika!F:F""),"""",0)"),"25047636664")</f>
        <v>25047636664</v>
      </c>
      <c r="G2064" s="13" t="s">
        <v>8900</v>
      </c>
      <c r="H2064" s="13" t="s">
        <v>35</v>
      </c>
      <c r="I2064" s="13" t="str">
        <f aca="false">IF(C2064=J2064,"NEW KONTRAK","RE-KONTRAK")</f>
        <v>RE-KONTRAK</v>
      </c>
      <c r="J2064" s="16" t="n">
        <f aca="false" t="array" ref="J2064:J2064">IFERROR(INDEX(AC2064:AE2064,IF(COUNTA(AC2064:AE2064)=0,"",MAX((AC2064:AE2064&lt;&gt;"")*(COLUMN(AC2064:AE2064)-(COLUMN(AC2064)))))-1),"")</f>
        <v>45754</v>
      </c>
      <c r="K2064" s="16" t="n">
        <f aca="false" t="array" ref="K2064:K2064">IFERROR(INDEX(AC2064:AE2064,IF(COUNTA(AC2064:AE2064)=0,"",MAX((AC2064:AE2064&lt;&gt;"")*(COLUMN(AC2064:AE2064)-(COLUMN(AC2064)-1))))-1),"")</f>
        <v>46022</v>
      </c>
      <c r="L2064" s="17" t="str">
        <f aca="false" t="array" ref="L2064:L2064">IFERROR(INDEX(AC2064:AE2064,IF(COUNTA(AC2064:AE2064)=0,"",MAX((AC2064:AE2064&lt;&gt;"")*(COLUMN(AC2064:AE2064)-(COLUMN(AC2064)-2))))-1),"")</f>
        <v>ARCHIVED</v>
      </c>
      <c r="M2064" s="13" t="n">
        <f aca="true">K2064-TODAY()</f>
        <v>-302</v>
      </c>
      <c r="N2064" s="18" t="s">
        <v>36</v>
      </c>
      <c r="O2064" s="13" t="s">
        <v>146</v>
      </c>
      <c r="P2064" s="19" t="n">
        <v>5195401</v>
      </c>
      <c r="Q2064" s="20" t="s">
        <v>8901</v>
      </c>
      <c r="R2064" s="13" t="s">
        <v>5247</v>
      </c>
      <c r="S2064" s="16" t="n">
        <v>25653</v>
      </c>
      <c r="T2064" s="28" t="s">
        <v>40</v>
      </c>
      <c r="U2064" s="13" t="s">
        <v>8902</v>
      </c>
      <c r="V2064" s="13" t="s">
        <v>42</v>
      </c>
      <c r="W2064" s="13" t="s">
        <v>54</v>
      </c>
      <c r="X2064" s="21" t="n">
        <v>85336286729</v>
      </c>
      <c r="Y2064" s="22" t="str">
        <f aca="false">O2064</f>
        <v>Enamel</v>
      </c>
      <c r="Z2064" s="13" t="str">
        <f aca="false">IFERROR(__xludf.dummyfunction("if(BJ2064="""","""",GOOGLETRANSLATE(BJ2064,""auto"",""en""))"),"Enamel")</f>
        <v>Enamel</v>
      </c>
      <c r="AA2064" s="23" t="str">
        <f aca="false">IF(C2064="","", CHOOSE(MONTH(C2064),"January","February","March","April","May","June","July","August","September","October","November","December")&amp;" "&amp;DAY(C2064)&amp;MID("thstndrdth",MIN(9,2*RIGHT(DAY(C2064))*(MOD(DAY(C2064)-11,100)&gt;2)+1),2)&amp;","&amp;TEXT(C2064," yyyy"))</f>
        <v>March 26th,2025</v>
      </c>
      <c r="AB2064" s="15" t="str">
        <f aca="true">IF(S2064="","",DATEDIF(S2064,TODAY(),"Y")&amp;" Tahun, "&amp;DATEDIF(S2064,TODAY(),"YM")&amp;" Bulan, "&amp;DATEDIF(S2064,TODAY(),"MD")&amp;" Hari")</f>
        <v>56 Tahun, 7 Bulan, 3 Hari</v>
      </c>
      <c r="AC2064" s="18" t="n">
        <v>45754</v>
      </c>
      <c r="AD2064" s="18" t="n">
        <v>46022</v>
      </c>
      <c r="AE2064" s="18" t="s">
        <v>44</v>
      </c>
    </row>
    <row r="2065" customFormat="false" ht="15" hidden="false" customHeight="true" outlineLevel="0" collapsed="false">
      <c r="A2065" s="12" t="n">
        <v>19188</v>
      </c>
      <c r="B2065" s="13" t="s">
        <v>8903</v>
      </c>
      <c r="C2065" s="16" t="n">
        <v>45761</v>
      </c>
      <c r="D2065" s="13" t="s">
        <v>404</v>
      </c>
      <c r="E2065" s="15" t="s">
        <v>102</v>
      </c>
      <c r="F2065" s="15" t="str">
        <f aca="false">IFERROR(__xludf.dummyfunction("XLOOKUP(AJ2065,IMPORTRANGE(""1XaInW9DU9nz21V0tYIfzFQ0He9kVQ_JF2mCXgZ3hqFA"",""REKAP ALL 2026 - Andika!G:G""),IMPORTRANGE(""1XaInW9DU9nz21V0tYIfzFQ0He9kVQ_JF2mCXgZ3hqFA"",""REKAP ALL 2026 - Andika!F:F""),"""",0)"),"25047634107")</f>
        <v>25047634107</v>
      </c>
      <c r="G2065" s="13" t="s">
        <v>8904</v>
      </c>
      <c r="H2065" s="13" t="s">
        <v>35</v>
      </c>
      <c r="I2065" s="13" t="str">
        <f aca="false">IF(C2065=J2065,"NEW KONTRAK","RE-KONTRAK")</f>
        <v>NEW KONTRAK</v>
      </c>
      <c r="J2065" s="16" t="n">
        <f aca="false" t="array" ref="J2065:J2065">IFERROR(INDEX(AC2065:AE2065,IF(COUNTA(AC2065:AE2065)=0,"",MAX((AC2065:AE2065&lt;&gt;"")*(COLUMN(AC2065:AE2065)-(COLUMN(AC2065)))))-1),"")</f>
        <v>45761</v>
      </c>
      <c r="K2065" s="16" t="n">
        <f aca="false" t="array" ref="K2065:K2065">IFERROR(INDEX(AC2065:AE2065,IF(COUNTA(AC2065:AE2065)=0,"",MAX((AC2065:AE2065&lt;&gt;"")*(COLUMN(AC2065:AE2065)-(COLUMN(AC2065)-1))))-1),"")</f>
        <v>46022</v>
      </c>
      <c r="L2065" s="17" t="str">
        <f aca="false" t="array" ref="L2065:L2065">IFERROR(INDEX(AC2065:AE2065,IF(COUNTA(AC2065:AE2065)=0,"",MAX((AC2065:AE2065&lt;&gt;"")*(COLUMN(AC2065:AE2065)-(COLUMN(AC2065)-2))))-1),"")</f>
        <v>ARCHIVED</v>
      </c>
      <c r="M2065" s="13" t="n">
        <f aca="true">K2065-TODAY()</f>
        <v>-302</v>
      </c>
      <c r="N2065" s="18" t="s">
        <v>36</v>
      </c>
      <c r="O2065" s="13" t="s">
        <v>8136</v>
      </c>
      <c r="P2065" s="27" t="n">
        <v>5195401</v>
      </c>
      <c r="Q2065" s="20" t="s">
        <v>8905</v>
      </c>
      <c r="R2065" s="13" t="s">
        <v>65</v>
      </c>
      <c r="S2065" s="16" t="n">
        <v>36981</v>
      </c>
      <c r="T2065" s="13" t="s">
        <v>40</v>
      </c>
      <c r="U2065" s="13" t="s">
        <v>8906</v>
      </c>
      <c r="V2065" s="13" t="s">
        <v>42</v>
      </c>
      <c r="W2065" s="13" t="s">
        <v>43</v>
      </c>
      <c r="X2065" s="21" t="n">
        <v>89644680010</v>
      </c>
      <c r="Y2065" s="22" t="str">
        <f aca="false">O2065</f>
        <v>Analis Lab</v>
      </c>
      <c r="Z2065" s="13" t="str">
        <f aca="false">IFERROR(__xludf.dummyfunction("if(BJ2065="""","""",GOOGLETRANSLATE(BJ2065,""auto"",""en""))"),"Lab Analyst")</f>
        <v>Lab Analyst</v>
      </c>
      <c r="AA2065" s="23" t="str">
        <f aca="false">IF(C2065="","", CHOOSE(MONTH(C2065),"January","February","March","April","May","June","July","August","September","October","November","December")&amp;" "&amp;DAY(C2065)&amp;MID("thstndrdth",MIN(9,2*RIGHT(DAY(C2065))*(MOD(DAY(C2065)-11,100)&gt;2)+1),2)&amp;","&amp;TEXT(C2065," yyyy"))</f>
        <v>April 14th,2025</v>
      </c>
      <c r="AB2065" s="15" t="str">
        <f aca="true">IF(S2065="","",DATEDIF(S2065,TODAY(),"Y")&amp;" Tahun, "&amp;DATEDIF(S2065,TODAY(),"YM")&amp;" Bulan, "&amp;DATEDIF(S2065,TODAY(),"MD")&amp;" Hari")</f>
        <v>25 Tahun, 6 Bulan, 28 Hari</v>
      </c>
      <c r="AC2065" s="18" t="n">
        <v>45761</v>
      </c>
      <c r="AD2065" s="18" t="n">
        <v>46022</v>
      </c>
      <c r="AE2065" s="18" t="s">
        <v>44</v>
      </c>
    </row>
    <row r="2066" customFormat="false" ht="15" hidden="false" customHeight="true" outlineLevel="0" collapsed="false">
      <c r="A2066" s="12" t="n">
        <v>19202</v>
      </c>
      <c r="B2066" s="13" t="s">
        <v>8907</v>
      </c>
      <c r="C2066" s="16" t="n">
        <v>45763</v>
      </c>
      <c r="D2066" s="13" t="s">
        <v>404</v>
      </c>
      <c r="E2066" s="15" t="s">
        <v>47</v>
      </c>
      <c r="F2066" s="15" t="str">
        <f aca="false">IFERROR(__xludf.dummyfunction("XLOOKUP(AJ2066,IMPORTRANGE(""1XaInW9DU9nz21V0tYIfzFQ0He9kVQ_JF2mCXgZ3hqFA"",""REKAP ALL 2026 - Andika!G:G""),IMPORTRANGE(""1XaInW9DU9nz21V0tYIfzFQ0He9kVQ_JF2mCXgZ3hqFA"",""REKAP ALL 2026 - Andika!F:F""),"""",0)"),"25047634099")</f>
        <v>25047634099</v>
      </c>
      <c r="G2066" s="13" t="s">
        <v>8908</v>
      </c>
      <c r="H2066" s="13" t="s">
        <v>35</v>
      </c>
      <c r="I2066" s="13" t="str">
        <f aca="false">IF(C2066=J2066,"NEW KONTRAK","RE-KONTRAK")</f>
        <v>NEW KONTRAK</v>
      </c>
      <c r="J2066" s="16" t="n">
        <f aca="false" t="array" ref="J2066:J2066">IFERROR(INDEX(AC2066:AE2066,IF(COUNTA(AC2066:AE2066)=0,"",MAX((AC2066:AE2066&lt;&gt;"")*(COLUMN(AC2066:AE2066)-(COLUMN(AC2066)))))-1),"")</f>
        <v>45763</v>
      </c>
      <c r="K2066" s="16" t="n">
        <f aca="false" t="array" ref="K2066:K2066">IFERROR(INDEX(AC2066:AE2066,IF(COUNTA(AC2066:AE2066)=0,"",MAX((AC2066:AE2066&lt;&gt;"")*(COLUMN(AC2066:AE2066)-(COLUMN(AC2066)-1))))-1),"")</f>
        <v>46022</v>
      </c>
      <c r="L2066" s="17" t="str">
        <f aca="false" t="array" ref="L2066:L2066">IFERROR(INDEX(AC2066:AE2066,IF(COUNTA(AC2066:AE2066)=0,"",MAX((AC2066:AE2066&lt;&gt;"")*(COLUMN(AC2066:AE2066)-(COLUMN(AC2066)-2))))-1),"")</f>
        <v>ARCHIVED</v>
      </c>
      <c r="M2066" s="13" t="n">
        <f aca="true">K2066-TODAY()</f>
        <v>-302</v>
      </c>
      <c r="N2066" s="18" t="s">
        <v>36</v>
      </c>
      <c r="O2066" s="13" t="s">
        <v>5695</v>
      </c>
      <c r="P2066" s="26" t="n">
        <v>5195401</v>
      </c>
      <c r="Q2066" s="20" t="s">
        <v>8909</v>
      </c>
      <c r="R2066" s="13" t="s">
        <v>1979</v>
      </c>
      <c r="S2066" s="16" t="n">
        <v>37261</v>
      </c>
      <c r="T2066" s="28" t="s">
        <v>40</v>
      </c>
      <c r="U2066" s="13" t="s">
        <v>8910</v>
      </c>
      <c r="V2066" s="13" t="s">
        <v>42</v>
      </c>
      <c r="W2066" s="13" t="s">
        <v>43</v>
      </c>
      <c r="X2066" s="21" t="n">
        <v>895366127273</v>
      </c>
      <c r="Y2066" s="22" t="str">
        <f aca="false">O2066</f>
        <v>HSE</v>
      </c>
      <c r="Z2066" s="13" t="str">
        <f aca="false">IFERROR(__xludf.dummyfunction("if(BJ2066="""","""",GOOGLETRANSLATE(BJ2066,""auto"",""en""))"),"HSE")</f>
        <v>HSE</v>
      </c>
      <c r="AA2066" s="23" t="str">
        <f aca="false">IF(C2066="","", CHOOSE(MONTH(C2066),"January","February","March","April","May","June","July","August","September","October","November","December")&amp;" "&amp;DAY(C2066)&amp;MID("thstndrdth",MIN(9,2*RIGHT(DAY(C2066))*(MOD(DAY(C2066)-11,100)&gt;2)+1),2)&amp;","&amp;TEXT(C2066," yyyy"))</f>
        <v>April 16th,2025</v>
      </c>
      <c r="AB2066" s="15" t="str">
        <f aca="true">IF(S2066="","",DATEDIF(S2066,TODAY(),"Y")&amp;" Tahun, "&amp;DATEDIF(S2066,TODAY(),"YM")&amp;" Bulan, "&amp;DATEDIF(S2066,TODAY(),"MD")&amp;" Hari")</f>
        <v>24 Tahun, 9 Bulan, 24 Hari</v>
      </c>
      <c r="AC2066" s="18" t="n">
        <v>45763</v>
      </c>
      <c r="AD2066" s="18" t="n">
        <v>46022</v>
      </c>
      <c r="AE2066" s="18" t="s">
        <v>44</v>
      </c>
    </row>
    <row r="2067" customFormat="false" ht="15" hidden="false" customHeight="true" outlineLevel="0" collapsed="false">
      <c r="A2067" s="12" t="n">
        <v>19198</v>
      </c>
      <c r="B2067" s="13" t="s">
        <v>8911</v>
      </c>
      <c r="C2067" s="16" t="n">
        <v>45757</v>
      </c>
      <c r="D2067" s="13" t="s">
        <v>3022</v>
      </c>
      <c r="E2067" s="15" t="s">
        <v>33</v>
      </c>
      <c r="F2067" s="24" t="s">
        <v>8912</v>
      </c>
      <c r="G2067" s="13" t="s">
        <v>8913</v>
      </c>
      <c r="H2067" s="13" t="s">
        <v>2967</v>
      </c>
      <c r="I2067" s="13" t="str">
        <f aca="false">IF(C2067=J2067,"NEW KONTRAK","RE-KONTRAK")</f>
        <v>RE-KONTRAK</v>
      </c>
      <c r="J2067" s="16" t="n">
        <f aca="false" t="array" ref="J2067:J2067">IFERROR(INDEX(AC2067:AE2067,IF(COUNTA(AC2067:AE2067)=0,"",MAX((AC2067:AE2067&lt;&gt;"")*(COLUMN(AC2067:AE2067)-(COLUMN(AC2067)))))-1),"")</f>
        <v>45848</v>
      </c>
      <c r="K2067" s="16" t="n">
        <f aca="false" t="array" ref="K2067:K2067">IFERROR(INDEX(AC2067:AE2067,IF(COUNTA(AC2067:AE2067)=0,"",MAX((AC2067:AE2067&lt;&gt;"")*(COLUMN(AC2067:AE2067)-(COLUMN(AC2067)-1))))-1),"")</f>
        <v>45934</v>
      </c>
      <c r="L2067" s="17" t="str">
        <f aca="false" t="array" ref="L2067:L2067">IFERROR(INDEX(AC2067:AE2067,IF(COUNTA(AC2067:AE2067)=0,"",MAX((AC2067:AE2067&lt;&gt;"")*(COLUMN(AC2067:AE2067)-(COLUMN(AC2067)-2))))-1),"")</f>
        <v>ARCHIVED</v>
      </c>
      <c r="M2067" s="13" t="n">
        <f aca="true">K2067-TODAY()</f>
        <v>-390</v>
      </c>
      <c r="N2067" s="18" t="s">
        <v>36</v>
      </c>
      <c r="O2067" s="13" t="s">
        <v>58</v>
      </c>
      <c r="P2067" s="19" t="n">
        <v>90000</v>
      </c>
      <c r="Q2067" s="20" t="s">
        <v>8914</v>
      </c>
      <c r="R2067" s="13" t="s">
        <v>39</v>
      </c>
      <c r="S2067" s="16" t="n">
        <v>34837</v>
      </c>
      <c r="T2067" s="28" t="s">
        <v>40</v>
      </c>
      <c r="U2067" s="13" t="s">
        <v>8915</v>
      </c>
      <c r="V2067" s="13" t="s">
        <v>42</v>
      </c>
      <c r="W2067" s="13" t="s">
        <v>43</v>
      </c>
      <c r="X2067" s="21" t="n">
        <v>83897684512</v>
      </c>
      <c r="Y2067" s="22" t="str">
        <f aca="false">O2067</f>
        <v>Produksi</v>
      </c>
      <c r="Z2067" s="13" t="str">
        <f aca="false">IFERROR(__xludf.dummyfunction("if(BJ2067="""","""",GOOGLETRANSLATE(BJ2067,""auto"",""en""))"),"Production")</f>
        <v>Production</v>
      </c>
      <c r="AA2067" s="23" t="str">
        <f aca="false">IF(C2067="","", CHOOSE(MONTH(C2067),"January","February","March","April","May","June","July","August","September","October","November","December")&amp;" "&amp;DAY(C2067)&amp;MID("thstndrdth",MIN(9,2*RIGHT(DAY(C2067))*(MOD(DAY(C2067)-11,100)&gt;2)+1),2)&amp;","&amp;TEXT(C2067," yyyy"))</f>
        <v>April 10th,2025</v>
      </c>
      <c r="AB2067" s="15" t="str">
        <f aca="true">IF(S2067="","",DATEDIF(S2067,TODAY(),"Y")&amp;" Tahun, "&amp;DATEDIF(S2067,TODAY(),"YM")&amp;" Bulan, "&amp;DATEDIF(S2067,TODAY(),"MD")&amp;" Hari")</f>
        <v>31 Tahun, 5 Bulan, 11 Hari</v>
      </c>
      <c r="AC2067" s="18" t="n">
        <v>45848</v>
      </c>
      <c r="AD2067" s="18" t="n">
        <v>45934</v>
      </c>
      <c r="AE2067" s="18" t="s">
        <v>44</v>
      </c>
    </row>
    <row r="2068" customFormat="false" ht="15" hidden="false" customHeight="true" outlineLevel="0" collapsed="false">
      <c r="A2068" s="12" t="n">
        <v>19199</v>
      </c>
      <c r="B2068" s="13" t="s">
        <v>8916</v>
      </c>
      <c r="C2068" s="16" t="n">
        <v>45757</v>
      </c>
      <c r="D2068" s="13" t="s">
        <v>3022</v>
      </c>
      <c r="E2068" s="15" t="s">
        <v>102</v>
      </c>
      <c r="F2068" s="15" t="str">
        <f aca="false">IFERROR(__xludf.dummyfunction("XLOOKUP(AJ2068,IMPORTRANGE(""1XaInW9DU9nz21V0tYIfzFQ0He9kVQ_JF2mCXgZ3hqFA"",""REKAP ALL 2026 - Andika!G:G""),IMPORTRANGE(""1XaInW9DU9nz21V0tYIfzFQ0He9kVQ_JF2mCXgZ3hqFA"",""REKAP ALL 2026 - Andika!F:F""),"""",0)"),"25047636524")</f>
        <v>25047636524</v>
      </c>
      <c r="G2068" s="13" t="s">
        <v>1127</v>
      </c>
      <c r="H2068" s="13" t="s">
        <v>3024</v>
      </c>
      <c r="I2068" s="13" t="str">
        <f aca="false">IF(C2068=J2068,"NEW KONTRAK","RE-KONTRAK")</f>
        <v>RE-KONTRAK</v>
      </c>
      <c r="J2068" s="16" t="n">
        <f aca="false" t="array" ref="J2068:J2068">IFERROR(INDEX(AC2068:AE2068,IF(COUNTA(AC2068:AE2068)=0,"",MAX((AC2068:AE2068&lt;&gt;"")*(COLUMN(AC2068:AE2068)-(COLUMN(AC2068)))))-1),"")</f>
        <v>45848</v>
      </c>
      <c r="K2068" s="16" t="n">
        <f aca="false" t="array" ref="K2068:K2068">IFERROR(INDEX(AC2068:AE2068,IF(COUNTA(AC2068:AE2068)=0,"",MAX((AC2068:AE2068&lt;&gt;"")*(COLUMN(AC2068:AE2068)-(COLUMN(AC2068)-1))))-1),"")</f>
        <v>45934</v>
      </c>
      <c r="L2068" s="17" t="str">
        <f aca="false" t="array" ref="L2068:L2068">IFERROR(INDEX(AC2068:AE2068,IF(COUNTA(AC2068:AE2068)=0,"",MAX((AC2068:AE2068&lt;&gt;"")*(COLUMN(AC2068:AE2068)-(COLUMN(AC2068)-2))))-1),"")</f>
        <v>ARCHIVED</v>
      </c>
      <c r="M2068" s="13" t="n">
        <f aca="true">K2068-TODAY()</f>
        <v>-390</v>
      </c>
      <c r="N2068" s="18" t="s">
        <v>36</v>
      </c>
      <c r="O2068" s="13" t="s">
        <v>58</v>
      </c>
      <c r="P2068" s="19" t="n">
        <v>112500</v>
      </c>
      <c r="Q2068" s="20" t="s">
        <v>8917</v>
      </c>
      <c r="R2068" s="13" t="s">
        <v>39</v>
      </c>
      <c r="S2068" s="16" t="n">
        <v>34486</v>
      </c>
      <c r="T2068" s="28" t="s">
        <v>40</v>
      </c>
      <c r="U2068" s="13" t="s">
        <v>5238</v>
      </c>
      <c r="V2068" s="13" t="s">
        <v>42</v>
      </c>
      <c r="W2068" s="13" t="s">
        <v>43</v>
      </c>
      <c r="X2068" s="21" t="n">
        <v>85791218562</v>
      </c>
      <c r="Y2068" s="22" t="str">
        <f aca="false">O2068</f>
        <v>Produksi</v>
      </c>
      <c r="Z2068" s="13" t="str">
        <f aca="false">IFERROR(__xludf.dummyfunction("if(BJ2068="""","""",GOOGLETRANSLATE(BJ2068,""auto"",""en""))"),"Production")</f>
        <v>Production</v>
      </c>
      <c r="AA2068" s="23" t="str">
        <f aca="false">IF(C2068="","", CHOOSE(MONTH(C2068),"January","February","March","April","May","June","July","August","September","October","November","December")&amp;" "&amp;DAY(C2068)&amp;MID("thstndrdth",MIN(9,2*RIGHT(DAY(C2068))*(MOD(DAY(C2068)-11,100)&gt;2)+1),2)&amp;","&amp;TEXT(C2068," yyyy"))</f>
        <v>April 10th,2025</v>
      </c>
      <c r="AB2068" s="15" t="str">
        <f aca="true">IF(S2068="","",DATEDIF(S2068,TODAY(),"Y")&amp;" Tahun, "&amp;DATEDIF(S2068,TODAY(),"YM")&amp;" Bulan, "&amp;DATEDIF(S2068,TODAY(),"MD")&amp;" Hari")</f>
        <v>32 Tahun, 4 Bulan, 28 Hari</v>
      </c>
      <c r="AC2068" s="18" t="n">
        <v>45848</v>
      </c>
      <c r="AD2068" s="18" t="n">
        <v>45934</v>
      </c>
      <c r="AE2068" s="18" t="s">
        <v>44</v>
      </c>
    </row>
    <row r="2069" customFormat="false" ht="15" hidden="false" customHeight="true" outlineLevel="0" collapsed="false">
      <c r="A2069" s="12" t="n">
        <v>19216</v>
      </c>
      <c r="B2069" s="13" t="s">
        <v>8918</v>
      </c>
      <c r="C2069" s="16" t="n">
        <v>45762</v>
      </c>
      <c r="D2069" s="13" t="s">
        <v>144</v>
      </c>
      <c r="E2069" s="15" t="s">
        <v>47</v>
      </c>
      <c r="F2069" s="15" t="str">
        <f aca="false">IFERROR(__xludf.dummyfunction("XLOOKUP(AJ2069,IMPORTRANGE(""1XaInW9DU9nz21V0tYIfzFQ0He9kVQ_JF2mCXgZ3hqFA"",""REKAP ALL 2026 - Andika!G:G""),IMPORTRANGE(""1XaInW9DU9nz21V0tYIfzFQ0He9kVQ_JF2mCXgZ3hqFA"",""REKAP ALL 2026 - Andika!F:F""),"""",0)"),"25047636672")</f>
        <v>25047636672</v>
      </c>
      <c r="G2069" s="13" t="s">
        <v>8919</v>
      </c>
      <c r="H2069" s="13" t="s">
        <v>35</v>
      </c>
      <c r="I2069" s="13" t="str">
        <f aca="false">IF(C2069=J2069,"NEW KONTRAK","RE-KONTRAK")</f>
        <v>NEW KONTRAK</v>
      </c>
      <c r="J2069" s="16" t="n">
        <f aca="false" t="array" ref="J2069:J2069">IFERROR(INDEX(AC2069:AE2069,IF(COUNTA(AC2069:AE2069)=0,"",MAX((AC2069:AE2069&lt;&gt;"")*(COLUMN(AC2069:AE2069)-(COLUMN(AC2069)))))-1),"")</f>
        <v>45762</v>
      </c>
      <c r="K2069" s="16" t="n">
        <f aca="false" t="array" ref="K2069:K2069">IFERROR(INDEX(AC2069:AE2069,IF(COUNTA(AC2069:AE2069)=0,"",MAX((AC2069:AE2069&lt;&gt;"")*(COLUMN(AC2069:AE2069)-(COLUMN(AC2069)-1))))-1),"")</f>
        <v>46022</v>
      </c>
      <c r="L2069" s="17" t="str">
        <f aca="false" t="array" ref="L2069:L2069">IFERROR(INDEX(AC2069:AE2069,IF(COUNTA(AC2069:AE2069)=0,"",MAX((AC2069:AE2069&lt;&gt;"")*(COLUMN(AC2069:AE2069)-(COLUMN(AC2069)-2))))-1),"")</f>
        <v>ARCHIVED</v>
      </c>
      <c r="M2069" s="13" t="n">
        <f aca="true">K2069-TODAY()</f>
        <v>-302</v>
      </c>
      <c r="N2069" s="18" t="s">
        <v>36</v>
      </c>
      <c r="O2069" s="13" t="s">
        <v>8821</v>
      </c>
      <c r="P2069" s="19" t="n">
        <v>5195401</v>
      </c>
      <c r="Q2069" s="20" t="s">
        <v>8920</v>
      </c>
      <c r="R2069" s="13" t="s">
        <v>65</v>
      </c>
      <c r="S2069" s="16" t="n">
        <v>36019</v>
      </c>
      <c r="T2069" s="28" t="s">
        <v>40</v>
      </c>
      <c r="U2069" s="13" t="s">
        <v>8921</v>
      </c>
      <c r="V2069" s="13" t="s">
        <v>42</v>
      </c>
      <c r="W2069" s="13" t="s">
        <v>43</v>
      </c>
      <c r="X2069" s="21" t="n">
        <v>81556659669</v>
      </c>
      <c r="Y2069" s="22" t="str">
        <f aca="false">O2069</f>
        <v>Koordinator Picker</v>
      </c>
      <c r="Z2069" s="13" t="str">
        <f aca="false">IFERROR(__xludf.dummyfunction("if(BJ2069="""","""",GOOGLETRANSLATE(BJ2069,""auto"",""en""))"),"Koordinator Picker")</f>
        <v>Koordinator Picker</v>
      </c>
      <c r="AA2069" s="23" t="str">
        <f aca="false">IF(C2069="","", CHOOSE(MONTH(C2069),"January","February","March","April","May","June","July","August","September","October","November","December")&amp;" "&amp;DAY(C2069)&amp;MID("thstndrdth",MIN(9,2*RIGHT(DAY(C2069))*(MOD(DAY(C2069)-11,100)&gt;2)+1),2)&amp;","&amp;TEXT(C2069," yyyy"))</f>
        <v>April 15th,2025</v>
      </c>
      <c r="AB2069" s="15" t="str">
        <f aca="true">IF(S2069="","",DATEDIF(S2069,TODAY(),"Y")&amp;" Tahun, "&amp;DATEDIF(S2069,TODAY(),"YM")&amp;" Bulan, "&amp;DATEDIF(S2069,TODAY(),"MD")&amp;" Hari")</f>
        <v>28 Tahun, 2 Bulan, 17 Hari</v>
      </c>
      <c r="AC2069" s="18" t="n">
        <v>45762</v>
      </c>
      <c r="AD2069" s="18" t="n">
        <v>46022</v>
      </c>
      <c r="AE2069" s="18" t="s">
        <v>44</v>
      </c>
    </row>
    <row r="2070" customFormat="false" ht="15" hidden="false" customHeight="true" outlineLevel="0" collapsed="false">
      <c r="A2070" s="12" t="n">
        <v>19211</v>
      </c>
      <c r="B2070" s="13" t="s">
        <v>8922</v>
      </c>
      <c r="C2070" s="16" t="n">
        <v>45761</v>
      </c>
      <c r="D2070" s="13" t="s">
        <v>2046</v>
      </c>
      <c r="E2070" s="15" t="s">
        <v>102</v>
      </c>
      <c r="F2070" s="24" t="s">
        <v>8923</v>
      </c>
      <c r="G2070" s="13" t="s">
        <v>8924</v>
      </c>
      <c r="H2070" s="13" t="s">
        <v>35</v>
      </c>
      <c r="I2070" s="13" t="str">
        <f aca="false">IF(C2070=J2070,"NEW KONTRAK","RE-KONTRAK")</f>
        <v>RE-KONTRAK</v>
      </c>
      <c r="J2070" s="16" t="n">
        <f aca="false" t="array" ref="J2070:J2070">IFERROR(INDEX(AC2070:AE2070,IF(COUNTA(AC2070:AE2070)=0,"",MAX((AC2070:AE2070&lt;&gt;"")*(COLUMN(AC2070:AE2070)-(COLUMN(AC2070)))))-1),"")</f>
        <v>45839</v>
      </c>
      <c r="K2070" s="16" t="n">
        <f aca="false" t="array" ref="K2070:K2070">IFERROR(INDEX(AC2070:AE2070,IF(COUNTA(AC2070:AE2070)=0,"",MAX((AC2070:AE2070&lt;&gt;"")*(COLUMN(AC2070:AE2070)-(COLUMN(AC2070)-1))))-1),"")</f>
        <v>45961</v>
      </c>
      <c r="L2070" s="17" t="str">
        <f aca="false" t="array" ref="L2070:L2070">IFERROR(INDEX(AC2070:AE2070,IF(COUNTA(AC2070:AE2070)=0,"",MAX((AC2070:AE2070&lt;&gt;"")*(COLUMN(AC2070:AE2070)-(COLUMN(AC2070)-2))))-1),"")</f>
        <v>ARCHIVED</v>
      </c>
      <c r="M2070" s="13" t="n">
        <f aca="true">K2070-TODAY()</f>
        <v>-363</v>
      </c>
      <c r="N2070" s="18" t="s">
        <v>36</v>
      </c>
      <c r="O2070" s="13" t="s">
        <v>58</v>
      </c>
      <c r="P2070" s="19" t="s">
        <v>2050</v>
      </c>
      <c r="Q2070" s="20" t="s">
        <v>8925</v>
      </c>
      <c r="R2070" s="13" t="s">
        <v>65</v>
      </c>
      <c r="S2070" s="16" t="n">
        <v>37385</v>
      </c>
      <c r="T2070" s="28" t="s">
        <v>40</v>
      </c>
      <c r="U2070" s="13" t="s">
        <v>8926</v>
      </c>
      <c r="V2070" s="13" t="s">
        <v>42</v>
      </c>
      <c r="W2070" s="13" t="s">
        <v>43</v>
      </c>
      <c r="X2070" s="21" t="n">
        <v>85755421582</v>
      </c>
      <c r="Y2070" s="22" t="str">
        <f aca="false">O2070</f>
        <v>Produksi</v>
      </c>
      <c r="Z2070" s="13" t="str">
        <f aca="false">IFERROR(__xludf.dummyfunction("if(BJ2070="""","""",GOOGLETRANSLATE(BJ2070,""auto"",""en""))"),"Production")</f>
        <v>Production</v>
      </c>
      <c r="AA2070" s="23" t="str">
        <f aca="false">IF(C2070="","", CHOOSE(MONTH(C2070),"January","February","March","April","May","June","July","August","September","October","November","December")&amp;" "&amp;DAY(C2070)&amp;MID("thstndrdth",MIN(9,2*RIGHT(DAY(C2070))*(MOD(DAY(C2070)-11,100)&gt;2)+1),2)&amp;","&amp;TEXT(C2070," yyyy"))</f>
        <v>April 14th,2025</v>
      </c>
      <c r="AB2070" s="15" t="str">
        <f aca="true">IF(S2070="","",DATEDIF(S2070,TODAY(),"Y")&amp;" Tahun, "&amp;DATEDIF(S2070,TODAY(),"YM")&amp;" Bulan, "&amp;DATEDIF(S2070,TODAY(),"MD")&amp;" Hari")</f>
        <v>24 Tahun, 5 Bulan, 20 Hari</v>
      </c>
      <c r="AC2070" s="18" t="n">
        <v>45839</v>
      </c>
      <c r="AD2070" s="18" t="n">
        <v>45961</v>
      </c>
      <c r="AE2070" s="18" t="s">
        <v>44</v>
      </c>
    </row>
    <row r="2071" customFormat="false" ht="15" hidden="false" customHeight="true" outlineLevel="0" collapsed="false">
      <c r="A2071" s="12" t="n">
        <v>19212</v>
      </c>
      <c r="B2071" s="13" t="s">
        <v>8927</v>
      </c>
      <c r="C2071" s="16" t="n">
        <v>45761</v>
      </c>
      <c r="D2071" s="13" t="s">
        <v>2046</v>
      </c>
      <c r="E2071" s="15" t="s">
        <v>789</v>
      </c>
      <c r="F2071" s="24" t="s">
        <v>8928</v>
      </c>
      <c r="G2071" s="13" t="s">
        <v>8929</v>
      </c>
      <c r="H2071" s="13" t="s">
        <v>35</v>
      </c>
      <c r="I2071" s="13" t="str">
        <f aca="false">IF(C2071=J2071,"NEW KONTRAK","RE-KONTRAK")</f>
        <v>RE-KONTRAK</v>
      </c>
      <c r="J2071" s="16" t="n">
        <f aca="false" t="array" ref="J2071:J2071">IFERROR(INDEX(AC2071:AE2071,IF(COUNTA(AC2071:AE2071)=0,"",MAX((AC2071:AE2071&lt;&gt;"")*(COLUMN(AC2071:AE2071)-(COLUMN(AC2071)))))-1),"")</f>
        <v>45839</v>
      </c>
      <c r="K2071" s="16" t="n">
        <f aca="false" t="array" ref="K2071:K2071">IFERROR(INDEX(AC2071:AE2071,IF(COUNTA(AC2071:AE2071)=0,"",MAX((AC2071:AE2071&lt;&gt;"")*(COLUMN(AC2071:AE2071)-(COLUMN(AC2071)-1))))-1),"")</f>
        <v>45961</v>
      </c>
      <c r="L2071" s="17" t="str">
        <f aca="false" t="array" ref="L2071:L2071">IFERROR(INDEX(AC2071:AE2071,IF(COUNTA(AC2071:AE2071)=0,"",MAX((AC2071:AE2071&lt;&gt;"")*(COLUMN(AC2071:AE2071)-(COLUMN(AC2071)-2))))-1),"")</f>
        <v>ARCHIVED</v>
      </c>
      <c r="M2071" s="13" t="n">
        <f aca="true">K2071-TODAY()</f>
        <v>-363</v>
      </c>
      <c r="N2071" s="18" t="s">
        <v>36</v>
      </c>
      <c r="O2071" s="13" t="s">
        <v>58</v>
      </c>
      <c r="P2071" s="19" t="s">
        <v>2050</v>
      </c>
      <c r="Q2071" s="20" t="s">
        <v>8930</v>
      </c>
      <c r="R2071" s="13" t="s">
        <v>39</v>
      </c>
      <c r="S2071" s="16" t="n">
        <v>37061</v>
      </c>
      <c r="T2071" s="28" t="s">
        <v>40</v>
      </c>
      <c r="U2071" s="13" t="s">
        <v>8931</v>
      </c>
      <c r="V2071" s="13" t="s">
        <v>42</v>
      </c>
      <c r="W2071" s="13" t="s">
        <v>43</v>
      </c>
      <c r="X2071" s="21" t="n">
        <v>85718452877</v>
      </c>
      <c r="Y2071" s="22" t="str">
        <f aca="false">O2071</f>
        <v>Produksi</v>
      </c>
      <c r="Z2071" s="13" t="str">
        <f aca="false">IFERROR(__xludf.dummyfunction("if(BJ2071="""","""",GOOGLETRANSLATE(BJ2071,""auto"",""en""))"),"Production")</f>
        <v>Production</v>
      </c>
      <c r="AA2071" s="23" t="str">
        <f aca="false">IF(C2071="","", CHOOSE(MONTH(C2071),"January","February","March","April","May","June","July","August","September","October","November","December")&amp;" "&amp;DAY(C2071)&amp;MID("thstndrdth",MIN(9,2*RIGHT(DAY(C2071))*(MOD(DAY(C2071)-11,100)&gt;2)+1),2)&amp;","&amp;TEXT(C2071," yyyy"))</f>
        <v>April 14th,2025</v>
      </c>
      <c r="AB2071" s="15" t="str">
        <f aca="true">IF(S2071="","",DATEDIF(S2071,TODAY(),"Y")&amp;" Tahun, "&amp;DATEDIF(S2071,TODAY(),"YM")&amp;" Bulan, "&amp;DATEDIF(S2071,TODAY(),"MD")&amp;" Hari")</f>
        <v>25 Tahun, 4 Bulan, 10 Hari</v>
      </c>
      <c r="AC2071" s="18" t="n">
        <v>45839</v>
      </c>
      <c r="AD2071" s="18" t="n">
        <v>45961</v>
      </c>
      <c r="AE2071" s="18" t="s">
        <v>44</v>
      </c>
    </row>
    <row r="2072" customFormat="false" ht="15" hidden="false" customHeight="true" outlineLevel="0" collapsed="false">
      <c r="A2072" s="12" t="n">
        <v>19213</v>
      </c>
      <c r="B2072" s="13" t="s">
        <v>8932</v>
      </c>
      <c r="C2072" s="16" t="n">
        <v>45761</v>
      </c>
      <c r="D2072" s="13" t="s">
        <v>2046</v>
      </c>
      <c r="E2072" s="15" t="s">
        <v>102</v>
      </c>
      <c r="F2072" s="15" t="str">
        <f aca="false">IFERROR(__xludf.dummyfunction("XLOOKUP(AJ2072,IMPORTRANGE(""1XaInW9DU9nz21V0tYIfzFQ0He9kVQ_JF2mCXgZ3hqFA"",""REKAP ALL 2026 - Andika!G:G""),IMPORTRANGE(""1XaInW9DU9nz21V0tYIfzFQ0He9kVQ_JF2mCXgZ3hqFA"",""REKAP ALL 2026 - Andika!F:F""),"""",0)"),"25062537961")</f>
        <v>25062537961</v>
      </c>
      <c r="G2072" s="13" t="s">
        <v>8933</v>
      </c>
      <c r="H2072" s="13" t="s">
        <v>35</v>
      </c>
      <c r="I2072" s="13" t="str">
        <f aca="false">IF(C2072=J2072,"NEW KONTRAK","RE-KONTRAK")</f>
        <v>RE-KONTRAK</v>
      </c>
      <c r="J2072" s="16" t="n">
        <f aca="false" t="array" ref="J2072:J2072">IFERROR(INDEX(AC2072:AE2072,IF(COUNTA(AC2072:AE2072)=0,"",MAX((AC2072:AE2072&lt;&gt;"")*(COLUMN(AC2072:AE2072)-(COLUMN(AC2072)))))-1),"")</f>
        <v>45839</v>
      </c>
      <c r="K2072" s="16" t="n">
        <f aca="false" t="array" ref="K2072:K2072">IFERROR(INDEX(AC2072:AE2072,IF(COUNTA(AC2072:AE2072)=0,"",MAX((AC2072:AE2072&lt;&gt;"")*(COLUMN(AC2072:AE2072)-(COLUMN(AC2072)-1))))-1),"")</f>
        <v>45961</v>
      </c>
      <c r="L2072" s="17" t="str">
        <f aca="false" t="array" ref="L2072:L2072">IFERROR(INDEX(AC2072:AE2072,IF(COUNTA(AC2072:AE2072)=0,"",MAX((AC2072:AE2072&lt;&gt;"")*(COLUMN(AC2072:AE2072)-(COLUMN(AC2072)-2))))-1),"")</f>
        <v>ARCHIVED</v>
      </c>
      <c r="M2072" s="13" t="n">
        <f aca="true">K2072-TODAY()</f>
        <v>-363</v>
      </c>
      <c r="N2072" s="18" t="s">
        <v>36</v>
      </c>
      <c r="O2072" s="13" t="s">
        <v>58</v>
      </c>
      <c r="P2072" s="19" t="s">
        <v>2050</v>
      </c>
      <c r="Q2072" s="20" t="s">
        <v>8934</v>
      </c>
      <c r="R2072" s="13" t="s">
        <v>39</v>
      </c>
      <c r="S2072" s="16" t="n">
        <v>38444</v>
      </c>
      <c r="T2072" s="28" t="s">
        <v>40</v>
      </c>
      <c r="U2072" s="13" t="s">
        <v>8935</v>
      </c>
      <c r="V2072" s="13" t="s">
        <v>42</v>
      </c>
      <c r="W2072" s="13" t="s">
        <v>43</v>
      </c>
      <c r="X2072" s="21" t="n">
        <v>85875551885</v>
      </c>
      <c r="Y2072" s="22" t="str">
        <f aca="false">O2072</f>
        <v>Produksi</v>
      </c>
      <c r="Z2072" s="13" t="str">
        <f aca="false">IFERROR(__xludf.dummyfunction("if(BJ2072="""","""",GOOGLETRANSLATE(BJ2072,""auto"",""en""))"),"Production")</f>
        <v>Production</v>
      </c>
      <c r="AA2072" s="23" t="str">
        <f aca="false">IF(C2072="","", CHOOSE(MONTH(C2072),"January","February","March","April","May","June","July","August","September","October","November","December")&amp;" "&amp;DAY(C2072)&amp;MID("thstndrdth",MIN(9,2*RIGHT(DAY(C2072))*(MOD(DAY(C2072)-11,100)&gt;2)+1),2)&amp;","&amp;TEXT(C2072," yyyy"))</f>
        <v>April 14th,2025</v>
      </c>
      <c r="AB2072" s="15" t="str">
        <f aca="true">IF(S2072="","",DATEDIF(S2072,TODAY(),"Y")&amp;" Tahun, "&amp;DATEDIF(S2072,TODAY(),"YM")&amp;" Bulan, "&amp;DATEDIF(S2072,TODAY(),"MD")&amp;" Hari")</f>
        <v>21 Tahun, 6 Bulan, 27 Hari</v>
      </c>
      <c r="AC2072" s="18" t="n">
        <v>45839</v>
      </c>
      <c r="AD2072" s="18" t="n">
        <v>45961</v>
      </c>
      <c r="AE2072" s="18" t="s">
        <v>44</v>
      </c>
    </row>
    <row r="2073" customFormat="false" ht="15" hidden="false" customHeight="true" outlineLevel="0" collapsed="false">
      <c r="A2073" s="12" t="n">
        <v>19214</v>
      </c>
      <c r="B2073" s="13" t="s">
        <v>8936</v>
      </c>
      <c r="C2073" s="16" t="n">
        <v>45761</v>
      </c>
      <c r="D2073" s="13" t="s">
        <v>2046</v>
      </c>
      <c r="E2073" s="15" t="s">
        <v>33</v>
      </c>
      <c r="F2073" s="24" t="s">
        <v>8937</v>
      </c>
      <c r="G2073" s="13" t="s">
        <v>1127</v>
      </c>
      <c r="H2073" s="13" t="s">
        <v>35</v>
      </c>
      <c r="I2073" s="13" t="str">
        <f aca="false">IF(C2073=J2073,"NEW KONTRAK","RE-KONTRAK")</f>
        <v>RE-KONTRAK</v>
      </c>
      <c r="J2073" s="16" t="n">
        <f aca="false" t="array" ref="J2073:J2073">IFERROR(INDEX(AC2073:AE2073,IF(COUNTA(AC2073:AE2073)=0,"",MAX((AC2073:AE2073&lt;&gt;"")*(COLUMN(AC2073:AE2073)-(COLUMN(AC2073)))))-1),"")</f>
        <v>45839</v>
      </c>
      <c r="K2073" s="16" t="n">
        <f aca="false" t="array" ref="K2073:K2073">IFERROR(INDEX(AC2073:AE2073,IF(COUNTA(AC2073:AE2073)=0,"",MAX((AC2073:AE2073&lt;&gt;"")*(COLUMN(AC2073:AE2073)-(COLUMN(AC2073)-1))))-1),"")</f>
        <v>45961</v>
      </c>
      <c r="L2073" s="17" t="str">
        <f aca="false" t="array" ref="L2073:L2073">IFERROR(INDEX(AC2073:AE2073,IF(COUNTA(AC2073:AE2073)=0,"",MAX((AC2073:AE2073&lt;&gt;"")*(COLUMN(AC2073:AE2073)-(COLUMN(AC2073)-2))))-1),"")</f>
        <v>ARCHIVED</v>
      </c>
      <c r="M2073" s="13" t="n">
        <f aca="true">K2073-TODAY()</f>
        <v>-363</v>
      </c>
      <c r="N2073" s="18" t="s">
        <v>36</v>
      </c>
      <c r="O2073" s="13" t="s">
        <v>58</v>
      </c>
      <c r="P2073" s="27" t="n">
        <v>5176101</v>
      </c>
      <c r="Q2073" s="20" t="s">
        <v>8938</v>
      </c>
      <c r="R2073" s="13" t="s">
        <v>39</v>
      </c>
      <c r="S2073" s="16" t="n">
        <v>38351</v>
      </c>
      <c r="T2073" s="28" t="s">
        <v>40</v>
      </c>
      <c r="U2073" s="13" t="s">
        <v>8939</v>
      </c>
      <c r="V2073" s="13" t="s">
        <v>42</v>
      </c>
      <c r="W2073" s="13" t="s">
        <v>43</v>
      </c>
      <c r="X2073" s="30" t="n">
        <v>87756855744</v>
      </c>
      <c r="Y2073" s="22" t="str">
        <f aca="false">O2073</f>
        <v>Produksi</v>
      </c>
      <c r="Z2073" s="13" t="str">
        <f aca="false">IFERROR(__xludf.dummyfunction("if(BJ2073="""","""",GOOGLETRANSLATE(BJ2073,""auto"",""en""))"),"Production")</f>
        <v>Production</v>
      </c>
      <c r="AA2073" s="23" t="str">
        <f aca="false">IF(C2073="","", CHOOSE(MONTH(C2073),"January","February","March","April","May","June","July","August","September","October","November","December")&amp;" "&amp;DAY(C2073)&amp;MID("thstndrdth",MIN(9,2*RIGHT(DAY(C2073))*(MOD(DAY(C2073)-11,100)&gt;2)+1),2)&amp;","&amp;TEXT(C2073," yyyy"))</f>
        <v>April 14th,2025</v>
      </c>
      <c r="AB2073" s="15" t="str">
        <f aca="true">IF(S2073="","",DATEDIF(S2073,TODAY(),"Y")&amp;" Tahun, "&amp;DATEDIF(S2073,TODAY(),"YM")&amp;" Bulan, "&amp;DATEDIF(S2073,TODAY(),"MD")&amp;" Hari")</f>
        <v>21 Tahun, 9 Bulan, 29 Hari</v>
      </c>
      <c r="AC2073" s="18" t="n">
        <v>45839</v>
      </c>
      <c r="AD2073" s="18" t="n">
        <v>45961</v>
      </c>
      <c r="AE2073" s="18" t="s">
        <v>44</v>
      </c>
    </row>
    <row r="2074" customFormat="false" ht="15" hidden="false" customHeight="true" outlineLevel="0" collapsed="false">
      <c r="A2074" s="12" t="n">
        <v>19218</v>
      </c>
      <c r="B2074" s="13" t="s">
        <v>8940</v>
      </c>
      <c r="C2074" s="16" t="n">
        <v>45762</v>
      </c>
      <c r="D2074" s="13" t="s">
        <v>144</v>
      </c>
      <c r="E2074" s="15" t="s">
        <v>47</v>
      </c>
      <c r="F2074" s="15" t="str">
        <f aca="false">IFERROR(__xludf.dummyfunction("XLOOKUP(AJ2074,IMPORTRANGE(""1XaInW9DU9nz21V0tYIfzFQ0He9kVQ_JF2mCXgZ3hqFA"",""REKAP ALL 2026 - Andika!G:G""),IMPORTRANGE(""1XaInW9DU9nz21V0tYIfzFQ0He9kVQ_JF2mCXgZ3hqFA"",""REKAP ALL 2026 - Andika!F:F""),"""",0)"),"25047636698")</f>
        <v>25047636698</v>
      </c>
      <c r="G2074" s="13" t="s">
        <v>8941</v>
      </c>
      <c r="H2074" s="13" t="s">
        <v>35</v>
      </c>
      <c r="I2074" s="13" t="str">
        <f aca="false">IF(C2074=J2074,"NEW KONTRAK","RE-KONTRAK")</f>
        <v>NEW KONTRAK</v>
      </c>
      <c r="J2074" s="16" t="n">
        <f aca="false" t="array" ref="J2074:J2074">IFERROR(INDEX(AC2074:AE2074,IF(COUNTA(AC2074:AE2074)=0,"",MAX((AC2074:AE2074&lt;&gt;"")*(COLUMN(AC2074:AE2074)-(COLUMN(AC2074)))))-1),"")</f>
        <v>45762</v>
      </c>
      <c r="K2074" s="16" t="n">
        <f aca="false" t="array" ref="K2074:K2074">IFERROR(INDEX(AC2074:AE2074,IF(COUNTA(AC2074:AE2074)=0,"",MAX((AC2074:AE2074&lt;&gt;"")*(COLUMN(AC2074:AE2074)-(COLUMN(AC2074)-1))))-1),"")</f>
        <v>46022</v>
      </c>
      <c r="L2074" s="17" t="str">
        <f aca="false" t="array" ref="L2074:L2074">IFERROR(INDEX(AC2074:AE2074,IF(COUNTA(AC2074:AE2074)=0,"",MAX((AC2074:AE2074&lt;&gt;"")*(COLUMN(AC2074:AE2074)-(COLUMN(AC2074)-2))))-1),"")</f>
        <v>ARCHIVED</v>
      </c>
      <c r="M2074" s="13" t="n">
        <f aca="true">K2074-TODAY()</f>
        <v>-302</v>
      </c>
      <c r="N2074" s="18" t="s">
        <v>36</v>
      </c>
      <c r="O2074" s="13" t="s">
        <v>146</v>
      </c>
      <c r="P2074" s="19" t="n">
        <v>5195401</v>
      </c>
      <c r="Q2074" s="20" t="s">
        <v>8942</v>
      </c>
      <c r="R2074" s="13" t="s">
        <v>78</v>
      </c>
      <c r="S2074" s="16" t="n">
        <v>35665</v>
      </c>
      <c r="T2074" s="28" t="s">
        <v>40</v>
      </c>
      <c r="U2074" s="13" t="s">
        <v>8943</v>
      </c>
      <c r="V2074" s="13" t="s">
        <v>42</v>
      </c>
      <c r="W2074" s="13" t="s">
        <v>43</v>
      </c>
      <c r="X2074" s="21" t="n">
        <v>82132248136</v>
      </c>
      <c r="Y2074" s="22" t="str">
        <f aca="false">O2074</f>
        <v>Enamel</v>
      </c>
      <c r="Z2074" s="13" t="str">
        <f aca="false">IFERROR(__xludf.dummyfunction("if(BJ2074="""","""",GOOGLETRANSLATE(BJ2074,""auto"",""en""))"),"Enamel")</f>
        <v>Enamel</v>
      </c>
      <c r="AA2074" s="23" t="str">
        <f aca="false">IF(C2074="","", CHOOSE(MONTH(C2074),"January","February","March","April","May","June","July","August","September","October","November","December")&amp;" "&amp;DAY(C2074)&amp;MID("thstndrdth",MIN(9,2*RIGHT(DAY(C2074))*(MOD(DAY(C2074)-11,100)&gt;2)+1),2)&amp;","&amp;TEXT(C2074," yyyy"))</f>
        <v>April 15th,2025</v>
      </c>
      <c r="AB2074" s="15" t="str">
        <f aca="true">IF(S2074="","",DATEDIF(S2074,TODAY(),"Y")&amp;" Tahun, "&amp;DATEDIF(S2074,TODAY(),"YM")&amp;" Bulan, "&amp;DATEDIF(S2074,TODAY(),"MD")&amp;" Hari")</f>
        <v>29 Tahun, 2 Bulan, 6 Hari</v>
      </c>
      <c r="AC2074" s="18" t="n">
        <v>45762</v>
      </c>
      <c r="AD2074" s="18" t="n">
        <v>46022</v>
      </c>
      <c r="AE2074" s="18" t="s">
        <v>44</v>
      </c>
    </row>
    <row r="2075" customFormat="false" ht="15" hidden="false" customHeight="true" outlineLevel="0" collapsed="false">
      <c r="A2075" s="12" t="n">
        <v>19217</v>
      </c>
      <c r="B2075" s="13" t="s">
        <v>8944</v>
      </c>
      <c r="C2075" s="16" t="n">
        <v>45762</v>
      </c>
      <c r="D2075" s="13" t="s">
        <v>144</v>
      </c>
      <c r="E2075" s="15" t="s">
        <v>102</v>
      </c>
      <c r="F2075" s="15" t="str">
        <f aca="false">IFERROR(__xludf.dummyfunction("XLOOKUP(AJ2075,IMPORTRANGE(""1XaInW9DU9nz21V0tYIfzFQ0He9kVQ_JF2mCXgZ3hqFA"",""REKAP ALL 2026 - Andika!G:G""),IMPORTRANGE(""1XaInW9DU9nz21V0tYIfzFQ0He9kVQ_JF2mCXgZ3hqFA"",""REKAP ALL 2026 - Andika!F:F""),"""",0)"),"25047636680")</f>
        <v>25047636680</v>
      </c>
      <c r="G2075" s="13" t="s">
        <v>8945</v>
      </c>
      <c r="H2075" s="13" t="s">
        <v>35</v>
      </c>
      <c r="I2075" s="13" t="str">
        <f aca="false">IF(C2075=J2075,"NEW KONTRAK","RE-KONTRAK")</f>
        <v>NEW KONTRAK</v>
      </c>
      <c r="J2075" s="16" t="n">
        <f aca="false" t="array" ref="J2075:J2075">IFERROR(INDEX(AC2075:AE2075,IF(COUNTA(AC2075:AE2075)=0,"",MAX((AC2075:AE2075&lt;&gt;"")*(COLUMN(AC2075:AE2075)-(COLUMN(AC2075)))))-1),"")</f>
        <v>45762</v>
      </c>
      <c r="K2075" s="16" t="n">
        <f aca="false" t="array" ref="K2075:K2075">IFERROR(INDEX(AC2075:AE2075,IF(COUNTA(AC2075:AE2075)=0,"",MAX((AC2075:AE2075&lt;&gt;"")*(COLUMN(AC2075:AE2075)-(COLUMN(AC2075)-1))))-1),"")</f>
        <v>46022</v>
      </c>
      <c r="L2075" s="17" t="str">
        <f aca="false" t="array" ref="L2075:L2075">IFERROR(INDEX(AC2075:AE2075,IF(COUNTA(AC2075:AE2075)=0,"",MAX((AC2075:AE2075&lt;&gt;"")*(COLUMN(AC2075:AE2075)-(COLUMN(AC2075)-2))))-1),"")</f>
        <v>ARCHIVED</v>
      </c>
      <c r="M2075" s="13" t="n">
        <f aca="true">K2075-TODAY()</f>
        <v>-302</v>
      </c>
      <c r="N2075" s="18" t="s">
        <v>36</v>
      </c>
      <c r="O2075" s="13" t="s">
        <v>6285</v>
      </c>
      <c r="P2075" s="19" t="n">
        <v>5195401</v>
      </c>
      <c r="Q2075" s="20" t="s">
        <v>8946</v>
      </c>
      <c r="R2075" s="13" t="s">
        <v>52</v>
      </c>
      <c r="S2075" s="16" t="n">
        <v>32298</v>
      </c>
      <c r="T2075" s="28" t="s">
        <v>40</v>
      </c>
      <c r="U2075" s="13" t="s">
        <v>8947</v>
      </c>
      <c r="V2075" s="13" t="s">
        <v>42</v>
      </c>
      <c r="W2075" s="13" t="s">
        <v>54</v>
      </c>
      <c r="X2075" s="21" t="n">
        <v>82141337820</v>
      </c>
      <c r="Y2075" s="22" t="str">
        <f aca="false">O2075</f>
        <v>Operator Reach Truck</v>
      </c>
      <c r="Z2075" s="13" t="str">
        <f aca="false">IFERROR(__xludf.dummyfunction("if(BJ2075="""","""",GOOGLETRANSLATE(BJ2075,""auto"",""en""))"),"Operator Reach Truck")</f>
        <v>Operator Reach Truck</v>
      </c>
      <c r="AA2075" s="23" t="str">
        <f aca="false">IF(C2075="","", CHOOSE(MONTH(C2075),"January","February","March","April","May","June","July","August","September","October","November","December")&amp;" "&amp;DAY(C2075)&amp;MID("thstndrdth",MIN(9,2*RIGHT(DAY(C2075))*(MOD(DAY(C2075)-11,100)&gt;2)+1),2)&amp;","&amp;TEXT(C2075," yyyy"))</f>
        <v>April 15th,2025</v>
      </c>
      <c r="AB2075" s="15" t="str">
        <f aca="true">IF(S2075="","",DATEDIF(S2075,TODAY(),"Y")&amp;" Tahun, "&amp;DATEDIF(S2075,TODAY(),"YM")&amp;" Bulan, "&amp;DATEDIF(S2075,TODAY(),"MD")&amp;" Hari")</f>
        <v>38 Tahun, 4 Bulan, 25 Hari</v>
      </c>
      <c r="AC2075" s="18" t="n">
        <v>45762</v>
      </c>
      <c r="AD2075" s="18" t="n">
        <v>46022</v>
      </c>
      <c r="AE2075" s="18" t="s">
        <v>44</v>
      </c>
    </row>
    <row r="2076" customFormat="false" ht="15" hidden="false" customHeight="true" outlineLevel="0" collapsed="false">
      <c r="A2076" s="12" t="n">
        <v>19220</v>
      </c>
      <c r="B2076" s="13" t="s">
        <v>8948</v>
      </c>
      <c r="C2076" s="16" t="n">
        <v>45762</v>
      </c>
      <c r="D2076" s="13" t="s">
        <v>144</v>
      </c>
      <c r="E2076" s="15" t="s">
        <v>47</v>
      </c>
      <c r="F2076" s="15" t="str">
        <f aca="false">IFERROR(__xludf.dummyfunction("XLOOKUP(AJ2076,IMPORTRANGE(""1XaInW9DU9nz21V0tYIfzFQ0He9kVQ_JF2mCXgZ3hqFA"",""REKAP ALL 2026 - Andika!G:G""),IMPORTRANGE(""1XaInW9DU9nz21V0tYIfzFQ0He9kVQ_JF2mCXgZ3hqFA"",""REKAP ALL 2026 - Andika!F:F""),"""",0)"),"25047636714")</f>
        <v>25047636714</v>
      </c>
      <c r="G2076" s="13" t="s">
        <v>8949</v>
      </c>
      <c r="H2076" s="13" t="s">
        <v>35</v>
      </c>
      <c r="I2076" s="13" t="str">
        <f aca="false">IF(C2076=J2076,"NEW KONTRAK","RE-KONTRAK")</f>
        <v>NEW KONTRAK</v>
      </c>
      <c r="J2076" s="16" t="n">
        <f aca="false" t="array" ref="J2076:J2076">IFERROR(INDEX(AC2076:AE2076,IF(COUNTA(AC2076:AE2076)=0,"",MAX((AC2076:AE2076&lt;&gt;"")*(COLUMN(AC2076:AE2076)-(COLUMN(AC2076)))))-1),"")</f>
        <v>45762</v>
      </c>
      <c r="K2076" s="16" t="n">
        <f aca="false" t="array" ref="K2076:K2076">IFERROR(INDEX(AC2076:AE2076,IF(COUNTA(AC2076:AE2076)=0,"",MAX((AC2076:AE2076&lt;&gt;"")*(COLUMN(AC2076:AE2076)-(COLUMN(AC2076)-1))))-1),"")</f>
        <v>46022</v>
      </c>
      <c r="L2076" s="17" t="str">
        <f aca="false" t="array" ref="L2076:L2076">IFERROR(INDEX(AC2076:AE2076,IF(COUNTA(AC2076:AE2076)=0,"",MAX((AC2076:AE2076&lt;&gt;"")*(COLUMN(AC2076:AE2076)-(COLUMN(AC2076)-2))))-1),"")</f>
        <v>ARCHIVED</v>
      </c>
      <c r="M2076" s="13" t="n">
        <f aca="true">K2076-TODAY()</f>
        <v>-302</v>
      </c>
      <c r="N2076" s="18" t="s">
        <v>36</v>
      </c>
      <c r="O2076" s="13" t="s">
        <v>146</v>
      </c>
      <c r="P2076" s="19" t="n">
        <v>5195401</v>
      </c>
      <c r="Q2076" s="20" t="s">
        <v>8950</v>
      </c>
      <c r="R2076" s="13" t="s">
        <v>65</v>
      </c>
      <c r="S2076" s="16" t="n">
        <v>33688</v>
      </c>
      <c r="T2076" s="28" t="s">
        <v>40</v>
      </c>
      <c r="U2076" s="13" t="s">
        <v>8951</v>
      </c>
      <c r="V2076" s="13" t="s">
        <v>42</v>
      </c>
      <c r="W2076" s="13" t="s">
        <v>43</v>
      </c>
      <c r="X2076" s="21" t="n">
        <v>81332764107</v>
      </c>
      <c r="Y2076" s="22" t="str">
        <f aca="false">O2076</f>
        <v>Enamel</v>
      </c>
      <c r="Z2076" s="13" t="str">
        <f aca="false">IFERROR(__xludf.dummyfunction("if(BJ2076="""","""",GOOGLETRANSLATE(BJ2076,""auto"",""en""))"),"Enamel")</f>
        <v>Enamel</v>
      </c>
      <c r="AA2076" s="23" t="str">
        <f aca="false">IF(C2076="","", CHOOSE(MONTH(C2076),"January","February","March","April","May","June","July","August","September","October","November","December")&amp;" "&amp;DAY(C2076)&amp;MID("thstndrdth",MIN(9,2*RIGHT(DAY(C2076))*(MOD(DAY(C2076)-11,100)&gt;2)+1),2)&amp;","&amp;TEXT(C2076," yyyy"))</f>
        <v>April 15th,2025</v>
      </c>
      <c r="AB2076" s="15" t="str">
        <f aca="true">IF(S2076="","",DATEDIF(S2076,TODAY(),"Y")&amp;" Tahun, "&amp;DATEDIF(S2076,TODAY(),"YM")&amp;" Bulan, "&amp;DATEDIF(S2076,TODAY(),"MD")&amp;" Hari")</f>
        <v>34 Tahun, 7 Bulan, 4 Hari</v>
      </c>
      <c r="AC2076" s="18" t="n">
        <v>45762</v>
      </c>
      <c r="AD2076" s="18" t="n">
        <v>46022</v>
      </c>
      <c r="AE2076" s="18" t="s">
        <v>44</v>
      </c>
    </row>
    <row r="2077" customFormat="false" ht="15" hidden="false" customHeight="true" outlineLevel="0" collapsed="false">
      <c r="A2077" s="12" t="n">
        <v>19219</v>
      </c>
      <c r="B2077" s="13" t="s">
        <v>8952</v>
      </c>
      <c r="C2077" s="16" t="n">
        <v>45762</v>
      </c>
      <c r="D2077" s="13" t="s">
        <v>144</v>
      </c>
      <c r="E2077" s="15" t="s">
        <v>102</v>
      </c>
      <c r="F2077" s="15" t="str">
        <f aca="false">IFERROR(__xludf.dummyfunction("XLOOKUP(AJ2077,IMPORTRANGE(""1XaInW9DU9nz21V0tYIfzFQ0He9kVQ_JF2mCXgZ3hqFA"",""REKAP ALL 2026 - Andika!G:G""),IMPORTRANGE(""1XaInW9DU9nz21V0tYIfzFQ0He9kVQ_JF2mCXgZ3hqFA"",""REKAP ALL 2026 - Andika!F:F""),"""",0)"),"25047636706")</f>
        <v>25047636706</v>
      </c>
      <c r="G2077" s="13" t="s">
        <v>8953</v>
      </c>
      <c r="H2077" s="13" t="s">
        <v>35</v>
      </c>
      <c r="I2077" s="13" t="str">
        <f aca="false">IF(C2077=J2077,"NEW KONTRAK","RE-KONTRAK")</f>
        <v>NEW KONTRAK</v>
      </c>
      <c r="J2077" s="16" t="n">
        <f aca="false" t="array" ref="J2077:J2077">IFERROR(INDEX(AC2077:AE2077,IF(COUNTA(AC2077:AE2077)=0,"",MAX((AC2077:AE2077&lt;&gt;"")*(COLUMN(AC2077:AE2077)-(COLUMN(AC2077)))))-1),"")</f>
        <v>45762</v>
      </c>
      <c r="K2077" s="16" t="n">
        <f aca="false" t="array" ref="K2077:K2077">IFERROR(INDEX(AC2077:AE2077,IF(COUNTA(AC2077:AE2077)=0,"",MAX((AC2077:AE2077&lt;&gt;"")*(COLUMN(AC2077:AE2077)-(COLUMN(AC2077)-1))))-1),"")</f>
        <v>46022</v>
      </c>
      <c r="L2077" s="17" t="str">
        <f aca="false" t="array" ref="L2077:L2077">IFERROR(INDEX(AC2077:AE2077,IF(COUNTA(AC2077:AE2077)=0,"",MAX((AC2077:AE2077&lt;&gt;"")*(COLUMN(AC2077:AE2077)-(COLUMN(AC2077)-2))))-1),"")</f>
        <v>ARCHIVED</v>
      </c>
      <c r="M2077" s="13" t="n">
        <f aca="true">K2077-TODAY()</f>
        <v>-302</v>
      </c>
      <c r="N2077" s="18" t="s">
        <v>36</v>
      </c>
      <c r="O2077" s="13" t="s">
        <v>146</v>
      </c>
      <c r="P2077" s="19" t="n">
        <v>5195401</v>
      </c>
      <c r="Q2077" s="20" t="s">
        <v>8954</v>
      </c>
      <c r="R2077" s="13" t="s">
        <v>65</v>
      </c>
      <c r="S2077" s="16" t="n">
        <v>37277</v>
      </c>
      <c r="T2077" s="28" t="s">
        <v>40</v>
      </c>
      <c r="U2077" s="13" t="s">
        <v>8955</v>
      </c>
      <c r="V2077" s="13" t="s">
        <v>42</v>
      </c>
      <c r="W2077" s="13" t="s">
        <v>43</v>
      </c>
      <c r="X2077" s="21" t="n">
        <v>83162970171</v>
      </c>
      <c r="Y2077" s="22" t="str">
        <f aca="false">O2077</f>
        <v>Enamel</v>
      </c>
      <c r="Z2077" s="13" t="str">
        <f aca="false">IFERROR(__xludf.dummyfunction("if(BJ2077="""","""",GOOGLETRANSLATE(BJ2077,""auto"",""en""))"),"Enamel")</f>
        <v>Enamel</v>
      </c>
      <c r="AA2077" s="23" t="str">
        <f aca="false">IF(C2077="","", CHOOSE(MONTH(C2077),"January","February","March","April","May","June","July","August","September","October","November","December")&amp;" "&amp;DAY(C2077)&amp;MID("thstndrdth",MIN(9,2*RIGHT(DAY(C2077))*(MOD(DAY(C2077)-11,100)&gt;2)+1),2)&amp;","&amp;TEXT(C2077," yyyy"))</f>
        <v>April 15th,2025</v>
      </c>
      <c r="AB2077" s="15" t="str">
        <f aca="true">IF(S2077="","",DATEDIF(S2077,TODAY(),"Y")&amp;" Tahun, "&amp;DATEDIF(S2077,TODAY(),"YM")&amp;" Bulan, "&amp;DATEDIF(S2077,TODAY(),"MD")&amp;" Hari")</f>
        <v>24 Tahun, 9 Bulan, 8 Hari</v>
      </c>
      <c r="AC2077" s="18" t="n">
        <v>45762</v>
      </c>
      <c r="AD2077" s="18" t="n">
        <v>46022</v>
      </c>
      <c r="AE2077" s="18" t="s">
        <v>44</v>
      </c>
    </row>
    <row r="2078" customFormat="false" ht="15" hidden="false" customHeight="true" outlineLevel="0" collapsed="false">
      <c r="A2078" s="12" t="n">
        <v>19223</v>
      </c>
      <c r="B2078" s="13" t="s">
        <v>8956</v>
      </c>
      <c r="C2078" s="16" t="n">
        <v>45762</v>
      </c>
      <c r="D2078" s="13" t="s">
        <v>144</v>
      </c>
      <c r="E2078" s="15" t="s">
        <v>47</v>
      </c>
      <c r="F2078" s="15" t="str">
        <f aca="false">IFERROR(__xludf.dummyfunction("XLOOKUP(AJ2078,IMPORTRANGE(""1XaInW9DU9nz21V0tYIfzFQ0He9kVQ_JF2mCXgZ3hqFA"",""REKAP ALL 2026 - Andika!G:G""),IMPORTRANGE(""1XaInW9DU9nz21V0tYIfzFQ0He9kVQ_JF2mCXgZ3hqFA"",""REKAP ALL 2026 - Andika!F:F""),"""",0)"),"25047636730")</f>
        <v>25047636730</v>
      </c>
      <c r="G2078" s="13" t="s">
        <v>8957</v>
      </c>
      <c r="H2078" s="13" t="s">
        <v>35</v>
      </c>
      <c r="I2078" s="13" t="str">
        <f aca="false">IF(C2078=J2078,"NEW KONTRAK","RE-KONTRAK")</f>
        <v>NEW KONTRAK</v>
      </c>
      <c r="J2078" s="16" t="n">
        <f aca="false" t="array" ref="J2078:J2078">IFERROR(INDEX(AC2078:AE2078,IF(COUNTA(AC2078:AE2078)=0,"",MAX((AC2078:AE2078&lt;&gt;"")*(COLUMN(AC2078:AE2078)-(COLUMN(AC2078)))))-1),"")</f>
        <v>45762</v>
      </c>
      <c r="K2078" s="16" t="n">
        <f aca="false" t="array" ref="K2078:K2078">IFERROR(INDEX(AC2078:AE2078,IF(COUNTA(AC2078:AE2078)=0,"",MAX((AC2078:AE2078&lt;&gt;"")*(COLUMN(AC2078:AE2078)-(COLUMN(AC2078)-1))))-1),"")</f>
        <v>46022</v>
      </c>
      <c r="L2078" s="17" t="str">
        <f aca="false" t="array" ref="L2078:L2078">IFERROR(INDEX(AC2078:AE2078,IF(COUNTA(AC2078:AE2078)=0,"",MAX((AC2078:AE2078&lt;&gt;"")*(COLUMN(AC2078:AE2078)-(COLUMN(AC2078)-2))))-1),"")</f>
        <v>ARCHIVED</v>
      </c>
      <c r="M2078" s="13" t="n">
        <f aca="true">K2078-TODAY()</f>
        <v>-302</v>
      </c>
      <c r="N2078" s="18" t="s">
        <v>36</v>
      </c>
      <c r="O2078" s="13" t="s">
        <v>156</v>
      </c>
      <c r="P2078" s="19" t="n">
        <v>5195401</v>
      </c>
      <c r="Q2078" s="20" t="s">
        <v>8958</v>
      </c>
      <c r="R2078" s="13" t="s">
        <v>65</v>
      </c>
      <c r="S2078" s="16" t="n">
        <v>32747</v>
      </c>
      <c r="T2078" s="28" t="s">
        <v>40</v>
      </c>
      <c r="U2078" s="13" t="s">
        <v>8959</v>
      </c>
      <c r="V2078" s="13" t="s">
        <v>42</v>
      </c>
      <c r="W2078" s="13" t="s">
        <v>54</v>
      </c>
      <c r="X2078" s="21" t="n">
        <v>82334825775</v>
      </c>
      <c r="Y2078" s="22" t="str">
        <f aca="false">O2078</f>
        <v>Emulsion</v>
      </c>
      <c r="Z2078" s="13" t="str">
        <f aca="false">IFERROR(__xludf.dummyfunction("if(BJ2078="""","""",GOOGLETRANSLATE(BJ2078,""auto"",""en""))"),"Emulsion")</f>
        <v>Emulsion</v>
      </c>
      <c r="AA2078" s="23" t="str">
        <f aca="false">IF(C2078="","", CHOOSE(MONTH(C2078),"January","February","March","April","May","June","July","August","September","October","November","December")&amp;" "&amp;DAY(C2078)&amp;MID("thstndrdth",MIN(9,2*RIGHT(DAY(C2078))*(MOD(DAY(C2078)-11,100)&gt;2)+1),2)&amp;","&amp;TEXT(C2078," yyyy"))</f>
        <v>April 15th,2025</v>
      </c>
      <c r="AB2078" s="15" t="str">
        <f aca="true">IF(S2078="","",DATEDIF(S2078,TODAY(),"Y")&amp;" Tahun, "&amp;DATEDIF(S2078,TODAY(),"YM")&amp;" Bulan, "&amp;DATEDIF(S2078,TODAY(),"MD")&amp;" Hari")</f>
        <v>37 Tahun, 2 Bulan, 2 Hari</v>
      </c>
      <c r="AC2078" s="18" t="n">
        <v>45762</v>
      </c>
      <c r="AD2078" s="18" t="n">
        <v>46022</v>
      </c>
      <c r="AE2078" s="18" t="s">
        <v>44</v>
      </c>
    </row>
    <row r="2079" customFormat="false" ht="15" hidden="false" customHeight="true" outlineLevel="0" collapsed="false">
      <c r="A2079" s="12" t="n">
        <v>19221</v>
      </c>
      <c r="B2079" s="13" t="s">
        <v>8960</v>
      </c>
      <c r="C2079" s="16" t="n">
        <v>45762</v>
      </c>
      <c r="D2079" s="13" t="s">
        <v>144</v>
      </c>
      <c r="E2079" s="15" t="s">
        <v>102</v>
      </c>
      <c r="F2079" s="15" t="str">
        <f aca="false">IFERROR(__xludf.dummyfunction("XLOOKUP(AJ2079,IMPORTRANGE(""1XaInW9DU9nz21V0tYIfzFQ0He9kVQ_JF2mCXgZ3hqFA"",""REKAP ALL 2026 - Andika!G:G""),IMPORTRANGE(""1XaInW9DU9nz21V0tYIfzFQ0He9kVQ_JF2mCXgZ3hqFA"",""REKAP ALL 2026 - Andika!F:F""),"""",0)"),"24087764841")</f>
        <v>24087764841</v>
      </c>
      <c r="G2079" s="13" t="s">
        <v>8961</v>
      </c>
      <c r="H2079" s="13" t="s">
        <v>35</v>
      </c>
      <c r="I2079" s="13" t="str">
        <f aca="false">IF(C2079=J2079,"NEW KONTRAK","RE-KONTRAK")</f>
        <v>NEW KONTRAK</v>
      </c>
      <c r="J2079" s="16" t="n">
        <f aca="false" t="array" ref="J2079:J2079">IFERROR(INDEX(AC2079:AE2079,IF(COUNTA(AC2079:AE2079)=0,"",MAX((AC2079:AE2079&lt;&gt;"")*(COLUMN(AC2079:AE2079)-(COLUMN(AC2079)))))-1),"")</f>
        <v>45762</v>
      </c>
      <c r="K2079" s="16" t="n">
        <f aca="false" t="array" ref="K2079:K2079">IFERROR(INDEX(AC2079:AE2079,IF(COUNTA(AC2079:AE2079)=0,"",MAX((AC2079:AE2079&lt;&gt;"")*(COLUMN(AC2079:AE2079)-(COLUMN(AC2079)-1))))-1),"")</f>
        <v>46022</v>
      </c>
      <c r="L2079" s="17" t="str">
        <f aca="false" t="array" ref="L2079:L2079">IFERROR(INDEX(AC2079:AE2079,IF(COUNTA(AC2079:AE2079)=0,"",MAX((AC2079:AE2079&lt;&gt;"")*(COLUMN(AC2079:AE2079)-(COLUMN(AC2079)-2))))-1),"")</f>
        <v>ARCHIVED</v>
      </c>
      <c r="M2079" s="13" t="n">
        <f aca="true">K2079-TODAY()</f>
        <v>-302</v>
      </c>
      <c r="N2079" s="18" t="s">
        <v>36</v>
      </c>
      <c r="O2079" s="13" t="s">
        <v>146</v>
      </c>
      <c r="P2079" s="19" t="n">
        <v>5195401</v>
      </c>
      <c r="Q2079" s="20" t="s">
        <v>8962</v>
      </c>
      <c r="R2079" s="13" t="s">
        <v>65</v>
      </c>
      <c r="S2079" s="16" t="n">
        <v>35951</v>
      </c>
      <c r="T2079" s="28" t="s">
        <v>40</v>
      </c>
      <c r="U2079" s="13" t="s">
        <v>8963</v>
      </c>
      <c r="V2079" s="13" t="s">
        <v>42</v>
      </c>
      <c r="W2079" s="13" t="s">
        <v>54</v>
      </c>
      <c r="X2079" s="21" t="n">
        <v>83115772688</v>
      </c>
      <c r="Y2079" s="22" t="str">
        <f aca="false">O2079</f>
        <v>Enamel</v>
      </c>
      <c r="Z2079" s="13" t="str">
        <f aca="false">IFERROR(__xludf.dummyfunction("if(BJ2079="""","""",GOOGLETRANSLATE(BJ2079,""auto"",""en""))"),"Enamel")</f>
        <v>Enamel</v>
      </c>
      <c r="AA2079" s="23" t="str">
        <f aca="false">IF(C2079="","", CHOOSE(MONTH(C2079),"January","February","March","April","May","June","July","August","September","October","November","December")&amp;" "&amp;DAY(C2079)&amp;MID("thstndrdth",MIN(9,2*RIGHT(DAY(C2079))*(MOD(DAY(C2079)-11,100)&gt;2)+1),2)&amp;","&amp;TEXT(C2079," yyyy"))</f>
        <v>April 15th,2025</v>
      </c>
      <c r="AB2079" s="15" t="str">
        <f aca="true">IF(S2079="","",DATEDIF(S2079,TODAY(),"Y")&amp;" Tahun, "&amp;DATEDIF(S2079,TODAY(),"YM")&amp;" Bulan, "&amp;DATEDIF(S2079,TODAY(),"MD")&amp;" Hari")</f>
        <v>28 Tahun, 4 Bulan, 24 Hari</v>
      </c>
      <c r="AC2079" s="18" t="n">
        <v>45762</v>
      </c>
      <c r="AD2079" s="18" t="n">
        <v>46022</v>
      </c>
      <c r="AE2079" s="18" t="s">
        <v>44</v>
      </c>
    </row>
    <row r="2080" customFormat="false" ht="15" hidden="false" customHeight="true" outlineLevel="0" collapsed="false">
      <c r="A2080" s="12" t="n">
        <v>19224</v>
      </c>
      <c r="B2080" s="13" t="s">
        <v>8964</v>
      </c>
      <c r="C2080" s="16" t="n">
        <v>45762</v>
      </c>
      <c r="D2080" s="13" t="s">
        <v>144</v>
      </c>
      <c r="E2080" s="15" t="s">
        <v>47</v>
      </c>
      <c r="F2080" s="15" t="str">
        <f aca="false">IFERROR(__xludf.dummyfunction("XLOOKUP(AJ2080,IMPORTRANGE(""1XaInW9DU9nz21V0tYIfzFQ0He9kVQ_JF2mCXgZ3hqFA"",""REKAP ALL 2026 - Andika!G:G""),IMPORTRANGE(""1XaInW9DU9nz21V0tYIfzFQ0He9kVQ_JF2mCXgZ3hqFA"",""REKAP ALL 2026 - Andika!F:F""),"""",0)"),"25047636748")</f>
        <v>25047636748</v>
      </c>
      <c r="G2080" s="13" t="s">
        <v>8965</v>
      </c>
      <c r="H2080" s="13" t="s">
        <v>35</v>
      </c>
      <c r="I2080" s="13" t="str">
        <f aca="false">IF(C2080=J2080,"NEW KONTRAK","RE-KONTRAK")</f>
        <v>NEW KONTRAK</v>
      </c>
      <c r="J2080" s="16" t="n">
        <f aca="false" t="array" ref="J2080:J2080">IFERROR(INDEX(AC2080:AE2080,IF(COUNTA(AC2080:AE2080)=0,"",MAX((AC2080:AE2080&lt;&gt;"")*(COLUMN(AC2080:AE2080)-(COLUMN(AC2080)))))-1),"")</f>
        <v>45762</v>
      </c>
      <c r="K2080" s="16" t="n">
        <f aca="false" t="array" ref="K2080:K2080">IFERROR(INDEX(AC2080:AE2080,IF(COUNTA(AC2080:AE2080)=0,"",MAX((AC2080:AE2080&lt;&gt;"")*(COLUMN(AC2080:AE2080)-(COLUMN(AC2080)-1))))-1),"")</f>
        <v>46022</v>
      </c>
      <c r="L2080" s="17" t="str">
        <f aca="false" t="array" ref="L2080:L2080">IFERROR(INDEX(AC2080:AE2080,IF(COUNTA(AC2080:AE2080)=0,"",MAX((AC2080:AE2080&lt;&gt;"")*(COLUMN(AC2080:AE2080)-(COLUMN(AC2080)-2))))-1),"")</f>
        <v>ARCHIVED</v>
      </c>
      <c r="M2080" s="13" t="n">
        <f aca="true">K2080-TODAY()</f>
        <v>-302</v>
      </c>
      <c r="N2080" s="18" t="s">
        <v>36</v>
      </c>
      <c r="O2080" s="13" t="s">
        <v>6285</v>
      </c>
      <c r="P2080" s="19" t="n">
        <v>5195401</v>
      </c>
      <c r="Q2080" s="20" t="s">
        <v>8966</v>
      </c>
      <c r="R2080" s="13" t="s">
        <v>52</v>
      </c>
      <c r="S2080" s="16" t="n">
        <v>31507</v>
      </c>
      <c r="T2080" s="28" t="s">
        <v>40</v>
      </c>
      <c r="U2080" s="13" t="s">
        <v>8967</v>
      </c>
      <c r="V2080" s="13" t="s">
        <v>42</v>
      </c>
      <c r="W2080" s="13" t="s">
        <v>54</v>
      </c>
      <c r="X2080" s="21" t="n">
        <v>81216365535</v>
      </c>
      <c r="Y2080" s="22" t="str">
        <f aca="false">O2080</f>
        <v>Operator Reach Truck</v>
      </c>
      <c r="Z2080" s="13" t="str">
        <f aca="false">IFERROR(__xludf.dummyfunction("if(BJ2080="""","""",GOOGLETRANSLATE(BJ2080,""auto"",""en""))"),"Operator Reach Truck")</f>
        <v>Operator Reach Truck</v>
      </c>
      <c r="AA2080" s="23" t="str">
        <f aca="false">IF(C2080="","", CHOOSE(MONTH(C2080),"January","February","March","April","May","June","July","August","September","October","November","December")&amp;" "&amp;DAY(C2080)&amp;MID("thstndrdth",MIN(9,2*RIGHT(DAY(C2080))*(MOD(DAY(C2080)-11,100)&gt;2)+1),2)&amp;","&amp;TEXT(C2080," yyyy"))</f>
        <v>April 15th,2025</v>
      </c>
      <c r="AB2080" s="15" t="str">
        <f aca="true">IF(S2080="","",DATEDIF(S2080,TODAY(),"Y")&amp;" Tahun, "&amp;DATEDIF(S2080,TODAY(),"YM")&amp;" Bulan, "&amp;DATEDIF(S2080,TODAY(),"MD")&amp;" Hari")</f>
        <v>40 Tahun, 6 Bulan, 24 Hari</v>
      </c>
      <c r="AC2080" s="18" t="n">
        <v>45762</v>
      </c>
      <c r="AD2080" s="18" t="n">
        <v>46022</v>
      </c>
      <c r="AE2080" s="18" t="s">
        <v>44</v>
      </c>
    </row>
    <row r="2081" customFormat="false" ht="15" hidden="false" customHeight="true" outlineLevel="0" collapsed="false">
      <c r="A2081" s="12" t="n">
        <v>12736</v>
      </c>
      <c r="B2081" s="13" t="s">
        <v>8968</v>
      </c>
      <c r="C2081" s="14" t="n">
        <v>45152</v>
      </c>
      <c r="D2081" s="13" t="s">
        <v>2033</v>
      </c>
      <c r="E2081" s="15" t="s">
        <v>47</v>
      </c>
      <c r="F2081" s="15" t="str">
        <f aca="false">IFERROR(__xludf.dummyfunction("XLOOKUP(AJ2081,IMPORTRANGE(""1XaInW9DU9nz21V0tYIfzFQ0He9kVQ_JF2mCXgZ3hqFA"",""REKAP ALL 2026 - Andika!G:G""),IMPORTRANGE(""1XaInW9DU9nz21V0tYIfzFQ0He9kVQ_JF2mCXgZ3hqFA"",""REKAP ALL 2026 - Andika!F:F""),"""",0)"),"23132324544")</f>
        <v>23132324544</v>
      </c>
      <c r="G2081" s="13" t="s">
        <v>8969</v>
      </c>
      <c r="H2081" s="13" t="s">
        <v>2035</v>
      </c>
      <c r="I2081" s="13" t="str">
        <f aca="false">IF(C2081=J2081,"NEW KONTRAK","RE-KONTRAK")</f>
        <v>RE-KONTRAK</v>
      </c>
      <c r="J2081" s="16" t="n">
        <f aca="false" t="array" ref="J2081:J2081">IFERROR(INDEX(AC2081:AE2081,IF(COUNTA(AC2081:AE2081)=0,"",MAX((AC2081:AE2081&lt;&gt;"")*(COLUMN(AC2081:AE2081)-(COLUMN(AC2081)))))-1),"")</f>
        <v>45744</v>
      </c>
      <c r="K2081" s="16" t="n">
        <f aca="false" t="array" ref="K2081:K2081">IFERROR(INDEX(AC2081:AE2081,IF(COUNTA(AC2081:AE2081)=0,"",MAX((AC2081:AE2081&lt;&gt;"")*(COLUMN(AC2081:AE2081)-(COLUMN(AC2081)-1))))-1),"")</f>
        <v>45915</v>
      </c>
      <c r="L2081" s="17" t="str">
        <f aca="false" t="array" ref="L2081:L2081">IFERROR(INDEX(AC2081:AE2081,IF(COUNTA(AC2081:AE2081)=0,"",MAX((AC2081:AE2081&lt;&gt;"")*(COLUMN(AC2081:AE2081)-(COLUMN(AC2081)-2))))-1),"")</f>
        <v>ARCHIVED</v>
      </c>
      <c r="M2081" s="13" t="n">
        <f aca="true">K2081-TODAY()</f>
        <v>-409</v>
      </c>
      <c r="N2081" s="18" t="s">
        <v>3895</v>
      </c>
      <c r="O2081" s="13" t="s">
        <v>2037</v>
      </c>
      <c r="P2081" s="19" t="n">
        <v>3725000</v>
      </c>
      <c r="Q2081" s="20" t="s">
        <v>8970</v>
      </c>
      <c r="R2081" s="13" t="s">
        <v>8971</v>
      </c>
      <c r="S2081" s="14" t="n">
        <v>38262</v>
      </c>
      <c r="T2081" s="13" t="s">
        <v>108</v>
      </c>
      <c r="U2081" s="13" t="s">
        <v>8972</v>
      </c>
      <c r="V2081" s="13" t="s">
        <v>42</v>
      </c>
      <c r="W2081" s="13" t="s">
        <v>43</v>
      </c>
      <c r="X2081" s="21" t="n">
        <v>81774135632</v>
      </c>
      <c r="Y2081" s="22" t="str">
        <f aca="false">O2081</f>
        <v>SPG/BA</v>
      </c>
      <c r="Z2081" s="13" t="str">
        <f aca="false">IFERROR(__xludf.dummyfunction("if(BJ2081="""","""",GOOGLETRANSLATE(BJ2081,""auto"",""en""))"),"SPG/BA")</f>
        <v>SPG/BA</v>
      </c>
      <c r="AA2081" s="23" t="str">
        <f aca="false">IF(C2081="","", CHOOSE(MONTH(C2081),"January","February","March","April","May","June","July","August","September","October","November","December")&amp;" "&amp;DAY(C2081)&amp;MID("thstndrdth",MIN(9,2*RIGHT(DAY(C2081))*(MOD(DAY(C2081)-11,100)&gt;2)+1),2)&amp;","&amp;TEXT(C2081," yyyy"))</f>
        <v>August 14th,2023</v>
      </c>
      <c r="AB2081" s="15" t="str">
        <f aca="true">IF(S2081="","",DATEDIF(S2081,TODAY(),"Y")&amp;" Tahun, "&amp;DATEDIF(S2081,TODAY(),"YM")&amp;" Bulan, "&amp;DATEDIF(S2081,TODAY(),"MD")&amp;" Hari")</f>
        <v>22 Tahun, 0 Bulan, 27 Hari</v>
      </c>
      <c r="AC2081" s="18" t="n">
        <v>45744</v>
      </c>
      <c r="AD2081" s="18" t="n">
        <v>45915</v>
      </c>
      <c r="AE2081" s="18" t="s">
        <v>44</v>
      </c>
    </row>
    <row r="2082" customFormat="false" ht="15" hidden="false" customHeight="true" outlineLevel="0" collapsed="false">
      <c r="A2082" s="12" t="n">
        <v>19226</v>
      </c>
      <c r="B2082" s="13" t="s">
        <v>8973</v>
      </c>
      <c r="C2082" s="16" t="n">
        <v>45731</v>
      </c>
      <c r="D2082" s="13" t="s">
        <v>2033</v>
      </c>
      <c r="E2082" s="15" t="s">
        <v>33</v>
      </c>
      <c r="F2082" s="24" t="s">
        <v>8974</v>
      </c>
      <c r="G2082" s="13" t="s">
        <v>8975</v>
      </c>
      <c r="H2082" s="13" t="s">
        <v>2035</v>
      </c>
      <c r="I2082" s="13" t="str">
        <f aca="false">IF(C2082=J2082,"NEW KONTRAK","RE-KONTRAK")</f>
        <v>NEW KONTRAK</v>
      </c>
      <c r="J2082" s="16" t="n">
        <f aca="false" t="array" ref="J2082:J2082">IFERROR(INDEX(AC2082:AE2082,IF(COUNTA(AC2082:AE2082)=0,"",MAX((AC2082:AE2082&lt;&gt;"")*(COLUMN(AC2082:AE2082)-(COLUMN(AC2082)))))-1),"")</f>
        <v>45731</v>
      </c>
      <c r="K2082" s="16" t="n">
        <f aca="false" t="array" ref="K2082:K2082">IFERROR(INDEX(AC2082:AE2082,IF(COUNTA(AC2082:AE2082)=0,"",MAX((AC2082:AE2082&lt;&gt;"")*(COLUMN(AC2082:AE2082)-(COLUMN(AC2082)-1))))-1),"")</f>
        <v>45915</v>
      </c>
      <c r="L2082" s="17" t="str">
        <f aca="false" t="array" ref="L2082:L2082">IFERROR(INDEX(AC2082:AE2082,IF(COUNTA(AC2082:AE2082)=0,"",MAX((AC2082:AE2082&lt;&gt;"")*(COLUMN(AC2082:AE2082)-(COLUMN(AC2082)-2))))-1),"")</f>
        <v>ARCHIVED</v>
      </c>
      <c r="M2082" s="13" t="n">
        <f aca="true">K2082-TODAY()</f>
        <v>-409</v>
      </c>
      <c r="N2082" s="18" t="s">
        <v>8976</v>
      </c>
      <c r="O2082" s="13" t="s">
        <v>2037</v>
      </c>
      <c r="P2082" s="19" t="n">
        <f aca="false">3006203</f>
        <v>3006203</v>
      </c>
      <c r="Q2082" s="20" t="s">
        <v>8977</v>
      </c>
      <c r="R2082" s="13" t="s">
        <v>8976</v>
      </c>
      <c r="S2082" s="16" t="n">
        <v>38837</v>
      </c>
      <c r="T2082" s="13" t="s">
        <v>108</v>
      </c>
      <c r="U2082" s="13" t="s">
        <v>8978</v>
      </c>
      <c r="V2082" s="13" t="s">
        <v>42</v>
      </c>
      <c r="W2082" s="13" t="s">
        <v>43</v>
      </c>
      <c r="X2082" s="21" t="n">
        <v>89523266500</v>
      </c>
      <c r="Y2082" s="22" t="str">
        <f aca="false">O2082</f>
        <v>SPG/BA</v>
      </c>
      <c r="Z2082" s="13" t="str">
        <f aca="false">IFERROR(__xludf.dummyfunction("if(BJ2082="""","""",GOOGLETRANSLATE(BJ2082,""auto"",""en""))"),"SPG/BA")</f>
        <v>SPG/BA</v>
      </c>
      <c r="AA2082" s="23" t="str">
        <f aca="false">IF(C2082="","", CHOOSE(MONTH(C2082),"January","February","March","April","May","June","July","August","September","October","November","December")&amp;" "&amp;DAY(C2082)&amp;MID("thstndrdth",MIN(9,2*RIGHT(DAY(C2082))*(MOD(DAY(C2082)-11,100)&gt;2)+1),2)&amp;","&amp;TEXT(C2082," yyyy"))</f>
        <v>March 15th,2025</v>
      </c>
      <c r="AB2082" s="15" t="str">
        <f aca="true">IF(S2082="","",DATEDIF(S2082,TODAY(),"Y")&amp;" Tahun, "&amp;DATEDIF(S2082,TODAY(),"YM")&amp;" Bulan, "&amp;DATEDIF(S2082,TODAY(),"MD")&amp;" Hari")</f>
        <v>20 Tahun, 5 Bulan, 29 Hari</v>
      </c>
      <c r="AC2082" s="18" t="n">
        <v>45731</v>
      </c>
      <c r="AD2082" s="18" t="n">
        <v>45915</v>
      </c>
      <c r="AE2082" s="18" t="s">
        <v>44</v>
      </c>
    </row>
    <row r="2083" customFormat="false" ht="15" hidden="false" customHeight="true" outlineLevel="0" collapsed="false">
      <c r="A2083" s="12" t="n">
        <v>19250</v>
      </c>
      <c r="B2083" s="93" t="s">
        <v>8979</v>
      </c>
      <c r="C2083" s="16" t="n">
        <v>45768</v>
      </c>
      <c r="D2083" s="13" t="s">
        <v>8980</v>
      </c>
      <c r="E2083" s="15" t="s">
        <v>47</v>
      </c>
      <c r="F2083" s="15" t="str">
        <f aca="false">IFERROR(__xludf.dummyfunction("XLOOKUP(AJ2083,IMPORTRANGE(""1XaInW9DU9nz21V0tYIfzFQ0He9kVQ_JF2mCXgZ3hqFA"",""REKAP ALL 2026 - Andika!G:G""),IMPORTRANGE(""1XaInW9DU9nz21V0tYIfzFQ0He9kVQ_JF2mCXgZ3hqFA"",""REKAP ALL 2026 - Andika!F:F""),"""",0)"),"25062536930")</f>
        <v>25062536930</v>
      </c>
      <c r="G2083" s="13" t="s">
        <v>8981</v>
      </c>
      <c r="H2083" s="13" t="s">
        <v>35</v>
      </c>
      <c r="I2083" s="13" t="str">
        <f aca="false">IF(C2083=J2083,"NEW KONTRAK","RE-KONTRAK")</f>
        <v>NEW KONTRAK</v>
      </c>
      <c r="J2083" s="16" t="n">
        <f aca="false" t="array" ref="J2083:J2083">IFERROR(INDEX(AC2083:AE2083,IF(COUNTA(AC2083:AE2083)=0,"",MAX((AC2083:AE2083&lt;&gt;"")*(COLUMN(AC2083:AE2083)-(COLUMN(AC2083)))))-1),"")</f>
        <v>45768</v>
      </c>
      <c r="K2083" s="16" t="n">
        <f aca="false" t="array" ref="K2083:K2083">IFERROR(INDEX(AC2083:AE2083,IF(COUNTA(AC2083:AE2083)=0,"",MAX((AC2083:AE2083&lt;&gt;"")*(COLUMN(AC2083:AE2083)-(COLUMN(AC2083)-1))))-1),"")</f>
        <v>46132</v>
      </c>
      <c r="L2083" s="17" t="str">
        <f aca="false" t="array" ref="L2083:L2083">IFERROR(INDEX(AC2083:AE2083,IF(COUNTA(AC2083:AE2083)=0,"",MAX((AC2083:AE2083&lt;&gt;"")*(COLUMN(AC2083:AE2083)-(COLUMN(AC2083)-2))))-1),"")</f>
        <v>ARCHIVED</v>
      </c>
      <c r="M2083" s="13" t="n">
        <f aca="true">K2083-TODAY()</f>
        <v>-192</v>
      </c>
      <c r="N2083" s="18" t="s">
        <v>8982</v>
      </c>
      <c r="O2083" s="13" t="s">
        <v>8983</v>
      </c>
      <c r="P2083" s="19" t="n">
        <v>2250000</v>
      </c>
      <c r="Q2083" s="20" t="s">
        <v>8984</v>
      </c>
      <c r="R2083" s="13" t="s">
        <v>826</v>
      </c>
      <c r="S2083" s="16" t="n">
        <v>36637</v>
      </c>
      <c r="T2083" s="13" t="s">
        <v>40</v>
      </c>
      <c r="U2083" s="13" t="s">
        <v>8985</v>
      </c>
      <c r="V2083" s="13" t="s">
        <v>42</v>
      </c>
      <c r="W2083" s="13" t="s">
        <v>43</v>
      </c>
      <c r="X2083" s="21" t="n">
        <v>8977402254</v>
      </c>
      <c r="Y2083" s="22" t="str">
        <f aca="false">O2083</f>
        <v>Operator SPBU</v>
      </c>
      <c r="Z2083" s="13" t="str">
        <f aca="false">IFERROR(__xludf.dummyfunction("if(BJ2083="""","""",GOOGLETRANSLATE(BJ2083,""auto"",""en""))"),"Gas Station Operator")</f>
        <v>Gas Station Operator</v>
      </c>
      <c r="AA2083" s="23" t="str">
        <f aca="false">IF(C2083="","", CHOOSE(MONTH(C2083),"January","February","March","April","May","June","July","August","September","October","November","December")&amp;" "&amp;DAY(C2083)&amp;MID("thstndrdth",MIN(9,2*RIGHT(DAY(C2083))*(MOD(DAY(C2083)-11,100)&gt;2)+1),2)&amp;","&amp;TEXT(C2083," yyyy"))</f>
        <v>April 21st,2025</v>
      </c>
      <c r="AB2083" s="15" t="str">
        <f aca="true">IF(S2083="","",DATEDIF(S2083,TODAY(),"Y")&amp;" Tahun, "&amp;DATEDIF(S2083,TODAY(),"YM")&amp;" Bulan, "&amp;DATEDIF(S2083,TODAY(),"MD")&amp;" Hari")</f>
        <v>26 Tahun, 6 Bulan, 8 Hari</v>
      </c>
      <c r="AC2083" s="18" t="n">
        <v>45768</v>
      </c>
      <c r="AD2083" s="18" t="n">
        <v>46132</v>
      </c>
      <c r="AE2083" s="18" t="s">
        <v>44</v>
      </c>
    </row>
    <row r="2084" customFormat="false" ht="15" hidden="false" customHeight="true" outlineLevel="0" collapsed="false">
      <c r="A2084" s="12" t="n">
        <v>19228</v>
      </c>
      <c r="B2084" s="13" t="s">
        <v>8986</v>
      </c>
      <c r="C2084" s="16" t="n">
        <v>45722</v>
      </c>
      <c r="D2084" s="13" t="s">
        <v>2033</v>
      </c>
      <c r="E2084" s="15" t="s">
        <v>33</v>
      </c>
      <c r="F2084" s="24" t="s">
        <v>8987</v>
      </c>
      <c r="G2084" s="13" t="s">
        <v>8988</v>
      </c>
      <c r="H2084" s="13" t="s">
        <v>2035</v>
      </c>
      <c r="I2084" s="13" t="str">
        <f aca="false">IF(C2084=J2084,"NEW KONTRAK","RE-KONTRAK")</f>
        <v>NEW KONTRAK</v>
      </c>
      <c r="J2084" s="16" t="n">
        <f aca="false" t="array" ref="J2084:J2084">IFERROR(INDEX(AC2084:AE2084,IF(COUNTA(AC2084:AE2084)=0,"",MAX((AC2084:AE2084&lt;&gt;"")*(COLUMN(AC2084:AE2084)-(COLUMN(AC2084)))))-1),"")</f>
        <v>45722</v>
      </c>
      <c r="K2084" s="16" t="n">
        <f aca="false" t="array" ref="K2084:K2084">IFERROR(INDEX(AC2084:AE2084,IF(COUNTA(AC2084:AE2084)=0,"",MAX((AC2084:AE2084&lt;&gt;"")*(COLUMN(AC2084:AE2084)-(COLUMN(AC2084)-1))))-1),"")</f>
        <v>45915</v>
      </c>
      <c r="L2084" s="17" t="str">
        <f aca="false" t="array" ref="L2084:L2084">IFERROR(INDEX(AC2084:AE2084,IF(COUNTA(AC2084:AE2084)=0,"",MAX((AC2084:AE2084&lt;&gt;"")*(COLUMN(AC2084:AE2084)-(COLUMN(AC2084)-2))))-1),"")</f>
        <v>ARCHIVED</v>
      </c>
      <c r="M2084" s="13" t="n">
        <f aca="true">K2084-TODAY()</f>
        <v>-409</v>
      </c>
      <c r="N2084" s="18" t="s">
        <v>4784</v>
      </c>
      <c r="O2084" s="13" t="s">
        <v>2037</v>
      </c>
      <c r="P2084" s="19" t="n">
        <f aca="false">3824264</f>
        <v>3824264</v>
      </c>
      <c r="Q2084" s="20" t="s">
        <v>8989</v>
      </c>
      <c r="R2084" s="13" t="s">
        <v>4784</v>
      </c>
      <c r="S2084" s="16" t="n">
        <v>37279</v>
      </c>
      <c r="T2084" s="13" t="s">
        <v>108</v>
      </c>
      <c r="U2084" s="13" t="s">
        <v>8990</v>
      </c>
      <c r="V2084" s="13" t="s">
        <v>42</v>
      </c>
      <c r="W2084" s="13" t="s">
        <v>43</v>
      </c>
      <c r="X2084" s="21" t="n">
        <v>82393688515</v>
      </c>
      <c r="Y2084" s="22" t="str">
        <f aca="false">O2084</f>
        <v>SPG/BA</v>
      </c>
      <c r="Z2084" s="13" t="str">
        <f aca="false">IFERROR(__xludf.dummyfunction("if(BJ2084="""","""",GOOGLETRANSLATE(BJ2084,""auto"",""en""))"),"SPG/BA")</f>
        <v>SPG/BA</v>
      </c>
      <c r="AA2084" s="23" t="str">
        <f aca="false">IF(C2084="","", CHOOSE(MONTH(C2084),"January","February","March","April","May","June","July","August","September","October","November","December")&amp;" "&amp;DAY(C2084)&amp;MID("thstndrdth",MIN(9,2*RIGHT(DAY(C2084))*(MOD(DAY(C2084)-11,100)&gt;2)+1),2)&amp;","&amp;TEXT(C2084," yyyy"))</f>
        <v>March 6th,2025</v>
      </c>
      <c r="AB2084" s="15" t="str">
        <f aca="true">IF(S2084="","",DATEDIF(S2084,TODAY(),"Y")&amp;" Tahun, "&amp;DATEDIF(S2084,TODAY(),"YM")&amp;" Bulan, "&amp;DATEDIF(S2084,TODAY(),"MD")&amp;" Hari")</f>
        <v>24 Tahun, 9 Bulan, 6 Hari</v>
      </c>
      <c r="AC2084" s="18" t="n">
        <v>45722</v>
      </c>
      <c r="AD2084" s="18" t="n">
        <v>45915</v>
      </c>
      <c r="AE2084" s="18" t="s">
        <v>44</v>
      </c>
    </row>
    <row r="2085" customFormat="false" ht="15" hidden="false" customHeight="true" outlineLevel="0" collapsed="false">
      <c r="A2085" s="12" t="n">
        <v>19230</v>
      </c>
      <c r="B2085" s="13" t="s">
        <v>8991</v>
      </c>
      <c r="C2085" s="16" t="n">
        <v>45743</v>
      </c>
      <c r="D2085" s="13" t="s">
        <v>2033</v>
      </c>
      <c r="E2085" s="15" t="s">
        <v>789</v>
      </c>
      <c r="F2085" s="24" t="s">
        <v>8992</v>
      </c>
      <c r="G2085" s="13" t="s">
        <v>8993</v>
      </c>
      <c r="H2085" s="13" t="s">
        <v>2035</v>
      </c>
      <c r="I2085" s="13" t="str">
        <f aca="false">IF(C2085=J2085,"NEW KONTRAK","RE-KONTRAK")</f>
        <v>NEW KONTRAK</v>
      </c>
      <c r="J2085" s="16" t="n">
        <f aca="false" t="array" ref="J2085:J2085">IFERROR(INDEX(AC2085:AE2085,IF(COUNTA(AC2085:AE2085)=0,"",MAX((AC2085:AE2085&lt;&gt;"")*(COLUMN(AC2085:AE2085)-(COLUMN(AC2085)))))-1),"")</f>
        <v>45743</v>
      </c>
      <c r="K2085" s="16" t="n">
        <f aca="false" t="array" ref="K2085:K2085">IFERROR(INDEX(AC2085:AE2085,IF(COUNTA(AC2085:AE2085)=0,"",MAX((AC2085:AE2085&lt;&gt;"")*(COLUMN(AC2085:AE2085)-(COLUMN(AC2085)-1))))-1),"")</f>
        <v>45915</v>
      </c>
      <c r="L2085" s="17" t="str">
        <f aca="false" t="array" ref="L2085:L2085">IFERROR(INDEX(AC2085:AE2085,IF(COUNTA(AC2085:AE2085)=0,"",MAX((AC2085:AE2085&lt;&gt;"")*(COLUMN(AC2085:AE2085)-(COLUMN(AC2085)-2))))-1),"")</f>
        <v>ARCHIVED</v>
      </c>
      <c r="M2085" s="13" t="n">
        <f aca="true">K2085-TODAY()</f>
        <v>-409</v>
      </c>
      <c r="N2085" s="18" t="s">
        <v>2587</v>
      </c>
      <c r="O2085" s="13" t="s">
        <v>2037</v>
      </c>
      <c r="P2085" s="19" t="n">
        <v>3599182</v>
      </c>
      <c r="Q2085" s="20" t="s">
        <v>8994</v>
      </c>
      <c r="R2085" s="13" t="s">
        <v>2587</v>
      </c>
      <c r="S2085" s="16" t="n">
        <v>34447</v>
      </c>
      <c r="T2085" s="13" t="s">
        <v>108</v>
      </c>
      <c r="U2085" s="13" t="s">
        <v>8995</v>
      </c>
      <c r="V2085" s="13" t="s">
        <v>42</v>
      </c>
      <c r="W2085" s="13" t="s">
        <v>54</v>
      </c>
      <c r="X2085" s="21" t="n">
        <v>87709221423</v>
      </c>
      <c r="Y2085" s="22" t="str">
        <f aca="false">O2085</f>
        <v>SPG/BA</v>
      </c>
      <c r="Z2085" s="13" t="str">
        <f aca="false">IFERROR(__xludf.dummyfunction("if(BJ2085="""","""",GOOGLETRANSLATE(BJ2085,""auto"",""en""))"),"SPG/BA")</f>
        <v>SPG/BA</v>
      </c>
      <c r="AA2085" s="23" t="str">
        <f aca="false">IF(C2085="","", CHOOSE(MONTH(C2085),"January","February","March","April","May","June","July","August","September","October","November","December")&amp;" "&amp;DAY(C2085)&amp;MID("thstndrdth",MIN(9,2*RIGHT(DAY(C2085))*(MOD(DAY(C2085)-11,100)&gt;2)+1),2)&amp;","&amp;TEXT(C2085," yyyy"))</f>
        <v>March 27th,2025</v>
      </c>
      <c r="AB2085" s="15" t="str">
        <f aca="true">IF(S2085="","",DATEDIF(S2085,TODAY(),"Y")&amp;" Tahun, "&amp;DATEDIF(S2085,TODAY(),"YM")&amp;" Bulan, "&amp;DATEDIF(S2085,TODAY(),"MD")&amp;" Hari")</f>
        <v>32 Tahun, 6 Bulan, 6 Hari</v>
      </c>
      <c r="AC2085" s="18" t="n">
        <v>45743</v>
      </c>
      <c r="AD2085" s="18" t="n">
        <v>45915</v>
      </c>
      <c r="AE2085" s="18" t="s">
        <v>44</v>
      </c>
    </row>
    <row r="2086" customFormat="false" ht="15" hidden="false" customHeight="true" outlineLevel="0" collapsed="false">
      <c r="A2086" s="12" t="n">
        <v>19231</v>
      </c>
      <c r="B2086" s="13" t="s">
        <v>8996</v>
      </c>
      <c r="C2086" s="16" t="n">
        <v>45749</v>
      </c>
      <c r="D2086" s="13" t="s">
        <v>2033</v>
      </c>
      <c r="E2086" s="15" t="s">
        <v>789</v>
      </c>
      <c r="F2086" s="24" t="s">
        <v>8997</v>
      </c>
      <c r="G2086" s="13" t="s">
        <v>8998</v>
      </c>
      <c r="H2086" s="13" t="s">
        <v>2035</v>
      </c>
      <c r="I2086" s="13" t="str">
        <f aca="false">IF(C2086=J2086,"NEW KONTRAK","RE-KONTRAK")</f>
        <v>NEW KONTRAK</v>
      </c>
      <c r="J2086" s="16" t="n">
        <f aca="false" t="array" ref="J2086:J2086">IFERROR(INDEX(AC2086:AE2086,IF(COUNTA(AC2086:AE2086)=0,"",MAX((AC2086:AE2086&lt;&gt;"")*(COLUMN(AC2086:AE2086)-(COLUMN(AC2086)))))-1),"")</f>
        <v>45749</v>
      </c>
      <c r="K2086" s="16" t="n">
        <f aca="false" t="array" ref="K2086:K2086">IFERROR(INDEX(AC2086:AE2086,IF(COUNTA(AC2086:AE2086)=0,"",MAX((AC2086:AE2086&lt;&gt;"")*(COLUMN(AC2086:AE2086)-(COLUMN(AC2086)-1))))-1),"")</f>
        <v>45915</v>
      </c>
      <c r="L2086" s="17" t="str">
        <f aca="false" t="array" ref="L2086:L2086">IFERROR(INDEX(AC2086:AE2086,IF(COUNTA(AC2086:AE2086)=0,"",MAX((AC2086:AE2086&lt;&gt;"")*(COLUMN(AC2086:AE2086)-(COLUMN(AC2086)-2))))-1),"")</f>
        <v>ARCHIVED</v>
      </c>
      <c r="M2086" s="13" t="n">
        <f aca="true">K2086-TODAY()</f>
        <v>-409</v>
      </c>
      <c r="N2086" s="18" t="s">
        <v>2587</v>
      </c>
      <c r="O2086" s="13" t="s">
        <v>2037</v>
      </c>
      <c r="P2086" s="19" t="n">
        <v>3599182</v>
      </c>
      <c r="Q2086" s="20" t="s">
        <v>8999</v>
      </c>
      <c r="R2086" s="13" t="s">
        <v>2587</v>
      </c>
      <c r="S2086" s="16" t="n">
        <v>38386</v>
      </c>
      <c r="T2086" s="13" t="s">
        <v>108</v>
      </c>
      <c r="U2086" s="13" t="s">
        <v>9000</v>
      </c>
      <c r="V2086" s="13" t="s">
        <v>42</v>
      </c>
      <c r="W2086" s="13" t="s">
        <v>43</v>
      </c>
      <c r="X2086" s="21" t="n">
        <v>819537047553</v>
      </c>
      <c r="Y2086" s="22" t="str">
        <f aca="false">O2086</f>
        <v>SPG/BA</v>
      </c>
      <c r="Z2086" s="13" t="str">
        <f aca="false">IFERROR(__xludf.dummyfunction("if(BJ2086="""","""",GOOGLETRANSLATE(BJ2086,""auto"",""en""))"),"SPG/BA")</f>
        <v>SPG/BA</v>
      </c>
      <c r="AA2086" s="23" t="str">
        <f aca="false">IF(C2086="","", CHOOSE(MONTH(C2086),"January","February","March","April","May","June","July","August","September","October","November","December")&amp;" "&amp;DAY(C2086)&amp;MID("thstndrdth",MIN(9,2*RIGHT(DAY(C2086))*(MOD(DAY(C2086)-11,100)&gt;2)+1),2)&amp;","&amp;TEXT(C2086," yyyy"))</f>
        <v>April 2nd,2025</v>
      </c>
      <c r="AB2086" s="15" t="str">
        <f aca="true">IF(S2086="","",DATEDIF(S2086,TODAY(),"Y")&amp;" Tahun, "&amp;DATEDIF(S2086,TODAY(),"YM")&amp;" Bulan, "&amp;DATEDIF(S2086,TODAY(),"MD")&amp;" Hari")</f>
        <v>21 Tahun, 8 Bulan, 26 Hari</v>
      </c>
      <c r="AC2086" s="18" t="n">
        <v>45749</v>
      </c>
      <c r="AD2086" s="18" t="n">
        <v>45915</v>
      </c>
      <c r="AE2086" s="18" t="s">
        <v>44</v>
      </c>
    </row>
    <row r="2087" customFormat="false" ht="15" hidden="false" customHeight="true" outlineLevel="0" collapsed="false">
      <c r="A2087" s="12" t="n">
        <v>19232</v>
      </c>
      <c r="B2087" s="13" t="s">
        <v>9001</v>
      </c>
      <c r="C2087" s="16" t="n">
        <v>45716</v>
      </c>
      <c r="D2087" s="13" t="s">
        <v>2033</v>
      </c>
      <c r="E2087" s="15" t="s">
        <v>33</v>
      </c>
      <c r="F2087" s="24" t="s">
        <v>9002</v>
      </c>
      <c r="G2087" s="13" t="s">
        <v>9003</v>
      </c>
      <c r="H2087" s="13" t="s">
        <v>2035</v>
      </c>
      <c r="I2087" s="13" t="str">
        <f aca="false">IF(C2087=J2087,"NEW KONTRAK","RE-KONTRAK")</f>
        <v>NEW KONTRAK</v>
      </c>
      <c r="J2087" s="16" t="n">
        <f aca="false" t="array" ref="J2087:J2087">IFERROR(INDEX(AC2087:AE2087,IF(COUNTA(AC2087:AE2087)=0,"",MAX((AC2087:AE2087&lt;&gt;"")*(COLUMN(AC2087:AE2087)-(COLUMN(AC2087)))))-1),"")</f>
        <v>45716</v>
      </c>
      <c r="K2087" s="16" t="n">
        <f aca="false" t="array" ref="K2087:K2087">IFERROR(INDEX(AC2087:AE2087,IF(COUNTA(AC2087:AE2087)=0,"",MAX((AC2087:AE2087&lt;&gt;"")*(COLUMN(AC2087:AE2087)-(COLUMN(AC2087)-1))))-1),"")</f>
        <v>45915</v>
      </c>
      <c r="L2087" s="17" t="str">
        <f aca="false" t="array" ref="L2087:L2087">IFERROR(INDEX(AC2087:AE2087,IF(COUNTA(AC2087:AE2087)=0,"",MAX((AC2087:AE2087&lt;&gt;"")*(COLUMN(AC2087:AE2087)-(COLUMN(AC2087)-2))))-1),"")</f>
        <v>ARCHIVED</v>
      </c>
      <c r="M2087" s="13" t="n">
        <f aca="true">K2087-TODAY()</f>
        <v>-409</v>
      </c>
      <c r="N2087" s="18" t="s">
        <v>2414</v>
      </c>
      <c r="O2087" s="13" t="s">
        <v>2037</v>
      </c>
      <c r="P2087" s="19" t="n">
        <v>2338410</v>
      </c>
      <c r="Q2087" s="20" t="s">
        <v>9004</v>
      </c>
      <c r="R2087" s="13" t="s">
        <v>2416</v>
      </c>
      <c r="S2087" s="16" t="n">
        <v>38016</v>
      </c>
      <c r="T2087" s="13" t="s">
        <v>108</v>
      </c>
      <c r="U2087" s="13" t="s">
        <v>9005</v>
      </c>
      <c r="V2087" s="13" t="s">
        <v>42</v>
      </c>
      <c r="W2087" s="13" t="s">
        <v>43</v>
      </c>
      <c r="X2087" s="21" t="n">
        <v>82242871964</v>
      </c>
      <c r="Y2087" s="22" t="str">
        <f aca="false">O2087</f>
        <v>SPG/BA</v>
      </c>
      <c r="Z2087" s="13" t="str">
        <f aca="false">IFERROR(__xludf.dummyfunction("if(BJ2087="""","""",GOOGLETRANSLATE(BJ2087,""auto"",""en""))"),"SPG/BA")</f>
        <v>SPG/BA</v>
      </c>
      <c r="AA2087" s="23" t="str">
        <f aca="false">IF(C2087="","", CHOOSE(MONTH(C2087),"January","February","March","April","May","June","July","August","September","October","November","December")&amp;" "&amp;DAY(C2087)&amp;MID("thstndrdth",MIN(9,2*RIGHT(DAY(C2087))*(MOD(DAY(C2087)-11,100)&gt;2)+1),2)&amp;","&amp;TEXT(C2087," yyyy"))</f>
        <v>February 28th,2025</v>
      </c>
      <c r="AB2087" s="15" t="str">
        <f aca="true">IF(S2087="","",DATEDIF(S2087,TODAY(),"Y")&amp;" Tahun, "&amp;DATEDIF(S2087,TODAY(),"YM")&amp;" Bulan, "&amp;DATEDIF(S2087,TODAY(),"MD")&amp;" Hari")</f>
        <v>22 Tahun, 8 Bulan, 29 Hari</v>
      </c>
      <c r="AC2087" s="18" t="n">
        <v>45716</v>
      </c>
      <c r="AD2087" s="18" t="n">
        <v>45915</v>
      </c>
      <c r="AE2087" s="18" t="s">
        <v>44</v>
      </c>
    </row>
    <row r="2088" customFormat="false" ht="15" hidden="false" customHeight="true" outlineLevel="0" collapsed="false">
      <c r="A2088" s="12" t="n">
        <v>19245</v>
      </c>
      <c r="B2088" s="93" t="s">
        <v>9006</v>
      </c>
      <c r="C2088" s="16" t="n">
        <v>45761</v>
      </c>
      <c r="D2088" s="13" t="s">
        <v>7948</v>
      </c>
      <c r="E2088" s="15" t="s">
        <v>7949</v>
      </c>
      <c r="F2088" s="15" t="str">
        <f aca="false">IFERROR(__xludf.dummyfunction("XLOOKUP(AJ2088,IMPORTRANGE(""1XaInW9DU9nz21V0tYIfzFQ0He9kVQ_JF2mCXgZ3hqFA"",""REKAP ALL 2026 - Andika!G:G""),IMPORTRANGE(""1XaInW9DU9nz21V0tYIfzFQ0He9kVQ_JF2mCXgZ3hqFA"",""REKAP ALL 2026 - Andika!F:F""),"""",0)"),"25047635849")</f>
        <v>25047635849</v>
      </c>
      <c r="G2088" s="13" t="s">
        <v>57</v>
      </c>
      <c r="H2088" s="13" t="s">
        <v>7950</v>
      </c>
      <c r="I2088" s="13" t="str">
        <f aca="false">IF(C2088=J2088,"NEW KONTRAK","RE-KONTRAK")</f>
        <v>RE-KONTRAK</v>
      </c>
      <c r="J2088" s="16" t="n">
        <f aca="false" t="array" ref="J2088:J2088">IFERROR(INDEX(AC2088:AE2088,IF(COUNTA(AC2088:AE2088)=0,"",MAX((AC2088:AE2088&lt;&gt;"")*(COLUMN(AC2088:AE2088)-(COLUMN(AC2088)))))-1),"")</f>
        <v>45844</v>
      </c>
      <c r="K2088" s="16" t="n">
        <f aca="false" t="array" ref="K2088:K2088">IFERROR(INDEX(AC2088:AE2088,IF(COUNTA(AC2088:AE2088)=0,"",MAX((AC2088:AE2088&lt;&gt;"")*(COLUMN(AC2088:AE2088)-(COLUMN(AC2088)-1))))-1),"")</f>
        <v>45935</v>
      </c>
      <c r="L2088" s="17" t="str">
        <f aca="false" t="array" ref="L2088:L2088">IFERROR(INDEX(AC2088:AE2088,IF(COUNTA(AC2088:AE2088)=0,"",MAX((AC2088:AE2088&lt;&gt;"")*(COLUMN(AC2088:AE2088)-(COLUMN(AC2088)-2))))-1),"")</f>
        <v>ARCHIVED</v>
      </c>
      <c r="M2088" s="13" t="n">
        <f aca="true">K2088-TODAY()</f>
        <v>-389</v>
      </c>
      <c r="N2088" s="18" t="s">
        <v>4051</v>
      </c>
      <c r="O2088" s="95" t="s">
        <v>7951</v>
      </c>
      <c r="P2088" s="19" t="n">
        <v>210000</v>
      </c>
      <c r="Q2088" s="96" t="s">
        <v>9007</v>
      </c>
      <c r="R2088" s="97" t="s">
        <v>232</v>
      </c>
      <c r="S2088" s="16" t="n">
        <v>29534</v>
      </c>
      <c r="T2088" s="28" t="s">
        <v>40</v>
      </c>
      <c r="U2088" s="95" t="s">
        <v>9008</v>
      </c>
      <c r="V2088" s="13" t="s">
        <v>42</v>
      </c>
      <c r="W2088" s="13" t="s">
        <v>54</v>
      </c>
      <c r="X2088" s="30" t="n">
        <v>85331351823</v>
      </c>
      <c r="Y2088" s="22" t="str">
        <f aca="false">O2088</f>
        <v>Mekanik Kiln</v>
      </c>
      <c r="Z2088" s="13" t="str">
        <f aca="false">IFERROR(__xludf.dummyfunction("if(BJ2088="""","""",GOOGLETRANSLATE(BJ2088,""auto"",""en""))"),"Kiln Mechanics")</f>
        <v>Kiln Mechanics</v>
      </c>
      <c r="AA2088" s="23" t="str">
        <f aca="false">IF(C2088="","", CHOOSE(MONTH(C2088),"January","February","March","April","May","June","July","August","September","October","November","December")&amp;" "&amp;DAY(C2088)&amp;MID("thstndrdth",MIN(9,2*RIGHT(DAY(C2088))*(MOD(DAY(C2088)-11,100)&gt;2)+1),2)&amp;","&amp;TEXT(C2088," yyyy"))</f>
        <v>April 14th,2025</v>
      </c>
      <c r="AB2088" s="15" t="str">
        <f aca="true">IF(S2088="","",DATEDIF(S2088,TODAY(),"Y")&amp;" Tahun, "&amp;DATEDIF(S2088,TODAY(),"YM")&amp;" Bulan, "&amp;DATEDIF(S2088,TODAY(),"MD")&amp;" Hari")</f>
        <v>45 Tahun, 11 Bulan, 20 Hari</v>
      </c>
      <c r="AC2088" s="18" t="n">
        <v>45844</v>
      </c>
      <c r="AD2088" s="18" t="n">
        <v>45935</v>
      </c>
      <c r="AE2088" s="18" t="s">
        <v>44</v>
      </c>
    </row>
    <row r="2089" customFormat="false" ht="15" hidden="false" customHeight="true" outlineLevel="0" collapsed="false">
      <c r="A2089" s="12" t="n">
        <v>19246</v>
      </c>
      <c r="B2089" s="93" t="s">
        <v>2965</v>
      </c>
      <c r="C2089" s="16" t="n">
        <v>45761</v>
      </c>
      <c r="D2089" s="13" t="s">
        <v>7948</v>
      </c>
      <c r="E2089" s="15" t="s">
        <v>7949</v>
      </c>
      <c r="F2089" s="15" t="str">
        <f aca="false">IFERROR(__xludf.dummyfunction("XLOOKUP(AJ2089,IMPORTRANGE(""1XaInW9DU9nz21V0tYIfzFQ0He9kVQ_JF2mCXgZ3hqFA"",""REKAP ALL 2026 - Andika!G:G""),IMPORTRANGE(""1XaInW9DU9nz21V0tYIfzFQ0He9kVQ_JF2mCXgZ3hqFA"",""REKAP ALL 2026 - Andika!F:F""),"""",0)"),"25047635856")</f>
        <v>25047635856</v>
      </c>
      <c r="G2089" s="13" t="s">
        <v>57</v>
      </c>
      <c r="H2089" s="13" t="s">
        <v>7950</v>
      </c>
      <c r="I2089" s="13" t="str">
        <f aca="false">IF(C2089=J2089,"NEW KONTRAK","RE-KONTRAK")</f>
        <v>RE-KONTRAK</v>
      </c>
      <c r="J2089" s="16" t="n">
        <f aca="false" t="array" ref="J2089:J2089">IFERROR(INDEX(AC2089:AE2089,IF(COUNTA(AC2089:AE2089)=0,"",MAX((AC2089:AE2089&lt;&gt;"")*(COLUMN(AC2089:AE2089)-(COLUMN(AC2089)))))-1),"")</f>
        <v>45844</v>
      </c>
      <c r="K2089" s="16" t="n">
        <f aca="false" t="array" ref="K2089:K2089">IFERROR(INDEX(AC2089:AE2089,IF(COUNTA(AC2089:AE2089)=0,"",MAX((AC2089:AE2089&lt;&gt;"")*(COLUMN(AC2089:AE2089)-(COLUMN(AC2089)-1))))-1),"")</f>
        <v>45935</v>
      </c>
      <c r="L2089" s="17" t="str">
        <f aca="false" t="array" ref="L2089:L2089">IFERROR(INDEX(AC2089:AE2089,IF(COUNTA(AC2089:AE2089)=0,"",MAX((AC2089:AE2089&lt;&gt;"")*(COLUMN(AC2089:AE2089)-(COLUMN(AC2089)-2))))-1),"")</f>
        <v>ARCHIVED</v>
      </c>
      <c r="M2089" s="13" t="n">
        <f aca="true">K2089-TODAY()</f>
        <v>-389</v>
      </c>
      <c r="N2089" s="18" t="s">
        <v>4051</v>
      </c>
      <c r="O2089" s="95" t="s">
        <v>7951</v>
      </c>
      <c r="P2089" s="19" t="n">
        <v>245000</v>
      </c>
      <c r="Q2089" s="96" t="s">
        <v>9009</v>
      </c>
      <c r="R2089" s="97" t="s">
        <v>232</v>
      </c>
      <c r="S2089" s="16" t="n">
        <v>27878</v>
      </c>
      <c r="T2089" s="28" t="s">
        <v>40</v>
      </c>
      <c r="U2089" s="95" t="s">
        <v>9010</v>
      </c>
      <c r="V2089" s="13" t="s">
        <v>42</v>
      </c>
      <c r="W2089" s="13" t="s">
        <v>54</v>
      </c>
      <c r="X2089" s="21" t="n">
        <v>81233980037</v>
      </c>
      <c r="Y2089" s="22" t="str">
        <f aca="false">O2089</f>
        <v>Mekanik Kiln</v>
      </c>
      <c r="Z2089" s="13" t="str">
        <f aca="false">IFERROR(__xludf.dummyfunction("if(BJ2089="""","""",GOOGLETRANSLATE(BJ2089,""auto"",""en""))"),"Kiln Mechanics")</f>
        <v>Kiln Mechanics</v>
      </c>
      <c r="AA2089" s="23" t="str">
        <f aca="false">IF(C2089="","", CHOOSE(MONTH(C2089),"January","February","March","April","May","June","July","August","September","October","November","December")&amp;" "&amp;DAY(C2089)&amp;MID("thstndrdth",MIN(9,2*RIGHT(DAY(C2089))*(MOD(DAY(C2089)-11,100)&gt;2)+1),2)&amp;","&amp;TEXT(C2089," yyyy"))</f>
        <v>April 14th,2025</v>
      </c>
      <c r="AB2089" s="15" t="str">
        <f aca="true">IF(S2089="","",DATEDIF(S2089,TODAY(),"Y")&amp;" Tahun, "&amp;DATEDIF(S2089,TODAY(),"YM")&amp;" Bulan, "&amp;DATEDIF(S2089,TODAY(),"MD")&amp;" Hari")</f>
        <v>50 Tahun, 6 Bulan, 1 Hari</v>
      </c>
      <c r="AC2089" s="18" t="n">
        <v>45844</v>
      </c>
      <c r="AD2089" s="18" t="n">
        <v>45935</v>
      </c>
      <c r="AE2089" s="18" t="s">
        <v>44</v>
      </c>
    </row>
    <row r="2090" customFormat="false" ht="15" hidden="false" customHeight="true" outlineLevel="0" collapsed="false">
      <c r="A2090" s="12" t="n">
        <v>19251</v>
      </c>
      <c r="B2090" s="93" t="s">
        <v>9011</v>
      </c>
      <c r="C2090" s="16" t="n">
        <v>45768</v>
      </c>
      <c r="D2090" s="13" t="s">
        <v>8980</v>
      </c>
      <c r="E2090" s="15" t="s">
        <v>47</v>
      </c>
      <c r="F2090" s="15" t="str">
        <f aca="false">IFERROR(__xludf.dummyfunction("XLOOKUP(AJ2090,IMPORTRANGE(""1XaInW9DU9nz21V0tYIfzFQ0He9kVQ_JF2mCXgZ3hqFA"",""REKAP ALL 2026 - Andika!G:G""),IMPORTRANGE(""1XaInW9DU9nz21V0tYIfzFQ0He9kVQ_JF2mCXgZ3hqFA"",""REKAP ALL 2026 - Andika!F:F""),"""",0)"),"25062536906")</f>
        <v>25062536906</v>
      </c>
      <c r="G2090" s="13" t="s">
        <v>9012</v>
      </c>
      <c r="H2090" s="13" t="s">
        <v>35</v>
      </c>
      <c r="I2090" s="13" t="str">
        <f aca="false">IF(C2090=J2090,"NEW KONTRAK","RE-KONTRAK")</f>
        <v>NEW KONTRAK</v>
      </c>
      <c r="J2090" s="16" t="n">
        <f aca="false" t="array" ref="J2090:J2090">IFERROR(INDEX(AC2090:AE2090,IF(COUNTA(AC2090:AE2090)=0,"",MAX((AC2090:AE2090&lt;&gt;"")*(COLUMN(AC2090:AE2090)-(COLUMN(AC2090)))))-1),"")</f>
        <v>45768</v>
      </c>
      <c r="K2090" s="16" t="n">
        <f aca="false" t="array" ref="K2090:K2090">IFERROR(INDEX(AC2090:AE2090,IF(COUNTA(AC2090:AE2090)=0,"",MAX((AC2090:AE2090&lt;&gt;"")*(COLUMN(AC2090:AE2090)-(COLUMN(AC2090)-1))))-1),"")</f>
        <v>46132</v>
      </c>
      <c r="L2090" s="17" t="str">
        <f aca="false" t="array" ref="L2090:L2090">IFERROR(INDEX(AC2090:AE2090,IF(COUNTA(AC2090:AE2090)=0,"",MAX((AC2090:AE2090&lt;&gt;"")*(COLUMN(AC2090:AE2090)-(COLUMN(AC2090)-2))))-1),"")</f>
        <v>ARCHIVED</v>
      </c>
      <c r="M2090" s="13" t="n">
        <f aca="true">K2090-TODAY()</f>
        <v>-192</v>
      </c>
      <c r="N2090" s="18" t="s">
        <v>8982</v>
      </c>
      <c r="O2090" s="13" t="s">
        <v>8983</v>
      </c>
      <c r="P2090" s="19" t="n">
        <v>2250000</v>
      </c>
      <c r="Q2090" s="20" t="s">
        <v>9013</v>
      </c>
      <c r="R2090" s="13" t="s">
        <v>826</v>
      </c>
      <c r="S2090" s="16" t="n">
        <v>37190</v>
      </c>
      <c r="T2090" s="13" t="s">
        <v>40</v>
      </c>
      <c r="U2090" s="13" t="s">
        <v>9014</v>
      </c>
      <c r="V2090" s="13" t="s">
        <v>42</v>
      </c>
      <c r="W2090" s="13" t="s">
        <v>43</v>
      </c>
      <c r="X2090" s="21" t="n">
        <v>85856138985</v>
      </c>
      <c r="Y2090" s="22" t="str">
        <f aca="false">O2090</f>
        <v>Operator SPBU</v>
      </c>
      <c r="Z2090" s="13" t="str">
        <f aca="false">IFERROR(__xludf.dummyfunction("if(BJ2090="""","""",GOOGLETRANSLATE(BJ2090,""auto"",""en""))"),"Gas Station Operator")</f>
        <v>Gas Station Operator</v>
      </c>
      <c r="AA2090" s="23" t="str">
        <f aca="false">IF(C2090="","", CHOOSE(MONTH(C2090),"January","February","March","April","May","June","July","August","September","October","November","December")&amp;" "&amp;DAY(C2090)&amp;MID("thstndrdth",MIN(9,2*RIGHT(DAY(C2090))*(MOD(DAY(C2090)-11,100)&gt;2)+1),2)&amp;","&amp;TEXT(C2090," yyyy"))</f>
        <v>April 21st,2025</v>
      </c>
      <c r="AB2090" s="15" t="str">
        <f aca="true">IF(S2090="","",DATEDIF(S2090,TODAY(),"Y")&amp;" Tahun, "&amp;DATEDIF(S2090,TODAY(),"YM")&amp;" Bulan, "&amp;DATEDIF(S2090,TODAY(),"MD")&amp;" Hari")</f>
        <v>25 Tahun, 0 Bulan, 3 Hari</v>
      </c>
      <c r="AC2090" s="18" t="n">
        <v>45768</v>
      </c>
      <c r="AD2090" s="18" t="n">
        <v>46132</v>
      </c>
      <c r="AE2090" s="18" t="s">
        <v>44</v>
      </c>
    </row>
    <row r="2091" customFormat="false" ht="15" hidden="false" customHeight="true" outlineLevel="0" collapsed="false">
      <c r="A2091" s="12" t="n">
        <v>19252</v>
      </c>
      <c r="B2091" s="93" t="s">
        <v>9015</v>
      </c>
      <c r="C2091" s="16" t="n">
        <v>45768</v>
      </c>
      <c r="D2091" s="13" t="s">
        <v>8980</v>
      </c>
      <c r="E2091" s="15" t="s">
        <v>47</v>
      </c>
      <c r="F2091" s="15" t="str">
        <f aca="false">IFERROR(__xludf.dummyfunction("XLOOKUP(AJ2091,IMPORTRANGE(""1XaInW9DU9nz21V0tYIfzFQ0He9kVQ_JF2mCXgZ3hqFA"",""REKAP ALL 2026 - Andika!G:G""),IMPORTRANGE(""1XaInW9DU9nz21V0tYIfzFQ0He9kVQ_JF2mCXgZ3hqFA"",""REKAP ALL 2026 - Andika!F:F""),"""",0)"),"25062536922")</f>
        <v>25062536922</v>
      </c>
      <c r="G2091" s="13" t="s">
        <v>9016</v>
      </c>
      <c r="H2091" s="13" t="s">
        <v>35</v>
      </c>
      <c r="I2091" s="13" t="str">
        <f aca="false">IF(C2091=J2091,"NEW KONTRAK","RE-KONTRAK")</f>
        <v>NEW KONTRAK</v>
      </c>
      <c r="J2091" s="16" t="n">
        <f aca="false" t="array" ref="J2091:J2091">IFERROR(INDEX(AC2091:AE2091,IF(COUNTA(AC2091:AE2091)=0,"",MAX((AC2091:AE2091&lt;&gt;"")*(COLUMN(AC2091:AE2091)-(COLUMN(AC2091)))))-1),"")</f>
        <v>45768</v>
      </c>
      <c r="K2091" s="16" t="n">
        <f aca="false" t="array" ref="K2091:K2091">IFERROR(INDEX(AC2091:AE2091,IF(COUNTA(AC2091:AE2091)=0,"",MAX((AC2091:AE2091&lt;&gt;"")*(COLUMN(AC2091:AE2091)-(COLUMN(AC2091)-1))))-1),"")</f>
        <v>46132</v>
      </c>
      <c r="L2091" s="17" t="str">
        <f aca="false" t="array" ref="L2091:L2091">IFERROR(INDEX(AC2091:AE2091,IF(COUNTA(AC2091:AE2091)=0,"",MAX((AC2091:AE2091&lt;&gt;"")*(COLUMN(AC2091:AE2091)-(COLUMN(AC2091)-2))))-1),"")</f>
        <v>ARCHIVED</v>
      </c>
      <c r="M2091" s="13" t="n">
        <f aca="true">K2091-TODAY()</f>
        <v>-192</v>
      </c>
      <c r="N2091" s="18" t="s">
        <v>8982</v>
      </c>
      <c r="O2091" s="13" t="s">
        <v>8983</v>
      </c>
      <c r="P2091" s="19" t="n">
        <v>2250000</v>
      </c>
      <c r="Q2091" s="20" t="s">
        <v>9017</v>
      </c>
      <c r="R2091" s="13" t="s">
        <v>826</v>
      </c>
      <c r="S2091" s="16" t="n">
        <v>35276</v>
      </c>
      <c r="T2091" s="13" t="s">
        <v>40</v>
      </c>
      <c r="U2091" s="13" t="s">
        <v>9018</v>
      </c>
      <c r="V2091" s="13" t="s">
        <v>42</v>
      </c>
      <c r="W2091" s="13" t="s">
        <v>43</v>
      </c>
      <c r="X2091" s="21" t="n">
        <v>85745176957</v>
      </c>
      <c r="Y2091" s="22" t="str">
        <f aca="false">O2091</f>
        <v>Operator SPBU</v>
      </c>
      <c r="Z2091" s="13" t="str">
        <f aca="false">IFERROR(__xludf.dummyfunction("if(BJ2091="""","""",GOOGLETRANSLATE(BJ2091,""auto"",""en""))"),"Gas Station Operator")</f>
        <v>Gas Station Operator</v>
      </c>
      <c r="AA2091" s="23" t="str">
        <f aca="false">IF(C2091="","", CHOOSE(MONTH(C2091),"January","February","March","April","May","June","July","August","September","October","November","December")&amp;" "&amp;DAY(C2091)&amp;MID("thstndrdth",MIN(9,2*RIGHT(DAY(C2091))*(MOD(DAY(C2091)-11,100)&gt;2)+1),2)&amp;","&amp;TEXT(C2091," yyyy"))</f>
        <v>April 21st,2025</v>
      </c>
      <c r="AB2091" s="15" t="str">
        <f aca="true">IF(S2091="","",DATEDIF(S2091,TODAY(),"Y")&amp;" Tahun, "&amp;DATEDIF(S2091,TODAY(),"YM")&amp;" Bulan, "&amp;DATEDIF(S2091,TODAY(),"MD")&amp;" Hari")</f>
        <v>30 Tahun, 2 Bulan, 29 Hari</v>
      </c>
      <c r="AC2091" s="18" t="n">
        <v>45768</v>
      </c>
      <c r="AD2091" s="18" t="n">
        <v>46132</v>
      </c>
      <c r="AE2091" s="18" t="s">
        <v>44</v>
      </c>
    </row>
    <row r="2092" customFormat="false" ht="15" hidden="false" customHeight="true" outlineLevel="0" collapsed="false">
      <c r="A2092" s="12" t="n">
        <v>19254</v>
      </c>
      <c r="B2092" s="93" t="s">
        <v>9019</v>
      </c>
      <c r="C2092" s="16" t="n">
        <v>45768</v>
      </c>
      <c r="D2092" s="13" t="s">
        <v>8980</v>
      </c>
      <c r="E2092" s="15" t="s">
        <v>47</v>
      </c>
      <c r="F2092" s="15" t="str">
        <f aca="false">IFERROR(__xludf.dummyfunction("XLOOKUP(AJ2092,IMPORTRANGE(""1XaInW9DU9nz21V0tYIfzFQ0He9kVQ_JF2mCXgZ3hqFA"",""REKAP ALL 2026 - Andika!G:G""),IMPORTRANGE(""1XaInW9DU9nz21V0tYIfzFQ0He9kVQ_JF2mCXgZ3hqFA"",""REKAP ALL 2026 - Andika!F:F""),"""",0)"),"25062536963")</f>
        <v>25062536963</v>
      </c>
      <c r="G2092" s="13" t="s">
        <v>9020</v>
      </c>
      <c r="H2092" s="13" t="s">
        <v>35</v>
      </c>
      <c r="I2092" s="13" t="str">
        <f aca="false">IF(C2092=J2092,"NEW KONTRAK","RE-KONTRAK")</f>
        <v>NEW KONTRAK</v>
      </c>
      <c r="J2092" s="16" t="n">
        <f aca="false" t="array" ref="J2092:J2092">IFERROR(INDEX(AC2092:AE2092,IF(COUNTA(AC2092:AE2092)=0,"",MAX((AC2092:AE2092&lt;&gt;"")*(COLUMN(AC2092:AE2092)-(COLUMN(AC2092)))))-1),"")</f>
        <v>45768</v>
      </c>
      <c r="K2092" s="16" t="n">
        <f aca="false" t="array" ref="K2092:K2092">IFERROR(INDEX(AC2092:AE2092,IF(COUNTA(AC2092:AE2092)=0,"",MAX((AC2092:AE2092&lt;&gt;"")*(COLUMN(AC2092:AE2092)-(COLUMN(AC2092)-1))))-1),"")</f>
        <v>46132</v>
      </c>
      <c r="L2092" s="17" t="str">
        <f aca="false" t="array" ref="L2092:L2092">IFERROR(INDEX(AC2092:AE2092,IF(COUNTA(AC2092:AE2092)=0,"",MAX((AC2092:AE2092&lt;&gt;"")*(COLUMN(AC2092:AE2092)-(COLUMN(AC2092)-2))))-1),"")</f>
        <v>ARCHIVED</v>
      </c>
      <c r="M2092" s="13" t="n">
        <f aca="true">K2092-TODAY()</f>
        <v>-192</v>
      </c>
      <c r="N2092" s="18" t="s">
        <v>8982</v>
      </c>
      <c r="O2092" s="13" t="s">
        <v>8983</v>
      </c>
      <c r="P2092" s="19" t="n">
        <v>2250000</v>
      </c>
      <c r="Q2092" s="20" t="s">
        <v>9021</v>
      </c>
      <c r="R2092" s="13" t="s">
        <v>826</v>
      </c>
      <c r="S2092" s="16" t="n">
        <v>37599</v>
      </c>
      <c r="T2092" s="13" t="s">
        <v>40</v>
      </c>
      <c r="U2092" s="13" t="s">
        <v>9022</v>
      </c>
      <c r="V2092" s="13" t="s">
        <v>42</v>
      </c>
      <c r="W2092" s="13" t="s">
        <v>43</v>
      </c>
      <c r="X2092" s="21" t="n">
        <v>81515344276</v>
      </c>
      <c r="Y2092" s="22" t="str">
        <f aca="false">O2092</f>
        <v>Operator SPBU</v>
      </c>
      <c r="Z2092" s="13" t="str">
        <f aca="false">IFERROR(__xludf.dummyfunction("if(BJ2092="""","""",GOOGLETRANSLATE(BJ2092,""auto"",""en""))"),"Gas Station Operator")</f>
        <v>Gas Station Operator</v>
      </c>
      <c r="AA2092" s="23" t="str">
        <f aca="false">IF(C2092="","", CHOOSE(MONTH(C2092),"January","February","March","April","May","June","July","August","September","October","November","December")&amp;" "&amp;DAY(C2092)&amp;MID("thstndrdth",MIN(9,2*RIGHT(DAY(C2092))*(MOD(DAY(C2092)-11,100)&gt;2)+1),2)&amp;","&amp;TEXT(C2092," yyyy"))</f>
        <v>April 21st,2025</v>
      </c>
      <c r="AB2092" s="15" t="str">
        <f aca="true">IF(S2092="","",DATEDIF(S2092,TODAY(),"Y")&amp;" Tahun, "&amp;DATEDIF(S2092,TODAY(),"YM")&amp;" Bulan, "&amp;DATEDIF(S2092,TODAY(),"MD")&amp;" Hari")</f>
        <v>23 Tahun, 10 Bulan, 20 Hari</v>
      </c>
      <c r="AC2092" s="18" t="n">
        <v>45768</v>
      </c>
      <c r="AD2092" s="18" t="n">
        <v>46132</v>
      </c>
      <c r="AE2092" s="18" t="s">
        <v>44</v>
      </c>
    </row>
    <row r="2093" customFormat="false" ht="15" hidden="false" customHeight="true" outlineLevel="0" collapsed="false">
      <c r="A2093" s="12" t="n">
        <v>19253</v>
      </c>
      <c r="B2093" s="93" t="s">
        <v>9023</v>
      </c>
      <c r="C2093" s="16" t="n">
        <v>45768</v>
      </c>
      <c r="D2093" s="13" t="s">
        <v>8980</v>
      </c>
      <c r="E2093" s="15" t="s">
        <v>536</v>
      </c>
      <c r="F2093" s="24" t="s">
        <v>9024</v>
      </c>
      <c r="G2093" s="13" t="s">
        <v>9025</v>
      </c>
      <c r="H2093" s="13" t="s">
        <v>35</v>
      </c>
      <c r="I2093" s="13" t="str">
        <f aca="false">IF(C2093=J2093,"NEW KONTRAK","RE-KONTRAK")</f>
        <v>NEW KONTRAK</v>
      </c>
      <c r="J2093" s="16" t="n">
        <f aca="false" t="array" ref="J2093:J2093">IFERROR(INDEX(AC2093:AE2093,IF(COUNTA(AC2093:AE2093)=0,"",MAX((AC2093:AE2093&lt;&gt;"")*(COLUMN(AC2093:AE2093)-(COLUMN(AC2093)))))-1),"")</f>
        <v>45768</v>
      </c>
      <c r="K2093" s="16" t="n">
        <f aca="false" t="array" ref="K2093:K2093">IFERROR(INDEX(AC2093:AE2093,IF(COUNTA(AC2093:AE2093)=0,"",MAX((AC2093:AE2093&lt;&gt;"")*(COLUMN(AC2093:AE2093)-(COLUMN(AC2093)-1))))-1),"")</f>
        <v>46132</v>
      </c>
      <c r="L2093" s="17" t="str">
        <f aca="false" t="array" ref="L2093:L2093">IFERROR(INDEX(AC2093:AE2093,IF(COUNTA(AC2093:AE2093)=0,"",MAX((AC2093:AE2093&lt;&gt;"")*(COLUMN(AC2093:AE2093)-(COLUMN(AC2093)-2))))-1),"")</f>
        <v>ARCHIVED</v>
      </c>
      <c r="M2093" s="13" t="n">
        <f aca="true">K2093-TODAY()</f>
        <v>-192</v>
      </c>
      <c r="N2093" s="18" t="s">
        <v>8982</v>
      </c>
      <c r="O2093" s="13" t="s">
        <v>764</v>
      </c>
      <c r="P2093" s="19" t="n">
        <v>2000000</v>
      </c>
      <c r="Q2093" s="20" t="s">
        <v>9026</v>
      </c>
      <c r="R2093" s="13" t="s">
        <v>826</v>
      </c>
      <c r="S2093" s="16" t="n">
        <v>32162</v>
      </c>
      <c r="T2093" s="13" t="s">
        <v>40</v>
      </c>
      <c r="U2093" s="13" t="s">
        <v>9027</v>
      </c>
      <c r="V2093" s="13" t="s">
        <v>42</v>
      </c>
      <c r="W2093" s="13" t="s">
        <v>54</v>
      </c>
      <c r="X2093" s="21" t="n">
        <v>8819869516</v>
      </c>
      <c r="Y2093" s="22" t="str">
        <f aca="false">O2093</f>
        <v>Operator</v>
      </c>
      <c r="Z2093" s="13" t="str">
        <f aca="false">IFERROR(__xludf.dummyfunction("if(BJ2093="""","""",GOOGLETRANSLATE(BJ2093,""auto"",""en""))"),"Operator")</f>
        <v>Operator</v>
      </c>
      <c r="AA2093" s="23" t="str">
        <f aca="false">IF(C2093="","", CHOOSE(MONTH(C2093),"January","February","March","April","May","June","July","August","September","October","November","December")&amp;" "&amp;DAY(C2093)&amp;MID("thstndrdth",MIN(9,2*RIGHT(DAY(C2093))*(MOD(DAY(C2093)-11,100)&gt;2)+1),2)&amp;","&amp;TEXT(C2093," yyyy"))</f>
        <v>April 21st,2025</v>
      </c>
      <c r="AB2093" s="15" t="str">
        <f aca="true">IF(S2093="","",DATEDIF(S2093,TODAY(),"Y")&amp;" Tahun, "&amp;DATEDIF(S2093,TODAY(),"YM")&amp;" Bulan, "&amp;DATEDIF(S2093,TODAY(),"MD")&amp;" Hari")</f>
        <v>38 Tahun, 9 Bulan, 9 Hari</v>
      </c>
      <c r="AC2093" s="18" t="n">
        <v>45768</v>
      </c>
      <c r="AD2093" s="18" t="n">
        <v>46132</v>
      </c>
      <c r="AE2093" s="18" t="s">
        <v>44</v>
      </c>
    </row>
    <row r="2094" customFormat="false" ht="15" hidden="false" customHeight="true" outlineLevel="0" collapsed="false">
      <c r="A2094" s="12" t="n">
        <v>19256</v>
      </c>
      <c r="B2094" s="93" t="s">
        <v>9028</v>
      </c>
      <c r="C2094" s="16" t="n">
        <v>45768</v>
      </c>
      <c r="D2094" s="13" t="s">
        <v>5726</v>
      </c>
      <c r="E2094" s="15" t="s">
        <v>47</v>
      </c>
      <c r="F2094" s="15" t="str">
        <f aca="false">IFERROR(__xludf.dummyfunction("XLOOKUP(AJ2094,IMPORTRANGE(""1XaInW9DU9nz21V0tYIfzFQ0He9kVQ_JF2mCXgZ3hqFA"",""REKAP ALL 2026 - Andika!G:G""),IMPORTRANGE(""1XaInW9DU9nz21V0tYIfzFQ0He9kVQ_JF2mCXgZ3hqFA"",""REKAP ALL 2026 - Andika!F:F""),"""",0)"),"25047634222")</f>
        <v>25047634222</v>
      </c>
      <c r="G2094" s="13" t="s">
        <v>9029</v>
      </c>
      <c r="H2094" s="13" t="s">
        <v>35</v>
      </c>
      <c r="I2094" s="13" t="str">
        <f aca="false">IF(C2094=J2094,"NEW KONTRAK","RE-KONTRAK")</f>
        <v>RE-KONTRAK</v>
      </c>
      <c r="J2094" s="16" t="n">
        <f aca="false" t="array" ref="J2094:J2094">IFERROR(INDEX(AC2094:AE2094,IF(COUNTA(AC2094:AE2094)=0,"",MAX((AC2094:AE2094&lt;&gt;"")*(COLUMN(AC2094:AE2094)-(COLUMN(AC2094)))))-1),"")</f>
        <v>45859</v>
      </c>
      <c r="K2094" s="16" t="n">
        <f aca="false" t="array" ref="K2094:K2094">IFERROR(INDEX(AC2094:AE2094,IF(COUNTA(AC2094:AE2094)=0,"",MAX((AC2094:AE2094&lt;&gt;"")*(COLUMN(AC2094:AE2094)-(COLUMN(AC2094)-1))))-1),"")</f>
        <v>45950</v>
      </c>
      <c r="L2094" s="17" t="str">
        <f aca="false" t="array" ref="L2094:L2094">IFERROR(INDEX(AC2094:AE2094,IF(COUNTA(AC2094:AE2094)=0,"",MAX((AC2094:AE2094&lt;&gt;"")*(COLUMN(AC2094:AE2094)-(COLUMN(AC2094)-2))))-1),"")</f>
        <v>ARCHIVED</v>
      </c>
      <c r="M2094" s="13" t="n">
        <f aca="true">K2094-TODAY()</f>
        <v>-374</v>
      </c>
      <c r="N2094" s="18" t="s">
        <v>615</v>
      </c>
      <c r="O2094" s="13" t="s">
        <v>3271</v>
      </c>
      <c r="P2094" s="19" t="n">
        <v>5176101</v>
      </c>
      <c r="Q2094" s="20" t="s">
        <v>9030</v>
      </c>
      <c r="R2094" s="13" t="s">
        <v>83</v>
      </c>
      <c r="S2094" s="16" t="n">
        <v>36173</v>
      </c>
      <c r="T2094" s="13" t="s">
        <v>40</v>
      </c>
      <c r="U2094" s="13" t="s">
        <v>9031</v>
      </c>
      <c r="V2094" s="13" t="s">
        <v>42</v>
      </c>
      <c r="W2094" s="13" t="s">
        <v>43</v>
      </c>
      <c r="X2094" s="21" t="n">
        <v>85746506984</v>
      </c>
      <c r="Y2094" s="22" t="str">
        <f aca="false">O2094</f>
        <v>Helper</v>
      </c>
      <c r="Z2094" s="13" t="str">
        <f aca="false">IFERROR(__xludf.dummyfunction("if(BJ2094="""","""",GOOGLETRANSLATE(BJ2094,""auto"",""en""))"),"Helper")</f>
        <v>Helper</v>
      </c>
      <c r="AA2094" s="23" t="str">
        <f aca="false">IF(C2094="","", CHOOSE(MONTH(C2094),"January","February","March","April","May","June","July","August","September","October","November","December")&amp;" "&amp;DAY(C2094)&amp;MID("thstndrdth",MIN(9,2*RIGHT(DAY(C2094))*(MOD(DAY(C2094)-11,100)&gt;2)+1),2)&amp;","&amp;TEXT(C2094," yyyy"))</f>
        <v>April 21st,2025</v>
      </c>
      <c r="AB2094" s="15" t="str">
        <f aca="true">IF(S2094="","",DATEDIF(S2094,TODAY(),"Y")&amp;" Tahun, "&amp;DATEDIF(S2094,TODAY(),"YM")&amp;" Bulan, "&amp;DATEDIF(S2094,TODAY(),"MD")&amp;" Hari")</f>
        <v>27 Tahun, 9 Bulan, 16 Hari</v>
      </c>
      <c r="AC2094" s="18" t="n">
        <v>45859</v>
      </c>
      <c r="AD2094" s="18" t="n">
        <v>45950</v>
      </c>
      <c r="AE2094" s="18" t="s">
        <v>44</v>
      </c>
    </row>
    <row r="2095" customFormat="false" ht="15" hidden="false" customHeight="true" outlineLevel="0" collapsed="false">
      <c r="A2095" s="12" t="n">
        <v>19265</v>
      </c>
      <c r="B2095" s="13" t="s">
        <v>9032</v>
      </c>
      <c r="C2095" s="16" t="n">
        <v>45764</v>
      </c>
      <c r="D2095" s="13" t="s">
        <v>8240</v>
      </c>
      <c r="E2095" s="15" t="s">
        <v>47</v>
      </c>
      <c r="F2095" s="15" t="str">
        <f aca="false">IFERROR(__xludf.dummyfunction("XLOOKUP(AJ2095,IMPORTRANGE(""1XaInW9DU9nz21V0tYIfzFQ0He9kVQ_JF2mCXgZ3hqFA"",""REKAP ALL 2026 - Andika!G:G""),IMPORTRANGE(""1XaInW9DU9nz21V0tYIfzFQ0He9kVQ_JF2mCXgZ3hqFA"",""REKAP ALL 2026 - Andika!F:F""),"""",0)"),"25047637001")</f>
        <v>25047637001</v>
      </c>
      <c r="G2095" s="15" t="s">
        <v>57</v>
      </c>
      <c r="H2095" s="13" t="s">
        <v>35</v>
      </c>
      <c r="I2095" s="13" t="str">
        <f aca="false">IF(C2095=J2095,"NEW KONTRAK","RE-KONTRAK")</f>
        <v>RE-KONTRAK</v>
      </c>
      <c r="J2095" s="16" t="n">
        <f aca="false" t="array" ref="J2095:J2095">IFERROR(INDEX(AC2095:AE2095,IF(COUNTA(AC2095:AE2095)=0,"",MAX((AC2095:AE2095&lt;&gt;"")*(COLUMN(AC2095:AE2095)-(COLUMN(AC2095)))))-1),"")</f>
        <v>45855</v>
      </c>
      <c r="K2095" s="16" t="n">
        <f aca="false" t="array" ref="K2095:K2095">IFERROR(INDEX(AC2095:AE2095,IF(COUNTA(AC2095:AE2095)=0,"",MAX((AC2095:AE2095&lt;&gt;"")*(COLUMN(AC2095:AE2095)-(COLUMN(AC2095)-1))))-1),"")</f>
        <v>45946</v>
      </c>
      <c r="L2095" s="17" t="str">
        <f aca="false" t="array" ref="L2095:L2095">IFERROR(INDEX(AC2095:AE2095,IF(COUNTA(AC2095:AE2095)=0,"",MAX((AC2095:AE2095&lt;&gt;"")*(COLUMN(AC2095:AE2095)-(COLUMN(AC2095)-2))))-1),"")</f>
        <v>ARCHIVED</v>
      </c>
      <c r="M2095" s="13" t="n">
        <f aca="true">K2095-TODAY()</f>
        <v>-378</v>
      </c>
      <c r="N2095" s="18" t="s">
        <v>36</v>
      </c>
      <c r="O2095" s="13" t="s">
        <v>8241</v>
      </c>
      <c r="P2095" s="19" t="n">
        <v>140000</v>
      </c>
      <c r="Q2095" s="20" t="s">
        <v>9033</v>
      </c>
      <c r="R2095" s="13" t="s">
        <v>826</v>
      </c>
      <c r="S2095" s="16" t="n">
        <v>38987</v>
      </c>
      <c r="T2095" s="28" t="s">
        <v>40</v>
      </c>
      <c r="U2095" s="13" t="s">
        <v>4366</v>
      </c>
      <c r="V2095" s="13" t="s">
        <v>42</v>
      </c>
      <c r="W2095" s="13" t="s">
        <v>43</v>
      </c>
      <c r="X2095" s="21" t="n">
        <v>81357182275</v>
      </c>
      <c r="Y2095" s="22" t="str">
        <f aca="false">O2095</f>
        <v>Helper Mixing</v>
      </c>
      <c r="Z2095" s="13" t="str">
        <f aca="false">IFERROR(__xludf.dummyfunction("if(BJ2095="""","""",GOOGLETRANSLATE(BJ2095,""auto"",""en""))"),"Helper Mixing")</f>
        <v>Helper Mixing</v>
      </c>
      <c r="AA2095" s="23" t="str">
        <f aca="false">IF(C2095="","", CHOOSE(MONTH(C2095),"January","February","March","April","May","June","July","August","September","October","November","December")&amp;" "&amp;DAY(C2095)&amp;MID("thstndrdth",MIN(9,2*RIGHT(DAY(C2095))*(MOD(DAY(C2095)-11,100)&gt;2)+1),2)&amp;","&amp;TEXT(C2095," yyyy"))</f>
        <v>April 17th,2025</v>
      </c>
      <c r="AB2095" s="15" t="str">
        <f aca="true">IF(S2095="","",DATEDIF(S2095,TODAY(),"Y")&amp;" Tahun, "&amp;DATEDIF(S2095,TODAY(),"YM")&amp;" Bulan, "&amp;DATEDIF(S2095,TODAY(),"MD")&amp;" Hari")</f>
        <v>20 Tahun, 1 Bulan, 2 Hari</v>
      </c>
      <c r="AC2095" s="18" t="n">
        <v>45855</v>
      </c>
      <c r="AD2095" s="18" t="n">
        <v>45946</v>
      </c>
      <c r="AE2095" s="18" t="s">
        <v>44</v>
      </c>
    </row>
    <row r="2096" customFormat="false" ht="15" hidden="false" customHeight="true" outlineLevel="0" collapsed="false">
      <c r="A2096" s="12" t="n">
        <v>19263</v>
      </c>
      <c r="B2096" s="13" t="s">
        <v>9034</v>
      </c>
      <c r="C2096" s="16" t="n">
        <v>45764</v>
      </c>
      <c r="D2096" s="13" t="s">
        <v>3022</v>
      </c>
      <c r="E2096" s="15" t="s">
        <v>102</v>
      </c>
      <c r="F2096" s="15" t="str">
        <f aca="false">IFERROR(__xludf.dummyfunction("XLOOKUP(AJ2096,IMPORTRANGE(""1XaInW9DU9nz21V0tYIfzFQ0He9kVQ_JF2mCXgZ3hqFA"",""REKAP ALL 2026 - Andika!G:G""),IMPORTRANGE(""1XaInW9DU9nz21V0tYIfzFQ0He9kVQ_JF2mCXgZ3hqFA"",""REKAP ALL 2026 - Andika!F:F""),"""",0)"),"25047636532")</f>
        <v>25047636532</v>
      </c>
      <c r="G2096" s="13" t="s">
        <v>9035</v>
      </c>
      <c r="H2096" s="13" t="s">
        <v>3024</v>
      </c>
      <c r="I2096" s="13" t="str">
        <f aca="false">IF(C2096=J2096,"NEW KONTRAK","RE-KONTRAK")</f>
        <v>RE-KONTRAK</v>
      </c>
      <c r="J2096" s="16" t="n">
        <f aca="false" t="array" ref="J2096:J2096">IFERROR(INDEX(AC2096:AE2096,IF(COUNTA(AC2096:AE2096)=0,"",MAX((AC2096:AE2096&lt;&gt;"")*(COLUMN(AC2096:AE2096)-(COLUMN(AC2096)))))-1),"")</f>
        <v>45855</v>
      </c>
      <c r="K2096" s="16" t="n">
        <f aca="false" t="array" ref="K2096:K2096">IFERROR(INDEX(AC2096:AE2096,IF(COUNTA(AC2096:AE2096)=0,"",MAX((AC2096:AE2096&lt;&gt;"")*(COLUMN(AC2096:AE2096)-(COLUMN(AC2096)-1))))-1),"")</f>
        <v>45934</v>
      </c>
      <c r="L2096" s="17" t="str">
        <f aca="false" t="array" ref="L2096:L2096">IFERROR(INDEX(AC2096:AE2096,IF(COUNTA(AC2096:AE2096)=0,"",MAX((AC2096:AE2096&lt;&gt;"")*(COLUMN(AC2096:AE2096)-(COLUMN(AC2096)-2))))-1),"")</f>
        <v>ARCHIVED</v>
      </c>
      <c r="M2096" s="13" t="n">
        <f aca="true">K2096-TODAY()</f>
        <v>-390</v>
      </c>
      <c r="N2096" s="18" t="s">
        <v>36</v>
      </c>
      <c r="O2096" s="13" t="s">
        <v>58</v>
      </c>
      <c r="P2096" s="19" t="n">
        <v>125000</v>
      </c>
      <c r="Q2096" s="20" t="s">
        <v>9036</v>
      </c>
      <c r="R2096" s="13" t="s">
        <v>39</v>
      </c>
      <c r="S2096" s="16" t="n">
        <v>36817</v>
      </c>
      <c r="T2096" s="28" t="s">
        <v>40</v>
      </c>
      <c r="U2096" s="13" t="s">
        <v>9037</v>
      </c>
      <c r="V2096" s="13" t="s">
        <v>42</v>
      </c>
      <c r="W2096" s="13" t="s">
        <v>43</v>
      </c>
      <c r="X2096" s="21" t="n">
        <v>895419578300</v>
      </c>
      <c r="Y2096" s="22" t="str">
        <f aca="false">O2096</f>
        <v>Produksi</v>
      </c>
      <c r="Z2096" s="13" t="str">
        <f aca="false">IFERROR(__xludf.dummyfunction("if(BJ2096="""","""",GOOGLETRANSLATE(BJ2096,""auto"",""en""))"),"Production")</f>
        <v>Production</v>
      </c>
      <c r="AA2096" s="23" t="str">
        <f aca="false">IF(C2096="","", CHOOSE(MONTH(C2096),"January","February","March","April","May","June","July","August","September","October","November","December")&amp;" "&amp;DAY(C2096)&amp;MID("thstndrdth",MIN(9,2*RIGHT(DAY(C2096))*(MOD(DAY(C2096)-11,100)&gt;2)+1),2)&amp;","&amp;TEXT(C2096," yyyy"))</f>
        <v>April 17th,2025</v>
      </c>
      <c r="AB2096" s="15" t="str">
        <f aca="true">IF(S2096="","",DATEDIF(S2096,TODAY(),"Y")&amp;" Tahun, "&amp;DATEDIF(S2096,TODAY(),"YM")&amp;" Bulan, "&amp;DATEDIF(S2096,TODAY(),"MD")&amp;" Hari")</f>
        <v>26 Tahun, 0 Bulan, 11 Hari</v>
      </c>
      <c r="AC2096" s="18" t="n">
        <v>45855</v>
      </c>
      <c r="AD2096" s="18" t="n">
        <v>45934</v>
      </c>
      <c r="AE2096" s="18" t="s">
        <v>44</v>
      </c>
    </row>
    <row r="2097" customFormat="false" ht="15" hidden="false" customHeight="true" outlineLevel="0" collapsed="false">
      <c r="A2097" s="12" t="n">
        <v>19268</v>
      </c>
      <c r="B2097" s="13" t="s">
        <v>9038</v>
      </c>
      <c r="C2097" s="16" t="n">
        <v>45764</v>
      </c>
      <c r="D2097" s="13" t="s">
        <v>4610</v>
      </c>
      <c r="E2097" s="15" t="s">
        <v>47</v>
      </c>
      <c r="F2097" s="15" t="str">
        <f aca="false">IFERROR(__xludf.dummyfunction("XLOOKUP(AJ2097,IMPORTRANGE(""1XaInW9DU9nz21V0tYIfzFQ0He9kVQ_JF2mCXgZ3hqFA"",""REKAP ALL 2026 - Andika!G:G""),IMPORTRANGE(""1XaInW9DU9nz21V0tYIfzFQ0He9kVQ_JF2mCXgZ3hqFA"",""REKAP ALL 2026 - Andika!F:F""),"""",0)"),"25047636953")</f>
        <v>25047636953</v>
      </c>
      <c r="G2097" s="13" t="s">
        <v>57</v>
      </c>
      <c r="H2097" s="13" t="s">
        <v>35</v>
      </c>
      <c r="I2097" s="13" t="str">
        <f aca="false">IF(C2097=J2097,"NEW KONTRAK","RE-KONTRAK")</f>
        <v>NEW KONTRAK</v>
      </c>
      <c r="J2097" s="16" t="n">
        <f aca="false" t="array" ref="J2097:J2097">IFERROR(INDEX(AC2097:AE2097,IF(COUNTA(AC2097:AE2097)=0,"",MAX((AC2097:AE2097&lt;&gt;"")*(COLUMN(AC2097:AE2097)-(COLUMN(AC2097)))))-1),"")</f>
        <v>45764</v>
      </c>
      <c r="K2097" s="16" t="n">
        <f aca="false" t="array" ref="K2097:K2097">IFERROR(INDEX(AC2097:AE2097,IF(COUNTA(AC2097:AE2097)=0,"",MAX((AC2097:AE2097&lt;&gt;"")*(COLUMN(AC2097:AE2097)-(COLUMN(AC2097)-1))))-1),"")</f>
        <v>45946</v>
      </c>
      <c r="L2097" s="17" t="str">
        <f aca="false" t="array" ref="L2097:L2097">IFERROR(INDEX(AC2097:AE2097,IF(COUNTA(AC2097:AE2097)=0,"",MAX((AC2097:AE2097&lt;&gt;"")*(COLUMN(AC2097:AE2097)-(COLUMN(AC2097)-2))))-1),"")</f>
        <v>ARCHIVED</v>
      </c>
      <c r="M2097" s="13" t="n">
        <f aca="true">K2097-TODAY()</f>
        <v>-378</v>
      </c>
      <c r="N2097" s="18" t="s">
        <v>36</v>
      </c>
      <c r="O2097" s="13" t="s">
        <v>4280</v>
      </c>
      <c r="P2097" s="27" t="n">
        <v>120000</v>
      </c>
      <c r="Q2097" s="20" t="s">
        <v>9039</v>
      </c>
      <c r="R2097" s="13" t="s">
        <v>9040</v>
      </c>
      <c r="S2097" s="16" t="n">
        <v>34107</v>
      </c>
      <c r="T2097" s="28" t="s">
        <v>40</v>
      </c>
      <c r="U2097" s="13" t="s">
        <v>9041</v>
      </c>
      <c r="V2097" s="13" t="s">
        <v>42</v>
      </c>
      <c r="W2097" s="13" t="s">
        <v>54</v>
      </c>
      <c r="X2097" s="21" t="n">
        <v>89679062936</v>
      </c>
      <c r="Y2097" s="22" t="str">
        <f aca="false">O2097</f>
        <v>Helper Cutting</v>
      </c>
      <c r="Z2097" s="13" t="str">
        <f aca="false">IFERROR(__xludf.dummyfunction("if(BJ2097="""","""",GOOGLETRANSLATE(BJ2097,""auto"",""en""))"),"Helper Cutting")</f>
        <v>Helper Cutting</v>
      </c>
      <c r="AA2097" s="23" t="str">
        <f aca="false">IF(C2097="","", CHOOSE(MONTH(C2097),"January","February","March","April","May","June","July","August","September","October","November","December")&amp;" "&amp;DAY(C2097)&amp;MID("thstndrdth",MIN(9,2*RIGHT(DAY(C2097))*(MOD(DAY(C2097)-11,100)&gt;2)+1),2)&amp;","&amp;TEXT(C2097," yyyy"))</f>
        <v>April 17th,2025</v>
      </c>
      <c r="AB2097" s="15" t="str">
        <f aca="true">IF(S2097="","",DATEDIF(S2097,TODAY(),"Y")&amp;" Tahun, "&amp;DATEDIF(S2097,TODAY(),"YM")&amp;" Bulan, "&amp;DATEDIF(S2097,TODAY(),"MD")&amp;" Hari")</f>
        <v>33 Tahun, 5 Bulan, 11 Hari</v>
      </c>
      <c r="AC2097" s="18" t="n">
        <v>45764</v>
      </c>
      <c r="AD2097" s="18" t="n">
        <v>45946</v>
      </c>
      <c r="AE2097" s="18" t="s">
        <v>44</v>
      </c>
    </row>
    <row r="2098" customFormat="false" ht="15" hidden="false" customHeight="true" outlineLevel="0" collapsed="false">
      <c r="A2098" s="12" t="n">
        <v>19289</v>
      </c>
      <c r="B2098" s="13" t="s">
        <v>9042</v>
      </c>
      <c r="C2098" s="16" t="n">
        <v>45768</v>
      </c>
      <c r="D2098" s="13" t="s">
        <v>9043</v>
      </c>
      <c r="E2098" s="15" t="s">
        <v>47</v>
      </c>
      <c r="F2098" s="15" t="str">
        <f aca="false">IFERROR(__xludf.dummyfunction("XLOOKUP(AJ2098,IMPORTRANGE(""1XaInW9DU9nz21V0tYIfzFQ0He9kVQ_JF2mCXgZ3hqFA"",""REKAP ALL 2026 - Andika!G:G""),IMPORTRANGE(""1XaInW9DU9nz21V0tYIfzFQ0He9kVQ_JF2mCXgZ3hqFA"",""REKAP ALL 2026 - Andika!F:F""),"""",0)"),"25062536625")</f>
        <v>25062536625</v>
      </c>
      <c r="G2098" s="13" t="s">
        <v>9044</v>
      </c>
      <c r="H2098" s="13" t="s">
        <v>35</v>
      </c>
      <c r="I2098" s="13" t="str">
        <f aca="false">IF(C2098=J2098,"NEW KONTRAK","RE-KONTRAK")</f>
        <v>NEW KONTRAK</v>
      </c>
      <c r="J2098" s="16" t="n">
        <f aca="false" t="array" ref="J2098:J2098">IFERROR(INDEX(AC2098:AE2098,IF(COUNTA(AC2098:AE2098)=0,"",MAX((AC2098:AE2098&lt;&gt;"")*(COLUMN(AC2098:AE2098)-(COLUMN(AC2098)))))-1),"")</f>
        <v>45768</v>
      </c>
      <c r="K2098" s="16" t="n">
        <f aca="false" t="array" ref="K2098:K2098">IFERROR(INDEX(AC2098:AE2098,IF(COUNTA(AC2098:AE2098)=0,"",MAX((AC2098:AE2098&lt;&gt;"")*(COLUMN(AC2098:AE2098)-(COLUMN(AC2098)-1))))-1),"")</f>
        <v>46132</v>
      </c>
      <c r="L2098" s="17" t="str">
        <f aca="false" t="array" ref="L2098:L2098">IFERROR(INDEX(AC2098:AE2098,IF(COUNTA(AC2098:AE2098)=0,"",MAX((AC2098:AE2098&lt;&gt;"")*(COLUMN(AC2098:AE2098)-(COLUMN(AC2098)-2))))-1),"")</f>
        <v>ARCHIVED</v>
      </c>
      <c r="M2098" s="13" t="n">
        <f aca="true">K2098-TODAY()</f>
        <v>-192</v>
      </c>
      <c r="N2098" s="50" t="s">
        <v>4735</v>
      </c>
      <c r="O2098" s="13" t="s">
        <v>9045</v>
      </c>
      <c r="P2098" s="19" t="n">
        <v>3418278</v>
      </c>
      <c r="Q2098" s="20" t="s">
        <v>9046</v>
      </c>
      <c r="R2098" s="13" t="s">
        <v>83</v>
      </c>
      <c r="S2098" s="16" t="n">
        <v>36975</v>
      </c>
      <c r="T2098" s="13" t="s">
        <v>108</v>
      </c>
      <c r="U2098" s="13" t="s">
        <v>9047</v>
      </c>
      <c r="V2098" s="13" t="s">
        <v>42</v>
      </c>
      <c r="W2098" s="13" t="s">
        <v>43</v>
      </c>
      <c r="X2098" s="21" t="n">
        <v>81331751935</v>
      </c>
      <c r="Y2098" s="22" t="str">
        <f aca="false">O2098</f>
        <v>Customer Service</v>
      </c>
      <c r="Z2098" s="13" t="str">
        <f aca="false">IFERROR(__xludf.dummyfunction("if(BJ2098="""","""",GOOGLETRANSLATE(BJ2098,""auto"",""en""))"),"Customer Service")</f>
        <v>Customer Service</v>
      </c>
      <c r="AA2098" s="23" t="str">
        <f aca="false">IF(C2098="","", CHOOSE(MONTH(C2098),"January","February","March","April","May","June","July","August","September","October","November","December")&amp;" "&amp;DAY(C2098)&amp;MID("thstndrdth",MIN(9,2*RIGHT(DAY(C2098))*(MOD(DAY(C2098)-11,100)&gt;2)+1),2)&amp;","&amp;TEXT(C2098," yyyy"))</f>
        <v>April 21st,2025</v>
      </c>
      <c r="AB2098" s="15" t="str">
        <f aca="true">IF(S2098="","",DATEDIF(S2098,TODAY(),"Y")&amp;" Tahun, "&amp;DATEDIF(S2098,TODAY(),"YM")&amp;" Bulan, "&amp;DATEDIF(S2098,TODAY(),"MD")&amp;" Hari")</f>
        <v>25 Tahun, 7 Bulan, 4 Hari</v>
      </c>
      <c r="AC2098" s="18" t="n">
        <v>45768</v>
      </c>
      <c r="AD2098" s="18" t="n">
        <v>46132</v>
      </c>
      <c r="AE2098" s="18" t="s">
        <v>44</v>
      </c>
    </row>
    <row r="2099" customFormat="false" ht="15" hidden="false" customHeight="true" outlineLevel="0" collapsed="false">
      <c r="A2099" s="12" t="n">
        <v>19270</v>
      </c>
      <c r="B2099" s="13" t="s">
        <v>9048</v>
      </c>
      <c r="C2099" s="16" t="n">
        <v>45765</v>
      </c>
      <c r="D2099" s="13" t="s">
        <v>4252</v>
      </c>
      <c r="E2099" s="15" t="s">
        <v>33</v>
      </c>
      <c r="F2099" s="24" t="s">
        <v>9049</v>
      </c>
      <c r="G2099" s="13" t="s">
        <v>57</v>
      </c>
      <c r="H2099" s="13" t="s">
        <v>35</v>
      </c>
      <c r="I2099" s="13" t="str">
        <f aca="false">IF(C2099=J2099,"NEW KONTRAK","RE-KONTRAK")</f>
        <v>NEW KONTRAK</v>
      </c>
      <c r="J2099" s="16" t="n">
        <f aca="false" t="array" ref="J2099:J2099">IFERROR(INDEX(AC2099:AE2099,IF(COUNTA(AC2099:AE2099)=0,"",MAX((AC2099:AE2099&lt;&gt;"")*(COLUMN(AC2099:AE2099)-(COLUMN(AC2099)))))-1),"")</f>
        <v>45765</v>
      </c>
      <c r="K2099" s="16" t="n">
        <f aca="false" t="array" ref="K2099:K2099">IFERROR(INDEX(AC2099:AE2099,IF(COUNTA(AC2099:AE2099)=0,"",MAX((AC2099:AE2099&lt;&gt;"")*(COLUMN(AC2099:AE2099)-(COLUMN(AC2099)-1))))-1),"")</f>
        <v>45947</v>
      </c>
      <c r="L2099" s="17" t="str">
        <f aca="false" t="array" ref="L2099:L2099">IFERROR(INDEX(AC2099:AE2099,IF(COUNTA(AC2099:AE2099)=0,"",MAX((AC2099:AE2099&lt;&gt;"")*(COLUMN(AC2099:AE2099)-(COLUMN(AC2099)-2))))-1),"")</f>
        <v>ARCHIVED</v>
      </c>
      <c r="M2099" s="13" t="n">
        <f aca="true">K2099-TODAY()</f>
        <v>-377</v>
      </c>
      <c r="N2099" s="18" t="s">
        <v>36</v>
      </c>
      <c r="O2099" s="13" t="s">
        <v>4280</v>
      </c>
      <c r="P2099" s="27" t="n">
        <v>120000</v>
      </c>
      <c r="Q2099" s="20" t="s">
        <v>9050</v>
      </c>
      <c r="R2099" s="13" t="s">
        <v>168</v>
      </c>
      <c r="S2099" s="16" t="n">
        <v>37464</v>
      </c>
      <c r="T2099" s="28" t="s">
        <v>40</v>
      </c>
      <c r="U2099" s="13" t="s">
        <v>9051</v>
      </c>
      <c r="V2099" s="13" t="s">
        <v>42</v>
      </c>
      <c r="W2099" s="13" t="s">
        <v>43</v>
      </c>
      <c r="X2099" s="30" t="n">
        <v>85174989413</v>
      </c>
      <c r="Y2099" s="22" t="str">
        <f aca="false">O2099</f>
        <v>Helper Cutting</v>
      </c>
      <c r="Z2099" s="13" t="str">
        <f aca="false">IFERROR(__xludf.dummyfunction("if(BJ2099="""","""",GOOGLETRANSLATE(BJ2099,""auto"",""en""))"),"Helper Cutting")</f>
        <v>Helper Cutting</v>
      </c>
      <c r="AA2099" s="23" t="str">
        <f aca="false">IF(C2099="","", CHOOSE(MONTH(C2099),"January","February","March","April","May","June","July","August","September","October","November","December")&amp;" "&amp;DAY(C2099)&amp;MID("thstndrdth",MIN(9,2*RIGHT(DAY(C2099))*(MOD(DAY(C2099)-11,100)&gt;2)+1),2)&amp;","&amp;TEXT(C2099," yyyy"))</f>
        <v>April 18th,2025</v>
      </c>
      <c r="AB2099" s="15" t="str">
        <f aca="true">IF(S2099="","",DATEDIF(S2099,TODAY(),"Y")&amp;" Tahun, "&amp;DATEDIF(S2099,TODAY(),"YM")&amp;" Bulan, "&amp;DATEDIF(S2099,TODAY(),"MD")&amp;" Hari")</f>
        <v>24 Tahun, 3 Bulan, 2 Hari</v>
      </c>
      <c r="AC2099" s="18" t="n">
        <v>45765</v>
      </c>
      <c r="AD2099" s="18" t="n">
        <v>45947</v>
      </c>
      <c r="AE2099" s="18" t="s">
        <v>44</v>
      </c>
    </row>
    <row r="2100" customFormat="false" ht="15" hidden="false" customHeight="true" outlineLevel="0" collapsed="false">
      <c r="A2100" s="12" t="n">
        <v>19272</v>
      </c>
      <c r="B2100" s="13" t="s">
        <v>9052</v>
      </c>
      <c r="C2100" s="16" t="n">
        <v>45713</v>
      </c>
      <c r="D2100" s="13" t="s">
        <v>7310</v>
      </c>
      <c r="E2100" s="15" t="s">
        <v>33</v>
      </c>
      <c r="F2100" s="24" t="s">
        <v>9053</v>
      </c>
      <c r="G2100" s="13" t="s">
        <v>9054</v>
      </c>
      <c r="H2100" s="13" t="s">
        <v>35</v>
      </c>
      <c r="I2100" s="13" t="str">
        <f aca="false">IF(C2100=J2100,"NEW KONTRAK","RE-KONTRAK")</f>
        <v>NEW KONTRAK</v>
      </c>
      <c r="J2100" s="16" t="n">
        <f aca="false" t="array" ref="J2100:J2100">IFERROR(INDEX(AC2100:AE2100,IF(COUNTA(AC2100:AE2100)=0,"",MAX((AC2100:AE2100&lt;&gt;"")*(COLUMN(AC2100:AE2100)-(COLUMN(AC2100)))))-1),"")</f>
        <v>45713</v>
      </c>
      <c r="K2100" s="16" t="n">
        <f aca="false" t="array" ref="K2100:K2100">IFERROR(INDEX(AC2100:AE2100,IF(COUNTA(AC2100:AE2100)=0,"",MAX((AC2100:AE2100&lt;&gt;"")*(COLUMN(AC2100:AE2100)-(COLUMN(AC2100)-1))))-1),"")</f>
        <v>46077</v>
      </c>
      <c r="L2100" s="17" t="str">
        <f aca="false" t="array" ref="L2100:L2100">IFERROR(INDEX(AC2100:AE2100,IF(COUNTA(AC2100:AE2100)=0,"",MAX((AC2100:AE2100&lt;&gt;"")*(COLUMN(AC2100:AE2100)-(COLUMN(AC2100)-2))))-1),"")</f>
        <v>ARCHIVED</v>
      </c>
      <c r="M2100" s="13" t="n">
        <f aca="true">K2100-TODAY()</f>
        <v>-247</v>
      </c>
      <c r="N2100" s="18" t="s">
        <v>7313</v>
      </c>
      <c r="O2100" s="13" t="s">
        <v>7611</v>
      </c>
      <c r="P2100" s="19" t="n">
        <v>2397550</v>
      </c>
      <c r="Q2100" s="20" t="s">
        <v>9055</v>
      </c>
      <c r="R2100" s="13" t="s">
        <v>227</v>
      </c>
      <c r="S2100" s="16" t="n">
        <v>35642</v>
      </c>
      <c r="T2100" s="13" t="s">
        <v>40</v>
      </c>
      <c r="U2100" s="13" t="s">
        <v>9056</v>
      </c>
      <c r="V2100" s="13" t="s">
        <v>42</v>
      </c>
      <c r="W2100" s="13" t="s">
        <v>43</v>
      </c>
      <c r="X2100" s="21" t="n">
        <v>81911279031</v>
      </c>
      <c r="Y2100" s="22" t="str">
        <f aca="false">O2100</f>
        <v>Helper Kernet</v>
      </c>
      <c r="Z2100" s="13" t="str">
        <f aca="false">IFERROR(__xludf.dummyfunction("if(BJ2100="""","""",GOOGLETRANSLATE(BJ2100,""auto"",""en""))"),"Helper Kernet")</f>
        <v>Helper Kernet</v>
      </c>
      <c r="AA2100" s="23" t="str">
        <f aca="false">IF(C2100="","", CHOOSE(MONTH(C2100),"January","February","March","April","May","June","July","August","September","October","November","December")&amp;" "&amp;DAY(C2100)&amp;MID("thstndrdth",MIN(9,2*RIGHT(DAY(C2100))*(MOD(DAY(C2100)-11,100)&gt;2)+1),2)&amp;","&amp;TEXT(C2100," yyyy"))</f>
        <v>February 25th,2025</v>
      </c>
      <c r="AB2100" s="15" t="str">
        <f aca="true">IF(S2100="","",DATEDIF(S2100,TODAY(),"Y")&amp;" Tahun, "&amp;DATEDIF(S2100,TODAY(),"YM")&amp;" Bulan, "&amp;DATEDIF(S2100,TODAY(),"MD")&amp;" Hari")</f>
        <v>29 Tahun, 2 Bulan, 28 Hari</v>
      </c>
      <c r="AC2100" s="18" t="n">
        <v>45713</v>
      </c>
      <c r="AD2100" s="18" t="n">
        <v>46077</v>
      </c>
      <c r="AE2100" s="18" t="s">
        <v>44</v>
      </c>
    </row>
    <row r="2101" customFormat="false" ht="15" hidden="false" customHeight="true" outlineLevel="0" collapsed="false">
      <c r="A2101" s="12" t="n">
        <v>19288</v>
      </c>
      <c r="B2101" s="13" t="s">
        <v>9057</v>
      </c>
      <c r="C2101" s="16" t="n">
        <v>45768</v>
      </c>
      <c r="D2101" s="13" t="s">
        <v>9043</v>
      </c>
      <c r="E2101" s="15" t="s">
        <v>102</v>
      </c>
      <c r="F2101" s="15" t="str">
        <f aca="false">IFERROR(__xludf.dummyfunction("XLOOKUP(AJ2101,IMPORTRANGE(""1XaInW9DU9nz21V0tYIfzFQ0He9kVQ_JF2mCXgZ3hqFA"",""REKAP ALL 2026 - Andika!G:G""),IMPORTRANGE(""1XaInW9DU9nz21V0tYIfzFQ0He9kVQ_JF2mCXgZ3hqFA"",""REKAP ALL 2026 - Andika!F:F""),"""",0)"),"24116275199")</f>
        <v>24116275199</v>
      </c>
      <c r="G2101" s="13" t="s">
        <v>9058</v>
      </c>
      <c r="H2101" s="13" t="s">
        <v>35</v>
      </c>
      <c r="I2101" s="13" t="str">
        <f aca="false">IF(C2101=J2101,"NEW KONTRAK","RE-KONTRAK")</f>
        <v>NEW KONTRAK</v>
      </c>
      <c r="J2101" s="16" t="n">
        <f aca="false" t="array" ref="J2101:J2101">IFERROR(INDEX(AC2101:AE2101,IF(COUNTA(AC2101:AE2101)=0,"",MAX((AC2101:AE2101&lt;&gt;"")*(COLUMN(AC2101:AE2101)-(COLUMN(AC2101)))))-1),"")</f>
        <v>45768</v>
      </c>
      <c r="K2101" s="16" t="n">
        <f aca="false" t="array" ref="K2101:K2101">IFERROR(INDEX(AC2101:AE2101,IF(COUNTA(AC2101:AE2101)=0,"",MAX((AC2101:AE2101&lt;&gt;"")*(COLUMN(AC2101:AE2101)-(COLUMN(AC2101)-1))))-1),"")</f>
        <v>45950</v>
      </c>
      <c r="L2101" s="17" t="str">
        <f aca="false" t="array" ref="L2101:L2101">IFERROR(INDEX(AC2101:AE2101,IF(COUNTA(AC2101:AE2101)=0,"",MAX((AC2101:AE2101&lt;&gt;"")*(COLUMN(AC2101:AE2101)-(COLUMN(AC2101)-2))))-1),"")</f>
        <v>ARCHIVED</v>
      </c>
      <c r="M2101" s="13" t="n">
        <f aca="true">K2101-TODAY()</f>
        <v>-374</v>
      </c>
      <c r="N2101" s="50" t="s">
        <v>4735</v>
      </c>
      <c r="O2101" s="13" t="s">
        <v>9059</v>
      </c>
      <c r="P2101" s="19" t="n">
        <v>5200000</v>
      </c>
      <c r="Q2101" s="20" t="s">
        <v>9060</v>
      </c>
      <c r="R2101" s="13" t="s">
        <v>6073</v>
      </c>
      <c r="S2101" s="16" t="n">
        <v>37168</v>
      </c>
      <c r="T2101" s="13" t="s">
        <v>40</v>
      </c>
      <c r="U2101" s="13" t="s">
        <v>9061</v>
      </c>
      <c r="V2101" s="13" t="s">
        <v>42</v>
      </c>
      <c r="W2101" s="13" t="s">
        <v>43</v>
      </c>
      <c r="X2101" s="21" t="n">
        <v>81344666495</v>
      </c>
      <c r="Y2101" s="22" t="str">
        <f aca="false">O2101</f>
        <v>Data Analyst</v>
      </c>
      <c r="Z2101" s="13" t="str">
        <f aca="false">IFERROR(__xludf.dummyfunction("if(BJ2101="""","""",GOOGLETRANSLATE(BJ2101,""auto"",""en""))"),"Data Analyst")</f>
        <v>Data Analyst</v>
      </c>
      <c r="AA2101" s="23" t="str">
        <f aca="false">IF(C2101="","", CHOOSE(MONTH(C2101),"January","February","March","April","May","June","July","August","September","October","November","December")&amp;" "&amp;DAY(C2101)&amp;MID("thstndrdth",MIN(9,2*RIGHT(DAY(C2101))*(MOD(DAY(C2101)-11,100)&gt;2)+1),2)&amp;","&amp;TEXT(C2101," yyyy"))</f>
        <v>April 21st,2025</v>
      </c>
      <c r="AB2101" s="15" t="str">
        <f aca="true">IF(S2101="","",DATEDIF(S2101,TODAY(),"Y")&amp;" Tahun, "&amp;DATEDIF(S2101,TODAY(),"YM")&amp;" Bulan, "&amp;DATEDIF(S2101,TODAY(),"MD")&amp;" Hari")</f>
        <v>25 Tahun, 0 Bulan, 25 Hari</v>
      </c>
      <c r="AC2101" s="18" t="n">
        <v>45768</v>
      </c>
      <c r="AD2101" s="18" t="n">
        <v>45950</v>
      </c>
      <c r="AE2101" s="18" t="s">
        <v>44</v>
      </c>
    </row>
    <row r="2102" customFormat="false" ht="15" hidden="false" customHeight="true" outlineLevel="0" collapsed="false">
      <c r="A2102" s="12" t="n">
        <v>19293</v>
      </c>
      <c r="B2102" s="13" t="s">
        <v>9062</v>
      </c>
      <c r="C2102" s="16" t="n">
        <v>45768</v>
      </c>
      <c r="D2102" s="13" t="s">
        <v>9043</v>
      </c>
      <c r="E2102" s="15" t="s">
        <v>47</v>
      </c>
      <c r="F2102" s="15" t="str">
        <f aca="false">IFERROR(__xludf.dummyfunction("XLOOKUP(AJ2102,IMPORTRANGE(""1XaInW9DU9nz21V0tYIfzFQ0He9kVQ_JF2mCXgZ3hqFA"",""REKAP ALL 2026 - Andika!G:G""),IMPORTRANGE(""1XaInW9DU9nz21V0tYIfzFQ0He9kVQ_JF2mCXgZ3hqFA"",""REKAP ALL 2026 - Andika!F:F""),"""",0)"),"25062536666")</f>
        <v>25062536666</v>
      </c>
      <c r="G2102" s="13" t="s">
        <v>9063</v>
      </c>
      <c r="H2102" s="13" t="s">
        <v>35</v>
      </c>
      <c r="I2102" s="13" t="str">
        <f aca="false">IF(C2102=J2102,"NEW KONTRAK","RE-KONTRAK")</f>
        <v>NEW KONTRAK</v>
      </c>
      <c r="J2102" s="16" t="n">
        <f aca="false" t="array" ref="J2102:J2102">IFERROR(INDEX(AC2102:AE2102,IF(COUNTA(AC2102:AE2102)=0,"",MAX((AC2102:AE2102&lt;&gt;"")*(COLUMN(AC2102:AE2102)-(COLUMN(AC2102)))))-1),"")</f>
        <v>45768</v>
      </c>
      <c r="K2102" s="16" t="n">
        <f aca="false" t="array" ref="K2102:K2102">IFERROR(INDEX(AC2102:AE2102,IF(COUNTA(AC2102:AE2102)=0,"",MAX((AC2102:AE2102&lt;&gt;"")*(COLUMN(AC2102:AE2102)-(COLUMN(AC2102)-1))))-1),"")</f>
        <v>46132</v>
      </c>
      <c r="L2102" s="17" t="str">
        <f aca="false" t="array" ref="L2102:L2102">IFERROR(INDEX(AC2102:AE2102,IF(COUNTA(AC2102:AE2102)=0,"",MAX((AC2102:AE2102&lt;&gt;"")*(COLUMN(AC2102:AE2102)-(COLUMN(AC2102)-2))))-1),"")</f>
        <v>ARCHIVED</v>
      </c>
      <c r="M2102" s="13" t="n">
        <f aca="true">K2102-TODAY()</f>
        <v>-192</v>
      </c>
      <c r="N2102" s="50" t="s">
        <v>4735</v>
      </c>
      <c r="O2102" s="13" t="s">
        <v>50</v>
      </c>
      <c r="P2102" s="19" t="n">
        <v>3368275</v>
      </c>
      <c r="Q2102" s="20" t="s">
        <v>9064</v>
      </c>
      <c r="R2102" s="13" t="s">
        <v>83</v>
      </c>
      <c r="S2102" s="16" t="n">
        <v>30477</v>
      </c>
      <c r="T2102" s="13" t="s">
        <v>40</v>
      </c>
      <c r="U2102" s="13" t="s">
        <v>9065</v>
      </c>
      <c r="V2102" s="13" t="s">
        <v>42</v>
      </c>
      <c r="W2102" s="13" t="s">
        <v>54</v>
      </c>
      <c r="X2102" s="21" t="n">
        <v>81320765859</v>
      </c>
      <c r="Y2102" s="22" t="str">
        <f aca="false">O2102</f>
        <v>Driver</v>
      </c>
      <c r="Z2102" s="13" t="str">
        <f aca="false">IFERROR(__xludf.dummyfunction("if(BJ2102="""","""",GOOGLETRANSLATE(BJ2102,""auto"",""en""))"),"Driver")</f>
        <v>Driver</v>
      </c>
      <c r="AA2102" s="23" t="str">
        <f aca="false">IF(C2102="","", CHOOSE(MONTH(C2102),"January","February","March","April","May","June","July","August","September","October","November","December")&amp;" "&amp;DAY(C2102)&amp;MID("thstndrdth",MIN(9,2*RIGHT(DAY(C2102))*(MOD(DAY(C2102)-11,100)&gt;2)+1),2)&amp;","&amp;TEXT(C2102," yyyy"))</f>
        <v>April 21st,2025</v>
      </c>
      <c r="AB2102" s="15" t="str">
        <f aca="true">IF(S2102="","",DATEDIF(S2102,TODAY(),"Y")&amp;" Tahun, "&amp;DATEDIF(S2102,TODAY(),"YM")&amp;" Bulan, "&amp;DATEDIF(S2102,TODAY(),"MD")&amp;" Hari")</f>
        <v>43 Tahun, 4 Bulan, 19 Hari</v>
      </c>
      <c r="AC2102" s="18" t="n">
        <v>45768</v>
      </c>
      <c r="AD2102" s="18" t="n">
        <v>46132</v>
      </c>
      <c r="AE2102" s="18" t="s">
        <v>44</v>
      </c>
    </row>
    <row r="2103" customFormat="false" ht="15" hidden="false" customHeight="true" outlineLevel="0" collapsed="false">
      <c r="A2103" s="12" t="n">
        <v>19290</v>
      </c>
      <c r="B2103" s="13" t="s">
        <v>9066</v>
      </c>
      <c r="C2103" s="16" t="n">
        <v>45768</v>
      </c>
      <c r="D2103" s="13" t="s">
        <v>9043</v>
      </c>
      <c r="E2103" s="15" t="s">
        <v>102</v>
      </c>
      <c r="F2103" s="15" t="str">
        <f aca="false">IFERROR(__xludf.dummyfunction("XLOOKUP(AJ2103,IMPORTRANGE(""1XaInW9DU9nz21V0tYIfzFQ0He9kVQ_JF2mCXgZ3hqFA"",""REKAP ALL 2026 - Andika!G:G""),IMPORTRANGE(""1XaInW9DU9nz21V0tYIfzFQ0He9kVQ_JF2mCXgZ3hqFA"",""REKAP ALL 2026 - Andika!F:F""),"""",0)"),"26062990044")</f>
        <v>26062990044</v>
      </c>
      <c r="G2103" s="13" t="s">
        <v>9067</v>
      </c>
      <c r="H2103" s="13" t="s">
        <v>35</v>
      </c>
      <c r="I2103" s="13" t="str">
        <f aca="false">IF(C2103=J2103,"NEW KONTRAK","RE-KONTRAK")</f>
        <v>NEW KONTRAK</v>
      </c>
      <c r="J2103" s="16" t="n">
        <f aca="false" t="array" ref="J2103:J2103">IFERROR(INDEX(AC2103:AE2103,IF(COUNTA(AC2103:AE2103)=0,"",MAX((AC2103:AE2103&lt;&gt;"")*(COLUMN(AC2103:AE2103)-(COLUMN(AC2103)))))-1),"")</f>
        <v>45768</v>
      </c>
      <c r="K2103" s="16" t="n">
        <f aca="false" t="array" ref="K2103:K2103">IFERROR(INDEX(AC2103:AE2103,IF(COUNTA(AC2103:AE2103)=0,"",MAX((AC2103:AE2103&lt;&gt;"")*(COLUMN(AC2103:AE2103)-(COLUMN(AC2103)-1))))-1),"")</f>
        <v>45950</v>
      </c>
      <c r="L2103" s="17" t="str">
        <f aca="false" t="array" ref="L2103:L2103">IFERROR(INDEX(AC2103:AE2103,IF(COUNTA(AC2103:AE2103)=0,"",MAX((AC2103:AE2103&lt;&gt;"")*(COLUMN(AC2103:AE2103)-(COLUMN(AC2103)-2))))-1),"")</f>
        <v>ARCHIVED</v>
      </c>
      <c r="M2103" s="13" t="n">
        <f aca="true">K2103-TODAY()</f>
        <v>-374</v>
      </c>
      <c r="N2103" s="50" t="s">
        <v>4735</v>
      </c>
      <c r="O2103" s="13" t="s">
        <v>9068</v>
      </c>
      <c r="P2103" s="19" t="n">
        <v>3268278</v>
      </c>
      <c r="Q2103" s="20" t="s">
        <v>9069</v>
      </c>
      <c r="R2103" s="13" t="s">
        <v>83</v>
      </c>
      <c r="S2103" s="16" t="n">
        <v>35497</v>
      </c>
      <c r="T2103" s="13" t="s">
        <v>40</v>
      </c>
      <c r="U2103" s="13" t="s">
        <v>9070</v>
      </c>
      <c r="V2103" s="13" t="s">
        <v>42</v>
      </c>
      <c r="W2103" s="13" t="s">
        <v>43</v>
      </c>
      <c r="X2103" s="21" t="n">
        <v>85875693435</v>
      </c>
      <c r="Y2103" s="22" t="str">
        <f aca="false">O2103</f>
        <v>Legal Officer</v>
      </c>
      <c r="Z2103" s="13" t="str">
        <f aca="false">IFERROR(__xludf.dummyfunction("if(BJ2103="""","""",GOOGLETRANSLATE(BJ2103,""auto"",""en""))"),"Legal Officer")</f>
        <v>Legal Officer</v>
      </c>
      <c r="AA2103" s="23" t="str">
        <f aca="false">IF(C2103="","", CHOOSE(MONTH(C2103),"January","February","March","April","May","June","July","August","September","October","November","December")&amp;" "&amp;DAY(C2103)&amp;MID("thstndrdth",MIN(9,2*RIGHT(DAY(C2103))*(MOD(DAY(C2103)-11,100)&gt;2)+1),2)&amp;","&amp;TEXT(C2103," yyyy"))</f>
        <v>April 21st,2025</v>
      </c>
      <c r="AB2103" s="15" t="str">
        <f aca="true">IF(S2103="","",DATEDIF(S2103,TODAY(),"Y")&amp;" Tahun, "&amp;DATEDIF(S2103,TODAY(),"YM")&amp;" Bulan, "&amp;DATEDIF(S2103,TODAY(),"MD")&amp;" Hari")</f>
        <v>29 Tahun, 7 Bulan, 21 Hari</v>
      </c>
      <c r="AC2103" s="18" t="n">
        <v>45768</v>
      </c>
      <c r="AD2103" s="18" t="n">
        <v>45950</v>
      </c>
      <c r="AE2103" s="18" t="s">
        <v>44</v>
      </c>
    </row>
    <row r="2104" customFormat="false" ht="15" hidden="false" customHeight="true" outlineLevel="0" collapsed="false">
      <c r="A2104" s="12" t="n">
        <v>19291</v>
      </c>
      <c r="B2104" s="13" t="s">
        <v>9071</v>
      </c>
      <c r="C2104" s="16" t="n">
        <v>45768</v>
      </c>
      <c r="D2104" s="13" t="s">
        <v>9043</v>
      </c>
      <c r="E2104" s="15" t="s">
        <v>33</v>
      </c>
      <c r="F2104" s="24" t="s">
        <v>9072</v>
      </c>
      <c r="G2104" s="13" t="s">
        <v>9073</v>
      </c>
      <c r="H2104" s="13" t="s">
        <v>35</v>
      </c>
      <c r="I2104" s="13" t="str">
        <f aca="false">IF(C2104=J2104,"NEW KONTRAK","RE-KONTRAK")</f>
        <v>NEW KONTRAK</v>
      </c>
      <c r="J2104" s="16" t="n">
        <f aca="false" t="array" ref="J2104:J2104">IFERROR(INDEX(AC2104:AE2104,IF(COUNTA(AC2104:AE2104)=0,"",MAX((AC2104:AE2104&lt;&gt;"")*(COLUMN(AC2104:AE2104)-(COLUMN(AC2104)))))-1),"")</f>
        <v>45768</v>
      </c>
      <c r="K2104" s="16" t="n">
        <f aca="false" t="array" ref="K2104:K2104">IFERROR(INDEX(AC2104:AE2104,IF(COUNTA(AC2104:AE2104)=0,"",MAX((AC2104:AE2104&lt;&gt;"")*(COLUMN(AC2104:AE2104)-(COLUMN(AC2104)-1))))-1),"")</f>
        <v>46132</v>
      </c>
      <c r="L2104" s="17" t="str">
        <f aca="false" t="array" ref="L2104:L2104">IFERROR(INDEX(AC2104:AE2104,IF(COUNTA(AC2104:AE2104)=0,"",MAX((AC2104:AE2104&lt;&gt;"")*(COLUMN(AC2104:AE2104)-(COLUMN(AC2104)-2))))-1),"")</f>
        <v>ARCHIVED</v>
      </c>
      <c r="M2104" s="13" t="n">
        <f aca="true">K2104-TODAY()</f>
        <v>-192</v>
      </c>
      <c r="N2104" s="50" t="s">
        <v>4735</v>
      </c>
      <c r="O2104" s="13" t="s">
        <v>9045</v>
      </c>
      <c r="P2104" s="19" t="n">
        <v>3268278</v>
      </c>
      <c r="Q2104" s="20" t="s">
        <v>9074</v>
      </c>
      <c r="R2104" s="13" t="s">
        <v>83</v>
      </c>
      <c r="S2104" s="16" t="n">
        <v>36961</v>
      </c>
      <c r="T2104" s="13" t="s">
        <v>108</v>
      </c>
      <c r="U2104" s="13" t="s">
        <v>9075</v>
      </c>
      <c r="V2104" s="13" t="s">
        <v>42</v>
      </c>
      <c r="W2104" s="13" t="s">
        <v>54</v>
      </c>
      <c r="X2104" s="21" t="n">
        <v>83167059220</v>
      </c>
      <c r="Y2104" s="22" t="str">
        <f aca="false">O2104</f>
        <v>Customer Service</v>
      </c>
      <c r="Z2104" s="13" t="str">
        <f aca="false">IFERROR(__xludf.dummyfunction("if(BJ2104="""","""",GOOGLETRANSLATE(BJ2104,""auto"",""en""))"),"Customer Service")</f>
        <v>Customer Service</v>
      </c>
      <c r="AA2104" s="23" t="str">
        <f aca="false">IF(C2104="","", CHOOSE(MONTH(C2104),"January","February","March","April","May","June","July","August","September","October","November","December")&amp;" "&amp;DAY(C2104)&amp;MID("thstndrdth",MIN(9,2*RIGHT(DAY(C2104))*(MOD(DAY(C2104)-11,100)&gt;2)+1),2)&amp;","&amp;TEXT(C2104," yyyy"))</f>
        <v>April 21st,2025</v>
      </c>
      <c r="AB2104" s="15" t="str">
        <f aca="true">IF(S2104="","",DATEDIF(S2104,TODAY(),"Y")&amp;" Tahun, "&amp;DATEDIF(S2104,TODAY(),"YM")&amp;" Bulan, "&amp;DATEDIF(S2104,TODAY(),"MD")&amp;" Hari")</f>
        <v>25 Tahun, 7 Bulan, 18 Hari</v>
      </c>
      <c r="AC2104" s="18" t="n">
        <v>45768</v>
      </c>
      <c r="AD2104" s="18" t="n">
        <v>46132</v>
      </c>
      <c r="AE2104" s="18" t="s">
        <v>44</v>
      </c>
    </row>
    <row r="2105" customFormat="false" ht="15" hidden="false" customHeight="true" outlineLevel="0" collapsed="false">
      <c r="A2105" s="12" t="n">
        <v>19292</v>
      </c>
      <c r="B2105" s="13" t="s">
        <v>9076</v>
      </c>
      <c r="C2105" s="16" t="n">
        <v>45768</v>
      </c>
      <c r="D2105" s="13" t="s">
        <v>9043</v>
      </c>
      <c r="E2105" s="15" t="s">
        <v>536</v>
      </c>
      <c r="F2105" s="24" t="s">
        <v>9077</v>
      </c>
      <c r="G2105" s="13" t="s">
        <v>9078</v>
      </c>
      <c r="H2105" s="13" t="s">
        <v>35</v>
      </c>
      <c r="I2105" s="13" t="str">
        <f aca="false">IF(C2105=J2105,"NEW KONTRAK","RE-KONTRAK")</f>
        <v>NEW KONTRAK</v>
      </c>
      <c r="J2105" s="16" t="n">
        <f aca="false" t="array" ref="J2105:J2105">IFERROR(INDEX(AC2105:AE2105,IF(COUNTA(AC2105:AE2105)=0,"",MAX((AC2105:AE2105&lt;&gt;"")*(COLUMN(AC2105:AE2105)-(COLUMN(AC2105)))))-1),"")</f>
        <v>45768</v>
      </c>
      <c r="K2105" s="16" t="n">
        <f aca="false" t="array" ref="K2105:K2105">IFERROR(INDEX(AC2105:AE2105,IF(COUNTA(AC2105:AE2105)=0,"",MAX((AC2105:AE2105&lt;&gt;"")*(COLUMN(AC2105:AE2105)-(COLUMN(AC2105)-1))))-1),"")</f>
        <v>46132</v>
      </c>
      <c r="L2105" s="17" t="str">
        <f aca="false" t="array" ref="L2105:L2105">IFERROR(INDEX(AC2105:AE2105,IF(COUNTA(AC2105:AE2105)=0,"",MAX((AC2105:AE2105&lt;&gt;"")*(COLUMN(AC2105:AE2105)-(COLUMN(AC2105)-2))))-1),"")</f>
        <v>ARCHIVED</v>
      </c>
      <c r="M2105" s="13" t="n">
        <f aca="true">K2105-TODAY()</f>
        <v>-192</v>
      </c>
      <c r="N2105" s="50" t="s">
        <v>4735</v>
      </c>
      <c r="O2105" s="13" t="s">
        <v>50</v>
      </c>
      <c r="P2105" s="19" t="n">
        <v>3194143</v>
      </c>
      <c r="Q2105" s="20" t="s">
        <v>9079</v>
      </c>
      <c r="R2105" s="13" t="s">
        <v>83</v>
      </c>
      <c r="S2105" s="16" t="n">
        <v>29451</v>
      </c>
      <c r="T2105" s="13" t="s">
        <v>40</v>
      </c>
      <c r="U2105" s="13" t="s">
        <v>9080</v>
      </c>
      <c r="V2105" s="13" t="s">
        <v>42</v>
      </c>
      <c r="W2105" s="13" t="s">
        <v>54</v>
      </c>
      <c r="X2105" s="21" t="n">
        <v>81346608080</v>
      </c>
      <c r="Y2105" s="22" t="str">
        <f aca="false">O2105</f>
        <v>Driver</v>
      </c>
      <c r="Z2105" s="13" t="str">
        <f aca="false">IFERROR(__xludf.dummyfunction("if(BJ2105="""","""",GOOGLETRANSLATE(BJ2105,""auto"",""en""))"),"Driver")</f>
        <v>Driver</v>
      </c>
      <c r="AA2105" s="23" t="str">
        <f aca="false">IF(C2105="","", CHOOSE(MONTH(C2105),"January","February","March","April","May","June","July","August","September","October","November","December")&amp;" "&amp;DAY(C2105)&amp;MID("thstndrdth",MIN(9,2*RIGHT(DAY(C2105))*(MOD(DAY(C2105)-11,100)&gt;2)+1),2)&amp;","&amp;TEXT(C2105," yyyy"))</f>
        <v>April 21st,2025</v>
      </c>
      <c r="AB2105" s="15" t="str">
        <f aca="true">IF(S2105="","",DATEDIF(S2105,TODAY(),"Y")&amp;" Tahun, "&amp;DATEDIF(S2105,TODAY(),"YM")&amp;" Bulan, "&amp;DATEDIF(S2105,TODAY(),"MD")&amp;" Hari")</f>
        <v>46 Tahun, 2 Bulan, 11 Hari</v>
      </c>
      <c r="AC2105" s="18" t="n">
        <v>45768</v>
      </c>
      <c r="AD2105" s="18" t="n">
        <v>46132</v>
      </c>
      <c r="AE2105" s="18" t="s">
        <v>44</v>
      </c>
    </row>
    <row r="2106" customFormat="false" ht="15" hidden="false" customHeight="true" outlineLevel="0" collapsed="false">
      <c r="A2106" s="12" t="n">
        <v>19299</v>
      </c>
      <c r="B2106" s="13" t="s">
        <v>9081</v>
      </c>
      <c r="C2106" s="16" t="n">
        <v>45767</v>
      </c>
      <c r="D2106" s="13" t="s">
        <v>4610</v>
      </c>
      <c r="E2106" s="15" t="s">
        <v>47</v>
      </c>
      <c r="F2106" s="15" t="str">
        <f aca="false">IFERROR(__xludf.dummyfunction("XLOOKUP(AJ2106,IMPORTRANGE(""1XaInW9DU9nz21V0tYIfzFQ0He9kVQ_JF2mCXgZ3hqFA"",""REKAP ALL 2026 - Andika!G:G""),IMPORTRANGE(""1XaInW9DU9nz21V0tYIfzFQ0He9kVQ_JF2mCXgZ3hqFA"",""REKAP ALL 2026 - Andika!F:F""),"""",0)"),"25047636987")</f>
        <v>25047636987</v>
      </c>
      <c r="G2106" s="13" t="s">
        <v>57</v>
      </c>
      <c r="H2106" s="13" t="s">
        <v>35</v>
      </c>
      <c r="I2106" s="13" t="str">
        <f aca="false">IF(C2106=J2106,"NEW KONTRAK","RE-KONTRAK")</f>
        <v>NEW KONTRAK</v>
      </c>
      <c r="J2106" s="16" t="n">
        <f aca="false" t="array" ref="J2106:J2106">IFERROR(INDEX(AC2106:AE2106,IF(COUNTA(AC2106:AE2106)=0,"",MAX((AC2106:AE2106&lt;&gt;"")*(COLUMN(AC2106:AE2106)-(COLUMN(AC2106)))))-1),"")</f>
        <v>45767</v>
      </c>
      <c r="K2106" s="16" t="n">
        <f aca="false" t="array" ref="K2106:K2106">IFERROR(INDEX(AC2106:AE2106,IF(COUNTA(AC2106:AE2106)=0,"",MAX((AC2106:AE2106&lt;&gt;"")*(COLUMN(AC2106:AE2106)-(COLUMN(AC2106)-1))))-1),"")</f>
        <v>45919</v>
      </c>
      <c r="L2106" s="17" t="str">
        <f aca="false" t="array" ref="L2106:L2106">IFERROR(INDEX(AC2106:AE2106,IF(COUNTA(AC2106:AE2106)=0,"",MAX((AC2106:AE2106&lt;&gt;"")*(COLUMN(AC2106:AE2106)-(COLUMN(AC2106)-2))))-1),"")</f>
        <v>ARCHIVED</v>
      </c>
      <c r="M2106" s="13" t="n">
        <f aca="true">K2106-TODAY()</f>
        <v>-405</v>
      </c>
      <c r="N2106" s="18" t="s">
        <v>36</v>
      </c>
      <c r="O2106" s="13" t="s">
        <v>4280</v>
      </c>
      <c r="P2106" s="27" t="n">
        <v>120000</v>
      </c>
      <c r="Q2106" s="20" t="s">
        <v>9082</v>
      </c>
      <c r="R2106" s="13" t="s">
        <v>232</v>
      </c>
      <c r="S2106" s="16" t="n">
        <v>37307</v>
      </c>
      <c r="T2106" s="13" t="s">
        <v>108</v>
      </c>
      <c r="U2106" s="13" t="s">
        <v>9083</v>
      </c>
      <c r="V2106" s="13" t="s">
        <v>42</v>
      </c>
      <c r="W2106" s="13" t="s">
        <v>54</v>
      </c>
      <c r="X2106" s="21" t="n">
        <v>82332398987</v>
      </c>
      <c r="Y2106" s="22" t="str">
        <f aca="false">O2106</f>
        <v>Helper Cutting</v>
      </c>
      <c r="Z2106" s="13" t="str">
        <f aca="false">IFERROR(__xludf.dummyfunction("if(BJ2106="""","""",GOOGLETRANSLATE(BJ2106,""auto"",""en""))"),"Helper Cutting")</f>
        <v>Helper Cutting</v>
      </c>
      <c r="AA2106" s="23" t="str">
        <f aca="false">IF(C2106="","", CHOOSE(MONTH(C2106),"January","February","March","April","May","June","July","August","September","October","November","December")&amp;" "&amp;DAY(C2106)&amp;MID("thstndrdth",MIN(9,2*RIGHT(DAY(C2106))*(MOD(DAY(C2106)-11,100)&gt;2)+1),2)&amp;","&amp;TEXT(C2106," yyyy"))</f>
        <v>April 20th,2025</v>
      </c>
      <c r="AB2106" s="15" t="str">
        <f aca="true">IF(S2106="","",DATEDIF(S2106,TODAY(),"Y")&amp;" Tahun, "&amp;DATEDIF(S2106,TODAY(),"YM")&amp;" Bulan, "&amp;DATEDIF(S2106,TODAY(),"MD")&amp;" Hari")</f>
        <v>24 Tahun, 8 Bulan, 9 Hari</v>
      </c>
      <c r="AC2106" s="18" t="n">
        <v>45767</v>
      </c>
      <c r="AD2106" s="18" t="n">
        <v>45919</v>
      </c>
      <c r="AE2106" s="18" t="s">
        <v>44</v>
      </c>
    </row>
    <row r="2107" customFormat="false" ht="15" hidden="false" customHeight="true" outlineLevel="0" collapsed="false">
      <c r="A2107" s="12" t="n">
        <v>19312</v>
      </c>
      <c r="B2107" s="13" t="s">
        <v>9084</v>
      </c>
      <c r="C2107" s="16" t="n">
        <v>45762</v>
      </c>
      <c r="D2107" s="13" t="s">
        <v>1338</v>
      </c>
      <c r="E2107" s="15" t="s">
        <v>47</v>
      </c>
      <c r="F2107" s="15" t="str">
        <f aca="false">IFERROR(__xludf.dummyfunction("XLOOKUP(AJ2107,IMPORTRANGE(""1XaInW9DU9nz21V0tYIfzFQ0He9kVQ_JF2mCXgZ3hqFA"",""REKAP ALL 2026 - Andika!G:G""),IMPORTRANGE(""1XaInW9DU9nz21V0tYIfzFQ0He9kVQ_JF2mCXgZ3hqFA"",""REKAP ALL 2026 - Andika!F:F""),"""",0)"),"25047635724")</f>
        <v>25047635724</v>
      </c>
      <c r="G2107" s="13" t="s">
        <v>57</v>
      </c>
      <c r="H2107" s="13" t="s">
        <v>2334</v>
      </c>
      <c r="I2107" s="13" t="str">
        <f aca="false">IF(C2107=J2107,"NEW KONTRAK","RE-KONTRAK")</f>
        <v>RE-KONTRAK</v>
      </c>
      <c r="J2107" s="16" t="n">
        <f aca="false" t="array" ref="J2107:J2107">IFERROR(INDEX(AC2107:AE2107,IF(COUNTA(AC2107:AE2107)=0,"",MAX((AC2107:AE2107&lt;&gt;"")*(COLUMN(AC2107:AE2107)-(COLUMN(AC2107)))))-1),"")</f>
        <v>45844</v>
      </c>
      <c r="K2107" s="16" t="n">
        <f aca="false" t="array" ref="K2107:K2107">IFERROR(INDEX(AC2107:AE2107,IF(COUNTA(AC2107:AE2107)=0,"",MAX((AC2107:AE2107&lt;&gt;"")*(COLUMN(AC2107:AE2107)-(COLUMN(AC2107)-1))))-1),"")</f>
        <v>45928</v>
      </c>
      <c r="L2107" s="17" t="str">
        <f aca="false" t="array" ref="L2107:L2107">IFERROR(INDEX(AC2107:AE2107,IF(COUNTA(AC2107:AE2107)=0,"",MAX((AC2107:AE2107&lt;&gt;"")*(COLUMN(AC2107:AE2107)-(COLUMN(AC2107)-2))))-1),"")</f>
        <v>KEMBALI</v>
      </c>
      <c r="M2107" s="13" t="n">
        <f aca="true">K2107-TODAY()</f>
        <v>-396</v>
      </c>
      <c r="N2107" s="18" t="s">
        <v>615</v>
      </c>
      <c r="O2107" s="13" t="s">
        <v>2335</v>
      </c>
      <c r="P2107" s="19" t="n">
        <v>160000</v>
      </c>
      <c r="Q2107" s="20" t="s">
        <v>9085</v>
      </c>
      <c r="R2107" s="13" t="s">
        <v>232</v>
      </c>
      <c r="S2107" s="16" t="n">
        <v>36035</v>
      </c>
      <c r="T2107" s="28" t="s">
        <v>40</v>
      </c>
      <c r="U2107" s="13" t="s">
        <v>9086</v>
      </c>
      <c r="V2107" s="13" t="s">
        <v>42</v>
      </c>
      <c r="W2107" s="13" t="s">
        <v>43</v>
      </c>
      <c r="X2107" s="21" t="n">
        <v>8992520200</v>
      </c>
      <c r="Y2107" s="22" t="str">
        <f aca="false">O2107</f>
        <v>Project Management</v>
      </c>
      <c r="Z2107" s="13" t="str">
        <f aca="false">IFERROR(__xludf.dummyfunction("if(BJ2107="""","""",GOOGLETRANSLATE(BJ2107,""auto"",""en""))"),"Project Management")</f>
        <v>Project Management</v>
      </c>
      <c r="AA2107" s="23" t="str">
        <f aca="false">IF(C2107="","", CHOOSE(MONTH(C2107),"January","February","March","April","May","June","July","August","September","October","November","December")&amp;" "&amp;DAY(C2107)&amp;MID("thstndrdth",MIN(9,2*RIGHT(DAY(C2107))*(MOD(DAY(C2107)-11,100)&gt;2)+1),2)&amp;","&amp;TEXT(C2107," yyyy"))</f>
        <v>April 15th,2025</v>
      </c>
      <c r="AB2107" s="15" t="str">
        <f aca="true">IF(S2107="","",DATEDIF(S2107,TODAY(),"Y")&amp;" Tahun, "&amp;DATEDIF(S2107,TODAY(),"YM")&amp;" Bulan, "&amp;DATEDIF(S2107,TODAY(),"MD")&amp;" Hari")</f>
        <v>28 Tahun, 2 Bulan, 1 Hari</v>
      </c>
      <c r="AC2107" s="18" t="n">
        <v>45844</v>
      </c>
      <c r="AD2107" s="18" t="n">
        <v>45928</v>
      </c>
      <c r="AE2107" s="13" t="s">
        <v>397</v>
      </c>
    </row>
    <row r="2108" customFormat="false" ht="15" hidden="false" customHeight="true" outlineLevel="0" collapsed="false">
      <c r="A2108" s="12" t="n">
        <v>19300</v>
      </c>
      <c r="B2108" s="13" t="s">
        <v>9087</v>
      </c>
      <c r="C2108" s="16" t="n">
        <v>45762</v>
      </c>
      <c r="D2108" s="13" t="s">
        <v>7948</v>
      </c>
      <c r="E2108" s="15" t="s">
        <v>7949</v>
      </c>
      <c r="F2108" s="15" t="str">
        <f aca="false">IFERROR(__xludf.dummyfunction("XLOOKUP(AJ2108,IMPORTRANGE(""1XaInW9DU9nz21V0tYIfzFQ0He9kVQ_JF2mCXgZ3hqFA"",""REKAP ALL 2026 - Andika!G:G""),IMPORTRANGE(""1XaInW9DU9nz21V0tYIfzFQ0He9kVQ_JF2mCXgZ3hqFA"",""REKAP ALL 2026 - Andika!F:F""),"""",0)"),"25047635864")</f>
        <v>25047635864</v>
      </c>
      <c r="G2108" s="13" t="s">
        <v>57</v>
      </c>
      <c r="H2108" s="13" t="s">
        <v>7950</v>
      </c>
      <c r="I2108" s="13" t="str">
        <f aca="false">IF(C2108=J2108,"NEW KONTRAK","RE-KONTRAK")</f>
        <v>RE-KONTRAK</v>
      </c>
      <c r="J2108" s="16" t="n">
        <f aca="false" t="array" ref="J2108:J2108">IFERROR(INDEX(AC2108:AE2108,IF(COUNTA(AC2108:AE2108)=0,"",MAX((AC2108:AE2108&lt;&gt;"")*(COLUMN(AC2108:AE2108)-(COLUMN(AC2108)))))-1),"")</f>
        <v>45844</v>
      </c>
      <c r="K2108" s="16" t="n">
        <f aca="false" t="array" ref="K2108:K2108">IFERROR(INDEX(AC2108:AE2108,IF(COUNTA(AC2108:AE2108)=0,"",MAX((AC2108:AE2108&lt;&gt;"")*(COLUMN(AC2108:AE2108)-(COLUMN(AC2108)-1))))-1),"")</f>
        <v>45935</v>
      </c>
      <c r="L2108" s="17" t="str">
        <f aca="false" t="array" ref="L2108:L2108">IFERROR(INDEX(AC2108:AE2108,IF(COUNTA(AC2108:AE2108)=0,"",MAX((AC2108:AE2108&lt;&gt;"")*(COLUMN(AC2108:AE2108)-(COLUMN(AC2108)-2))))-1),"")</f>
        <v>ARCHIVED</v>
      </c>
      <c r="M2108" s="13" t="n">
        <f aca="true">K2108-TODAY()</f>
        <v>-389</v>
      </c>
      <c r="N2108" s="18" t="s">
        <v>4051</v>
      </c>
      <c r="O2108" s="95" t="s">
        <v>7951</v>
      </c>
      <c r="P2108" s="19" t="n">
        <v>210000</v>
      </c>
      <c r="Q2108" s="20" t="s">
        <v>9088</v>
      </c>
      <c r="R2108" s="13" t="s">
        <v>73</v>
      </c>
      <c r="S2108" s="16" t="n">
        <v>29105</v>
      </c>
      <c r="T2108" s="28" t="s">
        <v>40</v>
      </c>
      <c r="U2108" s="13" t="s">
        <v>9089</v>
      </c>
      <c r="V2108" s="13" t="s">
        <v>42</v>
      </c>
      <c r="W2108" s="13" t="s">
        <v>54</v>
      </c>
      <c r="X2108" s="21" t="n">
        <v>85203283227</v>
      </c>
      <c r="Y2108" s="22" t="str">
        <f aca="false">O2108</f>
        <v>Mekanik Kiln</v>
      </c>
      <c r="Z2108" s="13" t="str">
        <f aca="false">IFERROR(__xludf.dummyfunction("if(BJ2108="""","""",GOOGLETRANSLATE(BJ2108,""auto"",""en""))"),"Kiln Mechanics")</f>
        <v>Kiln Mechanics</v>
      </c>
      <c r="AA2108" s="23" t="str">
        <f aca="false">IF(C2108="","", CHOOSE(MONTH(C2108),"January","February","March","April","May","June","July","August","September","October","November","December")&amp;" "&amp;DAY(C2108)&amp;MID("thstndrdth",MIN(9,2*RIGHT(DAY(C2108))*(MOD(DAY(C2108)-11,100)&gt;2)+1),2)&amp;","&amp;TEXT(C2108," yyyy"))</f>
        <v>April 15th,2025</v>
      </c>
      <c r="AB2108" s="15" t="str">
        <f aca="true">IF(S2108="","",DATEDIF(S2108,TODAY(),"Y")&amp;" Tahun, "&amp;DATEDIF(S2108,TODAY(),"YM")&amp;" Bulan, "&amp;DATEDIF(S2108,TODAY(),"MD")&amp;" Hari")</f>
        <v>47 Tahun, 1 Bulan, 22 Hari</v>
      </c>
      <c r="AC2108" s="18" t="n">
        <v>45844</v>
      </c>
      <c r="AD2108" s="18" t="n">
        <v>45935</v>
      </c>
      <c r="AE2108" s="18" t="s">
        <v>44</v>
      </c>
    </row>
    <row r="2109" customFormat="false" ht="15" hidden="false" customHeight="true" outlineLevel="0" collapsed="false">
      <c r="A2109" s="12" t="n">
        <v>19301</v>
      </c>
      <c r="B2109" s="13" t="s">
        <v>9090</v>
      </c>
      <c r="C2109" s="16" t="n">
        <v>45762</v>
      </c>
      <c r="D2109" s="13" t="s">
        <v>7948</v>
      </c>
      <c r="E2109" s="15" t="s">
        <v>7949</v>
      </c>
      <c r="F2109" s="15" t="str">
        <f aca="false">IFERROR(__xludf.dummyfunction("XLOOKUP(AJ2109,IMPORTRANGE(""1XaInW9DU9nz21V0tYIfzFQ0He9kVQ_JF2mCXgZ3hqFA"",""REKAP ALL 2026 - Andika!G:G""),IMPORTRANGE(""1XaInW9DU9nz21V0tYIfzFQ0He9kVQ_JF2mCXgZ3hqFA"",""REKAP ALL 2026 - Andika!F:F""),"""",0)"),"25047635872")</f>
        <v>25047635872</v>
      </c>
      <c r="G2109" s="13" t="s">
        <v>57</v>
      </c>
      <c r="H2109" s="13" t="s">
        <v>7950</v>
      </c>
      <c r="I2109" s="13" t="str">
        <f aca="false">IF(C2109=J2109,"NEW KONTRAK","RE-KONTRAK")</f>
        <v>RE-KONTRAK</v>
      </c>
      <c r="J2109" s="16" t="n">
        <f aca="false" t="array" ref="J2109:J2109">IFERROR(INDEX(AC2109:AE2109,IF(COUNTA(AC2109:AE2109)=0,"",MAX((AC2109:AE2109&lt;&gt;"")*(COLUMN(AC2109:AE2109)-(COLUMN(AC2109)))))-1),"")</f>
        <v>45844</v>
      </c>
      <c r="K2109" s="16" t="n">
        <f aca="false" t="array" ref="K2109:K2109">IFERROR(INDEX(AC2109:AE2109,IF(COUNTA(AC2109:AE2109)=0,"",MAX((AC2109:AE2109&lt;&gt;"")*(COLUMN(AC2109:AE2109)-(COLUMN(AC2109)-1))))-1),"")</f>
        <v>45935</v>
      </c>
      <c r="L2109" s="17" t="str">
        <f aca="false" t="array" ref="L2109:L2109">IFERROR(INDEX(AC2109:AE2109,IF(COUNTA(AC2109:AE2109)=0,"",MAX((AC2109:AE2109&lt;&gt;"")*(COLUMN(AC2109:AE2109)-(COLUMN(AC2109)-2))))-1),"")</f>
        <v>ARCHIVED</v>
      </c>
      <c r="M2109" s="13" t="n">
        <f aca="true">K2109-TODAY()</f>
        <v>-389</v>
      </c>
      <c r="N2109" s="18" t="s">
        <v>4051</v>
      </c>
      <c r="O2109" s="95" t="s">
        <v>7951</v>
      </c>
      <c r="P2109" s="19" t="n">
        <v>210000</v>
      </c>
      <c r="Q2109" s="20" t="s">
        <v>9091</v>
      </c>
      <c r="R2109" s="13" t="s">
        <v>255</v>
      </c>
      <c r="S2109" s="16" t="n">
        <v>34527</v>
      </c>
      <c r="T2109" s="28" t="s">
        <v>40</v>
      </c>
      <c r="U2109" s="13" t="s">
        <v>9092</v>
      </c>
      <c r="V2109" s="13" t="s">
        <v>42</v>
      </c>
      <c r="W2109" s="13" t="s">
        <v>54</v>
      </c>
      <c r="X2109" s="21" t="n">
        <v>85808969466</v>
      </c>
      <c r="Y2109" s="22" t="str">
        <f aca="false">O2109</f>
        <v>Mekanik Kiln</v>
      </c>
      <c r="Z2109" s="13" t="str">
        <f aca="false">IFERROR(__xludf.dummyfunction("if(BJ2109="""","""",GOOGLETRANSLATE(BJ2109,""auto"",""en""))"),"Kiln Mechanics")</f>
        <v>Kiln Mechanics</v>
      </c>
      <c r="AA2109" s="23" t="str">
        <f aca="false">IF(C2109="","", CHOOSE(MONTH(C2109),"January","February","March","April","May","June","July","August","September","October","November","December")&amp;" "&amp;DAY(C2109)&amp;MID("thstndrdth",MIN(9,2*RIGHT(DAY(C2109))*(MOD(DAY(C2109)-11,100)&gt;2)+1),2)&amp;","&amp;TEXT(C2109," yyyy"))</f>
        <v>April 15th,2025</v>
      </c>
      <c r="AB2109" s="15" t="str">
        <f aca="true">IF(S2109="","",DATEDIF(S2109,TODAY(),"Y")&amp;" Tahun, "&amp;DATEDIF(S2109,TODAY(),"YM")&amp;" Bulan, "&amp;DATEDIF(S2109,TODAY(),"MD")&amp;" Hari")</f>
        <v>32 Tahun, 3 Bulan, 17 Hari</v>
      </c>
      <c r="AC2109" s="18" t="n">
        <v>45844</v>
      </c>
      <c r="AD2109" s="18" t="n">
        <v>45935</v>
      </c>
      <c r="AE2109" s="18" t="s">
        <v>44</v>
      </c>
    </row>
    <row r="2110" customFormat="false" ht="15" hidden="false" customHeight="true" outlineLevel="0" collapsed="false">
      <c r="A2110" s="12" t="n">
        <v>19302</v>
      </c>
      <c r="B2110" s="13" t="s">
        <v>9093</v>
      </c>
      <c r="C2110" s="16" t="n">
        <v>45762</v>
      </c>
      <c r="D2110" s="13" t="s">
        <v>7948</v>
      </c>
      <c r="E2110" s="15" t="s">
        <v>7949</v>
      </c>
      <c r="F2110" s="15" t="str">
        <f aca="false">IFERROR(__xludf.dummyfunction("XLOOKUP(AJ2110,IMPORTRANGE(""1XaInW9DU9nz21V0tYIfzFQ0He9kVQ_JF2mCXgZ3hqFA"",""REKAP ALL 2026 - Andika!G:G""),IMPORTRANGE(""1XaInW9DU9nz21V0tYIfzFQ0He9kVQ_JF2mCXgZ3hqFA"",""REKAP ALL 2026 - Andika!F:F""),"""",0)"),"25047635880")</f>
        <v>25047635880</v>
      </c>
      <c r="G2110" s="13" t="s">
        <v>57</v>
      </c>
      <c r="H2110" s="13" t="s">
        <v>7950</v>
      </c>
      <c r="I2110" s="13" t="str">
        <f aca="false">IF(C2110=J2110,"NEW KONTRAK","RE-KONTRAK")</f>
        <v>RE-KONTRAK</v>
      </c>
      <c r="J2110" s="16" t="n">
        <f aca="false" t="array" ref="J2110:J2110">IFERROR(INDEX(AC2110:AE2110,IF(COUNTA(AC2110:AE2110)=0,"",MAX((AC2110:AE2110&lt;&gt;"")*(COLUMN(AC2110:AE2110)-(COLUMN(AC2110)))))-1),"")</f>
        <v>45844</v>
      </c>
      <c r="K2110" s="16" t="n">
        <f aca="false" t="array" ref="K2110:K2110">IFERROR(INDEX(AC2110:AE2110,IF(COUNTA(AC2110:AE2110)=0,"",MAX((AC2110:AE2110&lt;&gt;"")*(COLUMN(AC2110:AE2110)-(COLUMN(AC2110)-1))))-1),"")</f>
        <v>45935</v>
      </c>
      <c r="L2110" s="17" t="str">
        <f aca="false" t="array" ref="L2110:L2110">IFERROR(INDEX(AC2110:AE2110,IF(COUNTA(AC2110:AE2110)=0,"",MAX((AC2110:AE2110&lt;&gt;"")*(COLUMN(AC2110:AE2110)-(COLUMN(AC2110)-2))))-1),"")</f>
        <v>ARCHIVED</v>
      </c>
      <c r="M2110" s="13" t="n">
        <f aca="true">K2110-TODAY()</f>
        <v>-389</v>
      </c>
      <c r="N2110" s="18" t="s">
        <v>4051</v>
      </c>
      <c r="O2110" s="95" t="s">
        <v>7951</v>
      </c>
      <c r="P2110" s="19" t="n">
        <v>210000</v>
      </c>
      <c r="Q2110" s="20" t="s">
        <v>9094</v>
      </c>
      <c r="R2110" s="13" t="s">
        <v>73</v>
      </c>
      <c r="S2110" s="16" t="n">
        <v>36762</v>
      </c>
      <c r="T2110" s="28" t="s">
        <v>40</v>
      </c>
      <c r="U2110" s="13" t="s">
        <v>9095</v>
      </c>
      <c r="V2110" s="13" t="s">
        <v>42</v>
      </c>
      <c r="W2110" s="13" t="s">
        <v>43</v>
      </c>
      <c r="X2110" s="21" t="n">
        <v>85749488393</v>
      </c>
      <c r="Y2110" s="22" t="str">
        <f aca="false">O2110</f>
        <v>Mekanik Kiln</v>
      </c>
      <c r="Z2110" s="13" t="str">
        <f aca="false">IFERROR(__xludf.dummyfunction("if(BJ2110="""","""",GOOGLETRANSLATE(BJ2110,""auto"",""en""))"),"Kiln Mechanics")</f>
        <v>Kiln Mechanics</v>
      </c>
      <c r="AA2110" s="23" t="str">
        <f aca="false">IF(C2110="","", CHOOSE(MONTH(C2110),"January","February","March","April","May","June","July","August","September","October","November","December")&amp;" "&amp;DAY(C2110)&amp;MID("thstndrdth",MIN(9,2*RIGHT(DAY(C2110))*(MOD(DAY(C2110)-11,100)&gt;2)+1),2)&amp;","&amp;TEXT(C2110," yyyy"))</f>
        <v>April 15th,2025</v>
      </c>
      <c r="AB2110" s="15" t="str">
        <f aca="true">IF(S2110="","",DATEDIF(S2110,TODAY(),"Y")&amp;" Tahun, "&amp;DATEDIF(S2110,TODAY(),"YM")&amp;" Bulan, "&amp;DATEDIF(S2110,TODAY(),"MD")&amp;" Hari")</f>
        <v>26 Tahun, 2 Bulan, 5 Hari</v>
      </c>
      <c r="AC2110" s="18" t="n">
        <v>45844</v>
      </c>
      <c r="AD2110" s="18" t="n">
        <v>45935</v>
      </c>
      <c r="AE2110" s="18" t="s">
        <v>44</v>
      </c>
    </row>
    <row r="2111" customFormat="false" ht="15" hidden="false" customHeight="true" outlineLevel="0" collapsed="false">
      <c r="A2111" s="12" t="n">
        <v>19303</v>
      </c>
      <c r="B2111" s="13" t="s">
        <v>9096</v>
      </c>
      <c r="C2111" s="16" t="n">
        <v>45762</v>
      </c>
      <c r="D2111" s="13" t="s">
        <v>7948</v>
      </c>
      <c r="E2111" s="15" t="s">
        <v>7949</v>
      </c>
      <c r="F2111" s="15" t="str">
        <f aca="false">IFERROR(__xludf.dummyfunction("XLOOKUP(AJ2111,IMPORTRANGE(""1XaInW9DU9nz21V0tYIfzFQ0He9kVQ_JF2mCXgZ3hqFA"",""REKAP ALL 2026 - Andika!G:G""),IMPORTRANGE(""1XaInW9DU9nz21V0tYIfzFQ0He9kVQ_JF2mCXgZ3hqFA"",""REKAP ALL 2026 - Andika!F:F""),"""",0)"),"25047635914")</f>
        <v>25047635914</v>
      </c>
      <c r="G2111" s="13" t="s">
        <v>57</v>
      </c>
      <c r="H2111" s="13" t="s">
        <v>7950</v>
      </c>
      <c r="I2111" s="13" t="str">
        <f aca="false">IF(C2111=J2111,"NEW KONTRAK","RE-KONTRAK")</f>
        <v>RE-KONTRAK</v>
      </c>
      <c r="J2111" s="16" t="n">
        <f aca="false" t="array" ref="J2111:J2111">IFERROR(INDEX(AC2111:AE2111,IF(COUNTA(AC2111:AE2111)=0,"",MAX((AC2111:AE2111&lt;&gt;"")*(COLUMN(AC2111:AE2111)-(COLUMN(AC2111)))))-1),"")</f>
        <v>45844</v>
      </c>
      <c r="K2111" s="16" t="n">
        <f aca="false" t="array" ref="K2111:K2111">IFERROR(INDEX(AC2111:AE2111,IF(COUNTA(AC2111:AE2111)=0,"",MAX((AC2111:AE2111&lt;&gt;"")*(COLUMN(AC2111:AE2111)-(COLUMN(AC2111)-1))))-1),"")</f>
        <v>45935</v>
      </c>
      <c r="L2111" s="17" t="str">
        <f aca="false" t="array" ref="L2111:L2111">IFERROR(INDEX(AC2111:AE2111,IF(COUNTA(AC2111:AE2111)=0,"",MAX((AC2111:AE2111&lt;&gt;"")*(COLUMN(AC2111:AE2111)-(COLUMN(AC2111)-2))))-1),"")</f>
        <v>ARCHIVED</v>
      </c>
      <c r="M2111" s="13" t="n">
        <f aca="true">K2111-TODAY()</f>
        <v>-389</v>
      </c>
      <c r="N2111" s="18" t="s">
        <v>4051</v>
      </c>
      <c r="O2111" s="95" t="s">
        <v>7951</v>
      </c>
      <c r="P2111" s="19" t="n">
        <v>210000</v>
      </c>
      <c r="Q2111" s="20" t="s">
        <v>9097</v>
      </c>
      <c r="R2111" s="13" t="s">
        <v>73</v>
      </c>
      <c r="S2111" s="16" t="n">
        <v>37987</v>
      </c>
      <c r="T2111" s="28" t="s">
        <v>40</v>
      </c>
      <c r="U2111" s="13" t="s">
        <v>9098</v>
      </c>
      <c r="V2111" s="13" t="s">
        <v>42</v>
      </c>
      <c r="W2111" s="13" t="s">
        <v>43</v>
      </c>
      <c r="X2111" s="21" t="n">
        <v>85850559667</v>
      </c>
      <c r="Y2111" s="22" t="str">
        <f aca="false">O2111</f>
        <v>Mekanik Kiln</v>
      </c>
      <c r="Z2111" s="13" t="str">
        <f aca="false">IFERROR(__xludf.dummyfunction("if(BJ2111="""","""",GOOGLETRANSLATE(BJ2111,""auto"",""en""))"),"Kiln Mechanics")</f>
        <v>Kiln Mechanics</v>
      </c>
      <c r="AA2111" s="23" t="str">
        <f aca="false">IF(C2111="","", CHOOSE(MONTH(C2111),"January","February","March","April","May","June","July","August","September","October","November","December")&amp;" "&amp;DAY(C2111)&amp;MID("thstndrdth",MIN(9,2*RIGHT(DAY(C2111))*(MOD(DAY(C2111)-11,100)&gt;2)+1),2)&amp;","&amp;TEXT(C2111," yyyy"))</f>
        <v>April 15th,2025</v>
      </c>
      <c r="AB2111" s="15" t="str">
        <f aca="true">IF(S2111="","",DATEDIF(S2111,TODAY(),"Y")&amp;" Tahun, "&amp;DATEDIF(S2111,TODAY(),"YM")&amp;" Bulan, "&amp;DATEDIF(S2111,TODAY(),"MD")&amp;" Hari")</f>
        <v>22 Tahun, 9 Bulan, 28 Hari</v>
      </c>
      <c r="AC2111" s="18" t="n">
        <v>45844</v>
      </c>
      <c r="AD2111" s="18" t="n">
        <v>45935</v>
      </c>
      <c r="AE2111" s="18" t="s">
        <v>44</v>
      </c>
    </row>
    <row r="2112" customFormat="false" ht="15" hidden="false" customHeight="true" outlineLevel="0" collapsed="false">
      <c r="A2112" s="12" t="n">
        <v>19304</v>
      </c>
      <c r="B2112" s="13" t="s">
        <v>9099</v>
      </c>
      <c r="C2112" s="16" t="n">
        <v>45762</v>
      </c>
      <c r="D2112" s="13" t="s">
        <v>7948</v>
      </c>
      <c r="E2112" s="15" t="s">
        <v>7949</v>
      </c>
      <c r="F2112" s="15" t="str">
        <f aca="false">IFERROR(__xludf.dummyfunction("XLOOKUP(AJ2112,IMPORTRANGE(""1XaInW9DU9nz21V0tYIfzFQ0He9kVQ_JF2mCXgZ3hqFA"",""REKAP ALL 2026 - Andika!G:G""),IMPORTRANGE(""1XaInW9DU9nz21V0tYIfzFQ0He9kVQ_JF2mCXgZ3hqFA"",""REKAP ALL 2026 - Andika!F:F""),"""",0)"),"25047635922")</f>
        <v>25047635922</v>
      </c>
      <c r="G2112" s="13" t="s">
        <v>57</v>
      </c>
      <c r="H2112" s="13" t="s">
        <v>7950</v>
      </c>
      <c r="I2112" s="13" t="str">
        <f aca="false">IF(C2112=J2112,"NEW KONTRAK","RE-KONTRAK")</f>
        <v>RE-KONTRAK</v>
      </c>
      <c r="J2112" s="16" t="n">
        <f aca="false" t="array" ref="J2112:J2112">IFERROR(INDEX(AC2112:AE2112,IF(COUNTA(AC2112:AE2112)=0,"",MAX((AC2112:AE2112&lt;&gt;"")*(COLUMN(AC2112:AE2112)-(COLUMN(AC2112)))))-1),"")</f>
        <v>45844</v>
      </c>
      <c r="K2112" s="16" t="n">
        <f aca="false" t="array" ref="K2112:K2112">IFERROR(INDEX(AC2112:AE2112,IF(COUNTA(AC2112:AE2112)=0,"",MAX((AC2112:AE2112&lt;&gt;"")*(COLUMN(AC2112:AE2112)-(COLUMN(AC2112)-1))))-1),"")</f>
        <v>45928</v>
      </c>
      <c r="L2112" s="17" t="str">
        <f aca="false" t="array" ref="L2112:L2112">IFERROR(INDEX(AC2112:AE2112,IF(COUNTA(AC2112:AE2112)=0,"",MAX((AC2112:AE2112&lt;&gt;"")*(COLUMN(AC2112:AE2112)-(COLUMN(AC2112)-2))))-1),"")</f>
        <v>ARCHIVED</v>
      </c>
      <c r="M2112" s="13" t="n">
        <f aca="true">K2112-TODAY()</f>
        <v>-396</v>
      </c>
      <c r="N2112" s="18" t="s">
        <v>4051</v>
      </c>
      <c r="O2112" s="95" t="s">
        <v>7951</v>
      </c>
      <c r="P2112" s="19" t="n">
        <v>210000</v>
      </c>
      <c r="Q2112" s="20" t="s">
        <v>9100</v>
      </c>
      <c r="R2112" s="13" t="s">
        <v>73</v>
      </c>
      <c r="S2112" s="16" t="n">
        <v>34094</v>
      </c>
      <c r="T2112" s="28" t="s">
        <v>40</v>
      </c>
      <c r="U2112" s="13" t="s">
        <v>9101</v>
      </c>
      <c r="V2112" s="13" t="s">
        <v>42</v>
      </c>
      <c r="W2112" s="13" t="s">
        <v>54</v>
      </c>
      <c r="X2112" s="30" t="n">
        <v>85735240824</v>
      </c>
      <c r="Y2112" s="22" t="str">
        <f aca="false">O2112</f>
        <v>Mekanik Kiln</v>
      </c>
      <c r="Z2112" s="13" t="str">
        <f aca="false">IFERROR(__xludf.dummyfunction("if(BJ2112="""","""",GOOGLETRANSLATE(BJ2112,""auto"",""en""))"),"Kiln Mechanics")</f>
        <v>Kiln Mechanics</v>
      </c>
      <c r="AA2112" s="23" t="str">
        <f aca="false">IF(C2112="","", CHOOSE(MONTH(C2112),"January","February","March","April","May","June","July","August","September","October","November","December")&amp;" "&amp;DAY(C2112)&amp;MID("thstndrdth",MIN(9,2*RIGHT(DAY(C2112))*(MOD(DAY(C2112)-11,100)&gt;2)+1),2)&amp;","&amp;TEXT(C2112," yyyy"))</f>
        <v>April 15th,2025</v>
      </c>
      <c r="AB2112" s="15" t="str">
        <f aca="true">IF(S2112="","",DATEDIF(S2112,TODAY(),"Y")&amp;" Tahun, "&amp;DATEDIF(S2112,TODAY(),"YM")&amp;" Bulan, "&amp;DATEDIF(S2112,TODAY(),"MD")&amp;" Hari")</f>
        <v>33 Tahun, 5 Bulan, 24 Hari</v>
      </c>
      <c r="AC2112" s="18" t="n">
        <v>45844</v>
      </c>
      <c r="AD2112" s="18" t="n">
        <v>45928</v>
      </c>
      <c r="AE2112" s="18" t="s">
        <v>44</v>
      </c>
    </row>
    <row r="2113" customFormat="false" ht="15" hidden="false" customHeight="true" outlineLevel="0" collapsed="false">
      <c r="A2113" s="12" t="n">
        <v>19305</v>
      </c>
      <c r="B2113" s="13" t="s">
        <v>9102</v>
      </c>
      <c r="C2113" s="16" t="n">
        <v>45762</v>
      </c>
      <c r="D2113" s="13" t="s">
        <v>7948</v>
      </c>
      <c r="E2113" s="15" t="s">
        <v>7949</v>
      </c>
      <c r="F2113" s="15" t="str">
        <f aca="false">IFERROR(__xludf.dummyfunction("XLOOKUP(AJ2113,IMPORTRANGE(""1XaInW9DU9nz21V0tYIfzFQ0He9kVQ_JF2mCXgZ3hqFA"",""REKAP ALL 2026 - Andika!G:G""),IMPORTRANGE(""1XaInW9DU9nz21V0tYIfzFQ0He9kVQ_JF2mCXgZ3hqFA"",""REKAP ALL 2026 - Andika!F:F""),"""",0)"),"25047635930")</f>
        <v>25047635930</v>
      </c>
      <c r="G2113" s="13" t="s">
        <v>57</v>
      </c>
      <c r="H2113" s="13" t="s">
        <v>7950</v>
      </c>
      <c r="I2113" s="13" t="str">
        <f aca="false">IF(C2113=J2113,"NEW KONTRAK","RE-KONTRAK")</f>
        <v>RE-KONTRAK</v>
      </c>
      <c r="J2113" s="16" t="n">
        <f aca="false" t="array" ref="J2113:J2113">IFERROR(INDEX(AC2113:AE2113,IF(COUNTA(AC2113:AE2113)=0,"",MAX((AC2113:AE2113&lt;&gt;"")*(COLUMN(AC2113:AE2113)-(COLUMN(AC2113)))))-1),"")</f>
        <v>45844</v>
      </c>
      <c r="K2113" s="16" t="n">
        <f aca="false" t="array" ref="K2113:K2113">IFERROR(INDEX(AC2113:AE2113,IF(COUNTA(AC2113:AE2113)=0,"",MAX((AC2113:AE2113&lt;&gt;"")*(COLUMN(AC2113:AE2113)-(COLUMN(AC2113)-1))))-1),"")</f>
        <v>45928</v>
      </c>
      <c r="L2113" s="17" t="str">
        <f aca="false" t="array" ref="L2113:L2113">IFERROR(INDEX(AC2113:AE2113,IF(COUNTA(AC2113:AE2113)=0,"",MAX((AC2113:AE2113&lt;&gt;"")*(COLUMN(AC2113:AE2113)-(COLUMN(AC2113)-2))))-1),"")</f>
        <v>ARCHIVED</v>
      </c>
      <c r="M2113" s="13" t="n">
        <f aca="true">K2113-TODAY()</f>
        <v>-396</v>
      </c>
      <c r="N2113" s="18" t="s">
        <v>4051</v>
      </c>
      <c r="O2113" s="95" t="s">
        <v>7951</v>
      </c>
      <c r="P2113" s="19" t="n">
        <v>210000</v>
      </c>
      <c r="Q2113" s="20" t="s">
        <v>9103</v>
      </c>
      <c r="R2113" s="13" t="s">
        <v>52</v>
      </c>
      <c r="S2113" s="16" t="n">
        <v>34843</v>
      </c>
      <c r="T2113" s="28" t="s">
        <v>40</v>
      </c>
      <c r="U2113" s="13" t="s">
        <v>9104</v>
      </c>
      <c r="V2113" s="13" t="s">
        <v>42</v>
      </c>
      <c r="W2113" s="13" t="s">
        <v>54</v>
      </c>
      <c r="X2113" s="21" t="n">
        <v>82115511154</v>
      </c>
      <c r="Y2113" s="22" t="str">
        <f aca="false">O2113</f>
        <v>Mekanik Kiln</v>
      </c>
      <c r="Z2113" s="13" t="str">
        <f aca="false">IFERROR(__xludf.dummyfunction("if(BJ2113="""","""",GOOGLETRANSLATE(BJ2113,""auto"",""en""))"),"Kiln Mechanics")</f>
        <v>Kiln Mechanics</v>
      </c>
      <c r="AA2113" s="23" t="str">
        <f aca="false">IF(C2113="","", CHOOSE(MONTH(C2113),"January","February","March","April","May","June","July","August","September","October","November","December")&amp;" "&amp;DAY(C2113)&amp;MID("thstndrdth",MIN(9,2*RIGHT(DAY(C2113))*(MOD(DAY(C2113)-11,100)&gt;2)+1),2)&amp;","&amp;TEXT(C2113," yyyy"))</f>
        <v>April 15th,2025</v>
      </c>
      <c r="AB2113" s="15" t="str">
        <f aca="true">IF(S2113="","",DATEDIF(S2113,TODAY(),"Y")&amp;" Tahun, "&amp;DATEDIF(S2113,TODAY(),"YM")&amp;" Bulan, "&amp;DATEDIF(S2113,TODAY(),"MD")&amp;" Hari")</f>
        <v>31 Tahun, 5 Bulan, 5 Hari</v>
      </c>
      <c r="AC2113" s="18" t="n">
        <v>45844</v>
      </c>
      <c r="AD2113" s="18" t="n">
        <v>45928</v>
      </c>
      <c r="AE2113" s="18" t="s">
        <v>44</v>
      </c>
    </row>
    <row r="2114" customFormat="false" ht="15" hidden="false" customHeight="true" outlineLevel="0" collapsed="false">
      <c r="A2114" s="12" t="n">
        <v>19306</v>
      </c>
      <c r="B2114" s="13" t="s">
        <v>9105</v>
      </c>
      <c r="C2114" s="16" t="n">
        <v>45762</v>
      </c>
      <c r="D2114" s="13" t="s">
        <v>1338</v>
      </c>
      <c r="E2114" s="15" t="s">
        <v>33</v>
      </c>
      <c r="F2114" s="24" t="s">
        <v>9106</v>
      </c>
      <c r="G2114" s="13" t="s">
        <v>57</v>
      </c>
      <c r="H2114" s="13" t="s">
        <v>7950</v>
      </c>
      <c r="I2114" s="13" t="str">
        <f aca="false">IF(C2114=J2114,"NEW KONTRAK","RE-KONTRAK")</f>
        <v>RE-KONTRAK</v>
      </c>
      <c r="J2114" s="16" t="n">
        <f aca="false" t="array" ref="J2114:J2114">IFERROR(INDEX(AC2114:AE2114,IF(COUNTA(AC2114:AE2114)=0,"",MAX((AC2114:AE2114&lt;&gt;"")*(COLUMN(AC2114:AE2114)-(COLUMN(AC2114)))))-1),"")</f>
        <v>45844</v>
      </c>
      <c r="K2114" s="16" t="n">
        <f aca="false" t="array" ref="K2114:K2114">IFERROR(INDEX(AC2114:AE2114,IF(COUNTA(AC2114:AE2114)=0,"",MAX((AC2114:AE2114&lt;&gt;"")*(COLUMN(AC2114:AE2114)-(COLUMN(AC2114)-1))))-1),"")</f>
        <v>45928</v>
      </c>
      <c r="L2114" s="17" t="str">
        <f aca="false" t="array" ref="L2114:L2114">IFERROR(INDEX(AC2114:AE2114,IF(COUNTA(AC2114:AE2114)=0,"",MAX((AC2114:AE2114&lt;&gt;"")*(COLUMN(AC2114:AE2114)-(COLUMN(AC2114)-2))))-1),"")</f>
        <v>ARCHIVED</v>
      </c>
      <c r="M2114" s="13" t="n">
        <f aca="true">K2114-TODAY()</f>
        <v>-396</v>
      </c>
      <c r="N2114" s="50" t="s">
        <v>615</v>
      </c>
      <c r="O2114" s="95" t="s">
        <v>7951</v>
      </c>
      <c r="P2114" s="19" t="n">
        <v>210000</v>
      </c>
      <c r="Q2114" s="20" t="s">
        <v>9107</v>
      </c>
      <c r="R2114" s="13" t="s">
        <v>763</v>
      </c>
      <c r="S2114" s="16" t="n">
        <v>34086</v>
      </c>
      <c r="T2114" s="28" t="s">
        <v>40</v>
      </c>
      <c r="U2114" s="13" t="s">
        <v>9108</v>
      </c>
      <c r="V2114" s="13" t="s">
        <v>42</v>
      </c>
      <c r="W2114" s="13" t="s">
        <v>54</v>
      </c>
      <c r="X2114" s="21" t="n">
        <v>81357778612</v>
      </c>
      <c r="Y2114" s="22" t="str">
        <f aca="false">O2114</f>
        <v>Mekanik Kiln</v>
      </c>
      <c r="Z2114" s="13" t="str">
        <f aca="false">IFERROR(__xludf.dummyfunction("if(BJ2114="""","""",GOOGLETRANSLATE(BJ2114,""auto"",""en""))"),"Kiln Mechanics")</f>
        <v>Kiln Mechanics</v>
      </c>
      <c r="AA2114" s="23" t="str">
        <f aca="false">IF(C2114="","", CHOOSE(MONTH(C2114),"January","February","March","April","May","June","July","August","September","October","November","December")&amp;" "&amp;DAY(C2114)&amp;MID("thstndrdth",MIN(9,2*RIGHT(DAY(C2114))*(MOD(DAY(C2114)-11,100)&gt;2)+1),2)&amp;","&amp;TEXT(C2114," yyyy"))</f>
        <v>April 15th,2025</v>
      </c>
      <c r="AB2114" s="15" t="str">
        <f aca="true">IF(S2114="","",DATEDIF(S2114,TODAY(),"Y")&amp;" Tahun, "&amp;DATEDIF(S2114,TODAY(),"YM")&amp;" Bulan, "&amp;DATEDIF(S2114,TODAY(),"MD")&amp;" Hari")</f>
        <v>33 Tahun, 6 Bulan, 2 Hari</v>
      </c>
      <c r="AC2114" s="18" t="n">
        <v>45844</v>
      </c>
      <c r="AD2114" s="18" t="n">
        <v>45928</v>
      </c>
      <c r="AE2114" s="18" t="s">
        <v>44</v>
      </c>
    </row>
    <row r="2115" customFormat="false" ht="15" hidden="false" customHeight="true" outlineLevel="0" collapsed="false">
      <c r="A2115" s="12" t="n">
        <v>19307</v>
      </c>
      <c r="B2115" s="13" t="s">
        <v>9109</v>
      </c>
      <c r="C2115" s="16" t="n">
        <v>45762</v>
      </c>
      <c r="D2115" s="13" t="s">
        <v>7948</v>
      </c>
      <c r="E2115" s="15" t="s">
        <v>7949</v>
      </c>
      <c r="F2115" s="15" t="str">
        <f aca="false">IFERROR(__xludf.dummyfunction("XLOOKUP(AJ2115,IMPORTRANGE(""1XaInW9DU9nz21V0tYIfzFQ0He9kVQ_JF2mCXgZ3hqFA"",""REKAP ALL 2026 - Andika!G:G""),IMPORTRANGE(""1XaInW9DU9nz21V0tYIfzFQ0He9kVQ_JF2mCXgZ3hqFA"",""REKAP ALL 2026 - Andika!F:F""),"""",0)"),"25047635674")</f>
        <v>25047635674</v>
      </c>
      <c r="G2115" s="13" t="s">
        <v>57</v>
      </c>
      <c r="H2115" s="13" t="s">
        <v>7950</v>
      </c>
      <c r="I2115" s="13" t="str">
        <f aca="false">IF(C2115=J2115,"NEW KONTRAK","RE-KONTRAK")</f>
        <v>RE-KONTRAK</v>
      </c>
      <c r="J2115" s="16" t="n">
        <f aca="false" t="array" ref="J2115:J2115">IFERROR(INDEX(AC2115:AE2115,IF(COUNTA(AC2115:AE2115)=0,"",MAX((AC2115:AE2115&lt;&gt;"")*(COLUMN(AC2115:AE2115)-(COLUMN(AC2115)))))-1),"")</f>
        <v>45844</v>
      </c>
      <c r="K2115" s="16" t="n">
        <f aca="false" t="array" ref="K2115:K2115">IFERROR(INDEX(AC2115:AE2115,IF(COUNTA(AC2115:AE2115)=0,"",MAX((AC2115:AE2115&lt;&gt;"")*(COLUMN(AC2115:AE2115)-(COLUMN(AC2115)-1))))-1),"")</f>
        <v>45928</v>
      </c>
      <c r="L2115" s="17" t="str">
        <f aca="false" t="array" ref="L2115:L2115">IFERROR(INDEX(AC2115:AE2115,IF(COUNTA(AC2115:AE2115)=0,"",MAX((AC2115:AE2115&lt;&gt;"")*(COLUMN(AC2115:AE2115)-(COLUMN(AC2115)-2))))-1),"")</f>
        <v>ARCHIVED</v>
      </c>
      <c r="M2115" s="13" t="n">
        <f aca="true">K2115-TODAY()</f>
        <v>-396</v>
      </c>
      <c r="N2115" s="18" t="s">
        <v>4051</v>
      </c>
      <c r="O2115" s="95" t="s">
        <v>7951</v>
      </c>
      <c r="P2115" s="19" t="n">
        <v>210000</v>
      </c>
      <c r="Q2115" s="20" t="s">
        <v>9110</v>
      </c>
      <c r="R2115" s="13" t="s">
        <v>232</v>
      </c>
      <c r="S2115" s="16" t="n">
        <v>32425</v>
      </c>
      <c r="T2115" s="28" t="s">
        <v>40</v>
      </c>
      <c r="U2115" s="13" t="s">
        <v>9111</v>
      </c>
      <c r="V2115" s="13" t="s">
        <v>42</v>
      </c>
      <c r="W2115" s="13" t="s">
        <v>43</v>
      </c>
      <c r="X2115" s="30" t="n">
        <v>81208427109</v>
      </c>
      <c r="Y2115" s="22" t="str">
        <f aca="false">O2115</f>
        <v>Mekanik Kiln</v>
      </c>
      <c r="Z2115" s="13" t="str">
        <f aca="false">IFERROR(__xludf.dummyfunction("if(BJ2115="""","""",GOOGLETRANSLATE(BJ2115,""auto"",""en""))"),"Kiln Mechanics")</f>
        <v>Kiln Mechanics</v>
      </c>
      <c r="AA2115" s="23" t="str">
        <f aca="false">IF(C2115="","", CHOOSE(MONTH(C2115),"January","February","March","April","May","June","July","August","September","October","November","December")&amp;" "&amp;DAY(C2115)&amp;MID("thstndrdth",MIN(9,2*RIGHT(DAY(C2115))*(MOD(DAY(C2115)-11,100)&gt;2)+1),2)&amp;","&amp;TEXT(C2115," yyyy"))</f>
        <v>April 15th,2025</v>
      </c>
      <c r="AB2115" s="15" t="str">
        <f aca="true">IF(S2115="","",DATEDIF(S2115,TODAY(),"Y")&amp;" Tahun, "&amp;DATEDIF(S2115,TODAY(),"YM")&amp;" Bulan, "&amp;DATEDIF(S2115,TODAY(),"MD")&amp;" Hari")</f>
        <v>38 Tahun, 0 Bulan, 20 Hari</v>
      </c>
      <c r="AC2115" s="18" t="n">
        <v>45844</v>
      </c>
      <c r="AD2115" s="18" t="n">
        <v>45928</v>
      </c>
      <c r="AE2115" s="18" t="s">
        <v>44</v>
      </c>
    </row>
    <row r="2116" customFormat="false" ht="15" hidden="false" customHeight="true" outlineLevel="0" collapsed="false">
      <c r="A2116" s="12" t="n">
        <v>19308</v>
      </c>
      <c r="B2116" s="13" t="s">
        <v>527</v>
      </c>
      <c r="C2116" s="16" t="n">
        <v>45762</v>
      </c>
      <c r="D2116" s="13" t="s">
        <v>7948</v>
      </c>
      <c r="E2116" s="15" t="s">
        <v>7949</v>
      </c>
      <c r="F2116" s="15" t="str">
        <f aca="false">IFERROR(__xludf.dummyfunction("XLOOKUP(AJ2116,IMPORTRANGE(""1XaInW9DU9nz21V0tYIfzFQ0He9kVQ_JF2mCXgZ3hqFA"",""REKAP ALL 2026 - Andika!G:G""),IMPORTRANGE(""1XaInW9DU9nz21V0tYIfzFQ0He9kVQ_JF2mCXgZ3hqFA"",""REKAP ALL 2026 - Andika!F:F""),"""",0)"),"25047635682")</f>
        <v>25047635682</v>
      </c>
      <c r="G2116" s="13" t="s">
        <v>57</v>
      </c>
      <c r="H2116" s="13" t="s">
        <v>7950</v>
      </c>
      <c r="I2116" s="13" t="str">
        <f aca="false">IF(C2116=J2116,"NEW KONTRAK","RE-KONTRAK")</f>
        <v>RE-KONTRAK</v>
      </c>
      <c r="J2116" s="16" t="n">
        <f aca="false" t="array" ref="J2116:J2116">IFERROR(INDEX(AC2116:AE2116,IF(COUNTA(AC2116:AE2116)=0,"",MAX((AC2116:AE2116&lt;&gt;"")*(COLUMN(AC2116:AE2116)-(COLUMN(AC2116)))))-1),"")</f>
        <v>45844</v>
      </c>
      <c r="K2116" s="16" t="n">
        <f aca="false" t="array" ref="K2116:K2116">IFERROR(INDEX(AC2116:AE2116,IF(COUNTA(AC2116:AE2116)=0,"",MAX((AC2116:AE2116&lt;&gt;"")*(COLUMN(AC2116:AE2116)-(COLUMN(AC2116)-1))))-1),"")</f>
        <v>45928</v>
      </c>
      <c r="L2116" s="17" t="str">
        <f aca="false" t="array" ref="L2116:L2116">IFERROR(INDEX(AC2116:AE2116,IF(COUNTA(AC2116:AE2116)=0,"",MAX((AC2116:AE2116&lt;&gt;"")*(COLUMN(AC2116:AE2116)-(COLUMN(AC2116)-2))))-1),"")</f>
        <v>ARCHIVED</v>
      </c>
      <c r="M2116" s="13" t="n">
        <f aca="true">K2116-TODAY()</f>
        <v>-396</v>
      </c>
      <c r="N2116" s="18" t="s">
        <v>4051</v>
      </c>
      <c r="O2116" s="95" t="s">
        <v>7951</v>
      </c>
      <c r="P2116" s="19" t="n">
        <v>210000</v>
      </c>
      <c r="Q2116" s="20" t="s">
        <v>9112</v>
      </c>
      <c r="R2116" s="13" t="s">
        <v>83</v>
      </c>
      <c r="S2116" s="16" t="n">
        <v>28661</v>
      </c>
      <c r="T2116" s="28" t="s">
        <v>40</v>
      </c>
      <c r="U2116" s="13" t="s">
        <v>9113</v>
      </c>
      <c r="V2116" s="13" t="s">
        <v>42</v>
      </c>
      <c r="W2116" s="13" t="s">
        <v>54</v>
      </c>
      <c r="X2116" s="21" t="n">
        <v>85704064494</v>
      </c>
      <c r="Y2116" s="22" t="str">
        <f aca="false">O2116</f>
        <v>Mekanik Kiln</v>
      </c>
      <c r="Z2116" s="13" t="str">
        <f aca="false">IFERROR(__xludf.dummyfunction("if(BJ2116="""","""",GOOGLETRANSLATE(BJ2116,""auto"",""en""))"),"Kiln Mechanics")</f>
        <v>Kiln Mechanics</v>
      </c>
      <c r="AA2116" s="23" t="str">
        <f aca="false">IF(C2116="","", CHOOSE(MONTH(C2116),"January","February","March","April","May","June","July","August","September","October","November","December")&amp;" "&amp;DAY(C2116)&amp;MID("thstndrdth",MIN(9,2*RIGHT(DAY(C2116))*(MOD(DAY(C2116)-11,100)&gt;2)+1),2)&amp;","&amp;TEXT(C2116," yyyy"))</f>
        <v>April 15th,2025</v>
      </c>
      <c r="AB2116" s="15" t="str">
        <f aca="true">IF(S2116="","",DATEDIF(S2116,TODAY(),"Y")&amp;" Tahun, "&amp;DATEDIF(S2116,TODAY(),"YM")&amp;" Bulan, "&amp;DATEDIF(S2116,TODAY(),"MD")&amp;" Hari")</f>
        <v>48 Tahun, 4 Bulan, 9 Hari</v>
      </c>
      <c r="AC2116" s="18" t="n">
        <v>45844</v>
      </c>
      <c r="AD2116" s="18" t="n">
        <v>45928</v>
      </c>
      <c r="AE2116" s="18" t="s">
        <v>44</v>
      </c>
    </row>
    <row r="2117" customFormat="false" ht="15" hidden="false" customHeight="true" outlineLevel="0" collapsed="false">
      <c r="A2117" s="12" t="n">
        <v>19309</v>
      </c>
      <c r="B2117" s="13" t="s">
        <v>9114</v>
      </c>
      <c r="C2117" s="16" t="n">
        <v>45762</v>
      </c>
      <c r="D2117" s="13" t="s">
        <v>7948</v>
      </c>
      <c r="E2117" s="15" t="s">
        <v>7949</v>
      </c>
      <c r="F2117" s="15" t="str">
        <f aca="false">IFERROR(__xludf.dummyfunction("XLOOKUP(AJ2117,IMPORTRANGE(""1XaInW9DU9nz21V0tYIfzFQ0He9kVQ_JF2mCXgZ3hqFA"",""REKAP ALL 2026 - Andika!G:G""),IMPORTRANGE(""1XaInW9DU9nz21V0tYIfzFQ0He9kVQ_JF2mCXgZ3hqFA"",""REKAP ALL 2026 - Andika!F:F""),"""",0)"),"25047635690")</f>
        <v>25047635690</v>
      </c>
      <c r="G2117" s="13" t="s">
        <v>57</v>
      </c>
      <c r="H2117" s="13" t="s">
        <v>7950</v>
      </c>
      <c r="I2117" s="13" t="str">
        <f aca="false">IF(C2117=J2117,"NEW KONTRAK","RE-KONTRAK")</f>
        <v>RE-KONTRAK</v>
      </c>
      <c r="J2117" s="16" t="n">
        <f aca="false" t="array" ref="J2117:J2117">IFERROR(INDEX(AC2117:AE2117,IF(COUNTA(AC2117:AE2117)=0,"",MAX((AC2117:AE2117&lt;&gt;"")*(COLUMN(AC2117:AE2117)-(COLUMN(AC2117)))))-1),"")</f>
        <v>45844</v>
      </c>
      <c r="K2117" s="16" t="n">
        <f aca="false" t="array" ref="K2117:K2117">IFERROR(INDEX(AC2117:AE2117,IF(COUNTA(AC2117:AE2117)=0,"",MAX((AC2117:AE2117&lt;&gt;"")*(COLUMN(AC2117:AE2117)-(COLUMN(AC2117)-1))))-1),"")</f>
        <v>45928</v>
      </c>
      <c r="L2117" s="17" t="str">
        <f aca="false" t="array" ref="L2117:L2117">IFERROR(INDEX(AC2117:AE2117,IF(COUNTA(AC2117:AE2117)=0,"",MAX((AC2117:AE2117&lt;&gt;"")*(COLUMN(AC2117:AE2117)-(COLUMN(AC2117)-2))))-1),"")</f>
        <v>ARCHIVED</v>
      </c>
      <c r="M2117" s="13" t="n">
        <f aca="true">K2117-TODAY()</f>
        <v>-396</v>
      </c>
      <c r="N2117" s="18" t="s">
        <v>4051</v>
      </c>
      <c r="O2117" s="95" t="s">
        <v>7951</v>
      </c>
      <c r="P2117" s="19" t="n">
        <v>210000</v>
      </c>
      <c r="Q2117" s="20" t="s">
        <v>9115</v>
      </c>
      <c r="R2117" s="13" t="s">
        <v>73</v>
      </c>
      <c r="S2117" s="16" t="n">
        <v>33547</v>
      </c>
      <c r="T2117" s="28" t="s">
        <v>40</v>
      </c>
      <c r="U2117" s="13" t="s">
        <v>9116</v>
      </c>
      <c r="V2117" s="13" t="s">
        <v>42</v>
      </c>
      <c r="W2117" s="13" t="s">
        <v>43</v>
      </c>
      <c r="X2117" s="21" t="n">
        <v>85706342551</v>
      </c>
      <c r="Y2117" s="22" t="str">
        <f aca="false">O2117</f>
        <v>Mekanik Kiln</v>
      </c>
      <c r="Z2117" s="13" t="str">
        <f aca="false">IFERROR(__xludf.dummyfunction("if(BJ2117="""","""",GOOGLETRANSLATE(BJ2117,""auto"",""en""))"),"Kiln Mechanics")</f>
        <v>Kiln Mechanics</v>
      </c>
      <c r="AA2117" s="23" t="str">
        <f aca="false">IF(C2117="","", CHOOSE(MONTH(C2117),"January","February","March","April","May","June","July","August","September","October","November","December")&amp;" "&amp;DAY(C2117)&amp;MID("thstndrdth",MIN(9,2*RIGHT(DAY(C2117))*(MOD(DAY(C2117)-11,100)&gt;2)+1),2)&amp;","&amp;TEXT(C2117," yyyy"))</f>
        <v>April 15th,2025</v>
      </c>
      <c r="AB2117" s="15" t="str">
        <f aca="true">IF(S2117="","",DATEDIF(S2117,TODAY(),"Y")&amp;" Tahun, "&amp;DATEDIF(S2117,TODAY(),"YM")&amp;" Bulan, "&amp;DATEDIF(S2117,TODAY(),"MD")&amp;" Hari")</f>
        <v>34 Tahun, 11 Bulan, 24 Hari</v>
      </c>
      <c r="AC2117" s="18" t="n">
        <v>45844</v>
      </c>
      <c r="AD2117" s="18" t="n">
        <v>45928</v>
      </c>
      <c r="AE2117" s="18" t="s">
        <v>44</v>
      </c>
    </row>
    <row r="2118" customFormat="false" ht="15" hidden="false" customHeight="true" outlineLevel="0" collapsed="false">
      <c r="A2118" s="12" t="n">
        <v>19315</v>
      </c>
      <c r="B2118" s="13" t="s">
        <v>9117</v>
      </c>
      <c r="C2118" s="16" t="n">
        <v>45763</v>
      </c>
      <c r="D2118" s="13" t="s">
        <v>1338</v>
      </c>
      <c r="E2118" s="15" t="s">
        <v>47</v>
      </c>
      <c r="F2118" s="15" t="str">
        <f aca="false">IFERROR(__xludf.dummyfunction("XLOOKUP(AJ2118,IMPORTRANGE(""1XaInW9DU9nz21V0tYIfzFQ0He9kVQ_JF2mCXgZ3hqFA"",""REKAP ALL 2026 - Andika!G:G""),IMPORTRANGE(""1XaInW9DU9nz21V0tYIfzFQ0He9kVQ_JF2mCXgZ3hqFA"",""REKAP ALL 2026 - Andika!F:F""),"""",0)"),"25047635757")</f>
        <v>25047635757</v>
      </c>
      <c r="G2118" s="13" t="s">
        <v>57</v>
      </c>
      <c r="H2118" s="13" t="s">
        <v>2334</v>
      </c>
      <c r="I2118" s="13" t="str">
        <f aca="false">IF(C2118=J2118,"NEW KONTRAK","RE-KONTRAK")</f>
        <v>RE-KONTRAK</v>
      </c>
      <c r="J2118" s="16" t="n">
        <f aca="false" t="array" ref="J2118:J2118">IFERROR(INDEX(AC2118:AE2118,IF(COUNTA(AC2118:AE2118)=0,"",MAX((AC2118:AE2118&lt;&gt;"")*(COLUMN(AC2118:AE2118)-(COLUMN(AC2118)))))-1),"")</f>
        <v>45844</v>
      </c>
      <c r="K2118" s="16" t="n">
        <f aca="false" t="array" ref="K2118:K2118">IFERROR(INDEX(AC2118:AE2118,IF(COUNTA(AC2118:AE2118)=0,"",MAX((AC2118:AE2118&lt;&gt;"")*(COLUMN(AC2118:AE2118)-(COLUMN(AC2118)-1))))-1),"")</f>
        <v>45935</v>
      </c>
      <c r="L2118" s="17" t="str">
        <f aca="false" t="array" ref="L2118:L2118">IFERROR(INDEX(AC2118:AE2118,IF(COUNTA(AC2118:AE2118)=0,"",MAX((AC2118:AE2118&lt;&gt;"")*(COLUMN(AC2118:AE2118)-(COLUMN(AC2118)-2))))-1),"")</f>
        <v>KEMBALI</v>
      </c>
      <c r="M2118" s="13" t="n">
        <f aca="true">K2118-TODAY()</f>
        <v>-389</v>
      </c>
      <c r="N2118" s="18" t="s">
        <v>615</v>
      </c>
      <c r="O2118" s="13" t="s">
        <v>2335</v>
      </c>
      <c r="P2118" s="19" t="n">
        <v>194241</v>
      </c>
      <c r="Q2118" s="20" t="s">
        <v>9118</v>
      </c>
      <c r="R2118" s="13" t="s">
        <v>232</v>
      </c>
      <c r="S2118" s="16" t="n">
        <v>36097</v>
      </c>
      <c r="T2118" s="28" t="s">
        <v>40</v>
      </c>
      <c r="U2118" s="13" t="s">
        <v>9119</v>
      </c>
      <c r="V2118" s="13" t="s">
        <v>42</v>
      </c>
      <c r="W2118" s="13" t="s">
        <v>54</v>
      </c>
      <c r="X2118" s="21" t="n">
        <v>82229769973</v>
      </c>
      <c r="Y2118" s="22" t="str">
        <f aca="false">O2118</f>
        <v>Project Management</v>
      </c>
      <c r="Z2118" s="13" t="str">
        <f aca="false">IFERROR(__xludf.dummyfunction("if(BJ2118="""","""",GOOGLETRANSLATE(BJ2118,""auto"",""en""))"),"Project Management")</f>
        <v>Project Management</v>
      </c>
      <c r="AA2118" s="23" t="str">
        <f aca="false">IF(C2118="","", CHOOSE(MONTH(C2118),"January","February","March","April","May","June","July","August","September","October","November","December")&amp;" "&amp;DAY(C2118)&amp;MID("thstndrdth",MIN(9,2*RIGHT(DAY(C2118))*(MOD(DAY(C2118)-11,100)&gt;2)+1),2)&amp;","&amp;TEXT(C2118," yyyy"))</f>
        <v>April 16th,2025</v>
      </c>
      <c r="AB2118" s="15" t="str">
        <f aca="true">IF(S2118="","",DATEDIF(S2118,TODAY(),"Y")&amp;" Tahun, "&amp;DATEDIF(S2118,TODAY(),"YM")&amp;" Bulan, "&amp;DATEDIF(S2118,TODAY(),"MD")&amp;" Hari")</f>
        <v>28 Tahun, 0 Bulan, 0 Hari</v>
      </c>
      <c r="AC2118" s="18" t="n">
        <v>45844</v>
      </c>
      <c r="AD2118" s="18" t="n">
        <v>45935</v>
      </c>
      <c r="AE2118" s="13" t="s">
        <v>397</v>
      </c>
    </row>
    <row r="2119" customFormat="false" ht="15" hidden="false" customHeight="true" outlineLevel="0" collapsed="false">
      <c r="A2119" s="12" t="n">
        <v>19313</v>
      </c>
      <c r="B2119" s="13" t="s">
        <v>9120</v>
      </c>
      <c r="C2119" s="16" t="n">
        <v>45762</v>
      </c>
      <c r="D2119" s="13" t="s">
        <v>7948</v>
      </c>
      <c r="E2119" s="15" t="s">
        <v>7949</v>
      </c>
      <c r="F2119" s="15" t="str">
        <f aca="false">IFERROR(__xludf.dummyfunction("XLOOKUP(AJ2119,IMPORTRANGE(""1XaInW9DU9nz21V0tYIfzFQ0He9kVQ_JF2mCXgZ3hqFA"",""REKAP ALL 2026 - Andika!G:G""),IMPORTRANGE(""1XaInW9DU9nz21V0tYIfzFQ0He9kVQ_JF2mCXgZ3hqFA"",""REKAP ALL 2026 - Andika!F:F""),"""",0)"),"25047635732")</f>
        <v>25047635732</v>
      </c>
      <c r="G2119" s="13" t="s">
        <v>57</v>
      </c>
      <c r="H2119" s="13" t="s">
        <v>7950</v>
      </c>
      <c r="I2119" s="13" t="str">
        <f aca="false">IF(C2119=J2119,"NEW KONTRAK","RE-KONTRAK")</f>
        <v>RE-KONTRAK</v>
      </c>
      <c r="J2119" s="16" t="n">
        <f aca="false" t="array" ref="J2119:J2119">IFERROR(INDEX(AC2119:AE2119,IF(COUNTA(AC2119:AE2119)=0,"",MAX((AC2119:AE2119&lt;&gt;"")*(COLUMN(AC2119:AE2119)-(COLUMN(AC2119)))))-1),"")</f>
        <v>45844</v>
      </c>
      <c r="K2119" s="16" t="n">
        <f aca="false" t="array" ref="K2119:K2119">IFERROR(INDEX(AC2119:AE2119,IF(COUNTA(AC2119:AE2119)=0,"",MAX((AC2119:AE2119&lt;&gt;"")*(COLUMN(AC2119:AE2119)-(COLUMN(AC2119)-1))))-1),"")</f>
        <v>45928</v>
      </c>
      <c r="L2119" s="17" t="str">
        <f aca="false" t="array" ref="L2119:L2119">IFERROR(INDEX(AC2119:AE2119,IF(COUNTA(AC2119:AE2119)=0,"",MAX((AC2119:AE2119&lt;&gt;"")*(COLUMN(AC2119:AE2119)-(COLUMN(AC2119)-2))))-1),"")</f>
        <v>ARCHIVED</v>
      </c>
      <c r="M2119" s="13" t="n">
        <f aca="true">K2119-TODAY()</f>
        <v>-396</v>
      </c>
      <c r="N2119" s="18" t="s">
        <v>4051</v>
      </c>
      <c r="O2119" s="13" t="s">
        <v>7951</v>
      </c>
      <c r="P2119" s="19" t="n">
        <v>210000</v>
      </c>
      <c r="Q2119" s="20" t="s">
        <v>9121</v>
      </c>
      <c r="R2119" s="13" t="s">
        <v>232</v>
      </c>
      <c r="S2119" s="16" t="n">
        <v>34655</v>
      </c>
      <c r="T2119" s="28" t="s">
        <v>40</v>
      </c>
      <c r="U2119" s="13" t="s">
        <v>9122</v>
      </c>
      <c r="V2119" s="13" t="s">
        <v>42</v>
      </c>
      <c r="W2119" s="13" t="s">
        <v>43</v>
      </c>
      <c r="X2119" s="21" t="n">
        <v>85748251375</v>
      </c>
      <c r="Y2119" s="22" t="str">
        <f aca="false">O2119</f>
        <v>Mekanik Kiln</v>
      </c>
      <c r="Z2119" s="13" t="str">
        <f aca="false">IFERROR(__xludf.dummyfunction("if(BJ2119="""","""",GOOGLETRANSLATE(BJ2119,""auto"",""en""))"),"Kiln Mechanics")</f>
        <v>Kiln Mechanics</v>
      </c>
      <c r="AA2119" s="23" t="str">
        <f aca="false">IF(C2119="","", CHOOSE(MONTH(C2119),"January","February","March","April","May","June","July","August","September","October","November","December")&amp;" "&amp;DAY(C2119)&amp;MID("thstndrdth",MIN(9,2*RIGHT(DAY(C2119))*(MOD(DAY(C2119)-11,100)&gt;2)+1),2)&amp;","&amp;TEXT(C2119," yyyy"))</f>
        <v>April 15th,2025</v>
      </c>
      <c r="AB2119" s="15" t="str">
        <f aca="true">IF(S2119="","",DATEDIF(S2119,TODAY(),"Y")&amp;" Tahun, "&amp;DATEDIF(S2119,TODAY(),"YM")&amp;" Bulan, "&amp;DATEDIF(S2119,TODAY(),"MD")&amp;" Hari")</f>
        <v>31 Tahun, 11 Bulan, 12 Hari</v>
      </c>
      <c r="AC2119" s="18" t="n">
        <v>45844</v>
      </c>
      <c r="AD2119" s="18" t="n">
        <v>45928</v>
      </c>
      <c r="AE2119" s="18" t="s">
        <v>44</v>
      </c>
    </row>
    <row r="2120" customFormat="false" ht="15" hidden="false" customHeight="true" outlineLevel="0" collapsed="false">
      <c r="A2120" s="12" t="n">
        <v>19314</v>
      </c>
      <c r="B2120" s="13" t="s">
        <v>9123</v>
      </c>
      <c r="C2120" s="16" t="n">
        <v>45763</v>
      </c>
      <c r="D2120" s="13" t="s">
        <v>1338</v>
      </c>
      <c r="E2120" s="15" t="s">
        <v>102</v>
      </c>
      <c r="F2120" s="24" t="s">
        <v>9124</v>
      </c>
      <c r="G2120" s="15" t="s">
        <v>57</v>
      </c>
      <c r="H2120" s="13" t="s">
        <v>35</v>
      </c>
      <c r="I2120" s="13" t="str">
        <f aca="false">IF(C2120=J2120,"NEW KONTRAK","RE-KONTRAK")</f>
        <v>RE-KONTRAK</v>
      </c>
      <c r="J2120" s="16" t="n">
        <f aca="false" t="array" ref="J2120:J2120">IFERROR(INDEX(AC2120:AE2120,IF(COUNTA(AC2120:AE2120)=0,"",MAX((AC2120:AE2120&lt;&gt;"")*(COLUMN(AC2120:AE2120)-(COLUMN(AC2120)))))-1),"")</f>
        <v>45844</v>
      </c>
      <c r="K2120" s="16" t="n">
        <f aca="false" t="array" ref="K2120:K2120">IFERROR(INDEX(AC2120:AE2120,IF(COUNTA(AC2120:AE2120)=0,"",MAX((AC2120:AE2120&lt;&gt;"")*(COLUMN(AC2120:AE2120)-(COLUMN(AC2120)-1))))-1),"")</f>
        <v>45935</v>
      </c>
      <c r="L2120" s="17" t="str">
        <f aca="false" t="array" ref="L2120:L2120">IFERROR(INDEX(AC2120:AE2120,IF(COUNTA(AC2120:AE2120)=0,"",MAX((AC2120:AE2120&lt;&gt;"")*(COLUMN(AC2120:AE2120)-(COLUMN(AC2120)-2))))-1),"")</f>
        <v>ARCHIVED</v>
      </c>
      <c r="M2120" s="13" t="n">
        <f aca="true">K2120-TODAY()</f>
        <v>-389</v>
      </c>
      <c r="N2120" s="50" t="s">
        <v>615</v>
      </c>
      <c r="O2120" s="13" t="s">
        <v>2335</v>
      </c>
      <c r="P2120" s="19" t="n">
        <v>4856026</v>
      </c>
      <c r="Q2120" s="20" t="s">
        <v>9125</v>
      </c>
      <c r="R2120" s="13" t="s">
        <v>65</v>
      </c>
      <c r="S2120" s="16" t="n">
        <v>38292</v>
      </c>
      <c r="T2120" s="28" t="s">
        <v>40</v>
      </c>
      <c r="U2120" s="13" t="s">
        <v>9126</v>
      </c>
      <c r="V2120" s="13" t="s">
        <v>42</v>
      </c>
      <c r="W2120" s="13" t="s">
        <v>43</v>
      </c>
      <c r="X2120" s="21" t="n">
        <v>85745353343</v>
      </c>
      <c r="Y2120" s="22" t="str">
        <f aca="false">O2120</f>
        <v>Project Management</v>
      </c>
      <c r="Z2120" s="13" t="str">
        <f aca="false">IFERROR(__xludf.dummyfunction("if(BJ2120="""","""",GOOGLETRANSLATE(BJ2120,""auto"",""en""))"),"Project Management")</f>
        <v>Project Management</v>
      </c>
      <c r="AA2120" s="23" t="str">
        <f aca="false">IF(C2120="","", CHOOSE(MONTH(C2120),"January","February","March","April","May","June","July","August","September","October","November","December")&amp;" "&amp;DAY(C2120)&amp;MID("thstndrdth",MIN(9,2*RIGHT(DAY(C2120))*(MOD(DAY(C2120)-11,100)&gt;2)+1),2)&amp;","&amp;TEXT(C2120," yyyy"))</f>
        <v>April 16th,2025</v>
      </c>
      <c r="AB2120" s="15" t="str">
        <f aca="true">IF(S2120="","",DATEDIF(S2120,TODAY(),"Y")&amp;" Tahun, "&amp;DATEDIF(S2120,TODAY(),"YM")&amp;" Bulan, "&amp;DATEDIF(S2120,TODAY(),"MD")&amp;" Hari")</f>
        <v>21 Tahun, 11 Bulan, 28 Hari</v>
      </c>
      <c r="AC2120" s="18" t="n">
        <v>45844</v>
      </c>
      <c r="AD2120" s="18" t="n">
        <v>45935</v>
      </c>
      <c r="AE2120" s="18" t="s">
        <v>44</v>
      </c>
    </row>
    <row r="2121" customFormat="false" ht="15" hidden="false" customHeight="true" outlineLevel="0" collapsed="false">
      <c r="A2121" s="12" t="n">
        <v>19327</v>
      </c>
      <c r="B2121" s="13" t="s">
        <v>9127</v>
      </c>
      <c r="C2121" s="16" t="n">
        <v>45763</v>
      </c>
      <c r="D2121" s="13" t="s">
        <v>613</v>
      </c>
      <c r="E2121" s="15" t="s">
        <v>47</v>
      </c>
      <c r="F2121" s="15" t="str">
        <f aca="false">IFERROR(__xludf.dummyfunction("XLOOKUP(AJ2121,IMPORTRANGE(""1XaInW9DU9nz21V0tYIfzFQ0He9kVQ_JF2mCXgZ3hqFA"",""REKAP ALL 2026 - Andika!G:G""),IMPORTRANGE(""1XaInW9DU9nz21V0tYIfzFQ0He9kVQ_JF2mCXgZ3hqFA"",""REKAP ALL 2026 - Andika!F:F""),"""",0)"),"26005755082")</f>
        <v>26005755082</v>
      </c>
      <c r="G2121" s="13" t="s">
        <v>9128</v>
      </c>
      <c r="H2121" s="13" t="s">
        <v>35</v>
      </c>
      <c r="I2121" s="13" t="str">
        <f aca="false">IF(C2121=J2121,"NEW KONTRAK","RE-KONTRAK")</f>
        <v>NEW KONTRAK</v>
      </c>
      <c r="J2121" s="16" t="n">
        <f aca="false" t="array" ref="J2121:J2121">IFERROR(INDEX(AC2121:AE2121,IF(COUNTA(AC2121:AE2121)=0,"",MAX((AC2121:AE2121&lt;&gt;"")*(COLUMN(AC2121:AE2121)-(COLUMN(AC2121)))))-1),"")</f>
        <v>45763</v>
      </c>
      <c r="K2121" s="16" t="n">
        <f aca="false" t="array" ref="K2121:K2121">IFERROR(INDEX(AC2121:AE2121,IF(COUNTA(AC2121:AE2121)=0,"",MAX((AC2121:AE2121&lt;&gt;"")*(COLUMN(AC2121:AE2121)-(COLUMN(AC2121)-1))))-1),"")</f>
        <v>45853</v>
      </c>
      <c r="L2121" s="17" t="str">
        <f aca="false" t="array" ref="L2121:L2121">IFERROR(INDEX(AC2121:AE2121,IF(COUNTA(AC2121:AE2121)=0,"",MAX((AC2121:AE2121&lt;&gt;"")*(COLUMN(AC2121:AE2121)-(COLUMN(AC2121)-2))))-1),"")</f>
        <v>ARCHIVED</v>
      </c>
      <c r="M2121" s="13" t="n">
        <f aca="true">K2121-TODAY()</f>
        <v>-471</v>
      </c>
      <c r="N2121" s="18" t="s">
        <v>615</v>
      </c>
      <c r="O2121" s="13" t="s">
        <v>298</v>
      </c>
      <c r="P2121" s="19" t="n">
        <v>5176101</v>
      </c>
      <c r="Q2121" s="20" t="s">
        <v>9129</v>
      </c>
      <c r="R2121" s="13" t="s">
        <v>232</v>
      </c>
      <c r="S2121" s="16" t="n">
        <v>34382</v>
      </c>
      <c r="T2121" s="28" t="s">
        <v>40</v>
      </c>
      <c r="U2121" s="13" t="s">
        <v>9130</v>
      </c>
      <c r="V2121" s="13" t="s">
        <v>42</v>
      </c>
      <c r="W2121" s="13" t="s">
        <v>54</v>
      </c>
      <c r="X2121" s="21" t="n">
        <v>88235917580</v>
      </c>
      <c r="Y2121" s="22" t="str">
        <f aca="false">O2121</f>
        <v>Maintenance</v>
      </c>
      <c r="Z2121" s="13" t="str">
        <f aca="false">IFERROR(__xludf.dummyfunction("if(BJ2121="""","""",GOOGLETRANSLATE(BJ2121,""auto"",""en""))"),"Maintenance")</f>
        <v>Maintenance</v>
      </c>
      <c r="AA2121" s="23" t="str">
        <f aca="false">IF(C2121="","", CHOOSE(MONTH(C2121),"January","February","March","April","May","June","July","August","September","October","November","December")&amp;" "&amp;DAY(C2121)&amp;MID("thstndrdth",MIN(9,2*RIGHT(DAY(C2121))*(MOD(DAY(C2121)-11,100)&gt;2)+1),2)&amp;","&amp;TEXT(C2121," yyyy"))</f>
        <v>April 16th,2025</v>
      </c>
      <c r="AB2121" s="15" t="str">
        <f aca="true">IF(S2121="","",DATEDIF(S2121,TODAY(),"Y")&amp;" Tahun, "&amp;DATEDIF(S2121,TODAY(),"YM")&amp;" Bulan, "&amp;DATEDIF(S2121,TODAY(),"MD")&amp;" Hari")</f>
        <v>32 Tahun, 8 Bulan, 12 Hari</v>
      </c>
      <c r="AC2121" s="18" t="n">
        <v>45763</v>
      </c>
      <c r="AD2121" s="18" t="n">
        <v>45853</v>
      </c>
      <c r="AE2121" s="18" t="s">
        <v>44</v>
      </c>
    </row>
    <row r="2122" customFormat="false" ht="15" hidden="false" customHeight="true" outlineLevel="0" collapsed="false">
      <c r="A2122" s="12" t="n">
        <v>19322</v>
      </c>
      <c r="B2122" s="13" t="s">
        <v>9131</v>
      </c>
      <c r="C2122" s="16" t="n">
        <v>45766</v>
      </c>
      <c r="D2122" s="13" t="s">
        <v>1338</v>
      </c>
      <c r="E2122" s="15" t="s">
        <v>33</v>
      </c>
      <c r="F2122" s="24" t="s">
        <v>9132</v>
      </c>
      <c r="G2122" s="13" t="s">
        <v>57</v>
      </c>
      <c r="H2122" s="13" t="s">
        <v>3024</v>
      </c>
      <c r="I2122" s="13" t="str">
        <f aca="false">IF(C2122=J2122,"NEW KONTRAK","RE-KONTRAK")</f>
        <v>NEW KONTRAK</v>
      </c>
      <c r="J2122" s="16" t="n">
        <f aca="false" t="array" ref="J2122:J2122">IFERROR(INDEX(AC2122:AE2122,IF(COUNTA(AC2122:AE2122)=0,"",MAX((AC2122:AE2122&lt;&gt;"")*(COLUMN(AC2122:AE2122)-(COLUMN(AC2122)))))-1),"")</f>
        <v>45766</v>
      </c>
      <c r="K2122" s="16" t="n">
        <f aca="false" t="array" ref="K2122:K2122">IFERROR(INDEX(AC2122:AE2122,IF(COUNTA(AC2122:AE2122)=0,"",MAX((AC2122:AE2122&lt;&gt;"")*(COLUMN(AC2122:AE2122)-(COLUMN(AC2122)-1))))-1),"")</f>
        <v>45844</v>
      </c>
      <c r="L2122" s="17" t="str">
        <f aca="false" t="array" ref="L2122:L2122">IFERROR(INDEX(AC2122:AE2122,IF(COUNTA(AC2122:AE2122)=0,"",MAX((AC2122:AE2122&lt;&gt;"")*(COLUMN(AC2122:AE2122)-(COLUMN(AC2122)-2))))-1),"")</f>
        <v>ARCHIVED</v>
      </c>
      <c r="M2122" s="13" t="n">
        <f aca="true">K2122-TODAY()</f>
        <v>-480</v>
      </c>
      <c r="N2122" s="18" t="s">
        <v>615</v>
      </c>
      <c r="O2122" s="95" t="s">
        <v>8892</v>
      </c>
      <c r="P2122" s="19" t="n">
        <v>210000</v>
      </c>
      <c r="Q2122" s="20" t="s">
        <v>9133</v>
      </c>
      <c r="R2122" s="13" t="s">
        <v>232</v>
      </c>
      <c r="S2122" s="16" t="n">
        <v>38023</v>
      </c>
      <c r="T2122" s="28" t="s">
        <v>40</v>
      </c>
      <c r="U2122" s="13" t="s">
        <v>9134</v>
      </c>
      <c r="V2122" s="13" t="s">
        <v>42</v>
      </c>
      <c r="W2122" s="13" t="s">
        <v>43</v>
      </c>
      <c r="X2122" s="30" t="n">
        <v>85777752047</v>
      </c>
      <c r="Y2122" s="22" t="str">
        <f aca="false">O2122</f>
        <v>Mekanik</v>
      </c>
      <c r="Z2122" s="13" t="str">
        <f aca="false">IFERROR(__xludf.dummyfunction("if(BJ2122="""","""",GOOGLETRANSLATE(BJ2122,""auto"",""en""))"),"Mechanic")</f>
        <v>Mechanic</v>
      </c>
      <c r="AA2122" s="23" t="str">
        <f aca="false">IF(C2122="","", CHOOSE(MONTH(C2122),"January","February","March","April","May","June","July","August","September","October","November","December")&amp;" "&amp;DAY(C2122)&amp;MID("thstndrdth",MIN(9,2*RIGHT(DAY(C2122))*(MOD(DAY(C2122)-11,100)&gt;2)+1),2)&amp;","&amp;TEXT(C2122," yyyy"))</f>
        <v>April 19th,2025</v>
      </c>
      <c r="AB2122" s="15" t="str">
        <f aca="true">IF(S2122="","",DATEDIF(S2122,TODAY(),"Y")&amp;" Tahun, "&amp;DATEDIF(S2122,TODAY(),"YM")&amp;" Bulan, "&amp;DATEDIF(S2122,TODAY(),"MD")&amp;" Hari")</f>
        <v>22 Tahun, 8 Bulan, 23 Hari</v>
      </c>
      <c r="AC2122" s="18" t="n">
        <v>45766</v>
      </c>
      <c r="AD2122" s="18" t="n">
        <v>45844</v>
      </c>
      <c r="AE2122" s="18" t="s">
        <v>44</v>
      </c>
    </row>
    <row r="2123" customFormat="false" ht="15" hidden="false" customHeight="true" outlineLevel="0" collapsed="false">
      <c r="A2123" s="12" t="n">
        <v>19324</v>
      </c>
      <c r="B2123" s="13" t="s">
        <v>9135</v>
      </c>
      <c r="C2123" s="16" t="n">
        <v>45766</v>
      </c>
      <c r="D2123" s="13" t="s">
        <v>7948</v>
      </c>
      <c r="E2123" s="15" t="s">
        <v>7949</v>
      </c>
      <c r="F2123" s="15" t="str">
        <f aca="false">IFERROR(__xludf.dummyfunction("XLOOKUP(AJ2123,IMPORTRANGE(""1XaInW9DU9nz21V0tYIfzFQ0He9kVQ_JF2mCXgZ3hqFA"",""REKAP ALL 2026 - Andika!G:G""),IMPORTRANGE(""1XaInW9DU9nz21V0tYIfzFQ0He9kVQ_JF2mCXgZ3hqFA"",""REKAP ALL 2026 - Andika!F:F""),"""",0)"),"25047636003")</f>
        <v>25047636003</v>
      </c>
      <c r="G2123" s="13" t="s">
        <v>57</v>
      </c>
      <c r="H2123" s="13" t="s">
        <v>7955</v>
      </c>
      <c r="I2123" s="13" t="str">
        <f aca="false">IF(C2123=J2123,"NEW KONTRAK","RE-KONTRAK")</f>
        <v>RE-KONTRAK</v>
      </c>
      <c r="J2123" s="16" t="n">
        <f aca="false" t="array" ref="J2123:J2123">IFERROR(INDEX(AC2123:AE2123,IF(COUNTA(AC2123:AE2123)=0,"",MAX((AC2123:AE2123&lt;&gt;"")*(COLUMN(AC2123:AE2123)-(COLUMN(AC2123)))))-1),"")</f>
        <v>45844</v>
      </c>
      <c r="K2123" s="16" t="n">
        <f aca="false" t="array" ref="K2123:K2123">IFERROR(INDEX(AC2123:AE2123,IF(COUNTA(AC2123:AE2123)=0,"",MAX((AC2123:AE2123&lt;&gt;"")*(COLUMN(AC2123:AE2123)-(COLUMN(AC2123)-1))))-1),"")</f>
        <v>45928</v>
      </c>
      <c r="L2123" s="17" t="str">
        <f aca="false" t="array" ref="L2123:L2123">IFERROR(INDEX(AC2123:AE2123,IF(COUNTA(AC2123:AE2123)=0,"",MAX((AC2123:AE2123&lt;&gt;"")*(COLUMN(AC2123:AE2123)-(COLUMN(AC2123)-2))))-1),"")</f>
        <v>ARCHIVED</v>
      </c>
      <c r="M2123" s="13" t="n">
        <f aca="true">K2123-TODAY()</f>
        <v>-396</v>
      </c>
      <c r="N2123" s="18" t="s">
        <v>615</v>
      </c>
      <c r="O2123" s="13" t="s">
        <v>2335</v>
      </c>
      <c r="P2123" s="19" t="n">
        <v>210000</v>
      </c>
      <c r="Q2123" s="20" t="s">
        <v>9136</v>
      </c>
      <c r="R2123" s="13" t="s">
        <v>232</v>
      </c>
      <c r="S2123" s="16" t="n">
        <v>36414</v>
      </c>
      <c r="T2123" s="28" t="s">
        <v>40</v>
      </c>
      <c r="U2123" s="13" t="s">
        <v>9137</v>
      </c>
      <c r="V2123" s="13" t="s">
        <v>42</v>
      </c>
      <c r="W2123" s="13" t="s">
        <v>54</v>
      </c>
      <c r="X2123" s="21" t="n">
        <v>85853924874</v>
      </c>
      <c r="Y2123" s="22" t="str">
        <f aca="false">O2123</f>
        <v>Project Management</v>
      </c>
      <c r="Z2123" s="13" t="str">
        <f aca="false">IFERROR(__xludf.dummyfunction("if(BJ2123="""","""",GOOGLETRANSLATE(BJ2123,""auto"",""en""))"),"Project Management")</f>
        <v>Project Management</v>
      </c>
      <c r="AA2123" s="23" t="str">
        <f aca="false">IF(C2123="","", CHOOSE(MONTH(C2123),"January","February","March","April","May","June","July","August","September","October","November","December")&amp;" "&amp;DAY(C2123)&amp;MID("thstndrdth",MIN(9,2*RIGHT(DAY(C2123))*(MOD(DAY(C2123)-11,100)&gt;2)+1),2)&amp;","&amp;TEXT(C2123," yyyy"))</f>
        <v>April 19th,2025</v>
      </c>
      <c r="AB2123" s="15" t="str">
        <f aca="true">IF(S2123="","",DATEDIF(S2123,TODAY(),"Y")&amp;" Tahun, "&amp;DATEDIF(S2123,TODAY(),"YM")&amp;" Bulan, "&amp;DATEDIF(S2123,TODAY(),"MD")&amp;" Hari")</f>
        <v>27 Tahun, 1 Bulan, 18 Hari</v>
      </c>
      <c r="AC2123" s="18" t="n">
        <v>45844</v>
      </c>
      <c r="AD2123" s="18" t="n">
        <v>45928</v>
      </c>
      <c r="AE2123" s="18" t="s">
        <v>44</v>
      </c>
    </row>
    <row r="2124" customFormat="false" ht="15" hidden="false" customHeight="true" outlineLevel="0" collapsed="false">
      <c r="A2124" s="12" t="n">
        <v>19325</v>
      </c>
      <c r="B2124" s="13" t="s">
        <v>3113</v>
      </c>
      <c r="C2124" s="16" t="n">
        <v>45766</v>
      </c>
      <c r="D2124" s="13" t="s">
        <v>7948</v>
      </c>
      <c r="E2124" s="15" t="s">
        <v>7949</v>
      </c>
      <c r="F2124" s="15" t="str">
        <f aca="false">IFERROR(__xludf.dummyfunction("XLOOKUP(AJ2124,IMPORTRANGE(""1XaInW9DU9nz21V0tYIfzFQ0He9kVQ_JF2mCXgZ3hqFA"",""REKAP ALL 2026 - Andika!G:G""),IMPORTRANGE(""1XaInW9DU9nz21V0tYIfzFQ0He9kVQ_JF2mCXgZ3hqFA"",""REKAP ALL 2026 - Andika!F:F""),"""",0)"),"25047636029")</f>
        <v>25047636029</v>
      </c>
      <c r="G2124" s="13" t="s">
        <v>57</v>
      </c>
      <c r="H2124" s="13" t="s">
        <v>7950</v>
      </c>
      <c r="I2124" s="13" t="str">
        <f aca="false">IF(C2124=J2124,"NEW KONTRAK","RE-KONTRAK")</f>
        <v>RE-KONTRAK</v>
      </c>
      <c r="J2124" s="16" t="n">
        <f aca="false" t="array" ref="J2124:J2124">IFERROR(INDEX(AC2124:AE2124,IF(COUNTA(AC2124:AE2124)=0,"",MAX((AC2124:AE2124&lt;&gt;"")*(COLUMN(AC2124:AE2124)-(COLUMN(AC2124)))))-1),"")</f>
        <v>45844</v>
      </c>
      <c r="K2124" s="16" t="n">
        <f aca="false" t="array" ref="K2124:K2124">IFERROR(INDEX(AC2124:AE2124,IF(COUNTA(AC2124:AE2124)=0,"",MAX((AC2124:AE2124&lt;&gt;"")*(COLUMN(AC2124:AE2124)-(COLUMN(AC2124)-1))))-1),"")</f>
        <v>45928</v>
      </c>
      <c r="L2124" s="17" t="str">
        <f aca="false" t="array" ref="L2124:L2124">IFERROR(INDEX(AC2124:AE2124,IF(COUNTA(AC2124:AE2124)=0,"",MAX((AC2124:AE2124&lt;&gt;"")*(COLUMN(AC2124:AE2124)-(COLUMN(AC2124)-2))))-1),"")</f>
        <v>ARCHIVED</v>
      </c>
      <c r="M2124" s="13" t="n">
        <f aca="true">K2124-TODAY()</f>
        <v>-396</v>
      </c>
      <c r="N2124" s="18" t="s">
        <v>4051</v>
      </c>
      <c r="O2124" s="95" t="s">
        <v>7951</v>
      </c>
      <c r="P2124" s="19" t="n">
        <v>210000</v>
      </c>
      <c r="Q2124" s="20" t="s">
        <v>9138</v>
      </c>
      <c r="R2124" s="13" t="s">
        <v>168</v>
      </c>
      <c r="S2124" s="16" t="n">
        <v>30853</v>
      </c>
      <c r="T2124" s="28" t="s">
        <v>40</v>
      </c>
      <c r="U2124" s="13" t="s">
        <v>9139</v>
      </c>
      <c r="V2124" s="13" t="s">
        <v>42</v>
      </c>
      <c r="W2124" s="13" t="s">
        <v>54</v>
      </c>
      <c r="X2124" s="21" t="n">
        <v>81232690767</v>
      </c>
      <c r="Y2124" s="22" t="str">
        <f aca="false">O2124</f>
        <v>Mekanik Kiln</v>
      </c>
      <c r="Z2124" s="13" t="str">
        <f aca="false">IFERROR(__xludf.dummyfunction("if(BJ2124="""","""",GOOGLETRANSLATE(BJ2124,""auto"",""en""))"),"Kiln Mechanics")</f>
        <v>Kiln Mechanics</v>
      </c>
      <c r="AA2124" s="23" t="str">
        <f aca="false">IF(C2124="","", CHOOSE(MONTH(C2124),"January","February","March","April","May","June","July","August","September","October","November","December")&amp;" "&amp;DAY(C2124)&amp;MID("thstndrdth",MIN(9,2*RIGHT(DAY(C2124))*(MOD(DAY(C2124)-11,100)&gt;2)+1),2)&amp;","&amp;TEXT(C2124," yyyy"))</f>
        <v>April 19th,2025</v>
      </c>
      <c r="AB2124" s="15" t="str">
        <f aca="true">IF(S2124="","",DATEDIF(S2124,TODAY(),"Y")&amp;" Tahun, "&amp;DATEDIF(S2124,TODAY(),"YM")&amp;" Bulan, "&amp;DATEDIF(S2124,TODAY(),"MD")&amp;" Hari")</f>
        <v>42 Tahun, 4 Bulan, 9 Hari</v>
      </c>
      <c r="AC2124" s="18" t="n">
        <v>45844</v>
      </c>
      <c r="AD2124" s="18" t="n">
        <v>45928</v>
      </c>
      <c r="AE2124" s="18" t="s">
        <v>44</v>
      </c>
    </row>
    <row r="2125" customFormat="false" ht="15" hidden="false" customHeight="true" outlineLevel="0" collapsed="false">
      <c r="A2125" s="12" t="n">
        <v>19326</v>
      </c>
      <c r="B2125" s="13" t="s">
        <v>9140</v>
      </c>
      <c r="C2125" s="16" t="n">
        <v>45766</v>
      </c>
      <c r="D2125" s="13" t="s">
        <v>7948</v>
      </c>
      <c r="E2125" s="15" t="s">
        <v>7949</v>
      </c>
      <c r="F2125" s="15" t="str">
        <f aca="false">IFERROR(__xludf.dummyfunction("XLOOKUP(AJ2125,IMPORTRANGE(""1XaInW9DU9nz21V0tYIfzFQ0He9kVQ_JF2mCXgZ3hqFA"",""REKAP ALL 2026 - Andika!G:G""),IMPORTRANGE(""1XaInW9DU9nz21V0tYIfzFQ0He9kVQ_JF2mCXgZ3hqFA"",""REKAP ALL 2026 - Andika!F:F""),"""",0)"),"25047636045")</f>
        <v>25047636045</v>
      </c>
      <c r="G2125" s="13" t="s">
        <v>57</v>
      </c>
      <c r="H2125" s="13" t="s">
        <v>7950</v>
      </c>
      <c r="I2125" s="13" t="str">
        <f aca="false">IF(C2125=J2125,"NEW KONTRAK","RE-KONTRAK")</f>
        <v>RE-KONTRAK</v>
      </c>
      <c r="J2125" s="16" t="n">
        <f aca="false" t="array" ref="J2125:J2125">IFERROR(INDEX(AC2125:AE2125,IF(COUNTA(AC2125:AE2125)=0,"",MAX((AC2125:AE2125&lt;&gt;"")*(COLUMN(AC2125:AE2125)-(COLUMN(AC2125)))))-1),"")</f>
        <v>45844</v>
      </c>
      <c r="K2125" s="16" t="n">
        <f aca="false" t="array" ref="K2125:K2125">IFERROR(INDEX(AC2125:AE2125,IF(COUNTA(AC2125:AE2125)=0,"",MAX((AC2125:AE2125&lt;&gt;"")*(COLUMN(AC2125:AE2125)-(COLUMN(AC2125)-1))))-1),"")</f>
        <v>45928</v>
      </c>
      <c r="L2125" s="17" t="str">
        <f aca="false" t="array" ref="L2125:L2125">IFERROR(INDEX(AC2125:AE2125,IF(COUNTA(AC2125:AE2125)=0,"",MAX((AC2125:AE2125&lt;&gt;"")*(COLUMN(AC2125:AE2125)-(COLUMN(AC2125)-2))))-1),"")</f>
        <v>ARCHIVED</v>
      </c>
      <c r="M2125" s="13" t="n">
        <f aca="true">K2125-TODAY()</f>
        <v>-396</v>
      </c>
      <c r="N2125" s="18" t="s">
        <v>4051</v>
      </c>
      <c r="O2125" s="95" t="s">
        <v>7951</v>
      </c>
      <c r="P2125" s="19" t="n">
        <v>210000</v>
      </c>
      <c r="Q2125" s="20" t="s">
        <v>9141</v>
      </c>
      <c r="R2125" s="13" t="s">
        <v>73</v>
      </c>
      <c r="S2125" s="16" t="n">
        <v>38145</v>
      </c>
      <c r="T2125" s="28" t="s">
        <v>40</v>
      </c>
      <c r="U2125" s="13" t="s">
        <v>9142</v>
      </c>
      <c r="V2125" s="13" t="s">
        <v>42</v>
      </c>
      <c r="W2125" s="13" t="s">
        <v>43</v>
      </c>
      <c r="X2125" s="21" t="n">
        <v>85951469314</v>
      </c>
      <c r="Y2125" s="22" t="str">
        <f aca="false">O2125</f>
        <v>Mekanik Kiln</v>
      </c>
      <c r="Z2125" s="13" t="str">
        <f aca="false">IFERROR(__xludf.dummyfunction("if(BJ2125="""","""",GOOGLETRANSLATE(BJ2125,""auto"",""en""))"),"Kiln Mechanics")</f>
        <v>Kiln Mechanics</v>
      </c>
      <c r="AA2125" s="23" t="str">
        <f aca="false">IF(C2125="","", CHOOSE(MONTH(C2125),"January","February","March","April","May","June","July","August","September","October","November","December")&amp;" "&amp;DAY(C2125)&amp;MID("thstndrdth",MIN(9,2*RIGHT(DAY(C2125))*(MOD(DAY(C2125)-11,100)&gt;2)+1),2)&amp;","&amp;TEXT(C2125," yyyy"))</f>
        <v>April 19th,2025</v>
      </c>
      <c r="AB2125" s="15" t="str">
        <f aca="true">IF(S2125="","",DATEDIF(S2125,TODAY(),"Y")&amp;" Tahun, "&amp;DATEDIF(S2125,TODAY(),"YM")&amp;" Bulan, "&amp;DATEDIF(S2125,TODAY(),"MD")&amp;" Hari")</f>
        <v>22 Tahun, 4 Bulan, 22 Hari</v>
      </c>
      <c r="AC2125" s="18" t="n">
        <v>45844</v>
      </c>
      <c r="AD2125" s="18" t="n">
        <v>45928</v>
      </c>
      <c r="AE2125" s="18" t="s">
        <v>44</v>
      </c>
    </row>
    <row r="2126" customFormat="false" ht="15" hidden="false" customHeight="true" outlineLevel="0" collapsed="false">
      <c r="A2126" s="12" t="n">
        <v>19369</v>
      </c>
      <c r="B2126" s="13" t="s">
        <v>9143</v>
      </c>
      <c r="C2126" s="16" t="n">
        <v>45773</v>
      </c>
      <c r="D2126" s="13" t="s">
        <v>4743</v>
      </c>
      <c r="E2126" s="15" t="s">
        <v>47</v>
      </c>
      <c r="F2126" s="15" t="str">
        <f aca="false">IFERROR(__xludf.dummyfunction("XLOOKUP(AJ2126,IMPORTRANGE(""1XaInW9DU9nz21V0tYIfzFQ0He9kVQ_JF2mCXgZ3hqFA"",""REKAP ALL 2026 - Andika!G:G""),IMPORTRANGE(""1XaInW9DU9nz21V0tYIfzFQ0He9kVQ_JF2mCXgZ3hqFA"",""REKAP ALL 2026 - Andika!F:F""),"""",0)"),"25062578544")</f>
        <v>25062578544</v>
      </c>
      <c r="G2126" s="13" t="s">
        <v>9144</v>
      </c>
      <c r="H2126" s="13" t="s">
        <v>35</v>
      </c>
      <c r="I2126" s="13" t="str">
        <f aca="false">IF(C2126=J2126,"NEW KONTRAK","RE-KONTRAK")</f>
        <v>RE-KONTRAK</v>
      </c>
      <c r="J2126" s="16" t="n">
        <f aca="false" t="array" ref="J2126:J2126">IFERROR(INDEX(AC2126:AE2126,IF(COUNTA(AC2126:AE2126)=0,"",MAX((AC2126:AE2126&lt;&gt;"")*(COLUMN(AC2126:AE2126)-(COLUMN(AC2126)))))-1),"")</f>
        <v>45864</v>
      </c>
      <c r="K2126" s="16" t="n">
        <f aca="false" t="array" ref="K2126:K2126">IFERROR(INDEX(AC2126:AE2126,IF(COUNTA(AC2126:AE2126)=0,"",MAX((AC2126:AE2126&lt;&gt;"")*(COLUMN(AC2126:AE2126)-(COLUMN(AC2126)-1))))-1),"")</f>
        <v>46228</v>
      </c>
      <c r="L2126" s="17" t="str">
        <f aca="false" t="array" ref="L2126:L2126">IFERROR(INDEX(AC2126:AE2126,IF(COUNTA(AC2126:AE2126)=0,"",MAX((AC2126:AE2126&lt;&gt;"")*(COLUMN(AC2126:AE2126)-(COLUMN(AC2126)-2))))-1),"")</f>
        <v>KEMBALI</v>
      </c>
      <c r="M2126" s="13" t="n">
        <f aca="true">K2126-TODAY()</f>
        <v>-96</v>
      </c>
      <c r="N2126" s="18" t="s">
        <v>728</v>
      </c>
      <c r="O2126" s="13" t="s">
        <v>9145</v>
      </c>
      <c r="P2126" s="19" t="n">
        <v>4368591</v>
      </c>
      <c r="Q2126" s="20" t="s">
        <v>9146</v>
      </c>
      <c r="R2126" s="13" t="s">
        <v>52</v>
      </c>
      <c r="S2126" s="16" t="n">
        <v>36310</v>
      </c>
      <c r="T2126" s="13" t="s">
        <v>108</v>
      </c>
      <c r="U2126" s="13" t="s">
        <v>9147</v>
      </c>
      <c r="V2126" s="13" t="s">
        <v>42</v>
      </c>
      <c r="W2126" s="13" t="s">
        <v>43</v>
      </c>
      <c r="X2126" s="21" t="n">
        <v>81249775012</v>
      </c>
      <c r="Y2126" s="22" t="str">
        <f aca="false">O2126</f>
        <v>Staff Sales Counter</v>
      </c>
      <c r="Z2126" s="13" t="str">
        <f aca="false">IFERROR(__xludf.dummyfunction("if(BJ2126="""","""",GOOGLETRANSLATE(BJ2126,""auto"",""en""))"),"Staff Sales Counter")</f>
        <v>Staff Sales Counter</v>
      </c>
      <c r="AA2126" s="23" t="str">
        <f aca="false">IF(C2126="","", CHOOSE(MONTH(C2126),"January","February","March","April","May","June","July","August","September","October","November","December")&amp;" "&amp;DAY(C2126)&amp;MID("thstndrdth",MIN(9,2*RIGHT(DAY(C2126))*(MOD(DAY(C2126)-11,100)&gt;2)+1),2)&amp;","&amp;TEXT(C2126," yyyy"))</f>
        <v>April 26th,2025</v>
      </c>
      <c r="AB2126" s="15" t="str">
        <f aca="true">IF(S2126="","",DATEDIF(S2126,TODAY(),"Y")&amp;" Tahun, "&amp;DATEDIF(S2126,TODAY(),"YM")&amp;" Bulan, "&amp;DATEDIF(S2126,TODAY(),"MD")&amp;" Hari")</f>
        <v>27 Tahun, 4 Bulan, 29 Hari</v>
      </c>
      <c r="AC2126" s="18" t="n">
        <v>45864</v>
      </c>
      <c r="AD2126" s="18" t="n">
        <v>46228</v>
      </c>
      <c r="AE2126" s="13" t="s">
        <v>397</v>
      </c>
    </row>
    <row r="2127" customFormat="false" ht="15" hidden="false" customHeight="true" outlineLevel="0" collapsed="false">
      <c r="A2127" s="12" t="n">
        <v>19382</v>
      </c>
      <c r="B2127" s="13" t="s">
        <v>9148</v>
      </c>
      <c r="C2127" s="16" t="n">
        <v>45770</v>
      </c>
      <c r="D2127" s="13" t="s">
        <v>4610</v>
      </c>
      <c r="E2127" s="15" t="s">
        <v>47</v>
      </c>
      <c r="F2127" s="15" t="str">
        <f aca="false">IFERROR(__xludf.dummyfunction("XLOOKUP(AJ2127,IMPORTRANGE(""1XaInW9DU9nz21V0tYIfzFQ0He9kVQ_JF2mCXgZ3hqFA"",""REKAP ALL 2026 - Andika!G:G""),IMPORTRANGE(""1XaInW9DU9nz21V0tYIfzFQ0He9kVQ_JF2mCXgZ3hqFA"",""REKAP ALL 2026 - Andika!F:F""),"""",0)"),"25062537631")</f>
        <v>25062537631</v>
      </c>
      <c r="G2127" s="13" t="s">
        <v>57</v>
      </c>
      <c r="H2127" s="13" t="s">
        <v>35</v>
      </c>
      <c r="I2127" s="13" t="str">
        <f aca="false">IF(C2127=J2127,"NEW KONTRAK","RE-KONTRAK")</f>
        <v>NEW KONTRAK</v>
      </c>
      <c r="J2127" s="16" t="n">
        <f aca="false" t="array" ref="J2127:J2127">IFERROR(INDEX(AC2127:AE2127,IF(COUNTA(AC2127:AE2127)=0,"",MAX((AC2127:AE2127&lt;&gt;"")*(COLUMN(AC2127:AE2127)-(COLUMN(AC2127)))))-1),"")</f>
        <v>45770</v>
      </c>
      <c r="K2127" s="16" t="n">
        <f aca="false" t="array" ref="K2127:K2127">IFERROR(INDEX(AC2127:AE2127,IF(COUNTA(AC2127:AE2127)=0,"",MAX((AC2127:AE2127&lt;&gt;"")*(COLUMN(AC2127:AE2127)-(COLUMN(AC2127)-1))))-1),"")</f>
        <v>45860</v>
      </c>
      <c r="L2127" s="17" t="str">
        <f aca="false" t="array" ref="L2127:L2127">IFERROR(INDEX(AC2127:AE2127,IF(COUNTA(AC2127:AE2127)=0,"",MAX((AC2127:AE2127&lt;&gt;"")*(COLUMN(AC2127:AE2127)-(COLUMN(AC2127)-2))))-1),"")</f>
        <v>ARCHIVED</v>
      </c>
      <c r="M2127" s="13" t="n">
        <f aca="true">K2127-TODAY()</f>
        <v>-464</v>
      </c>
      <c r="N2127" s="18" t="s">
        <v>36</v>
      </c>
      <c r="O2127" s="13" t="s">
        <v>4280</v>
      </c>
      <c r="P2127" s="27" t="n">
        <v>120000</v>
      </c>
      <c r="Q2127" s="20" t="s">
        <v>9149</v>
      </c>
      <c r="R2127" s="13" t="s">
        <v>168</v>
      </c>
      <c r="S2127" s="16" t="n">
        <v>35188</v>
      </c>
      <c r="T2127" s="28" t="s">
        <v>40</v>
      </c>
      <c r="U2127" s="13" t="s">
        <v>9150</v>
      </c>
      <c r="V2127" s="13" t="s">
        <v>42</v>
      </c>
      <c r="W2127" s="13" t="s">
        <v>43</v>
      </c>
      <c r="X2127" s="21" t="n">
        <v>85732604178</v>
      </c>
      <c r="Y2127" s="22" t="str">
        <f aca="false">O2127</f>
        <v>Helper Cutting</v>
      </c>
      <c r="Z2127" s="13" t="str">
        <f aca="false">IFERROR(__xludf.dummyfunction("if(BJ2127="""","""",GOOGLETRANSLATE(BJ2127,""auto"",""en""))"),"Helper Cutting")</f>
        <v>Helper Cutting</v>
      </c>
      <c r="AA2127" s="23" t="str">
        <f aca="false">IF(C2127="","", CHOOSE(MONTH(C2127),"January","February","March","April","May","June","July","August","September","October","November","December")&amp;" "&amp;DAY(C2127)&amp;MID("thstndrdth",MIN(9,2*RIGHT(DAY(C2127))*(MOD(DAY(C2127)-11,100)&gt;2)+1),2)&amp;","&amp;TEXT(C2127," yyyy"))</f>
        <v>April 23rd,2025</v>
      </c>
      <c r="AB2127" s="15" t="str">
        <f aca="true">IF(S2127="","",DATEDIF(S2127,TODAY(),"Y")&amp;" Tahun, "&amp;DATEDIF(S2127,TODAY(),"YM")&amp;" Bulan, "&amp;DATEDIF(S2127,TODAY(),"MD")&amp;" Hari")</f>
        <v>30 Tahun, 5 Bulan, 26 Hari</v>
      </c>
      <c r="AC2127" s="18" t="n">
        <v>45770</v>
      </c>
      <c r="AD2127" s="18" t="n">
        <v>45860</v>
      </c>
      <c r="AE2127" s="18" t="s">
        <v>44</v>
      </c>
    </row>
    <row r="2128" customFormat="false" ht="15" hidden="false" customHeight="true" outlineLevel="0" collapsed="false">
      <c r="A2128" s="12" t="n">
        <v>19387</v>
      </c>
      <c r="B2128" s="13" t="s">
        <v>9151</v>
      </c>
      <c r="C2128" s="16" t="n">
        <v>45775</v>
      </c>
      <c r="D2128" s="13" t="s">
        <v>5726</v>
      </c>
      <c r="E2128" s="15" t="s">
        <v>47</v>
      </c>
      <c r="F2128" s="15" t="str">
        <f aca="false">IFERROR(__xludf.dummyfunction("XLOOKUP(AJ2128,IMPORTRANGE(""1XaInW9DU9nz21V0tYIfzFQ0He9kVQ_JF2mCXgZ3hqFA"",""REKAP ALL 2026 - Andika!G:G""),IMPORTRANGE(""1XaInW9DU9nz21V0tYIfzFQ0He9kVQ_JF2mCXgZ3hqFA"",""REKAP ALL 2026 - Andika!F:F""),"""",0)"),"25062534414")</f>
        <v>25062534414</v>
      </c>
      <c r="G2128" s="13" t="s">
        <v>9152</v>
      </c>
      <c r="H2128" s="13" t="s">
        <v>35</v>
      </c>
      <c r="I2128" s="13" t="str">
        <f aca="false">IF(C2128=J2128,"NEW KONTRAK","RE-KONTRAK")</f>
        <v>RE-KONTRAK</v>
      </c>
      <c r="J2128" s="16" t="n">
        <f aca="false" t="array" ref="J2128:J2128">IFERROR(INDEX(AC2128:AE2128,IF(COUNTA(AC2128:AE2128)=0,"",MAX((AC2128:AE2128&lt;&gt;"")*(COLUMN(AC2128:AE2128)-(COLUMN(AC2128)))))-1),"")</f>
        <v>45866</v>
      </c>
      <c r="K2128" s="16" t="n">
        <f aca="false" t="array" ref="K2128:K2128">IFERROR(INDEX(AC2128:AE2128,IF(COUNTA(AC2128:AE2128)=0,"",MAX((AC2128:AE2128&lt;&gt;"")*(COLUMN(AC2128:AE2128)-(COLUMN(AC2128)-1))))-1),"")</f>
        <v>45957</v>
      </c>
      <c r="L2128" s="17" t="str">
        <f aca="false" t="array" ref="L2128:L2128">IFERROR(INDEX(AC2128:AE2128,IF(COUNTA(AC2128:AE2128)=0,"",MAX((AC2128:AE2128&lt;&gt;"")*(COLUMN(AC2128:AE2128)-(COLUMN(AC2128)-2))))-1),"")</f>
        <v>ARCHIVED</v>
      </c>
      <c r="M2128" s="13" t="n">
        <f aca="true">K2128-TODAY()</f>
        <v>-367</v>
      </c>
      <c r="N2128" s="18" t="s">
        <v>615</v>
      </c>
      <c r="O2128" s="13" t="s">
        <v>9153</v>
      </c>
      <c r="P2128" s="19" t="n">
        <v>5176101</v>
      </c>
      <c r="Q2128" s="20" t="s">
        <v>9154</v>
      </c>
      <c r="R2128" s="13" t="s">
        <v>232</v>
      </c>
      <c r="S2128" s="16" t="n">
        <v>33693</v>
      </c>
      <c r="T2128" s="13" t="s">
        <v>40</v>
      </c>
      <c r="U2128" s="13" t="s">
        <v>9155</v>
      </c>
      <c r="V2128" s="13" t="s">
        <v>42</v>
      </c>
      <c r="W2128" s="13" t="s">
        <v>54</v>
      </c>
      <c r="X2128" s="21" t="n">
        <v>85730472439</v>
      </c>
      <c r="Y2128" s="22" t="str">
        <f aca="false">O2128</f>
        <v>Admin Logistik</v>
      </c>
      <c r="Z2128" s="13" t="str">
        <f aca="false">IFERROR(__xludf.dummyfunction("if(BJ2128="""","""",GOOGLETRANSLATE(BJ2128,""auto"",""en""))"),"Logistics Admin")</f>
        <v>Logistics Admin</v>
      </c>
      <c r="AA2128" s="23" t="str">
        <f aca="false">IF(C2128="","", CHOOSE(MONTH(C2128),"January","February","March","April","May","June","July","August","September","October","November","December")&amp;" "&amp;DAY(C2128)&amp;MID("thstndrdth",MIN(9,2*RIGHT(DAY(C2128))*(MOD(DAY(C2128)-11,100)&gt;2)+1),2)&amp;","&amp;TEXT(C2128," yyyy"))</f>
        <v>April 28th,2025</v>
      </c>
      <c r="AB2128" s="15" t="str">
        <f aca="true">IF(S2128="","",DATEDIF(S2128,TODAY(),"Y")&amp;" Tahun, "&amp;DATEDIF(S2128,TODAY(),"YM")&amp;" Bulan, "&amp;DATEDIF(S2128,TODAY(),"MD")&amp;" Hari")</f>
        <v>34 Tahun, 6 Bulan, 29 Hari</v>
      </c>
      <c r="AC2128" s="18" t="n">
        <v>45866</v>
      </c>
      <c r="AD2128" s="18" t="n">
        <v>45957</v>
      </c>
      <c r="AE2128" s="18" t="s">
        <v>44</v>
      </c>
    </row>
    <row r="2129" customFormat="false" ht="15" hidden="false" customHeight="true" outlineLevel="0" collapsed="false">
      <c r="A2129" s="12" t="n">
        <v>19383</v>
      </c>
      <c r="B2129" s="13" t="s">
        <v>9156</v>
      </c>
      <c r="C2129" s="16" t="n">
        <v>45770</v>
      </c>
      <c r="D2129" s="13" t="s">
        <v>4252</v>
      </c>
      <c r="E2129" s="15" t="s">
        <v>33</v>
      </c>
      <c r="F2129" s="24" t="s">
        <v>9157</v>
      </c>
      <c r="G2129" s="13" t="s">
        <v>57</v>
      </c>
      <c r="H2129" s="13" t="s">
        <v>35</v>
      </c>
      <c r="I2129" s="13" t="str">
        <f aca="false">IF(C2129=J2129,"NEW KONTRAK","RE-KONTRAK")</f>
        <v>RE-KONTRAK</v>
      </c>
      <c r="J2129" s="16" t="n">
        <f aca="false" t="array" ref="J2129:J2129">IFERROR(INDEX(AC2129:AE2129,IF(COUNTA(AC2129:AE2129)=0,"",MAX((AC2129:AE2129&lt;&gt;"")*(COLUMN(AC2129:AE2129)-(COLUMN(AC2129)))))-1),"")</f>
        <v>45861</v>
      </c>
      <c r="K2129" s="16" t="n">
        <f aca="false" t="array" ref="K2129:K2129">IFERROR(INDEX(AC2129:AE2129,IF(COUNTA(AC2129:AE2129)=0,"",MAX((AC2129:AE2129&lt;&gt;"")*(COLUMN(AC2129:AE2129)-(COLUMN(AC2129)-1))))-1),"")</f>
        <v>45952</v>
      </c>
      <c r="L2129" s="17" t="str">
        <f aca="false" t="array" ref="L2129:L2129">IFERROR(INDEX(AC2129:AE2129,IF(COUNTA(AC2129:AE2129)=0,"",MAX((AC2129:AE2129&lt;&gt;"")*(COLUMN(AC2129:AE2129)-(COLUMN(AC2129)-2))))-1),"")</f>
        <v>ARCHIVED</v>
      </c>
      <c r="M2129" s="13" t="n">
        <f aca="true">K2129-TODAY()</f>
        <v>-372</v>
      </c>
      <c r="N2129" s="18" t="s">
        <v>36</v>
      </c>
      <c r="O2129" s="13" t="s">
        <v>4280</v>
      </c>
      <c r="P2129" s="27" t="n">
        <v>120000</v>
      </c>
      <c r="Q2129" s="20" t="s">
        <v>9158</v>
      </c>
      <c r="R2129" s="13" t="s">
        <v>78</v>
      </c>
      <c r="S2129" s="16" t="n">
        <v>37785</v>
      </c>
      <c r="T2129" s="28" t="s">
        <v>40</v>
      </c>
      <c r="U2129" s="13" t="s">
        <v>9159</v>
      </c>
      <c r="V2129" s="13" t="s">
        <v>42</v>
      </c>
      <c r="W2129" s="13" t="s">
        <v>43</v>
      </c>
      <c r="X2129" s="30" t="n">
        <v>82116719022</v>
      </c>
      <c r="Y2129" s="22" t="str">
        <f aca="false">O2129</f>
        <v>Helper Cutting</v>
      </c>
      <c r="Z2129" s="13" t="str">
        <f aca="false">IFERROR(__xludf.dummyfunction("if(BJ2129="""","""",GOOGLETRANSLATE(BJ2129,""auto"",""en""))"),"Helper Cutting")</f>
        <v>Helper Cutting</v>
      </c>
      <c r="AA2129" s="23" t="str">
        <f aca="false">IF(C2129="","", CHOOSE(MONTH(C2129),"January","February","March","April","May","June","July","August","September","October","November","December")&amp;" "&amp;DAY(C2129)&amp;MID("thstndrdth",MIN(9,2*RIGHT(DAY(C2129))*(MOD(DAY(C2129)-11,100)&gt;2)+1),2)&amp;","&amp;TEXT(C2129," yyyy"))</f>
        <v>April 23rd,2025</v>
      </c>
      <c r="AB2129" s="15" t="str">
        <f aca="true">IF(S2129="","",DATEDIF(S2129,TODAY(),"Y")&amp;" Tahun, "&amp;DATEDIF(S2129,TODAY(),"YM")&amp;" Bulan, "&amp;DATEDIF(S2129,TODAY(),"MD")&amp;" Hari")</f>
        <v>23 Tahun, 4 Bulan, 16 Hari</v>
      </c>
      <c r="AC2129" s="18" t="n">
        <v>45861</v>
      </c>
      <c r="AD2129" s="18" t="n">
        <v>45952</v>
      </c>
      <c r="AE2129" s="18" t="s">
        <v>44</v>
      </c>
    </row>
    <row r="2130" customFormat="false" ht="15" hidden="false" customHeight="true" outlineLevel="0" collapsed="false">
      <c r="A2130" s="12" t="n">
        <v>19388</v>
      </c>
      <c r="B2130" s="13" t="s">
        <v>9160</v>
      </c>
      <c r="C2130" s="16" t="n">
        <v>45775</v>
      </c>
      <c r="D2130" s="13" t="s">
        <v>5726</v>
      </c>
      <c r="E2130" s="15" t="s">
        <v>47</v>
      </c>
      <c r="F2130" s="15" t="str">
        <f aca="false">IFERROR(__xludf.dummyfunction("XLOOKUP(AJ2130,IMPORTRANGE(""1XaInW9DU9nz21V0tYIfzFQ0He9kVQ_JF2mCXgZ3hqFA"",""REKAP ALL 2026 - Andika!G:G""),IMPORTRANGE(""1XaInW9DU9nz21V0tYIfzFQ0He9kVQ_JF2mCXgZ3hqFA"",""REKAP ALL 2026 - Andika!F:F""),"""",0)"),"25062534398")</f>
        <v>25062534398</v>
      </c>
      <c r="G2130" s="13" t="s">
        <v>9161</v>
      </c>
      <c r="H2130" s="13" t="s">
        <v>35</v>
      </c>
      <c r="I2130" s="13" t="str">
        <f aca="false">IF(C2130=J2130,"NEW KONTRAK","RE-KONTRAK")</f>
        <v>RE-KONTRAK</v>
      </c>
      <c r="J2130" s="16" t="n">
        <f aca="false" t="array" ref="J2130:J2130">IFERROR(INDEX(AC2130:AE2130,IF(COUNTA(AC2130:AE2130)=0,"",MAX((AC2130:AE2130&lt;&gt;"")*(COLUMN(AC2130:AE2130)-(COLUMN(AC2130)))))-1),"")</f>
        <v>45866</v>
      </c>
      <c r="K2130" s="16" t="n">
        <f aca="false" t="array" ref="K2130:K2130">IFERROR(INDEX(AC2130:AE2130,IF(COUNTA(AC2130:AE2130)=0,"",MAX((AC2130:AE2130&lt;&gt;"")*(COLUMN(AC2130:AE2130)-(COLUMN(AC2130)-1))))-1),"")</f>
        <v>45957</v>
      </c>
      <c r="L2130" s="17" t="str">
        <f aca="false" t="array" ref="L2130:L2130">IFERROR(INDEX(AC2130:AE2130,IF(COUNTA(AC2130:AE2130)=0,"",MAX((AC2130:AE2130&lt;&gt;"")*(COLUMN(AC2130:AE2130)-(COLUMN(AC2130)-2))))-1),"")</f>
        <v>ARCHIVED</v>
      </c>
      <c r="M2130" s="13" t="n">
        <f aca="true">K2130-TODAY()</f>
        <v>-367</v>
      </c>
      <c r="N2130" s="18" t="s">
        <v>615</v>
      </c>
      <c r="O2130" s="13" t="s">
        <v>9153</v>
      </c>
      <c r="P2130" s="19" t="n">
        <v>5176101</v>
      </c>
      <c r="Q2130" s="20" t="s">
        <v>9162</v>
      </c>
      <c r="R2130" s="13" t="s">
        <v>2001</v>
      </c>
      <c r="S2130" s="16" t="n">
        <v>36515</v>
      </c>
      <c r="T2130" s="13" t="s">
        <v>108</v>
      </c>
      <c r="U2130" s="13" t="s">
        <v>9163</v>
      </c>
      <c r="V2130" s="13" t="s">
        <v>42</v>
      </c>
      <c r="W2130" s="13" t="s">
        <v>43</v>
      </c>
      <c r="X2130" s="21" t="n">
        <v>85225051972</v>
      </c>
      <c r="Y2130" s="22" t="str">
        <f aca="false">O2130</f>
        <v>Admin Logistik</v>
      </c>
      <c r="Z2130" s="13" t="str">
        <f aca="false">IFERROR(__xludf.dummyfunction("if(BJ2130="""","""",GOOGLETRANSLATE(BJ2130,""auto"",""en""))"),"Logistics Admin")</f>
        <v>Logistics Admin</v>
      </c>
      <c r="AA2130" s="23" t="str">
        <f aca="false">IF(C2130="","", CHOOSE(MONTH(C2130),"January","February","March","April","May","June","July","August","September","October","November","December")&amp;" "&amp;DAY(C2130)&amp;MID("thstndrdth",MIN(9,2*RIGHT(DAY(C2130))*(MOD(DAY(C2130)-11,100)&gt;2)+1),2)&amp;","&amp;TEXT(C2130," yyyy"))</f>
        <v>April 28th,2025</v>
      </c>
      <c r="AB2130" s="15" t="str">
        <f aca="true">IF(S2130="","",DATEDIF(S2130,TODAY(),"Y")&amp;" Tahun, "&amp;DATEDIF(S2130,TODAY(),"YM")&amp;" Bulan, "&amp;DATEDIF(S2130,TODAY(),"MD")&amp;" Hari")</f>
        <v>26 Tahun, 10 Bulan, 8 Hari</v>
      </c>
      <c r="AC2130" s="18" t="n">
        <v>45866</v>
      </c>
      <c r="AD2130" s="18" t="n">
        <v>45957</v>
      </c>
      <c r="AE2130" s="18" t="s">
        <v>44</v>
      </c>
    </row>
    <row r="2131" customFormat="false" ht="15" hidden="false" customHeight="true" outlineLevel="0" collapsed="false">
      <c r="A2131" s="12" t="n">
        <v>19432</v>
      </c>
      <c r="B2131" s="13" t="s">
        <v>9164</v>
      </c>
      <c r="C2131" s="16" t="n">
        <v>45777</v>
      </c>
      <c r="D2131" s="13" t="s">
        <v>144</v>
      </c>
      <c r="E2131" s="15" t="s">
        <v>47</v>
      </c>
      <c r="F2131" s="15" t="str">
        <f aca="false">IFERROR(__xludf.dummyfunction("XLOOKUP(AJ2131,IMPORTRANGE(""1XaInW9DU9nz21V0tYIfzFQ0He9kVQ_JF2mCXgZ3hqFA"",""REKAP ALL 2026 - Andika!G:G""),IMPORTRANGE(""1XaInW9DU9nz21V0tYIfzFQ0He9kVQ_JF2mCXgZ3hqFA"",""REKAP ALL 2026 - Andika!F:F""),"""",0)"),"25062537227")</f>
        <v>25062537227</v>
      </c>
      <c r="G2131" s="13" t="s">
        <v>9165</v>
      </c>
      <c r="H2131" s="13" t="s">
        <v>35</v>
      </c>
      <c r="I2131" s="13" t="str">
        <f aca="false">IF(C2131=J2131,"NEW KONTRAK","RE-KONTRAK")</f>
        <v>NEW KONTRAK</v>
      </c>
      <c r="J2131" s="16" t="n">
        <f aca="false" t="array" ref="J2131:J2131">IFERROR(INDEX(AC2131:AE2131,IF(COUNTA(AC2131:AE2131)=0,"",MAX((AC2131:AE2131&lt;&gt;"")*(COLUMN(AC2131:AE2131)-(COLUMN(AC2131)))))-1),"")</f>
        <v>45777</v>
      </c>
      <c r="K2131" s="16" t="n">
        <f aca="false" t="array" ref="K2131:K2131">IFERROR(INDEX(AC2131:AE2131,IF(COUNTA(AC2131:AE2131)=0,"",MAX((AC2131:AE2131&lt;&gt;"")*(COLUMN(AC2131:AE2131)-(COLUMN(AC2131)-1))))-1),"")</f>
        <v>46022</v>
      </c>
      <c r="L2131" s="17" t="str">
        <f aca="false" t="array" ref="L2131:L2131">IFERROR(INDEX(AC2131:AE2131,IF(COUNTA(AC2131:AE2131)=0,"",MAX((AC2131:AE2131&lt;&gt;"")*(COLUMN(AC2131:AE2131)-(COLUMN(AC2131)-2))))-1),"")</f>
        <v>ARCHIVED</v>
      </c>
      <c r="M2131" s="13" t="n">
        <f aca="true">K2131-TODAY()</f>
        <v>-302</v>
      </c>
      <c r="N2131" s="18" t="s">
        <v>36</v>
      </c>
      <c r="O2131" s="13" t="s">
        <v>3599</v>
      </c>
      <c r="P2131" s="19" t="n">
        <v>5195401</v>
      </c>
      <c r="Q2131" s="20" t="s">
        <v>9166</v>
      </c>
      <c r="R2131" s="13" t="s">
        <v>52</v>
      </c>
      <c r="S2131" s="16" t="n">
        <v>34141</v>
      </c>
      <c r="T2131" s="28" t="s">
        <v>40</v>
      </c>
      <c r="U2131" s="13" t="s">
        <v>9167</v>
      </c>
      <c r="V2131" s="13" t="s">
        <v>42</v>
      </c>
      <c r="W2131" s="13" t="s">
        <v>43</v>
      </c>
      <c r="X2131" s="21" t="n">
        <v>89628787360</v>
      </c>
      <c r="Y2131" s="22" t="str">
        <f aca="false">O2131</f>
        <v>Admin Gudang</v>
      </c>
      <c r="Z2131" s="13" t="str">
        <f aca="false">IFERROR(__xludf.dummyfunction("if(BJ2131="""","""",GOOGLETRANSLATE(BJ2131,""auto"",""en""))"),"Warehouse Admin")</f>
        <v>Warehouse Admin</v>
      </c>
      <c r="AA2131" s="23" t="str">
        <f aca="false">IF(C2131="","", CHOOSE(MONTH(C2131),"January","February","March","April","May","June","July","August","September","October","November","December")&amp;" "&amp;DAY(C2131)&amp;MID("thstndrdth",MIN(9,2*RIGHT(DAY(C2131))*(MOD(DAY(C2131)-11,100)&gt;2)+1),2)&amp;","&amp;TEXT(C2131," yyyy"))</f>
        <v>April 30th,2025</v>
      </c>
      <c r="AB2131" s="15" t="str">
        <f aca="true">IF(S2131="","",DATEDIF(S2131,TODAY(),"Y")&amp;" Tahun, "&amp;DATEDIF(S2131,TODAY(),"YM")&amp;" Bulan, "&amp;DATEDIF(S2131,TODAY(),"MD")&amp;" Hari")</f>
        <v>33 Tahun, 4 Bulan, 8 Hari</v>
      </c>
      <c r="AC2131" s="18" t="n">
        <v>45777</v>
      </c>
      <c r="AD2131" s="18" t="n">
        <v>46022</v>
      </c>
      <c r="AE2131" s="18" t="s">
        <v>44</v>
      </c>
    </row>
    <row r="2132" customFormat="false" ht="15" hidden="false" customHeight="true" outlineLevel="0" collapsed="false">
      <c r="A2132" s="12" t="n">
        <v>19396</v>
      </c>
      <c r="B2132" s="13" t="s">
        <v>9168</v>
      </c>
      <c r="C2132" s="16" t="n">
        <v>45772</v>
      </c>
      <c r="D2132" s="13" t="s">
        <v>4252</v>
      </c>
      <c r="E2132" s="15" t="s">
        <v>33</v>
      </c>
      <c r="F2132" s="24" t="s">
        <v>9169</v>
      </c>
      <c r="G2132" s="13" t="s">
        <v>57</v>
      </c>
      <c r="H2132" s="13" t="s">
        <v>35</v>
      </c>
      <c r="I2132" s="13" t="str">
        <f aca="false">IF(C2132=J2132,"NEW KONTRAK","RE-KONTRAK")</f>
        <v>RE-KONTRAK</v>
      </c>
      <c r="J2132" s="16" t="n">
        <f aca="false" t="array" ref="J2132:J2132">IFERROR(INDEX(AC2132:AE2132,IF(COUNTA(AC2132:AE2132)=0,"",MAX((AC2132:AE2132&lt;&gt;"")*(COLUMN(AC2132:AE2132)-(COLUMN(AC2132)))))-1),"")</f>
        <v>45863</v>
      </c>
      <c r="K2132" s="16" t="n">
        <f aca="false" t="array" ref="K2132:K2132">IFERROR(INDEX(AC2132:AE2132,IF(COUNTA(AC2132:AE2132)=0,"",MAX((AC2132:AE2132&lt;&gt;"")*(COLUMN(AC2132:AE2132)-(COLUMN(AC2132)-1))))-1),"")</f>
        <v>45954</v>
      </c>
      <c r="L2132" s="17" t="str">
        <f aca="false" t="array" ref="L2132:L2132">IFERROR(INDEX(AC2132:AE2132,IF(COUNTA(AC2132:AE2132)=0,"",MAX((AC2132:AE2132&lt;&gt;"")*(COLUMN(AC2132:AE2132)-(COLUMN(AC2132)-2))))-1),"")</f>
        <v>ARCHIVED</v>
      </c>
      <c r="M2132" s="13" t="n">
        <f aca="true">K2132-TODAY()</f>
        <v>-370</v>
      </c>
      <c r="N2132" s="18" t="s">
        <v>36</v>
      </c>
      <c r="O2132" s="13" t="s">
        <v>4280</v>
      </c>
      <c r="P2132" s="27" t="n">
        <v>120000</v>
      </c>
      <c r="Q2132" s="20" t="s">
        <v>9170</v>
      </c>
      <c r="R2132" s="13" t="s">
        <v>148</v>
      </c>
      <c r="S2132" s="16" t="n">
        <v>37795</v>
      </c>
      <c r="T2132" s="28" t="s">
        <v>40</v>
      </c>
      <c r="U2132" s="13" t="s">
        <v>9171</v>
      </c>
      <c r="V2132" s="13" t="s">
        <v>42</v>
      </c>
      <c r="W2132" s="13" t="s">
        <v>43</v>
      </c>
      <c r="X2132" s="30" t="n">
        <v>85713186999</v>
      </c>
      <c r="Y2132" s="22" t="str">
        <f aca="false">O2132</f>
        <v>Helper Cutting</v>
      </c>
      <c r="Z2132" s="13" t="str">
        <f aca="false">IFERROR(__xludf.dummyfunction("if(BJ2132="""","""",GOOGLETRANSLATE(BJ2132,""auto"",""en""))"),"Helper Cutting")</f>
        <v>Helper Cutting</v>
      </c>
      <c r="AA2132" s="23" t="str">
        <f aca="false">IF(C2132="","", CHOOSE(MONTH(C2132),"January","February","March","April","May","June","July","August","September","October","November","December")&amp;" "&amp;DAY(C2132)&amp;MID("thstndrdth",MIN(9,2*RIGHT(DAY(C2132))*(MOD(DAY(C2132)-11,100)&gt;2)+1),2)&amp;","&amp;TEXT(C2132," yyyy"))</f>
        <v>April 25th,2025</v>
      </c>
      <c r="AB2132" s="15" t="str">
        <f aca="true">IF(S2132="","",DATEDIF(S2132,TODAY(),"Y")&amp;" Tahun, "&amp;DATEDIF(S2132,TODAY(),"YM")&amp;" Bulan, "&amp;DATEDIF(S2132,TODAY(),"MD")&amp;" Hari")</f>
        <v>23 Tahun, 4 Bulan, 6 Hari</v>
      </c>
      <c r="AC2132" s="18" t="n">
        <v>45863</v>
      </c>
      <c r="AD2132" s="18" t="n">
        <v>45954</v>
      </c>
      <c r="AE2132" s="18" t="s">
        <v>44</v>
      </c>
    </row>
    <row r="2133" customFormat="false" ht="15" hidden="false" customHeight="true" outlineLevel="0" collapsed="false">
      <c r="A2133" s="12" t="n">
        <v>19398</v>
      </c>
      <c r="B2133" s="13" t="s">
        <v>9172</v>
      </c>
      <c r="C2133" s="16" t="n">
        <v>45772</v>
      </c>
      <c r="D2133" s="13" t="s">
        <v>4252</v>
      </c>
      <c r="E2133" s="15" t="s">
        <v>33</v>
      </c>
      <c r="F2133" s="24" t="s">
        <v>9173</v>
      </c>
      <c r="G2133" s="13" t="s">
        <v>57</v>
      </c>
      <c r="H2133" s="13" t="s">
        <v>35</v>
      </c>
      <c r="I2133" s="13" t="str">
        <f aca="false">IF(C2133=J2133,"NEW KONTRAK","RE-KONTRAK")</f>
        <v>RE-KONTRAK</v>
      </c>
      <c r="J2133" s="16" t="n">
        <f aca="false" t="array" ref="J2133:J2133">IFERROR(INDEX(AC2133:AE2133,IF(COUNTA(AC2133:AE2133)=0,"",MAX((AC2133:AE2133&lt;&gt;"")*(COLUMN(AC2133:AE2133)-(COLUMN(AC2133)))))-1),"")</f>
        <v>45863</v>
      </c>
      <c r="K2133" s="16" t="n">
        <f aca="false" t="array" ref="K2133:K2133">IFERROR(INDEX(AC2133:AE2133,IF(COUNTA(AC2133:AE2133)=0,"",MAX((AC2133:AE2133&lt;&gt;"")*(COLUMN(AC2133:AE2133)-(COLUMN(AC2133)-1))))-1),"")</f>
        <v>45954</v>
      </c>
      <c r="L2133" s="17" t="str">
        <f aca="false" t="array" ref="L2133:L2133">IFERROR(INDEX(AC2133:AE2133,IF(COUNTA(AC2133:AE2133)=0,"",MAX((AC2133:AE2133&lt;&gt;"")*(COLUMN(AC2133:AE2133)-(COLUMN(AC2133)-2))))-1),"")</f>
        <v>ARCHIVED</v>
      </c>
      <c r="M2133" s="13" t="n">
        <f aca="true">K2133-TODAY()</f>
        <v>-370</v>
      </c>
      <c r="N2133" s="18" t="s">
        <v>36</v>
      </c>
      <c r="O2133" s="13" t="s">
        <v>4280</v>
      </c>
      <c r="P2133" s="27" t="n">
        <v>120000</v>
      </c>
      <c r="Q2133" s="20" t="s">
        <v>9174</v>
      </c>
      <c r="R2133" s="13" t="s">
        <v>232</v>
      </c>
      <c r="S2133" s="16" t="n">
        <v>38331</v>
      </c>
      <c r="T2133" s="28" t="s">
        <v>40</v>
      </c>
      <c r="U2133" s="13" t="s">
        <v>9175</v>
      </c>
      <c r="V2133" s="13" t="s">
        <v>42</v>
      </c>
      <c r="W2133" s="13" t="s">
        <v>43</v>
      </c>
      <c r="X2133" s="30" t="n">
        <v>85286774964</v>
      </c>
      <c r="Y2133" s="22" t="str">
        <f aca="false">O2133</f>
        <v>Helper Cutting</v>
      </c>
      <c r="Z2133" s="13" t="str">
        <f aca="false">IFERROR(__xludf.dummyfunction("if(BJ2133="""","""",GOOGLETRANSLATE(BJ2133,""auto"",""en""))"),"Helper Cutting")</f>
        <v>Helper Cutting</v>
      </c>
      <c r="AA2133" s="23" t="str">
        <f aca="false">IF(C2133="","", CHOOSE(MONTH(C2133),"January","February","March","April","May","June","July","August","September","October","November","December")&amp;" "&amp;DAY(C2133)&amp;MID("thstndrdth",MIN(9,2*RIGHT(DAY(C2133))*(MOD(DAY(C2133)-11,100)&gt;2)+1),2)&amp;","&amp;TEXT(C2133," yyyy"))</f>
        <v>April 25th,2025</v>
      </c>
      <c r="AB2133" s="15" t="str">
        <f aca="true">IF(S2133="","",DATEDIF(S2133,TODAY(),"Y")&amp;" Tahun, "&amp;DATEDIF(S2133,TODAY(),"YM")&amp;" Bulan, "&amp;DATEDIF(S2133,TODAY(),"MD")&amp;" Hari")</f>
        <v>21 Tahun, 10 Bulan, 19 Hari</v>
      </c>
      <c r="AC2133" s="18" t="n">
        <v>45863</v>
      </c>
      <c r="AD2133" s="18" t="n">
        <v>45954</v>
      </c>
      <c r="AE2133" s="18" t="s">
        <v>44</v>
      </c>
    </row>
    <row r="2134" customFormat="false" ht="15" hidden="false" customHeight="true" outlineLevel="0" collapsed="false">
      <c r="A2134" s="12" t="n">
        <v>19400</v>
      </c>
      <c r="B2134" s="13" t="s">
        <v>9176</v>
      </c>
      <c r="C2134" s="16" t="n">
        <v>45768</v>
      </c>
      <c r="D2134" s="13" t="s">
        <v>5892</v>
      </c>
      <c r="E2134" s="15" t="s">
        <v>102</v>
      </c>
      <c r="F2134" s="15" t="str">
        <f aca="false">IFERROR(__xludf.dummyfunction("XLOOKUP(AJ2134,IMPORTRANGE(""1XaInW9DU9nz21V0tYIfzFQ0He9kVQ_JF2mCXgZ3hqFA"",""REKAP ALL 2026 - Andika!G:G""),IMPORTRANGE(""1XaInW9DU9nz21V0tYIfzFQ0He9kVQ_JF2mCXgZ3hqFA"",""REKAP ALL 2026 - Andika!F:F""),"""",0)"),"25062538720")</f>
        <v>25062538720</v>
      </c>
      <c r="G2134" s="13" t="s">
        <v>9177</v>
      </c>
      <c r="H2134" s="13" t="s">
        <v>35</v>
      </c>
      <c r="I2134" s="13" t="str">
        <f aca="false">IF(C2134=J2134,"NEW KONTRAK","RE-KONTRAK")</f>
        <v>RE-KONTRAK</v>
      </c>
      <c r="J2134" s="16" t="n">
        <f aca="false" t="array" ref="J2134:J2134">IFERROR(INDEX(AC2134:AE2134,IF(COUNTA(AC2134:AE2134)=0,"",MAX((AC2134:AE2134&lt;&gt;"")*(COLUMN(AC2134:AE2134)-(COLUMN(AC2134)))))-1),"")</f>
        <v>45859</v>
      </c>
      <c r="K2134" s="16" t="n">
        <f aca="false" t="array" ref="K2134:K2134">IFERROR(INDEX(AC2134:AE2134,IF(COUNTA(AC2134:AE2134)=0,"",MAX((AC2134:AE2134&lt;&gt;"")*(COLUMN(AC2134:AE2134)-(COLUMN(AC2134)-1))))-1),"")</f>
        <v>46042</v>
      </c>
      <c r="L2134" s="17" t="str">
        <f aca="false" t="array" ref="L2134:L2134">IFERROR(INDEX(AC2134:AE2134,IF(COUNTA(AC2134:AE2134)=0,"",MAX((AC2134:AE2134&lt;&gt;"")*(COLUMN(AC2134:AE2134)-(COLUMN(AC2134)-2))))-1),"")</f>
        <v>ARCHIVED</v>
      </c>
      <c r="M2134" s="13" t="n">
        <f aca="true">K2134-TODAY()</f>
        <v>-282</v>
      </c>
      <c r="N2134" s="18" t="s">
        <v>105</v>
      </c>
      <c r="O2134" s="13" t="s">
        <v>9178</v>
      </c>
      <c r="P2134" s="19" t="n">
        <v>4060000</v>
      </c>
      <c r="Q2134" s="20" t="s">
        <v>9179</v>
      </c>
      <c r="R2134" s="13" t="s">
        <v>232</v>
      </c>
      <c r="S2134" s="16" t="n">
        <v>37012</v>
      </c>
      <c r="T2134" s="28" t="s">
        <v>40</v>
      </c>
      <c r="U2134" s="13" t="s">
        <v>9180</v>
      </c>
      <c r="V2134" s="13" t="s">
        <v>42</v>
      </c>
      <c r="W2134" s="13" t="s">
        <v>54</v>
      </c>
      <c r="X2134" s="21" t="n">
        <v>85821122198</v>
      </c>
      <c r="Y2134" s="22" t="str">
        <f aca="false">O2134</f>
        <v>Operator RD</v>
      </c>
      <c r="Z2134" s="13" t="str">
        <f aca="false">IFERROR(__xludf.dummyfunction("if(BJ2134="""","""",GOOGLETRANSLATE(BJ2134,""auto"",""en""))"),"Operator RD")</f>
        <v>Operator RD</v>
      </c>
      <c r="AA2134" s="23" t="str">
        <f aca="false">IF(C2134="","", CHOOSE(MONTH(C2134),"January","February","March","April","May","June","July","August","September","October","November","December")&amp;" "&amp;DAY(C2134)&amp;MID("thstndrdth",MIN(9,2*RIGHT(DAY(C2134))*(MOD(DAY(C2134)-11,100)&gt;2)+1),2)&amp;","&amp;TEXT(C2134," yyyy"))</f>
        <v>April 21st,2025</v>
      </c>
      <c r="AB2134" s="15" t="str">
        <f aca="true">IF(S2134="","",DATEDIF(S2134,TODAY(),"Y")&amp;" Tahun, "&amp;DATEDIF(S2134,TODAY(),"YM")&amp;" Bulan, "&amp;DATEDIF(S2134,TODAY(),"MD")&amp;" Hari")</f>
        <v>25 Tahun, 5 Bulan, 28 Hari</v>
      </c>
      <c r="AC2134" s="18" t="n">
        <v>45859</v>
      </c>
      <c r="AD2134" s="18" t="n">
        <v>46042</v>
      </c>
      <c r="AE2134" s="18" t="s">
        <v>44</v>
      </c>
    </row>
    <row r="2135" customFormat="false" ht="15" hidden="false" customHeight="true" outlineLevel="0" collapsed="false">
      <c r="A2135" s="12" t="n">
        <v>19402</v>
      </c>
      <c r="B2135" s="13" t="s">
        <v>9181</v>
      </c>
      <c r="C2135" s="16" t="n">
        <v>45772</v>
      </c>
      <c r="D2135" s="13" t="s">
        <v>613</v>
      </c>
      <c r="E2135" s="15" t="s">
        <v>704</v>
      </c>
      <c r="F2135" s="24" t="s">
        <v>9182</v>
      </c>
      <c r="G2135" s="13" t="s">
        <v>9183</v>
      </c>
      <c r="H2135" s="13" t="s">
        <v>35</v>
      </c>
      <c r="I2135" s="13" t="str">
        <f aca="false">IF(C2135=J2135,"NEW KONTRAK","RE-KONTRAK")</f>
        <v>NEW KONTRAK</v>
      </c>
      <c r="J2135" s="16" t="n">
        <f aca="false" t="array" ref="J2135:J2135">IFERROR(INDEX(AC2135:AE2135,IF(COUNTA(AC2135:AE2135)=0,"",MAX((AC2135:AE2135&lt;&gt;"")*(COLUMN(AC2135:AE2135)-(COLUMN(AC2135)))))-1),"")</f>
        <v>45772</v>
      </c>
      <c r="K2135" s="16" t="n">
        <f aca="false" t="array" ref="K2135:K2135">IFERROR(INDEX(AC2135:AE2135,IF(COUNTA(AC2135:AE2135)=0,"",MAX((AC2135:AE2135&lt;&gt;"")*(COLUMN(AC2135:AE2135)-(COLUMN(AC2135)-1))))-1),"")</f>
        <v>45862</v>
      </c>
      <c r="L2135" s="17" t="str">
        <f aca="false" t="array" ref="L2135:L2135">IFERROR(INDEX(AC2135:AE2135,IF(COUNTA(AC2135:AE2135)=0,"",MAX((AC2135:AE2135&lt;&gt;"")*(COLUMN(AC2135:AE2135)-(COLUMN(AC2135)-2))))-1),"")</f>
        <v>ARCHIVED</v>
      </c>
      <c r="M2135" s="13" t="n">
        <f aca="true">K2135-TODAY()</f>
        <v>-462</v>
      </c>
      <c r="N2135" s="18" t="s">
        <v>615</v>
      </c>
      <c r="O2135" s="13" t="s">
        <v>58</v>
      </c>
      <c r="P2135" s="19" t="n">
        <v>4856026</v>
      </c>
      <c r="Q2135" s="20" t="s">
        <v>9184</v>
      </c>
      <c r="R2135" s="13" t="s">
        <v>232</v>
      </c>
      <c r="S2135" s="16" t="n">
        <v>37204</v>
      </c>
      <c r="T2135" s="28" t="s">
        <v>40</v>
      </c>
      <c r="U2135" s="13" t="s">
        <v>9185</v>
      </c>
      <c r="V2135" s="13" t="s">
        <v>42</v>
      </c>
      <c r="W2135" s="13" t="s">
        <v>43</v>
      </c>
      <c r="X2135" s="21" t="n">
        <v>85608171804</v>
      </c>
      <c r="Y2135" s="22" t="str">
        <f aca="false">O2135</f>
        <v>Produksi</v>
      </c>
      <c r="Z2135" s="13" t="str">
        <f aca="false">IFERROR(__xludf.dummyfunction("if(BJ2135="""","""",GOOGLETRANSLATE(BJ2135,""auto"",""en""))"),"Production")</f>
        <v>Production</v>
      </c>
      <c r="AA2135" s="23" t="str">
        <f aca="false">IF(C2135="","", CHOOSE(MONTH(C2135),"January","February","March","April","May","June","July","August","September","October","November","December")&amp;" "&amp;DAY(C2135)&amp;MID("thstndrdth",MIN(9,2*RIGHT(DAY(C2135))*(MOD(DAY(C2135)-11,100)&gt;2)+1),2)&amp;","&amp;TEXT(C2135," yyyy"))</f>
        <v>April 25th,2025</v>
      </c>
      <c r="AB2135" s="15" t="str">
        <f aca="true">IF(S2135="","",DATEDIF(S2135,TODAY(),"Y")&amp;" Tahun, "&amp;DATEDIF(S2135,TODAY(),"YM")&amp;" Bulan, "&amp;DATEDIF(S2135,TODAY(),"MD")&amp;" Hari")</f>
        <v>24 Tahun, 11 Bulan, 20 Hari</v>
      </c>
      <c r="AC2135" s="18" t="n">
        <v>45772</v>
      </c>
      <c r="AD2135" s="18" t="n">
        <v>45862</v>
      </c>
      <c r="AE2135" s="18" t="s">
        <v>44</v>
      </c>
    </row>
    <row r="2136" customFormat="false" ht="15" hidden="false" customHeight="true" outlineLevel="0" collapsed="false">
      <c r="A2136" s="12" t="n">
        <v>19418</v>
      </c>
      <c r="B2136" s="13" t="s">
        <v>9186</v>
      </c>
      <c r="C2136" s="16" t="n">
        <v>45771</v>
      </c>
      <c r="D2136" s="13" t="s">
        <v>7948</v>
      </c>
      <c r="E2136" s="15" t="s">
        <v>7949</v>
      </c>
      <c r="F2136" s="15" t="str">
        <f aca="false">IFERROR(__xludf.dummyfunction("XLOOKUP(AJ2136,IMPORTRANGE(""1XaInW9DU9nz21V0tYIfzFQ0He9kVQ_JF2mCXgZ3hqFA"",""REKAP ALL 2026 - Andika!G:G""),IMPORTRANGE(""1XaInW9DU9nz21V0tYIfzFQ0He9kVQ_JF2mCXgZ3hqFA"",""REKAP ALL 2026 - Andika!F:F""),"""",0)"),"25062534943")</f>
        <v>25062534943</v>
      </c>
      <c r="G2136" s="13" t="s">
        <v>57</v>
      </c>
      <c r="H2136" s="13" t="s">
        <v>7950</v>
      </c>
      <c r="I2136" s="13" t="str">
        <f aca="false">IF(C2136=J2136,"NEW KONTRAK","RE-KONTRAK")</f>
        <v>RE-KONTRAK</v>
      </c>
      <c r="J2136" s="16" t="n">
        <f aca="false" t="array" ref="J2136:J2136">IFERROR(INDEX(AC2136:AE2136,IF(COUNTA(AC2136:AE2136)=0,"",MAX((AC2136:AE2136&lt;&gt;"")*(COLUMN(AC2136:AE2136)-(COLUMN(AC2136)))))-1),"")</f>
        <v>45844</v>
      </c>
      <c r="K2136" s="16" t="n">
        <f aca="false" t="array" ref="K2136:K2136">IFERROR(INDEX(AC2136:AE2136,IF(COUNTA(AC2136:AE2136)=0,"",MAX((AC2136:AE2136&lt;&gt;"")*(COLUMN(AC2136:AE2136)-(COLUMN(AC2136)-1))))-1),"")</f>
        <v>45928</v>
      </c>
      <c r="L2136" s="17" t="str">
        <f aca="false" t="array" ref="L2136:L2136">IFERROR(INDEX(AC2136:AE2136,IF(COUNTA(AC2136:AE2136)=0,"",MAX((AC2136:AE2136&lt;&gt;"")*(COLUMN(AC2136:AE2136)-(COLUMN(AC2136)-2))))-1),"")</f>
        <v>ARCHIVED</v>
      </c>
      <c r="M2136" s="13" t="n">
        <f aca="true">K2136-TODAY()</f>
        <v>-396</v>
      </c>
      <c r="N2136" s="18" t="s">
        <v>4051</v>
      </c>
      <c r="O2136" s="13" t="s">
        <v>7951</v>
      </c>
      <c r="P2136" s="19" t="n">
        <v>245000</v>
      </c>
      <c r="Q2136" s="20" t="s">
        <v>9187</v>
      </c>
      <c r="R2136" s="13" t="s">
        <v>73</v>
      </c>
      <c r="S2136" s="16" t="n">
        <v>37304</v>
      </c>
      <c r="T2136" s="28" t="s">
        <v>40</v>
      </c>
      <c r="U2136" s="13" t="s">
        <v>9188</v>
      </c>
      <c r="V2136" s="13" t="s">
        <v>42</v>
      </c>
      <c r="W2136" s="13" t="s">
        <v>54</v>
      </c>
      <c r="X2136" s="21" t="n">
        <v>895328355441</v>
      </c>
      <c r="Y2136" s="22" t="str">
        <f aca="false">O2136</f>
        <v>Mekanik Kiln</v>
      </c>
      <c r="Z2136" s="13" t="str">
        <f aca="false">IFERROR(__xludf.dummyfunction("if(BJ2136="""","""",GOOGLETRANSLATE(BJ2136,""auto"",""en""))"),"Kiln Mechanics")</f>
        <v>Kiln Mechanics</v>
      </c>
      <c r="AA2136" s="23" t="str">
        <f aca="false">IF(C2136="","", CHOOSE(MONTH(C2136),"January","February","March","April","May","June","July","August","September","October","November","December")&amp;" "&amp;DAY(C2136)&amp;MID("thstndrdth",MIN(9,2*RIGHT(DAY(C2136))*(MOD(DAY(C2136)-11,100)&gt;2)+1),2)&amp;","&amp;TEXT(C2136," yyyy"))</f>
        <v>April 24th,2025</v>
      </c>
      <c r="AB2136" s="15" t="str">
        <f aca="true">IF(S2136="","",DATEDIF(S2136,TODAY(),"Y")&amp;" Tahun, "&amp;DATEDIF(S2136,TODAY(),"YM")&amp;" Bulan, "&amp;DATEDIF(S2136,TODAY(),"MD")&amp;" Hari")</f>
        <v>24 Tahun, 8 Bulan, 12 Hari</v>
      </c>
      <c r="AC2136" s="18" t="n">
        <v>45844</v>
      </c>
      <c r="AD2136" s="18" t="n">
        <v>45928</v>
      </c>
      <c r="AE2136" s="18" t="s">
        <v>44</v>
      </c>
    </row>
    <row r="2137" customFormat="false" ht="15" hidden="false" customHeight="true" outlineLevel="0" collapsed="false">
      <c r="A2137" s="12" t="n">
        <v>19433</v>
      </c>
      <c r="B2137" s="13" t="s">
        <v>9189</v>
      </c>
      <c r="C2137" s="16" t="n">
        <v>45777</v>
      </c>
      <c r="D2137" s="13" t="s">
        <v>144</v>
      </c>
      <c r="E2137" s="15" t="s">
        <v>47</v>
      </c>
      <c r="F2137" s="15" t="str">
        <f aca="false">IFERROR(__xludf.dummyfunction("XLOOKUP(AJ2137,IMPORTRANGE(""1XaInW9DU9nz21V0tYIfzFQ0He9kVQ_JF2mCXgZ3hqFA"",""REKAP ALL 2026 - Andika!G:G""),IMPORTRANGE(""1XaInW9DU9nz21V0tYIfzFQ0He9kVQ_JF2mCXgZ3hqFA"",""REKAP ALL 2026 - Andika!F:F""),"""",0)"),"25062537235")</f>
        <v>25062537235</v>
      </c>
      <c r="G2137" s="13" t="s">
        <v>9190</v>
      </c>
      <c r="H2137" s="13" t="s">
        <v>35</v>
      </c>
      <c r="I2137" s="13" t="str">
        <f aca="false">IF(C2137=J2137,"NEW KONTRAK","RE-KONTRAK")</f>
        <v>NEW KONTRAK</v>
      </c>
      <c r="J2137" s="16" t="n">
        <f aca="false" t="array" ref="J2137:J2137">IFERROR(INDEX(AC2137:AE2137,IF(COUNTA(AC2137:AE2137)=0,"",MAX((AC2137:AE2137&lt;&gt;"")*(COLUMN(AC2137:AE2137)-(COLUMN(AC2137)))))-1),"")</f>
        <v>45777</v>
      </c>
      <c r="K2137" s="16" t="n">
        <f aca="false" t="array" ref="K2137:K2137">IFERROR(INDEX(AC2137:AE2137,IF(COUNTA(AC2137:AE2137)=0,"",MAX((AC2137:AE2137&lt;&gt;"")*(COLUMN(AC2137:AE2137)-(COLUMN(AC2137)-1))))-1),"")</f>
        <v>46022</v>
      </c>
      <c r="L2137" s="17" t="str">
        <f aca="false" t="array" ref="L2137:L2137">IFERROR(INDEX(AC2137:AE2137,IF(COUNTA(AC2137:AE2137)=0,"",MAX((AC2137:AE2137&lt;&gt;"")*(COLUMN(AC2137:AE2137)-(COLUMN(AC2137)-2))))-1),"")</f>
        <v>ARCHIVED</v>
      </c>
      <c r="M2137" s="13" t="n">
        <f aca="true">K2137-TODAY()</f>
        <v>-302</v>
      </c>
      <c r="N2137" s="18" t="s">
        <v>36</v>
      </c>
      <c r="O2137" s="13" t="s">
        <v>146</v>
      </c>
      <c r="P2137" s="19" t="n">
        <v>5195401</v>
      </c>
      <c r="Q2137" s="20" t="s">
        <v>9191</v>
      </c>
      <c r="R2137" s="13" t="s">
        <v>65</v>
      </c>
      <c r="S2137" s="16" t="n">
        <v>34130</v>
      </c>
      <c r="T2137" s="28" t="s">
        <v>40</v>
      </c>
      <c r="U2137" s="13" t="s">
        <v>9192</v>
      </c>
      <c r="V2137" s="13" t="s">
        <v>42</v>
      </c>
      <c r="W2137" s="13" t="s">
        <v>54</v>
      </c>
      <c r="X2137" s="21" t="n">
        <v>85290467300</v>
      </c>
      <c r="Y2137" s="22" t="str">
        <f aca="false">O2137</f>
        <v>Enamel</v>
      </c>
      <c r="Z2137" s="13" t="str">
        <f aca="false">IFERROR(__xludf.dummyfunction("if(BJ2137="""","""",GOOGLETRANSLATE(BJ2137,""auto"",""en""))"),"Enamel")</f>
        <v>Enamel</v>
      </c>
      <c r="AA2137" s="23" t="str">
        <f aca="false">IF(C2137="","", CHOOSE(MONTH(C2137),"January","February","March","April","May","June","July","August","September","October","November","December")&amp;" "&amp;DAY(C2137)&amp;MID("thstndrdth",MIN(9,2*RIGHT(DAY(C2137))*(MOD(DAY(C2137)-11,100)&gt;2)+1),2)&amp;","&amp;TEXT(C2137," yyyy"))</f>
        <v>April 30th,2025</v>
      </c>
      <c r="AB2137" s="15" t="str">
        <f aca="true">IF(S2137="","",DATEDIF(S2137,TODAY(),"Y")&amp;" Tahun, "&amp;DATEDIF(S2137,TODAY(),"YM")&amp;" Bulan, "&amp;DATEDIF(S2137,TODAY(),"MD")&amp;" Hari")</f>
        <v>33 Tahun, 4 Bulan, 19 Hari</v>
      </c>
      <c r="AC2137" s="18" t="n">
        <v>45777</v>
      </c>
      <c r="AD2137" s="18" t="n">
        <v>46022</v>
      </c>
      <c r="AE2137" s="18" t="s">
        <v>44</v>
      </c>
    </row>
    <row r="2138" customFormat="false" ht="15" hidden="false" customHeight="true" outlineLevel="0" collapsed="false">
      <c r="A2138" s="12" t="n">
        <v>19435</v>
      </c>
      <c r="B2138" s="13" t="s">
        <v>9193</v>
      </c>
      <c r="C2138" s="16" t="n">
        <v>45777</v>
      </c>
      <c r="D2138" s="13" t="s">
        <v>144</v>
      </c>
      <c r="E2138" s="15" t="s">
        <v>47</v>
      </c>
      <c r="F2138" s="15" t="str">
        <f aca="false">IFERROR(__xludf.dummyfunction("XLOOKUP(AJ2138,IMPORTRANGE(""1XaInW9DU9nz21V0tYIfzFQ0He9kVQ_JF2mCXgZ3hqFA"",""REKAP ALL 2026 - Andika!G:G""),IMPORTRANGE(""1XaInW9DU9nz21V0tYIfzFQ0He9kVQ_JF2mCXgZ3hqFA"",""REKAP ALL 2026 - Andika!F:F""),"""",0)"),"25062537250")</f>
        <v>25062537250</v>
      </c>
      <c r="G2138" s="13" t="s">
        <v>9194</v>
      </c>
      <c r="H2138" s="13" t="s">
        <v>35</v>
      </c>
      <c r="I2138" s="13" t="str">
        <f aca="false">IF(C2138=J2138,"NEW KONTRAK","RE-KONTRAK")</f>
        <v>NEW KONTRAK</v>
      </c>
      <c r="J2138" s="16" t="n">
        <f aca="false" t="array" ref="J2138:J2138">IFERROR(INDEX(AC2138:AE2138,IF(COUNTA(AC2138:AE2138)=0,"",MAX((AC2138:AE2138&lt;&gt;"")*(COLUMN(AC2138:AE2138)-(COLUMN(AC2138)))))-1),"")</f>
        <v>45777</v>
      </c>
      <c r="K2138" s="16" t="n">
        <f aca="false" t="array" ref="K2138:K2138">IFERROR(INDEX(AC2138:AE2138,IF(COUNTA(AC2138:AE2138)=0,"",MAX((AC2138:AE2138&lt;&gt;"")*(COLUMN(AC2138:AE2138)-(COLUMN(AC2138)-1))))-1),"")</f>
        <v>46022</v>
      </c>
      <c r="L2138" s="17" t="str">
        <f aca="false" t="array" ref="L2138:L2138">IFERROR(INDEX(AC2138:AE2138,IF(COUNTA(AC2138:AE2138)=0,"",MAX((AC2138:AE2138&lt;&gt;"")*(COLUMN(AC2138:AE2138)-(COLUMN(AC2138)-2))))-1),"")</f>
        <v>ARCHIVED</v>
      </c>
      <c r="M2138" s="13" t="n">
        <f aca="true">K2138-TODAY()</f>
        <v>-302</v>
      </c>
      <c r="N2138" s="18" t="s">
        <v>36</v>
      </c>
      <c r="O2138" s="13" t="s">
        <v>156</v>
      </c>
      <c r="P2138" s="19" t="n">
        <v>5195401</v>
      </c>
      <c r="Q2138" s="20" t="s">
        <v>9195</v>
      </c>
      <c r="R2138" s="13" t="s">
        <v>78</v>
      </c>
      <c r="S2138" s="16" t="n">
        <v>35043</v>
      </c>
      <c r="T2138" s="28" t="s">
        <v>40</v>
      </c>
      <c r="U2138" s="13" t="s">
        <v>9196</v>
      </c>
      <c r="V2138" s="13" t="s">
        <v>42</v>
      </c>
      <c r="W2138" s="13" t="s">
        <v>43</v>
      </c>
      <c r="X2138" s="21" t="n">
        <v>85708183022</v>
      </c>
      <c r="Y2138" s="22" t="str">
        <f aca="false">O2138</f>
        <v>Emulsion</v>
      </c>
      <c r="Z2138" s="13" t="str">
        <f aca="false">IFERROR(__xludf.dummyfunction("if(BJ2138="""","""",GOOGLETRANSLATE(BJ2138,""auto"",""en""))"),"Emulsion")</f>
        <v>Emulsion</v>
      </c>
      <c r="AA2138" s="23" t="str">
        <f aca="false">IF(C2138="","", CHOOSE(MONTH(C2138),"January","February","March","April","May","June","July","August","September","October","November","December")&amp;" "&amp;DAY(C2138)&amp;MID("thstndrdth",MIN(9,2*RIGHT(DAY(C2138))*(MOD(DAY(C2138)-11,100)&gt;2)+1),2)&amp;","&amp;TEXT(C2138," yyyy"))</f>
        <v>April 30th,2025</v>
      </c>
      <c r="AB2138" s="15" t="str">
        <f aca="true">IF(S2138="","",DATEDIF(S2138,TODAY(),"Y")&amp;" Tahun, "&amp;DATEDIF(S2138,TODAY(),"YM")&amp;" Bulan, "&amp;DATEDIF(S2138,TODAY(),"MD")&amp;" Hari")</f>
        <v>30 Tahun, 10 Bulan, 19 Hari</v>
      </c>
      <c r="AC2138" s="18" t="n">
        <v>45777</v>
      </c>
      <c r="AD2138" s="18" t="n">
        <v>46022</v>
      </c>
      <c r="AE2138" s="18" t="s">
        <v>44</v>
      </c>
    </row>
    <row r="2139" customFormat="false" ht="15" hidden="false" customHeight="true" outlineLevel="0" collapsed="false">
      <c r="A2139" s="12" t="n">
        <v>19434</v>
      </c>
      <c r="B2139" s="13" t="s">
        <v>9197</v>
      </c>
      <c r="C2139" s="16" t="n">
        <v>45777</v>
      </c>
      <c r="D2139" s="13" t="s">
        <v>144</v>
      </c>
      <c r="E2139" s="15" t="s">
        <v>33</v>
      </c>
      <c r="F2139" s="24" t="s">
        <v>9198</v>
      </c>
      <c r="G2139" s="13" t="s">
        <v>9199</v>
      </c>
      <c r="H2139" s="13" t="s">
        <v>35</v>
      </c>
      <c r="I2139" s="13" t="str">
        <f aca="false">IF(C2139=J2139,"NEW KONTRAK","RE-KONTRAK")</f>
        <v>NEW KONTRAK</v>
      </c>
      <c r="J2139" s="16" t="n">
        <f aca="false" t="array" ref="J2139:J2139">IFERROR(INDEX(AC2139:AE2139,IF(COUNTA(AC2139:AE2139)=0,"",MAX((AC2139:AE2139&lt;&gt;"")*(COLUMN(AC2139:AE2139)-(COLUMN(AC2139)))))-1),"")</f>
        <v>45777</v>
      </c>
      <c r="K2139" s="16" t="n">
        <f aca="false" t="array" ref="K2139:K2139">IFERROR(INDEX(AC2139:AE2139,IF(COUNTA(AC2139:AE2139)=0,"",MAX((AC2139:AE2139&lt;&gt;"")*(COLUMN(AC2139:AE2139)-(COLUMN(AC2139)-1))))-1),"")</f>
        <v>46022</v>
      </c>
      <c r="L2139" s="17" t="str">
        <f aca="false" t="array" ref="L2139:L2139">IFERROR(INDEX(AC2139:AE2139,IF(COUNTA(AC2139:AE2139)=0,"",MAX((AC2139:AE2139&lt;&gt;"")*(COLUMN(AC2139:AE2139)-(COLUMN(AC2139)-2))))-1),"")</f>
        <v>ARCHIVED</v>
      </c>
      <c r="M2139" s="13" t="n">
        <f aca="true">K2139-TODAY()</f>
        <v>-302</v>
      </c>
      <c r="N2139" s="18" t="s">
        <v>36</v>
      </c>
      <c r="O2139" s="13" t="s">
        <v>9200</v>
      </c>
      <c r="P2139" s="19" t="n">
        <v>5195401</v>
      </c>
      <c r="Q2139" s="20" t="s">
        <v>9201</v>
      </c>
      <c r="R2139" s="13" t="s">
        <v>52</v>
      </c>
      <c r="S2139" s="16" t="n">
        <v>34308</v>
      </c>
      <c r="T2139" s="28" t="s">
        <v>40</v>
      </c>
      <c r="U2139" s="13" t="s">
        <v>9202</v>
      </c>
      <c r="V2139" s="13" t="s">
        <v>42</v>
      </c>
      <c r="W2139" s="13" t="s">
        <v>54</v>
      </c>
      <c r="X2139" s="21" t="n">
        <v>816538716</v>
      </c>
      <c r="Y2139" s="22" t="str">
        <f aca="false">O2139</f>
        <v>QC Analis</v>
      </c>
      <c r="Z2139" s="13" t="str">
        <f aca="false">IFERROR(__xludf.dummyfunction("if(BJ2139="""","""",GOOGLETRANSLATE(BJ2139,""auto"",""en""))"),"QC Analis")</f>
        <v>QC Analis</v>
      </c>
      <c r="AA2139" s="23" t="str">
        <f aca="false">IF(C2139="","", CHOOSE(MONTH(C2139),"January","February","March","April","May","June","July","August","September","October","November","December")&amp;" "&amp;DAY(C2139)&amp;MID("thstndrdth",MIN(9,2*RIGHT(DAY(C2139))*(MOD(DAY(C2139)-11,100)&gt;2)+1),2)&amp;","&amp;TEXT(C2139," yyyy"))</f>
        <v>April 30th,2025</v>
      </c>
      <c r="AB2139" s="15" t="str">
        <f aca="true">IF(S2139="","",DATEDIF(S2139,TODAY(),"Y")&amp;" Tahun, "&amp;DATEDIF(S2139,TODAY(),"YM")&amp;" Bulan, "&amp;DATEDIF(S2139,TODAY(),"MD")&amp;" Hari")</f>
        <v>32 Tahun, 10 Bulan, 24 Hari</v>
      </c>
      <c r="AC2139" s="18" t="n">
        <v>45777</v>
      </c>
      <c r="AD2139" s="18" t="n">
        <v>46022</v>
      </c>
      <c r="AE2139" s="18" t="s">
        <v>44</v>
      </c>
    </row>
    <row r="2140" customFormat="false" ht="15" hidden="false" customHeight="true" outlineLevel="0" collapsed="false">
      <c r="A2140" s="12" t="n">
        <v>19439</v>
      </c>
      <c r="B2140" s="13" t="s">
        <v>9203</v>
      </c>
      <c r="C2140" s="16" t="n">
        <v>45777</v>
      </c>
      <c r="D2140" s="13" t="s">
        <v>144</v>
      </c>
      <c r="E2140" s="15" t="s">
        <v>47</v>
      </c>
      <c r="F2140" s="15" t="str">
        <f aca="false">IFERROR(__xludf.dummyfunction("XLOOKUP(AJ2140,IMPORTRANGE(""1XaInW9DU9nz21V0tYIfzFQ0He9kVQ_JF2mCXgZ3hqFA"",""REKAP ALL 2026 - Andika!G:G""),IMPORTRANGE(""1XaInW9DU9nz21V0tYIfzFQ0He9kVQ_JF2mCXgZ3hqFA"",""REKAP ALL 2026 - Andika!F:F""),"""",0)"),"22064488483")</f>
        <v>22064488483</v>
      </c>
      <c r="G2140" s="13" t="s">
        <v>9204</v>
      </c>
      <c r="H2140" s="13" t="s">
        <v>35</v>
      </c>
      <c r="I2140" s="13" t="str">
        <f aca="false">IF(C2140=J2140,"NEW KONTRAK","RE-KONTRAK")</f>
        <v>NEW KONTRAK</v>
      </c>
      <c r="J2140" s="16" t="n">
        <f aca="false" t="array" ref="J2140:J2140">IFERROR(INDEX(AC2140:AE2140,IF(COUNTA(AC2140:AE2140)=0,"",MAX((AC2140:AE2140&lt;&gt;"")*(COLUMN(AC2140:AE2140)-(COLUMN(AC2140)))))-1),"")</f>
        <v>45777</v>
      </c>
      <c r="K2140" s="16" t="n">
        <f aca="false" t="array" ref="K2140:K2140">IFERROR(INDEX(AC2140:AE2140,IF(COUNTA(AC2140:AE2140)=0,"",MAX((AC2140:AE2140&lt;&gt;"")*(COLUMN(AC2140:AE2140)-(COLUMN(AC2140)-1))))-1),"")</f>
        <v>46022</v>
      </c>
      <c r="L2140" s="17" t="str">
        <f aca="false" t="array" ref="L2140:L2140">IFERROR(INDEX(AC2140:AE2140,IF(COUNTA(AC2140:AE2140)=0,"",MAX((AC2140:AE2140&lt;&gt;"")*(COLUMN(AC2140:AE2140)-(COLUMN(AC2140)-2))))-1),"")</f>
        <v>ARCHIVED</v>
      </c>
      <c r="M2140" s="13" t="n">
        <f aca="true">K2140-TODAY()</f>
        <v>-302</v>
      </c>
      <c r="N2140" s="18" t="s">
        <v>36</v>
      </c>
      <c r="O2140" s="13" t="s">
        <v>156</v>
      </c>
      <c r="P2140" s="19" t="n">
        <v>5195401</v>
      </c>
      <c r="Q2140" s="20" t="s">
        <v>9205</v>
      </c>
      <c r="R2140" s="13" t="s">
        <v>78</v>
      </c>
      <c r="S2140" s="16" t="n">
        <v>37673</v>
      </c>
      <c r="T2140" s="28" t="s">
        <v>40</v>
      </c>
      <c r="U2140" s="13" t="s">
        <v>9206</v>
      </c>
      <c r="V2140" s="13" t="s">
        <v>42</v>
      </c>
      <c r="W2140" s="13" t="s">
        <v>43</v>
      </c>
      <c r="X2140" s="21" t="n">
        <v>81539932638</v>
      </c>
      <c r="Y2140" s="22" t="str">
        <f aca="false">O2140</f>
        <v>Emulsion</v>
      </c>
      <c r="Z2140" s="13" t="str">
        <f aca="false">IFERROR(__xludf.dummyfunction("if(BJ2140="""","""",GOOGLETRANSLATE(BJ2140,""auto"",""en""))"),"Emulsion")</f>
        <v>Emulsion</v>
      </c>
      <c r="AA2140" s="23" t="str">
        <f aca="false">IF(C2140="","", CHOOSE(MONTH(C2140),"January","February","March","April","May","June","July","August","September","October","November","December")&amp;" "&amp;DAY(C2140)&amp;MID("thstndrdth",MIN(9,2*RIGHT(DAY(C2140))*(MOD(DAY(C2140)-11,100)&gt;2)+1),2)&amp;","&amp;TEXT(C2140," yyyy"))</f>
        <v>April 30th,2025</v>
      </c>
      <c r="AB2140" s="15" t="str">
        <f aca="true">IF(S2140="","",DATEDIF(S2140,TODAY(),"Y")&amp;" Tahun, "&amp;DATEDIF(S2140,TODAY(),"YM")&amp;" Bulan, "&amp;DATEDIF(S2140,TODAY(),"MD")&amp;" Hari")</f>
        <v>23 Tahun, 8 Bulan, 8 Hari</v>
      </c>
      <c r="AC2140" s="18" t="n">
        <v>45777</v>
      </c>
      <c r="AD2140" s="18" t="n">
        <v>46022</v>
      </c>
      <c r="AE2140" s="18" t="s">
        <v>44</v>
      </c>
    </row>
    <row r="2141" customFormat="false" ht="15" hidden="false" customHeight="true" outlineLevel="0" collapsed="false">
      <c r="A2141" s="12" t="n">
        <v>19436</v>
      </c>
      <c r="B2141" s="13" t="s">
        <v>9207</v>
      </c>
      <c r="C2141" s="16" t="n">
        <v>45777</v>
      </c>
      <c r="D2141" s="13" t="s">
        <v>144</v>
      </c>
      <c r="E2141" s="15" t="s">
        <v>789</v>
      </c>
      <c r="F2141" s="24" t="s">
        <v>9208</v>
      </c>
      <c r="G2141" s="13" t="s">
        <v>9209</v>
      </c>
      <c r="H2141" s="13" t="s">
        <v>35</v>
      </c>
      <c r="I2141" s="13" t="str">
        <f aca="false">IF(C2141=J2141,"NEW KONTRAK","RE-KONTRAK")</f>
        <v>NEW KONTRAK</v>
      </c>
      <c r="J2141" s="16" t="n">
        <f aca="false" t="array" ref="J2141:J2141">IFERROR(INDEX(AC2141:AE2141,IF(COUNTA(AC2141:AE2141)=0,"",MAX((AC2141:AE2141&lt;&gt;"")*(COLUMN(AC2141:AE2141)-(COLUMN(AC2141)))))-1),"")</f>
        <v>45777</v>
      </c>
      <c r="K2141" s="16" t="n">
        <f aca="false" t="array" ref="K2141:K2141">IFERROR(INDEX(AC2141:AE2141,IF(COUNTA(AC2141:AE2141)=0,"",MAX((AC2141:AE2141&lt;&gt;"")*(COLUMN(AC2141:AE2141)-(COLUMN(AC2141)-1))))-1),"")</f>
        <v>46022</v>
      </c>
      <c r="L2141" s="17" t="str">
        <f aca="false" t="array" ref="L2141:L2141">IFERROR(INDEX(AC2141:AE2141,IF(COUNTA(AC2141:AE2141)=0,"",MAX((AC2141:AE2141&lt;&gt;"")*(COLUMN(AC2141:AE2141)-(COLUMN(AC2141)-2))))-1),"")</f>
        <v>ARCHIVED</v>
      </c>
      <c r="M2141" s="13" t="n">
        <f aca="true">K2141-TODAY()</f>
        <v>-302</v>
      </c>
      <c r="N2141" s="18" t="s">
        <v>36</v>
      </c>
      <c r="O2141" s="13" t="s">
        <v>9210</v>
      </c>
      <c r="P2141" s="19" t="n">
        <v>5195401</v>
      </c>
      <c r="Q2141" s="20" t="s">
        <v>9211</v>
      </c>
      <c r="R2141" s="13" t="s">
        <v>78</v>
      </c>
      <c r="S2141" s="16" t="n">
        <v>34926</v>
      </c>
      <c r="T2141" s="28" t="s">
        <v>40</v>
      </c>
      <c r="U2141" s="13" t="s">
        <v>9212</v>
      </c>
      <c r="V2141" s="13" t="s">
        <v>42</v>
      </c>
      <c r="W2141" s="13" t="s">
        <v>43</v>
      </c>
      <c r="X2141" s="21" t="n">
        <v>85190031502</v>
      </c>
      <c r="Y2141" s="22" t="str">
        <f aca="false">O2141</f>
        <v>Koordinator Emulsion</v>
      </c>
      <c r="Z2141" s="13" t="str">
        <f aca="false">IFERROR(__xludf.dummyfunction("if(BJ2141="""","""",GOOGLETRANSLATE(BJ2141,""auto"",""en""))"),"Koordinator Emulsion")</f>
        <v>Koordinator Emulsion</v>
      </c>
      <c r="AA2141" s="23" t="str">
        <f aca="false">IF(C2141="","", CHOOSE(MONTH(C2141),"January","February","March","April","May","June","July","August","September","October","November","December")&amp;" "&amp;DAY(C2141)&amp;MID("thstndrdth",MIN(9,2*RIGHT(DAY(C2141))*(MOD(DAY(C2141)-11,100)&gt;2)+1),2)&amp;","&amp;TEXT(C2141," yyyy"))</f>
        <v>April 30th,2025</v>
      </c>
      <c r="AB2141" s="15" t="str">
        <f aca="true">IF(S2141="","",DATEDIF(S2141,TODAY(),"Y")&amp;" Tahun, "&amp;DATEDIF(S2141,TODAY(),"YM")&amp;" Bulan, "&amp;DATEDIF(S2141,TODAY(),"MD")&amp;" Hari")</f>
        <v>31 Tahun, 2 Bulan, 14 Hari</v>
      </c>
      <c r="AC2141" s="18" t="n">
        <v>45777</v>
      </c>
      <c r="AD2141" s="18" t="n">
        <v>46022</v>
      </c>
      <c r="AE2141" s="18" t="s">
        <v>44</v>
      </c>
    </row>
    <row r="2142" customFormat="false" ht="15" hidden="false" customHeight="true" outlineLevel="0" collapsed="false">
      <c r="A2142" s="12" t="n">
        <v>19437</v>
      </c>
      <c r="B2142" s="13" t="s">
        <v>9213</v>
      </c>
      <c r="C2142" s="16" t="n">
        <v>45777</v>
      </c>
      <c r="D2142" s="13" t="s">
        <v>144</v>
      </c>
      <c r="E2142" s="15" t="s">
        <v>102</v>
      </c>
      <c r="F2142" s="24" t="s">
        <v>9214</v>
      </c>
      <c r="G2142" s="13" t="s">
        <v>9215</v>
      </c>
      <c r="H2142" s="13" t="s">
        <v>35</v>
      </c>
      <c r="I2142" s="13" t="str">
        <f aca="false">IF(C2142=J2142,"NEW KONTRAK","RE-KONTRAK")</f>
        <v>NEW KONTRAK</v>
      </c>
      <c r="J2142" s="16" t="n">
        <f aca="false" t="array" ref="J2142:J2142">IFERROR(INDEX(AC2142:AE2142,IF(COUNTA(AC2142:AE2142)=0,"",MAX((AC2142:AE2142&lt;&gt;"")*(COLUMN(AC2142:AE2142)-(COLUMN(AC2142)))))-1),"")</f>
        <v>45777</v>
      </c>
      <c r="K2142" s="16" t="n">
        <f aca="false" t="array" ref="K2142:K2142">IFERROR(INDEX(AC2142:AE2142,IF(COUNTA(AC2142:AE2142)=0,"",MAX((AC2142:AE2142&lt;&gt;"")*(COLUMN(AC2142:AE2142)-(COLUMN(AC2142)-1))))-1),"")</f>
        <v>46022</v>
      </c>
      <c r="L2142" s="17" t="str">
        <f aca="false" t="array" ref="L2142:L2142">IFERROR(INDEX(AC2142:AE2142,IF(COUNTA(AC2142:AE2142)=0,"",MAX((AC2142:AE2142&lt;&gt;"")*(COLUMN(AC2142:AE2142)-(COLUMN(AC2142)-2))))-1),"")</f>
        <v>ARCHIVED</v>
      </c>
      <c r="M2142" s="13" t="n">
        <f aca="true">K2142-TODAY()</f>
        <v>-302</v>
      </c>
      <c r="N2142" s="18" t="s">
        <v>36</v>
      </c>
      <c r="O2142" s="13" t="s">
        <v>146</v>
      </c>
      <c r="P2142" s="19" t="n">
        <v>5195401</v>
      </c>
      <c r="Q2142" s="20" t="s">
        <v>9216</v>
      </c>
      <c r="R2142" s="13" t="s">
        <v>65</v>
      </c>
      <c r="S2142" s="16" t="n">
        <v>38181</v>
      </c>
      <c r="T2142" s="28" t="s">
        <v>40</v>
      </c>
      <c r="U2142" s="13" t="s">
        <v>9217</v>
      </c>
      <c r="V2142" s="13" t="s">
        <v>42</v>
      </c>
      <c r="W2142" s="13" t="s">
        <v>43</v>
      </c>
      <c r="X2142" s="21" t="n">
        <v>87797015967</v>
      </c>
      <c r="Y2142" s="22" t="str">
        <f aca="false">O2142</f>
        <v>Enamel</v>
      </c>
      <c r="Z2142" s="13" t="str">
        <f aca="false">IFERROR(__xludf.dummyfunction("if(BJ2142="""","""",GOOGLETRANSLATE(BJ2142,""auto"",""en""))"),"Enamel")</f>
        <v>Enamel</v>
      </c>
      <c r="AA2142" s="23" t="str">
        <f aca="false">IF(C2142="","", CHOOSE(MONTH(C2142),"January","February","March","April","May","June","July","August","September","October","November","December")&amp;" "&amp;DAY(C2142)&amp;MID("thstndrdth",MIN(9,2*RIGHT(DAY(C2142))*(MOD(DAY(C2142)-11,100)&gt;2)+1),2)&amp;","&amp;TEXT(C2142," yyyy"))</f>
        <v>April 30th,2025</v>
      </c>
      <c r="AB2142" s="15" t="str">
        <f aca="true">IF(S2142="","",DATEDIF(S2142,TODAY(),"Y")&amp;" Tahun, "&amp;DATEDIF(S2142,TODAY(),"YM")&amp;" Bulan, "&amp;DATEDIF(S2142,TODAY(),"MD")&amp;" Hari")</f>
        <v>22 Tahun, 3 Bulan, 16 Hari</v>
      </c>
      <c r="AC2142" s="18" t="n">
        <v>45777</v>
      </c>
      <c r="AD2142" s="18" t="n">
        <v>46022</v>
      </c>
      <c r="AE2142" s="18" t="s">
        <v>44</v>
      </c>
    </row>
    <row r="2143" customFormat="false" ht="15" hidden="false" customHeight="true" outlineLevel="0" collapsed="false">
      <c r="A2143" s="12" t="n">
        <v>19438</v>
      </c>
      <c r="B2143" s="13" t="s">
        <v>9218</v>
      </c>
      <c r="C2143" s="16" t="n">
        <v>45777</v>
      </c>
      <c r="D2143" s="13" t="s">
        <v>144</v>
      </c>
      <c r="E2143" s="15" t="s">
        <v>33</v>
      </c>
      <c r="F2143" s="24" t="s">
        <v>9219</v>
      </c>
      <c r="G2143" s="13" t="s">
        <v>9220</v>
      </c>
      <c r="H2143" s="13" t="s">
        <v>35</v>
      </c>
      <c r="I2143" s="13" t="str">
        <f aca="false">IF(C2143=J2143,"NEW KONTRAK","RE-KONTRAK")</f>
        <v>NEW KONTRAK</v>
      </c>
      <c r="J2143" s="16" t="n">
        <f aca="false" t="array" ref="J2143:J2143">IFERROR(INDEX(AC2143:AE2143,IF(COUNTA(AC2143:AE2143)=0,"",MAX((AC2143:AE2143&lt;&gt;"")*(COLUMN(AC2143:AE2143)-(COLUMN(AC2143)))))-1),"")</f>
        <v>45777</v>
      </c>
      <c r="K2143" s="16" t="n">
        <f aca="false" t="array" ref="K2143:K2143">IFERROR(INDEX(AC2143:AE2143,IF(COUNTA(AC2143:AE2143)=0,"",MAX((AC2143:AE2143&lt;&gt;"")*(COLUMN(AC2143:AE2143)-(COLUMN(AC2143)-1))))-1),"")</f>
        <v>46022</v>
      </c>
      <c r="L2143" s="17" t="str">
        <f aca="false" t="array" ref="L2143:L2143">IFERROR(INDEX(AC2143:AE2143,IF(COUNTA(AC2143:AE2143)=0,"",MAX((AC2143:AE2143&lt;&gt;"")*(COLUMN(AC2143:AE2143)-(COLUMN(AC2143)-2))))-1),"")</f>
        <v>ARCHIVED</v>
      </c>
      <c r="M2143" s="13" t="n">
        <f aca="true">K2143-TODAY()</f>
        <v>-302</v>
      </c>
      <c r="N2143" s="18" t="s">
        <v>36</v>
      </c>
      <c r="O2143" s="13" t="s">
        <v>156</v>
      </c>
      <c r="P2143" s="19" t="n">
        <v>5195401</v>
      </c>
      <c r="Q2143" s="20" t="s">
        <v>9221</v>
      </c>
      <c r="R2143" s="13" t="s">
        <v>65</v>
      </c>
      <c r="S2143" s="16" t="n">
        <v>34385</v>
      </c>
      <c r="T2143" s="28" t="s">
        <v>40</v>
      </c>
      <c r="U2143" s="13" t="s">
        <v>9222</v>
      </c>
      <c r="V2143" s="13" t="s">
        <v>42</v>
      </c>
      <c r="W2143" s="13" t="s">
        <v>54</v>
      </c>
      <c r="X2143" s="21" t="n">
        <v>81217372165</v>
      </c>
      <c r="Y2143" s="22" t="str">
        <f aca="false">O2143</f>
        <v>Emulsion</v>
      </c>
      <c r="Z2143" s="13" t="str">
        <f aca="false">IFERROR(__xludf.dummyfunction("if(BJ2143="""","""",GOOGLETRANSLATE(BJ2143,""auto"",""en""))"),"Emulsion")</f>
        <v>Emulsion</v>
      </c>
      <c r="AA2143" s="23" t="str">
        <f aca="false">IF(C2143="","", CHOOSE(MONTH(C2143),"January","February","March","April","May","June","July","August","September","October","November","December")&amp;" "&amp;DAY(C2143)&amp;MID("thstndrdth",MIN(9,2*RIGHT(DAY(C2143))*(MOD(DAY(C2143)-11,100)&gt;2)+1),2)&amp;","&amp;TEXT(C2143," yyyy"))</f>
        <v>April 30th,2025</v>
      </c>
      <c r="AB2143" s="15" t="str">
        <f aca="true">IF(S2143="","",DATEDIF(S2143,TODAY(),"Y")&amp;" Tahun, "&amp;DATEDIF(S2143,TODAY(),"YM")&amp;" Bulan, "&amp;DATEDIF(S2143,TODAY(),"MD")&amp;" Hari")</f>
        <v>32 Tahun, 8 Bulan, 9 Hari</v>
      </c>
      <c r="AC2143" s="18" t="n">
        <v>45777</v>
      </c>
      <c r="AD2143" s="18" t="n">
        <v>46022</v>
      </c>
      <c r="AE2143" s="18" t="s">
        <v>44</v>
      </c>
    </row>
    <row r="2144" customFormat="false" ht="15" hidden="false" customHeight="true" outlineLevel="0" collapsed="false">
      <c r="A2144" s="12" t="n">
        <v>19440</v>
      </c>
      <c r="B2144" s="13" t="s">
        <v>9223</v>
      </c>
      <c r="C2144" s="16" t="n">
        <v>45777</v>
      </c>
      <c r="D2144" s="13" t="s">
        <v>144</v>
      </c>
      <c r="E2144" s="15" t="s">
        <v>47</v>
      </c>
      <c r="F2144" s="15" t="str">
        <f aca="false">IFERROR(__xludf.dummyfunction("XLOOKUP(AJ2144,IMPORTRANGE(""1XaInW9DU9nz21V0tYIfzFQ0He9kVQ_JF2mCXgZ3hqFA"",""REKAP ALL 2026 - Andika!G:G""),IMPORTRANGE(""1XaInW9DU9nz21V0tYIfzFQ0He9kVQ_JF2mCXgZ3hqFA"",""REKAP ALL 2026 - Andika!F:F""),"""",0)"),"25062537318")</f>
        <v>25062537318</v>
      </c>
      <c r="G2144" s="13" t="s">
        <v>9224</v>
      </c>
      <c r="H2144" s="13" t="s">
        <v>35</v>
      </c>
      <c r="I2144" s="13" t="str">
        <f aca="false">IF(C2144=J2144,"NEW KONTRAK","RE-KONTRAK")</f>
        <v>NEW KONTRAK</v>
      </c>
      <c r="J2144" s="16" t="n">
        <f aca="false" t="array" ref="J2144:J2144">IFERROR(INDEX(AC2144:AE2144,IF(COUNTA(AC2144:AE2144)=0,"",MAX((AC2144:AE2144&lt;&gt;"")*(COLUMN(AC2144:AE2144)-(COLUMN(AC2144)))))-1),"")</f>
        <v>45777</v>
      </c>
      <c r="K2144" s="16" t="n">
        <f aca="false" t="array" ref="K2144:K2144">IFERROR(INDEX(AC2144:AE2144,IF(COUNTA(AC2144:AE2144)=0,"",MAX((AC2144:AE2144&lt;&gt;"")*(COLUMN(AC2144:AE2144)-(COLUMN(AC2144)-1))))-1),"")</f>
        <v>46022</v>
      </c>
      <c r="L2144" s="17" t="str">
        <f aca="false" t="array" ref="L2144:L2144">IFERROR(INDEX(AC2144:AE2144,IF(COUNTA(AC2144:AE2144)=0,"",MAX((AC2144:AE2144&lt;&gt;"")*(COLUMN(AC2144:AE2144)-(COLUMN(AC2144)-2))))-1),"")</f>
        <v>ARCHIVED</v>
      </c>
      <c r="M2144" s="13" t="n">
        <f aca="true">K2144-TODAY()</f>
        <v>-302</v>
      </c>
      <c r="N2144" s="18" t="s">
        <v>36</v>
      </c>
      <c r="O2144" s="13" t="s">
        <v>9225</v>
      </c>
      <c r="P2144" s="19" t="n">
        <v>5195401</v>
      </c>
      <c r="Q2144" s="20" t="s">
        <v>9226</v>
      </c>
      <c r="R2144" s="13" t="s">
        <v>2001</v>
      </c>
      <c r="S2144" s="16" t="n">
        <v>33550</v>
      </c>
      <c r="T2144" s="28" t="s">
        <v>40</v>
      </c>
      <c r="U2144" s="13" t="s">
        <v>9227</v>
      </c>
      <c r="V2144" s="13" t="s">
        <v>42</v>
      </c>
      <c r="W2144" s="13" t="s">
        <v>43</v>
      </c>
      <c r="X2144" s="21" t="n">
        <v>89504063188</v>
      </c>
      <c r="Y2144" s="22" t="str">
        <f aca="false">O2144</f>
        <v>Umum</v>
      </c>
      <c r="Z2144" s="13" t="str">
        <f aca="false">IFERROR(__xludf.dummyfunction("if(BJ2144="""","""",GOOGLETRANSLATE(BJ2144,""auto"",""en""))"),"General")</f>
        <v>General</v>
      </c>
      <c r="AA2144" s="23" t="str">
        <f aca="false">IF(C2144="","", CHOOSE(MONTH(C2144),"January","February","March","April","May","June","July","August","September","October","November","December")&amp;" "&amp;DAY(C2144)&amp;MID("thstndrdth",MIN(9,2*RIGHT(DAY(C2144))*(MOD(DAY(C2144)-11,100)&gt;2)+1),2)&amp;","&amp;TEXT(C2144," yyyy"))</f>
        <v>April 30th,2025</v>
      </c>
      <c r="AB2144" s="15" t="str">
        <f aca="true">IF(S2144="","",DATEDIF(S2144,TODAY(),"Y")&amp;" Tahun, "&amp;DATEDIF(S2144,TODAY(),"YM")&amp;" Bulan, "&amp;DATEDIF(S2144,TODAY(),"MD")&amp;" Hari")</f>
        <v>34 Tahun, 11 Bulan, 21 Hari</v>
      </c>
      <c r="AC2144" s="18" t="n">
        <v>45777</v>
      </c>
      <c r="AD2144" s="18" t="n">
        <v>46022</v>
      </c>
      <c r="AE2144" s="18" t="s">
        <v>44</v>
      </c>
    </row>
    <row r="2145" customFormat="false" ht="15" hidden="false" customHeight="true" outlineLevel="0" collapsed="false">
      <c r="A2145" s="12" t="n">
        <v>19465</v>
      </c>
      <c r="B2145" s="13" t="s">
        <v>9228</v>
      </c>
      <c r="C2145" s="16" t="n">
        <v>45779</v>
      </c>
      <c r="D2145" s="13" t="s">
        <v>1338</v>
      </c>
      <c r="E2145" s="15" t="s">
        <v>47</v>
      </c>
      <c r="F2145" s="15" t="str">
        <f aca="false">IFERROR(__xludf.dummyfunction("XLOOKUP(AJ2145,IMPORTRANGE(""1XaInW9DU9nz21V0tYIfzFQ0He9kVQ_JF2mCXgZ3hqFA"",""REKAP ALL 2026 - Andika!G:G""),IMPORTRANGE(""1XaInW9DU9nz21V0tYIfzFQ0He9kVQ_JF2mCXgZ3hqFA"",""REKAP ALL 2026 - Andika!F:F""),"""",0)"),"25062535056")</f>
        <v>25062535056</v>
      </c>
      <c r="G2145" s="13" t="s">
        <v>57</v>
      </c>
      <c r="H2145" s="13" t="s">
        <v>7955</v>
      </c>
      <c r="I2145" s="13" t="str">
        <f aca="false">IF(C2145=J2145,"NEW KONTRAK","RE-KONTRAK")</f>
        <v>RE-KONTRAK</v>
      </c>
      <c r="J2145" s="16" t="n">
        <f aca="false" t="array" ref="J2145:J2145">IFERROR(INDEX(AC2145:AE2145,IF(COUNTA(AC2145:AE2145)=0,"",MAX((AC2145:AE2145&lt;&gt;"")*(COLUMN(AC2145:AE2145)-(COLUMN(AC2145)))))-1),"")</f>
        <v>45844</v>
      </c>
      <c r="K2145" s="16" t="n">
        <f aca="false" t="array" ref="K2145:K2145">IFERROR(INDEX(AC2145:AE2145,IF(COUNTA(AC2145:AE2145)=0,"",MAX((AC2145:AE2145&lt;&gt;"")*(COLUMN(AC2145:AE2145)-(COLUMN(AC2145)-1))))-1),"")</f>
        <v>45928</v>
      </c>
      <c r="L2145" s="17" t="str">
        <f aca="false" t="array" ref="L2145:L2145">IFERROR(INDEX(AC2145:AE2145,IF(COUNTA(AC2145:AE2145)=0,"",MAX((AC2145:AE2145&lt;&gt;"")*(COLUMN(AC2145:AE2145)-(COLUMN(AC2145)-2))))-1),"")</f>
        <v>ARCHIVED</v>
      </c>
      <c r="M2145" s="13" t="n">
        <f aca="true">K2145-TODAY()</f>
        <v>-396</v>
      </c>
      <c r="N2145" s="18" t="s">
        <v>615</v>
      </c>
      <c r="O2145" s="13" t="s">
        <v>2335</v>
      </c>
      <c r="P2145" s="19" t="n">
        <v>210000</v>
      </c>
      <c r="Q2145" s="20" t="s">
        <v>9229</v>
      </c>
      <c r="R2145" s="13" t="s">
        <v>39</v>
      </c>
      <c r="S2145" s="16" t="n">
        <v>25766</v>
      </c>
      <c r="T2145" s="28" t="s">
        <v>40</v>
      </c>
      <c r="U2145" s="13" t="s">
        <v>9230</v>
      </c>
      <c r="V2145" s="13" t="s">
        <v>42</v>
      </c>
      <c r="W2145" s="13" t="s">
        <v>54</v>
      </c>
      <c r="X2145" s="21" t="n">
        <v>81230765020</v>
      </c>
      <c r="Y2145" s="22" t="str">
        <f aca="false">O2145</f>
        <v>Project Management</v>
      </c>
      <c r="Z2145" s="13" t="str">
        <f aca="false">IFERROR(__xludf.dummyfunction("if(BJ2145="""","""",GOOGLETRANSLATE(BJ2145,""auto"",""en""))"),"Project Management")</f>
        <v>Project Management</v>
      </c>
      <c r="AA2145" s="23" t="str">
        <f aca="false">IF(C2145="","", CHOOSE(MONTH(C2145),"January","February","March","April","May","June","July","August","September","October","November","December")&amp;" "&amp;DAY(C2145)&amp;MID("thstndrdth",MIN(9,2*RIGHT(DAY(C2145))*(MOD(DAY(C2145)-11,100)&gt;2)+1),2)&amp;","&amp;TEXT(C2145," yyyy"))</f>
        <v>May 2nd,2025</v>
      </c>
      <c r="AB2145" s="15" t="str">
        <f aca="true">IF(S2145="","",DATEDIF(S2145,TODAY(),"Y")&amp;" Tahun, "&amp;DATEDIF(S2145,TODAY(),"YM")&amp;" Bulan, "&amp;DATEDIF(S2145,TODAY(),"MD")&amp;" Hari")</f>
        <v>56 Tahun, 3 Bulan, 12 Hari</v>
      </c>
      <c r="AC2145" s="18" t="n">
        <v>45844</v>
      </c>
      <c r="AD2145" s="18" t="n">
        <v>45928</v>
      </c>
      <c r="AE2145" s="18" t="s">
        <v>44</v>
      </c>
    </row>
    <row r="2146" customFormat="false" ht="15" hidden="false" customHeight="true" outlineLevel="0" collapsed="false">
      <c r="A2146" s="12" t="n">
        <v>19442</v>
      </c>
      <c r="B2146" s="13" t="s">
        <v>9231</v>
      </c>
      <c r="C2146" s="16" t="n">
        <v>45742</v>
      </c>
      <c r="D2146" s="13" t="s">
        <v>5250</v>
      </c>
      <c r="E2146" s="15" t="s">
        <v>789</v>
      </c>
      <c r="F2146" s="15" t="str">
        <f aca="false">IFERROR(__xludf.dummyfunction("XLOOKUP(AJ2146,IMPORTRANGE(""1XaInW9DU9nz21V0tYIfzFQ0He9kVQ_JF2mCXgZ3hqFA"",""REKAP ALL 2026 - Andika!G:G""),IMPORTRANGE(""1XaInW9DU9nz21V0tYIfzFQ0He9kVQ_JF2mCXgZ3hqFA"",""REKAP ALL 2026 - Andika!F:F""),"""",0)"),"25079803992")</f>
        <v>25079803992</v>
      </c>
      <c r="G2146" s="13" t="s">
        <v>2809</v>
      </c>
      <c r="H2146" s="13" t="s">
        <v>35</v>
      </c>
      <c r="I2146" s="13" t="str">
        <f aca="false">IF(C2146=J2146,"NEW KONTRAK","RE-KONTRAK")</f>
        <v>RE-KONTRAK</v>
      </c>
      <c r="J2146" s="16" t="n">
        <f aca="false" t="array" ref="J2146:J2146">IFERROR(INDEX(AC2146:AE2146,IF(COUNTA(AC2146:AE2146)=0,"",MAX((AC2146:AE2146&lt;&gt;"")*(COLUMN(AC2146:AE2146)-(COLUMN(AC2146)))))-1),"")</f>
        <v>45834</v>
      </c>
      <c r="K2146" s="16" t="n">
        <f aca="false" t="array" ref="K2146:K2146">IFERROR(INDEX(AC2146:AE2146,IF(COUNTA(AC2146:AE2146)=0,"",MAX((AC2146:AE2146&lt;&gt;"")*(COLUMN(AC2146:AE2146)-(COLUMN(AC2146)-1))))-1),"")</f>
        <v>46022</v>
      </c>
      <c r="L2146" s="17" t="str">
        <f aca="false" t="array" ref="L2146:L2146">IFERROR(INDEX(AC2146:AE2146,IF(COUNTA(AC2146:AE2146)=0,"",MAX((AC2146:AE2146&lt;&gt;"")*(COLUMN(AC2146:AE2146)-(COLUMN(AC2146)-2))))-1),"")</f>
        <v>ARCHIVED</v>
      </c>
      <c r="M2146" s="13" t="n">
        <f aca="true">K2146-TODAY()</f>
        <v>-302</v>
      </c>
      <c r="N2146" s="18" t="s">
        <v>728</v>
      </c>
      <c r="O2146" s="13" t="s">
        <v>3271</v>
      </c>
      <c r="P2146" s="27" t="n">
        <v>5288796</v>
      </c>
      <c r="Q2146" s="20" t="s">
        <v>9232</v>
      </c>
      <c r="R2146" s="13" t="s">
        <v>52</v>
      </c>
      <c r="S2146" s="16" t="n">
        <v>25767</v>
      </c>
      <c r="T2146" s="28" t="s">
        <v>40</v>
      </c>
      <c r="U2146" s="13" t="s">
        <v>9233</v>
      </c>
      <c r="V2146" s="13" t="s">
        <v>42</v>
      </c>
      <c r="W2146" s="13" t="s">
        <v>54</v>
      </c>
      <c r="X2146" s="21" t="n">
        <v>895326364468</v>
      </c>
      <c r="Y2146" s="22" t="str">
        <f aca="false">O2146</f>
        <v>Helper</v>
      </c>
      <c r="Z2146" s="13" t="str">
        <f aca="false">IFERROR(__xludf.dummyfunction("if(BJ2146="""","""",GOOGLETRANSLATE(BJ2146,""auto"",""en""))"),"Helper")</f>
        <v>Helper</v>
      </c>
      <c r="AA2146" s="23" t="str">
        <f aca="false">IF(C2146="","", CHOOSE(MONTH(C2146),"January","February","March","April","May","June","July","August","September","October","November","December")&amp;" "&amp;DAY(C2146)&amp;MID("thstndrdth",MIN(9,2*RIGHT(DAY(C2146))*(MOD(DAY(C2146)-11,100)&gt;2)+1),2)&amp;","&amp;TEXT(C2146," yyyy"))</f>
        <v>March 26th,2025</v>
      </c>
      <c r="AB2146" s="15" t="str">
        <f aca="true">IF(S2146="","",DATEDIF(S2146,TODAY(),"Y")&amp;" Tahun, "&amp;DATEDIF(S2146,TODAY(),"YM")&amp;" Bulan, "&amp;DATEDIF(S2146,TODAY(),"MD")&amp;" Hari")</f>
        <v>56 Tahun, 3 Bulan, 11 Hari</v>
      </c>
      <c r="AC2146" s="18" t="n">
        <v>45834</v>
      </c>
      <c r="AD2146" s="18" t="n">
        <v>46022</v>
      </c>
      <c r="AE2146" s="18" t="s">
        <v>44</v>
      </c>
    </row>
    <row r="2147" customFormat="false" ht="15" hidden="false" customHeight="true" outlineLevel="0" collapsed="false">
      <c r="A2147" s="12" t="n">
        <v>19443</v>
      </c>
      <c r="B2147" s="13" t="s">
        <v>9234</v>
      </c>
      <c r="C2147" s="16" t="n">
        <v>45777</v>
      </c>
      <c r="D2147" s="13" t="s">
        <v>7534</v>
      </c>
      <c r="E2147" s="15" t="s">
        <v>102</v>
      </c>
      <c r="F2147" s="15" t="str">
        <f aca="false">IFERROR(__xludf.dummyfunction("XLOOKUP(AJ2147,IMPORTRANGE(""1XaInW9DU9nz21V0tYIfzFQ0He9kVQ_JF2mCXgZ3hqFA"",""REKAP ALL 2026 - Andika!G:G""),IMPORTRANGE(""1XaInW9DU9nz21V0tYIfzFQ0He9kVQ_JF2mCXgZ3hqFA"",""REKAP ALL 2026 - Andika!F:F""),"""",0)"),"25062537375")</f>
        <v>25062537375</v>
      </c>
      <c r="G2147" s="13" t="s">
        <v>9235</v>
      </c>
      <c r="H2147" s="13" t="s">
        <v>35</v>
      </c>
      <c r="I2147" s="13" t="str">
        <f aca="false">IF(C2147=J2147,"NEW KONTRAK","RE-KONTRAK")</f>
        <v>RE-KONTRAK</v>
      </c>
      <c r="J2147" s="16" t="n">
        <f aca="false" t="array" ref="J2147:J2147">IFERROR(INDEX(AC2147:AE2147,IF(COUNTA(AC2147:AE2147)=0,"",MAX((AC2147:AE2147&lt;&gt;"")*(COLUMN(AC2147:AE2147)-(COLUMN(AC2147)))))-1),"")</f>
        <v>45868</v>
      </c>
      <c r="K2147" s="16" t="n">
        <f aca="false" t="array" ref="K2147:K2147">IFERROR(INDEX(AC2147:AE2147,IF(COUNTA(AC2147:AE2147)=0,"",MAX((AC2147:AE2147&lt;&gt;"")*(COLUMN(AC2147:AE2147)-(COLUMN(AC2147)-1))))-1),"")</f>
        <v>46051</v>
      </c>
      <c r="L2147" s="17" t="str">
        <f aca="false" t="array" ref="L2147:L2147">IFERROR(INDEX(AC2147:AE2147,IF(COUNTA(AC2147:AE2147)=0,"",MAX((AC2147:AE2147&lt;&gt;"")*(COLUMN(AC2147:AE2147)-(COLUMN(AC2147)-2))))-1),"")</f>
        <v>ARCHIVED</v>
      </c>
      <c r="M2147" s="13" t="n">
        <f aca="true">K2147-TODAY()</f>
        <v>-273</v>
      </c>
      <c r="N2147" s="18" t="s">
        <v>4735</v>
      </c>
      <c r="O2147" s="13" t="s">
        <v>7536</v>
      </c>
      <c r="P2147" s="19" t="n">
        <v>3553530</v>
      </c>
      <c r="Q2147" s="20" t="s">
        <v>9236</v>
      </c>
      <c r="R2147" s="13" t="s">
        <v>83</v>
      </c>
      <c r="S2147" s="16" t="n">
        <v>37045</v>
      </c>
      <c r="T2147" s="13" t="s">
        <v>108</v>
      </c>
      <c r="U2147" s="13" t="s">
        <v>9237</v>
      </c>
      <c r="V2147" s="13" t="s">
        <v>42</v>
      </c>
      <c r="W2147" s="13" t="s">
        <v>43</v>
      </c>
      <c r="X2147" s="21" t="n">
        <v>85940980864</v>
      </c>
      <c r="Y2147" s="22" t="str">
        <f aca="false">O2147</f>
        <v>Host Live</v>
      </c>
      <c r="Z2147" s="13" t="str">
        <f aca="false">IFERROR(__xludf.dummyfunction("if(BJ2147="""","""",GOOGLETRANSLATE(BJ2147,""auto"",""en""))"),"Host Live")</f>
        <v>Host Live</v>
      </c>
      <c r="AA2147" s="23" t="str">
        <f aca="false">IF(C2147="","", CHOOSE(MONTH(C2147),"January","February","March","April","May","June","July","August","September","October","November","December")&amp;" "&amp;DAY(C2147)&amp;MID("thstndrdth",MIN(9,2*RIGHT(DAY(C2147))*(MOD(DAY(C2147)-11,100)&gt;2)+1),2)&amp;","&amp;TEXT(C2147," yyyy"))</f>
        <v>April 30th,2025</v>
      </c>
      <c r="AB2147" s="15" t="str">
        <f aca="true">IF(S2147="","",DATEDIF(S2147,TODAY(),"Y")&amp;" Tahun, "&amp;DATEDIF(S2147,TODAY(),"YM")&amp;" Bulan, "&amp;DATEDIF(S2147,TODAY(),"MD")&amp;" Hari")</f>
        <v>25 Tahun, 4 Bulan, 26 Hari</v>
      </c>
      <c r="AC2147" s="18" t="n">
        <v>45868</v>
      </c>
      <c r="AD2147" s="18" t="n">
        <v>46051</v>
      </c>
      <c r="AE2147" s="18" t="s">
        <v>44</v>
      </c>
    </row>
    <row r="2148" customFormat="false" ht="15" hidden="false" customHeight="true" outlineLevel="0" collapsed="false">
      <c r="A2148" s="12" t="n">
        <v>19444</v>
      </c>
      <c r="B2148" s="13" t="s">
        <v>9238</v>
      </c>
      <c r="C2148" s="16" t="n">
        <v>45761</v>
      </c>
      <c r="D2148" s="13" t="s">
        <v>2046</v>
      </c>
      <c r="E2148" s="15" t="s">
        <v>102</v>
      </c>
      <c r="F2148" s="15" t="str">
        <f aca="false">IFERROR(__xludf.dummyfunction("XLOOKUP(AJ2148,IMPORTRANGE(""1XaInW9DU9nz21V0tYIfzFQ0He9kVQ_JF2mCXgZ3hqFA"",""REKAP ALL 2026 - Andika!G:G""),IMPORTRANGE(""1XaInW9DU9nz21V0tYIfzFQ0He9kVQ_JF2mCXgZ3hqFA"",""REKAP ALL 2026 - Andika!F:F""),"""",0)"),"25062537847")</f>
        <v>25062537847</v>
      </c>
      <c r="G2148" s="13" t="s">
        <v>9239</v>
      </c>
      <c r="H2148" s="13" t="s">
        <v>35</v>
      </c>
      <c r="I2148" s="13" t="str">
        <f aca="false">IF(C2148=J2148,"NEW KONTRAK","RE-KONTRAK")</f>
        <v>RE-KONTRAK</v>
      </c>
      <c r="J2148" s="16" t="n">
        <f aca="false" t="array" ref="J2148:J2148">IFERROR(INDEX(AC2148:AE2148,IF(COUNTA(AC2148:AE2148)=0,"",MAX((AC2148:AE2148&lt;&gt;"")*(COLUMN(AC2148:AE2148)-(COLUMN(AC2148)))))-1),"")</f>
        <v>45839</v>
      </c>
      <c r="K2148" s="16" t="n">
        <f aca="false" t="array" ref="K2148:K2148">IFERROR(INDEX(AC2148:AE2148,IF(COUNTA(AC2148:AE2148)=0,"",MAX((AC2148:AE2148&lt;&gt;"")*(COLUMN(AC2148:AE2148)-(COLUMN(AC2148)-1))))-1),"")</f>
        <v>45961</v>
      </c>
      <c r="L2148" s="17" t="str">
        <f aca="false" t="array" ref="L2148:L2148">IFERROR(INDEX(AC2148:AE2148,IF(COUNTA(AC2148:AE2148)=0,"",MAX((AC2148:AE2148&lt;&gt;"")*(COLUMN(AC2148:AE2148)-(COLUMN(AC2148)-2))))-1),"")</f>
        <v>ARCHIVED</v>
      </c>
      <c r="M2148" s="13" t="n">
        <f aca="true">K2148-TODAY()</f>
        <v>-363</v>
      </c>
      <c r="N2148" s="18" t="s">
        <v>36</v>
      </c>
      <c r="O2148" s="13" t="s">
        <v>58</v>
      </c>
      <c r="P2148" s="19" t="s">
        <v>2050</v>
      </c>
      <c r="Q2148" s="20" t="s">
        <v>9240</v>
      </c>
      <c r="R2148" s="13" t="s">
        <v>52</v>
      </c>
      <c r="S2148" s="16" t="n">
        <v>37000</v>
      </c>
      <c r="T2148" s="28" t="s">
        <v>40</v>
      </c>
      <c r="U2148" s="13" t="s">
        <v>9241</v>
      </c>
      <c r="V2148" s="13" t="s">
        <v>42</v>
      </c>
      <c r="W2148" s="13" t="s">
        <v>43</v>
      </c>
      <c r="X2148" s="21" t="n">
        <v>88983238082</v>
      </c>
      <c r="Y2148" s="22" t="str">
        <f aca="false">O2148</f>
        <v>Produksi</v>
      </c>
      <c r="Z2148" s="13" t="str">
        <f aca="false">IFERROR(__xludf.dummyfunction("if(BJ2148="""","""",GOOGLETRANSLATE(BJ2148,""auto"",""en""))"),"Production")</f>
        <v>Production</v>
      </c>
      <c r="AA2148" s="23" t="str">
        <f aca="false">IF(C2148="","", CHOOSE(MONTH(C2148),"January","February","March","April","May","June","July","August","September","October","November","December")&amp;" "&amp;DAY(C2148)&amp;MID("thstndrdth",MIN(9,2*RIGHT(DAY(C2148))*(MOD(DAY(C2148)-11,100)&gt;2)+1),2)&amp;","&amp;TEXT(C2148," yyyy"))</f>
        <v>April 14th,2025</v>
      </c>
      <c r="AB2148" s="15" t="str">
        <f aca="true">IF(S2148="","",DATEDIF(S2148,TODAY(),"Y")&amp;" Tahun, "&amp;DATEDIF(S2148,TODAY(),"YM")&amp;" Bulan, "&amp;DATEDIF(S2148,TODAY(),"MD")&amp;" Hari")</f>
        <v>25 Tahun, 6 Bulan, 10 Hari</v>
      </c>
      <c r="AC2148" s="18" t="n">
        <v>45839</v>
      </c>
      <c r="AD2148" s="18" t="n">
        <v>45961</v>
      </c>
      <c r="AE2148" s="18" t="s">
        <v>44</v>
      </c>
    </row>
    <row r="2149" customFormat="false" ht="15" hidden="false" customHeight="true" outlineLevel="0" collapsed="false">
      <c r="A2149" s="12" t="n">
        <v>19445</v>
      </c>
      <c r="B2149" s="13" t="s">
        <v>9242</v>
      </c>
      <c r="C2149" s="16" t="n">
        <v>45761</v>
      </c>
      <c r="D2149" s="13" t="s">
        <v>2046</v>
      </c>
      <c r="E2149" s="15" t="s">
        <v>33</v>
      </c>
      <c r="F2149" s="24" t="s">
        <v>9243</v>
      </c>
      <c r="G2149" s="13" t="s">
        <v>1127</v>
      </c>
      <c r="H2149" s="13" t="s">
        <v>35</v>
      </c>
      <c r="I2149" s="13" t="str">
        <f aca="false">IF(C2149=J2149,"NEW KONTRAK","RE-KONTRAK")</f>
        <v>RE-KONTRAK</v>
      </c>
      <c r="J2149" s="16" t="n">
        <f aca="false" t="array" ref="J2149:J2149">IFERROR(INDEX(AC2149:AE2149,IF(COUNTA(AC2149:AE2149)=0,"",MAX((AC2149:AE2149&lt;&gt;"")*(COLUMN(AC2149:AE2149)-(COLUMN(AC2149)))))-1),"")</f>
        <v>45839</v>
      </c>
      <c r="K2149" s="16" t="n">
        <f aca="false" t="array" ref="K2149:K2149">IFERROR(INDEX(AC2149:AE2149,IF(COUNTA(AC2149:AE2149)=0,"",MAX((AC2149:AE2149&lt;&gt;"")*(COLUMN(AC2149:AE2149)-(COLUMN(AC2149)-1))))-1),"")</f>
        <v>45961</v>
      </c>
      <c r="L2149" s="17" t="str">
        <f aca="false" t="array" ref="L2149:L2149">IFERROR(INDEX(AC2149:AE2149,IF(COUNTA(AC2149:AE2149)=0,"",MAX((AC2149:AE2149&lt;&gt;"")*(COLUMN(AC2149:AE2149)-(COLUMN(AC2149)-2))))-1),"")</f>
        <v>ARCHIVED</v>
      </c>
      <c r="M2149" s="13" t="n">
        <f aca="true">K2149-TODAY()</f>
        <v>-363</v>
      </c>
      <c r="N2149" s="18" t="s">
        <v>36</v>
      </c>
      <c r="O2149" s="13" t="s">
        <v>58</v>
      </c>
      <c r="P2149" s="27" t="n">
        <v>5176101</v>
      </c>
      <c r="Q2149" s="20" t="s">
        <v>9244</v>
      </c>
      <c r="R2149" s="13" t="s">
        <v>52</v>
      </c>
      <c r="S2149" s="16" t="n">
        <v>33771</v>
      </c>
      <c r="T2149" s="28" t="s">
        <v>40</v>
      </c>
      <c r="U2149" s="13" t="s">
        <v>9245</v>
      </c>
      <c r="V2149" s="13" t="s">
        <v>42</v>
      </c>
      <c r="W2149" s="13" t="s">
        <v>54</v>
      </c>
      <c r="X2149" s="30" t="n">
        <v>81291334123</v>
      </c>
      <c r="Y2149" s="22" t="str">
        <f aca="false">O2149</f>
        <v>Produksi</v>
      </c>
      <c r="Z2149" s="13" t="str">
        <f aca="false">IFERROR(__xludf.dummyfunction("if(BJ2149="""","""",GOOGLETRANSLATE(BJ2149,""auto"",""en""))"),"Production")</f>
        <v>Production</v>
      </c>
      <c r="AA2149" s="23" t="str">
        <f aca="false">IF(C2149="","", CHOOSE(MONTH(C2149),"January","February","March","April","May","June","July","August","September","October","November","December")&amp;" "&amp;DAY(C2149)&amp;MID("thstndrdth",MIN(9,2*RIGHT(DAY(C2149))*(MOD(DAY(C2149)-11,100)&gt;2)+1),2)&amp;","&amp;TEXT(C2149," yyyy"))</f>
        <v>April 14th,2025</v>
      </c>
      <c r="AB2149" s="15" t="str">
        <f aca="true">IF(S2149="","",DATEDIF(S2149,TODAY(),"Y")&amp;" Tahun, "&amp;DATEDIF(S2149,TODAY(),"YM")&amp;" Bulan, "&amp;DATEDIF(S2149,TODAY(),"MD")&amp;" Hari")</f>
        <v>34 Tahun, 4 Bulan, 13 Hari</v>
      </c>
      <c r="AC2149" s="18" t="n">
        <v>45839</v>
      </c>
      <c r="AD2149" s="18" t="n">
        <v>45961</v>
      </c>
      <c r="AE2149" s="18" t="s">
        <v>44</v>
      </c>
    </row>
    <row r="2150" customFormat="false" ht="15" hidden="false" customHeight="true" outlineLevel="0" collapsed="false">
      <c r="A2150" s="12" t="n">
        <v>19446</v>
      </c>
      <c r="B2150" s="13" t="s">
        <v>9246</v>
      </c>
      <c r="C2150" s="16" t="n">
        <v>45761</v>
      </c>
      <c r="D2150" s="13" t="s">
        <v>2046</v>
      </c>
      <c r="E2150" s="15" t="s">
        <v>789</v>
      </c>
      <c r="F2150" s="24" t="s">
        <v>9247</v>
      </c>
      <c r="G2150" s="13" t="s">
        <v>9248</v>
      </c>
      <c r="H2150" s="13" t="s">
        <v>35</v>
      </c>
      <c r="I2150" s="13" t="str">
        <f aca="false">IF(C2150=J2150,"NEW KONTRAK","RE-KONTRAK")</f>
        <v>RE-KONTRAK</v>
      </c>
      <c r="J2150" s="16" t="n">
        <f aca="false" t="array" ref="J2150:J2150">IFERROR(INDEX(AC2150:AE2150,IF(COUNTA(AC2150:AE2150)=0,"",MAX((AC2150:AE2150&lt;&gt;"")*(COLUMN(AC2150:AE2150)-(COLUMN(AC2150)))))-1),"")</f>
        <v>45839</v>
      </c>
      <c r="K2150" s="16" t="n">
        <f aca="false" t="array" ref="K2150:K2150">IFERROR(INDEX(AC2150:AE2150,IF(COUNTA(AC2150:AE2150)=0,"",MAX((AC2150:AE2150&lt;&gt;"")*(COLUMN(AC2150:AE2150)-(COLUMN(AC2150)-1))))-1),"")</f>
        <v>45961</v>
      </c>
      <c r="L2150" s="17" t="str">
        <f aca="false" t="array" ref="L2150:L2150">IFERROR(INDEX(AC2150:AE2150,IF(COUNTA(AC2150:AE2150)=0,"",MAX((AC2150:AE2150&lt;&gt;"")*(COLUMN(AC2150:AE2150)-(COLUMN(AC2150)-2))))-1),"")</f>
        <v>ARCHIVED</v>
      </c>
      <c r="M2150" s="13" t="n">
        <f aca="true">K2150-TODAY()</f>
        <v>-363</v>
      </c>
      <c r="N2150" s="18" t="s">
        <v>36</v>
      </c>
      <c r="O2150" s="13" t="s">
        <v>58</v>
      </c>
      <c r="P2150" s="19" t="s">
        <v>2050</v>
      </c>
      <c r="Q2150" s="20" t="s">
        <v>9249</v>
      </c>
      <c r="R2150" s="13" t="s">
        <v>65</v>
      </c>
      <c r="S2150" s="16" t="n">
        <v>36095</v>
      </c>
      <c r="T2150" s="28" t="s">
        <v>40</v>
      </c>
      <c r="U2150" s="13" t="s">
        <v>9250</v>
      </c>
      <c r="V2150" s="13" t="s">
        <v>42</v>
      </c>
      <c r="W2150" s="13" t="s">
        <v>43</v>
      </c>
      <c r="X2150" s="21" t="n">
        <v>81336538108</v>
      </c>
      <c r="Y2150" s="22" t="str">
        <f aca="false">O2150</f>
        <v>Produksi</v>
      </c>
      <c r="Z2150" s="13" t="str">
        <f aca="false">IFERROR(__xludf.dummyfunction("if(BJ2150="""","""",GOOGLETRANSLATE(BJ2150,""auto"",""en""))"),"Production")</f>
        <v>Production</v>
      </c>
      <c r="AA2150" s="23" t="str">
        <f aca="false">IF(C2150="","", CHOOSE(MONTH(C2150),"January","February","March","April","May","June","July","August","September","October","November","December")&amp;" "&amp;DAY(C2150)&amp;MID("thstndrdth",MIN(9,2*RIGHT(DAY(C2150))*(MOD(DAY(C2150)-11,100)&gt;2)+1),2)&amp;","&amp;TEXT(C2150," yyyy"))</f>
        <v>April 14th,2025</v>
      </c>
      <c r="AB2150" s="15" t="str">
        <f aca="true">IF(S2150="","",DATEDIF(S2150,TODAY(),"Y")&amp;" Tahun, "&amp;DATEDIF(S2150,TODAY(),"YM")&amp;" Bulan, "&amp;DATEDIF(S2150,TODAY(),"MD")&amp;" Hari")</f>
        <v>28 Tahun, 0 Bulan, 2 Hari</v>
      </c>
      <c r="AC2150" s="18" t="n">
        <v>45839</v>
      </c>
      <c r="AD2150" s="18" t="n">
        <v>45961</v>
      </c>
      <c r="AE2150" s="18" t="s">
        <v>44</v>
      </c>
    </row>
    <row r="2151" customFormat="false" ht="15" hidden="false" customHeight="true" outlineLevel="0" collapsed="false">
      <c r="A2151" s="12" t="n">
        <v>19447</v>
      </c>
      <c r="B2151" s="13" t="s">
        <v>9251</v>
      </c>
      <c r="C2151" s="16" t="n">
        <v>45761</v>
      </c>
      <c r="D2151" s="13" t="s">
        <v>2046</v>
      </c>
      <c r="E2151" s="15" t="s">
        <v>789</v>
      </c>
      <c r="F2151" s="24" t="s">
        <v>9252</v>
      </c>
      <c r="G2151" s="13" t="s">
        <v>9253</v>
      </c>
      <c r="H2151" s="13" t="s">
        <v>35</v>
      </c>
      <c r="I2151" s="13" t="str">
        <f aca="false">IF(C2151=J2151,"NEW KONTRAK","RE-KONTRAK")</f>
        <v>RE-KONTRAK</v>
      </c>
      <c r="J2151" s="16" t="n">
        <f aca="false" t="array" ref="J2151:J2151">IFERROR(INDEX(AC2151:AE2151,IF(COUNTA(AC2151:AE2151)=0,"",MAX((AC2151:AE2151&lt;&gt;"")*(COLUMN(AC2151:AE2151)-(COLUMN(AC2151)))))-1),"")</f>
        <v>45839</v>
      </c>
      <c r="K2151" s="16" t="n">
        <f aca="false" t="array" ref="K2151:K2151">IFERROR(INDEX(AC2151:AE2151,IF(COUNTA(AC2151:AE2151)=0,"",MAX((AC2151:AE2151&lt;&gt;"")*(COLUMN(AC2151:AE2151)-(COLUMN(AC2151)-1))))-1),"")</f>
        <v>45961</v>
      </c>
      <c r="L2151" s="17" t="str">
        <f aca="false" t="array" ref="L2151:L2151">IFERROR(INDEX(AC2151:AE2151,IF(COUNTA(AC2151:AE2151)=0,"",MAX((AC2151:AE2151&lt;&gt;"")*(COLUMN(AC2151:AE2151)-(COLUMN(AC2151)-2))))-1),"")</f>
        <v>ARCHIVED</v>
      </c>
      <c r="M2151" s="13" t="n">
        <f aca="true">K2151-TODAY()</f>
        <v>-363</v>
      </c>
      <c r="N2151" s="18" t="s">
        <v>36</v>
      </c>
      <c r="O2151" s="13" t="s">
        <v>58</v>
      </c>
      <c r="P2151" s="19" t="s">
        <v>2050</v>
      </c>
      <c r="Q2151" s="20" t="s">
        <v>9254</v>
      </c>
      <c r="R2151" s="13" t="s">
        <v>65</v>
      </c>
      <c r="S2151" s="16" t="n">
        <v>35637</v>
      </c>
      <c r="T2151" s="28" t="s">
        <v>40</v>
      </c>
      <c r="U2151" s="13" t="s">
        <v>9255</v>
      </c>
      <c r="V2151" s="13" t="s">
        <v>42</v>
      </c>
      <c r="W2151" s="13" t="s">
        <v>43</v>
      </c>
      <c r="X2151" s="21" t="n">
        <v>82253829881</v>
      </c>
      <c r="Y2151" s="22" t="str">
        <f aca="false">O2151</f>
        <v>Produksi</v>
      </c>
      <c r="Z2151" s="13" t="str">
        <f aca="false">IFERROR(__xludf.dummyfunction("if(BJ2151="""","""",GOOGLETRANSLATE(BJ2151,""auto"",""en""))"),"Production")</f>
        <v>Production</v>
      </c>
      <c r="AA2151" s="23" t="str">
        <f aca="false">IF(C2151="","", CHOOSE(MONTH(C2151),"January","February","March","April","May","June","July","August","September","October","November","December")&amp;" "&amp;DAY(C2151)&amp;MID("thstndrdth",MIN(9,2*RIGHT(DAY(C2151))*(MOD(DAY(C2151)-11,100)&gt;2)+1),2)&amp;","&amp;TEXT(C2151," yyyy"))</f>
        <v>April 14th,2025</v>
      </c>
      <c r="AB2151" s="15" t="str">
        <f aca="true">IF(S2151="","",DATEDIF(S2151,TODAY(),"Y")&amp;" Tahun, "&amp;DATEDIF(S2151,TODAY(),"YM")&amp;" Bulan, "&amp;DATEDIF(S2151,TODAY(),"MD")&amp;" Hari")</f>
        <v>29 Tahun, 3 Bulan, 3 Hari</v>
      </c>
      <c r="AC2151" s="18" t="n">
        <v>45839</v>
      </c>
      <c r="AD2151" s="18" t="n">
        <v>45961</v>
      </c>
      <c r="AE2151" s="18" t="s">
        <v>44</v>
      </c>
    </row>
    <row r="2152" customFormat="false" ht="15" hidden="false" customHeight="true" outlineLevel="0" collapsed="false">
      <c r="A2152" s="12" t="n">
        <v>19448</v>
      </c>
      <c r="B2152" s="13" t="s">
        <v>9256</v>
      </c>
      <c r="C2152" s="16" t="n">
        <v>45761</v>
      </c>
      <c r="D2152" s="13" t="s">
        <v>2046</v>
      </c>
      <c r="E2152" s="15" t="s">
        <v>33</v>
      </c>
      <c r="F2152" s="24" t="s">
        <v>9257</v>
      </c>
      <c r="G2152" s="13" t="s">
        <v>9258</v>
      </c>
      <c r="H2152" s="13" t="s">
        <v>35</v>
      </c>
      <c r="I2152" s="13" t="str">
        <f aca="false">IF(C2152=J2152,"NEW KONTRAK","RE-KONTRAK")</f>
        <v>RE-KONTRAK</v>
      </c>
      <c r="J2152" s="16" t="n">
        <f aca="false" t="array" ref="J2152:J2152">IFERROR(INDEX(AC2152:AE2152,IF(COUNTA(AC2152:AE2152)=0,"",MAX((AC2152:AE2152&lt;&gt;"")*(COLUMN(AC2152:AE2152)-(COLUMN(AC2152)))))-1),"")</f>
        <v>45839</v>
      </c>
      <c r="K2152" s="16" t="n">
        <f aca="false" t="array" ref="K2152:K2152">IFERROR(INDEX(AC2152:AE2152,IF(COUNTA(AC2152:AE2152)=0,"",MAX((AC2152:AE2152&lt;&gt;"")*(COLUMN(AC2152:AE2152)-(COLUMN(AC2152)-1))))-1),"")</f>
        <v>45961</v>
      </c>
      <c r="L2152" s="17" t="str">
        <f aca="false" t="array" ref="L2152:L2152">IFERROR(INDEX(AC2152:AE2152,IF(COUNTA(AC2152:AE2152)=0,"",MAX((AC2152:AE2152&lt;&gt;"")*(COLUMN(AC2152:AE2152)-(COLUMN(AC2152)-2))))-1),"")</f>
        <v>ARCHIVED</v>
      </c>
      <c r="M2152" s="13" t="n">
        <f aca="true">K2152-TODAY()</f>
        <v>-363</v>
      </c>
      <c r="N2152" s="18" t="s">
        <v>36</v>
      </c>
      <c r="O2152" s="13" t="s">
        <v>58</v>
      </c>
      <c r="P2152" s="27" t="n">
        <v>5176101</v>
      </c>
      <c r="Q2152" s="20" t="s">
        <v>9259</v>
      </c>
      <c r="R2152" s="13" t="s">
        <v>65</v>
      </c>
      <c r="S2152" s="16" t="n">
        <v>35558</v>
      </c>
      <c r="T2152" s="28" t="s">
        <v>40</v>
      </c>
      <c r="U2152" s="13" t="s">
        <v>3952</v>
      </c>
      <c r="V2152" s="13" t="s">
        <v>42</v>
      </c>
      <c r="W2152" s="13" t="s">
        <v>43</v>
      </c>
      <c r="X2152" s="30" t="n">
        <v>82381206797</v>
      </c>
      <c r="Y2152" s="22" t="str">
        <f aca="false">O2152</f>
        <v>Produksi</v>
      </c>
      <c r="Z2152" s="13" t="str">
        <f aca="false">IFERROR(__xludf.dummyfunction("if(BJ2152="""","""",GOOGLETRANSLATE(BJ2152,""auto"",""en""))"),"Production")</f>
        <v>Production</v>
      </c>
      <c r="AA2152" s="23" t="str">
        <f aca="false">IF(C2152="","", CHOOSE(MONTH(C2152),"January","February","March","April","May","June","July","August","September","October","November","December")&amp;" "&amp;DAY(C2152)&amp;MID("thstndrdth",MIN(9,2*RIGHT(DAY(C2152))*(MOD(DAY(C2152)-11,100)&gt;2)+1),2)&amp;","&amp;TEXT(C2152," yyyy"))</f>
        <v>April 14th,2025</v>
      </c>
      <c r="AB2152" s="15" t="str">
        <f aca="true">IF(S2152="","",DATEDIF(S2152,TODAY(),"Y")&amp;" Tahun, "&amp;DATEDIF(S2152,TODAY(),"YM")&amp;" Bulan, "&amp;DATEDIF(S2152,TODAY(),"MD")&amp;" Hari")</f>
        <v>29 Tahun, 5 Bulan, 21 Hari</v>
      </c>
      <c r="AC2152" s="18" t="n">
        <v>45839</v>
      </c>
      <c r="AD2152" s="18" t="n">
        <v>45961</v>
      </c>
      <c r="AE2152" s="18" t="s">
        <v>44</v>
      </c>
    </row>
    <row r="2153" customFormat="false" ht="15" hidden="false" customHeight="true" outlineLevel="0" collapsed="false">
      <c r="A2153" s="12" t="n">
        <v>19449</v>
      </c>
      <c r="B2153" s="13" t="s">
        <v>9260</v>
      </c>
      <c r="C2153" s="16" t="n">
        <v>45761</v>
      </c>
      <c r="D2153" s="13" t="s">
        <v>2046</v>
      </c>
      <c r="E2153" s="15" t="s">
        <v>102</v>
      </c>
      <c r="F2153" s="15" t="str">
        <f aca="false">IFERROR(__xludf.dummyfunction("XLOOKUP(AJ2153,IMPORTRANGE(""1XaInW9DU9nz21V0tYIfzFQ0He9kVQ_JF2mCXgZ3hqFA"",""REKAP ALL 2026 - Andika!G:G""),IMPORTRANGE(""1XaInW9DU9nz21V0tYIfzFQ0He9kVQ_JF2mCXgZ3hqFA"",""REKAP ALL 2026 - Andika!F:F""),"""",0)"),"25062537896")</f>
        <v>25062537896</v>
      </c>
      <c r="G2153" s="13" t="s">
        <v>9261</v>
      </c>
      <c r="H2153" s="13" t="s">
        <v>35</v>
      </c>
      <c r="I2153" s="13" t="str">
        <f aca="false">IF(C2153=J2153,"NEW KONTRAK","RE-KONTRAK")</f>
        <v>RE-KONTRAK</v>
      </c>
      <c r="J2153" s="16" t="n">
        <f aca="false" t="array" ref="J2153:J2153">IFERROR(INDEX(AC2153:AE2153,IF(COUNTA(AC2153:AE2153)=0,"",MAX((AC2153:AE2153&lt;&gt;"")*(COLUMN(AC2153:AE2153)-(COLUMN(AC2153)))))-1),"")</f>
        <v>45839</v>
      </c>
      <c r="K2153" s="16" t="n">
        <f aca="false" t="array" ref="K2153:K2153">IFERROR(INDEX(AC2153:AE2153,IF(COUNTA(AC2153:AE2153)=0,"",MAX((AC2153:AE2153&lt;&gt;"")*(COLUMN(AC2153:AE2153)-(COLUMN(AC2153)-1))))-1),"")</f>
        <v>45961</v>
      </c>
      <c r="L2153" s="17" t="str">
        <f aca="false" t="array" ref="L2153:L2153">IFERROR(INDEX(AC2153:AE2153,IF(COUNTA(AC2153:AE2153)=0,"",MAX((AC2153:AE2153&lt;&gt;"")*(COLUMN(AC2153:AE2153)-(COLUMN(AC2153)-2))))-1),"")</f>
        <v>ARCHIVED</v>
      </c>
      <c r="M2153" s="13" t="n">
        <f aca="true">K2153-TODAY()</f>
        <v>-363</v>
      </c>
      <c r="N2153" s="18" t="s">
        <v>36</v>
      </c>
      <c r="O2153" s="13" t="s">
        <v>58</v>
      </c>
      <c r="P2153" s="19" t="s">
        <v>2050</v>
      </c>
      <c r="Q2153" s="20" t="s">
        <v>9262</v>
      </c>
      <c r="R2153" s="13" t="s">
        <v>83</v>
      </c>
      <c r="S2153" s="16" t="n">
        <v>32573</v>
      </c>
      <c r="T2153" s="28" t="s">
        <v>40</v>
      </c>
      <c r="U2153" s="13" t="s">
        <v>9263</v>
      </c>
      <c r="V2153" s="13" t="s">
        <v>42</v>
      </c>
      <c r="W2153" s="13" t="s">
        <v>43</v>
      </c>
      <c r="X2153" s="21" t="n">
        <v>88226164076</v>
      </c>
      <c r="Y2153" s="22" t="str">
        <f aca="false">O2153</f>
        <v>Produksi</v>
      </c>
      <c r="Z2153" s="13" t="str">
        <f aca="false">IFERROR(__xludf.dummyfunction("if(BJ2153="""","""",GOOGLETRANSLATE(BJ2153,""auto"",""en""))"),"Production")</f>
        <v>Production</v>
      </c>
      <c r="AA2153" s="23" t="str">
        <f aca="false">IF(C2153="","", CHOOSE(MONTH(C2153),"January","February","March","April","May","June","July","August","September","October","November","December")&amp;" "&amp;DAY(C2153)&amp;MID("thstndrdth",MIN(9,2*RIGHT(DAY(C2153))*(MOD(DAY(C2153)-11,100)&gt;2)+1),2)&amp;","&amp;TEXT(C2153," yyyy"))</f>
        <v>April 14th,2025</v>
      </c>
      <c r="AB2153" s="15" t="str">
        <f aca="true">IF(S2153="","",DATEDIF(S2153,TODAY(),"Y")&amp;" Tahun, "&amp;DATEDIF(S2153,TODAY(),"YM")&amp;" Bulan, "&amp;DATEDIF(S2153,TODAY(),"MD")&amp;" Hari")</f>
        <v>37 Tahun, 7 Bulan, 23 Hari</v>
      </c>
      <c r="AC2153" s="18" t="n">
        <v>45839</v>
      </c>
      <c r="AD2153" s="18" t="n">
        <v>45961</v>
      </c>
      <c r="AE2153" s="18" t="s">
        <v>44</v>
      </c>
    </row>
    <row r="2154" customFormat="false" ht="15" hidden="false" customHeight="true" outlineLevel="0" collapsed="false">
      <c r="A2154" s="12" t="n">
        <v>19450</v>
      </c>
      <c r="B2154" s="13" t="s">
        <v>9264</v>
      </c>
      <c r="C2154" s="16" t="n">
        <v>45782</v>
      </c>
      <c r="D2154" s="13" t="s">
        <v>742</v>
      </c>
      <c r="E2154" s="15" t="s">
        <v>33</v>
      </c>
      <c r="F2154" s="24" t="s">
        <v>9265</v>
      </c>
      <c r="G2154" s="13" t="s">
        <v>9266</v>
      </c>
      <c r="H2154" s="13" t="s">
        <v>35</v>
      </c>
      <c r="I2154" s="13" t="str">
        <f aca="false">IF(C2154=J2154,"NEW KONTRAK","RE-KONTRAK")</f>
        <v>NEW KONTRAK</v>
      </c>
      <c r="J2154" s="16" t="n">
        <f aca="false" t="array" ref="J2154:J2154">IFERROR(INDEX(AC2154:AE2154,IF(COUNTA(AC2154:AE2154)=0,"",MAX((AC2154:AE2154&lt;&gt;"")*(COLUMN(AC2154:AE2154)-(COLUMN(AC2154)))))-1),"")</f>
        <v>45782</v>
      </c>
      <c r="K2154" s="16" t="n">
        <f aca="false" t="array" ref="K2154:K2154">IFERROR(INDEX(AC2154:AE2154,IF(COUNTA(AC2154:AE2154)=0,"",MAX((AC2154:AE2154&lt;&gt;"")*(COLUMN(AC2154:AE2154)-(COLUMN(AC2154)-1))))-1),"")</f>
        <v>45965</v>
      </c>
      <c r="L2154" s="17" t="str">
        <f aca="false" t="array" ref="L2154:L2154">IFERROR(INDEX(AC2154:AE2154,IF(COUNTA(AC2154:AE2154)=0,"",MAX((AC2154:AE2154&lt;&gt;"")*(COLUMN(AC2154:AE2154)-(COLUMN(AC2154)-2))))-1),"")</f>
        <v>ARCHIVED</v>
      </c>
      <c r="M2154" s="13" t="n">
        <f aca="true">K2154-TODAY()</f>
        <v>-359</v>
      </c>
      <c r="N2154" s="18" t="s">
        <v>615</v>
      </c>
      <c r="O2154" s="13" t="s">
        <v>9267</v>
      </c>
      <c r="P2154" s="27" t="n">
        <v>5195401</v>
      </c>
      <c r="Q2154" s="20" t="s">
        <v>9268</v>
      </c>
      <c r="R2154" s="13" t="s">
        <v>958</v>
      </c>
      <c r="S2154" s="16" t="n">
        <v>33431</v>
      </c>
      <c r="T2154" s="13" t="s">
        <v>108</v>
      </c>
      <c r="U2154" s="13" t="s">
        <v>9269</v>
      </c>
      <c r="V2154" s="13" t="s">
        <v>42</v>
      </c>
      <c r="W2154" s="13" t="s">
        <v>54</v>
      </c>
      <c r="X2154" s="21" t="n">
        <v>85895839830</v>
      </c>
      <c r="Y2154" s="22" t="str">
        <f aca="false">O2154</f>
        <v>Staff HR</v>
      </c>
      <c r="Z2154" s="13" t="str">
        <f aca="false">IFERROR(__xludf.dummyfunction("if(BJ2154="""","""",GOOGLETRANSLATE(BJ2154,""auto"",""en""))"),"Staff HR")</f>
        <v>Staff HR</v>
      </c>
      <c r="AA2154" s="23" t="str">
        <f aca="false">IF(C2154="","", CHOOSE(MONTH(C2154),"January","February","March","April","May","June","July","August","September","October","November","December")&amp;" "&amp;DAY(C2154)&amp;MID("thstndrdth",MIN(9,2*RIGHT(DAY(C2154))*(MOD(DAY(C2154)-11,100)&gt;2)+1),2)&amp;","&amp;TEXT(C2154," yyyy"))</f>
        <v>May 5th,2025</v>
      </c>
      <c r="AB2154" s="15" t="str">
        <f aca="true">IF(S2154="","",DATEDIF(S2154,TODAY(),"Y")&amp;" Tahun, "&amp;DATEDIF(S2154,TODAY(),"YM")&amp;" Bulan, "&amp;DATEDIF(S2154,TODAY(),"MD")&amp;" Hari")</f>
        <v>35 Tahun, 3 Bulan, 17 Hari</v>
      </c>
      <c r="AC2154" s="18" t="n">
        <v>45782</v>
      </c>
      <c r="AD2154" s="18" t="n">
        <v>45965</v>
      </c>
      <c r="AE2154" s="18" t="s">
        <v>44</v>
      </c>
    </row>
    <row r="2155" customFormat="false" ht="15" hidden="false" customHeight="true" outlineLevel="0" collapsed="false">
      <c r="A2155" s="12" t="n">
        <v>19452</v>
      </c>
      <c r="B2155" s="13" t="s">
        <v>9270</v>
      </c>
      <c r="C2155" s="16" t="n">
        <v>45779</v>
      </c>
      <c r="D2155" s="13" t="s">
        <v>4252</v>
      </c>
      <c r="E2155" s="15" t="s">
        <v>33</v>
      </c>
      <c r="F2155" s="24" t="s">
        <v>9271</v>
      </c>
      <c r="G2155" s="13" t="s">
        <v>57</v>
      </c>
      <c r="H2155" s="13" t="s">
        <v>35</v>
      </c>
      <c r="I2155" s="13" t="str">
        <f aca="false">IF(C2155=J2155,"NEW KONTRAK","RE-KONTRAK")</f>
        <v>NEW KONTRAK</v>
      </c>
      <c r="J2155" s="16" t="n">
        <f aca="false" t="array" ref="J2155:J2155">IFERROR(INDEX(AC2155:AE2155,IF(COUNTA(AC2155:AE2155)=0,"",MAX((AC2155:AE2155&lt;&gt;"")*(COLUMN(AC2155:AE2155)-(COLUMN(AC2155)))))-1),"")</f>
        <v>45779</v>
      </c>
      <c r="K2155" s="16" t="n">
        <f aca="false" t="array" ref="K2155:K2155">IFERROR(INDEX(AC2155:AE2155,IF(COUNTA(AC2155:AE2155)=0,"",MAX((AC2155:AE2155&lt;&gt;"")*(COLUMN(AC2155:AE2155)-(COLUMN(AC2155)-1))))-1),"")</f>
        <v>45870</v>
      </c>
      <c r="L2155" s="17" t="str">
        <f aca="false" t="array" ref="L2155:L2155">IFERROR(INDEX(AC2155:AE2155,IF(COUNTA(AC2155:AE2155)=0,"",MAX((AC2155:AE2155&lt;&gt;"")*(COLUMN(AC2155:AE2155)-(COLUMN(AC2155)-2))))-1),"")</f>
        <v>ARCHIVED</v>
      </c>
      <c r="M2155" s="13" t="n">
        <f aca="true">K2155-TODAY()</f>
        <v>-454</v>
      </c>
      <c r="N2155" s="18" t="s">
        <v>36</v>
      </c>
      <c r="O2155" s="13" t="s">
        <v>4280</v>
      </c>
      <c r="P2155" s="27" t="n">
        <v>120000</v>
      </c>
      <c r="Q2155" s="20" t="s">
        <v>9272</v>
      </c>
      <c r="R2155" s="13" t="s">
        <v>232</v>
      </c>
      <c r="S2155" s="16" t="n">
        <v>34258</v>
      </c>
      <c r="T2155" s="28" t="s">
        <v>40</v>
      </c>
      <c r="U2155" s="13" t="s">
        <v>9273</v>
      </c>
      <c r="V2155" s="13" t="s">
        <v>42</v>
      </c>
      <c r="W2155" s="13" t="s">
        <v>54</v>
      </c>
      <c r="X2155" s="21" t="n">
        <v>85812601388</v>
      </c>
      <c r="Y2155" s="22" t="str">
        <f aca="false">O2155</f>
        <v>Helper Cutting</v>
      </c>
      <c r="Z2155" s="13" t="str">
        <f aca="false">IFERROR(__xludf.dummyfunction("if(BJ2155="""","""",GOOGLETRANSLATE(BJ2155,""auto"",""en""))"),"Helper Cutting")</f>
        <v>Helper Cutting</v>
      </c>
      <c r="AA2155" s="23" t="str">
        <f aca="false">IF(C2155="","", CHOOSE(MONTH(C2155),"January","February","March","April","May","June","July","August","September","October","November","December")&amp;" "&amp;DAY(C2155)&amp;MID("thstndrdth",MIN(9,2*RIGHT(DAY(C2155))*(MOD(DAY(C2155)-11,100)&gt;2)+1),2)&amp;","&amp;TEXT(C2155," yyyy"))</f>
        <v>May 2nd,2025</v>
      </c>
      <c r="AB2155" s="15" t="str">
        <f aca="true">IF(S2155="","",DATEDIF(S2155,TODAY(),"Y")&amp;" Tahun, "&amp;DATEDIF(S2155,TODAY(),"YM")&amp;" Bulan, "&amp;DATEDIF(S2155,TODAY(),"MD")&amp;" Hari")</f>
        <v>33 Tahun, 0 Bulan, 13 Hari</v>
      </c>
      <c r="AC2155" s="18" t="n">
        <v>45779</v>
      </c>
      <c r="AD2155" s="18" t="n">
        <v>45870</v>
      </c>
      <c r="AE2155" s="18" t="s">
        <v>44</v>
      </c>
    </row>
    <row r="2156" customFormat="false" ht="15" hidden="false" customHeight="true" outlineLevel="0" collapsed="false">
      <c r="A2156" s="12" t="n">
        <v>19466</v>
      </c>
      <c r="B2156" s="13" t="s">
        <v>9274</v>
      </c>
      <c r="C2156" s="16" t="n">
        <v>45779</v>
      </c>
      <c r="D2156" s="13" t="s">
        <v>1338</v>
      </c>
      <c r="E2156" s="15" t="s">
        <v>47</v>
      </c>
      <c r="F2156" s="15" t="str">
        <f aca="false">IFERROR(__xludf.dummyfunction("XLOOKUP(AJ2156,IMPORTRANGE(""1XaInW9DU9nz21V0tYIfzFQ0He9kVQ_JF2mCXgZ3hqFA"",""REKAP ALL 2026 - Andika!G:G""),IMPORTRANGE(""1XaInW9DU9nz21V0tYIfzFQ0He9kVQ_JF2mCXgZ3hqFA"",""REKAP ALL 2026 - Andika!F:F""),"""",0)"),"25062535064")</f>
        <v>25062535064</v>
      </c>
      <c r="G2156" s="13" t="s">
        <v>57</v>
      </c>
      <c r="H2156" s="13" t="s">
        <v>7955</v>
      </c>
      <c r="I2156" s="13" t="str">
        <f aca="false">IF(C2156=J2156,"NEW KONTRAK","RE-KONTRAK")</f>
        <v>RE-KONTRAK</v>
      </c>
      <c r="J2156" s="16" t="n">
        <f aca="false" t="array" ref="J2156:J2156">IFERROR(INDEX(AC2156:AE2156,IF(COUNTA(AC2156:AE2156)=0,"",MAX((AC2156:AE2156&lt;&gt;"")*(COLUMN(AC2156:AE2156)-(COLUMN(AC2156)))))-1),"")</f>
        <v>45844</v>
      </c>
      <c r="K2156" s="16" t="n">
        <f aca="false" t="array" ref="K2156:K2156">IFERROR(INDEX(AC2156:AE2156,IF(COUNTA(AC2156:AE2156)=0,"",MAX((AC2156:AE2156&lt;&gt;"")*(COLUMN(AC2156:AE2156)-(COLUMN(AC2156)-1))))-1),"")</f>
        <v>45928</v>
      </c>
      <c r="L2156" s="17" t="str">
        <f aca="false" t="array" ref="L2156:L2156">IFERROR(INDEX(AC2156:AE2156,IF(COUNTA(AC2156:AE2156)=0,"",MAX((AC2156:AE2156&lt;&gt;"")*(COLUMN(AC2156:AE2156)-(COLUMN(AC2156)-2))))-1),"")</f>
        <v>KEMBALI</v>
      </c>
      <c r="M2156" s="13" t="n">
        <f aca="true">K2156-TODAY()</f>
        <v>-396</v>
      </c>
      <c r="N2156" s="18" t="s">
        <v>615</v>
      </c>
      <c r="O2156" s="13" t="s">
        <v>2335</v>
      </c>
      <c r="P2156" s="19" t="n">
        <v>210000</v>
      </c>
      <c r="Q2156" s="20" t="s">
        <v>9275</v>
      </c>
      <c r="R2156" s="13" t="s">
        <v>324</v>
      </c>
      <c r="S2156" s="16" t="n">
        <v>26787</v>
      </c>
      <c r="T2156" s="28" t="s">
        <v>40</v>
      </c>
      <c r="U2156" s="13" t="s">
        <v>9276</v>
      </c>
      <c r="V2156" s="13" t="s">
        <v>42</v>
      </c>
      <c r="W2156" s="13" t="s">
        <v>54</v>
      </c>
      <c r="X2156" s="21" t="n">
        <v>85327745218</v>
      </c>
      <c r="Y2156" s="22" t="str">
        <f aca="false">O2156</f>
        <v>Project Management</v>
      </c>
      <c r="Z2156" s="13" t="str">
        <f aca="false">IFERROR(__xludf.dummyfunction("if(BJ2156="""","""",GOOGLETRANSLATE(BJ2156,""auto"",""en""))"),"Project Management")</f>
        <v>Project Management</v>
      </c>
      <c r="AA2156" s="23" t="str">
        <f aca="false">IF(C2156="","", CHOOSE(MONTH(C2156),"January","February","March","April","May","June","July","August","September","October","November","December")&amp;" "&amp;DAY(C2156)&amp;MID("thstndrdth",MIN(9,2*RIGHT(DAY(C2156))*(MOD(DAY(C2156)-11,100)&gt;2)+1),2)&amp;","&amp;TEXT(C2156," yyyy"))</f>
        <v>May 2nd,2025</v>
      </c>
      <c r="AB2156" s="15" t="str">
        <f aca="true">IF(S2156="","",DATEDIF(S2156,TODAY(),"Y")&amp;" Tahun, "&amp;DATEDIF(S2156,TODAY(),"YM")&amp;" Bulan, "&amp;DATEDIF(S2156,TODAY(),"MD")&amp;" Hari")</f>
        <v>53 Tahun, 5 Bulan, 26 Hari</v>
      </c>
      <c r="AC2156" s="18" t="n">
        <v>45844</v>
      </c>
      <c r="AD2156" s="18" t="n">
        <v>45928</v>
      </c>
      <c r="AE2156" s="13" t="s">
        <v>397</v>
      </c>
    </row>
    <row r="2157" customFormat="false" ht="15" hidden="false" customHeight="true" outlineLevel="0" collapsed="false">
      <c r="A2157" s="12" t="n">
        <v>19468</v>
      </c>
      <c r="B2157" s="13" t="s">
        <v>9277</v>
      </c>
      <c r="C2157" s="16" t="n">
        <v>45783</v>
      </c>
      <c r="D2157" s="13" t="s">
        <v>144</v>
      </c>
      <c r="E2157" s="15" t="s">
        <v>47</v>
      </c>
      <c r="F2157" s="15" t="str">
        <f aca="false">IFERROR(__xludf.dummyfunction("XLOOKUP(AJ2157,IMPORTRANGE(""1XaInW9DU9nz21V0tYIfzFQ0He9kVQ_JF2mCXgZ3hqFA"",""REKAP ALL 2026 - Andika!G:G""),IMPORTRANGE(""1XaInW9DU9nz21V0tYIfzFQ0He9kVQ_JF2mCXgZ3hqFA"",""REKAP ALL 2026 - Andika!F:F""),"""",0)"),"25062537326")</f>
        <v>25062537326</v>
      </c>
      <c r="G2157" s="13" t="s">
        <v>9278</v>
      </c>
      <c r="H2157" s="13" t="s">
        <v>35</v>
      </c>
      <c r="I2157" s="13" t="str">
        <f aca="false">IF(C2157=J2157,"NEW KONTRAK","RE-KONTRAK")</f>
        <v>NEW KONTRAK</v>
      </c>
      <c r="J2157" s="16" t="n">
        <f aca="false" t="array" ref="J2157:J2157">IFERROR(INDEX(AC2157:AE2157,IF(COUNTA(AC2157:AE2157)=0,"",MAX((AC2157:AE2157&lt;&gt;"")*(COLUMN(AC2157:AE2157)-(COLUMN(AC2157)))))-1),"")</f>
        <v>45783</v>
      </c>
      <c r="K2157" s="16" t="n">
        <f aca="false" t="array" ref="K2157:K2157">IFERROR(INDEX(AC2157:AE2157,IF(COUNTA(AC2157:AE2157)=0,"",MAX((AC2157:AE2157&lt;&gt;"")*(COLUMN(AC2157:AE2157)-(COLUMN(AC2157)-1))))-1),"")</f>
        <v>46022</v>
      </c>
      <c r="L2157" s="17" t="str">
        <f aca="false" t="array" ref="L2157:L2157">IFERROR(INDEX(AC2157:AE2157,IF(COUNTA(AC2157:AE2157)=0,"",MAX((AC2157:AE2157&lt;&gt;"")*(COLUMN(AC2157:AE2157)-(COLUMN(AC2157)-2))))-1),"")</f>
        <v>ARCHIVED</v>
      </c>
      <c r="M2157" s="13" t="n">
        <f aca="true">K2157-TODAY()</f>
        <v>-302</v>
      </c>
      <c r="N2157" s="18" t="s">
        <v>36</v>
      </c>
      <c r="O2157" s="13" t="s">
        <v>9279</v>
      </c>
      <c r="P2157" s="19" t="n">
        <v>5195401</v>
      </c>
      <c r="Q2157" s="20" t="s">
        <v>9280</v>
      </c>
      <c r="R2157" s="13" t="s">
        <v>52</v>
      </c>
      <c r="S2157" s="16" t="n">
        <v>37340</v>
      </c>
      <c r="T2157" s="28" t="s">
        <v>40</v>
      </c>
      <c r="U2157" s="13" t="s">
        <v>9281</v>
      </c>
      <c r="V2157" s="13" t="s">
        <v>42</v>
      </c>
      <c r="W2157" s="13" t="s">
        <v>43</v>
      </c>
      <c r="X2157" s="21" t="n">
        <v>881027000958</v>
      </c>
      <c r="Y2157" s="22" t="str">
        <f aca="false">O2157</f>
        <v>Picker Gudang</v>
      </c>
      <c r="Z2157" s="13" t="str">
        <f aca="false">IFERROR(__xludf.dummyfunction("if(BJ2157="""","""",GOOGLETRANSLATE(BJ2157,""auto"",""en""))"),"Warehouse Picker")</f>
        <v>Warehouse Picker</v>
      </c>
      <c r="AA2157" s="23" t="str">
        <f aca="false">IF(C2157="","", CHOOSE(MONTH(C2157),"January","February","March","April","May","June","July","August","September","October","November","December")&amp;" "&amp;DAY(C2157)&amp;MID("thstndrdth",MIN(9,2*RIGHT(DAY(C2157))*(MOD(DAY(C2157)-11,100)&gt;2)+1),2)&amp;","&amp;TEXT(C2157," yyyy"))</f>
        <v>May 6th,2025</v>
      </c>
      <c r="AB2157" s="15" t="str">
        <f aca="true">IF(S2157="","",DATEDIF(S2157,TODAY(),"Y")&amp;" Tahun, "&amp;DATEDIF(S2157,TODAY(),"YM")&amp;" Bulan, "&amp;DATEDIF(S2157,TODAY(),"MD")&amp;" Hari")</f>
        <v>24 Tahun, 7 Bulan, 4 Hari</v>
      </c>
      <c r="AC2157" s="18" t="n">
        <v>45783</v>
      </c>
      <c r="AD2157" s="18" t="n">
        <v>46022</v>
      </c>
      <c r="AE2157" s="18" t="s">
        <v>44</v>
      </c>
    </row>
    <row r="2158" customFormat="false" ht="15" hidden="false" customHeight="true" outlineLevel="0" collapsed="false">
      <c r="A2158" s="12" t="n">
        <v>19518</v>
      </c>
      <c r="B2158" s="13" t="s">
        <v>9282</v>
      </c>
      <c r="C2158" s="16" t="n">
        <v>45779</v>
      </c>
      <c r="D2158" s="13" t="s">
        <v>3022</v>
      </c>
      <c r="E2158" s="15" t="s">
        <v>47</v>
      </c>
      <c r="F2158" s="15" t="str">
        <f aca="false">IFERROR(__xludf.dummyfunction("XLOOKUP(AJ2158,IMPORTRANGE(""1XaInW9DU9nz21V0tYIfzFQ0He9kVQ_JF2mCXgZ3hqFA"",""REKAP ALL 2026 - Andika!G:G""),IMPORTRANGE(""1XaInW9DU9nz21V0tYIfzFQ0He9kVQ_JF2mCXgZ3hqFA"",""REKAP ALL 2026 - Andika!F:F""),"""",0)"),"25062536948")</f>
        <v>25062536948</v>
      </c>
      <c r="G2158" s="13" t="s">
        <v>9283</v>
      </c>
      <c r="H2158" s="13" t="s">
        <v>3024</v>
      </c>
      <c r="I2158" s="13" t="str">
        <f aca="false">IF(C2158=J2158,"NEW KONTRAK","RE-KONTRAK")</f>
        <v>RE-KONTRAK</v>
      </c>
      <c r="J2158" s="16" t="n">
        <f aca="false" t="array" ref="J2158:J2158">IFERROR(INDEX(AC2158:AE2158,IF(COUNTA(AC2158:AE2158)=0,"",MAX((AC2158:AE2158&lt;&gt;"")*(COLUMN(AC2158:AE2158)-(COLUMN(AC2158)))))-1),"")</f>
        <v>45871</v>
      </c>
      <c r="K2158" s="16" t="n">
        <f aca="false" t="array" ref="K2158:K2158">IFERROR(INDEX(AC2158:AE2158,IF(COUNTA(AC2158:AE2158)=0,"",MAX((AC2158:AE2158&lt;&gt;"")*(COLUMN(AC2158:AE2158)-(COLUMN(AC2158)-1))))-1),"")</f>
        <v>45934</v>
      </c>
      <c r="L2158" s="17" t="str">
        <f aca="false" t="array" ref="L2158:L2158">IFERROR(INDEX(AC2158:AE2158,IF(COUNTA(AC2158:AE2158)=0,"",MAX((AC2158:AE2158&lt;&gt;"")*(COLUMN(AC2158:AE2158)-(COLUMN(AC2158)-2))))-1),"")</f>
        <v>ARCHIVED</v>
      </c>
      <c r="M2158" s="13" t="n">
        <f aca="true">K2158-TODAY()</f>
        <v>-390</v>
      </c>
      <c r="N2158" s="18" t="s">
        <v>36</v>
      </c>
      <c r="O2158" s="13" t="s">
        <v>58</v>
      </c>
      <c r="P2158" s="19" t="n">
        <v>112500</v>
      </c>
      <c r="Q2158" s="20" t="s">
        <v>9284</v>
      </c>
      <c r="R2158" s="13" t="s">
        <v>39</v>
      </c>
      <c r="S2158" s="16" t="n">
        <v>37502</v>
      </c>
      <c r="T2158" s="28" t="s">
        <v>40</v>
      </c>
      <c r="U2158" s="13" t="s">
        <v>9285</v>
      </c>
      <c r="V2158" s="13" t="s">
        <v>42</v>
      </c>
      <c r="W2158" s="13" t="s">
        <v>43</v>
      </c>
      <c r="X2158" s="21" t="n">
        <v>89531030584</v>
      </c>
      <c r="Y2158" s="22" t="str">
        <f aca="false">O2158</f>
        <v>Produksi</v>
      </c>
      <c r="Z2158" s="13" t="str">
        <f aca="false">IFERROR(__xludf.dummyfunction("if(BJ2158="""","""",GOOGLETRANSLATE(BJ2158,""auto"",""en""))"),"Production")</f>
        <v>Production</v>
      </c>
      <c r="AA2158" s="23" t="str">
        <f aca="false">IF(C2158="","", CHOOSE(MONTH(C2158),"January","February","March","April","May","June","July","August","September","October","November","December")&amp;" "&amp;DAY(C2158)&amp;MID("thstndrdth",MIN(9,2*RIGHT(DAY(C2158))*(MOD(DAY(C2158)-11,100)&gt;2)+1),2)&amp;","&amp;TEXT(C2158," yyyy"))</f>
        <v>May 2nd,2025</v>
      </c>
      <c r="AB2158" s="15" t="str">
        <f aca="true">IF(S2158="","",DATEDIF(S2158,TODAY(),"Y")&amp;" Tahun, "&amp;DATEDIF(S2158,TODAY(),"YM")&amp;" Bulan, "&amp;DATEDIF(S2158,TODAY(),"MD")&amp;" Hari")</f>
        <v>24 Tahun, 1 Bulan, 26 Hari</v>
      </c>
      <c r="AC2158" s="18" t="n">
        <v>45871</v>
      </c>
      <c r="AD2158" s="18" t="n">
        <v>45934</v>
      </c>
      <c r="AE2158" s="18" t="s">
        <v>44</v>
      </c>
    </row>
    <row r="2159" customFormat="false" ht="15" hidden="false" customHeight="true" outlineLevel="0" collapsed="false">
      <c r="A2159" s="12" t="n">
        <v>19469</v>
      </c>
      <c r="B2159" s="13" t="s">
        <v>9286</v>
      </c>
      <c r="C2159" s="16" t="n">
        <v>45783</v>
      </c>
      <c r="D2159" s="13" t="s">
        <v>144</v>
      </c>
      <c r="E2159" s="15" t="s">
        <v>102</v>
      </c>
      <c r="F2159" s="15" t="str">
        <f aca="false">IFERROR(__xludf.dummyfunction("XLOOKUP(AJ2159,IMPORTRANGE(""1XaInW9DU9nz21V0tYIfzFQ0He9kVQ_JF2mCXgZ3hqFA"",""REKAP ALL 2026 - Andika!G:G""),IMPORTRANGE(""1XaInW9DU9nz21V0tYIfzFQ0He9kVQ_JF2mCXgZ3hqFA"",""REKAP ALL 2026 - Andika!F:F""),"""",0)"),"25062537367")</f>
        <v>25062537367</v>
      </c>
      <c r="G2159" s="13" t="s">
        <v>9287</v>
      </c>
      <c r="H2159" s="13" t="s">
        <v>35</v>
      </c>
      <c r="I2159" s="13" t="str">
        <f aca="false">IF(C2159=J2159,"NEW KONTRAK","RE-KONTRAK")</f>
        <v>NEW KONTRAK</v>
      </c>
      <c r="J2159" s="16" t="n">
        <f aca="false" t="array" ref="J2159:J2159">IFERROR(INDEX(AC2159:AE2159,IF(COUNTA(AC2159:AE2159)=0,"",MAX((AC2159:AE2159&lt;&gt;"")*(COLUMN(AC2159:AE2159)-(COLUMN(AC2159)))))-1),"")</f>
        <v>45783</v>
      </c>
      <c r="K2159" s="16" t="n">
        <f aca="false" t="array" ref="K2159:K2159">IFERROR(INDEX(AC2159:AE2159,IF(COUNTA(AC2159:AE2159)=0,"",MAX((AC2159:AE2159&lt;&gt;"")*(COLUMN(AC2159:AE2159)-(COLUMN(AC2159)-1))))-1),"")</f>
        <v>46022</v>
      </c>
      <c r="L2159" s="17" t="str">
        <f aca="false" t="array" ref="L2159:L2159">IFERROR(INDEX(AC2159:AE2159,IF(COUNTA(AC2159:AE2159)=0,"",MAX((AC2159:AE2159&lt;&gt;"")*(COLUMN(AC2159:AE2159)-(COLUMN(AC2159)-2))))-1),"")</f>
        <v>ARCHIVED</v>
      </c>
      <c r="M2159" s="13" t="n">
        <f aca="true">K2159-TODAY()</f>
        <v>-302</v>
      </c>
      <c r="N2159" s="18" t="s">
        <v>36</v>
      </c>
      <c r="O2159" s="13" t="s">
        <v>6285</v>
      </c>
      <c r="P2159" s="19" t="n">
        <v>5195401</v>
      </c>
      <c r="Q2159" s="20" t="s">
        <v>9288</v>
      </c>
      <c r="R2159" s="13" t="s">
        <v>65</v>
      </c>
      <c r="S2159" s="16" t="n">
        <v>35689</v>
      </c>
      <c r="T2159" s="28" t="s">
        <v>40</v>
      </c>
      <c r="U2159" s="13" t="s">
        <v>9289</v>
      </c>
      <c r="V2159" s="13" t="s">
        <v>42</v>
      </c>
      <c r="W2159" s="13" t="s">
        <v>43</v>
      </c>
      <c r="X2159" s="21" t="n">
        <v>87866820006</v>
      </c>
      <c r="Y2159" s="22" t="str">
        <f aca="false">O2159</f>
        <v>Operator Reach Truck</v>
      </c>
      <c r="Z2159" s="13" t="str">
        <f aca="false">IFERROR(__xludf.dummyfunction("if(BJ2159="""","""",GOOGLETRANSLATE(BJ2159,""auto"",""en""))"),"Operator Reach Truck")</f>
        <v>Operator Reach Truck</v>
      </c>
      <c r="AA2159" s="23" t="str">
        <f aca="false">IF(C2159="","", CHOOSE(MONTH(C2159),"January","February","March","April","May","June","July","August","September","October","November","December")&amp;" "&amp;DAY(C2159)&amp;MID("thstndrdth",MIN(9,2*RIGHT(DAY(C2159))*(MOD(DAY(C2159)-11,100)&gt;2)+1),2)&amp;","&amp;TEXT(C2159," yyyy"))</f>
        <v>May 6th,2025</v>
      </c>
      <c r="AB2159" s="15" t="str">
        <f aca="true">IF(S2159="","",DATEDIF(S2159,TODAY(),"Y")&amp;" Tahun, "&amp;DATEDIF(S2159,TODAY(),"YM")&amp;" Bulan, "&amp;DATEDIF(S2159,TODAY(),"MD")&amp;" Hari")</f>
        <v>29 Tahun, 1 Bulan, 13 Hari</v>
      </c>
      <c r="AC2159" s="18" t="n">
        <v>45783</v>
      </c>
      <c r="AD2159" s="18" t="n">
        <v>46022</v>
      </c>
      <c r="AE2159" s="18" t="s">
        <v>44</v>
      </c>
    </row>
    <row r="2160" customFormat="false" ht="15" hidden="false" customHeight="true" outlineLevel="0" collapsed="false">
      <c r="A2160" s="12" t="n">
        <v>19476</v>
      </c>
      <c r="B2160" s="13" t="s">
        <v>9290</v>
      </c>
      <c r="C2160" s="16" t="n">
        <v>45782</v>
      </c>
      <c r="D2160" s="13" t="s">
        <v>5903</v>
      </c>
      <c r="E2160" s="15" t="s">
        <v>33</v>
      </c>
      <c r="F2160" s="24" t="s">
        <v>9291</v>
      </c>
      <c r="G2160" s="13" t="s">
        <v>9292</v>
      </c>
      <c r="H2160" s="13" t="s">
        <v>35</v>
      </c>
      <c r="I2160" s="13" t="str">
        <f aca="false">IF(C2160=J2160,"NEW KONTRAK","RE-KONTRAK")</f>
        <v>RE-KONTRAK</v>
      </c>
      <c r="J2160" s="16" t="n">
        <f aca="false" t="array" ref="J2160:J2160">IFERROR(INDEX(AC2160:AE2160,IF(COUNTA(AC2160:AE2160)=0,"",MAX((AC2160:AE2160&lt;&gt;"")*(COLUMN(AC2160:AE2160)-(COLUMN(AC2160)))))-1),"")</f>
        <v>45874</v>
      </c>
      <c r="K2160" s="16" t="n">
        <f aca="false" t="array" ref="K2160:K2160">IFERROR(INDEX(AC2160:AE2160,IF(COUNTA(AC2160:AE2160)=0,"",MAX((AC2160:AE2160&lt;&gt;"")*(COLUMN(AC2160:AE2160)-(COLUMN(AC2160)-1))))-1),"")</f>
        <v>46142</v>
      </c>
      <c r="L2160" s="17" t="str">
        <f aca="false" t="array" ref="L2160:L2160">IFERROR(INDEX(AC2160:AE2160,IF(COUNTA(AC2160:AE2160)=0,"",MAX((AC2160:AE2160&lt;&gt;"")*(COLUMN(AC2160:AE2160)-(COLUMN(AC2160)-2))))-1),"")</f>
        <v>ARCHIVED</v>
      </c>
      <c r="M2160" s="13" t="n">
        <f aca="true">K2160-TODAY()</f>
        <v>-182</v>
      </c>
      <c r="N2160" s="50" t="s">
        <v>728</v>
      </c>
      <c r="O2160" s="13" t="s">
        <v>3510</v>
      </c>
      <c r="P2160" s="27" t="n">
        <v>2500000</v>
      </c>
      <c r="Q2160" s="20" t="s">
        <v>9293</v>
      </c>
      <c r="R2160" s="13" t="s">
        <v>65</v>
      </c>
      <c r="S2160" s="16" t="n">
        <v>37600</v>
      </c>
      <c r="T2160" s="28" t="s">
        <v>40</v>
      </c>
      <c r="U2160" s="13" t="s">
        <v>9294</v>
      </c>
      <c r="V2160" s="13" t="s">
        <v>42</v>
      </c>
      <c r="W2160" s="13" t="s">
        <v>43</v>
      </c>
      <c r="X2160" s="21" t="n">
        <v>83833885110</v>
      </c>
      <c r="Y2160" s="22" t="str">
        <f aca="false">O2160</f>
        <v>Teknisi</v>
      </c>
      <c r="Z2160" s="13" t="str">
        <f aca="false">IFERROR(__xludf.dummyfunction("if(BJ2160="""","""",GOOGLETRANSLATE(BJ2160,""auto"",""en""))"),"Technician")</f>
        <v>Technician</v>
      </c>
      <c r="AA2160" s="23" t="str">
        <f aca="false">IF(C2160="","", CHOOSE(MONTH(C2160),"January","February","March","April","May","June","July","August","September","October","November","December")&amp;" "&amp;DAY(C2160)&amp;MID("thstndrdth",MIN(9,2*RIGHT(DAY(C2160))*(MOD(DAY(C2160)-11,100)&gt;2)+1),2)&amp;","&amp;TEXT(C2160," yyyy"))</f>
        <v>May 5th,2025</v>
      </c>
      <c r="AB2160" s="15" t="str">
        <f aca="true">IF(S2160="","",DATEDIF(S2160,TODAY(),"Y")&amp;" Tahun, "&amp;DATEDIF(S2160,TODAY(),"YM")&amp;" Bulan, "&amp;DATEDIF(S2160,TODAY(),"MD")&amp;" Hari")</f>
        <v>23 Tahun, 10 Bulan, 19 Hari</v>
      </c>
      <c r="AC2160" s="18" t="n">
        <v>45874</v>
      </c>
      <c r="AD2160" s="18" t="n">
        <v>46142</v>
      </c>
      <c r="AE2160" s="18" t="s">
        <v>44</v>
      </c>
    </row>
    <row r="2161" customFormat="false" ht="15" hidden="false" customHeight="true" outlineLevel="0" collapsed="false">
      <c r="A2161" s="12" t="n">
        <v>19482</v>
      </c>
      <c r="B2161" s="13" t="s">
        <v>9295</v>
      </c>
      <c r="C2161" s="16" t="n">
        <v>45783</v>
      </c>
      <c r="D2161" s="13" t="s">
        <v>774</v>
      </c>
      <c r="E2161" s="15" t="s">
        <v>102</v>
      </c>
      <c r="F2161" s="24" t="s">
        <v>9296</v>
      </c>
      <c r="G2161" s="13" t="s">
        <v>9297</v>
      </c>
      <c r="H2161" s="13" t="s">
        <v>35</v>
      </c>
      <c r="I2161" s="13" t="str">
        <f aca="false">IF(C2161=J2161,"NEW KONTRAK","RE-KONTRAK")</f>
        <v>NEW KONTRAK</v>
      </c>
      <c r="J2161" s="16" t="n">
        <f aca="false" t="array" ref="J2161:J2161">IFERROR(INDEX(AC2161:AE2161,IF(COUNTA(AC2161:AE2161)=0,"",MAX((AC2161:AE2161&lt;&gt;"")*(COLUMN(AC2161:AE2161)-(COLUMN(AC2161)))))-1),"")</f>
        <v>45783</v>
      </c>
      <c r="K2161" s="16" t="n">
        <f aca="false" t="array" ref="K2161:K2161">IFERROR(INDEX(AC2161:AE2161,IF(COUNTA(AC2161:AE2161)=0,"",MAX((AC2161:AE2161&lt;&gt;"")*(COLUMN(AC2161:AE2161)-(COLUMN(AC2161)-1))))-1),"")</f>
        <v>45930</v>
      </c>
      <c r="L2161" s="17" t="str">
        <f aca="false" t="array" ref="L2161:L2161">IFERROR(INDEX(AC2161:AE2161,IF(COUNTA(AC2161:AE2161)=0,"",MAX((AC2161:AE2161&lt;&gt;"")*(COLUMN(AC2161:AE2161)-(COLUMN(AC2161)-2))))-1),"")</f>
        <v>ARCHIVED</v>
      </c>
      <c r="M2161" s="13" t="n">
        <f aca="true">K2161-TODAY()</f>
        <v>-394</v>
      </c>
      <c r="N2161" s="18" t="s">
        <v>36</v>
      </c>
      <c r="O2161" s="13" t="s">
        <v>9298</v>
      </c>
      <c r="P2161" s="19" t="n">
        <v>5000000</v>
      </c>
      <c r="Q2161" s="20" t="s">
        <v>9299</v>
      </c>
      <c r="R2161" s="13" t="s">
        <v>65</v>
      </c>
      <c r="S2161" s="16" t="n">
        <v>31675</v>
      </c>
      <c r="T2161" s="28" t="s">
        <v>40</v>
      </c>
      <c r="U2161" s="13" t="s">
        <v>9300</v>
      </c>
      <c r="V2161" s="13" t="s">
        <v>42</v>
      </c>
      <c r="W2161" s="13" t="s">
        <v>54</v>
      </c>
      <c r="X2161" s="21" t="n">
        <v>81253351118</v>
      </c>
      <c r="Y2161" s="22" t="str">
        <f aca="false">O2161</f>
        <v>Personalia</v>
      </c>
      <c r="Z2161" s="13" t="str">
        <f aca="false">IFERROR(__xludf.dummyfunction("if(BJ2161="""","""",GOOGLETRANSLATE(BJ2161,""auto"",""en""))"),"Personnel")</f>
        <v>Personnel</v>
      </c>
      <c r="AA2161" s="23" t="str">
        <f aca="false">IF(C2161="","", CHOOSE(MONTH(C2161),"January","February","March","April","May","June","July","August","September","October","November","December")&amp;" "&amp;DAY(C2161)&amp;MID("thstndrdth",MIN(9,2*RIGHT(DAY(C2161))*(MOD(DAY(C2161)-11,100)&gt;2)+1),2)&amp;","&amp;TEXT(C2161," yyyy"))</f>
        <v>May 6th,2025</v>
      </c>
      <c r="AB2161" s="15" t="str">
        <f aca="true">IF(S2161="","",DATEDIF(S2161,TODAY(),"Y")&amp;" Tahun, "&amp;DATEDIF(S2161,TODAY(),"YM")&amp;" Bulan, "&amp;DATEDIF(S2161,TODAY(),"MD")&amp;" Hari")</f>
        <v>40 Tahun, 1 Bulan, 9 Hari</v>
      </c>
      <c r="AC2161" s="18" t="n">
        <v>45783</v>
      </c>
      <c r="AD2161" s="18" t="n">
        <v>45930</v>
      </c>
      <c r="AE2161" s="18" t="s">
        <v>44</v>
      </c>
    </row>
    <row r="2162" customFormat="false" ht="15" hidden="false" customHeight="true" outlineLevel="0" collapsed="false">
      <c r="A2162" s="12" t="n">
        <v>19485</v>
      </c>
      <c r="B2162" s="13" t="s">
        <v>9301</v>
      </c>
      <c r="C2162" s="16" t="n">
        <v>45796</v>
      </c>
      <c r="D2162" s="13" t="s">
        <v>144</v>
      </c>
      <c r="E2162" s="15" t="s">
        <v>33</v>
      </c>
      <c r="F2162" s="24" t="s">
        <v>9302</v>
      </c>
      <c r="G2162" s="13" t="s">
        <v>9303</v>
      </c>
      <c r="H2162" s="13" t="s">
        <v>35</v>
      </c>
      <c r="I2162" s="13" t="str">
        <f aca="false">IF(C2162=J2162,"NEW KONTRAK","RE-KONTRAK")</f>
        <v>NEW KONTRAK</v>
      </c>
      <c r="J2162" s="16" t="n">
        <f aca="false" t="array" ref="J2162:J2162">IFERROR(INDEX(AC2162:AE2162,IF(COUNTA(AC2162:AE2162)=0,"",MAX((AC2162:AE2162&lt;&gt;"")*(COLUMN(AC2162:AE2162)-(COLUMN(AC2162)))))-1),"")</f>
        <v>45796</v>
      </c>
      <c r="K2162" s="16" t="n">
        <f aca="false" t="array" ref="K2162:K2162">IFERROR(INDEX(AC2162:AE2162,IF(COUNTA(AC2162:AE2162)=0,"",MAX((AC2162:AE2162&lt;&gt;"")*(COLUMN(AC2162:AE2162)-(COLUMN(AC2162)-1))))-1),"")</f>
        <v>46022</v>
      </c>
      <c r="L2162" s="17" t="str">
        <f aca="false" t="array" ref="L2162:L2162">IFERROR(INDEX(AC2162:AE2162,IF(COUNTA(AC2162:AE2162)=0,"",MAX((AC2162:AE2162&lt;&gt;"")*(COLUMN(AC2162:AE2162)-(COLUMN(AC2162)-2))))-1),"")</f>
        <v>ARCHIVED</v>
      </c>
      <c r="M2162" s="13" t="n">
        <f aca="true">K2162-TODAY()</f>
        <v>-302</v>
      </c>
      <c r="N2162" s="18" t="s">
        <v>36</v>
      </c>
      <c r="O2162" s="13" t="s">
        <v>9304</v>
      </c>
      <c r="P2162" s="19" t="n">
        <v>5195401</v>
      </c>
      <c r="Q2162" s="20" t="s">
        <v>9305</v>
      </c>
      <c r="R2162" s="13" t="s">
        <v>4058</v>
      </c>
      <c r="S2162" s="16" t="n">
        <v>36217</v>
      </c>
      <c r="T2162" s="13" t="s">
        <v>108</v>
      </c>
      <c r="U2162" s="13" t="s">
        <v>9306</v>
      </c>
      <c r="V2162" s="13" t="s">
        <v>42</v>
      </c>
      <c r="W2162" s="13" t="s">
        <v>54</v>
      </c>
      <c r="X2162" s="21" t="n">
        <v>81336316975</v>
      </c>
      <c r="Y2162" s="22" t="str">
        <f aca="false">O2162</f>
        <v>Admin HRD</v>
      </c>
      <c r="Z2162" s="13" t="str">
        <f aca="false">IFERROR(__xludf.dummyfunction("if(BJ2162="""","""",GOOGLETRANSLATE(BJ2162,""auto"",""en""))"),"HR Admin")</f>
        <v>HR Admin</v>
      </c>
      <c r="AA2162" s="23" t="str">
        <f aca="false">IF(C2162="","", CHOOSE(MONTH(C2162),"January","February","March","April","May","June","July","August","September","October","November","December")&amp;" "&amp;DAY(C2162)&amp;MID("thstndrdth",MIN(9,2*RIGHT(DAY(C2162))*(MOD(DAY(C2162)-11,100)&gt;2)+1),2)&amp;","&amp;TEXT(C2162," yyyy"))</f>
        <v>May 19th,2025</v>
      </c>
      <c r="AB2162" s="15" t="str">
        <f aca="true">IF(S2162="","",DATEDIF(S2162,TODAY(),"Y")&amp;" Tahun, "&amp;DATEDIF(S2162,TODAY(),"YM")&amp;" Bulan, "&amp;DATEDIF(S2162,TODAY(),"MD")&amp;" Hari")</f>
        <v>27 Tahun, 8 Bulan, 3 Hari</v>
      </c>
      <c r="AC2162" s="18" t="n">
        <v>45796</v>
      </c>
      <c r="AD2162" s="18" t="n">
        <v>46022</v>
      </c>
      <c r="AE2162" s="18" t="s">
        <v>44</v>
      </c>
    </row>
    <row r="2163" customFormat="false" ht="15" hidden="false" customHeight="true" outlineLevel="0" collapsed="false">
      <c r="A2163" s="12" t="n">
        <v>19494</v>
      </c>
      <c r="B2163" s="13" t="s">
        <v>9307</v>
      </c>
      <c r="C2163" s="16" t="n">
        <v>45783</v>
      </c>
      <c r="D2163" s="13" t="s">
        <v>7948</v>
      </c>
      <c r="E2163" s="15" t="s">
        <v>7949</v>
      </c>
      <c r="F2163" s="24" t="s">
        <v>9308</v>
      </c>
      <c r="G2163" s="13" t="s">
        <v>57</v>
      </c>
      <c r="H2163" s="13" t="s">
        <v>7950</v>
      </c>
      <c r="I2163" s="13" t="str">
        <f aca="false">IF(C2163=J2163,"NEW KONTRAK","RE-KONTRAK")</f>
        <v>RE-KONTRAK</v>
      </c>
      <c r="J2163" s="16" t="n">
        <f aca="false" t="array" ref="J2163:J2163">IFERROR(INDEX(AC2163:AE2163,IF(COUNTA(AC2163:AE2163)=0,"",MAX((AC2163:AE2163&lt;&gt;"")*(COLUMN(AC2163:AE2163)-(COLUMN(AC2163)))))-1),"")</f>
        <v>45844</v>
      </c>
      <c r="K2163" s="16" t="n">
        <f aca="false" t="array" ref="K2163:K2163">IFERROR(INDEX(AC2163:AE2163,IF(COUNTA(AC2163:AE2163)=0,"",MAX((AC2163:AE2163&lt;&gt;"")*(COLUMN(AC2163:AE2163)-(COLUMN(AC2163)-1))))-1),"")</f>
        <v>45928</v>
      </c>
      <c r="L2163" s="17" t="str">
        <f aca="false" t="array" ref="L2163:L2163">IFERROR(INDEX(AC2163:AE2163,IF(COUNTA(AC2163:AE2163)=0,"",MAX((AC2163:AE2163&lt;&gt;"")*(COLUMN(AC2163:AE2163)-(COLUMN(AC2163)-2))))-1),"")</f>
        <v>ARCHIVED</v>
      </c>
      <c r="M2163" s="13" t="n">
        <f aca="true">K2163-TODAY()</f>
        <v>-396</v>
      </c>
      <c r="N2163" s="18" t="s">
        <v>4051</v>
      </c>
      <c r="O2163" s="13" t="s">
        <v>7951</v>
      </c>
      <c r="P2163" s="19" t="n">
        <v>210000</v>
      </c>
      <c r="Q2163" s="20" t="s">
        <v>9309</v>
      </c>
      <c r="R2163" s="13" t="s">
        <v>73</v>
      </c>
      <c r="S2163" s="16" t="n">
        <v>37631</v>
      </c>
      <c r="T2163" s="28" t="s">
        <v>40</v>
      </c>
      <c r="U2163" s="13" t="s">
        <v>9310</v>
      </c>
      <c r="V2163" s="13" t="s">
        <v>42</v>
      </c>
      <c r="W2163" s="13" t="s">
        <v>43</v>
      </c>
      <c r="X2163" s="21" t="n">
        <v>8993983794</v>
      </c>
      <c r="Y2163" s="22" t="str">
        <f aca="false">O2163</f>
        <v>Mekanik Kiln</v>
      </c>
      <c r="Z2163" s="13" t="str">
        <f aca="false">IFERROR(__xludf.dummyfunction("if(BJ2163="""","""",GOOGLETRANSLATE(BJ2163,""auto"",""en""))"),"Kiln Mechanics")</f>
        <v>Kiln Mechanics</v>
      </c>
      <c r="AA2163" s="23" t="str">
        <f aca="false">IF(C2163="","", CHOOSE(MONTH(C2163),"January","February","March","April","May","June","July","August","September","October","November","December")&amp;" "&amp;DAY(C2163)&amp;MID("thstndrdth",MIN(9,2*RIGHT(DAY(C2163))*(MOD(DAY(C2163)-11,100)&gt;2)+1),2)&amp;","&amp;TEXT(C2163," yyyy"))</f>
        <v>May 6th,2025</v>
      </c>
      <c r="AB2163" s="15" t="str">
        <f aca="true">IF(S2163="","",DATEDIF(S2163,TODAY(),"Y")&amp;" Tahun, "&amp;DATEDIF(S2163,TODAY(),"YM")&amp;" Bulan, "&amp;DATEDIF(S2163,TODAY(),"MD")&amp;" Hari")</f>
        <v>23 Tahun, 9 Bulan, 19 Hari</v>
      </c>
      <c r="AC2163" s="18" t="n">
        <v>45844</v>
      </c>
      <c r="AD2163" s="18" t="n">
        <v>45928</v>
      </c>
      <c r="AE2163" s="18" t="s">
        <v>44</v>
      </c>
    </row>
    <row r="2164" customFormat="false" ht="15" hidden="false" customHeight="true" outlineLevel="0" collapsed="false">
      <c r="A2164" s="12" t="n">
        <v>19495</v>
      </c>
      <c r="B2164" s="13" t="s">
        <v>9311</v>
      </c>
      <c r="C2164" s="16" t="n">
        <v>45782</v>
      </c>
      <c r="D2164" s="13" t="s">
        <v>7948</v>
      </c>
      <c r="E2164" s="15" t="s">
        <v>7949</v>
      </c>
      <c r="F2164" s="15" t="str">
        <f aca="false">IFERROR(__xludf.dummyfunction("XLOOKUP(AJ2164,IMPORTRANGE(""1XaInW9DU9nz21V0tYIfzFQ0He9kVQ_JF2mCXgZ3hqFA"",""REKAP ALL 2026 - Andika!G:G""),IMPORTRANGE(""1XaInW9DU9nz21V0tYIfzFQ0He9kVQ_JF2mCXgZ3hqFA"",""REKAP ALL 2026 - Andika!F:F""),"""",0)"),"25062535304")</f>
        <v>25062535304</v>
      </c>
      <c r="G2164" s="13" t="s">
        <v>57</v>
      </c>
      <c r="H2164" s="13" t="s">
        <v>7950</v>
      </c>
      <c r="I2164" s="13" t="str">
        <f aca="false">IF(C2164=J2164,"NEW KONTRAK","RE-KONTRAK")</f>
        <v>RE-KONTRAK</v>
      </c>
      <c r="J2164" s="16" t="n">
        <f aca="false" t="array" ref="J2164:J2164">IFERROR(INDEX(AC2164:AE2164,IF(COUNTA(AC2164:AE2164)=0,"",MAX((AC2164:AE2164&lt;&gt;"")*(COLUMN(AC2164:AE2164)-(COLUMN(AC2164)))))-1),"")</f>
        <v>45844</v>
      </c>
      <c r="K2164" s="16" t="n">
        <f aca="false" t="array" ref="K2164:K2164">IFERROR(INDEX(AC2164:AE2164,IF(COUNTA(AC2164:AE2164)=0,"",MAX((AC2164:AE2164&lt;&gt;"")*(COLUMN(AC2164:AE2164)-(COLUMN(AC2164)-1))))-1),"")</f>
        <v>45935</v>
      </c>
      <c r="L2164" s="17" t="str">
        <f aca="false" t="array" ref="L2164:L2164">IFERROR(INDEX(AC2164:AE2164,IF(COUNTA(AC2164:AE2164)=0,"",MAX((AC2164:AE2164&lt;&gt;"")*(COLUMN(AC2164:AE2164)-(COLUMN(AC2164)-2))))-1),"")</f>
        <v>ARCHIVED</v>
      </c>
      <c r="M2164" s="13" t="n">
        <f aca="true">K2164-TODAY()</f>
        <v>-389</v>
      </c>
      <c r="N2164" s="18" t="s">
        <v>4051</v>
      </c>
      <c r="O2164" s="13" t="s">
        <v>7951</v>
      </c>
      <c r="P2164" s="19" t="n">
        <v>210000</v>
      </c>
      <c r="Q2164" s="20" t="s">
        <v>9312</v>
      </c>
      <c r="R2164" s="13" t="s">
        <v>255</v>
      </c>
      <c r="S2164" s="16" t="n">
        <v>34735</v>
      </c>
      <c r="T2164" s="28" t="s">
        <v>40</v>
      </c>
      <c r="U2164" s="13" t="s">
        <v>9313</v>
      </c>
      <c r="V2164" s="13" t="s">
        <v>42</v>
      </c>
      <c r="W2164" s="13" t="s">
        <v>54</v>
      </c>
      <c r="X2164" s="21" t="n">
        <v>85704819256</v>
      </c>
      <c r="Y2164" s="22" t="str">
        <f aca="false">O2164</f>
        <v>Mekanik Kiln</v>
      </c>
      <c r="Z2164" s="13" t="str">
        <f aca="false">IFERROR(__xludf.dummyfunction("if(BJ2164="""","""",GOOGLETRANSLATE(BJ2164,""auto"",""en""))"),"Kiln Mechanics")</f>
        <v>Kiln Mechanics</v>
      </c>
      <c r="AA2164" s="23" t="str">
        <f aca="false">IF(C2164="","", CHOOSE(MONTH(C2164),"January","February","March","April","May","June","July","August","September","October","November","December")&amp;" "&amp;DAY(C2164)&amp;MID("thstndrdth",MIN(9,2*RIGHT(DAY(C2164))*(MOD(DAY(C2164)-11,100)&gt;2)+1),2)&amp;","&amp;TEXT(C2164," yyyy"))</f>
        <v>May 5th,2025</v>
      </c>
      <c r="AB2164" s="15" t="str">
        <f aca="true">IF(S2164="","",DATEDIF(S2164,TODAY(),"Y")&amp;" Tahun, "&amp;DATEDIF(S2164,TODAY(),"YM")&amp;" Bulan, "&amp;DATEDIF(S2164,TODAY(),"MD")&amp;" Hari")</f>
        <v>31 Tahun, 8 Bulan, 24 Hari</v>
      </c>
      <c r="AC2164" s="18" t="n">
        <v>45844</v>
      </c>
      <c r="AD2164" s="18" t="n">
        <v>45935</v>
      </c>
      <c r="AE2164" s="18" t="s">
        <v>44</v>
      </c>
    </row>
    <row r="2165" customFormat="false" ht="15" hidden="false" customHeight="true" outlineLevel="0" collapsed="false">
      <c r="A2165" s="12" t="n">
        <v>19496</v>
      </c>
      <c r="B2165" s="13" t="s">
        <v>9314</v>
      </c>
      <c r="C2165" s="16" t="n">
        <v>45782</v>
      </c>
      <c r="D2165" s="13" t="s">
        <v>1338</v>
      </c>
      <c r="E2165" s="15" t="s">
        <v>33</v>
      </c>
      <c r="F2165" s="24" t="s">
        <v>9315</v>
      </c>
      <c r="G2165" s="13" t="s">
        <v>57</v>
      </c>
      <c r="H2165" s="13" t="s">
        <v>7950</v>
      </c>
      <c r="I2165" s="13" t="str">
        <f aca="false">IF(C2165=J2165,"NEW KONTRAK","RE-KONTRAK")</f>
        <v>RE-KONTRAK</v>
      </c>
      <c r="J2165" s="16" t="n">
        <f aca="false" t="array" ref="J2165:J2165">IFERROR(INDEX(AC2165:AE2165,IF(COUNTA(AC2165:AE2165)=0,"",MAX((AC2165:AE2165&lt;&gt;"")*(COLUMN(AC2165:AE2165)-(COLUMN(AC2165)))))-1),"")</f>
        <v>45844</v>
      </c>
      <c r="K2165" s="16" t="n">
        <f aca="false" t="array" ref="K2165:K2165">IFERROR(INDEX(AC2165:AE2165,IF(COUNTA(AC2165:AE2165)=0,"",MAX((AC2165:AE2165&lt;&gt;"")*(COLUMN(AC2165:AE2165)-(COLUMN(AC2165)-1))))-1),"")</f>
        <v>45935</v>
      </c>
      <c r="L2165" s="17" t="str">
        <f aca="false" t="array" ref="L2165:L2165">IFERROR(INDEX(AC2165:AE2165,IF(COUNTA(AC2165:AE2165)=0,"",MAX((AC2165:AE2165&lt;&gt;"")*(COLUMN(AC2165:AE2165)-(COLUMN(AC2165)-2))))-1),"")</f>
        <v>ARCHIVED</v>
      </c>
      <c r="M2165" s="13" t="n">
        <f aca="true">K2165-TODAY()</f>
        <v>-389</v>
      </c>
      <c r="N2165" s="50" t="s">
        <v>615</v>
      </c>
      <c r="O2165" s="13" t="s">
        <v>7951</v>
      </c>
      <c r="P2165" s="19" t="n">
        <v>210000</v>
      </c>
      <c r="Q2165" s="20" t="s">
        <v>9316</v>
      </c>
      <c r="R2165" s="13" t="s">
        <v>232</v>
      </c>
      <c r="S2165" s="16" t="n">
        <v>35803</v>
      </c>
      <c r="T2165" s="28" t="s">
        <v>40</v>
      </c>
      <c r="U2165" s="13" t="s">
        <v>9317</v>
      </c>
      <c r="V2165" s="13" t="s">
        <v>42</v>
      </c>
      <c r="W2165" s="13" t="s">
        <v>54</v>
      </c>
      <c r="X2165" s="21" t="n">
        <v>81358608147</v>
      </c>
      <c r="Y2165" s="22" t="str">
        <f aca="false">O2165</f>
        <v>Mekanik Kiln</v>
      </c>
      <c r="Z2165" s="13" t="str">
        <f aca="false">IFERROR(__xludf.dummyfunction("if(BJ2165="""","""",GOOGLETRANSLATE(BJ2165,""auto"",""en""))"),"Kiln Mechanics")</f>
        <v>Kiln Mechanics</v>
      </c>
      <c r="AA2165" s="23" t="str">
        <f aca="false">IF(C2165="","", CHOOSE(MONTH(C2165),"January","February","March","April","May","June","July","August","September","October","November","December")&amp;" "&amp;DAY(C2165)&amp;MID("thstndrdth",MIN(9,2*RIGHT(DAY(C2165))*(MOD(DAY(C2165)-11,100)&gt;2)+1),2)&amp;","&amp;TEXT(C2165," yyyy"))</f>
        <v>May 5th,2025</v>
      </c>
      <c r="AB2165" s="15" t="str">
        <f aca="true">IF(S2165="","",DATEDIF(S2165,TODAY(),"Y")&amp;" Tahun, "&amp;DATEDIF(S2165,TODAY(),"YM")&amp;" Bulan, "&amp;DATEDIF(S2165,TODAY(),"MD")&amp;" Hari")</f>
        <v>28 Tahun, 9 Bulan, 21 Hari</v>
      </c>
      <c r="AC2165" s="18" t="n">
        <v>45844</v>
      </c>
      <c r="AD2165" s="18" t="n">
        <v>45935</v>
      </c>
      <c r="AE2165" s="18" t="s">
        <v>44</v>
      </c>
    </row>
    <row r="2166" customFormat="false" ht="15" hidden="false" customHeight="true" outlineLevel="0" collapsed="false">
      <c r="A2166" s="12" t="n">
        <v>19498</v>
      </c>
      <c r="B2166" s="13" t="s">
        <v>9318</v>
      </c>
      <c r="C2166" s="16" t="n">
        <v>45782</v>
      </c>
      <c r="D2166" s="13" t="s">
        <v>7948</v>
      </c>
      <c r="E2166" s="15" t="s">
        <v>7949</v>
      </c>
      <c r="F2166" s="15" t="str">
        <f aca="false">IFERROR(__xludf.dummyfunction("XLOOKUP(AJ2166,IMPORTRANGE(""1XaInW9DU9nz21V0tYIfzFQ0He9kVQ_JF2mCXgZ3hqFA"",""REKAP ALL 2026 - Andika!G:G""),IMPORTRANGE(""1XaInW9DU9nz21V0tYIfzFQ0He9kVQ_JF2mCXgZ3hqFA"",""REKAP ALL 2026 - Andika!F:F""),"""",0)"),"25062535338")</f>
        <v>25062535338</v>
      </c>
      <c r="G2166" s="13" t="s">
        <v>57</v>
      </c>
      <c r="H2166" s="13" t="s">
        <v>7950</v>
      </c>
      <c r="I2166" s="13" t="str">
        <f aca="false">IF(C2166=J2166,"NEW KONTRAK","RE-KONTRAK")</f>
        <v>RE-KONTRAK</v>
      </c>
      <c r="J2166" s="16" t="n">
        <f aca="false" t="array" ref="J2166:J2166">IFERROR(INDEX(AC2166:AE2166,IF(COUNTA(AC2166:AE2166)=0,"",MAX((AC2166:AE2166&lt;&gt;"")*(COLUMN(AC2166:AE2166)-(COLUMN(AC2166)))))-1),"")</f>
        <v>45844</v>
      </c>
      <c r="K2166" s="16" t="n">
        <f aca="false" t="array" ref="K2166:K2166">IFERROR(INDEX(AC2166:AE2166,IF(COUNTA(AC2166:AE2166)=0,"",MAX((AC2166:AE2166&lt;&gt;"")*(COLUMN(AC2166:AE2166)-(COLUMN(AC2166)-1))))-1),"")</f>
        <v>45935</v>
      </c>
      <c r="L2166" s="17" t="str">
        <f aca="false" t="array" ref="L2166:L2166">IFERROR(INDEX(AC2166:AE2166,IF(COUNTA(AC2166:AE2166)=0,"",MAX((AC2166:AE2166&lt;&gt;"")*(COLUMN(AC2166:AE2166)-(COLUMN(AC2166)-2))))-1),"")</f>
        <v>ARCHIVED</v>
      </c>
      <c r="M2166" s="13" t="n">
        <f aca="true">K2166-TODAY()</f>
        <v>-389</v>
      </c>
      <c r="N2166" s="18" t="s">
        <v>4051</v>
      </c>
      <c r="O2166" s="13" t="s">
        <v>7951</v>
      </c>
      <c r="P2166" s="19" t="n">
        <v>210000</v>
      </c>
      <c r="Q2166" s="20" t="s">
        <v>9319</v>
      </c>
      <c r="R2166" s="13" t="s">
        <v>73</v>
      </c>
      <c r="S2166" s="16" t="n">
        <v>30133</v>
      </c>
      <c r="T2166" s="28" t="s">
        <v>40</v>
      </c>
      <c r="U2166" s="13" t="s">
        <v>9320</v>
      </c>
      <c r="V2166" s="13" t="s">
        <v>42</v>
      </c>
      <c r="W2166" s="13" t="s">
        <v>54</v>
      </c>
      <c r="X2166" s="21" t="n">
        <v>81225367125</v>
      </c>
      <c r="Y2166" s="22" t="str">
        <f aca="false">O2166</f>
        <v>Mekanik Kiln</v>
      </c>
      <c r="Z2166" s="13" t="str">
        <f aca="false">IFERROR(__xludf.dummyfunction("if(BJ2166="""","""",GOOGLETRANSLATE(BJ2166,""auto"",""en""))"),"Kiln Mechanics")</f>
        <v>Kiln Mechanics</v>
      </c>
      <c r="AA2166" s="23" t="str">
        <f aca="false">IF(C2166="","", CHOOSE(MONTH(C2166),"January","February","March","April","May","June","July","August","September","October","November","December")&amp;" "&amp;DAY(C2166)&amp;MID("thstndrdth",MIN(9,2*RIGHT(DAY(C2166))*(MOD(DAY(C2166)-11,100)&gt;2)+1),2)&amp;","&amp;TEXT(C2166," yyyy"))</f>
        <v>May 5th,2025</v>
      </c>
      <c r="AB2166" s="15" t="str">
        <f aca="true">IF(S2166="","",DATEDIF(S2166,TODAY(),"Y")&amp;" Tahun, "&amp;DATEDIF(S2166,TODAY(),"YM")&amp;" Bulan, "&amp;DATEDIF(S2166,TODAY(),"MD")&amp;" Hari")</f>
        <v>44 Tahun, 3 Bulan, 28 Hari</v>
      </c>
      <c r="AC2166" s="18" t="n">
        <v>45844</v>
      </c>
      <c r="AD2166" s="18" t="n">
        <v>45935</v>
      </c>
      <c r="AE2166" s="18" t="s">
        <v>44</v>
      </c>
    </row>
    <row r="2167" customFormat="false" ht="15" hidden="false" customHeight="true" outlineLevel="0" collapsed="false">
      <c r="A2167" s="12" t="n">
        <v>19499</v>
      </c>
      <c r="B2167" s="13" t="s">
        <v>9321</v>
      </c>
      <c r="C2167" s="16" t="n">
        <v>45782</v>
      </c>
      <c r="D2167" s="13" t="s">
        <v>7948</v>
      </c>
      <c r="E2167" s="15" t="s">
        <v>7949</v>
      </c>
      <c r="F2167" s="15" t="str">
        <f aca="false">IFERROR(__xludf.dummyfunction("XLOOKUP(AJ2167,IMPORTRANGE(""1XaInW9DU9nz21V0tYIfzFQ0He9kVQ_JF2mCXgZ3hqFA"",""REKAP ALL 2026 - Andika!G:G""),IMPORTRANGE(""1XaInW9DU9nz21V0tYIfzFQ0He9kVQ_JF2mCXgZ3hqFA"",""REKAP ALL 2026 - Andika!F:F""),"""",0)"),"26020755083")</f>
        <v>26020755083</v>
      </c>
      <c r="G2167" s="13" t="s">
        <v>57</v>
      </c>
      <c r="H2167" s="13" t="s">
        <v>7950</v>
      </c>
      <c r="I2167" s="13" t="str">
        <f aca="false">IF(C2167=J2167,"NEW KONTRAK","RE-KONTRAK")</f>
        <v>RE-KONTRAK</v>
      </c>
      <c r="J2167" s="16" t="n">
        <f aca="false" t="array" ref="J2167:J2167">IFERROR(INDEX(AC2167:AE2167,IF(COUNTA(AC2167:AE2167)=0,"",MAX((AC2167:AE2167&lt;&gt;"")*(COLUMN(AC2167:AE2167)-(COLUMN(AC2167)))))-1),"")</f>
        <v>45844</v>
      </c>
      <c r="K2167" s="16" t="n">
        <f aca="false" t="array" ref="K2167:K2167">IFERROR(INDEX(AC2167:AE2167,IF(COUNTA(AC2167:AE2167)=0,"",MAX((AC2167:AE2167&lt;&gt;"")*(COLUMN(AC2167:AE2167)-(COLUMN(AC2167)-1))))-1),"")</f>
        <v>45935</v>
      </c>
      <c r="L2167" s="17" t="str">
        <f aca="false" t="array" ref="L2167:L2167">IFERROR(INDEX(AC2167:AE2167,IF(COUNTA(AC2167:AE2167)=0,"",MAX((AC2167:AE2167&lt;&gt;"")*(COLUMN(AC2167:AE2167)-(COLUMN(AC2167)-2))))-1),"")</f>
        <v>ARCHIVED</v>
      </c>
      <c r="M2167" s="13" t="n">
        <f aca="true">K2167-TODAY()</f>
        <v>-389</v>
      </c>
      <c r="N2167" s="18" t="s">
        <v>4051</v>
      </c>
      <c r="O2167" s="13" t="s">
        <v>7951</v>
      </c>
      <c r="P2167" s="19" t="n">
        <v>210000</v>
      </c>
      <c r="Q2167" s="20" t="s">
        <v>9322</v>
      </c>
      <c r="R2167" s="13" t="s">
        <v>260</v>
      </c>
      <c r="S2167" s="16" t="n">
        <v>32295</v>
      </c>
      <c r="T2167" s="28" t="s">
        <v>40</v>
      </c>
      <c r="U2167" s="13" t="s">
        <v>9323</v>
      </c>
      <c r="V2167" s="13" t="s">
        <v>42</v>
      </c>
      <c r="W2167" s="13" t="s">
        <v>54</v>
      </c>
      <c r="X2167" s="21" t="n">
        <v>81335390536</v>
      </c>
      <c r="Y2167" s="22" t="str">
        <f aca="false">O2167</f>
        <v>Mekanik Kiln</v>
      </c>
      <c r="Z2167" s="13" t="str">
        <f aca="false">IFERROR(__xludf.dummyfunction("if(BJ2167="""","""",GOOGLETRANSLATE(BJ2167,""auto"",""en""))"),"Kiln Mechanics")</f>
        <v>Kiln Mechanics</v>
      </c>
      <c r="AA2167" s="23" t="str">
        <f aca="false">IF(C2167="","", CHOOSE(MONTH(C2167),"January","February","March","April","May","June","July","August","September","October","November","December")&amp;" "&amp;DAY(C2167)&amp;MID("thstndrdth",MIN(9,2*RIGHT(DAY(C2167))*(MOD(DAY(C2167)-11,100)&gt;2)+1),2)&amp;","&amp;TEXT(C2167," yyyy"))</f>
        <v>May 5th,2025</v>
      </c>
      <c r="AB2167" s="15" t="str">
        <f aca="true">IF(S2167="","",DATEDIF(S2167,TODAY(),"Y")&amp;" Tahun, "&amp;DATEDIF(S2167,TODAY(),"YM")&amp;" Bulan, "&amp;DATEDIF(S2167,TODAY(),"MD")&amp;" Hari")</f>
        <v>38 Tahun, 4 Bulan, 28 Hari</v>
      </c>
      <c r="AC2167" s="18" t="n">
        <v>45844</v>
      </c>
      <c r="AD2167" s="18" t="n">
        <v>45935</v>
      </c>
      <c r="AE2167" s="18" t="s">
        <v>44</v>
      </c>
    </row>
    <row r="2168" customFormat="false" ht="15" hidden="false" customHeight="true" outlineLevel="0" collapsed="false">
      <c r="A2168" s="12" t="n">
        <v>19500</v>
      </c>
      <c r="B2168" s="13" t="s">
        <v>9324</v>
      </c>
      <c r="C2168" s="16" t="n">
        <v>45782</v>
      </c>
      <c r="D2168" s="13" t="s">
        <v>7948</v>
      </c>
      <c r="E2168" s="15" t="s">
        <v>7949</v>
      </c>
      <c r="F2168" s="15" t="str">
        <f aca="false">IFERROR(__xludf.dummyfunction("XLOOKUP(AJ2168,IMPORTRANGE(""1XaInW9DU9nz21V0tYIfzFQ0He9kVQ_JF2mCXgZ3hqFA"",""REKAP ALL 2026 - Andika!G:G""),IMPORTRANGE(""1XaInW9DU9nz21V0tYIfzFQ0He9kVQ_JF2mCXgZ3hqFA"",""REKAP ALL 2026 - Andika!F:F""),"""",0)"),"25062535353")</f>
        <v>25062535353</v>
      </c>
      <c r="G2168" s="13" t="s">
        <v>57</v>
      </c>
      <c r="H2168" s="13" t="s">
        <v>7950</v>
      </c>
      <c r="I2168" s="13" t="str">
        <f aca="false">IF(C2168=J2168,"NEW KONTRAK","RE-KONTRAK")</f>
        <v>RE-KONTRAK</v>
      </c>
      <c r="J2168" s="16" t="n">
        <f aca="false" t="array" ref="J2168:J2168">IFERROR(INDEX(AC2168:AE2168,IF(COUNTA(AC2168:AE2168)=0,"",MAX((AC2168:AE2168&lt;&gt;"")*(COLUMN(AC2168:AE2168)-(COLUMN(AC2168)))))-1),"")</f>
        <v>45844</v>
      </c>
      <c r="K2168" s="16" t="n">
        <f aca="false" t="array" ref="K2168:K2168">IFERROR(INDEX(AC2168:AE2168,IF(COUNTA(AC2168:AE2168)=0,"",MAX((AC2168:AE2168&lt;&gt;"")*(COLUMN(AC2168:AE2168)-(COLUMN(AC2168)-1))))-1),"")</f>
        <v>45935</v>
      </c>
      <c r="L2168" s="17" t="str">
        <f aca="false" t="array" ref="L2168:L2168">IFERROR(INDEX(AC2168:AE2168,IF(COUNTA(AC2168:AE2168)=0,"",MAX((AC2168:AE2168&lt;&gt;"")*(COLUMN(AC2168:AE2168)-(COLUMN(AC2168)-2))))-1),"")</f>
        <v>ARCHIVED</v>
      </c>
      <c r="M2168" s="13" t="n">
        <f aca="true">K2168-TODAY()</f>
        <v>-389</v>
      </c>
      <c r="N2168" s="18" t="s">
        <v>4051</v>
      </c>
      <c r="O2168" s="13" t="s">
        <v>7951</v>
      </c>
      <c r="P2168" s="19" t="n">
        <v>210000</v>
      </c>
      <c r="Q2168" s="20" t="s">
        <v>9325</v>
      </c>
      <c r="R2168" s="13" t="s">
        <v>260</v>
      </c>
      <c r="S2168" s="16" t="n">
        <v>31906</v>
      </c>
      <c r="T2168" s="28" t="s">
        <v>40</v>
      </c>
      <c r="U2168" s="13" t="s">
        <v>9326</v>
      </c>
      <c r="V2168" s="13" t="s">
        <v>42</v>
      </c>
      <c r="W2168" s="13" t="s">
        <v>43</v>
      </c>
      <c r="X2168" s="21" t="n">
        <v>81259468404</v>
      </c>
      <c r="Y2168" s="22" t="str">
        <f aca="false">O2168</f>
        <v>Mekanik Kiln</v>
      </c>
      <c r="Z2168" s="13" t="str">
        <f aca="false">IFERROR(__xludf.dummyfunction("if(BJ2168="""","""",GOOGLETRANSLATE(BJ2168,""auto"",""en""))"),"Kiln Mechanics")</f>
        <v>Kiln Mechanics</v>
      </c>
      <c r="AA2168" s="23" t="str">
        <f aca="false">IF(C2168="","", CHOOSE(MONTH(C2168),"January","February","March","April","May","June","July","August","September","October","November","December")&amp;" "&amp;DAY(C2168)&amp;MID("thstndrdth",MIN(9,2*RIGHT(DAY(C2168))*(MOD(DAY(C2168)-11,100)&gt;2)+1),2)&amp;","&amp;TEXT(C2168," yyyy"))</f>
        <v>May 5th,2025</v>
      </c>
      <c r="AB2168" s="15" t="str">
        <f aca="true">IF(S2168="","",DATEDIF(S2168,TODAY(),"Y")&amp;" Tahun, "&amp;DATEDIF(S2168,TODAY(),"YM")&amp;" Bulan, "&amp;DATEDIF(S2168,TODAY(),"MD")&amp;" Hari")</f>
        <v>39 Tahun, 5 Bulan, 20 Hari</v>
      </c>
      <c r="AC2168" s="18" t="n">
        <v>45844</v>
      </c>
      <c r="AD2168" s="18" t="n">
        <v>45935</v>
      </c>
      <c r="AE2168" s="18" t="s">
        <v>44</v>
      </c>
    </row>
    <row r="2169" customFormat="false" ht="15" hidden="false" customHeight="true" outlineLevel="0" collapsed="false">
      <c r="A2169" s="12" t="n">
        <v>19501</v>
      </c>
      <c r="B2169" s="13" t="s">
        <v>9327</v>
      </c>
      <c r="C2169" s="16" t="n">
        <v>45782</v>
      </c>
      <c r="D2169" s="13" t="s">
        <v>7948</v>
      </c>
      <c r="E2169" s="15" t="s">
        <v>7949</v>
      </c>
      <c r="F2169" s="15" t="str">
        <f aca="false">IFERROR(__xludf.dummyfunction("XLOOKUP(AJ2169,IMPORTRANGE(""1XaInW9DU9nz21V0tYIfzFQ0He9kVQ_JF2mCXgZ3hqFA"",""REKAP ALL 2026 - Andika!G:G""),IMPORTRANGE(""1XaInW9DU9nz21V0tYIfzFQ0He9kVQ_JF2mCXgZ3hqFA"",""REKAP ALL 2026 - Andika!F:F""),"""",0)"),"25062535361")</f>
        <v>25062535361</v>
      </c>
      <c r="G2169" s="13" t="s">
        <v>57</v>
      </c>
      <c r="H2169" s="13" t="s">
        <v>7950</v>
      </c>
      <c r="I2169" s="13" t="str">
        <f aca="false">IF(C2169=J2169,"NEW KONTRAK","RE-KONTRAK")</f>
        <v>RE-KONTRAK</v>
      </c>
      <c r="J2169" s="16" t="n">
        <f aca="false" t="array" ref="J2169:J2169">IFERROR(INDEX(AC2169:AE2169,IF(COUNTA(AC2169:AE2169)=0,"",MAX((AC2169:AE2169&lt;&gt;"")*(COLUMN(AC2169:AE2169)-(COLUMN(AC2169)))))-1),"")</f>
        <v>45844</v>
      </c>
      <c r="K2169" s="16" t="n">
        <f aca="false" t="array" ref="K2169:K2169">IFERROR(INDEX(AC2169:AE2169,IF(COUNTA(AC2169:AE2169)=0,"",MAX((AC2169:AE2169&lt;&gt;"")*(COLUMN(AC2169:AE2169)-(COLUMN(AC2169)-1))))-1),"")</f>
        <v>45935</v>
      </c>
      <c r="L2169" s="17" t="str">
        <f aca="false" t="array" ref="L2169:L2169">IFERROR(INDEX(AC2169:AE2169,IF(COUNTA(AC2169:AE2169)=0,"",MAX((AC2169:AE2169&lt;&gt;"")*(COLUMN(AC2169:AE2169)-(COLUMN(AC2169)-2))))-1),"")</f>
        <v>ARCHIVED</v>
      </c>
      <c r="M2169" s="13" t="n">
        <f aca="true">K2169-TODAY()</f>
        <v>-389</v>
      </c>
      <c r="N2169" s="18" t="s">
        <v>4051</v>
      </c>
      <c r="O2169" s="13" t="s">
        <v>7951</v>
      </c>
      <c r="P2169" s="19" t="n">
        <v>210000</v>
      </c>
      <c r="Q2169" s="20" t="s">
        <v>9328</v>
      </c>
      <c r="R2169" s="13" t="s">
        <v>232</v>
      </c>
      <c r="S2169" s="16" t="n">
        <v>38254</v>
      </c>
      <c r="T2169" s="28" t="s">
        <v>40</v>
      </c>
      <c r="U2169" s="13" t="s">
        <v>9329</v>
      </c>
      <c r="V2169" s="13" t="s">
        <v>42</v>
      </c>
      <c r="W2169" s="13" t="s">
        <v>43</v>
      </c>
      <c r="X2169" s="21" t="n">
        <v>85748183170</v>
      </c>
      <c r="Y2169" s="22" t="str">
        <f aca="false">O2169</f>
        <v>Mekanik Kiln</v>
      </c>
      <c r="Z2169" s="13" t="str">
        <f aca="false">IFERROR(__xludf.dummyfunction("if(BJ2169="""","""",GOOGLETRANSLATE(BJ2169,""auto"",""en""))"),"Kiln Mechanics")</f>
        <v>Kiln Mechanics</v>
      </c>
      <c r="AA2169" s="23" t="str">
        <f aca="false">IF(C2169="","", CHOOSE(MONTH(C2169),"January","February","March","April","May","June","July","August","September","October","November","December")&amp;" "&amp;DAY(C2169)&amp;MID("thstndrdth",MIN(9,2*RIGHT(DAY(C2169))*(MOD(DAY(C2169)-11,100)&gt;2)+1),2)&amp;","&amp;TEXT(C2169," yyyy"))</f>
        <v>May 5th,2025</v>
      </c>
      <c r="AB2169" s="15" t="str">
        <f aca="true">IF(S2169="","",DATEDIF(S2169,TODAY(),"Y")&amp;" Tahun, "&amp;DATEDIF(S2169,TODAY(),"YM")&amp;" Bulan, "&amp;DATEDIF(S2169,TODAY(),"MD")&amp;" Hari")</f>
        <v>22 Tahun, 1 Bulan, 5 Hari</v>
      </c>
      <c r="AC2169" s="18" t="n">
        <v>45844</v>
      </c>
      <c r="AD2169" s="18" t="n">
        <v>45935</v>
      </c>
      <c r="AE2169" s="18" t="s">
        <v>44</v>
      </c>
    </row>
    <row r="2170" customFormat="false" ht="15" hidden="false" customHeight="true" outlineLevel="0" collapsed="false">
      <c r="A2170" s="12" t="n">
        <v>19502</v>
      </c>
      <c r="B2170" s="13" t="s">
        <v>9330</v>
      </c>
      <c r="C2170" s="16" t="n">
        <v>45782</v>
      </c>
      <c r="D2170" s="13" t="s">
        <v>7948</v>
      </c>
      <c r="E2170" s="15" t="s">
        <v>7949</v>
      </c>
      <c r="F2170" s="15" t="str">
        <f aca="false">IFERROR(__xludf.dummyfunction("XLOOKUP(AJ2170,IMPORTRANGE(""1XaInW9DU9nz21V0tYIfzFQ0He9kVQ_JF2mCXgZ3hqFA"",""REKAP ALL 2026 - Andika!G:G""),IMPORTRANGE(""1XaInW9DU9nz21V0tYIfzFQ0He9kVQ_JF2mCXgZ3hqFA"",""REKAP ALL 2026 - Andika!F:F""),"""",0)"),"25062535379")</f>
        <v>25062535379</v>
      </c>
      <c r="G2170" s="13" t="s">
        <v>57</v>
      </c>
      <c r="H2170" s="13" t="s">
        <v>7950</v>
      </c>
      <c r="I2170" s="13" t="str">
        <f aca="false">IF(C2170=J2170,"NEW KONTRAK","RE-KONTRAK")</f>
        <v>RE-KONTRAK</v>
      </c>
      <c r="J2170" s="16" t="n">
        <f aca="false" t="array" ref="J2170:J2170">IFERROR(INDEX(AC2170:AE2170,IF(COUNTA(AC2170:AE2170)=0,"",MAX((AC2170:AE2170&lt;&gt;"")*(COLUMN(AC2170:AE2170)-(COLUMN(AC2170)))))-1),"")</f>
        <v>45844</v>
      </c>
      <c r="K2170" s="16" t="n">
        <f aca="false" t="array" ref="K2170:K2170">IFERROR(INDEX(AC2170:AE2170,IF(COUNTA(AC2170:AE2170)=0,"",MAX((AC2170:AE2170&lt;&gt;"")*(COLUMN(AC2170:AE2170)-(COLUMN(AC2170)-1))))-1),"")</f>
        <v>45935</v>
      </c>
      <c r="L2170" s="17" t="str">
        <f aca="false" t="array" ref="L2170:L2170">IFERROR(INDEX(AC2170:AE2170,IF(COUNTA(AC2170:AE2170)=0,"",MAX((AC2170:AE2170&lt;&gt;"")*(COLUMN(AC2170:AE2170)-(COLUMN(AC2170)-2))))-1),"")</f>
        <v>ARCHIVED</v>
      </c>
      <c r="M2170" s="13" t="n">
        <f aca="true">K2170-TODAY()</f>
        <v>-389</v>
      </c>
      <c r="N2170" s="18" t="s">
        <v>4051</v>
      </c>
      <c r="O2170" s="13" t="s">
        <v>7951</v>
      </c>
      <c r="P2170" s="19" t="n">
        <v>210000</v>
      </c>
      <c r="Q2170" s="20" t="s">
        <v>9331</v>
      </c>
      <c r="R2170" s="13" t="s">
        <v>232</v>
      </c>
      <c r="S2170" s="16" t="n">
        <v>34183</v>
      </c>
      <c r="T2170" s="28" t="s">
        <v>40</v>
      </c>
      <c r="U2170" s="13" t="s">
        <v>9332</v>
      </c>
      <c r="V2170" s="13" t="s">
        <v>42</v>
      </c>
      <c r="W2170" s="13" t="s">
        <v>54</v>
      </c>
      <c r="X2170" s="21" t="n">
        <v>87798062212</v>
      </c>
      <c r="Y2170" s="22" t="str">
        <f aca="false">O2170</f>
        <v>Mekanik Kiln</v>
      </c>
      <c r="Z2170" s="13" t="str">
        <f aca="false">IFERROR(__xludf.dummyfunction("if(BJ2170="""","""",GOOGLETRANSLATE(BJ2170,""auto"",""en""))"),"Kiln Mechanics")</f>
        <v>Kiln Mechanics</v>
      </c>
      <c r="AA2170" s="23" t="str">
        <f aca="false">IF(C2170="","", CHOOSE(MONTH(C2170),"January","February","March","April","May","June","July","August","September","October","November","December")&amp;" "&amp;DAY(C2170)&amp;MID("thstndrdth",MIN(9,2*RIGHT(DAY(C2170))*(MOD(DAY(C2170)-11,100)&gt;2)+1),2)&amp;","&amp;TEXT(C2170," yyyy"))</f>
        <v>May 5th,2025</v>
      </c>
      <c r="AB2170" s="15" t="str">
        <f aca="true">IF(S2170="","",DATEDIF(S2170,TODAY(),"Y")&amp;" Tahun, "&amp;DATEDIF(S2170,TODAY(),"YM")&amp;" Bulan, "&amp;DATEDIF(S2170,TODAY(),"MD")&amp;" Hari")</f>
        <v>33 Tahun, 2 Bulan, 27 Hari</v>
      </c>
      <c r="AC2170" s="18" t="n">
        <v>45844</v>
      </c>
      <c r="AD2170" s="18" t="n">
        <v>45935</v>
      </c>
      <c r="AE2170" s="18" t="s">
        <v>44</v>
      </c>
    </row>
    <row r="2171" customFormat="false" ht="15" hidden="false" customHeight="true" outlineLevel="0" collapsed="false">
      <c r="A2171" s="12" t="n">
        <v>19503</v>
      </c>
      <c r="B2171" s="13" t="s">
        <v>9333</v>
      </c>
      <c r="C2171" s="16" t="n">
        <v>45782</v>
      </c>
      <c r="D2171" s="13" t="s">
        <v>7948</v>
      </c>
      <c r="E2171" s="15" t="s">
        <v>7949</v>
      </c>
      <c r="F2171" s="15" t="str">
        <f aca="false">IFERROR(__xludf.dummyfunction("XLOOKUP(AJ2171,IMPORTRANGE(""1XaInW9DU9nz21V0tYIfzFQ0He9kVQ_JF2mCXgZ3hqFA"",""REKAP ALL 2026 - Andika!G:G""),IMPORTRANGE(""1XaInW9DU9nz21V0tYIfzFQ0He9kVQ_JF2mCXgZ3hqFA"",""REKAP ALL 2026 - Andika!F:F""),"""",0)"),"25062535387")</f>
        <v>25062535387</v>
      </c>
      <c r="G2171" s="13" t="s">
        <v>57</v>
      </c>
      <c r="H2171" s="13" t="s">
        <v>7950</v>
      </c>
      <c r="I2171" s="13" t="str">
        <f aca="false">IF(C2171=J2171,"NEW KONTRAK","RE-KONTRAK")</f>
        <v>RE-KONTRAK</v>
      </c>
      <c r="J2171" s="16" t="n">
        <f aca="false" t="array" ref="J2171:J2171">IFERROR(INDEX(AC2171:AE2171,IF(COUNTA(AC2171:AE2171)=0,"",MAX((AC2171:AE2171&lt;&gt;"")*(COLUMN(AC2171:AE2171)-(COLUMN(AC2171)))))-1),"")</f>
        <v>45844</v>
      </c>
      <c r="K2171" s="16" t="n">
        <f aca="false" t="array" ref="K2171:K2171">IFERROR(INDEX(AC2171:AE2171,IF(COUNTA(AC2171:AE2171)=0,"",MAX((AC2171:AE2171&lt;&gt;"")*(COLUMN(AC2171:AE2171)-(COLUMN(AC2171)-1))))-1),"")</f>
        <v>45935</v>
      </c>
      <c r="L2171" s="17" t="str">
        <f aca="false" t="array" ref="L2171:L2171">IFERROR(INDEX(AC2171:AE2171,IF(COUNTA(AC2171:AE2171)=0,"",MAX((AC2171:AE2171&lt;&gt;"")*(COLUMN(AC2171:AE2171)-(COLUMN(AC2171)-2))))-1),"")</f>
        <v>ARCHIVED</v>
      </c>
      <c r="M2171" s="13" t="n">
        <f aca="true">K2171-TODAY()</f>
        <v>-389</v>
      </c>
      <c r="N2171" s="18" t="s">
        <v>4051</v>
      </c>
      <c r="O2171" s="13" t="s">
        <v>7951</v>
      </c>
      <c r="P2171" s="19" t="n">
        <v>210000</v>
      </c>
      <c r="Q2171" s="20" t="s">
        <v>9334</v>
      </c>
      <c r="R2171" s="13" t="s">
        <v>148</v>
      </c>
      <c r="S2171" s="16" t="n">
        <v>33383</v>
      </c>
      <c r="T2171" s="28" t="s">
        <v>40</v>
      </c>
      <c r="U2171" s="13" t="s">
        <v>9335</v>
      </c>
      <c r="V2171" s="13" t="s">
        <v>42</v>
      </c>
      <c r="W2171" s="13" t="s">
        <v>54</v>
      </c>
      <c r="X2171" s="21" t="n">
        <v>85735524703</v>
      </c>
      <c r="Y2171" s="22" t="str">
        <f aca="false">O2171</f>
        <v>Mekanik Kiln</v>
      </c>
      <c r="Z2171" s="13" t="str">
        <f aca="false">IFERROR(__xludf.dummyfunction("if(BJ2171="""","""",GOOGLETRANSLATE(BJ2171,""auto"",""en""))"),"Kiln Mechanics")</f>
        <v>Kiln Mechanics</v>
      </c>
      <c r="AA2171" s="23" t="str">
        <f aca="false">IF(C2171="","", CHOOSE(MONTH(C2171),"January","February","March","April","May","June","July","August","September","October","November","December")&amp;" "&amp;DAY(C2171)&amp;MID("thstndrdth",MIN(9,2*RIGHT(DAY(C2171))*(MOD(DAY(C2171)-11,100)&gt;2)+1),2)&amp;","&amp;TEXT(C2171," yyyy"))</f>
        <v>May 5th,2025</v>
      </c>
      <c r="AB2171" s="15" t="str">
        <f aca="true">IF(S2171="","",DATEDIF(S2171,TODAY(),"Y")&amp;" Tahun, "&amp;DATEDIF(S2171,TODAY(),"YM")&amp;" Bulan, "&amp;DATEDIF(S2171,TODAY(),"MD")&amp;" Hari")</f>
        <v>35 Tahun, 5 Bulan, 4 Hari</v>
      </c>
      <c r="AC2171" s="18" t="n">
        <v>45844</v>
      </c>
      <c r="AD2171" s="18" t="n">
        <v>45935</v>
      </c>
      <c r="AE2171" s="18" t="s">
        <v>44</v>
      </c>
    </row>
    <row r="2172" customFormat="false" ht="15" hidden="false" customHeight="true" outlineLevel="0" collapsed="false">
      <c r="A2172" s="12" t="n">
        <v>19505</v>
      </c>
      <c r="B2172" s="13" t="s">
        <v>9336</v>
      </c>
      <c r="C2172" s="16" t="n">
        <v>45782</v>
      </c>
      <c r="D2172" s="13" t="s">
        <v>7948</v>
      </c>
      <c r="E2172" s="15" t="s">
        <v>7949</v>
      </c>
      <c r="F2172" s="15" t="str">
        <f aca="false">IFERROR(__xludf.dummyfunction("XLOOKUP(AJ2172,IMPORTRANGE(""1XaInW9DU9nz21V0tYIfzFQ0He9kVQ_JF2mCXgZ3hqFA"",""REKAP ALL 2026 - Andika!G:G""),IMPORTRANGE(""1XaInW9DU9nz21V0tYIfzFQ0He9kVQ_JF2mCXgZ3hqFA"",""REKAP ALL 2026 - Andika!F:F""),"""",0)"),"25062535411")</f>
        <v>25062535411</v>
      </c>
      <c r="G2172" s="13" t="s">
        <v>57</v>
      </c>
      <c r="H2172" s="13" t="s">
        <v>7950</v>
      </c>
      <c r="I2172" s="13" t="str">
        <f aca="false">IF(C2172=J2172,"NEW KONTRAK","RE-KONTRAK")</f>
        <v>RE-KONTRAK</v>
      </c>
      <c r="J2172" s="16" t="n">
        <f aca="false" t="array" ref="J2172:J2172">IFERROR(INDEX(AC2172:AE2172,IF(COUNTA(AC2172:AE2172)=0,"",MAX((AC2172:AE2172&lt;&gt;"")*(COLUMN(AC2172:AE2172)-(COLUMN(AC2172)))))-1),"")</f>
        <v>45844</v>
      </c>
      <c r="K2172" s="16" t="n">
        <f aca="false" t="array" ref="K2172:K2172">IFERROR(INDEX(AC2172:AE2172,IF(COUNTA(AC2172:AE2172)=0,"",MAX((AC2172:AE2172&lt;&gt;"")*(COLUMN(AC2172:AE2172)-(COLUMN(AC2172)-1))))-1),"")</f>
        <v>45935</v>
      </c>
      <c r="L2172" s="17" t="str">
        <f aca="false" t="array" ref="L2172:L2172">IFERROR(INDEX(AC2172:AE2172,IF(COUNTA(AC2172:AE2172)=0,"",MAX((AC2172:AE2172&lt;&gt;"")*(COLUMN(AC2172:AE2172)-(COLUMN(AC2172)-2))))-1),"")</f>
        <v>ARCHIVED</v>
      </c>
      <c r="M2172" s="13" t="n">
        <f aca="true">K2172-TODAY()</f>
        <v>-389</v>
      </c>
      <c r="N2172" s="18" t="s">
        <v>4051</v>
      </c>
      <c r="O2172" s="13" t="s">
        <v>7951</v>
      </c>
      <c r="P2172" s="19" t="n">
        <v>210000</v>
      </c>
      <c r="Q2172" s="20" t="s">
        <v>9337</v>
      </c>
      <c r="R2172" s="13" t="s">
        <v>83</v>
      </c>
      <c r="S2172" s="16" t="n">
        <v>27117</v>
      </c>
      <c r="T2172" s="28" t="s">
        <v>40</v>
      </c>
      <c r="U2172" s="13" t="s">
        <v>9338</v>
      </c>
      <c r="V2172" s="13" t="s">
        <v>42</v>
      </c>
      <c r="W2172" s="13" t="s">
        <v>54</v>
      </c>
      <c r="X2172" s="21" t="n">
        <v>82257935484</v>
      </c>
      <c r="Y2172" s="22" t="str">
        <f aca="false">O2172</f>
        <v>Mekanik Kiln</v>
      </c>
      <c r="Z2172" s="13" t="str">
        <f aca="false">IFERROR(__xludf.dummyfunction("if(BJ2172="""","""",GOOGLETRANSLATE(BJ2172,""auto"",""en""))"),"Kiln Mechanics")</f>
        <v>Kiln Mechanics</v>
      </c>
      <c r="AA2172" s="23" t="str">
        <f aca="false">IF(C2172="","", CHOOSE(MONTH(C2172),"January","February","March","April","May","June","July","August","September","October","November","December")&amp;" "&amp;DAY(C2172)&amp;MID("thstndrdth",MIN(9,2*RIGHT(DAY(C2172))*(MOD(DAY(C2172)-11,100)&gt;2)+1),2)&amp;","&amp;TEXT(C2172," yyyy"))</f>
        <v>May 5th,2025</v>
      </c>
      <c r="AB2172" s="15" t="str">
        <f aca="true">IF(S2172="","",DATEDIF(S2172,TODAY(),"Y")&amp;" Tahun, "&amp;DATEDIF(S2172,TODAY(),"YM")&amp;" Bulan, "&amp;DATEDIF(S2172,TODAY(),"MD")&amp;" Hari")</f>
        <v>52 Tahun, 7 Bulan, 0 Hari</v>
      </c>
      <c r="AC2172" s="18" t="n">
        <v>45844</v>
      </c>
      <c r="AD2172" s="18" t="n">
        <v>45935</v>
      </c>
      <c r="AE2172" s="18" t="s">
        <v>44</v>
      </c>
    </row>
    <row r="2173" customFormat="false" ht="15" hidden="false" customHeight="true" outlineLevel="0" collapsed="false">
      <c r="A2173" s="12" t="n">
        <v>19514</v>
      </c>
      <c r="B2173" s="13" t="s">
        <v>9339</v>
      </c>
      <c r="C2173" s="16" t="n">
        <v>45787</v>
      </c>
      <c r="D2173" s="13" t="s">
        <v>1338</v>
      </c>
      <c r="E2173" s="15" t="s">
        <v>33</v>
      </c>
      <c r="F2173" s="24" t="s">
        <v>9340</v>
      </c>
      <c r="G2173" s="13" t="s">
        <v>57</v>
      </c>
      <c r="H2173" s="13" t="s">
        <v>3024</v>
      </c>
      <c r="I2173" s="13" t="str">
        <f aca="false">IF(C2173=J2173,"NEW KONTRAK","RE-KONTRAK")</f>
        <v>NEW KONTRAK</v>
      </c>
      <c r="J2173" s="16" t="n">
        <f aca="false" t="array" ref="J2173:J2173">IFERROR(INDEX(AC2173:AE2173,IF(COUNTA(AC2173:AE2173)=0,"",MAX((AC2173:AE2173&lt;&gt;"")*(COLUMN(AC2173:AE2173)-(COLUMN(AC2173)))))-1),"")</f>
        <v>45787</v>
      </c>
      <c r="K2173" s="16" t="n">
        <f aca="false" t="array" ref="K2173:K2173">IFERROR(INDEX(AC2173:AE2173,IF(COUNTA(AC2173:AE2173)=0,"",MAX((AC2173:AE2173&lt;&gt;"")*(COLUMN(AC2173:AE2173)-(COLUMN(AC2173)-1))))-1),"")</f>
        <v>45844</v>
      </c>
      <c r="L2173" s="17" t="str">
        <f aca="false" t="array" ref="L2173:L2173">IFERROR(INDEX(AC2173:AE2173,IF(COUNTA(AC2173:AE2173)=0,"",MAX((AC2173:AE2173&lt;&gt;"")*(COLUMN(AC2173:AE2173)-(COLUMN(AC2173)-2))))-1),"")</f>
        <v>ARCHIVED</v>
      </c>
      <c r="M2173" s="13" t="n">
        <f aca="true">K2173-TODAY()</f>
        <v>-480</v>
      </c>
      <c r="N2173" s="18" t="s">
        <v>615</v>
      </c>
      <c r="O2173" s="13" t="s">
        <v>2335</v>
      </c>
      <c r="P2173" s="19" t="n">
        <v>160000</v>
      </c>
      <c r="Q2173" s="20" t="s">
        <v>9341</v>
      </c>
      <c r="R2173" s="13" t="s">
        <v>52</v>
      </c>
      <c r="S2173" s="16" t="n">
        <v>29800</v>
      </c>
      <c r="T2173" s="28" t="s">
        <v>40</v>
      </c>
      <c r="U2173" s="13" t="s">
        <v>9342</v>
      </c>
      <c r="V2173" s="13" t="s">
        <v>42</v>
      </c>
      <c r="W2173" s="13" t="s">
        <v>54</v>
      </c>
      <c r="X2173" s="30" t="n">
        <v>85703447134</v>
      </c>
      <c r="Y2173" s="22" t="str">
        <f aca="false">O2173</f>
        <v>Project Management</v>
      </c>
      <c r="Z2173" s="13" t="str">
        <f aca="false">IFERROR(__xludf.dummyfunction("if(BJ2173="""","""",GOOGLETRANSLATE(BJ2173,""auto"",""en""))"),"Project Management")</f>
        <v>Project Management</v>
      </c>
      <c r="AA2173" s="23" t="str">
        <f aca="false">IF(C2173="","", CHOOSE(MONTH(C2173),"January","February","March","April","May","June","July","August","September","October","November","December")&amp;" "&amp;DAY(C2173)&amp;MID("thstndrdth",MIN(9,2*RIGHT(DAY(C2173))*(MOD(DAY(C2173)-11,100)&gt;2)+1),2)&amp;","&amp;TEXT(C2173," yyyy"))</f>
        <v>May 10th,2025</v>
      </c>
      <c r="AB2173" s="15" t="str">
        <f aca="true">IF(S2173="","",DATEDIF(S2173,TODAY(),"Y")&amp;" Tahun, "&amp;DATEDIF(S2173,TODAY(),"YM")&amp;" Bulan, "&amp;DATEDIF(S2173,TODAY(),"MD")&amp;" Hari")</f>
        <v>45 Tahun, 2 Bulan, 27 Hari</v>
      </c>
      <c r="AC2173" s="18" t="n">
        <v>45787</v>
      </c>
      <c r="AD2173" s="18" t="n">
        <v>45844</v>
      </c>
      <c r="AE2173" s="18" t="s">
        <v>44</v>
      </c>
    </row>
    <row r="2174" customFormat="false" ht="15" hidden="false" customHeight="true" outlineLevel="0" collapsed="false">
      <c r="A2174" s="12" t="n">
        <v>19516</v>
      </c>
      <c r="B2174" s="13" t="s">
        <v>9343</v>
      </c>
      <c r="C2174" s="16" t="n">
        <v>45776</v>
      </c>
      <c r="D2174" s="13" t="s">
        <v>8071</v>
      </c>
      <c r="E2174" s="15" t="s">
        <v>33</v>
      </c>
      <c r="F2174" s="24" t="s">
        <v>9344</v>
      </c>
      <c r="G2174" s="13" t="s">
        <v>9345</v>
      </c>
      <c r="H2174" s="13" t="s">
        <v>35</v>
      </c>
      <c r="I2174" s="13" t="str">
        <f aca="false">IF(C2174=J2174,"NEW KONTRAK","RE-KONTRAK")</f>
        <v>NEW KONTRAK</v>
      </c>
      <c r="J2174" s="16" t="n">
        <f aca="false" t="array" ref="J2174:J2174">IFERROR(INDEX(AC2174:AE2174,IF(COUNTA(AC2174:AE2174)=0,"",MAX((AC2174:AE2174&lt;&gt;"")*(COLUMN(AC2174:AE2174)-(COLUMN(AC2174)))))-1),"")</f>
        <v>45776</v>
      </c>
      <c r="K2174" s="16" t="n">
        <f aca="false" t="array" ref="K2174:K2174">IFERROR(INDEX(AC2174:AE2174,IF(COUNTA(AC2174:AE2174)=0,"",MAX((AC2174:AE2174&lt;&gt;"")*(COLUMN(AC2174:AE2174)-(COLUMN(AC2174)-1))))-1),"")</f>
        <v>46140</v>
      </c>
      <c r="L2174" s="17" t="str">
        <f aca="false" t="array" ref="L2174:L2174">IFERROR(INDEX(AC2174:AE2174,IF(COUNTA(AC2174:AE2174)=0,"",MAX((AC2174:AE2174&lt;&gt;"")*(COLUMN(AC2174:AE2174)-(COLUMN(AC2174)-2))))-1),"")</f>
        <v>ARCHIVED</v>
      </c>
      <c r="M2174" s="13" t="n">
        <f aca="true">K2174-TODAY()</f>
        <v>-184</v>
      </c>
      <c r="N2174" s="18" t="s">
        <v>105</v>
      </c>
      <c r="O2174" s="13" t="s">
        <v>764</v>
      </c>
      <c r="P2174" s="19" t="n">
        <v>142857.142857143</v>
      </c>
      <c r="Q2174" s="20" t="s">
        <v>9346</v>
      </c>
      <c r="R2174" s="13" t="s">
        <v>52</v>
      </c>
      <c r="S2174" s="16" t="n">
        <v>36695</v>
      </c>
      <c r="T2174" s="28" t="s">
        <v>40</v>
      </c>
      <c r="U2174" s="13" t="s">
        <v>9347</v>
      </c>
      <c r="V2174" s="13" t="s">
        <v>42</v>
      </c>
      <c r="W2174" s="13" t="s">
        <v>43</v>
      </c>
      <c r="X2174" s="21" t="n">
        <v>89650414811</v>
      </c>
      <c r="Y2174" s="22" t="str">
        <f aca="false">O2174</f>
        <v>Operator</v>
      </c>
      <c r="Z2174" s="13" t="str">
        <f aca="false">IFERROR(__xludf.dummyfunction("if(BJ2174="""","""",GOOGLETRANSLATE(BJ2174,""auto"",""en""))"),"Operator")</f>
        <v>Operator</v>
      </c>
      <c r="AA2174" s="23" t="str">
        <f aca="false">IF(C2174="","", CHOOSE(MONTH(C2174),"January","February","March","April","May","June","July","August","September","October","November","December")&amp;" "&amp;DAY(C2174)&amp;MID("thstndrdth",MIN(9,2*RIGHT(DAY(C2174))*(MOD(DAY(C2174)-11,100)&gt;2)+1),2)&amp;","&amp;TEXT(C2174," yyyy"))</f>
        <v>April 29th,2025</v>
      </c>
      <c r="AB2174" s="15" t="str">
        <f aca="true">IF(S2174="","",DATEDIF(S2174,TODAY(),"Y")&amp;" Tahun, "&amp;DATEDIF(S2174,TODAY(),"YM")&amp;" Bulan, "&amp;DATEDIF(S2174,TODAY(),"MD")&amp;" Hari")</f>
        <v>26 Tahun, 4 Bulan, 11 Hari</v>
      </c>
      <c r="AC2174" s="18" t="n">
        <v>45776</v>
      </c>
      <c r="AD2174" s="18" t="n">
        <v>46140</v>
      </c>
      <c r="AE2174" s="18" t="s">
        <v>44</v>
      </c>
    </row>
    <row r="2175" customFormat="false" ht="15" hidden="false" customHeight="true" outlineLevel="0" collapsed="false">
      <c r="A2175" s="12" t="n">
        <v>19517</v>
      </c>
      <c r="B2175" s="13" t="s">
        <v>9348</v>
      </c>
      <c r="C2175" s="16" t="n">
        <v>45779</v>
      </c>
      <c r="D2175" s="13" t="s">
        <v>3022</v>
      </c>
      <c r="E2175" s="15" t="s">
        <v>102</v>
      </c>
      <c r="F2175" s="24" t="s">
        <v>9349</v>
      </c>
      <c r="G2175" s="13" t="s">
        <v>9350</v>
      </c>
      <c r="H2175" s="13" t="s">
        <v>3024</v>
      </c>
      <c r="I2175" s="13" t="str">
        <f aca="false">IF(C2175=J2175,"NEW KONTRAK","RE-KONTRAK")</f>
        <v>RE-KONTRAK</v>
      </c>
      <c r="J2175" s="16" t="n">
        <f aca="false" t="array" ref="J2175:J2175">IFERROR(INDEX(AC2175:AE2175,IF(COUNTA(AC2175:AE2175)=0,"",MAX((AC2175:AE2175&lt;&gt;"")*(COLUMN(AC2175:AE2175)-(COLUMN(AC2175)))))-1),"")</f>
        <v>45871</v>
      </c>
      <c r="K2175" s="16" t="n">
        <f aca="false" t="array" ref="K2175:K2175">IFERROR(INDEX(AC2175:AE2175,IF(COUNTA(AC2175:AE2175)=0,"",MAX((AC2175:AE2175&lt;&gt;"")*(COLUMN(AC2175:AE2175)-(COLUMN(AC2175)-1))))-1),"")</f>
        <v>45934</v>
      </c>
      <c r="L2175" s="17" t="str">
        <f aca="false" t="array" ref="L2175:L2175">IFERROR(INDEX(AC2175:AE2175,IF(COUNTA(AC2175:AE2175)=0,"",MAX((AC2175:AE2175&lt;&gt;"")*(COLUMN(AC2175:AE2175)-(COLUMN(AC2175)-2))))-1),"")</f>
        <v>ARCHIVED</v>
      </c>
      <c r="M2175" s="13" t="n">
        <f aca="true">K2175-TODAY()</f>
        <v>-390</v>
      </c>
      <c r="N2175" s="18" t="s">
        <v>36</v>
      </c>
      <c r="O2175" s="13" t="s">
        <v>58</v>
      </c>
      <c r="P2175" s="19" t="n">
        <v>93500</v>
      </c>
      <c r="Q2175" s="20" t="s">
        <v>9351</v>
      </c>
      <c r="R2175" s="13" t="s">
        <v>39</v>
      </c>
      <c r="S2175" s="16" t="n">
        <v>31807</v>
      </c>
      <c r="T2175" s="13" t="s">
        <v>40</v>
      </c>
      <c r="U2175" s="13" t="s">
        <v>9352</v>
      </c>
      <c r="V2175" s="13" t="s">
        <v>42</v>
      </c>
      <c r="W2175" s="13" t="s">
        <v>43</v>
      </c>
      <c r="X2175" s="21" t="n">
        <v>83115151775</v>
      </c>
      <c r="Y2175" s="22" t="str">
        <f aca="false">O2175</f>
        <v>Produksi</v>
      </c>
      <c r="Z2175" s="13" t="str">
        <f aca="false">IFERROR(__xludf.dummyfunction("if(BJ2175="""","""",GOOGLETRANSLATE(BJ2175,""auto"",""en""))"),"Production")</f>
        <v>Production</v>
      </c>
      <c r="AA2175" s="23" t="str">
        <f aca="false">IF(C2175="","", CHOOSE(MONTH(C2175),"January","February","March","April","May","June","July","August","September","October","November","December")&amp;" "&amp;DAY(C2175)&amp;MID("thstndrdth",MIN(9,2*RIGHT(DAY(C2175))*(MOD(DAY(C2175)-11,100)&gt;2)+1),2)&amp;","&amp;TEXT(C2175," yyyy"))</f>
        <v>May 2nd,2025</v>
      </c>
      <c r="AB2175" s="15" t="str">
        <f aca="true">IF(S2175="","",DATEDIF(S2175,TODAY(),"Y")&amp;" Tahun, "&amp;DATEDIF(S2175,TODAY(),"YM")&amp;" Bulan, "&amp;DATEDIF(S2175,TODAY(),"MD")&amp;" Hari")</f>
        <v>39 Tahun, 8 Bulan, 29 Hari</v>
      </c>
      <c r="AC2175" s="18" t="n">
        <v>45871</v>
      </c>
      <c r="AD2175" s="18" t="n">
        <v>45934</v>
      </c>
      <c r="AE2175" s="18" t="s">
        <v>44</v>
      </c>
    </row>
    <row r="2176" customFormat="false" ht="15" hidden="false" customHeight="true" outlineLevel="0" collapsed="false">
      <c r="A2176" s="12" t="n">
        <v>19522</v>
      </c>
      <c r="B2176" s="13" t="s">
        <v>9353</v>
      </c>
      <c r="C2176" s="16" t="n">
        <v>45789</v>
      </c>
      <c r="D2176" s="13" t="s">
        <v>7534</v>
      </c>
      <c r="E2176" s="15" t="s">
        <v>47</v>
      </c>
      <c r="F2176" s="15" t="str">
        <f aca="false">IFERROR(__xludf.dummyfunction("XLOOKUP(AJ2176,IMPORTRANGE(""1XaInW9DU9nz21V0tYIfzFQ0He9kVQ_JF2mCXgZ3hqFA"",""REKAP ALL 2026 - Andika!G:G""),IMPORTRANGE(""1XaInW9DU9nz21V0tYIfzFQ0He9kVQ_JF2mCXgZ3hqFA"",""REKAP ALL 2026 - Andika!F:F""),"""",0)"),"25062537391")</f>
        <v>25062537391</v>
      </c>
      <c r="G2176" s="13" t="s">
        <v>9354</v>
      </c>
      <c r="H2176" s="13" t="s">
        <v>35</v>
      </c>
      <c r="I2176" s="13" t="str">
        <f aca="false">IF(C2176=J2176,"NEW KONTRAK","RE-KONTRAK")</f>
        <v>RE-KONTRAK</v>
      </c>
      <c r="J2176" s="16" t="n">
        <f aca="false" t="array" ref="J2176:J2176">IFERROR(INDEX(AC2176:AE2176,IF(COUNTA(AC2176:AE2176)=0,"",MAX((AC2176:AE2176&lt;&gt;"")*(COLUMN(AC2176:AE2176)-(COLUMN(AC2176)))))-1),"")</f>
        <v>45881</v>
      </c>
      <c r="K2176" s="16" t="n">
        <f aca="false" t="array" ref="K2176:K2176">IFERROR(INDEX(AC2176:AE2176,IF(COUNTA(AC2176:AE2176)=0,"",MAX((AC2176:AE2176&lt;&gt;"")*(COLUMN(AC2176:AE2176)-(COLUMN(AC2176)-1))))-1),"")</f>
        <v>46064</v>
      </c>
      <c r="L2176" s="17" t="str">
        <f aca="false" t="array" ref="L2176:L2176">IFERROR(INDEX(AC2176:AE2176,IF(COUNTA(AC2176:AE2176)=0,"",MAX((AC2176:AE2176&lt;&gt;"")*(COLUMN(AC2176:AE2176)-(COLUMN(AC2176)-2))))-1),"")</f>
        <v>KEMBALI</v>
      </c>
      <c r="M2176" s="13" t="n">
        <f aca="true">K2176-TODAY()</f>
        <v>-260</v>
      </c>
      <c r="N2176" s="18" t="s">
        <v>4735</v>
      </c>
      <c r="O2176" s="13" t="s">
        <v>7536</v>
      </c>
      <c r="P2176" s="19" t="n">
        <v>3553530</v>
      </c>
      <c r="Q2176" s="20" t="s">
        <v>9355</v>
      </c>
      <c r="R2176" s="13" t="s">
        <v>83</v>
      </c>
      <c r="S2176" s="16" t="n">
        <v>39239</v>
      </c>
      <c r="T2176" s="13" t="s">
        <v>108</v>
      </c>
      <c r="U2176" s="13" t="s">
        <v>9356</v>
      </c>
      <c r="V2176" s="13" t="s">
        <v>42</v>
      </c>
      <c r="W2176" s="13" t="s">
        <v>43</v>
      </c>
      <c r="X2176" s="21" t="n">
        <v>88994236590</v>
      </c>
      <c r="Y2176" s="22" t="str">
        <f aca="false">O2176</f>
        <v>Host Live</v>
      </c>
      <c r="Z2176" s="13" t="str">
        <f aca="false">IFERROR(__xludf.dummyfunction("if(BJ2176="""","""",GOOGLETRANSLATE(BJ2176,""auto"",""en""))"),"Host Live")</f>
        <v>Host Live</v>
      </c>
      <c r="AA2176" s="23" t="str">
        <f aca="false">IF(C2176="","", CHOOSE(MONTH(C2176),"January","February","March","April","May","June","July","August","September","October","November","December")&amp;" "&amp;DAY(C2176)&amp;MID("thstndrdth",MIN(9,2*RIGHT(DAY(C2176))*(MOD(DAY(C2176)-11,100)&gt;2)+1),2)&amp;","&amp;TEXT(C2176," yyyy"))</f>
        <v>May 12th,2025</v>
      </c>
      <c r="AB2176" s="15" t="str">
        <f aca="true">IF(S2176="","",DATEDIF(S2176,TODAY(),"Y")&amp;" Tahun, "&amp;DATEDIF(S2176,TODAY(),"YM")&amp;" Bulan, "&amp;DATEDIF(S2176,TODAY(),"MD")&amp;" Hari")</f>
        <v>19 Tahun, 4 Bulan, 23 Hari</v>
      </c>
      <c r="AC2176" s="18" t="n">
        <v>45881</v>
      </c>
      <c r="AD2176" s="18" t="n">
        <v>46064</v>
      </c>
      <c r="AE2176" s="13" t="s">
        <v>397</v>
      </c>
    </row>
    <row r="2177" customFormat="false" ht="15" hidden="false" customHeight="true" outlineLevel="0" collapsed="false">
      <c r="A2177" s="12" t="n">
        <v>19536</v>
      </c>
      <c r="B2177" s="13" t="s">
        <v>9357</v>
      </c>
      <c r="C2177" s="16" t="n">
        <v>45777</v>
      </c>
      <c r="D2177" s="13" t="s">
        <v>4610</v>
      </c>
      <c r="E2177" s="15" t="s">
        <v>47</v>
      </c>
      <c r="F2177" s="15" t="str">
        <f aca="false">IFERROR(__xludf.dummyfunction("XLOOKUP(AJ2177,IMPORTRANGE(""1XaInW9DU9nz21V0tYIfzFQ0He9kVQ_JF2mCXgZ3hqFA"",""REKAP ALL 2026 - Andika!G:G""),IMPORTRANGE(""1XaInW9DU9nz21V0tYIfzFQ0He9kVQ_JF2mCXgZ3hqFA"",""REKAP ALL 2026 - Andika!F:F""),"""",0)"),"25062537805")</f>
        <v>25062537805</v>
      </c>
      <c r="G2177" s="13" t="s">
        <v>57</v>
      </c>
      <c r="H2177" s="13" t="s">
        <v>35</v>
      </c>
      <c r="I2177" s="13" t="str">
        <f aca="false">IF(C2177=J2177,"NEW KONTRAK","RE-KONTRAK")</f>
        <v>RE-KONTRAK</v>
      </c>
      <c r="J2177" s="16" t="n">
        <f aca="false" t="array" ref="J2177:J2177">IFERROR(INDEX(AC2177:AE2177,IF(COUNTA(AC2177:AE2177)=0,"",MAX((AC2177:AE2177&lt;&gt;"")*(COLUMN(AC2177:AE2177)-(COLUMN(AC2177)))))-1),"")</f>
        <v>45868</v>
      </c>
      <c r="K2177" s="16" t="n">
        <f aca="false" t="array" ref="K2177:K2177">IFERROR(INDEX(AC2177:AE2177,IF(COUNTA(AC2177:AE2177)=0,"",MAX((AC2177:AE2177&lt;&gt;"")*(COLUMN(AC2177:AE2177)-(COLUMN(AC2177)-1))))-1),"")</f>
        <v>45959</v>
      </c>
      <c r="L2177" s="17" t="str">
        <f aca="false" t="array" ref="L2177:L2177">IFERROR(INDEX(AC2177:AE2177,IF(COUNTA(AC2177:AE2177)=0,"",MAX((AC2177:AE2177&lt;&gt;"")*(COLUMN(AC2177:AE2177)-(COLUMN(AC2177)-2))))-1),"")</f>
        <v>ARCHIVED</v>
      </c>
      <c r="M2177" s="13" t="n">
        <f aca="true">K2177-TODAY()</f>
        <v>-365</v>
      </c>
      <c r="N2177" s="18" t="s">
        <v>36</v>
      </c>
      <c r="O2177" s="13" t="s">
        <v>4280</v>
      </c>
      <c r="P2177" s="27" t="n">
        <v>120000</v>
      </c>
      <c r="Q2177" s="20" t="s">
        <v>9358</v>
      </c>
      <c r="R2177" s="13" t="s">
        <v>246</v>
      </c>
      <c r="S2177" s="16" t="n">
        <v>30646</v>
      </c>
      <c r="T2177" s="28" t="s">
        <v>40</v>
      </c>
      <c r="U2177" s="13" t="s">
        <v>9359</v>
      </c>
      <c r="V2177" s="13" t="s">
        <v>42</v>
      </c>
      <c r="W2177" s="13" t="s">
        <v>43</v>
      </c>
      <c r="X2177" s="21" t="n">
        <v>881026973091</v>
      </c>
      <c r="Y2177" s="22" t="str">
        <f aca="false">O2177</f>
        <v>Helper Cutting</v>
      </c>
      <c r="Z2177" s="13" t="str">
        <f aca="false">IFERROR(__xludf.dummyfunction("if(BJ2177="""","""",GOOGLETRANSLATE(BJ2177,""auto"",""en""))"),"Helper Cutting")</f>
        <v>Helper Cutting</v>
      </c>
      <c r="AA2177" s="23" t="str">
        <f aca="false">IF(C2177="","", CHOOSE(MONTH(C2177),"January","February","March","April","May","June","July","August","September","October","November","December")&amp;" "&amp;DAY(C2177)&amp;MID("thstndrdth",MIN(9,2*RIGHT(DAY(C2177))*(MOD(DAY(C2177)-11,100)&gt;2)+1),2)&amp;","&amp;TEXT(C2177," yyyy"))</f>
        <v>April 30th,2025</v>
      </c>
      <c r="AB2177" s="15" t="str">
        <f aca="true">IF(S2177="","",DATEDIF(S2177,TODAY(),"Y")&amp;" Tahun, "&amp;DATEDIF(S2177,TODAY(),"YM")&amp;" Bulan, "&amp;DATEDIF(S2177,TODAY(),"MD")&amp;" Hari")</f>
        <v>42 Tahun, 11 Bulan, 3 Hari</v>
      </c>
      <c r="AC2177" s="18" t="n">
        <v>45868</v>
      </c>
      <c r="AD2177" s="18" t="n">
        <v>45959</v>
      </c>
      <c r="AE2177" s="18" t="s">
        <v>44</v>
      </c>
    </row>
    <row r="2178" customFormat="false" ht="15" hidden="false" customHeight="true" outlineLevel="0" collapsed="false">
      <c r="A2178" s="12" t="n">
        <v>19523</v>
      </c>
      <c r="B2178" s="13" t="s">
        <v>9360</v>
      </c>
      <c r="C2178" s="16" t="n">
        <v>45781</v>
      </c>
      <c r="D2178" s="13" t="s">
        <v>7534</v>
      </c>
      <c r="E2178" s="15" t="s">
        <v>33</v>
      </c>
      <c r="F2178" s="24" t="s">
        <v>9361</v>
      </c>
      <c r="G2178" s="13" t="s">
        <v>9362</v>
      </c>
      <c r="H2178" s="13" t="s">
        <v>35</v>
      </c>
      <c r="I2178" s="13" t="str">
        <f aca="false">IF(C2178=J2178,"NEW KONTRAK","RE-KONTRAK")</f>
        <v>NEW KONTRAK</v>
      </c>
      <c r="J2178" s="16" t="n">
        <f aca="false" t="array" ref="J2178:J2178">IFERROR(INDEX(AC2178:AE2178,IF(COUNTA(AC2178:AE2178)=0,"",MAX((AC2178:AE2178&lt;&gt;"")*(COLUMN(AC2178:AE2178)-(COLUMN(AC2178)))))-1),"")</f>
        <v>45781</v>
      </c>
      <c r="K2178" s="16" t="n">
        <f aca="false" t="array" ref="K2178:K2178">IFERROR(INDEX(AC2178:AE2178,IF(COUNTA(AC2178:AE2178)=0,"",MAX((AC2178:AE2178&lt;&gt;"")*(COLUMN(AC2178:AE2178)-(COLUMN(AC2178)-1))))-1),"")</f>
        <v>45872</v>
      </c>
      <c r="L2178" s="17" t="str">
        <f aca="false" t="array" ref="L2178:L2178">IFERROR(INDEX(AC2178:AE2178,IF(COUNTA(AC2178:AE2178)=0,"",MAX((AC2178:AE2178&lt;&gt;"")*(COLUMN(AC2178:AE2178)-(COLUMN(AC2178)-2))))-1),"")</f>
        <v>ARCHIVED</v>
      </c>
      <c r="M2178" s="13" t="n">
        <f aca="true">K2178-TODAY()</f>
        <v>-452</v>
      </c>
      <c r="N2178" s="18" t="s">
        <v>4735</v>
      </c>
      <c r="O2178" s="13" t="s">
        <v>7536</v>
      </c>
      <c r="P2178" s="19" t="n">
        <v>3553530</v>
      </c>
      <c r="Q2178" s="20" t="s">
        <v>9363</v>
      </c>
      <c r="R2178" s="13" t="s">
        <v>83</v>
      </c>
      <c r="S2178" s="16" t="n">
        <v>38231</v>
      </c>
      <c r="T2178" s="28" t="s">
        <v>40</v>
      </c>
      <c r="U2178" s="13" t="s">
        <v>9364</v>
      </c>
      <c r="V2178" s="13" t="s">
        <v>42</v>
      </c>
      <c r="W2178" s="13" t="s">
        <v>43</v>
      </c>
      <c r="X2178" s="21" t="n">
        <v>88989505945</v>
      </c>
      <c r="Y2178" s="22" t="str">
        <f aca="false">O2178</f>
        <v>Host Live</v>
      </c>
      <c r="Z2178" s="13" t="str">
        <f aca="false">IFERROR(__xludf.dummyfunction("if(BJ2178="""","""",GOOGLETRANSLATE(BJ2178,""auto"",""en""))"),"Host Live")</f>
        <v>Host Live</v>
      </c>
      <c r="AA2178" s="23" t="str">
        <f aca="false">IF(C2178="","", CHOOSE(MONTH(C2178),"January","February","March","April","May","June","July","August","September","October","November","December")&amp;" "&amp;DAY(C2178)&amp;MID("thstndrdth",MIN(9,2*RIGHT(DAY(C2178))*(MOD(DAY(C2178)-11,100)&gt;2)+1),2)&amp;","&amp;TEXT(C2178," yyyy"))</f>
        <v>May 4th,2025</v>
      </c>
      <c r="AB2178" s="15" t="str">
        <f aca="true">IF(S2178="","",DATEDIF(S2178,TODAY(),"Y")&amp;" Tahun, "&amp;DATEDIF(S2178,TODAY(),"YM")&amp;" Bulan, "&amp;DATEDIF(S2178,TODAY(),"MD")&amp;" Hari")</f>
        <v>22 Tahun, 1 Bulan, 28 Hari</v>
      </c>
      <c r="AC2178" s="18" t="n">
        <v>45781</v>
      </c>
      <c r="AD2178" s="18" t="n">
        <v>45872</v>
      </c>
      <c r="AE2178" s="18" t="s">
        <v>44</v>
      </c>
    </row>
    <row r="2179" customFormat="false" ht="15" hidden="false" customHeight="true" outlineLevel="0" collapsed="false">
      <c r="A2179" s="12" t="n">
        <v>19524</v>
      </c>
      <c r="B2179" s="13" t="s">
        <v>9365</v>
      </c>
      <c r="C2179" s="16" t="n">
        <v>45786</v>
      </c>
      <c r="D2179" s="13" t="s">
        <v>7534</v>
      </c>
      <c r="E2179" s="15" t="s">
        <v>33</v>
      </c>
      <c r="F2179" s="24" t="s">
        <v>9366</v>
      </c>
      <c r="G2179" s="13" t="s">
        <v>9367</v>
      </c>
      <c r="H2179" s="13" t="s">
        <v>35</v>
      </c>
      <c r="I2179" s="13" t="str">
        <f aca="false">IF(C2179=J2179,"NEW KONTRAK","RE-KONTRAK")</f>
        <v>RE-KONTRAK</v>
      </c>
      <c r="J2179" s="16" t="n">
        <f aca="false" t="array" ref="J2179:J2179">IFERROR(INDEX(AC2179:AE2179,IF(COUNTA(AC2179:AE2179)=0,"",MAX((AC2179:AE2179&lt;&gt;"")*(COLUMN(AC2179:AE2179)-(COLUMN(AC2179)))))-1),"")</f>
        <v>45878</v>
      </c>
      <c r="K2179" s="16" t="n">
        <f aca="false" t="array" ref="K2179:K2179">IFERROR(INDEX(AC2179:AE2179,IF(COUNTA(AC2179:AE2179)=0,"",MAX((AC2179:AE2179&lt;&gt;"")*(COLUMN(AC2179:AE2179)-(COLUMN(AC2179)-1))))-1),"")</f>
        <v>46061</v>
      </c>
      <c r="L2179" s="17" t="str">
        <f aca="false" t="array" ref="L2179:L2179">IFERROR(INDEX(AC2179:AE2179,IF(COUNTA(AC2179:AE2179)=0,"",MAX((AC2179:AE2179&lt;&gt;"")*(COLUMN(AC2179:AE2179)-(COLUMN(AC2179)-2))))-1),"")</f>
        <v>ARCHIVED</v>
      </c>
      <c r="M2179" s="13" t="n">
        <f aca="true">K2179-TODAY()</f>
        <v>-263</v>
      </c>
      <c r="N2179" s="18" t="s">
        <v>4735</v>
      </c>
      <c r="O2179" s="13" t="s">
        <v>7536</v>
      </c>
      <c r="P2179" s="19" t="n">
        <v>3553530</v>
      </c>
      <c r="Q2179" s="20" t="s">
        <v>9368</v>
      </c>
      <c r="R2179" s="13" t="s">
        <v>9369</v>
      </c>
      <c r="S2179" s="16" t="n">
        <v>37577</v>
      </c>
      <c r="T2179" s="13" t="s">
        <v>108</v>
      </c>
      <c r="U2179" s="13" t="s">
        <v>9370</v>
      </c>
      <c r="V2179" s="13" t="s">
        <v>42</v>
      </c>
      <c r="W2179" s="13" t="s">
        <v>43</v>
      </c>
      <c r="X2179" s="21" t="n">
        <v>85524648519</v>
      </c>
      <c r="Y2179" s="22" t="str">
        <f aca="false">O2179</f>
        <v>Host Live</v>
      </c>
      <c r="Z2179" s="13" t="str">
        <f aca="false">IFERROR(__xludf.dummyfunction("if(BJ2179="""","""",GOOGLETRANSLATE(BJ2179,""auto"",""en""))"),"Host Live")</f>
        <v>Host Live</v>
      </c>
      <c r="AA2179" s="23" t="str">
        <f aca="false">IF(C2179="","", CHOOSE(MONTH(C2179),"January","February","March","April","May","June","July","August","September","October","November","December")&amp;" "&amp;DAY(C2179)&amp;MID("thstndrdth",MIN(9,2*RIGHT(DAY(C2179))*(MOD(DAY(C2179)-11,100)&gt;2)+1),2)&amp;","&amp;TEXT(C2179," yyyy"))</f>
        <v>May 9th,2025</v>
      </c>
      <c r="AB2179" s="15" t="str">
        <f aca="true">IF(S2179="","",DATEDIF(S2179,TODAY(),"Y")&amp;" Tahun, "&amp;DATEDIF(S2179,TODAY(),"YM")&amp;" Bulan, "&amp;DATEDIF(S2179,TODAY(),"MD")&amp;" Hari")</f>
        <v>23 Tahun, 11 Bulan, 12 Hari</v>
      </c>
      <c r="AC2179" s="18" t="n">
        <v>45878</v>
      </c>
      <c r="AD2179" s="18" t="n">
        <v>46061</v>
      </c>
      <c r="AE2179" s="18" t="s">
        <v>44</v>
      </c>
    </row>
    <row r="2180" customFormat="false" ht="15" hidden="false" customHeight="true" outlineLevel="0" collapsed="false">
      <c r="A2180" s="12" t="n">
        <v>19526</v>
      </c>
      <c r="B2180" s="13" t="s">
        <v>9371</v>
      </c>
      <c r="C2180" s="16" t="n">
        <v>45785</v>
      </c>
      <c r="D2180" s="13" t="s">
        <v>7534</v>
      </c>
      <c r="E2180" s="15" t="s">
        <v>102</v>
      </c>
      <c r="F2180" s="15" t="str">
        <f aca="false">IFERROR(__xludf.dummyfunction("XLOOKUP(AJ2180,IMPORTRANGE(""1XaInW9DU9nz21V0tYIfzFQ0He9kVQ_JF2mCXgZ3hqFA"",""REKAP ALL 2026 - Andika!G:G""),IMPORTRANGE(""1XaInW9DU9nz21V0tYIfzFQ0He9kVQ_JF2mCXgZ3hqFA"",""REKAP ALL 2026 - Andika!F:F""),"""",0)"),"25062537433")</f>
        <v>25062537433</v>
      </c>
      <c r="G2180" s="13" t="s">
        <v>9372</v>
      </c>
      <c r="H2180" s="13" t="s">
        <v>35</v>
      </c>
      <c r="I2180" s="13" t="str">
        <f aca="false">IF(C2180=J2180,"NEW KONTRAK","RE-KONTRAK")</f>
        <v>RE-KONTRAK</v>
      </c>
      <c r="J2180" s="16" t="n">
        <f aca="false" t="array" ref="J2180:J2180">IFERROR(INDEX(AC2180:AE2180,IF(COUNTA(AC2180:AE2180)=0,"",MAX((AC2180:AE2180&lt;&gt;"")*(COLUMN(AC2180:AE2180)-(COLUMN(AC2180)))))-1),"")</f>
        <v>45877</v>
      </c>
      <c r="K2180" s="16" t="n">
        <f aca="false" t="array" ref="K2180:K2180">IFERROR(INDEX(AC2180:AE2180,IF(COUNTA(AC2180:AE2180)=0,"",MAX((AC2180:AE2180&lt;&gt;"")*(COLUMN(AC2180:AE2180)-(COLUMN(AC2180)-1))))-1),"")</f>
        <v>46060</v>
      </c>
      <c r="L2180" s="17" t="str">
        <f aca="false" t="array" ref="L2180:L2180">IFERROR(INDEX(AC2180:AE2180,IF(COUNTA(AC2180:AE2180)=0,"",MAX((AC2180:AE2180&lt;&gt;"")*(COLUMN(AC2180:AE2180)-(COLUMN(AC2180)-2))))-1),"")</f>
        <v>ARCHIVED</v>
      </c>
      <c r="M2180" s="13" t="n">
        <f aca="true">K2180-TODAY()</f>
        <v>-264</v>
      </c>
      <c r="N2180" s="18" t="s">
        <v>4735</v>
      </c>
      <c r="O2180" s="13" t="s">
        <v>7536</v>
      </c>
      <c r="P2180" s="19" t="n">
        <v>3553530</v>
      </c>
      <c r="Q2180" s="20" t="s">
        <v>9373</v>
      </c>
      <c r="R2180" s="13" t="s">
        <v>83</v>
      </c>
      <c r="S2180" s="16" t="n">
        <v>38943</v>
      </c>
      <c r="T2180" s="13" t="s">
        <v>108</v>
      </c>
      <c r="U2180" s="13" t="s">
        <v>9374</v>
      </c>
      <c r="V2180" s="13" t="s">
        <v>42</v>
      </c>
      <c r="W2180" s="13" t="s">
        <v>43</v>
      </c>
      <c r="X2180" s="21" t="n">
        <v>85853487525</v>
      </c>
      <c r="Y2180" s="22" t="str">
        <f aca="false">O2180</f>
        <v>Host Live</v>
      </c>
      <c r="Z2180" s="13" t="str">
        <f aca="false">IFERROR(__xludf.dummyfunction("if(BJ2180="""","""",GOOGLETRANSLATE(BJ2180,""auto"",""en""))"),"Host Live")</f>
        <v>Host Live</v>
      </c>
      <c r="AA2180" s="23" t="str">
        <f aca="false">IF(C2180="","", CHOOSE(MONTH(C2180),"January","February","March","April","May","June","July","August","September","October","November","December")&amp;" "&amp;DAY(C2180)&amp;MID("thstndrdth",MIN(9,2*RIGHT(DAY(C2180))*(MOD(DAY(C2180)-11,100)&gt;2)+1),2)&amp;","&amp;TEXT(C2180," yyyy"))</f>
        <v>May 8th,2025</v>
      </c>
      <c r="AB2180" s="15" t="str">
        <f aca="true">IF(S2180="","",DATEDIF(S2180,TODAY(),"Y")&amp;" Tahun, "&amp;DATEDIF(S2180,TODAY(),"YM")&amp;" Bulan, "&amp;DATEDIF(S2180,TODAY(),"MD")&amp;" Hari")</f>
        <v>20 Tahun, 2 Bulan, 15 Hari</v>
      </c>
      <c r="AC2180" s="18" t="n">
        <v>45877</v>
      </c>
      <c r="AD2180" s="18" t="n">
        <v>46060</v>
      </c>
      <c r="AE2180" s="18" t="s">
        <v>44</v>
      </c>
    </row>
    <row r="2181" customFormat="false" ht="15" hidden="false" customHeight="true" outlineLevel="0" collapsed="false">
      <c r="A2181" s="12" t="n">
        <v>19528</v>
      </c>
      <c r="B2181" s="13" t="s">
        <v>9375</v>
      </c>
      <c r="C2181" s="16" t="n">
        <v>45779</v>
      </c>
      <c r="D2181" s="13" t="s">
        <v>4610</v>
      </c>
      <c r="E2181" s="15" t="s">
        <v>102</v>
      </c>
      <c r="F2181" s="15" t="str">
        <f aca="false">IFERROR(__xludf.dummyfunction("XLOOKUP(AJ2181,IMPORTRANGE(""1XaInW9DU9nz21V0tYIfzFQ0He9kVQ_JF2mCXgZ3hqFA"",""REKAP ALL 2026 - Andika!G:G""),IMPORTRANGE(""1XaInW9DU9nz21V0tYIfzFQ0He9kVQ_JF2mCXgZ3hqFA"",""REKAP ALL 2026 - Andika!F:F""),"""",0)"),"25062537730")</f>
        <v>25062537730</v>
      </c>
      <c r="G2181" s="13" t="s">
        <v>57</v>
      </c>
      <c r="H2181" s="13" t="s">
        <v>35</v>
      </c>
      <c r="I2181" s="13" t="str">
        <f aca="false">IF(C2181=J2181,"NEW KONTRAK","RE-KONTRAK")</f>
        <v>RE-KONTRAK</v>
      </c>
      <c r="J2181" s="16" t="n">
        <f aca="false" t="array" ref="J2181:J2181">IFERROR(INDEX(AC2181:AE2181,IF(COUNTA(AC2181:AE2181)=0,"",MAX((AC2181:AE2181&lt;&gt;"")*(COLUMN(AC2181:AE2181)-(COLUMN(AC2181)))))-1),"")</f>
        <v>45871</v>
      </c>
      <c r="K2181" s="16" t="n">
        <f aca="false" t="array" ref="K2181:K2181">IFERROR(INDEX(AC2181:AE2181,IF(COUNTA(AC2181:AE2181)=0,"",MAX((AC2181:AE2181&lt;&gt;"")*(COLUMN(AC2181:AE2181)-(COLUMN(AC2181)-1))))-1),"")</f>
        <v>45962</v>
      </c>
      <c r="L2181" s="17" t="str">
        <f aca="false" t="array" ref="L2181:L2181">IFERROR(INDEX(AC2181:AE2181,IF(COUNTA(AC2181:AE2181)=0,"",MAX((AC2181:AE2181&lt;&gt;"")*(COLUMN(AC2181:AE2181)-(COLUMN(AC2181)-2))))-1),"")</f>
        <v>ARCHIVED</v>
      </c>
      <c r="M2181" s="13" t="n">
        <f aca="true">K2181-TODAY()</f>
        <v>-362</v>
      </c>
      <c r="N2181" s="18" t="s">
        <v>36</v>
      </c>
      <c r="O2181" s="13" t="s">
        <v>4280</v>
      </c>
      <c r="P2181" s="27" t="n">
        <v>120000</v>
      </c>
      <c r="Q2181" s="20" t="s">
        <v>9376</v>
      </c>
      <c r="R2181" s="13" t="s">
        <v>324</v>
      </c>
      <c r="S2181" s="16" t="n">
        <v>37080</v>
      </c>
      <c r="T2181" s="28" t="s">
        <v>40</v>
      </c>
      <c r="U2181" s="13" t="s">
        <v>9377</v>
      </c>
      <c r="V2181" s="13" t="s">
        <v>42</v>
      </c>
      <c r="W2181" s="13" t="s">
        <v>43</v>
      </c>
      <c r="X2181" s="21" t="n">
        <v>83117054615</v>
      </c>
      <c r="Y2181" s="22" t="str">
        <f aca="false">O2181</f>
        <v>Helper Cutting</v>
      </c>
      <c r="Z2181" s="13" t="str">
        <f aca="false">IFERROR(__xludf.dummyfunction("if(BJ2181="""","""",GOOGLETRANSLATE(BJ2181,""auto"",""en""))"),"Helper Cutting")</f>
        <v>Helper Cutting</v>
      </c>
      <c r="AA2181" s="23" t="str">
        <f aca="false">IF(C2181="","", CHOOSE(MONTH(C2181),"January","February","March","April","May","June","July","August","September","October","November","December")&amp;" "&amp;DAY(C2181)&amp;MID("thstndrdth",MIN(9,2*RIGHT(DAY(C2181))*(MOD(DAY(C2181)-11,100)&gt;2)+1),2)&amp;","&amp;TEXT(C2181," yyyy"))</f>
        <v>May 2nd,2025</v>
      </c>
      <c r="AB2181" s="15" t="str">
        <f aca="true">IF(S2181="","",DATEDIF(S2181,TODAY(),"Y")&amp;" Tahun, "&amp;DATEDIF(S2181,TODAY(),"YM")&amp;" Bulan, "&amp;DATEDIF(S2181,TODAY(),"MD")&amp;" Hari")</f>
        <v>25 Tahun, 3 Bulan, 21 Hari</v>
      </c>
      <c r="AC2181" s="18" t="n">
        <v>45871</v>
      </c>
      <c r="AD2181" s="18" t="n">
        <v>45962</v>
      </c>
      <c r="AE2181" s="18" t="s">
        <v>44</v>
      </c>
    </row>
    <row r="2182" customFormat="false" ht="15" hidden="false" customHeight="true" outlineLevel="0" collapsed="false">
      <c r="A2182" s="12" t="n">
        <v>19529</v>
      </c>
      <c r="B2182" s="13" t="s">
        <v>9378</v>
      </c>
      <c r="C2182" s="16" t="n">
        <v>45780</v>
      </c>
      <c r="D2182" s="13" t="s">
        <v>4252</v>
      </c>
      <c r="E2182" s="15" t="s">
        <v>33</v>
      </c>
      <c r="F2182" s="24" t="s">
        <v>9379</v>
      </c>
      <c r="G2182" s="13" t="s">
        <v>57</v>
      </c>
      <c r="H2182" s="13" t="s">
        <v>35</v>
      </c>
      <c r="I2182" s="13" t="str">
        <f aca="false">IF(C2182=J2182,"NEW KONTRAK","RE-KONTRAK")</f>
        <v>NEW KONTRAK</v>
      </c>
      <c r="J2182" s="16" t="n">
        <f aca="false" t="array" ref="J2182:J2182">IFERROR(INDEX(AC2182:AE2182,IF(COUNTA(AC2182:AE2182)=0,"",MAX((AC2182:AE2182&lt;&gt;"")*(COLUMN(AC2182:AE2182)-(COLUMN(AC2182)))))-1),"")</f>
        <v>45780</v>
      </c>
      <c r="K2182" s="16" t="n">
        <f aca="false" t="array" ref="K2182:K2182">IFERROR(INDEX(AC2182:AE2182,IF(COUNTA(AC2182:AE2182)=0,"",MAX((AC2182:AE2182&lt;&gt;"")*(COLUMN(AC2182:AE2182)-(COLUMN(AC2182)-1))))-1),"")</f>
        <v>45871</v>
      </c>
      <c r="L2182" s="17" t="str">
        <f aca="false" t="array" ref="L2182:L2182">IFERROR(INDEX(AC2182:AE2182,IF(COUNTA(AC2182:AE2182)=0,"",MAX((AC2182:AE2182&lt;&gt;"")*(COLUMN(AC2182:AE2182)-(COLUMN(AC2182)-2))))-1),"")</f>
        <v>ARCHIVED</v>
      </c>
      <c r="M2182" s="13" t="n">
        <f aca="true">K2182-TODAY()</f>
        <v>-453</v>
      </c>
      <c r="N2182" s="18" t="s">
        <v>36</v>
      </c>
      <c r="O2182" s="13" t="s">
        <v>4280</v>
      </c>
      <c r="P2182" s="27" t="n">
        <v>120000</v>
      </c>
      <c r="Q2182" s="20" t="s">
        <v>9380</v>
      </c>
      <c r="R2182" s="13" t="s">
        <v>39</v>
      </c>
      <c r="S2182" s="16" t="n">
        <v>33974</v>
      </c>
      <c r="T2182" s="28" t="s">
        <v>40</v>
      </c>
      <c r="U2182" s="13" t="s">
        <v>9381</v>
      </c>
      <c r="V2182" s="13" t="s">
        <v>42</v>
      </c>
      <c r="W2182" s="13" t="s">
        <v>54</v>
      </c>
      <c r="X2182" s="30" t="n">
        <v>85161832421</v>
      </c>
      <c r="Y2182" s="22" t="str">
        <f aca="false">O2182</f>
        <v>Helper Cutting</v>
      </c>
      <c r="Z2182" s="13" t="str">
        <f aca="false">IFERROR(__xludf.dummyfunction("if(BJ2182="""","""",GOOGLETRANSLATE(BJ2182,""auto"",""en""))"),"Helper Cutting")</f>
        <v>Helper Cutting</v>
      </c>
      <c r="AA2182" s="23" t="str">
        <f aca="false">IF(C2182="","", CHOOSE(MONTH(C2182),"January","February","March","April","May","June","July","August","September","October","November","December")&amp;" "&amp;DAY(C2182)&amp;MID("thstndrdth",MIN(9,2*RIGHT(DAY(C2182))*(MOD(DAY(C2182)-11,100)&gt;2)+1),2)&amp;","&amp;TEXT(C2182," yyyy"))</f>
        <v>May 3rd,2025</v>
      </c>
      <c r="AB2182" s="15" t="str">
        <f aca="true">IF(S2182="","",DATEDIF(S2182,TODAY(),"Y")&amp;" Tahun, "&amp;DATEDIF(S2182,TODAY(),"YM")&amp;" Bulan, "&amp;DATEDIF(S2182,TODAY(),"MD")&amp;" Hari")</f>
        <v>33 Tahun, 9 Bulan, 24 Hari</v>
      </c>
      <c r="AC2182" s="18" t="n">
        <v>45780</v>
      </c>
      <c r="AD2182" s="18" t="n">
        <v>45871</v>
      </c>
      <c r="AE2182" s="18" t="s">
        <v>44</v>
      </c>
    </row>
    <row r="2183" customFormat="false" ht="15" hidden="false" customHeight="true" outlineLevel="0" collapsed="false">
      <c r="A2183" s="12" t="n">
        <v>19531</v>
      </c>
      <c r="B2183" s="13" t="s">
        <v>9382</v>
      </c>
      <c r="C2183" s="16" t="n">
        <v>45781</v>
      </c>
      <c r="D2183" s="13" t="s">
        <v>4252</v>
      </c>
      <c r="E2183" s="15" t="s">
        <v>33</v>
      </c>
      <c r="F2183" s="24" t="s">
        <v>9383</v>
      </c>
      <c r="G2183" s="13" t="s">
        <v>57</v>
      </c>
      <c r="H2183" s="13" t="s">
        <v>35</v>
      </c>
      <c r="I2183" s="13" t="str">
        <f aca="false">IF(C2183=J2183,"NEW KONTRAK","RE-KONTRAK")</f>
        <v>NEW KONTRAK</v>
      </c>
      <c r="J2183" s="16" t="n">
        <f aca="false" t="array" ref="J2183:J2183">IFERROR(INDEX(AC2183:AE2183,IF(COUNTA(AC2183:AE2183)=0,"",MAX((AC2183:AE2183&lt;&gt;"")*(COLUMN(AC2183:AE2183)-(COLUMN(AC2183)))))-1),"")</f>
        <v>45781</v>
      </c>
      <c r="K2183" s="16" t="n">
        <f aca="false" t="array" ref="K2183:K2183">IFERROR(INDEX(AC2183:AE2183,IF(COUNTA(AC2183:AE2183)=0,"",MAX((AC2183:AE2183&lt;&gt;"")*(COLUMN(AC2183:AE2183)-(COLUMN(AC2183)-1))))-1),"")</f>
        <v>45872</v>
      </c>
      <c r="L2183" s="17" t="str">
        <f aca="false" t="array" ref="L2183:L2183">IFERROR(INDEX(AC2183:AE2183,IF(COUNTA(AC2183:AE2183)=0,"",MAX((AC2183:AE2183&lt;&gt;"")*(COLUMN(AC2183:AE2183)-(COLUMN(AC2183)-2))))-1),"")</f>
        <v>ARCHIVED</v>
      </c>
      <c r="M2183" s="13" t="n">
        <f aca="true">K2183-TODAY()</f>
        <v>-452</v>
      </c>
      <c r="N2183" s="18" t="s">
        <v>36</v>
      </c>
      <c r="O2183" s="13" t="s">
        <v>4280</v>
      </c>
      <c r="P2183" s="27" t="n">
        <v>120000</v>
      </c>
      <c r="Q2183" s="20" t="s">
        <v>9384</v>
      </c>
      <c r="R2183" s="13" t="s">
        <v>65</v>
      </c>
      <c r="S2183" s="16" t="n">
        <v>34137</v>
      </c>
      <c r="T2183" s="28" t="s">
        <v>40</v>
      </c>
      <c r="U2183" s="13" t="s">
        <v>9385</v>
      </c>
      <c r="V2183" s="13" t="s">
        <v>42</v>
      </c>
      <c r="W2183" s="13" t="s">
        <v>43</v>
      </c>
      <c r="X2183" s="30" t="n">
        <v>81224994717</v>
      </c>
      <c r="Y2183" s="22" t="str">
        <f aca="false">O2183</f>
        <v>Helper Cutting</v>
      </c>
      <c r="Z2183" s="13" t="str">
        <f aca="false">IFERROR(__xludf.dummyfunction("if(BJ2183="""","""",GOOGLETRANSLATE(BJ2183,""auto"",""en""))"),"Helper Cutting")</f>
        <v>Helper Cutting</v>
      </c>
      <c r="AA2183" s="23" t="str">
        <f aca="false">IF(C2183="","", CHOOSE(MONTH(C2183),"January","February","March","April","May","June","July","August","September","October","November","December")&amp;" "&amp;DAY(C2183)&amp;MID("thstndrdth",MIN(9,2*RIGHT(DAY(C2183))*(MOD(DAY(C2183)-11,100)&gt;2)+1),2)&amp;","&amp;TEXT(C2183," yyyy"))</f>
        <v>May 4th,2025</v>
      </c>
      <c r="AB2183" s="15" t="str">
        <f aca="true">IF(S2183="","",DATEDIF(S2183,TODAY(),"Y")&amp;" Tahun, "&amp;DATEDIF(S2183,TODAY(),"YM")&amp;" Bulan, "&amp;DATEDIF(S2183,TODAY(),"MD")&amp;" Hari")</f>
        <v>33 Tahun, 4 Bulan, 12 Hari</v>
      </c>
      <c r="AC2183" s="18" t="n">
        <v>45781</v>
      </c>
      <c r="AD2183" s="18" t="n">
        <v>45872</v>
      </c>
      <c r="AE2183" s="18" t="s">
        <v>44</v>
      </c>
    </row>
    <row r="2184" customFormat="false" ht="15" hidden="false" customHeight="true" outlineLevel="0" collapsed="false">
      <c r="A2184" s="12" t="n">
        <v>19537</v>
      </c>
      <c r="B2184" s="13" t="s">
        <v>9386</v>
      </c>
      <c r="C2184" s="16" t="n">
        <v>45782</v>
      </c>
      <c r="D2184" s="13" t="s">
        <v>9387</v>
      </c>
      <c r="E2184" s="15" t="s">
        <v>47</v>
      </c>
      <c r="F2184" s="15" t="str">
        <f aca="false">IFERROR(__xludf.dummyfunction("XLOOKUP(AJ2184,IMPORTRANGE(""1XaInW9DU9nz21V0tYIfzFQ0He9kVQ_JF2mCXgZ3hqFA"",""REKAP ALL 2026 - Andika!G:G""),IMPORTRANGE(""1XaInW9DU9nz21V0tYIfzFQ0He9kVQ_JF2mCXgZ3hqFA"",""REKAP ALL 2026 - Andika!F:F""),"""",0)"),"25062534513")</f>
        <v>25062534513</v>
      </c>
      <c r="G2184" s="13" t="s">
        <v>57</v>
      </c>
      <c r="H2184" s="13" t="s">
        <v>35</v>
      </c>
      <c r="I2184" s="13" t="str">
        <f aca="false">IF(C2184=J2184,"NEW KONTRAK","RE-KONTRAK")</f>
        <v>RE-KONTRAK</v>
      </c>
      <c r="J2184" s="16" t="n">
        <f aca="false" t="array" ref="J2184:J2184">IFERROR(INDEX(AC2184:AE2184,IF(COUNTA(AC2184:AE2184)=0,"",MAX((AC2184:AE2184&lt;&gt;"")*(COLUMN(AC2184:AE2184)-(COLUMN(AC2184)))))-1),"")</f>
        <v>45809</v>
      </c>
      <c r="K2184" s="16" t="n">
        <f aca="false" t="array" ref="K2184:K2184">IFERROR(INDEX(AC2184:AE2184,IF(COUNTA(AC2184:AE2184)=0,"",MAX((AC2184:AE2184&lt;&gt;"")*(COLUMN(AC2184:AE2184)-(COLUMN(AC2184)-1))))-1),"")</f>
        <v>46173</v>
      </c>
      <c r="L2184" s="17" t="str">
        <f aca="false" t="array" ref="L2184:L2184">IFERROR(INDEX(AC2184:AE2184,IF(COUNTA(AC2184:AE2184)=0,"",MAX((AC2184:AE2184&lt;&gt;"")*(COLUMN(AC2184:AE2184)-(COLUMN(AC2184)-2))))-1),"")</f>
        <v>ARCHIVED</v>
      </c>
      <c r="M2184" s="13" t="n">
        <f aca="true">K2184-TODAY()</f>
        <v>-151</v>
      </c>
      <c r="N2184" s="18" t="s">
        <v>615</v>
      </c>
      <c r="O2184" s="13" t="s">
        <v>9388</v>
      </c>
      <c r="P2184" s="27" t="n">
        <v>5176101</v>
      </c>
      <c r="Q2184" s="20" t="s">
        <v>9389</v>
      </c>
      <c r="R2184" s="13" t="s">
        <v>39</v>
      </c>
      <c r="S2184" s="16" t="n">
        <v>26489</v>
      </c>
      <c r="T2184" s="28" t="s">
        <v>40</v>
      </c>
      <c r="U2184" s="13" t="s">
        <v>9390</v>
      </c>
      <c r="V2184" s="13" t="s">
        <v>42</v>
      </c>
      <c r="W2184" s="13" t="s">
        <v>54</v>
      </c>
      <c r="X2184" s="21" t="n">
        <v>85730573559</v>
      </c>
      <c r="Y2184" s="22" t="str">
        <f aca="false">O2184</f>
        <v>Tenaga Kerja Bongkar Muat (TKBM)</v>
      </c>
      <c r="Z2184" s="13" t="str">
        <f aca="false">IFERROR(__xludf.dummyfunction("if(BJ2184="""","""",GOOGLETRANSLATE(BJ2184,""auto"",""en""))"),"Loading and Unloading Workers (TKBM)")</f>
        <v>Loading and Unloading Workers (TKBM)</v>
      </c>
      <c r="AA2184" s="23" t="str">
        <f aca="false">IF(C2184="","", CHOOSE(MONTH(C2184),"January","February","March","April","May","June","July","August","September","October","November","December")&amp;" "&amp;DAY(C2184)&amp;MID("thstndrdth",MIN(9,2*RIGHT(DAY(C2184))*(MOD(DAY(C2184)-11,100)&gt;2)+1),2)&amp;","&amp;TEXT(C2184," yyyy"))</f>
        <v>May 5th,2025</v>
      </c>
      <c r="AB2184" s="15" t="str">
        <f aca="true">IF(S2184="","",DATEDIF(S2184,TODAY(),"Y")&amp;" Tahun, "&amp;DATEDIF(S2184,TODAY(),"YM")&amp;" Bulan, "&amp;DATEDIF(S2184,TODAY(),"MD")&amp;" Hari")</f>
        <v>54 Tahun, 3 Bulan, 20 Hari</v>
      </c>
      <c r="AC2184" s="18" t="n">
        <v>45809</v>
      </c>
      <c r="AD2184" s="18" t="n">
        <v>46173</v>
      </c>
      <c r="AE2184" s="18" t="s">
        <v>44</v>
      </c>
    </row>
    <row r="2185" customFormat="false" ht="15" hidden="false" customHeight="true" outlineLevel="0" collapsed="false">
      <c r="A2185" s="12" t="n">
        <v>19538</v>
      </c>
      <c r="B2185" s="13" t="s">
        <v>9391</v>
      </c>
      <c r="C2185" s="16" t="n">
        <v>45782</v>
      </c>
      <c r="D2185" s="13" t="s">
        <v>9387</v>
      </c>
      <c r="E2185" s="15" t="s">
        <v>47</v>
      </c>
      <c r="F2185" s="15" t="str">
        <f aca="false">IFERROR(__xludf.dummyfunction("XLOOKUP(AJ2185,IMPORTRANGE(""1XaInW9DU9nz21V0tYIfzFQ0He9kVQ_JF2mCXgZ3hqFA"",""REKAP ALL 2026 - Andika!G:G""),IMPORTRANGE(""1XaInW9DU9nz21V0tYIfzFQ0He9kVQ_JF2mCXgZ3hqFA"",""REKAP ALL 2026 - Andika!F:F""),"""",0)"),"25062534521")</f>
        <v>25062534521</v>
      </c>
      <c r="G2185" s="13" t="s">
        <v>57</v>
      </c>
      <c r="H2185" s="13" t="s">
        <v>35</v>
      </c>
      <c r="I2185" s="13" t="str">
        <f aca="false">IF(C2185=J2185,"NEW KONTRAK","RE-KONTRAK")</f>
        <v>RE-KONTRAK</v>
      </c>
      <c r="J2185" s="16" t="n">
        <f aca="false" t="array" ref="J2185:J2185">IFERROR(INDEX(AC2185:AE2185,IF(COUNTA(AC2185:AE2185)=0,"",MAX((AC2185:AE2185&lt;&gt;"")*(COLUMN(AC2185:AE2185)-(COLUMN(AC2185)))))-1),"")</f>
        <v>45809</v>
      </c>
      <c r="K2185" s="16" t="n">
        <f aca="false" t="array" ref="K2185:K2185">IFERROR(INDEX(AC2185:AE2185,IF(COUNTA(AC2185:AE2185)=0,"",MAX((AC2185:AE2185&lt;&gt;"")*(COLUMN(AC2185:AE2185)-(COLUMN(AC2185)-1))))-1),"")</f>
        <v>46173</v>
      </c>
      <c r="L2185" s="17" t="str">
        <f aca="false" t="array" ref="L2185:L2185">IFERROR(INDEX(AC2185:AE2185,IF(COUNTA(AC2185:AE2185)=0,"",MAX((AC2185:AE2185&lt;&gt;"")*(COLUMN(AC2185:AE2185)-(COLUMN(AC2185)-2))))-1),"")</f>
        <v>ARCHIVED</v>
      </c>
      <c r="M2185" s="13" t="n">
        <f aca="true">K2185-TODAY()</f>
        <v>-151</v>
      </c>
      <c r="N2185" s="18" t="s">
        <v>615</v>
      </c>
      <c r="O2185" s="13" t="s">
        <v>9388</v>
      </c>
      <c r="P2185" s="27" t="n">
        <v>5176101</v>
      </c>
      <c r="Q2185" s="20" t="s">
        <v>9392</v>
      </c>
      <c r="R2185" s="13" t="s">
        <v>232</v>
      </c>
      <c r="S2185" s="16" t="n">
        <v>30203</v>
      </c>
      <c r="T2185" s="28" t="s">
        <v>40</v>
      </c>
      <c r="U2185" s="13" t="s">
        <v>9393</v>
      </c>
      <c r="V2185" s="13" t="s">
        <v>42</v>
      </c>
      <c r="W2185" s="13" t="s">
        <v>54</v>
      </c>
      <c r="X2185" s="21" t="n">
        <v>81333822192</v>
      </c>
      <c r="Y2185" s="22" t="str">
        <f aca="false">O2185</f>
        <v>Tenaga Kerja Bongkar Muat (TKBM)</v>
      </c>
      <c r="Z2185" s="13" t="str">
        <f aca="false">IFERROR(__xludf.dummyfunction("if(BJ2185="""","""",GOOGLETRANSLATE(BJ2185,""auto"",""en""))"),"Loading and Unloading Workers (TKBM)")</f>
        <v>Loading and Unloading Workers (TKBM)</v>
      </c>
      <c r="AA2185" s="23" t="str">
        <f aca="false">IF(C2185="","", CHOOSE(MONTH(C2185),"January","February","March","April","May","June","July","August","September","October","November","December")&amp;" "&amp;DAY(C2185)&amp;MID("thstndrdth",MIN(9,2*RIGHT(DAY(C2185))*(MOD(DAY(C2185)-11,100)&gt;2)+1),2)&amp;","&amp;TEXT(C2185," yyyy"))</f>
        <v>May 5th,2025</v>
      </c>
      <c r="AB2185" s="15" t="str">
        <f aca="true">IF(S2185="","",DATEDIF(S2185,TODAY(),"Y")&amp;" Tahun, "&amp;DATEDIF(S2185,TODAY(),"YM")&amp;" Bulan, "&amp;DATEDIF(S2185,TODAY(),"MD")&amp;" Hari")</f>
        <v>44 Tahun, 1 Bulan, 20 Hari</v>
      </c>
      <c r="AC2185" s="18" t="n">
        <v>45809</v>
      </c>
      <c r="AD2185" s="18" t="n">
        <v>46173</v>
      </c>
      <c r="AE2185" s="18" t="s">
        <v>44</v>
      </c>
    </row>
    <row r="2186" customFormat="false" ht="15" hidden="false" customHeight="true" outlineLevel="0" collapsed="false">
      <c r="A2186" s="12" t="n">
        <v>19539</v>
      </c>
      <c r="B2186" s="13" t="s">
        <v>9394</v>
      </c>
      <c r="C2186" s="16" t="n">
        <v>45782</v>
      </c>
      <c r="D2186" s="13" t="s">
        <v>9387</v>
      </c>
      <c r="E2186" s="15" t="s">
        <v>47</v>
      </c>
      <c r="F2186" s="15" t="str">
        <f aca="false">IFERROR(__xludf.dummyfunction("XLOOKUP(AJ2186,IMPORTRANGE(""1XaInW9DU9nz21V0tYIfzFQ0He9kVQ_JF2mCXgZ3hqFA"",""REKAP ALL 2026 - Andika!G:G""),IMPORTRANGE(""1XaInW9DU9nz21V0tYIfzFQ0He9kVQ_JF2mCXgZ3hqFA"",""REKAP ALL 2026 - Andika!F:F""),"""",0)"),"25062534539")</f>
        <v>25062534539</v>
      </c>
      <c r="G2186" s="13" t="s">
        <v>57</v>
      </c>
      <c r="H2186" s="13" t="s">
        <v>35</v>
      </c>
      <c r="I2186" s="13" t="str">
        <f aca="false">IF(C2186=J2186,"NEW KONTRAK","RE-KONTRAK")</f>
        <v>RE-KONTRAK</v>
      </c>
      <c r="J2186" s="16" t="n">
        <f aca="false" t="array" ref="J2186:J2186">IFERROR(INDEX(AC2186:AE2186,IF(COUNTA(AC2186:AE2186)=0,"",MAX((AC2186:AE2186&lt;&gt;"")*(COLUMN(AC2186:AE2186)-(COLUMN(AC2186)))))-1),"")</f>
        <v>45809</v>
      </c>
      <c r="K2186" s="16" t="n">
        <f aca="false" t="array" ref="K2186:K2186">IFERROR(INDEX(AC2186:AE2186,IF(COUNTA(AC2186:AE2186)=0,"",MAX((AC2186:AE2186&lt;&gt;"")*(COLUMN(AC2186:AE2186)-(COLUMN(AC2186)-1))))-1),"")</f>
        <v>46173</v>
      </c>
      <c r="L2186" s="17" t="str">
        <f aca="false" t="array" ref="L2186:L2186">IFERROR(INDEX(AC2186:AE2186,IF(COUNTA(AC2186:AE2186)=0,"",MAX((AC2186:AE2186&lt;&gt;"")*(COLUMN(AC2186:AE2186)-(COLUMN(AC2186)-2))))-1),"")</f>
        <v>ARCHIVED</v>
      </c>
      <c r="M2186" s="13" t="n">
        <f aca="true">K2186-TODAY()</f>
        <v>-151</v>
      </c>
      <c r="N2186" s="18" t="s">
        <v>615</v>
      </c>
      <c r="O2186" s="13" t="s">
        <v>9388</v>
      </c>
      <c r="P2186" s="27" t="n">
        <v>5176101</v>
      </c>
      <c r="Q2186" s="20" t="s">
        <v>9395</v>
      </c>
      <c r="R2186" s="13" t="s">
        <v>232</v>
      </c>
      <c r="S2186" s="16" t="n">
        <v>31602</v>
      </c>
      <c r="T2186" s="28" t="s">
        <v>40</v>
      </c>
      <c r="U2186" s="13" t="s">
        <v>9396</v>
      </c>
      <c r="V2186" s="13" t="s">
        <v>42</v>
      </c>
      <c r="W2186" s="13" t="s">
        <v>54</v>
      </c>
      <c r="X2186" s="21" t="n">
        <v>85933714951</v>
      </c>
      <c r="Y2186" s="22" t="str">
        <f aca="false">O2186</f>
        <v>Tenaga Kerja Bongkar Muat (TKBM)</v>
      </c>
      <c r="Z2186" s="13" t="str">
        <f aca="false">IFERROR(__xludf.dummyfunction("if(BJ2186="""","""",GOOGLETRANSLATE(BJ2186,""auto"",""en""))"),"Loading and Unloading Workers (TKBM)")</f>
        <v>Loading and Unloading Workers (TKBM)</v>
      </c>
      <c r="AA2186" s="23" t="str">
        <f aca="false">IF(C2186="","", CHOOSE(MONTH(C2186),"January","February","March","April","May","June","July","August","September","October","November","December")&amp;" "&amp;DAY(C2186)&amp;MID("thstndrdth",MIN(9,2*RIGHT(DAY(C2186))*(MOD(DAY(C2186)-11,100)&gt;2)+1),2)&amp;","&amp;TEXT(C2186," yyyy"))</f>
        <v>May 5th,2025</v>
      </c>
      <c r="AB2186" s="15" t="str">
        <f aca="true">IF(S2186="","",DATEDIF(S2186,TODAY(),"Y")&amp;" Tahun, "&amp;DATEDIF(S2186,TODAY(),"YM")&amp;" Bulan, "&amp;DATEDIF(S2186,TODAY(),"MD")&amp;" Hari")</f>
        <v>40 Tahun, 3 Bulan, 20 Hari</v>
      </c>
      <c r="AC2186" s="18" t="n">
        <v>45809</v>
      </c>
      <c r="AD2186" s="18" t="n">
        <v>46173</v>
      </c>
      <c r="AE2186" s="18" t="s">
        <v>44</v>
      </c>
    </row>
    <row r="2187" customFormat="false" ht="15" hidden="false" customHeight="true" outlineLevel="0" collapsed="false">
      <c r="A2187" s="12" t="n">
        <v>19540</v>
      </c>
      <c r="B2187" s="13" t="s">
        <v>9397</v>
      </c>
      <c r="C2187" s="16" t="n">
        <v>45782</v>
      </c>
      <c r="D2187" s="13" t="s">
        <v>9387</v>
      </c>
      <c r="E2187" s="15" t="s">
        <v>47</v>
      </c>
      <c r="F2187" s="24" t="s">
        <v>9398</v>
      </c>
      <c r="G2187" s="13" t="s">
        <v>57</v>
      </c>
      <c r="H2187" s="13" t="s">
        <v>35</v>
      </c>
      <c r="I2187" s="13" t="str">
        <f aca="false">IF(C2187=J2187,"NEW KONTRAK","RE-KONTRAK")</f>
        <v>RE-KONTRAK</v>
      </c>
      <c r="J2187" s="16" t="n">
        <f aca="false" t="array" ref="J2187:J2187">IFERROR(INDEX(AC2187:AE2187,IF(COUNTA(AC2187:AE2187)=0,"",MAX((AC2187:AE2187&lt;&gt;"")*(COLUMN(AC2187:AE2187)-(COLUMN(AC2187)))))-1),"")</f>
        <v>45809</v>
      </c>
      <c r="K2187" s="16" t="n">
        <f aca="false" t="array" ref="K2187:K2187">IFERROR(INDEX(AC2187:AE2187,IF(COUNTA(AC2187:AE2187)=0,"",MAX((AC2187:AE2187&lt;&gt;"")*(COLUMN(AC2187:AE2187)-(COLUMN(AC2187)-1))))-1),"")</f>
        <v>46173</v>
      </c>
      <c r="L2187" s="17" t="str">
        <f aca="false" t="array" ref="L2187:L2187">IFERROR(INDEX(AC2187:AE2187,IF(COUNTA(AC2187:AE2187)=0,"",MAX((AC2187:AE2187&lt;&gt;"")*(COLUMN(AC2187:AE2187)-(COLUMN(AC2187)-2))))-1),"")</f>
        <v>ARCHIVED</v>
      </c>
      <c r="M2187" s="13" t="n">
        <f aca="true">K2187-TODAY()</f>
        <v>-151</v>
      </c>
      <c r="N2187" s="18" t="s">
        <v>615</v>
      </c>
      <c r="O2187" s="13" t="s">
        <v>9388</v>
      </c>
      <c r="P2187" s="27" t="n">
        <v>5176101</v>
      </c>
      <c r="Q2187" s="20" t="s">
        <v>9399</v>
      </c>
      <c r="R2187" s="13" t="s">
        <v>232</v>
      </c>
      <c r="S2187" s="16" t="n">
        <v>34943</v>
      </c>
      <c r="T2187" s="28" t="s">
        <v>40</v>
      </c>
      <c r="U2187" s="13" t="s">
        <v>9400</v>
      </c>
      <c r="V2187" s="13" t="s">
        <v>42</v>
      </c>
      <c r="W2187" s="13" t="s">
        <v>54</v>
      </c>
      <c r="X2187" s="21" t="n">
        <v>83875008429</v>
      </c>
      <c r="Y2187" s="22" t="str">
        <f aca="false">O2187</f>
        <v>Tenaga Kerja Bongkar Muat (TKBM)</v>
      </c>
      <c r="Z2187" s="13" t="str">
        <f aca="false">IFERROR(__xludf.dummyfunction("if(BJ2187="""","""",GOOGLETRANSLATE(BJ2187,""auto"",""en""))"),"Loading and Unloading Workers (TKBM)")</f>
        <v>Loading and Unloading Workers (TKBM)</v>
      </c>
      <c r="AA2187" s="23" t="str">
        <f aca="false">IF(C2187="","", CHOOSE(MONTH(C2187),"January","February","March","April","May","June","July","August","September","October","November","December")&amp;" "&amp;DAY(C2187)&amp;MID("thstndrdth",MIN(9,2*RIGHT(DAY(C2187))*(MOD(DAY(C2187)-11,100)&gt;2)+1),2)&amp;","&amp;TEXT(C2187," yyyy"))</f>
        <v>May 5th,2025</v>
      </c>
      <c r="AB2187" s="15" t="str">
        <f aca="true">IF(S2187="","",DATEDIF(S2187,TODAY(),"Y")&amp;" Tahun, "&amp;DATEDIF(S2187,TODAY(),"YM")&amp;" Bulan, "&amp;DATEDIF(S2187,TODAY(),"MD")&amp;" Hari")</f>
        <v>31 Tahun, 1 Bulan, 28 Hari</v>
      </c>
      <c r="AC2187" s="18" t="n">
        <v>45809</v>
      </c>
      <c r="AD2187" s="18" t="n">
        <v>46173</v>
      </c>
      <c r="AE2187" s="18" t="s">
        <v>44</v>
      </c>
    </row>
    <row r="2188" customFormat="false" ht="15" hidden="false" customHeight="true" outlineLevel="0" collapsed="false">
      <c r="A2188" s="12" t="n">
        <v>19541</v>
      </c>
      <c r="B2188" s="13" t="s">
        <v>9401</v>
      </c>
      <c r="C2188" s="16" t="n">
        <v>45782</v>
      </c>
      <c r="D2188" s="13" t="s">
        <v>9387</v>
      </c>
      <c r="E2188" s="15" t="s">
        <v>47</v>
      </c>
      <c r="F2188" s="24" t="s">
        <v>9402</v>
      </c>
      <c r="G2188" s="13" t="s">
        <v>57</v>
      </c>
      <c r="H2188" s="13" t="s">
        <v>35</v>
      </c>
      <c r="I2188" s="13" t="str">
        <f aca="false">IF(C2188=J2188,"NEW KONTRAK","RE-KONTRAK")</f>
        <v>RE-KONTRAK</v>
      </c>
      <c r="J2188" s="16" t="n">
        <f aca="false" t="array" ref="J2188:J2188">IFERROR(INDEX(AC2188:AE2188,IF(COUNTA(AC2188:AE2188)=0,"",MAX((AC2188:AE2188&lt;&gt;"")*(COLUMN(AC2188:AE2188)-(COLUMN(AC2188)))))-1),"")</f>
        <v>45809</v>
      </c>
      <c r="K2188" s="16" t="n">
        <f aca="false" t="array" ref="K2188:K2188">IFERROR(INDEX(AC2188:AE2188,IF(COUNTA(AC2188:AE2188)=0,"",MAX((AC2188:AE2188&lt;&gt;"")*(COLUMN(AC2188:AE2188)-(COLUMN(AC2188)-1))))-1),"")</f>
        <v>46173</v>
      </c>
      <c r="L2188" s="17" t="str">
        <f aca="false" t="array" ref="L2188:L2188">IFERROR(INDEX(AC2188:AE2188,IF(COUNTA(AC2188:AE2188)=0,"",MAX((AC2188:AE2188&lt;&gt;"")*(COLUMN(AC2188:AE2188)-(COLUMN(AC2188)-2))))-1),"")</f>
        <v>ARCHIVED</v>
      </c>
      <c r="M2188" s="13" t="n">
        <f aca="true">K2188-TODAY()</f>
        <v>-151</v>
      </c>
      <c r="N2188" s="18" t="s">
        <v>615</v>
      </c>
      <c r="O2188" s="13" t="s">
        <v>9388</v>
      </c>
      <c r="P2188" s="27" t="n">
        <v>5176101</v>
      </c>
      <c r="Q2188" s="20" t="s">
        <v>9403</v>
      </c>
      <c r="R2188" s="13" t="s">
        <v>232</v>
      </c>
      <c r="S2188" s="16" t="n">
        <v>35883</v>
      </c>
      <c r="T2188" s="28" t="s">
        <v>40</v>
      </c>
      <c r="U2188" s="13" t="s">
        <v>9404</v>
      </c>
      <c r="V2188" s="13" t="s">
        <v>42</v>
      </c>
      <c r="W2188" s="13" t="s">
        <v>43</v>
      </c>
      <c r="X2188" s="21" t="n">
        <v>881026960958</v>
      </c>
      <c r="Y2188" s="22" t="str">
        <f aca="false">O2188</f>
        <v>Tenaga Kerja Bongkar Muat (TKBM)</v>
      </c>
      <c r="Z2188" s="13" t="str">
        <f aca="false">IFERROR(__xludf.dummyfunction("if(BJ2188="""","""",GOOGLETRANSLATE(BJ2188,""auto"",""en""))"),"Loading and Unloading Workers (TKBM)")</f>
        <v>Loading and Unloading Workers (TKBM)</v>
      </c>
      <c r="AA2188" s="23" t="str">
        <f aca="false">IF(C2188="","", CHOOSE(MONTH(C2188),"January","February","March","April","May","June","July","August","September","October","November","December")&amp;" "&amp;DAY(C2188)&amp;MID("thstndrdth",MIN(9,2*RIGHT(DAY(C2188))*(MOD(DAY(C2188)-11,100)&gt;2)+1),2)&amp;","&amp;TEXT(C2188," yyyy"))</f>
        <v>May 5th,2025</v>
      </c>
      <c r="AB2188" s="15" t="str">
        <f aca="true">IF(S2188="","",DATEDIF(S2188,TODAY(),"Y")&amp;" Tahun, "&amp;DATEDIF(S2188,TODAY(),"YM")&amp;" Bulan, "&amp;DATEDIF(S2188,TODAY(),"MD")&amp;" Hari")</f>
        <v>28 Tahun, 7 Bulan, 0 Hari</v>
      </c>
      <c r="AC2188" s="18" t="n">
        <v>45809</v>
      </c>
      <c r="AD2188" s="18" t="n">
        <v>46173</v>
      </c>
      <c r="AE2188" s="18" t="s">
        <v>44</v>
      </c>
    </row>
    <row r="2189" customFormat="false" ht="15" hidden="false" customHeight="true" outlineLevel="0" collapsed="false">
      <c r="A2189" s="12" t="n">
        <v>19542</v>
      </c>
      <c r="B2189" s="13" t="s">
        <v>9405</v>
      </c>
      <c r="C2189" s="16" t="n">
        <v>45782</v>
      </c>
      <c r="D2189" s="13" t="s">
        <v>9387</v>
      </c>
      <c r="E2189" s="15" t="s">
        <v>47</v>
      </c>
      <c r="F2189" s="15" t="str">
        <f aca="false">IFERROR(__xludf.dummyfunction("XLOOKUP(AJ2189,IMPORTRANGE(""1XaInW9DU9nz21V0tYIfzFQ0He9kVQ_JF2mCXgZ3hqFA"",""REKAP ALL 2026 - Andika!G:G""),IMPORTRANGE(""1XaInW9DU9nz21V0tYIfzFQ0He9kVQ_JF2mCXgZ3hqFA"",""REKAP ALL 2026 - Andika!F:F""),"""",0)"),"25062534570")</f>
        <v>25062534570</v>
      </c>
      <c r="G2189" s="13" t="s">
        <v>57</v>
      </c>
      <c r="H2189" s="13" t="s">
        <v>35</v>
      </c>
      <c r="I2189" s="13" t="str">
        <f aca="false">IF(C2189=J2189,"NEW KONTRAK","RE-KONTRAK")</f>
        <v>RE-KONTRAK</v>
      </c>
      <c r="J2189" s="16" t="n">
        <f aca="false" t="array" ref="J2189:J2189">IFERROR(INDEX(AC2189:AE2189,IF(COUNTA(AC2189:AE2189)=0,"",MAX((AC2189:AE2189&lt;&gt;"")*(COLUMN(AC2189:AE2189)-(COLUMN(AC2189)))))-1),"")</f>
        <v>45809</v>
      </c>
      <c r="K2189" s="16" t="n">
        <f aca="false" t="array" ref="K2189:K2189">IFERROR(INDEX(AC2189:AE2189,IF(COUNTA(AC2189:AE2189)=0,"",MAX((AC2189:AE2189&lt;&gt;"")*(COLUMN(AC2189:AE2189)-(COLUMN(AC2189)-1))))-1),"")</f>
        <v>46173</v>
      </c>
      <c r="L2189" s="17" t="str">
        <f aca="false" t="array" ref="L2189:L2189">IFERROR(INDEX(AC2189:AE2189,IF(COUNTA(AC2189:AE2189)=0,"",MAX((AC2189:AE2189&lt;&gt;"")*(COLUMN(AC2189:AE2189)-(COLUMN(AC2189)-2))))-1),"")</f>
        <v>ARCHIVED</v>
      </c>
      <c r="M2189" s="13" t="n">
        <f aca="true">K2189-TODAY()</f>
        <v>-151</v>
      </c>
      <c r="N2189" s="18" t="s">
        <v>615</v>
      </c>
      <c r="O2189" s="13" t="s">
        <v>9388</v>
      </c>
      <c r="P2189" s="27" t="n">
        <v>5176101</v>
      </c>
      <c r="Q2189" s="20" t="s">
        <v>9406</v>
      </c>
      <c r="R2189" s="13" t="s">
        <v>232</v>
      </c>
      <c r="S2189" s="16" t="n">
        <v>31019</v>
      </c>
      <c r="T2189" s="28" t="s">
        <v>40</v>
      </c>
      <c r="U2189" s="13" t="s">
        <v>9407</v>
      </c>
      <c r="V2189" s="13" t="s">
        <v>42</v>
      </c>
      <c r="W2189" s="13" t="s">
        <v>54</v>
      </c>
      <c r="X2189" s="21" t="n">
        <v>81515142886</v>
      </c>
      <c r="Y2189" s="22" t="str">
        <f aca="false">O2189</f>
        <v>Tenaga Kerja Bongkar Muat (TKBM)</v>
      </c>
      <c r="Z2189" s="13" t="str">
        <f aca="false">IFERROR(__xludf.dummyfunction("if(BJ2189="""","""",GOOGLETRANSLATE(BJ2189,""auto"",""en""))"),"Loading and Unloading Workers (TKBM)")</f>
        <v>Loading and Unloading Workers (TKBM)</v>
      </c>
      <c r="AA2189" s="23" t="str">
        <f aca="false">IF(C2189="","", CHOOSE(MONTH(C2189),"January","February","March","April","May","June","July","August","September","October","November","December")&amp;" "&amp;DAY(C2189)&amp;MID("thstndrdth",MIN(9,2*RIGHT(DAY(C2189))*(MOD(DAY(C2189)-11,100)&gt;2)+1),2)&amp;","&amp;TEXT(C2189," yyyy"))</f>
        <v>May 5th,2025</v>
      </c>
      <c r="AB2189" s="15" t="str">
        <f aca="true">IF(S2189="","",DATEDIF(S2189,TODAY(),"Y")&amp;" Tahun, "&amp;DATEDIF(S2189,TODAY(),"YM")&amp;" Bulan, "&amp;DATEDIF(S2189,TODAY(),"MD")&amp;" Hari")</f>
        <v>41 Tahun, 10 Bulan, 26 Hari</v>
      </c>
      <c r="AC2189" s="18" t="n">
        <v>45809</v>
      </c>
      <c r="AD2189" s="18" t="n">
        <v>46173</v>
      </c>
      <c r="AE2189" s="18" t="s">
        <v>44</v>
      </c>
    </row>
    <row r="2190" customFormat="false" ht="15" hidden="false" customHeight="true" outlineLevel="0" collapsed="false">
      <c r="A2190" s="12" t="n">
        <v>19543</v>
      </c>
      <c r="B2190" s="13" t="s">
        <v>9408</v>
      </c>
      <c r="C2190" s="16" t="n">
        <v>45782</v>
      </c>
      <c r="D2190" s="13" t="s">
        <v>9387</v>
      </c>
      <c r="E2190" s="15" t="s">
        <v>47</v>
      </c>
      <c r="F2190" s="15" t="str">
        <f aca="false">IFERROR(__xludf.dummyfunction("XLOOKUP(AJ2190,IMPORTRANGE(""1XaInW9DU9nz21V0tYIfzFQ0He9kVQ_JF2mCXgZ3hqFA"",""REKAP ALL 2026 - Andika!G:G""),IMPORTRANGE(""1XaInW9DU9nz21V0tYIfzFQ0He9kVQ_JF2mCXgZ3hqFA"",""REKAP ALL 2026 - Andika!F:F""),"""",0)"),"25062534588")</f>
        <v>25062534588</v>
      </c>
      <c r="G2190" s="13" t="s">
        <v>57</v>
      </c>
      <c r="H2190" s="13" t="s">
        <v>35</v>
      </c>
      <c r="I2190" s="13" t="str">
        <f aca="false">IF(C2190=J2190,"NEW KONTRAK","RE-KONTRAK")</f>
        <v>RE-KONTRAK</v>
      </c>
      <c r="J2190" s="16" t="n">
        <f aca="false" t="array" ref="J2190:J2190">IFERROR(INDEX(AC2190:AE2190,IF(COUNTA(AC2190:AE2190)=0,"",MAX((AC2190:AE2190&lt;&gt;"")*(COLUMN(AC2190:AE2190)-(COLUMN(AC2190)))))-1),"")</f>
        <v>45809</v>
      </c>
      <c r="K2190" s="16" t="n">
        <f aca="false" t="array" ref="K2190:K2190">IFERROR(INDEX(AC2190:AE2190,IF(COUNTA(AC2190:AE2190)=0,"",MAX((AC2190:AE2190&lt;&gt;"")*(COLUMN(AC2190:AE2190)-(COLUMN(AC2190)-1))))-1),"")</f>
        <v>46173</v>
      </c>
      <c r="L2190" s="17" t="str">
        <f aca="false" t="array" ref="L2190:L2190">IFERROR(INDEX(AC2190:AE2190,IF(COUNTA(AC2190:AE2190)=0,"",MAX((AC2190:AE2190&lt;&gt;"")*(COLUMN(AC2190:AE2190)-(COLUMN(AC2190)-2))))-1),"")</f>
        <v>ARCHIVED</v>
      </c>
      <c r="M2190" s="13" t="n">
        <f aca="true">K2190-TODAY()</f>
        <v>-151</v>
      </c>
      <c r="N2190" s="18" t="s">
        <v>615</v>
      </c>
      <c r="O2190" s="13" t="s">
        <v>9388</v>
      </c>
      <c r="P2190" s="27" t="n">
        <v>5176101</v>
      </c>
      <c r="Q2190" s="20" t="s">
        <v>9409</v>
      </c>
      <c r="R2190" s="13" t="s">
        <v>232</v>
      </c>
      <c r="S2190" s="16" t="n">
        <v>34688</v>
      </c>
      <c r="T2190" s="28" t="s">
        <v>40</v>
      </c>
      <c r="U2190" s="13" t="s">
        <v>9410</v>
      </c>
      <c r="V2190" s="13" t="s">
        <v>42</v>
      </c>
      <c r="W2190" s="13" t="s">
        <v>54</v>
      </c>
      <c r="X2190" s="21" t="n">
        <v>8993593884</v>
      </c>
      <c r="Y2190" s="22" t="str">
        <f aca="false">O2190</f>
        <v>Tenaga Kerja Bongkar Muat (TKBM)</v>
      </c>
      <c r="Z2190" s="13" t="str">
        <f aca="false">IFERROR(__xludf.dummyfunction("if(BJ2190="""","""",GOOGLETRANSLATE(BJ2190,""auto"",""en""))"),"Loading and Unloading Workers (TKBM)")</f>
        <v>Loading and Unloading Workers (TKBM)</v>
      </c>
      <c r="AA2190" s="23" t="str">
        <f aca="false">IF(C2190="","", CHOOSE(MONTH(C2190),"January","February","March","April","May","June","July","August","September","October","November","December")&amp;" "&amp;DAY(C2190)&amp;MID("thstndrdth",MIN(9,2*RIGHT(DAY(C2190))*(MOD(DAY(C2190)-11,100)&gt;2)+1),2)&amp;","&amp;TEXT(C2190," yyyy"))</f>
        <v>May 5th,2025</v>
      </c>
      <c r="AB2190" s="15" t="str">
        <f aca="true">IF(S2190="","",DATEDIF(S2190,TODAY(),"Y")&amp;" Tahun, "&amp;DATEDIF(S2190,TODAY(),"YM")&amp;" Bulan, "&amp;DATEDIF(S2190,TODAY(),"MD")&amp;" Hari")</f>
        <v>31 Tahun, 10 Bulan, 9 Hari</v>
      </c>
      <c r="AC2190" s="18" t="n">
        <v>45809</v>
      </c>
      <c r="AD2190" s="18" t="n">
        <v>46173</v>
      </c>
      <c r="AE2190" s="18" t="s">
        <v>44</v>
      </c>
    </row>
    <row r="2191" customFormat="false" ht="15" hidden="false" customHeight="true" outlineLevel="0" collapsed="false">
      <c r="A2191" s="12" t="n">
        <v>19545</v>
      </c>
      <c r="B2191" s="13" t="s">
        <v>9411</v>
      </c>
      <c r="C2191" s="16" t="n">
        <v>45782</v>
      </c>
      <c r="D2191" s="13" t="s">
        <v>9387</v>
      </c>
      <c r="E2191" s="15" t="s">
        <v>47</v>
      </c>
      <c r="F2191" s="15" t="str">
        <f aca="false">IFERROR(__xludf.dummyfunction("XLOOKUP(AJ2191,IMPORTRANGE(""1XaInW9DU9nz21V0tYIfzFQ0He9kVQ_JF2mCXgZ3hqFA"",""REKAP ALL 2026 - Andika!G:G""),IMPORTRANGE(""1XaInW9DU9nz21V0tYIfzFQ0He9kVQ_JF2mCXgZ3hqFA"",""REKAP ALL 2026 - Andika!F:F""),"""",0)"),"25062534604")</f>
        <v>25062534604</v>
      </c>
      <c r="G2191" s="13" t="s">
        <v>57</v>
      </c>
      <c r="H2191" s="13" t="s">
        <v>35</v>
      </c>
      <c r="I2191" s="13" t="str">
        <f aca="false">IF(C2191=J2191,"NEW KONTRAK","RE-KONTRAK")</f>
        <v>RE-KONTRAK</v>
      </c>
      <c r="J2191" s="16" t="n">
        <f aca="false" t="array" ref="J2191:J2191">IFERROR(INDEX(AC2191:AE2191,IF(COUNTA(AC2191:AE2191)=0,"",MAX((AC2191:AE2191&lt;&gt;"")*(COLUMN(AC2191:AE2191)-(COLUMN(AC2191)))))-1),"")</f>
        <v>45809</v>
      </c>
      <c r="K2191" s="16" t="n">
        <f aca="false" t="array" ref="K2191:K2191">IFERROR(INDEX(AC2191:AE2191,IF(COUNTA(AC2191:AE2191)=0,"",MAX((AC2191:AE2191&lt;&gt;"")*(COLUMN(AC2191:AE2191)-(COLUMN(AC2191)-1))))-1),"")</f>
        <v>46173</v>
      </c>
      <c r="L2191" s="17" t="str">
        <f aca="false" t="array" ref="L2191:L2191">IFERROR(INDEX(AC2191:AE2191,IF(COUNTA(AC2191:AE2191)=0,"",MAX((AC2191:AE2191&lt;&gt;"")*(COLUMN(AC2191:AE2191)-(COLUMN(AC2191)-2))))-1),"")</f>
        <v>ARCHIVED</v>
      </c>
      <c r="M2191" s="13" t="n">
        <f aca="true">K2191-TODAY()</f>
        <v>-151</v>
      </c>
      <c r="N2191" s="18" t="s">
        <v>615</v>
      </c>
      <c r="O2191" s="13" t="s">
        <v>9388</v>
      </c>
      <c r="P2191" s="27" t="n">
        <v>5176101</v>
      </c>
      <c r="Q2191" s="20" t="s">
        <v>9412</v>
      </c>
      <c r="R2191" s="13" t="s">
        <v>232</v>
      </c>
      <c r="S2191" s="16" t="n">
        <v>34413</v>
      </c>
      <c r="T2191" s="28" t="s">
        <v>40</v>
      </c>
      <c r="U2191" s="13" t="s">
        <v>9413</v>
      </c>
      <c r="V2191" s="13" t="s">
        <v>42</v>
      </c>
      <c r="W2191" s="13" t="s">
        <v>54</v>
      </c>
      <c r="X2191" s="21" t="n">
        <v>85711538320</v>
      </c>
      <c r="Y2191" s="22" t="str">
        <f aca="false">O2191</f>
        <v>Tenaga Kerja Bongkar Muat (TKBM)</v>
      </c>
      <c r="Z2191" s="13" t="str">
        <f aca="false">IFERROR(__xludf.dummyfunction("if(BJ2191="""","""",GOOGLETRANSLATE(BJ2191,""auto"",""en""))"),"Loading and Unloading Workers (TKBM)")</f>
        <v>Loading and Unloading Workers (TKBM)</v>
      </c>
      <c r="AA2191" s="23" t="str">
        <f aca="false">IF(C2191="","", CHOOSE(MONTH(C2191),"January","February","March","April","May","June","July","August","September","October","November","December")&amp;" "&amp;DAY(C2191)&amp;MID("thstndrdth",MIN(9,2*RIGHT(DAY(C2191))*(MOD(DAY(C2191)-11,100)&gt;2)+1),2)&amp;","&amp;TEXT(C2191," yyyy"))</f>
        <v>May 5th,2025</v>
      </c>
      <c r="AB2191" s="15" t="str">
        <f aca="true">IF(S2191="","",DATEDIF(S2191,TODAY(),"Y")&amp;" Tahun, "&amp;DATEDIF(S2191,TODAY(),"YM")&amp;" Bulan, "&amp;DATEDIF(S2191,TODAY(),"MD")&amp;" Hari")</f>
        <v>32 Tahun, 7 Bulan, 9 Hari</v>
      </c>
      <c r="AC2191" s="18" t="n">
        <v>45809</v>
      </c>
      <c r="AD2191" s="18" t="n">
        <v>46173</v>
      </c>
      <c r="AE2191" s="18" t="s">
        <v>44</v>
      </c>
    </row>
    <row r="2192" customFormat="false" ht="15" hidden="false" customHeight="true" outlineLevel="0" collapsed="false">
      <c r="A2192" s="12" t="n">
        <v>19544</v>
      </c>
      <c r="B2192" s="13" t="s">
        <v>9414</v>
      </c>
      <c r="C2192" s="16" t="n">
        <v>45782</v>
      </c>
      <c r="D2192" s="13" t="s">
        <v>9387</v>
      </c>
      <c r="E2192" s="24" t="s">
        <v>9415</v>
      </c>
      <c r="F2192" s="24" t="s">
        <v>9416</v>
      </c>
      <c r="G2192" s="13" t="s">
        <v>57</v>
      </c>
      <c r="H2192" s="13" t="s">
        <v>35</v>
      </c>
      <c r="I2192" s="13" t="str">
        <f aca="false">IF(C2192=J2192,"NEW KONTRAK","RE-KONTRAK")</f>
        <v>RE-KONTRAK</v>
      </c>
      <c r="J2192" s="16" t="n">
        <f aca="false" t="array" ref="J2192:J2192">IFERROR(INDEX(AC2192:AE2192,IF(COUNTA(AC2192:AE2192)=0,"",MAX((AC2192:AE2192&lt;&gt;"")*(COLUMN(AC2192:AE2192)-(COLUMN(AC2192)))))-1),"")</f>
        <v>45809</v>
      </c>
      <c r="K2192" s="16" t="n">
        <f aca="false" t="array" ref="K2192:K2192">IFERROR(INDEX(AC2192:AE2192,IF(COUNTA(AC2192:AE2192)=0,"",MAX((AC2192:AE2192&lt;&gt;"")*(COLUMN(AC2192:AE2192)-(COLUMN(AC2192)-1))))-1),"")</f>
        <v>46173</v>
      </c>
      <c r="L2192" s="17" t="str">
        <f aca="false" t="array" ref="L2192:L2192">IFERROR(INDEX(AC2192:AE2192,IF(COUNTA(AC2192:AE2192)=0,"",MAX((AC2192:AE2192&lt;&gt;"")*(COLUMN(AC2192:AE2192)-(COLUMN(AC2192)-2))))-1),"")</f>
        <v>KEMBALI ONLINE</v>
      </c>
      <c r="M2192" s="13" t="n">
        <f aca="true">K2192-TODAY()</f>
        <v>-151</v>
      </c>
      <c r="N2192" s="18" t="s">
        <v>615</v>
      </c>
      <c r="O2192" s="13" t="s">
        <v>9388</v>
      </c>
      <c r="P2192" s="27" t="n">
        <v>5176101</v>
      </c>
      <c r="Q2192" s="20" t="s">
        <v>9417</v>
      </c>
      <c r="R2192" s="13" t="s">
        <v>232</v>
      </c>
      <c r="S2192" s="16" t="n">
        <v>34993</v>
      </c>
      <c r="T2192" s="28" t="s">
        <v>40</v>
      </c>
      <c r="U2192" s="13" t="s">
        <v>9418</v>
      </c>
      <c r="V2192" s="13" t="s">
        <v>42</v>
      </c>
      <c r="W2192" s="13" t="s">
        <v>43</v>
      </c>
      <c r="X2192" s="21" t="n">
        <v>81334531649</v>
      </c>
      <c r="Y2192" s="22" t="str">
        <f aca="false">O2192</f>
        <v>Tenaga Kerja Bongkar Muat (TKBM)</v>
      </c>
      <c r="Z2192" s="13" t="str">
        <f aca="false">IFERROR(__xludf.dummyfunction("if(BJ2192="""","""",GOOGLETRANSLATE(BJ2192,""auto"",""en""))"),"Loading and Unloading Workers (TKBM)")</f>
        <v>Loading and Unloading Workers (TKBM)</v>
      </c>
      <c r="AA2192" s="23" t="str">
        <f aca="false">IF(C2192="","", CHOOSE(MONTH(C2192),"January","February","March","April","May","June","July","August","September","October","November","December")&amp;" "&amp;DAY(C2192)&amp;MID("thstndrdth",MIN(9,2*RIGHT(DAY(C2192))*(MOD(DAY(C2192)-11,100)&gt;2)+1),2)&amp;","&amp;TEXT(C2192," yyyy"))</f>
        <v>May 5th,2025</v>
      </c>
      <c r="AB2192" s="15" t="str">
        <f aca="true">IF(S2192="","",DATEDIF(S2192,TODAY(),"Y")&amp;" Tahun, "&amp;DATEDIF(S2192,TODAY(),"YM")&amp;" Bulan, "&amp;DATEDIF(S2192,TODAY(),"MD")&amp;" Hari")</f>
        <v>31 Tahun, 0 Bulan, 8 Hari</v>
      </c>
      <c r="AC2192" s="18" t="n">
        <v>45809</v>
      </c>
      <c r="AD2192" s="18" t="n">
        <v>46173</v>
      </c>
      <c r="AE2192" s="13" t="s">
        <v>2387</v>
      </c>
    </row>
    <row r="2193" customFormat="false" ht="15" hidden="false" customHeight="true" outlineLevel="0" collapsed="false">
      <c r="A2193" s="12" t="n">
        <v>19546</v>
      </c>
      <c r="B2193" s="13" t="s">
        <v>9419</v>
      </c>
      <c r="C2193" s="16" t="n">
        <v>45782</v>
      </c>
      <c r="D2193" s="13" t="s">
        <v>9387</v>
      </c>
      <c r="E2193" s="15" t="s">
        <v>47</v>
      </c>
      <c r="F2193" s="15" t="str">
        <f aca="false">IFERROR(__xludf.dummyfunction("XLOOKUP(AJ2193,IMPORTRANGE(""1XaInW9DU9nz21V0tYIfzFQ0He9kVQ_JF2mCXgZ3hqFA"",""REKAP ALL 2026 - Andika!G:G""),IMPORTRANGE(""1XaInW9DU9nz21V0tYIfzFQ0He9kVQ_JF2mCXgZ3hqFA"",""REKAP ALL 2026 - Andika!F:F""),"""",0)"),"25062534612")</f>
        <v>25062534612</v>
      </c>
      <c r="G2193" s="13" t="s">
        <v>57</v>
      </c>
      <c r="H2193" s="13" t="s">
        <v>35</v>
      </c>
      <c r="I2193" s="13" t="str">
        <f aca="false">IF(C2193=J2193,"NEW KONTRAK","RE-KONTRAK")</f>
        <v>RE-KONTRAK</v>
      </c>
      <c r="J2193" s="16" t="n">
        <f aca="false" t="array" ref="J2193:J2193">IFERROR(INDEX(AC2193:AE2193,IF(COUNTA(AC2193:AE2193)=0,"",MAX((AC2193:AE2193&lt;&gt;"")*(COLUMN(AC2193:AE2193)-(COLUMN(AC2193)))))-1),"")</f>
        <v>45809</v>
      </c>
      <c r="K2193" s="16" t="n">
        <f aca="false" t="array" ref="K2193:K2193">IFERROR(INDEX(AC2193:AE2193,IF(COUNTA(AC2193:AE2193)=0,"",MAX((AC2193:AE2193&lt;&gt;"")*(COLUMN(AC2193:AE2193)-(COLUMN(AC2193)-1))))-1),"")</f>
        <v>46173</v>
      </c>
      <c r="L2193" s="17" t="str">
        <f aca="false" t="array" ref="L2193:L2193">IFERROR(INDEX(AC2193:AE2193,IF(COUNTA(AC2193:AE2193)=0,"",MAX((AC2193:AE2193&lt;&gt;"")*(COLUMN(AC2193:AE2193)-(COLUMN(AC2193)-2))))-1),"")</f>
        <v>ARCHIVED</v>
      </c>
      <c r="M2193" s="13" t="n">
        <f aca="true">K2193-TODAY()</f>
        <v>-151</v>
      </c>
      <c r="N2193" s="18" t="s">
        <v>615</v>
      </c>
      <c r="O2193" s="13" t="s">
        <v>9388</v>
      </c>
      <c r="P2193" s="27" t="n">
        <v>5176101</v>
      </c>
      <c r="Q2193" s="20" t="s">
        <v>9420</v>
      </c>
      <c r="R2193" s="13" t="s">
        <v>232</v>
      </c>
      <c r="S2193" s="16" t="n">
        <v>34534</v>
      </c>
      <c r="T2193" s="28" t="s">
        <v>40</v>
      </c>
      <c r="U2193" s="13" t="s">
        <v>9421</v>
      </c>
      <c r="V2193" s="13" t="s">
        <v>42</v>
      </c>
      <c r="W2193" s="13" t="s">
        <v>54</v>
      </c>
      <c r="X2193" s="21" t="n">
        <v>87822414377</v>
      </c>
      <c r="Y2193" s="22" t="str">
        <f aca="false">O2193</f>
        <v>Tenaga Kerja Bongkar Muat (TKBM)</v>
      </c>
      <c r="Z2193" s="13" t="str">
        <f aca="false">IFERROR(__xludf.dummyfunction("if(BJ2193="""","""",GOOGLETRANSLATE(BJ2193,""auto"",""en""))"),"Loading and Unloading Workers (TKBM)")</f>
        <v>Loading and Unloading Workers (TKBM)</v>
      </c>
      <c r="AA2193" s="23" t="str">
        <f aca="false">IF(C2193="","", CHOOSE(MONTH(C2193),"January","February","March","April","May","June","July","August","September","October","November","December")&amp;" "&amp;DAY(C2193)&amp;MID("thstndrdth",MIN(9,2*RIGHT(DAY(C2193))*(MOD(DAY(C2193)-11,100)&gt;2)+1),2)&amp;","&amp;TEXT(C2193," yyyy"))</f>
        <v>May 5th,2025</v>
      </c>
      <c r="AB2193" s="15" t="str">
        <f aca="true">IF(S2193="","",DATEDIF(S2193,TODAY(),"Y")&amp;" Tahun, "&amp;DATEDIF(S2193,TODAY(),"YM")&amp;" Bulan, "&amp;DATEDIF(S2193,TODAY(),"MD")&amp;" Hari")</f>
        <v>32 Tahun, 3 Bulan, 10 Hari</v>
      </c>
      <c r="AC2193" s="18" t="n">
        <v>45809</v>
      </c>
      <c r="AD2193" s="18" t="n">
        <v>46173</v>
      </c>
      <c r="AE2193" s="18" t="s">
        <v>44</v>
      </c>
    </row>
    <row r="2194" customFormat="false" ht="15" hidden="false" customHeight="true" outlineLevel="0" collapsed="false">
      <c r="A2194" s="12" t="n">
        <v>19547</v>
      </c>
      <c r="B2194" s="13" t="s">
        <v>9422</v>
      </c>
      <c r="C2194" s="16" t="n">
        <v>45782</v>
      </c>
      <c r="D2194" s="13" t="s">
        <v>9387</v>
      </c>
      <c r="E2194" s="15" t="s">
        <v>47</v>
      </c>
      <c r="F2194" s="15" t="str">
        <f aca="false">IFERROR(__xludf.dummyfunction("XLOOKUP(AJ2194,IMPORTRANGE(""1XaInW9DU9nz21V0tYIfzFQ0He9kVQ_JF2mCXgZ3hqFA"",""REKAP ALL 2026 - Andika!G:G""),IMPORTRANGE(""1XaInW9DU9nz21V0tYIfzFQ0He9kVQ_JF2mCXgZ3hqFA"",""REKAP ALL 2026 - Andika!F:F""),"""",0)"),"25062534620")</f>
        <v>25062534620</v>
      </c>
      <c r="G2194" s="13" t="s">
        <v>57</v>
      </c>
      <c r="H2194" s="13" t="s">
        <v>35</v>
      </c>
      <c r="I2194" s="13" t="str">
        <f aca="false">IF(C2194=J2194,"NEW KONTRAK","RE-KONTRAK")</f>
        <v>RE-KONTRAK</v>
      </c>
      <c r="J2194" s="16" t="n">
        <f aca="false" t="array" ref="J2194:J2194">IFERROR(INDEX(AC2194:AE2194,IF(COUNTA(AC2194:AE2194)=0,"",MAX((AC2194:AE2194&lt;&gt;"")*(COLUMN(AC2194:AE2194)-(COLUMN(AC2194)))))-1),"")</f>
        <v>45809</v>
      </c>
      <c r="K2194" s="16" t="n">
        <f aca="false" t="array" ref="K2194:K2194">IFERROR(INDEX(AC2194:AE2194,IF(COUNTA(AC2194:AE2194)=0,"",MAX((AC2194:AE2194&lt;&gt;"")*(COLUMN(AC2194:AE2194)-(COLUMN(AC2194)-1))))-1),"")</f>
        <v>46173</v>
      </c>
      <c r="L2194" s="17" t="str">
        <f aca="false" t="array" ref="L2194:L2194">IFERROR(INDEX(AC2194:AE2194,IF(COUNTA(AC2194:AE2194)=0,"",MAX((AC2194:AE2194&lt;&gt;"")*(COLUMN(AC2194:AE2194)-(COLUMN(AC2194)-2))))-1),"")</f>
        <v>ARCHIVED</v>
      </c>
      <c r="M2194" s="13" t="n">
        <f aca="true">K2194-TODAY()</f>
        <v>-151</v>
      </c>
      <c r="N2194" s="18" t="s">
        <v>615</v>
      </c>
      <c r="O2194" s="13" t="s">
        <v>9388</v>
      </c>
      <c r="P2194" s="27" t="n">
        <v>5176101</v>
      </c>
      <c r="Q2194" s="20" t="s">
        <v>9423</v>
      </c>
      <c r="R2194" s="13" t="s">
        <v>232</v>
      </c>
      <c r="S2194" s="16" t="n">
        <v>34745</v>
      </c>
      <c r="T2194" s="28" t="s">
        <v>40</v>
      </c>
      <c r="U2194" s="13" t="s">
        <v>9424</v>
      </c>
      <c r="V2194" s="13" t="s">
        <v>42</v>
      </c>
      <c r="W2194" s="13" t="s">
        <v>43</v>
      </c>
      <c r="X2194" s="21" t="n">
        <v>85852485315</v>
      </c>
      <c r="Y2194" s="22" t="str">
        <f aca="false">O2194</f>
        <v>Tenaga Kerja Bongkar Muat (TKBM)</v>
      </c>
      <c r="Z2194" s="13" t="str">
        <f aca="false">IFERROR(__xludf.dummyfunction("if(BJ2194="""","""",GOOGLETRANSLATE(BJ2194,""auto"",""en""))"),"Loading and Unloading Workers (TKBM)")</f>
        <v>Loading and Unloading Workers (TKBM)</v>
      </c>
      <c r="AA2194" s="23" t="str">
        <f aca="false">IF(C2194="","", CHOOSE(MONTH(C2194),"January","February","March","April","May","June","July","August","September","October","November","December")&amp;" "&amp;DAY(C2194)&amp;MID("thstndrdth",MIN(9,2*RIGHT(DAY(C2194))*(MOD(DAY(C2194)-11,100)&gt;2)+1),2)&amp;","&amp;TEXT(C2194," yyyy"))</f>
        <v>May 5th,2025</v>
      </c>
      <c r="AB2194" s="15" t="str">
        <f aca="true">IF(S2194="","",DATEDIF(S2194,TODAY(),"Y")&amp;" Tahun, "&amp;DATEDIF(S2194,TODAY(),"YM")&amp;" Bulan, "&amp;DATEDIF(S2194,TODAY(),"MD")&amp;" Hari")</f>
        <v>31 Tahun, 8 Bulan, 14 Hari</v>
      </c>
      <c r="AC2194" s="18" t="n">
        <v>45809</v>
      </c>
      <c r="AD2194" s="18" t="n">
        <v>46173</v>
      </c>
      <c r="AE2194" s="18" t="s">
        <v>44</v>
      </c>
    </row>
    <row r="2195" customFormat="false" ht="15" hidden="false" customHeight="true" outlineLevel="0" collapsed="false">
      <c r="A2195" s="12" t="n">
        <v>19548</v>
      </c>
      <c r="B2195" s="13" t="s">
        <v>9425</v>
      </c>
      <c r="C2195" s="16" t="n">
        <v>45782</v>
      </c>
      <c r="D2195" s="13" t="s">
        <v>9387</v>
      </c>
      <c r="E2195" s="15" t="s">
        <v>47</v>
      </c>
      <c r="F2195" s="15" t="str">
        <f aca="false">IFERROR(__xludf.dummyfunction("XLOOKUP(AJ2195,IMPORTRANGE(""1XaInW9DU9nz21V0tYIfzFQ0He9kVQ_JF2mCXgZ3hqFA"",""REKAP ALL 2026 - Andika!G:G""),IMPORTRANGE(""1XaInW9DU9nz21V0tYIfzFQ0He9kVQ_JF2mCXgZ3hqFA"",""REKAP ALL 2026 - Andika!F:F""),"""",0)"),"25062534638")</f>
        <v>25062534638</v>
      </c>
      <c r="G2195" s="13" t="s">
        <v>57</v>
      </c>
      <c r="H2195" s="13" t="s">
        <v>35</v>
      </c>
      <c r="I2195" s="13" t="str">
        <f aca="false">IF(C2195=J2195,"NEW KONTRAK","RE-KONTRAK")</f>
        <v>RE-KONTRAK</v>
      </c>
      <c r="J2195" s="16" t="n">
        <f aca="false" t="array" ref="J2195:J2195">IFERROR(INDEX(AC2195:AE2195,IF(COUNTA(AC2195:AE2195)=0,"",MAX((AC2195:AE2195&lt;&gt;"")*(COLUMN(AC2195:AE2195)-(COLUMN(AC2195)))))-1),"")</f>
        <v>45809</v>
      </c>
      <c r="K2195" s="16" t="n">
        <f aca="false" t="array" ref="K2195:K2195">IFERROR(INDEX(AC2195:AE2195,IF(COUNTA(AC2195:AE2195)=0,"",MAX((AC2195:AE2195&lt;&gt;"")*(COLUMN(AC2195:AE2195)-(COLUMN(AC2195)-1))))-1),"")</f>
        <v>46173</v>
      </c>
      <c r="L2195" s="17" t="str">
        <f aca="false" t="array" ref="L2195:L2195">IFERROR(INDEX(AC2195:AE2195,IF(COUNTA(AC2195:AE2195)=0,"",MAX((AC2195:AE2195&lt;&gt;"")*(COLUMN(AC2195:AE2195)-(COLUMN(AC2195)-2))))-1),"")</f>
        <v>ARCHIVED</v>
      </c>
      <c r="M2195" s="13" t="n">
        <f aca="true">K2195-TODAY()</f>
        <v>-151</v>
      </c>
      <c r="N2195" s="18" t="s">
        <v>615</v>
      </c>
      <c r="O2195" s="13" t="s">
        <v>9388</v>
      </c>
      <c r="P2195" s="27" t="n">
        <v>5176101</v>
      </c>
      <c r="Q2195" s="20" t="s">
        <v>9426</v>
      </c>
      <c r="R2195" s="13" t="s">
        <v>232</v>
      </c>
      <c r="S2195" s="16" t="n">
        <v>34227</v>
      </c>
      <c r="T2195" s="28" t="s">
        <v>40</v>
      </c>
      <c r="U2195" s="13" t="s">
        <v>9427</v>
      </c>
      <c r="V2195" s="13" t="s">
        <v>42</v>
      </c>
      <c r="W2195" s="13" t="s">
        <v>43</v>
      </c>
      <c r="X2195" s="21" t="n">
        <v>85859489007</v>
      </c>
      <c r="Y2195" s="22" t="str">
        <f aca="false">O2195</f>
        <v>Tenaga Kerja Bongkar Muat (TKBM)</v>
      </c>
      <c r="Z2195" s="13" t="str">
        <f aca="false">IFERROR(__xludf.dummyfunction("if(BJ2195="""","""",GOOGLETRANSLATE(BJ2195,""auto"",""en""))"),"Loading and Unloading Workers (TKBM)")</f>
        <v>Loading and Unloading Workers (TKBM)</v>
      </c>
      <c r="AA2195" s="23" t="str">
        <f aca="false">IF(C2195="","", CHOOSE(MONTH(C2195),"January","February","March","April","May","June","July","August","September","October","November","December")&amp;" "&amp;DAY(C2195)&amp;MID("thstndrdth",MIN(9,2*RIGHT(DAY(C2195))*(MOD(DAY(C2195)-11,100)&gt;2)+1),2)&amp;","&amp;TEXT(C2195," yyyy"))</f>
        <v>May 5th,2025</v>
      </c>
      <c r="AB2195" s="15" t="str">
        <f aca="true">IF(S2195="","",DATEDIF(S2195,TODAY(),"Y")&amp;" Tahun, "&amp;DATEDIF(S2195,TODAY(),"YM")&amp;" Bulan, "&amp;DATEDIF(S2195,TODAY(),"MD")&amp;" Hari")</f>
        <v>33 Tahun, 1 Bulan, 14 Hari</v>
      </c>
      <c r="AC2195" s="18" t="n">
        <v>45809</v>
      </c>
      <c r="AD2195" s="18" t="n">
        <v>46173</v>
      </c>
      <c r="AE2195" s="18" t="s">
        <v>44</v>
      </c>
    </row>
    <row r="2196" customFormat="false" ht="15" hidden="false" customHeight="true" outlineLevel="0" collapsed="false">
      <c r="A2196" s="12" t="n">
        <v>19549</v>
      </c>
      <c r="B2196" s="13" t="s">
        <v>9428</v>
      </c>
      <c r="C2196" s="16" t="n">
        <v>45782</v>
      </c>
      <c r="D2196" s="13" t="s">
        <v>9387</v>
      </c>
      <c r="E2196" s="15" t="s">
        <v>47</v>
      </c>
      <c r="F2196" s="15" t="str">
        <f aca="false">IFERROR(__xludf.dummyfunction("XLOOKUP(AJ2196,IMPORTRANGE(""1XaInW9DU9nz21V0tYIfzFQ0He9kVQ_JF2mCXgZ3hqFA"",""REKAP ALL 2026 - Andika!G:G""),IMPORTRANGE(""1XaInW9DU9nz21V0tYIfzFQ0He9kVQ_JF2mCXgZ3hqFA"",""REKAP ALL 2026 - Andika!F:F""),"""",0)"),"25062534646")</f>
        <v>25062534646</v>
      </c>
      <c r="G2196" s="13" t="s">
        <v>57</v>
      </c>
      <c r="H2196" s="13" t="s">
        <v>35</v>
      </c>
      <c r="I2196" s="13" t="str">
        <f aca="false">IF(C2196=J2196,"NEW KONTRAK","RE-KONTRAK")</f>
        <v>RE-KONTRAK</v>
      </c>
      <c r="J2196" s="16" t="n">
        <f aca="false" t="array" ref="J2196:J2196">IFERROR(INDEX(AC2196:AE2196,IF(COUNTA(AC2196:AE2196)=0,"",MAX((AC2196:AE2196&lt;&gt;"")*(COLUMN(AC2196:AE2196)-(COLUMN(AC2196)))))-1),"")</f>
        <v>45809</v>
      </c>
      <c r="K2196" s="16" t="n">
        <f aca="false" t="array" ref="K2196:K2196">IFERROR(INDEX(AC2196:AE2196,IF(COUNTA(AC2196:AE2196)=0,"",MAX((AC2196:AE2196&lt;&gt;"")*(COLUMN(AC2196:AE2196)-(COLUMN(AC2196)-1))))-1),"")</f>
        <v>46173</v>
      </c>
      <c r="L2196" s="17" t="str">
        <f aca="false" t="array" ref="L2196:L2196">IFERROR(INDEX(AC2196:AE2196,IF(COUNTA(AC2196:AE2196)=0,"",MAX((AC2196:AE2196&lt;&gt;"")*(COLUMN(AC2196:AE2196)-(COLUMN(AC2196)-2))))-1),"")</f>
        <v>ARCHIVED</v>
      </c>
      <c r="M2196" s="13" t="n">
        <f aca="true">K2196-TODAY()</f>
        <v>-151</v>
      </c>
      <c r="N2196" s="18" t="s">
        <v>615</v>
      </c>
      <c r="O2196" s="13" t="s">
        <v>9388</v>
      </c>
      <c r="P2196" s="27" t="n">
        <v>5176101</v>
      </c>
      <c r="Q2196" s="20" t="s">
        <v>9429</v>
      </c>
      <c r="R2196" s="13" t="s">
        <v>232</v>
      </c>
      <c r="S2196" s="16" t="n">
        <v>33618</v>
      </c>
      <c r="T2196" s="28" t="s">
        <v>40</v>
      </c>
      <c r="U2196" s="13" t="s">
        <v>9418</v>
      </c>
      <c r="V2196" s="13" t="s">
        <v>42</v>
      </c>
      <c r="W2196" s="13" t="s">
        <v>897</v>
      </c>
      <c r="X2196" s="21" t="n">
        <v>85812340321</v>
      </c>
      <c r="Y2196" s="22" t="str">
        <f aca="false">O2196</f>
        <v>Tenaga Kerja Bongkar Muat (TKBM)</v>
      </c>
      <c r="Z2196" s="13" t="str">
        <f aca="false">IFERROR(__xludf.dummyfunction("if(BJ2196="""","""",GOOGLETRANSLATE(BJ2196,""auto"",""en""))"),"Loading and Unloading Workers (TKBM)")</f>
        <v>Loading and Unloading Workers (TKBM)</v>
      </c>
      <c r="AA2196" s="23" t="str">
        <f aca="false">IF(C2196="","", CHOOSE(MONTH(C2196),"January","February","March","April","May","June","July","August","September","October","November","December")&amp;" "&amp;DAY(C2196)&amp;MID("thstndrdth",MIN(9,2*RIGHT(DAY(C2196))*(MOD(DAY(C2196)-11,100)&gt;2)+1),2)&amp;","&amp;TEXT(C2196," yyyy"))</f>
        <v>May 5th,2025</v>
      </c>
      <c r="AB2196" s="15" t="str">
        <f aca="true">IF(S2196="","",DATEDIF(S2196,TODAY(),"Y")&amp;" Tahun, "&amp;DATEDIF(S2196,TODAY(),"YM")&amp;" Bulan, "&amp;DATEDIF(S2196,TODAY(),"MD")&amp;" Hari")</f>
        <v>34 Tahun, 9 Bulan, 14 Hari</v>
      </c>
      <c r="AC2196" s="18" t="n">
        <v>45809</v>
      </c>
      <c r="AD2196" s="18" t="n">
        <v>46173</v>
      </c>
      <c r="AE2196" s="18" t="s">
        <v>44</v>
      </c>
    </row>
    <row r="2197" customFormat="false" ht="15" hidden="false" customHeight="true" outlineLevel="0" collapsed="false">
      <c r="A2197" s="12" t="n">
        <v>19550</v>
      </c>
      <c r="B2197" s="13" t="s">
        <v>9430</v>
      </c>
      <c r="C2197" s="16" t="n">
        <v>45782</v>
      </c>
      <c r="D2197" s="13" t="s">
        <v>9387</v>
      </c>
      <c r="E2197" s="15" t="s">
        <v>47</v>
      </c>
      <c r="F2197" s="15" t="str">
        <f aca="false">IFERROR(__xludf.dummyfunction("XLOOKUP(AJ2197,IMPORTRANGE(""1XaInW9DU9nz21V0tYIfzFQ0He9kVQ_JF2mCXgZ3hqFA"",""REKAP ALL 2026 - Andika!G:G""),IMPORTRANGE(""1XaInW9DU9nz21V0tYIfzFQ0He9kVQ_JF2mCXgZ3hqFA"",""REKAP ALL 2026 - Andika!F:F""),"""",0)"),"25062534653")</f>
        <v>25062534653</v>
      </c>
      <c r="G2197" s="13" t="s">
        <v>57</v>
      </c>
      <c r="H2197" s="13" t="s">
        <v>35</v>
      </c>
      <c r="I2197" s="13" t="str">
        <f aca="false">IF(C2197=J2197,"NEW KONTRAK","RE-KONTRAK")</f>
        <v>RE-KONTRAK</v>
      </c>
      <c r="J2197" s="16" t="n">
        <f aca="false" t="array" ref="J2197:J2197">IFERROR(INDEX(AC2197:AE2197,IF(COUNTA(AC2197:AE2197)=0,"",MAX((AC2197:AE2197&lt;&gt;"")*(COLUMN(AC2197:AE2197)-(COLUMN(AC2197)))))-1),"")</f>
        <v>45809</v>
      </c>
      <c r="K2197" s="16" t="n">
        <f aca="false" t="array" ref="K2197:K2197">IFERROR(INDEX(AC2197:AE2197,IF(COUNTA(AC2197:AE2197)=0,"",MAX((AC2197:AE2197&lt;&gt;"")*(COLUMN(AC2197:AE2197)-(COLUMN(AC2197)-1))))-1),"")</f>
        <v>46173</v>
      </c>
      <c r="L2197" s="17" t="str">
        <f aca="false" t="array" ref="L2197:L2197">IFERROR(INDEX(AC2197:AE2197,IF(COUNTA(AC2197:AE2197)=0,"",MAX((AC2197:AE2197&lt;&gt;"")*(COLUMN(AC2197:AE2197)-(COLUMN(AC2197)-2))))-1),"")</f>
        <v>ARCHIVED</v>
      </c>
      <c r="M2197" s="13" t="n">
        <f aca="true">K2197-TODAY()</f>
        <v>-151</v>
      </c>
      <c r="N2197" s="18" t="s">
        <v>615</v>
      </c>
      <c r="O2197" s="13" t="s">
        <v>9388</v>
      </c>
      <c r="P2197" s="27" t="n">
        <v>5176101</v>
      </c>
      <c r="Q2197" s="20" t="s">
        <v>9431</v>
      </c>
      <c r="R2197" s="13" t="s">
        <v>232</v>
      </c>
      <c r="S2197" s="16" t="n">
        <v>33562</v>
      </c>
      <c r="T2197" s="28" t="s">
        <v>40</v>
      </c>
      <c r="U2197" s="13" t="s">
        <v>9404</v>
      </c>
      <c r="V2197" s="13" t="s">
        <v>42</v>
      </c>
      <c r="W2197" s="13" t="s">
        <v>43</v>
      </c>
      <c r="X2197" s="21" t="n">
        <v>85607258179</v>
      </c>
      <c r="Y2197" s="22" t="str">
        <f aca="false">O2197</f>
        <v>Tenaga Kerja Bongkar Muat (TKBM)</v>
      </c>
      <c r="Z2197" s="13" t="str">
        <f aca="false">IFERROR(__xludf.dummyfunction("if(BJ2197="""","""",GOOGLETRANSLATE(BJ2197,""auto"",""en""))"),"Loading and Unloading Workers (TKBM)")</f>
        <v>Loading and Unloading Workers (TKBM)</v>
      </c>
      <c r="AA2197" s="23" t="str">
        <f aca="false">IF(C2197="","", CHOOSE(MONTH(C2197),"January","February","March","April","May","June","July","August","September","October","November","December")&amp;" "&amp;DAY(C2197)&amp;MID("thstndrdth",MIN(9,2*RIGHT(DAY(C2197))*(MOD(DAY(C2197)-11,100)&gt;2)+1),2)&amp;","&amp;TEXT(C2197," yyyy"))</f>
        <v>May 5th,2025</v>
      </c>
      <c r="AB2197" s="15" t="str">
        <f aca="true">IF(S2197="","",DATEDIF(S2197,TODAY(),"Y")&amp;" Tahun, "&amp;DATEDIF(S2197,TODAY(),"YM")&amp;" Bulan, "&amp;DATEDIF(S2197,TODAY(),"MD")&amp;" Hari")</f>
        <v>34 Tahun, 11 Bulan, 9 Hari</v>
      </c>
      <c r="AC2197" s="18" t="n">
        <v>45809</v>
      </c>
      <c r="AD2197" s="18" t="n">
        <v>46173</v>
      </c>
      <c r="AE2197" s="18" t="s">
        <v>44</v>
      </c>
    </row>
    <row r="2198" customFormat="false" ht="15" hidden="false" customHeight="true" outlineLevel="0" collapsed="false">
      <c r="A2198" s="12" t="n">
        <v>19552</v>
      </c>
      <c r="B2198" s="13" t="s">
        <v>9432</v>
      </c>
      <c r="C2198" s="16" t="n">
        <v>45782</v>
      </c>
      <c r="D2198" s="13" t="s">
        <v>9387</v>
      </c>
      <c r="E2198" s="15" t="s">
        <v>47</v>
      </c>
      <c r="F2198" s="15" t="str">
        <f aca="false">IFERROR(__xludf.dummyfunction("XLOOKUP(AJ2198,IMPORTRANGE(""1XaInW9DU9nz21V0tYIfzFQ0He9kVQ_JF2mCXgZ3hqFA"",""REKAP ALL 2026 - Andika!G:G""),IMPORTRANGE(""1XaInW9DU9nz21V0tYIfzFQ0He9kVQ_JF2mCXgZ3hqFA"",""REKAP ALL 2026 - Andika!F:F""),"""",0)"),"25062534679")</f>
        <v>25062534679</v>
      </c>
      <c r="G2198" s="13" t="s">
        <v>57</v>
      </c>
      <c r="H2198" s="13" t="s">
        <v>35</v>
      </c>
      <c r="I2198" s="13" t="str">
        <f aca="false">IF(C2198=J2198,"NEW KONTRAK","RE-KONTRAK")</f>
        <v>RE-KONTRAK</v>
      </c>
      <c r="J2198" s="16" t="n">
        <f aca="false" t="array" ref="J2198:J2198">IFERROR(INDEX(AC2198:AE2198,IF(COUNTA(AC2198:AE2198)=0,"",MAX((AC2198:AE2198&lt;&gt;"")*(COLUMN(AC2198:AE2198)-(COLUMN(AC2198)))))-1),"")</f>
        <v>45809</v>
      </c>
      <c r="K2198" s="16" t="n">
        <f aca="false" t="array" ref="K2198:K2198">IFERROR(INDEX(AC2198:AE2198,IF(COUNTA(AC2198:AE2198)=0,"",MAX((AC2198:AE2198&lt;&gt;"")*(COLUMN(AC2198:AE2198)-(COLUMN(AC2198)-1))))-1),"")</f>
        <v>46173</v>
      </c>
      <c r="L2198" s="17" t="str">
        <f aca="false" t="array" ref="L2198:L2198">IFERROR(INDEX(AC2198:AE2198,IF(COUNTA(AC2198:AE2198)=0,"",MAX((AC2198:AE2198&lt;&gt;"")*(COLUMN(AC2198:AE2198)-(COLUMN(AC2198)-2))))-1),"")</f>
        <v>ARCHIVED</v>
      </c>
      <c r="M2198" s="13" t="n">
        <f aca="true">K2198-TODAY()</f>
        <v>-151</v>
      </c>
      <c r="N2198" s="18" t="s">
        <v>615</v>
      </c>
      <c r="O2198" s="13" t="s">
        <v>9388</v>
      </c>
      <c r="P2198" s="27" t="n">
        <v>5176101</v>
      </c>
      <c r="Q2198" s="20" t="s">
        <v>9433</v>
      </c>
      <c r="R2198" s="13" t="s">
        <v>232</v>
      </c>
      <c r="S2198" s="16" t="n">
        <v>30404</v>
      </c>
      <c r="T2198" s="28" t="s">
        <v>40</v>
      </c>
      <c r="U2198" s="13" t="s">
        <v>9434</v>
      </c>
      <c r="V2198" s="13" t="s">
        <v>42</v>
      </c>
      <c r="W2198" s="13" t="s">
        <v>54</v>
      </c>
      <c r="X2198" s="21" t="n">
        <v>81554324907</v>
      </c>
      <c r="Y2198" s="22" t="str">
        <f aca="false">O2198</f>
        <v>Tenaga Kerja Bongkar Muat (TKBM)</v>
      </c>
      <c r="Z2198" s="13" t="str">
        <f aca="false">IFERROR(__xludf.dummyfunction("if(BJ2198="""","""",GOOGLETRANSLATE(BJ2198,""auto"",""en""))"),"Loading and Unloading Workers (TKBM)")</f>
        <v>Loading and Unloading Workers (TKBM)</v>
      </c>
      <c r="AA2198" s="23" t="str">
        <f aca="false">IF(C2198="","", CHOOSE(MONTH(C2198),"January","February","March","April","May","June","July","August","September","October","November","December")&amp;" "&amp;DAY(C2198)&amp;MID("thstndrdth",MIN(9,2*RIGHT(DAY(C2198))*(MOD(DAY(C2198)-11,100)&gt;2)+1),2)&amp;","&amp;TEXT(C2198," yyyy"))</f>
        <v>May 5th,2025</v>
      </c>
      <c r="AB2198" s="15" t="str">
        <f aca="true">IF(S2198="","",DATEDIF(S2198,TODAY(),"Y")&amp;" Tahun, "&amp;DATEDIF(S2198,TODAY(),"YM")&amp;" Bulan, "&amp;DATEDIF(S2198,TODAY(),"MD")&amp;" Hari")</f>
        <v>43 Tahun, 7 Bulan, 0 Hari</v>
      </c>
      <c r="AC2198" s="18" t="n">
        <v>45809</v>
      </c>
      <c r="AD2198" s="18" t="n">
        <v>46173</v>
      </c>
      <c r="AE2198" s="18" t="s">
        <v>44</v>
      </c>
    </row>
    <row r="2199" customFormat="false" ht="15" hidden="false" customHeight="true" outlineLevel="0" collapsed="false">
      <c r="A2199" s="12" t="n">
        <v>19551</v>
      </c>
      <c r="B2199" s="13" t="s">
        <v>9435</v>
      </c>
      <c r="C2199" s="16" t="n">
        <v>45782</v>
      </c>
      <c r="D2199" s="13" t="s">
        <v>9387</v>
      </c>
      <c r="E2199" s="15" t="s">
        <v>536</v>
      </c>
      <c r="F2199" s="24" t="s">
        <v>9436</v>
      </c>
      <c r="G2199" s="13" t="s">
        <v>57</v>
      </c>
      <c r="H2199" s="13" t="s">
        <v>35</v>
      </c>
      <c r="I2199" s="13" t="str">
        <f aca="false">IF(C2199=J2199,"NEW KONTRAK","RE-KONTRAK")</f>
        <v>RE-KONTRAK</v>
      </c>
      <c r="J2199" s="16" t="n">
        <f aca="false" t="array" ref="J2199:J2199">IFERROR(INDEX(AC2199:AE2199,IF(COUNTA(AC2199:AE2199)=0,"",MAX((AC2199:AE2199&lt;&gt;"")*(COLUMN(AC2199:AE2199)-(COLUMN(AC2199)))))-1),"")</f>
        <v>45809</v>
      </c>
      <c r="K2199" s="16" t="n">
        <f aca="false" t="array" ref="K2199:K2199">IFERROR(INDEX(AC2199:AE2199,IF(COUNTA(AC2199:AE2199)=0,"",MAX((AC2199:AE2199&lt;&gt;"")*(COLUMN(AC2199:AE2199)-(COLUMN(AC2199)-1))))-1),"")</f>
        <v>46173</v>
      </c>
      <c r="L2199" s="17" t="str">
        <f aca="false" t="array" ref="L2199:L2199">IFERROR(INDEX(AC2199:AE2199,IF(COUNTA(AC2199:AE2199)=0,"",MAX((AC2199:AE2199&lt;&gt;"")*(COLUMN(AC2199:AE2199)-(COLUMN(AC2199)-2))))-1),"")</f>
        <v>ARCHIVED</v>
      </c>
      <c r="M2199" s="13" t="n">
        <f aca="true">K2199-TODAY()</f>
        <v>-151</v>
      </c>
      <c r="N2199" s="18" t="s">
        <v>615</v>
      </c>
      <c r="O2199" s="13" t="s">
        <v>9388</v>
      </c>
      <c r="P2199" s="27" t="n">
        <v>5176101</v>
      </c>
      <c r="Q2199" s="20" t="s">
        <v>9437</v>
      </c>
      <c r="R2199" s="13" t="s">
        <v>232</v>
      </c>
      <c r="S2199" s="16" t="n">
        <v>30930</v>
      </c>
      <c r="T2199" s="28" t="s">
        <v>40</v>
      </c>
      <c r="U2199" s="13" t="s">
        <v>9438</v>
      </c>
      <c r="V2199" s="13" t="s">
        <v>42</v>
      </c>
      <c r="W2199" s="13" t="s">
        <v>54</v>
      </c>
      <c r="X2199" s="21" t="n">
        <v>85733646768</v>
      </c>
      <c r="Y2199" s="22" t="str">
        <f aca="false">O2199</f>
        <v>Tenaga Kerja Bongkar Muat (TKBM)</v>
      </c>
      <c r="Z2199" s="13" t="str">
        <f aca="false">IFERROR(__xludf.dummyfunction("if(BJ2199="""","""",GOOGLETRANSLATE(BJ2199,""auto"",""en""))"),"Loading and Unloading Workers (TKBM)")</f>
        <v>Loading and Unloading Workers (TKBM)</v>
      </c>
      <c r="AA2199" s="23" t="str">
        <f aca="false">IF(C2199="","", CHOOSE(MONTH(C2199),"January","February","March","April","May","June","July","August","September","October","November","December")&amp;" "&amp;DAY(C2199)&amp;MID("thstndrdth",MIN(9,2*RIGHT(DAY(C2199))*(MOD(DAY(C2199)-11,100)&gt;2)+1),2)&amp;","&amp;TEXT(C2199," yyyy"))</f>
        <v>May 5th,2025</v>
      </c>
      <c r="AB2199" s="15" t="str">
        <f aca="true">IF(S2199="","",DATEDIF(S2199,TODAY(),"Y")&amp;" Tahun, "&amp;DATEDIF(S2199,TODAY(),"YM")&amp;" Bulan, "&amp;DATEDIF(S2199,TODAY(),"MD")&amp;" Hari")</f>
        <v>42 Tahun, 1 Bulan, 24 Hari</v>
      </c>
      <c r="AC2199" s="18" t="n">
        <v>45809</v>
      </c>
      <c r="AD2199" s="18" t="n">
        <v>46173</v>
      </c>
      <c r="AE2199" s="18" t="s">
        <v>44</v>
      </c>
    </row>
    <row r="2200" customFormat="false" ht="15" hidden="false" customHeight="true" outlineLevel="0" collapsed="false">
      <c r="A2200" s="12" t="n">
        <v>19554</v>
      </c>
      <c r="B2200" s="13" t="s">
        <v>9439</v>
      </c>
      <c r="C2200" s="16" t="n">
        <v>45782</v>
      </c>
      <c r="D2200" s="13" t="s">
        <v>9387</v>
      </c>
      <c r="E2200" s="15" t="s">
        <v>47</v>
      </c>
      <c r="F2200" s="15" t="str">
        <f aca="false">IFERROR(__xludf.dummyfunction("XLOOKUP(AJ2200,IMPORTRANGE(""1XaInW9DU9nz21V0tYIfzFQ0He9kVQ_JF2mCXgZ3hqFA"",""REKAP ALL 2026 - Andika!G:G""),IMPORTRANGE(""1XaInW9DU9nz21V0tYIfzFQ0He9kVQ_JF2mCXgZ3hqFA"",""REKAP ALL 2026 - Andika!F:F""),"""",0)"),"25062534695")</f>
        <v>25062534695</v>
      </c>
      <c r="G2200" s="13" t="s">
        <v>57</v>
      </c>
      <c r="H2200" s="13" t="s">
        <v>35</v>
      </c>
      <c r="I2200" s="13" t="str">
        <f aca="false">IF(C2200=J2200,"NEW KONTRAK","RE-KONTRAK")</f>
        <v>RE-KONTRAK</v>
      </c>
      <c r="J2200" s="16" t="n">
        <f aca="false" t="array" ref="J2200:J2200">IFERROR(INDEX(AC2200:AE2200,IF(COUNTA(AC2200:AE2200)=0,"",MAX((AC2200:AE2200&lt;&gt;"")*(COLUMN(AC2200:AE2200)-(COLUMN(AC2200)))))-1),"")</f>
        <v>45809</v>
      </c>
      <c r="K2200" s="16" t="n">
        <f aca="false" t="array" ref="K2200:K2200">IFERROR(INDEX(AC2200:AE2200,IF(COUNTA(AC2200:AE2200)=0,"",MAX((AC2200:AE2200&lt;&gt;"")*(COLUMN(AC2200:AE2200)-(COLUMN(AC2200)-1))))-1),"")</f>
        <v>46173</v>
      </c>
      <c r="L2200" s="17" t="str">
        <f aca="false" t="array" ref="L2200:L2200">IFERROR(INDEX(AC2200:AE2200,IF(COUNTA(AC2200:AE2200)=0,"",MAX((AC2200:AE2200&lt;&gt;"")*(COLUMN(AC2200:AE2200)-(COLUMN(AC2200)-2))))-1),"")</f>
        <v>ARCHIVED</v>
      </c>
      <c r="M2200" s="13" t="n">
        <f aca="true">K2200-TODAY()</f>
        <v>-151</v>
      </c>
      <c r="N2200" s="18" t="s">
        <v>615</v>
      </c>
      <c r="O2200" s="13" t="s">
        <v>9388</v>
      </c>
      <c r="P2200" s="27" t="n">
        <v>5176101</v>
      </c>
      <c r="Q2200" s="20" t="s">
        <v>9440</v>
      </c>
      <c r="R2200" s="13" t="s">
        <v>232</v>
      </c>
      <c r="S2200" s="16" t="n">
        <v>29404</v>
      </c>
      <c r="T2200" s="28" t="s">
        <v>40</v>
      </c>
      <c r="U2200" s="13" t="s">
        <v>9441</v>
      </c>
      <c r="V2200" s="13" t="s">
        <v>42</v>
      </c>
      <c r="W2200" s="13" t="s">
        <v>54</v>
      </c>
      <c r="X2200" s="21" t="n">
        <v>85708960081</v>
      </c>
      <c r="Y2200" s="22" t="str">
        <f aca="false">O2200</f>
        <v>Tenaga Kerja Bongkar Muat (TKBM)</v>
      </c>
      <c r="Z2200" s="13" t="str">
        <f aca="false">IFERROR(__xludf.dummyfunction("if(BJ2200="""","""",GOOGLETRANSLATE(BJ2200,""auto"",""en""))"),"Loading and Unloading Workers (TKBM)")</f>
        <v>Loading and Unloading Workers (TKBM)</v>
      </c>
      <c r="AA2200" s="23" t="str">
        <f aca="false">IF(C2200="","", CHOOSE(MONTH(C2200),"January","February","March","April","May","June","July","August","September","October","November","December")&amp;" "&amp;DAY(C2200)&amp;MID("thstndrdth",MIN(9,2*RIGHT(DAY(C2200))*(MOD(DAY(C2200)-11,100)&gt;2)+1),2)&amp;","&amp;TEXT(C2200," yyyy"))</f>
        <v>May 5th,2025</v>
      </c>
      <c r="AB2200" s="15" t="str">
        <f aca="true">IF(S2200="","",DATEDIF(S2200,TODAY(),"Y")&amp;" Tahun, "&amp;DATEDIF(S2200,TODAY(),"YM")&amp;" Bulan, "&amp;DATEDIF(S2200,TODAY(),"MD")&amp;" Hari")</f>
        <v>46 Tahun, 3 Bulan, 27 Hari</v>
      </c>
      <c r="AC2200" s="18" t="n">
        <v>45809</v>
      </c>
      <c r="AD2200" s="18" t="n">
        <v>46173</v>
      </c>
      <c r="AE2200" s="18" t="s">
        <v>44</v>
      </c>
    </row>
    <row r="2201" customFormat="false" ht="15" hidden="false" customHeight="true" outlineLevel="0" collapsed="false">
      <c r="A2201" s="12" t="n">
        <v>19555</v>
      </c>
      <c r="B2201" s="13" t="s">
        <v>9442</v>
      </c>
      <c r="C2201" s="16" t="n">
        <v>45782</v>
      </c>
      <c r="D2201" s="13" t="s">
        <v>9387</v>
      </c>
      <c r="E2201" s="15" t="s">
        <v>47</v>
      </c>
      <c r="F2201" s="15" t="str">
        <f aca="false">IFERROR(__xludf.dummyfunction("XLOOKUP(AJ2201,IMPORTRANGE(""1XaInW9DU9nz21V0tYIfzFQ0He9kVQ_JF2mCXgZ3hqFA"",""REKAP ALL 2026 - Andika!G:G""),IMPORTRANGE(""1XaInW9DU9nz21V0tYIfzFQ0He9kVQ_JF2mCXgZ3hqFA"",""REKAP ALL 2026 - Andika!F:F""),"""",0)"),"25062534703")</f>
        <v>25062534703</v>
      </c>
      <c r="G2201" s="13" t="s">
        <v>57</v>
      </c>
      <c r="H2201" s="13" t="s">
        <v>35</v>
      </c>
      <c r="I2201" s="13" t="str">
        <f aca="false">IF(C2201=J2201,"NEW KONTRAK","RE-KONTRAK")</f>
        <v>RE-KONTRAK</v>
      </c>
      <c r="J2201" s="16" t="n">
        <f aca="false" t="array" ref="J2201:J2201">IFERROR(INDEX(AC2201:AE2201,IF(COUNTA(AC2201:AE2201)=0,"",MAX((AC2201:AE2201&lt;&gt;"")*(COLUMN(AC2201:AE2201)-(COLUMN(AC2201)))))-1),"")</f>
        <v>45809</v>
      </c>
      <c r="K2201" s="16" t="n">
        <f aca="false" t="array" ref="K2201:K2201">IFERROR(INDEX(AC2201:AE2201,IF(COUNTA(AC2201:AE2201)=0,"",MAX((AC2201:AE2201&lt;&gt;"")*(COLUMN(AC2201:AE2201)-(COLUMN(AC2201)-1))))-1),"")</f>
        <v>46173</v>
      </c>
      <c r="L2201" s="17" t="str">
        <f aca="false" t="array" ref="L2201:L2201">IFERROR(INDEX(AC2201:AE2201,IF(COUNTA(AC2201:AE2201)=0,"",MAX((AC2201:AE2201&lt;&gt;"")*(COLUMN(AC2201:AE2201)-(COLUMN(AC2201)-2))))-1),"")</f>
        <v>ARCHIVED</v>
      </c>
      <c r="M2201" s="13" t="n">
        <f aca="true">K2201-TODAY()</f>
        <v>-151</v>
      </c>
      <c r="N2201" s="18" t="s">
        <v>615</v>
      </c>
      <c r="O2201" s="13" t="s">
        <v>9388</v>
      </c>
      <c r="P2201" s="27" t="n">
        <v>5176101</v>
      </c>
      <c r="Q2201" s="20" t="s">
        <v>9443</v>
      </c>
      <c r="R2201" s="13" t="s">
        <v>232</v>
      </c>
      <c r="S2201" s="16" t="n">
        <v>32582</v>
      </c>
      <c r="T2201" s="28" t="s">
        <v>40</v>
      </c>
      <c r="U2201" s="13" t="s">
        <v>9444</v>
      </c>
      <c r="V2201" s="13" t="s">
        <v>42</v>
      </c>
      <c r="W2201" s="13" t="s">
        <v>54</v>
      </c>
      <c r="X2201" s="21" t="n">
        <v>81515658387</v>
      </c>
      <c r="Y2201" s="22" t="str">
        <f aca="false">O2201</f>
        <v>Tenaga Kerja Bongkar Muat (TKBM)</v>
      </c>
      <c r="Z2201" s="13" t="str">
        <f aca="false">IFERROR(__xludf.dummyfunction("if(BJ2201="""","""",GOOGLETRANSLATE(BJ2201,""auto"",""en""))"),"Loading and Unloading Workers (TKBM)")</f>
        <v>Loading and Unloading Workers (TKBM)</v>
      </c>
      <c r="AA2201" s="23" t="str">
        <f aca="false">IF(C2201="","", CHOOSE(MONTH(C2201),"January","February","March","April","May","June","July","August","September","October","November","December")&amp;" "&amp;DAY(C2201)&amp;MID("thstndrdth",MIN(9,2*RIGHT(DAY(C2201))*(MOD(DAY(C2201)-11,100)&gt;2)+1),2)&amp;","&amp;TEXT(C2201," yyyy"))</f>
        <v>May 5th,2025</v>
      </c>
      <c r="AB2201" s="15" t="str">
        <f aca="true">IF(S2201="","",DATEDIF(S2201,TODAY(),"Y")&amp;" Tahun, "&amp;DATEDIF(S2201,TODAY(),"YM")&amp;" Bulan, "&amp;DATEDIF(S2201,TODAY(),"MD")&amp;" Hari")</f>
        <v>37 Tahun, 7 Bulan, 14 Hari</v>
      </c>
      <c r="AC2201" s="18" t="n">
        <v>45809</v>
      </c>
      <c r="AD2201" s="18" t="n">
        <v>46173</v>
      </c>
      <c r="AE2201" s="18" t="s">
        <v>44</v>
      </c>
    </row>
    <row r="2202" customFormat="false" ht="15" hidden="false" customHeight="true" outlineLevel="0" collapsed="false">
      <c r="A2202" s="12" t="n">
        <v>19556</v>
      </c>
      <c r="B2202" s="13" t="s">
        <v>9445</v>
      </c>
      <c r="C2202" s="16" t="n">
        <v>45782</v>
      </c>
      <c r="D2202" s="13" t="s">
        <v>9387</v>
      </c>
      <c r="E2202" s="15" t="s">
        <v>47</v>
      </c>
      <c r="F2202" s="15" t="str">
        <f aca="false">IFERROR(__xludf.dummyfunction("XLOOKUP(AJ2202,IMPORTRANGE(""1XaInW9DU9nz21V0tYIfzFQ0He9kVQ_JF2mCXgZ3hqFA"",""REKAP ALL 2026 - Andika!G:G""),IMPORTRANGE(""1XaInW9DU9nz21V0tYIfzFQ0He9kVQ_JF2mCXgZ3hqFA"",""REKAP ALL 2026 - Andika!F:F""),"""",0)"),"25062534711")</f>
        <v>25062534711</v>
      </c>
      <c r="G2202" s="13" t="s">
        <v>57</v>
      </c>
      <c r="H2202" s="13" t="s">
        <v>35</v>
      </c>
      <c r="I2202" s="13" t="str">
        <f aca="false">IF(C2202=J2202,"NEW KONTRAK","RE-KONTRAK")</f>
        <v>RE-KONTRAK</v>
      </c>
      <c r="J2202" s="16" t="n">
        <f aca="false" t="array" ref="J2202:J2202">IFERROR(INDEX(AC2202:AE2202,IF(COUNTA(AC2202:AE2202)=0,"",MAX((AC2202:AE2202&lt;&gt;"")*(COLUMN(AC2202:AE2202)-(COLUMN(AC2202)))))-1),"")</f>
        <v>45809</v>
      </c>
      <c r="K2202" s="16" t="n">
        <f aca="false" t="array" ref="K2202:K2202">IFERROR(INDEX(AC2202:AE2202,IF(COUNTA(AC2202:AE2202)=0,"",MAX((AC2202:AE2202&lt;&gt;"")*(COLUMN(AC2202:AE2202)-(COLUMN(AC2202)-1))))-1),"")</f>
        <v>46173</v>
      </c>
      <c r="L2202" s="17" t="str">
        <f aca="false" t="array" ref="L2202:L2202">IFERROR(INDEX(AC2202:AE2202,IF(COUNTA(AC2202:AE2202)=0,"",MAX((AC2202:AE2202&lt;&gt;"")*(COLUMN(AC2202:AE2202)-(COLUMN(AC2202)-2))))-1),"")</f>
        <v>ARCHIVED</v>
      </c>
      <c r="M2202" s="13" t="n">
        <f aca="true">K2202-TODAY()</f>
        <v>-151</v>
      </c>
      <c r="N2202" s="18" t="s">
        <v>615</v>
      </c>
      <c r="O2202" s="13" t="s">
        <v>9388</v>
      </c>
      <c r="P2202" s="27" t="n">
        <v>5176101</v>
      </c>
      <c r="Q2202" s="20" t="s">
        <v>9446</v>
      </c>
      <c r="R2202" s="13" t="s">
        <v>232</v>
      </c>
      <c r="S2202" s="16" t="n">
        <v>36451</v>
      </c>
      <c r="T2202" s="28" t="s">
        <v>40</v>
      </c>
      <c r="U2202" s="13" t="s">
        <v>9447</v>
      </c>
      <c r="V2202" s="13" t="s">
        <v>42</v>
      </c>
      <c r="W2202" s="13" t="s">
        <v>43</v>
      </c>
      <c r="X2202" s="21" t="n">
        <v>87817143397</v>
      </c>
      <c r="Y2202" s="22" t="str">
        <f aca="false">O2202</f>
        <v>Tenaga Kerja Bongkar Muat (TKBM)</v>
      </c>
      <c r="Z2202" s="13" t="str">
        <f aca="false">IFERROR(__xludf.dummyfunction("if(BJ2202="""","""",GOOGLETRANSLATE(BJ2202,""auto"",""en""))"),"Loading and Unloading Workers (TKBM)")</f>
        <v>Loading and Unloading Workers (TKBM)</v>
      </c>
      <c r="AA2202" s="23" t="str">
        <f aca="false">IF(C2202="","", CHOOSE(MONTH(C2202),"January","February","March","April","May","June","July","August","September","October","November","December")&amp;" "&amp;DAY(C2202)&amp;MID("thstndrdth",MIN(9,2*RIGHT(DAY(C2202))*(MOD(DAY(C2202)-11,100)&gt;2)+1),2)&amp;","&amp;TEXT(C2202," yyyy"))</f>
        <v>May 5th,2025</v>
      </c>
      <c r="AB2202" s="15" t="str">
        <f aca="true">IF(S2202="","",DATEDIF(S2202,TODAY(),"Y")&amp;" Tahun, "&amp;DATEDIF(S2202,TODAY(),"YM")&amp;" Bulan, "&amp;DATEDIF(S2202,TODAY(),"MD")&amp;" Hari")</f>
        <v>27 Tahun, 0 Bulan, 11 Hari</v>
      </c>
      <c r="AC2202" s="18" t="n">
        <v>45809</v>
      </c>
      <c r="AD2202" s="18" t="n">
        <v>46173</v>
      </c>
      <c r="AE2202" s="18" t="s">
        <v>44</v>
      </c>
    </row>
    <row r="2203" customFormat="false" ht="15" hidden="false" customHeight="true" outlineLevel="0" collapsed="false">
      <c r="A2203" s="12" t="n">
        <v>19557</v>
      </c>
      <c r="B2203" s="13" t="s">
        <v>9448</v>
      </c>
      <c r="C2203" s="16" t="n">
        <v>45782</v>
      </c>
      <c r="D2203" s="13" t="s">
        <v>9387</v>
      </c>
      <c r="E2203" s="15" t="s">
        <v>47</v>
      </c>
      <c r="F2203" s="15" t="str">
        <f aca="false">IFERROR(__xludf.dummyfunction("XLOOKUP(AJ2203,IMPORTRANGE(""1XaInW9DU9nz21V0tYIfzFQ0He9kVQ_JF2mCXgZ3hqFA"",""REKAP ALL 2026 - Andika!G:G""),IMPORTRANGE(""1XaInW9DU9nz21V0tYIfzFQ0He9kVQ_JF2mCXgZ3hqFA"",""REKAP ALL 2026 - Andika!F:F""),"""",0)"),"25062534729")</f>
        <v>25062534729</v>
      </c>
      <c r="G2203" s="13" t="s">
        <v>57</v>
      </c>
      <c r="H2203" s="13" t="s">
        <v>35</v>
      </c>
      <c r="I2203" s="13" t="str">
        <f aca="false">IF(C2203=J2203,"NEW KONTRAK","RE-KONTRAK")</f>
        <v>RE-KONTRAK</v>
      </c>
      <c r="J2203" s="16" t="n">
        <f aca="false" t="array" ref="J2203:J2203">IFERROR(INDEX(AC2203:AE2203,IF(COUNTA(AC2203:AE2203)=0,"",MAX((AC2203:AE2203&lt;&gt;"")*(COLUMN(AC2203:AE2203)-(COLUMN(AC2203)))))-1),"")</f>
        <v>45809</v>
      </c>
      <c r="K2203" s="16" t="n">
        <f aca="false" t="array" ref="K2203:K2203">IFERROR(INDEX(AC2203:AE2203,IF(COUNTA(AC2203:AE2203)=0,"",MAX((AC2203:AE2203&lt;&gt;"")*(COLUMN(AC2203:AE2203)-(COLUMN(AC2203)-1))))-1),"")</f>
        <v>46173</v>
      </c>
      <c r="L2203" s="17" t="str">
        <f aca="false" t="array" ref="L2203:L2203">IFERROR(INDEX(AC2203:AE2203,IF(COUNTA(AC2203:AE2203)=0,"",MAX((AC2203:AE2203&lt;&gt;"")*(COLUMN(AC2203:AE2203)-(COLUMN(AC2203)-2))))-1),"")</f>
        <v>ARCHIVED</v>
      </c>
      <c r="M2203" s="13" t="n">
        <f aca="true">K2203-TODAY()</f>
        <v>-151</v>
      </c>
      <c r="N2203" s="18" t="s">
        <v>615</v>
      </c>
      <c r="O2203" s="13" t="s">
        <v>9388</v>
      </c>
      <c r="P2203" s="27" t="n">
        <v>5176101</v>
      </c>
      <c r="Q2203" s="20" t="s">
        <v>9449</v>
      </c>
      <c r="R2203" s="13" t="s">
        <v>232</v>
      </c>
      <c r="S2203" s="16" t="n">
        <v>32521</v>
      </c>
      <c r="T2203" s="28" t="s">
        <v>40</v>
      </c>
      <c r="U2203" s="13" t="s">
        <v>9450</v>
      </c>
      <c r="V2203" s="13" t="s">
        <v>42</v>
      </c>
      <c r="W2203" s="13" t="s">
        <v>54</v>
      </c>
      <c r="X2203" s="21" t="n">
        <v>88989373198</v>
      </c>
      <c r="Y2203" s="22" t="str">
        <f aca="false">O2203</f>
        <v>Tenaga Kerja Bongkar Muat (TKBM)</v>
      </c>
      <c r="Z2203" s="13" t="str">
        <f aca="false">IFERROR(__xludf.dummyfunction("if(BJ2203="""","""",GOOGLETRANSLATE(BJ2203,""auto"",""en""))"),"Loading and Unloading Workers (TKBM)")</f>
        <v>Loading and Unloading Workers (TKBM)</v>
      </c>
      <c r="AA2203" s="23" t="str">
        <f aca="false">IF(C2203="","", CHOOSE(MONTH(C2203),"January","February","March","April","May","June","July","August","September","October","November","December")&amp;" "&amp;DAY(C2203)&amp;MID("thstndrdth",MIN(9,2*RIGHT(DAY(C2203))*(MOD(DAY(C2203)-11,100)&gt;2)+1),2)&amp;","&amp;TEXT(C2203," yyyy"))</f>
        <v>May 5th,2025</v>
      </c>
      <c r="AB2203" s="15" t="str">
        <f aca="true">IF(S2203="","",DATEDIF(S2203,TODAY(),"Y")&amp;" Tahun, "&amp;DATEDIF(S2203,TODAY(),"YM")&amp;" Bulan, "&amp;DATEDIF(S2203,TODAY(),"MD")&amp;" Hari")</f>
        <v>37 Tahun, 9 Bulan, 16 Hari</v>
      </c>
      <c r="AC2203" s="18" t="n">
        <v>45809</v>
      </c>
      <c r="AD2203" s="18" t="n">
        <v>46173</v>
      </c>
      <c r="AE2203" s="18" t="s">
        <v>44</v>
      </c>
    </row>
    <row r="2204" customFormat="false" ht="15" hidden="false" customHeight="true" outlineLevel="0" collapsed="false">
      <c r="A2204" s="12" t="n">
        <v>19558</v>
      </c>
      <c r="B2204" s="13" t="s">
        <v>9451</v>
      </c>
      <c r="C2204" s="16" t="n">
        <v>45782</v>
      </c>
      <c r="D2204" s="13" t="s">
        <v>9387</v>
      </c>
      <c r="E2204" s="15" t="s">
        <v>47</v>
      </c>
      <c r="F2204" s="15" t="str">
        <f aca="false">IFERROR(__xludf.dummyfunction("XLOOKUP(AJ2204,IMPORTRANGE(""1XaInW9DU9nz21V0tYIfzFQ0He9kVQ_JF2mCXgZ3hqFA"",""REKAP ALL 2026 - Andika!G:G""),IMPORTRANGE(""1XaInW9DU9nz21V0tYIfzFQ0He9kVQ_JF2mCXgZ3hqFA"",""REKAP ALL 2026 - Andika!F:F""),"""",0)"),"25062534737")</f>
        <v>25062534737</v>
      </c>
      <c r="G2204" s="13" t="s">
        <v>57</v>
      </c>
      <c r="H2204" s="13" t="s">
        <v>35</v>
      </c>
      <c r="I2204" s="13" t="str">
        <f aca="false">IF(C2204=J2204,"NEW KONTRAK","RE-KONTRAK")</f>
        <v>RE-KONTRAK</v>
      </c>
      <c r="J2204" s="16" t="n">
        <f aca="false" t="array" ref="J2204:J2204">IFERROR(INDEX(AC2204:AE2204,IF(COUNTA(AC2204:AE2204)=0,"",MAX((AC2204:AE2204&lt;&gt;"")*(COLUMN(AC2204:AE2204)-(COLUMN(AC2204)))))-1),"")</f>
        <v>45809</v>
      </c>
      <c r="K2204" s="16" t="n">
        <f aca="false" t="array" ref="K2204:K2204">IFERROR(INDEX(AC2204:AE2204,IF(COUNTA(AC2204:AE2204)=0,"",MAX((AC2204:AE2204&lt;&gt;"")*(COLUMN(AC2204:AE2204)-(COLUMN(AC2204)-1))))-1),"")</f>
        <v>46173</v>
      </c>
      <c r="L2204" s="17" t="str">
        <f aca="false" t="array" ref="L2204:L2204">IFERROR(INDEX(AC2204:AE2204,IF(COUNTA(AC2204:AE2204)=0,"",MAX((AC2204:AE2204&lt;&gt;"")*(COLUMN(AC2204:AE2204)-(COLUMN(AC2204)-2))))-1),"")</f>
        <v>ARCHIVED</v>
      </c>
      <c r="M2204" s="13" t="n">
        <f aca="true">K2204-TODAY()</f>
        <v>-151</v>
      </c>
      <c r="N2204" s="18" t="s">
        <v>615</v>
      </c>
      <c r="O2204" s="13" t="s">
        <v>9388</v>
      </c>
      <c r="P2204" s="27" t="n">
        <v>5176101</v>
      </c>
      <c r="Q2204" s="20" t="s">
        <v>9452</v>
      </c>
      <c r="R2204" s="13" t="s">
        <v>232</v>
      </c>
      <c r="S2204" s="16" t="n">
        <v>33090</v>
      </c>
      <c r="T2204" s="28" t="s">
        <v>40</v>
      </c>
      <c r="U2204" s="13" t="s">
        <v>9410</v>
      </c>
      <c r="V2204" s="13" t="s">
        <v>42</v>
      </c>
      <c r="W2204" s="13" t="s">
        <v>54</v>
      </c>
      <c r="X2204" s="21" t="n">
        <v>85608453376</v>
      </c>
      <c r="Y2204" s="22" t="str">
        <f aca="false">O2204</f>
        <v>Tenaga Kerja Bongkar Muat (TKBM)</v>
      </c>
      <c r="Z2204" s="13" t="str">
        <f aca="false">IFERROR(__xludf.dummyfunction("if(BJ2204="""","""",GOOGLETRANSLATE(BJ2204,""auto"",""en""))"),"Loading and Unloading Workers (TKBM)")</f>
        <v>Loading and Unloading Workers (TKBM)</v>
      </c>
      <c r="AA2204" s="23" t="str">
        <f aca="false">IF(C2204="","", CHOOSE(MONTH(C2204),"January","February","March","April","May","June","July","August","September","October","November","December")&amp;" "&amp;DAY(C2204)&amp;MID("thstndrdth",MIN(9,2*RIGHT(DAY(C2204))*(MOD(DAY(C2204)-11,100)&gt;2)+1),2)&amp;","&amp;TEXT(C2204," yyyy"))</f>
        <v>May 5th,2025</v>
      </c>
      <c r="AB2204" s="15" t="str">
        <f aca="true">IF(S2204="","",DATEDIF(S2204,TODAY(),"Y")&amp;" Tahun, "&amp;DATEDIF(S2204,TODAY(),"YM")&amp;" Bulan, "&amp;DATEDIF(S2204,TODAY(),"MD")&amp;" Hari")</f>
        <v>36 Tahun, 2 Bulan, 24 Hari</v>
      </c>
      <c r="AC2204" s="18" t="n">
        <v>45809</v>
      </c>
      <c r="AD2204" s="18" t="n">
        <v>46173</v>
      </c>
      <c r="AE2204" s="18" t="s">
        <v>44</v>
      </c>
    </row>
    <row r="2205" customFormat="false" ht="15" hidden="false" customHeight="true" outlineLevel="0" collapsed="false">
      <c r="A2205" s="12" t="n">
        <v>19559</v>
      </c>
      <c r="B2205" s="13" t="s">
        <v>9453</v>
      </c>
      <c r="C2205" s="16" t="n">
        <v>45782</v>
      </c>
      <c r="D2205" s="13" t="s">
        <v>9387</v>
      </c>
      <c r="E2205" s="15" t="s">
        <v>47</v>
      </c>
      <c r="F2205" s="15" t="str">
        <f aca="false">IFERROR(__xludf.dummyfunction("XLOOKUP(AJ2205,IMPORTRANGE(""1XaInW9DU9nz21V0tYIfzFQ0He9kVQ_JF2mCXgZ3hqFA"",""REKAP ALL 2026 - Andika!G:G""),IMPORTRANGE(""1XaInW9DU9nz21V0tYIfzFQ0He9kVQ_JF2mCXgZ3hqFA"",""REKAP ALL 2026 - Andika!F:F""),"""",0)"),"25062534745")</f>
        <v>25062534745</v>
      </c>
      <c r="G2205" s="13" t="s">
        <v>57</v>
      </c>
      <c r="H2205" s="13" t="s">
        <v>35</v>
      </c>
      <c r="I2205" s="13" t="str">
        <f aca="false">IF(C2205=J2205,"NEW KONTRAK","RE-KONTRAK")</f>
        <v>RE-KONTRAK</v>
      </c>
      <c r="J2205" s="16" t="n">
        <f aca="false" t="array" ref="J2205:J2205">IFERROR(INDEX(AC2205:AE2205,IF(COUNTA(AC2205:AE2205)=0,"",MAX((AC2205:AE2205&lt;&gt;"")*(COLUMN(AC2205:AE2205)-(COLUMN(AC2205)))))-1),"")</f>
        <v>45809</v>
      </c>
      <c r="K2205" s="16" t="n">
        <f aca="false" t="array" ref="K2205:K2205">IFERROR(INDEX(AC2205:AE2205,IF(COUNTA(AC2205:AE2205)=0,"",MAX((AC2205:AE2205&lt;&gt;"")*(COLUMN(AC2205:AE2205)-(COLUMN(AC2205)-1))))-1),"")</f>
        <v>46173</v>
      </c>
      <c r="L2205" s="17" t="str">
        <f aca="false" t="array" ref="L2205:L2205">IFERROR(INDEX(AC2205:AE2205,IF(COUNTA(AC2205:AE2205)=0,"",MAX((AC2205:AE2205&lt;&gt;"")*(COLUMN(AC2205:AE2205)-(COLUMN(AC2205)-2))))-1),"")</f>
        <v>ARCHIVED</v>
      </c>
      <c r="M2205" s="13" t="n">
        <f aca="true">K2205-TODAY()</f>
        <v>-151</v>
      </c>
      <c r="N2205" s="18" t="s">
        <v>615</v>
      </c>
      <c r="O2205" s="13" t="s">
        <v>9388</v>
      </c>
      <c r="P2205" s="27" t="n">
        <v>5176101</v>
      </c>
      <c r="Q2205" s="20" t="s">
        <v>9454</v>
      </c>
      <c r="R2205" s="13" t="s">
        <v>232</v>
      </c>
      <c r="S2205" s="16" t="n">
        <v>36215</v>
      </c>
      <c r="T2205" s="28" t="s">
        <v>40</v>
      </c>
      <c r="U2205" s="13" t="s">
        <v>9455</v>
      </c>
      <c r="V2205" s="13" t="s">
        <v>42</v>
      </c>
      <c r="W2205" s="13" t="s">
        <v>54</v>
      </c>
      <c r="X2205" s="21" t="n">
        <v>87759783910</v>
      </c>
      <c r="Y2205" s="22" t="str">
        <f aca="false">O2205</f>
        <v>Tenaga Kerja Bongkar Muat (TKBM)</v>
      </c>
      <c r="Z2205" s="13" t="str">
        <f aca="false">IFERROR(__xludf.dummyfunction("if(BJ2205="""","""",GOOGLETRANSLATE(BJ2205,""auto"",""en""))"),"Loading and Unloading Workers (TKBM)")</f>
        <v>Loading and Unloading Workers (TKBM)</v>
      </c>
      <c r="AA2205" s="23" t="str">
        <f aca="false">IF(C2205="","", CHOOSE(MONTH(C2205),"January","February","March","April","May","June","July","August","September","October","November","December")&amp;" "&amp;DAY(C2205)&amp;MID("thstndrdth",MIN(9,2*RIGHT(DAY(C2205))*(MOD(DAY(C2205)-11,100)&gt;2)+1),2)&amp;","&amp;TEXT(C2205," yyyy"))</f>
        <v>May 5th,2025</v>
      </c>
      <c r="AB2205" s="15" t="str">
        <f aca="true">IF(S2205="","",DATEDIF(S2205,TODAY(),"Y")&amp;" Tahun, "&amp;DATEDIF(S2205,TODAY(),"YM")&amp;" Bulan, "&amp;DATEDIF(S2205,TODAY(),"MD")&amp;" Hari")</f>
        <v>27 Tahun, 8 Bulan, 5 Hari</v>
      </c>
      <c r="AC2205" s="18" t="n">
        <v>45809</v>
      </c>
      <c r="AD2205" s="18" t="n">
        <v>46173</v>
      </c>
      <c r="AE2205" s="18" t="s">
        <v>44</v>
      </c>
    </row>
    <row r="2206" customFormat="false" ht="15" hidden="false" customHeight="true" outlineLevel="0" collapsed="false">
      <c r="A2206" s="12" t="n">
        <v>19560</v>
      </c>
      <c r="B2206" s="13" t="s">
        <v>862</v>
      </c>
      <c r="C2206" s="16" t="n">
        <v>45782</v>
      </c>
      <c r="D2206" s="13" t="s">
        <v>9387</v>
      </c>
      <c r="E2206" s="15" t="s">
        <v>47</v>
      </c>
      <c r="F2206" s="15" t="str">
        <f aca="false">IFERROR(__xludf.dummyfunction("XLOOKUP(AJ2206,IMPORTRANGE(""1XaInW9DU9nz21V0tYIfzFQ0He9kVQ_JF2mCXgZ3hqFA"",""REKAP ALL 2026 - Andika!G:G""),IMPORTRANGE(""1XaInW9DU9nz21V0tYIfzFQ0He9kVQ_JF2mCXgZ3hqFA"",""REKAP ALL 2026 - Andika!F:F""),"""",0)"),"25062534752")</f>
        <v>25062534752</v>
      </c>
      <c r="G2206" s="13" t="s">
        <v>57</v>
      </c>
      <c r="H2206" s="13" t="s">
        <v>35</v>
      </c>
      <c r="I2206" s="13" t="str">
        <f aca="false">IF(C2206=J2206,"NEW KONTRAK","RE-KONTRAK")</f>
        <v>RE-KONTRAK</v>
      </c>
      <c r="J2206" s="16" t="n">
        <f aca="false" t="array" ref="J2206:J2206">IFERROR(INDEX(AC2206:AE2206,IF(COUNTA(AC2206:AE2206)=0,"",MAX((AC2206:AE2206&lt;&gt;"")*(COLUMN(AC2206:AE2206)-(COLUMN(AC2206)))))-1),"")</f>
        <v>45809</v>
      </c>
      <c r="K2206" s="16" t="n">
        <f aca="false" t="array" ref="K2206:K2206">IFERROR(INDEX(AC2206:AE2206,IF(COUNTA(AC2206:AE2206)=0,"",MAX((AC2206:AE2206&lt;&gt;"")*(COLUMN(AC2206:AE2206)-(COLUMN(AC2206)-1))))-1),"")</f>
        <v>46173</v>
      </c>
      <c r="L2206" s="17" t="str">
        <f aca="false" t="array" ref="L2206:L2206">IFERROR(INDEX(AC2206:AE2206,IF(COUNTA(AC2206:AE2206)=0,"",MAX((AC2206:AE2206&lt;&gt;"")*(COLUMN(AC2206:AE2206)-(COLUMN(AC2206)-2))))-1),"")</f>
        <v>ARCHIVED</v>
      </c>
      <c r="M2206" s="13" t="n">
        <f aca="true">K2206-TODAY()</f>
        <v>-151</v>
      </c>
      <c r="N2206" s="18" t="s">
        <v>615</v>
      </c>
      <c r="O2206" s="13" t="s">
        <v>9388</v>
      </c>
      <c r="P2206" s="27" t="n">
        <v>5176101</v>
      </c>
      <c r="Q2206" s="20" t="s">
        <v>9456</v>
      </c>
      <c r="R2206" s="13" t="s">
        <v>232</v>
      </c>
      <c r="S2206" s="16" t="n">
        <v>29900</v>
      </c>
      <c r="T2206" s="28" t="s">
        <v>40</v>
      </c>
      <c r="U2206" s="13" t="s">
        <v>9457</v>
      </c>
      <c r="V2206" s="13" t="s">
        <v>42</v>
      </c>
      <c r="W2206" s="13" t="s">
        <v>54</v>
      </c>
      <c r="X2206" s="21" t="n">
        <v>85604739508</v>
      </c>
      <c r="Y2206" s="22" t="str">
        <f aca="false">O2206</f>
        <v>Tenaga Kerja Bongkar Muat (TKBM)</v>
      </c>
      <c r="Z2206" s="13" t="str">
        <f aca="false">IFERROR(__xludf.dummyfunction("if(BJ2206="""","""",GOOGLETRANSLATE(BJ2206,""auto"",""en""))"),"Loading and Unloading Workers (TKBM)")</f>
        <v>Loading and Unloading Workers (TKBM)</v>
      </c>
      <c r="AA2206" s="23" t="str">
        <f aca="false">IF(C2206="","", CHOOSE(MONTH(C2206),"January","February","March","April","May","June","July","August","September","October","November","December")&amp;" "&amp;DAY(C2206)&amp;MID("thstndrdth",MIN(9,2*RIGHT(DAY(C2206))*(MOD(DAY(C2206)-11,100)&gt;2)+1),2)&amp;","&amp;TEXT(C2206," yyyy"))</f>
        <v>May 5th,2025</v>
      </c>
      <c r="AB2206" s="15" t="str">
        <f aca="true">IF(S2206="","",DATEDIF(S2206,TODAY(),"Y")&amp;" Tahun, "&amp;DATEDIF(S2206,TODAY(),"YM")&amp;" Bulan, "&amp;DATEDIF(S2206,TODAY(),"MD")&amp;" Hari")</f>
        <v>44 Tahun, 11 Bulan, 19 Hari</v>
      </c>
      <c r="AC2206" s="18" t="n">
        <v>45809</v>
      </c>
      <c r="AD2206" s="18" t="n">
        <v>46173</v>
      </c>
      <c r="AE2206" s="18" t="s">
        <v>44</v>
      </c>
    </row>
    <row r="2207" customFormat="false" ht="15" hidden="false" customHeight="true" outlineLevel="0" collapsed="false">
      <c r="A2207" s="12" t="n">
        <v>19561</v>
      </c>
      <c r="B2207" s="13" t="s">
        <v>9458</v>
      </c>
      <c r="C2207" s="16" t="n">
        <v>45782</v>
      </c>
      <c r="D2207" s="13" t="s">
        <v>9387</v>
      </c>
      <c r="E2207" s="15" t="s">
        <v>47</v>
      </c>
      <c r="F2207" s="15" t="str">
        <f aca="false">IFERROR(__xludf.dummyfunction("XLOOKUP(AJ2207,IMPORTRANGE(""1XaInW9DU9nz21V0tYIfzFQ0He9kVQ_JF2mCXgZ3hqFA"",""REKAP ALL 2026 - Andika!G:G""),IMPORTRANGE(""1XaInW9DU9nz21V0tYIfzFQ0He9kVQ_JF2mCXgZ3hqFA"",""REKAP ALL 2026 - Andika!F:F""),"""",0)"),"25062534760")</f>
        <v>25062534760</v>
      </c>
      <c r="G2207" s="13" t="s">
        <v>57</v>
      </c>
      <c r="H2207" s="13" t="s">
        <v>35</v>
      </c>
      <c r="I2207" s="13" t="str">
        <f aca="false">IF(C2207=J2207,"NEW KONTRAK","RE-KONTRAK")</f>
        <v>RE-KONTRAK</v>
      </c>
      <c r="J2207" s="16" t="n">
        <f aca="false" t="array" ref="J2207:J2207">IFERROR(INDEX(AC2207:AE2207,IF(COUNTA(AC2207:AE2207)=0,"",MAX((AC2207:AE2207&lt;&gt;"")*(COLUMN(AC2207:AE2207)-(COLUMN(AC2207)))))-1),"")</f>
        <v>45809</v>
      </c>
      <c r="K2207" s="16" t="n">
        <f aca="false" t="array" ref="K2207:K2207">IFERROR(INDEX(AC2207:AE2207,IF(COUNTA(AC2207:AE2207)=0,"",MAX((AC2207:AE2207&lt;&gt;"")*(COLUMN(AC2207:AE2207)-(COLUMN(AC2207)-1))))-1),"")</f>
        <v>46173</v>
      </c>
      <c r="L2207" s="17" t="str">
        <f aca="false" t="array" ref="L2207:L2207">IFERROR(INDEX(AC2207:AE2207,IF(COUNTA(AC2207:AE2207)=0,"",MAX((AC2207:AE2207&lt;&gt;"")*(COLUMN(AC2207:AE2207)-(COLUMN(AC2207)-2))))-1),"")</f>
        <v>ARCHIVED</v>
      </c>
      <c r="M2207" s="13" t="n">
        <f aca="true">K2207-TODAY()</f>
        <v>-151</v>
      </c>
      <c r="N2207" s="18" t="s">
        <v>615</v>
      </c>
      <c r="O2207" s="13" t="s">
        <v>9388</v>
      </c>
      <c r="P2207" s="27" t="n">
        <v>5176101</v>
      </c>
      <c r="Q2207" s="20" t="s">
        <v>9459</v>
      </c>
      <c r="R2207" s="13" t="s">
        <v>232</v>
      </c>
      <c r="S2207" s="16" t="n">
        <v>31177</v>
      </c>
      <c r="T2207" s="28" t="s">
        <v>40</v>
      </c>
      <c r="U2207" s="13" t="s">
        <v>9460</v>
      </c>
      <c r="V2207" s="13" t="s">
        <v>42</v>
      </c>
      <c r="W2207" s="13" t="s">
        <v>54</v>
      </c>
      <c r="X2207" s="21" t="n">
        <v>85731601430</v>
      </c>
      <c r="Y2207" s="22" t="str">
        <f aca="false">O2207</f>
        <v>Tenaga Kerja Bongkar Muat (TKBM)</v>
      </c>
      <c r="Z2207" s="13" t="str">
        <f aca="false">IFERROR(__xludf.dummyfunction("if(BJ2207="""","""",GOOGLETRANSLATE(BJ2207,""auto"",""en""))"),"Loading and Unloading Workers (TKBM)")</f>
        <v>Loading and Unloading Workers (TKBM)</v>
      </c>
      <c r="AA2207" s="23" t="str">
        <f aca="false">IF(C2207="","", CHOOSE(MONTH(C2207),"January","February","March","April","May","June","July","August","September","October","November","December")&amp;" "&amp;DAY(C2207)&amp;MID("thstndrdth",MIN(9,2*RIGHT(DAY(C2207))*(MOD(DAY(C2207)-11,100)&gt;2)+1),2)&amp;","&amp;TEXT(C2207," yyyy"))</f>
        <v>May 5th,2025</v>
      </c>
      <c r="AB2207" s="15" t="str">
        <f aca="true">IF(S2207="","",DATEDIF(S2207,TODAY(),"Y")&amp;" Tahun, "&amp;DATEDIF(S2207,TODAY(),"YM")&amp;" Bulan, "&amp;DATEDIF(S2207,TODAY(),"MD")&amp;" Hari")</f>
        <v>41 Tahun, 5 Bulan, 19 Hari</v>
      </c>
      <c r="AC2207" s="18" t="n">
        <v>45809</v>
      </c>
      <c r="AD2207" s="18" t="n">
        <v>46173</v>
      </c>
      <c r="AE2207" s="18" t="s">
        <v>44</v>
      </c>
    </row>
    <row r="2208" customFormat="false" ht="15" hidden="false" customHeight="true" outlineLevel="0" collapsed="false">
      <c r="A2208" s="12" t="n">
        <v>19562</v>
      </c>
      <c r="B2208" s="13" t="s">
        <v>9461</v>
      </c>
      <c r="C2208" s="16" t="n">
        <v>45782</v>
      </c>
      <c r="D2208" s="13" t="s">
        <v>9387</v>
      </c>
      <c r="E2208" s="15" t="s">
        <v>47</v>
      </c>
      <c r="F2208" s="15" t="str">
        <f aca="false">IFERROR(__xludf.dummyfunction("XLOOKUP(AJ2208,IMPORTRANGE(""1XaInW9DU9nz21V0tYIfzFQ0He9kVQ_JF2mCXgZ3hqFA"",""REKAP ALL 2026 - Andika!G:G""),IMPORTRANGE(""1XaInW9DU9nz21V0tYIfzFQ0He9kVQ_JF2mCXgZ3hqFA"",""REKAP ALL 2026 - Andika!F:F""),"""",0)"),"25062534778")</f>
        <v>25062534778</v>
      </c>
      <c r="G2208" s="13" t="s">
        <v>57</v>
      </c>
      <c r="H2208" s="13" t="s">
        <v>35</v>
      </c>
      <c r="I2208" s="13" t="str">
        <f aca="false">IF(C2208=J2208,"NEW KONTRAK","RE-KONTRAK")</f>
        <v>RE-KONTRAK</v>
      </c>
      <c r="J2208" s="16" t="n">
        <f aca="false" t="array" ref="J2208:J2208">IFERROR(INDEX(AC2208:AE2208,IF(COUNTA(AC2208:AE2208)=0,"",MAX((AC2208:AE2208&lt;&gt;"")*(COLUMN(AC2208:AE2208)-(COLUMN(AC2208)))))-1),"")</f>
        <v>45809</v>
      </c>
      <c r="K2208" s="16" t="n">
        <f aca="false" t="array" ref="K2208:K2208">IFERROR(INDEX(AC2208:AE2208,IF(COUNTA(AC2208:AE2208)=0,"",MAX((AC2208:AE2208&lt;&gt;"")*(COLUMN(AC2208:AE2208)-(COLUMN(AC2208)-1))))-1),"")</f>
        <v>46173</v>
      </c>
      <c r="L2208" s="17" t="str">
        <f aca="false" t="array" ref="L2208:L2208">IFERROR(INDEX(AC2208:AE2208,IF(COUNTA(AC2208:AE2208)=0,"",MAX((AC2208:AE2208&lt;&gt;"")*(COLUMN(AC2208:AE2208)-(COLUMN(AC2208)-2))))-1),"")</f>
        <v>ARCHIVED</v>
      </c>
      <c r="M2208" s="13" t="n">
        <f aca="true">K2208-TODAY()</f>
        <v>-151</v>
      </c>
      <c r="N2208" s="18" t="s">
        <v>615</v>
      </c>
      <c r="O2208" s="13" t="s">
        <v>9388</v>
      </c>
      <c r="P2208" s="27" t="n">
        <v>5176101</v>
      </c>
      <c r="Q2208" s="20" t="s">
        <v>9462</v>
      </c>
      <c r="R2208" s="13" t="s">
        <v>232</v>
      </c>
      <c r="S2208" s="16" t="n">
        <v>31522</v>
      </c>
      <c r="T2208" s="28" t="s">
        <v>40</v>
      </c>
      <c r="U2208" s="13" t="s">
        <v>9463</v>
      </c>
      <c r="V2208" s="13" t="s">
        <v>42</v>
      </c>
      <c r="W2208" s="13" t="s">
        <v>54</v>
      </c>
      <c r="X2208" s="21" t="n">
        <v>85706489787</v>
      </c>
      <c r="Y2208" s="22" t="str">
        <f aca="false">O2208</f>
        <v>Tenaga Kerja Bongkar Muat (TKBM)</v>
      </c>
      <c r="Z2208" s="13" t="str">
        <f aca="false">IFERROR(__xludf.dummyfunction("if(BJ2208="""","""",GOOGLETRANSLATE(BJ2208,""auto"",""en""))"),"Loading and Unloading Workers (TKBM)")</f>
        <v>Loading and Unloading Workers (TKBM)</v>
      </c>
      <c r="AA2208" s="23" t="str">
        <f aca="false">IF(C2208="","", CHOOSE(MONTH(C2208),"January","February","March","April","May","June","July","August","September","October","November","December")&amp;" "&amp;DAY(C2208)&amp;MID("thstndrdth",MIN(9,2*RIGHT(DAY(C2208))*(MOD(DAY(C2208)-11,100)&gt;2)+1),2)&amp;","&amp;TEXT(C2208," yyyy"))</f>
        <v>May 5th,2025</v>
      </c>
      <c r="AB2208" s="15" t="str">
        <f aca="true">IF(S2208="","",DATEDIF(S2208,TODAY(),"Y")&amp;" Tahun, "&amp;DATEDIF(S2208,TODAY(),"YM")&amp;" Bulan, "&amp;DATEDIF(S2208,TODAY(),"MD")&amp;" Hari")</f>
        <v>40 Tahun, 6 Bulan, 9 Hari</v>
      </c>
      <c r="AC2208" s="18" t="n">
        <v>45809</v>
      </c>
      <c r="AD2208" s="18" t="n">
        <v>46173</v>
      </c>
      <c r="AE2208" s="18" t="s">
        <v>44</v>
      </c>
    </row>
    <row r="2209" customFormat="false" ht="15" hidden="false" customHeight="true" outlineLevel="0" collapsed="false">
      <c r="A2209" s="12" t="n">
        <v>19566</v>
      </c>
      <c r="B2209" s="13" t="s">
        <v>9464</v>
      </c>
      <c r="C2209" s="16" t="n">
        <v>45782</v>
      </c>
      <c r="D2209" s="13" t="s">
        <v>9387</v>
      </c>
      <c r="E2209" s="15" t="s">
        <v>47</v>
      </c>
      <c r="F2209" s="15" t="str">
        <f aca="false">IFERROR(__xludf.dummyfunction("XLOOKUP(AJ2209,IMPORTRANGE(""1XaInW9DU9nz21V0tYIfzFQ0He9kVQ_JF2mCXgZ3hqFA"",""REKAP ALL 2026 - Andika!G:G""),IMPORTRANGE(""1XaInW9DU9nz21V0tYIfzFQ0He9kVQ_JF2mCXgZ3hqFA"",""REKAP ALL 2026 - Andika!F:F""),"""",0)"),"25062534828")</f>
        <v>25062534828</v>
      </c>
      <c r="G2209" s="13" t="s">
        <v>57</v>
      </c>
      <c r="H2209" s="13" t="s">
        <v>35</v>
      </c>
      <c r="I2209" s="13" t="str">
        <f aca="false">IF(C2209=J2209,"NEW KONTRAK","RE-KONTRAK")</f>
        <v>RE-KONTRAK</v>
      </c>
      <c r="J2209" s="16" t="n">
        <f aca="false" t="array" ref="J2209:J2209">IFERROR(INDEX(AC2209:AE2209,IF(COUNTA(AC2209:AE2209)=0,"",MAX((AC2209:AE2209&lt;&gt;"")*(COLUMN(AC2209:AE2209)-(COLUMN(AC2209)))))-1),"")</f>
        <v>45809</v>
      </c>
      <c r="K2209" s="16" t="n">
        <f aca="false" t="array" ref="K2209:K2209">IFERROR(INDEX(AC2209:AE2209,IF(COUNTA(AC2209:AE2209)=0,"",MAX((AC2209:AE2209&lt;&gt;"")*(COLUMN(AC2209:AE2209)-(COLUMN(AC2209)-1))))-1),"")</f>
        <v>46173</v>
      </c>
      <c r="L2209" s="17" t="str">
        <f aca="false" t="array" ref="L2209:L2209">IFERROR(INDEX(AC2209:AE2209,IF(COUNTA(AC2209:AE2209)=0,"",MAX((AC2209:AE2209&lt;&gt;"")*(COLUMN(AC2209:AE2209)-(COLUMN(AC2209)-2))))-1),"")</f>
        <v>ARCHIVED</v>
      </c>
      <c r="M2209" s="13" t="n">
        <f aca="true">K2209-TODAY()</f>
        <v>-151</v>
      </c>
      <c r="N2209" s="18" t="s">
        <v>615</v>
      </c>
      <c r="O2209" s="13" t="s">
        <v>9388</v>
      </c>
      <c r="P2209" s="27" t="n">
        <v>5176101</v>
      </c>
      <c r="Q2209" s="20" t="s">
        <v>9465</v>
      </c>
      <c r="R2209" s="13" t="s">
        <v>232</v>
      </c>
      <c r="S2209" s="16" t="n">
        <v>35659</v>
      </c>
      <c r="T2209" s="28" t="s">
        <v>40</v>
      </c>
      <c r="U2209" s="13" t="s">
        <v>9424</v>
      </c>
      <c r="V2209" s="13" t="s">
        <v>42</v>
      </c>
      <c r="W2209" s="13" t="s">
        <v>43</v>
      </c>
      <c r="X2209" s="21" t="n">
        <v>83116087831</v>
      </c>
      <c r="Y2209" s="22" t="str">
        <f aca="false">O2209</f>
        <v>Tenaga Kerja Bongkar Muat (TKBM)</v>
      </c>
      <c r="Z2209" s="13" t="str">
        <f aca="false">IFERROR(__xludf.dummyfunction("if(BJ2209="""","""",GOOGLETRANSLATE(BJ2209,""auto"",""en""))"),"Loading and Unloading Workers (TKBM)")</f>
        <v>Loading and Unloading Workers (TKBM)</v>
      </c>
      <c r="AA2209" s="23" t="str">
        <f aca="false">IF(C2209="","", CHOOSE(MONTH(C2209),"January","February","March","April","May","June","July","August","September","October","November","December")&amp;" "&amp;DAY(C2209)&amp;MID("thstndrdth",MIN(9,2*RIGHT(DAY(C2209))*(MOD(DAY(C2209)-11,100)&gt;2)+1),2)&amp;","&amp;TEXT(C2209," yyyy"))</f>
        <v>May 5th,2025</v>
      </c>
      <c r="AB2209" s="15" t="str">
        <f aca="true">IF(S2209="","",DATEDIF(S2209,TODAY(),"Y")&amp;" Tahun, "&amp;DATEDIF(S2209,TODAY(),"YM")&amp;" Bulan, "&amp;DATEDIF(S2209,TODAY(),"MD")&amp;" Hari")</f>
        <v>29 Tahun, 2 Bulan, 12 Hari</v>
      </c>
      <c r="AC2209" s="18" t="n">
        <v>45809</v>
      </c>
      <c r="AD2209" s="18" t="n">
        <v>46173</v>
      </c>
      <c r="AE2209" s="18" t="s">
        <v>44</v>
      </c>
    </row>
    <row r="2210" customFormat="false" ht="15" hidden="false" customHeight="true" outlineLevel="0" collapsed="false">
      <c r="A2210" s="12" t="n">
        <v>19563</v>
      </c>
      <c r="B2210" s="13" t="s">
        <v>4585</v>
      </c>
      <c r="C2210" s="16" t="n">
        <v>45782</v>
      </c>
      <c r="D2210" s="13" t="s">
        <v>9387</v>
      </c>
      <c r="E2210" s="15" t="s">
        <v>102</v>
      </c>
      <c r="F2210" s="24" t="s">
        <v>9466</v>
      </c>
      <c r="G2210" s="13" t="s">
        <v>57</v>
      </c>
      <c r="H2210" s="13" t="s">
        <v>35</v>
      </c>
      <c r="I2210" s="13" t="str">
        <f aca="false">IF(C2210=J2210,"NEW KONTRAK","RE-KONTRAK")</f>
        <v>RE-KONTRAK</v>
      </c>
      <c r="J2210" s="16" t="n">
        <f aca="false" t="array" ref="J2210:J2210">IFERROR(INDEX(AC2210:AE2210,IF(COUNTA(AC2210:AE2210)=0,"",MAX((AC2210:AE2210&lt;&gt;"")*(COLUMN(AC2210:AE2210)-(COLUMN(AC2210)))))-1),"")</f>
        <v>45809</v>
      </c>
      <c r="K2210" s="16" t="n">
        <f aca="false" t="array" ref="K2210:K2210">IFERROR(INDEX(AC2210:AE2210,IF(COUNTA(AC2210:AE2210)=0,"",MAX((AC2210:AE2210&lt;&gt;"")*(COLUMN(AC2210:AE2210)-(COLUMN(AC2210)-1))))-1),"")</f>
        <v>46173</v>
      </c>
      <c r="L2210" s="17" t="str">
        <f aca="false" t="array" ref="L2210:L2210">IFERROR(INDEX(AC2210:AE2210,IF(COUNTA(AC2210:AE2210)=0,"",MAX((AC2210:AE2210&lt;&gt;"")*(COLUMN(AC2210:AE2210)-(COLUMN(AC2210)-2))))-1),"")</f>
        <v>ARCHIVED</v>
      </c>
      <c r="M2210" s="13" t="n">
        <f aca="true">K2210-TODAY()</f>
        <v>-151</v>
      </c>
      <c r="N2210" s="18" t="s">
        <v>615</v>
      </c>
      <c r="O2210" s="13" t="s">
        <v>9388</v>
      </c>
      <c r="P2210" s="27" t="n">
        <v>5176101</v>
      </c>
      <c r="Q2210" s="20" t="s">
        <v>9467</v>
      </c>
      <c r="R2210" s="13" t="s">
        <v>232</v>
      </c>
      <c r="S2210" s="16" t="n">
        <v>33985</v>
      </c>
      <c r="T2210" s="28" t="s">
        <v>40</v>
      </c>
      <c r="U2210" s="13" t="s">
        <v>9418</v>
      </c>
      <c r="V2210" s="13" t="s">
        <v>42</v>
      </c>
      <c r="W2210" s="13" t="s">
        <v>54</v>
      </c>
      <c r="X2210" s="21" t="n">
        <v>85790393663</v>
      </c>
      <c r="Y2210" s="22" t="str">
        <f aca="false">O2210</f>
        <v>Tenaga Kerja Bongkar Muat (TKBM)</v>
      </c>
      <c r="Z2210" s="13" t="str">
        <f aca="false">IFERROR(__xludf.dummyfunction("if(BJ2210="""","""",GOOGLETRANSLATE(BJ2210,""auto"",""en""))"),"Loading and Unloading Workers (TKBM)")</f>
        <v>Loading and Unloading Workers (TKBM)</v>
      </c>
      <c r="AA2210" s="23" t="str">
        <f aca="false">IF(C2210="","", CHOOSE(MONTH(C2210),"January","February","March","April","May","June","July","August","September","October","November","December")&amp;" "&amp;DAY(C2210)&amp;MID("thstndrdth",MIN(9,2*RIGHT(DAY(C2210))*(MOD(DAY(C2210)-11,100)&gt;2)+1),2)&amp;","&amp;TEXT(C2210," yyyy"))</f>
        <v>May 5th,2025</v>
      </c>
      <c r="AB2210" s="15" t="str">
        <f aca="true">IF(S2210="","",DATEDIF(S2210,TODAY(),"Y")&amp;" Tahun, "&amp;DATEDIF(S2210,TODAY(),"YM")&amp;" Bulan, "&amp;DATEDIF(S2210,TODAY(),"MD")&amp;" Hari")</f>
        <v>33 Tahun, 9 Bulan, 13 Hari</v>
      </c>
      <c r="AC2210" s="18" t="n">
        <v>45809</v>
      </c>
      <c r="AD2210" s="18" t="n">
        <v>46173</v>
      </c>
      <c r="AE2210" s="18" t="s">
        <v>44</v>
      </c>
    </row>
    <row r="2211" customFormat="false" ht="15" hidden="false" customHeight="true" outlineLevel="0" collapsed="false">
      <c r="A2211" s="12" t="n">
        <v>19564</v>
      </c>
      <c r="B2211" s="13" t="s">
        <v>9468</v>
      </c>
      <c r="C2211" s="16" t="n">
        <v>45782</v>
      </c>
      <c r="D2211" s="13" t="s">
        <v>9387</v>
      </c>
      <c r="E2211" s="15" t="s">
        <v>8354</v>
      </c>
      <c r="F2211" s="24" t="s">
        <v>9469</v>
      </c>
      <c r="G2211" s="13" t="s">
        <v>57</v>
      </c>
      <c r="H2211" s="13" t="s">
        <v>35</v>
      </c>
      <c r="I2211" s="13" t="str">
        <f aca="false">IF(C2211=J2211,"NEW KONTRAK","RE-KONTRAK")</f>
        <v>RE-KONTRAK</v>
      </c>
      <c r="J2211" s="16" t="n">
        <f aca="false" t="array" ref="J2211:J2211">IFERROR(INDEX(AC2211:AE2211,IF(COUNTA(AC2211:AE2211)=0,"",MAX((AC2211:AE2211&lt;&gt;"")*(COLUMN(AC2211:AE2211)-(COLUMN(AC2211)))))-1),"")</f>
        <v>45809</v>
      </c>
      <c r="K2211" s="16" t="n">
        <f aca="false" t="array" ref="K2211:K2211">IFERROR(INDEX(AC2211:AE2211,IF(COUNTA(AC2211:AE2211)=0,"",MAX((AC2211:AE2211&lt;&gt;"")*(COLUMN(AC2211:AE2211)-(COLUMN(AC2211)-1))))-1),"")</f>
        <v>46173</v>
      </c>
      <c r="L2211" s="17" t="str">
        <f aca="false" t="array" ref="L2211:L2211">IFERROR(INDEX(AC2211:AE2211,IF(COUNTA(AC2211:AE2211)=0,"",MAX((AC2211:AE2211&lt;&gt;"")*(COLUMN(AC2211:AE2211)-(COLUMN(AC2211)-2))))-1),"")</f>
        <v>ARCHIVED</v>
      </c>
      <c r="M2211" s="13" t="n">
        <f aca="true">K2211-TODAY()</f>
        <v>-151</v>
      </c>
      <c r="N2211" s="18" t="s">
        <v>615</v>
      </c>
      <c r="O2211" s="13" t="s">
        <v>9388</v>
      </c>
      <c r="P2211" s="27" t="n">
        <v>5176101</v>
      </c>
      <c r="Q2211" s="20" t="s">
        <v>9470</v>
      </c>
      <c r="R2211" s="13" t="s">
        <v>232</v>
      </c>
      <c r="S2211" s="16" t="n">
        <v>34836</v>
      </c>
      <c r="T2211" s="28" t="s">
        <v>40</v>
      </c>
      <c r="U2211" s="13" t="s">
        <v>9471</v>
      </c>
      <c r="V2211" s="13" t="s">
        <v>42</v>
      </c>
      <c r="W2211" s="13" t="s">
        <v>54</v>
      </c>
      <c r="X2211" s="21" t="n">
        <v>85748361483</v>
      </c>
      <c r="Y2211" s="22" t="str">
        <f aca="false">O2211</f>
        <v>Tenaga Kerja Bongkar Muat (TKBM)</v>
      </c>
      <c r="Z2211" s="13" t="str">
        <f aca="false">IFERROR(__xludf.dummyfunction("if(BJ2211="""","""",GOOGLETRANSLATE(BJ2211,""auto"",""en""))"),"Loading and Unloading Workers (TKBM)")</f>
        <v>Loading and Unloading Workers (TKBM)</v>
      </c>
      <c r="AA2211" s="23" t="str">
        <f aca="false">IF(C2211="","", CHOOSE(MONTH(C2211),"January","February","March","April","May","June","July","August","September","October","November","December")&amp;" "&amp;DAY(C2211)&amp;MID("thstndrdth",MIN(9,2*RIGHT(DAY(C2211))*(MOD(DAY(C2211)-11,100)&gt;2)+1),2)&amp;","&amp;TEXT(C2211," yyyy"))</f>
        <v>May 5th,2025</v>
      </c>
      <c r="AB2211" s="15" t="str">
        <f aca="true">IF(S2211="","",DATEDIF(S2211,TODAY(),"Y")&amp;" Tahun, "&amp;DATEDIF(S2211,TODAY(),"YM")&amp;" Bulan, "&amp;DATEDIF(S2211,TODAY(),"MD")&amp;" Hari")</f>
        <v>31 Tahun, 5 Bulan, 12 Hari</v>
      </c>
      <c r="AC2211" s="18" t="n">
        <v>45809</v>
      </c>
      <c r="AD2211" s="18" t="n">
        <v>46173</v>
      </c>
      <c r="AE2211" s="18" t="s">
        <v>44</v>
      </c>
    </row>
    <row r="2212" customFormat="false" ht="15" hidden="false" customHeight="true" outlineLevel="0" collapsed="false">
      <c r="A2212" s="12" t="n">
        <v>19565</v>
      </c>
      <c r="B2212" s="13" t="s">
        <v>9472</v>
      </c>
      <c r="C2212" s="16" t="n">
        <v>45782</v>
      </c>
      <c r="D2212" s="13" t="s">
        <v>9387</v>
      </c>
      <c r="E2212" s="15" t="s">
        <v>102</v>
      </c>
      <c r="F2212" s="24" t="s">
        <v>9473</v>
      </c>
      <c r="G2212" s="13" t="s">
        <v>57</v>
      </c>
      <c r="H2212" s="13" t="s">
        <v>35</v>
      </c>
      <c r="I2212" s="13" t="str">
        <f aca="false">IF(C2212=J2212,"NEW KONTRAK","RE-KONTRAK")</f>
        <v>RE-KONTRAK</v>
      </c>
      <c r="J2212" s="16" t="n">
        <f aca="false" t="array" ref="J2212:J2212">IFERROR(INDEX(AC2212:AE2212,IF(COUNTA(AC2212:AE2212)=0,"",MAX((AC2212:AE2212&lt;&gt;"")*(COLUMN(AC2212:AE2212)-(COLUMN(AC2212)))))-1),"")</f>
        <v>45809</v>
      </c>
      <c r="K2212" s="16" t="n">
        <f aca="false" t="array" ref="K2212:K2212">IFERROR(INDEX(AC2212:AE2212,IF(COUNTA(AC2212:AE2212)=0,"",MAX((AC2212:AE2212&lt;&gt;"")*(COLUMN(AC2212:AE2212)-(COLUMN(AC2212)-1))))-1),"")</f>
        <v>46173</v>
      </c>
      <c r="L2212" s="17" t="str">
        <f aca="false" t="array" ref="L2212:L2212">IFERROR(INDEX(AC2212:AE2212,IF(COUNTA(AC2212:AE2212)=0,"",MAX((AC2212:AE2212&lt;&gt;"")*(COLUMN(AC2212:AE2212)-(COLUMN(AC2212)-2))))-1),"")</f>
        <v>ARCHIVED</v>
      </c>
      <c r="M2212" s="13" t="n">
        <f aca="true">K2212-TODAY()</f>
        <v>-151</v>
      </c>
      <c r="N2212" s="18" t="s">
        <v>615</v>
      </c>
      <c r="O2212" s="13" t="s">
        <v>9388</v>
      </c>
      <c r="P2212" s="27" t="n">
        <v>5176101</v>
      </c>
      <c r="Q2212" s="20" t="s">
        <v>9474</v>
      </c>
      <c r="R2212" s="13" t="s">
        <v>232</v>
      </c>
      <c r="S2212" s="16" t="n">
        <v>36494</v>
      </c>
      <c r="T2212" s="28" t="s">
        <v>40</v>
      </c>
      <c r="U2212" s="13" t="s">
        <v>9475</v>
      </c>
      <c r="V2212" s="13" t="s">
        <v>42</v>
      </c>
      <c r="W2212" s="13" t="s">
        <v>54</v>
      </c>
      <c r="X2212" s="21" t="n">
        <v>85855431703</v>
      </c>
      <c r="Y2212" s="22" t="str">
        <f aca="false">O2212</f>
        <v>Tenaga Kerja Bongkar Muat (TKBM)</v>
      </c>
      <c r="Z2212" s="13" t="str">
        <f aca="false">IFERROR(__xludf.dummyfunction("if(BJ2212="""","""",GOOGLETRANSLATE(BJ2212,""auto"",""en""))"),"Loading and Unloading Workers (TKBM)")</f>
        <v>Loading and Unloading Workers (TKBM)</v>
      </c>
      <c r="AA2212" s="23" t="str">
        <f aca="false">IF(C2212="","", CHOOSE(MONTH(C2212),"January","February","March","April","May","June","July","August","September","October","November","December")&amp;" "&amp;DAY(C2212)&amp;MID("thstndrdth",MIN(9,2*RIGHT(DAY(C2212))*(MOD(DAY(C2212)-11,100)&gt;2)+1),2)&amp;","&amp;TEXT(C2212," yyyy"))</f>
        <v>May 5th,2025</v>
      </c>
      <c r="AB2212" s="15" t="str">
        <f aca="true">IF(S2212="","",DATEDIF(S2212,TODAY(),"Y")&amp;" Tahun, "&amp;DATEDIF(S2212,TODAY(),"YM")&amp;" Bulan, "&amp;DATEDIF(S2212,TODAY(),"MD")&amp;" Hari")</f>
        <v>26 Tahun, 10 Bulan, 29 Hari</v>
      </c>
      <c r="AC2212" s="18" t="n">
        <v>45809</v>
      </c>
      <c r="AD2212" s="18" t="n">
        <v>46173</v>
      </c>
      <c r="AE2212" s="18" t="s">
        <v>44</v>
      </c>
    </row>
    <row r="2213" customFormat="false" ht="15" hidden="false" customHeight="true" outlineLevel="0" collapsed="false">
      <c r="A2213" s="12" t="n">
        <v>19567</v>
      </c>
      <c r="B2213" s="13" t="s">
        <v>9476</v>
      </c>
      <c r="C2213" s="16" t="n">
        <v>45782</v>
      </c>
      <c r="D2213" s="13" t="s">
        <v>9387</v>
      </c>
      <c r="E2213" s="15" t="s">
        <v>47</v>
      </c>
      <c r="F2213" s="15" t="str">
        <f aca="false">IFERROR(__xludf.dummyfunction("XLOOKUP(AJ2213,IMPORTRANGE(""1XaInW9DU9nz21V0tYIfzFQ0He9kVQ_JF2mCXgZ3hqFA"",""REKAP ALL 2026 - Andika!G:G""),IMPORTRANGE(""1XaInW9DU9nz21V0tYIfzFQ0He9kVQ_JF2mCXgZ3hqFA"",""REKAP ALL 2026 - Andika!F:F""),"""",0)"),"25062534836")</f>
        <v>25062534836</v>
      </c>
      <c r="G2213" s="13" t="s">
        <v>57</v>
      </c>
      <c r="H2213" s="13" t="s">
        <v>35</v>
      </c>
      <c r="I2213" s="13" t="str">
        <f aca="false">IF(C2213=J2213,"NEW KONTRAK","RE-KONTRAK")</f>
        <v>RE-KONTRAK</v>
      </c>
      <c r="J2213" s="16" t="n">
        <f aca="false" t="array" ref="J2213:J2213">IFERROR(INDEX(AC2213:AE2213,IF(COUNTA(AC2213:AE2213)=0,"",MAX((AC2213:AE2213&lt;&gt;"")*(COLUMN(AC2213:AE2213)-(COLUMN(AC2213)))))-1),"")</f>
        <v>45809</v>
      </c>
      <c r="K2213" s="16" t="n">
        <f aca="false" t="array" ref="K2213:K2213">IFERROR(INDEX(AC2213:AE2213,IF(COUNTA(AC2213:AE2213)=0,"",MAX((AC2213:AE2213&lt;&gt;"")*(COLUMN(AC2213:AE2213)-(COLUMN(AC2213)-1))))-1),"")</f>
        <v>46173</v>
      </c>
      <c r="L2213" s="17" t="str">
        <f aca="false" t="array" ref="L2213:L2213">IFERROR(INDEX(AC2213:AE2213,IF(COUNTA(AC2213:AE2213)=0,"",MAX((AC2213:AE2213&lt;&gt;"")*(COLUMN(AC2213:AE2213)-(COLUMN(AC2213)-2))))-1),"")</f>
        <v>ARCHIVED</v>
      </c>
      <c r="M2213" s="13" t="n">
        <f aca="true">K2213-TODAY()</f>
        <v>-151</v>
      </c>
      <c r="N2213" s="18" t="s">
        <v>615</v>
      </c>
      <c r="O2213" s="13" t="s">
        <v>9388</v>
      </c>
      <c r="P2213" s="27" t="n">
        <v>5176101</v>
      </c>
      <c r="Q2213" s="20" t="s">
        <v>9477</v>
      </c>
      <c r="R2213" s="13" t="s">
        <v>232</v>
      </c>
      <c r="S2213" s="16" t="n">
        <v>33023</v>
      </c>
      <c r="T2213" s="28" t="s">
        <v>40</v>
      </c>
      <c r="U2213" s="13" t="s">
        <v>9478</v>
      </c>
      <c r="V2213" s="13" t="s">
        <v>42</v>
      </c>
      <c r="W2213" s="13" t="s">
        <v>54</v>
      </c>
      <c r="X2213" s="21" t="n">
        <v>85606346802</v>
      </c>
      <c r="Y2213" s="22" t="str">
        <f aca="false">O2213</f>
        <v>Tenaga Kerja Bongkar Muat (TKBM)</v>
      </c>
      <c r="Z2213" s="13" t="str">
        <f aca="false">IFERROR(__xludf.dummyfunction("if(BJ2213="""","""",GOOGLETRANSLATE(BJ2213,""auto"",""en""))"),"Loading and Unloading Workers (TKBM)")</f>
        <v>Loading and Unloading Workers (TKBM)</v>
      </c>
      <c r="AA2213" s="23" t="str">
        <f aca="false">IF(C2213="","", CHOOSE(MONTH(C2213),"January","February","March","April","May","June","July","August","September","October","November","December")&amp;" "&amp;DAY(C2213)&amp;MID("thstndrdth",MIN(9,2*RIGHT(DAY(C2213))*(MOD(DAY(C2213)-11,100)&gt;2)+1),2)&amp;","&amp;TEXT(C2213," yyyy"))</f>
        <v>May 5th,2025</v>
      </c>
      <c r="AB2213" s="15" t="str">
        <f aca="true">IF(S2213="","",DATEDIF(S2213,TODAY(),"Y")&amp;" Tahun, "&amp;DATEDIF(S2213,TODAY(),"YM")&amp;" Bulan, "&amp;DATEDIF(S2213,TODAY(),"MD")&amp;" Hari")</f>
        <v>36 Tahun, 4 Bulan, 29 Hari</v>
      </c>
      <c r="AC2213" s="18" t="n">
        <v>45809</v>
      </c>
      <c r="AD2213" s="18" t="n">
        <v>46173</v>
      </c>
      <c r="AE2213" s="18" t="s">
        <v>44</v>
      </c>
    </row>
    <row r="2214" customFormat="false" ht="15" hidden="false" customHeight="true" outlineLevel="0" collapsed="false">
      <c r="A2214" s="12" t="n">
        <v>19568</v>
      </c>
      <c r="B2214" s="13" t="s">
        <v>9479</v>
      </c>
      <c r="C2214" s="16" t="n">
        <v>45782</v>
      </c>
      <c r="D2214" s="13" t="s">
        <v>9387</v>
      </c>
      <c r="E2214" s="15" t="s">
        <v>47</v>
      </c>
      <c r="F2214" s="15" t="str">
        <f aca="false">IFERROR(__xludf.dummyfunction("XLOOKUP(AJ2214,IMPORTRANGE(""1XaInW9DU9nz21V0tYIfzFQ0He9kVQ_JF2mCXgZ3hqFA"",""REKAP ALL 2026 - Andika!G:G""),IMPORTRANGE(""1XaInW9DU9nz21V0tYIfzFQ0He9kVQ_JF2mCXgZ3hqFA"",""REKAP ALL 2026 - Andika!F:F""),"""",0)"),"25062534844")</f>
        <v>25062534844</v>
      </c>
      <c r="G2214" s="13" t="s">
        <v>57</v>
      </c>
      <c r="H2214" s="13" t="s">
        <v>35</v>
      </c>
      <c r="I2214" s="13" t="str">
        <f aca="false">IF(C2214=J2214,"NEW KONTRAK","RE-KONTRAK")</f>
        <v>RE-KONTRAK</v>
      </c>
      <c r="J2214" s="16" t="n">
        <f aca="false" t="array" ref="J2214:J2214">IFERROR(INDEX(AC2214:AE2214,IF(COUNTA(AC2214:AE2214)=0,"",MAX((AC2214:AE2214&lt;&gt;"")*(COLUMN(AC2214:AE2214)-(COLUMN(AC2214)))))-1),"")</f>
        <v>45809</v>
      </c>
      <c r="K2214" s="16" t="n">
        <f aca="false" t="array" ref="K2214:K2214">IFERROR(INDEX(AC2214:AE2214,IF(COUNTA(AC2214:AE2214)=0,"",MAX((AC2214:AE2214&lt;&gt;"")*(COLUMN(AC2214:AE2214)-(COLUMN(AC2214)-1))))-1),"")</f>
        <v>46173</v>
      </c>
      <c r="L2214" s="17" t="str">
        <f aca="false" t="array" ref="L2214:L2214">IFERROR(INDEX(AC2214:AE2214,IF(COUNTA(AC2214:AE2214)=0,"",MAX((AC2214:AE2214&lt;&gt;"")*(COLUMN(AC2214:AE2214)-(COLUMN(AC2214)-2))))-1),"")</f>
        <v>ARCHIVED</v>
      </c>
      <c r="M2214" s="13" t="n">
        <f aca="true">K2214-TODAY()</f>
        <v>-151</v>
      </c>
      <c r="N2214" s="18" t="s">
        <v>615</v>
      </c>
      <c r="O2214" s="13" t="s">
        <v>9388</v>
      </c>
      <c r="P2214" s="27" t="n">
        <v>5176101</v>
      </c>
      <c r="Q2214" s="20" t="s">
        <v>9480</v>
      </c>
      <c r="R2214" s="13" t="s">
        <v>232</v>
      </c>
      <c r="S2214" s="16" t="n">
        <v>36386</v>
      </c>
      <c r="T2214" s="28" t="s">
        <v>40</v>
      </c>
      <c r="U2214" s="13" t="s">
        <v>9481</v>
      </c>
      <c r="V2214" s="13" t="s">
        <v>42</v>
      </c>
      <c r="W2214" s="13" t="s">
        <v>43</v>
      </c>
      <c r="X2214" s="21" t="n">
        <v>81556425971</v>
      </c>
      <c r="Y2214" s="22" t="str">
        <f aca="false">O2214</f>
        <v>Tenaga Kerja Bongkar Muat (TKBM)</v>
      </c>
      <c r="Z2214" s="13" t="str">
        <f aca="false">IFERROR(__xludf.dummyfunction("if(BJ2214="""","""",GOOGLETRANSLATE(BJ2214,""auto"",""en""))"),"Loading and Unloading Workers (TKBM)")</f>
        <v>Loading and Unloading Workers (TKBM)</v>
      </c>
      <c r="AA2214" s="23" t="str">
        <f aca="false">IF(C2214="","", CHOOSE(MONTH(C2214),"January","February","March","April","May","June","July","August","September","October","November","December")&amp;" "&amp;DAY(C2214)&amp;MID("thstndrdth",MIN(9,2*RIGHT(DAY(C2214))*(MOD(DAY(C2214)-11,100)&gt;2)+1),2)&amp;","&amp;TEXT(C2214," yyyy"))</f>
        <v>May 5th,2025</v>
      </c>
      <c r="AB2214" s="15" t="str">
        <f aca="true">IF(S2214="","",DATEDIF(S2214,TODAY(),"Y")&amp;" Tahun, "&amp;DATEDIF(S2214,TODAY(),"YM")&amp;" Bulan, "&amp;DATEDIF(S2214,TODAY(),"MD")&amp;" Hari")</f>
        <v>27 Tahun, 2 Bulan, 15 Hari</v>
      </c>
      <c r="AC2214" s="18" t="n">
        <v>45809</v>
      </c>
      <c r="AD2214" s="18" t="n">
        <v>46173</v>
      </c>
      <c r="AE2214" s="18" t="s">
        <v>44</v>
      </c>
    </row>
    <row r="2215" customFormat="false" ht="15" hidden="false" customHeight="true" outlineLevel="0" collapsed="false">
      <c r="A2215" s="12" t="n">
        <v>19576</v>
      </c>
      <c r="B2215" s="13" t="s">
        <v>9482</v>
      </c>
      <c r="C2215" s="16" t="n">
        <v>45778</v>
      </c>
      <c r="D2215" s="13" t="s">
        <v>4112</v>
      </c>
      <c r="E2215" s="15" t="s">
        <v>47</v>
      </c>
      <c r="F2215" s="15" t="str">
        <f aca="false">IFERROR(__xludf.dummyfunction("XLOOKUP(AJ2215,IMPORTRANGE(""1XaInW9DU9nz21V0tYIfzFQ0He9kVQ_JF2mCXgZ3hqFA"",""REKAP ALL 2026 - Andika!G:G""),IMPORTRANGE(""1XaInW9DU9nz21V0tYIfzFQ0He9kVQ_JF2mCXgZ3hqFA"",""REKAP ALL 2026 - Andika!F:F""),"""",0)"),"25079834203")</f>
        <v>25079834203</v>
      </c>
      <c r="G2215" s="15" t="s">
        <v>9483</v>
      </c>
      <c r="H2215" s="13" t="s">
        <v>35</v>
      </c>
      <c r="I2215" s="13" t="str">
        <f aca="false">IF(C2215=J2215,"NEW KONTRAK","RE-KONTRAK")</f>
        <v>RE-KONTRAK</v>
      </c>
      <c r="J2215" s="16" t="n">
        <f aca="false" t="array" ref="J2215:J2215">IFERROR(INDEX(AC2215:AE2215,IF(COUNTA(AC2215:AE2215)=0,"",MAX((AC2215:AE2215&lt;&gt;"")*(COLUMN(AC2215:AE2215)-(COLUMN(AC2215)))))-1),"")</f>
        <v>45870</v>
      </c>
      <c r="K2215" s="16" t="n">
        <f aca="false" t="array" ref="K2215:K2215">IFERROR(INDEX(AC2215:AE2215,IF(COUNTA(AC2215:AE2215)=0,"",MAX((AC2215:AE2215&lt;&gt;"")*(COLUMN(AC2215:AE2215)-(COLUMN(AC2215)-1))))-1),"")</f>
        <v>46258</v>
      </c>
      <c r="L2215" s="17" t="str">
        <f aca="false" t="array" ref="L2215:L2215">IFERROR(INDEX(AC2215:AE2215,IF(COUNTA(AC2215:AE2215)=0,"",MAX((AC2215:AE2215&lt;&gt;"")*(COLUMN(AC2215:AE2215)-(COLUMN(AC2215)-2))))-1),"")</f>
        <v>ARCHIVED</v>
      </c>
      <c r="M2215" s="13" t="n">
        <f aca="true">K2215-TODAY()</f>
        <v>-66</v>
      </c>
      <c r="N2215" s="18" t="s">
        <v>728</v>
      </c>
      <c r="O2215" s="13" t="s">
        <v>3271</v>
      </c>
      <c r="P2215" s="19" t="n">
        <v>2800000</v>
      </c>
      <c r="Q2215" s="20" t="s">
        <v>9484</v>
      </c>
      <c r="R2215" s="13" t="s">
        <v>52</v>
      </c>
      <c r="S2215" s="14" t="n">
        <v>37379</v>
      </c>
      <c r="T2215" s="13" t="s">
        <v>40</v>
      </c>
      <c r="U2215" s="13" t="s">
        <v>9485</v>
      </c>
      <c r="V2215" s="13" t="s">
        <v>42</v>
      </c>
      <c r="W2215" s="13" t="s">
        <v>43</v>
      </c>
      <c r="X2215" s="21" t="n">
        <v>89660264242</v>
      </c>
      <c r="Y2215" s="22" t="str">
        <f aca="false">O2215</f>
        <v>Helper</v>
      </c>
      <c r="Z2215" s="13" t="str">
        <f aca="false">IFERROR(__xludf.dummyfunction("if(BJ2215="""","""",GOOGLETRANSLATE(BJ2215,""auto"",""en""))"),"Helper")</f>
        <v>Helper</v>
      </c>
      <c r="AA2215" s="23" t="str">
        <f aca="false">IF(C2215="","", CHOOSE(MONTH(C2215),"January","February","March","April","May","June","July","August","September","October","November","December")&amp;" "&amp;DAY(C2215)&amp;MID("thstndrdth",MIN(9,2*RIGHT(DAY(C2215))*(MOD(DAY(C2215)-11,100)&gt;2)+1),2)&amp;","&amp;TEXT(C2215," yyyy"))</f>
        <v>May 1st,2025</v>
      </c>
      <c r="AB2215" s="15" t="str">
        <f aca="true">IF(S2215="","",DATEDIF(S2215,TODAY(),"Y")&amp;" Tahun, "&amp;DATEDIF(S2215,TODAY(),"YM")&amp;" Bulan, "&amp;DATEDIF(S2215,TODAY(),"MD")&amp;" Hari")</f>
        <v>24 Tahun, 5 Bulan, 26 Hari</v>
      </c>
      <c r="AC2215" s="18" t="n">
        <v>45870</v>
      </c>
      <c r="AD2215" s="18" t="n">
        <v>46258</v>
      </c>
      <c r="AE2215" s="18" t="s">
        <v>44</v>
      </c>
    </row>
    <row r="2216" customFormat="false" ht="15" hidden="false" customHeight="true" outlineLevel="0" collapsed="false">
      <c r="A2216" s="12" t="n">
        <v>19572</v>
      </c>
      <c r="B2216" s="13" t="s">
        <v>9486</v>
      </c>
      <c r="C2216" s="16" t="n">
        <v>45786</v>
      </c>
      <c r="D2216" s="13" t="s">
        <v>9043</v>
      </c>
      <c r="E2216" s="15" t="s">
        <v>102</v>
      </c>
      <c r="F2216" s="15" t="str">
        <f aca="false">IFERROR(__xludf.dummyfunction("XLOOKUP(AJ2216,IMPORTRANGE(""1XaInW9DU9nz21V0tYIfzFQ0He9kVQ_JF2mCXgZ3hqFA"",""REKAP ALL 2026 - Andika!G:G""),IMPORTRANGE(""1XaInW9DU9nz21V0tYIfzFQ0He9kVQ_JF2mCXgZ3hqFA"",""REKAP ALL 2026 - Andika!F:F""),"""",0)"),"25062536674")</f>
        <v>25062536674</v>
      </c>
      <c r="G2216" s="13" t="s">
        <v>9487</v>
      </c>
      <c r="H2216" s="13" t="s">
        <v>35</v>
      </c>
      <c r="I2216" s="13" t="str">
        <f aca="false">IF(C2216=J2216,"NEW KONTRAK","RE-KONTRAK")</f>
        <v>NEW KONTRAK</v>
      </c>
      <c r="J2216" s="16" t="n">
        <f aca="false" t="array" ref="J2216:J2216">IFERROR(INDEX(AC2216:AE2216,IF(COUNTA(AC2216:AE2216)=0,"",MAX((AC2216:AE2216&lt;&gt;"")*(COLUMN(AC2216:AE2216)-(COLUMN(AC2216)))))-1),"")</f>
        <v>45786</v>
      </c>
      <c r="K2216" s="16" t="n">
        <f aca="false" t="array" ref="K2216:K2216">IFERROR(INDEX(AC2216:AE2216,IF(COUNTA(AC2216:AE2216)=0,"",MAX((AC2216:AE2216&lt;&gt;"")*(COLUMN(AC2216:AE2216)-(COLUMN(AC2216)-1))))-1),"")</f>
        <v>45969</v>
      </c>
      <c r="L2216" s="17" t="str">
        <f aca="false" t="array" ref="L2216:L2216">IFERROR(INDEX(AC2216:AE2216,IF(COUNTA(AC2216:AE2216)=0,"",MAX((AC2216:AE2216&lt;&gt;"")*(COLUMN(AC2216:AE2216)-(COLUMN(AC2216)-2))))-1),"")</f>
        <v>ARCHIVED</v>
      </c>
      <c r="M2216" s="13" t="n">
        <f aca="true">K2216-TODAY()</f>
        <v>-355</v>
      </c>
      <c r="N2216" s="50" t="s">
        <v>4735</v>
      </c>
      <c r="O2216" s="13" t="s">
        <v>6662</v>
      </c>
      <c r="P2216" s="19" t="n">
        <v>3700000</v>
      </c>
      <c r="Q2216" s="20" t="s">
        <v>9488</v>
      </c>
      <c r="R2216" s="13" t="s">
        <v>83</v>
      </c>
      <c r="S2216" s="16" t="n">
        <v>35206</v>
      </c>
      <c r="T2216" s="28" t="s">
        <v>40</v>
      </c>
      <c r="U2216" s="13" t="s">
        <v>9489</v>
      </c>
      <c r="V2216" s="13" t="s">
        <v>42</v>
      </c>
      <c r="W2216" s="13" t="s">
        <v>43</v>
      </c>
      <c r="X2216" s="21" t="n">
        <v>89609304412</v>
      </c>
      <c r="Y2216" s="22" t="str">
        <f aca="false">O2216</f>
        <v>Front Office</v>
      </c>
      <c r="Z2216" s="13" t="str">
        <f aca="false">IFERROR(__xludf.dummyfunction("if(BJ2216="""","""",GOOGLETRANSLATE(BJ2216,""auto"",""en""))"),"Front Office")</f>
        <v>Front Office</v>
      </c>
      <c r="AA2216" s="23" t="str">
        <f aca="false">IF(C2216="","", CHOOSE(MONTH(C2216),"January","February","March","April","May","June","July","August","September","October","November","December")&amp;" "&amp;DAY(C2216)&amp;MID("thstndrdth",MIN(9,2*RIGHT(DAY(C2216))*(MOD(DAY(C2216)-11,100)&gt;2)+1),2)&amp;","&amp;TEXT(C2216," yyyy"))</f>
        <v>May 9th,2025</v>
      </c>
      <c r="AB2216" s="15" t="str">
        <f aca="true">IF(S2216="","",DATEDIF(S2216,TODAY(),"Y")&amp;" Tahun, "&amp;DATEDIF(S2216,TODAY(),"YM")&amp;" Bulan, "&amp;DATEDIF(S2216,TODAY(),"MD")&amp;" Hari")</f>
        <v>30 Tahun, 5 Bulan, 8 Hari</v>
      </c>
      <c r="AC2216" s="18" t="n">
        <v>45786</v>
      </c>
      <c r="AD2216" s="18" t="n">
        <v>45969</v>
      </c>
      <c r="AE2216" s="18" t="s">
        <v>44</v>
      </c>
    </row>
    <row r="2217" customFormat="false" ht="15" hidden="false" customHeight="true" outlineLevel="0" collapsed="false">
      <c r="A2217" s="12" t="n">
        <v>19573</v>
      </c>
      <c r="B2217" s="13" t="s">
        <v>9490</v>
      </c>
      <c r="C2217" s="16" t="n">
        <v>45778</v>
      </c>
      <c r="D2217" s="13" t="s">
        <v>4112</v>
      </c>
      <c r="E2217" s="15" t="s">
        <v>102</v>
      </c>
      <c r="F2217" s="15" t="str">
        <f aca="false">IFERROR(__xludf.dummyfunction("XLOOKUP(AJ2217,IMPORTRANGE(""1XaInW9DU9nz21V0tYIfzFQ0He9kVQ_JF2mCXgZ3hqFA"",""REKAP ALL 2026 - Andika!G:G""),IMPORTRANGE(""1XaInW9DU9nz21V0tYIfzFQ0He9kVQ_JF2mCXgZ3hqFA"",""REKAP ALL 2026 - Andika!F:F""),"""",0)"),"25026039484")</f>
        <v>25026039484</v>
      </c>
      <c r="G2217" s="15" t="s">
        <v>9491</v>
      </c>
      <c r="H2217" s="13" t="s">
        <v>35</v>
      </c>
      <c r="I2217" s="13" t="str">
        <f aca="false">IF(C2217=J2217,"NEW KONTRAK","RE-KONTRAK")</f>
        <v>RE-KONTRAK</v>
      </c>
      <c r="J2217" s="16" t="n">
        <f aca="false" t="array" ref="J2217:J2217">IFERROR(INDEX(AC2217:AE2217,IF(COUNTA(AC2217:AE2217)=0,"",MAX((AC2217:AE2217&lt;&gt;"")*(COLUMN(AC2217:AE2217)-(COLUMN(AC2217)))))-1),"")</f>
        <v>45870</v>
      </c>
      <c r="K2217" s="16" t="n">
        <f aca="false" t="array" ref="K2217:K2217">IFERROR(INDEX(AC2217:AE2217,IF(COUNTA(AC2217:AE2217)=0,"",MAX((AC2217:AE2217&lt;&gt;"")*(COLUMN(AC2217:AE2217)-(COLUMN(AC2217)-1))))-1),"")</f>
        <v>46258</v>
      </c>
      <c r="L2217" s="17" t="str">
        <f aca="false" t="array" ref="L2217:L2217">IFERROR(INDEX(AC2217:AE2217,IF(COUNTA(AC2217:AE2217)=0,"",MAX((AC2217:AE2217&lt;&gt;"")*(COLUMN(AC2217:AE2217)-(COLUMN(AC2217)-2))))-1),"")</f>
        <v>ARCHIVED</v>
      </c>
      <c r="M2217" s="13" t="n">
        <f aca="true">K2217-TODAY()</f>
        <v>-66</v>
      </c>
      <c r="N2217" s="18" t="s">
        <v>728</v>
      </c>
      <c r="O2217" s="13" t="s">
        <v>3271</v>
      </c>
      <c r="P2217" s="71" t="n">
        <v>2912000</v>
      </c>
      <c r="Q2217" s="20" t="s">
        <v>9492</v>
      </c>
      <c r="R2217" s="13" t="s">
        <v>52</v>
      </c>
      <c r="S2217" s="14" t="n">
        <v>36385</v>
      </c>
      <c r="T2217" s="13" t="s">
        <v>40</v>
      </c>
      <c r="U2217" s="13" t="s">
        <v>9493</v>
      </c>
      <c r="V2217" s="13" t="s">
        <v>42</v>
      </c>
      <c r="W2217" s="13" t="s">
        <v>43</v>
      </c>
      <c r="X2217" s="21" t="n">
        <v>83826162391</v>
      </c>
      <c r="Y2217" s="22" t="str">
        <f aca="false">O2217</f>
        <v>Helper</v>
      </c>
      <c r="Z2217" s="13" t="str">
        <f aca="false">IFERROR(__xludf.dummyfunction("if(BJ2217="""","""",GOOGLETRANSLATE(BJ2217,""auto"",""en""))"),"Helper")</f>
        <v>Helper</v>
      </c>
      <c r="AA2217" s="23" t="str">
        <f aca="false">IF(C2217="","", CHOOSE(MONTH(C2217),"January","February","March","April","May","June","July","August","September","October","November","December")&amp;" "&amp;DAY(C2217)&amp;MID("thstndrdth",MIN(9,2*RIGHT(DAY(C2217))*(MOD(DAY(C2217)-11,100)&gt;2)+1),2)&amp;","&amp;TEXT(C2217," yyyy"))</f>
        <v>May 1st,2025</v>
      </c>
      <c r="AB2217" s="15" t="str">
        <f aca="true">IF(S2217="","",DATEDIF(S2217,TODAY(),"Y")&amp;" Tahun, "&amp;DATEDIF(S2217,TODAY(),"YM")&amp;" Bulan, "&amp;DATEDIF(S2217,TODAY(),"MD")&amp;" Hari")</f>
        <v>27 Tahun, 2 Bulan, 16 Hari</v>
      </c>
      <c r="AC2217" s="18" t="n">
        <v>45870</v>
      </c>
      <c r="AD2217" s="18" t="n">
        <v>46258</v>
      </c>
      <c r="AE2217" s="18" t="s">
        <v>44</v>
      </c>
    </row>
    <row r="2218" customFormat="false" ht="15" hidden="false" customHeight="true" outlineLevel="0" collapsed="false">
      <c r="A2218" s="12" t="n">
        <v>19578</v>
      </c>
      <c r="B2218" s="13" t="s">
        <v>9494</v>
      </c>
      <c r="C2218" s="16" t="n">
        <v>45778</v>
      </c>
      <c r="D2218" s="13" t="s">
        <v>4112</v>
      </c>
      <c r="E2218" s="15" t="s">
        <v>47</v>
      </c>
      <c r="F2218" s="15" t="str">
        <f aca="false">IFERROR(__xludf.dummyfunction("XLOOKUP(AJ2218,IMPORTRANGE(""1XaInW9DU9nz21V0tYIfzFQ0He9kVQ_JF2mCXgZ3hqFA"",""REKAP ALL 2026 - Andika!G:G""),IMPORTRANGE(""1XaInW9DU9nz21V0tYIfzFQ0He9kVQ_JF2mCXgZ3hqFA"",""REKAP ALL 2026 - Andika!F:F""),"""",0)"),"25079834195")</f>
        <v>25079834195</v>
      </c>
      <c r="G2218" s="15" t="s">
        <v>9495</v>
      </c>
      <c r="H2218" s="13" t="s">
        <v>35</v>
      </c>
      <c r="I2218" s="13" t="str">
        <f aca="false">IF(C2218=J2218,"NEW KONTRAK","RE-KONTRAK")</f>
        <v>RE-KONTRAK</v>
      </c>
      <c r="J2218" s="16" t="n">
        <f aca="false" t="array" ref="J2218:J2218">IFERROR(INDEX(AC2218:AE2218,IF(COUNTA(AC2218:AE2218)=0,"",MAX((AC2218:AE2218&lt;&gt;"")*(COLUMN(AC2218:AE2218)-(COLUMN(AC2218)))))-1),"")</f>
        <v>45870</v>
      </c>
      <c r="K2218" s="16" t="n">
        <f aca="false" t="array" ref="K2218:K2218">IFERROR(INDEX(AC2218:AE2218,IF(COUNTA(AC2218:AE2218)=0,"",MAX((AC2218:AE2218&lt;&gt;"")*(COLUMN(AC2218:AE2218)-(COLUMN(AC2218)-1))))-1),"")</f>
        <v>46258</v>
      </c>
      <c r="L2218" s="17" t="str">
        <f aca="false" t="array" ref="L2218:L2218">IFERROR(INDEX(AC2218:AE2218,IF(COUNTA(AC2218:AE2218)=0,"",MAX((AC2218:AE2218&lt;&gt;"")*(COLUMN(AC2218:AE2218)-(COLUMN(AC2218)-2))))-1),"")</f>
        <v>ARCHIVED</v>
      </c>
      <c r="M2218" s="13" t="n">
        <f aca="true">K2218-TODAY()</f>
        <v>-66</v>
      </c>
      <c r="N2218" s="18" t="s">
        <v>728</v>
      </c>
      <c r="O2218" s="13" t="s">
        <v>3271</v>
      </c>
      <c r="P2218" s="19" t="n">
        <v>2800000</v>
      </c>
      <c r="Q2218" s="20" t="s">
        <v>9496</v>
      </c>
      <c r="R2218" s="13" t="s">
        <v>168</v>
      </c>
      <c r="S2218" s="14" t="n">
        <v>32986</v>
      </c>
      <c r="T2218" s="13" t="s">
        <v>40</v>
      </c>
      <c r="U2218" s="13" t="s">
        <v>9497</v>
      </c>
      <c r="V2218" s="13" t="s">
        <v>42</v>
      </c>
      <c r="W2218" s="13" t="s">
        <v>43</v>
      </c>
      <c r="X2218" s="21" t="n">
        <v>895323398694</v>
      </c>
      <c r="Y2218" s="22" t="str">
        <f aca="false">O2218</f>
        <v>Helper</v>
      </c>
      <c r="Z2218" s="13" t="str">
        <f aca="false">IFERROR(__xludf.dummyfunction("if(BJ2218="""","""",GOOGLETRANSLATE(BJ2218,""auto"",""en""))"),"Helper")</f>
        <v>Helper</v>
      </c>
      <c r="AA2218" s="23" t="str">
        <f aca="false">IF(C2218="","", CHOOSE(MONTH(C2218),"January","February","March","April","May","June","July","August","September","October","November","December")&amp;" "&amp;DAY(C2218)&amp;MID("thstndrdth",MIN(9,2*RIGHT(DAY(C2218))*(MOD(DAY(C2218)-11,100)&gt;2)+1),2)&amp;","&amp;TEXT(C2218," yyyy"))</f>
        <v>May 1st,2025</v>
      </c>
      <c r="AB2218" s="15" t="str">
        <f aca="true">IF(S2218="","",DATEDIF(S2218,TODAY(),"Y")&amp;" Tahun, "&amp;DATEDIF(S2218,TODAY(),"YM")&amp;" Bulan, "&amp;DATEDIF(S2218,TODAY(),"MD")&amp;" Hari")</f>
        <v>36 Tahun, 6 Bulan, 6 Hari</v>
      </c>
      <c r="AC2218" s="18" t="n">
        <v>45870</v>
      </c>
      <c r="AD2218" s="18" t="n">
        <v>46258</v>
      </c>
      <c r="AE2218" s="18" t="s">
        <v>44</v>
      </c>
    </row>
    <row r="2219" customFormat="false" ht="15" hidden="false" customHeight="true" outlineLevel="0" collapsed="false">
      <c r="A2219" s="12" t="n">
        <v>19642</v>
      </c>
      <c r="B2219" s="13" t="s">
        <v>9498</v>
      </c>
      <c r="C2219" s="16" t="n">
        <v>45797</v>
      </c>
      <c r="D2219" s="13" t="s">
        <v>144</v>
      </c>
      <c r="E2219" s="15" t="s">
        <v>47</v>
      </c>
      <c r="F2219" s="15" t="str">
        <f aca="false">IFERROR(__xludf.dummyfunction("XLOOKUP(AJ2219,IMPORTRANGE(""1XaInW9DU9nz21V0tYIfzFQ0He9kVQ_JF2mCXgZ3hqFA"",""REKAP ALL 2026 - Andika!G:G""),IMPORTRANGE(""1XaInW9DU9nz21V0tYIfzFQ0He9kVQ_JF2mCXgZ3hqFA"",""REKAP ALL 2026 - Andika!F:F""),"""",0)"),"25062537342")</f>
        <v>25062537342</v>
      </c>
      <c r="G2219" s="13" t="s">
        <v>9499</v>
      </c>
      <c r="H2219" s="13" t="s">
        <v>35</v>
      </c>
      <c r="I2219" s="13" t="str">
        <f aca="false">IF(C2219=J2219,"NEW KONTRAK","RE-KONTRAK")</f>
        <v>NEW KONTRAK</v>
      </c>
      <c r="J2219" s="16" t="n">
        <f aca="false" t="array" ref="J2219:J2219">IFERROR(INDEX(AC2219:AE2219,IF(COUNTA(AC2219:AE2219)=0,"",MAX((AC2219:AE2219&lt;&gt;"")*(COLUMN(AC2219:AE2219)-(COLUMN(AC2219)))))-1),"")</f>
        <v>45797</v>
      </c>
      <c r="K2219" s="16" t="n">
        <f aca="false" t="array" ref="K2219:K2219">IFERROR(INDEX(AC2219:AE2219,IF(COUNTA(AC2219:AE2219)=0,"",MAX((AC2219:AE2219&lt;&gt;"")*(COLUMN(AC2219:AE2219)-(COLUMN(AC2219)-1))))-1),"")</f>
        <v>46022</v>
      </c>
      <c r="L2219" s="17" t="str">
        <f aca="false" t="array" ref="L2219:L2219">IFERROR(INDEX(AC2219:AE2219,IF(COUNTA(AC2219:AE2219)=0,"",MAX((AC2219:AE2219&lt;&gt;"")*(COLUMN(AC2219:AE2219)-(COLUMN(AC2219)-2))))-1),"")</f>
        <v>ARCHIVED</v>
      </c>
      <c r="M2219" s="13" t="n">
        <f aca="true">K2219-TODAY()</f>
        <v>-302</v>
      </c>
      <c r="N2219" s="18" t="s">
        <v>36</v>
      </c>
      <c r="O2219" s="13" t="s">
        <v>6285</v>
      </c>
      <c r="P2219" s="19" t="n">
        <v>5195401</v>
      </c>
      <c r="Q2219" s="20" t="s">
        <v>9500</v>
      </c>
      <c r="R2219" s="13" t="s">
        <v>65</v>
      </c>
      <c r="S2219" s="16" t="n">
        <v>31997</v>
      </c>
      <c r="T2219" s="28" t="s">
        <v>40</v>
      </c>
      <c r="U2219" s="13" t="s">
        <v>9501</v>
      </c>
      <c r="V2219" s="13" t="s">
        <v>42</v>
      </c>
      <c r="W2219" s="13" t="s">
        <v>54</v>
      </c>
      <c r="X2219" s="21" t="n">
        <v>85117090087</v>
      </c>
      <c r="Y2219" s="22" t="str">
        <f aca="false">O2219</f>
        <v>Operator Reach Truck</v>
      </c>
      <c r="Z2219" s="13" t="str">
        <f aca="false">IFERROR(__xludf.dummyfunction("if(BJ2219="""","""",GOOGLETRANSLATE(BJ2219,""auto"",""en""))"),"Operator Reach Truck")</f>
        <v>Operator Reach Truck</v>
      </c>
      <c r="AA2219" s="23" t="str">
        <f aca="false">IF(C2219="","", CHOOSE(MONTH(C2219),"January","February","March","April","May","June","July","August","September","October","November","December")&amp;" "&amp;DAY(C2219)&amp;MID("thstndrdth",MIN(9,2*RIGHT(DAY(C2219))*(MOD(DAY(C2219)-11,100)&gt;2)+1),2)&amp;","&amp;TEXT(C2219," yyyy"))</f>
        <v>May 20th,2025</v>
      </c>
      <c r="AB2219" s="15" t="str">
        <f aca="true">IF(S2219="","",DATEDIF(S2219,TODAY(),"Y")&amp;" Tahun, "&amp;DATEDIF(S2219,TODAY(),"YM")&amp;" Bulan, "&amp;DATEDIF(S2219,TODAY(),"MD")&amp;" Hari")</f>
        <v>39 Tahun, 2 Bulan, 21 Hari</v>
      </c>
      <c r="AC2219" s="18" t="n">
        <v>45797</v>
      </c>
      <c r="AD2219" s="18" t="n">
        <v>46022</v>
      </c>
      <c r="AE2219" s="18" t="s">
        <v>44</v>
      </c>
    </row>
    <row r="2220" customFormat="false" ht="15" hidden="false" customHeight="true" outlineLevel="0" collapsed="false">
      <c r="A2220" s="12" t="n">
        <v>19600</v>
      </c>
      <c r="B2220" s="13" t="s">
        <v>9502</v>
      </c>
      <c r="C2220" s="16" t="n">
        <v>45788</v>
      </c>
      <c r="D2220" s="13" t="s">
        <v>7948</v>
      </c>
      <c r="E2220" s="15" t="s">
        <v>7949</v>
      </c>
      <c r="F2220" s="15" t="str">
        <f aca="false">IFERROR(__xludf.dummyfunction("XLOOKUP(AJ2220,IMPORTRANGE(""1XaInW9DU9nz21V0tYIfzFQ0He9kVQ_JF2mCXgZ3hqFA"",""REKAP ALL 2026 - Andika!G:G""),IMPORTRANGE(""1XaInW9DU9nz21V0tYIfzFQ0He9kVQ_JF2mCXgZ3hqFA"",""REKAP ALL 2026 - Andika!F:F""),"""",0)"),"25062535577")</f>
        <v>25062535577</v>
      </c>
      <c r="G2220" s="13" t="s">
        <v>57</v>
      </c>
      <c r="H2220" s="13" t="s">
        <v>7950</v>
      </c>
      <c r="I2220" s="13" t="str">
        <f aca="false">IF(C2220=J2220,"NEW KONTRAK","RE-KONTRAK")</f>
        <v>RE-KONTRAK</v>
      </c>
      <c r="J2220" s="16" t="n">
        <f aca="false" t="array" ref="J2220:J2220">IFERROR(INDEX(AC2220:AE2220,IF(COUNTA(AC2220:AE2220)=0,"",MAX((AC2220:AE2220&lt;&gt;"")*(COLUMN(AC2220:AE2220)-(COLUMN(AC2220)))))-1),"")</f>
        <v>45844</v>
      </c>
      <c r="K2220" s="16" t="n">
        <f aca="false" t="array" ref="K2220:K2220">IFERROR(INDEX(AC2220:AE2220,IF(COUNTA(AC2220:AE2220)=0,"",MAX((AC2220:AE2220&lt;&gt;"")*(COLUMN(AC2220:AE2220)-(COLUMN(AC2220)-1))))-1),"")</f>
        <v>45935</v>
      </c>
      <c r="L2220" s="17" t="str">
        <f aca="false" t="array" ref="L2220:L2220">IFERROR(INDEX(AC2220:AE2220,IF(COUNTA(AC2220:AE2220)=0,"",MAX((AC2220:AE2220&lt;&gt;"")*(COLUMN(AC2220:AE2220)-(COLUMN(AC2220)-2))))-1),"")</f>
        <v>ARCHIVED</v>
      </c>
      <c r="M2220" s="13" t="n">
        <f aca="true">K2220-TODAY()</f>
        <v>-389</v>
      </c>
      <c r="N2220" s="18" t="s">
        <v>4051</v>
      </c>
      <c r="O2220" s="13" t="s">
        <v>7951</v>
      </c>
      <c r="P2220" s="19" t="n">
        <v>210000</v>
      </c>
      <c r="Q2220" s="20" t="s">
        <v>9503</v>
      </c>
      <c r="R2220" s="13" t="s">
        <v>39</v>
      </c>
      <c r="S2220" s="16" t="n">
        <v>31972</v>
      </c>
      <c r="T2220" s="28" t="s">
        <v>40</v>
      </c>
      <c r="U2220" s="13" t="s">
        <v>9504</v>
      </c>
      <c r="V2220" s="13" t="s">
        <v>42</v>
      </c>
      <c r="W2220" s="13" t="s">
        <v>54</v>
      </c>
      <c r="X2220" s="21" t="n">
        <v>88216812592</v>
      </c>
      <c r="Y2220" s="22" t="str">
        <f aca="false">O2220</f>
        <v>Mekanik Kiln</v>
      </c>
      <c r="Z2220" s="13" t="str">
        <f aca="false">IFERROR(__xludf.dummyfunction("if(BJ2220="""","""",GOOGLETRANSLATE(BJ2220,""auto"",""en""))"),"Kiln Mechanics")</f>
        <v>Kiln Mechanics</v>
      </c>
      <c r="AA2220" s="23" t="str">
        <f aca="false">IF(C2220="","", CHOOSE(MONTH(C2220),"January","February","March","April","May","June","July","August","September","October","November","December")&amp;" "&amp;DAY(C2220)&amp;MID("thstndrdth",MIN(9,2*RIGHT(DAY(C2220))*(MOD(DAY(C2220)-11,100)&gt;2)+1),2)&amp;","&amp;TEXT(C2220," yyyy"))</f>
        <v>May 11th,2025</v>
      </c>
      <c r="AB2220" s="15" t="str">
        <f aca="true">IF(S2220="","",DATEDIF(S2220,TODAY(),"Y")&amp;" Tahun, "&amp;DATEDIF(S2220,TODAY(),"YM")&amp;" Bulan, "&amp;DATEDIF(S2220,TODAY(),"MD")&amp;" Hari")</f>
        <v>39 Tahun, 3 Bulan, 15 Hari</v>
      </c>
      <c r="AC2220" s="18" t="n">
        <v>45844</v>
      </c>
      <c r="AD2220" s="18" t="n">
        <v>45935</v>
      </c>
      <c r="AE2220" s="18" t="s">
        <v>44</v>
      </c>
    </row>
    <row r="2221" customFormat="false" ht="15" hidden="false" customHeight="true" outlineLevel="0" collapsed="false">
      <c r="A2221" s="12" t="n">
        <v>19603</v>
      </c>
      <c r="B2221" s="13" t="s">
        <v>9505</v>
      </c>
      <c r="C2221" s="16" t="n">
        <v>45788</v>
      </c>
      <c r="D2221" s="13" t="s">
        <v>7948</v>
      </c>
      <c r="E2221" s="15" t="s">
        <v>7949</v>
      </c>
      <c r="F2221" s="15" t="str">
        <f aca="false">IFERROR(__xludf.dummyfunction("XLOOKUP(AJ2221,IMPORTRANGE(""1XaInW9DU9nz21V0tYIfzFQ0He9kVQ_JF2mCXgZ3hqFA"",""REKAP ALL 2026 - Andika!G:G""),IMPORTRANGE(""1XaInW9DU9nz21V0tYIfzFQ0He9kVQ_JF2mCXgZ3hqFA"",""REKAP ALL 2026 - Andika!F:F""),"""",0)"),"25062535601")</f>
        <v>25062535601</v>
      </c>
      <c r="G2221" s="13" t="s">
        <v>57</v>
      </c>
      <c r="H2221" s="13" t="s">
        <v>7950</v>
      </c>
      <c r="I2221" s="13" t="str">
        <f aca="false">IF(C2221=J2221,"NEW KONTRAK","RE-KONTRAK")</f>
        <v>RE-KONTRAK</v>
      </c>
      <c r="J2221" s="16" t="n">
        <f aca="false" t="array" ref="J2221:J2221">IFERROR(INDEX(AC2221:AE2221,IF(COUNTA(AC2221:AE2221)=0,"",MAX((AC2221:AE2221&lt;&gt;"")*(COLUMN(AC2221:AE2221)-(COLUMN(AC2221)))))-1),"")</f>
        <v>45844</v>
      </c>
      <c r="K2221" s="16" t="n">
        <f aca="false" t="array" ref="K2221:K2221">IFERROR(INDEX(AC2221:AE2221,IF(COUNTA(AC2221:AE2221)=0,"",MAX((AC2221:AE2221&lt;&gt;"")*(COLUMN(AC2221:AE2221)-(COLUMN(AC2221)-1))))-1),"")</f>
        <v>45935</v>
      </c>
      <c r="L2221" s="17" t="str">
        <f aca="false" t="array" ref="L2221:L2221">IFERROR(INDEX(AC2221:AE2221,IF(COUNTA(AC2221:AE2221)=0,"",MAX((AC2221:AE2221&lt;&gt;"")*(COLUMN(AC2221:AE2221)-(COLUMN(AC2221)-2))))-1),"")</f>
        <v>ARCHIVED</v>
      </c>
      <c r="M2221" s="13" t="n">
        <f aca="true">K2221-TODAY()</f>
        <v>-389</v>
      </c>
      <c r="N2221" s="18" t="s">
        <v>4051</v>
      </c>
      <c r="O2221" s="13" t="s">
        <v>7951</v>
      </c>
      <c r="P2221" s="19" t="n">
        <v>210000</v>
      </c>
      <c r="Q2221" s="20" t="s">
        <v>9506</v>
      </c>
      <c r="R2221" s="13" t="s">
        <v>39</v>
      </c>
      <c r="S2221" s="16" t="n">
        <v>31912</v>
      </c>
      <c r="T2221" s="28" t="s">
        <v>40</v>
      </c>
      <c r="U2221" s="13" t="s">
        <v>9507</v>
      </c>
      <c r="V2221" s="13" t="s">
        <v>42</v>
      </c>
      <c r="W2221" s="13" t="s">
        <v>54</v>
      </c>
      <c r="X2221" s="21" t="n">
        <v>82132753475</v>
      </c>
      <c r="Y2221" s="22" t="str">
        <f aca="false">O2221</f>
        <v>Mekanik Kiln</v>
      </c>
      <c r="Z2221" s="13" t="str">
        <f aca="false">IFERROR(__xludf.dummyfunction("if(BJ2221="""","""",GOOGLETRANSLATE(BJ2221,""auto"",""en""))"),"Kiln Mechanics")</f>
        <v>Kiln Mechanics</v>
      </c>
      <c r="AA2221" s="23" t="str">
        <f aca="false">IF(C2221="","", CHOOSE(MONTH(C2221),"January","February","March","April","May","June","July","August","September","October","November","December")&amp;" "&amp;DAY(C2221)&amp;MID("thstndrdth",MIN(9,2*RIGHT(DAY(C2221))*(MOD(DAY(C2221)-11,100)&gt;2)+1),2)&amp;","&amp;TEXT(C2221," yyyy"))</f>
        <v>May 11th,2025</v>
      </c>
      <c r="AB2221" s="15" t="str">
        <f aca="true">IF(S2221="","",DATEDIF(S2221,TODAY(),"Y")&amp;" Tahun, "&amp;DATEDIF(S2221,TODAY(),"YM")&amp;" Bulan, "&amp;DATEDIF(S2221,TODAY(),"MD")&amp;" Hari")</f>
        <v>39 Tahun, 5 Bulan, 14 Hari</v>
      </c>
      <c r="AC2221" s="18" t="n">
        <v>45844</v>
      </c>
      <c r="AD2221" s="18" t="n">
        <v>45935</v>
      </c>
      <c r="AE2221" s="18" t="s">
        <v>44</v>
      </c>
    </row>
    <row r="2222" customFormat="false" ht="15" hidden="false" customHeight="true" outlineLevel="0" collapsed="false">
      <c r="A2222" s="12" t="n">
        <v>19604</v>
      </c>
      <c r="B2222" s="13" t="s">
        <v>9508</v>
      </c>
      <c r="C2222" s="16" t="n">
        <v>45788</v>
      </c>
      <c r="D2222" s="13" t="s">
        <v>7948</v>
      </c>
      <c r="E2222" s="15" t="s">
        <v>7949</v>
      </c>
      <c r="F2222" s="15" t="str">
        <f aca="false">IFERROR(__xludf.dummyfunction("XLOOKUP(AJ2222,IMPORTRANGE(""1XaInW9DU9nz21V0tYIfzFQ0He9kVQ_JF2mCXgZ3hqFA"",""REKAP ALL 2026 - Andika!G:G""),IMPORTRANGE(""1XaInW9DU9nz21V0tYIfzFQ0He9kVQ_JF2mCXgZ3hqFA"",""REKAP ALL 2026 - Andika!F:F""),"""",0)"),"25062535627")</f>
        <v>25062535627</v>
      </c>
      <c r="G2222" s="13" t="s">
        <v>57</v>
      </c>
      <c r="H2222" s="13" t="s">
        <v>7950</v>
      </c>
      <c r="I2222" s="13" t="str">
        <f aca="false">IF(C2222=J2222,"NEW KONTRAK","RE-KONTRAK")</f>
        <v>RE-KONTRAK</v>
      </c>
      <c r="J2222" s="16" t="n">
        <f aca="false" t="array" ref="J2222:J2222">IFERROR(INDEX(AC2222:AE2222,IF(COUNTA(AC2222:AE2222)=0,"",MAX((AC2222:AE2222&lt;&gt;"")*(COLUMN(AC2222:AE2222)-(COLUMN(AC2222)))))-1),"")</f>
        <v>45844</v>
      </c>
      <c r="K2222" s="16" t="n">
        <f aca="false" t="array" ref="K2222:K2222">IFERROR(INDEX(AC2222:AE2222,IF(COUNTA(AC2222:AE2222)=0,"",MAX((AC2222:AE2222&lt;&gt;"")*(COLUMN(AC2222:AE2222)-(COLUMN(AC2222)-1))))-1),"")</f>
        <v>45935</v>
      </c>
      <c r="L2222" s="17" t="str">
        <f aca="false" t="array" ref="L2222:L2222">IFERROR(INDEX(AC2222:AE2222,IF(COUNTA(AC2222:AE2222)=0,"",MAX((AC2222:AE2222&lt;&gt;"")*(COLUMN(AC2222:AE2222)-(COLUMN(AC2222)-2))))-1),"")</f>
        <v>ARCHIVED</v>
      </c>
      <c r="M2222" s="13" t="n">
        <f aca="true">K2222-TODAY()</f>
        <v>-389</v>
      </c>
      <c r="N2222" s="18" t="s">
        <v>4051</v>
      </c>
      <c r="O2222" s="13" t="s">
        <v>7951</v>
      </c>
      <c r="P2222" s="19" t="n">
        <v>210000</v>
      </c>
      <c r="Q2222" s="20" t="s">
        <v>9509</v>
      </c>
      <c r="R2222" s="13" t="s">
        <v>78</v>
      </c>
      <c r="S2222" s="16" t="n">
        <v>30366</v>
      </c>
      <c r="T2222" s="28" t="s">
        <v>40</v>
      </c>
      <c r="U2222" s="13" t="s">
        <v>9510</v>
      </c>
      <c r="V2222" s="13" t="s">
        <v>42</v>
      </c>
      <c r="W2222" s="13" t="s">
        <v>54</v>
      </c>
      <c r="X2222" s="21" t="n">
        <v>8566794914</v>
      </c>
      <c r="Y2222" s="22" t="str">
        <f aca="false">O2222</f>
        <v>Mekanik Kiln</v>
      </c>
      <c r="Z2222" s="13" t="str">
        <f aca="false">IFERROR(__xludf.dummyfunction("if(BJ2222="""","""",GOOGLETRANSLATE(BJ2222,""auto"",""en""))"),"Kiln Mechanics")</f>
        <v>Kiln Mechanics</v>
      </c>
      <c r="AA2222" s="23" t="str">
        <f aca="false">IF(C2222="","", CHOOSE(MONTH(C2222),"January","February","March","April","May","June","July","August","September","October","November","December")&amp;" "&amp;DAY(C2222)&amp;MID("thstndrdth",MIN(9,2*RIGHT(DAY(C2222))*(MOD(DAY(C2222)-11,100)&gt;2)+1),2)&amp;","&amp;TEXT(C2222," yyyy"))</f>
        <v>May 11th,2025</v>
      </c>
      <c r="AB2222" s="15" t="str">
        <f aca="true">IF(S2222="","",DATEDIF(S2222,TODAY(),"Y")&amp;" Tahun, "&amp;DATEDIF(S2222,TODAY(),"YM")&amp;" Bulan, "&amp;DATEDIF(S2222,TODAY(),"MD")&amp;" Hari")</f>
        <v>43 Tahun, 8 Bulan, 10 Hari</v>
      </c>
      <c r="AC2222" s="18" t="n">
        <v>45844</v>
      </c>
      <c r="AD2222" s="18" t="n">
        <v>45935</v>
      </c>
      <c r="AE2222" s="18" t="s">
        <v>44</v>
      </c>
    </row>
    <row r="2223" customFormat="false" ht="15" hidden="false" customHeight="true" outlineLevel="0" collapsed="false">
      <c r="A2223" s="12" t="n">
        <v>19605</v>
      </c>
      <c r="B2223" s="13" t="s">
        <v>9511</v>
      </c>
      <c r="C2223" s="16" t="n">
        <v>45788</v>
      </c>
      <c r="D2223" s="13" t="s">
        <v>7948</v>
      </c>
      <c r="E2223" s="15" t="s">
        <v>7949</v>
      </c>
      <c r="F2223" s="15" t="str">
        <f aca="false">IFERROR(__xludf.dummyfunction("XLOOKUP(AJ2223,IMPORTRANGE(""1XaInW9DU9nz21V0tYIfzFQ0He9kVQ_JF2mCXgZ3hqFA"",""REKAP ALL 2026 - Andika!G:G""),IMPORTRANGE(""1XaInW9DU9nz21V0tYIfzFQ0He9kVQ_JF2mCXgZ3hqFA"",""REKAP ALL 2026 - Andika!F:F""),"""",0)"),"25062535635")</f>
        <v>25062535635</v>
      </c>
      <c r="G2223" s="13" t="s">
        <v>57</v>
      </c>
      <c r="H2223" s="13" t="s">
        <v>7950</v>
      </c>
      <c r="I2223" s="13" t="str">
        <f aca="false">IF(C2223=J2223,"NEW KONTRAK","RE-KONTRAK")</f>
        <v>RE-KONTRAK</v>
      </c>
      <c r="J2223" s="16" t="n">
        <f aca="false" t="array" ref="J2223:J2223">IFERROR(INDEX(AC2223:AE2223,IF(COUNTA(AC2223:AE2223)=0,"",MAX((AC2223:AE2223&lt;&gt;"")*(COLUMN(AC2223:AE2223)-(COLUMN(AC2223)))))-1),"")</f>
        <v>45844</v>
      </c>
      <c r="K2223" s="16" t="n">
        <f aca="false" t="array" ref="K2223:K2223">IFERROR(INDEX(AC2223:AE2223,IF(COUNTA(AC2223:AE2223)=0,"",MAX((AC2223:AE2223&lt;&gt;"")*(COLUMN(AC2223:AE2223)-(COLUMN(AC2223)-1))))-1),"")</f>
        <v>45935</v>
      </c>
      <c r="L2223" s="17" t="str">
        <f aca="false" t="array" ref="L2223:L2223">IFERROR(INDEX(AC2223:AE2223,IF(COUNTA(AC2223:AE2223)=0,"",MAX((AC2223:AE2223&lt;&gt;"")*(COLUMN(AC2223:AE2223)-(COLUMN(AC2223)-2))))-1),"")</f>
        <v>ARCHIVED</v>
      </c>
      <c r="M2223" s="13" t="n">
        <f aca="true">K2223-TODAY()</f>
        <v>-389</v>
      </c>
      <c r="N2223" s="18" t="s">
        <v>4051</v>
      </c>
      <c r="O2223" s="13" t="s">
        <v>7951</v>
      </c>
      <c r="P2223" s="19" t="n">
        <v>210000</v>
      </c>
      <c r="Q2223" s="20" t="s">
        <v>9512</v>
      </c>
      <c r="R2223" s="13" t="s">
        <v>65</v>
      </c>
      <c r="S2223" s="16" t="n">
        <v>30752</v>
      </c>
      <c r="T2223" s="28" t="s">
        <v>40</v>
      </c>
      <c r="U2223" s="13" t="s">
        <v>9513</v>
      </c>
      <c r="V2223" s="13" t="s">
        <v>42</v>
      </c>
      <c r="W2223" s="13" t="s">
        <v>54</v>
      </c>
      <c r="X2223" s="21" t="n">
        <v>89509645485</v>
      </c>
      <c r="Y2223" s="22" t="str">
        <f aca="false">O2223</f>
        <v>Mekanik Kiln</v>
      </c>
      <c r="Z2223" s="13" t="str">
        <f aca="false">IFERROR(__xludf.dummyfunction("if(BJ2223="""","""",GOOGLETRANSLATE(BJ2223,""auto"",""en""))"),"Kiln Mechanics")</f>
        <v>Kiln Mechanics</v>
      </c>
      <c r="AA2223" s="23" t="str">
        <f aca="false">IF(C2223="","", CHOOSE(MONTH(C2223),"January","February","March","April","May","June","July","August","September","October","November","December")&amp;" "&amp;DAY(C2223)&amp;MID("thstndrdth",MIN(9,2*RIGHT(DAY(C2223))*(MOD(DAY(C2223)-11,100)&gt;2)+1),2)&amp;","&amp;TEXT(C2223," yyyy"))</f>
        <v>May 11th,2025</v>
      </c>
      <c r="AB2223" s="15" t="str">
        <f aca="true">IF(S2223="","",DATEDIF(S2223,TODAY(),"Y")&amp;" Tahun, "&amp;DATEDIF(S2223,TODAY(),"YM")&amp;" Bulan, "&amp;DATEDIF(S2223,TODAY(),"MD")&amp;" Hari")</f>
        <v>42 Tahun, 7 Bulan, 18 Hari</v>
      </c>
      <c r="AC2223" s="18" t="n">
        <v>45844</v>
      </c>
      <c r="AD2223" s="18" t="n">
        <v>45935</v>
      </c>
      <c r="AE2223" s="18" t="s">
        <v>44</v>
      </c>
    </row>
    <row r="2224" customFormat="false" ht="15" hidden="false" customHeight="true" outlineLevel="0" collapsed="false">
      <c r="A2224" s="12" t="n">
        <v>19607</v>
      </c>
      <c r="B2224" s="13" t="s">
        <v>9514</v>
      </c>
      <c r="C2224" s="16" t="n">
        <v>45788</v>
      </c>
      <c r="D2224" s="13" t="s">
        <v>7948</v>
      </c>
      <c r="E2224" s="15" t="s">
        <v>7949</v>
      </c>
      <c r="F2224" s="15" t="str">
        <f aca="false">IFERROR(__xludf.dummyfunction("XLOOKUP(AJ2224,IMPORTRANGE(""1XaInW9DU9nz21V0tYIfzFQ0He9kVQ_JF2mCXgZ3hqFA"",""REKAP ALL 2026 - Andika!G:G""),IMPORTRANGE(""1XaInW9DU9nz21V0tYIfzFQ0He9kVQ_JF2mCXgZ3hqFA"",""REKAP ALL 2026 - Andika!F:F""),"""",0)"),"25062535650")</f>
        <v>25062535650</v>
      </c>
      <c r="G2224" s="13" t="s">
        <v>57</v>
      </c>
      <c r="H2224" s="13" t="s">
        <v>7950</v>
      </c>
      <c r="I2224" s="13" t="str">
        <f aca="false">IF(C2224=J2224,"NEW KONTRAK","RE-KONTRAK")</f>
        <v>RE-KONTRAK</v>
      </c>
      <c r="J2224" s="16" t="n">
        <f aca="false" t="array" ref="J2224:J2224">IFERROR(INDEX(AC2224:AE2224,IF(COUNTA(AC2224:AE2224)=0,"",MAX((AC2224:AE2224&lt;&gt;"")*(COLUMN(AC2224:AE2224)-(COLUMN(AC2224)))))-1),"")</f>
        <v>45844</v>
      </c>
      <c r="K2224" s="16" t="n">
        <f aca="false" t="array" ref="K2224:K2224">IFERROR(INDEX(AC2224:AE2224,IF(COUNTA(AC2224:AE2224)=0,"",MAX((AC2224:AE2224&lt;&gt;"")*(COLUMN(AC2224:AE2224)-(COLUMN(AC2224)-1))))-1),"")</f>
        <v>45935</v>
      </c>
      <c r="L2224" s="17" t="str">
        <f aca="false" t="array" ref="L2224:L2224">IFERROR(INDEX(AC2224:AE2224,IF(COUNTA(AC2224:AE2224)=0,"",MAX((AC2224:AE2224&lt;&gt;"")*(COLUMN(AC2224:AE2224)-(COLUMN(AC2224)-2))))-1),"")</f>
        <v>ARCHIVED</v>
      </c>
      <c r="M2224" s="13" t="n">
        <f aca="true">K2224-TODAY()</f>
        <v>-389</v>
      </c>
      <c r="N2224" s="18" t="s">
        <v>4051</v>
      </c>
      <c r="O2224" s="13" t="s">
        <v>7951</v>
      </c>
      <c r="P2224" s="19" t="n">
        <v>210000</v>
      </c>
      <c r="Q2224" s="20" t="s">
        <v>9515</v>
      </c>
      <c r="R2224" s="13" t="s">
        <v>274</v>
      </c>
      <c r="S2224" s="16" t="n">
        <v>31444</v>
      </c>
      <c r="T2224" s="28" t="s">
        <v>40</v>
      </c>
      <c r="U2224" s="13" t="s">
        <v>9516</v>
      </c>
      <c r="V2224" s="13" t="s">
        <v>42</v>
      </c>
      <c r="W2224" s="13" t="s">
        <v>54</v>
      </c>
      <c r="X2224" s="21" t="n">
        <v>85779972961</v>
      </c>
      <c r="Y2224" s="22" t="str">
        <f aca="false">O2224</f>
        <v>Mekanik Kiln</v>
      </c>
      <c r="Z2224" s="13" t="str">
        <f aca="false">IFERROR(__xludf.dummyfunction("if(BJ2224="""","""",GOOGLETRANSLATE(BJ2224,""auto"",""en""))"),"Kiln Mechanics")</f>
        <v>Kiln Mechanics</v>
      </c>
      <c r="AA2224" s="23" t="str">
        <f aca="false">IF(C2224="","", CHOOSE(MONTH(C2224),"January","February","March","April","May","June","July","August","September","October","November","December")&amp;" "&amp;DAY(C2224)&amp;MID("thstndrdth",MIN(9,2*RIGHT(DAY(C2224))*(MOD(DAY(C2224)-11,100)&gt;2)+1),2)&amp;","&amp;TEXT(C2224," yyyy"))</f>
        <v>May 11th,2025</v>
      </c>
      <c r="AB2224" s="15" t="str">
        <f aca="true">IF(S2224="","",DATEDIF(S2224,TODAY(),"Y")&amp;" Tahun, "&amp;DATEDIF(S2224,TODAY(),"YM")&amp;" Bulan, "&amp;DATEDIF(S2224,TODAY(),"MD")&amp;" Hari")</f>
        <v>40 Tahun, 8 Bulan, 28 Hari</v>
      </c>
      <c r="AC2224" s="18" t="n">
        <v>45844</v>
      </c>
      <c r="AD2224" s="18" t="n">
        <v>45935</v>
      </c>
      <c r="AE2224" s="18" t="s">
        <v>44</v>
      </c>
    </row>
    <row r="2225" customFormat="false" ht="15" hidden="false" customHeight="true" outlineLevel="0" collapsed="false">
      <c r="A2225" s="12" t="n">
        <v>19608</v>
      </c>
      <c r="B2225" s="13" t="s">
        <v>9517</v>
      </c>
      <c r="C2225" s="16" t="n">
        <v>45788</v>
      </c>
      <c r="D2225" s="13" t="s">
        <v>1338</v>
      </c>
      <c r="E2225" s="15" t="s">
        <v>33</v>
      </c>
      <c r="F2225" s="24" t="s">
        <v>9518</v>
      </c>
      <c r="G2225" s="13" t="s">
        <v>57</v>
      </c>
      <c r="H2225" s="13" t="s">
        <v>7950</v>
      </c>
      <c r="I2225" s="13" t="str">
        <f aca="false">IF(C2225=J2225,"NEW KONTRAK","RE-KONTRAK")</f>
        <v>RE-KONTRAK</v>
      </c>
      <c r="J2225" s="16" t="n">
        <f aca="false" t="array" ref="J2225:J2225">IFERROR(INDEX(AC2225:AE2225,IF(COUNTA(AC2225:AE2225)=0,"",MAX((AC2225:AE2225&lt;&gt;"")*(COLUMN(AC2225:AE2225)-(COLUMN(AC2225)))))-1),"")</f>
        <v>45844</v>
      </c>
      <c r="K2225" s="16" t="n">
        <f aca="false" t="array" ref="K2225:K2225">IFERROR(INDEX(AC2225:AE2225,IF(COUNTA(AC2225:AE2225)=0,"",MAX((AC2225:AE2225&lt;&gt;"")*(COLUMN(AC2225:AE2225)-(COLUMN(AC2225)-1))))-1),"")</f>
        <v>45928</v>
      </c>
      <c r="L2225" s="17" t="str">
        <f aca="false" t="array" ref="L2225:L2225">IFERROR(INDEX(AC2225:AE2225,IF(COUNTA(AC2225:AE2225)=0,"",MAX((AC2225:AE2225&lt;&gt;"")*(COLUMN(AC2225:AE2225)-(COLUMN(AC2225)-2))))-1),"")</f>
        <v>ARCHIVED</v>
      </c>
      <c r="M2225" s="13" t="n">
        <f aca="true">K2225-TODAY()</f>
        <v>-396</v>
      </c>
      <c r="N2225" s="50" t="s">
        <v>615</v>
      </c>
      <c r="O2225" s="13" t="s">
        <v>7951</v>
      </c>
      <c r="P2225" s="19" t="n">
        <v>210000</v>
      </c>
      <c r="Q2225" s="20" t="s">
        <v>9519</v>
      </c>
      <c r="R2225" s="13" t="s">
        <v>232</v>
      </c>
      <c r="S2225" s="16" t="n">
        <v>36137</v>
      </c>
      <c r="T2225" s="28" t="s">
        <v>40</v>
      </c>
      <c r="U2225" s="13" t="s">
        <v>9520</v>
      </c>
      <c r="V2225" s="13" t="s">
        <v>42</v>
      </c>
      <c r="W2225" s="13" t="s">
        <v>54</v>
      </c>
      <c r="X2225" s="21" t="n">
        <v>89677815834</v>
      </c>
      <c r="Y2225" s="22" t="str">
        <f aca="false">O2225</f>
        <v>Mekanik Kiln</v>
      </c>
      <c r="Z2225" s="13" t="str">
        <f aca="false">IFERROR(__xludf.dummyfunction("if(BJ2225="""","""",GOOGLETRANSLATE(BJ2225,""auto"",""en""))"),"Kiln Mechanics")</f>
        <v>Kiln Mechanics</v>
      </c>
      <c r="AA2225" s="23" t="str">
        <f aca="false">IF(C2225="","", CHOOSE(MONTH(C2225),"January","February","March","April","May","June","July","August","September","October","November","December")&amp;" "&amp;DAY(C2225)&amp;MID("thstndrdth",MIN(9,2*RIGHT(DAY(C2225))*(MOD(DAY(C2225)-11,100)&gt;2)+1),2)&amp;","&amp;TEXT(C2225," yyyy"))</f>
        <v>May 11th,2025</v>
      </c>
      <c r="AB2225" s="15" t="str">
        <f aca="true">IF(S2225="","",DATEDIF(S2225,TODAY(),"Y")&amp;" Tahun, "&amp;DATEDIF(S2225,TODAY(),"YM")&amp;" Bulan, "&amp;DATEDIF(S2225,TODAY(),"MD")&amp;" Hari")</f>
        <v>27 Tahun, 10 Bulan, 21 Hari</v>
      </c>
      <c r="AC2225" s="18" t="n">
        <v>45844</v>
      </c>
      <c r="AD2225" s="18" t="n">
        <v>45928</v>
      </c>
      <c r="AE2225" s="18" t="s">
        <v>44</v>
      </c>
    </row>
    <row r="2226" customFormat="false" ht="15" hidden="false" customHeight="true" outlineLevel="0" collapsed="false">
      <c r="A2226" s="12" t="n">
        <v>19609</v>
      </c>
      <c r="B2226" s="13" t="s">
        <v>9521</v>
      </c>
      <c r="C2226" s="16" t="n">
        <v>45788</v>
      </c>
      <c r="D2226" s="13" t="s">
        <v>1338</v>
      </c>
      <c r="E2226" s="15" t="s">
        <v>33</v>
      </c>
      <c r="F2226" s="24" t="s">
        <v>9522</v>
      </c>
      <c r="G2226" s="13" t="s">
        <v>57</v>
      </c>
      <c r="H2226" s="13" t="s">
        <v>7950</v>
      </c>
      <c r="I2226" s="13" t="str">
        <f aca="false">IF(C2226=J2226,"NEW KONTRAK","RE-KONTRAK")</f>
        <v>RE-KONTRAK</v>
      </c>
      <c r="J2226" s="16" t="n">
        <f aca="false" t="array" ref="J2226:J2226">IFERROR(INDEX(AC2226:AE2226,IF(COUNTA(AC2226:AE2226)=0,"",MAX((AC2226:AE2226&lt;&gt;"")*(COLUMN(AC2226:AE2226)-(COLUMN(AC2226)))))-1),"")</f>
        <v>45844</v>
      </c>
      <c r="K2226" s="16" t="n">
        <f aca="false" t="array" ref="K2226:K2226">IFERROR(INDEX(AC2226:AE2226,IF(COUNTA(AC2226:AE2226)=0,"",MAX((AC2226:AE2226&lt;&gt;"")*(COLUMN(AC2226:AE2226)-(COLUMN(AC2226)-1))))-1),"")</f>
        <v>45928</v>
      </c>
      <c r="L2226" s="17" t="str">
        <f aca="false" t="array" ref="L2226:L2226">IFERROR(INDEX(AC2226:AE2226,IF(COUNTA(AC2226:AE2226)=0,"",MAX((AC2226:AE2226&lt;&gt;"")*(COLUMN(AC2226:AE2226)-(COLUMN(AC2226)-2))))-1),"")</f>
        <v>ARCHIVED</v>
      </c>
      <c r="M2226" s="13" t="n">
        <f aca="true">K2226-TODAY()</f>
        <v>-396</v>
      </c>
      <c r="N2226" s="50" t="s">
        <v>615</v>
      </c>
      <c r="O2226" s="13" t="s">
        <v>7951</v>
      </c>
      <c r="P2226" s="19" t="n">
        <v>210000</v>
      </c>
      <c r="Q2226" s="47" t="s">
        <v>9523</v>
      </c>
      <c r="R2226" s="13" t="s">
        <v>148</v>
      </c>
      <c r="S2226" s="16" t="n">
        <v>37235</v>
      </c>
      <c r="T2226" s="28" t="s">
        <v>40</v>
      </c>
      <c r="U2226" s="13" t="s">
        <v>9524</v>
      </c>
      <c r="V2226" s="13" t="s">
        <v>42</v>
      </c>
      <c r="W2226" s="13" t="s">
        <v>43</v>
      </c>
      <c r="X2226" s="21" t="n">
        <v>83115218523</v>
      </c>
      <c r="Y2226" s="22" t="str">
        <f aca="false">O2226</f>
        <v>Mekanik Kiln</v>
      </c>
      <c r="Z2226" s="13" t="str">
        <f aca="false">IFERROR(__xludf.dummyfunction("if(BJ2226="""","""",GOOGLETRANSLATE(BJ2226,""auto"",""en""))"),"Kiln Mechanics")</f>
        <v>Kiln Mechanics</v>
      </c>
      <c r="AA2226" s="23" t="str">
        <f aca="false">IF(C2226="","", CHOOSE(MONTH(C2226),"January","February","March","April","May","June","July","August","September","October","November","December")&amp;" "&amp;DAY(C2226)&amp;MID("thstndrdth",MIN(9,2*RIGHT(DAY(C2226))*(MOD(DAY(C2226)-11,100)&gt;2)+1),2)&amp;","&amp;TEXT(C2226," yyyy"))</f>
        <v>May 11th,2025</v>
      </c>
      <c r="AB2226" s="15" t="str">
        <f aca="true">IF(S2226="","",DATEDIF(S2226,TODAY(),"Y")&amp;" Tahun, "&amp;DATEDIF(S2226,TODAY(),"YM")&amp;" Bulan, "&amp;DATEDIF(S2226,TODAY(),"MD")&amp;" Hari")</f>
        <v>24 Tahun, 10 Bulan, 19 Hari</v>
      </c>
      <c r="AC2226" s="18" t="n">
        <v>45844</v>
      </c>
      <c r="AD2226" s="18" t="n">
        <v>45928</v>
      </c>
      <c r="AE2226" s="18" t="s">
        <v>44</v>
      </c>
    </row>
    <row r="2227" customFormat="false" ht="15" hidden="false" customHeight="true" outlineLevel="0" collapsed="false">
      <c r="A2227" s="12" t="n">
        <v>19610</v>
      </c>
      <c r="B2227" s="13" t="s">
        <v>9525</v>
      </c>
      <c r="C2227" s="16" t="n">
        <v>45788</v>
      </c>
      <c r="D2227" s="13" t="s">
        <v>7948</v>
      </c>
      <c r="E2227" s="15" t="s">
        <v>7949</v>
      </c>
      <c r="F2227" s="15" t="str">
        <f aca="false">IFERROR(__xludf.dummyfunction("XLOOKUP(AJ2227,IMPORTRANGE(""1XaInW9DU9nz21V0tYIfzFQ0He9kVQ_JF2mCXgZ3hqFA"",""REKAP ALL 2026 - Andika!G:G""),IMPORTRANGE(""1XaInW9DU9nz21V0tYIfzFQ0He9kVQ_JF2mCXgZ3hqFA"",""REKAP ALL 2026 - Andika!F:F""),"""",0)"),"25062535684")</f>
        <v>25062535684</v>
      </c>
      <c r="G2227" s="13" t="s">
        <v>57</v>
      </c>
      <c r="H2227" s="13" t="s">
        <v>7950</v>
      </c>
      <c r="I2227" s="13" t="str">
        <f aca="false">IF(C2227=J2227,"NEW KONTRAK","RE-KONTRAK")</f>
        <v>RE-KONTRAK</v>
      </c>
      <c r="J2227" s="16" t="n">
        <f aca="false" t="array" ref="J2227:J2227">IFERROR(INDEX(AC2227:AE2227,IF(COUNTA(AC2227:AE2227)=0,"",MAX((AC2227:AE2227&lt;&gt;"")*(COLUMN(AC2227:AE2227)-(COLUMN(AC2227)))))-1),"")</f>
        <v>45844</v>
      </c>
      <c r="K2227" s="16" t="n">
        <f aca="false" t="array" ref="K2227:K2227">IFERROR(INDEX(AC2227:AE2227,IF(COUNTA(AC2227:AE2227)=0,"",MAX((AC2227:AE2227&lt;&gt;"")*(COLUMN(AC2227:AE2227)-(COLUMN(AC2227)-1))))-1),"")</f>
        <v>45928</v>
      </c>
      <c r="L2227" s="17" t="str">
        <f aca="false" t="array" ref="L2227:L2227">IFERROR(INDEX(AC2227:AE2227,IF(COUNTA(AC2227:AE2227)=0,"",MAX((AC2227:AE2227&lt;&gt;"")*(COLUMN(AC2227:AE2227)-(COLUMN(AC2227)-2))))-1),"")</f>
        <v>ARCHIVED</v>
      </c>
      <c r="M2227" s="13" t="n">
        <f aca="true">K2227-TODAY()</f>
        <v>-396</v>
      </c>
      <c r="N2227" s="18" t="s">
        <v>4051</v>
      </c>
      <c r="O2227" s="13" t="s">
        <v>7951</v>
      </c>
      <c r="P2227" s="19" t="n">
        <v>210000</v>
      </c>
      <c r="Q2227" s="20" t="s">
        <v>9526</v>
      </c>
      <c r="R2227" s="13" t="s">
        <v>39</v>
      </c>
      <c r="S2227" s="16" t="n">
        <v>25485</v>
      </c>
      <c r="T2227" s="28" t="s">
        <v>40</v>
      </c>
      <c r="U2227" s="13" t="s">
        <v>9527</v>
      </c>
      <c r="V2227" s="13" t="s">
        <v>42</v>
      </c>
      <c r="W2227" s="13" t="s">
        <v>54</v>
      </c>
      <c r="X2227" s="21" t="n">
        <v>81333001161</v>
      </c>
      <c r="Y2227" s="22" t="str">
        <f aca="false">O2227</f>
        <v>Mekanik Kiln</v>
      </c>
      <c r="Z2227" s="13" t="str">
        <f aca="false">IFERROR(__xludf.dummyfunction("if(BJ2227="""","""",GOOGLETRANSLATE(BJ2227,""auto"",""en""))"),"Kiln Mechanics")</f>
        <v>Kiln Mechanics</v>
      </c>
      <c r="AA2227" s="23" t="str">
        <f aca="false">IF(C2227="","", CHOOSE(MONTH(C2227),"January","February","March","April","May","June","July","August","September","October","November","December")&amp;" "&amp;DAY(C2227)&amp;MID("thstndrdth",MIN(9,2*RIGHT(DAY(C2227))*(MOD(DAY(C2227)-11,100)&gt;2)+1),2)&amp;","&amp;TEXT(C2227," yyyy"))</f>
        <v>May 11th,2025</v>
      </c>
      <c r="AB2227" s="15" t="str">
        <f aca="true">IF(S2227="","",DATEDIF(S2227,TODAY(),"Y")&amp;" Tahun, "&amp;DATEDIF(S2227,TODAY(),"YM")&amp;" Bulan, "&amp;DATEDIF(S2227,TODAY(),"MD")&amp;" Hari")</f>
        <v>57 Tahun, 0 Bulan, 20 Hari</v>
      </c>
      <c r="AC2227" s="18" t="n">
        <v>45844</v>
      </c>
      <c r="AD2227" s="18" t="n">
        <v>45928</v>
      </c>
      <c r="AE2227" s="18" t="s">
        <v>44</v>
      </c>
    </row>
    <row r="2228" customFormat="false" ht="15" hidden="false" customHeight="true" outlineLevel="0" collapsed="false">
      <c r="A2228" s="12" t="n">
        <v>19613</v>
      </c>
      <c r="B2228" s="13" t="s">
        <v>9528</v>
      </c>
      <c r="C2228" s="16" t="n">
        <v>45788</v>
      </c>
      <c r="D2228" s="13" t="s">
        <v>7948</v>
      </c>
      <c r="E2228" s="15" t="s">
        <v>7949</v>
      </c>
      <c r="F2228" s="15" t="str">
        <f aca="false">IFERROR(__xludf.dummyfunction("XLOOKUP(AJ2228,IMPORTRANGE(""1XaInW9DU9nz21V0tYIfzFQ0He9kVQ_JF2mCXgZ3hqFA"",""REKAP ALL 2026 - Andika!G:G""),IMPORTRANGE(""1XaInW9DU9nz21V0tYIfzFQ0He9kVQ_JF2mCXgZ3hqFA"",""REKAP ALL 2026 - Andika!F:F""),"""",0)"),"25062535718")</f>
        <v>25062535718</v>
      </c>
      <c r="G2228" s="13" t="s">
        <v>57</v>
      </c>
      <c r="H2228" s="13" t="s">
        <v>7950</v>
      </c>
      <c r="I2228" s="13" t="str">
        <f aca="false">IF(C2228=J2228,"NEW KONTRAK","RE-KONTRAK")</f>
        <v>RE-KONTRAK</v>
      </c>
      <c r="J2228" s="16" t="n">
        <f aca="false" t="array" ref="J2228:J2228">IFERROR(INDEX(AC2228:AE2228,IF(COUNTA(AC2228:AE2228)=0,"",MAX((AC2228:AE2228&lt;&gt;"")*(COLUMN(AC2228:AE2228)-(COLUMN(AC2228)))))-1),"")</f>
        <v>45844</v>
      </c>
      <c r="K2228" s="16" t="n">
        <f aca="false" t="array" ref="K2228:K2228">IFERROR(INDEX(AC2228:AE2228,IF(COUNTA(AC2228:AE2228)=0,"",MAX((AC2228:AE2228&lt;&gt;"")*(COLUMN(AC2228:AE2228)-(COLUMN(AC2228)-1))))-1),"")</f>
        <v>45928</v>
      </c>
      <c r="L2228" s="17" t="str">
        <f aca="false" t="array" ref="L2228:L2228">IFERROR(INDEX(AC2228:AE2228,IF(COUNTA(AC2228:AE2228)=0,"",MAX((AC2228:AE2228&lt;&gt;"")*(COLUMN(AC2228:AE2228)-(COLUMN(AC2228)-2))))-1),"")</f>
        <v>ARCHIVED</v>
      </c>
      <c r="M2228" s="13" t="n">
        <f aca="true">K2228-TODAY()</f>
        <v>-396</v>
      </c>
      <c r="N2228" s="18" t="s">
        <v>4051</v>
      </c>
      <c r="O2228" s="13" t="s">
        <v>7951</v>
      </c>
      <c r="P2228" s="19" t="n">
        <v>210000</v>
      </c>
      <c r="Q2228" s="20" t="s">
        <v>9529</v>
      </c>
      <c r="R2228" s="13" t="s">
        <v>39</v>
      </c>
      <c r="S2228" s="16" t="n">
        <v>34247</v>
      </c>
      <c r="T2228" s="28" t="s">
        <v>40</v>
      </c>
      <c r="U2228" s="13" t="s">
        <v>9530</v>
      </c>
      <c r="V2228" s="13" t="s">
        <v>42</v>
      </c>
      <c r="W2228" s="13" t="s">
        <v>54</v>
      </c>
      <c r="X2228" s="21" t="n">
        <v>85708811261</v>
      </c>
      <c r="Y2228" s="22" t="str">
        <f aca="false">O2228</f>
        <v>Mekanik Kiln</v>
      </c>
      <c r="Z2228" s="13" t="str">
        <f aca="false">IFERROR(__xludf.dummyfunction("if(BJ2228="""","""",GOOGLETRANSLATE(BJ2228,""auto"",""en""))"),"Kiln Mechanics")</f>
        <v>Kiln Mechanics</v>
      </c>
      <c r="AA2228" s="23" t="str">
        <f aca="false">IF(C2228="","", CHOOSE(MONTH(C2228),"January","February","March","April","May","June","July","August","September","October","November","December")&amp;" "&amp;DAY(C2228)&amp;MID("thstndrdth",MIN(9,2*RIGHT(DAY(C2228))*(MOD(DAY(C2228)-11,100)&gt;2)+1),2)&amp;","&amp;TEXT(C2228," yyyy"))</f>
        <v>May 11th,2025</v>
      </c>
      <c r="AB2228" s="15" t="str">
        <f aca="true">IF(S2228="","",DATEDIF(S2228,TODAY(),"Y")&amp;" Tahun, "&amp;DATEDIF(S2228,TODAY(),"YM")&amp;" Bulan, "&amp;DATEDIF(S2228,TODAY(),"MD")&amp;" Hari")</f>
        <v>33 Tahun, 0 Bulan, 24 Hari</v>
      </c>
      <c r="AC2228" s="18" t="n">
        <v>45844</v>
      </c>
      <c r="AD2228" s="18" t="n">
        <v>45928</v>
      </c>
      <c r="AE2228" s="18" t="s">
        <v>44</v>
      </c>
    </row>
    <row r="2229" customFormat="false" ht="15" hidden="false" customHeight="true" outlineLevel="0" collapsed="false">
      <c r="A2229" s="12" t="n">
        <v>19617</v>
      </c>
      <c r="B2229" s="13" t="s">
        <v>9531</v>
      </c>
      <c r="C2229" s="16" t="n">
        <v>45788</v>
      </c>
      <c r="D2229" s="13" t="s">
        <v>7948</v>
      </c>
      <c r="E2229" s="15" t="s">
        <v>7949</v>
      </c>
      <c r="F2229" s="15" t="str">
        <f aca="false">IFERROR(__xludf.dummyfunction("XLOOKUP(AJ2229,IMPORTRANGE(""1XaInW9DU9nz21V0tYIfzFQ0He9kVQ_JF2mCXgZ3hqFA"",""REKAP ALL 2026 - Andika!G:G""),IMPORTRANGE(""1XaInW9DU9nz21V0tYIfzFQ0He9kVQ_JF2mCXgZ3hqFA"",""REKAP ALL 2026 - Andika!F:F""),"""",0)"),"25062535783")</f>
        <v>25062535783</v>
      </c>
      <c r="G2229" s="13" t="s">
        <v>57</v>
      </c>
      <c r="H2229" s="13" t="s">
        <v>7950</v>
      </c>
      <c r="I2229" s="13" t="str">
        <f aca="false">IF(C2229=J2229,"NEW KONTRAK","RE-KONTRAK")</f>
        <v>RE-KONTRAK</v>
      </c>
      <c r="J2229" s="16" t="n">
        <f aca="false" t="array" ref="J2229:J2229">IFERROR(INDEX(AC2229:AE2229,IF(COUNTA(AC2229:AE2229)=0,"",MAX((AC2229:AE2229&lt;&gt;"")*(COLUMN(AC2229:AE2229)-(COLUMN(AC2229)))))-1),"")</f>
        <v>45844</v>
      </c>
      <c r="K2229" s="16" t="n">
        <f aca="false" t="array" ref="K2229:K2229">IFERROR(INDEX(AC2229:AE2229,IF(COUNTA(AC2229:AE2229)=0,"",MAX((AC2229:AE2229&lt;&gt;"")*(COLUMN(AC2229:AE2229)-(COLUMN(AC2229)-1))))-1),"")</f>
        <v>45928</v>
      </c>
      <c r="L2229" s="17" t="str">
        <f aca="false" t="array" ref="L2229:L2229">IFERROR(INDEX(AC2229:AE2229,IF(COUNTA(AC2229:AE2229)=0,"",MAX((AC2229:AE2229&lt;&gt;"")*(COLUMN(AC2229:AE2229)-(COLUMN(AC2229)-2))))-1),"")</f>
        <v>ARCHIVED</v>
      </c>
      <c r="M2229" s="13" t="n">
        <f aca="true">K2229-TODAY()</f>
        <v>-396</v>
      </c>
      <c r="N2229" s="18" t="s">
        <v>4051</v>
      </c>
      <c r="O2229" s="13" t="s">
        <v>7951</v>
      </c>
      <c r="P2229" s="19" t="n">
        <v>210000</v>
      </c>
      <c r="Q2229" s="20" t="s">
        <v>9532</v>
      </c>
      <c r="R2229" s="13" t="s">
        <v>232</v>
      </c>
      <c r="S2229" s="16" t="n">
        <v>37162</v>
      </c>
      <c r="T2229" s="28" t="s">
        <v>40</v>
      </c>
      <c r="U2229" s="13" t="s">
        <v>9533</v>
      </c>
      <c r="V2229" s="13" t="s">
        <v>42</v>
      </c>
      <c r="W2229" s="13" t="s">
        <v>43</v>
      </c>
      <c r="X2229" s="21" t="n">
        <v>85806229154</v>
      </c>
      <c r="Y2229" s="22" t="str">
        <f aca="false">O2229</f>
        <v>Mekanik Kiln</v>
      </c>
      <c r="Z2229" s="13" t="str">
        <f aca="false">IFERROR(__xludf.dummyfunction("if(BJ2229="""","""",GOOGLETRANSLATE(BJ2229,""auto"",""en""))"),"Kiln Mechanics")</f>
        <v>Kiln Mechanics</v>
      </c>
      <c r="AA2229" s="23" t="str">
        <f aca="false">IF(C2229="","", CHOOSE(MONTH(C2229),"January","February","March","April","May","June","July","August","September","October","November","December")&amp;" "&amp;DAY(C2229)&amp;MID("thstndrdth",MIN(9,2*RIGHT(DAY(C2229))*(MOD(DAY(C2229)-11,100)&gt;2)+1),2)&amp;","&amp;TEXT(C2229," yyyy"))</f>
        <v>May 11th,2025</v>
      </c>
      <c r="AB2229" s="15" t="str">
        <f aca="true">IF(S2229="","",DATEDIF(S2229,TODAY(),"Y")&amp;" Tahun, "&amp;DATEDIF(S2229,TODAY(),"YM")&amp;" Bulan, "&amp;DATEDIF(S2229,TODAY(),"MD")&amp;" Hari")</f>
        <v>25 Tahun, 1 Bulan, 1 Hari</v>
      </c>
      <c r="AC2229" s="18" t="n">
        <v>45844</v>
      </c>
      <c r="AD2229" s="18" t="n">
        <v>45928</v>
      </c>
      <c r="AE2229" s="18" t="s">
        <v>44</v>
      </c>
    </row>
    <row r="2230" customFormat="false" ht="15" hidden="false" customHeight="true" outlineLevel="0" collapsed="false">
      <c r="A2230" s="12" t="n">
        <v>19619</v>
      </c>
      <c r="B2230" s="13" t="s">
        <v>238</v>
      </c>
      <c r="C2230" s="16" t="n">
        <v>45788</v>
      </c>
      <c r="D2230" s="13" t="s">
        <v>1338</v>
      </c>
      <c r="E2230" s="15" t="s">
        <v>33</v>
      </c>
      <c r="F2230" s="24" t="s">
        <v>9534</v>
      </c>
      <c r="G2230" s="13" t="s">
        <v>57</v>
      </c>
      <c r="H2230" s="13" t="s">
        <v>7950</v>
      </c>
      <c r="I2230" s="13" t="str">
        <f aca="false">IF(C2230=J2230,"NEW KONTRAK","RE-KONTRAK")</f>
        <v>RE-KONTRAK</v>
      </c>
      <c r="J2230" s="16" t="n">
        <f aca="false" t="array" ref="J2230:J2230">IFERROR(INDEX(AC2230:AE2230,IF(COUNTA(AC2230:AE2230)=0,"",MAX((AC2230:AE2230&lt;&gt;"")*(COLUMN(AC2230:AE2230)-(COLUMN(AC2230)))))-1),"")</f>
        <v>45844</v>
      </c>
      <c r="K2230" s="16" t="n">
        <f aca="false" t="array" ref="K2230:K2230">IFERROR(INDEX(AC2230:AE2230,IF(COUNTA(AC2230:AE2230)=0,"",MAX((AC2230:AE2230&lt;&gt;"")*(COLUMN(AC2230:AE2230)-(COLUMN(AC2230)-1))))-1),"")</f>
        <v>45928</v>
      </c>
      <c r="L2230" s="17" t="str">
        <f aca="false" t="array" ref="L2230:L2230">IFERROR(INDEX(AC2230:AE2230,IF(COUNTA(AC2230:AE2230)=0,"",MAX((AC2230:AE2230&lt;&gt;"")*(COLUMN(AC2230:AE2230)-(COLUMN(AC2230)-2))))-1),"")</f>
        <v>ARCHIVED</v>
      </c>
      <c r="M2230" s="13" t="n">
        <f aca="true">K2230-TODAY()</f>
        <v>-396</v>
      </c>
      <c r="N2230" s="50" t="s">
        <v>615</v>
      </c>
      <c r="O2230" s="13" t="s">
        <v>7951</v>
      </c>
      <c r="P2230" s="19" t="n">
        <v>210000</v>
      </c>
      <c r="Q2230" s="20" t="s">
        <v>9535</v>
      </c>
      <c r="R2230" s="13" t="s">
        <v>232</v>
      </c>
      <c r="S2230" s="16" t="n">
        <v>31390</v>
      </c>
      <c r="T2230" s="28" t="s">
        <v>40</v>
      </c>
      <c r="U2230" s="13" t="s">
        <v>9536</v>
      </c>
      <c r="V2230" s="13" t="s">
        <v>42</v>
      </c>
      <c r="W2230" s="13" t="s">
        <v>54</v>
      </c>
      <c r="X2230" s="21" t="n">
        <v>85729706383</v>
      </c>
      <c r="Y2230" s="22" t="str">
        <f aca="false">O2230</f>
        <v>Mekanik Kiln</v>
      </c>
      <c r="Z2230" s="13" t="str">
        <f aca="false">IFERROR(__xludf.dummyfunction("if(BJ2230="""","""",GOOGLETRANSLATE(BJ2230,""auto"",""en""))"),"Kiln Mechanics")</f>
        <v>Kiln Mechanics</v>
      </c>
      <c r="AA2230" s="23" t="str">
        <f aca="false">IF(C2230="","", CHOOSE(MONTH(C2230),"January","February","March","April","May","June","July","August","September","October","November","December")&amp;" "&amp;DAY(C2230)&amp;MID("thstndrdth",MIN(9,2*RIGHT(DAY(C2230))*(MOD(DAY(C2230)-11,100)&gt;2)+1),2)&amp;","&amp;TEXT(C2230," yyyy"))</f>
        <v>May 11th,2025</v>
      </c>
      <c r="AB2230" s="15" t="str">
        <f aca="true">IF(S2230="","",DATEDIF(S2230,TODAY(),"Y")&amp;" Tahun, "&amp;DATEDIF(S2230,TODAY(),"YM")&amp;" Bulan, "&amp;DATEDIF(S2230,TODAY(),"MD")&amp;" Hari")</f>
        <v>40 Tahun, 10 Bulan, 20 Hari</v>
      </c>
      <c r="AC2230" s="18" t="n">
        <v>45844</v>
      </c>
      <c r="AD2230" s="18" t="n">
        <v>45928</v>
      </c>
      <c r="AE2230" s="18" t="s">
        <v>44</v>
      </c>
    </row>
    <row r="2231" customFormat="false" ht="15" hidden="false" customHeight="true" outlineLevel="0" collapsed="false">
      <c r="A2231" s="12" t="n">
        <v>19644</v>
      </c>
      <c r="B2231" s="13" t="s">
        <v>9537</v>
      </c>
      <c r="C2231" s="16" t="n">
        <v>45798</v>
      </c>
      <c r="D2231" s="13" t="s">
        <v>8980</v>
      </c>
      <c r="E2231" s="15" t="s">
        <v>47</v>
      </c>
      <c r="F2231" s="15" t="str">
        <f aca="false">IFERROR(__xludf.dummyfunction("XLOOKUP(AJ2231,IMPORTRANGE(""1XaInW9DU9nz21V0tYIfzFQ0He9kVQ_JF2mCXgZ3hqFA"",""REKAP ALL 2026 - Andika!G:G""),IMPORTRANGE(""1XaInW9DU9nz21V0tYIfzFQ0He9kVQ_JF2mCXgZ3hqFA"",""REKAP ALL 2026 - Andika!F:F""),"""",0)"),"25062536971")</f>
        <v>25062536971</v>
      </c>
      <c r="G2231" s="13" t="s">
        <v>9538</v>
      </c>
      <c r="H2231" s="13" t="s">
        <v>35</v>
      </c>
      <c r="I2231" s="13" t="str">
        <f aca="false">IF(C2231=J2231,"NEW KONTRAK","RE-KONTRAK")</f>
        <v>NEW KONTRAK</v>
      </c>
      <c r="J2231" s="16" t="n">
        <f aca="false" t="array" ref="J2231:J2231">IFERROR(INDEX(AC2231:AE2231,IF(COUNTA(AC2231:AE2231)=0,"",MAX((AC2231:AE2231&lt;&gt;"")*(COLUMN(AC2231:AE2231)-(COLUMN(AC2231)))))-1),"")</f>
        <v>45798</v>
      </c>
      <c r="K2231" s="16" t="n">
        <f aca="false" t="array" ref="K2231:K2231">IFERROR(INDEX(AC2231:AE2231,IF(COUNTA(AC2231:AE2231)=0,"",MAX((AC2231:AE2231&lt;&gt;"")*(COLUMN(AC2231:AE2231)-(COLUMN(AC2231)-1))))-1),"")</f>
        <v>46132</v>
      </c>
      <c r="L2231" s="17" t="str">
        <f aca="false" t="array" ref="L2231:L2231">IFERROR(INDEX(AC2231:AE2231,IF(COUNTA(AC2231:AE2231)=0,"",MAX((AC2231:AE2231&lt;&gt;"")*(COLUMN(AC2231:AE2231)-(COLUMN(AC2231)-2))))-1),"")</f>
        <v>ARCHIVED</v>
      </c>
      <c r="M2231" s="13" t="n">
        <f aca="true">K2231-TODAY()</f>
        <v>-192</v>
      </c>
      <c r="N2231" s="18" t="s">
        <v>8982</v>
      </c>
      <c r="O2231" s="13" t="s">
        <v>9539</v>
      </c>
      <c r="P2231" s="19" t="n">
        <v>3000000</v>
      </c>
      <c r="Q2231" s="20" t="s">
        <v>9540</v>
      </c>
      <c r="R2231" s="13" t="s">
        <v>826</v>
      </c>
      <c r="S2231" s="16" t="n">
        <v>36356</v>
      </c>
      <c r="T2231" s="13" t="s">
        <v>108</v>
      </c>
      <c r="U2231" s="13" t="s">
        <v>9541</v>
      </c>
      <c r="V2231" s="13" t="s">
        <v>42</v>
      </c>
      <c r="W2231" s="13" t="s">
        <v>54</v>
      </c>
      <c r="X2231" s="21" t="n">
        <v>89698924472</v>
      </c>
      <c r="Y2231" s="22" t="str">
        <f aca="false">O2231</f>
        <v>Admin SPBU</v>
      </c>
      <c r="Z2231" s="13" t="str">
        <f aca="false">IFERROR(__xludf.dummyfunction("if(BJ2231="""","""",GOOGLETRANSLATE(BJ2231,""auto"",""en""))"),"Gas Station Admin")</f>
        <v>Gas Station Admin</v>
      </c>
      <c r="AA2231" s="23" t="str">
        <f aca="false">IF(C2231="","", CHOOSE(MONTH(C2231),"January","February","March","April","May","June","July","August","September","October","November","December")&amp;" "&amp;DAY(C2231)&amp;MID("thstndrdth",MIN(9,2*RIGHT(DAY(C2231))*(MOD(DAY(C2231)-11,100)&gt;2)+1),2)&amp;","&amp;TEXT(C2231," yyyy"))</f>
        <v>May 21st,2025</v>
      </c>
      <c r="AB2231" s="15" t="str">
        <f aca="true">IF(S2231="","",DATEDIF(S2231,TODAY(),"Y")&amp;" Tahun, "&amp;DATEDIF(S2231,TODAY(),"YM")&amp;" Bulan, "&amp;DATEDIF(S2231,TODAY(),"MD")&amp;" Hari")</f>
        <v>27 Tahun, 3 Bulan, 14 Hari</v>
      </c>
      <c r="AC2231" s="18" t="n">
        <v>45798</v>
      </c>
      <c r="AD2231" s="18" t="n">
        <v>46132</v>
      </c>
      <c r="AE2231" s="18" t="s">
        <v>44</v>
      </c>
    </row>
    <row r="2232" customFormat="false" ht="15" hidden="false" customHeight="true" outlineLevel="0" collapsed="false">
      <c r="A2232" s="12" t="n">
        <v>19643</v>
      </c>
      <c r="B2232" s="13" t="s">
        <v>9542</v>
      </c>
      <c r="C2232" s="16" t="n">
        <v>45797</v>
      </c>
      <c r="D2232" s="13" t="s">
        <v>144</v>
      </c>
      <c r="E2232" s="15" t="s">
        <v>33</v>
      </c>
      <c r="F2232" s="24" t="s">
        <v>9543</v>
      </c>
      <c r="G2232" s="13" t="s">
        <v>9544</v>
      </c>
      <c r="H2232" s="13" t="s">
        <v>35</v>
      </c>
      <c r="I2232" s="13" t="str">
        <f aca="false">IF(C2232=J2232,"NEW KONTRAK","RE-KONTRAK")</f>
        <v>NEW KONTRAK</v>
      </c>
      <c r="J2232" s="16" t="n">
        <f aca="false" t="array" ref="J2232:J2232">IFERROR(INDEX(AC2232:AE2232,IF(COUNTA(AC2232:AE2232)=0,"",MAX((AC2232:AE2232&lt;&gt;"")*(COLUMN(AC2232:AE2232)-(COLUMN(AC2232)))))-1),"")</f>
        <v>45797</v>
      </c>
      <c r="K2232" s="16" t="n">
        <f aca="false" t="array" ref="K2232:K2232">IFERROR(INDEX(AC2232:AE2232,IF(COUNTA(AC2232:AE2232)=0,"",MAX((AC2232:AE2232&lt;&gt;"")*(COLUMN(AC2232:AE2232)-(COLUMN(AC2232)-1))))-1),"")</f>
        <v>46022</v>
      </c>
      <c r="L2232" s="17" t="str">
        <f aca="false" t="array" ref="L2232:L2232">IFERROR(INDEX(AC2232:AE2232,IF(COUNTA(AC2232:AE2232)=0,"",MAX((AC2232:AE2232&lt;&gt;"")*(COLUMN(AC2232:AE2232)-(COLUMN(AC2232)-2))))-1),"")</f>
        <v>ARCHIVED</v>
      </c>
      <c r="M2232" s="13" t="n">
        <f aca="true">K2232-TODAY()</f>
        <v>-302</v>
      </c>
      <c r="N2232" s="18" t="s">
        <v>36</v>
      </c>
      <c r="O2232" s="13" t="s">
        <v>146</v>
      </c>
      <c r="P2232" s="19" t="n">
        <v>5195401</v>
      </c>
      <c r="Q2232" s="20" t="s">
        <v>9545</v>
      </c>
      <c r="R2232" s="13" t="s">
        <v>65</v>
      </c>
      <c r="S2232" s="16" t="n">
        <v>35099</v>
      </c>
      <c r="T2232" s="28" t="s">
        <v>40</v>
      </c>
      <c r="U2232" s="13" t="s">
        <v>9546</v>
      </c>
      <c r="V2232" s="13" t="s">
        <v>42</v>
      </c>
      <c r="W2232" s="13" t="s">
        <v>54</v>
      </c>
      <c r="X2232" s="21" t="n">
        <v>88989840606</v>
      </c>
      <c r="Y2232" s="22" t="str">
        <f aca="false">O2232</f>
        <v>Enamel</v>
      </c>
      <c r="Z2232" s="13" t="str">
        <f aca="false">IFERROR(__xludf.dummyfunction("if(BJ2232="""","""",GOOGLETRANSLATE(BJ2232,""auto"",""en""))"),"Enamel")</f>
        <v>Enamel</v>
      </c>
      <c r="AA2232" s="23" t="str">
        <f aca="false">IF(C2232="","", CHOOSE(MONTH(C2232),"January","February","March","April","May","June","July","August","September","October","November","December")&amp;" "&amp;DAY(C2232)&amp;MID("thstndrdth",MIN(9,2*RIGHT(DAY(C2232))*(MOD(DAY(C2232)-11,100)&gt;2)+1),2)&amp;","&amp;TEXT(C2232," yyyy"))</f>
        <v>May 20th,2025</v>
      </c>
      <c r="AB2232" s="15" t="str">
        <f aca="true">IF(S2232="","",DATEDIF(S2232,TODAY(),"Y")&amp;" Tahun, "&amp;DATEDIF(S2232,TODAY(),"YM")&amp;" Bulan, "&amp;DATEDIF(S2232,TODAY(),"MD")&amp;" Hari")</f>
        <v>30 Tahun, 8 Bulan, 25 Hari</v>
      </c>
      <c r="AC2232" s="18" t="n">
        <v>45797</v>
      </c>
      <c r="AD2232" s="18" t="n">
        <v>46022</v>
      </c>
      <c r="AE2232" s="18" t="s">
        <v>44</v>
      </c>
    </row>
    <row r="2233" customFormat="false" ht="15" hidden="false" customHeight="true" outlineLevel="0" collapsed="false">
      <c r="A2233" s="12" t="n">
        <v>19645</v>
      </c>
      <c r="B2233" s="13" t="s">
        <v>9547</v>
      </c>
      <c r="C2233" s="16" t="n">
        <v>45798</v>
      </c>
      <c r="D2233" s="13" t="s">
        <v>8980</v>
      </c>
      <c r="E2233" s="15" t="s">
        <v>47</v>
      </c>
      <c r="F2233" s="15" t="str">
        <f aca="false">IFERROR(__xludf.dummyfunction("XLOOKUP(AJ2233,IMPORTRANGE(""1XaInW9DU9nz21V0tYIfzFQ0He9kVQ_JF2mCXgZ3hqFA"",""REKAP ALL 2026 - Andika!G:G""),IMPORTRANGE(""1XaInW9DU9nz21V0tYIfzFQ0He9kVQ_JF2mCXgZ3hqFA"",""REKAP ALL 2026 - Andika!F:F""),"""",0)"),"25062536989")</f>
        <v>25062536989</v>
      </c>
      <c r="G2233" s="13" t="s">
        <v>9548</v>
      </c>
      <c r="H2233" s="13" t="s">
        <v>35</v>
      </c>
      <c r="I2233" s="13" t="str">
        <f aca="false">IF(C2233=J2233,"NEW KONTRAK","RE-KONTRAK")</f>
        <v>NEW KONTRAK</v>
      </c>
      <c r="J2233" s="16" t="n">
        <f aca="false" t="array" ref="J2233:J2233">IFERROR(INDEX(AC2233:AE2233,IF(COUNTA(AC2233:AE2233)=0,"",MAX((AC2233:AE2233&lt;&gt;"")*(COLUMN(AC2233:AE2233)-(COLUMN(AC2233)))))-1),"")</f>
        <v>45798</v>
      </c>
      <c r="K2233" s="16" t="n">
        <f aca="false" t="array" ref="K2233:K2233">IFERROR(INDEX(AC2233:AE2233,IF(COUNTA(AC2233:AE2233)=0,"",MAX((AC2233:AE2233&lt;&gt;"")*(COLUMN(AC2233:AE2233)-(COLUMN(AC2233)-1))))-1),"")</f>
        <v>46132</v>
      </c>
      <c r="L2233" s="17" t="str">
        <f aca="false" t="array" ref="L2233:L2233">IFERROR(INDEX(AC2233:AE2233,IF(COUNTA(AC2233:AE2233)=0,"",MAX((AC2233:AE2233&lt;&gt;"")*(COLUMN(AC2233:AE2233)-(COLUMN(AC2233)-2))))-1),"")</f>
        <v>ARCHIVED</v>
      </c>
      <c r="M2233" s="13" t="n">
        <f aca="true">K2233-TODAY()</f>
        <v>-192</v>
      </c>
      <c r="N2233" s="18" t="s">
        <v>8982</v>
      </c>
      <c r="O2233" s="13" t="s">
        <v>8983</v>
      </c>
      <c r="P2233" s="19" t="n">
        <v>2250000</v>
      </c>
      <c r="Q2233" s="20" t="s">
        <v>9549</v>
      </c>
      <c r="R2233" s="13" t="s">
        <v>826</v>
      </c>
      <c r="S2233" s="16" t="n">
        <v>37520</v>
      </c>
      <c r="T2233" s="13" t="s">
        <v>108</v>
      </c>
      <c r="U2233" s="13" t="s">
        <v>9550</v>
      </c>
      <c r="V2233" s="13" t="s">
        <v>42</v>
      </c>
      <c r="W2233" s="13" t="s">
        <v>43</v>
      </c>
      <c r="X2233" s="21" t="n">
        <v>83848832737</v>
      </c>
      <c r="Y2233" s="22" t="str">
        <f aca="false">O2233</f>
        <v>Operator SPBU</v>
      </c>
      <c r="Z2233" s="13" t="str">
        <f aca="false">IFERROR(__xludf.dummyfunction("if(BJ2233="""","""",GOOGLETRANSLATE(BJ2233,""auto"",""en""))"),"Gas Station Operator")</f>
        <v>Gas Station Operator</v>
      </c>
      <c r="AA2233" s="23" t="str">
        <f aca="false">IF(C2233="","", CHOOSE(MONTH(C2233),"January","February","March","April","May","June","July","August","September","October","November","December")&amp;" "&amp;DAY(C2233)&amp;MID("thstndrdth",MIN(9,2*RIGHT(DAY(C2233))*(MOD(DAY(C2233)-11,100)&gt;2)+1),2)&amp;","&amp;TEXT(C2233," yyyy"))</f>
        <v>May 21st,2025</v>
      </c>
      <c r="AB2233" s="15" t="str">
        <f aca="true">IF(S2233="","",DATEDIF(S2233,TODAY(),"Y")&amp;" Tahun, "&amp;DATEDIF(S2233,TODAY(),"YM")&amp;" Bulan, "&amp;DATEDIF(S2233,TODAY(),"MD")&amp;" Hari")</f>
        <v>24 Tahun, 1 Bulan, 8 Hari</v>
      </c>
      <c r="AC2233" s="18" t="n">
        <v>45798</v>
      </c>
      <c r="AD2233" s="18" t="n">
        <v>46132</v>
      </c>
      <c r="AE2233" s="18" t="s">
        <v>44</v>
      </c>
    </row>
    <row r="2234" customFormat="false" ht="15" hidden="false" customHeight="true" outlineLevel="0" collapsed="false">
      <c r="A2234" s="12" t="n">
        <v>19651</v>
      </c>
      <c r="B2234" s="13" t="s">
        <v>9551</v>
      </c>
      <c r="C2234" s="16" t="n">
        <v>45803</v>
      </c>
      <c r="D2234" s="13" t="s">
        <v>5726</v>
      </c>
      <c r="E2234" s="15" t="s">
        <v>47</v>
      </c>
      <c r="F2234" s="15" t="str">
        <f aca="false">IFERROR(__xludf.dummyfunction("XLOOKUP(AJ2234,IMPORTRANGE(""1XaInW9DU9nz21V0tYIfzFQ0He9kVQ_JF2mCXgZ3hqFA"",""REKAP ALL 2026 - Andika!G:G""),IMPORTRANGE(""1XaInW9DU9nz21V0tYIfzFQ0He9kVQ_JF2mCXgZ3hqFA"",""REKAP ALL 2026 - Andika!F:F""),"""",0)"),"25062536120")</f>
        <v>25062536120</v>
      </c>
      <c r="G2234" s="13" t="s">
        <v>1127</v>
      </c>
      <c r="H2234" s="13" t="s">
        <v>35</v>
      </c>
      <c r="I2234" s="13" t="str">
        <f aca="false">IF(C2234=J2234,"NEW KONTRAK","RE-KONTRAK")</f>
        <v>RE-KONTRAK</v>
      </c>
      <c r="J2234" s="16" t="n">
        <f aca="false" t="array" ref="J2234:J2234">IFERROR(INDEX(AC2234:AE2234,IF(COUNTA(AC2234:AE2234)=0,"",MAX((AC2234:AE2234&lt;&gt;"")*(COLUMN(AC2234:AE2234)-(COLUMN(AC2234)))))-1),"")</f>
        <v>45895</v>
      </c>
      <c r="K2234" s="16" t="n">
        <f aca="false" t="array" ref="K2234:K2234">IFERROR(INDEX(AC2234:AE2234,IF(COUNTA(AC2234:AE2234)=0,"",MAX((AC2234:AE2234&lt;&gt;"")*(COLUMN(AC2234:AE2234)-(COLUMN(AC2234)-1))))-1),"")</f>
        <v>45986</v>
      </c>
      <c r="L2234" s="17" t="str">
        <f aca="false" t="array" ref="L2234:L2234">IFERROR(INDEX(AC2234:AE2234,IF(COUNTA(AC2234:AE2234)=0,"",MAX((AC2234:AE2234&lt;&gt;"")*(COLUMN(AC2234:AE2234)-(COLUMN(AC2234)-2))))-1),"")</f>
        <v>ARCHIVED</v>
      </c>
      <c r="M2234" s="13" t="n">
        <f aca="true">K2234-TODAY()</f>
        <v>-338</v>
      </c>
      <c r="N2234" s="18" t="s">
        <v>615</v>
      </c>
      <c r="O2234" s="13" t="s">
        <v>1531</v>
      </c>
      <c r="P2234" s="19" t="n">
        <v>5176101</v>
      </c>
      <c r="Q2234" s="20" t="s">
        <v>9552</v>
      </c>
      <c r="R2234" s="13" t="s">
        <v>39</v>
      </c>
      <c r="S2234" s="16" t="n">
        <v>36659</v>
      </c>
      <c r="T2234" s="28" t="s">
        <v>40</v>
      </c>
      <c r="U2234" s="13" t="s">
        <v>9553</v>
      </c>
      <c r="V2234" s="13" t="s">
        <v>42</v>
      </c>
      <c r="W2234" s="13" t="s">
        <v>43</v>
      </c>
      <c r="X2234" s="21" t="n">
        <v>8994008001</v>
      </c>
      <c r="Y2234" s="22" t="str">
        <f aca="false">O2234</f>
        <v>Packer</v>
      </c>
      <c r="Z2234" s="13" t="str">
        <f aca="false">IFERROR(__xludf.dummyfunction("if(BJ2234="""","""",GOOGLETRANSLATE(BJ2234,""auto"",""en""))"),"Packer")</f>
        <v>Packer</v>
      </c>
      <c r="AA2234" s="23" t="str">
        <f aca="false">IF(C2234="","", CHOOSE(MONTH(C2234),"January","February","March","April","May","June","July","August","September","October","November","December")&amp;" "&amp;DAY(C2234)&amp;MID("thstndrdth",MIN(9,2*RIGHT(DAY(C2234))*(MOD(DAY(C2234)-11,100)&gt;2)+1),2)&amp;","&amp;TEXT(C2234," yyyy"))</f>
        <v>May 26th,2025</v>
      </c>
      <c r="AB2234" s="15" t="str">
        <f aca="true">IF(S2234="","",DATEDIF(S2234,TODAY(),"Y")&amp;" Tahun, "&amp;DATEDIF(S2234,TODAY(),"YM")&amp;" Bulan, "&amp;DATEDIF(S2234,TODAY(),"MD")&amp;" Hari")</f>
        <v>26 Tahun, 5 Bulan, 16 Hari</v>
      </c>
      <c r="AC2234" s="18" t="n">
        <v>45895</v>
      </c>
      <c r="AD2234" s="18" t="n">
        <v>45986</v>
      </c>
      <c r="AE2234" s="18" t="s">
        <v>44</v>
      </c>
    </row>
    <row r="2235" customFormat="false" ht="15" hidden="false" customHeight="true" outlineLevel="0" collapsed="false">
      <c r="A2235" s="12" t="n">
        <v>19646</v>
      </c>
      <c r="B2235" s="13" t="s">
        <v>9554</v>
      </c>
      <c r="C2235" s="16" t="n">
        <v>45798</v>
      </c>
      <c r="D2235" s="13" t="s">
        <v>8980</v>
      </c>
      <c r="E2235" s="15" t="s">
        <v>33</v>
      </c>
      <c r="F2235" s="24" t="s">
        <v>9555</v>
      </c>
      <c r="G2235" s="13" t="s">
        <v>9556</v>
      </c>
      <c r="H2235" s="13" t="s">
        <v>35</v>
      </c>
      <c r="I2235" s="13" t="str">
        <f aca="false">IF(C2235=J2235,"NEW KONTRAK","RE-KONTRAK")</f>
        <v>NEW KONTRAK</v>
      </c>
      <c r="J2235" s="16" t="n">
        <f aca="false" t="array" ref="J2235:J2235">IFERROR(INDEX(AC2235:AE2235,IF(COUNTA(AC2235:AE2235)=0,"",MAX((AC2235:AE2235&lt;&gt;"")*(COLUMN(AC2235:AE2235)-(COLUMN(AC2235)))))-1),"")</f>
        <v>45798</v>
      </c>
      <c r="K2235" s="16" t="n">
        <f aca="false" t="array" ref="K2235:K2235">IFERROR(INDEX(AC2235:AE2235,IF(COUNTA(AC2235:AE2235)=0,"",MAX((AC2235:AE2235&lt;&gt;"")*(COLUMN(AC2235:AE2235)-(COLUMN(AC2235)-1))))-1),"")</f>
        <v>46132</v>
      </c>
      <c r="L2235" s="17" t="str">
        <f aca="false" t="array" ref="L2235:L2235">IFERROR(INDEX(AC2235:AE2235,IF(COUNTA(AC2235:AE2235)=0,"",MAX((AC2235:AE2235&lt;&gt;"")*(COLUMN(AC2235:AE2235)-(COLUMN(AC2235)-2))))-1),"")</f>
        <v>ARCHIVED</v>
      </c>
      <c r="M2235" s="13" t="n">
        <f aca="true">K2235-TODAY()</f>
        <v>-192</v>
      </c>
      <c r="N2235" s="18" t="s">
        <v>8982</v>
      </c>
      <c r="O2235" s="13" t="s">
        <v>764</v>
      </c>
      <c r="P2235" s="19" t="n">
        <v>2000000</v>
      </c>
      <c r="Q2235" s="20" t="s">
        <v>9557</v>
      </c>
      <c r="R2235" s="13" t="s">
        <v>826</v>
      </c>
      <c r="S2235" s="16" t="n">
        <v>32068</v>
      </c>
      <c r="T2235" s="13" t="s">
        <v>108</v>
      </c>
      <c r="U2235" s="13" t="s">
        <v>9558</v>
      </c>
      <c r="V2235" s="13" t="s">
        <v>42</v>
      </c>
      <c r="W2235" s="13" t="s">
        <v>2402</v>
      </c>
      <c r="X2235" s="30" t="n">
        <v>85764887719</v>
      </c>
      <c r="Y2235" s="22" t="str">
        <f aca="false">O2235</f>
        <v>Operator</v>
      </c>
      <c r="Z2235" s="13" t="str">
        <f aca="false">IFERROR(__xludf.dummyfunction("if(BJ2235="""","""",GOOGLETRANSLATE(BJ2235,""auto"",""en""))"),"Operator")</f>
        <v>Operator</v>
      </c>
      <c r="AA2235" s="23" t="str">
        <f aca="false">IF(C2235="","", CHOOSE(MONTH(C2235),"January","February","March","April","May","June","July","August","September","October","November","December")&amp;" "&amp;DAY(C2235)&amp;MID("thstndrdth",MIN(9,2*RIGHT(DAY(C2235))*(MOD(DAY(C2235)-11,100)&gt;2)+1),2)&amp;","&amp;TEXT(C2235," yyyy"))</f>
        <v>May 21st,2025</v>
      </c>
      <c r="AB2235" s="15" t="str">
        <f aca="true">IF(S2235="","",DATEDIF(S2235,TODAY(),"Y")&amp;" Tahun, "&amp;DATEDIF(S2235,TODAY(),"YM")&amp;" Bulan, "&amp;DATEDIF(S2235,TODAY(),"MD")&amp;" Hari")</f>
        <v>39 Tahun, 0 Bulan, 11 Hari</v>
      </c>
      <c r="AC2235" s="18" t="n">
        <v>45798</v>
      </c>
      <c r="AD2235" s="18" t="n">
        <v>46132</v>
      </c>
      <c r="AE2235" s="18" t="s">
        <v>44</v>
      </c>
    </row>
    <row r="2236" customFormat="false" ht="15" hidden="false" customHeight="true" outlineLevel="0" collapsed="false">
      <c r="A2236" s="12" t="n">
        <v>19648</v>
      </c>
      <c r="B2236" s="13" t="s">
        <v>9559</v>
      </c>
      <c r="C2236" s="16" t="n">
        <v>45798</v>
      </c>
      <c r="D2236" s="13" t="s">
        <v>8980</v>
      </c>
      <c r="E2236" s="15" t="s">
        <v>33</v>
      </c>
      <c r="F2236" s="24" t="s">
        <v>9560</v>
      </c>
      <c r="G2236" s="13" t="s">
        <v>9561</v>
      </c>
      <c r="H2236" s="13" t="s">
        <v>35</v>
      </c>
      <c r="I2236" s="13" t="str">
        <f aca="false">IF(C2236=J2236,"NEW KONTRAK","RE-KONTRAK")</f>
        <v>NEW KONTRAK</v>
      </c>
      <c r="J2236" s="16" t="n">
        <f aca="false" t="array" ref="J2236:J2236">IFERROR(INDEX(AC2236:AE2236,IF(COUNTA(AC2236:AE2236)=0,"",MAX((AC2236:AE2236&lt;&gt;"")*(COLUMN(AC2236:AE2236)-(COLUMN(AC2236)))))-1),"")</f>
        <v>45798</v>
      </c>
      <c r="K2236" s="16" t="n">
        <f aca="false" t="array" ref="K2236:K2236">IFERROR(INDEX(AC2236:AE2236,IF(COUNTA(AC2236:AE2236)=0,"",MAX((AC2236:AE2236&lt;&gt;"")*(COLUMN(AC2236:AE2236)-(COLUMN(AC2236)-1))))-1),"")</f>
        <v>46132</v>
      </c>
      <c r="L2236" s="17" t="str">
        <f aca="false" t="array" ref="L2236:L2236">IFERROR(INDEX(AC2236:AE2236,IF(COUNTA(AC2236:AE2236)=0,"",MAX((AC2236:AE2236&lt;&gt;"")*(COLUMN(AC2236:AE2236)-(COLUMN(AC2236)-2))))-1),"")</f>
        <v>ARCHIVED</v>
      </c>
      <c r="M2236" s="13" t="n">
        <f aca="true">K2236-TODAY()</f>
        <v>-192</v>
      </c>
      <c r="N2236" s="18" t="s">
        <v>8982</v>
      </c>
      <c r="O2236" s="13" t="s">
        <v>764</v>
      </c>
      <c r="P2236" s="19" t="n">
        <v>2000000</v>
      </c>
      <c r="Q2236" s="20" t="s">
        <v>9562</v>
      </c>
      <c r="R2236" s="13" t="s">
        <v>763</v>
      </c>
      <c r="S2236" s="16" t="n">
        <v>37922</v>
      </c>
      <c r="T2236" s="13" t="s">
        <v>108</v>
      </c>
      <c r="U2236" s="13" t="s">
        <v>9563</v>
      </c>
      <c r="V2236" s="13" t="s">
        <v>42</v>
      </c>
      <c r="W2236" s="13" t="s">
        <v>43</v>
      </c>
      <c r="X2236" s="30" t="n">
        <v>81265940139</v>
      </c>
      <c r="Y2236" s="22" t="str">
        <f aca="false">O2236</f>
        <v>Operator</v>
      </c>
      <c r="Z2236" s="13" t="str">
        <f aca="false">IFERROR(__xludf.dummyfunction("if(BJ2236="""","""",GOOGLETRANSLATE(BJ2236,""auto"",""en""))"),"Operator")</f>
        <v>Operator</v>
      </c>
      <c r="AA2236" s="23" t="str">
        <f aca="false">IF(C2236="","", CHOOSE(MONTH(C2236),"January","February","March","April","May","June","July","August","September","October","November","December")&amp;" "&amp;DAY(C2236)&amp;MID("thstndrdth",MIN(9,2*RIGHT(DAY(C2236))*(MOD(DAY(C2236)-11,100)&gt;2)+1),2)&amp;","&amp;TEXT(C2236," yyyy"))</f>
        <v>May 21st,2025</v>
      </c>
      <c r="AB2236" s="15" t="str">
        <f aca="true">IF(S2236="","",DATEDIF(S2236,TODAY(),"Y")&amp;" Tahun, "&amp;DATEDIF(S2236,TODAY(),"YM")&amp;" Bulan, "&amp;DATEDIF(S2236,TODAY(),"MD")&amp;" Hari")</f>
        <v>23 Tahun, 0 Bulan, 1 Hari</v>
      </c>
      <c r="AC2236" s="18" t="n">
        <v>45798</v>
      </c>
      <c r="AD2236" s="18" t="n">
        <v>46132</v>
      </c>
      <c r="AE2236" s="18" t="s">
        <v>44</v>
      </c>
    </row>
    <row r="2237" customFormat="false" ht="15" hidden="false" customHeight="true" outlineLevel="0" collapsed="false">
      <c r="A2237" s="12" t="n">
        <v>19649</v>
      </c>
      <c r="B2237" s="13" t="s">
        <v>9564</v>
      </c>
      <c r="C2237" s="16" t="n">
        <v>45798</v>
      </c>
      <c r="D2237" s="13" t="s">
        <v>8980</v>
      </c>
      <c r="E2237" s="15" t="s">
        <v>33</v>
      </c>
      <c r="F2237" s="24" t="s">
        <v>9565</v>
      </c>
      <c r="G2237" s="13" t="s">
        <v>9566</v>
      </c>
      <c r="H2237" s="13" t="s">
        <v>35</v>
      </c>
      <c r="I2237" s="13" t="str">
        <f aca="false">IF(C2237=J2237,"NEW KONTRAK","RE-KONTRAK")</f>
        <v>NEW KONTRAK</v>
      </c>
      <c r="J2237" s="16" t="n">
        <f aca="false" t="array" ref="J2237:J2237">IFERROR(INDEX(AC2237:AE2237,IF(COUNTA(AC2237:AE2237)=0,"",MAX((AC2237:AE2237&lt;&gt;"")*(COLUMN(AC2237:AE2237)-(COLUMN(AC2237)))))-1),"")</f>
        <v>45798</v>
      </c>
      <c r="K2237" s="16" t="n">
        <f aca="false" t="array" ref="K2237:K2237">IFERROR(INDEX(AC2237:AE2237,IF(COUNTA(AC2237:AE2237)=0,"",MAX((AC2237:AE2237&lt;&gt;"")*(COLUMN(AC2237:AE2237)-(COLUMN(AC2237)-1))))-1),"")</f>
        <v>46132</v>
      </c>
      <c r="L2237" s="17" t="str">
        <f aca="false" t="array" ref="L2237:L2237">IFERROR(INDEX(AC2237:AE2237,IF(COUNTA(AC2237:AE2237)=0,"",MAX((AC2237:AE2237&lt;&gt;"")*(COLUMN(AC2237:AE2237)-(COLUMN(AC2237)-2))))-1),"")</f>
        <v>ARCHIVED</v>
      </c>
      <c r="M2237" s="13" t="n">
        <f aca="true">K2237-TODAY()</f>
        <v>-192</v>
      </c>
      <c r="N2237" s="18" t="s">
        <v>8982</v>
      </c>
      <c r="O2237" s="13" t="s">
        <v>764</v>
      </c>
      <c r="P2237" s="19" t="n">
        <v>2000000</v>
      </c>
      <c r="Q2237" s="20" t="s">
        <v>9567</v>
      </c>
      <c r="R2237" s="13" t="s">
        <v>826</v>
      </c>
      <c r="S2237" s="16" t="n">
        <v>36339</v>
      </c>
      <c r="T2237" s="13" t="s">
        <v>108</v>
      </c>
      <c r="U2237" s="13" t="s">
        <v>9568</v>
      </c>
      <c r="V2237" s="13" t="s">
        <v>42</v>
      </c>
      <c r="W2237" s="13" t="s">
        <v>897</v>
      </c>
      <c r="X2237" s="21" t="n">
        <v>85833732660</v>
      </c>
      <c r="Y2237" s="22" t="str">
        <f aca="false">O2237</f>
        <v>Operator</v>
      </c>
      <c r="Z2237" s="13" t="str">
        <f aca="false">IFERROR(__xludf.dummyfunction("if(BJ2237="""","""",GOOGLETRANSLATE(BJ2237,""auto"",""en""))"),"Operator")</f>
        <v>Operator</v>
      </c>
      <c r="AA2237" s="23" t="str">
        <f aca="false">IF(C2237="","", CHOOSE(MONTH(C2237),"January","February","March","April","May","June","July","August","September","October","November","December")&amp;" "&amp;DAY(C2237)&amp;MID("thstndrdth",MIN(9,2*RIGHT(DAY(C2237))*(MOD(DAY(C2237)-11,100)&gt;2)+1),2)&amp;","&amp;TEXT(C2237," yyyy"))</f>
        <v>May 21st,2025</v>
      </c>
      <c r="AB2237" s="15" t="str">
        <f aca="true">IF(S2237="","",DATEDIF(S2237,TODAY(),"Y")&amp;" Tahun, "&amp;DATEDIF(S2237,TODAY(),"YM")&amp;" Bulan, "&amp;DATEDIF(S2237,TODAY(),"MD")&amp;" Hari")</f>
        <v>27 Tahun, 4 Bulan, 1 Hari</v>
      </c>
      <c r="AC2237" s="18" t="n">
        <v>45798</v>
      </c>
      <c r="AD2237" s="18" t="n">
        <v>46132</v>
      </c>
      <c r="AE2237" s="18" t="s">
        <v>44</v>
      </c>
    </row>
    <row r="2238" customFormat="false" ht="15" hidden="false" customHeight="true" outlineLevel="0" collapsed="false">
      <c r="A2238" s="12" t="n">
        <v>19652</v>
      </c>
      <c r="B2238" s="13" t="s">
        <v>9569</v>
      </c>
      <c r="C2238" s="16" t="n">
        <v>45803</v>
      </c>
      <c r="D2238" s="13" t="s">
        <v>5726</v>
      </c>
      <c r="E2238" s="15" t="s">
        <v>47</v>
      </c>
      <c r="F2238" s="15" t="str">
        <f aca="false">IFERROR(__xludf.dummyfunction("XLOOKUP(AJ2238,IMPORTRANGE(""1XaInW9DU9nz21V0tYIfzFQ0He9kVQ_JF2mCXgZ3hqFA"",""REKAP ALL 2026 - Andika!G:G""),IMPORTRANGE(""1XaInW9DU9nz21V0tYIfzFQ0He9kVQ_JF2mCXgZ3hqFA"",""REKAP ALL 2026 - Andika!F:F""),"""",0)"),"25062536146")</f>
        <v>25062536146</v>
      </c>
      <c r="G2238" s="13" t="s">
        <v>1127</v>
      </c>
      <c r="H2238" s="13" t="s">
        <v>35</v>
      </c>
      <c r="I2238" s="13" t="str">
        <f aca="false">IF(C2238=J2238,"NEW KONTRAK","RE-KONTRAK")</f>
        <v>RE-KONTRAK</v>
      </c>
      <c r="J2238" s="16" t="n">
        <f aca="false" t="array" ref="J2238:J2238">IFERROR(INDEX(AC2238:AE2238,IF(COUNTA(AC2238:AE2238)=0,"",MAX((AC2238:AE2238&lt;&gt;"")*(COLUMN(AC2238:AE2238)-(COLUMN(AC2238)))))-1),"")</f>
        <v>45895</v>
      </c>
      <c r="K2238" s="16" t="n">
        <f aca="false" t="array" ref="K2238:K2238">IFERROR(INDEX(AC2238:AE2238,IF(COUNTA(AC2238:AE2238)=0,"",MAX((AC2238:AE2238&lt;&gt;"")*(COLUMN(AC2238:AE2238)-(COLUMN(AC2238)-1))))-1),"")</f>
        <v>45986</v>
      </c>
      <c r="L2238" s="17" t="str">
        <f aca="false" t="array" ref="L2238:L2238">IFERROR(INDEX(AC2238:AE2238,IF(COUNTA(AC2238:AE2238)=0,"",MAX((AC2238:AE2238&lt;&gt;"")*(COLUMN(AC2238:AE2238)-(COLUMN(AC2238)-2))))-1),"")</f>
        <v>ARCHIVED</v>
      </c>
      <c r="M2238" s="13" t="n">
        <f aca="true">K2238-TODAY()</f>
        <v>-338</v>
      </c>
      <c r="N2238" s="18" t="s">
        <v>615</v>
      </c>
      <c r="O2238" s="13" t="s">
        <v>1531</v>
      </c>
      <c r="P2238" s="19" t="n">
        <v>5176101</v>
      </c>
      <c r="Q2238" s="20" t="s">
        <v>9570</v>
      </c>
      <c r="R2238" s="13" t="s">
        <v>39</v>
      </c>
      <c r="S2238" s="16" t="n">
        <v>36349</v>
      </c>
      <c r="T2238" s="28" t="s">
        <v>40</v>
      </c>
      <c r="U2238" s="13" t="s">
        <v>9571</v>
      </c>
      <c r="V2238" s="13" t="s">
        <v>42</v>
      </c>
      <c r="W2238" s="13" t="s">
        <v>43</v>
      </c>
      <c r="X2238" s="21" t="n">
        <v>89650288397</v>
      </c>
      <c r="Y2238" s="22" t="str">
        <f aca="false">O2238</f>
        <v>Packer</v>
      </c>
      <c r="Z2238" s="13" t="str">
        <f aca="false">IFERROR(__xludf.dummyfunction("if(BJ2238="""","""",GOOGLETRANSLATE(BJ2238,""auto"",""en""))"),"Packer")</f>
        <v>Packer</v>
      </c>
      <c r="AA2238" s="23" t="str">
        <f aca="false">IF(C2238="","", CHOOSE(MONTH(C2238),"January","February","March","April","May","June","July","August","September","October","November","December")&amp;" "&amp;DAY(C2238)&amp;MID("thstndrdth",MIN(9,2*RIGHT(DAY(C2238))*(MOD(DAY(C2238)-11,100)&gt;2)+1),2)&amp;","&amp;TEXT(C2238," yyyy"))</f>
        <v>May 26th,2025</v>
      </c>
      <c r="AB2238" s="15" t="str">
        <f aca="true">IF(S2238="","",DATEDIF(S2238,TODAY(),"Y")&amp;" Tahun, "&amp;DATEDIF(S2238,TODAY(),"YM")&amp;" Bulan, "&amp;DATEDIF(S2238,TODAY(),"MD")&amp;" Hari")</f>
        <v>27 Tahun, 3 Bulan, 21 Hari</v>
      </c>
      <c r="AC2238" s="18" t="n">
        <v>45895</v>
      </c>
      <c r="AD2238" s="18" t="n">
        <v>45986</v>
      </c>
      <c r="AE2238" s="18" t="s">
        <v>44</v>
      </c>
    </row>
    <row r="2239" customFormat="false" ht="15" hidden="false" customHeight="true" outlineLevel="0" collapsed="false">
      <c r="A2239" s="12" t="n">
        <v>19656</v>
      </c>
      <c r="B2239" s="13" t="s">
        <v>9572</v>
      </c>
      <c r="C2239" s="16" t="n">
        <v>45803</v>
      </c>
      <c r="D2239" s="13" t="s">
        <v>5726</v>
      </c>
      <c r="E2239" s="15" t="s">
        <v>47</v>
      </c>
      <c r="F2239" s="15" t="str">
        <f aca="false">IFERROR(__xludf.dummyfunction("XLOOKUP(AJ2239,IMPORTRANGE(""1XaInW9DU9nz21V0tYIfzFQ0He9kVQ_JF2mCXgZ3hqFA"",""REKAP ALL 2026 - Andika!G:G""),IMPORTRANGE(""1XaInW9DU9nz21V0tYIfzFQ0He9kVQ_JF2mCXgZ3hqFA"",""REKAP ALL 2026 - Andika!F:F""),"""",0)"),"25062536203")</f>
        <v>25062536203</v>
      </c>
      <c r="G2239" s="13" t="s">
        <v>1127</v>
      </c>
      <c r="H2239" s="13" t="s">
        <v>35</v>
      </c>
      <c r="I2239" s="13" t="str">
        <f aca="false">IF(C2239=J2239,"NEW KONTRAK","RE-KONTRAK")</f>
        <v>RE-KONTRAK</v>
      </c>
      <c r="J2239" s="16" t="n">
        <f aca="false" t="array" ref="J2239:J2239">IFERROR(INDEX(AC2239:AE2239,IF(COUNTA(AC2239:AE2239)=0,"",MAX((AC2239:AE2239&lt;&gt;"")*(COLUMN(AC2239:AE2239)-(COLUMN(AC2239)))))-1),"")</f>
        <v>45895</v>
      </c>
      <c r="K2239" s="16" t="n">
        <f aca="false" t="array" ref="K2239:K2239">IFERROR(INDEX(AC2239:AE2239,IF(COUNTA(AC2239:AE2239)=0,"",MAX((AC2239:AE2239&lt;&gt;"")*(COLUMN(AC2239:AE2239)-(COLUMN(AC2239)-1))))-1),"")</f>
        <v>45986</v>
      </c>
      <c r="L2239" s="17" t="str">
        <f aca="false" t="array" ref="L2239:L2239">IFERROR(INDEX(AC2239:AE2239,IF(COUNTA(AC2239:AE2239)=0,"",MAX((AC2239:AE2239&lt;&gt;"")*(COLUMN(AC2239:AE2239)-(COLUMN(AC2239)-2))))-1),"")</f>
        <v>ARCHIVED</v>
      </c>
      <c r="M2239" s="13" t="n">
        <f aca="true">K2239-TODAY()</f>
        <v>-338</v>
      </c>
      <c r="N2239" s="18" t="s">
        <v>615</v>
      </c>
      <c r="O2239" s="13" t="s">
        <v>1531</v>
      </c>
      <c r="P2239" s="19" t="n">
        <v>5176101</v>
      </c>
      <c r="Q2239" s="20" t="s">
        <v>9573</v>
      </c>
      <c r="R2239" s="13" t="s">
        <v>826</v>
      </c>
      <c r="S2239" s="16" t="n">
        <v>37974</v>
      </c>
      <c r="T2239" s="28" t="s">
        <v>40</v>
      </c>
      <c r="U2239" s="13" t="s">
        <v>9574</v>
      </c>
      <c r="V2239" s="13" t="s">
        <v>42</v>
      </c>
      <c r="W2239" s="13" t="s">
        <v>43</v>
      </c>
      <c r="X2239" s="21" t="n">
        <v>85732077010</v>
      </c>
      <c r="Y2239" s="22" t="str">
        <f aca="false">O2239</f>
        <v>Packer</v>
      </c>
      <c r="Z2239" s="13" t="str">
        <f aca="false">IFERROR(__xludf.dummyfunction("if(BJ2239="""","""",GOOGLETRANSLATE(BJ2239,""auto"",""en""))"),"Packer")</f>
        <v>Packer</v>
      </c>
      <c r="AA2239" s="23" t="str">
        <f aca="false">IF(C2239="","", CHOOSE(MONTH(C2239),"January","February","March","April","May","June","July","August","September","October","November","December")&amp;" "&amp;DAY(C2239)&amp;MID("thstndrdth",MIN(9,2*RIGHT(DAY(C2239))*(MOD(DAY(C2239)-11,100)&gt;2)+1),2)&amp;","&amp;TEXT(C2239," yyyy"))</f>
        <v>May 26th,2025</v>
      </c>
      <c r="AB2239" s="15" t="str">
        <f aca="true">IF(S2239="","",DATEDIF(S2239,TODAY(),"Y")&amp;" Tahun, "&amp;DATEDIF(S2239,TODAY(),"YM")&amp;" Bulan, "&amp;DATEDIF(S2239,TODAY(),"MD")&amp;" Hari")</f>
        <v>22 Tahun, 10 Bulan, 10 Hari</v>
      </c>
      <c r="AC2239" s="18" t="n">
        <v>45895</v>
      </c>
      <c r="AD2239" s="18" t="n">
        <v>45986</v>
      </c>
      <c r="AE2239" s="18" t="s">
        <v>44</v>
      </c>
    </row>
    <row r="2240" customFormat="false" ht="15" hidden="false" customHeight="true" outlineLevel="0" collapsed="false">
      <c r="A2240" s="12" t="n">
        <v>19653</v>
      </c>
      <c r="B2240" s="13" t="s">
        <v>9575</v>
      </c>
      <c r="C2240" s="16" t="n">
        <v>45803</v>
      </c>
      <c r="D2240" s="13" t="s">
        <v>5726</v>
      </c>
      <c r="E2240" s="15" t="s">
        <v>33</v>
      </c>
      <c r="F2240" s="24" t="s">
        <v>9576</v>
      </c>
      <c r="G2240" s="13" t="s">
        <v>1127</v>
      </c>
      <c r="H2240" s="13" t="s">
        <v>35</v>
      </c>
      <c r="I2240" s="13" t="str">
        <f aca="false">IF(C2240=J2240,"NEW KONTRAK","RE-KONTRAK")</f>
        <v>RE-KONTRAK</v>
      </c>
      <c r="J2240" s="16" t="n">
        <f aca="false" t="array" ref="J2240:J2240">IFERROR(INDEX(AC2240:AE2240,IF(COUNTA(AC2240:AE2240)=0,"",MAX((AC2240:AE2240&lt;&gt;"")*(COLUMN(AC2240:AE2240)-(COLUMN(AC2240)))))-1),"")</f>
        <v>45895</v>
      </c>
      <c r="K2240" s="16" t="n">
        <f aca="false" t="array" ref="K2240:K2240">IFERROR(INDEX(AC2240:AE2240,IF(COUNTA(AC2240:AE2240)=0,"",MAX((AC2240:AE2240&lt;&gt;"")*(COLUMN(AC2240:AE2240)-(COLUMN(AC2240)-1))))-1),"")</f>
        <v>45986</v>
      </c>
      <c r="L2240" s="17" t="str">
        <f aca="false" t="array" ref="L2240:L2240">IFERROR(INDEX(AC2240:AE2240,IF(COUNTA(AC2240:AE2240)=0,"",MAX((AC2240:AE2240&lt;&gt;"")*(COLUMN(AC2240:AE2240)-(COLUMN(AC2240)-2))))-1),"")</f>
        <v>ARCHIVED</v>
      </c>
      <c r="M2240" s="13" t="n">
        <f aca="true">K2240-TODAY()</f>
        <v>-338</v>
      </c>
      <c r="N2240" s="18" t="s">
        <v>615</v>
      </c>
      <c r="O2240" s="13" t="s">
        <v>1531</v>
      </c>
      <c r="P2240" s="19" t="n">
        <f aca="false">60%*4856026</f>
        <v>2913615.6</v>
      </c>
      <c r="Q2240" s="20" t="s">
        <v>9577</v>
      </c>
      <c r="R2240" s="13" t="s">
        <v>232</v>
      </c>
      <c r="S2240" s="16" t="n">
        <v>37046</v>
      </c>
      <c r="T2240" s="13" t="s">
        <v>108</v>
      </c>
      <c r="U2240" s="13" t="s">
        <v>9578</v>
      </c>
      <c r="V2240" s="13" t="s">
        <v>42</v>
      </c>
      <c r="W2240" s="13" t="s">
        <v>43</v>
      </c>
      <c r="X2240" s="21" t="n">
        <v>82335195593</v>
      </c>
      <c r="Y2240" s="22" t="str">
        <f aca="false">O2240</f>
        <v>Packer</v>
      </c>
      <c r="Z2240" s="13" t="str">
        <f aca="false">IFERROR(__xludf.dummyfunction("if(BJ2240="""","""",GOOGLETRANSLATE(BJ2240,""auto"",""en""))"),"Packer")</f>
        <v>Packer</v>
      </c>
      <c r="AA2240" s="23" t="str">
        <f aca="false">IF(C2240="","", CHOOSE(MONTH(C2240),"January","February","March","April","May","June","July","August","September","October","November","December")&amp;" "&amp;DAY(C2240)&amp;MID("thstndrdth",MIN(9,2*RIGHT(DAY(C2240))*(MOD(DAY(C2240)-11,100)&gt;2)+1),2)&amp;","&amp;TEXT(C2240," yyyy"))</f>
        <v>May 26th,2025</v>
      </c>
      <c r="AB2240" s="15" t="str">
        <f aca="true">IF(S2240="","",DATEDIF(S2240,TODAY(),"Y")&amp;" Tahun, "&amp;DATEDIF(S2240,TODAY(),"YM")&amp;" Bulan, "&amp;DATEDIF(S2240,TODAY(),"MD")&amp;" Hari")</f>
        <v>25 Tahun, 4 Bulan, 25 Hari</v>
      </c>
      <c r="AC2240" s="18" t="n">
        <v>45895</v>
      </c>
      <c r="AD2240" s="18" t="n">
        <v>45986</v>
      </c>
      <c r="AE2240" s="18" t="s">
        <v>44</v>
      </c>
    </row>
    <row r="2241" customFormat="false" ht="15" hidden="false" customHeight="true" outlineLevel="0" collapsed="false">
      <c r="A2241" s="12" t="n">
        <v>19654</v>
      </c>
      <c r="B2241" s="13" t="s">
        <v>9579</v>
      </c>
      <c r="C2241" s="16" t="n">
        <v>45803</v>
      </c>
      <c r="D2241" s="13" t="s">
        <v>5726</v>
      </c>
      <c r="E2241" s="15" t="s">
        <v>789</v>
      </c>
      <c r="F2241" s="24" t="s">
        <v>9580</v>
      </c>
      <c r="G2241" s="13" t="s">
        <v>1127</v>
      </c>
      <c r="H2241" s="13" t="s">
        <v>35</v>
      </c>
      <c r="I2241" s="13" t="str">
        <f aca="false">IF(C2241=J2241,"NEW KONTRAK","RE-KONTRAK")</f>
        <v>RE-KONTRAK</v>
      </c>
      <c r="J2241" s="16" t="n">
        <f aca="false" t="array" ref="J2241:J2241">IFERROR(INDEX(AC2241:AE2241,IF(COUNTA(AC2241:AE2241)=0,"",MAX((AC2241:AE2241&lt;&gt;"")*(COLUMN(AC2241:AE2241)-(COLUMN(AC2241)))))-1),"")</f>
        <v>45895</v>
      </c>
      <c r="K2241" s="16" t="n">
        <f aca="false" t="array" ref="K2241:K2241">IFERROR(INDEX(AC2241:AE2241,IF(COUNTA(AC2241:AE2241)=0,"",MAX((AC2241:AE2241&lt;&gt;"")*(COLUMN(AC2241:AE2241)-(COLUMN(AC2241)-1))))-1),"")</f>
        <v>45986</v>
      </c>
      <c r="L2241" s="17" t="str">
        <f aca="false" t="array" ref="L2241:L2241">IFERROR(INDEX(AC2241:AE2241,IF(COUNTA(AC2241:AE2241)=0,"",MAX((AC2241:AE2241&lt;&gt;"")*(COLUMN(AC2241:AE2241)-(COLUMN(AC2241)-2))))-1),"")</f>
        <v>ARCHIVED</v>
      </c>
      <c r="M2241" s="13" t="n">
        <f aca="true">K2241-TODAY()</f>
        <v>-338</v>
      </c>
      <c r="N2241" s="18" t="s">
        <v>615</v>
      </c>
      <c r="O2241" s="13" t="s">
        <v>1531</v>
      </c>
      <c r="P2241" s="19" t="n">
        <f aca="false">60%*4856026</f>
        <v>2913615.6</v>
      </c>
      <c r="Q2241" s="20" t="s">
        <v>9581</v>
      </c>
      <c r="R2241" s="13" t="s">
        <v>232</v>
      </c>
      <c r="S2241" s="16" t="n">
        <v>38852</v>
      </c>
      <c r="T2241" s="13" t="s">
        <v>108</v>
      </c>
      <c r="U2241" s="13" t="s">
        <v>9582</v>
      </c>
      <c r="V2241" s="13" t="s">
        <v>42</v>
      </c>
      <c r="W2241" s="13" t="s">
        <v>43</v>
      </c>
      <c r="X2241" s="21" t="n">
        <v>87756878666</v>
      </c>
      <c r="Y2241" s="22" t="str">
        <f aca="false">O2241</f>
        <v>Packer</v>
      </c>
      <c r="Z2241" s="13" t="str">
        <f aca="false">IFERROR(__xludf.dummyfunction("if(BJ2241="""","""",GOOGLETRANSLATE(BJ2241,""auto"",""en""))"),"Packer")</f>
        <v>Packer</v>
      </c>
      <c r="AA2241" s="23" t="str">
        <f aca="false">IF(C2241="","", CHOOSE(MONTH(C2241),"January","February","March","April","May","June","July","August","September","October","November","December")&amp;" "&amp;DAY(C2241)&amp;MID("thstndrdth",MIN(9,2*RIGHT(DAY(C2241))*(MOD(DAY(C2241)-11,100)&gt;2)+1),2)&amp;","&amp;TEXT(C2241," yyyy"))</f>
        <v>May 26th,2025</v>
      </c>
      <c r="AB2241" s="15" t="str">
        <f aca="true">IF(S2241="","",DATEDIF(S2241,TODAY(),"Y")&amp;" Tahun, "&amp;DATEDIF(S2241,TODAY(),"YM")&amp;" Bulan, "&amp;DATEDIF(S2241,TODAY(),"MD")&amp;" Hari")</f>
        <v>20 Tahun, 5 Bulan, 14 Hari</v>
      </c>
      <c r="AC2241" s="18" t="n">
        <v>45895</v>
      </c>
      <c r="AD2241" s="18" t="n">
        <v>45986</v>
      </c>
      <c r="AE2241" s="18" t="s">
        <v>44</v>
      </c>
    </row>
    <row r="2242" customFormat="false" ht="15" hidden="false" customHeight="true" outlineLevel="0" collapsed="false">
      <c r="A2242" s="12" t="n">
        <v>19657</v>
      </c>
      <c r="B2242" s="13" t="s">
        <v>9583</v>
      </c>
      <c r="C2242" s="16" t="n">
        <v>45803</v>
      </c>
      <c r="D2242" s="13" t="s">
        <v>5726</v>
      </c>
      <c r="E2242" s="15" t="s">
        <v>47</v>
      </c>
      <c r="F2242" s="15" t="str">
        <f aca="false">IFERROR(__xludf.dummyfunction("XLOOKUP(AJ2242,IMPORTRANGE(""1XaInW9DU9nz21V0tYIfzFQ0He9kVQ_JF2mCXgZ3hqFA"",""REKAP ALL 2026 - Andika!G:G""),IMPORTRANGE(""1XaInW9DU9nz21V0tYIfzFQ0He9kVQ_JF2mCXgZ3hqFA"",""REKAP ALL 2026 - Andika!F:F""),"""",0)"),"25062536229")</f>
        <v>25062536229</v>
      </c>
      <c r="G2242" s="13" t="s">
        <v>1127</v>
      </c>
      <c r="H2242" s="13" t="s">
        <v>35</v>
      </c>
      <c r="I2242" s="13" t="str">
        <f aca="false">IF(C2242=J2242,"NEW KONTRAK","RE-KONTRAK")</f>
        <v>RE-KONTRAK</v>
      </c>
      <c r="J2242" s="16" t="n">
        <f aca="false" t="array" ref="J2242:J2242">IFERROR(INDEX(AC2242:AE2242,IF(COUNTA(AC2242:AE2242)=0,"",MAX((AC2242:AE2242&lt;&gt;"")*(COLUMN(AC2242:AE2242)-(COLUMN(AC2242)))))-1),"")</f>
        <v>45895</v>
      </c>
      <c r="K2242" s="16" t="n">
        <f aca="false" t="array" ref="K2242:K2242">IFERROR(INDEX(AC2242:AE2242,IF(COUNTA(AC2242:AE2242)=0,"",MAX((AC2242:AE2242&lt;&gt;"")*(COLUMN(AC2242:AE2242)-(COLUMN(AC2242)-1))))-1),"")</f>
        <v>45986</v>
      </c>
      <c r="L2242" s="17" t="str">
        <f aca="false" t="array" ref="L2242:L2242">IFERROR(INDEX(AC2242:AE2242,IF(COUNTA(AC2242:AE2242)=0,"",MAX((AC2242:AE2242&lt;&gt;"")*(COLUMN(AC2242:AE2242)-(COLUMN(AC2242)-2))))-1),"")</f>
        <v>ARCHIVED</v>
      </c>
      <c r="M2242" s="13" t="n">
        <f aca="true">K2242-TODAY()</f>
        <v>-338</v>
      </c>
      <c r="N2242" s="18" t="s">
        <v>615</v>
      </c>
      <c r="O2242" s="13" t="s">
        <v>1531</v>
      </c>
      <c r="P2242" s="19" t="n">
        <v>5176101</v>
      </c>
      <c r="Q2242" s="20" t="s">
        <v>9584</v>
      </c>
      <c r="R2242" s="13" t="s">
        <v>232</v>
      </c>
      <c r="S2242" s="16" t="n">
        <v>38293</v>
      </c>
      <c r="T2242" s="28" t="s">
        <v>40</v>
      </c>
      <c r="U2242" s="13" t="s">
        <v>9585</v>
      </c>
      <c r="V2242" s="13" t="s">
        <v>42</v>
      </c>
      <c r="W2242" s="13" t="s">
        <v>43</v>
      </c>
      <c r="X2242" s="21" t="n">
        <v>85704407843</v>
      </c>
      <c r="Y2242" s="22" t="str">
        <f aca="false">O2242</f>
        <v>Packer</v>
      </c>
      <c r="Z2242" s="13" t="str">
        <f aca="false">IFERROR(__xludf.dummyfunction("if(BJ2242="""","""",GOOGLETRANSLATE(BJ2242,""auto"",""en""))"),"Packer")</f>
        <v>Packer</v>
      </c>
      <c r="AA2242" s="23" t="str">
        <f aca="false">IF(C2242="","", CHOOSE(MONTH(C2242),"January","February","March","April","May","June","July","August","September","October","November","December")&amp;" "&amp;DAY(C2242)&amp;MID("thstndrdth",MIN(9,2*RIGHT(DAY(C2242))*(MOD(DAY(C2242)-11,100)&gt;2)+1),2)&amp;","&amp;TEXT(C2242," yyyy"))</f>
        <v>May 26th,2025</v>
      </c>
      <c r="AB2242" s="15" t="str">
        <f aca="true">IF(S2242="","",DATEDIF(S2242,TODAY(),"Y")&amp;" Tahun, "&amp;DATEDIF(S2242,TODAY(),"YM")&amp;" Bulan, "&amp;DATEDIF(S2242,TODAY(),"MD")&amp;" Hari")</f>
        <v>21 Tahun, 11 Bulan, 27 Hari</v>
      </c>
      <c r="AC2242" s="18" t="n">
        <v>45895</v>
      </c>
      <c r="AD2242" s="18" t="n">
        <v>45986</v>
      </c>
      <c r="AE2242" s="18" t="s">
        <v>44</v>
      </c>
    </row>
    <row r="2243" customFormat="false" ht="15" hidden="false" customHeight="true" outlineLevel="0" collapsed="false">
      <c r="A2243" s="12" t="n">
        <v>19662</v>
      </c>
      <c r="B2243" s="13" t="s">
        <v>9586</v>
      </c>
      <c r="C2243" s="16" t="n">
        <v>45783</v>
      </c>
      <c r="D2243" s="13" t="s">
        <v>9587</v>
      </c>
      <c r="E2243" s="15" t="s">
        <v>47</v>
      </c>
      <c r="F2243" s="15" t="str">
        <f aca="false">IFERROR(__xludf.dummyfunction("XLOOKUP(AJ2243,IMPORTRANGE(""1XaInW9DU9nz21V0tYIfzFQ0He9kVQ_JF2mCXgZ3hqFA"",""REKAP ALL 2026 - Andika!G:G""),IMPORTRANGE(""1XaInW9DU9nz21V0tYIfzFQ0He9kVQ_JF2mCXgZ3hqFA"",""REKAP ALL 2026 - Andika!F:F""),"""",0)"),"25079805567")</f>
        <v>25079805567</v>
      </c>
      <c r="G2243" s="13" t="s">
        <v>9588</v>
      </c>
      <c r="H2243" s="13" t="s">
        <v>35</v>
      </c>
      <c r="I2243" s="13" t="str">
        <f aca="false">IF(C2243=J2243,"NEW KONTRAK","RE-KONTRAK")</f>
        <v>NEW KONTRAK</v>
      </c>
      <c r="J2243" s="16" t="n">
        <f aca="false" t="array" ref="J2243:J2243">IFERROR(INDEX(AC2243:AE2243,IF(COUNTA(AC2243:AE2243)=0,"",MAX((AC2243:AE2243&lt;&gt;"")*(COLUMN(AC2243:AE2243)-(COLUMN(AC2243)))))-1),"")</f>
        <v>45783</v>
      </c>
      <c r="K2243" s="16" t="n">
        <f aca="false" t="array" ref="K2243:K2243">IFERROR(INDEX(AC2243:AE2243,IF(COUNTA(AC2243:AE2243)=0,"",MAX((AC2243:AE2243&lt;&gt;"")*(COLUMN(AC2243:AE2243)-(COLUMN(AC2243)-1))))-1),"")</f>
        <v>46147</v>
      </c>
      <c r="L2243" s="17" t="str">
        <f aca="false" t="array" ref="L2243:L2243">IFERROR(INDEX(AC2243:AE2243,IF(COUNTA(AC2243:AE2243)=0,"",MAX((AC2243:AE2243&lt;&gt;"")*(COLUMN(AC2243:AE2243)-(COLUMN(AC2243)-2))))-1),"")</f>
        <v>ARCHIVED</v>
      </c>
      <c r="M2243" s="13" t="n">
        <f aca="true">K2243-TODAY()</f>
        <v>-177</v>
      </c>
      <c r="N2243" s="18" t="s">
        <v>728</v>
      </c>
      <c r="O2243" s="13" t="s">
        <v>50</v>
      </c>
      <c r="P2243" s="27" t="n">
        <v>2550274</v>
      </c>
      <c r="Q2243" s="20" t="s">
        <v>9589</v>
      </c>
      <c r="R2243" s="13" t="s">
        <v>246</v>
      </c>
      <c r="S2243" s="16" t="n">
        <v>35913</v>
      </c>
      <c r="T2243" s="28" t="s">
        <v>40</v>
      </c>
      <c r="U2243" s="13" t="s">
        <v>9590</v>
      </c>
      <c r="V2243" s="13" t="s">
        <v>42</v>
      </c>
      <c r="W2243" s="13" t="s">
        <v>43</v>
      </c>
      <c r="X2243" s="21" t="n">
        <v>82339683331</v>
      </c>
      <c r="Y2243" s="22" t="str">
        <f aca="false">O2243</f>
        <v>Driver</v>
      </c>
      <c r="Z2243" s="13" t="str">
        <f aca="false">IFERROR(__xludf.dummyfunction("if(BJ2243="""","""",GOOGLETRANSLATE(BJ2243,""auto"",""en""))"),"Driver")</f>
        <v>Driver</v>
      </c>
      <c r="AA2243" s="23" t="str">
        <f aca="false">IF(C2243="","", CHOOSE(MONTH(C2243),"January","February","March","April","May","June","July","August","September","October","November","December")&amp;" "&amp;DAY(C2243)&amp;MID("thstndrdth",MIN(9,2*RIGHT(DAY(C2243))*(MOD(DAY(C2243)-11,100)&gt;2)+1),2)&amp;","&amp;TEXT(C2243," yyyy"))</f>
        <v>May 6th,2025</v>
      </c>
      <c r="AB2243" s="15" t="str">
        <f aca="true">IF(S2243="","",DATEDIF(S2243,TODAY(),"Y")&amp;" Tahun, "&amp;DATEDIF(S2243,TODAY(),"YM")&amp;" Bulan, "&amp;DATEDIF(S2243,TODAY(),"MD")&amp;" Hari")</f>
        <v>28 Tahun, 6 Bulan, 1 Hari</v>
      </c>
      <c r="AC2243" s="18" t="n">
        <v>45783</v>
      </c>
      <c r="AD2243" s="18" t="n">
        <v>46147</v>
      </c>
      <c r="AE2243" s="18" t="s">
        <v>44</v>
      </c>
    </row>
    <row r="2244" customFormat="false" ht="15" hidden="false" customHeight="true" outlineLevel="0" collapsed="false">
      <c r="A2244" s="12" t="n">
        <v>19660</v>
      </c>
      <c r="B2244" s="13" t="s">
        <v>9591</v>
      </c>
      <c r="C2244" s="16" t="n">
        <v>45792</v>
      </c>
      <c r="D2244" s="13" t="s">
        <v>7534</v>
      </c>
      <c r="E2244" s="15" t="s">
        <v>102</v>
      </c>
      <c r="F2244" s="24" t="s">
        <v>9592</v>
      </c>
      <c r="G2244" s="13" t="s">
        <v>9593</v>
      </c>
      <c r="H2244" s="13" t="s">
        <v>35</v>
      </c>
      <c r="I2244" s="13" t="str">
        <f aca="false">IF(C2244=J2244,"NEW KONTRAK","RE-KONTRAK")</f>
        <v>RE-KONTRAK</v>
      </c>
      <c r="J2244" s="16" t="n">
        <f aca="false" t="array" ref="J2244:J2244">IFERROR(INDEX(AC2244:AE2244,IF(COUNTA(AC2244:AE2244)=0,"",MAX((AC2244:AE2244&lt;&gt;"")*(COLUMN(AC2244:AE2244)-(COLUMN(AC2244)))))-1),"")</f>
        <v>45884</v>
      </c>
      <c r="K2244" s="16" t="n">
        <f aca="false" t="array" ref="K2244:K2244">IFERROR(INDEX(AC2244:AE2244,IF(COUNTA(AC2244:AE2244)=0,"",MAX((AC2244:AE2244&lt;&gt;"")*(COLUMN(AC2244:AE2244)-(COLUMN(AC2244)-1))))-1),"")</f>
        <v>45975</v>
      </c>
      <c r="L2244" s="17" t="str">
        <f aca="false" t="array" ref="L2244:L2244">IFERROR(INDEX(AC2244:AE2244,IF(COUNTA(AC2244:AE2244)=0,"",MAX((AC2244:AE2244&lt;&gt;"")*(COLUMN(AC2244:AE2244)-(COLUMN(AC2244)-2))))-1),"")</f>
        <v>ARCHIVED</v>
      </c>
      <c r="M2244" s="13" t="n">
        <f aca="true">K2244-TODAY()</f>
        <v>-349</v>
      </c>
      <c r="N2244" s="18" t="s">
        <v>4735</v>
      </c>
      <c r="O2244" s="13" t="s">
        <v>7536</v>
      </c>
      <c r="P2244" s="19" t="n">
        <v>3553530</v>
      </c>
      <c r="Q2244" s="20" t="s">
        <v>9594</v>
      </c>
      <c r="R2244" s="13" t="s">
        <v>241</v>
      </c>
      <c r="S2244" s="16" t="n">
        <v>37522</v>
      </c>
      <c r="T2244" s="13" t="s">
        <v>108</v>
      </c>
      <c r="U2244" s="13" t="s">
        <v>9595</v>
      </c>
      <c r="V2244" s="13" t="s">
        <v>42</v>
      </c>
      <c r="W2244" s="13" t="s">
        <v>43</v>
      </c>
      <c r="X2244" s="21" t="n">
        <v>81215303923</v>
      </c>
      <c r="Y2244" s="22" t="str">
        <f aca="false">O2244</f>
        <v>Host Live</v>
      </c>
      <c r="Z2244" s="13" t="str">
        <f aca="false">IFERROR(__xludf.dummyfunction("if(BJ2244="""","""",GOOGLETRANSLATE(BJ2244,""auto"",""en""))"),"Host Live")</f>
        <v>Host Live</v>
      </c>
      <c r="AA2244" s="23" t="str">
        <f aca="false">IF(C2244="","", CHOOSE(MONTH(C2244),"January","February","March","April","May","June","July","August","September","October","November","December")&amp;" "&amp;DAY(C2244)&amp;MID("thstndrdth",MIN(9,2*RIGHT(DAY(C2244))*(MOD(DAY(C2244)-11,100)&gt;2)+1),2)&amp;","&amp;TEXT(C2244," yyyy"))</f>
        <v>May 15th,2025</v>
      </c>
      <c r="AB2244" s="15" t="str">
        <f aca="true">IF(S2244="","",DATEDIF(S2244,TODAY(),"Y")&amp;" Tahun, "&amp;DATEDIF(S2244,TODAY(),"YM")&amp;" Bulan, "&amp;DATEDIF(S2244,TODAY(),"MD")&amp;" Hari")</f>
        <v>24 Tahun, 1 Bulan, 6 Hari</v>
      </c>
      <c r="AC2244" s="18" t="n">
        <v>45884</v>
      </c>
      <c r="AD2244" s="18" t="n">
        <v>45975</v>
      </c>
      <c r="AE2244" s="18" t="s">
        <v>44</v>
      </c>
    </row>
    <row r="2245" customFormat="false" ht="15" hidden="false" customHeight="true" outlineLevel="0" collapsed="false">
      <c r="A2245" s="12" t="n">
        <v>19669</v>
      </c>
      <c r="B2245" s="13" t="s">
        <v>9596</v>
      </c>
      <c r="C2245" s="16" t="n">
        <v>45803</v>
      </c>
      <c r="D2245" s="13" t="s">
        <v>4743</v>
      </c>
      <c r="E2245" s="15" t="s">
        <v>47</v>
      </c>
      <c r="F2245" s="15" t="str">
        <f aca="false">IFERROR(__xludf.dummyfunction("XLOOKUP(AJ2245,IMPORTRANGE(""1XaInW9DU9nz21V0tYIfzFQ0He9kVQ_JF2mCXgZ3hqFA"",""REKAP ALL 2026 - Andika!G:G""),IMPORTRANGE(""1XaInW9DU9nz21V0tYIfzFQ0He9kVQ_JF2mCXgZ3hqFA"",""REKAP ALL 2026 - Andika!F:F""),"""",0)"),"25062578551")</f>
        <v>25062578551</v>
      </c>
      <c r="G2245" s="13" t="s">
        <v>9597</v>
      </c>
      <c r="H2245" s="13" t="s">
        <v>35</v>
      </c>
      <c r="I2245" s="13" t="str">
        <f aca="false">IF(C2245=J2245,"NEW KONTRAK","RE-KONTRAK")</f>
        <v>NEW KONTRAK</v>
      </c>
      <c r="J2245" s="16" t="n">
        <f aca="false" t="array" ref="J2245:J2245">IFERROR(INDEX(AC2245:AE2245,IF(COUNTA(AC2245:AE2245)=0,"",MAX((AC2245:AE2245&lt;&gt;"")*(COLUMN(AC2245:AE2245)-(COLUMN(AC2245)))))-1),"")</f>
        <v>45803</v>
      </c>
      <c r="K2245" s="16" t="n">
        <f aca="false" t="array" ref="K2245:K2245">IFERROR(INDEX(AC2245:AE2245,IF(COUNTA(AC2245:AE2245)=0,"",MAX((AC2245:AE2245&lt;&gt;"")*(COLUMN(AC2245:AE2245)-(COLUMN(AC2245)-1))))-1),"")</f>
        <v>45986</v>
      </c>
      <c r="L2245" s="17" t="str">
        <f aca="false" t="array" ref="L2245:L2245">IFERROR(INDEX(AC2245:AE2245,IF(COUNTA(AC2245:AE2245)=0,"",MAX((AC2245:AE2245&lt;&gt;"")*(COLUMN(AC2245:AE2245)-(COLUMN(AC2245)-2))))-1),"")</f>
        <v>ARCHIVED</v>
      </c>
      <c r="M2245" s="13" t="n">
        <f aca="true">K2245-TODAY()</f>
        <v>-338</v>
      </c>
      <c r="N2245" s="18" t="s">
        <v>728</v>
      </c>
      <c r="O2245" s="13" t="s">
        <v>9598</v>
      </c>
      <c r="P2245" s="19" t="n">
        <v>5191541</v>
      </c>
      <c r="Q2245" s="20" t="s">
        <v>9599</v>
      </c>
      <c r="R2245" s="13" t="s">
        <v>52</v>
      </c>
      <c r="S2245" s="16" t="n">
        <v>35277</v>
      </c>
      <c r="T2245" s="28" t="s">
        <v>40</v>
      </c>
      <c r="U2245" s="13" t="s">
        <v>9600</v>
      </c>
      <c r="V2245" s="28" t="s">
        <v>1216</v>
      </c>
      <c r="W2245" s="13" t="s">
        <v>43</v>
      </c>
      <c r="X2245" s="21" t="n">
        <v>85812064248</v>
      </c>
      <c r="Y2245" s="22" t="str">
        <f aca="false">O2245</f>
        <v>Surveyor Purchasing</v>
      </c>
      <c r="Z2245" s="13" t="str">
        <f aca="false">IFERROR(__xludf.dummyfunction("if(BJ2245="""","""",GOOGLETRANSLATE(BJ2245,""auto"",""en""))"),"Surveyor Purchasing")</f>
        <v>Surveyor Purchasing</v>
      </c>
      <c r="AA2245" s="23" t="str">
        <f aca="false">IF(C2245="","", CHOOSE(MONTH(C2245),"January","February","March","April","May","June","July","August","September","October","November","December")&amp;" "&amp;DAY(C2245)&amp;MID("thstndrdth",MIN(9,2*RIGHT(DAY(C2245))*(MOD(DAY(C2245)-11,100)&gt;2)+1),2)&amp;","&amp;TEXT(C2245," yyyy"))</f>
        <v>May 26th,2025</v>
      </c>
      <c r="AB2245" s="15" t="str">
        <f aca="true">IF(S2245="","",DATEDIF(S2245,TODAY(),"Y")&amp;" Tahun, "&amp;DATEDIF(S2245,TODAY(),"YM")&amp;" Bulan, "&amp;DATEDIF(S2245,TODAY(),"MD")&amp;" Hari")</f>
        <v>30 Tahun, 2 Bulan, 28 Hari</v>
      </c>
      <c r="AC2245" s="18" t="n">
        <v>45803</v>
      </c>
      <c r="AD2245" s="18" t="n">
        <v>45986</v>
      </c>
      <c r="AE2245" s="18" t="s">
        <v>44</v>
      </c>
    </row>
    <row r="2246" customFormat="false" ht="15" hidden="false" customHeight="true" outlineLevel="0" collapsed="false">
      <c r="A2246" s="12" t="n">
        <v>19668</v>
      </c>
      <c r="B2246" s="13" t="s">
        <v>9601</v>
      </c>
      <c r="C2246" s="16" t="n">
        <v>45803</v>
      </c>
      <c r="D2246" s="13" t="s">
        <v>5726</v>
      </c>
      <c r="E2246" s="15" t="s">
        <v>33</v>
      </c>
      <c r="F2246" s="24" t="s">
        <v>9602</v>
      </c>
      <c r="G2246" s="13" t="s">
        <v>9603</v>
      </c>
      <c r="H2246" s="13" t="s">
        <v>35</v>
      </c>
      <c r="I2246" s="13" t="str">
        <f aca="false">IF(C2246=J2246,"NEW KONTRAK","RE-KONTRAK")</f>
        <v>RE-KONTRAK</v>
      </c>
      <c r="J2246" s="16" t="n">
        <f aca="false" t="array" ref="J2246:J2246">IFERROR(INDEX(AC2246:AE2246,IF(COUNTA(AC2246:AE2246)=0,"",MAX((AC2246:AE2246&lt;&gt;"")*(COLUMN(AC2246:AE2246)-(COLUMN(AC2246)))))-1),"")</f>
        <v>45895</v>
      </c>
      <c r="K2246" s="16" t="n">
        <f aca="false" t="array" ref="K2246:K2246">IFERROR(INDEX(AC2246:AE2246,IF(COUNTA(AC2246:AE2246)=0,"",MAX((AC2246:AE2246&lt;&gt;"")*(COLUMN(AC2246:AE2246)-(COLUMN(AC2246)-1))))-1),"")</f>
        <v>45986</v>
      </c>
      <c r="L2246" s="17" t="str">
        <f aca="false" t="array" ref="L2246:L2246">IFERROR(INDEX(AC2246:AE2246,IF(COUNTA(AC2246:AE2246)=0,"",MAX((AC2246:AE2246&lt;&gt;"")*(COLUMN(AC2246:AE2246)-(COLUMN(AC2246)-2))))-1),"")</f>
        <v>ARCHIVED</v>
      </c>
      <c r="M2246" s="13" t="n">
        <f aca="true">K2246-TODAY()</f>
        <v>-338</v>
      </c>
      <c r="N2246" s="18" t="s">
        <v>615</v>
      </c>
      <c r="O2246" s="13" t="s">
        <v>7088</v>
      </c>
      <c r="P2246" s="27" t="n">
        <v>5176101</v>
      </c>
      <c r="Q2246" s="20" t="s">
        <v>9604</v>
      </c>
      <c r="R2246" s="13" t="s">
        <v>232</v>
      </c>
      <c r="S2246" s="16" t="n">
        <v>34605</v>
      </c>
      <c r="T2246" s="13" t="s">
        <v>108</v>
      </c>
      <c r="U2246" s="13" t="s">
        <v>9605</v>
      </c>
      <c r="V2246" s="13" t="s">
        <v>42</v>
      </c>
      <c r="W2246" s="13" t="s">
        <v>54</v>
      </c>
      <c r="X2246" s="21" t="n">
        <v>85807416069</v>
      </c>
      <c r="Y2246" s="22" t="str">
        <f aca="false">O2246</f>
        <v>Quality Inspector</v>
      </c>
      <c r="Z2246" s="13" t="str">
        <f aca="false">IFERROR(__xludf.dummyfunction("if(BJ2246="""","""",GOOGLETRANSLATE(BJ2246,""auto"",""en""))"),"Quality Inspector")</f>
        <v>Quality Inspector</v>
      </c>
      <c r="AA2246" s="23" t="str">
        <f aca="false">IF(C2246="","", CHOOSE(MONTH(C2246),"January","February","March","April","May","June","July","August","September","October","November","December")&amp;" "&amp;DAY(C2246)&amp;MID("thstndrdth",MIN(9,2*RIGHT(DAY(C2246))*(MOD(DAY(C2246)-11,100)&gt;2)+1),2)&amp;","&amp;TEXT(C2246," yyyy"))</f>
        <v>May 26th,2025</v>
      </c>
      <c r="AB2246" s="15" t="str">
        <f aca="true">IF(S2246="","",DATEDIF(S2246,TODAY(),"Y")&amp;" Tahun, "&amp;DATEDIF(S2246,TODAY(),"YM")&amp;" Bulan, "&amp;DATEDIF(S2246,TODAY(),"MD")&amp;" Hari")</f>
        <v>32 Tahun, 1 Bulan, 1 Hari</v>
      </c>
      <c r="AC2246" s="18" t="n">
        <v>45895</v>
      </c>
      <c r="AD2246" s="18" t="n">
        <v>45986</v>
      </c>
      <c r="AE2246" s="18" t="s">
        <v>44</v>
      </c>
    </row>
    <row r="2247" customFormat="false" ht="15" hidden="false" customHeight="true" outlineLevel="0" collapsed="false">
      <c r="A2247" s="12" t="n">
        <v>2313</v>
      </c>
      <c r="B2247" s="13" t="s">
        <v>9606</v>
      </c>
      <c r="C2247" s="14" t="n">
        <v>44460</v>
      </c>
      <c r="D2247" s="13" t="s">
        <v>2033</v>
      </c>
      <c r="E2247" s="15" t="s">
        <v>47</v>
      </c>
      <c r="F2247" s="15" t="str">
        <f aca="false">IFERROR(__xludf.dummyfunction("XLOOKUP(AJ2247,IMPORTRANGE(""1XaInW9DU9nz21V0tYIfzFQ0He9kVQ_JF2mCXgZ3hqFA"",""REKAP ALL 2026 - Andika!G:G""),IMPORTRANGE(""1XaInW9DU9nz21V0tYIfzFQ0He9kVQ_JF2mCXgZ3hqFA"",""REKAP ALL 2026 - Andika!F:F""),"""",0)"),"21082691300")</f>
        <v>21082691300</v>
      </c>
      <c r="G2247" s="13" t="s">
        <v>9607</v>
      </c>
      <c r="H2247" s="13" t="s">
        <v>2035</v>
      </c>
      <c r="I2247" s="13" t="str">
        <f aca="false">IF(C2247=J2247,"NEW KONTRAK","RE-KONTRAK")</f>
        <v>RE-KONTRAK</v>
      </c>
      <c r="J2247" s="16" t="n">
        <f aca="false" t="array" ref="J2247:J2247">IFERROR(INDEX(AC2247:AE2247,IF(COUNTA(AC2247:AE2247)=0,"",MAX((AC2247:AE2247&lt;&gt;"")*(COLUMN(AC2247:AE2247)-(COLUMN(AC2247)))))-1),"")</f>
        <v>45744</v>
      </c>
      <c r="K2247" s="16" t="n">
        <f aca="false" t="array" ref="K2247:K2247">IFERROR(INDEX(AC2247:AE2247,IF(COUNTA(AC2247:AE2247)=0,"",MAX((AC2247:AE2247&lt;&gt;"")*(COLUMN(AC2247:AE2247)-(COLUMN(AC2247)-1))))-1),"")</f>
        <v>45915</v>
      </c>
      <c r="L2247" s="17" t="str">
        <f aca="false" t="array" ref="L2247:L2247">IFERROR(INDEX(AC2247:AE2247,IF(COUNTA(AC2247:AE2247)=0,"",MAX((AC2247:AE2247&lt;&gt;"")*(COLUMN(AC2247:AE2247)-(COLUMN(AC2247)-2))))-1),"")</f>
        <v>ARCHIVED</v>
      </c>
      <c r="M2247" s="13" t="n">
        <f aca="true">K2247-TODAY()</f>
        <v>-409</v>
      </c>
      <c r="N2247" s="18" t="s">
        <v>9608</v>
      </c>
      <c r="O2247" s="13" t="s">
        <v>2037</v>
      </c>
      <c r="P2247" s="19" t="n">
        <v>3766000</v>
      </c>
      <c r="Q2247" s="20" t="s">
        <v>9609</v>
      </c>
      <c r="R2247" s="13" t="s">
        <v>9610</v>
      </c>
      <c r="S2247" s="14" t="n">
        <v>35296</v>
      </c>
      <c r="T2247" s="13" t="s">
        <v>108</v>
      </c>
      <c r="U2247" s="13" t="s">
        <v>9611</v>
      </c>
      <c r="V2247" s="13" t="s">
        <v>42</v>
      </c>
      <c r="W2247" s="13" t="s">
        <v>43</v>
      </c>
      <c r="X2247" s="21" t="n">
        <v>85277733455</v>
      </c>
      <c r="Y2247" s="22" t="str">
        <f aca="false">O2247</f>
        <v>SPG/BA</v>
      </c>
      <c r="Z2247" s="13" t="str">
        <f aca="false">IFERROR(__xludf.dummyfunction("if(BJ2247="""","""",GOOGLETRANSLATE(BJ2247,""auto"",""en""))"),"SPG/BA")</f>
        <v>SPG/BA</v>
      </c>
      <c r="AA2247" s="23" t="str">
        <f aca="false">IF(C2247="","", CHOOSE(MONTH(C2247),"January","February","March","April","May","June","July","August","September","October","November","December")&amp;" "&amp;DAY(C2247)&amp;MID("thstndrdth",MIN(9,2*RIGHT(DAY(C2247))*(MOD(DAY(C2247)-11,100)&gt;2)+1),2)&amp;","&amp;TEXT(C2247," yyyy"))</f>
        <v>September 21st,2021</v>
      </c>
      <c r="AB2247" s="15" t="str">
        <f aca="true">IF(S2247="","",DATEDIF(S2247,TODAY(),"Y")&amp;" Tahun, "&amp;DATEDIF(S2247,TODAY(),"YM")&amp;" Bulan, "&amp;DATEDIF(S2247,TODAY(),"MD")&amp;" Hari")</f>
        <v>30 Tahun, 2 Bulan, 10 Hari</v>
      </c>
      <c r="AC2247" s="18" t="n">
        <v>45744</v>
      </c>
      <c r="AD2247" s="18" t="n">
        <v>45915</v>
      </c>
      <c r="AE2247" s="18" t="s">
        <v>44</v>
      </c>
    </row>
    <row r="2248" customFormat="false" ht="15" hidden="false" customHeight="true" outlineLevel="0" collapsed="false">
      <c r="A2248" s="12" t="n">
        <v>19670</v>
      </c>
      <c r="B2248" s="13" t="s">
        <v>9612</v>
      </c>
      <c r="C2248" s="16" t="n">
        <v>45778</v>
      </c>
      <c r="D2248" s="13" t="s">
        <v>2033</v>
      </c>
      <c r="E2248" s="15" t="s">
        <v>33</v>
      </c>
      <c r="F2248" s="24" t="s">
        <v>9613</v>
      </c>
      <c r="G2248" s="13" t="s">
        <v>9614</v>
      </c>
      <c r="H2248" s="13" t="s">
        <v>2035</v>
      </c>
      <c r="I2248" s="13" t="str">
        <f aca="false">IF(C2248=J2248,"NEW KONTRAK","RE-KONTRAK")</f>
        <v>NEW KONTRAK</v>
      </c>
      <c r="J2248" s="16" t="n">
        <f aca="false" t="array" ref="J2248:J2248">IFERROR(INDEX(AC2248:AE2248,IF(COUNTA(AC2248:AE2248)=0,"",MAX((AC2248:AE2248&lt;&gt;"")*(COLUMN(AC2248:AE2248)-(COLUMN(AC2248)))))-1),"")</f>
        <v>45778</v>
      </c>
      <c r="K2248" s="16" t="n">
        <f aca="false" t="array" ref="K2248:K2248">IFERROR(INDEX(AC2248:AE2248,IF(COUNTA(AC2248:AE2248)=0,"",MAX((AC2248:AE2248&lt;&gt;"")*(COLUMN(AC2248:AE2248)-(COLUMN(AC2248)-1))))-1),"")</f>
        <v>45915</v>
      </c>
      <c r="L2248" s="17" t="str">
        <f aca="false" t="array" ref="L2248:L2248">IFERROR(INDEX(AC2248:AE2248,IF(COUNTA(AC2248:AE2248)=0,"",MAX((AC2248:AE2248&lt;&gt;"")*(COLUMN(AC2248:AE2248)-(COLUMN(AC2248)-2))))-1),"")</f>
        <v>ARCHIVED</v>
      </c>
      <c r="M2248" s="13" t="n">
        <f aca="true">K2248-TODAY()</f>
        <v>-409</v>
      </c>
      <c r="N2248" s="18" t="s">
        <v>771</v>
      </c>
      <c r="O2248" s="13" t="s">
        <v>2037</v>
      </c>
      <c r="P2248" s="19" t="n">
        <v>2191161</v>
      </c>
      <c r="Q2248" s="20" t="s">
        <v>9615</v>
      </c>
      <c r="R2248" s="13" t="s">
        <v>9616</v>
      </c>
      <c r="S2248" s="16" t="n">
        <v>37710</v>
      </c>
      <c r="T2248" s="13" t="s">
        <v>108</v>
      </c>
      <c r="U2248" s="13" t="s">
        <v>9617</v>
      </c>
      <c r="V2248" s="13" t="s">
        <v>42</v>
      </c>
      <c r="W2248" s="13" t="s">
        <v>43</v>
      </c>
      <c r="X2248" s="21" t="n">
        <v>8811229887</v>
      </c>
      <c r="Y2248" s="22" t="str">
        <f aca="false">O2248</f>
        <v>SPG/BA</v>
      </c>
      <c r="Z2248" s="13" t="str">
        <f aca="false">IFERROR(__xludf.dummyfunction("if(BJ2248="""","""",GOOGLETRANSLATE(BJ2248,""auto"",""en""))"),"SPG/BA")</f>
        <v>SPG/BA</v>
      </c>
      <c r="AA2248" s="23" t="str">
        <f aca="false">IF(C2248="","", CHOOSE(MONTH(C2248),"January","February","March","April","May","June","July","August","September","October","November","December")&amp;" "&amp;DAY(C2248)&amp;MID("thstndrdth",MIN(9,2*RIGHT(DAY(C2248))*(MOD(DAY(C2248)-11,100)&gt;2)+1),2)&amp;","&amp;TEXT(C2248," yyyy"))</f>
        <v>May 1st,2025</v>
      </c>
      <c r="AB2248" s="15" t="str">
        <f aca="true">IF(S2248="","",DATEDIF(S2248,TODAY(),"Y")&amp;" Tahun, "&amp;DATEDIF(S2248,TODAY(),"YM")&amp;" Bulan, "&amp;DATEDIF(S2248,TODAY(),"MD")&amp;" Hari")</f>
        <v>23 Tahun, 6 Bulan, 29 Hari</v>
      </c>
      <c r="AC2248" s="18" t="n">
        <v>45778</v>
      </c>
      <c r="AD2248" s="18" t="n">
        <v>45915</v>
      </c>
      <c r="AE2248" s="18" t="s">
        <v>44</v>
      </c>
    </row>
    <row r="2249" customFormat="false" ht="15" hidden="false" customHeight="true" outlineLevel="0" collapsed="false">
      <c r="A2249" s="12" t="n">
        <v>19671</v>
      </c>
      <c r="B2249" s="13" t="s">
        <v>9618</v>
      </c>
      <c r="C2249" s="16" t="n">
        <v>45778</v>
      </c>
      <c r="D2249" s="13" t="s">
        <v>2033</v>
      </c>
      <c r="E2249" s="15" t="s">
        <v>33</v>
      </c>
      <c r="F2249" s="24" t="s">
        <v>9619</v>
      </c>
      <c r="G2249" s="13" t="s">
        <v>9620</v>
      </c>
      <c r="H2249" s="13" t="s">
        <v>2035</v>
      </c>
      <c r="I2249" s="13" t="str">
        <f aca="false">IF(C2249=J2249,"NEW KONTRAK","RE-KONTRAK")</f>
        <v>NEW KONTRAK</v>
      </c>
      <c r="J2249" s="16" t="n">
        <f aca="false" t="array" ref="J2249:J2249">IFERROR(INDEX(AC2249:AE2249,IF(COUNTA(AC2249:AE2249)=0,"",MAX((AC2249:AE2249&lt;&gt;"")*(COLUMN(AC2249:AE2249)-(COLUMN(AC2249)))))-1),"")</f>
        <v>45778</v>
      </c>
      <c r="K2249" s="16" t="n">
        <f aca="false" t="array" ref="K2249:K2249">IFERROR(INDEX(AC2249:AE2249,IF(COUNTA(AC2249:AE2249)=0,"",MAX((AC2249:AE2249&lt;&gt;"")*(COLUMN(AC2249:AE2249)-(COLUMN(AC2249)-1))))-1),"")</f>
        <v>45915</v>
      </c>
      <c r="L2249" s="17" t="str">
        <f aca="false" t="array" ref="L2249:L2249">IFERROR(INDEX(AC2249:AE2249,IF(COUNTA(AC2249:AE2249)=0,"",MAX((AC2249:AE2249&lt;&gt;"")*(COLUMN(AC2249:AE2249)-(COLUMN(AC2249)-2))))-1),"")</f>
        <v>ARCHIVED</v>
      </c>
      <c r="M2249" s="13" t="n">
        <f aca="true">K2249-TODAY()</f>
        <v>-409</v>
      </c>
      <c r="N2249" s="18" t="s">
        <v>2434</v>
      </c>
      <c r="O2249" s="13" t="s">
        <v>2037</v>
      </c>
      <c r="P2249" s="19" t="n">
        <v>2655041</v>
      </c>
      <c r="Q2249" s="20" t="s">
        <v>9621</v>
      </c>
      <c r="R2249" s="13" t="s">
        <v>222</v>
      </c>
      <c r="S2249" s="16" t="n">
        <v>39407</v>
      </c>
      <c r="T2249" s="13" t="s">
        <v>108</v>
      </c>
      <c r="U2249" s="13" t="s">
        <v>9622</v>
      </c>
      <c r="V2249" s="13" t="s">
        <v>42</v>
      </c>
      <c r="W2249" s="13" t="s">
        <v>43</v>
      </c>
      <c r="X2249" s="21" t="n">
        <v>85800255681</v>
      </c>
      <c r="Y2249" s="22" t="str">
        <f aca="false">O2249</f>
        <v>SPG/BA</v>
      </c>
      <c r="Z2249" s="13" t="str">
        <f aca="false">IFERROR(__xludf.dummyfunction("if(BJ2249="""","""",GOOGLETRANSLATE(BJ2249,""auto"",""en""))"),"SPG/BA")</f>
        <v>SPG/BA</v>
      </c>
      <c r="AA2249" s="23" t="str">
        <f aca="false">IF(C2249="","", CHOOSE(MONTH(C2249),"January","February","March","April","May","June","July","August","September","October","November","December")&amp;" "&amp;DAY(C2249)&amp;MID("thstndrdth",MIN(9,2*RIGHT(DAY(C2249))*(MOD(DAY(C2249)-11,100)&gt;2)+1),2)&amp;","&amp;TEXT(C2249," yyyy"))</f>
        <v>May 1st,2025</v>
      </c>
      <c r="AB2249" s="15" t="str">
        <f aca="true">IF(S2249="","",DATEDIF(S2249,TODAY(),"Y")&amp;" Tahun, "&amp;DATEDIF(S2249,TODAY(),"YM")&amp;" Bulan, "&amp;DATEDIF(S2249,TODAY(),"MD")&amp;" Hari")</f>
        <v>18 Tahun, 11 Bulan, 8 Hari</v>
      </c>
      <c r="AC2249" s="18" t="n">
        <v>45778</v>
      </c>
      <c r="AD2249" s="18" t="n">
        <v>45915</v>
      </c>
      <c r="AE2249" s="18" t="s">
        <v>44</v>
      </c>
    </row>
    <row r="2250" customFormat="false" ht="15" hidden="false" customHeight="true" outlineLevel="0" collapsed="false">
      <c r="A2250" s="12" t="n">
        <v>19672</v>
      </c>
      <c r="B2250" s="13" t="s">
        <v>9623</v>
      </c>
      <c r="C2250" s="16" t="n">
        <v>45768</v>
      </c>
      <c r="D2250" s="13" t="s">
        <v>2033</v>
      </c>
      <c r="E2250" s="15" t="s">
        <v>33</v>
      </c>
      <c r="F2250" s="24" t="s">
        <v>9624</v>
      </c>
      <c r="G2250" s="13" t="s">
        <v>9625</v>
      </c>
      <c r="H2250" s="13" t="s">
        <v>2035</v>
      </c>
      <c r="I2250" s="13" t="str">
        <f aca="false">IF(C2250=J2250,"NEW KONTRAK","RE-KONTRAK")</f>
        <v>NEW KONTRAK</v>
      </c>
      <c r="J2250" s="16" t="n">
        <f aca="false" t="array" ref="J2250:J2250">IFERROR(INDEX(AC2250:AE2250,IF(COUNTA(AC2250:AE2250)=0,"",MAX((AC2250:AE2250&lt;&gt;"")*(COLUMN(AC2250:AE2250)-(COLUMN(AC2250)))))-1),"")</f>
        <v>45768</v>
      </c>
      <c r="K2250" s="16" t="n">
        <f aca="false" t="array" ref="K2250:K2250">IFERROR(INDEX(AC2250:AE2250,IF(COUNTA(AC2250:AE2250)=0,"",MAX((AC2250:AE2250&lt;&gt;"")*(COLUMN(AC2250:AE2250)-(COLUMN(AC2250)-1))))-1),"")</f>
        <v>45915</v>
      </c>
      <c r="L2250" s="17" t="str">
        <f aca="false" t="array" ref="L2250:L2250">IFERROR(INDEX(AC2250:AE2250,IF(COUNTA(AC2250:AE2250)=0,"",MAX((AC2250:AE2250&lt;&gt;"")*(COLUMN(AC2250:AE2250)-(COLUMN(AC2250)-2))))-1),"")</f>
        <v>ARCHIVED</v>
      </c>
      <c r="M2250" s="13" t="n">
        <f aca="true">K2250-TODAY()</f>
        <v>-409</v>
      </c>
      <c r="N2250" s="18" t="s">
        <v>2363</v>
      </c>
      <c r="O2250" s="13" t="s">
        <v>2037</v>
      </c>
      <c r="P2250" s="19" t="n">
        <v>4014072</v>
      </c>
      <c r="Q2250" s="20" t="s">
        <v>9626</v>
      </c>
      <c r="R2250" s="13" t="s">
        <v>2363</v>
      </c>
      <c r="S2250" s="16" t="n">
        <v>36496</v>
      </c>
      <c r="T2250" s="13" t="s">
        <v>108</v>
      </c>
      <c r="U2250" s="13" t="s">
        <v>9627</v>
      </c>
      <c r="V2250" s="13" t="s">
        <v>42</v>
      </c>
      <c r="W2250" s="13" t="s">
        <v>43</v>
      </c>
      <c r="X2250" s="21" t="n">
        <v>82163653592</v>
      </c>
      <c r="Y2250" s="22" t="str">
        <f aca="false">O2250</f>
        <v>SPG/BA</v>
      </c>
      <c r="Z2250" s="13" t="str">
        <f aca="false">IFERROR(__xludf.dummyfunction("if(BJ2250="""","""",GOOGLETRANSLATE(BJ2250,""auto"",""en""))"),"SPG/BA")</f>
        <v>SPG/BA</v>
      </c>
      <c r="AA2250" s="23" t="str">
        <f aca="false">IF(C2250="","", CHOOSE(MONTH(C2250),"January","February","March","April","May","June","July","August","September","October","November","December")&amp;" "&amp;DAY(C2250)&amp;MID("thstndrdth",MIN(9,2*RIGHT(DAY(C2250))*(MOD(DAY(C2250)-11,100)&gt;2)+1),2)&amp;","&amp;TEXT(C2250," yyyy"))</f>
        <v>April 21st,2025</v>
      </c>
      <c r="AB2250" s="15" t="str">
        <f aca="true">IF(S2250="","",DATEDIF(S2250,TODAY(),"Y")&amp;" Tahun, "&amp;DATEDIF(S2250,TODAY(),"YM")&amp;" Bulan, "&amp;DATEDIF(S2250,TODAY(),"MD")&amp;" Hari")</f>
        <v>26 Tahun, 10 Bulan, 27 Hari</v>
      </c>
      <c r="AC2250" s="18" t="n">
        <v>45768</v>
      </c>
      <c r="AD2250" s="18" t="n">
        <v>45915</v>
      </c>
      <c r="AE2250" s="18" t="s">
        <v>44</v>
      </c>
    </row>
    <row r="2251" customFormat="false" ht="15" hidden="false" customHeight="true" outlineLevel="0" collapsed="false">
      <c r="A2251" s="12" t="n">
        <v>19819</v>
      </c>
      <c r="B2251" s="93" t="s">
        <v>9628</v>
      </c>
      <c r="C2251" s="16" t="n">
        <v>45803</v>
      </c>
      <c r="D2251" s="13" t="s">
        <v>2033</v>
      </c>
      <c r="E2251" s="15" t="s">
        <v>47</v>
      </c>
      <c r="F2251" s="15" t="str">
        <f aca="false">IFERROR(__xludf.dummyfunction("XLOOKUP(AJ2251,IMPORTRANGE(""1XaInW9DU9nz21V0tYIfzFQ0He9kVQ_JF2mCXgZ3hqFA"",""REKAP ALL 2026 - Andika!G:G""),IMPORTRANGE(""1XaInW9DU9nz21V0tYIfzFQ0He9kVQ_JF2mCXgZ3hqFA"",""REKAP ALL 2026 - Andika!F:F""),"""",0)"),"25079803315")</f>
        <v>25079803315</v>
      </c>
      <c r="G2251" s="13" t="s">
        <v>9629</v>
      </c>
      <c r="H2251" s="13" t="s">
        <v>2035</v>
      </c>
      <c r="I2251" s="13" t="str">
        <f aca="false">IF(C2251=J2251,"NEW KONTRAK","RE-KONTRAK")</f>
        <v>NEW KONTRAK</v>
      </c>
      <c r="J2251" s="16" t="n">
        <f aca="false" t="array" ref="J2251:J2251">IFERROR(INDEX(AC2251:AE2251,IF(COUNTA(AC2251:AE2251)=0,"",MAX((AC2251:AE2251&lt;&gt;"")*(COLUMN(AC2251:AE2251)-(COLUMN(AC2251)))))-1),"")</f>
        <v>45803</v>
      </c>
      <c r="K2251" s="16" t="n">
        <f aca="false" t="array" ref="K2251:K2251">IFERROR(INDEX(AC2251:AE2251,IF(COUNTA(AC2251:AE2251)=0,"",MAX((AC2251:AE2251&lt;&gt;"")*(COLUMN(AC2251:AE2251)-(COLUMN(AC2251)-1))))-1),"")</f>
        <v>45915</v>
      </c>
      <c r="L2251" s="17" t="str">
        <f aca="false" t="array" ref="L2251:L2251">IFERROR(INDEX(AC2251:AE2251,IF(COUNTA(AC2251:AE2251)=0,"",MAX((AC2251:AE2251&lt;&gt;"")*(COLUMN(AC2251:AE2251)-(COLUMN(AC2251)-2))))-1),"")</f>
        <v>ARCHIVED</v>
      </c>
      <c r="M2251" s="13" t="n">
        <f aca="true">K2251-TODAY()</f>
        <v>-409</v>
      </c>
      <c r="N2251" s="99" t="s">
        <v>2390</v>
      </c>
      <c r="O2251" s="13" t="s">
        <v>2037</v>
      </c>
      <c r="P2251" s="19" t="n">
        <v>4192837</v>
      </c>
      <c r="Q2251" s="77" t="s">
        <v>9630</v>
      </c>
      <c r="R2251" s="97" t="s">
        <v>2390</v>
      </c>
      <c r="S2251" s="16" t="n">
        <v>37496</v>
      </c>
      <c r="T2251" s="13" t="s">
        <v>108</v>
      </c>
      <c r="U2251" s="13" t="s">
        <v>9631</v>
      </c>
      <c r="V2251" s="13" t="s">
        <v>42</v>
      </c>
      <c r="W2251" s="13" t="s">
        <v>43</v>
      </c>
      <c r="X2251" s="21" t="n">
        <v>887437598082</v>
      </c>
      <c r="Y2251" s="22" t="str">
        <f aca="false">O2251</f>
        <v>SPG/BA</v>
      </c>
      <c r="Z2251" s="13" t="str">
        <f aca="false">IFERROR(__xludf.dummyfunction("if(BJ2251="""","""",GOOGLETRANSLATE(BJ2251,""auto"",""en""))"),"SPG/BA")</f>
        <v>SPG/BA</v>
      </c>
      <c r="AA2251" s="23" t="str">
        <f aca="false">IF(C2251="","", CHOOSE(MONTH(C2251),"January","February","March","April","May","June","July","August","September","October","November","December")&amp;" "&amp;DAY(C2251)&amp;MID("thstndrdth",MIN(9,2*RIGHT(DAY(C2251))*(MOD(DAY(C2251)-11,100)&gt;2)+1),2)&amp;","&amp;TEXT(C2251," yyyy"))</f>
        <v>May 26th,2025</v>
      </c>
      <c r="AB2251" s="15" t="str">
        <f aca="true">IF(S2251="","",DATEDIF(S2251,TODAY(),"Y")&amp;" Tahun, "&amp;DATEDIF(S2251,TODAY(),"YM")&amp;" Bulan, "&amp;DATEDIF(S2251,TODAY(),"MD")&amp;" Hari")</f>
        <v>24 Tahun, 2 Bulan, 1 Hari</v>
      </c>
      <c r="AC2251" s="18" t="n">
        <v>45803</v>
      </c>
      <c r="AD2251" s="18" t="n">
        <v>45915</v>
      </c>
      <c r="AE2251" s="18" t="s">
        <v>44</v>
      </c>
    </row>
    <row r="2252" customFormat="false" ht="15" hidden="false" customHeight="true" outlineLevel="0" collapsed="false">
      <c r="A2252" s="12" t="n">
        <v>19677</v>
      </c>
      <c r="B2252" s="13" t="s">
        <v>9632</v>
      </c>
      <c r="C2252" s="16" t="n">
        <v>45769</v>
      </c>
      <c r="D2252" s="13" t="s">
        <v>2033</v>
      </c>
      <c r="E2252" s="15" t="s">
        <v>33</v>
      </c>
      <c r="F2252" s="24" t="s">
        <v>9633</v>
      </c>
      <c r="G2252" s="13" t="s">
        <v>9634</v>
      </c>
      <c r="H2252" s="13" t="s">
        <v>2035</v>
      </c>
      <c r="I2252" s="13" t="str">
        <f aca="false">IF(C2252=J2252,"NEW KONTRAK","RE-KONTRAK")</f>
        <v>NEW KONTRAK</v>
      </c>
      <c r="J2252" s="16" t="n">
        <f aca="false" t="array" ref="J2252:J2252">IFERROR(INDEX(AC2252:AE2252,IF(COUNTA(AC2252:AE2252)=0,"",MAX((AC2252:AE2252&lt;&gt;"")*(COLUMN(AC2252:AE2252)-(COLUMN(AC2252)))))-1),"")</f>
        <v>45769</v>
      </c>
      <c r="K2252" s="16" t="n">
        <f aca="false" t="array" ref="K2252:K2252">IFERROR(INDEX(AC2252:AE2252,IF(COUNTA(AC2252:AE2252)=0,"",MAX((AC2252:AE2252&lt;&gt;"")*(COLUMN(AC2252:AE2252)-(COLUMN(AC2252)-1))))-1),"")</f>
        <v>45915</v>
      </c>
      <c r="L2252" s="17" t="str">
        <f aca="false" t="array" ref="L2252:L2252">IFERROR(INDEX(AC2252:AE2252,IF(COUNTA(AC2252:AE2252)=0,"",MAX((AC2252:AE2252&lt;&gt;"")*(COLUMN(AC2252:AE2252)-(COLUMN(AC2252)-2))))-1),"")</f>
        <v>ARCHIVED</v>
      </c>
      <c r="M2252" s="13" t="n">
        <f aca="true">K2252-TODAY()</f>
        <v>-409</v>
      </c>
      <c r="N2252" s="18" t="s">
        <v>2390</v>
      </c>
      <c r="O2252" s="13" t="s">
        <v>2037</v>
      </c>
      <c r="P2252" s="19" t="n">
        <v>3916635</v>
      </c>
      <c r="Q2252" s="20" t="s">
        <v>9635</v>
      </c>
      <c r="R2252" s="13" t="s">
        <v>9636</v>
      </c>
      <c r="S2252" s="16" t="n">
        <v>34648</v>
      </c>
      <c r="T2252" s="13" t="s">
        <v>108</v>
      </c>
      <c r="U2252" s="13" t="s">
        <v>9637</v>
      </c>
      <c r="V2252" s="13" t="s">
        <v>42</v>
      </c>
      <c r="W2252" s="13" t="s">
        <v>54</v>
      </c>
      <c r="X2252" s="21" t="n">
        <v>82279732808</v>
      </c>
      <c r="Y2252" s="22" t="str">
        <f aca="false">O2252</f>
        <v>SPG/BA</v>
      </c>
      <c r="Z2252" s="13" t="str">
        <f aca="false">IFERROR(__xludf.dummyfunction("if(BJ2252="""","""",GOOGLETRANSLATE(BJ2252,""auto"",""en""))"),"SPG/BA")</f>
        <v>SPG/BA</v>
      </c>
      <c r="AA2252" s="23" t="str">
        <f aca="false">IF(C2252="","", CHOOSE(MONTH(C2252),"January","February","March","April","May","June","July","August","September","October","November","December")&amp;" "&amp;DAY(C2252)&amp;MID("thstndrdth",MIN(9,2*RIGHT(DAY(C2252))*(MOD(DAY(C2252)-11,100)&gt;2)+1),2)&amp;","&amp;TEXT(C2252," yyyy"))</f>
        <v>April 22nd,2025</v>
      </c>
      <c r="AB2252" s="15" t="str">
        <f aca="true">IF(S2252="","",DATEDIF(S2252,TODAY(),"Y")&amp;" Tahun, "&amp;DATEDIF(S2252,TODAY(),"YM")&amp;" Bulan, "&amp;DATEDIF(S2252,TODAY(),"MD")&amp;" Hari")</f>
        <v>31 Tahun, 11 Bulan, 19 Hari</v>
      </c>
      <c r="AC2252" s="18" t="n">
        <v>45769</v>
      </c>
      <c r="AD2252" s="18" t="n">
        <v>45915</v>
      </c>
      <c r="AE2252" s="18" t="s">
        <v>44</v>
      </c>
    </row>
    <row r="2253" customFormat="false" ht="15" hidden="false" customHeight="true" outlineLevel="0" collapsed="false">
      <c r="A2253" s="12" t="n">
        <v>19678</v>
      </c>
      <c r="B2253" s="13" t="s">
        <v>9638</v>
      </c>
      <c r="C2253" s="16" t="n">
        <v>45763</v>
      </c>
      <c r="D2253" s="13" t="s">
        <v>2033</v>
      </c>
      <c r="E2253" s="15" t="s">
        <v>33</v>
      </c>
      <c r="F2253" s="24" t="s">
        <v>9639</v>
      </c>
      <c r="G2253" s="13" t="s">
        <v>9640</v>
      </c>
      <c r="H2253" s="13" t="s">
        <v>2035</v>
      </c>
      <c r="I2253" s="13" t="str">
        <f aca="false">IF(C2253=J2253,"NEW KONTRAK","RE-KONTRAK")</f>
        <v>NEW KONTRAK</v>
      </c>
      <c r="J2253" s="16" t="n">
        <f aca="false" t="array" ref="J2253:J2253">IFERROR(INDEX(AC2253:AE2253,IF(COUNTA(AC2253:AE2253)=0,"",MAX((AC2253:AE2253&lt;&gt;"")*(COLUMN(AC2253:AE2253)-(COLUMN(AC2253)))))-1),"")</f>
        <v>45763</v>
      </c>
      <c r="K2253" s="16" t="n">
        <f aca="false" t="array" ref="K2253:K2253">IFERROR(INDEX(AC2253:AE2253,IF(COUNTA(AC2253:AE2253)=0,"",MAX((AC2253:AE2253&lt;&gt;"")*(COLUMN(AC2253:AE2253)-(COLUMN(AC2253)-1))))-1),"")</f>
        <v>45915</v>
      </c>
      <c r="L2253" s="17" t="str">
        <f aca="false" t="array" ref="L2253:L2253">IFERROR(INDEX(AC2253:AE2253,IF(COUNTA(AC2253:AE2253)=0,"",MAX((AC2253:AE2253&lt;&gt;"")*(COLUMN(AC2253:AE2253)-(COLUMN(AC2253)-2))))-1),"")</f>
        <v>ARCHIVED</v>
      </c>
      <c r="M2253" s="13" t="n">
        <f aca="true">K2253-TODAY()</f>
        <v>-409</v>
      </c>
      <c r="N2253" s="18" t="s">
        <v>3902</v>
      </c>
      <c r="O2253" s="13" t="s">
        <v>2037</v>
      </c>
      <c r="P2253" s="19" t="n">
        <v>3305367</v>
      </c>
      <c r="Q2253" s="20" t="s">
        <v>9641</v>
      </c>
      <c r="R2253" s="13" t="s">
        <v>3904</v>
      </c>
      <c r="S2253" s="16" t="n">
        <v>36436</v>
      </c>
      <c r="T2253" s="13" t="s">
        <v>108</v>
      </c>
      <c r="U2253" s="13" t="s">
        <v>9642</v>
      </c>
      <c r="V2253" s="13" t="s">
        <v>42</v>
      </c>
      <c r="W2253" s="13" t="s">
        <v>43</v>
      </c>
      <c r="X2253" s="21" t="n">
        <v>895417645830</v>
      </c>
      <c r="Y2253" s="22" t="str">
        <f aca="false">O2253</f>
        <v>SPG/BA</v>
      </c>
      <c r="Z2253" s="13" t="str">
        <f aca="false">IFERROR(__xludf.dummyfunction("if(BJ2253="""","""",GOOGLETRANSLATE(BJ2253,""auto"",""en""))"),"SPG/BA")</f>
        <v>SPG/BA</v>
      </c>
      <c r="AA2253" s="23" t="str">
        <f aca="false">IF(C2253="","", CHOOSE(MONTH(C2253),"January","February","March","April","May","June","July","August","September","October","November","December")&amp;" "&amp;DAY(C2253)&amp;MID("thstndrdth",MIN(9,2*RIGHT(DAY(C2253))*(MOD(DAY(C2253)-11,100)&gt;2)+1),2)&amp;","&amp;TEXT(C2253," yyyy"))</f>
        <v>April 16th,2025</v>
      </c>
      <c r="AB2253" s="15" t="str">
        <f aca="true">IF(S2253="","",DATEDIF(S2253,TODAY(),"Y")&amp;" Tahun, "&amp;DATEDIF(S2253,TODAY(),"YM")&amp;" Bulan, "&amp;DATEDIF(S2253,TODAY(),"MD")&amp;" Hari")</f>
        <v>27 Tahun, 0 Bulan, 26 Hari</v>
      </c>
      <c r="AC2253" s="18" t="n">
        <v>45763</v>
      </c>
      <c r="AD2253" s="18" t="n">
        <v>45915</v>
      </c>
      <c r="AE2253" s="18" t="s">
        <v>44</v>
      </c>
    </row>
    <row r="2254" customFormat="false" ht="15" hidden="false" customHeight="true" outlineLevel="0" collapsed="false">
      <c r="A2254" s="12" t="n">
        <v>14815</v>
      </c>
      <c r="B2254" s="13" t="s">
        <v>9643</v>
      </c>
      <c r="C2254" s="14" t="n">
        <v>45338</v>
      </c>
      <c r="D2254" s="13" t="s">
        <v>2033</v>
      </c>
      <c r="E2254" s="15" t="s">
        <v>47</v>
      </c>
      <c r="F2254" s="15" t="str">
        <f aca="false">IFERROR(__xludf.dummyfunction("XLOOKUP(AJ2254,IMPORTRANGE(""1XaInW9DU9nz21V0tYIfzFQ0He9kVQ_JF2mCXgZ3hqFA"",""REKAP ALL 2026 - Andika!G:G""),IMPORTRANGE(""1XaInW9DU9nz21V0tYIfzFQ0He9kVQ_JF2mCXgZ3hqFA"",""REKAP ALL 2026 - Andika!F:F""),"""",0)"),"24061768412")</f>
        <v>24061768412</v>
      </c>
      <c r="G2254" s="13" t="s">
        <v>9644</v>
      </c>
      <c r="H2254" s="13" t="s">
        <v>2035</v>
      </c>
      <c r="I2254" s="13" t="str">
        <f aca="false">IF(C2254=J2254,"NEW KONTRAK","RE-KONTRAK")</f>
        <v>RE-KONTRAK</v>
      </c>
      <c r="J2254" s="16" t="n">
        <f aca="false" t="array" ref="J2254:J2254">IFERROR(INDEX(AC2254:AE2254,IF(COUNTA(AC2254:AE2254)=0,"",MAX((AC2254:AE2254&lt;&gt;"")*(COLUMN(AC2254:AE2254)-(COLUMN(AC2254)))))-1),"")</f>
        <v>45744</v>
      </c>
      <c r="K2254" s="16" t="n">
        <f aca="false" t="array" ref="K2254:K2254">IFERROR(INDEX(AC2254:AE2254,IF(COUNTA(AC2254:AE2254)=0,"",MAX((AC2254:AE2254&lt;&gt;"")*(COLUMN(AC2254:AE2254)-(COLUMN(AC2254)-1))))-1),"")</f>
        <v>45915</v>
      </c>
      <c r="L2254" s="17" t="str">
        <f aca="false" t="array" ref="L2254:L2254">IFERROR(INDEX(AC2254:AE2254,IF(COUNTA(AC2254:AE2254)=0,"",MAX((AC2254:AE2254&lt;&gt;"")*(COLUMN(AC2254:AE2254)-(COLUMN(AC2254)-2))))-1),"")</f>
        <v>ARCHIVED</v>
      </c>
      <c r="M2254" s="13" t="n">
        <f aca="true">K2254-TODAY()</f>
        <v>-409</v>
      </c>
      <c r="N2254" s="18" t="s">
        <v>2363</v>
      </c>
      <c r="O2254" s="13" t="s">
        <v>5017</v>
      </c>
      <c r="P2254" s="19" t="n">
        <v>4335198</v>
      </c>
      <c r="Q2254" s="20" t="s">
        <v>9645</v>
      </c>
      <c r="R2254" s="13" t="s">
        <v>2363</v>
      </c>
      <c r="S2254" s="14" t="n">
        <v>35523</v>
      </c>
      <c r="T2254" s="13" t="s">
        <v>108</v>
      </c>
      <c r="U2254" s="13" t="s">
        <v>9646</v>
      </c>
      <c r="V2254" s="13" t="s">
        <v>42</v>
      </c>
      <c r="W2254" s="13" t="s">
        <v>43</v>
      </c>
      <c r="X2254" s="21" t="n">
        <v>82177358582</v>
      </c>
      <c r="Y2254" s="22" t="str">
        <f aca="false">O2254</f>
        <v>Sales</v>
      </c>
      <c r="Z2254" s="13" t="str">
        <f aca="false">IFERROR(__xludf.dummyfunction("if(BJ2254="""","""",GOOGLETRANSLATE(BJ2254,""auto"",""en""))"),"Sales")</f>
        <v>Sales</v>
      </c>
      <c r="AA2254" s="23" t="str">
        <f aca="false">IF(C2254="","", CHOOSE(MONTH(C2254),"January","February","March","April","May","June","July","August","September","October","November","December")&amp;" "&amp;DAY(C2254)&amp;MID("thstndrdth",MIN(9,2*RIGHT(DAY(C2254))*(MOD(DAY(C2254)-11,100)&gt;2)+1),2)&amp;","&amp;TEXT(C2254," yyyy"))</f>
        <v>February 16th,2024</v>
      </c>
      <c r="AB2254" s="15" t="str">
        <f aca="true">IF(S2254="","",DATEDIF(S2254,TODAY(),"Y")&amp;" Tahun, "&amp;DATEDIF(S2254,TODAY(),"YM")&amp;" Bulan, "&amp;DATEDIF(S2254,TODAY(),"MD")&amp;" Hari")</f>
        <v>29 Tahun, 6 Bulan, 26 Hari</v>
      </c>
      <c r="AC2254" s="18" t="n">
        <v>45744</v>
      </c>
      <c r="AD2254" s="18" t="n">
        <v>45915</v>
      </c>
      <c r="AE2254" s="18" t="s">
        <v>44</v>
      </c>
    </row>
    <row r="2255" customFormat="false" ht="15" hidden="false" customHeight="true" outlineLevel="0" collapsed="false">
      <c r="A2255" s="12" t="n">
        <v>17602</v>
      </c>
      <c r="B2255" s="13" t="s">
        <v>9647</v>
      </c>
      <c r="C2255" s="14" t="n">
        <v>45563</v>
      </c>
      <c r="D2255" s="13" t="s">
        <v>2033</v>
      </c>
      <c r="E2255" s="15" t="s">
        <v>47</v>
      </c>
      <c r="F2255" s="15" t="str">
        <f aca="false">IFERROR(__xludf.dummyfunction("XLOOKUP(AJ2255,IMPORTRANGE(""1XaInW9DU9nz21V0tYIfzFQ0He9kVQ_JF2mCXgZ3hqFA"",""REKAP ALL 2026 - Andika!G:G""),IMPORTRANGE(""1XaInW9DU9nz21V0tYIfzFQ0He9kVQ_JF2mCXgZ3hqFA"",""REKAP ALL 2026 - Andika!F:F""),"""",0)"),"25133235215")</f>
        <v>25133235215</v>
      </c>
      <c r="G2255" s="13" t="s">
        <v>1127</v>
      </c>
      <c r="H2255" s="13" t="s">
        <v>2035</v>
      </c>
      <c r="I2255" s="13" t="str">
        <f aca="false">IF(C2255=J2255,"NEW KONTRAK","RE-KONTRAK")</f>
        <v>RE-KONTRAK</v>
      </c>
      <c r="J2255" s="16" t="n">
        <f aca="false" t="array" ref="J2255:J2255">IFERROR(INDEX(AC2255:AE2255,IF(COUNTA(AC2255:AE2255)=0,"",MAX((AC2255:AE2255&lt;&gt;"")*(COLUMN(AC2255:AE2255)-(COLUMN(AC2255)))))-1),"")</f>
        <v>45654</v>
      </c>
      <c r="K2255" s="16" t="n">
        <f aca="false" t="array" ref="K2255:K2255">IFERROR(INDEX(AC2255:AE2255,IF(COUNTA(AC2255:AE2255)=0,"",MAX((AC2255:AE2255&lt;&gt;"")*(COLUMN(AC2255:AE2255)-(COLUMN(AC2255)-1))))-1),"")</f>
        <v>45743</v>
      </c>
      <c r="L2255" s="17" t="str">
        <f aca="false" t="array" ref="L2255:L2255">IFERROR(INDEX(AC2255:AE2255,IF(COUNTA(AC2255:AE2255)=0,"",MAX((AC2255:AE2255&lt;&gt;"")*(COLUMN(AC2255:AE2255)-(COLUMN(AC2255)-2))))-1),"")</f>
        <v>ARCHIVED</v>
      </c>
      <c r="M2255" s="13" t="n">
        <f aca="true">K2255-TODAY()</f>
        <v>-581</v>
      </c>
      <c r="N2255" s="18" t="s">
        <v>9648</v>
      </c>
      <c r="O2255" s="13" t="s">
        <v>2037</v>
      </c>
      <c r="P2255" s="19" t="n">
        <v>2831163</v>
      </c>
      <c r="Q2255" s="20" t="s">
        <v>9649</v>
      </c>
      <c r="R2255" s="13" t="s">
        <v>9650</v>
      </c>
      <c r="S2255" s="14" t="n">
        <v>36985</v>
      </c>
      <c r="T2255" s="13" t="s">
        <v>108</v>
      </c>
      <c r="U2255" s="13" t="s">
        <v>9651</v>
      </c>
      <c r="V2255" s="13" t="s">
        <v>42</v>
      </c>
      <c r="W2255" s="13" t="s">
        <v>43</v>
      </c>
      <c r="X2255" s="21" t="n">
        <v>87770491033</v>
      </c>
      <c r="Y2255" s="22" t="str">
        <f aca="false">O2255</f>
        <v>SPG/BA</v>
      </c>
      <c r="Z2255" s="13" t="str">
        <f aca="false">IFERROR(__xludf.dummyfunction("if(BJ2255="""","""",GOOGLETRANSLATE(BJ2255,""auto"",""en""))"),"SPG/BA")</f>
        <v>SPG/BA</v>
      </c>
      <c r="AA2255" s="23" t="str">
        <f aca="false">IF(C2255="","", CHOOSE(MONTH(C2255),"January","February","March","April","May","June","July","August","September","October","November","December")&amp;" "&amp;DAY(C2255)&amp;MID("thstndrdth",MIN(9,2*RIGHT(DAY(C2255))*(MOD(DAY(C2255)-11,100)&gt;2)+1),2)&amp;","&amp;TEXT(C2255," yyyy"))</f>
        <v>September 28th,2024</v>
      </c>
      <c r="AB2255" s="15" t="str">
        <f aca="true">IF(S2255="","",DATEDIF(S2255,TODAY(),"Y")&amp;" Tahun, "&amp;DATEDIF(S2255,TODAY(),"YM")&amp;" Bulan, "&amp;DATEDIF(S2255,TODAY(),"MD")&amp;" Hari")</f>
        <v>25 Tahun, 6 Bulan, 25 Hari</v>
      </c>
      <c r="AC2255" s="18" t="n">
        <v>45654</v>
      </c>
      <c r="AD2255" s="18" t="n">
        <v>45743</v>
      </c>
      <c r="AE2255" s="18" t="s">
        <v>44</v>
      </c>
    </row>
    <row r="2256" customFormat="false" ht="15" hidden="false" customHeight="true" outlineLevel="0" collapsed="false">
      <c r="A2256" s="12" t="n">
        <v>19691</v>
      </c>
      <c r="B2256" s="13" t="s">
        <v>9652</v>
      </c>
      <c r="C2256" s="16" t="n">
        <v>45794</v>
      </c>
      <c r="D2256" s="13" t="s">
        <v>7534</v>
      </c>
      <c r="E2256" s="15" t="s">
        <v>47</v>
      </c>
      <c r="F2256" s="15" t="str">
        <f aca="false">IFERROR(__xludf.dummyfunction("XLOOKUP(AJ2256,IMPORTRANGE(""1XaInW9DU9nz21V0tYIfzFQ0He9kVQ_JF2mCXgZ3hqFA"",""REKAP ALL 2026 - Andika!G:G""),IMPORTRANGE(""1XaInW9DU9nz21V0tYIfzFQ0He9kVQ_JF2mCXgZ3hqFA"",""REKAP ALL 2026 - Andika!F:F""),"""",0)"),"24105666317")</f>
        <v>24105666317</v>
      </c>
      <c r="G2256" s="13" t="s">
        <v>9653</v>
      </c>
      <c r="H2256" s="13" t="s">
        <v>35</v>
      </c>
      <c r="I2256" s="13" t="str">
        <f aca="false">IF(C2256=J2256,"NEW KONTRAK","RE-KONTRAK")</f>
        <v>RE-KONTRAK</v>
      </c>
      <c r="J2256" s="16" t="n">
        <f aca="false" t="array" ref="J2256:J2256">IFERROR(INDEX(AC2256:AE2256,IF(COUNTA(AC2256:AE2256)=0,"",MAX((AC2256:AE2256&lt;&gt;"")*(COLUMN(AC2256:AE2256)-(COLUMN(AC2256)))))-1),"")</f>
        <v>45886</v>
      </c>
      <c r="K2256" s="16" t="n">
        <f aca="false" t="array" ref="K2256:K2256">IFERROR(INDEX(AC2256:AE2256,IF(COUNTA(AC2256:AE2256)=0,"",MAX((AC2256:AE2256&lt;&gt;"")*(COLUMN(AC2256:AE2256)-(COLUMN(AC2256)-1))))-1),"")</f>
        <v>46069</v>
      </c>
      <c r="L2256" s="17" t="str">
        <f aca="false" t="array" ref="L2256:L2256">IFERROR(INDEX(AC2256:AE2256,IF(COUNTA(AC2256:AE2256)=0,"",MAX((AC2256:AE2256&lt;&gt;"")*(COLUMN(AC2256:AE2256)-(COLUMN(AC2256)-2))))-1),"")</f>
        <v>KEMBALI</v>
      </c>
      <c r="M2256" s="13" t="n">
        <f aca="true">K2256-TODAY()</f>
        <v>-255</v>
      </c>
      <c r="N2256" s="18" t="s">
        <v>4735</v>
      </c>
      <c r="O2256" s="13" t="s">
        <v>7536</v>
      </c>
      <c r="P2256" s="19" t="n">
        <v>3553530</v>
      </c>
      <c r="Q2256" s="20" t="s">
        <v>9654</v>
      </c>
      <c r="R2256" s="13" t="s">
        <v>52</v>
      </c>
      <c r="S2256" s="16" t="n">
        <v>36098</v>
      </c>
      <c r="T2256" s="13" t="s">
        <v>108</v>
      </c>
      <c r="U2256" s="13" t="s">
        <v>9655</v>
      </c>
      <c r="V2256" s="13" t="s">
        <v>42</v>
      </c>
      <c r="W2256" s="13" t="s">
        <v>43</v>
      </c>
      <c r="X2256" s="21" t="n">
        <v>82245176060</v>
      </c>
      <c r="Y2256" s="22" t="str">
        <f aca="false">O2256</f>
        <v>Host Live</v>
      </c>
      <c r="Z2256" s="13" t="str">
        <f aca="false">IFERROR(__xludf.dummyfunction("if(BJ2256="""","""",GOOGLETRANSLATE(BJ2256,""auto"",""en""))"),"Host Live")</f>
        <v>Host Live</v>
      </c>
      <c r="AA2256" s="23" t="str">
        <f aca="false">IF(C2256="","", CHOOSE(MONTH(C2256),"January","February","March","April","May","June","July","August","September","October","November","December")&amp;" "&amp;DAY(C2256)&amp;MID("thstndrdth",MIN(9,2*RIGHT(DAY(C2256))*(MOD(DAY(C2256)-11,100)&gt;2)+1),2)&amp;","&amp;TEXT(C2256," yyyy"))</f>
        <v>May 17th,2025</v>
      </c>
      <c r="AB2256" s="15" t="str">
        <f aca="true">IF(S2256="","",DATEDIF(S2256,TODAY(),"Y")&amp;" Tahun, "&amp;DATEDIF(S2256,TODAY(),"YM")&amp;" Bulan, "&amp;DATEDIF(S2256,TODAY(),"MD")&amp;" Hari")</f>
        <v>27 Tahun, 11 Bulan, 29 Hari</v>
      </c>
      <c r="AC2256" s="18" t="n">
        <v>45886</v>
      </c>
      <c r="AD2256" s="18" t="n">
        <v>46069</v>
      </c>
      <c r="AE2256" s="13" t="s">
        <v>397</v>
      </c>
    </row>
    <row r="2257" customFormat="false" ht="15" hidden="false" customHeight="true" outlineLevel="0" collapsed="false">
      <c r="A2257" s="12" t="n">
        <v>19683</v>
      </c>
      <c r="B2257" s="13" t="s">
        <v>9656</v>
      </c>
      <c r="C2257" s="16" t="n">
        <v>45768</v>
      </c>
      <c r="D2257" s="13" t="s">
        <v>2033</v>
      </c>
      <c r="E2257" s="15" t="s">
        <v>102</v>
      </c>
      <c r="F2257" s="24" t="s">
        <v>9657</v>
      </c>
      <c r="G2257" s="13" t="s">
        <v>9658</v>
      </c>
      <c r="H2257" s="13" t="s">
        <v>2035</v>
      </c>
      <c r="I2257" s="13" t="str">
        <f aca="false">IF(C2257=J2257,"NEW KONTRAK","RE-KONTRAK")</f>
        <v>NEW KONTRAK</v>
      </c>
      <c r="J2257" s="16" t="n">
        <f aca="false" t="array" ref="J2257:J2257">IFERROR(INDEX(AC2257:AE2257,IF(COUNTA(AC2257:AE2257)=0,"",MAX((AC2257:AE2257&lt;&gt;"")*(COLUMN(AC2257:AE2257)-(COLUMN(AC2257)))))-1),"")</f>
        <v>45768</v>
      </c>
      <c r="K2257" s="16" t="n">
        <f aca="false" t="array" ref="K2257:K2257">IFERROR(INDEX(AC2257:AE2257,IF(COUNTA(AC2257:AE2257)=0,"",MAX((AC2257:AE2257&lt;&gt;"")*(COLUMN(AC2257:AE2257)-(COLUMN(AC2257)-1))))-1),"")</f>
        <v>45915</v>
      </c>
      <c r="L2257" s="17" t="str">
        <f aca="false" t="array" ref="L2257:L2257">IFERROR(INDEX(AC2257:AE2257,IF(COUNTA(AC2257:AE2257)=0,"",MAX((AC2257:AE2257&lt;&gt;"")*(COLUMN(AC2257:AE2257)-(COLUMN(AC2257)-2))))-1),"")</f>
        <v>ARCHIVED</v>
      </c>
      <c r="M2257" s="13" t="n">
        <f aca="true">K2257-TODAY()</f>
        <v>-409</v>
      </c>
      <c r="N2257" s="18" t="s">
        <v>2363</v>
      </c>
      <c r="O2257" s="13" t="s">
        <v>2037</v>
      </c>
      <c r="P2257" s="19" t="n">
        <v>4014072</v>
      </c>
      <c r="Q2257" s="20" t="s">
        <v>9659</v>
      </c>
      <c r="R2257" s="13" t="s">
        <v>9660</v>
      </c>
      <c r="S2257" s="16" t="n">
        <v>38664</v>
      </c>
      <c r="T2257" s="13" t="s">
        <v>108</v>
      </c>
      <c r="U2257" s="13" t="s">
        <v>9661</v>
      </c>
      <c r="V2257" s="13" t="s">
        <v>42</v>
      </c>
      <c r="W2257" s="13" t="s">
        <v>43</v>
      </c>
      <c r="X2257" s="21" t="n">
        <v>85262367602</v>
      </c>
      <c r="Y2257" s="22" t="str">
        <f aca="false">O2257</f>
        <v>SPG/BA</v>
      </c>
      <c r="Z2257" s="13" t="str">
        <f aca="false">IFERROR(__xludf.dummyfunction("if(BJ2257="""","""",GOOGLETRANSLATE(BJ2257,""auto"",""en""))"),"SPG/BA")</f>
        <v>SPG/BA</v>
      </c>
      <c r="AA2257" s="23" t="str">
        <f aca="false">IF(C2257="","", CHOOSE(MONTH(C2257),"January","February","March","April","May","June","July","August","September","October","November","December")&amp;" "&amp;DAY(C2257)&amp;MID("thstndrdth",MIN(9,2*RIGHT(DAY(C2257))*(MOD(DAY(C2257)-11,100)&gt;2)+1),2)&amp;","&amp;TEXT(C2257," yyyy"))</f>
        <v>April 21st,2025</v>
      </c>
      <c r="AB2257" s="15" t="str">
        <f aca="true">IF(S2257="","",DATEDIF(S2257,TODAY(),"Y")&amp;" Tahun, "&amp;DATEDIF(S2257,TODAY(),"YM")&amp;" Bulan, "&amp;DATEDIF(S2257,TODAY(),"MD")&amp;" Hari")</f>
        <v>20 Tahun, 11 Bulan, 21 Hari</v>
      </c>
      <c r="AC2257" s="18" t="n">
        <v>45768</v>
      </c>
      <c r="AD2257" s="18" t="n">
        <v>45915</v>
      </c>
      <c r="AE2257" s="18" t="s">
        <v>44</v>
      </c>
    </row>
    <row r="2258" customFormat="false" ht="15" hidden="false" customHeight="true" outlineLevel="0" collapsed="false">
      <c r="A2258" s="12" t="n">
        <v>19690</v>
      </c>
      <c r="B2258" s="13" t="s">
        <v>9662</v>
      </c>
      <c r="C2258" s="16" t="n">
        <v>45794</v>
      </c>
      <c r="D2258" s="13" t="s">
        <v>7534</v>
      </c>
      <c r="E2258" s="15" t="s">
        <v>33</v>
      </c>
      <c r="F2258" s="24" t="s">
        <v>9663</v>
      </c>
      <c r="G2258" s="13" t="s">
        <v>9664</v>
      </c>
      <c r="H2258" s="13" t="s">
        <v>35</v>
      </c>
      <c r="I2258" s="13" t="str">
        <f aca="false">IF(C2258=J2258,"NEW KONTRAK","RE-KONTRAK")</f>
        <v>RE-KONTRAK</v>
      </c>
      <c r="J2258" s="16" t="n">
        <f aca="false" t="array" ref="J2258:J2258">IFERROR(INDEX(AC2258:AE2258,IF(COUNTA(AC2258:AE2258)=0,"",MAX((AC2258:AE2258&lt;&gt;"")*(COLUMN(AC2258:AE2258)-(COLUMN(AC2258)))))-1),"")</f>
        <v>45886</v>
      </c>
      <c r="K2258" s="16" t="n">
        <f aca="false" t="array" ref="K2258:K2258">IFERROR(INDEX(AC2258:AE2258,IF(COUNTA(AC2258:AE2258)=0,"",MAX((AC2258:AE2258&lt;&gt;"")*(COLUMN(AC2258:AE2258)-(COLUMN(AC2258)-1))))-1),"")</f>
        <v>46069</v>
      </c>
      <c r="L2258" s="17" t="str">
        <f aca="false" t="array" ref="L2258:L2258">IFERROR(INDEX(AC2258:AE2258,IF(COUNTA(AC2258:AE2258)=0,"",MAX((AC2258:AE2258&lt;&gt;"")*(COLUMN(AC2258:AE2258)-(COLUMN(AC2258)-2))))-1),"")</f>
        <v>ARCHIVED</v>
      </c>
      <c r="M2258" s="13" t="n">
        <f aca="true">K2258-TODAY()</f>
        <v>-255</v>
      </c>
      <c r="N2258" s="18" t="s">
        <v>4735</v>
      </c>
      <c r="O2258" s="13" t="s">
        <v>7536</v>
      </c>
      <c r="P2258" s="19" t="n">
        <v>3553530</v>
      </c>
      <c r="Q2258" s="20" t="s">
        <v>9665</v>
      </c>
      <c r="R2258" s="13" t="s">
        <v>9666</v>
      </c>
      <c r="S2258" s="16" t="n">
        <v>37851</v>
      </c>
      <c r="T2258" s="13" t="s">
        <v>108</v>
      </c>
      <c r="U2258" s="13" t="s">
        <v>9667</v>
      </c>
      <c r="V2258" s="13" t="s">
        <v>42</v>
      </c>
      <c r="W2258" s="13" t="s">
        <v>43</v>
      </c>
      <c r="X2258" s="21" t="n">
        <v>87895470536</v>
      </c>
      <c r="Y2258" s="22" t="str">
        <f aca="false">O2258</f>
        <v>Host Live</v>
      </c>
      <c r="Z2258" s="13" t="str">
        <f aca="false">IFERROR(__xludf.dummyfunction("if(BJ2258="""","""",GOOGLETRANSLATE(BJ2258,""auto"",""en""))"),"Host Live")</f>
        <v>Host Live</v>
      </c>
      <c r="AA2258" s="23" t="str">
        <f aca="false">IF(C2258="","", CHOOSE(MONTH(C2258),"January","February","March","April","May","June","July","August","September","October","November","December")&amp;" "&amp;DAY(C2258)&amp;MID("thstndrdth",MIN(9,2*RIGHT(DAY(C2258))*(MOD(DAY(C2258)-11,100)&gt;2)+1),2)&amp;","&amp;TEXT(C2258," yyyy"))</f>
        <v>May 17th,2025</v>
      </c>
      <c r="AB2258" s="15" t="str">
        <f aca="true">IF(S2258="","",DATEDIF(S2258,TODAY(),"Y")&amp;" Tahun, "&amp;DATEDIF(S2258,TODAY(),"YM")&amp;" Bulan, "&amp;DATEDIF(S2258,TODAY(),"MD")&amp;" Hari")</f>
        <v>23 Tahun, 2 Bulan, 11 Hari</v>
      </c>
      <c r="AC2258" s="18" t="n">
        <v>45886</v>
      </c>
      <c r="AD2258" s="18" t="n">
        <v>46069</v>
      </c>
      <c r="AE2258" s="18" t="s">
        <v>44</v>
      </c>
    </row>
    <row r="2259" customFormat="false" ht="15" hidden="false" customHeight="true" outlineLevel="0" collapsed="false">
      <c r="A2259" s="12" t="n">
        <v>19708</v>
      </c>
      <c r="B2259" s="13" t="s">
        <v>9668</v>
      </c>
      <c r="C2259" s="16" t="n">
        <v>45961</v>
      </c>
      <c r="D2259" s="13" t="s">
        <v>613</v>
      </c>
      <c r="E2259" s="15" t="s">
        <v>47</v>
      </c>
      <c r="F2259" s="15" t="str">
        <f aca="false">IFERROR(__xludf.dummyfunction("XLOOKUP(AJ2259,IMPORTRANGE(""1XaInW9DU9nz21V0tYIfzFQ0He9kVQ_JF2mCXgZ3hqFA"",""REKAP ALL 2026 - Andika!G:G""),IMPORTRANGE(""1XaInW9DU9nz21V0tYIfzFQ0He9kVQ_JF2mCXgZ3hqFA"",""REKAP ALL 2026 - Andika!F:F""),"""",0)"),"25157578391")</f>
        <v>25157578391</v>
      </c>
      <c r="G2259" s="13" t="s">
        <v>9669</v>
      </c>
      <c r="H2259" s="13" t="s">
        <v>35</v>
      </c>
      <c r="I2259" s="13" t="str">
        <f aca="false">IF(C2259=J2259,"NEW KONTRAK","RE-KONTRAK")</f>
        <v>NEW KONTRAK</v>
      </c>
      <c r="J2259" s="16" t="n">
        <f aca="false" t="array" ref="J2259:J2259">IFERROR(INDEX(AC2259:AE2259,IF(COUNTA(AC2259:AE2259)=0,"",MAX((AC2259:AE2259&lt;&gt;"")*(COLUMN(AC2259:AE2259)-(COLUMN(AC2259)))))-1),"")</f>
        <v>45961</v>
      </c>
      <c r="K2259" s="16" t="n">
        <f aca="false" t="array" ref="K2259:K2259">IFERROR(INDEX(AC2259:AE2259,IF(COUNTA(AC2259:AE2259)=0,"",MAX((AC2259:AE2259&lt;&gt;"")*(COLUMN(AC2259:AE2259)-(COLUMN(AC2259)-1))))-1),"")</f>
        <v>46037</v>
      </c>
      <c r="L2259" s="17" t="str">
        <f aca="false" t="array" ref="L2259:L2259">IFERROR(INDEX(AC2259:AE2259,IF(COUNTA(AC2259:AE2259)=0,"",MAX((AC2259:AE2259&lt;&gt;"")*(COLUMN(AC2259:AE2259)-(COLUMN(AC2259)-2))))-1),"")</f>
        <v>ARCHIVED</v>
      </c>
      <c r="M2259" s="13" t="n">
        <f aca="true">K2259-TODAY()</f>
        <v>-287</v>
      </c>
      <c r="N2259" s="18" t="s">
        <v>615</v>
      </c>
      <c r="O2259" s="13" t="s">
        <v>58</v>
      </c>
      <c r="P2259" s="19" t="n">
        <v>5176101</v>
      </c>
      <c r="Q2259" s="20" t="s">
        <v>9670</v>
      </c>
      <c r="R2259" s="13" t="s">
        <v>255</v>
      </c>
      <c r="S2259" s="16" t="n">
        <v>37398</v>
      </c>
      <c r="T2259" s="28" t="s">
        <v>40</v>
      </c>
      <c r="U2259" s="13" t="s">
        <v>9582</v>
      </c>
      <c r="V2259" s="13" t="s">
        <v>42</v>
      </c>
      <c r="W2259" s="13" t="s">
        <v>54</v>
      </c>
      <c r="X2259" s="21" t="n">
        <v>87856758381</v>
      </c>
      <c r="Y2259" s="22" t="str">
        <f aca="false">O2259</f>
        <v>Produksi</v>
      </c>
      <c r="Z2259" s="13" t="str">
        <f aca="false">IFERROR(__xludf.dummyfunction("if(BJ2259="""","""",GOOGLETRANSLATE(BJ2259,""auto"",""en""))"),"Production")</f>
        <v>Production</v>
      </c>
      <c r="AA2259" s="23" t="str">
        <f aca="false">IF(C2259="","", CHOOSE(MONTH(C2259),"January","February","March","April","May","June","July","August","September","October","November","December")&amp;" "&amp;DAY(C2259)&amp;MID("thstndrdth",MIN(9,2*RIGHT(DAY(C2259))*(MOD(DAY(C2259)-11,100)&gt;2)+1),2)&amp;","&amp;TEXT(C2259," yyyy"))</f>
        <v>October 31st,2025</v>
      </c>
      <c r="AB2259" s="15" t="str">
        <f aca="true">IF(S2259="","",DATEDIF(S2259,TODAY(),"Y")&amp;" Tahun, "&amp;DATEDIF(S2259,TODAY(),"YM")&amp;" Bulan, "&amp;DATEDIF(S2259,TODAY(),"MD")&amp;" Hari")</f>
        <v>24 Tahun, 5 Bulan, 7 Hari</v>
      </c>
      <c r="AC2259" s="18" t="n">
        <v>45961</v>
      </c>
      <c r="AD2259" s="18" t="n">
        <v>46037</v>
      </c>
      <c r="AE2259" s="13" t="s">
        <v>44</v>
      </c>
    </row>
    <row r="2260" customFormat="false" ht="15" hidden="false" customHeight="true" outlineLevel="0" collapsed="false">
      <c r="A2260" s="12" t="n">
        <v>19702</v>
      </c>
      <c r="B2260" s="13" t="s">
        <v>9671</v>
      </c>
      <c r="C2260" s="16" t="n">
        <v>45801</v>
      </c>
      <c r="D2260" s="13" t="s">
        <v>7948</v>
      </c>
      <c r="E2260" s="15" t="s">
        <v>7949</v>
      </c>
      <c r="F2260" s="24" t="s">
        <v>9672</v>
      </c>
      <c r="G2260" s="13" t="s">
        <v>57</v>
      </c>
      <c r="H2260" s="13" t="s">
        <v>7950</v>
      </c>
      <c r="I2260" s="13" t="str">
        <f aca="false">IF(C2260=J2260,"NEW KONTRAK","RE-KONTRAK")</f>
        <v>RE-KONTRAK</v>
      </c>
      <c r="J2260" s="16" t="n">
        <f aca="false" t="array" ref="J2260:J2260">IFERROR(INDEX(AC2260:AE2260,IF(COUNTA(AC2260:AE2260)=0,"",MAX((AC2260:AE2260&lt;&gt;"")*(COLUMN(AC2260:AE2260)-(COLUMN(AC2260)))))-1),"")</f>
        <v>45844</v>
      </c>
      <c r="K2260" s="16" t="n">
        <f aca="false" t="array" ref="K2260:K2260">IFERROR(INDEX(AC2260:AE2260,IF(COUNTA(AC2260:AE2260)=0,"",MAX((AC2260:AE2260&lt;&gt;"")*(COLUMN(AC2260:AE2260)-(COLUMN(AC2260)-1))))-1),"")</f>
        <v>45928</v>
      </c>
      <c r="L2260" s="17" t="str">
        <f aca="false" t="array" ref="L2260:L2260">IFERROR(INDEX(AC2260:AE2260,IF(COUNTA(AC2260:AE2260)=0,"",MAX((AC2260:AE2260&lt;&gt;"")*(COLUMN(AC2260:AE2260)-(COLUMN(AC2260)-2))))-1),"")</f>
        <v>ARCHIVED</v>
      </c>
      <c r="M2260" s="13" t="n">
        <f aca="true">K2260-TODAY()</f>
        <v>-396</v>
      </c>
      <c r="N2260" s="18" t="s">
        <v>4051</v>
      </c>
      <c r="O2260" s="13" t="s">
        <v>7951</v>
      </c>
      <c r="P2260" s="19" t="n">
        <v>210000</v>
      </c>
      <c r="Q2260" s="94" t="s">
        <v>9673</v>
      </c>
      <c r="R2260" s="13" t="s">
        <v>73</v>
      </c>
      <c r="S2260" s="16" t="n">
        <v>37578</v>
      </c>
      <c r="T2260" s="28" t="s">
        <v>40</v>
      </c>
      <c r="U2260" s="13" t="s">
        <v>9674</v>
      </c>
      <c r="V2260" s="13" t="s">
        <v>42</v>
      </c>
      <c r="W2260" s="13" t="s">
        <v>43</v>
      </c>
      <c r="X2260" s="21" t="n">
        <v>87735233713</v>
      </c>
      <c r="Y2260" s="22" t="str">
        <f aca="false">O2260</f>
        <v>Mekanik Kiln</v>
      </c>
      <c r="Z2260" s="13" t="str">
        <f aca="false">IFERROR(__xludf.dummyfunction("if(BJ2260="""","""",GOOGLETRANSLATE(BJ2260,""auto"",""en""))"),"Kiln Mechanics")</f>
        <v>Kiln Mechanics</v>
      </c>
      <c r="AA2260" s="23" t="str">
        <f aca="false">IF(C2260="","", CHOOSE(MONTH(C2260),"January","February","March","April","May","June","July","August","September","October","November","December")&amp;" "&amp;DAY(C2260)&amp;MID("thstndrdth",MIN(9,2*RIGHT(DAY(C2260))*(MOD(DAY(C2260)-11,100)&gt;2)+1),2)&amp;","&amp;TEXT(C2260," yyyy"))</f>
        <v>May 24th,2025</v>
      </c>
      <c r="AB2260" s="15" t="str">
        <f aca="true">IF(S2260="","",DATEDIF(S2260,TODAY(),"Y")&amp;" Tahun, "&amp;DATEDIF(S2260,TODAY(),"YM")&amp;" Bulan, "&amp;DATEDIF(S2260,TODAY(),"MD")&amp;" Hari")</f>
        <v>23 Tahun, 11 Bulan, 11 Hari</v>
      </c>
      <c r="AC2260" s="18" t="n">
        <v>45844</v>
      </c>
      <c r="AD2260" s="18" t="n">
        <v>45928</v>
      </c>
      <c r="AE2260" s="18" t="s">
        <v>44</v>
      </c>
    </row>
    <row r="2261" customFormat="false" ht="15" hidden="false" customHeight="true" outlineLevel="0" collapsed="false">
      <c r="A2261" s="12" t="n">
        <v>19703</v>
      </c>
      <c r="B2261" s="13" t="s">
        <v>9675</v>
      </c>
      <c r="C2261" s="16" t="n">
        <v>45801</v>
      </c>
      <c r="D2261" s="13" t="s">
        <v>7948</v>
      </c>
      <c r="E2261" s="15" t="s">
        <v>7949</v>
      </c>
      <c r="F2261" s="15" t="str">
        <f aca="false">IFERROR(__xludf.dummyfunction("XLOOKUP(AJ2261,IMPORTRANGE(""1XaInW9DU9nz21V0tYIfzFQ0He9kVQ_JF2mCXgZ3hqFA"",""REKAP ALL 2026 - Andika!G:G""),IMPORTRANGE(""1XaInW9DU9nz21V0tYIfzFQ0He9kVQ_JF2mCXgZ3hqFA"",""REKAP ALL 2026 - Andika!F:F""),"""",0)"),"25062536377")</f>
        <v>25062536377</v>
      </c>
      <c r="G2261" s="13" t="s">
        <v>57</v>
      </c>
      <c r="H2261" s="13" t="s">
        <v>7950</v>
      </c>
      <c r="I2261" s="13" t="str">
        <f aca="false">IF(C2261=J2261,"NEW KONTRAK","RE-KONTRAK")</f>
        <v>RE-KONTRAK</v>
      </c>
      <c r="J2261" s="16" t="n">
        <f aca="false" t="array" ref="J2261:J2261">IFERROR(INDEX(AC2261:AE2261,IF(COUNTA(AC2261:AE2261)=0,"",MAX((AC2261:AE2261&lt;&gt;"")*(COLUMN(AC2261:AE2261)-(COLUMN(AC2261)))))-1),"")</f>
        <v>45844</v>
      </c>
      <c r="K2261" s="16" t="n">
        <f aca="false" t="array" ref="K2261:K2261">IFERROR(INDEX(AC2261:AE2261,IF(COUNTA(AC2261:AE2261)=0,"",MAX((AC2261:AE2261&lt;&gt;"")*(COLUMN(AC2261:AE2261)-(COLUMN(AC2261)-1))))-1),"")</f>
        <v>45928</v>
      </c>
      <c r="L2261" s="17" t="str">
        <f aca="false" t="array" ref="L2261:L2261">IFERROR(INDEX(AC2261:AE2261,IF(COUNTA(AC2261:AE2261)=0,"",MAX((AC2261:AE2261&lt;&gt;"")*(COLUMN(AC2261:AE2261)-(COLUMN(AC2261)-2))))-1),"")</f>
        <v>ARCHIVED</v>
      </c>
      <c r="M2261" s="13" t="n">
        <f aca="true">K2261-TODAY()</f>
        <v>-396</v>
      </c>
      <c r="N2261" s="18" t="s">
        <v>4051</v>
      </c>
      <c r="O2261" s="13" t="s">
        <v>7951</v>
      </c>
      <c r="P2261" s="19" t="n">
        <v>210000</v>
      </c>
      <c r="Q2261" s="94" t="s">
        <v>9676</v>
      </c>
      <c r="R2261" s="13" t="s">
        <v>255</v>
      </c>
      <c r="S2261" s="16" t="n">
        <v>37055</v>
      </c>
      <c r="T2261" s="28" t="s">
        <v>40</v>
      </c>
      <c r="U2261" s="13" t="s">
        <v>9677</v>
      </c>
      <c r="V2261" s="13" t="s">
        <v>42</v>
      </c>
      <c r="W2261" s="13" t="s">
        <v>43</v>
      </c>
      <c r="X2261" s="21" t="n">
        <v>81553818319</v>
      </c>
      <c r="Y2261" s="22" t="str">
        <f aca="false">O2261</f>
        <v>Mekanik Kiln</v>
      </c>
      <c r="Z2261" s="13" t="str">
        <f aca="false">IFERROR(__xludf.dummyfunction("if(BJ2261="""","""",GOOGLETRANSLATE(BJ2261,""auto"",""en""))"),"Kiln Mechanics")</f>
        <v>Kiln Mechanics</v>
      </c>
      <c r="AA2261" s="23" t="str">
        <f aca="false">IF(C2261="","", CHOOSE(MONTH(C2261),"January","February","March","April","May","June","July","August","September","October","November","December")&amp;" "&amp;DAY(C2261)&amp;MID("thstndrdth",MIN(9,2*RIGHT(DAY(C2261))*(MOD(DAY(C2261)-11,100)&gt;2)+1),2)&amp;","&amp;TEXT(C2261," yyyy"))</f>
        <v>May 24th,2025</v>
      </c>
      <c r="AB2261" s="15" t="str">
        <f aca="true">IF(S2261="","",DATEDIF(S2261,TODAY(),"Y")&amp;" Tahun, "&amp;DATEDIF(S2261,TODAY(),"YM")&amp;" Bulan, "&amp;DATEDIF(S2261,TODAY(),"MD")&amp;" Hari")</f>
        <v>25 Tahun, 4 Bulan, 16 Hari</v>
      </c>
      <c r="AC2261" s="18" t="n">
        <v>45844</v>
      </c>
      <c r="AD2261" s="18" t="n">
        <v>45928</v>
      </c>
      <c r="AE2261" s="18" t="s">
        <v>44</v>
      </c>
    </row>
    <row r="2262" customFormat="false" ht="15" hidden="false" customHeight="true" outlineLevel="0" collapsed="false">
      <c r="A2262" s="12" t="n">
        <v>19705</v>
      </c>
      <c r="B2262" s="13" t="s">
        <v>9678</v>
      </c>
      <c r="C2262" s="16" t="n">
        <v>45801</v>
      </c>
      <c r="D2262" s="13" t="s">
        <v>7948</v>
      </c>
      <c r="E2262" s="15" t="s">
        <v>7949</v>
      </c>
      <c r="F2262" s="15" t="str">
        <f aca="false">IFERROR(__xludf.dummyfunction("XLOOKUP(AJ2262,IMPORTRANGE(""1XaInW9DU9nz21V0tYIfzFQ0He9kVQ_JF2mCXgZ3hqFA"",""REKAP ALL 2026 - Andika!G:G""),IMPORTRANGE(""1XaInW9DU9nz21V0tYIfzFQ0He9kVQ_JF2mCXgZ3hqFA"",""REKAP ALL 2026 - Andika!F:F""),"""",0)"),"25062536393")</f>
        <v>25062536393</v>
      </c>
      <c r="G2262" s="13" t="s">
        <v>57</v>
      </c>
      <c r="H2262" s="13" t="s">
        <v>7950</v>
      </c>
      <c r="I2262" s="13" t="str">
        <f aca="false">IF(C2262=J2262,"NEW KONTRAK","RE-KONTRAK")</f>
        <v>RE-KONTRAK</v>
      </c>
      <c r="J2262" s="16" t="n">
        <f aca="false" t="array" ref="J2262:J2262">IFERROR(INDEX(AC2262:AE2262,IF(COUNTA(AC2262:AE2262)=0,"",MAX((AC2262:AE2262&lt;&gt;"")*(COLUMN(AC2262:AE2262)-(COLUMN(AC2262)))))-1),"")</f>
        <v>45844</v>
      </c>
      <c r="K2262" s="16" t="n">
        <f aca="false" t="array" ref="K2262:K2262">IFERROR(INDEX(AC2262:AE2262,IF(COUNTA(AC2262:AE2262)=0,"",MAX((AC2262:AE2262&lt;&gt;"")*(COLUMN(AC2262:AE2262)-(COLUMN(AC2262)-1))))-1),"")</f>
        <v>45935</v>
      </c>
      <c r="L2262" s="17" t="str">
        <f aca="false" t="array" ref="L2262:L2262">IFERROR(INDEX(AC2262:AE2262,IF(COUNTA(AC2262:AE2262)=0,"",MAX((AC2262:AE2262&lt;&gt;"")*(COLUMN(AC2262:AE2262)-(COLUMN(AC2262)-2))))-1),"")</f>
        <v>ARCHIVED</v>
      </c>
      <c r="M2262" s="13" t="n">
        <f aca="true">K2262-TODAY()</f>
        <v>-389</v>
      </c>
      <c r="N2262" s="18" t="s">
        <v>4051</v>
      </c>
      <c r="O2262" s="13" t="s">
        <v>7951</v>
      </c>
      <c r="P2262" s="19" t="n">
        <v>210000</v>
      </c>
      <c r="Q2262" s="47" t="s">
        <v>9679</v>
      </c>
      <c r="R2262" s="13" t="s">
        <v>232</v>
      </c>
      <c r="S2262" s="16" t="n">
        <v>29631</v>
      </c>
      <c r="T2262" s="28" t="s">
        <v>40</v>
      </c>
      <c r="U2262" s="13" t="s">
        <v>9680</v>
      </c>
      <c r="V2262" s="13" t="s">
        <v>42</v>
      </c>
      <c r="W2262" s="13" t="s">
        <v>54</v>
      </c>
      <c r="X2262" s="21" t="n">
        <v>82131053778</v>
      </c>
      <c r="Y2262" s="22" t="str">
        <f aca="false">O2262</f>
        <v>Mekanik Kiln</v>
      </c>
      <c r="Z2262" s="13" t="str">
        <f aca="false">IFERROR(__xludf.dummyfunction("if(BJ2262="""","""",GOOGLETRANSLATE(BJ2262,""auto"",""en""))"),"Kiln Mechanics")</f>
        <v>Kiln Mechanics</v>
      </c>
      <c r="AA2262" s="23" t="str">
        <f aca="false">IF(C2262="","", CHOOSE(MONTH(C2262),"January","February","March","April","May","June","July","August","September","October","November","December")&amp;" "&amp;DAY(C2262)&amp;MID("thstndrdth",MIN(9,2*RIGHT(DAY(C2262))*(MOD(DAY(C2262)-11,100)&gt;2)+1),2)&amp;","&amp;TEXT(C2262," yyyy"))</f>
        <v>May 24th,2025</v>
      </c>
      <c r="AB2262" s="15" t="str">
        <f aca="true">IF(S2262="","",DATEDIF(S2262,TODAY(),"Y")&amp;" Tahun, "&amp;DATEDIF(S2262,TODAY(),"YM")&amp;" Bulan, "&amp;DATEDIF(S2262,TODAY(),"MD")&amp;" Hari")</f>
        <v>45 Tahun, 8 Bulan, 15 Hari</v>
      </c>
      <c r="AC2262" s="18" t="n">
        <v>45844</v>
      </c>
      <c r="AD2262" s="18" t="n">
        <v>45935</v>
      </c>
      <c r="AE2262" s="18" t="s">
        <v>44</v>
      </c>
    </row>
    <row r="2263" customFormat="false" ht="15" hidden="false" customHeight="true" outlineLevel="0" collapsed="false">
      <c r="A2263" s="12" t="n">
        <v>19706</v>
      </c>
      <c r="B2263" s="13" t="s">
        <v>9681</v>
      </c>
      <c r="C2263" s="16" t="n">
        <v>45801</v>
      </c>
      <c r="D2263" s="13" t="s">
        <v>1338</v>
      </c>
      <c r="E2263" s="15" t="s">
        <v>33</v>
      </c>
      <c r="F2263" s="24" t="s">
        <v>9682</v>
      </c>
      <c r="G2263" s="13" t="s">
        <v>57</v>
      </c>
      <c r="H2263" s="13" t="s">
        <v>7950</v>
      </c>
      <c r="I2263" s="13" t="str">
        <f aca="false">IF(C2263=J2263,"NEW KONTRAK","RE-KONTRAK")</f>
        <v>RE-KONTRAK</v>
      </c>
      <c r="J2263" s="16" t="n">
        <f aca="false" t="array" ref="J2263:J2263">IFERROR(INDEX(AC2263:AE2263,IF(COUNTA(AC2263:AE2263)=0,"",MAX((AC2263:AE2263&lt;&gt;"")*(COLUMN(AC2263:AE2263)-(COLUMN(AC2263)))))-1),"")</f>
        <v>45844</v>
      </c>
      <c r="K2263" s="16" t="n">
        <f aca="false" t="array" ref="K2263:K2263">IFERROR(INDEX(AC2263:AE2263,IF(COUNTA(AC2263:AE2263)=0,"",MAX((AC2263:AE2263&lt;&gt;"")*(COLUMN(AC2263:AE2263)-(COLUMN(AC2263)-1))))-1),"")</f>
        <v>45935</v>
      </c>
      <c r="L2263" s="17" t="str">
        <f aca="false" t="array" ref="L2263:L2263">IFERROR(INDEX(AC2263:AE2263,IF(COUNTA(AC2263:AE2263)=0,"",MAX((AC2263:AE2263&lt;&gt;"")*(COLUMN(AC2263:AE2263)-(COLUMN(AC2263)-2))))-1),"")</f>
        <v>ARCHIVED</v>
      </c>
      <c r="M2263" s="13" t="n">
        <f aca="true">K2263-TODAY()</f>
        <v>-389</v>
      </c>
      <c r="N2263" s="50" t="s">
        <v>615</v>
      </c>
      <c r="O2263" s="13" t="s">
        <v>7951</v>
      </c>
      <c r="P2263" s="19" t="n">
        <v>210000</v>
      </c>
      <c r="Q2263" s="94" t="s">
        <v>9683</v>
      </c>
      <c r="R2263" s="13" t="s">
        <v>232</v>
      </c>
      <c r="S2263" s="16" t="n">
        <v>31284</v>
      </c>
      <c r="T2263" s="28" t="s">
        <v>40</v>
      </c>
      <c r="U2263" s="13" t="s">
        <v>9684</v>
      </c>
      <c r="V2263" s="13" t="s">
        <v>42</v>
      </c>
      <c r="W2263" s="13" t="s">
        <v>54</v>
      </c>
      <c r="X2263" s="21" t="n">
        <v>85853409790</v>
      </c>
      <c r="Y2263" s="22" t="str">
        <f aca="false">O2263</f>
        <v>Mekanik Kiln</v>
      </c>
      <c r="Z2263" s="13" t="str">
        <f aca="false">IFERROR(__xludf.dummyfunction("if(BJ2263="""","""",GOOGLETRANSLATE(BJ2263,""auto"",""en""))"),"Kiln Mechanics")</f>
        <v>Kiln Mechanics</v>
      </c>
      <c r="AA2263" s="23" t="str">
        <f aca="false">IF(C2263="","", CHOOSE(MONTH(C2263),"January","February","March","April","May","June","July","August","September","October","November","December")&amp;" "&amp;DAY(C2263)&amp;MID("thstndrdth",MIN(9,2*RIGHT(DAY(C2263))*(MOD(DAY(C2263)-11,100)&gt;2)+1),2)&amp;","&amp;TEXT(C2263," yyyy"))</f>
        <v>May 24th,2025</v>
      </c>
      <c r="AB2263" s="15" t="str">
        <f aca="true">IF(S2263="","",DATEDIF(S2263,TODAY(),"Y")&amp;" Tahun, "&amp;DATEDIF(S2263,TODAY(),"YM")&amp;" Bulan, "&amp;DATEDIF(S2263,TODAY(),"MD")&amp;" Hari")</f>
        <v>41 Tahun, 2 Bulan, 4 Hari</v>
      </c>
      <c r="AC2263" s="18" t="n">
        <v>45844</v>
      </c>
      <c r="AD2263" s="18" t="n">
        <v>45935</v>
      </c>
      <c r="AE2263" s="18" t="s">
        <v>44</v>
      </c>
    </row>
    <row r="2264" customFormat="false" ht="15" hidden="false" customHeight="true" outlineLevel="0" collapsed="false">
      <c r="A2264" s="12" t="n">
        <v>19707</v>
      </c>
      <c r="B2264" s="13" t="s">
        <v>9685</v>
      </c>
      <c r="C2264" s="16" t="n">
        <v>45803</v>
      </c>
      <c r="D2264" s="13" t="s">
        <v>5442</v>
      </c>
      <c r="E2264" s="15" t="s">
        <v>789</v>
      </c>
      <c r="F2264" s="24" t="s">
        <v>9686</v>
      </c>
      <c r="G2264" s="13" t="s">
        <v>9687</v>
      </c>
      <c r="H2264" s="13" t="s">
        <v>35</v>
      </c>
      <c r="I2264" s="13" t="str">
        <f aca="false">IF(C2264=J2264,"NEW KONTRAK","RE-KONTRAK")</f>
        <v>NEW KONTRAK</v>
      </c>
      <c r="J2264" s="16" t="n">
        <f aca="false" t="array" ref="J2264:J2264">IFERROR(INDEX(AC2264:AE2264,IF(COUNTA(AC2264:AE2264)=0,"",MAX((AC2264:AE2264&lt;&gt;"")*(COLUMN(AC2264:AE2264)-(COLUMN(AC2264)))))-1),"")</f>
        <v>45803</v>
      </c>
      <c r="K2264" s="16" t="n">
        <f aca="false" t="array" ref="K2264:K2264">IFERROR(INDEX(AC2264:AE2264,IF(COUNTA(AC2264:AE2264)=0,"",MAX((AC2264:AE2264&lt;&gt;"")*(COLUMN(AC2264:AE2264)-(COLUMN(AC2264)-1))))-1),"")</f>
        <v>45986</v>
      </c>
      <c r="L2264" s="17" t="str">
        <f aca="false" t="array" ref="L2264:L2264">IFERROR(INDEX(AC2264:AE2264,IF(COUNTA(AC2264:AE2264)=0,"",MAX((AC2264:AE2264&lt;&gt;"")*(COLUMN(AC2264:AE2264)-(COLUMN(AC2264)-2))))-1),"")</f>
        <v>ARCHIVED</v>
      </c>
      <c r="M2264" s="13" t="n">
        <f aca="true">K2264-TODAY()</f>
        <v>-338</v>
      </c>
      <c r="N2264" s="18" t="s">
        <v>728</v>
      </c>
      <c r="O2264" s="13" t="s">
        <v>9688</v>
      </c>
      <c r="P2264" s="19" t="n">
        <v>4518581</v>
      </c>
      <c r="Q2264" s="20" t="s">
        <v>9689</v>
      </c>
      <c r="R2264" s="13" t="s">
        <v>52</v>
      </c>
      <c r="S2264" s="16" t="n">
        <v>35925</v>
      </c>
      <c r="T2264" s="13" t="s">
        <v>108</v>
      </c>
      <c r="U2264" s="13" t="s">
        <v>9690</v>
      </c>
      <c r="V2264" s="13" t="s">
        <v>42</v>
      </c>
      <c r="W2264" s="13" t="s">
        <v>54</v>
      </c>
      <c r="X2264" s="21" t="n">
        <v>85546356091</v>
      </c>
      <c r="Y2264" s="22" t="str">
        <f aca="false">O2264</f>
        <v>Staff Purchasing</v>
      </c>
      <c r="Z2264" s="13" t="str">
        <f aca="false">IFERROR(__xludf.dummyfunction("if(BJ2264="""","""",GOOGLETRANSLATE(BJ2264,""auto"",""en""))"),"Staff Purchasing")</f>
        <v>Staff Purchasing</v>
      </c>
      <c r="AA2264" s="23" t="str">
        <f aca="false">IF(C2264="","", CHOOSE(MONTH(C2264),"January","February","March","April","May","June","July","August","September","October","November","December")&amp;" "&amp;DAY(C2264)&amp;MID("thstndrdth",MIN(9,2*RIGHT(DAY(C2264))*(MOD(DAY(C2264)-11,100)&gt;2)+1),2)&amp;","&amp;TEXT(C2264," yyyy"))</f>
        <v>May 26th,2025</v>
      </c>
      <c r="AB2264" s="15" t="str">
        <f aca="true">IF(S2264="","",DATEDIF(S2264,TODAY(),"Y")&amp;" Tahun, "&amp;DATEDIF(S2264,TODAY(),"YM")&amp;" Bulan, "&amp;DATEDIF(S2264,TODAY(),"MD")&amp;" Hari")</f>
        <v>28 Tahun, 5 Bulan, 19 Hari</v>
      </c>
      <c r="AC2264" s="18" t="n">
        <v>45803</v>
      </c>
      <c r="AD2264" s="18" t="n">
        <v>45986</v>
      </c>
      <c r="AE2264" s="18" t="s">
        <v>44</v>
      </c>
    </row>
    <row r="2265" customFormat="false" ht="15" hidden="false" customHeight="true" outlineLevel="0" collapsed="false">
      <c r="A2265" s="12" t="n">
        <v>20956</v>
      </c>
      <c r="B2265" s="13" t="s">
        <v>9691</v>
      </c>
      <c r="C2265" s="16" t="n">
        <v>45917</v>
      </c>
      <c r="D2265" s="13" t="s">
        <v>2033</v>
      </c>
      <c r="E2265" s="13" t="s">
        <v>47</v>
      </c>
      <c r="F2265" s="15" t="str">
        <f aca="false">IFERROR(__xludf.dummyfunction("XLOOKUP(AJ2265,IMPORTRANGE(""1XaInW9DU9nz21V0tYIfzFQ0He9kVQ_JF2mCXgZ3hqFA"",""REKAP ALL 2026 - Andika!G:G""),IMPORTRANGE(""1XaInW9DU9nz21V0tYIfzFQ0He9kVQ_JF2mCXgZ3hqFA"",""REKAP ALL 2026 - Andika!F:F""),"""",0)"),"25133234333")</f>
        <v>25133234333</v>
      </c>
      <c r="G2265" s="13" t="s">
        <v>1127</v>
      </c>
      <c r="H2265" s="13" t="s">
        <v>35</v>
      </c>
      <c r="I2265" s="13" t="str">
        <f aca="false">IF(C2265=J2265,"NEW KONTRAK","RE-KONTRAK")</f>
        <v>NEW KONTRAK</v>
      </c>
      <c r="J2265" s="16" t="n">
        <f aca="false" t="array" ref="J2265:J2265">IFERROR(INDEX(AC2265:AE2265,IF(COUNTA(AC2265:AE2265)=0,"",MAX((AC2265:AE2265&lt;&gt;"")*(COLUMN(AC2265:AE2265)-(COLUMN(AC2265)))))-1),"")</f>
        <v>45917</v>
      </c>
      <c r="K2265" s="16" t="n">
        <f aca="false" t="array" ref="K2265:K2265">IFERROR(INDEX(AC2265:AE2265,IF(COUNTA(AC2265:AE2265)=0,"",MAX((AC2265:AE2265&lt;&gt;"")*(COLUMN(AC2265:AE2265)-(COLUMN(AC2265)-1))))-1),"")</f>
        <v>46037</v>
      </c>
      <c r="L2265" s="17" t="str">
        <f aca="false" t="array" ref="L2265:L2265">IFERROR(INDEX(AC2265:AE2265,IF(COUNTA(AC2265:AE2265)=0,"",MAX((AC2265:AE2265&lt;&gt;"")*(COLUMN(AC2265:AE2265)-(COLUMN(AC2265)-2))))-1),"")</f>
        <v>ARCHIVED</v>
      </c>
      <c r="M2265" s="13" t="n">
        <f aca="true">K2265-TODAY()</f>
        <v>-287</v>
      </c>
      <c r="N2265" s="18" t="s">
        <v>2363</v>
      </c>
      <c r="O2265" s="13" t="s">
        <v>5017</v>
      </c>
      <c r="P2265" s="19" t="n">
        <v>4335198</v>
      </c>
      <c r="Q2265" s="47" t="s">
        <v>9692</v>
      </c>
      <c r="R2265" s="13" t="s">
        <v>5012</v>
      </c>
      <c r="S2265" s="16" t="n">
        <v>37141</v>
      </c>
      <c r="T2265" s="28" t="s">
        <v>40</v>
      </c>
      <c r="U2265" s="13" t="s">
        <v>5013</v>
      </c>
      <c r="V2265" s="13" t="s">
        <v>42</v>
      </c>
      <c r="W2265" s="13" t="s">
        <v>43</v>
      </c>
      <c r="X2265" s="21" t="s">
        <v>9693</v>
      </c>
      <c r="Y2265" s="22" t="str">
        <f aca="false">O2265</f>
        <v>Sales</v>
      </c>
      <c r="Z2265" s="13" t="str">
        <f aca="false">IFERROR(__xludf.dummyfunction("if(BJ2265="""","""",GOOGLETRANSLATE(BJ2265,""auto"",""en""))"),"Sales")</f>
        <v>Sales</v>
      </c>
      <c r="AA2265" s="23" t="str">
        <f aca="false">IF(C2265="","", CHOOSE(MONTH(C2265),"January","February","March","April","May","June","July","August","September","October","November","December")&amp;" "&amp;DAY(C2265)&amp;MID("thstndrdth",MIN(9,2*RIGHT(DAY(C2265))*(MOD(DAY(C2265)-11,100)&gt;2)+1),2)&amp;","&amp;TEXT(C2265," yyyy"))</f>
        <v>September 17th,2025</v>
      </c>
      <c r="AB2265" s="15" t="str">
        <f aca="true">IF(S2265="","",DATEDIF(S2265,TODAY(),"Y")&amp;" Tahun, "&amp;DATEDIF(S2265,TODAY(),"YM")&amp;" Bulan, "&amp;DATEDIF(S2265,TODAY(),"MD")&amp;" Hari")</f>
        <v>25 Tahun, 1 Bulan, 22 Hari</v>
      </c>
      <c r="AC2265" s="18" t="n">
        <v>45917</v>
      </c>
      <c r="AD2265" s="18" t="n">
        <v>46037</v>
      </c>
      <c r="AE2265" s="13" t="s">
        <v>44</v>
      </c>
    </row>
    <row r="2266" customFormat="false" ht="15" hidden="false" customHeight="true" outlineLevel="0" collapsed="false">
      <c r="A2266" s="12" t="n">
        <v>19717</v>
      </c>
      <c r="B2266" s="13" t="s">
        <v>9694</v>
      </c>
      <c r="C2266" s="16" t="n">
        <v>45762</v>
      </c>
      <c r="D2266" s="13" t="s">
        <v>2033</v>
      </c>
      <c r="E2266" s="15" t="s">
        <v>33</v>
      </c>
      <c r="F2266" s="24" t="s">
        <v>9695</v>
      </c>
      <c r="G2266" s="13" t="s">
        <v>9696</v>
      </c>
      <c r="H2266" s="13" t="s">
        <v>2035</v>
      </c>
      <c r="I2266" s="13" t="str">
        <f aca="false">IF(C2266=J2266,"NEW KONTRAK","RE-KONTRAK")</f>
        <v>NEW KONTRAK</v>
      </c>
      <c r="J2266" s="16" t="n">
        <f aca="false" t="array" ref="J2266:J2266">IFERROR(INDEX(AC2266:AE2266,IF(COUNTA(AC2266:AE2266)=0,"",MAX((AC2266:AE2266&lt;&gt;"")*(COLUMN(AC2266:AE2266)-(COLUMN(AC2266)))))-1),"")</f>
        <v>45762</v>
      </c>
      <c r="K2266" s="16" t="n">
        <f aca="false" t="array" ref="K2266:K2266">IFERROR(INDEX(AC2266:AE2266,IF(COUNTA(AC2266:AE2266)=0,"",MAX((AC2266:AE2266&lt;&gt;"")*(COLUMN(AC2266:AE2266)-(COLUMN(AC2266)-1))))-1),"")</f>
        <v>45915</v>
      </c>
      <c r="L2266" s="17" t="str">
        <f aca="false" t="array" ref="L2266:L2266">IFERROR(INDEX(AC2266:AE2266,IF(COUNTA(AC2266:AE2266)=0,"",MAX((AC2266:AE2266&lt;&gt;"")*(COLUMN(AC2266:AE2266)-(COLUMN(AC2266)-2))))-1),"")</f>
        <v>ARCHIVED</v>
      </c>
      <c r="M2266" s="13" t="n">
        <f aca="true">K2266-TODAY()</f>
        <v>-409</v>
      </c>
      <c r="N2266" s="18" t="s">
        <v>3248</v>
      </c>
      <c r="O2266" s="13" t="s">
        <v>3249</v>
      </c>
      <c r="P2266" s="19" t="n">
        <v>4989600</v>
      </c>
      <c r="Q2266" s="20" t="s">
        <v>9697</v>
      </c>
      <c r="R2266" s="13" t="s">
        <v>39</v>
      </c>
      <c r="S2266" s="16" t="n">
        <v>34689</v>
      </c>
      <c r="T2266" s="28" t="s">
        <v>40</v>
      </c>
      <c r="U2266" s="13" t="s">
        <v>9698</v>
      </c>
      <c r="V2266" s="13" t="s">
        <v>42</v>
      </c>
      <c r="W2266" s="13" t="s">
        <v>43</v>
      </c>
      <c r="X2266" s="21" t="n">
        <v>81375569698</v>
      </c>
      <c r="Y2266" s="22" t="str">
        <f aca="false">O2266</f>
        <v>Sales Exclusive</v>
      </c>
      <c r="Z2266" s="13" t="str">
        <f aca="false">IFERROR(__xludf.dummyfunction("if(BJ2266="""","""",GOOGLETRANSLATE(BJ2266,""auto"",""en""))"),"Sales Exclusive")</f>
        <v>Sales Exclusive</v>
      </c>
      <c r="AA2266" s="23" t="str">
        <f aca="false">IF(C2266="","", CHOOSE(MONTH(C2266),"January","February","March","April","May","June","July","August","September","October","November","December")&amp;" "&amp;DAY(C2266)&amp;MID("thstndrdth",MIN(9,2*RIGHT(DAY(C2266))*(MOD(DAY(C2266)-11,100)&gt;2)+1),2)&amp;","&amp;TEXT(C2266," yyyy"))</f>
        <v>April 15th,2025</v>
      </c>
      <c r="AB2266" s="15" t="str">
        <f aca="true">IF(S2266="","",DATEDIF(S2266,TODAY(),"Y")&amp;" Tahun, "&amp;DATEDIF(S2266,TODAY(),"YM")&amp;" Bulan, "&amp;DATEDIF(S2266,TODAY(),"MD")&amp;" Hari")</f>
        <v>31 Tahun, 10 Bulan, 8 Hari</v>
      </c>
      <c r="AC2266" s="18" t="n">
        <v>45762</v>
      </c>
      <c r="AD2266" s="18" t="n">
        <v>45915</v>
      </c>
      <c r="AE2266" s="18" t="s">
        <v>44</v>
      </c>
    </row>
    <row r="2267" customFormat="false" ht="15" hidden="false" customHeight="true" outlineLevel="0" collapsed="false">
      <c r="A2267" s="12" t="n">
        <v>19718</v>
      </c>
      <c r="B2267" s="13" t="s">
        <v>9699</v>
      </c>
      <c r="C2267" s="16" t="n">
        <v>45773</v>
      </c>
      <c r="D2267" s="13" t="s">
        <v>2033</v>
      </c>
      <c r="E2267" s="15" t="s">
        <v>33</v>
      </c>
      <c r="F2267" s="24" t="s">
        <v>9700</v>
      </c>
      <c r="G2267" s="13" t="s">
        <v>9701</v>
      </c>
      <c r="H2267" s="13" t="s">
        <v>2035</v>
      </c>
      <c r="I2267" s="13" t="str">
        <f aca="false">IF(C2267=J2267,"NEW KONTRAK","RE-KONTRAK")</f>
        <v>NEW KONTRAK</v>
      </c>
      <c r="J2267" s="16" t="n">
        <f aca="false" t="array" ref="J2267:J2267">IFERROR(INDEX(AC2267:AE2267,IF(COUNTA(AC2267:AE2267)=0,"",MAX((AC2267:AE2267&lt;&gt;"")*(COLUMN(AC2267:AE2267)-(COLUMN(AC2267)))))-1),"")</f>
        <v>45773</v>
      </c>
      <c r="K2267" s="16" t="n">
        <f aca="false" t="array" ref="K2267:K2267">IFERROR(INDEX(AC2267:AE2267,IF(COUNTA(AC2267:AE2267)=0,"",MAX((AC2267:AE2267&lt;&gt;"")*(COLUMN(AC2267:AE2267)-(COLUMN(AC2267)-1))))-1),"")</f>
        <v>45915</v>
      </c>
      <c r="L2267" s="17" t="str">
        <f aca="false" t="array" ref="L2267:L2267">IFERROR(INDEX(AC2267:AE2267,IF(COUNTA(AC2267:AE2267)=0,"",MAX((AC2267:AE2267&lt;&gt;"")*(COLUMN(AC2267:AE2267)-(COLUMN(AC2267)-2))))-1),"")</f>
        <v>ARCHIVED</v>
      </c>
      <c r="M2267" s="13" t="n">
        <f aca="true">K2267-TODAY()</f>
        <v>-409</v>
      </c>
      <c r="N2267" s="18" t="s">
        <v>3248</v>
      </c>
      <c r="O2267" s="13" t="s">
        <v>2037</v>
      </c>
      <c r="P2267" s="19" t="n">
        <v>4989600</v>
      </c>
      <c r="Q2267" s="20" t="s">
        <v>9702</v>
      </c>
      <c r="R2267" s="13" t="s">
        <v>39</v>
      </c>
      <c r="S2267" s="16" t="n">
        <v>35035</v>
      </c>
      <c r="T2267" s="13" t="s">
        <v>108</v>
      </c>
      <c r="U2267" s="13" t="s">
        <v>9703</v>
      </c>
      <c r="V2267" s="13" t="s">
        <v>42</v>
      </c>
      <c r="W2267" s="13" t="s">
        <v>54</v>
      </c>
      <c r="X2267" s="21" t="n">
        <v>83846930791</v>
      </c>
      <c r="Y2267" s="22" t="str">
        <f aca="false">O2267</f>
        <v>SPG/BA</v>
      </c>
      <c r="Z2267" s="13" t="str">
        <f aca="false">IFERROR(__xludf.dummyfunction("if(BJ2267="""","""",GOOGLETRANSLATE(BJ2267,""auto"",""en""))"),"SPG/BA")</f>
        <v>SPG/BA</v>
      </c>
      <c r="AA2267" s="23" t="str">
        <f aca="false">IF(C2267="","", CHOOSE(MONTH(C2267),"January","February","March","April","May","June","July","August","September","October","November","December")&amp;" "&amp;DAY(C2267)&amp;MID("thstndrdth",MIN(9,2*RIGHT(DAY(C2267))*(MOD(DAY(C2267)-11,100)&gt;2)+1),2)&amp;","&amp;TEXT(C2267," yyyy"))</f>
        <v>April 26th,2025</v>
      </c>
      <c r="AB2267" s="15" t="str">
        <f aca="true">IF(S2267="","",DATEDIF(S2267,TODAY(),"Y")&amp;" Tahun, "&amp;DATEDIF(S2267,TODAY(),"YM")&amp;" Bulan, "&amp;DATEDIF(S2267,TODAY(),"MD")&amp;" Hari")</f>
        <v>30 Tahun, 10 Bulan, 27 Hari</v>
      </c>
      <c r="AC2267" s="18" t="n">
        <v>45773</v>
      </c>
      <c r="AD2267" s="18" t="n">
        <v>45915</v>
      </c>
      <c r="AE2267" s="18" t="s">
        <v>44</v>
      </c>
    </row>
    <row r="2268" customFormat="false" ht="15" hidden="false" customHeight="true" outlineLevel="0" collapsed="false">
      <c r="A2268" s="12" t="n">
        <v>22895</v>
      </c>
      <c r="B2268" s="13" t="s">
        <v>9704</v>
      </c>
      <c r="C2268" s="14" t="n">
        <v>46269</v>
      </c>
      <c r="D2268" s="13" t="s">
        <v>2033</v>
      </c>
      <c r="E2268" s="13" t="s">
        <v>47</v>
      </c>
      <c r="F2268" s="24" t="s">
        <v>9705</v>
      </c>
      <c r="G2268" s="13" t="s">
        <v>1452</v>
      </c>
      <c r="H2268" s="13" t="s">
        <v>35</v>
      </c>
      <c r="I2268" s="13" t="str">
        <f aca="false">IF(C2268=J2268,"NEW KONTRAK","RE-KONTRAK")</f>
        <v>NEW KONTRAK</v>
      </c>
      <c r="J2268" s="16" t="n">
        <f aca="false" t="array" ref="J2268:J2268">IFERROR(INDEX(AC2268:AE2268,IF(COUNTA(AC2268:AE2268)=0,"",MAX((AC2268:AE2268&lt;&gt;"")*(COLUMN(AC2268:AE2268)-(COLUMN(AC2268)))))-1),"")</f>
        <v>46269</v>
      </c>
      <c r="K2268" s="16" t="n">
        <f aca="false" t="array" ref="K2268:K2268">IFERROR(INDEX(AC2268:AE2268,IF(COUNTA(AC2268:AE2268)=0,"",MAX((AC2268:AE2268&lt;&gt;"")*(COLUMN(AC2268:AE2268)-(COLUMN(AC2268)-1))))-1),"")</f>
        <v>46402</v>
      </c>
      <c r="L2268" s="17" t="str">
        <f aca="false" t="array" ref="L2268:L2268">IFERROR(INDEX(AC2268:AE2268,IF(COUNTA(AC2268:AE2268)=0,"",MAX((AC2268:AE2268&lt;&gt;"")*(COLUMN(AC2268:AE2268)-(COLUMN(AC2268)-2))))-1),"")</f>
        <v>KEMBALI ONLINE</v>
      </c>
      <c r="M2268" s="13" t="n">
        <f aca="true">K2268-TODAY()</f>
        <v>78</v>
      </c>
      <c r="N2268" s="13" t="s">
        <v>2356</v>
      </c>
      <c r="O2268" s="13" t="s">
        <v>2384</v>
      </c>
      <c r="P2268" s="26" t="n">
        <v>4148179</v>
      </c>
      <c r="Q2268" s="20" t="s">
        <v>9706</v>
      </c>
      <c r="R2268" s="13" t="s">
        <v>9707</v>
      </c>
      <c r="S2268" s="25" t="n">
        <v>36205</v>
      </c>
      <c r="T2268" s="13" t="s">
        <v>108</v>
      </c>
      <c r="U2268" s="13" t="s">
        <v>9708</v>
      </c>
      <c r="V2268" s="13" t="s">
        <v>42</v>
      </c>
      <c r="W2268" s="13" t="s">
        <v>43</v>
      </c>
      <c r="X2268" s="21" t="n">
        <v>85342934104</v>
      </c>
      <c r="Y2268" s="22" t="str">
        <f aca="false">O2268</f>
        <v>SPG</v>
      </c>
      <c r="Z2268" s="13" t="str">
        <f aca="false">IFERROR(__xludf.dummyfunction("if(BJ2268="""","""",GOOGLETRANSLATE(BJ2268,""auto"",""en""))"),"SPG")</f>
        <v>SPG</v>
      </c>
      <c r="AA2268" s="23" t="str">
        <f aca="false">IF(C2268="","", CHOOSE(MONTH(C2268),"January","February","March","April","May","June","July","August","September","October","November","December")&amp;" "&amp;DAY(C2268)&amp;MID("thstndrdth",MIN(9,2*RIGHT(DAY(C2268))*(MOD(DAY(C2268)-11,100)&gt;2)+1),2)&amp;","&amp;TEXT(C2268," yyyy"))</f>
        <v>September 4th,2026</v>
      </c>
      <c r="AB2268" s="15" t="str">
        <f aca="true">IF(S2268="","",DATEDIF(S2268,TODAY(),"Y")&amp;" Tahun, "&amp;DATEDIF(S2268,TODAY(),"YM")&amp;" Bulan, "&amp;DATEDIF(S2268,TODAY(),"MD")&amp;" Hari")</f>
        <v>27 Tahun, 8 Bulan, 15 Hari</v>
      </c>
      <c r="AC2268" s="14" t="n">
        <v>46269</v>
      </c>
      <c r="AD2268" s="18" t="n">
        <v>46402</v>
      </c>
      <c r="AE2268" s="13" t="s">
        <v>2387</v>
      </c>
    </row>
    <row r="2269" customFormat="false" ht="15" hidden="false" customHeight="true" outlineLevel="0" collapsed="false">
      <c r="A2269" s="12" t="n">
        <v>19720</v>
      </c>
      <c r="B2269" s="13" t="s">
        <v>9709</v>
      </c>
      <c r="C2269" s="16" t="n">
        <v>45793</v>
      </c>
      <c r="D2269" s="13" t="s">
        <v>2033</v>
      </c>
      <c r="E2269" s="15" t="s">
        <v>33</v>
      </c>
      <c r="F2269" s="24" t="s">
        <v>9710</v>
      </c>
      <c r="G2269" s="13" t="s">
        <v>9711</v>
      </c>
      <c r="H2269" s="13" t="s">
        <v>2035</v>
      </c>
      <c r="I2269" s="13" t="str">
        <f aca="false">IF(C2269=J2269,"NEW KONTRAK","RE-KONTRAK")</f>
        <v>NEW KONTRAK</v>
      </c>
      <c r="J2269" s="16" t="n">
        <f aca="false" t="array" ref="J2269:J2269">IFERROR(INDEX(AC2269:AE2269,IF(COUNTA(AC2269:AE2269)=0,"",MAX((AC2269:AE2269&lt;&gt;"")*(COLUMN(AC2269:AE2269)-(COLUMN(AC2269)))))-1),"")</f>
        <v>45793</v>
      </c>
      <c r="K2269" s="16" t="n">
        <f aca="false" t="array" ref="K2269:K2269">IFERROR(INDEX(AC2269:AE2269,IF(COUNTA(AC2269:AE2269)=0,"",MAX((AC2269:AE2269&lt;&gt;"")*(COLUMN(AC2269:AE2269)-(COLUMN(AC2269)-1))))-1),"")</f>
        <v>45915</v>
      </c>
      <c r="L2269" s="17" t="str">
        <f aca="false" t="array" ref="L2269:L2269">IFERROR(INDEX(AC2269:AE2269,IF(COUNTA(AC2269:AE2269)=0,"",MAX((AC2269:AE2269&lt;&gt;"")*(COLUMN(AC2269:AE2269)-(COLUMN(AC2269)-2))))-1),"")</f>
        <v>ARCHIVED</v>
      </c>
      <c r="M2269" s="13" t="n">
        <f aca="true">K2269-TODAY()</f>
        <v>-409</v>
      </c>
      <c r="N2269" s="50" t="s">
        <v>749</v>
      </c>
      <c r="O2269" s="13" t="s">
        <v>2037</v>
      </c>
      <c r="P2269" s="19" t="n">
        <v>3724437</v>
      </c>
      <c r="Q2269" s="20" t="s">
        <v>9712</v>
      </c>
      <c r="R2269" s="13" t="s">
        <v>60</v>
      </c>
      <c r="S2269" s="16" t="n">
        <v>37849</v>
      </c>
      <c r="T2269" s="13" t="s">
        <v>108</v>
      </c>
      <c r="U2269" s="13" t="s">
        <v>9713</v>
      </c>
      <c r="V2269" s="13" t="s">
        <v>42</v>
      </c>
      <c r="W2269" s="13" t="s">
        <v>43</v>
      </c>
      <c r="X2269" s="21" t="n">
        <v>83892273861</v>
      </c>
      <c r="Y2269" s="22" t="str">
        <f aca="false">O2269</f>
        <v>SPG/BA</v>
      </c>
      <c r="Z2269" s="13" t="str">
        <f aca="false">IFERROR(__xludf.dummyfunction("if(BJ2269="""","""",GOOGLETRANSLATE(BJ2269,""auto"",""en""))"),"SPG/BA")</f>
        <v>SPG/BA</v>
      </c>
      <c r="AA2269" s="23" t="str">
        <f aca="false">IF(C2269="","", CHOOSE(MONTH(C2269),"January","February","March","April","May","June","July","August","September","October","November","December")&amp;" "&amp;DAY(C2269)&amp;MID("thstndrdth",MIN(9,2*RIGHT(DAY(C2269))*(MOD(DAY(C2269)-11,100)&gt;2)+1),2)&amp;","&amp;TEXT(C2269," yyyy"))</f>
        <v>May 16th,2025</v>
      </c>
      <c r="AB2269" s="15" t="str">
        <f aca="true">IF(S2269="","",DATEDIF(S2269,TODAY(),"Y")&amp;" Tahun, "&amp;DATEDIF(S2269,TODAY(),"YM")&amp;" Bulan, "&amp;DATEDIF(S2269,TODAY(),"MD")&amp;" Hari")</f>
        <v>23 Tahun, 2 Bulan, 13 Hari</v>
      </c>
      <c r="AC2269" s="18" t="n">
        <v>45793</v>
      </c>
      <c r="AD2269" s="18" t="n">
        <v>45915</v>
      </c>
      <c r="AE2269" s="18" t="s">
        <v>44</v>
      </c>
    </row>
    <row r="2270" customFormat="false" ht="15" hidden="false" customHeight="true" outlineLevel="0" collapsed="false">
      <c r="A2270" s="12" t="n">
        <v>20291</v>
      </c>
      <c r="B2270" s="13" t="s">
        <v>9714</v>
      </c>
      <c r="C2270" s="16" t="n">
        <v>45839</v>
      </c>
      <c r="D2270" s="13" t="s">
        <v>2033</v>
      </c>
      <c r="E2270" s="15" t="s">
        <v>47</v>
      </c>
      <c r="F2270" s="15" t="str">
        <f aca="false">IFERROR(__xludf.dummyfunction("XLOOKUP(AJ2270,IMPORTRANGE(""1XaInW9DU9nz21V0tYIfzFQ0He9kVQ_JF2mCXgZ3hqFA"",""REKAP ALL 2026 - Andika!G:G""),IMPORTRANGE(""1XaInW9DU9nz21V0tYIfzFQ0He9kVQ_JF2mCXgZ3hqFA"",""REKAP ALL 2026 - Andika!F:F""),"""",0)"),"25115948074")</f>
        <v>25115948074</v>
      </c>
      <c r="G2270" s="13" t="s">
        <v>9715</v>
      </c>
      <c r="H2270" s="13" t="s">
        <v>2035</v>
      </c>
      <c r="I2270" s="13" t="str">
        <f aca="false">IF(C2270=J2270,"NEW KONTRAK","RE-KONTRAK")</f>
        <v>NEW KONTRAK</v>
      </c>
      <c r="J2270" s="16" t="n">
        <f aca="false" t="array" ref="J2270:J2270">IFERROR(INDEX(AC2270:AE2270,IF(COUNTA(AC2270:AE2270)=0,"",MAX((AC2270:AE2270&lt;&gt;"")*(COLUMN(AC2270:AE2270)-(COLUMN(AC2270)))))-1),"")</f>
        <v>45839</v>
      </c>
      <c r="K2270" s="16" t="n">
        <f aca="false" t="array" ref="K2270:K2270">IFERROR(INDEX(AC2270:AE2270,IF(COUNTA(AC2270:AE2270)=0,"",MAX((AC2270:AE2270&lt;&gt;"")*(COLUMN(AC2270:AE2270)-(COLUMN(AC2270)-1))))-1),"")</f>
        <v>45914</v>
      </c>
      <c r="L2270" s="17" t="str">
        <f aca="false" t="array" ref="L2270:L2270">IFERROR(INDEX(AC2270:AE2270,IF(COUNTA(AC2270:AE2270)=0,"",MAX((AC2270:AE2270&lt;&gt;"")*(COLUMN(AC2270:AE2270)-(COLUMN(AC2270)-2))))-1),"")</f>
        <v>ARCHIVED</v>
      </c>
      <c r="M2270" s="13" t="n">
        <f aca="true">K2270-TODAY()</f>
        <v>-410</v>
      </c>
      <c r="N2270" s="68" t="s">
        <v>222</v>
      </c>
      <c r="O2270" s="13" t="s">
        <v>2037</v>
      </c>
      <c r="P2270" s="19" t="n">
        <v>2570000</v>
      </c>
      <c r="Q2270" s="20" t="s">
        <v>9716</v>
      </c>
      <c r="R2270" s="13" t="s">
        <v>6291</v>
      </c>
      <c r="S2270" s="16" t="n">
        <v>39051</v>
      </c>
      <c r="T2270" s="13" t="s">
        <v>108</v>
      </c>
      <c r="U2270" s="13" t="s">
        <v>9717</v>
      </c>
      <c r="V2270" s="13" t="s">
        <v>42</v>
      </c>
      <c r="W2270" s="13" t="s">
        <v>43</v>
      </c>
      <c r="X2270" s="21" t="n">
        <v>895325365522</v>
      </c>
      <c r="Y2270" s="22" t="str">
        <f aca="false">O2270</f>
        <v>SPG/BA</v>
      </c>
      <c r="Z2270" s="13" t="str">
        <f aca="false">IFERROR(__xludf.dummyfunction("if(BJ2270="""","""",GOOGLETRANSLATE(BJ2270,""auto"",""en""))"),"SPG/BA")</f>
        <v>SPG/BA</v>
      </c>
      <c r="AA2270" s="23" t="str">
        <f aca="false">IF(C2270="","", CHOOSE(MONTH(C2270),"January","February","March","April","May","June","July","August","September","October","November","December")&amp;" "&amp;DAY(C2270)&amp;MID("thstndrdth",MIN(9,2*RIGHT(DAY(C2270))*(MOD(DAY(C2270)-11,100)&gt;2)+1),2)&amp;","&amp;TEXT(C2270," yyyy"))</f>
        <v>July 1st,2025</v>
      </c>
      <c r="AB2270" s="15" t="str">
        <f aca="true">IF(S2270="","",DATEDIF(S2270,TODAY(),"Y")&amp;" Tahun, "&amp;DATEDIF(S2270,TODAY(),"YM")&amp;" Bulan, "&amp;DATEDIF(S2270,TODAY(),"MD")&amp;" Hari")</f>
        <v>19 Tahun, 10 Bulan, 29 Hari</v>
      </c>
      <c r="AC2270" s="18" t="n">
        <v>45839</v>
      </c>
      <c r="AD2270" s="18" t="n">
        <v>45914</v>
      </c>
      <c r="AE2270" s="18" t="s">
        <v>44</v>
      </c>
    </row>
    <row r="2271" customFormat="false" ht="15" hidden="false" customHeight="true" outlineLevel="0" collapsed="false">
      <c r="A2271" s="12" t="n">
        <v>19732</v>
      </c>
      <c r="B2271" s="13" t="s">
        <v>9718</v>
      </c>
      <c r="C2271" s="16" t="n">
        <v>45803</v>
      </c>
      <c r="D2271" s="13" t="s">
        <v>4743</v>
      </c>
      <c r="E2271" s="15" t="s">
        <v>47</v>
      </c>
      <c r="F2271" s="15" t="str">
        <f aca="false">IFERROR(__xludf.dummyfunction("XLOOKUP(AJ2271,IMPORTRANGE(""1XaInW9DU9nz21V0tYIfzFQ0He9kVQ_JF2mCXgZ3hqFA"",""REKAP ALL 2026 - Andika!G:G""),IMPORTRANGE(""1XaInW9DU9nz21V0tYIfzFQ0He9kVQ_JF2mCXgZ3hqFA"",""REKAP ALL 2026 - Andika!F:F""),"""",0)"),"25062578577")</f>
        <v>25062578577</v>
      </c>
      <c r="G2271" s="13" t="s">
        <v>9719</v>
      </c>
      <c r="H2271" s="13" t="s">
        <v>35</v>
      </c>
      <c r="I2271" s="13" t="str">
        <f aca="false">IF(C2271=J2271,"NEW KONTRAK","RE-KONTRAK")</f>
        <v>NEW KONTRAK</v>
      </c>
      <c r="J2271" s="16" t="n">
        <f aca="false" t="array" ref="J2271:J2271">IFERROR(INDEX(AC2271:AE2271,IF(COUNTA(AC2271:AE2271)=0,"",MAX((AC2271:AE2271&lt;&gt;"")*(COLUMN(AC2271:AE2271)-(COLUMN(AC2271)))))-1),"")</f>
        <v>45803</v>
      </c>
      <c r="K2271" s="16" t="n">
        <f aca="false" t="array" ref="K2271:K2271">IFERROR(INDEX(AC2271:AE2271,IF(COUNTA(AC2271:AE2271)=0,"",MAX((AC2271:AE2271&lt;&gt;"")*(COLUMN(AC2271:AE2271)-(COLUMN(AC2271)-1))))-1),"")</f>
        <v>45986</v>
      </c>
      <c r="L2271" s="17" t="str">
        <f aca="false" t="array" ref="L2271:L2271">IFERROR(INDEX(AC2271:AE2271,IF(COUNTA(AC2271:AE2271)=0,"",MAX((AC2271:AE2271&lt;&gt;"")*(COLUMN(AC2271:AE2271)-(COLUMN(AC2271)-2))))-1),"")</f>
        <v>ARCHIVED</v>
      </c>
      <c r="M2271" s="13" t="n">
        <f aca="true">K2271-TODAY()</f>
        <v>-338</v>
      </c>
      <c r="N2271" s="18" t="s">
        <v>728</v>
      </c>
      <c r="O2271" s="13" t="s">
        <v>9720</v>
      </c>
      <c r="P2271" s="19" t="n">
        <v>5191541</v>
      </c>
      <c r="Q2271" s="20" t="s">
        <v>9721</v>
      </c>
      <c r="R2271" s="13" t="s">
        <v>52</v>
      </c>
      <c r="S2271" s="16" t="n">
        <v>34436</v>
      </c>
      <c r="T2271" s="28" t="s">
        <v>40</v>
      </c>
      <c r="U2271" s="13" t="s">
        <v>9722</v>
      </c>
      <c r="V2271" s="28" t="s">
        <v>1216</v>
      </c>
      <c r="W2271" s="13" t="s">
        <v>43</v>
      </c>
      <c r="X2271" s="21" t="n">
        <v>82237535912</v>
      </c>
      <c r="Y2271" s="22" t="str">
        <f aca="false">O2271</f>
        <v>Business Representatif</v>
      </c>
      <c r="Z2271" s="13" t="str">
        <f aca="false">IFERROR(__xludf.dummyfunction("if(BJ2271="""","""",GOOGLETRANSLATE(BJ2271,""auto"",""en""))"),"Business Representative")</f>
        <v>Business Representative</v>
      </c>
      <c r="AA2271" s="23" t="str">
        <f aca="false">IF(C2271="","", CHOOSE(MONTH(C2271),"January","February","March","April","May","June","July","August","September","October","November","December")&amp;" "&amp;DAY(C2271)&amp;MID("thstndrdth",MIN(9,2*RIGHT(DAY(C2271))*(MOD(DAY(C2271)-11,100)&gt;2)+1),2)&amp;","&amp;TEXT(C2271," yyyy"))</f>
        <v>May 26th,2025</v>
      </c>
      <c r="AB2271" s="15" t="str">
        <f aca="true">IF(S2271="","",DATEDIF(S2271,TODAY(),"Y")&amp;" Tahun, "&amp;DATEDIF(S2271,TODAY(),"YM")&amp;" Bulan, "&amp;DATEDIF(S2271,TODAY(),"MD")&amp;" Hari")</f>
        <v>32 Tahun, 6 Bulan, 17 Hari</v>
      </c>
      <c r="AC2271" s="18" t="n">
        <v>45803</v>
      </c>
      <c r="AD2271" s="18" t="n">
        <v>45986</v>
      </c>
      <c r="AE2271" s="18" t="s">
        <v>44</v>
      </c>
    </row>
    <row r="2272" customFormat="false" ht="15" hidden="false" customHeight="true" outlineLevel="0" collapsed="false">
      <c r="A2272" s="12" t="n">
        <v>19731</v>
      </c>
      <c r="B2272" s="13" t="s">
        <v>9723</v>
      </c>
      <c r="C2272" s="16" t="n">
        <v>45792</v>
      </c>
      <c r="D2272" s="13" t="s">
        <v>5892</v>
      </c>
      <c r="E2272" s="15" t="s">
        <v>33</v>
      </c>
      <c r="F2272" s="24" t="s">
        <v>9724</v>
      </c>
      <c r="G2272" s="13" t="s">
        <v>57</v>
      </c>
      <c r="H2272" s="13" t="s">
        <v>35</v>
      </c>
      <c r="I2272" s="13" t="str">
        <f aca="false">IF(C2272=J2272,"NEW KONTRAK","RE-KONTRAK")</f>
        <v>NEW KONTRAK</v>
      </c>
      <c r="J2272" s="16" t="n">
        <f aca="false" t="array" ref="J2272:J2272">IFERROR(INDEX(AC2272:AE2272,IF(COUNTA(AC2272:AE2272)=0,"",MAX((AC2272:AE2272&lt;&gt;"")*(COLUMN(AC2272:AE2272)-(COLUMN(AC2272)))))-1),"")</f>
        <v>45792</v>
      </c>
      <c r="K2272" s="16" t="n">
        <f aca="false" t="array" ref="K2272:K2272">IFERROR(INDEX(AC2272:AE2272,IF(COUNTA(AC2272:AE2272)=0,"",MAX((AC2272:AE2272&lt;&gt;"")*(COLUMN(AC2272:AE2272)-(COLUMN(AC2272)-1))))-1),"")</f>
        <v>46156</v>
      </c>
      <c r="L2272" s="17" t="str">
        <f aca="false" t="array" ref="L2272:L2272">IFERROR(INDEX(AC2272:AE2272,IF(COUNTA(AC2272:AE2272)=0,"",MAX((AC2272:AE2272&lt;&gt;"")*(COLUMN(AC2272:AE2272)-(COLUMN(AC2272)-2))))-1),"")</f>
        <v>ARCHIVED</v>
      </c>
      <c r="M2272" s="13" t="n">
        <f aca="true">K2272-TODAY()</f>
        <v>-168</v>
      </c>
      <c r="N2272" s="18" t="s">
        <v>105</v>
      </c>
      <c r="O2272" s="13" t="s">
        <v>3623</v>
      </c>
      <c r="P2272" s="19" t="n">
        <v>2500000</v>
      </c>
      <c r="Q2272" s="20" t="s">
        <v>9725</v>
      </c>
      <c r="R2272" s="13" t="s">
        <v>232</v>
      </c>
      <c r="S2272" s="16" t="n">
        <v>39017</v>
      </c>
      <c r="T2272" s="28" t="s">
        <v>40</v>
      </c>
      <c r="U2272" s="13" t="s">
        <v>9726</v>
      </c>
      <c r="V2272" s="13" t="s">
        <v>42</v>
      </c>
      <c r="W2272" s="13" t="s">
        <v>43</v>
      </c>
      <c r="X2272" s="21" t="n">
        <v>81249653480</v>
      </c>
      <c r="Y2272" s="22" t="str">
        <f aca="false">O2272</f>
        <v>Operator Gudang</v>
      </c>
      <c r="Z2272" s="13" t="str">
        <f aca="false">IFERROR(__xludf.dummyfunction("if(BJ2272="""","""",GOOGLETRANSLATE(BJ2272,""auto"",""en""))"),"Warehouse Operator")</f>
        <v>Warehouse Operator</v>
      </c>
      <c r="AA2272" s="23" t="str">
        <f aca="false">IF(C2272="","", CHOOSE(MONTH(C2272),"January","February","March","April","May","June","July","August","September","October","November","December")&amp;" "&amp;DAY(C2272)&amp;MID("thstndrdth",MIN(9,2*RIGHT(DAY(C2272))*(MOD(DAY(C2272)-11,100)&gt;2)+1),2)&amp;","&amp;TEXT(C2272," yyyy"))</f>
        <v>May 15th,2025</v>
      </c>
      <c r="AB2272" s="15" t="str">
        <f aca="true">IF(S2272="","",DATEDIF(S2272,TODAY(),"Y")&amp;" Tahun, "&amp;DATEDIF(S2272,TODAY(),"YM")&amp;" Bulan, "&amp;DATEDIF(S2272,TODAY(),"MD")&amp;" Hari")</f>
        <v>20 Tahun, 0 Bulan, 2 Hari</v>
      </c>
      <c r="AC2272" s="18" t="n">
        <v>45792</v>
      </c>
      <c r="AD2272" s="18" t="n">
        <v>46156</v>
      </c>
      <c r="AE2272" s="18" t="s">
        <v>44</v>
      </c>
    </row>
    <row r="2273" customFormat="false" ht="15" hidden="false" customHeight="true" outlineLevel="0" collapsed="false">
      <c r="A2273" s="12" t="n">
        <v>19733</v>
      </c>
      <c r="B2273" s="13" t="s">
        <v>9727</v>
      </c>
      <c r="C2273" s="16" t="n">
        <v>45803</v>
      </c>
      <c r="D2273" s="13" t="s">
        <v>4743</v>
      </c>
      <c r="E2273" s="15" t="s">
        <v>47</v>
      </c>
      <c r="F2273" s="15" t="str">
        <f aca="false">IFERROR(__xludf.dummyfunction("XLOOKUP(AJ2273,IMPORTRANGE(""1XaInW9DU9nz21V0tYIfzFQ0He9kVQ_JF2mCXgZ3hqFA"",""REKAP ALL 2026 - Andika!G:G""),IMPORTRANGE(""1XaInW9DU9nz21V0tYIfzFQ0He9kVQ_JF2mCXgZ3hqFA"",""REKAP ALL 2026 - Andika!F:F""),"""",0)"),"25062578585")</f>
        <v>25062578585</v>
      </c>
      <c r="G2273" s="13" t="s">
        <v>9728</v>
      </c>
      <c r="H2273" s="13" t="s">
        <v>35</v>
      </c>
      <c r="I2273" s="13" t="str">
        <f aca="false">IF(C2273=J2273,"NEW KONTRAK","RE-KONTRAK")</f>
        <v>NEW KONTRAK</v>
      </c>
      <c r="J2273" s="16" t="n">
        <f aca="false" t="array" ref="J2273:J2273">IFERROR(INDEX(AC2273:AE2273,IF(COUNTA(AC2273:AE2273)=0,"",MAX((AC2273:AE2273&lt;&gt;"")*(COLUMN(AC2273:AE2273)-(COLUMN(AC2273)))))-1),"")</f>
        <v>45803</v>
      </c>
      <c r="K2273" s="16" t="n">
        <f aca="false" t="array" ref="K2273:K2273">IFERROR(INDEX(AC2273:AE2273,IF(COUNTA(AC2273:AE2273)=0,"",MAX((AC2273:AE2273&lt;&gt;"")*(COLUMN(AC2273:AE2273)-(COLUMN(AC2273)-1))))-1),"")</f>
        <v>45986</v>
      </c>
      <c r="L2273" s="17" t="str">
        <f aca="false" t="array" ref="L2273:L2273">IFERROR(INDEX(AC2273:AE2273,IF(COUNTA(AC2273:AE2273)=0,"",MAX((AC2273:AE2273&lt;&gt;"")*(COLUMN(AC2273:AE2273)-(COLUMN(AC2273)-2))))-1),"")</f>
        <v>ARCHIVED</v>
      </c>
      <c r="M2273" s="13" t="n">
        <f aca="true">K2273-TODAY()</f>
        <v>-338</v>
      </c>
      <c r="N2273" s="18" t="s">
        <v>728</v>
      </c>
      <c r="O2273" s="13" t="s">
        <v>9729</v>
      </c>
      <c r="P2273" s="19" t="n">
        <v>5191541</v>
      </c>
      <c r="Q2273" s="20" t="s">
        <v>9730</v>
      </c>
      <c r="R2273" s="13" t="s">
        <v>39</v>
      </c>
      <c r="S2273" s="16" t="n">
        <v>36275</v>
      </c>
      <c r="T2273" s="13" t="s">
        <v>108</v>
      </c>
      <c r="U2273" s="13" t="s">
        <v>9731</v>
      </c>
      <c r="V2273" s="13" t="s">
        <v>99</v>
      </c>
      <c r="W2273" s="13" t="s">
        <v>43</v>
      </c>
      <c r="X2273" s="21" t="n">
        <v>81913885999</v>
      </c>
      <c r="Y2273" s="22" t="str">
        <f aca="false">O2273</f>
        <v>Staff Pajak</v>
      </c>
      <c r="Z2273" s="13" t="str">
        <f aca="false">IFERROR(__xludf.dummyfunction("if(BJ2273="""","""",GOOGLETRANSLATE(BJ2273,""auto"",""en""))"),"Tax Staff")</f>
        <v>Tax Staff</v>
      </c>
      <c r="AA2273" s="23" t="str">
        <f aca="false">IF(C2273="","", CHOOSE(MONTH(C2273),"January","February","March","April","May","June","July","August","September","October","November","December")&amp;" "&amp;DAY(C2273)&amp;MID("thstndrdth",MIN(9,2*RIGHT(DAY(C2273))*(MOD(DAY(C2273)-11,100)&gt;2)+1),2)&amp;","&amp;TEXT(C2273," yyyy"))</f>
        <v>May 26th,2025</v>
      </c>
      <c r="AB2273" s="15" t="str">
        <f aca="true">IF(S2273="","",DATEDIF(S2273,TODAY(),"Y")&amp;" Tahun, "&amp;DATEDIF(S2273,TODAY(),"YM")&amp;" Bulan, "&amp;DATEDIF(S2273,TODAY(),"MD")&amp;" Hari")</f>
        <v>27 Tahun, 6 Bulan, 4 Hari</v>
      </c>
      <c r="AC2273" s="18" t="n">
        <v>45803</v>
      </c>
      <c r="AD2273" s="18" t="n">
        <v>45986</v>
      </c>
      <c r="AE2273" s="18" t="s">
        <v>44</v>
      </c>
    </row>
    <row r="2274" customFormat="false" ht="15" hidden="false" customHeight="true" outlineLevel="0" collapsed="false">
      <c r="A2274" s="12" t="n">
        <v>19734</v>
      </c>
      <c r="B2274" s="13" t="s">
        <v>9732</v>
      </c>
      <c r="C2274" s="16" t="n">
        <v>45807</v>
      </c>
      <c r="D2274" s="13" t="s">
        <v>5892</v>
      </c>
      <c r="E2274" s="15" t="s">
        <v>47</v>
      </c>
      <c r="F2274" s="15" t="str">
        <f aca="false">IFERROR(__xludf.dummyfunction("XLOOKUP(AJ2274,IMPORTRANGE(""1XaInW9DU9nz21V0tYIfzFQ0He9kVQ_JF2mCXgZ3hqFA"",""REKAP ALL 2026 - Andika!G:G""),IMPORTRANGE(""1XaInW9DU9nz21V0tYIfzFQ0He9kVQ_JF2mCXgZ3hqFA"",""REKAP ALL 2026 - Andika!F:F""),"""",0)"),"25062534505")</f>
        <v>25062534505</v>
      </c>
      <c r="G2274" s="13" t="s">
        <v>9733</v>
      </c>
      <c r="H2274" s="13" t="s">
        <v>35</v>
      </c>
      <c r="I2274" s="13" t="str">
        <f aca="false">IF(C2274=J2274,"NEW KONTRAK","RE-KONTRAK")</f>
        <v>NEW KONTRAK</v>
      </c>
      <c r="J2274" s="16" t="n">
        <f aca="false" t="array" ref="J2274:J2274">IFERROR(INDEX(AC2274:AE2274,IF(COUNTA(AC2274:AE2274)=0,"",MAX((AC2274:AE2274&lt;&gt;"")*(COLUMN(AC2274:AE2274)-(COLUMN(AC2274)))))-1),"")</f>
        <v>45807</v>
      </c>
      <c r="K2274" s="16" t="n">
        <f aca="false" t="array" ref="K2274:K2274">IFERROR(INDEX(AC2274:AE2274,IF(COUNTA(AC2274:AE2274)=0,"",MAX((AC2274:AE2274&lt;&gt;"")*(COLUMN(AC2274:AE2274)-(COLUMN(AC2274)-1))))-1),"")</f>
        <v>45990</v>
      </c>
      <c r="L2274" s="17" t="str">
        <f aca="false" t="array" ref="L2274:L2274">IFERROR(INDEX(AC2274:AE2274,IF(COUNTA(AC2274:AE2274)=0,"",MAX((AC2274:AE2274&lt;&gt;"")*(COLUMN(AC2274:AE2274)-(COLUMN(AC2274)-2))))-1),"")</f>
        <v>ARCHIVED</v>
      </c>
      <c r="M2274" s="13" t="n">
        <f aca="true">K2274-TODAY()</f>
        <v>-334</v>
      </c>
      <c r="N2274" s="18" t="s">
        <v>105</v>
      </c>
      <c r="O2274" s="13" t="s">
        <v>6285</v>
      </c>
      <c r="P2274" s="19" t="n">
        <v>4250000</v>
      </c>
      <c r="Q2274" s="20" t="s">
        <v>9734</v>
      </c>
      <c r="R2274" s="13" t="s">
        <v>39</v>
      </c>
      <c r="S2274" s="16" t="n">
        <v>35894</v>
      </c>
      <c r="T2274" s="28" t="s">
        <v>40</v>
      </c>
      <c r="U2274" s="17" t="s">
        <v>9735</v>
      </c>
      <c r="V2274" s="13" t="s">
        <v>42</v>
      </c>
      <c r="W2274" s="13" t="s">
        <v>43</v>
      </c>
      <c r="X2274" s="21" t="n">
        <v>81554414666</v>
      </c>
      <c r="Y2274" s="22" t="str">
        <f aca="false">O2274</f>
        <v>Operator Reach Truck</v>
      </c>
      <c r="Z2274" s="13" t="str">
        <f aca="false">IFERROR(__xludf.dummyfunction("if(BJ2274="""","""",GOOGLETRANSLATE(BJ2274,""auto"",""en""))"),"Operator Reach Truck")</f>
        <v>Operator Reach Truck</v>
      </c>
      <c r="AA2274" s="23" t="str">
        <f aca="false">IF(C2274="","", CHOOSE(MONTH(C2274),"January","February","March","April","May","June","July","August","September","October","November","December")&amp;" "&amp;DAY(C2274)&amp;MID("thstndrdth",MIN(9,2*RIGHT(DAY(C2274))*(MOD(DAY(C2274)-11,100)&gt;2)+1),2)&amp;","&amp;TEXT(C2274," yyyy"))</f>
        <v>May 30th,2025</v>
      </c>
      <c r="AB2274" s="15" t="str">
        <f aca="true">IF(S2274="","",DATEDIF(S2274,TODAY(),"Y")&amp;" Tahun, "&amp;DATEDIF(S2274,TODAY(),"YM")&amp;" Bulan, "&amp;DATEDIF(S2274,TODAY(),"MD")&amp;" Hari")</f>
        <v>28 Tahun, 6 Bulan, 20 Hari</v>
      </c>
      <c r="AC2274" s="18" t="n">
        <v>45807</v>
      </c>
      <c r="AD2274" s="18" t="n">
        <v>45990</v>
      </c>
      <c r="AE2274" s="18" t="s">
        <v>44</v>
      </c>
    </row>
    <row r="2275" customFormat="false" ht="15" hidden="false" customHeight="true" outlineLevel="0" collapsed="false">
      <c r="A2275" s="12" t="n">
        <v>19736</v>
      </c>
      <c r="B2275" s="13" t="s">
        <v>9736</v>
      </c>
      <c r="C2275" s="16" t="n">
        <v>45810</v>
      </c>
      <c r="D2275" s="13" t="s">
        <v>4743</v>
      </c>
      <c r="E2275" s="15" t="s">
        <v>47</v>
      </c>
      <c r="F2275" s="15" t="str">
        <f aca="false">IFERROR(__xludf.dummyfunction("XLOOKUP(AJ2275,IMPORTRANGE(""1XaInW9DU9nz21V0tYIfzFQ0He9kVQ_JF2mCXgZ3hqFA"",""REKAP ALL 2026 - Andika!G:G""),IMPORTRANGE(""1XaInW9DU9nz21V0tYIfzFQ0He9kVQ_JF2mCXgZ3hqFA"",""REKAP ALL 2026 - Andika!F:F""),"""",0)"),"25079848872")</f>
        <v>25079848872</v>
      </c>
      <c r="G2275" s="13" t="s">
        <v>9737</v>
      </c>
      <c r="H2275" s="13" t="s">
        <v>35</v>
      </c>
      <c r="I2275" s="13" t="str">
        <f aca="false">IF(C2275=J2275,"NEW KONTRAK","RE-KONTRAK")</f>
        <v>RE-KONTRAK</v>
      </c>
      <c r="J2275" s="16" t="n">
        <f aca="false" t="array" ref="J2275:J2275">IFERROR(INDEX(AC2275:AE2275,IF(COUNTA(AC2275:AE2275)=0,"",MAX((AC2275:AE2275&lt;&gt;"")*(COLUMN(AC2275:AE2275)-(COLUMN(AC2275)))))-1),"")</f>
        <v>45902</v>
      </c>
      <c r="K2275" s="16" t="n">
        <f aca="false" t="array" ref="K2275:K2275">IFERROR(INDEX(AC2275:AE2275,IF(COUNTA(AC2275:AE2275)=0,"",MAX((AC2275:AE2275&lt;&gt;"")*(COLUMN(AC2275:AE2275)-(COLUMN(AC2275)-1))))-1),"")</f>
        <v>46266</v>
      </c>
      <c r="L2275" s="17" t="str">
        <f aca="false" t="array" ref="L2275:L2275">IFERROR(INDEX(AC2275:AE2275,IF(COUNTA(AC2275:AE2275)=0,"",MAX((AC2275:AE2275&lt;&gt;"")*(COLUMN(AC2275:AE2275)-(COLUMN(AC2275)-2))))-1),"")</f>
        <v>KEMBALI</v>
      </c>
      <c r="M2275" s="13" t="n">
        <f aca="true">K2275-TODAY()</f>
        <v>-58</v>
      </c>
      <c r="N2275" s="18" t="s">
        <v>728</v>
      </c>
      <c r="O2275" s="13" t="s">
        <v>5549</v>
      </c>
      <c r="P2275" s="19" t="n">
        <v>4525479</v>
      </c>
      <c r="Q2275" s="20" t="s">
        <v>9738</v>
      </c>
      <c r="R2275" s="13" t="s">
        <v>60</v>
      </c>
      <c r="S2275" s="16" t="n">
        <v>36466</v>
      </c>
      <c r="T2275" s="28" t="s">
        <v>40</v>
      </c>
      <c r="U2275" s="13" t="s">
        <v>9739</v>
      </c>
      <c r="V2275" s="13" t="s">
        <v>42</v>
      </c>
      <c r="W2275" s="13" t="s">
        <v>43</v>
      </c>
      <c r="X2275" s="21" t="n">
        <v>82238366848</v>
      </c>
      <c r="Y2275" s="22" t="str">
        <f aca="false">O2275</f>
        <v>Staff Finance</v>
      </c>
      <c r="Z2275" s="13" t="str">
        <f aca="false">IFERROR(__xludf.dummyfunction("if(BJ2275="""","""",GOOGLETRANSLATE(BJ2275,""auto"",""en""))"),"Staff Finance")</f>
        <v>Staff Finance</v>
      </c>
      <c r="AA2275" s="23" t="str">
        <f aca="false">IF(C2275="","", CHOOSE(MONTH(C2275),"January","February","March","April","May","June","July","August","September","October","November","December")&amp;" "&amp;DAY(C2275)&amp;MID("thstndrdth",MIN(9,2*RIGHT(DAY(C2275))*(MOD(DAY(C2275)-11,100)&gt;2)+1),2)&amp;","&amp;TEXT(C2275," yyyy"))</f>
        <v>June 2nd,2025</v>
      </c>
      <c r="AB2275" s="15" t="str">
        <f aca="true">IF(S2275="","",DATEDIF(S2275,TODAY(),"Y")&amp;" Tahun, "&amp;DATEDIF(S2275,TODAY(),"YM")&amp;" Bulan, "&amp;DATEDIF(S2275,TODAY(),"MD")&amp;" Hari")</f>
        <v>26 Tahun, 11 Bulan, 27 Hari</v>
      </c>
      <c r="AC2275" s="18" t="n">
        <v>45902</v>
      </c>
      <c r="AD2275" s="18" t="n">
        <v>46266</v>
      </c>
      <c r="AE2275" s="13" t="s">
        <v>397</v>
      </c>
    </row>
    <row r="2276" customFormat="false" ht="15" hidden="false" customHeight="true" outlineLevel="0" collapsed="false">
      <c r="A2276" s="12" t="n">
        <v>19741</v>
      </c>
      <c r="B2276" s="13" t="s">
        <v>9740</v>
      </c>
      <c r="C2276" s="16" t="n">
        <v>45805</v>
      </c>
      <c r="D2276" s="13" t="s">
        <v>4610</v>
      </c>
      <c r="E2276" s="15" t="s">
        <v>47</v>
      </c>
      <c r="F2276" s="15" t="str">
        <f aca="false">IFERROR(__xludf.dummyfunction("XLOOKUP(AJ2276,IMPORTRANGE(""1XaInW9DU9nz21V0tYIfzFQ0He9kVQ_JF2mCXgZ3hqFA"",""REKAP ALL 2026 - Andika!G:G""),IMPORTRANGE(""1XaInW9DU9nz21V0tYIfzFQ0He9kVQ_JF2mCXgZ3hqFA"",""REKAP ALL 2026 - Andika!F:F""),"""",0)"),"25079805864")</f>
        <v>25079805864</v>
      </c>
      <c r="G2276" s="13" t="s">
        <v>57</v>
      </c>
      <c r="H2276" s="13" t="s">
        <v>35</v>
      </c>
      <c r="I2276" s="13" t="str">
        <f aca="false">IF(C2276=J2276,"NEW KONTRAK","RE-KONTRAK")</f>
        <v>RE-KONTRAK</v>
      </c>
      <c r="J2276" s="16" t="n">
        <f aca="false" t="array" ref="J2276:J2276">IFERROR(INDEX(AC2276:AE2276,IF(COUNTA(AC2276:AE2276)=0,"",MAX((AC2276:AE2276&lt;&gt;"")*(COLUMN(AC2276:AE2276)-(COLUMN(AC2276)))))-1),"")</f>
        <v>45897</v>
      </c>
      <c r="K2276" s="16" t="n">
        <f aca="false" t="array" ref="K2276:K2276">IFERROR(INDEX(AC2276:AE2276,IF(COUNTA(AC2276:AE2276)=0,"",MAX((AC2276:AE2276&lt;&gt;"")*(COLUMN(AC2276:AE2276)-(COLUMN(AC2276)-1))))-1),"")</f>
        <v>45988</v>
      </c>
      <c r="L2276" s="17" t="str">
        <f aca="false" t="array" ref="L2276:L2276">IFERROR(INDEX(AC2276:AE2276,IF(COUNTA(AC2276:AE2276)=0,"",MAX((AC2276:AE2276&lt;&gt;"")*(COLUMN(AC2276:AE2276)-(COLUMN(AC2276)-2))))-1),"")</f>
        <v>ARCHIVED</v>
      </c>
      <c r="M2276" s="13" t="n">
        <f aca="true">K2276-TODAY()</f>
        <v>-336</v>
      </c>
      <c r="N2276" s="18" t="s">
        <v>36</v>
      </c>
      <c r="O2276" s="13" t="s">
        <v>4288</v>
      </c>
      <c r="P2276" s="27" t="n">
        <v>200000</v>
      </c>
      <c r="Q2276" s="20" t="s">
        <v>9741</v>
      </c>
      <c r="R2276" s="13" t="s">
        <v>39</v>
      </c>
      <c r="S2276" s="16" t="n">
        <v>35127</v>
      </c>
      <c r="T2276" s="28" t="s">
        <v>40</v>
      </c>
      <c r="U2276" s="13" t="s">
        <v>9742</v>
      </c>
      <c r="V2276" s="13" t="s">
        <v>42</v>
      </c>
      <c r="W2276" s="13" t="s">
        <v>43</v>
      </c>
      <c r="X2276" s="21" t="n">
        <v>881012373349</v>
      </c>
      <c r="Y2276" s="22" t="str">
        <f aca="false">O2276</f>
        <v>Operator Printing</v>
      </c>
      <c r="Z2276" s="13" t="str">
        <f aca="false">IFERROR(__xludf.dummyfunction("if(BJ2276="""","""",GOOGLETRANSLATE(BJ2276,""auto"",""en""))"),"Operator Printing")</f>
        <v>Operator Printing</v>
      </c>
      <c r="AA2276" s="23" t="str">
        <f aca="false">IF(C2276="","", CHOOSE(MONTH(C2276),"January","February","March","April","May","June","July","August","September","October","November","December")&amp;" "&amp;DAY(C2276)&amp;MID("thstndrdth",MIN(9,2*RIGHT(DAY(C2276))*(MOD(DAY(C2276)-11,100)&gt;2)+1),2)&amp;","&amp;TEXT(C2276," yyyy"))</f>
        <v>May 28th,2025</v>
      </c>
      <c r="AB2276" s="15" t="str">
        <f aca="true">IF(S2276="","",DATEDIF(S2276,TODAY(),"Y")&amp;" Tahun, "&amp;DATEDIF(S2276,TODAY(),"YM")&amp;" Bulan, "&amp;DATEDIF(S2276,TODAY(),"MD")&amp;" Hari")</f>
        <v>30 Tahun, 7 Bulan, 26 Hari</v>
      </c>
      <c r="AC2276" s="18" t="n">
        <v>45897</v>
      </c>
      <c r="AD2276" s="18" t="n">
        <v>45988</v>
      </c>
      <c r="AE2276" s="18" t="s">
        <v>44</v>
      </c>
    </row>
    <row r="2277" customFormat="false" ht="15" hidden="false" customHeight="true" outlineLevel="0" collapsed="false">
      <c r="A2277" s="12" t="n">
        <v>19737</v>
      </c>
      <c r="B2277" s="13" t="s">
        <v>9743</v>
      </c>
      <c r="C2277" s="16" t="n">
        <v>45810</v>
      </c>
      <c r="D2277" s="13" t="s">
        <v>9744</v>
      </c>
      <c r="E2277" s="15" t="s">
        <v>102</v>
      </c>
      <c r="F2277" s="24" t="s">
        <v>9745</v>
      </c>
      <c r="G2277" s="13" t="s">
        <v>9746</v>
      </c>
      <c r="H2277" s="13" t="s">
        <v>35</v>
      </c>
      <c r="I2277" s="13" t="str">
        <f aca="false">IF(C2277=J2277,"NEW KONTRAK","RE-KONTRAK")</f>
        <v>NEW KONTRAK</v>
      </c>
      <c r="J2277" s="16" t="n">
        <f aca="false" t="array" ref="J2277:J2277">IFERROR(INDEX(AC2277:AE2277,IF(COUNTA(AC2277:AE2277)=0,"",MAX((AC2277:AE2277&lt;&gt;"")*(COLUMN(AC2277:AE2277)-(COLUMN(AC2277)))))-1),"")</f>
        <v>45810</v>
      </c>
      <c r="K2277" s="16" t="n">
        <f aca="false" t="array" ref="K2277:K2277">IFERROR(INDEX(AC2277:AE2277,IF(COUNTA(AC2277:AE2277)=0,"",MAX((AC2277:AE2277&lt;&gt;"")*(COLUMN(AC2277:AE2277)-(COLUMN(AC2277)-1))))-1),"")</f>
        <v>46174</v>
      </c>
      <c r="L2277" s="17" t="str">
        <f aca="false" t="array" ref="L2277:L2277">IFERROR(INDEX(AC2277:AE2277,IF(COUNTA(AC2277:AE2277)=0,"",MAX((AC2277:AE2277&lt;&gt;"")*(COLUMN(AC2277:AE2277)-(COLUMN(AC2277)-2))))-1),"")</f>
        <v>ARCHIVED</v>
      </c>
      <c r="M2277" s="13" t="n">
        <f aca="true">K2277-TODAY()</f>
        <v>-150</v>
      </c>
      <c r="N2277" s="18" t="s">
        <v>728</v>
      </c>
      <c r="O2277" s="13" t="s">
        <v>9747</v>
      </c>
      <c r="P2277" s="19" t="n">
        <v>4961753</v>
      </c>
      <c r="Q2277" s="20" t="s">
        <v>9748</v>
      </c>
      <c r="R2277" s="13" t="s">
        <v>232</v>
      </c>
      <c r="S2277" s="16" t="n">
        <v>36288</v>
      </c>
      <c r="T2277" s="13" t="s">
        <v>108</v>
      </c>
      <c r="U2277" s="13" t="s">
        <v>9749</v>
      </c>
      <c r="V2277" s="13" t="s">
        <v>99</v>
      </c>
      <c r="W2277" s="13" t="s">
        <v>43</v>
      </c>
      <c r="X2277" s="21" t="n">
        <v>8993906341</v>
      </c>
      <c r="Y2277" s="22" t="str">
        <f aca="false">O2277</f>
        <v>Operator Telepon</v>
      </c>
      <c r="Z2277" s="13" t="str">
        <f aca="false">IFERROR(__xludf.dummyfunction("if(BJ2277="""","""",GOOGLETRANSLATE(BJ2277,""auto"",""en""))"),"Telephone Operator")</f>
        <v>Telephone Operator</v>
      </c>
      <c r="AA2277" s="23" t="str">
        <f aca="false">IF(C2277="","", CHOOSE(MONTH(C2277),"January","February","March","April","May","June","July","August","September","October","November","December")&amp;" "&amp;DAY(C2277)&amp;MID("thstndrdth",MIN(9,2*RIGHT(DAY(C2277))*(MOD(DAY(C2277)-11,100)&gt;2)+1),2)&amp;","&amp;TEXT(C2277," yyyy"))</f>
        <v>June 2nd,2025</v>
      </c>
      <c r="AB2277" s="15" t="str">
        <f aca="true">IF(S2277="","",DATEDIF(S2277,TODAY(),"Y")&amp;" Tahun, "&amp;DATEDIF(S2277,TODAY(),"YM")&amp;" Bulan, "&amp;DATEDIF(S2277,TODAY(),"MD")&amp;" Hari")</f>
        <v>27 Tahun, 5 Bulan, 21 Hari</v>
      </c>
      <c r="AC2277" s="18" t="n">
        <v>45810</v>
      </c>
      <c r="AD2277" s="18" t="n">
        <v>46174</v>
      </c>
      <c r="AE2277" s="18" t="s">
        <v>44</v>
      </c>
    </row>
    <row r="2278" customFormat="false" ht="15" hidden="false" customHeight="true" outlineLevel="0" collapsed="false">
      <c r="A2278" s="12" t="n">
        <v>19747</v>
      </c>
      <c r="B2278" s="13" t="s">
        <v>9750</v>
      </c>
      <c r="C2278" s="16" t="n">
        <v>45810</v>
      </c>
      <c r="D2278" s="13" t="s">
        <v>6487</v>
      </c>
      <c r="E2278" s="15" t="s">
        <v>47</v>
      </c>
      <c r="F2278" s="15" t="str">
        <f aca="false">IFERROR(__xludf.dummyfunction("XLOOKUP(AJ2278,IMPORTRANGE(""1XaInW9DU9nz21V0tYIfzFQ0He9kVQ_JF2mCXgZ3hqFA"",""REKAP ALL 2026 - Andika!G:G""),IMPORTRANGE(""1XaInW9DU9nz21V0tYIfzFQ0He9kVQ_JF2mCXgZ3hqFA"",""REKAP ALL 2026 - Andika!F:F""),"""",0)"),"25079806433")</f>
        <v>25079806433</v>
      </c>
      <c r="G2278" s="13" t="s">
        <v>9751</v>
      </c>
      <c r="H2278" s="13" t="s">
        <v>35</v>
      </c>
      <c r="I2278" s="13" t="str">
        <f aca="false">IF(C2278=J2278,"NEW KONTRAK","RE-KONTRAK")</f>
        <v>RE-KONTRAK</v>
      </c>
      <c r="J2278" s="16" t="n">
        <f aca="false" t="array" ref="J2278:J2278">IFERROR(INDEX(AC2278:AE2278,IF(COUNTA(AC2278:AE2278)=0,"",MAX((AC2278:AE2278&lt;&gt;"")*(COLUMN(AC2278:AE2278)-(COLUMN(AC2278)))))-1),"")</f>
        <v>45839</v>
      </c>
      <c r="K2278" s="16" t="n">
        <f aca="false" t="array" ref="K2278:K2278">IFERROR(INDEX(AC2278:AE2278,IF(COUNTA(AC2278:AE2278)=0,"",MAX((AC2278:AE2278&lt;&gt;"")*(COLUMN(AC2278:AE2278)-(COLUMN(AC2278)-1))))-1),"")</f>
        <v>46022</v>
      </c>
      <c r="L2278" s="17" t="str">
        <f aca="false" t="array" ref="L2278:L2278">IFERROR(INDEX(AC2278:AE2278,IF(COUNTA(AC2278:AE2278)=0,"",MAX((AC2278:AE2278&lt;&gt;"")*(COLUMN(AC2278:AE2278)-(COLUMN(AC2278)-2))))-1),"")</f>
        <v>ARCHIVED</v>
      </c>
      <c r="M2278" s="13" t="n">
        <f aca="true">K2278-TODAY()</f>
        <v>-302</v>
      </c>
      <c r="N2278" s="18" t="s">
        <v>4735</v>
      </c>
      <c r="O2278" s="13" t="s">
        <v>3271</v>
      </c>
      <c r="P2278" s="19" t="n">
        <v>3802862</v>
      </c>
      <c r="Q2278" s="20" t="s">
        <v>9752</v>
      </c>
      <c r="R2278" s="13" t="s">
        <v>83</v>
      </c>
      <c r="S2278" s="16" t="n">
        <v>36804</v>
      </c>
      <c r="T2278" s="28" t="s">
        <v>40</v>
      </c>
      <c r="U2278" s="13" t="s">
        <v>9753</v>
      </c>
      <c r="V2278" s="13" t="s">
        <v>42</v>
      </c>
      <c r="W2278" s="13" t="s">
        <v>43</v>
      </c>
      <c r="X2278" s="21" t="n">
        <v>89647094345</v>
      </c>
      <c r="Y2278" s="22" t="str">
        <f aca="false">O2278</f>
        <v>Helper</v>
      </c>
      <c r="Z2278" s="13" t="str">
        <f aca="false">IFERROR(__xludf.dummyfunction("if(BJ2278="""","""",GOOGLETRANSLATE(BJ2278,""auto"",""en""))"),"Helper")</f>
        <v>Helper</v>
      </c>
      <c r="AA2278" s="23" t="str">
        <f aca="false">IF(C2278="","", CHOOSE(MONTH(C2278),"January","February","March","April","May","June","July","August","September","October","November","December")&amp;" "&amp;DAY(C2278)&amp;MID("thstndrdth",MIN(9,2*RIGHT(DAY(C2278))*(MOD(DAY(C2278)-11,100)&gt;2)+1),2)&amp;","&amp;TEXT(C2278," yyyy"))</f>
        <v>June 2nd,2025</v>
      </c>
      <c r="AB2278" s="15" t="str">
        <f aca="true">IF(S2278="","",DATEDIF(S2278,TODAY(),"Y")&amp;" Tahun, "&amp;DATEDIF(S2278,TODAY(),"YM")&amp;" Bulan, "&amp;DATEDIF(S2278,TODAY(),"MD")&amp;" Hari")</f>
        <v>26 Tahun, 0 Bulan, 24 Hari</v>
      </c>
      <c r="AC2278" s="18" t="n">
        <v>45839</v>
      </c>
      <c r="AD2278" s="18" t="n">
        <v>46022</v>
      </c>
      <c r="AE2278" s="18" t="s">
        <v>44</v>
      </c>
    </row>
    <row r="2279" customFormat="false" ht="15" hidden="false" customHeight="true" outlineLevel="0" collapsed="false">
      <c r="A2279" s="12" t="n">
        <v>19744</v>
      </c>
      <c r="B2279" s="13" t="s">
        <v>9754</v>
      </c>
      <c r="C2279" s="16" t="n">
        <v>45797</v>
      </c>
      <c r="D2279" s="13" t="s">
        <v>4252</v>
      </c>
      <c r="E2279" s="15" t="s">
        <v>33</v>
      </c>
      <c r="F2279" s="15" t="str">
        <f aca="false">IFERROR(__xludf.dummyfunction("XLOOKUP(AJ2279,IMPORTRANGE(""1XaInW9DU9nz21V0tYIfzFQ0He9kVQ_JF2mCXgZ3hqFA"",""REKAP ALL 2026 - Andika!G:G""),IMPORTRANGE(""1XaInW9DU9nz21V0tYIfzFQ0He9kVQ_JF2mCXgZ3hqFA"",""REKAP ALL 2026 - Andika!F:F""),"""",0)"),"26035118004")</f>
        <v>26035118004</v>
      </c>
      <c r="G2279" s="13" t="s">
        <v>57</v>
      </c>
      <c r="H2279" s="13" t="s">
        <v>35</v>
      </c>
      <c r="I2279" s="13" t="str">
        <f aca="false">IF(C2279=J2279,"NEW KONTRAK","RE-KONTRAK")</f>
        <v>NEW KONTRAK</v>
      </c>
      <c r="J2279" s="16" t="n">
        <f aca="false" t="array" ref="J2279:J2279">IFERROR(INDEX(AC2279:AE2279,IF(COUNTA(AC2279:AE2279)=0,"",MAX((AC2279:AE2279&lt;&gt;"")*(COLUMN(AC2279:AE2279)-(COLUMN(AC2279)))))-1),"")</f>
        <v>45797</v>
      </c>
      <c r="K2279" s="16" t="n">
        <f aca="false" t="array" ref="K2279:K2279">IFERROR(INDEX(AC2279:AE2279,IF(COUNTA(AC2279:AE2279)=0,"",MAX((AC2279:AE2279&lt;&gt;"")*(COLUMN(AC2279:AE2279)-(COLUMN(AC2279)-1))))-1),"")</f>
        <v>45888</v>
      </c>
      <c r="L2279" s="17" t="str">
        <f aca="false" t="array" ref="L2279:L2279">IFERROR(INDEX(AC2279:AE2279,IF(COUNTA(AC2279:AE2279)=0,"",MAX((AC2279:AE2279&lt;&gt;"")*(COLUMN(AC2279:AE2279)-(COLUMN(AC2279)-2))))-1),"")</f>
        <v>ARCHIVED</v>
      </c>
      <c r="M2279" s="13" t="n">
        <f aca="true">K2279-TODAY()</f>
        <v>-436</v>
      </c>
      <c r="N2279" s="18" t="s">
        <v>36</v>
      </c>
      <c r="O2279" s="13" t="s">
        <v>4280</v>
      </c>
      <c r="P2279" s="27" t="n">
        <v>120000</v>
      </c>
      <c r="Q2279" s="20" t="s">
        <v>9755</v>
      </c>
      <c r="R2279" s="13" t="s">
        <v>148</v>
      </c>
      <c r="S2279" s="16" t="n">
        <v>30778</v>
      </c>
      <c r="T2279" s="28" t="s">
        <v>40</v>
      </c>
      <c r="U2279" s="13" t="s">
        <v>9756</v>
      </c>
      <c r="V2279" s="13" t="s">
        <v>42</v>
      </c>
      <c r="W2279" s="13" t="s">
        <v>54</v>
      </c>
      <c r="X2279" s="30" t="n">
        <v>81149027874</v>
      </c>
      <c r="Y2279" s="22" t="str">
        <f aca="false">O2279</f>
        <v>Helper Cutting</v>
      </c>
      <c r="Z2279" s="13" t="str">
        <f aca="false">IFERROR(__xludf.dummyfunction("if(BJ2279="""","""",GOOGLETRANSLATE(BJ2279,""auto"",""en""))"),"Helper Cutting")</f>
        <v>Helper Cutting</v>
      </c>
      <c r="AA2279" s="23" t="str">
        <f aca="false">IF(C2279="","", CHOOSE(MONTH(C2279),"January","February","March","April","May","June","July","August","September","October","November","December")&amp;" "&amp;DAY(C2279)&amp;MID("thstndrdth",MIN(9,2*RIGHT(DAY(C2279))*(MOD(DAY(C2279)-11,100)&gt;2)+1),2)&amp;","&amp;TEXT(C2279," yyyy"))</f>
        <v>May 20th,2025</v>
      </c>
      <c r="AB2279" s="15" t="str">
        <f aca="true">IF(S2279="","",DATEDIF(S2279,TODAY(),"Y")&amp;" Tahun, "&amp;DATEDIF(S2279,TODAY(),"YM")&amp;" Bulan, "&amp;DATEDIF(S2279,TODAY(),"MD")&amp;" Hari")</f>
        <v>42 Tahun, 6 Bulan, 23 Hari</v>
      </c>
      <c r="AC2279" s="18" t="n">
        <v>45797</v>
      </c>
      <c r="AD2279" s="18" t="n">
        <v>45888</v>
      </c>
      <c r="AE2279" s="18" t="s">
        <v>44</v>
      </c>
    </row>
    <row r="2280" customFormat="false" ht="15" hidden="false" customHeight="true" outlineLevel="0" collapsed="false">
      <c r="A2280" s="12" t="n">
        <v>19745</v>
      </c>
      <c r="B2280" s="13" t="s">
        <v>9757</v>
      </c>
      <c r="C2280" s="16" t="n">
        <v>45810</v>
      </c>
      <c r="D2280" s="13" t="s">
        <v>6487</v>
      </c>
      <c r="E2280" s="15" t="s">
        <v>102</v>
      </c>
      <c r="F2280" s="15" t="str">
        <f aca="false">IFERROR(__xludf.dummyfunction("XLOOKUP(AJ2280,IMPORTRANGE(""1XaInW9DU9nz21V0tYIfzFQ0He9kVQ_JF2mCXgZ3hqFA"",""REKAP ALL 2026 - Andika!G:G""),IMPORTRANGE(""1XaInW9DU9nz21V0tYIfzFQ0He9kVQ_JF2mCXgZ3hqFA"",""REKAP ALL 2026 - Andika!F:F""),"""",0)"),"25079806417")</f>
        <v>25079806417</v>
      </c>
      <c r="G2280" s="13" t="s">
        <v>9758</v>
      </c>
      <c r="H2280" s="13" t="s">
        <v>35</v>
      </c>
      <c r="I2280" s="13" t="str">
        <f aca="false">IF(C2280=J2280,"NEW KONTRAK","RE-KONTRAK")</f>
        <v>RE-KONTRAK</v>
      </c>
      <c r="J2280" s="16" t="n">
        <f aca="false" t="array" ref="J2280:J2280">IFERROR(INDEX(AC2280:AE2280,IF(COUNTA(AC2280:AE2280)=0,"",MAX((AC2280:AE2280&lt;&gt;"")*(COLUMN(AC2280:AE2280)-(COLUMN(AC2280)))))-1),"")</f>
        <v>45839</v>
      </c>
      <c r="K2280" s="16" t="n">
        <f aca="false" t="array" ref="K2280:K2280">IFERROR(INDEX(AC2280:AE2280,IF(COUNTA(AC2280:AE2280)=0,"",MAX((AC2280:AE2280&lt;&gt;"")*(COLUMN(AC2280:AE2280)-(COLUMN(AC2280)-1))))-1),"")</f>
        <v>46022</v>
      </c>
      <c r="L2280" s="17" t="str">
        <f aca="false" t="array" ref="L2280:L2280">IFERROR(INDEX(AC2280:AE2280,IF(COUNTA(AC2280:AE2280)=0,"",MAX((AC2280:AE2280&lt;&gt;"")*(COLUMN(AC2280:AE2280)-(COLUMN(AC2280)-2))))-1),"")</f>
        <v>ARCHIVED</v>
      </c>
      <c r="M2280" s="13" t="n">
        <f aca="true">K2280-TODAY()</f>
        <v>-302</v>
      </c>
      <c r="N2280" s="50" t="s">
        <v>4735</v>
      </c>
      <c r="O2280" s="13" t="s">
        <v>3271</v>
      </c>
      <c r="P2280" s="19" t="n">
        <v>3802862</v>
      </c>
      <c r="Q2280" s="20" t="s">
        <v>9759</v>
      </c>
      <c r="R2280" s="13" t="s">
        <v>83</v>
      </c>
      <c r="S2280" s="16" t="n">
        <v>36120</v>
      </c>
      <c r="T2280" s="28" t="s">
        <v>40</v>
      </c>
      <c r="U2280" s="13" t="s">
        <v>9760</v>
      </c>
      <c r="V2280" s="13" t="s">
        <v>42</v>
      </c>
      <c r="W2280" s="13" t="s">
        <v>43</v>
      </c>
      <c r="X2280" s="21" t="n">
        <v>85816692263</v>
      </c>
      <c r="Y2280" s="22" t="str">
        <f aca="false">O2280</f>
        <v>Helper</v>
      </c>
      <c r="Z2280" s="13" t="str">
        <f aca="false">IFERROR(__xludf.dummyfunction("if(BJ2280="""","""",GOOGLETRANSLATE(BJ2280,""auto"",""en""))"),"Helper")</f>
        <v>Helper</v>
      </c>
      <c r="AA2280" s="23" t="str">
        <f aca="false">IF(C2280="","", CHOOSE(MONTH(C2280),"January","February","March","April","May","June","July","August","September","October","November","December")&amp;" "&amp;DAY(C2280)&amp;MID("thstndrdth",MIN(9,2*RIGHT(DAY(C2280))*(MOD(DAY(C2280)-11,100)&gt;2)+1),2)&amp;","&amp;TEXT(C2280," yyyy"))</f>
        <v>June 2nd,2025</v>
      </c>
      <c r="AB2280" s="15" t="str">
        <f aca="true">IF(S2280="","",DATEDIF(S2280,TODAY(),"Y")&amp;" Tahun, "&amp;DATEDIF(S2280,TODAY(),"YM")&amp;" Bulan, "&amp;DATEDIF(S2280,TODAY(),"MD")&amp;" Hari")</f>
        <v>27 Tahun, 11 Bulan, 8 Hari</v>
      </c>
      <c r="AC2280" s="18" t="n">
        <v>45839</v>
      </c>
      <c r="AD2280" s="18" t="n">
        <v>46022</v>
      </c>
      <c r="AE2280" s="18" t="s">
        <v>44</v>
      </c>
    </row>
    <row r="2281" customFormat="false" ht="15" hidden="false" customHeight="true" outlineLevel="0" collapsed="false">
      <c r="A2281" s="12" t="n">
        <v>19746</v>
      </c>
      <c r="B2281" s="13" t="s">
        <v>7168</v>
      </c>
      <c r="C2281" s="16" t="n">
        <v>45810</v>
      </c>
      <c r="D2281" s="13" t="s">
        <v>6487</v>
      </c>
      <c r="E2281" s="15" t="s">
        <v>33</v>
      </c>
      <c r="F2281" s="24" t="s">
        <v>9761</v>
      </c>
      <c r="G2281" s="13" t="s">
        <v>9762</v>
      </c>
      <c r="H2281" s="13" t="s">
        <v>35</v>
      </c>
      <c r="I2281" s="13" t="str">
        <f aca="false">IF(C2281=J2281,"NEW KONTRAK","RE-KONTRAK")</f>
        <v>RE-KONTRAK</v>
      </c>
      <c r="J2281" s="16" t="n">
        <f aca="false" t="array" ref="J2281:J2281">IFERROR(INDEX(AC2281:AE2281,IF(COUNTA(AC2281:AE2281)=0,"",MAX((AC2281:AE2281&lt;&gt;"")*(COLUMN(AC2281:AE2281)-(COLUMN(AC2281)))))-1),"")</f>
        <v>45839</v>
      </c>
      <c r="K2281" s="16" t="n">
        <f aca="false" t="array" ref="K2281:K2281">IFERROR(INDEX(AC2281:AE2281,IF(COUNTA(AC2281:AE2281)=0,"",MAX((AC2281:AE2281&lt;&gt;"")*(COLUMN(AC2281:AE2281)-(COLUMN(AC2281)-1))))-1),"")</f>
        <v>46022</v>
      </c>
      <c r="L2281" s="17" t="str">
        <f aca="false" t="array" ref="L2281:L2281">IFERROR(INDEX(AC2281:AE2281,IF(COUNTA(AC2281:AE2281)=0,"",MAX((AC2281:AE2281&lt;&gt;"")*(COLUMN(AC2281:AE2281)-(COLUMN(AC2281)-2))))-1),"")</f>
        <v>ARCHIVED</v>
      </c>
      <c r="M2281" s="13" t="n">
        <f aca="true">K2281-TODAY()</f>
        <v>-302</v>
      </c>
      <c r="N2281" s="50" t="s">
        <v>4735</v>
      </c>
      <c r="O2281" s="13" t="s">
        <v>1287</v>
      </c>
      <c r="P2281" s="19" t="n">
        <v>3802862</v>
      </c>
      <c r="Q2281" s="20" t="s">
        <v>9763</v>
      </c>
      <c r="R2281" s="13" t="s">
        <v>6180</v>
      </c>
      <c r="S2281" s="16" t="n">
        <v>35772</v>
      </c>
      <c r="T2281" s="28" t="s">
        <v>40</v>
      </c>
      <c r="U2281" s="13" t="s">
        <v>9764</v>
      </c>
      <c r="V2281" s="13" t="s">
        <v>42</v>
      </c>
      <c r="W2281" s="13" t="s">
        <v>54</v>
      </c>
      <c r="X2281" s="21" t="n">
        <v>87752248357</v>
      </c>
      <c r="Y2281" s="22" t="str">
        <f aca="false">O2281</f>
        <v>Office Boy</v>
      </c>
      <c r="Z2281" s="13" t="str">
        <f aca="false">IFERROR(__xludf.dummyfunction("if(BJ2281="""","""",GOOGLETRANSLATE(BJ2281,""auto"",""en""))"),"Office Boy")</f>
        <v>Office Boy</v>
      </c>
      <c r="AA2281" s="23" t="str">
        <f aca="false">IF(C2281="","", CHOOSE(MONTH(C2281),"January","February","March","April","May","June","July","August","September","October","November","December")&amp;" "&amp;DAY(C2281)&amp;MID("thstndrdth",MIN(9,2*RIGHT(DAY(C2281))*(MOD(DAY(C2281)-11,100)&gt;2)+1),2)&amp;","&amp;TEXT(C2281," yyyy"))</f>
        <v>June 2nd,2025</v>
      </c>
      <c r="AB2281" s="15" t="str">
        <f aca="true">IF(S2281="","",DATEDIF(S2281,TODAY(),"Y")&amp;" Tahun, "&amp;DATEDIF(S2281,TODAY(),"YM")&amp;" Bulan, "&amp;DATEDIF(S2281,TODAY(),"MD")&amp;" Hari")</f>
        <v>28 Tahun, 10 Bulan, 21 Hari</v>
      </c>
      <c r="AC2281" s="18" t="n">
        <v>45839</v>
      </c>
      <c r="AD2281" s="18" t="n">
        <v>46022</v>
      </c>
      <c r="AE2281" s="18" t="s">
        <v>44</v>
      </c>
    </row>
    <row r="2282" customFormat="false" ht="15" hidden="false" customHeight="true" outlineLevel="0" collapsed="false">
      <c r="A2282" s="12" t="n">
        <v>19751</v>
      </c>
      <c r="B2282" s="13" t="s">
        <v>9765</v>
      </c>
      <c r="C2282" s="16" t="n">
        <v>45806</v>
      </c>
      <c r="D2282" s="13" t="s">
        <v>4610</v>
      </c>
      <c r="E2282" s="15" t="s">
        <v>47</v>
      </c>
      <c r="F2282" s="15" t="str">
        <f aca="false">IFERROR(__xludf.dummyfunction("XLOOKUP(AJ2282,IMPORTRANGE(""1XaInW9DU9nz21V0tYIfzFQ0He9kVQ_JF2mCXgZ3hqFA"",""REKAP ALL 2026 - Andika!G:G""),IMPORTRANGE(""1XaInW9DU9nz21V0tYIfzFQ0He9kVQ_JF2mCXgZ3hqFA"",""REKAP ALL 2026 - Andika!F:F""),"""",0)"),"25079805872")</f>
        <v>25079805872</v>
      </c>
      <c r="G2282" s="13" t="s">
        <v>57</v>
      </c>
      <c r="H2282" s="13" t="s">
        <v>35</v>
      </c>
      <c r="I2282" s="13" t="str">
        <f aca="false">IF(C2282=J2282,"NEW KONTRAK","RE-KONTRAK")</f>
        <v>RE-KONTRAK</v>
      </c>
      <c r="J2282" s="16" t="n">
        <f aca="false" t="array" ref="J2282:J2282">IFERROR(INDEX(AC2282:AE2282,IF(COUNTA(AC2282:AE2282)=0,"",MAX((AC2282:AE2282&lt;&gt;"")*(COLUMN(AC2282:AE2282)-(COLUMN(AC2282)))))-1),"")</f>
        <v>45898</v>
      </c>
      <c r="K2282" s="16" t="n">
        <f aca="false" t="array" ref="K2282:K2282">IFERROR(INDEX(AC2282:AE2282,IF(COUNTA(AC2282:AE2282)=0,"",MAX((AC2282:AE2282&lt;&gt;"")*(COLUMN(AC2282:AE2282)-(COLUMN(AC2282)-1))))-1),"")</f>
        <v>45989</v>
      </c>
      <c r="L2282" s="17" t="str">
        <f aca="false" t="array" ref="L2282:L2282">IFERROR(INDEX(AC2282:AE2282,IF(COUNTA(AC2282:AE2282)=0,"",MAX((AC2282:AE2282&lt;&gt;"")*(COLUMN(AC2282:AE2282)-(COLUMN(AC2282)-2))))-1),"")</f>
        <v>ARCHIVED</v>
      </c>
      <c r="M2282" s="13" t="n">
        <f aca="true">K2282-TODAY()</f>
        <v>-335</v>
      </c>
      <c r="N2282" s="18" t="s">
        <v>36</v>
      </c>
      <c r="O2282" s="13" t="s">
        <v>4255</v>
      </c>
      <c r="P2282" s="27" t="n">
        <v>200000</v>
      </c>
      <c r="Q2282" s="20" t="s">
        <v>9766</v>
      </c>
      <c r="R2282" s="13" t="s">
        <v>255</v>
      </c>
      <c r="S2282" s="16" t="n">
        <v>35355</v>
      </c>
      <c r="T2282" s="28" t="s">
        <v>40</v>
      </c>
      <c r="U2282" s="13" t="s">
        <v>9767</v>
      </c>
      <c r="V2282" s="13" t="s">
        <v>42</v>
      </c>
      <c r="W2282" s="13" t="s">
        <v>43</v>
      </c>
      <c r="X2282" s="21" t="n">
        <v>85812187119</v>
      </c>
      <c r="Y2282" s="22" t="str">
        <f aca="false">O2282</f>
        <v>Operator Cutting</v>
      </c>
      <c r="Z2282" s="13" t="str">
        <f aca="false">IFERROR(__xludf.dummyfunction("if(BJ2282="""","""",GOOGLETRANSLATE(BJ2282,""auto"",""en""))"),"Operator Cutting")</f>
        <v>Operator Cutting</v>
      </c>
      <c r="AA2282" s="23" t="str">
        <f aca="false">IF(C2282="","", CHOOSE(MONTH(C2282),"January","February","March","April","May","June","July","August","September","October","November","December")&amp;" "&amp;DAY(C2282)&amp;MID("thstndrdth",MIN(9,2*RIGHT(DAY(C2282))*(MOD(DAY(C2282)-11,100)&gt;2)+1),2)&amp;","&amp;TEXT(C2282," yyyy"))</f>
        <v>May 29th,2025</v>
      </c>
      <c r="AB2282" s="15" t="str">
        <f aca="true">IF(S2282="","",DATEDIF(S2282,TODAY(),"Y")&amp;" Tahun, "&amp;DATEDIF(S2282,TODAY(),"YM")&amp;" Bulan, "&amp;DATEDIF(S2282,TODAY(),"MD")&amp;" Hari")</f>
        <v>30 Tahun, 0 Bulan, 12 Hari</v>
      </c>
      <c r="AC2282" s="18" t="n">
        <v>45898</v>
      </c>
      <c r="AD2282" s="18" t="n">
        <v>45989</v>
      </c>
      <c r="AE2282" s="18" t="s">
        <v>44</v>
      </c>
    </row>
    <row r="2283" customFormat="false" ht="15" hidden="false" customHeight="true" outlineLevel="0" collapsed="false">
      <c r="A2283" s="12" t="n">
        <v>19752</v>
      </c>
      <c r="B2283" s="13" t="s">
        <v>9768</v>
      </c>
      <c r="C2283" s="16" t="n">
        <v>45810</v>
      </c>
      <c r="D2283" s="13" t="s">
        <v>4696</v>
      </c>
      <c r="E2283" s="15" t="s">
        <v>47</v>
      </c>
      <c r="F2283" s="15" t="str">
        <f aca="false">IFERROR(__xludf.dummyfunction("XLOOKUP(AJ2283,IMPORTRANGE(""1XaInW9DU9nz21V0tYIfzFQ0He9kVQ_JF2mCXgZ3hqFA"",""REKAP ALL 2026 - Andika!G:G""),IMPORTRANGE(""1XaInW9DU9nz21V0tYIfzFQ0He9kVQ_JF2mCXgZ3hqFA"",""REKAP ALL 2026 - Andika!F:F""),"""",0)"),"25071972910")</f>
        <v>25071972910</v>
      </c>
      <c r="G2283" s="13" t="s">
        <v>9769</v>
      </c>
      <c r="H2283" s="13" t="s">
        <v>35</v>
      </c>
      <c r="I2283" s="13" t="str">
        <f aca="false">IF(C2283=J2283,"NEW KONTRAK","RE-KONTRAK")</f>
        <v>NEW KONTRAK</v>
      </c>
      <c r="J2283" s="16" t="n">
        <f aca="false" t="array" ref="J2283:J2283">IFERROR(INDEX(AC2283:AE2283,IF(COUNTA(AC2283:AE2283)=0,"",MAX((AC2283:AE2283&lt;&gt;"")*(COLUMN(AC2283:AE2283)-(COLUMN(AC2283)))))-1),"")</f>
        <v>45810</v>
      </c>
      <c r="K2283" s="16" t="n">
        <f aca="false" t="array" ref="K2283:K2283">IFERROR(INDEX(AC2283:AE2283,IF(COUNTA(AC2283:AE2283)=0,"",MAX((AC2283:AE2283&lt;&gt;"")*(COLUMN(AC2283:AE2283)-(COLUMN(AC2283)-1))))-1),"")</f>
        <v>45992</v>
      </c>
      <c r="L2283" s="17" t="str">
        <f aca="false" t="array" ref="L2283:L2283">IFERROR(INDEX(AC2283:AE2283,IF(COUNTA(AC2283:AE2283)=0,"",MAX((AC2283:AE2283&lt;&gt;"")*(COLUMN(AC2283:AE2283)-(COLUMN(AC2283)-2))))-1),"")</f>
        <v>ARCHIVED</v>
      </c>
      <c r="M2283" s="13" t="n">
        <f aca="true">K2283-TODAY()</f>
        <v>-332</v>
      </c>
      <c r="N2283" s="18" t="s">
        <v>36</v>
      </c>
      <c r="O2283" s="13" t="s">
        <v>3097</v>
      </c>
      <c r="P2283" s="19" t="n">
        <v>5195401</v>
      </c>
      <c r="Q2283" s="20" t="s">
        <v>9770</v>
      </c>
      <c r="R2283" s="13" t="s">
        <v>39</v>
      </c>
      <c r="S2283" s="16" t="n">
        <v>36880</v>
      </c>
      <c r="T2283" s="28" t="s">
        <v>40</v>
      </c>
      <c r="U2283" s="13" t="s">
        <v>9771</v>
      </c>
      <c r="V2283" s="13" t="s">
        <v>42</v>
      </c>
      <c r="W2283" s="13" t="s">
        <v>43</v>
      </c>
      <c r="X2283" s="21" t="n">
        <v>895366999799</v>
      </c>
      <c r="Y2283" s="22" t="str">
        <f aca="false">O2283</f>
        <v>Engineering</v>
      </c>
      <c r="Z2283" s="13" t="str">
        <f aca="false">IFERROR(__xludf.dummyfunction("if(BJ2283="""","""",GOOGLETRANSLATE(BJ2283,""auto"",""en""))"),"Engineering")</f>
        <v>Engineering</v>
      </c>
      <c r="AA2283" s="23" t="str">
        <f aca="false">IF(C2283="","", CHOOSE(MONTH(C2283),"January","February","March","April","May","June","July","August","September","October","November","December")&amp;" "&amp;DAY(C2283)&amp;MID("thstndrdth",MIN(9,2*RIGHT(DAY(C2283))*(MOD(DAY(C2283)-11,100)&gt;2)+1),2)&amp;","&amp;TEXT(C2283," yyyy"))</f>
        <v>June 2nd,2025</v>
      </c>
      <c r="AB2283" s="15" t="str">
        <f aca="true">IF(S2283="","",DATEDIF(S2283,TODAY(),"Y")&amp;" Tahun, "&amp;DATEDIF(S2283,TODAY(),"YM")&amp;" Bulan, "&amp;DATEDIF(S2283,TODAY(),"MD")&amp;" Hari")</f>
        <v>25 Tahun, 10 Bulan, 9 Hari</v>
      </c>
      <c r="AC2283" s="18" t="n">
        <v>45810</v>
      </c>
      <c r="AD2283" s="18" t="n">
        <v>45992</v>
      </c>
      <c r="AE2283" s="18" t="s">
        <v>44</v>
      </c>
    </row>
    <row r="2284" customFormat="false" ht="15" hidden="false" customHeight="true" outlineLevel="0" collapsed="false">
      <c r="A2284" s="12" t="n">
        <v>19755</v>
      </c>
      <c r="B2284" s="13" t="s">
        <v>9772</v>
      </c>
      <c r="C2284" s="16" t="n">
        <v>45810</v>
      </c>
      <c r="D2284" s="13" t="s">
        <v>393</v>
      </c>
      <c r="E2284" s="15" t="s">
        <v>47</v>
      </c>
      <c r="F2284" s="15" t="str">
        <f aca="false">IFERROR(__xludf.dummyfunction("XLOOKUP(AJ2284,IMPORTRANGE(""1XaInW9DU9nz21V0tYIfzFQ0He9kVQ_JF2mCXgZ3hqFA"",""REKAP ALL 2026 - Andika!G:G""),IMPORTRANGE(""1XaInW9DU9nz21V0tYIfzFQ0He9kVQ_JF2mCXgZ3hqFA"",""REKAP ALL 2026 - Andika!F:F""),"""",0)"),"25079806037")</f>
        <v>25079806037</v>
      </c>
      <c r="G2284" s="13" t="s">
        <v>9773</v>
      </c>
      <c r="H2284" s="13" t="s">
        <v>35</v>
      </c>
      <c r="I2284" s="13" t="str">
        <f aca="false">IF(C2284=J2284,"NEW KONTRAK","RE-KONTRAK")</f>
        <v>NEW KONTRAK</v>
      </c>
      <c r="J2284" s="16" t="n">
        <f aca="false" t="array" ref="J2284:J2284">IFERROR(INDEX(AC2284:AE2284,IF(COUNTA(AC2284:AE2284)=0,"",MAX((AC2284:AE2284&lt;&gt;"")*(COLUMN(AC2284:AE2284)-(COLUMN(AC2284)))))-1),"")</f>
        <v>45810</v>
      </c>
      <c r="K2284" s="16" t="n">
        <f aca="false" t="array" ref="K2284:K2284">IFERROR(INDEX(AC2284:AE2284,IF(COUNTA(AC2284:AE2284)=0,"",MAX((AC2284:AE2284&lt;&gt;"")*(COLUMN(AC2284:AE2284)-(COLUMN(AC2284)-1))))-1),"")</f>
        <v>46181</v>
      </c>
      <c r="L2284" s="17" t="str">
        <f aca="false" t="array" ref="L2284:L2284">IFERROR(INDEX(AC2284:AE2284,IF(COUNTA(AC2284:AE2284)=0,"",MAX((AC2284:AE2284&lt;&gt;"")*(COLUMN(AC2284:AE2284)-(COLUMN(AC2284)-2))))-1),"")</f>
        <v>KEMBALI</v>
      </c>
      <c r="M2284" s="13" t="n">
        <f aca="true">K2284-TODAY()</f>
        <v>-143</v>
      </c>
      <c r="N2284" s="18" t="s">
        <v>105</v>
      </c>
      <c r="O2284" s="13" t="s">
        <v>58</v>
      </c>
      <c r="P2284" s="19" t="n">
        <v>5191541</v>
      </c>
      <c r="Q2284" s="20" t="s">
        <v>9774</v>
      </c>
      <c r="R2284" s="13" t="s">
        <v>39</v>
      </c>
      <c r="S2284" s="16" t="n">
        <v>32816</v>
      </c>
      <c r="T2284" s="28" t="s">
        <v>40</v>
      </c>
      <c r="U2284" s="13" t="s">
        <v>9775</v>
      </c>
      <c r="V2284" s="13" t="s">
        <v>42</v>
      </c>
      <c r="W2284" s="13" t="s">
        <v>54</v>
      </c>
      <c r="X2284" s="21" t="n">
        <v>85646453100</v>
      </c>
      <c r="Y2284" s="22" t="str">
        <f aca="false">O2284</f>
        <v>Produksi</v>
      </c>
      <c r="Z2284" s="13" t="str">
        <f aca="false">IFERROR(__xludf.dummyfunction("if(BJ2284="""","""",GOOGLETRANSLATE(BJ2284,""auto"",""en""))"),"Production")</f>
        <v>Production</v>
      </c>
      <c r="AA2284" s="23" t="str">
        <f aca="false">IF(C2284="","", CHOOSE(MONTH(C2284),"January","February","March","April","May","June","July","August","September","October","November","December")&amp;" "&amp;DAY(C2284)&amp;MID("thstndrdth",MIN(9,2*RIGHT(DAY(C2284))*(MOD(DAY(C2284)-11,100)&gt;2)+1),2)&amp;","&amp;TEXT(C2284," yyyy"))</f>
        <v>June 2nd,2025</v>
      </c>
      <c r="AB2284" s="15" t="str">
        <f aca="true">IF(S2284="","",DATEDIF(S2284,TODAY(),"Y")&amp;" Tahun, "&amp;DATEDIF(S2284,TODAY(),"YM")&amp;" Bulan, "&amp;DATEDIF(S2284,TODAY(),"MD")&amp;" Hari")</f>
        <v>36 Tahun, 11 Bulan, 25 Hari</v>
      </c>
      <c r="AC2284" s="18" t="n">
        <v>45810</v>
      </c>
      <c r="AD2284" s="18" t="n">
        <v>46181</v>
      </c>
      <c r="AE2284" s="13" t="s">
        <v>397</v>
      </c>
    </row>
    <row r="2285" customFormat="false" ht="15" hidden="false" customHeight="true" outlineLevel="0" collapsed="false">
      <c r="A2285" s="12" t="n">
        <v>19756</v>
      </c>
      <c r="B2285" s="13" t="s">
        <v>9776</v>
      </c>
      <c r="C2285" s="16" t="n">
        <v>45810</v>
      </c>
      <c r="D2285" s="13" t="s">
        <v>144</v>
      </c>
      <c r="E2285" s="15" t="s">
        <v>47</v>
      </c>
      <c r="F2285" s="15" t="str">
        <f aca="false">IFERROR(__xludf.dummyfunction("XLOOKUP(AJ2285,IMPORTRANGE(""1XaInW9DU9nz21V0tYIfzFQ0He9kVQ_JF2mCXgZ3hqFA"",""REKAP ALL 2026 - Andika!G:G""),IMPORTRANGE(""1XaInW9DU9nz21V0tYIfzFQ0He9kVQ_JF2mCXgZ3hqFA"",""REKAP ALL 2026 - Andika!F:F""),"""",0)"),"25079805674")</f>
        <v>25079805674</v>
      </c>
      <c r="G2285" s="13" t="s">
        <v>9777</v>
      </c>
      <c r="H2285" s="13" t="s">
        <v>35</v>
      </c>
      <c r="I2285" s="13" t="str">
        <f aca="false">IF(C2285=J2285,"NEW KONTRAK","RE-KONTRAK")</f>
        <v>NEW KONTRAK</v>
      </c>
      <c r="J2285" s="16" t="n">
        <f aca="false" t="array" ref="J2285:J2285">IFERROR(INDEX(AC2285:AE2285,IF(COUNTA(AC2285:AE2285)=0,"",MAX((AC2285:AE2285&lt;&gt;"")*(COLUMN(AC2285:AE2285)-(COLUMN(AC2285)))))-1),"")</f>
        <v>45810</v>
      </c>
      <c r="K2285" s="16" t="n">
        <f aca="false" t="array" ref="K2285:K2285">IFERROR(INDEX(AC2285:AE2285,IF(COUNTA(AC2285:AE2285)=0,"",MAX((AC2285:AE2285&lt;&gt;"")*(COLUMN(AC2285:AE2285)-(COLUMN(AC2285)-1))))-1),"")</f>
        <v>46022</v>
      </c>
      <c r="L2285" s="17" t="str">
        <f aca="false" t="array" ref="L2285:L2285">IFERROR(INDEX(AC2285:AE2285,IF(COUNTA(AC2285:AE2285)=0,"",MAX((AC2285:AE2285&lt;&gt;"")*(COLUMN(AC2285:AE2285)-(COLUMN(AC2285)-2))))-1),"")</f>
        <v>ARCHIVED</v>
      </c>
      <c r="M2285" s="13" t="n">
        <f aca="true">K2285-TODAY()</f>
        <v>-302</v>
      </c>
      <c r="N2285" s="18" t="s">
        <v>36</v>
      </c>
      <c r="O2285" s="13" t="s">
        <v>156</v>
      </c>
      <c r="P2285" s="19" t="n">
        <v>5195401</v>
      </c>
      <c r="Q2285" s="20" t="s">
        <v>9778</v>
      </c>
      <c r="R2285" s="13" t="s">
        <v>260</v>
      </c>
      <c r="S2285" s="16" t="n">
        <v>36561</v>
      </c>
      <c r="T2285" s="28" t="s">
        <v>40</v>
      </c>
      <c r="U2285" s="13" t="s">
        <v>9779</v>
      </c>
      <c r="V2285" s="13" t="s">
        <v>42</v>
      </c>
      <c r="W2285" s="13" t="s">
        <v>43</v>
      </c>
      <c r="X2285" s="21" t="n">
        <v>8553213982</v>
      </c>
      <c r="Y2285" s="22" t="str">
        <f aca="false">O2285</f>
        <v>Emulsion</v>
      </c>
      <c r="Z2285" s="13" t="str">
        <f aca="false">IFERROR(__xludf.dummyfunction("if(BJ2285="""","""",GOOGLETRANSLATE(BJ2285,""auto"",""en""))"),"Emulsion")</f>
        <v>Emulsion</v>
      </c>
      <c r="AA2285" s="23" t="str">
        <f aca="false">IF(C2285="","", CHOOSE(MONTH(C2285),"January","February","March","April","May","June","July","August","September","October","November","December")&amp;" "&amp;DAY(C2285)&amp;MID("thstndrdth",MIN(9,2*RIGHT(DAY(C2285))*(MOD(DAY(C2285)-11,100)&gt;2)+1),2)&amp;","&amp;TEXT(C2285," yyyy"))</f>
        <v>June 2nd,2025</v>
      </c>
      <c r="AB2285" s="15" t="str">
        <f aca="true">IF(S2285="","",DATEDIF(S2285,TODAY(),"Y")&amp;" Tahun, "&amp;DATEDIF(S2285,TODAY(),"YM")&amp;" Bulan, "&amp;DATEDIF(S2285,TODAY(),"MD")&amp;" Hari")</f>
        <v>26 Tahun, 8 Bulan, 24 Hari</v>
      </c>
      <c r="AC2285" s="18" t="n">
        <v>45810</v>
      </c>
      <c r="AD2285" s="18" t="n">
        <v>46022</v>
      </c>
      <c r="AE2285" s="18" t="s">
        <v>44</v>
      </c>
    </row>
    <row r="2286" customFormat="false" ht="15" hidden="false" customHeight="true" outlineLevel="0" collapsed="false">
      <c r="A2286" s="12" t="n">
        <v>19758</v>
      </c>
      <c r="B2286" s="13" t="s">
        <v>9780</v>
      </c>
      <c r="C2286" s="16" t="n">
        <v>45803</v>
      </c>
      <c r="D2286" s="13" t="s">
        <v>6956</v>
      </c>
      <c r="E2286" s="15" t="s">
        <v>47</v>
      </c>
      <c r="F2286" s="15" t="str">
        <f aca="false">IFERROR(__xludf.dummyfunction("XLOOKUP(AJ2286,IMPORTRANGE(""1XaInW9DU9nz21V0tYIfzFQ0He9kVQ_JF2mCXgZ3hqFA"",""REKAP ALL 2026 - Andika!G:G""),IMPORTRANGE(""1XaInW9DU9nz21V0tYIfzFQ0He9kVQ_JF2mCXgZ3hqFA"",""REKAP ALL 2026 - Andika!F:F""),"""",0)"),"23149543243")</f>
        <v>23149543243</v>
      </c>
      <c r="G2286" s="13" t="s">
        <v>9781</v>
      </c>
      <c r="H2286" s="13" t="s">
        <v>35</v>
      </c>
      <c r="I2286" s="13" t="str">
        <f aca="false">IF(C2286=J2286,"NEW KONTRAK","RE-KONTRAK")</f>
        <v>NEW KONTRAK</v>
      </c>
      <c r="J2286" s="16" t="n">
        <f aca="false" t="array" ref="J2286:J2286">IFERROR(INDEX(AC2286:AE2286,IF(COUNTA(AC2286:AE2286)=0,"",MAX((AC2286:AE2286&lt;&gt;"")*(COLUMN(AC2286:AE2286)-(COLUMN(AC2286)))))-1),"")</f>
        <v>45803</v>
      </c>
      <c r="K2286" s="16" t="n">
        <f aca="false" t="array" ref="K2286:K2286">IFERROR(INDEX(AC2286:AE2286,IF(COUNTA(AC2286:AE2286)=0,"",MAX((AC2286:AE2286&lt;&gt;"")*(COLUMN(AC2286:AE2286)-(COLUMN(AC2286)-1))))-1),"")</f>
        <v>46016</v>
      </c>
      <c r="L2286" s="17" t="str">
        <f aca="false" t="array" ref="L2286:L2286">IFERROR(INDEX(AC2286:AE2286,IF(COUNTA(AC2286:AE2286)=0,"",MAX((AC2286:AE2286&lt;&gt;"")*(COLUMN(AC2286:AE2286)-(COLUMN(AC2286)-2))))-1),"")</f>
        <v>ARCHIVED</v>
      </c>
      <c r="M2286" s="13" t="n">
        <f aca="true">K2286-TODAY()</f>
        <v>-308</v>
      </c>
      <c r="N2286" s="18" t="s">
        <v>728</v>
      </c>
      <c r="O2286" s="13" t="s">
        <v>7007</v>
      </c>
      <c r="P2286" s="19" t="n">
        <v>200000</v>
      </c>
      <c r="Q2286" s="20" t="s">
        <v>9782</v>
      </c>
      <c r="R2286" s="13" t="s">
        <v>1695</v>
      </c>
      <c r="S2286" s="16" t="n">
        <v>35150</v>
      </c>
      <c r="T2286" s="13" t="s">
        <v>40</v>
      </c>
      <c r="U2286" s="13" t="s">
        <v>9783</v>
      </c>
      <c r="V2286" s="13" t="s">
        <v>42</v>
      </c>
      <c r="W2286" s="13" t="s">
        <v>54</v>
      </c>
      <c r="X2286" s="21" t="n">
        <v>81216191107</v>
      </c>
      <c r="Y2286" s="22" t="str">
        <f aca="false">O2286</f>
        <v>Finish Good &amp; Logistic</v>
      </c>
      <c r="Z2286" s="13" t="str">
        <f aca="false">IFERROR(__xludf.dummyfunction("if(BJ2286="""","""",GOOGLETRANSLATE(BJ2286,""auto"",""en""))"),"Finish Good &amp; Logistic")</f>
        <v>Finish Good &amp; Logistic</v>
      </c>
      <c r="AA2286" s="23" t="str">
        <f aca="false">IF(C2286="","", CHOOSE(MONTH(C2286),"January","February","March","April","May","June","July","August","September","October","November","December")&amp;" "&amp;DAY(C2286)&amp;MID("thstndrdth",MIN(9,2*RIGHT(DAY(C2286))*(MOD(DAY(C2286)-11,100)&gt;2)+1),2)&amp;","&amp;TEXT(C2286," yyyy"))</f>
        <v>May 26th,2025</v>
      </c>
      <c r="AB2286" s="15" t="str">
        <f aca="true">IF(S2286="","",DATEDIF(S2286,TODAY(),"Y")&amp;" Tahun, "&amp;DATEDIF(S2286,TODAY(),"YM")&amp;" Bulan, "&amp;DATEDIF(S2286,TODAY(),"MD")&amp;" Hari")</f>
        <v>30 Tahun, 7 Bulan, 3 Hari</v>
      </c>
      <c r="AC2286" s="18" t="n">
        <v>45803</v>
      </c>
      <c r="AD2286" s="18" t="n">
        <v>46016</v>
      </c>
      <c r="AE2286" s="18" t="s">
        <v>44</v>
      </c>
    </row>
    <row r="2287" customFormat="false" ht="15" hidden="false" customHeight="true" outlineLevel="0" collapsed="false">
      <c r="A2287" s="12" t="n">
        <v>19757</v>
      </c>
      <c r="B2287" s="13" t="s">
        <v>9784</v>
      </c>
      <c r="C2287" s="16" t="n">
        <v>45810</v>
      </c>
      <c r="D2287" s="13" t="s">
        <v>144</v>
      </c>
      <c r="E2287" s="15" t="s">
        <v>33</v>
      </c>
      <c r="F2287" s="15" t="str">
        <f aca="false">IFERROR(__xludf.dummyfunction("XLOOKUP(AJ2287,IMPORTRANGE(""1XaInW9DU9nz21V0tYIfzFQ0He9kVQ_JF2mCXgZ3hqFA"",""REKAP ALL 2026 - Andika!G:G""),IMPORTRANGE(""1XaInW9DU9nz21V0tYIfzFQ0He9kVQ_JF2mCXgZ3hqFA"",""REKAP ALL 2026 - Andika!F:F""),"""",0)"),"25079805682")</f>
        <v>25079805682</v>
      </c>
      <c r="G2287" s="13" t="s">
        <v>9785</v>
      </c>
      <c r="H2287" s="13" t="s">
        <v>35</v>
      </c>
      <c r="I2287" s="13" t="str">
        <f aca="false">IF(C2287=J2287,"NEW KONTRAK","RE-KONTRAK")</f>
        <v>NEW KONTRAK</v>
      </c>
      <c r="J2287" s="16" t="n">
        <f aca="false" t="array" ref="J2287:J2287">IFERROR(INDEX(AC2287:AE2287,IF(COUNTA(AC2287:AE2287)=0,"",MAX((AC2287:AE2287&lt;&gt;"")*(COLUMN(AC2287:AE2287)-(COLUMN(AC2287)))))-1),"")</f>
        <v>45810</v>
      </c>
      <c r="K2287" s="16" t="n">
        <f aca="false" t="array" ref="K2287:K2287">IFERROR(INDEX(AC2287:AE2287,IF(COUNTA(AC2287:AE2287)=0,"",MAX((AC2287:AE2287&lt;&gt;"")*(COLUMN(AC2287:AE2287)-(COLUMN(AC2287)-1))))-1),"")</f>
        <v>46022</v>
      </c>
      <c r="L2287" s="17" t="str">
        <f aca="false" t="array" ref="L2287:L2287">IFERROR(INDEX(AC2287:AE2287,IF(COUNTA(AC2287:AE2287)=0,"",MAX((AC2287:AE2287&lt;&gt;"")*(COLUMN(AC2287:AE2287)-(COLUMN(AC2287)-2))))-1),"")</f>
        <v>ARCHIVED</v>
      </c>
      <c r="M2287" s="13" t="n">
        <f aca="true">K2287-TODAY()</f>
        <v>-302</v>
      </c>
      <c r="N2287" s="18" t="s">
        <v>36</v>
      </c>
      <c r="O2287" s="13" t="s">
        <v>6285</v>
      </c>
      <c r="P2287" s="19" t="n">
        <v>5195401</v>
      </c>
      <c r="Q2287" s="20" t="s">
        <v>9786</v>
      </c>
      <c r="R2287" s="13" t="s">
        <v>39</v>
      </c>
      <c r="S2287" s="16" t="n">
        <v>36200</v>
      </c>
      <c r="T2287" s="28" t="s">
        <v>40</v>
      </c>
      <c r="U2287" s="13" t="s">
        <v>9787</v>
      </c>
      <c r="V2287" s="13" t="s">
        <v>42</v>
      </c>
      <c r="W2287" s="13" t="s">
        <v>43</v>
      </c>
      <c r="X2287" s="21" t="n">
        <v>81336641048</v>
      </c>
      <c r="Y2287" s="22" t="str">
        <f aca="false">O2287</f>
        <v>Operator Reach Truck</v>
      </c>
      <c r="Z2287" s="13" t="str">
        <f aca="false">IFERROR(__xludf.dummyfunction("if(BJ2287="""","""",GOOGLETRANSLATE(BJ2287,""auto"",""en""))"),"Operator Reach Truck")</f>
        <v>Operator Reach Truck</v>
      </c>
      <c r="AA2287" s="23" t="str">
        <f aca="false">IF(C2287="","", CHOOSE(MONTH(C2287),"January","February","March","April","May","June","July","August","September","October","November","December")&amp;" "&amp;DAY(C2287)&amp;MID("thstndrdth",MIN(9,2*RIGHT(DAY(C2287))*(MOD(DAY(C2287)-11,100)&gt;2)+1),2)&amp;","&amp;TEXT(C2287," yyyy"))</f>
        <v>June 2nd,2025</v>
      </c>
      <c r="AB2287" s="15" t="str">
        <f aca="true">IF(S2287="","",DATEDIF(S2287,TODAY(),"Y")&amp;" Tahun, "&amp;DATEDIF(S2287,TODAY(),"YM")&amp;" Bulan, "&amp;DATEDIF(S2287,TODAY(),"MD")&amp;" Hari")</f>
        <v>27 Tahun, 8 Bulan, 20 Hari</v>
      </c>
      <c r="AC2287" s="18" t="n">
        <v>45810</v>
      </c>
      <c r="AD2287" s="18" t="n">
        <v>46022</v>
      </c>
      <c r="AE2287" s="18" t="s">
        <v>44</v>
      </c>
    </row>
    <row r="2288" customFormat="false" ht="15" hidden="false" customHeight="true" outlineLevel="0" collapsed="false">
      <c r="A2288" s="12" t="n">
        <v>19773</v>
      </c>
      <c r="B2288" s="13" t="s">
        <v>9788</v>
      </c>
      <c r="C2288" s="16" t="n">
        <v>45817</v>
      </c>
      <c r="D2288" s="13" t="s">
        <v>9789</v>
      </c>
      <c r="E2288" s="15" t="s">
        <v>47</v>
      </c>
      <c r="F2288" s="15" t="str">
        <f aca="false">IFERROR(__xludf.dummyfunction("XLOOKUP(AJ2288,IMPORTRANGE(""1XaInW9DU9nz21V0tYIfzFQ0He9kVQ_JF2mCXgZ3hqFA"",""REKAP ALL 2026 - Andika!G:G""),IMPORTRANGE(""1XaInW9DU9nz21V0tYIfzFQ0He9kVQ_JF2mCXgZ3hqFA"",""REKAP ALL 2026 - Andika!F:F""),"""",0)"),"25079805179")</f>
        <v>25079805179</v>
      </c>
      <c r="G2288" s="13" t="s">
        <v>9790</v>
      </c>
      <c r="H2288" s="13" t="s">
        <v>35</v>
      </c>
      <c r="I2288" s="13" t="str">
        <f aca="false">IF(C2288=J2288,"NEW KONTRAK","RE-KONTRAK")</f>
        <v>NEW KONTRAK</v>
      </c>
      <c r="J2288" s="16" t="n">
        <f aca="false" t="array" ref="J2288:J2288">IFERROR(INDEX(AC2288:AE2288,IF(COUNTA(AC2288:AE2288)=0,"",MAX((AC2288:AE2288&lt;&gt;"")*(COLUMN(AC2288:AE2288)-(COLUMN(AC2288)))))-1),"")</f>
        <v>45817</v>
      </c>
      <c r="K2288" s="16" t="n">
        <f aca="false" t="array" ref="K2288:K2288">IFERROR(INDEX(AC2288:AE2288,IF(COUNTA(AC2288:AE2288)=0,"",MAX((AC2288:AE2288&lt;&gt;"")*(COLUMN(AC2288:AE2288)-(COLUMN(AC2288)-1))))-1),"")</f>
        <v>46022</v>
      </c>
      <c r="L2288" s="17" t="str">
        <f aca="false" t="array" ref="L2288:L2288">IFERROR(INDEX(AC2288:AE2288,IF(COUNTA(AC2288:AE2288)=0,"",MAX((AC2288:AE2288&lt;&gt;"")*(COLUMN(AC2288:AE2288)-(COLUMN(AC2288)-2))))-1),"")</f>
        <v>ARCHIVED</v>
      </c>
      <c r="M2288" s="13" t="n">
        <f aca="true">K2288-TODAY()</f>
        <v>-302</v>
      </c>
      <c r="N2288" s="18" t="s">
        <v>383</v>
      </c>
      <c r="O2288" s="13" t="s">
        <v>3577</v>
      </c>
      <c r="P2288" s="19" t="n">
        <v>3012164</v>
      </c>
      <c r="Q2288" s="20" t="s">
        <v>9791</v>
      </c>
      <c r="R2288" s="13" t="s">
        <v>78</v>
      </c>
      <c r="S2288" s="16" t="n">
        <v>35020</v>
      </c>
      <c r="T2288" s="28" t="s">
        <v>40</v>
      </c>
      <c r="U2288" s="13" t="s">
        <v>9792</v>
      </c>
      <c r="V2288" s="13" t="s">
        <v>42</v>
      </c>
      <c r="W2288" s="13" t="s">
        <v>54</v>
      </c>
      <c r="X2288" s="21" t="n">
        <v>85731753251</v>
      </c>
      <c r="Y2288" s="22" t="str">
        <f aca="false">O2288</f>
        <v>Kerani Gudang</v>
      </c>
      <c r="Z2288" s="13" t="str">
        <f aca="false">IFERROR(__xludf.dummyfunction("if(BJ2288="""","""",GOOGLETRANSLATE(BJ2288,""auto"",""en""))"),"Warehouse Clerk")</f>
        <v>Warehouse Clerk</v>
      </c>
      <c r="AA2288" s="23" t="str">
        <f aca="false">IF(C2288="","", CHOOSE(MONTH(C2288),"January","February","March","April","May","June","July","August","September","October","November","December")&amp;" "&amp;DAY(C2288)&amp;MID("thstndrdth",MIN(9,2*RIGHT(DAY(C2288))*(MOD(DAY(C2288)-11,100)&gt;2)+1),2)&amp;","&amp;TEXT(C2288," yyyy"))</f>
        <v>June 9th,2025</v>
      </c>
      <c r="AB2288" s="15" t="str">
        <f aca="true">IF(S2288="","",DATEDIF(S2288,TODAY(),"Y")&amp;" Tahun, "&amp;DATEDIF(S2288,TODAY(),"YM")&amp;" Bulan, "&amp;DATEDIF(S2288,TODAY(),"MD")&amp;" Hari")</f>
        <v>30 Tahun, 11 Bulan, 12 Hari</v>
      </c>
      <c r="AC2288" s="18" t="n">
        <v>45817</v>
      </c>
      <c r="AD2288" s="18" t="n">
        <v>46022</v>
      </c>
      <c r="AE2288" s="18" t="s">
        <v>44</v>
      </c>
    </row>
    <row r="2289" customFormat="false" ht="15" hidden="false" customHeight="true" outlineLevel="0" collapsed="false">
      <c r="A2289" s="12" t="n">
        <v>19760</v>
      </c>
      <c r="B2289" s="13" t="s">
        <v>9793</v>
      </c>
      <c r="C2289" s="16" t="n">
        <v>45810</v>
      </c>
      <c r="D2289" s="13" t="s">
        <v>8980</v>
      </c>
      <c r="E2289" s="15" t="s">
        <v>33</v>
      </c>
      <c r="F2289" s="24" t="s">
        <v>9794</v>
      </c>
      <c r="G2289" s="13" t="s">
        <v>9795</v>
      </c>
      <c r="H2289" s="13" t="s">
        <v>35</v>
      </c>
      <c r="I2289" s="13" t="str">
        <f aca="false">IF(C2289=J2289,"NEW KONTRAK","RE-KONTRAK")</f>
        <v>NEW KONTRAK</v>
      </c>
      <c r="J2289" s="16" t="n">
        <f aca="false" t="array" ref="J2289:J2289">IFERROR(INDEX(AC2289:AE2289,IF(COUNTA(AC2289:AE2289)=0,"",MAX((AC2289:AE2289&lt;&gt;"")*(COLUMN(AC2289:AE2289)-(COLUMN(AC2289)))))-1),"")</f>
        <v>45810</v>
      </c>
      <c r="K2289" s="16" t="n">
        <f aca="false" t="array" ref="K2289:K2289">IFERROR(INDEX(AC2289:AE2289,IF(COUNTA(AC2289:AE2289)=0,"",MAX((AC2289:AE2289&lt;&gt;"")*(COLUMN(AC2289:AE2289)-(COLUMN(AC2289)-1))))-1),"")</f>
        <v>45992</v>
      </c>
      <c r="L2289" s="17" t="str">
        <f aca="false" t="array" ref="L2289:L2289">IFERROR(INDEX(AC2289:AE2289,IF(COUNTA(AC2289:AE2289)=0,"",MAX((AC2289:AE2289&lt;&gt;"")*(COLUMN(AC2289:AE2289)-(COLUMN(AC2289)-2))))-1),"")</f>
        <v>ARCHIVED</v>
      </c>
      <c r="M2289" s="13" t="n">
        <f aca="true">K2289-TODAY()</f>
        <v>-332</v>
      </c>
      <c r="N2289" s="18" t="s">
        <v>8982</v>
      </c>
      <c r="O2289" s="13" t="s">
        <v>9796</v>
      </c>
      <c r="P2289" s="19" t="n">
        <v>5000000</v>
      </c>
      <c r="Q2289" s="20" t="s">
        <v>9797</v>
      </c>
      <c r="R2289" s="13" t="s">
        <v>826</v>
      </c>
      <c r="S2289" s="16" t="n">
        <v>33724</v>
      </c>
      <c r="T2289" s="28" t="s">
        <v>40</v>
      </c>
      <c r="U2289" s="13" t="s">
        <v>9798</v>
      </c>
      <c r="V2289" s="13" t="s">
        <v>42</v>
      </c>
      <c r="W2289" s="13" t="s">
        <v>43</v>
      </c>
      <c r="X2289" s="21" t="n">
        <v>85739458599</v>
      </c>
      <c r="Y2289" s="22" t="str">
        <f aca="false">O2289</f>
        <v>Kepala SPBU</v>
      </c>
      <c r="Z2289" s="13" t="str">
        <f aca="false">IFERROR(__xludf.dummyfunction("if(BJ2289="""","""",GOOGLETRANSLATE(BJ2289,""auto"",""en""))"),"Head of gas station")</f>
        <v>Head of gas station</v>
      </c>
      <c r="AA2289" s="23" t="str">
        <f aca="false">IF(C2289="","", CHOOSE(MONTH(C2289),"January","February","March","April","May","June","July","August","September","October","November","December")&amp;" "&amp;DAY(C2289)&amp;MID("thstndrdth",MIN(9,2*RIGHT(DAY(C2289))*(MOD(DAY(C2289)-11,100)&gt;2)+1),2)&amp;","&amp;TEXT(C2289," yyyy"))</f>
        <v>June 2nd,2025</v>
      </c>
      <c r="AB2289" s="15" t="str">
        <f aca="true">IF(S2289="","",DATEDIF(S2289,TODAY(),"Y")&amp;" Tahun, "&amp;DATEDIF(S2289,TODAY(),"YM")&amp;" Bulan, "&amp;DATEDIF(S2289,TODAY(),"MD")&amp;" Hari")</f>
        <v>34 Tahun, 5 Bulan, 29 Hari</v>
      </c>
      <c r="AC2289" s="18" t="n">
        <v>45810</v>
      </c>
      <c r="AD2289" s="18" t="n">
        <v>45992</v>
      </c>
      <c r="AE2289" s="18" t="s">
        <v>44</v>
      </c>
    </row>
    <row r="2290" customFormat="false" ht="15" hidden="false" customHeight="true" outlineLevel="0" collapsed="false">
      <c r="A2290" s="12" t="n">
        <v>19761</v>
      </c>
      <c r="B2290" s="13" t="s">
        <v>9799</v>
      </c>
      <c r="C2290" s="16" t="n">
        <v>45803</v>
      </c>
      <c r="D2290" s="13" t="s">
        <v>6623</v>
      </c>
      <c r="E2290" s="15" t="s">
        <v>33</v>
      </c>
      <c r="F2290" s="24" t="s">
        <v>9800</v>
      </c>
      <c r="G2290" s="13" t="s">
        <v>2809</v>
      </c>
      <c r="H2290" s="13" t="s">
        <v>35</v>
      </c>
      <c r="I2290" s="13" t="str">
        <f aca="false">IF(C2290=J2290,"NEW KONTRAK","RE-KONTRAK")</f>
        <v>NEW KONTRAK</v>
      </c>
      <c r="J2290" s="16" t="n">
        <f aca="false" t="array" ref="J2290:J2290">IFERROR(INDEX(AC2290:AE2290,IF(COUNTA(AC2290:AE2290)=0,"",MAX((AC2290:AE2290&lt;&gt;"")*(COLUMN(AC2290:AE2290)-(COLUMN(AC2290)))))-1),"")</f>
        <v>45803</v>
      </c>
      <c r="K2290" s="16" t="n">
        <f aca="false" t="array" ref="K2290:K2290">IFERROR(INDEX(AC2290:AE2290,IF(COUNTA(AC2290:AE2290)=0,"",MAX((AC2290:AE2290&lt;&gt;"")*(COLUMN(AC2290:AE2290)-(COLUMN(AC2290)-1))))-1),"")</f>
        <v>45894</v>
      </c>
      <c r="L2290" s="17" t="str">
        <f aca="false" t="array" ref="L2290:L2290">IFERROR(INDEX(AC2290:AE2290,IF(COUNTA(AC2290:AE2290)=0,"",MAX((AC2290:AE2290&lt;&gt;"")*(COLUMN(AC2290:AE2290)-(COLUMN(AC2290)-2))))-1),"")</f>
        <v>ARCHIVED</v>
      </c>
      <c r="M2290" s="13" t="n">
        <f aca="true">K2290-TODAY()</f>
        <v>-430</v>
      </c>
      <c r="N2290" s="18" t="s">
        <v>728</v>
      </c>
      <c r="O2290" s="13" t="s">
        <v>9801</v>
      </c>
      <c r="P2290" s="19" t="n">
        <v>3300000</v>
      </c>
      <c r="Q2290" s="20" t="s">
        <v>9802</v>
      </c>
      <c r="R2290" s="13" t="s">
        <v>52</v>
      </c>
      <c r="S2290" s="16" t="n">
        <v>36160</v>
      </c>
      <c r="T2290" s="13" t="s">
        <v>108</v>
      </c>
      <c r="U2290" s="13" t="s">
        <v>9803</v>
      </c>
      <c r="V2290" s="13" t="s">
        <v>42</v>
      </c>
      <c r="W2290" s="13" t="s">
        <v>43</v>
      </c>
      <c r="X2290" s="21" t="n">
        <v>85784013625</v>
      </c>
      <c r="Y2290" s="22" t="str">
        <f aca="false">O2290</f>
        <v>Admin Marketplace</v>
      </c>
      <c r="Z2290" s="13" t="str">
        <f aca="false">IFERROR(__xludf.dummyfunction("if(BJ2290="""","""",GOOGLETRANSLATE(BJ2290,""auto"",""en""))"),"Admin Marketplace")</f>
        <v>Admin Marketplace</v>
      </c>
      <c r="AA2290" s="23" t="str">
        <f aca="false">IF(C2290="","", CHOOSE(MONTH(C2290),"January","February","March","April","May","June","July","August","September","October","November","December")&amp;" "&amp;DAY(C2290)&amp;MID("thstndrdth",MIN(9,2*RIGHT(DAY(C2290))*(MOD(DAY(C2290)-11,100)&gt;2)+1),2)&amp;","&amp;TEXT(C2290," yyyy"))</f>
        <v>May 26th,2025</v>
      </c>
      <c r="AB2290" s="15" t="str">
        <f aca="true">IF(S2290="","",DATEDIF(S2290,TODAY(),"Y")&amp;" Tahun, "&amp;DATEDIF(S2290,TODAY(),"YM")&amp;" Bulan, "&amp;DATEDIF(S2290,TODAY(),"MD")&amp;" Hari")</f>
        <v>27 Tahun, 9 Bulan, 28 Hari</v>
      </c>
      <c r="AC2290" s="18" t="n">
        <v>45803</v>
      </c>
      <c r="AD2290" s="18" t="n">
        <v>45894</v>
      </c>
      <c r="AE2290" s="18" t="s">
        <v>44</v>
      </c>
    </row>
    <row r="2291" customFormat="false" ht="15" hidden="false" customHeight="true" outlineLevel="0" collapsed="false">
      <c r="A2291" s="12" t="n">
        <v>19762</v>
      </c>
      <c r="B2291" s="13" t="s">
        <v>9804</v>
      </c>
      <c r="C2291" s="16" t="n">
        <v>45808</v>
      </c>
      <c r="D2291" s="13" t="s">
        <v>7534</v>
      </c>
      <c r="E2291" s="15" t="s">
        <v>33</v>
      </c>
      <c r="F2291" s="24" t="s">
        <v>9805</v>
      </c>
      <c r="G2291" s="13" t="s">
        <v>1127</v>
      </c>
      <c r="H2291" s="13" t="s">
        <v>35</v>
      </c>
      <c r="I2291" s="13" t="str">
        <f aca="false">IF(C2291=J2291,"NEW KONTRAK","RE-KONTRAK")</f>
        <v>NEW KONTRAK</v>
      </c>
      <c r="J2291" s="16" t="n">
        <f aca="false" t="array" ref="J2291:J2291">IFERROR(INDEX(AC2291:AE2291,IF(COUNTA(AC2291:AE2291)=0,"",MAX((AC2291:AE2291&lt;&gt;"")*(COLUMN(AC2291:AE2291)-(COLUMN(AC2291)))))-1),"")</f>
        <v>45808</v>
      </c>
      <c r="K2291" s="16" t="n">
        <f aca="false" t="array" ref="K2291:K2291">IFERROR(INDEX(AC2291:AE2291,IF(COUNTA(AC2291:AE2291)=0,"",MAX((AC2291:AE2291&lt;&gt;"")*(COLUMN(AC2291:AE2291)-(COLUMN(AC2291)-1))))-1),"")</f>
        <v>45899</v>
      </c>
      <c r="L2291" s="17" t="str">
        <f aca="false" t="array" ref="L2291:L2291">IFERROR(INDEX(AC2291:AE2291,IF(COUNTA(AC2291:AE2291)=0,"",MAX((AC2291:AE2291&lt;&gt;"")*(COLUMN(AC2291:AE2291)-(COLUMN(AC2291)-2))))-1),"")</f>
        <v>ARCHIVED</v>
      </c>
      <c r="M2291" s="13" t="n">
        <f aca="true">K2291-TODAY()</f>
        <v>-425</v>
      </c>
      <c r="N2291" s="18" t="s">
        <v>4735</v>
      </c>
      <c r="O2291" s="13" t="s">
        <v>7536</v>
      </c>
      <c r="P2291" s="19" t="n">
        <v>3553530</v>
      </c>
      <c r="Q2291" s="20" t="s">
        <v>9806</v>
      </c>
      <c r="R2291" s="13" t="s">
        <v>83</v>
      </c>
      <c r="S2291" s="16" t="n">
        <v>36845</v>
      </c>
      <c r="T2291" s="28" t="s">
        <v>40</v>
      </c>
      <c r="U2291" s="13" t="s">
        <v>9807</v>
      </c>
      <c r="V2291" s="13" t="s">
        <v>99</v>
      </c>
      <c r="W2291" s="13" t="s">
        <v>43</v>
      </c>
      <c r="X2291" s="21" t="n">
        <v>82142742033</v>
      </c>
      <c r="Y2291" s="22" t="str">
        <f aca="false">O2291</f>
        <v>Host Live</v>
      </c>
      <c r="Z2291" s="13" t="str">
        <f aca="false">IFERROR(__xludf.dummyfunction("if(BJ2291="""","""",GOOGLETRANSLATE(BJ2291,""auto"",""en""))"),"Host Live")</f>
        <v>Host Live</v>
      </c>
      <c r="AA2291" s="23" t="str">
        <f aca="false">IF(C2291="","", CHOOSE(MONTH(C2291),"January","February","March","April","May","June","July","August","September","October","November","December")&amp;" "&amp;DAY(C2291)&amp;MID("thstndrdth",MIN(9,2*RIGHT(DAY(C2291))*(MOD(DAY(C2291)-11,100)&gt;2)+1),2)&amp;","&amp;TEXT(C2291," yyyy"))</f>
        <v>May 31st,2025</v>
      </c>
      <c r="AB2291" s="15" t="str">
        <f aca="true">IF(S2291="","",DATEDIF(S2291,TODAY(),"Y")&amp;" Tahun, "&amp;DATEDIF(S2291,TODAY(),"YM")&amp;" Bulan, "&amp;DATEDIF(S2291,TODAY(),"MD")&amp;" Hari")</f>
        <v>25 Tahun, 11 Bulan, 14 Hari</v>
      </c>
      <c r="AC2291" s="18" t="n">
        <v>45808</v>
      </c>
      <c r="AD2291" s="18" t="n">
        <v>45899</v>
      </c>
      <c r="AE2291" s="18" t="s">
        <v>44</v>
      </c>
    </row>
    <row r="2292" customFormat="false" ht="15" hidden="false" customHeight="true" outlineLevel="0" collapsed="false">
      <c r="A2292" s="12" t="n">
        <v>19775</v>
      </c>
      <c r="B2292" s="13" t="s">
        <v>9808</v>
      </c>
      <c r="C2292" s="16" t="n">
        <v>45817</v>
      </c>
      <c r="D2292" s="13" t="s">
        <v>9789</v>
      </c>
      <c r="E2292" s="15" t="s">
        <v>47</v>
      </c>
      <c r="F2292" s="15" t="str">
        <f aca="false">IFERROR(__xludf.dummyfunction("XLOOKUP(AJ2292,IMPORTRANGE(""1XaInW9DU9nz21V0tYIfzFQ0He9kVQ_JF2mCXgZ3hqFA"",""REKAP ALL 2026 - Andika!G:G""),IMPORTRANGE(""1XaInW9DU9nz21V0tYIfzFQ0He9kVQ_JF2mCXgZ3hqFA"",""REKAP ALL 2026 - Andika!F:F""),"""",0)"),"25079805195")</f>
        <v>25079805195</v>
      </c>
      <c r="G2292" s="13" t="s">
        <v>1127</v>
      </c>
      <c r="H2292" s="13" t="s">
        <v>35</v>
      </c>
      <c r="I2292" s="13" t="str">
        <f aca="false">IF(C2292=J2292,"NEW KONTRAK","RE-KONTRAK")</f>
        <v>NEW KONTRAK</v>
      </c>
      <c r="J2292" s="16" t="n">
        <f aca="false" t="array" ref="J2292:J2292">IFERROR(INDEX(AC2292:AE2292,IF(COUNTA(AC2292:AE2292)=0,"",MAX((AC2292:AE2292&lt;&gt;"")*(COLUMN(AC2292:AE2292)-(COLUMN(AC2292)))))-1),"")</f>
        <v>45817</v>
      </c>
      <c r="K2292" s="16" t="n">
        <f aca="false" t="array" ref="K2292:K2292">IFERROR(INDEX(AC2292:AE2292,IF(COUNTA(AC2292:AE2292)=0,"",MAX((AC2292:AE2292&lt;&gt;"")*(COLUMN(AC2292:AE2292)-(COLUMN(AC2292)-1))))-1),"")</f>
        <v>46022</v>
      </c>
      <c r="L2292" s="17" t="str">
        <f aca="false" t="array" ref="L2292:L2292">IFERROR(INDEX(AC2292:AE2292,IF(COUNTA(AC2292:AE2292)=0,"",MAX((AC2292:AE2292&lt;&gt;"")*(COLUMN(AC2292:AE2292)-(COLUMN(AC2292)-2))))-1),"")</f>
        <v>ARCHIVED</v>
      </c>
      <c r="M2292" s="13" t="n">
        <f aca="true">K2292-TODAY()</f>
        <v>-302</v>
      </c>
      <c r="N2292" s="18" t="s">
        <v>383</v>
      </c>
      <c r="O2292" s="13" t="s">
        <v>3577</v>
      </c>
      <c r="P2292" s="19" t="n">
        <v>3012164</v>
      </c>
      <c r="Q2292" s="20" t="s">
        <v>9809</v>
      </c>
      <c r="R2292" s="13" t="s">
        <v>148</v>
      </c>
      <c r="S2292" s="16" t="n">
        <v>31717</v>
      </c>
      <c r="T2292" s="28" t="s">
        <v>40</v>
      </c>
      <c r="U2292" s="13" t="s">
        <v>9810</v>
      </c>
      <c r="V2292" s="13" t="s">
        <v>42</v>
      </c>
      <c r="W2292" s="13" t="s">
        <v>43</v>
      </c>
      <c r="X2292" s="21" t="n">
        <v>85648209869</v>
      </c>
      <c r="Y2292" s="22" t="str">
        <f aca="false">O2292</f>
        <v>Kerani Gudang</v>
      </c>
      <c r="Z2292" s="13" t="str">
        <f aca="false">IFERROR(__xludf.dummyfunction("if(BJ2292="""","""",GOOGLETRANSLATE(BJ2292,""auto"",""en""))"),"Warehouse Clerk")</f>
        <v>Warehouse Clerk</v>
      </c>
      <c r="AA2292" s="23" t="str">
        <f aca="false">IF(C2292="","", CHOOSE(MONTH(C2292),"January","February","March","April","May","June","July","August","September","October","November","December")&amp;" "&amp;DAY(C2292)&amp;MID("thstndrdth",MIN(9,2*RIGHT(DAY(C2292))*(MOD(DAY(C2292)-11,100)&gt;2)+1),2)&amp;","&amp;TEXT(C2292," yyyy"))</f>
        <v>June 9th,2025</v>
      </c>
      <c r="AB2292" s="15" t="str">
        <f aca="true">IF(S2292="","",DATEDIF(S2292,TODAY(),"Y")&amp;" Tahun, "&amp;DATEDIF(S2292,TODAY(),"YM")&amp;" Bulan, "&amp;DATEDIF(S2292,TODAY(),"MD")&amp;" Hari")</f>
        <v>39 Tahun, 11 Bulan, 28 Hari</v>
      </c>
      <c r="AC2292" s="18" t="n">
        <v>45817</v>
      </c>
      <c r="AD2292" s="18" t="n">
        <v>46022</v>
      </c>
      <c r="AE2292" s="18" t="s">
        <v>44</v>
      </c>
    </row>
    <row r="2293" customFormat="false" ht="15" hidden="false" customHeight="true" outlineLevel="0" collapsed="false">
      <c r="A2293" s="12" t="n">
        <v>19774</v>
      </c>
      <c r="B2293" s="13" t="s">
        <v>9811</v>
      </c>
      <c r="C2293" s="16" t="n">
        <v>45817</v>
      </c>
      <c r="D2293" s="13" t="s">
        <v>9789</v>
      </c>
      <c r="E2293" s="15" t="s">
        <v>102</v>
      </c>
      <c r="F2293" s="15" t="str">
        <f aca="false">IFERROR(__xludf.dummyfunction("XLOOKUP(AJ2293,IMPORTRANGE(""1XaInW9DU9nz21V0tYIfzFQ0He9kVQ_JF2mCXgZ3hqFA"",""REKAP ALL 2026 - Andika!G:G""),IMPORTRANGE(""1XaInW9DU9nz21V0tYIfzFQ0He9kVQ_JF2mCXgZ3hqFA"",""REKAP ALL 2026 - Andika!F:F""),"""",0)"),"25079805187")</f>
        <v>25079805187</v>
      </c>
      <c r="G2293" s="13" t="s">
        <v>9812</v>
      </c>
      <c r="H2293" s="13" t="s">
        <v>35</v>
      </c>
      <c r="I2293" s="13" t="str">
        <f aca="false">IF(C2293=J2293,"NEW KONTRAK","RE-KONTRAK")</f>
        <v>NEW KONTRAK</v>
      </c>
      <c r="J2293" s="16" t="n">
        <f aca="false" t="array" ref="J2293:J2293">IFERROR(INDEX(AC2293:AE2293,IF(COUNTA(AC2293:AE2293)=0,"",MAX((AC2293:AE2293&lt;&gt;"")*(COLUMN(AC2293:AE2293)-(COLUMN(AC2293)))))-1),"")</f>
        <v>45817</v>
      </c>
      <c r="K2293" s="16" t="n">
        <f aca="false" t="array" ref="K2293:K2293">IFERROR(INDEX(AC2293:AE2293,IF(COUNTA(AC2293:AE2293)=0,"",MAX((AC2293:AE2293&lt;&gt;"")*(COLUMN(AC2293:AE2293)-(COLUMN(AC2293)-1))))-1),"")</f>
        <v>46022</v>
      </c>
      <c r="L2293" s="17" t="str">
        <f aca="false" t="array" ref="L2293:L2293">IFERROR(INDEX(AC2293:AE2293,IF(COUNTA(AC2293:AE2293)=0,"",MAX((AC2293:AE2293&lt;&gt;"")*(COLUMN(AC2293:AE2293)-(COLUMN(AC2293)-2))))-1),"")</f>
        <v>ARCHIVED</v>
      </c>
      <c r="M2293" s="13" t="n">
        <f aca="true">K2293-TODAY()</f>
        <v>-302</v>
      </c>
      <c r="N2293" s="18" t="s">
        <v>383</v>
      </c>
      <c r="O2293" s="13" t="s">
        <v>3577</v>
      </c>
      <c r="P2293" s="19" t="n">
        <v>3012164</v>
      </c>
      <c r="Q2293" s="20" t="s">
        <v>9813</v>
      </c>
      <c r="R2293" s="13" t="s">
        <v>78</v>
      </c>
      <c r="S2293" s="16" t="n">
        <v>36707</v>
      </c>
      <c r="T2293" s="28" t="s">
        <v>40</v>
      </c>
      <c r="U2293" s="13" t="s">
        <v>9814</v>
      </c>
      <c r="V2293" s="13" t="s">
        <v>42</v>
      </c>
      <c r="W2293" s="13" t="s">
        <v>54</v>
      </c>
      <c r="X2293" s="21" t="n">
        <v>85649385167</v>
      </c>
      <c r="Y2293" s="22" t="str">
        <f aca="false">O2293</f>
        <v>Kerani Gudang</v>
      </c>
      <c r="Z2293" s="13" t="str">
        <f aca="false">IFERROR(__xludf.dummyfunction("if(BJ2293="""","""",GOOGLETRANSLATE(BJ2293,""auto"",""en""))"),"Warehouse Clerk")</f>
        <v>Warehouse Clerk</v>
      </c>
      <c r="AA2293" s="23" t="str">
        <f aca="false">IF(C2293="","", CHOOSE(MONTH(C2293),"January","February","March","April","May","June","July","August","September","October","November","December")&amp;" "&amp;DAY(C2293)&amp;MID("thstndrdth",MIN(9,2*RIGHT(DAY(C2293))*(MOD(DAY(C2293)-11,100)&gt;2)+1),2)&amp;","&amp;TEXT(C2293," yyyy"))</f>
        <v>June 9th,2025</v>
      </c>
      <c r="AB2293" s="15" t="str">
        <f aca="true">IF(S2293="","",DATEDIF(S2293,TODAY(),"Y")&amp;" Tahun, "&amp;DATEDIF(S2293,TODAY(),"YM")&amp;" Bulan, "&amp;DATEDIF(S2293,TODAY(),"MD")&amp;" Hari")</f>
        <v>26 Tahun, 3 Bulan, 29 Hari</v>
      </c>
      <c r="AC2293" s="18" t="n">
        <v>45817</v>
      </c>
      <c r="AD2293" s="18" t="n">
        <v>46022</v>
      </c>
      <c r="AE2293" s="18" t="s">
        <v>44</v>
      </c>
    </row>
    <row r="2294" customFormat="false" ht="15" hidden="false" customHeight="true" outlineLevel="0" collapsed="false">
      <c r="A2294" s="12" t="n">
        <v>19778</v>
      </c>
      <c r="B2294" s="13" t="s">
        <v>9815</v>
      </c>
      <c r="C2294" s="16" t="n">
        <v>45810</v>
      </c>
      <c r="D2294" s="13" t="s">
        <v>144</v>
      </c>
      <c r="E2294" s="15" t="s">
        <v>47</v>
      </c>
      <c r="F2294" s="15" t="str">
        <f aca="false">IFERROR(__xludf.dummyfunction("XLOOKUP(AJ2294,IMPORTRANGE(""1XaInW9DU9nz21V0tYIfzFQ0He9kVQ_JF2mCXgZ3hqFA"",""REKAP ALL 2026 - Andika!G:G""),IMPORTRANGE(""1XaInW9DU9nz21V0tYIfzFQ0He9kVQ_JF2mCXgZ3hqFA"",""REKAP ALL 2026 - Andika!F:F""),"""",0)"),"25079805690")</f>
        <v>25079805690</v>
      </c>
      <c r="G2294" s="13" t="s">
        <v>1127</v>
      </c>
      <c r="H2294" s="13" t="s">
        <v>35</v>
      </c>
      <c r="I2294" s="13" t="str">
        <f aca="false">IF(C2294=J2294,"NEW KONTRAK","RE-KONTRAK")</f>
        <v>NEW KONTRAK</v>
      </c>
      <c r="J2294" s="16" t="n">
        <f aca="false" t="array" ref="J2294:J2294">IFERROR(INDEX(AC2294:AE2294,IF(COUNTA(AC2294:AE2294)=0,"",MAX((AC2294:AE2294&lt;&gt;"")*(COLUMN(AC2294:AE2294)-(COLUMN(AC2294)))))-1),"")</f>
        <v>45810</v>
      </c>
      <c r="K2294" s="16" t="n">
        <f aca="false" t="array" ref="K2294:K2294">IFERROR(INDEX(AC2294:AE2294,IF(COUNTA(AC2294:AE2294)=0,"",MAX((AC2294:AE2294&lt;&gt;"")*(COLUMN(AC2294:AE2294)-(COLUMN(AC2294)-1))))-1),"")</f>
        <v>46022</v>
      </c>
      <c r="L2294" s="17" t="str">
        <f aca="false" t="array" ref="L2294:L2294">IFERROR(INDEX(AC2294:AE2294,IF(COUNTA(AC2294:AE2294)=0,"",MAX((AC2294:AE2294&lt;&gt;"")*(COLUMN(AC2294:AE2294)-(COLUMN(AC2294)-2))))-1),"")</f>
        <v>ARCHIVED</v>
      </c>
      <c r="M2294" s="13" t="n">
        <f aca="true">K2294-TODAY()</f>
        <v>-302</v>
      </c>
      <c r="N2294" s="18" t="s">
        <v>36</v>
      </c>
      <c r="O2294" s="13" t="s">
        <v>146</v>
      </c>
      <c r="P2294" s="19" t="n">
        <v>5195401</v>
      </c>
      <c r="Q2294" s="20" t="s">
        <v>9816</v>
      </c>
      <c r="R2294" s="13" t="s">
        <v>65</v>
      </c>
      <c r="S2294" s="16" t="n">
        <v>25716</v>
      </c>
      <c r="T2294" s="28" t="s">
        <v>40</v>
      </c>
      <c r="U2294" s="13" t="s">
        <v>9817</v>
      </c>
      <c r="V2294" s="13" t="s">
        <v>42</v>
      </c>
      <c r="W2294" s="13" t="s">
        <v>54</v>
      </c>
      <c r="X2294" s="21" t="n">
        <v>85607425195</v>
      </c>
      <c r="Y2294" s="22" t="str">
        <f aca="false">O2294</f>
        <v>Enamel</v>
      </c>
      <c r="Z2294" s="13" t="str">
        <f aca="false">IFERROR(__xludf.dummyfunction("if(BJ2294="""","""",GOOGLETRANSLATE(BJ2294,""auto"",""en""))"),"Enamel")</f>
        <v>Enamel</v>
      </c>
      <c r="AA2294" s="23" t="str">
        <f aca="false">IF(C2294="","", CHOOSE(MONTH(C2294),"January","February","March","April","May","June","July","August","September","October","November","December")&amp;" "&amp;DAY(C2294)&amp;MID("thstndrdth",MIN(9,2*RIGHT(DAY(C2294))*(MOD(DAY(C2294)-11,100)&gt;2)+1),2)&amp;","&amp;TEXT(C2294," yyyy"))</f>
        <v>June 2nd,2025</v>
      </c>
      <c r="AB2294" s="15" t="str">
        <f aca="true">IF(S2294="","",DATEDIF(S2294,TODAY(),"Y")&amp;" Tahun, "&amp;DATEDIF(S2294,TODAY(),"YM")&amp;" Bulan, "&amp;DATEDIF(S2294,TODAY(),"MD")&amp;" Hari")</f>
        <v>56 Tahun, 5 Bulan, 1 Hari</v>
      </c>
      <c r="AC2294" s="18" t="n">
        <v>45810</v>
      </c>
      <c r="AD2294" s="18" t="n">
        <v>46022</v>
      </c>
      <c r="AE2294" s="18" t="s">
        <v>44</v>
      </c>
    </row>
    <row r="2295" customFormat="false" ht="15" hidden="false" customHeight="true" outlineLevel="0" collapsed="false">
      <c r="A2295" s="12" t="n">
        <v>19776</v>
      </c>
      <c r="B2295" s="13" t="s">
        <v>9818</v>
      </c>
      <c r="C2295" s="16" t="n">
        <v>45817</v>
      </c>
      <c r="D2295" s="13" t="s">
        <v>9789</v>
      </c>
      <c r="E2295" s="15" t="s">
        <v>33</v>
      </c>
      <c r="F2295" s="24" t="s">
        <v>9819</v>
      </c>
      <c r="G2295" s="13" t="s">
        <v>1127</v>
      </c>
      <c r="H2295" s="13" t="s">
        <v>35</v>
      </c>
      <c r="I2295" s="13" t="str">
        <f aca="false">IF(C2295=J2295,"NEW KONTRAK","RE-KONTRAK")</f>
        <v>NEW KONTRAK</v>
      </c>
      <c r="J2295" s="16" t="n">
        <f aca="false" t="array" ref="J2295:J2295">IFERROR(INDEX(AC2295:AE2295,IF(COUNTA(AC2295:AE2295)=0,"",MAX((AC2295:AE2295&lt;&gt;"")*(COLUMN(AC2295:AE2295)-(COLUMN(AC2295)))))-1),"")</f>
        <v>45817</v>
      </c>
      <c r="K2295" s="16" t="n">
        <f aca="false" t="array" ref="K2295:K2295">IFERROR(INDEX(AC2295:AE2295,IF(COUNTA(AC2295:AE2295)=0,"",MAX((AC2295:AE2295&lt;&gt;"")*(COLUMN(AC2295:AE2295)-(COLUMN(AC2295)-1))))-1),"")</f>
        <v>46022</v>
      </c>
      <c r="L2295" s="17" t="str">
        <f aca="false" t="array" ref="L2295:L2295">IFERROR(INDEX(AC2295:AE2295,IF(COUNTA(AC2295:AE2295)=0,"",MAX((AC2295:AE2295&lt;&gt;"")*(COLUMN(AC2295:AE2295)-(COLUMN(AC2295)-2))))-1),"")</f>
        <v>ARCHIVED</v>
      </c>
      <c r="M2295" s="13" t="n">
        <f aca="true">K2295-TODAY()</f>
        <v>-302</v>
      </c>
      <c r="N2295" s="18" t="s">
        <v>383</v>
      </c>
      <c r="O2295" s="13" t="s">
        <v>719</v>
      </c>
      <c r="P2295" s="19" t="n">
        <v>3012164</v>
      </c>
      <c r="Q2295" s="20" t="s">
        <v>9820</v>
      </c>
      <c r="R2295" s="13" t="s">
        <v>78</v>
      </c>
      <c r="S2295" s="16" t="n">
        <v>36869</v>
      </c>
      <c r="T2295" s="28" t="s">
        <v>40</v>
      </c>
      <c r="U2295" s="13" t="s">
        <v>9821</v>
      </c>
      <c r="V2295" s="13" t="s">
        <v>42</v>
      </c>
      <c r="W2295" s="13" t="s">
        <v>43</v>
      </c>
      <c r="X2295" s="21" t="n">
        <v>85600709097</v>
      </c>
      <c r="Y2295" s="22" t="str">
        <f aca="false">O2295</f>
        <v>Cleaning Service</v>
      </c>
      <c r="Z2295" s="13" t="str">
        <f aca="false">IFERROR(__xludf.dummyfunction("if(BJ2295="""","""",GOOGLETRANSLATE(BJ2295,""auto"",""en""))"),"Cleaning Service")</f>
        <v>Cleaning Service</v>
      </c>
      <c r="AA2295" s="23" t="str">
        <f aca="false">IF(C2295="","", CHOOSE(MONTH(C2295),"January","February","March","April","May","June","July","August","September","October","November","December")&amp;" "&amp;DAY(C2295)&amp;MID("thstndrdth",MIN(9,2*RIGHT(DAY(C2295))*(MOD(DAY(C2295)-11,100)&gt;2)+1),2)&amp;","&amp;TEXT(C2295," yyyy"))</f>
        <v>June 9th,2025</v>
      </c>
      <c r="AB2295" s="15" t="str">
        <f aca="true">IF(S2295="","",DATEDIF(S2295,TODAY(),"Y")&amp;" Tahun, "&amp;DATEDIF(S2295,TODAY(),"YM")&amp;" Bulan, "&amp;DATEDIF(S2295,TODAY(),"MD")&amp;" Hari")</f>
        <v>25 Tahun, 10 Bulan, 20 Hari</v>
      </c>
      <c r="AC2295" s="18" t="n">
        <v>45817</v>
      </c>
      <c r="AD2295" s="18" t="n">
        <v>46022</v>
      </c>
      <c r="AE2295" s="18" t="s">
        <v>44</v>
      </c>
    </row>
    <row r="2296" customFormat="false" ht="15" hidden="false" customHeight="true" outlineLevel="0" collapsed="false">
      <c r="A2296" s="12" t="n">
        <v>19784</v>
      </c>
      <c r="B2296" s="13" t="s">
        <v>9822</v>
      </c>
      <c r="C2296" s="16" t="n">
        <v>45813</v>
      </c>
      <c r="D2296" s="13" t="s">
        <v>4610</v>
      </c>
      <c r="E2296" s="15" t="s">
        <v>47</v>
      </c>
      <c r="F2296" s="15" t="str">
        <f aca="false">IFERROR(__xludf.dummyfunction("XLOOKUP(AJ2296,IMPORTRANGE(""1XaInW9DU9nz21V0tYIfzFQ0He9kVQ_JF2mCXgZ3hqFA"",""REKAP ALL 2026 - Andika!G:G""),IMPORTRANGE(""1XaInW9DU9nz21V0tYIfzFQ0He9kVQ_JF2mCXgZ3hqFA"",""REKAP ALL 2026 - Andika!F:F""),"""",0)"),"25079805880")</f>
        <v>25079805880</v>
      </c>
      <c r="G2296" s="13" t="s">
        <v>57</v>
      </c>
      <c r="H2296" s="13" t="s">
        <v>35</v>
      </c>
      <c r="I2296" s="13" t="str">
        <f aca="false">IF(C2296=J2296,"NEW KONTRAK","RE-KONTRAK")</f>
        <v>RE-KONTRAK</v>
      </c>
      <c r="J2296" s="16" t="n">
        <f aca="false" t="array" ref="J2296:J2296">IFERROR(INDEX(AC2296:AE2296,IF(COUNTA(AC2296:AE2296)=0,"",MAX((AC2296:AE2296&lt;&gt;"")*(COLUMN(AC2296:AE2296)-(COLUMN(AC2296)))))-1),"")</f>
        <v>45905</v>
      </c>
      <c r="K2296" s="16" t="n">
        <f aca="false" t="array" ref="K2296:K2296">IFERROR(INDEX(AC2296:AE2296,IF(COUNTA(AC2296:AE2296)=0,"",MAX((AC2296:AE2296&lt;&gt;"")*(COLUMN(AC2296:AE2296)-(COLUMN(AC2296)-1))))-1),"")</f>
        <v>45995</v>
      </c>
      <c r="L2296" s="17" t="str">
        <f aca="false" t="array" ref="L2296:L2296">IFERROR(INDEX(AC2296:AE2296,IF(COUNTA(AC2296:AE2296)=0,"",MAX((AC2296:AE2296&lt;&gt;"")*(COLUMN(AC2296:AE2296)-(COLUMN(AC2296)-2))))-1),"")</f>
        <v>ARCHIVED</v>
      </c>
      <c r="M2296" s="13" t="n">
        <f aca="true">K2296-TODAY()</f>
        <v>-329</v>
      </c>
      <c r="N2296" s="18" t="s">
        <v>36</v>
      </c>
      <c r="O2296" s="13" t="s">
        <v>4274</v>
      </c>
      <c r="P2296" s="27" t="n">
        <v>200000</v>
      </c>
      <c r="Q2296" s="20" t="s">
        <v>9823</v>
      </c>
      <c r="R2296" s="13" t="s">
        <v>255</v>
      </c>
      <c r="S2296" s="16" t="n">
        <v>29263</v>
      </c>
      <c r="T2296" s="28" t="s">
        <v>40</v>
      </c>
      <c r="U2296" s="13" t="s">
        <v>9824</v>
      </c>
      <c r="V2296" s="13" t="s">
        <v>42</v>
      </c>
      <c r="W2296" s="13" t="s">
        <v>54</v>
      </c>
      <c r="X2296" s="21" t="n">
        <v>85795292250</v>
      </c>
      <c r="Y2296" s="22" t="str">
        <f aca="false">O2296</f>
        <v>Operator Extruder</v>
      </c>
      <c r="Z2296" s="13" t="str">
        <f aca="false">IFERROR(__xludf.dummyfunction("if(BJ2296="""","""",GOOGLETRANSLATE(BJ2296,""auto"",""en""))"),"Operator Extruder")</f>
        <v>Operator Extruder</v>
      </c>
      <c r="AA2296" s="23" t="str">
        <f aca="false">IF(C2296="","", CHOOSE(MONTH(C2296),"January","February","March","April","May","June","July","August","September","October","November","December")&amp;" "&amp;DAY(C2296)&amp;MID("thstndrdth",MIN(9,2*RIGHT(DAY(C2296))*(MOD(DAY(C2296)-11,100)&gt;2)+1),2)&amp;","&amp;TEXT(C2296," yyyy"))</f>
        <v>June 5th,2025</v>
      </c>
      <c r="AB2296" s="15" t="str">
        <f aca="true">IF(S2296="","",DATEDIF(S2296,TODAY(),"Y")&amp;" Tahun, "&amp;DATEDIF(S2296,TODAY(),"YM")&amp;" Bulan, "&amp;DATEDIF(S2296,TODAY(),"MD")&amp;" Hari")</f>
        <v>46 Tahun, 8 Bulan, 17 Hari</v>
      </c>
      <c r="AC2296" s="18" t="n">
        <v>45905</v>
      </c>
      <c r="AD2296" s="18" t="n">
        <v>45995</v>
      </c>
      <c r="AE2296" s="18" t="s">
        <v>44</v>
      </c>
    </row>
    <row r="2297" customFormat="false" ht="15" hidden="false" customHeight="true" outlineLevel="0" collapsed="false">
      <c r="A2297" s="12" t="n">
        <v>19779</v>
      </c>
      <c r="B2297" s="13" t="s">
        <v>9825</v>
      </c>
      <c r="C2297" s="16" t="n">
        <v>45817</v>
      </c>
      <c r="D2297" s="13" t="s">
        <v>101</v>
      </c>
      <c r="E2297" s="13" t="s">
        <v>33</v>
      </c>
      <c r="F2297" s="24" t="s">
        <v>9826</v>
      </c>
      <c r="G2297" s="13" t="s">
        <v>9827</v>
      </c>
      <c r="H2297" s="13" t="s">
        <v>35</v>
      </c>
      <c r="I2297" s="13" t="str">
        <f aca="false">IF(C2297=J2297,"NEW KONTRAK","RE-KONTRAK")</f>
        <v>NEW KONTRAK</v>
      </c>
      <c r="J2297" s="16" t="n">
        <f aca="false" t="array" ref="J2297:J2297">IFERROR(INDEX(AC2297:AE2297,IF(COUNTA(AC2297:AE2297)=0,"",MAX((AC2297:AE2297&lt;&gt;"")*(COLUMN(AC2297:AE2297)-(COLUMN(AC2297)))))-1),"")</f>
        <v>45817</v>
      </c>
      <c r="K2297" s="16" t="n">
        <f aca="false" t="array" ref="K2297:K2297">IFERROR(INDEX(AC2297:AE2297,IF(COUNTA(AC2297:AE2297)=0,"",MAX((AC2297:AE2297&lt;&gt;"")*(COLUMN(AC2297:AE2297)-(COLUMN(AC2297)-1))))-1),"")</f>
        <v>45908</v>
      </c>
      <c r="L2297" s="17" t="str">
        <f aca="false" t="array" ref="L2297:L2297">IFERROR(INDEX(AC2297:AE2297,IF(COUNTA(AC2297:AE2297)=0,"",MAX((AC2297:AE2297&lt;&gt;"")*(COLUMN(AC2297:AE2297)-(COLUMN(AC2297)-2))))-1),"")</f>
        <v>ARCHIVED</v>
      </c>
      <c r="M2297" s="13" t="n">
        <f aca="true">K2297-TODAY()</f>
        <v>-416</v>
      </c>
      <c r="N2297" s="18" t="s">
        <v>105</v>
      </c>
      <c r="O2297" s="13" t="s">
        <v>9828</v>
      </c>
      <c r="P2297" s="19" t="n">
        <f aca="false">4870511/21</f>
        <v>231929.095238095</v>
      </c>
      <c r="Q2297" s="20" t="s">
        <v>9829</v>
      </c>
      <c r="R2297" s="13" t="s">
        <v>52</v>
      </c>
      <c r="S2297" s="48" t="n">
        <v>35468</v>
      </c>
      <c r="T2297" s="13" t="s">
        <v>108</v>
      </c>
      <c r="U2297" s="13" t="s">
        <v>9830</v>
      </c>
      <c r="V2297" s="13" t="s">
        <v>42</v>
      </c>
      <c r="W2297" s="13" t="s">
        <v>43</v>
      </c>
      <c r="X2297" s="21" t="n">
        <v>895352596048</v>
      </c>
      <c r="Y2297" s="22" t="str">
        <f aca="false">O2297</f>
        <v>Staff Audit</v>
      </c>
      <c r="Z2297" s="13" t="str">
        <f aca="false">IFERROR(__xludf.dummyfunction("if(BJ2297="""","""",GOOGLETRANSLATE(BJ2297,""auto"",""en""))"),"Staff Audit")</f>
        <v>Staff Audit</v>
      </c>
      <c r="AA2297" s="23" t="str">
        <f aca="false">IF(C2297="","", CHOOSE(MONTH(C2297),"January","February","March","April","May","June","July","August","September","October","November","December")&amp;" "&amp;DAY(C2297)&amp;MID("thstndrdth",MIN(9,2*RIGHT(DAY(C2297))*(MOD(DAY(C2297)-11,100)&gt;2)+1),2)&amp;","&amp;TEXT(C2297," yyyy"))</f>
        <v>June 9th,2025</v>
      </c>
      <c r="AB2297" s="15" t="str">
        <f aca="true">IF(S2297="","",DATEDIF(S2297,TODAY(),"Y")&amp;" Tahun, "&amp;DATEDIF(S2297,TODAY(),"YM")&amp;" Bulan, "&amp;DATEDIF(S2297,TODAY(),"MD")&amp;" Hari")</f>
        <v>29 Tahun, 8 Bulan, 22 Hari</v>
      </c>
      <c r="AC2297" s="18" t="n">
        <v>45817</v>
      </c>
      <c r="AD2297" s="18" t="n">
        <v>45908</v>
      </c>
      <c r="AE2297" s="18" t="s">
        <v>44</v>
      </c>
    </row>
    <row r="2298" customFormat="false" ht="15" hidden="false" customHeight="true" outlineLevel="0" collapsed="false">
      <c r="A2298" s="12" t="n">
        <v>19780</v>
      </c>
      <c r="B2298" s="13" t="s">
        <v>9831</v>
      </c>
      <c r="C2298" s="16" t="n">
        <v>45817</v>
      </c>
      <c r="D2298" s="13" t="s">
        <v>101</v>
      </c>
      <c r="E2298" s="15" t="s">
        <v>102</v>
      </c>
      <c r="F2298" s="15" t="str">
        <f aca="false">IFERROR(__xludf.dummyfunction("XLOOKUP(AJ2298,IMPORTRANGE(""1XaInW9DU9nz21V0tYIfzFQ0He9kVQ_JF2mCXgZ3hqFA"",""REKAP ALL 2026 - Andika!G:G""),IMPORTRANGE(""1XaInW9DU9nz21V0tYIfzFQ0He9kVQ_JF2mCXgZ3hqFA"",""REKAP ALL 2026 - Andika!F:F""),"""",0)"),"25079805518")</f>
        <v>25079805518</v>
      </c>
      <c r="G2298" s="13" t="s">
        <v>9832</v>
      </c>
      <c r="H2298" s="13" t="s">
        <v>35</v>
      </c>
      <c r="I2298" s="13" t="str">
        <f aca="false">IF(C2298=J2298,"NEW KONTRAK","RE-KONTRAK")</f>
        <v>RE-KONTRAK</v>
      </c>
      <c r="J2298" s="16" t="n">
        <f aca="false" t="array" ref="J2298:J2298">IFERROR(INDEX(AC2298:AE2298,IF(COUNTA(AC2298:AE2298)=0,"",MAX((AC2298:AE2298&lt;&gt;"")*(COLUMN(AC2298:AE2298)-(COLUMN(AC2298)))))-1),"")</f>
        <v>45909</v>
      </c>
      <c r="K2298" s="16" t="n">
        <f aca="false" t="array" ref="K2298:K2298">IFERROR(INDEX(AC2298:AE2298,IF(COUNTA(AC2298:AE2298)=0,"",MAX((AC2298:AE2298&lt;&gt;"")*(COLUMN(AC2298:AE2298)-(COLUMN(AC2298)-1))))-1),"")</f>
        <v>46089</v>
      </c>
      <c r="L2298" s="17" t="str">
        <f aca="false" t="array" ref="L2298:L2298">IFERROR(INDEX(AC2298:AE2298,IF(COUNTA(AC2298:AE2298)=0,"",MAX((AC2298:AE2298&lt;&gt;"")*(COLUMN(AC2298:AE2298)-(COLUMN(AC2298)-2))))-1),"")</f>
        <v>ARCHIVED</v>
      </c>
      <c r="M2298" s="13" t="n">
        <f aca="true">K2298-TODAY()</f>
        <v>-235</v>
      </c>
      <c r="N2298" s="18" t="s">
        <v>105</v>
      </c>
      <c r="O2298" s="13" t="s">
        <v>9828</v>
      </c>
      <c r="P2298" s="19" t="n">
        <f aca="false">4870511/21</f>
        <v>231929.095238095</v>
      </c>
      <c r="Q2298" s="20" t="s">
        <v>9833</v>
      </c>
      <c r="R2298" s="13" t="s">
        <v>52</v>
      </c>
      <c r="S2298" s="48" t="n">
        <v>37116</v>
      </c>
      <c r="T2298" s="13" t="s">
        <v>108</v>
      </c>
      <c r="U2298" s="13" t="s">
        <v>9834</v>
      </c>
      <c r="V2298" s="13" t="s">
        <v>42</v>
      </c>
      <c r="W2298" s="13" t="s">
        <v>43</v>
      </c>
      <c r="X2298" s="21" t="n">
        <v>85257476735</v>
      </c>
      <c r="Y2298" s="22" t="str">
        <f aca="false">O2298</f>
        <v>Staff Audit</v>
      </c>
      <c r="Z2298" s="13" t="str">
        <f aca="false">IFERROR(__xludf.dummyfunction("if(BJ2298="""","""",GOOGLETRANSLATE(BJ2298,""auto"",""en""))"),"Staff Audit")</f>
        <v>Staff Audit</v>
      </c>
      <c r="AA2298" s="23" t="str">
        <f aca="false">IF(C2298="","", CHOOSE(MONTH(C2298),"January","February","March","April","May","June","July","August","September","October","November","December")&amp;" "&amp;DAY(C2298)&amp;MID("thstndrdth",MIN(9,2*RIGHT(DAY(C2298))*(MOD(DAY(C2298)-11,100)&gt;2)+1),2)&amp;","&amp;TEXT(C2298," yyyy"))</f>
        <v>June 9th,2025</v>
      </c>
      <c r="AB2298" s="15" t="str">
        <f aca="true">IF(S2298="","",DATEDIF(S2298,TODAY(),"Y")&amp;" Tahun, "&amp;DATEDIF(S2298,TODAY(),"YM")&amp;" Bulan, "&amp;DATEDIF(S2298,TODAY(),"MD")&amp;" Hari")</f>
        <v>25 Tahun, 2 Bulan, 16 Hari</v>
      </c>
      <c r="AC2298" s="18" t="n">
        <v>45909</v>
      </c>
      <c r="AD2298" s="18" t="n">
        <v>46089</v>
      </c>
      <c r="AE2298" s="18" t="s">
        <v>44</v>
      </c>
    </row>
    <row r="2299" customFormat="false" ht="15" hidden="false" customHeight="true" outlineLevel="0" collapsed="false">
      <c r="A2299" s="12" t="n">
        <v>19781</v>
      </c>
      <c r="B2299" s="13" t="s">
        <v>9835</v>
      </c>
      <c r="C2299" s="16" t="n">
        <v>45817</v>
      </c>
      <c r="D2299" s="13" t="s">
        <v>101</v>
      </c>
      <c r="E2299" s="15" t="s">
        <v>33</v>
      </c>
      <c r="F2299" s="24" t="s">
        <v>9836</v>
      </c>
      <c r="G2299" s="13" t="s">
        <v>9837</v>
      </c>
      <c r="H2299" s="13" t="s">
        <v>35</v>
      </c>
      <c r="I2299" s="13" t="str">
        <f aca="false">IF(C2299=J2299,"NEW KONTRAK","RE-KONTRAK")</f>
        <v>NEW KONTRAK</v>
      </c>
      <c r="J2299" s="16" t="n">
        <f aca="false" t="array" ref="J2299:J2299">IFERROR(INDEX(AC2299:AE2299,IF(COUNTA(AC2299:AE2299)=0,"",MAX((AC2299:AE2299&lt;&gt;"")*(COLUMN(AC2299:AE2299)-(COLUMN(AC2299)))))-1),"")</f>
        <v>45817</v>
      </c>
      <c r="K2299" s="16" t="n">
        <f aca="false" t="array" ref="K2299:K2299">IFERROR(INDEX(AC2299:AE2299,IF(COUNTA(AC2299:AE2299)=0,"",MAX((AC2299:AE2299&lt;&gt;"")*(COLUMN(AC2299:AE2299)-(COLUMN(AC2299)-1))))-1),"")</f>
        <v>45908</v>
      </c>
      <c r="L2299" s="17" t="str">
        <f aca="false" t="array" ref="L2299:L2299">IFERROR(INDEX(AC2299:AE2299,IF(COUNTA(AC2299:AE2299)=0,"",MAX((AC2299:AE2299&lt;&gt;"")*(COLUMN(AC2299:AE2299)-(COLUMN(AC2299)-2))))-1),"")</f>
        <v>ARCHIVED</v>
      </c>
      <c r="M2299" s="13" t="n">
        <f aca="true">K2299-TODAY()</f>
        <v>-416</v>
      </c>
      <c r="N2299" s="18" t="s">
        <v>105</v>
      </c>
      <c r="O2299" s="13" t="s">
        <v>9828</v>
      </c>
      <c r="P2299" s="19" t="n">
        <f aca="false">4870511/21</f>
        <v>231929.095238095</v>
      </c>
      <c r="Q2299" s="20" t="s">
        <v>9838</v>
      </c>
      <c r="R2299" s="13" t="s">
        <v>52</v>
      </c>
      <c r="S2299" s="48" t="n">
        <v>37352</v>
      </c>
      <c r="T2299" s="13" t="s">
        <v>108</v>
      </c>
      <c r="U2299" s="13" t="s">
        <v>9839</v>
      </c>
      <c r="V2299" s="13" t="s">
        <v>42</v>
      </c>
      <c r="W2299" s="13" t="s">
        <v>43</v>
      </c>
      <c r="X2299" s="21" t="n">
        <v>881027555154</v>
      </c>
      <c r="Y2299" s="22" t="str">
        <f aca="false">O2299</f>
        <v>Staff Audit</v>
      </c>
      <c r="Z2299" s="13" t="str">
        <f aca="false">IFERROR(__xludf.dummyfunction("if(BJ2299="""","""",GOOGLETRANSLATE(BJ2299,""auto"",""en""))"),"Staff Audit")</f>
        <v>Staff Audit</v>
      </c>
      <c r="AA2299" s="23" t="str">
        <f aca="false">IF(C2299="","", CHOOSE(MONTH(C2299),"January","February","March","April","May","June","July","August","September","October","November","December")&amp;" "&amp;DAY(C2299)&amp;MID("thstndrdth",MIN(9,2*RIGHT(DAY(C2299))*(MOD(DAY(C2299)-11,100)&gt;2)+1),2)&amp;","&amp;TEXT(C2299," yyyy"))</f>
        <v>June 9th,2025</v>
      </c>
      <c r="AB2299" s="15" t="str">
        <f aca="true">IF(S2299="","",DATEDIF(S2299,TODAY(),"Y")&amp;" Tahun, "&amp;DATEDIF(S2299,TODAY(),"YM")&amp;" Bulan, "&amp;DATEDIF(S2299,TODAY(),"MD")&amp;" Hari")</f>
        <v>24 Tahun, 6 Bulan, 23 Hari</v>
      </c>
      <c r="AC2299" s="18" t="n">
        <v>45817</v>
      </c>
      <c r="AD2299" s="18" t="n">
        <v>45908</v>
      </c>
      <c r="AE2299" s="18" t="s">
        <v>44</v>
      </c>
    </row>
    <row r="2300" customFormat="false" ht="15" hidden="false" customHeight="true" outlineLevel="0" collapsed="false">
      <c r="A2300" s="12" t="n">
        <v>19807</v>
      </c>
      <c r="B2300" s="13" t="s">
        <v>9840</v>
      </c>
      <c r="C2300" s="16" t="n">
        <v>45822</v>
      </c>
      <c r="D2300" s="13" t="s">
        <v>1338</v>
      </c>
      <c r="E2300" s="15" t="s">
        <v>47</v>
      </c>
      <c r="F2300" s="15" t="str">
        <f aca="false">IFERROR(__xludf.dummyfunction("XLOOKUP(AJ2300,IMPORTRANGE(""1XaInW9DU9nz21V0tYIfzFQ0He9kVQ_JF2mCXgZ3hqFA"",""REKAP ALL 2026 - Andika!G:G""),IMPORTRANGE(""1XaInW9DU9nz21V0tYIfzFQ0He9kVQ_JF2mCXgZ3hqFA"",""REKAP ALL 2026 - Andika!F:F""),"""",0)"),"25077029814")</f>
        <v>25077029814</v>
      </c>
      <c r="G2300" s="13" t="s">
        <v>57</v>
      </c>
      <c r="H2300" s="13" t="s">
        <v>2334</v>
      </c>
      <c r="I2300" s="13" t="str">
        <f aca="false">IF(C2300=J2300,"NEW KONTRAK","RE-KONTRAK")</f>
        <v>RE-KONTRAK</v>
      </c>
      <c r="J2300" s="16" t="n">
        <f aca="false" t="array" ref="J2300:J2300">IFERROR(INDEX(AC2300:AE2300,IF(COUNTA(AC2300:AE2300)=0,"",MAX((AC2300:AE2300&lt;&gt;"")*(COLUMN(AC2300:AE2300)-(COLUMN(AC2300)))))-1),"")</f>
        <v>45844</v>
      </c>
      <c r="K2300" s="16" t="n">
        <f aca="false" t="array" ref="K2300:K2300">IFERROR(INDEX(AC2300:AE2300,IF(COUNTA(AC2300:AE2300)=0,"",MAX((AC2300:AE2300&lt;&gt;"")*(COLUMN(AC2300:AE2300)-(COLUMN(AC2300)-1))))-1),"")</f>
        <v>45935</v>
      </c>
      <c r="L2300" s="17" t="str">
        <f aca="false" t="array" ref="L2300:L2300">IFERROR(INDEX(AC2300:AE2300,IF(COUNTA(AC2300:AE2300)=0,"",MAX((AC2300:AE2300&lt;&gt;"")*(COLUMN(AC2300:AE2300)-(COLUMN(AC2300)-2))))-1),"")</f>
        <v>KEMBALI</v>
      </c>
      <c r="M2300" s="13" t="n">
        <f aca="true">K2300-TODAY()</f>
        <v>-389</v>
      </c>
      <c r="N2300" s="18" t="s">
        <v>615</v>
      </c>
      <c r="O2300" s="13" t="s">
        <v>2335</v>
      </c>
      <c r="P2300" s="19" t="n">
        <v>160000</v>
      </c>
      <c r="Q2300" s="20" t="s">
        <v>9841</v>
      </c>
      <c r="R2300" s="13" t="s">
        <v>232</v>
      </c>
      <c r="S2300" s="16" t="n">
        <v>31554</v>
      </c>
      <c r="T2300" s="28" t="s">
        <v>40</v>
      </c>
      <c r="U2300" s="13" t="s">
        <v>9842</v>
      </c>
      <c r="V2300" s="13" t="s">
        <v>42</v>
      </c>
      <c r="W2300" s="13" t="s">
        <v>54</v>
      </c>
      <c r="X2300" s="21" t="n">
        <v>85731390976</v>
      </c>
      <c r="Y2300" s="22" t="str">
        <f aca="false">O2300</f>
        <v>Project Management</v>
      </c>
      <c r="Z2300" s="13" t="str">
        <f aca="false">IFERROR(__xludf.dummyfunction("if(BJ2300="""","""",GOOGLETRANSLATE(BJ2300,""auto"",""en""))"),"Project Management")</f>
        <v>Project Management</v>
      </c>
      <c r="AA2300" s="23" t="str">
        <f aca="false">IF(C2300="","", CHOOSE(MONTH(C2300),"January","February","March","April","May","June","July","August","September","October","November","December")&amp;" "&amp;DAY(C2300)&amp;MID("thstndrdth",MIN(9,2*RIGHT(DAY(C2300))*(MOD(DAY(C2300)-11,100)&gt;2)+1),2)&amp;","&amp;TEXT(C2300," yyyy"))</f>
        <v>June 14th,2025</v>
      </c>
      <c r="AB2300" s="15" t="str">
        <f aca="true">IF(S2300="","",DATEDIF(S2300,TODAY(),"Y")&amp;" Tahun, "&amp;DATEDIF(S2300,TODAY(),"YM")&amp;" Bulan, "&amp;DATEDIF(S2300,TODAY(),"MD")&amp;" Hari")</f>
        <v>40 Tahun, 5 Bulan, 7 Hari</v>
      </c>
      <c r="AC2300" s="18" t="n">
        <v>45844</v>
      </c>
      <c r="AD2300" s="18" t="n">
        <v>45935</v>
      </c>
      <c r="AE2300" s="13" t="s">
        <v>397</v>
      </c>
    </row>
    <row r="2301" customFormat="false" ht="15" hidden="false" customHeight="true" outlineLevel="0" collapsed="false">
      <c r="A2301" s="12" t="n">
        <v>19785</v>
      </c>
      <c r="B2301" s="13" t="s">
        <v>9843</v>
      </c>
      <c r="C2301" s="16" t="n">
        <v>45813</v>
      </c>
      <c r="D2301" s="13" t="s">
        <v>3022</v>
      </c>
      <c r="E2301" s="15" t="s">
        <v>33</v>
      </c>
      <c r="F2301" s="24" t="s">
        <v>9844</v>
      </c>
      <c r="G2301" s="13" t="s">
        <v>57</v>
      </c>
      <c r="H2301" s="13" t="s">
        <v>3024</v>
      </c>
      <c r="I2301" s="13" t="str">
        <f aca="false">IF(C2301=J2301,"NEW KONTRAK","RE-KONTRAK")</f>
        <v>NEW KONTRAK</v>
      </c>
      <c r="J2301" s="16" t="n">
        <f aca="false" t="array" ref="J2301:J2301">IFERROR(INDEX(AC2301:AE2301,IF(COUNTA(AC2301:AE2301)=0,"",MAX((AC2301:AE2301&lt;&gt;"")*(COLUMN(AC2301:AE2301)-(COLUMN(AC2301)))))-1),"")</f>
        <v>45813</v>
      </c>
      <c r="K2301" s="16" t="n">
        <f aca="false" t="array" ref="K2301:K2301">IFERROR(INDEX(AC2301:AE2301,IF(COUNTA(AC2301:AE2301)=0,"",MAX((AC2301:AE2301&lt;&gt;"")*(COLUMN(AC2301:AE2301)-(COLUMN(AC2301)-1))))-1),"")</f>
        <v>45904</v>
      </c>
      <c r="L2301" s="17" t="str">
        <f aca="false" t="array" ref="L2301:L2301">IFERROR(INDEX(AC2301:AE2301,IF(COUNTA(AC2301:AE2301)=0,"",MAX((AC2301:AE2301&lt;&gt;"")*(COLUMN(AC2301:AE2301)-(COLUMN(AC2301)-2))))-1),"")</f>
        <v>ARCHIVED</v>
      </c>
      <c r="M2301" s="13" t="n">
        <f aca="true">K2301-TODAY()</f>
        <v>-420</v>
      </c>
      <c r="N2301" s="18" t="s">
        <v>36</v>
      </c>
      <c r="O2301" s="13" t="s">
        <v>58</v>
      </c>
      <c r="P2301" s="19" t="n">
        <v>90000</v>
      </c>
      <c r="Q2301" s="20" t="s">
        <v>9845</v>
      </c>
      <c r="R2301" s="13" t="s">
        <v>232</v>
      </c>
      <c r="S2301" s="16" t="n">
        <v>38220</v>
      </c>
      <c r="T2301" s="28" t="s">
        <v>40</v>
      </c>
      <c r="U2301" s="13" t="s">
        <v>9846</v>
      </c>
      <c r="V2301" s="13" t="s">
        <v>42</v>
      </c>
      <c r="W2301" s="13" t="s">
        <v>43</v>
      </c>
      <c r="X2301" s="30" t="n">
        <v>82396717565</v>
      </c>
      <c r="Y2301" s="22" t="str">
        <f aca="false">O2301</f>
        <v>Produksi</v>
      </c>
      <c r="Z2301" s="13" t="str">
        <f aca="false">IFERROR(__xludf.dummyfunction("if(BJ2301="""","""",GOOGLETRANSLATE(BJ2301,""auto"",""en""))"),"Production")</f>
        <v>Production</v>
      </c>
      <c r="AA2301" s="23" t="str">
        <f aca="false">IF(C2301="","", CHOOSE(MONTH(C2301),"January","February","March","April","May","June","July","August","September","October","November","December")&amp;" "&amp;DAY(C2301)&amp;MID("thstndrdth",MIN(9,2*RIGHT(DAY(C2301))*(MOD(DAY(C2301)-11,100)&gt;2)+1),2)&amp;","&amp;TEXT(C2301," yyyy"))</f>
        <v>June 5th,2025</v>
      </c>
      <c r="AB2301" s="15" t="str">
        <f aca="true">IF(S2301="","",DATEDIF(S2301,TODAY(),"Y")&amp;" Tahun, "&amp;DATEDIF(S2301,TODAY(),"YM")&amp;" Bulan, "&amp;DATEDIF(S2301,TODAY(),"MD")&amp;" Hari")</f>
        <v>22 Tahun, 2 Bulan, 8 Hari</v>
      </c>
      <c r="AC2301" s="18" t="n">
        <v>45813</v>
      </c>
      <c r="AD2301" s="18" t="n">
        <v>45904</v>
      </c>
      <c r="AE2301" s="18" t="s">
        <v>44</v>
      </c>
    </row>
    <row r="2302" customFormat="false" ht="15" hidden="false" customHeight="true" outlineLevel="0" collapsed="false">
      <c r="A2302" s="12" t="n">
        <v>19794</v>
      </c>
      <c r="B2302" s="13" t="s">
        <v>9847</v>
      </c>
      <c r="C2302" s="16" t="n">
        <v>45825</v>
      </c>
      <c r="D2302" s="13" t="s">
        <v>5726</v>
      </c>
      <c r="E2302" s="15" t="s">
        <v>33</v>
      </c>
      <c r="F2302" s="24" t="s">
        <v>9848</v>
      </c>
      <c r="G2302" s="13" t="s">
        <v>9849</v>
      </c>
      <c r="H2302" s="13" t="s">
        <v>35</v>
      </c>
      <c r="I2302" s="13" t="str">
        <f aca="false">IF(C2302=J2302,"NEW KONTRAK","RE-KONTRAK")</f>
        <v>NEW KONTRAK</v>
      </c>
      <c r="J2302" s="16" t="n">
        <f aca="false" t="array" ref="J2302:J2302">IFERROR(INDEX(AC2302:AE2302,IF(COUNTA(AC2302:AE2302)=0,"",MAX((AC2302:AE2302&lt;&gt;"")*(COLUMN(AC2302:AE2302)-(COLUMN(AC2302)))))-1),"")</f>
        <v>45825</v>
      </c>
      <c r="K2302" s="16" t="n">
        <f aca="false" t="array" ref="K2302:K2302">IFERROR(INDEX(AC2302:AE2302,IF(COUNTA(AC2302:AE2302)=0,"",MAX((AC2302:AE2302&lt;&gt;"")*(COLUMN(AC2302:AE2302)-(COLUMN(AC2302)-1))))-1),"")</f>
        <v>46007</v>
      </c>
      <c r="L2302" s="17" t="str">
        <f aca="false" t="array" ref="L2302:L2302">IFERROR(INDEX(AC2302:AE2302,IF(COUNTA(AC2302:AE2302)=0,"",MAX((AC2302:AE2302&lt;&gt;"")*(COLUMN(AC2302:AE2302)-(COLUMN(AC2302)-2))))-1),"")</f>
        <v>ARCHIVED</v>
      </c>
      <c r="M2302" s="13" t="n">
        <f aca="true">K2302-TODAY()</f>
        <v>-317</v>
      </c>
      <c r="N2302" s="18" t="s">
        <v>615</v>
      </c>
      <c r="O2302" s="13" t="s">
        <v>9850</v>
      </c>
      <c r="P2302" s="27" t="n">
        <v>5176101</v>
      </c>
      <c r="Q2302" s="20" t="s">
        <v>9851</v>
      </c>
      <c r="R2302" s="13" t="s">
        <v>232</v>
      </c>
      <c r="S2302" s="16" t="n">
        <v>33271</v>
      </c>
      <c r="T2302" s="13" t="s">
        <v>108</v>
      </c>
      <c r="U2302" s="13" t="s">
        <v>9852</v>
      </c>
      <c r="V2302" s="13" t="s">
        <v>42</v>
      </c>
      <c r="W2302" s="13" t="s">
        <v>54</v>
      </c>
      <c r="X2302" s="21" t="n">
        <v>85755964751</v>
      </c>
      <c r="Y2302" s="22" t="str">
        <f aca="false">O2302</f>
        <v>Staff Admin Export Import</v>
      </c>
      <c r="Z2302" s="13" t="str">
        <f aca="false">IFERROR(__xludf.dummyfunction("if(BJ2302="""","""",GOOGLETRANSLATE(BJ2302,""auto"",""en""))"),"Staff Admin Export Import")</f>
        <v>Staff Admin Export Import</v>
      </c>
      <c r="AA2302" s="23" t="str">
        <f aca="false">IF(C2302="","", CHOOSE(MONTH(C2302),"January","February","March","April","May","June","July","August","September","October","November","December")&amp;" "&amp;DAY(C2302)&amp;MID("thstndrdth",MIN(9,2*RIGHT(DAY(C2302))*(MOD(DAY(C2302)-11,100)&gt;2)+1),2)&amp;","&amp;TEXT(C2302," yyyy"))</f>
        <v>June 17th,2025</v>
      </c>
      <c r="AB2302" s="15" t="str">
        <f aca="true">IF(S2302="","",DATEDIF(S2302,TODAY(),"Y")&amp;" Tahun, "&amp;DATEDIF(S2302,TODAY(),"YM")&amp;" Bulan, "&amp;DATEDIF(S2302,TODAY(),"MD")&amp;" Hari")</f>
        <v>35 Tahun, 8 Bulan, 27 Hari</v>
      </c>
      <c r="AC2302" s="18" t="n">
        <v>45825</v>
      </c>
      <c r="AD2302" s="18" t="n">
        <v>46007</v>
      </c>
      <c r="AE2302" s="18" t="s">
        <v>44</v>
      </c>
    </row>
    <row r="2303" customFormat="false" ht="15" hidden="false" customHeight="true" outlineLevel="0" collapsed="false">
      <c r="A2303" s="12" t="n">
        <v>21957</v>
      </c>
      <c r="B2303" s="69" t="s">
        <v>9853</v>
      </c>
      <c r="C2303" s="79" t="n">
        <v>46082</v>
      </c>
      <c r="D2303" s="13" t="s">
        <v>2033</v>
      </c>
      <c r="E2303" s="15" t="s">
        <v>47</v>
      </c>
      <c r="F2303" s="15" t="str">
        <f aca="false">IFERROR(__xludf.dummyfunction("XLOOKUP(AJ2303,IMPORTRANGE(""1XaInW9DU9nz21V0tYIfzFQ0He9kVQ_JF2mCXgZ3hqFA"",""REKAP ALL 2026 - Andika!G:G""),IMPORTRANGE(""1XaInW9DU9nz21V0tYIfzFQ0He9kVQ_JF2mCXgZ3hqFA"",""REKAP ALL 2026 - Andika!F:F""),"""",0)"),"26062983122")</f>
        <v>26062983122</v>
      </c>
      <c r="G2303" s="13" t="s">
        <v>1127</v>
      </c>
      <c r="H2303" s="13" t="s">
        <v>35</v>
      </c>
      <c r="I2303" s="13" t="str">
        <f aca="false">IF(C2303=J2303,"NEW KONTRAK","RE-KONTRAK")</f>
        <v>NEW KONTRAK</v>
      </c>
      <c r="J2303" s="16" t="n">
        <f aca="false" t="array" ref="J2303:J2303">IFERROR(INDEX(AC2303:AE2303,IF(COUNTA(AC2303:AE2303)=0,"",MAX((AC2303:AE2303&lt;&gt;"")*(COLUMN(AC2303:AE2303)-(COLUMN(AC2303)))))-1),"")</f>
        <v>46082</v>
      </c>
      <c r="K2303" s="16" t="n">
        <f aca="false" t="array" ref="K2303:K2303">IFERROR(INDEX(AC2303:AE2303,IF(COUNTA(AC2303:AE2303)=0,"",MAX((AC2303:AE2303&lt;&gt;"")*(COLUMN(AC2303:AE2303)-(COLUMN(AC2303)-1))))-1),"")</f>
        <v>46188</v>
      </c>
      <c r="L2303" s="17" t="str">
        <f aca="false" t="array" ref="L2303:L2303">IFERROR(INDEX(AC2303:AE2303,IF(COUNTA(AC2303:AE2303)=0,"",MAX((AC2303:AE2303&lt;&gt;"")*(COLUMN(AC2303:AE2303)-(COLUMN(AC2303)-2))))-1),"")</f>
        <v>KEMBALI ONLINE</v>
      </c>
      <c r="M2303" s="13" t="n">
        <f aca="true">K2303-TODAY()</f>
        <v>-136</v>
      </c>
      <c r="N2303" s="18" t="s">
        <v>9854</v>
      </c>
      <c r="O2303" s="13" t="s">
        <v>5017</v>
      </c>
      <c r="P2303" s="75" t="n">
        <v>2455898</v>
      </c>
      <c r="Q2303" s="47" t="s">
        <v>9855</v>
      </c>
      <c r="R2303" s="13" t="s">
        <v>9856</v>
      </c>
      <c r="S2303" s="16" t="n">
        <v>32186</v>
      </c>
      <c r="T2303" s="13" t="s">
        <v>108</v>
      </c>
      <c r="U2303" s="13" t="s">
        <v>9857</v>
      </c>
      <c r="V2303" s="28" t="s">
        <v>1216</v>
      </c>
      <c r="W2303" s="13" t="s">
        <v>54</v>
      </c>
      <c r="X2303" s="21" t="n">
        <v>81339526700</v>
      </c>
      <c r="Y2303" s="22" t="str">
        <f aca="false">O2303</f>
        <v>Sales</v>
      </c>
      <c r="Z2303" s="13" t="str">
        <f aca="false">IFERROR(__xludf.dummyfunction("if(BJ2303="""","""",GOOGLETRANSLATE(BJ2303,""auto"",""en""))"),"Sales")</f>
        <v>Sales</v>
      </c>
      <c r="AA2303" s="23" t="str">
        <f aca="false">IF(C2303="","", CHOOSE(MONTH(C2303),"January","February","March","April","May","June","July","August","September","October","November","December")&amp;" "&amp;DAY(C2303)&amp;MID("thstndrdth",MIN(9,2*RIGHT(DAY(C2303))*(MOD(DAY(C2303)-11,100)&gt;2)+1),2)&amp;","&amp;TEXT(C2303," yyyy"))</f>
        <v>March 1st,2026</v>
      </c>
      <c r="AB2303" s="15" t="str">
        <f aca="true">IF(S2303="","",DATEDIF(S2303,TODAY(),"Y")&amp;" Tahun, "&amp;DATEDIF(S2303,TODAY(),"YM")&amp;" Bulan, "&amp;DATEDIF(S2303,TODAY(),"MD")&amp;" Hari")</f>
        <v>38 Tahun, 8 Bulan, 16 Hari</v>
      </c>
      <c r="AC2303" s="80" t="n">
        <v>46082</v>
      </c>
      <c r="AD2303" s="18" t="n">
        <v>46188</v>
      </c>
      <c r="AE2303" s="13" t="s">
        <v>2387</v>
      </c>
    </row>
    <row r="2304" customFormat="false" ht="15" hidden="false" customHeight="true" outlineLevel="0" collapsed="false">
      <c r="A2304" s="12" t="n">
        <v>19816</v>
      </c>
      <c r="B2304" s="13" t="s">
        <v>9858</v>
      </c>
      <c r="C2304" s="16" t="n">
        <v>45798</v>
      </c>
      <c r="D2304" s="13" t="s">
        <v>2033</v>
      </c>
      <c r="E2304" s="15" t="s">
        <v>33</v>
      </c>
      <c r="F2304" s="24" t="s">
        <v>9859</v>
      </c>
      <c r="G2304" s="13" t="s">
        <v>9860</v>
      </c>
      <c r="H2304" s="13" t="s">
        <v>2035</v>
      </c>
      <c r="I2304" s="13" t="str">
        <f aca="false">IF(C2304=J2304,"NEW KONTRAK","RE-KONTRAK")</f>
        <v>RE-KONTRAK</v>
      </c>
      <c r="J2304" s="16" t="n">
        <f aca="false" t="array" ref="J2304:J2304">IFERROR(INDEX(AC2304:AE2304,IF(COUNTA(AC2304:AE2304)=0,"",MAX((AC2304:AE2304&lt;&gt;"")*(COLUMN(AC2304:AE2304)-(COLUMN(AC2304)))))-1),"")</f>
        <v>45827</v>
      </c>
      <c r="K2304" s="16" t="n">
        <f aca="false" t="array" ref="K2304:K2304">IFERROR(INDEX(AC2304:AE2304,IF(COUNTA(AC2304:AE2304)=0,"",MAX((AC2304:AE2304&lt;&gt;"")*(COLUMN(AC2304:AE2304)-(COLUMN(AC2304)-1))))-1),"")</f>
        <v>45915</v>
      </c>
      <c r="L2304" s="17" t="str">
        <f aca="false" t="array" ref="L2304:L2304">IFERROR(INDEX(AC2304:AE2304,IF(COUNTA(AC2304:AE2304)=0,"",MAX((AC2304:AE2304&lt;&gt;"")*(COLUMN(AC2304:AE2304)-(COLUMN(AC2304)-2))))-1),"")</f>
        <v>ARCHIVED</v>
      </c>
      <c r="M2304" s="13" t="n">
        <f aca="true">K2304-TODAY()</f>
        <v>-409</v>
      </c>
      <c r="N2304" s="99" t="s">
        <v>2373</v>
      </c>
      <c r="O2304" s="13" t="s">
        <v>2037</v>
      </c>
      <c r="P2304" s="19" t="n">
        <v>96662.4</v>
      </c>
      <c r="Q2304" s="20" t="s">
        <v>9861</v>
      </c>
      <c r="R2304" s="97" t="s">
        <v>97</v>
      </c>
      <c r="S2304" s="16" t="n">
        <v>35857</v>
      </c>
      <c r="T2304" s="13" t="s">
        <v>108</v>
      </c>
      <c r="U2304" s="13" t="s">
        <v>9862</v>
      </c>
      <c r="V2304" s="13" t="s">
        <v>42</v>
      </c>
      <c r="W2304" s="13" t="s">
        <v>43</v>
      </c>
      <c r="X2304" s="21" t="n">
        <v>81770430096</v>
      </c>
      <c r="Y2304" s="22" t="str">
        <f aca="false">O2304</f>
        <v>SPG/BA</v>
      </c>
      <c r="Z2304" s="13" t="str">
        <f aca="false">IFERROR(__xludf.dummyfunction("if(BJ2304="""","""",GOOGLETRANSLATE(BJ2304,""auto"",""en""))"),"SPG/BA")</f>
        <v>SPG/BA</v>
      </c>
      <c r="AA2304" s="23" t="str">
        <f aca="false">IF(C2304="","", CHOOSE(MONTH(C2304),"January","February","March","April","May","June","July","August","September","October","November","December")&amp;" "&amp;DAY(C2304)&amp;MID("thstndrdth",MIN(9,2*RIGHT(DAY(C2304))*(MOD(DAY(C2304)-11,100)&gt;2)+1),2)&amp;","&amp;TEXT(C2304," yyyy"))</f>
        <v>May 21st,2025</v>
      </c>
      <c r="AB2304" s="15" t="str">
        <f aca="true">IF(S2304="","",DATEDIF(S2304,TODAY(),"Y")&amp;" Tahun, "&amp;DATEDIF(S2304,TODAY(),"YM")&amp;" Bulan, "&amp;DATEDIF(S2304,TODAY(),"MD")&amp;" Hari")</f>
        <v>28 Tahun, 7 Bulan, 26 Hari</v>
      </c>
      <c r="AC2304" s="18" t="n">
        <v>45827</v>
      </c>
      <c r="AD2304" s="18" t="n">
        <v>45915</v>
      </c>
      <c r="AE2304" s="18" t="s">
        <v>44</v>
      </c>
    </row>
    <row r="2305" customFormat="false" ht="15" hidden="false" customHeight="true" outlineLevel="0" collapsed="false">
      <c r="A2305" s="12" t="n">
        <v>19817</v>
      </c>
      <c r="B2305" s="76" t="s">
        <v>9863</v>
      </c>
      <c r="C2305" s="16" t="n">
        <v>45789</v>
      </c>
      <c r="D2305" s="13" t="s">
        <v>2033</v>
      </c>
      <c r="E2305" s="15" t="s">
        <v>33</v>
      </c>
      <c r="F2305" s="24" t="s">
        <v>9864</v>
      </c>
      <c r="G2305" s="13" t="s">
        <v>9865</v>
      </c>
      <c r="H2305" s="13" t="s">
        <v>2035</v>
      </c>
      <c r="I2305" s="13" t="str">
        <f aca="false">IF(C2305=J2305,"NEW KONTRAK","RE-KONTRAK")</f>
        <v>NEW KONTRAK</v>
      </c>
      <c r="J2305" s="16" t="n">
        <f aca="false" t="array" ref="J2305:J2305">IFERROR(INDEX(AC2305:AE2305,IF(COUNTA(AC2305:AE2305)=0,"",MAX((AC2305:AE2305&lt;&gt;"")*(COLUMN(AC2305:AE2305)-(COLUMN(AC2305)))))-1),"")</f>
        <v>45789</v>
      </c>
      <c r="K2305" s="16" t="n">
        <f aca="false" t="array" ref="K2305:K2305">IFERROR(INDEX(AC2305:AE2305,IF(COUNTA(AC2305:AE2305)=0,"",MAX((AC2305:AE2305&lt;&gt;"")*(COLUMN(AC2305:AE2305)-(COLUMN(AC2305)-1))))-1),"")</f>
        <v>45915</v>
      </c>
      <c r="L2305" s="17" t="str">
        <f aca="false" t="array" ref="L2305:L2305">IFERROR(INDEX(AC2305:AE2305,IF(COUNTA(AC2305:AE2305)=0,"",MAX((AC2305:AE2305&lt;&gt;"")*(COLUMN(AC2305:AE2305)-(COLUMN(AC2305)-2))))-1),"")</f>
        <v>ARCHIVED</v>
      </c>
      <c r="M2305" s="13" t="n">
        <f aca="true">K2305-TODAY()</f>
        <v>-409</v>
      </c>
      <c r="N2305" s="99" t="s">
        <v>9866</v>
      </c>
      <c r="O2305" s="13" t="s">
        <v>2037</v>
      </c>
      <c r="P2305" s="19" t="n">
        <v>98699.52</v>
      </c>
      <c r="Q2305" s="77" t="s">
        <v>9867</v>
      </c>
      <c r="R2305" s="97" t="s">
        <v>9866</v>
      </c>
      <c r="S2305" s="16" t="n">
        <v>35152</v>
      </c>
      <c r="T2305" s="13" t="s">
        <v>108</v>
      </c>
      <c r="U2305" s="13" t="s">
        <v>9868</v>
      </c>
      <c r="V2305" s="13" t="s">
        <v>42</v>
      </c>
      <c r="W2305" s="13" t="s">
        <v>54</v>
      </c>
      <c r="X2305" s="21" t="n">
        <v>83181576650</v>
      </c>
      <c r="Y2305" s="22" t="str">
        <f aca="false">O2305</f>
        <v>SPG/BA</v>
      </c>
      <c r="Z2305" s="13" t="str">
        <f aca="false">IFERROR(__xludf.dummyfunction("if(BJ2305="""","""",GOOGLETRANSLATE(BJ2305,""auto"",""en""))"),"SPG/BA")</f>
        <v>SPG/BA</v>
      </c>
      <c r="AA2305" s="23" t="str">
        <f aca="false">IF(C2305="","", CHOOSE(MONTH(C2305),"January","February","March","April","May","June","July","August","September","October","November","December")&amp;" "&amp;DAY(C2305)&amp;MID("thstndrdth",MIN(9,2*RIGHT(DAY(C2305))*(MOD(DAY(C2305)-11,100)&gt;2)+1),2)&amp;","&amp;TEXT(C2305," yyyy"))</f>
        <v>May 12th,2025</v>
      </c>
      <c r="AB2305" s="15" t="str">
        <f aca="true">IF(S2305="","",DATEDIF(S2305,TODAY(),"Y")&amp;" Tahun, "&amp;DATEDIF(S2305,TODAY(),"YM")&amp;" Bulan, "&amp;DATEDIF(S2305,TODAY(),"MD")&amp;" Hari")</f>
        <v>30 Tahun, 7 Bulan, 1 Hari</v>
      </c>
      <c r="AC2305" s="18" t="n">
        <v>45789</v>
      </c>
      <c r="AD2305" s="18" t="n">
        <v>45915</v>
      </c>
      <c r="AE2305" s="18" t="s">
        <v>44</v>
      </c>
    </row>
    <row r="2306" customFormat="false" ht="15" hidden="false" customHeight="true" outlineLevel="0" collapsed="false">
      <c r="A2306" s="12" t="n">
        <v>19818</v>
      </c>
      <c r="B2306" s="93" t="s">
        <v>9869</v>
      </c>
      <c r="C2306" s="16" t="n">
        <v>45803</v>
      </c>
      <c r="D2306" s="13" t="s">
        <v>2033</v>
      </c>
      <c r="E2306" s="15" t="s">
        <v>33</v>
      </c>
      <c r="F2306" s="24" t="s">
        <v>9870</v>
      </c>
      <c r="G2306" s="13" t="s">
        <v>9871</v>
      </c>
      <c r="H2306" s="13" t="s">
        <v>2035</v>
      </c>
      <c r="I2306" s="13" t="str">
        <f aca="false">IF(C2306=J2306,"NEW KONTRAK","RE-KONTRAK")</f>
        <v>NEW KONTRAK</v>
      </c>
      <c r="J2306" s="16" t="n">
        <f aca="false" t="array" ref="J2306:J2306">IFERROR(INDEX(AC2306:AE2306,IF(COUNTA(AC2306:AE2306)=0,"",MAX((AC2306:AE2306&lt;&gt;"")*(COLUMN(AC2306:AE2306)-(COLUMN(AC2306)))))-1),"")</f>
        <v>45803</v>
      </c>
      <c r="K2306" s="16" t="n">
        <f aca="false" t="array" ref="K2306:K2306">IFERROR(INDEX(AC2306:AE2306,IF(COUNTA(AC2306:AE2306)=0,"",MAX((AC2306:AE2306&lt;&gt;"")*(COLUMN(AC2306:AE2306)-(COLUMN(AC2306)-1))))-1),"")</f>
        <v>45915</v>
      </c>
      <c r="L2306" s="17" t="str">
        <f aca="false" t="array" ref="L2306:L2306">IFERROR(INDEX(AC2306:AE2306,IF(COUNTA(AC2306:AE2306)=0,"",MAX((AC2306:AE2306&lt;&gt;"")*(COLUMN(AC2306:AE2306)-(COLUMN(AC2306)-2))))-1),"")</f>
        <v>ARCHIVED</v>
      </c>
      <c r="M2306" s="13" t="n">
        <f aca="true">K2306-TODAY()</f>
        <v>-409</v>
      </c>
      <c r="N2306" s="99" t="s">
        <v>2383</v>
      </c>
      <c r="O2306" s="13" t="s">
        <v>2037</v>
      </c>
      <c r="P2306" s="19" t="n">
        <v>147037.48</v>
      </c>
      <c r="Q2306" s="77" t="s">
        <v>9872</v>
      </c>
      <c r="R2306" s="97" t="s">
        <v>9873</v>
      </c>
      <c r="S2306" s="16" t="n">
        <v>37543</v>
      </c>
      <c r="T2306" s="13" t="s">
        <v>108</v>
      </c>
      <c r="U2306" s="13" t="s">
        <v>9874</v>
      </c>
      <c r="V2306" s="13" t="s">
        <v>42</v>
      </c>
      <c r="W2306" s="13" t="s">
        <v>43</v>
      </c>
      <c r="X2306" s="21" t="n">
        <v>83180207145</v>
      </c>
      <c r="Y2306" s="22" t="str">
        <f aca="false">O2306</f>
        <v>SPG/BA</v>
      </c>
      <c r="Z2306" s="13" t="str">
        <f aca="false">IFERROR(__xludf.dummyfunction("if(BJ2306="""","""",GOOGLETRANSLATE(BJ2306,""auto"",""en""))"),"SPG/BA")</f>
        <v>SPG/BA</v>
      </c>
      <c r="AA2306" s="23" t="str">
        <f aca="false">IF(C2306="","", CHOOSE(MONTH(C2306),"January","February","March","April","May","June","July","August","September","October","November","December")&amp;" "&amp;DAY(C2306)&amp;MID("thstndrdth",MIN(9,2*RIGHT(DAY(C2306))*(MOD(DAY(C2306)-11,100)&gt;2)+1),2)&amp;","&amp;TEXT(C2306," yyyy"))</f>
        <v>May 26th,2025</v>
      </c>
      <c r="AB2306" s="15" t="str">
        <f aca="true">IF(S2306="","",DATEDIF(S2306,TODAY(),"Y")&amp;" Tahun, "&amp;DATEDIF(S2306,TODAY(),"YM")&amp;" Bulan, "&amp;DATEDIF(S2306,TODAY(),"MD")&amp;" Hari")</f>
        <v>24 Tahun, 0 Bulan, 15 Hari</v>
      </c>
      <c r="AC2306" s="18" t="n">
        <v>45803</v>
      </c>
      <c r="AD2306" s="18" t="n">
        <v>45915</v>
      </c>
      <c r="AE2306" s="18" t="s">
        <v>44</v>
      </c>
    </row>
    <row r="2307" customFormat="false" ht="15" hidden="false" customHeight="true" outlineLevel="0" collapsed="false">
      <c r="A2307" s="12" t="n">
        <v>19827</v>
      </c>
      <c r="B2307" s="13" t="s">
        <v>9875</v>
      </c>
      <c r="C2307" s="16" t="n">
        <v>45826</v>
      </c>
      <c r="D2307" s="13" t="s">
        <v>404</v>
      </c>
      <c r="E2307" s="15" t="s">
        <v>47</v>
      </c>
      <c r="F2307" s="15" t="str">
        <f aca="false">IFERROR(__xludf.dummyfunction("XLOOKUP(AJ2307,IMPORTRANGE(""1XaInW9DU9nz21V0tYIfzFQ0He9kVQ_JF2mCXgZ3hqFA"",""REKAP ALL 2026 - Andika!G:G""),IMPORTRANGE(""1XaInW9DU9nz21V0tYIfzFQ0He9kVQ_JF2mCXgZ3hqFA"",""REKAP ALL 2026 - Andika!F:F""),"""",0)"),"25079802978")</f>
        <v>25079802978</v>
      </c>
      <c r="G2307" s="13" t="s">
        <v>9876</v>
      </c>
      <c r="H2307" s="13" t="s">
        <v>35</v>
      </c>
      <c r="I2307" s="13" t="str">
        <f aca="false">IF(C2307=J2307,"NEW KONTRAK","RE-KONTRAK")</f>
        <v>NEW KONTRAK</v>
      </c>
      <c r="J2307" s="16" t="n">
        <f aca="false" t="array" ref="J2307:J2307">IFERROR(INDEX(AC2307:AE2307,IF(COUNTA(AC2307:AE2307)=0,"",MAX((AC2307:AE2307&lt;&gt;"")*(COLUMN(AC2307:AE2307)-(COLUMN(AC2307)))))-1),"")</f>
        <v>45826</v>
      </c>
      <c r="K2307" s="16" t="n">
        <f aca="false" t="array" ref="K2307:K2307">IFERROR(INDEX(AC2307:AE2307,IF(COUNTA(AC2307:AE2307)=0,"",MAX((AC2307:AE2307&lt;&gt;"")*(COLUMN(AC2307:AE2307)-(COLUMN(AC2307)-1))))-1),"")</f>
        <v>46022</v>
      </c>
      <c r="L2307" s="17" t="str">
        <f aca="false" t="array" ref="L2307:L2307">IFERROR(INDEX(AC2307:AE2307,IF(COUNTA(AC2307:AE2307)=0,"",MAX((AC2307:AE2307&lt;&gt;"")*(COLUMN(AC2307:AE2307)-(COLUMN(AC2307)-2))))-1),"")</f>
        <v>ARCHIVED</v>
      </c>
      <c r="M2307" s="13" t="n">
        <f aca="true">K2307-TODAY()</f>
        <v>-302</v>
      </c>
      <c r="N2307" s="18" t="s">
        <v>36</v>
      </c>
      <c r="O2307" s="13" t="s">
        <v>9877</v>
      </c>
      <c r="P2307" s="26" t="n">
        <v>5195401</v>
      </c>
      <c r="Q2307" s="20" t="s">
        <v>9878</v>
      </c>
      <c r="R2307" s="13" t="s">
        <v>65</v>
      </c>
      <c r="S2307" s="16" t="n">
        <v>38652</v>
      </c>
      <c r="T2307" s="28" t="s">
        <v>40</v>
      </c>
      <c r="U2307" s="13" t="s">
        <v>9879</v>
      </c>
      <c r="V2307" s="13" t="s">
        <v>42</v>
      </c>
      <c r="W2307" s="13" t="s">
        <v>43</v>
      </c>
      <c r="X2307" s="21" t="n">
        <v>85904386219</v>
      </c>
      <c r="Y2307" s="22" t="str">
        <f aca="false">O2307</f>
        <v>Operator Fraksinasi</v>
      </c>
      <c r="Z2307" s="13" t="str">
        <f aca="false">IFERROR(__xludf.dummyfunction("if(BJ2307="""","""",GOOGLETRANSLATE(BJ2307,""auto"",""en""))"),"Fractionation Operator")</f>
        <v>Fractionation Operator</v>
      </c>
      <c r="AA2307" s="23" t="str">
        <f aca="false">IF(C2307="","", CHOOSE(MONTH(C2307),"January","February","March","April","May","June","July","August","September","October","November","December")&amp;" "&amp;DAY(C2307)&amp;MID("thstndrdth",MIN(9,2*RIGHT(DAY(C2307))*(MOD(DAY(C2307)-11,100)&gt;2)+1),2)&amp;","&amp;TEXT(C2307," yyyy"))</f>
        <v>June 18th,2025</v>
      </c>
      <c r="AB2307" s="15" t="str">
        <f aca="true">IF(S2307="","",DATEDIF(S2307,TODAY(),"Y")&amp;" Tahun, "&amp;DATEDIF(S2307,TODAY(),"YM")&amp;" Bulan, "&amp;DATEDIF(S2307,TODAY(),"MD")&amp;" Hari")</f>
        <v>21 Tahun, 0 Bulan, 2 Hari</v>
      </c>
      <c r="AC2307" s="18" t="n">
        <v>45826</v>
      </c>
      <c r="AD2307" s="18" t="n">
        <v>46022</v>
      </c>
      <c r="AE2307" s="18" t="s">
        <v>44</v>
      </c>
    </row>
    <row r="2308" customFormat="false" ht="15" hidden="false" customHeight="true" outlineLevel="0" collapsed="false">
      <c r="A2308" s="12" t="n">
        <v>19820</v>
      </c>
      <c r="B2308" s="93" t="s">
        <v>9880</v>
      </c>
      <c r="C2308" s="16" t="n">
        <v>45809</v>
      </c>
      <c r="D2308" s="13" t="s">
        <v>2033</v>
      </c>
      <c r="E2308" s="15" t="s">
        <v>33</v>
      </c>
      <c r="F2308" s="24" t="s">
        <v>9881</v>
      </c>
      <c r="G2308" s="13" t="s">
        <v>9882</v>
      </c>
      <c r="H2308" s="13" t="s">
        <v>2035</v>
      </c>
      <c r="I2308" s="13" t="str">
        <f aca="false">IF(C2308=J2308,"NEW KONTRAK","RE-KONTRAK")</f>
        <v>NEW KONTRAK</v>
      </c>
      <c r="J2308" s="16" t="n">
        <f aca="false" t="array" ref="J2308:J2308">IFERROR(INDEX(AC2308:AE2308,IF(COUNTA(AC2308:AE2308)=0,"",MAX((AC2308:AE2308&lt;&gt;"")*(COLUMN(AC2308:AE2308)-(COLUMN(AC2308)))))-1),"")</f>
        <v>45809</v>
      </c>
      <c r="K2308" s="16" t="n">
        <f aca="false" t="array" ref="K2308:K2308">IFERROR(INDEX(AC2308:AE2308,IF(COUNTA(AC2308:AE2308)=0,"",MAX((AC2308:AE2308&lt;&gt;"")*(COLUMN(AC2308:AE2308)-(COLUMN(AC2308)-1))))-1),"")</f>
        <v>45915</v>
      </c>
      <c r="L2308" s="17" t="str">
        <f aca="false" t="array" ref="L2308:L2308">IFERROR(INDEX(AC2308:AE2308,IF(COUNTA(AC2308:AE2308)=0,"",MAX((AC2308:AE2308&lt;&gt;"")*(COLUMN(AC2308:AE2308)-(COLUMN(AC2308)-2))))-1),"")</f>
        <v>ARCHIVED</v>
      </c>
      <c r="M2308" s="13" t="n">
        <f aca="true">K2308-TODAY()</f>
        <v>-409</v>
      </c>
      <c r="N2308" s="99" t="s">
        <v>2587</v>
      </c>
      <c r="O2308" s="13" t="s">
        <v>2037</v>
      </c>
      <c r="P2308" s="19" t="n">
        <v>143967.28</v>
      </c>
      <c r="Q2308" s="77" t="s">
        <v>9883</v>
      </c>
      <c r="R2308" s="97" t="s">
        <v>752</v>
      </c>
      <c r="S2308" s="16" t="n">
        <v>36649</v>
      </c>
      <c r="T2308" s="13" t="s">
        <v>108</v>
      </c>
      <c r="U2308" s="13" t="s">
        <v>9884</v>
      </c>
      <c r="V2308" s="13" t="s">
        <v>42</v>
      </c>
      <c r="W2308" s="13" t="s">
        <v>43</v>
      </c>
      <c r="X2308" s="21" t="n">
        <v>81946408037</v>
      </c>
      <c r="Y2308" s="22" t="str">
        <f aca="false">O2308</f>
        <v>SPG/BA</v>
      </c>
      <c r="Z2308" s="13" t="str">
        <f aca="false">IFERROR(__xludf.dummyfunction("if(BJ2308="""","""",GOOGLETRANSLATE(BJ2308,""auto"",""en""))"),"SPG/BA")</f>
        <v>SPG/BA</v>
      </c>
      <c r="AA2308" s="23" t="str">
        <f aca="false">IF(C2308="","", CHOOSE(MONTH(C2308),"January","February","March","April","May","June","July","August","September","October","November","December")&amp;" "&amp;DAY(C2308)&amp;MID("thstndrdth",MIN(9,2*RIGHT(DAY(C2308))*(MOD(DAY(C2308)-11,100)&gt;2)+1),2)&amp;","&amp;TEXT(C2308," yyyy"))</f>
        <v>June 1st,2025</v>
      </c>
      <c r="AB2308" s="15" t="str">
        <f aca="true">IF(S2308="","",DATEDIF(S2308,TODAY(),"Y")&amp;" Tahun, "&amp;DATEDIF(S2308,TODAY(),"YM")&amp;" Bulan, "&amp;DATEDIF(S2308,TODAY(),"MD")&amp;" Hari")</f>
        <v>26 Tahun, 5 Bulan, 26 Hari</v>
      </c>
      <c r="AC2308" s="18" t="n">
        <v>45809</v>
      </c>
      <c r="AD2308" s="18" t="n">
        <v>45915</v>
      </c>
      <c r="AE2308" s="18" t="s">
        <v>44</v>
      </c>
    </row>
    <row r="2309" customFormat="false" ht="15" hidden="false" customHeight="true" outlineLevel="0" collapsed="false">
      <c r="A2309" s="12" t="n">
        <v>19821</v>
      </c>
      <c r="B2309" s="93" t="s">
        <v>9885</v>
      </c>
      <c r="C2309" s="16" t="n">
        <v>45803</v>
      </c>
      <c r="D2309" s="13" t="s">
        <v>2033</v>
      </c>
      <c r="E2309" s="15" t="s">
        <v>102</v>
      </c>
      <c r="F2309" s="15" t="str">
        <f aca="false">IFERROR(__xludf.dummyfunction("XLOOKUP(AJ2309,IMPORTRANGE(""1XaInW9DU9nz21V0tYIfzFQ0He9kVQ_JF2mCXgZ3hqFA"",""REKAP ALL 2026 - Andika!G:G""),IMPORTRANGE(""1XaInW9DU9nz21V0tYIfzFQ0He9kVQ_JF2mCXgZ3hqFA"",""REKAP ALL 2026 - Andika!F:F""),"""",0)"),"25079803380")</f>
        <v>25079803380</v>
      </c>
      <c r="G2309" s="13" t="s">
        <v>9886</v>
      </c>
      <c r="H2309" s="13" t="s">
        <v>2035</v>
      </c>
      <c r="I2309" s="13" t="str">
        <f aca="false">IF(C2309=J2309,"NEW KONTRAK","RE-KONTRAK")</f>
        <v>NEW KONTRAK</v>
      </c>
      <c r="J2309" s="16" t="n">
        <f aca="false" t="array" ref="J2309:J2309">IFERROR(INDEX(AC2309:AE2309,IF(COUNTA(AC2309:AE2309)=0,"",MAX((AC2309:AE2309&lt;&gt;"")*(COLUMN(AC2309:AE2309)-(COLUMN(AC2309)))))-1),"")</f>
        <v>45803</v>
      </c>
      <c r="K2309" s="16" t="n">
        <f aca="false" t="array" ref="K2309:K2309">IFERROR(INDEX(AC2309:AE2309,IF(COUNTA(AC2309:AE2309)=0,"",MAX((AC2309:AE2309&lt;&gt;"")*(COLUMN(AC2309:AE2309)-(COLUMN(AC2309)-1))))-1),"")</f>
        <v>45915</v>
      </c>
      <c r="L2309" s="17" t="str">
        <f aca="false" t="array" ref="L2309:L2309">IFERROR(INDEX(AC2309:AE2309,IF(COUNTA(AC2309:AE2309)=0,"",MAX((AC2309:AE2309&lt;&gt;"")*(COLUMN(AC2309:AE2309)-(COLUMN(AC2309)-2))))-1),"")</f>
        <v>ARCHIVED</v>
      </c>
      <c r="M2309" s="13" t="n">
        <f aca="true">K2309-TODAY()</f>
        <v>-409</v>
      </c>
      <c r="N2309" s="99" t="s">
        <v>9887</v>
      </c>
      <c r="O2309" s="13" t="s">
        <v>2037</v>
      </c>
      <c r="P2309" s="19" t="n">
        <v>4285850</v>
      </c>
      <c r="Q2309" s="77" t="s">
        <v>9888</v>
      </c>
      <c r="R2309" s="97" t="s">
        <v>9887</v>
      </c>
      <c r="S2309" s="16" t="n">
        <v>36293</v>
      </c>
      <c r="T2309" s="13" t="s">
        <v>108</v>
      </c>
      <c r="U2309" s="13" t="s">
        <v>9889</v>
      </c>
      <c r="V2309" s="13" t="s">
        <v>42</v>
      </c>
      <c r="W2309" s="13" t="s">
        <v>43</v>
      </c>
      <c r="X2309" s="21" t="n">
        <v>82129983400</v>
      </c>
      <c r="Y2309" s="22" t="str">
        <f aca="false">O2309</f>
        <v>SPG/BA</v>
      </c>
      <c r="Z2309" s="13" t="str">
        <f aca="false">IFERROR(__xludf.dummyfunction("if(BJ2309="""","""",GOOGLETRANSLATE(BJ2309,""auto"",""en""))"),"SPG/BA")</f>
        <v>SPG/BA</v>
      </c>
      <c r="AA2309" s="23" t="str">
        <f aca="false">IF(C2309="","", CHOOSE(MONTH(C2309),"January","February","March","April","May","June","July","August","September","October","November","December")&amp;" "&amp;DAY(C2309)&amp;MID("thstndrdth",MIN(9,2*RIGHT(DAY(C2309))*(MOD(DAY(C2309)-11,100)&gt;2)+1),2)&amp;","&amp;TEXT(C2309," yyyy"))</f>
        <v>May 26th,2025</v>
      </c>
      <c r="AB2309" s="15" t="str">
        <f aca="true">IF(S2309="","",DATEDIF(S2309,TODAY(),"Y")&amp;" Tahun, "&amp;DATEDIF(S2309,TODAY(),"YM")&amp;" Bulan, "&amp;DATEDIF(S2309,TODAY(),"MD")&amp;" Hari")</f>
        <v>27 Tahun, 5 Bulan, 16 Hari</v>
      </c>
      <c r="AC2309" s="18" t="n">
        <v>45803</v>
      </c>
      <c r="AD2309" s="18" t="n">
        <v>45915</v>
      </c>
      <c r="AE2309" s="18" t="s">
        <v>44</v>
      </c>
    </row>
    <row r="2310" customFormat="false" ht="15" hidden="false" customHeight="true" outlineLevel="0" collapsed="false">
      <c r="A2310" s="12" t="n">
        <v>19822</v>
      </c>
      <c r="B2310" s="93" t="s">
        <v>9890</v>
      </c>
      <c r="C2310" s="16" t="n">
        <v>45809</v>
      </c>
      <c r="D2310" s="13" t="s">
        <v>2033</v>
      </c>
      <c r="E2310" s="15" t="s">
        <v>33</v>
      </c>
      <c r="F2310" s="24" t="s">
        <v>9891</v>
      </c>
      <c r="G2310" s="13" t="s">
        <v>9892</v>
      </c>
      <c r="H2310" s="13" t="s">
        <v>2035</v>
      </c>
      <c r="I2310" s="13" t="str">
        <f aca="false">IF(C2310=J2310,"NEW KONTRAK","RE-KONTRAK")</f>
        <v>NEW KONTRAK</v>
      </c>
      <c r="J2310" s="16" t="n">
        <f aca="false" t="array" ref="J2310:J2310">IFERROR(INDEX(AC2310:AE2310,IF(COUNTA(AC2310:AE2310)=0,"",MAX((AC2310:AE2310&lt;&gt;"")*(COLUMN(AC2310:AE2310)-(COLUMN(AC2310)))))-1),"")</f>
        <v>45809</v>
      </c>
      <c r="K2310" s="16" t="n">
        <f aca="false" t="array" ref="K2310:K2310">IFERROR(INDEX(AC2310:AE2310,IF(COUNTA(AC2310:AE2310)=0,"",MAX((AC2310:AE2310&lt;&gt;"")*(COLUMN(AC2310:AE2310)-(COLUMN(AC2310)-1))))-1),"")</f>
        <v>45915</v>
      </c>
      <c r="L2310" s="17" t="str">
        <f aca="false" t="array" ref="L2310:L2310">IFERROR(INDEX(AC2310:AE2310,IF(COUNTA(AC2310:AE2310)=0,"",MAX((AC2310:AE2310&lt;&gt;"")*(COLUMN(AC2310:AE2310)-(COLUMN(AC2310)-2))))-1),"")</f>
        <v>ARCHIVED</v>
      </c>
      <c r="M2310" s="13" t="n">
        <f aca="true">K2310-TODAY()</f>
        <v>-409</v>
      </c>
      <c r="N2310" s="99" t="s">
        <v>5340</v>
      </c>
      <c r="O2310" s="13" t="s">
        <v>2037</v>
      </c>
      <c r="P2310" s="19" t="n">
        <v>142364.48</v>
      </c>
      <c r="Q2310" s="77" t="s">
        <v>9893</v>
      </c>
      <c r="R2310" s="97" t="s">
        <v>5340</v>
      </c>
      <c r="S2310" s="16" t="n">
        <v>35442</v>
      </c>
      <c r="T2310" s="13" t="s">
        <v>108</v>
      </c>
      <c r="U2310" s="13" t="s">
        <v>9894</v>
      </c>
      <c r="V2310" s="13" t="s">
        <v>42</v>
      </c>
      <c r="W2310" s="13" t="s">
        <v>54</v>
      </c>
      <c r="X2310" s="21" t="n">
        <v>87746982608</v>
      </c>
      <c r="Y2310" s="22" t="str">
        <f aca="false">O2310</f>
        <v>SPG/BA</v>
      </c>
      <c r="Z2310" s="13" t="str">
        <f aca="false">IFERROR(__xludf.dummyfunction("if(BJ2310="""","""",GOOGLETRANSLATE(BJ2310,""auto"",""en""))"),"SPG/BA")</f>
        <v>SPG/BA</v>
      </c>
      <c r="AA2310" s="23" t="str">
        <f aca="false">IF(C2310="","", CHOOSE(MONTH(C2310),"January","February","March","April","May","June","July","August","September","October","November","December")&amp;" "&amp;DAY(C2310)&amp;MID("thstndrdth",MIN(9,2*RIGHT(DAY(C2310))*(MOD(DAY(C2310)-11,100)&gt;2)+1),2)&amp;","&amp;TEXT(C2310," yyyy"))</f>
        <v>June 1st,2025</v>
      </c>
      <c r="AB2310" s="15" t="str">
        <f aca="true">IF(S2310="","",DATEDIF(S2310,TODAY(),"Y")&amp;" Tahun, "&amp;DATEDIF(S2310,TODAY(),"YM")&amp;" Bulan, "&amp;DATEDIF(S2310,TODAY(),"MD")&amp;" Hari")</f>
        <v>29 Tahun, 9 Bulan, 17 Hari</v>
      </c>
      <c r="AC2310" s="18" t="n">
        <v>45809</v>
      </c>
      <c r="AD2310" s="18" t="n">
        <v>45915</v>
      </c>
      <c r="AE2310" s="18" t="s">
        <v>44</v>
      </c>
    </row>
    <row r="2311" customFormat="false" ht="15" hidden="false" customHeight="true" outlineLevel="0" collapsed="false">
      <c r="A2311" s="12" t="n">
        <v>19823</v>
      </c>
      <c r="B2311" s="76" t="s">
        <v>9895</v>
      </c>
      <c r="C2311" s="16" t="n">
        <v>45799</v>
      </c>
      <c r="D2311" s="13" t="s">
        <v>2033</v>
      </c>
      <c r="E2311" s="15" t="s">
        <v>102</v>
      </c>
      <c r="F2311" s="15" t="str">
        <f aca="false">IFERROR(__xludf.dummyfunction("XLOOKUP(AJ2311,IMPORTRANGE(""1XaInW9DU9nz21V0tYIfzFQ0He9kVQ_JF2mCXgZ3hqFA"",""REKAP ALL 2026 - Andika!G:G""),IMPORTRANGE(""1XaInW9DU9nz21V0tYIfzFQ0He9kVQ_JF2mCXgZ3hqFA"",""REKAP ALL 2026 - Andika!F:F""),"""",0)"),"25079803281")</f>
        <v>25079803281</v>
      </c>
      <c r="G2311" s="13" t="s">
        <v>9896</v>
      </c>
      <c r="H2311" s="13" t="s">
        <v>2035</v>
      </c>
      <c r="I2311" s="13" t="str">
        <f aca="false">IF(C2311=J2311,"NEW KONTRAK","RE-KONTRAK")</f>
        <v>NEW KONTRAK</v>
      </c>
      <c r="J2311" s="16" t="n">
        <f aca="false" t="array" ref="J2311:J2311">IFERROR(INDEX(AC2311:AE2311,IF(COUNTA(AC2311:AE2311)=0,"",MAX((AC2311:AE2311&lt;&gt;"")*(COLUMN(AC2311:AE2311)-(COLUMN(AC2311)))))-1),"")</f>
        <v>45799</v>
      </c>
      <c r="K2311" s="16" t="n">
        <f aca="false" t="array" ref="K2311:K2311">IFERROR(INDEX(AC2311:AE2311,IF(COUNTA(AC2311:AE2311)=0,"",MAX((AC2311:AE2311&lt;&gt;"")*(COLUMN(AC2311:AE2311)-(COLUMN(AC2311)-1))))-1),"")</f>
        <v>45915</v>
      </c>
      <c r="L2311" s="17" t="str">
        <f aca="false" t="array" ref="L2311:L2311">IFERROR(INDEX(AC2311:AE2311,IF(COUNTA(AC2311:AE2311)=0,"",MAX((AC2311:AE2311&lt;&gt;"")*(COLUMN(AC2311:AE2311)-(COLUMN(AC2311)-2))))-1),"")</f>
        <v>ARCHIVED</v>
      </c>
      <c r="M2311" s="13" t="n">
        <f aca="true">K2311-TODAY()</f>
        <v>-409</v>
      </c>
      <c r="N2311" s="68" t="s">
        <v>6688</v>
      </c>
      <c r="O2311" s="13" t="s">
        <v>2037</v>
      </c>
      <c r="P2311" s="19" t="n">
        <v>3207459</v>
      </c>
      <c r="Q2311" s="77" t="s">
        <v>9897</v>
      </c>
      <c r="R2311" s="13" t="s">
        <v>6688</v>
      </c>
      <c r="S2311" s="16" t="n">
        <v>38834</v>
      </c>
      <c r="T2311" s="13" t="s">
        <v>108</v>
      </c>
      <c r="U2311" s="13" t="s">
        <v>9898</v>
      </c>
      <c r="V2311" s="13" t="s">
        <v>42</v>
      </c>
      <c r="W2311" s="13" t="s">
        <v>43</v>
      </c>
      <c r="X2311" s="21" t="n">
        <v>85739190504</v>
      </c>
      <c r="Y2311" s="22" t="str">
        <f aca="false">O2311</f>
        <v>SPG/BA</v>
      </c>
      <c r="Z2311" s="13" t="str">
        <f aca="false">IFERROR(__xludf.dummyfunction("if(BJ2311="""","""",GOOGLETRANSLATE(BJ2311,""auto"",""en""))"),"SPG/BA")</f>
        <v>SPG/BA</v>
      </c>
      <c r="AA2311" s="23" t="str">
        <f aca="false">IF(C2311="","", CHOOSE(MONTH(C2311),"January","February","March","April","May","June","July","August","September","October","November","December")&amp;" "&amp;DAY(C2311)&amp;MID("thstndrdth",MIN(9,2*RIGHT(DAY(C2311))*(MOD(DAY(C2311)-11,100)&gt;2)+1),2)&amp;","&amp;TEXT(C2311," yyyy"))</f>
        <v>May 22nd,2025</v>
      </c>
      <c r="AB2311" s="15" t="str">
        <f aca="true">IF(S2311="","",DATEDIF(S2311,TODAY(),"Y")&amp;" Tahun, "&amp;DATEDIF(S2311,TODAY(),"YM")&amp;" Bulan, "&amp;DATEDIF(S2311,TODAY(),"MD")&amp;" Hari")</f>
        <v>20 Tahun, 6 Bulan, 2 Hari</v>
      </c>
      <c r="AC2311" s="18" t="n">
        <v>45799</v>
      </c>
      <c r="AD2311" s="18" t="n">
        <v>45915</v>
      </c>
      <c r="AE2311" s="18" t="s">
        <v>44</v>
      </c>
    </row>
    <row r="2312" customFormat="false" ht="15" hidden="false" customHeight="true" outlineLevel="0" collapsed="false">
      <c r="A2312" s="12" t="n">
        <v>19824</v>
      </c>
      <c r="B2312" s="76" t="s">
        <v>9899</v>
      </c>
      <c r="C2312" s="16" t="n">
        <v>45810</v>
      </c>
      <c r="D2312" s="13" t="s">
        <v>2033</v>
      </c>
      <c r="E2312" s="15" t="s">
        <v>33</v>
      </c>
      <c r="F2312" s="24" t="s">
        <v>9900</v>
      </c>
      <c r="G2312" s="13" t="s">
        <v>9901</v>
      </c>
      <c r="H2312" s="13" t="s">
        <v>2035</v>
      </c>
      <c r="I2312" s="13" t="str">
        <f aca="false">IF(C2312=J2312,"NEW KONTRAK","RE-KONTRAK")</f>
        <v>NEW KONTRAK</v>
      </c>
      <c r="J2312" s="16" t="n">
        <f aca="false" t="array" ref="J2312:J2312">IFERROR(INDEX(AC2312:AE2312,IF(COUNTA(AC2312:AE2312)=0,"",MAX((AC2312:AE2312&lt;&gt;"")*(COLUMN(AC2312:AE2312)-(COLUMN(AC2312)))))-1),"")</f>
        <v>45810</v>
      </c>
      <c r="K2312" s="16" t="n">
        <f aca="false" t="array" ref="K2312:K2312">IFERROR(INDEX(AC2312:AE2312,IF(COUNTA(AC2312:AE2312)=0,"",MAX((AC2312:AE2312&lt;&gt;"")*(COLUMN(AC2312:AE2312)-(COLUMN(AC2312)-1))))-1),"")</f>
        <v>45915</v>
      </c>
      <c r="L2312" s="17" t="str">
        <f aca="false" t="array" ref="L2312:L2312">IFERROR(INDEX(AC2312:AE2312,IF(COUNTA(AC2312:AE2312)=0,"",MAX((AC2312:AE2312&lt;&gt;"")*(COLUMN(AC2312:AE2312)-(COLUMN(AC2312)-2))))-1),"")</f>
        <v>ARCHIVED</v>
      </c>
      <c r="M2312" s="13" t="n">
        <f aca="true">K2312-TODAY()</f>
        <v>-409</v>
      </c>
      <c r="N2312" s="68" t="s">
        <v>4903</v>
      </c>
      <c r="O2312" s="13" t="s">
        <v>2037</v>
      </c>
      <c r="P2312" s="19" t="n">
        <v>3024820</v>
      </c>
      <c r="Q2312" s="77" t="s">
        <v>9902</v>
      </c>
      <c r="R2312" s="13" t="s">
        <v>4903</v>
      </c>
      <c r="S2312" s="16" t="n">
        <v>38705</v>
      </c>
      <c r="T2312" s="13" t="s">
        <v>108</v>
      </c>
      <c r="U2312" s="13" t="s">
        <v>9903</v>
      </c>
      <c r="V2312" s="13" t="s">
        <v>42</v>
      </c>
      <c r="W2312" s="13" t="s">
        <v>43</v>
      </c>
      <c r="X2312" s="21" t="n">
        <v>89519192135</v>
      </c>
      <c r="Y2312" s="22" t="str">
        <f aca="false">O2312</f>
        <v>SPG/BA</v>
      </c>
      <c r="Z2312" s="13" t="str">
        <f aca="false">IFERROR(__xludf.dummyfunction("if(BJ2312="""","""",GOOGLETRANSLATE(BJ2312,""auto"",""en""))"),"SPG/BA")</f>
        <v>SPG/BA</v>
      </c>
      <c r="AA2312" s="23" t="str">
        <f aca="false">IF(C2312="","", CHOOSE(MONTH(C2312),"January","February","March","April","May","June","July","August","September","October","November","December")&amp;" "&amp;DAY(C2312)&amp;MID("thstndrdth",MIN(9,2*RIGHT(DAY(C2312))*(MOD(DAY(C2312)-11,100)&gt;2)+1),2)&amp;","&amp;TEXT(C2312," yyyy"))</f>
        <v>June 2nd,2025</v>
      </c>
      <c r="AB2312" s="15" t="str">
        <f aca="true">IF(S2312="","",DATEDIF(S2312,TODAY(),"Y")&amp;" Tahun, "&amp;DATEDIF(S2312,TODAY(),"YM")&amp;" Bulan, "&amp;DATEDIF(S2312,TODAY(),"MD")&amp;" Hari")</f>
        <v>20 Tahun, 10 Bulan, 10 Hari</v>
      </c>
      <c r="AC2312" s="18" t="n">
        <v>45810</v>
      </c>
      <c r="AD2312" s="18" t="n">
        <v>45915</v>
      </c>
      <c r="AE2312" s="18" t="s">
        <v>44</v>
      </c>
    </row>
    <row r="2313" customFormat="false" ht="15" hidden="false" customHeight="true" outlineLevel="0" collapsed="false">
      <c r="A2313" s="12" t="n">
        <v>19825</v>
      </c>
      <c r="B2313" s="93" t="s">
        <v>9904</v>
      </c>
      <c r="C2313" s="16" t="n">
        <v>45817</v>
      </c>
      <c r="D2313" s="13" t="s">
        <v>2033</v>
      </c>
      <c r="E2313" s="15" t="s">
        <v>102</v>
      </c>
      <c r="F2313" s="15" t="str">
        <f aca="false">IFERROR(__xludf.dummyfunction("XLOOKUP(AJ2313,IMPORTRANGE(""1XaInW9DU9nz21V0tYIfzFQ0He9kVQ_JF2mCXgZ3hqFA"",""REKAP ALL 2026 - Andika!G:G""),IMPORTRANGE(""1XaInW9DU9nz21V0tYIfzFQ0He9kVQ_JF2mCXgZ3hqFA"",""REKAP ALL 2026 - Andika!F:F""),"""",0)"),"25079803448")</f>
        <v>25079803448</v>
      </c>
      <c r="G2313" s="13" t="s">
        <v>9905</v>
      </c>
      <c r="H2313" s="13" t="s">
        <v>2035</v>
      </c>
      <c r="I2313" s="13" t="str">
        <f aca="false">IF(C2313=J2313,"NEW KONTRAK","RE-KONTRAK")</f>
        <v>NEW KONTRAK</v>
      </c>
      <c r="J2313" s="16" t="n">
        <f aca="false" t="array" ref="J2313:J2313">IFERROR(INDEX(AC2313:AE2313,IF(COUNTA(AC2313:AE2313)=0,"",MAX((AC2313:AE2313&lt;&gt;"")*(COLUMN(AC2313:AE2313)-(COLUMN(AC2313)))))-1),"")</f>
        <v>45817</v>
      </c>
      <c r="K2313" s="16" t="n">
        <f aca="false" t="array" ref="K2313:K2313">IFERROR(INDEX(AC2313:AE2313,IF(COUNTA(AC2313:AE2313)=0,"",MAX((AC2313:AE2313&lt;&gt;"")*(COLUMN(AC2313:AE2313)-(COLUMN(AC2313)-1))))-1),"")</f>
        <v>45915</v>
      </c>
      <c r="L2313" s="17" t="str">
        <f aca="false" t="array" ref="L2313:L2313">IFERROR(INDEX(AC2313:AE2313,IF(COUNTA(AC2313:AE2313)=0,"",MAX((AC2313:AE2313&lt;&gt;"")*(COLUMN(AC2313:AE2313)-(COLUMN(AC2313)-2))))-1),"")</f>
        <v>ARCHIVED</v>
      </c>
      <c r="M2313" s="13" t="n">
        <f aca="true">K2313-TODAY()</f>
        <v>-409</v>
      </c>
      <c r="N2313" s="18" t="s">
        <v>2587</v>
      </c>
      <c r="O2313" s="13" t="s">
        <v>5017</v>
      </c>
      <c r="P2313" s="19" t="n">
        <v>3855894</v>
      </c>
      <c r="Q2313" s="77" t="s">
        <v>9906</v>
      </c>
      <c r="R2313" s="13" t="s">
        <v>2589</v>
      </c>
      <c r="S2313" s="16" t="n">
        <v>35047</v>
      </c>
      <c r="T2313" s="28" t="s">
        <v>40</v>
      </c>
      <c r="U2313" s="13" t="s">
        <v>9907</v>
      </c>
      <c r="V2313" s="13" t="s">
        <v>42</v>
      </c>
      <c r="W2313" s="13" t="s">
        <v>43</v>
      </c>
      <c r="X2313" s="21" t="n">
        <v>81257855840</v>
      </c>
      <c r="Y2313" s="22" t="str">
        <f aca="false">O2313</f>
        <v>Sales</v>
      </c>
      <c r="Z2313" s="13" t="str">
        <f aca="false">IFERROR(__xludf.dummyfunction("if(BJ2313="""","""",GOOGLETRANSLATE(BJ2313,""auto"",""en""))"),"Sales")</f>
        <v>Sales</v>
      </c>
      <c r="AA2313" s="23" t="str">
        <f aca="false">IF(C2313="","", CHOOSE(MONTH(C2313),"January","February","March","April","May","June","July","August","September","October","November","December")&amp;" "&amp;DAY(C2313)&amp;MID("thstndrdth",MIN(9,2*RIGHT(DAY(C2313))*(MOD(DAY(C2313)-11,100)&gt;2)+1),2)&amp;","&amp;TEXT(C2313," yyyy"))</f>
        <v>June 9th,2025</v>
      </c>
      <c r="AB2313" s="15" t="str">
        <f aca="true">IF(S2313="","",DATEDIF(S2313,TODAY(),"Y")&amp;" Tahun, "&amp;DATEDIF(S2313,TODAY(),"YM")&amp;" Bulan, "&amp;DATEDIF(S2313,TODAY(),"MD")&amp;" Hari")</f>
        <v>30 Tahun, 10 Bulan, 15 Hari</v>
      </c>
      <c r="AC2313" s="18" t="n">
        <v>45817</v>
      </c>
      <c r="AD2313" s="18" t="n">
        <v>45915</v>
      </c>
      <c r="AE2313" s="18" t="s">
        <v>44</v>
      </c>
    </row>
    <row r="2314" customFormat="false" ht="15" hidden="false" customHeight="true" outlineLevel="0" collapsed="false">
      <c r="A2314" s="12" t="n">
        <v>19830</v>
      </c>
      <c r="B2314" s="13" t="s">
        <v>9908</v>
      </c>
      <c r="C2314" s="16" t="n">
        <v>45821</v>
      </c>
      <c r="D2314" s="13" t="s">
        <v>4610</v>
      </c>
      <c r="E2314" s="15" t="s">
        <v>47</v>
      </c>
      <c r="F2314" s="15" t="str">
        <f aca="false">IFERROR(__xludf.dummyfunction("XLOOKUP(AJ2314,IMPORTRANGE(""1XaInW9DU9nz21V0tYIfzFQ0He9kVQ_JF2mCXgZ3hqFA"",""REKAP ALL 2026 - Andika!G:G""),IMPORTRANGE(""1XaInW9DU9nz21V0tYIfzFQ0He9kVQ_JF2mCXgZ3hqFA"",""REKAP ALL 2026 - Andika!F:F""),"""",0)"),"25079805898")</f>
        <v>25079805898</v>
      </c>
      <c r="G2314" s="13" t="s">
        <v>57</v>
      </c>
      <c r="H2314" s="13" t="s">
        <v>35</v>
      </c>
      <c r="I2314" s="13" t="str">
        <f aca="false">IF(C2314=J2314,"NEW KONTRAK","RE-KONTRAK")</f>
        <v>NEW KONTRAK</v>
      </c>
      <c r="J2314" s="16" t="n">
        <f aca="false" t="array" ref="J2314:J2314">IFERROR(INDEX(AC2314:AE2314,IF(COUNTA(AC2314:AE2314)=0,"",MAX((AC2314:AE2314&lt;&gt;"")*(COLUMN(AC2314:AE2314)-(COLUMN(AC2314)))))-1),"")</f>
        <v>45821</v>
      </c>
      <c r="K2314" s="16" t="n">
        <f aca="false" t="array" ref="K2314:K2314">IFERROR(INDEX(AC2314:AE2314,IF(COUNTA(AC2314:AE2314)=0,"",MAX((AC2314:AE2314&lt;&gt;"")*(COLUMN(AC2314:AE2314)-(COLUMN(AC2314)-1))))-1),"")</f>
        <v>45912</v>
      </c>
      <c r="L2314" s="17" t="str">
        <f aca="false" t="array" ref="L2314:L2314">IFERROR(INDEX(AC2314:AE2314,IF(COUNTA(AC2314:AE2314)=0,"",MAX((AC2314:AE2314&lt;&gt;"")*(COLUMN(AC2314:AE2314)-(COLUMN(AC2314)-2))))-1),"")</f>
        <v>ARCHIVED</v>
      </c>
      <c r="M2314" s="13" t="n">
        <f aca="true">K2314-TODAY()</f>
        <v>-412</v>
      </c>
      <c r="N2314" s="18" t="s">
        <v>36</v>
      </c>
      <c r="O2314" s="13" t="s">
        <v>4255</v>
      </c>
      <c r="P2314" s="27" t="n">
        <v>200000</v>
      </c>
      <c r="Q2314" s="20" t="s">
        <v>9909</v>
      </c>
      <c r="R2314" s="13" t="s">
        <v>9910</v>
      </c>
      <c r="S2314" s="16" t="n">
        <v>33962</v>
      </c>
      <c r="T2314" s="28" t="s">
        <v>40</v>
      </c>
      <c r="U2314" s="13" t="s">
        <v>9911</v>
      </c>
      <c r="V2314" s="13" t="s">
        <v>42</v>
      </c>
      <c r="W2314" s="13" t="s">
        <v>54</v>
      </c>
      <c r="X2314" s="21" t="n">
        <v>81250327406</v>
      </c>
      <c r="Y2314" s="22" t="str">
        <f aca="false">O2314</f>
        <v>Operator Cutting</v>
      </c>
      <c r="Z2314" s="13" t="str">
        <f aca="false">IFERROR(__xludf.dummyfunction("if(BJ2314="""","""",GOOGLETRANSLATE(BJ2314,""auto"",""en""))"),"Operator Cutting")</f>
        <v>Operator Cutting</v>
      </c>
      <c r="AA2314" s="23" t="str">
        <f aca="false">IF(C2314="","", CHOOSE(MONTH(C2314),"January","February","March","April","May","June","July","August","September","October","November","December")&amp;" "&amp;DAY(C2314)&amp;MID("thstndrdth",MIN(9,2*RIGHT(DAY(C2314))*(MOD(DAY(C2314)-11,100)&gt;2)+1),2)&amp;","&amp;TEXT(C2314," yyyy"))</f>
        <v>June 13th,2025</v>
      </c>
      <c r="AB2314" s="15" t="str">
        <f aca="true">IF(S2314="","",DATEDIF(S2314,TODAY(),"Y")&amp;" Tahun, "&amp;DATEDIF(S2314,TODAY(),"YM")&amp;" Bulan, "&amp;DATEDIF(S2314,TODAY(),"MD")&amp;" Hari")</f>
        <v>33 Tahun, 10 Bulan, 5 Hari</v>
      </c>
      <c r="AC2314" s="18" t="n">
        <v>45821</v>
      </c>
      <c r="AD2314" s="18" t="n">
        <v>45912</v>
      </c>
      <c r="AE2314" s="18" t="s">
        <v>44</v>
      </c>
    </row>
    <row r="2315" customFormat="false" ht="15" hidden="false" customHeight="true" outlineLevel="0" collapsed="false">
      <c r="A2315" s="12" t="n">
        <v>19831</v>
      </c>
      <c r="B2315" s="13" t="s">
        <v>9912</v>
      </c>
      <c r="C2315" s="16" t="n">
        <v>45965</v>
      </c>
      <c r="D2315" s="13" t="s">
        <v>613</v>
      </c>
      <c r="E2315" s="15" t="s">
        <v>47</v>
      </c>
      <c r="F2315" s="15" t="str">
        <f aca="false">IFERROR(__xludf.dummyfunction("XLOOKUP(AJ2315,IMPORTRANGE(""1XaInW9DU9nz21V0tYIfzFQ0He9kVQ_JF2mCXgZ3hqFA"",""REKAP ALL 2026 - Andika!G:G""),IMPORTRANGE(""1XaInW9DU9nz21V0tYIfzFQ0He9kVQ_JF2mCXgZ3hqFA"",""REKAP ALL 2026 - Andika!F:F""),"""",0)"),"25180535798")</f>
        <v>25180535798</v>
      </c>
      <c r="G2315" s="13" t="s">
        <v>9913</v>
      </c>
      <c r="H2315" s="13" t="s">
        <v>35</v>
      </c>
      <c r="I2315" s="13" t="str">
        <f aca="false">IF(C2315=J2315,"NEW KONTRAK","RE-KONTRAK")</f>
        <v>NEW KONTRAK</v>
      </c>
      <c r="J2315" s="16" t="n">
        <f aca="false" t="array" ref="J2315:J2315">IFERROR(INDEX(AC2315:AE2315,IF(COUNTA(AC2315:AE2315)=0,"",MAX((AC2315:AE2315&lt;&gt;"")*(COLUMN(AC2315:AE2315)-(COLUMN(AC2315)))))-1),"")</f>
        <v>45965</v>
      </c>
      <c r="K2315" s="16" t="n">
        <f aca="false" t="array" ref="K2315:K2315">IFERROR(INDEX(AC2315:AE2315,IF(COUNTA(AC2315:AE2315)=0,"",MAX((AC2315:AE2315&lt;&gt;"")*(COLUMN(AC2315:AE2315)-(COLUMN(AC2315)-1))))-1),"")</f>
        <v>46037</v>
      </c>
      <c r="L2315" s="17" t="str">
        <f aca="false" t="array" ref="L2315:L2315">IFERROR(INDEX(AC2315:AE2315,IF(COUNTA(AC2315:AE2315)=0,"",MAX((AC2315:AE2315&lt;&gt;"")*(COLUMN(AC2315:AE2315)-(COLUMN(AC2315)-2))))-1),"")</f>
        <v>ARCHIVED</v>
      </c>
      <c r="M2315" s="13" t="n">
        <f aca="true">K2315-TODAY()</f>
        <v>-287</v>
      </c>
      <c r="N2315" s="18" t="s">
        <v>615</v>
      </c>
      <c r="O2315" s="13" t="s">
        <v>58</v>
      </c>
      <c r="P2315" s="19" t="n">
        <v>5176101</v>
      </c>
      <c r="Q2315" s="20" t="s">
        <v>9914</v>
      </c>
      <c r="R2315" s="13" t="s">
        <v>232</v>
      </c>
      <c r="S2315" s="16" t="n">
        <v>36122</v>
      </c>
      <c r="T2315" s="28" t="s">
        <v>40</v>
      </c>
      <c r="U2315" s="13" t="s">
        <v>9915</v>
      </c>
      <c r="V2315" s="13" t="s">
        <v>42</v>
      </c>
      <c r="W2315" s="13" t="s">
        <v>54</v>
      </c>
      <c r="X2315" s="21" t="n">
        <v>85895067840</v>
      </c>
      <c r="Y2315" s="22" t="str">
        <f aca="false">O2315</f>
        <v>Produksi</v>
      </c>
      <c r="Z2315" s="13" t="str">
        <f aca="false">IFERROR(__xludf.dummyfunction("if(BJ2315="""","""",GOOGLETRANSLATE(BJ2315,""auto"",""en""))"),"Production")</f>
        <v>Production</v>
      </c>
      <c r="AA2315" s="23" t="str">
        <f aca="false">IF(C2315="","", CHOOSE(MONTH(C2315),"January","February","March","April","May","June","July","August","September","October","November","December")&amp;" "&amp;DAY(C2315)&amp;MID("thstndrdth",MIN(9,2*RIGHT(DAY(C2315))*(MOD(DAY(C2315)-11,100)&gt;2)+1),2)&amp;","&amp;TEXT(C2315," yyyy"))</f>
        <v>November 4th,2025</v>
      </c>
      <c r="AB2315" s="15" t="str">
        <f aca="true">IF(S2315="","",DATEDIF(S2315,TODAY(),"Y")&amp;" Tahun, "&amp;DATEDIF(S2315,TODAY(),"YM")&amp;" Bulan, "&amp;DATEDIF(S2315,TODAY(),"MD")&amp;" Hari")</f>
        <v>27 Tahun, 11 Bulan, 6 Hari</v>
      </c>
      <c r="AC2315" s="18" t="n">
        <v>45965</v>
      </c>
      <c r="AD2315" s="18" t="n">
        <v>46037</v>
      </c>
      <c r="AE2315" s="13" t="s">
        <v>44</v>
      </c>
    </row>
    <row r="2316" customFormat="false" ht="15" hidden="false" customHeight="true" outlineLevel="0" collapsed="false">
      <c r="A2316" s="12" t="n">
        <v>19832</v>
      </c>
      <c r="B2316" s="13" t="s">
        <v>9916</v>
      </c>
      <c r="C2316" s="16" t="n">
        <v>45824</v>
      </c>
      <c r="D2316" s="13" t="s">
        <v>613</v>
      </c>
      <c r="E2316" s="15" t="s">
        <v>47</v>
      </c>
      <c r="F2316" s="15" t="str">
        <f aca="false">IFERROR(__xludf.dummyfunction("XLOOKUP(AJ2316,IMPORTRANGE(""1XaInW9DU9nz21V0tYIfzFQ0He9kVQ_JF2mCXgZ3hqFA"",""REKAP ALL 2026 - Andika!G:G""),IMPORTRANGE(""1XaInW9DU9nz21V0tYIfzFQ0He9kVQ_JF2mCXgZ3hqFA"",""REKAP ALL 2026 - Andika!F:F""),"""",0)"),"25133237187")</f>
        <v>25133237187</v>
      </c>
      <c r="G2316" s="13" t="s">
        <v>9917</v>
      </c>
      <c r="H2316" s="13" t="s">
        <v>35</v>
      </c>
      <c r="I2316" s="13" t="str">
        <f aca="false">IF(C2316=J2316,"NEW KONTRAK","RE-KONTRAK")</f>
        <v>NEW KONTRAK</v>
      </c>
      <c r="J2316" s="16" t="n">
        <f aca="false" t="array" ref="J2316:J2316">IFERROR(INDEX(AC2316:AE2316,IF(COUNTA(AC2316:AE2316)=0,"",MAX((AC2316:AE2316&lt;&gt;"")*(COLUMN(AC2316:AE2316)-(COLUMN(AC2316)))))-1),"")</f>
        <v>45824</v>
      </c>
      <c r="K2316" s="16" t="n">
        <f aca="false" t="array" ref="K2316:K2316">IFERROR(INDEX(AC2316:AE2316,IF(COUNTA(AC2316:AE2316)=0,"",MAX((AC2316:AE2316&lt;&gt;"")*(COLUMN(AC2316:AE2316)-(COLUMN(AC2316)-1))))-1),"")</f>
        <v>45915</v>
      </c>
      <c r="L2316" s="17" t="str">
        <f aca="false" t="array" ref="L2316:L2316">IFERROR(INDEX(AC2316:AE2316,IF(COUNTA(AC2316:AE2316)=0,"",MAX((AC2316:AE2316&lt;&gt;"")*(COLUMN(AC2316:AE2316)-(COLUMN(AC2316)-2))))-1),"")</f>
        <v>ARCHIVED</v>
      </c>
      <c r="M2316" s="13" t="n">
        <f aca="true">K2316-TODAY()</f>
        <v>-409</v>
      </c>
      <c r="N2316" s="18" t="s">
        <v>615</v>
      </c>
      <c r="O2316" s="13" t="s">
        <v>76</v>
      </c>
      <c r="P2316" s="19" t="n">
        <v>5176101</v>
      </c>
      <c r="Q2316" s="20" t="s">
        <v>9918</v>
      </c>
      <c r="R2316" s="13" t="s">
        <v>232</v>
      </c>
      <c r="S2316" s="16" t="n">
        <v>35173</v>
      </c>
      <c r="T2316" s="28" t="s">
        <v>40</v>
      </c>
      <c r="U2316" s="13" t="s">
        <v>9919</v>
      </c>
      <c r="V2316" s="13" t="s">
        <v>42</v>
      </c>
      <c r="W2316" s="13" t="s">
        <v>43</v>
      </c>
      <c r="X2316" s="21" t="n">
        <v>83114129511</v>
      </c>
      <c r="Y2316" s="22" t="str">
        <f aca="false">O2316</f>
        <v>Operator Forklift</v>
      </c>
      <c r="Z2316" s="13" t="str">
        <f aca="false">IFERROR(__xludf.dummyfunction("if(BJ2316="""","""",GOOGLETRANSLATE(BJ2316,""auto"",""en""))"),"Operator Forklift")</f>
        <v>Operator Forklift</v>
      </c>
      <c r="AA2316" s="23" t="str">
        <f aca="false">IF(C2316="","", CHOOSE(MONTH(C2316),"January","February","March","April","May","June","July","August","September","October","November","December")&amp;" "&amp;DAY(C2316)&amp;MID("thstndrdth",MIN(9,2*RIGHT(DAY(C2316))*(MOD(DAY(C2316)-11,100)&gt;2)+1),2)&amp;","&amp;TEXT(C2316," yyyy"))</f>
        <v>June 16th,2025</v>
      </c>
      <c r="AB2316" s="15" t="str">
        <f aca="true">IF(S2316="","",DATEDIF(S2316,TODAY(),"Y")&amp;" Tahun, "&amp;DATEDIF(S2316,TODAY(),"YM")&amp;" Bulan, "&amp;DATEDIF(S2316,TODAY(),"MD")&amp;" Hari")</f>
        <v>30 Tahun, 6 Bulan, 11 Hari</v>
      </c>
      <c r="AC2316" s="18" t="n">
        <v>45824</v>
      </c>
      <c r="AD2316" s="18" t="n">
        <v>45915</v>
      </c>
      <c r="AE2316" s="18" t="s">
        <v>44</v>
      </c>
    </row>
    <row r="2317" customFormat="false" ht="15" hidden="false" customHeight="true" outlineLevel="0" collapsed="false">
      <c r="A2317" s="12" t="n">
        <v>19867</v>
      </c>
      <c r="B2317" s="76" t="s">
        <v>9920</v>
      </c>
      <c r="C2317" s="16" t="n">
        <v>45777</v>
      </c>
      <c r="D2317" s="13" t="s">
        <v>7310</v>
      </c>
      <c r="E2317" s="15" t="s">
        <v>47</v>
      </c>
      <c r="F2317" s="15" t="str">
        <f aca="false">IFERROR(__xludf.dummyfunction("XLOOKUP(AJ2317,IMPORTRANGE(""1XaInW9DU9nz21V0tYIfzFQ0He9kVQ_JF2mCXgZ3hqFA"",""REKAP ALL 2026 - Andika!G:G""),IMPORTRANGE(""1XaInW9DU9nz21V0tYIfzFQ0He9kVQ_JF2mCXgZ3hqFA"",""REKAP ALL 2026 - Andika!F:F""),"""",0)"),"25079805070")</f>
        <v>25079805070</v>
      </c>
      <c r="G2317" s="13" t="s">
        <v>1127</v>
      </c>
      <c r="H2317" s="13" t="s">
        <v>35</v>
      </c>
      <c r="I2317" s="13" t="str">
        <f aca="false">IF(C2317=J2317,"NEW KONTRAK","RE-KONTRAK")</f>
        <v>NEW KONTRAK</v>
      </c>
      <c r="J2317" s="16" t="n">
        <f aca="false" t="array" ref="J2317:J2317">IFERROR(INDEX(AC2317:AE2317,IF(COUNTA(AC2317:AE2317)=0,"",MAX((AC2317:AE2317&lt;&gt;"")*(COLUMN(AC2317:AE2317)-(COLUMN(AC2317)))))-1),"")</f>
        <v>45777</v>
      </c>
      <c r="K2317" s="16" t="n">
        <f aca="false" t="array" ref="K2317:K2317">IFERROR(INDEX(AC2317:AE2317,IF(COUNTA(AC2317:AE2317)=0,"",MAX((AC2317:AE2317&lt;&gt;"")*(COLUMN(AC2317:AE2317)-(COLUMN(AC2317)-1))))-1),"")</f>
        <v>46141</v>
      </c>
      <c r="L2317" s="17" t="str">
        <f aca="false" t="array" ref="L2317:L2317">IFERROR(INDEX(AC2317:AE2317,IF(COUNTA(AC2317:AE2317)=0,"",MAX((AC2317:AE2317&lt;&gt;"")*(COLUMN(AC2317:AE2317)-(COLUMN(AC2317)-2))))-1),"")</f>
        <v>ARCHIVED</v>
      </c>
      <c r="M2317" s="13" t="n">
        <f aca="true">K2317-TODAY()</f>
        <v>-183</v>
      </c>
      <c r="N2317" s="18" t="s">
        <v>7313</v>
      </c>
      <c r="O2317" s="13" t="s">
        <v>7611</v>
      </c>
      <c r="P2317" s="19" t="n">
        <v>2550274</v>
      </c>
      <c r="Q2317" s="77" t="s">
        <v>9921</v>
      </c>
      <c r="R2317" s="13" t="s">
        <v>227</v>
      </c>
      <c r="S2317" s="16" t="n">
        <v>37020</v>
      </c>
      <c r="T2317" s="28" t="s">
        <v>40</v>
      </c>
      <c r="U2317" s="76" t="s">
        <v>9922</v>
      </c>
      <c r="V2317" s="76" t="s">
        <v>42</v>
      </c>
      <c r="W2317" s="76" t="s">
        <v>43</v>
      </c>
      <c r="X2317" s="21" t="n">
        <v>82245626908</v>
      </c>
      <c r="Y2317" s="22" t="str">
        <f aca="false">O2317</f>
        <v>Helper Kernet</v>
      </c>
      <c r="Z2317" s="13" t="str">
        <f aca="false">IFERROR(__xludf.dummyfunction("if(BJ2317="""","""",GOOGLETRANSLATE(BJ2317,""auto"",""en""))"),"Helper Kernet")</f>
        <v>Helper Kernet</v>
      </c>
      <c r="AA2317" s="23" t="str">
        <f aca="false">IF(C2317="","", CHOOSE(MONTH(C2317),"January","February","March","April","May","June","July","August","September","October","November","December")&amp;" "&amp;DAY(C2317)&amp;MID("thstndrdth",MIN(9,2*RIGHT(DAY(C2317))*(MOD(DAY(C2317)-11,100)&gt;2)+1),2)&amp;","&amp;TEXT(C2317," yyyy"))</f>
        <v>April 30th,2025</v>
      </c>
      <c r="AB2317" s="15" t="str">
        <f aca="true">IF(S2317="","",DATEDIF(S2317,TODAY(),"Y")&amp;" Tahun, "&amp;DATEDIF(S2317,TODAY(),"YM")&amp;" Bulan, "&amp;DATEDIF(S2317,TODAY(),"MD")&amp;" Hari")</f>
        <v>25 Tahun, 5 Bulan, 20 Hari</v>
      </c>
      <c r="AC2317" s="18" t="n">
        <v>45777</v>
      </c>
      <c r="AD2317" s="18" t="n">
        <v>46141</v>
      </c>
      <c r="AE2317" s="18" t="s">
        <v>44</v>
      </c>
    </row>
    <row r="2318" customFormat="false" ht="15" hidden="false" customHeight="true" outlineLevel="0" collapsed="false">
      <c r="A2318" s="12" t="n">
        <v>19833</v>
      </c>
      <c r="B2318" s="13" t="s">
        <v>9923</v>
      </c>
      <c r="C2318" s="16" t="n">
        <v>45824</v>
      </c>
      <c r="D2318" s="13" t="s">
        <v>6487</v>
      </c>
      <c r="E2318" s="15" t="s">
        <v>789</v>
      </c>
      <c r="F2318" s="24" t="s">
        <v>9924</v>
      </c>
      <c r="G2318" s="13" t="s">
        <v>9925</v>
      </c>
      <c r="H2318" s="13" t="s">
        <v>35</v>
      </c>
      <c r="I2318" s="13" t="str">
        <f aca="false">IF(C2318=J2318,"NEW KONTRAK","RE-KONTRAK")</f>
        <v>RE-KONTRAK</v>
      </c>
      <c r="J2318" s="16" t="n">
        <f aca="false" t="array" ref="J2318:J2318">IFERROR(INDEX(AC2318:AE2318,IF(COUNTA(AC2318:AE2318)=0,"",MAX((AC2318:AE2318&lt;&gt;"")*(COLUMN(AC2318:AE2318)-(COLUMN(AC2318)))))-1),"")</f>
        <v>45839</v>
      </c>
      <c r="K2318" s="16" t="n">
        <f aca="false" t="array" ref="K2318:K2318">IFERROR(INDEX(AC2318:AE2318,IF(COUNTA(AC2318:AE2318)=0,"",MAX((AC2318:AE2318&lt;&gt;"")*(COLUMN(AC2318:AE2318)-(COLUMN(AC2318)-1))))-1),"")</f>
        <v>46022</v>
      </c>
      <c r="L2318" s="17" t="str">
        <f aca="false" t="array" ref="L2318:L2318">IFERROR(INDEX(AC2318:AE2318,IF(COUNTA(AC2318:AE2318)=0,"",MAX((AC2318:AE2318&lt;&gt;"")*(COLUMN(AC2318:AE2318)-(COLUMN(AC2318)-2))))-1),"")</f>
        <v>ARCHIVED</v>
      </c>
      <c r="M2318" s="13" t="n">
        <f aca="true">K2318-TODAY()</f>
        <v>-302</v>
      </c>
      <c r="N2318" s="50" t="s">
        <v>4735</v>
      </c>
      <c r="O2318" s="13" t="s">
        <v>3271</v>
      </c>
      <c r="P2318" s="19" t="n">
        <v>3802862</v>
      </c>
      <c r="Q2318" s="20" t="s">
        <v>9926</v>
      </c>
      <c r="R2318" s="13" t="s">
        <v>6291</v>
      </c>
      <c r="S2318" s="16" t="n">
        <v>38091</v>
      </c>
      <c r="T2318" s="28" t="s">
        <v>40</v>
      </c>
      <c r="U2318" s="13" t="s">
        <v>9927</v>
      </c>
      <c r="V2318" s="13" t="s">
        <v>42</v>
      </c>
      <c r="W2318" s="13" t="s">
        <v>43</v>
      </c>
      <c r="X2318" s="21" t="n">
        <v>89530751700</v>
      </c>
      <c r="Y2318" s="22" t="str">
        <f aca="false">O2318</f>
        <v>Helper</v>
      </c>
      <c r="Z2318" s="13" t="str">
        <f aca="false">IFERROR(__xludf.dummyfunction("if(BJ2318="""","""",GOOGLETRANSLATE(BJ2318,""auto"",""en""))"),"Helper")</f>
        <v>Helper</v>
      </c>
      <c r="AA2318" s="23" t="str">
        <f aca="false">IF(C2318="","", CHOOSE(MONTH(C2318),"January","February","March","April","May","June","July","August","September","October","November","December")&amp;" "&amp;DAY(C2318)&amp;MID("thstndrdth",MIN(9,2*RIGHT(DAY(C2318))*(MOD(DAY(C2318)-11,100)&gt;2)+1),2)&amp;","&amp;TEXT(C2318," yyyy"))</f>
        <v>June 16th,2025</v>
      </c>
      <c r="AB2318" s="15" t="str">
        <f aca="true">IF(S2318="","",DATEDIF(S2318,TODAY(),"Y")&amp;" Tahun, "&amp;DATEDIF(S2318,TODAY(),"YM")&amp;" Bulan, "&amp;DATEDIF(S2318,TODAY(),"MD")&amp;" Hari")</f>
        <v>22 Tahun, 6 Bulan, 15 Hari</v>
      </c>
      <c r="AC2318" s="18" t="n">
        <v>45839</v>
      </c>
      <c r="AD2318" s="18" t="n">
        <v>46022</v>
      </c>
      <c r="AE2318" s="18" t="s">
        <v>44</v>
      </c>
    </row>
    <row r="2319" customFormat="false" ht="15" hidden="false" customHeight="true" outlineLevel="0" collapsed="false">
      <c r="A2319" s="12" t="n">
        <v>19834</v>
      </c>
      <c r="B2319" s="13" t="s">
        <v>9928</v>
      </c>
      <c r="C2319" s="16" t="n">
        <v>45824</v>
      </c>
      <c r="D2319" s="13" t="s">
        <v>6487</v>
      </c>
      <c r="E2319" s="15" t="s">
        <v>789</v>
      </c>
      <c r="F2319" s="24" t="s">
        <v>9929</v>
      </c>
      <c r="G2319" s="13" t="s">
        <v>9930</v>
      </c>
      <c r="H2319" s="13" t="s">
        <v>35</v>
      </c>
      <c r="I2319" s="13" t="str">
        <f aca="false">IF(C2319=J2319,"NEW KONTRAK","RE-KONTRAK")</f>
        <v>RE-KONTRAK</v>
      </c>
      <c r="J2319" s="16" t="n">
        <f aca="false" t="array" ref="J2319:J2319">IFERROR(INDEX(AC2319:AE2319,IF(COUNTA(AC2319:AE2319)=0,"",MAX((AC2319:AE2319&lt;&gt;"")*(COLUMN(AC2319:AE2319)-(COLUMN(AC2319)))))-1),"")</f>
        <v>45839</v>
      </c>
      <c r="K2319" s="16" t="n">
        <f aca="false" t="array" ref="K2319:K2319">IFERROR(INDEX(AC2319:AE2319,IF(COUNTA(AC2319:AE2319)=0,"",MAX((AC2319:AE2319&lt;&gt;"")*(COLUMN(AC2319:AE2319)-(COLUMN(AC2319)-1))))-1),"")</f>
        <v>46022</v>
      </c>
      <c r="L2319" s="17" t="str">
        <f aca="false" t="array" ref="L2319:L2319">IFERROR(INDEX(AC2319:AE2319,IF(COUNTA(AC2319:AE2319)=0,"",MAX((AC2319:AE2319&lt;&gt;"")*(COLUMN(AC2319:AE2319)-(COLUMN(AC2319)-2))))-1),"")</f>
        <v>ARCHIVED</v>
      </c>
      <c r="M2319" s="13" t="n">
        <f aca="true">K2319-TODAY()</f>
        <v>-302</v>
      </c>
      <c r="N2319" s="50" t="s">
        <v>4735</v>
      </c>
      <c r="O2319" s="13" t="s">
        <v>3271</v>
      </c>
      <c r="P2319" s="19" t="n">
        <v>3802862</v>
      </c>
      <c r="Q2319" s="20" t="s">
        <v>9931</v>
      </c>
      <c r="R2319" s="13" t="s">
        <v>6291</v>
      </c>
      <c r="S2319" s="16" t="n">
        <v>38275</v>
      </c>
      <c r="T2319" s="28" t="s">
        <v>40</v>
      </c>
      <c r="U2319" s="13" t="s">
        <v>9927</v>
      </c>
      <c r="V2319" s="13" t="s">
        <v>42</v>
      </c>
      <c r="W2319" s="13" t="s">
        <v>43</v>
      </c>
      <c r="X2319" s="21" t="n">
        <v>89676361666</v>
      </c>
      <c r="Y2319" s="22" t="str">
        <f aca="false">O2319</f>
        <v>Helper</v>
      </c>
      <c r="Z2319" s="13" t="str">
        <f aca="false">IFERROR(__xludf.dummyfunction("if(BJ2319="""","""",GOOGLETRANSLATE(BJ2319,""auto"",""en""))"),"Helper")</f>
        <v>Helper</v>
      </c>
      <c r="AA2319" s="23" t="str">
        <f aca="false">IF(C2319="","", CHOOSE(MONTH(C2319),"January","February","March","April","May","June","July","August","September","October","November","December")&amp;" "&amp;DAY(C2319)&amp;MID("thstndrdth",MIN(9,2*RIGHT(DAY(C2319))*(MOD(DAY(C2319)-11,100)&gt;2)+1),2)&amp;","&amp;TEXT(C2319," yyyy"))</f>
        <v>June 16th,2025</v>
      </c>
      <c r="AB2319" s="15" t="str">
        <f aca="true">IF(S2319="","",DATEDIF(S2319,TODAY(),"Y")&amp;" Tahun, "&amp;DATEDIF(S2319,TODAY(),"YM")&amp;" Bulan, "&amp;DATEDIF(S2319,TODAY(),"MD")&amp;" Hari")</f>
        <v>22 Tahun, 0 Bulan, 14 Hari</v>
      </c>
      <c r="AC2319" s="18" t="n">
        <v>45839</v>
      </c>
      <c r="AD2319" s="18" t="n">
        <v>46022</v>
      </c>
      <c r="AE2319" s="18" t="s">
        <v>44</v>
      </c>
    </row>
    <row r="2320" customFormat="false" ht="15" hidden="false" customHeight="true" outlineLevel="0" collapsed="false">
      <c r="A2320" s="12" t="n">
        <v>19835</v>
      </c>
      <c r="B2320" s="13" t="s">
        <v>9932</v>
      </c>
      <c r="C2320" s="16" t="n">
        <v>45821</v>
      </c>
      <c r="D2320" s="13" t="s">
        <v>4252</v>
      </c>
      <c r="E2320" s="15" t="s">
        <v>102</v>
      </c>
      <c r="F2320" s="24" t="s">
        <v>9933</v>
      </c>
      <c r="G2320" s="13" t="s">
        <v>57</v>
      </c>
      <c r="H2320" s="13" t="s">
        <v>35</v>
      </c>
      <c r="I2320" s="13" t="str">
        <f aca="false">IF(C2320=J2320,"NEW KONTRAK","RE-KONTRAK")</f>
        <v>NEW KONTRAK</v>
      </c>
      <c r="J2320" s="16" t="n">
        <f aca="false" t="array" ref="J2320:J2320">IFERROR(INDEX(AC2320:AE2320,IF(COUNTA(AC2320:AE2320)=0,"",MAX((AC2320:AE2320&lt;&gt;"")*(COLUMN(AC2320:AE2320)-(COLUMN(AC2320)))))-1),"")</f>
        <v>45821</v>
      </c>
      <c r="K2320" s="16" t="n">
        <f aca="false" t="array" ref="K2320:K2320">IFERROR(INDEX(AC2320:AE2320,IF(COUNTA(AC2320:AE2320)=0,"",MAX((AC2320:AE2320&lt;&gt;"")*(COLUMN(AC2320:AE2320)-(COLUMN(AC2320)-1))))-1),"")</f>
        <v>45912</v>
      </c>
      <c r="L2320" s="17" t="str">
        <f aca="false" t="array" ref="L2320:L2320">IFERROR(INDEX(AC2320:AE2320,IF(COUNTA(AC2320:AE2320)=0,"",MAX((AC2320:AE2320&lt;&gt;"")*(COLUMN(AC2320:AE2320)-(COLUMN(AC2320)-2))))-1),"")</f>
        <v>ARCHIVED</v>
      </c>
      <c r="M2320" s="13" t="n">
        <f aca="true">K2320-TODAY()</f>
        <v>-412</v>
      </c>
      <c r="N2320" s="18" t="s">
        <v>36</v>
      </c>
      <c r="O2320" s="13" t="s">
        <v>4280</v>
      </c>
      <c r="P2320" s="27" t="n">
        <v>120000</v>
      </c>
      <c r="Q2320" s="20" t="s">
        <v>9934</v>
      </c>
      <c r="R2320" s="13" t="s">
        <v>260</v>
      </c>
      <c r="S2320" s="16" t="n">
        <v>31938</v>
      </c>
      <c r="T2320" s="13" t="s">
        <v>108</v>
      </c>
      <c r="U2320" s="13" t="s">
        <v>9935</v>
      </c>
      <c r="V2320" s="13" t="s">
        <v>42</v>
      </c>
      <c r="W2320" s="13" t="s">
        <v>54</v>
      </c>
      <c r="X2320" s="21" t="n">
        <v>82338149881</v>
      </c>
      <c r="Y2320" s="22" t="str">
        <f aca="false">O2320</f>
        <v>Helper Cutting</v>
      </c>
      <c r="Z2320" s="13" t="str">
        <f aca="false">IFERROR(__xludf.dummyfunction("if(BJ2320="""","""",GOOGLETRANSLATE(BJ2320,""auto"",""en""))"),"Helper Cutting")</f>
        <v>Helper Cutting</v>
      </c>
      <c r="AA2320" s="23" t="str">
        <f aca="false">IF(C2320="","", CHOOSE(MONTH(C2320),"January","February","March","April","May","June","July","August","September","October","November","December")&amp;" "&amp;DAY(C2320)&amp;MID("thstndrdth",MIN(9,2*RIGHT(DAY(C2320))*(MOD(DAY(C2320)-11,100)&gt;2)+1),2)&amp;","&amp;TEXT(C2320," yyyy"))</f>
        <v>June 13th,2025</v>
      </c>
      <c r="AB2320" s="15" t="str">
        <f aca="true">IF(S2320="","",DATEDIF(S2320,TODAY(),"Y")&amp;" Tahun, "&amp;DATEDIF(S2320,TODAY(),"YM")&amp;" Bulan, "&amp;DATEDIF(S2320,TODAY(),"MD")&amp;" Hari")</f>
        <v>39 Tahun, 4 Bulan, 19 Hari</v>
      </c>
      <c r="AC2320" s="18" t="n">
        <v>45821</v>
      </c>
      <c r="AD2320" s="18" t="n">
        <v>45912</v>
      </c>
      <c r="AE2320" s="18" t="s">
        <v>44</v>
      </c>
    </row>
    <row r="2321" customFormat="false" ht="15" hidden="false" customHeight="true" outlineLevel="0" collapsed="false">
      <c r="A2321" s="12" t="n">
        <v>19837</v>
      </c>
      <c r="B2321" s="13" t="s">
        <v>9936</v>
      </c>
      <c r="C2321" s="16" t="n">
        <v>45776</v>
      </c>
      <c r="D2321" s="13" t="s">
        <v>8071</v>
      </c>
      <c r="E2321" s="15" t="s">
        <v>102</v>
      </c>
      <c r="F2321" s="15" t="str">
        <f aca="false">IFERROR(__xludf.dummyfunction("XLOOKUP(AJ2321,IMPORTRANGE(""1XaInW9DU9nz21V0tYIfzFQ0He9kVQ_JF2mCXgZ3hqFA"",""REKAP ALL 2026 - Andika!G:G""),IMPORTRANGE(""1XaInW9DU9nz21V0tYIfzFQ0He9kVQ_JF2mCXgZ3hqFA"",""REKAP ALL 2026 - Andika!F:F""),"""",0)"),"25077029962")</f>
        <v>25077029962</v>
      </c>
      <c r="G2321" s="13" t="s">
        <v>9937</v>
      </c>
      <c r="H2321" s="13" t="s">
        <v>35</v>
      </c>
      <c r="I2321" s="13" t="str">
        <f aca="false">IF(C2321=J2321,"NEW KONTRAK","RE-KONTRAK")</f>
        <v>NEW KONTRAK</v>
      </c>
      <c r="J2321" s="16" t="n">
        <f aca="false" t="array" ref="J2321:J2321">IFERROR(INDEX(AC2321:AE2321,IF(COUNTA(AC2321:AE2321)=0,"",MAX((AC2321:AE2321&lt;&gt;"")*(COLUMN(AC2321:AE2321)-(COLUMN(AC2321)))))-1),"")</f>
        <v>45776</v>
      </c>
      <c r="K2321" s="16" t="n">
        <f aca="false" t="array" ref="K2321:K2321">IFERROR(INDEX(AC2321:AE2321,IF(COUNTA(AC2321:AE2321)=0,"",MAX((AC2321:AE2321&lt;&gt;"")*(COLUMN(AC2321:AE2321)-(COLUMN(AC2321)-1))))-1),"")</f>
        <v>46140</v>
      </c>
      <c r="L2321" s="17" t="str">
        <f aca="false" t="array" ref="L2321:L2321">IFERROR(INDEX(AC2321:AE2321,IF(COUNTA(AC2321:AE2321)=0,"",MAX((AC2321:AE2321&lt;&gt;"")*(COLUMN(AC2321:AE2321)-(COLUMN(AC2321)-2))))-1),"")</f>
        <v>ARCHIVED</v>
      </c>
      <c r="M2321" s="13" t="n">
        <f aca="true">K2321-TODAY()</f>
        <v>-184</v>
      </c>
      <c r="N2321" s="18" t="s">
        <v>105</v>
      </c>
      <c r="O2321" s="13" t="s">
        <v>764</v>
      </c>
      <c r="P2321" s="19" t="n">
        <v>142857.142857143</v>
      </c>
      <c r="Q2321" s="20" t="s">
        <v>9938</v>
      </c>
      <c r="R2321" s="13" t="s">
        <v>2001</v>
      </c>
      <c r="S2321" s="16" t="n">
        <v>32314</v>
      </c>
      <c r="T2321" s="28" t="s">
        <v>40</v>
      </c>
      <c r="U2321" s="13" t="s">
        <v>9939</v>
      </c>
      <c r="V2321" s="13" t="s">
        <v>42</v>
      </c>
      <c r="W2321" s="13" t="s">
        <v>54</v>
      </c>
      <c r="X2321" s="21" t="n">
        <v>85640448635</v>
      </c>
      <c r="Y2321" s="22" t="str">
        <f aca="false">O2321</f>
        <v>Operator</v>
      </c>
      <c r="Z2321" s="13" t="str">
        <f aca="false">IFERROR(__xludf.dummyfunction("if(BJ2321="""","""",GOOGLETRANSLATE(BJ2321,""auto"",""en""))"),"Operator")</f>
        <v>Operator</v>
      </c>
      <c r="AA2321" s="23" t="str">
        <f aca="false">IF(C2321="","", CHOOSE(MONTH(C2321),"January","February","March","April","May","June","July","August","September","October","November","December")&amp;" "&amp;DAY(C2321)&amp;MID("thstndrdth",MIN(9,2*RIGHT(DAY(C2321))*(MOD(DAY(C2321)-11,100)&gt;2)+1),2)&amp;","&amp;TEXT(C2321," yyyy"))</f>
        <v>April 29th,2025</v>
      </c>
      <c r="AB2321" s="15" t="str">
        <f aca="true">IF(S2321="","",DATEDIF(S2321,TODAY(),"Y")&amp;" Tahun, "&amp;DATEDIF(S2321,TODAY(),"YM")&amp;" Bulan, "&amp;DATEDIF(S2321,TODAY(),"MD")&amp;" Hari")</f>
        <v>38 Tahun, 4 Bulan, 9 Hari</v>
      </c>
      <c r="AC2321" s="18" t="n">
        <v>45776</v>
      </c>
      <c r="AD2321" s="18" t="n">
        <v>46140</v>
      </c>
      <c r="AE2321" s="18" t="s">
        <v>44</v>
      </c>
    </row>
    <row r="2322" customFormat="false" ht="15" hidden="false" customHeight="true" outlineLevel="0" collapsed="false">
      <c r="A2322" s="12" t="n">
        <v>19865</v>
      </c>
      <c r="B2322" s="76" t="s">
        <v>9940</v>
      </c>
      <c r="C2322" s="16" t="n">
        <v>45779</v>
      </c>
      <c r="D2322" s="13" t="s">
        <v>7310</v>
      </c>
      <c r="E2322" s="15" t="s">
        <v>102</v>
      </c>
      <c r="F2322" s="15" t="str">
        <f aca="false">IFERROR(__xludf.dummyfunction("XLOOKUP(AJ2322,IMPORTRANGE(""1XaInW9DU9nz21V0tYIfzFQ0He9kVQ_JF2mCXgZ3hqFA"",""REKAP ALL 2026 - Andika!G:G""),IMPORTRANGE(""1XaInW9DU9nz21V0tYIfzFQ0He9kVQ_JF2mCXgZ3hqFA"",""REKAP ALL 2026 - Andika!F:F""),"""",0)"),"25079805096")</f>
        <v>25079805096</v>
      </c>
      <c r="G2322" s="13" t="s">
        <v>9941</v>
      </c>
      <c r="H2322" s="13" t="s">
        <v>35</v>
      </c>
      <c r="I2322" s="13" t="str">
        <f aca="false">IF(C2322=J2322,"NEW KONTRAK","RE-KONTRAK")</f>
        <v>NEW KONTRAK</v>
      </c>
      <c r="J2322" s="16" t="n">
        <f aca="false" t="array" ref="J2322:J2322">IFERROR(INDEX(AC2322:AE2322,IF(COUNTA(AC2322:AE2322)=0,"",MAX((AC2322:AE2322&lt;&gt;"")*(COLUMN(AC2322:AE2322)-(COLUMN(AC2322)))))-1),"")</f>
        <v>45779</v>
      </c>
      <c r="K2322" s="16" t="n">
        <f aca="false" t="array" ref="K2322:K2322">IFERROR(INDEX(AC2322:AE2322,IF(COUNTA(AC2322:AE2322)=0,"",MAX((AC2322:AE2322&lt;&gt;"")*(COLUMN(AC2322:AE2322)-(COLUMN(AC2322)-1))))-1),"")</f>
        <v>46143</v>
      </c>
      <c r="L2322" s="17" t="str">
        <f aca="false" t="array" ref="L2322:L2322">IFERROR(INDEX(AC2322:AE2322,IF(COUNTA(AC2322:AE2322)=0,"",MAX((AC2322:AE2322&lt;&gt;"")*(COLUMN(AC2322:AE2322)-(COLUMN(AC2322)-2))))-1),"")</f>
        <v>ARCHIVED</v>
      </c>
      <c r="M2322" s="13" t="n">
        <f aca="true">K2322-TODAY()</f>
        <v>-181</v>
      </c>
      <c r="N2322" s="18" t="s">
        <v>7313</v>
      </c>
      <c r="O2322" s="13" t="s">
        <v>50</v>
      </c>
      <c r="P2322" s="19" t="n">
        <v>2550274</v>
      </c>
      <c r="Q2322" s="77" t="s">
        <v>9942</v>
      </c>
      <c r="R2322" s="13" t="s">
        <v>227</v>
      </c>
      <c r="S2322" s="16" t="n">
        <v>37971</v>
      </c>
      <c r="T2322" s="28" t="s">
        <v>40</v>
      </c>
      <c r="U2322" s="76" t="s">
        <v>9943</v>
      </c>
      <c r="V2322" s="76" t="s">
        <v>42</v>
      </c>
      <c r="W2322" s="76" t="s">
        <v>43</v>
      </c>
      <c r="X2322" s="21" t="n">
        <v>81977150659</v>
      </c>
      <c r="Y2322" s="22" t="str">
        <f aca="false">O2322</f>
        <v>Driver</v>
      </c>
      <c r="Z2322" s="13" t="str">
        <f aca="false">IFERROR(__xludf.dummyfunction("if(BJ2322="""","""",GOOGLETRANSLATE(BJ2322,""auto"",""en""))"),"Driver")</f>
        <v>Driver</v>
      </c>
      <c r="AA2322" s="23" t="str">
        <f aca="false">IF(C2322="","", CHOOSE(MONTH(C2322),"January","February","March","April","May","June","July","August","September","October","November","December")&amp;" "&amp;DAY(C2322)&amp;MID("thstndrdth",MIN(9,2*RIGHT(DAY(C2322))*(MOD(DAY(C2322)-11,100)&gt;2)+1),2)&amp;","&amp;TEXT(C2322," yyyy"))</f>
        <v>May 2nd,2025</v>
      </c>
      <c r="AB2322" s="15" t="str">
        <f aca="true">IF(S2322="","",DATEDIF(S2322,TODAY(),"Y")&amp;" Tahun, "&amp;DATEDIF(S2322,TODAY(),"YM")&amp;" Bulan, "&amp;DATEDIF(S2322,TODAY(),"MD")&amp;" Hari")</f>
        <v>22 Tahun, 10 Bulan, 13 Hari</v>
      </c>
      <c r="AC2322" s="18" t="n">
        <v>45779</v>
      </c>
      <c r="AD2322" s="18" t="n">
        <v>46143</v>
      </c>
      <c r="AE2322" s="18" t="s">
        <v>44</v>
      </c>
    </row>
    <row r="2323" customFormat="false" ht="15" hidden="false" customHeight="true" outlineLevel="0" collapsed="false">
      <c r="A2323" s="12" t="n">
        <v>19868</v>
      </c>
      <c r="B2323" s="76" t="s">
        <v>9944</v>
      </c>
      <c r="C2323" s="16" t="n">
        <v>45776</v>
      </c>
      <c r="D2323" s="13" t="s">
        <v>7310</v>
      </c>
      <c r="E2323" s="15" t="s">
        <v>47</v>
      </c>
      <c r="F2323" s="15" t="str">
        <f aca="false">IFERROR(__xludf.dummyfunction("XLOOKUP(AJ2323,IMPORTRANGE(""1XaInW9DU9nz21V0tYIfzFQ0He9kVQ_JF2mCXgZ3hqFA"",""REKAP ALL 2026 - Andika!G:G""),IMPORTRANGE(""1XaInW9DU9nz21V0tYIfzFQ0He9kVQ_JF2mCXgZ3hqFA"",""REKAP ALL 2026 - Andika!F:F""),"""",0)"),"25079805054")</f>
        <v>25079805054</v>
      </c>
      <c r="G2323" s="13" t="s">
        <v>9945</v>
      </c>
      <c r="H2323" s="13" t="s">
        <v>35</v>
      </c>
      <c r="I2323" s="13" t="str">
        <f aca="false">IF(C2323=J2323,"NEW KONTRAK","RE-KONTRAK")</f>
        <v>NEW KONTRAK</v>
      </c>
      <c r="J2323" s="16" t="n">
        <f aca="false" t="array" ref="J2323:J2323">IFERROR(INDEX(AC2323:AE2323,IF(COUNTA(AC2323:AE2323)=0,"",MAX((AC2323:AE2323&lt;&gt;"")*(COLUMN(AC2323:AE2323)-(COLUMN(AC2323)))))-1),"")</f>
        <v>45776</v>
      </c>
      <c r="K2323" s="16" t="n">
        <f aca="false" t="array" ref="K2323:K2323">IFERROR(INDEX(AC2323:AE2323,IF(COUNTA(AC2323:AE2323)=0,"",MAX((AC2323:AE2323&lt;&gt;"")*(COLUMN(AC2323:AE2323)-(COLUMN(AC2323)-1))))-1),"")</f>
        <v>46140</v>
      </c>
      <c r="L2323" s="17" t="str">
        <f aca="false" t="array" ref="L2323:L2323">IFERROR(INDEX(AC2323:AE2323,IF(COUNTA(AC2323:AE2323)=0,"",MAX((AC2323:AE2323&lt;&gt;"")*(COLUMN(AC2323:AE2323)-(COLUMN(AC2323)-2))))-1),"")</f>
        <v>KEMBALI</v>
      </c>
      <c r="M2323" s="13" t="n">
        <f aca="true">K2323-TODAY()</f>
        <v>-184</v>
      </c>
      <c r="N2323" s="18" t="s">
        <v>7313</v>
      </c>
      <c r="O2323" s="13" t="s">
        <v>7611</v>
      </c>
      <c r="P2323" s="19" t="n">
        <v>2550274</v>
      </c>
      <c r="Q2323" s="77" t="s">
        <v>9946</v>
      </c>
      <c r="R2323" s="13" t="s">
        <v>227</v>
      </c>
      <c r="S2323" s="16" t="n">
        <v>34844</v>
      </c>
      <c r="T2323" s="28" t="s">
        <v>40</v>
      </c>
      <c r="U2323" s="76" t="s">
        <v>9947</v>
      </c>
      <c r="V2323" s="76" t="s">
        <v>42</v>
      </c>
      <c r="W2323" s="76" t="s">
        <v>43</v>
      </c>
      <c r="X2323" s="21" t="n">
        <v>85707086815</v>
      </c>
      <c r="Y2323" s="22" t="str">
        <f aca="false">O2323</f>
        <v>Helper Kernet</v>
      </c>
      <c r="Z2323" s="13" t="str">
        <f aca="false">IFERROR(__xludf.dummyfunction("if(BJ2323="""","""",GOOGLETRANSLATE(BJ2323,""auto"",""en""))"),"Helper Kernet")</f>
        <v>Helper Kernet</v>
      </c>
      <c r="AA2323" s="23" t="str">
        <f aca="false">IF(C2323="","", CHOOSE(MONTH(C2323),"January","February","March","April","May","June","July","August","September","October","November","December")&amp;" "&amp;DAY(C2323)&amp;MID("thstndrdth",MIN(9,2*RIGHT(DAY(C2323))*(MOD(DAY(C2323)-11,100)&gt;2)+1),2)&amp;","&amp;TEXT(C2323," yyyy"))</f>
        <v>April 29th,2025</v>
      </c>
      <c r="AB2323" s="15" t="str">
        <f aca="true">IF(S2323="","",DATEDIF(S2323,TODAY(),"Y")&amp;" Tahun, "&amp;DATEDIF(S2323,TODAY(),"YM")&amp;" Bulan, "&amp;DATEDIF(S2323,TODAY(),"MD")&amp;" Hari")</f>
        <v>31 Tahun, 5 Bulan, 4 Hari</v>
      </c>
      <c r="AC2323" s="18" t="n">
        <v>45776</v>
      </c>
      <c r="AD2323" s="18" t="n">
        <v>46140</v>
      </c>
      <c r="AE2323" s="13" t="s">
        <v>397</v>
      </c>
    </row>
    <row r="2324" customFormat="false" ht="15" hidden="false" customHeight="true" outlineLevel="0" collapsed="false">
      <c r="A2324" s="12" t="n">
        <v>19869</v>
      </c>
      <c r="B2324" s="76" t="s">
        <v>9948</v>
      </c>
      <c r="C2324" s="16" t="n">
        <v>45777</v>
      </c>
      <c r="D2324" s="13" t="s">
        <v>7310</v>
      </c>
      <c r="E2324" s="15" t="s">
        <v>47</v>
      </c>
      <c r="F2324" s="15" t="str">
        <f aca="false">IFERROR(__xludf.dummyfunction("XLOOKUP(AJ2324,IMPORTRANGE(""1XaInW9DU9nz21V0tYIfzFQ0He9kVQ_JF2mCXgZ3hqFA"",""REKAP ALL 2026 - Andika!G:G""),IMPORTRANGE(""1XaInW9DU9nz21V0tYIfzFQ0He9kVQ_JF2mCXgZ3hqFA"",""REKAP ALL 2026 - Andika!F:F""),"""",0)"),"25079805112")</f>
        <v>25079805112</v>
      </c>
      <c r="G2324" s="13" t="s">
        <v>9949</v>
      </c>
      <c r="H2324" s="13" t="s">
        <v>35</v>
      </c>
      <c r="I2324" s="13" t="str">
        <f aca="false">IF(C2324=J2324,"NEW KONTRAK","RE-KONTRAK")</f>
        <v>RE-KONTRAK</v>
      </c>
      <c r="J2324" s="16" t="n">
        <f aca="false" t="array" ref="J2324:J2324">IFERROR(INDEX(AC2324:AE2324,IF(COUNTA(AC2324:AE2324)=0,"",MAX((AC2324:AE2324&lt;&gt;"")*(COLUMN(AC2324:AE2324)-(COLUMN(AC2324)))))-1),"")</f>
        <v>45806</v>
      </c>
      <c r="K2324" s="16" t="n">
        <f aca="false" t="array" ref="K2324:K2324">IFERROR(INDEX(AC2324:AE2324,IF(COUNTA(AC2324:AE2324)=0,"",MAX((AC2324:AE2324&lt;&gt;"")*(COLUMN(AC2324:AE2324)-(COLUMN(AC2324)-1))))-1),"")</f>
        <v>46170</v>
      </c>
      <c r="L2324" s="17" t="str">
        <f aca="false" t="array" ref="L2324:L2324">IFERROR(INDEX(AC2324:AE2324,IF(COUNTA(AC2324:AE2324)=0,"",MAX((AC2324:AE2324&lt;&gt;"")*(COLUMN(AC2324:AE2324)-(COLUMN(AC2324)-2))))-1),"")</f>
        <v>KEMBALI</v>
      </c>
      <c r="M2324" s="13" t="n">
        <f aca="true">K2324-TODAY()</f>
        <v>-154</v>
      </c>
      <c r="N2324" s="18" t="s">
        <v>7313</v>
      </c>
      <c r="O2324" s="13" t="s">
        <v>7611</v>
      </c>
      <c r="P2324" s="19" t="n">
        <v>2550274</v>
      </c>
      <c r="Q2324" s="77" t="s">
        <v>9950</v>
      </c>
      <c r="R2324" s="13" t="s">
        <v>1695</v>
      </c>
      <c r="S2324" s="16" t="n">
        <v>38683</v>
      </c>
      <c r="T2324" s="28" t="s">
        <v>40</v>
      </c>
      <c r="U2324" s="76" t="s">
        <v>9951</v>
      </c>
      <c r="V2324" s="76" t="s">
        <v>42</v>
      </c>
      <c r="W2324" s="76" t="s">
        <v>43</v>
      </c>
      <c r="X2324" s="21" t="n">
        <v>87878230110</v>
      </c>
      <c r="Y2324" s="22" t="str">
        <f aca="false">O2324</f>
        <v>Helper Kernet</v>
      </c>
      <c r="Z2324" s="13" t="str">
        <f aca="false">IFERROR(__xludf.dummyfunction("if(BJ2324="""","""",GOOGLETRANSLATE(BJ2324,""auto"",""en""))"),"Helper Kernet")</f>
        <v>Helper Kernet</v>
      </c>
      <c r="AA2324" s="23" t="str">
        <f aca="false">IF(C2324="","", CHOOSE(MONTH(C2324),"January","February","March","April","May","June","July","August","September","October","November","December")&amp;" "&amp;DAY(C2324)&amp;MID("thstndrdth",MIN(9,2*RIGHT(DAY(C2324))*(MOD(DAY(C2324)-11,100)&gt;2)+1),2)&amp;","&amp;TEXT(C2324," yyyy"))</f>
        <v>April 30th,2025</v>
      </c>
      <c r="AB2324" s="15" t="str">
        <f aca="true">IF(S2324="","",DATEDIF(S2324,TODAY(),"Y")&amp;" Tahun, "&amp;DATEDIF(S2324,TODAY(),"YM")&amp;" Bulan, "&amp;DATEDIF(S2324,TODAY(),"MD")&amp;" Hari")</f>
        <v>20 Tahun, 11 Bulan, 2 Hari</v>
      </c>
      <c r="AC2324" s="18" t="n">
        <v>45806</v>
      </c>
      <c r="AD2324" s="18" t="n">
        <v>46170</v>
      </c>
      <c r="AE2324" s="13" t="s">
        <v>397</v>
      </c>
    </row>
    <row r="2325" customFormat="false" ht="15" hidden="false" customHeight="true" outlineLevel="0" collapsed="false">
      <c r="A2325" s="12" t="n">
        <v>19871</v>
      </c>
      <c r="B2325" s="13" t="s">
        <v>9952</v>
      </c>
      <c r="C2325" s="16" t="n">
        <v>45827</v>
      </c>
      <c r="D2325" s="13" t="s">
        <v>144</v>
      </c>
      <c r="E2325" s="15" t="s">
        <v>47</v>
      </c>
      <c r="F2325" s="15" t="str">
        <f aca="false">IFERROR(__xludf.dummyfunction("XLOOKUP(AJ2325,IMPORTRANGE(""1XaInW9DU9nz21V0tYIfzFQ0He9kVQ_JF2mCXgZ3hqFA"",""REKAP ALL 2026 - Andika!G:G""),IMPORTRANGE(""1XaInW9DU9nz21V0tYIfzFQ0He9kVQ_JF2mCXgZ3hqFA"",""REKAP ALL 2026 - Andika!F:F""),"""",0)"),"25079805708")</f>
        <v>25079805708</v>
      </c>
      <c r="G2325" s="13" t="s">
        <v>9953</v>
      </c>
      <c r="H2325" s="13" t="s">
        <v>35</v>
      </c>
      <c r="I2325" s="13" t="str">
        <f aca="false">IF(C2325=J2325,"NEW KONTRAK","RE-KONTRAK")</f>
        <v>NEW KONTRAK</v>
      </c>
      <c r="J2325" s="16" t="n">
        <f aca="false" t="array" ref="J2325:J2325">IFERROR(INDEX(AC2325:AE2325,IF(COUNTA(AC2325:AE2325)=0,"",MAX((AC2325:AE2325&lt;&gt;"")*(COLUMN(AC2325:AE2325)-(COLUMN(AC2325)))))-1),"")</f>
        <v>45827</v>
      </c>
      <c r="K2325" s="16" t="n">
        <f aca="false" t="array" ref="K2325:K2325">IFERROR(INDEX(AC2325:AE2325,IF(COUNTA(AC2325:AE2325)=0,"",MAX((AC2325:AE2325&lt;&gt;"")*(COLUMN(AC2325:AE2325)-(COLUMN(AC2325)-1))))-1),"")</f>
        <v>46022</v>
      </c>
      <c r="L2325" s="17" t="str">
        <f aca="false" t="array" ref="L2325:L2325">IFERROR(INDEX(AC2325:AE2325,IF(COUNTA(AC2325:AE2325)=0,"",MAX((AC2325:AE2325&lt;&gt;"")*(COLUMN(AC2325:AE2325)-(COLUMN(AC2325)-2))))-1),"")</f>
        <v>ARCHIVED</v>
      </c>
      <c r="M2325" s="13" t="n">
        <f aca="true">K2325-TODAY()</f>
        <v>-302</v>
      </c>
      <c r="N2325" s="18" t="s">
        <v>36</v>
      </c>
      <c r="O2325" s="13" t="s">
        <v>156</v>
      </c>
      <c r="P2325" s="19" t="n">
        <v>5195401</v>
      </c>
      <c r="Q2325" s="20" t="s">
        <v>9954</v>
      </c>
      <c r="R2325" s="13" t="s">
        <v>65</v>
      </c>
      <c r="S2325" s="16" t="n">
        <v>36738</v>
      </c>
      <c r="T2325" s="28" t="s">
        <v>40</v>
      </c>
      <c r="U2325" s="13" t="s">
        <v>9955</v>
      </c>
      <c r="V2325" s="13" t="s">
        <v>42</v>
      </c>
      <c r="W2325" s="13" t="s">
        <v>43</v>
      </c>
      <c r="X2325" s="21" t="n">
        <v>85648564676</v>
      </c>
      <c r="Y2325" s="22" t="str">
        <f aca="false">O2325</f>
        <v>Emulsion</v>
      </c>
      <c r="Z2325" s="13" t="str">
        <f aca="false">IFERROR(__xludf.dummyfunction("if(BJ2325="""","""",GOOGLETRANSLATE(BJ2325,""auto"",""en""))"),"Emulsion")</f>
        <v>Emulsion</v>
      </c>
      <c r="AA2325" s="23" t="str">
        <f aca="false">IF(C2325="","", CHOOSE(MONTH(C2325),"January","February","March","April","May","June","July","August","September","October","November","December")&amp;" "&amp;DAY(C2325)&amp;MID("thstndrdth",MIN(9,2*RIGHT(DAY(C2325))*(MOD(DAY(C2325)-11,100)&gt;2)+1),2)&amp;","&amp;TEXT(C2325," yyyy"))</f>
        <v>June 19th,2025</v>
      </c>
      <c r="AB2325" s="15" t="str">
        <f aca="true">IF(S2325="","",DATEDIF(S2325,TODAY(),"Y")&amp;" Tahun, "&amp;DATEDIF(S2325,TODAY(),"YM")&amp;" Bulan, "&amp;DATEDIF(S2325,TODAY(),"MD")&amp;" Hari")</f>
        <v>26 Tahun, 2 Bulan, 28 Hari</v>
      </c>
      <c r="AC2325" s="18" t="n">
        <v>45827</v>
      </c>
      <c r="AD2325" s="18" t="n">
        <v>46022</v>
      </c>
      <c r="AE2325" s="18" t="s">
        <v>44</v>
      </c>
    </row>
    <row r="2326" customFormat="false" ht="15" hidden="false" customHeight="true" outlineLevel="0" collapsed="false">
      <c r="A2326" s="12" t="n">
        <v>22285</v>
      </c>
      <c r="B2326" s="13" t="s">
        <v>9956</v>
      </c>
      <c r="C2326" s="16" t="n">
        <v>46150</v>
      </c>
      <c r="D2326" s="13" t="s">
        <v>2033</v>
      </c>
      <c r="E2326" s="15" t="s">
        <v>47</v>
      </c>
      <c r="F2326" s="24" t="s">
        <v>9957</v>
      </c>
      <c r="G2326" s="24" t="s">
        <v>57</v>
      </c>
      <c r="H2326" s="13" t="s">
        <v>35</v>
      </c>
      <c r="I2326" s="13" t="str">
        <f aca="false">IF(C2326=J2326,"NEW KONTRAK","RE-KONTRAK")</f>
        <v>NEW KONTRAK</v>
      </c>
      <c r="J2326" s="16" t="n">
        <f aca="false" t="array" ref="J2326:J2326">IFERROR(INDEX(AC2326:AE2326,IF(COUNTA(AC2326:AE2326)=0,"",MAX((AC2326:AE2326&lt;&gt;"")*(COLUMN(AC2326:AE2326)-(COLUMN(AC2326)))))-1),"")</f>
        <v>46150</v>
      </c>
      <c r="K2326" s="16" t="n">
        <f aca="false" t="array" ref="K2326:K2326">IFERROR(INDEX(AC2326:AE2326,IF(COUNTA(AC2326:AE2326)=0,"",MAX((AC2326:AE2326&lt;&gt;"")*(COLUMN(AC2326:AE2326)-(COLUMN(AC2326)-1))))-1),"")</f>
        <v>46188</v>
      </c>
      <c r="L2326" s="17" t="str">
        <f aca="false" t="array" ref="L2326:L2326">IFERROR(INDEX(AC2326:AE2326,IF(COUNTA(AC2326:AE2326)=0,"",MAX((AC2326:AE2326&lt;&gt;"")*(COLUMN(AC2326:AE2326)-(COLUMN(AC2326)-2))))-1),"")</f>
        <v>KEMBALI</v>
      </c>
      <c r="M2326" s="13" t="n">
        <f aca="true">K2326-TODAY()</f>
        <v>-136</v>
      </c>
      <c r="N2326" s="18" t="s">
        <v>3503</v>
      </c>
      <c r="O2326" s="13" t="s">
        <v>2037</v>
      </c>
      <c r="P2326" s="19" t="n">
        <v>3868963</v>
      </c>
      <c r="Q2326" s="20" t="s">
        <v>9958</v>
      </c>
      <c r="R2326" s="13" t="s">
        <v>3503</v>
      </c>
      <c r="S2326" s="14" t="n">
        <v>37195</v>
      </c>
      <c r="T2326" s="13" t="s">
        <v>108</v>
      </c>
      <c r="U2326" s="13" t="s">
        <v>9959</v>
      </c>
      <c r="V2326" s="13" t="s">
        <v>42</v>
      </c>
      <c r="W2326" s="13" t="s">
        <v>54</v>
      </c>
      <c r="X2326" s="21" t="n">
        <v>85282075261</v>
      </c>
      <c r="Y2326" s="22" t="str">
        <f aca="false">O2326</f>
        <v>SPG/BA</v>
      </c>
      <c r="Z2326" s="13" t="str">
        <f aca="false">IFERROR(__xludf.dummyfunction("if(BJ2326="""","""",GOOGLETRANSLATE(BJ2326,""auto"",""en""))"),"SPG/BA")</f>
        <v>SPG/BA</v>
      </c>
      <c r="AA2326" s="23" t="str">
        <f aca="false">IF(C2326="","", CHOOSE(MONTH(C2326),"January","February","March","April","May","June","July","August","September","October","November","December")&amp;" "&amp;DAY(C2326)&amp;MID("thstndrdth",MIN(9,2*RIGHT(DAY(C2326))*(MOD(DAY(C2326)-11,100)&gt;2)+1),2)&amp;","&amp;TEXT(C2326," yyyy"))</f>
        <v>May 8th,2026</v>
      </c>
      <c r="AB2326" s="15" t="str">
        <f aca="true">IF(S2326="","",DATEDIF(S2326,TODAY(),"Y")&amp;" Tahun, "&amp;DATEDIF(S2326,TODAY(),"YM")&amp;" Bulan, "&amp;DATEDIF(S2326,TODAY(),"MD")&amp;" Hari")</f>
        <v>24 Tahun, 11 Bulan, 28 Hari</v>
      </c>
      <c r="AC2326" s="14" t="n">
        <v>46150</v>
      </c>
      <c r="AD2326" s="64" t="n">
        <v>46188</v>
      </c>
      <c r="AE2326" s="13" t="s">
        <v>397</v>
      </c>
    </row>
    <row r="2327" customFormat="false" ht="15" hidden="false" customHeight="true" outlineLevel="0" collapsed="false">
      <c r="A2327" s="12" t="n">
        <v>19872</v>
      </c>
      <c r="B2327" s="13" t="s">
        <v>9960</v>
      </c>
      <c r="C2327" s="16" t="n">
        <v>45800</v>
      </c>
      <c r="D2327" s="13" t="s">
        <v>2033</v>
      </c>
      <c r="E2327" s="15" t="s">
        <v>33</v>
      </c>
      <c r="F2327" s="24" t="s">
        <v>9961</v>
      </c>
      <c r="G2327" s="13" t="s">
        <v>9962</v>
      </c>
      <c r="H2327" s="13" t="s">
        <v>2035</v>
      </c>
      <c r="I2327" s="13" t="str">
        <f aca="false">IF(C2327=J2327,"NEW KONTRAK","RE-KONTRAK")</f>
        <v>NEW KONTRAK</v>
      </c>
      <c r="J2327" s="16" t="n">
        <f aca="false" t="array" ref="J2327:J2327">IFERROR(INDEX(AC2327:AE2327,IF(COUNTA(AC2327:AE2327)=0,"",MAX((AC2327:AE2327&lt;&gt;"")*(COLUMN(AC2327:AE2327)-(COLUMN(AC2327)))))-1),"")</f>
        <v>45800</v>
      </c>
      <c r="K2327" s="16" t="n">
        <f aca="false" t="array" ref="K2327:K2327">IFERROR(INDEX(AC2327:AE2327,IF(COUNTA(AC2327:AE2327)=0,"",MAX((AC2327:AE2327&lt;&gt;"")*(COLUMN(AC2327:AE2327)-(COLUMN(AC2327)-1))))-1),"")</f>
        <v>45915</v>
      </c>
      <c r="L2327" s="17" t="str">
        <f aca="false" t="array" ref="L2327:L2327">IFERROR(INDEX(AC2327:AE2327,IF(COUNTA(AC2327:AE2327)=0,"",MAX((AC2327:AE2327&lt;&gt;"")*(COLUMN(AC2327:AE2327)-(COLUMN(AC2327)-2))))-1),"")</f>
        <v>ARCHIVED</v>
      </c>
      <c r="M2327" s="13" t="n">
        <f aca="true">K2327-TODAY()</f>
        <v>-409</v>
      </c>
      <c r="N2327" s="18" t="s">
        <v>2373</v>
      </c>
      <c r="O2327" s="13" t="s">
        <v>2037</v>
      </c>
      <c r="P2327" s="19" t="n">
        <v>2416560</v>
      </c>
      <c r="Q2327" s="20" t="s">
        <v>9963</v>
      </c>
      <c r="R2327" s="13" t="s">
        <v>1611</v>
      </c>
      <c r="S2327" s="16" t="n">
        <v>38074</v>
      </c>
      <c r="T2327" s="13" t="s">
        <v>108</v>
      </c>
      <c r="U2327" s="13" t="s">
        <v>9964</v>
      </c>
      <c r="V2327" s="13" t="s">
        <v>42</v>
      </c>
      <c r="W2327" s="13" t="s">
        <v>43</v>
      </c>
      <c r="X2327" s="21" t="n">
        <v>895323711524</v>
      </c>
      <c r="Y2327" s="22" t="str">
        <f aca="false">O2327</f>
        <v>SPG/BA</v>
      </c>
      <c r="Z2327" s="13" t="str">
        <f aca="false">IFERROR(__xludf.dummyfunction("if(BJ2327="""","""",GOOGLETRANSLATE(BJ2327,""auto"",""en""))"),"SPG/BA")</f>
        <v>SPG/BA</v>
      </c>
      <c r="AA2327" s="23" t="str">
        <f aca="false">IF(C2327="","", CHOOSE(MONTH(C2327),"January","February","March","April","May","June","July","August","September","October","November","December")&amp;" "&amp;DAY(C2327)&amp;MID("thstndrdth",MIN(9,2*RIGHT(DAY(C2327))*(MOD(DAY(C2327)-11,100)&gt;2)+1),2)&amp;","&amp;TEXT(C2327," yyyy"))</f>
        <v>May 23rd,2025</v>
      </c>
      <c r="AB2327" s="15" t="str">
        <f aca="true">IF(S2327="","",DATEDIF(S2327,TODAY(),"Y")&amp;" Tahun, "&amp;DATEDIF(S2327,TODAY(),"YM")&amp;" Bulan, "&amp;DATEDIF(S2327,TODAY(),"MD")&amp;" Hari")</f>
        <v>22 Tahun, 7 Bulan, 1 Hari</v>
      </c>
      <c r="AC2327" s="18" t="n">
        <v>45800</v>
      </c>
      <c r="AD2327" s="18" t="n">
        <v>45915</v>
      </c>
      <c r="AE2327" s="18" t="s">
        <v>44</v>
      </c>
    </row>
    <row r="2328" customFormat="false" ht="15" hidden="false" customHeight="true" outlineLevel="0" collapsed="false">
      <c r="A2328" s="12" t="n">
        <v>19873</v>
      </c>
      <c r="B2328" s="13" t="s">
        <v>9965</v>
      </c>
      <c r="C2328" s="16" t="n">
        <v>45809</v>
      </c>
      <c r="D2328" s="13" t="s">
        <v>2033</v>
      </c>
      <c r="E2328" s="15" t="s">
        <v>102</v>
      </c>
      <c r="F2328" s="15" t="str">
        <f aca="false">IFERROR(__xludf.dummyfunction("XLOOKUP(AJ2328,IMPORTRANGE(""1XaInW9DU9nz21V0tYIfzFQ0He9kVQ_JF2mCXgZ3hqFA"",""REKAP ALL 2026 - Andika!G:G""),IMPORTRANGE(""1XaInW9DU9nz21V0tYIfzFQ0He9kVQ_JF2mCXgZ3hqFA"",""REKAP ALL 2026 - Andika!F:F""),"""",0)"),"25079803422")</f>
        <v>25079803422</v>
      </c>
      <c r="G2328" s="13" t="s">
        <v>9966</v>
      </c>
      <c r="H2328" s="13" t="s">
        <v>2035</v>
      </c>
      <c r="I2328" s="13" t="str">
        <f aca="false">IF(C2328=J2328,"NEW KONTRAK","RE-KONTRAK")</f>
        <v>NEW KONTRAK</v>
      </c>
      <c r="J2328" s="16" t="n">
        <f aca="false" t="array" ref="J2328:J2328">IFERROR(INDEX(AC2328:AE2328,IF(COUNTA(AC2328:AE2328)=0,"",MAX((AC2328:AE2328&lt;&gt;"")*(COLUMN(AC2328:AE2328)-(COLUMN(AC2328)))))-1),"")</f>
        <v>45809</v>
      </c>
      <c r="K2328" s="16" t="n">
        <f aca="false" t="array" ref="K2328:K2328">IFERROR(INDEX(AC2328:AE2328,IF(COUNTA(AC2328:AE2328)=0,"",MAX((AC2328:AE2328&lt;&gt;"")*(COLUMN(AC2328:AE2328)-(COLUMN(AC2328)-1))))-1),"")</f>
        <v>45915</v>
      </c>
      <c r="L2328" s="17" t="str">
        <f aca="false" t="array" ref="L2328:L2328">IFERROR(INDEX(AC2328:AE2328,IF(COUNTA(AC2328:AE2328)=0,"",MAX((AC2328:AE2328&lt;&gt;"")*(COLUMN(AC2328:AE2328)-(COLUMN(AC2328)-2))))-1),"")</f>
        <v>ARCHIVED</v>
      </c>
      <c r="M2328" s="13" t="n">
        <f aca="true">K2328-TODAY()</f>
        <v>-409</v>
      </c>
      <c r="N2328" s="18" t="s">
        <v>3703</v>
      </c>
      <c r="O2328" s="13" t="s">
        <v>2037</v>
      </c>
      <c r="P2328" s="19" t="n">
        <v>2818585</v>
      </c>
      <c r="Q2328" s="20" t="s">
        <v>9967</v>
      </c>
      <c r="R2328" s="13" t="s">
        <v>3703</v>
      </c>
      <c r="S2328" s="16" t="n">
        <v>35415</v>
      </c>
      <c r="T2328" s="13" t="s">
        <v>108</v>
      </c>
      <c r="U2328" s="13" t="s">
        <v>9968</v>
      </c>
      <c r="V2328" s="13" t="s">
        <v>42</v>
      </c>
      <c r="W2328" s="13" t="s">
        <v>54</v>
      </c>
      <c r="X2328" s="21" t="n">
        <v>8156550256</v>
      </c>
      <c r="Y2328" s="22" t="str">
        <f aca="false">O2328</f>
        <v>SPG/BA</v>
      </c>
      <c r="Z2328" s="13" t="str">
        <f aca="false">IFERROR(__xludf.dummyfunction("if(BJ2328="""","""",GOOGLETRANSLATE(BJ2328,""auto"",""en""))"),"SPG/BA")</f>
        <v>SPG/BA</v>
      </c>
      <c r="AA2328" s="23" t="str">
        <f aca="false">IF(C2328="","", CHOOSE(MONTH(C2328),"January","February","March","April","May","June","July","August","September","October","November","December")&amp;" "&amp;DAY(C2328)&amp;MID("thstndrdth",MIN(9,2*RIGHT(DAY(C2328))*(MOD(DAY(C2328)-11,100)&gt;2)+1),2)&amp;","&amp;TEXT(C2328," yyyy"))</f>
        <v>June 1st,2025</v>
      </c>
      <c r="AB2328" s="15" t="str">
        <f aca="true">IF(S2328="","",DATEDIF(S2328,TODAY(),"Y")&amp;" Tahun, "&amp;DATEDIF(S2328,TODAY(),"YM")&amp;" Bulan, "&amp;DATEDIF(S2328,TODAY(),"MD")&amp;" Hari")</f>
        <v>29 Tahun, 10 Bulan, 13 Hari</v>
      </c>
      <c r="AC2328" s="18" t="n">
        <v>45809</v>
      </c>
      <c r="AD2328" s="18" t="n">
        <v>45915</v>
      </c>
      <c r="AE2328" s="18" t="s">
        <v>44</v>
      </c>
    </row>
    <row r="2329" customFormat="false" ht="15" hidden="false" customHeight="true" outlineLevel="0" collapsed="false">
      <c r="A2329" s="12" t="n">
        <v>19875</v>
      </c>
      <c r="B2329" s="13" t="s">
        <v>9969</v>
      </c>
      <c r="C2329" s="16" t="n">
        <v>45829</v>
      </c>
      <c r="D2329" s="13" t="s">
        <v>755</v>
      </c>
      <c r="E2329" s="15" t="s">
        <v>47</v>
      </c>
      <c r="F2329" s="15" t="str">
        <f aca="false">IFERROR(__xludf.dummyfunction("XLOOKUP(AJ2329,IMPORTRANGE(""1XaInW9DU9nz21V0tYIfzFQ0He9kVQ_JF2mCXgZ3hqFA"",""REKAP ALL 2026 - Andika!G:G""),IMPORTRANGE(""1XaInW9DU9nz21V0tYIfzFQ0He9kVQ_JF2mCXgZ3hqFA"",""REKAP ALL 2026 - Andika!F:F""),"""",0)"),"25079854102")</f>
        <v>25079854102</v>
      </c>
      <c r="G2329" s="13" t="s">
        <v>9970</v>
      </c>
      <c r="H2329" s="13" t="s">
        <v>35</v>
      </c>
      <c r="I2329" s="13" t="str">
        <f aca="false">IF(C2329=J2329,"NEW KONTRAK","RE-KONTRAK")</f>
        <v>NEW KONTRAK</v>
      </c>
      <c r="J2329" s="16" t="n">
        <f aca="false" t="array" ref="J2329:J2329">IFERROR(INDEX(AC2329:AE2329,IF(COUNTA(AC2329:AE2329)=0,"",MAX((AC2329:AE2329&lt;&gt;"")*(COLUMN(AC2329:AE2329)-(COLUMN(AC2329)))))-1),"")</f>
        <v>45829</v>
      </c>
      <c r="K2329" s="16" t="n">
        <f aca="false" t="array" ref="K2329:K2329">IFERROR(INDEX(AC2329:AE2329,IF(COUNTA(AC2329:AE2329)=0,"",MAX((AC2329:AE2329&lt;&gt;"")*(COLUMN(AC2329:AE2329)-(COLUMN(AC2329)-1))))-1),"")</f>
        <v>46528</v>
      </c>
      <c r="L2329" s="17" t="str">
        <f aca="false" t="array" ref="L2329:L2329">IFERROR(INDEX(AC2329:AE2329,IF(COUNTA(AC2329:AE2329)=0,"",MAX((AC2329:AE2329&lt;&gt;"")*(COLUMN(AC2329:AE2329)-(COLUMN(AC2329)-2))))-1),"")</f>
        <v>KEMBALI</v>
      </c>
      <c r="M2329" s="13" t="n">
        <f aca="true">K2329-TODAY()</f>
        <v>204</v>
      </c>
      <c r="N2329" s="18" t="s">
        <v>105</v>
      </c>
      <c r="O2329" s="13" t="s">
        <v>757</v>
      </c>
      <c r="P2329" s="19" t="n">
        <v>4870511</v>
      </c>
      <c r="Q2329" s="20" t="s">
        <v>9971</v>
      </c>
      <c r="R2329" s="13" t="s">
        <v>324</v>
      </c>
      <c r="S2329" s="16" t="n">
        <v>37432</v>
      </c>
      <c r="T2329" s="28" t="s">
        <v>40</v>
      </c>
      <c r="U2329" s="13" t="s">
        <v>9972</v>
      </c>
      <c r="V2329" s="13" t="s">
        <v>42</v>
      </c>
      <c r="W2329" s="13" t="s">
        <v>43</v>
      </c>
      <c r="X2329" s="21" t="n">
        <v>81358368810</v>
      </c>
      <c r="Y2329" s="22" t="str">
        <f aca="false">O2329</f>
        <v>Inputor</v>
      </c>
      <c r="Z2329" s="13" t="str">
        <f aca="false">IFERROR(__xludf.dummyfunction("if(BJ2329="""","""",GOOGLETRANSLATE(BJ2329,""auto"",""en""))"),"Inputor")</f>
        <v>Inputor</v>
      </c>
      <c r="AA2329" s="23" t="str">
        <f aca="false">IF(C2329="","", CHOOSE(MONTH(C2329),"January","February","March","April","May","June","July","August","September","October","November","December")&amp;" "&amp;DAY(C2329)&amp;MID("thstndrdth",MIN(9,2*RIGHT(DAY(C2329))*(MOD(DAY(C2329)-11,100)&gt;2)+1),2)&amp;","&amp;TEXT(C2329," yyyy"))</f>
        <v>June 21st,2025</v>
      </c>
      <c r="AB2329" s="15" t="str">
        <f aca="true">IF(S2329="","",DATEDIF(S2329,TODAY(),"Y")&amp;" Tahun, "&amp;DATEDIF(S2329,TODAY(),"YM")&amp;" Bulan, "&amp;DATEDIF(S2329,TODAY(),"MD")&amp;" Hari")</f>
        <v>24 Tahun, 4 Bulan, 4 Hari</v>
      </c>
      <c r="AC2329" s="18" t="n">
        <v>45829</v>
      </c>
      <c r="AD2329" s="18" t="n">
        <v>46528</v>
      </c>
      <c r="AE2329" s="13" t="s">
        <v>397</v>
      </c>
    </row>
    <row r="2330" customFormat="false" ht="15" hidden="false" customHeight="true" outlineLevel="0" collapsed="false">
      <c r="A2330" s="12" t="n">
        <v>19876</v>
      </c>
      <c r="B2330" s="13" t="s">
        <v>9973</v>
      </c>
      <c r="C2330" s="16" t="n">
        <v>45829</v>
      </c>
      <c r="D2330" s="13" t="s">
        <v>755</v>
      </c>
      <c r="E2330" s="15" t="s">
        <v>47</v>
      </c>
      <c r="F2330" s="15" t="str">
        <f aca="false">IFERROR(__xludf.dummyfunction("XLOOKUP(AJ2330,IMPORTRANGE(""1XaInW9DU9nz21V0tYIfzFQ0He9kVQ_JF2mCXgZ3hqFA"",""REKAP ALL 2026 - Andika!G:G""),IMPORTRANGE(""1XaInW9DU9nz21V0tYIfzFQ0He9kVQ_JF2mCXgZ3hqFA"",""REKAP ALL 2026 - Andika!F:F""),"""",0)"),"25079853898")</f>
        <v>25079853898</v>
      </c>
      <c r="G2330" s="13" t="s">
        <v>9974</v>
      </c>
      <c r="H2330" s="13" t="s">
        <v>35</v>
      </c>
      <c r="I2330" s="13" t="str">
        <f aca="false">IF(C2330=J2330,"NEW KONTRAK","RE-KONTRAK")</f>
        <v>NEW KONTRAK</v>
      </c>
      <c r="J2330" s="16" t="n">
        <f aca="false" t="array" ref="J2330:J2330">IFERROR(INDEX(AC2330:AE2330,IF(COUNTA(AC2330:AE2330)=0,"",MAX((AC2330:AE2330&lt;&gt;"")*(COLUMN(AC2330:AE2330)-(COLUMN(AC2330)))))-1),"")</f>
        <v>45829</v>
      </c>
      <c r="K2330" s="16" t="n">
        <f aca="false" t="array" ref="K2330:K2330">IFERROR(INDEX(AC2330:AE2330,IF(COUNTA(AC2330:AE2330)=0,"",MAX((AC2330:AE2330&lt;&gt;"")*(COLUMN(AC2330:AE2330)-(COLUMN(AC2330)-1))))-1),"")</f>
        <v>46528</v>
      </c>
      <c r="L2330" s="17" t="str">
        <f aca="false" t="array" ref="L2330:L2330">IFERROR(INDEX(AC2330:AE2330,IF(COUNTA(AC2330:AE2330)=0,"",MAX((AC2330:AE2330&lt;&gt;"")*(COLUMN(AC2330:AE2330)-(COLUMN(AC2330)-2))))-1),"")</f>
        <v>KEMBALI</v>
      </c>
      <c r="M2330" s="13" t="n">
        <f aca="true">K2330-TODAY()</f>
        <v>204</v>
      </c>
      <c r="N2330" s="18" t="s">
        <v>105</v>
      </c>
      <c r="O2330" s="13" t="s">
        <v>757</v>
      </c>
      <c r="P2330" s="19" t="n">
        <v>4870511</v>
      </c>
      <c r="Q2330" s="20" t="s">
        <v>9975</v>
      </c>
      <c r="R2330" s="13" t="s">
        <v>232</v>
      </c>
      <c r="S2330" s="16" t="n">
        <v>37051</v>
      </c>
      <c r="T2330" s="28" t="s">
        <v>40</v>
      </c>
      <c r="U2330" s="13" t="s">
        <v>9976</v>
      </c>
      <c r="V2330" s="13" t="s">
        <v>42</v>
      </c>
      <c r="W2330" s="13" t="s">
        <v>43</v>
      </c>
      <c r="X2330" s="21" t="n">
        <v>85791136783</v>
      </c>
      <c r="Y2330" s="22" t="str">
        <f aca="false">O2330</f>
        <v>Inputor</v>
      </c>
      <c r="Z2330" s="13" t="str">
        <f aca="false">IFERROR(__xludf.dummyfunction("if(BJ2330="""","""",GOOGLETRANSLATE(BJ2330,""auto"",""en""))"),"Inputor")</f>
        <v>Inputor</v>
      </c>
      <c r="AA2330" s="23" t="str">
        <f aca="false">IF(C2330="","", CHOOSE(MONTH(C2330),"January","February","March","April","May","June","July","August","September","October","November","December")&amp;" "&amp;DAY(C2330)&amp;MID("thstndrdth",MIN(9,2*RIGHT(DAY(C2330))*(MOD(DAY(C2330)-11,100)&gt;2)+1),2)&amp;","&amp;TEXT(C2330," yyyy"))</f>
        <v>June 21st,2025</v>
      </c>
      <c r="AB2330" s="15" t="str">
        <f aca="true">IF(S2330="","",DATEDIF(S2330,TODAY(),"Y")&amp;" Tahun, "&amp;DATEDIF(S2330,TODAY(),"YM")&amp;" Bulan, "&amp;DATEDIF(S2330,TODAY(),"MD")&amp;" Hari")</f>
        <v>25 Tahun, 4 Bulan, 20 Hari</v>
      </c>
      <c r="AC2330" s="18" t="n">
        <v>45829</v>
      </c>
      <c r="AD2330" s="18" t="n">
        <v>46528</v>
      </c>
      <c r="AE2330" s="13" t="s">
        <v>397</v>
      </c>
    </row>
    <row r="2331" customFormat="false" ht="15" hidden="false" customHeight="true" outlineLevel="0" collapsed="false">
      <c r="A2331" s="12" t="n">
        <v>19878</v>
      </c>
      <c r="B2331" s="13" t="s">
        <v>9977</v>
      </c>
      <c r="C2331" s="16" t="n">
        <v>45826</v>
      </c>
      <c r="D2331" s="13" t="s">
        <v>5892</v>
      </c>
      <c r="E2331" s="15" t="s">
        <v>47</v>
      </c>
      <c r="F2331" s="15" t="str">
        <f aca="false">IFERROR(__xludf.dummyfunction("XLOOKUP(AJ2331,IMPORTRANGE(""1XaInW9DU9nz21V0tYIfzFQ0He9kVQ_JF2mCXgZ3hqFA"",""REKAP ALL 2026 - Andika!G:G""),IMPORTRANGE(""1XaInW9DU9nz21V0tYIfzFQ0He9kVQ_JF2mCXgZ3hqFA"",""REKAP ALL 2026 - Andika!F:F""),"""",0)"),"25079806144")</f>
        <v>25079806144</v>
      </c>
      <c r="G2331" s="13" t="s">
        <v>9978</v>
      </c>
      <c r="H2331" s="13" t="s">
        <v>35</v>
      </c>
      <c r="I2331" s="13" t="str">
        <f aca="false">IF(C2331=J2331,"NEW KONTRAK","RE-KONTRAK")</f>
        <v>NEW KONTRAK</v>
      </c>
      <c r="J2331" s="16" t="n">
        <f aca="false" t="array" ref="J2331:J2331">IFERROR(INDEX(AC2331:AE2331,IF(COUNTA(AC2331:AE2331)=0,"",MAX((AC2331:AE2331&lt;&gt;"")*(COLUMN(AC2331:AE2331)-(COLUMN(AC2331)))))-1),"")</f>
        <v>45826</v>
      </c>
      <c r="K2331" s="16" t="n">
        <f aca="false" t="array" ref="K2331:K2331">IFERROR(INDEX(AC2331:AE2331,IF(COUNTA(AC2331:AE2331)=0,"",MAX((AC2331:AE2331&lt;&gt;"")*(COLUMN(AC2331:AE2331)-(COLUMN(AC2331)-1))))-1),"")</f>
        <v>46008</v>
      </c>
      <c r="L2331" s="17" t="str">
        <f aca="false" t="array" ref="L2331:L2331">IFERROR(INDEX(AC2331:AE2331,IF(COUNTA(AC2331:AE2331)=0,"",MAX((AC2331:AE2331&lt;&gt;"")*(COLUMN(AC2331:AE2331)-(COLUMN(AC2331)-2))))-1),"")</f>
        <v>ARCHIVED</v>
      </c>
      <c r="M2331" s="13" t="n">
        <f aca="true">K2331-TODAY()</f>
        <v>-316</v>
      </c>
      <c r="N2331" s="18" t="s">
        <v>105</v>
      </c>
      <c r="O2331" s="13" t="s">
        <v>8482</v>
      </c>
      <c r="P2331" s="19" t="n">
        <v>3000000</v>
      </c>
      <c r="Q2331" s="20" t="s">
        <v>9979</v>
      </c>
      <c r="R2331" s="13" t="s">
        <v>324</v>
      </c>
      <c r="S2331" s="16" t="n">
        <v>37527</v>
      </c>
      <c r="T2331" s="28" t="s">
        <v>40</v>
      </c>
      <c r="U2331" s="13" t="s">
        <v>9980</v>
      </c>
      <c r="V2331" s="13" t="s">
        <v>42</v>
      </c>
      <c r="W2331" s="13" t="s">
        <v>43</v>
      </c>
      <c r="X2331" s="21" t="n">
        <v>85791054018</v>
      </c>
      <c r="Y2331" s="22" t="str">
        <f aca="false">O2331</f>
        <v>Admin Staff</v>
      </c>
      <c r="Z2331" s="13" t="str">
        <f aca="false">IFERROR(__xludf.dummyfunction("if(BJ2331="""","""",GOOGLETRANSLATE(BJ2331,""auto"",""en""))"),"Admin Staff")</f>
        <v>Admin Staff</v>
      </c>
      <c r="AA2331" s="23" t="str">
        <f aca="false">IF(C2331="","", CHOOSE(MONTH(C2331),"January","February","March","April","May","June","July","August","September","October","November","December")&amp;" "&amp;DAY(C2331)&amp;MID("thstndrdth",MIN(9,2*RIGHT(DAY(C2331))*(MOD(DAY(C2331)-11,100)&gt;2)+1),2)&amp;","&amp;TEXT(C2331," yyyy"))</f>
        <v>June 18th,2025</v>
      </c>
      <c r="AB2331" s="15" t="str">
        <f aca="true">IF(S2331="","",DATEDIF(S2331,TODAY(),"Y")&amp;" Tahun, "&amp;DATEDIF(S2331,TODAY(),"YM")&amp;" Bulan, "&amp;DATEDIF(S2331,TODAY(),"MD")&amp;" Hari")</f>
        <v>24 Tahun, 1 Bulan, 1 Hari</v>
      </c>
      <c r="AC2331" s="18" t="n">
        <v>45826</v>
      </c>
      <c r="AD2331" s="18" t="n">
        <v>46008</v>
      </c>
      <c r="AE2331" s="18" t="s">
        <v>44</v>
      </c>
    </row>
    <row r="2332" customFormat="false" ht="15" hidden="false" customHeight="true" outlineLevel="0" collapsed="false">
      <c r="A2332" s="12" t="n">
        <v>19877</v>
      </c>
      <c r="B2332" s="13" t="s">
        <v>9981</v>
      </c>
      <c r="C2332" s="16" t="n">
        <v>45815</v>
      </c>
      <c r="D2332" s="13" t="s">
        <v>5892</v>
      </c>
      <c r="E2332" s="15" t="s">
        <v>536</v>
      </c>
      <c r="F2332" s="24" t="s">
        <v>9982</v>
      </c>
      <c r="G2332" s="13" t="s">
        <v>57</v>
      </c>
      <c r="H2332" s="13" t="s">
        <v>35</v>
      </c>
      <c r="I2332" s="13" t="str">
        <f aca="false">IF(C2332=J2332,"NEW KONTRAK","RE-KONTRAK")</f>
        <v>RE-KONTRAK</v>
      </c>
      <c r="J2332" s="16" t="n">
        <f aca="false" t="array" ref="J2332:J2332">IFERROR(INDEX(AC2332:AE2332,IF(COUNTA(AC2332:AE2332)=0,"",MAX((AC2332:AE2332&lt;&gt;"")*(COLUMN(AC2332:AE2332)-(COLUMN(AC2332)))))-1),"")</f>
        <v>45845</v>
      </c>
      <c r="K2332" s="16" t="n">
        <f aca="false" t="array" ref="K2332:K2332">IFERROR(INDEX(AC2332:AE2332,IF(COUNTA(AC2332:AE2332)=0,"",MAX((AC2332:AE2332&lt;&gt;"")*(COLUMN(AC2332:AE2332)-(COLUMN(AC2332)-1))))-1),"")</f>
        <v>45936</v>
      </c>
      <c r="L2332" s="17" t="str">
        <f aca="false" t="array" ref="L2332:L2332">IFERROR(INDEX(AC2332:AE2332,IF(COUNTA(AC2332:AE2332)=0,"",MAX((AC2332:AE2332&lt;&gt;"")*(COLUMN(AC2332:AE2332)-(COLUMN(AC2332)-2))))-1),"")</f>
        <v>ARCHIVED</v>
      </c>
      <c r="M2332" s="13" t="n">
        <f aca="true">K2332-TODAY()</f>
        <v>-388</v>
      </c>
      <c r="N2332" s="18" t="s">
        <v>105</v>
      </c>
      <c r="O2332" s="13" t="s">
        <v>5894</v>
      </c>
      <c r="P2332" s="19" t="n">
        <f aca="false">150000*25</f>
        <v>3750000</v>
      </c>
      <c r="Q2332" s="20" t="s">
        <v>9983</v>
      </c>
      <c r="R2332" s="13" t="s">
        <v>78</v>
      </c>
      <c r="S2332" s="16" t="n">
        <v>34903</v>
      </c>
      <c r="T2332" s="28" t="s">
        <v>40</v>
      </c>
      <c r="U2332" s="13" t="s">
        <v>9984</v>
      </c>
      <c r="V2332" s="13" t="s">
        <v>42</v>
      </c>
      <c r="W2332" s="13" t="s">
        <v>43</v>
      </c>
      <c r="X2332" s="21" t="n">
        <v>85850575291</v>
      </c>
      <c r="Y2332" s="22" t="str">
        <f aca="false">O2332</f>
        <v>Checker</v>
      </c>
      <c r="Z2332" s="13" t="str">
        <f aca="false">IFERROR(__xludf.dummyfunction("if(BJ2332="""","""",GOOGLETRANSLATE(BJ2332,""auto"",""en""))"),"Checker")</f>
        <v>Checker</v>
      </c>
      <c r="AA2332" s="23" t="str">
        <f aca="false">IF(C2332="","", CHOOSE(MONTH(C2332),"January","February","March","April","May","June","July","August","September","October","November","December")&amp;" "&amp;DAY(C2332)&amp;MID("thstndrdth",MIN(9,2*RIGHT(DAY(C2332))*(MOD(DAY(C2332)-11,100)&gt;2)+1),2)&amp;","&amp;TEXT(C2332," yyyy"))</f>
        <v>June 7th,2025</v>
      </c>
      <c r="AB2332" s="15" t="str">
        <f aca="true">IF(S2332="","",DATEDIF(S2332,TODAY(),"Y")&amp;" Tahun, "&amp;DATEDIF(S2332,TODAY(),"YM")&amp;" Bulan, "&amp;DATEDIF(S2332,TODAY(),"MD")&amp;" Hari")</f>
        <v>31 Tahun, 3 Bulan, 6 Hari</v>
      </c>
      <c r="AC2332" s="18" t="n">
        <v>45845</v>
      </c>
      <c r="AD2332" s="18" t="n">
        <v>45936</v>
      </c>
      <c r="AE2332" s="18" t="s">
        <v>44</v>
      </c>
    </row>
    <row r="2333" customFormat="false" ht="15" hidden="false" customHeight="true" outlineLevel="0" collapsed="false">
      <c r="A2333" s="12" t="n">
        <v>19880</v>
      </c>
      <c r="B2333" s="13" t="s">
        <v>9985</v>
      </c>
      <c r="C2333" s="16" t="n">
        <v>45827</v>
      </c>
      <c r="D2333" s="13" t="s">
        <v>4696</v>
      </c>
      <c r="E2333" s="15" t="s">
        <v>47</v>
      </c>
      <c r="F2333" s="15" t="str">
        <f aca="false">IFERROR(__xludf.dummyfunction("XLOOKUP(AJ2333,IMPORTRANGE(""1XaInW9DU9nz21V0tYIfzFQ0He9kVQ_JF2mCXgZ3hqFA"",""REKAP ALL 2026 - Andika!G:G""),IMPORTRANGE(""1XaInW9DU9nz21V0tYIfzFQ0He9kVQ_JF2mCXgZ3hqFA"",""REKAP ALL 2026 - Andika!F:F""),"""",0)"),"25071972928")</f>
        <v>25071972928</v>
      </c>
      <c r="G2333" s="13" t="s">
        <v>9986</v>
      </c>
      <c r="H2333" s="13" t="s">
        <v>35</v>
      </c>
      <c r="I2333" s="13" t="str">
        <f aca="false">IF(C2333=J2333,"NEW KONTRAK","RE-KONTRAK")</f>
        <v>NEW KONTRAK</v>
      </c>
      <c r="J2333" s="16" t="n">
        <f aca="false" t="array" ref="J2333:J2333">IFERROR(INDEX(AC2333:AE2333,IF(COUNTA(AC2333:AE2333)=0,"",MAX((AC2333:AE2333&lt;&gt;"")*(COLUMN(AC2333:AE2333)-(COLUMN(AC2333)))))-1),"")</f>
        <v>45827</v>
      </c>
      <c r="K2333" s="16" t="n">
        <f aca="false" t="array" ref="K2333:K2333">IFERROR(INDEX(AC2333:AE2333,IF(COUNTA(AC2333:AE2333)=0,"",MAX((AC2333:AE2333&lt;&gt;"")*(COLUMN(AC2333:AE2333)-(COLUMN(AC2333)-1))))-1),"")</f>
        <v>46009</v>
      </c>
      <c r="L2333" s="17" t="str">
        <f aca="false" t="array" ref="L2333:L2333">IFERROR(INDEX(AC2333:AE2333,IF(COUNTA(AC2333:AE2333)=0,"",MAX((AC2333:AE2333&lt;&gt;"")*(COLUMN(AC2333:AE2333)-(COLUMN(AC2333)-2))))-1),"")</f>
        <v>ARCHIVED</v>
      </c>
      <c r="M2333" s="13" t="n">
        <f aca="true">K2333-TODAY()</f>
        <v>-315</v>
      </c>
      <c r="N2333" s="18" t="s">
        <v>36</v>
      </c>
      <c r="O2333" s="13" t="s">
        <v>3097</v>
      </c>
      <c r="P2333" s="19" t="n">
        <v>5195401</v>
      </c>
      <c r="Q2333" s="20" t="s">
        <v>9987</v>
      </c>
      <c r="R2333" s="13" t="s">
        <v>65</v>
      </c>
      <c r="S2333" s="16" t="n">
        <v>35283</v>
      </c>
      <c r="T2333" s="28" t="s">
        <v>40</v>
      </c>
      <c r="U2333" s="13" t="s">
        <v>9988</v>
      </c>
      <c r="V2333" s="13" t="s">
        <v>42</v>
      </c>
      <c r="W2333" s="13" t="s">
        <v>43</v>
      </c>
      <c r="X2333" s="21" t="n">
        <v>81230768188</v>
      </c>
      <c r="Y2333" s="22" t="str">
        <f aca="false">O2333</f>
        <v>Engineering</v>
      </c>
      <c r="Z2333" s="13" t="str">
        <f aca="false">IFERROR(__xludf.dummyfunction("if(BJ2333="""","""",GOOGLETRANSLATE(BJ2333,""auto"",""en""))"),"Engineering")</f>
        <v>Engineering</v>
      </c>
      <c r="AA2333" s="23" t="str">
        <f aca="false">IF(C2333="","", CHOOSE(MONTH(C2333),"January","February","March","April","May","June","July","August","September","October","November","December")&amp;" "&amp;DAY(C2333)&amp;MID("thstndrdth",MIN(9,2*RIGHT(DAY(C2333))*(MOD(DAY(C2333)-11,100)&gt;2)+1),2)&amp;","&amp;TEXT(C2333," yyyy"))</f>
        <v>June 19th,2025</v>
      </c>
      <c r="AB2333" s="15" t="str">
        <f aca="true">IF(S2333="","",DATEDIF(S2333,TODAY(),"Y")&amp;" Tahun, "&amp;DATEDIF(S2333,TODAY(),"YM")&amp;" Bulan, "&amp;DATEDIF(S2333,TODAY(),"MD")&amp;" Hari")</f>
        <v>30 Tahun, 2 Bulan, 23 Hari</v>
      </c>
      <c r="AC2333" s="18" t="n">
        <v>45827</v>
      </c>
      <c r="AD2333" s="18" t="n">
        <v>46009</v>
      </c>
      <c r="AE2333" s="18" t="s">
        <v>44</v>
      </c>
    </row>
    <row r="2334" customFormat="false" ht="15" hidden="false" customHeight="true" outlineLevel="0" collapsed="false">
      <c r="A2334" s="12" t="n">
        <v>19879</v>
      </c>
      <c r="B2334" s="13" t="s">
        <v>9989</v>
      </c>
      <c r="C2334" s="16" t="n">
        <v>45827</v>
      </c>
      <c r="D2334" s="13" t="s">
        <v>2046</v>
      </c>
      <c r="E2334" s="15" t="s">
        <v>102</v>
      </c>
      <c r="F2334" s="15" t="str">
        <f aca="false">IFERROR(__xludf.dummyfunction("XLOOKUP(AJ2334,IMPORTRANGE(""1XaInW9DU9nz21V0tYIfzFQ0He9kVQ_JF2mCXgZ3hqFA"",""REKAP ALL 2026 - Andika!G:G""),IMPORTRANGE(""1XaInW9DU9nz21V0tYIfzFQ0He9kVQ_JF2mCXgZ3hqFA"",""REKAP ALL 2026 - Andika!F:F""),"""",0)"),"25079805997")</f>
        <v>25079805997</v>
      </c>
      <c r="G2334" s="13" t="s">
        <v>9990</v>
      </c>
      <c r="H2334" s="13" t="s">
        <v>35</v>
      </c>
      <c r="I2334" s="13" t="str">
        <f aca="false">IF(C2334=J2334,"NEW KONTRAK","RE-KONTRAK")</f>
        <v>NEW KONTRAK</v>
      </c>
      <c r="J2334" s="16" t="n">
        <f aca="false" t="array" ref="J2334:J2334">IFERROR(INDEX(AC2334:AE2334,IF(COUNTA(AC2334:AE2334)=0,"",MAX((AC2334:AE2334&lt;&gt;"")*(COLUMN(AC2334:AE2334)-(COLUMN(AC2334)))))-1),"")</f>
        <v>45827</v>
      </c>
      <c r="K2334" s="16" t="n">
        <f aca="false" t="array" ref="K2334:K2334">IFERROR(INDEX(AC2334:AE2334,IF(COUNTA(AC2334:AE2334)=0,"",MAX((AC2334:AE2334&lt;&gt;"")*(COLUMN(AC2334:AE2334)-(COLUMN(AC2334)-1))))-1),"")</f>
        <v>45961</v>
      </c>
      <c r="L2334" s="17" t="str">
        <f aca="false" t="array" ref="L2334:L2334">IFERROR(INDEX(AC2334:AE2334,IF(COUNTA(AC2334:AE2334)=0,"",MAX((AC2334:AE2334&lt;&gt;"")*(COLUMN(AC2334:AE2334)-(COLUMN(AC2334)-2))))-1),"")</f>
        <v>ARCHIVED</v>
      </c>
      <c r="M2334" s="13" t="n">
        <f aca="true">K2334-TODAY()</f>
        <v>-363</v>
      </c>
      <c r="N2334" s="18" t="s">
        <v>36</v>
      </c>
      <c r="O2334" s="13" t="s">
        <v>58</v>
      </c>
      <c r="P2334" s="19" t="s">
        <v>2050</v>
      </c>
      <c r="Q2334" s="20" t="s">
        <v>9991</v>
      </c>
      <c r="R2334" s="13" t="s">
        <v>39</v>
      </c>
      <c r="S2334" s="16" t="n">
        <v>37970</v>
      </c>
      <c r="T2334" s="28" t="s">
        <v>40</v>
      </c>
      <c r="U2334" s="13" t="s">
        <v>9992</v>
      </c>
      <c r="V2334" s="13" t="s">
        <v>42</v>
      </c>
      <c r="W2334" s="13" t="s">
        <v>43</v>
      </c>
      <c r="X2334" s="21" t="n">
        <v>88989895346</v>
      </c>
      <c r="Y2334" s="22" t="str">
        <f aca="false">O2334</f>
        <v>Produksi</v>
      </c>
      <c r="Z2334" s="13" t="str">
        <f aca="false">IFERROR(__xludf.dummyfunction("if(BJ2334="""","""",GOOGLETRANSLATE(BJ2334,""auto"",""en""))"),"Production")</f>
        <v>Production</v>
      </c>
      <c r="AA2334" s="23" t="str">
        <f aca="false">IF(C2334="","", CHOOSE(MONTH(C2334),"January","February","March","April","May","June","July","August","September","October","November","December")&amp;" "&amp;DAY(C2334)&amp;MID("thstndrdth",MIN(9,2*RIGHT(DAY(C2334))*(MOD(DAY(C2334)-11,100)&gt;2)+1),2)&amp;","&amp;TEXT(C2334," yyyy"))</f>
        <v>June 19th,2025</v>
      </c>
      <c r="AB2334" s="15" t="str">
        <f aca="true">IF(S2334="","",DATEDIF(S2334,TODAY(),"Y")&amp;" Tahun, "&amp;DATEDIF(S2334,TODAY(),"YM")&amp;" Bulan, "&amp;DATEDIF(S2334,TODAY(),"MD")&amp;" Hari")</f>
        <v>22 Tahun, 10 Bulan, 14 Hari</v>
      </c>
      <c r="AC2334" s="18" t="n">
        <v>45827</v>
      </c>
      <c r="AD2334" s="18" t="n">
        <v>45961</v>
      </c>
      <c r="AE2334" s="18" t="s">
        <v>44</v>
      </c>
    </row>
    <row r="2335" customFormat="false" ht="15" hidden="false" customHeight="true" outlineLevel="0" collapsed="false">
      <c r="A2335" s="12" t="n">
        <v>19895</v>
      </c>
      <c r="B2335" s="13" t="s">
        <v>9993</v>
      </c>
      <c r="C2335" s="16" t="n">
        <v>45829</v>
      </c>
      <c r="D2335" s="13" t="s">
        <v>393</v>
      </c>
      <c r="E2335" s="15" t="s">
        <v>47</v>
      </c>
      <c r="F2335" s="15" t="str">
        <f aca="false">IFERROR(__xludf.dummyfunction("XLOOKUP(AJ2335,IMPORTRANGE(""1XaInW9DU9nz21V0tYIfzFQ0He9kVQ_JF2mCXgZ3hqFA"",""REKAP ALL 2026 - Andika!G:G""),IMPORTRANGE(""1XaInW9DU9nz21V0tYIfzFQ0He9kVQ_JF2mCXgZ3hqFA"",""REKAP ALL 2026 - Andika!F:F""),"""",0)"),"23101881896")</f>
        <v>23101881896</v>
      </c>
      <c r="G2335" s="13" t="s">
        <v>9994</v>
      </c>
      <c r="H2335" s="13" t="s">
        <v>35</v>
      </c>
      <c r="I2335" s="13" t="str">
        <f aca="false">IF(C2335=J2335,"NEW KONTRAK","RE-KONTRAK")</f>
        <v>NEW KONTRAK</v>
      </c>
      <c r="J2335" s="16" t="n">
        <f aca="false" t="array" ref="J2335:J2335">IFERROR(INDEX(AC2335:AE2335,IF(COUNTA(AC2335:AE2335)=0,"",MAX((AC2335:AE2335&lt;&gt;"")*(COLUMN(AC2335:AE2335)-(COLUMN(AC2335)))))-1),"")</f>
        <v>45829</v>
      </c>
      <c r="K2335" s="16" t="n">
        <f aca="false" t="array" ref="K2335:K2335">IFERROR(INDEX(AC2335:AE2335,IF(COUNTA(AC2335:AE2335)=0,"",MAX((AC2335:AE2335&lt;&gt;"")*(COLUMN(AC2335:AE2335)-(COLUMN(AC2335)-1))))-1),"")</f>
        <v>46181</v>
      </c>
      <c r="L2335" s="17" t="str">
        <f aca="false" t="array" ref="L2335:L2335">IFERROR(INDEX(AC2335:AE2335,IF(COUNTA(AC2335:AE2335)=0,"",MAX((AC2335:AE2335&lt;&gt;"")*(COLUMN(AC2335:AE2335)-(COLUMN(AC2335)-2))))-1),"")</f>
        <v>KEMBALI</v>
      </c>
      <c r="M2335" s="13" t="n">
        <f aca="true">K2335-TODAY()</f>
        <v>-143</v>
      </c>
      <c r="N2335" s="18" t="s">
        <v>105</v>
      </c>
      <c r="O2335" s="13" t="s">
        <v>58</v>
      </c>
      <c r="P2335" s="19" t="n">
        <v>5191541</v>
      </c>
      <c r="Q2335" s="20" t="s">
        <v>9995</v>
      </c>
      <c r="R2335" s="13" t="s">
        <v>39</v>
      </c>
      <c r="S2335" s="16" t="n">
        <v>35943</v>
      </c>
      <c r="T2335" s="28" t="s">
        <v>40</v>
      </c>
      <c r="U2335" s="13" t="s">
        <v>9996</v>
      </c>
      <c r="V2335" s="13" t="s">
        <v>42</v>
      </c>
      <c r="W2335" s="13" t="s">
        <v>43</v>
      </c>
      <c r="X2335" s="21" t="n">
        <v>88228264105</v>
      </c>
      <c r="Y2335" s="22" t="str">
        <f aca="false">O2335</f>
        <v>Produksi</v>
      </c>
      <c r="Z2335" s="13" t="str">
        <f aca="false">IFERROR(__xludf.dummyfunction("if(BJ2335="""","""",GOOGLETRANSLATE(BJ2335,""auto"",""en""))"),"Production")</f>
        <v>Production</v>
      </c>
      <c r="AA2335" s="23" t="str">
        <f aca="false">IF(C2335="","", CHOOSE(MONTH(C2335),"January","February","March","April","May","June","July","August","September","October","November","December")&amp;" "&amp;DAY(C2335)&amp;MID("thstndrdth",MIN(9,2*RIGHT(DAY(C2335))*(MOD(DAY(C2335)-11,100)&gt;2)+1),2)&amp;","&amp;TEXT(C2335," yyyy"))</f>
        <v>June 21st,2025</v>
      </c>
      <c r="AB2335" s="15" t="str">
        <f aca="true">IF(S2335="","",DATEDIF(S2335,TODAY(),"Y")&amp;" Tahun, "&amp;DATEDIF(S2335,TODAY(),"YM")&amp;" Bulan, "&amp;DATEDIF(S2335,TODAY(),"MD")&amp;" Hari")</f>
        <v>28 Tahun, 5 Bulan, 1 Hari</v>
      </c>
      <c r="AC2335" s="18" t="n">
        <v>45829</v>
      </c>
      <c r="AD2335" s="18" t="n">
        <v>46181</v>
      </c>
      <c r="AE2335" s="13" t="s">
        <v>397</v>
      </c>
    </row>
    <row r="2336" customFormat="false" ht="15" hidden="false" customHeight="true" outlineLevel="0" collapsed="false">
      <c r="A2336" s="12" t="n">
        <v>19887</v>
      </c>
      <c r="B2336" s="13" t="s">
        <v>9997</v>
      </c>
      <c r="C2336" s="16" t="n">
        <v>45829</v>
      </c>
      <c r="D2336" s="13" t="s">
        <v>7534</v>
      </c>
      <c r="E2336" s="15" t="s">
        <v>536</v>
      </c>
      <c r="F2336" s="24" t="s">
        <v>9998</v>
      </c>
      <c r="G2336" s="13" t="s">
        <v>9999</v>
      </c>
      <c r="H2336" s="13" t="s">
        <v>35</v>
      </c>
      <c r="I2336" s="13" t="str">
        <f aca="false">IF(C2336=J2336,"NEW KONTRAK","RE-KONTRAK")</f>
        <v>NEW KONTRAK</v>
      </c>
      <c r="J2336" s="16" t="n">
        <f aca="false" t="array" ref="J2336:J2336">IFERROR(INDEX(AC2336:AE2336,IF(COUNTA(AC2336:AE2336)=0,"",MAX((AC2336:AE2336&lt;&gt;"")*(COLUMN(AC2336:AE2336)-(COLUMN(AC2336)))))-1),"")</f>
        <v>45829</v>
      </c>
      <c r="K2336" s="16" t="n">
        <f aca="false" t="array" ref="K2336:K2336">IFERROR(INDEX(AC2336:AE2336,IF(COUNTA(AC2336:AE2336)=0,"",MAX((AC2336:AE2336&lt;&gt;"")*(COLUMN(AC2336:AE2336)-(COLUMN(AC2336)-1))))-1),"")</f>
        <v>45920</v>
      </c>
      <c r="L2336" s="17" t="str">
        <f aca="false" t="array" ref="L2336:L2336">IFERROR(INDEX(AC2336:AE2336,IF(COUNTA(AC2336:AE2336)=0,"",MAX((AC2336:AE2336&lt;&gt;"")*(COLUMN(AC2336:AE2336)-(COLUMN(AC2336)-2))))-1),"")</f>
        <v>ARCHIVED</v>
      </c>
      <c r="M2336" s="13" t="n">
        <f aca="true">K2336-TODAY()</f>
        <v>-404</v>
      </c>
      <c r="N2336" s="18" t="s">
        <v>4735</v>
      </c>
      <c r="O2336" s="13" t="s">
        <v>7536</v>
      </c>
      <c r="P2336" s="19" t="n">
        <v>3553530</v>
      </c>
      <c r="Q2336" s="20" t="s">
        <v>10000</v>
      </c>
      <c r="R2336" s="13" t="s">
        <v>83</v>
      </c>
      <c r="S2336" s="16" t="n">
        <v>35675</v>
      </c>
      <c r="T2336" s="13" t="s">
        <v>108</v>
      </c>
      <c r="U2336" s="13" t="s">
        <v>10001</v>
      </c>
      <c r="V2336" s="13" t="s">
        <v>42</v>
      </c>
      <c r="W2336" s="13" t="s">
        <v>43</v>
      </c>
      <c r="X2336" s="21" t="n">
        <v>89601178232</v>
      </c>
      <c r="Y2336" s="22" t="str">
        <f aca="false">O2336</f>
        <v>Host Live</v>
      </c>
      <c r="Z2336" s="13" t="str">
        <f aca="false">IFERROR(__xludf.dummyfunction("if(BJ2336="""","""",GOOGLETRANSLATE(BJ2336,""auto"",""en""))"),"Host Live")</f>
        <v>Host Live</v>
      </c>
      <c r="AA2336" s="23" t="str">
        <f aca="false">IF(C2336="","", CHOOSE(MONTH(C2336),"January","February","March","April","May","June","July","August","September","October","November","December")&amp;" "&amp;DAY(C2336)&amp;MID("thstndrdth",MIN(9,2*RIGHT(DAY(C2336))*(MOD(DAY(C2336)-11,100)&gt;2)+1),2)&amp;","&amp;TEXT(C2336," yyyy"))</f>
        <v>June 21st,2025</v>
      </c>
      <c r="AB2336" s="15" t="str">
        <f aca="true">IF(S2336="","",DATEDIF(S2336,TODAY(),"Y")&amp;" Tahun, "&amp;DATEDIF(S2336,TODAY(),"YM")&amp;" Bulan, "&amp;DATEDIF(S2336,TODAY(),"MD")&amp;" Hari")</f>
        <v>29 Tahun, 1 Bulan, 27 Hari</v>
      </c>
      <c r="AC2336" s="18" t="n">
        <v>45829</v>
      </c>
      <c r="AD2336" s="18" t="n">
        <v>45920</v>
      </c>
      <c r="AE2336" s="18" t="s">
        <v>44</v>
      </c>
    </row>
    <row r="2337" customFormat="false" ht="15" hidden="false" customHeight="true" outlineLevel="0" collapsed="false">
      <c r="A2337" s="12" t="n">
        <v>19891</v>
      </c>
      <c r="B2337" s="13" t="s">
        <v>10002</v>
      </c>
      <c r="C2337" s="16" t="n">
        <v>45827</v>
      </c>
      <c r="D2337" s="13" t="s">
        <v>1338</v>
      </c>
      <c r="E2337" s="15" t="s">
        <v>704</v>
      </c>
      <c r="F2337" s="24" t="s">
        <v>10003</v>
      </c>
      <c r="G2337" s="13" t="s">
        <v>57</v>
      </c>
      <c r="H2337" s="13" t="s">
        <v>10004</v>
      </c>
      <c r="I2337" s="13" t="str">
        <f aca="false">IF(C2337=J2337,"NEW KONTRAK","RE-KONTRAK")</f>
        <v>NEW KONTRAK</v>
      </c>
      <c r="J2337" s="16" t="n">
        <f aca="false" t="array" ref="J2337:J2337">IFERROR(INDEX(AC2337:AE2337,IF(COUNTA(AC2337:AE2337)=0,"",MAX((AC2337:AE2337&lt;&gt;"")*(COLUMN(AC2337:AE2337)-(COLUMN(AC2337)))))-1),"")</f>
        <v>45827</v>
      </c>
      <c r="K2337" s="16" t="n">
        <f aca="false" t="array" ref="K2337:K2337">IFERROR(INDEX(AC2337:AE2337,IF(COUNTA(AC2337:AE2337)=0,"",MAX((AC2337:AE2337&lt;&gt;"")*(COLUMN(AC2337:AE2337)-(COLUMN(AC2337)-1))))-1),"")</f>
        <v>45844</v>
      </c>
      <c r="L2337" s="17" t="str">
        <f aca="false" t="array" ref="L2337:L2337">IFERROR(INDEX(AC2337:AE2337,IF(COUNTA(AC2337:AE2337)=0,"",MAX((AC2337:AE2337&lt;&gt;"")*(COLUMN(AC2337:AE2337)-(COLUMN(AC2337)-2))))-1),"")</f>
        <v>ARCHIVED</v>
      </c>
      <c r="M2337" s="13" t="n">
        <f aca="true">K2337-TODAY()</f>
        <v>-480</v>
      </c>
      <c r="N2337" s="18" t="s">
        <v>615</v>
      </c>
      <c r="O2337" s="13" t="s">
        <v>10005</v>
      </c>
      <c r="P2337" s="19" t="n">
        <v>100000</v>
      </c>
      <c r="Q2337" s="20" t="s">
        <v>10006</v>
      </c>
      <c r="R2337" s="13" t="s">
        <v>232</v>
      </c>
      <c r="S2337" s="16" t="n">
        <v>38136</v>
      </c>
      <c r="T2337" s="28" t="s">
        <v>40</v>
      </c>
      <c r="U2337" s="13" t="s">
        <v>10007</v>
      </c>
      <c r="V2337" s="13" t="s">
        <v>42</v>
      </c>
      <c r="W2337" s="28" t="s">
        <v>43</v>
      </c>
      <c r="X2337" s="30" t="n">
        <v>85812567468</v>
      </c>
      <c r="Y2337" s="22" t="str">
        <f aca="false">O2337</f>
        <v>HL Pilah Batu</v>
      </c>
      <c r="Z2337" s="13" t="str">
        <f aca="false">IFERROR(__xludf.dummyfunction("if(BJ2337="""","""",GOOGLETRANSLATE(BJ2337,""auto"",""en""))"),"HL Stone Sorting")</f>
        <v>HL Stone Sorting</v>
      </c>
      <c r="AA2337" s="23" t="str">
        <f aca="false">IF(C2337="","", CHOOSE(MONTH(C2337),"January","February","March","April","May","June","July","August","September","October","November","December")&amp;" "&amp;DAY(C2337)&amp;MID("thstndrdth",MIN(9,2*RIGHT(DAY(C2337))*(MOD(DAY(C2337)-11,100)&gt;2)+1),2)&amp;","&amp;TEXT(C2337," yyyy"))</f>
        <v>June 19th,2025</v>
      </c>
      <c r="AB2337" s="15" t="str">
        <f aca="true">IF(S2337="","",DATEDIF(S2337,TODAY(),"Y")&amp;" Tahun, "&amp;DATEDIF(S2337,TODAY(),"YM")&amp;" Bulan, "&amp;DATEDIF(S2337,TODAY(),"MD")&amp;" Hari")</f>
        <v>22 Tahun, 5 Bulan, 0 Hari</v>
      </c>
      <c r="AC2337" s="18" t="n">
        <v>45827</v>
      </c>
      <c r="AD2337" s="18" t="n">
        <v>45844</v>
      </c>
      <c r="AE2337" s="18" t="s">
        <v>44</v>
      </c>
    </row>
    <row r="2338" customFormat="false" ht="15" hidden="false" customHeight="true" outlineLevel="0" collapsed="false">
      <c r="A2338" s="12" t="n">
        <v>19892</v>
      </c>
      <c r="B2338" s="13" t="s">
        <v>10008</v>
      </c>
      <c r="C2338" s="16" t="n">
        <v>45827</v>
      </c>
      <c r="D2338" s="13" t="s">
        <v>1338</v>
      </c>
      <c r="E2338" s="15" t="s">
        <v>704</v>
      </c>
      <c r="F2338" s="24" t="s">
        <v>10009</v>
      </c>
      <c r="G2338" s="13" t="s">
        <v>57</v>
      </c>
      <c r="H2338" s="13" t="s">
        <v>10004</v>
      </c>
      <c r="I2338" s="13" t="str">
        <f aca="false">IF(C2338=J2338,"NEW KONTRAK","RE-KONTRAK")</f>
        <v>NEW KONTRAK</v>
      </c>
      <c r="J2338" s="16" t="n">
        <f aca="false" t="array" ref="J2338:J2338">IFERROR(INDEX(AC2338:AE2338,IF(COUNTA(AC2338:AE2338)=0,"",MAX((AC2338:AE2338&lt;&gt;"")*(COLUMN(AC2338:AE2338)-(COLUMN(AC2338)))))-1),"")</f>
        <v>45827</v>
      </c>
      <c r="K2338" s="16" t="n">
        <f aca="false" t="array" ref="K2338:K2338">IFERROR(INDEX(AC2338:AE2338,IF(COUNTA(AC2338:AE2338)=0,"",MAX((AC2338:AE2338&lt;&gt;"")*(COLUMN(AC2338:AE2338)-(COLUMN(AC2338)-1))))-1),"")</f>
        <v>45844</v>
      </c>
      <c r="L2338" s="17" t="str">
        <f aca="false" t="array" ref="L2338:L2338">IFERROR(INDEX(AC2338:AE2338,IF(COUNTA(AC2338:AE2338)=0,"",MAX((AC2338:AE2338&lt;&gt;"")*(COLUMN(AC2338:AE2338)-(COLUMN(AC2338)-2))))-1),"")</f>
        <v>ARCHIVED</v>
      </c>
      <c r="M2338" s="13" t="n">
        <f aca="true">K2338-TODAY()</f>
        <v>-480</v>
      </c>
      <c r="N2338" s="18" t="s">
        <v>615</v>
      </c>
      <c r="O2338" s="13" t="s">
        <v>10005</v>
      </c>
      <c r="P2338" s="19" t="n">
        <v>100000</v>
      </c>
      <c r="Q2338" s="20" t="s">
        <v>10010</v>
      </c>
      <c r="R2338" s="13" t="s">
        <v>232</v>
      </c>
      <c r="S2338" s="16" t="n">
        <v>35984</v>
      </c>
      <c r="T2338" s="28" t="s">
        <v>40</v>
      </c>
      <c r="U2338" s="13" t="s">
        <v>10011</v>
      </c>
      <c r="V2338" s="13" t="s">
        <v>42</v>
      </c>
      <c r="W2338" s="28" t="s">
        <v>54</v>
      </c>
      <c r="X2338" s="30" t="n">
        <v>81271545168</v>
      </c>
      <c r="Y2338" s="22" t="str">
        <f aca="false">O2338</f>
        <v>HL Pilah Batu</v>
      </c>
      <c r="Z2338" s="13" t="str">
        <f aca="false">IFERROR(__xludf.dummyfunction("if(BJ2338="""","""",GOOGLETRANSLATE(BJ2338,""auto"",""en""))"),"HL Stone Sorting")</f>
        <v>HL Stone Sorting</v>
      </c>
      <c r="AA2338" s="23" t="str">
        <f aca="false">IF(C2338="","", CHOOSE(MONTH(C2338),"January","February","March","April","May","June","July","August","September","October","November","December")&amp;" "&amp;DAY(C2338)&amp;MID("thstndrdth",MIN(9,2*RIGHT(DAY(C2338))*(MOD(DAY(C2338)-11,100)&gt;2)+1),2)&amp;","&amp;TEXT(C2338," yyyy"))</f>
        <v>June 19th,2025</v>
      </c>
      <c r="AB2338" s="15" t="str">
        <f aca="true">IF(S2338="","",DATEDIF(S2338,TODAY(),"Y")&amp;" Tahun, "&amp;DATEDIF(S2338,TODAY(),"YM")&amp;" Bulan, "&amp;DATEDIF(S2338,TODAY(),"MD")&amp;" Hari")</f>
        <v>28 Tahun, 3 Bulan, 21 Hari</v>
      </c>
      <c r="AC2338" s="18" t="n">
        <v>45827</v>
      </c>
      <c r="AD2338" s="18" t="n">
        <v>45844</v>
      </c>
      <c r="AE2338" s="18" t="s">
        <v>44</v>
      </c>
    </row>
    <row r="2339" customFormat="false" ht="15" hidden="false" customHeight="true" outlineLevel="0" collapsed="false">
      <c r="A2339" s="12" t="n">
        <v>19893</v>
      </c>
      <c r="B2339" s="13" t="s">
        <v>10012</v>
      </c>
      <c r="C2339" s="16" t="n">
        <v>45827</v>
      </c>
      <c r="D2339" s="13" t="s">
        <v>1338</v>
      </c>
      <c r="E2339" s="15" t="s">
        <v>704</v>
      </c>
      <c r="F2339" s="24" t="s">
        <v>10013</v>
      </c>
      <c r="G2339" s="13" t="s">
        <v>57</v>
      </c>
      <c r="H2339" s="13" t="s">
        <v>10004</v>
      </c>
      <c r="I2339" s="13" t="str">
        <f aca="false">IF(C2339=J2339,"NEW KONTRAK","RE-KONTRAK")</f>
        <v>NEW KONTRAK</v>
      </c>
      <c r="J2339" s="16" t="n">
        <f aca="false" t="array" ref="J2339:J2339">IFERROR(INDEX(AC2339:AE2339,IF(COUNTA(AC2339:AE2339)=0,"",MAX((AC2339:AE2339&lt;&gt;"")*(COLUMN(AC2339:AE2339)-(COLUMN(AC2339)))))-1),"")</f>
        <v>45827</v>
      </c>
      <c r="K2339" s="16" t="n">
        <f aca="false" t="array" ref="K2339:K2339">IFERROR(INDEX(AC2339:AE2339,IF(COUNTA(AC2339:AE2339)=0,"",MAX((AC2339:AE2339&lt;&gt;"")*(COLUMN(AC2339:AE2339)-(COLUMN(AC2339)-1))))-1),"")</f>
        <v>45844</v>
      </c>
      <c r="L2339" s="17" t="str">
        <f aca="false" t="array" ref="L2339:L2339">IFERROR(INDEX(AC2339:AE2339,IF(COUNTA(AC2339:AE2339)=0,"",MAX((AC2339:AE2339&lt;&gt;"")*(COLUMN(AC2339:AE2339)-(COLUMN(AC2339)-2))))-1),"")</f>
        <v>ARCHIVED</v>
      </c>
      <c r="M2339" s="13" t="n">
        <f aca="true">K2339-TODAY()</f>
        <v>-480</v>
      </c>
      <c r="N2339" s="18" t="s">
        <v>615</v>
      </c>
      <c r="O2339" s="13" t="s">
        <v>10005</v>
      </c>
      <c r="P2339" s="19" t="n">
        <v>100000</v>
      </c>
      <c r="Q2339" s="20" t="s">
        <v>10014</v>
      </c>
      <c r="R2339" s="13" t="s">
        <v>232</v>
      </c>
      <c r="S2339" s="16" t="n">
        <v>37509</v>
      </c>
      <c r="T2339" s="28" t="s">
        <v>40</v>
      </c>
      <c r="U2339" s="13" t="s">
        <v>10015</v>
      </c>
      <c r="V2339" s="13" t="s">
        <v>42</v>
      </c>
      <c r="W2339" s="28" t="s">
        <v>43</v>
      </c>
      <c r="X2339" s="30" t="n">
        <v>81187603859</v>
      </c>
      <c r="Y2339" s="22" t="str">
        <f aca="false">O2339</f>
        <v>HL Pilah Batu</v>
      </c>
      <c r="Z2339" s="13" t="str">
        <f aca="false">IFERROR(__xludf.dummyfunction("if(BJ2339="""","""",GOOGLETRANSLATE(BJ2339,""auto"",""en""))"),"HL Stone Sorting")</f>
        <v>HL Stone Sorting</v>
      </c>
      <c r="AA2339" s="23" t="str">
        <f aca="false">IF(C2339="","", CHOOSE(MONTH(C2339),"January","February","March","April","May","June","July","August","September","October","November","December")&amp;" "&amp;DAY(C2339)&amp;MID("thstndrdth",MIN(9,2*RIGHT(DAY(C2339))*(MOD(DAY(C2339)-11,100)&gt;2)+1),2)&amp;","&amp;TEXT(C2339," yyyy"))</f>
        <v>June 19th,2025</v>
      </c>
      <c r="AB2339" s="15" t="str">
        <f aca="true">IF(S2339="","",DATEDIF(S2339,TODAY(),"Y")&amp;" Tahun, "&amp;DATEDIF(S2339,TODAY(),"YM")&amp;" Bulan, "&amp;DATEDIF(S2339,TODAY(),"MD")&amp;" Hari")</f>
        <v>24 Tahun, 1 Bulan, 19 Hari</v>
      </c>
      <c r="AC2339" s="18" t="n">
        <v>45827</v>
      </c>
      <c r="AD2339" s="18" t="n">
        <v>45844</v>
      </c>
      <c r="AE2339" s="18" t="s">
        <v>44</v>
      </c>
    </row>
    <row r="2340" customFormat="false" ht="15" hidden="false" customHeight="true" outlineLevel="0" collapsed="false">
      <c r="A2340" s="12" t="n">
        <v>19894</v>
      </c>
      <c r="B2340" s="13" t="s">
        <v>10016</v>
      </c>
      <c r="C2340" s="16" t="n">
        <v>45827</v>
      </c>
      <c r="D2340" s="13" t="s">
        <v>1338</v>
      </c>
      <c r="E2340" s="15" t="s">
        <v>704</v>
      </c>
      <c r="F2340" s="24" t="s">
        <v>10017</v>
      </c>
      <c r="G2340" s="13" t="s">
        <v>57</v>
      </c>
      <c r="H2340" s="13" t="s">
        <v>10004</v>
      </c>
      <c r="I2340" s="13" t="str">
        <f aca="false">IF(C2340=J2340,"NEW KONTRAK","RE-KONTRAK")</f>
        <v>NEW KONTRAK</v>
      </c>
      <c r="J2340" s="16" t="n">
        <f aca="false" t="array" ref="J2340:J2340">IFERROR(INDEX(AC2340:AE2340,IF(COUNTA(AC2340:AE2340)=0,"",MAX((AC2340:AE2340&lt;&gt;"")*(COLUMN(AC2340:AE2340)-(COLUMN(AC2340)))))-1),"")</f>
        <v>45827</v>
      </c>
      <c r="K2340" s="16" t="n">
        <f aca="false" t="array" ref="K2340:K2340">IFERROR(INDEX(AC2340:AE2340,IF(COUNTA(AC2340:AE2340)=0,"",MAX((AC2340:AE2340&lt;&gt;"")*(COLUMN(AC2340:AE2340)-(COLUMN(AC2340)-1))))-1),"")</f>
        <v>45844</v>
      </c>
      <c r="L2340" s="17" t="str">
        <f aca="false" t="array" ref="L2340:L2340">IFERROR(INDEX(AC2340:AE2340,IF(COUNTA(AC2340:AE2340)=0,"",MAX((AC2340:AE2340&lt;&gt;"")*(COLUMN(AC2340:AE2340)-(COLUMN(AC2340)-2))))-1),"")</f>
        <v>ARCHIVED</v>
      </c>
      <c r="M2340" s="13" t="n">
        <f aca="true">K2340-TODAY()</f>
        <v>-480</v>
      </c>
      <c r="N2340" s="18" t="s">
        <v>615</v>
      </c>
      <c r="O2340" s="13" t="s">
        <v>10005</v>
      </c>
      <c r="P2340" s="19" t="n">
        <v>100000</v>
      </c>
      <c r="Q2340" s="20" t="s">
        <v>10018</v>
      </c>
      <c r="R2340" s="13" t="s">
        <v>232</v>
      </c>
      <c r="S2340" s="16" t="n">
        <v>37353</v>
      </c>
      <c r="T2340" s="28" t="s">
        <v>40</v>
      </c>
      <c r="U2340" s="13" t="s">
        <v>10019</v>
      </c>
      <c r="V2340" s="13" t="s">
        <v>42</v>
      </c>
      <c r="W2340" s="28" t="s">
        <v>43</v>
      </c>
      <c r="X2340" s="30" t="n">
        <v>83170348247</v>
      </c>
      <c r="Y2340" s="22" t="str">
        <f aca="false">O2340</f>
        <v>HL Pilah Batu</v>
      </c>
      <c r="Z2340" s="13" t="str">
        <f aca="false">IFERROR(__xludf.dummyfunction("if(BJ2340="""","""",GOOGLETRANSLATE(BJ2340,""auto"",""en""))"),"HL Stone Sorting")</f>
        <v>HL Stone Sorting</v>
      </c>
      <c r="AA2340" s="23" t="str">
        <f aca="false">IF(C2340="","", CHOOSE(MONTH(C2340),"January","February","March","April","May","June","July","August","September","October","November","December")&amp;" "&amp;DAY(C2340)&amp;MID("thstndrdth",MIN(9,2*RIGHT(DAY(C2340))*(MOD(DAY(C2340)-11,100)&gt;2)+1),2)&amp;","&amp;TEXT(C2340," yyyy"))</f>
        <v>June 19th,2025</v>
      </c>
      <c r="AB2340" s="15" t="str">
        <f aca="true">IF(S2340="","",DATEDIF(S2340,TODAY(),"Y")&amp;" Tahun, "&amp;DATEDIF(S2340,TODAY(),"YM")&amp;" Bulan, "&amp;DATEDIF(S2340,TODAY(),"MD")&amp;" Hari")</f>
        <v>24 Tahun, 6 Bulan, 22 Hari</v>
      </c>
      <c r="AC2340" s="18" t="n">
        <v>45827</v>
      </c>
      <c r="AD2340" s="18" t="n">
        <v>45844</v>
      </c>
      <c r="AE2340" s="18" t="s">
        <v>44</v>
      </c>
    </row>
    <row r="2341" customFormat="false" ht="15" hidden="false" customHeight="true" outlineLevel="0" collapsed="false">
      <c r="A2341" s="12" t="n">
        <v>19910</v>
      </c>
      <c r="B2341" s="13" t="s">
        <v>10020</v>
      </c>
      <c r="C2341" s="16" t="n">
        <v>45821</v>
      </c>
      <c r="D2341" s="13" t="s">
        <v>7534</v>
      </c>
      <c r="E2341" s="15" t="s">
        <v>47</v>
      </c>
      <c r="F2341" s="15" t="str">
        <f aca="false">IFERROR(__xludf.dummyfunction("XLOOKUP(AJ2341,IMPORTRANGE(""1XaInW9DU9nz21V0tYIfzFQ0He9kVQ_JF2mCXgZ3hqFA"",""REKAP ALL 2026 - Andika!G:G""),IMPORTRANGE(""1XaInW9DU9nz21V0tYIfzFQ0He9kVQ_JF2mCXgZ3hqFA"",""REKAP ALL 2026 - Andika!F:F""),"""",0)"),"25079805799")</f>
        <v>25079805799</v>
      </c>
      <c r="G2341" s="13" t="s">
        <v>10021</v>
      </c>
      <c r="H2341" s="13" t="s">
        <v>35</v>
      </c>
      <c r="I2341" s="13" t="str">
        <f aca="false">IF(C2341=J2341,"NEW KONTRAK","RE-KONTRAK")</f>
        <v>NEW KONTRAK</v>
      </c>
      <c r="J2341" s="16" t="n">
        <f aca="false" t="array" ref="J2341:J2341">IFERROR(INDEX(AC2341:AE2341,IF(COUNTA(AC2341:AE2341)=0,"",MAX((AC2341:AE2341&lt;&gt;"")*(COLUMN(AC2341:AE2341)-(COLUMN(AC2341)))))-1),"")</f>
        <v>45821</v>
      </c>
      <c r="K2341" s="16" t="n">
        <f aca="false" t="array" ref="K2341:K2341">IFERROR(INDEX(AC2341:AE2341,IF(COUNTA(AC2341:AE2341)=0,"",MAX((AC2341:AE2341&lt;&gt;"")*(COLUMN(AC2341:AE2341)-(COLUMN(AC2341)-1))))-1),"")</f>
        <v>45912</v>
      </c>
      <c r="L2341" s="17" t="str">
        <f aca="false" t="array" ref="L2341:L2341">IFERROR(INDEX(AC2341:AE2341,IF(COUNTA(AC2341:AE2341)=0,"",MAX((AC2341:AE2341&lt;&gt;"")*(COLUMN(AC2341:AE2341)-(COLUMN(AC2341)-2))))-1),"")</f>
        <v>ARCHIVED</v>
      </c>
      <c r="M2341" s="13" t="n">
        <f aca="true">K2341-TODAY()</f>
        <v>-412</v>
      </c>
      <c r="N2341" s="18" t="s">
        <v>4735</v>
      </c>
      <c r="O2341" s="13" t="s">
        <v>7536</v>
      </c>
      <c r="P2341" s="19" t="n">
        <v>3553530</v>
      </c>
      <c r="Q2341" s="20" t="s">
        <v>10022</v>
      </c>
      <c r="R2341" s="13" t="s">
        <v>83</v>
      </c>
      <c r="S2341" s="16" t="n">
        <v>37631</v>
      </c>
      <c r="T2341" s="13" t="s">
        <v>108</v>
      </c>
      <c r="U2341" s="13" t="s">
        <v>10023</v>
      </c>
      <c r="V2341" s="13" t="s">
        <v>42</v>
      </c>
      <c r="W2341" s="13" t="s">
        <v>43</v>
      </c>
      <c r="X2341" s="21" t="n">
        <v>85895714822</v>
      </c>
      <c r="Y2341" s="22" t="str">
        <f aca="false">O2341</f>
        <v>Host Live</v>
      </c>
      <c r="Z2341" s="13" t="str">
        <f aca="false">IFERROR(__xludf.dummyfunction("if(BJ2341="""","""",GOOGLETRANSLATE(BJ2341,""auto"",""en""))"),"Host Live")</f>
        <v>Host Live</v>
      </c>
      <c r="AA2341" s="23" t="str">
        <f aca="false">IF(C2341="","", CHOOSE(MONTH(C2341),"January","February","March","April","May","June","July","August","September","October","November","December")&amp;" "&amp;DAY(C2341)&amp;MID("thstndrdth",MIN(9,2*RIGHT(DAY(C2341))*(MOD(DAY(C2341)-11,100)&gt;2)+1),2)&amp;","&amp;TEXT(C2341," yyyy"))</f>
        <v>June 13th,2025</v>
      </c>
      <c r="AB2341" s="15" t="str">
        <f aca="true">IF(S2341="","",DATEDIF(S2341,TODAY(),"Y")&amp;" Tahun, "&amp;DATEDIF(S2341,TODAY(),"YM")&amp;" Bulan, "&amp;DATEDIF(S2341,TODAY(),"MD")&amp;" Hari")</f>
        <v>23 Tahun, 9 Bulan, 19 Hari</v>
      </c>
      <c r="AC2341" s="18" t="n">
        <v>45821</v>
      </c>
      <c r="AD2341" s="18" t="n">
        <v>45912</v>
      </c>
      <c r="AE2341" s="18" t="s">
        <v>44</v>
      </c>
    </row>
    <row r="2342" customFormat="false" ht="15" hidden="false" customHeight="true" outlineLevel="0" collapsed="false">
      <c r="A2342" s="12" t="n">
        <v>22661</v>
      </c>
      <c r="B2342" s="45" t="s">
        <v>10024</v>
      </c>
      <c r="C2342" s="14" t="n">
        <v>46244</v>
      </c>
      <c r="D2342" s="13" t="s">
        <v>101</v>
      </c>
      <c r="E2342" s="15" t="s">
        <v>47</v>
      </c>
      <c r="F2342" s="24" t="s">
        <v>10025</v>
      </c>
      <c r="G2342" s="13" t="s">
        <v>1452</v>
      </c>
      <c r="H2342" s="13" t="s">
        <v>35</v>
      </c>
      <c r="I2342" s="13" t="str">
        <f aca="false">IF(C2342=J2342,"NEW KONTRAK","RE-KONTRAK")</f>
        <v>NEW KONTRAK</v>
      </c>
      <c r="J2342" s="16" t="n">
        <f aca="false" t="array" ref="J2342:J2342">IFERROR(INDEX(AC2342:AE2342,IF(COUNTA(AC2342:AE2342)=0,"",MAX((AC2342:AE2342&lt;&gt;"")*(COLUMN(AC2342:AE2342)-(COLUMN(AC2342)))))-1),"")</f>
        <v>46244</v>
      </c>
      <c r="K2342" s="16" t="n">
        <f aca="false" t="array" ref="K2342:K2342">IFERROR(INDEX(AC2342:AE2342,IF(COUNTA(AC2342:AE2342)=0,"",MAX((AC2342:AE2342&lt;&gt;"")*(COLUMN(AC2342:AE2342)-(COLUMN(AC2342)-1))))-1),"")</f>
        <v>46402</v>
      </c>
      <c r="L2342" s="17" t="str">
        <f aca="false" t="array" ref="L2342:L2342">IFERROR(INDEX(AC2342:AE2342,IF(COUNTA(AC2342:AE2342)=0,"",MAX((AC2342:AE2342&lt;&gt;"")*(COLUMN(AC2342:AE2342)-(COLUMN(AC2342)-2))))-1),"")</f>
        <v>ARCHIVED</v>
      </c>
      <c r="M2342" s="13" t="n">
        <f aca="true">K2342-TODAY()</f>
        <v>78</v>
      </c>
      <c r="N2342" s="18" t="s">
        <v>105</v>
      </c>
      <c r="O2342" s="13" t="s">
        <v>1453</v>
      </c>
      <c r="P2342" s="26" t="n">
        <v>138915</v>
      </c>
      <c r="Q2342" s="20" t="s">
        <v>10026</v>
      </c>
      <c r="R2342" s="13" t="s">
        <v>65</v>
      </c>
      <c r="S2342" s="25" t="n">
        <v>38131</v>
      </c>
      <c r="T2342" s="13" t="s">
        <v>108</v>
      </c>
      <c r="U2342" s="13" t="s">
        <v>10027</v>
      </c>
      <c r="V2342" s="13" t="s">
        <v>42</v>
      </c>
      <c r="W2342" s="13" t="s">
        <v>43</v>
      </c>
      <c r="X2342" s="21" t="n">
        <v>8993473471</v>
      </c>
      <c r="Y2342" s="22" t="str">
        <f aca="false">O2342</f>
        <v>Helper Produksi</v>
      </c>
      <c r="Z2342" s="13" t="str">
        <f aca="false">IFERROR(__xludf.dummyfunction("if(BJ2342="""","""",GOOGLETRANSLATE(BJ2342,""auto"",""en""))"),"Production Helper")</f>
        <v>Production Helper</v>
      </c>
      <c r="AA2342" s="23" t="str">
        <f aca="false">IF(C2342="","", CHOOSE(MONTH(C2342),"January","February","March","April","May","June","July","August","September","October","November","December")&amp;" "&amp;DAY(C2342)&amp;MID("thstndrdth",MIN(9,2*RIGHT(DAY(C2342))*(MOD(DAY(C2342)-11,100)&gt;2)+1),2)&amp;","&amp;TEXT(C2342," yyyy"))</f>
        <v>August 10th,2026</v>
      </c>
      <c r="AB2342" s="15" t="str">
        <f aca="true">IF(S2342="","",DATEDIF(S2342,TODAY(),"Y")&amp;" Tahun, "&amp;DATEDIF(S2342,TODAY(),"YM")&amp;" Bulan, "&amp;DATEDIF(S2342,TODAY(),"MD")&amp;" Hari")</f>
        <v>22 Tahun, 5 Bulan, 5 Hari</v>
      </c>
      <c r="AC2342" s="14" t="n">
        <v>46244</v>
      </c>
      <c r="AD2342" s="18" t="n">
        <v>46402</v>
      </c>
      <c r="AE2342" s="45" t="s">
        <v>44</v>
      </c>
    </row>
    <row r="2343" customFormat="false" ht="15" hidden="false" customHeight="true" outlineLevel="0" collapsed="false">
      <c r="A2343" s="12" t="n">
        <v>19911</v>
      </c>
      <c r="B2343" s="13" t="s">
        <v>10028</v>
      </c>
      <c r="C2343" s="16" t="n">
        <v>45821</v>
      </c>
      <c r="D2343" s="13" t="s">
        <v>7534</v>
      </c>
      <c r="E2343" s="15" t="s">
        <v>33</v>
      </c>
      <c r="F2343" s="24" t="s">
        <v>10029</v>
      </c>
      <c r="G2343" s="13" t="s">
        <v>10030</v>
      </c>
      <c r="H2343" s="13" t="s">
        <v>35</v>
      </c>
      <c r="I2343" s="13" t="str">
        <f aca="false">IF(C2343=J2343,"NEW KONTRAK","RE-KONTRAK")</f>
        <v>NEW KONTRAK</v>
      </c>
      <c r="J2343" s="16" t="n">
        <f aca="false" t="array" ref="J2343:J2343">IFERROR(INDEX(AC2343:AE2343,IF(COUNTA(AC2343:AE2343)=0,"",MAX((AC2343:AE2343&lt;&gt;"")*(COLUMN(AC2343:AE2343)-(COLUMN(AC2343)))))-1),"")</f>
        <v>45821</v>
      </c>
      <c r="K2343" s="16" t="n">
        <f aca="false" t="array" ref="K2343:K2343">IFERROR(INDEX(AC2343:AE2343,IF(COUNTA(AC2343:AE2343)=0,"",MAX((AC2343:AE2343&lt;&gt;"")*(COLUMN(AC2343:AE2343)-(COLUMN(AC2343)-1))))-1),"")</f>
        <v>45912</v>
      </c>
      <c r="L2343" s="17" t="str">
        <f aca="false" t="array" ref="L2343:L2343">IFERROR(INDEX(AC2343:AE2343,IF(COUNTA(AC2343:AE2343)=0,"",MAX((AC2343:AE2343&lt;&gt;"")*(COLUMN(AC2343:AE2343)-(COLUMN(AC2343)-2))))-1),"")</f>
        <v>ARCHIVED</v>
      </c>
      <c r="M2343" s="13" t="n">
        <f aca="true">K2343-TODAY()</f>
        <v>-412</v>
      </c>
      <c r="N2343" s="18" t="s">
        <v>4735</v>
      </c>
      <c r="O2343" s="13" t="s">
        <v>7536</v>
      </c>
      <c r="P2343" s="19" t="n">
        <v>3553530</v>
      </c>
      <c r="Q2343" s="20" t="s">
        <v>10031</v>
      </c>
      <c r="R2343" s="13" t="s">
        <v>83</v>
      </c>
      <c r="S2343" s="16" t="n">
        <v>37834</v>
      </c>
      <c r="T2343" s="13" t="s">
        <v>108</v>
      </c>
      <c r="U2343" s="13" t="s">
        <v>10032</v>
      </c>
      <c r="V2343" s="13" t="s">
        <v>42</v>
      </c>
      <c r="W2343" s="13" t="s">
        <v>43</v>
      </c>
      <c r="X2343" s="21" t="n">
        <v>85707799897</v>
      </c>
      <c r="Y2343" s="22" t="str">
        <f aca="false">O2343</f>
        <v>Host Live</v>
      </c>
      <c r="Z2343" s="13" t="str">
        <f aca="false">IFERROR(__xludf.dummyfunction("if(BJ2343="""","""",GOOGLETRANSLATE(BJ2343,""auto"",""en""))"),"Host Live")</f>
        <v>Host Live</v>
      </c>
      <c r="AA2343" s="23" t="str">
        <f aca="false">IF(C2343="","", CHOOSE(MONTH(C2343),"January","February","March","April","May","June","July","August","September","October","November","December")&amp;" "&amp;DAY(C2343)&amp;MID("thstndrdth",MIN(9,2*RIGHT(DAY(C2343))*(MOD(DAY(C2343)-11,100)&gt;2)+1),2)&amp;","&amp;TEXT(C2343," yyyy"))</f>
        <v>June 13th,2025</v>
      </c>
      <c r="AB2343" s="15" t="str">
        <f aca="true">IF(S2343="","",DATEDIF(S2343,TODAY(),"Y")&amp;" Tahun, "&amp;DATEDIF(S2343,TODAY(),"YM")&amp;" Bulan, "&amp;DATEDIF(S2343,TODAY(),"MD")&amp;" Hari")</f>
        <v>23 Tahun, 2 Bulan, 28 Hari</v>
      </c>
      <c r="AC2343" s="18" t="n">
        <v>45821</v>
      </c>
      <c r="AD2343" s="18" t="n">
        <v>45912</v>
      </c>
      <c r="AE2343" s="18" t="s">
        <v>44</v>
      </c>
    </row>
    <row r="2344" customFormat="false" ht="15" hidden="false" customHeight="true" outlineLevel="0" collapsed="false">
      <c r="A2344" s="12" t="n">
        <v>19912</v>
      </c>
      <c r="B2344" s="13" t="s">
        <v>10033</v>
      </c>
      <c r="C2344" s="16" t="n">
        <v>45821</v>
      </c>
      <c r="D2344" s="13" t="s">
        <v>7534</v>
      </c>
      <c r="E2344" s="15" t="s">
        <v>33</v>
      </c>
      <c r="F2344" s="24" t="s">
        <v>10034</v>
      </c>
      <c r="G2344" s="13" t="s">
        <v>10035</v>
      </c>
      <c r="H2344" s="13" t="s">
        <v>35</v>
      </c>
      <c r="I2344" s="13" t="str">
        <f aca="false">IF(C2344=J2344,"NEW KONTRAK","RE-KONTRAK")</f>
        <v>NEW KONTRAK</v>
      </c>
      <c r="J2344" s="16" t="n">
        <f aca="false" t="array" ref="J2344:J2344">IFERROR(INDEX(AC2344:AE2344,IF(COUNTA(AC2344:AE2344)=0,"",MAX((AC2344:AE2344&lt;&gt;"")*(COLUMN(AC2344:AE2344)-(COLUMN(AC2344)))))-1),"")</f>
        <v>45821</v>
      </c>
      <c r="K2344" s="16" t="n">
        <f aca="false" t="array" ref="K2344:K2344">IFERROR(INDEX(AC2344:AE2344,IF(COUNTA(AC2344:AE2344)=0,"",MAX((AC2344:AE2344&lt;&gt;"")*(COLUMN(AC2344:AE2344)-(COLUMN(AC2344)-1))))-1),"")</f>
        <v>45912</v>
      </c>
      <c r="L2344" s="17" t="str">
        <f aca="false" t="array" ref="L2344:L2344">IFERROR(INDEX(AC2344:AE2344,IF(COUNTA(AC2344:AE2344)=0,"",MAX((AC2344:AE2344&lt;&gt;"")*(COLUMN(AC2344:AE2344)-(COLUMN(AC2344)-2))))-1),"")</f>
        <v>ARCHIVED</v>
      </c>
      <c r="M2344" s="13" t="n">
        <f aca="true">K2344-TODAY()</f>
        <v>-412</v>
      </c>
      <c r="N2344" s="18" t="s">
        <v>4735</v>
      </c>
      <c r="O2344" s="13" t="s">
        <v>7536</v>
      </c>
      <c r="P2344" s="19" t="n">
        <v>3553530</v>
      </c>
      <c r="Q2344" s="20" t="s">
        <v>10036</v>
      </c>
      <c r="R2344" s="13" t="s">
        <v>10037</v>
      </c>
      <c r="S2344" s="16" t="n">
        <v>37895</v>
      </c>
      <c r="T2344" s="13" t="s">
        <v>108</v>
      </c>
      <c r="U2344" s="13" t="s">
        <v>10038</v>
      </c>
      <c r="V2344" s="13" t="s">
        <v>42</v>
      </c>
      <c r="W2344" s="13" t="s">
        <v>43</v>
      </c>
      <c r="X2344" s="21" t="n">
        <v>82127243089</v>
      </c>
      <c r="Y2344" s="22" t="str">
        <f aca="false">O2344</f>
        <v>Host Live</v>
      </c>
      <c r="Z2344" s="13" t="str">
        <f aca="false">IFERROR(__xludf.dummyfunction("if(BJ2344="""","""",GOOGLETRANSLATE(BJ2344,""auto"",""en""))"),"Host Live")</f>
        <v>Host Live</v>
      </c>
      <c r="AA2344" s="23" t="str">
        <f aca="false">IF(C2344="","", CHOOSE(MONTH(C2344),"January","February","March","April","May","June","July","August","September","October","November","December")&amp;" "&amp;DAY(C2344)&amp;MID("thstndrdth",MIN(9,2*RIGHT(DAY(C2344))*(MOD(DAY(C2344)-11,100)&gt;2)+1),2)&amp;","&amp;TEXT(C2344," yyyy"))</f>
        <v>June 13th,2025</v>
      </c>
      <c r="AB2344" s="15" t="str">
        <f aca="true">IF(S2344="","",DATEDIF(S2344,TODAY(),"Y")&amp;" Tahun, "&amp;DATEDIF(S2344,TODAY(),"YM")&amp;" Bulan, "&amp;DATEDIF(S2344,TODAY(),"MD")&amp;" Hari")</f>
        <v>23 Tahun, 0 Bulan, 28 Hari</v>
      </c>
      <c r="AC2344" s="18" t="n">
        <v>45821</v>
      </c>
      <c r="AD2344" s="18" t="n">
        <v>45912</v>
      </c>
      <c r="AE2344" s="18" t="s">
        <v>44</v>
      </c>
    </row>
    <row r="2345" customFormat="false" ht="15" hidden="false" customHeight="true" outlineLevel="0" collapsed="false">
      <c r="A2345" s="12" t="n">
        <v>19915</v>
      </c>
      <c r="B2345" s="13" t="s">
        <v>10039</v>
      </c>
      <c r="C2345" s="16" t="n">
        <v>45829</v>
      </c>
      <c r="D2345" s="13" t="s">
        <v>4252</v>
      </c>
      <c r="E2345" s="15" t="s">
        <v>33</v>
      </c>
      <c r="F2345" s="15" t="str">
        <f aca="false">IFERROR(__xludf.dummyfunction("XLOOKUP(AJ2345,IMPORTRANGE(""1XaInW9DU9nz21V0tYIfzFQ0He9kVQ_JF2mCXgZ3hqFA"",""REKAP ALL 2026 - Andika!G:G""),IMPORTRANGE(""1XaInW9DU9nz21V0tYIfzFQ0He9kVQ_JF2mCXgZ3hqFA"",""REKAP ALL 2026 - Andika!F:F""),"""",0)"),"26035117758")</f>
        <v>26035117758</v>
      </c>
      <c r="G2345" s="13" t="s">
        <v>57</v>
      </c>
      <c r="H2345" s="13" t="s">
        <v>35</v>
      </c>
      <c r="I2345" s="13" t="str">
        <f aca="false">IF(C2345=J2345,"NEW KONTRAK","RE-KONTRAK")</f>
        <v>NEW KONTRAK</v>
      </c>
      <c r="J2345" s="16" t="n">
        <f aca="false" t="array" ref="J2345:J2345">IFERROR(INDEX(AC2345:AE2345,IF(COUNTA(AC2345:AE2345)=0,"",MAX((AC2345:AE2345&lt;&gt;"")*(COLUMN(AC2345:AE2345)-(COLUMN(AC2345)))))-1),"")</f>
        <v>45829</v>
      </c>
      <c r="K2345" s="16" t="n">
        <f aca="false" t="array" ref="K2345:K2345">IFERROR(INDEX(AC2345:AE2345,IF(COUNTA(AC2345:AE2345)=0,"",MAX((AC2345:AE2345&lt;&gt;"")*(COLUMN(AC2345:AE2345)-(COLUMN(AC2345)-1))))-1),"")</f>
        <v>45920</v>
      </c>
      <c r="L2345" s="17" t="str">
        <f aca="false" t="array" ref="L2345:L2345">IFERROR(INDEX(AC2345:AE2345,IF(COUNTA(AC2345:AE2345)=0,"",MAX((AC2345:AE2345&lt;&gt;"")*(COLUMN(AC2345:AE2345)-(COLUMN(AC2345)-2))))-1),"")</f>
        <v>ARCHIVED</v>
      </c>
      <c r="M2345" s="13" t="n">
        <f aca="true">K2345-TODAY()</f>
        <v>-404</v>
      </c>
      <c r="N2345" s="18" t="s">
        <v>36</v>
      </c>
      <c r="O2345" s="13" t="s">
        <v>4280</v>
      </c>
      <c r="P2345" s="27" t="n">
        <v>120000</v>
      </c>
      <c r="Q2345" s="20" t="s">
        <v>10040</v>
      </c>
      <c r="R2345" s="13" t="s">
        <v>148</v>
      </c>
      <c r="S2345" s="16" t="n">
        <v>39163</v>
      </c>
      <c r="T2345" s="28" t="s">
        <v>40</v>
      </c>
      <c r="U2345" s="13" t="s">
        <v>10041</v>
      </c>
      <c r="V2345" s="13" t="s">
        <v>42</v>
      </c>
      <c r="W2345" s="13" t="s">
        <v>43</v>
      </c>
      <c r="X2345" s="30" t="n">
        <v>83110932480</v>
      </c>
      <c r="Y2345" s="22" t="str">
        <f aca="false">O2345</f>
        <v>Helper Cutting</v>
      </c>
      <c r="Z2345" s="13" t="str">
        <f aca="false">IFERROR(__xludf.dummyfunction("if(BJ2345="""","""",GOOGLETRANSLATE(BJ2345,""auto"",""en""))"),"Helper Cutting")</f>
        <v>Helper Cutting</v>
      </c>
      <c r="AA2345" s="23" t="str">
        <f aca="false">IF(C2345="","", CHOOSE(MONTH(C2345),"January","February","March","April","May","June","July","August","September","October","November","December")&amp;" "&amp;DAY(C2345)&amp;MID("thstndrdth",MIN(9,2*RIGHT(DAY(C2345))*(MOD(DAY(C2345)-11,100)&gt;2)+1),2)&amp;","&amp;TEXT(C2345," yyyy"))</f>
        <v>June 21st,2025</v>
      </c>
      <c r="AB2345" s="15" t="str">
        <f aca="true">IF(S2345="","",DATEDIF(S2345,TODAY(),"Y")&amp;" Tahun, "&amp;DATEDIF(S2345,TODAY(),"YM")&amp;" Bulan, "&amp;DATEDIF(S2345,TODAY(),"MD")&amp;" Hari")</f>
        <v>19 Tahun, 7 Bulan, 7 Hari</v>
      </c>
      <c r="AC2345" s="18" t="n">
        <v>45829</v>
      </c>
      <c r="AD2345" s="18" t="n">
        <v>45920</v>
      </c>
      <c r="AE2345" s="18" t="s">
        <v>44</v>
      </c>
    </row>
    <row r="2346" customFormat="false" ht="15" hidden="false" customHeight="true" outlineLevel="0" collapsed="false">
      <c r="A2346" s="12" t="n">
        <v>19917</v>
      </c>
      <c r="B2346" s="13" t="s">
        <v>10042</v>
      </c>
      <c r="C2346" s="16" t="n">
        <v>45831</v>
      </c>
      <c r="D2346" s="13" t="s">
        <v>144</v>
      </c>
      <c r="E2346" s="15" t="s">
        <v>33</v>
      </c>
      <c r="F2346" s="24" t="s">
        <v>10043</v>
      </c>
      <c r="G2346" s="13" t="s">
        <v>1127</v>
      </c>
      <c r="H2346" s="13" t="s">
        <v>35</v>
      </c>
      <c r="I2346" s="13" t="str">
        <f aca="false">IF(C2346=J2346,"NEW KONTRAK","RE-KONTRAK")</f>
        <v>NEW KONTRAK</v>
      </c>
      <c r="J2346" s="16" t="n">
        <f aca="false" t="array" ref="J2346:J2346">IFERROR(INDEX(AC2346:AE2346,IF(COUNTA(AC2346:AE2346)=0,"",MAX((AC2346:AE2346&lt;&gt;"")*(COLUMN(AC2346:AE2346)-(COLUMN(AC2346)))))-1),"")</f>
        <v>45831</v>
      </c>
      <c r="K2346" s="16" t="n">
        <f aca="false" t="array" ref="K2346:K2346">IFERROR(INDEX(AC2346:AE2346,IF(COUNTA(AC2346:AE2346)=0,"",MAX((AC2346:AE2346&lt;&gt;"")*(COLUMN(AC2346:AE2346)-(COLUMN(AC2346)-1))))-1),"")</f>
        <v>46022</v>
      </c>
      <c r="L2346" s="17" t="str">
        <f aca="false" t="array" ref="L2346:L2346">IFERROR(INDEX(AC2346:AE2346,IF(COUNTA(AC2346:AE2346)=0,"",MAX((AC2346:AE2346&lt;&gt;"")*(COLUMN(AC2346:AE2346)-(COLUMN(AC2346)-2))))-1),"")</f>
        <v>ARCHIVED</v>
      </c>
      <c r="M2346" s="13" t="n">
        <f aca="true">K2346-TODAY()</f>
        <v>-302</v>
      </c>
      <c r="N2346" s="18" t="s">
        <v>36</v>
      </c>
      <c r="O2346" s="13" t="s">
        <v>6285</v>
      </c>
      <c r="P2346" s="19" t="n">
        <v>5195401</v>
      </c>
      <c r="Q2346" s="20" t="s">
        <v>10044</v>
      </c>
      <c r="R2346" s="13" t="s">
        <v>763</v>
      </c>
      <c r="S2346" s="16" t="n">
        <v>34694</v>
      </c>
      <c r="T2346" s="28" t="s">
        <v>40</v>
      </c>
      <c r="U2346" s="13" t="s">
        <v>10045</v>
      </c>
      <c r="V2346" s="13" t="s">
        <v>42</v>
      </c>
      <c r="W2346" s="13" t="s">
        <v>2402</v>
      </c>
      <c r="X2346" s="30" t="n">
        <v>89613171274</v>
      </c>
      <c r="Y2346" s="22" t="str">
        <f aca="false">O2346</f>
        <v>Operator Reach Truck</v>
      </c>
      <c r="Z2346" s="13" t="str">
        <f aca="false">IFERROR(__xludf.dummyfunction("if(BJ2346="""","""",GOOGLETRANSLATE(BJ2346,""auto"",""en""))"),"Operator Reach Truck")</f>
        <v>Operator Reach Truck</v>
      </c>
      <c r="AA2346" s="23" t="str">
        <f aca="false">IF(C2346="","", CHOOSE(MONTH(C2346),"January","February","March","April","May","June","July","August","September","October","November","December")&amp;" "&amp;DAY(C2346)&amp;MID("thstndrdth",MIN(9,2*RIGHT(DAY(C2346))*(MOD(DAY(C2346)-11,100)&gt;2)+1),2)&amp;","&amp;TEXT(C2346," yyyy"))</f>
        <v>June 23rd,2025</v>
      </c>
      <c r="AB2346" s="15" t="str">
        <f aca="true">IF(S2346="","",DATEDIF(S2346,TODAY(),"Y")&amp;" Tahun, "&amp;DATEDIF(S2346,TODAY(),"YM")&amp;" Bulan, "&amp;DATEDIF(S2346,TODAY(),"MD")&amp;" Hari")</f>
        <v>31 Tahun, 10 Bulan, 3 Hari</v>
      </c>
      <c r="AC2346" s="18" t="n">
        <v>45831</v>
      </c>
      <c r="AD2346" s="18" t="n">
        <v>46022</v>
      </c>
      <c r="AE2346" s="18" t="s">
        <v>44</v>
      </c>
    </row>
    <row r="2347" customFormat="false" ht="15" hidden="false" customHeight="true" outlineLevel="0" collapsed="false">
      <c r="A2347" s="12" t="n">
        <v>19919</v>
      </c>
      <c r="B2347" s="13" t="s">
        <v>10046</v>
      </c>
      <c r="C2347" s="16" t="n">
        <v>45793</v>
      </c>
      <c r="D2347" s="13" t="s">
        <v>101</v>
      </c>
      <c r="E2347" s="15" t="s">
        <v>47</v>
      </c>
      <c r="F2347" s="15" t="str">
        <f aca="false">IFERROR(__xludf.dummyfunction("XLOOKUP(AJ2347,IMPORTRANGE(""1XaInW9DU9nz21V0tYIfzFQ0He9kVQ_JF2mCXgZ3hqFA"",""REKAP ALL 2026 - Andika!G:G""),IMPORTRANGE(""1XaInW9DU9nz21V0tYIfzFQ0He9kVQ_JF2mCXgZ3hqFA"",""REKAP ALL 2026 - Andika!F:F""),"""",0)"),"25079805476")</f>
        <v>25079805476</v>
      </c>
      <c r="G2347" s="13" t="s">
        <v>10047</v>
      </c>
      <c r="H2347" s="13" t="s">
        <v>35</v>
      </c>
      <c r="I2347" s="13" t="str">
        <f aca="false">IF(C2347=J2347,"NEW KONTRAK","RE-KONTRAK")</f>
        <v>NEW KONTRAK</v>
      </c>
      <c r="J2347" s="16" t="n">
        <f aca="false" t="array" ref="J2347:J2347">IFERROR(INDEX(AC2347:AE2347,IF(COUNTA(AC2347:AE2347)=0,"",MAX((AC2347:AE2347&lt;&gt;"")*(COLUMN(AC2347:AE2347)-(COLUMN(AC2347)))))-1),"")</f>
        <v>45793</v>
      </c>
      <c r="K2347" s="16" t="n">
        <f aca="false" t="array" ref="K2347:K2347">IFERROR(INDEX(AC2347:AE2347,IF(COUNTA(AC2347:AE2347)=0,"",MAX((AC2347:AE2347&lt;&gt;"")*(COLUMN(AC2347:AE2347)-(COLUMN(AC2347)-1))))-1),"")</f>
        <v>46036</v>
      </c>
      <c r="L2347" s="17" t="str">
        <f aca="false" t="array" ref="L2347:L2347">IFERROR(INDEX(AC2347:AE2347,IF(COUNTA(AC2347:AE2347)=0,"",MAX((AC2347:AE2347&lt;&gt;"")*(COLUMN(AC2347:AE2347)-(COLUMN(AC2347)-2))))-1),"")</f>
        <v>ARCHIVED</v>
      </c>
      <c r="M2347" s="13" t="n">
        <f aca="true">K2347-TODAY()</f>
        <v>-288</v>
      </c>
      <c r="N2347" s="18" t="s">
        <v>105</v>
      </c>
      <c r="O2347" s="13" t="s">
        <v>1434</v>
      </c>
      <c r="P2347" s="31" t="n">
        <v>138915</v>
      </c>
      <c r="Q2347" s="20" t="s">
        <v>10048</v>
      </c>
      <c r="R2347" s="13" t="s">
        <v>39</v>
      </c>
      <c r="S2347" s="25" t="n">
        <v>38540</v>
      </c>
      <c r="T2347" s="13" t="s">
        <v>108</v>
      </c>
      <c r="U2347" s="13" t="s">
        <v>10049</v>
      </c>
      <c r="V2347" s="13" t="s">
        <v>42</v>
      </c>
      <c r="W2347" s="13" t="s">
        <v>43</v>
      </c>
      <c r="X2347" s="21" t="n">
        <v>85706691580</v>
      </c>
      <c r="Y2347" s="22" t="str">
        <f aca="false">O2347</f>
        <v>E-Commerce - Packer</v>
      </c>
      <c r="Z2347" s="13" t="str">
        <f aca="false">IFERROR(__xludf.dummyfunction("if(BJ2347="""","""",GOOGLETRANSLATE(BJ2347,""auto"",""en""))"),"E-Commerce - Packer")</f>
        <v>E-Commerce - Packer</v>
      </c>
      <c r="AA2347" s="23" t="str">
        <f aca="false">IF(C2347="","", CHOOSE(MONTH(C2347),"January","February","March","April","May","June","July","August","September","October","November","December")&amp;" "&amp;DAY(C2347)&amp;MID("thstndrdth",MIN(9,2*RIGHT(DAY(C2347))*(MOD(DAY(C2347)-11,100)&gt;2)+1),2)&amp;","&amp;TEXT(C2347," yyyy"))</f>
        <v>May 16th,2025</v>
      </c>
      <c r="AB2347" s="15" t="str">
        <f aca="true">IF(S2347="","",DATEDIF(S2347,TODAY(),"Y")&amp;" Tahun, "&amp;DATEDIF(S2347,TODAY(),"YM")&amp;" Bulan, "&amp;DATEDIF(S2347,TODAY(),"MD")&amp;" Hari")</f>
        <v>21 Tahun, 3 Bulan, 22 Hari</v>
      </c>
      <c r="AC2347" s="18" t="n">
        <v>45793</v>
      </c>
      <c r="AD2347" s="18" t="n">
        <v>46036</v>
      </c>
      <c r="AE2347" s="18" t="s">
        <v>44</v>
      </c>
    </row>
    <row r="2348" customFormat="false" ht="15" hidden="false" customHeight="true" outlineLevel="0" collapsed="false">
      <c r="A2348" s="12" t="n">
        <v>22557</v>
      </c>
      <c r="B2348" s="45" t="s">
        <v>10050</v>
      </c>
      <c r="C2348" s="14" t="n">
        <v>46219</v>
      </c>
      <c r="D2348" s="13" t="s">
        <v>101</v>
      </c>
      <c r="E2348" s="15" t="s">
        <v>47</v>
      </c>
      <c r="F2348" s="24" t="s">
        <v>10051</v>
      </c>
      <c r="G2348" s="28" t="s">
        <v>57</v>
      </c>
      <c r="H2348" s="13" t="s">
        <v>35</v>
      </c>
      <c r="I2348" s="13" t="str">
        <f aca="false">IF(C2348=J2348,"NEW KONTRAK","RE-KONTRAK")</f>
        <v>NEW KONTRAK</v>
      </c>
      <c r="J2348" s="16" t="n">
        <f aca="false" t="array" ref="J2348:J2348">IFERROR(INDEX(AC2348:AE2348,IF(COUNTA(AC2348:AE2348)=0,"",MAX((AC2348:AE2348&lt;&gt;"")*(COLUMN(AC2348:AE2348)-(COLUMN(AC2348)))))-1),"")</f>
        <v>46219</v>
      </c>
      <c r="K2348" s="16" t="n">
        <f aca="false" t="array" ref="K2348:K2348">IFERROR(INDEX(AC2348:AE2348,IF(COUNTA(AC2348:AE2348)=0,"",MAX((AC2348:AE2348&lt;&gt;"")*(COLUMN(AC2348:AE2348)-(COLUMN(AC2348)-1))))-1),"")</f>
        <v>46402</v>
      </c>
      <c r="L2348" s="17" t="str">
        <f aca="false" t="array" ref="L2348:L2348">IFERROR(INDEX(AC2348:AE2348,IF(COUNTA(AC2348:AE2348)=0,"",MAX((AC2348:AE2348&lt;&gt;"")*(COLUMN(AC2348:AE2348)-(COLUMN(AC2348)-2))))-1),"")</f>
        <v>KEMBALI</v>
      </c>
      <c r="M2348" s="13" t="n">
        <f aca="true">K2348-TODAY()</f>
        <v>78</v>
      </c>
      <c r="N2348" s="18" t="s">
        <v>105</v>
      </c>
      <c r="O2348" s="13" t="s">
        <v>1453</v>
      </c>
      <c r="P2348" s="26" t="n">
        <v>138915</v>
      </c>
      <c r="Q2348" s="20" t="s">
        <v>10052</v>
      </c>
      <c r="R2348" s="16" t="s">
        <v>148</v>
      </c>
      <c r="S2348" s="25" t="n">
        <v>37037</v>
      </c>
      <c r="T2348" s="13" t="s">
        <v>108</v>
      </c>
      <c r="U2348" s="17" t="s">
        <v>10053</v>
      </c>
      <c r="V2348" s="15" t="s">
        <v>42</v>
      </c>
      <c r="W2348" s="13" t="s">
        <v>43</v>
      </c>
      <c r="X2348" s="21" t="n">
        <v>85704477543</v>
      </c>
      <c r="Y2348" s="22" t="str">
        <f aca="false">O2348</f>
        <v>Helper Produksi</v>
      </c>
      <c r="Z2348" s="13" t="str">
        <f aca="false">IFERROR(__xludf.dummyfunction("if(BJ2348="""","""",GOOGLETRANSLATE(BJ2348,""auto"",""en""))"),"Production Helper")</f>
        <v>Production Helper</v>
      </c>
      <c r="AA2348" s="23" t="str">
        <f aca="false">IF(C2348="","", CHOOSE(MONTH(C2348),"January","February","March","April","May","June","July","August","September","October","November","December")&amp;" "&amp;DAY(C2348)&amp;MID("thstndrdth",MIN(9,2*RIGHT(DAY(C2348))*(MOD(DAY(C2348)-11,100)&gt;2)+1),2)&amp;","&amp;TEXT(C2348," yyyy"))</f>
        <v>July 16th,2026</v>
      </c>
      <c r="AB2348" s="15" t="str">
        <f aca="true">IF(S2348="","",DATEDIF(S2348,TODAY(),"Y")&amp;" Tahun, "&amp;DATEDIF(S2348,TODAY(),"YM")&amp;" Bulan, "&amp;DATEDIF(S2348,TODAY(),"MD")&amp;" Hari")</f>
        <v>25 Tahun, 5 Bulan, 3 Hari</v>
      </c>
      <c r="AC2348" s="14" t="n">
        <v>46219</v>
      </c>
      <c r="AD2348" s="18" t="n">
        <v>46402</v>
      </c>
      <c r="AE2348" s="13" t="s">
        <v>397</v>
      </c>
    </row>
    <row r="2349" customFormat="false" ht="15" hidden="false" customHeight="true" outlineLevel="0" collapsed="false">
      <c r="A2349" s="12" t="n">
        <v>21375</v>
      </c>
      <c r="B2349" s="13" t="s">
        <v>10054</v>
      </c>
      <c r="C2349" s="16" t="n">
        <v>45916</v>
      </c>
      <c r="D2349" s="13" t="s">
        <v>101</v>
      </c>
      <c r="E2349" s="15" t="s">
        <v>47</v>
      </c>
      <c r="F2349" s="15" t="str">
        <f aca="false">IFERROR(__xludf.dummyfunction("XLOOKUP(AJ2349,IMPORTRANGE(""1XaInW9DU9nz21V0tYIfzFQ0He9kVQ_JF2mCXgZ3hqFA"",""REKAP ALL 2026 - Andika!G:G""),IMPORTRANGE(""1XaInW9DU9nz21V0tYIfzFQ0He9kVQ_JF2mCXgZ3hqFA"",""REKAP ALL 2026 - Andika!F:F""),"""",0)"),"25157577781")</f>
        <v>25157577781</v>
      </c>
      <c r="G2349" s="13" t="s">
        <v>1127</v>
      </c>
      <c r="H2349" s="13" t="s">
        <v>35</v>
      </c>
      <c r="I2349" s="13" t="str">
        <f aca="false">IF(C2349=J2349,"NEW KONTRAK","RE-KONTRAK")</f>
        <v>NEW KONTRAK</v>
      </c>
      <c r="J2349" s="16" t="n">
        <f aca="false" t="array" ref="J2349:J2349">IFERROR(INDEX(AC2349:AE2349,IF(COUNTA(AC2349:AE2349)=0,"",MAX((AC2349:AE2349&lt;&gt;"")*(COLUMN(AC2349:AE2349)-(COLUMN(AC2349)))))-1),"")</f>
        <v>45916</v>
      </c>
      <c r="K2349" s="16" t="n">
        <f aca="false" t="array" ref="K2349:K2349">IFERROR(INDEX(AC2349:AE2349,IF(COUNTA(AC2349:AE2349)=0,"",MAX((AC2349:AE2349&lt;&gt;"")*(COLUMN(AC2349:AE2349)-(COLUMN(AC2349)-1))))-1),"")</f>
        <v>46036</v>
      </c>
      <c r="L2349" s="17" t="str">
        <f aca="false" t="array" ref="L2349:L2349">IFERROR(INDEX(AC2349:AE2349,IF(COUNTA(AC2349:AE2349)=0,"",MAX((AC2349:AE2349&lt;&gt;"")*(COLUMN(AC2349:AE2349)-(COLUMN(AC2349)-2))))-1),"")</f>
        <v>ARCHIVED</v>
      </c>
      <c r="M2349" s="13" t="n">
        <f aca="true">K2349-TODAY()</f>
        <v>-288</v>
      </c>
      <c r="N2349" s="18" t="s">
        <v>105</v>
      </c>
      <c r="O2349" s="13" t="s">
        <v>1434</v>
      </c>
      <c r="P2349" s="19" t="n">
        <v>138915</v>
      </c>
      <c r="Q2349" s="20" t="s">
        <v>10055</v>
      </c>
      <c r="R2349" s="13" t="s">
        <v>39</v>
      </c>
      <c r="S2349" s="25" t="n">
        <v>38388</v>
      </c>
      <c r="T2349" s="13" t="s">
        <v>40</v>
      </c>
      <c r="U2349" s="13" t="s">
        <v>10056</v>
      </c>
      <c r="V2349" s="13" t="s">
        <v>42</v>
      </c>
      <c r="W2349" s="13" t="s">
        <v>43</v>
      </c>
      <c r="X2349" s="21" t="n">
        <v>85648792877</v>
      </c>
      <c r="Y2349" s="22" t="str">
        <f aca="false">O2349</f>
        <v>E-Commerce - Packer</v>
      </c>
      <c r="Z2349" s="13" t="str">
        <f aca="false">IFERROR(__xludf.dummyfunction("if(BJ2349="""","""",GOOGLETRANSLATE(BJ2349,""auto"",""en""))"),"E-Commerce - Packer")</f>
        <v>E-Commerce - Packer</v>
      </c>
      <c r="AA2349" s="23" t="str">
        <f aca="false">IF(C2349="","", CHOOSE(MONTH(C2349),"January","February","March","April","May","June","July","August","September","October","November","December")&amp;" "&amp;DAY(C2349)&amp;MID("thstndrdth",MIN(9,2*RIGHT(DAY(C2349))*(MOD(DAY(C2349)-11,100)&gt;2)+1),2)&amp;","&amp;TEXT(C2349," yyyy"))</f>
        <v>September 16th,2025</v>
      </c>
      <c r="AB2349" s="15" t="str">
        <f aca="true">IF(S2349="","",DATEDIF(S2349,TODAY(),"Y")&amp;" Tahun, "&amp;DATEDIF(S2349,TODAY(),"YM")&amp;" Bulan, "&amp;DATEDIF(S2349,TODAY(),"MD")&amp;" Hari")</f>
        <v>21 Tahun, 8 Bulan, 24 Hari</v>
      </c>
      <c r="AC2349" s="18" t="n">
        <v>45916</v>
      </c>
      <c r="AD2349" s="18" t="n">
        <v>46036</v>
      </c>
      <c r="AE2349" s="13" t="s">
        <v>44</v>
      </c>
    </row>
    <row r="2350" customFormat="false" ht="15" hidden="false" customHeight="true" outlineLevel="0" collapsed="false">
      <c r="A2350" s="12" t="n">
        <v>19953</v>
      </c>
      <c r="B2350" s="13" t="s">
        <v>10057</v>
      </c>
      <c r="C2350" s="16" t="n">
        <v>45720</v>
      </c>
      <c r="D2350" s="13" t="s">
        <v>10058</v>
      </c>
      <c r="E2350" s="15" t="s">
        <v>47</v>
      </c>
      <c r="F2350" s="15" t="str">
        <f aca="false">IFERROR(__xludf.dummyfunction("XLOOKUP(AJ2350,IMPORTRANGE(""1XaInW9DU9nz21V0tYIfzFQ0He9kVQ_JF2mCXgZ3hqFA"",""REKAP ALL 2026 - Andika!G:G""),IMPORTRANGE(""1XaInW9DU9nz21V0tYIfzFQ0He9kVQ_JF2mCXgZ3hqFA"",""REKAP ALL 2026 - Andika!F:F""),"""",0)"),"26062983379")</f>
        <v>26062983379</v>
      </c>
      <c r="G2350" s="15" t="s">
        <v>57</v>
      </c>
      <c r="H2350" s="13" t="s">
        <v>3024</v>
      </c>
      <c r="I2350" s="13" t="str">
        <f aca="false">IF(C2350=J2350,"NEW KONTRAK","RE-KONTRAK")</f>
        <v>RE-KONTRAK</v>
      </c>
      <c r="J2350" s="16" t="n">
        <f aca="false" t="array" ref="J2350:J2350">IFERROR(INDEX(AC2350:AE2350,IF(COUNTA(AC2350:AE2350)=0,"",MAX((AC2350:AE2350&lt;&gt;"")*(COLUMN(AC2350:AE2350)-(COLUMN(AC2350)))))-1),"")</f>
        <v>45910</v>
      </c>
      <c r="K2350" s="16" t="n">
        <f aca="false" t="array" ref="K2350:K2350">IFERROR(INDEX(AC2350:AE2350,IF(COUNTA(AC2350:AE2350)=0,"",MAX((AC2350:AE2350&lt;&gt;"")*(COLUMN(AC2350:AE2350)-(COLUMN(AC2350)-1))))-1),"")</f>
        <v>46000</v>
      </c>
      <c r="L2350" s="17" t="str">
        <f aca="false" t="array" ref="L2350:L2350">IFERROR(INDEX(AC2350:AE2350,IF(COUNTA(AC2350:AE2350)=0,"",MAX((AC2350:AE2350&lt;&gt;"")*(COLUMN(AC2350:AE2350)-(COLUMN(AC2350)-2))))-1),"")</f>
        <v>ARCHIVED</v>
      </c>
      <c r="M2350" s="13" t="n">
        <f aca="true">K2350-TODAY()</f>
        <v>-324</v>
      </c>
      <c r="N2350" s="18" t="s">
        <v>105</v>
      </c>
      <c r="O2350" s="13" t="s">
        <v>10059</v>
      </c>
      <c r="P2350" s="31" t="n">
        <v>138915</v>
      </c>
      <c r="Q2350" s="20" t="s">
        <v>10060</v>
      </c>
      <c r="R2350" s="13" t="s">
        <v>39</v>
      </c>
      <c r="S2350" s="16" t="n">
        <v>36333</v>
      </c>
      <c r="T2350" s="13" t="s">
        <v>108</v>
      </c>
      <c r="U2350" s="13" t="s">
        <v>10061</v>
      </c>
      <c r="V2350" s="13" t="s">
        <v>42</v>
      </c>
      <c r="W2350" s="13" t="s">
        <v>43</v>
      </c>
      <c r="X2350" s="21" t="n">
        <v>85645853544</v>
      </c>
      <c r="Y2350" s="22" t="str">
        <f aca="false">O2350</f>
        <v>Harian Lepas E-Commerce</v>
      </c>
      <c r="Z2350" s="13" t="str">
        <f aca="false">IFERROR(__xludf.dummyfunction("if(BJ2350="""","""",GOOGLETRANSLATE(BJ2350,""auto"",""en""))"),"Daily Post E-Commerce")</f>
        <v>Daily Post E-Commerce</v>
      </c>
      <c r="AA2350" s="23" t="str">
        <f aca="false">IF(C2350="","", CHOOSE(MONTH(C2350),"January","February","March","April","May","June","July","August","September","October","November","December")&amp;" "&amp;DAY(C2350)&amp;MID("thstndrdth",MIN(9,2*RIGHT(DAY(C2350))*(MOD(DAY(C2350)-11,100)&gt;2)+1),2)&amp;","&amp;TEXT(C2350," yyyy"))</f>
        <v>March 4th,2025</v>
      </c>
      <c r="AB2350" s="15" t="str">
        <f aca="true">IF(S2350="","",DATEDIF(S2350,TODAY(),"Y")&amp;" Tahun, "&amp;DATEDIF(S2350,TODAY(),"YM")&amp;" Bulan, "&amp;DATEDIF(S2350,TODAY(),"MD")&amp;" Hari")</f>
        <v>27 Tahun, 4 Bulan, 7 Hari</v>
      </c>
      <c r="AC2350" s="18" t="n">
        <v>45910</v>
      </c>
      <c r="AD2350" s="18" t="n">
        <v>46000</v>
      </c>
      <c r="AE2350" s="18" t="s">
        <v>44</v>
      </c>
    </row>
    <row r="2351" customFormat="false" ht="15" hidden="false" customHeight="true" outlineLevel="0" collapsed="false">
      <c r="A2351" s="12" t="n">
        <v>19951</v>
      </c>
      <c r="B2351" s="13" t="s">
        <v>10062</v>
      </c>
      <c r="C2351" s="16" t="n">
        <v>45720</v>
      </c>
      <c r="D2351" s="13" t="s">
        <v>10058</v>
      </c>
      <c r="E2351" s="15" t="s">
        <v>33</v>
      </c>
      <c r="F2351" s="24" t="s">
        <v>10063</v>
      </c>
      <c r="G2351" s="15" t="s">
        <v>57</v>
      </c>
      <c r="H2351" s="13" t="s">
        <v>3024</v>
      </c>
      <c r="I2351" s="13" t="str">
        <f aca="false">IF(C2351=J2351,"NEW KONTRAK","RE-KONTRAK")</f>
        <v>NEW KONTRAK</v>
      </c>
      <c r="J2351" s="16" t="n">
        <f aca="false" t="array" ref="J2351:J2351">IFERROR(INDEX(AC2351:AE2351,IF(COUNTA(AC2351:AE2351)=0,"",MAX((AC2351:AE2351&lt;&gt;"")*(COLUMN(AC2351:AE2351)-(COLUMN(AC2351)))))-1),"")</f>
        <v>45720</v>
      </c>
      <c r="K2351" s="16" t="n">
        <f aca="false" t="array" ref="K2351:K2351">IFERROR(INDEX(AC2351:AE2351,IF(COUNTA(AC2351:AE2351)=0,"",MAX((AC2351:AE2351&lt;&gt;"")*(COLUMN(AC2351:AE2351)-(COLUMN(AC2351)-1))))-1),"")</f>
        <v>45811</v>
      </c>
      <c r="L2351" s="17" t="str">
        <f aca="false" t="array" ref="L2351:L2351">IFERROR(INDEX(AC2351:AE2351,IF(COUNTA(AC2351:AE2351)=0,"",MAX((AC2351:AE2351&lt;&gt;"")*(COLUMN(AC2351:AE2351)-(COLUMN(AC2351)-2))))-1),"")</f>
        <v>ARCHIVED</v>
      </c>
      <c r="M2351" s="13" t="n">
        <f aca="true">K2351-TODAY()</f>
        <v>-513</v>
      </c>
      <c r="N2351" s="18" t="s">
        <v>105</v>
      </c>
      <c r="O2351" s="13" t="s">
        <v>10059</v>
      </c>
      <c r="P2351" s="19" t="n">
        <v>132300</v>
      </c>
      <c r="Q2351" s="20" t="s">
        <v>10064</v>
      </c>
      <c r="R2351" s="13" t="s">
        <v>879</v>
      </c>
      <c r="S2351" s="16" t="n">
        <v>32950</v>
      </c>
      <c r="T2351" s="28" t="s">
        <v>40</v>
      </c>
      <c r="U2351" s="13" t="s">
        <v>10065</v>
      </c>
      <c r="V2351" s="13" t="s">
        <v>42</v>
      </c>
      <c r="W2351" s="13" t="s">
        <v>43</v>
      </c>
      <c r="X2351" s="30" t="n">
        <v>87746773782</v>
      </c>
      <c r="Y2351" s="22" t="str">
        <f aca="false">O2351</f>
        <v>Harian Lepas E-Commerce</v>
      </c>
      <c r="Z2351" s="13" t="str">
        <f aca="false">IFERROR(__xludf.dummyfunction("if(BJ2351="""","""",GOOGLETRANSLATE(BJ2351,""auto"",""en""))"),"Daily Post E-Commerce")</f>
        <v>Daily Post E-Commerce</v>
      </c>
      <c r="AA2351" s="23" t="str">
        <f aca="false">IF(C2351="","", CHOOSE(MONTH(C2351),"January","February","March","April","May","June","July","August","September","October","November","December")&amp;" "&amp;DAY(C2351)&amp;MID("thstndrdth",MIN(9,2*RIGHT(DAY(C2351))*(MOD(DAY(C2351)-11,100)&gt;2)+1),2)&amp;","&amp;TEXT(C2351," yyyy"))</f>
        <v>March 4th,2025</v>
      </c>
      <c r="AB2351" s="15" t="str">
        <f aca="true">IF(S2351="","",DATEDIF(S2351,TODAY(),"Y")&amp;" Tahun, "&amp;DATEDIF(S2351,TODAY(),"YM")&amp;" Bulan, "&amp;DATEDIF(S2351,TODAY(),"MD")&amp;" Hari")</f>
        <v>36 Tahun, 7 Bulan, 11 Hari</v>
      </c>
      <c r="AC2351" s="18" t="n">
        <v>45720</v>
      </c>
      <c r="AD2351" s="18" t="n">
        <v>45811</v>
      </c>
      <c r="AE2351" s="18" t="s">
        <v>44</v>
      </c>
    </row>
    <row r="2352" customFormat="false" ht="15" hidden="false" customHeight="true" outlineLevel="0" collapsed="false">
      <c r="A2352" s="12" t="n">
        <v>19952</v>
      </c>
      <c r="B2352" s="13" t="s">
        <v>10066</v>
      </c>
      <c r="C2352" s="16" t="n">
        <v>45744</v>
      </c>
      <c r="D2352" s="13" t="s">
        <v>10058</v>
      </c>
      <c r="E2352" s="15" t="s">
        <v>33</v>
      </c>
      <c r="F2352" s="24" t="s">
        <v>10067</v>
      </c>
      <c r="G2352" s="15" t="s">
        <v>57</v>
      </c>
      <c r="H2352" s="13" t="s">
        <v>3024</v>
      </c>
      <c r="I2352" s="13" t="str">
        <f aca="false">IF(C2352=J2352,"NEW KONTRAK","RE-KONTRAK")</f>
        <v>NEW KONTRAK</v>
      </c>
      <c r="J2352" s="16" t="n">
        <f aca="false" t="array" ref="J2352:J2352">IFERROR(INDEX(AC2352:AE2352,IF(COUNTA(AC2352:AE2352)=0,"",MAX((AC2352:AE2352&lt;&gt;"")*(COLUMN(AC2352:AE2352)-(COLUMN(AC2352)))))-1),"")</f>
        <v>45744</v>
      </c>
      <c r="K2352" s="16" t="n">
        <f aca="false" t="array" ref="K2352:K2352">IFERROR(INDEX(AC2352:AE2352,IF(COUNTA(AC2352:AE2352)=0,"",MAX((AC2352:AE2352&lt;&gt;"")*(COLUMN(AC2352:AE2352)-(COLUMN(AC2352)-1))))-1),"")</f>
        <v>45835</v>
      </c>
      <c r="L2352" s="17" t="str">
        <f aca="false" t="array" ref="L2352:L2352">IFERROR(INDEX(AC2352:AE2352,IF(COUNTA(AC2352:AE2352)=0,"",MAX((AC2352:AE2352&lt;&gt;"")*(COLUMN(AC2352:AE2352)-(COLUMN(AC2352)-2))))-1),"")</f>
        <v>ARCHIVED</v>
      </c>
      <c r="M2352" s="13" t="n">
        <f aca="true">K2352-TODAY()</f>
        <v>-489</v>
      </c>
      <c r="N2352" s="18" t="s">
        <v>105</v>
      </c>
      <c r="O2352" s="13" t="s">
        <v>10059</v>
      </c>
      <c r="P2352" s="19" t="n">
        <v>132300</v>
      </c>
      <c r="Q2352" s="20" t="s">
        <v>10068</v>
      </c>
      <c r="R2352" s="13" t="s">
        <v>39</v>
      </c>
      <c r="S2352" s="16" t="n">
        <v>38125</v>
      </c>
      <c r="T2352" s="28" t="s">
        <v>40</v>
      </c>
      <c r="U2352" s="13" t="s">
        <v>10069</v>
      </c>
      <c r="V2352" s="13" t="s">
        <v>42</v>
      </c>
      <c r="W2352" s="13" t="s">
        <v>43</v>
      </c>
      <c r="X2352" s="30" t="n">
        <v>89539821465</v>
      </c>
      <c r="Y2352" s="22" t="str">
        <f aca="false">O2352</f>
        <v>Harian Lepas E-Commerce</v>
      </c>
      <c r="Z2352" s="13" t="str">
        <f aca="false">IFERROR(__xludf.dummyfunction("if(BJ2352="""","""",GOOGLETRANSLATE(BJ2352,""auto"",""en""))"),"Daily Post E-Commerce")</f>
        <v>Daily Post E-Commerce</v>
      </c>
      <c r="AA2352" s="23" t="str">
        <f aca="false">IF(C2352="","", CHOOSE(MONTH(C2352),"January","February","March","April","May","June","July","August","September","October","November","December")&amp;" "&amp;DAY(C2352)&amp;MID("thstndrdth",MIN(9,2*RIGHT(DAY(C2352))*(MOD(DAY(C2352)-11,100)&gt;2)+1),2)&amp;","&amp;TEXT(C2352," yyyy"))</f>
        <v>March 28th,2025</v>
      </c>
      <c r="AB2352" s="15" t="str">
        <f aca="true">IF(S2352="","",DATEDIF(S2352,TODAY(),"Y")&amp;" Tahun, "&amp;DATEDIF(S2352,TODAY(),"YM")&amp;" Bulan, "&amp;DATEDIF(S2352,TODAY(),"MD")&amp;" Hari")</f>
        <v>22 Tahun, 5 Bulan, 11 Hari</v>
      </c>
      <c r="AC2352" s="18" t="n">
        <v>45744</v>
      </c>
      <c r="AD2352" s="18" t="n">
        <v>45835</v>
      </c>
      <c r="AE2352" s="18" t="s">
        <v>44</v>
      </c>
    </row>
    <row r="2353" customFormat="false" ht="15" hidden="false" customHeight="true" outlineLevel="0" collapsed="false">
      <c r="A2353" s="12" t="n">
        <v>19965</v>
      </c>
      <c r="B2353" s="13" t="s">
        <v>10070</v>
      </c>
      <c r="C2353" s="16" t="n">
        <v>45839</v>
      </c>
      <c r="D2353" s="13" t="s">
        <v>885</v>
      </c>
      <c r="E2353" s="15" t="s">
        <v>47</v>
      </c>
      <c r="F2353" s="15" t="str">
        <f aca="false">IFERROR(__xludf.dummyfunction("XLOOKUP(AJ2353,IMPORTRANGE(""1XaInW9DU9nz21V0tYIfzFQ0He9kVQ_JF2mCXgZ3hqFA"",""REKAP ALL 2026 - Andika!G:G""),IMPORTRANGE(""1XaInW9DU9nz21V0tYIfzFQ0He9kVQ_JF2mCXgZ3hqFA"",""REKAP ALL 2026 - Andika!F:F""),"""",0)"),"25092908877")</f>
        <v>25092908877</v>
      </c>
      <c r="G2353" s="13" t="s">
        <v>10071</v>
      </c>
      <c r="H2353" s="13" t="s">
        <v>35</v>
      </c>
      <c r="I2353" s="13" t="str">
        <f aca="false">IF(C2353=J2353,"NEW KONTRAK","RE-KONTRAK")</f>
        <v>NEW KONTRAK</v>
      </c>
      <c r="J2353" s="16" t="n">
        <f aca="false" t="array" ref="J2353:J2353">IFERROR(INDEX(AC2353:AE2353,IF(COUNTA(AC2353:AE2353)=0,"",MAX((AC2353:AE2353&lt;&gt;"")*(COLUMN(AC2353:AE2353)-(COLUMN(AC2353)))))-1),"")</f>
        <v>45839</v>
      </c>
      <c r="K2353" s="16" t="n">
        <f aca="false" t="array" ref="K2353:K2353">IFERROR(INDEX(AC2353:AE2353,IF(COUNTA(AC2353:AE2353)=0,"",MAX((AC2353:AE2353&lt;&gt;"")*(COLUMN(AC2353:AE2353)-(COLUMN(AC2353)-1))))-1),"")</f>
        <v>46022</v>
      </c>
      <c r="L2353" s="17" t="str">
        <f aca="false" t="array" ref="L2353:L2353">IFERROR(INDEX(AC2353:AE2353,IF(COUNTA(AC2353:AE2353)=0,"",MAX((AC2353:AE2353&lt;&gt;"")*(COLUMN(AC2353:AE2353)-(COLUMN(AC2353)-2))))-1),"")</f>
        <v>ARCHIVED</v>
      </c>
      <c r="M2353" s="13" t="n">
        <f aca="true">K2353-TODAY()</f>
        <v>-302</v>
      </c>
      <c r="N2353" s="18" t="s">
        <v>728</v>
      </c>
      <c r="O2353" s="13" t="s">
        <v>1453</v>
      </c>
      <c r="P2353" s="27" t="n">
        <v>132300</v>
      </c>
      <c r="Q2353" s="20" t="s">
        <v>10072</v>
      </c>
      <c r="R2353" s="13" t="s">
        <v>52</v>
      </c>
      <c r="S2353" s="16" t="n">
        <v>30473</v>
      </c>
      <c r="T2353" s="28" t="s">
        <v>40</v>
      </c>
      <c r="U2353" s="13" t="s">
        <v>10073</v>
      </c>
      <c r="V2353" s="13" t="s">
        <v>42</v>
      </c>
      <c r="W2353" s="13" t="s">
        <v>2402</v>
      </c>
      <c r="X2353" s="21" t="n">
        <v>87790074435</v>
      </c>
      <c r="Y2353" s="22" t="str">
        <f aca="false">O2353</f>
        <v>Helper Produksi</v>
      </c>
      <c r="Z2353" s="13" t="str">
        <f aca="false">IFERROR(__xludf.dummyfunction("if(BJ2353="""","""",GOOGLETRANSLATE(BJ2353,""auto"",""en""))"),"Production Helper")</f>
        <v>Production Helper</v>
      </c>
      <c r="AA2353" s="23" t="str">
        <f aca="false">IF(C2353="","", CHOOSE(MONTH(C2353),"January","February","March","April","May","June","July","August","September","October","November","December")&amp;" "&amp;DAY(C2353)&amp;MID("thstndrdth",MIN(9,2*RIGHT(DAY(C2353))*(MOD(DAY(C2353)-11,100)&gt;2)+1),2)&amp;","&amp;TEXT(C2353," yyyy"))</f>
        <v>July 1st,2025</v>
      </c>
      <c r="AB2353" s="15" t="str">
        <f aca="true">IF(S2353="","",DATEDIF(S2353,TODAY(),"Y")&amp;" Tahun, "&amp;DATEDIF(S2353,TODAY(),"YM")&amp;" Bulan, "&amp;DATEDIF(S2353,TODAY(),"MD")&amp;" Hari")</f>
        <v>43 Tahun, 4 Bulan, 23 Hari</v>
      </c>
      <c r="AC2353" s="18" t="n">
        <v>45839</v>
      </c>
      <c r="AD2353" s="18" t="n">
        <v>46022</v>
      </c>
      <c r="AE2353" s="18" t="s">
        <v>44</v>
      </c>
    </row>
    <row r="2354" customFormat="false" ht="15" hidden="false" customHeight="true" outlineLevel="0" collapsed="false">
      <c r="A2354" s="12" t="n">
        <v>19954</v>
      </c>
      <c r="B2354" s="13" t="s">
        <v>10074</v>
      </c>
      <c r="C2354" s="16" t="n">
        <v>45808</v>
      </c>
      <c r="D2354" s="13" t="s">
        <v>7310</v>
      </c>
      <c r="E2354" s="15" t="s">
        <v>33</v>
      </c>
      <c r="F2354" s="24" t="s">
        <v>10075</v>
      </c>
      <c r="G2354" s="13" t="s">
        <v>1127</v>
      </c>
      <c r="H2354" s="13" t="s">
        <v>35</v>
      </c>
      <c r="I2354" s="13" t="str">
        <f aca="false">IF(C2354=J2354,"NEW KONTRAK","RE-KONTRAK")</f>
        <v>NEW KONTRAK</v>
      </c>
      <c r="J2354" s="16" t="n">
        <f aca="false" t="array" ref="J2354:J2354">IFERROR(INDEX(AC2354:AE2354,IF(COUNTA(AC2354:AE2354)=0,"",MAX((AC2354:AE2354&lt;&gt;"")*(COLUMN(AC2354:AE2354)-(COLUMN(AC2354)))))-1),"")</f>
        <v>45808</v>
      </c>
      <c r="K2354" s="16" t="n">
        <f aca="false" t="array" ref="K2354:K2354">IFERROR(INDEX(AC2354:AE2354,IF(COUNTA(AC2354:AE2354)=0,"",MAX((AC2354:AE2354&lt;&gt;"")*(COLUMN(AC2354:AE2354)-(COLUMN(AC2354)-1))))-1),"")</f>
        <v>46172</v>
      </c>
      <c r="L2354" s="17" t="str">
        <f aca="false" t="array" ref="L2354:L2354">IFERROR(INDEX(AC2354:AE2354,IF(COUNTA(AC2354:AE2354)=0,"",MAX((AC2354:AE2354&lt;&gt;"")*(COLUMN(AC2354:AE2354)-(COLUMN(AC2354)-2))))-1),"")</f>
        <v>ARCHIVED</v>
      </c>
      <c r="M2354" s="13" t="n">
        <f aca="true">K2354-TODAY()</f>
        <v>-152</v>
      </c>
      <c r="N2354" s="18" t="s">
        <v>7313</v>
      </c>
      <c r="O2354" s="13" t="s">
        <v>50</v>
      </c>
      <c r="P2354" s="19" t="n">
        <v>2397550</v>
      </c>
      <c r="Q2354" s="77" t="s">
        <v>10076</v>
      </c>
      <c r="R2354" s="13" t="s">
        <v>227</v>
      </c>
      <c r="S2354" s="16" t="n">
        <v>36143</v>
      </c>
      <c r="T2354" s="28" t="s">
        <v>40</v>
      </c>
      <c r="U2354" s="76" t="s">
        <v>10077</v>
      </c>
      <c r="V2354" s="13" t="s">
        <v>42</v>
      </c>
      <c r="W2354" s="13" t="s">
        <v>43</v>
      </c>
      <c r="X2354" s="21" t="n">
        <v>87877729307</v>
      </c>
      <c r="Y2354" s="22" t="str">
        <f aca="false">O2354</f>
        <v>Driver</v>
      </c>
      <c r="Z2354" s="13" t="str">
        <f aca="false">IFERROR(__xludf.dummyfunction("if(BJ2354="""","""",GOOGLETRANSLATE(BJ2354,""auto"",""en""))"),"Driver")</f>
        <v>Driver</v>
      </c>
      <c r="AA2354" s="23" t="str">
        <f aca="false">IF(C2354="","", CHOOSE(MONTH(C2354),"January","February","March","April","May","June","July","August","September","October","November","December")&amp;" "&amp;DAY(C2354)&amp;MID("thstndrdth",MIN(9,2*RIGHT(DAY(C2354))*(MOD(DAY(C2354)-11,100)&gt;2)+1),2)&amp;","&amp;TEXT(C2354," yyyy"))</f>
        <v>May 31st,2025</v>
      </c>
      <c r="AB2354" s="15" t="str">
        <f aca="true">IF(S2354="","",DATEDIF(S2354,TODAY(),"Y")&amp;" Tahun, "&amp;DATEDIF(S2354,TODAY(),"YM")&amp;" Bulan, "&amp;DATEDIF(S2354,TODAY(),"MD")&amp;" Hari")</f>
        <v>27 Tahun, 10 Bulan, 15 Hari</v>
      </c>
      <c r="AC2354" s="18" t="n">
        <v>45808</v>
      </c>
      <c r="AD2354" s="18" t="n">
        <v>46172</v>
      </c>
      <c r="AE2354" s="18" t="s">
        <v>44</v>
      </c>
    </row>
    <row r="2355" customFormat="false" ht="15" hidden="false" customHeight="true" outlineLevel="0" collapsed="false">
      <c r="A2355" s="12" t="n">
        <v>19955</v>
      </c>
      <c r="B2355" s="76" t="s">
        <v>10078</v>
      </c>
      <c r="C2355" s="16" t="n">
        <v>45808</v>
      </c>
      <c r="D2355" s="13" t="s">
        <v>7310</v>
      </c>
      <c r="E2355" s="15" t="s">
        <v>102</v>
      </c>
      <c r="F2355" s="24" t="s">
        <v>10079</v>
      </c>
      <c r="G2355" s="13" t="s">
        <v>10080</v>
      </c>
      <c r="H2355" s="13" t="s">
        <v>35</v>
      </c>
      <c r="I2355" s="13" t="str">
        <f aca="false">IF(C2355=J2355,"NEW KONTRAK","RE-KONTRAK")</f>
        <v>NEW KONTRAK</v>
      </c>
      <c r="J2355" s="16" t="n">
        <f aca="false" t="array" ref="J2355:J2355">IFERROR(INDEX(AC2355:AE2355,IF(COUNTA(AC2355:AE2355)=0,"",MAX((AC2355:AE2355&lt;&gt;"")*(COLUMN(AC2355:AE2355)-(COLUMN(AC2355)))))-1),"")</f>
        <v>45808</v>
      </c>
      <c r="K2355" s="16" t="n">
        <f aca="false" t="array" ref="K2355:K2355">IFERROR(INDEX(AC2355:AE2355,IF(COUNTA(AC2355:AE2355)=0,"",MAX((AC2355:AE2355&lt;&gt;"")*(COLUMN(AC2355:AE2355)-(COLUMN(AC2355)-1))))-1),"")</f>
        <v>46172</v>
      </c>
      <c r="L2355" s="17" t="str">
        <f aca="false" t="array" ref="L2355:L2355">IFERROR(INDEX(AC2355:AE2355,IF(COUNTA(AC2355:AE2355)=0,"",MAX((AC2355:AE2355&lt;&gt;"")*(COLUMN(AC2355:AE2355)-(COLUMN(AC2355)-2))))-1),"")</f>
        <v>ARCHIVED</v>
      </c>
      <c r="M2355" s="13" t="n">
        <f aca="true">K2355-TODAY()</f>
        <v>-152</v>
      </c>
      <c r="N2355" s="18" t="s">
        <v>7313</v>
      </c>
      <c r="O2355" s="13" t="s">
        <v>50</v>
      </c>
      <c r="P2355" s="19" t="n">
        <v>2550274</v>
      </c>
      <c r="Q2355" s="20" t="s">
        <v>10081</v>
      </c>
      <c r="R2355" s="13" t="s">
        <v>255</v>
      </c>
      <c r="S2355" s="16" t="n">
        <v>34786</v>
      </c>
      <c r="T2355" s="28" t="s">
        <v>40</v>
      </c>
      <c r="U2355" s="13" t="s">
        <v>10082</v>
      </c>
      <c r="V2355" s="13" t="s">
        <v>42</v>
      </c>
      <c r="W2355" s="13" t="s">
        <v>54</v>
      </c>
      <c r="X2355" s="21" t="n">
        <v>82233840556</v>
      </c>
      <c r="Y2355" s="22" t="str">
        <f aca="false">O2355</f>
        <v>Driver</v>
      </c>
      <c r="Z2355" s="13" t="str">
        <f aca="false">IFERROR(__xludf.dummyfunction("if(BJ2355="""","""",GOOGLETRANSLATE(BJ2355,""auto"",""en""))"),"Driver")</f>
        <v>Driver</v>
      </c>
      <c r="AA2355" s="23" t="str">
        <f aca="false">IF(C2355="","", CHOOSE(MONTH(C2355),"January","February","March","April","May","June","July","August","September","October","November","December")&amp;" "&amp;DAY(C2355)&amp;MID("thstndrdth",MIN(9,2*RIGHT(DAY(C2355))*(MOD(DAY(C2355)-11,100)&gt;2)+1),2)&amp;","&amp;TEXT(C2355," yyyy"))</f>
        <v>May 31st,2025</v>
      </c>
      <c r="AB2355" s="15" t="str">
        <f aca="true">IF(S2355="","",DATEDIF(S2355,TODAY(),"Y")&amp;" Tahun, "&amp;DATEDIF(S2355,TODAY(),"YM")&amp;" Bulan, "&amp;DATEDIF(S2355,TODAY(),"MD")&amp;" Hari")</f>
        <v>31 Tahun, 7 Bulan, 1 Hari</v>
      </c>
      <c r="AC2355" s="18" t="n">
        <v>45808</v>
      </c>
      <c r="AD2355" s="18" t="n">
        <v>46172</v>
      </c>
      <c r="AE2355" s="18" t="s">
        <v>44</v>
      </c>
    </row>
    <row r="2356" customFormat="false" ht="15" hidden="false" customHeight="true" outlineLevel="0" collapsed="false">
      <c r="A2356" s="12" t="n">
        <v>19956</v>
      </c>
      <c r="B2356" s="13" t="s">
        <v>10083</v>
      </c>
      <c r="C2356" s="16" t="n">
        <v>45811</v>
      </c>
      <c r="D2356" s="13" t="s">
        <v>7310</v>
      </c>
      <c r="E2356" s="15" t="s">
        <v>102</v>
      </c>
      <c r="F2356" s="24" t="s">
        <v>10084</v>
      </c>
      <c r="G2356" s="13" t="s">
        <v>10085</v>
      </c>
      <c r="H2356" s="13" t="s">
        <v>35</v>
      </c>
      <c r="I2356" s="13" t="str">
        <f aca="false">IF(C2356=J2356,"NEW KONTRAK","RE-KONTRAK")</f>
        <v>NEW KONTRAK</v>
      </c>
      <c r="J2356" s="16" t="n">
        <f aca="false" t="array" ref="J2356:J2356">IFERROR(INDEX(AC2356:AE2356,IF(COUNTA(AC2356:AE2356)=0,"",MAX((AC2356:AE2356&lt;&gt;"")*(COLUMN(AC2356:AE2356)-(COLUMN(AC2356)))))-1),"")</f>
        <v>45811</v>
      </c>
      <c r="K2356" s="16" t="n">
        <f aca="false" t="array" ref="K2356:K2356">IFERROR(INDEX(AC2356:AE2356,IF(COUNTA(AC2356:AE2356)=0,"",MAX((AC2356:AE2356&lt;&gt;"")*(COLUMN(AC2356:AE2356)-(COLUMN(AC2356)-1))))-1),"")</f>
        <v>46175</v>
      </c>
      <c r="L2356" s="17" t="str">
        <f aca="false" t="array" ref="L2356:L2356">IFERROR(INDEX(AC2356:AE2356,IF(COUNTA(AC2356:AE2356)=0,"",MAX((AC2356:AE2356&lt;&gt;"")*(COLUMN(AC2356:AE2356)-(COLUMN(AC2356)-2))))-1),"")</f>
        <v>ARCHIVED</v>
      </c>
      <c r="M2356" s="13" t="n">
        <f aca="true">K2356-TODAY()</f>
        <v>-149</v>
      </c>
      <c r="N2356" s="18" t="s">
        <v>7313</v>
      </c>
      <c r="O2356" s="13" t="s">
        <v>50</v>
      </c>
      <c r="P2356" s="19" t="n">
        <v>2397550</v>
      </c>
      <c r="Q2356" s="20" t="s">
        <v>10086</v>
      </c>
      <c r="R2356" s="13" t="s">
        <v>227</v>
      </c>
      <c r="S2356" s="16" t="n">
        <v>35235</v>
      </c>
      <c r="T2356" s="28" t="s">
        <v>40</v>
      </c>
      <c r="U2356" s="13" t="s">
        <v>10087</v>
      </c>
      <c r="V2356" s="13" t="s">
        <v>42</v>
      </c>
      <c r="W2356" s="13" t="s">
        <v>897</v>
      </c>
      <c r="X2356" s="21" t="n">
        <v>895700232576</v>
      </c>
      <c r="Y2356" s="22" t="str">
        <f aca="false">O2356</f>
        <v>Driver</v>
      </c>
      <c r="Z2356" s="13" t="str">
        <f aca="false">IFERROR(__xludf.dummyfunction("if(BJ2356="""","""",GOOGLETRANSLATE(BJ2356,""auto"",""en""))"),"Driver")</f>
        <v>Driver</v>
      </c>
      <c r="AA2356" s="23" t="str">
        <f aca="false">IF(C2356="","", CHOOSE(MONTH(C2356),"January","February","March","April","May","June","July","August","September","October","November","December")&amp;" "&amp;DAY(C2356)&amp;MID("thstndrdth",MIN(9,2*RIGHT(DAY(C2356))*(MOD(DAY(C2356)-11,100)&gt;2)+1),2)&amp;","&amp;TEXT(C2356," yyyy"))</f>
        <v>June 3rd,2025</v>
      </c>
      <c r="AB2356" s="15" t="str">
        <f aca="true">IF(S2356="","",DATEDIF(S2356,TODAY(),"Y")&amp;" Tahun, "&amp;DATEDIF(S2356,TODAY(),"YM")&amp;" Bulan, "&amp;DATEDIF(S2356,TODAY(),"MD")&amp;" Hari")</f>
        <v>30 Tahun, 4 Bulan, 10 Hari</v>
      </c>
      <c r="AC2356" s="18" t="n">
        <v>45811</v>
      </c>
      <c r="AD2356" s="18" t="n">
        <v>46175</v>
      </c>
      <c r="AE2356" s="18" t="s">
        <v>44</v>
      </c>
    </row>
    <row r="2357" customFormat="false" ht="15" hidden="false" customHeight="true" outlineLevel="0" collapsed="false">
      <c r="A2357" s="12" t="n">
        <v>19967</v>
      </c>
      <c r="B2357" s="13" t="s">
        <v>10088</v>
      </c>
      <c r="C2357" s="16" t="n">
        <v>45839</v>
      </c>
      <c r="D2357" s="13" t="s">
        <v>885</v>
      </c>
      <c r="E2357" s="15" t="s">
        <v>47</v>
      </c>
      <c r="F2357" s="15" t="str">
        <f aca="false">IFERROR(__xludf.dummyfunction("XLOOKUP(AJ2357,IMPORTRANGE(""1XaInW9DU9nz21V0tYIfzFQ0He9kVQ_JF2mCXgZ3hqFA"",""REKAP ALL 2026 - Andika!G:G""),IMPORTRANGE(""1XaInW9DU9nz21V0tYIfzFQ0He9kVQ_JF2mCXgZ3hqFA"",""REKAP ALL 2026 - Andika!F:F""),"""",0)"),"25092908869")</f>
        <v>25092908869</v>
      </c>
      <c r="G2357" s="13" t="s">
        <v>10089</v>
      </c>
      <c r="H2357" s="13" t="s">
        <v>35</v>
      </c>
      <c r="I2357" s="13" t="str">
        <f aca="false">IF(C2357=J2357,"NEW KONTRAK","RE-KONTRAK")</f>
        <v>NEW KONTRAK</v>
      </c>
      <c r="J2357" s="16" t="n">
        <f aca="false" t="array" ref="J2357:J2357">IFERROR(INDEX(AC2357:AE2357,IF(COUNTA(AC2357:AE2357)=0,"",MAX((AC2357:AE2357&lt;&gt;"")*(COLUMN(AC2357:AE2357)-(COLUMN(AC2357)))))-1),"")</f>
        <v>45839</v>
      </c>
      <c r="K2357" s="16" t="n">
        <f aca="false" t="array" ref="K2357:K2357">IFERROR(INDEX(AC2357:AE2357,IF(COUNTA(AC2357:AE2357)=0,"",MAX((AC2357:AE2357&lt;&gt;"")*(COLUMN(AC2357:AE2357)-(COLUMN(AC2357)-1))))-1),"")</f>
        <v>46022</v>
      </c>
      <c r="L2357" s="17" t="str">
        <f aca="false" t="array" ref="L2357:L2357">IFERROR(INDEX(AC2357:AE2357,IF(COUNTA(AC2357:AE2357)=0,"",MAX((AC2357:AE2357&lt;&gt;"")*(COLUMN(AC2357:AE2357)-(COLUMN(AC2357)-2))))-1),"")</f>
        <v>ARCHIVED</v>
      </c>
      <c r="M2357" s="13" t="n">
        <f aca="true">K2357-TODAY()</f>
        <v>-302</v>
      </c>
      <c r="N2357" s="18" t="s">
        <v>728</v>
      </c>
      <c r="O2357" s="13" t="s">
        <v>1453</v>
      </c>
      <c r="P2357" s="27" t="n">
        <v>132300</v>
      </c>
      <c r="Q2357" s="20" t="s">
        <v>10090</v>
      </c>
      <c r="R2357" s="13" t="s">
        <v>52</v>
      </c>
      <c r="S2357" s="16" t="n">
        <v>35609</v>
      </c>
      <c r="T2357" s="28" t="s">
        <v>40</v>
      </c>
      <c r="U2357" s="13" t="s">
        <v>10091</v>
      </c>
      <c r="V2357" s="13" t="s">
        <v>42</v>
      </c>
      <c r="W2357" s="13" t="s">
        <v>43</v>
      </c>
      <c r="X2357" s="21" t="n">
        <v>85847382369</v>
      </c>
      <c r="Y2357" s="22" t="str">
        <f aca="false">O2357</f>
        <v>Helper Produksi</v>
      </c>
      <c r="Z2357" s="13" t="str">
        <f aca="false">IFERROR(__xludf.dummyfunction("if(BJ2357="""","""",GOOGLETRANSLATE(BJ2357,""auto"",""en""))"),"Production Helper")</f>
        <v>Production Helper</v>
      </c>
      <c r="AA2357" s="23" t="str">
        <f aca="false">IF(C2357="","", CHOOSE(MONTH(C2357),"January","February","March","April","May","June","July","August","September","October","November","December")&amp;" "&amp;DAY(C2357)&amp;MID("thstndrdth",MIN(9,2*RIGHT(DAY(C2357))*(MOD(DAY(C2357)-11,100)&gt;2)+1),2)&amp;","&amp;TEXT(C2357," yyyy"))</f>
        <v>July 1st,2025</v>
      </c>
      <c r="AB2357" s="15" t="str">
        <f aca="true">IF(S2357="","",DATEDIF(S2357,TODAY(),"Y")&amp;" Tahun, "&amp;DATEDIF(S2357,TODAY(),"YM")&amp;" Bulan, "&amp;DATEDIF(S2357,TODAY(),"MD")&amp;" Hari")</f>
        <v>29 Tahun, 4 Bulan, 1 Hari</v>
      </c>
      <c r="AC2357" s="18" t="n">
        <v>45839</v>
      </c>
      <c r="AD2357" s="18" t="n">
        <v>46022</v>
      </c>
      <c r="AE2357" s="18" t="s">
        <v>44</v>
      </c>
    </row>
    <row r="2358" customFormat="false" ht="15" hidden="false" customHeight="true" outlineLevel="0" collapsed="false">
      <c r="A2358" s="12" t="n">
        <v>19966</v>
      </c>
      <c r="B2358" s="13" t="s">
        <v>10092</v>
      </c>
      <c r="C2358" s="16" t="n">
        <v>45839</v>
      </c>
      <c r="D2358" s="13" t="s">
        <v>885</v>
      </c>
      <c r="E2358" s="15" t="s">
        <v>33</v>
      </c>
      <c r="F2358" s="24" t="s">
        <v>10093</v>
      </c>
      <c r="G2358" s="13" t="s">
        <v>10094</v>
      </c>
      <c r="H2358" s="13" t="s">
        <v>35</v>
      </c>
      <c r="I2358" s="13" t="str">
        <f aca="false">IF(C2358=J2358,"NEW KONTRAK","RE-KONTRAK")</f>
        <v>NEW KONTRAK</v>
      </c>
      <c r="J2358" s="16" t="n">
        <f aca="false" t="array" ref="J2358:J2358">IFERROR(INDEX(AC2358:AE2358,IF(COUNTA(AC2358:AE2358)=0,"",MAX((AC2358:AE2358&lt;&gt;"")*(COLUMN(AC2358:AE2358)-(COLUMN(AC2358)))))-1),"")</f>
        <v>45839</v>
      </c>
      <c r="K2358" s="16" t="n">
        <f aca="false" t="array" ref="K2358:K2358">IFERROR(INDEX(AC2358:AE2358,IF(COUNTA(AC2358:AE2358)=0,"",MAX((AC2358:AE2358&lt;&gt;"")*(COLUMN(AC2358:AE2358)-(COLUMN(AC2358)-1))))-1),"")</f>
        <v>46022</v>
      </c>
      <c r="L2358" s="17" t="str">
        <f aca="false" t="array" ref="L2358:L2358">IFERROR(INDEX(AC2358:AE2358,IF(COUNTA(AC2358:AE2358)=0,"",MAX((AC2358:AE2358&lt;&gt;"")*(COLUMN(AC2358:AE2358)-(COLUMN(AC2358)-2))))-1),"")</f>
        <v>ARCHIVED</v>
      </c>
      <c r="M2358" s="13" t="n">
        <f aca="true">K2358-TODAY()</f>
        <v>-302</v>
      </c>
      <c r="N2358" s="18" t="s">
        <v>728</v>
      </c>
      <c r="O2358" s="13" t="s">
        <v>1453</v>
      </c>
      <c r="P2358" s="27" t="n">
        <v>132300</v>
      </c>
      <c r="Q2358" s="20" t="s">
        <v>10095</v>
      </c>
      <c r="R2358" s="13" t="s">
        <v>52</v>
      </c>
      <c r="S2358" s="16" t="n">
        <v>30205</v>
      </c>
      <c r="T2358" s="28" t="s">
        <v>40</v>
      </c>
      <c r="U2358" s="13" t="s">
        <v>10096</v>
      </c>
      <c r="V2358" s="13" t="s">
        <v>42</v>
      </c>
      <c r="W2358" s="13" t="s">
        <v>54</v>
      </c>
      <c r="X2358" s="21" t="n">
        <v>85608742951</v>
      </c>
      <c r="Y2358" s="22" t="str">
        <f aca="false">O2358</f>
        <v>Helper Produksi</v>
      </c>
      <c r="Z2358" s="13" t="str">
        <f aca="false">IFERROR(__xludf.dummyfunction("if(BJ2358="""","""",GOOGLETRANSLATE(BJ2358,""auto"",""en""))"),"Production Helper")</f>
        <v>Production Helper</v>
      </c>
      <c r="AA2358" s="23" t="str">
        <f aca="false">IF(C2358="","", CHOOSE(MONTH(C2358),"January","February","March","April","May","June","July","August","September","October","November","December")&amp;" "&amp;DAY(C2358)&amp;MID("thstndrdth",MIN(9,2*RIGHT(DAY(C2358))*(MOD(DAY(C2358)-11,100)&gt;2)+1),2)&amp;","&amp;TEXT(C2358," yyyy"))</f>
        <v>July 1st,2025</v>
      </c>
      <c r="AB2358" s="15" t="str">
        <f aca="true">IF(S2358="","",DATEDIF(S2358,TODAY(),"Y")&amp;" Tahun, "&amp;DATEDIF(S2358,TODAY(),"YM")&amp;" Bulan, "&amp;DATEDIF(S2358,TODAY(),"MD")&amp;" Hari")</f>
        <v>44 Tahun, 1 Bulan, 18 Hari</v>
      </c>
      <c r="AC2358" s="18" t="n">
        <v>45839</v>
      </c>
      <c r="AD2358" s="18" t="n">
        <v>46022</v>
      </c>
      <c r="AE2358" s="18" t="s">
        <v>44</v>
      </c>
    </row>
    <row r="2359" customFormat="false" ht="15" hidden="false" customHeight="true" outlineLevel="0" collapsed="false">
      <c r="A2359" s="12" t="n">
        <v>19969</v>
      </c>
      <c r="B2359" s="13" t="s">
        <v>10097</v>
      </c>
      <c r="C2359" s="16" t="n">
        <v>45839</v>
      </c>
      <c r="D2359" s="13" t="s">
        <v>885</v>
      </c>
      <c r="E2359" s="15" t="s">
        <v>47</v>
      </c>
      <c r="F2359" s="15" t="str">
        <f aca="false">IFERROR(__xludf.dummyfunction("XLOOKUP(AJ2359,IMPORTRANGE(""1XaInW9DU9nz21V0tYIfzFQ0He9kVQ_JF2mCXgZ3hqFA"",""REKAP ALL 2026 - Andika!G:G""),IMPORTRANGE(""1XaInW9DU9nz21V0tYIfzFQ0He9kVQ_JF2mCXgZ3hqFA"",""REKAP ALL 2026 - Andika!F:F""),"""",0)"),"25092908885")</f>
        <v>25092908885</v>
      </c>
      <c r="G2359" s="13" t="s">
        <v>10098</v>
      </c>
      <c r="H2359" s="13" t="s">
        <v>35</v>
      </c>
      <c r="I2359" s="13" t="str">
        <f aca="false">IF(C2359=J2359,"NEW KONTRAK","RE-KONTRAK")</f>
        <v>NEW KONTRAK</v>
      </c>
      <c r="J2359" s="16" t="n">
        <f aca="false" t="array" ref="J2359:J2359">IFERROR(INDEX(AC2359:AE2359,IF(COUNTA(AC2359:AE2359)=0,"",MAX((AC2359:AE2359&lt;&gt;"")*(COLUMN(AC2359:AE2359)-(COLUMN(AC2359)))))-1),"")</f>
        <v>45839</v>
      </c>
      <c r="K2359" s="16" t="n">
        <f aca="false" t="array" ref="K2359:K2359">IFERROR(INDEX(AC2359:AE2359,IF(COUNTA(AC2359:AE2359)=0,"",MAX((AC2359:AE2359&lt;&gt;"")*(COLUMN(AC2359:AE2359)-(COLUMN(AC2359)-1))))-1),"")</f>
        <v>46022</v>
      </c>
      <c r="L2359" s="17" t="str">
        <f aca="false" t="array" ref="L2359:L2359">IFERROR(INDEX(AC2359:AE2359,IF(COUNTA(AC2359:AE2359)=0,"",MAX((AC2359:AE2359&lt;&gt;"")*(COLUMN(AC2359:AE2359)-(COLUMN(AC2359)-2))))-1),"")</f>
        <v>KEMBALI</v>
      </c>
      <c r="M2359" s="13" t="n">
        <f aca="true">K2359-TODAY()</f>
        <v>-302</v>
      </c>
      <c r="N2359" s="18" t="s">
        <v>728</v>
      </c>
      <c r="O2359" s="13" t="s">
        <v>1453</v>
      </c>
      <c r="P2359" s="27" t="n">
        <v>132300</v>
      </c>
      <c r="Q2359" s="20" t="s">
        <v>10099</v>
      </c>
      <c r="R2359" s="13" t="s">
        <v>10100</v>
      </c>
      <c r="S2359" s="16" t="n">
        <v>35982</v>
      </c>
      <c r="T2359" s="28" t="s">
        <v>40</v>
      </c>
      <c r="U2359" s="13" t="s">
        <v>10101</v>
      </c>
      <c r="V2359" s="13" t="s">
        <v>42</v>
      </c>
      <c r="W2359" s="13" t="s">
        <v>43</v>
      </c>
      <c r="X2359" s="21" t="n">
        <v>881027416393</v>
      </c>
      <c r="Y2359" s="22" t="str">
        <f aca="false">O2359</f>
        <v>Helper Produksi</v>
      </c>
      <c r="Z2359" s="13" t="str">
        <f aca="false">IFERROR(__xludf.dummyfunction("if(BJ2359="""","""",GOOGLETRANSLATE(BJ2359,""auto"",""en""))"),"Production Helper")</f>
        <v>Production Helper</v>
      </c>
      <c r="AA2359" s="23" t="str">
        <f aca="false">IF(C2359="","", CHOOSE(MONTH(C2359),"January","February","March","April","May","June","July","August","September","October","November","December")&amp;" "&amp;DAY(C2359)&amp;MID("thstndrdth",MIN(9,2*RIGHT(DAY(C2359))*(MOD(DAY(C2359)-11,100)&gt;2)+1),2)&amp;","&amp;TEXT(C2359," yyyy"))</f>
        <v>July 1st,2025</v>
      </c>
      <c r="AB2359" s="15" t="str">
        <f aca="true">IF(S2359="","",DATEDIF(S2359,TODAY(),"Y")&amp;" Tahun, "&amp;DATEDIF(S2359,TODAY(),"YM")&amp;" Bulan, "&amp;DATEDIF(S2359,TODAY(),"MD")&amp;" Hari")</f>
        <v>28 Tahun, 3 Bulan, 23 Hari</v>
      </c>
      <c r="AC2359" s="18" t="n">
        <v>45839</v>
      </c>
      <c r="AD2359" s="18" t="n">
        <v>46022</v>
      </c>
      <c r="AE2359" s="13" t="s">
        <v>397</v>
      </c>
    </row>
    <row r="2360" customFormat="false" ht="15" hidden="false" customHeight="true" outlineLevel="0" collapsed="false">
      <c r="A2360" s="12" t="n">
        <v>19968</v>
      </c>
      <c r="B2360" s="13" t="s">
        <v>10102</v>
      </c>
      <c r="C2360" s="16" t="n">
        <v>45839</v>
      </c>
      <c r="D2360" s="13" t="s">
        <v>885</v>
      </c>
      <c r="E2360" s="15" t="s">
        <v>789</v>
      </c>
      <c r="F2360" s="24" t="s">
        <v>10103</v>
      </c>
      <c r="G2360" s="13" t="s">
        <v>10104</v>
      </c>
      <c r="H2360" s="13" t="s">
        <v>35</v>
      </c>
      <c r="I2360" s="13" t="str">
        <f aca="false">IF(C2360=J2360,"NEW KONTRAK","RE-KONTRAK")</f>
        <v>NEW KONTRAK</v>
      </c>
      <c r="J2360" s="16" t="n">
        <f aca="false" t="array" ref="J2360:J2360">IFERROR(INDEX(AC2360:AE2360,IF(COUNTA(AC2360:AE2360)=0,"",MAX((AC2360:AE2360&lt;&gt;"")*(COLUMN(AC2360:AE2360)-(COLUMN(AC2360)))))-1),"")</f>
        <v>45839</v>
      </c>
      <c r="K2360" s="16" t="n">
        <f aca="false" t="array" ref="K2360:K2360">IFERROR(INDEX(AC2360:AE2360,IF(COUNTA(AC2360:AE2360)=0,"",MAX((AC2360:AE2360&lt;&gt;"")*(COLUMN(AC2360:AE2360)-(COLUMN(AC2360)-1))))-1),"")</f>
        <v>46022</v>
      </c>
      <c r="L2360" s="17" t="str">
        <f aca="false" t="array" ref="L2360:L2360">IFERROR(INDEX(AC2360:AE2360,IF(COUNTA(AC2360:AE2360)=0,"",MAX((AC2360:AE2360&lt;&gt;"")*(COLUMN(AC2360:AE2360)-(COLUMN(AC2360)-2))))-1),"")</f>
        <v>ARCHIVED</v>
      </c>
      <c r="M2360" s="13" t="n">
        <f aca="true">K2360-TODAY()</f>
        <v>-302</v>
      </c>
      <c r="N2360" s="18" t="s">
        <v>728</v>
      </c>
      <c r="O2360" s="13" t="s">
        <v>1453</v>
      </c>
      <c r="P2360" s="27" t="n">
        <v>132300</v>
      </c>
      <c r="Q2360" s="20" t="s">
        <v>10105</v>
      </c>
      <c r="R2360" s="13" t="s">
        <v>52</v>
      </c>
      <c r="S2360" s="16" t="n">
        <v>37481</v>
      </c>
      <c r="T2360" s="13" t="s">
        <v>40</v>
      </c>
      <c r="U2360" s="13" t="s">
        <v>10106</v>
      </c>
      <c r="V2360" s="13" t="s">
        <v>42</v>
      </c>
      <c r="W2360" s="13" t="s">
        <v>43</v>
      </c>
      <c r="X2360" s="21" t="n">
        <v>8990013010</v>
      </c>
      <c r="Y2360" s="22" t="str">
        <f aca="false">O2360</f>
        <v>Helper Produksi</v>
      </c>
      <c r="Z2360" s="13" t="str">
        <f aca="false">IFERROR(__xludf.dummyfunction("if(BJ2360="""","""",GOOGLETRANSLATE(BJ2360,""auto"",""en""))"),"Production Helper")</f>
        <v>Production Helper</v>
      </c>
      <c r="AA2360" s="23" t="str">
        <f aca="false">IF(C2360="","", CHOOSE(MONTH(C2360),"January","February","March","April","May","June","July","August","September","October","November","December")&amp;" "&amp;DAY(C2360)&amp;MID("thstndrdth",MIN(9,2*RIGHT(DAY(C2360))*(MOD(DAY(C2360)-11,100)&gt;2)+1),2)&amp;","&amp;TEXT(C2360," yyyy"))</f>
        <v>July 1st,2025</v>
      </c>
      <c r="AB2360" s="15" t="str">
        <f aca="true">IF(S2360="","",DATEDIF(S2360,TODAY(),"Y")&amp;" Tahun, "&amp;DATEDIF(S2360,TODAY(),"YM")&amp;" Bulan, "&amp;DATEDIF(S2360,TODAY(),"MD")&amp;" Hari")</f>
        <v>24 Tahun, 2 Bulan, 16 Hari</v>
      </c>
      <c r="AC2360" s="18" t="n">
        <v>45839</v>
      </c>
      <c r="AD2360" s="18" t="n">
        <v>46022</v>
      </c>
      <c r="AE2360" s="18" t="s">
        <v>44</v>
      </c>
    </row>
    <row r="2361" customFormat="false" ht="15" hidden="false" customHeight="true" outlineLevel="0" collapsed="false">
      <c r="A2361" s="12" t="n">
        <v>19970</v>
      </c>
      <c r="B2361" s="13" t="s">
        <v>7132</v>
      </c>
      <c r="C2361" s="16" t="n">
        <v>45839</v>
      </c>
      <c r="D2361" s="13" t="s">
        <v>885</v>
      </c>
      <c r="E2361" s="15" t="s">
        <v>47</v>
      </c>
      <c r="F2361" s="15" t="str">
        <f aca="false">IFERROR(__xludf.dummyfunction("XLOOKUP(AJ2361,IMPORTRANGE(""1XaInW9DU9nz21V0tYIfzFQ0He9kVQ_JF2mCXgZ3hqFA"",""REKAP ALL 2026 - Andika!G:G""),IMPORTRANGE(""1XaInW9DU9nz21V0tYIfzFQ0He9kVQ_JF2mCXgZ3hqFA"",""REKAP ALL 2026 - Andika!F:F""),"""",0)"),"25092908927")</f>
        <v>25092908927</v>
      </c>
      <c r="G2361" s="13" t="s">
        <v>10107</v>
      </c>
      <c r="H2361" s="13" t="s">
        <v>35</v>
      </c>
      <c r="I2361" s="13" t="str">
        <f aca="false">IF(C2361=J2361,"NEW KONTRAK","RE-KONTRAK")</f>
        <v>NEW KONTRAK</v>
      </c>
      <c r="J2361" s="16" t="n">
        <f aca="false" t="array" ref="J2361:J2361">IFERROR(INDEX(AC2361:AE2361,IF(COUNTA(AC2361:AE2361)=0,"",MAX((AC2361:AE2361&lt;&gt;"")*(COLUMN(AC2361:AE2361)-(COLUMN(AC2361)))))-1),"")</f>
        <v>45839</v>
      </c>
      <c r="K2361" s="16" t="n">
        <f aca="false" t="array" ref="K2361:K2361">IFERROR(INDEX(AC2361:AE2361,IF(COUNTA(AC2361:AE2361)=0,"",MAX((AC2361:AE2361&lt;&gt;"")*(COLUMN(AC2361:AE2361)-(COLUMN(AC2361)-1))))-1),"")</f>
        <v>46022</v>
      </c>
      <c r="L2361" s="17" t="str">
        <f aca="false" t="array" ref="L2361:L2361">IFERROR(INDEX(AC2361:AE2361,IF(COUNTA(AC2361:AE2361)=0,"",MAX((AC2361:AE2361&lt;&gt;"")*(COLUMN(AC2361:AE2361)-(COLUMN(AC2361)-2))))-1),"")</f>
        <v>ARCHIVED</v>
      </c>
      <c r="M2361" s="13" t="n">
        <f aca="true">K2361-TODAY()</f>
        <v>-302</v>
      </c>
      <c r="N2361" s="18" t="s">
        <v>728</v>
      </c>
      <c r="O2361" s="13" t="s">
        <v>1453</v>
      </c>
      <c r="P2361" s="27" t="n">
        <v>132300</v>
      </c>
      <c r="Q2361" s="20" t="s">
        <v>10108</v>
      </c>
      <c r="R2361" s="13" t="s">
        <v>52</v>
      </c>
      <c r="S2361" s="16" t="n">
        <v>33345</v>
      </c>
      <c r="T2361" s="13" t="s">
        <v>40</v>
      </c>
      <c r="U2361" s="13" t="s">
        <v>10109</v>
      </c>
      <c r="V2361" s="13" t="s">
        <v>42</v>
      </c>
      <c r="W2361" s="13" t="s">
        <v>43</v>
      </c>
      <c r="X2361" s="21" t="n">
        <v>89678990491</v>
      </c>
      <c r="Y2361" s="22" t="str">
        <f aca="false">O2361</f>
        <v>Helper Produksi</v>
      </c>
      <c r="Z2361" s="13" t="str">
        <f aca="false">IFERROR(__xludf.dummyfunction("if(BJ2361="""","""",GOOGLETRANSLATE(BJ2361,""auto"",""en""))"),"Production Helper")</f>
        <v>Production Helper</v>
      </c>
      <c r="AA2361" s="23" t="str">
        <f aca="false">IF(C2361="","", CHOOSE(MONTH(C2361),"January","February","March","April","May","June","July","August","September","October","November","December")&amp;" "&amp;DAY(C2361)&amp;MID("thstndrdth",MIN(9,2*RIGHT(DAY(C2361))*(MOD(DAY(C2361)-11,100)&gt;2)+1),2)&amp;","&amp;TEXT(C2361," yyyy"))</f>
        <v>July 1st,2025</v>
      </c>
      <c r="AB2361" s="15" t="str">
        <f aca="true">IF(S2361="","",DATEDIF(S2361,TODAY(),"Y")&amp;" Tahun, "&amp;DATEDIF(S2361,TODAY(),"YM")&amp;" Bulan, "&amp;DATEDIF(S2361,TODAY(),"MD")&amp;" Hari")</f>
        <v>35 Tahun, 6 Bulan, 12 Hari</v>
      </c>
      <c r="AC2361" s="18" t="n">
        <v>45839</v>
      </c>
      <c r="AD2361" s="18" t="n">
        <v>46022</v>
      </c>
      <c r="AE2361" s="18" t="s">
        <v>44</v>
      </c>
    </row>
    <row r="2362" customFormat="false" ht="15" hidden="false" customHeight="true" outlineLevel="0" collapsed="false">
      <c r="A2362" s="12" t="n">
        <v>19973</v>
      </c>
      <c r="B2362" s="13" t="s">
        <v>10110</v>
      </c>
      <c r="C2362" s="16" t="n">
        <v>45839</v>
      </c>
      <c r="D2362" s="13" t="s">
        <v>885</v>
      </c>
      <c r="E2362" s="15" t="s">
        <v>47</v>
      </c>
      <c r="F2362" s="15" t="str">
        <f aca="false">IFERROR(__xludf.dummyfunction("XLOOKUP(AJ2362,IMPORTRANGE(""1XaInW9DU9nz21V0tYIfzFQ0He9kVQ_JF2mCXgZ3hqFA"",""REKAP ALL 2026 - Andika!G:G""),IMPORTRANGE(""1XaInW9DU9nz21V0tYIfzFQ0He9kVQ_JF2mCXgZ3hqFA"",""REKAP ALL 2026 - Andika!F:F""),"""",0)"),"25092908893")</f>
        <v>25092908893</v>
      </c>
      <c r="G2362" s="13" t="s">
        <v>10111</v>
      </c>
      <c r="H2362" s="13" t="s">
        <v>35</v>
      </c>
      <c r="I2362" s="13" t="str">
        <f aca="false">IF(C2362=J2362,"NEW KONTRAK","RE-KONTRAK")</f>
        <v>NEW KONTRAK</v>
      </c>
      <c r="J2362" s="16" t="n">
        <f aca="false" t="array" ref="J2362:J2362">IFERROR(INDEX(AC2362:AE2362,IF(COUNTA(AC2362:AE2362)=0,"",MAX((AC2362:AE2362&lt;&gt;"")*(COLUMN(AC2362:AE2362)-(COLUMN(AC2362)))))-1),"")</f>
        <v>45839</v>
      </c>
      <c r="K2362" s="16" t="n">
        <f aca="false" t="array" ref="K2362:K2362">IFERROR(INDEX(AC2362:AE2362,IF(COUNTA(AC2362:AE2362)=0,"",MAX((AC2362:AE2362&lt;&gt;"")*(COLUMN(AC2362:AE2362)-(COLUMN(AC2362)-1))))-1),"")</f>
        <v>46022</v>
      </c>
      <c r="L2362" s="17" t="str">
        <f aca="false" t="array" ref="L2362:L2362">IFERROR(INDEX(AC2362:AE2362,IF(COUNTA(AC2362:AE2362)=0,"",MAX((AC2362:AE2362&lt;&gt;"")*(COLUMN(AC2362:AE2362)-(COLUMN(AC2362)-2))))-1),"")</f>
        <v>ARCHIVED</v>
      </c>
      <c r="M2362" s="13" t="n">
        <f aca="true">K2362-TODAY()</f>
        <v>-302</v>
      </c>
      <c r="N2362" s="18" t="s">
        <v>728</v>
      </c>
      <c r="O2362" s="13" t="s">
        <v>1453</v>
      </c>
      <c r="P2362" s="27" t="n">
        <v>132300</v>
      </c>
      <c r="Q2362" s="20" t="s">
        <v>10112</v>
      </c>
      <c r="R2362" s="13" t="s">
        <v>52</v>
      </c>
      <c r="S2362" s="16" t="n">
        <v>36758</v>
      </c>
      <c r="T2362" s="28" t="s">
        <v>40</v>
      </c>
      <c r="U2362" s="13" t="s">
        <v>10113</v>
      </c>
      <c r="V2362" s="13" t="s">
        <v>42</v>
      </c>
      <c r="W2362" s="13" t="s">
        <v>43</v>
      </c>
      <c r="X2362" s="21" t="n">
        <v>895325773864</v>
      </c>
      <c r="Y2362" s="22" t="str">
        <f aca="false">O2362</f>
        <v>Helper Produksi</v>
      </c>
      <c r="Z2362" s="13" t="str">
        <f aca="false">IFERROR(__xludf.dummyfunction("if(BJ2362="""","""",GOOGLETRANSLATE(BJ2362,""auto"",""en""))"),"Production Helper")</f>
        <v>Production Helper</v>
      </c>
      <c r="AA2362" s="23" t="str">
        <f aca="false">IF(C2362="","", CHOOSE(MONTH(C2362),"January","February","March","April","May","June","July","August","September","October","November","December")&amp;" "&amp;DAY(C2362)&amp;MID("thstndrdth",MIN(9,2*RIGHT(DAY(C2362))*(MOD(DAY(C2362)-11,100)&gt;2)+1),2)&amp;","&amp;TEXT(C2362," yyyy"))</f>
        <v>July 1st,2025</v>
      </c>
      <c r="AB2362" s="15" t="str">
        <f aca="true">IF(S2362="","",DATEDIF(S2362,TODAY(),"Y")&amp;" Tahun, "&amp;DATEDIF(S2362,TODAY(),"YM")&amp;" Bulan, "&amp;DATEDIF(S2362,TODAY(),"MD")&amp;" Hari")</f>
        <v>26 Tahun, 2 Bulan, 9 Hari</v>
      </c>
      <c r="AC2362" s="18" t="n">
        <v>45839</v>
      </c>
      <c r="AD2362" s="18" t="n">
        <v>46022</v>
      </c>
      <c r="AE2362" s="18" t="s">
        <v>44</v>
      </c>
    </row>
    <row r="2363" customFormat="false" ht="15" hidden="false" customHeight="true" outlineLevel="0" collapsed="false">
      <c r="A2363" s="12" t="n">
        <v>19972</v>
      </c>
      <c r="B2363" s="13" t="s">
        <v>10114</v>
      </c>
      <c r="C2363" s="16" t="n">
        <v>45839</v>
      </c>
      <c r="D2363" s="13" t="s">
        <v>885</v>
      </c>
      <c r="E2363" s="15" t="s">
        <v>33</v>
      </c>
      <c r="F2363" s="24" t="s">
        <v>10115</v>
      </c>
      <c r="G2363" s="13" t="s">
        <v>10116</v>
      </c>
      <c r="H2363" s="13" t="s">
        <v>35</v>
      </c>
      <c r="I2363" s="13" t="str">
        <f aca="false">IF(C2363=J2363,"NEW KONTRAK","RE-KONTRAK")</f>
        <v>NEW KONTRAK</v>
      </c>
      <c r="J2363" s="16" t="n">
        <f aca="false" t="array" ref="J2363:J2363">IFERROR(INDEX(AC2363:AE2363,IF(COUNTA(AC2363:AE2363)=0,"",MAX((AC2363:AE2363&lt;&gt;"")*(COLUMN(AC2363:AE2363)-(COLUMN(AC2363)))))-1),"")</f>
        <v>45839</v>
      </c>
      <c r="K2363" s="16" t="n">
        <f aca="false" t="array" ref="K2363:K2363">IFERROR(INDEX(AC2363:AE2363,IF(COUNTA(AC2363:AE2363)=0,"",MAX((AC2363:AE2363&lt;&gt;"")*(COLUMN(AC2363:AE2363)-(COLUMN(AC2363)-1))))-1),"")</f>
        <v>46022</v>
      </c>
      <c r="L2363" s="17" t="str">
        <f aca="false" t="array" ref="L2363:L2363">IFERROR(INDEX(AC2363:AE2363,IF(COUNTA(AC2363:AE2363)=0,"",MAX((AC2363:AE2363&lt;&gt;"")*(COLUMN(AC2363:AE2363)-(COLUMN(AC2363)-2))))-1),"")</f>
        <v>ARCHIVED</v>
      </c>
      <c r="M2363" s="13" t="n">
        <f aca="true">K2363-TODAY()</f>
        <v>-302</v>
      </c>
      <c r="N2363" s="18" t="s">
        <v>728</v>
      </c>
      <c r="O2363" s="13" t="s">
        <v>1453</v>
      </c>
      <c r="P2363" s="27" t="n">
        <v>132300</v>
      </c>
      <c r="Q2363" s="20" t="s">
        <v>10117</v>
      </c>
      <c r="R2363" s="13" t="s">
        <v>5930</v>
      </c>
      <c r="S2363" s="16" t="n">
        <v>33403</v>
      </c>
      <c r="T2363" s="28" t="s">
        <v>40</v>
      </c>
      <c r="U2363" s="13" t="s">
        <v>10118</v>
      </c>
      <c r="V2363" s="13" t="s">
        <v>42</v>
      </c>
      <c r="W2363" s="13" t="s">
        <v>54</v>
      </c>
      <c r="X2363" s="21" t="n">
        <v>81515657547</v>
      </c>
      <c r="Y2363" s="22" t="str">
        <f aca="false">O2363</f>
        <v>Helper Produksi</v>
      </c>
      <c r="Z2363" s="13" t="str">
        <f aca="false">IFERROR(__xludf.dummyfunction("if(BJ2363="""","""",GOOGLETRANSLATE(BJ2363,""auto"",""en""))"),"Production Helper")</f>
        <v>Production Helper</v>
      </c>
      <c r="AA2363" s="23" t="str">
        <f aca="false">IF(C2363="","", CHOOSE(MONTH(C2363),"January","February","March","April","May","June","July","August","September","October","November","December")&amp;" "&amp;DAY(C2363)&amp;MID("thstndrdth",MIN(9,2*RIGHT(DAY(C2363))*(MOD(DAY(C2363)-11,100)&gt;2)+1),2)&amp;","&amp;TEXT(C2363," yyyy"))</f>
        <v>July 1st,2025</v>
      </c>
      <c r="AB2363" s="15" t="str">
        <f aca="true">IF(S2363="","",DATEDIF(S2363,TODAY(),"Y")&amp;" Tahun, "&amp;DATEDIF(S2363,TODAY(),"YM")&amp;" Bulan, "&amp;DATEDIF(S2363,TODAY(),"MD")&amp;" Hari")</f>
        <v>35 Tahun, 4 Bulan, 15 Hari</v>
      </c>
      <c r="AC2363" s="18" t="n">
        <v>45839</v>
      </c>
      <c r="AD2363" s="18" t="n">
        <v>46022</v>
      </c>
      <c r="AE2363" s="18" t="s">
        <v>44</v>
      </c>
    </row>
    <row r="2364" customFormat="false" ht="15" hidden="false" customHeight="true" outlineLevel="0" collapsed="false">
      <c r="A2364" s="12" t="n">
        <v>19974</v>
      </c>
      <c r="B2364" s="13" t="s">
        <v>10119</v>
      </c>
      <c r="C2364" s="16" t="n">
        <v>45839</v>
      </c>
      <c r="D2364" s="13" t="s">
        <v>885</v>
      </c>
      <c r="E2364" s="15" t="s">
        <v>47</v>
      </c>
      <c r="F2364" s="15" t="str">
        <f aca="false">IFERROR(__xludf.dummyfunction("XLOOKUP(AJ2364,IMPORTRANGE(""1XaInW9DU9nz21V0tYIfzFQ0He9kVQ_JF2mCXgZ3hqFA"",""REKAP ALL 2026 - Andika!G:G""),IMPORTRANGE(""1XaInW9DU9nz21V0tYIfzFQ0He9kVQ_JF2mCXgZ3hqFA"",""REKAP ALL 2026 - Andika!F:F""),"""",0)"),"25092908828")</f>
        <v>25092908828</v>
      </c>
      <c r="G2364" s="13" t="s">
        <v>10120</v>
      </c>
      <c r="H2364" s="13" t="s">
        <v>35</v>
      </c>
      <c r="I2364" s="13" t="str">
        <f aca="false">IF(C2364=J2364,"NEW KONTRAK","RE-KONTRAK")</f>
        <v>NEW KONTRAK</v>
      </c>
      <c r="J2364" s="16" t="n">
        <f aca="false" t="array" ref="J2364:J2364">IFERROR(INDEX(AC2364:AE2364,IF(COUNTA(AC2364:AE2364)=0,"",MAX((AC2364:AE2364&lt;&gt;"")*(COLUMN(AC2364:AE2364)-(COLUMN(AC2364)))))-1),"")</f>
        <v>45839</v>
      </c>
      <c r="K2364" s="16" t="n">
        <f aca="false" t="array" ref="K2364:K2364">IFERROR(INDEX(AC2364:AE2364,IF(COUNTA(AC2364:AE2364)=0,"",MAX((AC2364:AE2364&lt;&gt;"")*(COLUMN(AC2364:AE2364)-(COLUMN(AC2364)-1))))-1),"")</f>
        <v>46022</v>
      </c>
      <c r="L2364" s="17" t="str">
        <f aca="false" t="array" ref="L2364:L2364">IFERROR(INDEX(AC2364:AE2364,IF(COUNTA(AC2364:AE2364)=0,"",MAX((AC2364:AE2364&lt;&gt;"")*(COLUMN(AC2364:AE2364)-(COLUMN(AC2364)-2))))-1),"")</f>
        <v>ARCHIVED</v>
      </c>
      <c r="M2364" s="13" t="n">
        <f aca="true">K2364-TODAY()</f>
        <v>-302</v>
      </c>
      <c r="N2364" s="18" t="s">
        <v>728</v>
      </c>
      <c r="O2364" s="13" t="s">
        <v>1453</v>
      </c>
      <c r="P2364" s="27" t="n">
        <v>132300</v>
      </c>
      <c r="Q2364" s="20" t="s">
        <v>10121</v>
      </c>
      <c r="R2364" s="13" t="s">
        <v>39</v>
      </c>
      <c r="S2364" s="16" t="n">
        <v>38939</v>
      </c>
      <c r="T2364" s="13" t="s">
        <v>40</v>
      </c>
      <c r="U2364" s="13" t="s">
        <v>10122</v>
      </c>
      <c r="V2364" s="13" t="s">
        <v>42</v>
      </c>
      <c r="W2364" s="13" t="s">
        <v>43</v>
      </c>
      <c r="X2364" s="21" t="n">
        <v>85606112834</v>
      </c>
      <c r="Y2364" s="22" t="str">
        <f aca="false">O2364</f>
        <v>Helper Produksi</v>
      </c>
      <c r="Z2364" s="13" t="str">
        <f aca="false">IFERROR(__xludf.dummyfunction("if(BJ2364="""","""",GOOGLETRANSLATE(BJ2364,""auto"",""en""))"),"Production Helper")</f>
        <v>Production Helper</v>
      </c>
      <c r="AA2364" s="23" t="str">
        <f aca="false">IF(C2364="","", CHOOSE(MONTH(C2364),"January","February","March","April","May","June","July","August","September","October","November","December")&amp;" "&amp;DAY(C2364)&amp;MID("thstndrdth",MIN(9,2*RIGHT(DAY(C2364))*(MOD(DAY(C2364)-11,100)&gt;2)+1),2)&amp;","&amp;TEXT(C2364," yyyy"))</f>
        <v>July 1st,2025</v>
      </c>
      <c r="AB2364" s="15" t="str">
        <f aca="true">IF(S2364="","",DATEDIF(S2364,TODAY(),"Y")&amp;" Tahun, "&amp;DATEDIF(S2364,TODAY(),"YM")&amp;" Bulan, "&amp;DATEDIF(S2364,TODAY(),"MD")&amp;" Hari")</f>
        <v>20 Tahun, 2 Bulan, 19 Hari</v>
      </c>
      <c r="AC2364" s="18" t="n">
        <v>45839</v>
      </c>
      <c r="AD2364" s="18" t="n">
        <v>46022</v>
      </c>
      <c r="AE2364" s="18" t="s">
        <v>44</v>
      </c>
    </row>
    <row r="2365" customFormat="false" ht="15" hidden="false" customHeight="true" outlineLevel="0" collapsed="false">
      <c r="A2365" s="12" t="n">
        <v>19975</v>
      </c>
      <c r="B2365" s="13" t="s">
        <v>10123</v>
      </c>
      <c r="C2365" s="16" t="n">
        <v>45839</v>
      </c>
      <c r="D2365" s="13" t="s">
        <v>885</v>
      </c>
      <c r="E2365" s="15" t="s">
        <v>47</v>
      </c>
      <c r="F2365" s="15" t="str">
        <f aca="false">IFERROR(__xludf.dummyfunction("XLOOKUP(AJ2365,IMPORTRANGE(""1XaInW9DU9nz21V0tYIfzFQ0He9kVQ_JF2mCXgZ3hqFA"",""REKAP ALL 2026 - Andika!G:G""),IMPORTRANGE(""1XaInW9DU9nz21V0tYIfzFQ0He9kVQ_JF2mCXgZ3hqFA"",""REKAP ALL 2026 - Andika!F:F""),"""",0)"),"25092908851")</f>
        <v>25092908851</v>
      </c>
      <c r="G2365" s="13" t="s">
        <v>10124</v>
      </c>
      <c r="H2365" s="13" t="s">
        <v>35</v>
      </c>
      <c r="I2365" s="13" t="str">
        <f aca="false">IF(C2365=J2365,"NEW KONTRAK","RE-KONTRAK")</f>
        <v>NEW KONTRAK</v>
      </c>
      <c r="J2365" s="16" t="n">
        <f aca="false" t="array" ref="J2365:J2365">IFERROR(INDEX(AC2365:AE2365,IF(COUNTA(AC2365:AE2365)=0,"",MAX((AC2365:AE2365&lt;&gt;"")*(COLUMN(AC2365:AE2365)-(COLUMN(AC2365)))))-1),"")</f>
        <v>45839</v>
      </c>
      <c r="K2365" s="16" t="n">
        <f aca="false" t="array" ref="K2365:K2365">IFERROR(INDEX(AC2365:AE2365,IF(COUNTA(AC2365:AE2365)=0,"",MAX((AC2365:AE2365&lt;&gt;"")*(COLUMN(AC2365:AE2365)-(COLUMN(AC2365)-1))))-1),"")</f>
        <v>46022</v>
      </c>
      <c r="L2365" s="17" t="str">
        <f aca="false" t="array" ref="L2365:L2365">IFERROR(INDEX(AC2365:AE2365,IF(COUNTA(AC2365:AE2365)=0,"",MAX((AC2365:AE2365&lt;&gt;"")*(COLUMN(AC2365:AE2365)-(COLUMN(AC2365)-2))))-1),"")</f>
        <v>ARCHIVED</v>
      </c>
      <c r="M2365" s="13" t="n">
        <f aca="true">K2365-TODAY()</f>
        <v>-302</v>
      </c>
      <c r="N2365" s="18" t="s">
        <v>728</v>
      </c>
      <c r="O2365" s="13" t="s">
        <v>1453</v>
      </c>
      <c r="P2365" s="27" t="n">
        <v>132300</v>
      </c>
      <c r="Q2365" s="20" t="s">
        <v>10125</v>
      </c>
      <c r="R2365" s="13" t="s">
        <v>39</v>
      </c>
      <c r="S2365" s="16" t="n">
        <v>33842</v>
      </c>
      <c r="T2365" s="13" t="s">
        <v>40</v>
      </c>
      <c r="U2365" s="13" t="s">
        <v>10126</v>
      </c>
      <c r="V2365" s="13" t="s">
        <v>42</v>
      </c>
      <c r="W2365" s="13" t="s">
        <v>54</v>
      </c>
      <c r="X2365" s="21" t="n">
        <v>85732627948</v>
      </c>
      <c r="Y2365" s="22" t="str">
        <f aca="false">O2365</f>
        <v>Helper Produksi</v>
      </c>
      <c r="Z2365" s="13" t="str">
        <f aca="false">IFERROR(__xludf.dummyfunction("if(BJ2365="""","""",GOOGLETRANSLATE(BJ2365,""auto"",""en""))"),"Production Helper")</f>
        <v>Production Helper</v>
      </c>
      <c r="AA2365" s="23" t="str">
        <f aca="false">IF(C2365="","", CHOOSE(MONTH(C2365),"January","February","March","April","May","June","July","August","September","October","November","December")&amp;" "&amp;DAY(C2365)&amp;MID("thstndrdth",MIN(9,2*RIGHT(DAY(C2365))*(MOD(DAY(C2365)-11,100)&gt;2)+1),2)&amp;","&amp;TEXT(C2365," yyyy"))</f>
        <v>July 1st,2025</v>
      </c>
      <c r="AB2365" s="15" t="str">
        <f aca="true">IF(S2365="","",DATEDIF(S2365,TODAY(),"Y")&amp;" Tahun, "&amp;DATEDIF(S2365,TODAY(),"YM")&amp;" Bulan, "&amp;DATEDIF(S2365,TODAY(),"MD")&amp;" Hari")</f>
        <v>34 Tahun, 2 Bulan, 3 Hari</v>
      </c>
      <c r="AC2365" s="18" t="n">
        <v>45839</v>
      </c>
      <c r="AD2365" s="18" t="n">
        <v>46022</v>
      </c>
      <c r="AE2365" s="18" t="s">
        <v>44</v>
      </c>
    </row>
    <row r="2366" customFormat="false" ht="15" hidden="false" customHeight="true" outlineLevel="0" collapsed="false">
      <c r="A2366" s="12" t="n">
        <v>19977</v>
      </c>
      <c r="B2366" s="13" t="s">
        <v>10127</v>
      </c>
      <c r="C2366" s="16" t="n">
        <v>45839</v>
      </c>
      <c r="D2366" s="13" t="s">
        <v>885</v>
      </c>
      <c r="E2366" s="15" t="s">
        <v>47</v>
      </c>
      <c r="F2366" s="15" t="str">
        <f aca="false">IFERROR(__xludf.dummyfunction("XLOOKUP(AJ2366,IMPORTRANGE(""1XaInW9DU9nz21V0tYIfzFQ0He9kVQ_JF2mCXgZ3hqFA"",""REKAP ALL 2026 - Andika!G:G""),IMPORTRANGE(""1XaInW9DU9nz21V0tYIfzFQ0He9kVQ_JF2mCXgZ3hqFA"",""REKAP ALL 2026 - Andika!F:F""),"""",0)"),"25092908901")</f>
        <v>25092908901</v>
      </c>
      <c r="G2366" s="13" t="s">
        <v>10128</v>
      </c>
      <c r="H2366" s="13" t="s">
        <v>35</v>
      </c>
      <c r="I2366" s="13" t="str">
        <f aca="false">IF(C2366=J2366,"NEW KONTRAK","RE-KONTRAK")</f>
        <v>NEW KONTRAK</v>
      </c>
      <c r="J2366" s="16" t="n">
        <f aca="false" t="array" ref="J2366:J2366">IFERROR(INDEX(AC2366:AE2366,IF(COUNTA(AC2366:AE2366)=0,"",MAX((AC2366:AE2366&lt;&gt;"")*(COLUMN(AC2366:AE2366)-(COLUMN(AC2366)))))-1),"")</f>
        <v>45839</v>
      </c>
      <c r="K2366" s="16" t="n">
        <f aca="false" t="array" ref="K2366:K2366">IFERROR(INDEX(AC2366:AE2366,IF(COUNTA(AC2366:AE2366)=0,"",MAX((AC2366:AE2366&lt;&gt;"")*(COLUMN(AC2366:AE2366)-(COLUMN(AC2366)-1))))-1),"")</f>
        <v>46022</v>
      </c>
      <c r="L2366" s="17" t="str">
        <f aca="false" t="array" ref="L2366:L2366">IFERROR(INDEX(AC2366:AE2366,IF(COUNTA(AC2366:AE2366)=0,"",MAX((AC2366:AE2366&lt;&gt;"")*(COLUMN(AC2366:AE2366)-(COLUMN(AC2366)-2))))-1),"")</f>
        <v>ARCHIVED</v>
      </c>
      <c r="M2366" s="13" t="n">
        <f aca="true">K2366-TODAY()</f>
        <v>-302</v>
      </c>
      <c r="N2366" s="18" t="s">
        <v>728</v>
      </c>
      <c r="O2366" s="13" t="s">
        <v>1453</v>
      </c>
      <c r="P2366" s="27" t="n">
        <v>132300</v>
      </c>
      <c r="Q2366" s="20" t="s">
        <v>10129</v>
      </c>
      <c r="R2366" s="13" t="s">
        <v>39</v>
      </c>
      <c r="S2366" s="16" t="n">
        <v>37706</v>
      </c>
      <c r="T2366" s="28" t="s">
        <v>40</v>
      </c>
      <c r="U2366" s="13" t="s">
        <v>10130</v>
      </c>
      <c r="V2366" s="13" t="s">
        <v>42</v>
      </c>
      <c r="W2366" s="13" t="s">
        <v>43</v>
      </c>
      <c r="X2366" s="21" t="n">
        <v>895605876958</v>
      </c>
      <c r="Y2366" s="22" t="str">
        <f aca="false">O2366</f>
        <v>Helper Produksi</v>
      </c>
      <c r="Z2366" s="13" t="str">
        <f aca="false">IFERROR(__xludf.dummyfunction("if(BJ2366="""","""",GOOGLETRANSLATE(BJ2366,""auto"",""en""))"),"Production Helper")</f>
        <v>Production Helper</v>
      </c>
      <c r="AA2366" s="23" t="str">
        <f aca="false">IF(C2366="","", CHOOSE(MONTH(C2366),"January","February","March","April","May","June","July","August","September","October","November","December")&amp;" "&amp;DAY(C2366)&amp;MID("thstndrdth",MIN(9,2*RIGHT(DAY(C2366))*(MOD(DAY(C2366)-11,100)&gt;2)+1),2)&amp;","&amp;TEXT(C2366," yyyy"))</f>
        <v>July 1st,2025</v>
      </c>
      <c r="AB2366" s="15" t="str">
        <f aca="true">IF(S2366="","",DATEDIF(S2366,TODAY(),"Y")&amp;" Tahun, "&amp;DATEDIF(S2366,TODAY(),"YM")&amp;" Bulan, "&amp;DATEDIF(S2366,TODAY(),"MD")&amp;" Hari")</f>
        <v>23 Tahun, 7 Bulan, 3 Hari</v>
      </c>
      <c r="AC2366" s="18" t="n">
        <v>45839</v>
      </c>
      <c r="AD2366" s="18" t="n">
        <v>46022</v>
      </c>
      <c r="AE2366" s="18" t="s">
        <v>44</v>
      </c>
    </row>
    <row r="2367" customFormat="false" ht="15" hidden="false" customHeight="true" outlineLevel="0" collapsed="false">
      <c r="A2367" s="12" t="n">
        <v>19981</v>
      </c>
      <c r="B2367" s="13" t="s">
        <v>10131</v>
      </c>
      <c r="C2367" s="16" t="n">
        <v>45839</v>
      </c>
      <c r="D2367" s="13" t="s">
        <v>885</v>
      </c>
      <c r="E2367" s="15" t="s">
        <v>47</v>
      </c>
      <c r="F2367" s="15" t="str">
        <f aca="false">IFERROR(__xludf.dummyfunction("XLOOKUP(AJ2367,IMPORTRANGE(""1XaInW9DU9nz21V0tYIfzFQ0He9kVQ_JF2mCXgZ3hqFA"",""REKAP ALL 2026 - Andika!G:G""),IMPORTRANGE(""1XaInW9DU9nz21V0tYIfzFQ0He9kVQ_JF2mCXgZ3hqFA"",""REKAP ALL 2026 - Andika!F:F""),"""",0)"),"25092908794")</f>
        <v>25092908794</v>
      </c>
      <c r="G2367" s="13" t="s">
        <v>10132</v>
      </c>
      <c r="H2367" s="13" t="s">
        <v>35</v>
      </c>
      <c r="I2367" s="13" t="str">
        <f aca="false">IF(C2367=J2367,"NEW KONTRAK","RE-KONTRAK")</f>
        <v>NEW KONTRAK</v>
      </c>
      <c r="J2367" s="16" t="n">
        <f aca="false" t="array" ref="J2367:J2367">IFERROR(INDEX(AC2367:AE2367,IF(COUNTA(AC2367:AE2367)=0,"",MAX((AC2367:AE2367&lt;&gt;"")*(COLUMN(AC2367:AE2367)-(COLUMN(AC2367)))))-1),"")</f>
        <v>45839</v>
      </c>
      <c r="K2367" s="16" t="n">
        <f aca="false" t="array" ref="K2367:K2367">IFERROR(INDEX(AC2367:AE2367,IF(COUNTA(AC2367:AE2367)=0,"",MAX((AC2367:AE2367&lt;&gt;"")*(COLUMN(AC2367:AE2367)-(COLUMN(AC2367)-1))))-1),"")</f>
        <v>46022</v>
      </c>
      <c r="L2367" s="17" t="str">
        <f aca="false" t="array" ref="L2367:L2367">IFERROR(INDEX(AC2367:AE2367,IF(COUNTA(AC2367:AE2367)=0,"",MAX((AC2367:AE2367&lt;&gt;"")*(COLUMN(AC2367:AE2367)-(COLUMN(AC2367)-2))))-1),"")</f>
        <v>ARCHIVED</v>
      </c>
      <c r="M2367" s="13" t="n">
        <f aca="true">K2367-TODAY()</f>
        <v>-302</v>
      </c>
      <c r="N2367" s="18" t="s">
        <v>728</v>
      </c>
      <c r="O2367" s="13" t="s">
        <v>1453</v>
      </c>
      <c r="P2367" s="27" t="n">
        <v>132300</v>
      </c>
      <c r="Q2367" s="20" t="s">
        <v>10133</v>
      </c>
      <c r="R2367" s="13" t="s">
        <v>6452</v>
      </c>
      <c r="S2367" s="16" t="n">
        <v>38919</v>
      </c>
      <c r="T2367" s="13" t="s">
        <v>40</v>
      </c>
      <c r="U2367" s="13" t="s">
        <v>10134</v>
      </c>
      <c r="V2367" s="13" t="s">
        <v>42</v>
      </c>
      <c r="W2367" s="13" t="s">
        <v>43</v>
      </c>
      <c r="X2367" s="21" t="n">
        <v>82241085894</v>
      </c>
      <c r="Y2367" s="22" t="str">
        <f aca="false">O2367</f>
        <v>Helper Produksi</v>
      </c>
      <c r="Z2367" s="13" t="str">
        <f aca="false">IFERROR(__xludf.dummyfunction("if(BJ2367="""","""",GOOGLETRANSLATE(BJ2367,""auto"",""en""))"),"Production Helper")</f>
        <v>Production Helper</v>
      </c>
      <c r="AA2367" s="23" t="str">
        <f aca="false">IF(C2367="","", CHOOSE(MONTH(C2367),"January","February","March","April","May","June","July","August","September","October","November","December")&amp;" "&amp;DAY(C2367)&amp;MID("thstndrdth",MIN(9,2*RIGHT(DAY(C2367))*(MOD(DAY(C2367)-11,100)&gt;2)+1),2)&amp;","&amp;TEXT(C2367," yyyy"))</f>
        <v>July 1st,2025</v>
      </c>
      <c r="AB2367" s="15" t="str">
        <f aca="true">IF(S2367="","",DATEDIF(S2367,TODAY(),"Y")&amp;" Tahun, "&amp;DATEDIF(S2367,TODAY(),"YM")&amp;" Bulan, "&amp;DATEDIF(S2367,TODAY(),"MD")&amp;" Hari")</f>
        <v>20 Tahun, 3 Bulan, 8 Hari</v>
      </c>
      <c r="AC2367" s="18" t="n">
        <v>45839</v>
      </c>
      <c r="AD2367" s="18" t="n">
        <v>46022</v>
      </c>
      <c r="AE2367" s="18" t="s">
        <v>44</v>
      </c>
    </row>
    <row r="2368" customFormat="false" ht="15" hidden="false" customHeight="true" outlineLevel="0" collapsed="false">
      <c r="A2368" s="12" t="n">
        <v>19978</v>
      </c>
      <c r="B2368" s="13" t="s">
        <v>10135</v>
      </c>
      <c r="C2368" s="16" t="n">
        <v>45839</v>
      </c>
      <c r="D2368" s="13" t="s">
        <v>885</v>
      </c>
      <c r="E2368" s="15" t="s">
        <v>33</v>
      </c>
      <c r="F2368" s="24" t="s">
        <v>10136</v>
      </c>
      <c r="G2368" s="13" t="s">
        <v>10137</v>
      </c>
      <c r="H2368" s="13" t="s">
        <v>35</v>
      </c>
      <c r="I2368" s="13" t="str">
        <f aca="false">IF(C2368=J2368,"NEW KONTRAK","RE-KONTRAK")</f>
        <v>NEW KONTRAK</v>
      </c>
      <c r="J2368" s="16" t="n">
        <f aca="false" t="array" ref="J2368:J2368">IFERROR(INDEX(AC2368:AE2368,IF(COUNTA(AC2368:AE2368)=0,"",MAX((AC2368:AE2368&lt;&gt;"")*(COLUMN(AC2368:AE2368)-(COLUMN(AC2368)))))-1),"")</f>
        <v>45839</v>
      </c>
      <c r="K2368" s="16" t="n">
        <f aca="false" t="array" ref="K2368:K2368">IFERROR(INDEX(AC2368:AE2368,IF(COUNTA(AC2368:AE2368)=0,"",MAX((AC2368:AE2368&lt;&gt;"")*(COLUMN(AC2368:AE2368)-(COLUMN(AC2368)-1))))-1),"")</f>
        <v>46022</v>
      </c>
      <c r="L2368" s="17" t="str">
        <f aca="false" t="array" ref="L2368:L2368">IFERROR(INDEX(AC2368:AE2368,IF(COUNTA(AC2368:AE2368)=0,"",MAX((AC2368:AE2368&lt;&gt;"")*(COLUMN(AC2368:AE2368)-(COLUMN(AC2368)-2))))-1),"")</f>
        <v>ARCHIVED</v>
      </c>
      <c r="M2368" s="13" t="n">
        <f aca="true">K2368-TODAY()</f>
        <v>-302</v>
      </c>
      <c r="N2368" s="18" t="s">
        <v>728</v>
      </c>
      <c r="O2368" s="13" t="s">
        <v>1453</v>
      </c>
      <c r="P2368" s="27" t="n">
        <v>132300</v>
      </c>
      <c r="Q2368" s="20" t="s">
        <v>10138</v>
      </c>
      <c r="R2368" s="13" t="s">
        <v>52</v>
      </c>
      <c r="S2368" s="16" t="n">
        <v>36837</v>
      </c>
      <c r="T2368" s="28" t="s">
        <v>40</v>
      </c>
      <c r="U2368" s="13" t="s">
        <v>10139</v>
      </c>
      <c r="V2368" s="13" t="s">
        <v>42</v>
      </c>
      <c r="W2368" s="13" t="s">
        <v>43</v>
      </c>
      <c r="X2368" s="21" t="n">
        <v>81931965784</v>
      </c>
      <c r="Y2368" s="22" t="str">
        <f aca="false">O2368</f>
        <v>Helper Produksi</v>
      </c>
      <c r="Z2368" s="13" t="str">
        <f aca="false">IFERROR(__xludf.dummyfunction("if(BJ2368="""","""",GOOGLETRANSLATE(BJ2368,""auto"",""en""))"),"Production Helper")</f>
        <v>Production Helper</v>
      </c>
      <c r="AA2368" s="23" t="str">
        <f aca="false">IF(C2368="","", CHOOSE(MONTH(C2368),"January","February","March","April","May","June","July","August","September","October","November","December")&amp;" "&amp;DAY(C2368)&amp;MID("thstndrdth",MIN(9,2*RIGHT(DAY(C2368))*(MOD(DAY(C2368)-11,100)&gt;2)+1),2)&amp;","&amp;TEXT(C2368," yyyy"))</f>
        <v>July 1st,2025</v>
      </c>
      <c r="AB2368" s="15" t="str">
        <f aca="true">IF(S2368="","",DATEDIF(S2368,TODAY(),"Y")&amp;" Tahun, "&amp;DATEDIF(S2368,TODAY(),"YM")&amp;" Bulan, "&amp;DATEDIF(S2368,TODAY(),"MD")&amp;" Hari")</f>
        <v>25 Tahun, 11 Bulan, 22 Hari</v>
      </c>
      <c r="AC2368" s="18" t="n">
        <v>45839</v>
      </c>
      <c r="AD2368" s="18" t="n">
        <v>46022</v>
      </c>
      <c r="AE2368" s="18" t="s">
        <v>44</v>
      </c>
    </row>
    <row r="2369" customFormat="false" ht="15" hidden="false" customHeight="true" outlineLevel="0" collapsed="false">
      <c r="A2369" s="12" t="n">
        <v>19979</v>
      </c>
      <c r="B2369" s="13" t="s">
        <v>10140</v>
      </c>
      <c r="C2369" s="16" t="n">
        <v>45839</v>
      </c>
      <c r="D2369" s="13" t="s">
        <v>885</v>
      </c>
      <c r="E2369" s="15" t="s">
        <v>33</v>
      </c>
      <c r="F2369" s="24" t="s">
        <v>10141</v>
      </c>
      <c r="G2369" s="13" t="s">
        <v>10142</v>
      </c>
      <c r="H2369" s="13" t="s">
        <v>35</v>
      </c>
      <c r="I2369" s="13" t="str">
        <f aca="false">IF(C2369=J2369,"NEW KONTRAK","RE-KONTRAK")</f>
        <v>NEW KONTRAK</v>
      </c>
      <c r="J2369" s="16" t="n">
        <f aca="false" t="array" ref="J2369:J2369">IFERROR(INDEX(AC2369:AE2369,IF(COUNTA(AC2369:AE2369)=0,"",MAX((AC2369:AE2369&lt;&gt;"")*(COLUMN(AC2369:AE2369)-(COLUMN(AC2369)))))-1),"")</f>
        <v>45839</v>
      </c>
      <c r="K2369" s="16" t="n">
        <f aca="false" t="array" ref="K2369:K2369">IFERROR(INDEX(AC2369:AE2369,IF(COUNTA(AC2369:AE2369)=0,"",MAX((AC2369:AE2369&lt;&gt;"")*(COLUMN(AC2369:AE2369)-(COLUMN(AC2369)-1))))-1),"")</f>
        <v>46022</v>
      </c>
      <c r="L2369" s="17" t="str">
        <f aca="false" t="array" ref="L2369:L2369">IFERROR(INDEX(AC2369:AE2369,IF(COUNTA(AC2369:AE2369)=0,"",MAX((AC2369:AE2369&lt;&gt;"")*(COLUMN(AC2369:AE2369)-(COLUMN(AC2369)-2))))-1),"")</f>
        <v>ARCHIVED</v>
      </c>
      <c r="M2369" s="13" t="n">
        <f aca="true">K2369-TODAY()</f>
        <v>-302</v>
      </c>
      <c r="N2369" s="18" t="s">
        <v>728</v>
      </c>
      <c r="O2369" s="13" t="s">
        <v>1453</v>
      </c>
      <c r="P2369" s="27" t="n">
        <v>132300</v>
      </c>
      <c r="Q2369" s="20" t="s">
        <v>10143</v>
      </c>
      <c r="R2369" s="13" t="s">
        <v>65</v>
      </c>
      <c r="S2369" s="16" t="n">
        <v>36695</v>
      </c>
      <c r="T2369" s="13" t="s">
        <v>40</v>
      </c>
      <c r="U2369" s="13" t="s">
        <v>10144</v>
      </c>
      <c r="V2369" s="13" t="s">
        <v>42</v>
      </c>
      <c r="W2369" s="13" t="s">
        <v>43</v>
      </c>
      <c r="X2369" s="21" t="n">
        <v>82143899030</v>
      </c>
      <c r="Y2369" s="22" t="str">
        <f aca="false">O2369</f>
        <v>Helper Produksi</v>
      </c>
      <c r="Z2369" s="13" t="str">
        <f aca="false">IFERROR(__xludf.dummyfunction("if(BJ2369="""","""",GOOGLETRANSLATE(BJ2369,""auto"",""en""))"),"Production Helper")</f>
        <v>Production Helper</v>
      </c>
      <c r="AA2369" s="23" t="str">
        <f aca="false">IF(C2369="","", CHOOSE(MONTH(C2369),"January","February","March","April","May","June","July","August","September","October","November","December")&amp;" "&amp;DAY(C2369)&amp;MID("thstndrdth",MIN(9,2*RIGHT(DAY(C2369))*(MOD(DAY(C2369)-11,100)&gt;2)+1),2)&amp;","&amp;TEXT(C2369," yyyy"))</f>
        <v>July 1st,2025</v>
      </c>
      <c r="AB2369" s="15" t="str">
        <f aca="true">IF(S2369="","",DATEDIF(S2369,TODAY(),"Y")&amp;" Tahun, "&amp;DATEDIF(S2369,TODAY(),"YM")&amp;" Bulan, "&amp;DATEDIF(S2369,TODAY(),"MD")&amp;" Hari")</f>
        <v>26 Tahun, 4 Bulan, 11 Hari</v>
      </c>
      <c r="AC2369" s="18" t="n">
        <v>45839</v>
      </c>
      <c r="AD2369" s="18" t="n">
        <v>46022</v>
      </c>
      <c r="AE2369" s="18" t="s">
        <v>44</v>
      </c>
    </row>
    <row r="2370" customFormat="false" ht="15" hidden="false" customHeight="true" outlineLevel="0" collapsed="false">
      <c r="A2370" s="12" t="n">
        <v>19980</v>
      </c>
      <c r="B2370" s="13" t="s">
        <v>10145</v>
      </c>
      <c r="C2370" s="16" t="n">
        <v>45839</v>
      </c>
      <c r="D2370" s="13" t="s">
        <v>885</v>
      </c>
      <c r="E2370" s="15" t="s">
        <v>789</v>
      </c>
      <c r="F2370" s="24" t="s">
        <v>10146</v>
      </c>
      <c r="G2370" s="13" t="s">
        <v>10147</v>
      </c>
      <c r="H2370" s="13" t="s">
        <v>35</v>
      </c>
      <c r="I2370" s="13" t="str">
        <f aca="false">IF(C2370=J2370,"NEW KONTRAK","RE-KONTRAK")</f>
        <v>NEW KONTRAK</v>
      </c>
      <c r="J2370" s="16" t="n">
        <f aca="false" t="array" ref="J2370:J2370">IFERROR(INDEX(AC2370:AE2370,IF(COUNTA(AC2370:AE2370)=0,"",MAX((AC2370:AE2370&lt;&gt;"")*(COLUMN(AC2370:AE2370)-(COLUMN(AC2370)))))-1),"")</f>
        <v>45839</v>
      </c>
      <c r="K2370" s="16" t="n">
        <f aca="false" t="array" ref="K2370:K2370">IFERROR(INDEX(AC2370:AE2370,IF(COUNTA(AC2370:AE2370)=0,"",MAX((AC2370:AE2370&lt;&gt;"")*(COLUMN(AC2370:AE2370)-(COLUMN(AC2370)-1))))-1),"")</f>
        <v>46022</v>
      </c>
      <c r="L2370" s="17" t="str">
        <f aca="false" t="array" ref="L2370:L2370">IFERROR(INDEX(AC2370:AE2370,IF(COUNTA(AC2370:AE2370)=0,"",MAX((AC2370:AE2370&lt;&gt;"")*(COLUMN(AC2370:AE2370)-(COLUMN(AC2370)-2))))-1),"")</f>
        <v>ARCHIVED</v>
      </c>
      <c r="M2370" s="13" t="n">
        <f aca="true">K2370-TODAY()</f>
        <v>-302</v>
      </c>
      <c r="N2370" s="18" t="s">
        <v>728</v>
      </c>
      <c r="O2370" s="13" t="s">
        <v>1453</v>
      </c>
      <c r="P2370" s="27" t="n">
        <v>132300</v>
      </c>
      <c r="Q2370" s="20" t="s">
        <v>10148</v>
      </c>
      <c r="R2370" s="13" t="s">
        <v>52</v>
      </c>
      <c r="S2370" s="16" t="n">
        <v>29647</v>
      </c>
      <c r="T2370" s="28" t="s">
        <v>40</v>
      </c>
      <c r="U2370" s="13" t="s">
        <v>10149</v>
      </c>
      <c r="V2370" s="13" t="s">
        <v>42</v>
      </c>
      <c r="W2370" s="13" t="s">
        <v>54</v>
      </c>
      <c r="X2370" s="21" t="n">
        <v>85607808696</v>
      </c>
      <c r="Y2370" s="22" t="str">
        <f aca="false">O2370</f>
        <v>Helper Produksi</v>
      </c>
      <c r="Z2370" s="13" t="str">
        <f aca="false">IFERROR(__xludf.dummyfunction("if(BJ2370="""","""",GOOGLETRANSLATE(BJ2370,""auto"",""en""))"),"Production Helper")</f>
        <v>Production Helper</v>
      </c>
      <c r="AA2370" s="23" t="str">
        <f aca="false">IF(C2370="","", CHOOSE(MONTH(C2370),"January","February","March","April","May","June","July","August","September","October","November","December")&amp;" "&amp;DAY(C2370)&amp;MID("thstndrdth",MIN(9,2*RIGHT(DAY(C2370))*(MOD(DAY(C2370)-11,100)&gt;2)+1),2)&amp;","&amp;TEXT(C2370," yyyy"))</f>
        <v>July 1st,2025</v>
      </c>
      <c r="AB2370" s="15" t="str">
        <f aca="true">IF(S2370="","",DATEDIF(S2370,TODAY(),"Y")&amp;" Tahun, "&amp;DATEDIF(S2370,TODAY(),"YM")&amp;" Bulan, "&amp;DATEDIF(S2370,TODAY(),"MD")&amp;" Hari")</f>
        <v>45 Tahun, 7 Bulan, 27 Hari</v>
      </c>
      <c r="AC2370" s="18" t="n">
        <v>45839</v>
      </c>
      <c r="AD2370" s="18" t="n">
        <v>46022</v>
      </c>
      <c r="AE2370" s="18" t="s">
        <v>44</v>
      </c>
    </row>
    <row r="2371" customFormat="false" ht="15" hidden="false" customHeight="true" outlineLevel="0" collapsed="false">
      <c r="A2371" s="12" t="n">
        <v>19982</v>
      </c>
      <c r="B2371" s="13" t="s">
        <v>10150</v>
      </c>
      <c r="C2371" s="16" t="n">
        <v>45839</v>
      </c>
      <c r="D2371" s="13" t="s">
        <v>885</v>
      </c>
      <c r="E2371" s="15" t="s">
        <v>47</v>
      </c>
      <c r="F2371" s="15" t="str">
        <f aca="false">IFERROR(__xludf.dummyfunction("XLOOKUP(AJ2371,IMPORTRANGE(""1XaInW9DU9nz21V0tYIfzFQ0He9kVQ_JF2mCXgZ3hqFA"",""REKAP ALL 2026 - Andika!G:G""),IMPORTRANGE(""1XaInW9DU9nz21V0tYIfzFQ0He9kVQ_JF2mCXgZ3hqFA"",""REKAP ALL 2026 - Andika!F:F""),"""",0)"),"25092908810")</f>
        <v>25092908810</v>
      </c>
      <c r="G2371" s="13" t="s">
        <v>10151</v>
      </c>
      <c r="H2371" s="13" t="s">
        <v>35</v>
      </c>
      <c r="I2371" s="13" t="str">
        <f aca="false">IF(C2371=J2371,"NEW KONTRAK","RE-KONTRAK")</f>
        <v>NEW KONTRAK</v>
      </c>
      <c r="J2371" s="16" t="n">
        <f aca="false" t="array" ref="J2371:J2371">IFERROR(INDEX(AC2371:AE2371,IF(COUNTA(AC2371:AE2371)=0,"",MAX((AC2371:AE2371&lt;&gt;"")*(COLUMN(AC2371:AE2371)-(COLUMN(AC2371)))))-1),"")</f>
        <v>45839</v>
      </c>
      <c r="K2371" s="16" t="n">
        <f aca="false" t="array" ref="K2371:K2371">IFERROR(INDEX(AC2371:AE2371,IF(COUNTA(AC2371:AE2371)=0,"",MAX((AC2371:AE2371&lt;&gt;"")*(COLUMN(AC2371:AE2371)-(COLUMN(AC2371)-1))))-1),"")</f>
        <v>46022</v>
      </c>
      <c r="L2371" s="17" t="str">
        <f aca="false" t="array" ref="L2371:L2371">IFERROR(INDEX(AC2371:AE2371,IF(COUNTA(AC2371:AE2371)=0,"",MAX((AC2371:AE2371&lt;&gt;"")*(COLUMN(AC2371:AE2371)-(COLUMN(AC2371)-2))))-1),"")</f>
        <v>ARCHIVED</v>
      </c>
      <c r="M2371" s="13" t="n">
        <f aca="true">K2371-TODAY()</f>
        <v>-302</v>
      </c>
      <c r="N2371" s="18" t="s">
        <v>728</v>
      </c>
      <c r="O2371" s="13" t="s">
        <v>1453</v>
      </c>
      <c r="P2371" s="27" t="n">
        <v>132300</v>
      </c>
      <c r="Q2371" s="20" t="s">
        <v>10152</v>
      </c>
      <c r="R2371" s="13" t="s">
        <v>73</v>
      </c>
      <c r="S2371" s="16" t="n">
        <v>36818</v>
      </c>
      <c r="T2371" s="13" t="s">
        <v>40</v>
      </c>
      <c r="U2371" s="13" t="s">
        <v>10153</v>
      </c>
      <c r="V2371" s="13" t="s">
        <v>42</v>
      </c>
      <c r="W2371" s="13" t="s">
        <v>43</v>
      </c>
      <c r="X2371" s="21" t="n">
        <v>85230695253</v>
      </c>
      <c r="Y2371" s="22" t="str">
        <f aca="false">O2371</f>
        <v>Helper Produksi</v>
      </c>
      <c r="Z2371" s="13" t="str">
        <f aca="false">IFERROR(__xludf.dummyfunction("if(BJ2371="""","""",GOOGLETRANSLATE(BJ2371,""auto"",""en""))"),"Production Helper")</f>
        <v>Production Helper</v>
      </c>
      <c r="AA2371" s="23" t="str">
        <f aca="false">IF(C2371="","", CHOOSE(MONTH(C2371),"January","February","March","April","May","June","July","August","September","October","November","December")&amp;" "&amp;DAY(C2371)&amp;MID("thstndrdth",MIN(9,2*RIGHT(DAY(C2371))*(MOD(DAY(C2371)-11,100)&gt;2)+1),2)&amp;","&amp;TEXT(C2371," yyyy"))</f>
        <v>July 1st,2025</v>
      </c>
      <c r="AB2371" s="15" t="str">
        <f aca="true">IF(S2371="","",DATEDIF(S2371,TODAY(),"Y")&amp;" Tahun, "&amp;DATEDIF(S2371,TODAY(),"YM")&amp;" Bulan, "&amp;DATEDIF(S2371,TODAY(),"MD")&amp;" Hari")</f>
        <v>26 Tahun, 0 Bulan, 10 Hari</v>
      </c>
      <c r="AC2371" s="18" t="n">
        <v>45839</v>
      </c>
      <c r="AD2371" s="18" t="n">
        <v>46022</v>
      </c>
      <c r="AE2371" s="18" t="s">
        <v>44</v>
      </c>
    </row>
    <row r="2372" customFormat="false" ht="15" hidden="false" customHeight="true" outlineLevel="0" collapsed="false">
      <c r="A2372" s="12" t="n">
        <v>19985</v>
      </c>
      <c r="B2372" s="13" t="s">
        <v>10154</v>
      </c>
      <c r="C2372" s="16" t="n">
        <v>45839</v>
      </c>
      <c r="D2372" s="13" t="s">
        <v>10155</v>
      </c>
      <c r="E2372" s="15" t="s">
        <v>47</v>
      </c>
      <c r="F2372" s="15" t="str">
        <f aca="false">IFERROR(__xludf.dummyfunction("XLOOKUP(AJ2372,IMPORTRANGE(""1XaInW9DU9nz21V0tYIfzFQ0He9kVQ_JF2mCXgZ3hqFA"",""REKAP ALL 2026 - Andika!G:G""),IMPORTRANGE(""1XaInW9DU9nz21V0tYIfzFQ0He9kVQ_JF2mCXgZ3hqFA"",""REKAP ALL 2026 - Andika!F:F""),"""",0)"),"25099755586")</f>
        <v>25099755586</v>
      </c>
      <c r="G2372" s="13" t="s">
        <v>10156</v>
      </c>
      <c r="H2372" s="13" t="s">
        <v>35</v>
      </c>
      <c r="I2372" s="13" t="str">
        <f aca="false">IF(C2372=J2372,"NEW KONTRAK","RE-KONTRAK")</f>
        <v>NEW KONTRAK</v>
      </c>
      <c r="J2372" s="16" t="n">
        <f aca="false" t="array" ref="J2372:J2372">IFERROR(INDEX(AC2372:AE2372,IF(COUNTA(AC2372:AE2372)=0,"",MAX((AC2372:AE2372&lt;&gt;"")*(COLUMN(AC2372:AE2372)-(COLUMN(AC2372)))))-1),"")</f>
        <v>45839</v>
      </c>
      <c r="K2372" s="16" t="n">
        <f aca="false" t="array" ref="K2372:K2372">IFERROR(INDEX(AC2372:AE2372,IF(COUNTA(AC2372:AE2372)=0,"",MAX((AC2372:AE2372&lt;&gt;"")*(COLUMN(AC2372:AE2372)-(COLUMN(AC2372)-1))))-1),"")</f>
        <v>45930</v>
      </c>
      <c r="L2372" s="17" t="str">
        <f aca="false" t="array" ref="L2372:L2372">IFERROR(INDEX(AC2372:AE2372,IF(COUNTA(AC2372:AE2372)=0,"",MAX((AC2372:AE2372&lt;&gt;"")*(COLUMN(AC2372:AE2372)-(COLUMN(AC2372)-2))))-1),"")</f>
        <v>ARCHIVED</v>
      </c>
      <c r="M2372" s="13" t="n">
        <f aca="true">K2372-TODAY()</f>
        <v>-394</v>
      </c>
      <c r="N2372" s="18" t="s">
        <v>36</v>
      </c>
      <c r="O2372" s="13" t="s">
        <v>10157</v>
      </c>
      <c r="P2372" s="27" t="n">
        <v>132300</v>
      </c>
      <c r="Q2372" s="20" t="s">
        <v>10158</v>
      </c>
      <c r="R2372" s="13" t="s">
        <v>826</v>
      </c>
      <c r="S2372" s="16" t="n">
        <v>34409</v>
      </c>
      <c r="T2372" s="13" t="s">
        <v>40</v>
      </c>
      <c r="U2372" s="13" t="s">
        <v>10159</v>
      </c>
      <c r="V2372" s="13" t="s">
        <v>42</v>
      </c>
      <c r="W2372" s="13" t="s">
        <v>54</v>
      </c>
      <c r="X2372" s="21" t="n">
        <v>82147548060</v>
      </c>
      <c r="Y2372" s="22" t="str">
        <f aca="false">O2372</f>
        <v>Domestic After Market Sales</v>
      </c>
      <c r="Z2372" s="13" t="str">
        <f aca="false">IFERROR(__xludf.dummyfunction("if(BJ2372="""","""",GOOGLETRANSLATE(BJ2372,""auto"",""en""))"),"Domestic After Market Sales")</f>
        <v>Domestic After Market Sales</v>
      </c>
      <c r="AA2372" s="23" t="str">
        <f aca="false">IF(C2372="","", CHOOSE(MONTH(C2372),"January","February","March","April","May","June","July","August","September","October","November","December")&amp;" "&amp;DAY(C2372)&amp;MID("thstndrdth",MIN(9,2*RIGHT(DAY(C2372))*(MOD(DAY(C2372)-11,100)&gt;2)+1),2)&amp;","&amp;TEXT(C2372," yyyy"))</f>
        <v>July 1st,2025</v>
      </c>
      <c r="AB2372" s="15" t="str">
        <f aca="true">IF(S2372="","",DATEDIF(S2372,TODAY(),"Y")&amp;" Tahun, "&amp;DATEDIF(S2372,TODAY(),"YM")&amp;" Bulan, "&amp;DATEDIF(S2372,TODAY(),"MD")&amp;" Hari")</f>
        <v>32 Tahun, 7 Bulan, 13 Hari</v>
      </c>
      <c r="AC2372" s="18" t="n">
        <v>45839</v>
      </c>
      <c r="AD2372" s="18" t="n">
        <v>45930</v>
      </c>
      <c r="AE2372" s="18" t="s">
        <v>44</v>
      </c>
    </row>
    <row r="2373" customFormat="false" ht="15" hidden="false" customHeight="true" outlineLevel="0" collapsed="false">
      <c r="A2373" s="12" t="n">
        <v>19983</v>
      </c>
      <c r="B2373" s="13" t="s">
        <v>10160</v>
      </c>
      <c r="C2373" s="16" t="n">
        <v>45839</v>
      </c>
      <c r="D2373" s="13" t="s">
        <v>885</v>
      </c>
      <c r="E2373" s="15" t="s">
        <v>33</v>
      </c>
      <c r="F2373" s="24" t="s">
        <v>10161</v>
      </c>
      <c r="G2373" s="13" t="s">
        <v>10162</v>
      </c>
      <c r="H2373" s="13" t="s">
        <v>35</v>
      </c>
      <c r="I2373" s="13" t="str">
        <f aca="false">IF(C2373=J2373,"NEW KONTRAK","RE-KONTRAK")</f>
        <v>NEW KONTRAK</v>
      </c>
      <c r="J2373" s="16" t="n">
        <f aca="false" t="array" ref="J2373:J2373">IFERROR(INDEX(AC2373:AE2373,IF(COUNTA(AC2373:AE2373)=0,"",MAX((AC2373:AE2373&lt;&gt;"")*(COLUMN(AC2373:AE2373)-(COLUMN(AC2373)))))-1),"")</f>
        <v>45839</v>
      </c>
      <c r="K2373" s="16" t="n">
        <f aca="false" t="array" ref="K2373:K2373">IFERROR(INDEX(AC2373:AE2373,IF(COUNTA(AC2373:AE2373)=0,"",MAX((AC2373:AE2373&lt;&gt;"")*(COLUMN(AC2373:AE2373)-(COLUMN(AC2373)-1))))-1),"")</f>
        <v>46022</v>
      </c>
      <c r="L2373" s="17" t="str">
        <f aca="false" t="array" ref="L2373:L2373">IFERROR(INDEX(AC2373:AE2373,IF(COUNTA(AC2373:AE2373)=0,"",MAX((AC2373:AE2373&lt;&gt;"")*(COLUMN(AC2373:AE2373)-(COLUMN(AC2373)-2))))-1),"")</f>
        <v>ARCHIVED</v>
      </c>
      <c r="M2373" s="13" t="n">
        <f aca="true">K2373-TODAY()</f>
        <v>-302</v>
      </c>
      <c r="N2373" s="18" t="s">
        <v>728</v>
      </c>
      <c r="O2373" s="13" t="s">
        <v>1453</v>
      </c>
      <c r="P2373" s="27" t="n">
        <v>132300</v>
      </c>
      <c r="Q2373" s="20" t="s">
        <v>10163</v>
      </c>
      <c r="R2373" s="13" t="s">
        <v>52</v>
      </c>
      <c r="S2373" s="16" t="n">
        <v>36775</v>
      </c>
      <c r="T2373" s="28" t="s">
        <v>40</v>
      </c>
      <c r="U2373" s="13" t="s">
        <v>10164</v>
      </c>
      <c r="V2373" s="13" t="s">
        <v>42</v>
      </c>
      <c r="W2373" s="13" t="s">
        <v>43</v>
      </c>
      <c r="X2373" s="21" t="n">
        <v>81211763484</v>
      </c>
      <c r="Y2373" s="22" t="str">
        <f aca="false">O2373</f>
        <v>Helper Produksi</v>
      </c>
      <c r="Z2373" s="13" t="str">
        <f aca="false">IFERROR(__xludf.dummyfunction("if(BJ2373="""","""",GOOGLETRANSLATE(BJ2373,""auto"",""en""))"),"Production Helper")</f>
        <v>Production Helper</v>
      </c>
      <c r="AA2373" s="23" t="str">
        <f aca="false">IF(C2373="","", CHOOSE(MONTH(C2373),"January","February","March","April","May","June","July","August","September","October","November","December")&amp;" "&amp;DAY(C2373)&amp;MID("thstndrdth",MIN(9,2*RIGHT(DAY(C2373))*(MOD(DAY(C2373)-11,100)&gt;2)+1),2)&amp;","&amp;TEXT(C2373," yyyy"))</f>
        <v>July 1st,2025</v>
      </c>
      <c r="AB2373" s="15" t="str">
        <f aca="true">IF(S2373="","",DATEDIF(S2373,TODAY(),"Y")&amp;" Tahun, "&amp;DATEDIF(S2373,TODAY(),"YM")&amp;" Bulan, "&amp;DATEDIF(S2373,TODAY(),"MD")&amp;" Hari")</f>
        <v>26 Tahun, 1 Bulan, 23 Hari</v>
      </c>
      <c r="AC2373" s="18" t="n">
        <v>45839</v>
      </c>
      <c r="AD2373" s="18" t="n">
        <v>46022</v>
      </c>
      <c r="AE2373" s="18" t="s">
        <v>44</v>
      </c>
    </row>
    <row r="2374" customFormat="false" ht="15" hidden="false" customHeight="true" outlineLevel="0" collapsed="false">
      <c r="A2374" s="12" t="n">
        <v>19984</v>
      </c>
      <c r="B2374" s="13" t="s">
        <v>10165</v>
      </c>
      <c r="C2374" s="16" t="n">
        <v>45834</v>
      </c>
      <c r="D2374" s="13" t="s">
        <v>5791</v>
      </c>
      <c r="E2374" s="15" t="s">
        <v>33</v>
      </c>
      <c r="F2374" s="24" t="s">
        <v>10166</v>
      </c>
      <c r="G2374" s="28" t="s">
        <v>57</v>
      </c>
      <c r="H2374" s="13" t="s">
        <v>35</v>
      </c>
      <c r="I2374" s="13" t="str">
        <f aca="false">IF(C2374=J2374,"NEW KONTRAK","RE-KONTRAK")</f>
        <v>NEW KONTRAK</v>
      </c>
      <c r="J2374" s="16" t="n">
        <f aca="false" t="array" ref="J2374:J2374">IFERROR(INDEX(AC2374:AE2374,IF(COUNTA(AC2374:AE2374)=0,"",MAX((AC2374:AE2374&lt;&gt;"")*(COLUMN(AC2374:AE2374)-(COLUMN(AC2374)))))-1),"")</f>
        <v>45834</v>
      </c>
      <c r="K2374" s="16" t="n">
        <f aca="false" t="array" ref="K2374:K2374">IFERROR(INDEX(AC2374:AE2374,IF(COUNTA(AC2374:AE2374)=0,"",MAX((AC2374:AE2374&lt;&gt;"")*(COLUMN(AC2374:AE2374)-(COLUMN(AC2374)-1))))-1),"")</f>
        <v>46016</v>
      </c>
      <c r="L2374" s="17" t="str">
        <f aca="false" t="array" ref="L2374:L2374">IFERROR(INDEX(AC2374:AE2374,IF(COUNTA(AC2374:AE2374)=0,"",MAX((AC2374:AE2374&lt;&gt;"")*(COLUMN(AC2374:AE2374)-(COLUMN(AC2374)-2))))-1),"")</f>
        <v>ARCHIVED</v>
      </c>
      <c r="M2374" s="13" t="n">
        <f aca="true">K2374-TODAY()</f>
        <v>-308</v>
      </c>
      <c r="N2374" s="18" t="s">
        <v>728</v>
      </c>
      <c r="O2374" s="13" t="s">
        <v>3271</v>
      </c>
      <c r="P2374" s="19" t="n">
        <v>125000</v>
      </c>
      <c r="Q2374" s="20" t="s">
        <v>10167</v>
      </c>
      <c r="R2374" s="13" t="s">
        <v>52</v>
      </c>
      <c r="S2374" s="16" t="n">
        <v>37064</v>
      </c>
      <c r="T2374" s="13" t="s">
        <v>40</v>
      </c>
      <c r="U2374" s="13" t="s">
        <v>10168</v>
      </c>
      <c r="V2374" s="13" t="s">
        <v>42</v>
      </c>
      <c r="W2374" s="13" t="s">
        <v>43</v>
      </c>
      <c r="X2374" s="21" t="n">
        <v>83176366019</v>
      </c>
      <c r="Y2374" s="22" t="str">
        <f aca="false">O2374</f>
        <v>Helper</v>
      </c>
      <c r="Z2374" s="13" t="str">
        <f aca="false">IFERROR(__xludf.dummyfunction("if(BJ2374="""","""",GOOGLETRANSLATE(BJ2374,""auto"",""en""))"),"Helper")</f>
        <v>Helper</v>
      </c>
      <c r="AA2374" s="23" t="str">
        <f aca="false">IF(C2374="","", CHOOSE(MONTH(C2374),"January","February","March","April","May","June","July","August","September","October","November","December")&amp;" "&amp;DAY(C2374)&amp;MID("thstndrdth",MIN(9,2*RIGHT(DAY(C2374))*(MOD(DAY(C2374)-11,100)&gt;2)+1),2)&amp;","&amp;TEXT(C2374," yyyy"))</f>
        <v>June 26th,2025</v>
      </c>
      <c r="AB2374" s="15" t="str">
        <f aca="true">IF(S2374="","",DATEDIF(S2374,TODAY(),"Y")&amp;" Tahun, "&amp;DATEDIF(S2374,TODAY(),"YM")&amp;" Bulan, "&amp;DATEDIF(S2374,TODAY(),"MD")&amp;" Hari")</f>
        <v>25 Tahun, 4 Bulan, 7 Hari</v>
      </c>
      <c r="AC2374" s="18" t="n">
        <v>45834</v>
      </c>
      <c r="AD2374" s="18" t="n">
        <v>46016</v>
      </c>
      <c r="AE2374" s="18" t="s">
        <v>44</v>
      </c>
    </row>
    <row r="2375" customFormat="false" ht="15" hidden="false" customHeight="true" outlineLevel="0" collapsed="false">
      <c r="A2375" s="12" t="n">
        <v>19986</v>
      </c>
      <c r="B2375" s="13" t="s">
        <v>10169</v>
      </c>
      <c r="C2375" s="16" t="n">
        <v>45839</v>
      </c>
      <c r="D2375" s="13" t="s">
        <v>10155</v>
      </c>
      <c r="E2375" s="15" t="s">
        <v>47</v>
      </c>
      <c r="F2375" s="15" t="str">
        <f aca="false">IFERROR(__xludf.dummyfunction("XLOOKUP(AJ2375,IMPORTRANGE(""1XaInW9DU9nz21V0tYIfzFQ0He9kVQ_JF2mCXgZ3hqFA"",""REKAP ALL 2026 - Andika!G:G""),IMPORTRANGE(""1XaInW9DU9nz21V0tYIfzFQ0He9kVQ_JF2mCXgZ3hqFA"",""REKAP ALL 2026 - Andika!F:F""),"""",0)"),"25099755594")</f>
        <v>25099755594</v>
      </c>
      <c r="G2375" s="13" t="s">
        <v>10170</v>
      </c>
      <c r="H2375" s="13" t="s">
        <v>35</v>
      </c>
      <c r="I2375" s="13" t="str">
        <f aca="false">IF(C2375=J2375,"NEW KONTRAK","RE-KONTRAK")</f>
        <v>NEW KONTRAK</v>
      </c>
      <c r="J2375" s="16" t="n">
        <f aca="false" t="array" ref="J2375:J2375">IFERROR(INDEX(AC2375:AE2375,IF(COUNTA(AC2375:AE2375)=0,"",MAX((AC2375:AE2375&lt;&gt;"")*(COLUMN(AC2375:AE2375)-(COLUMN(AC2375)))))-1),"")</f>
        <v>45839</v>
      </c>
      <c r="K2375" s="16" t="n">
        <f aca="false" t="array" ref="K2375:K2375">IFERROR(INDEX(AC2375:AE2375,IF(COUNTA(AC2375:AE2375)=0,"",MAX((AC2375:AE2375&lt;&gt;"")*(COLUMN(AC2375:AE2375)-(COLUMN(AC2375)-1))))-1),"")</f>
        <v>45930</v>
      </c>
      <c r="L2375" s="17" t="str">
        <f aca="false" t="array" ref="L2375:L2375">IFERROR(INDEX(AC2375:AE2375,IF(COUNTA(AC2375:AE2375)=0,"",MAX((AC2375:AE2375&lt;&gt;"")*(COLUMN(AC2375:AE2375)-(COLUMN(AC2375)-2))))-1),"")</f>
        <v>ARCHIVED</v>
      </c>
      <c r="M2375" s="13" t="n">
        <f aca="true">K2375-TODAY()</f>
        <v>-394</v>
      </c>
      <c r="N2375" s="18" t="s">
        <v>36</v>
      </c>
      <c r="O2375" s="13" t="s">
        <v>10171</v>
      </c>
      <c r="P2375" s="27" t="n">
        <v>5195401</v>
      </c>
      <c r="Q2375" s="20" t="s">
        <v>10172</v>
      </c>
      <c r="R2375" s="13" t="s">
        <v>65</v>
      </c>
      <c r="S2375" s="16" t="n">
        <v>32954</v>
      </c>
      <c r="T2375" s="13" t="s">
        <v>40</v>
      </c>
      <c r="U2375" s="13" t="s">
        <v>10173</v>
      </c>
      <c r="V2375" s="13" t="s">
        <v>42</v>
      </c>
      <c r="W2375" s="13" t="s">
        <v>43</v>
      </c>
      <c r="X2375" s="21" t="n">
        <v>85707003022</v>
      </c>
      <c r="Y2375" s="22" t="str">
        <f aca="false">O2375</f>
        <v>GA - General Clerk</v>
      </c>
      <c r="Z2375" s="13" t="str">
        <f aca="false">IFERROR(__xludf.dummyfunction("if(BJ2375="""","""",GOOGLETRANSLATE(BJ2375,""auto"",""en""))"),"GA - General Clerk")</f>
        <v>GA - General Clerk</v>
      </c>
      <c r="AA2375" s="23" t="str">
        <f aca="false">IF(C2375="","", CHOOSE(MONTH(C2375),"January","February","March","April","May","June","July","August","September","October","November","December")&amp;" "&amp;DAY(C2375)&amp;MID("thstndrdth",MIN(9,2*RIGHT(DAY(C2375))*(MOD(DAY(C2375)-11,100)&gt;2)+1),2)&amp;","&amp;TEXT(C2375," yyyy"))</f>
        <v>July 1st,2025</v>
      </c>
      <c r="AB2375" s="15" t="str">
        <f aca="true">IF(S2375="","",DATEDIF(S2375,TODAY(),"Y")&amp;" Tahun, "&amp;DATEDIF(S2375,TODAY(),"YM")&amp;" Bulan, "&amp;DATEDIF(S2375,TODAY(),"MD")&amp;" Hari")</f>
        <v>36 Tahun, 7 Bulan, 7 Hari</v>
      </c>
      <c r="AC2375" s="18" t="n">
        <v>45839</v>
      </c>
      <c r="AD2375" s="18" t="n">
        <v>45930</v>
      </c>
      <c r="AE2375" s="18" t="s">
        <v>44</v>
      </c>
    </row>
    <row r="2376" customFormat="false" ht="15" hidden="false" customHeight="true" outlineLevel="0" collapsed="false">
      <c r="A2376" s="12" t="n">
        <v>19987</v>
      </c>
      <c r="B2376" s="13" t="s">
        <v>10174</v>
      </c>
      <c r="C2376" s="16" t="n">
        <v>45839</v>
      </c>
      <c r="D2376" s="13" t="s">
        <v>10155</v>
      </c>
      <c r="E2376" s="15" t="s">
        <v>47</v>
      </c>
      <c r="F2376" s="15" t="str">
        <f aca="false">IFERROR(__xludf.dummyfunction("XLOOKUP(AJ2376,IMPORTRANGE(""1XaInW9DU9nz21V0tYIfzFQ0He9kVQ_JF2mCXgZ3hqFA"",""REKAP ALL 2026 - Andika!G:G""),IMPORTRANGE(""1XaInW9DU9nz21V0tYIfzFQ0He9kVQ_JF2mCXgZ3hqFA"",""REKAP ALL 2026 - Andika!F:F""),"""",0)"),"25099755602")</f>
        <v>25099755602</v>
      </c>
      <c r="G2376" s="13" t="s">
        <v>10175</v>
      </c>
      <c r="H2376" s="13" t="s">
        <v>35</v>
      </c>
      <c r="I2376" s="13" t="str">
        <f aca="false">IF(C2376=J2376,"NEW KONTRAK","RE-KONTRAK")</f>
        <v>NEW KONTRAK</v>
      </c>
      <c r="J2376" s="16" t="n">
        <f aca="false" t="array" ref="J2376:J2376">IFERROR(INDEX(AC2376:AE2376,IF(COUNTA(AC2376:AE2376)=0,"",MAX((AC2376:AE2376&lt;&gt;"")*(COLUMN(AC2376:AE2376)-(COLUMN(AC2376)))))-1),"")</f>
        <v>45839</v>
      </c>
      <c r="K2376" s="16" t="n">
        <f aca="false" t="array" ref="K2376:K2376">IFERROR(INDEX(AC2376:AE2376,IF(COUNTA(AC2376:AE2376)=0,"",MAX((AC2376:AE2376&lt;&gt;"")*(COLUMN(AC2376:AE2376)-(COLUMN(AC2376)-1))))-1),"")</f>
        <v>45930</v>
      </c>
      <c r="L2376" s="17" t="str">
        <f aca="false" t="array" ref="L2376:L2376">IFERROR(INDEX(AC2376:AE2376,IF(COUNTA(AC2376:AE2376)=0,"",MAX((AC2376:AE2376&lt;&gt;"")*(COLUMN(AC2376:AE2376)-(COLUMN(AC2376)-2))))-1),"")</f>
        <v>ARCHIVED</v>
      </c>
      <c r="M2376" s="13" t="n">
        <f aca="true">K2376-TODAY()</f>
        <v>-394</v>
      </c>
      <c r="N2376" s="18" t="s">
        <v>36</v>
      </c>
      <c r="O2376" s="13" t="s">
        <v>10176</v>
      </c>
      <c r="P2376" s="27" t="n">
        <v>5195401</v>
      </c>
      <c r="Q2376" s="20" t="s">
        <v>10177</v>
      </c>
      <c r="R2376" s="13" t="s">
        <v>65</v>
      </c>
      <c r="S2376" s="16" t="n">
        <v>36893</v>
      </c>
      <c r="T2376" s="13" t="s">
        <v>40</v>
      </c>
      <c r="U2376" s="13" t="s">
        <v>8943</v>
      </c>
      <c r="V2376" s="13" t="s">
        <v>42</v>
      </c>
      <c r="W2376" s="13" t="s">
        <v>43</v>
      </c>
      <c r="X2376" s="21" t="n">
        <v>895366827582</v>
      </c>
      <c r="Y2376" s="22" t="str">
        <f aca="false">O2376</f>
        <v>LS P2 &amp; P5 - PPC</v>
      </c>
      <c r="Z2376" s="13" t="str">
        <f aca="false">IFERROR(__xludf.dummyfunction("if(BJ2376="""","""",GOOGLETRANSLATE(BJ2376,""auto"",""en""))"),"LS P2 &amp; P5 - PPC")</f>
        <v>LS P2 &amp; P5 - PPC</v>
      </c>
      <c r="AA2376" s="23" t="str">
        <f aca="false">IF(C2376="","", CHOOSE(MONTH(C2376),"January","February","March","April","May","June","July","August","September","October","November","December")&amp;" "&amp;DAY(C2376)&amp;MID("thstndrdth",MIN(9,2*RIGHT(DAY(C2376))*(MOD(DAY(C2376)-11,100)&gt;2)+1),2)&amp;","&amp;TEXT(C2376," yyyy"))</f>
        <v>July 1st,2025</v>
      </c>
      <c r="AB2376" s="15" t="str">
        <f aca="true">IF(S2376="","",DATEDIF(S2376,TODAY(),"Y")&amp;" Tahun, "&amp;DATEDIF(S2376,TODAY(),"YM")&amp;" Bulan, "&amp;DATEDIF(S2376,TODAY(),"MD")&amp;" Hari")</f>
        <v>25 Tahun, 9 Bulan, 27 Hari</v>
      </c>
      <c r="AC2376" s="18" t="n">
        <v>45839</v>
      </c>
      <c r="AD2376" s="18" t="n">
        <v>45930</v>
      </c>
      <c r="AE2376" s="18" t="s">
        <v>44</v>
      </c>
    </row>
    <row r="2377" customFormat="false" ht="15" hidden="false" customHeight="true" outlineLevel="0" collapsed="false">
      <c r="A2377" s="12" t="n">
        <v>19988</v>
      </c>
      <c r="B2377" s="13" t="s">
        <v>10178</v>
      </c>
      <c r="C2377" s="16" t="n">
        <v>45839</v>
      </c>
      <c r="D2377" s="13" t="s">
        <v>10155</v>
      </c>
      <c r="E2377" s="15" t="s">
        <v>47</v>
      </c>
      <c r="F2377" s="15" t="str">
        <f aca="false">IFERROR(__xludf.dummyfunction("XLOOKUP(AJ2377,IMPORTRANGE(""1XaInW9DU9nz21V0tYIfzFQ0He9kVQ_JF2mCXgZ3hqFA"",""REKAP ALL 2026 - Andika!G:G""),IMPORTRANGE(""1XaInW9DU9nz21V0tYIfzFQ0He9kVQ_JF2mCXgZ3hqFA"",""REKAP ALL 2026 - Andika!F:F""),"""",0)"),"25099755610")</f>
        <v>25099755610</v>
      </c>
      <c r="G2377" s="13" t="s">
        <v>10179</v>
      </c>
      <c r="H2377" s="13" t="s">
        <v>35</v>
      </c>
      <c r="I2377" s="13" t="str">
        <f aca="false">IF(C2377=J2377,"NEW KONTRAK","RE-KONTRAK")</f>
        <v>NEW KONTRAK</v>
      </c>
      <c r="J2377" s="16" t="n">
        <f aca="false" t="array" ref="J2377:J2377">IFERROR(INDEX(AC2377:AE2377,IF(COUNTA(AC2377:AE2377)=0,"",MAX((AC2377:AE2377&lt;&gt;"")*(COLUMN(AC2377:AE2377)-(COLUMN(AC2377)))))-1),"")</f>
        <v>45839</v>
      </c>
      <c r="K2377" s="16" t="n">
        <f aca="false" t="array" ref="K2377:K2377">IFERROR(INDEX(AC2377:AE2377,IF(COUNTA(AC2377:AE2377)=0,"",MAX((AC2377:AE2377&lt;&gt;"")*(COLUMN(AC2377:AE2377)-(COLUMN(AC2377)-1))))-1),"")</f>
        <v>45930</v>
      </c>
      <c r="L2377" s="17" t="str">
        <f aca="false" t="array" ref="L2377:L2377">IFERROR(INDEX(AC2377:AE2377,IF(COUNTA(AC2377:AE2377)=0,"",MAX((AC2377:AE2377&lt;&gt;"")*(COLUMN(AC2377:AE2377)-(COLUMN(AC2377)-2))))-1),"")</f>
        <v>ARCHIVED</v>
      </c>
      <c r="M2377" s="13" t="n">
        <f aca="true">K2377-TODAY()</f>
        <v>-394</v>
      </c>
      <c r="N2377" s="18" t="s">
        <v>36</v>
      </c>
      <c r="O2377" s="13" t="s">
        <v>10180</v>
      </c>
      <c r="P2377" s="27" t="n">
        <v>5195401</v>
      </c>
      <c r="Q2377" s="20" t="s">
        <v>10181</v>
      </c>
      <c r="R2377" s="13" t="s">
        <v>83</v>
      </c>
      <c r="S2377" s="16" t="n">
        <v>37045</v>
      </c>
      <c r="T2377" s="13" t="s">
        <v>40</v>
      </c>
      <c r="U2377" s="13" t="s">
        <v>10182</v>
      </c>
      <c r="V2377" s="13" t="s">
        <v>42</v>
      </c>
      <c r="W2377" s="13" t="s">
        <v>43</v>
      </c>
      <c r="X2377" s="21" t="n">
        <v>83848160817</v>
      </c>
      <c r="Y2377" s="22" t="str">
        <f aca="false">O2377</f>
        <v>LS P1 - PPC</v>
      </c>
      <c r="Z2377" s="13" t="str">
        <f aca="false">IFERROR(__xludf.dummyfunction("if(BJ2377="""","""",GOOGLETRANSLATE(BJ2377,""auto"",""en""))"),"LS P1 - PPC")</f>
        <v>LS P1 - PPC</v>
      </c>
      <c r="AA2377" s="23" t="str">
        <f aca="false">IF(C2377="","", CHOOSE(MONTH(C2377),"January","February","March","April","May","June","July","August","September","October","November","December")&amp;" "&amp;DAY(C2377)&amp;MID("thstndrdth",MIN(9,2*RIGHT(DAY(C2377))*(MOD(DAY(C2377)-11,100)&gt;2)+1),2)&amp;","&amp;TEXT(C2377," yyyy"))</f>
        <v>July 1st,2025</v>
      </c>
      <c r="AB2377" s="15" t="str">
        <f aca="true">IF(S2377="","",DATEDIF(S2377,TODAY(),"Y")&amp;" Tahun, "&amp;DATEDIF(S2377,TODAY(),"YM")&amp;" Bulan, "&amp;DATEDIF(S2377,TODAY(),"MD")&amp;" Hari")</f>
        <v>25 Tahun, 4 Bulan, 26 Hari</v>
      </c>
      <c r="AC2377" s="18" t="n">
        <v>45839</v>
      </c>
      <c r="AD2377" s="18" t="n">
        <v>45930</v>
      </c>
      <c r="AE2377" s="18" t="s">
        <v>44</v>
      </c>
    </row>
    <row r="2378" customFormat="false" ht="15" hidden="false" customHeight="true" outlineLevel="0" collapsed="false">
      <c r="A2378" s="12" t="n">
        <v>19990</v>
      </c>
      <c r="B2378" s="13" t="s">
        <v>10183</v>
      </c>
      <c r="C2378" s="16" t="n">
        <v>45839</v>
      </c>
      <c r="D2378" s="13" t="s">
        <v>10155</v>
      </c>
      <c r="E2378" s="15" t="s">
        <v>47</v>
      </c>
      <c r="F2378" s="15" t="str">
        <f aca="false">IFERROR(__xludf.dummyfunction("XLOOKUP(AJ2378,IMPORTRANGE(""1XaInW9DU9nz21V0tYIfzFQ0He9kVQ_JF2mCXgZ3hqFA"",""REKAP ALL 2026 - Andika!G:G""),IMPORTRANGE(""1XaInW9DU9nz21V0tYIfzFQ0He9kVQ_JF2mCXgZ3hqFA"",""REKAP ALL 2026 - Andika!F:F""),"""",0)"),"25099755636")</f>
        <v>25099755636</v>
      </c>
      <c r="G2378" s="13" t="s">
        <v>10184</v>
      </c>
      <c r="H2378" s="13" t="s">
        <v>35</v>
      </c>
      <c r="I2378" s="13" t="str">
        <f aca="false">IF(C2378=J2378,"NEW KONTRAK","RE-KONTRAK")</f>
        <v>NEW KONTRAK</v>
      </c>
      <c r="J2378" s="16" t="n">
        <f aca="false" t="array" ref="J2378:J2378">IFERROR(INDEX(AC2378:AE2378,IF(COUNTA(AC2378:AE2378)=0,"",MAX((AC2378:AE2378&lt;&gt;"")*(COLUMN(AC2378:AE2378)-(COLUMN(AC2378)))))-1),"")</f>
        <v>45839</v>
      </c>
      <c r="K2378" s="16" t="n">
        <f aca="false" t="array" ref="K2378:K2378">IFERROR(INDEX(AC2378:AE2378,IF(COUNTA(AC2378:AE2378)=0,"",MAX((AC2378:AE2378&lt;&gt;"")*(COLUMN(AC2378:AE2378)-(COLUMN(AC2378)-1))))-1),"")</f>
        <v>45930</v>
      </c>
      <c r="L2378" s="17" t="str">
        <f aca="false" t="array" ref="L2378:L2378">IFERROR(INDEX(AC2378:AE2378,IF(COUNTA(AC2378:AE2378)=0,"",MAX((AC2378:AE2378&lt;&gt;"")*(COLUMN(AC2378:AE2378)-(COLUMN(AC2378)-2))))-1),"")</f>
        <v>ARCHIVED</v>
      </c>
      <c r="M2378" s="13" t="n">
        <f aca="true">K2378-TODAY()</f>
        <v>-394</v>
      </c>
      <c r="N2378" s="18" t="s">
        <v>36</v>
      </c>
      <c r="O2378" s="13" t="s">
        <v>10185</v>
      </c>
      <c r="P2378" s="27" t="n">
        <v>5195401</v>
      </c>
      <c r="Q2378" s="20" t="s">
        <v>10186</v>
      </c>
      <c r="R2378" s="13" t="s">
        <v>1308</v>
      </c>
      <c r="S2378" s="16" t="n">
        <v>37818</v>
      </c>
      <c r="T2378" s="13" t="s">
        <v>108</v>
      </c>
      <c r="U2378" s="13" t="s">
        <v>10187</v>
      </c>
      <c r="V2378" s="13" t="s">
        <v>42</v>
      </c>
      <c r="W2378" s="13" t="s">
        <v>43</v>
      </c>
      <c r="X2378" s="21" t="n">
        <v>83863408248</v>
      </c>
      <c r="Y2378" s="22" t="str">
        <f aca="false">O2378</f>
        <v>Applied Technology</v>
      </c>
      <c r="Z2378" s="13" t="str">
        <f aca="false">IFERROR(__xludf.dummyfunction("if(BJ2378="""","""",GOOGLETRANSLATE(BJ2378,""auto"",""en""))"),"Applied Technology")</f>
        <v>Applied Technology</v>
      </c>
      <c r="AA2378" s="23" t="str">
        <f aca="false">IF(C2378="","", CHOOSE(MONTH(C2378),"January","February","March","April","May","June","July","August","September","October","November","December")&amp;" "&amp;DAY(C2378)&amp;MID("thstndrdth",MIN(9,2*RIGHT(DAY(C2378))*(MOD(DAY(C2378)-11,100)&gt;2)+1),2)&amp;","&amp;TEXT(C2378," yyyy"))</f>
        <v>July 1st,2025</v>
      </c>
      <c r="AB2378" s="15" t="str">
        <f aca="true">IF(S2378="","",DATEDIF(S2378,TODAY(),"Y")&amp;" Tahun, "&amp;DATEDIF(S2378,TODAY(),"YM")&amp;" Bulan, "&amp;DATEDIF(S2378,TODAY(),"MD")&amp;" Hari")</f>
        <v>23 Tahun, 3 Bulan, 13 Hari</v>
      </c>
      <c r="AC2378" s="18" t="n">
        <v>45839</v>
      </c>
      <c r="AD2378" s="18" t="n">
        <v>45930</v>
      </c>
      <c r="AE2378" s="18" t="s">
        <v>44</v>
      </c>
    </row>
    <row r="2379" customFormat="false" ht="15" hidden="false" customHeight="true" outlineLevel="0" collapsed="false">
      <c r="A2379" s="12" t="n">
        <v>19989</v>
      </c>
      <c r="B2379" s="13" t="s">
        <v>10188</v>
      </c>
      <c r="C2379" s="16" t="n">
        <v>45839</v>
      </c>
      <c r="D2379" s="13" t="s">
        <v>10155</v>
      </c>
      <c r="E2379" s="15" t="s">
        <v>102</v>
      </c>
      <c r="F2379" s="24" t="s">
        <v>10189</v>
      </c>
      <c r="G2379" s="13" t="s">
        <v>10190</v>
      </c>
      <c r="H2379" s="13" t="s">
        <v>35</v>
      </c>
      <c r="I2379" s="13" t="str">
        <f aca="false">IF(C2379=J2379,"NEW KONTRAK","RE-KONTRAK")</f>
        <v>NEW KONTRAK</v>
      </c>
      <c r="J2379" s="16" t="n">
        <f aca="false" t="array" ref="J2379:J2379">IFERROR(INDEX(AC2379:AE2379,IF(COUNTA(AC2379:AE2379)=0,"",MAX((AC2379:AE2379&lt;&gt;"")*(COLUMN(AC2379:AE2379)-(COLUMN(AC2379)))))-1),"")</f>
        <v>45839</v>
      </c>
      <c r="K2379" s="16" t="n">
        <f aca="false" t="array" ref="K2379:K2379">IFERROR(INDEX(AC2379:AE2379,IF(COUNTA(AC2379:AE2379)=0,"",MAX((AC2379:AE2379&lt;&gt;"")*(COLUMN(AC2379:AE2379)-(COLUMN(AC2379)-1))))-1),"")</f>
        <v>45930</v>
      </c>
      <c r="L2379" s="17" t="str">
        <f aca="false" t="array" ref="L2379:L2379">IFERROR(INDEX(AC2379:AE2379,IF(COUNTA(AC2379:AE2379)=0,"",MAX((AC2379:AE2379&lt;&gt;"")*(COLUMN(AC2379:AE2379)-(COLUMN(AC2379)-2))))-1),"")</f>
        <v>ARCHIVED</v>
      </c>
      <c r="M2379" s="13" t="n">
        <f aca="true">K2379-TODAY()</f>
        <v>-394</v>
      </c>
      <c r="N2379" s="18" t="s">
        <v>36</v>
      </c>
      <c r="O2379" s="13" t="s">
        <v>10191</v>
      </c>
      <c r="P2379" s="27" t="n">
        <v>5195401</v>
      </c>
      <c r="Q2379" s="20" t="s">
        <v>10192</v>
      </c>
      <c r="R2379" s="13" t="s">
        <v>735</v>
      </c>
      <c r="S2379" s="16" t="n">
        <v>37044</v>
      </c>
      <c r="T2379" s="13" t="s">
        <v>40</v>
      </c>
      <c r="U2379" s="13" t="s">
        <v>10193</v>
      </c>
      <c r="V2379" s="13" t="s">
        <v>42</v>
      </c>
      <c r="W2379" s="13" t="s">
        <v>43</v>
      </c>
      <c r="X2379" s="21" t="n">
        <v>82245806779</v>
      </c>
      <c r="Y2379" s="22" t="str">
        <f aca="false">O2379</f>
        <v>LS P1 - QC &amp; Incoming</v>
      </c>
      <c r="Z2379" s="13" t="str">
        <f aca="false">IFERROR(__xludf.dummyfunction("if(BJ2379="""","""",GOOGLETRANSLATE(BJ2379,""auto"",""en""))"),"LS P1 - QC &amp; Incoming")</f>
        <v>LS P1 - QC &amp; Incoming</v>
      </c>
      <c r="AA2379" s="23" t="str">
        <f aca="false">IF(C2379="","", CHOOSE(MONTH(C2379),"January","February","March","April","May","June","July","August","September","October","November","December")&amp;" "&amp;DAY(C2379)&amp;MID("thstndrdth",MIN(9,2*RIGHT(DAY(C2379))*(MOD(DAY(C2379)-11,100)&gt;2)+1),2)&amp;","&amp;TEXT(C2379," yyyy"))</f>
        <v>July 1st,2025</v>
      </c>
      <c r="AB2379" s="15" t="str">
        <f aca="true">IF(S2379="","",DATEDIF(S2379,TODAY(),"Y")&amp;" Tahun, "&amp;DATEDIF(S2379,TODAY(),"YM")&amp;" Bulan, "&amp;DATEDIF(S2379,TODAY(),"MD")&amp;" Hari")</f>
        <v>25 Tahun, 4 Bulan, 27 Hari</v>
      </c>
      <c r="AC2379" s="18" t="n">
        <v>45839</v>
      </c>
      <c r="AD2379" s="18" t="n">
        <v>45930</v>
      </c>
      <c r="AE2379" s="18" t="s">
        <v>44</v>
      </c>
    </row>
    <row r="2380" customFormat="false" ht="15" hidden="false" customHeight="true" outlineLevel="0" collapsed="false">
      <c r="A2380" s="12" t="n">
        <v>19991</v>
      </c>
      <c r="B2380" s="13" t="s">
        <v>10194</v>
      </c>
      <c r="C2380" s="16" t="n">
        <v>45839</v>
      </c>
      <c r="D2380" s="13" t="s">
        <v>10155</v>
      </c>
      <c r="E2380" s="15" t="s">
        <v>47</v>
      </c>
      <c r="F2380" s="15" t="str">
        <f aca="false">IFERROR(__xludf.dummyfunction("XLOOKUP(AJ2380,IMPORTRANGE(""1XaInW9DU9nz21V0tYIfzFQ0He9kVQ_JF2mCXgZ3hqFA"",""REKAP ALL 2026 - Andika!G:G""),IMPORTRANGE(""1XaInW9DU9nz21V0tYIfzFQ0He9kVQ_JF2mCXgZ3hqFA"",""REKAP ALL 2026 - Andika!F:F""),"""",0)"),"24058109810")</f>
        <v>24058109810</v>
      </c>
      <c r="G2380" s="13" t="s">
        <v>10195</v>
      </c>
      <c r="H2380" s="13" t="s">
        <v>35</v>
      </c>
      <c r="I2380" s="13" t="str">
        <f aca="false">IF(C2380=J2380,"NEW KONTRAK","RE-KONTRAK")</f>
        <v>NEW KONTRAK</v>
      </c>
      <c r="J2380" s="16" t="n">
        <f aca="false" t="array" ref="J2380:J2380">IFERROR(INDEX(AC2380:AE2380,IF(COUNTA(AC2380:AE2380)=0,"",MAX((AC2380:AE2380&lt;&gt;"")*(COLUMN(AC2380:AE2380)-(COLUMN(AC2380)))))-1),"")</f>
        <v>45839</v>
      </c>
      <c r="K2380" s="16" t="n">
        <f aca="false" t="array" ref="K2380:K2380">IFERROR(INDEX(AC2380:AE2380,IF(COUNTA(AC2380:AE2380)=0,"",MAX((AC2380:AE2380&lt;&gt;"")*(COLUMN(AC2380:AE2380)-(COLUMN(AC2380)-1))))-1),"")</f>
        <v>45930</v>
      </c>
      <c r="L2380" s="17" t="str">
        <f aca="false" t="array" ref="L2380:L2380">IFERROR(INDEX(AC2380:AE2380,IF(COUNTA(AC2380:AE2380)=0,"",MAX((AC2380:AE2380&lt;&gt;"")*(COLUMN(AC2380:AE2380)-(COLUMN(AC2380)-2))))-1),"")</f>
        <v>ARCHIVED</v>
      </c>
      <c r="M2380" s="13" t="n">
        <f aca="true">K2380-TODAY()</f>
        <v>-394</v>
      </c>
      <c r="N2380" s="18" t="s">
        <v>36</v>
      </c>
      <c r="O2380" s="13" t="s">
        <v>10191</v>
      </c>
      <c r="P2380" s="27" t="n">
        <v>5195401</v>
      </c>
      <c r="Q2380" s="20" t="s">
        <v>10196</v>
      </c>
      <c r="R2380" s="13" t="s">
        <v>246</v>
      </c>
      <c r="S2380" s="16" t="n">
        <v>36891</v>
      </c>
      <c r="T2380" s="13" t="s">
        <v>108</v>
      </c>
      <c r="U2380" s="13" t="s">
        <v>10197</v>
      </c>
      <c r="V2380" s="13" t="s">
        <v>42</v>
      </c>
      <c r="W2380" s="13" t="s">
        <v>43</v>
      </c>
      <c r="X2380" s="21" t="n">
        <v>87863426501</v>
      </c>
      <c r="Y2380" s="22" t="str">
        <f aca="false">O2380</f>
        <v>LS P1 - QC &amp; Incoming</v>
      </c>
      <c r="Z2380" s="13" t="str">
        <f aca="false">IFERROR(__xludf.dummyfunction("if(BJ2380="""","""",GOOGLETRANSLATE(BJ2380,""auto"",""en""))"),"LS P1 - QC &amp; Incoming")</f>
        <v>LS P1 - QC &amp; Incoming</v>
      </c>
      <c r="AA2380" s="23" t="str">
        <f aca="false">IF(C2380="","", CHOOSE(MONTH(C2380),"January","February","March","April","May","June","July","August","September","October","November","December")&amp;" "&amp;DAY(C2380)&amp;MID("thstndrdth",MIN(9,2*RIGHT(DAY(C2380))*(MOD(DAY(C2380)-11,100)&gt;2)+1),2)&amp;","&amp;TEXT(C2380," yyyy"))</f>
        <v>July 1st,2025</v>
      </c>
      <c r="AB2380" s="15" t="str">
        <f aca="true">IF(S2380="","",DATEDIF(S2380,TODAY(),"Y")&amp;" Tahun, "&amp;DATEDIF(S2380,TODAY(),"YM")&amp;" Bulan, "&amp;DATEDIF(S2380,TODAY(),"MD")&amp;" Hari")</f>
        <v>25 Tahun, 9 Bulan, 28 Hari</v>
      </c>
      <c r="AC2380" s="18" t="n">
        <v>45839</v>
      </c>
      <c r="AD2380" s="18" t="n">
        <v>45930</v>
      </c>
      <c r="AE2380" s="18" t="s">
        <v>44</v>
      </c>
    </row>
    <row r="2381" customFormat="false" ht="15" hidden="false" customHeight="true" outlineLevel="0" collapsed="false">
      <c r="A2381" s="12" t="n">
        <v>19993</v>
      </c>
      <c r="B2381" s="13" t="s">
        <v>10198</v>
      </c>
      <c r="C2381" s="16" t="n">
        <v>45839</v>
      </c>
      <c r="D2381" s="13" t="s">
        <v>10155</v>
      </c>
      <c r="E2381" s="15" t="s">
        <v>47</v>
      </c>
      <c r="F2381" s="15" t="str">
        <f aca="false">IFERROR(__xludf.dummyfunction("XLOOKUP(AJ2381,IMPORTRANGE(""1XaInW9DU9nz21V0tYIfzFQ0He9kVQ_JF2mCXgZ3hqFA"",""REKAP ALL 2026 - Andika!G:G""),IMPORTRANGE(""1XaInW9DU9nz21V0tYIfzFQ0He9kVQ_JF2mCXgZ3hqFA"",""REKAP ALL 2026 - Andika!F:F""),"""",0)"),"25099755669")</f>
        <v>25099755669</v>
      </c>
      <c r="G2381" s="13" t="s">
        <v>10199</v>
      </c>
      <c r="H2381" s="13" t="s">
        <v>35</v>
      </c>
      <c r="I2381" s="13" t="str">
        <f aca="false">IF(C2381=J2381,"NEW KONTRAK","RE-KONTRAK")</f>
        <v>NEW KONTRAK</v>
      </c>
      <c r="J2381" s="16" t="n">
        <f aca="false" t="array" ref="J2381:J2381">IFERROR(INDEX(AC2381:AE2381,IF(COUNTA(AC2381:AE2381)=0,"",MAX((AC2381:AE2381&lt;&gt;"")*(COLUMN(AC2381:AE2381)-(COLUMN(AC2381)))))-1),"")</f>
        <v>45839</v>
      </c>
      <c r="K2381" s="16" t="n">
        <f aca="false" t="array" ref="K2381:K2381">IFERROR(INDEX(AC2381:AE2381,IF(COUNTA(AC2381:AE2381)=0,"",MAX((AC2381:AE2381&lt;&gt;"")*(COLUMN(AC2381:AE2381)-(COLUMN(AC2381)-1))))-1),"")</f>
        <v>45930</v>
      </c>
      <c r="L2381" s="17" t="str">
        <f aca="false" t="array" ref="L2381:L2381">IFERROR(INDEX(AC2381:AE2381,IF(COUNTA(AC2381:AE2381)=0,"",MAX((AC2381:AE2381&lt;&gt;"")*(COLUMN(AC2381:AE2381)-(COLUMN(AC2381)-2))))-1),"")</f>
        <v>ARCHIVED</v>
      </c>
      <c r="M2381" s="13" t="n">
        <f aca="true">K2381-TODAY()</f>
        <v>-394</v>
      </c>
      <c r="N2381" s="18" t="s">
        <v>36</v>
      </c>
      <c r="O2381" s="13" t="s">
        <v>10200</v>
      </c>
      <c r="P2381" s="27" t="n">
        <v>5195401</v>
      </c>
      <c r="Q2381" s="20" t="s">
        <v>10201</v>
      </c>
      <c r="R2381" s="13" t="s">
        <v>65</v>
      </c>
      <c r="S2381" s="16" t="n">
        <v>36478</v>
      </c>
      <c r="T2381" s="13" t="s">
        <v>108</v>
      </c>
      <c r="U2381" s="13" t="s">
        <v>10202</v>
      </c>
      <c r="V2381" s="13" t="s">
        <v>42</v>
      </c>
      <c r="W2381" s="13" t="s">
        <v>43</v>
      </c>
      <c r="X2381" s="21" t="n">
        <v>895631031514</v>
      </c>
      <c r="Y2381" s="22" t="str">
        <f aca="false">O2381</f>
        <v>Cold CS P1 Production Admin</v>
      </c>
      <c r="Z2381" s="13" t="str">
        <f aca="false">IFERROR(__xludf.dummyfunction("if(BJ2381="""","""",GOOGLETRANSLATE(BJ2381,""auto"",""en""))"),"Cold CS P1 Production Admin")</f>
        <v>Cold CS P1 Production Admin</v>
      </c>
      <c r="AA2381" s="23" t="str">
        <f aca="false">IF(C2381="","", CHOOSE(MONTH(C2381),"January","February","March","April","May","June","July","August","September","October","November","December")&amp;" "&amp;DAY(C2381)&amp;MID("thstndrdth",MIN(9,2*RIGHT(DAY(C2381))*(MOD(DAY(C2381)-11,100)&gt;2)+1),2)&amp;","&amp;TEXT(C2381," yyyy"))</f>
        <v>July 1st,2025</v>
      </c>
      <c r="AB2381" s="15" t="str">
        <f aca="true">IF(S2381="","",DATEDIF(S2381,TODAY(),"Y")&amp;" Tahun, "&amp;DATEDIF(S2381,TODAY(),"YM")&amp;" Bulan, "&amp;DATEDIF(S2381,TODAY(),"MD")&amp;" Hari")</f>
        <v>26 Tahun, 11 Bulan, 15 Hari</v>
      </c>
      <c r="AC2381" s="18" t="n">
        <v>45839</v>
      </c>
      <c r="AD2381" s="18" t="n">
        <v>45930</v>
      </c>
      <c r="AE2381" s="18" t="s">
        <v>44</v>
      </c>
    </row>
    <row r="2382" customFormat="false" ht="15" hidden="false" customHeight="true" outlineLevel="0" collapsed="false">
      <c r="A2382" s="12" t="n">
        <v>19992</v>
      </c>
      <c r="B2382" s="13" t="s">
        <v>10203</v>
      </c>
      <c r="C2382" s="16" t="n">
        <v>45839</v>
      </c>
      <c r="D2382" s="13" t="s">
        <v>10155</v>
      </c>
      <c r="E2382" s="15" t="s">
        <v>789</v>
      </c>
      <c r="F2382" s="15" t="str">
        <f aca="false">IFERROR(__xludf.dummyfunction("XLOOKUP(AJ2382,IMPORTRANGE(""1XaInW9DU9nz21V0tYIfzFQ0He9kVQ_JF2mCXgZ3hqFA"",""REKAP ALL 2026 - Andika!G:G""),IMPORTRANGE(""1XaInW9DU9nz21V0tYIfzFQ0He9kVQ_JF2mCXgZ3hqFA"",""REKAP ALL 2026 - Andika!F:F""),"""",0)"),"25099755651")</f>
        <v>25099755651</v>
      </c>
      <c r="G2382" s="13" t="s">
        <v>10204</v>
      </c>
      <c r="H2382" s="13" t="s">
        <v>35</v>
      </c>
      <c r="I2382" s="13" t="str">
        <f aca="false">IF(C2382=J2382,"NEW KONTRAK","RE-KONTRAK")</f>
        <v>NEW KONTRAK</v>
      </c>
      <c r="J2382" s="16" t="n">
        <f aca="false" t="array" ref="J2382:J2382">IFERROR(INDEX(AC2382:AE2382,IF(COUNTA(AC2382:AE2382)=0,"",MAX((AC2382:AE2382&lt;&gt;"")*(COLUMN(AC2382:AE2382)-(COLUMN(AC2382)))))-1),"")</f>
        <v>45839</v>
      </c>
      <c r="K2382" s="16" t="n">
        <f aca="false" t="array" ref="K2382:K2382">IFERROR(INDEX(AC2382:AE2382,IF(COUNTA(AC2382:AE2382)=0,"",MAX((AC2382:AE2382&lt;&gt;"")*(COLUMN(AC2382:AE2382)-(COLUMN(AC2382)-1))))-1),"")</f>
        <v>45930</v>
      </c>
      <c r="L2382" s="17" t="str">
        <f aca="false" t="array" ref="L2382:L2382">IFERROR(INDEX(AC2382:AE2382,IF(COUNTA(AC2382:AE2382)=0,"",MAX((AC2382:AE2382&lt;&gt;"")*(COLUMN(AC2382:AE2382)-(COLUMN(AC2382)-2))))-1),"")</f>
        <v>ARCHIVED</v>
      </c>
      <c r="M2382" s="13" t="n">
        <f aca="true">K2382-TODAY()</f>
        <v>-394</v>
      </c>
      <c r="N2382" s="18" t="s">
        <v>36</v>
      </c>
      <c r="O2382" s="13" t="s">
        <v>10205</v>
      </c>
      <c r="P2382" s="27" t="n">
        <v>5195401</v>
      </c>
      <c r="Q2382" s="20" t="s">
        <v>10206</v>
      </c>
      <c r="R2382" s="13" t="s">
        <v>65</v>
      </c>
      <c r="S2382" s="16" t="n">
        <v>38193</v>
      </c>
      <c r="T2382" s="13" t="s">
        <v>40</v>
      </c>
      <c r="U2382" s="13" t="s">
        <v>10207</v>
      </c>
      <c r="V2382" s="13" t="s">
        <v>42</v>
      </c>
      <c r="W2382" s="13" t="s">
        <v>43</v>
      </c>
      <c r="X2382" s="21" t="n">
        <v>83155880124</v>
      </c>
      <c r="Y2382" s="22" t="str">
        <f aca="false">O2382</f>
        <v>P3 QC &amp; Incoming</v>
      </c>
      <c r="Z2382" s="13" t="str">
        <f aca="false">IFERROR(__xludf.dummyfunction("if(BJ2382="""","""",GOOGLETRANSLATE(BJ2382,""auto"",""en""))"),"P3 QC &amp; Incoming")</f>
        <v>P3 QC &amp; Incoming</v>
      </c>
      <c r="AA2382" s="23" t="str">
        <f aca="false">IF(C2382="","", CHOOSE(MONTH(C2382),"January","February","March","April","May","June","July","August","September","October","November","December")&amp;" "&amp;DAY(C2382)&amp;MID("thstndrdth",MIN(9,2*RIGHT(DAY(C2382))*(MOD(DAY(C2382)-11,100)&gt;2)+1),2)&amp;","&amp;TEXT(C2382," yyyy"))</f>
        <v>July 1st,2025</v>
      </c>
      <c r="AB2382" s="15" t="str">
        <f aca="true">IF(S2382="","",DATEDIF(S2382,TODAY(),"Y")&amp;" Tahun, "&amp;DATEDIF(S2382,TODAY(),"YM")&amp;" Bulan, "&amp;DATEDIF(S2382,TODAY(),"MD")&amp;" Hari")</f>
        <v>22 Tahun, 3 Bulan, 4 Hari</v>
      </c>
      <c r="AC2382" s="18" t="n">
        <v>45839</v>
      </c>
      <c r="AD2382" s="18" t="n">
        <v>45930</v>
      </c>
      <c r="AE2382" s="18" t="s">
        <v>44</v>
      </c>
    </row>
    <row r="2383" customFormat="false" ht="15" hidden="false" customHeight="true" outlineLevel="0" collapsed="false">
      <c r="A2383" s="12" t="n">
        <v>19994</v>
      </c>
      <c r="B2383" s="13" t="s">
        <v>10208</v>
      </c>
      <c r="C2383" s="16" t="n">
        <v>45839</v>
      </c>
      <c r="D2383" s="13" t="s">
        <v>10155</v>
      </c>
      <c r="E2383" s="15" t="s">
        <v>47</v>
      </c>
      <c r="F2383" s="15" t="str">
        <f aca="false">IFERROR(__xludf.dummyfunction("XLOOKUP(AJ2383,IMPORTRANGE(""1XaInW9DU9nz21V0tYIfzFQ0He9kVQ_JF2mCXgZ3hqFA"",""REKAP ALL 2026 - Andika!G:G""),IMPORTRANGE(""1XaInW9DU9nz21V0tYIfzFQ0He9kVQ_JF2mCXgZ3hqFA"",""REKAP ALL 2026 - Andika!F:F""),"""",0)"),"25099755677")</f>
        <v>25099755677</v>
      </c>
      <c r="G2383" s="13" t="s">
        <v>10209</v>
      </c>
      <c r="H2383" s="13" t="s">
        <v>35</v>
      </c>
      <c r="I2383" s="13" t="str">
        <f aca="false">IF(C2383=J2383,"NEW KONTRAK","RE-KONTRAK")</f>
        <v>NEW KONTRAK</v>
      </c>
      <c r="J2383" s="16" t="n">
        <f aca="false" t="array" ref="J2383:J2383">IFERROR(INDEX(AC2383:AE2383,IF(COUNTA(AC2383:AE2383)=0,"",MAX((AC2383:AE2383&lt;&gt;"")*(COLUMN(AC2383:AE2383)-(COLUMN(AC2383)))))-1),"")</f>
        <v>45839</v>
      </c>
      <c r="K2383" s="16" t="n">
        <f aca="false" t="array" ref="K2383:K2383">IFERROR(INDEX(AC2383:AE2383,IF(COUNTA(AC2383:AE2383)=0,"",MAX((AC2383:AE2383&lt;&gt;"")*(COLUMN(AC2383:AE2383)-(COLUMN(AC2383)-1))))-1),"")</f>
        <v>45930</v>
      </c>
      <c r="L2383" s="17" t="str">
        <f aca="false" t="array" ref="L2383:L2383">IFERROR(INDEX(AC2383:AE2383,IF(COUNTA(AC2383:AE2383)=0,"",MAX((AC2383:AE2383&lt;&gt;"")*(COLUMN(AC2383:AE2383)-(COLUMN(AC2383)-2))))-1),"")</f>
        <v>ARCHIVED</v>
      </c>
      <c r="M2383" s="13" t="n">
        <f aca="true">K2383-TODAY()</f>
        <v>-394</v>
      </c>
      <c r="N2383" s="18" t="s">
        <v>36</v>
      </c>
      <c r="O2383" s="13" t="s">
        <v>10180</v>
      </c>
      <c r="P2383" s="27" t="n">
        <v>5195401</v>
      </c>
      <c r="Q2383" s="20" t="s">
        <v>10210</v>
      </c>
      <c r="R2383" s="13" t="s">
        <v>763</v>
      </c>
      <c r="S2383" s="16" t="n">
        <v>33633</v>
      </c>
      <c r="T2383" s="13" t="s">
        <v>40</v>
      </c>
      <c r="U2383" s="13" t="s">
        <v>10211</v>
      </c>
      <c r="V2383" s="13" t="s">
        <v>42</v>
      </c>
      <c r="W2383" s="13" t="s">
        <v>54</v>
      </c>
      <c r="X2383" s="21" t="n">
        <v>81252958984</v>
      </c>
      <c r="Y2383" s="22" t="str">
        <f aca="false">O2383</f>
        <v>LS P1 - PPC</v>
      </c>
      <c r="Z2383" s="13" t="str">
        <f aca="false">IFERROR(__xludf.dummyfunction("if(BJ2383="""","""",GOOGLETRANSLATE(BJ2383,""auto"",""en""))"),"LS P1 - PPC")</f>
        <v>LS P1 - PPC</v>
      </c>
      <c r="AA2383" s="23" t="str">
        <f aca="false">IF(C2383="","", CHOOSE(MONTH(C2383),"January","February","March","April","May","June","July","August","September","October","November","December")&amp;" "&amp;DAY(C2383)&amp;MID("thstndrdth",MIN(9,2*RIGHT(DAY(C2383))*(MOD(DAY(C2383)-11,100)&gt;2)+1),2)&amp;","&amp;TEXT(C2383," yyyy"))</f>
        <v>July 1st,2025</v>
      </c>
      <c r="AB2383" s="15" t="str">
        <f aca="true">IF(S2383="","",DATEDIF(S2383,TODAY(),"Y")&amp;" Tahun, "&amp;DATEDIF(S2383,TODAY(),"YM")&amp;" Bulan, "&amp;DATEDIF(S2383,TODAY(),"MD")&amp;" Hari")</f>
        <v>34 Tahun, 8 Bulan, 29 Hari</v>
      </c>
      <c r="AC2383" s="18" t="n">
        <v>45839</v>
      </c>
      <c r="AD2383" s="18" t="n">
        <v>45930</v>
      </c>
      <c r="AE2383" s="18" t="s">
        <v>44</v>
      </c>
    </row>
    <row r="2384" customFormat="false" ht="15" hidden="false" customHeight="true" outlineLevel="0" collapsed="false">
      <c r="A2384" s="12" t="n">
        <v>19995</v>
      </c>
      <c r="B2384" s="13" t="s">
        <v>10212</v>
      </c>
      <c r="C2384" s="16" t="n">
        <v>45839</v>
      </c>
      <c r="D2384" s="13" t="s">
        <v>10155</v>
      </c>
      <c r="E2384" s="15" t="s">
        <v>47</v>
      </c>
      <c r="F2384" s="15" t="str">
        <f aca="false">IFERROR(__xludf.dummyfunction("XLOOKUP(AJ2384,IMPORTRANGE(""1XaInW9DU9nz21V0tYIfzFQ0He9kVQ_JF2mCXgZ3hqFA"",""REKAP ALL 2026 - Andika!G:G""),IMPORTRANGE(""1XaInW9DU9nz21V0tYIfzFQ0He9kVQ_JF2mCXgZ3hqFA"",""REKAP ALL 2026 - Andika!F:F""),"""",0)"),"25099755685")</f>
        <v>25099755685</v>
      </c>
      <c r="G2384" s="13" t="s">
        <v>10213</v>
      </c>
      <c r="H2384" s="13" t="s">
        <v>35</v>
      </c>
      <c r="I2384" s="13" t="str">
        <f aca="false">IF(C2384=J2384,"NEW KONTRAK","RE-KONTRAK")</f>
        <v>NEW KONTRAK</v>
      </c>
      <c r="J2384" s="16" t="n">
        <f aca="false" t="array" ref="J2384:J2384">IFERROR(INDEX(AC2384:AE2384,IF(COUNTA(AC2384:AE2384)=0,"",MAX((AC2384:AE2384&lt;&gt;"")*(COLUMN(AC2384:AE2384)-(COLUMN(AC2384)))))-1),"")</f>
        <v>45839</v>
      </c>
      <c r="K2384" s="16" t="n">
        <f aca="false" t="array" ref="K2384:K2384">IFERROR(INDEX(AC2384:AE2384,IF(COUNTA(AC2384:AE2384)=0,"",MAX((AC2384:AE2384&lt;&gt;"")*(COLUMN(AC2384:AE2384)-(COLUMN(AC2384)-1))))-1),"")</f>
        <v>45930</v>
      </c>
      <c r="L2384" s="17" t="str">
        <f aca="false" t="array" ref="L2384:L2384">IFERROR(INDEX(AC2384:AE2384,IF(COUNTA(AC2384:AE2384)=0,"",MAX((AC2384:AE2384&lt;&gt;"")*(COLUMN(AC2384:AE2384)-(COLUMN(AC2384)-2))))-1),"")</f>
        <v>ARCHIVED</v>
      </c>
      <c r="M2384" s="13" t="n">
        <f aca="true">K2384-TODAY()</f>
        <v>-394</v>
      </c>
      <c r="N2384" s="18" t="s">
        <v>36</v>
      </c>
      <c r="O2384" s="13" t="s">
        <v>10214</v>
      </c>
      <c r="P2384" s="27" t="n">
        <v>5195401</v>
      </c>
      <c r="Q2384" s="20" t="s">
        <v>10215</v>
      </c>
      <c r="R2384" s="13" t="s">
        <v>65</v>
      </c>
      <c r="S2384" s="16" t="n">
        <v>36141</v>
      </c>
      <c r="T2384" s="13" t="s">
        <v>108</v>
      </c>
      <c r="U2384" s="13" t="s">
        <v>10216</v>
      </c>
      <c r="V2384" s="13" t="s">
        <v>42</v>
      </c>
      <c r="W2384" s="13" t="s">
        <v>43</v>
      </c>
      <c r="X2384" s="21" t="n">
        <v>85157913332</v>
      </c>
      <c r="Y2384" s="22" t="str">
        <f aca="false">O2384</f>
        <v>International OE Sales</v>
      </c>
      <c r="Z2384" s="13" t="str">
        <f aca="false">IFERROR(__xludf.dummyfunction("if(BJ2384="""","""",GOOGLETRANSLATE(BJ2384,""auto"",""en""))"),"International OE Sales")</f>
        <v>International OE Sales</v>
      </c>
      <c r="AA2384" s="23" t="str">
        <f aca="false">IF(C2384="","", CHOOSE(MONTH(C2384),"January","February","March","April","May","June","July","August","September","October","November","December")&amp;" "&amp;DAY(C2384)&amp;MID("thstndrdth",MIN(9,2*RIGHT(DAY(C2384))*(MOD(DAY(C2384)-11,100)&gt;2)+1),2)&amp;","&amp;TEXT(C2384," yyyy"))</f>
        <v>July 1st,2025</v>
      </c>
      <c r="AB2384" s="15" t="str">
        <f aca="true">IF(S2384="","",DATEDIF(S2384,TODAY(),"Y")&amp;" Tahun, "&amp;DATEDIF(S2384,TODAY(),"YM")&amp;" Bulan, "&amp;DATEDIF(S2384,TODAY(),"MD")&amp;" Hari")</f>
        <v>27 Tahun, 10 Bulan, 17 Hari</v>
      </c>
      <c r="AC2384" s="18" t="n">
        <v>45839</v>
      </c>
      <c r="AD2384" s="18" t="n">
        <v>45930</v>
      </c>
      <c r="AE2384" s="18" t="s">
        <v>44</v>
      </c>
    </row>
    <row r="2385" customFormat="false" ht="15" hidden="false" customHeight="true" outlineLevel="0" collapsed="false">
      <c r="A2385" s="12" t="n">
        <v>19998</v>
      </c>
      <c r="B2385" s="13" t="s">
        <v>10217</v>
      </c>
      <c r="C2385" s="16" t="n">
        <v>45839</v>
      </c>
      <c r="D2385" s="13" t="s">
        <v>10155</v>
      </c>
      <c r="E2385" s="15" t="s">
        <v>47</v>
      </c>
      <c r="F2385" s="15" t="str">
        <f aca="false">IFERROR(__xludf.dummyfunction("XLOOKUP(AJ2385,IMPORTRANGE(""1XaInW9DU9nz21V0tYIfzFQ0He9kVQ_JF2mCXgZ3hqFA"",""REKAP ALL 2026 - Andika!G:G""),IMPORTRANGE(""1XaInW9DU9nz21V0tYIfzFQ0He9kVQ_JF2mCXgZ3hqFA"",""REKAP ALL 2026 - Andika!F:F""),"""",0)"),"25099755735")</f>
        <v>25099755735</v>
      </c>
      <c r="G2385" s="13" t="s">
        <v>10218</v>
      </c>
      <c r="H2385" s="13" t="s">
        <v>35</v>
      </c>
      <c r="I2385" s="13" t="str">
        <f aca="false">IF(C2385=J2385,"NEW KONTRAK","RE-KONTRAK")</f>
        <v>NEW KONTRAK</v>
      </c>
      <c r="J2385" s="16" t="n">
        <f aca="false" t="array" ref="J2385:J2385">IFERROR(INDEX(AC2385:AE2385,IF(COUNTA(AC2385:AE2385)=0,"",MAX((AC2385:AE2385&lt;&gt;"")*(COLUMN(AC2385:AE2385)-(COLUMN(AC2385)))))-1),"")</f>
        <v>45839</v>
      </c>
      <c r="K2385" s="16" t="n">
        <f aca="false" t="array" ref="K2385:K2385">IFERROR(INDEX(AC2385:AE2385,IF(COUNTA(AC2385:AE2385)=0,"",MAX((AC2385:AE2385&lt;&gt;"")*(COLUMN(AC2385:AE2385)-(COLUMN(AC2385)-1))))-1),"")</f>
        <v>45930</v>
      </c>
      <c r="L2385" s="17" t="str">
        <f aca="false" t="array" ref="L2385:L2385">IFERROR(INDEX(AC2385:AE2385,IF(COUNTA(AC2385:AE2385)=0,"",MAX((AC2385:AE2385&lt;&gt;"")*(COLUMN(AC2385:AE2385)-(COLUMN(AC2385)-2))))-1),"")</f>
        <v>ARCHIVED</v>
      </c>
      <c r="M2385" s="13" t="n">
        <f aca="true">K2385-TODAY()</f>
        <v>-394</v>
      </c>
      <c r="N2385" s="18" t="s">
        <v>36</v>
      </c>
      <c r="O2385" s="13" t="s">
        <v>10219</v>
      </c>
      <c r="P2385" s="27" t="n">
        <v>5195401</v>
      </c>
      <c r="Q2385" s="20" t="s">
        <v>10220</v>
      </c>
      <c r="R2385" s="13" t="s">
        <v>65</v>
      </c>
      <c r="S2385" s="16" t="n">
        <v>36683</v>
      </c>
      <c r="T2385" s="13" t="s">
        <v>40</v>
      </c>
      <c r="U2385" s="13" t="s">
        <v>10221</v>
      </c>
      <c r="V2385" s="13" t="s">
        <v>42</v>
      </c>
      <c r="W2385" s="13" t="s">
        <v>43</v>
      </c>
      <c r="X2385" s="21" t="n">
        <v>882009119687</v>
      </c>
      <c r="Y2385" s="22" t="str">
        <f aca="false">O2385</f>
        <v>LS P2 &amp; P5 - Quality Control</v>
      </c>
      <c r="Z2385" s="13" t="str">
        <f aca="false">IFERROR(__xludf.dummyfunction("if(BJ2385="""","""",GOOGLETRANSLATE(BJ2385,""auto"",""en""))"),"LS P2 &amp; P5 - Quality Control")</f>
        <v>LS P2 &amp; P5 - Quality Control</v>
      </c>
      <c r="AA2385" s="23" t="str">
        <f aca="false">IF(C2385="","", CHOOSE(MONTH(C2385),"January","February","March","April","May","June","July","August","September","October","November","December")&amp;" "&amp;DAY(C2385)&amp;MID("thstndrdth",MIN(9,2*RIGHT(DAY(C2385))*(MOD(DAY(C2385)-11,100)&gt;2)+1),2)&amp;","&amp;TEXT(C2385," yyyy"))</f>
        <v>July 1st,2025</v>
      </c>
      <c r="AB2385" s="15" t="str">
        <f aca="true">IF(S2385="","",DATEDIF(S2385,TODAY(),"Y")&amp;" Tahun, "&amp;DATEDIF(S2385,TODAY(),"YM")&amp;" Bulan, "&amp;DATEDIF(S2385,TODAY(),"MD")&amp;" Hari")</f>
        <v>26 Tahun, 4 Bulan, 23 Hari</v>
      </c>
      <c r="AC2385" s="18" t="n">
        <v>45839</v>
      </c>
      <c r="AD2385" s="18" t="n">
        <v>45930</v>
      </c>
      <c r="AE2385" s="18" t="s">
        <v>44</v>
      </c>
    </row>
    <row r="2386" customFormat="false" ht="15" hidden="false" customHeight="true" outlineLevel="0" collapsed="false">
      <c r="A2386" s="12" t="n">
        <v>19996</v>
      </c>
      <c r="B2386" s="13" t="s">
        <v>10222</v>
      </c>
      <c r="C2386" s="16" t="n">
        <v>45839</v>
      </c>
      <c r="D2386" s="13" t="s">
        <v>10155</v>
      </c>
      <c r="E2386" s="15" t="s">
        <v>33</v>
      </c>
      <c r="F2386" s="24" t="s">
        <v>10223</v>
      </c>
      <c r="G2386" s="13" t="s">
        <v>10224</v>
      </c>
      <c r="H2386" s="13" t="s">
        <v>35</v>
      </c>
      <c r="I2386" s="13" t="str">
        <f aca="false">IF(C2386=J2386,"NEW KONTRAK","RE-KONTRAK")</f>
        <v>NEW KONTRAK</v>
      </c>
      <c r="J2386" s="16" t="n">
        <f aca="false" t="array" ref="J2386:J2386">IFERROR(INDEX(AC2386:AE2386,IF(COUNTA(AC2386:AE2386)=0,"",MAX((AC2386:AE2386&lt;&gt;"")*(COLUMN(AC2386:AE2386)-(COLUMN(AC2386)))))-1),"")</f>
        <v>45839</v>
      </c>
      <c r="K2386" s="16" t="n">
        <f aca="false" t="array" ref="K2386:K2386">IFERROR(INDEX(AC2386:AE2386,IF(COUNTA(AC2386:AE2386)=0,"",MAX((AC2386:AE2386&lt;&gt;"")*(COLUMN(AC2386:AE2386)-(COLUMN(AC2386)-1))))-1),"")</f>
        <v>45930</v>
      </c>
      <c r="L2386" s="17" t="str">
        <f aca="false" t="array" ref="L2386:L2386">IFERROR(INDEX(AC2386:AE2386,IF(COUNTA(AC2386:AE2386)=0,"",MAX((AC2386:AE2386&lt;&gt;"")*(COLUMN(AC2386:AE2386)-(COLUMN(AC2386)-2))))-1),"")</f>
        <v>ARCHIVED</v>
      </c>
      <c r="M2386" s="13" t="n">
        <f aca="true">K2386-TODAY()</f>
        <v>-394</v>
      </c>
      <c r="N2386" s="18" t="s">
        <v>36</v>
      </c>
      <c r="O2386" s="13" t="s">
        <v>10180</v>
      </c>
      <c r="P2386" s="27" t="n">
        <v>5195401</v>
      </c>
      <c r="Q2386" s="20" t="s">
        <v>10225</v>
      </c>
      <c r="R2386" s="13" t="s">
        <v>65</v>
      </c>
      <c r="S2386" s="16" t="n">
        <v>37610</v>
      </c>
      <c r="T2386" s="13" t="s">
        <v>40</v>
      </c>
      <c r="U2386" s="13" t="s">
        <v>10226</v>
      </c>
      <c r="V2386" s="13" t="s">
        <v>42</v>
      </c>
      <c r="W2386" s="13" t="s">
        <v>43</v>
      </c>
      <c r="X2386" s="21" t="n">
        <v>82338129180</v>
      </c>
      <c r="Y2386" s="22" t="str">
        <f aca="false">O2386</f>
        <v>LS P1 - PPC</v>
      </c>
      <c r="Z2386" s="13" t="str">
        <f aca="false">IFERROR(__xludf.dummyfunction("if(BJ2386="""","""",GOOGLETRANSLATE(BJ2386,""auto"",""en""))"),"LS P1 - PPC")</f>
        <v>LS P1 - PPC</v>
      </c>
      <c r="AA2386" s="23" t="str">
        <f aca="false">IF(C2386="","", CHOOSE(MONTH(C2386),"January","February","March","April","May","June","July","August","September","October","November","December")&amp;" "&amp;DAY(C2386)&amp;MID("thstndrdth",MIN(9,2*RIGHT(DAY(C2386))*(MOD(DAY(C2386)-11,100)&gt;2)+1),2)&amp;","&amp;TEXT(C2386," yyyy"))</f>
        <v>July 1st,2025</v>
      </c>
      <c r="AB2386" s="15" t="str">
        <f aca="true">IF(S2386="","",DATEDIF(S2386,TODAY(),"Y")&amp;" Tahun, "&amp;DATEDIF(S2386,TODAY(),"YM")&amp;" Bulan, "&amp;DATEDIF(S2386,TODAY(),"MD")&amp;" Hari")</f>
        <v>23 Tahun, 10 Bulan, 9 Hari</v>
      </c>
      <c r="AC2386" s="18" t="n">
        <v>45839</v>
      </c>
      <c r="AD2386" s="18" t="n">
        <v>45930</v>
      </c>
      <c r="AE2386" s="18" t="s">
        <v>44</v>
      </c>
    </row>
    <row r="2387" customFormat="false" ht="15" hidden="false" customHeight="true" outlineLevel="0" collapsed="false">
      <c r="A2387" s="12" t="n">
        <v>19997</v>
      </c>
      <c r="B2387" s="13" t="s">
        <v>10227</v>
      </c>
      <c r="C2387" s="16" t="n">
        <v>45839</v>
      </c>
      <c r="D2387" s="13" t="s">
        <v>10155</v>
      </c>
      <c r="E2387" s="15" t="s">
        <v>102</v>
      </c>
      <c r="F2387" s="24" t="s">
        <v>10228</v>
      </c>
      <c r="G2387" s="13" t="s">
        <v>10229</v>
      </c>
      <c r="H2387" s="13" t="s">
        <v>35</v>
      </c>
      <c r="I2387" s="13" t="str">
        <f aca="false">IF(C2387=J2387,"NEW KONTRAK","RE-KONTRAK")</f>
        <v>NEW KONTRAK</v>
      </c>
      <c r="J2387" s="16" t="n">
        <f aca="false" t="array" ref="J2387:J2387">IFERROR(INDEX(AC2387:AE2387,IF(COUNTA(AC2387:AE2387)=0,"",MAX((AC2387:AE2387&lt;&gt;"")*(COLUMN(AC2387:AE2387)-(COLUMN(AC2387)))))-1),"")</f>
        <v>45839</v>
      </c>
      <c r="K2387" s="16" t="n">
        <f aca="false" t="array" ref="K2387:K2387">IFERROR(INDEX(AC2387:AE2387,IF(COUNTA(AC2387:AE2387)=0,"",MAX((AC2387:AE2387&lt;&gt;"")*(COLUMN(AC2387:AE2387)-(COLUMN(AC2387)-1))))-1),"")</f>
        <v>45930</v>
      </c>
      <c r="L2387" s="17" t="str">
        <f aca="false" t="array" ref="L2387:L2387">IFERROR(INDEX(AC2387:AE2387,IF(COUNTA(AC2387:AE2387)=0,"",MAX((AC2387:AE2387&lt;&gt;"")*(COLUMN(AC2387:AE2387)-(COLUMN(AC2387)-2))))-1),"")</f>
        <v>ARCHIVED</v>
      </c>
      <c r="M2387" s="13" t="n">
        <f aca="true">K2387-TODAY()</f>
        <v>-394</v>
      </c>
      <c r="N2387" s="18" t="s">
        <v>36</v>
      </c>
      <c r="O2387" s="13" t="s">
        <v>10230</v>
      </c>
      <c r="P2387" s="27" t="n">
        <v>5195401</v>
      </c>
      <c r="Q2387" s="20" t="s">
        <v>10231</v>
      </c>
      <c r="R2387" s="13" t="s">
        <v>52</v>
      </c>
      <c r="S2387" s="16" t="n">
        <v>34530</v>
      </c>
      <c r="T2387" s="13" t="s">
        <v>108</v>
      </c>
      <c r="U2387" s="13" t="s">
        <v>10232</v>
      </c>
      <c r="V2387" s="13" t="s">
        <v>42</v>
      </c>
      <c r="W2387" s="13" t="s">
        <v>43</v>
      </c>
      <c r="X2387" s="21" t="n">
        <v>81217231461</v>
      </c>
      <c r="Y2387" s="22" t="str">
        <f aca="false">O2387</f>
        <v>Log. - Delivery</v>
      </c>
      <c r="Z2387" s="13" t="str">
        <f aca="false">IFERROR(__xludf.dummyfunction("if(BJ2387="""","""",GOOGLETRANSLATE(BJ2387,""auto"",""en""))"),"Log. - Delivery")</f>
        <v>Log. - Delivery</v>
      </c>
      <c r="AA2387" s="23" t="str">
        <f aca="false">IF(C2387="","", CHOOSE(MONTH(C2387),"January","February","March","April","May","June","July","August","September","October","November","December")&amp;" "&amp;DAY(C2387)&amp;MID("thstndrdth",MIN(9,2*RIGHT(DAY(C2387))*(MOD(DAY(C2387)-11,100)&gt;2)+1),2)&amp;","&amp;TEXT(C2387," yyyy"))</f>
        <v>July 1st,2025</v>
      </c>
      <c r="AB2387" s="15" t="str">
        <f aca="true">IF(S2387="","",DATEDIF(S2387,TODAY(),"Y")&amp;" Tahun, "&amp;DATEDIF(S2387,TODAY(),"YM")&amp;" Bulan, "&amp;DATEDIF(S2387,TODAY(),"MD")&amp;" Hari")</f>
        <v>32 Tahun, 3 Bulan, 14 Hari</v>
      </c>
      <c r="AC2387" s="18" t="n">
        <v>45839</v>
      </c>
      <c r="AD2387" s="18" t="n">
        <v>45930</v>
      </c>
      <c r="AE2387" s="18" t="s">
        <v>44</v>
      </c>
    </row>
    <row r="2388" customFormat="false" ht="15" hidden="false" customHeight="true" outlineLevel="0" collapsed="false">
      <c r="A2388" s="12" t="n">
        <v>20000</v>
      </c>
      <c r="B2388" s="13" t="s">
        <v>10233</v>
      </c>
      <c r="C2388" s="16" t="n">
        <v>45839</v>
      </c>
      <c r="D2388" s="13" t="s">
        <v>10155</v>
      </c>
      <c r="E2388" s="15" t="s">
        <v>47</v>
      </c>
      <c r="F2388" s="15" t="str">
        <f aca="false">IFERROR(__xludf.dummyfunction("XLOOKUP(AJ2388,IMPORTRANGE(""1XaInW9DU9nz21V0tYIfzFQ0He9kVQ_JF2mCXgZ3hqFA"",""REKAP ALL 2026 - Andika!G:G""),IMPORTRANGE(""1XaInW9DU9nz21V0tYIfzFQ0He9kVQ_JF2mCXgZ3hqFA"",""REKAP ALL 2026 - Andika!F:F""),"""",0)"),"25099755750")</f>
        <v>25099755750</v>
      </c>
      <c r="G2388" s="13" t="s">
        <v>10234</v>
      </c>
      <c r="H2388" s="13" t="s">
        <v>35</v>
      </c>
      <c r="I2388" s="13" t="str">
        <f aca="false">IF(C2388=J2388,"NEW KONTRAK","RE-KONTRAK")</f>
        <v>NEW KONTRAK</v>
      </c>
      <c r="J2388" s="16" t="n">
        <f aca="false" t="array" ref="J2388:J2388">IFERROR(INDEX(AC2388:AE2388,IF(COUNTA(AC2388:AE2388)=0,"",MAX((AC2388:AE2388&lt;&gt;"")*(COLUMN(AC2388:AE2388)-(COLUMN(AC2388)))))-1),"")</f>
        <v>45839</v>
      </c>
      <c r="K2388" s="16" t="n">
        <f aca="false" t="array" ref="K2388:K2388">IFERROR(INDEX(AC2388:AE2388,IF(COUNTA(AC2388:AE2388)=0,"",MAX((AC2388:AE2388&lt;&gt;"")*(COLUMN(AC2388:AE2388)-(COLUMN(AC2388)-1))))-1),"")</f>
        <v>45930</v>
      </c>
      <c r="L2388" s="17" t="str">
        <f aca="false" t="array" ref="L2388:L2388">IFERROR(INDEX(AC2388:AE2388,IF(COUNTA(AC2388:AE2388)=0,"",MAX((AC2388:AE2388&lt;&gt;"")*(COLUMN(AC2388:AE2388)-(COLUMN(AC2388)-2))))-1),"")</f>
        <v>ARCHIVED</v>
      </c>
      <c r="M2388" s="13" t="n">
        <f aca="true">K2388-TODAY()</f>
        <v>-394</v>
      </c>
      <c r="N2388" s="18" t="s">
        <v>36</v>
      </c>
      <c r="O2388" s="13" t="s">
        <v>10235</v>
      </c>
      <c r="P2388" s="27" t="n">
        <v>5195401</v>
      </c>
      <c r="Q2388" s="20" t="s">
        <v>10236</v>
      </c>
      <c r="R2388" s="13" t="s">
        <v>65</v>
      </c>
      <c r="S2388" s="16" t="n">
        <v>36607</v>
      </c>
      <c r="T2388" s="13" t="s">
        <v>108</v>
      </c>
      <c r="U2388" s="13" t="s">
        <v>10237</v>
      </c>
      <c r="V2388" s="13" t="s">
        <v>42</v>
      </c>
      <c r="W2388" s="13" t="s">
        <v>43</v>
      </c>
      <c r="X2388" s="21" t="n">
        <v>85186062200</v>
      </c>
      <c r="Y2388" s="22" t="str">
        <f aca="false">O2388</f>
        <v>Human Capital</v>
      </c>
      <c r="Z2388" s="13" t="str">
        <f aca="false">IFERROR(__xludf.dummyfunction("if(BJ2388="""","""",GOOGLETRANSLATE(BJ2388,""auto"",""en""))"),"Human Capital")</f>
        <v>Human Capital</v>
      </c>
      <c r="AA2388" s="23" t="str">
        <f aca="false">IF(C2388="","", CHOOSE(MONTH(C2388),"January","February","March","April","May","June","July","August","September","October","November","December")&amp;" "&amp;DAY(C2388)&amp;MID("thstndrdth",MIN(9,2*RIGHT(DAY(C2388))*(MOD(DAY(C2388)-11,100)&gt;2)+1),2)&amp;","&amp;TEXT(C2388," yyyy"))</f>
        <v>July 1st,2025</v>
      </c>
      <c r="AB2388" s="15" t="str">
        <f aca="true">IF(S2388="","",DATEDIF(S2388,TODAY(),"Y")&amp;" Tahun, "&amp;DATEDIF(S2388,TODAY(),"YM")&amp;" Bulan, "&amp;DATEDIF(S2388,TODAY(),"MD")&amp;" Hari")</f>
        <v>26 Tahun, 7 Bulan, 7 Hari</v>
      </c>
      <c r="AC2388" s="18" t="n">
        <v>45839</v>
      </c>
      <c r="AD2388" s="18" t="n">
        <v>45930</v>
      </c>
      <c r="AE2388" s="18" t="s">
        <v>44</v>
      </c>
    </row>
    <row r="2389" customFormat="false" ht="15" hidden="false" customHeight="true" outlineLevel="0" collapsed="false">
      <c r="A2389" s="12" t="n">
        <v>19999</v>
      </c>
      <c r="B2389" s="13" t="s">
        <v>10238</v>
      </c>
      <c r="C2389" s="16" t="n">
        <v>45839</v>
      </c>
      <c r="D2389" s="13" t="s">
        <v>10155</v>
      </c>
      <c r="E2389" s="15" t="s">
        <v>33</v>
      </c>
      <c r="F2389" s="24" t="s">
        <v>10239</v>
      </c>
      <c r="G2389" s="13" t="s">
        <v>10240</v>
      </c>
      <c r="H2389" s="13" t="s">
        <v>35</v>
      </c>
      <c r="I2389" s="13" t="str">
        <f aca="false">IF(C2389=J2389,"NEW KONTRAK","RE-KONTRAK")</f>
        <v>NEW KONTRAK</v>
      </c>
      <c r="J2389" s="16" t="n">
        <f aca="false" t="array" ref="J2389:J2389">IFERROR(INDEX(AC2389:AE2389,IF(COUNTA(AC2389:AE2389)=0,"",MAX((AC2389:AE2389&lt;&gt;"")*(COLUMN(AC2389:AE2389)-(COLUMN(AC2389)))))-1),"")</f>
        <v>45839</v>
      </c>
      <c r="K2389" s="16" t="n">
        <f aca="false" t="array" ref="K2389:K2389">IFERROR(INDEX(AC2389:AE2389,IF(COUNTA(AC2389:AE2389)=0,"",MAX((AC2389:AE2389&lt;&gt;"")*(COLUMN(AC2389:AE2389)-(COLUMN(AC2389)-1))))-1),"")</f>
        <v>45930</v>
      </c>
      <c r="L2389" s="17" t="str">
        <f aca="false" t="array" ref="L2389:L2389">IFERROR(INDEX(AC2389:AE2389,IF(COUNTA(AC2389:AE2389)=0,"",MAX((AC2389:AE2389&lt;&gt;"")*(COLUMN(AC2389:AE2389)-(COLUMN(AC2389)-2))))-1),"")</f>
        <v>ARCHIVED</v>
      </c>
      <c r="M2389" s="13" t="n">
        <f aca="true">K2389-TODAY()</f>
        <v>-394</v>
      </c>
      <c r="N2389" s="18" t="s">
        <v>36</v>
      </c>
      <c r="O2389" s="13" t="s">
        <v>10241</v>
      </c>
      <c r="P2389" s="27" t="n">
        <v>5195401</v>
      </c>
      <c r="Q2389" s="20" t="s">
        <v>10242</v>
      </c>
      <c r="R2389" s="13" t="s">
        <v>65</v>
      </c>
      <c r="S2389" s="16" t="n">
        <v>38202</v>
      </c>
      <c r="T2389" s="13" t="s">
        <v>108</v>
      </c>
      <c r="U2389" s="13" t="s">
        <v>10243</v>
      </c>
      <c r="V2389" s="13" t="s">
        <v>42</v>
      </c>
      <c r="W2389" s="13" t="s">
        <v>43</v>
      </c>
      <c r="X2389" s="21" t="n">
        <v>85732839287</v>
      </c>
      <c r="Y2389" s="22" t="str">
        <f aca="false">O2389</f>
        <v>Hot CS &amp; SB P3 Production</v>
      </c>
      <c r="Z2389" s="13" t="str">
        <f aca="false">IFERROR(__xludf.dummyfunction("if(BJ2389="""","""",GOOGLETRANSLATE(BJ2389,""auto"",""en""))"),"Hot CS &amp; SB P3 Production")</f>
        <v>Hot CS &amp; SB P3 Production</v>
      </c>
      <c r="AA2389" s="23" t="str">
        <f aca="false">IF(C2389="","", CHOOSE(MONTH(C2389),"January","February","March","April","May","June","July","August","September","October","November","December")&amp;" "&amp;DAY(C2389)&amp;MID("thstndrdth",MIN(9,2*RIGHT(DAY(C2389))*(MOD(DAY(C2389)-11,100)&gt;2)+1),2)&amp;","&amp;TEXT(C2389," yyyy"))</f>
        <v>July 1st,2025</v>
      </c>
      <c r="AB2389" s="15" t="str">
        <f aca="true">IF(S2389="","",DATEDIF(S2389,TODAY(),"Y")&amp;" Tahun, "&amp;DATEDIF(S2389,TODAY(),"YM")&amp;" Bulan, "&amp;DATEDIF(S2389,TODAY(),"MD")&amp;" Hari")</f>
        <v>22 Tahun, 2 Bulan, 26 Hari</v>
      </c>
      <c r="AC2389" s="18" t="n">
        <v>45839</v>
      </c>
      <c r="AD2389" s="18" t="n">
        <v>45930</v>
      </c>
      <c r="AE2389" s="18" t="s">
        <v>44</v>
      </c>
    </row>
    <row r="2390" customFormat="false" ht="15" hidden="false" customHeight="true" outlineLevel="0" collapsed="false">
      <c r="A2390" s="12" t="n">
        <v>20001</v>
      </c>
      <c r="B2390" s="13" t="s">
        <v>10244</v>
      </c>
      <c r="C2390" s="16" t="n">
        <v>45839</v>
      </c>
      <c r="D2390" s="13" t="s">
        <v>10155</v>
      </c>
      <c r="E2390" s="15" t="s">
        <v>47</v>
      </c>
      <c r="F2390" s="15" t="str">
        <f aca="false">IFERROR(__xludf.dummyfunction("XLOOKUP(AJ2390,IMPORTRANGE(""1XaInW9DU9nz21V0tYIfzFQ0He9kVQ_JF2mCXgZ3hqFA"",""REKAP ALL 2026 - Andika!G:G""),IMPORTRANGE(""1XaInW9DU9nz21V0tYIfzFQ0He9kVQ_JF2mCXgZ3hqFA"",""REKAP ALL 2026 - Andika!F:F""),"""",0)"),"25099755768")</f>
        <v>25099755768</v>
      </c>
      <c r="G2390" s="13" t="s">
        <v>10245</v>
      </c>
      <c r="H2390" s="13" t="s">
        <v>35</v>
      </c>
      <c r="I2390" s="13" t="str">
        <f aca="false">IF(C2390=J2390,"NEW KONTRAK","RE-KONTRAK")</f>
        <v>NEW KONTRAK</v>
      </c>
      <c r="J2390" s="16" t="n">
        <f aca="false" t="array" ref="J2390:J2390">IFERROR(INDEX(AC2390:AE2390,IF(COUNTA(AC2390:AE2390)=0,"",MAX((AC2390:AE2390&lt;&gt;"")*(COLUMN(AC2390:AE2390)-(COLUMN(AC2390)))))-1),"")</f>
        <v>45839</v>
      </c>
      <c r="K2390" s="16" t="n">
        <f aca="false" t="array" ref="K2390:K2390">IFERROR(INDEX(AC2390:AE2390,IF(COUNTA(AC2390:AE2390)=0,"",MAX((AC2390:AE2390&lt;&gt;"")*(COLUMN(AC2390:AE2390)-(COLUMN(AC2390)-1))))-1),"")</f>
        <v>45930</v>
      </c>
      <c r="L2390" s="17" t="str">
        <f aca="false" t="array" ref="L2390:L2390">IFERROR(INDEX(AC2390:AE2390,IF(COUNTA(AC2390:AE2390)=0,"",MAX((AC2390:AE2390&lt;&gt;"")*(COLUMN(AC2390:AE2390)-(COLUMN(AC2390)-2))))-1),"")</f>
        <v>ARCHIVED</v>
      </c>
      <c r="M2390" s="13" t="n">
        <f aca="true">K2390-TODAY()</f>
        <v>-394</v>
      </c>
      <c r="N2390" s="18" t="s">
        <v>36</v>
      </c>
      <c r="O2390" s="13" t="s">
        <v>10214</v>
      </c>
      <c r="P2390" s="27" t="n">
        <v>5195401</v>
      </c>
      <c r="Q2390" s="20" t="s">
        <v>10246</v>
      </c>
      <c r="R2390" s="13" t="s">
        <v>65</v>
      </c>
      <c r="S2390" s="16" t="n">
        <v>34467</v>
      </c>
      <c r="T2390" s="13" t="s">
        <v>108</v>
      </c>
      <c r="U2390" s="13" t="s">
        <v>10247</v>
      </c>
      <c r="V2390" s="13" t="s">
        <v>42</v>
      </c>
      <c r="W2390" s="13" t="s">
        <v>43</v>
      </c>
      <c r="X2390" s="21" t="n">
        <v>81333510163</v>
      </c>
      <c r="Y2390" s="22" t="str">
        <f aca="false">O2390</f>
        <v>International OE Sales</v>
      </c>
      <c r="Z2390" s="13" t="str">
        <f aca="false">IFERROR(__xludf.dummyfunction("if(BJ2390="""","""",GOOGLETRANSLATE(BJ2390,""auto"",""en""))"),"International OE Sales")</f>
        <v>International OE Sales</v>
      </c>
      <c r="AA2390" s="23" t="str">
        <f aca="false">IF(C2390="","", CHOOSE(MONTH(C2390),"January","February","March","April","May","June","July","August","September","October","November","December")&amp;" "&amp;DAY(C2390)&amp;MID("thstndrdth",MIN(9,2*RIGHT(DAY(C2390))*(MOD(DAY(C2390)-11,100)&gt;2)+1),2)&amp;","&amp;TEXT(C2390," yyyy"))</f>
        <v>July 1st,2025</v>
      </c>
      <c r="AB2390" s="15" t="str">
        <f aca="true">IF(S2390="","",DATEDIF(S2390,TODAY(),"Y")&amp;" Tahun, "&amp;DATEDIF(S2390,TODAY(),"YM")&amp;" Bulan, "&amp;DATEDIF(S2390,TODAY(),"MD")&amp;" Hari")</f>
        <v>32 Tahun, 5 Bulan, 16 Hari</v>
      </c>
      <c r="AC2390" s="18" t="n">
        <v>45839</v>
      </c>
      <c r="AD2390" s="18" t="n">
        <v>45930</v>
      </c>
      <c r="AE2390" s="18" t="s">
        <v>44</v>
      </c>
    </row>
    <row r="2391" customFormat="false" ht="15" hidden="false" customHeight="true" outlineLevel="0" collapsed="false">
      <c r="A2391" s="12" t="n">
        <v>20002</v>
      </c>
      <c r="B2391" s="13" t="s">
        <v>10248</v>
      </c>
      <c r="C2391" s="16" t="n">
        <v>45839</v>
      </c>
      <c r="D2391" s="13" t="s">
        <v>10155</v>
      </c>
      <c r="E2391" s="15" t="s">
        <v>47</v>
      </c>
      <c r="F2391" s="15" t="str">
        <f aca="false">IFERROR(__xludf.dummyfunction("XLOOKUP(AJ2391,IMPORTRANGE(""1XaInW9DU9nz21V0tYIfzFQ0He9kVQ_JF2mCXgZ3hqFA"",""REKAP ALL 2026 - Andika!G:G""),IMPORTRANGE(""1XaInW9DU9nz21V0tYIfzFQ0He9kVQ_JF2mCXgZ3hqFA"",""REKAP ALL 2026 - Andika!F:F""),"""",0)"),"21002689012")</f>
        <v>21002689012</v>
      </c>
      <c r="G2391" s="13" t="s">
        <v>10249</v>
      </c>
      <c r="H2391" s="13" t="s">
        <v>35</v>
      </c>
      <c r="I2391" s="13" t="str">
        <f aca="false">IF(C2391=J2391,"NEW KONTRAK","RE-KONTRAK")</f>
        <v>NEW KONTRAK</v>
      </c>
      <c r="J2391" s="16" t="n">
        <f aca="false" t="array" ref="J2391:J2391">IFERROR(INDEX(AC2391:AE2391,IF(COUNTA(AC2391:AE2391)=0,"",MAX((AC2391:AE2391&lt;&gt;"")*(COLUMN(AC2391:AE2391)-(COLUMN(AC2391)))))-1),"")</f>
        <v>45839</v>
      </c>
      <c r="K2391" s="16" t="n">
        <f aca="false" t="array" ref="K2391:K2391">IFERROR(INDEX(AC2391:AE2391,IF(COUNTA(AC2391:AE2391)=0,"",MAX((AC2391:AE2391&lt;&gt;"")*(COLUMN(AC2391:AE2391)-(COLUMN(AC2391)-1))))-1),"")</f>
        <v>45930</v>
      </c>
      <c r="L2391" s="17" t="str">
        <f aca="false" t="array" ref="L2391:L2391">IFERROR(INDEX(AC2391:AE2391,IF(COUNTA(AC2391:AE2391)=0,"",MAX((AC2391:AE2391&lt;&gt;"")*(COLUMN(AC2391:AE2391)-(COLUMN(AC2391)-2))))-1),"")</f>
        <v>ARCHIVED</v>
      </c>
      <c r="M2391" s="13" t="n">
        <f aca="true">K2391-TODAY()</f>
        <v>-394</v>
      </c>
      <c r="N2391" s="18" t="s">
        <v>36</v>
      </c>
      <c r="O2391" s="13" t="s">
        <v>10191</v>
      </c>
      <c r="P2391" s="27" t="n">
        <v>5195401</v>
      </c>
      <c r="Q2391" s="20" t="s">
        <v>10250</v>
      </c>
      <c r="R2391" s="13" t="s">
        <v>65</v>
      </c>
      <c r="S2391" s="16" t="n">
        <v>37181</v>
      </c>
      <c r="T2391" s="13" t="s">
        <v>40</v>
      </c>
      <c r="U2391" s="13" t="s">
        <v>10251</v>
      </c>
      <c r="V2391" s="13" t="s">
        <v>42</v>
      </c>
      <c r="W2391" s="13" t="s">
        <v>43</v>
      </c>
      <c r="X2391" s="21" t="n">
        <v>89528345420</v>
      </c>
      <c r="Y2391" s="22" t="str">
        <f aca="false">O2391</f>
        <v>LS P1 - QC &amp; Incoming</v>
      </c>
      <c r="Z2391" s="13" t="str">
        <f aca="false">IFERROR(__xludf.dummyfunction("if(BJ2391="""","""",GOOGLETRANSLATE(BJ2391,""auto"",""en""))"),"LS P1 - QC &amp; Incoming")</f>
        <v>LS P1 - QC &amp; Incoming</v>
      </c>
      <c r="AA2391" s="23" t="str">
        <f aca="false">IF(C2391="","", CHOOSE(MONTH(C2391),"January","February","March","April","May","June","July","August","September","October","November","December")&amp;" "&amp;DAY(C2391)&amp;MID("thstndrdth",MIN(9,2*RIGHT(DAY(C2391))*(MOD(DAY(C2391)-11,100)&gt;2)+1),2)&amp;","&amp;TEXT(C2391," yyyy"))</f>
        <v>July 1st,2025</v>
      </c>
      <c r="AB2391" s="15" t="str">
        <f aca="true">IF(S2391="","",DATEDIF(S2391,TODAY(),"Y")&amp;" Tahun, "&amp;DATEDIF(S2391,TODAY(),"YM")&amp;" Bulan, "&amp;DATEDIF(S2391,TODAY(),"MD")&amp;" Hari")</f>
        <v>25 Tahun, 0 Bulan, 12 Hari</v>
      </c>
      <c r="AC2391" s="18" t="n">
        <v>45839</v>
      </c>
      <c r="AD2391" s="18" t="n">
        <v>45930</v>
      </c>
      <c r="AE2391" s="18" t="s">
        <v>44</v>
      </c>
    </row>
    <row r="2392" customFormat="false" ht="15" hidden="false" customHeight="true" outlineLevel="0" collapsed="false">
      <c r="A2392" s="12" t="n">
        <v>20004</v>
      </c>
      <c r="B2392" s="13" t="s">
        <v>10252</v>
      </c>
      <c r="C2392" s="16" t="n">
        <v>45839</v>
      </c>
      <c r="D2392" s="13" t="s">
        <v>10155</v>
      </c>
      <c r="E2392" s="15" t="s">
        <v>47</v>
      </c>
      <c r="F2392" s="15" t="str">
        <f aca="false">IFERROR(__xludf.dummyfunction("XLOOKUP(AJ2392,IMPORTRANGE(""1XaInW9DU9nz21V0tYIfzFQ0He9kVQ_JF2mCXgZ3hqFA"",""REKAP ALL 2026 - Andika!G:G""),IMPORTRANGE(""1XaInW9DU9nz21V0tYIfzFQ0He9kVQ_JF2mCXgZ3hqFA"",""REKAP ALL 2026 - Andika!F:F""),"""",0)"),"25099755792")</f>
        <v>25099755792</v>
      </c>
      <c r="G2392" s="13" t="s">
        <v>10253</v>
      </c>
      <c r="H2392" s="13" t="s">
        <v>35</v>
      </c>
      <c r="I2392" s="13" t="str">
        <f aca="false">IF(C2392=J2392,"NEW KONTRAK","RE-KONTRAK")</f>
        <v>NEW KONTRAK</v>
      </c>
      <c r="J2392" s="16" t="n">
        <f aca="false" t="array" ref="J2392:J2392">IFERROR(INDEX(AC2392:AE2392,IF(COUNTA(AC2392:AE2392)=0,"",MAX((AC2392:AE2392&lt;&gt;"")*(COLUMN(AC2392:AE2392)-(COLUMN(AC2392)))))-1),"")</f>
        <v>45839</v>
      </c>
      <c r="K2392" s="16" t="n">
        <f aca="false" t="array" ref="K2392:K2392">IFERROR(INDEX(AC2392:AE2392,IF(COUNTA(AC2392:AE2392)=0,"",MAX((AC2392:AE2392&lt;&gt;"")*(COLUMN(AC2392:AE2392)-(COLUMN(AC2392)-1))))-1),"")</f>
        <v>45930</v>
      </c>
      <c r="L2392" s="17" t="str">
        <f aca="false" t="array" ref="L2392:L2392">IFERROR(INDEX(AC2392:AE2392,IF(COUNTA(AC2392:AE2392)=0,"",MAX((AC2392:AE2392&lt;&gt;"")*(COLUMN(AC2392:AE2392)-(COLUMN(AC2392)-2))))-1),"")</f>
        <v>ARCHIVED</v>
      </c>
      <c r="M2392" s="13" t="n">
        <f aca="true">K2392-TODAY()</f>
        <v>-394</v>
      </c>
      <c r="N2392" s="18" t="s">
        <v>36</v>
      </c>
      <c r="O2392" s="13" t="s">
        <v>10254</v>
      </c>
      <c r="P2392" s="27" t="n">
        <v>5195401</v>
      </c>
      <c r="Q2392" s="20" t="s">
        <v>10255</v>
      </c>
      <c r="R2392" s="13" t="s">
        <v>65</v>
      </c>
      <c r="S2392" s="16" t="n">
        <v>29317</v>
      </c>
      <c r="T2392" s="13" t="s">
        <v>40</v>
      </c>
      <c r="U2392" s="13" t="s">
        <v>10256</v>
      </c>
      <c r="V2392" s="13" t="s">
        <v>42</v>
      </c>
      <c r="W2392" s="13" t="s">
        <v>54</v>
      </c>
      <c r="X2392" s="21" t="n">
        <v>81357960792</v>
      </c>
      <c r="Y2392" s="22" t="str">
        <f aca="false">O2392</f>
        <v>Log. P1 - Sub Material</v>
      </c>
      <c r="Z2392" s="13" t="str">
        <f aca="false">IFERROR(__xludf.dummyfunction("if(BJ2392="""","""",GOOGLETRANSLATE(BJ2392,""auto"",""en""))"),"Log. P1 - Sub Material")</f>
        <v>Log. P1 - Sub Material</v>
      </c>
      <c r="AA2392" s="23" t="str">
        <f aca="false">IF(C2392="","", CHOOSE(MONTH(C2392),"January","February","March","April","May","June","July","August","September","October","November","December")&amp;" "&amp;DAY(C2392)&amp;MID("thstndrdth",MIN(9,2*RIGHT(DAY(C2392))*(MOD(DAY(C2392)-11,100)&gt;2)+1),2)&amp;","&amp;TEXT(C2392," yyyy"))</f>
        <v>July 1st,2025</v>
      </c>
      <c r="AB2392" s="15" t="str">
        <f aca="true">IF(S2392="","",DATEDIF(S2392,TODAY(),"Y")&amp;" Tahun, "&amp;DATEDIF(S2392,TODAY(),"YM")&amp;" Bulan, "&amp;DATEDIF(S2392,TODAY(),"MD")&amp;" Hari")</f>
        <v>46 Tahun, 6 Bulan, 23 Hari</v>
      </c>
      <c r="AC2392" s="18" t="n">
        <v>45839</v>
      </c>
      <c r="AD2392" s="18" t="n">
        <v>45930</v>
      </c>
      <c r="AE2392" s="18" t="s">
        <v>44</v>
      </c>
    </row>
    <row r="2393" customFormat="false" ht="15" hidden="false" customHeight="true" outlineLevel="0" collapsed="false">
      <c r="A2393" s="12" t="n">
        <v>20003</v>
      </c>
      <c r="B2393" s="13" t="s">
        <v>10257</v>
      </c>
      <c r="C2393" s="16" t="n">
        <v>45839</v>
      </c>
      <c r="D2393" s="13" t="s">
        <v>10155</v>
      </c>
      <c r="E2393" s="15" t="s">
        <v>8354</v>
      </c>
      <c r="F2393" s="24" t="s">
        <v>10258</v>
      </c>
      <c r="G2393" s="13" t="s">
        <v>10259</v>
      </c>
      <c r="H2393" s="13" t="s">
        <v>35</v>
      </c>
      <c r="I2393" s="13" t="str">
        <f aca="false">IF(C2393=J2393,"NEW KONTRAK","RE-KONTRAK")</f>
        <v>NEW KONTRAK</v>
      </c>
      <c r="J2393" s="16" t="n">
        <f aca="false" t="array" ref="J2393:J2393">IFERROR(INDEX(AC2393:AE2393,IF(COUNTA(AC2393:AE2393)=0,"",MAX((AC2393:AE2393&lt;&gt;"")*(COLUMN(AC2393:AE2393)-(COLUMN(AC2393)))))-1),"")</f>
        <v>45839</v>
      </c>
      <c r="K2393" s="16" t="n">
        <f aca="false" t="array" ref="K2393:K2393">IFERROR(INDEX(AC2393:AE2393,IF(COUNTA(AC2393:AE2393)=0,"",MAX((AC2393:AE2393&lt;&gt;"")*(COLUMN(AC2393:AE2393)-(COLUMN(AC2393)-1))))-1),"")</f>
        <v>45930</v>
      </c>
      <c r="L2393" s="17" t="str">
        <f aca="false" t="array" ref="L2393:L2393">IFERROR(INDEX(AC2393:AE2393,IF(COUNTA(AC2393:AE2393)=0,"",MAX((AC2393:AE2393&lt;&gt;"")*(COLUMN(AC2393:AE2393)-(COLUMN(AC2393)-2))))-1),"")</f>
        <v>ARCHIVED</v>
      </c>
      <c r="M2393" s="13" t="n">
        <f aca="true">K2393-TODAY()</f>
        <v>-394</v>
      </c>
      <c r="N2393" s="18" t="s">
        <v>36</v>
      </c>
      <c r="O2393" s="13" t="s">
        <v>10260</v>
      </c>
      <c r="P2393" s="27" t="n">
        <v>5195401</v>
      </c>
      <c r="Q2393" s="20" t="s">
        <v>10261</v>
      </c>
      <c r="R2393" s="13" t="s">
        <v>52</v>
      </c>
      <c r="S2393" s="16" t="n">
        <v>34303</v>
      </c>
      <c r="T2393" s="13" t="s">
        <v>40</v>
      </c>
      <c r="U2393" s="13" t="s">
        <v>10262</v>
      </c>
      <c r="V2393" s="13" t="s">
        <v>42</v>
      </c>
      <c r="W2393" s="13" t="s">
        <v>54</v>
      </c>
      <c r="X2393" s="21" t="n">
        <v>8988156924</v>
      </c>
      <c r="Y2393" s="22" t="str">
        <f aca="false">O2393</f>
        <v>Quality Assurance</v>
      </c>
      <c r="Z2393" s="13" t="str">
        <f aca="false">IFERROR(__xludf.dummyfunction("if(BJ2393="""","""",GOOGLETRANSLATE(BJ2393,""auto"",""en""))"),"Quality Assurance")</f>
        <v>Quality Assurance</v>
      </c>
      <c r="AA2393" s="23" t="str">
        <f aca="false">IF(C2393="","", CHOOSE(MONTH(C2393),"January","February","March","April","May","June","July","August","September","October","November","December")&amp;" "&amp;DAY(C2393)&amp;MID("thstndrdth",MIN(9,2*RIGHT(DAY(C2393))*(MOD(DAY(C2393)-11,100)&gt;2)+1),2)&amp;","&amp;TEXT(C2393," yyyy"))</f>
        <v>July 1st,2025</v>
      </c>
      <c r="AB2393" s="15" t="str">
        <f aca="true">IF(S2393="","",DATEDIF(S2393,TODAY(),"Y")&amp;" Tahun, "&amp;DATEDIF(S2393,TODAY(),"YM")&amp;" Bulan, "&amp;DATEDIF(S2393,TODAY(),"MD")&amp;" Hari")</f>
        <v>32 Tahun, 10 Bulan, 29 Hari</v>
      </c>
      <c r="AC2393" s="18" t="n">
        <v>45839</v>
      </c>
      <c r="AD2393" s="18" t="n">
        <v>45930</v>
      </c>
      <c r="AE2393" s="18" t="s">
        <v>44</v>
      </c>
    </row>
    <row r="2394" customFormat="false" ht="15" hidden="false" customHeight="true" outlineLevel="0" collapsed="false">
      <c r="A2394" s="12" t="n">
        <v>20005</v>
      </c>
      <c r="B2394" s="13" t="s">
        <v>10263</v>
      </c>
      <c r="C2394" s="16" t="n">
        <v>45839</v>
      </c>
      <c r="D2394" s="13" t="s">
        <v>10155</v>
      </c>
      <c r="E2394" s="15" t="s">
        <v>47</v>
      </c>
      <c r="F2394" s="15" t="str">
        <f aca="false">IFERROR(__xludf.dummyfunction("XLOOKUP(AJ2394,IMPORTRANGE(""1XaInW9DU9nz21V0tYIfzFQ0He9kVQ_JF2mCXgZ3hqFA"",""REKAP ALL 2026 - Andika!G:G""),IMPORTRANGE(""1XaInW9DU9nz21V0tYIfzFQ0He9kVQ_JF2mCXgZ3hqFA"",""REKAP ALL 2026 - Andika!F:F""),"""",0)"),"25099755800")</f>
        <v>25099755800</v>
      </c>
      <c r="G2394" s="13" t="s">
        <v>10264</v>
      </c>
      <c r="H2394" s="13" t="s">
        <v>35</v>
      </c>
      <c r="I2394" s="13" t="str">
        <f aca="false">IF(C2394=J2394,"NEW KONTRAK","RE-KONTRAK")</f>
        <v>NEW KONTRAK</v>
      </c>
      <c r="J2394" s="16" t="n">
        <f aca="false" t="array" ref="J2394:J2394">IFERROR(INDEX(AC2394:AE2394,IF(COUNTA(AC2394:AE2394)=0,"",MAX((AC2394:AE2394&lt;&gt;"")*(COLUMN(AC2394:AE2394)-(COLUMN(AC2394)))))-1),"")</f>
        <v>45839</v>
      </c>
      <c r="K2394" s="16" t="n">
        <f aca="false" t="array" ref="K2394:K2394">IFERROR(INDEX(AC2394:AE2394,IF(COUNTA(AC2394:AE2394)=0,"",MAX((AC2394:AE2394&lt;&gt;"")*(COLUMN(AC2394:AE2394)-(COLUMN(AC2394)-1))))-1),"")</f>
        <v>45930</v>
      </c>
      <c r="L2394" s="17" t="str">
        <f aca="false" t="array" ref="L2394:L2394">IFERROR(INDEX(AC2394:AE2394,IF(COUNTA(AC2394:AE2394)=0,"",MAX((AC2394:AE2394&lt;&gt;"")*(COLUMN(AC2394:AE2394)-(COLUMN(AC2394)-2))))-1),"")</f>
        <v>ARCHIVED</v>
      </c>
      <c r="M2394" s="13" t="n">
        <f aca="true">K2394-TODAY()</f>
        <v>-394</v>
      </c>
      <c r="N2394" s="18" t="s">
        <v>36</v>
      </c>
      <c r="O2394" s="13" t="s">
        <v>10265</v>
      </c>
      <c r="P2394" s="27" t="n">
        <v>5195401</v>
      </c>
      <c r="Q2394" s="20" t="s">
        <v>10266</v>
      </c>
      <c r="R2394" s="13" t="s">
        <v>65</v>
      </c>
      <c r="S2394" s="16" t="n">
        <v>35706</v>
      </c>
      <c r="T2394" s="13" t="s">
        <v>40</v>
      </c>
      <c r="U2394" s="13" t="s">
        <v>10267</v>
      </c>
      <c r="V2394" s="13" t="s">
        <v>42</v>
      </c>
      <c r="W2394" s="13" t="s">
        <v>43</v>
      </c>
      <c r="X2394" s="21" t="n">
        <v>89513010175</v>
      </c>
      <c r="Y2394" s="22" t="str">
        <f aca="false">O2394</f>
        <v>Inbound Raw Material P2</v>
      </c>
      <c r="Z2394" s="13" t="str">
        <f aca="false">IFERROR(__xludf.dummyfunction("if(BJ2394="""","""",GOOGLETRANSLATE(BJ2394,""auto"",""en""))"),"Inbound Raw Material P2")</f>
        <v>Inbound Raw Material P2</v>
      </c>
      <c r="AA2394" s="23" t="str">
        <f aca="false">IF(C2394="","", CHOOSE(MONTH(C2394),"January","February","March","April","May","June","July","August","September","October","November","December")&amp;" "&amp;DAY(C2394)&amp;MID("thstndrdth",MIN(9,2*RIGHT(DAY(C2394))*(MOD(DAY(C2394)-11,100)&gt;2)+1),2)&amp;","&amp;TEXT(C2394," yyyy"))</f>
        <v>July 1st,2025</v>
      </c>
      <c r="AB2394" s="15" t="str">
        <f aca="true">IF(S2394="","",DATEDIF(S2394,TODAY(),"Y")&amp;" Tahun, "&amp;DATEDIF(S2394,TODAY(),"YM")&amp;" Bulan, "&amp;DATEDIF(S2394,TODAY(),"MD")&amp;" Hari")</f>
        <v>29 Tahun, 0 Bulan, 26 Hari</v>
      </c>
      <c r="AC2394" s="18" t="n">
        <v>45839</v>
      </c>
      <c r="AD2394" s="18" t="n">
        <v>45930</v>
      </c>
      <c r="AE2394" s="18" t="s">
        <v>44</v>
      </c>
    </row>
    <row r="2395" customFormat="false" ht="15" hidden="false" customHeight="true" outlineLevel="0" collapsed="false">
      <c r="A2395" s="12" t="n">
        <v>20006</v>
      </c>
      <c r="B2395" s="13" t="s">
        <v>10268</v>
      </c>
      <c r="C2395" s="16" t="n">
        <v>45839</v>
      </c>
      <c r="D2395" s="13" t="s">
        <v>10155</v>
      </c>
      <c r="E2395" s="15" t="s">
        <v>47</v>
      </c>
      <c r="F2395" s="15" t="str">
        <f aca="false">IFERROR(__xludf.dummyfunction("XLOOKUP(AJ2395,IMPORTRANGE(""1XaInW9DU9nz21V0tYIfzFQ0He9kVQ_JF2mCXgZ3hqFA"",""REKAP ALL 2026 - Andika!G:G""),IMPORTRANGE(""1XaInW9DU9nz21V0tYIfzFQ0He9kVQ_JF2mCXgZ3hqFA"",""REKAP ALL 2026 - Andika!F:F""),"""",0)"),"25099755818")</f>
        <v>25099755818</v>
      </c>
      <c r="G2395" s="13" t="s">
        <v>10269</v>
      </c>
      <c r="H2395" s="13" t="s">
        <v>35</v>
      </c>
      <c r="I2395" s="13" t="str">
        <f aca="false">IF(C2395=J2395,"NEW KONTRAK","RE-KONTRAK")</f>
        <v>NEW KONTRAK</v>
      </c>
      <c r="J2395" s="16" t="n">
        <f aca="false" t="array" ref="J2395:J2395">IFERROR(INDEX(AC2395:AE2395,IF(COUNTA(AC2395:AE2395)=0,"",MAX((AC2395:AE2395&lt;&gt;"")*(COLUMN(AC2395:AE2395)-(COLUMN(AC2395)))))-1),"")</f>
        <v>45839</v>
      </c>
      <c r="K2395" s="16" t="n">
        <f aca="false" t="array" ref="K2395:K2395">IFERROR(INDEX(AC2395:AE2395,IF(COUNTA(AC2395:AE2395)=0,"",MAX((AC2395:AE2395&lt;&gt;"")*(COLUMN(AC2395:AE2395)-(COLUMN(AC2395)-1))))-1),"")</f>
        <v>45930</v>
      </c>
      <c r="L2395" s="17" t="str">
        <f aca="false" t="array" ref="L2395:L2395">IFERROR(INDEX(AC2395:AE2395,IF(COUNTA(AC2395:AE2395)=0,"",MAX((AC2395:AE2395&lt;&gt;"")*(COLUMN(AC2395:AE2395)-(COLUMN(AC2395)-2))))-1),"")</f>
        <v>ARCHIVED</v>
      </c>
      <c r="M2395" s="13" t="n">
        <f aca="true">K2395-TODAY()</f>
        <v>-394</v>
      </c>
      <c r="N2395" s="18" t="s">
        <v>36</v>
      </c>
      <c r="O2395" s="13" t="s">
        <v>10270</v>
      </c>
      <c r="P2395" s="27" t="n">
        <v>5195401</v>
      </c>
      <c r="Q2395" s="20" t="s">
        <v>10271</v>
      </c>
      <c r="R2395" s="13" t="s">
        <v>52</v>
      </c>
      <c r="S2395" s="16" t="n">
        <v>36574</v>
      </c>
      <c r="T2395" s="13" t="s">
        <v>108</v>
      </c>
      <c r="U2395" s="13" t="s">
        <v>10272</v>
      </c>
      <c r="V2395" s="13" t="s">
        <v>42</v>
      </c>
      <c r="W2395" s="13" t="s">
        <v>43</v>
      </c>
      <c r="X2395" s="21" t="n">
        <v>85859608396</v>
      </c>
      <c r="Y2395" s="22" t="str">
        <f aca="false">O2395</f>
        <v>Material Import Procurement</v>
      </c>
      <c r="Z2395" s="13" t="str">
        <f aca="false">IFERROR(__xludf.dummyfunction("if(BJ2395="""","""",GOOGLETRANSLATE(BJ2395,""auto"",""en""))"),"Material Import Procurement")</f>
        <v>Material Import Procurement</v>
      </c>
      <c r="AA2395" s="23" t="str">
        <f aca="false">IF(C2395="","", CHOOSE(MONTH(C2395),"January","February","March","April","May","June","July","August","September","October","November","December")&amp;" "&amp;DAY(C2395)&amp;MID("thstndrdth",MIN(9,2*RIGHT(DAY(C2395))*(MOD(DAY(C2395)-11,100)&gt;2)+1),2)&amp;","&amp;TEXT(C2395," yyyy"))</f>
        <v>July 1st,2025</v>
      </c>
      <c r="AB2395" s="15" t="str">
        <f aca="true">IF(S2395="","",DATEDIF(S2395,TODAY(),"Y")&amp;" Tahun, "&amp;DATEDIF(S2395,TODAY(),"YM")&amp;" Bulan, "&amp;DATEDIF(S2395,TODAY(),"MD")&amp;" Hari")</f>
        <v>26 Tahun, 8 Bulan, 11 Hari</v>
      </c>
      <c r="AC2395" s="18" t="n">
        <v>45839</v>
      </c>
      <c r="AD2395" s="18" t="n">
        <v>45930</v>
      </c>
      <c r="AE2395" s="18" t="s">
        <v>44</v>
      </c>
    </row>
    <row r="2396" customFormat="false" ht="15" hidden="false" customHeight="true" outlineLevel="0" collapsed="false">
      <c r="A2396" s="12" t="n">
        <v>20007</v>
      </c>
      <c r="B2396" s="13" t="s">
        <v>10273</v>
      </c>
      <c r="C2396" s="16" t="n">
        <v>45839</v>
      </c>
      <c r="D2396" s="13" t="s">
        <v>10155</v>
      </c>
      <c r="E2396" s="15" t="s">
        <v>47</v>
      </c>
      <c r="F2396" s="15" t="str">
        <f aca="false">IFERROR(__xludf.dummyfunction("XLOOKUP(AJ2396,IMPORTRANGE(""1XaInW9DU9nz21V0tYIfzFQ0He9kVQ_JF2mCXgZ3hqFA"",""REKAP ALL 2026 - Andika!G:G""),IMPORTRANGE(""1XaInW9DU9nz21V0tYIfzFQ0He9kVQ_JF2mCXgZ3hqFA"",""REKAP ALL 2026 - Andika!F:F""),"""",0)"),"25099755826")</f>
        <v>25099755826</v>
      </c>
      <c r="G2396" s="13" t="s">
        <v>10274</v>
      </c>
      <c r="H2396" s="13" t="s">
        <v>35</v>
      </c>
      <c r="I2396" s="13" t="str">
        <f aca="false">IF(C2396=J2396,"NEW KONTRAK","RE-KONTRAK")</f>
        <v>NEW KONTRAK</v>
      </c>
      <c r="J2396" s="16" t="n">
        <f aca="false" t="array" ref="J2396:J2396">IFERROR(INDEX(AC2396:AE2396,IF(COUNTA(AC2396:AE2396)=0,"",MAX((AC2396:AE2396&lt;&gt;"")*(COLUMN(AC2396:AE2396)-(COLUMN(AC2396)))))-1),"")</f>
        <v>45839</v>
      </c>
      <c r="K2396" s="16" t="n">
        <f aca="false" t="array" ref="K2396:K2396">IFERROR(INDEX(AC2396:AE2396,IF(COUNTA(AC2396:AE2396)=0,"",MAX((AC2396:AE2396&lt;&gt;"")*(COLUMN(AC2396:AE2396)-(COLUMN(AC2396)-1))))-1),"")</f>
        <v>45930</v>
      </c>
      <c r="L2396" s="17" t="str">
        <f aca="false" t="array" ref="L2396:L2396">IFERROR(INDEX(AC2396:AE2396,IF(COUNTA(AC2396:AE2396)=0,"",MAX((AC2396:AE2396&lt;&gt;"")*(COLUMN(AC2396:AE2396)-(COLUMN(AC2396)-2))))-1),"")</f>
        <v>ARCHIVED</v>
      </c>
      <c r="M2396" s="13" t="n">
        <f aca="true">K2396-TODAY()</f>
        <v>-394</v>
      </c>
      <c r="N2396" s="18" t="s">
        <v>36</v>
      </c>
      <c r="O2396" s="13" t="s">
        <v>10275</v>
      </c>
      <c r="P2396" s="27" t="n">
        <v>5195401</v>
      </c>
      <c r="Q2396" s="20" t="s">
        <v>10276</v>
      </c>
      <c r="R2396" s="13" t="s">
        <v>65</v>
      </c>
      <c r="S2396" s="16" t="n">
        <v>35574</v>
      </c>
      <c r="T2396" s="13" t="s">
        <v>108</v>
      </c>
      <c r="U2396" s="13" t="s">
        <v>10277</v>
      </c>
      <c r="V2396" s="13" t="s">
        <v>42</v>
      </c>
      <c r="W2396" s="13" t="s">
        <v>43</v>
      </c>
      <c r="X2396" s="21" t="n">
        <v>85748227899</v>
      </c>
      <c r="Y2396" s="22" t="str">
        <f aca="false">O2396</f>
        <v>Non Technic Local Purchasing</v>
      </c>
      <c r="Z2396" s="13" t="str">
        <f aca="false">IFERROR(__xludf.dummyfunction("if(BJ2396="""","""",GOOGLETRANSLATE(BJ2396,""auto"",""en""))"),"Non Technic Local Purchasing")</f>
        <v>Non Technic Local Purchasing</v>
      </c>
      <c r="AA2396" s="23" t="str">
        <f aca="false">IF(C2396="","", CHOOSE(MONTH(C2396),"January","February","March","April","May","June","July","August","September","October","November","December")&amp;" "&amp;DAY(C2396)&amp;MID("thstndrdth",MIN(9,2*RIGHT(DAY(C2396))*(MOD(DAY(C2396)-11,100)&gt;2)+1),2)&amp;","&amp;TEXT(C2396," yyyy"))</f>
        <v>July 1st,2025</v>
      </c>
      <c r="AB2396" s="15" t="str">
        <f aca="true">IF(S2396="","",DATEDIF(S2396,TODAY(),"Y")&amp;" Tahun, "&amp;DATEDIF(S2396,TODAY(),"YM")&amp;" Bulan, "&amp;DATEDIF(S2396,TODAY(),"MD")&amp;" Hari")</f>
        <v>29 Tahun, 5 Bulan, 5 Hari</v>
      </c>
      <c r="AC2396" s="18" t="n">
        <v>45839</v>
      </c>
      <c r="AD2396" s="18" t="n">
        <v>45930</v>
      </c>
      <c r="AE2396" s="18" t="s">
        <v>44</v>
      </c>
    </row>
    <row r="2397" customFormat="false" ht="15" hidden="false" customHeight="true" outlineLevel="0" collapsed="false">
      <c r="A2397" s="12" t="n">
        <v>20008</v>
      </c>
      <c r="B2397" s="13" t="s">
        <v>10278</v>
      </c>
      <c r="C2397" s="16" t="n">
        <v>45839</v>
      </c>
      <c r="D2397" s="13" t="s">
        <v>10155</v>
      </c>
      <c r="E2397" s="15" t="s">
        <v>47</v>
      </c>
      <c r="F2397" s="15" t="str">
        <f aca="false">IFERROR(__xludf.dummyfunction("XLOOKUP(AJ2397,IMPORTRANGE(""1XaInW9DU9nz21V0tYIfzFQ0He9kVQ_JF2mCXgZ3hqFA"",""REKAP ALL 2026 - Andika!G:G""),IMPORTRANGE(""1XaInW9DU9nz21V0tYIfzFQ0He9kVQ_JF2mCXgZ3hqFA"",""REKAP ALL 2026 - Andika!F:F""),"""",0)"),"17051375289")</f>
        <v>17051375289</v>
      </c>
      <c r="G2397" s="13" t="s">
        <v>10279</v>
      </c>
      <c r="H2397" s="13" t="s">
        <v>35</v>
      </c>
      <c r="I2397" s="13" t="str">
        <f aca="false">IF(C2397=J2397,"NEW KONTRAK","RE-KONTRAK")</f>
        <v>NEW KONTRAK</v>
      </c>
      <c r="J2397" s="16" t="n">
        <f aca="false" t="array" ref="J2397:J2397">IFERROR(INDEX(AC2397:AE2397,IF(COUNTA(AC2397:AE2397)=0,"",MAX((AC2397:AE2397&lt;&gt;"")*(COLUMN(AC2397:AE2397)-(COLUMN(AC2397)))))-1),"")</f>
        <v>45839</v>
      </c>
      <c r="K2397" s="16" t="n">
        <f aca="false" t="array" ref="K2397:K2397">IFERROR(INDEX(AC2397:AE2397,IF(COUNTA(AC2397:AE2397)=0,"",MAX((AC2397:AE2397&lt;&gt;"")*(COLUMN(AC2397:AE2397)-(COLUMN(AC2397)-1))))-1),"")</f>
        <v>45930</v>
      </c>
      <c r="L2397" s="17" t="str">
        <f aca="false" t="array" ref="L2397:L2397">IFERROR(INDEX(AC2397:AE2397,IF(COUNTA(AC2397:AE2397)=0,"",MAX((AC2397:AE2397&lt;&gt;"")*(COLUMN(AC2397:AE2397)-(COLUMN(AC2397)-2))))-1),"")</f>
        <v>ARCHIVED</v>
      </c>
      <c r="M2397" s="13" t="n">
        <f aca="true">K2397-TODAY()</f>
        <v>-394</v>
      </c>
      <c r="N2397" s="18" t="s">
        <v>36</v>
      </c>
      <c r="O2397" s="13" t="s">
        <v>10280</v>
      </c>
      <c r="P2397" s="27" t="n">
        <v>5195401</v>
      </c>
      <c r="Q2397" s="20" t="s">
        <v>10281</v>
      </c>
      <c r="R2397" s="13" t="s">
        <v>826</v>
      </c>
      <c r="S2397" s="16" t="n">
        <v>34904</v>
      </c>
      <c r="T2397" s="13" t="s">
        <v>40</v>
      </c>
      <c r="U2397" s="13" t="s">
        <v>10282</v>
      </c>
      <c r="V2397" s="13" t="s">
        <v>42</v>
      </c>
      <c r="W2397" s="13" t="s">
        <v>43</v>
      </c>
      <c r="X2397" s="21" t="n">
        <v>85884101235</v>
      </c>
      <c r="Y2397" s="22" t="str">
        <f aca="false">O2397</f>
        <v>IS Centre Of Manufacturing Excellence</v>
      </c>
      <c r="Z2397" s="13" t="str">
        <f aca="false">IFERROR(__xludf.dummyfunction("if(BJ2397="""","""",GOOGLETRANSLATE(BJ2397,""auto"",""en""))"),"IS Centre Of Manufacturing Excellence")</f>
        <v>IS Centre Of Manufacturing Excellence</v>
      </c>
      <c r="AA2397" s="23" t="str">
        <f aca="false">IF(C2397="","", CHOOSE(MONTH(C2397),"January","February","March","April","May","June","July","August","September","October","November","December")&amp;" "&amp;DAY(C2397)&amp;MID("thstndrdth",MIN(9,2*RIGHT(DAY(C2397))*(MOD(DAY(C2397)-11,100)&gt;2)+1),2)&amp;","&amp;TEXT(C2397," yyyy"))</f>
        <v>July 1st,2025</v>
      </c>
      <c r="AB2397" s="15" t="str">
        <f aca="true">IF(S2397="","",DATEDIF(S2397,TODAY(),"Y")&amp;" Tahun, "&amp;DATEDIF(S2397,TODAY(),"YM")&amp;" Bulan, "&amp;DATEDIF(S2397,TODAY(),"MD")&amp;" Hari")</f>
        <v>31 Tahun, 3 Bulan, 5 Hari</v>
      </c>
      <c r="AC2397" s="18" t="n">
        <v>45839</v>
      </c>
      <c r="AD2397" s="18" t="n">
        <v>45930</v>
      </c>
      <c r="AE2397" s="18" t="s">
        <v>44</v>
      </c>
    </row>
    <row r="2398" customFormat="false" ht="15" hidden="false" customHeight="true" outlineLevel="0" collapsed="false">
      <c r="A2398" s="12" t="n">
        <v>20012</v>
      </c>
      <c r="B2398" s="13" t="s">
        <v>10283</v>
      </c>
      <c r="C2398" s="16" t="n">
        <v>45839</v>
      </c>
      <c r="D2398" s="13" t="s">
        <v>10155</v>
      </c>
      <c r="E2398" s="15" t="s">
        <v>47</v>
      </c>
      <c r="F2398" s="15" t="str">
        <f aca="false">IFERROR(__xludf.dummyfunction("XLOOKUP(AJ2398,IMPORTRANGE(""1XaInW9DU9nz21V0tYIfzFQ0He9kVQ_JF2mCXgZ3hqFA"",""REKAP ALL 2026 - Andika!G:G""),IMPORTRANGE(""1XaInW9DU9nz21V0tYIfzFQ0He9kVQ_JF2mCXgZ3hqFA"",""REKAP ALL 2026 - Andika!F:F""),"""",0)"),"25099755875")</f>
        <v>25099755875</v>
      </c>
      <c r="G2398" s="13" t="s">
        <v>10284</v>
      </c>
      <c r="H2398" s="13" t="s">
        <v>35</v>
      </c>
      <c r="I2398" s="13" t="str">
        <f aca="false">IF(C2398=J2398,"NEW KONTRAK","RE-KONTRAK")</f>
        <v>NEW KONTRAK</v>
      </c>
      <c r="J2398" s="16" t="n">
        <f aca="false" t="array" ref="J2398:J2398">IFERROR(INDEX(AC2398:AE2398,IF(COUNTA(AC2398:AE2398)=0,"",MAX((AC2398:AE2398&lt;&gt;"")*(COLUMN(AC2398:AE2398)-(COLUMN(AC2398)))))-1),"")</f>
        <v>45839</v>
      </c>
      <c r="K2398" s="16" t="n">
        <f aca="false" t="array" ref="K2398:K2398">IFERROR(INDEX(AC2398:AE2398,IF(COUNTA(AC2398:AE2398)=0,"",MAX((AC2398:AE2398&lt;&gt;"")*(COLUMN(AC2398:AE2398)-(COLUMN(AC2398)-1))))-1),"")</f>
        <v>45930</v>
      </c>
      <c r="L2398" s="17" t="str">
        <f aca="false" t="array" ref="L2398:L2398">IFERROR(INDEX(AC2398:AE2398,IF(COUNTA(AC2398:AE2398)=0,"",MAX((AC2398:AE2398&lt;&gt;"")*(COLUMN(AC2398:AE2398)-(COLUMN(AC2398)-2))))-1),"")</f>
        <v>ARCHIVED</v>
      </c>
      <c r="M2398" s="13" t="n">
        <f aca="true">K2398-TODAY()</f>
        <v>-394</v>
      </c>
      <c r="N2398" s="18" t="s">
        <v>36</v>
      </c>
      <c r="O2398" s="13" t="s">
        <v>10180</v>
      </c>
      <c r="P2398" s="27" t="n">
        <v>5195401</v>
      </c>
      <c r="Q2398" s="20" t="s">
        <v>10285</v>
      </c>
      <c r="R2398" s="13" t="s">
        <v>65</v>
      </c>
      <c r="S2398" s="16" t="n">
        <v>37174</v>
      </c>
      <c r="T2398" s="13" t="s">
        <v>40</v>
      </c>
      <c r="U2398" s="13" t="s">
        <v>10286</v>
      </c>
      <c r="V2398" s="13" t="s">
        <v>42</v>
      </c>
      <c r="W2398" s="13" t="s">
        <v>43</v>
      </c>
      <c r="X2398" s="21" t="n">
        <v>85257556200</v>
      </c>
      <c r="Y2398" s="22" t="str">
        <f aca="false">O2398</f>
        <v>LS P1 - PPC</v>
      </c>
      <c r="Z2398" s="13" t="str">
        <f aca="false">IFERROR(__xludf.dummyfunction("if(BJ2398="""","""",GOOGLETRANSLATE(BJ2398,""auto"",""en""))"),"LS P1 - PPC")</f>
        <v>LS P1 - PPC</v>
      </c>
      <c r="AA2398" s="23" t="str">
        <f aca="false">IF(C2398="","", CHOOSE(MONTH(C2398),"January","February","March","April","May","June","July","August","September","October","November","December")&amp;" "&amp;DAY(C2398)&amp;MID("thstndrdth",MIN(9,2*RIGHT(DAY(C2398))*(MOD(DAY(C2398)-11,100)&gt;2)+1),2)&amp;","&amp;TEXT(C2398," yyyy"))</f>
        <v>July 1st,2025</v>
      </c>
      <c r="AB2398" s="15" t="str">
        <f aca="true">IF(S2398="","",DATEDIF(S2398,TODAY(),"Y")&amp;" Tahun, "&amp;DATEDIF(S2398,TODAY(),"YM")&amp;" Bulan, "&amp;DATEDIF(S2398,TODAY(),"MD")&amp;" Hari")</f>
        <v>25 Tahun, 0 Bulan, 19 Hari</v>
      </c>
      <c r="AC2398" s="18" t="n">
        <v>45839</v>
      </c>
      <c r="AD2398" s="18" t="n">
        <v>45930</v>
      </c>
      <c r="AE2398" s="18" t="s">
        <v>44</v>
      </c>
    </row>
    <row r="2399" customFormat="false" ht="15" hidden="false" customHeight="true" outlineLevel="0" collapsed="false">
      <c r="A2399" s="12" t="n">
        <v>20009</v>
      </c>
      <c r="B2399" s="13" t="s">
        <v>10287</v>
      </c>
      <c r="C2399" s="16" t="n">
        <v>45839</v>
      </c>
      <c r="D2399" s="13" t="s">
        <v>10155</v>
      </c>
      <c r="E2399" s="15" t="s">
        <v>33</v>
      </c>
      <c r="F2399" s="24" t="s">
        <v>10288</v>
      </c>
      <c r="G2399" s="13" t="s">
        <v>10289</v>
      </c>
      <c r="H2399" s="13" t="s">
        <v>35</v>
      </c>
      <c r="I2399" s="13" t="str">
        <f aca="false">IF(C2399=J2399,"NEW KONTRAK","RE-KONTRAK")</f>
        <v>NEW KONTRAK</v>
      </c>
      <c r="J2399" s="16" t="n">
        <f aca="false" t="array" ref="J2399:J2399">IFERROR(INDEX(AC2399:AE2399,IF(COUNTA(AC2399:AE2399)=0,"",MAX((AC2399:AE2399&lt;&gt;"")*(COLUMN(AC2399:AE2399)-(COLUMN(AC2399)))))-1),"")</f>
        <v>45839</v>
      </c>
      <c r="K2399" s="16" t="n">
        <f aca="false" t="array" ref="K2399:K2399">IFERROR(INDEX(AC2399:AE2399,IF(COUNTA(AC2399:AE2399)=0,"",MAX((AC2399:AE2399&lt;&gt;"")*(COLUMN(AC2399:AE2399)-(COLUMN(AC2399)-1))))-1),"")</f>
        <v>45930</v>
      </c>
      <c r="L2399" s="17" t="str">
        <f aca="false" t="array" ref="L2399:L2399">IFERROR(INDEX(AC2399:AE2399,IF(COUNTA(AC2399:AE2399)=0,"",MAX((AC2399:AE2399&lt;&gt;"")*(COLUMN(AC2399:AE2399)-(COLUMN(AC2399)-2))))-1),"")</f>
        <v>ARCHIVED</v>
      </c>
      <c r="M2399" s="13" t="n">
        <f aca="true">K2399-TODAY()</f>
        <v>-394</v>
      </c>
      <c r="N2399" s="18" t="s">
        <v>36</v>
      </c>
      <c r="O2399" s="13" t="s">
        <v>10176</v>
      </c>
      <c r="P2399" s="27" t="n">
        <v>5195401</v>
      </c>
      <c r="Q2399" s="20" t="s">
        <v>10290</v>
      </c>
      <c r="R2399" s="13" t="s">
        <v>78</v>
      </c>
      <c r="S2399" s="16" t="n">
        <v>37204</v>
      </c>
      <c r="T2399" s="13" t="s">
        <v>40</v>
      </c>
      <c r="U2399" s="13" t="s">
        <v>10291</v>
      </c>
      <c r="V2399" s="13" t="s">
        <v>42</v>
      </c>
      <c r="W2399" s="13" t="s">
        <v>43</v>
      </c>
      <c r="X2399" s="21" t="n">
        <v>881036129757</v>
      </c>
      <c r="Y2399" s="22" t="str">
        <f aca="false">O2399</f>
        <v>LS P2 &amp; P5 - PPC</v>
      </c>
      <c r="Z2399" s="13" t="str">
        <f aca="false">IFERROR(__xludf.dummyfunction("if(BJ2399="""","""",GOOGLETRANSLATE(BJ2399,""auto"",""en""))"),"LS P2 &amp; P5 - PPC")</f>
        <v>LS P2 &amp; P5 - PPC</v>
      </c>
      <c r="AA2399" s="23" t="str">
        <f aca="false">IF(C2399="","", CHOOSE(MONTH(C2399),"January","February","March","April","May","June","July","August","September","October","November","December")&amp;" "&amp;DAY(C2399)&amp;MID("thstndrdth",MIN(9,2*RIGHT(DAY(C2399))*(MOD(DAY(C2399)-11,100)&gt;2)+1),2)&amp;","&amp;TEXT(C2399," yyyy"))</f>
        <v>July 1st,2025</v>
      </c>
      <c r="AB2399" s="15" t="str">
        <f aca="true">IF(S2399="","",DATEDIF(S2399,TODAY(),"Y")&amp;" Tahun, "&amp;DATEDIF(S2399,TODAY(),"YM")&amp;" Bulan, "&amp;DATEDIF(S2399,TODAY(),"MD")&amp;" Hari")</f>
        <v>24 Tahun, 11 Bulan, 20 Hari</v>
      </c>
      <c r="AC2399" s="18" t="n">
        <v>45839</v>
      </c>
      <c r="AD2399" s="18" t="n">
        <v>45930</v>
      </c>
      <c r="AE2399" s="18" t="s">
        <v>44</v>
      </c>
    </row>
    <row r="2400" customFormat="false" ht="15" hidden="false" customHeight="true" outlineLevel="0" collapsed="false">
      <c r="A2400" s="12" t="n">
        <v>20010</v>
      </c>
      <c r="B2400" s="13" t="s">
        <v>10292</v>
      </c>
      <c r="C2400" s="16" t="n">
        <v>45839</v>
      </c>
      <c r="D2400" s="13" t="s">
        <v>10155</v>
      </c>
      <c r="E2400" s="15" t="s">
        <v>8354</v>
      </c>
      <c r="F2400" s="24" t="s">
        <v>10293</v>
      </c>
      <c r="G2400" s="13" t="s">
        <v>10294</v>
      </c>
      <c r="H2400" s="13" t="s">
        <v>35</v>
      </c>
      <c r="I2400" s="13" t="str">
        <f aca="false">IF(C2400=J2400,"NEW KONTRAK","RE-KONTRAK")</f>
        <v>NEW KONTRAK</v>
      </c>
      <c r="J2400" s="16" t="n">
        <f aca="false" t="array" ref="J2400:J2400">IFERROR(INDEX(AC2400:AE2400,IF(COUNTA(AC2400:AE2400)=0,"",MAX((AC2400:AE2400&lt;&gt;"")*(COLUMN(AC2400:AE2400)-(COLUMN(AC2400)))))-1),"")</f>
        <v>45839</v>
      </c>
      <c r="K2400" s="16" t="n">
        <f aca="false" t="array" ref="K2400:K2400">IFERROR(INDEX(AC2400:AE2400,IF(COUNTA(AC2400:AE2400)=0,"",MAX((AC2400:AE2400&lt;&gt;"")*(COLUMN(AC2400:AE2400)-(COLUMN(AC2400)-1))))-1),"")</f>
        <v>45930</v>
      </c>
      <c r="L2400" s="17" t="str">
        <f aca="false" t="array" ref="L2400:L2400">IFERROR(INDEX(AC2400:AE2400,IF(COUNTA(AC2400:AE2400)=0,"",MAX((AC2400:AE2400&lt;&gt;"")*(COLUMN(AC2400:AE2400)-(COLUMN(AC2400)-2))))-1),"")</f>
        <v>ARCHIVED</v>
      </c>
      <c r="M2400" s="13" t="n">
        <f aca="true">K2400-TODAY()</f>
        <v>-394</v>
      </c>
      <c r="N2400" s="18" t="s">
        <v>36</v>
      </c>
      <c r="O2400" s="13" t="s">
        <v>10295</v>
      </c>
      <c r="P2400" s="27" t="n">
        <v>5195401</v>
      </c>
      <c r="Q2400" s="20" t="s">
        <v>10296</v>
      </c>
      <c r="R2400" s="13" t="s">
        <v>65</v>
      </c>
      <c r="S2400" s="16" t="n">
        <v>34798</v>
      </c>
      <c r="T2400" s="13" t="s">
        <v>40</v>
      </c>
      <c r="U2400" s="13" t="s">
        <v>10297</v>
      </c>
      <c r="V2400" s="13" t="s">
        <v>42</v>
      </c>
      <c r="W2400" s="13" t="s">
        <v>54</v>
      </c>
      <c r="X2400" s="21" t="n">
        <v>87854430196</v>
      </c>
      <c r="Y2400" s="22" t="str">
        <f aca="false">O2400</f>
        <v>International After Market Sales</v>
      </c>
      <c r="Z2400" s="13" t="str">
        <f aca="false">IFERROR(__xludf.dummyfunction("if(BJ2400="""","""",GOOGLETRANSLATE(BJ2400,""auto"",""en""))"),"International After Market Sales")</f>
        <v>International After Market Sales</v>
      </c>
      <c r="AA2400" s="23" t="str">
        <f aca="false">IF(C2400="","", CHOOSE(MONTH(C2400),"January","February","March","April","May","June","July","August","September","October","November","December")&amp;" "&amp;DAY(C2400)&amp;MID("thstndrdth",MIN(9,2*RIGHT(DAY(C2400))*(MOD(DAY(C2400)-11,100)&gt;2)+1),2)&amp;","&amp;TEXT(C2400," yyyy"))</f>
        <v>July 1st,2025</v>
      </c>
      <c r="AB2400" s="15" t="str">
        <f aca="true">IF(S2400="","",DATEDIF(S2400,TODAY(),"Y")&amp;" Tahun, "&amp;DATEDIF(S2400,TODAY(),"YM")&amp;" Bulan, "&amp;DATEDIF(S2400,TODAY(),"MD")&amp;" Hari")</f>
        <v>31 Tahun, 6 Bulan, 20 Hari</v>
      </c>
      <c r="AC2400" s="18" t="n">
        <v>45839</v>
      </c>
      <c r="AD2400" s="18" t="n">
        <v>45930</v>
      </c>
      <c r="AE2400" s="18" t="s">
        <v>44</v>
      </c>
    </row>
    <row r="2401" customFormat="false" ht="15" hidden="false" customHeight="true" outlineLevel="0" collapsed="false">
      <c r="A2401" s="12" t="n">
        <v>20011</v>
      </c>
      <c r="B2401" s="13" t="s">
        <v>10298</v>
      </c>
      <c r="C2401" s="16" t="n">
        <v>45839</v>
      </c>
      <c r="D2401" s="13" t="s">
        <v>10155</v>
      </c>
      <c r="E2401" s="15" t="s">
        <v>102</v>
      </c>
      <c r="F2401" s="24" t="s">
        <v>10299</v>
      </c>
      <c r="G2401" s="13" t="s">
        <v>10300</v>
      </c>
      <c r="H2401" s="13" t="s">
        <v>35</v>
      </c>
      <c r="I2401" s="13" t="str">
        <f aca="false">IF(C2401=J2401,"NEW KONTRAK","RE-KONTRAK")</f>
        <v>NEW KONTRAK</v>
      </c>
      <c r="J2401" s="16" t="n">
        <f aca="false" t="array" ref="J2401:J2401">IFERROR(INDEX(AC2401:AE2401,IF(COUNTA(AC2401:AE2401)=0,"",MAX((AC2401:AE2401&lt;&gt;"")*(COLUMN(AC2401:AE2401)-(COLUMN(AC2401)))))-1),"")</f>
        <v>45839</v>
      </c>
      <c r="K2401" s="16" t="n">
        <f aca="false" t="array" ref="K2401:K2401">IFERROR(INDEX(AC2401:AE2401,IF(COUNTA(AC2401:AE2401)=0,"",MAX((AC2401:AE2401&lt;&gt;"")*(COLUMN(AC2401:AE2401)-(COLUMN(AC2401)-1))))-1),"")</f>
        <v>45930</v>
      </c>
      <c r="L2401" s="17" t="str">
        <f aca="false" t="array" ref="L2401:L2401">IFERROR(INDEX(AC2401:AE2401,IF(COUNTA(AC2401:AE2401)=0,"",MAX((AC2401:AE2401&lt;&gt;"")*(COLUMN(AC2401:AE2401)-(COLUMN(AC2401)-2))))-1),"")</f>
        <v>ARCHIVED</v>
      </c>
      <c r="M2401" s="13" t="n">
        <f aca="true">K2401-TODAY()</f>
        <v>-394</v>
      </c>
      <c r="N2401" s="18" t="s">
        <v>36</v>
      </c>
      <c r="O2401" s="13" t="s">
        <v>10191</v>
      </c>
      <c r="P2401" s="27" t="n">
        <v>5195401</v>
      </c>
      <c r="Q2401" s="20" t="s">
        <v>10301</v>
      </c>
      <c r="R2401" s="13" t="s">
        <v>65</v>
      </c>
      <c r="S2401" s="16" t="n">
        <v>37093</v>
      </c>
      <c r="T2401" s="13" t="s">
        <v>40</v>
      </c>
      <c r="U2401" s="13" t="s">
        <v>10211</v>
      </c>
      <c r="V2401" s="13" t="s">
        <v>42</v>
      </c>
      <c r="W2401" s="13" t="s">
        <v>43</v>
      </c>
      <c r="X2401" s="21" t="n">
        <v>88217721204</v>
      </c>
      <c r="Y2401" s="22" t="str">
        <f aca="false">O2401</f>
        <v>LS P1 - QC &amp; Incoming</v>
      </c>
      <c r="Z2401" s="13" t="str">
        <f aca="false">IFERROR(__xludf.dummyfunction("if(BJ2401="""","""",GOOGLETRANSLATE(BJ2401,""auto"",""en""))"),"LS P1 - QC &amp; Incoming")</f>
        <v>LS P1 - QC &amp; Incoming</v>
      </c>
      <c r="AA2401" s="23" t="str">
        <f aca="false">IF(C2401="","", CHOOSE(MONTH(C2401),"January","February","March","April","May","June","July","August","September","October","November","December")&amp;" "&amp;DAY(C2401)&amp;MID("thstndrdth",MIN(9,2*RIGHT(DAY(C2401))*(MOD(DAY(C2401)-11,100)&gt;2)+1),2)&amp;","&amp;TEXT(C2401," yyyy"))</f>
        <v>July 1st,2025</v>
      </c>
      <c r="AB2401" s="15" t="str">
        <f aca="true">IF(S2401="","",DATEDIF(S2401,TODAY(),"Y")&amp;" Tahun, "&amp;DATEDIF(S2401,TODAY(),"YM")&amp;" Bulan, "&amp;DATEDIF(S2401,TODAY(),"MD")&amp;" Hari")</f>
        <v>25 Tahun, 3 Bulan, 8 Hari</v>
      </c>
      <c r="AC2401" s="18" t="n">
        <v>45839</v>
      </c>
      <c r="AD2401" s="18" t="n">
        <v>45930</v>
      </c>
      <c r="AE2401" s="18" t="s">
        <v>44</v>
      </c>
    </row>
    <row r="2402" customFormat="false" ht="15" hidden="false" customHeight="true" outlineLevel="0" collapsed="false">
      <c r="A2402" s="12" t="n">
        <v>20013</v>
      </c>
      <c r="B2402" s="13" t="s">
        <v>10302</v>
      </c>
      <c r="C2402" s="16" t="n">
        <v>45839</v>
      </c>
      <c r="D2402" s="13" t="s">
        <v>10155</v>
      </c>
      <c r="E2402" s="15" t="s">
        <v>47</v>
      </c>
      <c r="F2402" s="15" t="str">
        <f aca="false">IFERROR(__xludf.dummyfunction("XLOOKUP(AJ2402,IMPORTRANGE(""1XaInW9DU9nz21V0tYIfzFQ0He9kVQ_JF2mCXgZ3hqFA"",""REKAP ALL 2026 - Andika!G:G""),IMPORTRANGE(""1XaInW9DU9nz21V0tYIfzFQ0He9kVQ_JF2mCXgZ3hqFA"",""REKAP ALL 2026 - Andika!F:F""),"""",0)"),"25099755883")</f>
        <v>25099755883</v>
      </c>
      <c r="G2402" s="13" t="s">
        <v>10303</v>
      </c>
      <c r="H2402" s="13" t="s">
        <v>35</v>
      </c>
      <c r="I2402" s="13" t="str">
        <f aca="false">IF(C2402=J2402,"NEW KONTRAK","RE-KONTRAK")</f>
        <v>NEW KONTRAK</v>
      </c>
      <c r="J2402" s="16" t="n">
        <f aca="false" t="array" ref="J2402:J2402">IFERROR(INDEX(AC2402:AE2402,IF(COUNTA(AC2402:AE2402)=0,"",MAX((AC2402:AE2402&lt;&gt;"")*(COLUMN(AC2402:AE2402)-(COLUMN(AC2402)))))-1),"")</f>
        <v>45839</v>
      </c>
      <c r="K2402" s="16" t="n">
        <f aca="false" t="array" ref="K2402:K2402">IFERROR(INDEX(AC2402:AE2402,IF(COUNTA(AC2402:AE2402)=0,"",MAX((AC2402:AE2402&lt;&gt;"")*(COLUMN(AC2402:AE2402)-(COLUMN(AC2402)-1))))-1),"")</f>
        <v>45930</v>
      </c>
      <c r="L2402" s="17" t="str">
        <f aca="false" t="array" ref="L2402:L2402">IFERROR(INDEX(AC2402:AE2402,IF(COUNTA(AC2402:AE2402)=0,"",MAX((AC2402:AE2402&lt;&gt;"")*(COLUMN(AC2402:AE2402)-(COLUMN(AC2402)-2))))-1),"")</f>
        <v>ARCHIVED</v>
      </c>
      <c r="M2402" s="13" t="n">
        <f aca="true">K2402-TODAY()</f>
        <v>-394</v>
      </c>
      <c r="N2402" s="18" t="s">
        <v>36</v>
      </c>
      <c r="O2402" s="13" t="s">
        <v>10176</v>
      </c>
      <c r="P2402" s="27" t="n">
        <v>5195401</v>
      </c>
      <c r="Q2402" s="20" t="s">
        <v>10304</v>
      </c>
      <c r="R2402" s="13" t="s">
        <v>65</v>
      </c>
      <c r="S2402" s="16" t="n">
        <v>35884</v>
      </c>
      <c r="T2402" s="13" t="s">
        <v>40</v>
      </c>
      <c r="U2402" s="13" t="s">
        <v>10305</v>
      </c>
      <c r="V2402" s="13" t="s">
        <v>42</v>
      </c>
      <c r="W2402" s="13" t="s">
        <v>43</v>
      </c>
      <c r="X2402" s="21" t="n">
        <v>88901146240</v>
      </c>
      <c r="Y2402" s="22" t="str">
        <f aca="false">O2402</f>
        <v>LS P2 &amp; P5 - PPC</v>
      </c>
      <c r="Z2402" s="13" t="str">
        <f aca="false">IFERROR(__xludf.dummyfunction("if(BJ2402="""","""",GOOGLETRANSLATE(BJ2402,""auto"",""en""))"),"LS P2 &amp; P5 - PPC")</f>
        <v>LS P2 &amp; P5 - PPC</v>
      </c>
      <c r="AA2402" s="23" t="str">
        <f aca="false">IF(C2402="","", CHOOSE(MONTH(C2402),"January","February","March","April","May","June","July","August","September","October","November","December")&amp;" "&amp;DAY(C2402)&amp;MID("thstndrdth",MIN(9,2*RIGHT(DAY(C2402))*(MOD(DAY(C2402)-11,100)&gt;2)+1),2)&amp;","&amp;TEXT(C2402," yyyy"))</f>
        <v>July 1st,2025</v>
      </c>
      <c r="AB2402" s="15" t="str">
        <f aca="true">IF(S2402="","",DATEDIF(S2402,TODAY(),"Y")&amp;" Tahun, "&amp;DATEDIF(S2402,TODAY(),"YM")&amp;" Bulan, "&amp;DATEDIF(S2402,TODAY(),"MD")&amp;" Hari")</f>
        <v>28 Tahun, 6 Bulan, 29 Hari</v>
      </c>
      <c r="AC2402" s="18" t="n">
        <v>45839</v>
      </c>
      <c r="AD2402" s="18" t="n">
        <v>45930</v>
      </c>
      <c r="AE2402" s="18" t="s">
        <v>44</v>
      </c>
    </row>
    <row r="2403" customFormat="false" ht="15" hidden="false" customHeight="true" outlineLevel="0" collapsed="false">
      <c r="A2403" s="12" t="n">
        <v>20015</v>
      </c>
      <c r="B2403" s="13" t="s">
        <v>10306</v>
      </c>
      <c r="C2403" s="16" t="n">
        <v>45839</v>
      </c>
      <c r="D2403" s="13" t="s">
        <v>10155</v>
      </c>
      <c r="E2403" s="15" t="s">
        <v>47</v>
      </c>
      <c r="F2403" s="15" t="str">
        <f aca="false">IFERROR(__xludf.dummyfunction("XLOOKUP(AJ2403,IMPORTRANGE(""1XaInW9DU9nz21V0tYIfzFQ0He9kVQ_JF2mCXgZ3hqFA"",""REKAP ALL 2026 - Andika!G:G""),IMPORTRANGE(""1XaInW9DU9nz21V0tYIfzFQ0He9kVQ_JF2mCXgZ3hqFA"",""REKAP ALL 2026 - Andika!F:F""),"""",0)"),"25099755917")</f>
        <v>25099755917</v>
      </c>
      <c r="G2403" s="13" t="s">
        <v>10307</v>
      </c>
      <c r="H2403" s="13" t="s">
        <v>35</v>
      </c>
      <c r="I2403" s="13" t="str">
        <f aca="false">IF(C2403=J2403,"NEW KONTRAK","RE-KONTRAK")</f>
        <v>NEW KONTRAK</v>
      </c>
      <c r="J2403" s="16" t="n">
        <f aca="false" t="array" ref="J2403:J2403">IFERROR(INDEX(AC2403:AE2403,IF(COUNTA(AC2403:AE2403)=0,"",MAX((AC2403:AE2403&lt;&gt;"")*(COLUMN(AC2403:AE2403)-(COLUMN(AC2403)))))-1),"")</f>
        <v>45839</v>
      </c>
      <c r="K2403" s="16" t="n">
        <f aca="false" t="array" ref="K2403:K2403">IFERROR(INDEX(AC2403:AE2403,IF(COUNTA(AC2403:AE2403)=0,"",MAX((AC2403:AE2403&lt;&gt;"")*(COLUMN(AC2403:AE2403)-(COLUMN(AC2403)-1))))-1),"")</f>
        <v>45930</v>
      </c>
      <c r="L2403" s="17" t="str">
        <f aca="false" t="array" ref="L2403:L2403">IFERROR(INDEX(AC2403:AE2403,IF(COUNTA(AC2403:AE2403)=0,"",MAX((AC2403:AE2403&lt;&gt;"")*(COLUMN(AC2403:AE2403)-(COLUMN(AC2403)-2))))-1),"")</f>
        <v>ARCHIVED</v>
      </c>
      <c r="M2403" s="13" t="n">
        <f aca="true">K2403-TODAY()</f>
        <v>-394</v>
      </c>
      <c r="N2403" s="18" t="s">
        <v>36</v>
      </c>
      <c r="O2403" s="13" t="s">
        <v>10308</v>
      </c>
      <c r="P2403" s="27" t="n">
        <v>5195401</v>
      </c>
      <c r="Q2403" s="20" t="s">
        <v>10309</v>
      </c>
      <c r="R2403" s="13" t="s">
        <v>65</v>
      </c>
      <c r="S2403" s="16" t="n">
        <v>37443</v>
      </c>
      <c r="T2403" s="13" t="s">
        <v>40</v>
      </c>
      <c r="U2403" s="13" t="s">
        <v>10310</v>
      </c>
      <c r="V2403" s="13" t="s">
        <v>42</v>
      </c>
      <c r="W2403" s="13" t="s">
        <v>43</v>
      </c>
      <c r="X2403" s="21" t="n">
        <v>89666044718</v>
      </c>
      <c r="Y2403" s="22" t="str">
        <f aca="false">O2403</f>
        <v>CS P1 QC &amp; Incoming</v>
      </c>
      <c r="Z2403" s="13" t="str">
        <f aca="false">IFERROR(__xludf.dummyfunction("if(BJ2403="""","""",GOOGLETRANSLATE(BJ2403,""auto"",""en""))"),"CS P1 QC &amp; Incoming")</f>
        <v>CS P1 QC &amp; Incoming</v>
      </c>
      <c r="AA2403" s="23" t="str">
        <f aca="false">IF(C2403="","", CHOOSE(MONTH(C2403),"January","February","March","April","May","June","July","August","September","October","November","December")&amp;" "&amp;DAY(C2403)&amp;MID("thstndrdth",MIN(9,2*RIGHT(DAY(C2403))*(MOD(DAY(C2403)-11,100)&gt;2)+1),2)&amp;","&amp;TEXT(C2403," yyyy"))</f>
        <v>July 1st,2025</v>
      </c>
      <c r="AB2403" s="15" t="str">
        <f aca="true">IF(S2403="","",DATEDIF(S2403,TODAY(),"Y")&amp;" Tahun, "&amp;DATEDIF(S2403,TODAY(),"YM")&amp;" Bulan, "&amp;DATEDIF(S2403,TODAY(),"MD")&amp;" Hari")</f>
        <v>24 Tahun, 3 Bulan, 23 Hari</v>
      </c>
      <c r="AC2403" s="18" t="n">
        <v>45839</v>
      </c>
      <c r="AD2403" s="18" t="n">
        <v>45930</v>
      </c>
      <c r="AE2403" s="18" t="s">
        <v>44</v>
      </c>
    </row>
    <row r="2404" customFormat="false" ht="15" hidden="false" customHeight="true" outlineLevel="0" collapsed="false">
      <c r="A2404" s="12" t="n">
        <v>20014</v>
      </c>
      <c r="B2404" s="13" t="s">
        <v>10311</v>
      </c>
      <c r="C2404" s="16" t="n">
        <v>45839</v>
      </c>
      <c r="D2404" s="13" t="s">
        <v>10155</v>
      </c>
      <c r="E2404" s="15" t="s">
        <v>789</v>
      </c>
      <c r="F2404" s="24" t="s">
        <v>10312</v>
      </c>
      <c r="G2404" s="13" t="s">
        <v>10313</v>
      </c>
      <c r="H2404" s="13" t="s">
        <v>35</v>
      </c>
      <c r="I2404" s="13" t="str">
        <f aca="false">IF(C2404=J2404,"NEW KONTRAK","RE-KONTRAK")</f>
        <v>NEW KONTRAK</v>
      </c>
      <c r="J2404" s="16" t="n">
        <f aca="false" t="array" ref="J2404:J2404">IFERROR(INDEX(AC2404:AE2404,IF(COUNTA(AC2404:AE2404)=0,"",MAX((AC2404:AE2404&lt;&gt;"")*(COLUMN(AC2404:AE2404)-(COLUMN(AC2404)))))-1),"")</f>
        <v>45839</v>
      </c>
      <c r="K2404" s="16" t="n">
        <f aca="false" t="array" ref="K2404:K2404">IFERROR(INDEX(AC2404:AE2404,IF(COUNTA(AC2404:AE2404)=0,"",MAX((AC2404:AE2404&lt;&gt;"")*(COLUMN(AC2404:AE2404)-(COLUMN(AC2404)-1))))-1),"")</f>
        <v>45930</v>
      </c>
      <c r="L2404" s="17" t="str">
        <f aca="false" t="array" ref="L2404:L2404">IFERROR(INDEX(AC2404:AE2404,IF(COUNTA(AC2404:AE2404)=0,"",MAX((AC2404:AE2404&lt;&gt;"")*(COLUMN(AC2404:AE2404)-(COLUMN(AC2404)-2))))-1),"")</f>
        <v>ARCHIVED</v>
      </c>
      <c r="M2404" s="13" t="n">
        <f aca="true">K2404-TODAY()</f>
        <v>-394</v>
      </c>
      <c r="N2404" s="18" t="s">
        <v>36</v>
      </c>
      <c r="O2404" s="13" t="s">
        <v>10265</v>
      </c>
      <c r="P2404" s="27" t="n">
        <v>5195401</v>
      </c>
      <c r="Q2404" s="20" t="s">
        <v>10314</v>
      </c>
      <c r="R2404" s="13" t="s">
        <v>78</v>
      </c>
      <c r="S2404" s="16" t="n">
        <v>35139</v>
      </c>
      <c r="T2404" s="13" t="s">
        <v>40</v>
      </c>
      <c r="U2404" s="13" t="s">
        <v>10315</v>
      </c>
      <c r="V2404" s="13" t="s">
        <v>42</v>
      </c>
      <c r="W2404" s="13" t="s">
        <v>43</v>
      </c>
      <c r="X2404" s="21" t="n">
        <v>83832577010</v>
      </c>
      <c r="Y2404" s="22" t="str">
        <f aca="false">O2404</f>
        <v>Inbound Raw Material P2</v>
      </c>
      <c r="Z2404" s="13" t="str">
        <f aca="false">IFERROR(__xludf.dummyfunction("if(BJ2404="""","""",GOOGLETRANSLATE(BJ2404,""auto"",""en""))"),"Inbound Raw Material P2")</f>
        <v>Inbound Raw Material P2</v>
      </c>
      <c r="AA2404" s="23" t="str">
        <f aca="false">IF(C2404="","", CHOOSE(MONTH(C2404),"January","February","March","April","May","June","July","August","September","October","November","December")&amp;" "&amp;DAY(C2404)&amp;MID("thstndrdth",MIN(9,2*RIGHT(DAY(C2404))*(MOD(DAY(C2404)-11,100)&gt;2)+1),2)&amp;","&amp;TEXT(C2404," yyyy"))</f>
        <v>July 1st,2025</v>
      </c>
      <c r="AB2404" s="15" t="str">
        <f aca="true">IF(S2404="","",DATEDIF(S2404,TODAY(),"Y")&amp;" Tahun, "&amp;DATEDIF(S2404,TODAY(),"YM")&amp;" Bulan, "&amp;DATEDIF(S2404,TODAY(),"MD")&amp;" Hari")</f>
        <v>30 Tahun, 7 Bulan, 14 Hari</v>
      </c>
      <c r="AC2404" s="18" t="n">
        <v>45839</v>
      </c>
      <c r="AD2404" s="18" t="n">
        <v>45930</v>
      </c>
      <c r="AE2404" s="18" t="s">
        <v>44</v>
      </c>
    </row>
    <row r="2405" customFormat="false" ht="15" hidden="false" customHeight="true" outlineLevel="0" collapsed="false">
      <c r="A2405" s="12" t="n">
        <v>20016</v>
      </c>
      <c r="B2405" s="13" t="s">
        <v>10316</v>
      </c>
      <c r="C2405" s="16" t="n">
        <v>45839</v>
      </c>
      <c r="D2405" s="13" t="s">
        <v>10155</v>
      </c>
      <c r="E2405" s="15" t="s">
        <v>47</v>
      </c>
      <c r="F2405" s="15" t="str">
        <f aca="false">IFERROR(__xludf.dummyfunction("XLOOKUP(AJ2405,IMPORTRANGE(""1XaInW9DU9nz21V0tYIfzFQ0He9kVQ_JF2mCXgZ3hqFA"",""REKAP ALL 2026 - Andika!G:G""),IMPORTRANGE(""1XaInW9DU9nz21V0tYIfzFQ0He9kVQ_JF2mCXgZ3hqFA"",""REKAP ALL 2026 - Andika!F:F""),"""",0)"),"25099755925")</f>
        <v>25099755925</v>
      </c>
      <c r="G2405" s="13" t="s">
        <v>10317</v>
      </c>
      <c r="H2405" s="13" t="s">
        <v>35</v>
      </c>
      <c r="I2405" s="13" t="str">
        <f aca="false">IF(C2405=J2405,"NEW KONTRAK","RE-KONTRAK")</f>
        <v>NEW KONTRAK</v>
      </c>
      <c r="J2405" s="16" t="n">
        <f aca="false" t="array" ref="J2405:J2405">IFERROR(INDEX(AC2405:AE2405,IF(COUNTA(AC2405:AE2405)=0,"",MAX((AC2405:AE2405&lt;&gt;"")*(COLUMN(AC2405:AE2405)-(COLUMN(AC2405)))))-1),"")</f>
        <v>45839</v>
      </c>
      <c r="K2405" s="16" t="n">
        <f aca="false" t="array" ref="K2405:K2405">IFERROR(INDEX(AC2405:AE2405,IF(COUNTA(AC2405:AE2405)=0,"",MAX((AC2405:AE2405&lt;&gt;"")*(COLUMN(AC2405:AE2405)-(COLUMN(AC2405)-1))))-1),"")</f>
        <v>45930</v>
      </c>
      <c r="L2405" s="17" t="str">
        <f aca="false" t="array" ref="L2405:L2405">IFERROR(INDEX(AC2405:AE2405,IF(COUNTA(AC2405:AE2405)=0,"",MAX((AC2405:AE2405&lt;&gt;"")*(COLUMN(AC2405:AE2405)-(COLUMN(AC2405)-2))))-1),"")</f>
        <v>ARCHIVED</v>
      </c>
      <c r="M2405" s="13" t="n">
        <f aca="true">K2405-TODAY()</f>
        <v>-394</v>
      </c>
      <c r="N2405" s="18" t="s">
        <v>36</v>
      </c>
      <c r="O2405" s="13" t="s">
        <v>10180</v>
      </c>
      <c r="P2405" s="27" t="n">
        <v>5195401</v>
      </c>
      <c r="Q2405" s="20" t="s">
        <v>10318</v>
      </c>
      <c r="R2405" s="13" t="s">
        <v>65</v>
      </c>
      <c r="S2405" s="16" t="n">
        <v>37533</v>
      </c>
      <c r="T2405" s="13" t="s">
        <v>40</v>
      </c>
      <c r="U2405" s="13" t="s">
        <v>10319</v>
      </c>
      <c r="V2405" s="13" t="s">
        <v>42</v>
      </c>
      <c r="W2405" s="13" t="s">
        <v>43</v>
      </c>
      <c r="X2405" s="21" t="n">
        <v>89636758443</v>
      </c>
      <c r="Y2405" s="22" t="str">
        <f aca="false">O2405</f>
        <v>LS P1 - PPC</v>
      </c>
      <c r="Z2405" s="13" t="str">
        <f aca="false">IFERROR(__xludf.dummyfunction("if(BJ2405="""","""",GOOGLETRANSLATE(BJ2405,""auto"",""en""))"),"LS P1 - PPC")</f>
        <v>LS P1 - PPC</v>
      </c>
      <c r="AA2405" s="23" t="str">
        <f aca="false">IF(C2405="","", CHOOSE(MONTH(C2405),"January","February","March","April","May","June","July","August","September","October","November","December")&amp;" "&amp;DAY(C2405)&amp;MID("thstndrdth",MIN(9,2*RIGHT(DAY(C2405))*(MOD(DAY(C2405)-11,100)&gt;2)+1),2)&amp;","&amp;TEXT(C2405," yyyy"))</f>
        <v>July 1st,2025</v>
      </c>
      <c r="AB2405" s="15" t="str">
        <f aca="true">IF(S2405="","",DATEDIF(S2405,TODAY(),"Y")&amp;" Tahun, "&amp;DATEDIF(S2405,TODAY(),"YM")&amp;" Bulan, "&amp;DATEDIF(S2405,TODAY(),"MD")&amp;" Hari")</f>
        <v>24 Tahun, 0 Bulan, 25 Hari</v>
      </c>
      <c r="AC2405" s="18" t="n">
        <v>45839</v>
      </c>
      <c r="AD2405" s="18" t="n">
        <v>45930</v>
      </c>
      <c r="AE2405" s="18" t="s">
        <v>44</v>
      </c>
    </row>
    <row r="2406" customFormat="false" ht="15" hidden="false" customHeight="true" outlineLevel="0" collapsed="false">
      <c r="A2406" s="12" t="n">
        <v>20017</v>
      </c>
      <c r="B2406" s="13" t="s">
        <v>10320</v>
      </c>
      <c r="C2406" s="16" t="n">
        <v>45839</v>
      </c>
      <c r="D2406" s="13" t="s">
        <v>10155</v>
      </c>
      <c r="E2406" s="15" t="s">
        <v>47</v>
      </c>
      <c r="F2406" s="15" t="str">
        <f aca="false">IFERROR(__xludf.dummyfunction("XLOOKUP(AJ2406,IMPORTRANGE(""1XaInW9DU9nz21V0tYIfzFQ0He9kVQ_JF2mCXgZ3hqFA"",""REKAP ALL 2026 - Andika!G:G""),IMPORTRANGE(""1XaInW9DU9nz21V0tYIfzFQ0He9kVQ_JF2mCXgZ3hqFA"",""REKAP ALL 2026 - Andika!F:F""),"""",0)"),"25099755933")</f>
        <v>25099755933</v>
      </c>
      <c r="G2406" s="13" t="s">
        <v>10321</v>
      </c>
      <c r="H2406" s="13" t="s">
        <v>35</v>
      </c>
      <c r="I2406" s="13" t="str">
        <f aca="false">IF(C2406=J2406,"NEW KONTRAK","RE-KONTRAK")</f>
        <v>NEW KONTRAK</v>
      </c>
      <c r="J2406" s="16" t="n">
        <f aca="false" t="array" ref="J2406:J2406">IFERROR(INDEX(AC2406:AE2406,IF(COUNTA(AC2406:AE2406)=0,"",MAX((AC2406:AE2406&lt;&gt;"")*(COLUMN(AC2406:AE2406)-(COLUMN(AC2406)))))-1),"")</f>
        <v>45839</v>
      </c>
      <c r="K2406" s="16" t="n">
        <f aca="false" t="array" ref="K2406:K2406">IFERROR(INDEX(AC2406:AE2406,IF(COUNTA(AC2406:AE2406)=0,"",MAX((AC2406:AE2406&lt;&gt;"")*(COLUMN(AC2406:AE2406)-(COLUMN(AC2406)-1))))-1),"")</f>
        <v>45930</v>
      </c>
      <c r="L2406" s="17" t="str">
        <f aca="false" t="array" ref="L2406:L2406">IFERROR(INDEX(AC2406:AE2406,IF(COUNTA(AC2406:AE2406)=0,"",MAX((AC2406:AE2406&lt;&gt;"")*(COLUMN(AC2406:AE2406)-(COLUMN(AC2406)-2))))-1),"")</f>
        <v>ARCHIVED</v>
      </c>
      <c r="M2406" s="13" t="n">
        <f aca="true">K2406-TODAY()</f>
        <v>-394</v>
      </c>
      <c r="N2406" s="18" t="s">
        <v>36</v>
      </c>
      <c r="O2406" s="13" t="s">
        <v>10180</v>
      </c>
      <c r="P2406" s="27" t="n">
        <v>5195401</v>
      </c>
      <c r="Q2406" s="20" t="s">
        <v>10322</v>
      </c>
      <c r="R2406" s="13" t="s">
        <v>65</v>
      </c>
      <c r="S2406" s="16" t="n">
        <v>36100</v>
      </c>
      <c r="T2406" s="13" t="s">
        <v>40</v>
      </c>
      <c r="U2406" s="13" t="s">
        <v>10323</v>
      </c>
      <c r="V2406" s="13" t="s">
        <v>42</v>
      </c>
      <c r="W2406" s="13" t="s">
        <v>43</v>
      </c>
      <c r="X2406" s="21" t="n">
        <v>85707910592</v>
      </c>
      <c r="Y2406" s="22" t="str">
        <f aca="false">O2406</f>
        <v>LS P1 - PPC</v>
      </c>
      <c r="Z2406" s="13" t="str">
        <f aca="false">IFERROR(__xludf.dummyfunction("if(BJ2406="""","""",GOOGLETRANSLATE(BJ2406,""auto"",""en""))"),"LS P1 - PPC")</f>
        <v>LS P1 - PPC</v>
      </c>
      <c r="AA2406" s="23" t="str">
        <f aca="false">IF(C2406="","", CHOOSE(MONTH(C2406),"January","February","March","April","May","June","July","August","September","October","November","December")&amp;" "&amp;DAY(C2406)&amp;MID("thstndrdth",MIN(9,2*RIGHT(DAY(C2406))*(MOD(DAY(C2406)-11,100)&gt;2)+1),2)&amp;","&amp;TEXT(C2406," yyyy"))</f>
        <v>July 1st,2025</v>
      </c>
      <c r="AB2406" s="15" t="str">
        <f aca="true">IF(S2406="","",DATEDIF(S2406,TODAY(),"Y")&amp;" Tahun, "&amp;DATEDIF(S2406,TODAY(),"YM")&amp;" Bulan, "&amp;DATEDIF(S2406,TODAY(),"MD")&amp;" Hari")</f>
        <v>27 Tahun, 11 Bulan, 28 Hari</v>
      </c>
      <c r="AC2406" s="18" t="n">
        <v>45839</v>
      </c>
      <c r="AD2406" s="18" t="n">
        <v>45930</v>
      </c>
      <c r="AE2406" s="18" t="s">
        <v>44</v>
      </c>
    </row>
    <row r="2407" customFormat="false" ht="15" hidden="false" customHeight="true" outlineLevel="0" collapsed="false">
      <c r="A2407" s="12" t="n">
        <v>20018</v>
      </c>
      <c r="B2407" s="13" t="s">
        <v>10324</v>
      </c>
      <c r="C2407" s="16" t="n">
        <v>45839</v>
      </c>
      <c r="D2407" s="13" t="s">
        <v>10155</v>
      </c>
      <c r="E2407" s="15" t="s">
        <v>47</v>
      </c>
      <c r="F2407" s="15" t="str">
        <f aca="false">IFERROR(__xludf.dummyfunction("XLOOKUP(AJ2407,IMPORTRANGE(""1XaInW9DU9nz21V0tYIfzFQ0He9kVQ_JF2mCXgZ3hqFA"",""REKAP ALL 2026 - Andika!G:G""),IMPORTRANGE(""1XaInW9DU9nz21V0tYIfzFQ0He9kVQ_JF2mCXgZ3hqFA"",""REKAP ALL 2026 - Andika!F:F""),"""",0)"),"25099755941")</f>
        <v>25099755941</v>
      </c>
      <c r="G2407" s="13" t="s">
        <v>10325</v>
      </c>
      <c r="H2407" s="13" t="s">
        <v>35</v>
      </c>
      <c r="I2407" s="13" t="str">
        <f aca="false">IF(C2407=J2407,"NEW KONTRAK","RE-KONTRAK")</f>
        <v>NEW KONTRAK</v>
      </c>
      <c r="J2407" s="16" t="n">
        <f aca="false" t="array" ref="J2407:J2407">IFERROR(INDEX(AC2407:AE2407,IF(COUNTA(AC2407:AE2407)=0,"",MAX((AC2407:AE2407&lt;&gt;"")*(COLUMN(AC2407:AE2407)-(COLUMN(AC2407)))))-1),"")</f>
        <v>45839</v>
      </c>
      <c r="K2407" s="16" t="n">
        <f aca="false" t="array" ref="K2407:K2407">IFERROR(INDEX(AC2407:AE2407,IF(COUNTA(AC2407:AE2407)=0,"",MAX((AC2407:AE2407&lt;&gt;"")*(COLUMN(AC2407:AE2407)-(COLUMN(AC2407)-1))))-1),"")</f>
        <v>45930</v>
      </c>
      <c r="L2407" s="17" t="str">
        <f aca="false" t="array" ref="L2407:L2407">IFERROR(INDEX(AC2407:AE2407,IF(COUNTA(AC2407:AE2407)=0,"",MAX((AC2407:AE2407&lt;&gt;"")*(COLUMN(AC2407:AE2407)-(COLUMN(AC2407)-2))))-1),"")</f>
        <v>ARCHIVED</v>
      </c>
      <c r="M2407" s="13" t="n">
        <f aca="true">K2407-TODAY()</f>
        <v>-394</v>
      </c>
      <c r="N2407" s="18" t="s">
        <v>36</v>
      </c>
      <c r="O2407" s="13" t="s">
        <v>10326</v>
      </c>
      <c r="P2407" s="27" t="n">
        <v>5195401</v>
      </c>
      <c r="Q2407" s="20" t="s">
        <v>10327</v>
      </c>
      <c r="R2407" s="13" t="s">
        <v>65</v>
      </c>
      <c r="S2407" s="16" t="n">
        <v>35363</v>
      </c>
      <c r="T2407" s="13" t="s">
        <v>40</v>
      </c>
      <c r="U2407" s="13" t="s">
        <v>10328</v>
      </c>
      <c r="V2407" s="13" t="s">
        <v>42</v>
      </c>
      <c r="W2407" s="13" t="s">
        <v>43</v>
      </c>
      <c r="X2407" s="21" t="n">
        <v>85233497583</v>
      </c>
      <c r="Y2407" s="22" t="str">
        <f aca="false">O2407</f>
        <v>Inventory Control</v>
      </c>
      <c r="Z2407" s="13" t="str">
        <f aca="false">IFERROR(__xludf.dummyfunction("if(BJ2407="""","""",GOOGLETRANSLATE(BJ2407,""auto"",""en""))"),"Inventory Control")</f>
        <v>Inventory Control</v>
      </c>
      <c r="AA2407" s="23" t="str">
        <f aca="false">IF(C2407="","", CHOOSE(MONTH(C2407),"January","February","March","April","May","June","July","August","September","October","November","December")&amp;" "&amp;DAY(C2407)&amp;MID("thstndrdth",MIN(9,2*RIGHT(DAY(C2407))*(MOD(DAY(C2407)-11,100)&gt;2)+1),2)&amp;","&amp;TEXT(C2407," yyyy"))</f>
        <v>July 1st,2025</v>
      </c>
      <c r="AB2407" s="15" t="str">
        <f aca="true">IF(S2407="","",DATEDIF(S2407,TODAY(),"Y")&amp;" Tahun, "&amp;DATEDIF(S2407,TODAY(),"YM")&amp;" Bulan, "&amp;DATEDIF(S2407,TODAY(),"MD")&amp;" Hari")</f>
        <v>30 Tahun, 0 Bulan, 4 Hari</v>
      </c>
      <c r="AC2407" s="18" t="n">
        <v>45839</v>
      </c>
      <c r="AD2407" s="18" t="n">
        <v>45930</v>
      </c>
      <c r="AE2407" s="18" t="s">
        <v>44</v>
      </c>
    </row>
    <row r="2408" customFormat="false" ht="15" hidden="false" customHeight="true" outlineLevel="0" collapsed="false">
      <c r="A2408" s="12" t="n">
        <v>20020</v>
      </c>
      <c r="B2408" s="13" t="s">
        <v>10329</v>
      </c>
      <c r="C2408" s="16" t="n">
        <v>45839</v>
      </c>
      <c r="D2408" s="13" t="s">
        <v>10155</v>
      </c>
      <c r="E2408" s="15" t="s">
        <v>47</v>
      </c>
      <c r="F2408" s="15" t="str">
        <f aca="false">IFERROR(__xludf.dummyfunction("XLOOKUP(AJ2408,IMPORTRANGE(""1XaInW9DU9nz21V0tYIfzFQ0He9kVQ_JF2mCXgZ3hqFA"",""REKAP ALL 2026 - Andika!G:G""),IMPORTRANGE(""1XaInW9DU9nz21V0tYIfzFQ0He9kVQ_JF2mCXgZ3hqFA"",""REKAP ALL 2026 - Andika!F:F""),"""",0)"),"25099755958")</f>
        <v>25099755958</v>
      </c>
      <c r="G2408" s="13" t="s">
        <v>10330</v>
      </c>
      <c r="H2408" s="13" t="s">
        <v>35</v>
      </c>
      <c r="I2408" s="13" t="str">
        <f aca="false">IF(C2408=J2408,"NEW KONTRAK","RE-KONTRAK")</f>
        <v>NEW KONTRAK</v>
      </c>
      <c r="J2408" s="16" t="n">
        <f aca="false" t="array" ref="J2408:J2408">IFERROR(INDEX(AC2408:AE2408,IF(COUNTA(AC2408:AE2408)=0,"",MAX((AC2408:AE2408&lt;&gt;"")*(COLUMN(AC2408:AE2408)-(COLUMN(AC2408)))))-1),"")</f>
        <v>45839</v>
      </c>
      <c r="K2408" s="16" t="n">
        <f aca="false" t="array" ref="K2408:K2408">IFERROR(INDEX(AC2408:AE2408,IF(COUNTA(AC2408:AE2408)=0,"",MAX((AC2408:AE2408&lt;&gt;"")*(COLUMN(AC2408:AE2408)-(COLUMN(AC2408)-1))))-1),"")</f>
        <v>45930</v>
      </c>
      <c r="L2408" s="17" t="str">
        <f aca="false" t="array" ref="L2408:L2408">IFERROR(INDEX(AC2408:AE2408,IF(COUNTA(AC2408:AE2408)=0,"",MAX((AC2408:AE2408&lt;&gt;"")*(COLUMN(AC2408:AE2408)-(COLUMN(AC2408)-2))))-1),"")</f>
        <v>ARCHIVED</v>
      </c>
      <c r="M2408" s="13" t="n">
        <f aca="true">K2408-TODAY()</f>
        <v>-394</v>
      </c>
      <c r="N2408" s="18" t="s">
        <v>36</v>
      </c>
      <c r="O2408" s="13" t="s">
        <v>10171</v>
      </c>
      <c r="P2408" s="27" t="n">
        <v>5195401</v>
      </c>
      <c r="Q2408" s="20" t="s">
        <v>10331</v>
      </c>
      <c r="R2408" s="13" t="s">
        <v>168</v>
      </c>
      <c r="S2408" s="16" t="n">
        <v>34419</v>
      </c>
      <c r="T2408" s="13" t="s">
        <v>40</v>
      </c>
      <c r="U2408" s="13" t="s">
        <v>10332</v>
      </c>
      <c r="V2408" s="13" t="s">
        <v>42</v>
      </c>
      <c r="W2408" s="13" t="s">
        <v>54</v>
      </c>
      <c r="X2408" s="21" t="n">
        <v>85791332993</v>
      </c>
      <c r="Y2408" s="22" t="str">
        <f aca="false">O2408</f>
        <v>GA - General Clerk</v>
      </c>
      <c r="Z2408" s="13" t="str">
        <f aca="false">IFERROR(__xludf.dummyfunction("if(BJ2408="""","""",GOOGLETRANSLATE(BJ2408,""auto"",""en""))"),"GA - General Clerk")</f>
        <v>GA - General Clerk</v>
      </c>
      <c r="AA2408" s="23" t="str">
        <f aca="false">IF(C2408="","", CHOOSE(MONTH(C2408),"January","February","March","April","May","June","July","August","September","October","November","December")&amp;" "&amp;DAY(C2408)&amp;MID("thstndrdth",MIN(9,2*RIGHT(DAY(C2408))*(MOD(DAY(C2408)-11,100)&gt;2)+1),2)&amp;","&amp;TEXT(C2408," yyyy"))</f>
        <v>July 1st,2025</v>
      </c>
      <c r="AB2408" s="15" t="str">
        <f aca="true">IF(S2408="","",DATEDIF(S2408,TODAY(),"Y")&amp;" Tahun, "&amp;DATEDIF(S2408,TODAY(),"YM")&amp;" Bulan, "&amp;DATEDIF(S2408,TODAY(),"MD")&amp;" Hari")</f>
        <v>32 Tahun, 7 Bulan, 3 Hari</v>
      </c>
      <c r="AC2408" s="18" t="n">
        <v>45839</v>
      </c>
      <c r="AD2408" s="18" t="n">
        <v>45930</v>
      </c>
      <c r="AE2408" s="18" t="s">
        <v>44</v>
      </c>
    </row>
    <row r="2409" customFormat="false" ht="15" hidden="false" customHeight="true" outlineLevel="0" collapsed="false">
      <c r="A2409" s="12" t="n">
        <v>20021</v>
      </c>
      <c r="B2409" s="13" t="s">
        <v>10333</v>
      </c>
      <c r="C2409" s="16" t="n">
        <v>45839</v>
      </c>
      <c r="D2409" s="13" t="s">
        <v>10155</v>
      </c>
      <c r="E2409" s="15" t="s">
        <v>47</v>
      </c>
      <c r="F2409" s="15" t="str">
        <f aca="false">IFERROR(__xludf.dummyfunction("XLOOKUP(AJ2409,IMPORTRANGE(""1XaInW9DU9nz21V0tYIfzFQ0He9kVQ_JF2mCXgZ3hqFA"",""REKAP ALL 2026 - Andika!G:G""),IMPORTRANGE(""1XaInW9DU9nz21V0tYIfzFQ0He9kVQ_JF2mCXgZ3hqFA"",""REKAP ALL 2026 - Andika!F:F""),"""",0)"),"25099755966")</f>
        <v>25099755966</v>
      </c>
      <c r="G2409" s="13" t="s">
        <v>10334</v>
      </c>
      <c r="H2409" s="13" t="s">
        <v>35</v>
      </c>
      <c r="I2409" s="13" t="str">
        <f aca="false">IF(C2409=J2409,"NEW KONTRAK","RE-KONTRAK")</f>
        <v>NEW KONTRAK</v>
      </c>
      <c r="J2409" s="16" t="n">
        <f aca="false" t="array" ref="J2409:J2409">IFERROR(INDEX(AC2409:AE2409,IF(COUNTA(AC2409:AE2409)=0,"",MAX((AC2409:AE2409&lt;&gt;"")*(COLUMN(AC2409:AE2409)-(COLUMN(AC2409)))))-1),"")</f>
        <v>45839</v>
      </c>
      <c r="K2409" s="16" t="n">
        <f aca="false" t="array" ref="K2409:K2409">IFERROR(INDEX(AC2409:AE2409,IF(COUNTA(AC2409:AE2409)=0,"",MAX((AC2409:AE2409&lt;&gt;"")*(COLUMN(AC2409:AE2409)-(COLUMN(AC2409)-1))))-1),"")</f>
        <v>45930</v>
      </c>
      <c r="L2409" s="17" t="str">
        <f aca="false" t="array" ref="L2409:L2409">IFERROR(INDEX(AC2409:AE2409,IF(COUNTA(AC2409:AE2409)=0,"",MAX((AC2409:AE2409&lt;&gt;"")*(COLUMN(AC2409:AE2409)-(COLUMN(AC2409)-2))))-1),"")</f>
        <v>ARCHIVED</v>
      </c>
      <c r="M2409" s="13" t="n">
        <f aca="true">K2409-TODAY()</f>
        <v>-394</v>
      </c>
      <c r="N2409" s="18" t="s">
        <v>36</v>
      </c>
      <c r="O2409" s="13" t="s">
        <v>10335</v>
      </c>
      <c r="P2409" s="27" t="n">
        <v>5195401</v>
      </c>
      <c r="Q2409" s="20" t="s">
        <v>10336</v>
      </c>
      <c r="R2409" s="13" t="s">
        <v>78</v>
      </c>
      <c r="S2409" s="16" t="n">
        <v>35668</v>
      </c>
      <c r="T2409" s="13" t="s">
        <v>40</v>
      </c>
      <c r="U2409" s="13" t="s">
        <v>10337</v>
      </c>
      <c r="V2409" s="13" t="s">
        <v>42</v>
      </c>
      <c r="W2409" s="13" t="s">
        <v>54</v>
      </c>
      <c r="X2409" s="21" t="n">
        <v>85854708057</v>
      </c>
      <c r="Y2409" s="22" t="str">
        <f aca="false">O2409</f>
        <v>Log. P1 - Finish Good</v>
      </c>
      <c r="Z2409" s="13" t="str">
        <f aca="false">IFERROR(__xludf.dummyfunction("if(BJ2409="""","""",GOOGLETRANSLATE(BJ2409,""auto"",""en""))"),"Log. P1 - Finish Good")</f>
        <v>Log. P1 - Finish Good</v>
      </c>
      <c r="AA2409" s="23" t="str">
        <f aca="false">IF(C2409="","", CHOOSE(MONTH(C2409),"January","February","March","April","May","June","July","August","September","October","November","December")&amp;" "&amp;DAY(C2409)&amp;MID("thstndrdth",MIN(9,2*RIGHT(DAY(C2409))*(MOD(DAY(C2409)-11,100)&gt;2)+1),2)&amp;","&amp;TEXT(C2409," yyyy"))</f>
        <v>July 1st,2025</v>
      </c>
      <c r="AB2409" s="15" t="str">
        <f aca="true">IF(S2409="","",DATEDIF(S2409,TODAY(),"Y")&amp;" Tahun, "&amp;DATEDIF(S2409,TODAY(),"YM")&amp;" Bulan, "&amp;DATEDIF(S2409,TODAY(),"MD")&amp;" Hari")</f>
        <v>29 Tahun, 2 Bulan, 3 Hari</v>
      </c>
      <c r="AC2409" s="18" t="n">
        <v>45839</v>
      </c>
      <c r="AD2409" s="18" t="n">
        <v>45930</v>
      </c>
      <c r="AE2409" s="18" t="s">
        <v>44</v>
      </c>
    </row>
    <row r="2410" customFormat="false" ht="15" hidden="false" customHeight="true" outlineLevel="0" collapsed="false">
      <c r="A2410" s="12" t="n">
        <v>20022</v>
      </c>
      <c r="B2410" s="13" t="s">
        <v>10338</v>
      </c>
      <c r="C2410" s="16" t="n">
        <v>45839</v>
      </c>
      <c r="D2410" s="13" t="s">
        <v>10155</v>
      </c>
      <c r="E2410" s="15" t="s">
        <v>47</v>
      </c>
      <c r="F2410" s="15" t="str">
        <f aca="false">IFERROR(__xludf.dummyfunction("XLOOKUP(AJ2410,IMPORTRANGE(""1XaInW9DU9nz21V0tYIfzFQ0He9kVQ_JF2mCXgZ3hqFA"",""REKAP ALL 2026 - Andika!G:G""),IMPORTRANGE(""1XaInW9DU9nz21V0tYIfzFQ0He9kVQ_JF2mCXgZ3hqFA"",""REKAP ALL 2026 - Andika!F:F""),"""",0)"),"25099755974")</f>
        <v>25099755974</v>
      </c>
      <c r="G2410" s="13" t="s">
        <v>10339</v>
      </c>
      <c r="H2410" s="13" t="s">
        <v>35</v>
      </c>
      <c r="I2410" s="13" t="str">
        <f aca="false">IF(C2410=J2410,"NEW KONTRAK","RE-KONTRAK")</f>
        <v>NEW KONTRAK</v>
      </c>
      <c r="J2410" s="16" t="n">
        <f aca="false" t="array" ref="J2410:J2410">IFERROR(INDEX(AC2410:AE2410,IF(COUNTA(AC2410:AE2410)=0,"",MAX((AC2410:AE2410&lt;&gt;"")*(COLUMN(AC2410:AE2410)-(COLUMN(AC2410)))))-1),"")</f>
        <v>45839</v>
      </c>
      <c r="K2410" s="16" t="n">
        <f aca="false" t="array" ref="K2410:K2410">IFERROR(INDEX(AC2410:AE2410,IF(COUNTA(AC2410:AE2410)=0,"",MAX((AC2410:AE2410&lt;&gt;"")*(COLUMN(AC2410:AE2410)-(COLUMN(AC2410)-1))))-1),"")</f>
        <v>45930</v>
      </c>
      <c r="L2410" s="17" t="str">
        <f aca="false" t="array" ref="L2410:L2410">IFERROR(INDEX(AC2410:AE2410,IF(COUNTA(AC2410:AE2410)=0,"",MAX((AC2410:AE2410&lt;&gt;"")*(COLUMN(AC2410:AE2410)-(COLUMN(AC2410)-2))))-1),"")</f>
        <v>ARCHIVED</v>
      </c>
      <c r="M2410" s="13" t="n">
        <f aca="true">K2410-TODAY()</f>
        <v>-394</v>
      </c>
      <c r="N2410" s="18" t="s">
        <v>36</v>
      </c>
      <c r="O2410" s="13" t="s">
        <v>10180</v>
      </c>
      <c r="P2410" s="27" t="n">
        <v>5195401</v>
      </c>
      <c r="Q2410" s="20" t="s">
        <v>10340</v>
      </c>
      <c r="R2410" s="13" t="s">
        <v>65</v>
      </c>
      <c r="S2410" s="16" t="n">
        <v>34792</v>
      </c>
      <c r="T2410" s="13" t="s">
        <v>40</v>
      </c>
      <c r="U2410" s="13" t="s">
        <v>10341</v>
      </c>
      <c r="V2410" s="13" t="s">
        <v>42</v>
      </c>
      <c r="W2410" s="13" t="s">
        <v>43</v>
      </c>
      <c r="X2410" s="21" t="n">
        <v>82338661273</v>
      </c>
      <c r="Y2410" s="22" t="str">
        <f aca="false">O2410</f>
        <v>LS P1 - PPC</v>
      </c>
      <c r="Z2410" s="13" t="str">
        <f aca="false">IFERROR(__xludf.dummyfunction("if(BJ2410="""","""",GOOGLETRANSLATE(BJ2410,""auto"",""en""))"),"LS P1 - PPC")</f>
        <v>LS P1 - PPC</v>
      </c>
      <c r="AA2410" s="23" t="str">
        <f aca="false">IF(C2410="","", CHOOSE(MONTH(C2410),"January","February","March","April","May","June","July","August","September","October","November","December")&amp;" "&amp;DAY(C2410)&amp;MID("thstndrdth",MIN(9,2*RIGHT(DAY(C2410))*(MOD(DAY(C2410)-11,100)&gt;2)+1),2)&amp;","&amp;TEXT(C2410," yyyy"))</f>
        <v>July 1st,2025</v>
      </c>
      <c r="AB2410" s="15" t="str">
        <f aca="true">IF(S2410="","",DATEDIF(S2410,TODAY(),"Y")&amp;" Tahun, "&amp;DATEDIF(S2410,TODAY(),"YM")&amp;" Bulan, "&amp;DATEDIF(S2410,TODAY(),"MD")&amp;" Hari")</f>
        <v>31 Tahun, 6 Bulan, 26 Hari</v>
      </c>
      <c r="AC2410" s="18" t="n">
        <v>45839</v>
      </c>
      <c r="AD2410" s="18" t="n">
        <v>45930</v>
      </c>
      <c r="AE2410" s="18" t="s">
        <v>44</v>
      </c>
    </row>
    <row r="2411" customFormat="false" ht="15" hidden="false" customHeight="true" outlineLevel="0" collapsed="false">
      <c r="A2411" s="12" t="n">
        <v>20023</v>
      </c>
      <c r="B2411" s="13" t="s">
        <v>10342</v>
      </c>
      <c r="C2411" s="16" t="n">
        <v>45839</v>
      </c>
      <c r="D2411" s="13" t="s">
        <v>10155</v>
      </c>
      <c r="E2411" s="15" t="s">
        <v>47</v>
      </c>
      <c r="F2411" s="15" t="str">
        <f aca="false">IFERROR(__xludf.dummyfunction("XLOOKUP(AJ2411,IMPORTRANGE(""1XaInW9DU9nz21V0tYIfzFQ0He9kVQ_JF2mCXgZ3hqFA"",""REKAP ALL 2026 - Andika!G:G""),IMPORTRANGE(""1XaInW9DU9nz21V0tYIfzFQ0He9kVQ_JF2mCXgZ3hqFA"",""REKAP ALL 2026 - Andika!F:F""),"""",0)"),"25099755982")</f>
        <v>25099755982</v>
      </c>
      <c r="G2411" s="13" t="s">
        <v>10343</v>
      </c>
      <c r="H2411" s="13" t="s">
        <v>35</v>
      </c>
      <c r="I2411" s="13" t="str">
        <f aca="false">IF(C2411=J2411,"NEW KONTRAK","RE-KONTRAK")</f>
        <v>NEW KONTRAK</v>
      </c>
      <c r="J2411" s="16" t="n">
        <f aca="false" t="array" ref="J2411:J2411">IFERROR(INDEX(AC2411:AE2411,IF(COUNTA(AC2411:AE2411)=0,"",MAX((AC2411:AE2411&lt;&gt;"")*(COLUMN(AC2411:AE2411)-(COLUMN(AC2411)))))-1),"")</f>
        <v>45839</v>
      </c>
      <c r="K2411" s="16" t="n">
        <f aca="false" t="array" ref="K2411:K2411">IFERROR(INDEX(AC2411:AE2411,IF(COUNTA(AC2411:AE2411)=0,"",MAX((AC2411:AE2411&lt;&gt;"")*(COLUMN(AC2411:AE2411)-(COLUMN(AC2411)-1))))-1),"")</f>
        <v>45930</v>
      </c>
      <c r="L2411" s="17" t="str">
        <f aca="false" t="array" ref="L2411:L2411">IFERROR(INDEX(AC2411:AE2411,IF(COUNTA(AC2411:AE2411)=0,"",MAX((AC2411:AE2411&lt;&gt;"")*(COLUMN(AC2411:AE2411)-(COLUMN(AC2411)-2))))-1),"")</f>
        <v>ARCHIVED</v>
      </c>
      <c r="M2411" s="13" t="n">
        <f aca="true">K2411-TODAY()</f>
        <v>-394</v>
      </c>
      <c r="N2411" s="18" t="s">
        <v>36</v>
      </c>
      <c r="O2411" s="13" t="s">
        <v>10295</v>
      </c>
      <c r="P2411" s="27" t="n">
        <v>5195401</v>
      </c>
      <c r="Q2411" s="20" t="s">
        <v>10344</v>
      </c>
      <c r="R2411" s="13" t="s">
        <v>83</v>
      </c>
      <c r="S2411" s="16" t="n">
        <v>37489</v>
      </c>
      <c r="T2411" s="13" t="s">
        <v>108</v>
      </c>
      <c r="U2411" s="13" t="s">
        <v>10345</v>
      </c>
      <c r="V2411" s="13" t="s">
        <v>42</v>
      </c>
      <c r="W2411" s="13" t="s">
        <v>43</v>
      </c>
      <c r="X2411" s="21" t="n">
        <v>82142196599</v>
      </c>
      <c r="Y2411" s="22" t="str">
        <f aca="false">O2411</f>
        <v>International After Market Sales</v>
      </c>
      <c r="Z2411" s="13" t="str">
        <f aca="false">IFERROR(__xludf.dummyfunction("if(BJ2411="""","""",GOOGLETRANSLATE(BJ2411,""auto"",""en""))"),"International After Market Sales")</f>
        <v>International After Market Sales</v>
      </c>
      <c r="AA2411" s="23" t="str">
        <f aca="false">IF(C2411="","", CHOOSE(MONTH(C2411),"January","February","March","April","May","June","July","August","September","October","November","December")&amp;" "&amp;DAY(C2411)&amp;MID("thstndrdth",MIN(9,2*RIGHT(DAY(C2411))*(MOD(DAY(C2411)-11,100)&gt;2)+1),2)&amp;","&amp;TEXT(C2411," yyyy"))</f>
        <v>July 1st,2025</v>
      </c>
      <c r="AB2411" s="15" t="str">
        <f aca="true">IF(S2411="","",DATEDIF(S2411,TODAY(),"Y")&amp;" Tahun, "&amp;DATEDIF(S2411,TODAY(),"YM")&amp;" Bulan, "&amp;DATEDIF(S2411,TODAY(),"MD")&amp;" Hari")</f>
        <v>24 Tahun, 2 Bulan, 8 Hari</v>
      </c>
      <c r="AC2411" s="18" t="n">
        <v>45839</v>
      </c>
      <c r="AD2411" s="18" t="n">
        <v>45930</v>
      </c>
      <c r="AE2411" s="18" t="s">
        <v>44</v>
      </c>
    </row>
    <row r="2412" customFormat="false" ht="15" hidden="false" customHeight="true" outlineLevel="0" collapsed="false">
      <c r="A2412" s="12" t="n">
        <v>20024</v>
      </c>
      <c r="B2412" s="13" t="s">
        <v>10346</v>
      </c>
      <c r="C2412" s="16" t="n">
        <v>45839</v>
      </c>
      <c r="D2412" s="13" t="s">
        <v>10155</v>
      </c>
      <c r="E2412" s="15" t="s">
        <v>47</v>
      </c>
      <c r="F2412" s="15" t="str">
        <f aca="false">IFERROR(__xludf.dummyfunction("XLOOKUP(AJ2412,IMPORTRANGE(""1XaInW9DU9nz21V0tYIfzFQ0He9kVQ_JF2mCXgZ3hqFA"",""REKAP ALL 2026 - Andika!G:G""),IMPORTRANGE(""1XaInW9DU9nz21V0tYIfzFQ0He9kVQ_JF2mCXgZ3hqFA"",""REKAP ALL 2026 - Andika!F:F""),"""",0)"),"25099755990")</f>
        <v>25099755990</v>
      </c>
      <c r="G2412" s="13" t="s">
        <v>10347</v>
      </c>
      <c r="H2412" s="13" t="s">
        <v>35</v>
      </c>
      <c r="I2412" s="13" t="str">
        <f aca="false">IF(C2412=J2412,"NEW KONTRAK","RE-KONTRAK")</f>
        <v>NEW KONTRAK</v>
      </c>
      <c r="J2412" s="16" t="n">
        <f aca="false" t="array" ref="J2412:J2412">IFERROR(INDEX(AC2412:AE2412,IF(COUNTA(AC2412:AE2412)=0,"",MAX((AC2412:AE2412&lt;&gt;"")*(COLUMN(AC2412:AE2412)-(COLUMN(AC2412)))))-1),"")</f>
        <v>45839</v>
      </c>
      <c r="K2412" s="16" t="n">
        <f aca="false" t="array" ref="K2412:K2412">IFERROR(INDEX(AC2412:AE2412,IF(COUNTA(AC2412:AE2412)=0,"",MAX((AC2412:AE2412&lt;&gt;"")*(COLUMN(AC2412:AE2412)-(COLUMN(AC2412)-1))))-1),"")</f>
        <v>45930</v>
      </c>
      <c r="L2412" s="17" t="str">
        <f aca="false" t="array" ref="L2412:L2412">IFERROR(INDEX(AC2412:AE2412,IF(COUNTA(AC2412:AE2412)=0,"",MAX((AC2412:AE2412&lt;&gt;"")*(COLUMN(AC2412:AE2412)-(COLUMN(AC2412)-2))))-1),"")</f>
        <v>ARCHIVED</v>
      </c>
      <c r="M2412" s="13" t="n">
        <f aca="true">K2412-TODAY()</f>
        <v>-394</v>
      </c>
      <c r="N2412" s="18" t="s">
        <v>36</v>
      </c>
      <c r="O2412" s="13" t="s">
        <v>10254</v>
      </c>
      <c r="P2412" s="27" t="n">
        <v>5195401</v>
      </c>
      <c r="Q2412" s="20" t="s">
        <v>10348</v>
      </c>
      <c r="R2412" s="13" t="s">
        <v>65</v>
      </c>
      <c r="S2412" s="16" t="n">
        <v>31990</v>
      </c>
      <c r="T2412" s="13" t="s">
        <v>40</v>
      </c>
      <c r="U2412" s="13" t="s">
        <v>10349</v>
      </c>
      <c r="V2412" s="13" t="s">
        <v>42</v>
      </c>
      <c r="W2412" s="13" t="s">
        <v>54</v>
      </c>
      <c r="X2412" s="21" t="n">
        <v>81615432038</v>
      </c>
      <c r="Y2412" s="22" t="str">
        <f aca="false">O2412</f>
        <v>Log. P1 - Sub Material</v>
      </c>
      <c r="Z2412" s="13" t="str">
        <f aca="false">IFERROR(__xludf.dummyfunction("if(BJ2412="""","""",GOOGLETRANSLATE(BJ2412,""auto"",""en""))"),"Log. P1 - Sub Material")</f>
        <v>Log. P1 - Sub Material</v>
      </c>
      <c r="AA2412" s="23" t="str">
        <f aca="false">IF(C2412="","", CHOOSE(MONTH(C2412),"January","February","March","April","May","June","July","August","September","October","November","December")&amp;" "&amp;DAY(C2412)&amp;MID("thstndrdth",MIN(9,2*RIGHT(DAY(C2412))*(MOD(DAY(C2412)-11,100)&gt;2)+1),2)&amp;","&amp;TEXT(C2412," yyyy"))</f>
        <v>July 1st,2025</v>
      </c>
      <c r="AB2412" s="15" t="str">
        <f aca="true">IF(S2412="","",DATEDIF(S2412,TODAY(),"Y")&amp;" Tahun, "&amp;DATEDIF(S2412,TODAY(),"YM")&amp;" Bulan, "&amp;DATEDIF(S2412,TODAY(),"MD")&amp;" Hari")</f>
        <v>39 Tahun, 2 Bulan, 28 Hari</v>
      </c>
      <c r="AC2412" s="18" t="n">
        <v>45839</v>
      </c>
      <c r="AD2412" s="18" t="n">
        <v>45930</v>
      </c>
      <c r="AE2412" s="18" t="s">
        <v>44</v>
      </c>
    </row>
    <row r="2413" customFormat="false" ht="15" hidden="false" customHeight="true" outlineLevel="0" collapsed="false">
      <c r="A2413" s="12" t="n">
        <v>20025</v>
      </c>
      <c r="B2413" s="13" t="s">
        <v>10350</v>
      </c>
      <c r="C2413" s="16" t="n">
        <v>45839</v>
      </c>
      <c r="D2413" s="13" t="s">
        <v>10155</v>
      </c>
      <c r="E2413" s="15" t="s">
        <v>47</v>
      </c>
      <c r="F2413" s="15" t="str">
        <f aca="false">IFERROR(__xludf.dummyfunction("XLOOKUP(AJ2413,IMPORTRANGE(""1XaInW9DU9nz21V0tYIfzFQ0He9kVQ_JF2mCXgZ3hqFA"",""REKAP ALL 2026 - Andika!G:G""),IMPORTRANGE(""1XaInW9DU9nz21V0tYIfzFQ0He9kVQ_JF2mCXgZ3hqFA"",""REKAP ALL 2026 - Andika!F:F""),"""",0)"),"25099756006")</f>
        <v>25099756006</v>
      </c>
      <c r="G2413" s="13" t="s">
        <v>10351</v>
      </c>
      <c r="H2413" s="13" t="s">
        <v>35</v>
      </c>
      <c r="I2413" s="13" t="str">
        <f aca="false">IF(C2413=J2413,"NEW KONTRAK","RE-KONTRAK")</f>
        <v>NEW KONTRAK</v>
      </c>
      <c r="J2413" s="16" t="n">
        <f aca="false" t="array" ref="J2413:J2413">IFERROR(INDEX(AC2413:AE2413,IF(COUNTA(AC2413:AE2413)=0,"",MAX((AC2413:AE2413&lt;&gt;"")*(COLUMN(AC2413:AE2413)-(COLUMN(AC2413)))))-1),"")</f>
        <v>45839</v>
      </c>
      <c r="K2413" s="16" t="n">
        <f aca="false" t="array" ref="K2413:K2413">IFERROR(INDEX(AC2413:AE2413,IF(COUNTA(AC2413:AE2413)=0,"",MAX((AC2413:AE2413&lt;&gt;"")*(COLUMN(AC2413:AE2413)-(COLUMN(AC2413)-1))))-1),"")</f>
        <v>45930</v>
      </c>
      <c r="L2413" s="17" t="str">
        <f aca="false" t="array" ref="L2413:L2413">IFERROR(INDEX(AC2413:AE2413,IF(COUNTA(AC2413:AE2413)=0,"",MAX((AC2413:AE2413&lt;&gt;"")*(COLUMN(AC2413:AE2413)-(COLUMN(AC2413)-2))))-1),"")</f>
        <v>ARCHIVED</v>
      </c>
      <c r="M2413" s="13" t="n">
        <f aca="true">K2413-TODAY()</f>
        <v>-394</v>
      </c>
      <c r="N2413" s="18" t="s">
        <v>36</v>
      </c>
      <c r="O2413" s="13" t="s">
        <v>10352</v>
      </c>
      <c r="P2413" s="27" t="n">
        <v>5195401</v>
      </c>
      <c r="Q2413" s="20" t="s">
        <v>10353</v>
      </c>
      <c r="R2413" s="13" t="s">
        <v>73</v>
      </c>
      <c r="S2413" s="16" t="n">
        <v>38200</v>
      </c>
      <c r="T2413" s="13" t="s">
        <v>40</v>
      </c>
      <c r="U2413" s="13" t="s">
        <v>10354</v>
      </c>
      <c r="V2413" s="13" t="s">
        <v>42</v>
      </c>
      <c r="W2413" s="13" t="s">
        <v>43</v>
      </c>
      <c r="X2413" s="21" t="n">
        <v>81334939304</v>
      </c>
      <c r="Y2413" s="22" t="str">
        <f aca="false">O2413</f>
        <v>General Affairs</v>
      </c>
      <c r="Z2413" s="13" t="str">
        <f aca="false">IFERROR(__xludf.dummyfunction("if(BJ2413="""","""",GOOGLETRANSLATE(BJ2413,""auto"",""en""))"),"General Affairs")</f>
        <v>General Affairs</v>
      </c>
      <c r="AA2413" s="23" t="str">
        <f aca="false">IF(C2413="","", CHOOSE(MONTH(C2413),"January","February","March","April","May","June","July","August","September","October","November","December")&amp;" "&amp;DAY(C2413)&amp;MID("thstndrdth",MIN(9,2*RIGHT(DAY(C2413))*(MOD(DAY(C2413)-11,100)&gt;2)+1),2)&amp;","&amp;TEXT(C2413," yyyy"))</f>
        <v>July 1st,2025</v>
      </c>
      <c r="AB2413" s="15" t="str">
        <f aca="true">IF(S2413="","",DATEDIF(S2413,TODAY(),"Y")&amp;" Tahun, "&amp;DATEDIF(S2413,TODAY(),"YM")&amp;" Bulan, "&amp;DATEDIF(S2413,TODAY(),"MD")&amp;" Hari")</f>
        <v>22 Tahun, 2 Bulan, 28 Hari</v>
      </c>
      <c r="AC2413" s="18" t="n">
        <v>45839</v>
      </c>
      <c r="AD2413" s="18" t="n">
        <v>45930</v>
      </c>
      <c r="AE2413" s="18" t="s">
        <v>44</v>
      </c>
    </row>
    <row r="2414" customFormat="false" ht="15" hidden="false" customHeight="true" outlineLevel="0" collapsed="false">
      <c r="A2414" s="12" t="n">
        <v>20026</v>
      </c>
      <c r="B2414" s="13" t="s">
        <v>10355</v>
      </c>
      <c r="C2414" s="16" t="n">
        <v>45839</v>
      </c>
      <c r="D2414" s="13" t="s">
        <v>10155</v>
      </c>
      <c r="E2414" s="15" t="s">
        <v>47</v>
      </c>
      <c r="F2414" s="15" t="str">
        <f aca="false">IFERROR(__xludf.dummyfunction("XLOOKUP(AJ2414,IMPORTRANGE(""1XaInW9DU9nz21V0tYIfzFQ0He9kVQ_JF2mCXgZ3hqFA"",""REKAP ALL 2026 - Andika!G:G""),IMPORTRANGE(""1XaInW9DU9nz21V0tYIfzFQ0He9kVQ_JF2mCXgZ3hqFA"",""REKAP ALL 2026 - Andika!F:F""),"""",0)"),"25099756014")</f>
        <v>25099756014</v>
      </c>
      <c r="G2414" s="13" t="s">
        <v>10356</v>
      </c>
      <c r="H2414" s="13" t="s">
        <v>35</v>
      </c>
      <c r="I2414" s="13" t="str">
        <f aca="false">IF(C2414=J2414,"NEW KONTRAK","RE-KONTRAK")</f>
        <v>NEW KONTRAK</v>
      </c>
      <c r="J2414" s="16" t="n">
        <f aca="false" t="array" ref="J2414:J2414">IFERROR(INDEX(AC2414:AE2414,IF(COUNTA(AC2414:AE2414)=0,"",MAX((AC2414:AE2414&lt;&gt;"")*(COLUMN(AC2414:AE2414)-(COLUMN(AC2414)))))-1),"")</f>
        <v>45839</v>
      </c>
      <c r="K2414" s="16" t="n">
        <f aca="false" t="array" ref="K2414:K2414">IFERROR(INDEX(AC2414:AE2414,IF(COUNTA(AC2414:AE2414)=0,"",MAX((AC2414:AE2414&lt;&gt;"")*(COLUMN(AC2414:AE2414)-(COLUMN(AC2414)-1))))-1),"")</f>
        <v>45930</v>
      </c>
      <c r="L2414" s="17" t="str">
        <f aca="false" t="array" ref="L2414:L2414">IFERROR(INDEX(AC2414:AE2414,IF(COUNTA(AC2414:AE2414)=0,"",MAX((AC2414:AE2414&lt;&gt;"")*(COLUMN(AC2414:AE2414)-(COLUMN(AC2414)-2))))-1),"")</f>
        <v>ARCHIVED</v>
      </c>
      <c r="M2414" s="13" t="n">
        <f aca="true">K2414-TODAY()</f>
        <v>-394</v>
      </c>
      <c r="N2414" s="18" t="s">
        <v>36</v>
      </c>
      <c r="O2414" s="13" t="s">
        <v>10265</v>
      </c>
      <c r="P2414" s="27" t="n">
        <v>5195401</v>
      </c>
      <c r="Q2414" s="20" t="s">
        <v>10357</v>
      </c>
      <c r="R2414" s="13" t="s">
        <v>148</v>
      </c>
      <c r="S2414" s="16" t="n">
        <v>32218</v>
      </c>
      <c r="T2414" s="13" t="s">
        <v>40</v>
      </c>
      <c r="U2414" s="13" t="s">
        <v>10358</v>
      </c>
      <c r="V2414" s="13" t="s">
        <v>42</v>
      </c>
      <c r="W2414" s="13" t="s">
        <v>54</v>
      </c>
      <c r="X2414" s="21" t="n">
        <v>85330145480</v>
      </c>
      <c r="Y2414" s="22" t="str">
        <f aca="false">O2414</f>
        <v>Inbound Raw Material P2</v>
      </c>
      <c r="Z2414" s="13" t="str">
        <f aca="false">IFERROR(__xludf.dummyfunction("if(BJ2414="""","""",GOOGLETRANSLATE(BJ2414,""auto"",""en""))"),"Inbound Raw Material P2")</f>
        <v>Inbound Raw Material P2</v>
      </c>
      <c r="AA2414" s="23" t="str">
        <f aca="false">IF(C2414="","", CHOOSE(MONTH(C2414),"January","February","March","April","May","June","July","August","September","October","November","December")&amp;" "&amp;DAY(C2414)&amp;MID("thstndrdth",MIN(9,2*RIGHT(DAY(C2414))*(MOD(DAY(C2414)-11,100)&gt;2)+1),2)&amp;","&amp;TEXT(C2414," yyyy"))</f>
        <v>July 1st,2025</v>
      </c>
      <c r="AB2414" s="15" t="str">
        <f aca="true">IF(S2414="","",DATEDIF(S2414,TODAY(),"Y")&amp;" Tahun, "&amp;DATEDIF(S2414,TODAY(),"YM")&amp;" Bulan, "&amp;DATEDIF(S2414,TODAY(),"MD")&amp;" Hari")</f>
        <v>38 Tahun, 7 Bulan, 13 Hari</v>
      </c>
      <c r="AC2414" s="18" t="n">
        <v>45839</v>
      </c>
      <c r="AD2414" s="18" t="n">
        <v>45930</v>
      </c>
      <c r="AE2414" s="18" t="s">
        <v>44</v>
      </c>
    </row>
    <row r="2415" customFormat="false" ht="15" hidden="false" customHeight="true" outlineLevel="0" collapsed="false">
      <c r="A2415" s="12" t="n">
        <v>20029</v>
      </c>
      <c r="B2415" s="13" t="s">
        <v>10359</v>
      </c>
      <c r="C2415" s="16" t="n">
        <v>45839</v>
      </c>
      <c r="D2415" s="13" t="s">
        <v>10155</v>
      </c>
      <c r="E2415" s="15" t="s">
        <v>47</v>
      </c>
      <c r="F2415" s="15" t="str">
        <f aca="false">IFERROR(__xludf.dummyfunction("XLOOKUP(AJ2415,IMPORTRANGE(""1XaInW9DU9nz21V0tYIfzFQ0He9kVQ_JF2mCXgZ3hqFA"",""REKAP ALL 2026 - Andika!G:G""),IMPORTRANGE(""1XaInW9DU9nz21V0tYIfzFQ0He9kVQ_JF2mCXgZ3hqFA"",""REKAP ALL 2026 - Andika!F:F""),"""",0)"),"25099756048")</f>
        <v>25099756048</v>
      </c>
      <c r="G2415" s="13" t="s">
        <v>10360</v>
      </c>
      <c r="H2415" s="13" t="s">
        <v>35</v>
      </c>
      <c r="I2415" s="13" t="str">
        <f aca="false">IF(C2415=J2415,"NEW KONTRAK","RE-KONTRAK")</f>
        <v>NEW KONTRAK</v>
      </c>
      <c r="J2415" s="16" t="n">
        <f aca="false" t="array" ref="J2415:J2415">IFERROR(INDEX(AC2415:AE2415,IF(COUNTA(AC2415:AE2415)=0,"",MAX((AC2415:AE2415&lt;&gt;"")*(COLUMN(AC2415:AE2415)-(COLUMN(AC2415)))))-1),"")</f>
        <v>45839</v>
      </c>
      <c r="K2415" s="16" t="n">
        <f aca="false" t="array" ref="K2415:K2415">IFERROR(INDEX(AC2415:AE2415,IF(COUNTA(AC2415:AE2415)=0,"",MAX((AC2415:AE2415&lt;&gt;"")*(COLUMN(AC2415:AE2415)-(COLUMN(AC2415)-1))))-1),"")</f>
        <v>45930</v>
      </c>
      <c r="L2415" s="17" t="str">
        <f aca="false" t="array" ref="L2415:L2415">IFERROR(INDEX(AC2415:AE2415,IF(COUNTA(AC2415:AE2415)=0,"",MAX((AC2415:AE2415&lt;&gt;"")*(COLUMN(AC2415:AE2415)-(COLUMN(AC2415)-2))))-1),"")</f>
        <v>ARCHIVED</v>
      </c>
      <c r="M2415" s="13" t="n">
        <f aca="true">K2415-TODAY()</f>
        <v>-394</v>
      </c>
      <c r="N2415" s="18" t="s">
        <v>36</v>
      </c>
      <c r="O2415" s="13" t="s">
        <v>10176</v>
      </c>
      <c r="P2415" s="27" t="n">
        <v>5195401</v>
      </c>
      <c r="Q2415" s="20" t="s">
        <v>10361</v>
      </c>
      <c r="R2415" s="13" t="s">
        <v>65</v>
      </c>
      <c r="S2415" s="16" t="n">
        <v>34656</v>
      </c>
      <c r="T2415" s="13" t="s">
        <v>40</v>
      </c>
      <c r="U2415" s="17" t="s">
        <v>10362</v>
      </c>
      <c r="V2415" s="13" t="s">
        <v>42</v>
      </c>
      <c r="W2415" s="13" t="s">
        <v>54</v>
      </c>
      <c r="X2415" s="21" t="n">
        <v>81239992360</v>
      </c>
      <c r="Y2415" s="22" t="str">
        <f aca="false">O2415</f>
        <v>LS P2 &amp; P5 - PPC</v>
      </c>
      <c r="Z2415" s="13" t="str">
        <f aca="false">IFERROR(__xludf.dummyfunction("if(BJ2415="""","""",GOOGLETRANSLATE(BJ2415,""auto"",""en""))"),"LS P2 &amp; P5 - PPC")</f>
        <v>LS P2 &amp; P5 - PPC</v>
      </c>
      <c r="AA2415" s="23" t="str">
        <f aca="false">IF(C2415="","", CHOOSE(MONTH(C2415),"January","February","March","April","May","June","July","August","September","October","November","December")&amp;" "&amp;DAY(C2415)&amp;MID("thstndrdth",MIN(9,2*RIGHT(DAY(C2415))*(MOD(DAY(C2415)-11,100)&gt;2)+1),2)&amp;","&amp;TEXT(C2415," yyyy"))</f>
        <v>July 1st,2025</v>
      </c>
      <c r="AB2415" s="15" t="str">
        <f aca="true">IF(S2415="","",DATEDIF(S2415,TODAY(),"Y")&amp;" Tahun, "&amp;DATEDIF(S2415,TODAY(),"YM")&amp;" Bulan, "&amp;DATEDIF(S2415,TODAY(),"MD")&amp;" Hari")</f>
        <v>31 Tahun, 11 Bulan, 11 Hari</v>
      </c>
      <c r="AC2415" s="18" t="n">
        <v>45839</v>
      </c>
      <c r="AD2415" s="18" t="n">
        <v>45930</v>
      </c>
      <c r="AE2415" s="18" t="s">
        <v>44</v>
      </c>
    </row>
    <row r="2416" customFormat="false" ht="15" hidden="false" customHeight="true" outlineLevel="0" collapsed="false">
      <c r="A2416" s="12" t="n">
        <v>20027</v>
      </c>
      <c r="B2416" s="13" t="s">
        <v>10363</v>
      </c>
      <c r="C2416" s="16" t="n">
        <v>45839</v>
      </c>
      <c r="D2416" s="13" t="s">
        <v>10155</v>
      </c>
      <c r="E2416" s="15" t="s">
        <v>33</v>
      </c>
      <c r="F2416" s="24" t="s">
        <v>10364</v>
      </c>
      <c r="G2416" s="13" t="s">
        <v>10365</v>
      </c>
      <c r="H2416" s="13" t="s">
        <v>35</v>
      </c>
      <c r="I2416" s="13" t="str">
        <f aca="false">IF(C2416=J2416,"NEW KONTRAK","RE-KONTRAK")</f>
        <v>NEW KONTRAK</v>
      </c>
      <c r="J2416" s="16" t="n">
        <f aca="false" t="array" ref="J2416:J2416">IFERROR(INDEX(AC2416:AE2416,IF(COUNTA(AC2416:AE2416)=0,"",MAX((AC2416:AE2416&lt;&gt;"")*(COLUMN(AC2416:AE2416)-(COLUMN(AC2416)))))-1),"")</f>
        <v>45839</v>
      </c>
      <c r="K2416" s="16" t="n">
        <f aca="false" t="array" ref="K2416:K2416">IFERROR(INDEX(AC2416:AE2416,IF(COUNTA(AC2416:AE2416)=0,"",MAX((AC2416:AE2416&lt;&gt;"")*(COLUMN(AC2416:AE2416)-(COLUMN(AC2416)-1))))-1),"")</f>
        <v>45930</v>
      </c>
      <c r="L2416" s="17" t="str">
        <f aca="false" t="array" ref="L2416:L2416">IFERROR(INDEX(AC2416:AE2416,IF(COUNTA(AC2416:AE2416)=0,"",MAX((AC2416:AE2416&lt;&gt;"")*(COLUMN(AC2416:AE2416)-(COLUMN(AC2416)-2))))-1),"")</f>
        <v>ARCHIVED</v>
      </c>
      <c r="M2416" s="13" t="n">
        <f aca="true">K2416-TODAY()</f>
        <v>-394</v>
      </c>
      <c r="N2416" s="18" t="s">
        <v>36</v>
      </c>
      <c r="O2416" s="13" t="s">
        <v>10366</v>
      </c>
      <c r="P2416" s="27" t="n">
        <v>5195401</v>
      </c>
      <c r="Q2416" s="20" t="s">
        <v>10367</v>
      </c>
      <c r="R2416" s="13" t="s">
        <v>168</v>
      </c>
      <c r="S2416" s="16" t="n">
        <v>36676</v>
      </c>
      <c r="T2416" s="13" t="s">
        <v>40</v>
      </c>
      <c r="U2416" s="13" t="s">
        <v>10368</v>
      </c>
      <c r="V2416" s="13" t="s">
        <v>42</v>
      </c>
      <c r="W2416" s="13" t="s">
        <v>43</v>
      </c>
      <c r="X2416" s="21" t="n">
        <v>85776758962</v>
      </c>
      <c r="Y2416" s="22" t="str">
        <f aca="false">O2416</f>
        <v>LS Quality Assurance</v>
      </c>
      <c r="Z2416" s="13" t="str">
        <f aca="false">IFERROR(__xludf.dummyfunction("if(BJ2416="""","""",GOOGLETRANSLATE(BJ2416,""auto"",""en""))"),"LS Quality Assurance")</f>
        <v>LS Quality Assurance</v>
      </c>
      <c r="AA2416" s="23" t="str">
        <f aca="false">IF(C2416="","", CHOOSE(MONTH(C2416),"January","February","March","April","May","June","July","August","September","October","November","December")&amp;" "&amp;DAY(C2416)&amp;MID("thstndrdth",MIN(9,2*RIGHT(DAY(C2416))*(MOD(DAY(C2416)-11,100)&gt;2)+1),2)&amp;","&amp;TEXT(C2416," yyyy"))</f>
        <v>July 1st,2025</v>
      </c>
      <c r="AB2416" s="15" t="str">
        <f aca="true">IF(S2416="","",DATEDIF(S2416,TODAY(),"Y")&amp;" Tahun, "&amp;DATEDIF(S2416,TODAY(),"YM")&amp;" Bulan, "&amp;DATEDIF(S2416,TODAY(),"MD")&amp;" Hari")</f>
        <v>26 Tahun, 4 Bulan, 29 Hari</v>
      </c>
      <c r="AC2416" s="18" t="n">
        <v>45839</v>
      </c>
      <c r="AD2416" s="18" t="n">
        <v>45930</v>
      </c>
      <c r="AE2416" s="18" t="s">
        <v>44</v>
      </c>
    </row>
    <row r="2417" customFormat="false" ht="15" hidden="false" customHeight="true" outlineLevel="0" collapsed="false">
      <c r="A2417" s="12" t="n">
        <v>20028</v>
      </c>
      <c r="B2417" s="13" t="s">
        <v>10369</v>
      </c>
      <c r="C2417" s="16" t="n">
        <v>45839</v>
      </c>
      <c r="D2417" s="13" t="s">
        <v>10155</v>
      </c>
      <c r="E2417" s="15" t="s">
        <v>102</v>
      </c>
      <c r="F2417" s="24" t="s">
        <v>10370</v>
      </c>
      <c r="G2417" s="13" t="s">
        <v>10371</v>
      </c>
      <c r="H2417" s="13" t="s">
        <v>35</v>
      </c>
      <c r="I2417" s="13" t="str">
        <f aca="false">IF(C2417=J2417,"NEW KONTRAK","RE-KONTRAK")</f>
        <v>NEW KONTRAK</v>
      </c>
      <c r="J2417" s="16" t="n">
        <f aca="false" t="array" ref="J2417:J2417">IFERROR(INDEX(AC2417:AE2417,IF(COUNTA(AC2417:AE2417)=0,"",MAX((AC2417:AE2417&lt;&gt;"")*(COLUMN(AC2417:AE2417)-(COLUMN(AC2417)))))-1),"")</f>
        <v>45839</v>
      </c>
      <c r="K2417" s="16" t="n">
        <f aca="false" t="array" ref="K2417:K2417">IFERROR(INDEX(AC2417:AE2417,IF(COUNTA(AC2417:AE2417)=0,"",MAX((AC2417:AE2417&lt;&gt;"")*(COLUMN(AC2417:AE2417)-(COLUMN(AC2417)-1))))-1),"")</f>
        <v>45930</v>
      </c>
      <c r="L2417" s="17" t="str">
        <f aca="false" t="array" ref="L2417:L2417">IFERROR(INDEX(AC2417:AE2417,IF(COUNTA(AC2417:AE2417)=0,"",MAX((AC2417:AE2417&lt;&gt;"")*(COLUMN(AC2417:AE2417)-(COLUMN(AC2417)-2))))-1),"")</f>
        <v>ARCHIVED</v>
      </c>
      <c r="M2417" s="13" t="n">
        <f aca="true">K2417-TODAY()</f>
        <v>-394</v>
      </c>
      <c r="N2417" s="18" t="s">
        <v>36</v>
      </c>
      <c r="O2417" s="13" t="s">
        <v>10180</v>
      </c>
      <c r="P2417" s="27" t="n">
        <v>5195401</v>
      </c>
      <c r="Q2417" s="20" t="s">
        <v>10372</v>
      </c>
      <c r="R2417" s="13" t="s">
        <v>65</v>
      </c>
      <c r="S2417" s="16" t="n">
        <v>34541</v>
      </c>
      <c r="T2417" s="13" t="s">
        <v>40</v>
      </c>
      <c r="U2417" s="13" t="s">
        <v>10373</v>
      </c>
      <c r="V2417" s="13" t="s">
        <v>42</v>
      </c>
      <c r="W2417" s="13" t="s">
        <v>54</v>
      </c>
      <c r="X2417" s="21" t="n">
        <v>89677106204</v>
      </c>
      <c r="Y2417" s="22" t="str">
        <f aca="false">O2417</f>
        <v>LS P1 - PPC</v>
      </c>
      <c r="Z2417" s="13" t="str">
        <f aca="false">IFERROR(__xludf.dummyfunction("if(BJ2417="""","""",GOOGLETRANSLATE(BJ2417,""auto"",""en""))"),"LS P1 - PPC")</f>
        <v>LS P1 - PPC</v>
      </c>
      <c r="AA2417" s="23" t="str">
        <f aca="false">IF(C2417="","", CHOOSE(MONTH(C2417),"January","February","March","April","May","June","July","August","September","October","November","December")&amp;" "&amp;DAY(C2417)&amp;MID("thstndrdth",MIN(9,2*RIGHT(DAY(C2417))*(MOD(DAY(C2417)-11,100)&gt;2)+1),2)&amp;","&amp;TEXT(C2417," yyyy"))</f>
        <v>July 1st,2025</v>
      </c>
      <c r="AB2417" s="15" t="str">
        <f aca="true">IF(S2417="","",DATEDIF(S2417,TODAY(),"Y")&amp;" Tahun, "&amp;DATEDIF(S2417,TODAY(),"YM")&amp;" Bulan, "&amp;DATEDIF(S2417,TODAY(),"MD")&amp;" Hari")</f>
        <v>32 Tahun, 3 Bulan, 3 Hari</v>
      </c>
      <c r="AC2417" s="18" t="n">
        <v>45839</v>
      </c>
      <c r="AD2417" s="18" t="n">
        <v>45930</v>
      </c>
      <c r="AE2417" s="18" t="s">
        <v>44</v>
      </c>
    </row>
    <row r="2418" customFormat="false" ht="15" hidden="false" customHeight="true" outlineLevel="0" collapsed="false">
      <c r="A2418" s="12" t="n">
        <v>20030</v>
      </c>
      <c r="B2418" s="13" t="s">
        <v>10374</v>
      </c>
      <c r="C2418" s="16" t="n">
        <v>45839</v>
      </c>
      <c r="D2418" s="13" t="s">
        <v>10155</v>
      </c>
      <c r="E2418" s="15" t="s">
        <v>47</v>
      </c>
      <c r="F2418" s="15" t="str">
        <f aca="false">IFERROR(__xludf.dummyfunction("XLOOKUP(AJ2418,IMPORTRANGE(""1XaInW9DU9nz21V0tYIfzFQ0He9kVQ_JF2mCXgZ3hqFA"",""REKAP ALL 2026 - Andika!G:G""),IMPORTRANGE(""1XaInW9DU9nz21V0tYIfzFQ0He9kVQ_JF2mCXgZ3hqFA"",""REKAP ALL 2026 - Andika!F:F""),"""",0)"),"12014405596")</f>
        <v>12014405596</v>
      </c>
      <c r="G2418" s="13" t="s">
        <v>10375</v>
      </c>
      <c r="H2418" s="13" t="s">
        <v>35</v>
      </c>
      <c r="I2418" s="13" t="str">
        <f aca="false">IF(C2418=J2418,"NEW KONTRAK","RE-KONTRAK")</f>
        <v>NEW KONTRAK</v>
      </c>
      <c r="J2418" s="16" t="n">
        <f aca="false" t="array" ref="J2418:J2418">IFERROR(INDEX(AC2418:AE2418,IF(COUNTA(AC2418:AE2418)=0,"",MAX((AC2418:AE2418&lt;&gt;"")*(COLUMN(AC2418:AE2418)-(COLUMN(AC2418)))))-1),"")</f>
        <v>45839</v>
      </c>
      <c r="K2418" s="16" t="n">
        <f aca="false" t="array" ref="K2418:K2418">IFERROR(INDEX(AC2418:AE2418,IF(COUNTA(AC2418:AE2418)=0,"",MAX((AC2418:AE2418&lt;&gt;"")*(COLUMN(AC2418:AE2418)-(COLUMN(AC2418)-1))))-1),"")</f>
        <v>45930</v>
      </c>
      <c r="L2418" s="17" t="str">
        <f aca="false" t="array" ref="L2418:L2418">IFERROR(INDEX(AC2418:AE2418,IF(COUNTA(AC2418:AE2418)=0,"",MAX((AC2418:AE2418&lt;&gt;"")*(COLUMN(AC2418:AE2418)-(COLUMN(AC2418)-2))))-1),"")</f>
        <v>ARCHIVED</v>
      </c>
      <c r="M2418" s="13" t="n">
        <f aca="true">K2418-TODAY()</f>
        <v>-394</v>
      </c>
      <c r="N2418" s="18" t="s">
        <v>36</v>
      </c>
      <c r="O2418" s="13" t="s">
        <v>10180</v>
      </c>
      <c r="P2418" s="27" t="n">
        <v>5195401</v>
      </c>
      <c r="Q2418" s="20" t="s">
        <v>10376</v>
      </c>
      <c r="R2418" s="13" t="s">
        <v>78</v>
      </c>
      <c r="S2418" s="16" t="n">
        <v>32090</v>
      </c>
      <c r="T2418" s="13" t="s">
        <v>40</v>
      </c>
      <c r="U2418" s="17" t="s">
        <v>10377</v>
      </c>
      <c r="V2418" s="13" t="s">
        <v>42</v>
      </c>
      <c r="W2418" s="13" t="s">
        <v>54</v>
      </c>
      <c r="X2418" s="21" t="n">
        <v>85648461870</v>
      </c>
      <c r="Y2418" s="22" t="str">
        <f aca="false">O2418</f>
        <v>LS P1 - PPC</v>
      </c>
      <c r="Z2418" s="13" t="str">
        <f aca="false">IFERROR(__xludf.dummyfunction("if(BJ2418="""","""",GOOGLETRANSLATE(BJ2418,""auto"",""en""))"),"LS P1 - PPC")</f>
        <v>LS P1 - PPC</v>
      </c>
      <c r="AA2418" s="23" t="str">
        <f aca="false">IF(C2418="","", CHOOSE(MONTH(C2418),"January","February","March","April","May","June","July","August","September","October","November","December")&amp;" "&amp;DAY(C2418)&amp;MID("thstndrdth",MIN(9,2*RIGHT(DAY(C2418))*(MOD(DAY(C2418)-11,100)&gt;2)+1),2)&amp;","&amp;TEXT(C2418," yyyy"))</f>
        <v>July 1st,2025</v>
      </c>
      <c r="AB2418" s="15" t="str">
        <f aca="true">IF(S2418="","",DATEDIF(S2418,TODAY(),"Y")&amp;" Tahun, "&amp;DATEDIF(S2418,TODAY(),"YM")&amp;" Bulan, "&amp;DATEDIF(S2418,TODAY(),"MD")&amp;" Hari")</f>
        <v>38 Tahun, 11 Bulan, 20 Hari</v>
      </c>
      <c r="AC2418" s="18" t="n">
        <v>45839</v>
      </c>
      <c r="AD2418" s="18" t="n">
        <v>45930</v>
      </c>
      <c r="AE2418" s="18" t="s">
        <v>44</v>
      </c>
    </row>
    <row r="2419" customFormat="false" ht="15" hidden="false" customHeight="true" outlineLevel="0" collapsed="false">
      <c r="A2419" s="12" t="n">
        <v>20031</v>
      </c>
      <c r="B2419" s="13" t="s">
        <v>10378</v>
      </c>
      <c r="C2419" s="16" t="n">
        <v>45804</v>
      </c>
      <c r="D2419" s="13" t="s">
        <v>7534</v>
      </c>
      <c r="E2419" s="15" t="s">
        <v>47</v>
      </c>
      <c r="F2419" s="15" t="str">
        <f aca="false">IFERROR(__xludf.dummyfunction("XLOOKUP(AJ2419,IMPORTRANGE(""1XaInW9DU9nz21V0tYIfzFQ0He9kVQ_JF2mCXgZ3hqFA"",""REKAP ALL 2026 - Andika!G:G""),IMPORTRANGE(""1XaInW9DU9nz21V0tYIfzFQ0He9kVQ_JF2mCXgZ3hqFA"",""REKAP ALL 2026 - Andika!F:F""),"""",0)"),"25079805765")</f>
        <v>25079805765</v>
      </c>
      <c r="G2419" s="13" t="s">
        <v>10379</v>
      </c>
      <c r="H2419" s="13" t="s">
        <v>35</v>
      </c>
      <c r="I2419" s="13" t="str">
        <f aca="false">IF(C2419=J2419,"NEW KONTRAK","RE-KONTRAK")</f>
        <v>RE-KONTRAK</v>
      </c>
      <c r="J2419" s="16" t="n">
        <f aca="false" t="array" ref="J2419:J2419">IFERROR(INDEX(AC2419:AE2419,IF(COUNTA(AC2419:AE2419)=0,"",MAX((AC2419:AE2419&lt;&gt;"")*(COLUMN(AC2419:AE2419)-(COLUMN(AC2419)))))-1),"")</f>
        <v>45896</v>
      </c>
      <c r="K2419" s="16" t="n">
        <f aca="false" t="array" ref="K2419:K2419">IFERROR(INDEX(AC2419:AE2419,IF(COUNTA(AC2419:AE2419)=0,"",MAX((AC2419:AE2419&lt;&gt;"")*(COLUMN(AC2419:AE2419)-(COLUMN(AC2419)-1))))-1),"")</f>
        <v>46079</v>
      </c>
      <c r="L2419" s="17" t="str">
        <f aca="false" t="array" ref="L2419:L2419">IFERROR(INDEX(AC2419:AE2419,IF(COUNTA(AC2419:AE2419)=0,"",MAX((AC2419:AE2419&lt;&gt;"")*(COLUMN(AC2419:AE2419)-(COLUMN(AC2419)-2))))-1),"")</f>
        <v>KEMBALI</v>
      </c>
      <c r="M2419" s="13" t="n">
        <f aca="true">K2419-TODAY()</f>
        <v>-245</v>
      </c>
      <c r="N2419" s="18" t="s">
        <v>4735</v>
      </c>
      <c r="O2419" s="13" t="s">
        <v>7536</v>
      </c>
      <c r="P2419" s="19" t="n">
        <v>3553530</v>
      </c>
      <c r="Q2419" s="20" t="s">
        <v>10380</v>
      </c>
      <c r="R2419" s="13" t="s">
        <v>83</v>
      </c>
      <c r="S2419" s="16" t="n">
        <v>38654</v>
      </c>
      <c r="T2419" s="13" t="s">
        <v>40</v>
      </c>
      <c r="U2419" s="13" t="s">
        <v>10381</v>
      </c>
      <c r="V2419" s="13" t="s">
        <v>42</v>
      </c>
      <c r="W2419" s="13" t="s">
        <v>43</v>
      </c>
      <c r="X2419" s="21" t="n">
        <v>82227237483</v>
      </c>
      <c r="Y2419" s="22" t="str">
        <f aca="false">O2419</f>
        <v>Host Live</v>
      </c>
      <c r="Z2419" s="13" t="str">
        <f aca="false">IFERROR(__xludf.dummyfunction("if(BJ2419="""","""",GOOGLETRANSLATE(BJ2419,""auto"",""en""))"),"Host Live")</f>
        <v>Host Live</v>
      </c>
      <c r="AA2419" s="23" t="str">
        <f aca="false">IF(C2419="","", CHOOSE(MONTH(C2419),"January","February","March","April","May","June","July","August","September","October","November","December")&amp;" "&amp;DAY(C2419)&amp;MID("thstndrdth",MIN(9,2*RIGHT(DAY(C2419))*(MOD(DAY(C2419)-11,100)&gt;2)+1),2)&amp;","&amp;TEXT(C2419," yyyy"))</f>
        <v>May 27th,2025</v>
      </c>
      <c r="AB2419" s="15" t="str">
        <f aca="true">IF(S2419="","",DATEDIF(S2419,TODAY(),"Y")&amp;" Tahun, "&amp;DATEDIF(S2419,TODAY(),"YM")&amp;" Bulan, "&amp;DATEDIF(S2419,TODAY(),"MD")&amp;" Hari")</f>
        <v>21 Tahun, 0 Bulan, 0 Hari</v>
      </c>
      <c r="AC2419" s="18" t="n">
        <v>45896</v>
      </c>
      <c r="AD2419" s="18" t="n">
        <v>46079</v>
      </c>
      <c r="AE2419" s="13" t="s">
        <v>397</v>
      </c>
    </row>
    <row r="2420" customFormat="false" ht="15" hidden="false" customHeight="true" outlineLevel="0" collapsed="false">
      <c r="A2420" s="12" t="n">
        <v>20038</v>
      </c>
      <c r="B2420" s="13" t="s">
        <v>10382</v>
      </c>
      <c r="C2420" s="16" t="n">
        <v>45839</v>
      </c>
      <c r="D2420" s="13" t="s">
        <v>144</v>
      </c>
      <c r="E2420" s="15" t="s">
        <v>47</v>
      </c>
      <c r="F2420" s="15" t="str">
        <f aca="false">IFERROR(__xludf.dummyfunction("XLOOKUP(AJ2420,IMPORTRANGE(""1XaInW9DU9nz21V0tYIfzFQ0He9kVQ_JF2mCXgZ3hqFA"",""REKAP ALL 2026 - Andika!G:G""),IMPORTRANGE(""1XaInW9DU9nz21V0tYIfzFQ0He9kVQ_JF2mCXgZ3hqFA"",""REKAP ALL 2026 - Andika!F:F""),"""",0)"),"25099756949")</f>
        <v>25099756949</v>
      </c>
      <c r="G2420" s="13" t="s">
        <v>10383</v>
      </c>
      <c r="H2420" s="13" t="s">
        <v>35</v>
      </c>
      <c r="I2420" s="13" t="str">
        <f aca="false">IF(C2420=J2420,"NEW KONTRAK","RE-KONTRAK")</f>
        <v>NEW KONTRAK</v>
      </c>
      <c r="J2420" s="16" t="n">
        <f aca="false" t="array" ref="J2420:J2420">IFERROR(INDEX(AC2420:AE2420,IF(COUNTA(AC2420:AE2420)=0,"",MAX((AC2420:AE2420&lt;&gt;"")*(COLUMN(AC2420:AE2420)-(COLUMN(AC2420)))))-1),"")</f>
        <v>45839</v>
      </c>
      <c r="K2420" s="16" t="n">
        <f aca="false" t="array" ref="K2420:K2420">IFERROR(INDEX(AC2420:AE2420,IF(COUNTA(AC2420:AE2420)=0,"",MAX((AC2420:AE2420&lt;&gt;"")*(COLUMN(AC2420:AE2420)-(COLUMN(AC2420)-1))))-1),"")</f>
        <v>46022</v>
      </c>
      <c r="L2420" s="17" t="str">
        <f aca="false" t="array" ref="L2420:L2420">IFERROR(INDEX(AC2420:AE2420,IF(COUNTA(AC2420:AE2420)=0,"",MAX((AC2420:AE2420&lt;&gt;"")*(COLUMN(AC2420:AE2420)-(COLUMN(AC2420)-2))))-1),"")</f>
        <v>ARCHIVED</v>
      </c>
      <c r="M2420" s="13" t="n">
        <f aca="true">K2420-TODAY()</f>
        <v>-302</v>
      </c>
      <c r="N2420" s="18" t="s">
        <v>36</v>
      </c>
      <c r="O2420" s="13" t="s">
        <v>76</v>
      </c>
      <c r="P2420" s="19" t="n">
        <v>5195401</v>
      </c>
      <c r="Q2420" s="20" t="s">
        <v>10384</v>
      </c>
      <c r="R2420" s="13" t="s">
        <v>65</v>
      </c>
      <c r="S2420" s="16" t="n">
        <v>34454</v>
      </c>
      <c r="T2420" s="13" t="s">
        <v>40</v>
      </c>
      <c r="U2420" s="13" t="s">
        <v>10385</v>
      </c>
      <c r="V2420" s="13" t="s">
        <v>42</v>
      </c>
      <c r="W2420" s="13" t="s">
        <v>54</v>
      </c>
      <c r="X2420" s="21" t="n">
        <v>81231357507</v>
      </c>
      <c r="Y2420" s="22" t="str">
        <f aca="false">O2420</f>
        <v>Operator Forklift</v>
      </c>
      <c r="Z2420" s="13" t="str">
        <f aca="false">IFERROR(__xludf.dummyfunction("if(BJ2420="""","""",GOOGLETRANSLATE(BJ2420,""auto"",""en""))"),"Operator Forklift")</f>
        <v>Operator Forklift</v>
      </c>
      <c r="AA2420" s="23" t="str">
        <f aca="false">IF(C2420="","", CHOOSE(MONTH(C2420),"January","February","March","April","May","June","July","August","September","October","November","December")&amp;" "&amp;DAY(C2420)&amp;MID("thstndrdth",MIN(9,2*RIGHT(DAY(C2420))*(MOD(DAY(C2420)-11,100)&gt;2)+1),2)&amp;","&amp;TEXT(C2420," yyyy"))</f>
        <v>July 1st,2025</v>
      </c>
      <c r="AB2420" s="15" t="str">
        <f aca="true">IF(S2420="","",DATEDIF(S2420,TODAY(),"Y")&amp;" Tahun, "&amp;DATEDIF(S2420,TODAY(),"YM")&amp;" Bulan, "&amp;DATEDIF(S2420,TODAY(),"MD")&amp;" Hari")</f>
        <v>32 Tahun, 5 Bulan, 29 Hari</v>
      </c>
      <c r="AC2420" s="18" t="n">
        <v>45839</v>
      </c>
      <c r="AD2420" s="18" t="n">
        <v>46022</v>
      </c>
      <c r="AE2420" s="18" t="s">
        <v>44</v>
      </c>
    </row>
    <row r="2421" customFormat="false" ht="15" hidden="false" customHeight="true" outlineLevel="0" collapsed="false">
      <c r="A2421" s="12" t="n">
        <v>20032</v>
      </c>
      <c r="B2421" s="13" t="s">
        <v>10386</v>
      </c>
      <c r="C2421" s="16" t="n">
        <v>45805</v>
      </c>
      <c r="D2421" s="13" t="s">
        <v>7534</v>
      </c>
      <c r="E2421" s="15" t="s">
        <v>102</v>
      </c>
      <c r="F2421" s="15" t="str">
        <f aca="false">IFERROR(__xludf.dummyfunction("XLOOKUP(AJ2421,IMPORTRANGE(""1XaInW9DU9nz21V0tYIfzFQ0He9kVQ_JF2mCXgZ3hqFA"",""REKAP ALL 2026 - Andika!G:G""),IMPORTRANGE(""1XaInW9DU9nz21V0tYIfzFQ0He9kVQ_JF2mCXgZ3hqFA"",""REKAP ALL 2026 - Andika!F:F""),"""",0)"),"25079805773")</f>
        <v>25079805773</v>
      </c>
      <c r="G2421" s="13" t="s">
        <v>10387</v>
      </c>
      <c r="H2421" s="13" t="s">
        <v>35</v>
      </c>
      <c r="I2421" s="13" t="str">
        <f aca="false">IF(C2421=J2421,"NEW KONTRAK","RE-KONTRAK")</f>
        <v>RE-KONTRAK</v>
      </c>
      <c r="J2421" s="16" t="n">
        <f aca="false" t="array" ref="J2421:J2421">IFERROR(INDEX(AC2421:AE2421,IF(COUNTA(AC2421:AE2421)=0,"",MAX((AC2421:AE2421&lt;&gt;"")*(COLUMN(AC2421:AE2421)-(COLUMN(AC2421)))))-1),"")</f>
        <v>45897</v>
      </c>
      <c r="K2421" s="16" t="n">
        <f aca="false" t="array" ref="K2421:K2421">IFERROR(INDEX(AC2421:AE2421,IF(COUNTA(AC2421:AE2421)=0,"",MAX((AC2421:AE2421&lt;&gt;"")*(COLUMN(AC2421:AE2421)-(COLUMN(AC2421)-1))))-1),"")</f>
        <v>46080</v>
      </c>
      <c r="L2421" s="17" t="str">
        <f aca="false" t="array" ref="L2421:L2421">IFERROR(INDEX(AC2421:AE2421,IF(COUNTA(AC2421:AE2421)=0,"",MAX((AC2421:AE2421&lt;&gt;"")*(COLUMN(AC2421:AE2421)-(COLUMN(AC2421)-2))))-1),"")</f>
        <v>KEMBALI</v>
      </c>
      <c r="M2421" s="13" t="n">
        <f aca="true">K2421-TODAY()</f>
        <v>-244</v>
      </c>
      <c r="N2421" s="18" t="s">
        <v>4735</v>
      </c>
      <c r="O2421" s="13" t="s">
        <v>7536</v>
      </c>
      <c r="P2421" s="19" t="n">
        <v>3553530</v>
      </c>
      <c r="Q2421" s="20" t="s">
        <v>10388</v>
      </c>
      <c r="R2421" s="13" t="s">
        <v>83</v>
      </c>
      <c r="S2421" s="16" t="n">
        <v>38486</v>
      </c>
      <c r="T2421" s="13" t="s">
        <v>108</v>
      </c>
      <c r="U2421" s="13" t="s">
        <v>10389</v>
      </c>
      <c r="V2421" s="13" t="s">
        <v>42</v>
      </c>
      <c r="W2421" s="13" t="s">
        <v>43</v>
      </c>
      <c r="X2421" s="21" t="n">
        <v>8991420909</v>
      </c>
      <c r="Y2421" s="22" t="str">
        <f aca="false">O2421</f>
        <v>Host Live</v>
      </c>
      <c r="Z2421" s="13" t="str">
        <f aca="false">IFERROR(__xludf.dummyfunction("if(BJ2421="""","""",GOOGLETRANSLATE(BJ2421,""auto"",""en""))"),"Host Live")</f>
        <v>Host Live</v>
      </c>
      <c r="AA2421" s="23" t="str">
        <f aca="false">IF(C2421="","", CHOOSE(MONTH(C2421),"January","February","March","April","May","June","July","August","September","October","November","December")&amp;" "&amp;DAY(C2421)&amp;MID("thstndrdth",MIN(9,2*RIGHT(DAY(C2421))*(MOD(DAY(C2421)-11,100)&gt;2)+1),2)&amp;","&amp;TEXT(C2421," yyyy"))</f>
        <v>May 28th,2025</v>
      </c>
      <c r="AB2421" s="15" t="str">
        <f aca="true">IF(S2421="","",DATEDIF(S2421,TODAY(),"Y")&amp;" Tahun, "&amp;DATEDIF(S2421,TODAY(),"YM")&amp;" Bulan, "&amp;DATEDIF(S2421,TODAY(),"MD")&amp;" Hari")</f>
        <v>21 Tahun, 5 Bulan, 15 Hari</v>
      </c>
      <c r="AC2421" s="18" t="n">
        <v>45897</v>
      </c>
      <c r="AD2421" s="18" t="n">
        <v>46080</v>
      </c>
      <c r="AE2421" s="13" t="s">
        <v>397</v>
      </c>
    </row>
    <row r="2422" customFormat="false" ht="15" hidden="false" customHeight="true" outlineLevel="0" collapsed="false">
      <c r="A2422" s="12" t="n">
        <v>20037</v>
      </c>
      <c r="B2422" s="13" t="s">
        <v>10390</v>
      </c>
      <c r="C2422" s="16" t="n">
        <v>45845</v>
      </c>
      <c r="D2422" s="13" t="s">
        <v>404</v>
      </c>
      <c r="E2422" s="15" t="s">
        <v>33</v>
      </c>
      <c r="F2422" s="24" t="s">
        <v>10391</v>
      </c>
      <c r="G2422" s="13" t="s">
        <v>10392</v>
      </c>
      <c r="H2422" s="13" t="s">
        <v>35</v>
      </c>
      <c r="I2422" s="13" t="str">
        <f aca="false">IF(C2422=J2422,"NEW KONTRAK","RE-KONTRAK")</f>
        <v>NEW KONTRAK</v>
      </c>
      <c r="J2422" s="16" t="n">
        <f aca="false" t="array" ref="J2422:J2422">IFERROR(INDEX(AC2422:AE2422,IF(COUNTA(AC2422:AE2422)=0,"",MAX((AC2422:AE2422&lt;&gt;"")*(COLUMN(AC2422:AE2422)-(COLUMN(AC2422)))))-1),"")</f>
        <v>45845</v>
      </c>
      <c r="K2422" s="16" t="n">
        <f aca="false" t="array" ref="K2422:K2422">IFERROR(INDEX(AC2422:AE2422,IF(COUNTA(AC2422:AE2422)=0,"",MAX((AC2422:AE2422&lt;&gt;"")*(COLUMN(AC2422:AE2422)-(COLUMN(AC2422)-1))))-1),"")</f>
        <v>46022</v>
      </c>
      <c r="L2422" s="17" t="str">
        <f aca="false" t="array" ref="L2422:L2422">IFERROR(INDEX(AC2422:AE2422,IF(COUNTA(AC2422:AE2422)=0,"",MAX((AC2422:AE2422&lt;&gt;"")*(COLUMN(AC2422:AE2422)-(COLUMN(AC2422)-2))))-1),"")</f>
        <v>ARCHIVED</v>
      </c>
      <c r="M2422" s="13" t="n">
        <f aca="true">K2422-TODAY()</f>
        <v>-302</v>
      </c>
      <c r="N2422" s="18" t="s">
        <v>36</v>
      </c>
      <c r="O2422" s="13" t="s">
        <v>8136</v>
      </c>
      <c r="P2422" s="27" t="n">
        <v>5195401</v>
      </c>
      <c r="Q2422" s="20" t="s">
        <v>10393</v>
      </c>
      <c r="R2422" s="13" t="s">
        <v>65</v>
      </c>
      <c r="S2422" s="16" t="n">
        <v>37741</v>
      </c>
      <c r="T2422" s="13" t="s">
        <v>40</v>
      </c>
      <c r="U2422" s="13" t="s">
        <v>10394</v>
      </c>
      <c r="V2422" s="13" t="s">
        <v>42</v>
      </c>
      <c r="W2422" s="13" t="s">
        <v>43</v>
      </c>
      <c r="X2422" s="21" t="n">
        <v>85600249183</v>
      </c>
      <c r="Y2422" s="22" t="str">
        <f aca="false">O2422</f>
        <v>Analis Lab</v>
      </c>
      <c r="Z2422" s="13" t="str">
        <f aca="false">IFERROR(__xludf.dummyfunction("if(BJ2422="""","""",GOOGLETRANSLATE(BJ2422,""auto"",""en""))"),"Lab Analyst")</f>
        <v>Lab Analyst</v>
      </c>
      <c r="AA2422" s="23" t="str">
        <f aca="false">IF(C2422="","", CHOOSE(MONTH(C2422),"January","February","March","April","May","June","July","August","September","October","November","December")&amp;" "&amp;DAY(C2422)&amp;MID("thstndrdth",MIN(9,2*RIGHT(DAY(C2422))*(MOD(DAY(C2422)-11,100)&gt;2)+1),2)&amp;","&amp;TEXT(C2422," yyyy"))</f>
        <v>July 7th,2025</v>
      </c>
      <c r="AB2422" s="15" t="str">
        <f aca="true">IF(S2422="","",DATEDIF(S2422,TODAY(),"Y")&amp;" Tahun, "&amp;DATEDIF(S2422,TODAY(),"YM")&amp;" Bulan, "&amp;DATEDIF(S2422,TODAY(),"MD")&amp;" Hari")</f>
        <v>23 Tahun, 5 Bulan, 29 Hari</v>
      </c>
      <c r="AC2422" s="18" t="n">
        <v>45845</v>
      </c>
      <c r="AD2422" s="18" t="n">
        <v>46022</v>
      </c>
      <c r="AE2422" s="18" t="s">
        <v>44</v>
      </c>
    </row>
    <row r="2423" customFormat="false" ht="15" hidden="false" customHeight="true" outlineLevel="0" collapsed="false">
      <c r="A2423" s="12" t="n">
        <v>20049</v>
      </c>
      <c r="B2423" s="13" t="s">
        <v>10395</v>
      </c>
      <c r="C2423" s="16" t="n">
        <v>45841</v>
      </c>
      <c r="D2423" s="13" t="s">
        <v>380</v>
      </c>
      <c r="E2423" s="15" t="s">
        <v>47</v>
      </c>
      <c r="F2423" s="15" t="str">
        <f aca="false">IFERROR(__xludf.dummyfunction("XLOOKUP(AJ2423,IMPORTRANGE(""1XaInW9DU9nz21V0tYIfzFQ0He9kVQ_JF2mCXgZ3hqFA"",""REKAP ALL 2026 - Andika!G:G""),IMPORTRANGE(""1XaInW9DU9nz21V0tYIfzFQ0He9kVQ_JF2mCXgZ3hqFA"",""REKAP ALL 2026 - Andika!F:F""),"""",0)"),"25099754480")</f>
        <v>25099754480</v>
      </c>
      <c r="G2423" s="13" t="s">
        <v>10396</v>
      </c>
      <c r="H2423" s="13" t="s">
        <v>49</v>
      </c>
      <c r="I2423" s="13" t="str">
        <f aca="false">IF(C2423=J2423,"NEW KONTRAK","RE-KONTRAK")</f>
        <v>NEW KONTRAK</v>
      </c>
      <c r="J2423" s="16" t="n">
        <f aca="false" t="array" ref="J2423:J2423">IFERROR(INDEX(AC2423:AE2423,IF(COUNTA(AC2423:AE2423)=0,"",MAX((AC2423:AE2423&lt;&gt;"")*(COLUMN(AC2423:AE2423)-(COLUMN(AC2423)))))-1),"")</f>
        <v>45841</v>
      </c>
      <c r="K2423" s="16" t="n">
        <f aca="false" t="array" ref="K2423:K2423">IFERROR(INDEX(AC2423:AE2423,IF(COUNTA(AC2423:AE2423)=0,"",MAX((AC2423:AE2423&lt;&gt;"")*(COLUMN(AC2423:AE2423)-(COLUMN(AC2423)-1))))-1),"")</f>
        <v>46024</v>
      </c>
      <c r="L2423" s="17" t="str">
        <f aca="false" t="array" ref="L2423:L2423">IFERROR(INDEX(AC2423:AE2423,IF(COUNTA(AC2423:AE2423)=0,"",MAX((AC2423:AE2423&lt;&gt;"")*(COLUMN(AC2423:AE2423)-(COLUMN(AC2423)-2))))-1),"")</f>
        <v>ARCHIVED</v>
      </c>
      <c r="M2423" s="13" t="n">
        <f aca="true">K2423-TODAY()</f>
        <v>-300</v>
      </c>
      <c r="N2423" s="18" t="s">
        <v>383</v>
      </c>
      <c r="O2423" s="13" t="s">
        <v>10397</v>
      </c>
      <c r="P2423" s="19" t="n">
        <v>3050000</v>
      </c>
      <c r="Q2423" s="20" t="s">
        <v>10398</v>
      </c>
      <c r="R2423" s="13" t="s">
        <v>52</v>
      </c>
      <c r="S2423" s="14" t="n">
        <v>37095</v>
      </c>
      <c r="T2423" s="13" t="s">
        <v>108</v>
      </c>
      <c r="U2423" s="13" t="s">
        <v>10399</v>
      </c>
      <c r="V2423" s="13" t="s">
        <v>42</v>
      </c>
      <c r="W2423" s="13" t="s">
        <v>43</v>
      </c>
      <c r="X2423" s="21" t="n">
        <v>85955287787</v>
      </c>
      <c r="Y2423" s="22" t="str">
        <f aca="false">O2423</f>
        <v>QC Sortir</v>
      </c>
      <c r="Z2423" s="13" t="str">
        <f aca="false">IFERROR(__xludf.dummyfunction("if(BJ2423="""","""",GOOGLETRANSLATE(BJ2423,""auto"",""en""))"),"QC Sort")</f>
        <v>QC Sort</v>
      </c>
      <c r="AA2423" s="23" t="str">
        <f aca="false">IF(C2423="","", CHOOSE(MONTH(C2423),"January","February","March","April","May","June","July","August","September","October","November","December")&amp;" "&amp;DAY(C2423)&amp;MID("thstndrdth",MIN(9,2*RIGHT(DAY(C2423))*(MOD(DAY(C2423)-11,100)&gt;2)+1),2)&amp;","&amp;TEXT(C2423," yyyy"))</f>
        <v>July 3rd,2025</v>
      </c>
      <c r="AB2423" s="15" t="str">
        <f aca="true">IF(S2423="","",DATEDIF(S2423,TODAY(),"Y")&amp;" Tahun, "&amp;DATEDIF(S2423,TODAY(),"YM")&amp;" Bulan, "&amp;DATEDIF(S2423,TODAY(),"MD")&amp;" Hari")</f>
        <v>25 Tahun, 3 Bulan, 6 Hari</v>
      </c>
      <c r="AC2423" s="18" t="n">
        <v>45841</v>
      </c>
      <c r="AD2423" s="18" t="n">
        <v>46024</v>
      </c>
      <c r="AE2423" s="18" t="s">
        <v>44</v>
      </c>
    </row>
    <row r="2424" customFormat="false" ht="15" hidden="false" customHeight="true" outlineLevel="0" collapsed="false">
      <c r="A2424" s="12" t="n">
        <v>20040</v>
      </c>
      <c r="B2424" s="13" t="s">
        <v>10400</v>
      </c>
      <c r="C2424" s="16" t="n">
        <v>45840</v>
      </c>
      <c r="D2424" s="13" t="s">
        <v>7534</v>
      </c>
      <c r="E2424" s="15" t="s">
        <v>33</v>
      </c>
      <c r="F2424" s="24" t="s">
        <v>10401</v>
      </c>
      <c r="G2424" s="13" t="s">
        <v>10402</v>
      </c>
      <c r="H2424" s="13" t="s">
        <v>35</v>
      </c>
      <c r="I2424" s="13" t="str">
        <f aca="false">IF(C2424=J2424,"NEW KONTRAK","RE-KONTRAK")</f>
        <v>NEW KONTRAK</v>
      </c>
      <c r="J2424" s="16" t="n">
        <f aca="false" t="array" ref="J2424:J2424">IFERROR(INDEX(AC2424:AE2424,IF(COUNTA(AC2424:AE2424)=0,"",MAX((AC2424:AE2424&lt;&gt;"")*(COLUMN(AC2424:AE2424)-(COLUMN(AC2424)))))-1),"")</f>
        <v>45840</v>
      </c>
      <c r="K2424" s="16" t="n">
        <f aca="false" t="array" ref="K2424:K2424">IFERROR(INDEX(AC2424:AE2424,IF(COUNTA(AC2424:AE2424)=0,"",MAX((AC2424:AE2424&lt;&gt;"")*(COLUMN(AC2424:AE2424)-(COLUMN(AC2424)-1))))-1),"")</f>
        <v>45931</v>
      </c>
      <c r="L2424" s="17" t="str">
        <f aca="false" t="array" ref="L2424:L2424">IFERROR(INDEX(AC2424:AE2424,IF(COUNTA(AC2424:AE2424)=0,"",MAX((AC2424:AE2424&lt;&gt;"")*(COLUMN(AC2424:AE2424)-(COLUMN(AC2424)-2))))-1),"")</f>
        <v>ARCHIVED</v>
      </c>
      <c r="M2424" s="13" t="n">
        <f aca="true">K2424-TODAY()</f>
        <v>-393</v>
      </c>
      <c r="N2424" s="18" t="s">
        <v>4735</v>
      </c>
      <c r="O2424" s="13" t="s">
        <v>7536</v>
      </c>
      <c r="P2424" s="19" t="n">
        <v>3553530</v>
      </c>
      <c r="Q2424" s="20" t="s">
        <v>10403</v>
      </c>
      <c r="R2424" s="13" t="s">
        <v>10404</v>
      </c>
      <c r="S2424" s="16" t="n">
        <v>38132</v>
      </c>
      <c r="T2424" s="13" t="s">
        <v>108</v>
      </c>
      <c r="U2424" s="13" t="s">
        <v>10405</v>
      </c>
      <c r="V2424" s="13" t="s">
        <v>99</v>
      </c>
      <c r="W2424" s="13" t="s">
        <v>43</v>
      </c>
      <c r="X2424" s="30" t="n">
        <v>87740449972</v>
      </c>
      <c r="Y2424" s="22" t="str">
        <f aca="false">O2424</f>
        <v>Host Live</v>
      </c>
      <c r="Z2424" s="13" t="str">
        <f aca="false">IFERROR(__xludf.dummyfunction("if(BJ2424="""","""",GOOGLETRANSLATE(BJ2424,""auto"",""en""))"),"Host Live")</f>
        <v>Host Live</v>
      </c>
      <c r="AA2424" s="23" t="str">
        <f aca="false">IF(C2424="","", CHOOSE(MONTH(C2424),"January","February","March","April","May","June","July","August","September","October","November","December")&amp;" "&amp;DAY(C2424)&amp;MID("thstndrdth",MIN(9,2*RIGHT(DAY(C2424))*(MOD(DAY(C2424)-11,100)&gt;2)+1),2)&amp;","&amp;TEXT(C2424," yyyy"))</f>
        <v>July 2nd,2025</v>
      </c>
      <c r="AB2424" s="15" t="str">
        <f aca="true">IF(S2424="","",DATEDIF(S2424,TODAY(),"Y")&amp;" Tahun, "&amp;DATEDIF(S2424,TODAY(),"YM")&amp;" Bulan, "&amp;DATEDIF(S2424,TODAY(),"MD")&amp;" Hari")</f>
        <v>22 Tahun, 5 Bulan, 4 Hari</v>
      </c>
      <c r="AC2424" s="18" t="n">
        <v>45840</v>
      </c>
      <c r="AD2424" s="18" t="n">
        <v>45931</v>
      </c>
      <c r="AE2424" s="18" t="s">
        <v>44</v>
      </c>
    </row>
    <row r="2425" customFormat="false" ht="15" hidden="false" customHeight="true" outlineLevel="0" collapsed="false">
      <c r="A2425" s="12" t="n">
        <v>20045</v>
      </c>
      <c r="B2425" s="13" t="s">
        <v>10406</v>
      </c>
      <c r="C2425" s="16" t="n">
        <v>45839</v>
      </c>
      <c r="D2425" s="13" t="s">
        <v>56</v>
      </c>
      <c r="E2425" s="15" t="s">
        <v>33</v>
      </c>
      <c r="F2425" s="24" t="s">
        <v>10407</v>
      </c>
      <c r="G2425" s="13" t="s">
        <v>57</v>
      </c>
      <c r="H2425" s="13" t="s">
        <v>35</v>
      </c>
      <c r="I2425" s="13" t="str">
        <f aca="false">IF(C2425=J2425,"NEW KONTRAK","RE-KONTRAK")</f>
        <v>NEW KONTRAK</v>
      </c>
      <c r="J2425" s="16" t="n">
        <f aca="false" t="array" ref="J2425:J2425">IFERROR(INDEX(AC2425:AE2425,IF(COUNTA(AC2425:AE2425)=0,"",MAX((AC2425:AE2425&lt;&gt;"")*(COLUMN(AC2425:AE2425)-(COLUMN(AC2425)))))-1),"")</f>
        <v>45839</v>
      </c>
      <c r="K2425" s="16" t="n">
        <f aca="false" t="array" ref="K2425:K2425">IFERROR(INDEX(AC2425:AE2425,IF(COUNTA(AC2425:AE2425)=0,"",MAX((AC2425:AE2425&lt;&gt;"")*(COLUMN(AC2425:AE2425)-(COLUMN(AC2425)-1))))-1),"")</f>
        <v>46022</v>
      </c>
      <c r="L2425" s="17" t="str">
        <f aca="false" t="array" ref="L2425:L2425">IFERROR(INDEX(AC2425:AE2425,IF(COUNTA(AC2425:AE2425)=0,"",MAX((AC2425:AE2425&lt;&gt;"")*(COLUMN(AC2425:AE2425)-(COLUMN(AC2425)-2))))-1),"")</f>
        <v>ARCHIVED</v>
      </c>
      <c r="M2425" s="13" t="n">
        <f aca="true">K2425-TODAY()</f>
        <v>-302</v>
      </c>
      <c r="N2425" s="18" t="s">
        <v>36</v>
      </c>
      <c r="O2425" s="13" t="s">
        <v>58</v>
      </c>
      <c r="P2425" s="19" t="n">
        <v>4620000</v>
      </c>
      <c r="Q2425" s="20" t="s">
        <v>10408</v>
      </c>
      <c r="R2425" s="13" t="s">
        <v>65</v>
      </c>
      <c r="S2425" s="16" t="n">
        <v>38529</v>
      </c>
      <c r="T2425" s="28" t="s">
        <v>40</v>
      </c>
      <c r="U2425" s="13" t="s">
        <v>10409</v>
      </c>
      <c r="V2425" s="13" t="s">
        <v>42</v>
      </c>
      <c r="W2425" s="13" t="s">
        <v>43</v>
      </c>
      <c r="X2425" s="21" t="n">
        <v>85785447695</v>
      </c>
      <c r="Y2425" s="22" t="str">
        <f aca="false">O2425</f>
        <v>Produksi</v>
      </c>
      <c r="Z2425" s="13" t="str">
        <f aca="false">IFERROR(__xludf.dummyfunction("if(BJ2425="""","""",GOOGLETRANSLATE(BJ2425,""auto"",""en""))"),"Production")</f>
        <v>Production</v>
      </c>
      <c r="AA2425" s="23" t="str">
        <f aca="false">IF(C2425="","", CHOOSE(MONTH(C2425),"January","February","March","April","May","June","July","August","September","October","November","December")&amp;" "&amp;DAY(C2425)&amp;MID("thstndrdth",MIN(9,2*RIGHT(DAY(C2425))*(MOD(DAY(C2425)-11,100)&gt;2)+1),2)&amp;","&amp;TEXT(C2425," yyyy"))</f>
        <v>July 1st,2025</v>
      </c>
      <c r="AB2425" s="15" t="str">
        <f aca="true">IF(S2425="","",DATEDIF(S2425,TODAY(),"Y")&amp;" Tahun, "&amp;DATEDIF(S2425,TODAY(),"YM")&amp;" Bulan, "&amp;DATEDIF(S2425,TODAY(),"MD")&amp;" Hari")</f>
        <v>21 Tahun, 4 Bulan, 3 Hari</v>
      </c>
      <c r="AC2425" s="18" t="n">
        <v>45839</v>
      </c>
      <c r="AD2425" s="18" t="n">
        <v>46022</v>
      </c>
      <c r="AE2425" s="18" t="s">
        <v>44</v>
      </c>
    </row>
    <row r="2426" customFormat="false" ht="15" hidden="false" customHeight="true" outlineLevel="0" collapsed="false">
      <c r="A2426" s="12" t="n">
        <v>20047</v>
      </c>
      <c r="B2426" s="13" t="s">
        <v>10410</v>
      </c>
      <c r="C2426" s="16" t="n">
        <v>45839</v>
      </c>
      <c r="D2426" s="13" t="s">
        <v>2046</v>
      </c>
      <c r="E2426" s="15" t="s">
        <v>102</v>
      </c>
      <c r="F2426" s="15" t="str">
        <f aca="false">IFERROR(__xludf.dummyfunction("XLOOKUP(AJ2426,IMPORTRANGE(""1XaInW9DU9nz21V0tYIfzFQ0He9kVQ_JF2mCXgZ3hqFA"",""REKAP ALL 2026 - Andika!G:G""),IMPORTRANGE(""1XaInW9DU9nz21V0tYIfzFQ0He9kVQ_JF2mCXgZ3hqFA"",""REKAP ALL 2026 - Andika!F:F""),"""",0)"),"25099756980")</f>
        <v>25099756980</v>
      </c>
      <c r="G2426" s="13" t="s">
        <v>10411</v>
      </c>
      <c r="H2426" s="13" t="s">
        <v>35</v>
      </c>
      <c r="I2426" s="13" t="str">
        <f aca="false">IF(C2426=J2426,"NEW KONTRAK","RE-KONTRAK")</f>
        <v>NEW KONTRAK</v>
      </c>
      <c r="J2426" s="16" t="n">
        <f aca="false" t="array" ref="J2426:J2426">IFERROR(INDEX(AC2426:AE2426,IF(COUNTA(AC2426:AE2426)=0,"",MAX((AC2426:AE2426&lt;&gt;"")*(COLUMN(AC2426:AE2426)-(COLUMN(AC2426)))))-1),"")</f>
        <v>45839</v>
      </c>
      <c r="K2426" s="16" t="n">
        <f aca="false" t="array" ref="K2426:K2426">IFERROR(INDEX(AC2426:AE2426,IF(COUNTA(AC2426:AE2426)=0,"",MAX((AC2426:AE2426&lt;&gt;"")*(COLUMN(AC2426:AE2426)-(COLUMN(AC2426)-1))))-1),"")</f>
        <v>45961</v>
      </c>
      <c r="L2426" s="17" t="str">
        <f aca="false" t="array" ref="L2426:L2426">IFERROR(INDEX(AC2426:AE2426,IF(COUNTA(AC2426:AE2426)=0,"",MAX((AC2426:AE2426&lt;&gt;"")*(COLUMN(AC2426:AE2426)-(COLUMN(AC2426)-2))))-1),"")</f>
        <v>ARCHIVED</v>
      </c>
      <c r="M2426" s="13" t="n">
        <f aca="true">K2426-TODAY()</f>
        <v>-363</v>
      </c>
      <c r="N2426" s="18" t="s">
        <v>36</v>
      </c>
      <c r="O2426" s="13" t="s">
        <v>58</v>
      </c>
      <c r="P2426" s="19" t="s">
        <v>2050</v>
      </c>
      <c r="Q2426" s="20" t="s">
        <v>10412</v>
      </c>
      <c r="R2426" s="13" t="s">
        <v>232</v>
      </c>
      <c r="S2426" s="16" t="n">
        <v>39195</v>
      </c>
      <c r="T2426" s="28" t="s">
        <v>40</v>
      </c>
      <c r="U2426" s="13" t="s">
        <v>10413</v>
      </c>
      <c r="V2426" s="13" t="s">
        <v>42</v>
      </c>
      <c r="W2426" s="13" t="s">
        <v>43</v>
      </c>
      <c r="X2426" s="21" t="n">
        <v>8158399364</v>
      </c>
      <c r="Y2426" s="22" t="str">
        <f aca="false">O2426</f>
        <v>Produksi</v>
      </c>
      <c r="Z2426" s="13" t="str">
        <f aca="false">IFERROR(__xludf.dummyfunction("if(BJ2426="""","""",GOOGLETRANSLATE(BJ2426,""auto"",""en""))"),"Production")</f>
        <v>Production</v>
      </c>
      <c r="AA2426" s="23" t="str">
        <f aca="false">IF(C2426="","", CHOOSE(MONTH(C2426),"January","February","March","April","May","June","July","August","September","October","November","December")&amp;" "&amp;DAY(C2426)&amp;MID("thstndrdth",MIN(9,2*RIGHT(DAY(C2426))*(MOD(DAY(C2426)-11,100)&gt;2)+1),2)&amp;","&amp;TEXT(C2426," yyyy"))</f>
        <v>July 1st,2025</v>
      </c>
      <c r="AB2426" s="15" t="str">
        <f aca="true">IF(S2426="","",DATEDIF(S2426,TODAY(),"Y")&amp;" Tahun, "&amp;DATEDIF(S2426,TODAY(),"YM")&amp;" Bulan, "&amp;DATEDIF(S2426,TODAY(),"MD")&amp;" Hari")</f>
        <v>19 Tahun, 6 Bulan, 6 Hari</v>
      </c>
      <c r="AC2426" s="18" t="n">
        <v>45839</v>
      </c>
      <c r="AD2426" s="18" t="n">
        <v>45961</v>
      </c>
      <c r="AE2426" s="18" t="s">
        <v>44</v>
      </c>
    </row>
    <row r="2427" customFormat="false" ht="15" hidden="false" customHeight="true" outlineLevel="0" collapsed="false">
      <c r="A2427" s="12" t="n">
        <v>20048</v>
      </c>
      <c r="B2427" s="13" t="s">
        <v>10414</v>
      </c>
      <c r="C2427" s="16" t="n">
        <v>45839</v>
      </c>
      <c r="D2427" s="13" t="s">
        <v>2046</v>
      </c>
      <c r="E2427" s="15" t="s">
        <v>33</v>
      </c>
      <c r="F2427" s="24" t="s">
        <v>10415</v>
      </c>
      <c r="G2427" s="13" t="s">
        <v>1127</v>
      </c>
      <c r="H2427" s="13" t="s">
        <v>35</v>
      </c>
      <c r="I2427" s="13" t="str">
        <f aca="false">IF(C2427=J2427,"NEW KONTRAK","RE-KONTRAK")</f>
        <v>NEW KONTRAK</v>
      </c>
      <c r="J2427" s="16" t="n">
        <f aca="false" t="array" ref="J2427:J2427">IFERROR(INDEX(AC2427:AE2427,IF(COUNTA(AC2427:AE2427)=0,"",MAX((AC2427:AE2427&lt;&gt;"")*(COLUMN(AC2427:AE2427)-(COLUMN(AC2427)))))-1),"")</f>
        <v>45839</v>
      </c>
      <c r="K2427" s="16" t="n">
        <f aca="false" t="array" ref="K2427:K2427">IFERROR(INDEX(AC2427:AE2427,IF(COUNTA(AC2427:AE2427)=0,"",MAX((AC2427:AE2427&lt;&gt;"")*(COLUMN(AC2427:AE2427)-(COLUMN(AC2427)-1))))-1),"")</f>
        <v>45961</v>
      </c>
      <c r="L2427" s="17" t="str">
        <f aca="false" t="array" ref="L2427:L2427">IFERROR(INDEX(AC2427:AE2427,IF(COUNTA(AC2427:AE2427)=0,"",MAX((AC2427:AE2427&lt;&gt;"")*(COLUMN(AC2427:AE2427)-(COLUMN(AC2427)-2))))-1),"")</f>
        <v>ARCHIVED</v>
      </c>
      <c r="M2427" s="13" t="n">
        <f aca="true">K2427-TODAY()</f>
        <v>-363</v>
      </c>
      <c r="N2427" s="18" t="s">
        <v>36</v>
      </c>
      <c r="O2427" s="13" t="s">
        <v>58</v>
      </c>
      <c r="P2427" s="27" t="n">
        <v>5176101</v>
      </c>
      <c r="Q2427" s="20" t="s">
        <v>10416</v>
      </c>
      <c r="R2427" s="13" t="s">
        <v>39</v>
      </c>
      <c r="S2427" s="16" t="n">
        <v>39105</v>
      </c>
      <c r="T2427" s="28" t="s">
        <v>40</v>
      </c>
      <c r="U2427" s="13" t="s">
        <v>10417</v>
      </c>
      <c r="V2427" s="13" t="s">
        <v>42</v>
      </c>
      <c r="W2427" s="13" t="s">
        <v>43</v>
      </c>
      <c r="X2427" s="21" t="n">
        <v>85785448200</v>
      </c>
      <c r="Y2427" s="22" t="str">
        <f aca="false">O2427</f>
        <v>Produksi</v>
      </c>
      <c r="Z2427" s="13" t="str">
        <f aca="false">IFERROR(__xludf.dummyfunction("if(BJ2427="""","""",GOOGLETRANSLATE(BJ2427,""auto"",""en""))"),"Production")</f>
        <v>Production</v>
      </c>
      <c r="AA2427" s="23" t="str">
        <f aca="false">IF(C2427="","", CHOOSE(MONTH(C2427),"January","February","March","April","May","June","July","August","September","October","November","December")&amp;" "&amp;DAY(C2427)&amp;MID("thstndrdth",MIN(9,2*RIGHT(DAY(C2427))*(MOD(DAY(C2427)-11,100)&gt;2)+1),2)&amp;","&amp;TEXT(C2427," yyyy"))</f>
        <v>July 1st,2025</v>
      </c>
      <c r="AB2427" s="15" t="str">
        <f aca="true">IF(S2427="","",DATEDIF(S2427,TODAY(),"Y")&amp;" Tahun, "&amp;DATEDIF(S2427,TODAY(),"YM")&amp;" Bulan, "&amp;DATEDIF(S2427,TODAY(),"MD")&amp;" Hari")</f>
        <v>19 Tahun, 9 Bulan, 6 Hari</v>
      </c>
      <c r="AC2427" s="18" t="n">
        <v>45839</v>
      </c>
      <c r="AD2427" s="18" t="n">
        <v>45961</v>
      </c>
      <c r="AE2427" s="18" t="s">
        <v>44</v>
      </c>
    </row>
    <row r="2428" customFormat="false" ht="15" hidden="false" customHeight="true" outlineLevel="0" collapsed="false">
      <c r="A2428" s="12" t="n">
        <v>20050</v>
      </c>
      <c r="B2428" s="13" t="s">
        <v>10418</v>
      </c>
      <c r="C2428" s="16" t="n">
        <v>45841</v>
      </c>
      <c r="D2428" s="13" t="s">
        <v>8980</v>
      </c>
      <c r="E2428" s="15" t="s">
        <v>47</v>
      </c>
      <c r="F2428" s="15" t="str">
        <f aca="false">IFERROR(__xludf.dummyfunction("XLOOKUP(AJ2428,IMPORTRANGE(""1XaInW9DU9nz21V0tYIfzFQ0He9kVQ_JF2mCXgZ3hqFA"",""REKAP ALL 2026 - Andika!G:G""),IMPORTRANGE(""1XaInW9DU9nz21V0tYIfzFQ0He9kVQ_JF2mCXgZ3hqFA"",""REKAP ALL 2026 - Andika!F:F""),"""",0)"),"25099756527")</f>
        <v>25099756527</v>
      </c>
      <c r="G2428" s="13" t="s">
        <v>10419</v>
      </c>
      <c r="H2428" s="13" t="s">
        <v>35</v>
      </c>
      <c r="I2428" s="13" t="str">
        <f aca="false">IF(C2428=J2428,"NEW KONTRAK","RE-KONTRAK")</f>
        <v>NEW KONTRAK</v>
      </c>
      <c r="J2428" s="16" t="n">
        <f aca="false" t="array" ref="J2428:J2428">IFERROR(INDEX(AC2428:AE2428,IF(COUNTA(AC2428:AE2428)=0,"",MAX((AC2428:AE2428&lt;&gt;"")*(COLUMN(AC2428:AE2428)-(COLUMN(AC2428)))))-1),"")</f>
        <v>45841</v>
      </c>
      <c r="K2428" s="16" t="n">
        <f aca="false" t="array" ref="K2428:K2428">IFERROR(INDEX(AC2428:AE2428,IF(COUNTA(AC2428:AE2428)=0,"",MAX((AC2428:AE2428&lt;&gt;"")*(COLUMN(AC2428:AE2428)-(COLUMN(AC2428)-1))))-1),"")</f>
        <v>46024</v>
      </c>
      <c r="L2428" s="17" t="str">
        <f aca="false" t="array" ref="L2428:L2428">IFERROR(INDEX(AC2428:AE2428,IF(COUNTA(AC2428:AE2428)=0,"",MAX((AC2428:AE2428&lt;&gt;"")*(COLUMN(AC2428:AE2428)-(COLUMN(AC2428)-2))))-1),"")</f>
        <v>ARCHIVED</v>
      </c>
      <c r="M2428" s="13" t="n">
        <f aca="true">K2428-TODAY()</f>
        <v>-300</v>
      </c>
      <c r="N2428" s="18" t="s">
        <v>8982</v>
      </c>
      <c r="O2428" s="13" t="s">
        <v>8983</v>
      </c>
      <c r="P2428" s="19" t="n">
        <v>2250000</v>
      </c>
      <c r="Q2428" s="20" t="s">
        <v>10420</v>
      </c>
      <c r="R2428" s="13" t="s">
        <v>826</v>
      </c>
      <c r="S2428" s="16" t="n">
        <v>38572</v>
      </c>
      <c r="T2428" s="13" t="s">
        <v>108</v>
      </c>
      <c r="U2428" s="13" t="s">
        <v>10421</v>
      </c>
      <c r="V2428" s="13" t="s">
        <v>42</v>
      </c>
      <c r="W2428" s="13" t="s">
        <v>43</v>
      </c>
      <c r="X2428" s="21" t="n">
        <v>85708391708</v>
      </c>
      <c r="Y2428" s="22" t="str">
        <f aca="false">O2428</f>
        <v>Operator SPBU</v>
      </c>
      <c r="Z2428" s="13" t="str">
        <f aca="false">IFERROR(__xludf.dummyfunction("if(BJ2428="""","""",GOOGLETRANSLATE(BJ2428,""auto"",""en""))"),"Gas Station Operator")</f>
        <v>Gas Station Operator</v>
      </c>
      <c r="AA2428" s="23" t="str">
        <f aca="false">IF(C2428="","", CHOOSE(MONTH(C2428),"January","February","March","April","May","June","July","August","September","October","November","December")&amp;" "&amp;DAY(C2428)&amp;MID("thstndrdth",MIN(9,2*RIGHT(DAY(C2428))*(MOD(DAY(C2428)-11,100)&gt;2)+1),2)&amp;","&amp;TEXT(C2428," yyyy"))</f>
        <v>July 3rd,2025</v>
      </c>
      <c r="AB2428" s="15" t="str">
        <f aca="true">IF(S2428="","",DATEDIF(S2428,TODAY(),"Y")&amp;" Tahun, "&amp;DATEDIF(S2428,TODAY(),"YM")&amp;" Bulan, "&amp;DATEDIF(S2428,TODAY(),"MD")&amp;" Hari")</f>
        <v>21 Tahun, 2 Bulan, 21 Hari</v>
      </c>
      <c r="AC2428" s="18" t="n">
        <v>45841</v>
      </c>
      <c r="AD2428" s="18" t="n">
        <v>46024</v>
      </c>
      <c r="AE2428" s="18" t="s">
        <v>44</v>
      </c>
    </row>
    <row r="2429" customFormat="false" ht="15" hidden="false" customHeight="true" outlineLevel="0" collapsed="false">
      <c r="A2429" s="12" t="n">
        <v>20052</v>
      </c>
      <c r="B2429" s="13" t="s">
        <v>10422</v>
      </c>
      <c r="C2429" s="16" t="n">
        <v>45842</v>
      </c>
      <c r="D2429" s="13" t="s">
        <v>3022</v>
      </c>
      <c r="E2429" s="15" t="s">
        <v>47</v>
      </c>
      <c r="F2429" s="15" t="str">
        <f aca="false">IFERROR(__xludf.dummyfunction("XLOOKUP(AJ2429,IMPORTRANGE(""1XaInW9DU9nz21V0tYIfzFQ0He9kVQ_JF2mCXgZ3hqFA"",""REKAP ALL 2026 - Andika!G:G""),IMPORTRANGE(""1XaInW9DU9nz21V0tYIfzFQ0He9kVQ_JF2mCXgZ3hqFA"",""REKAP ALL 2026 - Andika!F:F""),"""",0)"),"25099756311")</f>
        <v>25099756311</v>
      </c>
      <c r="G2429" s="13" t="s">
        <v>1127</v>
      </c>
      <c r="H2429" s="13" t="s">
        <v>3024</v>
      </c>
      <c r="I2429" s="13" t="str">
        <f aca="false">IF(C2429=J2429,"NEW KONTRAK","RE-KONTRAK")</f>
        <v>NEW KONTRAK</v>
      </c>
      <c r="J2429" s="16" t="n">
        <f aca="false" t="array" ref="J2429:J2429">IFERROR(INDEX(AC2429:AE2429,IF(COUNTA(AC2429:AE2429)=0,"",MAX((AC2429:AE2429&lt;&gt;"")*(COLUMN(AC2429:AE2429)-(COLUMN(AC2429)))))-1),"")</f>
        <v>45842</v>
      </c>
      <c r="K2429" s="16" t="n">
        <f aca="false" t="array" ref="K2429:K2429">IFERROR(INDEX(AC2429:AE2429,IF(COUNTA(AC2429:AE2429)=0,"",MAX((AC2429:AE2429&lt;&gt;"")*(COLUMN(AC2429:AE2429)-(COLUMN(AC2429)-1))))-1),"")</f>
        <v>45933</v>
      </c>
      <c r="L2429" s="17" t="str">
        <f aca="false" t="array" ref="L2429:L2429">IFERROR(INDEX(AC2429:AE2429,IF(COUNTA(AC2429:AE2429)=0,"",MAX((AC2429:AE2429&lt;&gt;"")*(COLUMN(AC2429:AE2429)-(COLUMN(AC2429)-2))))-1),"")</f>
        <v>ARCHIVED</v>
      </c>
      <c r="M2429" s="13" t="n">
        <f aca="true">K2429-TODAY()</f>
        <v>-391</v>
      </c>
      <c r="N2429" s="18" t="s">
        <v>36</v>
      </c>
      <c r="O2429" s="13" t="s">
        <v>58</v>
      </c>
      <c r="P2429" s="19" t="n">
        <v>125000</v>
      </c>
      <c r="Q2429" s="20" t="s">
        <v>10423</v>
      </c>
      <c r="R2429" s="13" t="s">
        <v>65</v>
      </c>
      <c r="S2429" s="16" t="n">
        <v>37776</v>
      </c>
      <c r="T2429" s="28" t="s">
        <v>40</v>
      </c>
      <c r="U2429" s="13" t="s">
        <v>10424</v>
      </c>
      <c r="V2429" s="13" t="s">
        <v>42</v>
      </c>
      <c r="W2429" s="13" t="s">
        <v>43</v>
      </c>
      <c r="X2429" s="21" t="n">
        <v>83836686906</v>
      </c>
      <c r="Y2429" s="22" t="str">
        <f aca="false">O2429</f>
        <v>Produksi</v>
      </c>
      <c r="Z2429" s="13" t="str">
        <f aca="false">IFERROR(__xludf.dummyfunction("if(BJ2429="""","""",GOOGLETRANSLATE(BJ2429,""auto"",""en""))"),"Production")</f>
        <v>Production</v>
      </c>
      <c r="AA2429" s="23" t="str">
        <f aca="false">IF(C2429="","", CHOOSE(MONTH(C2429),"January","February","March","April","May","June","July","August","September","October","November","December")&amp;" "&amp;DAY(C2429)&amp;MID("thstndrdth",MIN(9,2*RIGHT(DAY(C2429))*(MOD(DAY(C2429)-11,100)&gt;2)+1),2)&amp;","&amp;TEXT(C2429," yyyy"))</f>
        <v>July 4th,2025</v>
      </c>
      <c r="AB2429" s="15" t="str">
        <f aca="true">IF(S2429="","",DATEDIF(S2429,TODAY(),"Y")&amp;" Tahun, "&amp;DATEDIF(S2429,TODAY(),"YM")&amp;" Bulan, "&amp;DATEDIF(S2429,TODAY(),"MD")&amp;" Hari")</f>
        <v>23 Tahun, 4 Bulan, 25 Hari</v>
      </c>
      <c r="AC2429" s="18" t="n">
        <v>45842</v>
      </c>
      <c r="AD2429" s="18" t="n">
        <v>45933</v>
      </c>
      <c r="AE2429" s="18" t="s">
        <v>44</v>
      </c>
    </row>
    <row r="2430" customFormat="false" ht="15" hidden="false" customHeight="true" outlineLevel="0" collapsed="false">
      <c r="A2430" s="12" t="n">
        <v>20061</v>
      </c>
      <c r="B2430" s="13" t="s">
        <v>10425</v>
      </c>
      <c r="C2430" s="16" t="n">
        <v>45840</v>
      </c>
      <c r="D2430" s="13" t="s">
        <v>7310</v>
      </c>
      <c r="E2430" s="15" t="s">
        <v>47</v>
      </c>
      <c r="F2430" s="15" t="str">
        <f aca="false">IFERROR(__xludf.dummyfunction("XLOOKUP(AJ2430,IMPORTRANGE(""1XaInW9DU9nz21V0tYIfzFQ0He9kVQ_JF2mCXgZ3hqFA"",""REKAP ALL 2026 - Andika!G:G""),IMPORTRANGE(""1XaInW9DU9nz21V0tYIfzFQ0He9kVQ_JF2mCXgZ3hqFA"",""REKAP ALL 2026 - Andika!F:F""),"""",0)"),"25099755511")</f>
        <v>25099755511</v>
      </c>
      <c r="G2430" s="13" t="s">
        <v>10426</v>
      </c>
      <c r="H2430" s="13" t="s">
        <v>35</v>
      </c>
      <c r="I2430" s="13" t="str">
        <f aca="false">IF(C2430=J2430,"NEW KONTRAK","RE-KONTRAK")</f>
        <v>NEW KONTRAK</v>
      </c>
      <c r="J2430" s="16" t="n">
        <f aca="false" t="array" ref="J2430:J2430">IFERROR(INDEX(AC2430:AE2430,IF(COUNTA(AC2430:AE2430)=0,"",MAX((AC2430:AE2430&lt;&gt;"")*(COLUMN(AC2430:AE2430)-(COLUMN(AC2430)))))-1),"")</f>
        <v>45840</v>
      </c>
      <c r="K2430" s="16" t="n">
        <f aca="false" t="array" ref="K2430:K2430">IFERROR(INDEX(AC2430:AE2430,IF(COUNTA(AC2430:AE2430)=0,"",MAX((AC2430:AE2430&lt;&gt;"")*(COLUMN(AC2430:AE2430)-(COLUMN(AC2430)-1))))-1),"")</f>
        <v>46204</v>
      </c>
      <c r="L2430" s="17" t="str">
        <f aca="false" t="array" ref="L2430:L2430">IFERROR(INDEX(AC2430:AE2430,IF(COUNTA(AC2430:AE2430)=0,"",MAX((AC2430:AE2430&lt;&gt;"")*(COLUMN(AC2430:AE2430)-(COLUMN(AC2430)-2))))-1),"")</f>
        <v>ARCHIVED</v>
      </c>
      <c r="M2430" s="13" t="n">
        <f aca="true">K2430-TODAY()</f>
        <v>-120</v>
      </c>
      <c r="N2430" s="18" t="s">
        <v>7313</v>
      </c>
      <c r="O2430" s="13" t="s">
        <v>7611</v>
      </c>
      <c r="P2430" s="19" t="n">
        <v>2550274</v>
      </c>
      <c r="Q2430" s="20" t="s">
        <v>10427</v>
      </c>
      <c r="R2430" s="13" t="s">
        <v>227</v>
      </c>
      <c r="S2430" s="16" t="n">
        <v>37021</v>
      </c>
      <c r="T2430" s="28" t="s">
        <v>40</v>
      </c>
      <c r="U2430" s="13" t="s">
        <v>10428</v>
      </c>
      <c r="V2430" s="13" t="s">
        <v>42</v>
      </c>
      <c r="W2430" s="13" t="s">
        <v>43</v>
      </c>
      <c r="X2430" s="21" t="n">
        <v>81515448419</v>
      </c>
      <c r="Y2430" s="22" t="str">
        <f aca="false">O2430</f>
        <v>Helper Kernet</v>
      </c>
      <c r="Z2430" s="13" t="str">
        <f aca="false">IFERROR(__xludf.dummyfunction("if(BJ2430="""","""",GOOGLETRANSLATE(BJ2430,""auto"",""en""))"),"Helper Kernet")</f>
        <v>Helper Kernet</v>
      </c>
      <c r="AA2430" s="23" t="str">
        <f aca="false">IF(C2430="","", CHOOSE(MONTH(C2430),"January","February","March","April","May","June","July","August","September","October","November","December")&amp;" "&amp;DAY(C2430)&amp;MID("thstndrdth",MIN(9,2*RIGHT(DAY(C2430))*(MOD(DAY(C2430)-11,100)&gt;2)+1),2)&amp;","&amp;TEXT(C2430," yyyy"))</f>
        <v>July 2nd,2025</v>
      </c>
      <c r="AB2430" s="15" t="str">
        <f aca="true">IF(S2430="","",DATEDIF(S2430,TODAY(),"Y")&amp;" Tahun, "&amp;DATEDIF(S2430,TODAY(),"YM")&amp;" Bulan, "&amp;DATEDIF(S2430,TODAY(),"MD")&amp;" Hari")</f>
        <v>25 Tahun, 5 Bulan, 19 Hari</v>
      </c>
      <c r="AC2430" s="18" t="n">
        <v>45840</v>
      </c>
      <c r="AD2430" s="18" t="n">
        <v>46204</v>
      </c>
      <c r="AE2430" s="18" t="s">
        <v>44</v>
      </c>
    </row>
    <row r="2431" customFormat="false" ht="15" hidden="false" customHeight="true" outlineLevel="0" collapsed="false">
      <c r="A2431" s="12" t="n">
        <v>20059</v>
      </c>
      <c r="B2431" s="13" t="s">
        <v>10429</v>
      </c>
      <c r="C2431" s="16" t="n">
        <v>45846</v>
      </c>
      <c r="D2431" s="13" t="s">
        <v>144</v>
      </c>
      <c r="E2431" s="15" t="s">
        <v>102</v>
      </c>
      <c r="F2431" s="15" t="str">
        <f aca="false">IFERROR(__xludf.dummyfunction("XLOOKUP(AJ2431,IMPORTRANGE(""1XaInW9DU9nz21V0tYIfzFQ0He9kVQ_JF2mCXgZ3hqFA"",""REKAP ALL 2026 - Andika!G:G""),IMPORTRANGE(""1XaInW9DU9nz21V0tYIfzFQ0He9kVQ_JF2mCXgZ3hqFA"",""REKAP ALL 2026 - Andika!F:F""),"""",0)"),"25099756956")</f>
        <v>25099756956</v>
      </c>
      <c r="G2431" s="13" t="s">
        <v>10430</v>
      </c>
      <c r="H2431" s="13" t="s">
        <v>35</v>
      </c>
      <c r="I2431" s="13" t="str">
        <f aca="false">IF(C2431=J2431,"NEW KONTRAK","RE-KONTRAK")</f>
        <v>NEW KONTRAK</v>
      </c>
      <c r="J2431" s="16" t="n">
        <f aca="false" t="array" ref="J2431:J2431">IFERROR(INDEX(AC2431:AE2431,IF(COUNTA(AC2431:AE2431)=0,"",MAX((AC2431:AE2431&lt;&gt;"")*(COLUMN(AC2431:AE2431)-(COLUMN(AC2431)))))-1),"")</f>
        <v>45846</v>
      </c>
      <c r="K2431" s="16" t="n">
        <f aca="false" t="array" ref="K2431:K2431">IFERROR(INDEX(AC2431:AE2431,IF(COUNTA(AC2431:AE2431)=0,"",MAX((AC2431:AE2431&lt;&gt;"")*(COLUMN(AC2431:AE2431)-(COLUMN(AC2431)-1))))-1),"")</f>
        <v>46022</v>
      </c>
      <c r="L2431" s="17" t="str">
        <f aca="false" t="array" ref="L2431:L2431">IFERROR(INDEX(AC2431:AE2431,IF(COUNTA(AC2431:AE2431)=0,"",MAX((AC2431:AE2431&lt;&gt;"")*(COLUMN(AC2431:AE2431)-(COLUMN(AC2431)-2))))-1),"")</f>
        <v>ARCHIVED</v>
      </c>
      <c r="M2431" s="13" t="n">
        <f aca="true">K2431-TODAY()</f>
        <v>-302</v>
      </c>
      <c r="N2431" s="18" t="s">
        <v>36</v>
      </c>
      <c r="O2431" s="13" t="s">
        <v>76</v>
      </c>
      <c r="P2431" s="19" t="n">
        <v>5195401</v>
      </c>
      <c r="Q2431" s="20" t="s">
        <v>10431</v>
      </c>
      <c r="R2431" s="13" t="s">
        <v>65</v>
      </c>
      <c r="S2431" s="16" t="n">
        <v>33182</v>
      </c>
      <c r="T2431" s="13" t="s">
        <v>40</v>
      </c>
      <c r="U2431" s="13" t="s">
        <v>10432</v>
      </c>
      <c r="V2431" s="13" t="s">
        <v>42</v>
      </c>
      <c r="W2431" s="13" t="s">
        <v>43</v>
      </c>
      <c r="X2431" s="21" t="n">
        <v>81554440400</v>
      </c>
      <c r="Y2431" s="22" t="str">
        <f aca="false">O2431</f>
        <v>Operator Forklift</v>
      </c>
      <c r="Z2431" s="13" t="str">
        <f aca="false">IFERROR(__xludf.dummyfunction("if(BJ2431="""","""",GOOGLETRANSLATE(BJ2431,""auto"",""en""))"),"Operator Forklift")</f>
        <v>Operator Forklift</v>
      </c>
      <c r="AA2431" s="23" t="str">
        <f aca="false">IF(C2431="","", CHOOSE(MONTH(C2431),"January","February","March","April","May","June","July","August","September","October","November","December")&amp;" "&amp;DAY(C2431)&amp;MID("thstndrdth",MIN(9,2*RIGHT(DAY(C2431))*(MOD(DAY(C2431)-11,100)&gt;2)+1),2)&amp;","&amp;TEXT(C2431," yyyy"))</f>
        <v>July 8th,2025</v>
      </c>
      <c r="AB2431" s="15" t="str">
        <f aca="true">IF(S2431="","",DATEDIF(S2431,TODAY(),"Y")&amp;" Tahun, "&amp;DATEDIF(S2431,TODAY(),"YM")&amp;" Bulan, "&amp;DATEDIF(S2431,TODAY(),"MD")&amp;" Hari")</f>
        <v>35 Tahun, 11 Bulan, 24 Hari</v>
      </c>
      <c r="AC2431" s="18" t="n">
        <v>45846</v>
      </c>
      <c r="AD2431" s="18" t="n">
        <v>46022</v>
      </c>
      <c r="AE2431" s="18" t="s">
        <v>44</v>
      </c>
    </row>
    <row r="2432" customFormat="false" ht="15" hidden="false" customHeight="true" outlineLevel="0" collapsed="false">
      <c r="A2432" s="12" t="n">
        <v>20060</v>
      </c>
      <c r="B2432" s="13" t="s">
        <v>10433</v>
      </c>
      <c r="C2432" s="16" t="n">
        <v>45846</v>
      </c>
      <c r="D2432" s="13" t="s">
        <v>9789</v>
      </c>
      <c r="E2432" s="15" t="s">
        <v>102</v>
      </c>
      <c r="F2432" s="15" t="str">
        <f aca="false">IFERROR(__xludf.dummyfunction("XLOOKUP(AJ2432,IMPORTRANGE(""1XaInW9DU9nz21V0tYIfzFQ0He9kVQ_JF2mCXgZ3hqFA"",""REKAP ALL 2026 - Andika!G:G""),IMPORTRANGE(""1XaInW9DU9nz21V0tYIfzFQ0He9kVQ_JF2mCXgZ3hqFA"",""REKAP ALL 2026 - Andika!F:F""),"""",0)"),"25099755412")</f>
        <v>25099755412</v>
      </c>
      <c r="G2432" s="13" t="s">
        <v>10434</v>
      </c>
      <c r="H2432" s="13" t="s">
        <v>35</v>
      </c>
      <c r="I2432" s="13" t="str">
        <f aca="false">IF(C2432=J2432,"NEW KONTRAK","RE-KONTRAK")</f>
        <v>NEW KONTRAK</v>
      </c>
      <c r="J2432" s="16" t="n">
        <f aca="false" t="array" ref="J2432:J2432">IFERROR(INDEX(AC2432:AE2432,IF(COUNTA(AC2432:AE2432)=0,"",MAX((AC2432:AE2432&lt;&gt;"")*(COLUMN(AC2432:AE2432)-(COLUMN(AC2432)))))-1),"")</f>
        <v>45846</v>
      </c>
      <c r="K2432" s="16" t="n">
        <f aca="false" t="array" ref="K2432:K2432">IFERROR(INDEX(AC2432:AE2432,IF(COUNTA(AC2432:AE2432)=0,"",MAX((AC2432:AE2432&lt;&gt;"")*(COLUMN(AC2432:AE2432)-(COLUMN(AC2432)-1))))-1),"")</f>
        <v>46022</v>
      </c>
      <c r="L2432" s="17" t="str">
        <f aca="false" t="array" ref="L2432:L2432">IFERROR(INDEX(AC2432:AE2432,IF(COUNTA(AC2432:AE2432)=0,"",MAX((AC2432:AE2432&lt;&gt;"")*(COLUMN(AC2432:AE2432)-(COLUMN(AC2432)-2))))-1),"")</f>
        <v>ARCHIVED</v>
      </c>
      <c r="M2432" s="13" t="n">
        <f aca="true">K2432-TODAY()</f>
        <v>-302</v>
      </c>
      <c r="N2432" s="18" t="s">
        <v>383</v>
      </c>
      <c r="O2432" s="13" t="s">
        <v>719</v>
      </c>
      <c r="P2432" s="19" t="n">
        <v>3012164</v>
      </c>
      <c r="Q2432" s="20" t="s">
        <v>10435</v>
      </c>
      <c r="R2432" s="13" t="s">
        <v>78</v>
      </c>
      <c r="S2432" s="16" t="n">
        <v>37008</v>
      </c>
      <c r="T2432" s="13" t="s">
        <v>40</v>
      </c>
      <c r="U2432" s="13" t="s">
        <v>10436</v>
      </c>
      <c r="V2432" s="13" t="s">
        <v>42</v>
      </c>
      <c r="W2432" s="13" t="s">
        <v>43</v>
      </c>
      <c r="X2432" s="21" t="n">
        <v>85604701367</v>
      </c>
      <c r="Y2432" s="22" t="str">
        <f aca="false">O2432</f>
        <v>Cleaning Service</v>
      </c>
      <c r="Z2432" s="13" t="str">
        <f aca="false">IFERROR(__xludf.dummyfunction("if(BJ2432="""","""",GOOGLETRANSLATE(BJ2432,""auto"",""en""))"),"Cleaning Service")</f>
        <v>Cleaning Service</v>
      </c>
      <c r="AA2432" s="23" t="str">
        <f aca="false">IF(C2432="","", CHOOSE(MONTH(C2432),"January","February","March","April","May","June","July","August","September","October","November","December")&amp;" "&amp;DAY(C2432)&amp;MID("thstndrdth",MIN(9,2*RIGHT(DAY(C2432))*(MOD(DAY(C2432)-11,100)&gt;2)+1),2)&amp;","&amp;TEXT(C2432," yyyy"))</f>
        <v>July 8th,2025</v>
      </c>
      <c r="AB2432" s="15" t="str">
        <f aca="true">IF(S2432="","",DATEDIF(S2432,TODAY(),"Y")&amp;" Tahun, "&amp;DATEDIF(S2432,TODAY(),"YM")&amp;" Bulan, "&amp;DATEDIF(S2432,TODAY(),"MD")&amp;" Hari")</f>
        <v>25 Tahun, 6 Bulan, 2 Hari</v>
      </c>
      <c r="AC2432" s="18" t="n">
        <v>45846</v>
      </c>
      <c r="AD2432" s="18" t="n">
        <v>46022</v>
      </c>
      <c r="AE2432" s="18" t="s">
        <v>44</v>
      </c>
    </row>
    <row r="2433" customFormat="false" ht="15" hidden="false" customHeight="true" outlineLevel="0" collapsed="false">
      <c r="A2433" s="12" t="n">
        <v>20072</v>
      </c>
      <c r="B2433" s="13" t="s">
        <v>10437</v>
      </c>
      <c r="C2433" s="16" t="n">
        <v>45847</v>
      </c>
      <c r="D2433" s="13" t="s">
        <v>3022</v>
      </c>
      <c r="E2433" s="15" t="s">
        <v>47</v>
      </c>
      <c r="F2433" s="15" t="str">
        <f aca="false">IFERROR(__xludf.dummyfunction("XLOOKUP(AJ2433,IMPORTRANGE(""1XaInW9DU9nz21V0tYIfzFQ0He9kVQ_JF2mCXgZ3hqFA"",""REKAP ALL 2026 - Andika!G:G""),IMPORTRANGE(""1XaInW9DU9nz21V0tYIfzFQ0He9kVQ_JF2mCXgZ3hqFA"",""REKAP ALL 2026 - Andika!F:F""),"""",0)"),"25099756337")</f>
        <v>25099756337</v>
      </c>
      <c r="G2433" s="13" t="s">
        <v>1127</v>
      </c>
      <c r="H2433" s="13" t="s">
        <v>3024</v>
      </c>
      <c r="I2433" s="13" t="str">
        <f aca="false">IF(C2433=J2433,"NEW KONTRAK","RE-KONTRAK")</f>
        <v>NEW KONTRAK</v>
      </c>
      <c r="J2433" s="16" t="n">
        <f aca="false" t="array" ref="J2433:J2433">IFERROR(INDEX(AC2433:AE2433,IF(COUNTA(AC2433:AE2433)=0,"",MAX((AC2433:AE2433&lt;&gt;"")*(COLUMN(AC2433:AE2433)-(COLUMN(AC2433)))))-1),"")</f>
        <v>45847</v>
      </c>
      <c r="K2433" s="16" t="n">
        <f aca="false" t="array" ref="K2433:K2433">IFERROR(INDEX(AC2433:AE2433,IF(COUNTA(AC2433:AE2433)=0,"",MAX((AC2433:AE2433&lt;&gt;"")*(COLUMN(AC2433:AE2433)-(COLUMN(AC2433)-1))))-1),"")</f>
        <v>45938</v>
      </c>
      <c r="L2433" s="17" t="str">
        <f aca="false" t="array" ref="L2433:L2433">IFERROR(INDEX(AC2433:AE2433,IF(COUNTA(AC2433:AE2433)=0,"",MAX((AC2433:AE2433&lt;&gt;"")*(COLUMN(AC2433:AE2433)-(COLUMN(AC2433)-2))))-1),"")</f>
        <v>ARCHIVED</v>
      </c>
      <c r="M2433" s="13" t="n">
        <f aca="true">K2433-TODAY()</f>
        <v>-386</v>
      </c>
      <c r="N2433" s="18" t="s">
        <v>36</v>
      </c>
      <c r="O2433" s="13" t="s">
        <v>785</v>
      </c>
      <c r="P2433" s="19" t="n">
        <v>100000</v>
      </c>
      <c r="Q2433" s="20" t="s">
        <v>10438</v>
      </c>
      <c r="R2433" s="13" t="s">
        <v>65</v>
      </c>
      <c r="S2433" s="16" t="n">
        <v>38772</v>
      </c>
      <c r="T2433" s="28" t="s">
        <v>40</v>
      </c>
      <c r="U2433" s="13" t="s">
        <v>2624</v>
      </c>
      <c r="V2433" s="13" t="s">
        <v>42</v>
      </c>
      <c r="W2433" s="13" t="s">
        <v>43</v>
      </c>
      <c r="X2433" s="21" t="n">
        <v>85785812760</v>
      </c>
      <c r="Y2433" s="22" t="str">
        <f aca="false">O2433</f>
        <v>Gudang</v>
      </c>
      <c r="Z2433" s="13" t="str">
        <f aca="false">IFERROR(__xludf.dummyfunction("if(BJ2433="""","""",GOOGLETRANSLATE(BJ2433,""auto"",""en""))"),"Warehouse")</f>
        <v>Warehouse</v>
      </c>
      <c r="AA2433" s="23" t="str">
        <f aca="false">IF(C2433="","", CHOOSE(MONTH(C2433),"January","February","March","April","May","June","July","August","September","October","November","December")&amp;" "&amp;DAY(C2433)&amp;MID("thstndrdth",MIN(9,2*RIGHT(DAY(C2433))*(MOD(DAY(C2433)-11,100)&gt;2)+1),2)&amp;","&amp;TEXT(C2433," yyyy"))</f>
        <v>July 9th,2025</v>
      </c>
      <c r="AB2433" s="15" t="str">
        <f aca="true">IF(S2433="","",DATEDIF(S2433,TODAY(),"Y")&amp;" Tahun, "&amp;DATEDIF(S2433,TODAY(),"YM")&amp;" Bulan, "&amp;DATEDIF(S2433,TODAY(),"MD")&amp;" Hari")</f>
        <v>20 Tahun, 8 Bulan, 5 Hari</v>
      </c>
      <c r="AC2433" s="18" t="n">
        <v>45847</v>
      </c>
      <c r="AD2433" s="18" t="n">
        <v>45938</v>
      </c>
      <c r="AE2433" s="18" t="s">
        <v>44</v>
      </c>
    </row>
    <row r="2434" customFormat="false" ht="15" hidden="false" customHeight="true" outlineLevel="0" collapsed="false">
      <c r="A2434" s="12" t="n">
        <v>20062</v>
      </c>
      <c r="B2434" s="13" t="s">
        <v>10439</v>
      </c>
      <c r="C2434" s="16" t="n">
        <v>45840</v>
      </c>
      <c r="D2434" s="13" t="s">
        <v>7310</v>
      </c>
      <c r="E2434" s="15" t="s">
        <v>33</v>
      </c>
      <c r="F2434" s="24" t="s">
        <v>10440</v>
      </c>
      <c r="G2434" s="13" t="s">
        <v>10441</v>
      </c>
      <c r="H2434" s="13" t="s">
        <v>35</v>
      </c>
      <c r="I2434" s="13" t="str">
        <f aca="false">IF(C2434=J2434,"NEW KONTRAK","RE-KONTRAK")</f>
        <v>NEW KONTRAK</v>
      </c>
      <c r="J2434" s="16" t="n">
        <f aca="false" t="array" ref="J2434:J2434">IFERROR(INDEX(AC2434:AE2434,IF(COUNTA(AC2434:AE2434)=0,"",MAX((AC2434:AE2434&lt;&gt;"")*(COLUMN(AC2434:AE2434)-(COLUMN(AC2434)))))-1),"")</f>
        <v>45840</v>
      </c>
      <c r="K2434" s="16" t="n">
        <f aca="false" t="array" ref="K2434:K2434">IFERROR(INDEX(AC2434:AE2434,IF(COUNTA(AC2434:AE2434)=0,"",MAX((AC2434:AE2434&lt;&gt;"")*(COLUMN(AC2434:AE2434)-(COLUMN(AC2434)-1))))-1),"")</f>
        <v>46204</v>
      </c>
      <c r="L2434" s="17" t="str">
        <f aca="false" t="array" ref="L2434:L2434">IFERROR(INDEX(AC2434:AE2434,IF(COUNTA(AC2434:AE2434)=0,"",MAX((AC2434:AE2434&lt;&gt;"")*(COLUMN(AC2434:AE2434)-(COLUMN(AC2434)-2))))-1),"")</f>
        <v>ARCHIVED</v>
      </c>
      <c r="M2434" s="13" t="n">
        <f aca="true">K2434-TODAY()</f>
        <v>-120</v>
      </c>
      <c r="N2434" s="18" t="s">
        <v>7313</v>
      </c>
      <c r="O2434" s="13" t="s">
        <v>7611</v>
      </c>
      <c r="P2434" s="19" t="n">
        <v>2397550</v>
      </c>
      <c r="Q2434" s="20" t="s">
        <v>10442</v>
      </c>
      <c r="R2434" s="13" t="s">
        <v>52</v>
      </c>
      <c r="S2434" s="16" t="n">
        <v>35141</v>
      </c>
      <c r="T2434" s="28" t="s">
        <v>40</v>
      </c>
      <c r="U2434" s="13" t="s">
        <v>10443</v>
      </c>
      <c r="V2434" s="13" t="s">
        <v>42</v>
      </c>
      <c r="W2434" s="13" t="s">
        <v>43</v>
      </c>
      <c r="X2434" s="21" t="n">
        <v>85785302757</v>
      </c>
      <c r="Y2434" s="22" t="str">
        <f aca="false">O2434</f>
        <v>Helper Kernet</v>
      </c>
      <c r="Z2434" s="13" t="str">
        <f aca="false">IFERROR(__xludf.dummyfunction("if(BJ2434="""","""",GOOGLETRANSLATE(BJ2434,""auto"",""en""))"),"Helper Kernet")</f>
        <v>Helper Kernet</v>
      </c>
      <c r="AA2434" s="23" t="str">
        <f aca="false">IF(C2434="","", CHOOSE(MONTH(C2434),"January","February","March","April","May","June","July","August","September","October","November","December")&amp;" "&amp;DAY(C2434)&amp;MID("thstndrdth",MIN(9,2*RIGHT(DAY(C2434))*(MOD(DAY(C2434)-11,100)&gt;2)+1),2)&amp;","&amp;TEXT(C2434," yyyy"))</f>
        <v>July 2nd,2025</v>
      </c>
      <c r="AB2434" s="15" t="str">
        <f aca="true">IF(S2434="","",DATEDIF(S2434,TODAY(),"Y")&amp;" Tahun, "&amp;DATEDIF(S2434,TODAY(),"YM")&amp;" Bulan, "&amp;DATEDIF(S2434,TODAY(),"MD")&amp;" Hari")</f>
        <v>30 Tahun, 7 Bulan, 12 Hari</v>
      </c>
      <c r="AC2434" s="18" t="n">
        <v>45840</v>
      </c>
      <c r="AD2434" s="18" t="n">
        <v>46204</v>
      </c>
      <c r="AE2434" s="18" t="s">
        <v>44</v>
      </c>
    </row>
    <row r="2435" customFormat="false" ht="15" hidden="false" customHeight="true" outlineLevel="0" collapsed="false">
      <c r="A2435" s="12" t="n">
        <v>20063</v>
      </c>
      <c r="B2435" s="13" t="s">
        <v>4831</v>
      </c>
      <c r="C2435" s="16" t="n">
        <v>45840</v>
      </c>
      <c r="D2435" s="13" t="s">
        <v>7310</v>
      </c>
      <c r="E2435" s="15" t="s">
        <v>33</v>
      </c>
      <c r="F2435" s="24" t="s">
        <v>10444</v>
      </c>
      <c r="G2435" s="13" t="s">
        <v>10445</v>
      </c>
      <c r="H2435" s="13" t="s">
        <v>35</v>
      </c>
      <c r="I2435" s="13" t="str">
        <f aca="false">IF(C2435=J2435,"NEW KONTRAK","RE-KONTRAK")</f>
        <v>NEW KONTRAK</v>
      </c>
      <c r="J2435" s="16" t="n">
        <f aca="false" t="array" ref="J2435:J2435">IFERROR(INDEX(AC2435:AE2435,IF(COUNTA(AC2435:AE2435)=0,"",MAX((AC2435:AE2435&lt;&gt;"")*(COLUMN(AC2435:AE2435)-(COLUMN(AC2435)))))-1),"")</f>
        <v>45840</v>
      </c>
      <c r="K2435" s="16" t="n">
        <f aca="false" t="array" ref="K2435:K2435">IFERROR(INDEX(AC2435:AE2435,IF(COUNTA(AC2435:AE2435)=0,"",MAX((AC2435:AE2435&lt;&gt;"")*(COLUMN(AC2435:AE2435)-(COLUMN(AC2435)-1))))-1),"")</f>
        <v>46204</v>
      </c>
      <c r="L2435" s="17" t="str">
        <f aca="false" t="array" ref="L2435:L2435">IFERROR(INDEX(AC2435:AE2435,IF(COUNTA(AC2435:AE2435)=0,"",MAX((AC2435:AE2435&lt;&gt;"")*(COLUMN(AC2435:AE2435)-(COLUMN(AC2435)-2))))-1),"")</f>
        <v>ARCHIVED</v>
      </c>
      <c r="M2435" s="13" t="n">
        <f aca="true">K2435-TODAY()</f>
        <v>-120</v>
      </c>
      <c r="N2435" s="18" t="s">
        <v>7313</v>
      </c>
      <c r="O2435" s="13" t="s">
        <v>7611</v>
      </c>
      <c r="P2435" s="19" t="n">
        <v>2397550</v>
      </c>
      <c r="Q2435" s="20" t="s">
        <v>10446</v>
      </c>
      <c r="R2435" s="13" t="s">
        <v>227</v>
      </c>
      <c r="S2435" s="16" t="n">
        <v>38270</v>
      </c>
      <c r="T2435" s="28" t="s">
        <v>40</v>
      </c>
      <c r="U2435" s="13" t="s">
        <v>10447</v>
      </c>
      <c r="V2435" s="13" t="s">
        <v>42</v>
      </c>
      <c r="W2435" s="13" t="s">
        <v>43</v>
      </c>
      <c r="X2435" s="21" t="n">
        <v>83853100039</v>
      </c>
      <c r="Y2435" s="22" t="str">
        <f aca="false">O2435</f>
        <v>Helper Kernet</v>
      </c>
      <c r="Z2435" s="13" t="str">
        <f aca="false">IFERROR(__xludf.dummyfunction("if(BJ2435="""","""",GOOGLETRANSLATE(BJ2435,""auto"",""en""))"),"Helper Kernet")</f>
        <v>Helper Kernet</v>
      </c>
      <c r="AA2435" s="23" t="str">
        <f aca="false">IF(C2435="","", CHOOSE(MONTH(C2435),"January","February","March","April","May","June","July","August","September","October","November","December")&amp;" "&amp;DAY(C2435)&amp;MID("thstndrdth",MIN(9,2*RIGHT(DAY(C2435))*(MOD(DAY(C2435)-11,100)&gt;2)+1),2)&amp;","&amp;TEXT(C2435," yyyy"))</f>
        <v>July 2nd,2025</v>
      </c>
      <c r="AB2435" s="15" t="str">
        <f aca="true">IF(S2435="","",DATEDIF(S2435,TODAY(),"Y")&amp;" Tahun, "&amp;DATEDIF(S2435,TODAY(),"YM")&amp;" Bulan, "&amp;DATEDIF(S2435,TODAY(),"MD")&amp;" Hari")</f>
        <v>22 Tahun, 0 Bulan, 19 Hari</v>
      </c>
      <c r="AC2435" s="18" t="n">
        <v>45840</v>
      </c>
      <c r="AD2435" s="18" t="n">
        <v>46204</v>
      </c>
      <c r="AE2435" s="18" t="s">
        <v>44</v>
      </c>
    </row>
    <row r="2436" customFormat="false" ht="15" hidden="false" customHeight="true" outlineLevel="0" collapsed="false">
      <c r="A2436" s="12" t="n">
        <v>20064</v>
      </c>
      <c r="B2436" s="13" t="s">
        <v>10448</v>
      </c>
      <c r="C2436" s="16" t="n">
        <v>45842</v>
      </c>
      <c r="D2436" s="13" t="s">
        <v>7310</v>
      </c>
      <c r="E2436" s="15" t="s">
        <v>102</v>
      </c>
      <c r="F2436" s="15" t="str">
        <f aca="false">IFERROR(__xludf.dummyfunction("XLOOKUP(AJ2436,IMPORTRANGE(""1XaInW9DU9nz21V0tYIfzFQ0He9kVQ_JF2mCXgZ3hqFA"",""REKAP ALL 2026 - Andika!G:G""),IMPORTRANGE(""1XaInW9DU9nz21V0tYIfzFQ0He9kVQ_JF2mCXgZ3hqFA"",""REKAP ALL 2026 - Andika!F:F""),"""",0)"),"25099755552")</f>
        <v>25099755552</v>
      </c>
      <c r="G2436" s="13" t="s">
        <v>10449</v>
      </c>
      <c r="H2436" s="13" t="s">
        <v>35</v>
      </c>
      <c r="I2436" s="13" t="str">
        <f aca="false">IF(C2436=J2436,"NEW KONTRAK","RE-KONTRAK")</f>
        <v>NEW KONTRAK</v>
      </c>
      <c r="J2436" s="16" t="n">
        <f aca="false" t="array" ref="J2436:J2436">IFERROR(INDEX(AC2436:AE2436,IF(COUNTA(AC2436:AE2436)=0,"",MAX((AC2436:AE2436&lt;&gt;"")*(COLUMN(AC2436:AE2436)-(COLUMN(AC2436)))))-1),"")</f>
        <v>45842</v>
      </c>
      <c r="K2436" s="16" t="n">
        <f aca="false" t="array" ref="K2436:K2436">IFERROR(INDEX(AC2436:AE2436,IF(COUNTA(AC2436:AE2436)=0,"",MAX((AC2436:AE2436&lt;&gt;"")*(COLUMN(AC2436:AE2436)-(COLUMN(AC2436)-1))))-1),"")</f>
        <v>46206</v>
      </c>
      <c r="L2436" s="17" t="str">
        <f aca="false" t="array" ref="L2436:L2436">IFERROR(INDEX(AC2436:AE2436,IF(COUNTA(AC2436:AE2436)=0,"",MAX((AC2436:AE2436&lt;&gt;"")*(COLUMN(AC2436:AE2436)-(COLUMN(AC2436)-2))))-1),"")</f>
        <v>ARCHIVED</v>
      </c>
      <c r="M2436" s="13" t="n">
        <f aca="true">K2436-TODAY()</f>
        <v>-118</v>
      </c>
      <c r="N2436" s="18" t="s">
        <v>7313</v>
      </c>
      <c r="O2436" s="13" t="s">
        <v>50</v>
      </c>
      <c r="P2436" s="19" t="n">
        <v>2550274</v>
      </c>
      <c r="Q2436" s="20" t="s">
        <v>10450</v>
      </c>
      <c r="R2436" s="13" t="s">
        <v>227</v>
      </c>
      <c r="S2436" s="16" t="n">
        <v>37056</v>
      </c>
      <c r="T2436" s="28" t="s">
        <v>40</v>
      </c>
      <c r="U2436" s="13" t="s">
        <v>10451</v>
      </c>
      <c r="V2436" s="13" t="s">
        <v>42</v>
      </c>
      <c r="W2436" s="13" t="s">
        <v>43</v>
      </c>
      <c r="X2436" s="21" t="n">
        <v>83119675275</v>
      </c>
      <c r="Y2436" s="22" t="str">
        <f aca="false">O2436</f>
        <v>Driver</v>
      </c>
      <c r="Z2436" s="13" t="str">
        <f aca="false">IFERROR(__xludf.dummyfunction("if(BJ2436="""","""",GOOGLETRANSLATE(BJ2436,""auto"",""en""))"),"Driver")</f>
        <v>Driver</v>
      </c>
      <c r="AA2436" s="23" t="str">
        <f aca="false">IF(C2436="","", CHOOSE(MONTH(C2436),"January","February","March","April","May","June","July","August","September","October","November","December")&amp;" "&amp;DAY(C2436)&amp;MID("thstndrdth",MIN(9,2*RIGHT(DAY(C2436))*(MOD(DAY(C2436)-11,100)&gt;2)+1),2)&amp;","&amp;TEXT(C2436," yyyy"))</f>
        <v>July 4th,2025</v>
      </c>
      <c r="AB2436" s="15" t="str">
        <f aca="true">IF(S2436="","",DATEDIF(S2436,TODAY(),"Y")&amp;" Tahun, "&amp;DATEDIF(S2436,TODAY(),"YM")&amp;" Bulan, "&amp;DATEDIF(S2436,TODAY(),"MD")&amp;" Hari")</f>
        <v>25 Tahun, 4 Bulan, 15 Hari</v>
      </c>
      <c r="AC2436" s="18" t="n">
        <v>45842</v>
      </c>
      <c r="AD2436" s="18" t="n">
        <v>46206</v>
      </c>
      <c r="AE2436" s="18" t="s">
        <v>44</v>
      </c>
    </row>
    <row r="2437" customFormat="false" ht="15" hidden="false" customHeight="true" outlineLevel="0" collapsed="false">
      <c r="A2437" s="12" t="n">
        <v>20069</v>
      </c>
      <c r="B2437" s="13" t="s">
        <v>10452</v>
      </c>
      <c r="C2437" s="16" t="n">
        <v>45846</v>
      </c>
      <c r="D2437" s="13" t="s">
        <v>1721</v>
      </c>
      <c r="E2437" s="15" t="s">
        <v>789</v>
      </c>
      <c r="F2437" s="15" t="str">
        <f aca="false">IFERROR(__xludf.dummyfunction("XLOOKUP(AJ2437,IMPORTRANGE(""1XaInW9DU9nz21V0tYIfzFQ0He9kVQ_JF2mCXgZ3hqFA"",""REKAP ALL 2026 - Andika!G:G""),IMPORTRANGE(""1XaInW9DU9nz21V0tYIfzFQ0He9kVQ_JF2mCXgZ3hqFA"",""REKAP ALL 2026 - Andika!F:F""),"""",0)"),"25099754415")</f>
        <v>25099754415</v>
      </c>
      <c r="G2437" s="13" t="s">
        <v>10453</v>
      </c>
      <c r="H2437" s="13" t="s">
        <v>35</v>
      </c>
      <c r="I2437" s="13" t="str">
        <f aca="false">IF(C2437=J2437,"NEW KONTRAK","RE-KONTRAK")</f>
        <v>NEW KONTRAK</v>
      </c>
      <c r="J2437" s="16" t="n">
        <f aca="false" t="array" ref="J2437:J2437">IFERROR(INDEX(AC2437:AE2437,IF(COUNTA(AC2437:AE2437)=0,"",MAX((AC2437:AE2437&lt;&gt;"")*(COLUMN(AC2437:AE2437)-(COLUMN(AC2437)))))-1),"")</f>
        <v>45846</v>
      </c>
      <c r="K2437" s="16" t="n">
        <f aca="false" t="array" ref="K2437:K2437">IFERROR(INDEX(AC2437:AE2437,IF(COUNTA(AC2437:AE2437)=0,"",MAX((AC2437:AE2437&lt;&gt;"")*(COLUMN(AC2437:AE2437)-(COLUMN(AC2437)-1))))-1),"")</f>
        <v>46210</v>
      </c>
      <c r="L2437" s="17" t="str">
        <f aca="false" t="array" ref="L2437:L2437">IFERROR(INDEX(AC2437:AE2437,IF(COUNTA(AC2437:AE2437)=0,"",MAX((AC2437:AE2437&lt;&gt;"")*(COLUMN(AC2437:AE2437)-(COLUMN(AC2437)-2))))-1),"")</f>
        <v>ARCHIVED</v>
      </c>
      <c r="M2437" s="13" t="n">
        <f aca="true">K2437-TODAY()</f>
        <v>-114</v>
      </c>
      <c r="N2437" s="18" t="s">
        <v>728</v>
      </c>
      <c r="O2437" s="13" t="s">
        <v>10454</v>
      </c>
      <c r="P2437" s="19" t="n">
        <v>5444909</v>
      </c>
      <c r="Q2437" s="20" t="s">
        <v>10455</v>
      </c>
      <c r="R2437" s="13" t="s">
        <v>65</v>
      </c>
      <c r="S2437" s="16" t="n">
        <v>23693</v>
      </c>
      <c r="T2437" s="13" t="s">
        <v>40</v>
      </c>
      <c r="U2437" s="13" t="s">
        <v>10456</v>
      </c>
      <c r="V2437" s="13" t="s">
        <v>42</v>
      </c>
      <c r="W2437" s="13" t="s">
        <v>54</v>
      </c>
      <c r="X2437" s="21" t="n">
        <v>88235685473</v>
      </c>
      <c r="Y2437" s="22" t="str">
        <f aca="false">O2437</f>
        <v>MPC</v>
      </c>
      <c r="Z2437" s="13" t="str">
        <f aca="false">IFERROR(__xludf.dummyfunction("if(BJ2437="""","""",GOOGLETRANSLATE(BJ2437,""auto"",""en""))"),"MPC")</f>
        <v>MPC</v>
      </c>
      <c r="AA2437" s="23" t="str">
        <f aca="false">IF(C2437="","", CHOOSE(MONTH(C2437),"January","February","March","April","May","June","July","August","September","October","November","December")&amp;" "&amp;DAY(C2437)&amp;MID("thstndrdth",MIN(9,2*RIGHT(DAY(C2437))*(MOD(DAY(C2437)-11,100)&gt;2)+1),2)&amp;","&amp;TEXT(C2437," yyyy"))</f>
        <v>July 8th,2025</v>
      </c>
      <c r="AB2437" s="15" t="str">
        <f aca="true">IF(S2437="","",DATEDIF(S2437,TODAY(),"Y")&amp;" Tahun, "&amp;DATEDIF(S2437,TODAY(),"YM")&amp;" Bulan, "&amp;DATEDIF(S2437,TODAY(),"MD")&amp;" Hari")</f>
        <v>61 Tahun, 11 Bulan, 17 Hari</v>
      </c>
      <c r="AC2437" s="18" t="n">
        <v>45846</v>
      </c>
      <c r="AD2437" s="18" t="n">
        <v>46210</v>
      </c>
      <c r="AE2437" s="18" t="s">
        <v>44</v>
      </c>
    </row>
    <row r="2438" customFormat="false" ht="15" hidden="false" customHeight="true" outlineLevel="0" collapsed="false">
      <c r="A2438" s="12" t="n">
        <v>20071</v>
      </c>
      <c r="B2438" s="13" t="s">
        <v>10457</v>
      </c>
      <c r="C2438" s="16" t="n">
        <v>45849</v>
      </c>
      <c r="D2438" s="13" t="s">
        <v>1338</v>
      </c>
      <c r="E2438" s="15" t="s">
        <v>33</v>
      </c>
      <c r="F2438" s="24" t="s">
        <v>10458</v>
      </c>
      <c r="G2438" s="13" t="s">
        <v>57</v>
      </c>
      <c r="H2438" s="13" t="s">
        <v>3024</v>
      </c>
      <c r="I2438" s="13" t="str">
        <f aca="false">IF(C2438=J2438,"NEW KONTRAK","RE-KONTRAK")</f>
        <v>NEW KONTRAK</v>
      </c>
      <c r="J2438" s="16" t="n">
        <f aca="false" t="array" ref="J2438:J2438">IFERROR(INDEX(AC2438:AE2438,IF(COUNTA(AC2438:AE2438)=0,"",MAX((AC2438:AE2438&lt;&gt;"")*(COLUMN(AC2438:AE2438)-(COLUMN(AC2438)))))-1),"")</f>
        <v>45849</v>
      </c>
      <c r="K2438" s="16" t="n">
        <f aca="false" t="array" ref="K2438:K2438">IFERROR(INDEX(AC2438:AE2438,IF(COUNTA(AC2438:AE2438)=0,"",MAX((AC2438:AE2438&lt;&gt;"")*(COLUMN(AC2438:AE2438)-(COLUMN(AC2438)-1))))-1),"")</f>
        <v>45940</v>
      </c>
      <c r="L2438" s="17" t="str">
        <f aca="false" t="array" ref="L2438:L2438">IFERROR(INDEX(AC2438:AE2438,IF(COUNTA(AC2438:AE2438)=0,"",MAX((AC2438:AE2438&lt;&gt;"")*(COLUMN(AC2438:AE2438)-(COLUMN(AC2438)-2))))-1),"")</f>
        <v>ARCHIVED</v>
      </c>
      <c r="M2438" s="13" t="n">
        <f aca="true">K2438-TODAY()</f>
        <v>-384</v>
      </c>
      <c r="N2438" s="18" t="s">
        <v>615</v>
      </c>
      <c r="O2438" s="13" t="s">
        <v>2335</v>
      </c>
      <c r="P2438" s="19" t="n">
        <v>160000</v>
      </c>
      <c r="Q2438" s="94" t="s">
        <v>10459</v>
      </c>
      <c r="R2438" s="13" t="s">
        <v>65</v>
      </c>
      <c r="S2438" s="16" t="n">
        <v>32188</v>
      </c>
      <c r="T2438" s="28" t="s">
        <v>40</v>
      </c>
      <c r="U2438" s="13" t="s">
        <v>10460</v>
      </c>
      <c r="V2438" s="13" t="s">
        <v>42</v>
      </c>
      <c r="W2438" s="13" t="s">
        <v>54</v>
      </c>
      <c r="X2438" s="21" t="n">
        <v>82133748945</v>
      </c>
      <c r="Y2438" s="22" t="str">
        <f aca="false">O2438</f>
        <v>Project Management</v>
      </c>
      <c r="Z2438" s="13" t="str">
        <f aca="false">IFERROR(__xludf.dummyfunction("if(BJ2438="""","""",GOOGLETRANSLATE(BJ2438,""auto"",""en""))"),"Project Management")</f>
        <v>Project Management</v>
      </c>
      <c r="AA2438" s="23" t="str">
        <f aca="false">IF(C2438="","", CHOOSE(MONTH(C2438),"January","February","March","April","May","June","July","August","September","October","November","December")&amp;" "&amp;DAY(C2438)&amp;MID("thstndrdth",MIN(9,2*RIGHT(DAY(C2438))*(MOD(DAY(C2438)-11,100)&gt;2)+1),2)&amp;","&amp;TEXT(C2438," yyyy"))</f>
        <v>July 11th,2025</v>
      </c>
      <c r="AB2438" s="15" t="str">
        <f aca="true">IF(S2438="","",DATEDIF(S2438,TODAY(),"Y")&amp;" Tahun, "&amp;DATEDIF(S2438,TODAY(),"YM")&amp;" Bulan, "&amp;DATEDIF(S2438,TODAY(),"MD")&amp;" Hari")</f>
        <v>38 Tahun, 8 Bulan, 14 Hari</v>
      </c>
      <c r="AC2438" s="18" t="n">
        <v>45849</v>
      </c>
      <c r="AD2438" s="18" t="n">
        <v>45940</v>
      </c>
      <c r="AE2438" s="18" t="s">
        <v>44</v>
      </c>
    </row>
    <row r="2439" customFormat="false" ht="15" hidden="false" customHeight="true" outlineLevel="0" collapsed="false">
      <c r="A2439" s="12" t="n">
        <v>20074</v>
      </c>
      <c r="B2439" s="13" t="s">
        <v>10461</v>
      </c>
      <c r="C2439" s="16" t="n">
        <v>45847</v>
      </c>
      <c r="D2439" s="13" t="s">
        <v>3022</v>
      </c>
      <c r="E2439" s="15" t="s">
        <v>47</v>
      </c>
      <c r="F2439" s="15" t="str">
        <f aca="false">IFERROR(__xludf.dummyfunction("XLOOKUP(AJ2439,IMPORTRANGE(""1XaInW9DU9nz21V0tYIfzFQ0He9kVQ_JF2mCXgZ3hqFA"",""REKAP ALL 2026 - Andika!G:G""),IMPORTRANGE(""1XaInW9DU9nz21V0tYIfzFQ0He9kVQ_JF2mCXgZ3hqFA"",""REKAP ALL 2026 - Andika!F:F""),"""",0)"),"25099756345")</f>
        <v>25099756345</v>
      </c>
      <c r="G2439" s="13" t="s">
        <v>1127</v>
      </c>
      <c r="H2439" s="13" t="s">
        <v>3024</v>
      </c>
      <c r="I2439" s="13" t="str">
        <f aca="false">IF(C2439=J2439,"NEW KONTRAK","RE-KONTRAK")</f>
        <v>NEW KONTRAK</v>
      </c>
      <c r="J2439" s="16" t="n">
        <f aca="false" t="array" ref="J2439:J2439">IFERROR(INDEX(AC2439:AE2439,IF(COUNTA(AC2439:AE2439)=0,"",MAX((AC2439:AE2439&lt;&gt;"")*(COLUMN(AC2439:AE2439)-(COLUMN(AC2439)))))-1),"")</f>
        <v>45847</v>
      </c>
      <c r="K2439" s="16" t="n">
        <f aca="false" t="array" ref="K2439:K2439">IFERROR(INDEX(AC2439:AE2439,IF(COUNTA(AC2439:AE2439)=0,"",MAX((AC2439:AE2439&lt;&gt;"")*(COLUMN(AC2439:AE2439)-(COLUMN(AC2439)-1))))-1),"")</f>
        <v>45938</v>
      </c>
      <c r="L2439" s="17" t="str">
        <f aca="false" t="array" ref="L2439:L2439">IFERROR(INDEX(AC2439:AE2439,IF(COUNTA(AC2439:AE2439)=0,"",MAX((AC2439:AE2439&lt;&gt;"")*(COLUMN(AC2439:AE2439)-(COLUMN(AC2439)-2))))-1),"")</f>
        <v>ARCHIVED</v>
      </c>
      <c r="M2439" s="13" t="n">
        <f aca="true">K2439-TODAY()</f>
        <v>-386</v>
      </c>
      <c r="N2439" s="18" t="s">
        <v>36</v>
      </c>
      <c r="O2439" s="13" t="s">
        <v>58</v>
      </c>
      <c r="P2439" s="19" t="n">
        <v>112500</v>
      </c>
      <c r="Q2439" s="20" t="s">
        <v>10462</v>
      </c>
      <c r="R2439" s="13" t="s">
        <v>39</v>
      </c>
      <c r="S2439" s="16" t="n">
        <v>35098</v>
      </c>
      <c r="T2439" s="28" t="s">
        <v>40</v>
      </c>
      <c r="U2439" s="13" t="s">
        <v>10463</v>
      </c>
      <c r="V2439" s="13" t="s">
        <v>42</v>
      </c>
      <c r="W2439" s="13" t="s">
        <v>54</v>
      </c>
      <c r="X2439" s="21" t="n">
        <v>8978246680</v>
      </c>
      <c r="Y2439" s="22" t="str">
        <f aca="false">O2439</f>
        <v>Produksi</v>
      </c>
      <c r="Z2439" s="13" t="str">
        <f aca="false">IFERROR(__xludf.dummyfunction("if(BJ2439="""","""",GOOGLETRANSLATE(BJ2439,""auto"",""en""))"),"Production")</f>
        <v>Production</v>
      </c>
      <c r="AA2439" s="23" t="str">
        <f aca="false">IF(C2439="","", CHOOSE(MONTH(C2439),"January","February","March","April","May","June","July","August","September","October","November","December")&amp;" "&amp;DAY(C2439)&amp;MID("thstndrdth",MIN(9,2*RIGHT(DAY(C2439))*(MOD(DAY(C2439)-11,100)&gt;2)+1),2)&amp;","&amp;TEXT(C2439," yyyy"))</f>
        <v>July 9th,2025</v>
      </c>
      <c r="AB2439" s="15" t="str">
        <f aca="true">IF(S2439="","",DATEDIF(S2439,TODAY(),"Y")&amp;" Tahun, "&amp;DATEDIF(S2439,TODAY(),"YM")&amp;" Bulan, "&amp;DATEDIF(S2439,TODAY(),"MD")&amp;" Hari")</f>
        <v>30 Tahun, 8 Bulan, 26 Hari</v>
      </c>
      <c r="AC2439" s="18" t="n">
        <v>45847</v>
      </c>
      <c r="AD2439" s="18" t="n">
        <v>45938</v>
      </c>
      <c r="AE2439" s="18" t="s">
        <v>44</v>
      </c>
    </row>
    <row r="2440" customFormat="false" ht="15" hidden="false" customHeight="true" outlineLevel="0" collapsed="false">
      <c r="A2440" s="12" t="n">
        <v>20073</v>
      </c>
      <c r="B2440" s="13" t="s">
        <v>10464</v>
      </c>
      <c r="C2440" s="16" t="n">
        <v>45847</v>
      </c>
      <c r="D2440" s="13" t="s">
        <v>3022</v>
      </c>
      <c r="E2440" s="15" t="s">
        <v>33</v>
      </c>
      <c r="F2440" s="24" t="s">
        <v>10465</v>
      </c>
      <c r="G2440" s="13" t="s">
        <v>57</v>
      </c>
      <c r="H2440" s="13" t="s">
        <v>3024</v>
      </c>
      <c r="I2440" s="13" t="str">
        <f aca="false">IF(C2440=J2440,"NEW KONTRAK","RE-KONTRAK")</f>
        <v>NEW KONTRAK</v>
      </c>
      <c r="J2440" s="16" t="n">
        <f aca="false" t="array" ref="J2440:J2440">IFERROR(INDEX(AC2440:AE2440,IF(COUNTA(AC2440:AE2440)=0,"",MAX((AC2440:AE2440&lt;&gt;"")*(COLUMN(AC2440:AE2440)-(COLUMN(AC2440)))))-1),"")</f>
        <v>45847</v>
      </c>
      <c r="K2440" s="16" t="n">
        <f aca="false" t="array" ref="K2440:K2440">IFERROR(INDEX(AC2440:AE2440,IF(COUNTA(AC2440:AE2440)=0,"",MAX((AC2440:AE2440&lt;&gt;"")*(COLUMN(AC2440:AE2440)-(COLUMN(AC2440)-1))))-1),"")</f>
        <v>45938</v>
      </c>
      <c r="L2440" s="17" t="str">
        <f aca="false" t="array" ref="L2440:L2440">IFERROR(INDEX(AC2440:AE2440,IF(COUNTA(AC2440:AE2440)=0,"",MAX((AC2440:AE2440&lt;&gt;"")*(COLUMN(AC2440:AE2440)-(COLUMN(AC2440)-2))))-1),"")</f>
        <v>ARCHIVED</v>
      </c>
      <c r="M2440" s="13" t="n">
        <f aca="true">K2440-TODAY()</f>
        <v>-386</v>
      </c>
      <c r="N2440" s="18" t="s">
        <v>36</v>
      </c>
      <c r="O2440" s="13" t="s">
        <v>785</v>
      </c>
      <c r="P2440" s="19" t="n">
        <v>75000</v>
      </c>
      <c r="Q2440" s="20" t="s">
        <v>10466</v>
      </c>
      <c r="R2440" s="13" t="s">
        <v>39</v>
      </c>
      <c r="S2440" s="16" t="n">
        <v>33580</v>
      </c>
      <c r="T2440" s="28" t="s">
        <v>40</v>
      </c>
      <c r="U2440" s="13" t="s">
        <v>10467</v>
      </c>
      <c r="V2440" s="13" t="s">
        <v>42</v>
      </c>
      <c r="W2440" s="13" t="s">
        <v>43</v>
      </c>
      <c r="X2440" s="30" t="n">
        <v>89887558867</v>
      </c>
      <c r="Y2440" s="22" t="str">
        <f aca="false">O2440</f>
        <v>Gudang</v>
      </c>
      <c r="Z2440" s="13" t="str">
        <f aca="false">IFERROR(__xludf.dummyfunction("if(BJ2440="""","""",GOOGLETRANSLATE(BJ2440,""auto"",""en""))"),"Warehouse")</f>
        <v>Warehouse</v>
      </c>
      <c r="AA2440" s="23" t="str">
        <f aca="false">IF(C2440="","", CHOOSE(MONTH(C2440),"January","February","March","April","May","June","July","August","September","October","November","December")&amp;" "&amp;DAY(C2440)&amp;MID("thstndrdth",MIN(9,2*RIGHT(DAY(C2440))*(MOD(DAY(C2440)-11,100)&gt;2)+1),2)&amp;","&amp;TEXT(C2440," yyyy"))</f>
        <v>July 9th,2025</v>
      </c>
      <c r="AB2440" s="15" t="str">
        <f aca="true">IF(S2440="","",DATEDIF(S2440,TODAY(),"Y")&amp;" Tahun, "&amp;DATEDIF(S2440,TODAY(),"YM")&amp;" Bulan, "&amp;DATEDIF(S2440,TODAY(),"MD")&amp;" Hari")</f>
        <v>34 Tahun, 10 Bulan, 21 Hari</v>
      </c>
      <c r="AC2440" s="18" t="n">
        <v>45847</v>
      </c>
      <c r="AD2440" s="18" t="n">
        <v>45938</v>
      </c>
      <c r="AE2440" s="18" t="s">
        <v>44</v>
      </c>
    </row>
    <row r="2441" customFormat="false" ht="15" hidden="false" customHeight="true" outlineLevel="0" collapsed="false">
      <c r="A2441" s="12" t="n">
        <v>20078</v>
      </c>
      <c r="B2441" s="13" t="s">
        <v>10468</v>
      </c>
      <c r="C2441" s="16" t="n">
        <v>45850</v>
      </c>
      <c r="D2441" s="13" t="s">
        <v>7534</v>
      </c>
      <c r="E2441" s="15" t="s">
        <v>47</v>
      </c>
      <c r="F2441" s="15" t="str">
        <f aca="false">IFERROR(__xludf.dummyfunction("XLOOKUP(AJ2441,IMPORTRANGE(""1XaInW9DU9nz21V0tYIfzFQ0He9kVQ_JF2mCXgZ3hqFA"",""REKAP ALL 2026 - Andika!G:G""),IMPORTRANGE(""1XaInW9DU9nz21V0tYIfzFQ0He9kVQ_JF2mCXgZ3hqFA"",""REKAP ALL 2026 - Andika!F:F""),"""",0)"),"25099756170")</f>
        <v>25099756170</v>
      </c>
      <c r="G2441" s="13" t="s">
        <v>10469</v>
      </c>
      <c r="H2441" s="13" t="s">
        <v>35</v>
      </c>
      <c r="I2441" s="13" t="str">
        <f aca="false">IF(C2441=J2441,"NEW KONTRAK","RE-KONTRAK")</f>
        <v>NEW KONTRAK</v>
      </c>
      <c r="J2441" s="16" t="n">
        <f aca="false" t="array" ref="J2441:J2441">IFERROR(INDEX(AC2441:AE2441,IF(COUNTA(AC2441:AE2441)=0,"",MAX((AC2441:AE2441&lt;&gt;"")*(COLUMN(AC2441:AE2441)-(COLUMN(AC2441)))))-1),"")</f>
        <v>45850</v>
      </c>
      <c r="K2441" s="16" t="n">
        <f aca="false" t="array" ref="K2441:K2441">IFERROR(INDEX(AC2441:AE2441,IF(COUNTA(AC2441:AE2441)=0,"",MAX((AC2441:AE2441&lt;&gt;"")*(COLUMN(AC2441:AE2441)-(COLUMN(AC2441)-1))))-1),"")</f>
        <v>45937</v>
      </c>
      <c r="L2441" s="17" t="str">
        <f aca="false" t="array" ref="L2441:L2441">IFERROR(INDEX(AC2441:AE2441,IF(COUNTA(AC2441:AE2441)=0,"",MAX((AC2441:AE2441&lt;&gt;"")*(COLUMN(AC2441:AE2441)-(COLUMN(AC2441)-2))))-1),"")</f>
        <v>KEMBALI</v>
      </c>
      <c r="M2441" s="13" t="n">
        <f aca="true">K2441-TODAY()</f>
        <v>-387</v>
      </c>
      <c r="N2441" s="18" t="s">
        <v>4735</v>
      </c>
      <c r="O2441" s="13" t="s">
        <v>7536</v>
      </c>
      <c r="P2441" s="19" t="n">
        <v>3553530</v>
      </c>
      <c r="Q2441" s="20" t="s">
        <v>10470</v>
      </c>
      <c r="R2441" s="13" t="s">
        <v>83</v>
      </c>
      <c r="S2441" s="16" t="n">
        <v>37464</v>
      </c>
      <c r="T2441" s="13" t="s">
        <v>108</v>
      </c>
      <c r="U2441" s="13" t="s">
        <v>10471</v>
      </c>
      <c r="V2441" s="13" t="s">
        <v>42</v>
      </c>
      <c r="W2441" s="13" t="s">
        <v>43</v>
      </c>
      <c r="X2441" s="21" t="n">
        <v>895808713080</v>
      </c>
      <c r="Y2441" s="22" t="str">
        <f aca="false">O2441</f>
        <v>Host Live</v>
      </c>
      <c r="Z2441" s="13" t="str">
        <f aca="false">IFERROR(__xludf.dummyfunction("if(BJ2441="""","""",GOOGLETRANSLATE(BJ2441,""auto"",""en""))"),"Host Live")</f>
        <v>Host Live</v>
      </c>
      <c r="AA2441" s="23" t="str">
        <f aca="false">IF(C2441="","", CHOOSE(MONTH(C2441),"January","February","March","April","May","June","July","August","September","October","November","December")&amp;" "&amp;DAY(C2441)&amp;MID("thstndrdth",MIN(9,2*RIGHT(DAY(C2441))*(MOD(DAY(C2441)-11,100)&gt;2)+1),2)&amp;","&amp;TEXT(C2441," yyyy"))</f>
        <v>July 12th,2025</v>
      </c>
      <c r="AB2441" s="15" t="str">
        <f aca="true">IF(S2441="","",DATEDIF(S2441,TODAY(),"Y")&amp;" Tahun, "&amp;DATEDIF(S2441,TODAY(),"YM")&amp;" Bulan, "&amp;DATEDIF(S2441,TODAY(),"MD")&amp;" Hari")</f>
        <v>24 Tahun, 3 Bulan, 2 Hari</v>
      </c>
      <c r="AC2441" s="18" t="n">
        <v>45850</v>
      </c>
      <c r="AD2441" s="18" t="n">
        <v>45937</v>
      </c>
      <c r="AE2441" s="13" t="s">
        <v>397</v>
      </c>
    </row>
    <row r="2442" customFormat="false" ht="15" hidden="false" customHeight="true" outlineLevel="0" collapsed="false">
      <c r="A2442" s="12" t="n">
        <v>20076</v>
      </c>
      <c r="B2442" s="13" t="s">
        <v>10472</v>
      </c>
      <c r="C2442" s="16" t="n">
        <v>45847</v>
      </c>
      <c r="D2442" s="13" t="s">
        <v>3022</v>
      </c>
      <c r="E2442" s="15" t="s">
        <v>789</v>
      </c>
      <c r="F2442" s="24" t="s">
        <v>10473</v>
      </c>
      <c r="G2442" s="13" t="s">
        <v>1127</v>
      </c>
      <c r="H2442" s="13" t="s">
        <v>3024</v>
      </c>
      <c r="I2442" s="13" t="str">
        <f aca="false">IF(C2442=J2442,"NEW KONTRAK","RE-KONTRAK")</f>
        <v>NEW KONTRAK</v>
      </c>
      <c r="J2442" s="16" t="n">
        <f aca="false" t="array" ref="J2442:J2442">IFERROR(INDEX(AC2442:AE2442,IF(COUNTA(AC2442:AE2442)=0,"",MAX((AC2442:AE2442&lt;&gt;"")*(COLUMN(AC2442:AE2442)-(COLUMN(AC2442)))))-1),"")</f>
        <v>45847</v>
      </c>
      <c r="K2442" s="16" t="n">
        <f aca="false" t="array" ref="K2442:K2442">IFERROR(INDEX(AC2442:AE2442,IF(COUNTA(AC2442:AE2442)=0,"",MAX((AC2442:AE2442&lt;&gt;"")*(COLUMN(AC2442:AE2442)-(COLUMN(AC2442)-1))))-1),"")</f>
        <v>45938</v>
      </c>
      <c r="L2442" s="17" t="str">
        <f aca="false" t="array" ref="L2442:L2442">IFERROR(INDEX(AC2442:AE2442,IF(COUNTA(AC2442:AE2442)=0,"",MAX((AC2442:AE2442&lt;&gt;"")*(COLUMN(AC2442:AE2442)-(COLUMN(AC2442)-2))))-1),"")</f>
        <v>ARCHIVED</v>
      </c>
      <c r="M2442" s="13" t="n">
        <f aca="true">K2442-TODAY()</f>
        <v>-386</v>
      </c>
      <c r="N2442" s="18" t="s">
        <v>36</v>
      </c>
      <c r="O2442" s="13" t="s">
        <v>6887</v>
      </c>
      <c r="P2442" s="19" t="n">
        <v>78500</v>
      </c>
      <c r="Q2442" s="20" t="s">
        <v>10474</v>
      </c>
      <c r="R2442" s="13" t="s">
        <v>65</v>
      </c>
      <c r="S2442" s="16" t="n">
        <v>38336</v>
      </c>
      <c r="T2442" s="28" t="s">
        <v>40</v>
      </c>
      <c r="U2442" s="13" t="s">
        <v>10475</v>
      </c>
      <c r="V2442" s="13" t="s">
        <v>42</v>
      </c>
      <c r="W2442" s="13" t="s">
        <v>43</v>
      </c>
      <c r="X2442" s="21" t="n">
        <v>85608596239</v>
      </c>
      <c r="Y2442" s="22" t="str">
        <f aca="false">O2442</f>
        <v>Admin Accounting</v>
      </c>
      <c r="Z2442" s="13" t="str">
        <f aca="false">IFERROR(__xludf.dummyfunction("if(BJ2442="""","""",GOOGLETRANSLATE(BJ2442,""auto"",""en""))"),"Admin Accounting")</f>
        <v>Admin Accounting</v>
      </c>
      <c r="AA2442" s="23" t="str">
        <f aca="false">IF(C2442="","", CHOOSE(MONTH(C2442),"January","February","March","April","May","June","July","August","September","October","November","December")&amp;" "&amp;DAY(C2442)&amp;MID("thstndrdth",MIN(9,2*RIGHT(DAY(C2442))*(MOD(DAY(C2442)-11,100)&gt;2)+1),2)&amp;","&amp;TEXT(C2442," yyyy"))</f>
        <v>July 9th,2025</v>
      </c>
      <c r="AB2442" s="15" t="str">
        <f aca="true">IF(S2442="","",DATEDIF(S2442,TODAY(),"Y")&amp;" Tahun, "&amp;DATEDIF(S2442,TODAY(),"YM")&amp;" Bulan, "&amp;DATEDIF(S2442,TODAY(),"MD")&amp;" Hari")</f>
        <v>21 Tahun, 10 Bulan, 14 Hari</v>
      </c>
      <c r="AC2442" s="18" t="n">
        <v>45847</v>
      </c>
      <c r="AD2442" s="18" t="n">
        <v>45938</v>
      </c>
      <c r="AE2442" s="18" t="s">
        <v>44</v>
      </c>
    </row>
    <row r="2443" customFormat="false" ht="15" hidden="false" customHeight="true" outlineLevel="0" collapsed="false">
      <c r="A2443" s="12" t="n">
        <v>20077</v>
      </c>
      <c r="B2443" s="13" t="s">
        <v>10476</v>
      </c>
      <c r="C2443" s="16" t="n">
        <v>45848</v>
      </c>
      <c r="D2443" s="13" t="s">
        <v>5892</v>
      </c>
      <c r="E2443" s="15" t="s">
        <v>33</v>
      </c>
      <c r="F2443" s="24" t="s">
        <v>10477</v>
      </c>
      <c r="G2443" s="13" t="s">
        <v>1127</v>
      </c>
      <c r="H2443" s="13" t="s">
        <v>35</v>
      </c>
      <c r="I2443" s="13" t="str">
        <f aca="false">IF(C2443=J2443,"NEW KONTRAK","RE-KONTRAK")</f>
        <v>NEW KONTRAK</v>
      </c>
      <c r="J2443" s="16" t="n">
        <f aca="false" t="array" ref="J2443:J2443">IFERROR(INDEX(AC2443:AE2443,IF(COUNTA(AC2443:AE2443)=0,"",MAX((AC2443:AE2443&lt;&gt;"")*(COLUMN(AC2443:AE2443)-(COLUMN(AC2443)))))-1),"")</f>
        <v>45848</v>
      </c>
      <c r="K2443" s="16" t="n">
        <f aca="false" t="array" ref="K2443:K2443">IFERROR(INDEX(AC2443:AE2443,IF(COUNTA(AC2443:AE2443)=0,"",MAX((AC2443:AE2443&lt;&gt;"")*(COLUMN(AC2443:AE2443)-(COLUMN(AC2443)-1))))-1),"")</f>
        <v>46031</v>
      </c>
      <c r="L2443" s="17" t="str">
        <f aca="false" t="array" ref="L2443:L2443">IFERROR(INDEX(AC2443:AE2443,IF(COUNTA(AC2443:AE2443)=0,"",MAX((AC2443:AE2443&lt;&gt;"")*(COLUMN(AC2443:AE2443)-(COLUMN(AC2443)-2))))-1),"")</f>
        <v>ARCHIVED</v>
      </c>
      <c r="M2443" s="13" t="n">
        <f aca="true">K2443-TODAY()</f>
        <v>-293</v>
      </c>
      <c r="N2443" s="18" t="s">
        <v>105</v>
      </c>
      <c r="O2443" s="13" t="s">
        <v>6285</v>
      </c>
      <c r="P2443" s="19" t="n">
        <v>4060000</v>
      </c>
      <c r="Q2443" s="20" t="s">
        <v>10478</v>
      </c>
      <c r="R2443" s="13" t="s">
        <v>39</v>
      </c>
      <c r="S2443" s="16" t="n">
        <v>34763</v>
      </c>
      <c r="T2443" s="13" t="s">
        <v>40</v>
      </c>
      <c r="U2443" s="13" t="s">
        <v>10479</v>
      </c>
      <c r="V2443" s="13" t="s">
        <v>42</v>
      </c>
      <c r="W2443" s="13" t="s">
        <v>54</v>
      </c>
      <c r="X2443" s="30" t="n">
        <v>85833963605</v>
      </c>
      <c r="Y2443" s="22" t="str">
        <f aca="false">O2443</f>
        <v>Operator Reach Truck</v>
      </c>
      <c r="Z2443" s="13" t="str">
        <f aca="false">IFERROR(__xludf.dummyfunction("if(BJ2443="""","""",GOOGLETRANSLATE(BJ2443,""auto"",""en""))"),"Operator Reach Truck")</f>
        <v>Operator Reach Truck</v>
      </c>
      <c r="AA2443" s="23" t="str">
        <f aca="false">IF(C2443="","", CHOOSE(MONTH(C2443),"January","February","March","April","May","June","July","August","September","October","November","December")&amp;" "&amp;DAY(C2443)&amp;MID("thstndrdth",MIN(9,2*RIGHT(DAY(C2443))*(MOD(DAY(C2443)-11,100)&gt;2)+1),2)&amp;","&amp;TEXT(C2443," yyyy"))</f>
        <v>July 10th,2025</v>
      </c>
      <c r="AB2443" s="15" t="str">
        <f aca="true">IF(S2443="","",DATEDIF(S2443,TODAY(),"Y")&amp;" Tahun, "&amp;DATEDIF(S2443,TODAY(),"YM")&amp;" Bulan, "&amp;DATEDIF(S2443,TODAY(),"MD")&amp;" Hari")</f>
        <v>31 Tahun, 7 Bulan, 24 Hari</v>
      </c>
      <c r="AC2443" s="18" t="n">
        <v>45848</v>
      </c>
      <c r="AD2443" s="18" t="n">
        <v>46031</v>
      </c>
      <c r="AE2443" s="18" t="s">
        <v>44</v>
      </c>
    </row>
    <row r="2444" customFormat="false" ht="15" hidden="false" customHeight="true" outlineLevel="0" collapsed="false">
      <c r="A2444" s="12" t="n">
        <v>20079</v>
      </c>
      <c r="B2444" s="13" t="s">
        <v>10480</v>
      </c>
      <c r="C2444" s="16" t="n">
        <v>45850</v>
      </c>
      <c r="D2444" s="13" t="s">
        <v>56</v>
      </c>
      <c r="E2444" s="15" t="s">
        <v>47</v>
      </c>
      <c r="F2444" s="15" t="str">
        <f aca="false">IFERROR(__xludf.dummyfunction("XLOOKUP(AJ2444,IMPORTRANGE(""1XaInW9DU9nz21V0tYIfzFQ0He9kVQ_JF2mCXgZ3hqFA"",""REKAP ALL 2026 - Andika!G:G""),IMPORTRANGE(""1XaInW9DU9nz21V0tYIfzFQ0He9kVQ_JF2mCXgZ3hqFA"",""REKAP ALL 2026 - Andika!F:F""),"""",0)"),"25099858026")</f>
        <v>25099858026</v>
      </c>
      <c r="G2444" s="13" t="s">
        <v>57</v>
      </c>
      <c r="H2444" s="13" t="s">
        <v>35</v>
      </c>
      <c r="I2444" s="13" t="str">
        <f aca="false">IF(C2444=J2444,"NEW KONTRAK","RE-KONTRAK")</f>
        <v>NEW KONTRAK</v>
      </c>
      <c r="J2444" s="16" t="n">
        <f aca="false" t="array" ref="J2444:J2444">IFERROR(INDEX(AC2444:AE2444,IF(COUNTA(AC2444:AE2444)=0,"",MAX((AC2444:AE2444&lt;&gt;"")*(COLUMN(AC2444:AE2444)-(COLUMN(AC2444)))))-1),"")</f>
        <v>45850</v>
      </c>
      <c r="K2444" s="16" t="n">
        <f aca="false" t="array" ref="K2444:K2444">IFERROR(INDEX(AC2444:AE2444,IF(COUNTA(AC2444:AE2444)=0,"",MAX((AC2444:AE2444&lt;&gt;"")*(COLUMN(AC2444:AE2444)-(COLUMN(AC2444)-1))))-1),"")</f>
        <v>46022</v>
      </c>
      <c r="L2444" s="17" t="str">
        <f aca="false" t="array" ref="L2444:L2444">IFERROR(INDEX(AC2444:AE2444,IF(COUNTA(AC2444:AE2444)=0,"",MAX((AC2444:AE2444&lt;&gt;"")*(COLUMN(AC2444:AE2444)-(COLUMN(AC2444)-2))))-1),"")</f>
        <v>ARCHIVED</v>
      </c>
      <c r="M2444" s="13" t="n">
        <f aca="true">K2444-TODAY()</f>
        <v>-302</v>
      </c>
      <c r="N2444" s="18" t="s">
        <v>36</v>
      </c>
      <c r="O2444" s="13" t="s">
        <v>58</v>
      </c>
      <c r="P2444" s="19" t="n">
        <v>210000</v>
      </c>
      <c r="Q2444" s="20" t="s">
        <v>10481</v>
      </c>
      <c r="R2444" s="13" t="s">
        <v>148</v>
      </c>
      <c r="S2444" s="16" t="n">
        <v>33324</v>
      </c>
      <c r="T2444" s="13" t="s">
        <v>40</v>
      </c>
      <c r="U2444" s="13" t="s">
        <v>10482</v>
      </c>
      <c r="V2444" s="13" t="s">
        <v>42</v>
      </c>
      <c r="W2444" s="13" t="s">
        <v>54</v>
      </c>
      <c r="X2444" s="21" t="n">
        <v>85776712113</v>
      </c>
      <c r="Y2444" s="22" t="str">
        <f aca="false">O2444</f>
        <v>Produksi</v>
      </c>
      <c r="Z2444" s="13" t="str">
        <f aca="false">IFERROR(__xludf.dummyfunction("if(BJ2444="""","""",GOOGLETRANSLATE(BJ2444,""auto"",""en""))"),"Production")</f>
        <v>Production</v>
      </c>
      <c r="AA2444" s="23" t="str">
        <f aca="false">IF(C2444="","", CHOOSE(MONTH(C2444),"January","February","March","April","May","June","July","August","September","October","November","December")&amp;" "&amp;DAY(C2444)&amp;MID("thstndrdth",MIN(9,2*RIGHT(DAY(C2444))*(MOD(DAY(C2444)-11,100)&gt;2)+1),2)&amp;","&amp;TEXT(C2444," yyyy"))</f>
        <v>July 12th,2025</v>
      </c>
      <c r="AB2444" s="15" t="str">
        <f aca="true">IF(S2444="","",DATEDIF(S2444,TODAY(),"Y")&amp;" Tahun, "&amp;DATEDIF(S2444,TODAY(),"YM")&amp;" Bulan, "&amp;DATEDIF(S2444,TODAY(),"MD")&amp;" Hari")</f>
        <v>35 Tahun, 7 Bulan, 2 Hari</v>
      </c>
      <c r="AC2444" s="18" t="n">
        <v>45850</v>
      </c>
      <c r="AD2444" s="18" t="n">
        <v>46022</v>
      </c>
      <c r="AE2444" s="18" t="s">
        <v>44</v>
      </c>
    </row>
    <row r="2445" customFormat="false" ht="15" hidden="false" customHeight="true" outlineLevel="0" collapsed="false">
      <c r="A2445" s="12" t="n">
        <v>20080</v>
      </c>
      <c r="B2445" s="13" t="s">
        <v>10483</v>
      </c>
      <c r="C2445" s="16" t="n">
        <v>45845</v>
      </c>
      <c r="D2445" s="13" t="s">
        <v>10155</v>
      </c>
      <c r="E2445" s="15" t="s">
        <v>47</v>
      </c>
      <c r="F2445" s="15" t="str">
        <f aca="false">IFERROR(__xludf.dummyfunction("XLOOKUP(AJ2445,IMPORTRANGE(""1XaInW9DU9nz21V0tYIfzFQ0He9kVQ_JF2mCXgZ3hqFA"",""REKAP ALL 2026 - Andika!G:G""),IMPORTRANGE(""1XaInW9DU9nz21V0tYIfzFQ0He9kVQ_JF2mCXgZ3hqFA"",""REKAP ALL 2026 - Andika!F:F""),"""",0)"),"25099755867")</f>
        <v>25099755867</v>
      </c>
      <c r="G2445" s="13" t="s">
        <v>10484</v>
      </c>
      <c r="H2445" s="13" t="s">
        <v>35</v>
      </c>
      <c r="I2445" s="13" t="str">
        <f aca="false">IF(C2445=J2445,"NEW KONTRAK","RE-KONTRAK")</f>
        <v>NEW KONTRAK</v>
      </c>
      <c r="J2445" s="16" t="n">
        <f aca="false" t="array" ref="J2445:J2445">IFERROR(INDEX(AC2445:AE2445,IF(COUNTA(AC2445:AE2445)=0,"",MAX((AC2445:AE2445&lt;&gt;"")*(COLUMN(AC2445:AE2445)-(COLUMN(AC2445)))))-1),"")</f>
        <v>45845</v>
      </c>
      <c r="K2445" s="16" t="n">
        <f aca="false" t="array" ref="K2445:K2445">IFERROR(INDEX(AC2445:AE2445,IF(COUNTA(AC2445:AE2445)=0,"",MAX((AC2445:AE2445&lt;&gt;"")*(COLUMN(AC2445:AE2445)-(COLUMN(AC2445)-1))))-1),"")</f>
        <v>45936</v>
      </c>
      <c r="L2445" s="17" t="str">
        <f aca="false" t="array" ref="L2445:L2445">IFERROR(INDEX(AC2445:AE2445,IF(COUNTA(AC2445:AE2445)=0,"",MAX((AC2445:AE2445&lt;&gt;"")*(COLUMN(AC2445:AE2445)-(COLUMN(AC2445)-2))))-1),"")</f>
        <v>ARCHIVED</v>
      </c>
      <c r="M2445" s="13" t="n">
        <f aca="true">K2445-TODAY()</f>
        <v>-388</v>
      </c>
      <c r="N2445" s="18" t="s">
        <v>36</v>
      </c>
      <c r="O2445" s="13" t="s">
        <v>624</v>
      </c>
      <c r="P2445" s="27" t="n">
        <v>5176101</v>
      </c>
      <c r="Q2445" s="20" t="s">
        <v>10485</v>
      </c>
      <c r="R2445" s="13" t="s">
        <v>958</v>
      </c>
      <c r="S2445" s="16" t="n">
        <v>36758</v>
      </c>
      <c r="T2445" s="13" t="s">
        <v>40</v>
      </c>
      <c r="U2445" s="13" t="s">
        <v>10486</v>
      </c>
      <c r="V2445" s="13" t="s">
        <v>42</v>
      </c>
      <c r="W2445" s="13" t="s">
        <v>43</v>
      </c>
      <c r="X2445" s="21" t="n">
        <v>83846096845</v>
      </c>
      <c r="Y2445" s="22" t="str">
        <f aca="false">O2445</f>
        <v>Quality Control</v>
      </c>
      <c r="Z2445" s="13" t="str">
        <f aca="false">IFERROR(__xludf.dummyfunction("if(BJ2445="""","""",GOOGLETRANSLATE(BJ2445,""auto"",""en""))"),"Quality Control")</f>
        <v>Quality Control</v>
      </c>
      <c r="AA2445" s="23" t="str">
        <f aca="false">IF(C2445="","", CHOOSE(MONTH(C2445),"January","February","March","April","May","June","July","August","September","October","November","December")&amp;" "&amp;DAY(C2445)&amp;MID("thstndrdth",MIN(9,2*RIGHT(DAY(C2445))*(MOD(DAY(C2445)-11,100)&gt;2)+1),2)&amp;","&amp;TEXT(C2445," yyyy"))</f>
        <v>July 7th,2025</v>
      </c>
      <c r="AB2445" s="15" t="str">
        <f aca="true">IF(S2445="","",DATEDIF(S2445,TODAY(),"Y")&amp;" Tahun, "&amp;DATEDIF(S2445,TODAY(),"YM")&amp;" Bulan, "&amp;DATEDIF(S2445,TODAY(),"MD")&amp;" Hari")</f>
        <v>26 Tahun, 2 Bulan, 9 Hari</v>
      </c>
      <c r="AC2445" s="18" t="n">
        <v>45845</v>
      </c>
      <c r="AD2445" s="18" t="n">
        <v>45936</v>
      </c>
      <c r="AE2445" s="18" t="s">
        <v>44</v>
      </c>
    </row>
    <row r="2446" customFormat="false" ht="15" hidden="false" customHeight="true" outlineLevel="0" collapsed="false">
      <c r="A2446" s="12" t="n">
        <v>20085</v>
      </c>
      <c r="B2446" s="13" t="s">
        <v>10487</v>
      </c>
      <c r="C2446" s="16" t="n">
        <v>45843</v>
      </c>
      <c r="D2446" s="13" t="s">
        <v>6487</v>
      </c>
      <c r="E2446" s="15" t="s">
        <v>47</v>
      </c>
      <c r="F2446" s="15" t="str">
        <f aca="false">IFERROR(__xludf.dummyfunction("XLOOKUP(AJ2446,IMPORTRANGE(""1XaInW9DU9nz21V0tYIfzFQ0He9kVQ_JF2mCXgZ3hqFA"",""REKAP ALL 2026 - Andika!G:G""),IMPORTRANGE(""1XaInW9DU9nz21V0tYIfzFQ0He9kVQ_JF2mCXgZ3hqFA"",""REKAP ALL 2026 - Andika!F:F""),"""",0)"),"25099757129")</f>
        <v>25099757129</v>
      </c>
      <c r="G2446" s="13" t="s">
        <v>10488</v>
      </c>
      <c r="H2446" s="13" t="s">
        <v>35</v>
      </c>
      <c r="I2446" s="13" t="str">
        <f aca="false">IF(C2446=J2446,"NEW KONTRAK","RE-KONTRAK")</f>
        <v>NEW KONTRAK</v>
      </c>
      <c r="J2446" s="16" t="n">
        <f aca="false" t="array" ref="J2446:J2446">IFERROR(INDEX(AC2446:AE2446,IF(COUNTA(AC2446:AE2446)=0,"",MAX((AC2446:AE2446&lt;&gt;"")*(COLUMN(AC2446:AE2446)-(COLUMN(AC2446)))))-1),"")</f>
        <v>45843</v>
      </c>
      <c r="K2446" s="16" t="n">
        <f aca="false" t="array" ref="K2446:K2446">IFERROR(INDEX(AC2446:AE2446,IF(COUNTA(AC2446:AE2446)=0,"",MAX((AC2446:AE2446&lt;&gt;"")*(COLUMN(AC2446:AE2446)-(COLUMN(AC2446)-1))))-1),"")</f>
        <v>46022</v>
      </c>
      <c r="L2446" s="17" t="str">
        <f aca="false" t="array" ref="L2446:L2446">IFERROR(INDEX(AC2446:AE2446,IF(COUNTA(AC2446:AE2446)=0,"",MAX((AC2446:AE2446&lt;&gt;"")*(COLUMN(AC2446:AE2446)-(COLUMN(AC2446)-2))))-1),"")</f>
        <v>ARCHIVED</v>
      </c>
      <c r="M2446" s="13" t="n">
        <f aca="true">K2446-TODAY()</f>
        <v>-302</v>
      </c>
      <c r="N2446" s="18" t="s">
        <v>4735</v>
      </c>
      <c r="O2446" s="13" t="s">
        <v>3271</v>
      </c>
      <c r="P2446" s="19" t="n">
        <v>3802862</v>
      </c>
      <c r="Q2446" s="20" t="s">
        <v>10489</v>
      </c>
      <c r="R2446" s="13" t="s">
        <v>83</v>
      </c>
      <c r="S2446" s="16" t="n">
        <v>31708</v>
      </c>
      <c r="T2446" s="13" t="s">
        <v>40</v>
      </c>
      <c r="U2446" s="13" t="s">
        <v>10490</v>
      </c>
      <c r="V2446" s="13" t="s">
        <v>42</v>
      </c>
      <c r="W2446" s="13" t="s">
        <v>54</v>
      </c>
      <c r="X2446" s="21" t="n">
        <v>81344567855</v>
      </c>
      <c r="Y2446" s="22" t="str">
        <f aca="false">O2446</f>
        <v>Helper</v>
      </c>
      <c r="Z2446" s="13" t="str">
        <f aca="false">IFERROR(__xludf.dummyfunction("if(BJ2446="""","""",GOOGLETRANSLATE(BJ2446,""auto"",""en""))"),"Helper")</f>
        <v>Helper</v>
      </c>
      <c r="AA2446" s="23" t="str">
        <f aca="false">IF(C2446="","", CHOOSE(MONTH(C2446),"January","February","March","April","May","June","July","August","September","October","November","December")&amp;" "&amp;DAY(C2446)&amp;MID("thstndrdth",MIN(9,2*RIGHT(DAY(C2446))*(MOD(DAY(C2446)-11,100)&gt;2)+1),2)&amp;","&amp;TEXT(C2446," yyyy"))</f>
        <v>July 5th,2025</v>
      </c>
      <c r="AB2446" s="15" t="str">
        <f aca="true">IF(S2446="","",DATEDIF(S2446,TODAY(),"Y")&amp;" Tahun, "&amp;DATEDIF(S2446,TODAY(),"YM")&amp;" Bulan, "&amp;DATEDIF(S2446,TODAY(),"MD")&amp;" Hari")</f>
        <v>40 Tahun, 0 Bulan, 6 Hari</v>
      </c>
      <c r="AC2446" s="18" t="n">
        <v>45843</v>
      </c>
      <c r="AD2446" s="18" t="n">
        <v>46022</v>
      </c>
      <c r="AE2446" s="18" t="s">
        <v>44</v>
      </c>
    </row>
    <row r="2447" customFormat="false" ht="15" hidden="false" customHeight="true" outlineLevel="0" collapsed="false">
      <c r="A2447" s="12" t="n">
        <v>20086</v>
      </c>
      <c r="B2447" s="13" t="s">
        <v>10491</v>
      </c>
      <c r="C2447" s="16" t="n">
        <v>45843</v>
      </c>
      <c r="D2447" s="13" t="s">
        <v>6487</v>
      </c>
      <c r="E2447" s="15" t="s">
        <v>47</v>
      </c>
      <c r="F2447" s="15" t="str">
        <f aca="false">IFERROR(__xludf.dummyfunction("XLOOKUP(AJ2447,IMPORTRANGE(""1XaInW9DU9nz21V0tYIfzFQ0He9kVQ_JF2mCXgZ3hqFA"",""REKAP ALL 2026 - Andika!G:G""),IMPORTRANGE(""1XaInW9DU9nz21V0tYIfzFQ0He9kVQ_JF2mCXgZ3hqFA"",""REKAP ALL 2026 - Andika!F:F""),"""",0)"),"25099757111")</f>
        <v>25099757111</v>
      </c>
      <c r="G2447" s="13" t="s">
        <v>10492</v>
      </c>
      <c r="H2447" s="13" t="s">
        <v>35</v>
      </c>
      <c r="I2447" s="13" t="str">
        <f aca="false">IF(C2447=J2447,"NEW KONTRAK","RE-KONTRAK")</f>
        <v>NEW KONTRAK</v>
      </c>
      <c r="J2447" s="16" t="n">
        <f aca="false" t="array" ref="J2447:J2447">IFERROR(INDEX(AC2447:AE2447,IF(COUNTA(AC2447:AE2447)=0,"",MAX((AC2447:AE2447&lt;&gt;"")*(COLUMN(AC2447:AE2447)-(COLUMN(AC2447)))))-1),"")</f>
        <v>45843</v>
      </c>
      <c r="K2447" s="16" t="n">
        <f aca="false" t="array" ref="K2447:K2447">IFERROR(INDEX(AC2447:AE2447,IF(COUNTA(AC2447:AE2447)=0,"",MAX((AC2447:AE2447&lt;&gt;"")*(COLUMN(AC2447:AE2447)-(COLUMN(AC2447)-1))))-1),"")</f>
        <v>46022</v>
      </c>
      <c r="L2447" s="17" t="str">
        <f aca="false" t="array" ref="L2447:L2447">IFERROR(INDEX(AC2447:AE2447,IF(COUNTA(AC2447:AE2447)=0,"",MAX((AC2447:AE2447&lt;&gt;"")*(COLUMN(AC2447:AE2447)-(COLUMN(AC2447)-2))))-1),"")</f>
        <v>ARCHIVED</v>
      </c>
      <c r="M2447" s="13" t="n">
        <f aca="true">K2447-TODAY()</f>
        <v>-302</v>
      </c>
      <c r="N2447" s="18" t="s">
        <v>4735</v>
      </c>
      <c r="O2447" s="13" t="s">
        <v>3271</v>
      </c>
      <c r="P2447" s="19" t="n">
        <v>3802862</v>
      </c>
      <c r="Q2447" s="20" t="s">
        <v>10493</v>
      </c>
      <c r="R2447" s="13" t="s">
        <v>83</v>
      </c>
      <c r="S2447" s="16" t="n">
        <v>34671</v>
      </c>
      <c r="T2447" s="13" t="s">
        <v>40</v>
      </c>
      <c r="U2447" s="13" t="s">
        <v>10494</v>
      </c>
      <c r="V2447" s="13" t="s">
        <v>42</v>
      </c>
      <c r="W2447" s="13" t="s">
        <v>43</v>
      </c>
      <c r="X2447" s="21" t="n">
        <v>81336446595</v>
      </c>
      <c r="Y2447" s="22" t="str">
        <f aca="false">O2447</f>
        <v>Helper</v>
      </c>
      <c r="Z2447" s="13" t="str">
        <f aca="false">IFERROR(__xludf.dummyfunction("if(BJ2447="""","""",GOOGLETRANSLATE(BJ2447,""auto"",""en""))"),"Helper")</f>
        <v>Helper</v>
      </c>
      <c r="AA2447" s="23" t="str">
        <f aca="false">IF(C2447="","", CHOOSE(MONTH(C2447),"January","February","March","April","May","June","July","August","September","October","November","December")&amp;" "&amp;DAY(C2447)&amp;MID("thstndrdth",MIN(9,2*RIGHT(DAY(C2447))*(MOD(DAY(C2447)-11,100)&gt;2)+1),2)&amp;","&amp;TEXT(C2447," yyyy"))</f>
        <v>July 5th,2025</v>
      </c>
      <c r="AB2447" s="15" t="str">
        <f aca="true">IF(S2447="","",DATEDIF(S2447,TODAY(),"Y")&amp;" Tahun, "&amp;DATEDIF(S2447,TODAY(),"YM")&amp;" Bulan, "&amp;DATEDIF(S2447,TODAY(),"MD")&amp;" Hari")</f>
        <v>31 Tahun, 10 Bulan, 26 Hari</v>
      </c>
      <c r="AC2447" s="18" t="n">
        <v>45843</v>
      </c>
      <c r="AD2447" s="18" t="n">
        <v>46022</v>
      </c>
      <c r="AE2447" s="18" t="s">
        <v>44</v>
      </c>
    </row>
    <row r="2448" customFormat="false" ht="15" hidden="false" customHeight="true" outlineLevel="0" collapsed="false">
      <c r="A2448" s="12" t="n">
        <v>20087</v>
      </c>
      <c r="B2448" s="13" t="s">
        <v>10495</v>
      </c>
      <c r="C2448" s="16" t="n">
        <v>45852</v>
      </c>
      <c r="D2448" s="13" t="s">
        <v>144</v>
      </c>
      <c r="E2448" s="15" t="s">
        <v>47</v>
      </c>
      <c r="F2448" s="15" t="str">
        <f aca="false">IFERROR(__xludf.dummyfunction("XLOOKUP(AJ2448,IMPORTRANGE(""1XaInW9DU9nz21V0tYIfzFQ0He9kVQ_JF2mCXgZ3hqFA"",""REKAP ALL 2026 - Andika!G:G""),IMPORTRANGE(""1XaInW9DU9nz21V0tYIfzFQ0He9kVQ_JF2mCXgZ3hqFA"",""REKAP ALL 2026 - Andika!F:F""),"""",0)"),"25099756964")</f>
        <v>25099756964</v>
      </c>
      <c r="G2448" s="13" t="s">
        <v>10496</v>
      </c>
      <c r="H2448" s="13" t="s">
        <v>35</v>
      </c>
      <c r="I2448" s="13" t="str">
        <f aca="false">IF(C2448=J2448,"NEW KONTRAK","RE-KONTRAK")</f>
        <v>NEW KONTRAK</v>
      </c>
      <c r="J2448" s="16" t="n">
        <f aca="false" t="array" ref="J2448:J2448">IFERROR(INDEX(AC2448:AE2448,IF(COUNTA(AC2448:AE2448)=0,"",MAX((AC2448:AE2448&lt;&gt;"")*(COLUMN(AC2448:AE2448)-(COLUMN(AC2448)))))-1),"")</f>
        <v>45852</v>
      </c>
      <c r="K2448" s="16" t="n">
        <f aca="false" t="array" ref="K2448:K2448">IFERROR(INDEX(AC2448:AE2448,IF(COUNTA(AC2448:AE2448)=0,"",MAX((AC2448:AE2448&lt;&gt;"")*(COLUMN(AC2448:AE2448)-(COLUMN(AC2448)-1))))-1),"")</f>
        <v>46022</v>
      </c>
      <c r="L2448" s="17" t="str">
        <f aca="false" t="array" ref="L2448:L2448">IFERROR(INDEX(AC2448:AE2448,IF(COUNTA(AC2448:AE2448)=0,"",MAX((AC2448:AE2448&lt;&gt;"")*(COLUMN(AC2448:AE2448)-(COLUMN(AC2448)-2))))-1),"")</f>
        <v>ARCHIVED</v>
      </c>
      <c r="M2448" s="13" t="n">
        <f aca="true">K2448-TODAY()</f>
        <v>-302</v>
      </c>
      <c r="N2448" s="18" t="s">
        <v>36</v>
      </c>
      <c r="O2448" s="13" t="s">
        <v>10497</v>
      </c>
      <c r="P2448" s="19" t="n">
        <v>5195401</v>
      </c>
      <c r="Q2448" s="20" t="s">
        <v>10498</v>
      </c>
      <c r="R2448" s="13" t="s">
        <v>52</v>
      </c>
      <c r="S2448" s="16" t="n">
        <v>37625</v>
      </c>
      <c r="T2448" s="13" t="s">
        <v>108</v>
      </c>
      <c r="U2448" s="13" t="s">
        <v>10499</v>
      </c>
      <c r="V2448" s="13" t="s">
        <v>42</v>
      </c>
      <c r="W2448" s="13" t="s">
        <v>43</v>
      </c>
      <c r="X2448" s="21" t="n">
        <v>895396037251</v>
      </c>
      <c r="Y2448" s="22" t="str">
        <f aca="false">O2448</f>
        <v>Finance</v>
      </c>
      <c r="Z2448" s="13" t="str">
        <f aca="false">IFERROR(__xludf.dummyfunction("if(BJ2448="""","""",GOOGLETRANSLATE(BJ2448,""auto"",""en""))"),"Finance")</f>
        <v>Finance</v>
      </c>
      <c r="AA2448" s="23" t="str">
        <f aca="false">IF(C2448="","", CHOOSE(MONTH(C2448),"January","February","March","April","May","June","July","August","September","October","November","December")&amp;" "&amp;DAY(C2448)&amp;MID("thstndrdth",MIN(9,2*RIGHT(DAY(C2448))*(MOD(DAY(C2448)-11,100)&gt;2)+1),2)&amp;","&amp;TEXT(C2448," yyyy"))</f>
        <v>July 14th,2025</v>
      </c>
      <c r="AB2448" s="15" t="str">
        <f aca="true">IF(S2448="","",DATEDIF(S2448,TODAY(),"Y")&amp;" Tahun, "&amp;DATEDIF(S2448,TODAY(),"YM")&amp;" Bulan, "&amp;DATEDIF(S2448,TODAY(),"MD")&amp;" Hari")</f>
        <v>23 Tahun, 9 Bulan, 25 Hari</v>
      </c>
      <c r="AC2448" s="18" t="n">
        <v>45852</v>
      </c>
      <c r="AD2448" s="18" t="n">
        <v>46022</v>
      </c>
      <c r="AE2448" s="18" t="s">
        <v>44</v>
      </c>
    </row>
    <row r="2449" customFormat="false" ht="15" hidden="false" customHeight="true" outlineLevel="0" collapsed="false">
      <c r="A2449" s="12" t="n">
        <v>20288</v>
      </c>
      <c r="B2449" s="13" t="s">
        <v>10500</v>
      </c>
      <c r="C2449" s="16" t="n">
        <v>45854</v>
      </c>
      <c r="D2449" s="13" t="s">
        <v>2033</v>
      </c>
      <c r="E2449" s="15" t="s">
        <v>47</v>
      </c>
      <c r="F2449" s="15" t="str">
        <f aca="false">IFERROR(__xludf.dummyfunction("XLOOKUP(AJ2449,IMPORTRANGE(""1XaInW9DU9nz21V0tYIfzFQ0He9kVQ_JF2mCXgZ3hqFA"",""REKAP ALL 2026 - Andika!G:G""),IMPORTRANGE(""1XaInW9DU9nz21V0tYIfzFQ0He9kVQ_JF2mCXgZ3hqFA"",""REKAP ALL 2026 - Andika!F:F""),"""",0)"),"25115948330")</f>
        <v>25115948330</v>
      </c>
      <c r="G2449" s="13" t="s">
        <v>10501</v>
      </c>
      <c r="H2449" s="13" t="s">
        <v>2035</v>
      </c>
      <c r="I2449" s="13" t="str">
        <f aca="false">IF(C2449=J2449,"NEW KONTRAK","RE-KONTRAK")</f>
        <v>NEW KONTRAK</v>
      </c>
      <c r="J2449" s="16" t="n">
        <f aca="false" t="array" ref="J2449:J2449">IFERROR(INDEX(AC2449:AE2449,IF(COUNTA(AC2449:AE2449)=0,"",MAX((AC2449:AE2449&lt;&gt;"")*(COLUMN(AC2449:AE2449)-(COLUMN(AC2449)))))-1),"")</f>
        <v>45854</v>
      </c>
      <c r="K2449" s="16" t="n">
        <f aca="false" t="array" ref="K2449:K2449">IFERROR(INDEX(AC2449:AE2449,IF(COUNTA(AC2449:AE2449)=0,"",MAX((AC2449:AE2449&lt;&gt;"")*(COLUMN(AC2449:AE2449)-(COLUMN(AC2449)-1))))-1),"")</f>
        <v>45914</v>
      </c>
      <c r="L2449" s="17" t="str">
        <f aca="false" t="array" ref="L2449:L2449">IFERROR(INDEX(AC2449:AE2449,IF(COUNTA(AC2449:AE2449)=0,"",MAX((AC2449:AE2449&lt;&gt;"")*(COLUMN(AC2449:AE2449)-(COLUMN(AC2449)-2))))-1),"")</f>
        <v>ARCHIVED</v>
      </c>
      <c r="M2449" s="13" t="n">
        <f aca="true">K2449-TODAY()</f>
        <v>-410</v>
      </c>
      <c r="N2449" s="68" t="s">
        <v>2363</v>
      </c>
      <c r="O2449" s="13" t="s">
        <v>2037</v>
      </c>
      <c r="P2449" s="19" t="n">
        <v>4335198</v>
      </c>
      <c r="Q2449" s="20" t="s">
        <v>10502</v>
      </c>
      <c r="R2449" s="13" t="s">
        <v>10503</v>
      </c>
      <c r="S2449" s="16" t="n">
        <v>37348</v>
      </c>
      <c r="T2449" s="13" t="s">
        <v>108</v>
      </c>
      <c r="U2449" s="13" t="s">
        <v>10504</v>
      </c>
      <c r="V2449" s="13" t="s">
        <v>42</v>
      </c>
      <c r="W2449" s="13" t="s">
        <v>43</v>
      </c>
      <c r="X2449" s="21" t="n">
        <v>82283696962</v>
      </c>
      <c r="Y2449" s="22" t="str">
        <f aca="false">O2449</f>
        <v>SPG/BA</v>
      </c>
      <c r="Z2449" s="13" t="str">
        <f aca="false">IFERROR(__xludf.dummyfunction("if(BJ2449="""","""",GOOGLETRANSLATE(BJ2449,""auto"",""en""))"),"SPG/BA")</f>
        <v>SPG/BA</v>
      </c>
      <c r="AA2449" s="23" t="str">
        <f aca="false">IF(C2449="","", CHOOSE(MONTH(C2449),"January","February","March","April","May","June","July","August","September","October","November","December")&amp;" "&amp;DAY(C2449)&amp;MID("thstndrdth",MIN(9,2*RIGHT(DAY(C2449))*(MOD(DAY(C2449)-11,100)&gt;2)+1),2)&amp;","&amp;TEXT(C2449," yyyy"))</f>
        <v>July 16th,2025</v>
      </c>
      <c r="AB2449" s="15" t="str">
        <f aca="true">IF(S2449="","",DATEDIF(S2449,TODAY(),"Y")&amp;" Tahun, "&amp;DATEDIF(S2449,TODAY(),"YM")&amp;" Bulan, "&amp;DATEDIF(S2449,TODAY(),"MD")&amp;" Hari")</f>
        <v>24 Tahun, 6 Bulan, 27 Hari</v>
      </c>
      <c r="AC2449" s="18" t="n">
        <v>45854</v>
      </c>
      <c r="AD2449" s="18" t="n">
        <v>45914</v>
      </c>
      <c r="AE2449" s="18" t="s">
        <v>44</v>
      </c>
    </row>
    <row r="2450" customFormat="false" ht="15" hidden="false" customHeight="true" outlineLevel="0" collapsed="false">
      <c r="A2450" s="12" t="n">
        <v>20089</v>
      </c>
      <c r="B2450" s="13" t="s">
        <v>10505</v>
      </c>
      <c r="C2450" s="16" t="n">
        <v>45839</v>
      </c>
      <c r="D2450" s="13" t="s">
        <v>2033</v>
      </c>
      <c r="E2450" s="15" t="s">
        <v>33</v>
      </c>
      <c r="F2450" s="24" t="s">
        <v>10506</v>
      </c>
      <c r="G2450" s="13" t="s">
        <v>10507</v>
      </c>
      <c r="H2450" s="13" t="s">
        <v>2035</v>
      </c>
      <c r="I2450" s="13" t="str">
        <f aca="false">IF(C2450=J2450,"NEW KONTRAK","RE-KONTRAK")</f>
        <v>NEW KONTRAK</v>
      </c>
      <c r="J2450" s="16" t="n">
        <f aca="false" t="array" ref="J2450:J2450">IFERROR(INDEX(AC2450:AE2450,IF(COUNTA(AC2450:AE2450)=0,"",MAX((AC2450:AE2450&lt;&gt;"")*(COLUMN(AC2450:AE2450)-(COLUMN(AC2450)))))-1),"")</f>
        <v>45839</v>
      </c>
      <c r="K2450" s="16" t="n">
        <f aca="false" t="array" ref="K2450:K2450">IFERROR(INDEX(AC2450:AE2450,IF(COUNTA(AC2450:AE2450)=0,"",MAX((AC2450:AE2450&lt;&gt;"")*(COLUMN(AC2450:AE2450)-(COLUMN(AC2450)-1))))-1),"")</f>
        <v>45915</v>
      </c>
      <c r="L2450" s="17" t="str">
        <f aca="false" t="array" ref="L2450:L2450">IFERROR(INDEX(AC2450:AE2450,IF(COUNTA(AC2450:AE2450)=0,"",MAX((AC2450:AE2450&lt;&gt;"")*(COLUMN(AC2450:AE2450)-(COLUMN(AC2450)-2))))-1),"")</f>
        <v>ARCHIVED</v>
      </c>
      <c r="M2450" s="13" t="n">
        <f aca="true">K2450-TODAY()</f>
        <v>-409</v>
      </c>
      <c r="N2450" s="18" t="s">
        <v>10508</v>
      </c>
      <c r="O2450" s="13" t="s">
        <v>2037</v>
      </c>
      <c r="P2450" s="19" t="n">
        <v>141373.52</v>
      </c>
      <c r="Q2450" s="20" t="s">
        <v>10509</v>
      </c>
      <c r="R2450" s="13" t="s">
        <v>735</v>
      </c>
      <c r="S2450" s="16" t="n">
        <v>36563</v>
      </c>
      <c r="T2450" s="13" t="s">
        <v>108</v>
      </c>
      <c r="U2450" s="13" t="s">
        <v>10510</v>
      </c>
      <c r="V2450" s="13" t="s">
        <v>42</v>
      </c>
      <c r="W2450" s="13" t="s">
        <v>43</v>
      </c>
      <c r="X2450" s="21" t="n">
        <v>85655858390</v>
      </c>
      <c r="Y2450" s="22" t="str">
        <f aca="false">O2450</f>
        <v>SPG/BA</v>
      </c>
      <c r="Z2450" s="13" t="str">
        <f aca="false">IFERROR(__xludf.dummyfunction("if(BJ2450="""","""",GOOGLETRANSLATE(BJ2450,""auto"",""en""))"),"SPG/BA")</f>
        <v>SPG/BA</v>
      </c>
      <c r="AA2450" s="23" t="str">
        <f aca="false">IF(C2450="","", CHOOSE(MONTH(C2450),"January","February","March","April","May","June","July","August","September","October","November","December")&amp;" "&amp;DAY(C2450)&amp;MID("thstndrdth",MIN(9,2*RIGHT(DAY(C2450))*(MOD(DAY(C2450)-11,100)&gt;2)+1),2)&amp;","&amp;TEXT(C2450," yyyy"))</f>
        <v>July 1st,2025</v>
      </c>
      <c r="AB2450" s="15" t="str">
        <f aca="true">IF(S2450="","",DATEDIF(S2450,TODAY(),"Y")&amp;" Tahun, "&amp;DATEDIF(S2450,TODAY(),"YM")&amp;" Bulan, "&amp;DATEDIF(S2450,TODAY(),"MD")&amp;" Hari")</f>
        <v>26 Tahun, 8 Bulan, 22 Hari</v>
      </c>
      <c r="AC2450" s="18" t="n">
        <v>45839</v>
      </c>
      <c r="AD2450" s="18" t="n">
        <v>45915</v>
      </c>
      <c r="AE2450" s="18" t="s">
        <v>44</v>
      </c>
    </row>
    <row r="2451" customFormat="false" ht="15" hidden="false" customHeight="true" outlineLevel="0" collapsed="false">
      <c r="A2451" s="12" t="n">
        <v>21537</v>
      </c>
      <c r="B2451" s="13" t="s">
        <v>10511</v>
      </c>
      <c r="C2451" s="16" t="n">
        <v>45992</v>
      </c>
      <c r="D2451" s="13" t="s">
        <v>2033</v>
      </c>
      <c r="E2451" s="15" t="s">
        <v>47</v>
      </c>
      <c r="F2451" s="15" t="str">
        <f aca="false">IFERROR(__xludf.dummyfunction("XLOOKUP(AJ2451,IMPORTRANGE(""1XaInW9DU9nz21V0tYIfzFQ0He9kVQ_JF2mCXgZ3hqFA"",""REKAP ALL 2026 - Andika!G:G""),IMPORTRANGE(""1XaInW9DU9nz21V0tYIfzFQ0He9kVQ_JF2mCXgZ3hqFA"",""REKAP ALL 2026 - Andika!F:F""),"""",0)"),"26005755801")</f>
        <v>26005755801</v>
      </c>
      <c r="G2451" s="13" t="s">
        <v>1127</v>
      </c>
      <c r="H2451" s="13" t="s">
        <v>35</v>
      </c>
      <c r="I2451" s="13" t="str">
        <f aca="false">IF(C2451=J2451,"NEW KONTRAK","RE-KONTRAK")</f>
        <v>NEW KONTRAK</v>
      </c>
      <c r="J2451" s="16" t="n">
        <f aca="false" t="array" ref="J2451:J2451">IFERROR(INDEX(AC2451:AE2451,IF(COUNTA(AC2451:AE2451)=0,"",MAX((AC2451:AE2451&lt;&gt;"")*(COLUMN(AC2451:AE2451)-(COLUMN(AC2451)))))-1),"")</f>
        <v>45992</v>
      </c>
      <c r="K2451" s="16" t="n">
        <f aca="false" t="array" ref="K2451:K2451">IFERROR(INDEX(AC2451:AE2451,IF(COUNTA(AC2451:AE2451)=0,"",MAX((AC2451:AE2451&lt;&gt;"")*(COLUMN(AC2451:AE2451)-(COLUMN(AC2451)-1))))-1),"")</f>
        <v>46022</v>
      </c>
      <c r="L2451" s="17" t="str">
        <f aca="false" t="array" ref="L2451:L2451">IFERROR(INDEX(AC2451:AE2451,IF(COUNTA(AC2451:AE2451)=0,"",MAX((AC2451:AE2451&lt;&gt;"")*(COLUMN(AC2451:AE2451)-(COLUMN(AC2451)-2))))-1),"")</f>
        <v>KEMBALI</v>
      </c>
      <c r="M2451" s="13" t="n">
        <f aca="true">K2451-TODAY()</f>
        <v>-302</v>
      </c>
      <c r="N2451" s="18" t="s">
        <v>2363</v>
      </c>
      <c r="O2451" s="13" t="s">
        <v>5017</v>
      </c>
      <c r="P2451" s="19" t="n">
        <v>4335198</v>
      </c>
      <c r="Q2451" s="47" t="s">
        <v>10512</v>
      </c>
      <c r="R2451" s="13" t="s">
        <v>2421</v>
      </c>
      <c r="S2451" s="16" t="n">
        <v>35629</v>
      </c>
      <c r="T2451" s="13" t="s">
        <v>108</v>
      </c>
      <c r="U2451" s="13" t="s">
        <v>10513</v>
      </c>
      <c r="V2451" s="13" t="s">
        <v>42</v>
      </c>
      <c r="W2451" s="13" t="s">
        <v>54</v>
      </c>
      <c r="X2451" s="21" t="n">
        <v>85355111242</v>
      </c>
      <c r="Y2451" s="22" t="str">
        <f aca="false">O2451</f>
        <v>Sales</v>
      </c>
      <c r="Z2451" s="13" t="str">
        <f aca="false">IFERROR(__xludf.dummyfunction("if(BJ2451="""","""",GOOGLETRANSLATE(BJ2451,""auto"",""en""))"),"Sales")</f>
        <v>Sales</v>
      </c>
      <c r="AA2451" s="23" t="str">
        <f aca="false">IF(C2451="","", CHOOSE(MONTH(C2451),"January","February","March","April","May","June","July","August","September","October","November","December")&amp;" "&amp;DAY(C2451)&amp;MID("thstndrdth",MIN(9,2*RIGHT(DAY(C2451))*(MOD(DAY(C2451)-11,100)&gt;2)+1),2)&amp;","&amp;TEXT(C2451," yyyy"))</f>
        <v>December 1st,2025</v>
      </c>
      <c r="AB2451" s="15" t="str">
        <f aca="true">IF(S2451="","",DATEDIF(S2451,TODAY(),"Y")&amp;" Tahun, "&amp;DATEDIF(S2451,TODAY(),"YM")&amp;" Bulan, "&amp;DATEDIF(S2451,TODAY(),"MD")&amp;" Hari")</f>
        <v>29 Tahun, 3 Bulan, 11 Hari</v>
      </c>
      <c r="AC2451" s="18" t="n">
        <v>45992</v>
      </c>
      <c r="AD2451" s="18" t="n">
        <v>46022</v>
      </c>
      <c r="AE2451" s="13" t="s">
        <v>397</v>
      </c>
    </row>
    <row r="2452" customFormat="false" ht="15" hidden="false" customHeight="true" outlineLevel="0" collapsed="false">
      <c r="A2452" s="12" t="n">
        <v>20091</v>
      </c>
      <c r="B2452" s="13" t="s">
        <v>10514</v>
      </c>
      <c r="C2452" s="16" t="n">
        <v>45834</v>
      </c>
      <c r="D2452" s="13" t="s">
        <v>2033</v>
      </c>
      <c r="E2452" s="15" t="s">
        <v>33</v>
      </c>
      <c r="F2452" s="24" t="s">
        <v>10515</v>
      </c>
      <c r="G2452" s="13" t="s">
        <v>10516</v>
      </c>
      <c r="H2452" s="13" t="s">
        <v>2035</v>
      </c>
      <c r="I2452" s="13" t="str">
        <f aca="false">IF(C2452=J2452,"NEW KONTRAK","RE-KONTRAK")</f>
        <v>NEW KONTRAK</v>
      </c>
      <c r="J2452" s="16" t="n">
        <f aca="false" t="array" ref="J2452:J2452">IFERROR(INDEX(AC2452:AE2452,IF(COUNTA(AC2452:AE2452)=0,"",MAX((AC2452:AE2452&lt;&gt;"")*(COLUMN(AC2452:AE2452)-(COLUMN(AC2452)))))-1),"")</f>
        <v>45834</v>
      </c>
      <c r="K2452" s="16" t="n">
        <f aca="false" t="array" ref="K2452:K2452">IFERROR(INDEX(AC2452:AE2452,IF(COUNTA(AC2452:AE2452)=0,"",MAX((AC2452:AE2452&lt;&gt;"")*(COLUMN(AC2452:AE2452)-(COLUMN(AC2452)-1))))-1),"")</f>
        <v>45915</v>
      </c>
      <c r="L2452" s="17" t="str">
        <f aca="false" t="array" ref="L2452:L2452">IFERROR(INDEX(AC2452:AE2452,IF(COUNTA(AC2452:AE2452)=0,"",MAX((AC2452:AE2452&lt;&gt;"")*(COLUMN(AC2452:AE2452)-(COLUMN(AC2452)-2))))-1),"")</f>
        <v>ARCHIVED</v>
      </c>
      <c r="M2452" s="13" t="n">
        <f aca="true">K2452-TODAY()</f>
        <v>-409</v>
      </c>
      <c r="N2452" s="50" t="s">
        <v>4557</v>
      </c>
      <c r="O2452" s="13" t="s">
        <v>2037</v>
      </c>
      <c r="P2452" s="19" t="n">
        <v>3454827</v>
      </c>
      <c r="Q2452" s="20" t="s">
        <v>10517</v>
      </c>
      <c r="R2452" s="13" t="s">
        <v>6291</v>
      </c>
      <c r="S2452" s="16" t="n">
        <v>37437</v>
      </c>
      <c r="T2452" s="13" t="s">
        <v>108</v>
      </c>
      <c r="U2452" s="13" t="s">
        <v>10518</v>
      </c>
      <c r="V2452" s="13" t="s">
        <v>42</v>
      </c>
      <c r="W2452" s="13" t="s">
        <v>43</v>
      </c>
      <c r="X2452" s="21" t="n">
        <v>882007133239</v>
      </c>
      <c r="Y2452" s="22" t="str">
        <f aca="false">O2452</f>
        <v>SPG/BA</v>
      </c>
      <c r="Z2452" s="13" t="str">
        <f aca="false">IFERROR(__xludf.dummyfunction("if(BJ2452="""","""",GOOGLETRANSLATE(BJ2452,""auto"",""en""))"),"SPG/BA")</f>
        <v>SPG/BA</v>
      </c>
      <c r="AA2452" s="23" t="str">
        <f aca="false">IF(C2452="","", CHOOSE(MONTH(C2452),"January","February","March","April","May","June","July","August","September","October","November","December")&amp;" "&amp;DAY(C2452)&amp;MID("thstndrdth",MIN(9,2*RIGHT(DAY(C2452))*(MOD(DAY(C2452)-11,100)&gt;2)+1),2)&amp;","&amp;TEXT(C2452," yyyy"))</f>
        <v>June 26th,2025</v>
      </c>
      <c r="AB2452" s="15" t="str">
        <f aca="true">IF(S2452="","",DATEDIF(S2452,TODAY(),"Y")&amp;" Tahun, "&amp;DATEDIF(S2452,TODAY(),"YM")&amp;" Bulan, "&amp;DATEDIF(S2452,TODAY(),"MD")&amp;" Hari")</f>
        <v>24 Tahun, 3 Bulan, 29 Hari</v>
      </c>
      <c r="AC2452" s="18" t="n">
        <v>45834</v>
      </c>
      <c r="AD2452" s="18" t="n">
        <v>45915</v>
      </c>
      <c r="AE2452" s="18" t="s">
        <v>44</v>
      </c>
    </row>
    <row r="2453" customFormat="false" ht="15" hidden="false" customHeight="true" outlineLevel="0" collapsed="false">
      <c r="A2453" s="12" t="n">
        <v>20092</v>
      </c>
      <c r="B2453" s="13" t="s">
        <v>10519</v>
      </c>
      <c r="C2453" s="16" t="n">
        <v>45837</v>
      </c>
      <c r="D2453" s="13" t="s">
        <v>2033</v>
      </c>
      <c r="E2453" s="15" t="s">
        <v>102</v>
      </c>
      <c r="F2453" s="24" t="s">
        <v>10520</v>
      </c>
      <c r="G2453" s="13" t="s">
        <v>10521</v>
      </c>
      <c r="H2453" s="13" t="s">
        <v>2035</v>
      </c>
      <c r="I2453" s="13" t="str">
        <f aca="false">IF(C2453=J2453,"NEW KONTRAK","RE-KONTRAK")</f>
        <v>NEW KONTRAK</v>
      </c>
      <c r="J2453" s="16" t="n">
        <f aca="false" t="array" ref="J2453:J2453">IFERROR(INDEX(AC2453:AE2453,IF(COUNTA(AC2453:AE2453)=0,"",MAX((AC2453:AE2453&lt;&gt;"")*(COLUMN(AC2453:AE2453)-(COLUMN(AC2453)))))-1),"")</f>
        <v>45837</v>
      </c>
      <c r="K2453" s="16" t="n">
        <f aca="false" t="array" ref="K2453:K2453">IFERROR(INDEX(AC2453:AE2453,IF(COUNTA(AC2453:AE2453)=0,"",MAX((AC2453:AE2453&lt;&gt;"")*(COLUMN(AC2453:AE2453)-(COLUMN(AC2453)-1))))-1),"")</f>
        <v>45915</v>
      </c>
      <c r="L2453" s="17" t="str">
        <f aca="false" t="array" ref="L2453:L2453">IFERROR(INDEX(AC2453:AE2453,IF(COUNTA(AC2453:AE2453)=0,"",MAX((AC2453:AE2453&lt;&gt;"")*(COLUMN(AC2453:AE2453)-(COLUMN(AC2453)-2))))-1),"")</f>
        <v>ARCHIVED</v>
      </c>
      <c r="M2453" s="13" t="n">
        <f aca="true">K2453-TODAY()</f>
        <v>-409</v>
      </c>
      <c r="N2453" s="18" t="s">
        <v>4498</v>
      </c>
      <c r="O2453" s="13" t="s">
        <v>2037</v>
      </c>
      <c r="P2453" s="19" t="n">
        <v>2545138</v>
      </c>
      <c r="Q2453" s="20" t="s">
        <v>10522</v>
      </c>
      <c r="R2453" s="13" t="s">
        <v>4498</v>
      </c>
      <c r="S2453" s="16" t="n">
        <v>35479</v>
      </c>
      <c r="T2453" s="13" t="s">
        <v>108</v>
      </c>
      <c r="U2453" s="13" t="s">
        <v>10523</v>
      </c>
      <c r="V2453" s="13" t="s">
        <v>42</v>
      </c>
      <c r="W2453" s="13" t="s">
        <v>54</v>
      </c>
      <c r="X2453" s="21" t="n">
        <v>8813802993</v>
      </c>
      <c r="Y2453" s="22" t="str">
        <f aca="false">O2453</f>
        <v>SPG/BA</v>
      </c>
      <c r="Z2453" s="13" t="str">
        <f aca="false">IFERROR(__xludf.dummyfunction("if(BJ2453="""","""",GOOGLETRANSLATE(BJ2453,""auto"",""en""))"),"SPG/BA")</f>
        <v>SPG/BA</v>
      </c>
      <c r="AA2453" s="23" t="str">
        <f aca="false">IF(C2453="","", CHOOSE(MONTH(C2453),"January","February","March","April","May","June","July","August","September","October","November","December")&amp;" "&amp;DAY(C2453)&amp;MID("thstndrdth",MIN(9,2*RIGHT(DAY(C2453))*(MOD(DAY(C2453)-11,100)&gt;2)+1),2)&amp;","&amp;TEXT(C2453," yyyy"))</f>
        <v>June 29th,2025</v>
      </c>
      <c r="AB2453" s="15" t="str">
        <f aca="true">IF(S2453="","",DATEDIF(S2453,TODAY(),"Y")&amp;" Tahun, "&amp;DATEDIF(S2453,TODAY(),"YM")&amp;" Bulan, "&amp;DATEDIF(S2453,TODAY(),"MD")&amp;" Hari")</f>
        <v>29 Tahun, 8 Bulan, 11 Hari</v>
      </c>
      <c r="AC2453" s="18" t="n">
        <v>45837</v>
      </c>
      <c r="AD2453" s="18" t="n">
        <v>45915</v>
      </c>
      <c r="AE2453" s="18" t="s">
        <v>44</v>
      </c>
    </row>
    <row r="2454" customFormat="false" ht="15" hidden="false" customHeight="true" outlineLevel="0" collapsed="false">
      <c r="A2454" s="12" t="n">
        <v>20093</v>
      </c>
      <c r="B2454" s="13" t="s">
        <v>10524</v>
      </c>
      <c r="C2454" s="16" t="n">
        <v>45831</v>
      </c>
      <c r="D2454" s="13" t="s">
        <v>2033</v>
      </c>
      <c r="E2454" s="15" t="s">
        <v>102</v>
      </c>
      <c r="F2454" s="15" t="str">
        <f aca="false">IFERROR(__xludf.dummyfunction("XLOOKUP(AJ2454,IMPORTRANGE(""1XaInW9DU9nz21V0tYIfzFQ0He9kVQ_JF2mCXgZ3hqFA"",""REKAP ALL 2026 - Andika!G:G""),IMPORTRANGE(""1XaInW9DU9nz21V0tYIfzFQ0He9kVQ_JF2mCXgZ3hqFA"",""REKAP ALL 2026 - Andika!F:F""),"""",0)"),"25099754803")</f>
        <v>25099754803</v>
      </c>
      <c r="G2454" s="13" t="s">
        <v>10525</v>
      </c>
      <c r="H2454" s="13" t="s">
        <v>2035</v>
      </c>
      <c r="I2454" s="13" t="str">
        <f aca="false">IF(C2454=J2454,"NEW KONTRAK","RE-KONTRAK")</f>
        <v>NEW KONTRAK</v>
      </c>
      <c r="J2454" s="16" t="n">
        <f aca="false" t="array" ref="J2454:J2454">IFERROR(INDEX(AC2454:AE2454,IF(COUNTA(AC2454:AE2454)=0,"",MAX((AC2454:AE2454&lt;&gt;"")*(COLUMN(AC2454:AE2454)-(COLUMN(AC2454)))))-1),"")</f>
        <v>45831</v>
      </c>
      <c r="K2454" s="16" t="n">
        <f aca="false" t="array" ref="K2454:K2454">IFERROR(INDEX(AC2454:AE2454,IF(COUNTA(AC2454:AE2454)=0,"",MAX((AC2454:AE2454&lt;&gt;"")*(COLUMN(AC2454:AE2454)-(COLUMN(AC2454)-1))))-1),"")</f>
        <v>45915</v>
      </c>
      <c r="L2454" s="17" t="str">
        <f aca="false" t="array" ref="L2454:L2454">IFERROR(INDEX(AC2454:AE2454,IF(COUNTA(AC2454:AE2454)=0,"",MAX((AC2454:AE2454&lt;&gt;"")*(COLUMN(AC2454:AE2454)-(COLUMN(AC2454)-2))))-1),"")</f>
        <v>ARCHIVED</v>
      </c>
      <c r="M2454" s="13" t="n">
        <f aca="true">K2454-TODAY()</f>
        <v>-409</v>
      </c>
      <c r="N2454" s="18" t="s">
        <v>2427</v>
      </c>
      <c r="O2454" s="13" t="s">
        <v>2037</v>
      </c>
      <c r="P2454" s="19" t="n">
        <v>3386588</v>
      </c>
      <c r="Q2454" s="20" t="s">
        <v>10526</v>
      </c>
      <c r="R2454" s="13" t="s">
        <v>10527</v>
      </c>
      <c r="S2454" s="16" t="n">
        <v>37499</v>
      </c>
      <c r="T2454" s="13" t="s">
        <v>108</v>
      </c>
      <c r="U2454" s="13" t="s">
        <v>10528</v>
      </c>
      <c r="V2454" s="13" t="s">
        <v>42</v>
      </c>
      <c r="W2454" s="13" t="s">
        <v>43</v>
      </c>
      <c r="X2454" s="21" t="n">
        <v>82225115023</v>
      </c>
      <c r="Y2454" s="22" t="str">
        <f aca="false">O2454</f>
        <v>SPG/BA</v>
      </c>
      <c r="Z2454" s="13" t="str">
        <f aca="false">IFERROR(__xludf.dummyfunction("if(BJ2454="""","""",GOOGLETRANSLATE(BJ2454,""auto"",""en""))"),"SPG/BA")</f>
        <v>SPG/BA</v>
      </c>
      <c r="AA2454" s="23" t="str">
        <f aca="false">IF(C2454="","", CHOOSE(MONTH(C2454),"January","February","March","April","May","June","July","August","September","October","November","December")&amp;" "&amp;DAY(C2454)&amp;MID("thstndrdth",MIN(9,2*RIGHT(DAY(C2454))*(MOD(DAY(C2454)-11,100)&gt;2)+1),2)&amp;","&amp;TEXT(C2454," yyyy"))</f>
        <v>June 23rd,2025</v>
      </c>
      <c r="AB2454" s="15" t="str">
        <f aca="true">IF(S2454="","",DATEDIF(S2454,TODAY(),"Y")&amp;" Tahun, "&amp;DATEDIF(S2454,TODAY(),"YM")&amp;" Bulan, "&amp;DATEDIF(S2454,TODAY(),"MD")&amp;" Hari")</f>
        <v>24 Tahun, 1 Bulan, 28 Hari</v>
      </c>
      <c r="AC2454" s="18" t="n">
        <v>45831</v>
      </c>
      <c r="AD2454" s="18" t="n">
        <v>45915</v>
      </c>
      <c r="AE2454" s="18" t="s">
        <v>44</v>
      </c>
    </row>
    <row r="2455" customFormat="false" ht="15" hidden="false" customHeight="true" outlineLevel="0" collapsed="false">
      <c r="A2455" s="12" t="n">
        <v>20094</v>
      </c>
      <c r="B2455" s="13" t="s">
        <v>10529</v>
      </c>
      <c r="C2455" s="16" t="n">
        <v>45831</v>
      </c>
      <c r="D2455" s="13" t="s">
        <v>2033</v>
      </c>
      <c r="E2455" s="15" t="s">
        <v>33</v>
      </c>
      <c r="F2455" s="24" t="s">
        <v>10530</v>
      </c>
      <c r="G2455" s="13" t="s">
        <v>10531</v>
      </c>
      <c r="H2455" s="13" t="s">
        <v>2035</v>
      </c>
      <c r="I2455" s="13" t="str">
        <f aca="false">IF(C2455=J2455,"NEW KONTRAK","RE-KONTRAK")</f>
        <v>NEW KONTRAK</v>
      </c>
      <c r="J2455" s="16" t="n">
        <f aca="false" t="array" ref="J2455:J2455">IFERROR(INDEX(AC2455:AE2455,IF(COUNTA(AC2455:AE2455)=0,"",MAX((AC2455:AE2455&lt;&gt;"")*(COLUMN(AC2455:AE2455)-(COLUMN(AC2455)))))-1),"")</f>
        <v>45831</v>
      </c>
      <c r="K2455" s="16" t="n">
        <f aca="false" t="array" ref="K2455:K2455">IFERROR(INDEX(AC2455:AE2455,IF(COUNTA(AC2455:AE2455)=0,"",MAX((AC2455:AE2455&lt;&gt;"")*(COLUMN(AC2455:AE2455)-(COLUMN(AC2455)-1))))-1),"")</f>
        <v>45915</v>
      </c>
      <c r="L2455" s="17" t="str">
        <f aca="false" t="array" ref="L2455:L2455">IFERROR(INDEX(AC2455:AE2455,IF(COUNTA(AC2455:AE2455)=0,"",MAX((AC2455:AE2455&lt;&gt;"")*(COLUMN(AC2455:AE2455)-(COLUMN(AC2455)-2))))-1),"")</f>
        <v>ARCHIVED</v>
      </c>
      <c r="M2455" s="13" t="n">
        <f aca="true">K2455-TODAY()</f>
        <v>-409</v>
      </c>
      <c r="N2455" s="18" t="s">
        <v>10532</v>
      </c>
      <c r="O2455" s="13" t="s">
        <v>5017</v>
      </c>
      <c r="P2455" s="19" t="n">
        <v>114384.8</v>
      </c>
      <c r="Q2455" s="20" t="s">
        <v>10533</v>
      </c>
      <c r="R2455" s="13" t="s">
        <v>10534</v>
      </c>
      <c r="S2455" s="16" t="n">
        <v>32589</v>
      </c>
      <c r="T2455" s="13" t="s">
        <v>108</v>
      </c>
      <c r="U2455" s="13" t="s">
        <v>10535</v>
      </c>
      <c r="V2455" s="13" t="s">
        <v>42</v>
      </c>
      <c r="W2455" s="13" t="s">
        <v>54</v>
      </c>
      <c r="X2455" s="30" t="n">
        <v>83166270289</v>
      </c>
      <c r="Y2455" s="22" t="str">
        <f aca="false">O2455</f>
        <v>Sales</v>
      </c>
      <c r="Z2455" s="13" t="str">
        <f aca="false">IFERROR(__xludf.dummyfunction("if(BJ2455="""","""",GOOGLETRANSLATE(BJ2455,""auto"",""en""))"),"Sales")</f>
        <v>Sales</v>
      </c>
      <c r="AA2455" s="23" t="str">
        <f aca="false">IF(C2455="","", CHOOSE(MONTH(C2455),"January","February","March","April","May","June","July","August","September","October","November","December")&amp;" "&amp;DAY(C2455)&amp;MID("thstndrdth",MIN(9,2*RIGHT(DAY(C2455))*(MOD(DAY(C2455)-11,100)&gt;2)+1),2)&amp;","&amp;TEXT(C2455," yyyy"))</f>
        <v>June 23rd,2025</v>
      </c>
      <c r="AB2455" s="15" t="str">
        <f aca="true">IF(S2455="","",DATEDIF(S2455,TODAY(),"Y")&amp;" Tahun, "&amp;DATEDIF(S2455,TODAY(),"YM")&amp;" Bulan, "&amp;DATEDIF(S2455,TODAY(),"MD")&amp;" Hari")</f>
        <v>37 Tahun, 7 Bulan, 7 Hari</v>
      </c>
      <c r="AC2455" s="18" t="n">
        <v>45831</v>
      </c>
      <c r="AD2455" s="18" t="n">
        <v>45915</v>
      </c>
      <c r="AE2455" s="18" t="s">
        <v>44</v>
      </c>
    </row>
    <row r="2456" customFormat="false" ht="15" hidden="false" customHeight="true" outlineLevel="0" collapsed="false">
      <c r="A2456" s="12" t="n">
        <v>20095</v>
      </c>
      <c r="B2456" s="13" t="s">
        <v>10536</v>
      </c>
      <c r="C2456" s="16" t="n">
        <v>45831</v>
      </c>
      <c r="D2456" s="13" t="s">
        <v>2033</v>
      </c>
      <c r="E2456" s="15" t="s">
        <v>33</v>
      </c>
      <c r="F2456" s="24" t="s">
        <v>10537</v>
      </c>
      <c r="G2456" s="13" t="s">
        <v>10538</v>
      </c>
      <c r="H2456" s="13" t="s">
        <v>2035</v>
      </c>
      <c r="I2456" s="13" t="str">
        <f aca="false">IF(C2456=J2456,"NEW KONTRAK","RE-KONTRAK")</f>
        <v>NEW KONTRAK</v>
      </c>
      <c r="J2456" s="16" t="n">
        <f aca="false" t="array" ref="J2456:J2456">IFERROR(INDEX(AC2456:AE2456,IF(COUNTA(AC2456:AE2456)=0,"",MAX((AC2456:AE2456&lt;&gt;"")*(COLUMN(AC2456:AE2456)-(COLUMN(AC2456)))))-1),"")</f>
        <v>45831</v>
      </c>
      <c r="K2456" s="16" t="n">
        <f aca="false" t="array" ref="K2456:K2456">IFERROR(INDEX(AC2456:AE2456,IF(COUNTA(AC2456:AE2456)=0,"",MAX((AC2456:AE2456&lt;&gt;"")*(COLUMN(AC2456:AE2456)-(COLUMN(AC2456)-1))))-1),"")</f>
        <v>45915</v>
      </c>
      <c r="L2456" s="17" t="str">
        <f aca="false" t="array" ref="L2456:L2456">IFERROR(INDEX(AC2456:AE2456,IF(COUNTA(AC2456:AE2456)=0,"",MAX((AC2456:AE2456&lt;&gt;"")*(COLUMN(AC2456:AE2456)-(COLUMN(AC2456)-2))))-1),"")</f>
        <v>ARCHIVED</v>
      </c>
      <c r="M2456" s="13" t="n">
        <f aca="true">K2456-TODAY()</f>
        <v>-409</v>
      </c>
      <c r="N2456" s="18" t="s">
        <v>5852</v>
      </c>
      <c r="O2456" s="13" t="s">
        <v>2037</v>
      </c>
      <c r="P2456" s="19" t="n">
        <v>114384.8</v>
      </c>
      <c r="Q2456" s="20" t="s">
        <v>10539</v>
      </c>
      <c r="R2456" s="13" t="s">
        <v>5852</v>
      </c>
      <c r="S2456" s="16" t="n">
        <v>37419</v>
      </c>
      <c r="T2456" s="13" t="s">
        <v>108</v>
      </c>
      <c r="U2456" s="13" t="s">
        <v>10540</v>
      </c>
      <c r="V2456" s="13" t="s">
        <v>1310</v>
      </c>
      <c r="W2456" s="13" t="s">
        <v>43</v>
      </c>
      <c r="X2456" s="21" t="n">
        <v>87837980827</v>
      </c>
      <c r="Y2456" s="22" t="str">
        <f aca="false">O2456</f>
        <v>SPG/BA</v>
      </c>
      <c r="Z2456" s="13" t="str">
        <f aca="false">IFERROR(__xludf.dummyfunction("if(BJ2456="""","""",GOOGLETRANSLATE(BJ2456,""auto"",""en""))"),"SPG/BA")</f>
        <v>SPG/BA</v>
      </c>
      <c r="AA2456" s="23" t="str">
        <f aca="false">IF(C2456="","", CHOOSE(MONTH(C2456),"January","February","March","April","May","June","July","August","September","October","November","December")&amp;" "&amp;DAY(C2456)&amp;MID("thstndrdth",MIN(9,2*RIGHT(DAY(C2456))*(MOD(DAY(C2456)-11,100)&gt;2)+1),2)&amp;","&amp;TEXT(C2456," yyyy"))</f>
        <v>June 23rd,2025</v>
      </c>
      <c r="AB2456" s="15" t="str">
        <f aca="true">IF(S2456="","",DATEDIF(S2456,TODAY(),"Y")&amp;" Tahun, "&amp;DATEDIF(S2456,TODAY(),"YM")&amp;" Bulan, "&amp;DATEDIF(S2456,TODAY(),"MD")&amp;" Hari")</f>
        <v>24 Tahun, 4 Bulan, 17 Hari</v>
      </c>
      <c r="AC2456" s="18" t="n">
        <v>45831</v>
      </c>
      <c r="AD2456" s="18" t="n">
        <v>45915</v>
      </c>
      <c r="AE2456" s="18" t="s">
        <v>44</v>
      </c>
    </row>
    <row r="2457" customFormat="false" ht="15" hidden="false" customHeight="true" outlineLevel="0" collapsed="false">
      <c r="A2457" s="12" t="n">
        <v>20096</v>
      </c>
      <c r="B2457" s="13" t="s">
        <v>10541</v>
      </c>
      <c r="C2457" s="16" t="n">
        <v>45825</v>
      </c>
      <c r="D2457" s="13" t="s">
        <v>2033</v>
      </c>
      <c r="E2457" s="15" t="s">
        <v>33</v>
      </c>
      <c r="F2457" s="24" t="s">
        <v>10542</v>
      </c>
      <c r="G2457" s="13" t="s">
        <v>10543</v>
      </c>
      <c r="H2457" s="13" t="s">
        <v>2035</v>
      </c>
      <c r="I2457" s="13" t="str">
        <f aca="false">IF(C2457=J2457,"NEW KONTRAK","RE-KONTRAK")</f>
        <v>NEW KONTRAK</v>
      </c>
      <c r="J2457" s="16" t="n">
        <f aca="false" t="array" ref="J2457:J2457">IFERROR(INDEX(AC2457:AE2457,IF(COUNTA(AC2457:AE2457)=0,"",MAX((AC2457:AE2457&lt;&gt;"")*(COLUMN(AC2457:AE2457)-(COLUMN(AC2457)))))-1),"")</f>
        <v>45825</v>
      </c>
      <c r="K2457" s="16" t="n">
        <f aca="false" t="array" ref="K2457:K2457">IFERROR(INDEX(AC2457:AE2457,IF(COUNTA(AC2457:AE2457)=0,"",MAX((AC2457:AE2457&lt;&gt;"")*(COLUMN(AC2457:AE2457)-(COLUMN(AC2457)-1))))-1),"")</f>
        <v>45915</v>
      </c>
      <c r="L2457" s="17" t="str">
        <f aca="false" t="array" ref="L2457:L2457">IFERROR(INDEX(AC2457:AE2457,IF(COUNTA(AC2457:AE2457)=0,"",MAX((AC2457:AE2457&lt;&gt;"")*(COLUMN(AC2457:AE2457)-(COLUMN(AC2457)-2))))-1),"")</f>
        <v>ARCHIVED</v>
      </c>
      <c r="M2457" s="13" t="n">
        <f aca="true">K2457-TODAY()</f>
        <v>-409</v>
      </c>
      <c r="N2457" s="18" t="s">
        <v>4903</v>
      </c>
      <c r="O2457" s="13" t="s">
        <v>2037</v>
      </c>
      <c r="P2457" s="19" t="n">
        <v>120992.8</v>
      </c>
      <c r="Q2457" s="20" t="s">
        <v>10544</v>
      </c>
      <c r="R2457" s="13" t="s">
        <v>10545</v>
      </c>
      <c r="S2457" s="16" t="n">
        <v>39333</v>
      </c>
      <c r="T2457" s="13" t="s">
        <v>108</v>
      </c>
      <c r="U2457" s="13" t="s">
        <v>10546</v>
      </c>
      <c r="V2457" s="13" t="s">
        <v>42</v>
      </c>
      <c r="W2457" s="13" t="s">
        <v>43</v>
      </c>
      <c r="X2457" s="21" t="n">
        <v>85849028525</v>
      </c>
      <c r="Y2457" s="22" t="str">
        <f aca="false">O2457</f>
        <v>SPG/BA</v>
      </c>
      <c r="Z2457" s="13" t="str">
        <f aca="false">IFERROR(__xludf.dummyfunction("if(BJ2457="""","""",GOOGLETRANSLATE(BJ2457,""auto"",""en""))"),"SPG/BA")</f>
        <v>SPG/BA</v>
      </c>
      <c r="AA2457" s="23" t="str">
        <f aca="false">IF(C2457="","", CHOOSE(MONTH(C2457),"January","February","March","April","May","June","July","August","September","October","November","December")&amp;" "&amp;DAY(C2457)&amp;MID("thstndrdth",MIN(9,2*RIGHT(DAY(C2457))*(MOD(DAY(C2457)-11,100)&gt;2)+1),2)&amp;","&amp;TEXT(C2457," yyyy"))</f>
        <v>June 17th,2025</v>
      </c>
      <c r="AB2457" s="15" t="str">
        <f aca="true">IF(S2457="","",DATEDIF(S2457,TODAY(),"Y")&amp;" Tahun, "&amp;DATEDIF(S2457,TODAY(),"YM")&amp;" Bulan, "&amp;DATEDIF(S2457,TODAY(),"MD")&amp;" Hari")</f>
        <v>19 Tahun, 1 Bulan, 21 Hari</v>
      </c>
      <c r="AC2457" s="18" t="n">
        <v>45825</v>
      </c>
      <c r="AD2457" s="18" t="n">
        <v>45915</v>
      </c>
      <c r="AE2457" s="18" t="s">
        <v>44</v>
      </c>
    </row>
    <row r="2458" customFormat="false" ht="15" hidden="false" customHeight="true" outlineLevel="0" collapsed="false">
      <c r="A2458" s="12" t="n">
        <v>20097</v>
      </c>
      <c r="B2458" s="13" t="s">
        <v>10547</v>
      </c>
      <c r="C2458" s="16" t="n">
        <v>45825</v>
      </c>
      <c r="D2458" s="13" t="s">
        <v>2033</v>
      </c>
      <c r="E2458" s="15" t="s">
        <v>33</v>
      </c>
      <c r="F2458" s="24" t="s">
        <v>10548</v>
      </c>
      <c r="G2458" s="13" t="s">
        <v>10549</v>
      </c>
      <c r="H2458" s="13" t="s">
        <v>2035</v>
      </c>
      <c r="I2458" s="13" t="str">
        <f aca="false">IF(C2458=J2458,"NEW KONTRAK","RE-KONTRAK")</f>
        <v>NEW KONTRAK</v>
      </c>
      <c r="J2458" s="16" t="n">
        <f aca="false" t="array" ref="J2458:J2458">IFERROR(INDEX(AC2458:AE2458,IF(COUNTA(AC2458:AE2458)=0,"",MAX((AC2458:AE2458&lt;&gt;"")*(COLUMN(AC2458:AE2458)-(COLUMN(AC2458)))))-1),"")</f>
        <v>45825</v>
      </c>
      <c r="K2458" s="16" t="n">
        <f aca="false" t="array" ref="K2458:K2458">IFERROR(INDEX(AC2458:AE2458,IF(COUNTA(AC2458:AE2458)=0,"",MAX((AC2458:AE2458&lt;&gt;"")*(COLUMN(AC2458:AE2458)-(COLUMN(AC2458)-1))))-1),"")</f>
        <v>45915</v>
      </c>
      <c r="L2458" s="17" t="str">
        <f aca="false" t="array" ref="L2458:L2458">IFERROR(INDEX(AC2458:AE2458,IF(COUNTA(AC2458:AE2458)=0,"",MAX((AC2458:AE2458&lt;&gt;"")*(COLUMN(AC2458:AE2458)-(COLUMN(AC2458)-2))))-1),"")</f>
        <v>ARCHIVED</v>
      </c>
      <c r="M2458" s="13" t="n">
        <f aca="true">K2458-TODAY()</f>
        <v>-409</v>
      </c>
      <c r="N2458" s="50" t="s">
        <v>10550</v>
      </c>
      <c r="O2458" s="13" t="s">
        <v>5017</v>
      </c>
      <c r="P2458" s="19" t="n">
        <v>2396696</v>
      </c>
      <c r="Q2458" s="20" t="s">
        <v>10551</v>
      </c>
      <c r="R2458" s="13" t="s">
        <v>10552</v>
      </c>
      <c r="S2458" s="16" t="n">
        <v>34294</v>
      </c>
      <c r="T2458" s="13" t="s">
        <v>108</v>
      </c>
      <c r="U2458" s="13" t="s">
        <v>10553</v>
      </c>
      <c r="V2458" s="13" t="s">
        <v>99</v>
      </c>
      <c r="W2458" s="13" t="s">
        <v>54</v>
      </c>
      <c r="X2458" s="21" t="n">
        <v>81236395913</v>
      </c>
      <c r="Y2458" s="22" t="str">
        <f aca="false">O2458</f>
        <v>Sales</v>
      </c>
      <c r="Z2458" s="13" t="str">
        <f aca="false">IFERROR(__xludf.dummyfunction("if(BJ2458="""","""",GOOGLETRANSLATE(BJ2458,""auto"",""en""))"),"Sales")</f>
        <v>Sales</v>
      </c>
      <c r="AA2458" s="23" t="str">
        <f aca="false">IF(C2458="","", CHOOSE(MONTH(C2458),"January","February","March","April","May","June","July","August","September","October","November","December")&amp;" "&amp;DAY(C2458)&amp;MID("thstndrdth",MIN(9,2*RIGHT(DAY(C2458))*(MOD(DAY(C2458)-11,100)&gt;2)+1),2)&amp;","&amp;TEXT(C2458," yyyy"))</f>
        <v>June 17th,2025</v>
      </c>
      <c r="AB2458" s="15" t="str">
        <f aca="true">IF(S2458="","",DATEDIF(S2458,TODAY(),"Y")&amp;" Tahun, "&amp;DATEDIF(S2458,TODAY(),"YM")&amp;" Bulan, "&amp;DATEDIF(S2458,TODAY(),"MD")&amp;" Hari")</f>
        <v>32 Tahun, 11 Bulan, 8 Hari</v>
      </c>
      <c r="AC2458" s="18" t="n">
        <v>45825</v>
      </c>
      <c r="AD2458" s="18" t="n">
        <v>45915</v>
      </c>
      <c r="AE2458" s="18" t="s">
        <v>44</v>
      </c>
    </row>
    <row r="2459" customFormat="false" ht="15" hidden="false" customHeight="true" outlineLevel="0" collapsed="false">
      <c r="A2459" s="12" t="n">
        <v>20101</v>
      </c>
      <c r="B2459" s="13" t="s">
        <v>10554</v>
      </c>
      <c r="C2459" s="16" t="n">
        <v>45870</v>
      </c>
      <c r="D2459" s="13" t="s">
        <v>3573</v>
      </c>
      <c r="E2459" s="15" t="s">
        <v>47</v>
      </c>
      <c r="F2459" s="15" t="str">
        <f aca="false">IFERROR(__xludf.dummyfunction("XLOOKUP(AJ2459,IMPORTRANGE(""1XaInW9DU9nz21V0tYIfzFQ0He9kVQ_JF2mCXgZ3hqFA"",""REKAP ALL 2026 - Andika!G:G""),IMPORTRANGE(""1XaInW9DU9nz21V0tYIfzFQ0He9kVQ_JF2mCXgZ3hqFA"",""REKAP ALL 2026 - Andika!F:F""),"""",0)"),"25099755404")</f>
        <v>25099755404</v>
      </c>
      <c r="G2459" s="13" t="s">
        <v>10555</v>
      </c>
      <c r="H2459" s="13" t="s">
        <v>35</v>
      </c>
      <c r="I2459" s="13" t="str">
        <f aca="false">IF(C2459=J2459,"NEW KONTRAK","RE-KONTRAK")</f>
        <v>NEW KONTRAK</v>
      </c>
      <c r="J2459" s="16" t="n">
        <f aca="false" t="array" ref="J2459:J2459">IFERROR(INDEX(AC2459:AE2459,IF(COUNTA(AC2459:AE2459)=0,"",MAX((AC2459:AE2459&lt;&gt;"")*(COLUMN(AC2459:AE2459)-(COLUMN(AC2459)))))-1),"")</f>
        <v>45870</v>
      </c>
      <c r="K2459" s="16" t="n">
        <f aca="false" t="array" ref="K2459:K2459">IFERROR(INDEX(AC2459:AE2459,IF(COUNTA(AC2459:AE2459)=0,"",MAX((AC2459:AE2459&lt;&gt;"")*(COLUMN(AC2459:AE2459)-(COLUMN(AC2459)-1))))-1),"")</f>
        <v>46022</v>
      </c>
      <c r="L2459" s="17" t="str">
        <f aca="false" t="array" ref="L2459:L2459">IFERROR(INDEX(AC2459:AE2459,IF(COUNTA(AC2459:AE2459)=0,"",MAX((AC2459:AE2459&lt;&gt;"")*(COLUMN(AC2459:AE2459)-(COLUMN(AC2459)-2))))-1),"")</f>
        <v>ARCHIVED</v>
      </c>
      <c r="M2459" s="13" t="n">
        <f aca="true">K2459-TODAY()</f>
        <v>-302</v>
      </c>
      <c r="N2459" s="18" t="s">
        <v>3576</v>
      </c>
      <c r="O2459" s="13" t="s">
        <v>3577</v>
      </c>
      <c r="P2459" s="19" t="n">
        <v>2492811</v>
      </c>
      <c r="Q2459" s="20" t="s">
        <v>10556</v>
      </c>
      <c r="R2459" s="13" t="s">
        <v>260</v>
      </c>
      <c r="S2459" s="16" t="n">
        <v>37449</v>
      </c>
      <c r="T2459" s="13" t="s">
        <v>40</v>
      </c>
      <c r="U2459" s="13" t="s">
        <v>10557</v>
      </c>
      <c r="V2459" s="13" t="s">
        <v>42</v>
      </c>
      <c r="W2459" s="13" t="s">
        <v>43</v>
      </c>
      <c r="X2459" s="21" t="n">
        <v>85239283846</v>
      </c>
      <c r="Y2459" s="22" t="str">
        <f aca="false">O2459</f>
        <v>Kerani Gudang</v>
      </c>
      <c r="Z2459" s="13" t="str">
        <f aca="false">IFERROR(__xludf.dummyfunction("if(BJ2459="""","""",GOOGLETRANSLATE(BJ2459,""auto"",""en""))"),"Warehouse Clerk")</f>
        <v>Warehouse Clerk</v>
      </c>
      <c r="AA2459" s="23" t="str">
        <f aca="false">IF(C2459="","", CHOOSE(MONTH(C2459),"January","February","March","April","May","June","July","August","September","October","November","December")&amp;" "&amp;DAY(C2459)&amp;MID("thstndrdth",MIN(9,2*RIGHT(DAY(C2459))*(MOD(DAY(C2459)-11,100)&gt;2)+1),2)&amp;","&amp;TEXT(C2459," yyyy"))</f>
        <v>August 1st,2025</v>
      </c>
      <c r="AB2459" s="15" t="str">
        <f aca="true">IF(S2459="","",DATEDIF(S2459,TODAY(),"Y")&amp;" Tahun, "&amp;DATEDIF(S2459,TODAY(),"YM")&amp;" Bulan, "&amp;DATEDIF(S2459,TODAY(),"MD")&amp;" Hari")</f>
        <v>24 Tahun, 3 Bulan, 17 Hari</v>
      </c>
      <c r="AC2459" s="18" t="n">
        <v>45870</v>
      </c>
      <c r="AD2459" s="18" t="n">
        <v>46022</v>
      </c>
      <c r="AE2459" s="18" t="s">
        <v>44</v>
      </c>
    </row>
    <row r="2460" customFormat="false" ht="15" hidden="false" customHeight="true" outlineLevel="0" collapsed="false">
      <c r="A2460" s="12" t="n">
        <v>20099</v>
      </c>
      <c r="B2460" s="13" t="s">
        <v>10558</v>
      </c>
      <c r="C2460" s="16" t="n">
        <v>45829</v>
      </c>
      <c r="D2460" s="13" t="s">
        <v>2033</v>
      </c>
      <c r="E2460" s="15" t="s">
        <v>102</v>
      </c>
      <c r="F2460" s="15" t="str">
        <f aca="false">IFERROR(__xludf.dummyfunction("XLOOKUP(AJ2460,IMPORTRANGE(""1XaInW9DU9nz21V0tYIfzFQ0He9kVQ_JF2mCXgZ3hqFA"",""REKAP ALL 2026 - Andika!G:G""),IMPORTRANGE(""1XaInW9DU9nz21V0tYIfzFQ0He9kVQ_JF2mCXgZ3hqFA"",""REKAP ALL 2026 - Andika!F:F""),"""",0)"),"25099754837")</f>
        <v>25099754837</v>
      </c>
      <c r="G2460" s="13" t="s">
        <v>10559</v>
      </c>
      <c r="H2460" s="13" t="s">
        <v>2035</v>
      </c>
      <c r="I2460" s="13" t="str">
        <f aca="false">IF(C2460=J2460,"NEW KONTRAK","RE-KONTRAK")</f>
        <v>NEW KONTRAK</v>
      </c>
      <c r="J2460" s="16" t="n">
        <f aca="false" t="array" ref="J2460:J2460">IFERROR(INDEX(AC2460:AE2460,IF(COUNTA(AC2460:AE2460)=0,"",MAX((AC2460:AE2460&lt;&gt;"")*(COLUMN(AC2460:AE2460)-(COLUMN(AC2460)))))-1),"")</f>
        <v>45829</v>
      </c>
      <c r="K2460" s="16" t="n">
        <f aca="false" t="array" ref="K2460:K2460">IFERROR(INDEX(AC2460:AE2460,IF(COUNTA(AC2460:AE2460)=0,"",MAX((AC2460:AE2460&lt;&gt;"")*(COLUMN(AC2460:AE2460)-(COLUMN(AC2460)-1))))-1),"")</f>
        <v>45915</v>
      </c>
      <c r="L2460" s="17" t="str">
        <f aca="false" t="array" ref="L2460:L2460">IFERROR(INDEX(AC2460:AE2460,IF(COUNTA(AC2460:AE2460)=0,"",MAX((AC2460:AE2460&lt;&gt;"")*(COLUMN(AC2460:AE2460)-(COLUMN(AC2460)-2))))-1),"")</f>
        <v>ARCHIVED</v>
      </c>
      <c r="M2460" s="13" t="n">
        <f aca="true">K2460-TODAY()</f>
        <v>-409</v>
      </c>
      <c r="N2460" s="18" t="s">
        <v>5749</v>
      </c>
      <c r="O2460" s="13" t="s">
        <v>2037</v>
      </c>
      <c r="P2460" s="19" t="n">
        <v>3685616</v>
      </c>
      <c r="Q2460" s="20" t="s">
        <v>10560</v>
      </c>
      <c r="R2460" s="13" t="s">
        <v>10561</v>
      </c>
      <c r="S2460" s="16" t="n">
        <v>37695</v>
      </c>
      <c r="T2460" s="13" t="s">
        <v>108</v>
      </c>
      <c r="U2460" s="13" t="s">
        <v>10562</v>
      </c>
      <c r="V2460" s="13" t="s">
        <v>42</v>
      </c>
      <c r="W2460" s="13" t="s">
        <v>43</v>
      </c>
      <c r="X2460" s="21" t="n">
        <v>82277482662</v>
      </c>
      <c r="Y2460" s="22" t="str">
        <f aca="false">O2460</f>
        <v>SPG/BA</v>
      </c>
      <c r="Z2460" s="13" t="str">
        <f aca="false">IFERROR(__xludf.dummyfunction("if(BJ2460="""","""",GOOGLETRANSLATE(BJ2460,""auto"",""en""))"),"SPG/BA")</f>
        <v>SPG/BA</v>
      </c>
      <c r="AA2460" s="23" t="str">
        <f aca="false">IF(C2460="","", CHOOSE(MONTH(C2460),"January","February","March","April","May","June","July","August","September","October","November","December")&amp;" "&amp;DAY(C2460)&amp;MID("thstndrdth",MIN(9,2*RIGHT(DAY(C2460))*(MOD(DAY(C2460)-11,100)&gt;2)+1),2)&amp;","&amp;TEXT(C2460," yyyy"))</f>
        <v>June 21st,2025</v>
      </c>
      <c r="AB2460" s="15" t="str">
        <f aca="true">IF(S2460="","",DATEDIF(S2460,TODAY(),"Y")&amp;" Tahun, "&amp;DATEDIF(S2460,TODAY(),"YM")&amp;" Bulan, "&amp;DATEDIF(S2460,TODAY(),"MD")&amp;" Hari")</f>
        <v>23 Tahun, 7 Bulan, 14 Hari</v>
      </c>
      <c r="AC2460" s="18" t="n">
        <v>45829</v>
      </c>
      <c r="AD2460" s="18" t="n">
        <v>45915</v>
      </c>
      <c r="AE2460" s="18" t="s">
        <v>44</v>
      </c>
    </row>
    <row r="2461" customFormat="false" ht="15" hidden="false" customHeight="true" outlineLevel="0" collapsed="false">
      <c r="A2461" s="12" t="n">
        <v>20100</v>
      </c>
      <c r="B2461" s="13" t="s">
        <v>10563</v>
      </c>
      <c r="C2461" s="16" t="n">
        <v>45853</v>
      </c>
      <c r="D2461" s="13" t="s">
        <v>9789</v>
      </c>
      <c r="E2461" s="15" t="s">
        <v>102</v>
      </c>
      <c r="F2461" s="15" t="str">
        <f aca="false">IFERROR(__xludf.dummyfunction("XLOOKUP(AJ2461,IMPORTRANGE(""1XaInW9DU9nz21V0tYIfzFQ0He9kVQ_JF2mCXgZ3hqFA"",""REKAP ALL 2026 - Andika!G:G""),IMPORTRANGE(""1XaInW9DU9nz21V0tYIfzFQ0He9kVQ_JF2mCXgZ3hqFA"",""REKAP ALL 2026 - Andika!F:F""),"""",0)"),"25099755420")</f>
        <v>25099755420</v>
      </c>
      <c r="G2461" s="13" t="s">
        <v>1127</v>
      </c>
      <c r="H2461" s="13" t="s">
        <v>35</v>
      </c>
      <c r="I2461" s="13" t="str">
        <f aca="false">IF(C2461=J2461,"NEW KONTRAK","RE-KONTRAK")</f>
        <v>NEW KONTRAK</v>
      </c>
      <c r="J2461" s="16" t="n">
        <f aca="false" t="array" ref="J2461:J2461">IFERROR(INDEX(AC2461:AE2461,IF(COUNTA(AC2461:AE2461)=0,"",MAX((AC2461:AE2461&lt;&gt;"")*(COLUMN(AC2461:AE2461)-(COLUMN(AC2461)))))-1),"")</f>
        <v>45853</v>
      </c>
      <c r="K2461" s="16" t="n">
        <f aca="false" t="array" ref="K2461:K2461">IFERROR(INDEX(AC2461:AE2461,IF(COUNTA(AC2461:AE2461)=0,"",MAX((AC2461:AE2461&lt;&gt;"")*(COLUMN(AC2461:AE2461)-(COLUMN(AC2461)-1))))-1),"")</f>
        <v>46022</v>
      </c>
      <c r="L2461" s="17" t="str">
        <f aca="false" t="array" ref="L2461:L2461">IFERROR(INDEX(AC2461:AE2461,IF(COUNTA(AC2461:AE2461)=0,"",MAX((AC2461:AE2461&lt;&gt;"")*(COLUMN(AC2461:AE2461)-(COLUMN(AC2461)-2))))-1),"")</f>
        <v>ARCHIVED</v>
      </c>
      <c r="M2461" s="13" t="n">
        <f aca="true">K2461-TODAY()</f>
        <v>-302</v>
      </c>
      <c r="N2461" s="18" t="s">
        <v>383</v>
      </c>
      <c r="O2461" s="13" t="s">
        <v>3599</v>
      </c>
      <c r="P2461" s="19" t="n">
        <v>3012164</v>
      </c>
      <c r="Q2461" s="20" t="s">
        <v>10564</v>
      </c>
      <c r="R2461" s="13" t="s">
        <v>148</v>
      </c>
      <c r="S2461" s="16" t="n">
        <v>36936</v>
      </c>
      <c r="T2461" s="13" t="s">
        <v>108</v>
      </c>
      <c r="U2461" s="13" t="s">
        <v>10565</v>
      </c>
      <c r="V2461" s="13" t="s">
        <v>42</v>
      </c>
      <c r="W2461" s="13" t="s">
        <v>43</v>
      </c>
      <c r="X2461" s="21" t="n">
        <v>83899457084</v>
      </c>
      <c r="Y2461" s="22" t="str">
        <f aca="false">O2461</f>
        <v>Admin Gudang</v>
      </c>
      <c r="Z2461" s="13" t="str">
        <f aca="false">IFERROR(__xludf.dummyfunction("if(BJ2461="""","""",GOOGLETRANSLATE(BJ2461,""auto"",""en""))"),"Warehouse Admin")</f>
        <v>Warehouse Admin</v>
      </c>
      <c r="AA2461" s="23" t="str">
        <f aca="false">IF(C2461="","", CHOOSE(MONTH(C2461),"January","February","March","April","May","June","July","August","September","October","November","December")&amp;" "&amp;DAY(C2461)&amp;MID("thstndrdth",MIN(9,2*RIGHT(DAY(C2461))*(MOD(DAY(C2461)-11,100)&gt;2)+1),2)&amp;","&amp;TEXT(C2461," yyyy"))</f>
        <v>July 15th,2025</v>
      </c>
      <c r="AB2461" s="15" t="str">
        <f aca="true">IF(S2461="","",DATEDIF(S2461,TODAY(),"Y")&amp;" Tahun, "&amp;DATEDIF(S2461,TODAY(),"YM")&amp;" Bulan, "&amp;DATEDIF(S2461,TODAY(),"MD")&amp;" Hari")</f>
        <v>25 Tahun, 8 Bulan, 15 Hari</v>
      </c>
      <c r="AC2461" s="18" t="n">
        <v>45853</v>
      </c>
      <c r="AD2461" s="18" t="n">
        <v>46022</v>
      </c>
      <c r="AE2461" s="18" t="s">
        <v>44</v>
      </c>
    </row>
    <row r="2462" customFormat="false" ht="15" hidden="false" customHeight="true" outlineLevel="0" collapsed="false">
      <c r="A2462" s="12" t="n">
        <v>20104</v>
      </c>
      <c r="B2462" s="13" t="s">
        <v>10566</v>
      </c>
      <c r="C2462" s="16" t="n">
        <v>45852</v>
      </c>
      <c r="D2462" s="13" t="s">
        <v>3022</v>
      </c>
      <c r="E2462" s="15" t="s">
        <v>47</v>
      </c>
      <c r="F2462" s="15" t="str">
        <f aca="false">IFERROR(__xludf.dummyfunction("XLOOKUP(AJ2462,IMPORTRANGE(""1XaInW9DU9nz21V0tYIfzFQ0He9kVQ_JF2mCXgZ3hqFA"",""REKAP ALL 2026 - Andika!G:G""),IMPORTRANGE(""1XaInW9DU9nz21V0tYIfzFQ0He9kVQ_JF2mCXgZ3hqFA"",""REKAP ALL 2026 - Andika!F:F""),"""",0)"),"25099756287")</f>
        <v>25099756287</v>
      </c>
      <c r="G2462" s="13" t="s">
        <v>1127</v>
      </c>
      <c r="H2462" s="13" t="s">
        <v>3024</v>
      </c>
      <c r="I2462" s="13" t="str">
        <f aca="false">IF(C2462=J2462,"NEW KONTRAK","RE-KONTRAK")</f>
        <v>NEW KONTRAK</v>
      </c>
      <c r="J2462" s="16" t="n">
        <f aca="false" t="array" ref="J2462:J2462">IFERROR(INDEX(AC2462:AE2462,IF(COUNTA(AC2462:AE2462)=0,"",MAX((AC2462:AE2462&lt;&gt;"")*(COLUMN(AC2462:AE2462)-(COLUMN(AC2462)))))-1),"")</f>
        <v>45852</v>
      </c>
      <c r="K2462" s="16" t="n">
        <f aca="false" t="array" ref="K2462:K2462">IFERROR(INDEX(AC2462:AE2462,IF(COUNTA(AC2462:AE2462)=0,"",MAX((AC2462:AE2462&lt;&gt;"")*(COLUMN(AC2462:AE2462)-(COLUMN(AC2462)-1))))-1),"")</f>
        <v>45943</v>
      </c>
      <c r="L2462" s="17" t="str">
        <f aca="false" t="array" ref="L2462:L2462">IFERROR(INDEX(AC2462:AE2462,IF(COUNTA(AC2462:AE2462)=0,"",MAX((AC2462:AE2462&lt;&gt;"")*(COLUMN(AC2462:AE2462)-(COLUMN(AC2462)-2))))-1),"")</f>
        <v>ARCHIVED</v>
      </c>
      <c r="M2462" s="13" t="n">
        <f aca="true">K2462-TODAY()</f>
        <v>-381</v>
      </c>
      <c r="N2462" s="18" t="s">
        <v>36</v>
      </c>
      <c r="O2462" s="13" t="s">
        <v>58</v>
      </c>
      <c r="P2462" s="19" t="n">
        <v>112500</v>
      </c>
      <c r="Q2462" s="20" t="s">
        <v>10567</v>
      </c>
      <c r="R2462" s="13" t="s">
        <v>39</v>
      </c>
      <c r="S2462" s="16" t="n">
        <v>37688</v>
      </c>
      <c r="T2462" s="13" t="s">
        <v>40</v>
      </c>
      <c r="U2462" s="13" t="s">
        <v>10568</v>
      </c>
      <c r="V2462" s="13" t="s">
        <v>42</v>
      </c>
      <c r="W2462" s="13" t="s">
        <v>43</v>
      </c>
      <c r="X2462" s="21" t="n">
        <v>89514663131</v>
      </c>
      <c r="Y2462" s="22" t="str">
        <f aca="false">O2462</f>
        <v>Produksi</v>
      </c>
      <c r="Z2462" s="13" t="str">
        <f aca="false">IFERROR(__xludf.dummyfunction("if(BJ2462="""","""",GOOGLETRANSLATE(BJ2462,""auto"",""en""))"),"Production")</f>
        <v>Production</v>
      </c>
      <c r="AA2462" s="23" t="str">
        <f aca="false">IF(C2462="","", CHOOSE(MONTH(C2462),"January","February","March","April","May","June","July","August","September","October","November","December")&amp;" "&amp;DAY(C2462)&amp;MID("thstndrdth",MIN(9,2*RIGHT(DAY(C2462))*(MOD(DAY(C2462)-11,100)&gt;2)+1),2)&amp;","&amp;TEXT(C2462," yyyy"))</f>
        <v>July 14th,2025</v>
      </c>
      <c r="AB2462" s="15" t="str">
        <f aca="true">IF(S2462="","",DATEDIF(S2462,TODAY(),"Y")&amp;" Tahun, "&amp;DATEDIF(S2462,TODAY(),"YM")&amp;" Bulan, "&amp;DATEDIF(S2462,TODAY(),"MD")&amp;" Hari")</f>
        <v>23 Tahun, 7 Bulan, 21 Hari</v>
      </c>
      <c r="AC2462" s="18" t="n">
        <v>45852</v>
      </c>
      <c r="AD2462" s="18" t="n">
        <v>45943</v>
      </c>
      <c r="AE2462" s="18" t="s">
        <v>44</v>
      </c>
    </row>
    <row r="2463" customFormat="false" ht="15" hidden="false" customHeight="true" outlineLevel="0" collapsed="false">
      <c r="A2463" s="12" t="n">
        <v>20102</v>
      </c>
      <c r="B2463" s="13" t="s">
        <v>10569</v>
      </c>
      <c r="C2463" s="16" t="n">
        <v>45854</v>
      </c>
      <c r="D2463" s="13" t="s">
        <v>6638</v>
      </c>
      <c r="E2463" s="15" t="s">
        <v>102</v>
      </c>
      <c r="F2463" s="15" t="str">
        <f aca="false">IFERROR(__xludf.dummyfunction("XLOOKUP(AJ2463,IMPORTRANGE(""1XaInW9DU9nz21V0tYIfzFQ0He9kVQ_JF2mCXgZ3hqFA"",""REKAP ALL 2026 - Andika!G:G""),IMPORTRANGE(""1XaInW9DU9nz21V0tYIfzFQ0He9kVQ_JF2mCXgZ3hqFA"",""REKAP ALL 2026 - Andika!F:F""),"""",0)"),"25099756113")</f>
        <v>25099756113</v>
      </c>
      <c r="G2463" s="13" t="s">
        <v>1127</v>
      </c>
      <c r="H2463" s="13" t="s">
        <v>35</v>
      </c>
      <c r="I2463" s="13" t="str">
        <f aca="false">IF(C2463=J2463,"NEW KONTRAK","RE-KONTRAK")</f>
        <v>NEW KONTRAK</v>
      </c>
      <c r="J2463" s="16" t="n">
        <f aca="false" t="array" ref="J2463:J2463">IFERROR(INDEX(AC2463:AE2463,IF(COUNTA(AC2463:AE2463)=0,"",MAX((AC2463:AE2463&lt;&gt;"")*(COLUMN(AC2463:AE2463)-(COLUMN(AC2463)))))-1),"")</f>
        <v>45854</v>
      </c>
      <c r="K2463" s="16" t="n">
        <f aca="false" t="array" ref="K2463:K2463">IFERROR(INDEX(AC2463:AE2463,IF(COUNTA(AC2463:AE2463)=0,"",MAX((AC2463:AE2463&lt;&gt;"")*(COLUMN(AC2463:AE2463)-(COLUMN(AC2463)-1))))-1),"")</f>
        <v>45945</v>
      </c>
      <c r="L2463" s="17" t="str">
        <f aca="false" t="array" ref="L2463:L2463">IFERROR(INDEX(AC2463:AE2463,IF(COUNTA(AC2463:AE2463)=0,"",MAX((AC2463:AE2463&lt;&gt;"")*(COLUMN(AC2463:AE2463)-(COLUMN(AC2463)-2))))-1),"")</f>
        <v>ARCHIVED</v>
      </c>
      <c r="M2463" s="13" t="n">
        <f aca="true">K2463-TODAY()</f>
        <v>-379</v>
      </c>
      <c r="N2463" s="18" t="s">
        <v>4735</v>
      </c>
      <c r="O2463" s="13" t="s">
        <v>10570</v>
      </c>
      <c r="P2463" s="19" t="n">
        <v>3113530</v>
      </c>
      <c r="Q2463" s="20" t="s">
        <v>10571</v>
      </c>
      <c r="R2463" s="13" t="s">
        <v>324</v>
      </c>
      <c r="S2463" s="16" t="n">
        <v>36829</v>
      </c>
      <c r="T2463" s="13" t="s">
        <v>108</v>
      </c>
      <c r="U2463" s="13" t="s">
        <v>10572</v>
      </c>
      <c r="V2463" s="13" t="s">
        <v>1310</v>
      </c>
      <c r="W2463" s="13" t="s">
        <v>43</v>
      </c>
      <c r="X2463" s="21" t="n">
        <v>81358491089</v>
      </c>
      <c r="Y2463" s="22" t="str">
        <f aca="false">O2463</f>
        <v>KOL Specialist</v>
      </c>
      <c r="Z2463" s="13" t="str">
        <f aca="false">IFERROR(__xludf.dummyfunction("if(BJ2463="""","""",GOOGLETRANSLATE(BJ2463,""auto"",""en""))"),"KOL Specialist")</f>
        <v>KOL Specialist</v>
      </c>
      <c r="AA2463" s="23" t="str">
        <f aca="false">IF(C2463="","", CHOOSE(MONTH(C2463),"January","February","March","April","May","June","July","August","September","October","November","December")&amp;" "&amp;DAY(C2463)&amp;MID("thstndrdth",MIN(9,2*RIGHT(DAY(C2463))*(MOD(DAY(C2463)-11,100)&gt;2)+1),2)&amp;","&amp;TEXT(C2463," yyyy"))</f>
        <v>July 16th,2025</v>
      </c>
      <c r="AB2463" s="15" t="str">
        <f aca="true">IF(S2463="","",DATEDIF(S2463,TODAY(),"Y")&amp;" Tahun, "&amp;DATEDIF(S2463,TODAY(),"YM")&amp;" Bulan, "&amp;DATEDIF(S2463,TODAY(),"MD")&amp;" Hari")</f>
        <v>25 Tahun, 11 Bulan, 29 Hari</v>
      </c>
      <c r="AC2463" s="18" t="n">
        <v>45854</v>
      </c>
      <c r="AD2463" s="18" t="n">
        <v>45945</v>
      </c>
      <c r="AE2463" s="18" t="s">
        <v>44</v>
      </c>
    </row>
    <row r="2464" customFormat="false" ht="15" hidden="false" customHeight="true" outlineLevel="0" collapsed="false">
      <c r="A2464" s="12" t="n">
        <v>20106</v>
      </c>
      <c r="B2464" s="13" t="s">
        <v>3373</v>
      </c>
      <c r="C2464" s="16" t="n">
        <v>45852</v>
      </c>
      <c r="D2464" s="13" t="s">
        <v>6956</v>
      </c>
      <c r="E2464" s="15" t="s">
        <v>47</v>
      </c>
      <c r="F2464" s="15" t="str">
        <f aca="false">IFERROR(__xludf.dummyfunction("XLOOKUP(AJ2464,IMPORTRANGE(""1XaInW9DU9nz21V0tYIfzFQ0He9kVQ_JF2mCXgZ3hqFA"",""REKAP ALL 2026 - Andika!G:G""),IMPORTRANGE(""1XaInW9DU9nz21V0tYIfzFQ0He9kVQ_JF2mCXgZ3hqFA"",""REKAP ALL 2026 - Andika!F:F""),"""",0)"),"25099757145")</f>
        <v>25099757145</v>
      </c>
      <c r="G2464" s="13" t="s">
        <v>10573</v>
      </c>
      <c r="H2464" s="13" t="s">
        <v>35</v>
      </c>
      <c r="I2464" s="13" t="str">
        <f aca="false">IF(C2464=J2464,"NEW KONTRAK","RE-KONTRAK")</f>
        <v>NEW KONTRAK</v>
      </c>
      <c r="J2464" s="16" t="n">
        <f aca="false" t="array" ref="J2464:J2464">IFERROR(INDEX(AC2464:AE2464,IF(COUNTA(AC2464:AE2464)=0,"",MAX((AC2464:AE2464&lt;&gt;"")*(COLUMN(AC2464:AE2464)-(COLUMN(AC2464)))))-1),"")</f>
        <v>45852</v>
      </c>
      <c r="K2464" s="16" t="n">
        <f aca="false" t="array" ref="K2464:K2464">IFERROR(INDEX(AC2464:AE2464,IF(COUNTA(AC2464:AE2464)=0,"",MAX((AC2464:AE2464&lt;&gt;"")*(COLUMN(AC2464:AE2464)-(COLUMN(AC2464)-1))))-1),"")</f>
        <v>46022</v>
      </c>
      <c r="L2464" s="17" t="str">
        <f aca="false" t="array" ref="L2464:L2464">IFERROR(INDEX(AC2464:AE2464,IF(COUNTA(AC2464:AE2464)=0,"",MAX((AC2464:AE2464&lt;&gt;"")*(COLUMN(AC2464:AE2464)-(COLUMN(AC2464)-2))))-1),"")</f>
        <v>ARCHIVED</v>
      </c>
      <c r="M2464" s="13" t="n">
        <f aca="true">K2464-TODAY()</f>
        <v>-302</v>
      </c>
      <c r="N2464" s="18" t="s">
        <v>728</v>
      </c>
      <c r="O2464" s="13" t="s">
        <v>7007</v>
      </c>
      <c r="P2464" s="19" t="n">
        <v>200000</v>
      </c>
      <c r="Q2464" s="20" t="s">
        <v>10574</v>
      </c>
      <c r="R2464" s="13" t="s">
        <v>227</v>
      </c>
      <c r="S2464" s="16" t="n">
        <v>35267</v>
      </c>
      <c r="T2464" s="13" t="s">
        <v>40</v>
      </c>
      <c r="U2464" s="13" t="s">
        <v>10575</v>
      </c>
      <c r="V2464" s="13" t="s">
        <v>42</v>
      </c>
      <c r="W2464" s="13" t="s">
        <v>54</v>
      </c>
      <c r="X2464" s="21" t="n">
        <v>81803622359</v>
      </c>
      <c r="Y2464" s="22" t="str">
        <f aca="false">O2464</f>
        <v>Finish Good &amp; Logistic</v>
      </c>
      <c r="Z2464" s="13" t="str">
        <f aca="false">IFERROR(__xludf.dummyfunction("if(BJ2464="""","""",GOOGLETRANSLATE(BJ2464,""auto"",""en""))"),"Finish Good &amp; Logistic")</f>
        <v>Finish Good &amp; Logistic</v>
      </c>
      <c r="AA2464" s="23" t="str">
        <f aca="false">IF(C2464="","", CHOOSE(MONTH(C2464),"January","February","March","April","May","June","July","August","September","October","November","December")&amp;" "&amp;DAY(C2464)&amp;MID("thstndrdth",MIN(9,2*RIGHT(DAY(C2464))*(MOD(DAY(C2464)-11,100)&gt;2)+1),2)&amp;","&amp;TEXT(C2464," yyyy"))</f>
        <v>July 14th,2025</v>
      </c>
      <c r="AB2464" s="15" t="str">
        <f aca="true">IF(S2464="","",DATEDIF(S2464,TODAY(),"Y")&amp;" Tahun, "&amp;DATEDIF(S2464,TODAY(),"YM")&amp;" Bulan, "&amp;DATEDIF(S2464,TODAY(),"MD")&amp;" Hari")</f>
        <v>30 Tahun, 3 Bulan, 8 Hari</v>
      </c>
      <c r="AC2464" s="18" t="n">
        <v>45852</v>
      </c>
      <c r="AD2464" s="18" t="n">
        <v>46022</v>
      </c>
      <c r="AE2464" s="18" t="s">
        <v>44</v>
      </c>
    </row>
    <row r="2465" customFormat="false" ht="15" hidden="false" customHeight="true" outlineLevel="0" collapsed="false">
      <c r="A2465" s="12" t="n">
        <v>20105</v>
      </c>
      <c r="B2465" s="13" t="s">
        <v>10576</v>
      </c>
      <c r="C2465" s="16" t="n">
        <v>45852</v>
      </c>
      <c r="D2465" s="13" t="s">
        <v>3022</v>
      </c>
      <c r="E2465" s="15" t="s">
        <v>789</v>
      </c>
      <c r="F2465" s="24" t="s">
        <v>10577</v>
      </c>
      <c r="G2465" s="13" t="s">
        <v>1127</v>
      </c>
      <c r="H2465" s="13" t="s">
        <v>3024</v>
      </c>
      <c r="I2465" s="13" t="str">
        <f aca="false">IF(C2465=J2465,"NEW KONTRAK","RE-KONTRAK")</f>
        <v>NEW KONTRAK</v>
      </c>
      <c r="J2465" s="16" t="n">
        <f aca="false" t="array" ref="J2465:J2465">IFERROR(INDEX(AC2465:AE2465,IF(COUNTA(AC2465:AE2465)=0,"",MAX((AC2465:AE2465&lt;&gt;"")*(COLUMN(AC2465:AE2465)-(COLUMN(AC2465)))))-1),"")</f>
        <v>45852</v>
      </c>
      <c r="K2465" s="16" t="n">
        <f aca="false" t="array" ref="K2465:K2465">IFERROR(INDEX(AC2465:AE2465,IF(COUNTA(AC2465:AE2465)=0,"",MAX((AC2465:AE2465&lt;&gt;"")*(COLUMN(AC2465:AE2465)-(COLUMN(AC2465)-1))))-1),"")</f>
        <v>45943</v>
      </c>
      <c r="L2465" s="17" t="str">
        <f aca="false" t="array" ref="L2465:L2465">IFERROR(INDEX(AC2465:AE2465,IF(COUNTA(AC2465:AE2465)=0,"",MAX((AC2465:AE2465&lt;&gt;"")*(COLUMN(AC2465:AE2465)-(COLUMN(AC2465)-2))))-1),"")</f>
        <v>ARCHIVED</v>
      </c>
      <c r="M2465" s="13" t="n">
        <f aca="true">K2465-TODAY()</f>
        <v>-381</v>
      </c>
      <c r="N2465" s="18" t="s">
        <v>36</v>
      </c>
      <c r="O2465" s="13" t="s">
        <v>58</v>
      </c>
      <c r="P2465" s="19" t="n">
        <v>93500</v>
      </c>
      <c r="Q2465" s="20" t="s">
        <v>10578</v>
      </c>
      <c r="R2465" s="13" t="s">
        <v>65</v>
      </c>
      <c r="S2465" s="16" t="n">
        <v>39102</v>
      </c>
      <c r="T2465" s="13" t="s">
        <v>40</v>
      </c>
      <c r="U2465" s="13" t="s">
        <v>10579</v>
      </c>
      <c r="V2465" s="13" t="s">
        <v>42</v>
      </c>
      <c r="W2465" s="13" t="s">
        <v>43</v>
      </c>
      <c r="X2465" s="21" t="n">
        <v>88991775173</v>
      </c>
      <c r="Y2465" s="22" t="str">
        <f aca="false">O2465</f>
        <v>Produksi</v>
      </c>
      <c r="Z2465" s="13" t="str">
        <f aca="false">IFERROR(__xludf.dummyfunction("if(BJ2465="""","""",GOOGLETRANSLATE(BJ2465,""auto"",""en""))"),"Production")</f>
        <v>Production</v>
      </c>
      <c r="AA2465" s="23" t="str">
        <f aca="false">IF(C2465="","", CHOOSE(MONTH(C2465),"January","February","March","April","May","June","July","August","September","October","November","December")&amp;" "&amp;DAY(C2465)&amp;MID("thstndrdth",MIN(9,2*RIGHT(DAY(C2465))*(MOD(DAY(C2465)-11,100)&gt;2)+1),2)&amp;","&amp;TEXT(C2465," yyyy"))</f>
        <v>July 14th,2025</v>
      </c>
      <c r="AB2465" s="15" t="str">
        <f aca="true">IF(S2465="","",DATEDIF(S2465,TODAY(),"Y")&amp;" Tahun, "&amp;DATEDIF(S2465,TODAY(),"YM")&amp;" Bulan, "&amp;DATEDIF(S2465,TODAY(),"MD")&amp;" Hari")</f>
        <v>19 Tahun, 9 Bulan, 9 Hari</v>
      </c>
      <c r="AC2465" s="18" t="n">
        <v>45852</v>
      </c>
      <c r="AD2465" s="18" t="n">
        <v>45943</v>
      </c>
      <c r="AE2465" s="18" t="s">
        <v>44</v>
      </c>
    </row>
    <row r="2466" customFormat="false" ht="15" hidden="false" customHeight="true" outlineLevel="0" collapsed="false">
      <c r="A2466" s="12" t="n">
        <v>20125</v>
      </c>
      <c r="B2466" s="13" t="s">
        <v>10580</v>
      </c>
      <c r="C2466" s="16" t="n">
        <v>45856</v>
      </c>
      <c r="D2466" s="13" t="s">
        <v>144</v>
      </c>
      <c r="E2466" s="15" t="s">
        <v>47</v>
      </c>
      <c r="F2466" s="15" t="str">
        <f aca="false">IFERROR(__xludf.dummyfunction("XLOOKUP(AJ2466,IMPORTRANGE(""1XaInW9DU9nz21V0tYIfzFQ0He9kVQ_JF2mCXgZ3hqFA"",""REKAP ALL 2026 - Andika!G:G""),IMPORTRANGE(""1XaInW9DU9nz21V0tYIfzFQ0He9kVQ_JF2mCXgZ3hqFA"",""REKAP ALL 2026 - Andika!F:F""),"""",0)"),"25099756972")</f>
        <v>25099756972</v>
      </c>
      <c r="G2466" s="13" t="s">
        <v>10581</v>
      </c>
      <c r="H2466" s="13" t="s">
        <v>35</v>
      </c>
      <c r="I2466" s="13" t="str">
        <f aca="false">IF(C2466=J2466,"NEW KONTRAK","RE-KONTRAK")</f>
        <v>NEW KONTRAK</v>
      </c>
      <c r="J2466" s="16" t="n">
        <f aca="false" t="array" ref="J2466:J2466">IFERROR(INDEX(AC2466:AE2466,IF(COUNTA(AC2466:AE2466)=0,"",MAX((AC2466:AE2466&lt;&gt;"")*(COLUMN(AC2466:AE2466)-(COLUMN(AC2466)))))-1),"")</f>
        <v>45856</v>
      </c>
      <c r="K2466" s="16" t="n">
        <f aca="false" t="array" ref="K2466:K2466">IFERROR(INDEX(AC2466:AE2466,IF(COUNTA(AC2466:AE2466)=0,"",MAX((AC2466:AE2466&lt;&gt;"")*(COLUMN(AC2466:AE2466)-(COLUMN(AC2466)-1))))-1),"")</f>
        <v>46022</v>
      </c>
      <c r="L2466" s="17" t="str">
        <f aca="false" t="array" ref="L2466:L2466">IFERROR(INDEX(AC2466:AE2466,IF(COUNTA(AC2466:AE2466)=0,"",MAX((AC2466:AE2466&lt;&gt;"")*(COLUMN(AC2466:AE2466)-(COLUMN(AC2466)-2))))-1),"")</f>
        <v>ARCHIVED</v>
      </c>
      <c r="M2466" s="13" t="n">
        <f aca="true">K2466-TODAY()</f>
        <v>-302</v>
      </c>
      <c r="N2466" s="18" t="s">
        <v>36</v>
      </c>
      <c r="O2466" s="13" t="s">
        <v>161</v>
      </c>
      <c r="P2466" s="19" t="n">
        <v>5195401</v>
      </c>
      <c r="Q2466" s="20" t="s">
        <v>10582</v>
      </c>
      <c r="R2466" s="13" t="s">
        <v>65</v>
      </c>
      <c r="S2466" s="16" t="n">
        <v>25766</v>
      </c>
      <c r="T2466" s="13" t="s">
        <v>40</v>
      </c>
      <c r="U2466" s="13" t="s">
        <v>10583</v>
      </c>
      <c r="V2466" s="13" t="s">
        <v>42</v>
      </c>
      <c r="W2466" s="13" t="s">
        <v>54</v>
      </c>
      <c r="X2466" s="21" t="n">
        <v>82141404356</v>
      </c>
      <c r="Y2466" s="22" t="str">
        <f aca="false">O2466</f>
        <v>RM Store</v>
      </c>
      <c r="Z2466" s="13" t="str">
        <f aca="false">IFERROR(__xludf.dummyfunction("if(BJ2466="""","""",GOOGLETRANSLATE(BJ2466,""auto"",""en""))"),"RM Store")</f>
        <v>RM Store</v>
      </c>
      <c r="AA2466" s="23" t="str">
        <f aca="false">IF(C2466="","", CHOOSE(MONTH(C2466),"January","February","March","April","May","June","July","August","September","October","November","December")&amp;" "&amp;DAY(C2466)&amp;MID("thstndrdth",MIN(9,2*RIGHT(DAY(C2466))*(MOD(DAY(C2466)-11,100)&gt;2)+1),2)&amp;","&amp;TEXT(C2466," yyyy"))</f>
        <v>July 18th,2025</v>
      </c>
      <c r="AB2466" s="15" t="str">
        <f aca="true">IF(S2466="","",DATEDIF(S2466,TODAY(),"Y")&amp;" Tahun, "&amp;DATEDIF(S2466,TODAY(),"YM")&amp;" Bulan, "&amp;DATEDIF(S2466,TODAY(),"MD")&amp;" Hari")</f>
        <v>56 Tahun, 3 Bulan, 12 Hari</v>
      </c>
      <c r="AC2466" s="18" t="n">
        <v>45856</v>
      </c>
      <c r="AD2466" s="18" t="n">
        <v>46022</v>
      </c>
      <c r="AE2466" s="18" t="s">
        <v>44</v>
      </c>
    </row>
    <row r="2467" customFormat="false" ht="15" hidden="false" customHeight="true" outlineLevel="0" collapsed="false">
      <c r="A2467" s="12" t="n">
        <v>20120</v>
      </c>
      <c r="B2467" s="13" t="s">
        <v>10584</v>
      </c>
      <c r="C2467" s="16" t="n">
        <v>45842</v>
      </c>
      <c r="D2467" s="13" t="s">
        <v>8071</v>
      </c>
      <c r="E2467" s="15" t="s">
        <v>33</v>
      </c>
      <c r="F2467" s="24" t="s">
        <v>10585</v>
      </c>
      <c r="G2467" s="13" t="s">
        <v>10586</v>
      </c>
      <c r="H2467" s="13" t="s">
        <v>35</v>
      </c>
      <c r="I2467" s="13" t="str">
        <f aca="false">IF(C2467=J2467,"NEW KONTRAK","RE-KONTRAK")</f>
        <v>NEW KONTRAK</v>
      </c>
      <c r="J2467" s="16" t="n">
        <f aca="false" t="array" ref="J2467:J2467">IFERROR(INDEX(AC2467:AE2467,IF(COUNTA(AC2467:AE2467)=0,"",MAX((AC2467:AE2467&lt;&gt;"")*(COLUMN(AC2467:AE2467)-(COLUMN(AC2467)))))-1),"")</f>
        <v>45842</v>
      </c>
      <c r="K2467" s="16" t="n">
        <f aca="false" t="array" ref="K2467:K2467">IFERROR(INDEX(AC2467:AE2467,IF(COUNTA(AC2467:AE2467)=0,"",MAX((AC2467:AE2467&lt;&gt;"")*(COLUMN(AC2467:AE2467)-(COLUMN(AC2467)-1))))-1),"")</f>
        <v>45933</v>
      </c>
      <c r="L2467" s="17" t="str">
        <f aca="false" t="array" ref="L2467:L2467">IFERROR(INDEX(AC2467:AE2467,IF(COUNTA(AC2467:AE2467)=0,"",MAX((AC2467:AE2467&lt;&gt;"")*(COLUMN(AC2467:AE2467)-(COLUMN(AC2467)-2))))-1),"")</f>
        <v>ARCHIVED</v>
      </c>
      <c r="M2467" s="13" t="n">
        <f aca="true">K2467-TODAY()</f>
        <v>-391</v>
      </c>
      <c r="N2467" s="18" t="s">
        <v>105</v>
      </c>
      <c r="O2467" s="13" t="s">
        <v>764</v>
      </c>
      <c r="P2467" s="19" t="n">
        <v>2500000</v>
      </c>
      <c r="Q2467" s="20" t="s">
        <v>10587</v>
      </c>
      <c r="R2467" s="13" t="s">
        <v>52</v>
      </c>
      <c r="S2467" s="16" t="n">
        <v>35929</v>
      </c>
      <c r="T2467" s="13" t="s">
        <v>40</v>
      </c>
      <c r="U2467" s="13" t="s">
        <v>10588</v>
      </c>
      <c r="V2467" s="13" t="s">
        <v>42</v>
      </c>
      <c r="W2467" s="13" t="s">
        <v>43</v>
      </c>
      <c r="X2467" s="30" t="n">
        <v>85817187026</v>
      </c>
      <c r="Y2467" s="22" t="str">
        <f aca="false">O2467</f>
        <v>Operator</v>
      </c>
      <c r="Z2467" s="13" t="str">
        <f aca="false">IFERROR(__xludf.dummyfunction("if(BJ2467="""","""",GOOGLETRANSLATE(BJ2467,""auto"",""en""))"),"Operator")</f>
        <v>Operator</v>
      </c>
      <c r="AA2467" s="23" t="str">
        <f aca="false">IF(C2467="","", CHOOSE(MONTH(C2467),"January","February","March","April","May","June","July","August","September","October","November","December")&amp;" "&amp;DAY(C2467)&amp;MID("thstndrdth",MIN(9,2*RIGHT(DAY(C2467))*(MOD(DAY(C2467)-11,100)&gt;2)+1),2)&amp;","&amp;TEXT(C2467," yyyy"))</f>
        <v>July 4th,2025</v>
      </c>
      <c r="AB2467" s="15" t="str">
        <f aca="true">IF(S2467="","",DATEDIF(S2467,TODAY(),"Y")&amp;" Tahun, "&amp;DATEDIF(S2467,TODAY(),"YM")&amp;" Bulan, "&amp;DATEDIF(S2467,TODAY(),"MD")&amp;" Hari")</f>
        <v>28 Tahun, 5 Bulan, 15 Hari</v>
      </c>
      <c r="AC2467" s="18" t="n">
        <v>45842</v>
      </c>
      <c r="AD2467" s="18" t="n">
        <v>45933</v>
      </c>
      <c r="AE2467" s="18" t="s">
        <v>44</v>
      </c>
    </row>
    <row r="2468" customFormat="false" ht="15" hidden="false" customHeight="true" outlineLevel="0" collapsed="false">
      <c r="A2468" s="12" t="n">
        <v>20123</v>
      </c>
      <c r="B2468" s="13" t="s">
        <v>10589</v>
      </c>
      <c r="C2468" s="16" t="n">
        <v>45826</v>
      </c>
      <c r="D2468" s="13" t="s">
        <v>5250</v>
      </c>
      <c r="E2468" s="15" t="s">
        <v>789</v>
      </c>
      <c r="F2468" s="15" t="str">
        <f aca="false">IFERROR(__xludf.dummyfunction("XLOOKUP(AJ2468,IMPORTRANGE(""1XaInW9DU9nz21V0tYIfzFQ0He9kVQ_JF2mCXgZ3hqFA"",""REKAP ALL 2026 - Andika!G:G""),IMPORTRANGE(""1XaInW9DU9nz21V0tYIfzFQ0He9kVQ_JF2mCXgZ3hqFA"",""REKAP ALL 2026 - Andika!F:F""),"""",0)"),"25099755107")</f>
        <v>25099755107</v>
      </c>
      <c r="G2468" s="13" t="s">
        <v>2809</v>
      </c>
      <c r="H2468" s="13" t="s">
        <v>35</v>
      </c>
      <c r="I2468" s="13" t="str">
        <f aca="false">IF(C2468=J2468,"NEW KONTRAK","RE-KONTRAK")</f>
        <v>NEW KONTRAK</v>
      </c>
      <c r="J2468" s="16" t="n">
        <f aca="false" t="array" ref="J2468:J2468">IFERROR(INDEX(AC2468:AE2468,IF(COUNTA(AC2468:AE2468)=0,"",MAX((AC2468:AE2468&lt;&gt;"")*(COLUMN(AC2468:AE2468)-(COLUMN(AC2468)))))-1),"")</f>
        <v>45826</v>
      </c>
      <c r="K2468" s="16" t="n">
        <f aca="false" t="array" ref="K2468:K2468">IFERROR(INDEX(AC2468:AE2468,IF(COUNTA(AC2468:AE2468)=0,"",MAX((AC2468:AE2468&lt;&gt;"")*(COLUMN(AC2468:AE2468)-(COLUMN(AC2468)-1))))-1),"")</f>
        <v>45917</v>
      </c>
      <c r="L2468" s="17" t="str">
        <f aca="false" t="array" ref="L2468:L2468">IFERROR(INDEX(AC2468:AE2468,IF(COUNTA(AC2468:AE2468)=0,"",MAX((AC2468:AE2468&lt;&gt;"")*(COLUMN(AC2468:AE2468)-(COLUMN(AC2468)-2))))-1),"")</f>
        <v>ARCHIVED</v>
      </c>
      <c r="M2468" s="13" t="n">
        <f aca="true">K2468-TODAY()</f>
        <v>-407</v>
      </c>
      <c r="N2468" s="18" t="s">
        <v>728</v>
      </c>
      <c r="O2468" s="13" t="s">
        <v>10590</v>
      </c>
      <c r="P2468" s="19" t="n">
        <v>60039</v>
      </c>
      <c r="Q2468" s="20" t="s">
        <v>10591</v>
      </c>
      <c r="R2468" s="13" t="s">
        <v>52</v>
      </c>
      <c r="S2468" s="16" t="n">
        <v>38761</v>
      </c>
      <c r="T2468" s="13" t="s">
        <v>40</v>
      </c>
      <c r="U2468" s="13" t="s">
        <v>10592</v>
      </c>
      <c r="V2468" s="13" t="s">
        <v>42</v>
      </c>
      <c r="W2468" s="13" t="s">
        <v>43</v>
      </c>
      <c r="X2468" s="21" t="n">
        <v>88226119650</v>
      </c>
      <c r="Y2468" s="22" t="str">
        <f aca="false">O2468</f>
        <v>Pekerja Serabutan</v>
      </c>
      <c r="Z2468" s="13" t="str">
        <f aca="false">IFERROR(__xludf.dummyfunction("if(BJ2468="""","""",GOOGLETRANSLATE(BJ2468,""auto"",""en""))"),"Odd Job Worker")</f>
        <v>Odd Job Worker</v>
      </c>
      <c r="AA2468" s="23" t="str">
        <f aca="false">IF(C2468="","", CHOOSE(MONTH(C2468),"January","February","March","April","May","June","July","August","September","October","November","December")&amp;" "&amp;DAY(C2468)&amp;MID("thstndrdth",MIN(9,2*RIGHT(DAY(C2468))*(MOD(DAY(C2468)-11,100)&gt;2)+1),2)&amp;","&amp;TEXT(C2468," yyyy"))</f>
        <v>June 18th,2025</v>
      </c>
      <c r="AB2468" s="15" t="str">
        <f aca="true">IF(S2468="","",DATEDIF(S2468,TODAY(),"Y")&amp;" Tahun, "&amp;DATEDIF(S2468,TODAY(),"YM")&amp;" Bulan, "&amp;DATEDIF(S2468,TODAY(),"MD")&amp;" Hari")</f>
        <v>20 Tahun, 8 Bulan, 16 Hari</v>
      </c>
      <c r="AC2468" s="18" t="n">
        <v>45826</v>
      </c>
      <c r="AD2468" s="18" t="n">
        <v>45917</v>
      </c>
      <c r="AE2468" s="18" t="s">
        <v>44</v>
      </c>
    </row>
    <row r="2469" customFormat="false" ht="15" hidden="false" customHeight="true" outlineLevel="0" collapsed="false">
      <c r="A2469" s="12" t="n">
        <v>20124</v>
      </c>
      <c r="B2469" s="13" t="s">
        <v>10593</v>
      </c>
      <c r="C2469" s="16" t="n">
        <v>45803</v>
      </c>
      <c r="D2469" s="13" t="s">
        <v>5250</v>
      </c>
      <c r="E2469" s="15" t="s">
        <v>789</v>
      </c>
      <c r="F2469" s="15" t="str">
        <f aca="false">IFERROR(__xludf.dummyfunction("XLOOKUP(AJ2469,IMPORTRANGE(""1XaInW9DU9nz21V0tYIfzFQ0He9kVQ_JF2mCXgZ3hqFA"",""REKAP ALL 2026 - Andika!G:G""),IMPORTRANGE(""1XaInW9DU9nz21V0tYIfzFQ0He9kVQ_JF2mCXgZ3hqFA"",""REKAP ALL 2026 - Andika!F:F""),"""",0)"),"25099755099")</f>
        <v>25099755099</v>
      </c>
      <c r="G2469" s="13" t="s">
        <v>2809</v>
      </c>
      <c r="H2469" s="13" t="s">
        <v>35</v>
      </c>
      <c r="I2469" s="13" t="str">
        <f aca="false">IF(C2469=J2469,"NEW KONTRAK","RE-KONTRAK")</f>
        <v>RE-KONTRAK</v>
      </c>
      <c r="J2469" s="16" t="n">
        <f aca="false" t="array" ref="J2469:J2469">IFERROR(INDEX(AC2469:AE2469,IF(COUNTA(AC2469:AE2469)=0,"",MAX((AC2469:AE2469&lt;&gt;"")*(COLUMN(AC2469:AE2469)-(COLUMN(AC2469)))))-1),"")</f>
        <v>45895</v>
      </c>
      <c r="K2469" s="16" t="n">
        <f aca="false" t="array" ref="K2469:K2469">IFERROR(INDEX(AC2469:AE2469,IF(COUNTA(AC2469:AE2469)=0,"",MAX((AC2469:AE2469&lt;&gt;"")*(COLUMN(AC2469:AE2469)-(COLUMN(AC2469)-1))))-1),"")</f>
        <v>46078</v>
      </c>
      <c r="L2469" s="17" t="str">
        <f aca="false" t="array" ref="L2469:L2469">IFERROR(INDEX(AC2469:AE2469,IF(COUNTA(AC2469:AE2469)=0,"",MAX((AC2469:AE2469&lt;&gt;"")*(COLUMN(AC2469:AE2469)-(COLUMN(AC2469)-2))))-1),"")</f>
        <v>ARCHIVED</v>
      </c>
      <c r="M2469" s="13" t="n">
        <f aca="true">K2469-TODAY()</f>
        <v>-246</v>
      </c>
      <c r="N2469" s="18" t="s">
        <v>728</v>
      </c>
      <c r="O2469" s="13" t="s">
        <v>10594</v>
      </c>
      <c r="P2469" s="27" t="n">
        <v>60039</v>
      </c>
      <c r="Q2469" s="20" t="s">
        <v>10595</v>
      </c>
      <c r="R2469" s="13" t="s">
        <v>52</v>
      </c>
      <c r="S2469" s="16" t="n">
        <v>39047</v>
      </c>
      <c r="T2469" s="13" t="s">
        <v>40</v>
      </c>
      <c r="U2469" s="13" t="s">
        <v>10596</v>
      </c>
      <c r="V2469" s="13" t="s">
        <v>42</v>
      </c>
      <c r="W2469" s="13" t="s">
        <v>43</v>
      </c>
      <c r="X2469" s="21" t="n">
        <v>82143348753</v>
      </c>
      <c r="Y2469" s="22" t="str">
        <f aca="false">O2469</f>
        <v>Helper Mesin</v>
      </c>
      <c r="Z2469" s="13" t="str">
        <f aca="false">IFERROR(__xludf.dummyfunction("if(BJ2469="""","""",GOOGLETRANSLATE(BJ2469,""auto"",""en""))"),"Machine Helper")</f>
        <v>Machine Helper</v>
      </c>
      <c r="AA2469" s="23" t="str">
        <f aca="false">IF(C2469="","", CHOOSE(MONTH(C2469),"January","February","March","April","May","June","July","August","September","October","November","December")&amp;" "&amp;DAY(C2469)&amp;MID("thstndrdth",MIN(9,2*RIGHT(DAY(C2469))*(MOD(DAY(C2469)-11,100)&gt;2)+1),2)&amp;","&amp;TEXT(C2469," yyyy"))</f>
        <v>May 26th,2025</v>
      </c>
      <c r="AB2469" s="15" t="str">
        <f aca="true">IF(S2469="","",DATEDIF(S2469,TODAY(),"Y")&amp;" Tahun, "&amp;DATEDIF(S2469,TODAY(),"YM")&amp;" Bulan, "&amp;DATEDIF(S2469,TODAY(),"MD")&amp;" Hari")</f>
        <v>19 Tahun, 11 Bulan, 3 Hari</v>
      </c>
      <c r="AC2469" s="18" t="n">
        <v>45895</v>
      </c>
      <c r="AD2469" s="18" t="n">
        <v>46078</v>
      </c>
      <c r="AE2469" s="18" t="s">
        <v>44</v>
      </c>
    </row>
    <row r="2470" customFormat="false" ht="15" hidden="false" customHeight="true" outlineLevel="0" collapsed="false">
      <c r="A2470" s="12" t="n">
        <v>20126</v>
      </c>
      <c r="B2470" s="13" t="s">
        <v>10597</v>
      </c>
      <c r="C2470" s="16" t="n">
        <v>45855</v>
      </c>
      <c r="D2470" s="13" t="s">
        <v>3022</v>
      </c>
      <c r="E2470" s="15" t="s">
        <v>47</v>
      </c>
      <c r="F2470" s="15" t="str">
        <f aca="false">IFERROR(__xludf.dummyfunction("XLOOKUP(AJ2470,IMPORTRANGE(""1XaInW9DU9nz21V0tYIfzFQ0He9kVQ_JF2mCXgZ3hqFA"",""REKAP ALL 2026 - Andika!G:G""),IMPORTRANGE(""1XaInW9DU9nz21V0tYIfzFQ0He9kVQ_JF2mCXgZ3hqFA"",""REKAP ALL 2026 - Andika!F:F""),"""",0)"),"25099756303")</f>
        <v>25099756303</v>
      </c>
      <c r="G2470" s="13" t="s">
        <v>1127</v>
      </c>
      <c r="H2470" s="13" t="s">
        <v>3024</v>
      </c>
      <c r="I2470" s="13" t="str">
        <f aca="false">IF(C2470=J2470,"NEW KONTRAK","RE-KONTRAK")</f>
        <v>NEW KONTRAK</v>
      </c>
      <c r="J2470" s="16" t="n">
        <f aca="false" t="array" ref="J2470:J2470">IFERROR(INDEX(AC2470:AE2470,IF(COUNTA(AC2470:AE2470)=0,"",MAX((AC2470:AE2470&lt;&gt;"")*(COLUMN(AC2470:AE2470)-(COLUMN(AC2470)))))-1),"")</f>
        <v>45855</v>
      </c>
      <c r="K2470" s="16" t="n">
        <f aca="false" t="array" ref="K2470:K2470">IFERROR(INDEX(AC2470:AE2470,IF(COUNTA(AC2470:AE2470)=0,"",MAX((AC2470:AE2470&lt;&gt;"")*(COLUMN(AC2470:AE2470)-(COLUMN(AC2470)-1))))-1),"")</f>
        <v>45946</v>
      </c>
      <c r="L2470" s="17" t="str">
        <f aca="false" t="array" ref="L2470:L2470">IFERROR(INDEX(AC2470:AE2470,IF(COUNTA(AC2470:AE2470)=0,"",MAX((AC2470:AE2470&lt;&gt;"")*(COLUMN(AC2470:AE2470)-(COLUMN(AC2470)-2))))-1),"")</f>
        <v>ARCHIVED</v>
      </c>
      <c r="M2470" s="13" t="n">
        <f aca="true">K2470-TODAY()</f>
        <v>-378</v>
      </c>
      <c r="N2470" s="18" t="s">
        <v>36</v>
      </c>
      <c r="O2470" s="13" t="s">
        <v>785</v>
      </c>
      <c r="P2470" s="19" t="n">
        <v>100000</v>
      </c>
      <c r="Q2470" s="20" t="s">
        <v>10598</v>
      </c>
      <c r="R2470" s="13" t="s">
        <v>148</v>
      </c>
      <c r="S2470" s="16" t="n">
        <v>39031</v>
      </c>
      <c r="T2470" s="13" t="s">
        <v>40</v>
      </c>
      <c r="U2470" s="13" t="s">
        <v>2624</v>
      </c>
      <c r="V2470" s="13" t="s">
        <v>42</v>
      </c>
      <c r="W2470" s="13" t="s">
        <v>43</v>
      </c>
      <c r="X2470" s="21" t="n">
        <v>85854412837</v>
      </c>
      <c r="Y2470" s="22" t="str">
        <f aca="false">O2470</f>
        <v>Gudang</v>
      </c>
      <c r="Z2470" s="13" t="str">
        <f aca="false">IFERROR(__xludf.dummyfunction("if(BJ2470="""","""",GOOGLETRANSLATE(BJ2470,""auto"",""en""))"),"Warehouse")</f>
        <v>Warehouse</v>
      </c>
      <c r="AA2470" s="23" t="str">
        <f aca="false">IF(C2470="","", CHOOSE(MONTH(C2470),"January","February","March","April","May","June","July","August","September","October","November","December")&amp;" "&amp;DAY(C2470)&amp;MID("thstndrdth",MIN(9,2*RIGHT(DAY(C2470))*(MOD(DAY(C2470)-11,100)&gt;2)+1),2)&amp;","&amp;TEXT(C2470," yyyy"))</f>
        <v>July 17th,2025</v>
      </c>
      <c r="AB2470" s="15" t="str">
        <f aca="true">IF(S2470="","",DATEDIF(S2470,TODAY(),"Y")&amp;" Tahun, "&amp;DATEDIF(S2470,TODAY(),"YM")&amp;" Bulan, "&amp;DATEDIF(S2470,TODAY(),"MD")&amp;" Hari")</f>
        <v>19 Tahun, 11 Bulan, 19 Hari</v>
      </c>
      <c r="AC2470" s="18" t="n">
        <v>45855</v>
      </c>
      <c r="AD2470" s="18" t="n">
        <v>45946</v>
      </c>
      <c r="AE2470" s="18" t="s">
        <v>44</v>
      </c>
    </row>
    <row r="2471" customFormat="false" ht="15" hidden="false" customHeight="true" outlineLevel="0" collapsed="false">
      <c r="A2471" s="12" t="n">
        <v>20127</v>
      </c>
      <c r="B2471" s="13" t="s">
        <v>10599</v>
      </c>
      <c r="C2471" s="16" t="n">
        <v>45859</v>
      </c>
      <c r="D2471" s="13" t="s">
        <v>10155</v>
      </c>
      <c r="E2471" s="15" t="s">
        <v>47</v>
      </c>
      <c r="F2471" s="15" t="str">
        <f aca="false">IFERROR(__xludf.dummyfunction("XLOOKUP(AJ2471,IMPORTRANGE(""1XaInW9DU9nz21V0tYIfzFQ0He9kVQ_JF2mCXgZ3hqFA"",""REKAP ALL 2026 - Andika!G:G""),IMPORTRANGE(""1XaInW9DU9nz21V0tYIfzFQ0He9kVQ_JF2mCXgZ3hqFA"",""REKAP ALL 2026 - Andika!F:F""),"""",0)"),"25099755446")</f>
        <v>25099755446</v>
      </c>
      <c r="G2471" s="13" t="s">
        <v>10600</v>
      </c>
      <c r="H2471" s="13" t="s">
        <v>35</v>
      </c>
      <c r="I2471" s="13" t="str">
        <f aca="false">IF(C2471=J2471,"NEW KONTRAK","RE-KONTRAK")</f>
        <v>NEW KONTRAK</v>
      </c>
      <c r="J2471" s="16" t="n">
        <f aca="false" t="array" ref="J2471:J2471">IFERROR(INDEX(AC2471:AE2471,IF(COUNTA(AC2471:AE2471)=0,"",MAX((AC2471:AE2471&lt;&gt;"")*(COLUMN(AC2471:AE2471)-(COLUMN(AC2471)))))-1),"")</f>
        <v>45859</v>
      </c>
      <c r="K2471" s="16" t="n">
        <f aca="false" t="array" ref="K2471:K2471">IFERROR(INDEX(AC2471:AE2471,IF(COUNTA(AC2471:AE2471)=0,"",MAX((AC2471:AE2471&lt;&gt;"")*(COLUMN(AC2471:AE2471)-(COLUMN(AC2471)-1))))-1),"")</f>
        <v>45950</v>
      </c>
      <c r="L2471" s="17" t="str">
        <f aca="false" t="array" ref="L2471:L2471">IFERROR(INDEX(AC2471:AE2471,IF(COUNTA(AC2471:AE2471)=0,"",MAX((AC2471:AE2471&lt;&gt;"")*(COLUMN(AC2471:AE2471)-(COLUMN(AC2471)-2))))-1),"")</f>
        <v>ARCHIVED</v>
      </c>
      <c r="M2471" s="13" t="n">
        <f aca="true">K2471-TODAY()</f>
        <v>-374</v>
      </c>
      <c r="N2471" s="18" t="s">
        <v>36</v>
      </c>
      <c r="O2471" s="13" t="s">
        <v>10601</v>
      </c>
      <c r="P2471" s="27" t="n">
        <v>5195401</v>
      </c>
      <c r="Q2471" s="20" t="s">
        <v>10602</v>
      </c>
      <c r="R2471" s="13" t="s">
        <v>826</v>
      </c>
      <c r="S2471" s="16" t="n">
        <v>37938</v>
      </c>
      <c r="T2471" s="13" t="s">
        <v>40</v>
      </c>
      <c r="U2471" s="13" t="s">
        <v>10282</v>
      </c>
      <c r="V2471" s="13" t="s">
        <v>42</v>
      </c>
      <c r="W2471" s="13" t="s">
        <v>43</v>
      </c>
      <c r="X2471" s="21" t="n">
        <v>89513770939</v>
      </c>
      <c r="Y2471" s="22" t="str">
        <f aca="false">O2471</f>
        <v>Cold CS P1 Production</v>
      </c>
      <c r="Z2471" s="13" t="str">
        <f aca="false">IFERROR(__xludf.dummyfunction("if(BJ2471="""","""",GOOGLETRANSLATE(BJ2471,""auto"",""en""))"),"Cold CS P1 Production")</f>
        <v>Cold CS P1 Production</v>
      </c>
      <c r="AA2471" s="23" t="str">
        <f aca="false">IF(C2471="","", CHOOSE(MONTH(C2471),"January","February","March","April","May","June","July","August","September","October","November","December")&amp;" "&amp;DAY(C2471)&amp;MID("thstndrdth",MIN(9,2*RIGHT(DAY(C2471))*(MOD(DAY(C2471)-11,100)&gt;2)+1),2)&amp;","&amp;TEXT(C2471," yyyy"))</f>
        <v>July 21st,2025</v>
      </c>
      <c r="AB2471" s="15" t="str">
        <f aca="true">IF(S2471="","",DATEDIF(S2471,TODAY(),"Y")&amp;" Tahun, "&amp;DATEDIF(S2471,TODAY(),"YM")&amp;" Bulan, "&amp;DATEDIF(S2471,TODAY(),"MD")&amp;" Hari")</f>
        <v>22 Tahun, 11 Bulan, 16 Hari</v>
      </c>
      <c r="AC2471" s="18" t="n">
        <v>45859</v>
      </c>
      <c r="AD2471" s="18" t="n">
        <v>45950</v>
      </c>
      <c r="AE2471" s="18" t="s">
        <v>44</v>
      </c>
    </row>
    <row r="2472" customFormat="false" ht="15" hidden="false" customHeight="true" outlineLevel="0" collapsed="false">
      <c r="A2472" s="12" t="n">
        <v>20128</v>
      </c>
      <c r="B2472" s="13" t="s">
        <v>10603</v>
      </c>
      <c r="C2472" s="16" t="n">
        <v>45859</v>
      </c>
      <c r="D2472" s="13" t="s">
        <v>10155</v>
      </c>
      <c r="E2472" s="15" t="s">
        <v>47</v>
      </c>
      <c r="F2472" s="15" t="str">
        <f aca="false">IFERROR(__xludf.dummyfunction("XLOOKUP(AJ2472,IMPORTRANGE(""1XaInW9DU9nz21V0tYIfzFQ0He9kVQ_JF2mCXgZ3hqFA"",""REKAP ALL 2026 - Andika!G:G""),IMPORTRANGE(""1XaInW9DU9nz21V0tYIfzFQ0He9kVQ_JF2mCXgZ3hqFA"",""REKAP ALL 2026 - Andika!F:F""),"""",0)"),"25099755453")</f>
        <v>25099755453</v>
      </c>
      <c r="G2472" s="13" t="s">
        <v>10604</v>
      </c>
      <c r="H2472" s="13" t="s">
        <v>35</v>
      </c>
      <c r="I2472" s="13" t="str">
        <f aca="false">IF(C2472=J2472,"NEW KONTRAK","RE-KONTRAK")</f>
        <v>NEW KONTRAK</v>
      </c>
      <c r="J2472" s="16" t="n">
        <f aca="false" t="array" ref="J2472:J2472">IFERROR(INDEX(AC2472:AE2472,IF(COUNTA(AC2472:AE2472)=0,"",MAX((AC2472:AE2472&lt;&gt;"")*(COLUMN(AC2472:AE2472)-(COLUMN(AC2472)))))-1),"")</f>
        <v>45859</v>
      </c>
      <c r="K2472" s="16" t="n">
        <f aca="false" t="array" ref="K2472:K2472">IFERROR(INDEX(AC2472:AE2472,IF(COUNTA(AC2472:AE2472)=0,"",MAX((AC2472:AE2472&lt;&gt;"")*(COLUMN(AC2472:AE2472)-(COLUMN(AC2472)-1))))-1),"")</f>
        <v>45950</v>
      </c>
      <c r="L2472" s="17" t="str">
        <f aca="false" t="array" ref="L2472:L2472">IFERROR(INDEX(AC2472:AE2472,IF(COUNTA(AC2472:AE2472)=0,"",MAX((AC2472:AE2472&lt;&gt;"")*(COLUMN(AC2472:AE2472)-(COLUMN(AC2472)-2))))-1),"")</f>
        <v>ARCHIVED</v>
      </c>
      <c r="M2472" s="13" t="n">
        <f aca="true">K2472-TODAY()</f>
        <v>-374</v>
      </c>
      <c r="N2472" s="18" t="s">
        <v>36</v>
      </c>
      <c r="O2472" s="13" t="s">
        <v>10605</v>
      </c>
      <c r="P2472" s="27" t="n">
        <v>5195401</v>
      </c>
      <c r="Q2472" s="20" t="s">
        <v>10606</v>
      </c>
      <c r="R2472" s="13" t="s">
        <v>65</v>
      </c>
      <c r="S2472" s="16" t="n">
        <v>36387</v>
      </c>
      <c r="T2472" s="13" t="s">
        <v>40</v>
      </c>
      <c r="U2472" s="13" t="s">
        <v>873</v>
      </c>
      <c r="V2472" s="13" t="s">
        <v>42</v>
      </c>
      <c r="W2472" s="13" t="s">
        <v>43</v>
      </c>
      <c r="X2472" s="21" t="n">
        <v>87756875704</v>
      </c>
      <c r="Y2472" s="22" t="str">
        <f aca="false">O2472</f>
        <v>Workshoop &amp; Tooling</v>
      </c>
      <c r="Z2472" s="13" t="str">
        <f aca="false">IFERROR(__xludf.dummyfunction("if(BJ2472="""","""",GOOGLETRANSLATE(BJ2472,""auto"",""en""))"),"Workshoop &amp; Tooling")</f>
        <v>Workshoop &amp; Tooling</v>
      </c>
      <c r="AA2472" s="23" t="str">
        <f aca="false">IF(C2472="","", CHOOSE(MONTH(C2472),"January","February","March","April","May","June","July","August","September","October","November","December")&amp;" "&amp;DAY(C2472)&amp;MID("thstndrdth",MIN(9,2*RIGHT(DAY(C2472))*(MOD(DAY(C2472)-11,100)&gt;2)+1),2)&amp;","&amp;TEXT(C2472," yyyy"))</f>
        <v>July 21st,2025</v>
      </c>
      <c r="AB2472" s="15" t="str">
        <f aca="true">IF(S2472="","",DATEDIF(S2472,TODAY(),"Y")&amp;" Tahun, "&amp;DATEDIF(S2472,TODAY(),"YM")&amp;" Bulan, "&amp;DATEDIF(S2472,TODAY(),"MD")&amp;" Hari")</f>
        <v>27 Tahun, 2 Bulan, 14 Hari</v>
      </c>
      <c r="AC2472" s="18" t="n">
        <v>45859</v>
      </c>
      <c r="AD2472" s="18" t="n">
        <v>45950</v>
      </c>
      <c r="AE2472" s="18" t="s">
        <v>44</v>
      </c>
    </row>
    <row r="2473" customFormat="false" ht="15" hidden="false" customHeight="true" outlineLevel="0" collapsed="false">
      <c r="A2473" s="12" t="n">
        <v>20130</v>
      </c>
      <c r="B2473" s="13" t="s">
        <v>10607</v>
      </c>
      <c r="C2473" s="16" t="n">
        <v>45859</v>
      </c>
      <c r="D2473" s="13" t="s">
        <v>10155</v>
      </c>
      <c r="E2473" s="15" t="s">
        <v>47</v>
      </c>
      <c r="F2473" s="15" t="str">
        <f aca="false">IFERROR(__xludf.dummyfunction("XLOOKUP(AJ2473,IMPORTRANGE(""1XaInW9DU9nz21V0tYIfzFQ0He9kVQ_JF2mCXgZ3hqFA"",""REKAP ALL 2026 - Andika!G:G""),IMPORTRANGE(""1XaInW9DU9nz21V0tYIfzFQ0He9kVQ_JF2mCXgZ3hqFA"",""REKAP ALL 2026 - Andika!F:F""),"""",0)"),"25099755487")</f>
        <v>25099755487</v>
      </c>
      <c r="G2473" s="13" t="s">
        <v>10608</v>
      </c>
      <c r="H2473" s="13" t="s">
        <v>35</v>
      </c>
      <c r="I2473" s="13" t="str">
        <f aca="false">IF(C2473=J2473,"NEW KONTRAK","RE-KONTRAK")</f>
        <v>NEW KONTRAK</v>
      </c>
      <c r="J2473" s="16" t="n">
        <f aca="false" t="array" ref="J2473:J2473">IFERROR(INDEX(AC2473:AE2473,IF(COUNTA(AC2473:AE2473)=0,"",MAX((AC2473:AE2473&lt;&gt;"")*(COLUMN(AC2473:AE2473)-(COLUMN(AC2473)))))-1),"")</f>
        <v>45859</v>
      </c>
      <c r="K2473" s="16" t="n">
        <f aca="false" t="array" ref="K2473:K2473">IFERROR(INDEX(AC2473:AE2473,IF(COUNTA(AC2473:AE2473)=0,"",MAX((AC2473:AE2473&lt;&gt;"")*(COLUMN(AC2473:AE2473)-(COLUMN(AC2473)-1))))-1),"")</f>
        <v>45950</v>
      </c>
      <c r="L2473" s="17" t="str">
        <f aca="false" t="array" ref="L2473:L2473">IFERROR(INDEX(AC2473:AE2473,IF(COUNTA(AC2473:AE2473)=0,"",MAX((AC2473:AE2473&lt;&gt;"")*(COLUMN(AC2473:AE2473)-(COLUMN(AC2473)-2))))-1),"")</f>
        <v>ARCHIVED</v>
      </c>
      <c r="M2473" s="13" t="n">
        <f aca="true">K2473-TODAY()</f>
        <v>-374</v>
      </c>
      <c r="N2473" s="18" t="s">
        <v>36</v>
      </c>
      <c r="O2473" s="13" t="s">
        <v>10609</v>
      </c>
      <c r="P2473" s="27" t="n">
        <v>5195401</v>
      </c>
      <c r="Q2473" s="20" t="s">
        <v>10610</v>
      </c>
      <c r="R2473" s="13" t="s">
        <v>65</v>
      </c>
      <c r="S2473" s="16" t="n">
        <v>37709</v>
      </c>
      <c r="T2473" s="28" t="s">
        <v>40</v>
      </c>
      <c r="U2473" s="13" t="s">
        <v>10611</v>
      </c>
      <c r="V2473" s="13" t="s">
        <v>42</v>
      </c>
      <c r="W2473" s="13" t="s">
        <v>43</v>
      </c>
      <c r="X2473" s="21" t="n">
        <v>85748060061</v>
      </c>
      <c r="Y2473" s="22" t="str">
        <f aca="false">O2473</f>
        <v>Hot CS &amp; SB P3 Maintenance</v>
      </c>
      <c r="Z2473" s="13" t="str">
        <f aca="false">IFERROR(__xludf.dummyfunction("if(BJ2473="""","""",GOOGLETRANSLATE(BJ2473,""auto"",""en""))"),"Hot CS &amp; SB P3 Maintenance")</f>
        <v>Hot CS &amp; SB P3 Maintenance</v>
      </c>
      <c r="AA2473" s="23" t="str">
        <f aca="false">IF(C2473="","", CHOOSE(MONTH(C2473),"January","February","March","April","May","June","July","August","September","October","November","December")&amp;" "&amp;DAY(C2473)&amp;MID("thstndrdth",MIN(9,2*RIGHT(DAY(C2473))*(MOD(DAY(C2473)-11,100)&gt;2)+1),2)&amp;","&amp;TEXT(C2473," yyyy"))</f>
        <v>July 21st,2025</v>
      </c>
      <c r="AB2473" s="15" t="str">
        <f aca="true">IF(S2473="","",DATEDIF(S2473,TODAY(),"Y")&amp;" Tahun, "&amp;DATEDIF(S2473,TODAY(),"YM")&amp;" Bulan, "&amp;DATEDIF(S2473,TODAY(),"MD")&amp;" Hari")</f>
        <v>23 Tahun, 7 Bulan, 0 Hari</v>
      </c>
      <c r="AC2473" s="18" t="n">
        <v>45859</v>
      </c>
      <c r="AD2473" s="18" t="n">
        <v>45950</v>
      </c>
      <c r="AE2473" s="18" t="s">
        <v>44</v>
      </c>
    </row>
    <row r="2474" customFormat="false" ht="15" hidden="false" customHeight="true" outlineLevel="0" collapsed="false">
      <c r="A2474" s="12" t="n">
        <v>20129</v>
      </c>
      <c r="B2474" s="13" t="s">
        <v>10612</v>
      </c>
      <c r="C2474" s="16" t="n">
        <v>45859</v>
      </c>
      <c r="D2474" s="13" t="s">
        <v>10155</v>
      </c>
      <c r="E2474" s="15" t="s">
        <v>102</v>
      </c>
      <c r="F2474" s="15" t="str">
        <f aca="false">IFERROR(__xludf.dummyfunction("XLOOKUP(AJ2474,IMPORTRANGE(""1XaInW9DU9nz21V0tYIfzFQ0He9kVQ_JF2mCXgZ3hqFA"",""REKAP ALL 2026 - Andika!G:G""),IMPORTRANGE(""1XaInW9DU9nz21V0tYIfzFQ0He9kVQ_JF2mCXgZ3hqFA"",""REKAP ALL 2026 - Andika!F:F""),"""",0)"),"25099755461")</f>
        <v>25099755461</v>
      </c>
      <c r="G2474" s="13" t="s">
        <v>10613</v>
      </c>
      <c r="H2474" s="13" t="s">
        <v>35</v>
      </c>
      <c r="I2474" s="13" t="str">
        <f aca="false">IF(C2474=J2474,"NEW KONTRAK","RE-KONTRAK")</f>
        <v>NEW KONTRAK</v>
      </c>
      <c r="J2474" s="16" t="n">
        <f aca="false" t="array" ref="J2474:J2474">IFERROR(INDEX(AC2474:AE2474,IF(COUNTA(AC2474:AE2474)=0,"",MAX((AC2474:AE2474&lt;&gt;"")*(COLUMN(AC2474:AE2474)-(COLUMN(AC2474)))))-1),"")</f>
        <v>45859</v>
      </c>
      <c r="K2474" s="16" t="n">
        <f aca="false" t="array" ref="K2474:K2474">IFERROR(INDEX(AC2474:AE2474,IF(COUNTA(AC2474:AE2474)=0,"",MAX((AC2474:AE2474&lt;&gt;"")*(COLUMN(AC2474:AE2474)-(COLUMN(AC2474)-1))))-1),"")</f>
        <v>45950</v>
      </c>
      <c r="L2474" s="17" t="str">
        <f aca="false" t="array" ref="L2474:L2474">IFERROR(INDEX(AC2474:AE2474,IF(COUNTA(AC2474:AE2474)=0,"",MAX((AC2474:AE2474&lt;&gt;"")*(COLUMN(AC2474:AE2474)-(COLUMN(AC2474)-2))))-1),"")</f>
        <v>ARCHIVED</v>
      </c>
      <c r="M2474" s="13" t="n">
        <f aca="true">K2474-TODAY()</f>
        <v>-374</v>
      </c>
      <c r="N2474" s="18" t="s">
        <v>36</v>
      </c>
      <c r="O2474" s="13" t="s">
        <v>10614</v>
      </c>
      <c r="P2474" s="27" t="n">
        <v>5195401</v>
      </c>
      <c r="Q2474" s="20" t="s">
        <v>10615</v>
      </c>
      <c r="R2474" s="13" t="s">
        <v>78</v>
      </c>
      <c r="S2474" s="16" t="n">
        <v>38850</v>
      </c>
      <c r="T2474" s="13" t="s">
        <v>40</v>
      </c>
      <c r="U2474" s="13" t="s">
        <v>10616</v>
      </c>
      <c r="V2474" s="13" t="s">
        <v>42</v>
      </c>
      <c r="W2474" s="13" t="s">
        <v>43</v>
      </c>
      <c r="X2474" s="21" t="n">
        <v>89515898783</v>
      </c>
      <c r="Y2474" s="22" t="str">
        <f aca="false">O2474</f>
        <v>Laboratorium Engineer</v>
      </c>
      <c r="Z2474" s="13" t="str">
        <f aca="false">IFERROR(__xludf.dummyfunction("if(BJ2474="""","""",GOOGLETRANSLATE(BJ2474,""auto"",""en""))"),"Laboratory Engineer")</f>
        <v>Laboratory Engineer</v>
      </c>
      <c r="AA2474" s="23" t="str">
        <f aca="false">IF(C2474="","", CHOOSE(MONTH(C2474),"January","February","March","April","May","June","July","August","September","October","November","December")&amp;" "&amp;DAY(C2474)&amp;MID("thstndrdth",MIN(9,2*RIGHT(DAY(C2474))*(MOD(DAY(C2474)-11,100)&gt;2)+1),2)&amp;","&amp;TEXT(C2474," yyyy"))</f>
        <v>July 21st,2025</v>
      </c>
      <c r="AB2474" s="15" t="str">
        <f aca="true">IF(S2474="","",DATEDIF(S2474,TODAY(),"Y")&amp;" Tahun, "&amp;DATEDIF(S2474,TODAY(),"YM")&amp;" Bulan, "&amp;DATEDIF(S2474,TODAY(),"MD")&amp;" Hari")</f>
        <v>20 Tahun, 5 Bulan, 16 Hari</v>
      </c>
      <c r="AC2474" s="18" t="n">
        <v>45859</v>
      </c>
      <c r="AD2474" s="18" t="n">
        <v>45950</v>
      </c>
      <c r="AE2474" s="18" t="s">
        <v>44</v>
      </c>
    </row>
    <row r="2475" customFormat="false" ht="15" hidden="false" customHeight="true" outlineLevel="0" collapsed="false">
      <c r="A2475" s="12" t="n">
        <v>20131</v>
      </c>
      <c r="B2475" s="13" t="s">
        <v>10617</v>
      </c>
      <c r="C2475" s="16" t="n">
        <v>45859</v>
      </c>
      <c r="D2475" s="13" t="s">
        <v>10155</v>
      </c>
      <c r="E2475" s="15" t="s">
        <v>47</v>
      </c>
      <c r="F2475" s="15" t="str">
        <f aca="false">IFERROR(__xludf.dummyfunction("XLOOKUP(AJ2475,IMPORTRANGE(""1XaInW9DU9nz21V0tYIfzFQ0He9kVQ_JF2mCXgZ3hqFA"",""REKAP ALL 2026 - Andika!G:G""),IMPORTRANGE(""1XaInW9DU9nz21V0tYIfzFQ0He9kVQ_JF2mCXgZ3hqFA"",""REKAP ALL 2026 - Andika!F:F""),"""",0)"),"25099755495")</f>
        <v>25099755495</v>
      </c>
      <c r="G2475" s="13" t="s">
        <v>10618</v>
      </c>
      <c r="H2475" s="13" t="s">
        <v>35</v>
      </c>
      <c r="I2475" s="13" t="str">
        <f aca="false">IF(C2475=J2475,"NEW KONTRAK","RE-KONTRAK")</f>
        <v>NEW KONTRAK</v>
      </c>
      <c r="J2475" s="16" t="n">
        <f aca="false" t="array" ref="J2475:J2475">IFERROR(INDEX(AC2475:AE2475,IF(COUNTA(AC2475:AE2475)=0,"",MAX((AC2475:AE2475&lt;&gt;"")*(COLUMN(AC2475:AE2475)-(COLUMN(AC2475)))))-1),"")</f>
        <v>45859</v>
      </c>
      <c r="K2475" s="16" t="n">
        <f aca="false" t="array" ref="K2475:K2475">IFERROR(INDEX(AC2475:AE2475,IF(COUNTA(AC2475:AE2475)=0,"",MAX((AC2475:AE2475&lt;&gt;"")*(COLUMN(AC2475:AE2475)-(COLUMN(AC2475)-1))))-1),"")</f>
        <v>45950</v>
      </c>
      <c r="L2475" s="17" t="str">
        <f aca="false" t="array" ref="L2475:L2475">IFERROR(INDEX(AC2475:AE2475,IF(COUNTA(AC2475:AE2475)=0,"",MAX((AC2475:AE2475&lt;&gt;"")*(COLUMN(AC2475:AE2475)-(COLUMN(AC2475)-2))))-1),"")</f>
        <v>ARCHIVED</v>
      </c>
      <c r="M2475" s="13" t="n">
        <f aca="true">K2475-TODAY()</f>
        <v>-374</v>
      </c>
      <c r="N2475" s="18" t="s">
        <v>36</v>
      </c>
      <c r="O2475" s="13" t="s">
        <v>10609</v>
      </c>
      <c r="P2475" s="27" t="n">
        <v>5195401</v>
      </c>
      <c r="Q2475" s="20" t="s">
        <v>10619</v>
      </c>
      <c r="R2475" s="13" t="s">
        <v>52</v>
      </c>
      <c r="S2475" s="16" t="n">
        <v>38216</v>
      </c>
      <c r="T2475" s="28" t="s">
        <v>40</v>
      </c>
      <c r="U2475" s="13" t="s">
        <v>10620</v>
      </c>
      <c r="V2475" s="13" t="s">
        <v>42</v>
      </c>
      <c r="W2475" s="13" t="s">
        <v>43</v>
      </c>
      <c r="X2475" s="21" t="n">
        <v>85607730975</v>
      </c>
      <c r="Y2475" s="22" t="str">
        <f aca="false">O2475</f>
        <v>Hot CS &amp; SB P3 Maintenance</v>
      </c>
      <c r="Z2475" s="13" t="str">
        <f aca="false">IFERROR(__xludf.dummyfunction("if(BJ2475="""","""",GOOGLETRANSLATE(BJ2475,""auto"",""en""))"),"Hot CS &amp; SB P3 Maintenance")</f>
        <v>Hot CS &amp; SB P3 Maintenance</v>
      </c>
      <c r="AA2475" s="23" t="str">
        <f aca="false">IF(C2475="","", CHOOSE(MONTH(C2475),"January","February","March","April","May","June","July","August","September","October","November","December")&amp;" "&amp;DAY(C2475)&amp;MID("thstndrdth",MIN(9,2*RIGHT(DAY(C2475))*(MOD(DAY(C2475)-11,100)&gt;2)+1),2)&amp;","&amp;TEXT(C2475," yyyy"))</f>
        <v>July 21st,2025</v>
      </c>
      <c r="AB2475" s="15" t="str">
        <f aca="true">IF(S2475="","",DATEDIF(S2475,TODAY(),"Y")&amp;" Tahun, "&amp;DATEDIF(S2475,TODAY(),"YM")&amp;" Bulan, "&amp;DATEDIF(S2475,TODAY(),"MD")&amp;" Hari")</f>
        <v>22 Tahun, 2 Bulan, 12 Hari</v>
      </c>
      <c r="AC2475" s="18" t="n">
        <v>45859</v>
      </c>
      <c r="AD2475" s="18" t="n">
        <v>45950</v>
      </c>
      <c r="AE2475" s="18" t="s">
        <v>44</v>
      </c>
    </row>
    <row r="2476" customFormat="false" ht="15" hidden="false" customHeight="true" outlineLevel="0" collapsed="false">
      <c r="A2476" s="12" t="n">
        <v>20138</v>
      </c>
      <c r="B2476" s="13" t="s">
        <v>10621</v>
      </c>
      <c r="C2476" s="16" t="n">
        <v>45857</v>
      </c>
      <c r="D2476" s="13" t="s">
        <v>1338</v>
      </c>
      <c r="E2476" s="15" t="s">
        <v>47</v>
      </c>
      <c r="F2476" s="15" t="str">
        <f aca="false">IFERROR(__xludf.dummyfunction("XLOOKUP(AJ2476,IMPORTRANGE(""1XaInW9DU9nz21V0tYIfzFQ0He9kVQ_JF2mCXgZ3hqFA"",""REKAP ALL 2026 - Andika!G:G""),IMPORTRANGE(""1XaInW9DU9nz21V0tYIfzFQ0He9kVQ_JF2mCXgZ3hqFA"",""REKAP ALL 2026 - Andika!F:F""),"""",0)"),"25099754910")</f>
        <v>25099754910</v>
      </c>
      <c r="G2476" s="13" t="s">
        <v>57</v>
      </c>
      <c r="H2476" s="13" t="s">
        <v>3024</v>
      </c>
      <c r="I2476" s="13" t="str">
        <f aca="false">IF(C2476=J2476,"NEW KONTRAK","RE-KONTRAK")</f>
        <v>NEW KONTRAK</v>
      </c>
      <c r="J2476" s="16" t="n">
        <f aca="false" t="array" ref="J2476:J2476">IFERROR(INDEX(AC2476:AE2476,IF(COUNTA(AC2476:AE2476)=0,"",MAX((AC2476:AE2476&lt;&gt;"")*(COLUMN(AC2476:AE2476)-(COLUMN(AC2476)))))-1),"")</f>
        <v>45857</v>
      </c>
      <c r="K2476" s="16" t="n">
        <f aca="false" t="array" ref="K2476:K2476">IFERROR(INDEX(AC2476:AE2476,IF(COUNTA(AC2476:AE2476)=0,"",MAX((AC2476:AE2476&lt;&gt;"")*(COLUMN(AC2476:AE2476)-(COLUMN(AC2476)-1))))-1),"")</f>
        <v>45948</v>
      </c>
      <c r="L2476" s="17" t="str">
        <f aca="false" t="array" ref="L2476:L2476">IFERROR(INDEX(AC2476:AE2476,IF(COUNTA(AC2476:AE2476)=0,"",MAX((AC2476:AE2476&lt;&gt;"")*(COLUMN(AC2476:AE2476)-(COLUMN(AC2476)-2))))-1),"")</f>
        <v>KEMBALI</v>
      </c>
      <c r="M2476" s="13" t="n">
        <f aca="true">K2476-TODAY()</f>
        <v>-376</v>
      </c>
      <c r="N2476" s="18" t="s">
        <v>615</v>
      </c>
      <c r="O2476" s="13" t="s">
        <v>2335</v>
      </c>
      <c r="P2476" s="19" t="n">
        <v>160000</v>
      </c>
      <c r="Q2476" s="20" t="s">
        <v>10622</v>
      </c>
      <c r="R2476" s="13" t="s">
        <v>39</v>
      </c>
      <c r="S2476" s="16" t="n">
        <v>38540</v>
      </c>
      <c r="T2476" s="28" t="s">
        <v>40</v>
      </c>
      <c r="U2476" s="13" t="s">
        <v>10623</v>
      </c>
      <c r="V2476" s="13" t="s">
        <v>42</v>
      </c>
      <c r="W2476" s="13" t="s">
        <v>43</v>
      </c>
      <c r="X2476" s="21" t="n">
        <v>88216963702</v>
      </c>
      <c r="Y2476" s="22" t="str">
        <f aca="false">O2476</f>
        <v>Project Management</v>
      </c>
      <c r="Z2476" s="13" t="str">
        <f aca="false">IFERROR(__xludf.dummyfunction("if(BJ2476="""","""",GOOGLETRANSLATE(BJ2476,""auto"",""en""))"),"Project Management")</f>
        <v>Project Management</v>
      </c>
      <c r="AA2476" s="23" t="str">
        <f aca="false">IF(C2476="","", CHOOSE(MONTH(C2476),"January","February","March","April","May","June","July","August","September","October","November","December")&amp;" "&amp;DAY(C2476)&amp;MID("thstndrdth",MIN(9,2*RIGHT(DAY(C2476))*(MOD(DAY(C2476)-11,100)&gt;2)+1),2)&amp;","&amp;TEXT(C2476," yyyy"))</f>
        <v>July 19th,2025</v>
      </c>
      <c r="AB2476" s="15" t="str">
        <f aca="true">IF(S2476="","",DATEDIF(S2476,TODAY(),"Y")&amp;" Tahun, "&amp;DATEDIF(S2476,TODAY(),"YM")&amp;" Bulan, "&amp;DATEDIF(S2476,TODAY(),"MD")&amp;" Hari")</f>
        <v>21 Tahun, 3 Bulan, 22 Hari</v>
      </c>
      <c r="AC2476" s="18" t="n">
        <v>45857</v>
      </c>
      <c r="AD2476" s="18" t="n">
        <v>45948</v>
      </c>
      <c r="AE2476" s="13" t="s">
        <v>397</v>
      </c>
    </row>
    <row r="2477" customFormat="false" ht="15" hidden="false" customHeight="true" outlineLevel="0" collapsed="false">
      <c r="A2477" s="12" t="n">
        <v>20135</v>
      </c>
      <c r="B2477" s="13" t="s">
        <v>10624</v>
      </c>
      <c r="C2477" s="16" t="n">
        <v>45857</v>
      </c>
      <c r="D2477" s="13" t="s">
        <v>1338</v>
      </c>
      <c r="E2477" s="15" t="s">
        <v>102</v>
      </c>
      <c r="F2477" s="15" t="str">
        <f aca="false">IFERROR(__xludf.dummyfunction("XLOOKUP(AJ2477,IMPORTRANGE(""1XaInW9DU9nz21V0tYIfzFQ0He9kVQ_JF2mCXgZ3hqFA"",""REKAP ALL 2026 - Andika!G:G""),IMPORTRANGE(""1XaInW9DU9nz21V0tYIfzFQ0He9kVQ_JF2mCXgZ3hqFA"",""REKAP ALL 2026 - Andika!F:F""),"""",0)"),"25099754894")</f>
        <v>25099754894</v>
      </c>
      <c r="G2477" s="13" t="s">
        <v>57</v>
      </c>
      <c r="H2477" s="13" t="s">
        <v>3024</v>
      </c>
      <c r="I2477" s="13" t="str">
        <f aca="false">IF(C2477=J2477,"NEW KONTRAK","RE-KONTRAK")</f>
        <v>NEW KONTRAK</v>
      </c>
      <c r="J2477" s="16" t="n">
        <f aca="false" t="array" ref="J2477:J2477">IFERROR(INDEX(AC2477:AE2477,IF(COUNTA(AC2477:AE2477)=0,"",MAX((AC2477:AE2477&lt;&gt;"")*(COLUMN(AC2477:AE2477)-(COLUMN(AC2477)))))-1),"")</f>
        <v>45857</v>
      </c>
      <c r="K2477" s="16" t="n">
        <f aca="false" t="array" ref="K2477:K2477">IFERROR(INDEX(AC2477:AE2477,IF(COUNTA(AC2477:AE2477)=0,"",MAX((AC2477:AE2477&lt;&gt;"")*(COLUMN(AC2477:AE2477)-(COLUMN(AC2477)-1))))-1),"")</f>
        <v>45948</v>
      </c>
      <c r="L2477" s="17" t="str">
        <f aca="false" t="array" ref="L2477:L2477">IFERROR(INDEX(AC2477:AE2477,IF(COUNTA(AC2477:AE2477)=0,"",MAX((AC2477:AE2477&lt;&gt;"")*(COLUMN(AC2477:AE2477)-(COLUMN(AC2477)-2))))-1),"")</f>
        <v>ARCHIVED</v>
      </c>
      <c r="M2477" s="13" t="n">
        <f aca="true">K2477-TODAY()</f>
        <v>-376</v>
      </c>
      <c r="N2477" s="18" t="s">
        <v>615</v>
      </c>
      <c r="O2477" s="13" t="s">
        <v>2335</v>
      </c>
      <c r="P2477" s="19" t="n">
        <v>160000</v>
      </c>
      <c r="Q2477" s="20" t="s">
        <v>10625</v>
      </c>
      <c r="R2477" s="13" t="s">
        <v>232</v>
      </c>
      <c r="S2477" s="16" t="n">
        <v>31163</v>
      </c>
      <c r="T2477" s="28" t="s">
        <v>40</v>
      </c>
      <c r="U2477" s="13" t="s">
        <v>10626</v>
      </c>
      <c r="V2477" s="13" t="s">
        <v>42</v>
      </c>
      <c r="W2477" s="13" t="s">
        <v>54</v>
      </c>
      <c r="X2477" s="21" t="n">
        <v>85746634508</v>
      </c>
      <c r="Y2477" s="22" t="str">
        <f aca="false">O2477</f>
        <v>Project Management</v>
      </c>
      <c r="Z2477" s="13" t="str">
        <f aca="false">IFERROR(__xludf.dummyfunction("if(BJ2477="""","""",GOOGLETRANSLATE(BJ2477,""auto"",""en""))"),"Project Management")</f>
        <v>Project Management</v>
      </c>
      <c r="AA2477" s="23" t="str">
        <f aca="false">IF(C2477="","", CHOOSE(MONTH(C2477),"January","February","March","April","May","June","July","August","September","October","November","December")&amp;" "&amp;DAY(C2477)&amp;MID("thstndrdth",MIN(9,2*RIGHT(DAY(C2477))*(MOD(DAY(C2477)-11,100)&gt;2)+1),2)&amp;","&amp;TEXT(C2477," yyyy"))</f>
        <v>July 19th,2025</v>
      </c>
      <c r="AB2477" s="15" t="str">
        <f aca="true">IF(S2477="","",DATEDIF(S2477,TODAY(),"Y")&amp;" Tahun, "&amp;DATEDIF(S2477,TODAY(),"YM")&amp;" Bulan, "&amp;DATEDIF(S2477,TODAY(),"MD")&amp;" Hari")</f>
        <v>41 Tahun, 6 Bulan, 3 Hari</v>
      </c>
      <c r="AC2477" s="18" t="n">
        <v>45857</v>
      </c>
      <c r="AD2477" s="18" t="n">
        <v>45948</v>
      </c>
      <c r="AE2477" s="18" t="s">
        <v>44</v>
      </c>
    </row>
    <row r="2478" customFormat="false" ht="15" hidden="false" customHeight="true" outlineLevel="0" collapsed="false">
      <c r="A2478" s="12" t="n">
        <v>20136</v>
      </c>
      <c r="B2478" s="13" t="s">
        <v>10627</v>
      </c>
      <c r="C2478" s="16" t="n">
        <v>45857</v>
      </c>
      <c r="D2478" s="13" t="s">
        <v>1338</v>
      </c>
      <c r="E2478" s="15" t="s">
        <v>102</v>
      </c>
      <c r="F2478" s="15" t="str">
        <f aca="false">IFERROR(__xludf.dummyfunction("XLOOKUP(AJ2478,IMPORTRANGE(""1XaInW9DU9nz21V0tYIfzFQ0He9kVQ_JF2mCXgZ3hqFA"",""REKAP ALL 2026 - Andika!G:G""),IMPORTRANGE(""1XaInW9DU9nz21V0tYIfzFQ0He9kVQ_JF2mCXgZ3hqFA"",""REKAP ALL 2026 - Andika!F:F""),"""",0)"),"25099754860")</f>
        <v>25099754860</v>
      </c>
      <c r="G2478" s="13" t="s">
        <v>57</v>
      </c>
      <c r="H2478" s="13" t="s">
        <v>3024</v>
      </c>
      <c r="I2478" s="13" t="str">
        <f aca="false">IF(C2478=J2478,"NEW KONTRAK","RE-KONTRAK")</f>
        <v>NEW KONTRAK</v>
      </c>
      <c r="J2478" s="16" t="n">
        <f aca="false" t="array" ref="J2478:J2478">IFERROR(INDEX(AC2478:AE2478,IF(COUNTA(AC2478:AE2478)=0,"",MAX((AC2478:AE2478&lt;&gt;"")*(COLUMN(AC2478:AE2478)-(COLUMN(AC2478)))))-1),"")</f>
        <v>45857</v>
      </c>
      <c r="K2478" s="16" t="n">
        <f aca="false" t="array" ref="K2478:K2478">IFERROR(INDEX(AC2478:AE2478,IF(COUNTA(AC2478:AE2478)=0,"",MAX((AC2478:AE2478&lt;&gt;"")*(COLUMN(AC2478:AE2478)-(COLUMN(AC2478)-1))))-1),"")</f>
        <v>45948</v>
      </c>
      <c r="L2478" s="17" t="str">
        <f aca="false" t="array" ref="L2478:L2478">IFERROR(INDEX(AC2478:AE2478,IF(COUNTA(AC2478:AE2478)=0,"",MAX((AC2478:AE2478&lt;&gt;"")*(COLUMN(AC2478:AE2478)-(COLUMN(AC2478)-2))))-1),"")</f>
        <v>ARCHIVED</v>
      </c>
      <c r="M2478" s="13" t="n">
        <f aca="true">K2478-TODAY()</f>
        <v>-376</v>
      </c>
      <c r="N2478" s="18" t="s">
        <v>615</v>
      </c>
      <c r="O2478" s="13" t="s">
        <v>2335</v>
      </c>
      <c r="P2478" s="19" t="n">
        <v>160000</v>
      </c>
      <c r="Q2478" s="20" t="s">
        <v>10628</v>
      </c>
      <c r="R2478" s="13" t="s">
        <v>232</v>
      </c>
      <c r="S2478" s="16" t="n">
        <v>30080</v>
      </c>
      <c r="T2478" s="28" t="s">
        <v>40</v>
      </c>
      <c r="U2478" s="13" t="s">
        <v>10629</v>
      </c>
      <c r="V2478" s="13" t="s">
        <v>42</v>
      </c>
      <c r="W2478" s="13" t="s">
        <v>54</v>
      </c>
      <c r="X2478" s="21" t="n">
        <v>82331900853</v>
      </c>
      <c r="Y2478" s="22" t="str">
        <f aca="false">O2478</f>
        <v>Project Management</v>
      </c>
      <c r="Z2478" s="13" t="str">
        <f aca="false">IFERROR(__xludf.dummyfunction("if(BJ2478="""","""",GOOGLETRANSLATE(BJ2478,""auto"",""en""))"),"Project Management")</f>
        <v>Project Management</v>
      </c>
      <c r="AA2478" s="23" t="str">
        <f aca="false">IF(C2478="","", CHOOSE(MONTH(C2478),"January","February","March","April","May","June","July","August","September","October","November","December")&amp;" "&amp;DAY(C2478)&amp;MID("thstndrdth",MIN(9,2*RIGHT(DAY(C2478))*(MOD(DAY(C2478)-11,100)&gt;2)+1),2)&amp;","&amp;TEXT(C2478," yyyy"))</f>
        <v>July 19th,2025</v>
      </c>
      <c r="AB2478" s="15" t="str">
        <f aca="true">IF(S2478="","",DATEDIF(S2478,TODAY(),"Y")&amp;" Tahun, "&amp;DATEDIF(S2478,TODAY(),"YM")&amp;" Bulan, "&amp;DATEDIF(S2478,TODAY(),"MD")&amp;" Hari")</f>
        <v>44 Tahun, 5 Bulan, 20 Hari</v>
      </c>
      <c r="AC2478" s="18" t="n">
        <v>45857</v>
      </c>
      <c r="AD2478" s="18" t="n">
        <v>45948</v>
      </c>
      <c r="AE2478" s="18" t="s">
        <v>44</v>
      </c>
    </row>
    <row r="2479" customFormat="false" ht="15" hidden="false" customHeight="true" outlineLevel="0" collapsed="false">
      <c r="A2479" s="12" t="n">
        <v>20137</v>
      </c>
      <c r="B2479" s="13" t="s">
        <v>10630</v>
      </c>
      <c r="C2479" s="16" t="n">
        <v>45857</v>
      </c>
      <c r="D2479" s="13" t="s">
        <v>1338</v>
      </c>
      <c r="E2479" s="15" t="s">
        <v>789</v>
      </c>
      <c r="F2479" s="24" t="s">
        <v>10631</v>
      </c>
      <c r="G2479" s="13" t="s">
        <v>57</v>
      </c>
      <c r="H2479" s="13" t="s">
        <v>3024</v>
      </c>
      <c r="I2479" s="13" t="str">
        <f aca="false">IF(C2479=J2479,"NEW KONTRAK","RE-KONTRAK")</f>
        <v>NEW KONTRAK</v>
      </c>
      <c r="J2479" s="16" t="n">
        <f aca="false" t="array" ref="J2479:J2479">IFERROR(INDEX(AC2479:AE2479,IF(COUNTA(AC2479:AE2479)=0,"",MAX((AC2479:AE2479&lt;&gt;"")*(COLUMN(AC2479:AE2479)-(COLUMN(AC2479)))))-1),"")</f>
        <v>45857</v>
      </c>
      <c r="K2479" s="16" t="n">
        <f aca="false" t="array" ref="K2479:K2479">IFERROR(INDEX(AC2479:AE2479,IF(COUNTA(AC2479:AE2479)=0,"",MAX((AC2479:AE2479&lt;&gt;"")*(COLUMN(AC2479:AE2479)-(COLUMN(AC2479)-1))))-1),"")</f>
        <v>45948</v>
      </c>
      <c r="L2479" s="17" t="str">
        <f aca="false" t="array" ref="L2479:L2479">IFERROR(INDEX(AC2479:AE2479,IF(COUNTA(AC2479:AE2479)=0,"",MAX((AC2479:AE2479&lt;&gt;"")*(COLUMN(AC2479:AE2479)-(COLUMN(AC2479)-2))))-1),"")</f>
        <v>ARCHIVED</v>
      </c>
      <c r="M2479" s="13" t="n">
        <f aca="true">K2479-TODAY()</f>
        <v>-376</v>
      </c>
      <c r="N2479" s="18" t="s">
        <v>615</v>
      </c>
      <c r="O2479" s="13" t="s">
        <v>2335</v>
      </c>
      <c r="P2479" s="19" t="n">
        <v>160000</v>
      </c>
      <c r="Q2479" s="20" t="s">
        <v>10632</v>
      </c>
      <c r="R2479" s="13" t="s">
        <v>232</v>
      </c>
      <c r="S2479" s="16" t="n">
        <v>31461</v>
      </c>
      <c r="T2479" s="28" t="s">
        <v>40</v>
      </c>
      <c r="U2479" s="13" t="s">
        <v>10633</v>
      </c>
      <c r="V2479" s="13" t="s">
        <v>42</v>
      </c>
      <c r="W2479" s="13" t="s">
        <v>54</v>
      </c>
      <c r="X2479" s="21" t="n">
        <v>82337426660</v>
      </c>
      <c r="Y2479" s="22" t="str">
        <f aca="false">O2479</f>
        <v>Project Management</v>
      </c>
      <c r="Z2479" s="13" t="str">
        <f aca="false">IFERROR(__xludf.dummyfunction("if(BJ2479="""","""",GOOGLETRANSLATE(BJ2479,""auto"",""en""))"),"Project Management")</f>
        <v>Project Management</v>
      </c>
      <c r="AA2479" s="23" t="str">
        <f aca="false">IF(C2479="","", CHOOSE(MONTH(C2479),"January","February","March","April","May","June","July","August","September","October","November","December")&amp;" "&amp;DAY(C2479)&amp;MID("thstndrdth",MIN(9,2*RIGHT(DAY(C2479))*(MOD(DAY(C2479)-11,100)&gt;2)+1),2)&amp;","&amp;TEXT(C2479," yyyy"))</f>
        <v>July 19th,2025</v>
      </c>
      <c r="AB2479" s="15" t="str">
        <f aca="true">IF(S2479="","",DATEDIF(S2479,TODAY(),"Y")&amp;" Tahun, "&amp;DATEDIF(S2479,TODAY(),"YM")&amp;" Bulan, "&amp;DATEDIF(S2479,TODAY(),"MD")&amp;" Hari")</f>
        <v>40 Tahun, 8 Bulan, 11 Hari</v>
      </c>
      <c r="AC2479" s="18" t="n">
        <v>45857</v>
      </c>
      <c r="AD2479" s="18" t="n">
        <v>45948</v>
      </c>
      <c r="AE2479" s="18" t="s">
        <v>44</v>
      </c>
    </row>
    <row r="2480" customFormat="false" ht="15" hidden="false" customHeight="true" outlineLevel="0" collapsed="false">
      <c r="A2480" s="12" t="n">
        <v>20139</v>
      </c>
      <c r="B2480" s="13" t="s">
        <v>10634</v>
      </c>
      <c r="C2480" s="16" t="n">
        <v>45857</v>
      </c>
      <c r="D2480" s="13" t="s">
        <v>1338</v>
      </c>
      <c r="E2480" s="15" t="s">
        <v>47</v>
      </c>
      <c r="F2480" s="15" t="str">
        <f aca="false">IFERROR(__xludf.dummyfunction("XLOOKUP(AJ2480,IMPORTRANGE(""1XaInW9DU9nz21V0tYIfzFQ0He9kVQ_JF2mCXgZ3hqFA"",""REKAP ALL 2026 - Andika!G:G""),IMPORTRANGE(""1XaInW9DU9nz21V0tYIfzFQ0He9kVQ_JF2mCXgZ3hqFA"",""REKAP ALL 2026 - Andika!F:F""),"""",0)"),"25099754811")</f>
        <v>25099754811</v>
      </c>
      <c r="G2480" s="13" t="s">
        <v>57</v>
      </c>
      <c r="H2480" s="13" t="s">
        <v>3024</v>
      </c>
      <c r="I2480" s="13" t="str">
        <f aca="false">IF(C2480=J2480,"NEW KONTRAK","RE-KONTRAK")</f>
        <v>NEW KONTRAK</v>
      </c>
      <c r="J2480" s="16" t="n">
        <f aca="false" t="array" ref="J2480:J2480">IFERROR(INDEX(AC2480:AE2480,IF(COUNTA(AC2480:AE2480)=0,"",MAX((AC2480:AE2480&lt;&gt;"")*(COLUMN(AC2480:AE2480)-(COLUMN(AC2480)))))-1),"")</f>
        <v>45857</v>
      </c>
      <c r="K2480" s="16" t="n">
        <f aca="false" t="array" ref="K2480:K2480">IFERROR(INDEX(AC2480:AE2480,IF(COUNTA(AC2480:AE2480)=0,"",MAX((AC2480:AE2480&lt;&gt;"")*(COLUMN(AC2480:AE2480)-(COLUMN(AC2480)-1))))-1),"")</f>
        <v>45948</v>
      </c>
      <c r="L2480" s="17" t="str">
        <f aca="false" t="array" ref="L2480:L2480">IFERROR(INDEX(AC2480:AE2480,IF(COUNTA(AC2480:AE2480)=0,"",MAX((AC2480:AE2480&lt;&gt;"")*(COLUMN(AC2480:AE2480)-(COLUMN(AC2480)-2))))-1),"")</f>
        <v>KEMBALI</v>
      </c>
      <c r="M2480" s="13" t="n">
        <f aca="true">K2480-TODAY()</f>
        <v>-376</v>
      </c>
      <c r="N2480" s="18" t="s">
        <v>615</v>
      </c>
      <c r="O2480" s="13" t="s">
        <v>2335</v>
      </c>
      <c r="P2480" s="19" t="n">
        <v>160000</v>
      </c>
      <c r="Q2480" s="20" t="s">
        <v>10635</v>
      </c>
      <c r="R2480" s="13" t="s">
        <v>39</v>
      </c>
      <c r="S2480" s="16" t="n">
        <v>28429</v>
      </c>
      <c r="T2480" s="28" t="s">
        <v>40</v>
      </c>
      <c r="U2480" s="13" t="s">
        <v>10636</v>
      </c>
      <c r="V2480" s="13" t="s">
        <v>42</v>
      </c>
      <c r="W2480" s="13" t="s">
        <v>54</v>
      </c>
      <c r="X2480" s="21" t="n">
        <v>81330616469</v>
      </c>
      <c r="Y2480" s="22" t="str">
        <f aca="false">O2480</f>
        <v>Project Management</v>
      </c>
      <c r="Z2480" s="13" t="str">
        <f aca="false">IFERROR(__xludf.dummyfunction("if(BJ2480="""","""",GOOGLETRANSLATE(BJ2480,""auto"",""en""))"),"Project Management")</f>
        <v>Project Management</v>
      </c>
      <c r="AA2480" s="23" t="str">
        <f aca="false">IF(C2480="","", CHOOSE(MONTH(C2480),"January","February","March","April","May","June","July","August","September","October","November","December")&amp;" "&amp;DAY(C2480)&amp;MID("thstndrdth",MIN(9,2*RIGHT(DAY(C2480))*(MOD(DAY(C2480)-11,100)&gt;2)+1),2)&amp;","&amp;TEXT(C2480," yyyy"))</f>
        <v>July 19th,2025</v>
      </c>
      <c r="AB2480" s="15" t="str">
        <f aca="true">IF(S2480="","",DATEDIF(S2480,TODAY(),"Y")&amp;" Tahun, "&amp;DATEDIF(S2480,TODAY(),"YM")&amp;" Bulan, "&amp;DATEDIF(S2480,TODAY(),"MD")&amp;" Hari")</f>
        <v>48 Tahun, 11 Bulan, 28 Hari</v>
      </c>
      <c r="AC2480" s="18" t="n">
        <v>45857</v>
      </c>
      <c r="AD2480" s="18" t="n">
        <v>45948</v>
      </c>
      <c r="AE2480" s="13" t="s">
        <v>397</v>
      </c>
    </row>
    <row r="2481" customFormat="false" ht="15" hidden="false" customHeight="true" outlineLevel="0" collapsed="false">
      <c r="A2481" s="12" t="n">
        <v>20148</v>
      </c>
      <c r="B2481" s="13" t="s">
        <v>10637</v>
      </c>
      <c r="C2481" s="16" t="n">
        <v>45834</v>
      </c>
      <c r="D2481" s="13" t="s">
        <v>4743</v>
      </c>
      <c r="E2481" s="15" t="s">
        <v>47</v>
      </c>
      <c r="F2481" s="15" t="str">
        <f aca="false">IFERROR(__xludf.dummyfunction("XLOOKUP(AJ2481,IMPORTRANGE(""1XaInW9DU9nz21V0tYIfzFQ0He9kVQ_JF2mCXgZ3hqFA"",""REKAP ALL 2026 - Andika!G:G""),IMPORTRANGE(""1XaInW9DU9nz21V0tYIfzFQ0He9kVQ_JF2mCXgZ3hqFA"",""REKAP ALL 2026 - Andika!F:F""),"""",0)"),"25099858018")</f>
        <v>25099858018</v>
      </c>
      <c r="G2481" s="13" t="s">
        <v>10638</v>
      </c>
      <c r="H2481" s="13" t="s">
        <v>35</v>
      </c>
      <c r="I2481" s="13" t="str">
        <f aca="false">IF(C2481=J2481,"NEW KONTRAK","RE-KONTRAK")</f>
        <v>NEW KONTRAK</v>
      </c>
      <c r="J2481" s="16" t="n">
        <f aca="false" t="array" ref="J2481:J2481">IFERROR(INDEX(AC2481:AE2481,IF(COUNTA(AC2481:AE2481)=0,"",MAX((AC2481:AE2481&lt;&gt;"")*(COLUMN(AC2481:AE2481)-(COLUMN(AC2481)))))-1),"")</f>
        <v>45834</v>
      </c>
      <c r="K2481" s="16" t="n">
        <f aca="false" t="array" ref="K2481:K2481">IFERROR(INDEX(AC2481:AE2481,IF(COUNTA(AC2481:AE2481)=0,"",MAX((AC2481:AE2481&lt;&gt;"")*(COLUMN(AC2481:AE2481)-(COLUMN(AC2481)-1))))-1),"")</f>
        <v>46198</v>
      </c>
      <c r="L2481" s="17" t="str">
        <f aca="false" t="array" ref="L2481:L2481">IFERROR(INDEX(AC2481:AE2481,IF(COUNTA(AC2481:AE2481)=0,"",MAX((AC2481:AE2481&lt;&gt;"")*(COLUMN(AC2481:AE2481)-(COLUMN(AC2481)-2))))-1),"")</f>
        <v>KEMBALI</v>
      </c>
      <c r="M2481" s="13" t="n">
        <f aca="true">K2481-TODAY()</f>
        <v>-126</v>
      </c>
      <c r="N2481" s="18" t="s">
        <v>105</v>
      </c>
      <c r="O2481" s="13" t="s">
        <v>10639</v>
      </c>
      <c r="P2481" s="19" t="n">
        <v>5191541</v>
      </c>
      <c r="Q2481" s="20" t="s">
        <v>10640</v>
      </c>
      <c r="R2481" s="13" t="s">
        <v>52</v>
      </c>
      <c r="S2481" s="16" t="n">
        <v>32802</v>
      </c>
      <c r="T2481" s="13" t="s">
        <v>108</v>
      </c>
      <c r="U2481" s="13" t="s">
        <v>10641</v>
      </c>
      <c r="V2481" s="13" t="s">
        <v>42</v>
      </c>
      <c r="W2481" s="13" t="s">
        <v>54</v>
      </c>
      <c r="X2481" s="21" t="n">
        <v>89677489963</v>
      </c>
      <c r="Y2481" s="22" t="str">
        <f aca="false">O2481</f>
        <v>Admin Manda</v>
      </c>
      <c r="Z2481" s="13" t="str">
        <f aca="false">IFERROR(__xludf.dummyfunction("if(BJ2481="""","""",GOOGLETRANSLATE(BJ2481,""auto"",""en""))"),"Admin Manda")</f>
        <v>Admin Manda</v>
      </c>
      <c r="AA2481" s="23" t="str">
        <f aca="false">IF(C2481="","", CHOOSE(MONTH(C2481),"January","February","March","April","May","June","July","August","September","October","November","December")&amp;" "&amp;DAY(C2481)&amp;MID("thstndrdth",MIN(9,2*RIGHT(DAY(C2481))*(MOD(DAY(C2481)-11,100)&gt;2)+1),2)&amp;","&amp;TEXT(C2481," yyyy"))</f>
        <v>June 26th,2025</v>
      </c>
      <c r="AB2481" s="15" t="str">
        <f aca="true">IF(S2481="","",DATEDIF(S2481,TODAY(),"Y")&amp;" Tahun, "&amp;DATEDIF(S2481,TODAY(),"YM")&amp;" Bulan, "&amp;DATEDIF(S2481,TODAY(),"MD")&amp;" Hari")</f>
        <v>37 Tahun, 0 Bulan, 8 Hari</v>
      </c>
      <c r="AC2481" s="18" t="n">
        <v>45834</v>
      </c>
      <c r="AD2481" s="18" t="n">
        <v>46198</v>
      </c>
      <c r="AE2481" s="13" t="s">
        <v>397</v>
      </c>
    </row>
    <row r="2482" customFormat="false" ht="15" hidden="false" customHeight="true" outlineLevel="0" collapsed="false">
      <c r="A2482" s="12" t="n">
        <v>20140</v>
      </c>
      <c r="B2482" s="13" t="s">
        <v>10642</v>
      </c>
      <c r="C2482" s="16" t="n">
        <v>45859</v>
      </c>
      <c r="D2482" s="13" t="s">
        <v>1338</v>
      </c>
      <c r="E2482" s="15" t="s">
        <v>102</v>
      </c>
      <c r="F2482" s="24" t="s">
        <v>10643</v>
      </c>
      <c r="G2482" s="13" t="s">
        <v>57</v>
      </c>
      <c r="H2482" s="13" t="s">
        <v>3024</v>
      </c>
      <c r="I2482" s="13" t="str">
        <f aca="false">IF(C2482=J2482,"NEW KONTRAK","RE-KONTRAK")</f>
        <v>NEW KONTRAK</v>
      </c>
      <c r="J2482" s="16" t="n">
        <f aca="false" t="array" ref="J2482:J2482">IFERROR(INDEX(AC2482:AE2482,IF(COUNTA(AC2482:AE2482)=0,"",MAX((AC2482:AE2482&lt;&gt;"")*(COLUMN(AC2482:AE2482)-(COLUMN(AC2482)))))-1),"")</f>
        <v>45859</v>
      </c>
      <c r="K2482" s="16" t="n">
        <f aca="false" t="array" ref="K2482:K2482">IFERROR(INDEX(AC2482:AE2482,IF(COUNTA(AC2482:AE2482)=0,"",MAX((AC2482:AE2482&lt;&gt;"")*(COLUMN(AC2482:AE2482)-(COLUMN(AC2482)-1))))-1),"")</f>
        <v>45950</v>
      </c>
      <c r="L2482" s="17" t="str">
        <f aca="false" t="array" ref="L2482:L2482">IFERROR(INDEX(AC2482:AE2482,IF(COUNTA(AC2482:AE2482)=0,"",MAX((AC2482:AE2482&lt;&gt;"")*(COLUMN(AC2482:AE2482)-(COLUMN(AC2482)-2))))-1),"")</f>
        <v>ARCHIVED</v>
      </c>
      <c r="M2482" s="13" t="n">
        <f aca="true">K2482-TODAY()</f>
        <v>-374</v>
      </c>
      <c r="N2482" s="18" t="s">
        <v>615</v>
      </c>
      <c r="O2482" s="13" t="s">
        <v>2335</v>
      </c>
      <c r="P2482" s="19" t="n">
        <v>160000</v>
      </c>
      <c r="Q2482" s="47" t="s">
        <v>10644</v>
      </c>
      <c r="R2482" s="13" t="s">
        <v>274</v>
      </c>
      <c r="S2482" s="16" t="n">
        <v>33386</v>
      </c>
      <c r="T2482" s="28" t="s">
        <v>40</v>
      </c>
      <c r="U2482" s="13" t="s">
        <v>10645</v>
      </c>
      <c r="V2482" s="13" t="s">
        <v>42</v>
      </c>
      <c r="W2482" s="13" t="s">
        <v>54</v>
      </c>
      <c r="X2482" s="21" t="n">
        <v>81560115345</v>
      </c>
      <c r="Y2482" s="22" t="str">
        <f aca="false">O2482</f>
        <v>Project Management</v>
      </c>
      <c r="Z2482" s="13" t="str">
        <f aca="false">IFERROR(__xludf.dummyfunction("if(BJ2482="""","""",GOOGLETRANSLATE(BJ2482,""auto"",""en""))"),"Project Management")</f>
        <v>Project Management</v>
      </c>
      <c r="AA2482" s="23" t="str">
        <f aca="false">IF(C2482="","", CHOOSE(MONTH(C2482),"January","February","March","April","May","June","July","August","September","October","November","December")&amp;" "&amp;DAY(C2482)&amp;MID("thstndrdth",MIN(9,2*RIGHT(DAY(C2482))*(MOD(DAY(C2482)-11,100)&gt;2)+1),2)&amp;","&amp;TEXT(C2482," yyyy"))</f>
        <v>July 21st,2025</v>
      </c>
      <c r="AB2482" s="15" t="str">
        <f aca="true">IF(S2482="","",DATEDIF(S2482,TODAY(),"Y")&amp;" Tahun, "&amp;DATEDIF(S2482,TODAY(),"YM")&amp;" Bulan, "&amp;DATEDIF(S2482,TODAY(),"MD")&amp;" Hari")</f>
        <v>35 Tahun, 5 Bulan, 1 Hari</v>
      </c>
      <c r="AC2482" s="18" t="n">
        <v>45859</v>
      </c>
      <c r="AD2482" s="18" t="n">
        <v>45950</v>
      </c>
      <c r="AE2482" s="18" t="s">
        <v>44</v>
      </c>
    </row>
    <row r="2483" customFormat="false" ht="15" hidden="false" customHeight="true" outlineLevel="0" collapsed="false">
      <c r="A2483" s="12" t="n">
        <v>20147</v>
      </c>
      <c r="B2483" s="13" t="s">
        <v>10646</v>
      </c>
      <c r="C2483" s="16" t="n">
        <v>45834</v>
      </c>
      <c r="D2483" s="13" t="s">
        <v>4743</v>
      </c>
      <c r="E2483" s="15" t="s">
        <v>102</v>
      </c>
      <c r="F2483" s="15" t="str">
        <f aca="false">IFERROR(__xludf.dummyfunction("XLOOKUP(AJ2483,IMPORTRANGE(""1XaInW9DU9nz21V0tYIfzFQ0He9kVQ_JF2mCXgZ3hqFA"",""REKAP ALL 2026 - Andika!G:G""),IMPORTRANGE(""1XaInW9DU9nz21V0tYIfzFQ0He9kVQ_JF2mCXgZ3hqFA"",""REKAP ALL 2026 - Andika!F:F""),"""",0)"),"25099857986")</f>
        <v>25099857986</v>
      </c>
      <c r="G2483" s="13" t="s">
        <v>10647</v>
      </c>
      <c r="H2483" s="13" t="s">
        <v>35</v>
      </c>
      <c r="I2483" s="13" t="str">
        <f aca="false">IF(C2483=J2483,"NEW KONTRAK","RE-KONTRAK")</f>
        <v>NEW KONTRAK</v>
      </c>
      <c r="J2483" s="16" t="n">
        <f aca="false" t="array" ref="J2483:J2483">IFERROR(INDEX(AC2483:AE2483,IF(COUNTA(AC2483:AE2483)=0,"",MAX((AC2483:AE2483&lt;&gt;"")*(COLUMN(AC2483:AE2483)-(COLUMN(AC2483)))))-1),"")</f>
        <v>45834</v>
      </c>
      <c r="K2483" s="16" t="n">
        <f aca="false" t="array" ref="K2483:K2483">IFERROR(INDEX(AC2483:AE2483,IF(COUNTA(AC2483:AE2483)=0,"",MAX((AC2483:AE2483&lt;&gt;"")*(COLUMN(AC2483:AE2483)-(COLUMN(AC2483)-1))))-1),"")</f>
        <v>46198</v>
      </c>
      <c r="L2483" s="17" t="str">
        <f aca="false" t="array" ref="L2483:L2483">IFERROR(INDEX(AC2483:AE2483,IF(COUNTA(AC2483:AE2483)=0,"",MAX((AC2483:AE2483&lt;&gt;"")*(COLUMN(AC2483:AE2483)-(COLUMN(AC2483)-2))))-1),"")</f>
        <v>ARCHIVED</v>
      </c>
      <c r="M2483" s="13" t="n">
        <f aca="true">K2483-TODAY()</f>
        <v>-126</v>
      </c>
      <c r="N2483" s="18" t="s">
        <v>728</v>
      </c>
      <c r="O2483" s="13" t="s">
        <v>10648</v>
      </c>
      <c r="P2483" s="19" t="n">
        <v>4961753</v>
      </c>
      <c r="Q2483" s="20" t="s">
        <v>10649</v>
      </c>
      <c r="R2483" s="13" t="s">
        <v>52</v>
      </c>
      <c r="S2483" s="16" t="n">
        <v>31538</v>
      </c>
      <c r="T2483" s="13" t="s">
        <v>108</v>
      </c>
      <c r="U2483" s="13" t="s">
        <v>10650</v>
      </c>
      <c r="V2483" s="13" t="s">
        <v>42</v>
      </c>
      <c r="W2483" s="13" t="s">
        <v>54</v>
      </c>
      <c r="X2483" s="21" t="n">
        <v>87852457460</v>
      </c>
      <c r="Y2483" s="22" t="str">
        <f aca="false">O2483</f>
        <v>Admin Sales</v>
      </c>
      <c r="Z2483" s="13" t="str">
        <f aca="false">IFERROR(__xludf.dummyfunction("if(BJ2483="""","""",GOOGLETRANSLATE(BJ2483,""auto"",""en""))"),"Admin Sales")</f>
        <v>Admin Sales</v>
      </c>
      <c r="AA2483" s="23" t="str">
        <f aca="false">IF(C2483="","", CHOOSE(MONTH(C2483),"January","February","March","April","May","June","July","August","September","October","November","December")&amp;" "&amp;DAY(C2483)&amp;MID("thstndrdth",MIN(9,2*RIGHT(DAY(C2483))*(MOD(DAY(C2483)-11,100)&gt;2)+1),2)&amp;","&amp;TEXT(C2483," yyyy"))</f>
        <v>June 26th,2025</v>
      </c>
      <c r="AB2483" s="15" t="str">
        <f aca="true">IF(S2483="","",DATEDIF(S2483,TODAY(),"Y")&amp;" Tahun, "&amp;DATEDIF(S2483,TODAY(),"YM")&amp;" Bulan, "&amp;DATEDIF(S2483,TODAY(),"MD")&amp;" Hari")</f>
        <v>40 Tahun, 5 Bulan, 23 Hari</v>
      </c>
      <c r="AC2483" s="18" t="n">
        <v>45834</v>
      </c>
      <c r="AD2483" s="18" t="n">
        <v>46198</v>
      </c>
      <c r="AE2483" s="18" t="s">
        <v>44</v>
      </c>
    </row>
    <row r="2484" customFormat="false" ht="15" hidden="false" customHeight="true" outlineLevel="0" collapsed="false">
      <c r="A2484" s="12" t="n">
        <v>20149</v>
      </c>
      <c r="B2484" s="13" t="s">
        <v>10651</v>
      </c>
      <c r="C2484" s="16" t="n">
        <v>45834</v>
      </c>
      <c r="D2484" s="13" t="s">
        <v>4743</v>
      </c>
      <c r="E2484" s="15" t="s">
        <v>47</v>
      </c>
      <c r="F2484" s="15" t="str">
        <f aca="false">IFERROR(__xludf.dummyfunction("XLOOKUP(AJ2484,IMPORTRANGE(""1XaInW9DU9nz21V0tYIfzFQ0He9kVQ_JF2mCXgZ3hqFA"",""REKAP ALL 2026 - Andika!G:G""),IMPORTRANGE(""1XaInW9DU9nz21V0tYIfzFQ0He9kVQ_JF2mCXgZ3hqFA"",""REKAP ALL 2026 - Andika!F:F""),"""",0)"),"25099857929")</f>
        <v>25099857929</v>
      </c>
      <c r="G2484" s="13" t="s">
        <v>10652</v>
      </c>
      <c r="H2484" s="13" t="s">
        <v>35</v>
      </c>
      <c r="I2484" s="13" t="str">
        <f aca="false">IF(C2484=J2484,"NEW KONTRAK","RE-KONTRAK")</f>
        <v>NEW KONTRAK</v>
      </c>
      <c r="J2484" s="16" t="n">
        <f aca="false" t="array" ref="J2484:J2484">IFERROR(INDEX(AC2484:AE2484,IF(COUNTA(AC2484:AE2484)=0,"",MAX((AC2484:AE2484&lt;&gt;"")*(COLUMN(AC2484:AE2484)-(COLUMN(AC2484)))))-1),"")</f>
        <v>45834</v>
      </c>
      <c r="K2484" s="16" t="n">
        <f aca="false" t="array" ref="K2484:K2484">IFERROR(INDEX(AC2484:AE2484,IF(COUNTA(AC2484:AE2484)=0,"",MAX((AC2484:AE2484&lt;&gt;"")*(COLUMN(AC2484:AE2484)-(COLUMN(AC2484)-1))))-1),"")</f>
        <v>46198</v>
      </c>
      <c r="L2484" s="17" t="str">
        <f aca="false" t="array" ref="L2484:L2484">IFERROR(INDEX(AC2484:AE2484,IF(COUNTA(AC2484:AE2484)=0,"",MAX((AC2484:AE2484&lt;&gt;"")*(COLUMN(AC2484:AE2484)-(COLUMN(AC2484)-2))))-1),"")</f>
        <v>KEMBALI</v>
      </c>
      <c r="M2484" s="13" t="n">
        <f aca="true">K2484-TODAY()</f>
        <v>-126</v>
      </c>
      <c r="N2484" s="18" t="s">
        <v>105</v>
      </c>
      <c r="O2484" s="13" t="s">
        <v>3599</v>
      </c>
      <c r="P2484" s="19" t="n">
        <v>5191541</v>
      </c>
      <c r="Q2484" s="20" t="s">
        <v>10653</v>
      </c>
      <c r="R2484" s="13" t="s">
        <v>39</v>
      </c>
      <c r="S2484" s="16" t="n">
        <v>34201</v>
      </c>
      <c r="T2484" s="13" t="s">
        <v>108</v>
      </c>
      <c r="U2484" s="13" t="s">
        <v>10654</v>
      </c>
      <c r="V2484" s="13" t="s">
        <v>42</v>
      </c>
      <c r="W2484" s="13" t="s">
        <v>43</v>
      </c>
      <c r="X2484" s="21" t="n">
        <v>82230028818</v>
      </c>
      <c r="Y2484" s="22" t="str">
        <f aca="false">O2484</f>
        <v>Admin Gudang</v>
      </c>
      <c r="Z2484" s="13" t="str">
        <f aca="false">IFERROR(__xludf.dummyfunction("if(BJ2484="""","""",GOOGLETRANSLATE(BJ2484,""auto"",""en""))"),"Warehouse Admin")</f>
        <v>Warehouse Admin</v>
      </c>
      <c r="AA2484" s="23" t="str">
        <f aca="false">IF(C2484="","", CHOOSE(MONTH(C2484),"January","February","March","April","May","June","July","August","September","October","November","December")&amp;" "&amp;DAY(C2484)&amp;MID("thstndrdth",MIN(9,2*RIGHT(DAY(C2484))*(MOD(DAY(C2484)-11,100)&gt;2)+1),2)&amp;","&amp;TEXT(C2484," yyyy"))</f>
        <v>June 26th,2025</v>
      </c>
      <c r="AB2484" s="15" t="str">
        <f aca="true">IF(S2484="","",DATEDIF(S2484,TODAY(),"Y")&amp;" Tahun, "&amp;DATEDIF(S2484,TODAY(),"YM")&amp;" Bulan, "&amp;DATEDIF(S2484,TODAY(),"MD")&amp;" Hari")</f>
        <v>33 Tahun, 2 Bulan, 9 Hari</v>
      </c>
      <c r="AC2484" s="18" t="n">
        <v>45834</v>
      </c>
      <c r="AD2484" s="18" t="n">
        <v>46198</v>
      </c>
      <c r="AE2484" s="13" t="s">
        <v>397</v>
      </c>
    </row>
    <row r="2485" customFormat="false" ht="15" hidden="false" customHeight="true" outlineLevel="0" collapsed="false">
      <c r="A2485" s="12" t="n">
        <v>20150</v>
      </c>
      <c r="B2485" s="13" t="s">
        <v>10655</v>
      </c>
      <c r="C2485" s="16" t="n">
        <v>45834</v>
      </c>
      <c r="D2485" s="13" t="s">
        <v>4743</v>
      </c>
      <c r="E2485" s="15" t="s">
        <v>47</v>
      </c>
      <c r="F2485" s="15" t="str">
        <f aca="false">IFERROR(__xludf.dummyfunction("XLOOKUP(AJ2485,IMPORTRANGE(""1XaInW9DU9nz21V0tYIfzFQ0He9kVQ_JF2mCXgZ3hqFA"",""REKAP ALL 2026 - Andika!G:G""),IMPORTRANGE(""1XaInW9DU9nz21V0tYIfzFQ0He9kVQ_JF2mCXgZ3hqFA"",""REKAP ALL 2026 - Andika!F:F""),"""",0)"),"25099857879")</f>
        <v>25099857879</v>
      </c>
      <c r="G2485" s="13" t="s">
        <v>10656</v>
      </c>
      <c r="H2485" s="13" t="s">
        <v>35</v>
      </c>
      <c r="I2485" s="13" t="str">
        <f aca="false">IF(C2485=J2485,"NEW KONTRAK","RE-KONTRAK")</f>
        <v>NEW KONTRAK</v>
      </c>
      <c r="J2485" s="16" t="n">
        <f aca="false" t="array" ref="J2485:J2485">IFERROR(INDEX(AC2485:AE2485,IF(COUNTA(AC2485:AE2485)=0,"",MAX((AC2485:AE2485&lt;&gt;"")*(COLUMN(AC2485:AE2485)-(COLUMN(AC2485)))))-1),"")</f>
        <v>45834</v>
      </c>
      <c r="K2485" s="16" t="n">
        <f aca="false" t="array" ref="K2485:K2485">IFERROR(INDEX(AC2485:AE2485,IF(COUNTA(AC2485:AE2485)=0,"",MAX((AC2485:AE2485&lt;&gt;"")*(COLUMN(AC2485:AE2485)-(COLUMN(AC2485)-1))))-1),"")</f>
        <v>46198</v>
      </c>
      <c r="L2485" s="17" t="str">
        <f aca="false" t="array" ref="L2485:L2485">IFERROR(INDEX(AC2485:AE2485,IF(COUNTA(AC2485:AE2485)=0,"",MAX((AC2485:AE2485&lt;&gt;"")*(COLUMN(AC2485:AE2485)-(COLUMN(AC2485)-2))))-1),"")</f>
        <v>KEMBALI</v>
      </c>
      <c r="M2485" s="13" t="n">
        <f aca="true">K2485-TODAY()</f>
        <v>-126</v>
      </c>
      <c r="N2485" s="18" t="s">
        <v>105</v>
      </c>
      <c r="O2485" s="13" t="s">
        <v>10657</v>
      </c>
      <c r="P2485" s="19" t="n">
        <v>5191541</v>
      </c>
      <c r="Q2485" s="20" t="s">
        <v>10658</v>
      </c>
      <c r="R2485" s="13" t="s">
        <v>39</v>
      </c>
      <c r="S2485" s="16" t="n">
        <v>34258</v>
      </c>
      <c r="T2485" s="13" t="s">
        <v>108</v>
      </c>
      <c r="U2485" s="13" t="s">
        <v>10659</v>
      </c>
      <c r="V2485" s="13" t="s">
        <v>42</v>
      </c>
      <c r="W2485" s="13" t="s">
        <v>54</v>
      </c>
      <c r="X2485" s="21" t="n">
        <v>81330648147</v>
      </c>
      <c r="Y2485" s="22" t="str">
        <f aca="false">O2485</f>
        <v>SPV HRD</v>
      </c>
      <c r="Z2485" s="13" t="str">
        <f aca="false">IFERROR(__xludf.dummyfunction("if(BJ2485="""","""",GOOGLETRANSLATE(BJ2485,""auto"",""en""))"),"SPV HRD")</f>
        <v>SPV HRD</v>
      </c>
      <c r="AA2485" s="23" t="str">
        <f aca="false">IF(C2485="","", CHOOSE(MONTH(C2485),"January","February","March","April","May","June","July","August","September","October","November","December")&amp;" "&amp;DAY(C2485)&amp;MID("thstndrdth",MIN(9,2*RIGHT(DAY(C2485))*(MOD(DAY(C2485)-11,100)&gt;2)+1),2)&amp;","&amp;TEXT(C2485," yyyy"))</f>
        <v>June 26th,2025</v>
      </c>
      <c r="AB2485" s="15" t="str">
        <f aca="true">IF(S2485="","",DATEDIF(S2485,TODAY(),"Y")&amp;" Tahun, "&amp;DATEDIF(S2485,TODAY(),"YM")&amp;" Bulan, "&amp;DATEDIF(S2485,TODAY(),"MD")&amp;" Hari")</f>
        <v>33 Tahun, 0 Bulan, 13 Hari</v>
      </c>
      <c r="AC2485" s="18" t="n">
        <v>45834</v>
      </c>
      <c r="AD2485" s="18" t="n">
        <v>46198</v>
      </c>
      <c r="AE2485" s="13" t="s">
        <v>397</v>
      </c>
    </row>
    <row r="2486" customFormat="false" ht="15" hidden="false" customHeight="true" outlineLevel="0" collapsed="false">
      <c r="A2486" s="12" t="n">
        <v>20151</v>
      </c>
      <c r="B2486" s="13" t="s">
        <v>10660</v>
      </c>
      <c r="C2486" s="16" t="n">
        <v>45834</v>
      </c>
      <c r="D2486" s="13" t="s">
        <v>5442</v>
      </c>
      <c r="E2486" s="15" t="s">
        <v>47</v>
      </c>
      <c r="F2486" s="15" t="str">
        <f aca="false">IFERROR(__xludf.dummyfunction("XLOOKUP(AJ2486,IMPORTRANGE(""1XaInW9DU9nz21V0tYIfzFQ0He9kVQ_JF2mCXgZ3hqFA"",""REKAP ALL 2026 - Andika!G:G""),IMPORTRANGE(""1XaInW9DU9nz21V0tYIfzFQ0He9kVQ_JF2mCXgZ3hqFA"",""REKAP ALL 2026 - Andika!F:F""),"""",0)"),"25099858000")</f>
        <v>25099858000</v>
      </c>
      <c r="G2486" s="13" t="s">
        <v>10661</v>
      </c>
      <c r="H2486" s="13" t="s">
        <v>35</v>
      </c>
      <c r="I2486" s="13" t="str">
        <f aca="false">IF(C2486=J2486,"NEW KONTRAK","RE-KONTRAK")</f>
        <v>NEW KONTRAK</v>
      </c>
      <c r="J2486" s="16" t="n">
        <f aca="false" t="array" ref="J2486:J2486">IFERROR(INDEX(AC2486:AE2486,IF(COUNTA(AC2486:AE2486)=0,"",MAX((AC2486:AE2486&lt;&gt;"")*(COLUMN(AC2486:AE2486)-(COLUMN(AC2486)))))-1),"")</f>
        <v>45834</v>
      </c>
      <c r="K2486" s="16" t="n">
        <f aca="false" t="array" ref="K2486:K2486">IFERROR(INDEX(AC2486:AE2486,IF(COUNTA(AC2486:AE2486)=0,"",MAX((AC2486:AE2486&lt;&gt;"")*(COLUMN(AC2486:AE2486)-(COLUMN(AC2486)-1))))-1),"")</f>
        <v>46198</v>
      </c>
      <c r="L2486" s="17" t="str">
        <f aca="false" t="array" ref="L2486:L2486">IFERROR(INDEX(AC2486:AE2486,IF(COUNTA(AC2486:AE2486)=0,"",MAX((AC2486:AE2486&lt;&gt;"")*(COLUMN(AC2486:AE2486)-(COLUMN(AC2486)-2))))-1),"")</f>
        <v>KEMBALI</v>
      </c>
      <c r="M2486" s="13" t="n">
        <f aca="true">K2486-TODAY()</f>
        <v>-126</v>
      </c>
      <c r="N2486" s="18" t="s">
        <v>105</v>
      </c>
      <c r="O2486" s="13" t="s">
        <v>10662</v>
      </c>
      <c r="P2486" s="19" t="n">
        <v>5191541</v>
      </c>
      <c r="Q2486" s="20" t="s">
        <v>10663</v>
      </c>
      <c r="R2486" s="13" t="s">
        <v>52</v>
      </c>
      <c r="S2486" s="16" t="n">
        <v>28953</v>
      </c>
      <c r="T2486" s="28" t="s">
        <v>40</v>
      </c>
      <c r="U2486" s="13" t="s">
        <v>10664</v>
      </c>
      <c r="V2486" s="13" t="s">
        <v>42</v>
      </c>
      <c r="W2486" s="13" t="s">
        <v>54</v>
      </c>
      <c r="X2486" s="21" t="n">
        <v>89666802531</v>
      </c>
      <c r="Y2486" s="22" t="str">
        <f aca="false">O2486</f>
        <v>Tukang Pemasangan</v>
      </c>
      <c r="Z2486" s="13" t="str">
        <f aca="false">IFERROR(__xludf.dummyfunction("if(BJ2486="""","""",GOOGLETRANSLATE(BJ2486,""auto"",""en""))"),"Installer")</f>
        <v>Installer</v>
      </c>
      <c r="AA2486" s="23" t="str">
        <f aca="false">IF(C2486="","", CHOOSE(MONTH(C2486),"January","February","March","April","May","June","July","August","September","October","November","December")&amp;" "&amp;DAY(C2486)&amp;MID("thstndrdth",MIN(9,2*RIGHT(DAY(C2486))*(MOD(DAY(C2486)-11,100)&gt;2)+1),2)&amp;","&amp;TEXT(C2486," yyyy"))</f>
        <v>June 26th,2025</v>
      </c>
      <c r="AB2486" s="15" t="str">
        <f aca="true">IF(S2486="","",DATEDIF(S2486,TODAY(),"Y")&amp;" Tahun, "&amp;DATEDIF(S2486,TODAY(),"YM")&amp;" Bulan, "&amp;DATEDIF(S2486,TODAY(),"MD")&amp;" Hari")</f>
        <v>47 Tahun, 6 Bulan, 21 Hari</v>
      </c>
      <c r="AC2486" s="18" t="n">
        <v>45834</v>
      </c>
      <c r="AD2486" s="18" t="n">
        <v>46198</v>
      </c>
      <c r="AE2486" s="13" t="s">
        <v>397</v>
      </c>
    </row>
    <row r="2487" customFormat="false" ht="15" hidden="false" customHeight="true" outlineLevel="0" collapsed="false">
      <c r="A2487" s="12" t="n">
        <v>20152</v>
      </c>
      <c r="B2487" s="13" t="s">
        <v>10665</v>
      </c>
      <c r="C2487" s="16" t="n">
        <v>45834</v>
      </c>
      <c r="D2487" s="13" t="s">
        <v>5442</v>
      </c>
      <c r="E2487" s="15" t="s">
        <v>47</v>
      </c>
      <c r="F2487" s="15" t="str">
        <f aca="false">IFERROR(__xludf.dummyfunction("XLOOKUP(AJ2487,IMPORTRANGE(""1XaInW9DU9nz21V0tYIfzFQ0He9kVQ_JF2mCXgZ3hqFA"",""REKAP ALL 2026 - Andika!G:G""),IMPORTRANGE(""1XaInW9DU9nz21V0tYIfzFQ0He9kVQ_JF2mCXgZ3hqFA"",""REKAP ALL 2026 - Andika!F:F""),"""",0)"),"25099857960")</f>
        <v>25099857960</v>
      </c>
      <c r="G2487" s="13" t="s">
        <v>10666</v>
      </c>
      <c r="H2487" s="13" t="s">
        <v>35</v>
      </c>
      <c r="I2487" s="13" t="str">
        <f aca="false">IF(C2487=J2487,"NEW KONTRAK","RE-KONTRAK")</f>
        <v>NEW KONTRAK</v>
      </c>
      <c r="J2487" s="16" t="n">
        <f aca="false" t="array" ref="J2487:J2487">IFERROR(INDEX(AC2487:AE2487,IF(COUNTA(AC2487:AE2487)=0,"",MAX((AC2487:AE2487&lt;&gt;"")*(COLUMN(AC2487:AE2487)-(COLUMN(AC2487)))))-1),"")</f>
        <v>45834</v>
      </c>
      <c r="K2487" s="16" t="n">
        <f aca="false" t="array" ref="K2487:K2487">IFERROR(INDEX(AC2487:AE2487,IF(COUNTA(AC2487:AE2487)=0,"",MAX((AC2487:AE2487&lt;&gt;"")*(COLUMN(AC2487:AE2487)-(COLUMN(AC2487)-1))))-1),"")</f>
        <v>46198</v>
      </c>
      <c r="L2487" s="17" t="str">
        <f aca="false" t="array" ref="L2487:L2487">IFERROR(INDEX(AC2487:AE2487,IF(COUNTA(AC2487:AE2487)=0,"",MAX((AC2487:AE2487&lt;&gt;"")*(COLUMN(AC2487:AE2487)-(COLUMN(AC2487)-2))))-1),"")</f>
        <v>KEMBALI</v>
      </c>
      <c r="M2487" s="13" t="n">
        <f aca="true">K2487-TODAY()</f>
        <v>-126</v>
      </c>
      <c r="N2487" s="18" t="s">
        <v>105</v>
      </c>
      <c r="O2487" s="13" t="s">
        <v>10667</v>
      </c>
      <c r="P2487" s="19" t="n">
        <v>5191541</v>
      </c>
      <c r="Q2487" s="20" t="s">
        <v>10668</v>
      </c>
      <c r="R2487" s="13" t="s">
        <v>39</v>
      </c>
      <c r="S2487" s="16" t="n">
        <v>30293</v>
      </c>
      <c r="T2487" s="28" t="s">
        <v>40</v>
      </c>
      <c r="U2487" s="13" t="s">
        <v>10669</v>
      </c>
      <c r="V2487" s="13" t="s">
        <v>42</v>
      </c>
      <c r="W2487" s="13" t="s">
        <v>54</v>
      </c>
      <c r="X2487" s="21" t="n">
        <v>85792444599</v>
      </c>
      <c r="Y2487" s="22" t="str">
        <f aca="false">O2487</f>
        <v>Pemasangan</v>
      </c>
      <c r="Z2487" s="13" t="str">
        <f aca="false">IFERROR(__xludf.dummyfunction("if(BJ2487="""","""",GOOGLETRANSLATE(BJ2487,""auto"",""en""))"),"Installation")</f>
        <v>Installation</v>
      </c>
      <c r="AA2487" s="23" t="str">
        <f aca="false">IF(C2487="","", CHOOSE(MONTH(C2487),"January","February","March","April","May","June","July","August","September","October","November","December")&amp;" "&amp;DAY(C2487)&amp;MID("thstndrdth",MIN(9,2*RIGHT(DAY(C2487))*(MOD(DAY(C2487)-11,100)&gt;2)+1),2)&amp;","&amp;TEXT(C2487," yyyy"))</f>
        <v>June 26th,2025</v>
      </c>
      <c r="AB2487" s="15" t="str">
        <f aca="true">IF(S2487="","",DATEDIF(S2487,TODAY(),"Y")&amp;" Tahun, "&amp;DATEDIF(S2487,TODAY(),"YM")&amp;" Bulan, "&amp;DATEDIF(S2487,TODAY(),"MD")&amp;" Hari")</f>
        <v>43 Tahun, 10 Bulan, 21 Hari</v>
      </c>
      <c r="AC2487" s="18" t="n">
        <v>45834</v>
      </c>
      <c r="AD2487" s="18" t="n">
        <v>46198</v>
      </c>
      <c r="AE2487" s="13" t="s">
        <v>397</v>
      </c>
    </row>
    <row r="2488" customFormat="false" ht="15" hidden="false" customHeight="true" outlineLevel="0" collapsed="false">
      <c r="A2488" s="12" t="n">
        <v>20153</v>
      </c>
      <c r="B2488" s="13" t="s">
        <v>7653</v>
      </c>
      <c r="C2488" s="16" t="n">
        <v>45834</v>
      </c>
      <c r="D2488" s="13" t="s">
        <v>5442</v>
      </c>
      <c r="E2488" s="15" t="s">
        <v>47</v>
      </c>
      <c r="F2488" s="15" t="str">
        <f aca="false">IFERROR(__xludf.dummyfunction("XLOOKUP(AJ2488,IMPORTRANGE(""1XaInW9DU9nz21V0tYIfzFQ0He9kVQ_JF2mCXgZ3hqFA"",""REKAP ALL 2026 - Andika!G:G""),IMPORTRANGE(""1XaInW9DU9nz21V0tYIfzFQ0He9kVQ_JF2mCXgZ3hqFA"",""REKAP ALL 2026 - Andika!F:F""),"""",0)"),"25099857838")</f>
        <v>25099857838</v>
      </c>
      <c r="G2488" s="13" t="s">
        <v>1127</v>
      </c>
      <c r="H2488" s="13" t="s">
        <v>35</v>
      </c>
      <c r="I2488" s="13" t="str">
        <f aca="false">IF(C2488=J2488,"NEW KONTRAK","RE-KONTRAK")</f>
        <v>NEW KONTRAK</v>
      </c>
      <c r="J2488" s="16" t="n">
        <f aca="false" t="array" ref="J2488:J2488">IFERROR(INDEX(AC2488:AE2488,IF(COUNTA(AC2488:AE2488)=0,"",MAX((AC2488:AE2488&lt;&gt;"")*(COLUMN(AC2488:AE2488)-(COLUMN(AC2488)))))-1),"")</f>
        <v>45834</v>
      </c>
      <c r="K2488" s="16" t="n">
        <f aca="false" t="array" ref="K2488:K2488">IFERROR(INDEX(AC2488:AE2488,IF(COUNTA(AC2488:AE2488)=0,"",MAX((AC2488:AE2488&lt;&gt;"")*(COLUMN(AC2488:AE2488)-(COLUMN(AC2488)-1))))-1),"")</f>
        <v>46198</v>
      </c>
      <c r="L2488" s="17" t="str">
        <f aca="false" t="array" ref="L2488:L2488">IFERROR(INDEX(AC2488:AE2488,IF(COUNTA(AC2488:AE2488)=0,"",MAX((AC2488:AE2488&lt;&gt;"")*(COLUMN(AC2488:AE2488)-(COLUMN(AC2488)-2))))-1),"")</f>
        <v>KEMBALI</v>
      </c>
      <c r="M2488" s="13" t="n">
        <f aca="true">K2488-TODAY()</f>
        <v>-126</v>
      </c>
      <c r="N2488" s="18" t="s">
        <v>105</v>
      </c>
      <c r="O2488" s="13" t="s">
        <v>50</v>
      </c>
      <c r="P2488" s="19" t="n">
        <v>5191541</v>
      </c>
      <c r="Q2488" s="47" t="s">
        <v>10670</v>
      </c>
      <c r="R2488" s="13" t="s">
        <v>65</v>
      </c>
      <c r="S2488" s="16" t="n">
        <v>27268</v>
      </c>
      <c r="T2488" s="28" t="s">
        <v>40</v>
      </c>
      <c r="U2488" s="13" t="s">
        <v>10671</v>
      </c>
      <c r="V2488" s="13" t="s">
        <v>42</v>
      </c>
      <c r="W2488" s="13" t="s">
        <v>54</v>
      </c>
      <c r="X2488" s="21" t="n">
        <v>81235964389</v>
      </c>
      <c r="Y2488" s="22" t="str">
        <f aca="false">O2488</f>
        <v>Driver</v>
      </c>
      <c r="Z2488" s="13" t="str">
        <f aca="false">IFERROR(__xludf.dummyfunction("if(BJ2488="""","""",GOOGLETRANSLATE(BJ2488,""auto"",""en""))"),"Driver")</f>
        <v>Driver</v>
      </c>
      <c r="AA2488" s="23" t="str">
        <f aca="false">IF(C2488="","", CHOOSE(MONTH(C2488),"January","February","March","April","May","June","July","August","September","October","November","December")&amp;" "&amp;DAY(C2488)&amp;MID("thstndrdth",MIN(9,2*RIGHT(DAY(C2488))*(MOD(DAY(C2488)-11,100)&gt;2)+1),2)&amp;","&amp;TEXT(C2488," yyyy"))</f>
        <v>June 26th,2025</v>
      </c>
      <c r="AB2488" s="15" t="str">
        <f aca="true">IF(S2488="","",DATEDIF(S2488,TODAY(),"Y")&amp;" Tahun, "&amp;DATEDIF(S2488,TODAY(),"YM")&amp;" Bulan, "&amp;DATEDIF(S2488,TODAY(),"MD")&amp;" Hari")</f>
        <v>52 Tahun, 2 Bulan, 2 Hari</v>
      </c>
      <c r="AC2488" s="18" t="n">
        <v>45834</v>
      </c>
      <c r="AD2488" s="18" t="n">
        <v>46198</v>
      </c>
      <c r="AE2488" s="13" t="s">
        <v>397</v>
      </c>
    </row>
    <row r="2489" customFormat="false" ht="15" hidden="false" customHeight="true" outlineLevel="0" collapsed="false">
      <c r="A2489" s="12" t="n">
        <v>20154</v>
      </c>
      <c r="B2489" s="13" t="s">
        <v>10672</v>
      </c>
      <c r="C2489" s="16" t="n">
        <v>45834</v>
      </c>
      <c r="D2489" s="13" t="s">
        <v>5442</v>
      </c>
      <c r="E2489" s="15" t="s">
        <v>47</v>
      </c>
      <c r="F2489" s="15" t="str">
        <f aca="false">IFERROR(__xludf.dummyfunction("XLOOKUP(AJ2489,IMPORTRANGE(""1XaInW9DU9nz21V0tYIfzFQ0He9kVQ_JF2mCXgZ3hqFA"",""REKAP ALL 2026 - Andika!G:G""),IMPORTRANGE(""1XaInW9DU9nz21V0tYIfzFQ0He9kVQ_JF2mCXgZ3hqFA"",""REKAP ALL 2026 - Andika!F:F""),"""",0)"),"25099857861")</f>
        <v>25099857861</v>
      </c>
      <c r="G2489" s="13" t="s">
        <v>10673</v>
      </c>
      <c r="H2489" s="13" t="s">
        <v>35</v>
      </c>
      <c r="I2489" s="13" t="str">
        <f aca="false">IF(C2489=J2489,"NEW KONTRAK","RE-KONTRAK")</f>
        <v>NEW KONTRAK</v>
      </c>
      <c r="J2489" s="16" t="n">
        <f aca="false" t="array" ref="J2489:J2489">IFERROR(INDEX(AC2489:AE2489,IF(COUNTA(AC2489:AE2489)=0,"",MAX((AC2489:AE2489&lt;&gt;"")*(COLUMN(AC2489:AE2489)-(COLUMN(AC2489)))))-1),"")</f>
        <v>45834</v>
      </c>
      <c r="K2489" s="16" t="n">
        <f aca="false" t="array" ref="K2489:K2489">IFERROR(INDEX(AC2489:AE2489,IF(COUNTA(AC2489:AE2489)=0,"",MAX((AC2489:AE2489&lt;&gt;"")*(COLUMN(AC2489:AE2489)-(COLUMN(AC2489)-1))))-1),"")</f>
        <v>46198</v>
      </c>
      <c r="L2489" s="17" t="str">
        <f aca="false" t="array" ref="L2489:L2489">IFERROR(INDEX(AC2489:AE2489,IF(COUNTA(AC2489:AE2489)=0,"",MAX((AC2489:AE2489&lt;&gt;"")*(COLUMN(AC2489:AE2489)-(COLUMN(AC2489)-2))))-1),"")</f>
        <v>KEMBALI</v>
      </c>
      <c r="M2489" s="13" t="n">
        <f aca="true">K2489-TODAY()</f>
        <v>-126</v>
      </c>
      <c r="N2489" s="18" t="s">
        <v>105</v>
      </c>
      <c r="O2489" s="13" t="s">
        <v>50</v>
      </c>
      <c r="P2489" s="19" t="n">
        <v>5191541</v>
      </c>
      <c r="Q2489" s="20" t="s">
        <v>10674</v>
      </c>
      <c r="R2489" s="13" t="s">
        <v>148</v>
      </c>
      <c r="S2489" s="16" t="n">
        <v>27496</v>
      </c>
      <c r="T2489" s="28" t="s">
        <v>40</v>
      </c>
      <c r="U2489" s="13" t="s">
        <v>10675</v>
      </c>
      <c r="V2489" s="13" t="s">
        <v>42</v>
      </c>
      <c r="W2489" s="13" t="s">
        <v>54</v>
      </c>
      <c r="X2489" s="21" t="n">
        <v>81231262602</v>
      </c>
      <c r="Y2489" s="22" t="str">
        <f aca="false">O2489</f>
        <v>Driver</v>
      </c>
      <c r="Z2489" s="13" t="str">
        <f aca="false">IFERROR(__xludf.dummyfunction("if(BJ2489="""","""",GOOGLETRANSLATE(BJ2489,""auto"",""en""))"),"Driver")</f>
        <v>Driver</v>
      </c>
      <c r="AA2489" s="23" t="str">
        <f aca="false">IF(C2489="","", CHOOSE(MONTH(C2489),"January","February","March","April","May","June","July","August","September","October","November","December")&amp;" "&amp;DAY(C2489)&amp;MID("thstndrdth",MIN(9,2*RIGHT(DAY(C2489))*(MOD(DAY(C2489)-11,100)&gt;2)+1),2)&amp;","&amp;TEXT(C2489," yyyy"))</f>
        <v>June 26th,2025</v>
      </c>
      <c r="AB2489" s="15" t="str">
        <f aca="true">IF(S2489="","",DATEDIF(S2489,TODAY(),"Y")&amp;" Tahun, "&amp;DATEDIF(S2489,TODAY(),"YM")&amp;" Bulan, "&amp;DATEDIF(S2489,TODAY(),"MD")&amp;" Hari")</f>
        <v>51 Tahun, 6 Bulan, 17 Hari</v>
      </c>
      <c r="AC2489" s="18" t="n">
        <v>45834</v>
      </c>
      <c r="AD2489" s="18" t="n">
        <v>46198</v>
      </c>
      <c r="AE2489" s="13" t="s">
        <v>397</v>
      </c>
    </row>
    <row r="2490" customFormat="false" ht="15" hidden="false" customHeight="true" outlineLevel="0" collapsed="false">
      <c r="A2490" s="12" t="n">
        <v>20155</v>
      </c>
      <c r="B2490" s="13" t="s">
        <v>10676</v>
      </c>
      <c r="C2490" s="16" t="n">
        <v>45834</v>
      </c>
      <c r="D2490" s="13" t="s">
        <v>5442</v>
      </c>
      <c r="E2490" s="15" t="s">
        <v>47</v>
      </c>
      <c r="F2490" s="15" t="str">
        <f aca="false">IFERROR(__xludf.dummyfunction("XLOOKUP(AJ2490,IMPORTRANGE(""1XaInW9DU9nz21V0tYIfzFQ0He9kVQ_JF2mCXgZ3hqFA"",""REKAP ALL 2026 - Andika!G:G""),IMPORTRANGE(""1XaInW9DU9nz21V0tYIfzFQ0He9kVQ_JF2mCXgZ3hqFA"",""REKAP ALL 2026 - Andika!F:F""),"""",0)"),"25099857911")</f>
        <v>25099857911</v>
      </c>
      <c r="G2490" s="13" t="s">
        <v>10677</v>
      </c>
      <c r="H2490" s="13" t="s">
        <v>35</v>
      </c>
      <c r="I2490" s="13" t="str">
        <f aca="false">IF(C2490=J2490,"NEW KONTRAK","RE-KONTRAK")</f>
        <v>NEW KONTRAK</v>
      </c>
      <c r="J2490" s="16" t="n">
        <f aca="false" t="array" ref="J2490:J2490">IFERROR(INDEX(AC2490:AE2490,IF(COUNTA(AC2490:AE2490)=0,"",MAX((AC2490:AE2490&lt;&gt;"")*(COLUMN(AC2490:AE2490)-(COLUMN(AC2490)))))-1),"")</f>
        <v>45834</v>
      </c>
      <c r="K2490" s="16" t="n">
        <f aca="false" t="array" ref="K2490:K2490">IFERROR(INDEX(AC2490:AE2490,IF(COUNTA(AC2490:AE2490)=0,"",MAX((AC2490:AE2490&lt;&gt;"")*(COLUMN(AC2490:AE2490)-(COLUMN(AC2490)-1))))-1),"")</f>
        <v>46198</v>
      </c>
      <c r="L2490" s="17" t="str">
        <f aca="false" t="array" ref="L2490:L2490">IFERROR(INDEX(AC2490:AE2490,IF(COUNTA(AC2490:AE2490)=0,"",MAX((AC2490:AE2490&lt;&gt;"")*(COLUMN(AC2490:AE2490)-(COLUMN(AC2490)-2))))-1),"")</f>
        <v>KEMBALI</v>
      </c>
      <c r="M2490" s="13" t="n">
        <f aca="true">K2490-TODAY()</f>
        <v>-126</v>
      </c>
      <c r="N2490" s="18" t="s">
        <v>105</v>
      </c>
      <c r="O2490" s="13" t="s">
        <v>3510</v>
      </c>
      <c r="P2490" s="19" t="n">
        <v>5191541</v>
      </c>
      <c r="Q2490" s="20" t="s">
        <v>10678</v>
      </c>
      <c r="R2490" s="13" t="s">
        <v>179</v>
      </c>
      <c r="S2490" s="16" t="n">
        <v>30434</v>
      </c>
      <c r="T2490" s="28" t="s">
        <v>40</v>
      </c>
      <c r="U2490" s="13" t="s">
        <v>10679</v>
      </c>
      <c r="V2490" s="13" t="s">
        <v>42</v>
      </c>
      <c r="W2490" s="13" t="s">
        <v>43</v>
      </c>
      <c r="X2490" s="21" t="n">
        <v>82225965975</v>
      </c>
      <c r="Y2490" s="22" t="str">
        <f aca="false">O2490</f>
        <v>Teknisi</v>
      </c>
      <c r="Z2490" s="13" t="str">
        <f aca="false">IFERROR(__xludf.dummyfunction("if(BJ2490="""","""",GOOGLETRANSLATE(BJ2490,""auto"",""en""))"),"Technician")</f>
        <v>Technician</v>
      </c>
      <c r="AA2490" s="23" t="str">
        <f aca="false">IF(C2490="","", CHOOSE(MONTH(C2490),"January","February","March","April","May","June","July","August","September","October","November","December")&amp;" "&amp;DAY(C2490)&amp;MID("thstndrdth",MIN(9,2*RIGHT(DAY(C2490))*(MOD(DAY(C2490)-11,100)&gt;2)+1),2)&amp;","&amp;TEXT(C2490," yyyy"))</f>
        <v>June 26th,2025</v>
      </c>
      <c r="AB2490" s="15" t="str">
        <f aca="true">IF(S2490="","",DATEDIF(S2490,TODAY(),"Y")&amp;" Tahun, "&amp;DATEDIF(S2490,TODAY(),"YM")&amp;" Bulan, "&amp;DATEDIF(S2490,TODAY(),"MD")&amp;" Hari")</f>
        <v>43 Tahun, 6 Bulan, 1 Hari</v>
      </c>
      <c r="AC2490" s="18" t="n">
        <v>45834</v>
      </c>
      <c r="AD2490" s="18" t="n">
        <v>46198</v>
      </c>
      <c r="AE2490" s="13" t="s">
        <v>397</v>
      </c>
    </row>
    <row r="2491" customFormat="false" ht="15" hidden="false" customHeight="true" outlineLevel="0" collapsed="false">
      <c r="A2491" s="12" t="n">
        <v>20156</v>
      </c>
      <c r="B2491" s="13" t="s">
        <v>10680</v>
      </c>
      <c r="C2491" s="16" t="n">
        <v>45834</v>
      </c>
      <c r="D2491" s="13" t="s">
        <v>5442</v>
      </c>
      <c r="E2491" s="15" t="s">
        <v>47</v>
      </c>
      <c r="F2491" s="15" t="str">
        <f aca="false">IFERROR(__xludf.dummyfunction("XLOOKUP(AJ2491,IMPORTRANGE(""1XaInW9DU9nz21V0tYIfzFQ0He9kVQ_JF2mCXgZ3hqFA"",""REKAP ALL 2026 - Andika!G:G""),IMPORTRANGE(""1XaInW9DU9nz21V0tYIfzFQ0He9kVQ_JF2mCXgZ3hqFA"",""REKAP ALL 2026 - Andika!F:F""),"""",0)"),"25099857903")</f>
        <v>25099857903</v>
      </c>
      <c r="G2491" s="13" t="s">
        <v>1127</v>
      </c>
      <c r="H2491" s="13" t="s">
        <v>35</v>
      </c>
      <c r="I2491" s="13" t="str">
        <f aca="false">IF(C2491=J2491,"NEW KONTRAK","RE-KONTRAK")</f>
        <v>NEW KONTRAK</v>
      </c>
      <c r="J2491" s="16" t="n">
        <f aca="false" t="array" ref="J2491:J2491">IFERROR(INDEX(AC2491:AE2491,IF(COUNTA(AC2491:AE2491)=0,"",MAX((AC2491:AE2491&lt;&gt;"")*(COLUMN(AC2491:AE2491)-(COLUMN(AC2491)))))-1),"")</f>
        <v>45834</v>
      </c>
      <c r="K2491" s="16" t="n">
        <f aca="false" t="array" ref="K2491:K2491">IFERROR(INDEX(AC2491:AE2491,IF(COUNTA(AC2491:AE2491)=0,"",MAX((AC2491:AE2491&lt;&gt;"")*(COLUMN(AC2491:AE2491)-(COLUMN(AC2491)-1))))-1),"")</f>
        <v>46198</v>
      </c>
      <c r="L2491" s="17" t="str">
        <f aca="false" t="array" ref="L2491:L2491">IFERROR(INDEX(AC2491:AE2491,IF(COUNTA(AC2491:AE2491)=0,"",MAX((AC2491:AE2491&lt;&gt;"")*(COLUMN(AC2491:AE2491)-(COLUMN(AC2491)-2))))-1),"")</f>
        <v>KEMBALI</v>
      </c>
      <c r="M2491" s="13" t="n">
        <f aca="true">K2491-TODAY()</f>
        <v>-126</v>
      </c>
      <c r="N2491" s="18" t="s">
        <v>105</v>
      </c>
      <c r="O2491" s="13" t="s">
        <v>785</v>
      </c>
      <c r="P2491" s="19" t="n">
        <v>5191541</v>
      </c>
      <c r="Q2491" s="20" t="s">
        <v>10681</v>
      </c>
      <c r="R2491" s="13" t="s">
        <v>65</v>
      </c>
      <c r="S2491" s="16" t="n">
        <v>30073</v>
      </c>
      <c r="T2491" s="28" t="s">
        <v>40</v>
      </c>
      <c r="U2491" s="13" t="s">
        <v>10682</v>
      </c>
      <c r="V2491" s="13" t="s">
        <v>42</v>
      </c>
      <c r="W2491" s="13" t="s">
        <v>54</v>
      </c>
      <c r="X2491" s="21" t="n">
        <v>81927041954</v>
      </c>
      <c r="Y2491" s="22" t="str">
        <f aca="false">O2491</f>
        <v>Gudang</v>
      </c>
      <c r="Z2491" s="13" t="str">
        <f aca="false">IFERROR(__xludf.dummyfunction("if(BJ2491="""","""",GOOGLETRANSLATE(BJ2491,""auto"",""en""))"),"Warehouse")</f>
        <v>Warehouse</v>
      </c>
      <c r="AA2491" s="23" t="str">
        <f aca="false">IF(C2491="","", CHOOSE(MONTH(C2491),"January","February","March","April","May","June","July","August","September","October","November","December")&amp;" "&amp;DAY(C2491)&amp;MID("thstndrdth",MIN(9,2*RIGHT(DAY(C2491))*(MOD(DAY(C2491)-11,100)&gt;2)+1),2)&amp;","&amp;TEXT(C2491," yyyy"))</f>
        <v>June 26th,2025</v>
      </c>
      <c r="AB2491" s="15" t="str">
        <f aca="true">IF(S2491="","",DATEDIF(S2491,TODAY(),"Y")&amp;" Tahun, "&amp;DATEDIF(S2491,TODAY(),"YM")&amp;" Bulan, "&amp;DATEDIF(S2491,TODAY(),"MD")&amp;" Hari")</f>
        <v>44 Tahun, 5 Bulan, 27 Hari</v>
      </c>
      <c r="AC2491" s="18" t="n">
        <v>45834</v>
      </c>
      <c r="AD2491" s="18" t="n">
        <v>46198</v>
      </c>
      <c r="AE2491" s="13" t="s">
        <v>397</v>
      </c>
    </row>
    <row r="2492" customFormat="false" ht="15" hidden="false" customHeight="true" outlineLevel="0" collapsed="false">
      <c r="A2492" s="12" t="n">
        <v>20157</v>
      </c>
      <c r="B2492" s="13" t="s">
        <v>10683</v>
      </c>
      <c r="C2492" s="16" t="n">
        <v>45834</v>
      </c>
      <c r="D2492" s="13" t="s">
        <v>5442</v>
      </c>
      <c r="E2492" s="15" t="s">
        <v>47</v>
      </c>
      <c r="F2492" s="15" t="str">
        <f aca="false">IFERROR(__xludf.dummyfunction("XLOOKUP(AJ2492,IMPORTRANGE(""1XaInW9DU9nz21V0tYIfzFQ0He9kVQ_JF2mCXgZ3hqFA"",""REKAP ALL 2026 - Andika!G:G""),IMPORTRANGE(""1XaInW9DU9nz21V0tYIfzFQ0He9kVQ_JF2mCXgZ3hqFA"",""REKAP ALL 2026 - Andika!F:F""),"""",0)"),"25099857895")</f>
        <v>25099857895</v>
      </c>
      <c r="G2492" s="13" t="s">
        <v>10684</v>
      </c>
      <c r="H2492" s="13" t="s">
        <v>35</v>
      </c>
      <c r="I2492" s="13" t="str">
        <f aca="false">IF(C2492=J2492,"NEW KONTRAK","RE-KONTRAK")</f>
        <v>NEW KONTRAK</v>
      </c>
      <c r="J2492" s="16" t="n">
        <f aca="false" t="array" ref="J2492:J2492">IFERROR(INDEX(AC2492:AE2492,IF(COUNTA(AC2492:AE2492)=0,"",MAX((AC2492:AE2492&lt;&gt;"")*(COLUMN(AC2492:AE2492)-(COLUMN(AC2492)))))-1),"")</f>
        <v>45834</v>
      </c>
      <c r="K2492" s="16" t="n">
        <f aca="false" t="array" ref="K2492:K2492">IFERROR(INDEX(AC2492:AE2492,IF(COUNTA(AC2492:AE2492)=0,"",MAX((AC2492:AE2492&lt;&gt;"")*(COLUMN(AC2492:AE2492)-(COLUMN(AC2492)-1))))-1),"")</f>
        <v>46198</v>
      </c>
      <c r="L2492" s="17" t="str">
        <f aca="false" t="array" ref="L2492:L2492">IFERROR(INDEX(AC2492:AE2492,IF(COUNTA(AC2492:AE2492)=0,"",MAX((AC2492:AE2492&lt;&gt;"")*(COLUMN(AC2492:AE2492)-(COLUMN(AC2492)-2))))-1),"")</f>
        <v>ARCHIVED</v>
      </c>
      <c r="M2492" s="13" t="n">
        <f aca="true">K2492-TODAY()</f>
        <v>-126</v>
      </c>
      <c r="N2492" s="18" t="s">
        <v>728</v>
      </c>
      <c r="O2492" s="13" t="s">
        <v>10685</v>
      </c>
      <c r="P2492" s="19" t="n">
        <v>5191541</v>
      </c>
      <c r="Q2492" s="20" t="s">
        <v>10686</v>
      </c>
      <c r="R2492" s="13" t="s">
        <v>255</v>
      </c>
      <c r="S2492" s="16" t="n">
        <v>25887</v>
      </c>
      <c r="T2492" s="28" t="s">
        <v>40</v>
      </c>
      <c r="U2492" s="13" t="s">
        <v>10687</v>
      </c>
      <c r="V2492" s="13" t="s">
        <v>42</v>
      </c>
      <c r="W2492" s="13" t="s">
        <v>54</v>
      </c>
      <c r="X2492" s="21" t="n">
        <v>81357999967</v>
      </c>
      <c r="Y2492" s="22" t="str">
        <f aca="false">O2492</f>
        <v>Driver Direksi</v>
      </c>
      <c r="Z2492" s="13" t="str">
        <f aca="false">IFERROR(__xludf.dummyfunction("if(BJ2492="""","""",GOOGLETRANSLATE(BJ2492,""auto"",""en""))"),"Director Driver")</f>
        <v>Director Driver</v>
      </c>
      <c r="AA2492" s="23" t="str">
        <f aca="false">IF(C2492="","", CHOOSE(MONTH(C2492),"January","February","March","April","May","June","July","August","September","October","November","December")&amp;" "&amp;DAY(C2492)&amp;MID("thstndrdth",MIN(9,2*RIGHT(DAY(C2492))*(MOD(DAY(C2492)-11,100)&gt;2)+1),2)&amp;","&amp;TEXT(C2492," yyyy"))</f>
        <v>June 26th,2025</v>
      </c>
      <c r="AB2492" s="15" t="str">
        <f aca="true">IF(S2492="","",DATEDIF(S2492,TODAY(),"Y")&amp;" Tahun, "&amp;DATEDIF(S2492,TODAY(),"YM")&amp;" Bulan, "&amp;DATEDIF(S2492,TODAY(),"MD")&amp;" Hari")</f>
        <v>55 Tahun, 11 Bulan, 14 Hari</v>
      </c>
      <c r="AC2492" s="18" t="n">
        <v>45834</v>
      </c>
      <c r="AD2492" s="18" t="n">
        <v>46198</v>
      </c>
      <c r="AE2492" s="18" t="s">
        <v>44</v>
      </c>
    </row>
    <row r="2493" customFormat="false" ht="15" hidden="false" customHeight="true" outlineLevel="0" collapsed="false">
      <c r="A2493" s="12" t="n">
        <v>20158</v>
      </c>
      <c r="B2493" s="13" t="s">
        <v>238</v>
      </c>
      <c r="C2493" s="16" t="n">
        <v>45834</v>
      </c>
      <c r="D2493" s="13" t="s">
        <v>5442</v>
      </c>
      <c r="E2493" s="15" t="s">
        <v>47</v>
      </c>
      <c r="F2493" s="15" t="str">
        <f aca="false">IFERROR(__xludf.dummyfunction("XLOOKUP(AJ2493,IMPORTRANGE(""1XaInW9DU9nz21V0tYIfzFQ0He9kVQ_JF2mCXgZ3hqFA"",""REKAP ALL 2026 - Andika!G:G""),IMPORTRANGE(""1XaInW9DU9nz21V0tYIfzFQ0He9kVQ_JF2mCXgZ3hqFA"",""REKAP ALL 2026 - Andika!F:F""),"""",0)"),"25099857978")</f>
        <v>25099857978</v>
      </c>
      <c r="G2493" s="13" t="s">
        <v>10688</v>
      </c>
      <c r="H2493" s="13" t="s">
        <v>35</v>
      </c>
      <c r="I2493" s="13" t="str">
        <f aca="false">IF(C2493=J2493,"NEW KONTRAK","RE-KONTRAK")</f>
        <v>NEW KONTRAK</v>
      </c>
      <c r="J2493" s="16" t="n">
        <f aca="false" t="array" ref="J2493:J2493">IFERROR(INDEX(AC2493:AE2493,IF(COUNTA(AC2493:AE2493)=0,"",MAX((AC2493:AE2493&lt;&gt;"")*(COLUMN(AC2493:AE2493)-(COLUMN(AC2493)))))-1),"")</f>
        <v>45834</v>
      </c>
      <c r="K2493" s="16" t="n">
        <f aca="false" t="array" ref="K2493:K2493">IFERROR(INDEX(AC2493:AE2493,IF(COUNTA(AC2493:AE2493)=0,"",MAX((AC2493:AE2493&lt;&gt;"")*(COLUMN(AC2493:AE2493)-(COLUMN(AC2493)-1))))-1),"")</f>
        <v>46198</v>
      </c>
      <c r="L2493" s="17" t="str">
        <f aca="false" t="array" ref="L2493:L2493">IFERROR(INDEX(AC2493:AE2493,IF(COUNTA(AC2493:AE2493)=0,"",MAX((AC2493:AE2493&lt;&gt;"")*(COLUMN(AC2493:AE2493)-(COLUMN(AC2493)-2))))-1),"")</f>
        <v>KEMBALI</v>
      </c>
      <c r="M2493" s="13" t="n">
        <f aca="true">K2493-TODAY()</f>
        <v>-126</v>
      </c>
      <c r="N2493" s="18" t="s">
        <v>105</v>
      </c>
      <c r="O2493" s="13" t="s">
        <v>50</v>
      </c>
      <c r="P2493" s="19" t="n">
        <v>5191541</v>
      </c>
      <c r="Q2493" s="20" t="s">
        <v>10689</v>
      </c>
      <c r="R2493" s="13" t="s">
        <v>39</v>
      </c>
      <c r="S2493" s="16" t="n">
        <v>24058</v>
      </c>
      <c r="T2493" s="28" t="s">
        <v>40</v>
      </c>
      <c r="U2493" s="13" t="s">
        <v>10690</v>
      </c>
      <c r="V2493" s="13" t="s">
        <v>42</v>
      </c>
      <c r="W2493" s="13" t="s">
        <v>54</v>
      </c>
      <c r="X2493" s="21" t="n">
        <v>85850008933</v>
      </c>
      <c r="Y2493" s="22" t="str">
        <f aca="false">O2493</f>
        <v>Driver</v>
      </c>
      <c r="Z2493" s="13" t="str">
        <f aca="false">IFERROR(__xludf.dummyfunction("if(BJ2493="""","""",GOOGLETRANSLATE(BJ2493,""auto"",""en""))"),"Driver")</f>
        <v>Driver</v>
      </c>
      <c r="AA2493" s="23" t="str">
        <f aca="false">IF(C2493="","", CHOOSE(MONTH(C2493),"January","February","March","April","May","June","July","August","September","October","November","December")&amp;" "&amp;DAY(C2493)&amp;MID("thstndrdth",MIN(9,2*RIGHT(DAY(C2493))*(MOD(DAY(C2493)-11,100)&gt;2)+1),2)&amp;","&amp;TEXT(C2493," yyyy"))</f>
        <v>June 26th,2025</v>
      </c>
      <c r="AB2493" s="15" t="str">
        <f aca="true">IF(S2493="","",DATEDIF(S2493,TODAY(),"Y")&amp;" Tahun, "&amp;DATEDIF(S2493,TODAY(),"YM")&amp;" Bulan, "&amp;DATEDIF(S2493,TODAY(),"MD")&amp;" Hari")</f>
        <v>60 Tahun, 11 Bulan, 17 Hari</v>
      </c>
      <c r="AC2493" s="18" t="n">
        <v>45834</v>
      </c>
      <c r="AD2493" s="18" t="n">
        <v>46198</v>
      </c>
      <c r="AE2493" s="13" t="s">
        <v>397</v>
      </c>
    </row>
    <row r="2494" customFormat="false" ht="15" hidden="false" customHeight="true" outlineLevel="0" collapsed="false">
      <c r="A2494" s="12" t="n">
        <v>20159</v>
      </c>
      <c r="B2494" s="13" t="s">
        <v>10691</v>
      </c>
      <c r="C2494" s="16" t="n">
        <v>45834</v>
      </c>
      <c r="D2494" s="13" t="s">
        <v>5442</v>
      </c>
      <c r="E2494" s="15" t="s">
        <v>47</v>
      </c>
      <c r="F2494" s="15" t="str">
        <f aca="false">IFERROR(__xludf.dummyfunction("XLOOKUP(AJ2494,IMPORTRANGE(""1XaInW9DU9nz21V0tYIfzFQ0He9kVQ_JF2mCXgZ3hqFA"",""REKAP ALL 2026 - Andika!G:G""),IMPORTRANGE(""1XaInW9DU9nz21V0tYIfzFQ0He9kVQ_JF2mCXgZ3hqFA"",""REKAP ALL 2026 - Andika!F:F""),"""",0)"),"25099857994")</f>
        <v>25099857994</v>
      </c>
      <c r="G2494" s="13" t="s">
        <v>10692</v>
      </c>
      <c r="H2494" s="13" t="s">
        <v>35</v>
      </c>
      <c r="I2494" s="13" t="str">
        <f aca="false">IF(C2494=J2494,"NEW KONTRAK","RE-KONTRAK")</f>
        <v>NEW KONTRAK</v>
      </c>
      <c r="J2494" s="16" t="n">
        <f aca="false" t="array" ref="J2494:J2494">IFERROR(INDEX(AC2494:AE2494,IF(COUNTA(AC2494:AE2494)=0,"",MAX((AC2494:AE2494&lt;&gt;"")*(COLUMN(AC2494:AE2494)-(COLUMN(AC2494)))))-1),"")</f>
        <v>45834</v>
      </c>
      <c r="K2494" s="16" t="n">
        <f aca="false" t="array" ref="K2494:K2494">IFERROR(INDEX(AC2494:AE2494,IF(COUNTA(AC2494:AE2494)=0,"",MAX((AC2494:AE2494&lt;&gt;"")*(COLUMN(AC2494:AE2494)-(COLUMN(AC2494)-1))))-1),"")</f>
        <v>46198</v>
      </c>
      <c r="L2494" s="17" t="str">
        <f aca="false" t="array" ref="L2494:L2494">IFERROR(INDEX(AC2494:AE2494,IF(COUNTA(AC2494:AE2494)=0,"",MAX((AC2494:AE2494&lt;&gt;"")*(COLUMN(AC2494:AE2494)-(COLUMN(AC2494)-2))))-1),"")</f>
        <v>KEMBALI</v>
      </c>
      <c r="M2494" s="13" t="n">
        <f aca="true">K2494-TODAY()</f>
        <v>-126</v>
      </c>
      <c r="N2494" s="18" t="s">
        <v>728</v>
      </c>
      <c r="O2494" s="13" t="s">
        <v>10693</v>
      </c>
      <c r="P2494" s="19" t="n">
        <v>5191541</v>
      </c>
      <c r="Q2494" s="20" t="s">
        <v>10694</v>
      </c>
      <c r="R2494" s="13" t="s">
        <v>52</v>
      </c>
      <c r="S2494" s="16" t="n">
        <v>29963</v>
      </c>
      <c r="T2494" s="28" t="s">
        <v>40</v>
      </c>
      <c r="U2494" s="13" t="s">
        <v>10695</v>
      </c>
      <c r="V2494" s="13" t="s">
        <v>42</v>
      </c>
      <c r="W2494" s="13" t="s">
        <v>897</v>
      </c>
      <c r="X2494" s="21" t="n">
        <v>89515844776</v>
      </c>
      <c r="Y2494" s="22" t="str">
        <f aca="false">O2494</f>
        <v>Office Boy Direksi</v>
      </c>
      <c r="Z2494" s="13" t="str">
        <f aca="false">IFERROR(__xludf.dummyfunction("if(BJ2494="""","""",GOOGLETRANSLATE(BJ2494,""auto"",""en""))"),"Office Boy of the Director")</f>
        <v>Office Boy of the Director</v>
      </c>
      <c r="AA2494" s="23" t="str">
        <f aca="false">IF(C2494="","", CHOOSE(MONTH(C2494),"January","February","March","April","May","June","July","August","September","October","November","December")&amp;" "&amp;DAY(C2494)&amp;MID("thstndrdth",MIN(9,2*RIGHT(DAY(C2494))*(MOD(DAY(C2494)-11,100)&gt;2)+1),2)&amp;","&amp;TEXT(C2494," yyyy"))</f>
        <v>June 26th,2025</v>
      </c>
      <c r="AB2494" s="15" t="str">
        <f aca="true">IF(S2494="","",DATEDIF(S2494,TODAY(),"Y")&amp;" Tahun, "&amp;DATEDIF(S2494,TODAY(),"YM")&amp;" Bulan, "&amp;DATEDIF(S2494,TODAY(),"MD")&amp;" Hari")</f>
        <v>44 Tahun, 9 Bulan, 17 Hari</v>
      </c>
      <c r="AC2494" s="18" t="n">
        <v>45834</v>
      </c>
      <c r="AD2494" s="18" t="n">
        <v>46198</v>
      </c>
      <c r="AE2494" s="13" t="s">
        <v>397</v>
      </c>
    </row>
    <row r="2495" customFormat="false" ht="15" hidden="false" customHeight="true" outlineLevel="0" collapsed="false">
      <c r="A2495" s="12" t="n">
        <v>20160</v>
      </c>
      <c r="B2495" s="13" t="s">
        <v>10696</v>
      </c>
      <c r="C2495" s="16" t="n">
        <v>45834</v>
      </c>
      <c r="D2495" s="13" t="s">
        <v>5442</v>
      </c>
      <c r="E2495" s="15" t="s">
        <v>47</v>
      </c>
      <c r="F2495" s="15" t="str">
        <f aca="false">IFERROR(__xludf.dummyfunction("XLOOKUP(AJ2495,IMPORTRANGE(""1XaInW9DU9nz21V0tYIfzFQ0He9kVQ_JF2mCXgZ3hqFA"",""REKAP ALL 2026 - Andika!G:G""),IMPORTRANGE(""1XaInW9DU9nz21V0tYIfzFQ0He9kVQ_JF2mCXgZ3hqFA"",""REKAP ALL 2026 - Andika!F:F""),"""",0)"),"25099857945")</f>
        <v>25099857945</v>
      </c>
      <c r="G2495" s="13" t="s">
        <v>10697</v>
      </c>
      <c r="H2495" s="13" t="s">
        <v>35</v>
      </c>
      <c r="I2495" s="13" t="str">
        <f aca="false">IF(C2495=J2495,"NEW KONTRAK","RE-KONTRAK")</f>
        <v>NEW KONTRAK</v>
      </c>
      <c r="J2495" s="16" t="n">
        <f aca="false" t="array" ref="J2495:J2495">IFERROR(INDEX(AC2495:AE2495,IF(COUNTA(AC2495:AE2495)=0,"",MAX((AC2495:AE2495&lt;&gt;"")*(COLUMN(AC2495:AE2495)-(COLUMN(AC2495)))))-1),"")</f>
        <v>45834</v>
      </c>
      <c r="K2495" s="16" t="n">
        <f aca="false" t="array" ref="K2495:K2495">IFERROR(INDEX(AC2495:AE2495,IF(COUNTA(AC2495:AE2495)=0,"",MAX((AC2495:AE2495&lt;&gt;"")*(COLUMN(AC2495:AE2495)-(COLUMN(AC2495)-1))))-1),"")</f>
        <v>46198</v>
      </c>
      <c r="L2495" s="17" t="str">
        <f aca="false" t="array" ref="L2495:L2495">IFERROR(INDEX(AC2495:AE2495,IF(COUNTA(AC2495:AE2495)=0,"",MAX((AC2495:AE2495&lt;&gt;"")*(COLUMN(AC2495:AE2495)-(COLUMN(AC2495)-2))))-1),"")</f>
        <v>KEMBALI</v>
      </c>
      <c r="M2495" s="13" t="n">
        <f aca="true">K2495-TODAY()</f>
        <v>-126</v>
      </c>
      <c r="N2495" s="18" t="s">
        <v>105</v>
      </c>
      <c r="O2495" s="13" t="s">
        <v>10698</v>
      </c>
      <c r="P2495" s="19" t="n">
        <v>5191541</v>
      </c>
      <c r="Q2495" s="20" t="s">
        <v>10699</v>
      </c>
      <c r="R2495" s="13" t="s">
        <v>39</v>
      </c>
      <c r="S2495" s="16" t="n">
        <v>31122</v>
      </c>
      <c r="T2495" s="28" t="s">
        <v>40</v>
      </c>
      <c r="U2495" s="13" t="s">
        <v>10417</v>
      </c>
      <c r="V2495" s="13" t="s">
        <v>42</v>
      </c>
      <c r="W2495" s="13" t="s">
        <v>54</v>
      </c>
      <c r="X2495" s="21" t="n">
        <v>85179737791</v>
      </c>
      <c r="Y2495" s="22" t="str">
        <f aca="false">O2495</f>
        <v>Meuble</v>
      </c>
      <c r="Z2495" s="13" t="str">
        <f aca="false">IFERROR(__xludf.dummyfunction("if(BJ2495="""","""",GOOGLETRANSLATE(BJ2495,""auto"",""en""))"),"Furniture")</f>
        <v>Furniture</v>
      </c>
      <c r="AA2495" s="23" t="str">
        <f aca="false">IF(C2495="","", CHOOSE(MONTH(C2495),"January","February","March","April","May","June","July","August","September","October","November","December")&amp;" "&amp;DAY(C2495)&amp;MID("thstndrdth",MIN(9,2*RIGHT(DAY(C2495))*(MOD(DAY(C2495)-11,100)&gt;2)+1),2)&amp;","&amp;TEXT(C2495," yyyy"))</f>
        <v>June 26th,2025</v>
      </c>
      <c r="AB2495" s="15" t="str">
        <f aca="true">IF(S2495="","",DATEDIF(S2495,TODAY(),"Y")&amp;" Tahun, "&amp;DATEDIF(S2495,TODAY(),"YM")&amp;" Bulan, "&amp;DATEDIF(S2495,TODAY(),"MD")&amp;" Hari")</f>
        <v>41 Tahun, 7 Bulan, 13 Hari</v>
      </c>
      <c r="AC2495" s="18" t="n">
        <v>45834</v>
      </c>
      <c r="AD2495" s="18" t="n">
        <v>46198</v>
      </c>
      <c r="AE2495" s="13" t="s">
        <v>397</v>
      </c>
    </row>
    <row r="2496" customFormat="false" ht="15" hidden="false" customHeight="true" outlineLevel="0" collapsed="false">
      <c r="A2496" s="12" t="n">
        <v>20161</v>
      </c>
      <c r="B2496" s="13" t="s">
        <v>10700</v>
      </c>
      <c r="C2496" s="16" t="n">
        <v>45834</v>
      </c>
      <c r="D2496" s="13" t="s">
        <v>5442</v>
      </c>
      <c r="E2496" s="15" t="s">
        <v>47</v>
      </c>
      <c r="F2496" s="15" t="str">
        <f aca="false">IFERROR(__xludf.dummyfunction("XLOOKUP(AJ2496,IMPORTRANGE(""1XaInW9DU9nz21V0tYIfzFQ0He9kVQ_JF2mCXgZ3hqFA"",""REKAP ALL 2026 - Andika!G:G""),IMPORTRANGE(""1XaInW9DU9nz21V0tYIfzFQ0He9kVQ_JF2mCXgZ3hqFA"",""REKAP ALL 2026 - Andika!F:F""),"""",0)"),"25099857952")</f>
        <v>25099857952</v>
      </c>
      <c r="G2496" s="13" t="s">
        <v>10701</v>
      </c>
      <c r="H2496" s="13" t="s">
        <v>35</v>
      </c>
      <c r="I2496" s="13" t="str">
        <f aca="false">IF(C2496=J2496,"NEW KONTRAK","RE-KONTRAK")</f>
        <v>NEW KONTRAK</v>
      </c>
      <c r="J2496" s="16" t="n">
        <f aca="false" t="array" ref="J2496:J2496">IFERROR(INDEX(AC2496:AE2496,IF(COUNTA(AC2496:AE2496)=0,"",MAX((AC2496:AE2496&lt;&gt;"")*(COLUMN(AC2496:AE2496)-(COLUMN(AC2496)))))-1),"")</f>
        <v>45834</v>
      </c>
      <c r="K2496" s="16" t="n">
        <f aca="false" t="array" ref="K2496:K2496">IFERROR(INDEX(AC2496:AE2496,IF(COUNTA(AC2496:AE2496)=0,"",MAX((AC2496:AE2496&lt;&gt;"")*(COLUMN(AC2496:AE2496)-(COLUMN(AC2496)-1))))-1),"")</f>
        <v>46198</v>
      </c>
      <c r="L2496" s="17" t="str">
        <f aca="false" t="array" ref="L2496:L2496">IFERROR(INDEX(AC2496:AE2496,IF(COUNTA(AC2496:AE2496)=0,"",MAX((AC2496:AE2496&lt;&gt;"")*(COLUMN(AC2496:AE2496)-(COLUMN(AC2496)-2))))-1),"")</f>
        <v>KEMBALI</v>
      </c>
      <c r="M2496" s="13" t="n">
        <f aca="true">K2496-TODAY()</f>
        <v>-126</v>
      </c>
      <c r="N2496" s="18" t="s">
        <v>105</v>
      </c>
      <c r="O2496" s="13" t="s">
        <v>10662</v>
      </c>
      <c r="P2496" s="19" t="n">
        <v>5191541</v>
      </c>
      <c r="Q2496" s="20" t="s">
        <v>10702</v>
      </c>
      <c r="R2496" s="13" t="s">
        <v>73</v>
      </c>
      <c r="S2496" s="16" t="n">
        <v>31045</v>
      </c>
      <c r="T2496" s="28" t="s">
        <v>40</v>
      </c>
      <c r="U2496" s="13" t="s">
        <v>10703</v>
      </c>
      <c r="V2496" s="13" t="s">
        <v>42</v>
      </c>
      <c r="W2496" s="13" t="s">
        <v>54</v>
      </c>
      <c r="X2496" s="21" t="n">
        <v>85745788880</v>
      </c>
      <c r="Y2496" s="22" t="str">
        <f aca="false">O2496</f>
        <v>Tukang Pemasangan</v>
      </c>
      <c r="Z2496" s="13" t="str">
        <f aca="false">IFERROR(__xludf.dummyfunction("if(BJ2496="""","""",GOOGLETRANSLATE(BJ2496,""auto"",""en""))"),"Installer")</f>
        <v>Installer</v>
      </c>
      <c r="AA2496" s="23" t="str">
        <f aca="false">IF(C2496="","", CHOOSE(MONTH(C2496),"January","February","March","April","May","June","July","August","September","October","November","December")&amp;" "&amp;DAY(C2496)&amp;MID("thstndrdth",MIN(9,2*RIGHT(DAY(C2496))*(MOD(DAY(C2496)-11,100)&gt;2)+1),2)&amp;","&amp;TEXT(C2496," yyyy"))</f>
        <v>June 26th,2025</v>
      </c>
      <c r="AB2496" s="15" t="str">
        <f aca="true">IF(S2496="","",DATEDIF(S2496,TODAY(),"Y")&amp;" Tahun, "&amp;DATEDIF(S2496,TODAY(),"YM")&amp;" Bulan, "&amp;DATEDIF(S2496,TODAY(),"MD")&amp;" Hari")</f>
        <v>41 Tahun, 10 Bulan, 0 Hari</v>
      </c>
      <c r="AC2496" s="18" t="n">
        <v>45834</v>
      </c>
      <c r="AD2496" s="18" t="n">
        <v>46198</v>
      </c>
      <c r="AE2496" s="13" t="s">
        <v>397</v>
      </c>
    </row>
    <row r="2497" customFormat="false" ht="15" hidden="false" customHeight="true" outlineLevel="0" collapsed="false">
      <c r="A2497" s="12" t="n">
        <v>20162</v>
      </c>
      <c r="B2497" s="13" t="s">
        <v>10704</v>
      </c>
      <c r="C2497" s="16" t="n">
        <v>45834</v>
      </c>
      <c r="D2497" s="13" t="s">
        <v>5442</v>
      </c>
      <c r="E2497" s="15" t="s">
        <v>47</v>
      </c>
      <c r="F2497" s="15" t="str">
        <f aca="false">IFERROR(__xludf.dummyfunction("XLOOKUP(AJ2497,IMPORTRANGE(""1XaInW9DU9nz21V0tYIfzFQ0He9kVQ_JF2mCXgZ3hqFA"",""REKAP ALL 2026 - Andika!G:G""),IMPORTRANGE(""1XaInW9DU9nz21V0tYIfzFQ0He9kVQ_JF2mCXgZ3hqFA"",""REKAP ALL 2026 - Andika!F:F""),"""",0)"),"25099857887")</f>
        <v>25099857887</v>
      </c>
      <c r="G2497" s="13" t="s">
        <v>10705</v>
      </c>
      <c r="H2497" s="13" t="s">
        <v>35</v>
      </c>
      <c r="I2497" s="13" t="str">
        <f aca="false">IF(C2497=J2497,"NEW KONTRAK","RE-KONTRAK")</f>
        <v>NEW KONTRAK</v>
      </c>
      <c r="J2497" s="16" t="n">
        <f aca="false" t="array" ref="J2497:J2497">IFERROR(INDEX(AC2497:AE2497,IF(COUNTA(AC2497:AE2497)=0,"",MAX((AC2497:AE2497&lt;&gt;"")*(COLUMN(AC2497:AE2497)-(COLUMN(AC2497)))))-1),"")</f>
        <v>45834</v>
      </c>
      <c r="K2497" s="16" t="n">
        <f aca="false" t="array" ref="K2497:K2497">IFERROR(INDEX(AC2497:AE2497,IF(COUNTA(AC2497:AE2497)=0,"",MAX((AC2497:AE2497&lt;&gt;"")*(COLUMN(AC2497:AE2497)-(COLUMN(AC2497)-1))))-1),"")</f>
        <v>46198</v>
      </c>
      <c r="L2497" s="17" t="str">
        <f aca="false" t="array" ref="L2497:L2497">IFERROR(INDEX(AC2497:AE2497,IF(COUNTA(AC2497:AE2497)=0,"",MAX((AC2497:AE2497&lt;&gt;"")*(COLUMN(AC2497:AE2497)-(COLUMN(AC2497)-2))))-1),"")</f>
        <v>KEMBALI</v>
      </c>
      <c r="M2497" s="13" t="n">
        <f aca="true">K2497-TODAY()</f>
        <v>-126</v>
      </c>
      <c r="N2497" s="18" t="s">
        <v>105</v>
      </c>
      <c r="O2497" s="13" t="s">
        <v>10662</v>
      </c>
      <c r="P2497" s="19" t="n">
        <v>5191541</v>
      </c>
      <c r="Q2497" s="20" t="s">
        <v>10706</v>
      </c>
      <c r="R2497" s="13" t="s">
        <v>39</v>
      </c>
      <c r="S2497" s="16" t="n">
        <v>31542</v>
      </c>
      <c r="T2497" s="28" t="s">
        <v>40</v>
      </c>
      <c r="U2497" s="13" t="s">
        <v>10707</v>
      </c>
      <c r="V2497" s="13" t="s">
        <v>42</v>
      </c>
      <c r="W2497" s="13" t="s">
        <v>54</v>
      </c>
      <c r="X2497" s="21" t="n">
        <v>81357788766</v>
      </c>
      <c r="Y2497" s="22" t="str">
        <f aca="false">O2497</f>
        <v>Tukang Pemasangan</v>
      </c>
      <c r="Z2497" s="13" t="str">
        <f aca="false">IFERROR(__xludf.dummyfunction("if(BJ2497="""","""",GOOGLETRANSLATE(BJ2497,""auto"",""en""))"),"Installer")</f>
        <v>Installer</v>
      </c>
      <c r="AA2497" s="23" t="str">
        <f aca="false">IF(C2497="","", CHOOSE(MONTH(C2497),"January","February","March","April","May","June","July","August","September","October","November","December")&amp;" "&amp;DAY(C2497)&amp;MID("thstndrdth",MIN(9,2*RIGHT(DAY(C2497))*(MOD(DAY(C2497)-11,100)&gt;2)+1),2)&amp;","&amp;TEXT(C2497," yyyy"))</f>
        <v>June 26th,2025</v>
      </c>
      <c r="AB2497" s="15" t="str">
        <f aca="true">IF(S2497="","",DATEDIF(S2497,TODAY(),"Y")&amp;" Tahun, "&amp;DATEDIF(S2497,TODAY(),"YM")&amp;" Bulan, "&amp;DATEDIF(S2497,TODAY(),"MD")&amp;" Hari")</f>
        <v>40 Tahun, 5 Bulan, 19 Hari</v>
      </c>
      <c r="AC2497" s="18" t="n">
        <v>45834</v>
      </c>
      <c r="AD2497" s="18" t="n">
        <v>46198</v>
      </c>
      <c r="AE2497" s="13" t="s">
        <v>397</v>
      </c>
    </row>
    <row r="2498" customFormat="false" ht="15" hidden="false" customHeight="true" outlineLevel="0" collapsed="false">
      <c r="A2498" s="12" t="n">
        <v>20163</v>
      </c>
      <c r="B2498" s="13" t="s">
        <v>10708</v>
      </c>
      <c r="C2498" s="16" t="n">
        <v>45834</v>
      </c>
      <c r="D2498" s="13" t="s">
        <v>4743</v>
      </c>
      <c r="E2498" s="15" t="s">
        <v>47</v>
      </c>
      <c r="F2498" s="15" t="str">
        <f aca="false">IFERROR(__xludf.dummyfunction("XLOOKUP(AJ2498,IMPORTRANGE(""1XaInW9DU9nz21V0tYIfzFQ0He9kVQ_JF2mCXgZ3hqFA"",""REKAP ALL 2026 - Andika!G:G""),IMPORTRANGE(""1XaInW9DU9nz21V0tYIfzFQ0He9kVQ_JF2mCXgZ3hqFA"",""REKAP ALL 2026 - Andika!F:F""),"""",0)"),"25099857853")</f>
        <v>25099857853</v>
      </c>
      <c r="G2498" s="13" t="s">
        <v>10709</v>
      </c>
      <c r="H2498" s="13" t="s">
        <v>35</v>
      </c>
      <c r="I2498" s="13" t="str">
        <f aca="false">IF(C2498=J2498,"NEW KONTRAK","RE-KONTRAK")</f>
        <v>NEW KONTRAK</v>
      </c>
      <c r="J2498" s="16" t="n">
        <f aca="false" t="array" ref="J2498:J2498">IFERROR(INDEX(AC2498:AE2498,IF(COUNTA(AC2498:AE2498)=0,"",MAX((AC2498:AE2498&lt;&gt;"")*(COLUMN(AC2498:AE2498)-(COLUMN(AC2498)))))-1),"")</f>
        <v>45834</v>
      </c>
      <c r="K2498" s="16" t="n">
        <f aca="false" t="array" ref="K2498:K2498">IFERROR(INDEX(AC2498:AE2498,IF(COUNTA(AC2498:AE2498)=0,"",MAX((AC2498:AE2498&lt;&gt;"")*(COLUMN(AC2498:AE2498)-(COLUMN(AC2498)-1))))-1),"")</f>
        <v>46198</v>
      </c>
      <c r="L2498" s="17" t="str">
        <f aca="false" t="array" ref="L2498:L2498">IFERROR(INDEX(AC2498:AE2498,IF(COUNTA(AC2498:AE2498)=0,"",MAX((AC2498:AE2498&lt;&gt;"")*(COLUMN(AC2498:AE2498)-(COLUMN(AC2498)-2))))-1),"")</f>
        <v>KEMBALI</v>
      </c>
      <c r="M2498" s="13" t="n">
        <f aca="true">K2498-TODAY()</f>
        <v>-126</v>
      </c>
      <c r="N2498" s="18" t="s">
        <v>728</v>
      </c>
      <c r="O2498" s="13" t="s">
        <v>10710</v>
      </c>
      <c r="P2498" s="19" t="n">
        <v>4525479</v>
      </c>
      <c r="Q2498" s="20" t="s">
        <v>10711</v>
      </c>
      <c r="R2498" s="13" t="s">
        <v>52</v>
      </c>
      <c r="S2498" s="16" t="n">
        <v>30370</v>
      </c>
      <c r="T2498" s="28" t="s">
        <v>40</v>
      </c>
      <c r="U2498" s="13" t="s">
        <v>10712</v>
      </c>
      <c r="V2498" s="13" t="s">
        <v>42</v>
      </c>
      <c r="W2498" s="13" t="s">
        <v>54</v>
      </c>
      <c r="X2498" s="21" t="n">
        <v>81217255525</v>
      </c>
      <c r="Y2498" s="22" t="str">
        <f aca="false">O2498</f>
        <v>Sales Survei</v>
      </c>
      <c r="Z2498" s="13" t="str">
        <f aca="false">IFERROR(__xludf.dummyfunction("if(BJ2498="""","""",GOOGLETRANSLATE(BJ2498,""auto"",""en""))"),"Sales Survey")</f>
        <v>Sales Survey</v>
      </c>
      <c r="AA2498" s="23" t="str">
        <f aca="false">IF(C2498="","", CHOOSE(MONTH(C2498),"January","February","March","April","May","June","July","August","September","October","November","December")&amp;" "&amp;DAY(C2498)&amp;MID("thstndrdth",MIN(9,2*RIGHT(DAY(C2498))*(MOD(DAY(C2498)-11,100)&gt;2)+1),2)&amp;","&amp;TEXT(C2498," yyyy"))</f>
        <v>June 26th,2025</v>
      </c>
      <c r="AB2498" s="15" t="str">
        <f aca="true">IF(S2498="","",DATEDIF(S2498,TODAY(),"Y")&amp;" Tahun, "&amp;DATEDIF(S2498,TODAY(),"YM")&amp;" Bulan, "&amp;DATEDIF(S2498,TODAY(),"MD")&amp;" Hari")</f>
        <v>43 Tahun, 8 Bulan, 6 Hari</v>
      </c>
      <c r="AC2498" s="18" t="n">
        <v>45834</v>
      </c>
      <c r="AD2498" s="18" t="n">
        <v>46198</v>
      </c>
      <c r="AE2498" s="13" t="s">
        <v>397</v>
      </c>
    </row>
    <row r="2499" customFormat="false" ht="15" hidden="false" customHeight="true" outlineLevel="0" collapsed="false">
      <c r="A2499" s="12" t="n">
        <v>20166</v>
      </c>
      <c r="B2499" s="13" t="s">
        <v>10713</v>
      </c>
      <c r="C2499" s="16" t="n">
        <v>45860</v>
      </c>
      <c r="D2499" s="13" t="s">
        <v>10714</v>
      </c>
      <c r="E2499" s="15" t="s">
        <v>47</v>
      </c>
      <c r="F2499" s="15" t="str">
        <f aca="false">IFERROR(__xludf.dummyfunction("XLOOKUP(AJ2499,IMPORTRANGE(""1XaInW9DU9nz21V0tYIfzFQ0He9kVQ_JF2mCXgZ3hqFA"",""REKAP ALL 2026 - Andika!G:G""),IMPORTRANGE(""1XaInW9DU9nz21V0tYIfzFQ0He9kVQ_JF2mCXgZ3hqFA"",""REKAP ALL 2026 - Andika!F:F""),"""",0)"),"25099756519")</f>
        <v>25099756519</v>
      </c>
      <c r="G2499" s="13" t="s">
        <v>10715</v>
      </c>
      <c r="H2499" s="13" t="s">
        <v>35</v>
      </c>
      <c r="I2499" s="13" t="str">
        <f aca="false">IF(C2499=J2499,"NEW KONTRAK","RE-KONTRAK")</f>
        <v>NEW KONTRAK</v>
      </c>
      <c r="J2499" s="16" t="n">
        <f aca="false" t="array" ref="J2499:J2499">IFERROR(INDEX(AC2499:AE2499,IF(COUNTA(AC2499:AE2499)=0,"",MAX((AC2499:AE2499&lt;&gt;"")*(COLUMN(AC2499:AE2499)-(COLUMN(AC2499)))))-1),"")</f>
        <v>45860</v>
      </c>
      <c r="K2499" s="16" t="n">
        <f aca="false" t="array" ref="K2499:K2499">IFERROR(INDEX(AC2499:AE2499,IF(COUNTA(AC2499:AE2499)=0,"",MAX((AC2499:AE2499&lt;&gt;"")*(COLUMN(AC2499:AE2499)-(COLUMN(AC2499)-1))))-1),"")</f>
        <v>46224</v>
      </c>
      <c r="L2499" s="17" t="str">
        <f aca="false" t="array" ref="L2499:L2499">IFERROR(INDEX(AC2499:AE2499,IF(COUNTA(AC2499:AE2499)=0,"",MAX((AC2499:AE2499&lt;&gt;"")*(COLUMN(AC2499:AE2499)-(COLUMN(AC2499)-2))))-1),"")</f>
        <v>ARCHIVED</v>
      </c>
      <c r="M2499" s="13" t="n">
        <f aca="true">K2499-TODAY()</f>
        <v>-100</v>
      </c>
      <c r="N2499" s="18" t="s">
        <v>728</v>
      </c>
      <c r="O2499" s="13" t="s">
        <v>50</v>
      </c>
      <c r="P2499" s="19" t="n">
        <v>3500000</v>
      </c>
      <c r="Q2499" s="20" t="s">
        <v>10716</v>
      </c>
      <c r="R2499" s="13" t="s">
        <v>52</v>
      </c>
      <c r="S2499" s="16" t="n">
        <v>33070</v>
      </c>
      <c r="T2499" s="28" t="s">
        <v>40</v>
      </c>
      <c r="U2499" s="13" t="s">
        <v>10717</v>
      </c>
      <c r="V2499" s="13" t="s">
        <v>42</v>
      </c>
      <c r="W2499" s="13" t="s">
        <v>54</v>
      </c>
      <c r="X2499" s="21" t="n">
        <v>87834107669</v>
      </c>
      <c r="Y2499" s="22" t="str">
        <f aca="false">O2499</f>
        <v>Driver</v>
      </c>
      <c r="Z2499" s="13" t="str">
        <f aca="false">IFERROR(__xludf.dummyfunction("if(BJ2499="""","""",GOOGLETRANSLATE(BJ2499,""auto"",""en""))"),"Driver")</f>
        <v>Driver</v>
      </c>
      <c r="AA2499" s="23" t="str">
        <f aca="false">IF(C2499="","", CHOOSE(MONTH(C2499),"January","February","March","April","May","June","July","August","September","October","November","December")&amp;" "&amp;DAY(C2499)&amp;MID("thstndrdth",MIN(9,2*RIGHT(DAY(C2499))*(MOD(DAY(C2499)-11,100)&gt;2)+1),2)&amp;","&amp;TEXT(C2499," yyyy"))</f>
        <v>July 22nd,2025</v>
      </c>
      <c r="AB2499" s="15" t="str">
        <f aca="true">IF(S2499="","",DATEDIF(S2499,TODAY(),"Y")&amp;" Tahun, "&amp;DATEDIF(S2499,TODAY(),"YM")&amp;" Bulan, "&amp;DATEDIF(S2499,TODAY(),"MD")&amp;" Hari")</f>
        <v>36 Tahun, 3 Bulan, 13 Hari</v>
      </c>
      <c r="AC2499" s="18" t="n">
        <v>45860</v>
      </c>
      <c r="AD2499" s="18" t="n">
        <v>46224</v>
      </c>
      <c r="AE2499" s="18" t="s">
        <v>44</v>
      </c>
    </row>
    <row r="2500" customFormat="false" ht="15" hidden="false" customHeight="true" outlineLevel="0" collapsed="false">
      <c r="A2500" s="12" t="n">
        <v>20164</v>
      </c>
      <c r="B2500" s="13" t="s">
        <v>10718</v>
      </c>
      <c r="C2500" s="16" t="n">
        <v>45860</v>
      </c>
      <c r="D2500" s="13" t="s">
        <v>10714</v>
      </c>
      <c r="E2500" s="15" t="s">
        <v>33</v>
      </c>
      <c r="F2500" s="24" t="s">
        <v>10719</v>
      </c>
      <c r="G2500" s="13" t="s">
        <v>10720</v>
      </c>
      <c r="H2500" s="13" t="s">
        <v>35</v>
      </c>
      <c r="I2500" s="13" t="str">
        <f aca="false">IF(C2500=J2500,"NEW KONTRAK","RE-KONTRAK")</f>
        <v>NEW KONTRAK</v>
      </c>
      <c r="J2500" s="16" t="n">
        <f aca="false" t="array" ref="J2500:J2500">IFERROR(INDEX(AC2500:AE2500,IF(COUNTA(AC2500:AE2500)=0,"",MAX((AC2500:AE2500&lt;&gt;"")*(COLUMN(AC2500:AE2500)-(COLUMN(AC2500)))))-1),"")</f>
        <v>45860</v>
      </c>
      <c r="K2500" s="16" t="n">
        <f aca="false" t="array" ref="K2500:K2500">IFERROR(INDEX(AC2500:AE2500,IF(COUNTA(AC2500:AE2500)=0,"",MAX((AC2500:AE2500&lt;&gt;"")*(COLUMN(AC2500:AE2500)-(COLUMN(AC2500)-1))))-1),"")</f>
        <v>46224</v>
      </c>
      <c r="L2500" s="17" t="str">
        <f aca="false" t="array" ref="L2500:L2500">IFERROR(INDEX(AC2500:AE2500,IF(COUNTA(AC2500:AE2500)=0,"",MAX((AC2500:AE2500&lt;&gt;"")*(COLUMN(AC2500:AE2500)-(COLUMN(AC2500)-2))))-1),"")</f>
        <v>ARCHIVED</v>
      </c>
      <c r="M2500" s="13" t="n">
        <f aca="true">K2500-TODAY()</f>
        <v>-100</v>
      </c>
      <c r="N2500" s="18" t="s">
        <v>728</v>
      </c>
      <c r="O2500" s="13" t="s">
        <v>10721</v>
      </c>
      <c r="P2500" s="19" t="n">
        <v>3500000</v>
      </c>
      <c r="Q2500" s="20" t="s">
        <v>10722</v>
      </c>
      <c r="R2500" s="13" t="s">
        <v>232</v>
      </c>
      <c r="S2500" s="16" t="n">
        <v>36076</v>
      </c>
      <c r="T2500" s="28" t="s">
        <v>40</v>
      </c>
      <c r="U2500" s="13" t="s">
        <v>10723</v>
      </c>
      <c r="V2500" s="13" t="s">
        <v>42</v>
      </c>
      <c r="W2500" s="13" t="s">
        <v>43</v>
      </c>
      <c r="X2500" s="30" t="n">
        <v>82217459615</v>
      </c>
      <c r="Y2500" s="22" t="str">
        <f aca="false">O2500</f>
        <v>Spv Marketing</v>
      </c>
      <c r="Z2500" s="13" t="str">
        <f aca="false">IFERROR(__xludf.dummyfunction("if(BJ2500="""","""",GOOGLETRANSLATE(BJ2500,""auto"",""en""))"),"Spv Marketing")</f>
        <v>Spv Marketing</v>
      </c>
      <c r="AA2500" s="23" t="str">
        <f aca="false">IF(C2500="","", CHOOSE(MONTH(C2500),"January","February","March","April","May","June","July","August","September","October","November","December")&amp;" "&amp;DAY(C2500)&amp;MID("thstndrdth",MIN(9,2*RIGHT(DAY(C2500))*(MOD(DAY(C2500)-11,100)&gt;2)+1),2)&amp;","&amp;TEXT(C2500," yyyy"))</f>
        <v>July 22nd,2025</v>
      </c>
      <c r="AB2500" s="15" t="str">
        <f aca="true">IF(S2500="","",DATEDIF(S2500,TODAY(),"Y")&amp;" Tahun, "&amp;DATEDIF(S2500,TODAY(),"YM")&amp;" Bulan, "&amp;DATEDIF(S2500,TODAY(),"MD")&amp;" Hari")</f>
        <v>28 Tahun, 0 Bulan, 21 Hari</v>
      </c>
      <c r="AC2500" s="18" t="n">
        <v>45860</v>
      </c>
      <c r="AD2500" s="18" t="n">
        <v>46224</v>
      </c>
      <c r="AE2500" s="18" t="s">
        <v>44</v>
      </c>
    </row>
    <row r="2501" customFormat="false" ht="15" hidden="false" customHeight="true" outlineLevel="0" collapsed="false">
      <c r="A2501" s="12" t="n">
        <v>20165</v>
      </c>
      <c r="B2501" s="13" t="s">
        <v>10724</v>
      </c>
      <c r="C2501" s="16" t="n">
        <v>45860</v>
      </c>
      <c r="D2501" s="13" t="s">
        <v>10714</v>
      </c>
      <c r="E2501" s="15" t="s">
        <v>102</v>
      </c>
      <c r="F2501" s="15" t="str">
        <f aca="false">IFERROR(__xludf.dummyfunction("XLOOKUP(AJ2501,IMPORTRANGE(""1XaInW9DU9nz21V0tYIfzFQ0He9kVQ_JF2mCXgZ3hqFA"",""REKAP ALL 2026 - Andika!G:G""),IMPORTRANGE(""1XaInW9DU9nz21V0tYIfzFQ0He9kVQ_JF2mCXgZ3hqFA"",""REKAP ALL 2026 - Andika!F:F""),"""",0)"),"25099756501")</f>
        <v>25099756501</v>
      </c>
      <c r="G2501" s="13" t="s">
        <v>10725</v>
      </c>
      <c r="H2501" s="13" t="s">
        <v>35</v>
      </c>
      <c r="I2501" s="13" t="str">
        <f aca="false">IF(C2501=J2501,"NEW KONTRAK","RE-KONTRAK")</f>
        <v>NEW KONTRAK</v>
      </c>
      <c r="J2501" s="16" t="n">
        <f aca="false" t="array" ref="J2501:J2501">IFERROR(INDEX(AC2501:AE2501,IF(COUNTA(AC2501:AE2501)=0,"",MAX((AC2501:AE2501&lt;&gt;"")*(COLUMN(AC2501:AE2501)-(COLUMN(AC2501)))))-1),"")</f>
        <v>45860</v>
      </c>
      <c r="K2501" s="16" t="n">
        <f aca="false" t="array" ref="K2501:K2501">IFERROR(INDEX(AC2501:AE2501,IF(COUNTA(AC2501:AE2501)=0,"",MAX((AC2501:AE2501&lt;&gt;"")*(COLUMN(AC2501:AE2501)-(COLUMN(AC2501)-1))))-1),"")</f>
        <v>46224</v>
      </c>
      <c r="L2501" s="17" t="str">
        <f aca="false" t="array" ref="L2501:L2501">IFERROR(INDEX(AC2501:AE2501,IF(COUNTA(AC2501:AE2501)=0,"",MAX((AC2501:AE2501&lt;&gt;"")*(COLUMN(AC2501:AE2501)-(COLUMN(AC2501)-2))))-1),"")</f>
        <v>ARCHIVED</v>
      </c>
      <c r="M2501" s="13" t="n">
        <f aca="true">K2501-TODAY()</f>
        <v>-100</v>
      </c>
      <c r="N2501" s="18" t="s">
        <v>728</v>
      </c>
      <c r="O2501" s="13" t="s">
        <v>10726</v>
      </c>
      <c r="P2501" s="19" t="n">
        <v>3000000</v>
      </c>
      <c r="Q2501" s="20" t="s">
        <v>10727</v>
      </c>
      <c r="R2501" s="13" t="s">
        <v>553</v>
      </c>
      <c r="S2501" s="16" t="n">
        <v>37423</v>
      </c>
      <c r="T2501" s="28" t="s">
        <v>40</v>
      </c>
      <c r="U2501" s="13" t="s">
        <v>10728</v>
      </c>
      <c r="V2501" s="13" t="s">
        <v>42</v>
      </c>
      <c r="W2501" s="13" t="s">
        <v>43</v>
      </c>
      <c r="X2501" s="21" t="n">
        <v>85728901178</v>
      </c>
      <c r="Y2501" s="22" t="str">
        <f aca="false">O2501</f>
        <v>Staff Gudang</v>
      </c>
      <c r="Z2501" s="13" t="str">
        <f aca="false">IFERROR(__xludf.dummyfunction("if(BJ2501="""","""",GOOGLETRANSLATE(BJ2501,""auto"",""en""))"),"Warehouse Staff")</f>
        <v>Warehouse Staff</v>
      </c>
      <c r="AA2501" s="23" t="str">
        <f aca="false">IF(C2501="","", CHOOSE(MONTH(C2501),"January","February","March","April","May","June","July","August","September","October","November","December")&amp;" "&amp;DAY(C2501)&amp;MID("thstndrdth",MIN(9,2*RIGHT(DAY(C2501))*(MOD(DAY(C2501)-11,100)&gt;2)+1),2)&amp;","&amp;TEXT(C2501," yyyy"))</f>
        <v>July 22nd,2025</v>
      </c>
      <c r="AB2501" s="15" t="str">
        <f aca="true">IF(S2501="","",DATEDIF(S2501,TODAY(),"Y")&amp;" Tahun, "&amp;DATEDIF(S2501,TODAY(),"YM")&amp;" Bulan, "&amp;DATEDIF(S2501,TODAY(),"MD")&amp;" Hari")</f>
        <v>24 Tahun, 4 Bulan, 13 Hari</v>
      </c>
      <c r="AC2501" s="18" t="n">
        <v>45860</v>
      </c>
      <c r="AD2501" s="18" t="n">
        <v>46224</v>
      </c>
      <c r="AE2501" s="18" t="s">
        <v>44</v>
      </c>
    </row>
    <row r="2502" customFormat="false" ht="15" hidden="false" customHeight="true" outlineLevel="0" collapsed="false">
      <c r="A2502" s="12" t="n">
        <v>20168</v>
      </c>
      <c r="B2502" s="13" t="s">
        <v>10729</v>
      </c>
      <c r="C2502" s="16" t="n">
        <v>45834</v>
      </c>
      <c r="D2502" s="13" t="s">
        <v>4743</v>
      </c>
      <c r="E2502" s="15" t="s">
        <v>47</v>
      </c>
      <c r="F2502" s="15" t="str">
        <f aca="false">IFERROR(__xludf.dummyfunction("XLOOKUP(AJ2502,IMPORTRANGE(""1XaInW9DU9nz21V0tYIfzFQ0He9kVQ_JF2mCXgZ3hqFA"",""REKAP ALL 2026 - Andika!G:G""),IMPORTRANGE(""1XaInW9DU9nz21V0tYIfzFQ0He9kVQ_JF2mCXgZ3hqFA"",""REKAP ALL 2026 - Andika!F:F""),"""",0)"),"25099857937")</f>
        <v>25099857937</v>
      </c>
      <c r="G2502" s="13" t="s">
        <v>10730</v>
      </c>
      <c r="H2502" s="13" t="s">
        <v>35</v>
      </c>
      <c r="I2502" s="13" t="str">
        <f aca="false">IF(C2502=J2502,"NEW KONTRAK","RE-KONTRAK")</f>
        <v>NEW KONTRAK</v>
      </c>
      <c r="J2502" s="16" t="n">
        <f aca="false" t="array" ref="J2502:J2502">IFERROR(INDEX(AC2502:AE2502,IF(COUNTA(AC2502:AE2502)=0,"",MAX((AC2502:AE2502&lt;&gt;"")*(COLUMN(AC2502:AE2502)-(COLUMN(AC2502)))))-1),"")</f>
        <v>45834</v>
      </c>
      <c r="K2502" s="16" t="n">
        <f aca="false" t="array" ref="K2502:K2502">IFERROR(INDEX(AC2502:AE2502,IF(COUNTA(AC2502:AE2502)=0,"",MAX((AC2502:AE2502&lt;&gt;"")*(COLUMN(AC2502:AE2502)-(COLUMN(AC2502)-1))))-1),"")</f>
        <v>46198</v>
      </c>
      <c r="L2502" s="17" t="str">
        <f aca="false" t="array" ref="L2502:L2502">IFERROR(INDEX(AC2502:AE2502,IF(COUNTA(AC2502:AE2502)=0,"",MAX((AC2502:AE2502&lt;&gt;"")*(COLUMN(AC2502:AE2502)-(COLUMN(AC2502)-2))))-1),"")</f>
        <v>ARCHIVED</v>
      </c>
      <c r="M2502" s="13" t="n">
        <f aca="true">K2502-TODAY()</f>
        <v>-126</v>
      </c>
      <c r="N2502" s="18" t="s">
        <v>728</v>
      </c>
      <c r="O2502" s="13" t="s">
        <v>10731</v>
      </c>
      <c r="P2502" s="19" t="n">
        <v>4525479</v>
      </c>
      <c r="Q2502" s="20" t="s">
        <v>10732</v>
      </c>
      <c r="R2502" s="13" t="s">
        <v>52</v>
      </c>
      <c r="S2502" s="16" t="n">
        <v>28266</v>
      </c>
      <c r="T2502" s="28" t="s">
        <v>40</v>
      </c>
      <c r="U2502" s="13" t="s">
        <v>10733</v>
      </c>
      <c r="V2502" s="13" t="s">
        <v>42</v>
      </c>
      <c r="W2502" s="13" t="s">
        <v>54</v>
      </c>
      <c r="X2502" s="21" t="n">
        <v>82245676707</v>
      </c>
      <c r="Y2502" s="22" t="str">
        <f aca="false">O2502</f>
        <v>SPV Marketing</v>
      </c>
      <c r="Z2502" s="13" t="str">
        <f aca="false">IFERROR(__xludf.dummyfunction("if(BJ2502="""","""",GOOGLETRANSLATE(BJ2502,""auto"",""en""))"),"SPV Marketing")</f>
        <v>SPV Marketing</v>
      </c>
      <c r="AA2502" s="23" t="str">
        <f aca="false">IF(C2502="","", CHOOSE(MONTH(C2502),"January","February","March","April","May","June","July","August","September","October","November","December")&amp;" "&amp;DAY(C2502)&amp;MID("thstndrdth",MIN(9,2*RIGHT(DAY(C2502))*(MOD(DAY(C2502)-11,100)&gt;2)+1),2)&amp;","&amp;TEXT(C2502," yyyy"))</f>
        <v>June 26th,2025</v>
      </c>
      <c r="AB2502" s="15" t="str">
        <f aca="true">IF(S2502="","",DATEDIF(S2502,TODAY(),"Y")&amp;" Tahun, "&amp;DATEDIF(S2502,TODAY(),"YM")&amp;" Bulan, "&amp;DATEDIF(S2502,TODAY(),"MD")&amp;" Hari")</f>
        <v>49 Tahun, 5 Bulan, 8 Hari</v>
      </c>
      <c r="AC2502" s="18" t="n">
        <v>45834</v>
      </c>
      <c r="AD2502" s="18" t="n">
        <v>46198</v>
      </c>
      <c r="AE2502" s="18" t="s">
        <v>44</v>
      </c>
    </row>
    <row r="2503" customFormat="false" ht="15" hidden="false" customHeight="true" outlineLevel="0" collapsed="false">
      <c r="A2503" s="12" t="n">
        <v>20167</v>
      </c>
      <c r="B2503" s="13" t="s">
        <v>10734</v>
      </c>
      <c r="C2503" s="16" t="n">
        <v>45860</v>
      </c>
      <c r="D2503" s="13" t="s">
        <v>10735</v>
      </c>
      <c r="E2503" s="15" t="s">
        <v>536</v>
      </c>
      <c r="F2503" s="15" t="str">
        <f aca="false">IFERROR(__xludf.dummyfunction("XLOOKUP(AJ2503,IMPORTRANGE(""1XaInW9DU9nz21V0tYIfzFQ0He9kVQ_JF2mCXgZ3hqFA"",""REKAP ALL 2026 - Andika!G:G""),IMPORTRANGE(""1XaInW9DU9nz21V0tYIfzFQ0He9kVQ_JF2mCXgZ3hqFA"",""REKAP ALL 2026 - Andika!F:F""),"""",0)"),"25099756154")</f>
        <v>25099756154</v>
      </c>
      <c r="G2503" s="13" t="s">
        <v>10736</v>
      </c>
      <c r="H2503" s="13" t="s">
        <v>35</v>
      </c>
      <c r="I2503" s="13" t="str">
        <f aca="false">IF(C2503=J2503,"NEW KONTRAK","RE-KONTRAK")</f>
        <v>NEW KONTRAK</v>
      </c>
      <c r="J2503" s="16" t="n">
        <f aca="false" t="array" ref="J2503:J2503">IFERROR(INDEX(AC2503:AE2503,IF(COUNTA(AC2503:AE2503)=0,"",MAX((AC2503:AE2503&lt;&gt;"")*(COLUMN(AC2503:AE2503)-(COLUMN(AC2503)))))-1),"")</f>
        <v>45860</v>
      </c>
      <c r="K2503" s="16" t="n">
        <f aca="false" t="array" ref="K2503:K2503">IFERROR(INDEX(AC2503:AE2503,IF(COUNTA(AC2503:AE2503)=0,"",MAX((AC2503:AE2503&lt;&gt;"")*(COLUMN(AC2503:AE2503)-(COLUMN(AC2503)-1))))-1),"")</f>
        <v>45951</v>
      </c>
      <c r="L2503" s="17" t="str">
        <f aca="false" t="array" ref="L2503:L2503">IFERROR(INDEX(AC2503:AE2503,IF(COUNTA(AC2503:AE2503)=0,"",MAX((AC2503:AE2503&lt;&gt;"")*(COLUMN(AC2503:AE2503)-(COLUMN(AC2503)-2))))-1),"")</f>
        <v>ARCHIVED</v>
      </c>
      <c r="M2503" s="13" t="n">
        <f aca="true">K2503-TODAY()</f>
        <v>-373</v>
      </c>
      <c r="N2503" s="18" t="s">
        <v>728</v>
      </c>
      <c r="O2503" s="13" t="s">
        <v>10737</v>
      </c>
      <c r="P2503" s="19" t="n">
        <v>3961753</v>
      </c>
      <c r="Q2503" s="20" t="s">
        <v>10738</v>
      </c>
      <c r="R2503" s="13" t="s">
        <v>1695</v>
      </c>
      <c r="S2503" s="16" t="n">
        <v>32915</v>
      </c>
      <c r="T2503" s="28" t="s">
        <v>40</v>
      </c>
      <c r="U2503" s="13" t="s">
        <v>10739</v>
      </c>
      <c r="V2503" s="13" t="s">
        <v>42</v>
      </c>
      <c r="W2503" s="13" t="s">
        <v>43</v>
      </c>
      <c r="X2503" s="21" t="n">
        <v>88216979154</v>
      </c>
      <c r="Y2503" s="22" t="str">
        <f aca="false">O2503</f>
        <v>Sales Taking Order</v>
      </c>
      <c r="Z2503" s="13" t="str">
        <f aca="false">IFERROR(__xludf.dummyfunction("if(BJ2503="""","""",GOOGLETRANSLATE(BJ2503,""auto"",""en""))"),"Sales Taking Order")</f>
        <v>Sales Taking Order</v>
      </c>
      <c r="AA2503" s="23" t="str">
        <f aca="false">IF(C2503="","", CHOOSE(MONTH(C2503),"January","February","March","April","May","June","July","August","September","October","November","December")&amp;" "&amp;DAY(C2503)&amp;MID("thstndrdth",MIN(9,2*RIGHT(DAY(C2503))*(MOD(DAY(C2503)-11,100)&gt;2)+1),2)&amp;","&amp;TEXT(C2503," yyyy"))</f>
        <v>July 22nd,2025</v>
      </c>
      <c r="AB2503" s="15" t="str">
        <f aca="true">IF(S2503="","",DATEDIF(S2503,TODAY(),"Y")&amp;" Tahun, "&amp;DATEDIF(S2503,TODAY(),"YM")&amp;" Bulan, "&amp;DATEDIF(S2503,TODAY(),"MD")&amp;" Hari")</f>
        <v>36 Tahun, 8 Bulan, 18 Hari</v>
      </c>
      <c r="AC2503" s="18" t="n">
        <v>45860</v>
      </c>
      <c r="AD2503" s="18" t="n">
        <v>45951</v>
      </c>
      <c r="AE2503" s="18" t="s">
        <v>44</v>
      </c>
    </row>
    <row r="2504" customFormat="false" ht="15" hidden="false" customHeight="true" outlineLevel="0" collapsed="false">
      <c r="A2504" s="12" t="n">
        <v>20171</v>
      </c>
      <c r="B2504" s="13" t="s">
        <v>10740</v>
      </c>
      <c r="C2504" s="16" t="n">
        <v>45861</v>
      </c>
      <c r="D2504" s="13" t="s">
        <v>10735</v>
      </c>
      <c r="E2504" s="15" t="s">
        <v>47</v>
      </c>
      <c r="F2504" s="15" t="str">
        <f aca="false">IFERROR(__xludf.dummyfunction("XLOOKUP(AJ2504,IMPORTRANGE(""1XaInW9DU9nz21V0tYIfzFQ0He9kVQ_JF2mCXgZ3hqFA"",""REKAP ALL 2026 - Andika!G:G""),IMPORTRANGE(""1XaInW9DU9nz21V0tYIfzFQ0He9kVQ_JF2mCXgZ3hqFA"",""REKAP ALL 2026 - Andika!F:F""),"""",0)"),"25099756121")</f>
        <v>25099756121</v>
      </c>
      <c r="G2504" s="13" t="s">
        <v>10741</v>
      </c>
      <c r="H2504" s="13" t="s">
        <v>35</v>
      </c>
      <c r="I2504" s="13" t="str">
        <f aca="false">IF(C2504=J2504,"NEW KONTRAK","RE-KONTRAK")</f>
        <v>RE-KONTRAK</v>
      </c>
      <c r="J2504" s="16" t="n">
        <f aca="false" t="array" ref="J2504:J2504">IFERROR(INDEX(AC2504:AE2504,IF(COUNTA(AC2504:AE2504)=0,"",MAX((AC2504:AE2504&lt;&gt;"")*(COLUMN(AC2504:AE2504)-(COLUMN(AC2504)))))-1),"")</f>
        <v>46135</v>
      </c>
      <c r="K2504" s="16" t="n">
        <f aca="false" t="array" ref="K2504:K2504">IFERROR(INDEX(AC2504:AE2504,IF(COUNTA(AC2504:AE2504)=0,"",MAX((AC2504:AE2504&lt;&gt;"")*(COLUMN(AC2504:AE2504)-(COLUMN(AC2504)-1))))-1),"")</f>
        <v>46142</v>
      </c>
      <c r="L2504" s="17" t="str">
        <f aca="false" t="array" ref="L2504:L2504">IFERROR(INDEX(AC2504:AE2504,IF(COUNTA(AC2504:AE2504)=0,"",MAX((AC2504:AE2504&lt;&gt;"")*(COLUMN(AC2504:AE2504)-(COLUMN(AC2504)-2))))-1),"")</f>
        <v>ARCHIVED</v>
      </c>
      <c r="M2504" s="13" t="n">
        <f aca="true">K2504-TODAY()</f>
        <v>-182</v>
      </c>
      <c r="N2504" s="18" t="s">
        <v>4735</v>
      </c>
      <c r="O2504" s="13" t="s">
        <v>10737</v>
      </c>
      <c r="P2504" s="19" t="n">
        <v>2553530</v>
      </c>
      <c r="Q2504" s="20" t="s">
        <v>10742</v>
      </c>
      <c r="R2504" s="13" t="s">
        <v>148</v>
      </c>
      <c r="S2504" s="16" t="n">
        <v>34356</v>
      </c>
      <c r="T2504" s="28" t="s">
        <v>40</v>
      </c>
      <c r="U2504" s="13" t="s">
        <v>10743</v>
      </c>
      <c r="V2504" s="13" t="s">
        <v>99</v>
      </c>
      <c r="W2504" s="13" t="s">
        <v>43</v>
      </c>
      <c r="X2504" s="21" t="n">
        <v>881027037682</v>
      </c>
      <c r="Y2504" s="22" t="str">
        <f aca="false">O2504</f>
        <v>Sales Taking Order</v>
      </c>
      <c r="Z2504" s="13" t="str">
        <f aca="false">IFERROR(__xludf.dummyfunction("if(BJ2504="""","""",GOOGLETRANSLATE(BJ2504,""auto"",""en""))"),"Sales Taking Order")</f>
        <v>Sales Taking Order</v>
      </c>
      <c r="AA2504" s="23" t="str">
        <f aca="false">IF(C2504="","", CHOOSE(MONTH(C2504),"January","February","March","April","May","June","July","August","September","October","November","December")&amp;" "&amp;DAY(C2504)&amp;MID("thstndrdth",MIN(9,2*RIGHT(DAY(C2504))*(MOD(DAY(C2504)-11,100)&gt;2)+1),2)&amp;","&amp;TEXT(C2504," yyyy"))</f>
        <v>July 23rd,2025</v>
      </c>
      <c r="AB2504" s="15" t="str">
        <f aca="true">IF(S2504="","",DATEDIF(S2504,TODAY(),"Y")&amp;" Tahun, "&amp;DATEDIF(S2504,TODAY(),"YM")&amp;" Bulan, "&amp;DATEDIF(S2504,TODAY(),"MD")&amp;" Hari")</f>
        <v>32 Tahun, 9 Bulan, 7 Hari</v>
      </c>
      <c r="AC2504" s="18" t="n">
        <v>46135</v>
      </c>
      <c r="AD2504" s="48" t="n">
        <v>46142</v>
      </c>
      <c r="AE2504" s="18" t="s">
        <v>44</v>
      </c>
    </row>
    <row r="2505" customFormat="false" ht="15" hidden="false" customHeight="true" outlineLevel="0" collapsed="false">
      <c r="A2505" s="12" t="n">
        <v>20169</v>
      </c>
      <c r="B2505" s="13" t="s">
        <v>10744</v>
      </c>
      <c r="C2505" s="16" t="n">
        <v>45857</v>
      </c>
      <c r="D2505" s="13" t="s">
        <v>7310</v>
      </c>
      <c r="E2505" s="15" t="s">
        <v>33</v>
      </c>
      <c r="F2505" s="24" t="s">
        <v>10745</v>
      </c>
      <c r="G2505" s="13" t="s">
        <v>10746</v>
      </c>
      <c r="H2505" s="13" t="s">
        <v>35</v>
      </c>
      <c r="I2505" s="13" t="str">
        <f aca="false">IF(C2505=J2505,"NEW KONTRAK","RE-KONTRAK")</f>
        <v>NEW KONTRAK</v>
      </c>
      <c r="J2505" s="16" t="n">
        <f aca="false" t="array" ref="J2505:J2505">IFERROR(INDEX(AC2505:AE2505,IF(COUNTA(AC2505:AE2505)=0,"",MAX((AC2505:AE2505&lt;&gt;"")*(COLUMN(AC2505:AE2505)-(COLUMN(AC2505)))))-1),"")</f>
        <v>45857</v>
      </c>
      <c r="K2505" s="16" t="n">
        <f aca="false" t="array" ref="K2505:K2505">IFERROR(INDEX(AC2505:AE2505,IF(COUNTA(AC2505:AE2505)=0,"",MAX((AC2505:AE2505&lt;&gt;"")*(COLUMN(AC2505:AE2505)-(COLUMN(AC2505)-1))))-1),"")</f>
        <v>46221</v>
      </c>
      <c r="L2505" s="17" t="str">
        <f aca="false" t="array" ref="L2505:L2505">IFERROR(INDEX(AC2505:AE2505,IF(COUNTA(AC2505:AE2505)=0,"",MAX((AC2505:AE2505&lt;&gt;"")*(COLUMN(AC2505:AE2505)-(COLUMN(AC2505)-2))))-1),"")</f>
        <v>ARCHIVED</v>
      </c>
      <c r="M2505" s="13" t="n">
        <f aca="true">K2505-TODAY()</f>
        <v>-103</v>
      </c>
      <c r="N2505" s="18" t="s">
        <v>7313</v>
      </c>
      <c r="O2505" s="13" t="s">
        <v>50</v>
      </c>
      <c r="P2505" s="19" t="n">
        <v>2397550</v>
      </c>
      <c r="Q2505" s="20" t="s">
        <v>10747</v>
      </c>
      <c r="R2505" s="13" t="s">
        <v>227</v>
      </c>
      <c r="S2505" s="16" t="n">
        <v>35105</v>
      </c>
      <c r="T2505" s="28" t="s">
        <v>40</v>
      </c>
      <c r="U2505" s="13" t="s">
        <v>10748</v>
      </c>
      <c r="V2505" s="13" t="s">
        <v>42</v>
      </c>
      <c r="W2505" s="13" t="s">
        <v>54</v>
      </c>
      <c r="X2505" s="21" t="n">
        <v>83853107241</v>
      </c>
      <c r="Y2505" s="22" t="str">
        <f aca="false">O2505</f>
        <v>Driver</v>
      </c>
      <c r="Z2505" s="13" t="str">
        <f aca="false">IFERROR(__xludf.dummyfunction("if(BJ2505="""","""",GOOGLETRANSLATE(BJ2505,""auto"",""en""))"),"Driver")</f>
        <v>Driver</v>
      </c>
      <c r="AA2505" s="23" t="str">
        <f aca="false">IF(C2505="","", CHOOSE(MONTH(C2505),"January","February","March","April","May","June","July","August","September","October","November","December")&amp;" "&amp;DAY(C2505)&amp;MID("thstndrdth",MIN(9,2*RIGHT(DAY(C2505))*(MOD(DAY(C2505)-11,100)&gt;2)+1),2)&amp;","&amp;TEXT(C2505," yyyy"))</f>
        <v>July 19th,2025</v>
      </c>
      <c r="AB2505" s="15" t="str">
        <f aca="true">IF(S2505="","",DATEDIF(S2505,TODAY(),"Y")&amp;" Tahun, "&amp;DATEDIF(S2505,TODAY(),"YM")&amp;" Bulan, "&amp;DATEDIF(S2505,TODAY(),"MD")&amp;" Hari")</f>
        <v>30 Tahun, 8 Bulan, 19 Hari</v>
      </c>
      <c r="AC2505" s="18" t="n">
        <v>45857</v>
      </c>
      <c r="AD2505" s="18" t="n">
        <v>46221</v>
      </c>
      <c r="AE2505" s="18" t="s">
        <v>44</v>
      </c>
    </row>
    <row r="2506" customFormat="false" ht="15" hidden="false" customHeight="true" outlineLevel="0" collapsed="false">
      <c r="A2506" s="12" t="n">
        <v>20174</v>
      </c>
      <c r="B2506" s="13" t="s">
        <v>10749</v>
      </c>
      <c r="C2506" s="16" t="n">
        <v>45866</v>
      </c>
      <c r="D2506" s="13" t="s">
        <v>5526</v>
      </c>
      <c r="E2506" s="15" t="s">
        <v>47</v>
      </c>
      <c r="F2506" s="15" t="str">
        <f aca="false">IFERROR(__xludf.dummyfunction("XLOOKUP(AJ2506,IMPORTRANGE(""1XaInW9DU9nz21V0tYIfzFQ0He9kVQ_JF2mCXgZ3hqFA"",""REKAP ALL 2026 - Andika!G:G""),IMPORTRANGE(""1XaInW9DU9nz21V0tYIfzFQ0He9kVQ_JF2mCXgZ3hqFA"",""REKAP ALL 2026 - Andika!F:F""),"""",0)"),"25099757475")</f>
        <v>25099757475</v>
      </c>
      <c r="G2506" s="13" t="s">
        <v>10750</v>
      </c>
      <c r="H2506" s="13" t="s">
        <v>35</v>
      </c>
      <c r="I2506" s="13" t="str">
        <f aca="false">IF(C2506=J2506,"NEW KONTRAK","RE-KONTRAK")</f>
        <v>NEW KONTRAK</v>
      </c>
      <c r="J2506" s="16" t="n">
        <f aca="false" t="array" ref="J2506:J2506">IFERROR(INDEX(AC2506:AE2506,IF(COUNTA(AC2506:AE2506)=0,"",MAX((AC2506:AE2506&lt;&gt;"")*(COLUMN(AC2506:AE2506)-(COLUMN(AC2506)))))-1),"")</f>
        <v>45866</v>
      </c>
      <c r="K2506" s="16" t="n">
        <f aca="false" t="array" ref="K2506:K2506">IFERROR(INDEX(AC2506:AE2506,IF(COUNTA(AC2506:AE2506)=0,"",MAX((AC2506:AE2506&lt;&gt;"")*(COLUMN(AC2506:AE2506)-(COLUMN(AC2506)-1))))-1),"")</f>
        <v>45957</v>
      </c>
      <c r="L2506" s="17" t="str">
        <f aca="false" t="array" ref="L2506:L2506">IFERROR(INDEX(AC2506:AE2506,IF(COUNTA(AC2506:AE2506)=0,"",MAX((AC2506:AE2506&lt;&gt;"")*(COLUMN(AC2506:AE2506)-(COLUMN(AC2506)-2))))-1),"")</f>
        <v>ARCHIVED</v>
      </c>
      <c r="M2506" s="13" t="n">
        <f aca="true">K2506-TODAY()</f>
        <v>-367</v>
      </c>
      <c r="N2506" s="18" t="s">
        <v>615</v>
      </c>
      <c r="O2506" s="13" t="s">
        <v>50</v>
      </c>
      <c r="P2506" s="19" t="n">
        <v>5176101</v>
      </c>
      <c r="Q2506" s="20" t="s">
        <v>10751</v>
      </c>
      <c r="R2506" s="13" t="s">
        <v>52</v>
      </c>
      <c r="S2506" s="16" t="n">
        <v>34032</v>
      </c>
      <c r="T2506" s="28" t="s">
        <v>40</v>
      </c>
      <c r="U2506" s="13" t="s">
        <v>10752</v>
      </c>
      <c r="V2506" s="13" t="s">
        <v>42</v>
      </c>
      <c r="W2506" s="13" t="s">
        <v>43</v>
      </c>
      <c r="X2506" s="21" t="n">
        <v>816817361</v>
      </c>
      <c r="Y2506" s="22" t="str">
        <f aca="false">O2506</f>
        <v>Driver</v>
      </c>
      <c r="Z2506" s="13" t="str">
        <f aca="false">IFERROR(__xludf.dummyfunction("if(BJ2506="""","""",GOOGLETRANSLATE(BJ2506,""auto"",""en""))"),"Driver")</f>
        <v>Driver</v>
      </c>
      <c r="AA2506" s="23" t="str">
        <f aca="false">IF(C2506="","", CHOOSE(MONTH(C2506),"January","February","March","April","May","June","July","August","September","October","November","December")&amp;" "&amp;DAY(C2506)&amp;MID("thstndrdth",MIN(9,2*RIGHT(DAY(C2506))*(MOD(DAY(C2506)-11,100)&gt;2)+1),2)&amp;","&amp;TEXT(C2506," yyyy"))</f>
        <v>July 28th,2025</v>
      </c>
      <c r="AB2506" s="15" t="str">
        <f aca="true">IF(S2506="","",DATEDIF(S2506,TODAY(),"Y")&amp;" Tahun, "&amp;DATEDIF(S2506,TODAY(),"YM")&amp;" Bulan, "&amp;DATEDIF(S2506,TODAY(),"MD")&amp;" Hari")</f>
        <v>33 Tahun, 7 Bulan, 25 Hari</v>
      </c>
      <c r="AC2506" s="18" t="n">
        <v>45866</v>
      </c>
      <c r="AD2506" s="18" t="n">
        <v>45957</v>
      </c>
      <c r="AE2506" s="18" t="s">
        <v>44</v>
      </c>
    </row>
    <row r="2507" customFormat="false" ht="15" hidden="false" customHeight="true" outlineLevel="0" collapsed="false">
      <c r="A2507" s="12" t="n">
        <v>20176</v>
      </c>
      <c r="B2507" s="13" t="s">
        <v>10753</v>
      </c>
      <c r="C2507" s="16" t="n">
        <v>45859</v>
      </c>
      <c r="D2507" s="13" t="s">
        <v>6487</v>
      </c>
      <c r="E2507" s="15" t="s">
        <v>47</v>
      </c>
      <c r="F2507" s="15" t="str">
        <f aca="false">IFERROR(__xludf.dummyfunction("XLOOKUP(AJ2507,IMPORTRANGE(""1XaInW9DU9nz21V0tYIfzFQ0He9kVQ_JF2mCXgZ3hqFA"",""REKAP ALL 2026 - Andika!G:G""),IMPORTRANGE(""1XaInW9DU9nz21V0tYIfzFQ0He9kVQ_JF2mCXgZ3hqFA"",""REKAP ALL 2026 - Andika!F:F""),"""",0)"),"25099757137")</f>
        <v>25099757137</v>
      </c>
      <c r="G2507" s="13" t="s">
        <v>10754</v>
      </c>
      <c r="H2507" s="13" t="s">
        <v>35</v>
      </c>
      <c r="I2507" s="13" t="str">
        <f aca="false">IF(C2507=J2507,"NEW KONTRAK","RE-KONTRAK")</f>
        <v>NEW KONTRAK</v>
      </c>
      <c r="J2507" s="16" t="n">
        <f aca="false" t="array" ref="J2507:J2507">IFERROR(INDEX(AC2507:AE2507,IF(COUNTA(AC2507:AE2507)=0,"",MAX((AC2507:AE2507&lt;&gt;"")*(COLUMN(AC2507:AE2507)-(COLUMN(AC2507)))))-1),"")</f>
        <v>45859</v>
      </c>
      <c r="K2507" s="16" t="n">
        <f aca="false" t="array" ref="K2507:K2507">IFERROR(INDEX(AC2507:AE2507,IF(COUNTA(AC2507:AE2507)=0,"",MAX((AC2507:AE2507&lt;&gt;"")*(COLUMN(AC2507:AE2507)-(COLUMN(AC2507)-1))))-1),"")</f>
        <v>46022</v>
      </c>
      <c r="L2507" s="17" t="str">
        <f aca="false" t="array" ref="L2507:L2507">IFERROR(INDEX(AC2507:AE2507,IF(COUNTA(AC2507:AE2507)=0,"",MAX((AC2507:AE2507&lt;&gt;"")*(COLUMN(AC2507:AE2507)-(COLUMN(AC2507)-2))))-1),"")</f>
        <v>ARCHIVED</v>
      </c>
      <c r="M2507" s="13" t="n">
        <f aca="true">K2507-TODAY()</f>
        <v>-302</v>
      </c>
      <c r="N2507" s="18" t="s">
        <v>4735</v>
      </c>
      <c r="O2507" s="13" t="s">
        <v>3271</v>
      </c>
      <c r="P2507" s="19" t="n">
        <v>3802862</v>
      </c>
      <c r="Q2507" s="20" t="s">
        <v>10755</v>
      </c>
      <c r="R2507" s="13" t="s">
        <v>83</v>
      </c>
      <c r="S2507" s="16" t="n">
        <v>34263</v>
      </c>
      <c r="T2507" s="28" t="s">
        <v>40</v>
      </c>
      <c r="U2507" s="13" t="s">
        <v>10756</v>
      </c>
      <c r="V2507" s="13" t="s">
        <v>42</v>
      </c>
      <c r="W2507" s="13" t="s">
        <v>54</v>
      </c>
      <c r="X2507" s="21" t="n">
        <v>895801009629</v>
      </c>
      <c r="Y2507" s="22" t="str">
        <f aca="false">O2507</f>
        <v>Helper</v>
      </c>
      <c r="Z2507" s="13" t="str">
        <f aca="false">IFERROR(__xludf.dummyfunction("if(BJ2507="""","""",GOOGLETRANSLATE(BJ2507,""auto"",""en""))"),"Helper")</f>
        <v>Helper</v>
      </c>
      <c r="AA2507" s="23" t="str">
        <f aca="false">IF(C2507="","", CHOOSE(MONTH(C2507),"January","February","March","April","May","June","July","August","September","October","November","December")&amp;" "&amp;DAY(C2507)&amp;MID("thstndrdth",MIN(9,2*RIGHT(DAY(C2507))*(MOD(DAY(C2507)-11,100)&gt;2)+1),2)&amp;","&amp;TEXT(C2507," yyyy"))</f>
        <v>July 21st,2025</v>
      </c>
      <c r="AB2507" s="15" t="str">
        <f aca="true">IF(S2507="","",DATEDIF(S2507,TODAY(),"Y")&amp;" Tahun, "&amp;DATEDIF(S2507,TODAY(),"YM")&amp;" Bulan, "&amp;DATEDIF(S2507,TODAY(),"MD")&amp;" Hari")</f>
        <v>33 Tahun, 0 Bulan, 8 Hari</v>
      </c>
      <c r="AC2507" s="18" t="n">
        <v>45859</v>
      </c>
      <c r="AD2507" s="18" t="n">
        <v>46022</v>
      </c>
      <c r="AE2507" s="18" t="s">
        <v>44</v>
      </c>
    </row>
    <row r="2508" customFormat="false" ht="15" hidden="false" customHeight="true" outlineLevel="0" collapsed="false">
      <c r="A2508" s="12" t="n">
        <v>20175</v>
      </c>
      <c r="B2508" s="13" t="s">
        <v>10757</v>
      </c>
      <c r="C2508" s="16" t="n">
        <v>45859</v>
      </c>
      <c r="D2508" s="13" t="s">
        <v>9789</v>
      </c>
      <c r="E2508" s="15" t="s">
        <v>33</v>
      </c>
      <c r="F2508" s="24" t="s">
        <v>10758</v>
      </c>
      <c r="G2508" s="13" t="s">
        <v>10759</v>
      </c>
      <c r="H2508" s="13" t="s">
        <v>35</v>
      </c>
      <c r="I2508" s="13" t="str">
        <f aca="false">IF(C2508=J2508,"NEW KONTRAK","RE-KONTRAK")</f>
        <v>NEW KONTRAK</v>
      </c>
      <c r="J2508" s="16" t="n">
        <f aca="false" t="array" ref="J2508:J2508">IFERROR(INDEX(AC2508:AE2508,IF(COUNTA(AC2508:AE2508)=0,"",MAX((AC2508:AE2508&lt;&gt;"")*(COLUMN(AC2508:AE2508)-(COLUMN(AC2508)))))-1),"")</f>
        <v>45859</v>
      </c>
      <c r="K2508" s="16" t="n">
        <f aca="false" t="array" ref="K2508:K2508">IFERROR(INDEX(AC2508:AE2508,IF(COUNTA(AC2508:AE2508)=0,"",MAX((AC2508:AE2508&lt;&gt;"")*(COLUMN(AC2508:AE2508)-(COLUMN(AC2508)-1))))-1),"")</f>
        <v>46022</v>
      </c>
      <c r="L2508" s="17" t="str">
        <f aca="false" t="array" ref="L2508:L2508">IFERROR(INDEX(AC2508:AE2508,IF(COUNTA(AC2508:AE2508)=0,"",MAX((AC2508:AE2508&lt;&gt;"")*(COLUMN(AC2508:AE2508)-(COLUMN(AC2508)-2))))-1),"")</f>
        <v>ARCHIVED</v>
      </c>
      <c r="M2508" s="13" t="n">
        <f aca="true">K2508-TODAY()</f>
        <v>-302</v>
      </c>
      <c r="N2508" s="18" t="s">
        <v>383</v>
      </c>
      <c r="O2508" s="13" t="s">
        <v>10760</v>
      </c>
      <c r="P2508" s="19" t="n">
        <v>3012164</v>
      </c>
      <c r="Q2508" s="20" t="s">
        <v>10761</v>
      </c>
      <c r="R2508" s="13" t="s">
        <v>78</v>
      </c>
      <c r="S2508" s="16" t="n">
        <v>37710</v>
      </c>
      <c r="T2508" s="28" t="s">
        <v>40</v>
      </c>
      <c r="U2508" s="13" t="s">
        <v>10762</v>
      </c>
      <c r="V2508" s="13" t="s">
        <v>42</v>
      </c>
      <c r="W2508" s="13" t="s">
        <v>43</v>
      </c>
      <c r="X2508" s="30" t="n">
        <v>89557809134</v>
      </c>
      <c r="Y2508" s="22" t="str">
        <f aca="false">O2508</f>
        <v>Staff IT</v>
      </c>
      <c r="Z2508" s="13" t="str">
        <f aca="false">IFERROR(__xludf.dummyfunction("if(BJ2508="""","""",GOOGLETRANSLATE(BJ2508,""auto"",""en""))"),"Staff IT")</f>
        <v>Staff IT</v>
      </c>
      <c r="AA2508" s="23" t="str">
        <f aca="false">IF(C2508="","", CHOOSE(MONTH(C2508),"January","February","March","April","May","June","July","August","September","October","November","December")&amp;" "&amp;DAY(C2508)&amp;MID("thstndrdth",MIN(9,2*RIGHT(DAY(C2508))*(MOD(DAY(C2508)-11,100)&gt;2)+1),2)&amp;","&amp;TEXT(C2508," yyyy"))</f>
        <v>July 21st,2025</v>
      </c>
      <c r="AB2508" s="15" t="str">
        <f aca="true">IF(S2508="","",DATEDIF(S2508,TODAY(),"Y")&amp;" Tahun, "&amp;DATEDIF(S2508,TODAY(),"YM")&amp;" Bulan, "&amp;DATEDIF(S2508,TODAY(),"MD")&amp;" Hari")</f>
        <v>23 Tahun, 6 Bulan, 29 Hari</v>
      </c>
      <c r="AC2508" s="18" t="n">
        <v>45859</v>
      </c>
      <c r="AD2508" s="18" t="n">
        <v>46022</v>
      </c>
      <c r="AE2508" s="18" t="s">
        <v>44</v>
      </c>
    </row>
    <row r="2509" customFormat="false" ht="15" hidden="false" customHeight="true" outlineLevel="0" collapsed="false">
      <c r="A2509" s="12" t="n">
        <v>20183</v>
      </c>
      <c r="B2509" s="13" t="s">
        <v>10763</v>
      </c>
      <c r="C2509" s="16" t="n">
        <v>45861</v>
      </c>
      <c r="D2509" s="13" t="s">
        <v>774</v>
      </c>
      <c r="E2509" s="15" t="s">
        <v>47</v>
      </c>
      <c r="F2509" s="24" t="s">
        <v>10764</v>
      </c>
      <c r="G2509" s="13" t="s">
        <v>10765</v>
      </c>
      <c r="H2509" s="13" t="s">
        <v>35</v>
      </c>
      <c r="I2509" s="13" t="str">
        <f aca="false">IF(C2509=J2509,"NEW KONTRAK","RE-KONTRAK")</f>
        <v>NEW KONTRAK</v>
      </c>
      <c r="J2509" s="16" t="n">
        <f aca="false" t="array" ref="J2509:J2509">IFERROR(INDEX(AC2509:AE2509,IF(COUNTA(AC2509:AE2509)=0,"",MAX((AC2509:AE2509&lt;&gt;"")*(COLUMN(AC2509:AE2509)-(COLUMN(AC2509)))))-1),"")</f>
        <v>45861</v>
      </c>
      <c r="K2509" s="16" t="n">
        <f aca="false" t="array" ref="K2509:K2509">IFERROR(INDEX(AC2509:AE2509,IF(COUNTA(AC2509:AE2509)=0,"",MAX((AC2509:AE2509&lt;&gt;"")*(COLUMN(AC2509:AE2509)-(COLUMN(AC2509)-1))))-1),"")</f>
        <v>45930</v>
      </c>
      <c r="L2509" s="17" t="str">
        <f aca="false" t="array" ref="L2509:L2509">IFERROR(INDEX(AC2509:AE2509,IF(COUNTA(AC2509:AE2509)=0,"",MAX((AC2509:AE2509&lt;&gt;"")*(COLUMN(AC2509:AE2509)-(COLUMN(AC2509)-2))))-1),"")</f>
        <v>ARCHIVED</v>
      </c>
      <c r="M2509" s="13" t="n">
        <f aca="true">K2509-TODAY()</f>
        <v>-394</v>
      </c>
      <c r="N2509" s="18" t="s">
        <v>36</v>
      </c>
      <c r="O2509" s="13" t="s">
        <v>624</v>
      </c>
      <c r="P2509" s="19" t="n">
        <v>5195500</v>
      </c>
      <c r="Q2509" s="20" t="s">
        <v>10766</v>
      </c>
      <c r="R2509" s="13" t="s">
        <v>246</v>
      </c>
      <c r="S2509" s="16" t="n">
        <v>36964</v>
      </c>
      <c r="T2509" s="13" t="s">
        <v>40</v>
      </c>
      <c r="U2509" s="13" t="s">
        <v>10767</v>
      </c>
      <c r="V2509" s="13" t="s">
        <v>42</v>
      </c>
      <c r="W2509" s="13" t="s">
        <v>43</v>
      </c>
      <c r="X2509" s="21" t="n">
        <v>85791233052</v>
      </c>
      <c r="Y2509" s="22" t="str">
        <f aca="false">O2509</f>
        <v>Quality Control</v>
      </c>
      <c r="Z2509" s="13" t="str">
        <f aca="false">IFERROR(__xludf.dummyfunction("if(BJ2509="""","""",GOOGLETRANSLATE(BJ2509,""auto"",""en""))"),"Quality Control")</f>
        <v>Quality Control</v>
      </c>
      <c r="AA2509" s="23" t="str">
        <f aca="false">IF(C2509="","", CHOOSE(MONTH(C2509),"January","February","March","April","May","June","July","August","September","October","November","December")&amp;" "&amp;DAY(C2509)&amp;MID("thstndrdth",MIN(9,2*RIGHT(DAY(C2509))*(MOD(DAY(C2509)-11,100)&gt;2)+1),2)&amp;","&amp;TEXT(C2509," yyyy"))</f>
        <v>July 23rd,2025</v>
      </c>
      <c r="AB2509" s="15" t="str">
        <f aca="true">IF(S2509="","",DATEDIF(S2509,TODAY(),"Y")&amp;" Tahun, "&amp;DATEDIF(S2509,TODAY(),"YM")&amp;" Bulan, "&amp;DATEDIF(S2509,TODAY(),"MD")&amp;" Hari")</f>
        <v>25 Tahun, 7 Bulan, 15 Hari</v>
      </c>
      <c r="AC2509" s="18" t="n">
        <v>45861</v>
      </c>
      <c r="AD2509" s="18" t="n">
        <v>45930</v>
      </c>
      <c r="AE2509" s="18" t="s">
        <v>44</v>
      </c>
    </row>
    <row r="2510" customFormat="false" ht="15" hidden="false" customHeight="true" outlineLevel="0" collapsed="false">
      <c r="A2510" s="12" t="n">
        <v>20177</v>
      </c>
      <c r="B2510" s="13" t="s">
        <v>10768</v>
      </c>
      <c r="C2510" s="16" t="n">
        <v>45862</v>
      </c>
      <c r="D2510" s="13" t="s">
        <v>6638</v>
      </c>
      <c r="E2510" s="15" t="s">
        <v>33</v>
      </c>
      <c r="F2510" s="24" t="s">
        <v>10769</v>
      </c>
      <c r="G2510" s="13" t="s">
        <v>10770</v>
      </c>
      <c r="H2510" s="13" t="s">
        <v>35</v>
      </c>
      <c r="I2510" s="13" t="str">
        <f aca="false">IF(C2510=J2510,"NEW KONTRAK","RE-KONTRAK")</f>
        <v>NEW KONTRAK</v>
      </c>
      <c r="J2510" s="16" t="n">
        <f aca="false" t="array" ref="J2510:J2510">IFERROR(INDEX(AC2510:AE2510,IF(COUNTA(AC2510:AE2510)=0,"",MAX((AC2510:AE2510&lt;&gt;"")*(COLUMN(AC2510:AE2510)-(COLUMN(AC2510)))))-1),"")</f>
        <v>45862</v>
      </c>
      <c r="K2510" s="16" t="n">
        <f aca="false" t="array" ref="K2510:K2510">IFERROR(INDEX(AC2510:AE2510,IF(COUNTA(AC2510:AE2510)=0,"",MAX((AC2510:AE2510&lt;&gt;"")*(COLUMN(AC2510:AE2510)-(COLUMN(AC2510)-1))))-1),"")</f>
        <v>45953</v>
      </c>
      <c r="L2510" s="17" t="str">
        <f aca="false" t="array" ref="L2510:L2510">IFERROR(INDEX(AC2510:AE2510,IF(COUNTA(AC2510:AE2510)=0,"",MAX((AC2510:AE2510&lt;&gt;"")*(COLUMN(AC2510:AE2510)-(COLUMN(AC2510)-2))))-1),"")</f>
        <v>ARCHIVED</v>
      </c>
      <c r="M2510" s="13" t="n">
        <f aca="true">K2510-TODAY()</f>
        <v>-371</v>
      </c>
      <c r="N2510" s="18" t="s">
        <v>4735</v>
      </c>
      <c r="O2510" s="13" t="s">
        <v>10771</v>
      </c>
      <c r="P2510" s="19" t="n">
        <v>3113530</v>
      </c>
      <c r="Q2510" s="20" t="s">
        <v>10772</v>
      </c>
      <c r="R2510" s="13" t="s">
        <v>83</v>
      </c>
      <c r="S2510" s="16" t="n">
        <v>34585</v>
      </c>
      <c r="T2510" s="28" t="s">
        <v>40</v>
      </c>
      <c r="U2510" s="13" t="s">
        <v>10773</v>
      </c>
      <c r="V2510" s="13" t="s">
        <v>42</v>
      </c>
      <c r="W2510" s="13" t="s">
        <v>43</v>
      </c>
      <c r="X2510" s="21" t="n">
        <v>81358095475</v>
      </c>
      <c r="Y2510" s="22" t="str">
        <f aca="false">O2510</f>
        <v>Recruitment Officer</v>
      </c>
      <c r="Z2510" s="13" t="str">
        <f aca="false">IFERROR(__xludf.dummyfunction("if(BJ2510="""","""",GOOGLETRANSLATE(BJ2510,""auto"",""en""))"),"Recruitment Officer")</f>
        <v>Recruitment Officer</v>
      </c>
      <c r="AA2510" s="23" t="str">
        <f aca="false">IF(C2510="","", CHOOSE(MONTH(C2510),"January","February","March","April","May","June","July","August","September","October","November","December")&amp;" "&amp;DAY(C2510)&amp;MID("thstndrdth",MIN(9,2*RIGHT(DAY(C2510))*(MOD(DAY(C2510)-11,100)&gt;2)+1),2)&amp;","&amp;TEXT(C2510," yyyy"))</f>
        <v>July 24th,2025</v>
      </c>
      <c r="AB2510" s="15" t="str">
        <f aca="true">IF(S2510="","",DATEDIF(S2510,TODAY(),"Y")&amp;" Tahun, "&amp;DATEDIF(S2510,TODAY(),"YM")&amp;" Bulan, "&amp;DATEDIF(S2510,TODAY(),"MD")&amp;" Hari")</f>
        <v>32 Tahun, 1 Bulan, 21 Hari</v>
      </c>
      <c r="AC2510" s="18" t="n">
        <v>45862</v>
      </c>
      <c r="AD2510" s="18" t="n">
        <v>45953</v>
      </c>
      <c r="AE2510" s="18" t="s">
        <v>44</v>
      </c>
    </row>
    <row r="2511" customFormat="false" ht="15" hidden="false" customHeight="true" outlineLevel="0" collapsed="false">
      <c r="A2511" s="12" t="n">
        <v>20180</v>
      </c>
      <c r="B2511" s="13" t="s">
        <v>10774</v>
      </c>
      <c r="C2511" s="16" t="n">
        <v>45852</v>
      </c>
      <c r="D2511" s="13" t="s">
        <v>4112</v>
      </c>
      <c r="E2511" s="15" t="s">
        <v>33</v>
      </c>
      <c r="F2511" s="24" t="s">
        <v>10775</v>
      </c>
      <c r="G2511" s="15" t="s">
        <v>10776</v>
      </c>
      <c r="H2511" s="13" t="s">
        <v>35</v>
      </c>
      <c r="I2511" s="13" t="str">
        <f aca="false">IF(C2511=J2511,"NEW KONTRAK","RE-KONTRAK")</f>
        <v>NEW KONTRAK</v>
      </c>
      <c r="J2511" s="16" t="n">
        <f aca="false" t="array" ref="J2511:J2511">IFERROR(INDEX(AC2511:AE2511,IF(COUNTA(AC2511:AE2511)=0,"",MAX((AC2511:AE2511&lt;&gt;"")*(COLUMN(AC2511:AE2511)-(COLUMN(AC2511)))))-1),"")</f>
        <v>45852</v>
      </c>
      <c r="K2511" s="16" t="n">
        <f aca="false" t="array" ref="K2511:K2511">IFERROR(INDEX(AC2511:AE2511,IF(COUNTA(AC2511:AE2511)=0,"",MAX((AC2511:AE2511&lt;&gt;"")*(COLUMN(AC2511:AE2511)-(COLUMN(AC2511)-1))))-1),"")</f>
        <v>45943</v>
      </c>
      <c r="L2511" s="17" t="str">
        <f aca="false" t="array" ref="L2511:L2511">IFERROR(INDEX(AC2511:AE2511,IF(COUNTA(AC2511:AE2511)=0,"",MAX((AC2511:AE2511&lt;&gt;"")*(COLUMN(AC2511:AE2511)-(COLUMN(AC2511)-2))))-1),"")</f>
        <v>ARCHIVED</v>
      </c>
      <c r="M2511" s="13" t="n">
        <f aca="true">K2511-TODAY()</f>
        <v>-381</v>
      </c>
      <c r="N2511" s="18" t="s">
        <v>728</v>
      </c>
      <c r="O2511" s="13" t="s">
        <v>719</v>
      </c>
      <c r="P2511" s="19" t="n">
        <v>3000000</v>
      </c>
      <c r="Q2511" s="20" t="s">
        <v>10777</v>
      </c>
      <c r="R2511" s="13" t="s">
        <v>52</v>
      </c>
      <c r="S2511" s="16" t="n">
        <v>36702</v>
      </c>
      <c r="T2511" s="13" t="s">
        <v>40</v>
      </c>
      <c r="U2511" s="13" t="s">
        <v>10778</v>
      </c>
      <c r="V2511" s="13" t="s">
        <v>42</v>
      </c>
      <c r="W2511" s="13" t="s">
        <v>54</v>
      </c>
      <c r="X2511" s="21" t="n">
        <v>895346365892</v>
      </c>
      <c r="Y2511" s="22" t="str">
        <f aca="false">O2511</f>
        <v>Cleaning Service</v>
      </c>
      <c r="Z2511" s="13" t="str">
        <f aca="false">IFERROR(__xludf.dummyfunction("if(BJ2511="""","""",GOOGLETRANSLATE(BJ2511,""auto"",""en""))"),"Cleaning Service")</f>
        <v>Cleaning Service</v>
      </c>
      <c r="AA2511" s="23" t="str">
        <f aca="false">IF(C2511="","", CHOOSE(MONTH(C2511),"January","February","March","April","May","June","July","August","September","October","November","December")&amp;" "&amp;DAY(C2511)&amp;MID("thstndrdth",MIN(9,2*RIGHT(DAY(C2511))*(MOD(DAY(C2511)-11,100)&gt;2)+1),2)&amp;","&amp;TEXT(C2511," yyyy"))</f>
        <v>July 14th,2025</v>
      </c>
      <c r="AB2511" s="15" t="str">
        <f aca="true">IF(S2511="","",DATEDIF(S2511,TODAY(),"Y")&amp;" Tahun, "&amp;DATEDIF(S2511,TODAY(),"YM")&amp;" Bulan, "&amp;DATEDIF(S2511,TODAY(),"MD")&amp;" Hari")</f>
        <v>26 Tahun, 4 Bulan, 4 Hari</v>
      </c>
      <c r="AC2511" s="18" t="n">
        <v>45852</v>
      </c>
      <c r="AD2511" s="18" t="n">
        <v>45943</v>
      </c>
      <c r="AE2511" s="18" t="s">
        <v>44</v>
      </c>
    </row>
    <row r="2512" customFormat="false" ht="15" hidden="false" customHeight="true" outlineLevel="0" collapsed="false">
      <c r="A2512" s="12" t="n">
        <v>20269</v>
      </c>
      <c r="B2512" s="13" t="s">
        <v>10779</v>
      </c>
      <c r="C2512" s="16" t="n">
        <v>45870</v>
      </c>
      <c r="D2512" s="13" t="s">
        <v>10155</v>
      </c>
      <c r="E2512" s="15" t="s">
        <v>47</v>
      </c>
      <c r="F2512" s="15" t="str">
        <f aca="false">IFERROR(__xludf.dummyfunction("XLOOKUP(AJ2512,IMPORTRANGE(""1XaInW9DU9nz21V0tYIfzFQ0He9kVQ_JF2mCXgZ3hqFA"",""REKAP ALL 2026 - Andika!G:G""),IMPORTRANGE(""1XaInW9DU9nz21V0tYIfzFQ0He9kVQ_JF2mCXgZ3hqFA"",""REKAP ALL 2026 - Andika!F:F""),"""",0)"),"25115950948")</f>
        <v>25115950948</v>
      </c>
      <c r="G2512" s="13" t="s">
        <v>1127</v>
      </c>
      <c r="H2512" s="13" t="s">
        <v>35</v>
      </c>
      <c r="I2512" s="13" t="str">
        <f aca="false">IF(C2512=J2512,"NEW KONTRAK","RE-KONTRAK")</f>
        <v>NEW KONTRAK</v>
      </c>
      <c r="J2512" s="16" t="n">
        <f aca="false" t="array" ref="J2512:J2512">IFERROR(INDEX(AC2512:AE2512,IF(COUNTA(AC2512:AE2512)=0,"",MAX((AC2512:AE2512&lt;&gt;"")*(COLUMN(AC2512:AE2512)-(COLUMN(AC2512)))))-1),"")</f>
        <v>45870</v>
      </c>
      <c r="K2512" s="16" t="n">
        <f aca="false" t="array" ref="K2512:K2512">IFERROR(INDEX(AC2512:AE2512,IF(COUNTA(AC2512:AE2512)=0,"",MAX((AC2512:AE2512&lt;&gt;"")*(COLUMN(AC2512:AE2512)-(COLUMN(AC2512)-1))))-1),"")</f>
        <v>45961</v>
      </c>
      <c r="L2512" s="17" t="str">
        <f aca="false" t="array" ref="L2512:L2512">IFERROR(INDEX(AC2512:AE2512,IF(COUNTA(AC2512:AE2512)=0,"",MAX((AC2512:AE2512&lt;&gt;"")*(COLUMN(AC2512:AE2512)-(COLUMN(AC2512)-2))))-1),"")</f>
        <v>ARCHIVED</v>
      </c>
      <c r="M2512" s="13" t="n">
        <f aca="true">K2512-TODAY()</f>
        <v>-363</v>
      </c>
      <c r="N2512" s="18" t="s">
        <v>36</v>
      </c>
      <c r="O2512" s="13" t="s">
        <v>58</v>
      </c>
      <c r="P2512" s="27" t="n">
        <v>5176101</v>
      </c>
      <c r="Q2512" s="20" t="s">
        <v>10780</v>
      </c>
      <c r="R2512" s="13" t="s">
        <v>65</v>
      </c>
      <c r="S2512" s="16" t="n">
        <v>36678</v>
      </c>
      <c r="T2512" s="28" t="s">
        <v>40</v>
      </c>
      <c r="U2512" s="13" t="s">
        <v>10781</v>
      </c>
      <c r="V2512" s="13" t="s">
        <v>42</v>
      </c>
      <c r="W2512" s="13" t="s">
        <v>43</v>
      </c>
      <c r="X2512" s="21" t="n">
        <v>85731621253</v>
      </c>
      <c r="Y2512" s="22" t="str">
        <f aca="false">O2512</f>
        <v>Produksi</v>
      </c>
      <c r="Z2512" s="13" t="str">
        <f aca="false">IFERROR(__xludf.dummyfunction("if(BJ2512="""","""",GOOGLETRANSLATE(BJ2512,""auto"",""en""))"),"Production")</f>
        <v>Production</v>
      </c>
      <c r="AA2512" s="23" t="str">
        <f aca="false">IF(C2512="","", CHOOSE(MONTH(C2512),"January","February","March","April","May","June","July","August","September","October","November","December")&amp;" "&amp;DAY(C2512)&amp;MID("thstndrdth",MIN(9,2*RIGHT(DAY(C2512))*(MOD(DAY(C2512)-11,100)&gt;2)+1),2)&amp;","&amp;TEXT(C2512," yyyy"))</f>
        <v>August 1st,2025</v>
      </c>
      <c r="AB2512" s="15" t="str">
        <f aca="true">IF(S2512="","",DATEDIF(S2512,TODAY(),"Y")&amp;" Tahun, "&amp;DATEDIF(S2512,TODAY(),"YM")&amp;" Bulan, "&amp;DATEDIF(S2512,TODAY(),"MD")&amp;" Hari")</f>
        <v>26 Tahun, 4 Bulan, 28 Hari</v>
      </c>
      <c r="AC2512" s="18" t="n">
        <v>45870</v>
      </c>
      <c r="AD2512" s="18" t="n">
        <v>45961</v>
      </c>
      <c r="AE2512" s="18" t="s">
        <v>44</v>
      </c>
    </row>
    <row r="2513" customFormat="false" ht="15" hidden="false" customHeight="true" outlineLevel="0" collapsed="false">
      <c r="A2513" s="12" t="n">
        <v>20185</v>
      </c>
      <c r="B2513" s="13" t="s">
        <v>10782</v>
      </c>
      <c r="C2513" s="16" t="n">
        <v>45863</v>
      </c>
      <c r="D2513" s="13" t="s">
        <v>3022</v>
      </c>
      <c r="E2513" s="15" t="s">
        <v>33</v>
      </c>
      <c r="F2513" s="24" t="s">
        <v>10783</v>
      </c>
      <c r="G2513" s="13" t="s">
        <v>57</v>
      </c>
      <c r="H2513" s="13" t="s">
        <v>3024</v>
      </c>
      <c r="I2513" s="13" t="str">
        <f aca="false">IF(C2513=J2513,"NEW KONTRAK","RE-KONTRAK")</f>
        <v>NEW KONTRAK</v>
      </c>
      <c r="J2513" s="16" t="n">
        <f aca="false" t="array" ref="J2513:J2513">IFERROR(INDEX(AC2513:AE2513,IF(COUNTA(AC2513:AE2513)=0,"",MAX((AC2513:AE2513&lt;&gt;"")*(COLUMN(AC2513:AE2513)-(COLUMN(AC2513)))))-1),"")</f>
        <v>45863</v>
      </c>
      <c r="K2513" s="16" t="n">
        <f aca="false" t="array" ref="K2513:K2513">IFERROR(INDEX(AC2513:AE2513,IF(COUNTA(AC2513:AE2513)=0,"",MAX((AC2513:AE2513&lt;&gt;"")*(COLUMN(AC2513:AE2513)-(COLUMN(AC2513)-1))))-1),"")</f>
        <v>45954</v>
      </c>
      <c r="L2513" s="17" t="str">
        <f aca="false" t="array" ref="L2513:L2513">IFERROR(INDEX(AC2513:AE2513,IF(COUNTA(AC2513:AE2513)=0,"",MAX((AC2513:AE2513&lt;&gt;"")*(COLUMN(AC2513:AE2513)-(COLUMN(AC2513)-2))))-1),"")</f>
        <v>ARCHIVED</v>
      </c>
      <c r="M2513" s="13" t="n">
        <f aca="true">K2513-TODAY()</f>
        <v>-370</v>
      </c>
      <c r="N2513" s="18" t="s">
        <v>36</v>
      </c>
      <c r="O2513" s="13" t="s">
        <v>58</v>
      </c>
      <c r="P2513" s="19" t="n">
        <v>90000</v>
      </c>
      <c r="Q2513" s="20" t="s">
        <v>10784</v>
      </c>
      <c r="R2513" s="13" t="s">
        <v>78</v>
      </c>
      <c r="S2513" s="16" t="n">
        <v>34819</v>
      </c>
      <c r="T2513" s="13" t="s">
        <v>40</v>
      </c>
      <c r="U2513" s="13" t="s">
        <v>10785</v>
      </c>
      <c r="V2513" s="13" t="s">
        <v>42</v>
      </c>
      <c r="W2513" s="13" t="s">
        <v>43</v>
      </c>
      <c r="X2513" s="30" t="n">
        <v>85216117240</v>
      </c>
      <c r="Y2513" s="22" t="str">
        <f aca="false">O2513</f>
        <v>Produksi</v>
      </c>
      <c r="Z2513" s="13" t="str">
        <f aca="false">IFERROR(__xludf.dummyfunction("if(BJ2513="""","""",GOOGLETRANSLATE(BJ2513,""auto"",""en""))"),"Production")</f>
        <v>Production</v>
      </c>
      <c r="AA2513" s="23" t="str">
        <f aca="false">IF(C2513="","", CHOOSE(MONTH(C2513),"January","February","March","April","May","June","July","August","September","October","November","December")&amp;" "&amp;DAY(C2513)&amp;MID("thstndrdth",MIN(9,2*RIGHT(DAY(C2513))*(MOD(DAY(C2513)-11,100)&gt;2)+1),2)&amp;","&amp;TEXT(C2513," yyyy"))</f>
        <v>July 25th,2025</v>
      </c>
      <c r="AB2513" s="15" t="str">
        <f aca="true">IF(S2513="","",DATEDIF(S2513,TODAY(),"Y")&amp;" Tahun, "&amp;DATEDIF(S2513,TODAY(),"YM")&amp;" Bulan, "&amp;DATEDIF(S2513,TODAY(),"MD")&amp;" Hari")</f>
        <v>31 Tahun, 5 Bulan, 29 Hari</v>
      </c>
      <c r="AC2513" s="18" t="n">
        <v>45863</v>
      </c>
      <c r="AD2513" s="18" t="n">
        <v>45954</v>
      </c>
      <c r="AE2513" s="18" t="s">
        <v>44</v>
      </c>
    </row>
    <row r="2514" customFormat="false" ht="15" hidden="false" customHeight="true" outlineLevel="0" collapsed="false">
      <c r="A2514" s="12" t="n">
        <v>20240</v>
      </c>
      <c r="B2514" s="13" t="s">
        <v>10786</v>
      </c>
      <c r="C2514" s="16" t="n">
        <v>45868</v>
      </c>
      <c r="D2514" s="13" t="s">
        <v>6638</v>
      </c>
      <c r="E2514" s="15" t="s">
        <v>789</v>
      </c>
      <c r="F2514" s="15" t="str">
        <f aca="false">IFERROR(__xludf.dummyfunction("XLOOKUP(AJ2514,IMPORTRANGE(""1XaInW9DU9nz21V0tYIfzFQ0He9kVQ_JF2mCXgZ3hqFA"",""REKAP ALL 2026 - Andika!G:G""),IMPORTRANGE(""1XaInW9DU9nz21V0tYIfzFQ0He9kVQ_JF2mCXgZ3hqFA"",""REKAP ALL 2026 - Andika!F:F""),"""",0)"),"25099756105")</f>
        <v>25099756105</v>
      </c>
      <c r="G2514" s="13" t="s">
        <v>10787</v>
      </c>
      <c r="H2514" s="13" t="s">
        <v>35</v>
      </c>
      <c r="I2514" s="13" t="str">
        <f aca="false">IF(C2514=J2514,"NEW KONTRAK","RE-KONTRAK")</f>
        <v>NEW KONTRAK</v>
      </c>
      <c r="J2514" s="16" t="n">
        <f aca="false" t="array" ref="J2514:J2514">IFERROR(INDEX(AC2514:AE2514,IF(COUNTA(AC2514:AE2514)=0,"",MAX((AC2514:AE2514&lt;&gt;"")*(COLUMN(AC2514:AE2514)-(COLUMN(AC2514)))))-1),"")</f>
        <v>45868</v>
      </c>
      <c r="K2514" s="16" t="n">
        <f aca="false" t="array" ref="K2514:K2514">IFERROR(INDEX(AC2514:AE2514,IF(COUNTA(AC2514:AE2514)=0,"",MAX((AC2514:AE2514&lt;&gt;"")*(COLUMN(AC2514:AE2514)-(COLUMN(AC2514)-1))))-1),"")</f>
        <v>45959</v>
      </c>
      <c r="L2514" s="17" t="str">
        <f aca="false" t="array" ref="L2514:L2514">IFERROR(INDEX(AC2514:AE2514,IF(COUNTA(AC2514:AE2514)=0,"",MAX((AC2514:AE2514&lt;&gt;"")*(COLUMN(AC2514:AE2514)-(COLUMN(AC2514)-2))))-1),"")</f>
        <v>ARCHIVED</v>
      </c>
      <c r="M2514" s="13" t="n">
        <f aca="true">K2514-TODAY()</f>
        <v>-365</v>
      </c>
      <c r="N2514" s="18" t="s">
        <v>4735</v>
      </c>
      <c r="O2514" s="13" t="s">
        <v>6877</v>
      </c>
      <c r="P2514" s="19" t="n">
        <v>3113530</v>
      </c>
      <c r="Q2514" s="47" t="s">
        <v>10788</v>
      </c>
      <c r="R2514" s="13" t="s">
        <v>148</v>
      </c>
      <c r="S2514" s="16" t="n">
        <v>36747</v>
      </c>
      <c r="T2514" s="12" t="s">
        <v>108</v>
      </c>
      <c r="U2514" s="13" t="s">
        <v>10789</v>
      </c>
      <c r="V2514" s="15" t="s">
        <v>42</v>
      </c>
      <c r="W2514" s="13" t="s">
        <v>54</v>
      </c>
      <c r="X2514" s="21" t="n">
        <v>82264551401</v>
      </c>
      <c r="Y2514" s="22" t="str">
        <f aca="false">O2514</f>
        <v>Staff Accounting</v>
      </c>
      <c r="Z2514" s="13" t="str">
        <f aca="false">IFERROR(__xludf.dummyfunction("if(BJ2514="""","""",GOOGLETRANSLATE(BJ2514,""auto"",""en""))"),"Staff Accounting")</f>
        <v>Staff Accounting</v>
      </c>
      <c r="AA2514" s="23" t="str">
        <f aca="false">IF(C2514="","", CHOOSE(MONTH(C2514),"January","February","March","April","May","June","July","August","September","October","November","December")&amp;" "&amp;DAY(C2514)&amp;MID("thstndrdth",MIN(9,2*RIGHT(DAY(C2514))*(MOD(DAY(C2514)-11,100)&gt;2)+1),2)&amp;","&amp;TEXT(C2514," yyyy"))</f>
        <v>July 30th,2025</v>
      </c>
      <c r="AB2514" s="15" t="str">
        <f aca="true">IF(S2514="","",DATEDIF(S2514,TODAY(),"Y")&amp;" Tahun, "&amp;DATEDIF(S2514,TODAY(),"YM")&amp;" Bulan, "&amp;DATEDIF(S2514,TODAY(),"MD")&amp;" Hari")</f>
        <v>26 Tahun, 2 Bulan, 20 Hari</v>
      </c>
      <c r="AC2514" s="18" t="n">
        <v>45868</v>
      </c>
      <c r="AD2514" s="18" t="n">
        <v>45959</v>
      </c>
      <c r="AE2514" s="18" t="s">
        <v>44</v>
      </c>
    </row>
    <row r="2515" customFormat="false" ht="15" hidden="false" customHeight="true" outlineLevel="0" collapsed="false">
      <c r="A2515" s="12" t="n">
        <v>20264</v>
      </c>
      <c r="B2515" s="13" t="s">
        <v>10790</v>
      </c>
      <c r="C2515" s="16" t="n">
        <v>45868</v>
      </c>
      <c r="D2515" s="13" t="s">
        <v>6638</v>
      </c>
      <c r="E2515" s="15" t="s">
        <v>102</v>
      </c>
      <c r="F2515" s="15" t="str">
        <f aca="false">IFERROR(__xludf.dummyfunction("XLOOKUP(AJ2515,IMPORTRANGE(""1XaInW9DU9nz21V0tYIfzFQ0He9kVQ_JF2mCXgZ3hqFA"",""REKAP ALL 2026 - Andika!G:G""),IMPORTRANGE(""1XaInW9DU9nz21V0tYIfzFQ0He9kVQ_JF2mCXgZ3hqFA"",""REKAP ALL 2026 - Andika!F:F""),"""",0)"),"25099756089")</f>
        <v>25099756089</v>
      </c>
      <c r="G2515" s="13" t="s">
        <v>10791</v>
      </c>
      <c r="H2515" s="13" t="s">
        <v>35</v>
      </c>
      <c r="I2515" s="13" t="str">
        <f aca="false">IF(C2515=J2515,"NEW KONTRAK","RE-KONTRAK")</f>
        <v>NEW KONTRAK</v>
      </c>
      <c r="J2515" s="16" t="n">
        <f aca="false" t="array" ref="J2515:J2515">IFERROR(INDEX(AC2515:AE2515,IF(COUNTA(AC2515:AE2515)=0,"",MAX((AC2515:AE2515&lt;&gt;"")*(COLUMN(AC2515:AE2515)-(COLUMN(AC2515)))))-1),"")</f>
        <v>45868</v>
      </c>
      <c r="K2515" s="16" t="n">
        <f aca="false" t="array" ref="K2515:K2515">IFERROR(INDEX(AC2515:AE2515,IF(COUNTA(AC2515:AE2515)=0,"",MAX((AC2515:AE2515&lt;&gt;"")*(COLUMN(AC2515:AE2515)-(COLUMN(AC2515)-1))))-1),"")</f>
        <v>45959</v>
      </c>
      <c r="L2515" s="17" t="str">
        <f aca="false" t="array" ref="L2515:L2515">IFERROR(INDEX(AC2515:AE2515,IF(COUNTA(AC2515:AE2515)=0,"",MAX((AC2515:AE2515&lt;&gt;"")*(COLUMN(AC2515:AE2515)-(COLUMN(AC2515)-2))))-1),"")</f>
        <v>ARCHIVED</v>
      </c>
      <c r="M2515" s="13" t="n">
        <f aca="true">K2515-TODAY()</f>
        <v>-365</v>
      </c>
      <c r="N2515" s="18" t="s">
        <v>4735</v>
      </c>
      <c r="O2515" s="13" t="s">
        <v>298</v>
      </c>
      <c r="P2515" s="19" t="n">
        <v>3033530</v>
      </c>
      <c r="Q2515" s="20" t="s">
        <v>10792</v>
      </c>
      <c r="R2515" s="13" t="s">
        <v>39</v>
      </c>
      <c r="S2515" s="16" t="n">
        <v>37762</v>
      </c>
      <c r="T2515" s="28" t="s">
        <v>40</v>
      </c>
      <c r="U2515" s="13" t="s">
        <v>10793</v>
      </c>
      <c r="V2515" s="13" t="s">
        <v>42</v>
      </c>
      <c r="W2515" s="13" t="s">
        <v>43</v>
      </c>
      <c r="X2515" s="21" t="n">
        <v>85859138009</v>
      </c>
      <c r="Y2515" s="22" t="str">
        <f aca="false">O2515</f>
        <v>Maintenance</v>
      </c>
      <c r="Z2515" s="13" t="str">
        <f aca="false">IFERROR(__xludf.dummyfunction("if(BJ2515="""","""",GOOGLETRANSLATE(BJ2515,""auto"",""en""))"),"Maintenance")</f>
        <v>Maintenance</v>
      </c>
      <c r="AA2515" s="23" t="str">
        <f aca="false">IF(C2515="","", CHOOSE(MONTH(C2515),"January","February","March","April","May","June","July","August","September","October","November","December")&amp;" "&amp;DAY(C2515)&amp;MID("thstndrdth",MIN(9,2*RIGHT(DAY(C2515))*(MOD(DAY(C2515)-11,100)&gt;2)+1),2)&amp;","&amp;TEXT(C2515," yyyy"))</f>
        <v>July 30th,2025</v>
      </c>
      <c r="AB2515" s="15" t="str">
        <f aca="true">IF(S2515="","",DATEDIF(S2515,TODAY(),"Y")&amp;" Tahun, "&amp;DATEDIF(S2515,TODAY(),"YM")&amp;" Bulan, "&amp;DATEDIF(S2515,TODAY(),"MD")&amp;" Hari")</f>
        <v>23 Tahun, 5 Bulan, 8 Hari</v>
      </c>
      <c r="AC2515" s="18" t="n">
        <v>45868</v>
      </c>
      <c r="AD2515" s="18" t="n">
        <v>45959</v>
      </c>
      <c r="AE2515" s="18" t="s">
        <v>44</v>
      </c>
    </row>
    <row r="2516" customFormat="false" ht="15" hidden="false" customHeight="true" outlineLevel="0" collapsed="false">
      <c r="A2516" s="12" t="n">
        <v>20276</v>
      </c>
      <c r="B2516" s="13" t="s">
        <v>10794</v>
      </c>
      <c r="C2516" s="16" t="n">
        <v>45873</v>
      </c>
      <c r="D2516" s="13" t="s">
        <v>144</v>
      </c>
      <c r="E2516" s="15" t="s">
        <v>47</v>
      </c>
      <c r="F2516" s="15" t="str">
        <f aca="false">IFERROR(__xludf.dummyfunction("XLOOKUP(AJ2516,IMPORTRANGE(""1XaInW9DU9nz21V0tYIfzFQ0He9kVQ_JF2mCXgZ3hqFA"",""REKAP ALL 2026 - Andika!G:G""),IMPORTRANGE(""1XaInW9DU9nz21V0tYIfzFQ0He9kVQ_JF2mCXgZ3hqFA"",""REKAP ALL 2026 - Andika!F:F""),"""",0)"),"25115952142")</f>
        <v>25115952142</v>
      </c>
      <c r="G2516" s="13" t="s">
        <v>10795</v>
      </c>
      <c r="H2516" s="13" t="s">
        <v>35</v>
      </c>
      <c r="I2516" s="13" t="str">
        <f aca="false">IF(C2516=J2516,"NEW KONTRAK","RE-KONTRAK")</f>
        <v>NEW KONTRAK</v>
      </c>
      <c r="J2516" s="16" t="n">
        <f aca="false" t="array" ref="J2516:J2516">IFERROR(INDEX(AC2516:AE2516,IF(COUNTA(AC2516:AE2516)=0,"",MAX((AC2516:AE2516&lt;&gt;"")*(COLUMN(AC2516:AE2516)-(COLUMN(AC2516)))))-1),"")</f>
        <v>45873</v>
      </c>
      <c r="K2516" s="16" t="n">
        <f aca="false" t="array" ref="K2516:K2516">IFERROR(INDEX(AC2516:AE2516,IF(COUNTA(AC2516:AE2516)=0,"",MAX((AC2516:AE2516&lt;&gt;"")*(COLUMN(AC2516:AE2516)-(COLUMN(AC2516)-1))))-1),"")</f>
        <v>46022</v>
      </c>
      <c r="L2516" s="17" t="str">
        <f aca="false" t="array" ref="L2516:L2516">IFERROR(INDEX(AC2516:AE2516,IF(COUNTA(AC2516:AE2516)=0,"",MAX((AC2516:AE2516&lt;&gt;"")*(COLUMN(AC2516:AE2516)-(COLUMN(AC2516)-2))))-1),"")</f>
        <v>ARCHIVED</v>
      </c>
      <c r="M2516" s="13" t="n">
        <f aca="true">K2516-TODAY()</f>
        <v>-302</v>
      </c>
      <c r="N2516" s="18" t="s">
        <v>36</v>
      </c>
      <c r="O2516" s="13" t="s">
        <v>76</v>
      </c>
      <c r="P2516" s="19" t="n">
        <v>5195401</v>
      </c>
      <c r="Q2516" s="20" t="s">
        <v>10796</v>
      </c>
      <c r="R2516" s="13" t="s">
        <v>826</v>
      </c>
      <c r="S2516" s="16" t="n">
        <v>34983</v>
      </c>
      <c r="T2516" s="13" t="s">
        <v>40</v>
      </c>
      <c r="U2516" s="13" t="s">
        <v>10797</v>
      </c>
      <c r="V2516" s="13" t="s">
        <v>42</v>
      </c>
      <c r="W2516" s="13" t="s">
        <v>54</v>
      </c>
      <c r="X2516" s="21" t="n">
        <v>882005381985</v>
      </c>
      <c r="Y2516" s="22" t="str">
        <f aca="false">O2516</f>
        <v>Operator Forklift</v>
      </c>
      <c r="Z2516" s="13" t="str">
        <f aca="false">IFERROR(__xludf.dummyfunction("if(BJ2516="""","""",GOOGLETRANSLATE(BJ2516,""auto"",""en""))"),"Operator Forklift")</f>
        <v>Operator Forklift</v>
      </c>
      <c r="AA2516" s="23" t="str">
        <f aca="false">IF(C2516="","", CHOOSE(MONTH(C2516),"January","February","March","April","May","June","July","August","September","October","November","December")&amp;" "&amp;DAY(C2516)&amp;MID("thstndrdth",MIN(9,2*RIGHT(DAY(C2516))*(MOD(DAY(C2516)-11,100)&gt;2)+1),2)&amp;","&amp;TEXT(C2516," yyyy"))</f>
        <v>August 4th,2025</v>
      </c>
      <c r="AB2516" s="15" t="str">
        <f aca="true">IF(S2516="","",DATEDIF(S2516,TODAY(),"Y")&amp;" Tahun, "&amp;DATEDIF(S2516,TODAY(),"YM")&amp;" Bulan, "&amp;DATEDIF(S2516,TODAY(),"MD")&amp;" Hari")</f>
        <v>31 Tahun, 0 Bulan, 18 Hari</v>
      </c>
      <c r="AC2516" s="18" t="n">
        <v>45873</v>
      </c>
      <c r="AD2516" s="18" t="n">
        <v>46022</v>
      </c>
      <c r="AE2516" s="18" t="s">
        <v>44</v>
      </c>
    </row>
    <row r="2517" customFormat="false" ht="15" hidden="false" customHeight="true" outlineLevel="0" collapsed="false">
      <c r="A2517" s="12" t="n">
        <v>20271</v>
      </c>
      <c r="B2517" s="13" t="s">
        <v>10798</v>
      </c>
      <c r="C2517" s="16" t="n">
        <v>45870</v>
      </c>
      <c r="D2517" s="13" t="s">
        <v>10155</v>
      </c>
      <c r="E2517" s="15" t="s">
        <v>33</v>
      </c>
      <c r="F2517" s="24" t="s">
        <v>10799</v>
      </c>
      <c r="G2517" s="13" t="s">
        <v>10800</v>
      </c>
      <c r="H2517" s="13" t="s">
        <v>35</v>
      </c>
      <c r="I2517" s="13" t="str">
        <f aca="false">IF(C2517=J2517,"NEW KONTRAK","RE-KONTRAK")</f>
        <v>NEW KONTRAK</v>
      </c>
      <c r="J2517" s="16" t="n">
        <f aca="false" t="array" ref="J2517:J2517">IFERROR(INDEX(AC2517:AE2517,IF(COUNTA(AC2517:AE2517)=0,"",MAX((AC2517:AE2517&lt;&gt;"")*(COLUMN(AC2517:AE2517)-(COLUMN(AC2517)))))-1),"")</f>
        <v>45870</v>
      </c>
      <c r="K2517" s="16" t="n">
        <f aca="false" t="array" ref="K2517:K2517">IFERROR(INDEX(AC2517:AE2517,IF(COUNTA(AC2517:AE2517)=0,"",MAX((AC2517:AE2517&lt;&gt;"")*(COLUMN(AC2517:AE2517)-(COLUMN(AC2517)-1))))-1),"")</f>
        <v>45961</v>
      </c>
      <c r="L2517" s="17" t="str">
        <f aca="false" t="array" ref="L2517:L2517">IFERROR(INDEX(AC2517:AE2517,IF(COUNTA(AC2517:AE2517)=0,"",MAX((AC2517:AE2517&lt;&gt;"")*(COLUMN(AC2517:AE2517)-(COLUMN(AC2517)-2))))-1),"")</f>
        <v>ARCHIVED</v>
      </c>
      <c r="M2517" s="13" t="n">
        <f aca="true">K2517-TODAY()</f>
        <v>-363</v>
      </c>
      <c r="N2517" s="18" t="s">
        <v>36</v>
      </c>
      <c r="O2517" s="13" t="s">
        <v>10801</v>
      </c>
      <c r="P2517" s="27" t="n">
        <v>5195401</v>
      </c>
      <c r="Q2517" s="20" t="s">
        <v>10802</v>
      </c>
      <c r="R2517" s="13" t="s">
        <v>52</v>
      </c>
      <c r="S2517" s="16" t="n">
        <v>36655</v>
      </c>
      <c r="T2517" s="13" t="s">
        <v>108</v>
      </c>
      <c r="U2517" s="13" t="s">
        <v>10803</v>
      </c>
      <c r="V2517" s="13" t="s">
        <v>42</v>
      </c>
      <c r="W2517" s="13" t="s">
        <v>54</v>
      </c>
      <c r="X2517" s="21" t="n">
        <v>85815926617</v>
      </c>
      <c r="Y2517" s="22" t="str">
        <f aca="false">O2517</f>
        <v>Admin Quality Control</v>
      </c>
      <c r="Z2517" s="13" t="str">
        <f aca="false">IFERROR(__xludf.dummyfunction("if(BJ2517="""","""",GOOGLETRANSLATE(BJ2517,""auto"",""en""))"),"Admin Quality Control")</f>
        <v>Admin Quality Control</v>
      </c>
      <c r="AA2517" s="23" t="str">
        <f aca="false">IF(C2517="","", CHOOSE(MONTH(C2517),"January","February","March","April","May","June","July","August","September","October","November","December")&amp;" "&amp;DAY(C2517)&amp;MID("thstndrdth",MIN(9,2*RIGHT(DAY(C2517))*(MOD(DAY(C2517)-11,100)&gt;2)+1),2)&amp;","&amp;TEXT(C2517," yyyy"))</f>
        <v>August 1st,2025</v>
      </c>
      <c r="AB2517" s="15" t="str">
        <f aca="true">IF(S2517="","",DATEDIF(S2517,TODAY(),"Y")&amp;" Tahun, "&amp;DATEDIF(S2517,TODAY(),"YM")&amp;" Bulan, "&amp;DATEDIF(S2517,TODAY(),"MD")&amp;" Hari")</f>
        <v>26 Tahun, 5 Bulan, 20 Hari</v>
      </c>
      <c r="AC2517" s="18" t="n">
        <v>45870</v>
      </c>
      <c r="AD2517" s="18" t="n">
        <v>45961</v>
      </c>
      <c r="AE2517" s="18" t="s">
        <v>44</v>
      </c>
    </row>
    <row r="2518" customFormat="false" ht="15" hidden="false" customHeight="true" outlineLevel="0" collapsed="false">
      <c r="A2518" s="12" t="n">
        <v>20275</v>
      </c>
      <c r="B2518" s="13" t="s">
        <v>10804</v>
      </c>
      <c r="C2518" s="16" t="n">
        <v>45874</v>
      </c>
      <c r="D2518" s="13" t="s">
        <v>404</v>
      </c>
      <c r="E2518" s="15" t="s">
        <v>33</v>
      </c>
      <c r="F2518" s="24" t="s">
        <v>10805</v>
      </c>
      <c r="G2518" s="13" t="s">
        <v>1127</v>
      </c>
      <c r="H2518" s="13" t="s">
        <v>35</v>
      </c>
      <c r="I2518" s="13" t="str">
        <f aca="false">IF(C2518=J2518,"NEW KONTRAK","RE-KONTRAK")</f>
        <v>NEW KONTRAK</v>
      </c>
      <c r="J2518" s="16" t="n">
        <f aca="false" t="array" ref="J2518:J2518">IFERROR(INDEX(AC2518:AE2518,IF(COUNTA(AC2518:AE2518)=0,"",MAX((AC2518:AE2518&lt;&gt;"")*(COLUMN(AC2518:AE2518)-(COLUMN(AC2518)))))-1),"")</f>
        <v>45874</v>
      </c>
      <c r="K2518" s="16" t="n">
        <f aca="false" t="array" ref="K2518:K2518">IFERROR(INDEX(AC2518:AE2518,IF(COUNTA(AC2518:AE2518)=0,"",MAX((AC2518:AE2518&lt;&gt;"")*(COLUMN(AC2518:AE2518)-(COLUMN(AC2518)-1))))-1),"")</f>
        <v>46022</v>
      </c>
      <c r="L2518" s="17" t="str">
        <f aca="false" t="array" ref="L2518:L2518">IFERROR(INDEX(AC2518:AE2518,IF(COUNTA(AC2518:AE2518)=0,"",MAX((AC2518:AE2518&lt;&gt;"")*(COLUMN(AC2518:AE2518)-(COLUMN(AC2518)-2))))-1),"")</f>
        <v>ARCHIVED</v>
      </c>
      <c r="M2518" s="13" t="n">
        <f aca="true">K2518-TODAY()</f>
        <v>-302</v>
      </c>
      <c r="N2518" s="18" t="s">
        <v>36</v>
      </c>
      <c r="O2518" s="13" t="s">
        <v>8136</v>
      </c>
      <c r="P2518" s="27" t="n">
        <v>5195401</v>
      </c>
      <c r="Q2518" s="20" t="s">
        <v>10806</v>
      </c>
      <c r="R2518" s="13" t="s">
        <v>324</v>
      </c>
      <c r="S2518" s="16" t="n">
        <v>37677</v>
      </c>
      <c r="T2518" s="13" t="s">
        <v>40</v>
      </c>
      <c r="U2518" s="13" t="s">
        <v>10807</v>
      </c>
      <c r="V2518" s="13" t="s">
        <v>42</v>
      </c>
      <c r="W2518" s="13" t="s">
        <v>43</v>
      </c>
      <c r="X2518" s="30" t="n">
        <v>81250455623</v>
      </c>
      <c r="Y2518" s="22" t="str">
        <f aca="false">O2518</f>
        <v>Analis Lab</v>
      </c>
      <c r="Z2518" s="13" t="str">
        <f aca="false">IFERROR(__xludf.dummyfunction("if(BJ2518="""","""",GOOGLETRANSLATE(BJ2518,""auto"",""en""))"),"Lab Analyst")</f>
        <v>Lab Analyst</v>
      </c>
      <c r="AA2518" s="23" t="str">
        <f aca="false">IF(C2518="","", CHOOSE(MONTH(C2518),"January","February","March","April","May","June","July","August","September","October","November","December")&amp;" "&amp;DAY(C2518)&amp;MID("thstndrdth",MIN(9,2*RIGHT(DAY(C2518))*(MOD(DAY(C2518)-11,100)&gt;2)+1),2)&amp;","&amp;TEXT(C2518," yyyy"))</f>
        <v>August 5th,2025</v>
      </c>
      <c r="AB2518" s="15" t="str">
        <f aca="true">IF(S2518="","",DATEDIF(S2518,TODAY(),"Y")&amp;" Tahun, "&amp;DATEDIF(S2518,TODAY(),"YM")&amp;" Bulan, "&amp;DATEDIF(S2518,TODAY(),"MD")&amp;" Hari")</f>
        <v>23 Tahun, 8 Bulan, 4 Hari</v>
      </c>
      <c r="AC2518" s="18" t="n">
        <v>45874</v>
      </c>
      <c r="AD2518" s="18" t="n">
        <v>46022</v>
      </c>
      <c r="AE2518" s="18" t="s">
        <v>44</v>
      </c>
    </row>
    <row r="2519" customFormat="false" ht="15" hidden="false" customHeight="true" outlineLevel="0" collapsed="false">
      <c r="A2519" s="12" t="n">
        <v>19719</v>
      </c>
      <c r="B2519" s="13" t="s">
        <v>10808</v>
      </c>
      <c r="C2519" s="16" t="n">
        <v>45791</v>
      </c>
      <c r="D2519" s="13" t="s">
        <v>2033</v>
      </c>
      <c r="E2519" s="15" t="s">
        <v>47</v>
      </c>
      <c r="F2519" s="15" t="str">
        <f aca="false">IFERROR(__xludf.dummyfunction("XLOOKUP(AJ2519,IMPORTRANGE(""1XaInW9DU9nz21V0tYIfzFQ0He9kVQ_JF2mCXgZ3hqFA"",""REKAP ALL 2026 - Andika!G:G""),IMPORTRANGE(""1XaInW9DU9nz21V0tYIfzFQ0He9kVQ_JF2mCXgZ3hqFA"",""REKAP ALL 2026 - Andika!F:F""),"""",0)"),"25062536070")</f>
        <v>25062536070</v>
      </c>
      <c r="G2519" s="13" t="s">
        <v>10809</v>
      </c>
      <c r="H2519" s="13" t="s">
        <v>2035</v>
      </c>
      <c r="I2519" s="13" t="str">
        <f aca="false">IF(C2519=J2519,"NEW KONTRAK","RE-KONTRAK")</f>
        <v>NEW KONTRAK</v>
      </c>
      <c r="J2519" s="16" t="n">
        <f aca="false" t="array" ref="J2519:J2519">IFERROR(INDEX(AC2519:AE2519,IF(COUNTA(AC2519:AE2519)=0,"",MAX((AC2519:AE2519&lt;&gt;"")*(COLUMN(AC2519:AE2519)-(COLUMN(AC2519)))))-1),"")</f>
        <v>45791</v>
      </c>
      <c r="K2519" s="16" t="n">
        <f aca="false" t="array" ref="K2519:K2519">IFERROR(INDEX(AC2519:AE2519,IF(COUNTA(AC2519:AE2519)=0,"",MAX((AC2519:AE2519&lt;&gt;"")*(COLUMN(AC2519:AE2519)-(COLUMN(AC2519)-1))))-1),"")</f>
        <v>45915</v>
      </c>
      <c r="L2519" s="17" t="str">
        <f aca="false" t="array" ref="L2519:L2519">IFERROR(INDEX(AC2519:AE2519,IF(COUNTA(AC2519:AE2519)=0,"",MAX((AC2519:AE2519&lt;&gt;"")*(COLUMN(AC2519:AE2519)-(COLUMN(AC2519)-2))))-1),"")</f>
        <v>ARCHIVED</v>
      </c>
      <c r="M2519" s="13" t="n">
        <f aca="true">K2519-TODAY()</f>
        <v>-409</v>
      </c>
      <c r="N2519" s="18" t="s">
        <v>3902</v>
      </c>
      <c r="O2519" s="13" t="s">
        <v>2037</v>
      </c>
      <c r="P2519" s="19" t="n">
        <v>3491889</v>
      </c>
      <c r="Q2519" s="20" t="s">
        <v>10810</v>
      </c>
      <c r="R2519" s="13" t="s">
        <v>39</v>
      </c>
      <c r="S2519" s="16" t="n">
        <v>38040</v>
      </c>
      <c r="T2519" s="13" t="s">
        <v>108</v>
      </c>
      <c r="U2519" s="13" t="s">
        <v>10811</v>
      </c>
      <c r="V2519" s="13" t="s">
        <v>42</v>
      </c>
      <c r="W2519" s="13" t="s">
        <v>43</v>
      </c>
      <c r="X2519" s="21" t="n">
        <v>88287320194</v>
      </c>
      <c r="Y2519" s="22" t="str">
        <f aca="false">O2519</f>
        <v>SPG/BA</v>
      </c>
      <c r="Z2519" s="13" t="str">
        <f aca="false">IFERROR(__xludf.dummyfunction("if(BJ2519="""","""",GOOGLETRANSLATE(BJ2519,""auto"",""en""))"),"SPG/BA")</f>
        <v>SPG/BA</v>
      </c>
      <c r="AA2519" s="23" t="str">
        <f aca="false">IF(C2519="","", CHOOSE(MONTH(C2519),"January","February","March","April","May","June","July","August","September","October","November","December")&amp;" "&amp;DAY(C2519)&amp;MID("thstndrdth",MIN(9,2*RIGHT(DAY(C2519))*(MOD(DAY(C2519)-11,100)&gt;2)+1),2)&amp;","&amp;TEXT(C2519," yyyy"))</f>
        <v>May 14th,2025</v>
      </c>
      <c r="AB2519" s="15" t="str">
        <f aca="true">IF(S2519="","",DATEDIF(S2519,TODAY(),"Y")&amp;" Tahun, "&amp;DATEDIF(S2519,TODAY(),"YM")&amp;" Bulan, "&amp;DATEDIF(S2519,TODAY(),"MD")&amp;" Hari")</f>
        <v>22 Tahun, 8 Bulan, 6 Hari</v>
      </c>
      <c r="AC2519" s="18" t="n">
        <v>45791</v>
      </c>
      <c r="AD2519" s="18" t="n">
        <v>45915</v>
      </c>
      <c r="AE2519" s="18" t="s">
        <v>44</v>
      </c>
    </row>
    <row r="2520" customFormat="false" ht="15" hidden="false" customHeight="true" outlineLevel="0" collapsed="false">
      <c r="A2520" s="12" t="n">
        <v>20277</v>
      </c>
      <c r="B2520" s="13" t="s">
        <v>10812</v>
      </c>
      <c r="C2520" s="16" t="n">
        <v>45873</v>
      </c>
      <c r="D2520" s="13" t="s">
        <v>144</v>
      </c>
      <c r="E2520" s="15" t="s">
        <v>33</v>
      </c>
      <c r="F2520" s="24" t="s">
        <v>10813</v>
      </c>
      <c r="G2520" s="13" t="s">
        <v>1127</v>
      </c>
      <c r="H2520" s="13" t="s">
        <v>35</v>
      </c>
      <c r="I2520" s="13" t="str">
        <f aca="false">IF(C2520=J2520,"NEW KONTRAK","RE-KONTRAK")</f>
        <v>NEW KONTRAK</v>
      </c>
      <c r="J2520" s="16" t="n">
        <f aca="false" t="array" ref="J2520:J2520">IFERROR(INDEX(AC2520:AE2520,IF(COUNTA(AC2520:AE2520)=0,"",MAX((AC2520:AE2520&lt;&gt;"")*(COLUMN(AC2520:AE2520)-(COLUMN(AC2520)))))-1),"")</f>
        <v>45873</v>
      </c>
      <c r="K2520" s="16" t="n">
        <f aca="false" t="array" ref="K2520:K2520">IFERROR(INDEX(AC2520:AE2520,IF(COUNTA(AC2520:AE2520)=0,"",MAX((AC2520:AE2520&lt;&gt;"")*(COLUMN(AC2520:AE2520)-(COLUMN(AC2520)-1))))-1),"")</f>
        <v>46022</v>
      </c>
      <c r="L2520" s="17" t="str">
        <f aca="false" t="array" ref="L2520:L2520">IFERROR(INDEX(AC2520:AE2520,IF(COUNTA(AC2520:AE2520)=0,"",MAX((AC2520:AE2520&lt;&gt;"")*(COLUMN(AC2520:AE2520)-(COLUMN(AC2520)-2))))-1),"")</f>
        <v>ARCHIVED</v>
      </c>
      <c r="M2520" s="13" t="n">
        <f aca="true">K2520-TODAY()</f>
        <v>-302</v>
      </c>
      <c r="N2520" s="18" t="s">
        <v>36</v>
      </c>
      <c r="O2520" s="13" t="s">
        <v>6606</v>
      </c>
      <c r="P2520" s="19" t="n">
        <v>5195401</v>
      </c>
      <c r="Q2520" s="20" t="s">
        <v>10814</v>
      </c>
      <c r="R2520" s="13" t="s">
        <v>52</v>
      </c>
      <c r="S2520" s="16" t="n">
        <v>35006</v>
      </c>
      <c r="T2520" s="13" t="s">
        <v>40</v>
      </c>
      <c r="U2520" s="13" t="s">
        <v>10815</v>
      </c>
      <c r="V2520" s="13" t="s">
        <v>42</v>
      </c>
      <c r="W2520" s="13" t="s">
        <v>43</v>
      </c>
      <c r="X2520" s="30" t="n">
        <v>87769222196</v>
      </c>
      <c r="Y2520" s="22" t="str">
        <f aca="false">O2520</f>
        <v>Picker</v>
      </c>
      <c r="Z2520" s="13" t="str">
        <f aca="false">IFERROR(__xludf.dummyfunction("if(BJ2520="""","""",GOOGLETRANSLATE(BJ2520,""auto"",""en""))"),"Picker")</f>
        <v>Picker</v>
      </c>
      <c r="AA2520" s="23" t="str">
        <f aca="false">IF(C2520="","", CHOOSE(MONTH(C2520),"January","February","March","April","May","June","July","August","September","October","November","December")&amp;" "&amp;DAY(C2520)&amp;MID("thstndrdth",MIN(9,2*RIGHT(DAY(C2520))*(MOD(DAY(C2520)-11,100)&gt;2)+1),2)&amp;","&amp;TEXT(C2520," yyyy"))</f>
        <v>August 4th,2025</v>
      </c>
      <c r="AB2520" s="15" t="str">
        <f aca="true">IF(S2520="","",DATEDIF(S2520,TODAY(),"Y")&amp;" Tahun, "&amp;DATEDIF(S2520,TODAY(),"YM")&amp;" Bulan, "&amp;DATEDIF(S2520,TODAY(),"MD")&amp;" Hari")</f>
        <v>30 Tahun, 11 Bulan, 26 Hari</v>
      </c>
      <c r="AC2520" s="18" t="n">
        <v>45873</v>
      </c>
      <c r="AD2520" s="18" t="n">
        <v>46022</v>
      </c>
      <c r="AE2520" s="18" t="s">
        <v>44</v>
      </c>
    </row>
    <row r="2521" customFormat="false" ht="15" hidden="false" customHeight="true" outlineLevel="0" collapsed="false">
      <c r="A2521" s="12" t="n">
        <v>20278</v>
      </c>
      <c r="B2521" s="13" t="s">
        <v>10816</v>
      </c>
      <c r="C2521" s="16" t="n">
        <v>45873</v>
      </c>
      <c r="D2521" s="13" t="s">
        <v>144</v>
      </c>
      <c r="E2521" s="15" t="s">
        <v>33</v>
      </c>
      <c r="F2521" s="24" t="s">
        <v>10817</v>
      </c>
      <c r="G2521" s="13" t="s">
        <v>1127</v>
      </c>
      <c r="H2521" s="13" t="s">
        <v>35</v>
      </c>
      <c r="I2521" s="13" t="str">
        <f aca="false">IF(C2521=J2521,"NEW KONTRAK","RE-KONTRAK")</f>
        <v>NEW KONTRAK</v>
      </c>
      <c r="J2521" s="16" t="n">
        <f aca="false" t="array" ref="J2521:J2521">IFERROR(INDEX(AC2521:AE2521,IF(COUNTA(AC2521:AE2521)=0,"",MAX((AC2521:AE2521&lt;&gt;"")*(COLUMN(AC2521:AE2521)-(COLUMN(AC2521)))))-1),"")</f>
        <v>45873</v>
      </c>
      <c r="K2521" s="16" t="n">
        <f aca="false" t="array" ref="K2521:K2521">IFERROR(INDEX(AC2521:AE2521,IF(COUNTA(AC2521:AE2521)=0,"",MAX((AC2521:AE2521&lt;&gt;"")*(COLUMN(AC2521:AE2521)-(COLUMN(AC2521)-1))))-1),"")</f>
        <v>46022</v>
      </c>
      <c r="L2521" s="17" t="str">
        <f aca="false" t="array" ref="L2521:L2521">IFERROR(INDEX(AC2521:AE2521,IF(COUNTA(AC2521:AE2521)=0,"",MAX((AC2521:AE2521&lt;&gt;"")*(COLUMN(AC2521:AE2521)-(COLUMN(AC2521)-2))))-1),"")</f>
        <v>ARCHIVED</v>
      </c>
      <c r="M2521" s="13" t="n">
        <f aca="true">K2521-TODAY()</f>
        <v>-302</v>
      </c>
      <c r="N2521" s="18" t="s">
        <v>36</v>
      </c>
      <c r="O2521" s="13" t="s">
        <v>6285</v>
      </c>
      <c r="P2521" s="19" t="n">
        <v>5195401</v>
      </c>
      <c r="Q2521" s="20" t="s">
        <v>10818</v>
      </c>
      <c r="R2521" s="13" t="s">
        <v>83</v>
      </c>
      <c r="S2521" s="16" t="n">
        <v>31377</v>
      </c>
      <c r="T2521" s="13" t="s">
        <v>40</v>
      </c>
      <c r="U2521" s="13" t="s">
        <v>10819</v>
      </c>
      <c r="V2521" s="13" t="s">
        <v>42</v>
      </c>
      <c r="W2521" s="13" t="s">
        <v>54</v>
      </c>
      <c r="X2521" s="30" t="n">
        <v>85279237474</v>
      </c>
      <c r="Y2521" s="22" t="str">
        <f aca="false">O2521</f>
        <v>Operator Reach Truck</v>
      </c>
      <c r="Z2521" s="13" t="str">
        <f aca="false">IFERROR(__xludf.dummyfunction("if(BJ2521="""","""",GOOGLETRANSLATE(BJ2521,""auto"",""en""))"),"Operator Reach Truck")</f>
        <v>Operator Reach Truck</v>
      </c>
      <c r="AA2521" s="23" t="str">
        <f aca="false">IF(C2521="","", CHOOSE(MONTH(C2521),"January","February","March","April","May","June","July","August","September","October","November","December")&amp;" "&amp;DAY(C2521)&amp;MID("thstndrdth",MIN(9,2*RIGHT(DAY(C2521))*(MOD(DAY(C2521)-11,100)&gt;2)+1),2)&amp;","&amp;TEXT(C2521," yyyy"))</f>
        <v>August 4th,2025</v>
      </c>
      <c r="AB2521" s="15" t="str">
        <f aca="true">IF(S2521="","",DATEDIF(S2521,TODAY(),"Y")&amp;" Tahun, "&amp;DATEDIF(S2521,TODAY(),"YM")&amp;" Bulan, "&amp;DATEDIF(S2521,TODAY(),"MD")&amp;" Hari")</f>
        <v>40 Tahun, 11 Bulan, 3 Hari</v>
      </c>
      <c r="AC2521" s="18" t="n">
        <v>45873</v>
      </c>
      <c r="AD2521" s="18" t="n">
        <v>46022</v>
      </c>
      <c r="AE2521" s="18" t="s">
        <v>44</v>
      </c>
    </row>
    <row r="2522" customFormat="false" ht="15" hidden="false" customHeight="true" outlineLevel="0" collapsed="false">
      <c r="A2522" s="12" t="n">
        <v>20279</v>
      </c>
      <c r="B2522" s="13" t="s">
        <v>10820</v>
      </c>
      <c r="C2522" s="16" t="n">
        <v>45873</v>
      </c>
      <c r="D2522" s="13" t="s">
        <v>144</v>
      </c>
      <c r="E2522" s="15" t="s">
        <v>33</v>
      </c>
      <c r="F2522" s="24" t="s">
        <v>10821</v>
      </c>
      <c r="G2522" s="13" t="s">
        <v>1127</v>
      </c>
      <c r="H2522" s="13" t="s">
        <v>35</v>
      </c>
      <c r="I2522" s="13" t="str">
        <f aca="false">IF(C2522=J2522,"NEW KONTRAK","RE-KONTRAK")</f>
        <v>NEW KONTRAK</v>
      </c>
      <c r="J2522" s="16" t="n">
        <f aca="false" t="array" ref="J2522:J2522">IFERROR(INDEX(AC2522:AE2522,IF(COUNTA(AC2522:AE2522)=0,"",MAX((AC2522:AE2522&lt;&gt;"")*(COLUMN(AC2522:AE2522)-(COLUMN(AC2522)))))-1),"")</f>
        <v>45873</v>
      </c>
      <c r="K2522" s="16" t="n">
        <f aca="false" t="array" ref="K2522:K2522">IFERROR(INDEX(AC2522:AE2522,IF(COUNTA(AC2522:AE2522)=0,"",MAX((AC2522:AE2522&lt;&gt;"")*(COLUMN(AC2522:AE2522)-(COLUMN(AC2522)-1))))-1),"")</f>
        <v>46022</v>
      </c>
      <c r="L2522" s="17" t="str">
        <f aca="false" t="array" ref="L2522:L2522">IFERROR(INDEX(AC2522:AE2522,IF(COUNTA(AC2522:AE2522)=0,"",MAX((AC2522:AE2522&lt;&gt;"")*(COLUMN(AC2522:AE2522)-(COLUMN(AC2522)-2))))-1),"")</f>
        <v>ARCHIVED</v>
      </c>
      <c r="M2522" s="13" t="n">
        <f aca="true">K2522-TODAY()</f>
        <v>-302</v>
      </c>
      <c r="N2522" s="18" t="s">
        <v>36</v>
      </c>
      <c r="O2522" s="13" t="s">
        <v>6606</v>
      </c>
      <c r="P2522" s="19" t="n">
        <v>5195401</v>
      </c>
      <c r="Q2522" s="20" t="s">
        <v>10822</v>
      </c>
      <c r="R2522" s="13" t="s">
        <v>52</v>
      </c>
      <c r="S2522" s="16" t="n">
        <v>35981</v>
      </c>
      <c r="T2522" s="13" t="s">
        <v>40</v>
      </c>
      <c r="U2522" s="13" t="s">
        <v>4437</v>
      </c>
      <c r="V2522" s="13" t="s">
        <v>42</v>
      </c>
      <c r="W2522" s="13" t="s">
        <v>43</v>
      </c>
      <c r="X2522" s="30" t="n">
        <v>81174821759</v>
      </c>
      <c r="Y2522" s="22" t="str">
        <f aca="false">O2522</f>
        <v>Picker</v>
      </c>
      <c r="Z2522" s="13" t="str">
        <f aca="false">IFERROR(__xludf.dummyfunction("if(BJ2522="""","""",GOOGLETRANSLATE(BJ2522,""auto"",""en""))"),"Picker")</f>
        <v>Picker</v>
      </c>
      <c r="AA2522" s="23" t="str">
        <f aca="false">IF(C2522="","", CHOOSE(MONTH(C2522),"January","February","March","April","May","June","July","August","September","October","November","December")&amp;" "&amp;DAY(C2522)&amp;MID("thstndrdth",MIN(9,2*RIGHT(DAY(C2522))*(MOD(DAY(C2522)-11,100)&gt;2)+1),2)&amp;","&amp;TEXT(C2522," yyyy"))</f>
        <v>August 4th,2025</v>
      </c>
      <c r="AB2522" s="15" t="str">
        <f aca="true">IF(S2522="","",DATEDIF(S2522,TODAY(),"Y")&amp;" Tahun, "&amp;DATEDIF(S2522,TODAY(),"YM")&amp;" Bulan, "&amp;DATEDIF(S2522,TODAY(),"MD")&amp;" Hari")</f>
        <v>28 Tahun, 3 Bulan, 24 Hari</v>
      </c>
      <c r="AC2522" s="18" t="n">
        <v>45873</v>
      </c>
      <c r="AD2522" s="18" t="n">
        <v>46022</v>
      </c>
      <c r="AE2522" s="18" t="s">
        <v>44</v>
      </c>
    </row>
    <row r="2523" customFormat="false" ht="15" hidden="false" customHeight="true" outlineLevel="0" collapsed="false">
      <c r="A2523" s="12" t="n">
        <v>20796</v>
      </c>
      <c r="B2523" s="13" t="s">
        <v>10823</v>
      </c>
      <c r="C2523" s="16" t="n">
        <v>45905</v>
      </c>
      <c r="D2523" s="13" t="s">
        <v>2033</v>
      </c>
      <c r="E2523" s="15" t="s">
        <v>47</v>
      </c>
      <c r="F2523" s="15" t="str">
        <f aca="false">IFERROR(__xludf.dummyfunction("XLOOKUP(AJ2523,IMPORTRANGE(""1XaInW9DU9nz21V0tYIfzFQ0He9kVQ_JF2mCXgZ3hqFA"",""REKAP ALL 2026 - Andika!G:G""),IMPORTRANGE(""1XaInW9DU9nz21V0tYIfzFQ0He9kVQ_JF2mCXgZ3hqFA"",""REKAP ALL 2026 - Andika!F:F""),"""",0)"),"25133235132")</f>
        <v>25133235132</v>
      </c>
      <c r="G2523" s="13" t="s">
        <v>1127</v>
      </c>
      <c r="H2523" s="13" t="s">
        <v>2035</v>
      </c>
      <c r="I2523" s="13" t="str">
        <f aca="false">IF(C2523=J2523,"NEW KONTRAK","RE-KONTRAK")</f>
        <v>NEW KONTRAK</v>
      </c>
      <c r="J2523" s="16" t="n">
        <f aca="false" t="array" ref="J2523:J2523">IFERROR(INDEX(AC2523:AE2523,IF(COUNTA(AC2523:AE2523)=0,"",MAX((AC2523:AE2523&lt;&gt;"")*(COLUMN(AC2523:AE2523)-(COLUMN(AC2523)))))-1),"")</f>
        <v>45905</v>
      </c>
      <c r="K2523" s="16" t="n">
        <f aca="false" t="array" ref="K2523:K2523">IFERROR(INDEX(AC2523:AE2523,IF(COUNTA(AC2523:AE2523)=0,"",MAX((AC2523:AE2523&lt;&gt;"")*(COLUMN(AC2523:AE2523)-(COLUMN(AC2523)-1))))-1),"")</f>
        <v>45915</v>
      </c>
      <c r="L2523" s="17" t="str">
        <f aca="false" t="array" ref="L2523:L2523">IFERROR(INDEX(AC2523:AE2523,IF(COUNTA(AC2523:AE2523)=0,"",MAX((AC2523:AE2523&lt;&gt;"")*(COLUMN(AC2523:AE2523)-(COLUMN(AC2523)-2))))-1),"")</f>
        <v>ARCHIVED</v>
      </c>
      <c r="M2523" s="13" t="n">
        <f aca="true">K2523-TODAY()</f>
        <v>-409</v>
      </c>
      <c r="N2523" s="18" t="s">
        <v>2356</v>
      </c>
      <c r="O2523" s="13" t="s">
        <v>2037</v>
      </c>
      <c r="P2523" s="19" t="n">
        <v>4148179</v>
      </c>
      <c r="Q2523" s="47" t="s">
        <v>10824</v>
      </c>
      <c r="R2523" s="13" t="s">
        <v>10825</v>
      </c>
      <c r="S2523" s="16" t="n">
        <v>37174</v>
      </c>
      <c r="T2523" s="13" t="s">
        <v>108</v>
      </c>
      <c r="U2523" s="13" t="s">
        <v>10826</v>
      </c>
      <c r="V2523" s="13" t="s">
        <v>42</v>
      </c>
      <c r="W2523" s="13" t="s">
        <v>43</v>
      </c>
      <c r="X2523" s="21" t="n">
        <v>85210153604</v>
      </c>
      <c r="Y2523" s="22" t="str">
        <f aca="false">O2523</f>
        <v>SPG/BA</v>
      </c>
      <c r="Z2523" s="13" t="str">
        <f aca="false">IFERROR(__xludf.dummyfunction("if(BJ2523="""","""",GOOGLETRANSLATE(BJ2523,""auto"",""en""))"),"SPG/BA")</f>
        <v>SPG/BA</v>
      </c>
      <c r="AA2523" s="23" t="str">
        <f aca="false">IF(C2523="","", CHOOSE(MONTH(C2523),"January","February","March","April","May","June","July","August","September","October","November","December")&amp;" "&amp;DAY(C2523)&amp;MID("thstndrdth",MIN(9,2*RIGHT(DAY(C2523))*(MOD(DAY(C2523)-11,100)&gt;2)+1),2)&amp;","&amp;TEXT(C2523," yyyy"))</f>
        <v>September 5th,2025</v>
      </c>
      <c r="AB2523" s="15" t="str">
        <f aca="true">IF(S2523="","",DATEDIF(S2523,TODAY(),"Y")&amp;" Tahun, "&amp;DATEDIF(S2523,TODAY(),"YM")&amp;" Bulan, "&amp;DATEDIF(S2523,TODAY(),"MD")&amp;" Hari")</f>
        <v>25 Tahun, 0 Bulan, 19 Hari</v>
      </c>
      <c r="AC2523" s="18" t="n">
        <v>45905</v>
      </c>
      <c r="AD2523" s="18" t="n">
        <v>45915</v>
      </c>
      <c r="AE2523" s="18" t="s">
        <v>44</v>
      </c>
    </row>
    <row r="2524" customFormat="false" ht="15" hidden="false" customHeight="true" outlineLevel="0" collapsed="false">
      <c r="A2524" s="12" t="n">
        <v>20281</v>
      </c>
      <c r="B2524" s="13" t="s">
        <v>10827</v>
      </c>
      <c r="C2524" s="16" t="n">
        <v>45845</v>
      </c>
      <c r="D2524" s="13" t="s">
        <v>2033</v>
      </c>
      <c r="E2524" s="15" t="s">
        <v>33</v>
      </c>
      <c r="F2524" s="24" t="s">
        <v>10828</v>
      </c>
      <c r="G2524" s="13" t="s">
        <v>10829</v>
      </c>
      <c r="H2524" s="13" t="s">
        <v>2035</v>
      </c>
      <c r="I2524" s="13" t="str">
        <f aca="false">IF(C2524=J2524,"NEW KONTRAK","RE-KONTRAK")</f>
        <v>NEW KONTRAK</v>
      </c>
      <c r="J2524" s="16" t="n">
        <f aca="false" t="array" ref="J2524:J2524">IFERROR(INDEX(AC2524:AE2524,IF(COUNTA(AC2524:AE2524)=0,"",MAX((AC2524:AE2524&lt;&gt;"")*(COLUMN(AC2524:AE2524)-(COLUMN(AC2524)))))-1),"")</f>
        <v>45845</v>
      </c>
      <c r="K2524" s="16" t="n">
        <f aca="false" t="array" ref="K2524:K2524">IFERROR(INDEX(AC2524:AE2524,IF(COUNTA(AC2524:AE2524)=0,"",MAX((AC2524:AE2524&lt;&gt;"")*(COLUMN(AC2524:AE2524)-(COLUMN(AC2524)-1))))-1),"")</f>
        <v>45914</v>
      </c>
      <c r="L2524" s="17" t="str">
        <f aca="false" t="array" ref="L2524:L2524">IFERROR(INDEX(AC2524:AE2524,IF(COUNTA(AC2524:AE2524)=0,"",MAX((AC2524:AE2524&lt;&gt;"")*(COLUMN(AC2524:AE2524)-(COLUMN(AC2524)-2))))-1),"")</f>
        <v>ARCHIVED</v>
      </c>
      <c r="M2524" s="13" t="n">
        <f aca="true">K2524-TODAY()</f>
        <v>-410</v>
      </c>
      <c r="N2524" s="68" t="s">
        <v>2369</v>
      </c>
      <c r="O2524" s="13" t="s">
        <v>2037</v>
      </c>
      <c r="P2524" s="19" t="n">
        <v>132575.56</v>
      </c>
      <c r="Q2524" s="20" t="s">
        <v>10830</v>
      </c>
      <c r="R2524" s="13" t="s">
        <v>10831</v>
      </c>
      <c r="S2524" s="16" t="n">
        <v>34170</v>
      </c>
      <c r="T2524" s="13" t="s">
        <v>108</v>
      </c>
      <c r="U2524" s="13" t="s">
        <v>10832</v>
      </c>
      <c r="V2524" s="13" t="s">
        <v>42</v>
      </c>
      <c r="W2524" s="13" t="s">
        <v>897</v>
      </c>
      <c r="X2524" s="21" t="n">
        <v>82393813037</v>
      </c>
      <c r="Y2524" s="22" t="str">
        <f aca="false">O2524</f>
        <v>SPG/BA</v>
      </c>
      <c r="Z2524" s="13" t="str">
        <f aca="false">IFERROR(__xludf.dummyfunction("if(BJ2524="""","""",GOOGLETRANSLATE(BJ2524,""auto"",""en""))"),"SPG/BA")</f>
        <v>SPG/BA</v>
      </c>
      <c r="AA2524" s="23" t="str">
        <f aca="false">IF(C2524="","", CHOOSE(MONTH(C2524),"January","February","March","April","May","June","July","August","September","October","November","December")&amp;" "&amp;DAY(C2524)&amp;MID("thstndrdth",MIN(9,2*RIGHT(DAY(C2524))*(MOD(DAY(C2524)-11,100)&gt;2)+1),2)&amp;","&amp;TEXT(C2524," yyyy"))</f>
        <v>July 7th,2025</v>
      </c>
      <c r="AB2524" s="15" t="str">
        <f aca="true">IF(S2524="","",DATEDIF(S2524,TODAY(),"Y")&amp;" Tahun, "&amp;DATEDIF(S2524,TODAY(),"YM")&amp;" Bulan, "&amp;DATEDIF(S2524,TODAY(),"MD")&amp;" Hari")</f>
        <v>33 Tahun, 3 Bulan, 9 Hari</v>
      </c>
      <c r="AC2524" s="18" t="n">
        <v>45845</v>
      </c>
      <c r="AD2524" s="18" t="n">
        <v>45914</v>
      </c>
      <c r="AE2524" s="18" t="s">
        <v>44</v>
      </c>
    </row>
    <row r="2525" customFormat="false" ht="15" hidden="false" customHeight="true" outlineLevel="0" collapsed="false">
      <c r="A2525" s="12" t="n">
        <v>20282</v>
      </c>
      <c r="B2525" s="13" t="s">
        <v>10833</v>
      </c>
      <c r="C2525" s="16" t="n">
        <v>45845</v>
      </c>
      <c r="D2525" s="13" t="s">
        <v>2033</v>
      </c>
      <c r="E2525" s="15" t="s">
        <v>33</v>
      </c>
      <c r="F2525" s="24" t="s">
        <v>10834</v>
      </c>
      <c r="G2525" s="13" t="s">
        <v>10835</v>
      </c>
      <c r="H2525" s="13" t="s">
        <v>2035</v>
      </c>
      <c r="I2525" s="13" t="str">
        <f aca="false">IF(C2525=J2525,"NEW KONTRAK","RE-KONTRAK")</f>
        <v>NEW KONTRAK</v>
      </c>
      <c r="J2525" s="16" t="n">
        <f aca="false" t="array" ref="J2525:J2525">IFERROR(INDEX(AC2525:AE2525,IF(COUNTA(AC2525:AE2525)=0,"",MAX((AC2525:AE2525&lt;&gt;"")*(COLUMN(AC2525:AE2525)-(COLUMN(AC2525)))))-1),"")</f>
        <v>45845</v>
      </c>
      <c r="K2525" s="16" t="n">
        <f aca="false" t="array" ref="K2525:K2525">IFERROR(INDEX(AC2525:AE2525,IF(COUNTA(AC2525:AE2525)=0,"",MAX((AC2525:AE2525&lt;&gt;"")*(COLUMN(AC2525:AE2525)-(COLUMN(AC2525)-1))))-1),"")</f>
        <v>45914</v>
      </c>
      <c r="L2525" s="17" t="str">
        <f aca="false" t="array" ref="L2525:L2525">IFERROR(INDEX(AC2525:AE2525,IF(COUNTA(AC2525:AE2525)=0,"",MAX((AC2525:AE2525&lt;&gt;"")*(COLUMN(AC2525:AE2525)-(COLUMN(AC2525)-2))))-1),"")</f>
        <v>ARCHIVED</v>
      </c>
      <c r="M2525" s="13" t="n">
        <f aca="true">K2525-TODAY()</f>
        <v>-410</v>
      </c>
      <c r="N2525" s="68" t="s">
        <v>6678</v>
      </c>
      <c r="O2525" s="13" t="s">
        <v>2037</v>
      </c>
      <c r="P2525" s="19" t="n">
        <v>128869.24</v>
      </c>
      <c r="Q2525" s="20" t="s">
        <v>10836</v>
      </c>
      <c r="R2525" s="13" t="s">
        <v>10837</v>
      </c>
      <c r="S2525" s="16" t="n">
        <v>35448</v>
      </c>
      <c r="T2525" s="13" t="s">
        <v>108</v>
      </c>
      <c r="U2525" s="13" t="s">
        <v>10838</v>
      </c>
      <c r="V2525" s="13" t="s">
        <v>42</v>
      </c>
      <c r="W2525" s="13" t="s">
        <v>54</v>
      </c>
      <c r="X2525" s="21" t="n">
        <v>81244134549</v>
      </c>
      <c r="Y2525" s="22" t="str">
        <f aca="false">O2525</f>
        <v>SPG/BA</v>
      </c>
      <c r="Z2525" s="13" t="str">
        <f aca="false">IFERROR(__xludf.dummyfunction("if(BJ2525="""","""",GOOGLETRANSLATE(BJ2525,""auto"",""en""))"),"SPG/BA")</f>
        <v>SPG/BA</v>
      </c>
      <c r="AA2525" s="23" t="str">
        <f aca="false">IF(C2525="","", CHOOSE(MONTH(C2525),"January","February","March","April","May","June","July","August","September","October","November","December")&amp;" "&amp;DAY(C2525)&amp;MID("thstndrdth",MIN(9,2*RIGHT(DAY(C2525))*(MOD(DAY(C2525)-11,100)&gt;2)+1),2)&amp;","&amp;TEXT(C2525," yyyy"))</f>
        <v>July 7th,2025</v>
      </c>
      <c r="AB2525" s="15" t="str">
        <f aca="true">IF(S2525="","",DATEDIF(S2525,TODAY(),"Y")&amp;" Tahun, "&amp;DATEDIF(S2525,TODAY(),"YM")&amp;" Bulan, "&amp;DATEDIF(S2525,TODAY(),"MD")&amp;" Hari")</f>
        <v>29 Tahun, 9 Bulan, 11 Hari</v>
      </c>
      <c r="AC2525" s="18" t="n">
        <v>45845</v>
      </c>
      <c r="AD2525" s="18" t="n">
        <v>45914</v>
      </c>
      <c r="AE2525" s="18" t="s">
        <v>44</v>
      </c>
    </row>
    <row r="2526" customFormat="false" ht="15" hidden="false" customHeight="true" outlineLevel="0" collapsed="false">
      <c r="A2526" s="12" t="n">
        <v>20283</v>
      </c>
      <c r="B2526" s="13" t="s">
        <v>10839</v>
      </c>
      <c r="C2526" s="16" t="n">
        <v>45841</v>
      </c>
      <c r="D2526" s="13" t="s">
        <v>2033</v>
      </c>
      <c r="E2526" s="15" t="s">
        <v>33</v>
      </c>
      <c r="F2526" s="24" t="s">
        <v>10840</v>
      </c>
      <c r="G2526" s="13" t="s">
        <v>10841</v>
      </c>
      <c r="H2526" s="13" t="s">
        <v>2035</v>
      </c>
      <c r="I2526" s="13" t="str">
        <f aca="false">IF(C2526=J2526,"NEW KONTRAK","RE-KONTRAK")</f>
        <v>NEW KONTRAK</v>
      </c>
      <c r="J2526" s="16" t="n">
        <f aca="false" t="array" ref="J2526:J2526">IFERROR(INDEX(AC2526:AE2526,IF(COUNTA(AC2526:AE2526)=0,"",MAX((AC2526:AE2526&lt;&gt;"")*(COLUMN(AC2526:AE2526)-(COLUMN(AC2526)))))-1),"")</f>
        <v>45841</v>
      </c>
      <c r="K2526" s="16" t="n">
        <f aca="false" t="array" ref="K2526:K2526">IFERROR(INDEX(AC2526:AE2526,IF(COUNTA(AC2526:AE2526)=0,"",MAX((AC2526:AE2526&lt;&gt;"")*(COLUMN(AC2526:AE2526)-(COLUMN(AC2526)-1))))-1),"")</f>
        <v>45914</v>
      </c>
      <c r="L2526" s="17" t="str">
        <f aca="false" t="array" ref="L2526:L2526">IFERROR(INDEX(AC2526:AE2526,IF(COUNTA(AC2526:AE2526)=0,"",MAX((AC2526:AE2526&lt;&gt;"")*(COLUMN(AC2526:AE2526)-(COLUMN(AC2526)-2))))-1),"")</f>
        <v>ARCHIVED</v>
      </c>
      <c r="M2526" s="13" t="n">
        <f aca="true">K2526-TODAY()</f>
        <v>-410</v>
      </c>
      <c r="N2526" s="68" t="s">
        <v>10842</v>
      </c>
      <c r="O2526" s="13" t="s">
        <v>2037</v>
      </c>
      <c r="P2526" s="19" t="n">
        <v>3685616</v>
      </c>
      <c r="Q2526" s="20" t="s">
        <v>10843</v>
      </c>
      <c r="R2526" s="13" t="s">
        <v>10842</v>
      </c>
      <c r="S2526" s="16" t="n">
        <v>35781</v>
      </c>
      <c r="T2526" s="13" t="s">
        <v>108</v>
      </c>
      <c r="U2526" s="13" t="s">
        <v>10844</v>
      </c>
      <c r="V2526" s="13" t="s">
        <v>42</v>
      </c>
      <c r="W2526" s="13" t="s">
        <v>43</v>
      </c>
      <c r="X2526" s="21" t="n">
        <v>85262697963</v>
      </c>
      <c r="Y2526" s="22" t="str">
        <f aca="false">O2526</f>
        <v>SPG/BA</v>
      </c>
      <c r="Z2526" s="13" t="str">
        <f aca="false">IFERROR(__xludf.dummyfunction("if(BJ2526="""","""",GOOGLETRANSLATE(BJ2526,""auto"",""en""))"),"SPG/BA")</f>
        <v>SPG/BA</v>
      </c>
      <c r="AA2526" s="23" t="str">
        <f aca="false">IF(C2526="","", CHOOSE(MONTH(C2526),"January","February","March","April","May","June","July","August","September","October","November","December")&amp;" "&amp;DAY(C2526)&amp;MID("thstndrdth",MIN(9,2*RIGHT(DAY(C2526))*(MOD(DAY(C2526)-11,100)&gt;2)+1),2)&amp;","&amp;TEXT(C2526," yyyy"))</f>
        <v>July 3rd,2025</v>
      </c>
      <c r="AB2526" s="15" t="str">
        <f aca="true">IF(S2526="","",DATEDIF(S2526,TODAY(),"Y")&amp;" Tahun, "&amp;DATEDIF(S2526,TODAY(),"YM")&amp;" Bulan, "&amp;DATEDIF(S2526,TODAY(),"MD")&amp;" Hari")</f>
        <v>28 Tahun, 10 Bulan, 12 Hari</v>
      </c>
      <c r="AC2526" s="18" t="n">
        <v>45841</v>
      </c>
      <c r="AD2526" s="18" t="n">
        <v>45914</v>
      </c>
      <c r="AE2526" s="18" t="s">
        <v>44</v>
      </c>
    </row>
    <row r="2527" customFormat="false" ht="15" hidden="false" customHeight="true" outlineLevel="0" collapsed="false">
      <c r="A2527" s="12" t="n">
        <v>20284</v>
      </c>
      <c r="B2527" s="13" t="s">
        <v>10845</v>
      </c>
      <c r="C2527" s="16" t="n">
        <v>45842</v>
      </c>
      <c r="D2527" s="13" t="s">
        <v>2033</v>
      </c>
      <c r="E2527" s="15" t="s">
        <v>33</v>
      </c>
      <c r="F2527" s="24" t="s">
        <v>10846</v>
      </c>
      <c r="G2527" s="13" t="s">
        <v>1127</v>
      </c>
      <c r="H2527" s="13" t="s">
        <v>2035</v>
      </c>
      <c r="I2527" s="13" t="str">
        <f aca="false">IF(C2527=J2527,"NEW KONTRAK","RE-KONTRAK")</f>
        <v>NEW KONTRAK</v>
      </c>
      <c r="J2527" s="16" t="n">
        <f aca="false" t="array" ref="J2527:J2527">IFERROR(INDEX(AC2527:AE2527,IF(COUNTA(AC2527:AE2527)=0,"",MAX((AC2527:AE2527&lt;&gt;"")*(COLUMN(AC2527:AE2527)-(COLUMN(AC2527)))))-1),"")</f>
        <v>45842</v>
      </c>
      <c r="K2527" s="16" t="n">
        <f aca="false" t="array" ref="K2527:K2527">IFERROR(INDEX(AC2527:AE2527,IF(COUNTA(AC2527:AE2527)=0,"",MAX((AC2527:AE2527&lt;&gt;"")*(COLUMN(AC2527:AE2527)-(COLUMN(AC2527)-1))))-1),"")</f>
        <v>45914</v>
      </c>
      <c r="L2527" s="17" t="str">
        <f aca="false" t="array" ref="L2527:L2527">IFERROR(INDEX(AC2527:AE2527,IF(COUNTA(AC2527:AE2527)=0,"",MAX((AC2527:AE2527&lt;&gt;"")*(COLUMN(AC2527:AE2527)-(COLUMN(AC2527)-2))))-1),"")</f>
        <v>ARCHIVED</v>
      </c>
      <c r="M2527" s="13" t="n">
        <f aca="true">K2527-TODAY()</f>
        <v>-410</v>
      </c>
      <c r="N2527" s="68" t="s">
        <v>2356</v>
      </c>
      <c r="O2527" s="13" t="s">
        <v>2037</v>
      </c>
      <c r="P2527" s="19" t="n">
        <v>155205.44</v>
      </c>
      <c r="Q2527" s="20" t="s">
        <v>10847</v>
      </c>
      <c r="R2527" s="13" t="s">
        <v>2359</v>
      </c>
      <c r="S2527" s="16" t="n">
        <v>37297</v>
      </c>
      <c r="T2527" s="13" t="s">
        <v>108</v>
      </c>
      <c r="U2527" s="13" t="s">
        <v>10848</v>
      </c>
      <c r="V2527" s="13" t="s">
        <v>42</v>
      </c>
      <c r="W2527" s="13" t="s">
        <v>43</v>
      </c>
      <c r="X2527" s="21" t="n">
        <v>82189907014</v>
      </c>
      <c r="Y2527" s="22" t="str">
        <f aca="false">O2527</f>
        <v>SPG/BA</v>
      </c>
      <c r="Z2527" s="13" t="str">
        <f aca="false">IFERROR(__xludf.dummyfunction("if(BJ2527="""","""",GOOGLETRANSLATE(BJ2527,""auto"",""en""))"),"SPG/BA")</f>
        <v>SPG/BA</v>
      </c>
      <c r="AA2527" s="23" t="str">
        <f aca="false">IF(C2527="","", CHOOSE(MONTH(C2527),"January","February","March","April","May","June","July","August","September","October","November","December")&amp;" "&amp;DAY(C2527)&amp;MID("thstndrdth",MIN(9,2*RIGHT(DAY(C2527))*(MOD(DAY(C2527)-11,100)&gt;2)+1),2)&amp;","&amp;TEXT(C2527," yyyy"))</f>
        <v>July 4th,2025</v>
      </c>
      <c r="AB2527" s="15" t="str">
        <f aca="true">IF(S2527="","",DATEDIF(S2527,TODAY(),"Y")&amp;" Tahun, "&amp;DATEDIF(S2527,TODAY(),"YM")&amp;" Bulan, "&amp;DATEDIF(S2527,TODAY(),"MD")&amp;" Hari")</f>
        <v>24 Tahun, 8 Bulan, 19 Hari</v>
      </c>
      <c r="AC2527" s="18" t="n">
        <v>45842</v>
      </c>
      <c r="AD2527" s="18" t="n">
        <v>45914</v>
      </c>
      <c r="AE2527" s="18" t="s">
        <v>44</v>
      </c>
    </row>
    <row r="2528" customFormat="false" ht="15" hidden="false" customHeight="true" outlineLevel="0" collapsed="false">
      <c r="A2528" s="12" t="n">
        <v>20285</v>
      </c>
      <c r="B2528" s="13" t="s">
        <v>10849</v>
      </c>
      <c r="C2528" s="16" t="n">
        <v>45850</v>
      </c>
      <c r="D2528" s="13" t="s">
        <v>2033</v>
      </c>
      <c r="E2528" s="15" t="s">
        <v>33</v>
      </c>
      <c r="F2528" s="24" t="s">
        <v>10850</v>
      </c>
      <c r="G2528" s="13" t="s">
        <v>10851</v>
      </c>
      <c r="H2528" s="13" t="s">
        <v>2035</v>
      </c>
      <c r="I2528" s="13" t="str">
        <f aca="false">IF(C2528=J2528,"NEW KONTRAK","RE-KONTRAK")</f>
        <v>NEW KONTRAK</v>
      </c>
      <c r="J2528" s="16" t="n">
        <f aca="false" t="array" ref="J2528:J2528">IFERROR(INDEX(AC2528:AE2528,IF(COUNTA(AC2528:AE2528)=0,"",MAX((AC2528:AE2528&lt;&gt;"")*(COLUMN(AC2528:AE2528)-(COLUMN(AC2528)))))-1),"")</f>
        <v>45850</v>
      </c>
      <c r="K2528" s="16" t="n">
        <f aca="false" t="array" ref="K2528:K2528">IFERROR(INDEX(AC2528:AE2528,IF(COUNTA(AC2528:AE2528)=0,"",MAX((AC2528:AE2528&lt;&gt;"")*(COLUMN(AC2528:AE2528)-(COLUMN(AC2528)-1))))-1),"")</f>
        <v>45914</v>
      </c>
      <c r="L2528" s="17" t="str">
        <f aca="false" t="array" ref="L2528:L2528">IFERROR(INDEX(AC2528:AE2528,IF(COUNTA(AC2528:AE2528)=0,"",MAX((AC2528:AE2528&lt;&gt;"")*(COLUMN(AC2528:AE2528)-(COLUMN(AC2528)-2))))-1),"")</f>
        <v>ARCHIVED</v>
      </c>
      <c r="M2528" s="13" t="n">
        <f aca="true">K2528-TODAY()</f>
        <v>-410</v>
      </c>
      <c r="N2528" s="68" t="s">
        <v>6688</v>
      </c>
      <c r="O2528" s="13" t="s">
        <v>2037</v>
      </c>
      <c r="P2528" s="19" t="n">
        <v>2996561</v>
      </c>
      <c r="Q2528" s="20" t="s">
        <v>10852</v>
      </c>
      <c r="R2528" s="13" t="s">
        <v>10853</v>
      </c>
      <c r="S2528" s="16" t="n">
        <v>38580</v>
      </c>
      <c r="T2528" s="13" t="s">
        <v>108</v>
      </c>
      <c r="U2528" s="13" t="s">
        <v>10854</v>
      </c>
      <c r="V2528" s="13" t="s">
        <v>1310</v>
      </c>
      <c r="W2528" s="13" t="s">
        <v>43</v>
      </c>
      <c r="X2528" s="21" t="n">
        <v>87763857490</v>
      </c>
      <c r="Y2528" s="22" t="str">
        <f aca="false">O2528</f>
        <v>SPG/BA</v>
      </c>
      <c r="Z2528" s="13" t="str">
        <f aca="false">IFERROR(__xludf.dummyfunction("if(BJ2528="""","""",GOOGLETRANSLATE(BJ2528,""auto"",""en""))"),"SPG/BA")</f>
        <v>SPG/BA</v>
      </c>
      <c r="AA2528" s="23" t="str">
        <f aca="false">IF(C2528="","", CHOOSE(MONTH(C2528),"January","February","March","April","May","June","July","August","September","October","November","December")&amp;" "&amp;DAY(C2528)&amp;MID("thstndrdth",MIN(9,2*RIGHT(DAY(C2528))*(MOD(DAY(C2528)-11,100)&gt;2)+1),2)&amp;","&amp;TEXT(C2528," yyyy"))</f>
        <v>July 12th,2025</v>
      </c>
      <c r="AB2528" s="15" t="str">
        <f aca="true">IF(S2528="","",DATEDIF(S2528,TODAY(),"Y")&amp;" Tahun, "&amp;DATEDIF(S2528,TODAY(),"YM")&amp;" Bulan, "&amp;DATEDIF(S2528,TODAY(),"MD")&amp;" Hari")</f>
        <v>21 Tahun, 2 Bulan, 13 Hari</v>
      </c>
      <c r="AC2528" s="18" t="n">
        <v>45850</v>
      </c>
      <c r="AD2528" s="18" t="n">
        <v>45914</v>
      </c>
      <c r="AE2528" s="18" t="s">
        <v>44</v>
      </c>
    </row>
    <row r="2529" customFormat="false" ht="15" hidden="false" customHeight="true" outlineLevel="0" collapsed="false">
      <c r="A2529" s="12" t="n">
        <v>20286</v>
      </c>
      <c r="B2529" s="13" t="s">
        <v>10855</v>
      </c>
      <c r="C2529" s="16" t="n">
        <v>45819</v>
      </c>
      <c r="D2529" s="13" t="s">
        <v>2033</v>
      </c>
      <c r="E2529" s="15" t="s">
        <v>102</v>
      </c>
      <c r="F2529" s="15" t="str">
        <f aca="false">IFERROR(__xludf.dummyfunction("XLOOKUP(AJ2529,IMPORTRANGE(""1XaInW9DU9nz21V0tYIfzFQ0He9kVQ_JF2mCXgZ3hqFA"",""REKAP ALL 2026 - Andika!G:G""),IMPORTRANGE(""1XaInW9DU9nz21V0tYIfzFQ0He9kVQ_JF2mCXgZ3hqFA"",""REKAP ALL 2026 - Andika!F:F""),"""",0)"),"25115948009")</f>
        <v>25115948009</v>
      </c>
      <c r="G2529" s="13" t="s">
        <v>10856</v>
      </c>
      <c r="H2529" s="13" t="s">
        <v>2035</v>
      </c>
      <c r="I2529" s="13" t="str">
        <f aca="false">IF(C2529=J2529,"NEW KONTRAK","RE-KONTRAK")</f>
        <v>NEW KONTRAK</v>
      </c>
      <c r="J2529" s="16" t="n">
        <f aca="false" t="array" ref="J2529:J2529">IFERROR(INDEX(AC2529:AE2529,IF(COUNTA(AC2529:AE2529)=0,"",MAX((AC2529:AE2529&lt;&gt;"")*(COLUMN(AC2529:AE2529)-(COLUMN(AC2529)))))-1),"")</f>
        <v>45819</v>
      </c>
      <c r="K2529" s="16" t="n">
        <f aca="false" t="array" ref="K2529:K2529">IFERROR(INDEX(AC2529:AE2529,IF(COUNTA(AC2529:AE2529)=0,"",MAX((AC2529:AE2529&lt;&gt;"")*(COLUMN(AC2529:AE2529)-(COLUMN(AC2529)-1))))-1),"")</f>
        <v>45914</v>
      </c>
      <c r="L2529" s="17" t="str">
        <f aca="false" t="array" ref="L2529:L2529">IFERROR(INDEX(AC2529:AE2529,IF(COUNTA(AC2529:AE2529)=0,"",MAX((AC2529:AE2529&lt;&gt;"")*(COLUMN(AC2529:AE2529)-(COLUMN(AC2529)-2))))-1),"")</f>
        <v>ARCHIVED</v>
      </c>
      <c r="M2529" s="13" t="n">
        <f aca="true">K2529-TODAY()</f>
        <v>-410</v>
      </c>
      <c r="N2529" s="68" t="s">
        <v>2373</v>
      </c>
      <c r="O2529" s="13" t="s">
        <v>2037</v>
      </c>
      <c r="P2529" s="19" t="n">
        <v>2416560</v>
      </c>
      <c r="Q2529" s="20" t="s">
        <v>10857</v>
      </c>
      <c r="R2529" s="13" t="s">
        <v>553</v>
      </c>
      <c r="S2529" s="16" t="n">
        <v>38693</v>
      </c>
      <c r="T2529" s="13" t="s">
        <v>108</v>
      </c>
      <c r="U2529" s="13" t="s">
        <v>10858</v>
      </c>
      <c r="V2529" s="13" t="s">
        <v>42</v>
      </c>
      <c r="W2529" s="13" t="s">
        <v>43</v>
      </c>
      <c r="X2529" s="21" t="n">
        <v>82326544959</v>
      </c>
      <c r="Y2529" s="22" t="str">
        <f aca="false">O2529</f>
        <v>SPG/BA</v>
      </c>
      <c r="Z2529" s="13" t="str">
        <f aca="false">IFERROR(__xludf.dummyfunction("if(BJ2529="""","""",GOOGLETRANSLATE(BJ2529,""auto"",""en""))"),"SPG/BA")</f>
        <v>SPG/BA</v>
      </c>
      <c r="AA2529" s="23" t="str">
        <f aca="false">IF(C2529="","", CHOOSE(MONTH(C2529),"January","February","March","April","May","June","July","August","September","October","November","December")&amp;" "&amp;DAY(C2529)&amp;MID("thstndrdth",MIN(9,2*RIGHT(DAY(C2529))*(MOD(DAY(C2529)-11,100)&gt;2)+1),2)&amp;","&amp;TEXT(C2529," yyyy"))</f>
        <v>June 11th,2025</v>
      </c>
      <c r="AB2529" s="15" t="str">
        <f aca="true">IF(S2529="","",DATEDIF(S2529,TODAY(),"Y")&amp;" Tahun, "&amp;DATEDIF(S2529,TODAY(),"YM")&amp;" Bulan, "&amp;DATEDIF(S2529,TODAY(),"MD")&amp;" Hari")</f>
        <v>20 Tahun, 10 Bulan, 22 Hari</v>
      </c>
      <c r="AC2529" s="18" t="n">
        <v>45819</v>
      </c>
      <c r="AD2529" s="18" t="n">
        <v>45914</v>
      </c>
      <c r="AE2529" s="18" t="s">
        <v>44</v>
      </c>
    </row>
    <row r="2530" customFormat="false" ht="15" hidden="false" customHeight="true" outlineLevel="0" collapsed="false">
      <c r="A2530" s="12" t="n">
        <v>20287</v>
      </c>
      <c r="B2530" s="13" t="s">
        <v>10859</v>
      </c>
      <c r="C2530" s="16" t="n">
        <v>45870</v>
      </c>
      <c r="D2530" s="13" t="s">
        <v>2033</v>
      </c>
      <c r="E2530" s="15" t="s">
        <v>33</v>
      </c>
      <c r="F2530" s="24" t="s">
        <v>10860</v>
      </c>
      <c r="G2530" s="13" t="s">
        <v>10861</v>
      </c>
      <c r="H2530" s="13" t="s">
        <v>2035</v>
      </c>
      <c r="I2530" s="13" t="str">
        <f aca="false">IF(C2530=J2530,"NEW KONTRAK","RE-KONTRAK")</f>
        <v>NEW KONTRAK</v>
      </c>
      <c r="J2530" s="16" t="n">
        <f aca="false" t="array" ref="J2530:J2530">IFERROR(INDEX(AC2530:AE2530,IF(COUNTA(AC2530:AE2530)=0,"",MAX((AC2530:AE2530&lt;&gt;"")*(COLUMN(AC2530:AE2530)-(COLUMN(AC2530)))))-1),"")</f>
        <v>45870</v>
      </c>
      <c r="K2530" s="16" t="n">
        <f aca="false" t="array" ref="K2530:K2530">IFERROR(INDEX(AC2530:AE2530,IF(COUNTA(AC2530:AE2530)=0,"",MAX((AC2530:AE2530&lt;&gt;"")*(COLUMN(AC2530:AE2530)-(COLUMN(AC2530)-1))))-1),"")</f>
        <v>45914</v>
      </c>
      <c r="L2530" s="17" t="str">
        <f aca="false" t="array" ref="L2530:L2530">IFERROR(INDEX(AC2530:AE2530,IF(COUNTA(AC2530:AE2530)=0,"",MAX((AC2530:AE2530&lt;&gt;"")*(COLUMN(AC2530:AE2530)-(COLUMN(AC2530)-2))))-1),"")</f>
        <v>ARCHIVED</v>
      </c>
      <c r="M2530" s="13" t="n">
        <f aca="true">K2530-TODAY()</f>
        <v>-410</v>
      </c>
      <c r="N2530" s="68" t="s">
        <v>2383</v>
      </c>
      <c r="O2530" s="13" t="s">
        <v>2037</v>
      </c>
      <c r="P2530" s="19" t="n">
        <v>3675937</v>
      </c>
      <c r="Q2530" s="20" t="s">
        <v>10862</v>
      </c>
      <c r="R2530" s="13" t="s">
        <v>10863</v>
      </c>
      <c r="S2530" s="16" t="n">
        <v>38537</v>
      </c>
      <c r="T2530" s="13" t="s">
        <v>108</v>
      </c>
      <c r="U2530" s="13" t="s">
        <v>10864</v>
      </c>
      <c r="V2530" s="13" t="s">
        <v>42</v>
      </c>
      <c r="W2530" s="13" t="s">
        <v>43</v>
      </c>
      <c r="X2530" s="21" t="n">
        <v>85765662523</v>
      </c>
      <c r="Y2530" s="22" t="str">
        <f aca="false">O2530</f>
        <v>SPG/BA</v>
      </c>
      <c r="Z2530" s="13" t="str">
        <f aca="false">IFERROR(__xludf.dummyfunction("if(BJ2530="""","""",GOOGLETRANSLATE(BJ2530,""auto"",""en""))"),"SPG/BA")</f>
        <v>SPG/BA</v>
      </c>
      <c r="AA2530" s="23" t="str">
        <f aca="false">IF(C2530="","", CHOOSE(MONTH(C2530),"January","February","March","April","May","June","July","August","September","October","November","December")&amp;" "&amp;DAY(C2530)&amp;MID("thstndrdth",MIN(9,2*RIGHT(DAY(C2530))*(MOD(DAY(C2530)-11,100)&gt;2)+1),2)&amp;","&amp;TEXT(C2530," yyyy"))</f>
        <v>August 1st,2025</v>
      </c>
      <c r="AB2530" s="15" t="str">
        <f aca="true">IF(S2530="","",DATEDIF(S2530,TODAY(),"Y")&amp;" Tahun, "&amp;DATEDIF(S2530,TODAY(),"YM")&amp;" Bulan, "&amp;DATEDIF(S2530,TODAY(),"MD")&amp;" Hari")</f>
        <v>21 Tahun, 3 Bulan, 25 Hari</v>
      </c>
      <c r="AC2530" s="18" t="n">
        <v>45870</v>
      </c>
      <c r="AD2530" s="18" t="n">
        <v>45914</v>
      </c>
      <c r="AE2530" s="18" t="s">
        <v>44</v>
      </c>
    </row>
    <row r="2531" customFormat="false" ht="15" hidden="false" customHeight="true" outlineLevel="0" collapsed="false">
      <c r="A2531" s="12" t="n">
        <v>21881</v>
      </c>
      <c r="B2531" s="13" t="s">
        <v>10865</v>
      </c>
      <c r="C2531" s="16" t="n">
        <v>46067</v>
      </c>
      <c r="D2531" s="13" t="s">
        <v>2033</v>
      </c>
      <c r="E2531" s="15" t="s">
        <v>47</v>
      </c>
      <c r="F2531" s="15" t="str">
        <f aca="false">IFERROR(__xludf.dummyfunction("XLOOKUP(AJ2531,IMPORTRANGE(""1XaInW9DU9nz21V0tYIfzFQ0He9kVQ_JF2mCXgZ3hqFA"",""REKAP ALL 2026 - Andika!G:G""),IMPORTRANGE(""1XaInW9DU9nz21V0tYIfzFQ0He9kVQ_JF2mCXgZ3hqFA"",""REKAP ALL 2026 - Andika!F:F""),"""",0)"),"26035115851")</f>
        <v>26035115851</v>
      </c>
      <c r="G2531" s="13" t="s">
        <v>1127</v>
      </c>
      <c r="H2531" s="13" t="s">
        <v>35</v>
      </c>
      <c r="I2531" s="13" t="str">
        <f aca="false">IF(C2531=J2531,"NEW KONTRAK","RE-KONTRAK")</f>
        <v>NEW KONTRAK</v>
      </c>
      <c r="J2531" s="16" t="n">
        <f aca="false" t="array" ref="J2531:J2531">IFERROR(INDEX(AC2531:AE2531,IF(COUNTA(AC2531:AE2531)=0,"",MAX((AC2531:AE2531&lt;&gt;"")*(COLUMN(AC2531:AE2531)-(COLUMN(AC2531)))))-1),"")</f>
        <v>46067</v>
      </c>
      <c r="K2531" s="16" t="n">
        <f aca="false" t="array" ref="K2531:K2531">IFERROR(INDEX(AC2531:AE2531,IF(COUNTA(AC2531:AE2531)=0,"",MAX((AC2531:AE2531&lt;&gt;"")*(COLUMN(AC2531:AE2531)-(COLUMN(AC2531)-1))))-1),"")</f>
        <v>46188</v>
      </c>
      <c r="L2531" s="17" t="str">
        <f aca="false" t="array" ref="L2531:L2531">IFERROR(INDEX(AC2531:AE2531,IF(COUNTA(AC2531:AE2531)=0,"",MAX((AC2531:AE2531&lt;&gt;"")*(COLUMN(AC2531:AE2531)-(COLUMN(AC2531)-2))))-1),"")</f>
        <v>ARCHIVED</v>
      </c>
      <c r="M2531" s="13" t="n">
        <f aca="true">K2531-TODAY()</f>
        <v>-136</v>
      </c>
      <c r="N2531" s="51" t="s">
        <v>3703</v>
      </c>
      <c r="O2531" s="13" t="s">
        <v>2037</v>
      </c>
      <c r="P2531" s="75" t="n">
        <v>2818585</v>
      </c>
      <c r="Q2531" s="47" t="s">
        <v>10866</v>
      </c>
      <c r="R2531" s="13" t="s">
        <v>3703</v>
      </c>
      <c r="S2531" s="16" t="n">
        <v>36214</v>
      </c>
      <c r="T2531" s="13" t="s">
        <v>108</v>
      </c>
      <c r="U2531" s="13" t="s">
        <v>10867</v>
      </c>
      <c r="V2531" s="13" t="s">
        <v>42</v>
      </c>
      <c r="W2531" s="13" t="s">
        <v>54</v>
      </c>
      <c r="X2531" s="13" t="s">
        <v>10868</v>
      </c>
      <c r="Y2531" s="22" t="str">
        <f aca="false">O2531</f>
        <v>SPG/BA</v>
      </c>
      <c r="Z2531" s="13" t="str">
        <f aca="false">IFERROR(__xludf.dummyfunction("if(BJ2531="""","""",GOOGLETRANSLATE(BJ2531,""auto"",""en""))"),"SPG/BA")</f>
        <v>SPG/BA</v>
      </c>
      <c r="AA2531" s="23" t="str">
        <f aca="false">IF(C2531="","", CHOOSE(MONTH(C2531),"January","February","March","April","May","June","July","August","September","October","November","December")&amp;" "&amp;DAY(C2531)&amp;MID("thstndrdth",MIN(9,2*RIGHT(DAY(C2531))*(MOD(DAY(C2531)-11,100)&gt;2)+1),2)&amp;","&amp;TEXT(C2531," yyyy"))</f>
        <v>February 14th,2026</v>
      </c>
      <c r="AB2531" s="15" t="str">
        <f aca="true">IF(S2531="","",DATEDIF(S2531,TODAY(),"Y")&amp;" Tahun, "&amp;DATEDIF(S2531,TODAY(),"YM")&amp;" Bulan, "&amp;DATEDIF(S2531,TODAY(),"MD")&amp;" Hari")</f>
        <v>27 Tahun, 8 Bulan, 6 Hari</v>
      </c>
      <c r="AC2531" s="18" t="n">
        <v>46067</v>
      </c>
      <c r="AD2531" s="18" t="n">
        <v>46188</v>
      </c>
      <c r="AE2531" s="13" t="s">
        <v>44</v>
      </c>
    </row>
    <row r="2532" customFormat="false" ht="15" hidden="false" customHeight="true" outlineLevel="0" collapsed="false">
      <c r="A2532" s="12" t="n">
        <v>20289</v>
      </c>
      <c r="B2532" s="13" t="s">
        <v>10869</v>
      </c>
      <c r="C2532" s="16" t="n">
        <v>45854</v>
      </c>
      <c r="D2532" s="13" t="s">
        <v>2033</v>
      </c>
      <c r="E2532" s="15" t="s">
        <v>102</v>
      </c>
      <c r="F2532" s="15" t="str">
        <f aca="false">IFERROR(__xludf.dummyfunction("XLOOKUP(AJ2532,IMPORTRANGE(""1XaInW9DU9nz21V0tYIfzFQ0He9kVQ_JF2mCXgZ3hqFA"",""REKAP ALL 2026 - Andika!G:G""),IMPORTRANGE(""1XaInW9DU9nz21V0tYIfzFQ0He9kVQ_JF2mCXgZ3hqFA"",""REKAP ALL 2026 - Andika!F:F""),"""",0)"),"25115948363")</f>
        <v>25115948363</v>
      </c>
      <c r="G2532" s="13" t="s">
        <v>10870</v>
      </c>
      <c r="H2532" s="13" t="s">
        <v>2035</v>
      </c>
      <c r="I2532" s="13" t="str">
        <f aca="false">IF(C2532=J2532,"NEW KONTRAK","RE-KONTRAK")</f>
        <v>NEW KONTRAK</v>
      </c>
      <c r="J2532" s="16" t="n">
        <f aca="false" t="array" ref="J2532:J2532">IFERROR(INDEX(AC2532:AE2532,IF(COUNTA(AC2532:AE2532)=0,"",MAX((AC2532:AE2532&lt;&gt;"")*(COLUMN(AC2532:AE2532)-(COLUMN(AC2532)))))-1),"")</f>
        <v>45854</v>
      </c>
      <c r="K2532" s="16" t="n">
        <f aca="false" t="array" ref="K2532:K2532">IFERROR(INDEX(AC2532:AE2532,IF(COUNTA(AC2532:AE2532)=0,"",MAX((AC2532:AE2532&lt;&gt;"")*(COLUMN(AC2532:AE2532)-(COLUMN(AC2532)-1))))-1),"")</f>
        <v>45914</v>
      </c>
      <c r="L2532" s="17" t="str">
        <f aca="false" t="array" ref="L2532:L2532">IFERROR(INDEX(AC2532:AE2532,IF(COUNTA(AC2532:AE2532)=0,"",MAX((AC2532:AE2532&lt;&gt;"")*(COLUMN(AC2532:AE2532)-(COLUMN(AC2532)-2))))-1),"")</f>
        <v>ARCHIVED</v>
      </c>
      <c r="M2532" s="13" t="n">
        <f aca="true">K2532-TODAY()</f>
        <v>-410</v>
      </c>
      <c r="N2532" s="68" t="s">
        <v>2356</v>
      </c>
      <c r="O2532" s="13" t="s">
        <v>2037</v>
      </c>
      <c r="P2532" s="19" t="n">
        <v>3880136</v>
      </c>
      <c r="Q2532" s="20" t="s">
        <v>10871</v>
      </c>
      <c r="R2532" s="13" t="s">
        <v>2356</v>
      </c>
      <c r="S2532" s="16" t="n">
        <v>37784</v>
      </c>
      <c r="T2532" s="13" t="s">
        <v>108</v>
      </c>
      <c r="U2532" s="13" t="s">
        <v>10872</v>
      </c>
      <c r="V2532" s="13" t="s">
        <v>42</v>
      </c>
      <c r="W2532" s="13" t="s">
        <v>43</v>
      </c>
      <c r="X2532" s="21" t="n">
        <v>83813995770</v>
      </c>
      <c r="Y2532" s="22" t="str">
        <f aca="false">O2532</f>
        <v>SPG/BA</v>
      </c>
      <c r="Z2532" s="13" t="str">
        <f aca="false">IFERROR(__xludf.dummyfunction("if(BJ2532="""","""",GOOGLETRANSLATE(BJ2532,""auto"",""en""))"),"SPG/BA")</f>
        <v>SPG/BA</v>
      </c>
      <c r="AA2532" s="23" t="str">
        <f aca="false">IF(C2532="","", CHOOSE(MONTH(C2532),"January","February","March","April","May","June","July","August","September","October","November","December")&amp;" "&amp;DAY(C2532)&amp;MID("thstndrdth",MIN(9,2*RIGHT(DAY(C2532))*(MOD(DAY(C2532)-11,100)&gt;2)+1),2)&amp;","&amp;TEXT(C2532," yyyy"))</f>
        <v>July 16th,2025</v>
      </c>
      <c r="AB2532" s="15" t="str">
        <f aca="true">IF(S2532="","",DATEDIF(S2532,TODAY(),"Y")&amp;" Tahun, "&amp;DATEDIF(S2532,TODAY(),"YM")&amp;" Bulan, "&amp;DATEDIF(S2532,TODAY(),"MD")&amp;" Hari")</f>
        <v>23 Tahun, 4 Bulan, 17 Hari</v>
      </c>
      <c r="AC2532" s="18" t="n">
        <v>45854</v>
      </c>
      <c r="AD2532" s="18" t="n">
        <v>45914</v>
      </c>
      <c r="AE2532" s="18" t="s">
        <v>44</v>
      </c>
    </row>
    <row r="2533" customFormat="false" ht="15" hidden="false" customHeight="true" outlineLevel="0" collapsed="false">
      <c r="A2533" s="12" t="n">
        <v>21320</v>
      </c>
      <c r="B2533" s="13" t="s">
        <v>10873</v>
      </c>
      <c r="C2533" s="16" t="n">
        <v>45964</v>
      </c>
      <c r="D2533" s="13" t="s">
        <v>2033</v>
      </c>
      <c r="E2533" s="15" t="s">
        <v>47</v>
      </c>
      <c r="F2533" s="15" t="str">
        <f aca="false">IFERROR(__xludf.dummyfunction("XLOOKUP(AJ2533,IMPORTRANGE(""1XaInW9DU9nz21V0tYIfzFQ0He9kVQ_JF2mCXgZ3hqFA"",""REKAP ALL 2026 - Andika!G:G""),IMPORTRANGE(""1XaInW9DU9nz21V0tYIfzFQ0He9kVQ_JF2mCXgZ3hqFA"",""REKAP ALL 2026 - Andika!F:F""),"""",0)"),"25180535111")</f>
        <v>25180535111</v>
      </c>
      <c r="G2533" s="13" t="s">
        <v>1127</v>
      </c>
      <c r="H2533" s="13" t="s">
        <v>35</v>
      </c>
      <c r="I2533" s="13" t="str">
        <f aca="false">IF(C2533=J2533,"NEW KONTRAK","RE-KONTRAK")</f>
        <v>NEW KONTRAK</v>
      </c>
      <c r="J2533" s="16" t="n">
        <f aca="false" t="array" ref="J2533:J2533">IFERROR(INDEX(AC2533:AE2533,IF(COUNTA(AC2533:AE2533)=0,"",MAX((AC2533:AE2533&lt;&gt;"")*(COLUMN(AC2533:AE2533)-(COLUMN(AC2533)))))-1),"")</f>
        <v>45964</v>
      </c>
      <c r="K2533" s="16" t="n">
        <f aca="false" t="array" ref="K2533:K2533">IFERROR(INDEX(AC2533:AE2533,IF(COUNTA(AC2533:AE2533)=0,"",MAX((AC2533:AE2533&lt;&gt;"")*(COLUMN(AC2533:AE2533)-(COLUMN(AC2533)-1))))-1),"")</f>
        <v>46037</v>
      </c>
      <c r="L2533" s="17" t="str">
        <f aca="false" t="array" ref="L2533:L2533">IFERROR(INDEX(AC2533:AE2533,IF(COUNTA(AC2533:AE2533)=0,"",MAX((AC2533:AE2533&lt;&gt;"")*(COLUMN(AC2533:AE2533)-(COLUMN(AC2533)-2))))-1),"")</f>
        <v>KEMBALI</v>
      </c>
      <c r="M2533" s="13" t="n">
        <f aca="true">K2533-TODAY()</f>
        <v>-287</v>
      </c>
      <c r="N2533" s="18" t="s">
        <v>2363</v>
      </c>
      <c r="O2533" s="13" t="s">
        <v>2037</v>
      </c>
      <c r="P2533" s="19" t="n">
        <v>4335198</v>
      </c>
      <c r="Q2533" s="47" t="s">
        <v>10874</v>
      </c>
      <c r="R2533" s="13" t="s">
        <v>2363</v>
      </c>
      <c r="S2533" s="16" t="n">
        <v>36912</v>
      </c>
      <c r="T2533" s="13" t="s">
        <v>108</v>
      </c>
      <c r="U2533" s="13" t="s">
        <v>10875</v>
      </c>
      <c r="V2533" s="13" t="s">
        <v>99</v>
      </c>
      <c r="W2533" s="13" t="s">
        <v>43</v>
      </c>
      <c r="X2533" s="21" t="n">
        <v>82262135263</v>
      </c>
      <c r="Y2533" s="22" t="str">
        <f aca="false">O2533</f>
        <v>SPG/BA</v>
      </c>
      <c r="Z2533" s="13" t="str">
        <f aca="false">IFERROR(__xludf.dummyfunction("if(BJ2533="""","""",GOOGLETRANSLATE(BJ2533,""auto"",""en""))"),"SPG/BA")</f>
        <v>SPG/BA</v>
      </c>
      <c r="AA2533" s="23" t="str">
        <f aca="false">IF(C2533="","", CHOOSE(MONTH(C2533),"January","February","March","April","May","June","July","August","September","October","November","December")&amp;" "&amp;DAY(C2533)&amp;MID("thstndrdth",MIN(9,2*RIGHT(DAY(C2533))*(MOD(DAY(C2533)-11,100)&gt;2)+1),2)&amp;","&amp;TEXT(C2533," yyyy"))</f>
        <v>November 3rd,2025</v>
      </c>
      <c r="AB2533" s="15" t="str">
        <f aca="true">IF(S2533="","",DATEDIF(S2533,TODAY(),"Y")&amp;" Tahun, "&amp;DATEDIF(S2533,TODAY(),"YM")&amp;" Bulan, "&amp;DATEDIF(S2533,TODAY(),"MD")&amp;" Hari")</f>
        <v>25 Tahun, 9 Bulan, 8 Hari</v>
      </c>
      <c r="AC2533" s="18" t="n">
        <v>45964</v>
      </c>
      <c r="AD2533" s="18" t="n">
        <v>46037</v>
      </c>
      <c r="AE2533" s="13" t="s">
        <v>397</v>
      </c>
    </row>
    <row r="2534" customFormat="false" ht="15" hidden="false" customHeight="true" outlineLevel="0" collapsed="false">
      <c r="A2534" s="12" t="n">
        <v>22595</v>
      </c>
      <c r="B2534" s="45" t="s">
        <v>10876</v>
      </c>
      <c r="C2534" s="14" t="n">
        <v>46204</v>
      </c>
      <c r="D2534" s="13" t="s">
        <v>2033</v>
      </c>
      <c r="E2534" s="13" t="s">
        <v>47</v>
      </c>
      <c r="F2534" s="24" t="s">
        <v>10877</v>
      </c>
      <c r="G2534" s="13" t="s">
        <v>1452</v>
      </c>
      <c r="H2534" s="13" t="s">
        <v>35</v>
      </c>
      <c r="I2534" s="13" t="str">
        <f aca="false">IF(C2534=J2534,"NEW KONTRAK","RE-KONTRAK")</f>
        <v>NEW KONTRAK</v>
      </c>
      <c r="J2534" s="16" t="n">
        <f aca="false" t="array" ref="J2534:J2534">IFERROR(INDEX(AC2534:AE2534,IF(COUNTA(AC2534:AE2534)=0,"",MAX((AC2534:AE2534&lt;&gt;"")*(COLUMN(AC2534:AE2534)-(COLUMN(AC2534)))))-1),"")</f>
        <v>46204</v>
      </c>
      <c r="K2534" s="16" t="n">
        <f aca="false" t="array" ref="K2534:K2534">IFERROR(INDEX(AC2534:AE2534,IF(COUNTA(AC2534:AE2534)=0,"",MAX((AC2534:AE2534&lt;&gt;"")*(COLUMN(AC2534:AE2534)-(COLUMN(AC2534)-1))))-1),"")</f>
        <v>46295</v>
      </c>
      <c r="L2534" s="17" t="str">
        <f aca="false" t="array" ref="L2534:L2534">IFERROR(INDEX(AC2534:AE2534,IF(COUNTA(AC2534:AE2534)=0,"",MAX((AC2534:AE2534&lt;&gt;"")*(COLUMN(AC2534:AE2534)-(COLUMN(AC2534)-2))))-1),"")</f>
        <v>ARCHIVED</v>
      </c>
      <c r="M2534" s="13" t="n">
        <f aca="true">K2534-TODAY()</f>
        <v>-29</v>
      </c>
      <c r="N2534" s="13" t="s">
        <v>10878</v>
      </c>
      <c r="O2534" s="13" t="s">
        <v>5017</v>
      </c>
      <c r="P2534" s="19" t="n">
        <v>3868963</v>
      </c>
      <c r="Q2534" s="20" t="s">
        <v>10879</v>
      </c>
      <c r="R2534" s="13" t="s">
        <v>10880</v>
      </c>
      <c r="S2534" s="25" t="n">
        <v>36925</v>
      </c>
      <c r="T2534" s="13" t="s">
        <v>40</v>
      </c>
      <c r="U2534" s="17" t="s">
        <v>10881</v>
      </c>
      <c r="V2534" s="13" t="s">
        <v>42</v>
      </c>
      <c r="W2534" s="13" t="s">
        <v>43</v>
      </c>
      <c r="X2534" s="21" t="n">
        <v>82376494286</v>
      </c>
      <c r="Y2534" s="22" t="str">
        <f aca="false">O2534</f>
        <v>Sales</v>
      </c>
      <c r="Z2534" s="13" t="str">
        <f aca="false">IFERROR(__xludf.dummyfunction("if(BJ2534="""","""",GOOGLETRANSLATE(BJ2534,""auto"",""en""))"),"Sales")</f>
        <v>Sales</v>
      </c>
      <c r="AA2534" s="23" t="str">
        <f aca="false">IF(C2534="","", CHOOSE(MONTH(C2534),"January","February","March","April","May","June","July","August","September","October","November","December")&amp;" "&amp;DAY(C2534)&amp;MID("thstndrdth",MIN(9,2*RIGHT(DAY(C2534))*(MOD(DAY(C2534)-11,100)&gt;2)+1),2)&amp;","&amp;TEXT(C2534," yyyy"))</f>
        <v>July 1st,2026</v>
      </c>
      <c r="AB2534" s="15" t="str">
        <f aca="true">IF(S2534="","",DATEDIF(S2534,TODAY(),"Y")&amp;" Tahun, "&amp;DATEDIF(S2534,TODAY(),"YM")&amp;" Bulan, "&amp;DATEDIF(S2534,TODAY(),"MD")&amp;" Hari")</f>
        <v>25 Tahun, 8 Bulan, 26 Hari</v>
      </c>
      <c r="AC2534" s="14" t="n">
        <v>46204</v>
      </c>
      <c r="AD2534" s="18" t="n">
        <f aca="false">EDATE(AC2534,3)-1</f>
        <v>46295</v>
      </c>
      <c r="AE2534" s="65" t="s">
        <v>44</v>
      </c>
    </row>
    <row r="2535" customFormat="false" ht="15" hidden="false" customHeight="true" outlineLevel="0" collapsed="false">
      <c r="A2535" s="12" t="n">
        <v>20292</v>
      </c>
      <c r="B2535" s="13" t="s">
        <v>10882</v>
      </c>
      <c r="C2535" s="16" t="n">
        <v>45843</v>
      </c>
      <c r="D2535" s="13" t="s">
        <v>2033</v>
      </c>
      <c r="E2535" s="15" t="s">
        <v>102</v>
      </c>
      <c r="F2535" s="15" t="str">
        <f aca="false">IFERROR(__xludf.dummyfunction("XLOOKUP(AJ2535,IMPORTRANGE(""1XaInW9DU9nz21V0tYIfzFQ0He9kVQ_JF2mCXgZ3hqFA"",""REKAP ALL 2026 - Andika!G:G""),IMPORTRANGE(""1XaInW9DU9nz21V0tYIfzFQ0He9kVQ_JF2mCXgZ3hqFA"",""REKAP ALL 2026 - Andika!F:F""),"""",0)"),"25115948199")</f>
        <v>25115948199</v>
      </c>
      <c r="G2535" s="13" t="s">
        <v>10883</v>
      </c>
      <c r="H2535" s="13" t="s">
        <v>2035</v>
      </c>
      <c r="I2535" s="13" t="str">
        <f aca="false">IF(C2535=J2535,"NEW KONTRAK","RE-KONTRAK")</f>
        <v>NEW KONTRAK</v>
      </c>
      <c r="J2535" s="16" t="n">
        <f aca="false" t="array" ref="J2535:J2535">IFERROR(INDEX(AC2535:AE2535,IF(COUNTA(AC2535:AE2535)=0,"",MAX((AC2535:AE2535&lt;&gt;"")*(COLUMN(AC2535:AE2535)-(COLUMN(AC2535)))))-1),"")</f>
        <v>45843</v>
      </c>
      <c r="K2535" s="16" t="n">
        <f aca="false" t="array" ref="K2535:K2535">IFERROR(INDEX(AC2535:AE2535,IF(COUNTA(AC2535:AE2535)=0,"",MAX((AC2535:AE2535&lt;&gt;"")*(COLUMN(AC2535:AE2535)-(COLUMN(AC2535)-1))))-1),"")</f>
        <v>45914</v>
      </c>
      <c r="L2535" s="17" t="str">
        <f aca="false" t="array" ref="L2535:L2535">IFERROR(INDEX(AC2535:AE2535,IF(COUNTA(AC2535:AE2535)=0,"",MAX((AC2535:AE2535&lt;&gt;"")*(COLUMN(AC2535:AE2535)-(COLUMN(AC2535)-2))))-1),"")</f>
        <v>ARCHIVED</v>
      </c>
      <c r="M2535" s="13" t="n">
        <f aca="true">K2535-TODAY()</f>
        <v>-410</v>
      </c>
      <c r="N2535" s="100" t="s">
        <v>4557</v>
      </c>
      <c r="O2535" s="13" t="s">
        <v>2037</v>
      </c>
      <c r="P2535" s="19" t="n">
        <v>3701709</v>
      </c>
      <c r="Q2535" s="20" t="s">
        <v>10884</v>
      </c>
      <c r="R2535" s="13" t="s">
        <v>6291</v>
      </c>
      <c r="S2535" s="16" t="n">
        <v>39058</v>
      </c>
      <c r="T2535" s="13" t="s">
        <v>108</v>
      </c>
      <c r="U2535" s="13" t="s">
        <v>10885</v>
      </c>
      <c r="V2535" s="13" t="s">
        <v>42</v>
      </c>
      <c r="W2535" s="13" t="s">
        <v>43</v>
      </c>
      <c r="X2535" s="21" t="n">
        <v>87812631876</v>
      </c>
      <c r="Y2535" s="22" t="str">
        <f aca="false">O2535</f>
        <v>SPG/BA</v>
      </c>
      <c r="Z2535" s="13" t="str">
        <f aca="false">IFERROR(__xludf.dummyfunction("if(BJ2535="""","""",GOOGLETRANSLATE(BJ2535,""auto"",""en""))"),"SPG/BA")</f>
        <v>SPG/BA</v>
      </c>
      <c r="AA2535" s="23" t="str">
        <f aca="false">IF(C2535="","", CHOOSE(MONTH(C2535),"January","February","March","April","May","June","July","August","September","October","November","December")&amp;" "&amp;DAY(C2535)&amp;MID("thstndrdth",MIN(9,2*RIGHT(DAY(C2535))*(MOD(DAY(C2535)-11,100)&gt;2)+1),2)&amp;","&amp;TEXT(C2535," yyyy"))</f>
        <v>July 5th,2025</v>
      </c>
      <c r="AB2535" s="15" t="str">
        <f aca="true">IF(S2535="","",DATEDIF(S2535,TODAY(),"Y")&amp;" Tahun, "&amp;DATEDIF(S2535,TODAY(),"YM")&amp;" Bulan, "&amp;DATEDIF(S2535,TODAY(),"MD")&amp;" Hari")</f>
        <v>19 Tahun, 10 Bulan, 22 Hari</v>
      </c>
      <c r="AC2535" s="18" t="n">
        <v>45843</v>
      </c>
      <c r="AD2535" s="18" t="n">
        <v>45914</v>
      </c>
      <c r="AE2535" s="18" t="s">
        <v>44</v>
      </c>
    </row>
    <row r="2536" customFormat="false" ht="15" hidden="false" customHeight="true" outlineLevel="0" collapsed="false">
      <c r="A2536" s="12" t="n">
        <v>20293</v>
      </c>
      <c r="B2536" s="13" t="s">
        <v>10886</v>
      </c>
      <c r="C2536" s="16" t="n">
        <v>45860</v>
      </c>
      <c r="D2536" s="13" t="s">
        <v>2033</v>
      </c>
      <c r="E2536" s="15" t="s">
        <v>33</v>
      </c>
      <c r="F2536" s="24" t="s">
        <v>10887</v>
      </c>
      <c r="G2536" s="13" t="s">
        <v>10888</v>
      </c>
      <c r="H2536" s="13" t="s">
        <v>2035</v>
      </c>
      <c r="I2536" s="13" t="str">
        <f aca="false">IF(C2536=J2536,"NEW KONTRAK","RE-KONTRAK")</f>
        <v>NEW KONTRAK</v>
      </c>
      <c r="J2536" s="16" t="n">
        <f aca="false" t="array" ref="J2536:J2536">IFERROR(INDEX(AC2536:AE2536,IF(COUNTA(AC2536:AE2536)=0,"",MAX((AC2536:AE2536&lt;&gt;"")*(COLUMN(AC2536:AE2536)-(COLUMN(AC2536)))))-1),"")</f>
        <v>45860</v>
      </c>
      <c r="K2536" s="16" t="n">
        <f aca="false" t="array" ref="K2536:K2536">IFERROR(INDEX(AC2536:AE2536,IF(COUNTA(AC2536:AE2536)=0,"",MAX((AC2536:AE2536&lt;&gt;"")*(COLUMN(AC2536:AE2536)-(COLUMN(AC2536)-1))))-1),"")</f>
        <v>45914</v>
      </c>
      <c r="L2536" s="17" t="str">
        <f aca="false" t="array" ref="L2536:L2536">IFERROR(INDEX(AC2536:AE2536,IF(COUNTA(AC2536:AE2536)=0,"",MAX((AC2536:AE2536&lt;&gt;"")*(COLUMN(AC2536:AE2536)-(COLUMN(AC2536)-2))))-1),"")</f>
        <v>ARCHIVED</v>
      </c>
      <c r="M2536" s="13" t="n">
        <f aca="true">K2536-TODAY()</f>
        <v>-410</v>
      </c>
      <c r="N2536" s="68" t="s">
        <v>10508</v>
      </c>
      <c r="O2536" s="13" t="s">
        <v>2037</v>
      </c>
      <c r="P2536" s="19" t="n">
        <v>3298116</v>
      </c>
      <c r="Q2536" s="20" t="s">
        <v>10889</v>
      </c>
      <c r="R2536" s="13" t="s">
        <v>83</v>
      </c>
      <c r="S2536" s="16" t="n">
        <v>36368</v>
      </c>
      <c r="T2536" s="13" t="s">
        <v>108</v>
      </c>
      <c r="U2536" s="13" t="s">
        <v>10890</v>
      </c>
      <c r="V2536" s="13" t="s">
        <v>42</v>
      </c>
      <c r="W2536" s="13" t="s">
        <v>43</v>
      </c>
      <c r="X2536" s="21" t="n">
        <v>87756663919</v>
      </c>
      <c r="Y2536" s="22" t="str">
        <f aca="false">O2536</f>
        <v>SPG/BA</v>
      </c>
      <c r="Z2536" s="13" t="str">
        <f aca="false">IFERROR(__xludf.dummyfunction("if(BJ2536="""","""",GOOGLETRANSLATE(BJ2536,""auto"",""en""))"),"SPG/BA")</f>
        <v>SPG/BA</v>
      </c>
      <c r="AA2536" s="23" t="str">
        <f aca="false">IF(C2536="","", CHOOSE(MONTH(C2536),"January","February","March","April","May","June","July","August","September","October","November","December")&amp;" "&amp;DAY(C2536)&amp;MID("thstndrdth",MIN(9,2*RIGHT(DAY(C2536))*(MOD(DAY(C2536)-11,100)&gt;2)+1),2)&amp;","&amp;TEXT(C2536," yyyy"))</f>
        <v>July 22nd,2025</v>
      </c>
      <c r="AB2536" s="15" t="str">
        <f aca="true">IF(S2536="","",DATEDIF(S2536,TODAY(),"Y")&amp;" Tahun, "&amp;DATEDIF(S2536,TODAY(),"YM")&amp;" Bulan, "&amp;DATEDIF(S2536,TODAY(),"MD")&amp;" Hari")</f>
        <v>27 Tahun, 3 Bulan, 2 Hari</v>
      </c>
      <c r="AC2536" s="18" t="n">
        <v>45860</v>
      </c>
      <c r="AD2536" s="18" t="n">
        <v>45914</v>
      </c>
      <c r="AE2536" s="18" t="s">
        <v>44</v>
      </c>
    </row>
    <row r="2537" customFormat="false" ht="15" hidden="false" customHeight="true" outlineLevel="0" collapsed="false">
      <c r="A2537" s="12" t="n">
        <v>20290</v>
      </c>
      <c r="B2537" s="13" t="s">
        <v>10891</v>
      </c>
      <c r="C2537" s="16" t="n">
        <v>45854</v>
      </c>
      <c r="D2537" s="13" t="s">
        <v>2033</v>
      </c>
      <c r="E2537" s="15" t="s">
        <v>47</v>
      </c>
      <c r="F2537" s="15" t="str">
        <f aca="false">IFERROR(__xludf.dummyfunction("XLOOKUP(AJ2537,IMPORTRANGE(""1XaInW9DU9nz21V0tYIfzFQ0He9kVQ_JF2mCXgZ3hqFA"",""REKAP ALL 2026 - Andika!G:G""),IMPORTRANGE(""1XaInW9DU9nz21V0tYIfzFQ0He9kVQ_JF2mCXgZ3hqFA"",""REKAP ALL 2026 - Andika!F:F""),"""",0)"),"25115948397")</f>
        <v>25115948397</v>
      </c>
      <c r="G2537" s="13" t="s">
        <v>10892</v>
      </c>
      <c r="H2537" s="13" t="s">
        <v>2035</v>
      </c>
      <c r="I2537" s="13" t="str">
        <f aca="false">IF(C2537=J2537,"NEW KONTRAK","RE-KONTRAK")</f>
        <v>NEW KONTRAK</v>
      </c>
      <c r="J2537" s="16" t="n">
        <f aca="false" t="array" ref="J2537:J2537">IFERROR(INDEX(AC2537:AE2537,IF(COUNTA(AC2537:AE2537)=0,"",MAX((AC2537:AE2537&lt;&gt;"")*(COLUMN(AC2537:AE2537)-(COLUMN(AC2537)))))-1),"")</f>
        <v>45854</v>
      </c>
      <c r="K2537" s="16" t="n">
        <f aca="false" t="array" ref="K2537:K2537">IFERROR(INDEX(AC2537:AE2537,IF(COUNTA(AC2537:AE2537)=0,"",MAX((AC2537:AE2537&lt;&gt;"")*(COLUMN(AC2537:AE2537)-(COLUMN(AC2537)-1))))-1),"")</f>
        <v>45914</v>
      </c>
      <c r="L2537" s="17" t="str">
        <f aca="false" t="array" ref="L2537:L2537">IFERROR(INDEX(AC2537:AE2537,IF(COUNTA(AC2537:AE2537)=0,"",MAX((AC2537:AE2537&lt;&gt;"")*(COLUMN(AC2537:AE2537)-(COLUMN(AC2537)-2))))-1),"")</f>
        <v>ARCHIVED</v>
      </c>
      <c r="M2537" s="13" t="n">
        <f aca="true">K2537-TODAY()</f>
        <v>-410</v>
      </c>
      <c r="N2537" s="68" t="s">
        <v>5852</v>
      </c>
      <c r="O2537" s="13" t="s">
        <v>2037</v>
      </c>
      <c r="P2537" s="19" t="n">
        <v>3019015</v>
      </c>
      <c r="Q2537" s="20" t="s">
        <v>10893</v>
      </c>
      <c r="R2537" s="13" t="s">
        <v>10894</v>
      </c>
      <c r="S2537" s="16" t="n">
        <v>39262</v>
      </c>
      <c r="T2537" s="13" t="s">
        <v>108</v>
      </c>
      <c r="U2537" s="13" t="s">
        <v>10895</v>
      </c>
      <c r="V2537" s="13" t="s">
        <v>1310</v>
      </c>
      <c r="W2537" s="13" t="s">
        <v>43</v>
      </c>
      <c r="X2537" s="21" t="n">
        <v>87811481559</v>
      </c>
      <c r="Y2537" s="22" t="str">
        <f aca="false">O2537</f>
        <v>SPG/BA</v>
      </c>
      <c r="Z2537" s="13" t="str">
        <f aca="false">IFERROR(__xludf.dummyfunction("if(BJ2537="""","""",GOOGLETRANSLATE(BJ2537,""auto"",""en""))"),"SPG/BA")</f>
        <v>SPG/BA</v>
      </c>
      <c r="AA2537" s="23" t="str">
        <f aca="false">IF(C2537="","", CHOOSE(MONTH(C2537),"January","February","March","April","May","June","July","August","September","October","November","December")&amp;" "&amp;DAY(C2537)&amp;MID("thstndrdth",MIN(9,2*RIGHT(DAY(C2537))*(MOD(DAY(C2537)-11,100)&gt;2)+1),2)&amp;","&amp;TEXT(C2537," yyyy"))</f>
        <v>July 16th,2025</v>
      </c>
      <c r="AB2537" s="15" t="str">
        <f aca="true">IF(S2537="","",DATEDIF(S2537,TODAY(),"Y")&amp;" Tahun, "&amp;DATEDIF(S2537,TODAY(),"YM")&amp;" Bulan, "&amp;DATEDIF(S2537,TODAY(),"MD")&amp;" Hari")</f>
        <v>19 Tahun, 4 Bulan, 0 Hari</v>
      </c>
      <c r="AC2537" s="18" t="n">
        <v>45854</v>
      </c>
      <c r="AD2537" s="18" t="n">
        <v>45914</v>
      </c>
      <c r="AE2537" s="18" t="s">
        <v>44</v>
      </c>
    </row>
    <row r="2538" customFormat="false" ht="15" hidden="false" customHeight="true" outlineLevel="0" collapsed="false">
      <c r="A2538" s="12" t="n">
        <v>20791</v>
      </c>
      <c r="B2538" s="13" t="s">
        <v>10896</v>
      </c>
      <c r="C2538" s="16" t="n">
        <v>45891</v>
      </c>
      <c r="D2538" s="13" t="s">
        <v>2033</v>
      </c>
      <c r="E2538" s="15" t="s">
        <v>47</v>
      </c>
      <c r="F2538" s="15" t="str">
        <f aca="false">IFERROR(__xludf.dummyfunction("XLOOKUP(AJ2538,IMPORTRANGE(""1XaInW9DU9nz21V0tYIfzFQ0He9kVQ_JF2mCXgZ3hqFA"",""REKAP ALL 2026 - Andika!G:G""),IMPORTRANGE(""1XaInW9DU9nz21V0tYIfzFQ0He9kVQ_JF2mCXgZ3hqFA"",""REKAP ALL 2026 - Andika!F:F""),"""",0)"),"25133235231")</f>
        <v>25133235231</v>
      </c>
      <c r="G2538" s="13" t="s">
        <v>1127</v>
      </c>
      <c r="H2538" s="13" t="s">
        <v>2035</v>
      </c>
      <c r="I2538" s="13" t="str">
        <f aca="false">IF(C2538=J2538,"NEW KONTRAK","RE-KONTRAK")</f>
        <v>NEW KONTRAK</v>
      </c>
      <c r="J2538" s="16" t="n">
        <f aca="false" t="array" ref="J2538:J2538">IFERROR(INDEX(AC2538:AE2538,IF(COUNTA(AC2538:AE2538)=0,"",MAX((AC2538:AE2538&lt;&gt;"")*(COLUMN(AC2538:AE2538)-(COLUMN(AC2538)))))-1),"")</f>
        <v>45891</v>
      </c>
      <c r="K2538" s="16" t="n">
        <f aca="false" t="array" ref="K2538:K2538">IFERROR(INDEX(AC2538:AE2538,IF(COUNTA(AC2538:AE2538)=0,"",MAX((AC2538:AE2538&lt;&gt;"")*(COLUMN(AC2538:AE2538)-(COLUMN(AC2538)-1))))-1),"")</f>
        <v>45915</v>
      </c>
      <c r="L2538" s="17" t="str">
        <f aca="false" t="array" ref="L2538:L2538">IFERROR(INDEX(AC2538:AE2538,IF(COUNTA(AC2538:AE2538)=0,"",MAX((AC2538:AE2538&lt;&gt;"")*(COLUMN(AC2538:AE2538)-(COLUMN(AC2538)-2))))-1),"")</f>
        <v>ARCHIVED</v>
      </c>
      <c r="M2538" s="13" t="n">
        <f aca="true">K2538-TODAY()</f>
        <v>-409</v>
      </c>
      <c r="N2538" s="18" t="s">
        <v>3703</v>
      </c>
      <c r="O2538" s="13" t="s">
        <v>2037</v>
      </c>
      <c r="P2538" s="19" t="n">
        <v>2818585</v>
      </c>
      <c r="Q2538" s="47" t="s">
        <v>10897</v>
      </c>
      <c r="R2538" s="13" t="s">
        <v>3703</v>
      </c>
      <c r="S2538" s="16" t="n">
        <v>35574</v>
      </c>
      <c r="T2538" s="13" t="s">
        <v>108</v>
      </c>
      <c r="U2538" s="13" t="s">
        <v>10898</v>
      </c>
      <c r="V2538" s="13" t="s">
        <v>42</v>
      </c>
      <c r="W2538" s="13" t="s">
        <v>54</v>
      </c>
      <c r="X2538" s="21" t="n">
        <v>85876068597</v>
      </c>
      <c r="Y2538" s="22" t="str">
        <f aca="false">O2538</f>
        <v>SPG/BA</v>
      </c>
      <c r="Z2538" s="13" t="str">
        <f aca="false">IFERROR(__xludf.dummyfunction("if(BJ2538="""","""",GOOGLETRANSLATE(BJ2538,""auto"",""en""))"),"SPG/BA")</f>
        <v>SPG/BA</v>
      </c>
      <c r="AA2538" s="23" t="str">
        <f aca="false">IF(C2538="","", CHOOSE(MONTH(C2538),"January","February","March","April","May","June","July","August","September","October","November","December")&amp;" "&amp;DAY(C2538)&amp;MID("thstndrdth",MIN(9,2*RIGHT(DAY(C2538))*(MOD(DAY(C2538)-11,100)&gt;2)+1),2)&amp;","&amp;TEXT(C2538," yyyy"))</f>
        <v>August 22nd,2025</v>
      </c>
      <c r="AB2538" s="15" t="str">
        <f aca="true">IF(S2538="","",DATEDIF(S2538,TODAY(),"Y")&amp;" Tahun, "&amp;DATEDIF(S2538,TODAY(),"YM")&amp;" Bulan, "&amp;DATEDIF(S2538,TODAY(),"MD")&amp;" Hari")</f>
        <v>29 Tahun, 5 Bulan, 5 Hari</v>
      </c>
      <c r="AC2538" s="18" t="n">
        <v>45891</v>
      </c>
      <c r="AD2538" s="18" t="n">
        <v>45915</v>
      </c>
      <c r="AE2538" s="18" t="s">
        <v>44</v>
      </c>
    </row>
    <row r="2539" customFormat="false" ht="15" hidden="false" customHeight="true" outlineLevel="0" collapsed="false">
      <c r="A2539" s="12" t="n">
        <v>20300</v>
      </c>
      <c r="B2539" s="13" t="s">
        <v>10899</v>
      </c>
      <c r="C2539" s="16" t="n">
        <v>45872</v>
      </c>
      <c r="D2539" s="13" t="s">
        <v>7534</v>
      </c>
      <c r="E2539" s="15" t="s">
        <v>47</v>
      </c>
      <c r="F2539" s="15" t="str">
        <f aca="false">IFERROR(__xludf.dummyfunction("XLOOKUP(AJ2539,IMPORTRANGE(""1XaInW9DU9nz21V0tYIfzFQ0He9kVQ_JF2mCXgZ3hqFA"",""REKAP ALL 2026 - Andika!G:G""),IMPORTRANGE(""1XaInW9DU9nz21V0tYIfzFQ0He9kVQ_JF2mCXgZ3hqFA"",""REKAP ALL 2026 - Andika!F:F""),"""",0)"),"25115949668")</f>
        <v>25115949668</v>
      </c>
      <c r="G2539" s="13" t="s">
        <v>10900</v>
      </c>
      <c r="H2539" s="13" t="s">
        <v>35</v>
      </c>
      <c r="I2539" s="13" t="str">
        <f aca="false">IF(C2539=J2539,"NEW KONTRAK","RE-KONTRAK")</f>
        <v>NEW KONTRAK</v>
      </c>
      <c r="J2539" s="16" t="n">
        <f aca="false" t="array" ref="J2539:J2539">IFERROR(INDEX(AC2539:AE2539,IF(COUNTA(AC2539:AE2539)=0,"",MAX((AC2539:AE2539&lt;&gt;"")*(COLUMN(AC2539:AE2539)-(COLUMN(AC2539)))))-1),"")</f>
        <v>45872</v>
      </c>
      <c r="K2539" s="16" t="n">
        <f aca="false" t="array" ref="K2539:K2539">IFERROR(INDEX(AC2539:AE2539,IF(COUNTA(AC2539:AE2539)=0,"",MAX((AC2539:AE2539&lt;&gt;"")*(COLUMN(AC2539:AE2539)-(COLUMN(AC2539)-1))))-1),"")</f>
        <v>45963</v>
      </c>
      <c r="L2539" s="17" t="str">
        <f aca="false" t="array" ref="L2539:L2539">IFERROR(INDEX(AC2539:AE2539,IF(COUNTA(AC2539:AE2539)=0,"",MAX((AC2539:AE2539&lt;&gt;"")*(COLUMN(AC2539:AE2539)-(COLUMN(AC2539)-2))))-1),"")</f>
        <v>ARCHIVED</v>
      </c>
      <c r="M2539" s="13" t="n">
        <f aca="true">K2539-TODAY()</f>
        <v>-361</v>
      </c>
      <c r="N2539" s="18" t="s">
        <v>4735</v>
      </c>
      <c r="O2539" s="13" t="s">
        <v>7536</v>
      </c>
      <c r="P2539" s="19" t="n">
        <v>3553530</v>
      </c>
      <c r="Q2539" s="20" t="s">
        <v>10901</v>
      </c>
      <c r="R2539" s="13" t="s">
        <v>83</v>
      </c>
      <c r="S2539" s="16" t="n">
        <v>38298</v>
      </c>
      <c r="T2539" s="13" t="s">
        <v>108</v>
      </c>
      <c r="U2539" s="13" t="s">
        <v>10902</v>
      </c>
      <c r="V2539" s="13" t="s">
        <v>42</v>
      </c>
      <c r="W2539" s="13" t="s">
        <v>43</v>
      </c>
      <c r="X2539" s="21" t="n">
        <v>85808733426</v>
      </c>
      <c r="Y2539" s="22" t="str">
        <f aca="false">O2539</f>
        <v>Host Live</v>
      </c>
      <c r="Z2539" s="13" t="str">
        <f aca="false">IFERROR(__xludf.dummyfunction("if(BJ2539="""","""",GOOGLETRANSLATE(BJ2539,""auto"",""en""))"),"Host Live")</f>
        <v>Host Live</v>
      </c>
      <c r="AA2539" s="23" t="str">
        <f aca="false">IF(C2539="","", CHOOSE(MONTH(C2539),"January","February","March","April","May","June","July","August","September","October","November","December")&amp;" "&amp;DAY(C2539)&amp;MID("thstndrdth",MIN(9,2*RIGHT(DAY(C2539))*(MOD(DAY(C2539)-11,100)&gt;2)+1),2)&amp;","&amp;TEXT(C2539," yyyy"))</f>
        <v>August 3rd,2025</v>
      </c>
      <c r="AB2539" s="15" t="str">
        <f aca="true">IF(S2539="","",DATEDIF(S2539,TODAY(),"Y")&amp;" Tahun, "&amp;DATEDIF(S2539,TODAY(),"YM")&amp;" Bulan, "&amp;DATEDIF(S2539,TODAY(),"MD")&amp;" Hari")</f>
        <v>21 Tahun, 11 Bulan, 22 Hari</v>
      </c>
      <c r="AC2539" s="18" t="n">
        <v>45872</v>
      </c>
      <c r="AD2539" s="18" t="n">
        <v>45963</v>
      </c>
      <c r="AE2539" s="18" t="s">
        <v>44</v>
      </c>
    </row>
    <row r="2540" customFormat="false" ht="15" hidden="false" customHeight="true" outlineLevel="0" collapsed="false">
      <c r="A2540" s="12" t="n">
        <v>20299</v>
      </c>
      <c r="B2540" s="13" t="s">
        <v>10903</v>
      </c>
      <c r="C2540" s="16" t="n">
        <v>45873</v>
      </c>
      <c r="D2540" s="13" t="s">
        <v>6638</v>
      </c>
      <c r="E2540" s="15" t="s">
        <v>33</v>
      </c>
      <c r="F2540" s="24" t="s">
        <v>10904</v>
      </c>
      <c r="G2540" s="13" t="s">
        <v>1127</v>
      </c>
      <c r="H2540" s="13" t="s">
        <v>35</v>
      </c>
      <c r="I2540" s="13" t="str">
        <f aca="false">IF(C2540=J2540,"NEW KONTRAK","RE-KONTRAK")</f>
        <v>NEW KONTRAK</v>
      </c>
      <c r="J2540" s="16" t="n">
        <f aca="false" t="array" ref="J2540:J2540">IFERROR(INDEX(AC2540:AE2540,IF(COUNTA(AC2540:AE2540)=0,"",MAX((AC2540:AE2540&lt;&gt;"")*(COLUMN(AC2540:AE2540)-(COLUMN(AC2540)))))-1),"")</f>
        <v>45873</v>
      </c>
      <c r="K2540" s="16" t="n">
        <f aca="false" t="array" ref="K2540:K2540">IFERROR(INDEX(AC2540:AE2540,IF(COUNTA(AC2540:AE2540)=0,"",MAX((AC2540:AE2540&lt;&gt;"")*(COLUMN(AC2540:AE2540)-(COLUMN(AC2540)-1))))-1),"")</f>
        <v>45964</v>
      </c>
      <c r="L2540" s="17" t="str">
        <f aca="false" t="array" ref="L2540:L2540">IFERROR(INDEX(AC2540:AE2540,IF(COUNTA(AC2540:AE2540)=0,"",MAX((AC2540:AE2540&lt;&gt;"")*(COLUMN(AC2540:AE2540)-(COLUMN(AC2540)-2))))-1),"")</f>
        <v>ARCHIVED</v>
      </c>
      <c r="M2540" s="13" t="n">
        <f aca="true">K2540-TODAY()</f>
        <v>-360</v>
      </c>
      <c r="N2540" s="18" t="s">
        <v>4735</v>
      </c>
      <c r="O2540" s="13" t="s">
        <v>10905</v>
      </c>
      <c r="P2540" s="19" t="n">
        <v>3113530</v>
      </c>
      <c r="Q2540" s="20" t="s">
        <v>10906</v>
      </c>
      <c r="R2540" s="13" t="s">
        <v>52</v>
      </c>
      <c r="S2540" s="16" t="n">
        <v>37597</v>
      </c>
      <c r="T2540" s="13" t="s">
        <v>108</v>
      </c>
      <c r="U2540" s="13" t="s">
        <v>10907</v>
      </c>
      <c r="V2540" s="13" t="s">
        <v>42</v>
      </c>
      <c r="W2540" s="13" t="s">
        <v>43</v>
      </c>
      <c r="X2540" s="21" t="n">
        <v>8558942933</v>
      </c>
      <c r="Y2540" s="22" t="str">
        <f aca="false">O2540</f>
        <v>Community Development Staff</v>
      </c>
      <c r="Z2540" s="13" t="str">
        <f aca="false">IFERROR(__xludf.dummyfunction("if(BJ2540="""","""",GOOGLETRANSLATE(BJ2540,""auto"",""en""))"),"Community Development Staff")</f>
        <v>Community Development Staff</v>
      </c>
      <c r="AA2540" s="23" t="str">
        <f aca="false">IF(C2540="","", CHOOSE(MONTH(C2540),"January","February","March","April","May","June","July","August","September","October","November","December")&amp;" "&amp;DAY(C2540)&amp;MID("thstndrdth",MIN(9,2*RIGHT(DAY(C2540))*(MOD(DAY(C2540)-11,100)&gt;2)+1),2)&amp;","&amp;TEXT(C2540," yyyy"))</f>
        <v>August 4th,2025</v>
      </c>
      <c r="AB2540" s="15" t="str">
        <f aca="true">IF(S2540="","",DATEDIF(S2540,TODAY(),"Y")&amp;" Tahun, "&amp;DATEDIF(S2540,TODAY(),"YM")&amp;" Bulan, "&amp;DATEDIF(S2540,TODAY(),"MD")&amp;" Hari")</f>
        <v>23 Tahun, 10 Bulan, 22 Hari</v>
      </c>
      <c r="AC2540" s="18" t="n">
        <v>45873</v>
      </c>
      <c r="AD2540" s="18" t="n">
        <v>45964</v>
      </c>
      <c r="AE2540" s="18" t="s">
        <v>44</v>
      </c>
    </row>
    <row r="2541" customFormat="false" ht="15" hidden="false" customHeight="true" outlineLevel="0" collapsed="false">
      <c r="A2541" s="12" t="n">
        <v>20302</v>
      </c>
      <c r="B2541" s="13" t="s">
        <v>10908</v>
      </c>
      <c r="C2541" s="16" t="n">
        <v>45869</v>
      </c>
      <c r="D2541" s="13" t="s">
        <v>4755</v>
      </c>
      <c r="E2541" s="15" t="s">
        <v>47</v>
      </c>
      <c r="F2541" s="15" t="str">
        <f aca="false">IFERROR(__xludf.dummyfunction("XLOOKUP(AJ2541,IMPORTRANGE(""1XaInW9DU9nz21V0tYIfzFQ0He9kVQ_JF2mCXgZ3hqFA"",""REKAP ALL 2026 - Andika!G:G""),IMPORTRANGE(""1XaInW9DU9nz21V0tYIfzFQ0He9kVQ_JF2mCXgZ3hqFA"",""REKAP ALL 2026 - Andika!F:F""),"""",0)"),"25099754530")</f>
        <v>25099754530</v>
      </c>
      <c r="G2541" s="13" t="s">
        <v>57</v>
      </c>
      <c r="H2541" s="13" t="s">
        <v>3024</v>
      </c>
      <c r="I2541" s="13" t="str">
        <f aca="false">IF(C2541=J2541,"NEW KONTRAK","RE-KONTRAK")</f>
        <v>NEW KONTRAK</v>
      </c>
      <c r="J2541" s="16" t="n">
        <f aca="false" t="array" ref="J2541:J2541">IFERROR(INDEX(AC2541:AE2541,IF(COUNTA(AC2541:AE2541)=0,"",MAX((AC2541:AE2541&lt;&gt;"")*(COLUMN(AC2541:AE2541)-(COLUMN(AC2541)))))-1),"")</f>
        <v>45869</v>
      </c>
      <c r="K2541" s="16" t="n">
        <f aca="false" t="array" ref="K2541:K2541">IFERROR(INDEX(AC2541:AE2541,IF(COUNTA(AC2541:AE2541)=0,"",MAX((AC2541:AE2541&lt;&gt;"")*(COLUMN(AC2541:AE2541)-(COLUMN(AC2541)-1))))-1),"")</f>
        <v>45960</v>
      </c>
      <c r="L2541" s="17" t="str">
        <f aca="false" t="array" ref="L2541:L2541">IFERROR(INDEX(AC2541:AE2541,IF(COUNTA(AC2541:AE2541)=0,"",MAX((AC2541:AE2541&lt;&gt;"")*(COLUMN(AC2541:AE2541)-(COLUMN(AC2541)-2))))-1),"")</f>
        <v>ARCHIVED</v>
      </c>
      <c r="M2541" s="13" t="n">
        <f aca="true">K2541-TODAY()</f>
        <v>-364</v>
      </c>
      <c r="N2541" s="18" t="s">
        <v>615</v>
      </c>
      <c r="O2541" s="13" t="s">
        <v>4756</v>
      </c>
      <c r="P2541" s="19" t="n">
        <v>207044</v>
      </c>
      <c r="Q2541" s="20" t="s">
        <v>10909</v>
      </c>
      <c r="R2541" s="13" t="s">
        <v>232</v>
      </c>
      <c r="S2541" s="16" t="n">
        <v>37371</v>
      </c>
      <c r="T2541" s="13" t="s">
        <v>40</v>
      </c>
      <c r="U2541" s="13" t="s">
        <v>10910</v>
      </c>
      <c r="V2541" s="13" t="s">
        <v>42</v>
      </c>
      <c r="W2541" s="13" t="s">
        <v>43</v>
      </c>
      <c r="X2541" s="21" t="n">
        <v>88217189760</v>
      </c>
      <c r="Y2541" s="22" t="str">
        <f aca="false">O2541</f>
        <v>Reliever</v>
      </c>
      <c r="Z2541" s="13" t="str">
        <f aca="false">IFERROR(__xludf.dummyfunction("if(BJ2541="""","""",GOOGLETRANSLATE(BJ2541,""auto"",""en""))"),"Reliever")</f>
        <v>Reliever</v>
      </c>
      <c r="AA2541" s="23" t="str">
        <f aca="false">IF(C2541="","", CHOOSE(MONTH(C2541),"January","February","March","April","May","June","July","August","September","October","November","December")&amp;" "&amp;DAY(C2541)&amp;MID("thstndrdth",MIN(9,2*RIGHT(DAY(C2541))*(MOD(DAY(C2541)-11,100)&gt;2)+1),2)&amp;","&amp;TEXT(C2541," yyyy"))</f>
        <v>July 31st,2025</v>
      </c>
      <c r="AB2541" s="15" t="str">
        <f aca="true">IF(S2541="","",DATEDIF(S2541,TODAY(),"Y")&amp;" Tahun, "&amp;DATEDIF(S2541,TODAY(),"YM")&amp;" Bulan, "&amp;DATEDIF(S2541,TODAY(),"MD")&amp;" Hari")</f>
        <v>24 Tahun, 6 Bulan, 4 Hari</v>
      </c>
      <c r="AC2541" s="18" t="n">
        <v>45869</v>
      </c>
      <c r="AD2541" s="18" t="n">
        <v>45960</v>
      </c>
      <c r="AE2541" s="18" t="s">
        <v>44</v>
      </c>
    </row>
    <row r="2542" customFormat="false" ht="15" hidden="false" customHeight="true" outlineLevel="0" collapsed="false">
      <c r="A2542" s="12" t="n">
        <v>20305</v>
      </c>
      <c r="B2542" s="13" t="s">
        <v>10911</v>
      </c>
      <c r="C2542" s="16" t="n">
        <v>45869</v>
      </c>
      <c r="D2542" s="13" t="s">
        <v>4755</v>
      </c>
      <c r="E2542" s="15" t="s">
        <v>47</v>
      </c>
      <c r="F2542" s="15" t="str">
        <f aca="false">IFERROR(__xludf.dummyfunction("XLOOKUP(AJ2542,IMPORTRANGE(""1XaInW9DU9nz21V0tYIfzFQ0He9kVQ_JF2mCXgZ3hqFA"",""REKAP ALL 2026 - Andika!G:G""),IMPORTRANGE(""1XaInW9DU9nz21V0tYIfzFQ0He9kVQ_JF2mCXgZ3hqFA"",""REKAP ALL 2026 - Andika!F:F""),"""",0)"),"25099754563")</f>
        <v>25099754563</v>
      </c>
      <c r="G2542" s="13" t="s">
        <v>57</v>
      </c>
      <c r="H2542" s="13" t="s">
        <v>3024</v>
      </c>
      <c r="I2542" s="13" t="str">
        <f aca="false">IF(C2542=J2542,"NEW KONTRAK","RE-KONTRAK")</f>
        <v>NEW KONTRAK</v>
      </c>
      <c r="J2542" s="16" t="n">
        <f aca="false" t="array" ref="J2542:J2542">IFERROR(INDEX(AC2542:AE2542,IF(COUNTA(AC2542:AE2542)=0,"",MAX((AC2542:AE2542&lt;&gt;"")*(COLUMN(AC2542:AE2542)-(COLUMN(AC2542)))))-1),"")</f>
        <v>45869</v>
      </c>
      <c r="K2542" s="16" t="n">
        <f aca="false" t="array" ref="K2542:K2542">IFERROR(INDEX(AC2542:AE2542,IF(COUNTA(AC2542:AE2542)=0,"",MAX((AC2542:AE2542&lt;&gt;"")*(COLUMN(AC2542:AE2542)-(COLUMN(AC2542)-1))))-1),"")</f>
        <v>45960</v>
      </c>
      <c r="L2542" s="17" t="str">
        <f aca="false" t="array" ref="L2542:L2542">IFERROR(INDEX(AC2542:AE2542,IF(COUNTA(AC2542:AE2542)=0,"",MAX((AC2542:AE2542&lt;&gt;"")*(COLUMN(AC2542:AE2542)-(COLUMN(AC2542)-2))))-1),"")</f>
        <v>ARCHIVED</v>
      </c>
      <c r="M2542" s="13" t="n">
        <f aca="true">K2542-TODAY()</f>
        <v>-364</v>
      </c>
      <c r="N2542" s="18" t="s">
        <v>615</v>
      </c>
      <c r="O2542" s="13" t="s">
        <v>4756</v>
      </c>
      <c r="P2542" s="19" t="n">
        <v>207044</v>
      </c>
      <c r="Q2542" s="20" t="s">
        <v>10912</v>
      </c>
      <c r="R2542" s="13" t="s">
        <v>232</v>
      </c>
      <c r="S2542" s="16" t="n">
        <v>34712</v>
      </c>
      <c r="T2542" s="13" t="s">
        <v>40</v>
      </c>
      <c r="U2542" s="13" t="s">
        <v>10913</v>
      </c>
      <c r="V2542" s="13" t="s">
        <v>42</v>
      </c>
      <c r="W2542" s="13" t="s">
        <v>54</v>
      </c>
      <c r="X2542" s="21" t="n">
        <v>85717979240</v>
      </c>
      <c r="Y2542" s="22" t="str">
        <f aca="false">O2542</f>
        <v>Reliever</v>
      </c>
      <c r="Z2542" s="13" t="str">
        <f aca="false">IFERROR(__xludf.dummyfunction("if(BJ2542="""","""",GOOGLETRANSLATE(BJ2542,""auto"",""en""))"),"Reliever")</f>
        <v>Reliever</v>
      </c>
      <c r="AA2542" s="23" t="str">
        <f aca="false">IF(C2542="","", CHOOSE(MONTH(C2542),"January","February","March","April","May","June","July","August","September","October","November","December")&amp;" "&amp;DAY(C2542)&amp;MID("thstndrdth",MIN(9,2*RIGHT(DAY(C2542))*(MOD(DAY(C2542)-11,100)&gt;2)+1),2)&amp;","&amp;TEXT(C2542," yyyy"))</f>
        <v>July 31st,2025</v>
      </c>
      <c r="AB2542" s="15" t="str">
        <f aca="true">IF(S2542="","",DATEDIF(S2542,TODAY(),"Y")&amp;" Tahun, "&amp;DATEDIF(S2542,TODAY(),"YM")&amp;" Bulan, "&amp;DATEDIF(S2542,TODAY(),"MD")&amp;" Hari")</f>
        <v>31 Tahun, 9 Bulan, 16 Hari</v>
      </c>
      <c r="AC2542" s="18" t="n">
        <v>45869</v>
      </c>
      <c r="AD2542" s="18" t="n">
        <v>45960</v>
      </c>
      <c r="AE2542" s="18" t="s">
        <v>44</v>
      </c>
    </row>
    <row r="2543" customFormat="false" ht="15" hidden="false" customHeight="true" outlineLevel="0" collapsed="false">
      <c r="A2543" s="12" t="n">
        <v>20303</v>
      </c>
      <c r="B2543" s="13" t="s">
        <v>10914</v>
      </c>
      <c r="C2543" s="16" t="n">
        <v>45869</v>
      </c>
      <c r="D2543" s="13" t="s">
        <v>4755</v>
      </c>
      <c r="E2543" s="15" t="s">
        <v>704</v>
      </c>
      <c r="F2543" s="24" t="s">
        <v>10915</v>
      </c>
      <c r="G2543" s="13" t="s">
        <v>57</v>
      </c>
      <c r="H2543" s="13" t="s">
        <v>3024</v>
      </c>
      <c r="I2543" s="13" t="str">
        <f aca="false">IF(C2543=J2543,"NEW KONTRAK","RE-KONTRAK")</f>
        <v>NEW KONTRAK</v>
      </c>
      <c r="J2543" s="16" t="n">
        <f aca="false" t="array" ref="J2543:J2543">IFERROR(INDEX(AC2543:AE2543,IF(COUNTA(AC2543:AE2543)=0,"",MAX((AC2543:AE2543&lt;&gt;"")*(COLUMN(AC2543:AE2543)-(COLUMN(AC2543)))))-1),"")</f>
        <v>45869</v>
      </c>
      <c r="K2543" s="16" t="n">
        <f aca="false" t="array" ref="K2543:K2543">IFERROR(INDEX(AC2543:AE2543,IF(COUNTA(AC2543:AE2543)=0,"",MAX((AC2543:AE2543&lt;&gt;"")*(COLUMN(AC2543:AE2543)-(COLUMN(AC2543)-1))))-1),"")</f>
        <v>45960</v>
      </c>
      <c r="L2543" s="17" t="str">
        <f aca="false" t="array" ref="L2543:L2543">IFERROR(INDEX(AC2543:AE2543,IF(COUNTA(AC2543:AE2543)=0,"",MAX((AC2543:AE2543&lt;&gt;"")*(COLUMN(AC2543:AE2543)-(COLUMN(AC2543)-2))))-1),"")</f>
        <v>ARCHIVED</v>
      </c>
      <c r="M2543" s="13" t="n">
        <f aca="true">K2543-TODAY()</f>
        <v>-364</v>
      </c>
      <c r="N2543" s="18" t="s">
        <v>615</v>
      </c>
      <c r="O2543" s="13" t="s">
        <v>4756</v>
      </c>
      <c r="P2543" s="19" t="n">
        <f aca="false">4856026/21</f>
        <v>231239.333333333</v>
      </c>
      <c r="Q2543" s="20" t="s">
        <v>10916</v>
      </c>
      <c r="R2543" s="13" t="s">
        <v>232</v>
      </c>
      <c r="S2543" s="16" t="n">
        <v>38575</v>
      </c>
      <c r="T2543" s="13" t="s">
        <v>40</v>
      </c>
      <c r="U2543" s="13" t="s">
        <v>7070</v>
      </c>
      <c r="V2543" s="13" t="s">
        <v>42</v>
      </c>
      <c r="W2543" s="13" t="s">
        <v>43</v>
      </c>
      <c r="X2543" s="21" t="n">
        <v>81943313423</v>
      </c>
      <c r="Y2543" s="22" t="str">
        <f aca="false">O2543</f>
        <v>Reliever</v>
      </c>
      <c r="Z2543" s="13" t="str">
        <f aca="false">IFERROR(__xludf.dummyfunction("if(BJ2543="""","""",GOOGLETRANSLATE(BJ2543,""auto"",""en""))"),"Reliever")</f>
        <v>Reliever</v>
      </c>
      <c r="AA2543" s="23" t="str">
        <f aca="false">IF(C2543="","", CHOOSE(MONTH(C2543),"January","February","March","April","May","June","July","August","September","October","November","December")&amp;" "&amp;DAY(C2543)&amp;MID("thstndrdth",MIN(9,2*RIGHT(DAY(C2543))*(MOD(DAY(C2543)-11,100)&gt;2)+1),2)&amp;","&amp;TEXT(C2543," yyyy"))</f>
        <v>July 31st,2025</v>
      </c>
      <c r="AB2543" s="15" t="str">
        <f aca="true">IF(S2543="","",DATEDIF(S2543,TODAY(),"Y")&amp;" Tahun, "&amp;DATEDIF(S2543,TODAY(),"YM")&amp;" Bulan, "&amp;DATEDIF(S2543,TODAY(),"MD")&amp;" Hari")</f>
        <v>21 Tahun, 2 Bulan, 18 Hari</v>
      </c>
      <c r="AC2543" s="18" t="n">
        <v>45869</v>
      </c>
      <c r="AD2543" s="18" t="n">
        <v>45960</v>
      </c>
      <c r="AE2543" s="18" t="s">
        <v>44</v>
      </c>
    </row>
    <row r="2544" customFormat="false" ht="15" hidden="false" customHeight="true" outlineLevel="0" collapsed="false">
      <c r="A2544" s="12" t="n">
        <v>20306</v>
      </c>
      <c r="B2544" s="13" t="s">
        <v>10917</v>
      </c>
      <c r="C2544" s="16" t="n">
        <v>45866</v>
      </c>
      <c r="D2544" s="13" t="s">
        <v>4755</v>
      </c>
      <c r="E2544" s="15" t="s">
        <v>47</v>
      </c>
      <c r="F2544" s="15" t="str">
        <f aca="false">IFERROR(__xludf.dummyfunction("XLOOKUP(AJ2544,IMPORTRANGE(""1XaInW9DU9nz21V0tYIfzFQ0He9kVQ_JF2mCXgZ3hqFA"",""REKAP ALL 2026 - Andika!G:G""),IMPORTRANGE(""1XaInW9DU9nz21V0tYIfzFQ0He9kVQ_JF2mCXgZ3hqFA"",""REKAP ALL 2026 - Andika!F:F""),"""",0)"),"25099754571")</f>
        <v>25099754571</v>
      </c>
      <c r="G2544" s="13" t="s">
        <v>57</v>
      </c>
      <c r="H2544" s="13" t="s">
        <v>3024</v>
      </c>
      <c r="I2544" s="13" t="str">
        <f aca="false">IF(C2544=J2544,"NEW KONTRAK","RE-KONTRAK")</f>
        <v>NEW KONTRAK</v>
      </c>
      <c r="J2544" s="16" t="n">
        <f aca="false" t="array" ref="J2544:J2544">IFERROR(INDEX(AC2544:AE2544,IF(COUNTA(AC2544:AE2544)=0,"",MAX((AC2544:AE2544&lt;&gt;"")*(COLUMN(AC2544:AE2544)-(COLUMN(AC2544)))))-1),"")</f>
        <v>45866</v>
      </c>
      <c r="K2544" s="16" t="n">
        <f aca="false" t="array" ref="K2544:K2544">IFERROR(INDEX(AC2544:AE2544,IF(COUNTA(AC2544:AE2544)=0,"",MAX((AC2544:AE2544&lt;&gt;"")*(COLUMN(AC2544:AE2544)-(COLUMN(AC2544)-1))))-1),"")</f>
        <v>45957</v>
      </c>
      <c r="L2544" s="17" t="str">
        <f aca="false" t="array" ref="L2544:L2544">IFERROR(INDEX(AC2544:AE2544,IF(COUNTA(AC2544:AE2544)=0,"",MAX((AC2544:AE2544&lt;&gt;"")*(COLUMN(AC2544:AE2544)-(COLUMN(AC2544)-2))))-1),"")</f>
        <v>ARCHIVED</v>
      </c>
      <c r="M2544" s="13" t="n">
        <f aca="true">K2544-TODAY()</f>
        <v>-367</v>
      </c>
      <c r="N2544" s="18" t="s">
        <v>615</v>
      </c>
      <c r="O2544" s="13" t="s">
        <v>4756</v>
      </c>
      <c r="P2544" s="19" t="n">
        <v>207044</v>
      </c>
      <c r="Q2544" s="20" t="s">
        <v>10918</v>
      </c>
      <c r="R2544" s="13" t="s">
        <v>232</v>
      </c>
      <c r="S2544" s="16" t="n">
        <v>38660</v>
      </c>
      <c r="T2544" s="13" t="s">
        <v>40</v>
      </c>
      <c r="U2544" s="13" t="s">
        <v>10919</v>
      </c>
      <c r="V2544" s="13" t="s">
        <v>42</v>
      </c>
      <c r="W2544" s="13" t="s">
        <v>43</v>
      </c>
      <c r="X2544" s="21" t="n">
        <v>85648779448</v>
      </c>
      <c r="Y2544" s="22" t="str">
        <f aca="false">O2544</f>
        <v>Reliever</v>
      </c>
      <c r="Z2544" s="13" t="str">
        <f aca="false">IFERROR(__xludf.dummyfunction("if(BJ2544="""","""",GOOGLETRANSLATE(BJ2544,""auto"",""en""))"),"Reliever")</f>
        <v>Reliever</v>
      </c>
      <c r="AA2544" s="23" t="str">
        <f aca="false">IF(C2544="","", CHOOSE(MONTH(C2544),"January","February","March","April","May","June","July","August","September","October","November","December")&amp;" "&amp;DAY(C2544)&amp;MID("thstndrdth",MIN(9,2*RIGHT(DAY(C2544))*(MOD(DAY(C2544)-11,100)&gt;2)+1),2)&amp;","&amp;TEXT(C2544," yyyy"))</f>
        <v>July 28th,2025</v>
      </c>
      <c r="AB2544" s="15" t="str">
        <f aca="true">IF(S2544="","",DATEDIF(S2544,TODAY(),"Y")&amp;" Tahun, "&amp;DATEDIF(S2544,TODAY(),"YM")&amp;" Bulan, "&amp;DATEDIF(S2544,TODAY(),"MD")&amp;" Hari")</f>
        <v>20 Tahun, 11 Bulan, 25 Hari</v>
      </c>
      <c r="AC2544" s="18" t="n">
        <v>45866</v>
      </c>
      <c r="AD2544" s="18" t="n">
        <v>45957</v>
      </c>
      <c r="AE2544" s="18" t="s">
        <v>44</v>
      </c>
    </row>
    <row r="2545" customFormat="false" ht="15" hidden="false" customHeight="true" outlineLevel="0" collapsed="false">
      <c r="A2545" s="12" t="n">
        <v>20309</v>
      </c>
      <c r="B2545" s="13" t="s">
        <v>10920</v>
      </c>
      <c r="C2545" s="16" t="n">
        <v>45866</v>
      </c>
      <c r="D2545" s="13" t="s">
        <v>4755</v>
      </c>
      <c r="E2545" s="15" t="s">
        <v>47</v>
      </c>
      <c r="F2545" s="15" t="str">
        <f aca="false">IFERROR(__xludf.dummyfunction("XLOOKUP(AJ2545,IMPORTRANGE(""1XaInW9DU9nz21V0tYIfzFQ0He9kVQ_JF2mCXgZ3hqFA"",""REKAP ALL 2026 - Andika!G:G""),IMPORTRANGE(""1XaInW9DU9nz21V0tYIfzFQ0He9kVQ_JF2mCXgZ3hqFA"",""REKAP ALL 2026 - Andika!F:F""),"""",0)"),"25099754605")</f>
        <v>25099754605</v>
      </c>
      <c r="G2545" s="13" t="s">
        <v>57</v>
      </c>
      <c r="H2545" s="13" t="s">
        <v>3024</v>
      </c>
      <c r="I2545" s="13" t="str">
        <f aca="false">IF(C2545=J2545,"NEW KONTRAK","RE-KONTRAK")</f>
        <v>NEW KONTRAK</v>
      </c>
      <c r="J2545" s="16" t="n">
        <f aca="false" t="array" ref="J2545:J2545">IFERROR(INDEX(AC2545:AE2545,IF(COUNTA(AC2545:AE2545)=0,"",MAX((AC2545:AE2545&lt;&gt;"")*(COLUMN(AC2545:AE2545)-(COLUMN(AC2545)))))-1),"")</f>
        <v>45866</v>
      </c>
      <c r="K2545" s="16" t="n">
        <f aca="false" t="array" ref="K2545:K2545">IFERROR(INDEX(AC2545:AE2545,IF(COUNTA(AC2545:AE2545)=0,"",MAX((AC2545:AE2545&lt;&gt;"")*(COLUMN(AC2545:AE2545)-(COLUMN(AC2545)-1))))-1),"")</f>
        <v>45957</v>
      </c>
      <c r="L2545" s="17" t="str">
        <f aca="false" t="array" ref="L2545:L2545">IFERROR(INDEX(AC2545:AE2545,IF(COUNTA(AC2545:AE2545)=0,"",MAX((AC2545:AE2545&lt;&gt;"")*(COLUMN(AC2545:AE2545)-(COLUMN(AC2545)-2))))-1),"")</f>
        <v>ARCHIVED</v>
      </c>
      <c r="M2545" s="13" t="n">
        <f aca="true">K2545-TODAY()</f>
        <v>-367</v>
      </c>
      <c r="N2545" s="18" t="s">
        <v>615</v>
      </c>
      <c r="O2545" s="13" t="s">
        <v>4756</v>
      </c>
      <c r="P2545" s="19" t="n">
        <v>207044</v>
      </c>
      <c r="Q2545" s="20" t="s">
        <v>10921</v>
      </c>
      <c r="R2545" s="13" t="s">
        <v>232</v>
      </c>
      <c r="S2545" s="16" t="n">
        <v>39324</v>
      </c>
      <c r="T2545" s="13" t="s">
        <v>40</v>
      </c>
      <c r="U2545" s="13" t="s">
        <v>3807</v>
      </c>
      <c r="V2545" s="13" t="s">
        <v>42</v>
      </c>
      <c r="W2545" s="13" t="s">
        <v>43</v>
      </c>
      <c r="X2545" s="21" t="n">
        <v>85649467778</v>
      </c>
      <c r="Y2545" s="22" t="str">
        <f aca="false">O2545</f>
        <v>Reliever</v>
      </c>
      <c r="Z2545" s="13" t="str">
        <f aca="false">IFERROR(__xludf.dummyfunction("if(BJ2545="""","""",GOOGLETRANSLATE(BJ2545,""auto"",""en""))"),"Reliever")</f>
        <v>Reliever</v>
      </c>
      <c r="AA2545" s="23" t="str">
        <f aca="false">IF(C2545="","", CHOOSE(MONTH(C2545),"January","February","March","April","May","June","July","August","September","October","November","December")&amp;" "&amp;DAY(C2545)&amp;MID("thstndrdth",MIN(9,2*RIGHT(DAY(C2545))*(MOD(DAY(C2545)-11,100)&gt;2)+1),2)&amp;","&amp;TEXT(C2545," yyyy"))</f>
        <v>July 28th,2025</v>
      </c>
      <c r="AB2545" s="15" t="str">
        <f aca="true">IF(S2545="","",DATEDIF(S2545,TODAY(),"Y")&amp;" Tahun, "&amp;DATEDIF(S2545,TODAY(),"YM")&amp;" Bulan, "&amp;DATEDIF(S2545,TODAY(),"MD")&amp;" Hari")</f>
        <v>19 Tahun, 1 Bulan, 29 Hari</v>
      </c>
      <c r="AC2545" s="18" t="n">
        <v>45866</v>
      </c>
      <c r="AD2545" s="18" t="n">
        <v>45957</v>
      </c>
      <c r="AE2545" s="18" t="s">
        <v>44</v>
      </c>
    </row>
    <row r="2546" customFormat="false" ht="15" hidden="false" customHeight="true" outlineLevel="0" collapsed="false">
      <c r="A2546" s="12" t="n">
        <v>20308</v>
      </c>
      <c r="B2546" s="13" t="s">
        <v>10922</v>
      </c>
      <c r="C2546" s="16" t="n">
        <v>45866</v>
      </c>
      <c r="D2546" s="13" t="s">
        <v>4755</v>
      </c>
      <c r="E2546" s="15" t="s">
        <v>704</v>
      </c>
      <c r="F2546" s="24" t="s">
        <v>10923</v>
      </c>
      <c r="G2546" s="13" t="s">
        <v>57</v>
      </c>
      <c r="H2546" s="13" t="s">
        <v>3024</v>
      </c>
      <c r="I2546" s="13" t="str">
        <f aca="false">IF(C2546=J2546,"NEW KONTRAK","RE-KONTRAK")</f>
        <v>NEW KONTRAK</v>
      </c>
      <c r="J2546" s="16" t="n">
        <f aca="false" t="array" ref="J2546:J2546">IFERROR(INDEX(AC2546:AE2546,IF(COUNTA(AC2546:AE2546)=0,"",MAX((AC2546:AE2546&lt;&gt;"")*(COLUMN(AC2546:AE2546)-(COLUMN(AC2546)))))-1),"")</f>
        <v>45866</v>
      </c>
      <c r="K2546" s="16" t="n">
        <f aca="false" t="array" ref="K2546:K2546">IFERROR(INDEX(AC2546:AE2546,IF(COUNTA(AC2546:AE2546)=0,"",MAX((AC2546:AE2546&lt;&gt;"")*(COLUMN(AC2546:AE2546)-(COLUMN(AC2546)-1))))-1),"")</f>
        <v>45957</v>
      </c>
      <c r="L2546" s="17" t="str">
        <f aca="false" t="array" ref="L2546:L2546">IFERROR(INDEX(AC2546:AE2546,IF(COUNTA(AC2546:AE2546)=0,"",MAX((AC2546:AE2546&lt;&gt;"")*(COLUMN(AC2546:AE2546)-(COLUMN(AC2546)-2))))-1),"")</f>
        <v>ARCHIVED</v>
      </c>
      <c r="M2546" s="13" t="n">
        <f aca="true">K2546-TODAY()</f>
        <v>-367</v>
      </c>
      <c r="N2546" s="18" t="s">
        <v>615</v>
      </c>
      <c r="O2546" s="13" t="s">
        <v>4756</v>
      </c>
      <c r="P2546" s="19" t="n">
        <f aca="false">4856026/21</f>
        <v>231239.333333333</v>
      </c>
      <c r="Q2546" s="20" t="s">
        <v>10924</v>
      </c>
      <c r="R2546" s="13" t="s">
        <v>232</v>
      </c>
      <c r="S2546" s="16" t="n">
        <v>35721</v>
      </c>
      <c r="T2546" s="13" t="s">
        <v>40</v>
      </c>
      <c r="U2546" s="13" t="s">
        <v>10925</v>
      </c>
      <c r="V2546" s="13" t="s">
        <v>42</v>
      </c>
      <c r="W2546" s="13" t="s">
        <v>43</v>
      </c>
      <c r="X2546" s="21" t="n">
        <v>87854948084</v>
      </c>
      <c r="Y2546" s="22" t="str">
        <f aca="false">O2546</f>
        <v>Reliever</v>
      </c>
      <c r="Z2546" s="13" t="str">
        <f aca="false">IFERROR(__xludf.dummyfunction("if(BJ2546="""","""",GOOGLETRANSLATE(BJ2546,""auto"",""en""))"),"Reliever")</f>
        <v>Reliever</v>
      </c>
      <c r="AA2546" s="23" t="str">
        <f aca="false">IF(C2546="","", CHOOSE(MONTH(C2546),"January","February","March","April","May","June","July","August","September","October","November","December")&amp;" "&amp;DAY(C2546)&amp;MID("thstndrdth",MIN(9,2*RIGHT(DAY(C2546))*(MOD(DAY(C2546)-11,100)&gt;2)+1),2)&amp;","&amp;TEXT(C2546," yyyy"))</f>
        <v>July 28th,2025</v>
      </c>
      <c r="AB2546" s="15" t="str">
        <f aca="true">IF(S2546="","",DATEDIF(S2546,TODAY(),"Y")&amp;" Tahun, "&amp;DATEDIF(S2546,TODAY(),"YM")&amp;" Bulan, "&amp;DATEDIF(S2546,TODAY(),"MD")&amp;" Hari")</f>
        <v>29 Tahun, 0 Bulan, 11 Hari</v>
      </c>
      <c r="AC2546" s="18" t="n">
        <v>45866</v>
      </c>
      <c r="AD2546" s="18" t="n">
        <v>45957</v>
      </c>
      <c r="AE2546" s="18" t="s">
        <v>44</v>
      </c>
    </row>
    <row r="2547" customFormat="false" ht="15" hidden="false" customHeight="true" outlineLevel="0" collapsed="false">
      <c r="A2547" s="12" t="n">
        <v>20315</v>
      </c>
      <c r="B2547" s="13" t="s">
        <v>10926</v>
      </c>
      <c r="C2547" s="16" t="n">
        <v>45866</v>
      </c>
      <c r="D2547" s="13" t="s">
        <v>4755</v>
      </c>
      <c r="E2547" s="15" t="s">
        <v>47</v>
      </c>
      <c r="F2547" s="15" t="str">
        <f aca="false">IFERROR(__xludf.dummyfunction("XLOOKUP(AJ2547,IMPORTRANGE(""1XaInW9DU9nz21V0tYIfzFQ0He9kVQ_JF2mCXgZ3hqFA"",""REKAP ALL 2026 - Andika!G:G""),IMPORTRANGE(""1XaInW9DU9nz21V0tYIfzFQ0He9kVQ_JF2mCXgZ3hqFA"",""REKAP ALL 2026 - Andika!F:F""),"""",0)"),"25099754670")</f>
        <v>25099754670</v>
      </c>
      <c r="G2547" s="13" t="s">
        <v>57</v>
      </c>
      <c r="H2547" s="13" t="s">
        <v>3024</v>
      </c>
      <c r="I2547" s="13" t="str">
        <f aca="false">IF(C2547=J2547,"NEW KONTRAK","RE-KONTRAK")</f>
        <v>NEW KONTRAK</v>
      </c>
      <c r="J2547" s="16" t="n">
        <f aca="false" t="array" ref="J2547:J2547">IFERROR(INDEX(AC2547:AE2547,IF(COUNTA(AC2547:AE2547)=0,"",MAX((AC2547:AE2547&lt;&gt;"")*(COLUMN(AC2547:AE2547)-(COLUMN(AC2547)))))-1),"")</f>
        <v>45866</v>
      </c>
      <c r="K2547" s="16" t="n">
        <f aca="false" t="array" ref="K2547:K2547">IFERROR(INDEX(AC2547:AE2547,IF(COUNTA(AC2547:AE2547)=0,"",MAX((AC2547:AE2547&lt;&gt;"")*(COLUMN(AC2547:AE2547)-(COLUMN(AC2547)-1))))-1),"")</f>
        <v>45957</v>
      </c>
      <c r="L2547" s="17" t="str">
        <f aca="false" t="array" ref="L2547:L2547">IFERROR(INDEX(AC2547:AE2547,IF(COUNTA(AC2547:AE2547)=0,"",MAX((AC2547:AE2547&lt;&gt;"")*(COLUMN(AC2547:AE2547)-(COLUMN(AC2547)-2))))-1),"")</f>
        <v>ARCHIVED</v>
      </c>
      <c r="M2547" s="13" t="n">
        <f aca="true">K2547-TODAY()</f>
        <v>-367</v>
      </c>
      <c r="N2547" s="18" t="s">
        <v>615</v>
      </c>
      <c r="O2547" s="13" t="s">
        <v>4756</v>
      </c>
      <c r="P2547" s="19" t="n">
        <v>207044</v>
      </c>
      <c r="Q2547" s="20" t="s">
        <v>10927</v>
      </c>
      <c r="R2547" s="13" t="s">
        <v>232</v>
      </c>
      <c r="S2547" s="16" t="n">
        <v>34325</v>
      </c>
      <c r="T2547" s="13" t="s">
        <v>40</v>
      </c>
      <c r="U2547" s="13" t="s">
        <v>10919</v>
      </c>
      <c r="V2547" s="13" t="s">
        <v>42</v>
      </c>
      <c r="W2547" s="13" t="s">
        <v>43</v>
      </c>
      <c r="X2547" s="21" t="n">
        <v>85859653587</v>
      </c>
      <c r="Y2547" s="22" t="str">
        <f aca="false">O2547</f>
        <v>Reliever</v>
      </c>
      <c r="Z2547" s="13" t="str">
        <f aca="false">IFERROR(__xludf.dummyfunction("if(BJ2547="""","""",GOOGLETRANSLATE(BJ2547,""auto"",""en""))"),"Reliever")</f>
        <v>Reliever</v>
      </c>
      <c r="AA2547" s="23" t="str">
        <f aca="false">IF(C2547="","", CHOOSE(MONTH(C2547),"January","February","March","April","May","June","July","August","September","October","November","December")&amp;" "&amp;DAY(C2547)&amp;MID("thstndrdth",MIN(9,2*RIGHT(DAY(C2547))*(MOD(DAY(C2547)-11,100)&gt;2)+1),2)&amp;","&amp;TEXT(C2547," yyyy"))</f>
        <v>July 28th,2025</v>
      </c>
      <c r="AB2547" s="15" t="str">
        <f aca="true">IF(S2547="","",DATEDIF(S2547,TODAY(),"Y")&amp;" Tahun, "&amp;DATEDIF(S2547,TODAY(),"YM")&amp;" Bulan, "&amp;DATEDIF(S2547,TODAY(),"MD")&amp;" Hari")</f>
        <v>32 Tahun, 10 Bulan, 7 Hari</v>
      </c>
      <c r="AC2547" s="18" t="n">
        <v>45866</v>
      </c>
      <c r="AD2547" s="18" t="n">
        <v>45957</v>
      </c>
      <c r="AE2547" s="18" t="s">
        <v>44</v>
      </c>
    </row>
    <row r="2548" customFormat="false" ht="15" hidden="false" customHeight="true" outlineLevel="0" collapsed="false">
      <c r="A2548" s="12" t="n">
        <v>20318</v>
      </c>
      <c r="B2548" s="13" t="s">
        <v>10928</v>
      </c>
      <c r="C2548" s="16" t="n">
        <v>45866</v>
      </c>
      <c r="D2548" s="13" t="s">
        <v>4755</v>
      </c>
      <c r="E2548" s="15" t="s">
        <v>47</v>
      </c>
      <c r="F2548" s="15" t="str">
        <f aca="false">IFERROR(__xludf.dummyfunction("XLOOKUP(AJ2548,IMPORTRANGE(""1XaInW9DU9nz21V0tYIfzFQ0He9kVQ_JF2mCXgZ3hqFA"",""REKAP ALL 2026 - Andika!G:G""),IMPORTRANGE(""1XaInW9DU9nz21V0tYIfzFQ0He9kVQ_JF2mCXgZ3hqFA"",""REKAP ALL 2026 - Andika!F:F""),"""",0)"),"25099754720")</f>
        <v>25099754720</v>
      </c>
      <c r="G2548" s="13" t="s">
        <v>57</v>
      </c>
      <c r="H2548" s="13" t="s">
        <v>3024</v>
      </c>
      <c r="I2548" s="13" t="str">
        <f aca="false">IF(C2548=J2548,"NEW KONTRAK","RE-KONTRAK")</f>
        <v>NEW KONTRAK</v>
      </c>
      <c r="J2548" s="16" t="n">
        <f aca="false" t="array" ref="J2548:J2548">IFERROR(INDEX(AC2548:AE2548,IF(COUNTA(AC2548:AE2548)=0,"",MAX((AC2548:AE2548&lt;&gt;"")*(COLUMN(AC2548:AE2548)-(COLUMN(AC2548)))))-1),"")</f>
        <v>45866</v>
      </c>
      <c r="K2548" s="16" t="n">
        <f aca="false" t="array" ref="K2548:K2548">IFERROR(INDEX(AC2548:AE2548,IF(COUNTA(AC2548:AE2548)=0,"",MAX((AC2548:AE2548&lt;&gt;"")*(COLUMN(AC2548:AE2548)-(COLUMN(AC2548)-1))))-1),"")</f>
        <v>45957</v>
      </c>
      <c r="L2548" s="17" t="str">
        <f aca="false" t="array" ref="L2548:L2548">IFERROR(INDEX(AC2548:AE2548,IF(COUNTA(AC2548:AE2548)=0,"",MAX((AC2548:AE2548&lt;&gt;"")*(COLUMN(AC2548:AE2548)-(COLUMN(AC2548)-2))))-1),"")</f>
        <v>ARCHIVED</v>
      </c>
      <c r="M2548" s="13" t="n">
        <f aca="true">K2548-TODAY()</f>
        <v>-367</v>
      </c>
      <c r="N2548" s="18" t="s">
        <v>615</v>
      </c>
      <c r="O2548" s="13" t="s">
        <v>4756</v>
      </c>
      <c r="P2548" s="19" t="n">
        <v>207044</v>
      </c>
      <c r="Q2548" s="20" t="s">
        <v>10929</v>
      </c>
      <c r="R2548" s="13" t="s">
        <v>232</v>
      </c>
      <c r="S2548" s="16" t="n">
        <v>37865</v>
      </c>
      <c r="T2548" s="13" t="s">
        <v>40</v>
      </c>
      <c r="U2548" s="13" t="s">
        <v>10930</v>
      </c>
      <c r="V2548" s="13" t="s">
        <v>42</v>
      </c>
      <c r="W2548" s="13" t="s">
        <v>43</v>
      </c>
      <c r="X2548" s="21" t="n">
        <v>89677791339</v>
      </c>
      <c r="Y2548" s="22" t="str">
        <f aca="false">O2548</f>
        <v>Reliever</v>
      </c>
      <c r="Z2548" s="13" t="str">
        <f aca="false">IFERROR(__xludf.dummyfunction("if(BJ2548="""","""",GOOGLETRANSLATE(BJ2548,""auto"",""en""))"),"Reliever")</f>
        <v>Reliever</v>
      </c>
      <c r="AA2548" s="23" t="str">
        <f aca="false">IF(C2548="","", CHOOSE(MONTH(C2548),"January","February","March","April","May","June","July","August","September","October","November","December")&amp;" "&amp;DAY(C2548)&amp;MID("thstndrdth",MIN(9,2*RIGHT(DAY(C2548))*(MOD(DAY(C2548)-11,100)&gt;2)+1),2)&amp;","&amp;TEXT(C2548," yyyy"))</f>
        <v>July 28th,2025</v>
      </c>
      <c r="AB2548" s="15" t="str">
        <f aca="true">IF(S2548="","",DATEDIF(S2548,TODAY(),"Y")&amp;" Tahun, "&amp;DATEDIF(S2548,TODAY(),"YM")&amp;" Bulan, "&amp;DATEDIF(S2548,TODAY(),"MD")&amp;" Hari")</f>
        <v>23 Tahun, 1 Bulan, 28 Hari</v>
      </c>
      <c r="AC2548" s="18" t="n">
        <v>45866</v>
      </c>
      <c r="AD2548" s="18" t="n">
        <v>45957</v>
      </c>
      <c r="AE2548" s="18" t="s">
        <v>44</v>
      </c>
    </row>
    <row r="2549" customFormat="false" ht="15" hidden="false" customHeight="true" outlineLevel="0" collapsed="false">
      <c r="A2549" s="12" t="n">
        <v>20326</v>
      </c>
      <c r="B2549" s="13" t="s">
        <v>10931</v>
      </c>
      <c r="C2549" s="16" t="n">
        <v>45834</v>
      </c>
      <c r="D2549" s="13" t="s">
        <v>4743</v>
      </c>
      <c r="E2549" s="15" t="s">
        <v>47</v>
      </c>
      <c r="F2549" s="15" t="str">
        <f aca="false">IFERROR(__xludf.dummyfunction("XLOOKUP(AJ2549,IMPORTRANGE(""1XaInW9DU9nz21V0tYIfzFQ0He9kVQ_JF2mCXgZ3hqFA"",""REKAP ALL 2026 - Andika!G:G""),IMPORTRANGE(""1XaInW9DU9nz21V0tYIfzFQ0He9kVQ_JF2mCXgZ3hqFA"",""REKAP ALL 2026 - Andika!F:F""),"""",0)"),"25115870047")</f>
        <v>25115870047</v>
      </c>
      <c r="G2549" s="13" t="s">
        <v>10932</v>
      </c>
      <c r="H2549" s="13" t="s">
        <v>35</v>
      </c>
      <c r="I2549" s="13" t="str">
        <f aca="false">IF(C2549=J2549,"NEW KONTRAK","RE-KONTRAK")</f>
        <v>NEW KONTRAK</v>
      </c>
      <c r="J2549" s="16" t="n">
        <f aca="false" t="array" ref="J2549:J2549">IFERROR(INDEX(AC2549:AE2549,IF(COUNTA(AC2549:AE2549)=0,"",MAX((AC2549:AE2549&lt;&gt;"")*(COLUMN(AC2549:AE2549)-(COLUMN(AC2549)))))-1),"")</f>
        <v>45834</v>
      </c>
      <c r="K2549" s="16" t="n">
        <f aca="false" t="array" ref="K2549:K2549">IFERROR(INDEX(AC2549:AE2549,IF(COUNTA(AC2549:AE2549)=0,"",MAX((AC2549:AE2549&lt;&gt;"")*(COLUMN(AC2549:AE2549)-(COLUMN(AC2549)-1))))-1),"")</f>
        <v>46198</v>
      </c>
      <c r="L2549" s="17" t="str">
        <f aca="false" t="array" ref="L2549:L2549">IFERROR(INDEX(AC2549:AE2549,IF(COUNTA(AC2549:AE2549)=0,"",MAX((AC2549:AE2549&lt;&gt;"")*(COLUMN(AC2549:AE2549)-(COLUMN(AC2549)-2))))-1),"")</f>
        <v>KEMBALI</v>
      </c>
      <c r="M2549" s="13" t="n">
        <f aca="true">K2549-TODAY()</f>
        <v>-126</v>
      </c>
      <c r="N2549" s="18" t="s">
        <v>728</v>
      </c>
      <c r="O2549" s="13" t="s">
        <v>7616</v>
      </c>
      <c r="P2549" s="19" t="n">
        <v>4000000</v>
      </c>
      <c r="Q2549" s="20" t="s">
        <v>10933</v>
      </c>
      <c r="R2549" s="13" t="s">
        <v>73</v>
      </c>
      <c r="S2549" s="16" t="n">
        <v>36523</v>
      </c>
      <c r="T2549" s="13" t="s">
        <v>108</v>
      </c>
      <c r="U2549" s="13" t="s">
        <v>10934</v>
      </c>
      <c r="V2549" s="13" t="s">
        <v>42</v>
      </c>
      <c r="W2549" s="13" t="s">
        <v>43</v>
      </c>
      <c r="X2549" s="21" t="n">
        <v>85748551728</v>
      </c>
      <c r="Y2549" s="22" t="str">
        <f aca="false">O2549</f>
        <v>Sales Counter</v>
      </c>
      <c r="Z2549" s="13" t="str">
        <f aca="false">IFERROR(__xludf.dummyfunction("if(BJ2549="""","""",GOOGLETRANSLATE(BJ2549,""auto"",""en""))"),"Sales Counter")</f>
        <v>Sales Counter</v>
      </c>
      <c r="AA2549" s="23" t="str">
        <f aca="false">IF(C2549="","", CHOOSE(MONTH(C2549),"January","February","March","April","May","June","July","August","September","October","November","December")&amp;" "&amp;DAY(C2549)&amp;MID("thstndrdth",MIN(9,2*RIGHT(DAY(C2549))*(MOD(DAY(C2549)-11,100)&gt;2)+1),2)&amp;","&amp;TEXT(C2549," yyyy"))</f>
        <v>June 26th,2025</v>
      </c>
      <c r="AB2549" s="15" t="str">
        <f aca="true">IF(S2549="","",DATEDIF(S2549,TODAY(),"Y")&amp;" Tahun, "&amp;DATEDIF(S2549,TODAY(),"YM")&amp;" Bulan, "&amp;DATEDIF(S2549,TODAY(),"MD")&amp;" Hari")</f>
        <v>26 Tahun, 10 Bulan, 0 Hari</v>
      </c>
      <c r="AC2549" s="18" t="n">
        <v>45834</v>
      </c>
      <c r="AD2549" s="18" t="n">
        <v>46198</v>
      </c>
      <c r="AE2549" s="13" t="s">
        <v>397</v>
      </c>
    </row>
    <row r="2550" customFormat="false" ht="15" hidden="false" customHeight="true" outlineLevel="0" collapsed="false">
      <c r="A2550" s="12" t="n">
        <v>20319</v>
      </c>
      <c r="B2550" s="13" t="s">
        <v>10935</v>
      </c>
      <c r="C2550" s="16" t="n">
        <v>45863</v>
      </c>
      <c r="D2550" s="13" t="s">
        <v>5903</v>
      </c>
      <c r="E2550" s="15" t="s">
        <v>33</v>
      </c>
      <c r="F2550" s="24" t="s">
        <v>10936</v>
      </c>
      <c r="G2550" s="13" t="s">
        <v>1127</v>
      </c>
      <c r="H2550" s="13" t="s">
        <v>35</v>
      </c>
      <c r="I2550" s="13" t="str">
        <f aca="false">IF(C2550=J2550,"NEW KONTRAK","RE-KONTRAK")</f>
        <v>NEW KONTRAK</v>
      </c>
      <c r="J2550" s="16" t="n">
        <f aca="false" t="array" ref="J2550:J2550">IFERROR(INDEX(AC2550:AE2550,IF(COUNTA(AC2550:AE2550)=0,"",MAX((AC2550:AE2550&lt;&gt;"")*(COLUMN(AC2550:AE2550)-(COLUMN(AC2550)))))-1),"")</f>
        <v>45863</v>
      </c>
      <c r="K2550" s="16" t="n">
        <f aca="false" t="array" ref="K2550:K2550">IFERROR(INDEX(AC2550:AE2550,IF(COUNTA(AC2550:AE2550)=0,"",MAX((AC2550:AE2550&lt;&gt;"")*(COLUMN(AC2550:AE2550)-(COLUMN(AC2550)-1))))-1),"")</f>
        <v>45954</v>
      </c>
      <c r="L2550" s="17" t="str">
        <f aca="false" t="array" ref="L2550:L2550">IFERROR(INDEX(AC2550:AE2550,IF(COUNTA(AC2550:AE2550)=0,"",MAX((AC2550:AE2550&lt;&gt;"")*(COLUMN(AC2550:AE2550)-(COLUMN(AC2550)-2))))-1),"")</f>
        <v>ARCHIVED</v>
      </c>
      <c r="M2550" s="13" t="n">
        <f aca="true">K2550-TODAY()</f>
        <v>-370</v>
      </c>
      <c r="N2550" s="50" t="s">
        <v>728</v>
      </c>
      <c r="O2550" s="13" t="s">
        <v>3510</v>
      </c>
      <c r="P2550" s="27" t="n">
        <v>2500000</v>
      </c>
      <c r="Q2550" s="20" t="s">
        <v>10937</v>
      </c>
      <c r="R2550" s="13" t="s">
        <v>52</v>
      </c>
      <c r="S2550" s="16" t="n">
        <v>39003</v>
      </c>
      <c r="T2550" s="13" t="s">
        <v>40</v>
      </c>
      <c r="U2550" s="13" t="s">
        <v>10938</v>
      </c>
      <c r="V2550" s="13" t="s">
        <v>42</v>
      </c>
      <c r="W2550" s="13" t="s">
        <v>43</v>
      </c>
      <c r="X2550" s="30" t="n">
        <v>85764743671</v>
      </c>
      <c r="Y2550" s="22" t="str">
        <f aca="false">O2550</f>
        <v>Teknisi</v>
      </c>
      <c r="Z2550" s="13" t="str">
        <f aca="false">IFERROR(__xludf.dummyfunction("if(BJ2550="""","""",GOOGLETRANSLATE(BJ2550,""auto"",""en""))"),"Technician")</f>
        <v>Technician</v>
      </c>
      <c r="AA2550" s="23" t="str">
        <f aca="false">IF(C2550="","", CHOOSE(MONTH(C2550),"January","February","March","April","May","June","July","August","September","October","November","December")&amp;" "&amp;DAY(C2550)&amp;MID("thstndrdth",MIN(9,2*RIGHT(DAY(C2550))*(MOD(DAY(C2550)-11,100)&gt;2)+1),2)&amp;","&amp;TEXT(C2550," yyyy"))</f>
        <v>July 25th,2025</v>
      </c>
      <c r="AB2550" s="15" t="str">
        <f aca="true">IF(S2550="","",DATEDIF(S2550,TODAY(),"Y")&amp;" Tahun, "&amp;DATEDIF(S2550,TODAY(),"YM")&amp;" Bulan, "&amp;DATEDIF(S2550,TODAY(),"MD")&amp;" Hari")</f>
        <v>20 Tahun, 0 Bulan, 16 Hari</v>
      </c>
      <c r="AC2550" s="18" t="n">
        <v>45863</v>
      </c>
      <c r="AD2550" s="18" t="n">
        <v>45954</v>
      </c>
      <c r="AE2550" s="18" t="s">
        <v>44</v>
      </c>
    </row>
    <row r="2551" customFormat="false" ht="15" hidden="false" customHeight="true" outlineLevel="0" collapsed="false">
      <c r="A2551" s="12" t="n">
        <v>20320</v>
      </c>
      <c r="B2551" s="13" t="s">
        <v>10939</v>
      </c>
      <c r="C2551" s="16" t="n">
        <v>45863</v>
      </c>
      <c r="D2551" s="13" t="s">
        <v>3022</v>
      </c>
      <c r="E2551" s="15" t="s">
        <v>33</v>
      </c>
      <c r="F2551" s="24" t="s">
        <v>10940</v>
      </c>
      <c r="G2551" s="13" t="s">
        <v>57</v>
      </c>
      <c r="H2551" s="13" t="s">
        <v>3024</v>
      </c>
      <c r="I2551" s="13" t="str">
        <f aca="false">IF(C2551=J2551,"NEW KONTRAK","RE-KONTRAK")</f>
        <v>NEW KONTRAK</v>
      </c>
      <c r="J2551" s="16" t="n">
        <f aca="false" t="array" ref="J2551:J2551">IFERROR(INDEX(AC2551:AE2551,IF(COUNTA(AC2551:AE2551)=0,"",MAX((AC2551:AE2551&lt;&gt;"")*(COLUMN(AC2551:AE2551)-(COLUMN(AC2551)))))-1),"")</f>
        <v>45863</v>
      </c>
      <c r="K2551" s="16" t="n">
        <f aca="false" t="array" ref="K2551:K2551">IFERROR(INDEX(AC2551:AE2551,IF(COUNTA(AC2551:AE2551)=0,"",MAX((AC2551:AE2551&lt;&gt;"")*(COLUMN(AC2551:AE2551)-(COLUMN(AC2551)-1))))-1),"")</f>
        <v>45954</v>
      </c>
      <c r="L2551" s="17" t="str">
        <f aca="false" t="array" ref="L2551:L2551">IFERROR(INDEX(AC2551:AE2551,IF(COUNTA(AC2551:AE2551)=0,"",MAX((AC2551:AE2551&lt;&gt;"")*(COLUMN(AC2551:AE2551)-(COLUMN(AC2551)-2))))-1),"")</f>
        <v>ARCHIVED</v>
      </c>
      <c r="M2551" s="13" t="n">
        <f aca="true">K2551-TODAY()</f>
        <v>-370</v>
      </c>
      <c r="N2551" s="18" t="s">
        <v>36</v>
      </c>
      <c r="O2551" s="13" t="s">
        <v>58</v>
      </c>
      <c r="P2551" s="19" t="n">
        <v>90000</v>
      </c>
      <c r="Q2551" s="20" t="s">
        <v>10941</v>
      </c>
      <c r="R2551" s="13" t="s">
        <v>39</v>
      </c>
      <c r="S2551" s="16" t="n">
        <v>38783</v>
      </c>
      <c r="T2551" s="13" t="s">
        <v>40</v>
      </c>
      <c r="U2551" s="13" t="s">
        <v>10942</v>
      </c>
      <c r="V2551" s="13" t="s">
        <v>42</v>
      </c>
      <c r="W2551" s="13" t="s">
        <v>43</v>
      </c>
      <c r="X2551" s="21" t="n">
        <v>85749038420</v>
      </c>
      <c r="Y2551" s="22" t="str">
        <f aca="false">O2551</f>
        <v>Produksi</v>
      </c>
      <c r="Z2551" s="13" t="str">
        <f aca="false">IFERROR(__xludf.dummyfunction("if(BJ2551="""","""",GOOGLETRANSLATE(BJ2551,""auto"",""en""))"),"Production")</f>
        <v>Production</v>
      </c>
      <c r="AA2551" s="23" t="str">
        <f aca="false">IF(C2551="","", CHOOSE(MONTH(C2551),"January","February","March","April","May","June","July","August","September","October","November","December")&amp;" "&amp;DAY(C2551)&amp;MID("thstndrdth",MIN(9,2*RIGHT(DAY(C2551))*(MOD(DAY(C2551)-11,100)&gt;2)+1),2)&amp;","&amp;TEXT(C2551," yyyy"))</f>
        <v>July 25th,2025</v>
      </c>
      <c r="AB2551" s="15" t="str">
        <f aca="true">IF(S2551="","",DATEDIF(S2551,TODAY(),"Y")&amp;" Tahun, "&amp;DATEDIF(S2551,TODAY(),"YM")&amp;" Bulan, "&amp;DATEDIF(S2551,TODAY(),"MD")&amp;" Hari")</f>
        <v>20 Tahun, 7 Bulan, 22 Hari</v>
      </c>
      <c r="AC2551" s="18" t="n">
        <v>45863</v>
      </c>
      <c r="AD2551" s="18" t="n">
        <v>45954</v>
      </c>
      <c r="AE2551" s="18" t="s">
        <v>44</v>
      </c>
    </row>
    <row r="2552" customFormat="false" ht="15" hidden="false" customHeight="true" outlineLevel="0" collapsed="false">
      <c r="A2552" s="12" t="n">
        <v>20321</v>
      </c>
      <c r="B2552" s="13" t="s">
        <v>10943</v>
      </c>
      <c r="C2552" s="16" t="n">
        <v>45870</v>
      </c>
      <c r="D2552" s="13" t="s">
        <v>6487</v>
      </c>
      <c r="E2552" s="15" t="s">
        <v>102</v>
      </c>
      <c r="F2552" s="24" t="s">
        <v>10944</v>
      </c>
      <c r="G2552" s="13" t="s">
        <v>10945</v>
      </c>
      <c r="H2552" s="13" t="s">
        <v>35</v>
      </c>
      <c r="I2552" s="13" t="str">
        <f aca="false">IF(C2552=J2552,"NEW KONTRAK","RE-KONTRAK")</f>
        <v>NEW KONTRAK</v>
      </c>
      <c r="J2552" s="16" t="n">
        <f aca="false" t="array" ref="J2552:J2552">IFERROR(INDEX(AC2552:AE2552,IF(COUNTA(AC2552:AE2552)=0,"",MAX((AC2552:AE2552&lt;&gt;"")*(COLUMN(AC2552:AE2552)-(COLUMN(AC2552)))))-1),"")</f>
        <v>45870</v>
      </c>
      <c r="K2552" s="16" t="n">
        <f aca="false" t="array" ref="K2552:K2552">IFERROR(INDEX(AC2552:AE2552,IF(COUNTA(AC2552:AE2552)=0,"",MAX((AC2552:AE2552&lt;&gt;"")*(COLUMN(AC2552:AE2552)-(COLUMN(AC2552)-1))))-1),"")</f>
        <v>45991</v>
      </c>
      <c r="L2552" s="17" t="str">
        <f aca="false" t="array" ref="L2552:L2552">IFERROR(INDEX(AC2552:AE2552,IF(COUNTA(AC2552:AE2552)=0,"",MAX((AC2552:AE2552&lt;&gt;"")*(COLUMN(AC2552:AE2552)-(COLUMN(AC2552)-2))))-1),"")</f>
        <v>ARCHIVED</v>
      </c>
      <c r="M2552" s="13" t="n">
        <f aca="true">K2552-TODAY()</f>
        <v>-333</v>
      </c>
      <c r="N2552" s="50" t="s">
        <v>4735</v>
      </c>
      <c r="O2552" s="13" t="s">
        <v>5017</v>
      </c>
      <c r="P2552" s="19" t="n">
        <v>3700000</v>
      </c>
      <c r="Q2552" s="20" t="s">
        <v>10946</v>
      </c>
      <c r="R2552" s="13" t="s">
        <v>83</v>
      </c>
      <c r="S2552" s="16" t="n">
        <v>35395</v>
      </c>
      <c r="T2552" s="13" t="s">
        <v>40</v>
      </c>
      <c r="U2552" s="13" t="s">
        <v>10947</v>
      </c>
      <c r="V2552" s="13" t="s">
        <v>42</v>
      </c>
      <c r="W2552" s="13" t="s">
        <v>54</v>
      </c>
      <c r="X2552" s="21" t="n">
        <v>81334301665</v>
      </c>
      <c r="Y2552" s="22" t="str">
        <f aca="false">O2552</f>
        <v>Sales</v>
      </c>
      <c r="Z2552" s="13" t="str">
        <f aca="false">IFERROR(__xludf.dummyfunction("if(BJ2552="""","""",GOOGLETRANSLATE(BJ2552,""auto"",""en""))"),"Sales")</f>
        <v>Sales</v>
      </c>
      <c r="AA2552" s="23" t="str">
        <f aca="false">IF(C2552="","", CHOOSE(MONTH(C2552),"January","February","March","April","May","June","July","August","September","October","November","December")&amp;" "&amp;DAY(C2552)&amp;MID("thstndrdth",MIN(9,2*RIGHT(DAY(C2552))*(MOD(DAY(C2552)-11,100)&gt;2)+1),2)&amp;","&amp;TEXT(C2552," yyyy"))</f>
        <v>August 1st,2025</v>
      </c>
      <c r="AB2552" s="15" t="str">
        <f aca="true">IF(S2552="","",DATEDIF(S2552,TODAY(),"Y")&amp;" Tahun, "&amp;DATEDIF(S2552,TODAY(),"YM")&amp;" Bulan, "&amp;DATEDIF(S2552,TODAY(),"MD")&amp;" Hari")</f>
        <v>29 Tahun, 11 Bulan, 3 Hari</v>
      </c>
      <c r="AC2552" s="18" t="n">
        <v>45870</v>
      </c>
      <c r="AD2552" s="18" t="n">
        <v>45991</v>
      </c>
      <c r="AE2552" s="18" t="s">
        <v>44</v>
      </c>
    </row>
    <row r="2553" customFormat="false" ht="15" hidden="false" customHeight="true" outlineLevel="0" collapsed="false">
      <c r="A2553" s="12" t="n">
        <v>20323</v>
      </c>
      <c r="B2553" s="13" t="s">
        <v>10948</v>
      </c>
      <c r="C2553" s="16" t="n">
        <v>45869</v>
      </c>
      <c r="D2553" s="13" t="s">
        <v>8980</v>
      </c>
      <c r="E2553" s="15" t="s">
        <v>33</v>
      </c>
      <c r="F2553" s="24" t="s">
        <v>10949</v>
      </c>
      <c r="G2553" s="13" t="s">
        <v>1127</v>
      </c>
      <c r="H2553" s="13" t="s">
        <v>35</v>
      </c>
      <c r="I2553" s="13" t="str">
        <f aca="false">IF(C2553=J2553,"NEW KONTRAK","RE-KONTRAK")</f>
        <v>NEW KONTRAK</v>
      </c>
      <c r="J2553" s="16" t="n">
        <f aca="false" t="array" ref="J2553:J2553">IFERROR(INDEX(AC2553:AE2553,IF(COUNTA(AC2553:AE2553)=0,"",MAX((AC2553:AE2553&lt;&gt;"")*(COLUMN(AC2553:AE2553)-(COLUMN(AC2553)))))-1),"")</f>
        <v>45869</v>
      </c>
      <c r="K2553" s="16" t="n">
        <f aca="false" t="array" ref="K2553:K2553">IFERROR(INDEX(AC2553:AE2553,IF(COUNTA(AC2553:AE2553)=0,"",MAX((AC2553:AE2553&lt;&gt;"")*(COLUMN(AC2553:AE2553)-(COLUMN(AC2553)-1))))-1),"")</f>
        <v>46052</v>
      </c>
      <c r="L2553" s="17" t="str">
        <f aca="false" t="array" ref="L2553:L2553">IFERROR(INDEX(AC2553:AE2553,IF(COUNTA(AC2553:AE2553)=0,"",MAX((AC2553:AE2553&lt;&gt;"")*(COLUMN(AC2553:AE2553)-(COLUMN(AC2553)-2))))-1),"")</f>
        <v>ARCHIVED</v>
      </c>
      <c r="M2553" s="13" t="n">
        <f aca="true">K2553-TODAY()</f>
        <v>-272</v>
      </c>
      <c r="N2553" s="18" t="s">
        <v>8982</v>
      </c>
      <c r="O2553" s="13" t="s">
        <v>764</v>
      </c>
      <c r="P2553" s="19" t="n">
        <v>2000000</v>
      </c>
      <c r="Q2553" s="20" t="s">
        <v>10950</v>
      </c>
      <c r="R2553" s="13" t="s">
        <v>826</v>
      </c>
      <c r="S2553" s="16" t="n">
        <v>38092</v>
      </c>
      <c r="T2553" s="13" t="s">
        <v>108</v>
      </c>
      <c r="U2553" s="13" t="s">
        <v>10951</v>
      </c>
      <c r="V2553" s="13" t="s">
        <v>42</v>
      </c>
      <c r="W2553" s="13" t="s">
        <v>43</v>
      </c>
      <c r="X2553" s="30" t="n">
        <v>85269594406</v>
      </c>
      <c r="Y2553" s="22" t="str">
        <f aca="false">O2553</f>
        <v>Operator</v>
      </c>
      <c r="Z2553" s="13" t="str">
        <f aca="false">IFERROR(__xludf.dummyfunction("if(BJ2553="""","""",GOOGLETRANSLATE(BJ2553,""auto"",""en""))"),"Operator")</f>
        <v>Operator</v>
      </c>
      <c r="AA2553" s="23" t="str">
        <f aca="false">IF(C2553="","", CHOOSE(MONTH(C2553),"January","February","March","April","May","June","July","August","September","October","November","December")&amp;" "&amp;DAY(C2553)&amp;MID("thstndrdth",MIN(9,2*RIGHT(DAY(C2553))*(MOD(DAY(C2553)-11,100)&gt;2)+1),2)&amp;","&amp;TEXT(C2553," yyyy"))</f>
        <v>July 31st,2025</v>
      </c>
      <c r="AB2553" s="15" t="str">
        <f aca="true">IF(S2553="","",DATEDIF(S2553,TODAY(),"Y")&amp;" Tahun, "&amp;DATEDIF(S2553,TODAY(),"YM")&amp;" Bulan, "&amp;DATEDIF(S2553,TODAY(),"MD")&amp;" Hari")</f>
        <v>22 Tahun, 6 Bulan, 14 Hari</v>
      </c>
      <c r="AC2553" s="18" t="n">
        <v>45869</v>
      </c>
      <c r="AD2553" s="18" t="n">
        <v>46052</v>
      </c>
      <c r="AE2553" s="18" t="s">
        <v>44</v>
      </c>
    </row>
    <row r="2554" customFormat="false" ht="15" hidden="false" customHeight="true" outlineLevel="0" collapsed="false">
      <c r="A2554" s="12" t="n">
        <v>20324</v>
      </c>
      <c r="B2554" s="13" t="s">
        <v>10952</v>
      </c>
      <c r="C2554" s="16" t="n">
        <v>45871</v>
      </c>
      <c r="D2554" s="13" t="s">
        <v>8980</v>
      </c>
      <c r="E2554" s="15" t="s">
        <v>789</v>
      </c>
      <c r="F2554" s="15" t="str">
        <f aca="false">IFERROR(__xludf.dummyfunction("XLOOKUP(AJ2554,IMPORTRANGE(""1XaInW9DU9nz21V0tYIfzFQ0He9kVQ_JF2mCXgZ3hqFA"",""REKAP ALL 2026 - Andika!G:G""),IMPORTRANGE(""1XaInW9DU9nz21V0tYIfzFQ0He9kVQ_JF2mCXgZ3hqFA"",""REKAP ALL 2026 - Andika!F:F""),"""",0)"),"25115955426")</f>
        <v>25115955426</v>
      </c>
      <c r="G2554" s="13" t="s">
        <v>10953</v>
      </c>
      <c r="H2554" s="13" t="s">
        <v>35</v>
      </c>
      <c r="I2554" s="13" t="str">
        <f aca="false">IF(C2554=J2554,"NEW KONTRAK","RE-KONTRAK")</f>
        <v>NEW KONTRAK</v>
      </c>
      <c r="J2554" s="16" t="n">
        <f aca="false" t="array" ref="J2554:J2554">IFERROR(INDEX(AC2554:AE2554,IF(COUNTA(AC2554:AE2554)=0,"",MAX((AC2554:AE2554&lt;&gt;"")*(COLUMN(AC2554:AE2554)-(COLUMN(AC2554)))))-1),"")</f>
        <v>45871</v>
      </c>
      <c r="K2554" s="16" t="n">
        <f aca="false" t="array" ref="K2554:K2554">IFERROR(INDEX(AC2554:AE2554,IF(COUNTA(AC2554:AE2554)=0,"",MAX((AC2554:AE2554&lt;&gt;"")*(COLUMN(AC2554:AE2554)-(COLUMN(AC2554)-1))))-1),"")</f>
        <v>46054</v>
      </c>
      <c r="L2554" s="17" t="str">
        <f aca="false" t="array" ref="L2554:L2554">IFERROR(INDEX(AC2554:AE2554,IF(COUNTA(AC2554:AE2554)=0,"",MAX((AC2554:AE2554&lt;&gt;"")*(COLUMN(AC2554:AE2554)-(COLUMN(AC2554)-2))))-1),"")</f>
        <v>ARCHIVED</v>
      </c>
      <c r="M2554" s="13" t="n">
        <f aca="true">K2554-TODAY()</f>
        <v>-270</v>
      </c>
      <c r="N2554" s="18" t="s">
        <v>8982</v>
      </c>
      <c r="O2554" s="13" t="s">
        <v>764</v>
      </c>
      <c r="P2554" s="19" t="n">
        <v>2000000</v>
      </c>
      <c r="Q2554" s="20" t="s">
        <v>10954</v>
      </c>
      <c r="R2554" s="13" t="s">
        <v>826</v>
      </c>
      <c r="S2554" s="16" t="n">
        <v>37028</v>
      </c>
      <c r="T2554" s="28" t="s">
        <v>40</v>
      </c>
      <c r="U2554" s="13" t="s">
        <v>10955</v>
      </c>
      <c r="V2554" s="13" t="s">
        <v>42</v>
      </c>
      <c r="W2554" s="13" t="s">
        <v>43</v>
      </c>
      <c r="X2554" s="21" t="n">
        <v>85713567860</v>
      </c>
      <c r="Y2554" s="22" t="str">
        <f aca="false">O2554</f>
        <v>Operator</v>
      </c>
      <c r="Z2554" s="13" t="str">
        <f aca="false">IFERROR(__xludf.dummyfunction("if(BJ2554="""","""",GOOGLETRANSLATE(BJ2554,""auto"",""en""))"),"Operator")</f>
        <v>Operator</v>
      </c>
      <c r="AA2554" s="23" t="str">
        <f aca="false">IF(C2554="","", CHOOSE(MONTH(C2554),"January","February","March","April","May","June","July","August","September","October","November","December")&amp;" "&amp;DAY(C2554)&amp;MID("thstndrdth",MIN(9,2*RIGHT(DAY(C2554))*(MOD(DAY(C2554)-11,100)&gt;2)+1),2)&amp;","&amp;TEXT(C2554," yyyy"))</f>
        <v>August 2nd,2025</v>
      </c>
      <c r="AB2554" s="15" t="str">
        <f aca="true">IF(S2554="","",DATEDIF(S2554,TODAY(),"Y")&amp;" Tahun, "&amp;DATEDIF(S2554,TODAY(),"YM")&amp;" Bulan, "&amp;DATEDIF(S2554,TODAY(),"MD")&amp;" Hari")</f>
        <v>25 Tahun, 5 Bulan, 12 Hari</v>
      </c>
      <c r="AC2554" s="18" t="n">
        <v>45871</v>
      </c>
      <c r="AD2554" s="18" t="n">
        <v>46054</v>
      </c>
      <c r="AE2554" s="18" t="s">
        <v>44</v>
      </c>
    </row>
    <row r="2555" customFormat="false" ht="15" hidden="false" customHeight="true" outlineLevel="0" collapsed="false">
      <c r="A2555" s="12" t="n">
        <v>20325</v>
      </c>
      <c r="B2555" s="13" t="s">
        <v>10956</v>
      </c>
      <c r="C2555" s="16" t="n">
        <v>45870</v>
      </c>
      <c r="D2555" s="13" t="s">
        <v>5892</v>
      </c>
      <c r="E2555" s="15" t="s">
        <v>102</v>
      </c>
      <c r="F2555" s="15" t="str">
        <f aca="false">IFERROR(__xludf.dummyfunction("XLOOKUP(AJ2555,IMPORTRANGE(""1XaInW9DU9nz21V0tYIfzFQ0He9kVQ_JF2mCXgZ3hqFA"",""REKAP ALL 2026 - Andika!G:G""),IMPORTRANGE(""1XaInW9DU9nz21V0tYIfzFQ0He9kVQ_JF2mCXgZ3hqFA"",""REKAP ALL 2026 - Andika!F:F""),"""",0)"),"25115958560")</f>
        <v>25115958560</v>
      </c>
      <c r="G2555" s="13" t="s">
        <v>10957</v>
      </c>
      <c r="H2555" s="13" t="s">
        <v>35</v>
      </c>
      <c r="I2555" s="13" t="str">
        <f aca="false">IF(C2555=J2555,"NEW KONTRAK","RE-KONTRAK")</f>
        <v>NEW KONTRAK</v>
      </c>
      <c r="J2555" s="16" t="n">
        <f aca="false" t="array" ref="J2555:J2555">IFERROR(INDEX(AC2555:AE2555,IF(COUNTA(AC2555:AE2555)=0,"",MAX((AC2555:AE2555&lt;&gt;"")*(COLUMN(AC2555:AE2555)-(COLUMN(AC2555)))))-1),"")</f>
        <v>45870</v>
      </c>
      <c r="K2555" s="16" t="n">
        <f aca="false" t="array" ref="K2555:K2555">IFERROR(INDEX(AC2555:AE2555,IF(COUNTA(AC2555:AE2555)=0,"",MAX((AC2555:AE2555&lt;&gt;"")*(COLUMN(AC2555:AE2555)-(COLUMN(AC2555)-1))))-1),"")</f>
        <v>45961</v>
      </c>
      <c r="L2555" s="17" t="str">
        <f aca="false" t="array" ref="L2555:L2555">IFERROR(INDEX(AC2555:AE2555,IF(COUNTA(AC2555:AE2555)=0,"",MAX((AC2555:AE2555&lt;&gt;"")*(COLUMN(AC2555:AE2555)-(COLUMN(AC2555)-2))))-1),"")</f>
        <v>ARCHIVED</v>
      </c>
      <c r="M2555" s="13" t="n">
        <f aca="true">K2555-TODAY()</f>
        <v>-363</v>
      </c>
      <c r="N2555" s="18" t="s">
        <v>105</v>
      </c>
      <c r="O2555" s="13" t="s">
        <v>719</v>
      </c>
      <c r="P2555" s="19" t="n">
        <v>100000</v>
      </c>
      <c r="Q2555" s="20" t="s">
        <v>10958</v>
      </c>
      <c r="R2555" s="13" t="s">
        <v>39</v>
      </c>
      <c r="S2555" s="16" t="n">
        <v>36676</v>
      </c>
      <c r="T2555" s="28" t="s">
        <v>40</v>
      </c>
      <c r="U2555" s="13" t="s">
        <v>8867</v>
      </c>
      <c r="V2555" s="13" t="s">
        <v>42</v>
      </c>
      <c r="W2555" s="13" t="s">
        <v>43</v>
      </c>
      <c r="X2555" s="21" t="n">
        <v>87856997984</v>
      </c>
      <c r="Y2555" s="22" t="str">
        <f aca="false">O2555</f>
        <v>Cleaning Service</v>
      </c>
      <c r="Z2555" s="13" t="str">
        <f aca="false">IFERROR(__xludf.dummyfunction("if(BJ2555="""","""",GOOGLETRANSLATE(BJ2555,""auto"",""en""))"),"Cleaning Service")</f>
        <v>Cleaning Service</v>
      </c>
      <c r="AA2555" s="23" t="str">
        <f aca="false">IF(C2555="","", CHOOSE(MONTH(C2555),"January","February","March","April","May","June","July","August","September","October","November","December")&amp;" "&amp;DAY(C2555)&amp;MID("thstndrdth",MIN(9,2*RIGHT(DAY(C2555))*(MOD(DAY(C2555)-11,100)&gt;2)+1),2)&amp;","&amp;TEXT(C2555," yyyy"))</f>
        <v>August 1st,2025</v>
      </c>
      <c r="AB2555" s="15" t="str">
        <f aca="true">IF(S2555="","",DATEDIF(S2555,TODAY(),"Y")&amp;" Tahun, "&amp;DATEDIF(S2555,TODAY(),"YM")&amp;" Bulan, "&amp;DATEDIF(S2555,TODAY(),"MD")&amp;" Hari")</f>
        <v>26 Tahun, 4 Bulan, 29 Hari</v>
      </c>
      <c r="AC2555" s="18" t="n">
        <v>45870</v>
      </c>
      <c r="AD2555" s="18" t="n">
        <v>45961</v>
      </c>
      <c r="AE2555" s="18" t="s">
        <v>44</v>
      </c>
    </row>
    <row r="2556" customFormat="false" ht="15" hidden="false" customHeight="true" outlineLevel="0" collapsed="false">
      <c r="A2556" s="12" t="n">
        <v>20327</v>
      </c>
      <c r="B2556" s="13" t="s">
        <v>10959</v>
      </c>
      <c r="C2556" s="16" t="n">
        <v>45891</v>
      </c>
      <c r="D2556" s="13" t="s">
        <v>755</v>
      </c>
      <c r="E2556" s="15" t="s">
        <v>47</v>
      </c>
      <c r="F2556" s="15" t="str">
        <f aca="false">IFERROR(__xludf.dummyfunction("XLOOKUP(AJ2556,IMPORTRANGE(""1XaInW9DU9nz21V0tYIfzFQ0He9kVQ_JF2mCXgZ3hqFA"",""REKAP ALL 2026 - Andika!G:G""),IMPORTRANGE(""1XaInW9DU9nz21V0tYIfzFQ0He9kVQ_JF2mCXgZ3hqFA"",""REKAP ALL 2026 - Andika!F:F""),"""",0)"),"25115870054")</f>
        <v>25115870054</v>
      </c>
      <c r="G2556" s="13" t="s">
        <v>10960</v>
      </c>
      <c r="H2556" s="13" t="s">
        <v>35</v>
      </c>
      <c r="I2556" s="13" t="str">
        <f aca="false">IF(C2556=J2556,"NEW KONTRAK","RE-KONTRAK")</f>
        <v>RE-KONTRAK</v>
      </c>
      <c r="J2556" s="16" t="n">
        <f aca="false" t="array" ref="J2556:J2556">IFERROR(INDEX(AC2556:AE2556,IF(COUNTA(AC2556:AE2556)=0,"",MAX((AC2556:AE2556&lt;&gt;"")*(COLUMN(AC2556:AE2556)-(COLUMN(AC2556)))))-1),"")</f>
        <v>45871</v>
      </c>
      <c r="K2556" s="16" t="n">
        <f aca="false" t="array" ref="K2556:K2556">IFERROR(INDEX(AC2556:AE2556,IF(COUNTA(AC2556:AE2556)=0,"",MAX((AC2556:AE2556&lt;&gt;"")*(COLUMN(AC2556:AE2556)-(COLUMN(AC2556)-1))))-1),"")</f>
        <v>46528</v>
      </c>
      <c r="L2556" s="17" t="str">
        <f aca="false" t="array" ref="L2556:L2556">IFERROR(INDEX(AC2556:AE2556,IF(COUNTA(AC2556:AE2556)=0,"",MAX((AC2556:AE2556&lt;&gt;"")*(COLUMN(AC2556:AE2556)-(COLUMN(AC2556)-2))))-1),"")</f>
        <v>KEMBALI</v>
      </c>
      <c r="M2556" s="13" t="n">
        <f aca="true">K2556-TODAY()</f>
        <v>204</v>
      </c>
      <c r="N2556" s="18" t="s">
        <v>105</v>
      </c>
      <c r="O2556" s="13" t="s">
        <v>757</v>
      </c>
      <c r="P2556" s="19" t="n">
        <v>4870511</v>
      </c>
      <c r="Q2556" s="20" t="s">
        <v>10961</v>
      </c>
      <c r="R2556" s="13" t="s">
        <v>39</v>
      </c>
      <c r="S2556" s="16" t="n">
        <v>37674</v>
      </c>
      <c r="T2556" s="13" t="s">
        <v>108</v>
      </c>
      <c r="U2556" s="13" t="s">
        <v>10962</v>
      </c>
      <c r="V2556" s="13" t="s">
        <v>42</v>
      </c>
      <c r="W2556" s="13" t="s">
        <v>43</v>
      </c>
      <c r="X2556" s="21" t="n">
        <v>87762686818</v>
      </c>
      <c r="Y2556" s="22" t="str">
        <f aca="false">O2556</f>
        <v>Inputor</v>
      </c>
      <c r="Z2556" s="13" t="str">
        <f aca="false">IFERROR(__xludf.dummyfunction("if(BJ2556="""","""",GOOGLETRANSLATE(BJ2556,""auto"",""en""))"),"Inputor")</f>
        <v>Inputor</v>
      </c>
      <c r="AA2556" s="23" t="str">
        <f aca="false">IF(C2556="","", CHOOSE(MONTH(C2556),"January","February","March","April","May","June","July","August","September","October","November","December")&amp;" "&amp;DAY(C2556)&amp;MID("thstndrdth",MIN(9,2*RIGHT(DAY(C2556))*(MOD(DAY(C2556)-11,100)&gt;2)+1),2)&amp;","&amp;TEXT(C2556," yyyy"))</f>
        <v>August 22nd,2025</v>
      </c>
      <c r="AB2556" s="15" t="str">
        <f aca="true">IF(S2556="","",DATEDIF(S2556,TODAY(),"Y")&amp;" Tahun, "&amp;DATEDIF(S2556,TODAY(),"YM")&amp;" Bulan, "&amp;DATEDIF(S2556,TODAY(),"MD")&amp;" Hari")</f>
        <v>23 Tahun, 8 Bulan, 7 Hari</v>
      </c>
      <c r="AC2556" s="18" t="n">
        <v>45871</v>
      </c>
      <c r="AD2556" s="18" t="n">
        <v>46528</v>
      </c>
      <c r="AE2556" s="13" t="s">
        <v>397</v>
      </c>
    </row>
    <row r="2557" customFormat="false" ht="15" hidden="false" customHeight="true" outlineLevel="0" collapsed="false">
      <c r="A2557" s="12" t="n">
        <v>20328</v>
      </c>
      <c r="B2557" s="13" t="s">
        <v>10963</v>
      </c>
      <c r="C2557" s="16" t="n">
        <v>45891</v>
      </c>
      <c r="D2557" s="13" t="s">
        <v>755</v>
      </c>
      <c r="E2557" s="15" t="s">
        <v>47</v>
      </c>
      <c r="F2557" s="15" t="str">
        <f aca="false">IFERROR(__xludf.dummyfunction("XLOOKUP(AJ2557,IMPORTRANGE(""1XaInW9DU9nz21V0tYIfzFQ0He9kVQ_JF2mCXgZ3hqFA"",""REKAP ALL 2026 - Andika!G:G""),IMPORTRANGE(""1XaInW9DU9nz21V0tYIfzFQ0He9kVQ_JF2mCXgZ3hqFA"",""REKAP ALL 2026 - Andika!F:F""),"""",0)"),"25115873397")</f>
        <v>25115873397</v>
      </c>
      <c r="G2557" s="13" t="s">
        <v>10964</v>
      </c>
      <c r="H2557" s="13" t="s">
        <v>35</v>
      </c>
      <c r="I2557" s="13" t="str">
        <f aca="false">IF(C2557=J2557,"NEW KONTRAK","RE-KONTRAK")</f>
        <v>RE-KONTRAK</v>
      </c>
      <c r="J2557" s="16" t="n">
        <f aca="false" t="array" ref="J2557:J2557">IFERROR(INDEX(AC2557:AE2557,IF(COUNTA(AC2557:AE2557)=0,"",MAX((AC2557:AE2557&lt;&gt;"")*(COLUMN(AC2557:AE2557)-(COLUMN(AC2557)))))-1),"")</f>
        <v>45871</v>
      </c>
      <c r="K2557" s="16" t="n">
        <f aca="false" t="array" ref="K2557:K2557">IFERROR(INDEX(AC2557:AE2557,IF(COUNTA(AC2557:AE2557)=0,"",MAX((AC2557:AE2557&lt;&gt;"")*(COLUMN(AC2557:AE2557)-(COLUMN(AC2557)-1))))-1),"")</f>
        <v>46528</v>
      </c>
      <c r="L2557" s="17" t="str">
        <f aca="false" t="array" ref="L2557:L2557">IFERROR(INDEX(AC2557:AE2557,IF(COUNTA(AC2557:AE2557)=0,"",MAX((AC2557:AE2557&lt;&gt;"")*(COLUMN(AC2557:AE2557)-(COLUMN(AC2557)-2))))-1),"")</f>
        <v>KEMBALI</v>
      </c>
      <c r="M2557" s="13" t="n">
        <f aca="true">K2557-TODAY()</f>
        <v>204</v>
      </c>
      <c r="N2557" s="18" t="s">
        <v>105</v>
      </c>
      <c r="O2557" s="13" t="s">
        <v>757</v>
      </c>
      <c r="P2557" s="19" t="n">
        <v>4870511</v>
      </c>
      <c r="Q2557" s="20" t="s">
        <v>10965</v>
      </c>
      <c r="R2557" s="13" t="s">
        <v>83</v>
      </c>
      <c r="S2557" s="16" t="n">
        <v>37863</v>
      </c>
      <c r="T2557" s="13" t="s">
        <v>108</v>
      </c>
      <c r="U2557" s="13" t="s">
        <v>10966</v>
      </c>
      <c r="V2557" s="13" t="s">
        <v>42</v>
      </c>
      <c r="W2557" s="13" t="s">
        <v>43</v>
      </c>
      <c r="X2557" s="21" t="n">
        <v>81515295130</v>
      </c>
      <c r="Y2557" s="22" t="str">
        <f aca="false">O2557</f>
        <v>Inputor</v>
      </c>
      <c r="Z2557" s="13" t="str">
        <f aca="false">IFERROR(__xludf.dummyfunction("if(BJ2557="""","""",GOOGLETRANSLATE(BJ2557,""auto"",""en""))"),"Inputor")</f>
        <v>Inputor</v>
      </c>
      <c r="AA2557" s="23" t="str">
        <f aca="false">IF(C2557="","", CHOOSE(MONTH(C2557),"January","February","March","April","May","June","July","August","September","October","November","December")&amp;" "&amp;DAY(C2557)&amp;MID("thstndrdth",MIN(9,2*RIGHT(DAY(C2557))*(MOD(DAY(C2557)-11,100)&gt;2)+1),2)&amp;","&amp;TEXT(C2557," yyyy"))</f>
        <v>August 22nd,2025</v>
      </c>
      <c r="AB2557" s="15" t="str">
        <f aca="true">IF(S2557="","",DATEDIF(S2557,TODAY(),"Y")&amp;" Tahun, "&amp;DATEDIF(S2557,TODAY(),"YM")&amp;" Bulan, "&amp;DATEDIF(S2557,TODAY(),"MD")&amp;" Hari")</f>
        <v>23 Tahun, 1 Bulan, 29 Hari</v>
      </c>
      <c r="AC2557" s="18" t="n">
        <v>45871</v>
      </c>
      <c r="AD2557" s="18" t="n">
        <v>46528</v>
      </c>
      <c r="AE2557" s="13" t="s">
        <v>397</v>
      </c>
    </row>
    <row r="2558" customFormat="false" ht="15" hidden="false" customHeight="true" outlineLevel="0" collapsed="false">
      <c r="A2558" s="12" t="n">
        <v>20329</v>
      </c>
      <c r="B2558" s="13" t="s">
        <v>10967</v>
      </c>
      <c r="C2558" s="16" t="n">
        <v>45891</v>
      </c>
      <c r="D2558" s="13" t="s">
        <v>755</v>
      </c>
      <c r="E2558" s="15" t="s">
        <v>47</v>
      </c>
      <c r="F2558" s="15" t="str">
        <f aca="false">IFERROR(__xludf.dummyfunction("XLOOKUP(AJ2558,IMPORTRANGE(""1XaInW9DU9nz21V0tYIfzFQ0He9kVQ_JF2mCXgZ3hqFA"",""REKAP ALL 2026 - Andika!G:G""),IMPORTRANGE(""1XaInW9DU9nz21V0tYIfzFQ0He9kVQ_JF2mCXgZ3hqFA"",""REKAP ALL 2026 - Andika!F:F""),"""",0)"),"25115874007")</f>
        <v>25115874007</v>
      </c>
      <c r="G2558" s="13" t="s">
        <v>10968</v>
      </c>
      <c r="H2558" s="13" t="s">
        <v>35</v>
      </c>
      <c r="I2558" s="13" t="str">
        <f aca="false">IF(C2558=J2558,"NEW KONTRAK","RE-KONTRAK")</f>
        <v>RE-KONTRAK</v>
      </c>
      <c r="J2558" s="16" t="n">
        <f aca="false" t="array" ref="J2558:J2558">IFERROR(INDEX(AC2558:AE2558,IF(COUNTA(AC2558:AE2558)=0,"",MAX((AC2558:AE2558&lt;&gt;"")*(COLUMN(AC2558:AE2558)-(COLUMN(AC2558)))))-1),"")</f>
        <v>45871</v>
      </c>
      <c r="K2558" s="16" t="n">
        <f aca="false" t="array" ref="K2558:K2558">IFERROR(INDEX(AC2558:AE2558,IF(COUNTA(AC2558:AE2558)=0,"",MAX((AC2558:AE2558&lt;&gt;"")*(COLUMN(AC2558:AE2558)-(COLUMN(AC2558)-1))))-1),"")</f>
        <v>46528</v>
      </c>
      <c r="L2558" s="17" t="str">
        <f aca="false" t="array" ref="L2558:L2558">IFERROR(INDEX(AC2558:AE2558,IF(COUNTA(AC2558:AE2558)=0,"",MAX((AC2558:AE2558&lt;&gt;"")*(COLUMN(AC2558:AE2558)-(COLUMN(AC2558)-2))))-1),"")</f>
        <v>KEMBALI</v>
      </c>
      <c r="M2558" s="13" t="n">
        <f aca="true">K2558-TODAY()</f>
        <v>204</v>
      </c>
      <c r="N2558" s="18" t="s">
        <v>105</v>
      </c>
      <c r="O2558" s="13" t="s">
        <v>757</v>
      </c>
      <c r="P2558" s="19" t="n">
        <v>4870511</v>
      </c>
      <c r="Q2558" s="20" t="s">
        <v>10969</v>
      </c>
      <c r="R2558" s="13" t="s">
        <v>232</v>
      </c>
      <c r="S2558" s="16" t="n">
        <v>37677</v>
      </c>
      <c r="T2558" s="28" t="s">
        <v>40</v>
      </c>
      <c r="U2558" s="13" t="s">
        <v>10970</v>
      </c>
      <c r="V2558" s="13" t="s">
        <v>42</v>
      </c>
      <c r="W2558" s="13" t="s">
        <v>43</v>
      </c>
      <c r="X2558" s="21" t="n">
        <v>89678762078</v>
      </c>
      <c r="Y2558" s="22" t="str">
        <f aca="false">O2558</f>
        <v>Inputor</v>
      </c>
      <c r="Z2558" s="13" t="str">
        <f aca="false">IFERROR(__xludf.dummyfunction("if(BJ2558="""","""",GOOGLETRANSLATE(BJ2558,""auto"",""en""))"),"Inputor")</f>
        <v>Inputor</v>
      </c>
      <c r="AA2558" s="23" t="str">
        <f aca="false">IF(C2558="","", CHOOSE(MONTH(C2558),"January","February","March","April","May","June","July","August","September","October","November","December")&amp;" "&amp;DAY(C2558)&amp;MID("thstndrdth",MIN(9,2*RIGHT(DAY(C2558))*(MOD(DAY(C2558)-11,100)&gt;2)+1),2)&amp;","&amp;TEXT(C2558," yyyy"))</f>
        <v>August 22nd,2025</v>
      </c>
      <c r="AB2558" s="15" t="str">
        <f aca="true">IF(S2558="","",DATEDIF(S2558,TODAY(),"Y")&amp;" Tahun, "&amp;DATEDIF(S2558,TODAY(),"YM")&amp;" Bulan, "&amp;DATEDIF(S2558,TODAY(),"MD")&amp;" Hari")</f>
        <v>23 Tahun, 8 Bulan, 4 Hari</v>
      </c>
      <c r="AC2558" s="18" t="n">
        <v>45871</v>
      </c>
      <c r="AD2558" s="18" t="n">
        <v>46528</v>
      </c>
      <c r="AE2558" s="13" t="s">
        <v>397</v>
      </c>
    </row>
    <row r="2559" customFormat="false" ht="15" hidden="false" customHeight="true" outlineLevel="0" collapsed="false">
      <c r="A2559" s="12" t="n">
        <v>20330</v>
      </c>
      <c r="B2559" s="13" t="s">
        <v>10971</v>
      </c>
      <c r="C2559" s="16" t="n">
        <v>45891</v>
      </c>
      <c r="D2559" s="13" t="s">
        <v>755</v>
      </c>
      <c r="E2559" s="15" t="s">
        <v>47</v>
      </c>
      <c r="F2559" s="15" t="str">
        <f aca="false">IFERROR(__xludf.dummyfunction("XLOOKUP(AJ2559,IMPORTRANGE(""1XaInW9DU9nz21V0tYIfzFQ0He9kVQ_JF2mCXgZ3hqFA"",""REKAP ALL 2026 - Andika!G:G""),IMPORTRANGE(""1XaInW9DU9nz21V0tYIfzFQ0He9kVQ_JF2mCXgZ3hqFA"",""REKAP ALL 2026 - Andika!F:F""),"""",0)"),"25115879352")</f>
        <v>25115879352</v>
      </c>
      <c r="G2559" s="13" t="s">
        <v>10972</v>
      </c>
      <c r="H2559" s="13" t="s">
        <v>35</v>
      </c>
      <c r="I2559" s="13" t="str">
        <f aca="false">IF(C2559=J2559,"NEW KONTRAK","RE-KONTRAK")</f>
        <v>RE-KONTRAK</v>
      </c>
      <c r="J2559" s="16" t="n">
        <f aca="false" t="array" ref="J2559:J2559">IFERROR(INDEX(AC2559:AE2559,IF(COUNTA(AC2559:AE2559)=0,"",MAX((AC2559:AE2559&lt;&gt;"")*(COLUMN(AC2559:AE2559)-(COLUMN(AC2559)))))-1),"")</f>
        <v>45871</v>
      </c>
      <c r="K2559" s="16" t="n">
        <f aca="false" t="array" ref="K2559:K2559">IFERROR(INDEX(AC2559:AE2559,IF(COUNTA(AC2559:AE2559)=0,"",MAX((AC2559:AE2559&lt;&gt;"")*(COLUMN(AC2559:AE2559)-(COLUMN(AC2559)-1))))-1),"")</f>
        <v>46528</v>
      </c>
      <c r="L2559" s="17" t="str">
        <f aca="false" t="array" ref="L2559:L2559">IFERROR(INDEX(AC2559:AE2559,IF(COUNTA(AC2559:AE2559)=0,"",MAX((AC2559:AE2559&lt;&gt;"")*(COLUMN(AC2559:AE2559)-(COLUMN(AC2559)-2))))-1),"")</f>
        <v>KEMBALI</v>
      </c>
      <c r="M2559" s="13" t="n">
        <f aca="true">K2559-TODAY()</f>
        <v>204</v>
      </c>
      <c r="N2559" s="18" t="s">
        <v>105</v>
      </c>
      <c r="O2559" s="13" t="s">
        <v>757</v>
      </c>
      <c r="P2559" s="19" t="n">
        <v>4870511</v>
      </c>
      <c r="Q2559" s="20" t="s">
        <v>10973</v>
      </c>
      <c r="R2559" s="13" t="s">
        <v>232</v>
      </c>
      <c r="S2559" s="16" t="n">
        <v>37731</v>
      </c>
      <c r="T2559" s="28" t="s">
        <v>40</v>
      </c>
      <c r="U2559" s="13" t="s">
        <v>10974</v>
      </c>
      <c r="V2559" s="13" t="s">
        <v>42</v>
      </c>
      <c r="W2559" s="13" t="s">
        <v>43</v>
      </c>
      <c r="X2559" s="21" t="n">
        <v>81807980088</v>
      </c>
      <c r="Y2559" s="22" t="str">
        <f aca="false">O2559</f>
        <v>Inputor</v>
      </c>
      <c r="Z2559" s="13" t="str">
        <f aca="false">IFERROR(__xludf.dummyfunction("if(BJ2559="""","""",GOOGLETRANSLATE(BJ2559,""auto"",""en""))"),"Inputor")</f>
        <v>Inputor</v>
      </c>
      <c r="AA2559" s="23" t="str">
        <f aca="false">IF(C2559="","", CHOOSE(MONTH(C2559),"January","February","March","April","May","June","July","August","September","October","November","December")&amp;" "&amp;DAY(C2559)&amp;MID("thstndrdth",MIN(9,2*RIGHT(DAY(C2559))*(MOD(DAY(C2559)-11,100)&gt;2)+1),2)&amp;","&amp;TEXT(C2559," yyyy"))</f>
        <v>August 22nd,2025</v>
      </c>
      <c r="AB2559" s="15" t="str">
        <f aca="true">IF(S2559="","",DATEDIF(S2559,TODAY(),"Y")&amp;" Tahun, "&amp;DATEDIF(S2559,TODAY(),"YM")&amp;" Bulan, "&amp;DATEDIF(S2559,TODAY(),"MD")&amp;" Hari")</f>
        <v>23 Tahun, 6 Bulan, 9 Hari</v>
      </c>
      <c r="AC2559" s="18" t="n">
        <v>45871</v>
      </c>
      <c r="AD2559" s="18" t="n">
        <v>46528</v>
      </c>
      <c r="AE2559" s="13" t="s">
        <v>397</v>
      </c>
    </row>
    <row r="2560" customFormat="false" ht="15" hidden="false" customHeight="true" outlineLevel="0" collapsed="false">
      <c r="A2560" s="12" t="n">
        <v>20331</v>
      </c>
      <c r="B2560" s="13" t="s">
        <v>10975</v>
      </c>
      <c r="C2560" s="16" t="n">
        <v>45891</v>
      </c>
      <c r="D2560" s="13" t="s">
        <v>755</v>
      </c>
      <c r="E2560" s="15" t="s">
        <v>47</v>
      </c>
      <c r="F2560" s="15" t="str">
        <f aca="false">IFERROR(__xludf.dummyfunction("XLOOKUP(AJ2560,IMPORTRANGE(""1XaInW9DU9nz21V0tYIfzFQ0He9kVQ_JF2mCXgZ3hqFA"",""REKAP ALL 2026 - Andika!G:G""),IMPORTRANGE(""1XaInW9DU9nz21V0tYIfzFQ0He9kVQ_JF2mCXgZ3hqFA"",""REKAP ALL 2026 - Andika!F:F""),"""",0)"),"25115879576")</f>
        <v>25115879576</v>
      </c>
      <c r="G2560" s="13" t="s">
        <v>10976</v>
      </c>
      <c r="H2560" s="13" t="s">
        <v>35</v>
      </c>
      <c r="I2560" s="13" t="str">
        <f aca="false">IF(C2560=J2560,"NEW KONTRAK","RE-KONTRAK")</f>
        <v>RE-KONTRAK</v>
      </c>
      <c r="J2560" s="16" t="n">
        <f aca="false" t="array" ref="J2560:J2560">IFERROR(INDEX(AC2560:AE2560,IF(COUNTA(AC2560:AE2560)=0,"",MAX((AC2560:AE2560&lt;&gt;"")*(COLUMN(AC2560:AE2560)-(COLUMN(AC2560)))))-1),"")</f>
        <v>45871</v>
      </c>
      <c r="K2560" s="16" t="n">
        <f aca="false" t="array" ref="K2560:K2560">IFERROR(INDEX(AC2560:AE2560,IF(COUNTA(AC2560:AE2560)=0,"",MAX((AC2560:AE2560&lt;&gt;"")*(COLUMN(AC2560:AE2560)-(COLUMN(AC2560)-1))))-1),"")</f>
        <v>46528</v>
      </c>
      <c r="L2560" s="17" t="str">
        <f aca="false" t="array" ref="L2560:L2560">IFERROR(INDEX(AC2560:AE2560,IF(COUNTA(AC2560:AE2560)=0,"",MAX((AC2560:AE2560&lt;&gt;"")*(COLUMN(AC2560:AE2560)-(COLUMN(AC2560)-2))))-1),"")</f>
        <v>KEMBALI</v>
      </c>
      <c r="M2560" s="13" t="n">
        <f aca="true">K2560-TODAY()</f>
        <v>204</v>
      </c>
      <c r="N2560" s="18" t="s">
        <v>105</v>
      </c>
      <c r="O2560" s="13" t="s">
        <v>757</v>
      </c>
      <c r="P2560" s="19" t="n">
        <v>4870511</v>
      </c>
      <c r="Q2560" s="20" t="s">
        <v>10977</v>
      </c>
      <c r="R2560" s="13" t="s">
        <v>39</v>
      </c>
      <c r="S2560" s="16" t="n">
        <v>37806</v>
      </c>
      <c r="T2560" s="28" t="s">
        <v>40</v>
      </c>
      <c r="U2560" s="13" t="s">
        <v>10978</v>
      </c>
      <c r="V2560" s="13" t="s">
        <v>42</v>
      </c>
      <c r="W2560" s="13" t="s">
        <v>43</v>
      </c>
      <c r="X2560" s="21" t="n">
        <v>89638534460</v>
      </c>
      <c r="Y2560" s="22" t="str">
        <f aca="false">O2560</f>
        <v>Inputor</v>
      </c>
      <c r="Z2560" s="13" t="str">
        <f aca="false">IFERROR(__xludf.dummyfunction("if(BJ2560="""","""",GOOGLETRANSLATE(BJ2560,""auto"",""en""))"),"Inputor")</f>
        <v>Inputor</v>
      </c>
      <c r="AA2560" s="23" t="str">
        <f aca="false">IF(C2560="","", CHOOSE(MONTH(C2560),"January","February","March","April","May","June","July","August","September","October","November","December")&amp;" "&amp;DAY(C2560)&amp;MID("thstndrdth",MIN(9,2*RIGHT(DAY(C2560))*(MOD(DAY(C2560)-11,100)&gt;2)+1),2)&amp;","&amp;TEXT(C2560," yyyy"))</f>
        <v>August 22nd,2025</v>
      </c>
      <c r="AB2560" s="15" t="str">
        <f aca="true">IF(S2560="","",DATEDIF(S2560,TODAY(),"Y")&amp;" Tahun, "&amp;DATEDIF(S2560,TODAY(),"YM")&amp;" Bulan, "&amp;DATEDIF(S2560,TODAY(),"MD")&amp;" Hari")</f>
        <v>23 Tahun, 3 Bulan, 25 Hari</v>
      </c>
      <c r="AC2560" s="18" t="n">
        <v>45871</v>
      </c>
      <c r="AD2560" s="18" t="n">
        <v>46528</v>
      </c>
      <c r="AE2560" s="13" t="s">
        <v>397</v>
      </c>
    </row>
    <row r="2561" customFormat="false" ht="15" hidden="false" customHeight="true" outlineLevel="0" collapsed="false">
      <c r="A2561" s="12" t="n">
        <v>20332</v>
      </c>
      <c r="B2561" s="13" t="s">
        <v>10979</v>
      </c>
      <c r="C2561" s="16" t="n">
        <v>45870</v>
      </c>
      <c r="D2561" s="13" t="s">
        <v>6487</v>
      </c>
      <c r="E2561" s="15" t="s">
        <v>47</v>
      </c>
      <c r="F2561" s="15" t="str">
        <f aca="false">IFERROR(__xludf.dummyfunction("XLOOKUP(AJ2561,IMPORTRANGE(""1XaInW9DU9nz21V0tYIfzFQ0He9kVQ_JF2mCXgZ3hqFA"",""REKAP ALL 2026 - Andika!G:G""),IMPORTRANGE(""1XaInW9DU9nz21V0tYIfzFQ0He9kVQ_JF2mCXgZ3hqFA"",""REKAP ALL 2026 - Andika!F:F""),"""",0)"),"25115960897")</f>
        <v>25115960897</v>
      </c>
      <c r="G2561" s="13" t="s">
        <v>10980</v>
      </c>
      <c r="H2561" s="13" t="s">
        <v>35</v>
      </c>
      <c r="I2561" s="13" t="str">
        <f aca="false">IF(C2561=J2561,"NEW KONTRAK","RE-KONTRAK")</f>
        <v>NEW KONTRAK</v>
      </c>
      <c r="J2561" s="16" t="n">
        <f aca="false" t="array" ref="J2561:J2561">IFERROR(INDEX(AC2561:AE2561,IF(COUNTA(AC2561:AE2561)=0,"",MAX((AC2561:AE2561&lt;&gt;"")*(COLUMN(AC2561:AE2561)-(COLUMN(AC2561)))))-1),"")</f>
        <v>45870</v>
      </c>
      <c r="K2561" s="16" t="n">
        <f aca="false" t="array" ref="K2561:K2561">IFERROR(INDEX(AC2561:AE2561,IF(COUNTA(AC2561:AE2561)=0,"",MAX((AC2561:AE2561&lt;&gt;"")*(COLUMN(AC2561:AE2561)-(COLUMN(AC2561)-1))))-1),"")</f>
        <v>45991</v>
      </c>
      <c r="L2561" s="17" t="str">
        <f aca="false" t="array" ref="L2561:L2561">IFERROR(INDEX(AC2561:AE2561,IF(COUNTA(AC2561:AE2561)=0,"",MAX((AC2561:AE2561&lt;&gt;"")*(COLUMN(AC2561:AE2561)-(COLUMN(AC2561)-2))))-1),"")</f>
        <v>ARCHIVED</v>
      </c>
      <c r="M2561" s="13" t="n">
        <f aca="true">K2561-TODAY()</f>
        <v>-333</v>
      </c>
      <c r="N2561" s="18" t="s">
        <v>4735</v>
      </c>
      <c r="O2561" s="13" t="s">
        <v>50</v>
      </c>
      <c r="P2561" s="19" t="n">
        <v>3802862</v>
      </c>
      <c r="Q2561" s="20" t="s">
        <v>10981</v>
      </c>
      <c r="R2561" s="13" t="s">
        <v>83</v>
      </c>
      <c r="S2561" s="16" t="n">
        <v>30323</v>
      </c>
      <c r="T2561" s="28" t="s">
        <v>40</v>
      </c>
      <c r="U2561" s="13" t="s">
        <v>10982</v>
      </c>
      <c r="V2561" s="13" t="s">
        <v>42</v>
      </c>
      <c r="W2561" s="13" t="s">
        <v>54</v>
      </c>
      <c r="X2561" s="21" t="n">
        <v>85719605848</v>
      </c>
      <c r="Y2561" s="22" t="str">
        <f aca="false">O2561</f>
        <v>Driver</v>
      </c>
      <c r="Z2561" s="13" t="str">
        <f aca="false">IFERROR(__xludf.dummyfunction("if(BJ2561="""","""",GOOGLETRANSLATE(BJ2561,""auto"",""en""))"),"Driver")</f>
        <v>Driver</v>
      </c>
      <c r="AA2561" s="23" t="str">
        <f aca="false">IF(C2561="","", CHOOSE(MONTH(C2561),"January","February","March","April","May","June","July","August","September","October","November","December")&amp;" "&amp;DAY(C2561)&amp;MID("thstndrdth",MIN(9,2*RIGHT(DAY(C2561))*(MOD(DAY(C2561)-11,100)&gt;2)+1),2)&amp;","&amp;TEXT(C2561," yyyy"))</f>
        <v>August 1st,2025</v>
      </c>
      <c r="AB2561" s="15" t="str">
        <f aca="true">IF(S2561="","",DATEDIF(S2561,TODAY(),"Y")&amp;" Tahun, "&amp;DATEDIF(S2561,TODAY(),"YM")&amp;" Bulan, "&amp;DATEDIF(S2561,TODAY(),"MD")&amp;" Hari")</f>
        <v>43 Tahun, 9 Bulan, 22 Hari</v>
      </c>
      <c r="AC2561" s="18" t="n">
        <v>45870</v>
      </c>
      <c r="AD2561" s="18" t="n">
        <v>45991</v>
      </c>
      <c r="AE2561" s="18" t="s">
        <v>44</v>
      </c>
    </row>
    <row r="2562" customFormat="false" ht="15" hidden="false" customHeight="true" outlineLevel="0" collapsed="false">
      <c r="A2562" s="12" t="n">
        <v>20334</v>
      </c>
      <c r="B2562" s="13" t="s">
        <v>10983</v>
      </c>
      <c r="C2562" s="16" t="n">
        <v>45842</v>
      </c>
      <c r="D2562" s="13" t="s">
        <v>5726</v>
      </c>
      <c r="E2562" s="15" t="s">
        <v>47</v>
      </c>
      <c r="F2562" s="15" t="str">
        <f aca="false">IFERROR(__xludf.dummyfunction("XLOOKUP(AJ2562,IMPORTRANGE(""1XaInW9DU9nz21V0tYIfzFQ0He9kVQ_JF2mCXgZ3hqFA"",""REKAP ALL 2026 - Andika!G:G""),IMPORTRANGE(""1XaInW9DU9nz21V0tYIfzFQ0He9kVQ_JF2mCXgZ3hqFA"",""REKAP ALL 2026 - Andika!F:F""),"""",0)"),"25115945880")</f>
        <v>25115945880</v>
      </c>
      <c r="G2562" s="13" t="s">
        <v>10984</v>
      </c>
      <c r="H2562" s="13" t="s">
        <v>35</v>
      </c>
      <c r="I2562" s="13" t="str">
        <f aca="false">IF(C2562=J2562,"NEW KONTRAK","RE-KONTRAK")</f>
        <v>NEW KONTRAK</v>
      </c>
      <c r="J2562" s="16" t="n">
        <f aca="false" t="array" ref="J2562:J2562">IFERROR(INDEX(AC2562:AE2562,IF(COUNTA(AC2562:AE2562)=0,"",MAX((AC2562:AE2562&lt;&gt;"")*(COLUMN(AC2562:AE2562)-(COLUMN(AC2562)))))-1),"")</f>
        <v>45842</v>
      </c>
      <c r="K2562" s="16" t="n">
        <f aca="false" t="array" ref="K2562:K2562">IFERROR(INDEX(AC2562:AE2562,IF(COUNTA(AC2562:AE2562)=0,"",MAX((AC2562:AE2562&lt;&gt;"")*(COLUMN(AC2562:AE2562)-(COLUMN(AC2562)-1))))-1),"")</f>
        <v>46025</v>
      </c>
      <c r="L2562" s="17" t="str">
        <f aca="false" t="array" ref="L2562:L2562">IFERROR(INDEX(AC2562:AE2562,IF(COUNTA(AC2562:AE2562)=0,"",MAX((AC2562:AE2562&lt;&gt;"")*(COLUMN(AC2562:AE2562)-(COLUMN(AC2562)-2))))-1),"")</f>
        <v>ARCHIVED</v>
      </c>
      <c r="M2562" s="13" t="n">
        <f aca="true">K2562-TODAY()</f>
        <v>-299</v>
      </c>
      <c r="N2562" s="18" t="s">
        <v>615</v>
      </c>
      <c r="O2562" s="13" t="s">
        <v>624</v>
      </c>
      <c r="P2562" s="19" t="n">
        <v>5176101</v>
      </c>
      <c r="Q2562" s="20" t="s">
        <v>10985</v>
      </c>
      <c r="R2562" s="13" t="s">
        <v>232</v>
      </c>
      <c r="S2562" s="16" t="n">
        <v>35260</v>
      </c>
      <c r="T2562" s="13" t="s">
        <v>108</v>
      </c>
      <c r="U2562" s="13" t="s">
        <v>10986</v>
      </c>
      <c r="V2562" s="13" t="s">
        <v>42</v>
      </c>
      <c r="W2562" s="13" t="s">
        <v>54</v>
      </c>
      <c r="X2562" s="21" t="n">
        <v>85755020925</v>
      </c>
      <c r="Y2562" s="22" t="str">
        <f aca="false">O2562</f>
        <v>Quality Control</v>
      </c>
      <c r="Z2562" s="13" t="str">
        <f aca="false">IFERROR(__xludf.dummyfunction("if(BJ2562="""","""",GOOGLETRANSLATE(BJ2562,""auto"",""en""))"),"Quality Control")</f>
        <v>Quality Control</v>
      </c>
      <c r="AA2562" s="23" t="str">
        <f aca="false">IF(C2562="","", CHOOSE(MONTH(C2562),"January","February","March","April","May","June","July","August","September","October","November","December")&amp;" "&amp;DAY(C2562)&amp;MID("thstndrdth",MIN(9,2*RIGHT(DAY(C2562))*(MOD(DAY(C2562)-11,100)&gt;2)+1),2)&amp;","&amp;TEXT(C2562," yyyy"))</f>
        <v>July 4th,2025</v>
      </c>
      <c r="AB2562" s="15" t="str">
        <f aca="true">IF(S2562="","",DATEDIF(S2562,TODAY(),"Y")&amp;" Tahun, "&amp;DATEDIF(S2562,TODAY(),"YM")&amp;" Bulan, "&amp;DATEDIF(S2562,TODAY(),"MD")&amp;" Hari")</f>
        <v>30 Tahun, 3 Bulan, 15 Hari</v>
      </c>
      <c r="AC2562" s="18" t="n">
        <v>45842</v>
      </c>
      <c r="AD2562" s="18" t="n">
        <v>46025</v>
      </c>
      <c r="AE2562" s="18" t="s">
        <v>44</v>
      </c>
    </row>
    <row r="2563" customFormat="false" ht="15" hidden="false" customHeight="true" outlineLevel="0" collapsed="false">
      <c r="A2563" s="12" t="n">
        <v>20336</v>
      </c>
      <c r="B2563" s="13" t="s">
        <v>10987</v>
      </c>
      <c r="C2563" s="16" t="n">
        <v>45870</v>
      </c>
      <c r="D2563" s="13" t="s">
        <v>5791</v>
      </c>
      <c r="E2563" s="15" t="s">
        <v>47</v>
      </c>
      <c r="F2563" s="15" t="str">
        <f aca="false">IFERROR(__xludf.dummyfunction("XLOOKUP(AJ2563,IMPORTRANGE(""1XaInW9DU9nz21V0tYIfzFQ0He9kVQ_JF2mCXgZ3hqFA"",""REKAP ALL 2026 - Andika!G:G""),IMPORTRANGE(""1XaInW9DU9nz21V0tYIfzFQ0He9kVQ_JF2mCXgZ3hqFA"",""REKAP ALL 2026 - Andika!F:F""),"""",0)"),"25115947019")</f>
        <v>25115947019</v>
      </c>
      <c r="G2563" s="13" t="s">
        <v>1127</v>
      </c>
      <c r="H2563" s="13" t="s">
        <v>35</v>
      </c>
      <c r="I2563" s="13" t="str">
        <f aca="false">IF(C2563=J2563,"NEW KONTRAK","RE-KONTRAK")</f>
        <v>NEW KONTRAK</v>
      </c>
      <c r="J2563" s="16" t="n">
        <f aca="false" t="array" ref="J2563:J2563">IFERROR(INDEX(AC2563:AE2563,IF(COUNTA(AC2563:AE2563)=0,"",MAX((AC2563:AE2563&lt;&gt;"")*(COLUMN(AC2563:AE2563)-(COLUMN(AC2563)))))-1),"")</f>
        <v>45870</v>
      </c>
      <c r="K2563" s="16" t="n">
        <f aca="false" t="array" ref="K2563:K2563">IFERROR(INDEX(AC2563:AE2563,IF(COUNTA(AC2563:AE2563)=0,"",MAX((AC2563:AE2563&lt;&gt;"")*(COLUMN(AC2563:AE2563)-(COLUMN(AC2563)-1))))-1),"")</f>
        <v>46053</v>
      </c>
      <c r="L2563" s="17" t="str">
        <f aca="false" t="array" ref="L2563:L2563">IFERROR(INDEX(AC2563:AE2563,IF(COUNTA(AC2563:AE2563)=0,"",MAX((AC2563:AE2563&lt;&gt;"")*(COLUMN(AC2563:AE2563)-(COLUMN(AC2563)-2))))-1),"")</f>
        <v>ARCHIVED</v>
      </c>
      <c r="M2563" s="13" t="n">
        <f aca="true">K2563-TODAY()</f>
        <v>-271</v>
      </c>
      <c r="N2563" s="18" t="s">
        <v>728</v>
      </c>
      <c r="O2563" s="13" t="s">
        <v>3271</v>
      </c>
      <c r="P2563" s="19" t="n">
        <v>125000</v>
      </c>
      <c r="Q2563" s="20" t="s">
        <v>10988</v>
      </c>
      <c r="R2563" s="13" t="s">
        <v>83</v>
      </c>
      <c r="S2563" s="16" t="n">
        <v>35456</v>
      </c>
      <c r="T2563" s="28" t="s">
        <v>40</v>
      </c>
      <c r="U2563" s="13" t="s">
        <v>10989</v>
      </c>
      <c r="V2563" s="13" t="s">
        <v>42</v>
      </c>
      <c r="W2563" s="13" t="s">
        <v>43</v>
      </c>
      <c r="X2563" s="21" t="n">
        <v>85706440603</v>
      </c>
      <c r="Y2563" s="22" t="str">
        <f aca="false">O2563</f>
        <v>Helper</v>
      </c>
      <c r="Z2563" s="13" t="str">
        <f aca="false">IFERROR(__xludf.dummyfunction("if(BJ2563="""","""",GOOGLETRANSLATE(BJ2563,""auto"",""en""))"),"Helper")</f>
        <v>Helper</v>
      </c>
      <c r="AA2563" s="23" t="str">
        <f aca="false">IF(C2563="","", CHOOSE(MONTH(C2563),"January","February","March","April","May","June","July","August","September","October","November","December")&amp;" "&amp;DAY(C2563)&amp;MID("thstndrdth",MIN(9,2*RIGHT(DAY(C2563))*(MOD(DAY(C2563)-11,100)&gt;2)+1),2)&amp;","&amp;TEXT(C2563," yyyy"))</f>
        <v>August 1st,2025</v>
      </c>
      <c r="AB2563" s="15" t="str">
        <f aca="true">IF(S2563="","",DATEDIF(S2563,TODAY(),"Y")&amp;" Tahun, "&amp;DATEDIF(S2563,TODAY(),"YM")&amp;" Bulan, "&amp;DATEDIF(S2563,TODAY(),"MD")&amp;" Hari")</f>
        <v>29 Tahun, 9 Bulan, 3 Hari</v>
      </c>
      <c r="AC2563" s="70" t="n">
        <v>45870</v>
      </c>
      <c r="AD2563" s="70" t="n">
        <v>46053</v>
      </c>
      <c r="AE2563" s="70" t="s">
        <v>44</v>
      </c>
    </row>
    <row r="2564" customFormat="false" ht="15" hidden="false" customHeight="true" outlineLevel="0" collapsed="false">
      <c r="A2564" s="12" t="n">
        <v>20346</v>
      </c>
      <c r="B2564" s="13" t="s">
        <v>10990</v>
      </c>
      <c r="C2564" s="16" t="n">
        <v>45880</v>
      </c>
      <c r="D2564" s="13" t="s">
        <v>1338</v>
      </c>
      <c r="E2564" s="15" t="s">
        <v>47</v>
      </c>
      <c r="F2564" s="15" t="str">
        <f aca="false">IFERROR(__xludf.dummyfunction("XLOOKUP(AJ2564,IMPORTRANGE(""1XaInW9DU9nz21V0tYIfzFQ0He9kVQ_JF2mCXgZ3hqFA"",""REKAP ALL 2026 - Andika!G:G""),IMPORTRANGE(""1XaInW9DU9nz21V0tYIfzFQ0He9kVQ_JF2mCXgZ3hqFA"",""REKAP ALL 2026 - Andika!F:F""),"""",0)"),"25115947068")</f>
        <v>25115947068</v>
      </c>
      <c r="G2564" s="13" t="s">
        <v>57</v>
      </c>
      <c r="H2564" s="13" t="s">
        <v>3024</v>
      </c>
      <c r="I2564" s="13" t="str">
        <f aca="false">IF(C2564=J2564,"NEW KONTRAK","RE-KONTRAK")</f>
        <v>NEW KONTRAK</v>
      </c>
      <c r="J2564" s="16" t="n">
        <f aca="false" t="array" ref="J2564:J2564">IFERROR(INDEX(AC2564:AE2564,IF(COUNTA(AC2564:AE2564)=0,"",MAX((AC2564:AE2564&lt;&gt;"")*(COLUMN(AC2564:AE2564)-(COLUMN(AC2564)))))-1),"")</f>
        <v>45880</v>
      </c>
      <c r="K2564" s="16" t="n">
        <f aca="false" t="array" ref="K2564:K2564">IFERROR(INDEX(AC2564:AE2564,IF(COUNTA(AC2564:AE2564)=0,"",MAX((AC2564:AE2564&lt;&gt;"")*(COLUMN(AC2564:AE2564)-(COLUMN(AC2564)-1))))-1),"")</f>
        <v>45971</v>
      </c>
      <c r="L2564" s="17" t="str">
        <f aca="false" t="array" ref="L2564:L2564">IFERROR(INDEX(AC2564:AE2564,IF(COUNTA(AC2564:AE2564)=0,"",MAX((AC2564:AE2564&lt;&gt;"")*(COLUMN(AC2564:AE2564)-(COLUMN(AC2564)-2))))-1),"")</f>
        <v>ARCHIVED</v>
      </c>
      <c r="M2564" s="13" t="n">
        <f aca="true">K2564-TODAY()</f>
        <v>-353</v>
      </c>
      <c r="N2564" s="18" t="s">
        <v>615</v>
      </c>
      <c r="O2564" s="13" t="s">
        <v>2335</v>
      </c>
      <c r="P2564" s="19" t="n">
        <v>160000</v>
      </c>
      <c r="Q2564" s="20" t="s">
        <v>10991</v>
      </c>
      <c r="R2564" s="13" t="s">
        <v>232</v>
      </c>
      <c r="S2564" s="16" t="n">
        <v>35090</v>
      </c>
      <c r="T2564" s="28" t="s">
        <v>40</v>
      </c>
      <c r="U2564" s="13" t="s">
        <v>10992</v>
      </c>
      <c r="V2564" s="13" t="s">
        <v>42</v>
      </c>
      <c r="W2564" s="13" t="s">
        <v>54</v>
      </c>
      <c r="X2564" s="21" t="n">
        <v>85810045251</v>
      </c>
      <c r="Y2564" s="22" t="str">
        <f aca="false">O2564</f>
        <v>Project Management</v>
      </c>
      <c r="Z2564" s="13" t="str">
        <f aca="false">IFERROR(__xludf.dummyfunction("if(BJ2564="""","""",GOOGLETRANSLATE(BJ2564,""auto"",""en""))"),"Project Management")</f>
        <v>Project Management</v>
      </c>
      <c r="AA2564" s="23" t="str">
        <f aca="false">IF(C2564="","", CHOOSE(MONTH(C2564),"January","February","March","April","May","June","July","August","September","October","November","December")&amp;" "&amp;DAY(C2564)&amp;MID("thstndrdth",MIN(9,2*RIGHT(DAY(C2564))*(MOD(DAY(C2564)-11,100)&gt;2)+1),2)&amp;","&amp;TEXT(C2564," yyyy"))</f>
        <v>August 11th,2025</v>
      </c>
      <c r="AB2564" s="15" t="str">
        <f aca="true">IF(S2564="","",DATEDIF(S2564,TODAY(),"Y")&amp;" Tahun, "&amp;DATEDIF(S2564,TODAY(),"YM")&amp;" Bulan, "&amp;DATEDIF(S2564,TODAY(),"MD")&amp;" Hari")</f>
        <v>30 Tahun, 9 Bulan, 3 Hari</v>
      </c>
      <c r="AC2564" s="18" t="n">
        <v>45880</v>
      </c>
      <c r="AD2564" s="18" t="n">
        <v>45971</v>
      </c>
      <c r="AE2564" s="18" t="s">
        <v>44</v>
      </c>
    </row>
    <row r="2565" customFormat="false" ht="15" hidden="false" customHeight="true" outlineLevel="0" collapsed="false">
      <c r="A2565" s="12" t="n">
        <v>20347</v>
      </c>
      <c r="B2565" s="13" t="s">
        <v>10993</v>
      </c>
      <c r="C2565" s="16" t="n">
        <v>45875</v>
      </c>
      <c r="D2565" s="13" t="s">
        <v>6487</v>
      </c>
      <c r="E2565" s="15" t="s">
        <v>47</v>
      </c>
      <c r="F2565" s="15" t="str">
        <f aca="false">IFERROR(__xludf.dummyfunction("XLOOKUP(AJ2565,IMPORTRANGE(""1XaInW9DU9nz21V0tYIfzFQ0He9kVQ_JF2mCXgZ3hqFA"",""REKAP ALL 2026 - Andika!G:G""),IMPORTRANGE(""1XaInW9DU9nz21V0tYIfzFQ0He9kVQ_JF2mCXgZ3hqFA"",""REKAP ALL 2026 - Andika!F:F""),"""",0)"),"25115960806")</f>
        <v>25115960806</v>
      </c>
      <c r="G2565" s="13" t="s">
        <v>10994</v>
      </c>
      <c r="H2565" s="13" t="s">
        <v>35</v>
      </c>
      <c r="I2565" s="13" t="str">
        <f aca="false">IF(C2565=J2565,"NEW KONTRAK","RE-KONTRAK")</f>
        <v>NEW KONTRAK</v>
      </c>
      <c r="J2565" s="16" t="n">
        <f aca="false" t="array" ref="J2565:J2565">IFERROR(INDEX(AC2565:AE2565,IF(COUNTA(AC2565:AE2565)=0,"",MAX((AC2565:AE2565&lt;&gt;"")*(COLUMN(AC2565:AE2565)-(COLUMN(AC2565)))))-1),"")</f>
        <v>45875</v>
      </c>
      <c r="K2565" s="16" t="n">
        <f aca="false" t="array" ref="K2565:K2565">IFERROR(INDEX(AC2565:AE2565,IF(COUNTA(AC2565:AE2565)=0,"",MAX((AC2565:AE2565&lt;&gt;"")*(COLUMN(AC2565:AE2565)-(COLUMN(AC2565)-1))))-1),"")</f>
        <v>45991</v>
      </c>
      <c r="L2565" s="17" t="str">
        <f aca="false" t="array" ref="L2565:L2565">IFERROR(INDEX(AC2565:AE2565,IF(COUNTA(AC2565:AE2565)=0,"",MAX((AC2565:AE2565&lt;&gt;"")*(COLUMN(AC2565:AE2565)-(COLUMN(AC2565)-2))))-1),"")</f>
        <v>ARCHIVED</v>
      </c>
      <c r="M2565" s="13" t="n">
        <f aca="true">K2565-TODAY()</f>
        <v>-333</v>
      </c>
      <c r="N2565" s="18" t="s">
        <v>4735</v>
      </c>
      <c r="O2565" s="13" t="s">
        <v>1287</v>
      </c>
      <c r="P2565" s="19" t="n">
        <v>3802862</v>
      </c>
      <c r="Q2565" s="20" t="s">
        <v>10995</v>
      </c>
      <c r="R2565" s="13" t="s">
        <v>83</v>
      </c>
      <c r="S2565" s="16" t="n">
        <v>34520</v>
      </c>
      <c r="T2565" s="28" t="s">
        <v>40</v>
      </c>
      <c r="U2565" s="13" t="s">
        <v>10996</v>
      </c>
      <c r="V2565" s="13" t="s">
        <v>42</v>
      </c>
      <c r="W2565" s="13" t="s">
        <v>43</v>
      </c>
      <c r="X2565" s="21" t="n">
        <v>82142157687</v>
      </c>
      <c r="Y2565" s="22" t="str">
        <f aca="false">O2565</f>
        <v>Office Boy</v>
      </c>
      <c r="Z2565" s="13" t="str">
        <f aca="false">IFERROR(__xludf.dummyfunction("if(BJ2565="""","""",GOOGLETRANSLATE(BJ2565,""auto"",""en""))"),"Office Boy")</f>
        <v>Office Boy</v>
      </c>
      <c r="AA2565" s="23" t="str">
        <f aca="false">IF(C2565="","", CHOOSE(MONTH(C2565),"January","February","March","April","May","June","July","August","September","October","November","December")&amp;" "&amp;DAY(C2565)&amp;MID("thstndrdth",MIN(9,2*RIGHT(DAY(C2565))*(MOD(DAY(C2565)-11,100)&gt;2)+1),2)&amp;","&amp;TEXT(C2565," yyyy"))</f>
        <v>August 6th,2025</v>
      </c>
      <c r="AB2565" s="15" t="str">
        <f aca="true">IF(S2565="","",DATEDIF(S2565,TODAY(),"Y")&amp;" Tahun, "&amp;DATEDIF(S2565,TODAY(),"YM")&amp;" Bulan, "&amp;DATEDIF(S2565,TODAY(),"MD")&amp;" Hari")</f>
        <v>32 Tahun, 3 Bulan, 24 Hari</v>
      </c>
      <c r="AC2565" s="18" t="n">
        <v>45875</v>
      </c>
      <c r="AD2565" s="18" t="n">
        <v>45991</v>
      </c>
      <c r="AE2565" s="18" t="s">
        <v>44</v>
      </c>
    </row>
    <row r="2566" customFormat="false" ht="15" hidden="false" customHeight="true" outlineLevel="0" collapsed="false">
      <c r="A2566" s="12" t="n">
        <v>20348</v>
      </c>
      <c r="B2566" s="13" t="s">
        <v>10997</v>
      </c>
      <c r="C2566" s="16" t="n">
        <v>45881</v>
      </c>
      <c r="D2566" s="13" t="s">
        <v>144</v>
      </c>
      <c r="E2566" s="15" t="s">
        <v>47</v>
      </c>
      <c r="F2566" s="15" t="str">
        <f aca="false">IFERROR(__xludf.dummyfunction("XLOOKUP(AJ2566,IMPORTRANGE(""1XaInW9DU9nz21V0tYIfzFQ0He9kVQ_JF2mCXgZ3hqFA"",""REKAP ALL 2026 - Andika!G:G""),IMPORTRANGE(""1XaInW9DU9nz21V0tYIfzFQ0He9kVQ_JF2mCXgZ3hqFA"",""REKAP ALL 2026 - Andika!F:F""),"""",0)"),"25115952175")</f>
        <v>25115952175</v>
      </c>
      <c r="G2566" s="13" t="s">
        <v>10998</v>
      </c>
      <c r="H2566" s="13" t="s">
        <v>35</v>
      </c>
      <c r="I2566" s="13" t="str">
        <f aca="false">IF(C2566=J2566,"NEW KONTRAK","RE-KONTRAK")</f>
        <v>NEW KONTRAK</v>
      </c>
      <c r="J2566" s="16" t="n">
        <f aca="false" t="array" ref="J2566:J2566">IFERROR(INDEX(AC2566:AE2566,IF(COUNTA(AC2566:AE2566)=0,"",MAX((AC2566:AE2566&lt;&gt;"")*(COLUMN(AC2566:AE2566)-(COLUMN(AC2566)))))-1),"")</f>
        <v>45881</v>
      </c>
      <c r="K2566" s="16" t="n">
        <f aca="false" t="array" ref="K2566:K2566">IFERROR(INDEX(AC2566:AE2566,IF(COUNTA(AC2566:AE2566)=0,"",MAX((AC2566:AE2566&lt;&gt;"")*(COLUMN(AC2566:AE2566)-(COLUMN(AC2566)-1))))-1),"")</f>
        <v>46022</v>
      </c>
      <c r="L2566" s="17" t="str">
        <f aca="false" t="array" ref="L2566:L2566">IFERROR(INDEX(AC2566:AE2566,IF(COUNTA(AC2566:AE2566)=0,"",MAX((AC2566:AE2566&lt;&gt;"")*(COLUMN(AC2566:AE2566)-(COLUMN(AC2566)-2))))-1),"")</f>
        <v>ARCHIVED</v>
      </c>
      <c r="M2566" s="13" t="n">
        <f aca="true">K2566-TODAY()</f>
        <v>-302</v>
      </c>
      <c r="N2566" s="18" t="s">
        <v>36</v>
      </c>
      <c r="O2566" s="13" t="s">
        <v>6285</v>
      </c>
      <c r="P2566" s="19" t="n">
        <v>5195401</v>
      </c>
      <c r="Q2566" s="20" t="s">
        <v>10999</v>
      </c>
      <c r="R2566" s="13" t="s">
        <v>78</v>
      </c>
      <c r="S2566" s="16" t="n">
        <v>36302</v>
      </c>
      <c r="T2566" s="28" t="s">
        <v>40</v>
      </c>
      <c r="U2566" s="13" t="s">
        <v>11000</v>
      </c>
      <c r="V2566" s="13" t="s">
        <v>42</v>
      </c>
      <c r="W2566" s="13" t="s">
        <v>43</v>
      </c>
      <c r="X2566" s="21" t="n">
        <v>85812352016</v>
      </c>
      <c r="Y2566" s="22" t="str">
        <f aca="false">O2566</f>
        <v>Operator Reach Truck</v>
      </c>
      <c r="Z2566" s="13" t="str">
        <f aca="false">IFERROR(__xludf.dummyfunction("if(BJ2566="""","""",GOOGLETRANSLATE(BJ2566,""auto"",""en""))"),"Operator Reach Truck")</f>
        <v>Operator Reach Truck</v>
      </c>
      <c r="AA2566" s="23" t="str">
        <f aca="false">IF(C2566="","", CHOOSE(MONTH(C2566),"January","February","March","April","May","June","July","August","September","October","November","December")&amp;" "&amp;DAY(C2566)&amp;MID("thstndrdth",MIN(9,2*RIGHT(DAY(C2566))*(MOD(DAY(C2566)-11,100)&gt;2)+1),2)&amp;","&amp;TEXT(C2566," yyyy"))</f>
        <v>August 12th,2025</v>
      </c>
      <c r="AB2566" s="15" t="str">
        <f aca="true">IF(S2566="","",DATEDIF(S2566,TODAY(),"Y")&amp;" Tahun, "&amp;DATEDIF(S2566,TODAY(),"YM")&amp;" Bulan, "&amp;DATEDIF(S2566,TODAY(),"MD")&amp;" Hari")</f>
        <v>27 Tahun, 5 Bulan, 7 Hari</v>
      </c>
      <c r="AC2566" s="18" t="n">
        <v>45881</v>
      </c>
      <c r="AD2566" s="18" t="n">
        <v>46022</v>
      </c>
      <c r="AE2566" s="18" t="s">
        <v>44</v>
      </c>
    </row>
    <row r="2567" customFormat="false" ht="15" hidden="false" customHeight="true" outlineLevel="0" collapsed="false">
      <c r="A2567" s="12" t="n">
        <v>20350</v>
      </c>
      <c r="B2567" s="13" t="s">
        <v>11001</v>
      </c>
      <c r="C2567" s="16" t="n">
        <v>45881</v>
      </c>
      <c r="D2567" s="13" t="s">
        <v>144</v>
      </c>
      <c r="E2567" s="15" t="s">
        <v>47</v>
      </c>
      <c r="F2567" s="15" t="str">
        <f aca="false">IFERROR(__xludf.dummyfunction("XLOOKUP(AJ2567,IMPORTRANGE(""1XaInW9DU9nz21V0tYIfzFQ0He9kVQ_JF2mCXgZ3hqFA"",""REKAP ALL 2026 - Andika!G:G""),IMPORTRANGE(""1XaInW9DU9nz21V0tYIfzFQ0He9kVQ_JF2mCXgZ3hqFA"",""REKAP ALL 2026 - Andika!F:F""),"""",0)"),"25115952233")</f>
        <v>25115952233</v>
      </c>
      <c r="G2567" s="13" t="s">
        <v>11002</v>
      </c>
      <c r="H2567" s="13" t="s">
        <v>35</v>
      </c>
      <c r="I2567" s="13" t="str">
        <f aca="false">IF(C2567=J2567,"NEW KONTRAK","RE-KONTRAK")</f>
        <v>NEW KONTRAK</v>
      </c>
      <c r="J2567" s="16" t="n">
        <f aca="false" t="array" ref="J2567:J2567">IFERROR(INDEX(AC2567:AE2567,IF(COUNTA(AC2567:AE2567)=0,"",MAX((AC2567:AE2567&lt;&gt;"")*(COLUMN(AC2567:AE2567)-(COLUMN(AC2567)))))-1),"")</f>
        <v>45881</v>
      </c>
      <c r="K2567" s="16" t="n">
        <f aca="false" t="array" ref="K2567:K2567">IFERROR(INDEX(AC2567:AE2567,IF(COUNTA(AC2567:AE2567)=0,"",MAX((AC2567:AE2567&lt;&gt;"")*(COLUMN(AC2567:AE2567)-(COLUMN(AC2567)-1))))-1),"")</f>
        <v>46022</v>
      </c>
      <c r="L2567" s="17" t="str">
        <f aca="false" t="array" ref="L2567:L2567">IFERROR(INDEX(AC2567:AE2567,IF(COUNTA(AC2567:AE2567)=0,"",MAX((AC2567:AE2567&lt;&gt;"")*(COLUMN(AC2567:AE2567)-(COLUMN(AC2567)-2))))-1),"")</f>
        <v>ARCHIVED</v>
      </c>
      <c r="M2567" s="13" t="n">
        <f aca="true">K2567-TODAY()</f>
        <v>-302</v>
      </c>
      <c r="N2567" s="18" t="s">
        <v>36</v>
      </c>
      <c r="O2567" s="13" t="s">
        <v>76</v>
      </c>
      <c r="P2567" s="19" t="n">
        <v>5195401</v>
      </c>
      <c r="Q2567" s="20" t="s">
        <v>11003</v>
      </c>
      <c r="R2567" s="13" t="s">
        <v>78</v>
      </c>
      <c r="S2567" s="16" t="n">
        <v>37686</v>
      </c>
      <c r="T2567" s="28" t="s">
        <v>40</v>
      </c>
      <c r="U2567" s="13" t="s">
        <v>11004</v>
      </c>
      <c r="V2567" s="13" t="s">
        <v>42</v>
      </c>
      <c r="W2567" s="13" t="s">
        <v>43</v>
      </c>
      <c r="X2567" s="21" t="n">
        <v>85885411614</v>
      </c>
      <c r="Y2567" s="22" t="str">
        <f aca="false">O2567</f>
        <v>Operator Forklift</v>
      </c>
      <c r="Z2567" s="13" t="str">
        <f aca="false">IFERROR(__xludf.dummyfunction("if(BJ2567="""","""",GOOGLETRANSLATE(BJ2567,""auto"",""en""))"),"Operator Forklift")</f>
        <v>Operator Forklift</v>
      </c>
      <c r="AA2567" s="23" t="str">
        <f aca="false">IF(C2567="","", CHOOSE(MONTH(C2567),"January","February","March","April","May","June","July","August","September","October","November","December")&amp;" "&amp;DAY(C2567)&amp;MID("thstndrdth",MIN(9,2*RIGHT(DAY(C2567))*(MOD(DAY(C2567)-11,100)&gt;2)+1),2)&amp;","&amp;TEXT(C2567," yyyy"))</f>
        <v>August 12th,2025</v>
      </c>
      <c r="AB2567" s="15" t="str">
        <f aca="true">IF(S2567="","",DATEDIF(S2567,TODAY(),"Y")&amp;" Tahun, "&amp;DATEDIF(S2567,TODAY(),"YM")&amp;" Bulan, "&amp;DATEDIF(S2567,TODAY(),"MD")&amp;" Hari")</f>
        <v>23 Tahun, 7 Bulan, 23 Hari</v>
      </c>
      <c r="AC2567" s="18" t="n">
        <v>45881</v>
      </c>
      <c r="AD2567" s="18" t="n">
        <v>46022</v>
      </c>
      <c r="AE2567" s="18" t="s">
        <v>44</v>
      </c>
    </row>
    <row r="2568" customFormat="false" ht="15" hidden="false" customHeight="true" outlineLevel="0" collapsed="false">
      <c r="A2568" s="12" t="n">
        <v>20349</v>
      </c>
      <c r="B2568" s="13" t="s">
        <v>11005</v>
      </c>
      <c r="C2568" s="16" t="n">
        <v>45881</v>
      </c>
      <c r="D2568" s="13" t="s">
        <v>144</v>
      </c>
      <c r="E2568" s="15" t="s">
        <v>33</v>
      </c>
      <c r="F2568" s="24" t="s">
        <v>11006</v>
      </c>
      <c r="G2568" s="13" t="s">
        <v>1127</v>
      </c>
      <c r="H2568" s="13" t="s">
        <v>35</v>
      </c>
      <c r="I2568" s="13" t="str">
        <f aca="false">IF(C2568=J2568,"NEW KONTRAK","RE-KONTRAK")</f>
        <v>NEW KONTRAK</v>
      </c>
      <c r="J2568" s="16" t="n">
        <f aca="false" t="array" ref="J2568:J2568">IFERROR(INDEX(AC2568:AE2568,IF(COUNTA(AC2568:AE2568)=0,"",MAX((AC2568:AE2568&lt;&gt;"")*(COLUMN(AC2568:AE2568)-(COLUMN(AC2568)))))-1),"")</f>
        <v>45881</v>
      </c>
      <c r="K2568" s="16" t="n">
        <f aca="false" t="array" ref="K2568:K2568">IFERROR(INDEX(AC2568:AE2568,IF(COUNTA(AC2568:AE2568)=0,"",MAX((AC2568:AE2568&lt;&gt;"")*(COLUMN(AC2568:AE2568)-(COLUMN(AC2568)-1))))-1),"")</f>
        <v>46022</v>
      </c>
      <c r="L2568" s="17" t="str">
        <f aca="false" t="array" ref="L2568:L2568">IFERROR(INDEX(AC2568:AE2568,IF(COUNTA(AC2568:AE2568)=0,"",MAX((AC2568:AE2568&lt;&gt;"")*(COLUMN(AC2568:AE2568)-(COLUMN(AC2568)-2))))-1),"")</f>
        <v>ARCHIVED</v>
      </c>
      <c r="M2568" s="13" t="n">
        <f aca="true">K2568-TODAY()</f>
        <v>-302</v>
      </c>
      <c r="N2568" s="18" t="s">
        <v>36</v>
      </c>
      <c r="O2568" s="13" t="s">
        <v>6606</v>
      </c>
      <c r="P2568" s="19" t="n">
        <v>5195401</v>
      </c>
      <c r="Q2568" s="20" t="s">
        <v>11007</v>
      </c>
      <c r="R2568" s="13" t="s">
        <v>148</v>
      </c>
      <c r="S2568" s="16" t="n">
        <v>35598</v>
      </c>
      <c r="T2568" s="28" t="s">
        <v>40</v>
      </c>
      <c r="U2568" s="13" t="s">
        <v>11008</v>
      </c>
      <c r="V2568" s="13" t="s">
        <v>42</v>
      </c>
      <c r="W2568" s="13" t="s">
        <v>54</v>
      </c>
      <c r="X2568" s="30" t="n">
        <v>85309097439</v>
      </c>
      <c r="Y2568" s="22" t="str">
        <f aca="false">O2568</f>
        <v>Picker</v>
      </c>
      <c r="Z2568" s="13" t="str">
        <f aca="false">IFERROR(__xludf.dummyfunction("if(BJ2568="""","""",GOOGLETRANSLATE(BJ2568,""auto"",""en""))"),"Picker")</f>
        <v>Picker</v>
      </c>
      <c r="AA2568" s="23" t="str">
        <f aca="false">IF(C2568="","", CHOOSE(MONTH(C2568),"January","February","March","April","May","June","July","August","September","October","November","December")&amp;" "&amp;DAY(C2568)&amp;MID("thstndrdth",MIN(9,2*RIGHT(DAY(C2568))*(MOD(DAY(C2568)-11,100)&gt;2)+1),2)&amp;","&amp;TEXT(C2568," yyyy"))</f>
        <v>August 12th,2025</v>
      </c>
      <c r="AB2568" s="15" t="str">
        <f aca="true">IF(S2568="","",DATEDIF(S2568,TODAY(),"Y")&amp;" Tahun, "&amp;DATEDIF(S2568,TODAY(),"YM")&amp;" Bulan, "&amp;DATEDIF(S2568,TODAY(),"MD")&amp;" Hari")</f>
        <v>29 Tahun, 4 Bulan, 12 Hari</v>
      </c>
      <c r="AC2568" s="18" t="n">
        <v>45881</v>
      </c>
      <c r="AD2568" s="18" t="n">
        <v>46022</v>
      </c>
      <c r="AE2568" s="18" t="s">
        <v>44</v>
      </c>
    </row>
    <row r="2569" customFormat="false" ht="15" hidden="false" customHeight="true" outlineLevel="0" collapsed="false">
      <c r="A2569" s="12" t="n">
        <v>22693</v>
      </c>
      <c r="B2569" s="13" t="s">
        <v>11009</v>
      </c>
      <c r="C2569" s="14" t="n">
        <v>46251</v>
      </c>
      <c r="D2569" s="13" t="s">
        <v>1721</v>
      </c>
      <c r="E2569" s="13" t="s">
        <v>47</v>
      </c>
      <c r="F2569" s="24" t="s">
        <v>11010</v>
      </c>
      <c r="G2569" s="13" t="s">
        <v>1452</v>
      </c>
      <c r="H2569" s="13" t="s">
        <v>35</v>
      </c>
      <c r="I2569" s="13" t="str">
        <f aca="false">IF(C2569=J2569,"NEW KONTRAK","RE-KONTRAK")</f>
        <v>NEW KONTRAK</v>
      </c>
      <c r="J2569" s="16" t="n">
        <f aca="false" t="array" ref="J2569:J2569">IFERROR(INDEX(AC2569:AE2569,IF(COUNTA(AC2569:AE2569)=0,"",MAX((AC2569:AE2569&lt;&gt;"")*(COLUMN(AC2569:AE2569)-(COLUMN(AC2569)))))-1),"")</f>
        <v>46251</v>
      </c>
      <c r="K2569" s="16" t="n">
        <f aca="false" t="array" ref="K2569:K2569">IFERROR(INDEX(AC2569:AE2569,IF(COUNTA(AC2569:AE2569)=0,"",MAX((AC2569:AE2569&lt;&gt;"")*(COLUMN(AC2569:AE2569)-(COLUMN(AC2569)-1))))-1),"")</f>
        <v>46342</v>
      </c>
      <c r="L2569" s="17" t="str">
        <f aca="false" t="array" ref="L2569:L2569">IFERROR(INDEX(AC2569:AE2569,IF(COUNTA(AC2569:AE2569)=0,"",MAX((AC2569:AE2569&lt;&gt;"")*(COLUMN(AC2569:AE2569)-(COLUMN(AC2569)-2))))-1),"")</f>
        <v>KEMBALI</v>
      </c>
      <c r="M2569" s="13" t="n">
        <f aca="true">K2569-TODAY()</f>
        <v>18</v>
      </c>
      <c r="N2569" s="18" t="s">
        <v>728</v>
      </c>
      <c r="O2569" s="13" t="s">
        <v>1803</v>
      </c>
      <c r="P2569" s="26" t="n">
        <v>5444909</v>
      </c>
      <c r="Q2569" s="20" t="s">
        <v>11011</v>
      </c>
      <c r="R2569" s="13" t="s">
        <v>879</v>
      </c>
      <c r="S2569" s="25" t="n">
        <v>32757</v>
      </c>
      <c r="T2569" s="13" t="s">
        <v>108</v>
      </c>
      <c r="U2569" s="13" t="s">
        <v>11012</v>
      </c>
      <c r="V2569" s="13" t="s">
        <v>42</v>
      </c>
      <c r="W2569" s="13" t="s">
        <v>54</v>
      </c>
      <c r="X2569" s="21" t="n">
        <v>83878318785</v>
      </c>
      <c r="Y2569" s="22" t="str">
        <f aca="false">O2569</f>
        <v>Injectition Moulding</v>
      </c>
      <c r="Z2569" s="13" t="str">
        <f aca="false">IFERROR(__xludf.dummyfunction("if(BJ2569="""","""",GOOGLETRANSLATE(BJ2569,""auto"",""en""))"),"Injectition Moulding")</f>
        <v>Injectition Moulding</v>
      </c>
      <c r="AA2569" s="23" t="str">
        <f aca="false">IF(C2569="","", CHOOSE(MONTH(C2569),"January","February","March","April","May","June","July","August","September","October","November","December")&amp;" "&amp;DAY(C2569)&amp;MID("thstndrdth",MIN(9,2*RIGHT(DAY(C2569))*(MOD(DAY(C2569)-11,100)&gt;2)+1),2)&amp;","&amp;TEXT(C2569," yyyy"))</f>
        <v>August 17th,2026</v>
      </c>
      <c r="AB2569" s="15" t="str">
        <f aca="true">IF(S2569="","",DATEDIF(S2569,TODAY(),"Y")&amp;" Tahun, "&amp;DATEDIF(S2569,TODAY(),"YM")&amp;" Bulan, "&amp;DATEDIF(S2569,TODAY(),"MD")&amp;" Hari")</f>
        <v>37 Tahun, 1 Bulan, 23 Hari</v>
      </c>
      <c r="AC2569" s="14" t="n">
        <v>46251</v>
      </c>
      <c r="AD2569" s="18" t="n">
        <f aca="false">EDATE(AC2569,3)-1</f>
        <v>46342</v>
      </c>
      <c r="AE2569" s="13" t="s">
        <v>397</v>
      </c>
    </row>
    <row r="2570" customFormat="false" ht="15" hidden="false" customHeight="true" outlineLevel="0" collapsed="false">
      <c r="A2570" s="12" t="n">
        <v>20351</v>
      </c>
      <c r="B2570" s="13" t="s">
        <v>11013</v>
      </c>
      <c r="C2570" s="16" t="n">
        <v>45876</v>
      </c>
      <c r="D2570" s="13" t="s">
        <v>5892</v>
      </c>
      <c r="E2570" s="15" t="s">
        <v>102</v>
      </c>
      <c r="F2570" s="15" t="str">
        <f aca="false">IFERROR(__xludf.dummyfunction("XLOOKUP(AJ2570,IMPORTRANGE(""1XaInW9DU9nz21V0tYIfzFQ0He9kVQ_JF2mCXgZ3hqFA"",""REKAP ALL 2026 - Andika!G:G""),IMPORTRANGE(""1XaInW9DU9nz21V0tYIfzFQ0He9kVQ_JF2mCXgZ3hqFA"",""REKAP ALL 2026 - Andika!F:F""),"""",0)"),"25115960814")</f>
        <v>25115960814</v>
      </c>
      <c r="G2570" s="13" t="s">
        <v>11014</v>
      </c>
      <c r="H2570" s="13" t="s">
        <v>35</v>
      </c>
      <c r="I2570" s="13" t="str">
        <f aca="false">IF(C2570=J2570,"NEW KONTRAK","RE-KONTRAK")</f>
        <v>NEW KONTRAK</v>
      </c>
      <c r="J2570" s="16" t="n">
        <f aca="false" t="array" ref="J2570:J2570">IFERROR(INDEX(AC2570:AE2570,IF(COUNTA(AC2570:AE2570)=0,"",MAX((AC2570:AE2570&lt;&gt;"")*(COLUMN(AC2570:AE2570)-(COLUMN(AC2570)))))-1),"")</f>
        <v>45876</v>
      </c>
      <c r="K2570" s="16" t="n">
        <f aca="false" t="array" ref="K2570:K2570">IFERROR(INDEX(AC2570:AE2570,IF(COUNTA(AC2570:AE2570)=0,"",MAX((AC2570:AE2570&lt;&gt;"")*(COLUMN(AC2570:AE2570)-(COLUMN(AC2570)-1))))-1),"")</f>
        <v>45967</v>
      </c>
      <c r="L2570" s="17" t="str">
        <f aca="false" t="array" ref="L2570:L2570">IFERROR(INDEX(AC2570:AE2570,IF(COUNTA(AC2570:AE2570)=0,"",MAX((AC2570:AE2570&lt;&gt;"")*(COLUMN(AC2570:AE2570)-(COLUMN(AC2570)-2))))-1),"")</f>
        <v>ARCHIVED</v>
      </c>
      <c r="M2570" s="13" t="n">
        <f aca="true">K2570-TODAY()</f>
        <v>-357</v>
      </c>
      <c r="N2570" s="18" t="s">
        <v>105</v>
      </c>
      <c r="O2570" s="13" t="s">
        <v>6285</v>
      </c>
      <c r="P2570" s="19" t="n">
        <v>4060000</v>
      </c>
      <c r="Q2570" s="20" t="s">
        <v>11015</v>
      </c>
      <c r="R2570" s="13" t="s">
        <v>255</v>
      </c>
      <c r="S2570" s="16" t="n">
        <v>36945</v>
      </c>
      <c r="T2570" s="28" t="s">
        <v>40</v>
      </c>
      <c r="U2570" s="13" t="s">
        <v>11016</v>
      </c>
      <c r="V2570" s="13" t="s">
        <v>42</v>
      </c>
      <c r="W2570" s="13" t="s">
        <v>54</v>
      </c>
      <c r="X2570" s="21" t="n">
        <v>8568225655</v>
      </c>
      <c r="Y2570" s="22" t="str">
        <f aca="false">O2570</f>
        <v>Operator Reach Truck</v>
      </c>
      <c r="Z2570" s="13" t="str">
        <f aca="false">IFERROR(__xludf.dummyfunction("if(BJ2570="""","""",GOOGLETRANSLATE(BJ2570,""auto"",""en""))"),"Operator Reach Truck")</f>
        <v>Operator Reach Truck</v>
      </c>
      <c r="AA2570" s="23" t="str">
        <f aca="false">IF(C2570="","", CHOOSE(MONTH(C2570),"January","February","March","April","May","June","July","August","September","October","November","December")&amp;" "&amp;DAY(C2570)&amp;MID("thstndrdth",MIN(9,2*RIGHT(DAY(C2570))*(MOD(DAY(C2570)-11,100)&gt;2)+1),2)&amp;","&amp;TEXT(C2570," yyyy"))</f>
        <v>August 7th,2025</v>
      </c>
      <c r="AB2570" s="15" t="str">
        <f aca="true">IF(S2570="","",DATEDIF(S2570,TODAY(),"Y")&amp;" Tahun, "&amp;DATEDIF(S2570,TODAY(),"YM")&amp;" Bulan, "&amp;DATEDIF(S2570,TODAY(),"MD")&amp;" Hari")</f>
        <v>25 Tahun, 8 Bulan, 6 Hari</v>
      </c>
      <c r="AC2570" s="18" t="n">
        <v>45876</v>
      </c>
      <c r="AD2570" s="18" t="n">
        <v>45967</v>
      </c>
      <c r="AE2570" s="18" t="s">
        <v>44</v>
      </c>
    </row>
    <row r="2571" customFormat="false" ht="15" hidden="false" customHeight="true" outlineLevel="0" collapsed="false">
      <c r="A2571" s="12" t="n">
        <v>20352</v>
      </c>
      <c r="B2571" s="13" t="s">
        <v>11017</v>
      </c>
      <c r="C2571" s="16" t="n">
        <v>45880</v>
      </c>
      <c r="D2571" s="13" t="s">
        <v>5892</v>
      </c>
      <c r="E2571" s="15" t="s">
        <v>789</v>
      </c>
      <c r="F2571" s="15" t="str">
        <f aca="false">IFERROR(__xludf.dummyfunction("XLOOKUP(AJ2571,IMPORTRANGE(""1XaInW9DU9nz21V0tYIfzFQ0He9kVQ_JF2mCXgZ3hqFA"",""REKAP ALL 2026 - Andika!G:G""),IMPORTRANGE(""1XaInW9DU9nz21V0tYIfzFQ0He9kVQ_JF2mCXgZ3hqFA"",""REKAP ALL 2026 - Andika!F:F""),"""",0)"),"25115960913")</f>
        <v>25115960913</v>
      </c>
      <c r="G2571" s="13" t="s">
        <v>11018</v>
      </c>
      <c r="H2571" s="13" t="s">
        <v>35</v>
      </c>
      <c r="I2571" s="13" t="str">
        <f aca="false">IF(C2571=J2571,"NEW KONTRAK","RE-KONTRAK")</f>
        <v>NEW KONTRAK</v>
      </c>
      <c r="J2571" s="16" t="n">
        <f aca="false" t="array" ref="J2571:J2571">IFERROR(INDEX(AC2571:AE2571,IF(COUNTA(AC2571:AE2571)=0,"",MAX((AC2571:AE2571&lt;&gt;"")*(COLUMN(AC2571:AE2571)-(COLUMN(AC2571)))))-1),"")</f>
        <v>45880</v>
      </c>
      <c r="K2571" s="16" t="n">
        <f aca="false" t="array" ref="K2571:K2571">IFERROR(INDEX(AC2571:AE2571,IF(COUNTA(AC2571:AE2571)=0,"",MAX((AC2571:AE2571&lt;&gt;"")*(COLUMN(AC2571:AE2571)-(COLUMN(AC2571)-1))))-1),"")</f>
        <v>45971</v>
      </c>
      <c r="L2571" s="17" t="str">
        <f aca="false" t="array" ref="L2571:L2571">IFERROR(INDEX(AC2571:AE2571,IF(COUNTA(AC2571:AE2571)=0,"",MAX((AC2571:AE2571&lt;&gt;"")*(COLUMN(AC2571:AE2571)-(COLUMN(AC2571)-2))))-1),"")</f>
        <v>ARCHIVED</v>
      </c>
      <c r="M2571" s="13" t="n">
        <f aca="true">K2571-TODAY()</f>
        <v>-353</v>
      </c>
      <c r="N2571" s="18" t="s">
        <v>105</v>
      </c>
      <c r="O2571" s="13" t="s">
        <v>6125</v>
      </c>
      <c r="P2571" s="19" t="n">
        <v>3000000</v>
      </c>
      <c r="Q2571" s="20" t="s">
        <v>11019</v>
      </c>
      <c r="R2571" s="13" t="s">
        <v>232</v>
      </c>
      <c r="S2571" s="16" t="n">
        <v>37212</v>
      </c>
      <c r="T2571" s="28" t="s">
        <v>40</v>
      </c>
      <c r="U2571" s="13" t="s">
        <v>11020</v>
      </c>
      <c r="V2571" s="13" t="s">
        <v>42</v>
      </c>
      <c r="W2571" s="13" t="s">
        <v>43</v>
      </c>
      <c r="X2571" s="21" t="n">
        <v>81615472561</v>
      </c>
      <c r="Y2571" s="22" t="str">
        <f aca="false">O2571</f>
        <v>Admin Operasional</v>
      </c>
      <c r="Z2571" s="13" t="str">
        <f aca="false">IFERROR(__xludf.dummyfunction("if(BJ2571="""","""",GOOGLETRANSLATE(BJ2571,""auto"",""en""))"),"Operational Admin")</f>
        <v>Operational Admin</v>
      </c>
      <c r="AA2571" s="23" t="str">
        <f aca="false">IF(C2571="","", CHOOSE(MONTH(C2571),"January","February","March","April","May","June","July","August","September","October","November","December")&amp;" "&amp;DAY(C2571)&amp;MID("thstndrdth",MIN(9,2*RIGHT(DAY(C2571))*(MOD(DAY(C2571)-11,100)&gt;2)+1),2)&amp;","&amp;TEXT(C2571," yyyy"))</f>
        <v>August 11th,2025</v>
      </c>
      <c r="AB2571" s="15" t="str">
        <f aca="true">IF(S2571="","",DATEDIF(S2571,TODAY(),"Y")&amp;" Tahun, "&amp;DATEDIF(S2571,TODAY(),"YM")&amp;" Bulan, "&amp;DATEDIF(S2571,TODAY(),"MD")&amp;" Hari")</f>
        <v>24 Tahun, 11 Bulan, 12 Hari</v>
      </c>
      <c r="AC2571" s="18" t="n">
        <v>45880</v>
      </c>
      <c r="AD2571" s="18" t="n">
        <v>45971</v>
      </c>
      <c r="AE2571" s="18" t="s">
        <v>44</v>
      </c>
    </row>
    <row r="2572" customFormat="false" ht="15" hidden="false" customHeight="true" outlineLevel="0" collapsed="false">
      <c r="A2572" s="12" t="n">
        <v>20358</v>
      </c>
      <c r="B2572" s="13" t="s">
        <v>11021</v>
      </c>
      <c r="C2572" s="16" t="n">
        <v>45849</v>
      </c>
      <c r="D2572" s="13" t="s">
        <v>7534</v>
      </c>
      <c r="E2572" s="15" t="s">
        <v>102</v>
      </c>
      <c r="F2572" s="24" t="s">
        <v>11022</v>
      </c>
      <c r="G2572" s="13" t="s">
        <v>11023</v>
      </c>
      <c r="H2572" s="13" t="s">
        <v>35</v>
      </c>
      <c r="I2572" s="13" t="str">
        <f aca="false">IF(C2572=J2572,"NEW KONTRAK","RE-KONTRAK")</f>
        <v>NEW KONTRAK</v>
      </c>
      <c r="J2572" s="16" t="n">
        <f aca="false" t="array" ref="J2572:J2572">IFERROR(INDEX(AC2572:AE2572,IF(COUNTA(AC2572:AE2572)=0,"",MAX((AC2572:AE2572&lt;&gt;"")*(COLUMN(AC2572:AE2572)-(COLUMN(AC2572)))))-1),"")</f>
        <v>45849</v>
      </c>
      <c r="K2572" s="16" t="n">
        <f aca="false" t="array" ref="K2572:K2572">IFERROR(INDEX(AC2572:AE2572,IF(COUNTA(AC2572:AE2572)=0,"",MAX((AC2572:AE2572&lt;&gt;"")*(COLUMN(AC2572:AE2572)-(COLUMN(AC2572)-1))))-1),"")</f>
        <v>45940</v>
      </c>
      <c r="L2572" s="17" t="str">
        <f aca="false" t="array" ref="L2572:L2572">IFERROR(INDEX(AC2572:AE2572,IF(COUNTA(AC2572:AE2572)=0,"",MAX((AC2572:AE2572&lt;&gt;"")*(COLUMN(AC2572:AE2572)-(COLUMN(AC2572)-2))))-1),"")</f>
        <v>ARCHIVED</v>
      </c>
      <c r="M2572" s="13" t="n">
        <f aca="true">K2572-TODAY()</f>
        <v>-384</v>
      </c>
      <c r="N2572" s="18" t="s">
        <v>4735</v>
      </c>
      <c r="O2572" s="13" t="s">
        <v>7536</v>
      </c>
      <c r="P2572" s="19" t="n">
        <v>3553530</v>
      </c>
      <c r="Q2572" s="20" t="s">
        <v>11024</v>
      </c>
      <c r="R2572" s="13" t="s">
        <v>83</v>
      </c>
      <c r="S2572" s="16" t="n">
        <v>38737</v>
      </c>
      <c r="T2572" s="13" t="s">
        <v>108</v>
      </c>
      <c r="U2572" s="13" t="s">
        <v>11025</v>
      </c>
      <c r="V2572" s="13" t="s">
        <v>42</v>
      </c>
      <c r="W2572" s="13" t="s">
        <v>43</v>
      </c>
      <c r="X2572" s="21" t="n">
        <v>81231083623</v>
      </c>
      <c r="Y2572" s="22" t="str">
        <f aca="false">O2572</f>
        <v>Host Live</v>
      </c>
      <c r="Z2572" s="13" t="str">
        <f aca="false">IFERROR(__xludf.dummyfunction("if(BJ2572="""","""",GOOGLETRANSLATE(BJ2572,""auto"",""en""))"),"Host Live")</f>
        <v>Host Live</v>
      </c>
      <c r="AA2572" s="23" t="str">
        <f aca="false">IF(C2572="","", CHOOSE(MONTH(C2572),"January","February","March","April","May","June","July","August","September","October","November","December")&amp;" "&amp;DAY(C2572)&amp;MID("thstndrdth",MIN(9,2*RIGHT(DAY(C2572))*(MOD(DAY(C2572)-11,100)&gt;2)+1),2)&amp;","&amp;TEXT(C2572," yyyy"))</f>
        <v>July 11th,2025</v>
      </c>
      <c r="AB2572" s="15" t="str">
        <f aca="true">IF(S2572="","",DATEDIF(S2572,TODAY(),"Y")&amp;" Tahun, "&amp;DATEDIF(S2572,TODAY(),"YM")&amp;" Bulan, "&amp;DATEDIF(S2572,TODAY(),"MD")&amp;" Hari")</f>
        <v>20 Tahun, 9 Bulan, 9 Hari</v>
      </c>
      <c r="AC2572" s="18" t="n">
        <v>45849</v>
      </c>
      <c r="AD2572" s="18" t="n">
        <v>45940</v>
      </c>
      <c r="AE2572" s="18" t="s">
        <v>44</v>
      </c>
    </row>
    <row r="2573" customFormat="false" ht="15" hidden="false" customHeight="true" outlineLevel="0" collapsed="false">
      <c r="A2573" s="12" t="n">
        <v>20360</v>
      </c>
      <c r="B2573" s="13" t="s">
        <v>11026</v>
      </c>
      <c r="C2573" s="16" t="n">
        <v>45870</v>
      </c>
      <c r="D2573" s="13" t="s">
        <v>1066</v>
      </c>
      <c r="E2573" s="15" t="s">
        <v>47</v>
      </c>
      <c r="F2573" s="15" t="str">
        <f aca="false">IFERROR(__xludf.dummyfunction("XLOOKUP(AJ2573,IMPORTRANGE(""1XaInW9DU9nz21V0tYIfzFQ0He9kVQ_JF2mCXgZ3hqFA"",""REKAP ALL 2026 - Andika!G:G""),IMPORTRANGE(""1XaInW9DU9nz21V0tYIfzFQ0He9kVQ_JF2mCXgZ3hqFA"",""REKAP ALL 2026 - Andika!F:F""),"""",0)"),"24195983168")</f>
        <v>24195983168</v>
      </c>
      <c r="G2573" s="13" t="s">
        <v>11027</v>
      </c>
      <c r="H2573" s="13" t="s">
        <v>35</v>
      </c>
      <c r="I2573" s="13" t="str">
        <f aca="false">IF(C2573=J2573,"NEW KONTRAK","RE-KONTRAK")</f>
        <v>NEW KONTRAK</v>
      </c>
      <c r="J2573" s="16" t="n">
        <f aca="false" t="array" ref="J2573:J2573">IFERROR(INDEX(AC2573:AE2573,IF(COUNTA(AC2573:AE2573)=0,"",MAX((AC2573:AE2573&lt;&gt;"")*(COLUMN(AC2573:AE2573)-(COLUMN(AC2573)))))-1),"")</f>
        <v>45870</v>
      </c>
      <c r="K2573" s="16" t="n">
        <f aca="false" t="array" ref="K2573:K2573">IFERROR(INDEX(AC2573:AE2573,IF(COUNTA(AC2573:AE2573)=0,"",MAX((AC2573:AE2573&lt;&gt;"")*(COLUMN(AC2573:AE2573)-(COLUMN(AC2573)-1))))-1),"")</f>
        <v>46022</v>
      </c>
      <c r="L2573" s="17" t="str">
        <f aca="false" t="array" ref="L2573:L2573">IFERROR(INDEX(AC2573:AE2573,IF(COUNTA(AC2573:AE2573)=0,"",MAX((AC2573:AE2573&lt;&gt;"")*(COLUMN(AC2573:AE2573)-(COLUMN(AC2573)-2))))-1),"")</f>
        <v>ARCHIVED</v>
      </c>
      <c r="M2573" s="13" t="n">
        <f aca="true">K2573-TODAY()</f>
        <v>-302</v>
      </c>
      <c r="N2573" s="18" t="s">
        <v>615</v>
      </c>
      <c r="O2573" s="13" t="s">
        <v>1140</v>
      </c>
      <c r="P2573" s="19" t="n">
        <v>5176101</v>
      </c>
      <c r="Q2573" s="20" t="s">
        <v>11028</v>
      </c>
      <c r="R2573" s="13" t="s">
        <v>232</v>
      </c>
      <c r="S2573" s="14" t="n">
        <v>35508</v>
      </c>
      <c r="T2573" s="13" t="s">
        <v>40</v>
      </c>
      <c r="U2573" s="13" t="s">
        <v>11029</v>
      </c>
      <c r="V2573" s="13" t="s">
        <v>42</v>
      </c>
      <c r="W2573" s="13" t="s">
        <v>54</v>
      </c>
      <c r="X2573" s="21" t="n">
        <v>83110815748</v>
      </c>
      <c r="Y2573" s="22" t="str">
        <f aca="false">O2573</f>
        <v>GBJ Helper</v>
      </c>
      <c r="Z2573" s="13" t="str">
        <f aca="false">IFERROR(__xludf.dummyfunction("if(BJ2573="""","""",GOOGLETRANSLATE(BJ2573,""auto"",""en""))"),"GBJ Helper")</f>
        <v>GBJ Helper</v>
      </c>
      <c r="AA2573" s="23" t="str">
        <f aca="false">IF(C2573="","", CHOOSE(MONTH(C2573),"January","February","March","April","May","June","July","August","September","October","November","December")&amp;" "&amp;DAY(C2573)&amp;MID("thstndrdth",MIN(9,2*RIGHT(DAY(C2573))*(MOD(DAY(C2573)-11,100)&gt;2)+1),2)&amp;","&amp;TEXT(C2573," yyyy"))</f>
        <v>August 1st,2025</v>
      </c>
      <c r="AB2573" s="15" t="str">
        <f aca="true">IF(S2573="","",DATEDIF(S2573,TODAY(),"Y")&amp;" Tahun, "&amp;DATEDIF(S2573,TODAY(),"YM")&amp;" Bulan, "&amp;DATEDIF(S2573,TODAY(),"MD")&amp;" Hari")</f>
        <v>29 Tahun, 7 Bulan, 10 Hari</v>
      </c>
      <c r="AC2573" s="18" t="n">
        <v>45870</v>
      </c>
      <c r="AD2573" s="18" t="n">
        <v>46022</v>
      </c>
      <c r="AE2573" s="18" t="s">
        <v>44</v>
      </c>
    </row>
    <row r="2574" customFormat="false" ht="15" hidden="false" customHeight="true" outlineLevel="0" collapsed="false">
      <c r="A2574" s="12" t="n">
        <v>20361</v>
      </c>
      <c r="B2574" s="13" t="s">
        <v>11030</v>
      </c>
      <c r="C2574" s="16" t="n">
        <v>45870</v>
      </c>
      <c r="D2574" s="13" t="s">
        <v>1066</v>
      </c>
      <c r="E2574" s="15" t="s">
        <v>47</v>
      </c>
      <c r="F2574" s="15" t="str">
        <f aca="false">IFERROR(__xludf.dummyfunction("XLOOKUP(AJ2574,IMPORTRANGE(""1XaInW9DU9nz21V0tYIfzFQ0He9kVQ_JF2mCXgZ3hqFA"",""REKAP ALL 2026 - Andika!G:G""),IMPORTRANGE(""1XaInW9DU9nz21V0tYIfzFQ0He9kVQ_JF2mCXgZ3hqFA"",""REKAP ALL 2026 - Andika!F:F""),"""",0)"),"24195983200")</f>
        <v>24195983200</v>
      </c>
      <c r="G2574" s="13" t="s">
        <v>11031</v>
      </c>
      <c r="H2574" s="13" t="s">
        <v>35</v>
      </c>
      <c r="I2574" s="13" t="str">
        <f aca="false">IF(C2574=J2574,"NEW KONTRAK","RE-KONTRAK")</f>
        <v>NEW KONTRAK</v>
      </c>
      <c r="J2574" s="16" t="n">
        <f aca="false" t="array" ref="J2574:J2574">IFERROR(INDEX(AC2574:AE2574,IF(COUNTA(AC2574:AE2574)=0,"",MAX((AC2574:AE2574&lt;&gt;"")*(COLUMN(AC2574:AE2574)-(COLUMN(AC2574)))))-1),"")</f>
        <v>45870</v>
      </c>
      <c r="K2574" s="16" t="n">
        <f aca="false" t="array" ref="K2574:K2574">IFERROR(INDEX(AC2574:AE2574,IF(COUNTA(AC2574:AE2574)=0,"",MAX((AC2574:AE2574&lt;&gt;"")*(COLUMN(AC2574:AE2574)-(COLUMN(AC2574)-1))))-1),"")</f>
        <v>46022</v>
      </c>
      <c r="L2574" s="17" t="str">
        <f aca="false" t="array" ref="L2574:L2574">IFERROR(INDEX(AC2574:AE2574,IF(COUNTA(AC2574:AE2574)=0,"",MAX((AC2574:AE2574&lt;&gt;"")*(COLUMN(AC2574:AE2574)-(COLUMN(AC2574)-2))))-1),"")</f>
        <v>ARCHIVED</v>
      </c>
      <c r="M2574" s="13" t="n">
        <f aca="true">K2574-TODAY()</f>
        <v>-302</v>
      </c>
      <c r="N2574" s="18" t="s">
        <v>615</v>
      </c>
      <c r="O2574" s="13" t="s">
        <v>1068</v>
      </c>
      <c r="P2574" s="19" t="n">
        <v>5176101</v>
      </c>
      <c r="Q2574" s="20" t="s">
        <v>11032</v>
      </c>
      <c r="R2574" s="13" t="s">
        <v>232</v>
      </c>
      <c r="S2574" s="14" t="n">
        <v>37531</v>
      </c>
      <c r="T2574" s="13" t="s">
        <v>40</v>
      </c>
      <c r="U2574" s="13" t="s">
        <v>7262</v>
      </c>
      <c r="V2574" s="13" t="s">
        <v>42</v>
      </c>
      <c r="W2574" s="13" t="s">
        <v>43</v>
      </c>
      <c r="X2574" s="21" t="n">
        <v>87855476286</v>
      </c>
      <c r="Y2574" s="22" t="str">
        <f aca="false">O2574</f>
        <v>Production Packer</v>
      </c>
      <c r="Z2574" s="13" t="str">
        <f aca="false">IFERROR(__xludf.dummyfunction("if(BJ2574="""","""",GOOGLETRANSLATE(BJ2574,""auto"",""en""))"),"Production Packer")</f>
        <v>Production Packer</v>
      </c>
      <c r="AA2574" s="23" t="str">
        <f aca="false">IF(C2574="","", CHOOSE(MONTH(C2574),"January","February","March","April","May","June","July","August","September","October","November","December")&amp;" "&amp;DAY(C2574)&amp;MID("thstndrdth",MIN(9,2*RIGHT(DAY(C2574))*(MOD(DAY(C2574)-11,100)&gt;2)+1),2)&amp;","&amp;TEXT(C2574," yyyy"))</f>
        <v>August 1st,2025</v>
      </c>
      <c r="AB2574" s="15" t="str">
        <f aca="true">IF(S2574="","",DATEDIF(S2574,TODAY(),"Y")&amp;" Tahun, "&amp;DATEDIF(S2574,TODAY(),"YM")&amp;" Bulan, "&amp;DATEDIF(S2574,TODAY(),"MD")&amp;" Hari")</f>
        <v>24 Tahun, 0 Bulan, 27 Hari</v>
      </c>
      <c r="AC2574" s="18" t="n">
        <v>45870</v>
      </c>
      <c r="AD2574" s="18" t="n">
        <v>46022</v>
      </c>
      <c r="AE2574" s="18" t="s">
        <v>44</v>
      </c>
    </row>
    <row r="2575" customFormat="false" ht="15" hidden="false" customHeight="true" outlineLevel="0" collapsed="false">
      <c r="A2575" s="12" t="n">
        <v>20362</v>
      </c>
      <c r="B2575" s="13" t="s">
        <v>11033</v>
      </c>
      <c r="C2575" s="16" t="n">
        <v>45870</v>
      </c>
      <c r="D2575" s="13" t="s">
        <v>1066</v>
      </c>
      <c r="E2575" s="15" t="s">
        <v>47</v>
      </c>
      <c r="F2575" s="15" t="str">
        <f aca="false">IFERROR(__xludf.dummyfunction("XLOOKUP(AJ2575,IMPORTRANGE(""1XaInW9DU9nz21V0tYIfzFQ0He9kVQ_JF2mCXgZ3hqFA"",""REKAP ALL 2026 - Andika!G:G""),IMPORTRANGE(""1XaInW9DU9nz21V0tYIfzFQ0He9kVQ_JF2mCXgZ3hqFA"",""REKAP ALL 2026 - Andika!F:F""),"""",0)"),"24195982798")</f>
        <v>24195982798</v>
      </c>
      <c r="G2575" s="13" t="s">
        <v>11034</v>
      </c>
      <c r="H2575" s="13" t="s">
        <v>35</v>
      </c>
      <c r="I2575" s="13" t="str">
        <f aca="false">IF(C2575=J2575,"NEW KONTRAK","RE-KONTRAK")</f>
        <v>NEW KONTRAK</v>
      </c>
      <c r="J2575" s="16" t="n">
        <f aca="false" t="array" ref="J2575:J2575">IFERROR(INDEX(AC2575:AE2575,IF(COUNTA(AC2575:AE2575)=0,"",MAX((AC2575:AE2575&lt;&gt;"")*(COLUMN(AC2575:AE2575)-(COLUMN(AC2575)))))-1),"")</f>
        <v>45870</v>
      </c>
      <c r="K2575" s="16" t="n">
        <f aca="false" t="array" ref="K2575:K2575">IFERROR(INDEX(AC2575:AE2575,IF(COUNTA(AC2575:AE2575)=0,"",MAX((AC2575:AE2575&lt;&gt;"")*(COLUMN(AC2575:AE2575)-(COLUMN(AC2575)-1))))-1),"")</f>
        <v>46022</v>
      </c>
      <c r="L2575" s="17" t="str">
        <f aca="false" t="array" ref="L2575:L2575">IFERROR(INDEX(AC2575:AE2575,IF(COUNTA(AC2575:AE2575)=0,"",MAX((AC2575:AE2575&lt;&gt;"")*(COLUMN(AC2575:AE2575)-(COLUMN(AC2575)-2))))-1),"")</f>
        <v>ARCHIVED</v>
      </c>
      <c r="M2575" s="13" t="n">
        <f aca="true">K2575-TODAY()</f>
        <v>-302</v>
      </c>
      <c r="N2575" s="18" t="s">
        <v>615</v>
      </c>
      <c r="O2575" s="13" t="s">
        <v>1068</v>
      </c>
      <c r="P2575" s="19" t="n">
        <v>5176101</v>
      </c>
      <c r="Q2575" s="20" t="s">
        <v>11035</v>
      </c>
      <c r="R2575" s="13" t="s">
        <v>232</v>
      </c>
      <c r="S2575" s="14" t="n">
        <v>38219</v>
      </c>
      <c r="T2575" s="13" t="s">
        <v>40</v>
      </c>
      <c r="U2575" s="13" t="s">
        <v>11036</v>
      </c>
      <c r="V2575" s="13" t="s">
        <v>42</v>
      </c>
      <c r="W2575" s="13" t="s">
        <v>43</v>
      </c>
      <c r="X2575" s="21" t="n">
        <v>8155170420</v>
      </c>
      <c r="Y2575" s="22" t="str">
        <f aca="false">O2575</f>
        <v>Production Packer</v>
      </c>
      <c r="Z2575" s="13" t="str">
        <f aca="false">IFERROR(__xludf.dummyfunction("if(BJ2575="""","""",GOOGLETRANSLATE(BJ2575,""auto"",""en""))"),"Production Packer")</f>
        <v>Production Packer</v>
      </c>
      <c r="AA2575" s="23" t="str">
        <f aca="false">IF(C2575="","", CHOOSE(MONTH(C2575),"January","February","March","April","May","June","July","August","September","October","November","December")&amp;" "&amp;DAY(C2575)&amp;MID("thstndrdth",MIN(9,2*RIGHT(DAY(C2575))*(MOD(DAY(C2575)-11,100)&gt;2)+1),2)&amp;","&amp;TEXT(C2575," yyyy"))</f>
        <v>August 1st,2025</v>
      </c>
      <c r="AB2575" s="15" t="str">
        <f aca="true">IF(S2575="","",DATEDIF(S2575,TODAY(),"Y")&amp;" Tahun, "&amp;DATEDIF(S2575,TODAY(),"YM")&amp;" Bulan, "&amp;DATEDIF(S2575,TODAY(),"MD")&amp;" Hari")</f>
        <v>22 Tahun, 2 Bulan, 9 Hari</v>
      </c>
      <c r="AC2575" s="18" t="n">
        <v>45870</v>
      </c>
      <c r="AD2575" s="18" t="n">
        <v>46022</v>
      </c>
      <c r="AE2575" s="18" t="s">
        <v>44</v>
      </c>
    </row>
    <row r="2576" customFormat="false" ht="15" hidden="false" customHeight="true" outlineLevel="0" collapsed="false">
      <c r="A2576" s="12" t="n">
        <v>20363</v>
      </c>
      <c r="B2576" s="13" t="s">
        <v>11037</v>
      </c>
      <c r="C2576" s="16" t="n">
        <v>45870</v>
      </c>
      <c r="D2576" s="13" t="s">
        <v>1066</v>
      </c>
      <c r="E2576" s="15" t="s">
        <v>47</v>
      </c>
      <c r="F2576" s="15" t="str">
        <f aca="false">IFERROR(__xludf.dummyfunction("XLOOKUP(AJ2576,IMPORTRANGE(""1XaInW9DU9nz21V0tYIfzFQ0He9kVQ_JF2mCXgZ3hqFA"",""REKAP ALL 2026 - Andika!G:G""),IMPORTRANGE(""1XaInW9DU9nz21V0tYIfzFQ0He9kVQ_JF2mCXgZ3hqFA"",""REKAP ALL 2026 - Andika!F:F""),"""",0)"),"24195983259")</f>
        <v>24195983259</v>
      </c>
      <c r="G2576" s="13" t="s">
        <v>11038</v>
      </c>
      <c r="H2576" s="13" t="s">
        <v>35</v>
      </c>
      <c r="I2576" s="13" t="str">
        <f aca="false">IF(C2576=J2576,"NEW KONTRAK","RE-KONTRAK")</f>
        <v>NEW KONTRAK</v>
      </c>
      <c r="J2576" s="16" t="n">
        <f aca="false" t="array" ref="J2576:J2576">IFERROR(INDEX(AC2576:AE2576,IF(COUNTA(AC2576:AE2576)=0,"",MAX((AC2576:AE2576&lt;&gt;"")*(COLUMN(AC2576:AE2576)-(COLUMN(AC2576)))))-1),"")</f>
        <v>45870</v>
      </c>
      <c r="K2576" s="16" t="n">
        <f aca="false" t="array" ref="K2576:K2576">IFERROR(INDEX(AC2576:AE2576,IF(COUNTA(AC2576:AE2576)=0,"",MAX((AC2576:AE2576&lt;&gt;"")*(COLUMN(AC2576:AE2576)-(COLUMN(AC2576)-1))))-1),"")</f>
        <v>46022</v>
      </c>
      <c r="L2576" s="17" t="str">
        <f aca="false" t="array" ref="L2576:L2576">IFERROR(INDEX(AC2576:AE2576,IF(COUNTA(AC2576:AE2576)=0,"",MAX((AC2576:AE2576&lt;&gt;"")*(COLUMN(AC2576:AE2576)-(COLUMN(AC2576)-2))))-1),"")</f>
        <v>ARCHIVED</v>
      </c>
      <c r="M2576" s="13" t="n">
        <f aca="true">K2576-TODAY()</f>
        <v>-302</v>
      </c>
      <c r="N2576" s="18" t="s">
        <v>615</v>
      </c>
      <c r="O2576" s="13" t="s">
        <v>1068</v>
      </c>
      <c r="P2576" s="19" t="n">
        <v>5176101</v>
      </c>
      <c r="Q2576" s="20" t="s">
        <v>11039</v>
      </c>
      <c r="R2576" s="13" t="s">
        <v>232</v>
      </c>
      <c r="S2576" s="14" t="n">
        <v>37845</v>
      </c>
      <c r="T2576" s="13" t="s">
        <v>40</v>
      </c>
      <c r="U2576" s="13" t="s">
        <v>11040</v>
      </c>
      <c r="V2576" s="13" t="s">
        <v>42</v>
      </c>
      <c r="W2576" s="13" t="s">
        <v>43</v>
      </c>
      <c r="X2576" s="21" t="n">
        <v>85694963384</v>
      </c>
      <c r="Y2576" s="22" t="str">
        <f aca="false">O2576</f>
        <v>Production Packer</v>
      </c>
      <c r="Z2576" s="13" t="str">
        <f aca="false">IFERROR(__xludf.dummyfunction("if(BJ2576="""","""",GOOGLETRANSLATE(BJ2576,""auto"",""en""))"),"Production Packer")</f>
        <v>Production Packer</v>
      </c>
      <c r="AA2576" s="23" t="str">
        <f aca="false">IF(C2576="","", CHOOSE(MONTH(C2576),"January","February","March","April","May","June","July","August","September","October","November","December")&amp;" "&amp;DAY(C2576)&amp;MID("thstndrdth",MIN(9,2*RIGHT(DAY(C2576))*(MOD(DAY(C2576)-11,100)&gt;2)+1),2)&amp;","&amp;TEXT(C2576," yyyy"))</f>
        <v>August 1st,2025</v>
      </c>
      <c r="AB2576" s="15" t="str">
        <f aca="true">IF(S2576="","",DATEDIF(S2576,TODAY(),"Y")&amp;" Tahun, "&amp;DATEDIF(S2576,TODAY(),"YM")&amp;" Bulan, "&amp;DATEDIF(S2576,TODAY(),"MD")&amp;" Hari")</f>
        <v>23 Tahun, 2 Bulan, 17 Hari</v>
      </c>
      <c r="AC2576" s="18" t="n">
        <v>45870</v>
      </c>
      <c r="AD2576" s="18" t="n">
        <v>46022</v>
      </c>
      <c r="AE2576" s="18" t="s">
        <v>44</v>
      </c>
    </row>
    <row r="2577" customFormat="false" ht="15" hidden="false" customHeight="true" outlineLevel="0" collapsed="false">
      <c r="A2577" s="12" t="n">
        <v>20364</v>
      </c>
      <c r="B2577" s="13" t="s">
        <v>11041</v>
      </c>
      <c r="C2577" s="16" t="n">
        <v>45870</v>
      </c>
      <c r="D2577" s="13" t="s">
        <v>1066</v>
      </c>
      <c r="E2577" s="15" t="s">
        <v>47</v>
      </c>
      <c r="F2577" s="15" t="str">
        <f aca="false">IFERROR(__xludf.dummyfunction("XLOOKUP(AJ2577,IMPORTRANGE(""1XaInW9DU9nz21V0tYIfzFQ0He9kVQ_JF2mCXgZ3hqFA"",""REKAP ALL 2026 - Andika!G:G""),IMPORTRANGE(""1XaInW9DU9nz21V0tYIfzFQ0He9kVQ_JF2mCXgZ3hqFA"",""REKAP ALL 2026 - Andika!F:F""),"""",0)"),"24195982681")</f>
        <v>24195982681</v>
      </c>
      <c r="G2577" s="13" t="s">
        <v>11042</v>
      </c>
      <c r="H2577" s="13" t="s">
        <v>35</v>
      </c>
      <c r="I2577" s="13" t="str">
        <f aca="false">IF(C2577=J2577,"NEW KONTRAK","RE-KONTRAK")</f>
        <v>NEW KONTRAK</v>
      </c>
      <c r="J2577" s="16" t="n">
        <f aca="false" t="array" ref="J2577:J2577">IFERROR(INDEX(AC2577:AE2577,IF(COUNTA(AC2577:AE2577)=0,"",MAX((AC2577:AE2577&lt;&gt;"")*(COLUMN(AC2577:AE2577)-(COLUMN(AC2577)))))-1),"")</f>
        <v>45870</v>
      </c>
      <c r="K2577" s="16" t="n">
        <f aca="false" t="array" ref="K2577:K2577">IFERROR(INDEX(AC2577:AE2577,IF(COUNTA(AC2577:AE2577)=0,"",MAX((AC2577:AE2577&lt;&gt;"")*(COLUMN(AC2577:AE2577)-(COLUMN(AC2577)-1))))-1),"")</f>
        <v>46022</v>
      </c>
      <c r="L2577" s="17" t="str">
        <f aca="false" t="array" ref="L2577:L2577">IFERROR(INDEX(AC2577:AE2577,IF(COUNTA(AC2577:AE2577)=0,"",MAX((AC2577:AE2577&lt;&gt;"")*(COLUMN(AC2577:AE2577)-(COLUMN(AC2577)-2))))-1),"")</f>
        <v>ARCHIVED</v>
      </c>
      <c r="M2577" s="13" t="n">
        <f aca="true">K2577-TODAY()</f>
        <v>-302</v>
      </c>
      <c r="N2577" s="18" t="s">
        <v>615</v>
      </c>
      <c r="O2577" s="13" t="s">
        <v>1068</v>
      </c>
      <c r="P2577" s="19" t="n">
        <v>5176101</v>
      </c>
      <c r="Q2577" s="20" t="s">
        <v>11043</v>
      </c>
      <c r="R2577" s="13" t="s">
        <v>232</v>
      </c>
      <c r="S2577" s="14" t="n">
        <v>36809</v>
      </c>
      <c r="T2577" s="13" t="s">
        <v>40</v>
      </c>
      <c r="U2577" s="13" t="s">
        <v>11044</v>
      </c>
      <c r="V2577" s="13" t="s">
        <v>42</v>
      </c>
      <c r="W2577" s="13" t="s">
        <v>43</v>
      </c>
      <c r="X2577" s="21" t="n">
        <v>81555981855</v>
      </c>
      <c r="Y2577" s="22" t="str">
        <f aca="false">O2577</f>
        <v>Production Packer</v>
      </c>
      <c r="Z2577" s="13" t="str">
        <f aca="false">IFERROR(__xludf.dummyfunction("if(BJ2577="""","""",GOOGLETRANSLATE(BJ2577,""auto"",""en""))"),"Production Packer")</f>
        <v>Production Packer</v>
      </c>
      <c r="AA2577" s="23" t="str">
        <f aca="false">IF(C2577="","", CHOOSE(MONTH(C2577),"January","February","March","April","May","June","July","August","September","October","November","December")&amp;" "&amp;DAY(C2577)&amp;MID("thstndrdth",MIN(9,2*RIGHT(DAY(C2577))*(MOD(DAY(C2577)-11,100)&gt;2)+1),2)&amp;","&amp;TEXT(C2577," yyyy"))</f>
        <v>August 1st,2025</v>
      </c>
      <c r="AB2577" s="15" t="str">
        <f aca="true">IF(S2577="","",DATEDIF(S2577,TODAY(),"Y")&amp;" Tahun, "&amp;DATEDIF(S2577,TODAY(),"YM")&amp;" Bulan, "&amp;DATEDIF(S2577,TODAY(),"MD")&amp;" Hari")</f>
        <v>26 Tahun, 0 Bulan, 19 Hari</v>
      </c>
      <c r="AC2577" s="18" t="n">
        <v>45870</v>
      </c>
      <c r="AD2577" s="18" t="n">
        <v>46022</v>
      </c>
      <c r="AE2577" s="18" t="s">
        <v>44</v>
      </c>
    </row>
    <row r="2578" customFormat="false" ht="15" hidden="false" customHeight="true" outlineLevel="0" collapsed="false">
      <c r="A2578" s="12" t="n">
        <v>20365</v>
      </c>
      <c r="B2578" s="13" t="s">
        <v>11045</v>
      </c>
      <c r="C2578" s="16" t="n">
        <v>45870</v>
      </c>
      <c r="D2578" s="13" t="s">
        <v>1066</v>
      </c>
      <c r="E2578" s="15" t="s">
        <v>47</v>
      </c>
      <c r="F2578" s="15" t="str">
        <f aca="false">IFERROR(__xludf.dummyfunction("XLOOKUP(AJ2578,IMPORTRANGE(""1XaInW9DU9nz21V0tYIfzFQ0He9kVQ_JF2mCXgZ3hqFA"",""REKAP ALL 2026 - Andika!G:G""),IMPORTRANGE(""1XaInW9DU9nz21V0tYIfzFQ0He9kVQ_JF2mCXgZ3hqFA"",""REKAP ALL 2026 - Andika!F:F""),"""",0)"),"24195982913")</f>
        <v>24195982913</v>
      </c>
      <c r="G2578" s="13" t="s">
        <v>11046</v>
      </c>
      <c r="H2578" s="13" t="s">
        <v>35</v>
      </c>
      <c r="I2578" s="13" t="str">
        <f aca="false">IF(C2578=J2578,"NEW KONTRAK","RE-KONTRAK")</f>
        <v>NEW KONTRAK</v>
      </c>
      <c r="J2578" s="16" t="n">
        <f aca="false" t="array" ref="J2578:J2578">IFERROR(INDEX(AC2578:AE2578,IF(COUNTA(AC2578:AE2578)=0,"",MAX((AC2578:AE2578&lt;&gt;"")*(COLUMN(AC2578:AE2578)-(COLUMN(AC2578)))))-1),"")</f>
        <v>45870</v>
      </c>
      <c r="K2578" s="16" t="n">
        <f aca="false" t="array" ref="K2578:K2578">IFERROR(INDEX(AC2578:AE2578,IF(COUNTA(AC2578:AE2578)=0,"",MAX((AC2578:AE2578&lt;&gt;"")*(COLUMN(AC2578:AE2578)-(COLUMN(AC2578)-1))))-1),"")</f>
        <v>46022</v>
      </c>
      <c r="L2578" s="17" t="str">
        <f aca="false" t="array" ref="L2578:L2578">IFERROR(INDEX(AC2578:AE2578,IF(COUNTA(AC2578:AE2578)=0,"",MAX((AC2578:AE2578&lt;&gt;"")*(COLUMN(AC2578:AE2578)-(COLUMN(AC2578)-2))))-1),"")</f>
        <v>ARCHIVED</v>
      </c>
      <c r="M2578" s="13" t="n">
        <f aca="true">K2578-TODAY()</f>
        <v>-302</v>
      </c>
      <c r="N2578" s="18" t="s">
        <v>615</v>
      </c>
      <c r="O2578" s="13" t="s">
        <v>1068</v>
      </c>
      <c r="P2578" s="19" t="n">
        <v>5176101</v>
      </c>
      <c r="Q2578" s="20" t="s">
        <v>11047</v>
      </c>
      <c r="R2578" s="13" t="s">
        <v>232</v>
      </c>
      <c r="S2578" s="14" t="n">
        <v>36932</v>
      </c>
      <c r="T2578" s="13" t="s">
        <v>40</v>
      </c>
      <c r="U2578" s="13" t="s">
        <v>2837</v>
      </c>
      <c r="V2578" s="13" t="s">
        <v>42</v>
      </c>
      <c r="W2578" s="13" t="s">
        <v>43</v>
      </c>
      <c r="X2578" s="21" t="n">
        <v>85850791035</v>
      </c>
      <c r="Y2578" s="22" t="str">
        <f aca="false">O2578</f>
        <v>Production Packer</v>
      </c>
      <c r="Z2578" s="13" t="str">
        <f aca="false">IFERROR(__xludf.dummyfunction("if(BJ2578="""","""",GOOGLETRANSLATE(BJ2578,""auto"",""en""))"),"Production Packer")</f>
        <v>Production Packer</v>
      </c>
      <c r="AA2578" s="23" t="str">
        <f aca="false">IF(C2578="","", CHOOSE(MONTH(C2578),"January","February","March","April","May","June","July","August","September","October","November","December")&amp;" "&amp;DAY(C2578)&amp;MID("thstndrdth",MIN(9,2*RIGHT(DAY(C2578))*(MOD(DAY(C2578)-11,100)&gt;2)+1),2)&amp;","&amp;TEXT(C2578," yyyy"))</f>
        <v>August 1st,2025</v>
      </c>
      <c r="AB2578" s="15" t="str">
        <f aca="true">IF(S2578="","",DATEDIF(S2578,TODAY(),"Y")&amp;" Tahun, "&amp;DATEDIF(S2578,TODAY(),"YM")&amp;" Bulan, "&amp;DATEDIF(S2578,TODAY(),"MD")&amp;" Hari")</f>
        <v>25 Tahun, 8 Bulan, 19 Hari</v>
      </c>
      <c r="AC2578" s="18" t="n">
        <v>45870</v>
      </c>
      <c r="AD2578" s="18" t="n">
        <v>46022</v>
      </c>
      <c r="AE2578" s="18" t="s">
        <v>44</v>
      </c>
    </row>
    <row r="2579" customFormat="false" ht="15" hidden="false" customHeight="true" outlineLevel="0" collapsed="false">
      <c r="A2579" s="12" t="n">
        <v>20366</v>
      </c>
      <c r="B2579" s="13" t="s">
        <v>11048</v>
      </c>
      <c r="C2579" s="16" t="n">
        <v>45870</v>
      </c>
      <c r="D2579" s="13" t="s">
        <v>1066</v>
      </c>
      <c r="E2579" s="15" t="s">
        <v>47</v>
      </c>
      <c r="F2579" s="15" t="str">
        <f aca="false">IFERROR(__xludf.dummyfunction("XLOOKUP(AJ2579,IMPORTRANGE(""1XaInW9DU9nz21V0tYIfzFQ0He9kVQ_JF2mCXgZ3hqFA"",""REKAP ALL 2026 - Andika!G:G""),IMPORTRANGE(""1XaInW9DU9nz21V0tYIfzFQ0He9kVQ_JF2mCXgZ3hqFA"",""REKAP ALL 2026 - Andika!F:F""),"""",0)"),"24195982947")</f>
        <v>24195982947</v>
      </c>
      <c r="G2579" s="13" t="s">
        <v>11049</v>
      </c>
      <c r="H2579" s="13" t="s">
        <v>35</v>
      </c>
      <c r="I2579" s="13" t="str">
        <f aca="false">IF(C2579=J2579,"NEW KONTRAK","RE-KONTRAK")</f>
        <v>NEW KONTRAK</v>
      </c>
      <c r="J2579" s="16" t="n">
        <f aca="false" t="array" ref="J2579:J2579">IFERROR(INDEX(AC2579:AE2579,IF(COUNTA(AC2579:AE2579)=0,"",MAX((AC2579:AE2579&lt;&gt;"")*(COLUMN(AC2579:AE2579)-(COLUMN(AC2579)))))-1),"")</f>
        <v>45870</v>
      </c>
      <c r="K2579" s="16" t="n">
        <f aca="false" t="array" ref="K2579:K2579">IFERROR(INDEX(AC2579:AE2579,IF(COUNTA(AC2579:AE2579)=0,"",MAX((AC2579:AE2579&lt;&gt;"")*(COLUMN(AC2579:AE2579)-(COLUMN(AC2579)-1))))-1),"")</f>
        <v>46022</v>
      </c>
      <c r="L2579" s="17" t="str">
        <f aca="false" t="array" ref="L2579:L2579">IFERROR(INDEX(AC2579:AE2579,IF(COUNTA(AC2579:AE2579)=0,"",MAX((AC2579:AE2579&lt;&gt;"")*(COLUMN(AC2579:AE2579)-(COLUMN(AC2579)-2))))-1),"")</f>
        <v>ARCHIVED</v>
      </c>
      <c r="M2579" s="13" t="n">
        <f aca="true">K2579-TODAY()</f>
        <v>-302</v>
      </c>
      <c r="N2579" s="18" t="s">
        <v>615</v>
      </c>
      <c r="O2579" s="13" t="s">
        <v>1184</v>
      </c>
      <c r="P2579" s="19" t="n">
        <v>5176101</v>
      </c>
      <c r="Q2579" s="20" t="s">
        <v>11050</v>
      </c>
      <c r="R2579" s="13" t="s">
        <v>232</v>
      </c>
      <c r="S2579" s="14" t="n">
        <v>37523</v>
      </c>
      <c r="T2579" s="13" t="s">
        <v>40</v>
      </c>
      <c r="U2579" s="13" t="s">
        <v>3463</v>
      </c>
      <c r="V2579" s="13" t="s">
        <v>42</v>
      </c>
      <c r="W2579" s="13" t="s">
        <v>43</v>
      </c>
      <c r="X2579" s="21" t="n">
        <v>85856563538</v>
      </c>
      <c r="Y2579" s="22" t="str">
        <f aca="false">O2579</f>
        <v>Production RMP Helper (Green Bean Area)</v>
      </c>
      <c r="Z2579" s="13" t="str">
        <f aca="false">IFERROR(__xludf.dummyfunction("if(BJ2579="""","""",GOOGLETRANSLATE(BJ2579,""auto"",""en""))"),"Production RMP Helper (Green Bean Area)")</f>
        <v>Production RMP Helper (Green Bean Area)</v>
      </c>
      <c r="AA2579" s="23" t="str">
        <f aca="false">IF(C2579="","", CHOOSE(MONTH(C2579),"January","February","March","April","May","June","July","August","September","October","November","December")&amp;" "&amp;DAY(C2579)&amp;MID("thstndrdth",MIN(9,2*RIGHT(DAY(C2579))*(MOD(DAY(C2579)-11,100)&gt;2)+1),2)&amp;","&amp;TEXT(C2579," yyyy"))</f>
        <v>August 1st,2025</v>
      </c>
      <c r="AB2579" s="15" t="str">
        <f aca="true">IF(S2579="","",DATEDIF(S2579,TODAY(),"Y")&amp;" Tahun, "&amp;DATEDIF(S2579,TODAY(),"YM")&amp;" Bulan, "&amp;DATEDIF(S2579,TODAY(),"MD")&amp;" Hari")</f>
        <v>24 Tahun, 1 Bulan, 5 Hari</v>
      </c>
      <c r="AC2579" s="18" t="n">
        <v>45870</v>
      </c>
      <c r="AD2579" s="18" t="n">
        <v>46022</v>
      </c>
      <c r="AE2579" s="18" t="s">
        <v>44</v>
      </c>
    </row>
    <row r="2580" customFormat="false" ht="15" hidden="false" customHeight="true" outlineLevel="0" collapsed="false">
      <c r="A2580" s="12" t="n">
        <v>20367</v>
      </c>
      <c r="B2580" s="13" t="s">
        <v>11051</v>
      </c>
      <c r="C2580" s="16" t="n">
        <v>45870</v>
      </c>
      <c r="D2580" s="13" t="s">
        <v>1066</v>
      </c>
      <c r="E2580" s="15" t="s">
        <v>47</v>
      </c>
      <c r="F2580" s="15" t="str">
        <f aca="false">IFERROR(__xludf.dummyfunction("XLOOKUP(AJ2580,IMPORTRANGE(""1XaInW9DU9nz21V0tYIfzFQ0He9kVQ_JF2mCXgZ3hqFA"",""REKAP ALL 2026 - Andika!G:G""),IMPORTRANGE(""1XaInW9DU9nz21V0tYIfzFQ0He9kVQ_JF2mCXgZ3hqFA"",""REKAP ALL 2026 - Andika!F:F""),"""",0)"),"24195983176")</f>
        <v>24195983176</v>
      </c>
      <c r="G2580" s="13" t="s">
        <v>11052</v>
      </c>
      <c r="H2580" s="13" t="s">
        <v>35</v>
      </c>
      <c r="I2580" s="13" t="str">
        <f aca="false">IF(C2580=J2580,"NEW KONTRAK","RE-KONTRAK")</f>
        <v>NEW KONTRAK</v>
      </c>
      <c r="J2580" s="16" t="n">
        <f aca="false" t="array" ref="J2580:J2580">IFERROR(INDEX(AC2580:AE2580,IF(COUNTA(AC2580:AE2580)=0,"",MAX((AC2580:AE2580&lt;&gt;"")*(COLUMN(AC2580:AE2580)-(COLUMN(AC2580)))))-1),"")</f>
        <v>45870</v>
      </c>
      <c r="K2580" s="16" t="n">
        <f aca="false" t="array" ref="K2580:K2580">IFERROR(INDEX(AC2580:AE2580,IF(COUNTA(AC2580:AE2580)=0,"",MAX((AC2580:AE2580&lt;&gt;"")*(COLUMN(AC2580:AE2580)-(COLUMN(AC2580)-1))))-1),"")</f>
        <v>46022</v>
      </c>
      <c r="L2580" s="17" t="str">
        <f aca="false" t="array" ref="L2580:L2580">IFERROR(INDEX(AC2580:AE2580,IF(COUNTA(AC2580:AE2580)=0,"",MAX((AC2580:AE2580&lt;&gt;"")*(COLUMN(AC2580:AE2580)-(COLUMN(AC2580)-2))))-1),"")</f>
        <v>ARCHIVED</v>
      </c>
      <c r="M2580" s="13" t="n">
        <f aca="true">K2580-TODAY()</f>
        <v>-302</v>
      </c>
      <c r="N2580" s="18" t="s">
        <v>615</v>
      </c>
      <c r="O2580" s="13" t="s">
        <v>1068</v>
      </c>
      <c r="P2580" s="19" t="n">
        <v>5176101</v>
      </c>
      <c r="Q2580" s="20" t="s">
        <v>11053</v>
      </c>
      <c r="R2580" s="13" t="s">
        <v>232</v>
      </c>
      <c r="S2580" s="14" t="n">
        <v>37760</v>
      </c>
      <c r="T2580" s="13" t="s">
        <v>40</v>
      </c>
      <c r="U2580" s="13" t="s">
        <v>11054</v>
      </c>
      <c r="V2580" s="13" t="s">
        <v>42</v>
      </c>
      <c r="W2580" s="13" t="s">
        <v>43</v>
      </c>
      <c r="X2580" s="21" t="n">
        <v>85745734461</v>
      </c>
      <c r="Y2580" s="22" t="str">
        <f aca="false">O2580</f>
        <v>Production Packer</v>
      </c>
      <c r="Z2580" s="13" t="str">
        <f aca="false">IFERROR(__xludf.dummyfunction("if(BJ2580="""","""",GOOGLETRANSLATE(BJ2580,""auto"",""en""))"),"Production Packer")</f>
        <v>Production Packer</v>
      </c>
      <c r="AA2580" s="23" t="str">
        <f aca="false">IF(C2580="","", CHOOSE(MONTH(C2580),"January","February","March","April","May","June","July","August","September","October","November","December")&amp;" "&amp;DAY(C2580)&amp;MID("thstndrdth",MIN(9,2*RIGHT(DAY(C2580))*(MOD(DAY(C2580)-11,100)&gt;2)+1),2)&amp;","&amp;TEXT(C2580," yyyy"))</f>
        <v>August 1st,2025</v>
      </c>
      <c r="AB2580" s="15" t="str">
        <f aca="true">IF(S2580="","",DATEDIF(S2580,TODAY(),"Y")&amp;" Tahun, "&amp;DATEDIF(S2580,TODAY(),"YM")&amp;" Bulan, "&amp;DATEDIF(S2580,TODAY(),"MD")&amp;" Hari")</f>
        <v>23 Tahun, 5 Bulan, 10 Hari</v>
      </c>
      <c r="AC2580" s="18" t="n">
        <v>45870</v>
      </c>
      <c r="AD2580" s="18" t="n">
        <v>46022</v>
      </c>
      <c r="AE2580" s="18" t="s">
        <v>44</v>
      </c>
    </row>
    <row r="2581" customFormat="false" ht="15" hidden="false" customHeight="true" outlineLevel="0" collapsed="false">
      <c r="A2581" s="12" t="n">
        <v>20368</v>
      </c>
      <c r="B2581" s="13" t="s">
        <v>11055</v>
      </c>
      <c r="C2581" s="16" t="n">
        <v>45870</v>
      </c>
      <c r="D2581" s="13" t="s">
        <v>1066</v>
      </c>
      <c r="E2581" s="15" t="s">
        <v>47</v>
      </c>
      <c r="F2581" s="15" t="str">
        <f aca="false">IFERROR(__xludf.dummyfunction("XLOOKUP(AJ2581,IMPORTRANGE(""1XaInW9DU9nz21V0tYIfzFQ0He9kVQ_JF2mCXgZ3hqFA"",""REKAP ALL 2026 - Andika!G:G""),IMPORTRANGE(""1XaInW9DU9nz21V0tYIfzFQ0He9kVQ_JF2mCXgZ3hqFA"",""REKAP ALL 2026 - Andika!F:F""),"""",0)"),"24195982731")</f>
        <v>24195982731</v>
      </c>
      <c r="G2581" s="13" t="s">
        <v>11056</v>
      </c>
      <c r="H2581" s="13" t="s">
        <v>35</v>
      </c>
      <c r="I2581" s="13" t="str">
        <f aca="false">IF(C2581=J2581,"NEW KONTRAK","RE-KONTRAK")</f>
        <v>NEW KONTRAK</v>
      </c>
      <c r="J2581" s="16" t="n">
        <f aca="false" t="array" ref="J2581:J2581">IFERROR(INDEX(AC2581:AE2581,IF(COUNTA(AC2581:AE2581)=0,"",MAX((AC2581:AE2581&lt;&gt;"")*(COLUMN(AC2581:AE2581)-(COLUMN(AC2581)))))-1),"")</f>
        <v>45870</v>
      </c>
      <c r="K2581" s="16" t="n">
        <f aca="false" t="array" ref="K2581:K2581">IFERROR(INDEX(AC2581:AE2581,IF(COUNTA(AC2581:AE2581)=0,"",MAX((AC2581:AE2581&lt;&gt;"")*(COLUMN(AC2581:AE2581)-(COLUMN(AC2581)-1))))-1),"")</f>
        <v>46022</v>
      </c>
      <c r="L2581" s="17" t="str">
        <f aca="false" t="array" ref="L2581:L2581">IFERROR(INDEX(AC2581:AE2581,IF(COUNTA(AC2581:AE2581)=0,"",MAX((AC2581:AE2581&lt;&gt;"")*(COLUMN(AC2581:AE2581)-(COLUMN(AC2581)-2))))-1),"")</f>
        <v>ARCHIVED</v>
      </c>
      <c r="M2581" s="13" t="n">
        <f aca="true">K2581-TODAY()</f>
        <v>-302</v>
      </c>
      <c r="N2581" s="18" t="s">
        <v>615</v>
      </c>
      <c r="O2581" s="13" t="s">
        <v>1068</v>
      </c>
      <c r="P2581" s="19" t="n">
        <v>5176101</v>
      </c>
      <c r="Q2581" s="20" t="s">
        <v>11057</v>
      </c>
      <c r="R2581" s="13" t="s">
        <v>232</v>
      </c>
      <c r="S2581" s="14" t="n">
        <v>37908</v>
      </c>
      <c r="T2581" s="13" t="s">
        <v>40</v>
      </c>
      <c r="U2581" s="13" t="s">
        <v>11058</v>
      </c>
      <c r="V2581" s="13" t="s">
        <v>42</v>
      </c>
      <c r="W2581" s="13" t="s">
        <v>43</v>
      </c>
      <c r="X2581" s="21" t="n">
        <v>81554424811</v>
      </c>
      <c r="Y2581" s="22" t="str">
        <f aca="false">O2581</f>
        <v>Production Packer</v>
      </c>
      <c r="Z2581" s="13" t="str">
        <f aca="false">IFERROR(__xludf.dummyfunction("if(BJ2581="""","""",GOOGLETRANSLATE(BJ2581,""auto"",""en""))"),"Production Packer")</f>
        <v>Production Packer</v>
      </c>
      <c r="AA2581" s="23" t="str">
        <f aca="false">IF(C2581="","", CHOOSE(MONTH(C2581),"January","February","March","April","May","June","July","August","September","October","November","December")&amp;" "&amp;DAY(C2581)&amp;MID("thstndrdth",MIN(9,2*RIGHT(DAY(C2581))*(MOD(DAY(C2581)-11,100)&gt;2)+1),2)&amp;","&amp;TEXT(C2581," yyyy"))</f>
        <v>August 1st,2025</v>
      </c>
      <c r="AB2581" s="15" t="str">
        <f aca="true">IF(S2581="","",DATEDIF(S2581,TODAY(),"Y")&amp;" Tahun, "&amp;DATEDIF(S2581,TODAY(),"YM")&amp;" Bulan, "&amp;DATEDIF(S2581,TODAY(),"MD")&amp;" Hari")</f>
        <v>23 Tahun, 0 Bulan, 15 Hari</v>
      </c>
      <c r="AC2581" s="18" t="n">
        <v>45870</v>
      </c>
      <c r="AD2581" s="18" t="n">
        <v>46022</v>
      </c>
      <c r="AE2581" s="18" t="s">
        <v>44</v>
      </c>
    </row>
    <row r="2582" customFormat="false" ht="15" hidden="false" customHeight="true" outlineLevel="0" collapsed="false">
      <c r="A2582" s="12" t="n">
        <v>20369</v>
      </c>
      <c r="B2582" s="13" t="s">
        <v>11059</v>
      </c>
      <c r="C2582" s="16" t="n">
        <v>45870</v>
      </c>
      <c r="D2582" s="13" t="s">
        <v>1066</v>
      </c>
      <c r="E2582" s="15" t="s">
        <v>47</v>
      </c>
      <c r="F2582" s="15" t="str">
        <f aca="false">IFERROR(__xludf.dummyfunction("XLOOKUP(AJ2582,IMPORTRANGE(""1XaInW9DU9nz21V0tYIfzFQ0He9kVQ_JF2mCXgZ3hqFA"",""REKAP ALL 2026 - Andika!G:G""),IMPORTRANGE(""1XaInW9DU9nz21V0tYIfzFQ0He9kVQ_JF2mCXgZ3hqFA"",""REKAP ALL 2026 - Andika!F:F""),"""",0)"),"24195982871")</f>
        <v>24195982871</v>
      </c>
      <c r="G2582" s="13" t="s">
        <v>11060</v>
      </c>
      <c r="H2582" s="13" t="s">
        <v>35</v>
      </c>
      <c r="I2582" s="13" t="str">
        <f aca="false">IF(C2582=J2582,"NEW KONTRAK","RE-KONTRAK")</f>
        <v>NEW KONTRAK</v>
      </c>
      <c r="J2582" s="16" t="n">
        <f aca="false" t="array" ref="J2582:J2582">IFERROR(INDEX(AC2582:AE2582,IF(COUNTA(AC2582:AE2582)=0,"",MAX((AC2582:AE2582&lt;&gt;"")*(COLUMN(AC2582:AE2582)-(COLUMN(AC2582)))))-1),"")</f>
        <v>45870</v>
      </c>
      <c r="K2582" s="16" t="n">
        <f aca="false" t="array" ref="K2582:K2582">IFERROR(INDEX(AC2582:AE2582,IF(COUNTA(AC2582:AE2582)=0,"",MAX((AC2582:AE2582&lt;&gt;"")*(COLUMN(AC2582:AE2582)-(COLUMN(AC2582)-1))))-1),"")</f>
        <v>46022</v>
      </c>
      <c r="L2582" s="17" t="str">
        <f aca="false" t="array" ref="L2582:L2582">IFERROR(INDEX(AC2582:AE2582,IF(COUNTA(AC2582:AE2582)=0,"",MAX((AC2582:AE2582&lt;&gt;"")*(COLUMN(AC2582:AE2582)-(COLUMN(AC2582)-2))))-1),"")</f>
        <v>ARCHIVED</v>
      </c>
      <c r="M2582" s="13" t="n">
        <f aca="true">K2582-TODAY()</f>
        <v>-302</v>
      </c>
      <c r="N2582" s="18" t="s">
        <v>615</v>
      </c>
      <c r="O2582" s="13" t="s">
        <v>1140</v>
      </c>
      <c r="P2582" s="19" t="n">
        <v>5176101</v>
      </c>
      <c r="Q2582" s="20" t="s">
        <v>11061</v>
      </c>
      <c r="R2582" s="13" t="s">
        <v>232</v>
      </c>
      <c r="S2582" s="14" t="n">
        <v>31871</v>
      </c>
      <c r="T2582" s="13" t="s">
        <v>40</v>
      </c>
      <c r="U2582" s="13" t="s">
        <v>11062</v>
      </c>
      <c r="V2582" s="13" t="s">
        <v>42</v>
      </c>
      <c r="W2582" s="13" t="s">
        <v>54</v>
      </c>
      <c r="X2582" s="21" t="n">
        <v>87768315230</v>
      </c>
      <c r="Y2582" s="22" t="str">
        <f aca="false">O2582</f>
        <v>GBJ Helper</v>
      </c>
      <c r="Z2582" s="13" t="str">
        <f aca="false">IFERROR(__xludf.dummyfunction("if(BJ2582="""","""",GOOGLETRANSLATE(BJ2582,""auto"",""en""))"),"GBJ Helper")</f>
        <v>GBJ Helper</v>
      </c>
      <c r="AA2582" s="23" t="str">
        <f aca="false">IF(C2582="","", CHOOSE(MONTH(C2582),"January","February","March","April","May","June","July","August","September","October","November","December")&amp;" "&amp;DAY(C2582)&amp;MID("thstndrdth",MIN(9,2*RIGHT(DAY(C2582))*(MOD(DAY(C2582)-11,100)&gt;2)+1),2)&amp;","&amp;TEXT(C2582," yyyy"))</f>
        <v>August 1st,2025</v>
      </c>
      <c r="AB2582" s="15" t="str">
        <f aca="true">IF(S2582="","",DATEDIF(S2582,TODAY(),"Y")&amp;" Tahun, "&amp;DATEDIF(S2582,TODAY(),"YM")&amp;" Bulan, "&amp;DATEDIF(S2582,TODAY(),"MD")&amp;" Hari")</f>
        <v>39 Tahun, 6 Bulan, 25 Hari</v>
      </c>
      <c r="AC2582" s="18" t="n">
        <v>45870</v>
      </c>
      <c r="AD2582" s="18" t="n">
        <v>46022</v>
      </c>
      <c r="AE2582" s="18" t="s">
        <v>44</v>
      </c>
    </row>
    <row r="2583" customFormat="false" ht="15" hidden="false" customHeight="true" outlineLevel="0" collapsed="false">
      <c r="A2583" s="12" t="n">
        <v>20370</v>
      </c>
      <c r="B2583" s="13" t="s">
        <v>11063</v>
      </c>
      <c r="C2583" s="16" t="n">
        <v>45870</v>
      </c>
      <c r="D2583" s="13" t="s">
        <v>1066</v>
      </c>
      <c r="E2583" s="15" t="s">
        <v>47</v>
      </c>
      <c r="F2583" s="15" t="str">
        <f aca="false">IFERROR(__xludf.dummyfunction("XLOOKUP(AJ2583,IMPORTRANGE(""1XaInW9DU9nz21V0tYIfzFQ0He9kVQ_JF2mCXgZ3hqFA"",""REKAP ALL 2026 - Andika!G:G""),IMPORTRANGE(""1XaInW9DU9nz21V0tYIfzFQ0He9kVQ_JF2mCXgZ3hqFA"",""REKAP ALL 2026 - Andika!F:F""),"""",0)"),"24195983028")</f>
        <v>24195983028</v>
      </c>
      <c r="G2583" s="13" t="s">
        <v>11064</v>
      </c>
      <c r="H2583" s="13" t="s">
        <v>35</v>
      </c>
      <c r="I2583" s="13" t="str">
        <f aca="false">IF(C2583=J2583,"NEW KONTRAK","RE-KONTRAK")</f>
        <v>NEW KONTRAK</v>
      </c>
      <c r="J2583" s="16" t="n">
        <f aca="false" t="array" ref="J2583:J2583">IFERROR(INDEX(AC2583:AE2583,IF(COUNTA(AC2583:AE2583)=0,"",MAX((AC2583:AE2583&lt;&gt;"")*(COLUMN(AC2583:AE2583)-(COLUMN(AC2583)))))-1),"")</f>
        <v>45870</v>
      </c>
      <c r="K2583" s="16" t="n">
        <f aca="false" t="array" ref="K2583:K2583">IFERROR(INDEX(AC2583:AE2583,IF(COUNTA(AC2583:AE2583)=0,"",MAX((AC2583:AE2583&lt;&gt;"")*(COLUMN(AC2583:AE2583)-(COLUMN(AC2583)-1))))-1),"")</f>
        <v>46022</v>
      </c>
      <c r="L2583" s="17" t="str">
        <f aca="false" t="array" ref="L2583:L2583">IFERROR(INDEX(AC2583:AE2583,IF(COUNTA(AC2583:AE2583)=0,"",MAX((AC2583:AE2583&lt;&gt;"")*(COLUMN(AC2583:AE2583)-(COLUMN(AC2583)-2))))-1),"")</f>
        <v>ARCHIVED</v>
      </c>
      <c r="M2583" s="13" t="n">
        <f aca="true">K2583-TODAY()</f>
        <v>-302</v>
      </c>
      <c r="N2583" s="18" t="s">
        <v>615</v>
      </c>
      <c r="O2583" s="13" t="s">
        <v>1068</v>
      </c>
      <c r="P2583" s="19" t="n">
        <v>5176101</v>
      </c>
      <c r="Q2583" s="20" t="s">
        <v>11065</v>
      </c>
      <c r="R2583" s="13" t="s">
        <v>232</v>
      </c>
      <c r="S2583" s="14" t="n">
        <v>37778</v>
      </c>
      <c r="T2583" s="13" t="s">
        <v>40</v>
      </c>
      <c r="U2583" s="13" t="s">
        <v>11066</v>
      </c>
      <c r="V2583" s="13" t="s">
        <v>42</v>
      </c>
      <c r="W2583" s="13" t="s">
        <v>43</v>
      </c>
      <c r="X2583" s="21" t="n">
        <v>85655783354</v>
      </c>
      <c r="Y2583" s="22" t="str">
        <f aca="false">O2583</f>
        <v>Production Packer</v>
      </c>
      <c r="Z2583" s="13" t="str">
        <f aca="false">IFERROR(__xludf.dummyfunction("if(BJ2583="""","""",GOOGLETRANSLATE(BJ2583,""auto"",""en""))"),"Production Packer")</f>
        <v>Production Packer</v>
      </c>
      <c r="AA2583" s="23" t="str">
        <f aca="false">IF(C2583="","", CHOOSE(MONTH(C2583),"January","February","March","April","May","June","July","August","September","October","November","December")&amp;" "&amp;DAY(C2583)&amp;MID("thstndrdth",MIN(9,2*RIGHT(DAY(C2583))*(MOD(DAY(C2583)-11,100)&gt;2)+1),2)&amp;","&amp;TEXT(C2583," yyyy"))</f>
        <v>August 1st,2025</v>
      </c>
      <c r="AB2583" s="15" t="str">
        <f aca="true">IF(S2583="","",DATEDIF(S2583,TODAY(),"Y")&amp;" Tahun, "&amp;DATEDIF(S2583,TODAY(),"YM")&amp;" Bulan, "&amp;DATEDIF(S2583,TODAY(),"MD")&amp;" Hari")</f>
        <v>23 Tahun, 4 Bulan, 23 Hari</v>
      </c>
      <c r="AC2583" s="18" t="n">
        <v>45870</v>
      </c>
      <c r="AD2583" s="18" t="n">
        <v>46022</v>
      </c>
      <c r="AE2583" s="18" t="s">
        <v>44</v>
      </c>
    </row>
    <row r="2584" customFormat="false" ht="15" hidden="false" customHeight="true" outlineLevel="0" collapsed="false">
      <c r="A2584" s="12" t="n">
        <v>20371</v>
      </c>
      <c r="B2584" s="13" t="s">
        <v>11067</v>
      </c>
      <c r="C2584" s="16" t="n">
        <v>45870</v>
      </c>
      <c r="D2584" s="13" t="s">
        <v>1066</v>
      </c>
      <c r="E2584" s="15" t="s">
        <v>47</v>
      </c>
      <c r="F2584" s="15" t="str">
        <f aca="false">IFERROR(__xludf.dummyfunction("XLOOKUP(AJ2584,IMPORTRANGE(""1XaInW9DU9nz21V0tYIfzFQ0He9kVQ_JF2mCXgZ3hqFA"",""REKAP ALL 2026 - Andika!G:G""),IMPORTRANGE(""1XaInW9DU9nz21V0tYIfzFQ0He9kVQ_JF2mCXgZ3hqFA"",""REKAP ALL 2026 - Andika!F:F""),"""",0)"),"24195983218")</f>
        <v>24195983218</v>
      </c>
      <c r="G2584" s="13" t="s">
        <v>11068</v>
      </c>
      <c r="H2584" s="13" t="s">
        <v>35</v>
      </c>
      <c r="I2584" s="13" t="str">
        <f aca="false">IF(C2584=J2584,"NEW KONTRAK","RE-KONTRAK")</f>
        <v>NEW KONTRAK</v>
      </c>
      <c r="J2584" s="16" t="n">
        <f aca="false" t="array" ref="J2584:J2584">IFERROR(INDEX(AC2584:AE2584,IF(COUNTA(AC2584:AE2584)=0,"",MAX((AC2584:AE2584&lt;&gt;"")*(COLUMN(AC2584:AE2584)-(COLUMN(AC2584)))))-1),"")</f>
        <v>45870</v>
      </c>
      <c r="K2584" s="16" t="n">
        <f aca="false" t="array" ref="K2584:K2584">IFERROR(INDEX(AC2584:AE2584,IF(COUNTA(AC2584:AE2584)=0,"",MAX((AC2584:AE2584&lt;&gt;"")*(COLUMN(AC2584:AE2584)-(COLUMN(AC2584)-1))))-1),"")</f>
        <v>46022</v>
      </c>
      <c r="L2584" s="17" t="str">
        <f aca="false" t="array" ref="L2584:L2584">IFERROR(INDEX(AC2584:AE2584,IF(COUNTA(AC2584:AE2584)=0,"",MAX((AC2584:AE2584&lt;&gt;"")*(COLUMN(AC2584:AE2584)-(COLUMN(AC2584)-2))))-1),"")</f>
        <v>ARCHIVED</v>
      </c>
      <c r="M2584" s="13" t="n">
        <f aca="true">K2584-TODAY()</f>
        <v>-302</v>
      </c>
      <c r="N2584" s="18" t="s">
        <v>615</v>
      </c>
      <c r="O2584" s="13" t="s">
        <v>1068</v>
      </c>
      <c r="P2584" s="19" t="n">
        <v>5176101</v>
      </c>
      <c r="Q2584" s="20" t="s">
        <v>11069</v>
      </c>
      <c r="R2584" s="13" t="s">
        <v>232</v>
      </c>
      <c r="S2584" s="14" t="n">
        <v>37780</v>
      </c>
      <c r="T2584" s="13" t="s">
        <v>40</v>
      </c>
      <c r="U2584" s="13" t="s">
        <v>11070</v>
      </c>
      <c r="V2584" s="13" t="s">
        <v>42</v>
      </c>
      <c r="W2584" s="13" t="s">
        <v>43</v>
      </c>
      <c r="X2584" s="21" t="n">
        <v>85806156314</v>
      </c>
      <c r="Y2584" s="22" t="str">
        <f aca="false">O2584</f>
        <v>Production Packer</v>
      </c>
      <c r="Z2584" s="13" t="str">
        <f aca="false">IFERROR(__xludf.dummyfunction("if(BJ2584="""","""",GOOGLETRANSLATE(BJ2584,""auto"",""en""))"),"Production Packer")</f>
        <v>Production Packer</v>
      </c>
      <c r="AA2584" s="23" t="str">
        <f aca="false">IF(C2584="","", CHOOSE(MONTH(C2584),"January","February","March","April","May","June","July","August","September","October","November","December")&amp;" "&amp;DAY(C2584)&amp;MID("thstndrdth",MIN(9,2*RIGHT(DAY(C2584))*(MOD(DAY(C2584)-11,100)&gt;2)+1),2)&amp;","&amp;TEXT(C2584," yyyy"))</f>
        <v>August 1st,2025</v>
      </c>
      <c r="AB2584" s="15" t="str">
        <f aca="true">IF(S2584="","",DATEDIF(S2584,TODAY(),"Y")&amp;" Tahun, "&amp;DATEDIF(S2584,TODAY(),"YM")&amp;" Bulan, "&amp;DATEDIF(S2584,TODAY(),"MD")&amp;" Hari")</f>
        <v>23 Tahun, 4 Bulan, 21 Hari</v>
      </c>
      <c r="AC2584" s="18" t="n">
        <v>45870</v>
      </c>
      <c r="AD2584" s="18" t="n">
        <v>46022</v>
      </c>
      <c r="AE2584" s="18" t="s">
        <v>44</v>
      </c>
    </row>
    <row r="2585" customFormat="false" ht="15" hidden="false" customHeight="true" outlineLevel="0" collapsed="false">
      <c r="A2585" s="12" t="n">
        <v>20372</v>
      </c>
      <c r="B2585" s="13" t="s">
        <v>11071</v>
      </c>
      <c r="C2585" s="16" t="n">
        <v>45870</v>
      </c>
      <c r="D2585" s="13" t="s">
        <v>1066</v>
      </c>
      <c r="E2585" s="15" t="s">
        <v>47</v>
      </c>
      <c r="F2585" s="15" t="str">
        <f aca="false">IFERROR(__xludf.dummyfunction("XLOOKUP(AJ2585,IMPORTRANGE(""1XaInW9DU9nz21V0tYIfzFQ0He9kVQ_JF2mCXgZ3hqFA"",""REKAP ALL 2026 - Andika!G:G""),IMPORTRANGE(""1XaInW9DU9nz21V0tYIfzFQ0He9kVQ_JF2mCXgZ3hqFA"",""REKAP ALL 2026 - Andika!F:F""),"""",0)"),"24195982897")</f>
        <v>24195982897</v>
      </c>
      <c r="G2585" s="13" t="s">
        <v>1127</v>
      </c>
      <c r="H2585" s="13" t="s">
        <v>35</v>
      </c>
      <c r="I2585" s="13" t="str">
        <f aca="false">IF(C2585=J2585,"NEW KONTRAK","RE-KONTRAK")</f>
        <v>NEW KONTRAK</v>
      </c>
      <c r="J2585" s="16" t="n">
        <f aca="false" t="array" ref="J2585:J2585">IFERROR(INDEX(AC2585:AE2585,IF(COUNTA(AC2585:AE2585)=0,"",MAX((AC2585:AE2585&lt;&gt;"")*(COLUMN(AC2585:AE2585)-(COLUMN(AC2585)))))-1),"")</f>
        <v>45870</v>
      </c>
      <c r="K2585" s="16" t="n">
        <f aca="false" t="array" ref="K2585:K2585">IFERROR(INDEX(AC2585:AE2585,IF(COUNTA(AC2585:AE2585)=0,"",MAX((AC2585:AE2585&lt;&gt;"")*(COLUMN(AC2585:AE2585)-(COLUMN(AC2585)-1))))-1),"")</f>
        <v>46022</v>
      </c>
      <c r="L2585" s="17" t="str">
        <f aca="false" t="array" ref="L2585:L2585">IFERROR(INDEX(AC2585:AE2585,IF(COUNTA(AC2585:AE2585)=0,"",MAX((AC2585:AE2585&lt;&gt;"")*(COLUMN(AC2585:AE2585)-(COLUMN(AC2585)-2))))-1),"")</f>
        <v>ARCHIVED</v>
      </c>
      <c r="M2585" s="13" t="n">
        <f aca="true">K2585-TODAY()</f>
        <v>-302</v>
      </c>
      <c r="N2585" s="18" t="s">
        <v>615</v>
      </c>
      <c r="O2585" s="13" t="s">
        <v>1068</v>
      </c>
      <c r="P2585" s="19" t="n">
        <v>5176101</v>
      </c>
      <c r="Q2585" s="20" t="s">
        <v>11072</v>
      </c>
      <c r="R2585" s="13" t="s">
        <v>52</v>
      </c>
      <c r="S2585" s="14" t="n">
        <v>38059</v>
      </c>
      <c r="T2585" s="13" t="s">
        <v>40</v>
      </c>
      <c r="U2585" s="13" t="s">
        <v>11073</v>
      </c>
      <c r="V2585" s="13" t="s">
        <v>42</v>
      </c>
      <c r="W2585" s="13" t="s">
        <v>43</v>
      </c>
      <c r="X2585" s="21" t="n">
        <v>85732768515</v>
      </c>
      <c r="Y2585" s="22" t="str">
        <f aca="false">O2585</f>
        <v>Production Packer</v>
      </c>
      <c r="Z2585" s="13" t="str">
        <f aca="false">IFERROR(__xludf.dummyfunction("if(BJ2585="""","""",GOOGLETRANSLATE(BJ2585,""auto"",""en""))"),"Production Packer")</f>
        <v>Production Packer</v>
      </c>
      <c r="AA2585" s="23" t="str">
        <f aca="false">IF(C2585="","", CHOOSE(MONTH(C2585),"January","February","March","April","May","June","July","August","September","October","November","December")&amp;" "&amp;DAY(C2585)&amp;MID("thstndrdth",MIN(9,2*RIGHT(DAY(C2585))*(MOD(DAY(C2585)-11,100)&gt;2)+1),2)&amp;","&amp;TEXT(C2585," yyyy"))</f>
        <v>August 1st,2025</v>
      </c>
      <c r="AB2585" s="15" t="str">
        <f aca="true">IF(S2585="","",DATEDIF(S2585,TODAY(),"Y")&amp;" Tahun, "&amp;DATEDIF(S2585,TODAY(),"YM")&amp;" Bulan, "&amp;DATEDIF(S2585,TODAY(),"MD")&amp;" Hari")</f>
        <v>22 Tahun, 7 Bulan, 16 Hari</v>
      </c>
      <c r="AC2585" s="18" t="n">
        <v>45870</v>
      </c>
      <c r="AD2585" s="18" t="n">
        <v>46022</v>
      </c>
      <c r="AE2585" s="18" t="s">
        <v>44</v>
      </c>
    </row>
    <row r="2586" customFormat="false" ht="15" hidden="false" customHeight="true" outlineLevel="0" collapsed="false">
      <c r="A2586" s="12" t="n">
        <v>20373</v>
      </c>
      <c r="B2586" s="13" t="s">
        <v>11074</v>
      </c>
      <c r="C2586" s="16" t="n">
        <v>45870</v>
      </c>
      <c r="D2586" s="13" t="s">
        <v>1066</v>
      </c>
      <c r="E2586" s="15" t="s">
        <v>47</v>
      </c>
      <c r="F2586" s="15" t="str">
        <f aca="false">IFERROR(__xludf.dummyfunction("XLOOKUP(AJ2586,IMPORTRANGE(""1XaInW9DU9nz21V0tYIfzFQ0He9kVQ_JF2mCXgZ3hqFA"",""REKAP ALL 2026 - Andika!G:G""),IMPORTRANGE(""1XaInW9DU9nz21V0tYIfzFQ0He9kVQ_JF2mCXgZ3hqFA"",""REKAP ALL 2026 - Andika!F:F""),"""",0)"),"24195982830")</f>
        <v>24195982830</v>
      </c>
      <c r="G2586" s="13" t="s">
        <v>11075</v>
      </c>
      <c r="H2586" s="13" t="s">
        <v>35</v>
      </c>
      <c r="I2586" s="13" t="str">
        <f aca="false">IF(C2586=J2586,"NEW KONTRAK","RE-KONTRAK")</f>
        <v>NEW KONTRAK</v>
      </c>
      <c r="J2586" s="16" t="n">
        <f aca="false" t="array" ref="J2586:J2586">IFERROR(INDEX(AC2586:AE2586,IF(COUNTA(AC2586:AE2586)=0,"",MAX((AC2586:AE2586&lt;&gt;"")*(COLUMN(AC2586:AE2586)-(COLUMN(AC2586)))))-1),"")</f>
        <v>45870</v>
      </c>
      <c r="K2586" s="16" t="n">
        <f aca="false" t="array" ref="K2586:K2586">IFERROR(INDEX(AC2586:AE2586,IF(COUNTA(AC2586:AE2586)=0,"",MAX((AC2586:AE2586&lt;&gt;"")*(COLUMN(AC2586:AE2586)-(COLUMN(AC2586)-1))))-1),"")</f>
        <v>46022</v>
      </c>
      <c r="L2586" s="17" t="str">
        <f aca="false" t="array" ref="L2586:L2586">IFERROR(INDEX(AC2586:AE2586,IF(COUNTA(AC2586:AE2586)=0,"",MAX((AC2586:AE2586&lt;&gt;"")*(COLUMN(AC2586:AE2586)-(COLUMN(AC2586)-2))))-1),"")</f>
        <v>ARCHIVED</v>
      </c>
      <c r="M2586" s="13" t="n">
        <f aca="true">K2586-TODAY()</f>
        <v>-302</v>
      </c>
      <c r="N2586" s="18" t="s">
        <v>615</v>
      </c>
      <c r="O2586" s="13" t="s">
        <v>1068</v>
      </c>
      <c r="P2586" s="19" t="n">
        <v>5176101</v>
      </c>
      <c r="Q2586" s="20" t="s">
        <v>11076</v>
      </c>
      <c r="R2586" s="13" t="s">
        <v>232</v>
      </c>
      <c r="S2586" s="14" t="n">
        <v>36647</v>
      </c>
      <c r="T2586" s="13" t="s">
        <v>40</v>
      </c>
      <c r="U2586" s="13" t="s">
        <v>11077</v>
      </c>
      <c r="V2586" s="13" t="s">
        <v>42</v>
      </c>
      <c r="W2586" s="13" t="s">
        <v>43</v>
      </c>
      <c r="X2586" s="21" t="n">
        <v>85601793924</v>
      </c>
      <c r="Y2586" s="22" t="str">
        <f aca="false">O2586</f>
        <v>Production Packer</v>
      </c>
      <c r="Z2586" s="13" t="str">
        <f aca="false">IFERROR(__xludf.dummyfunction("if(BJ2586="""","""",GOOGLETRANSLATE(BJ2586,""auto"",""en""))"),"Production Packer")</f>
        <v>Production Packer</v>
      </c>
      <c r="AA2586" s="23" t="str">
        <f aca="false">IF(C2586="","", CHOOSE(MONTH(C2586),"January","February","March","April","May","June","July","August","September","October","November","December")&amp;" "&amp;DAY(C2586)&amp;MID("thstndrdth",MIN(9,2*RIGHT(DAY(C2586))*(MOD(DAY(C2586)-11,100)&gt;2)+1),2)&amp;","&amp;TEXT(C2586," yyyy"))</f>
        <v>August 1st,2025</v>
      </c>
      <c r="AB2586" s="15" t="str">
        <f aca="true">IF(S2586="","",DATEDIF(S2586,TODAY(),"Y")&amp;" Tahun, "&amp;DATEDIF(S2586,TODAY(),"YM")&amp;" Bulan, "&amp;DATEDIF(S2586,TODAY(),"MD")&amp;" Hari")</f>
        <v>26 Tahun, 5 Bulan, 28 Hari</v>
      </c>
      <c r="AC2586" s="18" t="n">
        <v>45870</v>
      </c>
      <c r="AD2586" s="18" t="n">
        <v>46022</v>
      </c>
      <c r="AE2586" s="18" t="s">
        <v>44</v>
      </c>
    </row>
    <row r="2587" customFormat="false" ht="15" hidden="false" customHeight="true" outlineLevel="0" collapsed="false">
      <c r="A2587" s="12" t="n">
        <v>20374</v>
      </c>
      <c r="B2587" s="13" t="s">
        <v>11078</v>
      </c>
      <c r="C2587" s="16" t="n">
        <v>45870</v>
      </c>
      <c r="D2587" s="13" t="s">
        <v>1066</v>
      </c>
      <c r="E2587" s="15" t="s">
        <v>47</v>
      </c>
      <c r="F2587" s="15" t="str">
        <f aca="false">IFERROR(__xludf.dummyfunction("XLOOKUP(AJ2587,IMPORTRANGE(""1XaInW9DU9nz21V0tYIfzFQ0He9kVQ_JF2mCXgZ3hqFA"",""REKAP ALL 2026 - Andika!G:G""),IMPORTRANGE(""1XaInW9DU9nz21V0tYIfzFQ0He9kVQ_JF2mCXgZ3hqFA"",""REKAP ALL 2026 - Andika!F:F""),"""",0)"),"24195983036")</f>
        <v>24195983036</v>
      </c>
      <c r="G2587" s="13" t="s">
        <v>11079</v>
      </c>
      <c r="H2587" s="13" t="s">
        <v>35</v>
      </c>
      <c r="I2587" s="13" t="str">
        <f aca="false">IF(C2587=J2587,"NEW KONTRAK","RE-KONTRAK")</f>
        <v>NEW KONTRAK</v>
      </c>
      <c r="J2587" s="16" t="n">
        <f aca="false" t="array" ref="J2587:J2587">IFERROR(INDEX(AC2587:AE2587,IF(COUNTA(AC2587:AE2587)=0,"",MAX((AC2587:AE2587&lt;&gt;"")*(COLUMN(AC2587:AE2587)-(COLUMN(AC2587)))))-1),"")</f>
        <v>45870</v>
      </c>
      <c r="K2587" s="16" t="n">
        <f aca="false" t="array" ref="K2587:K2587">IFERROR(INDEX(AC2587:AE2587,IF(COUNTA(AC2587:AE2587)=0,"",MAX((AC2587:AE2587&lt;&gt;"")*(COLUMN(AC2587:AE2587)-(COLUMN(AC2587)-1))))-1),"")</f>
        <v>46022</v>
      </c>
      <c r="L2587" s="17" t="str">
        <f aca="false" t="array" ref="L2587:L2587">IFERROR(INDEX(AC2587:AE2587,IF(COUNTA(AC2587:AE2587)=0,"",MAX((AC2587:AE2587&lt;&gt;"")*(COLUMN(AC2587:AE2587)-(COLUMN(AC2587)-2))))-1),"")</f>
        <v>ARCHIVED</v>
      </c>
      <c r="M2587" s="13" t="n">
        <f aca="true">K2587-TODAY()</f>
        <v>-302</v>
      </c>
      <c r="N2587" s="18" t="s">
        <v>615</v>
      </c>
      <c r="O2587" s="13" t="s">
        <v>1068</v>
      </c>
      <c r="P2587" s="19" t="n">
        <v>5176101</v>
      </c>
      <c r="Q2587" s="20" t="s">
        <v>11080</v>
      </c>
      <c r="R2587" s="13" t="s">
        <v>232</v>
      </c>
      <c r="S2587" s="14" t="n">
        <v>36947</v>
      </c>
      <c r="T2587" s="13" t="s">
        <v>40</v>
      </c>
      <c r="U2587" s="13" t="s">
        <v>3459</v>
      </c>
      <c r="V2587" s="13" t="s">
        <v>42</v>
      </c>
      <c r="W2587" s="13" t="s">
        <v>43</v>
      </c>
      <c r="X2587" s="21" t="n">
        <v>81559584564</v>
      </c>
      <c r="Y2587" s="22" t="str">
        <f aca="false">O2587</f>
        <v>Production Packer</v>
      </c>
      <c r="Z2587" s="13" t="str">
        <f aca="false">IFERROR(__xludf.dummyfunction("if(BJ2587="""","""",GOOGLETRANSLATE(BJ2587,""auto"",""en""))"),"Production Packer")</f>
        <v>Production Packer</v>
      </c>
      <c r="AA2587" s="23" t="str">
        <f aca="false">IF(C2587="","", CHOOSE(MONTH(C2587),"January","February","March","April","May","June","July","August","September","October","November","December")&amp;" "&amp;DAY(C2587)&amp;MID("thstndrdth",MIN(9,2*RIGHT(DAY(C2587))*(MOD(DAY(C2587)-11,100)&gt;2)+1),2)&amp;","&amp;TEXT(C2587," yyyy"))</f>
        <v>August 1st,2025</v>
      </c>
      <c r="AB2587" s="15" t="str">
        <f aca="true">IF(S2587="","",DATEDIF(S2587,TODAY(),"Y")&amp;" Tahun, "&amp;DATEDIF(S2587,TODAY(),"YM")&amp;" Bulan, "&amp;DATEDIF(S2587,TODAY(),"MD")&amp;" Hari")</f>
        <v>25 Tahun, 8 Bulan, 4 Hari</v>
      </c>
      <c r="AC2587" s="18" t="n">
        <v>45870</v>
      </c>
      <c r="AD2587" s="18" t="n">
        <v>46022</v>
      </c>
      <c r="AE2587" s="18" t="s">
        <v>44</v>
      </c>
    </row>
    <row r="2588" customFormat="false" ht="15" hidden="false" customHeight="true" outlineLevel="0" collapsed="false">
      <c r="A2588" s="12" t="n">
        <v>20375</v>
      </c>
      <c r="B2588" s="13" t="s">
        <v>11081</v>
      </c>
      <c r="C2588" s="16" t="n">
        <v>45870</v>
      </c>
      <c r="D2588" s="13" t="s">
        <v>1066</v>
      </c>
      <c r="E2588" s="15" t="s">
        <v>47</v>
      </c>
      <c r="F2588" s="15" t="str">
        <f aca="false">IFERROR(__xludf.dummyfunction("XLOOKUP(AJ2588,IMPORTRANGE(""1XaInW9DU9nz21V0tYIfzFQ0He9kVQ_JF2mCXgZ3hqFA"",""REKAP ALL 2026 - Andika!G:G""),IMPORTRANGE(""1XaInW9DU9nz21V0tYIfzFQ0He9kVQ_JF2mCXgZ3hqFA"",""REKAP ALL 2026 - Andika!F:F""),"""",0)"),"24195982806")</f>
        <v>24195982806</v>
      </c>
      <c r="G2588" s="13" t="s">
        <v>11082</v>
      </c>
      <c r="H2588" s="13" t="s">
        <v>35</v>
      </c>
      <c r="I2588" s="13" t="str">
        <f aca="false">IF(C2588=J2588,"NEW KONTRAK","RE-KONTRAK")</f>
        <v>NEW KONTRAK</v>
      </c>
      <c r="J2588" s="16" t="n">
        <f aca="false" t="array" ref="J2588:J2588">IFERROR(INDEX(AC2588:AE2588,IF(COUNTA(AC2588:AE2588)=0,"",MAX((AC2588:AE2588&lt;&gt;"")*(COLUMN(AC2588:AE2588)-(COLUMN(AC2588)))))-1),"")</f>
        <v>45870</v>
      </c>
      <c r="K2588" s="16" t="n">
        <f aca="false" t="array" ref="K2588:K2588">IFERROR(INDEX(AC2588:AE2588,IF(COUNTA(AC2588:AE2588)=0,"",MAX((AC2588:AE2588&lt;&gt;"")*(COLUMN(AC2588:AE2588)-(COLUMN(AC2588)-1))))-1),"")</f>
        <v>46022</v>
      </c>
      <c r="L2588" s="17" t="str">
        <f aca="false" t="array" ref="L2588:L2588">IFERROR(INDEX(AC2588:AE2588,IF(COUNTA(AC2588:AE2588)=0,"",MAX((AC2588:AE2588&lt;&gt;"")*(COLUMN(AC2588:AE2588)-(COLUMN(AC2588)-2))))-1),"")</f>
        <v>ARCHIVED</v>
      </c>
      <c r="M2588" s="13" t="n">
        <f aca="true">K2588-TODAY()</f>
        <v>-302</v>
      </c>
      <c r="N2588" s="18" t="s">
        <v>615</v>
      </c>
      <c r="O2588" s="13" t="s">
        <v>1140</v>
      </c>
      <c r="P2588" s="19" t="n">
        <v>5176101</v>
      </c>
      <c r="Q2588" s="20" t="s">
        <v>11083</v>
      </c>
      <c r="R2588" s="13" t="s">
        <v>232</v>
      </c>
      <c r="S2588" s="14" t="n">
        <v>38087</v>
      </c>
      <c r="T2588" s="13" t="s">
        <v>40</v>
      </c>
      <c r="U2588" s="13" t="s">
        <v>11084</v>
      </c>
      <c r="V2588" s="13" t="s">
        <v>42</v>
      </c>
      <c r="W2588" s="13" t="s">
        <v>43</v>
      </c>
      <c r="X2588" s="21" t="n">
        <v>81910549920</v>
      </c>
      <c r="Y2588" s="22" t="str">
        <f aca="false">O2588</f>
        <v>GBJ Helper</v>
      </c>
      <c r="Z2588" s="13" t="str">
        <f aca="false">IFERROR(__xludf.dummyfunction("if(BJ2588="""","""",GOOGLETRANSLATE(BJ2588,""auto"",""en""))"),"GBJ Helper")</f>
        <v>GBJ Helper</v>
      </c>
      <c r="AA2588" s="23" t="str">
        <f aca="false">IF(C2588="","", CHOOSE(MONTH(C2588),"January","February","March","April","May","June","July","August","September","October","November","December")&amp;" "&amp;DAY(C2588)&amp;MID("thstndrdth",MIN(9,2*RIGHT(DAY(C2588))*(MOD(DAY(C2588)-11,100)&gt;2)+1),2)&amp;","&amp;TEXT(C2588," yyyy"))</f>
        <v>August 1st,2025</v>
      </c>
      <c r="AB2588" s="15" t="str">
        <f aca="true">IF(S2588="","",DATEDIF(S2588,TODAY(),"Y")&amp;" Tahun, "&amp;DATEDIF(S2588,TODAY(),"YM")&amp;" Bulan, "&amp;DATEDIF(S2588,TODAY(),"MD")&amp;" Hari")</f>
        <v>22 Tahun, 6 Bulan, 19 Hari</v>
      </c>
      <c r="AC2588" s="18" t="n">
        <v>45870</v>
      </c>
      <c r="AD2588" s="18" t="n">
        <v>46022</v>
      </c>
      <c r="AE2588" s="18" t="s">
        <v>44</v>
      </c>
    </row>
    <row r="2589" customFormat="false" ht="15" hidden="false" customHeight="true" outlineLevel="0" collapsed="false">
      <c r="A2589" s="12" t="n">
        <v>20376</v>
      </c>
      <c r="B2589" s="13" t="s">
        <v>11085</v>
      </c>
      <c r="C2589" s="16" t="n">
        <v>45870</v>
      </c>
      <c r="D2589" s="13" t="s">
        <v>1066</v>
      </c>
      <c r="E2589" s="15" t="s">
        <v>47</v>
      </c>
      <c r="F2589" s="15" t="str">
        <f aca="false">IFERROR(__xludf.dummyfunction("XLOOKUP(AJ2589,IMPORTRANGE(""1XaInW9DU9nz21V0tYIfzFQ0He9kVQ_JF2mCXgZ3hqFA"",""REKAP ALL 2026 - Andika!G:G""),IMPORTRANGE(""1XaInW9DU9nz21V0tYIfzFQ0He9kVQ_JF2mCXgZ3hqFA"",""REKAP ALL 2026 - Andika!F:F""),"""",0)"),"24195982863")</f>
        <v>24195982863</v>
      </c>
      <c r="G2589" s="13" t="s">
        <v>11086</v>
      </c>
      <c r="H2589" s="13" t="s">
        <v>35</v>
      </c>
      <c r="I2589" s="13" t="str">
        <f aca="false">IF(C2589=J2589,"NEW KONTRAK","RE-KONTRAK")</f>
        <v>NEW KONTRAK</v>
      </c>
      <c r="J2589" s="16" t="n">
        <f aca="false" t="array" ref="J2589:J2589">IFERROR(INDEX(AC2589:AE2589,IF(COUNTA(AC2589:AE2589)=0,"",MAX((AC2589:AE2589&lt;&gt;"")*(COLUMN(AC2589:AE2589)-(COLUMN(AC2589)))))-1),"")</f>
        <v>45870</v>
      </c>
      <c r="K2589" s="16" t="n">
        <f aca="false" t="array" ref="K2589:K2589">IFERROR(INDEX(AC2589:AE2589,IF(COUNTA(AC2589:AE2589)=0,"",MAX((AC2589:AE2589&lt;&gt;"")*(COLUMN(AC2589:AE2589)-(COLUMN(AC2589)-1))))-1),"")</f>
        <v>46022</v>
      </c>
      <c r="L2589" s="17" t="str">
        <f aca="false" t="array" ref="L2589:L2589">IFERROR(INDEX(AC2589:AE2589,IF(COUNTA(AC2589:AE2589)=0,"",MAX((AC2589:AE2589&lt;&gt;"")*(COLUMN(AC2589:AE2589)-(COLUMN(AC2589)-2))))-1),"")</f>
        <v>ARCHIVED</v>
      </c>
      <c r="M2589" s="13" t="n">
        <f aca="true">K2589-TODAY()</f>
        <v>-302</v>
      </c>
      <c r="N2589" s="18" t="s">
        <v>615</v>
      </c>
      <c r="O2589" s="13" t="s">
        <v>1068</v>
      </c>
      <c r="P2589" s="19" t="n">
        <v>5176101</v>
      </c>
      <c r="Q2589" s="20" t="s">
        <v>11087</v>
      </c>
      <c r="R2589" s="13" t="s">
        <v>232</v>
      </c>
      <c r="S2589" s="14" t="n">
        <v>37704</v>
      </c>
      <c r="T2589" s="13" t="s">
        <v>40</v>
      </c>
      <c r="U2589" s="13" t="s">
        <v>11066</v>
      </c>
      <c r="V2589" s="13" t="s">
        <v>42</v>
      </c>
      <c r="W2589" s="13" t="s">
        <v>43</v>
      </c>
      <c r="X2589" s="21" t="n">
        <v>85755445920</v>
      </c>
      <c r="Y2589" s="22" t="str">
        <f aca="false">O2589</f>
        <v>Production Packer</v>
      </c>
      <c r="Z2589" s="13" t="str">
        <f aca="false">IFERROR(__xludf.dummyfunction("if(BJ2589="""","""",GOOGLETRANSLATE(BJ2589,""auto"",""en""))"),"Production Packer")</f>
        <v>Production Packer</v>
      </c>
      <c r="AA2589" s="23" t="str">
        <f aca="false">IF(C2589="","", CHOOSE(MONTH(C2589),"January","February","March","April","May","June","July","August","September","October","November","December")&amp;" "&amp;DAY(C2589)&amp;MID("thstndrdth",MIN(9,2*RIGHT(DAY(C2589))*(MOD(DAY(C2589)-11,100)&gt;2)+1),2)&amp;","&amp;TEXT(C2589," yyyy"))</f>
        <v>August 1st,2025</v>
      </c>
      <c r="AB2589" s="15" t="str">
        <f aca="true">IF(S2589="","",DATEDIF(S2589,TODAY(),"Y")&amp;" Tahun, "&amp;DATEDIF(S2589,TODAY(),"YM")&amp;" Bulan, "&amp;DATEDIF(S2589,TODAY(),"MD")&amp;" Hari")</f>
        <v>23 Tahun, 7 Bulan, 5 Hari</v>
      </c>
      <c r="AC2589" s="18" t="n">
        <v>45870</v>
      </c>
      <c r="AD2589" s="18" t="n">
        <v>46022</v>
      </c>
      <c r="AE2589" s="18" t="s">
        <v>44</v>
      </c>
    </row>
    <row r="2590" customFormat="false" ht="15" hidden="false" customHeight="true" outlineLevel="0" collapsed="false">
      <c r="A2590" s="12" t="n">
        <v>20377</v>
      </c>
      <c r="B2590" s="13" t="s">
        <v>11088</v>
      </c>
      <c r="C2590" s="16" t="n">
        <v>45870</v>
      </c>
      <c r="D2590" s="13" t="s">
        <v>4755</v>
      </c>
      <c r="E2590" s="15" t="s">
        <v>47</v>
      </c>
      <c r="F2590" s="15" t="str">
        <f aca="false">IFERROR(__xludf.dummyfunction("XLOOKUP(AJ2590,IMPORTRANGE(""1XaInW9DU9nz21V0tYIfzFQ0He9kVQ_JF2mCXgZ3hqFA"",""REKAP ALL 2026 - Andika!G:G""),IMPORTRANGE(""1XaInW9DU9nz21V0tYIfzFQ0He9kVQ_JF2mCXgZ3hqFA"",""REKAP ALL 2026 - Andika!F:F""),"""",0)"),"24195982970")</f>
        <v>24195982970</v>
      </c>
      <c r="G2590" s="13" t="s">
        <v>11089</v>
      </c>
      <c r="H2590" s="13" t="s">
        <v>3024</v>
      </c>
      <c r="I2590" s="13" t="str">
        <f aca="false">IF(C2590=J2590,"NEW KONTRAK","RE-KONTRAK")</f>
        <v>NEW KONTRAK</v>
      </c>
      <c r="J2590" s="16" t="n">
        <f aca="false" t="array" ref="J2590:J2590">IFERROR(INDEX(AC2590:AE2590,IF(COUNTA(AC2590:AE2590)=0,"",MAX((AC2590:AE2590&lt;&gt;"")*(COLUMN(AC2590:AE2590)-(COLUMN(AC2590)))))-1),"")</f>
        <v>45870</v>
      </c>
      <c r="K2590" s="16" t="n">
        <f aca="false" t="array" ref="K2590:K2590">IFERROR(INDEX(AC2590:AE2590,IF(COUNTA(AC2590:AE2590)=0,"",MAX((AC2590:AE2590&lt;&gt;"")*(COLUMN(AC2590:AE2590)-(COLUMN(AC2590)-1))))-1),"")</f>
        <v>46022</v>
      </c>
      <c r="L2590" s="17" t="str">
        <f aca="false" t="array" ref="L2590:L2590">IFERROR(INDEX(AC2590:AE2590,IF(COUNTA(AC2590:AE2590)=0,"",MAX((AC2590:AE2590&lt;&gt;"")*(COLUMN(AC2590:AE2590)-(COLUMN(AC2590)-2))))-1),"")</f>
        <v>ARCHIVED</v>
      </c>
      <c r="M2590" s="13" t="n">
        <f aca="true">K2590-TODAY()</f>
        <v>-302</v>
      </c>
      <c r="N2590" s="18" t="s">
        <v>615</v>
      </c>
      <c r="O2590" s="13" t="s">
        <v>1068</v>
      </c>
      <c r="P2590" s="19" t="n">
        <v>207044</v>
      </c>
      <c r="Q2590" s="20" t="s">
        <v>11090</v>
      </c>
      <c r="R2590" s="13" t="s">
        <v>232</v>
      </c>
      <c r="S2590" s="14" t="n">
        <v>33690</v>
      </c>
      <c r="T2590" s="13" t="s">
        <v>40</v>
      </c>
      <c r="U2590" s="13" t="s">
        <v>7105</v>
      </c>
      <c r="V2590" s="13" t="s">
        <v>42</v>
      </c>
      <c r="W2590" s="13" t="s">
        <v>43</v>
      </c>
      <c r="X2590" s="21" t="n">
        <v>85964254989</v>
      </c>
      <c r="Y2590" s="22" t="str">
        <f aca="false">O2590</f>
        <v>Production Packer</v>
      </c>
      <c r="Z2590" s="13" t="str">
        <f aca="false">IFERROR(__xludf.dummyfunction("if(BJ2590="""","""",GOOGLETRANSLATE(BJ2590,""auto"",""en""))"),"Production Packer")</f>
        <v>Production Packer</v>
      </c>
      <c r="AA2590" s="23" t="str">
        <f aca="false">IF(C2590="","", CHOOSE(MONTH(C2590),"January","February","March","April","May","June","July","August","September","October","November","December")&amp;" "&amp;DAY(C2590)&amp;MID("thstndrdth",MIN(9,2*RIGHT(DAY(C2590))*(MOD(DAY(C2590)-11,100)&gt;2)+1),2)&amp;","&amp;TEXT(C2590," yyyy"))</f>
        <v>August 1st,2025</v>
      </c>
      <c r="AB2590" s="15" t="str">
        <f aca="true">IF(S2590="","",DATEDIF(S2590,TODAY(),"Y")&amp;" Tahun, "&amp;DATEDIF(S2590,TODAY(),"YM")&amp;" Bulan, "&amp;DATEDIF(S2590,TODAY(),"MD")&amp;" Hari")</f>
        <v>34 Tahun, 7 Bulan, 2 Hari</v>
      </c>
      <c r="AC2590" s="18" t="n">
        <v>45870</v>
      </c>
      <c r="AD2590" s="18" t="n">
        <v>46022</v>
      </c>
      <c r="AE2590" s="18" t="s">
        <v>44</v>
      </c>
    </row>
    <row r="2591" customFormat="false" ht="15" hidden="false" customHeight="true" outlineLevel="0" collapsed="false">
      <c r="A2591" s="12" t="n">
        <v>20378</v>
      </c>
      <c r="B2591" s="13" t="s">
        <v>11091</v>
      </c>
      <c r="C2591" s="16" t="n">
        <v>45870</v>
      </c>
      <c r="D2591" s="13" t="s">
        <v>1066</v>
      </c>
      <c r="E2591" s="15" t="s">
        <v>47</v>
      </c>
      <c r="F2591" s="15" t="str">
        <f aca="false">IFERROR(__xludf.dummyfunction("XLOOKUP(AJ2591,IMPORTRANGE(""1XaInW9DU9nz21V0tYIfzFQ0He9kVQ_JF2mCXgZ3hqFA"",""REKAP ALL 2026 - Andika!G:G""),IMPORTRANGE(""1XaInW9DU9nz21V0tYIfzFQ0He9kVQ_JF2mCXgZ3hqFA"",""REKAP ALL 2026 - Andika!F:F""),"""",0)"),"24195982764")</f>
        <v>24195982764</v>
      </c>
      <c r="G2591" s="13" t="s">
        <v>11092</v>
      </c>
      <c r="H2591" s="13" t="s">
        <v>35</v>
      </c>
      <c r="I2591" s="13" t="str">
        <f aca="false">IF(C2591=J2591,"NEW KONTRAK","RE-KONTRAK")</f>
        <v>NEW KONTRAK</v>
      </c>
      <c r="J2591" s="16" t="n">
        <f aca="false" t="array" ref="J2591:J2591">IFERROR(INDEX(AC2591:AE2591,IF(COUNTA(AC2591:AE2591)=0,"",MAX((AC2591:AE2591&lt;&gt;"")*(COLUMN(AC2591:AE2591)-(COLUMN(AC2591)))))-1),"")</f>
        <v>45870</v>
      </c>
      <c r="K2591" s="16" t="n">
        <f aca="false" t="array" ref="K2591:K2591">IFERROR(INDEX(AC2591:AE2591,IF(COUNTA(AC2591:AE2591)=0,"",MAX((AC2591:AE2591&lt;&gt;"")*(COLUMN(AC2591:AE2591)-(COLUMN(AC2591)-1))))-1),"")</f>
        <v>46022</v>
      </c>
      <c r="L2591" s="17" t="str">
        <f aca="false" t="array" ref="L2591:L2591">IFERROR(INDEX(AC2591:AE2591,IF(COUNTA(AC2591:AE2591)=0,"",MAX((AC2591:AE2591&lt;&gt;"")*(COLUMN(AC2591:AE2591)-(COLUMN(AC2591)-2))))-1),"")</f>
        <v>ARCHIVED</v>
      </c>
      <c r="M2591" s="13" t="n">
        <f aca="true">K2591-TODAY()</f>
        <v>-302</v>
      </c>
      <c r="N2591" s="18" t="s">
        <v>615</v>
      </c>
      <c r="O2591" s="13" t="s">
        <v>1068</v>
      </c>
      <c r="P2591" s="19" t="n">
        <v>5176101</v>
      </c>
      <c r="Q2591" s="20" t="s">
        <v>11093</v>
      </c>
      <c r="R2591" s="13" t="s">
        <v>78</v>
      </c>
      <c r="S2591" s="14" t="n">
        <v>36270</v>
      </c>
      <c r="T2591" s="13" t="s">
        <v>40</v>
      </c>
      <c r="U2591" s="13" t="s">
        <v>11094</v>
      </c>
      <c r="V2591" s="13" t="s">
        <v>42</v>
      </c>
      <c r="W2591" s="13" t="s">
        <v>43</v>
      </c>
      <c r="X2591" s="21" t="n">
        <v>85843743747</v>
      </c>
      <c r="Y2591" s="22" t="str">
        <f aca="false">O2591</f>
        <v>Production Packer</v>
      </c>
      <c r="Z2591" s="13" t="str">
        <f aca="false">IFERROR(__xludf.dummyfunction("if(BJ2591="""","""",GOOGLETRANSLATE(BJ2591,""auto"",""en""))"),"Production Packer")</f>
        <v>Production Packer</v>
      </c>
      <c r="AA2591" s="23" t="str">
        <f aca="false">IF(C2591="","", CHOOSE(MONTH(C2591),"January","February","March","April","May","June","July","August","September","October","November","December")&amp;" "&amp;DAY(C2591)&amp;MID("thstndrdth",MIN(9,2*RIGHT(DAY(C2591))*(MOD(DAY(C2591)-11,100)&gt;2)+1),2)&amp;","&amp;TEXT(C2591," yyyy"))</f>
        <v>August 1st,2025</v>
      </c>
      <c r="AB2591" s="15" t="str">
        <f aca="true">IF(S2591="","",DATEDIF(S2591,TODAY(),"Y")&amp;" Tahun, "&amp;DATEDIF(S2591,TODAY(),"YM")&amp;" Bulan, "&amp;DATEDIF(S2591,TODAY(),"MD")&amp;" Hari")</f>
        <v>27 Tahun, 6 Bulan, 9 Hari</v>
      </c>
      <c r="AC2591" s="18" t="n">
        <v>45870</v>
      </c>
      <c r="AD2591" s="18" t="n">
        <v>46022</v>
      </c>
      <c r="AE2591" s="18" t="s">
        <v>44</v>
      </c>
    </row>
    <row r="2592" customFormat="false" ht="15" hidden="false" customHeight="true" outlineLevel="0" collapsed="false">
      <c r="A2592" s="12" t="n">
        <v>20379</v>
      </c>
      <c r="B2592" s="13" t="s">
        <v>11095</v>
      </c>
      <c r="C2592" s="16" t="n">
        <v>45881</v>
      </c>
      <c r="D2592" s="13" t="s">
        <v>5030</v>
      </c>
      <c r="E2592" s="15" t="s">
        <v>47</v>
      </c>
      <c r="F2592" s="15" t="str">
        <f aca="false">IFERROR(__xludf.dummyfunction("XLOOKUP(AJ2592,IMPORTRANGE(""1XaInW9DU9nz21V0tYIfzFQ0He9kVQ_JF2mCXgZ3hqFA"",""REKAP ALL 2026 - Andika!G:G""),IMPORTRANGE(""1XaInW9DU9nz21V0tYIfzFQ0He9kVQ_JF2mCXgZ3hqFA"",""REKAP ALL 2026 - Andika!F:F""),"""",0)"),"25115869981")</f>
        <v>25115869981</v>
      </c>
      <c r="G2592" s="13" t="s">
        <v>11096</v>
      </c>
      <c r="H2592" s="13" t="s">
        <v>35</v>
      </c>
      <c r="I2592" s="13" t="str">
        <f aca="false">IF(C2592=J2592,"NEW KONTRAK","RE-KONTRAK")</f>
        <v>NEW KONTRAK</v>
      </c>
      <c r="J2592" s="16" t="n">
        <f aca="false" t="array" ref="J2592:J2592">IFERROR(INDEX(AC2592:AE2592,IF(COUNTA(AC2592:AE2592)=0,"",MAX((AC2592:AE2592&lt;&gt;"")*(COLUMN(AC2592:AE2592)-(COLUMN(AC2592)))))-1),"")</f>
        <v>45881</v>
      </c>
      <c r="K2592" s="16" t="n">
        <f aca="false" t="array" ref="K2592:K2592">IFERROR(INDEX(AC2592:AE2592,IF(COUNTA(AC2592:AE2592)=0,"",MAX((AC2592:AE2592&lt;&gt;"")*(COLUMN(AC2592:AE2592)-(COLUMN(AC2592)-1))))-1),"")</f>
        <v>46234</v>
      </c>
      <c r="L2592" s="17" t="str">
        <f aca="false" t="array" ref="L2592:L2592">IFERROR(INDEX(AC2592:AE2592,IF(COUNTA(AC2592:AE2592)=0,"",MAX((AC2592:AE2592&lt;&gt;"")*(COLUMN(AC2592:AE2592)-(COLUMN(AC2592)-2))))-1),"")</f>
        <v>ARCHIVED</v>
      </c>
      <c r="M2592" s="13" t="n">
        <f aca="true">K2592-TODAY()</f>
        <v>-90</v>
      </c>
      <c r="N2592" s="18" t="s">
        <v>728</v>
      </c>
      <c r="O2592" s="13" t="s">
        <v>5032</v>
      </c>
      <c r="P2592" s="27" t="n">
        <v>5195401</v>
      </c>
      <c r="Q2592" s="20" t="s">
        <v>11097</v>
      </c>
      <c r="R2592" s="13" t="s">
        <v>39</v>
      </c>
      <c r="S2592" s="16" t="n">
        <v>38196</v>
      </c>
      <c r="T2592" s="13" t="s">
        <v>40</v>
      </c>
      <c r="U2592" s="13" t="s">
        <v>11098</v>
      </c>
      <c r="V2592" s="13" t="s">
        <v>42</v>
      </c>
      <c r="W2592" s="13" t="s">
        <v>43</v>
      </c>
      <c r="X2592" s="21" t="n">
        <v>881027040480</v>
      </c>
      <c r="Y2592" s="22" t="str">
        <f aca="false">O2592</f>
        <v>Operator Genset</v>
      </c>
      <c r="Z2592" s="13" t="str">
        <f aca="false">IFERROR(__xludf.dummyfunction("if(BJ2592="""","""",GOOGLETRANSLATE(BJ2592,""auto"",""en""))"),"Generator Operator")</f>
        <v>Generator Operator</v>
      </c>
      <c r="AA2592" s="23" t="str">
        <f aca="false">IF(C2592="","", CHOOSE(MONTH(C2592),"January","February","March","April","May","June","July","August","September","October","November","December")&amp;" "&amp;DAY(C2592)&amp;MID("thstndrdth",MIN(9,2*RIGHT(DAY(C2592))*(MOD(DAY(C2592)-11,100)&gt;2)+1),2)&amp;","&amp;TEXT(C2592," yyyy"))</f>
        <v>August 12th,2025</v>
      </c>
      <c r="AB2592" s="15" t="str">
        <f aca="true">IF(S2592="","",DATEDIF(S2592,TODAY(),"Y")&amp;" Tahun, "&amp;DATEDIF(S2592,TODAY(),"YM")&amp;" Bulan, "&amp;DATEDIF(S2592,TODAY(),"MD")&amp;" Hari")</f>
        <v>22 Tahun, 3 Bulan, 1 Hari</v>
      </c>
      <c r="AC2592" s="18" t="n">
        <v>45881</v>
      </c>
      <c r="AD2592" s="18" t="n">
        <v>46234</v>
      </c>
      <c r="AE2592" s="18" t="s">
        <v>44</v>
      </c>
    </row>
    <row r="2593" customFormat="false" ht="15" hidden="false" customHeight="true" outlineLevel="0" collapsed="false">
      <c r="A2593" s="12" t="n">
        <v>20380</v>
      </c>
      <c r="B2593" s="13" t="s">
        <v>11099</v>
      </c>
      <c r="C2593" s="16" t="n">
        <v>45881</v>
      </c>
      <c r="D2593" s="13" t="s">
        <v>5030</v>
      </c>
      <c r="E2593" s="15" t="s">
        <v>47</v>
      </c>
      <c r="F2593" s="15" t="str">
        <f aca="false">IFERROR(__xludf.dummyfunction("XLOOKUP(AJ2593,IMPORTRANGE(""1XaInW9DU9nz21V0tYIfzFQ0He9kVQ_JF2mCXgZ3hqFA"",""REKAP ALL 2026 - Andika!G:G""),IMPORTRANGE(""1XaInW9DU9nz21V0tYIfzFQ0He9kVQ_JF2mCXgZ3hqFA"",""REKAP ALL 2026 - Andika!F:F""),"""",0)"),"25115880350")</f>
        <v>25115880350</v>
      </c>
      <c r="G2593" s="13" t="s">
        <v>11100</v>
      </c>
      <c r="H2593" s="13" t="s">
        <v>35</v>
      </c>
      <c r="I2593" s="13" t="str">
        <f aca="false">IF(C2593=J2593,"NEW KONTRAK","RE-KONTRAK")</f>
        <v>NEW KONTRAK</v>
      </c>
      <c r="J2593" s="16" t="n">
        <f aca="false" t="array" ref="J2593:J2593">IFERROR(INDEX(AC2593:AE2593,IF(COUNTA(AC2593:AE2593)=0,"",MAX((AC2593:AE2593&lt;&gt;"")*(COLUMN(AC2593:AE2593)-(COLUMN(AC2593)))))-1),"")</f>
        <v>45881</v>
      </c>
      <c r="K2593" s="16" t="n">
        <f aca="false" t="array" ref="K2593:K2593">IFERROR(INDEX(AC2593:AE2593,IF(COUNTA(AC2593:AE2593)=0,"",MAX((AC2593:AE2593&lt;&gt;"")*(COLUMN(AC2593:AE2593)-(COLUMN(AC2593)-1))))-1),"")</f>
        <v>46234</v>
      </c>
      <c r="L2593" s="17" t="str">
        <f aca="false" t="array" ref="L2593:L2593">IFERROR(INDEX(AC2593:AE2593,IF(COUNTA(AC2593:AE2593)=0,"",MAX((AC2593:AE2593&lt;&gt;"")*(COLUMN(AC2593:AE2593)-(COLUMN(AC2593)-2))))-1),"")</f>
        <v>ARCHIVED</v>
      </c>
      <c r="M2593" s="13" t="n">
        <f aca="true">K2593-TODAY()</f>
        <v>-90</v>
      </c>
      <c r="N2593" s="18" t="s">
        <v>728</v>
      </c>
      <c r="O2593" s="13" t="s">
        <v>5032</v>
      </c>
      <c r="P2593" s="27" t="n">
        <v>5195401</v>
      </c>
      <c r="Q2593" s="20" t="s">
        <v>11101</v>
      </c>
      <c r="R2593" s="13" t="s">
        <v>52</v>
      </c>
      <c r="S2593" s="16" t="n">
        <v>27383</v>
      </c>
      <c r="T2593" s="13" t="s">
        <v>40</v>
      </c>
      <c r="U2593" s="13" t="s">
        <v>11102</v>
      </c>
      <c r="V2593" s="13" t="s">
        <v>42</v>
      </c>
      <c r="W2593" s="13" t="s">
        <v>43</v>
      </c>
      <c r="X2593" s="21" t="n">
        <v>8973871199</v>
      </c>
      <c r="Y2593" s="22" t="str">
        <f aca="false">O2593</f>
        <v>Operator Genset</v>
      </c>
      <c r="Z2593" s="13" t="str">
        <f aca="false">IFERROR(__xludf.dummyfunction("if(BJ2593="""","""",GOOGLETRANSLATE(BJ2593,""auto"",""en""))"),"Generator Operator")</f>
        <v>Generator Operator</v>
      </c>
      <c r="AA2593" s="23" t="str">
        <f aca="false">IF(C2593="","", CHOOSE(MONTH(C2593),"January","February","March","April","May","June","July","August","September","October","November","December")&amp;" "&amp;DAY(C2593)&amp;MID("thstndrdth",MIN(9,2*RIGHT(DAY(C2593))*(MOD(DAY(C2593)-11,100)&gt;2)+1),2)&amp;","&amp;TEXT(C2593," yyyy"))</f>
        <v>August 12th,2025</v>
      </c>
      <c r="AB2593" s="15" t="str">
        <f aca="true">IF(S2593="","",DATEDIF(S2593,TODAY(),"Y")&amp;" Tahun, "&amp;DATEDIF(S2593,TODAY(),"YM")&amp;" Bulan, "&amp;DATEDIF(S2593,TODAY(),"MD")&amp;" Hari")</f>
        <v>51 Tahun, 10 Bulan, 9 Hari</v>
      </c>
      <c r="AC2593" s="18" t="n">
        <v>45881</v>
      </c>
      <c r="AD2593" s="18" t="n">
        <v>46234</v>
      </c>
      <c r="AE2593" s="18" t="s">
        <v>44</v>
      </c>
    </row>
    <row r="2594" customFormat="false" ht="15" hidden="false" customHeight="true" outlineLevel="0" collapsed="false">
      <c r="A2594" s="12" t="n">
        <v>20381</v>
      </c>
      <c r="B2594" s="13" t="s">
        <v>11103</v>
      </c>
      <c r="C2594" s="16" t="n">
        <v>45881</v>
      </c>
      <c r="D2594" s="13" t="s">
        <v>5030</v>
      </c>
      <c r="E2594" s="15" t="s">
        <v>47</v>
      </c>
      <c r="F2594" s="15" t="str">
        <f aca="false">IFERROR(__xludf.dummyfunction("XLOOKUP(AJ2594,IMPORTRANGE(""1XaInW9DU9nz21V0tYIfzFQ0He9kVQ_JF2mCXgZ3hqFA"",""REKAP ALL 2026 - Andika!G:G""),IMPORTRANGE(""1XaInW9DU9nz21V0tYIfzFQ0He9kVQ_JF2mCXgZ3hqFA"",""REKAP ALL 2026 - Andika!F:F""),"""",0)"),"25115880616")</f>
        <v>25115880616</v>
      </c>
      <c r="G2594" s="13" t="s">
        <v>11104</v>
      </c>
      <c r="H2594" s="13" t="s">
        <v>35</v>
      </c>
      <c r="I2594" s="13" t="str">
        <f aca="false">IF(C2594=J2594,"NEW KONTRAK","RE-KONTRAK")</f>
        <v>NEW KONTRAK</v>
      </c>
      <c r="J2594" s="16" t="n">
        <f aca="false" t="array" ref="J2594:J2594">IFERROR(INDEX(AC2594:AE2594,IF(COUNTA(AC2594:AE2594)=0,"",MAX((AC2594:AE2594&lt;&gt;"")*(COLUMN(AC2594:AE2594)-(COLUMN(AC2594)))))-1),"")</f>
        <v>45881</v>
      </c>
      <c r="K2594" s="16" t="n">
        <f aca="false" t="array" ref="K2594:K2594">IFERROR(INDEX(AC2594:AE2594,IF(COUNTA(AC2594:AE2594)=0,"",MAX((AC2594:AE2594&lt;&gt;"")*(COLUMN(AC2594:AE2594)-(COLUMN(AC2594)-1))))-1),"")</f>
        <v>46234</v>
      </c>
      <c r="L2594" s="17" t="str">
        <f aca="false" t="array" ref="L2594:L2594">IFERROR(INDEX(AC2594:AE2594,IF(COUNTA(AC2594:AE2594)=0,"",MAX((AC2594:AE2594&lt;&gt;"")*(COLUMN(AC2594:AE2594)-(COLUMN(AC2594)-2))))-1),"")</f>
        <v>KEMBALI</v>
      </c>
      <c r="M2594" s="13" t="n">
        <f aca="true">K2594-TODAY()</f>
        <v>-90</v>
      </c>
      <c r="N2594" s="18" t="s">
        <v>728</v>
      </c>
      <c r="O2594" s="13" t="s">
        <v>5032</v>
      </c>
      <c r="P2594" s="27" t="n">
        <v>5195401</v>
      </c>
      <c r="Q2594" s="20" t="s">
        <v>11105</v>
      </c>
      <c r="R2594" s="13" t="s">
        <v>78</v>
      </c>
      <c r="S2594" s="16" t="n">
        <v>29305</v>
      </c>
      <c r="T2594" s="13" t="s">
        <v>40</v>
      </c>
      <c r="U2594" s="13" t="s">
        <v>11106</v>
      </c>
      <c r="V2594" s="13" t="s">
        <v>42</v>
      </c>
      <c r="W2594" s="13" t="s">
        <v>54</v>
      </c>
      <c r="X2594" s="21" t="n">
        <v>82142046203</v>
      </c>
      <c r="Y2594" s="22" t="str">
        <f aca="false">O2594</f>
        <v>Operator Genset</v>
      </c>
      <c r="Z2594" s="13" t="str">
        <f aca="false">IFERROR(__xludf.dummyfunction("if(BJ2594="""","""",GOOGLETRANSLATE(BJ2594,""auto"",""en""))"),"Generator Operator")</f>
        <v>Generator Operator</v>
      </c>
      <c r="AA2594" s="23" t="str">
        <f aca="false">IF(C2594="","", CHOOSE(MONTH(C2594),"January","February","March","April","May","June","July","August","September","October","November","December")&amp;" "&amp;DAY(C2594)&amp;MID("thstndrdth",MIN(9,2*RIGHT(DAY(C2594))*(MOD(DAY(C2594)-11,100)&gt;2)+1),2)&amp;","&amp;TEXT(C2594," yyyy"))</f>
        <v>August 12th,2025</v>
      </c>
      <c r="AB2594" s="15" t="str">
        <f aca="true">IF(S2594="","",DATEDIF(S2594,TODAY(),"Y")&amp;" Tahun, "&amp;DATEDIF(S2594,TODAY(),"YM")&amp;" Bulan, "&amp;DATEDIF(S2594,TODAY(),"MD")&amp;" Hari")</f>
        <v>46 Tahun, 7 Bulan, 4 Hari</v>
      </c>
      <c r="AC2594" s="18" t="n">
        <v>45881</v>
      </c>
      <c r="AD2594" s="18" t="n">
        <v>46234</v>
      </c>
      <c r="AE2594" s="13" t="s">
        <v>397</v>
      </c>
    </row>
    <row r="2595" customFormat="false" ht="15" hidden="false" customHeight="true" outlineLevel="0" collapsed="false">
      <c r="A2595" s="12" t="n">
        <v>20384</v>
      </c>
      <c r="B2595" s="13" t="s">
        <v>11107</v>
      </c>
      <c r="C2595" s="16" t="n">
        <v>45874</v>
      </c>
      <c r="D2595" s="13" t="s">
        <v>7310</v>
      </c>
      <c r="E2595" s="15" t="s">
        <v>47</v>
      </c>
      <c r="F2595" s="15" t="str">
        <f aca="false">IFERROR(__xludf.dummyfunction("XLOOKUP(AJ2595,IMPORTRANGE(""1XaInW9DU9nz21V0tYIfzFQ0He9kVQ_JF2mCXgZ3hqFA"",""REKAP ALL 2026 - Andika!G:G""),IMPORTRANGE(""1XaInW9DU9nz21V0tYIfzFQ0He9kVQ_JF2mCXgZ3hqFA"",""REKAP ALL 2026 - Andika!F:F""),"""",0)"),"25115950211")</f>
        <v>25115950211</v>
      </c>
      <c r="G2595" s="13" t="s">
        <v>11108</v>
      </c>
      <c r="H2595" s="13" t="s">
        <v>35</v>
      </c>
      <c r="I2595" s="13" t="str">
        <f aca="false">IF(C2595=J2595,"NEW KONTRAK","RE-KONTRAK")</f>
        <v>NEW KONTRAK</v>
      </c>
      <c r="J2595" s="16" t="n">
        <f aca="false" t="array" ref="J2595:J2595">IFERROR(INDEX(AC2595:AE2595,IF(COUNTA(AC2595:AE2595)=0,"",MAX((AC2595:AE2595&lt;&gt;"")*(COLUMN(AC2595:AE2595)-(COLUMN(AC2595)))))-1),"")</f>
        <v>45874</v>
      </c>
      <c r="K2595" s="16" t="n">
        <f aca="false" t="array" ref="K2595:K2595">IFERROR(INDEX(AC2595:AE2595,IF(COUNTA(AC2595:AE2595)=0,"",MAX((AC2595:AE2595&lt;&gt;"")*(COLUMN(AC2595:AE2595)-(COLUMN(AC2595)-1))))-1),"")</f>
        <v>46238</v>
      </c>
      <c r="L2595" s="17" t="str">
        <f aca="false" t="array" ref="L2595:L2595">IFERROR(INDEX(AC2595:AE2595,IF(COUNTA(AC2595:AE2595)=0,"",MAX((AC2595:AE2595&lt;&gt;"")*(COLUMN(AC2595:AE2595)-(COLUMN(AC2595)-2))))-1),"")</f>
        <v>ARCHIVED</v>
      </c>
      <c r="M2595" s="13" t="n">
        <f aca="true">K2595-TODAY()</f>
        <v>-86</v>
      </c>
      <c r="N2595" s="18" t="s">
        <v>7313</v>
      </c>
      <c r="O2595" s="13" t="s">
        <v>7611</v>
      </c>
      <c r="P2595" s="19" t="n">
        <v>2550274</v>
      </c>
      <c r="Q2595" s="20" t="s">
        <v>11109</v>
      </c>
      <c r="R2595" s="13" t="s">
        <v>227</v>
      </c>
      <c r="S2595" s="16" t="n">
        <v>38267</v>
      </c>
      <c r="T2595" s="13" t="s">
        <v>40</v>
      </c>
      <c r="U2595" s="13" t="s">
        <v>11110</v>
      </c>
      <c r="V2595" s="13" t="s">
        <v>42</v>
      </c>
      <c r="W2595" s="13" t="s">
        <v>43</v>
      </c>
      <c r="X2595" s="21" t="n">
        <v>81997974091</v>
      </c>
      <c r="Y2595" s="22" t="str">
        <f aca="false">O2595</f>
        <v>Helper Kernet</v>
      </c>
      <c r="Z2595" s="13" t="str">
        <f aca="false">IFERROR(__xludf.dummyfunction("if(BJ2595="""","""",GOOGLETRANSLATE(BJ2595,""auto"",""en""))"),"Helper Kernet")</f>
        <v>Helper Kernet</v>
      </c>
      <c r="AA2595" s="23" t="str">
        <f aca="false">IF(C2595="","", CHOOSE(MONTH(C2595),"January","February","March","April","May","June","July","August","September","October","November","December")&amp;" "&amp;DAY(C2595)&amp;MID("thstndrdth",MIN(9,2*RIGHT(DAY(C2595))*(MOD(DAY(C2595)-11,100)&gt;2)+1),2)&amp;","&amp;TEXT(C2595," yyyy"))</f>
        <v>August 5th,2025</v>
      </c>
      <c r="AB2595" s="15" t="str">
        <f aca="true">IF(S2595="","",DATEDIF(S2595,TODAY(),"Y")&amp;" Tahun, "&amp;DATEDIF(S2595,TODAY(),"YM")&amp;" Bulan, "&amp;DATEDIF(S2595,TODAY(),"MD")&amp;" Hari")</f>
        <v>22 Tahun, 0 Bulan, 22 Hari</v>
      </c>
      <c r="AC2595" s="18" t="n">
        <v>45874</v>
      </c>
      <c r="AD2595" s="18" t="n">
        <v>46238</v>
      </c>
      <c r="AE2595" s="18" t="s">
        <v>44</v>
      </c>
    </row>
    <row r="2596" customFormat="false" ht="15" hidden="false" customHeight="true" outlineLevel="0" collapsed="false">
      <c r="A2596" s="12" t="n">
        <v>20383</v>
      </c>
      <c r="B2596" s="13" t="s">
        <v>11111</v>
      </c>
      <c r="C2596" s="16" t="n">
        <v>45874</v>
      </c>
      <c r="D2596" s="13" t="s">
        <v>7310</v>
      </c>
      <c r="E2596" s="15" t="s">
        <v>33</v>
      </c>
      <c r="F2596" s="24" t="s">
        <v>11112</v>
      </c>
      <c r="G2596" s="13" t="s">
        <v>1127</v>
      </c>
      <c r="H2596" s="13" t="s">
        <v>35</v>
      </c>
      <c r="I2596" s="13" t="str">
        <f aca="false">IF(C2596=J2596,"NEW KONTRAK","RE-KONTRAK")</f>
        <v>NEW KONTRAK</v>
      </c>
      <c r="J2596" s="16" t="n">
        <f aca="false" t="array" ref="J2596:J2596">IFERROR(INDEX(AC2596:AE2596,IF(COUNTA(AC2596:AE2596)=0,"",MAX((AC2596:AE2596&lt;&gt;"")*(COLUMN(AC2596:AE2596)-(COLUMN(AC2596)))))-1),"")</f>
        <v>45874</v>
      </c>
      <c r="K2596" s="16" t="n">
        <f aca="false" t="array" ref="K2596:K2596">IFERROR(INDEX(AC2596:AE2596,IF(COUNTA(AC2596:AE2596)=0,"",MAX((AC2596:AE2596&lt;&gt;"")*(COLUMN(AC2596:AE2596)-(COLUMN(AC2596)-1))))-1),"")</f>
        <v>46238</v>
      </c>
      <c r="L2596" s="17" t="str">
        <f aca="false" t="array" ref="L2596:L2596">IFERROR(INDEX(AC2596:AE2596,IF(COUNTA(AC2596:AE2596)=0,"",MAX((AC2596:AE2596&lt;&gt;"")*(COLUMN(AC2596:AE2596)-(COLUMN(AC2596)-2))))-1),"")</f>
        <v>ARCHIVED</v>
      </c>
      <c r="M2596" s="13" t="n">
        <f aca="true">K2596-TODAY()</f>
        <v>-86</v>
      </c>
      <c r="N2596" s="18" t="s">
        <v>7313</v>
      </c>
      <c r="O2596" s="13" t="s">
        <v>50</v>
      </c>
      <c r="P2596" s="19" t="n">
        <v>2397550</v>
      </c>
      <c r="Q2596" s="20" t="s">
        <v>11113</v>
      </c>
      <c r="R2596" s="13" t="s">
        <v>763</v>
      </c>
      <c r="S2596" s="16" t="n">
        <v>27755</v>
      </c>
      <c r="T2596" s="13" t="s">
        <v>40</v>
      </c>
      <c r="U2596" s="13" t="s">
        <v>11114</v>
      </c>
      <c r="V2596" s="13" t="s">
        <v>42</v>
      </c>
      <c r="W2596" s="13" t="s">
        <v>54</v>
      </c>
      <c r="X2596" s="30" t="n">
        <v>87833942104</v>
      </c>
      <c r="Y2596" s="22" t="str">
        <f aca="false">O2596</f>
        <v>Driver</v>
      </c>
      <c r="Z2596" s="13" t="str">
        <f aca="false">IFERROR(__xludf.dummyfunction("if(BJ2596="""","""",GOOGLETRANSLATE(BJ2596,""auto"",""en""))"),"Driver")</f>
        <v>Driver</v>
      </c>
      <c r="AA2596" s="23" t="str">
        <f aca="false">IF(C2596="","", CHOOSE(MONTH(C2596),"January","February","March","April","May","June","July","August","September","October","November","December")&amp;" "&amp;DAY(C2596)&amp;MID("thstndrdth",MIN(9,2*RIGHT(DAY(C2596))*(MOD(DAY(C2596)-11,100)&gt;2)+1),2)&amp;","&amp;TEXT(C2596," yyyy"))</f>
        <v>August 5th,2025</v>
      </c>
      <c r="AB2596" s="15" t="str">
        <f aca="true">IF(S2596="","",DATEDIF(S2596,TODAY(),"Y")&amp;" Tahun, "&amp;DATEDIF(S2596,TODAY(),"YM")&amp;" Bulan, "&amp;DATEDIF(S2596,TODAY(),"MD")&amp;" Hari")</f>
        <v>50 Tahun, 10 Bulan, 2 Hari</v>
      </c>
      <c r="AC2596" s="18" t="n">
        <v>45874</v>
      </c>
      <c r="AD2596" s="18" t="n">
        <v>46238</v>
      </c>
      <c r="AE2596" s="18" t="s">
        <v>44</v>
      </c>
    </row>
    <row r="2597" customFormat="false" ht="15" hidden="false" customHeight="true" outlineLevel="0" collapsed="false">
      <c r="A2597" s="12" t="n">
        <v>20386</v>
      </c>
      <c r="B2597" s="13" t="s">
        <v>11115</v>
      </c>
      <c r="C2597" s="16" t="n">
        <v>45861</v>
      </c>
      <c r="D2597" s="13" t="s">
        <v>7310</v>
      </c>
      <c r="E2597" s="15" t="s">
        <v>47</v>
      </c>
      <c r="F2597" s="15" t="str">
        <f aca="false">IFERROR(__xludf.dummyfunction("XLOOKUP(AJ2597,IMPORTRANGE(""1XaInW9DU9nz21V0tYIfzFQ0He9kVQ_JF2mCXgZ3hqFA"",""REKAP ALL 2026 - Andika!G:G""),IMPORTRANGE(""1XaInW9DU9nz21V0tYIfzFQ0He9kVQ_JF2mCXgZ3hqFA"",""REKAP ALL 2026 - Andika!F:F""),"""",0)"),"25115950864")</f>
        <v>25115950864</v>
      </c>
      <c r="G2597" s="13" t="s">
        <v>11116</v>
      </c>
      <c r="H2597" s="13" t="s">
        <v>35</v>
      </c>
      <c r="I2597" s="13" t="str">
        <f aca="false">IF(C2597=J2597,"NEW KONTRAK","RE-KONTRAK")</f>
        <v>NEW KONTRAK</v>
      </c>
      <c r="J2597" s="16" t="n">
        <f aca="false" t="array" ref="J2597:J2597">IFERROR(INDEX(AC2597:AE2597,IF(COUNTA(AC2597:AE2597)=0,"",MAX((AC2597:AE2597&lt;&gt;"")*(COLUMN(AC2597:AE2597)-(COLUMN(AC2597)))))-1),"")</f>
        <v>45861</v>
      </c>
      <c r="K2597" s="16" t="n">
        <f aca="false" t="array" ref="K2597:K2597">IFERROR(INDEX(AC2597:AE2597,IF(COUNTA(AC2597:AE2597)=0,"",MAX((AC2597:AE2597&lt;&gt;"")*(COLUMN(AC2597:AE2597)-(COLUMN(AC2597)-1))))-1),"")</f>
        <v>46225</v>
      </c>
      <c r="L2597" s="17" t="str">
        <f aca="false" t="array" ref="L2597:L2597">IFERROR(INDEX(AC2597:AE2597,IF(COUNTA(AC2597:AE2597)=0,"",MAX((AC2597:AE2597&lt;&gt;"")*(COLUMN(AC2597:AE2597)-(COLUMN(AC2597)-2))))-1),"")</f>
        <v>KEMBALI</v>
      </c>
      <c r="M2597" s="13" t="n">
        <f aca="true">K2597-TODAY()</f>
        <v>-99</v>
      </c>
      <c r="N2597" s="18" t="s">
        <v>7313</v>
      </c>
      <c r="O2597" s="13" t="s">
        <v>50</v>
      </c>
      <c r="P2597" s="19" t="n">
        <v>2550274</v>
      </c>
      <c r="Q2597" s="20" t="s">
        <v>11117</v>
      </c>
      <c r="R2597" s="13" t="s">
        <v>227</v>
      </c>
      <c r="S2597" s="16" t="n">
        <v>34263</v>
      </c>
      <c r="T2597" s="13" t="s">
        <v>40</v>
      </c>
      <c r="U2597" s="13" t="s">
        <v>11118</v>
      </c>
      <c r="V2597" s="13" t="s">
        <v>42</v>
      </c>
      <c r="W2597" s="13" t="s">
        <v>54</v>
      </c>
      <c r="X2597" s="21" t="n">
        <v>85735149336</v>
      </c>
      <c r="Y2597" s="22" t="str">
        <f aca="false">O2597</f>
        <v>Driver</v>
      </c>
      <c r="Z2597" s="13" t="str">
        <f aca="false">IFERROR(__xludf.dummyfunction("if(BJ2597="""","""",GOOGLETRANSLATE(BJ2597,""auto"",""en""))"),"Driver")</f>
        <v>Driver</v>
      </c>
      <c r="AA2597" s="23" t="str">
        <f aca="false">IF(C2597="","", CHOOSE(MONTH(C2597),"January","February","March","April","May","June","July","August","September","October","November","December")&amp;" "&amp;DAY(C2597)&amp;MID("thstndrdth",MIN(9,2*RIGHT(DAY(C2597))*(MOD(DAY(C2597)-11,100)&gt;2)+1),2)&amp;","&amp;TEXT(C2597," yyyy"))</f>
        <v>July 23rd,2025</v>
      </c>
      <c r="AB2597" s="15" t="str">
        <f aca="true">IF(S2597="","",DATEDIF(S2597,TODAY(),"Y")&amp;" Tahun, "&amp;DATEDIF(S2597,TODAY(),"YM")&amp;" Bulan, "&amp;DATEDIF(S2597,TODAY(),"MD")&amp;" Hari")</f>
        <v>33 Tahun, 0 Bulan, 8 Hari</v>
      </c>
      <c r="AC2597" s="18" t="n">
        <v>45861</v>
      </c>
      <c r="AD2597" s="18" t="n">
        <v>46225</v>
      </c>
      <c r="AE2597" s="13" t="s">
        <v>397</v>
      </c>
    </row>
    <row r="2598" customFormat="false" ht="15" hidden="false" customHeight="true" outlineLevel="0" collapsed="false">
      <c r="A2598" s="12" t="n">
        <v>20387</v>
      </c>
      <c r="B2598" s="13" t="s">
        <v>11119</v>
      </c>
      <c r="C2598" s="16" t="n">
        <v>45881</v>
      </c>
      <c r="D2598" s="13" t="s">
        <v>8980</v>
      </c>
      <c r="E2598" s="15" t="s">
        <v>47</v>
      </c>
      <c r="F2598" s="15" t="str">
        <f aca="false">IFERROR(__xludf.dummyfunction("XLOOKUP(AJ2598,IMPORTRANGE(""1XaInW9DU9nz21V0tYIfzFQ0He9kVQ_JF2mCXgZ3hqFA"",""REKAP ALL 2026 - Andika!G:G""),IMPORTRANGE(""1XaInW9DU9nz21V0tYIfzFQ0He9kVQ_JF2mCXgZ3hqFA"",""REKAP ALL 2026 - Andika!F:F""),"""",0)"),"25115955442")</f>
        <v>25115955442</v>
      </c>
      <c r="G2598" s="13" t="s">
        <v>1127</v>
      </c>
      <c r="H2598" s="13" t="s">
        <v>35</v>
      </c>
      <c r="I2598" s="13" t="str">
        <f aca="false">IF(C2598=J2598,"NEW KONTRAK","RE-KONTRAK")</f>
        <v>NEW KONTRAK</v>
      </c>
      <c r="J2598" s="16" t="n">
        <f aca="false" t="array" ref="J2598:J2598">IFERROR(INDEX(AC2598:AE2598,IF(COUNTA(AC2598:AE2598)=0,"",MAX((AC2598:AE2598&lt;&gt;"")*(COLUMN(AC2598:AE2598)-(COLUMN(AC2598)))))-1),"")</f>
        <v>45881</v>
      </c>
      <c r="K2598" s="16" t="n">
        <f aca="false" t="array" ref="K2598:K2598">IFERROR(INDEX(AC2598:AE2598,IF(COUNTA(AC2598:AE2598)=0,"",MAX((AC2598:AE2598&lt;&gt;"")*(COLUMN(AC2598:AE2598)-(COLUMN(AC2598)-1))))-1),"")</f>
        <v>46064</v>
      </c>
      <c r="L2598" s="17" t="str">
        <f aca="false" t="array" ref="L2598:L2598">IFERROR(INDEX(AC2598:AE2598,IF(COUNTA(AC2598:AE2598)=0,"",MAX((AC2598:AE2598&lt;&gt;"")*(COLUMN(AC2598:AE2598)-(COLUMN(AC2598)-2))))-1),"")</f>
        <v>ARCHIVED</v>
      </c>
      <c r="M2598" s="13" t="n">
        <f aca="true">K2598-TODAY()</f>
        <v>-260</v>
      </c>
      <c r="N2598" s="18" t="s">
        <v>8982</v>
      </c>
      <c r="O2598" s="13" t="s">
        <v>8983</v>
      </c>
      <c r="P2598" s="19" t="n">
        <v>2250000</v>
      </c>
      <c r="Q2598" s="20" t="s">
        <v>11120</v>
      </c>
      <c r="R2598" s="13" t="s">
        <v>826</v>
      </c>
      <c r="S2598" s="16" t="n">
        <v>39054</v>
      </c>
      <c r="T2598" s="13" t="s">
        <v>40</v>
      </c>
      <c r="U2598" s="13" t="s">
        <v>11121</v>
      </c>
      <c r="V2598" s="13" t="s">
        <v>42</v>
      </c>
      <c r="W2598" s="13" t="s">
        <v>43</v>
      </c>
      <c r="X2598" s="21" t="n">
        <v>82245863451</v>
      </c>
      <c r="Y2598" s="22" t="str">
        <f aca="false">O2598</f>
        <v>Operator SPBU</v>
      </c>
      <c r="Z2598" s="13" t="str">
        <f aca="false">IFERROR(__xludf.dummyfunction("if(BJ2598="""","""",GOOGLETRANSLATE(BJ2598,""auto"",""en""))"),"Gas Station Operator")</f>
        <v>Gas Station Operator</v>
      </c>
      <c r="AA2598" s="23" t="str">
        <f aca="false">IF(C2598="","", CHOOSE(MONTH(C2598),"January","February","March","April","May","June","July","August","September","October","November","December")&amp;" "&amp;DAY(C2598)&amp;MID("thstndrdth",MIN(9,2*RIGHT(DAY(C2598))*(MOD(DAY(C2598)-11,100)&gt;2)+1),2)&amp;","&amp;TEXT(C2598," yyyy"))</f>
        <v>August 12th,2025</v>
      </c>
      <c r="AB2598" s="15" t="str">
        <f aca="true">IF(S2598="","",DATEDIF(S2598,TODAY(),"Y")&amp;" Tahun, "&amp;DATEDIF(S2598,TODAY(),"YM")&amp;" Bulan, "&amp;DATEDIF(S2598,TODAY(),"MD")&amp;" Hari")</f>
        <v>19 Tahun, 10 Bulan, 26 Hari</v>
      </c>
      <c r="AC2598" s="18" t="n">
        <v>45881</v>
      </c>
      <c r="AD2598" s="18" t="n">
        <v>46064</v>
      </c>
      <c r="AE2598" s="18" t="s">
        <v>44</v>
      </c>
    </row>
    <row r="2599" customFormat="false" ht="15" hidden="false" customHeight="true" outlineLevel="0" collapsed="false">
      <c r="A2599" s="12" t="n">
        <v>20393</v>
      </c>
      <c r="B2599" s="13" t="s">
        <v>11122</v>
      </c>
      <c r="C2599" s="16" t="n">
        <v>45881</v>
      </c>
      <c r="D2599" s="13" t="s">
        <v>5030</v>
      </c>
      <c r="E2599" s="15" t="s">
        <v>47</v>
      </c>
      <c r="F2599" s="15" t="str">
        <f aca="false">IFERROR(__xludf.dummyfunction("XLOOKUP(AJ2599,IMPORTRANGE(""1XaInW9DU9nz21V0tYIfzFQ0He9kVQ_JF2mCXgZ3hqFA"",""REKAP ALL 2026 - Andika!G:G""),IMPORTRANGE(""1XaInW9DU9nz21V0tYIfzFQ0He9kVQ_JF2mCXgZ3hqFA"",""REKAP ALL 2026 - Andika!F:F""),"""",0)"),"25115880988")</f>
        <v>25115880988</v>
      </c>
      <c r="G2599" s="13" t="s">
        <v>11123</v>
      </c>
      <c r="H2599" s="13" t="s">
        <v>35</v>
      </c>
      <c r="I2599" s="13" t="str">
        <f aca="false">IF(C2599=J2599,"NEW KONTRAK","RE-KONTRAK")</f>
        <v>NEW KONTRAK</v>
      </c>
      <c r="J2599" s="16" t="n">
        <f aca="false" t="array" ref="J2599:J2599">IFERROR(INDEX(AC2599:AE2599,IF(COUNTA(AC2599:AE2599)=0,"",MAX((AC2599:AE2599&lt;&gt;"")*(COLUMN(AC2599:AE2599)-(COLUMN(AC2599)))))-1),"")</f>
        <v>45881</v>
      </c>
      <c r="K2599" s="16" t="n">
        <f aca="false" t="array" ref="K2599:K2599">IFERROR(INDEX(AC2599:AE2599,IF(COUNTA(AC2599:AE2599)=0,"",MAX((AC2599:AE2599&lt;&gt;"")*(COLUMN(AC2599:AE2599)-(COLUMN(AC2599)-1))))-1),"")</f>
        <v>46234</v>
      </c>
      <c r="L2599" s="17" t="str">
        <f aca="false" t="array" ref="L2599:L2599">IFERROR(INDEX(AC2599:AE2599,IF(COUNTA(AC2599:AE2599)=0,"",MAX((AC2599:AE2599&lt;&gt;"")*(COLUMN(AC2599:AE2599)-(COLUMN(AC2599)-2))))-1),"")</f>
        <v>ARCHIVED</v>
      </c>
      <c r="M2599" s="13" t="n">
        <f aca="true">K2599-TODAY()</f>
        <v>-90</v>
      </c>
      <c r="N2599" s="18" t="s">
        <v>728</v>
      </c>
      <c r="O2599" s="13" t="s">
        <v>5032</v>
      </c>
      <c r="P2599" s="27" t="n">
        <v>5195401</v>
      </c>
      <c r="Q2599" s="20" t="s">
        <v>11124</v>
      </c>
      <c r="R2599" s="13" t="s">
        <v>826</v>
      </c>
      <c r="S2599" s="16" t="n">
        <v>37180</v>
      </c>
      <c r="T2599" s="13" t="s">
        <v>40</v>
      </c>
      <c r="U2599" s="13" t="s">
        <v>11125</v>
      </c>
      <c r="V2599" s="13" t="s">
        <v>42</v>
      </c>
      <c r="W2599" s="13" t="s">
        <v>43</v>
      </c>
      <c r="X2599" s="21" t="n">
        <v>81935664525</v>
      </c>
      <c r="Y2599" s="22" t="str">
        <f aca="false">O2599</f>
        <v>Operator Genset</v>
      </c>
      <c r="Z2599" s="13" t="str">
        <f aca="false">IFERROR(__xludf.dummyfunction("if(BJ2599="""","""",GOOGLETRANSLATE(BJ2599,""auto"",""en""))"),"Generator Operator")</f>
        <v>Generator Operator</v>
      </c>
      <c r="AA2599" s="23" t="str">
        <f aca="false">IF(C2599="","", CHOOSE(MONTH(C2599),"January","February","March","April","May","June","July","August","September","October","November","December")&amp;" "&amp;DAY(C2599)&amp;MID("thstndrdth",MIN(9,2*RIGHT(DAY(C2599))*(MOD(DAY(C2599)-11,100)&gt;2)+1),2)&amp;","&amp;TEXT(C2599," yyyy"))</f>
        <v>August 12th,2025</v>
      </c>
      <c r="AB2599" s="15" t="str">
        <f aca="true">IF(S2599="","",DATEDIF(S2599,TODAY(),"Y")&amp;" Tahun, "&amp;DATEDIF(S2599,TODAY(),"YM")&amp;" Bulan, "&amp;DATEDIF(S2599,TODAY(),"MD")&amp;" Hari")</f>
        <v>25 Tahun, 0 Bulan, 13 Hari</v>
      </c>
      <c r="AC2599" s="18" t="n">
        <v>45881</v>
      </c>
      <c r="AD2599" s="18" t="n">
        <v>46234</v>
      </c>
      <c r="AE2599" s="18" t="s">
        <v>44</v>
      </c>
    </row>
    <row r="2600" customFormat="false" ht="15" hidden="false" customHeight="true" outlineLevel="0" collapsed="false">
      <c r="A2600" s="12" t="n">
        <v>20388</v>
      </c>
      <c r="B2600" s="13" t="s">
        <v>11126</v>
      </c>
      <c r="C2600" s="16" t="n">
        <v>45881</v>
      </c>
      <c r="D2600" s="13" t="s">
        <v>8980</v>
      </c>
      <c r="E2600" s="15" t="s">
        <v>33</v>
      </c>
      <c r="F2600" s="24" t="s">
        <v>11127</v>
      </c>
      <c r="G2600" s="13" t="s">
        <v>1127</v>
      </c>
      <c r="H2600" s="13" t="s">
        <v>35</v>
      </c>
      <c r="I2600" s="13" t="str">
        <f aca="false">IF(C2600=J2600,"NEW KONTRAK","RE-KONTRAK")</f>
        <v>NEW KONTRAK</v>
      </c>
      <c r="J2600" s="16" t="n">
        <f aca="false" t="array" ref="J2600:J2600">IFERROR(INDEX(AC2600:AE2600,IF(COUNTA(AC2600:AE2600)=0,"",MAX((AC2600:AE2600&lt;&gt;"")*(COLUMN(AC2600:AE2600)-(COLUMN(AC2600)))))-1),"")</f>
        <v>45881</v>
      </c>
      <c r="K2600" s="16" t="n">
        <f aca="false" t="array" ref="K2600:K2600">IFERROR(INDEX(AC2600:AE2600,IF(COUNTA(AC2600:AE2600)=0,"",MAX((AC2600:AE2600&lt;&gt;"")*(COLUMN(AC2600:AE2600)-(COLUMN(AC2600)-1))))-1),"")</f>
        <v>46064</v>
      </c>
      <c r="L2600" s="17" t="str">
        <f aca="false" t="array" ref="L2600:L2600">IFERROR(INDEX(AC2600:AE2600,IF(COUNTA(AC2600:AE2600)=0,"",MAX((AC2600:AE2600&lt;&gt;"")*(COLUMN(AC2600:AE2600)-(COLUMN(AC2600)-2))))-1),"")</f>
        <v>ARCHIVED</v>
      </c>
      <c r="M2600" s="13" t="n">
        <f aca="true">K2600-TODAY()</f>
        <v>-260</v>
      </c>
      <c r="N2600" s="18" t="s">
        <v>8982</v>
      </c>
      <c r="O2600" s="13" t="s">
        <v>764</v>
      </c>
      <c r="P2600" s="19" t="n">
        <v>2000000</v>
      </c>
      <c r="Q2600" s="20" t="s">
        <v>11128</v>
      </c>
      <c r="R2600" s="13" t="s">
        <v>826</v>
      </c>
      <c r="S2600" s="16" t="n">
        <v>36559</v>
      </c>
      <c r="T2600" s="13" t="s">
        <v>40</v>
      </c>
      <c r="U2600" s="13" t="s">
        <v>11129</v>
      </c>
      <c r="V2600" s="13" t="s">
        <v>42</v>
      </c>
      <c r="W2600" s="13" t="s">
        <v>43</v>
      </c>
      <c r="X2600" s="21" t="n">
        <v>81772857018</v>
      </c>
      <c r="Y2600" s="22" t="str">
        <f aca="false">O2600</f>
        <v>Operator</v>
      </c>
      <c r="Z2600" s="13" t="str">
        <f aca="false">IFERROR(__xludf.dummyfunction("if(BJ2600="""","""",GOOGLETRANSLATE(BJ2600,""auto"",""en""))"),"Operator")</f>
        <v>Operator</v>
      </c>
      <c r="AA2600" s="23" t="str">
        <f aca="false">IF(C2600="","", CHOOSE(MONTH(C2600),"January","February","March","April","May","June","July","August","September","October","November","December")&amp;" "&amp;DAY(C2600)&amp;MID("thstndrdth",MIN(9,2*RIGHT(DAY(C2600))*(MOD(DAY(C2600)-11,100)&gt;2)+1),2)&amp;","&amp;TEXT(C2600," yyyy"))</f>
        <v>August 12th,2025</v>
      </c>
      <c r="AB2600" s="15" t="str">
        <f aca="true">IF(S2600="","",DATEDIF(S2600,TODAY(),"Y")&amp;" Tahun, "&amp;DATEDIF(S2600,TODAY(),"YM")&amp;" Bulan, "&amp;DATEDIF(S2600,TODAY(),"MD")&amp;" Hari")</f>
        <v>26 Tahun, 8 Bulan, 26 Hari</v>
      </c>
      <c r="AC2600" s="18" t="n">
        <v>45881</v>
      </c>
      <c r="AD2600" s="18" t="n">
        <v>46064</v>
      </c>
      <c r="AE2600" s="18" t="s">
        <v>44</v>
      </c>
    </row>
    <row r="2601" customFormat="false" ht="15" hidden="false" customHeight="true" outlineLevel="0" collapsed="false">
      <c r="A2601" s="12" t="n">
        <v>20389</v>
      </c>
      <c r="B2601" s="13" t="s">
        <v>11130</v>
      </c>
      <c r="C2601" s="16" t="n">
        <v>45881</v>
      </c>
      <c r="D2601" s="13" t="s">
        <v>2046</v>
      </c>
      <c r="E2601" s="15" t="s">
        <v>789</v>
      </c>
      <c r="F2601" s="24" t="s">
        <v>11131</v>
      </c>
      <c r="G2601" s="13" t="s">
        <v>11132</v>
      </c>
      <c r="H2601" s="13" t="s">
        <v>35</v>
      </c>
      <c r="I2601" s="13" t="str">
        <f aca="false">IF(C2601=J2601,"NEW KONTRAK","RE-KONTRAK")</f>
        <v>NEW KONTRAK</v>
      </c>
      <c r="J2601" s="16" t="n">
        <f aca="false" t="array" ref="J2601:J2601">IFERROR(INDEX(AC2601:AE2601,IF(COUNTA(AC2601:AE2601)=0,"",MAX((AC2601:AE2601&lt;&gt;"")*(COLUMN(AC2601:AE2601)-(COLUMN(AC2601)))))-1),"")</f>
        <v>45881</v>
      </c>
      <c r="K2601" s="16" t="n">
        <f aca="false" t="array" ref="K2601:K2601">IFERROR(INDEX(AC2601:AE2601,IF(COUNTA(AC2601:AE2601)=0,"",MAX((AC2601:AE2601&lt;&gt;"")*(COLUMN(AC2601:AE2601)-(COLUMN(AC2601)-1))))-1),"")</f>
        <v>45961</v>
      </c>
      <c r="L2601" s="17" t="str">
        <f aca="false" t="array" ref="L2601:L2601">IFERROR(INDEX(AC2601:AE2601,IF(COUNTA(AC2601:AE2601)=0,"",MAX((AC2601:AE2601&lt;&gt;"")*(COLUMN(AC2601:AE2601)-(COLUMN(AC2601)-2))))-1),"")</f>
        <v>ARCHIVED</v>
      </c>
      <c r="M2601" s="13" t="n">
        <f aca="true">K2601-TODAY()</f>
        <v>-363</v>
      </c>
      <c r="N2601" s="18" t="s">
        <v>36</v>
      </c>
      <c r="O2601" s="13" t="s">
        <v>58</v>
      </c>
      <c r="P2601" s="19" t="s">
        <v>2050</v>
      </c>
      <c r="Q2601" s="20" t="s">
        <v>11133</v>
      </c>
      <c r="R2601" s="13" t="s">
        <v>39</v>
      </c>
      <c r="S2601" s="16" t="n">
        <v>35034</v>
      </c>
      <c r="T2601" s="13" t="s">
        <v>40</v>
      </c>
      <c r="U2601" s="13" t="s">
        <v>5459</v>
      </c>
      <c r="V2601" s="13" t="s">
        <v>42</v>
      </c>
      <c r="W2601" s="13" t="s">
        <v>54</v>
      </c>
      <c r="X2601" s="21" t="n">
        <v>81999805107</v>
      </c>
      <c r="Y2601" s="22" t="str">
        <f aca="false">O2601</f>
        <v>Produksi</v>
      </c>
      <c r="Z2601" s="13" t="str">
        <f aca="false">IFERROR(__xludf.dummyfunction("if(BJ2601="""","""",GOOGLETRANSLATE(BJ2601,""auto"",""en""))"),"Production")</f>
        <v>Production</v>
      </c>
      <c r="AA2601" s="23" t="str">
        <f aca="false">IF(C2601="","", CHOOSE(MONTH(C2601),"January","February","March","April","May","June","July","August","September","October","November","December")&amp;" "&amp;DAY(C2601)&amp;MID("thstndrdth",MIN(9,2*RIGHT(DAY(C2601))*(MOD(DAY(C2601)-11,100)&gt;2)+1),2)&amp;","&amp;TEXT(C2601," yyyy"))</f>
        <v>August 12th,2025</v>
      </c>
      <c r="AB2601" s="15" t="str">
        <f aca="true">IF(S2601="","",DATEDIF(S2601,TODAY(),"Y")&amp;" Tahun, "&amp;DATEDIF(S2601,TODAY(),"YM")&amp;" Bulan, "&amp;DATEDIF(S2601,TODAY(),"MD")&amp;" Hari")</f>
        <v>30 Tahun, 10 Bulan, 28 Hari</v>
      </c>
      <c r="AC2601" s="18" t="n">
        <v>45881</v>
      </c>
      <c r="AD2601" s="18" t="n">
        <v>45961</v>
      </c>
      <c r="AE2601" s="18" t="s">
        <v>44</v>
      </c>
    </row>
    <row r="2602" customFormat="false" ht="15" hidden="false" customHeight="true" outlineLevel="0" collapsed="false">
      <c r="A2602" s="12" t="n">
        <v>20391</v>
      </c>
      <c r="B2602" s="13" t="s">
        <v>11134</v>
      </c>
      <c r="C2602" s="16" t="n">
        <v>45881</v>
      </c>
      <c r="D2602" s="13" t="s">
        <v>2046</v>
      </c>
      <c r="E2602" s="15" t="s">
        <v>102</v>
      </c>
      <c r="F2602" s="15" t="str">
        <f aca="false">IFERROR(__xludf.dummyfunction("XLOOKUP(AJ2602,IMPORTRANGE(""1XaInW9DU9nz21V0tYIfzFQ0He9kVQ_JF2mCXgZ3hqFA"",""REKAP ALL 2026 - Andika!G:G""),IMPORTRANGE(""1XaInW9DU9nz21V0tYIfzFQ0He9kVQ_JF2mCXgZ3hqFA"",""REKAP ALL 2026 - Andika!F:F""),"""",0)"),"25115960962")</f>
        <v>25115960962</v>
      </c>
      <c r="G2602" s="13" t="s">
        <v>11135</v>
      </c>
      <c r="H2602" s="13" t="s">
        <v>35</v>
      </c>
      <c r="I2602" s="13" t="str">
        <f aca="false">IF(C2602=J2602,"NEW KONTRAK","RE-KONTRAK")</f>
        <v>NEW KONTRAK</v>
      </c>
      <c r="J2602" s="16" t="n">
        <f aca="false" t="array" ref="J2602:J2602">IFERROR(INDEX(AC2602:AE2602,IF(COUNTA(AC2602:AE2602)=0,"",MAX((AC2602:AE2602&lt;&gt;"")*(COLUMN(AC2602:AE2602)-(COLUMN(AC2602)))))-1),"")</f>
        <v>45881</v>
      </c>
      <c r="K2602" s="16" t="n">
        <f aca="false" t="array" ref="K2602:K2602">IFERROR(INDEX(AC2602:AE2602,IF(COUNTA(AC2602:AE2602)=0,"",MAX((AC2602:AE2602&lt;&gt;"")*(COLUMN(AC2602:AE2602)-(COLUMN(AC2602)-1))))-1),"")</f>
        <v>45961</v>
      </c>
      <c r="L2602" s="17" t="str">
        <f aca="false" t="array" ref="L2602:L2602">IFERROR(INDEX(AC2602:AE2602,IF(COUNTA(AC2602:AE2602)=0,"",MAX((AC2602:AE2602&lt;&gt;"")*(COLUMN(AC2602:AE2602)-(COLUMN(AC2602)-2))))-1),"")</f>
        <v>ARCHIVED</v>
      </c>
      <c r="M2602" s="13" t="n">
        <f aca="true">K2602-TODAY()</f>
        <v>-363</v>
      </c>
      <c r="N2602" s="18" t="s">
        <v>36</v>
      </c>
      <c r="O2602" s="13" t="s">
        <v>58</v>
      </c>
      <c r="P2602" s="19" t="s">
        <v>2050</v>
      </c>
      <c r="Q2602" s="20" t="s">
        <v>11136</v>
      </c>
      <c r="R2602" s="13" t="s">
        <v>39</v>
      </c>
      <c r="S2602" s="16" t="n">
        <v>35327</v>
      </c>
      <c r="T2602" s="13" t="s">
        <v>40</v>
      </c>
      <c r="U2602" s="13" t="s">
        <v>11137</v>
      </c>
      <c r="V2602" s="13" t="s">
        <v>42</v>
      </c>
      <c r="W2602" s="13" t="s">
        <v>43</v>
      </c>
      <c r="X2602" s="21" t="n">
        <v>87785178755</v>
      </c>
      <c r="Y2602" s="22" t="str">
        <f aca="false">O2602</f>
        <v>Produksi</v>
      </c>
      <c r="Z2602" s="13" t="str">
        <f aca="false">IFERROR(__xludf.dummyfunction("if(BJ2602="""","""",GOOGLETRANSLATE(BJ2602,""auto"",""en""))"),"Production")</f>
        <v>Production</v>
      </c>
      <c r="AA2602" s="23" t="str">
        <f aca="false">IF(C2602="","", CHOOSE(MONTH(C2602),"January","February","March","April","May","June","July","August","September","October","November","December")&amp;" "&amp;DAY(C2602)&amp;MID("thstndrdth",MIN(9,2*RIGHT(DAY(C2602))*(MOD(DAY(C2602)-11,100)&gt;2)+1),2)&amp;","&amp;TEXT(C2602," yyyy"))</f>
        <v>August 12th,2025</v>
      </c>
      <c r="AB2602" s="15" t="str">
        <f aca="true">IF(S2602="","",DATEDIF(S2602,TODAY(),"Y")&amp;" Tahun, "&amp;DATEDIF(S2602,TODAY(),"YM")&amp;" Bulan, "&amp;DATEDIF(S2602,TODAY(),"MD")&amp;" Hari")</f>
        <v>30 Tahun, 1 Bulan, 10 Hari</v>
      </c>
      <c r="AC2602" s="18" t="n">
        <v>45881</v>
      </c>
      <c r="AD2602" s="18" t="n">
        <v>45961</v>
      </c>
      <c r="AE2602" s="18" t="s">
        <v>44</v>
      </c>
    </row>
    <row r="2603" customFormat="false" ht="15" hidden="false" customHeight="true" outlineLevel="0" collapsed="false">
      <c r="A2603" s="12" t="n">
        <v>20392</v>
      </c>
      <c r="B2603" s="13" t="s">
        <v>11138</v>
      </c>
      <c r="C2603" s="16" t="n">
        <v>45881</v>
      </c>
      <c r="D2603" s="13" t="s">
        <v>2046</v>
      </c>
      <c r="E2603" s="15" t="s">
        <v>789</v>
      </c>
      <c r="F2603" s="24" t="s">
        <v>11139</v>
      </c>
      <c r="G2603" s="13" t="s">
        <v>11140</v>
      </c>
      <c r="H2603" s="13" t="s">
        <v>35</v>
      </c>
      <c r="I2603" s="13" t="str">
        <f aca="false">IF(C2603=J2603,"NEW KONTRAK","RE-KONTRAK")</f>
        <v>NEW KONTRAK</v>
      </c>
      <c r="J2603" s="16" t="n">
        <f aca="false" t="array" ref="J2603:J2603">IFERROR(INDEX(AC2603:AE2603,IF(COUNTA(AC2603:AE2603)=0,"",MAX((AC2603:AE2603&lt;&gt;"")*(COLUMN(AC2603:AE2603)-(COLUMN(AC2603)))))-1),"")</f>
        <v>45881</v>
      </c>
      <c r="K2603" s="16" t="n">
        <f aca="false" t="array" ref="K2603:K2603">IFERROR(INDEX(AC2603:AE2603,IF(COUNTA(AC2603:AE2603)=0,"",MAX((AC2603:AE2603&lt;&gt;"")*(COLUMN(AC2603:AE2603)-(COLUMN(AC2603)-1))))-1),"")</f>
        <v>45961</v>
      </c>
      <c r="L2603" s="17" t="str">
        <f aca="false" t="array" ref="L2603:L2603">IFERROR(INDEX(AC2603:AE2603,IF(COUNTA(AC2603:AE2603)=0,"",MAX((AC2603:AE2603&lt;&gt;"")*(COLUMN(AC2603:AE2603)-(COLUMN(AC2603)-2))))-1),"")</f>
        <v>ARCHIVED</v>
      </c>
      <c r="M2603" s="13" t="n">
        <f aca="true">K2603-TODAY()</f>
        <v>-363</v>
      </c>
      <c r="N2603" s="18" t="s">
        <v>36</v>
      </c>
      <c r="O2603" s="13" t="s">
        <v>58</v>
      </c>
      <c r="P2603" s="19" t="s">
        <v>2050</v>
      </c>
      <c r="Q2603" s="20" t="s">
        <v>11141</v>
      </c>
      <c r="R2603" s="13" t="s">
        <v>65</v>
      </c>
      <c r="S2603" s="16" t="n">
        <v>37059</v>
      </c>
      <c r="T2603" s="13" t="s">
        <v>40</v>
      </c>
      <c r="U2603" s="13" t="s">
        <v>11142</v>
      </c>
      <c r="V2603" s="13" t="s">
        <v>42</v>
      </c>
      <c r="W2603" s="13" t="s">
        <v>43</v>
      </c>
      <c r="X2603" s="21" t="n">
        <v>82175879728</v>
      </c>
      <c r="Y2603" s="22" t="str">
        <f aca="false">O2603</f>
        <v>Produksi</v>
      </c>
      <c r="Z2603" s="13" t="str">
        <f aca="false">IFERROR(__xludf.dummyfunction("if(BJ2603="""","""",GOOGLETRANSLATE(BJ2603,""auto"",""en""))"),"Production")</f>
        <v>Production</v>
      </c>
      <c r="AA2603" s="23" t="str">
        <f aca="false">IF(C2603="","", CHOOSE(MONTH(C2603),"January","February","March","April","May","June","July","August","September","October","November","December")&amp;" "&amp;DAY(C2603)&amp;MID("thstndrdth",MIN(9,2*RIGHT(DAY(C2603))*(MOD(DAY(C2603)-11,100)&gt;2)+1),2)&amp;","&amp;TEXT(C2603," yyyy"))</f>
        <v>August 12th,2025</v>
      </c>
      <c r="AB2603" s="15" t="str">
        <f aca="true">IF(S2603="","",DATEDIF(S2603,TODAY(),"Y")&amp;" Tahun, "&amp;DATEDIF(S2603,TODAY(),"YM")&amp;" Bulan, "&amp;DATEDIF(S2603,TODAY(),"MD")&amp;" Hari")</f>
        <v>25 Tahun, 4 Bulan, 12 Hari</v>
      </c>
      <c r="AC2603" s="18" t="n">
        <v>45881</v>
      </c>
      <c r="AD2603" s="18" t="n">
        <v>45961</v>
      </c>
      <c r="AE2603" s="18" t="s">
        <v>44</v>
      </c>
    </row>
    <row r="2604" customFormat="false" ht="15" hidden="false" customHeight="true" outlineLevel="0" collapsed="false">
      <c r="A2604" s="12" t="n">
        <v>20394</v>
      </c>
      <c r="B2604" s="13" t="s">
        <v>11143</v>
      </c>
      <c r="C2604" s="16" t="n">
        <v>45881</v>
      </c>
      <c r="D2604" s="13" t="s">
        <v>5030</v>
      </c>
      <c r="E2604" s="15" t="s">
        <v>47</v>
      </c>
      <c r="F2604" s="15" t="str">
        <f aca="false">IFERROR(__xludf.dummyfunction("XLOOKUP(AJ2604,IMPORTRANGE(""1XaInW9DU9nz21V0tYIfzFQ0He9kVQ_JF2mCXgZ3hqFA"",""REKAP ALL 2026 - Andika!G:G""),IMPORTRANGE(""1XaInW9DU9nz21V0tYIfzFQ0He9kVQ_JF2mCXgZ3hqFA"",""REKAP ALL 2026 - Andika!F:F""),"""",0)"),"25115881465")</f>
        <v>25115881465</v>
      </c>
      <c r="G2604" s="13" t="s">
        <v>11144</v>
      </c>
      <c r="H2604" s="13" t="s">
        <v>35</v>
      </c>
      <c r="I2604" s="13" t="str">
        <f aca="false">IF(C2604=J2604,"NEW KONTRAK","RE-KONTRAK")</f>
        <v>NEW KONTRAK</v>
      </c>
      <c r="J2604" s="16" t="n">
        <f aca="false" t="array" ref="J2604:J2604">IFERROR(INDEX(AC2604:AE2604,IF(COUNTA(AC2604:AE2604)=0,"",MAX((AC2604:AE2604&lt;&gt;"")*(COLUMN(AC2604:AE2604)-(COLUMN(AC2604)))))-1),"")</f>
        <v>45881</v>
      </c>
      <c r="K2604" s="16" t="n">
        <f aca="false" t="array" ref="K2604:K2604">IFERROR(INDEX(AC2604:AE2604,IF(COUNTA(AC2604:AE2604)=0,"",MAX((AC2604:AE2604&lt;&gt;"")*(COLUMN(AC2604:AE2604)-(COLUMN(AC2604)-1))))-1),"")</f>
        <v>46234</v>
      </c>
      <c r="L2604" s="17" t="str">
        <f aca="false" t="array" ref="L2604:L2604">IFERROR(INDEX(AC2604:AE2604,IF(COUNTA(AC2604:AE2604)=0,"",MAX((AC2604:AE2604&lt;&gt;"")*(COLUMN(AC2604:AE2604)-(COLUMN(AC2604)-2))))-1),"")</f>
        <v>ARCHIVED</v>
      </c>
      <c r="M2604" s="13" t="n">
        <f aca="true">K2604-TODAY()</f>
        <v>-90</v>
      </c>
      <c r="N2604" s="18" t="s">
        <v>728</v>
      </c>
      <c r="O2604" s="13" t="s">
        <v>5032</v>
      </c>
      <c r="P2604" s="27" t="n">
        <v>5195401</v>
      </c>
      <c r="Q2604" s="20" t="s">
        <v>11145</v>
      </c>
      <c r="R2604" s="13" t="s">
        <v>39</v>
      </c>
      <c r="S2604" s="16" t="n">
        <v>37717</v>
      </c>
      <c r="T2604" s="13" t="s">
        <v>40</v>
      </c>
      <c r="U2604" s="13" t="s">
        <v>11146</v>
      </c>
      <c r="V2604" s="13" t="s">
        <v>42</v>
      </c>
      <c r="W2604" s="13" t="s">
        <v>43</v>
      </c>
      <c r="X2604" s="21" t="n">
        <v>85762526434</v>
      </c>
      <c r="Y2604" s="22" t="str">
        <f aca="false">O2604</f>
        <v>Operator Genset</v>
      </c>
      <c r="Z2604" s="13" t="str">
        <f aca="false">IFERROR(__xludf.dummyfunction("if(BJ2604="""","""",GOOGLETRANSLATE(BJ2604,""auto"",""en""))"),"Generator Operator")</f>
        <v>Generator Operator</v>
      </c>
      <c r="AA2604" s="23" t="str">
        <f aca="false">IF(C2604="","", CHOOSE(MONTH(C2604),"January","February","March","April","May","June","July","August","September","October","November","December")&amp;" "&amp;DAY(C2604)&amp;MID("thstndrdth",MIN(9,2*RIGHT(DAY(C2604))*(MOD(DAY(C2604)-11,100)&gt;2)+1),2)&amp;","&amp;TEXT(C2604," yyyy"))</f>
        <v>August 12th,2025</v>
      </c>
      <c r="AB2604" s="15" t="str">
        <f aca="true">IF(S2604="","",DATEDIF(S2604,TODAY(),"Y")&amp;" Tahun, "&amp;DATEDIF(S2604,TODAY(),"YM")&amp;" Bulan, "&amp;DATEDIF(S2604,TODAY(),"MD")&amp;" Hari")</f>
        <v>23 Tahun, 6 Bulan, 23 Hari</v>
      </c>
      <c r="AC2604" s="18" t="n">
        <v>45881</v>
      </c>
      <c r="AD2604" s="18" t="n">
        <v>46234</v>
      </c>
      <c r="AE2604" s="18" t="s">
        <v>44</v>
      </c>
    </row>
    <row r="2605" customFormat="false" ht="15" hidden="false" customHeight="true" outlineLevel="0" collapsed="false">
      <c r="A2605" s="12" t="n">
        <v>20396</v>
      </c>
      <c r="B2605" s="13" t="s">
        <v>11147</v>
      </c>
      <c r="C2605" s="16" t="n">
        <v>45881</v>
      </c>
      <c r="D2605" s="13" t="s">
        <v>5030</v>
      </c>
      <c r="E2605" s="15" t="s">
        <v>47</v>
      </c>
      <c r="F2605" s="15" t="str">
        <f aca="false">IFERROR(__xludf.dummyfunction("XLOOKUP(AJ2605,IMPORTRANGE(""1XaInW9DU9nz21V0tYIfzFQ0He9kVQ_JF2mCXgZ3hqFA"",""REKAP ALL 2026 - Andika!G:G""),IMPORTRANGE(""1XaInW9DU9nz21V0tYIfzFQ0He9kVQ_JF2mCXgZ3hqFA"",""REKAP ALL 2026 - Andika!F:F""),"""",0)"),"25115881952")</f>
        <v>25115881952</v>
      </c>
      <c r="G2605" s="13" t="s">
        <v>11148</v>
      </c>
      <c r="H2605" s="13" t="s">
        <v>35</v>
      </c>
      <c r="I2605" s="13" t="str">
        <f aca="false">IF(C2605=J2605,"NEW KONTRAK","RE-KONTRAK")</f>
        <v>NEW KONTRAK</v>
      </c>
      <c r="J2605" s="16" t="n">
        <f aca="false" t="array" ref="J2605:J2605">IFERROR(INDEX(AC2605:AE2605,IF(COUNTA(AC2605:AE2605)=0,"",MAX((AC2605:AE2605&lt;&gt;"")*(COLUMN(AC2605:AE2605)-(COLUMN(AC2605)))))-1),"")</f>
        <v>45881</v>
      </c>
      <c r="K2605" s="16" t="n">
        <f aca="false" t="array" ref="K2605:K2605">IFERROR(INDEX(AC2605:AE2605,IF(COUNTA(AC2605:AE2605)=0,"",MAX((AC2605:AE2605&lt;&gt;"")*(COLUMN(AC2605:AE2605)-(COLUMN(AC2605)-1))))-1),"")</f>
        <v>46234</v>
      </c>
      <c r="L2605" s="17" t="str">
        <f aca="false" t="array" ref="L2605:L2605">IFERROR(INDEX(AC2605:AE2605,IF(COUNTA(AC2605:AE2605)=0,"",MAX((AC2605:AE2605&lt;&gt;"")*(COLUMN(AC2605:AE2605)-(COLUMN(AC2605)-2))))-1),"")</f>
        <v>KEMBALI</v>
      </c>
      <c r="M2605" s="13" t="n">
        <f aca="true">K2605-TODAY()</f>
        <v>-90</v>
      </c>
      <c r="N2605" s="18" t="s">
        <v>728</v>
      </c>
      <c r="O2605" s="13" t="s">
        <v>5032</v>
      </c>
      <c r="P2605" s="27" t="n">
        <v>5195401</v>
      </c>
      <c r="Q2605" s="20" t="s">
        <v>11149</v>
      </c>
      <c r="R2605" s="13" t="s">
        <v>52</v>
      </c>
      <c r="S2605" s="16" t="n">
        <v>34202</v>
      </c>
      <c r="T2605" s="13" t="s">
        <v>40</v>
      </c>
      <c r="U2605" s="13" t="s">
        <v>11150</v>
      </c>
      <c r="V2605" s="13" t="s">
        <v>42</v>
      </c>
      <c r="W2605" s="13" t="s">
        <v>43</v>
      </c>
      <c r="X2605" s="21" t="n">
        <v>85850014638</v>
      </c>
      <c r="Y2605" s="22" t="str">
        <f aca="false">O2605</f>
        <v>Operator Genset</v>
      </c>
      <c r="Z2605" s="13" t="str">
        <f aca="false">IFERROR(__xludf.dummyfunction("if(BJ2605="""","""",GOOGLETRANSLATE(BJ2605,""auto"",""en""))"),"Generator Operator")</f>
        <v>Generator Operator</v>
      </c>
      <c r="AA2605" s="23" t="str">
        <f aca="false">IF(C2605="","", CHOOSE(MONTH(C2605),"January","February","March","April","May","June","July","August","September","October","November","December")&amp;" "&amp;DAY(C2605)&amp;MID("thstndrdth",MIN(9,2*RIGHT(DAY(C2605))*(MOD(DAY(C2605)-11,100)&gt;2)+1),2)&amp;","&amp;TEXT(C2605," yyyy"))</f>
        <v>August 12th,2025</v>
      </c>
      <c r="AB2605" s="15" t="str">
        <f aca="true">IF(S2605="","",DATEDIF(S2605,TODAY(),"Y")&amp;" Tahun, "&amp;DATEDIF(S2605,TODAY(),"YM")&amp;" Bulan, "&amp;DATEDIF(S2605,TODAY(),"MD")&amp;" Hari")</f>
        <v>33 Tahun, 2 Bulan, 8 Hari</v>
      </c>
      <c r="AC2605" s="18" t="n">
        <v>45881</v>
      </c>
      <c r="AD2605" s="18" t="n">
        <v>46234</v>
      </c>
      <c r="AE2605" s="13" t="s">
        <v>397</v>
      </c>
    </row>
    <row r="2606" customFormat="false" ht="15" hidden="false" customHeight="true" outlineLevel="0" collapsed="false">
      <c r="A2606" s="12" t="n">
        <v>20397</v>
      </c>
      <c r="B2606" s="13" t="s">
        <v>11151</v>
      </c>
      <c r="C2606" s="16" t="n">
        <v>45881</v>
      </c>
      <c r="D2606" s="13" t="s">
        <v>5030</v>
      </c>
      <c r="E2606" s="15" t="s">
        <v>47</v>
      </c>
      <c r="F2606" s="15" t="str">
        <f aca="false">IFERROR(__xludf.dummyfunction("XLOOKUP(AJ2606,IMPORTRANGE(""1XaInW9DU9nz21V0tYIfzFQ0He9kVQ_JF2mCXgZ3hqFA"",""REKAP ALL 2026 - Andika!G:G""),IMPORTRANGE(""1XaInW9DU9nz21V0tYIfzFQ0He9kVQ_JF2mCXgZ3hqFA"",""REKAP ALL 2026 - Andika!F:F""),"""",0)"),"25115882018")</f>
        <v>25115882018</v>
      </c>
      <c r="G2606" s="13" t="s">
        <v>11152</v>
      </c>
      <c r="H2606" s="13" t="s">
        <v>35</v>
      </c>
      <c r="I2606" s="13" t="str">
        <f aca="false">IF(C2606=J2606,"NEW KONTRAK","RE-KONTRAK")</f>
        <v>NEW KONTRAK</v>
      </c>
      <c r="J2606" s="16" t="n">
        <f aca="false" t="array" ref="J2606:J2606">IFERROR(INDEX(AC2606:AE2606,IF(COUNTA(AC2606:AE2606)=0,"",MAX((AC2606:AE2606&lt;&gt;"")*(COLUMN(AC2606:AE2606)-(COLUMN(AC2606)))))-1),"")</f>
        <v>45881</v>
      </c>
      <c r="K2606" s="16" t="n">
        <f aca="false" t="array" ref="K2606:K2606">IFERROR(INDEX(AC2606:AE2606,IF(COUNTA(AC2606:AE2606)=0,"",MAX((AC2606:AE2606&lt;&gt;"")*(COLUMN(AC2606:AE2606)-(COLUMN(AC2606)-1))))-1),"")</f>
        <v>46234</v>
      </c>
      <c r="L2606" s="17" t="str">
        <f aca="false" t="array" ref="L2606:L2606">IFERROR(INDEX(AC2606:AE2606,IF(COUNTA(AC2606:AE2606)=0,"",MAX((AC2606:AE2606&lt;&gt;"")*(COLUMN(AC2606:AE2606)-(COLUMN(AC2606)-2))))-1),"")</f>
        <v>ARCHIVED</v>
      </c>
      <c r="M2606" s="13" t="n">
        <f aca="true">K2606-TODAY()</f>
        <v>-90</v>
      </c>
      <c r="N2606" s="18" t="s">
        <v>728</v>
      </c>
      <c r="O2606" s="13" t="s">
        <v>5032</v>
      </c>
      <c r="P2606" s="27" t="n">
        <v>5195401</v>
      </c>
      <c r="Q2606" s="20" t="s">
        <v>11153</v>
      </c>
      <c r="R2606" s="13" t="s">
        <v>148</v>
      </c>
      <c r="S2606" s="16" t="n">
        <v>36905</v>
      </c>
      <c r="T2606" s="13" t="s">
        <v>40</v>
      </c>
      <c r="U2606" s="13" t="s">
        <v>11154</v>
      </c>
      <c r="V2606" s="13" t="s">
        <v>42</v>
      </c>
      <c r="W2606" s="13" t="s">
        <v>43</v>
      </c>
      <c r="X2606" s="21" t="n">
        <v>81255276136</v>
      </c>
      <c r="Y2606" s="22" t="str">
        <f aca="false">O2606</f>
        <v>Operator Genset</v>
      </c>
      <c r="Z2606" s="13" t="str">
        <f aca="false">IFERROR(__xludf.dummyfunction("if(BJ2606="""","""",GOOGLETRANSLATE(BJ2606,""auto"",""en""))"),"Generator Operator")</f>
        <v>Generator Operator</v>
      </c>
      <c r="AA2606" s="23" t="str">
        <f aca="false">IF(C2606="","", CHOOSE(MONTH(C2606),"January","February","March","April","May","June","July","August","September","October","November","December")&amp;" "&amp;DAY(C2606)&amp;MID("thstndrdth",MIN(9,2*RIGHT(DAY(C2606))*(MOD(DAY(C2606)-11,100)&gt;2)+1),2)&amp;","&amp;TEXT(C2606," yyyy"))</f>
        <v>August 12th,2025</v>
      </c>
      <c r="AB2606" s="15" t="str">
        <f aca="true">IF(S2606="","",DATEDIF(S2606,TODAY(),"Y")&amp;" Tahun, "&amp;DATEDIF(S2606,TODAY(),"YM")&amp;" Bulan, "&amp;DATEDIF(S2606,TODAY(),"MD")&amp;" Hari")</f>
        <v>25 Tahun, 9 Bulan, 15 Hari</v>
      </c>
      <c r="AC2606" s="18" t="n">
        <v>45881</v>
      </c>
      <c r="AD2606" s="18" t="n">
        <v>46234</v>
      </c>
      <c r="AE2606" s="18" t="s">
        <v>44</v>
      </c>
    </row>
    <row r="2607" customFormat="false" ht="15" hidden="false" customHeight="true" outlineLevel="0" collapsed="false">
      <c r="A2607" s="12" t="n">
        <v>20398</v>
      </c>
      <c r="B2607" s="13" t="s">
        <v>11155</v>
      </c>
      <c r="C2607" s="16" t="n">
        <v>45881</v>
      </c>
      <c r="D2607" s="13" t="s">
        <v>5030</v>
      </c>
      <c r="E2607" s="15" t="s">
        <v>47</v>
      </c>
      <c r="F2607" s="15" t="str">
        <f aca="false">IFERROR(__xludf.dummyfunction("XLOOKUP(AJ2607,IMPORTRANGE(""1XaInW9DU9nz21V0tYIfzFQ0He9kVQ_JF2mCXgZ3hqFA"",""REKAP ALL 2026 - Andika!G:G""),IMPORTRANGE(""1XaInW9DU9nz21V0tYIfzFQ0He9kVQ_JF2mCXgZ3hqFA"",""REKAP ALL 2026 - Andika!F:F""),"""",0)"),"25115882323")</f>
        <v>25115882323</v>
      </c>
      <c r="G2607" s="13" t="s">
        <v>11156</v>
      </c>
      <c r="H2607" s="13" t="s">
        <v>35</v>
      </c>
      <c r="I2607" s="13" t="str">
        <f aca="false">IF(C2607=J2607,"NEW KONTRAK","RE-KONTRAK")</f>
        <v>NEW KONTRAK</v>
      </c>
      <c r="J2607" s="16" t="n">
        <f aca="false" t="array" ref="J2607:J2607">IFERROR(INDEX(AC2607:AE2607,IF(COUNTA(AC2607:AE2607)=0,"",MAX((AC2607:AE2607&lt;&gt;"")*(COLUMN(AC2607:AE2607)-(COLUMN(AC2607)))))-1),"")</f>
        <v>45881</v>
      </c>
      <c r="K2607" s="16" t="n">
        <f aca="false" t="array" ref="K2607:K2607">IFERROR(INDEX(AC2607:AE2607,IF(COUNTA(AC2607:AE2607)=0,"",MAX((AC2607:AE2607&lt;&gt;"")*(COLUMN(AC2607:AE2607)-(COLUMN(AC2607)-1))))-1),"")</f>
        <v>46234</v>
      </c>
      <c r="L2607" s="17" t="str">
        <f aca="false" t="array" ref="L2607:L2607">IFERROR(INDEX(AC2607:AE2607,IF(COUNTA(AC2607:AE2607)=0,"",MAX((AC2607:AE2607&lt;&gt;"")*(COLUMN(AC2607:AE2607)-(COLUMN(AC2607)-2))))-1),"")</f>
        <v>ARCHIVED</v>
      </c>
      <c r="M2607" s="13" t="n">
        <f aca="true">K2607-TODAY()</f>
        <v>-90</v>
      </c>
      <c r="N2607" s="18" t="s">
        <v>728</v>
      </c>
      <c r="O2607" s="13" t="s">
        <v>5032</v>
      </c>
      <c r="P2607" s="27" t="n">
        <v>5195401</v>
      </c>
      <c r="Q2607" s="20" t="s">
        <v>11157</v>
      </c>
      <c r="R2607" s="13" t="s">
        <v>52</v>
      </c>
      <c r="S2607" s="16" t="n">
        <v>31426</v>
      </c>
      <c r="T2607" s="13" t="s">
        <v>40</v>
      </c>
      <c r="U2607" s="13" t="s">
        <v>11158</v>
      </c>
      <c r="V2607" s="13" t="s">
        <v>42</v>
      </c>
      <c r="W2607" s="13" t="s">
        <v>54</v>
      </c>
      <c r="X2607" s="21" t="n">
        <v>82335994114</v>
      </c>
      <c r="Y2607" s="22" t="str">
        <f aca="false">O2607</f>
        <v>Operator Genset</v>
      </c>
      <c r="Z2607" s="13" t="str">
        <f aca="false">IFERROR(__xludf.dummyfunction("if(BJ2607="""","""",GOOGLETRANSLATE(BJ2607,""auto"",""en""))"),"Generator Operator")</f>
        <v>Generator Operator</v>
      </c>
      <c r="AA2607" s="23" t="str">
        <f aca="false">IF(C2607="","", CHOOSE(MONTH(C2607),"January","February","March","April","May","June","July","August","September","October","November","December")&amp;" "&amp;DAY(C2607)&amp;MID("thstndrdth",MIN(9,2*RIGHT(DAY(C2607))*(MOD(DAY(C2607)-11,100)&gt;2)+1),2)&amp;","&amp;TEXT(C2607," yyyy"))</f>
        <v>August 12th,2025</v>
      </c>
      <c r="AB2607" s="15" t="str">
        <f aca="true">IF(S2607="","",DATEDIF(S2607,TODAY(),"Y")&amp;" Tahun, "&amp;DATEDIF(S2607,TODAY(),"YM")&amp;" Bulan, "&amp;DATEDIF(S2607,TODAY(),"MD")&amp;" Hari")</f>
        <v>40 Tahun, 9 Bulan, 15 Hari</v>
      </c>
      <c r="AC2607" s="18" t="n">
        <v>45881</v>
      </c>
      <c r="AD2607" s="18" t="n">
        <v>46234</v>
      </c>
      <c r="AE2607" s="18" t="s">
        <v>44</v>
      </c>
    </row>
    <row r="2608" customFormat="false" ht="15" hidden="false" customHeight="true" outlineLevel="0" collapsed="false">
      <c r="A2608" s="12" t="n">
        <v>20418</v>
      </c>
      <c r="B2608" s="13" t="s">
        <v>11159</v>
      </c>
      <c r="C2608" s="16" t="n">
        <v>45887</v>
      </c>
      <c r="D2608" s="13" t="s">
        <v>144</v>
      </c>
      <c r="E2608" s="15" t="s">
        <v>47</v>
      </c>
      <c r="F2608" s="15" t="str">
        <f aca="false">IFERROR(__xludf.dummyfunction("XLOOKUP(AJ2608,IMPORTRANGE(""1XaInW9DU9nz21V0tYIfzFQ0He9kVQ_JF2mCXgZ3hqFA"",""REKAP ALL 2026 - Andika!G:G""),IMPORTRANGE(""1XaInW9DU9nz21V0tYIfzFQ0He9kVQ_JF2mCXgZ3hqFA"",""REKAP ALL 2026 - Andika!F:F""),"""",0)"),"25115952571")</f>
        <v>25115952571</v>
      </c>
      <c r="G2608" s="13" t="s">
        <v>11160</v>
      </c>
      <c r="H2608" s="13" t="s">
        <v>35</v>
      </c>
      <c r="I2608" s="13" t="str">
        <f aca="false">IF(C2608=J2608,"NEW KONTRAK","RE-KONTRAK")</f>
        <v>NEW KONTRAK</v>
      </c>
      <c r="J2608" s="16" t="n">
        <f aca="false" t="array" ref="J2608:J2608">IFERROR(INDEX(AC2608:AE2608,IF(COUNTA(AC2608:AE2608)=0,"",MAX((AC2608:AE2608&lt;&gt;"")*(COLUMN(AC2608:AE2608)-(COLUMN(AC2608)))))-1),"")</f>
        <v>45887</v>
      </c>
      <c r="K2608" s="16" t="n">
        <f aca="false" t="array" ref="K2608:K2608">IFERROR(INDEX(AC2608:AE2608,IF(COUNTA(AC2608:AE2608)=0,"",MAX((AC2608:AE2608&lt;&gt;"")*(COLUMN(AC2608:AE2608)-(COLUMN(AC2608)-1))))-1),"")</f>
        <v>46022</v>
      </c>
      <c r="L2608" s="17" t="str">
        <f aca="false" t="array" ref="L2608:L2608">IFERROR(INDEX(AC2608:AE2608,IF(COUNTA(AC2608:AE2608)=0,"",MAX((AC2608:AE2608&lt;&gt;"")*(COLUMN(AC2608:AE2608)-(COLUMN(AC2608)-2))))-1),"")</f>
        <v>ARCHIVED</v>
      </c>
      <c r="M2608" s="13" t="n">
        <f aca="true">K2608-TODAY()</f>
        <v>-302</v>
      </c>
      <c r="N2608" s="18" t="s">
        <v>36</v>
      </c>
      <c r="O2608" s="13" t="s">
        <v>11161</v>
      </c>
      <c r="P2608" s="19" t="n">
        <v>5195401</v>
      </c>
      <c r="Q2608" s="47" t="s">
        <v>11162</v>
      </c>
      <c r="R2608" s="13" t="s">
        <v>78</v>
      </c>
      <c r="S2608" s="16" t="n">
        <v>36855</v>
      </c>
      <c r="T2608" s="15" t="s">
        <v>40</v>
      </c>
      <c r="U2608" s="13" t="s">
        <v>11163</v>
      </c>
      <c r="V2608" s="15" t="s">
        <v>42</v>
      </c>
      <c r="W2608" s="13" t="s">
        <v>43</v>
      </c>
      <c r="X2608" s="67" t="n">
        <v>85771128729</v>
      </c>
      <c r="Y2608" s="22" t="str">
        <f aca="false">O2608</f>
        <v>Repair Pallet</v>
      </c>
      <c r="Z2608" s="13" t="str">
        <f aca="false">IFERROR(__xludf.dummyfunction("if(BJ2608="""","""",GOOGLETRANSLATE(BJ2608,""auto"",""en""))"),"Repair Pallet")</f>
        <v>Repair Pallet</v>
      </c>
      <c r="AA2608" s="23" t="str">
        <f aca="false">IF(C2608="","", CHOOSE(MONTH(C2608),"January","February","March","April","May","June","July","August","September","October","November","December")&amp;" "&amp;DAY(C2608)&amp;MID("thstndrdth",MIN(9,2*RIGHT(DAY(C2608))*(MOD(DAY(C2608)-11,100)&gt;2)+1),2)&amp;","&amp;TEXT(C2608," yyyy"))</f>
        <v>August 18th,2025</v>
      </c>
      <c r="AB2608" s="15" t="str">
        <f aca="true">IF(S2608="","",DATEDIF(S2608,TODAY(),"Y")&amp;" Tahun, "&amp;DATEDIF(S2608,TODAY(),"YM")&amp;" Bulan, "&amp;DATEDIF(S2608,TODAY(),"MD")&amp;" Hari")</f>
        <v>25 Tahun, 11 Bulan, 4 Hari</v>
      </c>
      <c r="AC2608" s="18" t="n">
        <v>45887</v>
      </c>
      <c r="AD2608" s="18" t="n">
        <v>46022</v>
      </c>
      <c r="AE2608" s="18" t="s">
        <v>44</v>
      </c>
    </row>
    <row r="2609" customFormat="false" ht="15" hidden="false" customHeight="true" outlineLevel="0" collapsed="false">
      <c r="A2609" s="12" t="n">
        <v>20399</v>
      </c>
      <c r="B2609" s="13" t="s">
        <v>11164</v>
      </c>
      <c r="C2609" s="16" t="n">
        <v>45887</v>
      </c>
      <c r="D2609" s="13" t="s">
        <v>404</v>
      </c>
      <c r="E2609" s="15" t="s">
        <v>33</v>
      </c>
      <c r="F2609" s="24" t="s">
        <v>11165</v>
      </c>
      <c r="G2609" s="13" t="s">
        <v>1127</v>
      </c>
      <c r="H2609" s="13" t="s">
        <v>35</v>
      </c>
      <c r="I2609" s="13" t="str">
        <f aca="false">IF(C2609=J2609,"NEW KONTRAK","RE-KONTRAK")</f>
        <v>NEW KONTRAK</v>
      </c>
      <c r="J2609" s="16" t="n">
        <f aca="false" t="array" ref="J2609:J2609">IFERROR(INDEX(AC2609:AE2609,IF(COUNTA(AC2609:AE2609)=0,"",MAX((AC2609:AE2609&lt;&gt;"")*(COLUMN(AC2609:AE2609)-(COLUMN(AC2609)))))-1),"")</f>
        <v>45887</v>
      </c>
      <c r="K2609" s="16" t="n">
        <f aca="false" t="array" ref="K2609:K2609">IFERROR(INDEX(AC2609:AE2609,IF(COUNTA(AC2609:AE2609)=0,"",MAX((AC2609:AE2609&lt;&gt;"")*(COLUMN(AC2609:AE2609)-(COLUMN(AC2609)-1))))-1),"")</f>
        <v>46022</v>
      </c>
      <c r="L2609" s="17" t="str">
        <f aca="false" t="array" ref="L2609:L2609">IFERROR(INDEX(AC2609:AE2609,IF(COUNTA(AC2609:AE2609)=0,"",MAX((AC2609:AE2609&lt;&gt;"")*(COLUMN(AC2609:AE2609)-(COLUMN(AC2609)-2))))-1),"")</f>
        <v>ARCHIVED</v>
      </c>
      <c r="M2609" s="13" t="n">
        <f aca="true">K2609-TODAY()</f>
        <v>-302</v>
      </c>
      <c r="N2609" s="18" t="s">
        <v>36</v>
      </c>
      <c r="O2609" s="13" t="s">
        <v>9877</v>
      </c>
      <c r="P2609" s="27" t="n">
        <v>5195401</v>
      </c>
      <c r="Q2609" s="20" t="s">
        <v>11166</v>
      </c>
      <c r="R2609" s="13" t="s">
        <v>65</v>
      </c>
      <c r="S2609" s="16" t="n">
        <v>38652</v>
      </c>
      <c r="T2609" s="13" t="s">
        <v>40</v>
      </c>
      <c r="U2609" s="13" t="s">
        <v>9879</v>
      </c>
      <c r="V2609" s="13" t="s">
        <v>42</v>
      </c>
      <c r="W2609" s="13" t="s">
        <v>43</v>
      </c>
      <c r="X2609" s="21" t="n">
        <v>87763301016</v>
      </c>
      <c r="Y2609" s="22" t="str">
        <f aca="false">O2609</f>
        <v>Operator Fraksinasi</v>
      </c>
      <c r="Z2609" s="13" t="str">
        <f aca="false">IFERROR(__xludf.dummyfunction("if(BJ2609="""","""",GOOGLETRANSLATE(BJ2609,""auto"",""en""))"),"Fractionation Operator")</f>
        <v>Fractionation Operator</v>
      </c>
      <c r="AA2609" s="23" t="str">
        <f aca="false">IF(C2609="","", CHOOSE(MONTH(C2609),"January","February","March","April","May","June","July","August","September","October","November","December")&amp;" "&amp;DAY(C2609)&amp;MID("thstndrdth",MIN(9,2*RIGHT(DAY(C2609))*(MOD(DAY(C2609)-11,100)&gt;2)+1),2)&amp;","&amp;TEXT(C2609," yyyy"))</f>
        <v>August 18th,2025</v>
      </c>
      <c r="AB2609" s="15" t="str">
        <f aca="true">IF(S2609="","",DATEDIF(S2609,TODAY(),"Y")&amp;" Tahun, "&amp;DATEDIF(S2609,TODAY(),"YM")&amp;" Bulan, "&amp;DATEDIF(S2609,TODAY(),"MD")&amp;" Hari")</f>
        <v>21 Tahun, 0 Bulan, 2 Hari</v>
      </c>
      <c r="AC2609" s="18" t="n">
        <v>45887</v>
      </c>
      <c r="AD2609" s="18" t="n">
        <v>46022</v>
      </c>
      <c r="AE2609" s="18" t="s">
        <v>44</v>
      </c>
    </row>
    <row r="2610" customFormat="false" ht="15" hidden="false" customHeight="true" outlineLevel="0" collapsed="false">
      <c r="A2610" s="12" t="n">
        <v>20416</v>
      </c>
      <c r="B2610" s="13" t="s">
        <v>11167</v>
      </c>
      <c r="C2610" s="16" t="n">
        <v>45887</v>
      </c>
      <c r="D2610" s="13" t="s">
        <v>144</v>
      </c>
      <c r="E2610" s="15" t="s">
        <v>102</v>
      </c>
      <c r="F2610" s="24" t="s">
        <v>11168</v>
      </c>
      <c r="G2610" s="13" t="s">
        <v>1127</v>
      </c>
      <c r="H2610" s="13" t="s">
        <v>35</v>
      </c>
      <c r="I2610" s="13" t="str">
        <f aca="false">IF(C2610=J2610,"NEW KONTRAK","RE-KONTRAK")</f>
        <v>NEW KONTRAK</v>
      </c>
      <c r="J2610" s="16" t="n">
        <f aca="false" t="array" ref="J2610:J2610">IFERROR(INDEX(AC2610:AE2610,IF(COUNTA(AC2610:AE2610)=0,"",MAX((AC2610:AE2610&lt;&gt;"")*(COLUMN(AC2610:AE2610)-(COLUMN(AC2610)))))-1),"")</f>
        <v>45887</v>
      </c>
      <c r="K2610" s="16" t="n">
        <f aca="false" t="array" ref="K2610:K2610">IFERROR(INDEX(AC2610:AE2610,IF(COUNTA(AC2610:AE2610)=0,"",MAX((AC2610:AE2610&lt;&gt;"")*(COLUMN(AC2610:AE2610)-(COLUMN(AC2610)-1))))-1),"")</f>
        <v>46022</v>
      </c>
      <c r="L2610" s="17" t="str">
        <f aca="false" t="array" ref="L2610:L2610">IFERROR(INDEX(AC2610:AE2610,IF(COUNTA(AC2610:AE2610)=0,"",MAX((AC2610:AE2610&lt;&gt;"")*(COLUMN(AC2610:AE2610)-(COLUMN(AC2610)-2))))-1),"")</f>
        <v>ARCHIVED</v>
      </c>
      <c r="M2610" s="13" t="n">
        <f aca="true">K2610-TODAY()</f>
        <v>-302</v>
      </c>
      <c r="N2610" s="18" t="s">
        <v>36</v>
      </c>
      <c r="O2610" s="13" t="s">
        <v>156</v>
      </c>
      <c r="P2610" s="19" t="n">
        <v>5195401</v>
      </c>
      <c r="Q2610" s="47" t="s">
        <v>11169</v>
      </c>
      <c r="R2610" s="13" t="s">
        <v>65</v>
      </c>
      <c r="S2610" s="16" t="n">
        <v>34694</v>
      </c>
      <c r="T2610" s="15" t="s">
        <v>40</v>
      </c>
      <c r="U2610" s="13" t="s">
        <v>11170</v>
      </c>
      <c r="V2610" s="15" t="s">
        <v>42</v>
      </c>
      <c r="W2610" s="13" t="s">
        <v>54</v>
      </c>
      <c r="X2610" s="67" t="n">
        <v>88805748241</v>
      </c>
      <c r="Y2610" s="22" t="str">
        <f aca="false">O2610</f>
        <v>Emulsion</v>
      </c>
      <c r="Z2610" s="13" t="str">
        <f aca="false">IFERROR(__xludf.dummyfunction("if(BJ2610="""","""",GOOGLETRANSLATE(BJ2610,""auto"",""en""))"),"Emulsion")</f>
        <v>Emulsion</v>
      </c>
      <c r="AA2610" s="23" t="str">
        <f aca="false">IF(C2610="","", CHOOSE(MONTH(C2610),"January","February","March","April","May","June","July","August","September","October","November","December")&amp;" "&amp;DAY(C2610)&amp;MID("thstndrdth",MIN(9,2*RIGHT(DAY(C2610))*(MOD(DAY(C2610)-11,100)&gt;2)+1),2)&amp;","&amp;TEXT(C2610," yyyy"))</f>
        <v>August 18th,2025</v>
      </c>
      <c r="AB2610" s="15" t="str">
        <f aca="true">IF(S2610="","",DATEDIF(S2610,TODAY(),"Y")&amp;" Tahun, "&amp;DATEDIF(S2610,TODAY(),"YM")&amp;" Bulan, "&amp;DATEDIF(S2610,TODAY(),"MD")&amp;" Hari")</f>
        <v>31 Tahun, 10 Bulan, 3 Hari</v>
      </c>
      <c r="AC2610" s="18" t="n">
        <v>45887</v>
      </c>
      <c r="AD2610" s="18" t="n">
        <v>46022</v>
      </c>
      <c r="AE2610" s="18" t="s">
        <v>44</v>
      </c>
    </row>
    <row r="2611" customFormat="false" ht="15" hidden="false" customHeight="true" outlineLevel="0" collapsed="false">
      <c r="A2611" s="12" t="n">
        <v>20417</v>
      </c>
      <c r="B2611" s="13" t="s">
        <v>11171</v>
      </c>
      <c r="C2611" s="16" t="n">
        <v>45887</v>
      </c>
      <c r="D2611" s="13" t="s">
        <v>144</v>
      </c>
      <c r="E2611" s="15" t="s">
        <v>102</v>
      </c>
      <c r="F2611" s="24" t="s">
        <v>11172</v>
      </c>
      <c r="G2611" s="13" t="s">
        <v>11173</v>
      </c>
      <c r="H2611" s="13" t="s">
        <v>35</v>
      </c>
      <c r="I2611" s="13" t="str">
        <f aca="false">IF(C2611=J2611,"NEW KONTRAK","RE-KONTRAK")</f>
        <v>NEW KONTRAK</v>
      </c>
      <c r="J2611" s="16" t="n">
        <f aca="false" t="array" ref="J2611:J2611">IFERROR(INDEX(AC2611:AE2611,IF(COUNTA(AC2611:AE2611)=0,"",MAX((AC2611:AE2611&lt;&gt;"")*(COLUMN(AC2611:AE2611)-(COLUMN(AC2611)))))-1),"")</f>
        <v>45887</v>
      </c>
      <c r="K2611" s="16" t="n">
        <f aca="false" t="array" ref="K2611:K2611">IFERROR(INDEX(AC2611:AE2611,IF(COUNTA(AC2611:AE2611)=0,"",MAX((AC2611:AE2611&lt;&gt;"")*(COLUMN(AC2611:AE2611)-(COLUMN(AC2611)-1))))-1),"")</f>
        <v>46022</v>
      </c>
      <c r="L2611" s="17" t="str">
        <f aca="false" t="array" ref="L2611:L2611">IFERROR(INDEX(AC2611:AE2611,IF(COUNTA(AC2611:AE2611)=0,"",MAX((AC2611:AE2611&lt;&gt;"")*(COLUMN(AC2611:AE2611)-(COLUMN(AC2611)-2))))-1),"")</f>
        <v>ARCHIVED</v>
      </c>
      <c r="M2611" s="13" t="n">
        <f aca="true">K2611-TODAY()</f>
        <v>-302</v>
      </c>
      <c r="N2611" s="18" t="s">
        <v>36</v>
      </c>
      <c r="O2611" s="13" t="s">
        <v>156</v>
      </c>
      <c r="P2611" s="19" t="n">
        <v>5195401</v>
      </c>
      <c r="Q2611" s="47" t="s">
        <v>11174</v>
      </c>
      <c r="R2611" s="13" t="s">
        <v>78</v>
      </c>
      <c r="S2611" s="16" t="n">
        <v>33931</v>
      </c>
      <c r="T2611" s="15" t="s">
        <v>40</v>
      </c>
      <c r="U2611" s="13" t="s">
        <v>11175</v>
      </c>
      <c r="V2611" s="15" t="s">
        <v>42</v>
      </c>
      <c r="W2611" s="13" t="s">
        <v>54</v>
      </c>
      <c r="X2611" s="67" t="n">
        <v>85645277914</v>
      </c>
      <c r="Y2611" s="22" t="str">
        <f aca="false">O2611</f>
        <v>Emulsion</v>
      </c>
      <c r="Z2611" s="13" t="str">
        <f aca="false">IFERROR(__xludf.dummyfunction("if(BJ2611="""","""",GOOGLETRANSLATE(BJ2611,""auto"",""en""))"),"Emulsion")</f>
        <v>Emulsion</v>
      </c>
      <c r="AA2611" s="23" t="str">
        <f aca="false">IF(C2611="","", CHOOSE(MONTH(C2611),"January","February","March","April","May","June","July","August","September","October","November","December")&amp;" "&amp;DAY(C2611)&amp;MID("thstndrdth",MIN(9,2*RIGHT(DAY(C2611))*(MOD(DAY(C2611)-11,100)&gt;2)+1),2)&amp;","&amp;TEXT(C2611," yyyy"))</f>
        <v>August 18th,2025</v>
      </c>
      <c r="AB2611" s="15" t="str">
        <f aca="true">IF(S2611="","",DATEDIF(S2611,TODAY(),"Y")&amp;" Tahun, "&amp;DATEDIF(S2611,TODAY(),"YM")&amp;" Bulan, "&amp;DATEDIF(S2611,TODAY(),"MD")&amp;" Hari")</f>
        <v>33 Tahun, 11 Bulan, 6 Hari</v>
      </c>
      <c r="AC2611" s="18" t="n">
        <v>45887</v>
      </c>
      <c r="AD2611" s="18" t="n">
        <v>46022</v>
      </c>
      <c r="AE2611" s="18" t="s">
        <v>44</v>
      </c>
    </row>
    <row r="2612" customFormat="false" ht="15" hidden="false" customHeight="true" outlineLevel="0" collapsed="false">
      <c r="A2612" s="12" t="n">
        <v>20419</v>
      </c>
      <c r="B2612" s="13" t="s">
        <v>11176</v>
      </c>
      <c r="C2612" s="16" t="n">
        <v>45887</v>
      </c>
      <c r="D2612" s="13" t="s">
        <v>144</v>
      </c>
      <c r="E2612" s="15" t="s">
        <v>47</v>
      </c>
      <c r="F2612" s="15" t="str">
        <f aca="false">IFERROR(__xludf.dummyfunction("XLOOKUP(AJ2612,IMPORTRANGE(""1XaInW9DU9nz21V0tYIfzFQ0He9kVQ_JF2mCXgZ3hqFA"",""REKAP ALL 2026 - Andika!G:G""),IMPORTRANGE(""1XaInW9DU9nz21V0tYIfzFQ0He9kVQ_JF2mCXgZ3hqFA"",""REKAP ALL 2026 - Andika!F:F""),"""",0)"),"25115952597")</f>
        <v>25115952597</v>
      </c>
      <c r="G2612" s="13" t="s">
        <v>11177</v>
      </c>
      <c r="H2612" s="13" t="s">
        <v>35</v>
      </c>
      <c r="I2612" s="13" t="str">
        <f aca="false">IF(C2612=J2612,"NEW KONTRAK","RE-KONTRAK")</f>
        <v>NEW KONTRAK</v>
      </c>
      <c r="J2612" s="16" t="n">
        <f aca="false" t="array" ref="J2612:J2612">IFERROR(INDEX(AC2612:AE2612,IF(COUNTA(AC2612:AE2612)=0,"",MAX((AC2612:AE2612&lt;&gt;"")*(COLUMN(AC2612:AE2612)-(COLUMN(AC2612)))))-1),"")</f>
        <v>45887</v>
      </c>
      <c r="K2612" s="16" t="n">
        <f aca="false" t="array" ref="K2612:K2612">IFERROR(INDEX(AC2612:AE2612,IF(COUNTA(AC2612:AE2612)=0,"",MAX((AC2612:AE2612&lt;&gt;"")*(COLUMN(AC2612:AE2612)-(COLUMN(AC2612)-1))))-1),"")</f>
        <v>46022</v>
      </c>
      <c r="L2612" s="17" t="str">
        <f aca="false" t="array" ref="L2612:L2612">IFERROR(INDEX(AC2612:AE2612,IF(COUNTA(AC2612:AE2612)=0,"",MAX((AC2612:AE2612&lt;&gt;"")*(COLUMN(AC2612:AE2612)-(COLUMN(AC2612)-2))))-1),"")</f>
        <v>ARCHIVED</v>
      </c>
      <c r="M2612" s="13" t="n">
        <f aca="true">K2612-TODAY()</f>
        <v>-302</v>
      </c>
      <c r="N2612" s="18" t="s">
        <v>36</v>
      </c>
      <c r="O2612" s="13" t="s">
        <v>156</v>
      </c>
      <c r="P2612" s="19" t="n">
        <v>5195401</v>
      </c>
      <c r="Q2612" s="47" t="s">
        <v>11178</v>
      </c>
      <c r="R2612" s="13" t="s">
        <v>78</v>
      </c>
      <c r="S2612" s="16" t="n">
        <v>36238</v>
      </c>
      <c r="T2612" s="15" t="s">
        <v>40</v>
      </c>
      <c r="U2612" s="13" t="s">
        <v>11179</v>
      </c>
      <c r="V2612" s="15" t="s">
        <v>42</v>
      </c>
      <c r="W2612" s="13" t="s">
        <v>43</v>
      </c>
      <c r="X2612" s="21" t="n">
        <v>85856190595</v>
      </c>
      <c r="Y2612" s="22" t="str">
        <f aca="false">O2612</f>
        <v>Emulsion</v>
      </c>
      <c r="Z2612" s="13" t="str">
        <f aca="false">IFERROR(__xludf.dummyfunction("if(BJ2612="""","""",GOOGLETRANSLATE(BJ2612,""auto"",""en""))"),"Emulsion")</f>
        <v>Emulsion</v>
      </c>
      <c r="AA2612" s="23" t="str">
        <f aca="false">IF(C2612="","", CHOOSE(MONTH(C2612),"January","February","March","April","May","June","July","August","September","October","November","December")&amp;" "&amp;DAY(C2612)&amp;MID("thstndrdth",MIN(9,2*RIGHT(DAY(C2612))*(MOD(DAY(C2612)-11,100)&gt;2)+1),2)&amp;","&amp;TEXT(C2612," yyyy"))</f>
        <v>August 18th,2025</v>
      </c>
      <c r="AB2612" s="15" t="str">
        <f aca="true">IF(S2612="","",DATEDIF(S2612,TODAY(),"Y")&amp;" Tahun, "&amp;DATEDIF(S2612,TODAY(),"YM")&amp;" Bulan, "&amp;DATEDIF(S2612,TODAY(),"MD")&amp;" Hari")</f>
        <v>27 Tahun, 7 Bulan, 10 Hari</v>
      </c>
      <c r="AC2612" s="18" t="n">
        <v>45887</v>
      </c>
      <c r="AD2612" s="18" t="n">
        <v>46022</v>
      </c>
      <c r="AE2612" s="18" t="s">
        <v>44</v>
      </c>
    </row>
    <row r="2613" customFormat="false" ht="15" hidden="false" customHeight="true" outlineLevel="0" collapsed="false">
      <c r="A2613" s="12" t="n">
        <v>20421</v>
      </c>
      <c r="B2613" s="13" t="s">
        <v>11180</v>
      </c>
      <c r="C2613" s="16" t="n">
        <v>45887</v>
      </c>
      <c r="D2613" s="13" t="s">
        <v>144</v>
      </c>
      <c r="E2613" s="15" t="s">
        <v>47</v>
      </c>
      <c r="F2613" s="15" t="str">
        <f aca="false">IFERROR(__xludf.dummyfunction("XLOOKUP(AJ2613,IMPORTRANGE(""1XaInW9DU9nz21V0tYIfzFQ0He9kVQ_JF2mCXgZ3hqFA"",""REKAP ALL 2026 - Andika!G:G""),IMPORTRANGE(""1XaInW9DU9nz21V0tYIfzFQ0He9kVQ_JF2mCXgZ3hqFA"",""REKAP ALL 2026 - Andika!F:F""),"""",0)"),"25115952647")</f>
        <v>25115952647</v>
      </c>
      <c r="G2613" s="13" t="s">
        <v>11181</v>
      </c>
      <c r="H2613" s="13" t="s">
        <v>35</v>
      </c>
      <c r="I2613" s="13" t="str">
        <f aca="false">IF(C2613=J2613,"NEW KONTRAK","RE-KONTRAK")</f>
        <v>NEW KONTRAK</v>
      </c>
      <c r="J2613" s="16" t="n">
        <f aca="false" t="array" ref="J2613:J2613">IFERROR(INDEX(AC2613:AE2613,IF(COUNTA(AC2613:AE2613)=0,"",MAX((AC2613:AE2613&lt;&gt;"")*(COLUMN(AC2613:AE2613)-(COLUMN(AC2613)))))-1),"")</f>
        <v>45887</v>
      </c>
      <c r="K2613" s="16" t="n">
        <f aca="false" t="array" ref="K2613:K2613">IFERROR(INDEX(AC2613:AE2613,IF(COUNTA(AC2613:AE2613)=0,"",MAX((AC2613:AE2613&lt;&gt;"")*(COLUMN(AC2613:AE2613)-(COLUMN(AC2613)-1))))-1),"")</f>
        <v>46022</v>
      </c>
      <c r="L2613" s="17" t="str">
        <f aca="false" t="array" ref="L2613:L2613">IFERROR(INDEX(AC2613:AE2613,IF(COUNTA(AC2613:AE2613)=0,"",MAX((AC2613:AE2613&lt;&gt;"")*(COLUMN(AC2613:AE2613)-(COLUMN(AC2613)-2))))-1),"")</f>
        <v>ARCHIVED</v>
      </c>
      <c r="M2613" s="13" t="n">
        <f aca="true">K2613-TODAY()</f>
        <v>-302</v>
      </c>
      <c r="N2613" s="18" t="s">
        <v>36</v>
      </c>
      <c r="O2613" s="13" t="s">
        <v>146</v>
      </c>
      <c r="P2613" s="19" t="n">
        <v>5195401</v>
      </c>
      <c r="Q2613" s="47" t="s">
        <v>11182</v>
      </c>
      <c r="R2613" s="13" t="s">
        <v>78</v>
      </c>
      <c r="S2613" s="16" t="n">
        <v>36591</v>
      </c>
      <c r="T2613" s="24" t="s">
        <v>40</v>
      </c>
      <c r="U2613" s="13" t="s">
        <v>11183</v>
      </c>
      <c r="V2613" s="15" t="s">
        <v>42</v>
      </c>
      <c r="W2613" s="13" t="s">
        <v>43</v>
      </c>
      <c r="X2613" s="67" t="n">
        <v>85732428354</v>
      </c>
      <c r="Y2613" s="22" t="str">
        <f aca="false">O2613</f>
        <v>Enamel</v>
      </c>
      <c r="Z2613" s="13" t="str">
        <f aca="false">IFERROR(__xludf.dummyfunction("if(BJ2613="""","""",GOOGLETRANSLATE(BJ2613,""auto"",""en""))"),"Enamel")</f>
        <v>Enamel</v>
      </c>
      <c r="AA2613" s="23" t="str">
        <f aca="false">IF(C2613="","", CHOOSE(MONTH(C2613),"January","February","March","April","May","June","July","August","September","October","November","December")&amp;" "&amp;DAY(C2613)&amp;MID("thstndrdth",MIN(9,2*RIGHT(DAY(C2613))*(MOD(DAY(C2613)-11,100)&gt;2)+1),2)&amp;","&amp;TEXT(C2613," yyyy"))</f>
        <v>August 18th,2025</v>
      </c>
      <c r="AB2613" s="15" t="str">
        <f aca="true">IF(S2613="","",DATEDIF(S2613,TODAY(),"Y")&amp;" Tahun, "&amp;DATEDIF(S2613,TODAY(),"YM")&amp;" Bulan, "&amp;DATEDIF(S2613,TODAY(),"MD")&amp;" Hari")</f>
        <v>26 Tahun, 7 Bulan, 23 Hari</v>
      </c>
      <c r="AC2613" s="18" t="n">
        <v>45887</v>
      </c>
      <c r="AD2613" s="18" t="n">
        <v>46022</v>
      </c>
      <c r="AE2613" s="18" t="s">
        <v>44</v>
      </c>
    </row>
    <row r="2614" customFormat="false" ht="15" hidden="false" customHeight="true" outlineLevel="0" collapsed="false">
      <c r="A2614" s="12" t="n">
        <v>20420</v>
      </c>
      <c r="B2614" s="13" t="s">
        <v>11184</v>
      </c>
      <c r="C2614" s="16" t="n">
        <v>45887</v>
      </c>
      <c r="D2614" s="13" t="s">
        <v>144</v>
      </c>
      <c r="E2614" s="15" t="s">
        <v>33</v>
      </c>
      <c r="F2614" s="24" t="s">
        <v>11185</v>
      </c>
      <c r="G2614" s="13" t="s">
        <v>11186</v>
      </c>
      <c r="H2614" s="13" t="s">
        <v>35</v>
      </c>
      <c r="I2614" s="13" t="str">
        <f aca="false">IF(C2614=J2614,"NEW KONTRAK","RE-KONTRAK")</f>
        <v>NEW KONTRAK</v>
      </c>
      <c r="J2614" s="16" t="n">
        <f aca="false" t="array" ref="J2614:J2614">IFERROR(INDEX(AC2614:AE2614,IF(COUNTA(AC2614:AE2614)=0,"",MAX((AC2614:AE2614&lt;&gt;"")*(COLUMN(AC2614:AE2614)-(COLUMN(AC2614)))))-1),"")</f>
        <v>45887</v>
      </c>
      <c r="K2614" s="16" t="n">
        <f aca="false" t="array" ref="K2614:K2614">IFERROR(INDEX(AC2614:AE2614,IF(COUNTA(AC2614:AE2614)=0,"",MAX((AC2614:AE2614&lt;&gt;"")*(COLUMN(AC2614:AE2614)-(COLUMN(AC2614)-1))))-1),"")</f>
        <v>46022</v>
      </c>
      <c r="L2614" s="17" t="str">
        <f aca="false" t="array" ref="L2614:L2614">IFERROR(INDEX(AC2614:AE2614,IF(COUNTA(AC2614:AE2614)=0,"",MAX((AC2614:AE2614&lt;&gt;"")*(COLUMN(AC2614:AE2614)-(COLUMN(AC2614)-2))))-1),"")</f>
        <v>ARCHIVED</v>
      </c>
      <c r="M2614" s="13" t="n">
        <f aca="true">K2614-TODAY()</f>
        <v>-302</v>
      </c>
      <c r="N2614" s="18" t="s">
        <v>36</v>
      </c>
      <c r="O2614" s="13" t="s">
        <v>146</v>
      </c>
      <c r="P2614" s="19" t="n">
        <v>5195401</v>
      </c>
      <c r="Q2614" s="47" t="s">
        <v>11187</v>
      </c>
      <c r="R2614" s="13" t="s">
        <v>11188</v>
      </c>
      <c r="S2614" s="16" t="n">
        <v>37416</v>
      </c>
      <c r="T2614" s="15" t="s">
        <v>40</v>
      </c>
      <c r="U2614" s="13" t="s">
        <v>11189</v>
      </c>
      <c r="V2614" s="15" t="s">
        <v>42</v>
      </c>
      <c r="W2614" s="13" t="s">
        <v>54</v>
      </c>
      <c r="X2614" s="21" t="n">
        <v>82316506388</v>
      </c>
      <c r="Y2614" s="22" t="str">
        <f aca="false">O2614</f>
        <v>Enamel</v>
      </c>
      <c r="Z2614" s="13" t="str">
        <f aca="false">IFERROR(__xludf.dummyfunction("if(BJ2614="""","""",GOOGLETRANSLATE(BJ2614,""auto"",""en""))"),"Enamel")</f>
        <v>Enamel</v>
      </c>
      <c r="AA2614" s="23" t="str">
        <f aca="false">IF(C2614="","", CHOOSE(MONTH(C2614),"January","February","March","April","May","June","July","August","September","October","November","December")&amp;" "&amp;DAY(C2614)&amp;MID("thstndrdth",MIN(9,2*RIGHT(DAY(C2614))*(MOD(DAY(C2614)-11,100)&gt;2)+1),2)&amp;","&amp;TEXT(C2614," yyyy"))</f>
        <v>August 18th,2025</v>
      </c>
      <c r="AB2614" s="15" t="str">
        <f aca="true">IF(S2614="","",DATEDIF(S2614,TODAY(),"Y")&amp;" Tahun, "&amp;DATEDIF(S2614,TODAY(),"YM")&amp;" Bulan, "&amp;DATEDIF(S2614,TODAY(),"MD")&amp;" Hari")</f>
        <v>24 Tahun, 4 Bulan, 20 Hari</v>
      </c>
      <c r="AC2614" s="18" t="n">
        <v>45887</v>
      </c>
      <c r="AD2614" s="18" t="n">
        <v>46022</v>
      </c>
      <c r="AE2614" s="18" t="s">
        <v>44</v>
      </c>
    </row>
    <row r="2615" customFormat="false" ht="15" hidden="false" customHeight="true" outlineLevel="0" collapsed="false">
      <c r="A2615" s="12" t="n">
        <v>20423</v>
      </c>
      <c r="B2615" s="13" t="s">
        <v>11190</v>
      </c>
      <c r="C2615" s="16" t="n">
        <v>45889</v>
      </c>
      <c r="D2615" s="13" t="s">
        <v>10735</v>
      </c>
      <c r="E2615" s="15" t="s">
        <v>47</v>
      </c>
      <c r="F2615" s="15" t="str">
        <f aca="false">IFERROR(__xludf.dummyfunction("XLOOKUP(AJ2615,IMPORTRANGE(""1XaInW9DU9nz21V0tYIfzFQ0He9kVQ_JF2mCXgZ3hqFA"",""REKAP ALL 2026 - Andika!G:G""),IMPORTRANGE(""1XaInW9DU9nz21V0tYIfzFQ0He9kVQ_JF2mCXgZ3hqFA"",""REKAP ALL 2026 - Andika!F:F""),"""",0)"),"25115949700")</f>
        <v>25115949700</v>
      </c>
      <c r="G2615" s="13" t="s">
        <v>1127</v>
      </c>
      <c r="H2615" s="13" t="s">
        <v>35</v>
      </c>
      <c r="I2615" s="13" t="str">
        <f aca="false">IF(C2615=J2615,"NEW KONTRAK","RE-KONTRAK")</f>
        <v>NEW KONTRAK</v>
      </c>
      <c r="J2615" s="16" t="n">
        <f aca="false" t="array" ref="J2615:J2615">IFERROR(INDEX(AC2615:AE2615,IF(COUNTA(AC2615:AE2615)=0,"",MAX((AC2615:AE2615&lt;&gt;"")*(COLUMN(AC2615:AE2615)-(COLUMN(AC2615)))))-1),"")</f>
        <v>45889</v>
      </c>
      <c r="K2615" s="16" t="n">
        <f aca="false" t="array" ref="K2615:K2615">IFERROR(INDEX(AC2615:AE2615,IF(COUNTA(AC2615:AE2615)=0,"",MAX((AC2615:AE2615&lt;&gt;"")*(COLUMN(AC2615:AE2615)-(COLUMN(AC2615)-1))))-1),"")</f>
        <v>45980</v>
      </c>
      <c r="L2615" s="17" t="str">
        <f aca="false" t="array" ref="L2615:L2615">IFERROR(INDEX(AC2615:AE2615,IF(COUNTA(AC2615:AE2615)=0,"",MAX((AC2615:AE2615&lt;&gt;"")*(COLUMN(AC2615:AE2615)-(COLUMN(AC2615)-2))))-1),"")</f>
        <v>ARCHIVED</v>
      </c>
      <c r="M2615" s="13" t="n">
        <f aca="true">K2615-TODAY()</f>
        <v>-344</v>
      </c>
      <c r="N2615" s="18" t="s">
        <v>4735</v>
      </c>
      <c r="O2615" s="13" t="s">
        <v>10737</v>
      </c>
      <c r="P2615" s="19" t="n">
        <v>2553530</v>
      </c>
      <c r="Q2615" s="47" t="s">
        <v>11191</v>
      </c>
      <c r="R2615" s="13" t="s">
        <v>83</v>
      </c>
      <c r="S2615" s="16" t="n">
        <v>31393</v>
      </c>
      <c r="T2615" s="24" t="s">
        <v>40</v>
      </c>
      <c r="U2615" s="13" t="s">
        <v>11192</v>
      </c>
      <c r="V2615" s="15" t="s">
        <v>42</v>
      </c>
      <c r="W2615" s="13" t="s">
        <v>54</v>
      </c>
      <c r="X2615" s="21" t="n">
        <v>85791159049</v>
      </c>
      <c r="Y2615" s="22" t="str">
        <f aca="false">O2615</f>
        <v>Sales Taking Order</v>
      </c>
      <c r="Z2615" s="13" t="str">
        <f aca="false">IFERROR(__xludf.dummyfunction("if(BJ2615="""","""",GOOGLETRANSLATE(BJ2615,""auto"",""en""))"),"Sales Taking Order")</f>
        <v>Sales Taking Order</v>
      </c>
      <c r="AA2615" s="23" t="str">
        <f aca="false">IF(C2615="","", CHOOSE(MONTH(C2615),"January","February","March","April","May","June","July","August","September","October","November","December")&amp;" "&amp;DAY(C2615)&amp;MID("thstndrdth",MIN(9,2*RIGHT(DAY(C2615))*(MOD(DAY(C2615)-11,100)&gt;2)+1),2)&amp;","&amp;TEXT(C2615," yyyy"))</f>
        <v>August 20th,2025</v>
      </c>
      <c r="AB2615" s="15" t="str">
        <f aca="true">IF(S2615="","",DATEDIF(S2615,TODAY(),"Y")&amp;" Tahun, "&amp;DATEDIF(S2615,TODAY(),"YM")&amp;" Bulan, "&amp;DATEDIF(S2615,TODAY(),"MD")&amp;" Hari")</f>
        <v>40 Tahun, 10 Bulan, 17 Hari</v>
      </c>
      <c r="AC2615" s="18" t="n">
        <v>45889</v>
      </c>
      <c r="AD2615" s="18" t="n">
        <v>45980</v>
      </c>
      <c r="AE2615" s="18" t="s">
        <v>44</v>
      </c>
    </row>
    <row r="2616" customFormat="false" ht="15" hidden="false" customHeight="true" outlineLevel="0" collapsed="false">
      <c r="A2616" s="12" t="n">
        <v>20429</v>
      </c>
      <c r="B2616" s="13" t="s">
        <v>11193</v>
      </c>
      <c r="C2616" s="16" t="n">
        <v>45870</v>
      </c>
      <c r="D2616" s="13" t="s">
        <v>11194</v>
      </c>
      <c r="E2616" s="15" t="s">
        <v>47</v>
      </c>
      <c r="F2616" s="15" t="str">
        <f aca="false">IFERROR(__xludf.dummyfunction("XLOOKUP(AJ2616,IMPORTRANGE(""1XaInW9DU9nz21V0tYIfzFQ0He9kVQ_JF2mCXgZ3hqFA"",""REKAP ALL 2026 - Andika!G:G""),IMPORTRANGE(""1XaInW9DU9nz21V0tYIfzFQ0He9kVQ_JF2mCXgZ3hqFA"",""REKAP ALL 2026 - Andika!F:F""),"""",0)"),"25115953538")</f>
        <v>25115953538</v>
      </c>
      <c r="G2616" s="13" t="s">
        <v>11195</v>
      </c>
      <c r="H2616" s="13" t="s">
        <v>35</v>
      </c>
      <c r="I2616" s="13" t="str">
        <f aca="false">IF(C2616=J2616,"NEW KONTRAK","RE-KONTRAK")</f>
        <v>NEW KONTRAK</v>
      </c>
      <c r="J2616" s="16" t="n">
        <f aca="false" t="array" ref="J2616:J2616">IFERROR(INDEX(AC2616:AE2616,IF(COUNTA(AC2616:AE2616)=0,"",MAX((AC2616:AE2616&lt;&gt;"")*(COLUMN(AC2616:AE2616)-(COLUMN(AC2616)))))-1),"")</f>
        <v>45870</v>
      </c>
      <c r="K2616" s="16" t="n">
        <f aca="false" t="array" ref="K2616:K2616">IFERROR(INDEX(AC2616:AE2616,IF(COUNTA(AC2616:AE2616)=0,"",MAX((AC2616:AE2616&lt;&gt;"")*(COLUMN(AC2616:AE2616)-(COLUMN(AC2616)-1))))-1),"")</f>
        <v>46053</v>
      </c>
      <c r="L2616" s="17" t="str">
        <f aca="false" t="array" ref="L2616:L2616">IFERROR(INDEX(AC2616:AE2616,IF(COUNTA(AC2616:AE2616)=0,"",MAX((AC2616:AE2616&lt;&gt;"")*(COLUMN(AC2616:AE2616)-(COLUMN(AC2616)-2))))-1),"")</f>
        <v>ARCHIVED</v>
      </c>
      <c r="M2616" s="13" t="n">
        <f aca="true">K2616-TODAY()</f>
        <v>-271</v>
      </c>
      <c r="N2616" s="18" t="s">
        <v>728</v>
      </c>
      <c r="O2616" s="13" t="s">
        <v>11196</v>
      </c>
      <c r="P2616" s="19" t="n">
        <v>140000</v>
      </c>
      <c r="Q2616" s="47" t="s">
        <v>11197</v>
      </c>
      <c r="R2616" s="13" t="s">
        <v>4903</v>
      </c>
      <c r="S2616" s="16" t="n">
        <v>34298</v>
      </c>
      <c r="T2616" s="24" t="s">
        <v>40</v>
      </c>
      <c r="U2616" s="13" t="s">
        <v>11198</v>
      </c>
      <c r="V2616" s="15" t="s">
        <v>99</v>
      </c>
      <c r="W2616" s="13" t="s">
        <v>54</v>
      </c>
      <c r="X2616" s="21" t="n">
        <v>87762828316</v>
      </c>
      <c r="Y2616" s="22" t="str">
        <f aca="false">O2616</f>
        <v>Helper Gudang</v>
      </c>
      <c r="Z2616" s="13" t="str">
        <f aca="false">IFERROR(__xludf.dummyfunction("if(BJ2616="""","""",GOOGLETRANSLATE(BJ2616,""auto"",""en""))"),"Helper Gudang")</f>
        <v>Helper Gudang</v>
      </c>
      <c r="AA2616" s="23" t="str">
        <f aca="false">IF(C2616="","", CHOOSE(MONTH(C2616),"January","February","March","April","May","June","July","August","September","October","November","December")&amp;" "&amp;DAY(C2616)&amp;MID("thstndrdth",MIN(9,2*RIGHT(DAY(C2616))*(MOD(DAY(C2616)-11,100)&gt;2)+1),2)&amp;","&amp;TEXT(C2616," yyyy"))</f>
        <v>August 1st,2025</v>
      </c>
      <c r="AB2616" s="15" t="str">
        <f aca="true">IF(S2616="","",DATEDIF(S2616,TODAY(),"Y")&amp;" Tahun, "&amp;DATEDIF(S2616,TODAY(),"YM")&amp;" Bulan, "&amp;DATEDIF(S2616,TODAY(),"MD")&amp;" Hari")</f>
        <v>32 Tahun, 11 Bulan, 4 Hari</v>
      </c>
      <c r="AC2616" s="70" t="n">
        <v>45870</v>
      </c>
      <c r="AD2616" s="70" t="n">
        <v>46053</v>
      </c>
      <c r="AE2616" s="70" t="s">
        <v>44</v>
      </c>
    </row>
    <row r="2617" customFormat="false" ht="15" hidden="false" customHeight="true" outlineLevel="0" collapsed="false">
      <c r="A2617" s="12" t="n">
        <v>20424</v>
      </c>
      <c r="B2617" s="13" t="s">
        <v>11199</v>
      </c>
      <c r="C2617" s="16" t="n">
        <v>45889</v>
      </c>
      <c r="D2617" s="13" t="s">
        <v>10735</v>
      </c>
      <c r="E2617" s="15" t="s">
        <v>33</v>
      </c>
      <c r="F2617" s="24" t="s">
        <v>11200</v>
      </c>
      <c r="G2617" s="13" t="s">
        <v>11201</v>
      </c>
      <c r="H2617" s="13" t="s">
        <v>35</v>
      </c>
      <c r="I2617" s="13" t="str">
        <f aca="false">IF(C2617=J2617,"NEW KONTRAK","RE-KONTRAK")</f>
        <v>NEW KONTRAK</v>
      </c>
      <c r="J2617" s="16" t="n">
        <f aca="false" t="array" ref="J2617:J2617">IFERROR(INDEX(AC2617:AE2617,IF(COUNTA(AC2617:AE2617)=0,"",MAX((AC2617:AE2617&lt;&gt;"")*(COLUMN(AC2617:AE2617)-(COLUMN(AC2617)))))-1),"")</f>
        <v>45889</v>
      </c>
      <c r="K2617" s="16" t="n">
        <f aca="false" t="array" ref="K2617:K2617">IFERROR(INDEX(AC2617:AE2617,IF(COUNTA(AC2617:AE2617)=0,"",MAX((AC2617:AE2617&lt;&gt;"")*(COLUMN(AC2617:AE2617)-(COLUMN(AC2617)-1))))-1),"")</f>
        <v>45980</v>
      </c>
      <c r="L2617" s="17" t="str">
        <f aca="false" t="array" ref="L2617:L2617">IFERROR(INDEX(AC2617:AE2617,IF(COUNTA(AC2617:AE2617)=0,"",MAX((AC2617:AE2617&lt;&gt;"")*(COLUMN(AC2617:AE2617)-(COLUMN(AC2617)-2))))-1),"")</f>
        <v>ARCHIVED</v>
      </c>
      <c r="M2617" s="13" t="n">
        <f aca="true">K2617-TODAY()</f>
        <v>-344</v>
      </c>
      <c r="N2617" s="18" t="s">
        <v>728</v>
      </c>
      <c r="O2617" s="13" t="s">
        <v>10737</v>
      </c>
      <c r="P2617" s="19" t="n">
        <v>3961753</v>
      </c>
      <c r="Q2617" s="47" t="s">
        <v>11202</v>
      </c>
      <c r="R2617" s="13" t="s">
        <v>52</v>
      </c>
      <c r="S2617" s="16" t="n">
        <v>31656</v>
      </c>
      <c r="T2617" s="15" t="s">
        <v>108</v>
      </c>
      <c r="U2617" s="13" t="s">
        <v>11203</v>
      </c>
      <c r="V2617" s="15" t="s">
        <v>42</v>
      </c>
      <c r="W2617" s="13" t="s">
        <v>897</v>
      </c>
      <c r="X2617" s="21" t="n">
        <v>85231560717</v>
      </c>
      <c r="Y2617" s="22" t="str">
        <f aca="false">O2617</f>
        <v>Sales Taking Order</v>
      </c>
      <c r="Z2617" s="13" t="str">
        <f aca="false">IFERROR(__xludf.dummyfunction("if(BJ2617="""","""",GOOGLETRANSLATE(BJ2617,""auto"",""en""))"),"Sales Taking Order")</f>
        <v>Sales Taking Order</v>
      </c>
      <c r="AA2617" s="23" t="str">
        <f aca="false">IF(C2617="","", CHOOSE(MONTH(C2617),"January","February","March","April","May","June","July","August","September","October","November","December")&amp;" "&amp;DAY(C2617)&amp;MID("thstndrdth",MIN(9,2*RIGHT(DAY(C2617))*(MOD(DAY(C2617)-11,100)&gt;2)+1),2)&amp;","&amp;TEXT(C2617," yyyy"))</f>
        <v>August 20th,2025</v>
      </c>
      <c r="AB2617" s="15" t="str">
        <f aca="true">IF(S2617="","",DATEDIF(S2617,TODAY(),"Y")&amp;" Tahun, "&amp;DATEDIF(S2617,TODAY(),"YM")&amp;" Bulan, "&amp;DATEDIF(S2617,TODAY(),"MD")&amp;" Hari")</f>
        <v>40 Tahun, 1 Bulan, 28 Hari</v>
      </c>
      <c r="AC2617" s="18" t="n">
        <v>45889</v>
      </c>
      <c r="AD2617" s="18" t="n">
        <v>45980</v>
      </c>
      <c r="AE2617" s="18" t="s">
        <v>44</v>
      </c>
    </row>
    <row r="2618" customFormat="false" ht="15" hidden="false" customHeight="true" outlineLevel="0" collapsed="false">
      <c r="A2618" s="12" t="n">
        <v>20425</v>
      </c>
      <c r="B2618" s="13" t="s">
        <v>11204</v>
      </c>
      <c r="C2618" s="16" t="n">
        <v>45889</v>
      </c>
      <c r="D2618" s="13" t="s">
        <v>10735</v>
      </c>
      <c r="E2618" s="15" t="s">
        <v>33</v>
      </c>
      <c r="F2618" s="24" t="s">
        <v>11205</v>
      </c>
      <c r="G2618" s="13" t="s">
        <v>11206</v>
      </c>
      <c r="H2618" s="13" t="s">
        <v>35</v>
      </c>
      <c r="I2618" s="13" t="str">
        <f aca="false">IF(C2618=J2618,"NEW KONTRAK","RE-KONTRAK")</f>
        <v>NEW KONTRAK</v>
      </c>
      <c r="J2618" s="16" t="n">
        <f aca="false" t="array" ref="J2618:J2618">IFERROR(INDEX(AC2618:AE2618,IF(COUNTA(AC2618:AE2618)=0,"",MAX((AC2618:AE2618&lt;&gt;"")*(COLUMN(AC2618:AE2618)-(COLUMN(AC2618)))))-1),"")</f>
        <v>45889</v>
      </c>
      <c r="K2618" s="16" t="n">
        <f aca="false" t="array" ref="K2618:K2618">IFERROR(INDEX(AC2618:AE2618,IF(COUNTA(AC2618:AE2618)=0,"",MAX((AC2618:AE2618&lt;&gt;"")*(COLUMN(AC2618:AE2618)-(COLUMN(AC2618)-1))))-1),"")</f>
        <v>45980</v>
      </c>
      <c r="L2618" s="17" t="str">
        <f aca="false" t="array" ref="L2618:L2618">IFERROR(INDEX(AC2618:AE2618,IF(COUNTA(AC2618:AE2618)=0,"",MAX((AC2618:AE2618&lt;&gt;"")*(COLUMN(AC2618:AE2618)-(COLUMN(AC2618)-2))))-1),"")</f>
        <v>ARCHIVED</v>
      </c>
      <c r="M2618" s="13" t="n">
        <f aca="true">K2618-TODAY()</f>
        <v>-344</v>
      </c>
      <c r="N2618" s="18" t="s">
        <v>383</v>
      </c>
      <c r="O2618" s="13" t="s">
        <v>10737</v>
      </c>
      <c r="P2618" s="19" t="n">
        <v>2553530</v>
      </c>
      <c r="Q2618" s="47" t="s">
        <v>11207</v>
      </c>
      <c r="R2618" s="13" t="s">
        <v>78</v>
      </c>
      <c r="S2618" s="16" t="n">
        <v>36959</v>
      </c>
      <c r="T2618" s="24" t="s">
        <v>40</v>
      </c>
      <c r="U2618" s="13" t="s">
        <v>11208</v>
      </c>
      <c r="V2618" s="15" t="s">
        <v>42</v>
      </c>
      <c r="W2618" s="13" t="s">
        <v>43</v>
      </c>
      <c r="X2618" s="21" t="n">
        <v>89602420400</v>
      </c>
      <c r="Y2618" s="22" t="str">
        <f aca="false">O2618</f>
        <v>Sales Taking Order</v>
      </c>
      <c r="Z2618" s="13" t="str">
        <f aca="false">IFERROR(__xludf.dummyfunction("if(BJ2618="""","""",GOOGLETRANSLATE(BJ2618,""auto"",""en""))"),"Sales Taking Order")</f>
        <v>Sales Taking Order</v>
      </c>
      <c r="AA2618" s="23" t="str">
        <f aca="false">IF(C2618="","", CHOOSE(MONTH(C2618),"January","February","March","April","May","June","July","August","September","October","November","December")&amp;" "&amp;DAY(C2618)&amp;MID("thstndrdth",MIN(9,2*RIGHT(DAY(C2618))*(MOD(DAY(C2618)-11,100)&gt;2)+1),2)&amp;","&amp;TEXT(C2618," yyyy"))</f>
        <v>August 20th,2025</v>
      </c>
      <c r="AB2618" s="15" t="str">
        <f aca="true">IF(S2618="","",DATEDIF(S2618,TODAY(),"Y")&amp;" Tahun, "&amp;DATEDIF(S2618,TODAY(),"YM")&amp;" Bulan, "&amp;DATEDIF(S2618,TODAY(),"MD")&amp;" Hari")</f>
        <v>25 Tahun, 7 Bulan, 20 Hari</v>
      </c>
      <c r="AC2618" s="18" t="n">
        <v>45889</v>
      </c>
      <c r="AD2618" s="18" t="n">
        <v>45980</v>
      </c>
      <c r="AE2618" s="18" t="s">
        <v>44</v>
      </c>
    </row>
    <row r="2619" customFormat="false" ht="15" hidden="false" customHeight="true" outlineLevel="0" collapsed="false">
      <c r="A2619" s="12" t="n">
        <v>20426</v>
      </c>
      <c r="B2619" s="13" t="s">
        <v>11209</v>
      </c>
      <c r="C2619" s="16" t="n">
        <v>45889</v>
      </c>
      <c r="D2619" s="13" t="s">
        <v>10735</v>
      </c>
      <c r="E2619" s="15" t="s">
        <v>11210</v>
      </c>
      <c r="F2619" s="24" t="s">
        <v>11211</v>
      </c>
      <c r="G2619" s="13" t="s">
        <v>11212</v>
      </c>
      <c r="H2619" s="13" t="s">
        <v>35</v>
      </c>
      <c r="I2619" s="13" t="str">
        <f aca="false">IF(C2619=J2619,"NEW KONTRAK","RE-KONTRAK")</f>
        <v>NEW KONTRAK</v>
      </c>
      <c r="J2619" s="16" t="n">
        <f aca="false" t="array" ref="J2619:J2619">IFERROR(INDEX(AC2619:AE2619,IF(COUNTA(AC2619:AE2619)=0,"",MAX((AC2619:AE2619&lt;&gt;"")*(COLUMN(AC2619:AE2619)-(COLUMN(AC2619)))))-1),"")</f>
        <v>45889</v>
      </c>
      <c r="K2619" s="16" t="n">
        <f aca="false" t="array" ref="K2619:K2619">IFERROR(INDEX(AC2619:AE2619,IF(COUNTA(AC2619:AE2619)=0,"",MAX((AC2619:AE2619&lt;&gt;"")*(COLUMN(AC2619:AE2619)-(COLUMN(AC2619)-1))))-1),"")</f>
        <v>45980</v>
      </c>
      <c r="L2619" s="17" t="str">
        <f aca="false" t="array" ref="L2619:L2619">IFERROR(INDEX(AC2619:AE2619,IF(COUNTA(AC2619:AE2619)=0,"",MAX((AC2619:AE2619&lt;&gt;"")*(COLUMN(AC2619:AE2619)-(COLUMN(AC2619)-2))))-1),"")</f>
        <v>ARCHIVED</v>
      </c>
      <c r="M2619" s="13" t="n">
        <f aca="true">K2619-TODAY()</f>
        <v>-344</v>
      </c>
      <c r="N2619" s="18" t="s">
        <v>383</v>
      </c>
      <c r="O2619" s="13" t="s">
        <v>10737</v>
      </c>
      <c r="P2619" s="19" t="n">
        <v>2553530</v>
      </c>
      <c r="Q2619" s="47" t="s">
        <v>11213</v>
      </c>
      <c r="R2619" s="13" t="s">
        <v>826</v>
      </c>
      <c r="S2619" s="16" t="n">
        <v>32224</v>
      </c>
      <c r="T2619" s="24" t="s">
        <v>40</v>
      </c>
      <c r="U2619" s="13" t="s">
        <v>11214</v>
      </c>
      <c r="V2619" s="15" t="s">
        <v>42</v>
      </c>
      <c r="W2619" s="13" t="s">
        <v>54</v>
      </c>
      <c r="X2619" s="21" t="n">
        <v>85769416008</v>
      </c>
      <c r="Y2619" s="22" t="str">
        <f aca="false">O2619</f>
        <v>Sales Taking Order</v>
      </c>
      <c r="Z2619" s="13" t="str">
        <f aca="false">IFERROR(__xludf.dummyfunction("if(BJ2619="""","""",GOOGLETRANSLATE(BJ2619,""auto"",""en""))"),"Sales Taking Order")</f>
        <v>Sales Taking Order</v>
      </c>
      <c r="AA2619" s="23" t="str">
        <f aca="false">IF(C2619="","", CHOOSE(MONTH(C2619),"January","February","March","April","May","June","July","August","September","October","November","December")&amp;" "&amp;DAY(C2619)&amp;MID("thstndrdth",MIN(9,2*RIGHT(DAY(C2619))*(MOD(DAY(C2619)-11,100)&gt;2)+1),2)&amp;","&amp;TEXT(C2619," yyyy"))</f>
        <v>August 20th,2025</v>
      </c>
      <c r="AB2619" s="15" t="str">
        <f aca="true">IF(S2619="","",DATEDIF(S2619,TODAY(),"Y")&amp;" Tahun, "&amp;DATEDIF(S2619,TODAY(),"YM")&amp;" Bulan, "&amp;DATEDIF(S2619,TODAY(),"MD")&amp;" Hari")</f>
        <v>38 Tahun, 7 Bulan, 7 Hari</v>
      </c>
      <c r="AC2619" s="18" t="n">
        <v>45889</v>
      </c>
      <c r="AD2619" s="18" t="n">
        <v>45980</v>
      </c>
      <c r="AE2619" s="18" t="s">
        <v>44</v>
      </c>
    </row>
    <row r="2620" customFormat="false" ht="15" hidden="false" customHeight="true" outlineLevel="0" collapsed="false">
      <c r="A2620" s="12" t="n">
        <v>20433</v>
      </c>
      <c r="B2620" s="13" t="s">
        <v>11215</v>
      </c>
      <c r="C2620" s="16" t="n">
        <v>45890</v>
      </c>
      <c r="D2620" s="13" t="s">
        <v>1338</v>
      </c>
      <c r="E2620" s="15" t="s">
        <v>47</v>
      </c>
      <c r="F2620" s="15" t="str">
        <f aca="false">IFERROR(__xludf.dummyfunction("XLOOKUP(AJ2620,IMPORTRANGE(""1XaInW9DU9nz21V0tYIfzFQ0He9kVQ_JF2mCXgZ3hqFA"",""REKAP ALL 2026 - Andika!G:G""),IMPORTRANGE(""1XaInW9DU9nz21V0tYIfzFQ0He9kVQ_JF2mCXgZ3hqFA"",""REKAP ALL 2026 - Andika!F:F""),"""",0)"),"25115947134")</f>
        <v>25115947134</v>
      </c>
      <c r="G2620" s="13" t="s">
        <v>57</v>
      </c>
      <c r="H2620" s="13" t="s">
        <v>3024</v>
      </c>
      <c r="I2620" s="13" t="str">
        <f aca="false">IF(C2620=J2620,"NEW KONTRAK","RE-KONTRAK")</f>
        <v>NEW KONTRAK</v>
      </c>
      <c r="J2620" s="16" t="n">
        <f aca="false" t="array" ref="J2620:J2620">IFERROR(INDEX(AC2620:AE2620,IF(COUNTA(AC2620:AE2620)=0,"",MAX((AC2620:AE2620&lt;&gt;"")*(COLUMN(AC2620:AE2620)-(COLUMN(AC2620)))))-1),"")</f>
        <v>45890</v>
      </c>
      <c r="K2620" s="16" t="n">
        <f aca="false" t="array" ref="K2620:K2620">IFERROR(INDEX(AC2620:AE2620,IF(COUNTA(AC2620:AE2620)=0,"",MAX((AC2620:AE2620&lt;&gt;"")*(COLUMN(AC2620:AE2620)-(COLUMN(AC2620)-1))))-1),"")</f>
        <v>45981</v>
      </c>
      <c r="L2620" s="17" t="str">
        <f aca="false" t="array" ref="L2620:L2620">IFERROR(INDEX(AC2620:AE2620,IF(COUNTA(AC2620:AE2620)=0,"",MAX((AC2620:AE2620&lt;&gt;"")*(COLUMN(AC2620:AE2620)-(COLUMN(AC2620)-2))))-1),"")</f>
        <v>KEMBALI</v>
      </c>
      <c r="M2620" s="13" t="n">
        <f aca="true">K2620-TODAY()</f>
        <v>-343</v>
      </c>
      <c r="N2620" s="18" t="s">
        <v>615</v>
      </c>
      <c r="O2620" s="13" t="s">
        <v>2335</v>
      </c>
      <c r="P2620" s="19" t="n">
        <v>160000</v>
      </c>
      <c r="Q2620" s="47" t="s">
        <v>11216</v>
      </c>
      <c r="R2620" s="13" t="s">
        <v>232</v>
      </c>
      <c r="S2620" s="16" t="n">
        <v>34109</v>
      </c>
      <c r="T2620" s="28" t="s">
        <v>40</v>
      </c>
      <c r="U2620" s="13" t="s">
        <v>11217</v>
      </c>
      <c r="V2620" s="13" t="s">
        <v>42</v>
      </c>
      <c r="W2620" s="13" t="s">
        <v>43</v>
      </c>
      <c r="X2620" s="30" t="n">
        <v>89809521456</v>
      </c>
      <c r="Y2620" s="22" t="str">
        <f aca="false">O2620</f>
        <v>Project Management</v>
      </c>
      <c r="Z2620" s="13" t="str">
        <f aca="false">IFERROR(__xludf.dummyfunction("if(BJ2620="""","""",GOOGLETRANSLATE(BJ2620,""auto"",""en""))"),"Project Management")</f>
        <v>Project Management</v>
      </c>
      <c r="AA2620" s="23" t="str">
        <f aca="false">IF(C2620="","", CHOOSE(MONTH(C2620),"January","February","March","April","May","June","July","August","September","October","November","December")&amp;" "&amp;DAY(C2620)&amp;MID("thstndrdth",MIN(9,2*RIGHT(DAY(C2620))*(MOD(DAY(C2620)-11,100)&gt;2)+1),2)&amp;","&amp;TEXT(C2620," yyyy"))</f>
        <v>August 21st,2025</v>
      </c>
      <c r="AB2620" s="15" t="str">
        <f aca="true">IF(S2620="","",DATEDIF(S2620,TODAY(),"Y")&amp;" Tahun, "&amp;DATEDIF(S2620,TODAY(),"YM")&amp;" Bulan, "&amp;DATEDIF(S2620,TODAY(),"MD")&amp;" Hari")</f>
        <v>33 Tahun, 5 Bulan, 9 Hari</v>
      </c>
      <c r="AC2620" s="18" t="n">
        <v>45890</v>
      </c>
      <c r="AD2620" s="18" t="n">
        <v>45981</v>
      </c>
      <c r="AE2620" s="13" t="s">
        <v>397</v>
      </c>
    </row>
    <row r="2621" customFormat="false" ht="15" hidden="false" customHeight="true" outlineLevel="0" collapsed="false">
      <c r="A2621" s="12" t="n">
        <v>20440</v>
      </c>
      <c r="B2621" s="13" t="s">
        <v>11218</v>
      </c>
      <c r="C2621" s="16" t="n">
        <v>45894</v>
      </c>
      <c r="D2621" s="13" t="s">
        <v>7534</v>
      </c>
      <c r="E2621" s="15" t="s">
        <v>47</v>
      </c>
      <c r="F2621" s="15" t="str">
        <f aca="false">IFERROR(__xludf.dummyfunction("XLOOKUP(AJ2621,IMPORTRANGE(""1XaInW9DU9nz21V0tYIfzFQ0He9kVQ_JF2mCXgZ3hqFA"",""REKAP ALL 2026 - Andika!G:G""),IMPORTRANGE(""1XaInW9DU9nz21V0tYIfzFQ0He9kVQ_JF2mCXgZ3hqFA"",""REKAP ALL 2026 - Andika!F:F""),"""",0)"),"25115949734")</f>
        <v>25115949734</v>
      </c>
      <c r="G2621" s="13" t="s">
        <v>11219</v>
      </c>
      <c r="H2621" s="13" t="s">
        <v>35</v>
      </c>
      <c r="I2621" s="13" t="str">
        <f aca="false">IF(C2621=J2621,"NEW KONTRAK","RE-KONTRAK")</f>
        <v>NEW KONTRAK</v>
      </c>
      <c r="J2621" s="16" t="n">
        <f aca="false" t="array" ref="J2621:J2621">IFERROR(INDEX(AC2621:AE2621,IF(COUNTA(AC2621:AE2621)=0,"",MAX((AC2621:AE2621&lt;&gt;"")*(COLUMN(AC2621:AE2621)-(COLUMN(AC2621)))))-1),"")</f>
        <v>45894</v>
      </c>
      <c r="K2621" s="16" t="n">
        <f aca="false" t="array" ref="K2621:K2621">IFERROR(INDEX(AC2621:AE2621,IF(COUNTA(AC2621:AE2621)=0,"",MAX((AC2621:AE2621&lt;&gt;"")*(COLUMN(AC2621:AE2621)-(COLUMN(AC2621)-1))))-1),"")</f>
        <v>45985</v>
      </c>
      <c r="L2621" s="17" t="str">
        <f aca="false" t="array" ref="L2621:L2621">IFERROR(INDEX(AC2621:AE2621,IF(COUNTA(AC2621:AE2621)=0,"",MAX((AC2621:AE2621&lt;&gt;"")*(COLUMN(AC2621:AE2621)-(COLUMN(AC2621)-2))))-1),"")</f>
        <v>ARCHIVED</v>
      </c>
      <c r="M2621" s="13" t="n">
        <f aca="true">K2621-TODAY()</f>
        <v>-339</v>
      </c>
      <c r="N2621" s="18" t="s">
        <v>4735</v>
      </c>
      <c r="O2621" s="13" t="s">
        <v>7536</v>
      </c>
      <c r="P2621" s="19" t="n">
        <v>3553530</v>
      </c>
      <c r="Q2621" s="47" t="s">
        <v>11220</v>
      </c>
      <c r="R2621" s="13" t="s">
        <v>83</v>
      </c>
      <c r="S2621" s="16" t="n">
        <v>38356</v>
      </c>
      <c r="T2621" s="15" t="s">
        <v>108</v>
      </c>
      <c r="U2621" s="13" t="s">
        <v>11221</v>
      </c>
      <c r="V2621" s="15" t="s">
        <v>42</v>
      </c>
      <c r="W2621" s="13" t="s">
        <v>43</v>
      </c>
      <c r="X2621" s="21" t="n">
        <v>81330250940</v>
      </c>
      <c r="Y2621" s="22" t="str">
        <f aca="false">O2621</f>
        <v>Host Live</v>
      </c>
      <c r="Z2621" s="13" t="str">
        <f aca="false">IFERROR(__xludf.dummyfunction("if(BJ2621="""","""",GOOGLETRANSLATE(BJ2621,""auto"",""en""))"),"Host Live")</f>
        <v>Host Live</v>
      </c>
      <c r="AA2621" s="23" t="str">
        <f aca="false">IF(C2621="","", CHOOSE(MONTH(C2621),"January","February","March","April","May","June","July","August","September","October","November","December")&amp;" "&amp;DAY(C2621)&amp;MID("thstndrdth",MIN(9,2*RIGHT(DAY(C2621))*(MOD(DAY(C2621)-11,100)&gt;2)+1),2)&amp;","&amp;TEXT(C2621," yyyy"))</f>
        <v>August 25th,2025</v>
      </c>
      <c r="AB2621" s="15" t="str">
        <f aca="true">IF(S2621="","",DATEDIF(S2621,TODAY(),"Y")&amp;" Tahun, "&amp;DATEDIF(S2621,TODAY(),"YM")&amp;" Bulan, "&amp;DATEDIF(S2621,TODAY(),"MD")&amp;" Hari")</f>
        <v>21 Tahun, 9 Bulan, 25 Hari</v>
      </c>
      <c r="AC2621" s="18" t="n">
        <v>45894</v>
      </c>
      <c r="AD2621" s="18" t="n">
        <v>45985</v>
      </c>
      <c r="AE2621" s="18" t="s">
        <v>44</v>
      </c>
    </row>
    <row r="2622" customFormat="false" ht="15" hidden="false" customHeight="true" outlineLevel="0" collapsed="false">
      <c r="A2622" s="12" t="n">
        <v>20509</v>
      </c>
      <c r="B2622" s="13" t="s">
        <v>11222</v>
      </c>
      <c r="C2622" s="16" t="n">
        <v>45894</v>
      </c>
      <c r="D2622" s="13" t="s">
        <v>144</v>
      </c>
      <c r="E2622" s="15" t="s">
        <v>47</v>
      </c>
      <c r="F2622" s="15" t="str">
        <f aca="false">IFERROR(__xludf.dummyfunction("XLOOKUP(AJ2622,IMPORTRANGE(""1XaInW9DU9nz21V0tYIfzFQ0He9kVQ_JF2mCXgZ3hqFA"",""REKAP ALL 2026 - Andika!G:G""),IMPORTRANGE(""1XaInW9DU9nz21V0tYIfzFQ0He9kVQ_JF2mCXgZ3hqFA"",""REKAP ALL 2026 - Andika!F:F""),"""",0)"),"25115952662")</f>
        <v>25115952662</v>
      </c>
      <c r="G2622" s="13" t="s">
        <v>11223</v>
      </c>
      <c r="H2622" s="13" t="s">
        <v>35</v>
      </c>
      <c r="I2622" s="13" t="str">
        <f aca="false">IF(C2622=J2622,"NEW KONTRAK","RE-KONTRAK")</f>
        <v>NEW KONTRAK</v>
      </c>
      <c r="J2622" s="16" t="n">
        <f aca="false" t="array" ref="J2622:J2622">IFERROR(INDEX(AC2622:AE2622,IF(COUNTA(AC2622:AE2622)=0,"",MAX((AC2622:AE2622&lt;&gt;"")*(COLUMN(AC2622:AE2622)-(COLUMN(AC2622)))))-1),"")</f>
        <v>45894</v>
      </c>
      <c r="K2622" s="16" t="n">
        <f aca="false" t="array" ref="K2622:K2622">IFERROR(INDEX(AC2622:AE2622,IF(COUNTA(AC2622:AE2622)=0,"",MAX((AC2622:AE2622&lt;&gt;"")*(COLUMN(AC2622:AE2622)-(COLUMN(AC2622)-1))))-1),"")</f>
        <v>46022</v>
      </c>
      <c r="L2622" s="17" t="str">
        <f aca="false" t="array" ref="L2622:L2622">IFERROR(INDEX(AC2622:AE2622,IF(COUNTA(AC2622:AE2622)=0,"",MAX((AC2622:AE2622&lt;&gt;"")*(COLUMN(AC2622:AE2622)-(COLUMN(AC2622)-2))))-1),"")</f>
        <v>ARCHIVED</v>
      </c>
      <c r="M2622" s="13" t="n">
        <f aca="true">K2622-TODAY()</f>
        <v>-302</v>
      </c>
      <c r="N2622" s="18" t="s">
        <v>36</v>
      </c>
      <c r="O2622" s="13" t="s">
        <v>9279</v>
      </c>
      <c r="P2622" s="19" t="n">
        <v>5195401</v>
      </c>
      <c r="Q2622" s="47" t="s">
        <v>11224</v>
      </c>
      <c r="R2622" s="13" t="s">
        <v>52</v>
      </c>
      <c r="S2622" s="16" t="n">
        <v>37104</v>
      </c>
      <c r="T2622" s="13" t="s">
        <v>40</v>
      </c>
      <c r="U2622" s="13" t="s">
        <v>11225</v>
      </c>
      <c r="V2622" s="13" t="s">
        <v>42</v>
      </c>
      <c r="W2622" s="13" t="s">
        <v>43</v>
      </c>
      <c r="X2622" s="67" t="n">
        <v>89509552692</v>
      </c>
      <c r="Y2622" s="22" t="str">
        <f aca="false">O2622</f>
        <v>Picker Gudang</v>
      </c>
      <c r="Z2622" s="13" t="str">
        <f aca="false">IFERROR(__xludf.dummyfunction("if(BJ2622="""","""",GOOGLETRANSLATE(BJ2622,""auto"",""en""))"),"Warehouse Picker")</f>
        <v>Warehouse Picker</v>
      </c>
      <c r="AA2622" s="23" t="str">
        <f aca="false">IF(C2622="","", CHOOSE(MONTH(C2622),"January","February","March","April","May","June","July","August","September","October","November","December")&amp;" "&amp;DAY(C2622)&amp;MID("thstndrdth",MIN(9,2*RIGHT(DAY(C2622))*(MOD(DAY(C2622)-11,100)&gt;2)+1),2)&amp;","&amp;TEXT(C2622," yyyy"))</f>
        <v>August 25th,2025</v>
      </c>
      <c r="AB2622" s="15" t="str">
        <f aca="true">IF(S2622="","",DATEDIF(S2622,TODAY(),"Y")&amp;" Tahun, "&amp;DATEDIF(S2622,TODAY(),"YM")&amp;" Bulan, "&amp;DATEDIF(S2622,TODAY(),"MD")&amp;" Hari")</f>
        <v>25 Tahun, 2 Bulan, 28 Hari</v>
      </c>
      <c r="AC2622" s="18" t="n">
        <v>45894</v>
      </c>
      <c r="AD2622" s="18" t="n">
        <v>46022</v>
      </c>
      <c r="AE2622" s="18" t="s">
        <v>44</v>
      </c>
    </row>
    <row r="2623" customFormat="false" ht="15" hidden="false" customHeight="true" outlineLevel="0" collapsed="false">
      <c r="A2623" s="12" t="n">
        <v>20511</v>
      </c>
      <c r="B2623" s="13" t="s">
        <v>11226</v>
      </c>
      <c r="C2623" s="16" t="n">
        <v>45896</v>
      </c>
      <c r="D2623" s="13" t="s">
        <v>144</v>
      </c>
      <c r="E2623" s="15" t="s">
        <v>47</v>
      </c>
      <c r="F2623" s="15" t="str">
        <f aca="false">IFERROR(__xludf.dummyfunction("XLOOKUP(AJ2623,IMPORTRANGE(""1XaInW9DU9nz21V0tYIfzFQ0He9kVQ_JF2mCXgZ3hqFA"",""REKAP ALL 2026 - Andika!G:G""),IMPORTRANGE(""1XaInW9DU9nz21V0tYIfzFQ0He9kVQ_JF2mCXgZ3hqFA"",""REKAP ALL 2026 - Andika!F:F""),"""",0)"),"25115952712")</f>
        <v>25115952712</v>
      </c>
      <c r="G2623" s="13" t="s">
        <v>11227</v>
      </c>
      <c r="H2623" s="13" t="s">
        <v>35</v>
      </c>
      <c r="I2623" s="13" t="str">
        <f aca="false">IF(C2623=J2623,"NEW KONTRAK","RE-KONTRAK")</f>
        <v>NEW KONTRAK</v>
      </c>
      <c r="J2623" s="16" t="n">
        <f aca="false" t="array" ref="J2623:J2623">IFERROR(INDEX(AC2623:AE2623,IF(COUNTA(AC2623:AE2623)=0,"",MAX((AC2623:AE2623&lt;&gt;"")*(COLUMN(AC2623:AE2623)-(COLUMN(AC2623)))))-1),"")</f>
        <v>45896</v>
      </c>
      <c r="K2623" s="16" t="n">
        <f aca="false" t="array" ref="K2623:K2623">IFERROR(INDEX(AC2623:AE2623,IF(COUNTA(AC2623:AE2623)=0,"",MAX((AC2623:AE2623&lt;&gt;"")*(COLUMN(AC2623:AE2623)-(COLUMN(AC2623)-1))))-1),"")</f>
        <v>46022</v>
      </c>
      <c r="L2623" s="17" t="str">
        <f aca="false" t="array" ref="L2623:L2623">IFERROR(INDEX(AC2623:AE2623,IF(COUNTA(AC2623:AE2623)=0,"",MAX((AC2623:AE2623&lt;&gt;"")*(COLUMN(AC2623:AE2623)-(COLUMN(AC2623)-2))))-1),"")</f>
        <v>ARCHIVED</v>
      </c>
      <c r="M2623" s="13" t="n">
        <f aca="true">K2623-TODAY()</f>
        <v>-302</v>
      </c>
      <c r="N2623" s="18" t="s">
        <v>36</v>
      </c>
      <c r="O2623" s="13" t="s">
        <v>9279</v>
      </c>
      <c r="P2623" s="19" t="n">
        <v>5195401</v>
      </c>
      <c r="Q2623" s="47" t="s">
        <v>11228</v>
      </c>
      <c r="R2623" s="13" t="s">
        <v>52</v>
      </c>
      <c r="S2623" s="16" t="n">
        <v>34692</v>
      </c>
      <c r="T2623" s="13" t="s">
        <v>40</v>
      </c>
      <c r="U2623" s="13" t="s">
        <v>11229</v>
      </c>
      <c r="V2623" s="13" t="s">
        <v>42</v>
      </c>
      <c r="W2623" s="13" t="s">
        <v>43</v>
      </c>
      <c r="X2623" s="67" t="n">
        <v>85158949775</v>
      </c>
      <c r="Y2623" s="22" t="str">
        <f aca="false">O2623</f>
        <v>Picker Gudang</v>
      </c>
      <c r="Z2623" s="13" t="str">
        <f aca="false">IFERROR(__xludf.dummyfunction("if(BJ2623="""","""",GOOGLETRANSLATE(BJ2623,""auto"",""en""))"),"Warehouse Picker")</f>
        <v>Warehouse Picker</v>
      </c>
      <c r="AA2623" s="23" t="str">
        <f aca="false">IF(C2623="","", CHOOSE(MONTH(C2623),"January","February","March","April","May","June","July","August","September","October","November","December")&amp;" "&amp;DAY(C2623)&amp;MID("thstndrdth",MIN(9,2*RIGHT(DAY(C2623))*(MOD(DAY(C2623)-11,100)&gt;2)+1),2)&amp;","&amp;TEXT(C2623," yyyy"))</f>
        <v>August 27th,2025</v>
      </c>
      <c r="AB2623" s="15" t="str">
        <f aca="true">IF(S2623="","",DATEDIF(S2623,TODAY(),"Y")&amp;" Tahun, "&amp;DATEDIF(S2623,TODAY(),"YM")&amp;" Bulan, "&amp;DATEDIF(S2623,TODAY(),"MD")&amp;" Hari")</f>
        <v>31 Tahun, 10 Bulan, 5 Hari</v>
      </c>
      <c r="AC2623" s="18" t="n">
        <v>45896</v>
      </c>
      <c r="AD2623" s="18" t="n">
        <v>46022</v>
      </c>
      <c r="AE2623" s="18" t="s">
        <v>44</v>
      </c>
    </row>
    <row r="2624" customFormat="false" ht="15" hidden="false" customHeight="true" outlineLevel="0" collapsed="false">
      <c r="A2624" s="12" t="n">
        <v>20510</v>
      </c>
      <c r="B2624" s="13" t="s">
        <v>11230</v>
      </c>
      <c r="C2624" s="16" t="n">
        <v>45894</v>
      </c>
      <c r="D2624" s="13" t="s">
        <v>144</v>
      </c>
      <c r="E2624" s="15" t="s">
        <v>11231</v>
      </c>
      <c r="F2624" s="15" t="str">
        <f aca="false">IFERROR(__xludf.dummyfunction("XLOOKUP(AJ2624,IMPORTRANGE(""1XaInW9DU9nz21V0tYIfzFQ0He9kVQ_JF2mCXgZ3hqFA"",""REKAP ALL 2026 - Andika!G:G""),IMPORTRANGE(""1XaInW9DU9nz21V0tYIfzFQ0He9kVQ_JF2mCXgZ3hqFA"",""REKAP ALL 2026 - Andika!F:F""),"""",0)"),"25115952696")</f>
        <v>25115952696</v>
      </c>
      <c r="G2624" s="13" t="s">
        <v>11232</v>
      </c>
      <c r="H2624" s="13" t="s">
        <v>35</v>
      </c>
      <c r="I2624" s="13" t="str">
        <f aca="false">IF(C2624=J2624,"NEW KONTRAK","RE-KONTRAK")</f>
        <v>NEW KONTRAK</v>
      </c>
      <c r="J2624" s="16" t="n">
        <f aca="false" t="array" ref="J2624:J2624">IFERROR(INDEX(AC2624:AE2624,IF(COUNTA(AC2624:AE2624)=0,"",MAX((AC2624:AE2624&lt;&gt;"")*(COLUMN(AC2624:AE2624)-(COLUMN(AC2624)))))-1),"")</f>
        <v>45894</v>
      </c>
      <c r="K2624" s="16" t="n">
        <f aca="false" t="array" ref="K2624:K2624">IFERROR(INDEX(AC2624:AE2624,IF(COUNTA(AC2624:AE2624)=0,"",MAX((AC2624:AE2624&lt;&gt;"")*(COLUMN(AC2624:AE2624)-(COLUMN(AC2624)-1))))-1),"")</f>
        <v>46022</v>
      </c>
      <c r="L2624" s="17" t="str">
        <f aca="false" t="array" ref="L2624:L2624">IFERROR(INDEX(AC2624:AE2624,IF(COUNTA(AC2624:AE2624)=0,"",MAX((AC2624:AE2624&lt;&gt;"")*(COLUMN(AC2624:AE2624)-(COLUMN(AC2624)-2))))-1),"")</f>
        <v>ARCHIVED</v>
      </c>
      <c r="M2624" s="13" t="n">
        <f aca="true">K2624-TODAY()</f>
        <v>-302</v>
      </c>
      <c r="N2624" s="18" t="s">
        <v>36</v>
      </c>
      <c r="O2624" s="13" t="s">
        <v>11233</v>
      </c>
      <c r="P2624" s="19" t="n">
        <v>5195401</v>
      </c>
      <c r="Q2624" s="47" t="s">
        <v>11234</v>
      </c>
      <c r="R2624" s="13" t="s">
        <v>255</v>
      </c>
      <c r="S2624" s="16" t="n">
        <v>34130</v>
      </c>
      <c r="T2624" s="13" t="s">
        <v>40</v>
      </c>
      <c r="U2624" s="13" t="s">
        <v>11235</v>
      </c>
      <c r="V2624" s="13" t="s">
        <v>42</v>
      </c>
      <c r="W2624" s="13" t="s">
        <v>54</v>
      </c>
      <c r="X2624" s="67" t="n">
        <v>81915965653</v>
      </c>
      <c r="Y2624" s="22" t="str">
        <f aca="false">O2624</f>
        <v>Checker Gudang</v>
      </c>
      <c r="Z2624" s="13" t="str">
        <f aca="false">IFERROR(__xludf.dummyfunction("if(BJ2624="""","""",GOOGLETRANSLATE(BJ2624,""auto"",""en""))"),"Warehouse Checker")</f>
        <v>Warehouse Checker</v>
      </c>
      <c r="AA2624" s="23" t="str">
        <f aca="false">IF(C2624="","", CHOOSE(MONTH(C2624),"January","February","March","April","May","June","July","August","September","October","November","December")&amp;" "&amp;DAY(C2624)&amp;MID("thstndrdth",MIN(9,2*RIGHT(DAY(C2624))*(MOD(DAY(C2624)-11,100)&gt;2)+1),2)&amp;","&amp;TEXT(C2624," yyyy"))</f>
        <v>August 25th,2025</v>
      </c>
      <c r="AB2624" s="15" t="str">
        <f aca="true">IF(S2624="","",DATEDIF(S2624,TODAY(),"Y")&amp;" Tahun, "&amp;DATEDIF(S2624,TODAY(),"YM")&amp;" Bulan, "&amp;DATEDIF(S2624,TODAY(),"MD")&amp;" Hari")</f>
        <v>33 Tahun, 4 Bulan, 19 Hari</v>
      </c>
      <c r="AC2624" s="18" t="n">
        <v>45894</v>
      </c>
      <c r="AD2624" s="18" t="n">
        <v>46022</v>
      </c>
      <c r="AE2624" s="18" t="s">
        <v>44</v>
      </c>
    </row>
    <row r="2625" customFormat="false" ht="15" hidden="false" customHeight="true" outlineLevel="0" collapsed="false">
      <c r="A2625" s="12" t="n">
        <v>20512</v>
      </c>
      <c r="B2625" s="13" t="s">
        <v>11236</v>
      </c>
      <c r="C2625" s="16" t="n">
        <v>45896</v>
      </c>
      <c r="D2625" s="13" t="s">
        <v>144</v>
      </c>
      <c r="E2625" s="15" t="s">
        <v>47</v>
      </c>
      <c r="F2625" s="15" t="str">
        <f aca="false">IFERROR(__xludf.dummyfunction("XLOOKUP(AJ2625,IMPORTRANGE(""1XaInW9DU9nz21V0tYIfzFQ0He9kVQ_JF2mCXgZ3hqFA"",""REKAP ALL 2026 - Andika!G:G""),IMPORTRANGE(""1XaInW9DU9nz21V0tYIfzFQ0He9kVQ_JF2mCXgZ3hqFA"",""REKAP ALL 2026 - Andika!F:F""),"""",0)"),"25115952738")</f>
        <v>25115952738</v>
      </c>
      <c r="G2625" s="13" t="s">
        <v>11237</v>
      </c>
      <c r="H2625" s="13" t="s">
        <v>35</v>
      </c>
      <c r="I2625" s="13" t="str">
        <f aca="false">IF(C2625=J2625,"NEW KONTRAK","RE-KONTRAK")</f>
        <v>NEW KONTRAK</v>
      </c>
      <c r="J2625" s="16" t="n">
        <f aca="false" t="array" ref="J2625:J2625">IFERROR(INDEX(AC2625:AE2625,IF(COUNTA(AC2625:AE2625)=0,"",MAX((AC2625:AE2625&lt;&gt;"")*(COLUMN(AC2625:AE2625)-(COLUMN(AC2625)))))-1),"")</f>
        <v>45896</v>
      </c>
      <c r="K2625" s="16" t="n">
        <f aca="false" t="array" ref="K2625:K2625">IFERROR(INDEX(AC2625:AE2625,IF(COUNTA(AC2625:AE2625)=0,"",MAX((AC2625:AE2625&lt;&gt;"")*(COLUMN(AC2625:AE2625)-(COLUMN(AC2625)-1))))-1),"")</f>
        <v>46022</v>
      </c>
      <c r="L2625" s="17" t="str">
        <f aca="false" t="array" ref="L2625:L2625">IFERROR(INDEX(AC2625:AE2625,IF(COUNTA(AC2625:AE2625)=0,"",MAX((AC2625:AE2625&lt;&gt;"")*(COLUMN(AC2625:AE2625)-(COLUMN(AC2625)-2))))-1),"")</f>
        <v>ARCHIVED</v>
      </c>
      <c r="M2625" s="13" t="n">
        <f aca="true">K2625-TODAY()</f>
        <v>-302</v>
      </c>
      <c r="N2625" s="18" t="s">
        <v>36</v>
      </c>
      <c r="O2625" s="13" t="s">
        <v>9279</v>
      </c>
      <c r="P2625" s="19" t="n">
        <v>5195401</v>
      </c>
      <c r="Q2625" s="47" t="s">
        <v>11238</v>
      </c>
      <c r="R2625" s="13" t="s">
        <v>52</v>
      </c>
      <c r="S2625" s="16" t="n">
        <v>37130</v>
      </c>
      <c r="T2625" s="13" t="s">
        <v>40</v>
      </c>
      <c r="U2625" s="13" t="s">
        <v>11239</v>
      </c>
      <c r="V2625" s="13" t="s">
        <v>42</v>
      </c>
      <c r="W2625" s="13" t="s">
        <v>43</v>
      </c>
      <c r="X2625" s="67" t="n">
        <v>8973918004</v>
      </c>
      <c r="Y2625" s="22" t="str">
        <f aca="false">O2625</f>
        <v>Picker Gudang</v>
      </c>
      <c r="Z2625" s="13" t="str">
        <f aca="false">IFERROR(__xludf.dummyfunction("if(BJ2625="""","""",GOOGLETRANSLATE(BJ2625,""auto"",""en""))"),"Warehouse Picker")</f>
        <v>Warehouse Picker</v>
      </c>
      <c r="AA2625" s="23" t="str">
        <f aca="false">IF(C2625="","", CHOOSE(MONTH(C2625),"January","February","March","April","May","June","July","August","September","October","November","December")&amp;" "&amp;DAY(C2625)&amp;MID("thstndrdth",MIN(9,2*RIGHT(DAY(C2625))*(MOD(DAY(C2625)-11,100)&gt;2)+1),2)&amp;","&amp;TEXT(C2625," yyyy"))</f>
        <v>August 27th,2025</v>
      </c>
      <c r="AB2625" s="15" t="str">
        <f aca="true">IF(S2625="","",DATEDIF(S2625,TODAY(),"Y")&amp;" Tahun, "&amp;DATEDIF(S2625,TODAY(),"YM")&amp;" Bulan, "&amp;DATEDIF(S2625,TODAY(),"MD")&amp;" Hari")</f>
        <v>25 Tahun, 2 Bulan, 2 Hari</v>
      </c>
      <c r="AC2625" s="18" t="n">
        <v>45896</v>
      </c>
      <c r="AD2625" s="18" t="n">
        <v>46022</v>
      </c>
      <c r="AE2625" s="18" t="s">
        <v>44</v>
      </c>
    </row>
    <row r="2626" customFormat="false" ht="15" hidden="false" customHeight="true" outlineLevel="0" collapsed="false">
      <c r="A2626" s="12" t="n">
        <v>20513</v>
      </c>
      <c r="B2626" s="13" t="s">
        <v>11240</v>
      </c>
      <c r="C2626" s="16" t="n">
        <v>45896</v>
      </c>
      <c r="D2626" s="13" t="s">
        <v>144</v>
      </c>
      <c r="E2626" s="15" t="s">
        <v>47</v>
      </c>
      <c r="F2626" s="15" t="str">
        <f aca="false">IFERROR(__xludf.dummyfunction("XLOOKUP(AJ2626,IMPORTRANGE(""1XaInW9DU9nz21V0tYIfzFQ0He9kVQ_JF2mCXgZ3hqFA"",""REKAP ALL 2026 - Andika!G:G""),IMPORTRANGE(""1XaInW9DU9nz21V0tYIfzFQ0He9kVQ_JF2mCXgZ3hqFA"",""REKAP ALL 2026 - Andika!F:F""),"""",0)"),"25115952753")</f>
        <v>25115952753</v>
      </c>
      <c r="G2626" s="13" t="s">
        <v>11241</v>
      </c>
      <c r="H2626" s="13" t="s">
        <v>35</v>
      </c>
      <c r="I2626" s="13" t="str">
        <f aca="false">IF(C2626=J2626,"NEW KONTRAK","RE-KONTRAK")</f>
        <v>NEW KONTRAK</v>
      </c>
      <c r="J2626" s="16" t="n">
        <f aca="false" t="array" ref="J2626:J2626">IFERROR(INDEX(AC2626:AE2626,IF(COUNTA(AC2626:AE2626)=0,"",MAX((AC2626:AE2626&lt;&gt;"")*(COLUMN(AC2626:AE2626)-(COLUMN(AC2626)))))-1),"")</f>
        <v>45896</v>
      </c>
      <c r="K2626" s="16" t="n">
        <f aca="false" t="array" ref="K2626:K2626">IFERROR(INDEX(AC2626:AE2626,IF(COUNTA(AC2626:AE2626)=0,"",MAX((AC2626:AE2626&lt;&gt;"")*(COLUMN(AC2626:AE2626)-(COLUMN(AC2626)-1))))-1),"")</f>
        <v>46022</v>
      </c>
      <c r="L2626" s="17" t="str">
        <f aca="false" t="array" ref="L2626:L2626">IFERROR(INDEX(AC2626:AE2626,IF(COUNTA(AC2626:AE2626)=0,"",MAX((AC2626:AE2626&lt;&gt;"")*(COLUMN(AC2626:AE2626)-(COLUMN(AC2626)-2))))-1),"")</f>
        <v>ARCHIVED</v>
      </c>
      <c r="M2626" s="13" t="n">
        <f aca="true">K2626-TODAY()</f>
        <v>-302</v>
      </c>
      <c r="N2626" s="18" t="s">
        <v>36</v>
      </c>
      <c r="O2626" s="13" t="s">
        <v>11242</v>
      </c>
      <c r="P2626" s="19" t="n">
        <v>5195401</v>
      </c>
      <c r="Q2626" s="47" t="s">
        <v>11243</v>
      </c>
      <c r="R2626" s="13" t="s">
        <v>65</v>
      </c>
      <c r="S2626" s="16" t="n">
        <v>37689</v>
      </c>
      <c r="T2626" s="13" t="s">
        <v>40</v>
      </c>
      <c r="U2626" s="13" t="s">
        <v>11244</v>
      </c>
      <c r="V2626" s="13" t="s">
        <v>42</v>
      </c>
      <c r="W2626" s="13" t="s">
        <v>43</v>
      </c>
      <c r="X2626" s="67" t="n">
        <v>81997833146</v>
      </c>
      <c r="Y2626" s="22" t="str">
        <f aca="false">O2626</f>
        <v>Inbound RPC</v>
      </c>
      <c r="Z2626" s="13" t="str">
        <f aca="false">IFERROR(__xludf.dummyfunction("if(BJ2626="""","""",GOOGLETRANSLATE(BJ2626,""auto"",""en""))"),"Inbound RPC")</f>
        <v>Inbound RPC</v>
      </c>
      <c r="AA2626" s="23" t="str">
        <f aca="false">IF(C2626="","", CHOOSE(MONTH(C2626),"January","February","March","April","May","June","July","August","September","October","November","December")&amp;" "&amp;DAY(C2626)&amp;MID("thstndrdth",MIN(9,2*RIGHT(DAY(C2626))*(MOD(DAY(C2626)-11,100)&gt;2)+1),2)&amp;","&amp;TEXT(C2626," yyyy"))</f>
        <v>August 27th,2025</v>
      </c>
      <c r="AB2626" s="15" t="str">
        <f aca="true">IF(S2626="","",DATEDIF(S2626,TODAY(),"Y")&amp;" Tahun, "&amp;DATEDIF(S2626,TODAY(),"YM")&amp;" Bulan, "&amp;DATEDIF(S2626,TODAY(),"MD")&amp;" Hari")</f>
        <v>23 Tahun, 7 Bulan, 20 Hari</v>
      </c>
      <c r="AC2626" s="18" t="n">
        <v>45896</v>
      </c>
      <c r="AD2626" s="18" t="n">
        <v>46022</v>
      </c>
      <c r="AE2626" s="18" t="s">
        <v>44</v>
      </c>
    </row>
    <row r="2627" customFormat="false" ht="15" hidden="false" customHeight="true" outlineLevel="0" collapsed="false">
      <c r="A2627" s="12" t="n">
        <v>20548</v>
      </c>
      <c r="B2627" s="13" t="s">
        <v>11245</v>
      </c>
      <c r="C2627" s="16" t="n">
        <v>45901</v>
      </c>
      <c r="D2627" s="13" t="s">
        <v>10155</v>
      </c>
      <c r="E2627" s="15" t="s">
        <v>47</v>
      </c>
      <c r="F2627" s="15" t="str">
        <f aca="false">IFERROR(__xludf.dummyfunction("XLOOKUP(AJ2627,IMPORTRANGE(""1XaInW9DU9nz21V0tYIfzFQ0He9kVQ_JF2mCXgZ3hqFA"",""REKAP ALL 2026 - Andika!G:G""),IMPORTRANGE(""1XaInW9DU9nz21V0tYIfzFQ0He9kVQ_JF2mCXgZ3hqFA"",""REKAP ALL 2026 - Andika!F:F""),"""",0)"),"25115950880")</f>
        <v>25115950880</v>
      </c>
      <c r="G2627" s="13" t="s">
        <v>1127</v>
      </c>
      <c r="H2627" s="13" t="s">
        <v>35</v>
      </c>
      <c r="I2627" s="13" t="str">
        <f aca="false">IF(C2627=J2627,"NEW KONTRAK","RE-KONTRAK")</f>
        <v>NEW KONTRAK</v>
      </c>
      <c r="J2627" s="16" t="n">
        <f aca="false" t="array" ref="J2627:J2627">IFERROR(INDEX(AC2627:AE2627,IF(COUNTA(AC2627:AE2627)=0,"",MAX((AC2627:AE2627&lt;&gt;"")*(COLUMN(AC2627:AE2627)-(COLUMN(AC2627)))))-1),"")</f>
        <v>45901</v>
      </c>
      <c r="K2627" s="16" t="n">
        <f aca="false" t="array" ref="K2627:K2627">IFERROR(INDEX(AC2627:AE2627,IF(COUNTA(AC2627:AE2627)=0,"",MAX((AC2627:AE2627&lt;&gt;"")*(COLUMN(AC2627:AE2627)-(COLUMN(AC2627)-1))))-1),"")</f>
        <v>45991</v>
      </c>
      <c r="L2627" s="17" t="str">
        <f aca="false" t="array" ref="L2627:L2627">IFERROR(INDEX(AC2627:AE2627,IF(COUNTA(AC2627:AE2627)=0,"",MAX((AC2627:AE2627&lt;&gt;"")*(COLUMN(AC2627:AE2627)-(COLUMN(AC2627)-2))))-1),"")</f>
        <v>ARCHIVED</v>
      </c>
      <c r="M2627" s="13" t="n">
        <f aca="true">K2627-TODAY()</f>
        <v>-333</v>
      </c>
      <c r="N2627" s="18" t="s">
        <v>36</v>
      </c>
      <c r="O2627" s="13" t="s">
        <v>11246</v>
      </c>
      <c r="P2627" s="27" t="n">
        <v>247216.23</v>
      </c>
      <c r="Q2627" s="47" t="s">
        <v>11247</v>
      </c>
      <c r="R2627" s="13" t="s">
        <v>65</v>
      </c>
      <c r="S2627" s="16" t="n">
        <v>30590</v>
      </c>
      <c r="T2627" s="13" t="s">
        <v>108</v>
      </c>
      <c r="U2627" s="13" t="s">
        <v>11248</v>
      </c>
      <c r="V2627" s="13" t="s">
        <v>42</v>
      </c>
      <c r="W2627" s="13" t="s">
        <v>54</v>
      </c>
      <c r="X2627" s="21" t="n">
        <v>85646125468</v>
      </c>
      <c r="Y2627" s="22" t="str">
        <f aca="false">O2627</f>
        <v>Admin Purchasing</v>
      </c>
      <c r="Z2627" s="13" t="str">
        <f aca="false">IFERROR(__xludf.dummyfunction("if(BJ2627="""","""",GOOGLETRANSLATE(BJ2627,""auto"",""en""))"),"Admin Purchasing")</f>
        <v>Admin Purchasing</v>
      </c>
      <c r="AA2627" s="23" t="str">
        <f aca="false">IF(C2627="","", CHOOSE(MONTH(C2627),"January","February","March","April","May","June","July","August","September","October","November","December")&amp;" "&amp;DAY(C2627)&amp;MID("thstndrdth",MIN(9,2*RIGHT(DAY(C2627))*(MOD(DAY(C2627)-11,100)&gt;2)+1),2)&amp;","&amp;TEXT(C2627," yyyy"))</f>
        <v>September 1st,2025</v>
      </c>
      <c r="AB2627" s="15" t="str">
        <f aca="true">IF(S2627="","",DATEDIF(S2627,TODAY(),"Y")&amp;" Tahun, "&amp;DATEDIF(S2627,TODAY(),"YM")&amp;" Bulan, "&amp;DATEDIF(S2627,TODAY(),"MD")&amp;" Hari")</f>
        <v>43 Tahun, 0 Bulan, 28 Hari</v>
      </c>
      <c r="AC2627" s="18" t="n">
        <v>45901</v>
      </c>
      <c r="AD2627" s="18" t="n">
        <v>45991</v>
      </c>
      <c r="AE2627" s="18" t="s">
        <v>44</v>
      </c>
    </row>
    <row r="2628" customFormat="false" ht="15" hidden="false" customHeight="true" outlineLevel="0" collapsed="false">
      <c r="A2628" s="12" t="n">
        <v>20538</v>
      </c>
      <c r="B2628" s="13" t="s">
        <v>11249</v>
      </c>
      <c r="C2628" s="16" t="n">
        <v>45891</v>
      </c>
      <c r="D2628" s="13" t="s">
        <v>101</v>
      </c>
      <c r="E2628" s="15" t="s">
        <v>102</v>
      </c>
      <c r="F2628" s="15" t="str">
        <f aca="false">IFERROR(__xludf.dummyfunction("XLOOKUP(AJ2628,IMPORTRANGE(""1XaInW9DU9nz21V0tYIfzFQ0He9kVQ_JF2mCXgZ3hqFA"",""REKAP ALL 2026 - Andika!G:G""),IMPORTRANGE(""1XaInW9DU9nz21V0tYIfzFQ0He9kVQ_JF2mCXgZ3hqFA"",""REKAP ALL 2026 - Andika!F:F""),"""",0)"),"25115953157")</f>
        <v>25115953157</v>
      </c>
      <c r="G2628" s="13" t="s">
        <v>11250</v>
      </c>
      <c r="H2628" s="13" t="s">
        <v>35</v>
      </c>
      <c r="I2628" s="13" t="str">
        <f aca="false">IF(C2628=J2628,"NEW KONTRAK","RE-KONTRAK")</f>
        <v>NEW KONTRAK</v>
      </c>
      <c r="J2628" s="16" t="n">
        <f aca="false" t="array" ref="J2628:J2628">IFERROR(INDEX(AC2628:AE2628,IF(COUNTA(AC2628:AE2628)=0,"",MAX((AC2628:AE2628&lt;&gt;"")*(COLUMN(AC2628:AE2628)-(COLUMN(AC2628)))))-1),"")</f>
        <v>45891</v>
      </c>
      <c r="K2628" s="16" t="n">
        <f aca="false" t="array" ref="K2628:K2628">IFERROR(INDEX(AC2628:AE2628,IF(COUNTA(AC2628:AE2628)=0,"",MAX((AC2628:AE2628&lt;&gt;"")*(COLUMN(AC2628:AE2628)-(COLUMN(AC2628)-1))))-1),"")</f>
        <v>46036</v>
      </c>
      <c r="L2628" s="17" t="str">
        <f aca="false" t="array" ref="L2628:L2628">IFERROR(INDEX(AC2628:AE2628,IF(COUNTA(AC2628:AE2628)=0,"",MAX((AC2628:AE2628&lt;&gt;"")*(COLUMN(AC2628:AE2628)-(COLUMN(AC2628)-2))))-1),"")</f>
        <v>ARCHIVED</v>
      </c>
      <c r="M2628" s="13" t="n">
        <f aca="true">K2628-TODAY()</f>
        <v>-288</v>
      </c>
      <c r="N2628" s="18" t="s">
        <v>105</v>
      </c>
      <c r="O2628" s="13" t="s">
        <v>106</v>
      </c>
      <c r="P2628" s="19" t="n">
        <v>132300</v>
      </c>
      <c r="Q2628" s="47" t="s">
        <v>11251</v>
      </c>
      <c r="R2628" s="13" t="s">
        <v>4498</v>
      </c>
      <c r="S2628" s="48" t="n">
        <v>35214</v>
      </c>
      <c r="T2628" s="13" t="s">
        <v>108</v>
      </c>
      <c r="U2628" s="13" t="s">
        <v>11252</v>
      </c>
      <c r="V2628" s="13" t="s">
        <v>42</v>
      </c>
      <c r="W2628" s="13" t="s">
        <v>43</v>
      </c>
      <c r="X2628" s="21" t="n">
        <v>81230265676</v>
      </c>
      <c r="Y2628" s="22" t="str">
        <f aca="false">O2628</f>
        <v>Produksi - Helper</v>
      </c>
      <c r="Z2628" s="13" t="str">
        <f aca="false">IFERROR(__xludf.dummyfunction("if(BJ2628="""","""",GOOGLETRANSLATE(BJ2628,""auto"",""en""))"),"Production - Helper")</f>
        <v>Production - Helper</v>
      </c>
      <c r="AA2628" s="23" t="str">
        <f aca="false">IF(C2628="","", CHOOSE(MONTH(C2628),"January","February","March","April","May","June","July","August","September","October","November","December")&amp;" "&amp;DAY(C2628)&amp;MID("thstndrdth",MIN(9,2*RIGHT(DAY(C2628))*(MOD(DAY(C2628)-11,100)&gt;2)+1),2)&amp;","&amp;TEXT(C2628," yyyy"))</f>
        <v>August 22nd,2025</v>
      </c>
      <c r="AB2628" s="15" t="str">
        <f aca="true">IF(S2628="","",DATEDIF(S2628,TODAY(),"Y")&amp;" Tahun, "&amp;DATEDIF(S2628,TODAY(),"YM")&amp;" Bulan, "&amp;DATEDIF(S2628,TODAY(),"MD")&amp;" Hari")</f>
        <v>30 Tahun, 5 Bulan, 0 Hari</v>
      </c>
      <c r="AC2628" s="18" t="n">
        <v>45891</v>
      </c>
      <c r="AD2628" s="18" t="n">
        <v>46036</v>
      </c>
      <c r="AE2628" s="18" t="s">
        <v>44</v>
      </c>
    </row>
    <row r="2629" customFormat="false" ht="15" hidden="false" customHeight="true" outlineLevel="0" collapsed="false">
      <c r="A2629" s="12" t="n">
        <v>20563</v>
      </c>
      <c r="B2629" s="13" t="s">
        <v>11253</v>
      </c>
      <c r="C2629" s="16" t="n">
        <v>45897</v>
      </c>
      <c r="D2629" s="13" t="s">
        <v>7534</v>
      </c>
      <c r="E2629" s="15" t="s">
        <v>47</v>
      </c>
      <c r="F2629" s="15" t="str">
        <f aca="false">IFERROR(__xludf.dummyfunction("XLOOKUP(AJ2629,IMPORTRANGE(""1XaInW9DU9nz21V0tYIfzFQ0He9kVQ_JF2mCXgZ3hqFA"",""REKAP ALL 2026 - Andika!G:G""),IMPORTRANGE(""1XaInW9DU9nz21V0tYIfzFQ0He9kVQ_JF2mCXgZ3hqFA"",""REKAP ALL 2026 - Andika!F:F""),"""",0)"),"25115949627")</f>
        <v>25115949627</v>
      </c>
      <c r="G2629" s="13" t="s">
        <v>1127</v>
      </c>
      <c r="H2629" s="13" t="s">
        <v>35</v>
      </c>
      <c r="I2629" s="13" t="str">
        <f aca="false">IF(C2629=J2629,"NEW KONTRAK","RE-KONTRAK")</f>
        <v>NEW KONTRAK</v>
      </c>
      <c r="J2629" s="16" t="n">
        <f aca="false" t="array" ref="J2629:J2629">IFERROR(INDEX(AC2629:AE2629,IF(COUNTA(AC2629:AE2629)=0,"",MAX((AC2629:AE2629&lt;&gt;"")*(COLUMN(AC2629:AE2629)-(COLUMN(AC2629)))))-1),"")</f>
        <v>45897</v>
      </c>
      <c r="K2629" s="16" t="n">
        <f aca="false" t="array" ref="K2629:K2629">IFERROR(INDEX(AC2629:AE2629,IF(COUNTA(AC2629:AE2629)=0,"",MAX((AC2629:AE2629&lt;&gt;"")*(COLUMN(AC2629:AE2629)-(COLUMN(AC2629)-1))))-1),"")</f>
        <v>45988</v>
      </c>
      <c r="L2629" s="17" t="str">
        <f aca="false" t="array" ref="L2629:L2629">IFERROR(INDEX(AC2629:AE2629,IF(COUNTA(AC2629:AE2629)=0,"",MAX((AC2629:AE2629&lt;&gt;"")*(COLUMN(AC2629:AE2629)-(COLUMN(AC2629)-2))))-1),"")</f>
        <v>ARCHIVED</v>
      </c>
      <c r="M2629" s="13" t="n">
        <f aca="true">K2629-TODAY()</f>
        <v>-336</v>
      </c>
      <c r="N2629" s="18" t="s">
        <v>4735</v>
      </c>
      <c r="O2629" s="13" t="s">
        <v>7536</v>
      </c>
      <c r="P2629" s="19" t="n">
        <v>3553530</v>
      </c>
      <c r="Q2629" s="47" t="s">
        <v>11254</v>
      </c>
      <c r="R2629" s="13" t="s">
        <v>39</v>
      </c>
      <c r="S2629" s="16" t="n">
        <v>37720</v>
      </c>
      <c r="T2629" s="13" t="s">
        <v>108</v>
      </c>
      <c r="U2629" s="13" t="s">
        <v>11255</v>
      </c>
      <c r="V2629" s="13" t="s">
        <v>42</v>
      </c>
      <c r="W2629" s="13" t="s">
        <v>43</v>
      </c>
      <c r="X2629" s="21" t="n">
        <v>85814665821</v>
      </c>
      <c r="Y2629" s="22" t="str">
        <f aca="false">O2629</f>
        <v>Host Live</v>
      </c>
      <c r="Z2629" s="13" t="str">
        <f aca="false">IFERROR(__xludf.dummyfunction("if(BJ2629="""","""",GOOGLETRANSLATE(BJ2629,""auto"",""en""))"),"Host Live")</f>
        <v>Host Live</v>
      </c>
      <c r="AA2629" s="23" t="str">
        <f aca="false">IF(C2629="","", CHOOSE(MONTH(C2629),"January","February","March","April","May","June","July","August","September","October","November","December")&amp;" "&amp;DAY(C2629)&amp;MID("thstndrdth",MIN(9,2*RIGHT(DAY(C2629))*(MOD(DAY(C2629)-11,100)&gt;2)+1),2)&amp;","&amp;TEXT(C2629," yyyy"))</f>
        <v>August 28th,2025</v>
      </c>
      <c r="AB2629" s="15" t="str">
        <f aca="true">IF(S2629="","",DATEDIF(S2629,TODAY(),"Y")&amp;" Tahun, "&amp;DATEDIF(S2629,TODAY(),"YM")&amp;" Bulan, "&amp;DATEDIF(S2629,TODAY(),"MD")&amp;" Hari")</f>
        <v>23 Tahun, 6 Bulan, 20 Hari</v>
      </c>
      <c r="AC2629" s="18" t="n">
        <v>45897</v>
      </c>
      <c r="AD2629" s="18" t="n">
        <v>45988</v>
      </c>
      <c r="AE2629" s="18" t="s">
        <v>44</v>
      </c>
    </row>
    <row r="2630" customFormat="false" ht="15" hidden="false" customHeight="true" outlineLevel="0" collapsed="false">
      <c r="A2630" s="12" t="n">
        <v>20549</v>
      </c>
      <c r="B2630" s="13" t="s">
        <v>11256</v>
      </c>
      <c r="C2630" s="16" t="n">
        <v>46233</v>
      </c>
      <c r="D2630" s="13" t="s">
        <v>11257</v>
      </c>
      <c r="E2630" s="15" t="s">
        <v>102</v>
      </c>
      <c r="F2630" s="15" t="str">
        <f aca="false">IFERROR(__xludf.dummyfunction("XLOOKUP(AJ2630,IMPORTRANGE(""1XaInW9DU9nz21V0tYIfzFQ0He9kVQ_JF2mCXgZ3hqFA"",""REKAP ALL 2026 - Andika!G:G""),IMPORTRANGE(""1XaInW9DU9nz21V0tYIfzFQ0He9kVQ_JF2mCXgZ3hqFA"",""REKAP ALL 2026 - Andika!F:F""),"""",0)"),"25133229473")</f>
        <v>25133229473</v>
      </c>
      <c r="G2630" s="13" t="s">
        <v>57</v>
      </c>
      <c r="H2630" s="13" t="s">
        <v>35</v>
      </c>
      <c r="I2630" s="13" t="str">
        <f aca="false">IF(C2630=J2630,"NEW KONTRAK","RE-KONTRAK")</f>
        <v>RE-KONTRAK</v>
      </c>
      <c r="J2630" s="16" t="n">
        <f aca="false" t="array" ref="J2630:J2630">IFERROR(INDEX(AC2630:AE2630,IF(COUNTA(AC2630:AE2630)=0,"",MAX((AC2630:AE2630&lt;&gt;"")*(COLUMN(AC2630:AE2630)-(COLUMN(AC2630)))))-1),"")</f>
        <v>45901</v>
      </c>
      <c r="K2630" s="16" t="n">
        <f aca="false" t="array" ref="K2630:K2630">IFERROR(INDEX(AC2630:AE2630,IF(COUNTA(AC2630:AE2630)=0,"",MAX((AC2630:AE2630&lt;&gt;"")*(COLUMN(AC2630:AE2630)-(COLUMN(AC2630)-1))))-1),"")</f>
        <v>45961</v>
      </c>
      <c r="L2630" s="17" t="str">
        <f aca="false" t="array" ref="L2630:L2630">IFERROR(INDEX(AC2630:AE2630,IF(COUNTA(AC2630:AE2630)=0,"",MAX((AC2630:AE2630&lt;&gt;"")*(COLUMN(AC2630:AE2630)-(COLUMN(AC2630)-2))))-1),"")</f>
        <v>ARCHIVED</v>
      </c>
      <c r="M2630" s="13" t="n">
        <f aca="true">K2630-TODAY()</f>
        <v>-363</v>
      </c>
      <c r="N2630" s="18" t="s">
        <v>728</v>
      </c>
      <c r="O2630" s="13" t="s">
        <v>7419</v>
      </c>
      <c r="P2630" s="19" t="n">
        <v>211551</v>
      </c>
      <c r="Q2630" s="47" t="s">
        <v>11258</v>
      </c>
      <c r="R2630" s="13" t="s">
        <v>52</v>
      </c>
      <c r="S2630" s="16" t="n">
        <v>34990</v>
      </c>
      <c r="T2630" s="28" t="s">
        <v>40</v>
      </c>
      <c r="U2630" s="13" t="s">
        <v>11259</v>
      </c>
      <c r="V2630" s="13" t="s">
        <v>42</v>
      </c>
      <c r="W2630" s="13" t="s">
        <v>43</v>
      </c>
      <c r="X2630" s="21" t="n">
        <v>85895337953</v>
      </c>
      <c r="Y2630" s="22" t="str">
        <f aca="false">O2630</f>
        <v>TKBM</v>
      </c>
      <c r="Z2630" s="13" t="str">
        <f aca="false">IFERROR(__xludf.dummyfunction("if(BJ2630="""","""",GOOGLETRANSLATE(BJ2630,""auto"",""en""))"),"TKBM")</f>
        <v>TKBM</v>
      </c>
      <c r="AA2630" s="23" t="str">
        <f aca="false">IF(C2630="","", CHOOSE(MONTH(C2630),"January","February","March","April","May","June","July","August","September","October","November","December")&amp;" "&amp;DAY(C2630)&amp;MID("thstndrdth",MIN(9,2*RIGHT(DAY(C2630))*(MOD(DAY(C2630)-11,100)&gt;2)+1),2)&amp;","&amp;TEXT(C2630," yyyy"))</f>
        <v>July 30th,2026</v>
      </c>
      <c r="AB2630" s="15" t="str">
        <f aca="true">IF(S2630="","",DATEDIF(S2630,TODAY(),"Y")&amp;" Tahun, "&amp;DATEDIF(S2630,TODAY(),"YM")&amp;" Bulan, "&amp;DATEDIF(S2630,TODAY(),"MD")&amp;" Hari")</f>
        <v>31 Tahun, 0 Bulan, 11 Hari</v>
      </c>
      <c r="AC2630" s="18" t="n">
        <v>45901</v>
      </c>
      <c r="AD2630" s="18" t="n">
        <v>45961</v>
      </c>
      <c r="AE2630" s="18" t="s">
        <v>44</v>
      </c>
    </row>
    <row r="2631" customFormat="false" ht="15" hidden="false" customHeight="true" outlineLevel="0" collapsed="false">
      <c r="A2631" s="12" t="n">
        <v>20550</v>
      </c>
      <c r="B2631" s="13" t="s">
        <v>11260</v>
      </c>
      <c r="C2631" s="16" t="n">
        <v>45901</v>
      </c>
      <c r="D2631" s="13" t="s">
        <v>11257</v>
      </c>
      <c r="E2631" s="15" t="s">
        <v>33</v>
      </c>
      <c r="F2631" s="24" t="s">
        <v>11261</v>
      </c>
      <c r="G2631" s="13" t="s">
        <v>57</v>
      </c>
      <c r="H2631" s="13" t="s">
        <v>35</v>
      </c>
      <c r="I2631" s="13" t="str">
        <f aca="false">IF(C2631=J2631,"NEW KONTRAK","RE-KONTRAK")</f>
        <v>NEW KONTRAK</v>
      </c>
      <c r="J2631" s="16" t="n">
        <f aca="false" t="array" ref="J2631:J2631">IFERROR(INDEX(AC2631:AE2631,IF(COUNTA(AC2631:AE2631)=0,"",MAX((AC2631:AE2631&lt;&gt;"")*(COLUMN(AC2631:AE2631)-(COLUMN(AC2631)))))-1),"")</f>
        <v>45901</v>
      </c>
      <c r="K2631" s="16" t="n">
        <f aca="false" t="array" ref="K2631:K2631">IFERROR(INDEX(AC2631:AE2631,IF(COUNTA(AC2631:AE2631)=0,"",MAX((AC2631:AE2631&lt;&gt;"")*(COLUMN(AC2631:AE2631)-(COLUMN(AC2631)-1))))-1),"")</f>
        <v>45961</v>
      </c>
      <c r="L2631" s="17" t="str">
        <f aca="false" t="array" ref="L2631:L2631">IFERROR(INDEX(AC2631:AE2631,IF(COUNTA(AC2631:AE2631)=0,"",MAX((AC2631:AE2631&lt;&gt;"")*(COLUMN(AC2631:AE2631)-(COLUMN(AC2631)-2))))-1),"")</f>
        <v>ARCHIVED</v>
      </c>
      <c r="M2631" s="13" t="n">
        <f aca="true">K2631-TODAY()</f>
        <v>-363</v>
      </c>
      <c r="N2631" s="18" t="s">
        <v>728</v>
      </c>
      <c r="O2631" s="13" t="s">
        <v>7419</v>
      </c>
      <c r="P2631" s="27" t="n">
        <v>211551</v>
      </c>
      <c r="Q2631" s="47" t="s">
        <v>11262</v>
      </c>
      <c r="R2631" s="13" t="s">
        <v>11263</v>
      </c>
      <c r="S2631" s="16" t="n">
        <v>38874</v>
      </c>
      <c r="T2631" s="28" t="s">
        <v>40</v>
      </c>
      <c r="U2631" s="13" t="s">
        <v>11264</v>
      </c>
      <c r="V2631" s="13" t="s">
        <v>42</v>
      </c>
      <c r="W2631" s="13" t="s">
        <v>43</v>
      </c>
      <c r="X2631" s="21" t="n">
        <v>85817360590</v>
      </c>
      <c r="Y2631" s="22" t="str">
        <f aca="false">O2631</f>
        <v>TKBM</v>
      </c>
      <c r="Z2631" s="13" t="str">
        <f aca="false">IFERROR(__xludf.dummyfunction("if(BJ2631="""","""",GOOGLETRANSLATE(BJ2631,""auto"",""en""))"),"TKBM")</f>
        <v>TKBM</v>
      </c>
      <c r="AA2631" s="23" t="str">
        <f aca="false">IF(C2631="","", CHOOSE(MONTH(C2631),"January","February","March","April","May","June","July","August","September","October","November","December")&amp;" "&amp;DAY(C2631)&amp;MID("thstndrdth",MIN(9,2*RIGHT(DAY(C2631))*(MOD(DAY(C2631)-11,100)&gt;2)+1),2)&amp;","&amp;TEXT(C2631," yyyy"))</f>
        <v>September 1st,2025</v>
      </c>
      <c r="AB2631" s="15" t="str">
        <f aca="true">IF(S2631="","",DATEDIF(S2631,TODAY(),"Y")&amp;" Tahun, "&amp;DATEDIF(S2631,TODAY(),"YM")&amp;" Bulan, "&amp;DATEDIF(S2631,TODAY(),"MD")&amp;" Hari")</f>
        <v>20 Tahun, 4 Bulan, 23 Hari</v>
      </c>
      <c r="AC2631" s="18" t="n">
        <v>45901</v>
      </c>
      <c r="AD2631" s="18" t="n">
        <v>45961</v>
      </c>
      <c r="AE2631" s="18" t="s">
        <v>44</v>
      </c>
    </row>
    <row r="2632" customFormat="false" ht="15" hidden="false" customHeight="true" outlineLevel="0" collapsed="false">
      <c r="A2632" s="12" t="n">
        <v>20551</v>
      </c>
      <c r="B2632" s="13" t="s">
        <v>11265</v>
      </c>
      <c r="C2632" s="16" t="n">
        <v>45901</v>
      </c>
      <c r="D2632" s="13" t="s">
        <v>11257</v>
      </c>
      <c r="E2632" s="15" t="s">
        <v>33</v>
      </c>
      <c r="F2632" s="24" t="s">
        <v>11266</v>
      </c>
      <c r="G2632" s="13" t="s">
        <v>57</v>
      </c>
      <c r="H2632" s="13" t="s">
        <v>35</v>
      </c>
      <c r="I2632" s="13" t="str">
        <f aca="false">IF(C2632=J2632,"NEW KONTRAK","RE-KONTRAK")</f>
        <v>NEW KONTRAK</v>
      </c>
      <c r="J2632" s="16" t="n">
        <f aca="false" t="array" ref="J2632:J2632">IFERROR(INDEX(AC2632:AE2632,IF(COUNTA(AC2632:AE2632)=0,"",MAX((AC2632:AE2632&lt;&gt;"")*(COLUMN(AC2632:AE2632)-(COLUMN(AC2632)))))-1),"")</f>
        <v>45901</v>
      </c>
      <c r="K2632" s="16" t="n">
        <f aca="false" t="array" ref="K2632:K2632">IFERROR(INDEX(AC2632:AE2632,IF(COUNTA(AC2632:AE2632)=0,"",MAX((AC2632:AE2632&lt;&gt;"")*(COLUMN(AC2632:AE2632)-(COLUMN(AC2632)-1))))-1),"")</f>
        <v>45961</v>
      </c>
      <c r="L2632" s="17" t="str">
        <f aca="false" t="array" ref="L2632:L2632">IFERROR(INDEX(AC2632:AE2632,IF(COUNTA(AC2632:AE2632)=0,"",MAX((AC2632:AE2632&lt;&gt;"")*(COLUMN(AC2632:AE2632)-(COLUMN(AC2632)-2))))-1),"")</f>
        <v>ARCHIVED</v>
      </c>
      <c r="M2632" s="13" t="n">
        <f aca="true">K2632-TODAY()</f>
        <v>-363</v>
      </c>
      <c r="N2632" s="18" t="s">
        <v>728</v>
      </c>
      <c r="O2632" s="13" t="s">
        <v>7419</v>
      </c>
      <c r="P2632" s="27" t="n">
        <v>211551</v>
      </c>
      <c r="Q2632" s="47" t="s">
        <v>11267</v>
      </c>
      <c r="R2632" s="13" t="s">
        <v>52</v>
      </c>
      <c r="S2632" s="16" t="n">
        <v>37251</v>
      </c>
      <c r="T2632" s="28" t="s">
        <v>40</v>
      </c>
      <c r="U2632" s="13" t="s">
        <v>11268</v>
      </c>
      <c r="V2632" s="13" t="s">
        <v>42</v>
      </c>
      <c r="W2632" s="13" t="s">
        <v>43</v>
      </c>
      <c r="X2632" s="21" t="n">
        <v>8893201299</v>
      </c>
      <c r="Y2632" s="22" t="str">
        <f aca="false">O2632</f>
        <v>TKBM</v>
      </c>
      <c r="Z2632" s="13" t="str">
        <f aca="false">IFERROR(__xludf.dummyfunction("if(BJ2632="""","""",GOOGLETRANSLATE(BJ2632,""auto"",""en""))"),"TKBM")</f>
        <v>TKBM</v>
      </c>
      <c r="AA2632" s="23" t="str">
        <f aca="false">IF(C2632="","", CHOOSE(MONTH(C2632),"January","February","March","April","May","June","July","August","September","October","November","December")&amp;" "&amp;DAY(C2632)&amp;MID("thstndrdth",MIN(9,2*RIGHT(DAY(C2632))*(MOD(DAY(C2632)-11,100)&gt;2)+1),2)&amp;","&amp;TEXT(C2632," yyyy"))</f>
        <v>September 1st,2025</v>
      </c>
      <c r="AB2632" s="15" t="str">
        <f aca="true">IF(S2632="","",DATEDIF(S2632,TODAY(),"Y")&amp;" Tahun, "&amp;DATEDIF(S2632,TODAY(),"YM")&amp;" Bulan, "&amp;DATEDIF(S2632,TODAY(),"MD")&amp;" Hari")</f>
        <v>24 Tahun, 10 Bulan, 3 Hari</v>
      </c>
      <c r="AC2632" s="18" t="n">
        <v>45901</v>
      </c>
      <c r="AD2632" s="18" t="n">
        <v>45961</v>
      </c>
      <c r="AE2632" s="18" t="s">
        <v>44</v>
      </c>
    </row>
    <row r="2633" customFormat="false" ht="15" hidden="false" customHeight="true" outlineLevel="0" collapsed="false">
      <c r="A2633" s="12" t="n">
        <v>20552</v>
      </c>
      <c r="B2633" s="13" t="s">
        <v>11269</v>
      </c>
      <c r="C2633" s="16" t="n">
        <v>46233</v>
      </c>
      <c r="D2633" s="13" t="s">
        <v>11257</v>
      </c>
      <c r="E2633" s="15" t="s">
        <v>7949</v>
      </c>
      <c r="F2633" s="15" t="str">
        <f aca="false">IFERROR(__xludf.dummyfunction("XLOOKUP(AJ2633,IMPORTRANGE(""1XaInW9DU9nz21V0tYIfzFQ0He9kVQ_JF2mCXgZ3hqFA"",""REKAP ALL 2026 - Andika!G:G""),IMPORTRANGE(""1XaInW9DU9nz21V0tYIfzFQ0He9kVQ_JF2mCXgZ3hqFA"",""REKAP ALL 2026 - Andika!F:F""),"""",0)"),"25133229507")</f>
        <v>25133229507</v>
      </c>
      <c r="G2633" s="13" t="s">
        <v>57</v>
      </c>
      <c r="H2633" s="13" t="s">
        <v>35</v>
      </c>
      <c r="I2633" s="13" t="str">
        <f aca="false">IF(C2633=J2633,"NEW KONTRAK","RE-KONTRAK")</f>
        <v>RE-KONTRAK</v>
      </c>
      <c r="J2633" s="16" t="n">
        <f aca="false" t="array" ref="J2633:J2633">IFERROR(INDEX(AC2633:AE2633,IF(COUNTA(AC2633:AE2633)=0,"",MAX((AC2633:AE2633&lt;&gt;"")*(COLUMN(AC2633:AE2633)-(COLUMN(AC2633)))))-1),"")</f>
        <v>45901</v>
      </c>
      <c r="K2633" s="16" t="n">
        <f aca="false" t="array" ref="K2633:K2633">IFERROR(INDEX(AC2633:AE2633,IF(COUNTA(AC2633:AE2633)=0,"",MAX((AC2633:AE2633&lt;&gt;"")*(COLUMN(AC2633:AE2633)-(COLUMN(AC2633)-1))))-1),"")</f>
        <v>45961</v>
      </c>
      <c r="L2633" s="17" t="str">
        <f aca="false" t="array" ref="L2633:L2633">IFERROR(INDEX(AC2633:AE2633,IF(COUNTA(AC2633:AE2633)=0,"",MAX((AC2633:AE2633&lt;&gt;"")*(COLUMN(AC2633:AE2633)-(COLUMN(AC2633)-2))))-1),"")</f>
        <v>ARCHIVED</v>
      </c>
      <c r="M2633" s="13" t="n">
        <f aca="true">K2633-TODAY()</f>
        <v>-363</v>
      </c>
      <c r="N2633" s="18" t="s">
        <v>728</v>
      </c>
      <c r="O2633" s="13" t="s">
        <v>7419</v>
      </c>
      <c r="P2633" s="19" t="n">
        <v>211551</v>
      </c>
      <c r="Q2633" s="47" t="s">
        <v>11270</v>
      </c>
      <c r="R2633" s="13" t="s">
        <v>52</v>
      </c>
      <c r="S2633" s="16" t="n">
        <v>32720</v>
      </c>
      <c r="T2633" s="28" t="s">
        <v>40</v>
      </c>
      <c r="U2633" s="13" t="s">
        <v>11271</v>
      </c>
      <c r="V2633" s="13" t="s">
        <v>42</v>
      </c>
      <c r="W2633" s="13" t="s">
        <v>43</v>
      </c>
      <c r="X2633" s="21" t="n">
        <v>89615943838</v>
      </c>
      <c r="Y2633" s="22" t="str">
        <f aca="false">O2633</f>
        <v>TKBM</v>
      </c>
      <c r="Z2633" s="13" t="str">
        <f aca="false">IFERROR(__xludf.dummyfunction("if(BJ2633="""","""",GOOGLETRANSLATE(BJ2633,""auto"",""en""))"),"TKBM")</f>
        <v>TKBM</v>
      </c>
      <c r="AA2633" s="23" t="str">
        <f aca="false">IF(C2633="","", CHOOSE(MONTH(C2633),"January","February","March","April","May","June","July","August","September","October","November","December")&amp;" "&amp;DAY(C2633)&amp;MID("thstndrdth",MIN(9,2*RIGHT(DAY(C2633))*(MOD(DAY(C2633)-11,100)&gt;2)+1),2)&amp;","&amp;TEXT(C2633," yyyy"))</f>
        <v>July 30th,2026</v>
      </c>
      <c r="AB2633" s="15" t="str">
        <f aca="true">IF(S2633="","",DATEDIF(S2633,TODAY(),"Y")&amp;" Tahun, "&amp;DATEDIF(S2633,TODAY(),"YM")&amp;" Bulan, "&amp;DATEDIF(S2633,TODAY(),"MD")&amp;" Hari")</f>
        <v>37 Tahun, 2 Bulan, 28 Hari</v>
      </c>
      <c r="AC2633" s="18" t="n">
        <v>45901</v>
      </c>
      <c r="AD2633" s="18" t="n">
        <v>45961</v>
      </c>
      <c r="AE2633" s="18" t="s">
        <v>44</v>
      </c>
    </row>
    <row r="2634" customFormat="false" ht="15" hidden="false" customHeight="true" outlineLevel="0" collapsed="false">
      <c r="A2634" s="12" t="n">
        <v>20553</v>
      </c>
      <c r="B2634" s="13" t="s">
        <v>11272</v>
      </c>
      <c r="C2634" s="16" t="n">
        <v>45901</v>
      </c>
      <c r="D2634" s="13" t="s">
        <v>11257</v>
      </c>
      <c r="E2634" s="15" t="s">
        <v>7556</v>
      </c>
      <c r="F2634" s="15" t="str">
        <f aca="false">IFERROR(__xludf.dummyfunction("XLOOKUP(AJ2634,IMPORTRANGE(""1XaInW9DU9nz21V0tYIfzFQ0He9kVQ_JF2mCXgZ3hqFA"",""REKAP ALL 2026 - Andika!G:G""),IMPORTRANGE(""1XaInW9DU9nz21V0tYIfzFQ0He9kVQ_JF2mCXgZ3hqFA"",""REKAP ALL 2026 - Andika!F:F""),"""",0)"),"25133229523")</f>
        <v>25133229523</v>
      </c>
      <c r="G2634" s="13" t="s">
        <v>57</v>
      </c>
      <c r="H2634" s="13" t="s">
        <v>35</v>
      </c>
      <c r="I2634" s="13" t="str">
        <f aca="false">IF(C2634=J2634,"NEW KONTRAK","RE-KONTRAK")</f>
        <v>NEW KONTRAK</v>
      </c>
      <c r="J2634" s="16" t="n">
        <f aca="false" t="array" ref="J2634:J2634">IFERROR(INDEX(AC2634:AE2634,IF(COUNTA(AC2634:AE2634)=0,"",MAX((AC2634:AE2634&lt;&gt;"")*(COLUMN(AC2634:AE2634)-(COLUMN(AC2634)))))-1),"")</f>
        <v>45901</v>
      </c>
      <c r="K2634" s="16" t="n">
        <f aca="false" t="array" ref="K2634:K2634">IFERROR(INDEX(AC2634:AE2634,IF(COUNTA(AC2634:AE2634)=0,"",MAX((AC2634:AE2634&lt;&gt;"")*(COLUMN(AC2634:AE2634)-(COLUMN(AC2634)-1))))-1),"")</f>
        <v>45961</v>
      </c>
      <c r="L2634" s="17" t="str">
        <f aca="false" t="array" ref="L2634:L2634">IFERROR(INDEX(AC2634:AE2634,IF(COUNTA(AC2634:AE2634)=0,"",MAX((AC2634:AE2634&lt;&gt;"")*(COLUMN(AC2634:AE2634)-(COLUMN(AC2634)-2))))-1),"")</f>
        <v>ARCHIVED</v>
      </c>
      <c r="M2634" s="13" t="n">
        <f aca="true">K2634-TODAY()</f>
        <v>-363</v>
      </c>
      <c r="N2634" s="18" t="s">
        <v>728</v>
      </c>
      <c r="O2634" s="13" t="s">
        <v>7419</v>
      </c>
      <c r="P2634" s="27" t="n">
        <v>211551</v>
      </c>
      <c r="Q2634" s="47" t="s">
        <v>11273</v>
      </c>
      <c r="R2634" s="13" t="s">
        <v>52</v>
      </c>
      <c r="S2634" s="16" t="n">
        <v>34875</v>
      </c>
      <c r="T2634" s="28" t="s">
        <v>40</v>
      </c>
      <c r="U2634" s="13" t="s">
        <v>11274</v>
      </c>
      <c r="V2634" s="13" t="s">
        <v>42</v>
      </c>
      <c r="W2634" s="13" t="s">
        <v>54</v>
      </c>
      <c r="X2634" s="21" t="n">
        <v>83838657670</v>
      </c>
      <c r="Y2634" s="22" t="str">
        <f aca="false">O2634</f>
        <v>TKBM</v>
      </c>
      <c r="Z2634" s="13" t="str">
        <f aca="false">IFERROR(__xludf.dummyfunction("if(BJ2634="""","""",GOOGLETRANSLATE(BJ2634,""auto"",""en""))"),"TKBM")</f>
        <v>TKBM</v>
      </c>
      <c r="AA2634" s="23" t="str">
        <f aca="false">IF(C2634="","", CHOOSE(MONTH(C2634),"January","February","March","April","May","June","July","August","September","October","November","December")&amp;" "&amp;DAY(C2634)&amp;MID("thstndrdth",MIN(9,2*RIGHT(DAY(C2634))*(MOD(DAY(C2634)-11,100)&gt;2)+1),2)&amp;","&amp;TEXT(C2634," yyyy"))</f>
        <v>September 1st,2025</v>
      </c>
      <c r="AB2634" s="15" t="str">
        <f aca="true">IF(S2634="","",DATEDIF(S2634,TODAY(),"Y")&amp;" Tahun, "&amp;DATEDIF(S2634,TODAY(),"YM")&amp;" Bulan, "&amp;DATEDIF(S2634,TODAY(),"MD")&amp;" Hari")</f>
        <v>31 Tahun, 4 Bulan, 4 Hari</v>
      </c>
      <c r="AC2634" s="18" t="n">
        <v>45901</v>
      </c>
      <c r="AD2634" s="18" t="n">
        <v>45961</v>
      </c>
      <c r="AE2634" s="18" t="s">
        <v>44</v>
      </c>
    </row>
    <row r="2635" customFormat="false" ht="15" hidden="false" customHeight="true" outlineLevel="0" collapsed="false">
      <c r="A2635" s="12" t="n">
        <v>20554</v>
      </c>
      <c r="B2635" s="13" t="s">
        <v>11275</v>
      </c>
      <c r="C2635" s="16" t="n">
        <v>45901</v>
      </c>
      <c r="D2635" s="13" t="s">
        <v>11257</v>
      </c>
      <c r="E2635" s="15" t="s">
        <v>33</v>
      </c>
      <c r="F2635" s="24" t="s">
        <v>11276</v>
      </c>
      <c r="G2635" s="13" t="s">
        <v>57</v>
      </c>
      <c r="H2635" s="13" t="s">
        <v>35</v>
      </c>
      <c r="I2635" s="13" t="str">
        <f aca="false">IF(C2635=J2635,"NEW KONTRAK","RE-KONTRAK")</f>
        <v>NEW KONTRAK</v>
      </c>
      <c r="J2635" s="16" t="n">
        <f aca="false" t="array" ref="J2635:J2635">IFERROR(INDEX(AC2635:AE2635,IF(COUNTA(AC2635:AE2635)=0,"",MAX((AC2635:AE2635&lt;&gt;"")*(COLUMN(AC2635:AE2635)-(COLUMN(AC2635)))))-1),"")</f>
        <v>45901</v>
      </c>
      <c r="K2635" s="16" t="n">
        <f aca="false" t="array" ref="K2635:K2635">IFERROR(INDEX(AC2635:AE2635,IF(COUNTA(AC2635:AE2635)=0,"",MAX((AC2635:AE2635&lt;&gt;"")*(COLUMN(AC2635:AE2635)-(COLUMN(AC2635)-1))))-1),"")</f>
        <v>45961</v>
      </c>
      <c r="L2635" s="17" t="str">
        <f aca="false" t="array" ref="L2635:L2635">IFERROR(INDEX(AC2635:AE2635,IF(COUNTA(AC2635:AE2635)=0,"",MAX((AC2635:AE2635&lt;&gt;"")*(COLUMN(AC2635:AE2635)-(COLUMN(AC2635)-2))))-1),"")</f>
        <v>ARCHIVED</v>
      </c>
      <c r="M2635" s="13" t="n">
        <f aca="true">K2635-TODAY()</f>
        <v>-363</v>
      </c>
      <c r="N2635" s="18" t="s">
        <v>728</v>
      </c>
      <c r="O2635" s="13" t="s">
        <v>7419</v>
      </c>
      <c r="P2635" s="27" t="n">
        <v>211551</v>
      </c>
      <c r="Q2635" s="47" t="s">
        <v>11277</v>
      </c>
      <c r="R2635" s="13" t="s">
        <v>52</v>
      </c>
      <c r="S2635" s="16" t="n">
        <v>36956</v>
      </c>
      <c r="T2635" s="28" t="s">
        <v>40</v>
      </c>
      <c r="U2635" s="13" t="s">
        <v>11278</v>
      </c>
      <c r="V2635" s="13" t="s">
        <v>42</v>
      </c>
      <c r="W2635" s="13" t="s">
        <v>43</v>
      </c>
      <c r="X2635" s="21" t="n">
        <v>895630267350</v>
      </c>
      <c r="Y2635" s="22" t="str">
        <f aca="false">O2635</f>
        <v>TKBM</v>
      </c>
      <c r="Z2635" s="13" t="str">
        <f aca="false">IFERROR(__xludf.dummyfunction("if(BJ2635="""","""",GOOGLETRANSLATE(BJ2635,""auto"",""en""))"),"TKBM")</f>
        <v>TKBM</v>
      </c>
      <c r="AA2635" s="23" t="str">
        <f aca="false">IF(C2635="","", CHOOSE(MONTH(C2635),"January","February","March","April","May","June","July","August","September","October","November","December")&amp;" "&amp;DAY(C2635)&amp;MID("thstndrdth",MIN(9,2*RIGHT(DAY(C2635))*(MOD(DAY(C2635)-11,100)&gt;2)+1),2)&amp;","&amp;TEXT(C2635," yyyy"))</f>
        <v>September 1st,2025</v>
      </c>
      <c r="AB2635" s="15" t="str">
        <f aca="true">IF(S2635="","",DATEDIF(S2635,TODAY(),"Y")&amp;" Tahun, "&amp;DATEDIF(S2635,TODAY(),"YM")&amp;" Bulan, "&amp;DATEDIF(S2635,TODAY(),"MD")&amp;" Hari")</f>
        <v>25 Tahun, 7 Bulan, 23 Hari</v>
      </c>
      <c r="AC2635" s="18" t="n">
        <v>45901</v>
      </c>
      <c r="AD2635" s="18" t="n">
        <v>45961</v>
      </c>
      <c r="AE2635" s="18" t="s">
        <v>44</v>
      </c>
    </row>
    <row r="2636" customFormat="false" ht="15" hidden="false" customHeight="true" outlineLevel="0" collapsed="false">
      <c r="A2636" s="12" t="n">
        <v>20555</v>
      </c>
      <c r="B2636" s="13" t="s">
        <v>11279</v>
      </c>
      <c r="C2636" s="16" t="n">
        <v>45901</v>
      </c>
      <c r="D2636" s="13" t="s">
        <v>11257</v>
      </c>
      <c r="E2636" s="15" t="s">
        <v>7556</v>
      </c>
      <c r="F2636" s="15" t="str">
        <f aca="false">IFERROR(__xludf.dummyfunction("XLOOKUP(AJ2636,IMPORTRANGE(""1XaInW9DU9nz21V0tYIfzFQ0He9kVQ_JF2mCXgZ3hqFA"",""REKAP ALL 2026 - Andika!G:G""),IMPORTRANGE(""1XaInW9DU9nz21V0tYIfzFQ0He9kVQ_JF2mCXgZ3hqFA"",""REKAP ALL 2026 - Andika!F:F""),"""",0)"),"25133229549")</f>
        <v>25133229549</v>
      </c>
      <c r="G2636" s="13" t="s">
        <v>57</v>
      </c>
      <c r="H2636" s="13" t="s">
        <v>35</v>
      </c>
      <c r="I2636" s="13" t="str">
        <f aca="false">IF(C2636=J2636,"NEW KONTRAK","RE-KONTRAK")</f>
        <v>NEW KONTRAK</v>
      </c>
      <c r="J2636" s="16" t="n">
        <f aca="false" t="array" ref="J2636:J2636">IFERROR(INDEX(AC2636:AE2636,IF(COUNTA(AC2636:AE2636)=0,"",MAX((AC2636:AE2636&lt;&gt;"")*(COLUMN(AC2636:AE2636)-(COLUMN(AC2636)))))-1),"")</f>
        <v>45901</v>
      </c>
      <c r="K2636" s="16" t="n">
        <f aca="false" t="array" ref="K2636:K2636">IFERROR(INDEX(AC2636:AE2636,IF(COUNTA(AC2636:AE2636)=0,"",MAX((AC2636:AE2636&lt;&gt;"")*(COLUMN(AC2636:AE2636)-(COLUMN(AC2636)-1))))-1),"")</f>
        <v>45961</v>
      </c>
      <c r="L2636" s="17" t="str">
        <f aca="false" t="array" ref="L2636:L2636">IFERROR(INDEX(AC2636:AE2636,IF(COUNTA(AC2636:AE2636)=0,"",MAX((AC2636:AE2636&lt;&gt;"")*(COLUMN(AC2636:AE2636)-(COLUMN(AC2636)-2))))-1),"")</f>
        <v>ARCHIVED</v>
      </c>
      <c r="M2636" s="13" t="n">
        <f aca="true">K2636-TODAY()</f>
        <v>-363</v>
      </c>
      <c r="N2636" s="18" t="s">
        <v>728</v>
      </c>
      <c r="O2636" s="13" t="s">
        <v>7419</v>
      </c>
      <c r="P2636" s="27" t="n">
        <v>211551</v>
      </c>
      <c r="Q2636" s="47" t="s">
        <v>11280</v>
      </c>
      <c r="R2636" s="13" t="s">
        <v>52</v>
      </c>
      <c r="S2636" s="16" t="n">
        <v>37188</v>
      </c>
      <c r="T2636" s="28" t="s">
        <v>40</v>
      </c>
      <c r="U2636" s="13" t="s">
        <v>11281</v>
      </c>
      <c r="V2636" s="13" t="s">
        <v>42</v>
      </c>
      <c r="W2636" s="13" t="s">
        <v>43</v>
      </c>
      <c r="X2636" s="21" t="n">
        <v>81232852945</v>
      </c>
      <c r="Y2636" s="22" t="str">
        <f aca="false">O2636</f>
        <v>TKBM</v>
      </c>
      <c r="Z2636" s="13" t="str">
        <f aca="false">IFERROR(__xludf.dummyfunction("if(BJ2636="""","""",GOOGLETRANSLATE(BJ2636,""auto"",""en""))"),"TKBM")</f>
        <v>TKBM</v>
      </c>
      <c r="AA2636" s="23" t="str">
        <f aca="false">IF(C2636="","", CHOOSE(MONTH(C2636),"January","February","March","April","May","June","July","August","September","October","November","December")&amp;" "&amp;DAY(C2636)&amp;MID("thstndrdth",MIN(9,2*RIGHT(DAY(C2636))*(MOD(DAY(C2636)-11,100)&gt;2)+1),2)&amp;","&amp;TEXT(C2636," yyyy"))</f>
        <v>September 1st,2025</v>
      </c>
      <c r="AB2636" s="15" t="str">
        <f aca="true">IF(S2636="","",DATEDIF(S2636,TODAY(),"Y")&amp;" Tahun, "&amp;DATEDIF(S2636,TODAY(),"YM")&amp;" Bulan, "&amp;DATEDIF(S2636,TODAY(),"MD")&amp;" Hari")</f>
        <v>25 Tahun, 0 Bulan, 5 Hari</v>
      </c>
      <c r="AC2636" s="18" t="n">
        <v>45901</v>
      </c>
      <c r="AD2636" s="18" t="n">
        <v>45961</v>
      </c>
      <c r="AE2636" s="18" t="s">
        <v>44</v>
      </c>
    </row>
    <row r="2637" customFormat="false" ht="15" hidden="false" customHeight="true" outlineLevel="0" collapsed="false">
      <c r="A2637" s="12" t="n">
        <v>20556</v>
      </c>
      <c r="B2637" s="13" t="s">
        <v>11282</v>
      </c>
      <c r="C2637" s="16" t="n">
        <v>45901</v>
      </c>
      <c r="D2637" s="13" t="s">
        <v>11257</v>
      </c>
      <c r="E2637" s="15" t="s">
        <v>33</v>
      </c>
      <c r="F2637" s="24" t="s">
        <v>11283</v>
      </c>
      <c r="G2637" s="13" t="s">
        <v>57</v>
      </c>
      <c r="H2637" s="13" t="s">
        <v>35</v>
      </c>
      <c r="I2637" s="13" t="str">
        <f aca="false">IF(C2637=J2637,"NEW KONTRAK","RE-KONTRAK")</f>
        <v>NEW KONTRAK</v>
      </c>
      <c r="J2637" s="16" t="n">
        <f aca="false" t="array" ref="J2637:J2637">IFERROR(INDEX(AC2637:AE2637,IF(COUNTA(AC2637:AE2637)=0,"",MAX((AC2637:AE2637&lt;&gt;"")*(COLUMN(AC2637:AE2637)-(COLUMN(AC2637)))))-1),"")</f>
        <v>45901</v>
      </c>
      <c r="K2637" s="16" t="n">
        <f aca="false" t="array" ref="K2637:K2637">IFERROR(INDEX(AC2637:AE2637,IF(COUNTA(AC2637:AE2637)=0,"",MAX((AC2637:AE2637&lt;&gt;"")*(COLUMN(AC2637:AE2637)-(COLUMN(AC2637)-1))))-1),"")</f>
        <v>45961</v>
      </c>
      <c r="L2637" s="17" t="str">
        <f aca="false" t="array" ref="L2637:L2637">IFERROR(INDEX(AC2637:AE2637,IF(COUNTA(AC2637:AE2637)=0,"",MAX((AC2637:AE2637&lt;&gt;"")*(COLUMN(AC2637:AE2637)-(COLUMN(AC2637)-2))))-1),"")</f>
        <v>ARCHIVED</v>
      </c>
      <c r="M2637" s="13" t="n">
        <f aca="true">K2637-TODAY()</f>
        <v>-363</v>
      </c>
      <c r="N2637" s="18" t="s">
        <v>728</v>
      </c>
      <c r="O2637" s="13" t="s">
        <v>7419</v>
      </c>
      <c r="P2637" s="27" t="n">
        <v>211551</v>
      </c>
      <c r="Q2637" s="47" t="s">
        <v>11284</v>
      </c>
      <c r="R2637" s="13" t="s">
        <v>52</v>
      </c>
      <c r="S2637" s="16" t="n">
        <v>35402</v>
      </c>
      <c r="T2637" s="28" t="s">
        <v>40</v>
      </c>
      <c r="U2637" s="13" t="s">
        <v>11285</v>
      </c>
      <c r="V2637" s="13" t="s">
        <v>42</v>
      </c>
      <c r="W2637" s="13" t="s">
        <v>43</v>
      </c>
      <c r="X2637" s="21" t="n">
        <v>89658008176</v>
      </c>
      <c r="Y2637" s="22" t="str">
        <f aca="false">O2637</f>
        <v>TKBM</v>
      </c>
      <c r="Z2637" s="13" t="str">
        <f aca="false">IFERROR(__xludf.dummyfunction("if(BJ2637="""","""",GOOGLETRANSLATE(BJ2637,""auto"",""en""))"),"TKBM")</f>
        <v>TKBM</v>
      </c>
      <c r="AA2637" s="23" t="str">
        <f aca="false">IF(C2637="","", CHOOSE(MONTH(C2637),"January","February","March","April","May","June","July","August","September","October","November","December")&amp;" "&amp;DAY(C2637)&amp;MID("thstndrdth",MIN(9,2*RIGHT(DAY(C2637))*(MOD(DAY(C2637)-11,100)&gt;2)+1),2)&amp;","&amp;TEXT(C2637," yyyy"))</f>
        <v>September 1st,2025</v>
      </c>
      <c r="AB2637" s="15" t="str">
        <f aca="true">IF(S2637="","",DATEDIF(S2637,TODAY(),"Y")&amp;" Tahun, "&amp;DATEDIF(S2637,TODAY(),"YM")&amp;" Bulan, "&amp;DATEDIF(S2637,TODAY(),"MD")&amp;" Hari")</f>
        <v>29 Tahun, 10 Bulan, 26 Hari</v>
      </c>
      <c r="AC2637" s="18" t="n">
        <v>45901</v>
      </c>
      <c r="AD2637" s="18" t="n">
        <v>45961</v>
      </c>
      <c r="AE2637" s="18" t="s">
        <v>44</v>
      </c>
    </row>
    <row r="2638" customFormat="false" ht="15" hidden="false" customHeight="true" outlineLevel="0" collapsed="false">
      <c r="A2638" s="12" t="n">
        <v>20557</v>
      </c>
      <c r="B2638" s="13" t="s">
        <v>11286</v>
      </c>
      <c r="C2638" s="16" t="n">
        <v>45901</v>
      </c>
      <c r="D2638" s="13" t="s">
        <v>11257</v>
      </c>
      <c r="E2638" s="15" t="s">
        <v>33</v>
      </c>
      <c r="F2638" s="24" t="s">
        <v>11287</v>
      </c>
      <c r="G2638" s="13" t="s">
        <v>57</v>
      </c>
      <c r="H2638" s="13" t="s">
        <v>35</v>
      </c>
      <c r="I2638" s="13" t="str">
        <f aca="false">IF(C2638=J2638,"NEW KONTRAK","RE-KONTRAK")</f>
        <v>NEW KONTRAK</v>
      </c>
      <c r="J2638" s="16" t="n">
        <f aca="false" t="array" ref="J2638:J2638">IFERROR(INDEX(AC2638:AE2638,IF(COUNTA(AC2638:AE2638)=0,"",MAX((AC2638:AE2638&lt;&gt;"")*(COLUMN(AC2638:AE2638)-(COLUMN(AC2638)))))-1),"")</f>
        <v>45901</v>
      </c>
      <c r="K2638" s="16" t="n">
        <f aca="false" t="array" ref="K2638:K2638">IFERROR(INDEX(AC2638:AE2638,IF(COUNTA(AC2638:AE2638)=0,"",MAX((AC2638:AE2638&lt;&gt;"")*(COLUMN(AC2638:AE2638)-(COLUMN(AC2638)-1))))-1),"")</f>
        <v>45961</v>
      </c>
      <c r="L2638" s="17" t="str">
        <f aca="false" t="array" ref="L2638:L2638">IFERROR(INDEX(AC2638:AE2638,IF(COUNTA(AC2638:AE2638)=0,"",MAX((AC2638:AE2638&lt;&gt;"")*(COLUMN(AC2638:AE2638)-(COLUMN(AC2638)-2))))-1),"")</f>
        <v>ARCHIVED</v>
      </c>
      <c r="M2638" s="13" t="n">
        <f aca="true">K2638-TODAY()</f>
        <v>-363</v>
      </c>
      <c r="N2638" s="18" t="s">
        <v>728</v>
      </c>
      <c r="O2638" s="13" t="s">
        <v>7419</v>
      </c>
      <c r="P2638" s="27" t="n">
        <v>211551</v>
      </c>
      <c r="Q2638" s="47" t="s">
        <v>11288</v>
      </c>
      <c r="R2638" s="13" t="s">
        <v>52</v>
      </c>
      <c r="S2638" s="16" t="n">
        <v>34768</v>
      </c>
      <c r="T2638" s="28" t="s">
        <v>40</v>
      </c>
      <c r="U2638" s="13" t="s">
        <v>11289</v>
      </c>
      <c r="V2638" s="13" t="s">
        <v>42</v>
      </c>
      <c r="W2638" s="13" t="s">
        <v>43</v>
      </c>
      <c r="X2638" s="21" t="n">
        <v>87850286440</v>
      </c>
      <c r="Y2638" s="22" t="str">
        <f aca="false">O2638</f>
        <v>TKBM</v>
      </c>
      <c r="Z2638" s="13" t="str">
        <f aca="false">IFERROR(__xludf.dummyfunction("if(BJ2638="""","""",GOOGLETRANSLATE(BJ2638,""auto"",""en""))"),"TKBM")</f>
        <v>TKBM</v>
      </c>
      <c r="AA2638" s="23" t="str">
        <f aca="false">IF(C2638="","", CHOOSE(MONTH(C2638),"January","February","March","April","May","June","July","August","September","October","November","December")&amp;" "&amp;DAY(C2638)&amp;MID("thstndrdth",MIN(9,2*RIGHT(DAY(C2638))*(MOD(DAY(C2638)-11,100)&gt;2)+1),2)&amp;","&amp;TEXT(C2638," yyyy"))</f>
        <v>September 1st,2025</v>
      </c>
      <c r="AB2638" s="15" t="str">
        <f aca="true">IF(S2638="","",DATEDIF(S2638,TODAY(),"Y")&amp;" Tahun, "&amp;DATEDIF(S2638,TODAY(),"YM")&amp;" Bulan, "&amp;DATEDIF(S2638,TODAY(),"MD")&amp;" Hari")</f>
        <v>31 Tahun, 7 Bulan, 19 Hari</v>
      </c>
      <c r="AC2638" s="18" t="n">
        <v>45901</v>
      </c>
      <c r="AD2638" s="18" t="n">
        <v>45961</v>
      </c>
      <c r="AE2638" s="18" t="s">
        <v>44</v>
      </c>
    </row>
    <row r="2639" customFormat="false" ht="15" hidden="false" customHeight="true" outlineLevel="0" collapsed="false">
      <c r="A2639" s="12" t="n">
        <v>20558</v>
      </c>
      <c r="B2639" s="13" t="s">
        <v>3593</v>
      </c>
      <c r="C2639" s="16" t="n">
        <v>45901</v>
      </c>
      <c r="D2639" s="13" t="s">
        <v>11257</v>
      </c>
      <c r="E2639" s="15" t="s">
        <v>7556</v>
      </c>
      <c r="F2639" s="15" t="str">
        <f aca="false">IFERROR(__xludf.dummyfunction("XLOOKUP(AJ2639,IMPORTRANGE(""1XaInW9DU9nz21V0tYIfzFQ0He9kVQ_JF2mCXgZ3hqFA"",""REKAP ALL 2026 - Andika!G:G""),IMPORTRANGE(""1XaInW9DU9nz21V0tYIfzFQ0He9kVQ_JF2mCXgZ3hqFA"",""REKAP ALL 2026 - Andika!F:F""),"""",0)"),"25133229556")</f>
        <v>25133229556</v>
      </c>
      <c r="G2639" s="13" t="s">
        <v>57</v>
      </c>
      <c r="H2639" s="13" t="s">
        <v>35</v>
      </c>
      <c r="I2639" s="13" t="str">
        <f aca="false">IF(C2639=J2639,"NEW KONTRAK","RE-KONTRAK")</f>
        <v>NEW KONTRAK</v>
      </c>
      <c r="J2639" s="16" t="n">
        <f aca="false" t="array" ref="J2639:J2639">IFERROR(INDEX(AC2639:AE2639,IF(COUNTA(AC2639:AE2639)=0,"",MAX((AC2639:AE2639&lt;&gt;"")*(COLUMN(AC2639:AE2639)-(COLUMN(AC2639)))))-1),"")</f>
        <v>45901</v>
      </c>
      <c r="K2639" s="16" t="n">
        <f aca="false" t="array" ref="K2639:K2639">IFERROR(INDEX(AC2639:AE2639,IF(COUNTA(AC2639:AE2639)=0,"",MAX((AC2639:AE2639&lt;&gt;"")*(COLUMN(AC2639:AE2639)-(COLUMN(AC2639)-1))))-1),"")</f>
        <v>45961</v>
      </c>
      <c r="L2639" s="17" t="str">
        <f aca="false" t="array" ref="L2639:L2639">IFERROR(INDEX(AC2639:AE2639,IF(COUNTA(AC2639:AE2639)=0,"",MAX((AC2639:AE2639&lt;&gt;"")*(COLUMN(AC2639:AE2639)-(COLUMN(AC2639)-2))))-1),"")</f>
        <v>ARCHIVED</v>
      </c>
      <c r="M2639" s="13" t="n">
        <f aca="true">K2639-TODAY()</f>
        <v>-363</v>
      </c>
      <c r="N2639" s="18" t="s">
        <v>728</v>
      </c>
      <c r="O2639" s="13" t="s">
        <v>7419</v>
      </c>
      <c r="P2639" s="27" t="n">
        <v>211551</v>
      </c>
      <c r="Q2639" s="47" t="s">
        <v>11290</v>
      </c>
      <c r="R2639" s="13" t="s">
        <v>52</v>
      </c>
      <c r="S2639" s="16" t="n">
        <v>38030</v>
      </c>
      <c r="T2639" s="28" t="s">
        <v>40</v>
      </c>
      <c r="U2639" s="13" t="s">
        <v>11291</v>
      </c>
      <c r="V2639" s="13" t="s">
        <v>42</v>
      </c>
      <c r="W2639" s="13" t="s">
        <v>43</v>
      </c>
      <c r="X2639" s="21" t="n">
        <v>85100982785</v>
      </c>
      <c r="Y2639" s="22" t="str">
        <f aca="false">O2639</f>
        <v>TKBM</v>
      </c>
      <c r="Z2639" s="13" t="str">
        <f aca="false">IFERROR(__xludf.dummyfunction("if(BJ2639="""","""",GOOGLETRANSLATE(BJ2639,""auto"",""en""))"),"TKBM")</f>
        <v>TKBM</v>
      </c>
      <c r="AA2639" s="23" t="str">
        <f aca="false">IF(C2639="","", CHOOSE(MONTH(C2639),"January","February","March","April","May","June","July","August","September","October","November","December")&amp;" "&amp;DAY(C2639)&amp;MID("thstndrdth",MIN(9,2*RIGHT(DAY(C2639))*(MOD(DAY(C2639)-11,100)&gt;2)+1),2)&amp;","&amp;TEXT(C2639," yyyy"))</f>
        <v>September 1st,2025</v>
      </c>
      <c r="AB2639" s="15" t="str">
        <f aca="true">IF(S2639="","",DATEDIF(S2639,TODAY(),"Y")&amp;" Tahun, "&amp;DATEDIF(S2639,TODAY(),"YM")&amp;" Bulan, "&amp;DATEDIF(S2639,TODAY(),"MD")&amp;" Hari")</f>
        <v>22 Tahun, 8 Bulan, 16 Hari</v>
      </c>
      <c r="AC2639" s="18" t="n">
        <v>45901</v>
      </c>
      <c r="AD2639" s="18" t="n">
        <v>45961</v>
      </c>
      <c r="AE2639" s="18" t="s">
        <v>44</v>
      </c>
    </row>
    <row r="2640" customFormat="false" ht="15" hidden="false" customHeight="true" outlineLevel="0" collapsed="false">
      <c r="A2640" s="12" t="n">
        <v>20559</v>
      </c>
      <c r="B2640" s="13" t="s">
        <v>11292</v>
      </c>
      <c r="C2640" s="16" t="n">
        <v>45901</v>
      </c>
      <c r="D2640" s="13" t="s">
        <v>10714</v>
      </c>
      <c r="E2640" s="15" t="s">
        <v>11293</v>
      </c>
      <c r="F2640" s="24" t="s">
        <v>11294</v>
      </c>
      <c r="G2640" s="13" t="s">
        <v>1127</v>
      </c>
      <c r="H2640" s="13" t="s">
        <v>35</v>
      </c>
      <c r="I2640" s="13" t="str">
        <f aca="false">IF(C2640=J2640,"NEW KONTRAK","RE-KONTRAK")</f>
        <v>NEW KONTRAK</v>
      </c>
      <c r="J2640" s="16" t="n">
        <f aca="false" t="array" ref="J2640:J2640">IFERROR(INDEX(AC2640:AE2640,IF(COUNTA(AC2640:AE2640)=0,"",MAX((AC2640:AE2640&lt;&gt;"")*(COLUMN(AC2640:AE2640)-(COLUMN(AC2640)))))-1),"")</f>
        <v>45901</v>
      </c>
      <c r="K2640" s="16" t="n">
        <f aca="false" t="array" ref="K2640:K2640">IFERROR(INDEX(AC2640:AE2640,IF(COUNTA(AC2640:AE2640)=0,"",MAX((AC2640:AE2640&lt;&gt;"")*(COLUMN(AC2640:AE2640)-(COLUMN(AC2640)-1))))-1),"")</f>
        <v>46265</v>
      </c>
      <c r="L2640" s="17" t="str">
        <f aca="false" t="array" ref="L2640:L2640">IFERROR(INDEX(AC2640:AE2640,IF(COUNTA(AC2640:AE2640)=0,"",MAX((AC2640:AE2640&lt;&gt;"")*(COLUMN(AC2640:AE2640)-(COLUMN(AC2640)-2))))-1),"")</f>
        <v>ARCHIVED</v>
      </c>
      <c r="M2640" s="13" t="n">
        <f aca="true">K2640-TODAY()</f>
        <v>-59</v>
      </c>
      <c r="N2640" s="18" t="s">
        <v>728</v>
      </c>
      <c r="O2640" s="13" t="s">
        <v>50</v>
      </c>
      <c r="P2640" s="19" t="n">
        <v>3500000</v>
      </c>
      <c r="Q2640" s="20" t="s">
        <v>11295</v>
      </c>
      <c r="R2640" s="13" t="s">
        <v>52</v>
      </c>
      <c r="S2640" s="16" t="n">
        <v>34722</v>
      </c>
      <c r="T2640" s="28" t="s">
        <v>40</v>
      </c>
      <c r="U2640" s="13" t="s">
        <v>11296</v>
      </c>
      <c r="V2640" s="13" t="s">
        <v>42</v>
      </c>
      <c r="W2640" s="13" t="s">
        <v>54</v>
      </c>
      <c r="X2640" s="21" t="n">
        <v>881027357793</v>
      </c>
      <c r="Y2640" s="22" t="str">
        <f aca="false">O2640</f>
        <v>Driver</v>
      </c>
      <c r="Z2640" s="13" t="str">
        <f aca="false">IFERROR(__xludf.dummyfunction("if(BJ2640="""","""",GOOGLETRANSLATE(BJ2640,""auto"",""en""))"),"Driver")</f>
        <v>Driver</v>
      </c>
      <c r="AA2640" s="23" t="str">
        <f aca="false">IF(C2640="","", CHOOSE(MONTH(C2640),"January","February","March","April","May","June","July","August","September","October","November","December")&amp;" "&amp;DAY(C2640)&amp;MID("thstndrdth",MIN(9,2*RIGHT(DAY(C2640))*(MOD(DAY(C2640)-11,100)&gt;2)+1),2)&amp;","&amp;TEXT(C2640," yyyy"))</f>
        <v>September 1st,2025</v>
      </c>
      <c r="AB2640" s="15" t="str">
        <f aca="true">IF(S2640="","",DATEDIF(S2640,TODAY(),"Y")&amp;" Tahun, "&amp;DATEDIF(S2640,TODAY(),"YM")&amp;" Bulan, "&amp;DATEDIF(S2640,TODAY(),"MD")&amp;" Hari")</f>
        <v>31 Tahun, 9 Bulan, 6 Hari</v>
      </c>
      <c r="AC2640" s="18" t="n">
        <v>45901</v>
      </c>
      <c r="AD2640" s="18" t="n">
        <v>46265</v>
      </c>
      <c r="AE2640" s="18" t="s">
        <v>44</v>
      </c>
    </row>
    <row r="2641" customFormat="false" ht="15" hidden="false" customHeight="true" outlineLevel="0" collapsed="false">
      <c r="A2641" s="12" t="n">
        <v>20562</v>
      </c>
      <c r="B2641" s="13" t="s">
        <v>11297</v>
      </c>
      <c r="C2641" s="16" t="n">
        <v>45883</v>
      </c>
      <c r="D2641" s="13" t="s">
        <v>5892</v>
      </c>
      <c r="E2641" s="15" t="s">
        <v>33</v>
      </c>
      <c r="F2641" s="24" t="s">
        <v>11298</v>
      </c>
      <c r="G2641" s="13" t="s">
        <v>57</v>
      </c>
      <c r="H2641" s="13" t="s">
        <v>35</v>
      </c>
      <c r="I2641" s="13" t="str">
        <f aca="false">IF(C2641=J2641,"NEW KONTRAK","RE-KONTRAK")</f>
        <v>NEW KONTRAK</v>
      </c>
      <c r="J2641" s="16" t="n">
        <f aca="false" t="array" ref="J2641:J2641">IFERROR(INDEX(AC2641:AE2641,IF(COUNTA(AC2641:AE2641)=0,"",MAX((AC2641:AE2641&lt;&gt;"")*(COLUMN(AC2641:AE2641)-(COLUMN(AC2641)))))-1),"")</f>
        <v>45883</v>
      </c>
      <c r="K2641" s="16" t="n">
        <f aca="false" t="array" ref="K2641:K2641">IFERROR(INDEX(AC2641:AE2641,IF(COUNTA(AC2641:AE2641)=0,"",MAX((AC2641:AE2641&lt;&gt;"")*(COLUMN(AC2641:AE2641)-(COLUMN(AC2641)-1))))-1),"")</f>
        <v>45974</v>
      </c>
      <c r="L2641" s="17" t="str">
        <f aca="false" t="array" ref="L2641:L2641">IFERROR(INDEX(AC2641:AE2641,IF(COUNTA(AC2641:AE2641)=0,"",MAX((AC2641:AE2641&lt;&gt;"")*(COLUMN(AC2641:AE2641)-(COLUMN(AC2641)-2))))-1),"")</f>
        <v>ARCHIVED</v>
      </c>
      <c r="M2641" s="13" t="n">
        <f aca="true">K2641-TODAY()</f>
        <v>-350</v>
      </c>
      <c r="N2641" s="18" t="s">
        <v>105</v>
      </c>
      <c r="O2641" s="13" t="s">
        <v>11196</v>
      </c>
      <c r="P2641" s="19" t="n">
        <v>2500000</v>
      </c>
      <c r="Q2641" s="47" t="s">
        <v>11299</v>
      </c>
      <c r="R2641" s="13" t="s">
        <v>39</v>
      </c>
      <c r="S2641" s="16" t="n">
        <v>36222</v>
      </c>
      <c r="T2641" s="28" t="s">
        <v>40</v>
      </c>
      <c r="U2641" s="13" t="s">
        <v>11300</v>
      </c>
      <c r="V2641" s="13" t="s">
        <v>42</v>
      </c>
      <c r="W2641" s="13" t="s">
        <v>43</v>
      </c>
      <c r="X2641" s="21" t="n">
        <v>87782541118</v>
      </c>
      <c r="Y2641" s="22" t="str">
        <f aca="false">O2641</f>
        <v>Helper Gudang</v>
      </c>
      <c r="Z2641" s="13" t="str">
        <f aca="false">IFERROR(__xludf.dummyfunction("if(BJ2641="""","""",GOOGLETRANSLATE(BJ2641,""auto"",""en""))"),"Helper Gudang")</f>
        <v>Helper Gudang</v>
      </c>
      <c r="AA2641" s="23" t="str">
        <f aca="false">IF(C2641="","", CHOOSE(MONTH(C2641),"January","February","March","April","May","June","July","August","September","October","November","December")&amp;" "&amp;DAY(C2641)&amp;MID("thstndrdth",MIN(9,2*RIGHT(DAY(C2641))*(MOD(DAY(C2641)-11,100)&gt;2)+1),2)&amp;","&amp;TEXT(C2641," yyyy"))</f>
        <v>August 14th,2025</v>
      </c>
      <c r="AB2641" s="15" t="str">
        <f aca="true">IF(S2641="","",DATEDIF(S2641,TODAY(),"Y")&amp;" Tahun, "&amp;DATEDIF(S2641,TODAY(),"YM")&amp;" Bulan, "&amp;DATEDIF(S2641,TODAY(),"MD")&amp;" Hari")</f>
        <v>27 Tahun, 7 Bulan, 26 Hari</v>
      </c>
      <c r="AC2641" s="18" t="n">
        <v>45883</v>
      </c>
      <c r="AD2641" s="18" t="n">
        <v>45974</v>
      </c>
      <c r="AE2641" s="18" t="s">
        <v>44</v>
      </c>
    </row>
    <row r="2642" customFormat="false" ht="15" hidden="false" customHeight="true" outlineLevel="0" collapsed="false">
      <c r="A2642" s="12" t="n">
        <v>20569</v>
      </c>
      <c r="B2642" s="13" t="s">
        <v>11301</v>
      </c>
      <c r="C2642" s="16" t="n">
        <v>45901</v>
      </c>
      <c r="D2642" s="13" t="s">
        <v>10735</v>
      </c>
      <c r="E2642" s="15" t="s">
        <v>47</v>
      </c>
      <c r="F2642" s="24" t="s">
        <v>11302</v>
      </c>
      <c r="G2642" s="13" t="s">
        <v>1127</v>
      </c>
      <c r="H2642" s="13" t="s">
        <v>35</v>
      </c>
      <c r="I2642" s="13" t="str">
        <f aca="false">IF(C2642=J2642,"NEW KONTRAK","RE-KONTRAK")</f>
        <v>NEW KONTRAK</v>
      </c>
      <c r="J2642" s="16" t="n">
        <f aca="false" t="array" ref="J2642:J2642">IFERROR(INDEX(AC2642:AE2642,IF(COUNTA(AC2642:AE2642)=0,"",MAX((AC2642:AE2642&lt;&gt;"")*(COLUMN(AC2642:AE2642)-(COLUMN(AC2642)))))-1),"")</f>
        <v>45901</v>
      </c>
      <c r="K2642" s="16" t="n">
        <f aca="false" t="array" ref="K2642:K2642">IFERROR(INDEX(AC2642:AE2642,IF(COUNTA(AC2642:AE2642)=0,"",MAX((AC2642:AE2642&lt;&gt;"")*(COLUMN(AC2642:AE2642)-(COLUMN(AC2642)-1))))-1),"")</f>
        <v>45991</v>
      </c>
      <c r="L2642" s="17" t="str">
        <f aca="false" t="array" ref="L2642:L2642">IFERROR(INDEX(AC2642:AE2642,IF(COUNTA(AC2642:AE2642)=0,"",MAX((AC2642:AE2642&lt;&gt;"")*(COLUMN(AC2642:AE2642)-(COLUMN(AC2642)-2))))-1),"")</f>
        <v>ARCHIVED</v>
      </c>
      <c r="M2642" s="13" t="n">
        <f aca="true">K2642-TODAY()</f>
        <v>-333</v>
      </c>
      <c r="N2642" s="50" t="s">
        <v>3576</v>
      </c>
      <c r="O2642" s="13" t="s">
        <v>10737</v>
      </c>
      <c r="P2642" s="19" t="n">
        <v>2553530</v>
      </c>
      <c r="Q2642" s="47" t="s">
        <v>11303</v>
      </c>
      <c r="R2642" s="13" t="s">
        <v>260</v>
      </c>
      <c r="S2642" s="16" t="n">
        <v>34593</v>
      </c>
      <c r="T2642" s="28" t="s">
        <v>40</v>
      </c>
      <c r="U2642" s="13" t="s">
        <v>11304</v>
      </c>
      <c r="V2642" s="13" t="s">
        <v>42</v>
      </c>
      <c r="W2642" s="13" t="s">
        <v>54</v>
      </c>
      <c r="X2642" s="21" t="n">
        <v>82116336661</v>
      </c>
      <c r="Y2642" s="22" t="str">
        <f aca="false">O2642</f>
        <v>Sales Taking Order</v>
      </c>
      <c r="Z2642" s="13" t="str">
        <f aca="false">IFERROR(__xludf.dummyfunction("if(BJ2642="""","""",GOOGLETRANSLATE(BJ2642,""auto"",""en""))"),"Sales Taking Order")</f>
        <v>Sales Taking Order</v>
      </c>
      <c r="AA2642" s="23" t="str">
        <f aca="false">IF(C2642="","", CHOOSE(MONTH(C2642),"January","February","March","April","May","June","July","August","September","October","November","December")&amp;" "&amp;DAY(C2642)&amp;MID("thstndrdth",MIN(9,2*RIGHT(DAY(C2642))*(MOD(DAY(C2642)-11,100)&gt;2)+1),2)&amp;","&amp;TEXT(C2642," yyyy"))</f>
        <v>September 1st,2025</v>
      </c>
      <c r="AB2642" s="15" t="str">
        <f aca="true">IF(S2642="","",DATEDIF(S2642,TODAY(),"Y")&amp;" Tahun, "&amp;DATEDIF(S2642,TODAY(),"YM")&amp;" Bulan, "&amp;DATEDIF(S2642,TODAY(),"MD")&amp;" Hari")</f>
        <v>32 Tahun, 1 Bulan, 13 Hari</v>
      </c>
      <c r="AC2642" s="18" t="n">
        <v>45901</v>
      </c>
      <c r="AD2642" s="18" t="n">
        <v>45991</v>
      </c>
      <c r="AE2642" s="18" t="s">
        <v>44</v>
      </c>
    </row>
    <row r="2643" customFormat="false" ht="15" hidden="false" customHeight="true" outlineLevel="0" collapsed="false">
      <c r="A2643" s="12" t="n">
        <v>20564</v>
      </c>
      <c r="B2643" s="13" t="s">
        <v>11305</v>
      </c>
      <c r="C2643" s="16" t="n">
        <v>45897</v>
      </c>
      <c r="D2643" s="13" t="s">
        <v>7534</v>
      </c>
      <c r="E2643" s="15" t="s">
        <v>102</v>
      </c>
      <c r="F2643" s="15" t="str">
        <f aca="false">IFERROR(__xludf.dummyfunction("XLOOKUP(AJ2643,IMPORTRANGE(""1XaInW9DU9nz21V0tYIfzFQ0He9kVQ_JF2mCXgZ3hqFA"",""REKAP ALL 2026 - Andika!G:G""),IMPORTRANGE(""1XaInW9DU9nz21V0tYIfzFQ0He9kVQ_JF2mCXgZ3hqFA"",""REKAP ALL 2026 - Andika!F:F""),"""",0)"),"25115949593")</f>
        <v>25115949593</v>
      </c>
      <c r="G2643" s="13" t="s">
        <v>1127</v>
      </c>
      <c r="H2643" s="13" t="s">
        <v>35</v>
      </c>
      <c r="I2643" s="13" t="str">
        <f aca="false">IF(C2643=J2643,"NEW KONTRAK","RE-KONTRAK")</f>
        <v>NEW KONTRAK</v>
      </c>
      <c r="J2643" s="16" t="n">
        <f aca="false" t="array" ref="J2643:J2643">IFERROR(INDEX(AC2643:AE2643,IF(COUNTA(AC2643:AE2643)=0,"",MAX((AC2643:AE2643&lt;&gt;"")*(COLUMN(AC2643:AE2643)-(COLUMN(AC2643)))))-1),"")</f>
        <v>45897</v>
      </c>
      <c r="K2643" s="16" t="n">
        <f aca="false" t="array" ref="K2643:K2643">IFERROR(INDEX(AC2643:AE2643,IF(COUNTA(AC2643:AE2643)=0,"",MAX((AC2643:AE2643&lt;&gt;"")*(COLUMN(AC2643:AE2643)-(COLUMN(AC2643)-1))))-1),"")</f>
        <v>45988</v>
      </c>
      <c r="L2643" s="17" t="str">
        <f aca="false" t="array" ref="L2643:L2643">IFERROR(INDEX(AC2643:AE2643,IF(COUNTA(AC2643:AE2643)=0,"",MAX((AC2643:AE2643&lt;&gt;"")*(COLUMN(AC2643:AE2643)-(COLUMN(AC2643)-2))))-1),"")</f>
        <v>ARCHIVED</v>
      </c>
      <c r="M2643" s="13" t="n">
        <f aca="true">K2643-TODAY()</f>
        <v>-336</v>
      </c>
      <c r="N2643" s="18" t="s">
        <v>4735</v>
      </c>
      <c r="O2643" s="13" t="s">
        <v>7536</v>
      </c>
      <c r="P2643" s="19" t="n">
        <v>3553530</v>
      </c>
      <c r="Q2643" s="47" t="s">
        <v>11306</v>
      </c>
      <c r="R2643" s="13" t="s">
        <v>39</v>
      </c>
      <c r="S2643" s="16" t="n">
        <v>37736</v>
      </c>
      <c r="T2643" s="13" t="s">
        <v>108</v>
      </c>
      <c r="U2643" s="13" t="s">
        <v>11307</v>
      </c>
      <c r="V2643" s="13" t="s">
        <v>42</v>
      </c>
      <c r="W2643" s="13" t="s">
        <v>43</v>
      </c>
      <c r="X2643" s="21" t="n">
        <v>82233817390</v>
      </c>
      <c r="Y2643" s="22" t="str">
        <f aca="false">O2643</f>
        <v>Host Live</v>
      </c>
      <c r="Z2643" s="13" t="str">
        <f aca="false">IFERROR(__xludf.dummyfunction("if(BJ2643="""","""",GOOGLETRANSLATE(BJ2643,""auto"",""en""))"),"Host Live")</f>
        <v>Host Live</v>
      </c>
      <c r="AA2643" s="23" t="str">
        <f aca="false">IF(C2643="","", CHOOSE(MONTH(C2643),"January","February","March","April","May","June","July","August","September","October","November","December")&amp;" "&amp;DAY(C2643)&amp;MID("thstndrdth",MIN(9,2*RIGHT(DAY(C2643))*(MOD(DAY(C2643)-11,100)&gt;2)+1),2)&amp;","&amp;TEXT(C2643," yyyy"))</f>
        <v>August 28th,2025</v>
      </c>
      <c r="AB2643" s="15" t="str">
        <f aca="true">IF(S2643="","",DATEDIF(S2643,TODAY(),"Y")&amp;" Tahun, "&amp;DATEDIF(S2643,TODAY(),"YM")&amp;" Bulan, "&amp;DATEDIF(S2643,TODAY(),"MD")&amp;" Hari")</f>
        <v>23 Tahun, 6 Bulan, 4 Hari</v>
      </c>
      <c r="AC2643" s="18" t="n">
        <v>45897</v>
      </c>
      <c r="AD2643" s="18" t="n">
        <v>45988</v>
      </c>
      <c r="AE2643" s="18" t="s">
        <v>44</v>
      </c>
    </row>
    <row r="2644" customFormat="false" ht="15" hidden="false" customHeight="true" outlineLevel="0" collapsed="false">
      <c r="A2644" s="12" t="n">
        <v>20567</v>
      </c>
      <c r="B2644" s="13" t="s">
        <v>11308</v>
      </c>
      <c r="C2644" s="16" t="n">
        <v>45895</v>
      </c>
      <c r="D2644" s="13" t="s">
        <v>10735</v>
      </c>
      <c r="E2644" s="15" t="s">
        <v>789</v>
      </c>
      <c r="F2644" s="24" t="s">
        <v>11309</v>
      </c>
      <c r="G2644" s="13" t="s">
        <v>1127</v>
      </c>
      <c r="H2644" s="13" t="s">
        <v>35</v>
      </c>
      <c r="I2644" s="13" t="str">
        <f aca="false">IF(C2644=J2644,"NEW KONTRAK","RE-KONTRAK")</f>
        <v>NEW KONTRAK</v>
      </c>
      <c r="J2644" s="16" t="n">
        <f aca="false" t="array" ref="J2644:J2644">IFERROR(INDEX(AC2644:AE2644,IF(COUNTA(AC2644:AE2644)=0,"",MAX((AC2644:AE2644&lt;&gt;"")*(COLUMN(AC2644:AE2644)-(COLUMN(AC2644)))))-1),"")</f>
        <v>45895</v>
      </c>
      <c r="K2644" s="16" t="n">
        <f aca="false" t="array" ref="K2644:K2644">IFERROR(INDEX(AC2644:AE2644,IF(COUNTA(AC2644:AE2644)=0,"",MAX((AC2644:AE2644&lt;&gt;"")*(COLUMN(AC2644:AE2644)-(COLUMN(AC2644)-1))))-1),"")</f>
        <v>45986</v>
      </c>
      <c r="L2644" s="17" t="str">
        <f aca="false" t="array" ref="L2644:L2644">IFERROR(INDEX(AC2644:AE2644,IF(COUNTA(AC2644:AE2644)=0,"",MAX((AC2644:AE2644&lt;&gt;"")*(COLUMN(AC2644:AE2644)-(COLUMN(AC2644)-2))))-1),"")</f>
        <v>ARCHIVED</v>
      </c>
      <c r="M2644" s="13" t="n">
        <f aca="true">K2644-TODAY()</f>
        <v>-338</v>
      </c>
      <c r="N2644" s="50" t="s">
        <v>728</v>
      </c>
      <c r="O2644" s="13" t="s">
        <v>10737</v>
      </c>
      <c r="P2644" s="19" t="n">
        <v>3961753</v>
      </c>
      <c r="Q2644" s="47" t="s">
        <v>11310</v>
      </c>
      <c r="R2644" s="13" t="s">
        <v>260</v>
      </c>
      <c r="S2644" s="16" t="n">
        <v>35884</v>
      </c>
      <c r="T2644" s="28" t="s">
        <v>40</v>
      </c>
      <c r="U2644" s="13" t="s">
        <v>11311</v>
      </c>
      <c r="V2644" s="13" t="s">
        <v>42</v>
      </c>
      <c r="W2644" s="13" t="s">
        <v>43</v>
      </c>
      <c r="X2644" s="21" t="n">
        <v>82143810876</v>
      </c>
      <c r="Y2644" s="22" t="str">
        <f aca="false">O2644</f>
        <v>Sales Taking Order</v>
      </c>
      <c r="Z2644" s="13" t="str">
        <f aca="false">IFERROR(__xludf.dummyfunction("if(BJ2644="""","""",GOOGLETRANSLATE(BJ2644,""auto"",""en""))"),"Sales Taking Order")</f>
        <v>Sales Taking Order</v>
      </c>
      <c r="AA2644" s="23" t="str">
        <f aca="false">IF(C2644="","", CHOOSE(MONTH(C2644),"January","February","March","April","May","June","July","August","September","October","November","December")&amp;" "&amp;DAY(C2644)&amp;MID("thstndrdth",MIN(9,2*RIGHT(DAY(C2644))*(MOD(DAY(C2644)-11,100)&gt;2)+1),2)&amp;","&amp;TEXT(C2644," yyyy"))</f>
        <v>August 26th,2025</v>
      </c>
      <c r="AB2644" s="15" t="str">
        <f aca="true">IF(S2644="","",DATEDIF(S2644,TODAY(),"Y")&amp;" Tahun, "&amp;DATEDIF(S2644,TODAY(),"YM")&amp;" Bulan, "&amp;DATEDIF(S2644,TODAY(),"MD")&amp;" Hari")</f>
        <v>28 Tahun, 6 Bulan, 29 Hari</v>
      </c>
      <c r="AC2644" s="18" t="n">
        <v>45895</v>
      </c>
      <c r="AD2644" s="18" t="n">
        <v>45986</v>
      </c>
      <c r="AE2644" s="18" t="s">
        <v>44</v>
      </c>
    </row>
    <row r="2645" customFormat="false" ht="15" hidden="false" customHeight="true" outlineLevel="0" collapsed="false">
      <c r="A2645" s="12" t="n">
        <v>14872</v>
      </c>
      <c r="B2645" s="13" t="s">
        <v>11312</v>
      </c>
      <c r="C2645" s="14" t="n">
        <v>45378</v>
      </c>
      <c r="D2645" s="13" t="s">
        <v>2033</v>
      </c>
      <c r="E2645" s="15" t="s">
        <v>47</v>
      </c>
      <c r="F2645" s="15" t="str">
        <f aca="false">IFERROR(__xludf.dummyfunction("XLOOKUP(AJ2645,IMPORTRANGE(""1XaInW9DU9nz21V0tYIfzFQ0He9kVQ_JF2mCXgZ3hqFA"",""REKAP ALL 2026 - Andika!G:G""),IMPORTRANGE(""1XaInW9DU9nz21V0tYIfzFQ0He9kVQ_JF2mCXgZ3hqFA"",""REKAP ALL 2026 - Andika!F:F""),"""",0)"),"24061768388")</f>
        <v>24061768388</v>
      </c>
      <c r="G2645" s="13" t="s">
        <v>11313</v>
      </c>
      <c r="H2645" s="13" t="s">
        <v>2035</v>
      </c>
      <c r="I2645" s="13" t="str">
        <f aca="false">IF(C2645=J2645,"NEW KONTRAK","RE-KONTRAK")</f>
        <v>RE-KONTRAK</v>
      </c>
      <c r="J2645" s="16" t="n">
        <f aca="false" t="array" ref="J2645:J2645">IFERROR(INDEX(AC2645:AE2645,IF(COUNTA(AC2645:AE2645)=0,"",MAX((AC2645:AE2645&lt;&gt;"")*(COLUMN(AC2645:AE2645)-(COLUMN(AC2645)))))-1),"")</f>
        <v>45744</v>
      </c>
      <c r="K2645" s="16" t="n">
        <f aca="false" t="array" ref="K2645:K2645">IFERROR(INDEX(AC2645:AE2645,IF(COUNTA(AC2645:AE2645)=0,"",MAX((AC2645:AE2645&lt;&gt;"")*(COLUMN(AC2645:AE2645)-(COLUMN(AC2645)-1))))-1),"")</f>
        <v>45915</v>
      </c>
      <c r="L2645" s="17" t="str">
        <f aca="false" t="array" ref="L2645:L2645">IFERROR(INDEX(AC2645:AE2645,IF(COUNTA(AC2645:AE2645)=0,"",MAX((AC2645:AE2645&lt;&gt;"")*(COLUMN(AC2645:AE2645)-(COLUMN(AC2645)-2))))-1),"")</f>
        <v>ARCHIVED</v>
      </c>
      <c r="M2645" s="13" t="n">
        <f aca="true">K2645-TODAY()</f>
        <v>-409</v>
      </c>
      <c r="N2645" s="18" t="s">
        <v>3897</v>
      </c>
      <c r="O2645" s="13" t="s">
        <v>2037</v>
      </c>
      <c r="P2645" s="19" t="n">
        <v>3725000</v>
      </c>
      <c r="Q2645" s="20" t="s">
        <v>11314</v>
      </c>
      <c r="R2645" s="13" t="s">
        <v>3897</v>
      </c>
      <c r="S2645" s="14" t="n">
        <v>37004</v>
      </c>
      <c r="T2645" s="13" t="s">
        <v>108</v>
      </c>
      <c r="U2645" s="13" t="s">
        <v>11315</v>
      </c>
      <c r="V2645" s="13" t="s">
        <v>42</v>
      </c>
      <c r="W2645" s="13" t="s">
        <v>43</v>
      </c>
      <c r="X2645" s="21" t="n">
        <v>81907266835</v>
      </c>
      <c r="Y2645" s="22" t="str">
        <f aca="false">O2645</f>
        <v>SPG/BA</v>
      </c>
      <c r="Z2645" s="13" t="str">
        <f aca="false">IFERROR(__xludf.dummyfunction("if(BJ2645="""","""",GOOGLETRANSLATE(BJ2645,""auto"",""en""))"),"SPG/BA")</f>
        <v>SPG/BA</v>
      </c>
      <c r="AA2645" s="23" t="str">
        <f aca="false">IF(C2645="","", CHOOSE(MONTH(C2645),"January","February","March","April","May","June","July","August","September","October","November","December")&amp;" "&amp;DAY(C2645)&amp;MID("thstndrdth",MIN(9,2*RIGHT(DAY(C2645))*(MOD(DAY(C2645)-11,100)&gt;2)+1),2)&amp;","&amp;TEXT(C2645," yyyy"))</f>
        <v>March 27th,2024</v>
      </c>
      <c r="AB2645" s="15" t="str">
        <f aca="true">IF(S2645="","",DATEDIF(S2645,TODAY(),"Y")&amp;" Tahun, "&amp;DATEDIF(S2645,TODAY(),"YM")&amp;" Bulan, "&amp;DATEDIF(S2645,TODAY(),"MD")&amp;" Hari")</f>
        <v>25 Tahun, 6 Bulan, 6 Hari</v>
      </c>
      <c r="AC2645" s="18" t="n">
        <v>45744</v>
      </c>
      <c r="AD2645" s="18" t="n">
        <v>45915</v>
      </c>
      <c r="AE2645" s="18" t="s">
        <v>44</v>
      </c>
    </row>
    <row r="2646" customFormat="false" ht="15" hidden="false" customHeight="true" outlineLevel="0" collapsed="false">
      <c r="A2646" s="12" t="n">
        <v>23006</v>
      </c>
      <c r="B2646" s="13" t="s">
        <v>11316</v>
      </c>
      <c r="C2646" s="14" t="n">
        <v>46296</v>
      </c>
      <c r="D2646" s="13" t="s">
        <v>2033</v>
      </c>
      <c r="E2646" s="13" t="s">
        <v>47</v>
      </c>
      <c r="F2646" s="24" t="s">
        <v>11317</v>
      </c>
      <c r="G2646" s="13" t="s">
        <v>1127</v>
      </c>
      <c r="H2646" s="13" t="s">
        <v>35</v>
      </c>
      <c r="I2646" s="13" t="str">
        <f aca="false">IF(C2646=J2646,"NEW KONTRAK","RE-KONTRAK")</f>
        <v>NEW KONTRAK</v>
      </c>
      <c r="J2646" s="16" t="n">
        <f aca="false" t="array" ref="J2646:J2646">IFERROR(INDEX(AC2646:AE2646,IF(COUNTA(AC2646:AE2646)=0,"",MAX((AC2646:AE2646&lt;&gt;"")*(COLUMN(AC2646:AE2646)-(COLUMN(AC2646)))))-1),"")</f>
        <v>46296</v>
      </c>
      <c r="K2646" s="16" t="n">
        <f aca="false" t="array" ref="K2646:K2646">IFERROR(INDEX(AC2646:AE2646,IF(COUNTA(AC2646:AE2646)=0,"",MAX((AC2646:AE2646&lt;&gt;"")*(COLUMN(AC2646:AE2646)-(COLUMN(AC2646)-1))))-1),"")</f>
        <v>46402</v>
      </c>
      <c r="L2646" s="17" t="str">
        <f aca="false" t="array" ref="L2646:L2646">IFERROR(INDEX(AC2646:AE2646,IF(COUNTA(AC2646:AE2646)=0,"",MAX((AC2646:AE2646&lt;&gt;"")*(COLUMN(AC2646:AE2646)-(COLUMN(AC2646)-2))))-1),"")</f>
        <v>DRAFTED ONLINE</v>
      </c>
      <c r="M2646" s="13" t="n">
        <f aca="true">K2646-TODAY()</f>
        <v>78</v>
      </c>
      <c r="N2646" s="28" t="s">
        <v>10550</v>
      </c>
      <c r="O2646" s="13" t="s">
        <v>2384</v>
      </c>
      <c r="P2646" s="26" t="n">
        <v>2532852</v>
      </c>
      <c r="Q2646" s="20" t="s">
        <v>11318</v>
      </c>
      <c r="R2646" s="13" t="s">
        <v>6556</v>
      </c>
      <c r="S2646" s="25" t="n">
        <v>36602</v>
      </c>
      <c r="T2646" s="13" t="s">
        <v>108</v>
      </c>
      <c r="U2646" s="13" t="s">
        <v>11319</v>
      </c>
      <c r="V2646" s="13" t="s">
        <v>99</v>
      </c>
      <c r="W2646" s="13" t="s">
        <v>43</v>
      </c>
      <c r="X2646" s="21" t="n">
        <v>82145408060</v>
      </c>
      <c r="Y2646" s="22" t="str">
        <f aca="false">O2646</f>
        <v>SPG</v>
      </c>
      <c r="Z2646" s="13" t="str">
        <f aca="false">IFERROR(__xludf.dummyfunction("if(BJ2646="""","""",GOOGLETRANSLATE(BJ2646,""auto"",""en""))"),"SPG")</f>
        <v>SPG</v>
      </c>
      <c r="AA2646" s="23" t="str">
        <f aca="false">IF(C2646="","", CHOOSE(MONTH(C2646),"January","February","March","April","May","June","July","August","September","October","November","December")&amp;" "&amp;DAY(C2646)&amp;MID("thstndrdth",MIN(9,2*RIGHT(DAY(C2646))*(MOD(DAY(C2646)-11,100)&gt;2)+1),2)&amp;","&amp;TEXT(C2646," yyyy"))</f>
        <v>October 1st,2026</v>
      </c>
      <c r="AB2646" s="15" t="str">
        <f aca="true">IF(S2646="","",DATEDIF(S2646,TODAY(),"Y")&amp;" Tahun, "&amp;DATEDIF(S2646,TODAY(),"YM")&amp;" Bulan, "&amp;DATEDIF(S2646,TODAY(),"MD")&amp;" Hari")</f>
        <v>26 Tahun, 7 Bulan, 12 Hari</v>
      </c>
      <c r="AC2646" s="14" t="n">
        <v>46296</v>
      </c>
      <c r="AD2646" s="18" t="n">
        <v>46402</v>
      </c>
      <c r="AE2646" s="13" t="s">
        <v>2424</v>
      </c>
    </row>
    <row r="2647" customFormat="false" ht="15" hidden="false" customHeight="true" outlineLevel="0" collapsed="false">
      <c r="A2647" s="12" t="n">
        <v>20571</v>
      </c>
      <c r="B2647" s="13" t="s">
        <v>11320</v>
      </c>
      <c r="C2647" s="14" t="n">
        <v>45880</v>
      </c>
      <c r="D2647" s="13" t="s">
        <v>2033</v>
      </c>
      <c r="E2647" s="15" t="s">
        <v>789</v>
      </c>
      <c r="F2647" s="24" t="s">
        <v>11321</v>
      </c>
      <c r="G2647" s="13" t="s">
        <v>1127</v>
      </c>
      <c r="H2647" s="13" t="s">
        <v>2035</v>
      </c>
      <c r="I2647" s="13" t="str">
        <f aca="false">IF(C2647=J2647,"NEW KONTRAK","RE-KONTRAK")</f>
        <v>NEW KONTRAK</v>
      </c>
      <c r="J2647" s="16" t="n">
        <f aca="false" t="array" ref="J2647:J2647">IFERROR(INDEX(AC2647:AE2647,IF(COUNTA(AC2647:AE2647)=0,"",MAX((AC2647:AE2647&lt;&gt;"")*(COLUMN(AC2647:AE2647)-(COLUMN(AC2647)))))-1),"")</f>
        <v>45880</v>
      </c>
      <c r="K2647" s="16" t="n">
        <f aca="false" t="array" ref="K2647:K2647">IFERROR(INDEX(AC2647:AE2647,IF(COUNTA(AC2647:AE2647)=0,"",MAX((AC2647:AE2647&lt;&gt;"")*(COLUMN(AC2647:AE2647)-(COLUMN(AC2647)-1))))-1),"")</f>
        <v>45915</v>
      </c>
      <c r="L2647" s="17" t="str">
        <f aca="false" t="array" ref="L2647:L2647">IFERROR(INDEX(AC2647:AE2647,IF(COUNTA(AC2647:AE2647)=0,"",MAX((AC2647:AE2647&lt;&gt;"")*(COLUMN(AC2647:AE2647)-(COLUMN(AC2647)-2))))-1),"")</f>
        <v>ARCHIVED</v>
      </c>
      <c r="M2647" s="13" t="n">
        <f aca="true">K2647-TODAY()</f>
        <v>-409</v>
      </c>
      <c r="N2647" s="51" t="s">
        <v>10532</v>
      </c>
      <c r="O2647" s="13" t="s">
        <v>5017</v>
      </c>
      <c r="P2647" s="19" t="n">
        <v>2859620</v>
      </c>
      <c r="Q2647" s="47" t="s">
        <v>11322</v>
      </c>
      <c r="R2647" s="13" t="s">
        <v>5852</v>
      </c>
      <c r="S2647" s="16" t="n">
        <v>39098</v>
      </c>
      <c r="T2647" s="13" t="s">
        <v>108</v>
      </c>
      <c r="U2647" s="13" t="s">
        <v>11323</v>
      </c>
      <c r="V2647" s="13" t="s">
        <v>1310</v>
      </c>
      <c r="W2647" s="13" t="s">
        <v>43</v>
      </c>
      <c r="X2647" s="21" t="n">
        <v>85338221402</v>
      </c>
      <c r="Y2647" s="22" t="str">
        <f aca="false">O2647</f>
        <v>Sales</v>
      </c>
      <c r="Z2647" s="13" t="str">
        <f aca="false">IFERROR(__xludf.dummyfunction("if(BJ2647="""","""",GOOGLETRANSLATE(BJ2647,""auto"",""en""))"),"Sales")</f>
        <v>Sales</v>
      </c>
      <c r="AA2647" s="23" t="str">
        <f aca="false">IF(C2647="","", CHOOSE(MONTH(C2647),"January","February","March","April","May","June","July","August","September","October","November","December")&amp;" "&amp;DAY(C2647)&amp;MID("thstndrdth",MIN(9,2*RIGHT(DAY(C2647))*(MOD(DAY(C2647)-11,100)&gt;2)+1),2)&amp;","&amp;TEXT(C2647," yyyy"))</f>
        <v>August 11th,2025</v>
      </c>
      <c r="AB2647" s="15" t="str">
        <f aca="true">IF(S2647="","",DATEDIF(S2647,TODAY(),"Y")&amp;" Tahun, "&amp;DATEDIF(S2647,TODAY(),"YM")&amp;" Bulan, "&amp;DATEDIF(S2647,TODAY(),"MD")&amp;" Hari")</f>
        <v>19 Tahun, 9 Bulan, 13 Hari</v>
      </c>
      <c r="AC2647" s="18" t="n">
        <v>45880</v>
      </c>
      <c r="AD2647" s="18" t="n">
        <v>45915</v>
      </c>
      <c r="AE2647" s="18" t="s">
        <v>44</v>
      </c>
    </row>
    <row r="2648" customFormat="false" ht="15" hidden="false" customHeight="true" outlineLevel="0" collapsed="false">
      <c r="A2648" s="12" t="n">
        <v>20572</v>
      </c>
      <c r="B2648" s="13" t="s">
        <v>11324</v>
      </c>
      <c r="C2648" s="14" t="n">
        <v>45866</v>
      </c>
      <c r="D2648" s="13" t="s">
        <v>2033</v>
      </c>
      <c r="E2648" s="15" t="s">
        <v>102</v>
      </c>
      <c r="F2648" s="15" t="str">
        <f aca="false">IFERROR(__xludf.dummyfunction("XLOOKUP(AJ2648,IMPORTRANGE(""1XaInW9DU9nz21V0tYIfzFQ0He9kVQ_JF2mCXgZ3hqFA"",""REKAP ALL 2026 - Andika!G:G""),IMPORTRANGE(""1XaInW9DU9nz21V0tYIfzFQ0He9kVQ_JF2mCXgZ3hqFA"",""REKAP ALL 2026 - Andika!F:F""),"""",0)"),"26005755884")</f>
        <v>26005755884</v>
      </c>
      <c r="G2648" s="13" t="s">
        <v>1127</v>
      </c>
      <c r="H2648" s="13" t="s">
        <v>2035</v>
      </c>
      <c r="I2648" s="13" t="str">
        <f aca="false">IF(C2648=J2648,"NEW KONTRAK","RE-KONTRAK")</f>
        <v>NEW KONTRAK</v>
      </c>
      <c r="J2648" s="16" t="n">
        <f aca="false" t="array" ref="J2648:J2648">IFERROR(INDEX(AC2648:AE2648,IF(COUNTA(AC2648:AE2648)=0,"",MAX((AC2648:AE2648&lt;&gt;"")*(COLUMN(AC2648:AE2648)-(COLUMN(AC2648)))))-1),"")</f>
        <v>45866</v>
      </c>
      <c r="K2648" s="16" t="n">
        <f aca="false" t="array" ref="K2648:K2648">IFERROR(INDEX(AC2648:AE2648,IF(COUNTA(AC2648:AE2648)=0,"",MAX((AC2648:AE2648&lt;&gt;"")*(COLUMN(AC2648:AE2648)-(COLUMN(AC2648)-1))))-1),"")</f>
        <v>45915</v>
      </c>
      <c r="L2648" s="17" t="str">
        <f aca="false" t="array" ref="L2648:L2648">IFERROR(INDEX(AC2648:AE2648,IF(COUNTA(AC2648:AE2648)=0,"",MAX((AC2648:AE2648&lt;&gt;"")*(COLUMN(AC2648:AE2648)-(COLUMN(AC2648)-2))))-1),"")</f>
        <v>ARCHIVED</v>
      </c>
      <c r="M2648" s="13" t="n">
        <f aca="true">K2648-TODAY()</f>
        <v>-409</v>
      </c>
      <c r="N2648" s="51" t="s">
        <v>9866</v>
      </c>
      <c r="O2648" s="13" t="s">
        <v>2037</v>
      </c>
      <c r="P2648" s="19" t="n">
        <v>2827593</v>
      </c>
      <c r="Q2648" s="47" t="s">
        <v>11325</v>
      </c>
      <c r="R2648" s="13" t="s">
        <v>9866</v>
      </c>
      <c r="S2648" s="16" t="n">
        <v>38893</v>
      </c>
      <c r="T2648" s="13" t="s">
        <v>108</v>
      </c>
      <c r="U2648" s="13" t="s">
        <v>11326</v>
      </c>
      <c r="V2648" s="13" t="s">
        <v>42</v>
      </c>
      <c r="W2648" s="13" t="s">
        <v>43</v>
      </c>
      <c r="X2648" s="21" t="n">
        <v>87728419215</v>
      </c>
      <c r="Y2648" s="22" t="str">
        <f aca="false">O2648</f>
        <v>SPG/BA</v>
      </c>
      <c r="Z2648" s="13" t="str">
        <f aca="false">IFERROR(__xludf.dummyfunction("if(BJ2648="""","""",GOOGLETRANSLATE(BJ2648,""auto"",""en""))"),"SPG/BA")</f>
        <v>SPG/BA</v>
      </c>
      <c r="AA2648" s="23" t="str">
        <f aca="false">IF(C2648="","", CHOOSE(MONTH(C2648),"January","February","March","April","May","June","July","August","September","October","November","December")&amp;" "&amp;DAY(C2648)&amp;MID("thstndrdth",MIN(9,2*RIGHT(DAY(C2648))*(MOD(DAY(C2648)-11,100)&gt;2)+1),2)&amp;","&amp;TEXT(C2648," yyyy"))</f>
        <v>July 28th,2025</v>
      </c>
      <c r="AB2648" s="15" t="str">
        <f aca="true">IF(S2648="","",DATEDIF(S2648,TODAY(),"Y")&amp;" Tahun, "&amp;DATEDIF(S2648,TODAY(),"YM")&amp;" Bulan, "&amp;DATEDIF(S2648,TODAY(),"MD")&amp;" Hari")</f>
        <v>20 Tahun, 4 Bulan, 4 Hari</v>
      </c>
      <c r="AC2648" s="18" t="n">
        <v>45866</v>
      </c>
      <c r="AD2648" s="18" t="n">
        <v>45915</v>
      </c>
      <c r="AE2648" s="18" t="s">
        <v>44</v>
      </c>
    </row>
    <row r="2649" customFormat="false" ht="15" hidden="false" customHeight="true" outlineLevel="0" collapsed="false">
      <c r="A2649" s="12" t="n">
        <v>20579</v>
      </c>
      <c r="B2649" s="13" t="s">
        <v>11327</v>
      </c>
      <c r="C2649" s="16" t="n">
        <v>45896</v>
      </c>
      <c r="D2649" s="13" t="s">
        <v>8005</v>
      </c>
      <c r="E2649" s="15" t="s">
        <v>47</v>
      </c>
      <c r="F2649" s="15" t="str">
        <f aca="false">IFERROR(__xludf.dummyfunction("XLOOKUP(AJ2649,IMPORTRANGE(""1XaInW9DU9nz21V0tYIfzFQ0He9kVQ_JF2mCXgZ3hqFA"",""REKAP ALL 2026 - Andika!G:G""),IMPORTRANGE(""1XaInW9DU9nz21V0tYIfzFQ0He9kVQ_JF2mCXgZ3hqFA"",""REKAP ALL 2026 - Andika!F:F""),"""",0)"),"25115816750")</f>
        <v>25115816750</v>
      </c>
      <c r="G2649" s="13" t="s">
        <v>1127</v>
      </c>
      <c r="H2649" s="13" t="s">
        <v>35</v>
      </c>
      <c r="I2649" s="13" t="str">
        <f aca="false">IF(C2649=J2649,"NEW KONTRAK","RE-KONTRAK")</f>
        <v>NEW KONTRAK</v>
      </c>
      <c r="J2649" s="16" t="n">
        <f aca="false" t="array" ref="J2649:J2649">IFERROR(INDEX(AC2649:AE2649,IF(COUNTA(AC2649:AE2649)=0,"",MAX((AC2649:AE2649&lt;&gt;"")*(COLUMN(AC2649:AE2649)-(COLUMN(AC2649)))))-1),"")</f>
        <v>45896</v>
      </c>
      <c r="K2649" s="16" t="n">
        <f aca="false" t="array" ref="K2649:K2649">IFERROR(INDEX(AC2649:AE2649,IF(COUNTA(AC2649:AE2649)=0,"",MAX((AC2649:AE2649&lt;&gt;"")*(COLUMN(AC2649:AE2649)-(COLUMN(AC2649)-1))))-1),"")</f>
        <v>45987</v>
      </c>
      <c r="L2649" s="17" t="str">
        <f aca="false" t="array" ref="L2649:L2649">IFERROR(INDEX(AC2649:AE2649,IF(COUNTA(AC2649:AE2649)=0,"",MAX((AC2649:AE2649&lt;&gt;"")*(COLUMN(AC2649:AE2649)-(COLUMN(AC2649)-2))))-1),"")</f>
        <v>ARCHIVED</v>
      </c>
      <c r="M2649" s="13" t="n">
        <f aca="true">K2649-TODAY()</f>
        <v>-337</v>
      </c>
      <c r="N2649" s="50" t="s">
        <v>615</v>
      </c>
      <c r="O2649" s="13" t="s">
        <v>7419</v>
      </c>
      <c r="P2649" s="27" t="n">
        <v>132300</v>
      </c>
      <c r="Q2649" s="47" t="s">
        <v>11328</v>
      </c>
      <c r="R2649" s="13" t="s">
        <v>232</v>
      </c>
      <c r="S2649" s="16" t="n">
        <v>36518</v>
      </c>
      <c r="T2649" s="28" t="s">
        <v>40</v>
      </c>
      <c r="U2649" s="13" t="s">
        <v>11329</v>
      </c>
      <c r="V2649" s="13" t="s">
        <v>42</v>
      </c>
      <c r="W2649" s="13" t="s">
        <v>54</v>
      </c>
      <c r="X2649" s="21" t="n">
        <v>81333524477</v>
      </c>
      <c r="Y2649" s="22" t="str">
        <f aca="false">O2649</f>
        <v>TKBM</v>
      </c>
      <c r="Z2649" s="13" t="str">
        <f aca="false">IFERROR(__xludf.dummyfunction("if(BJ2649="""","""",GOOGLETRANSLATE(BJ2649,""auto"",""en""))"),"TKBM")</f>
        <v>TKBM</v>
      </c>
      <c r="AA2649" s="23" t="str">
        <f aca="false">IF(C2649="","", CHOOSE(MONTH(C2649),"January","February","March","April","May","June","July","August","September","October","November","December")&amp;" "&amp;DAY(C2649)&amp;MID("thstndrdth",MIN(9,2*RIGHT(DAY(C2649))*(MOD(DAY(C2649)-11,100)&gt;2)+1),2)&amp;","&amp;TEXT(C2649," yyyy"))</f>
        <v>August 27th,2025</v>
      </c>
      <c r="AB2649" s="15" t="str">
        <f aca="true">IF(S2649="","",DATEDIF(S2649,TODAY(),"Y")&amp;" Tahun, "&amp;DATEDIF(S2649,TODAY(),"YM")&amp;" Bulan, "&amp;DATEDIF(S2649,TODAY(),"MD")&amp;" Hari")</f>
        <v>26 Tahun, 10 Bulan, 5 Hari</v>
      </c>
      <c r="AC2649" s="18" t="n">
        <v>45896</v>
      </c>
      <c r="AD2649" s="18" t="n">
        <v>45987</v>
      </c>
      <c r="AE2649" s="18" t="s">
        <v>44</v>
      </c>
    </row>
    <row r="2650" customFormat="false" ht="15" hidden="false" customHeight="true" outlineLevel="0" collapsed="false">
      <c r="A2650" s="12" t="n">
        <v>20574</v>
      </c>
      <c r="B2650" s="13" t="s">
        <v>11330</v>
      </c>
      <c r="C2650" s="14" t="n">
        <v>45875</v>
      </c>
      <c r="D2650" s="13" t="s">
        <v>2033</v>
      </c>
      <c r="E2650" s="15" t="s">
        <v>33</v>
      </c>
      <c r="F2650" s="24" t="s">
        <v>11331</v>
      </c>
      <c r="G2650" s="13" t="s">
        <v>1127</v>
      </c>
      <c r="H2650" s="13" t="s">
        <v>2035</v>
      </c>
      <c r="I2650" s="13" t="str">
        <f aca="false">IF(C2650=J2650,"NEW KONTRAK","RE-KONTRAK")</f>
        <v>NEW KONTRAK</v>
      </c>
      <c r="J2650" s="16" t="n">
        <f aca="false" t="array" ref="J2650:J2650">IFERROR(INDEX(AC2650:AE2650,IF(COUNTA(AC2650:AE2650)=0,"",MAX((AC2650:AE2650&lt;&gt;"")*(COLUMN(AC2650:AE2650)-(COLUMN(AC2650)))))-1),"")</f>
        <v>45875</v>
      </c>
      <c r="K2650" s="16" t="n">
        <f aca="false" t="array" ref="K2650:K2650">IFERROR(INDEX(AC2650:AE2650,IF(COUNTA(AC2650:AE2650)=0,"",MAX((AC2650:AE2650&lt;&gt;"")*(COLUMN(AC2650:AE2650)-(COLUMN(AC2650)-1))))-1),"")</f>
        <v>45915</v>
      </c>
      <c r="L2650" s="17" t="str">
        <f aca="false" t="array" ref="L2650:L2650">IFERROR(INDEX(AC2650:AE2650,IF(COUNTA(AC2650:AE2650)=0,"",MAX((AC2650:AE2650&lt;&gt;"")*(COLUMN(AC2650:AE2650)-(COLUMN(AC2650)-2))))-1),"")</f>
        <v>ARCHIVED</v>
      </c>
      <c r="M2650" s="13" t="n">
        <f aca="true">K2650-TODAY()</f>
        <v>-409</v>
      </c>
      <c r="N2650" s="51" t="s">
        <v>2434</v>
      </c>
      <c r="O2650" s="13" t="s">
        <v>2037</v>
      </c>
      <c r="P2650" s="19" t="n">
        <v>2655041</v>
      </c>
      <c r="Q2650" s="47" t="s">
        <v>11332</v>
      </c>
      <c r="R2650" s="13" t="s">
        <v>2434</v>
      </c>
      <c r="S2650" s="16" t="n">
        <v>37133</v>
      </c>
      <c r="T2650" s="13" t="s">
        <v>108</v>
      </c>
      <c r="U2650" s="13" t="s">
        <v>11333</v>
      </c>
      <c r="V2650" s="13" t="s">
        <v>42</v>
      </c>
      <c r="W2650" s="13" t="s">
        <v>43</v>
      </c>
      <c r="X2650" s="21" t="n">
        <v>895401368196</v>
      </c>
      <c r="Y2650" s="22" t="str">
        <f aca="false">O2650</f>
        <v>SPG/BA</v>
      </c>
      <c r="Z2650" s="13" t="str">
        <f aca="false">IFERROR(__xludf.dummyfunction("if(BJ2650="""","""",GOOGLETRANSLATE(BJ2650,""auto"",""en""))"),"SPG/BA")</f>
        <v>SPG/BA</v>
      </c>
      <c r="AA2650" s="23" t="str">
        <f aca="false">IF(C2650="","", CHOOSE(MONTH(C2650),"January","February","March","April","May","June","July","August","September","October","November","December")&amp;" "&amp;DAY(C2650)&amp;MID("thstndrdth",MIN(9,2*RIGHT(DAY(C2650))*(MOD(DAY(C2650)-11,100)&gt;2)+1),2)&amp;","&amp;TEXT(C2650," yyyy"))</f>
        <v>August 6th,2025</v>
      </c>
      <c r="AB2650" s="15" t="str">
        <f aca="true">IF(S2650="","",DATEDIF(S2650,TODAY(),"Y")&amp;" Tahun, "&amp;DATEDIF(S2650,TODAY(),"YM")&amp;" Bulan, "&amp;DATEDIF(S2650,TODAY(),"MD")&amp;" Hari")</f>
        <v>25 Tahun, 1 Bulan, 29 Hari</v>
      </c>
      <c r="AC2650" s="18" t="n">
        <v>45875</v>
      </c>
      <c r="AD2650" s="18" t="n">
        <v>45915</v>
      </c>
      <c r="AE2650" s="18" t="s">
        <v>44</v>
      </c>
    </row>
    <row r="2651" customFormat="false" ht="15" hidden="false" customHeight="true" outlineLevel="0" collapsed="false">
      <c r="A2651" s="12" t="n">
        <v>20575</v>
      </c>
      <c r="B2651" s="13" t="s">
        <v>11334</v>
      </c>
      <c r="C2651" s="101" t="n">
        <v>45885</v>
      </c>
      <c r="D2651" s="13" t="s">
        <v>2033</v>
      </c>
      <c r="E2651" s="15" t="s">
        <v>33</v>
      </c>
      <c r="F2651" s="24" t="s">
        <v>11335</v>
      </c>
      <c r="G2651" s="28" t="s">
        <v>57</v>
      </c>
      <c r="H2651" s="13" t="s">
        <v>2035</v>
      </c>
      <c r="I2651" s="13" t="str">
        <f aca="false">IF(C2651=J2651,"NEW KONTRAK","RE-KONTRAK")</f>
        <v>NEW KONTRAK</v>
      </c>
      <c r="J2651" s="16" t="n">
        <f aca="false" t="array" ref="J2651:J2651">IFERROR(INDEX(AC2651:AE2651,IF(COUNTA(AC2651:AE2651)=0,"",MAX((AC2651:AE2651&lt;&gt;"")*(COLUMN(AC2651:AE2651)-(COLUMN(AC2651)))))-1),"")</f>
        <v>45885</v>
      </c>
      <c r="K2651" s="16" t="n">
        <f aca="false" t="array" ref="K2651:K2651">IFERROR(INDEX(AC2651:AE2651,IF(COUNTA(AC2651:AE2651)=0,"",MAX((AC2651:AE2651&lt;&gt;"")*(COLUMN(AC2651:AE2651)-(COLUMN(AC2651)-1))))-1),"")</f>
        <v>45915</v>
      </c>
      <c r="L2651" s="17" t="str">
        <f aca="false" t="array" ref="L2651:L2651">IFERROR(INDEX(AC2651:AE2651,IF(COUNTA(AC2651:AE2651)=0,"",MAX((AC2651:AE2651&lt;&gt;"")*(COLUMN(AC2651:AE2651)-(COLUMN(AC2651)-2))))-1),"")</f>
        <v>ARCHIVED</v>
      </c>
      <c r="M2651" s="13" t="n">
        <f aca="true">K2651-TODAY()</f>
        <v>-409</v>
      </c>
      <c r="N2651" s="51" t="s">
        <v>2356</v>
      </c>
      <c r="O2651" s="13" t="s">
        <v>2357</v>
      </c>
      <c r="P2651" s="19" t="n">
        <v>155205.44</v>
      </c>
      <c r="Q2651" s="47" t="s">
        <v>11336</v>
      </c>
      <c r="R2651" s="13" t="s">
        <v>3503</v>
      </c>
      <c r="S2651" s="16" t="n">
        <v>33408</v>
      </c>
      <c r="T2651" s="28" t="s">
        <v>40</v>
      </c>
      <c r="U2651" s="13" t="s">
        <v>11337</v>
      </c>
      <c r="V2651" s="13" t="s">
        <v>42</v>
      </c>
      <c r="W2651" s="13" t="s">
        <v>54</v>
      </c>
      <c r="X2651" s="21" t="n">
        <v>82346679091</v>
      </c>
      <c r="Y2651" s="22" t="str">
        <f aca="false">O2651</f>
        <v>BA Promotor</v>
      </c>
      <c r="Z2651" s="13" t="str">
        <f aca="false">IFERROR(__xludf.dummyfunction("if(BJ2651="""","""",GOOGLETRANSLATE(BJ2651,""auto"",""en""))"),"BA Promoter")</f>
        <v>BA Promoter</v>
      </c>
      <c r="AA2651" s="23" t="str">
        <f aca="false">IF(C2651="","", CHOOSE(MONTH(C2651),"January","February","March","April","May","June","July","August","September","October","November","December")&amp;" "&amp;DAY(C2651)&amp;MID("thstndrdth",MIN(9,2*RIGHT(DAY(C2651))*(MOD(DAY(C2651)-11,100)&gt;2)+1),2)&amp;","&amp;TEXT(C2651," yyyy"))</f>
        <v>August 16th,2025</v>
      </c>
      <c r="AB2651" s="15" t="str">
        <f aca="true">IF(S2651="","",DATEDIF(S2651,TODAY(),"Y")&amp;" Tahun, "&amp;DATEDIF(S2651,TODAY(),"YM")&amp;" Bulan, "&amp;DATEDIF(S2651,TODAY(),"MD")&amp;" Hari")</f>
        <v>35 Tahun, 4 Bulan, 10 Hari</v>
      </c>
      <c r="AC2651" s="18" t="n">
        <v>45885</v>
      </c>
      <c r="AD2651" s="18" t="n">
        <v>45915</v>
      </c>
      <c r="AE2651" s="18" t="s">
        <v>44</v>
      </c>
    </row>
    <row r="2652" customFormat="false" ht="15" hidden="false" customHeight="true" outlineLevel="0" collapsed="false">
      <c r="A2652" s="12" t="n">
        <v>20577</v>
      </c>
      <c r="B2652" s="13" t="s">
        <v>11338</v>
      </c>
      <c r="C2652" s="16" t="n">
        <v>45901</v>
      </c>
      <c r="D2652" s="13" t="s">
        <v>2046</v>
      </c>
      <c r="E2652" s="15" t="s">
        <v>102</v>
      </c>
      <c r="F2652" s="15" t="str">
        <f aca="false">IFERROR(__xludf.dummyfunction("XLOOKUP(AJ2652,IMPORTRANGE(""1XaInW9DU9nz21V0tYIfzFQ0He9kVQ_JF2mCXgZ3hqFA"",""REKAP ALL 2026 - Andika!G:G""),IMPORTRANGE(""1XaInW9DU9nz21V0tYIfzFQ0He9kVQ_JF2mCXgZ3hqFA"",""REKAP ALL 2026 - Andika!F:F""),"""",0)"),"25133240595")</f>
        <v>25133240595</v>
      </c>
      <c r="G2652" s="13" t="s">
        <v>1127</v>
      </c>
      <c r="H2652" s="13" t="s">
        <v>35</v>
      </c>
      <c r="I2652" s="13" t="str">
        <f aca="false">IF(C2652=J2652,"NEW KONTRAK","RE-KONTRAK")</f>
        <v>NEW KONTRAK</v>
      </c>
      <c r="J2652" s="16" t="n">
        <f aca="false" t="array" ref="J2652:J2652">IFERROR(INDEX(AC2652:AE2652,IF(COUNTA(AC2652:AE2652)=0,"",MAX((AC2652:AE2652&lt;&gt;"")*(COLUMN(AC2652:AE2652)-(COLUMN(AC2652)))))-1),"")</f>
        <v>45901</v>
      </c>
      <c r="K2652" s="16" t="n">
        <f aca="false" t="array" ref="K2652:K2652">IFERROR(INDEX(AC2652:AE2652,IF(COUNTA(AC2652:AE2652)=0,"",MAX((AC2652:AE2652&lt;&gt;"")*(COLUMN(AC2652:AE2652)-(COLUMN(AC2652)-1))))-1),"")</f>
        <v>45961</v>
      </c>
      <c r="L2652" s="17" t="str">
        <f aca="false" t="array" ref="L2652:L2652">IFERROR(INDEX(AC2652:AE2652,IF(COUNTA(AC2652:AE2652)=0,"",MAX((AC2652:AE2652&lt;&gt;"")*(COLUMN(AC2652:AE2652)-(COLUMN(AC2652)-2))))-1),"")</f>
        <v>ARCHIVED</v>
      </c>
      <c r="M2652" s="13" t="n">
        <f aca="true">K2652-TODAY()</f>
        <v>-363</v>
      </c>
      <c r="N2652" s="18" t="s">
        <v>36</v>
      </c>
      <c r="O2652" s="13" t="s">
        <v>58</v>
      </c>
      <c r="P2652" s="19" t="s">
        <v>2050</v>
      </c>
      <c r="Q2652" s="47" t="s">
        <v>11339</v>
      </c>
      <c r="R2652" s="13" t="s">
        <v>52</v>
      </c>
      <c r="S2652" s="16" t="n">
        <v>35294</v>
      </c>
      <c r="T2652" s="28" t="s">
        <v>40</v>
      </c>
      <c r="U2652" s="13" t="s">
        <v>11340</v>
      </c>
      <c r="V2652" s="13" t="s">
        <v>42</v>
      </c>
      <c r="W2652" s="13" t="s">
        <v>54</v>
      </c>
      <c r="X2652" s="21" t="n">
        <v>82131445917</v>
      </c>
      <c r="Y2652" s="22" t="str">
        <f aca="false">O2652</f>
        <v>Produksi</v>
      </c>
      <c r="Z2652" s="13" t="str">
        <f aca="false">IFERROR(__xludf.dummyfunction("if(BJ2652="""","""",GOOGLETRANSLATE(BJ2652,""auto"",""en""))"),"Production")</f>
        <v>Production</v>
      </c>
      <c r="AA2652" s="23" t="str">
        <f aca="false">IF(C2652="","", CHOOSE(MONTH(C2652),"January","February","March","April","May","June","July","August","September","October","November","December")&amp;" "&amp;DAY(C2652)&amp;MID("thstndrdth",MIN(9,2*RIGHT(DAY(C2652))*(MOD(DAY(C2652)-11,100)&gt;2)+1),2)&amp;","&amp;TEXT(C2652," yyyy"))</f>
        <v>September 1st,2025</v>
      </c>
      <c r="AB2652" s="15" t="str">
        <f aca="true">IF(S2652="","",DATEDIF(S2652,TODAY(),"Y")&amp;" Tahun, "&amp;DATEDIF(S2652,TODAY(),"YM")&amp;" Bulan, "&amp;DATEDIF(S2652,TODAY(),"MD")&amp;" Hari")</f>
        <v>30 Tahun, 2 Bulan, 12 Hari</v>
      </c>
      <c r="AC2652" s="18" t="n">
        <v>45901</v>
      </c>
      <c r="AD2652" s="18" t="n">
        <v>45961</v>
      </c>
      <c r="AE2652" s="18" t="s">
        <v>44</v>
      </c>
    </row>
    <row r="2653" customFormat="false" ht="15" hidden="false" customHeight="true" outlineLevel="0" collapsed="false">
      <c r="A2653" s="12" t="n">
        <v>20581</v>
      </c>
      <c r="B2653" s="13" t="s">
        <v>11341</v>
      </c>
      <c r="C2653" s="16" t="n">
        <v>45894</v>
      </c>
      <c r="D2653" s="13" t="s">
        <v>9387</v>
      </c>
      <c r="E2653" s="15" t="s">
        <v>47</v>
      </c>
      <c r="F2653" s="15" t="str">
        <f aca="false">IFERROR(__xludf.dummyfunction("XLOOKUP(AJ2653,IMPORTRANGE(""1XaInW9DU9nz21V0tYIfzFQ0He9kVQ_JF2mCXgZ3hqFA"",""REKAP ALL 2026 - Andika!G:G""),IMPORTRANGE(""1XaInW9DU9nz21V0tYIfzFQ0He9kVQ_JF2mCXgZ3hqFA"",""REKAP ALL 2026 - Andika!F:F""),"""",0)"),"25115961358")</f>
        <v>25115961358</v>
      </c>
      <c r="G2653" s="13" t="s">
        <v>57</v>
      </c>
      <c r="H2653" s="13" t="s">
        <v>35</v>
      </c>
      <c r="I2653" s="13" t="str">
        <f aca="false">IF(C2653=J2653,"NEW KONTRAK","RE-KONTRAK")</f>
        <v>NEW KONTRAK</v>
      </c>
      <c r="J2653" s="16" t="n">
        <f aca="false" t="array" ref="J2653:J2653">IFERROR(INDEX(AC2653:AE2653,IF(COUNTA(AC2653:AE2653)=0,"",MAX((AC2653:AE2653&lt;&gt;"")*(COLUMN(AC2653:AE2653)-(COLUMN(AC2653)))))-1),"")</f>
        <v>45894</v>
      </c>
      <c r="K2653" s="16" t="n">
        <f aca="false" t="array" ref="K2653:K2653">IFERROR(INDEX(AC2653:AE2653,IF(COUNTA(AC2653:AE2653)=0,"",MAX((AC2653:AE2653&lt;&gt;"")*(COLUMN(AC2653:AE2653)-(COLUMN(AC2653)-1))))-1),"")</f>
        <v>46173</v>
      </c>
      <c r="L2653" s="17" t="str">
        <f aca="false" t="array" ref="L2653:L2653">IFERROR(INDEX(AC2653:AE2653,IF(COUNTA(AC2653:AE2653)=0,"",MAX((AC2653:AE2653&lt;&gt;"")*(COLUMN(AC2653:AE2653)-(COLUMN(AC2653)-2))))-1),"")</f>
        <v>ARCHIVED</v>
      </c>
      <c r="M2653" s="13" t="n">
        <f aca="true">K2653-TODAY()</f>
        <v>-151</v>
      </c>
      <c r="N2653" s="18" t="s">
        <v>615</v>
      </c>
      <c r="O2653" s="13" t="s">
        <v>9388</v>
      </c>
      <c r="P2653" s="27" t="n">
        <v>5176101</v>
      </c>
      <c r="Q2653" s="47" t="s">
        <v>11342</v>
      </c>
      <c r="R2653" s="13" t="s">
        <v>260</v>
      </c>
      <c r="S2653" s="16" t="n">
        <v>38065</v>
      </c>
      <c r="T2653" s="28" t="s">
        <v>40</v>
      </c>
      <c r="U2653" s="13" t="s">
        <v>11343</v>
      </c>
      <c r="V2653" s="13" t="s">
        <v>42</v>
      </c>
      <c r="W2653" s="13" t="s">
        <v>43</v>
      </c>
      <c r="X2653" s="21" t="n">
        <v>85704278195</v>
      </c>
      <c r="Y2653" s="22" t="str">
        <f aca="false">O2653</f>
        <v>Tenaga Kerja Bongkar Muat (TKBM)</v>
      </c>
      <c r="Z2653" s="13" t="str">
        <f aca="false">IFERROR(__xludf.dummyfunction("if(BJ2653="""","""",GOOGLETRANSLATE(BJ2653,""auto"",""en""))"),"Loading and Unloading Workers (TKBM)")</f>
        <v>Loading and Unloading Workers (TKBM)</v>
      </c>
      <c r="AA2653" s="23" t="str">
        <f aca="false">IF(C2653="","", CHOOSE(MONTH(C2653),"January","February","March","April","May","June","July","August","September","October","November","December")&amp;" "&amp;DAY(C2653)&amp;MID("thstndrdth",MIN(9,2*RIGHT(DAY(C2653))*(MOD(DAY(C2653)-11,100)&gt;2)+1),2)&amp;","&amp;TEXT(C2653," yyyy"))</f>
        <v>August 25th,2025</v>
      </c>
      <c r="AB2653" s="15" t="str">
        <f aca="true">IF(S2653="","",DATEDIF(S2653,TODAY(),"Y")&amp;" Tahun, "&amp;DATEDIF(S2653,TODAY(),"YM")&amp;" Bulan, "&amp;DATEDIF(S2653,TODAY(),"MD")&amp;" Hari")</f>
        <v>22 Tahun, 7 Bulan, 10 Hari</v>
      </c>
      <c r="AC2653" s="18" t="n">
        <v>45894</v>
      </c>
      <c r="AD2653" s="18" t="n">
        <v>46173</v>
      </c>
      <c r="AE2653" s="18" t="s">
        <v>44</v>
      </c>
    </row>
    <row r="2654" customFormat="false" ht="15" hidden="false" customHeight="true" outlineLevel="0" collapsed="false">
      <c r="A2654" s="12" t="n">
        <v>20582</v>
      </c>
      <c r="B2654" s="13" t="s">
        <v>11344</v>
      </c>
      <c r="C2654" s="16" t="n">
        <v>45908</v>
      </c>
      <c r="D2654" s="13" t="s">
        <v>5726</v>
      </c>
      <c r="E2654" s="15" t="s">
        <v>47</v>
      </c>
      <c r="F2654" s="15" t="str">
        <f aca="false">IFERROR(__xludf.dummyfunction("XLOOKUP(AJ2654,IMPORTRANGE(""1XaInW9DU9nz21V0tYIfzFQ0He9kVQ_JF2mCXgZ3hqFA"",""REKAP ALL 2026 - Andika!G:G""),IMPORTRANGE(""1XaInW9DU9nz21V0tYIfzFQ0He9kVQ_JF2mCXgZ3hqFA"",""REKAP ALL 2026 - Andika!F:F""),"""",0)"),"25133233822")</f>
        <v>25133233822</v>
      </c>
      <c r="G2654" s="13" t="s">
        <v>57</v>
      </c>
      <c r="H2654" s="13" t="s">
        <v>35</v>
      </c>
      <c r="I2654" s="13" t="str">
        <f aca="false">IF(C2654=J2654,"NEW KONTRAK","RE-KONTRAK")</f>
        <v>NEW KONTRAK</v>
      </c>
      <c r="J2654" s="16" t="n">
        <f aca="false" t="array" ref="J2654:J2654">IFERROR(INDEX(AC2654:AE2654,IF(COUNTA(AC2654:AE2654)=0,"",MAX((AC2654:AE2654&lt;&gt;"")*(COLUMN(AC2654:AE2654)-(COLUMN(AC2654)))))-1),"")</f>
        <v>45908</v>
      </c>
      <c r="K2654" s="16" t="n">
        <f aca="false" t="array" ref="K2654:K2654">IFERROR(INDEX(AC2654:AE2654,IF(COUNTA(AC2654:AE2654)=0,"",MAX((AC2654:AE2654&lt;&gt;"")*(COLUMN(AC2654:AE2654)-(COLUMN(AC2654)-1))))-1),"")</f>
        <v>45998</v>
      </c>
      <c r="L2654" s="17" t="str">
        <f aca="false" t="array" ref="L2654:L2654">IFERROR(INDEX(AC2654:AE2654,IF(COUNTA(AC2654:AE2654)=0,"",MAX((AC2654:AE2654&lt;&gt;"")*(COLUMN(AC2654:AE2654)-(COLUMN(AC2654)-2))))-1),"")</f>
        <v>ARCHIVED</v>
      </c>
      <c r="M2654" s="13" t="n">
        <f aca="true">K2654-TODAY()</f>
        <v>-326</v>
      </c>
      <c r="N2654" s="18" t="s">
        <v>615</v>
      </c>
      <c r="O2654" s="13" t="s">
        <v>1531</v>
      </c>
      <c r="P2654" s="19" t="n">
        <v>5176101</v>
      </c>
      <c r="Q2654" s="47" t="s">
        <v>11345</v>
      </c>
      <c r="R2654" s="13" t="s">
        <v>232</v>
      </c>
      <c r="S2654" s="16" t="n">
        <v>36991</v>
      </c>
      <c r="T2654" s="28" t="s">
        <v>40</v>
      </c>
      <c r="U2654" s="13" t="s">
        <v>11346</v>
      </c>
      <c r="V2654" s="13" t="s">
        <v>42</v>
      </c>
      <c r="W2654" s="13" t="s">
        <v>43</v>
      </c>
      <c r="X2654" s="21" t="n">
        <v>89666812154</v>
      </c>
      <c r="Y2654" s="22" t="str">
        <f aca="false">O2654</f>
        <v>Packer</v>
      </c>
      <c r="Z2654" s="13" t="str">
        <f aca="false">IFERROR(__xludf.dummyfunction("if(BJ2654="""","""",GOOGLETRANSLATE(BJ2654,""auto"",""en""))"),"Packer")</f>
        <v>Packer</v>
      </c>
      <c r="AA2654" s="23" t="str">
        <f aca="false">IF(C2654="","", CHOOSE(MONTH(C2654),"January","February","March","April","May","June","July","August","September","October","November","December")&amp;" "&amp;DAY(C2654)&amp;MID("thstndrdth",MIN(9,2*RIGHT(DAY(C2654))*(MOD(DAY(C2654)-11,100)&gt;2)+1),2)&amp;","&amp;TEXT(C2654," yyyy"))</f>
        <v>September 8th,2025</v>
      </c>
      <c r="AB2654" s="15" t="str">
        <f aca="true">IF(S2654="","",DATEDIF(S2654,TODAY(),"Y")&amp;" Tahun, "&amp;DATEDIF(S2654,TODAY(),"YM")&amp;" Bulan, "&amp;DATEDIF(S2654,TODAY(),"MD")&amp;" Hari")</f>
        <v>25 Tahun, 6 Bulan, 19 Hari</v>
      </c>
      <c r="AC2654" s="18" t="n">
        <v>45908</v>
      </c>
      <c r="AD2654" s="18" t="n">
        <v>45998</v>
      </c>
      <c r="AE2654" s="18" t="s">
        <v>44</v>
      </c>
    </row>
    <row r="2655" customFormat="false" ht="15" hidden="false" customHeight="true" outlineLevel="0" collapsed="false">
      <c r="A2655" s="12" t="n">
        <v>20585</v>
      </c>
      <c r="B2655" s="13" t="s">
        <v>11347</v>
      </c>
      <c r="C2655" s="16" t="n">
        <v>45908</v>
      </c>
      <c r="D2655" s="13" t="s">
        <v>5726</v>
      </c>
      <c r="E2655" s="15" t="s">
        <v>47</v>
      </c>
      <c r="F2655" s="15" t="str">
        <f aca="false">IFERROR(__xludf.dummyfunction("XLOOKUP(AJ2655,IMPORTRANGE(""1XaInW9DU9nz21V0tYIfzFQ0He9kVQ_JF2mCXgZ3hqFA"",""REKAP ALL 2026 - Andika!G:G""),IMPORTRANGE(""1XaInW9DU9nz21V0tYIfzFQ0He9kVQ_JF2mCXgZ3hqFA"",""REKAP ALL 2026 - Andika!F:F""),"""",0)"),"25133233871")</f>
        <v>25133233871</v>
      </c>
      <c r="G2655" s="13" t="s">
        <v>57</v>
      </c>
      <c r="H2655" s="13" t="s">
        <v>35</v>
      </c>
      <c r="I2655" s="13" t="str">
        <f aca="false">IF(C2655=J2655,"NEW KONTRAK","RE-KONTRAK")</f>
        <v>NEW KONTRAK</v>
      </c>
      <c r="J2655" s="16" t="n">
        <f aca="false" t="array" ref="J2655:J2655">IFERROR(INDEX(AC2655:AE2655,IF(COUNTA(AC2655:AE2655)=0,"",MAX((AC2655:AE2655&lt;&gt;"")*(COLUMN(AC2655:AE2655)-(COLUMN(AC2655)))))-1),"")</f>
        <v>45908</v>
      </c>
      <c r="K2655" s="16" t="n">
        <f aca="false" t="array" ref="K2655:K2655">IFERROR(INDEX(AC2655:AE2655,IF(COUNTA(AC2655:AE2655)=0,"",MAX((AC2655:AE2655&lt;&gt;"")*(COLUMN(AC2655:AE2655)-(COLUMN(AC2655)-1))))-1),"")</f>
        <v>45998</v>
      </c>
      <c r="L2655" s="17" t="str">
        <f aca="false" t="array" ref="L2655:L2655">IFERROR(INDEX(AC2655:AE2655,IF(COUNTA(AC2655:AE2655)=0,"",MAX((AC2655:AE2655&lt;&gt;"")*(COLUMN(AC2655:AE2655)-(COLUMN(AC2655)-2))))-1),"")</f>
        <v>ARCHIVED</v>
      </c>
      <c r="M2655" s="13" t="n">
        <f aca="true">K2655-TODAY()</f>
        <v>-326</v>
      </c>
      <c r="N2655" s="18" t="s">
        <v>615</v>
      </c>
      <c r="O2655" s="13" t="s">
        <v>1531</v>
      </c>
      <c r="P2655" s="19" t="n">
        <v>5176101</v>
      </c>
      <c r="Q2655" s="47" t="s">
        <v>11348</v>
      </c>
      <c r="R2655" s="13" t="s">
        <v>39</v>
      </c>
      <c r="S2655" s="16" t="n">
        <v>38652</v>
      </c>
      <c r="T2655" s="28" t="s">
        <v>40</v>
      </c>
      <c r="U2655" s="13" t="s">
        <v>11349</v>
      </c>
      <c r="V2655" s="13" t="s">
        <v>42</v>
      </c>
      <c r="W2655" s="13" t="s">
        <v>43</v>
      </c>
      <c r="X2655" s="21" t="n">
        <v>85236278952</v>
      </c>
      <c r="Y2655" s="22" t="str">
        <f aca="false">O2655</f>
        <v>Packer</v>
      </c>
      <c r="Z2655" s="13" t="str">
        <f aca="false">IFERROR(__xludf.dummyfunction("if(BJ2655="""","""",GOOGLETRANSLATE(BJ2655,""auto"",""en""))"),"Packer")</f>
        <v>Packer</v>
      </c>
      <c r="AA2655" s="23" t="str">
        <f aca="false">IF(C2655="","", CHOOSE(MONTH(C2655),"January","February","March","April","May","June","July","August","September","October","November","December")&amp;" "&amp;DAY(C2655)&amp;MID("thstndrdth",MIN(9,2*RIGHT(DAY(C2655))*(MOD(DAY(C2655)-11,100)&gt;2)+1),2)&amp;","&amp;TEXT(C2655," yyyy"))</f>
        <v>September 8th,2025</v>
      </c>
      <c r="AB2655" s="15" t="str">
        <f aca="true">IF(S2655="","",DATEDIF(S2655,TODAY(),"Y")&amp;" Tahun, "&amp;DATEDIF(S2655,TODAY(),"YM")&amp;" Bulan, "&amp;DATEDIF(S2655,TODAY(),"MD")&amp;" Hari")</f>
        <v>21 Tahun, 0 Bulan, 2 Hari</v>
      </c>
      <c r="AC2655" s="18" t="n">
        <v>45908</v>
      </c>
      <c r="AD2655" s="18" t="n">
        <v>45998</v>
      </c>
      <c r="AE2655" s="18" t="s">
        <v>44</v>
      </c>
    </row>
    <row r="2656" customFormat="false" ht="15" hidden="false" customHeight="true" outlineLevel="0" collapsed="false">
      <c r="A2656" s="12" t="n">
        <v>20583</v>
      </c>
      <c r="B2656" s="13" t="s">
        <v>11350</v>
      </c>
      <c r="C2656" s="16" t="n">
        <v>45908</v>
      </c>
      <c r="D2656" s="13" t="s">
        <v>5726</v>
      </c>
      <c r="E2656" s="15" t="s">
        <v>789</v>
      </c>
      <c r="F2656" s="24" t="s">
        <v>11351</v>
      </c>
      <c r="G2656" s="13" t="s">
        <v>57</v>
      </c>
      <c r="H2656" s="13" t="s">
        <v>35</v>
      </c>
      <c r="I2656" s="13" t="str">
        <f aca="false">IF(C2656=J2656,"NEW KONTRAK","RE-KONTRAK")</f>
        <v>NEW KONTRAK</v>
      </c>
      <c r="J2656" s="16" t="n">
        <f aca="false" t="array" ref="J2656:J2656">IFERROR(INDEX(AC2656:AE2656,IF(COUNTA(AC2656:AE2656)=0,"",MAX((AC2656:AE2656&lt;&gt;"")*(COLUMN(AC2656:AE2656)-(COLUMN(AC2656)))))-1),"")</f>
        <v>45908</v>
      </c>
      <c r="K2656" s="16" t="n">
        <f aca="false" t="array" ref="K2656:K2656">IFERROR(INDEX(AC2656:AE2656,IF(COUNTA(AC2656:AE2656)=0,"",MAX((AC2656:AE2656&lt;&gt;"")*(COLUMN(AC2656:AE2656)-(COLUMN(AC2656)-1))))-1),"")</f>
        <v>45998</v>
      </c>
      <c r="L2656" s="17" t="str">
        <f aca="false" t="array" ref="L2656:L2656">IFERROR(INDEX(AC2656:AE2656,IF(COUNTA(AC2656:AE2656)=0,"",MAX((AC2656:AE2656&lt;&gt;"")*(COLUMN(AC2656:AE2656)-(COLUMN(AC2656)-2))))-1),"")</f>
        <v>ARCHIVED</v>
      </c>
      <c r="M2656" s="13" t="n">
        <f aca="true">K2656-TODAY()</f>
        <v>-326</v>
      </c>
      <c r="N2656" s="18" t="s">
        <v>615</v>
      </c>
      <c r="O2656" s="13" t="s">
        <v>1531</v>
      </c>
      <c r="P2656" s="19" t="n">
        <f aca="false">60%*4856026</f>
        <v>2913615.6</v>
      </c>
      <c r="Q2656" s="47" t="s">
        <v>11352</v>
      </c>
      <c r="R2656" s="13" t="s">
        <v>232</v>
      </c>
      <c r="S2656" s="16" t="n">
        <v>38105</v>
      </c>
      <c r="T2656" s="28" t="s">
        <v>40</v>
      </c>
      <c r="U2656" s="13" t="s">
        <v>11353</v>
      </c>
      <c r="V2656" s="13" t="s">
        <v>42</v>
      </c>
      <c r="W2656" s="13" t="s">
        <v>43</v>
      </c>
      <c r="X2656" s="21" t="n">
        <v>82231691641</v>
      </c>
      <c r="Y2656" s="22" t="str">
        <f aca="false">O2656</f>
        <v>Packer</v>
      </c>
      <c r="Z2656" s="13" t="str">
        <f aca="false">IFERROR(__xludf.dummyfunction("if(BJ2656="""","""",GOOGLETRANSLATE(BJ2656,""auto"",""en""))"),"Packer")</f>
        <v>Packer</v>
      </c>
      <c r="AA2656" s="23" t="str">
        <f aca="false">IF(C2656="","", CHOOSE(MONTH(C2656),"January","February","March","April","May","June","July","August","September","October","November","December")&amp;" "&amp;DAY(C2656)&amp;MID("thstndrdth",MIN(9,2*RIGHT(DAY(C2656))*(MOD(DAY(C2656)-11,100)&gt;2)+1),2)&amp;","&amp;TEXT(C2656," yyyy"))</f>
        <v>September 8th,2025</v>
      </c>
      <c r="AB2656" s="15" t="str">
        <f aca="true">IF(S2656="","",DATEDIF(S2656,TODAY(),"Y")&amp;" Tahun, "&amp;DATEDIF(S2656,TODAY(),"YM")&amp;" Bulan, "&amp;DATEDIF(S2656,TODAY(),"MD")&amp;" Hari")</f>
        <v>22 Tahun, 6 Bulan, 1 Hari</v>
      </c>
      <c r="AC2656" s="18" t="n">
        <v>45908</v>
      </c>
      <c r="AD2656" s="18" t="n">
        <v>45998</v>
      </c>
      <c r="AE2656" s="18" t="s">
        <v>44</v>
      </c>
    </row>
    <row r="2657" customFormat="false" ht="15" hidden="false" customHeight="true" outlineLevel="0" collapsed="false">
      <c r="A2657" s="12" t="n">
        <v>20584</v>
      </c>
      <c r="B2657" s="13" t="s">
        <v>11354</v>
      </c>
      <c r="C2657" s="16" t="n">
        <v>45908</v>
      </c>
      <c r="D2657" s="13" t="s">
        <v>5726</v>
      </c>
      <c r="E2657" s="15" t="s">
        <v>789</v>
      </c>
      <c r="F2657" s="24" t="s">
        <v>11355</v>
      </c>
      <c r="G2657" s="13" t="s">
        <v>57</v>
      </c>
      <c r="H2657" s="13" t="s">
        <v>35</v>
      </c>
      <c r="I2657" s="13" t="str">
        <f aca="false">IF(C2657=J2657,"NEW KONTRAK","RE-KONTRAK")</f>
        <v>NEW KONTRAK</v>
      </c>
      <c r="J2657" s="16" t="n">
        <f aca="false" t="array" ref="J2657:J2657">IFERROR(INDEX(AC2657:AE2657,IF(COUNTA(AC2657:AE2657)=0,"",MAX((AC2657:AE2657&lt;&gt;"")*(COLUMN(AC2657:AE2657)-(COLUMN(AC2657)))))-1),"")</f>
        <v>45908</v>
      </c>
      <c r="K2657" s="16" t="n">
        <f aca="false" t="array" ref="K2657:K2657">IFERROR(INDEX(AC2657:AE2657,IF(COUNTA(AC2657:AE2657)=0,"",MAX((AC2657:AE2657&lt;&gt;"")*(COLUMN(AC2657:AE2657)-(COLUMN(AC2657)-1))))-1),"")</f>
        <v>45998</v>
      </c>
      <c r="L2657" s="17" t="str">
        <f aca="false" t="array" ref="L2657:L2657">IFERROR(INDEX(AC2657:AE2657,IF(COUNTA(AC2657:AE2657)=0,"",MAX((AC2657:AE2657&lt;&gt;"")*(COLUMN(AC2657:AE2657)-(COLUMN(AC2657)-2))))-1),"")</f>
        <v>ARCHIVED</v>
      </c>
      <c r="M2657" s="13" t="n">
        <f aca="true">K2657-TODAY()</f>
        <v>-326</v>
      </c>
      <c r="N2657" s="18" t="s">
        <v>615</v>
      </c>
      <c r="O2657" s="13" t="s">
        <v>1531</v>
      </c>
      <c r="P2657" s="19" t="n">
        <v>5176101</v>
      </c>
      <c r="Q2657" s="47" t="s">
        <v>11356</v>
      </c>
      <c r="R2657" s="13" t="s">
        <v>78</v>
      </c>
      <c r="S2657" s="16" t="n">
        <v>37088</v>
      </c>
      <c r="T2657" s="28" t="s">
        <v>40</v>
      </c>
      <c r="U2657" s="13" t="s">
        <v>11357</v>
      </c>
      <c r="V2657" s="13" t="s">
        <v>42</v>
      </c>
      <c r="W2657" s="13" t="s">
        <v>43</v>
      </c>
      <c r="X2657" s="21" t="n">
        <v>85708940297</v>
      </c>
      <c r="Y2657" s="22" t="str">
        <f aca="false">O2657</f>
        <v>Packer</v>
      </c>
      <c r="Z2657" s="13" t="str">
        <f aca="false">IFERROR(__xludf.dummyfunction("if(BJ2657="""","""",GOOGLETRANSLATE(BJ2657,""auto"",""en""))"),"Packer")</f>
        <v>Packer</v>
      </c>
      <c r="AA2657" s="23" t="str">
        <f aca="false">IF(C2657="","", CHOOSE(MONTH(C2657),"January","February","March","April","May","June","July","August","September","October","November","December")&amp;" "&amp;DAY(C2657)&amp;MID("thstndrdth",MIN(9,2*RIGHT(DAY(C2657))*(MOD(DAY(C2657)-11,100)&gt;2)+1),2)&amp;","&amp;TEXT(C2657," yyyy"))</f>
        <v>September 8th,2025</v>
      </c>
      <c r="AB2657" s="15" t="str">
        <f aca="true">IF(S2657="","",DATEDIF(S2657,TODAY(),"Y")&amp;" Tahun, "&amp;DATEDIF(S2657,TODAY(),"YM")&amp;" Bulan, "&amp;DATEDIF(S2657,TODAY(),"MD")&amp;" Hari")</f>
        <v>25 Tahun, 3 Bulan, 13 Hari</v>
      </c>
      <c r="AC2657" s="18" t="n">
        <v>45908</v>
      </c>
      <c r="AD2657" s="18" t="n">
        <v>45998</v>
      </c>
      <c r="AE2657" s="18" t="s">
        <v>44</v>
      </c>
    </row>
    <row r="2658" customFormat="false" ht="15" hidden="false" customHeight="true" outlineLevel="0" collapsed="false">
      <c r="A2658" s="12" t="n">
        <v>20586</v>
      </c>
      <c r="B2658" s="13" t="s">
        <v>11358</v>
      </c>
      <c r="C2658" s="16" t="n">
        <v>45908</v>
      </c>
      <c r="D2658" s="13" t="s">
        <v>5726</v>
      </c>
      <c r="E2658" s="15" t="s">
        <v>47</v>
      </c>
      <c r="F2658" s="15" t="str">
        <f aca="false">IFERROR(__xludf.dummyfunction("XLOOKUP(AJ2658,IMPORTRANGE(""1XaInW9DU9nz21V0tYIfzFQ0He9kVQ_JF2mCXgZ3hqFA"",""REKAP ALL 2026 - Andika!G:G""),IMPORTRANGE(""1XaInW9DU9nz21V0tYIfzFQ0He9kVQ_JF2mCXgZ3hqFA"",""REKAP ALL 2026 - Andika!F:F""),"""",0)"),"25133233889")</f>
        <v>25133233889</v>
      </c>
      <c r="G2658" s="13" t="s">
        <v>57</v>
      </c>
      <c r="H2658" s="13" t="s">
        <v>35</v>
      </c>
      <c r="I2658" s="13" t="str">
        <f aca="false">IF(C2658=J2658,"NEW KONTRAK","RE-KONTRAK")</f>
        <v>NEW KONTRAK</v>
      </c>
      <c r="J2658" s="16" t="n">
        <f aca="false" t="array" ref="J2658:J2658">IFERROR(INDEX(AC2658:AE2658,IF(COUNTA(AC2658:AE2658)=0,"",MAX((AC2658:AE2658&lt;&gt;"")*(COLUMN(AC2658:AE2658)-(COLUMN(AC2658)))))-1),"")</f>
        <v>45908</v>
      </c>
      <c r="K2658" s="16" t="n">
        <f aca="false" t="array" ref="K2658:K2658">IFERROR(INDEX(AC2658:AE2658,IF(COUNTA(AC2658:AE2658)=0,"",MAX((AC2658:AE2658&lt;&gt;"")*(COLUMN(AC2658:AE2658)-(COLUMN(AC2658)-1))))-1),"")</f>
        <v>45998</v>
      </c>
      <c r="L2658" s="17" t="str">
        <f aca="false" t="array" ref="L2658:L2658">IFERROR(INDEX(AC2658:AE2658,IF(COUNTA(AC2658:AE2658)=0,"",MAX((AC2658:AE2658&lt;&gt;"")*(COLUMN(AC2658:AE2658)-(COLUMN(AC2658)-2))))-1),"")</f>
        <v>ARCHIVED</v>
      </c>
      <c r="M2658" s="13" t="n">
        <f aca="true">K2658-TODAY()</f>
        <v>-326</v>
      </c>
      <c r="N2658" s="18" t="s">
        <v>615</v>
      </c>
      <c r="O2658" s="13" t="s">
        <v>1531</v>
      </c>
      <c r="P2658" s="19" t="n">
        <v>5176101</v>
      </c>
      <c r="Q2658" s="47" t="s">
        <v>11359</v>
      </c>
      <c r="R2658" s="13" t="s">
        <v>83</v>
      </c>
      <c r="S2658" s="16" t="n">
        <v>38229</v>
      </c>
      <c r="T2658" s="13" t="s">
        <v>108</v>
      </c>
      <c r="U2658" s="13" t="s">
        <v>11360</v>
      </c>
      <c r="V2658" s="13" t="s">
        <v>42</v>
      </c>
      <c r="W2658" s="13" t="s">
        <v>43</v>
      </c>
      <c r="X2658" s="21" t="n">
        <v>82131082363</v>
      </c>
      <c r="Y2658" s="22" t="str">
        <f aca="false">O2658</f>
        <v>Packer</v>
      </c>
      <c r="Z2658" s="13" t="str">
        <f aca="false">IFERROR(__xludf.dummyfunction("if(BJ2658="""","""",GOOGLETRANSLATE(BJ2658,""auto"",""en""))"),"Packer")</f>
        <v>Packer</v>
      </c>
      <c r="AA2658" s="23" t="str">
        <f aca="false">IF(C2658="","", CHOOSE(MONTH(C2658),"January","February","March","April","May","June","July","August","September","October","November","December")&amp;" "&amp;DAY(C2658)&amp;MID("thstndrdth",MIN(9,2*RIGHT(DAY(C2658))*(MOD(DAY(C2658)-11,100)&gt;2)+1),2)&amp;","&amp;TEXT(C2658," yyyy"))</f>
        <v>September 8th,2025</v>
      </c>
      <c r="AB2658" s="15" t="str">
        <f aca="true">IF(S2658="","",DATEDIF(S2658,TODAY(),"Y")&amp;" Tahun, "&amp;DATEDIF(S2658,TODAY(),"YM")&amp;" Bulan, "&amp;DATEDIF(S2658,TODAY(),"MD")&amp;" Hari")</f>
        <v>22 Tahun, 1 Bulan, 29 Hari</v>
      </c>
      <c r="AC2658" s="18" t="n">
        <v>45908</v>
      </c>
      <c r="AD2658" s="18" t="n">
        <v>45998</v>
      </c>
      <c r="AE2658" s="18" t="s">
        <v>44</v>
      </c>
    </row>
    <row r="2659" customFormat="false" ht="15" hidden="false" customHeight="true" outlineLevel="0" collapsed="false">
      <c r="A2659" s="12" t="n">
        <v>20587</v>
      </c>
      <c r="B2659" s="13" t="s">
        <v>11361</v>
      </c>
      <c r="C2659" s="16" t="n">
        <v>45908</v>
      </c>
      <c r="D2659" s="13" t="s">
        <v>5726</v>
      </c>
      <c r="E2659" s="15" t="s">
        <v>47</v>
      </c>
      <c r="F2659" s="15" t="str">
        <f aca="false">IFERROR(__xludf.dummyfunction("XLOOKUP(AJ2659,IMPORTRANGE(""1XaInW9DU9nz21V0tYIfzFQ0He9kVQ_JF2mCXgZ3hqFA"",""REKAP ALL 2026 - Andika!G:G""),IMPORTRANGE(""1XaInW9DU9nz21V0tYIfzFQ0He9kVQ_JF2mCXgZ3hqFA"",""REKAP ALL 2026 - Andika!F:F""),"""",0)"),"25133233905")</f>
        <v>25133233905</v>
      </c>
      <c r="G2659" s="13" t="s">
        <v>57</v>
      </c>
      <c r="H2659" s="13" t="s">
        <v>35</v>
      </c>
      <c r="I2659" s="13" t="str">
        <f aca="false">IF(C2659=J2659,"NEW KONTRAK","RE-KONTRAK")</f>
        <v>NEW KONTRAK</v>
      </c>
      <c r="J2659" s="16" t="n">
        <f aca="false" t="array" ref="J2659:J2659">IFERROR(INDEX(AC2659:AE2659,IF(COUNTA(AC2659:AE2659)=0,"",MAX((AC2659:AE2659&lt;&gt;"")*(COLUMN(AC2659:AE2659)-(COLUMN(AC2659)))))-1),"")</f>
        <v>45908</v>
      </c>
      <c r="K2659" s="16" t="n">
        <f aca="false" t="array" ref="K2659:K2659">IFERROR(INDEX(AC2659:AE2659,IF(COUNTA(AC2659:AE2659)=0,"",MAX((AC2659:AE2659&lt;&gt;"")*(COLUMN(AC2659:AE2659)-(COLUMN(AC2659)-1))))-1),"")</f>
        <v>45998</v>
      </c>
      <c r="L2659" s="17" t="str">
        <f aca="false" t="array" ref="L2659:L2659">IFERROR(INDEX(AC2659:AE2659,IF(COUNTA(AC2659:AE2659)=0,"",MAX((AC2659:AE2659&lt;&gt;"")*(COLUMN(AC2659:AE2659)-(COLUMN(AC2659)-2))))-1),"")</f>
        <v>ARCHIVED</v>
      </c>
      <c r="M2659" s="13" t="n">
        <f aca="true">K2659-TODAY()</f>
        <v>-326</v>
      </c>
      <c r="N2659" s="18" t="s">
        <v>615</v>
      </c>
      <c r="O2659" s="13" t="s">
        <v>1531</v>
      </c>
      <c r="P2659" s="19" t="n">
        <v>5176101</v>
      </c>
      <c r="Q2659" s="47" t="s">
        <v>11362</v>
      </c>
      <c r="R2659" s="13" t="s">
        <v>78</v>
      </c>
      <c r="S2659" s="16" t="n">
        <v>37497</v>
      </c>
      <c r="T2659" s="28" t="s">
        <v>40</v>
      </c>
      <c r="U2659" s="13" t="s">
        <v>11363</v>
      </c>
      <c r="V2659" s="13" t="s">
        <v>42</v>
      </c>
      <c r="W2659" s="13" t="s">
        <v>43</v>
      </c>
      <c r="X2659" s="21" t="n">
        <v>85334991077</v>
      </c>
      <c r="Y2659" s="22" t="str">
        <f aca="false">O2659</f>
        <v>Packer</v>
      </c>
      <c r="Z2659" s="13" t="str">
        <f aca="false">IFERROR(__xludf.dummyfunction("if(BJ2659="""","""",GOOGLETRANSLATE(BJ2659,""auto"",""en""))"),"Packer")</f>
        <v>Packer</v>
      </c>
      <c r="AA2659" s="23" t="str">
        <f aca="false">IF(C2659="","", CHOOSE(MONTH(C2659),"January","February","March","April","May","June","July","August","September","October","November","December")&amp;" "&amp;DAY(C2659)&amp;MID("thstndrdth",MIN(9,2*RIGHT(DAY(C2659))*(MOD(DAY(C2659)-11,100)&gt;2)+1),2)&amp;","&amp;TEXT(C2659," yyyy"))</f>
        <v>September 8th,2025</v>
      </c>
      <c r="AB2659" s="15" t="str">
        <f aca="true">IF(S2659="","",DATEDIF(S2659,TODAY(),"Y")&amp;" Tahun, "&amp;DATEDIF(S2659,TODAY(),"YM")&amp;" Bulan, "&amp;DATEDIF(S2659,TODAY(),"MD")&amp;" Hari")</f>
        <v>24 Tahun, 2 Bulan, 0 Hari</v>
      </c>
      <c r="AC2659" s="18" t="n">
        <v>45908</v>
      </c>
      <c r="AD2659" s="18" t="n">
        <v>45998</v>
      </c>
      <c r="AE2659" s="18" t="s">
        <v>44</v>
      </c>
    </row>
    <row r="2660" customFormat="false" ht="15" hidden="false" customHeight="true" outlineLevel="0" collapsed="false">
      <c r="A2660" s="12" t="n">
        <v>17559</v>
      </c>
      <c r="B2660" s="13" t="s">
        <v>11364</v>
      </c>
      <c r="C2660" s="14" t="n">
        <v>45571</v>
      </c>
      <c r="D2660" s="13" t="s">
        <v>5726</v>
      </c>
      <c r="E2660" s="15" t="s">
        <v>789</v>
      </c>
      <c r="F2660" s="15" t="str">
        <f aca="false">IFERROR(__xludf.dummyfunction("XLOOKUP(AJ2660,IMPORTRANGE(""1XaInW9DU9nz21V0tYIfzFQ0He9kVQ_JF2mCXgZ3hqFA"",""REKAP ALL 2026 - Andika!G:G""),IMPORTRANGE(""1XaInW9DU9nz21V0tYIfzFQ0He9kVQ_JF2mCXgZ3hqFA"",""REKAP ALL 2026 - Andika!F:F""),"""",0)"),"24154920433")</f>
        <v>24154920433</v>
      </c>
      <c r="G2660" s="15" t="s">
        <v>11365</v>
      </c>
      <c r="H2660" s="13" t="s">
        <v>35</v>
      </c>
      <c r="I2660" s="13" t="str">
        <f aca="false">IF(C2660=J2660,"NEW KONTRAK","RE-KONTRAK")</f>
        <v>NEW KONTRAK</v>
      </c>
      <c r="J2660" s="16" t="n">
        <f aca="false" t="array" ref="J2660:J2660">IFERROR(INDEX(AC2660:AE2660,IF(COUNTA(AC2660:AE2660)=0,"",MAX((AC2660:AE2660&lt;&gt;"")*(COLUMN(AC2660:AE2660)-(COLUMN(AC2660)))))-1),"")</f>
        <v>45571</v>
      </c>
      <c r="K2660" s="16" t="n">
        <f aca="false" t="array" ref="K2660:K2660">IFERROR(INDEX(AC2660:AE2660,IF(COUNTA(AC2660:AE2660)=0,"",MAX((AC2660:AE2660&lt;&gt;"")*(COLUMN(AC2660:AE2660)-(COLUMN(AC2660)-1))))-1),"")</f>
        <v>45935</v>
      </c>
      <c r="L2660" s="17" t="str">
        <f aca="false" t="array" ref="L2660:L2660">IFERROR(INDEX(AC2660:AE2660,IF(COUNTA(AC2660:AE2660)=0,"",MAX((AC2660:AE2660&lt;&gt;"")*(COLUMN(AC2660:AE2660)-(COLUMN(AC2660)-2))))-1),"")</f>
        <v>ARCHIVED</v>
      </c>
      <c r="M2660" s="13" t="n">
        <f aca="true">K2660-TODAY()</f>
        <v>-389</v>
      </c>
      <c r="N2660" s="18" t="s">
        <v>615</v>
      </c>
      <c r="O2660" s="13" t="s">
        <v>1531</v>
      </c>
      <c r="P2660" s="19" t="n">
        <v>5176101</v>
      </c>
      <c r="Q2660" s="20" t="s">
        <v>11366</v>
      </c>
      <c r="R2660" s="13" t="s">
        <v>1611</v>
      </c>
      <c r="S2660" s="14" t="n">
        <v>34962</v>
      </c>
      <c r="T2660" s="13" t="s">
        <v>108</v>
      </c>
      <c r="U2660" s="13" t="s">
        <v>11367</v>
      </c>
      <c r="V2660" s="13" t="s">
        <v>42</v>
      </c>
      <c r="W2660" s="13" t="s">
        <v>54</v>
      </c>
      <c r="X2660" s="21" t="n">
        <v>85257516232</v>
      </c>
      <c r="Y2660" s="22" t="str">
        <f aca="false">O2660</f>
        <v>Packer</v>
      </c>
      <c r="Z2660" s="13" t="str">
        <f aca="false">IFERROR(__xludf.dummyfunction("if(BJ2660="""","""",GOOGLETRANSLATE(BJ2660,""auto"",""en""))"),"Packer")</f>
        <v>Packer</v>
      </c>
      <c r="AA2660" s="23" t="str">
        <f aca="false">IF(C2660="","", CHOOSE(MONTH(C2660),"January","February","March","April","May","June","July","August","September","October","November","December")&amp;" "&amp;DAY(C2660)&amp;MID("thstndrdth",MIN(9,2*RIGHT(DAY(C2660))*(MOD(DAY(C2660)-11,100)&gt;2)+1),2)&amp;","&amp;TEXT(C2660," yyyy"))</f>
        <v>October 6th,2024</v>
      </c>
      <c r="AB2660" s="15" t="str">
        <f aca="true">IF(S2660="","",DATEDIF(S2660,TODAY(),"Y")&amp;" Tahun, "&amp;DATEDIF(S2660,TODAY(),"YM")&amp;" Bulan, "&amp;DATEDIF(S2660,TODAY(),"MD")&amp;" Hari")</f>
        <v>31 Tahun, 1 Bulan, 9 Hari</v>
      </c>
      <c r="AC2660" s="18" t="n">
        <v>45571</v>
      </c>
      <c r="AD2660" s="18" t="n">
        <v>45935</v>
      </c>
      <c r="AE2660" s="18" t="s">
        <v>44</v>
      </c>
    </row>
    <row r="2661" customFormat="false" ht="15" hidden="false" customHeight="true" outlineLevel="0" collapsed="false">
      <c r="A2661" s="12" t="n">
        <v>20588</v>
      </c>
      <c r="B2661" s="13" t="s">
        <v>11368</v>
      </c>
      <c r="C2661" s="16" t="n">
        <v>45908</v>
      </c>
      <c r="D2661" s="13" t="s">
        <v>5726</v>
      </c>
      <c r="E2661" s="15" t="s">
        <v>47</v>
      </c>
      <c r="F2661" s="15" t="str">
        <f aca="false">IFERROR(__xludf.dummyfunction("XLOOKUP(AJ2661,IMPORTRANGE(""1XaInW9DU9nz21V0tYIfzFQ0He9kVQ_JF2mCXgZ3hqFA"",""REKAP ALL 2026 - Andika!G:G""),IMPORTRANGE(""1XaInW9DU9nz21V0tYIfzFQ0He9kVQ_JF2mCXgZ3hqFA"",""REKAP ALL 2026 - Andika!F:F""),"""",0)"),"25133233913")</f>
        <v>25133233913</v>
      </c>
      <c r="G2661" s="13" t="s">
        <v>57</v>
      </c>
      <c r="H2661" s="13" t="s">
        <v>35</v>
      </c>
      <c r="I2661" s="13" t="str">
        <f aca="false">IF(C2661=J2661,"NEW KONTRAK","RE-KONTRAK")</f>
        <v>NEW KONTRAK</v>
      </c>
      <c r="J2661" s="16" t="n">
        <f aca="false" t="array" ref="J2661:J2661">IFERROR(INDEX(AC2661:AE2661,IF(COUNTA(AC2661:AE2661)=0,"",MAX((AC2661:AE2661&lt;&gt;"")*(COLUMN(AC2661:AE2661)-(COLUMN(AC2661)))))-1),"")</f>
        <v>45908</v>
      </c>
      <c r="K2661" s="16" t="n">
        <f aca="false" t="array" ref="K2661:K2661">IFERROR(INDEX(AC2661:AE2661,IF(COUNTA(AC2661:AE2661)=0,"",MAX((AC2661:AE2661&lt;&gt;"")*(COLUMN(AC2661:AE2661)-(COLUMN(AC2661)-1))))-1),"")</f>
        <v>45998</v>
      </c>
      <c r="L2661" s="17" t="str">
        <f aca="false" t="array" ref="L2661:L2661">IFERROR(INDEX(AC2661:AE2661,IF(COUNTA(AC2661:AE2661)=0,"",MAX((AC2661:AE2661&lt;&gt;"")*(COLUMN(AC2661:AE2661)-(COLUMN(AC2661)-2))))-1),"")</f>
        <v>ARCHIVED</v>
      </c>
      <c r="M2661" s="13" t="n">
        <f aca="true">K2661-TODAY()</f>
        <v>-326</v>
      </c>
      <c r="N2661" s="18" t="s">
        <v>615</v>
      </c>
      <c r="O2661" s="13" t="s">
        <v>1531</v>
      </c>
      <c r="P2661" s="19" t="n">
        <v>5176101</v>
      </c>
      <c r="Q2661" s="47" t="s">
        <v>11369</v>
      </c>
      <c r="R2661" s="13" t="s">
        <v>232</v>
      </c>
      <c r="S2661" s="16" t="n">
        <v>37378</v>
      </c>
      <c r="T2661" s="28" t="s">
        <v>40</v>
      </c>
      <c r="U2661" s="13" t="s">
        <v>11370</v>
      </c>
      <c r="V2661" s="13" t="s">
        <v>42</v>
      </c>
      <c r="W2661" s="13" t="s">
        <v>43</v>
      </c>
      <c r="X2661" s="21" t="n">
        <v>88990806963</v>
      </c>
      <c r="Y2661" s="22" t="str">
        <f aca="false">O2661</f>
        <v>Packer</v>
      </c>
      <c r="Z2661" s="13" t="str">
        <f aca="false">IFERROR(__xludf.dummyfunction("if(BJ2661="""","""",GOOGLETRANSLATE(BJ2661,""auto"",""en""))"),"Packer")</f>
        <v>Packer</v>
      </c>
      <c r="AA2661" s="23" t="str">
        <f aca="false">IF(C2661="","", CHOOSE(MONTH(C2661),"January","February","March","April","May","June","July","August","September","October","November","December")&amp;" "&amp;DAY(C2661)&amp;MID("thstndrdth",MIN(9,2*RIGHT(DAY(C2661))*(MOD(DAY(C2661)-11,100)&gt;2)+1),2)&amp;","&amp;TEXT(C2661," yyyy"))</f>
        <v>September 8th,2025</v>
      </c>
      <c r="AB2661" s="15" t="str">
        <f aca="true">IF(S2661="","",DATEDIF(S2661,TODAY(),"Y")&amp;" Tahun, "&amp;DATEDIF(S2661,TODAY(),"YM")&amp;" Bulan, "&amp;DATEDIF(S2661,TODAY(),"MD")&amp;" Hari")</f>
        <v>24 Tahun, 5 Bulan, 27 Hari</v>
      </c>
      <c r="AC2661" s="18" t="n">
        <v>45908</v>
      </c>
      <c r="AD2661" s="18" t="n">
        <v>45998</v>
      </c>
      <c r="AE2661" s="18" t="s">
        <v>44</v>
      </c>
    </row>
    <row r="2662" customFormat="false" ht="15" hidden="false" customHeight="true" outlineLevel="0" collapsed="false">
      <c r="A2662" s="12" t="n">
        <v>20589</v>
      </c>
      <c r="B2662" s="13" t="s">
        <v>11371</v>
      </c>
      <c r="C2662" s="16" t="n">
        <v>45908</v>
      </c>
      <c r="D2662" s="13" t="s">
        <v>5726</v>
      </c>
      <c r="E2662" s="15" t="s">
        <v>47</v>
      </c>
      <c r="F2662" s="15" t="str">
        <f aca="false">IFERROR(__xludf.dummyfunction("XLOOKUP(AJ2662,IMPORTRANGE(""1XaInW9DU9nz21V0tYIfzFQ0He9kVQ_JF2mCXgZ3hqFA"",""REKAP ALL 2026 - Andika!G:G""),IMPORTRANGE(""1XaInW9DU9nz21V0tYIfzFQ0He9kVQ_JF2mCXgZ3hqFA"",""REKAP ALL 2026 - Andika!F:F""),"""",0)"),"25133233939")</f>
        <v>25133233939</v>
      </c>
      <c r="G2662" s="13" t="s">
        <v>57</v>
      </c>
      <c r="H2662" s="13" t="s">
        <v>35</v>
      </c>
      <c r="I2662" s="13" t="str">
        <f aca="false">IF(C2662=J2662,"NEW KONTRAK","RE-KONTRAK")</f>
        <v>NEW KONTRAK</v>
      </c>
      <c r="J2662" s="16" t="n">
        <f aca="false" t="array" ref="J2662:J2662">IFERROR(INDEX(AC2662:AE2662,IF(COUNTA(AC2662:AE2662)=0,"",MAX((AC2662:AE2662&lt;&gt;"")*(COLUMN(AC2662:AE2662)-(COLUMN(AC2662)))))-1),"")</f>
        <v>45908</v>
      </c>
      <c r="K2662" s="16" t="n">
        <f aca="false" t="array" ref="K2662:K2662">IFERROR(INDEX(AC2662:AE2662,IF(COUNTA(AC2662:AE2662)=0,"",MAX((AC2662:AE2662&lt;&gt;"")*(COLUMN(AC2662:AE2662)-(COLUMN(AC2662)-1))))-1),"")</f>
        <v>45998</v>
      </c>
      <c r="L2662" s="17" t="str">
        <f aca="false" t="array" ref="L2662:L2662">IFERROR(INDEX(AC2662:AE2662,IF(COUNTA(AC2662:AE2662)=0,"",MAX((AC2662:AE2662&lt;&gt;"")*(COLUMN(AC2662:AE2662)-(COLUMN(AC2662)-2))))-1),"")</f>
        <v>ARCHIVED</v>
      </c>
      <c r="M2662" s="13" t="n">
        <f aca="true">K2662-TODAY()</f>
        <v>-326</v>
      </c>
      <c r="N2662" s="18" t="s">
        <v>615</v>
      </c>
      <c r="O2662" s="13" t="s">
        <v>1531</v>
      </c>
      <c r="P2662" s="19" t="n">
        <v>5176101</v>
      </c>
      <c r="Q2662" s="47" t="s">
        <v>11372</v>
      </c>
      <c r="R2662" s="13" t="s">
        <v>324</v>
      </c>
      <c r="S2662" s="16" t="n">
        <v>36503</v>
      </c>
      <c r="T2662" s="28" t="s">
        <v>40</v>
      </c>
      <c r="U2662" s="13" t="s">
        <v>11373</v>
      </c>
      <c r="V2662" s="13" t="s">
        <v>42</v>
      </c>
      <c r="W2662" s="13" t="s">
        <v>43</v>
      </c>
      <c r="X2662" s="21" t="n">
        <v>85646034966</v>
      </c>
      <c r="Y2662" s="22" t="str">
        <f aca="false">O2662</f>
        <v>Packer</v>
      </c>
      <c r="Z2662" s="13" t="str">
        <f aca="false">IFERROR(__xludf.dummyfunction("if(BJ2662="""","""",GOOGLETRANSLATE(BJ2662,""auto"",""en""))"),"Packer")</f>
        <v>Packer</v>
      </c>
      <c r="AA2662" s="23" t="str">
        <f aca="false">IF(C2662="","", CHOOSE(MONTH(C2662),"January","February","March","April","May","June","July","August","September","October","November","December")&amp;" "&amp;DAY(C2662)&amp;MID("thstndrdth",MIN(9,2*RIGHT(DAY(C2662))*(MOD(DAY(C2662)-11,100)&gt;2)+1),2)&amp;","&amp;TEXT(C2662," yyyy"))</f>
        <v>September 8th,2025</v>
      </c>
      <c r="AB2662" s="15" t="str">
        <f aca="true">IF(S2662="","",DATEDIF(S2662,TODAY(),"Y")&amp;" Tahun, "&amp;DATEDIF(S2662,TODAY(),"YM")&amp;" Bulan, "&amp;DATEDIF(S2662,TODAY(),"MD")&amp;" Hari")</f>
        <v>26 Tahun, 10 Bulan, 20 Hari</v>
      </c>
      <c r="AC2662" s="18" t="n">
        <v>45908</v>
      </c>
      <c r="AD2662" s="18" t="n">
        <v>45998</v>
      </c>
      <c r="AE2662" s="18" t="s">
        <v>44</v>
      </c>
    </row>
    <row r="2663" customFormat="false" ht="15" hidden="false" customHeight="true" outlineLevel="0" collapsed="false">
      <c r="A2663" s="12" t="n">
        <v>20596</v>
      </c>
      <c r="B2663" s="13" t="s">
        <v>7188</v>
      </c>
      <c r="C2663" s="16" t="n">
        <v>45902</v>
      </c>
      <c r="D2663" s="13" t="s">
        <v>144</v>
      </c>
      <c r="E2663" s="15" t="s">
        <v>47</v>
      </c>
      <c r="F2663" s="15" t="str">
        <f aca="false">IFERROR(__xludf.dummyfunction("XLOOKUP(AJ2663,IMPORTRANGE(""1XaInW9DU9nz21V0tYIfzFQ0He9kVQ_JF2mCXgZ3hqFA"",""REKAP ALL 2026 - Andika!G:G""),IMPORTRANGE(""1XaInW9DU9nz21V0tYIfzFQ0He9kVQ_JF2mCXgZ3hqFA"",""REKAP ALL 2026 - Andika!F:F""),"""",0)"),"25115952423")</f>
        <v>25115952423</v>
      </c>
      <c r="G2663" s="13" t="s">
        <v>1127</v>
      </c>
      <c r="H2663" s="13" t="s">
        <v>35</v>
      </c>
      <c r="I2663" s="13" t="str">
        <f aca="false">IF(C2663=J2663,"NEW KONTRAK","RE-KONTRAK")</f>
        <v>NEW KONTRAK</v>
      </c>
      <c r="J2663" s="16" t="n">
        <f aca="false" t="array" ref="J2663:J2663">IFERROR(INDEX(AC2663:AE2663,IF(COUNTA(AC2663:AE2663)=0,"",MAX((AC2663:AE2663&lt;&gt;"")*(COLUMN(AC2663:AE2663)-(COLUMN(AC2663)))))-1),"")</f>
        <v>45902</v>
      </c>
      <c r="K2663" s="16" t="n">
        <f aca="false" t="array" ref="K2663:K2663">IFERROR(INDEX(AC2663:AE2663,IF(COUNTA(AC2663:AE2663)=0,"",MAX((AC2663:AE2663&lt;&gt;"")*(COLUMN(AC2663:AE2663)-(COLUMN(AC2663)-1))))-1),"")</f>
        <v>46022</v>
      </c>
      <c r="L2663" s="17" t="str">
        <f aca="false" t="array" ref="L2663:L2663">IFERROR(INDEX(AC2663:AE2663,IF(COUNTA(AC2663:AE2663)=0,"",MAX((AC2663:AE2663&lt;&gt;"")*(COLUMN(AC2663:AE2663)-(COLUMN(AC2663)-2))))-1),"")</f>
        <v>ARCHIVED</v>
      </c>
      <c r="M2663" s="13" t="n">
        <f aca="true">K2663-TODAY()</f>
        <v>-302</v>
      </c>
      <c r="N2663" s="18" t="s">
        <v>36</v>
      </c>
      <c r="O2663" s="13" t="s">
        <v>9279</v>
      </c>
      <c r="P2663" s="19" t="n">
        <v>5195401</v>
      </c>
      <c r="Q2663" s="47" t="s">
        <v>11374</v>
      </c>
      <c r="R2663" s="13" t="s">
        <v>78</v>
      </c>
      <c r="S2663" s="16" t="n">
        <v>33013</v>
      </c>
      <c r="T2663" s="28" t="s">
        <v>40</v>
      </c>
      <c r="U2663" s="13" t="s">
        <v>7481</v>
      </c>
      <c r="V2663" s="13" t="s">
        <v>42</v>
      </c>
      <c r="W2663" s="13" t="s">
        <v>54</v>
      </c>
      <c r="X2663" s="67" t="n">
        <v>85731317005</v>
      </c>
      <c r="Y2663" s="22" t="str">
        <f aca="false">O2663</f>
        <v>Picker Gudang</v>
      </c>
      <c r="Z2663" s="13" t="str">
        <f aca="false">IFERROR(__xludf.dummyfunction("if(BJ2663="""","""",GOOGLETRANSLATE(BJ2663,""auto"",""en""))"),"Warehouse Picker")</f>
        <v>Warehouse Picker</v>
      </c>
      <c r="AA2663" s="23" t="str">
        <f aca="false">IF(C2663="","", CHOOSE(MONTH(C2663),"January","February","March","April","May","June","July","August","September","October","November","December")&amp;" "&amp;DAY(C2663)&amp;MID("thstndrdth",MIN(9,2*RIGHT(DAY(C2663))*(MOD(DAY(C2663)-11,100)&gt;2)+1),2)&amp;","&amp;TEXT(C2663," yyyy"))</f>
        <v>September 2nd,2025</v>
      </c>
      <c r="AB2663" s="15" t="str">
        <f aca="true">IF(S2663="","",DATEDIF(S2663,TODAY(),"Y")&amp;" Tahun, "&amp;DATEDIF(S2663,TODAY(),"YM")&amp;" Bulan, "&amp;DATEDIF(S2663,TODAY(),"MD")&amp;" Hari")</f>
        <v>36 Tahun, 5 Bulan, 9 Hari</v>
      </c>
      <c r="AC2663" s="18" t="n">
        <v>45902</v>
      </c>
      <c r="AD2663" s="18" t="n">
        <v>46022</v>
      </c>
      <c r="AE2663" s="18" t="s">
        <v>44</v>
      </c>
    </row>
    <row r="2664" customFormat="false" ht="15" hidden="false" customHeight="true" outlineLevel="0" collapsed="false">
      <c r="A2664" s="12" t="n">
        <v>20597</v>
      </c>
      <c r="B2664" s="13" t="s">
        <v>11375</v>
      </c>
      <c r="C2664" s="16" t="n">
        <v>45902</v>
      </c>
      <c r="D2664" s="13" t="s">
        <v>144</v>
      </c>
      <c r="E2664" s="15" t="s">
        <v>47</v>
      </c>
      <c r="F2664" s="15" t="str">
        <f aca="false">IFERROR(__xludf.dummyfunction("XLOOKUP(AJ2664,IMPORTRANGE(""1XaInW9DU9nz21V0tYIfzFQ0He9kVQ_JF2mCXgZ3hqFA"",""REKAP ALL 2026 - Andika!G:G""),IMPORTRANGE(""1XaInW9DU9nz21V0tYIfzFQ0He9kVQ_JF2mCXgZ3hqFA"",""REKAP ALL 2026 - Andika!F:F""),"""",0)"),"25115952456")</f>
        <v>25115952456</v>
      </c>
      <c r="G2664" s="13" t="s">
        <v>1127</v>
      </c>
      <c r="H2664" s="13" t="s">
        <v>35</v>
      </c>
      <c r="I2664" s="13" t="str">
        <f aca="false">IF(C2664=J2664,"NEW KONTRAK","RE-KONTRAK")</f>
        <v>NEW KONTRAK</v>
      </c>
      <c r="J2664" s="16" t="n">
        <f aca="false" t="array" ref="J2664:J2664">IFERROR(INDEX(AC2664:AE2664,IF(COUNTA(AC2664:AE2664)=0,"",MAX((AC2664:AE2664&lt;&gt;"")*(COLUMN(AC2664:AE2664)-(COLUMN(AC2664)))))-1),"")</f>
        <v>45902</v>
      </c>
      <c r="K2664" s="16" t="n">
        <f aca="false" t="array" ref="K2664:K2664">IFERROR(INDEX(AC2664:AE2664,IF(COUNTA(AC2664:AE2664)=0,"",MAX((AC2664:AE2664&lt;&gt;"")*(COLUMN(AC2664:AE2664)-(COLUMN(AC2664)-1))))-1),"")</f>
        <v>46022</v>
      </c>
      <c r="L2664" s="17" t="str">
        <f aca="false" t="array" ref="L2664:L2664">IFERROR(INDEX(AC2664:AE2664,IF(COUNTA(AC2664:AE2664)=0,"",MAX((AC2664:AE2664&lt;&gt;"")*(COLUMN(AC2664:AE2664)-(COLUMN(AC2664)-2))))-1),"")</f>
        <v>ARCHIVED</v>
      </c>
      <c r="M2664" s="13" t="n">
        <f aca="true">K2664-TODAY()</f>
        <v>-302</v>
      </c>
      <c r="N2664" s="18" t="s">
        <v>36</v>
      </c>
      <c r="O2664" s="13" t="s">
        <v>9279</v>
      </c>
      <c r="P2664" s="19" t="n">
        <v>5195401</v>
      </c>
      <c r="Q2664" s="47" t="s">
        <v>11376</v>
      </c>
      <c r="R2664" s="13" t="s">
        <v>52</v>
      </c>
      <c r="S2664" s="16" t="n">
        <v>35042</v>
      </c>
      <c r="T2664" s="28" t="s">
        <v>40</v>
      </c>
      <c r="U2664" s="13" t="s">
        <v>11377</v>
      </c>
      <c r="V2664" s="13" t="s">
        <v>42</v>
      </c>
      <c r="W2664" s="13" t="s">
        <v>54</v>
      </c>
      <c r="X2664" s="67" t="n">
        <v>88996979560</v>
      </c>
      <c r="Y2664" s="22" t="str">
        <f aca="false">O2664</f>
        <v>Picker Gudang</v>
      </c>
      <c r="Z2664" s="13" t="str">
        <f aca="false">IFERROR(__xludf.dummyfunction("if(BJ2664="""","""",GOOGLETRANSLATE(BJ2664,""auto"",""en""))"),"Warehouse Picker")</f>
        <v>Warehouse Picker</v>
      </c>
      <c r="AA2664" s="23" t="str">
        <f aca="false">IF(C2664="","", CHOOSE(MONTH(C2664),"January","February","March","April","May","June","July","August","September","October","November","December")&amp;" "&amp;DAY(C2664)&amp;MID("thstndrdth",MIN(9,2*RIGHT(DAY(C2664))*(MOD(DAY(C2664)-11,100)&gt;2)+1),2)&amp;","&amp;TEXT(C2664," yyyy"))</f>
        <v>September 2nd,2025</v>
      </c>
      <c r="AB2664" s="15" t="str">
        <f aca="true">IF(S2664="","",DATEDIF(S2664,TODAY(),"Y")&amp;" Tahun, "&amp;DATEDIF(S2664,TODAY(),"YM")&amp;" Bulan, "&amp;DATEDIF(S2664,TODAY(),"MD")&amp;" Hari")</f>
        <v>30 Tahun, 10 Bulan, 20 Hari</v>
      </c>
      <c r="AC2664" s="18" t="n">
        <v>45902</v>
      </c>
      <c r="AD2664" s="18" t="n">
        <v>46022</v>
      </c>
      <c r="AE2664" s="18" t="s">
        <v>44</v>
      </c>
    </row>
    <row r="2665" customFormat="false" ht="15" hidden="false" customHeight="true" outlineLevel="0" collapsed="false">
      <c r="A2665" s="12" t="n">
        <v>20598</v>
      </c>
      <c r="B2665" s="13" t="s">
        <v>11378</v>
      </c>
      <c r="C2665" s="16" t="n">
        <v>45901</v>
      </c>
      <c r="D2665" s="13" t="s">
        <v>144</v>
      </c>
      <c r="E2665" s="15" t="s">
        <v>33</v>
      </c>
      <c r="F2665" s="24" t="s">
        <v>11379</v>
      </c>
      <c r="G2665" s="28" t="s">
        <v>57</v>
      </c>
      <c r="H2665" s="13" t="s">
        <v>35</v>
      </c>
      <c r="I2665" s="13" t="str">
        <f aca="false">IF(C2665=J2665,"NEW KONTRAK","RE-KONTRAK")</f>
        <v>NEW KONTRAK</v>
      </c>
      <c r="J2665" s="16" t="n">
        <f aca="false" t="array" ref="J2665:J2665">IFERROR(INDEX(AC2665:AE2665,IF(COUNTA(AC2665:AE2665)=0,"",MAX((AC2665:AE2665&lt;&gt;"")*(COLUMN(AC2665:AE2665)-(COLUMN(AC2665)))))-1),"")</f>
        <v>45901</v>
      </c>
      <c r="K2665" s="16" t="n">
        <f aca="false" t="array" ref="K2665:K2665">IFERROR(INDEX(AC2665:AE2665,IF(COUNTA(AC2665:AE2665)=0,"",MAX((AC2665:AE2665&lt;&gt;"")*(COLUMN(AC2665:AE2665)-(COLUMN(AC2665)-1))))-1),"")</f>
        <v>46022</v>
      </c>
      <c r="L2665" s="17" t="str">
        <f aca="false" t="array" ref="L2665:L2665">IFERROR(INDEX(AC2665:AE2665,IF(COUNTA(AC2665:AE2665)=0,"",MAX((AC2665:AE2665&lt;&gt;"")*(COLUMN(AC2665:AE2665)-(COLUMN(AC2665)-2))))-1),"")</f>
        <v>ARCHIVED</v>
      </c>
      <c r="M2665" s="13" t="n">
        <f aca="true">K2665-TODAY()</f>
        <v>-302</v>
      </c>
      <c r="N2665" s="18" t="s">
        <v>36</v>
      </c>
      <c r="O2665" s="13" t="s">
        <v>3599</v>
      </c>
      <c r="P2665" s="19" t="n">
        <v>5195401</v>
      </c>
      <c r="Q2665" s="47" t="s">
        <v>11380</v>
      </c>
      <c r="R2665" s="13" t="s">
        <v>11381</v>
      </c>
      <c r="S2665" s="16" t="n">
        <v>36327</v>
      </c>
      <c r="T2665" s="28" t="s">
        <v>40</v>
      </c>
      <c r="U2665" s="13" t="s">
        <v>11382</v>
      </c>
      <c r="V2665" s="28" t="s">
        <v>1216</v>
      </c>
      <c r="W2665" s="13" t="s">
        <v>43</v>
      </c>
      <c r="X2665" s="30" t="n">
        <v>82332858842</v>
      </c>
      <c r="Y2665" s="22" t="str">
        <f aca="false">O2665</f>
        <v>Admin Gudang</v>
      </c>
      <c r="Z2665" s="13" t="str">
        <f aca="false">IFERROR(__xludf.dummyfunction("if(BJ2665="""","""",GOOGLETRANSLATE(BJ2665,""auto"",""en""))"),"Warehouse Admin")</f>
        <v>Warehouse Admin</v>
      </c>
      <c r="AA2665" s="23" t="str">
        <f aca="false">IF(C2665="","", CHOOSE(MONTH(C2665),"January","February","March","April","May","June","July","August","September","October","November","December")&amp;" "&amp;DAY(C2665)&amp;MID("thstndrdth",MIN(9,2*RIGHT(DAY(C2665))*(MOD(DAY(C2665)-11,100)&gt;2)+1),2)&amp;","&amp;TEXT(C2665," yyyy"))</f>
        <v>September 1st,2025</v>
      </c>
      <c r="AB2665" s="15" t="str">
        <f aca="true">IF(S2665="","",DATEDIF(S2665,TODAY(),"Y")&amp;" Tahun, "&amp;DATEDIF(S2665,TODAY(),"YM")&amp;" Bulan, "&amp;DATEDIF(S2665,TODAY(),"MD")&amp;" Hari")</f>
        <v>27 Tahun, 4 Bulan, 13 Hari</v>
      </c>
      <c r="AC2665" s="18" t="n">
        <v>45901</v>
      </c>
      <c r="AD2665" s="18" t="n">
        <v>46022</v>
      </c>
      <c r="AE2665" s="18" t="s">
        <v>44</v>
      </c>
    </row>
    <row r="2666" customFormat="false" ht="15" hidden="false" customHeight="true" outlineLevel="0" collapsed="false">
      <c r="A2666" s="12" t="n">
        <v>20599</v>
      </c>
      <c r="B2666" s="13" t="s">
        <v>11383</v>
      </c>
      <c r="C2666" s="16" t="n">
        <v>45901</v>
      </c>
      <c r="D2666" s="13" t="s">
        <v>144</v>
      </c>
      <c r="E2666" s="15" t="s">
        <v>47</v>
      </c>
      <c r="F2666" s="15" t="str">
        <f aca="false">IFERROR(__xludf.dummyfunction("XLOOKUP(AJ2666,IMPORTRANGE(""1XaInW9DU9nz21V0tYIfzFQ0He9kVQ_JF2mCXgZ3hqFA"",""REKAP ALL 2026 - Andika!G:G""),IMPORTRANGE(""1XaInW9DU9nz21V0tYIfzFQ0He9kVQ_JF2mCXgZ3hqFA"",""REKAP ALL 2026 - Andika!F:F""),"""",0)"),"25133240199")</f>
        <v>25133240199</v>
      </c>
      <c r="G2666" s="13" t="s">
        <v>1127</v>
      </c>
      <c r="H2666" s="13" t="s">
        <v>35</v>
      </c>
      <c r="I2666" s="13" t="str">
        <f aca="false">IF(C2666=J2666,"NEW KONTRAK","RE-KONTRAK")</f>
        <v>NEW KONTRAK</v>
      </c>
      <c r="J2666" s="16" t="n">
        <f aca="false" t="array" ref="J2666:J2666">IFERROR(INDEX(AC2666:AE2666,IF(COUNTA(AC2666:AE2666)=0,"",MAX((AC2666:AE2666&lt;&gt;"")*(COLUMN(AC2666:AE2666)-(COLUMN(AC2666)))))-1),"")</f>
        <v>45901</v>
      </c>
      <c r="K2666" s="16" t="n">
        <f aca="false" t="array" ref="K2666:K2666">IFERROR(INDEX(AC2666:AE2666,IF(COUNTA(AC2666:AE2666)=0,"",MAX((AC2666:AE2666&lt;&gt;"")*(COLUMN(AC2666:AE2666)-(COLUMN(AC2666)-1))))-1),"")</f>
        <v>46022</v>
      </c>
      <c r="L2666" s="17" t="str">
        <f aca="false" t="array" ref="L2666:L2666">IFERROR(INDEX(AC2666:AE2666,IF(COUNTA(AC2666:AE2666)=0,"",MAX((AC2666:AE2666&lt;&gt;"")*(COLUMN(AC2666:AE2666)-(COLUMN(AC2666)-2))))-1),"")</f>
        <v>ARCHIVED</v>
      </c>
      <c r="M2666" s="13" t="n">
        <f aca="true">K2666-TODAY()</f>
        <v>-302</v>
      </c>
      <c r="N2666" s="18" t="s">
        <v>36</v>
      </c>
      <c r="O2666" s="13" t="s">
        <v>3599</v>
      </c>
      <c r="P2666" s="19" t="n">
        <v>5195401</v>
      </c>
      <c r="Q2666" s="47" t="s">
        <v>11384</v>
      </c>
      <c r="R2666" s="13" t="s">
        <v>39</v>
      </c>
      <c r="S2666" s="16" t="n">
        <v>36130</v>
      </c>
      <c r="T2666" s="28" t="s">
        <v>40</v>
      </c>
      <c r="U2666" s="13" t="s">
        <v>11385</v>
      </c>
      <c r="V2666" s="13" t="s">
        <v>99</v>
      </c>
      <c r="W2666" s="13" t="s">
        <v>43</v>
      </c>
      <c r="X2666" s="67" t="n">
        <v>82142604462</v>
      </c>
      <c r="Y2666" s="22" t="str">
        <f aca="false">O2666</f>
        <v>Admin Gudang</v>
      </c>
      <c r="Z2666" s="13" t="str">
        <f aca="false">IFERROR(__xludf.dummyfunction("if(BJ2666="""","""",GOOGLETRANSLATE(BJ2666,""auto"",""en""))"),"Warehouse Admin")</f>
        <v>Warehouse Admin</v>
      </c>
      <c r="AA2666" s="23" t="str">
        <f aca="false">IF(C2666="","", CHOOSE(MONTH(C2666),"January","February","March","April","May","June","July","August","September","October","November","December")&amp;" "&amp;DAY(C2666)&amp;MID("thstndrdth",MIN(9,2*RIGHT(DAY(C2666))*(MOD(DAY(C2666)-11,100)&gt;2)+1),2)&amp;","&amp;TEXT(C2666," yyyy"))</f>
        <v>September 1st,2025</v>
      </c>
      <c r="AB2666" s="15" t="str">
        <f aca="true">IF(S2666="","",DATEDIF(S2666,TODAY(),"Y")&amp;" Tahun, "&amp;DATEDIF(S2666,TODAY(),"YM")&amp;" Bulan, "&amp;DATEDIF(S2666,TODAY(),"MD")&amp;" Hari")</f>
        <v>27 Tahun, 10 Bulan, 28 Hari</v>
      </c>
      <c r="AC2666" s="18" t="n">
        <v>45901</v>
      </c>
      <c r="AD2666" s="18" t="n">
        <v>46022</v>
      </c>
      <c r="AE2666" s="18" t="s">
        <v>44</v>
      </c>
    </row>
    <row r="2667" customFormat="false" ht="15" hidden="false" customHeight="true" outlineLevel="0" collapsed="false">
      <c r="A2667" s="12" t="n">
        <v>20623</v>
      </c>
      <c r="B2667" s="13" t="s">
        <v>11386</v>
      </c>
      <c r="C2667" s="16" t="n">
        <v>45901</v>
      </c>
      <c r="D2667" s="13" t="s">
        <v>1291</v>
      </c>
      <c r="E2667" s="15" t="s">
        <v>47</v>
      </c>
      <c r="F2667" s="15" t="str">
        <f aca="false">IFERROR(__xludf.dummyfunction("XLOOKUP(AJ2667,IMPORTRANGE(""1XaInW9DU9nz21V0tYIfzFQ0He9kVQ_JF2mCXgZ3hqFA"",""REKAP ALL 2026 - Andika!G:G""),IMPORTRANGE(""1XaInW9DU9nz21V0tYIfzFQ0He9kVQ_JF2mCXgZ3hqFA"",""REKAP ALL 2026 - Andika!F:F""),"""",0)"),"25133219631")</f>
        <v>25133219631</v>
      </c>
      <c r="G2667" s="13" t="s">
        <v>1127</v>
      </c>
      <c r="H2667" s="13" t="s">
        <v>35</v>
      </c>
      <c r="I2667" s="13" t="str">
        <f aca="false">IF(C2667=J2667,"NEW KONTRAK","RE-KONTRAK")</f>
        <v>NEW KONTRAK</v>
      </c>
      <c r="J2667" s="16" t="n">
        <f aca="false" t="array" ref="J2667:J2667">IFERROR(INDEX(AC2667:AE2667,IF(COUNTA(AC2667:AE2667)=0,"",MAX((AC2667:AE2667&lt;&gt;"")*(COLUMN(AC2667:AE2667)-(COLUMN(AC2667)))))-1),"")</f>
        <v>45901</v>
      </c>
      <c r="K2667" s="16" t="n">
        <f aca="false" t="array" ref="K2667:K2667">IFERROR(INDEX(AC2667:AE2667,IF(COUNTA(AC2667:AE2667)=0,"",MAX((AC2667:AE2667&lt;&gt;"")*(COLUMN(AC2667:AE2667)-(COLUMN(AC2667)-1))))-1),"")</f>
        <v>45991</v>
      </c>
      <c r="L2667" s="17" t="str">
        <f aca="false" t="array" ref="L2667:L2667">IFERROR(INDEX(AC2667:AE2667,IF(COUNTA(AC2667:AE2667)=0,"",MAX((AC2667:AE2667&lt;&gt;"")*(COLUMN(AC2667:AE2667)-(COLUMN(AC2667)-2))))-1),"")</f>
        <v>ARCHIVED</v>
      </c>
      <c r="M2667" s="13" t="n">
        <f aca="true">K2667-TODAY()</f>
        <v>-333</v>
      </c>
      <c r="N2667" s="18" t="s">
        <v>1293</v>
      </c>
      <c r="O2667" s="13" t="s">
        <v>11387</v>
      </c>
      <c r="P2667" s="19" t="n">
        <v>2651603</v>
      </c>
      <c r="Q2667" s="47" t="s">
        <v>11388</v>
      </c>
      <c r="R2667" s="13" t="s">
        <v>1308</v>
      </c>
      <c r="S2667" s="16" t="n">
        <v>33963</v>
      </c>
      <c r="T2667" s="28" t="s">
        <v>40</v>
      </c>
      <c r="U2667" s="13" t="s">
        <v>11389</v>
      </c>
      <c r="V2667" s="13" t="s">
        <v>42</v>
      </c>
      <c r="W2667" s="13" t="s">
        <v>43</v>
      </c>
      <c r="X2667" s="21" t="n">
        <v>85876462416</v>
      </c>
      <c r="Y2667" s="22" t="str">
        <f aca="false">O2667</f>
        <v>Operator Sarana Prasarana</v>
      </c>
      <c r="Z2667" s="13" t="str">
        <f aca="false">IFERROR(__xludf.dummyfunction("if(BJ2667="""","""",GOOGLETRANSLATE(BJ2667,""auto"",""en""))"),"Infrastructure Operator")</f>
        <v>Infrastructure Operator</v>
      </c>
      <c r="AA2667" s="23" t="str">
        <f aca="false">IF(C2667="","", CHOOSE(MONTH(C2667),"January","February","March","April","May","June","July","August","September","October","November","December")&amp;" "&amp;DAY(C2667)&amp;MID("thstndrdth",MIN(9,2*RIGHT(DAY(C2667))*(MOD(DAY(C2667)-11,100)&gt;2)+1),2)&amp;","&amp;TEXT(C2667," yyyy"))</f>
        <v>September 1st,2025</v>
      </c>
      <c r="AB2667" s="15" t="str">
        <f aca="true">IF(S2667="","",DATEDIF(S2667,TODAY(),"Y")&amp;" Tahun, "&amp;DATEDIF(S2667,TODAY(),"YM")&amp;" Bulan, "&amp;DATEDIF(S2667,TODAY(),"MD")&amp;" Hari")</f>
        <v>33 Tahun, 10 Bulan, 4 Hari</v>
      </c>
      <c r="AC2667" s="18" t="n">
        <v>45901</v>
      </c>
      <c r="AD2667" s="18" t="n">
        <v>45991</v>
      </c>
      <c r="AE2667" s="18" t="s">
        <v>44</v>
      </c>
    </row>
    <row r="2668" customFormat="false" ht="15" hidden="false" customHeight="true" outlineLevel="0" collapsed="false">
      <c r="A2668" s="12" t="n">
        <v>20626</v>
      </c>
      <c r="B2668" s="13" t="s">
        <v>11390</v>
      </c>
      <c r="C2668" s="16" t="n">
        <v>45911</v>
      </c>
      <c r="D2668" s="13" t="s">
        <v>6638</v>
      </c>
      <c r="E2668" s="15" t="s">
        <v>102</v>
      </c>
      <c r="F2668" s="15" t="str">
        <f aca="false">IFERROR(__xludf.dummyfunction("XLOOKUP(AJ2668,IMPORTRANGE(""1XaInW9DU9nz21V0tYIfzFQ0He9kVQ_JF2mCXgZ3hqFA"",""REKAP ALL 2026 - Andika!G:G""),IMPORTRANGE(""1XaInW9DU9nz21V0tYIfzFQ0He9kVQ_JF2mCXgZ3hqFA"",""REKAP ALL 2026 - Andika!F:F""),"""",0)"),"25133238169")</f>
        <v>25133238169</v>
      </c>
      <c r="G2668" s="13" t="s">
        <v>1127</v>
      </c>
      <c r="H2668" s="13" t="s">
        <v>35</v>
      </c>
      <c r="I2668" s="13" t="str">
        <f aca="false">IF(C2668=J2668,"NEW KONTRAK","RE-KONTRAK")</f>
        <v>NEW KONTRAK</v>
      </c>
      <c r="J2668" s="16" t="n">
        <f aca="false" t="array" ref="J2668:J2668">IFERROR(INDEX(AC2668:AE2668,IF(COUNTA(AC2668:AE2668)=0,"",MAX((AC2668:AE2668&lt;&gt;"")*(COLUMN(AC2668:AE2668)-(COLUMN(AC2668)))))-1),"")</f>
        <v>45911</v>
      </c>
      <c r="K2668" s="16" t="n">
        <f aca="false" t="array" ref="K2668:K2668">IFERROR(INDEX(AC2668:AE2668,IF(COUNTA(AC2668:AE2668)=0,"",MAX((AC2668:AE2668&lt;&gt;"")*(COLUMN(AC2668:AE2668)-(COLUMN(AC2668)-1))))-1),"")</f>
        <v>46001</v>
      </c>
      <c r="L2668" s="17" t="str">
        <f aca="false" t="array" ref="L2668:L2668">IFERROR(INDEX(AC2668:AE2668,IF(COUNTA(AC2668:AE2668)=0,"",MAX((AC2668:AE2668&lt;&gt;"")*(COLUMN(AC2668:AE2668)-(COLUMN(AC2668)-2))))-1),"")</f>
        <v>ARCHIVED</v>
      </c>
      <c r="M2668" s="13" t="n">
        <f aca="true">K2668-TODAY()</f>
        <v>-323</v>
      </c>
      <c r="N2668" s="18" t="s">
        <v>4735</v>
      </c>
      <c r="O2668" s="13" t="s">
        <v>11391</v>
      </c>
      <c r="P2668" s="19" t="n">
        <v>3113530</v>
      </c>
      <c r="Q2668" s="47" t="s">
        <v>11392</v>
      </c>
      <c r="R2668" s="13" t="s">
        <v>168</v>
      </c>
      <c r="S2668" s="16" t="n">
        <v>37222</v>
      </c>
      <c r="T2668" s="13" t="s">
        <v>108</v>
      </c>
      <c r="U2668" s="13" t="s">
        <v>11393</v>
      </c>
      <c r="V2668" s="13" t="s">
        <v>42</v>
      </c>
      <c r="W2668" s="13" t="s">
        <v>43</v>
      </c>
      <c r="X2668" s="21" t="n">
        <v>85784750747</v>
      </c>
      <c r="Y2668" s="22" t="str">
        <f aca="false">O2668</f>
        <v>Product Quality Analyst</v>
      </c>
      <c r="Z2668" s="13" t="str">
        <f aca="false">IFERROR(__xludf.dummyfunction("if(BJ2668="""","""",GOOGLETRANSLATE(BJ2668,""auto"",""en""))"),"Product Quality Analyst")</f>
        <v>Product Quality Analyst</v>
      </c>
      <c r="AA2668" s="23" t="str">
        <f aca="false">IF(C2668="","", CHOOSE(MONTH(C2668),"January","February","March","April","May","June","July","August","September","October","November","December")&amp;" "&amp;DAY(C2668)&amp;MID("thstndrdth",MIN(9,2*RIGHT(DAY(C2668))*(MOD(DAY(C2668)-11,100)&gt;2)+1),2)&amp;","&amp;TEXT(C2668," yyyy"))</f>
        <v>September 11th,2025</v>
      </c>
      <c r="AB2668" s="15" t="str">
        <f aca="true">IF(S2668="","",DATEDIF(S2668,TODAY(),"Y")&amp;" Tahun, "&amp;DATEDIF(S2668,TODAY(),"YM")&amp;" Bulan, "&amp;DATEDIF(S2668,TODAY(),"MD")&amp;" Hari")</f>
        <v>24 Tahun, 11 Bulan, 2 Hari</v>
      </c>
      <c r="AC2668" s="18" t="n">
        <v>45911</v>
      </c>
      <c r="AD2668" s="18" t="n">
        <v>46001</v>
      </c>
      <c r="AE2668" s="18" t="s">
        <v>44</v>
      </c>
    </row>
    <row r="2669" customFormat="false" ht="15" hidden="false" customHeight="true" outlineLevel="0" collapsed="false">
      <c r="A2669" s="12" t="n">
        <v>20627</v>
      </c>
      <c r="B2669" s="13" t="s">
        <v>11394</v>
      </c>
      <c r="C2669" s="16" t="n">
        <v>45911</v>
      </c>
      <c r="D2669" s="13" t="s">
        <v>6638</v>
      </c>
      <c r="E2669" s="15" t="s">
        <v>102</v>
      </c>
      <c r="F2669" s="15" t="str">
        <f aca="false">IFERROR(__xludf.dummyfunction("XLOOKUP(AJ2669,IMPORTRANGE(""1XaInW9DU9nz21V0tYIfzFQ0He9kVQ_JF2mCXgZ3hqFA"",""REKAP ALL 2026 - Andika!G:G""),IMPORTRANGE(""1XaInW9DU9nz21V0tYIfzFQ0He9kVQ_JF2mCXgZ3hqFA"",""REKAP ALL 2026 - Andika!F:F""),"""",0)"),"25133238185")</f>
        <v>25133238185</v>
      </c>
      <c r="G2669" s="13" t="s">
        <v>1127</v>
      </c>
      <c r="H2669" s="13" t="s">
        <v>35</v>
      </c>
      <c r="I2669" s="13" t="str">
        <f aca="false">IF(C2669=J2669,"NEW KONTRAK","RE-KONTRAK")</f>
        <v>NEW KONTRAK</v>
      </c>
      <c r="J2669" s="16" t="n">
        <f aca="false" t="array" ref="J2669:J2669">IFERROR(INDEX(AC2669:AE2669,IF(COUNTA(AC2669:AE2669)=0,"",MAX((AC2669:AE2669&lt;&gt;"")*(COLUMN(AC2669:AE2669)-(COLUMN(AC2669)))))-1),"")</f>
        <v>45911</v>
      </c>
      <c r="K2669" s="16" t="n">
        <f aca="false" t="array" ref="K2669:K2669">IFERROR(INDEX(AC2669:AE2669,IF(COUNTA(AC2669:AE2669)=0,"",MAX((AC2669:AE2669&lt;&gt;"")*(COLUMN(AC2669:AE2669)-(COLUMN(AC2669)-1))))-1),"")</f>
        <v>46001</v>
      </c>
      <c r="L2669" s="17" t="str">
        <f aca="false" t="array" ref="L2669:L2669">IFERROR(INDEX(AC2669:AE2669,IF(COUNTA(AC2669:AE2669)=0,"",MAX((AC2669:AE2669&lt;&gt;"")*(COLUMN(AC2669:AE2669)-(COLUMN(AC2669)-2))))-1),"")</f>
        <v>ARCHIVED</v>
      </c>
      <c r="M2669" s="13" t="n">
        <f aca="true">K2669-TODAY()</f>
        <v>-323</v>
      </c>
      <c r="N2669" s="18" t="s">
        <v>4735</v>
      </c>
      <c r="O2669" s="13" t="s">
        <v>11391</v>
      </c>
      <c r="P2669" s="19" t="n">
        <v>3113530</v>
      </c>
      <c r="Q2669" s="47" t="s">
        <v>11395</v>
      </c>
      <c r="R2669" s="13" t="s">
        <v>83</v>
      </c>
      <c r="S2669" s="16" t="n">
        <v>37254</v>
      </c>
      <c r="T2669" s="13" t="s">
        <v>108</v>
      </c>
      <c r="U2669" s="13" t="s">
        <v>11396</v>
      </c>
      <c r="V2669" s="13" t="s">
        <v>42</v>
      </c>
      <c r="W2669" s="13" t="s">
        <v>43</v>
      </c>
      <c r="X2669" s="21" t="n">
        <v>89617352022</v>
      </c>
      <c r="Y2669" s="22" t="str">
        <f aca="false">O2669</f>
        <v>Product Quality Analyst</v>
      </c>
      <c r="Z2669" s="13" t="str">
        <f aca="false">IFERROR(__xludf.dummyfunction("if(BJ2669="""","""",GOOGLETRANSLATE(BJ2669,""auto"",""en""))"),"Product Quality Analyst")</f>
        <v>Product Quality Analyst</v>
      </c>
      <c r="AA2669" s="23" t="str">
        <f aca="false">IF(C2669="","", CHOOSE(MONTH(C2669),"January","February","March","April","May","June","July","August","September","October","November","December")&amp;" "&amp;DAY(C2669)&amp;MID("thstndrdth",MIN(9,2*RIGHT(DAY(C2669))*(MOD(DAY(C2669)-11,100)&gt;2)+1),2)&amp;","&amp;TEXT(C2669," yyyy"))</f>
        <v>September 11th,2025</v>
      </c>
      <c r="AB2669" s="15" t="str">
        <f aca="true">IF(S2669="","",DATEDIF(S2669,TODAY(),"Y")&amp;" Tahun, "&amp;DATEDIF(S2669,TODAY(),"YM")&amp;" Bulan, "&amp;DATEDIF(S2669,TODAY(),"MD")&amp;" Hari")</f>
        <v>24 Tahun, 10 Bulan, 0 Hari</v>
      </c>
      <c r="AC2669" s="18" t="n">
        <v>45911</v>
      </c>
      <c r="AD2669" s="18" t="n">
        <v>46001</v>
      </c>
      <c r="AE2669" s="18" t="s">
        <v>44</v>
      </c>
    </row>
    <row r="2670" customFormat="false" ht="15" hidden="false" customHeight="true" outlineLevel="0" collapsed="false">
      <c r="A2670" s="12" t="n">
        <v>20629</v>
      </c>
      <c r="B2670" s="13" t="s">
        <v>11397</v>
      </c>
      <c r="C2670" s="16" t="n">
        <v>45912</v>
      </c>
      <c r="D2670" s="13" t="s">
        <v>10155</v>
      </c>
      <c r="E2670" s="15" t="s">
        <v>47</v>
      </c>
      <c r="F2670" s="15" t="str">
        <f aca="false">IFERROR(__xludf.dummyfunction("XLOOKUP(AJ2670,IMPORTRANGE(""1XaInW9DU9nz21V0tYIfzFQ0He9kVQ_JF2mCXgZ3hqFA"",""REKAP ALL 2026 - Andika!G:G""),IMPORTRANGE(""1XaInW9DU9nz21V0tYIfzFQ0He9kVQ_JF2mCXgZ3hqFA"",""REKAP ALL 2026 - Andika!F:F""),"""",0)"),"25133235355")</f>
        <v>25133235355</v>
      </c>
      <c r="G2670" s="13" t="s">
        <v>1127</v>
      </c>
      <c r="H2670" s="13" t="s">
        <v>35</v>
      </c>
      <c r="I2670" s="13" t="str">
        <f aca="false">IF(C2670=J2670,"NEW KONTRAK","RE-KONTRAK")</f>
        <v>NEW KONTRAK</v>
      </c>
      <c r="J2670" s="16" t="n">
        <f aca="false" t="array" ref="J2670:J2670">IFERROR(INDEX(AC2670:AE2670,IF(COUNTA(AC2670:AE2670)=0,"",MAX((AC2670:AE2670&lt;&gt;"")*(COLUMN(AC2670:AE2670)-(COLUMN(AC2670)))))-1),"")</f>
        <v>45912</v>
      </c>
      <c r="K2670" s="16" t="n">
        <f aca="false" t="array" ref="K2670:K2670">IFERROR(INDEX(AC2670:AE2670,IF(COUNTA(AC2670:AE2670)=0,"",MAX((AC2670:AE2670&lt;&gt;"")*(COLUMN(AC2670:AE2670)-(COLUMN(AC2670)-1))))-1),"")</f>
        <v>46002</v>
      </c>
      <c r="L2670" s="17" t="str">
        <f aca="false" t="array" ref="L2670:L2670">IFERROR(INDEX(AC2670:AE2670,IF(COUNTA(AC2670:AE2670)=0,"",MAX((AC2670:AE2670&lt;&gt;"")*(COLUMN(AC2670:AE2670)-(COLUMN(AC2670)-2))))-1),"")</f>
        <v>ARCHIVED</v>
      </c>
      <c r="M2670" s="13" t="n">
        <f aca="true">K2670-TODAY()</f>
        <v>-322</v>
      </c>
      <c r="N2670" s="18" t="s">
        <v>36</v>
      </c>
      <c r="O2670" s="13" t="s">
        <v>10241</v>
      </c>
      <c r="P2670" s="27" t="n">
        <v>5195401</v>
      </c>
      <c r="Q2670" s="47" t="s">
        <v>11398</v>
      </c>
      <c r="R2670" s="13" t="s">
        <v>65</v>
      </c>
      <c r="S2670" s="16" t="n">
        <v>38777</v>
      </c>
      <c r="T2670" s="28" t="s">
        <v>40</v>
      </c>
      <c r="U2670" s="13" t="s">
        <v>11399</v>
      </c>
      <c r="V2670" s="13" t="s">
        <v>99</v>
      </c>
      <c r="W2670" s="13" t="s">
        <v>43</v>
      </c>
      <c r="X2670" s="21" t="n">
        <v>81357229528</v>
      </c>
      <c r="Y2670" s="22" t="str">
        <f aca="false">O2670</f>
        <v>Hot CS &amp; SB P3 Production</v>
      </c>
      <c r="Z2670" s="13" t="str">
        <f aca="false">IFERROR(__xludf.dummyfunction("if(BJ2670="""","""",GOOGLETRANSLATE(BJ2670,""auto"",""en""))"),"Hot CS &amp; SB P3 Production")</f>
        <v>Hot CS &amp; SB P3 Production</v>
      </c>
      <c r="AA2670" s="23" t="str">
        <f aca="false">IF(C2670="","", CHOOSE(MONTH(C2670),"January","February","March","April","May","June","July","August","September","October","November","December")&amp;" "&amp;DAY(C2670)&amp;MID("thstndrdth",MIN(9,2*RIGHT(DAY(C2670))*(MOD(DAY(C2670)-11,100)&gt;2)+1),2)&amp;","&amp;TEXT(C2670," yyyy"))</f>
        <v>September 12th,2025</v>
      </c>
      <c r="AB2670" s="15" t="str">
        <f aca="true">IF(S2670="","",DATEDIF(S2670,TODAY(),"Y")&amp;" Tahun, "&amp;DATEDIF(S2670,TODAY(),"YM")&amp;" Bulan, "&amp;DATEDIF(S2670,TODAY(),"MD")&amp;" Hari")</f>
        <v>20 Tahun, 7 Bulan, 28 Hari</v>
      </c>
      <c r="AC2670" s="18" t="n">
        <v>45912</v>
      </c>
      <c r="AD2670" s="18" t="n">
        <f aca="false">EDATE(AC2670,3)-1</f>
        <v>46002</v>
      </c>
      <c r="AE2670" s="13" t="s">
        <v>44</v>
      </c>
    </row>
    <row r="2671" customFormat="false" ht="15" hidden="false" customHeight="true" outlineLevel="0" collapsed="false">
      <c r="A2671" s="12" t="n">
        <v>20630</v>
      </c>
      <c r="B2671" s="13" t="s">
        <v>11400</v>
      </c>
      <c r="C2671" s="16" t="n">
        <v>45912</v>
      </c>
      <c r="D2671" s="13" t="s">
        <v>10155</v>
      </c>
      <c r="E2671" s="15" t="s">
        <v>102</v>
      </c>
      <c r="F2671" s="15" t="str">
        <f aca="false">IFERROR(__xludf.dummyfunction("XLOOKUP(AJ2671,IMPORTRANGE(""1XaInW9DU9nz21V0tYIfzFQ0He9kVQ_JF2mCXgZ3hqFA"",""REKAP ALL 2026 - Andika!G:G""),IMPORTRANGE(""1XaInW9DU9nz21V0tYIfzFQ0He9kVQ_JF2mCXgZ3hqFA"",""REKAP ALL 2026 - Andika!F:F""),"""",0)"),"25133235363")</f>
        <v>25133235363</v>
      </c>
      <c r="G2671" s="13" t="s">
        <v>1127</v>
      </c>
      <c r="H2671" s="13" t="s">
        <v>35</v>
      </c>
      <c r="I2671" s="13" t="str">
        <f aca="false">IF(C2671=J2671,"NEW KONTRAK","RE-KONTRAK")</f>
        <v>NEW KONTRAK</v>
      </c>
      <c r="J2671" s="16" t="n">
        <f aca="false" t="array" ref="J2671:J2671">IFERROR(INDEX(AC2671:AE2671,IF(COUNTA(AC2671:AE2671)=0,"",MAX((AC2671:AE2671&lt;&gt;"")*(COLUMN(AC2671:AE2671)-(COLUMN(AC2671)))))-1),"")</f>
        <v>45912</v>
      </c>
      <c r="K2671" s="16" t="n">
        <f aca="false" t="array" ref="K2671:K2671">IFERROR(INDEX(AC2671:AE2671,IF(COUNTA(AC2671:AE2671)=0,"",MAX((AC2671:AE2671&lt;&gt;"")*(COLUMN(AC2671:AE2671)-(COLUMN(AC2671)-1))))-1),"")</f>
        <v>46002</v>
      </c>
      <c r="L2671" s="17" t="str">
        <f aca="false" t="array" ref="L2671:L2671">IFERROR(INDEX(AC2671:AE2671,IF(COUNTA(AC2671:AE2671)=0,"",MAX((AC2671:AE2671&lt;&gt;"")*(COLUMN(AC2671:AE2671)-(COLUMN(AC2671)-2))))-1),"")</f>
        <v>ARCHIVED</v>
      </c>
      <c r="M2671" s="13" t="n">
        <f aca="true">K2671-TODAY()</f>
        <v>-322</v>
      </c>
      <c r="N2671" s="18" t="s">
        <v>36</v>
      </c>
      <c r="O2671" s="13" t="s">
        <v>10191</v>
      </c>
      <c r="P2671" s="27" t="n">
        <v>5195401</v>
      </c>
      <c r="Q2671" s="47" t="s">
        <v>11401</v>
      </c>
      <c r="R2671" s="13" t="s">
        <v>826</v>
      </c>
      <c r="S2671" s="16" t="n">
        <v>38357</v>
      </c>
      <c r="T2671" s="28" t="s">
        <v>40</v>
      </c>
      <c r="U2671" s="13" t="s">
        <v>11402</v>
      </c>
      <c r="V2671" s="13" t="s">
        <v>42</v>
      </c>
      <c r="W2671" s="13" t="s">
        <v>43</v>
      </c>
      <c r="X2671" s="21" t="n">
        <v>85796987315</v>
      </c>
      <c r="Y2671" s="22" t="str">
        <f aca="false">O2671</f>
        <v>LS P1 - QC &amp; Incoming</v>
      </c>
      <c r="Z2671" s="13" t="str">
        <f aca="false">IFERROR(__xludf.dummyfunction("if(BJ2671="""","""",GOOGLETRANSLATE(BJ2671,""auto"",""en""))"),"LS P1 - QC &amp; Incoming")</f>
        <v>LS P1 - QC &amp; Incoming</v>
      </c>
      <c r="AA2671" s="23" t="str">
        <f aca="false">IF(C2671="","", CHOOSE(MONTH(C2671),"January","February","March","April","May","June","July","August","September","October","November","December")&amp;" "&amp;DAY(C2671)&amp;MID("thstndrdth",MIN(9,2*RIGHT(DAY(C2671))*(MOD(DAY(C2671)-11,100)&gt;2)+1),2)&amp;","&amp;TEXT(C2671," yyyy"))</f>
        <v>September 12th,2025</v>
      </c>
      <c r="AB2671" s="15" t="str">
        <f aca="true">IF(S2671="","",DATEDIF(S2671,TODAY(),"Y")&amp;" Tahun, "&amp;DATEDIF(S2671,TODAY(),"YM")&amp;" Bulan, "&amp;DATEDIF(S2671,TODAY(),"MD")&amp;" Hari")</f>
        <v>21 Tahun, 9 Bulan, 24 Hari</v>
      </c>
      <c r="AC2671" s="18" t="n">
        <v>45912</v>
      </c>
      <c r="AD2671" s="18" t="n">
        <f aca="false">EDATE(AC2671,3)-1</f>
        <v>46002</v>
      </c>
      <c r="AE2671" s="13" t="s">
        <v>44</v>
      </c>
    </row>
    <row r="2672" customFormat="false" ht="15" hidden="false" customHeight="true" outlineLevel="0" collapsed="false">
      <c r="A2672" s="12" t="n">
        <v>20631</v>
      </c>
      <c r="B2672" s="13" t="s">
        <v>11403</v>
      </c>
      <c r="C2672" s="16" t="n">
        <v>45915</v>
      </c>
      <c r="D2672" s="13" t="s">
        <v>10735</v>
      </c>
      <c r="E2672" s="15" t="s">
        <v>11210</v>
      </c>
      <c r="F2672" s="24" t="s">
        <v>11404</v>
      </c>
      <c r="G2672" s="13" t="s">
        <v>1127</v>
      </c>
      <c r="H2672" s="13" t="s">
        <v>35</v>
      </c>
      <c r="I2672" s="13" t="str">
        <f aca="false">IF(C2672=J2672,"NEW KONTRAK","RE-KONTRAK")</f>
        <v>NEW KONTRAK</v>
      </c>
      <c r="J2672" s="16" t="n">
        <f aca="false" t="array" ref="J2672:J2672">IFERROR(INDEX(AC2672:AE2672,IF(COUNTA(AC2672:AE2672)=0,"",MAX((AC2672:AE2672&lt;&gt;"")*(COLUMN(AC2672:AE2672)-(COLUMN(AC2672)))))-1),"")</f>
        <v>45915</v>
      </c>
      <c r="K2672" s="16" t="n">
        <f aca="false" t="array" ref="K2672:K2672">IFERROR(INDEX(AC2672:AE2672,IF(COUNTA(AC2672:AE2672)=0,"",MAX((AC2672:AE2672&lt;&gt;"")*(COLUMN(AC2672:AE2672)-(COLUMN(AC2672)-1))))-1),"")</f>
        <v>46005</v>
      </c>
      <c r="L2672" s="17" t="str">
        <f aca="false" t="array" ref="L2672:L2672">IFERROR(INDEX(AC2672:AE2672,IF(COUNTA(AC2672:AE2672)=0,"",MAX((AC2672:AE2672&lt;&gt;"")*(COLUMN(AC2672:AE2672)-(COLUMN(AC2672)-2))))-1),"")</f>
        <v>ARCHIVED</v>
      </c>
      <c r="M2672" s="13" t="n">
        <f aca="true">K2672-TODAY()</f>
        <v>-319</v>
      </c>
      <c r="N2672" s="50" t="s">
        <v>728</v>
      </c>
      <c r="O2672" s="13" t="s">
        <v>10737</v>
      </c>
      <c r="P2672" s="19" t="n">
        <v>3961753</v>
      </c>
      <c r="Q2672" s="47" t="s">
        <v>11405</v>
      </c>
      <c r="R2672" s="13" t="s">
        <v>52</v>
      </c>
      <c r="S2672" s="16" t="n">
        <v>32824</v>
      </c>
      <c r="T2672" s="28" t="s">
        <v>40</v>
      </c>
      <c r="U2672" s="13" t="s">
        <v>11406</v>
      </c>
      <c r="V2672" s="13" t="s">
        <v>42</v>
      </c>
      <c r="W2672" s="13" t="s">
        <v>54</v>
      </c>
      <c r="X2672" s="21" t="s">
        <v>11407</v>
      </c>
      <c r="Y2672" s="22" t="str">
        <f aca="false">O2672</f>
        <v>Sales Taking Order</v>
      </c>
      <c r="Z2672" s="13" t="str">
        <f aca="false">IFERROR(__xludf.dummyfunction("if(BJ2672="""","""",GOOGLETRANSLATE(BJ2672,""auto"",""en""))"),"Sales Taking Order")</f>
        <v>Sales Taking Order</v>
      </c>
      <c r="AA2672" s="23" t="str">
        <f aca="false">IF(C2672="","", CHOOSE(MONTH(C2672),"January","February","March","April","May","June","July","August","September","October","November","December")&amp;" "&amp;DAY(C2672)&amp;MID("thstndrdth",MIN(9,2*RIGHT(DAY(C2672))*(MOD(DAY(C2672)-11,100)&gt;2)+1),2)&amp;","&amp;TEXT(C2672," yyyy"))</f>
        <v>September 15th,2025</v>
      </c>
      <c r="AB2672" s="15" t="str">
        <f aca="true">IF(S2672="","",DATEDIF(S2672,TODAY(),"Y")&amp;" Tahun, "&amp;DATEDIF(S2672,TODAY(),"YM")&amp;" Bulan, "&amp;DATEDIF(S2672,TODAY(),"MD")&amp;" Hari")</f>
        <v>36 Tahun, 11 Bulan, 17 Hari</v>
      </c>
      <c r="AC2672" s="18" t="n">
        <v>45915</v>
      </c>
      <c r="AD2672" s="18" t="n">
        <f aca="false">(EDATE(AC2672,3)-1)</f>
        <v>46005</v>
      </c>
      <c r="AE2672" s="13" t="s">
        <v>44</v>
      </c>
    </row>
    <row r="2673" customFormat="false" ht="15" hidden="false" customHeight="true" outlineLevel="0" collapsed="false">
      <c r="A2673" s="12" t="n">
        <v>20633</v>
      </c>
      <c r="B2673" s="13" t="s">
        <v>11408</v>
      </c>
      <c r="C2673" s="16" t="n">
        <v>45911</v>
      </c>
      <c r="D2673" s="13" t="s">
        <v>1338</v>
      </c>
      <c r="E2673" s="15" t="s">
        <v>102</v>
      </c>
      <c r="F2673" s="24" t="s">
        <v>11409</v>
      </c>
      <c r="G2673" s="13" t="s">
        <v>57</v>
      </c>
      <c r="H2673" s="13" t="s">
        <v>3024</v>
      </c>
      <c r="I2673" s="13" t="str">
        <f aca="false">IF(C2673=J2673,"NEW KONTRAK","RE-KONTRAK")</f>
        <v>NEW KONTRAK</v>
      </c>
      <c r="J2673" s="16" t="n">
        <f aca="false" t="array" ref="J2673:J2673">IFERROR(INDEX(AC2673:AE2673,IF(COUNTA(AC2673:AE2673)=0,"",MAX((AC2673:AE2673&lt;&gt;"")*(COLUMN(AC2673:AE2673)-(COLUMN(AC2673)))))-1),"")</f>
        <v>45911</v>
      </c>
      <c r="K2673" s="16" t="n">
        <f aca="false" t="array" ref="K2673:K2673">IFERROR(INDEX(AC2673:AE2673,IF(COUNTA(AC2673:AE2673)=0,"",MAX((AC2673:AE2673&lt;&gt;"")*(COLUMN(AC2673:AE2673)-(COLUMN(AC2673)-1))))-1),"")</f>
        <v>46001</v>
      </c>
      <c r="L2673" s="17" t="str">
        <f aca="false" t="array" ref="L2673:L2673">IFERROR(INDEX(AC2673:AE2673,IF(COUNTA(AC2673:AE2673)=0,"",MAX((AC2673:AE2673&lt;&gt;"")*(COLUMN(AC2673:AE2673)-(COLUMN(AC2673)-2))))-1),"")</f>
        <v>ARCHIVED</v>
      </c>
      <c r="M2673" s="13" t="n">
        <f aca="true">K2673-TODAY()</f>
        <v>-323</v>
      </c>
      <c r="N2673" s="18" t="s">
        <v>615</v>
      </c>
      <c r="O2673" s="13" t="s">
        <v>2297</v>
      </c>
      <c r="P2673" s="19" t="n">
        <v>165635</v>
      </c>
      <c r="Q2673" s="47" t="s">
        <v>11410</v>
      </c>
      <c r="R2673" s="13" t="s">
        <v>232</v>
      </c>
      <c r="S2673" s="16" t="n">
        <v>32247</v>
      </c>
      <c r="T2673" s="28" t="s">
        <v>40</v>
      </c>
      <c r="U2673" s="13" t="s">
        <v>11411</v>
      </c>
      <c r="V2673" s="13" t="s">
        <v>42</v>
      </c>
      <c r="W2673" s="13" t="s">
        <v>43</v>
      </c>
      <c r="X2673" s="30" t="n">
        <v>85374517123</v>
      </c>
      <c r="Y2673" s="22" t="str">
        <f aca="false">O2673</f>
        <v>Borongan muat</v>
      </c>
      <c r="Z2673" s="13" t="str">
        <f aca="false">IFERROR(__xludf.dummyfunction("if(BJ2673="""","""",GOOGLETRANSLATE(BJ2673,""auto"",""en""))"),"Bulk loading")</f>
        <v>Bulk loading</v>
      </c>
      <c r="AA2673" s="23" t="str">
        <f aca="false">IF(C2673="","", CHOOSE(MONTH(C2673),"January","February","March","April","May","June","July","August","September","October","November","December")&amp;" "&amp;DAY(C2673)&amp;MID("thstndrdth",MIN(9,2*RIGHT(DAY(C2673))*(MOD(DAY(C2673)-11,100)&gt;2)+1),2)&amp;","&amp;TEXT(C2673," yyyy"))</f>
        <v>September 11th,2025</v>
      </c>
      <c r="AB2673" s="15" t="str">
        <f aca="true">IF(S2673="","",DATEDIF(S2673,TODAY(),"Y")&amp;" Tahun, "&amp;DATEDIF(S2673,TODAY(),"YM")&amp;" Bulan, "&amp;DATEDIF(S2673,TODAY(),"MD")&amp;" Hari")</f>
        <v>38 Tahun, 6 Bulan, 15 Hari</v>
      </c>
      <c r="AC2673" s="18" t="n">
        <v>45911</v>
      </c>
      <c r="AD2673" s="18" t="n">
        <v>46001</v>
      </c>
      <c r="AE2673" s="18" t="s">
        <v>44</v>
      </c>
    </row>
    <row r="2674" customFormat="false" ht="15" hidden="false" customHeight="true" outlineLevel="0" collapsed="false">
      <c r="A2674" s="12" t="n">
        <v>20634</v>
      </c>
      <c r="B2674" s="13" t="s">
        <v>11412</v>
      </c>
      <c r="C2674" s="16" t="n">
        <v>45915</v>
      </c>
      <c r="D2674" s="13" t="s">
        <v>10735</v>
      </c>
      <c r="E2674" s="15" t="s">
        <v>33</v>
      </c>
      <c r="F2674" s="24" t="s">
        <v>11413</v>
      </c>
      <c r="G2674" s="13" t="s">
        <v>1127</v>
      </c>
      <c r="H2674" s="13" t="s">
        <v>35</v>
      </c>
      <c r="I2674" s="13" t="str">
        <f aca="false">IF(C2674=J2674,"NEW KONTRAK","RE-KONTRAK")</f>
        <v>NEW KONTRAK</v>
      </c>
      <c r="J2674" s="16" t="n">
        <f aca="false" t="array" ref="J2674:J2674">IFERROR(INDEX(AC2674:AE2674,IF(COUNTA(AC2674:AE2674)=0,"",MAX((AC2674:AE2674&lt;&gt;"")*(COLUMN(AC2674:AE2674)-(COLUMN(AC2674)))))-1),"")</f>
        <v>45915</v>
      </c>
      <c r="K2674" s="16" t="n">
        <f aca="false" t="array" ref="K2674:K2674">IFERROR(INDEX(AC2674:AE2674,IF(COUNTA(AC2674:AE2674)=0,"",MAX((AC2674:AE2674&lt;&gt;"")*(COLUMN(AC2674:AE2674)-(COLUMN(AC2674)-1))))-1),"")</f>
        <v>46005</v>
      </c>
      <c r="L2674" s="17" t="str">
        <f aca="false" t="array" ref="L2674:L2674">IFERROR(INDEX(AC2674:AE2674,IF(COUNTA(AC2674:AE2674)=0,"",MAX((AC2674:AE2674&lt;&gt;"")*(COLUMN(AC2674:AE2674)-(COLUMN(AC2674)-2))))-1),"")</f>
        <v>ARCHIVED</v>
      </c>
      <c r="M2674" s="13" t="n">
        <f aca="true">K2674-TODAY()</f>
        <v>-319</v>
      </c>
      <c r="N2674" s="50" t="s">
        <v>728</v>
      </c>
      <c r="O2674" s="13" t="s">
        <v>10737</v>
      </c>
      <c r="P2674" s="19" t="n">
        <v>2553530</v>
      </c>
      <c r="Q2674" s="47" t="s">
        <v>11414</v>
      </c>
      <c r="R2674" s="13" t="s">
        <v>2434</v>
      </c>
      <c r="S2674" s="16" t="n">
        <v>31563</v>
      </c>
      <c r="T2674" s="28" t="s">
        <v>40</v>
      </c>
      <c r="U2674" s="13" t="s">
        <v>11415</v>
      </c>
      <c r="V2674" s="13" t="s">
        <v>42</v>
      </c>
      <c r="W2674" s="13" t="s">
        <v>54</v>
      </c>
      <c r="X2674" s="21" t="s">
        <v>11416</v>
      </c>
      <c r="Y2674" s="22" t="str">
        <f aca="false">O2674</f>
        <v>Sales Taking Order</v>
      </c>
      <c r="Z2674" s="13" t="str">
        <f aca="false">IFERROR(__xludf.dummyfunction("if(BJ2674="""","""",GOOGLETRANSLATE(BJ2674,""auto"",""en""))"),"Sales Taking Order")</f>
        <v>Sales Taking Order</v>
      </c>
      <c r="AA2674" s="23" t="str">
        <f aca="false">IF(C2674="","", CHOOSE(MONTH(C2674),"January","February","March","April","May","June","July","August","September","October","November","December")&amp;" "&amp;DAY(C2674)&amp;MID("thstndrdth",MIN(9,2*RIGHT(DAY(C2674))*(MOD(DAY(C2674)-11,100)&gt;2)+1),2)&amp;","&amp;TEXT(C2674," yyyy"))</f>
        <v>September 15th,2025</v>
      </c>
      <c r="AB2674" s="15" t="str">
        <f aca="true">IF(S2674="","",DATEDIF(S2674,TODAY(),"Y")&amp;" Tahun, "&amp;DATEDIF(S2674,TODAY(),"YM")&amp;" Bulan, "&amp;DATEDIF(S2674,TODAY(),"MD")&amp;" Hari")</f>
        <v>40 Tahun, 4 Bulan, 28 Hari</v>
      </c>
      <c r="AC2674" s="18" t="n">
        <v>45915</v>
      </c>
      <c r="AD2674" s="18" t="n">
        <f aca="false">(EDATE(AC2674,3)-1)</f>
        <v>46005</v>
      </c>
      <c r="AE2674" s="13" t="s">
        <v>44</v>
      </c>
    </row>
    <row r="2675" customFormat="false" ht="15" hidden="false" customHeight="true" outlineLevel="0" collapsed="false">
      <c r="A2675" s="12" t="n">
        <v>20638</v>
      </c>
      <c r="B2675" s="13" t="s">
        <v>11417</v>
      </c>
      <c r="C2675" s="16" t="n">
        <v>45910</v>
      </c>
      <c r="D2675" s="13" t="s">
        <v>144</v>
      </c>
      <c r="E2675" s="15" t="s">
        <v>47</v>
      </c>
      <c r="F2675" s="15" t="str">
        <f aca="false">IFERROR(__xludf.dummyfunction("XLOOKUP(AJ2675,IMPORTRANGE(""1XaInW9DU9nz21V0tYIfzFQ0He9kVQ_JF2mCXgZ3hqFA"",""REKAP ALL 2026 - Andika!G:G""),IMPORTRANGE(""1XaInW9DU9nz21V0tYIfzFQ0He9kVQ_JF2mCXgZ3hqFA"",""REKAP ALL 2026 - Andika!F:F""),"""",0)"),"25133240272")</f>
        <v>25133240272</v>
      </c>
      <c r="G2675" s="13" t="s">
        <v>1127</v>
      </c>
      <c r="H2675" s="13" t="s">
        <v>35</v>
      </c>
      <c r="I2675" s="13" t="str">
        <f aca="false">IF(C2675=J2675,"NEW KONTRAK","RE-KONTRAK")</f>
        <v>NEW KONTRAK</v>
      </c>
      <c r="J2675" s="16" t="n">
        <f aca="false" t="array" ref="J2675:J2675">IFERROR(INDEX(AC2675:AE2675,IF(COUNTA(AC2675:AE2675)=0,"",MAX((AC2675:AE2675&lt;&gt;"")*(COLUMN(AC2675:AE2675)-(COLUMN(AC2675)))))-1),"")</f>
        <v>45910</v>
      </c>
      <c r="K2675" s="16" t="n">
        <f aca="false" t="array" ref="K2675:K2675">IFERROR(INDEX(AC2675:AE2675,IF(COUNTA(AC2675:AE2675)=0,"",MAX((AC2675:AE2675&lt;&gt;"")*(COLUMN(AC2675:AE2675)-(COLUMN(AC2675)-1))))-1),"")</f>
        <v>46022</v>
      </c>
      <c r="L2675" s="17" t="str">
        <f aca="false" t="array" ref="L2675:L2675">IFERROR(INDEX(AC2675:AE2675,IF(COUNTA(AC2675:AE2675)=0,"",MAX((AC2675:AE2675&lt;&gt;"")*(COLUMN(AC2675:AE2675)-(COLUMN(AC2675)-2))))-1),"")</f>
        <v>ARCHIVED</v>
      </c>
      <c r="M2675" s="13" t="n">
        <f aca="true">K2675-TODAY()</f>
        <v>-302</v>
      </c>
      <c r="N2675" s="18" t="s">
        <v>36</v>
      </c>
      <c r="O2675" s="13" t="s">
        <v>146</v>
      </c>
      <c r="P2675" s="19" t="n">
        <v>5195401</v>
      </c>
      <c r="Q2675" s="47" t="s">
        <v>11418</v>
      </c>
      <c r="R2675" s="13" t="s">
        <v>65</v>
      </c>
      <c r="S2675" s="16" t="n">
        <v>39057</v>
      </c>
      <c r="T2675" s="28" t="s">
        <v>40</v>
      </c>
      <c r="U2675" s="13" t="s">
        <v>11419</v>
      </c>
      <c r="V2675" s="13" t="s">
        <v>42</v>
      </c>
      <c r="W2675" s="13" t="s">
        <v>43</v>
      </c>
      <c r="X2675" s="67" t="n">
        <v>81217414500</v>
      </c>
      <c r="Y2675" s="22" t="str">
        <f aca="false">O2675</f>
        <v>Enamel</v>
      </c>
      <c r="Z2675" s="13" t="str">
        <f aca="false">IFERROR(__xludf.dummyfunction("if(BJ2675="""","""",GOOGLETRANSLATE(BJ2675,""auto"",""en""))"),"Enamel")</f>
        <v>Enamel</v>
      </c>
      <c r="AA2675" s="23" t="str">
        <f aca="false">IF(C2675="","", CHOOSE(MONTH(C2675),"January","February","March","April","May","June","July","August","September","October","November","December")&amp;" "&amp;DAY(C2675)&amp;MID("thstndrdth",MIN(9,2*RIGHT(DAY(C2675))*(MOD(DAY(C2675)-11,100)&gt;2)+1),2)&amp;","&amp;TEXT(C2675," yyyy"))</f>
        <v>September 10th,2025</v>
      </c>
      <c r="AB2675" s="15" t="str">
        <f aca="true">IF(S2675="","",DATEDIF(S2675,TODAY(),"Y")&amp;" Tahun, "&amp;DATEDIF(S2675,TODAY(),"YM")&amp;" Bulan, "&amp;DATEDIF(S2675,TODAY(),"MD")&amp;" Hari")</f>
        <v>19 Tahun, 10 Bulan, 23 Hari</v>
      </c>
      <c r="AC2675" s="18" t="n">
        <v>45910</v>
      </c>
      <c r="AD2675" s="18" t="n">
        <v>46022</v>
      </c>
      <c r="AE2675" s="13" t="s">
        <v>44</v>
      </c>
    </row>
    <row r="2676" customFormat="false" ht="15" hidden="false" customHeight="true" outlineLevel="0" collapsed="false">
      <c r="A2676" s="12" t="n">
        <v>20639</v>
      </c>
      <c r="B2676" s="13" t="s">
        <v>11420</v>
      </c>
      <c r="C2676" s="16" t="n">
        <v>45910</v>
      </c>
      <c r="D2676" s="13" t="s">
        <v>144</v>
      </c>
      <c r="E2676" s="15" t="s">
        <v>47</v>
      </c>
      <c r="F2676" s="15" t="str">
        <f aca="false">IFERROR(__xludf.dummyfunction("XLOOKUP(AJ2676,IMPORTRANGE(""1XaInW9DU9nz21V0tYIfzFQ0He9kVQ_JF2mCXgZ3hqFA"",""REKAP ALL 2026 - Andika!G:G""),IMPORTRANGE(""1XaInW9DU9nz21V0tYIfzFQ0He9kVQ_JF2mCXgZ3hqFA"",""REKAP ALL 2026 - Andika!F:F""),"""",0)"),"25133240298")</f>
        <v>25133240298</v>
      </c>
      <c r="G2676" s="13" t="s">
        <v>1127</v>
      </c>
      <c r="H2676" s="13" t="s">
        <v>35</v>
      </c>
      <c r="I2676" s="13" t="str">
        <f aca="false">IF(C2676=J2676,"NEW KONTRAK","RE-KONTRAK")</f>
        <v>NEW KONTRAK</v>
      </c>
      <c r="J2676" s="16" t="n">
        <f aca="false" t="array" ref="J2676:J2676">IFERROR(INDEX(AC2676:AE2676,IF(COUNTA(AC2676:AE2676)=0,"",MAX((AC2676:AE2676&lt;&gt;"")*(COLUMN(AC2676:AE2676)-(COLUMN(AC2676)))))-1),"")</f>
        <v>45910</v>
      </c>
      <c r="K2676" s="16" t="n">
        <f aca="false" t="array" ref="K2676:K2676">IFERROR(INDEX(AC2676:AE2676,IF(COUNTA(AC2676:AE2676)=0,"",MAX((AC2676:AE2676&lt;&gt;"")*(COLUMN(AC2676:AE2676)-(COLUMN(AC2676)-1))))-1),"")</f>
        <v>46022</v>
      </c>
      <c r="L2676" s="17" t="str">
        <f aca="false" t="array" ref="L2676:L2676">IFERROR(INDEX(AC2676:AE2676,IF(COUNTA(AC2676:AE2676)=0,"",MAX((AC2676:AE2676&lt;&gt;"")*(COLUMN(AC2676:AE2676)-(COLUMN(AC2676)-2))))-1),"")</f>
        <v>ARCHIVED</v>
      </c>
      <c r="M2676" s="13" t="n">
        <f aca="true">K2676-TODAY()</f>
        <v>-302</v>
      </c>
      <c r="N2676" s="18" t="s">
        <v>36</v>
      </c>
      <c r="O2676" s="13" t="s">
        <v>146</v>
      </c>
      <c r="P2676" s="19" t="n">
        <v>5195401</v>
      </c>
      <c r="Q2676" s="47" t="s">
        <v>11421</v>
      </c>
      <c r="R2676" s="13" t="s">
        <v>78</v>
      </c>
      <c r="S2676" s="16" t="n">
        <v>33768</v>
      </c>
      <c r="T2676" s="28" t="s">
        <v>40</v>
      </c>
      <c r="U2676" s="13" t="s">
        <v>11422</v>
      </c>
      <c r="V2676" s="13" t="s">
        <v>42</v>
      </c>
      <c r="W2676" s="13" t="s">
        <v>43</v>
      </c>
      <c r="X2676" s="67" t="n">
        <v>85708249072</v>
      </c>
      <c r="Y2676" s="22" t="str">
        <f aca="false">O2676</f>
        <v>Enamel</v>
      </c>
      <c r="Z2676" s="13" t="str">
        <f aca="false">IFERROR(__xludf.dummyfunction("if(BJ2676="""","""",GOOGLETRANSLATE(BJ2676,""auto"",""en""))"),"Enamel")</f>
        <v>Enamel</v>
      </c>
      <c r="AA2676" s="23" t="str">
        <f aca="false">IF(C2676="","", CHOOSE(MONTH(C2676),"January","February","March","April","May","June","July","August","September","October","November","December")&amp;" "&amp;DAY(C2676)&amp;MID("thstndrdth",MIN(9,2*RIGHT(DAY(C2676))*(MOD(DAY(C2676)-11,100)&gt;2)+1),2)&amp;","&amp;TEXT(C2676," yyyy"))</f>
        <v>September 10th,2025</v>
      </c>
      <c r="AB2676" s="15" t="str">
        <f aca="true">IF(S2676="","",DATEDIF(S2676,TODAY(),"Y")&amp;" Tahun, "&amp;DATEDIF(S2676,TODAY(),"YM")&amp;" Bulan, "&amp;DATEDIF(S2676,TODAY(),"MD")&amp;" Hari")</f>
        <v>34 Tahun, 4 Bulan, 16 Hari</v>
      </c>
      <c r="AC2676" s="18" t="n">
        <v>45910</v>
      </c>
      <c r="AD2676" s="18" t="n">
        <v>46022</v>
      </c>
      <c r="AE2676" s="13" t="s">
        <v>44</v>
      </c>
    </row>
    <row r="2677" customFormat="false" ht="15" hidden="false" customHeight="true" outlineLevel="0" collapsed="false">
      <c r="A2677" s="12" t="n">
        <v>20640</v>
      </c>
      <c r="B2677" s="13" t="s">
        <v>3827</v>
      </c>
      <c r="C2677" s="16" t="n">
        <v>45910</v>
      </c>
      <c r="D2677" s="13" t="s">
        <v>144</v>
      </c>
      <c r="E2677" s="15" t="s">
        <v>47</v>
      </c>
      <c r="F2677" s="15" t="str">
        <f aca="false">IFERROR(__xludf.dummyfunction("XLOOKUP(AJ2677,IMPORTRANGE(""1XaInW9DU9nz21V0tYIfzFQ0He9kVQ_JF2mCXgZ3hqFA"",""REKAP ALL 2026 - Andika!G:G""),IMPORTRANGE(""1XaInW9DU9nz21V0tYIfzFQ0He9kVQ_JF2mCXgZ3hqFA"",""REKAP ALL 2026 - Andika!F:F""),"""",0)"),"25133240314")</f>
        <v>25133240314</v>
      </c>
      <c r="G2677" s="13" t="s">
        <v>1127</v>
      </c>
      <c r="H2677" s="13" t="s">
        <v>35</v>
      </c>
      <c r="I2677" s="13" t="str">
        <f aca="false">IF(C2677=J2677,"NEW KONTRAK","RE-KONTRAK")</f>
        <v>NEW KONTRAK</v>
      </c>
      <c r="J2677" s="16" t="n">
        <f aca="false" t="array" ref="J2677:J2677">IFERROR(INDEX(AC2677:AE2677,IF(COUNTA(AC2677:AE2677)=0,"",MAX((AC2677:AE2677&lt;&gt;"")*(COLUMN(AC2677:AE2677)-(COLUMN(AC2677)))))-1),"")</f>
        <v>45910</v>
      </c>
      <c r="K2677" s="16" t="n">
        <f aca="false" t="array" ref="K2677:K2677">IFERROR(INDEX(AC2677:AE2677,IF(COUNTA(AC2677:AE2677)=0,"",MAX((AC2677:AE2677&lt;&gt;"")*(COLUMN(AC2677:AE2677)-(COLUMN(AC2677)-1))))-1),"")</f>
        <v>46022</v>
      </c>
      <c r="L2677" s="17" t="str">
        <f aca="false" t="array" ref="L2677:L2677">IFERROR(INDEX(AC2677:AE2677,IF(COUNTA(AC2677:AE2677)=0,"",MAX((AC2677:AE2677&lt;&gt;"")*(COLUMN(AC2677:AE2677)-(COLUMN(AC2677)-2))))-1),"")</f>
        <v>ARCHIVED</v>
      </c>
      <c r="M2677" s="13" t="n">
        <f aca="true">K2677-TODAY()</f>
        <v>-302</v>
      </c>
      <c r="N2677" s="18" t="s">
        <v>36</v>
      </c>
      <c r="O2677" s="13" t="s">
        <v>146</v>
      </c>
      <c r="P2677" s="19" t="n">
        <v>5195401</v>
      </c>
      <c r="Q2677" s="47" t="s">
        <v>11423</v>
      </c>
      <c r="R2677" s="13" t="s">
        <v>246</v>
      </c>
      <c r="S2677" s="16" t="n">
        <v>25817</v>
      </c>
      <c r="T2677" s="28" t="s">
        <v>40</v>
      </c>
      <c r="U2677" s="13" t="s">
        <v>11424</v>
      </c>
      <c r="V2677" s="13" t="s">
        <v>42</v>
      </c>
      <c r="W2677" s="13" t="s">
        <v>54</v>
      </c>
      <c r="X2677" s="67" t="n">
        <v>8121714234</v>
      </c>
      <c r="Y2677" s="22" t="str">
        <f aca="false">O2677</f>
        <v>Enamel</v>
      </c>
      <c r="Z2677" s="13" t="str">
        <f aca="false">IFERROR(__xludf.dummyfunction("if(BJ2677="""","""",GOOGLETRANSLATE(BJ2677,""auto"",""en""))"),"Enamel")</f>
        <v>Enamel</v>
      </c>
      <c r="AA2677" s="23" t="str">
        <f aca="false">IF(C2677="","", CHOOSE(MONTH(C2677),"January","February","March","April","May","June","July","August","September","October","November","December")&amp;" "&amp;DAY(C2677)&amp;MID("thstndrdth",MIN(9,2*RIGHT(DAY(C2677))*(MOD(DAY(C2677)-11,100)&gt;2)+1),2)&amp;","&amp;TEXT(C2677," yyyy"))</f>
        <v>September 10th,2025</v>
      </c>
      <c r="AB2677" s="15" t="str">
        <f aca="true">IF(S2677="","",DATEDIF(S2677,TODAY(),"Y")&amp;" Tahun, "&amp;DATEDIF(S2677,TODAY(),"YM")&amp;" Bulan, "&amp;DATEDIF(S2677,TODAY(),"MD")&amp;" Hari")</f>
        <v>56 Tahun, 1 Bulan, 23 Hari</v>
      </c>
      <c r="AC2677" s="18" t="n">
        <v>45910</v>
      </c>
      <c r="AD2677" s="18" t="n">
        <v>46022</v>
      </c>
      <c r="AE2677" s="13" t="s">
        <v>44</v>
      </c>
    </row>
    <row r="2678" customFormat="false" ht="15" hidden="false" customHeight="true" outlineLevel="0" collapsed="false">
      <c r="A2678" s="12" t="n">
        <v>20641</v>
      </c>
      <c r="B2678" s="13" t="s">
        <v>11425</v>
      </c>
      <c r="C2678" s="16" t="n">
        <v>45909</v>
      </c>
      <c r="D2678" s="13" t="s">
        <v>144</v>
      </c>
      <c r="E2678" s="15" t="s">
        <v>47</v>
      </c>
      <c r="F2678" s="15" t="str">
        <f aca="false">IFERROR(__xludf.dummyfunction("XLOOKUP(AJ2678,IMPORTRANGE(""1XaInW9DU9nz21V0tYIfzFQ0He9kVQ_JF2mCXgZ3hqFA"",""REKAP ALL 2026 - Andika!G:G""),IMPORTRANGE(""1XaInW9DU9nz21V0tYIfzFQ0He9kVQ_JF2mCXgZ3hqFA"",""REKAP ALL 2026 - Andika!F:F""),"""",0)"),"25133240256")</f>
        <v>25133240256</v>
      </c>
      <c r="G2678" s="13" t="s">
        <v>1127</v>
      </c>
      <c r="H2678" s="13" t="s">
        <v>35</v>
      </c>
      <c r="I2678" s="13" t="str">
        <f aca="false">IF(C2678=J2678,"NEW KONTRAK","RE-KONTRAK")</f>
        <v>NEW KONTRAK</v>
      </c>
      <c r="J2678" s="16" t="n">
        <f aca="false" t="array" ref="J2678:J2678">IFERROR(INDEX(AC2678:AE2678,IF(COUNTA(AC2678:AE2678)=0,"",MAX((AC2678:AE2678&lt;&gt;"")*(COLUMN(AC2678:AE2678)-(COLUMN(AC2678)))))-1),"")</f>
        <v>45909</v>
      </c>
      <c r="K2678" s="16" t="n">
        <f aca="false" t="array" ref="K2678:K2678">IFERROR(INDEX(AC2678:AE2678,IF(COUNTA(AC2678:AE2678)=0,"",MAX((AC2678:AE2678&lt;&gt;"")*(COLUMN(AC2678:AE2678)-(COLUMN(AC2678)-1))))-1),"")</f>
        <v>46022</v>
      </c>
      <c r="L2678" s="17" t="str">
        <f aca="false" t="array" ref="L2678:L2678">IFERROR(INDEX(AC2678:AE2678,IF(COUNTA(AC2678:AE2678)=0,"",MAX((AC2678:AE2678&lt;&gt;"")*(COLUMN(AC2678:AE2678)-(COLUMN(AC2678)-2))))-1),"")</f>
        <v>ARCHIVED</v>
      </c>
      <c r="M2678" s="13" t="n">
        <f aca="true">K2678-TODAY()</f>
        <v>-302</v>
      </c>
      <c r="N2678" s="18" t="s">
        <v>36</v>
      </c>
      <c r="O2678" s="13" t="s">
        <v>3599</v>
      </c>
      <c r="P2678" s="19" t="n">
        <v>5195401</v>
      </c>
      <c r="Q2678" s="47" t="s">
        <v>11426</v>
      </c>
      <c r="R2678" s="13" t="s">
        <v>52</v>
      </c>
      <c r="S2678" s="16" t="n">
        <v>36853</v>
      </c>
      <c r="T2678" s="28" t="s">
        <v>40</v>
      </c>
      <c r="U2678" s="13" t="s">
        <v>11427</v>
      </c>
      <c r="V2678" s="13" t="s">
        <v>42</v>
      </c>
      <c r="W2678" s="13" t="s">
        <v>43</v>
      </c>
      <c r="X2678" s="67" t="n">
        <v>82231168010</v>
      </c>
      <c r="Y2678" s="22" t="str">
        <f aca="false">O2678</f>
        <v>Admin Gudang</v>
      </c>
      <c r="Z2678" s="13" t="str">
        <f aca="false">IFERROR(__xludf.dummyfunction("if(BJ2678="""","""",GOOGLETRANSLATE(BJ2678,""auto"",""en""))"),"Warehouse Admin")</f>
        <v>Warehouse Admin</v>
      </c>
      <c r="AA2678" s="23" t="str">
        <f aca="false">IF(C2678="","", CHOOSE(MONTH(C2678),"January","February","March","April","May","June","July","August","September","October","November","December")&amp;" "&amp;DAY(C2678)&amp;MID("thstndrdth",MIN(9,2*RIGHT(DAY(C2678))*(MOD(DAY(C2678)-11,100)&gt;2)+1),2)&amp;","&amp;TEXT(C2678," yyyy"))</f>
        <v>September 9th,2025</v>
      </c>
      <c r="AB2678" s="15" t="str">
        <f aca="true">IF(S2678="","",DATEDIF(S2678,TODAY(),"Y")&amp;" Tahun, "&amp;DATEDIF(S2678,TODAY(),"YM")&amp;" Bulan, "&amp;DATEDIF(S2678,TODAY(),"MD")&amp;" Hari")</f>
        <v>25 Tahun, 11 Bulan, 6 Hari</v>
      </c>
      <c r="AC2678" s="18" t="n">
        <v>45909</v>
      </c>
      <c r="AD2678" s="18" t="n">
        <v>46022</v>
      </c>
      <c r="AE2678" s="13" t="s">
        <v>44</v>
      </c>
    </row>
    <row r="2679" customFormat="false" ht="15" hidden="false" customHeight="true" outlineLevel="0" collapsed="false">
      <c r="A2679" s="12" t="n">
        <v>20642</v>
      </c>
      <c r="B2679" s="13" t="s">
        <v>11428</v>
      </c>
      <c r="C2679" s="16" t="n">
        <v>45916</v>
      </c>
      <c r="D2679" s="13" t="s">
        <v>404</v>
      </c>
      <c r="E2679" s="15" t="s">
        <v>33</v>
      </c>
      <c r="F2679" s="24" t="s">
        <v>11429</v>
      </c>
      <c r="G2679" s="13" t="s">
        <v>1127</v>
      </c>
      <c r="H2679" s="13" t="s">
        <v>35</v>
      </c>
      <c r="I2679" s="13" t="str">
        <f aca="false">IF(C2679=J2679,"NEW KONTRAK","RE-KONTRAK")</f>
        <v>NEW KONTRAK</v>
      </c>
      <c r="J2679" s="16" t="n">
        <f aca="false" t="array" ref="J2679:J2679">IFERROR(INDEX(AC2679:AE2679,IF(COUNTA(AC2679:AE2679)=0,"",MAX((AC2679:AE2679&lt;&gt;"")*(COLUMN(AC2679:AE2679)-(COLUMN(AC2679)))))-1),"")</f>
        <v>45916</v>
      </c>
      <c r="K2679" s="16" t="n">
        <f aca="false" t="array" ref="K2679:K2679">IFERROR(INDEX(AC2679:AE2679,IF(COUNTA(AC2679:AE2679)=0,"",MAX((AC2679:AE2679&lt;&gt;"")*(COLUMN(AC2679:AE2679)-(COLUMN(AC2679)-1))))-1),"")</f>
        <v>46022</v>
      </c>
      <c r="L2679" s="17" t="str">
        <f aca="false" t="array" ref="L2679:L2679">IFERROR(INDEX(AC2679:AE2679,IF(COUNTA(AC2679:AE2679)=0,"",MAX((AC2679:AE2679&lt;&gt;"")*(COLUMN(AC2679:AE2679)-(COLUMN(AC2679)-2))))-1),"")</f>
        <v>ARCHIVED</v>
      </c>
      <c r="M2679" s="13" t="n">
        <f aca="true">K2679-TODAY()</f>
        <v>-302</v>
      </c>
      <c r="N2679" s="18" t="s">
        <v>36</v>
      </c>
      <c r="O2679" s="13" t="s">
        <v>76</v>
      </c>
      <c r="P2679" s="27" t="n">
        <v>5195401</v>
      </c>
      <c r="Q2679" s="47" t="s">
        <v>11430</v>
      </c>
      <c r="R2679" s="13" t="s">
        <v>148</v>
      </c>
      <c r="S2679" s="16" t="n">
        <v>37588</v>
      </c>
      <c r="T2679" s="28" t="s">
        <v>40</v>
      </c>
      <c r="U2679" s="13" t="s">
        <v>11431</v>
      </c>
      <c r="V2679" s="13" t="s">
        <v>42</v>
      </c>
      <c r="W2679" s="13" t="s">
        <v>43</v>
      </c>
      <c r="X2679" s="67" t="n">
        <v>89514661801</v>
      </c>
      <c r="Y2679" s="22" t="str">
        <f aca="false">O2679</f>
        <v>Operator Forklift</v>
      </c>
      <c r="Z2679" s="13" t="str">
        <f aca="false">IFERROR(__xludf.dummyfunction("if(BJ2679="""","""",GOOGLETRANSLATE(BJ2679,""auto"",""en""))"),"Operator Forklift")</f>
        <v>Operator Forklift</v>
      </c>
      <c r="AA2679" s="23" t="str">
        <f aca="false">IF(C2679="","", CHOOSE(MONTH(C2679),"January","February","March","April","May","June","July","August","September","October","November","December")&amp;" "&amp;DAY(C2679)&amp;MID("thstndrdth",MIN(9,2*RIGHT(DAY(C2679))*(MOD(DAY(C2679)-11,100)&gt;2)+1),2)&amp;","&amp;TEXT(C2679," yyyy"))</f>
        <v>September 16th,2025</v>
      </c>
      <c r="AB2679" s="15" t="str">
        <f aca="true">IF(S2679="","",DATEDIF(S2679,TODAY(),"Y")&amp;" Tahun, "&amp;DATEDIF(S2679,TODAY(),"YM")&amp;" Bulan, "&amp;DATEDIF(S2679,TODAY(),"MD")&amp;" Hari")</f>
        <v>23 Tahun, 11 Bulan, 1 Hari</v>
      </c>
      <c r="AC2679" s="18" t="n">
        <v>45916</v>
      </c>
      <c r="AD2679" s="18" t="n">
        <v>46022</v>
      </c>
      <c r="AE2679" s="13" t="s">
        <v>44</v>
      </c>
    </row>
    <row r="2680" customFormat="false" ht="15" hidden="false" customHeight="true" outlineLevel="0" collapsed="false">
      <c r="A2680" s="12" t="n">
        <v>20643</v>
      </c>
      <c r="B2680" s="13" t="s">
        <v>11432</v>
      </c>
      <c r="C2680" s="16" t="n">
        <v>45926</v>
      </c>
      <c r="D2680" s="13" t="s">
        <v>4743</v>
      </c>
      <c r="E2680" s="15" t="s">
        <v>47</v>
      </c>
      <c r="F2680" s="15" t="str">
        <f aca="false">IFERROR(__xludf.dummyfunction("XLOOKUP(AJ2680,IMPORTRANGE(""1XaInW9DU9nz21V0tYIfzFQ0He9kVQ_JF2mCXgZ3hqFA"",""REKAP ALL 2026 - Andika!G:G""),IMPORTRANGE(""1XaInW9DU9nz21V0tYIfzFQ0He9kVQ_JF2mCXgZ3hqFA"",""REKAP ALL 2026 - Andika!F:F""),"""",0)"),"25133219698")</f>
        <v>25133219698</v>
      </c>
      <c r="G2680" s="13" t="s">
        <v>1127</v>
      </c>
      <c r="H2680" s="13" t="s">
        <v>35</v>
      </c>
      <c r="I2680" s="13" t="str">
        <f aca="false">IF(C2680=J2680,"NEW KONTRAK","RE-KONTRAK")</f>
        <v>NEW KONTRAK</v>
      </c>
      <c r="J2680" s="16" t="n">
        <f aca="false" t="array" ref="J2680:J2680">IFERROR(INDEX(AC2680:AE2680,IF(COUNTA(AC2680:AE2680)=0,"",MAX((AC2680:AE2680&lt;&gt;"")*(COLUMN(AC2680:AE2680)-(COLUMN(AC2680)))))-1),"")</f>
        <v>45926</v>
      </c>
      <c r="K2680" s="16" t="n">
        <f aca="false" t="array" ref="K2680:K2680">IFERROR(INDEX(AC2680:AE2680,IF(COUNTA(AC2680:AE2680)=0,"",MAX((AC2680:AE2680&lt;&gt;"")*(COLUMN(AC2680:AE2680)-(COLUMN(AC2680)-1))))-1),"")</f>
        <v>46290</v>
      </c>
      <c r="L2680" s="17" t="str">
        <f aca="false" t="array" ref="L2680:L2680">IFERROR(INDEX(AC2680:AE2680,IF(COUNTA(AC2680:AE2680)=0,"",MAX((AC2680:AE2680&lt;&gt;"")*(COLUMN(AC2680:AE2680)-(COLUMN(AC2680)-2))))-1),"")</f>
        <v>KEMBALI</v>
      </c>
      <c r="M2680" s="13" t="n">
        <f aca="true">K2680-TODAY()</f>
        <v>-34</v>
      </c>
      <c r="N2680" s="18" t="s">
        <v>728</v>
      </c>
      <c r="O2680" s="13" t="s">
        <v>6877</v>
      </c>
      <c r="P2680" s="19" t="n">
        <v>3250000</v>
      </c>
      <c r="Q2680" s="47" t="s">
        <v>11433</v>
      </c>
      <c r="R2680" s="13" t="s">
        <v>958</v>
      </c>
      <c r="S2680" s="16" t="n">
        <v>38775</v>
      </c>
      <c r="T2680" s="28" t="s">
        <v>40</v>
      </c>
      <c r="U2680" s="13" t="s">
        <v>11434</v>
      </c>
      <c r="V2680" s="13" t="s">
        <v>99</v>
      </c>
      <c r="W2680" s="13" t="s">
        <v>43</v>
      </c>
      <c r="X2680" s="21" t="n">
        <v>87802126912</v>
      </c>
      <c r="Y2680" s="22" t="str">
        <f aca="false">O2680</f>
        <v>Staff Accounting</v>
      </c>
      <c r="Z2680" s="13" t="str">
        <f aca="false">IFERROR(__xludf.dummyfunction("if(BJ2680="""","""",GOOGLETRANSLATE(BJ2680,""auto"",""en""))"),"Staff Accounting")</f>
        <v>Staff Accounting</v>
      </c>
      <c r="AA2680" s="23" t="str">
        <f aca="false">IF(C2680="","", CHOOSE(MONTH(C2680),"January","February","March","April","May","June","July","August","September","October","November","December")&amp;" "&amp;DAY(C2680)&amp;MID("thstndrdth",MIN(9,2*RIGHT(DAY(C2680))*(MOD(DAY(C2680)-11,100)&gt;2)+1),2)&amp;","&amp;TEXT(C2680," yyyy"))</f>
        <v>September 26th,2025</v>
      </c>
      <c r="AB2680" s="15" t="str">
        <f aca="true">IF(S2680="","",DATEDIF(S2680,TODAY(),"Y")&amp;" Tahun, "&amp;DATEDIF(S2680,TODAY(),"YM")&amp;" Bulan, "&amp;DATEDIF(S2680,TODAY(),"MD")&amp;" Hari")</f>
        <v>20 Tahun, 8 Bulan, 2 Hari</v>
      </c>
      <c r="AC2680" s="18" t="n">
        <v>45926</v>
      </c>
      <c r="AD2680" s="18" t="n">
        <f aca="false">(EDATE(AC2680,12)-1)</f>
        <v>46290</v>
      </c>
      <c r="AE2680" s="13" t="s">
        <v>397</v>
      </c>
    </row>
    <row r="2681" customFormat="false" ht="15" hidden="false" customHeight="true" outlineLevel="0" collapsed="false">
      <c r="A2681" s="12" t="n">
        <v>20644</v>
      </c>
      <c r="B2681" s="13" t="s">
        <v>11435</v>
      </c>
      <c r="C2681" s="16" t="n">
        <v>45904</v>
      </c>
      <c r="D2681" s="13" t="s">
        <v>3022</v>
      </c>
      <c r="E2681" s="15" t="s">
        <v>47</v>
      </c>
      <c r="F2681" s="15" t="str">
        <f aca="false">IFERROR(__xludf.dummyfunction("XLOOKUP(AJ2681,IMPORTRANGE(""1XaInW9DU9nz21V0tYIfzFQ0He9kVQ_JF2mCXgZ3hqFA"",""REKAP ALL 2026 - Andika!G:G""),IMPORTRANGE(""1XaInW9DU9nz21V0tYIfzFQ0He9kVQ_JF2mCXgZ3hqFA"",""REKAP ALL 2026 - Andika!F:F""),"""",0)"),"25133240116")</f>
        <v>25133240116</v>
      </c>
      <c r="G2681" s="13" t="s">
        <v>1127</v>
      </c>
      <c r="H2681" s="13" t="s">
        <v>3024</v>
      </c>
      <c r="I2681" s="13" t="str">
        <f aca="false">IF(C2681=J2681,"NEW KONTRAK","RE-KONTRAK")</f>
        <v>NEW KONTRAK</v>
      </c>
      <c r="J2681" s="16" t="n">
        <f aca="false" t="array" ref="J2681:J2681">IFERROR(INDEX(AC2681:AE2681,IF(COUNTA(AC2681:AE2681)=0,"",MAX((AC2681:AE2681&lt;&gt;"")*(COLUMN(AC2681:AE2681)-(COLUMN(AC2681)))))-1),"")</f>
        <v>45904</v>
      </c>
      <c r="K2681" s="16" t="n">
        <f aca="false" t="array" ref="K2681:K2681">IFERROR(INDEX(AC2681:AE2681,IF(COUNTA(AC2681:AE2681)=0,"",MAX((AC2681:AE2681&lt;&gt;"")*(COLUMN(AC2681:AE2681)-(COLUMN(AC2681)-1))))-1),"")</f>
        <v>45994</v>
      </c>
      <c r="L2681" s="17" t="str">
        <f aca="false" t="array" ref="L2681:L2681">IFERROR(INDEX(AC2681:AE2681,IF(COUNTA(AC2681:AE2681)=0,"",MAX((AC2681:AE2681&lt;&gt;"")*(COLUMN(AC2681:AE2681)-(COLUMN(AC2681)-2))))-1),"")</f>
        <v>ARCHIVED</v>
      </c>
      <c r="M2681" s="13" t="n">
        <f aca="true">K2681-TODAY()</f>
        <v>-330</v>
      </c>
      <c r="N2681" s="18" t="s">
        <v>36</v>
      </c>
      <c r="O2681" s="13" t="s">
        <v>3599</v>
      </c>
      <c r="P2681" s="19" t="n">
        <v>100000</v>
      </c>
      <c r="Q2681" s="47" t="s">
        <v>11436</v>
      </c>
      <c r="R2681" s="13" t="s">
        <v>260</v>
      </c>
      <c r="S2681" s="16" t="n">
        <v>36699</v>
      </c>
      <c r="T2681" s="13" t="s">
        <v>108</v>
      </c>
      <c r="U2681" s="13" t="s">
        <v>11437</v>
      </c>
      <c r="V2681" s="13" t="s">
        <v>42</v>
      </c>
      <c r="W2681" s="13" t="s">
        <v>43</v>
      </c>
      <c r="X2681" s="30" t="n">
        <v>89585160481</v>
      </c>
      <c r="Y2681" s="22" t="str">
        <f aca="false">O2681</f>
        <v>Admin Gudang</v>
      </c>
      <c r="Z2681" s="13" t="str">
        <f aca="false">IFERROR(__xludf.dummyfunction("if(BJ2681="""","""",GOOGLETRANSLATE(BJ2681,""auto"",""en""))"),"Warehouse Admin")</f>
        <v>Warehouse Admin</v>
      </c>
      <c r="AA2681" s="23" t="str">
        <f aca="false">IF(C2681="","", CHOOSE(MONTH(C2681),"January","February","March","April","May","June","July","August","September","October","November","December")&amp;" "&amp;DAY(C2681)&amp;MID("thstndrdth",MIN(9,2*RIGHT(DAY(C2681))*(MOD(DAY(C2681)-11,100)&gt;2)+1),2)&amp;","&amp;TEXT(C2681," yyyy"))</f>
        <v>September 4th,2025</v>
      </c>
      <c r="AB2681" s="15" t="str">
        <f aca="true">IF(S2681="","",DATEDIF(S2681,TODAY(),"Y")&amp;" Tahun, "&amp;DATEDIF(S2681,TODAY(),"YM")&amp;" Bulan, "&amp;DATEDIF(S2681,TODAY(),"MD")&amp;" Hari")</f>
        <v>26 Tahun, 4 Bulan, 7 Hari</v>
      </c>
      <c r="AC2681" s="18" t="n">
        <v>45904</v>
      </c>
      <c r="AD2681" s="18" t="n">
        <f aca="false">EDATE(AC2681,3)-1</f>
        <v>45994</v>
      </c>
      <c r="AE2681" s="13" t="s">
        <v>44</v>
      </c>
    </row>
    <row r="2682" customFormat="false" ht="15" hidden="false" customHeight="true" outlineLevel="0" collapsed="false">
      <c r="A2682" s="12" t="n">
        <v>20645</v>
      </c>
      <c r="B2682" s="13" t="s">
        <v>11438</v>
      </c>
      <c r="C2682" s="16" t="n">
        <v>45904</v>
      </c>
      <c r="D2682" s="13" t="s">
        <v>3022</v>
      </c>
      <c r="E2682" s="15" t="s">
        <v>47</v>
      </c>
      <c r="F2682" s="15" t="str">
        <f aca="false">IFERROR(__xludf.dummyfunction("XLOOKUP(AJ2682,IMPORTRANGE(""1XaInW9DU9nz21V0tYIfzFQ0He9kVQ_JF2mCXgZ3hqFA"",""REKAP ALL 2026 - Andika!G:G""),IMPORTRANGE(""1XaInW9DU9nz21V0tYIfzFQ0He9kVQ_JF2mCXgZ3hqFA"",""REKAP ALL 2026 - Andika!F:F""),"""",0)"),"25133240124")</f>
        <v>25133240124</v>
      </c>
      <c r="G2682" s="13" t="s">
        <v>1127</v>
      </c>
      <c r="H2682" s="13" t="s">
        <v>3024</v>
      </c>
      <c r="I2682" s="13" t="str">
        <f aca="false">IF(C2682=J2682,"NEW KONTRAK","RE-KONTRAK")</f>
        <v>NEW KONTRAK</v>
      </c>
      <c r="J2682" s="16" t="n">
        <f aca="false" t="array" ref="J2682:J2682">IFERROR(INDEX(AC2682:AE2682,IF(COUNTA(AC2682:AE2682)=0,"",MAX((AC2682:AE2682&lt;&gt;"")*(COLUMN(AC2682:AE2682)-(COLUMN(AC2682)))))-1),"")</f>
        <v>45904</v>
      </c>
      <c r="K2682" s="16" t="n">
        <f aca="false" t="array" ref="K2682:K2682">IFERROR(INDEX(AC2682:AE2682,IF(COUNTA(AC2682:AE2682)=0,"",MAX((AC2682:AE2682&lt;&gt;"")*(COLUMN(AC2682:AE2682)-(COLUMN(AC2682)-1))))-1),"")</f>
        <v>45994</v>
      </c>
      <c r="L2682" s="17" t="str">
        <f aca="false" t="array" ref="L2682:L2682">IFERROR(INDEX(AC2682:AE2682,IF(COUNTA(AC2682:AE2682)=0,"",MAX((AC2682:AE2682&lt;&gt;"")*(COLUMN(AC2682:AE2682)-(COLUMN(AC2682)-2))))-1),"")</f>
        <v>ARCHIVED</v>
      </c>
      <c r="M2682" s="13" t="n">
        <f aca="true">K2682-TODAY()</f>
        <v>-330</v>
      </c>
      <c r="N2682" s="18" t="s">
        <v>36</v>
      </c>
      <c r="O2682" s="13" t="s">
        <v>7439</v>
      </c>
      <c r="P2682" s="19" t="n">
        <v>100000</v>
      </c>
      <c r="Q2682" s="47" t="s">
        <v>11439</v>
      </c>
      <c r="R2682" s="13" t="s">
        <v>246</v>
      </c>
      <c r="S2682" s="16" t="n">
        <v>38101</v>
      </c>
      <c r="T2682" s="13" t="s">
        <v>108</v>
      </c>
      <c r="U2682" s="13" t="s">
        <v>11440</v>
      </c>
      <c r="V2682" s="13" t="s">
        <v>42</v>
      </c>
      <c r="W2682" s="13" t="s">
        <v>43</v>
      </c>
      <c r="X2682" s="30" t="n">
        <v>89854965137</v>
      </c>
      <c r="Y2682" s="22" t="str">
        <f aca="false">O2682</f>
        <v>Admin Marketing</v>
      </c>
      <c r="Z2682" s="13" t="str">
        <f aca="false">IFERROR(__xludf.dummyfunction("if(BJ2682="""","""",GOOGLETRANSLATE(BJ2682,""auto"",""en""))"),"Admin Marketing")</f>
        <v>Admin Marketing</v>
      </c>
      <c r="AA2682" s="23" t="str">
        <f aca="false">IF(C2682="","", CHOOSE(MONTH(C2682),"January","February","March","April","May","June","July","August","September","October","November","December")&amp;" "&amp;DAY(C2682)&amp;MID("thstndrdth",MIN(9,2*RIGHT(DAY(C2682))*(MOD(DAY(C2682)-11,100)&gt;2)+1),2)&amp;","&amp;TEXT(C2682," yyyy"))</f>
        <v>September 4th,2025</v>
      </c>
      <c r="AB2682" s="15" t="str">
        <f aca="true">IF(S2682="","",DATEDIF(S2682,TODAY(),"Y")&amp;" Tahun, "&amp;DATEDIF(S2682,TODAY(),"YM")&amp;" Bulan, "&amp;DATEDIF(S2682,TODAY(),"MD")&amp;" Hari")</f>
        <v>22 Tahun, 6 Bulan, 5 Hari</v>
      </c>
      <c r="AC2682" s="18" t="n">
        <v>45904</v>
      </c>
      <c r="AD2682" s="18" t="n">
        <f aca="false">EDATE(AC2682,3)-1</f>
        <v>45994</v>
      </c>
      <c r="AE2682" s="13" t="s">
        <v>44</v>
      </c>
    </row>
    <row r="2683" customFormat="false" ht="15" hidden="false" customHeight="true" outlineLevel="0" collapsed="false">
      <c r="A2683" s="12" t="n">
        <v>20646</v>
      </c>
      <c r="B2683" s="13" t="s">
        <v>11441</v>
      </c>
      <c r="C2683" s="16" t="n">
        <v>45904</v>
      </c>
      <c r="D2683" s="13" t="s">
        <v>774</v>
      </c>
      <c r="E2683" s="15" t="s">
        <v>102</v>
      </c>
      <c r="F2683" s="24" t="s">
        <v>11442</v>
      </c>
      <c r="G2683" s="13" t="s">
        <v>1127</v>
      </c>
      <c r="H2683" s="13" t="s">
        <v>35</v>
      </c>
      <c r="I2683" s="13" t="str">
        <f aca="false">IF(C2683=J2683,"NEW KONTRAK","RE-KONTRAK")</f>
        <v>NEW KONTRAK</v>
      </c>
      <c r="J2683" s="16" t="n">
        <f aca="false" t="array" ref="J2683:J2683">IFERROR(INDEX(AC2683:AE2683,IF(COUNTA(AC2683:AE2683)=0,"",MAX((AC2683:AE2683&lt;&gt;"")*(COLUMN(AC2683:AE2683)-(COLUMN(AC2683)))))-1),"")</f>
        <v>45904</v>
      </c>
      <c r="K2683" s="16" t="n">
        <f aca="false" t="array" ref="K2683:K2683">IFERROR(INDEX(AC2683:AE2683,IF(COUNTA(AC2683:AE2683)=0,"",MAX((AC2683:AE2683&lt;&gt;"")*(COLUMN(AC2683:AE2683)-(COLUMN(AC2683)-1))))-1),"")</f>
        <v>45994</v>
      </c>
      <c r="L2683" s="17" t="str">
        <f aca="false" t="array" ref="L2683:L2683">IFERROR(INDEX(AC2683:AE2683,IF(COUNTA(AC2683:AE2683)=0,"",MAX((AC2683:AE2683&lt;&gt;"")*(COLUMN(AC2683:AE2683)-(COLUMN(AC2683)-2))))-1),"")</f>
        <v>ARCHIVED</v>
      </c>
      <c r="M2683" s="13" t="n">
        <f aca="true">K2683-TODAY()</f>
        <v>-330</v>
      </c>
      <c r="N2683" s="18" t="s">
        <v>36</v>
      </c>
      <c r="O2683" s="13" t="s">
        <v>6877</v>
      </c>
      <c r="P2683" s="19" t="n">
        <v>4874133</v>
      </c>
      <c r="Q2683" s="47" t="s">
        <v>11443</v>
      </c>
      <c r="R2683" s="13" t="s">
        <v>52</v>
      </c>
      <c r="S2683" s="16" t="n">
        <v>34533</v>
      </c>
      <c r="T2683" s="28" t="s">
        <v>40</v>
      </c>
      <c r="U2683" s="13" t="s">
        <v>11444</v>
      </c>
      <c r="V2683" s="13" t="s">
        <v>42</v>
      </c>
      <c r="W2683" s="13" t="s">
        <v>43</v>
      </c>
      <c r="X2683" s="30" t="n">
        <v>81198593174</v>
      </c>
      <c r="Y2683" s="22" t="str">
        <f aca="false">O2683</f>
        <v>Staff Accounting</v>
      </c>
      <c r="Z2683" s="13" t="str">
        <f aca="false">IFERROR(__xludf.dummyfunction("if(BJ2683="""","""",GOOGLETRANSLATE(BJ2683,""auto"",""en""))"),"Staff Accounting")</f>
        <v>Staff Accounting</v>
      </c>
      <c r="AA2683" s="23" t="str">
        <f aca="false">IF(C2683="","", CHOOSE(MONTH(C2683),"January","February","March","April","May","June","July","August","September","October","November","December")&amp;" "&amp;DAY(C2683)&amp;MID("thstndrdth",MIN(9,2*RIGHT(DAY(C2683))*(MOD(DAY(C2683)-11,100)&gt;2)+1),2)&amp;","&amp;TEXT(C2683," yyyy"))</f>
        <v>September 4th,2025</v>
      </c>
      <c r="AB2683" s="15" t="str">
        <f aca="true">IF(S2683="","",DATEDIF(S2683,TODAY(),"Y")&amp;" Tahun, "&amp;DATEDIF(S2683,TODAY(),"YM")&amp;" Bulan, "&amp;DATEDIF(S2683,TODAY(),"MD")&amp;" Hari")</f>
        <v>32 Tahun, 3 Bulan, 11 Hari</v>
      </c>
      <c r="AC2683" s="18" t="n">
        <v>45904</v>
      </c>
      <c r="AD2683" s="18" t="n">
        <f aca="false">EDATE(AC2683,3)-1</f>
        <v>45994</v>
      </c>
      <c r="AE2683" s="13" t="s">
        <v>44</v>
      </c>
    </row>
    <row r="2684" customFormat="false" ht="15" hidden="false" customHeight="true" outlineLevel="0" collapsed="false">
      <c r="A2684" s="12" t="n">
        <v>20769</v>
      </c>
      <c r="B2684" s="13" t="s">
        <v>11445</v>
      </c>
      <c r="C2684" s="16" t="n">
        <v>45896</v>
      </c>
      <c r="D2684" s="13" t="s">
        <v>7310</v>
      </c>
      <c r="E2684" s="15" t="s">
        <v>102</v>
      </c>
      <c r="F2684" s="24" t="s">
        <v>11446</v>
      </c>
      <c r="G2684" s="13" t="s">
        <v>1127</v>
      </c>
      <c r="H2684" s="13" t="s">
        <v>35</v>
      </c>
      <c r="I2684" s="13" t="str">
        <f aca="false">IF(C2684=J2684,"NEW KONTRAK","RE-KONTRAK")</f>
        <v>NEW KONTRAK</v>
      </c>
      <c r="J2684" s="16" t="n">
        <f aca="false" t="array" ref="J2684:J2684">IFERROR(INDEX(AC2684:AE2684,IF(COUNTA(AC2684:AE2684)=0,"",MAX((AC2684:AE2684&lt;&gt;"")*(COLUMN(AC2684:AE2684)-(COLUMN(AC2684)))))-1),"")</f>
        <v>45896</v>
      </c>
      <c r="K2684" s="16" t="n">
        <f aca="false" t="array" ref="K2684:K2684">IFERROR(INDEX(AC2684:AE2684,IF(COUNTA(AC2684:AE2684)=0,"",MAX((AC2684:AE2684&lt;&gt;"")*(COLUMN(AC2684:AE2684)-(COLUMN(AC2684)-1))))-1),"")</f>
        <v>46260</v>
      </c>
      <c r="L2684" s="17" t="str">
        <f aca="false" t="array" ref="L2684:L2684">IFERROR(INDEX(AC2684:AE2684,IF(COUNTA(AC2684:AE2684)=0,"",MAX((AC2684:AE2684&lt;&gt;"")*(COLUMN(AC2684:AE2684)-(COLUMN(AC2684)-2))))-1),"")</f>
        <v>ARCHIVED</v>
      </c>
      <c r="M2684" s="13" t="n">
        <f aca="true">K2684-TODAY()</f>
        <v>-64</v>
      </c>
      <c r="N2684" s="18" t="s">
        <v>7313</v>
      </c>
      <c r="O2684" s="13" t="s">
        <v>7611</v>
      </c>
      <c r="P2684" s="19" t="n">
        <v>2397550</v>
      </c>
      <c r="Q2684" s="47" t="s">
        <v>11447</v>
      </c>
      <c r="R2684" s="13" t="s">
        <v>52</v>
      </c>
      <c r="S2684" s="16" t="n">
        <v>30212</v>
      </c>
      <c r="T2684" s="28" t="s">
        <v>40</v>
      </c>
      <c r="U2684" s="13" t="s">
        <v>11448</v>
      </c>
      <c r="V2684" s="13" t="s">
        <v>42</v>
      </c>
      <c r="W2684" s="13" t="s">
        <v>54</v>
      </c>
      <c r="X2684" s="21" t="n">
        <v>85853279080</v>
      </c>
      <c r="Y2684" s="22" t="str">
        <f aca="false">O2684</f>
        <v>Helper Kernet</v>
      </c>
      <c r="Z2684" s="13" t="str">
        <f aca="false">IFERROR(__xludf.dummyfunction("if(BJ2684="""","""",GOOGLETRANSLATE(BJ2684,""auto"",""en""))"),"Helper Kernet")</f>
        <v>Helper Kernet</v>
      </c>
      <c r="AA2684" s="23" t="str">
        <f aca="false">IF(C2684="","", CHOOSE(MONTH(C2684),"January","February","March","April","May","June","July","August","September","October","November","December")&amp;" "&amp;DAY(C2684)&amp;MID("thstndrdth",MIN(9,2*RIGHT(DAY(C2684))*(MOD(DAY(C2684)-11,100)&gt;2)+1),2)&amp;","&amp;TEXT(C2684," yyyy"))</f>
        <v>August 27th,2025</v>
      </c>
      <c r="AB2684" s="15" t="str">
        <f aca="true">IF(S2684="","",DATEDIF(S2684,TODAY(),"Y")&amp;" Tahun, "&amp;DATEDIF(S2684,TODAY(),"YM")&amp;" Bulan, "&amp;DATEDIF(S2684,TODAY(),"MD")&amp;" Hari")</f>
        <v>44 Tahun, 1 Bulan, 11 Hari</v>
      </c>
      <c r="AC2684" s="18" t="n">
        <v>45896</v>
      </c>
      <c r="AD2684" s="18" t="n">
        <f aca="false">EDATE(AC2684,12)-1</f>
        <v>46260</v>
      </c>
      <c r="AE2684" s="18" t="s">
        <v>44</v>
      </c>
    </row>
    <row r="2685" customFormat="false" ht="15" hidden="false" customHeight="true" outlineLevel="0" collapsed="false">
      <c r="A2685" s="12" t="n">
        <v>20770</v>
      </c>
      <c r="B2685" s="13" t="s">
        <v>11449</v>
      </c>
      <c r="C2685" s="16" t="n">
        <v>45897</v>
      </c>
      <c r="D2685" s="13" t="s">
        <v>7310</v>
      </c>
      <c r="E2685" s="15" t="s">
        <v>33</v>
      </c>
      <c r="F2685" s="24" t="s">
        <v>11450</v>
      </c>
      <c r="G2685" s="13" t="s">
        <v>1127</v>
      </c>
      <c r="H2685" s="13" t="s">
        <v>35</v>
      </c>
      <c r="I2685" s="13" t="str">
        <f aca="false">IF(C2685=J2685,"NEW KONTRAK","RE-KONTRAK")</f>
        <v>NEW KONTRAK</v>
      </c>
      <c r="J2685" s="16" t="n">
        <f aca="false" t="array" ref="J2685:J2685">IFERROR(INDEX(AC2685:AE2685,IF(COUNTA(AC2685:AE2685)=0,"",MAX((AC2685:AE2685&lt;&gt;"")*(COLUMN(AC2685:AE2685)-(COLUMN(AC2685)))))-1),"")</f>
        <v>45897</v>
      </c>
      <c r="K2685" s="16" t="n">
        <f aca="false" t="array" ref="K2685:K2685">IFERROR(INDEX(AC2685:AE2685,IF(COUNTA(AC2685:AE2685)=0,"",MAX((AC2685:AE2685&lt;&gt;"")*(COLUMN(AC2685:AE2685)-(COLUMN(AC2685)-1))))-1),"")</f>
        <v>46261</v>
      </c>
      <c r="L2685" s="17" t="str">
        <f aca="false" t="array" ref="L2685:L2685">IFERROR(INDEX(AC2685:AE2685,IF(COUNTA(AC2685:AE2685)=0,"",MAX((AC2685:AE2685&lt;&gt;"")*(COLUMN(AC2685:AE2685)-(COLUMN(AC2685)-2))))-1),"")</f>
        <v>ARCHIVED</v>
      </c>
      <c r="M2685" s="13" t="n">
        <f aca="true">K2685-TODAY()</f>
        <v>-63</v>
      </c>
      <c r="N2685" s="18" t="s">
        <v>7313</v>
      </c>
      <c r="O2685" s="13" t="s">
        <v>7611</v>
      </c>
      <c r="P2685" s="19" t="n">
        <v>2397550</v>
      </c>
      <c r="Q2685" s="47" t="s">
        <v>11451</v>
      </c>
      <c r="R2685" s="13" t="s">
        <v>227</v>
      </c>
      <c r="S2685" s="16" t="n">
        <v>35382</v>
      </c>
      <c r="T2685" s="28" t="s">
        <v>40</v>
      </c>
      <c r="U2685" s="13" t="s">
        <v>11452</v>
      </c>
      <c r="V2685" s="13" t="s">
        <v>42</v>
      </c>
      <c r="W2685" s="13" t="s">
        <v>43</v>
      </c>
      <c r="X2685" s="21" t="n">
        <v>83852621818</v>
      </c>
      <c r="Y2685" s="22" t="str">
        <f aca="false">O2685</f>
        <v>Helper Kernet</v>
      </c>
      <c r="Z2685" s="13" t="str">
        <f aca="false">IFERROR(__xludf.dummyfunction("if(BJ2685="""","""",GOOGLETRANSLATE(BJ2685,""auto"",""en""))"),"Helper Kernet")</f>
        <v>Helper Kernet</v>
      </c>
      <c r="AA2685" s="23" t="str">
        <f aca="false">IF(C2685="","", CHOOSE(MONTH(C2685),"January","February","March","April","May","June","July","August","September","October","November","December")&amp;" "&amp;DAY(C2685)&amp;MID("thstndrdth",MIN(9,2*RIGHT(DAY(C2685))*(MOD(DAY(C2685)-11,100)&gt;2)+1),2)&amp;","&amp;TEXT(C2685," yyyy"))</f>
        <v>August 28th,2025</v>
      </c>
      <c r="AB2685" s="15" t="str">
        <f aca="true">IF(S2685="","",DATEDIF(S2685,TODAY(),"Y")&amp;" Tahun, "&amp;DATEDIF(S2685,TODAY(),"YM")&amp;" Bulan, "&amp;DATEDIF(S2685,TODAY(),"MD")&amp;" Hari")</f>
        <v>29 Tahun, 11 Bulan, 16 Hari</v>
      </c>
      <c r="AC2685" s="18" t="n">
        <v>45897</v>
      </c>
      <c r="AD2685" s="18" t="n">
        <f aca="false">EDATE(AC2685,12)-1</f>
        <v>46261</v>
      </c>
      <c r="AE2685" s="18" t="s">
        <v>44</v>
      </c>
    </row>
    <row r="2686" customFormat="false" ht="15" hidden="false" customHeight="true" outlineLevel="0" collapsed="false">
      <c r="A2686" s="12" t="n">
        <v>20771</v>
      </c>
      <c r="B2686" s="13" t="s">
        <v>11453</v>
      </c>
      <c r="C2686" s="16" t="n">
        <v>45896</v>
      </c>
      <c r="D2686" s="13" t="s">
        <v>7310</v>
      </c>
      <c r="E2686" s="15" t="s">
        <v>102</v>
      </c>
      <c r="F2686" s="15" t="str">
        <f aca="false">IFERROR(__xludf.dummyfunction("XLOOKUP(AJ2686,IMPORTRANGE(""1XaInW9DU9nz21V0tYIfzFQ0He9kVQ_JF2mCXgZ3hqFA"",""REKAP ALL 2026 - Andika!G:G""),IMPORTRANGE(""1XaInW9DU9nz21V0tYIfzFQ0He9kVQ_JF2mCXgZ3hqFA"",""REKAP ALL 2026 - Andika!F:F""),"""",0)"),"25133235330")</f>
        <v>25133235330</v>
      </c>
      <c r="G2686" s="13" t="s">
        <v>1127</v>
      </c>
      <c r="H2686" s="13" t="s">
        <v>35</v>
      </c>
      <c r="I2686" s="13" t="str">
        <f aca="false">IF(C2686=J2686,"NEW KONTRAK","RE-KONTRAK")</f>
        <v>NEW KONTRAK</v>
      </c>
      <c r="J2686" s="16" t="n">
        <f aca="false" t="array" ref="J2686:J2686">IFERROR(INDEX(AC2686:AE2686,IF(COUNTA(AC2686:AE2686)=0,"",MAX((AC2686:AE2686&lt;&gt;"")*(COLUMN(AC2686:AE2686)-(COLUMN(AC2686)))))-1),"")</f>
        <v>45896</v>
      </c>
      <c r="K2686" s="16" t="n">
        <f aca="false" t="array" ref="K2686:K2686">IFERROR(INDEX(AC2686:AE2686,IF(COUNTA(AC2686:AE2686)=0,"",MAX((AC2686:AE2686&lt;&gt;"")*(COLUMN(AC2686:AE2686)-(COLUMN(AC2686)-1))))-1),"")</f>
        <v>46260</v>
      </c>
      <c r="L2686" s="17" t="str">
        <f aca="false" t="array" ref="L2686:L2686">IFERROR(INDEX(AC2686:AE2686,IF(COUNTA(AC2686:AE2686)=0,"",MAX((AC2686:AE2686&lt;&gt;"")*(COLUMN(AC2686:AE2686)-(COLUMN(AC2686)-2))))-1),"")</f>
        <v>ARCHIVED</v>
      </c>
      <c r="M2686" s="13" t="n">
        <f aca="true">K2686-TODAY()</f>
        <v>-64</v>
      </c>
      <c r="N2686" s="18" t="s">
        <v>7313</v>
      </c>
      <c r="O2686" s="13" t="s">
        <v>7611</v>
      </c>
      <c r="P2686" s="19" t="n">
        <v>2550274</v>
      </c>
      <c r="Q2686" s="47" t="s">
        <v>11454</v>
      </c>
      <c r="R2686" s="13" t="s">
        <v>227</v>
      </c>
      <c r="S2686" s="16" t="n">
        <v>38704</v>
      </c>
      <c r="T2686" s="28" t="s">
        <v>40</v>
      </c>
      <c r="U2686" s="13" t="s">
        <v>11455</v>
      </c>
      <c r="V2686" s="13" t="s">
        <v>42</v>
      </c>
      <c r="W2686" s="13" t="s">
        <v>43</v>
      </c>
      <c r="X2686" s="21" t="n">
        <v>87866020595</v>
      </c>
      <c r="Y2686" s="22" t="str">
        <f aca="false">O2686</f>
        <v>Helper Kernet</v>
      </c>
      <c r="Z2686" s="13" t="str">
        <f aca="false">IFERROR(__xludf.dummyfunction("if(BJ2686="""","""",GOOGLETRANSLATE(BJ2686,""auto"",""en""))"),"Helper Kernet")</f>
        <v>Helper Kernet</v>
      </c>
      <c r="AA2686" s="23" t="str">
        <f aca="false">IF(C2686="","", CHOOSE(MONTH(C2686),"January","February","March","April","May","June","July","August","September","October","November","December")&amp;" "&amp;DAY(C2686)&amp;MID("thstndrdth",MIN(9,2*RIGHT(DAY(C2686))*(MOD(DAY(C2686)-11,100)&gt;2)+1),2)&amp;","&amp;TEXT(C2686," yyyy"))</f>
        <v>August 27th,2025</v>
      </c>
      <c r="AB2686" s="15" t="str">
        <f aca="true">IF(S2686="","",DATEDIF(S2686,TODAY(),"Y")&amp;" Tahun, "&amp;DATEDIF(S2686,TODAY(),"YM")&amp;" Bulan, "&amp;DATEDIF(S2686,TODAY(),"MD")&amp;" Hari")</f>
        <v>20 Tahun, 10 Bulan, 11 Hari</v>
      </c>
      <c r="AC2686" s="18" t="n">
        <v>45896</v>
      </c>
      <c r="AD2686" s="18" t="n">
        <f aca="false">EDATE(AC2686,12)-1</f>
        <v>46260</v>
      </c>
      <c r="AE2686" s="18" t="s">
        <v>44</v>
      </c>
    </row>
    <row r="2687" customFormat="false" ht="15" hidden="false" customHeight="true" outlineLevel="0" collapsed="false">
      <c r="A2687" s="12" t="n">
        <v>20772</v>
      </c>
      <c r="B2687" s="13" t="s">
        <v>11456</v>
      </c>
      <c r="C2687" s="16" t="n">
        <v>45897</v>
      </c>
      <c r="D2687" s="13" t="s">
        <v>7310</v>
      </c>
      <c r="E2687" s="15" t="s">
        <v>47</v>
      </c>
      <c r="F2687" s="15" t="str">
        <f aca="false">IFERROR(__xludf.dummyfunction("XLOOKUP(AJ2687,IMPORTRANGE(""1XaInW9DU9nz21V0tYIfzFQ0He9kVQ_JF2mCXgZ3hqFA"",""REKAP ALL 2026 - Andika!G:G""),IMPORTRANGE(""1XaInW9DU9nz21V0tYIfzFQ0He9kVQ_JF2mCXgZ3hqFA"",""REKAP ALL 2026 - Andika!F:F""),"""",0)"),"25133235280")</f>
        <v>25133235280</v>
      </c>
      <c r="G2687" s="13" t="s">
        <v>1127</v>
      </c>
      <c r="H2687" s="13" t="s">
        <v>35</v>
      </c>
      <c r="I2687" s="13" t="str">
        <f aca="false">IF(C2687=J2687,"NEW KONTRAK","RE-KONTRAK")</f>
        <v>NEW KONTRAK</v>
      </c>
      <c r="J2687" s="16" t="n">
        <f aca="false" t="array" ref="J2687:J2687">IFERROR(INDEX(AC2687:AE2687,IF(COUNTA(AC2687:AE2687)=0,"",MAX((AC2687:AE2687&lt;&gt;"")*(COLUMN(AC2687:AE2687)-(COLUMN(AC2687)))))-1),"")</f>
        <v>45897</v>
      </c>
      <c r="K2687" s="16" t="n">
        <f aca="false" t="array" ref="K2687:K2687">IFERROR(INDEX(AC2687:AE2687,IF(COUNTA(AC2687:AE2687)=0,"",MAX((AC2687:AE2687&lt;&gt;"")*(COLUMN(AC2687:AE2687)-(COLUMN(AC2687)-1))))-1),"")</f>
        <v>46261</v>
      </c>
      <c r="L2687" s="17" t="str">
        <f aca="false" t="array" ref="L2687:L2687">IFERROR(INDEX(AC2687:AE2687,IF(COUNTA(AC2687:AE2687)=0,"",MAX((AC2687:AE2687&lt;&gt;"")*(COLUMN(AC2687:AE2687)-(COLUMN(AC2687)-2))))-1),"")</f>
        <v>KEMBALI</v>
      </c>
      <c r="M2687" s="13" t="n">
        <f aca="true">K2687-TODAY()</f>
        <v>-63</v>
      </c>
      <c r="N2687" s="18" t="s">
        <v>7313</v>
      </c>
      <c r="O2687" s="13" t="s">
        <v>7611</v>
      </c>
      <c r="P2687" s="19" t="n">
        <v>2550274</v>
      </c>
      <c r="Q2687" s="47" t="s">
        <v>11457</v>
      </c>
      <c r="R2687" s="13" t="s">
        <v>227</v>
      </c>
      <c r="S2687" s="16" t="n">
        <v>37230</v>
      </c>
      <c r="T2687" s="28" t="s">
        <v>40</v>
      </c>
      <c r="U2687" s="13" t="s">
        <v>11458</v>
      </c>
      <c r="V2687" s="13" t="s">
        <v>42</v>
      </c>
      <c r="W2687" s="13" t="s">
        <v>54</v>
      </c>
      <c r="X2687" s="21" t="n">
        <v>81246085825</v>
      </c>
      <c r="Y2687" s="22" t="str">
        <f aca="false">O2687</f>
        <v>Helper Kernet</v>
      </c>
      <c r="Z2687" s="13" t="str">
        <f aca="false">IFERROR(__xludf.dummyfunction("if(BJ2687="""","""",GOOGLETRANSLATE(BJ2687,""auto"",""en""))"),"Helper Kernet")</f>
        <v>Helper Kernet</v>
      </c>
      <c r="AA2687" s="23" t="str">
        <f aca="false">IF(C2687="","", CHOOSE(MONTH(C2687),"January","February","March","April","May","June","July","August","September","October","November","December")&amp;" "&amp;DAY(C2687)&amp;MID("thstndrdth",MIN(9,2*RIGHT(DAY(C2687))*(MOD(DAY(C2687)-11,100)&gt;2)+1),2)&amp;","&amp;TEXT(C2687," yyyy"))</f>
        <v>August 28th,2025</v>
      </c>
      <c r="AB2687" s="15" t="str">
        <f aca="true">IF(S2687="","",DATEDIF(S2687,TODAY(),"Y")&amp;" Tahun, "&amp;DATEDIF(S2687,TODAY(),"YM")&amp;" Bulan, "&amp;DATEDIF(S2687,TODAY(),"MD")&amp;" Hari")</f>
        <v>24 Tahun, 10 Bulan, 24 Hari</v>
      </c>
      <c r="AC2687" s="18" t="n">
        <v>45897</v>
      </c>
      <c r="AD2687" s="18" t="n">
        <f aca="false">EDATE(AC2687,12)-1</f>
        <v>46261</v>
      </c>
      <c r="AE2687" s="13" t="s">
        <v>397</v>
      </c>
    </row>
    <row r="2688" customFormat="false" ht="15" hidden="false" customHeight="true" outlineLevel="0" collapsed="false">
      <c r="A2688" s="12" t="n">
        <v>20773</v>
      </c>
      <c r="B2688" s="13" t="s">
        <v>11459</v>
      </c>
      <c r="C2688" s="16" t="n">
        <v>45916</v>
      </c>
      <c r="D2688" s="13" t="s">
        <v>1066</v>
      </c>
      <c r="E2688" s="15" t="s">
        <v>47</v>
      </c>
      <c r="F2688" s="15" t="str">
        <f aca="false">IFERROR(__xludf.dummyfunction("XLOOKUP(AJ2688,IMPORTRANGE(""1XaInW9DU9nz21V0tYIfzFQ0He9kVQ_JF2mCXgZ3hqFA"",""REKAP ALL 2026 - Andika!G:G""),IMPORTRANGE(""1XaInW9DU9nz21V0tYIfzFQ0He9kVQ_JF2mCXgZ3hqFA"",""REKAP ALL 2026 - Andika!F:F""),"""",0)"),"25133241130")</f>
        <v>25133241130</v>
      </c>
      <c r="G2688" s="13" t="s">
        <v>1127</v>
      </c>
      <c r="H2688" s="13" t="s">
        <v>35</v>
      </c>
      <c r="I2688" s="13" t="str">
        <f aca="false">IF(C2688=J2688,"NEW KONTRAK","RE-KONTRAK")</f>
        <v>NEW KONTRAK</v>
      </c>
      <c r="J2688" s="16" t="n">
        <f aca="false" t="array" ref="J2688:J2688">IFERROR(INDEX(AC2688:AE2688,IF(COUNTA(AC2688:AE2688)=0,"",MAX((AC2688:AE2688&lt;&gt;"")*(COLUMN(AC2688:AE2688)-(COLUMN(AC2688)))))-1),"")</f>
        <v>45916</v>
      </c>
      <c r="K2688" s="16" t="n">
        <f aca="false" t="array" ref="K2688:K2688">IFERROR(INDEX(AC2688:AE2688,IF(COUNTA(AC2688:AE2688)=0,"",MAX((AC2688:AE2688&lt;&gt;"")*(COLUMN(AC2688:AE2688)-(COLUMN(AC2688)-1))))-1),"")</f>
        <v>46022</v>
      </c>
      <c r="L2688" s="17" t="str">
        <f aca="false" t="array" ref="L2688:L2688">IFERROR(INDEX(AC2688:AE2688,IF(COUNTA(AC2688:AE2688)=0,"",MAX((AC2688:AE2688&lt;&gt;"")*(COLUMN(AC2688:AE2688)-(COLUMN(AC2688)-2))))-1),"")</f>
        <v>ARCHIVED</v>
      </c>
      <c r="M2688" s="13" t="n">
        <f aca="true">K2688-TODAY()</f>
        <v>-302</v>
      </c>
      <c r="N2688" s="18" t="s">
        <v>615</v>
      </c>
      <c r="O2688" s="13" t="s">
        <v>1287</v>
      </c>
      <c r="P2688" s="19" t="n">
        <v>5176101</v>
      </c>
      <c r="Q2688" s="47" t="s">
        <v>11460</v>
      </c>
      <c r="R2688" s="13" t="s">
        <v>232</v>
      </c>
      <c r="S2688" s="16" t="n">
        <v>33608</v>
      </c>
      <c r="T2688" s="28" t="s">
        <v>40</v>
      </c>
      <c r="U2688" s="13" t="s">
        <v>11461</v>
      </c>
      <c r="V2688" s="13" t="s">
        <v>42</v>
      </c>
      <c r="W2688" s="13" t="s">
        <v>897</v>
      </c>
      <c r="X2688" s="21" t="s">
        <v>11462</v>
      </c>
      <c r="Y2688" s="22" t="str">
        <f aca="false">O2688</f>
        <v>Office Boy</v>
      </c>
      <c r="Z2688" s="13" t="str">
        <f aca="false">IFERROR(__xludf.dummyfunction("if(BJ2688="""","""",GOOGLETRANSLATE(BJ2688,""auto"",""en""))"),"Office Boy")</f>
        <v>Office Boy</v>
      </c>
      <c r="AA2688" s="23" t="str">
        <f aca="false">IF(C2688="","", CHOOSE(MONTH(C2688),"January","February","March","April","May","June","July","August","September","October","November","December")&amp;" "&amp;DAY(C2688)&amp;MID("thstndrdth",MIN(9,2*RIGHT(DAY(C2688))*(MOD(DAY(C2688)-11,100)&gt;2)+1),2)&amp;","&amp;TEXT(C2688," yyyy"))</f>
        <v>September 16th,2025</v>
      </c>
      <c r="AB2688" s="15" t="str">
        <f aca="true">IF(S2688="","",DATEDIF(S2688,TODAY(),"Y")&amp;" Tahun, "&amp;DATEDIF(S2688,TODAY(),"YM")&amp;" Bulan, "&amp;DATEDIF(S2688,TODAY(),"MD")&amp;" Hari")</f>
        <v>34 Tahun, 9 Bulan, 24 Hari</v>
      </c>
      <c r="AC2688" s="18" t="n">
        <v>45916</v>
      </c>
      <c r="AD2688" s="18" t="n">
        <v>46022</v>
      </c>
      <c r="AE2688" s="13" t="s">
        <v>44</v>
      </c>
    </row>
    <row r="2689" customFormat="false" ht="15" hidden="false" customHeight="true" outlineLevel="0" collapsed="false">
      <c r="A2689" s="12" t="n">
        <v>20781</v>
      </c>
      <c r="B2689" s="13" t="s">
        <v>11463</v>
      </c>
      <c r="C2689" s="16" t="n">
        <v>45911</v>
      </c>
      <c r="D2689" s="13" t="s">
        <v>7310</v>
      </c>
      <c r="E2689" s="15" t="s">
        <v>47</v>
      </c>
      <c r="F2689" s="15" t="str">
        <f aca="false">IFERROR(__xludf.dummyfunction("XLOOKUP(AJ2689,IMPORTRANGE(""1XaInW9DU9nz21V0tYIfzFQ0He9kVQ_JF2mCXgZ3hqFA"",""REKAP ALL 2026 - Andika!G:G""),IMPORTRANGE(""1XaInW9DU9nz21V0tYIfzFQ0He9kVQ_JF2mCXgZ3hqFA"",""REKAP ALL 2026 - Andika!F:F""),"""",0)"),"25133235298")</f>
        <v>25133235298</v>
      </c>
      <c r="G2689" s="13" t="s">
        <v>1127</v>
      </c>
      <c r="H2689" s="13" t="s">
        <v>35</v>
      </c>
      <c r="I2689" s="13" t="str">
        <f aca="false">IF(C2689=J2689,"NEW KONTRAK","RE-KONTRAK")</f>
        <v>NEW KONTRAK</v>
      </c>
      <c r="J2689" s="16" t="n">
        <f aca="false" t="array" ref="J2689:J2689">IFERROR(INDEX(AC2689:AE2689,IF(COUNTA(AC2689:AE2689)=0,"",MAX((AC2689:AE2689&lt;&gt;"")*(COLUMN(AC2689:AE2689)-(COLUMN(AC2689)))))-1),"")</f>
        <v>45911</v>
      </c>
      <c r="K2689" s="16" t="n">
        <f aca="false" t="array" ref="K2689:K2689">IFERROR(INDEX(AC2689:AE2689,IF(COUNTA(AC2689:AE2689)=0,"",MAX((AC2689:AE2689&lt;&gt;"")*(COLUMN(AC2689:AE2689)-(COLUMN(AC2689)-1))))-1),"")</f>
        <v>46267</v>
      </c>
      <c r="L2689" s="17" t="str">
        <f aca="false" t="array" ref="L2689:L2689">IFERROR(INDEX(AC2689:AE2689,IF(COUNTA(AC2689:AE2689)=0,"",MAX((AC2689:AE2689&lt;&gt;"")*(COLUMN(AC2689:AE2689)-(COLUMN(AC2689)-2))))-1),"")</f>
        <v>ARCHIVED</v>
      </c>
      <c r="M2689" s="13" t="n">
        <f aca="true">K2689-TODAY()</f>
        <v>-57</v>
      </c>
      <c r="N2689" s="18" t="s">
        <v>7313</v>
      </c>
      <c r="O2689" s="13" t="s">
        <v>7611</v>
      </c>
      <c r="P2689" s="19" t="n">
        <v>2550274</v>
      </c>
      <c r="Q2689" s="47" t="s">
        <v>11464</v>
      </c>
      <c r="R2689" s="13" t="s">
        <v>227</v>
      </c>
      <c r="S2689" s="16" t="n">
        <v>36760</v>
      </c>
      <c r="T2689" s="28" t="s">
        <v>40</v>
      </c>
      <c r="U2689" s="13" t="s">
        <v>11465</v>
      </c>
      <c r="V2689" s="13" t="s">
        <v>42</v>
      </c>
      <c r="W2689" s="13" t="s">
        <v>54</v>
      </c>
      <c r="X2689" s="21" t="n">
        <v>895370994823</v>
      </c>
      <c r="Y2689" s="22" t="str">
        <f aca="false">O2689</f>
        <v>Helper Kernet</v>
      </c>
      <c r="Z2689" s="13" t="str">
        <f aca="false">IFERROR(__xludf.dummyfunction("if(BJ2689="""","""",GOOGLETRANSLATE(BJ2689,""auto"",""en""))"),"Helper Kernet")</f>
        <v>Helper Kernet</v>
      </c>
      <c r="AA2689" s="23" t="str">
        <f aca="false">IF(C2689="","", CHOOSE(MONTH(C2689),"January","February","March","April","May","June","July","August","September","October","November","December")&amp;" "&amp;DAY(C2689)&amp;MID("thstndrdth",MIN(9,2*RIGHT(DAY(C2689))*(MOD(DAY(C2689)-11,100)&gt;2)+1),2)&amp;","&amp;TEXT(C2689," yyyy"))</f>
        <v>September 11th,2025</v>
      </c>
      <c r="AB2689" s="15" t="str">
        <f aca="true">IF(S2689="","",DATEDIF(S2689,TODAY(),"Y")&amp;" Tahun, "&amp;DATEDIF(S2689,TODAY(),"YM")&amp;" Bulan, "&amp;DATEDIF(S2689,TODAY(),"MD")&amp;" Hari")</f>
        <v>26 Tahun, 2 Bulan, 7 Hari</v>
      </c>
      <c r="AC2689" s="18" t="n">
        <v>45911</v>
      </c>
      <c r="AD2689" s="18" t="n">
        <v>46267</v>
      </c>
      <c r="AE2689" s="18" t="s">
        <v>44</v>
      </c>
    </row>
    <row r="2690" customFormat="false" ht="15" hidden="false" customHeight="true" outlineLevel="0" collapsed="false">
      <c r="A2690" s="12" t="n">
        <v>20783</v>
      </c>
      <c r="B2690" s="13" t="s">
        <v>11466</v>
      </c>
      <c r="C2690" s="16" t="n">
        <v>45915</v>
      </c>
      <c r="D2690" s="13" t="s">
        <v>144</v>
      </c>
      <c r="E2690" s="15" t="s">
        <v>47</v>
      </c>
      <c r="F2690" s="15" t="str">
        <f aca="false">IFERROR(__xludf.dummyfunction("XLOOKUP(AJ2690,IMPORTRANGE(""1XaInW9DU9nz21V0tYIfzFQ0He9kVQ_JF2mCXgZ3hqFA"",""REKAP ALL 2026 - Andika!G:G""),IMPORTRANGE(""1XaInW9DU9nz21V0tYIfzFQ0He9kVQ_JF2mCXgZ3hqFA"",""REKAP ALL 2026 - Andika!F:F""),"""",0)"),"25133240348")</f>
        <v>25133240348</v>
      </c>
      <c r="G2690" s="13" t="s">
        <v>1127</v>
      </c>
      <c r="H2690" s="13" t="s">
        <v>35</v>
      </c>
      <c r="I2690" s="13" t="str">
        <f aca="false">IF(C2690=J2690,"NEW KONTRAK","RE-KONTRAK")</f>
        <v>NEW KONTRAK</v>
      </c>
      <c r="J2690" s="16" t="n">
        <f aca="false" t="array" ref="J2690:J2690">IFERROR(INDEX(AC2690:AE2690,IF(COUNTA(AC2690:AE2690)=0,"",MAX((AC2690:AE2690&lt;&gt;"")*(COLUMN(AC2690:AE2690)-(COLUMN(AC2690)))))-1),"")</f>
        <v>45915</v>
      </c>
      <c r="K2690" s="16" t="n">
        <f aca="false" t="array" ref="K2690:K2690">IFERROR(INDEX(AC2690:AE2690,IF(COUNTA(AC2690:AE2690)=0,"",MAX((AC2690:AE2690&lt;&gt;"")*(COLUMN(AC2690:AE2690)-(COLUMN(AC2690)-1))))-1),"")</f>
        <v>46022</v>
      </c>
      <c r="L2690" s="17" t="str">
        <f aca="false" t="array" ref="L2690:L2690">IFERROR(INDEX(AC2690:AE2690,IF(COUNTA(AC2690:AE2690)=0,"",MAX((AC2690:AE2690&lt;&gt;"")*(COLUMN(AC2690:AE2690)-(COLUMN(AC2690)-2))))-1),"")</f>
        <v>ARCHIVED</v>
      </c>
      <c r="M2690" s="13" t="n">
        <f aca="true">K2690-TODAY()</f>
        <v>-302</v>
      </c>
      <c r="N2690" s="18" t="s">
        <v>36</v>
      </c>
      <c r="O2690" s="13" t="s">
        <v>156</v>
      </c>
      <c r="P2690" s="19" t="n">
        <v>5195401</v>
      </c>
      <c r="Q2690" s="47" t="s">
        <v>11467</v>
      </c>
      <c r="R2690" s="13" t="s">
        <v>65</v>
      </c>
      <c r="S2690" s="16" t="n">
        <v>35739</v>
      </c>
      <c r="T2690" s="28" t="s">
        <v>40</v>
      </c>
      <c r="U2690" s="13" t="s">
        <v>11468</v>
      </c>
      <c r="V2690" s="13" t="s">
        <v>42</v>
      </c>
      <c r="W2690" s="13" t="s">
        <v>43</v>
      </c>
      <c r="X2690" s="67" t="n">
        <v>85648336529</v>
      </c>
      <c r="Y2690" s="22" t="str">
        <f aca="false">O2690</f>
        <v>Emulsion</v>
      </c>
      <c r="Z2690" s="13" t="str">
        <f aca="false">IFERROR(__xludf.dummyfunction("if(BJ2690="""","""",GOOGLETRANSLATE(BJ2690,""auto"",""en""))"),"Emulsion")</f>
        <v>Emulsion</v>
      </c>
      <c r="AA2690" s="23" t="str">
        <f aca="false">IF(C2690="","", CHOOSE(MONTH(C2690),"January","February","March","April","May","June","July","August","September","October","November","December")&amp;" "&amp;DAY(C2690)&amp;MID("thstndrdth",MIN(9,2*RIGHT(DAY(C2690))*(MOD(DAY(C2690)-11,100)&gt;2)+1),2)&amp;","&amp;TEXT(C2690," yyyy"))</f>
        <v>September 15th,2025</v>
      </c>
      <c r="AB2690" s="15" t="str">
        <f aca="true">IF(S2690="","",DATEDIF(S2690,TODAY(),"Y")&amp;" Tahun, "&amp;DATEDIF(S2690,TODAY(),"YM")&amp;" Bulan, "&amp;DATEDIF(S2690,TODAY(),"MD")&amp;" Hari")</f>
        <v>28 Tahun, 11 Bulan, 24 Hari</v>
      </c>
      <c r="AC2690" s="18" t="n">
        <v>45915</v>
      </c>
      <c r="AD2690" s="18" t="n">
        <v>46022</v>
      </c>
      <c r="AE2690" s="13" t="s">
        <v>44</v>
      </c>
    </row>
    <row r="2691" customFormat="false" ht="15" hidden="false" customHeight="true" outlineLevel="0" collapsed="false">
      <c r="A2691" s="12" t="n">
        <v>20784</v>
      </c>
      <c r="B2691" s="13" t="s">
        <v>11469</v>
      </c>
      <c r="C2691" s="16" t="n">
        <v>45896</v>
      </c>
      <c r="D2691" s="13" t="s">
        <v>144</v>
      </c>
      <c r="E2691" s="15" t="s">
        <v>47</v>
      </c>
      <c r="F2691" s="15" t="str">
        <f aca="false">IFERROR(__xludf.dummyfunction("XLOOKUP(AJ2691,IMPORTRANGE(""1XaInW9DU9nz21V0tYIfzFQ0He9kVQ_JF2mCXgZ3hqFA"",""REKAP ALL 2026 - Andika!G:G""),IMPORTRANGE(""1XaInW9DU9nz21V0tYIfzFQ0He9kVQ_JF2mCXgZ3hqFA"",""REKAP ALL 2026 - Andika!F:F""),"""",0)"),"25133240223")</f>
        <v>25133240223</v>
      </c>
      <c r="G2691" s="13" t="s">
        <v>1127</v>
      </c>
      <c r="H2691" s="13" t="s">
        <v>35</v>
      </c>
      <c r="I2691" s="13" t="str">
        <f aca="false">IF(C2691=J2691,"NEW KONTRAK","RE-KONTRAK")</f>
        <v>NEW KONTRAK</v>
      </c>
      <c r="J2691" s="16" t="n">
        <f aca="false" t="array" ref="J2691:J2691">IFERROR(INDEX(AC2691:AE2691,IF(COUNTA(AC2691:AE2691)=0,"",MAX((AC2691:AE2691&lt;&gt;"")*(COLUMN(AC2691:AE2691)-(COLUMN(AC2691)))))-1),"")</f>
        <v>45896</v>
      </c>
      <c r="K2691" s="16" t="n">
        <f aca="false" t="array" ref="K2691:K2691">IFERROR(INDEX(AC2691:AE2691,IF(COUNTA(AC2691:AE2691)=0,"",MAX((AC2691:AE2691&lt;&gt;"")*(COLUMN(AC2691:AE2691)-(COLUMN(AC2691)-1))))-1),"")</f>
        <v>46022</v>
      </c>
      <c r="L2691" s="17" t="str">
        <f aca="false" t="array" ref="L2691:L2691">IFERROR(INDEX(AC2691:AE2691,IF(COUNTA(AC2691:AE2691)=0,"",MAX((AC2691:AE2691&lt;&gt;"")*(COLUMN(AC2691:AE2691)-(COLUMN(AC2691)-2))))-1),"")</f>
        <v>ARCHIVED</v>
      </c>
      <c r="M2691" s="13" t="n">
        <f aca="true">K2691-TODAY()</f>
        <v>-302</v>
      </c>
      <c r="N2691" s="18" t="s">
        <v>36</v>
      </c>
      <c r="O2691" s="13" t="s">
        <v>156</v>
      </c>
      <c r="P2691" s="19" t="n">
        <v>5195401</v>
      </c>
      <c r="Q2691" s="47" t="s">
        <v>11470</v>
      </c>
      <c r="R2691" s="13" t="s">
        <v>65</v>
      </c>
      <c r="S2691" s="16" t="n">
        <v>25806</v>
      </c>
      <c r="T2691" s="28" t="s">
        <v>40</v>
      </c>
      <c r="U2691" s="13" t="s">
        <v>11471</v>
      </c>
      <c r="V2691" s="13" t="s">
        <v>42</v>
      </c>
      <c r="W2691" s="13" t="s">
        <v>54</v>
      </c>
      <c r="X2691" s="67" t="n">
        <v>85549003866</v>
      </c>
      <c r="Y2691" s="22" t="str">
        <f aca="false">O2691</f>
        <v>Emulsion</v>
      </c>
      <c r="Z2691" s="13" t="str">
        <f aca="false">IFERROR(__xludf.dummyfunction("if(BJ2691="""","""",GOOGLETRANSLATE(BJ2691,""auto"",""en""))"),"Emulsion")</f>
        <v>Emulsion</v>
      </c>
      <c r="AA2691" s="23" t="str">
        <f aca="false">IF(C2691="","", CHOOSE(MONTH(C2691),"January","February","March","April","May","June","July","August","September","October","November","December")&amp;" "&amp;DAY(C2691)&amp;MID("thstndrdth",MIN(9,2*RIGHT(DAY(C2691))*(MOD(DAY(C2691)-11,100)&gt;2)+1),2)&amp;","&amp;TEXT(C2691," yyyy"))</f>
        <v>August 27th,2025</v>
      </c>
      <c r="AB2691" s="15" t="str">
        <f aca="true">IF(S2691="","",DATEDIF(S2691,TODAY(),"Y")&amp;" Tahun, "&amp;DATEDIF(S2691,TODAY(),"YM")&amp;" Bulan, "&amp;DATEDIF(S2691,TODAY(),"MD")&amp;" Hari")</f>
        <v>56 Tahun, 2 Bulan, 3 Hari</v>
      </c>
      <c r="AC2691" s="18" t="n">
        <v>45896</v>
      </c>
      <c r="AD2691" s="18" t="n">
        <v>46022</v>
      </c>
      <c r="AE2691" s="13" t="s">
        <v>44</v>
      </c>
    </row>
    <row r="2692" customFormat="false" ht="15" hidden="false" customHeight="true" outlineLevel="0" collapsed="false">
      <c r="A2692" s="12" t="n">
        <v>20790</v>
      </c>
      <c r="B2692" s="13" t="s">
        <v>11472</v>
      </c>
      <c r="C2692" s="16" t="n">
        <v>45901</v>
      </c>
      <c r="D2692" s="13" t="s">
        <v>2033</v>
      </c>
      <c r="E2692" s="15" t="s">
        <v>102</v>
      </c>
      <c r="F2692" s="15" t="str">
        <f aca="false">IFERROR(__xludf.dummyfunction("XLOOKUP(AJ2692,IMPORTRANGE(""1XaInW9DU9nz21V0tYIfzFQ0He9kVQ_JF2mCXgZ3hqFA"",""REKAP ALL 2026 - Andika!G:G""),IMPORTRANGE(""1XaInW9DU9nz21V0tYIfzFQ0He9kVQ_JF2mCXgZ3hqFA"",""REKAP ALL 2026 - Andika!F:F""),"""",0)"),"25133235033")</f>
        <v>25133235033</v>
      </c>
      <c r="G2692" s="13" t="s">
        <v>1127</v>
      </c>
      <c r="H2692" s="13" t="s">
        <v>2035</v>
      </c>
      <c r="I2692" s="13" t="str">
        <f aca="false">IF(C2692=J2692,"NEW KONTRAK","RE-KONTRAK")</f>
        <v>NEW KONTRAK</v>
      </c>
      <c r="J2692" s="16" t="n">
        <f aca="false" t="array" ref="J2692:J2692">IFERROR(INDEX(AC2692:AE2692,IF(COUNTA(AC2692:AE2692)=0,"",MAX((AC2692:AE2692&lt;&gt;"")*(COLUMN(AC2692:AE2692)-(COLUMN(AC2692)))))-1),"")</f>
        <v>45901</v>
      </c>
      <c r="K2692" s="16" t="n">
        <f aca="false" t="array" ref="K2692:K2692">IFERROR(INDEX(AC2692:AE2692,IF(COUNTA(AC2692:AE2692)=0,"",MAX((AC2692:AE2692&lt;&gt;"")*(COLUMN(AC2692:AE2692)-(COLUMN(AC2692)-1))))-1),"")</f>
        <v>45915</v>
      </c>
      <c r="L2692" s="17" t="str">
        <f aca="false" t="array" ref="L2692:L2692">IFERROR(INDEX(AC2692:AE2692,IF(COUNTA(AC2692:AE2692)=0,"",MAX((AC2692:AE2692&lt;&gt;"")*(COLUMN(AC2692:AE2692)-(COLUMN(AC2692)-2))))-1),"")</f>
        <v>ARCHIVED</v>
      </c>
      <c r="M2692" s="13" t="n">
        <f aca="true">K2692-TODAY()</f>
        <v>-409</v>
      </c>
      <c r="N2692" s="18" t="s">
        <v>5340</v>
      </c>
      <c r="O2692" s="13" t="s">
        <v>2037</v>
      </c>
      <c r="P2692" s="19" t="n">
        <v>3559112</v>
      </c>
      <c r="Q2692" s="47" t="s">
        <v>11473</v>
      </c>
      <c r="R2692" s="13" t="s">
        <v>5340</v>
      </c>
      <c r="S2692" s="16" t="n">
        <v>38248</v>
      </c>
      <c r="T2692" s="13" t="s">
        <v>108</v>
      </c>
      <c r="U2692" s="13" t="s">
        <v>11474</v>
      </c>
      <c r="V2692" s="13" t="s">
        <v>42</v>
      </c>
      <c r="W2692" s="13" t="s">
        <v>43</v>
      </c>
      <c r="X2692" s="21" t="n">
        <v>895601568877</v>
      </c>
      <c r="Y2692" s="22" t="str">
        <f aca="false">O2692</f>
        <v>SPG/BA</v>
      </c>
      <c r="Z2692" s="13" t="str">
        <f aca="false">IFERROR(__xludf.dummyfunction("if(BJ2692="""","""",GOOGLETRANSLATE(BJ2692,""auto"",""en""))"),"SPG/BA")</f>
        <v>SPG/BA</v>
      </c>
      <c r="AA2692" s="23" t="str">
        <f aca="false">IF(C2692="","", CHOOSE(MONTH(C2692),"January","February","March","April","May","June","July","August","September","October","November","December")&amp;" "&amp;DAY(C2692)&amp;MID("thstndrdth",MIN(9,2*RIGHT(DAY(C2692))*(MOD(DAY(C2692)-11,100)&gt;2)+1),2)&amp;","&amp;TEXT(C2692," yyyy"))</f>
        <v>September 1st,2025</v>
      </c>
      <c r="AB2692" s="15" t="str">
        <f aca="true">IF(S2692="","",DATEDIF(S2692,TODAY(),"Y")&amp;" Tahun, "&amp;DATEDIF(S2692,TODAY(),"YM")&amp;" Bulan, "&amp;DATEDIF(S2692,TODAY(),"MD")&amp;" Hari")</f>
        <v>22 Tahun, 1 Bulan, 11 Hari</v>
      </c>
      <c r="AC2692" s="18" t="n">
        <v>45901</v>
      </c>
      <c r="AD2692" s="18" t="n">
        <v>45915</v>
      </c>
      <c r="AE2692" s="18" t="s">
        <v>44</v>
      </c>
    </row>
    <row r="2693" customFormat="false" ht="15" hidden="false" customHeight="true" outlineLevel="0" collapsed="false">
      <c r="A2693" s="12" t="n">
        <v>23007</v>
      </c>
      <c r="B2693" s="13" t="s">
        <v>11475</v>
      </c>
      <c r="C2693" s="14" t="n">
        <v>46283</v>
      </c>
      <c r="D2693" s="13" t="s">
        <v>2033</v>
      </c>
      <c r="E2693" s="13" t="s">
        <v>47</v>
      </c>
      <c r="F2693" s="24" t="s">
        <v>11476</v>
      </c>
      <c r="G2693" s="13" t="s">
        <v>1127</v>
      </c>
      <c r="H2693" s="13" t="s">
        <v>35</v>
      </c>
      <c r="I2693" s="13" t="str">
        <f aca="false">IF(C2693=J2693,"NEW KONTRAK","RE-KONTRAK")</f>
        <v>NEW KONTRAK</v>
      </c>
      <c r="J2693" s="16" t="n">
        <f aca="false" t="array" ref="J2693:J2693">IFERROR(INDEX(AC2693:AE2693,IF(COUNTA(AC2693:AE2693)=0,"",MAX((AC2693:AE2693&lt;&gt;"")*(COLUMN(AC2693:AE2693)-(COLUMN(AC2693)))))-1),"")</f>
        <v>46283</v>
      </c>
      <c r="K2693" s="16" t="n">
        <f aca="false" t="array" ref="K2693:K2693">IFERROR(INDEX(AC2693:AE2693,IF(COUNTA(AC2693:AE2693)=0,"",MAX((AC2693:AE2693&lt;&gt;"")*(COLUMN(AC2693:AE2693)-(COLUMN(AC2693)-1))))-1),"")</f>
        <v>46402</v>
      </c>
      <c r="L2693" s="17" t="str">
        <f aca="false" t="array" ref="L2693:L2693">IFERROR(INDEX(AC2693:AE2693,IF(COUNTA(AC2693:AE2693)=0,"",MAX((AC2693:AE2693&lt;&gt;"")*(COLUMN(AC2693:AE2693)-(COLUMN(AC2693)-2))))-1),"")</f>
        <v>DRAFTED ONLINE</v>
      </c>
      <c r="M2693" s="13" t="n">
        <f aca="true">K2693-TODAY()</f>
        <v>78</v>
      </c>
      <c r="N2693" s="13" t="s">
        <v>2373</v>
      </c>
      <c r="O2693" s="13" t="s">
        <v>2384</v>
      </c>
      <c r="P2693" s="26" t="n">
        <v>2570000</v>
      </c>
      <c r="Q2693" s="20" t="s">
        <v>11477</v>
      </c>
      <c r="R2693" s="13" t="s">
        <v>179</v>
      </c>
      <c r="S2693" s="25" t="n">
        <v>38456</v>
      </c>
      <c r="T2693" s="13" t="s">
        <v>108</v>
      </c>
      <c r="U2693" s="13" t="s">
        <v>11478</v>
      </c>
      <c r="V2693" s="13" t="s">
        <v>42</v>
      </c>
      <c r="W2693" s="13" t="s">
        <v>43</v>
      </c>
      <c r="X2693" s="21" t="n">
        <v>85801650578</v>
      </c>
      <c r="Y2693" s="22" t="str">
        <f aca="false">O2693</f>
        <v>SPG</v>
      </c>
      <c r="Z2693" s="13" t="str">
        <f aca="false">IFERROR(__xludf.dummyfunction("if(BJ2693="""","""",GOOGLETRANSLATE(BJ2693,""auto"",""en""))"),"SPG")</f>
        <v>SPG</v>
      </c>
      <c r="AA2693" s="23" t="str">
        <f aca="false">IF(C2693="","", CHOOSE(MONTH(C2693),"January","February","March","April","May","June","July","August","September","October","November","December")&amp;" "&amp;DAY(C2693)&amp;MID("thstndrdth",MIN(9,2*RIGHT(DAY(C2693))*(MOD(DAY(C2693)-11,100)&gt;2)+1),2)&amp;","&amp;TEXT(C2693," yyyy"))</f>
        <v>September 18th,2026</v>
      </c>
      <c r="AB2693" s="15" t="str">
        <f aca="true">IF(S2693="","",DATEDIF(S2693,TODAY(),"Y")&amp;" Tahun, "&amp;DATEDIF(S2693,TODAY(),"YM")&amp;" Bulan, "&amp;DATEDIF(S2693,TODAY(),"MD")&amp;" Hari")</f>
        <v>21 Tahun, 6 Bulan, 15 Hari</v>
      </c>
      <c r="AC2693" s="14" t="n">
        <v>46283</v>
      </c>
      <c r="AD2693" s="18" t="n">
        <v>46402</v>
      </c>
      <c r="AE2693" s="13" t="s">
        <v>2424</v>
      </c>
    </row>
    <row r="2694" customFormat="false" ht="15" hidden="false" customHeight="true" outlineLevel="0" collapsed="false">
      <c r="A2694" s="12" t="n">
        <v>23008</v>
      </c>
      <c r="B2694" s="13" t="s">
        <v>11479</v>
      </c>
      <c r="C2694" s="14" t="n">
        <v>46282</v>
      </c>
      <c r="D2694" s="13" t="s">
        <v>2033</v>
      </c>
      <c r="E2694" s="13" t="s">
        <v>47</v>
      </c>
      <c r="F2694" s="24" t="s">
        <v>11480</v>
      </c>
      <c r="G2694" s="13" t="s">
        <v>1127</v>
      </c>
      <c r="H2694" s="13" t="s">
        <v>35</v>
      </c>
      <c r="I2694" s="13" t="str">
        <f aca="false">IF(C2694=J2694,"NEW KONTRAK","RE-KONTRAK")</f>
        <v>NEW KONTRAK</v>
      </c>
      <c r="J2694" s="16" t="n">
        <f aca="false" t="array" ref="J2694:J2694">IFERROR(INDEX(AC2694:AE2694,IF(COUNTA(AC2694:AE2694)=0,"",MAX((AC2694:AE2694&lt;&gt;"")*(COLUMN(AC2694:AE2694)-(COLUMN(AC2694)))))-1),"")</f>
        <v>46282</v>
      </c>
      <c r="K2694" s="16" t="n">
        <f aca="false" t="array" ref="K2694:K2694">IFERROR(INDEX(AC2694:AE2694,IF(COUNTA(AC2694:AE2694)=0,"",MAX((AC2694:AE2694&lt;&gt;"")*(COLUMN(AC2694:AE2694)-(COLUMN(AC2694)-1))))-1),"")</f>
        <v>46402</v>
      </c>
      <c r="L2694" s="17" t="str">
        <f aca="false" t="array" ref="L2694:L2694">IFERROR(INDEX(AC2694:AE2694,IF(COUNTA(AC2694:AE2694)=0,"",MAX((AC2694:AE2694&lt;&gt;"")*(COLUMN(AC2694:AE2694)-(COLUMN(AC2694)-2))))-1),"")</f>
        <v>DRAFTED ONLINE</v>
      </c>
      <c r="M2694" s="13" t="n">
        <f aca="true">K2694-TODAY()</f>
        <v>78</v>
      </c>
      <c r="N2694" s="13" t="s">
        <v>9887</v>
      </c>
      <c r="O2694" s="13" t="s">
        <v>2384</v>
      </c>
      <c r="P2694" s="26" t="n">
        <v>4436283</v>
      </c>
      <c r="Q2694" s="20" t="s">
        <v>11481</v>
      </c>
      <c r="R2694" s="13" t="s">
        <v>11482</v>
      </c>
      <c r="S2694" s="25" t="n">
        <v>37381</v>
      </c>
      <c r="T2694" s="13" t="s">
        <v>108</v>
      </c>
      <c r="U2694" s="13" t="s">
        <v>11483</v>
      </c>
      <c r="V2694" s="13" t="s">
        <v>99</v>
      </c>
      <c r="W2694" s="13" t="s">
        <v>43</v>
      </c>
      <c r="X2694" s="21" t="n">
        <v>81252858470</v>
      </c>
      <c r="Y2694" s="22" t="str">
        <f aca="false">O2694</f>
        <v>SPG</v>
      </c>
      <c r="Z2694" s="13" t="str">
        <f aca="false">IFERROR(__xludf.dummyfunction("if(BJ2694="""","""",GOOGLETRANSLATE(BJ2694,""auto"",""en""))"),"SPG")</f>
        <v>SPG</v>
      </c>
      <c r="AA2694" s="23" t="str">
        <f aca="false">IF(C2694="","", CHOOSE(MONTH(C2694),"January","February","March","April","May","June","July","August","September","October","November","December")&amp;" "&amp;DAY(C2694)&amp;MID("thstndrdth",MIN(9,2*RIGHT(DAY(C2694))*(MOD(DAY(C2694)-11,100)&gt;2)+1),2)&amp;","&amp;TEXT(C2694," yyyy"))</f>
        <v>September 17th,2026</v>
      </c>
      <c r="AB2694" s="15" t="str">
        <f aca="true">IF(S2694="","",DATEDIF(S2694,TODAY(),"Y")&amp;" Tahun, "&amp;DATEDIF(S2694,TODAY(),"YM")&amp;" Bulan, "&amp;DATEDIF(S2694,TODAY(),"MD")&amp;" Hari")</f>
        <v>24 Tahun, 5 Bulan, 24 Hari</v>
      </c>
      <c r="AC2694" s="14" t="n">
        <v>46282</v>
      </c>
      <c r="AD2694" s="18" t="n">
        <v>46402</v>
      </c>
      <c r="AE2694" s="13" t="s">
        <v>2424</v>
      </c>
    </row>
    <row r="2695" customFormat="false" ht="15" hidden="false" customHeight="true" outlineLevel="0" collapsed="false">
      <c r="A2695" s="12" t="n">
        <v>20793</v>
      </c>
      <c r="B2695" s="13" t="s">
        <v>11484</v>
      </c>
      <c r="C2695" s="16" t="n">
        <v>45901</v>
      </c>
      <c r="D2695" s="13" t="s">
        <v>2033</v>
      </c>
      <c r="E2695" s="15" t="s">
        <v>33</v>
      </c>
      <c r="F2695" s="24" t="s">
        <v>11485</v>
      </c>
      <c r="G2695" s="13" t="s">
        <v>1127</v>
      </c>
      <c r="H2695" s="13" t="s">
        <v>2035</v>
      </c>
      <c r="I2695" s="13" t="str">
        <f aca="false">IF(C2695=J2695,"NEW KONTRAK","RE-KONTRAK")</f>
        <v>NEW KONTRAK</v>
      </c>
      <c r="J2695" s="16" t="n">
        <f aca="false" t="array" ref="J2695:J2695">IFERROR(INDEX(AC2695:AE2695,IF(COUNTA(AC2695:AE2695)=0,"",MAX((AC2695:AE2695&lt;&gt;"")*(COLUMN(AC2695:AE2695)-(COLUMN(AC2695)))))-1),"")</f>
        <v>45901</v>
      </c>
      <c r="K2695" s="16" t="n">
        <f aca="false" t="array" ref="K2695:K2695">IFERROR(INDEX(AC2695:AE2695,IF(COUNTA(AC2695:AE2695)=0,"",MAX((AC2695:AE2695&lt;&gt;"")*(COLUMN(AC2695:AE2695)-(COLUMN(AC2695)-1))))-1),"")</f>
        <v>45915</v>
      </c>
      <c r="L2695" s="17" t="str">
        <f aca="false" t="array" ref="L2695:L2695">IFERROR(INDEX(AC2695:AE2695,IF(COUNTA(AC2695:AE2695)=0,"",MAX((AC2695:AE2695&lt;&gt;"")*(COLUMN(AC2695:AE2695)-(COLUMN(AC2695)-2))))-1),"")</f>
        <v>ARCHIVED</v>
      </c>
      <c r="M2695" s="13" t="n">
        <f aca="true">K2695-TODAY()</f>
        <v>-409</v>
      </c>
      <c r="N2695" s="18" t="s">
        <v>2363</v>
      </c>
      <c r="O2695" s="13" t="s">
        <v>2037</v>
      </c>
      <c r="P2695" s="19" t="n">
        <v>4014072</v>
      </c>
      <c r="Q2695" s="47" t="s">
        <v>11486</v>
      </c>
      <c r="R2695" s="13" t="s">
        <v>2363</v>
      </c>
      <c r="S2695" s="16" t="n">
        <v>36672</v>
      </c>
      <c r="T2695" s="13" t="s">
        <v>108</v>
      </c>
      <c r="U2695" s="13" t="s">
        <v>11487</v>
      </c>
      <c r="V2695" s="13" t="s">
        <v>42</v>
      </c>
      <c r="W2695" s="13" t="s">
        <v>43</v>
      </c>
      <c r="X2695" s="21" t="n">
        <v>89666420780</v>
      </c>
      <c r="Y2695" s="22" t="str">
        <f aca="false">O2695</f>
        <v>SPG/BA</v>
      </c>
      <c r="Z2695" s="13" t="str">
        <f aca="false">IFERROR(__xludf.dummyfunction("if(BJ2695="""","""",GOOGLETRANSLATE(BJ2695,""auto"",""en""))"),"SPG/BA")</f>
        <v>SPG/BA</v>
      </c>
      <c r="AA2695" s="23" t="str">
        <f aca="false">IF(C2695="","", CHOOSE(MONTH(C2695),"January","February","March","April","May","June","July","August","September","October","November","December")&amp;" "&amp;DAY(C2695)&amp;MID("thstndrdth",MIN(9,2*RIGHT(DAY(C2695))*(MOD(DAY(C2695)-11,100)&gt;2)+1),2)&amp;","&amp;TEXT(C2695," yyyy"))</f>
        <v>September 1st,2025</v>
      </c>
      <c r="AB2695" s="15" t="str">
        <f aca="true">IF(S2695="","",DATEDIF(S2695,TODAY(),"Y")&amp;" Tahun, "&amp;DATEDIF(S2695,TODAY(),"YM")&amp;" Bulan, "&amp;DATEDIF(S2695,TODAY(),"MD")&amp;" Hari")</f>
        <v>26 Tahun, 5 Bulan, 3 Hari</v>
      </c>
      <c r="AC2695" s="18" t="n">
        <v>45901</v>
      </c>
      <c r="AD2695" s="18" t="n">
        <v>45915</v>
      </c>
      <c r="AE2695" s="18" t="s">
        <v>44</v>
      </c>
    </row>
    <row r="2696" customFormat="false" ht="15" hidden="false" customHeight="true" outlineLevel="0" collapsed="false">
      <c r="A2696" s="12" t="n">
        <v>20794</v>
      </c>
      <c r="B2696" s="13" t="s">
        <v>11488</v>
      </c>
      <c r="C2696" s="16" t="n">
        <v>45905</v>
      </c>
      <c r="D2696" s="13" t="s">
        <v>2033</v>
      </c>
      <c r="E2696" s="15" t="s">
        <v>102</v>
      </c>
      <c r="F2696" s="15" t="str">
        <f aca="false">IFERROR(__xludf.dummyfunction("XLOOKUP(AJ2696,IMPORTRANGE(""1XaInW9DU9nz21V0tYIfzFQ0He9kVQ_JF2mCXgZ3hqFA"",""REKAP ALL 2026 - Andika!G:G""),IMPORTRANGE(""1XaInW9DU9nz21V0tYIfzFQ0He9kVQ_JF2mCXgZ3hqFA"",""REKAP ALL 2026 - Andika!F:F""),"""",0)"),"25133235124")</f>
        <v>25133235124</v>
      </c>
      <c r="G2696" s="13" t="s">
        <v>1127</v>
      </c>
      <c r="H2696" s="13" t="s">
        <v>2035</v>
      </c>
      <c r="I2696" s="13" t="str">
        <f aca="false">IF(C2696=J2696,"NEW KONTRAK","RE-KONTRAK")</f>
        <v>NEW KONTRAK</v>
      </c>
      <c r="J2696" s="16" t="n">
        <f aca="false" t="array" ref="J2696:J2696">IFERROR(INDEX(AC2696:AE2696,IF(COUNTA(AC2696:AE2696)=0,"",MAX((AC2696:AE2696&lt;&gt;"")*(COLUMN(AC2696:AE2696)-(COLUMN(AC2696)))))-1),"")</f>
        <v>45905</v>
      </c>
      <c r="K2696" s="16" t="n">
        <f aca="false" t="array" ref="K2696:K2696">IFERROR(INDEX(AC2696:AE2696,IF(COUNTA(AC2696:AE2696)=0,"",MAX((AC2696:AE2696&lt;&gt;"")*(COLUMN(AC2696:AE2696)-(COLUMN(AC2696)-1))))-1),"")</f>
        <v>45915</v>
      </c>
      <c r="L2696" s="17" t="str">
        <f aca="false" t="array" ref="L2696:L2696">IFERROR(INDEX(AC2696:AE2696,IF(COUNTA(AC2696:AE2696)=0,"",MAX((AC2696:AE2696&lt;&gt;"")*(COLUMN(AC2696:AE2696)-(COLUMN(AC2696)-2))))-1),"")</f>
        <v>ARCHIVED</v>
      </c>
      <c r="M2696" s="13" t="n">
        <f aca="true">K2696-TODAY()</f>
        <v>-409</v>
      </c>
      <c r="N2696" s="18" t="s">
        <v>2587</v>
      </c>
      <c r="O2696" s="13" t="s">
        <v>2037</v>
      </c>
      <c r="P2696" s="19" t="n">
        <v>3599182</v>
      </c>
      <c r="Q2696" s="47" t="s">
        <v>11489</v>
      </c>
      <c r="R2696" s="13" t="s">
        <v>11490</v>
      </c>
      <c r="S2696" s="16" t="n">
        <v>39005</v>
      </c>
      <c r="T2696" s="13" t="s">
        <v>108</v>
      </c>
      <c r="U2696" s="13" t="s">
        <v>11491</v>
      </c>
      <c r="V2696" s="13" t="s">
        <v>42</v>
      </c>
      <c r="W2696" s="13" t="s">
        <v>43</v>
      </c>
      <c r="X2696" s="21" t="n">
        <v>87724088446</v>
      </c>
      <c r="Y2696" s="22" t="str">
        <f aca="false">O2696</f>
        <v>SPG/BA</v>
      </c>
      <c r="Z2696" s="13" t="str">
        <f aca="false">IFERROR(__xludf.dummyfunction("if(BJ2696="""","""",GOOGLETRANSLATE(BJ2696,""auto"",""en""))"),"SPG/BA")</f>
        <v>SPG/BA</v>
      </c>
      <c r="AA2696" s="23" t="str">
        <f aca="false">IF(C2696="","", CHOOSE(MONTH(C2696),"January","February","March","April","May","June","July","August","September","October","November","December")&amp;" "&amp;DAY(C2696)&amp;MID("thstndrdth",MIN(9,2*RIGHT(DAY(C2696))*(MOD(DAY(C2696)-11,100)&gt;2)+1),2)&amp;","&amp;TEXT(C2696," yyyy"))</f>
        <v>September 5th,2025</v>
      </c>
      <c r="AB2696" s="15" t="str">
        <f aca="true">IF(S2696="","",DATEDIF(S2696,TODAY(),"Y")&amp;" Tahun, "&amp;DATEDIF(S2696,TODAY(),"YM")&amp;" Bulan, "&amp;DATEDIF(S2696,TODAY(),"MD")&amp;" Hari")</f>
        <v>20 Tahun, 0 Bulan, 14 Hari</v>
      </c>
      <c r="AC2696" s="18" t="n">
        <v>45905</v>
      </c>
      <c r="AD2696" s="18" t="n">
        <v>45915</v>
      </c>
      <c r="AE2696" s="18" t="s">
        <v>44</v>
      </c>
    </row>
    <row r="2697" customFormat="false" ht="15" hidden="false" customHeight="true" outlineLevel="0" collapsed="false">
      <c r="A2697" s="12" t="n">
        <v>20795</v>
      </c>
      <c r="B2697" s="13" t="s">
        <v>11492</v>
      </c>
      <c r="C2697" s="16" t="n">
        <v>45898</v>
      </c>
      <c r="D2697" s="13" t="s">
        <v>2033</v>
      </c>
      <c r="E2697" s="15" t="s">
        <v>1072</v>
      </c>
      <c r="F2697" s="15" t="str">
        <f aca="false">IFERROR(__xludf.dummyfunction("XLOOKUP(AJ2697,IMPORTRANGE(""1XaInW9DU9nz21V0tYIfzFQ0He9kVQ_JF2mCXgZ3hqFA"",""REKAP ALL 2026 - Andika!G:G""),IMPORTRANGE(""1XaInW9DU9nz21V0tYIfzFQ0He9kVQ_JF2mCXgZ3hqFA"",""REKAP ALL 2026 - Andika!F:F""),"""",0)"),"25133235009")</f>
        <v>25133235009</v>
      </c>
      <c r="G2697" s="13" t="s">
        <v>1127</v>
      </c>
      <c r="H2697" s="13" t="s">
        <v>2035</v>
      </c>
      <c r="I2697" s="13" t="str">
        <f aca="false">IF(C2697=J2697,"NEW KONTRAK","RE-KONTRAK")</f>
        <v>NEW KONTRAK</v>
      </c>
      <c r="J2697" s="16" t="n">
        <f aca="false" t="array" ref="J2697:J2697">IFERROR(INDEX(AC2697:AE2697,IF(COUNTA(AC2697:AE2697)=0,"",MAX((AC2697:AE2697&lt;&gt;"")*(COLUMN(AC2697:AE2697)-(COLUMN(AC2697)))))-1),"")</f>
        <v>45898</v>
      </c>
      <c r="K2697" s="16" t="n">
        <f aca="false" t="array" ref="K2697:K2697">IFERROR(INDEX(AC2697:AE2697,IF(COUNTA(AC2697:AE2697)=0,"",MAX((AC2697:AE2697&lt;&gt;"")*(COLUMN(AC2697:AE2697)-(COLUMN(AC2697)-1))))-1),"")</f>
        <v>45915</v>
      </c>
      <c r="L2697" s="17" t="str">
        <f aca="false" t="array" ref="L2697:L2697">IFERROR(INDEX(AC2697:AE2697,IF(COUNTA(AC2697:AE2697)=0,"",MAX((AC2697:AE2697&lt;&gt;"")*(COLUMN(AC2697:AE2697)-(COLUMN(AC2697)-2))))-1),"")</f>
        <v>ARCHIVED</v>
      </c>
      <c r="M2697" s="13" t="n">
        <f aca="true">K2697-TODAY()</f>
        <v>-409</v>
      </c>
      <c r="N2697" s="18" t="s">
        <v>3497</v>
      </c>
      <c r="O2697" s="13" t="s">
        <v>2037</v>
      </c>
      <c r="P2697" s="19" t="n">
        <v>3050498</v>
      </c>
      <c r="Q2697" s="47" t="s">
        <v>11493</v>
      </c>
      <c r="R2697" s="13" t="s">
        <v>11494</v>
      </c>
      <c r="S2697" s="16" t="n">
        <v>38991</v>
      </c>
      <c r="T2697" s="13" t="s">
        <v>108</v>
      </c>
      <c r="U2697" s="13" t="s">
        <v>11495</v>
      </c>
      <c r="V2697" s="13" t="s">
        <v>42</v>
      </c>
      <c r="W2697" s="13" t="s">
        <v>43</v>
      </c>
      <c r="X2697" s="21" t="n">
        <v>895342368419</v>
      </c>
      <c r="Y2697" s="22" t="str">
        <f aca="false">O2697</f>
        <v>SPG/BA</v>
      </c>
      <c r="Z2697" s="13" t="str">
        <f aca="false">IFERROR(__xludf.dummyfunction("if(BJ2697="""","""",GOOGLETRANSLATE(BJ2697,""auto"",""en""))"),"SPG/BA")</f>
        <v>SPG/BA</v>
      </c>
      <c r="AA2697" s="23" t="str">
        <f aca="false">IF(C2697="","", CHOOSE(MONTH(C2697),"January","February","March","April","May","June","July","August","September","October","November","December")&amp;" "&amp;DAY(C2697)&amp;MID("thstndrdth",MIN(9,2*RIGHT(DAY(C2697))*(MOD(DAY(C2697)-11,100)&gt;2)+1),2)&amp;","&amp;TEXT(C2697," yyyy"))</f>
        <v>August 29th,2025</v>
      </c>
      <c r="AB2697" s="15" t="str">
        <f aca="true">IF(S2697="","",DATEDIF(S2697,TODAY(),"Y")&amp;" Tahun, "&amp;DATEDIF(S2697,TODAY(),"YM")&amp;" Bulan, "&amp;DATEDIF(S2697,TODAY(),"MD")&amp;" Hari")</f>
        <v>20 Tahun, 0 Bulan, 28 Hari</v>
      </c>
      <c r="AC2697" s="18" t="n">
        <v>45898</v>
      </c>
      <c r="AD2697" s="18" t="n">
        <v>45915</v>
      </c>
      <c r="AE2697" s="18" t="s">
        <v>44</v>
      </c>
    </row>
    <row r="2698" customFormat="false" ht="15" hidden="false" customHeight="true" outlineLevel="0" collapsed="false">
      <c r="A2698" s="12" t="n">
        <v>10167</v>
      </c>
      <c r="B2698" s="13" t="s">
        <v>11496</v>
      </c>
      <c r="C2698" s="14" t="n">
        <v>44977</v>
      </c>
      <c r="D2698" s="13" t="s">
        <v>2033</v>
      </c>
      <c r="E2698" s="15" t="s">
        <v>47</v>
      </c>
      <c r="F2698" s="15" t="str">
        <f aca="false">IFERROR(__xludf.dummyfunction("XLOOKUP(AJ2698,IMPORTRANGE(""1XaInW9DU9nz21V0tYIfzFQ0He9kVQ_JF2mCXgZ3hqFA"",""REKAP ALL 2026 - Andika!G:G""),IMPORTRANGE(""1XaInW9DU9nz21V0tYIfzFQ0He9kVQ_JF2mCXgZ3hqFA"",""REKAP ALL 2026 - Andika!F:F""),"""",0)"),"25133235199")</f>
        <v>25133235199</v>
      </c>
      <c r="G2698" s="13" t="s">
        <v>11497</v>
      </c>
      <c r="H2698" s="13" t="s">
        <v>2035</v>
      </c>
      <c r="I2698" s="13" t="str">
        <f aca="false">IF(C2698=J2698,"NEW KONTRAK","RE-KONTRAK")</f>
        <v>RE-KONTRAK</v>
      </c>
      <c r="J2698" s="16" t="n">
        <f aca="false" t="array" ref="J2698:J2698">IFERROR(INDEX(AC2698:AE2698,IF(COUNTA(AC2698:AE2698)=0,"",MAX((AC2698:AE2698&lt;&gt;"")*(COLUMN(AC2698:AE2698)-(COLUMN(AC2698)))))-1),"")</f>
        <v>45744</v>
      </c>
      <c r="K2698" s="16" t="n">
        <f aca="false" t="array" ref="K2698:K2698">IFERROR(INDEX(AC2698:AE2698,IF(COUNTA(AC2698:AE2698)=0,"",MAX((AC2698:AE2698&lt;&gt;"")*(COLUMN(AC2698:AE2698)-(COLUMN(AC2698)-1))))-1),"")</f>
        <v>45915</v>
      </c>
      <c r="L2698" s="17" t="str">
        <f aca="false" t="array" ref="L2698:L2698">IFERROR(INDEX(AC2698:AE2698,IF(COUNTA(AC2698:AE2698)=0,"",MAX((AC2698:AE2698&lt;&gt;"")*(COLUMN(AC2698:AE2698)-(COLUMN(AC2698)-2))))-1),"")</f>
        <v>ARCHIVED</v>
      </c>
      <c r="M2698" s="13" t="n">
        <f aca="true">K2698-TODAY()</f>
        <v>-409</v>
      </c>
      <c r="N2698" s="18" t="s">
        <v>10532</v>
      </c>
      <c r="O2698" s="13" t="s">
        <v>2037</v>
      </c>
      <c r="P2698" s="19" t="n">
        <v>3019015</v>
      </c>
      <c r="Q2698" s="20" t="s">
        <v>11498</v>
      </c>
      <c r="R2698" s="13" t="s">
        <v>11499</v>
      </c>
      <c r="S2698" s="14" t="n">
        <v>36646</v>
      </c>
      <c r="T2698" s="13" t="s">
        <v>108</v>
      </c>
      <c r="U2698" s="13" t="s">
        <v>11500</v>
      </c>
      <c r="V2698" s="13" t="s">
        <v>42</v>
      </c>
      <c r="W2698" s="13" t="s">
        <v>54</v>
      </c>
      <c r="X2698" s="21" t="n">
        <v>81916819381</v>
      </c>
      <c r="Y2698" s="22" t="str">
        <f aca="false">O2698</f>
        <v>SPG/BA</v>
      </c>
      <c r="Z2698" s="13" t="str">
        <f aca="false">IFERROR(__xludf.dummyfunction("if(BJ2698="""","""",GOOGLETRANSLATE(BJ2698,""auto"",""en""))"),"SPG/BA")</f>
        <v>SPG/BA</v>
      </c>
      <c r="AA2698" s="23" t="str">
        <f aca="false">IF(C2698="","", CHOOSE(MONTH(C2698),"January","February","March","April","May","June","July","August","September","October","November","December")&amp;" "&amp;DAY(C2698)&amp;MID("thstndrdth",MIN(9,2*RIGHT(DAY(C2698))*(MOD(DAY(C2698)-11,100)&gt;2)+1),2)&amp;","&amp;TEXT(C2698," yyyy"))</f>
        <v>February 20th,2023</v>
      </c>
      <c r="AB2698" s="15" t="str">
        <f aca="true">IF(S2698="","",DATEDIF(S2698,TODAY(),"Y")&amp;" Tahun, "&amp;DATEDIF(S2698,TODAY(),"YM")&amp;" Bulan, "&amp;DATEDIF(S2698,TODAY(),"MD")&amp;" Hari")</f>
        <v>26 Tahun, 5 Bulan, 29 Hari</v>
      </c>
      <c r="AC2698" s="18" t="n">
        <v>45744</v>
      </c>
      <c r="AD2698" s="18" t="n">
        <v>45915</v>
      </c>
      <c r="AE2698" s="18" t="s">
        <v>44</v>
      </c>
    </row>
    <row r="2699" customFormat="false" ht="15" hidden="false" customHeight="true" outlineLevel="0" collapsed="false">
      <c r="A2699" s="12" t="n">
        <v>20797</v>
      </c>
      <c r="B2699" s="13" t="s">
        <v>11501</v>
      </c>
      <c r="C2699" s="16" t="n">
        <v>45905</v>
      </c>
      <c r="D2699" s="13" t="s">
        <v>2033</v>
      </c>
      <c r="E2699" s="15" t="s">
        <v>102</v>
      </c>
      <c r="F2699" s="24" t="s">
        <v>11502</v>
      </c>
      <c r="G2699" s="13" t="s">
        <v>1127</v>
      </c>
      <c r="H2699" s="13" t="s">
        <v>2035</v>
      </c>
      <c r="I2699" s="13" t="str">
        <f aca="false">IF(C2699=J2699,"NEW KONTRAK","RE-KONTRAK")</f>
        <v>NEW KONTRAK</v>
      </c>
      <c r="J2699" s="16" t="n">
        <f aca="false" t="array" ref="J2699:J2699">IFERROR(INDEX(AC2699:AE2699,IF(COUNTA(AC2699:AE2699)=0,"",MAX((AC2699:AE2699&lt;&gt;"")*(COLUMN(AC2699:AE2699)-(COLUMN(AC2699)))))-1),"")</f>
        <v>45905</v>
      </c>
      <c r="K2699" s="16" t="n">
        <f aca="false" t="array" ref="K2699:K2699">IFERROR(INDEX(AC2699:AE2699,IF(COUNTA(AC2699:AE2699)=0,"",MAX((AC2699:AE2699&lt;&gt;"")*(COLUMN(AC2699:AE2699)-(COLUMN(AC2699)-1))))-1),"")</f>
        <v>45915</v>
      </c>
      <c r="L2699" s="17" t="str">
        <f aca="false" t="array" ref="L2699:L2699">IFERROR(INDEX(AC2699:AE2699,IF(COUNTA(AC2699:AE2699)=0,"",MAX((AC2699:AE2699&lt;&gt;"")*(COLUMN(AC2699:AE2699)-(COLUMN(AC2699)-2))))-1),"")</f>
        <v>ARCHIVED</v>
      </c>
      <c r="M2699" s="13" t="n">
        <f aca="true">K2699-TODAY()</f>
        <v>-409</v>
      </c>
      <c r="N2699" s="18" t="s">
        <v>8976</v>
      </c>
      <c r="O2699" s="13" t="s">
        <v>2037</v>
      </c>
      <c r="P2699" s="19" t="n">
        <v>3006203</v>
      </c>
      <c r="Q2699" s="47" t="s">
        <v>11503</v>
      </c>
      <c r="R2699" s="13" t="s">
        <v>11504</v>
      </c>
      <c r="S2699" s="16" t="n">
        <v>38649</v>
      </c>
      <c r="T2699" s="13" t="s">
        <v>108</v>
      </c>
      <c r="U2699" s="13" t="s">
        <v>11505</v>
      </c>
      <c r="V2699" s="13" t="s">
        <v>42</v>
      </c>
      <c r="W2699" s="13" t="s">
        <v>43</v>
      </c>
      <c r="X2699" s="21" t="n">
        <v>82167966926</v>
      </c>
      <c r="Y2699" s="22" t="str">
        <f aca="false">O2699</f>
        <v>SPG/BA</v>
      </c>
      <c r="Z2699" s="13" t="str">
        <f aca="false">IFERROR(__xludf.dummyfunction("if(BJ2699="""","""",GOOGLETRANSLATE(BJ2699,""auto"",""en""))"),"SPG/BA")</f>
        <v>SPG/BA</v>
      </c>
      <c r="AA2699" s="23" t="str">
        <f aca="false">IF(C2699="","", CHOOSE(MONTH(C2699),"January","February","March","April","May","June","July","August","September","October","November","December")&amp;" "&amp;DAY(C2699)&amp;MID("thstndrdth",MIN(9,2*RIGHT(DAY(C2699))*(MOD(DAY(C2699)-11,100)&gt;2)+1),2)&amp;","&amp;TEXT(C2699," yyyy"))</f>
        <v>September 5th,2025</v>
      </c>
      <c r="AB2699" s="15" t="str">
        <f aca="true">IF(S2699="","",DATEDIF(S2699,TODAY(),"Y")&amp;" Tahun, "&amp;DATEDIF(S2699,TODAY(),"YM")&amp;" Bulan, "&amp;DATEDIF(S2699,TODAY(),"MD")&amp;" Hari")</f>
        <v>21 Tahun, 0 Bulan, 5 Hari</v>
      </c>
      <c r="AC2699" s="18" t="n">
        <v>45905</v>
      </c>
      <c r="AD2699" s="18" t="n">
        <v>45915</v>
      </c>
      <c r="AE2699" s="18" t="s">
        <v>44</v>
      </c>
    </row>
    <row r="2700" customFormat="false" ht="15" hidden="false" customHeight="true" outlineLevel="0" collapsed="false">
      <c r="A2700" s="12" t="n">
        <v>20798</v>
      </c>
      <c r="B2700" s="13" t="s">
        <v>11506</v>
      </c>
      <c r="C2700" s="16" t="n">
        <v>45896</v>
      </c>
      <c r="D2700" s="13" t="s">
        <v>2033</v>
      </c>
      <c r="E2700" s="15" t="s">
        <v>102</v>
      </c>
      <c r="F2700" s="15" t="str">
        <f aca="false">IFERROR(__xludf.dummyfunction("XLOOKUP(AJ2700,IMPORTRANGE(""1XaInW9DU9nz21V0tYIfzFQ0He9kVQ_JF2mCXgZ3hqFA"",""REKAP ALL 2026 - Andika!G:G""),IMPORTRANGE(""1XaInW9DU9nz21V0tYIfzFQ0He9kVQ_JF2mCXgZ3hqFA"",""REKAP ALL 2026 - Andika!F:F""),"""",0)"),"25133234960")</f>
        <v>25133234960</v>
      </c>
      <c r="G2700" s="13" t="s">
        <v>1127</v>
      </c>
      <c r="H2700" s="13" t="s">
        <v>2035</v>
      </c>
      <c r="I2700" s="13" t="str">
        <f aca="false">IF(C2700=J2700,"NEW KONTRAK","RE-KONTRAK")</f>
        <v>NEW KONTRAK</v>
      </c>
      <c r="J2700" s="16" t="n">
        <f aca="false" t="array" ref="J2700:J2700">IFERROR(INDEX(AC2700:AE2700,IF(COUNTA(AC2700:AE2700)=0,"",MAX((AC2700:AE2700&lt;&gt;"")*(COLUMN(AC2700:AE2700)-(COLUMN(AC2700)))))-1),"")</f>
        <v>45896</v>
      </c>
      <c r="K2700" s="16" t="n">
        <f aca="false" t="array" ref="K2700:K2700">IFERROR(INDEX(AC2700:AE2700,IF(COUNTA(AC2700:AE2700)=0,"",MAX((AC2700:AE2700&lt;&gt;"")*(COLUMN(AC2700:AE2700)-(COLUMN(AC2700)-1))))-1),"")</f>
        <v>45915</v>
      </c>
      <c r="L2700" s="17" t="str">
        <f aca="false" t="array" ref="L2700:L2700">IFERROR(INDEX(AC2700:AE2700,IF(COUNTA(AC2700:AE2700)=0,"",MAX((AC2700:AE2700&lt;&gt;"")*(COLUMN(AC2700:AE2700)-(COLUMN(AC2700)-2))))-1),"")</f>
        <v>ARCHIVED</v>
      </c>
      <c r="M2700" s="13" t="n">
        <f aca="true">K2700-TODAY()</f>
        <v>-409</v>
      </c>
      <c r="N2700" s="18" t="s">
        <v>2434</v>
      </c>
      <c r="O2700" s="13" t="s">
        <v>2037</v>
      </c>
      <c r="P2700" s="19" t="n">
        <v>2655041</v>
      </c>
      <c r="Q2700" s="47" t="s">
        <v>11507</v>
      </c>
      <c r="R2700" s="13" t="s">
        <v>3734</v>
      </c>
      <c r="S2700" s="16" t="n">
        <v>38347</v>
      </c>
      <c r="T2700" s="13" t="s">
        <v>108</v>
      </c>
      <c r="U2700" s="13" t="s">
        <v>11508</v>
      </c>
      <c r="V2700" s="13" t="s">
        <v>42</v>
      </c>
      <c r="W2700" s="13" t="s">
        <v>43</v>
      </c>
      <c r="X2700" s="21" t="n">
        <v>88226608955</v>
      </c>
      <c r="Y2700" s="22" t="str">
        <f aca="false">O2700</f>
        <v>SPG/BA</v>
      </c>
      <c r="Z2700" s="13" t="str">
        <f aca="false">IFERROR(__xludf.dummyfunction("if(BJ2700="""","""",GOOGLETRANSLATE(BJ2700,""auto"",""en""))"),"SPG/BA")</f>
        <v>SPG/BA</v>
      </c>
      <c r="AA2700" s="23" t="str">
        <f aca="false">IF(C2700="","", CHOOSE(MONTH(C2700),"January","February","March","April","May","June","July","August","September","October","November","December")&amp;" "&amp;DAY(C2700)&amp;MID("thstndrdth",MIN(9,2*RIGHT(DAY(C2700))*(MOD(DAY(C2700)-11,100)&gt;2)+1),2)&amp;","&amp;TEXT(C2700," yyyy"))</f>
        <v>August 27th,2025</v>
      </c>
      <c r="AB2700" s="15" t="str">
        <f aca="true">IF(S2700="","",DATEDIF(S2700,TODAY(),"Y")&amp;" Tahun, "&amp;DATEDIF(S2700,TODAY(),"YM")&amp;" Bulan, "&amp;DATEDIF(S2700,TODAY(),"MD")&amp;" Hari")</f>
        <v>21 Tahun, 10 Bulan, 3 Hari</v>
      </c>
      <c r="AC2700" s="18" t="n">
        <v>45896</v>
      </c>
      <c r="AD2700" s="18" t="n">
        <v>45915</v>
      </c>
      <c r="AE2700" s="18" t="s">
        <v>44</v>
      </c>
    </row>
    <row r="2701" customFormat="false" ht="15" hidden="false" customHeight="true" outlineLevel="0" collapsed="false">
      <c r="A2701" s="12" t="n">
        <v>20799</v>
      </c>
      <c r="B2701" s="13" t="s">
        <v>11509</v>
      </c>
      <c r="C2701" s="16" t="n">
        <v>45904</v>
      </c>
      <c r="D2701" s="13" t="s">
        <v>2033</v>
      </c>
      <c r="E2701" s="15" t="s">
        <v>102</v>
      </c>
      <c r="F2701" s="15" t="str">
        <f aca="false">IFERROR(__xludf.dummyfunction("XLOOKUP(AJ2701,IMPORTRANGE(""1XaInW9DU9nz21V0tYIfzFQ0He9kVQ_JF2mCXgZ3hqFA"",""REKAP ALL 2026 - Andika!G:G""),IMPORTRANGE(""1XaInW9DU9nz21V0tYIfzFQ0He9kVQ_JF2mCXgZ3hqFA"",""REKAP ALL 2026 - Andika!F:F""),"""",0)"),"25133235082")</f>
        <v>25133235082</v>
      </c>
      <c r="G2701" s="13" t="s">
        <v>1127</v>
      </c>
      <c r="H2701" s="13" t="s">
        <v>2035</v>
      </c>
      <c r="I2701" s="13" t="str">
        <f aca="false">IF(C2701=J2701,"NEW KONTRAK","RE-KONTRAK")</f>
        <v>NEW KONTRAK</v>
      </c>
      <c r="J2701" s="16" t="n">
        <f aca="false" t="array" ref="J2701:J2701">IFERROR(INDEX(AC2701:AE2701,IF(COUNTA(AC2701:AE2701)=0,"",MAX((AC2701:AE2701&lt;&gt;"")*(COLUMN(AC2701:AE2701)-(COLUMN(AC2701)))))-1),"")</f>
        <v>45904</v>
      </c>
      <c r="K2701" s="16" t="n">
        <f aca="false" t="array" ref="K2701:K2701">IFERROR(INDEX(AC2701:AE2701,IF(COUNTA(AC2701:AE2701)=0,"",MAX((AC2701:AE2701&lt;&gt;"")*(COLUMN(AC2701:AE2701)-(COLUMN(AC2701)-1))))-1),"")</f>
        <v>45915</v>
      </c>
      <c r="L2701" s="17" t="str">
        <f aca="false" t="array" ref="L2701:L2701">IFERROR(INDEX(AC2701:AE2701,IF(COUNTA(AC2701:AE2701)=0,"",MAX((AC2701:AE2701&lt;&gt;"")*(COLUMN(AC2701:AE2701)-(COLUMN(AC2701)-2))))-1),"")</f>
        <v>ARCHIVED</v>
      </c>
      <c r="M2701" s="13" t="n">
        <f aca="true">K2701-TODAY()</f>
        <v>-409</v>
      </c>
      <c r="N2701" s="18" t="s">
        <v>2373</v>
      </c>
      <c r="O2701" s="13" t="s">
        <v>2037</v>
      </c>
      <c r="P2701" s="19" t="n">
        <v>2416560</v>
      </c>
      <c r="Q2701" s="47" t="s">
        <v>11510</v>
      </c>
      <c r="R2701" s="13" t="s">
        <v>97</v>
      </c>
      <c r="S2701" s="16" t="n">
        <v>37705</v>
      </c>
      <c r="T2701" s="13" t="s">
        <v>108</v>
      </c>
      <c r="U2701" s="13" t="s">
        <v>11511</v>
      </c>
      <c r="V2701" s="13" t="s">
        <v>42</v>
      </c>
      <c r="W2701" s="13" t="s">
        <v>43</v>
      </c>
      <c r="X2701" s="21" t="n">
        <v>85768359969</v>
      </c>
      <c r="Y2701" s="22" t="str">
        <f aca="false">O2701</f>
        <v>SPG/BA</v>
      </c>
      <c r="Z2701" s="13" t="str">
        <f aca="false">IFERROR(__xludf.dummyfunction("if(BJ2701="""","""",GOOGLETRANSLATE(BJ2701,""auto"",""en""))"),"SPG/BA")</f>
        <v>SPG/BA</v>
      </c>
      <c r="AA2701" s="23" t="str">
        <f aca="false">IF(C2701="","", CHOOSE(MONTH(C2701),"January","February","March","April","May","June","July","August","September","October","November","December")&amp;" "&amp;DAY(C2701)&amp;MID("thstndrdth",MIN(9,2*RIGHT(DAY(C2701))*(MOD(DAY(C2701)-11,100)&gt;2)+1),2)&amp;","&amp;TEXT(C2701," yyyy"))</f>
        <v>September 4th,2025</v>
      </c>
      <c r="AB2701" s="15" t="str">
        <f aca="true">IF(S2701="","",DATEDIF(S2701,TODAY(),"Y")&amp;" Tahun, "&amp;DATEDIF(S2701,TODAY(),"YM")&amp;" Bulan, "&amp;DATEDIF(S2701,TODAY(),"MD")&amp;" Hari")</f>
        <v>23 Tahun, 7 Bulan, 4 Hari</v>
      </c>
      <c r="AC2701" s="18" t="n">
        <v>45904</v>
      </c>
      <c r="AD2701" s="18" t="n">
        <v>45915</v>
      </c>
      <c r="AE2701" s="18" t="s">
        <v>44</v>
      </c>
    </row>
    <row r="2702" customFormat="false" ht="15" hidden="false" customHeight="true" outlineLevel="0" collapsed="false">
      <c r="A2702" s="12" t="n">
        <v>20800</v>
      </c>
      <c r="B2702" s="13" t="s">
        <v>11512</v>
      </c>
      <c r="C2702" s="16" t="n">
        <v>45910</v>
      </c>
      <c r="D2702" s="13" t="s">
        <v>2033</v>
      </c>
      <c r="E2702" s="15" t="s">
        <v>102</v>
      </c>
      <c r="F2702" s="15" t="str">
        <f aca="false">IFERROR(__xludf.dummyfunction("XLOOKUP(AJ2702,IMPORTRANGE(""1XaInW9DU9nz21V0tYIfzFQ0He9kVQ_JF2mCXgZ3hqFA"",""REKAP ALL 2026 - Andika!G:G""),IMPORTRANGE(""1XaInW9DU9nz21V0tYIfzFQ0He9kVQ_JF2mCXgZ3hqFA"",""REKAP ALL 2026 - Andika!F:F""),"""",0)"),"25133235181")</f>
        <v>25133235181</v>
      </c>
      <c r="G2702" s="13" t="s">
        <v>1127</v>
      </c>
      <c r="H2702" s="13" t="s">
        <v>2035</v>
      </c>
      <c r="I2702" s="13" t="str">
        <f aca="false">IF(C2702=J2702,"NEW KONTRAK","RE-KONTRAK")</f>
        <v>NEW KONTRAK</v>
      </c>
      <c r="J2702" s="16" t="n">
        <f aca="false" t="array" ref="J2702:J2702">IFERROR(INDEX(AC2702:AE2702,IF(COUNTA(AC2702:AE2702)=0,"",MAX((AC2702:AE2702&lt;&gt;"")*(COLUMN(AC2702:AE2702)-(COLUMN(AC2702)))))-1),"")</f>
        <v>45910</v>
      </c>
      <c r="K2702" s="16" t="n">
        <f aca="false" t="array" ref="K2702:K2702">IFERROR(INDEX(AC2702:AE2702,IF(COUNTA(AC2702:AE2702)=0,"",MAX((AC2702:AE2702&lt;&gt;"")*(COLUMN(AC2702:AE2702)-(COLUMN(AC2702)-1))))-1),"")</f>
        <v>45915</v>
      </c>
      <c r="L2702" s="17" t="str">
        <f aca="false" t="array" ref="L2702:L2702">IFERROR(INDEX(AC2702:AE2702,IF(COUNTA(AC2702:AE2702)=0,"",MAX((AC2702:AE2702&lt;&gt;"")*(COLUMN(AC2702:AE2702)-(COLUMN(AC2702)-2))))-1),"")</f>
        <v>ARCHIVED</v>
      </c>
      <c r="M2702" s="13" t="n">
        <f aca="true">K2702-TODAY()</f>
        <v>-409</v>
      </c>
      <c r="N2702" s="18" t="s">
        <v>2383</v>
      </c>
      <c r="O2702" s="13" t="s">
        <v>2037</v>
      </c>
      <c r="P2702" s="19" t="n">
        <v>3998179</v>
      </c>
      <c r="Q2702" s="47" t="s">
        <v>11513</v>
      </c>
      <c r="R2702" s="13" t="s">
        <v>2383</v>
      </c>
      <c r="S2702" s="16" t="n">
        <v>39083</v>
      </c>
      <c r="T2702" s="13" t="s">
        <v>108</v>
      </c>
      <c r="U2702" s="13" t="s">
        <v>11514</v>
      </c>
      <c r="V2702" s="13" t="s">
        <v>42</v>
      </c>
      <c r="W2702" s="13" t="s">
        <v>43</v>
      </c>
      <c r="X2702" s="21" t="n">
        <v>87763927918</v>
      </c>
      <c r="Y2702" s="22" t="str">
        <f aca="false">O2702</f>
        <v>SPG/BA</v>
      </c>
      <c r="Z2702" s="13" t="str">
        <f aca="false">IFERROR(__xludf.dummyfunction("if(BJ2702="""","""",GOOGLETRANSLATE(BJ2702,""auto"",""en""))"),"SPG/BA")</f>
        <v>SPG/BA</v>
      </c>
      <c r="AA2702" s="23" t="str">
        <f aca="false">IF(C2702="","", CHOOSE(MONTH(C2702),"January","February","March","April","May","June","July","August","September","October","November","December")&amp;" "&amp;DAY(C2702)&amp;MID("thstndrdth",MIN(9,2*RIGHT(DAY(C2702))*(MOD(DAY(C2702)-11,100)&gt;2)+1),2)&amp;","&amp;TEXT(C2702," yyyy"))</f>
        <v>September 10th,2025</v>
      </c>
      <c r="AB2702" s="15" t="str">
        <f aca="true">IF(S2702="","",DATEDIF(S2702,TODAY(),"Y")&amp;" Tahun, "&amp;DATEDIF(S2702,TODAY(),"YM")&amp;" Bulan, "&amp;DATEDIF(S2702,TODAY(),"MD")&amp;" Hari")</f>
        <v>19 Tahun, 9 Bulan, 28 Hari</v>
      </c>
      <c r="AC2702" s="18" t="n">
        <v>45910</v>
      </c>
      <c r="AD2702" s="18" t="n">
        <v>45915</v>
      </c>
      <c r="AE2702" s="18" t="s">
        <v>44</v>
      </c>
    </row>
    <row r="2703" customFormat="false" ht="15" hidden="false" customHeight="true" outlineLevel="0" collapsed="false">
      <c r="A2703" s="12" t="n">
        <v>20804</v>
      </c>
      <c r="B2703" s="13" t="s">
        <v>11515</v>
      </c>
      <c r="C2703" s="16" t="n">
        <v>45915</v>
      </c>
      <c r="D2703" s="13" t="s">
        <v>2046</v>
      </c>
      <c r="E2703" s="15" t="s">
        <v>33</v>
      </c>
      <c r="F2703" s="15" t="str">
        <f aca="false">IFERROR(__xludf.dummyfunction("XLOOKUP(AJ2703,IMPORTRANGE(""1XaInW9DU9nz21V0tYIfzFQ0He9kVQ_JF2mCXgZ3hqFA"",""REKAP ALL 2026 - Andika!G:G""),IMPORTRANGE(""1XaInW9DU9nz21V0tYIfzFQ0He9kVQ_JF2mCXgZ3hqFA"",""REKAP ALL 2026 - Andika!F:F""),"""",0)"),"26062982702")</f>
        <v>26062982702</v>
      </c>
      <c r="G2703" s="13" t="s">
        <v>1127</v>
      </c>
      <c r="H2703" s="13" t="s">
        <v>35</v>
      </c>
      <c r="I2703" s="13" t="str">
        <f aca="false">IF(C2703=J2703,"NEW KONTRAK","RE-KONTRAK")</f>
        <v>NEW KONTRAK</v>
      </c>
      <c r="J2703" s="16" t="n">
        <f aca="false" t="array" ref="J2703:J2703">IFERROR(INDEX(AC2703:AE2703,IF(COUNTA(AC2703:AE2703)=0,"",MAX((AC2703:AE2703&lt;&gt;"")*(COLUMN(AC2703:AE2703)-(COLUMN(AC2703)))))-1),"")</f>
        <v>45915</v>
      </c>
      <c r="K2703" s="16" t="n">
        <f aca="false" t="array" ref="K2703:K2703">IFERROR(INDEX(AC2703:AE2703,IF(COUNTA(AC2703:AE2703)=0,"",MAX((AC2703:AE2703&lt;&gt;"")*(COLUMN(AC2703:AE2703)-(COLUMN(AC2703)-1))))-1),"")</f>
        <v>45944</v>
      </c>
      <c r="L2703" s="17" t="str">
        <f aca="false" t="array" ref="L2703:L2703">IFERROR(INDEX(AC2703:AE2703,IF(COUNTA(AC2703:AE2703)=0,"",MAX((AC2703:AE2703&lt;&gt;"")*(COLUMN(AC2703:AE2703)-(COLUMN(AC2703)-2))))-1),"")</f>
        <v>ARCHIVED</v>
      </c>
      <c r="M2703" s="13" t="n">
        <f aca="true">K2703-TODAY()</f>
        <v>-380</v>
      </c>
      <c r="N2703" s="18" t="s">
        <v>36</v>
      </c>
      <c r="O2703" s="13" t="s">
        <v>11516</v>
      </c>
      <c r="P2703" s="19" t="n">
        <v>4874133</v>
      </c>
      <c r="Q2703" s="47" t="s">
        <v>11517</v>
      </c>
      <c r="R2703" s="13" t="s">
        <v>52</v>
      </c>
      <c r="S2703" s="16" t="n">
        <v>35682</v>
      </c>
      <c r="T2703" s="28" t="s">
        <v>40</v>
      </c>
      <c r="U2703" s="13" t="s">
        <v>11518</v>
      </c>
      <c r="V2703" s="13" t="s">
        <v>42</v>
      </c>
      <c r="W2703" s="13" t="s">
        <v>43</v>
      </c>
      <c r="X2703" s="30" t="n">
        <v>89612004711</v>
      </c>
      <c r="Y2703" s="22" t="str">
        <f aca="false">O2703</f>
        <v>SPV Gudang</v>
      </c>
      <c r="Z2703" s="13" t="str">
        <f aca="false">IFERROR(__xludf.dummyfunction("if(BJ2703="""","""",GOOGLETRANSLATE(BJ2703,""auto"",""en""))"),"Warehouse Supervisor")</f>
        <v>Warehouse Supervisor</v>
      </c>
      <c r="AA2703" s="23" t="str">
        <f aca="false">IF(C2703="","", CHOOSE(MONTH(C2703),"January","February","March","April","May","June","July","August","September","October","November","December")&amp;" "&amp;DAY(C2703)&amp;MID("thstndrdth",MIN(9,2*RIGHT(DAY(C2703))*(MOD(DAY(C2703)-11,100)&gt;2)+1),2)&amp;","&amp;TEXT(C2703," yyyy"))</f>
        <v>September 15th,2025</v>
      </c>
      <c r="AB2703" s="15" t="str">
        <f aca="true">IF(S2703="","",DATEDIF(S2703,TODAY(),"Y")&amp;" Tahun, "&amp;DATEDIF(S2703,TODAY(),"YM")&amp;" Bulan, "&amp;DATEDIF(S2703,TODAY(),"MD")&amp;" Hari")</f>
        <v>29 Tahun, 1 Bulan, 20 Hari</v>
      </c>
      <c r="AC2703" s="18" t="n">
        <v>45915</v>
      </c>
      <c r="AD2703" s="18" t="n">
        <f aca="false">EDATE(AC2703,1)-1</f>
        <v>45944</v>
      </c>
      <c r="AE2703" s="13" t="s">
        <v>44</v>
      </c>
    </row>
    <row r="2704" customFormat="false" ht="15" hidden="false" customHeight="true" outlineLevel="0" collapsed="false">
      <c r="A2704" s="12" t="n">
        <v>20805</v>
      </c>
      <c r="B2704" s="13" t="s">
        <v>11519</v>
      </c>
      <c r="C2704" s="16" t="n">
        <v>45916</v>
      </c>
      <c r="D2704" s="13" t="s">
        <v>2046</v>
      </c>
      <c r="E2704" s="15" t="s">
        <v>789</v>
      </c>
      <c r="F2704" s="24" t="s">
        <v>11520</v>
      </c>
      <c r="G2704" s="13" t="s">
        <v>1127</v>
      </c>
      <c r="H2704" s="13" t="s">
        <v>35</v>
      </c>
      <c r="I2704" s="13" t="str">
        <f aca="false">IF(C2704=J2704,"NEW KONTRAK","RE-KONTRAK")</f>
        <v>NEW KONTRAK</v>
      </c>
      <c r="J2704" s="16" t="n">
        <f aca="false" t="array" ref="J2704:J2704">IFERROR(INDEX(AC2704:AE2704,IF(COUNTA(AC2704:AE2704)=0,"",MAX((AC2704:AE2704&lt;&gt;"")*(COLUMN(AC2704:AE2704)-(COLUMN(AC2704)))))-1),"")</f>
        <v>45916</v>
      </c>
      <c r="K2704" s="16" t="n">
        <f aca="false" t="array" ref="K2704:K2704">IFERROR(INDEX(AC2704:AE2704,IF(COUNTA(AC2704:AE2704)=0,"",MAX((AC2704:AE2704&lt;&gt;"")*(COLUMN(AC2704:AE2704)-(COLUMN(AC2704)-1))))-1),"")</f>
        <v>45945</v>
      </c>
      <c r="L2704" s="17" t="str">
        <f aca="false" t="array" ref="L2704:L2704">IFERROR(INDEX(AC2704:AE2704,IF(COUNTA(AC2704:AE2704)=0,"",MAX((AC2704:AE2704&lt;&gt;"")*(COLUMN(AC2704:AE2704)-(COLUMN(AC2704)-2))))-1),"")</f>
        <v>ARCHIVED</v>
      </c>
      <c r="M2704" s="13" t="n">
        <f aca="true">K2704-TODAY()</f>
        <v>-379</v>
      </c>
      <c r="N2704" s="18" t="s">
        <v>36</v>
      </c>
      <c r="O2704" s="13" t="s">
        <v>11521</v>
      </c>
      <c r="P2704" s="19" t="s">
        <v>2050</v>
      </c>
      <c r="Q2704" s="47" t="s">
        <v>11522</v>
      </c>
      <c r="R2704" s="13" t="s">
        <v>65</v>
      </c>
      <c r="S2704" s="16" t="n">
        <v>38045</v>
      </c>
      <c r="T2704" s="28" t="s">
        <v>40</v>
      </c>
      <c r="U2704" s="13" t="s">
        <v>11142</v>
      </c>
      <c r="V2704" s="13" t="s">
        <v>42</v>
      </c>
      <c r="W2704" s="13" t="s">
        <v>43</v>
      </c>
      <c r="X2704" s="30" t="n">
        <v>85282675869</v>
      </c>
      <c r="Y2704" s="22" t="str">
        <f aca="false">O2704</f>
        <v>Produksi Assembly</v>
      </c>
      <c r="Z2704" s="13" t="str">
        <f aca="false">IFERROR(__xludf.dummyfunction("if(BJ2704="""","""",GOOGLETRANSLATE(BJ2704,""auto"",""en""))"),"Assembly Production")</f>
        <v>Assembly Production</v>
      </c>
      <c r="AA2704" s="23" t="str">
        <f aca="false">IF(C2704="","", CHOOSE(MONTH(C2704),"January","February","March","April","May","June","July","August","September","October","November","December")&amp;" "&amp;DAY(C2704)&amp;MID("thstndrdth",MIN(9,2*RIGHT(DAY(C2704))*(MOD(DAY(C2704)-11,100)&gt;2)+1),2)&amp;","&amp;TEXT(C2704," yyyy"))</f>
        <v>September 16th,2025</v>
      </c>
      <c r="AB2704" s="15" t="str">
        <f aca="true">IF(S2704="","",DATEDIF(S2704,TODAY(),"Y")&amp;" Tahun, "&amp;DATEDIF(S2704,TODAY(),"YM")&amp;" Bulan, "&amp;DATEDIF(S2704,TODAY(),"MD")&amp;" Hari")</f>
        <v>22 Tahun, 8 Bulan, 1 Hari</v>
      </c>
      <c r="AC2704" s="18" t="n">
        <v>45916</v>
      </c>
      <c r="AD2704" s="18" t="n">
        <f aca="false">EDATE(AC2704,1)-1</f>
        <v>45945</v>
      </c>
      <c r="AE2704" s="13" t="s">
        <v>44</v>
      </c>
    </row>
    <row r="2705" customFormat="false" ht="15" hidden="false" customHeight="true" outlineLevel="0" collapsed="false">
      <c r="A2705" s="12" t="n">
        <v>20806</v>
      </c>
      <c r="B2705" s="13" t="s">
        <v>11523</v>
      </c>
      <c r="C2705" s="16" t="n">
        <v>45916</v>
      </c>
      <c r="D2705" s="13" t="s">
        <v>2046</v>
      </c>
      <c r="E2705" s="15" t="s">
        <v>789</v>
      </c>
      <c r="F2705" s="24" t="s">
        <v>11524</v>
      </c>
      <c r="G2705" s="13" t="s">
        <v>1127</v>
      </c>
      <c r="H2705" s="13" t="s">
        <v>35</v>
      </c>
      <c r="I2705" s="13" t="str">
        <f aca="false">IF(C2705=J2705,"NEW KONTRAK","RE-KONTRAK")</f>
        <v>NEW KONTRAK</v>
      </c>
      <c r="J2705" s="16" t="n">
        <f aca="false" t="array" ref="J2705:J2705">IFERROR(INDEX(AC2705:AE2705,IF(COUNTA(AC2705:AE2705)=0,"",MAX((AC2705:AE2705&lt;&gt;"")*(COLUMN(AC2705:AE2705)-(COLUMN(AC2705)))))-1),"")</f>
        <v>45916</v>
      </c>
      <c r="K2705" s="16" t="n">
        <f aca="false" t="array" ref="K2705:K2705">IFERROR(INDEX(AC2705:AE2705,IF(COUNTA(AC2705:AE2705)=0,"",MAX((AC2705:AE2705&lt;&gt;"")*(COLUMN(AC2705:AE2705)-(COLUMN(AC2705)-1))))-1),"")</f>
        <v>45945</v>
      </c>
      <c r="L2705" s="17" t="str">
        <f aca="false" t="array" ref="L2705:L2705">IFERROR(INDEX(AC2705:AE2705,IF(COUNTA(AC2705:AE2705)=0,"",MAX((AC2705:AE2705&lt;&gt;"")*(COLUMN(AC2705:AE2705)-(COLUMN(AC2705)-2))))-1),"")</f>
        <v>ARCHIVED</v>
      </c>
      <c r="M2705" s="13" t="n">
        <f aca="true">K2705-TODAY()</f>
        <v>-379</v>
      </c>
      <c r="N2705" s="18" t="s">
        <v>36</v>
      </c>
      <c r="O2705" s="13" t="s">
        <v>11521</v>
      </c>
      <c r="P2705" s="19" t="s">
        <v>2050</v>
      </c>
      <c r="Q2705" s="47" t="s">
        <v>11525</v>
      </c>
      <c r="R2705" s="13" t="s">
        <v>65</v>
      </c>
      <c r="S2705" s="16" t="n">
        <v>37882</v>
      </c>
      <c r="T2705" s="28" t="s">
        <v>40</v>
      </c>
      <c r="U2705" s="13" t="s">
        <v>11526</v>
      </c>
      <c r="V2705" s="13" t="s">
        <v>42</v>
      </c>
      <c r="W2705" s="13" t="s">
        <v>43</v>
      </c>
      <c r="X2705" s="30" t="n">
        <v>82261796405</v>
      </c>
      <c r="Y2705" s="22" t="str">
        <f aca="false">O2705</f>
        <v>Produksi Assembly</v>
      </c>
      <c r="Z2705" s="13" t="str">
        <f aca="false">IFERROR(__xludf.dummyfunction("if(BJ2705="""","""",GOOGLETRANSLATE(BJ2705,""auto"",""en""))"),"Assembly Production")</f>
        <v>Assembly Production</v>
      </c>
      <c r="AA2705" s="23" t="str">
        <f aca="false">IF(C2705="","", CHOOSE(MONTH(C2705),"January","February","March","April","May","June","July","August","September","October","November","December")&amp;" "&amp;DAY(C2705)&amp;MID("thstndrdth",MIN(9,2*RIGHT(DAY(C2705))*(MOD(DAY(C2705)-11,100)&gt;2)+1),2)&amp;","&amp;TEXT(C2705," yyyy"))</f>
        <v>September 16th,2025</v>
      </c>
      <c r="AB2705" s="15" t="str">
        <f aca="true">IF(S2705="","",DATEDIF(S2705,TODAY(),"Y")&amp;" Tahun, "&amp;DATEDIF(S2705,TODAY(),"YM")&amp;" Bulan, "&amp;DATEDIF(S2705,TODAY(),"MD")&amp;" Hari")</f>
        <v>23 Tahun, 1 Bulan, 11 Hari</v>
      </c>
      <c r="AC2705" s="18" t="n">
        <v>45916</v>
      </c>
      <c r="AD2705" s="18" t="n">
        <f aca="false">EDATE(AC2705,1)-1</f>
        <v>45945</v>
      </c>
      <c r="AE2705" s="13" t="s">
        <v>44</v>
      </c>
    </row>
    <row r="2706" customFormat="false" ht="15" hidden="false" customHeight="true" outlineLevel="0" collapsed="false">
      <c r="A2706" s="12" t="n">
        <v>20807</v>
      </c>
      <c r="B2706" s="13" t="s">
        <v>11527</v>
      </c>
      <c r="C2706" s="16" t="n">
        <v>45821</v>
      </c>
      <c r="D2706" s="13" t="s">
        <v>2046</v>
      </c>
      <c r="E2706" s="15" t="s">
        <v>789</v>
      </c>
      <c r="F2706" s="24" t="s">
        <v>11528</v>
      </c>
      <c r="G2706" s="13" t="s">
        <v>1127</v>
      </c>
      <c r="H2706" s="13" t="s">
        <v>35</v>
      </c>
      <c r="I2706" s="13" t="str">
        <f aca="false">IF(C2706=J2706,"NEW KONTRAK","RE-KONTRAK")</f>
        <v>RE-KONTRAK</v>
      </c>
      <c r="J2706" s="16" t="n">
        <f aca="false" t="array" ref="J2706:J2706">IFERROR(INDEX(AC2706:AE2706,IF(COUNTA(AC2706:AE2706)=0,"",MAX((AC2706:AE2706&lt;&gt;"")*(COLUMN(AC2706:AE2706)-(COLUMN(AC2706)))))-1),"")</f>
        <v>45916</v>
      </c>
      <c r="K2706" s="16" t="n">
        <f aca="false" t="array" ref="K2706:K2706">IFERROR(INDEX(AC2706:AE2706,IF(COUNTA(AC2706:AE2706)=0,"",MAX((AC2706:AE2706&lt;&gt;"")*(COLUMN(AC2706:AE2706)-(COLUMN(AC2706)-1))))-1),"")</f>
        <v>45945</v>
      </c>
      <c r="L2706" s="17" t="str">
        <f aca="false" t="array" ref="L2706:L2706">IFERROR(INDEX(AC2706:AE2706,IF(COUNTA(AC2706:AE2706)=0,"",MAX((AC2706:AE2706&lt;&gt;"")*(COLUMN(AC2706:AE2706)-(COLUMN(AC2706)-2))))-1),"")</f>
        <v>ARCHIVED</v>
      </c>
      <c r="M2706" s="13" t="n">
        <f aca="true">K2706-TODAY()</f>
        <v>-379</v>
      </c>
      <c r="N2706" s="18" t="s">
        <v>36</v>
      </c>
      <c r="O2706" s="13" t="s">
        <v>11521</v>
      </c>
      <c r="P2706" s="19" t="s">
        <v>2050</v>
      </c>
      <c r="Q2706" s="47" t="s">
        <v>11529</v>
      </c>
      <c r="R2706" s="13" t="s">
        <v>65</v>
      </c>
      <c r="S2706" s="16" t="n">
        <v>39098</v>
      </c>
      <c r="T2706" s="28" t="s">
        <v>40</v>
      </c>
      <c r="U2706" s="13" t="s">
        <v>11526</v>
      </c>
      <c r="V2706" s="13" t="s">
        <v>42</v>
      </c>
      <c r="W2706" s="13" t="s">
        <v>43</v>
      </c>
      <c r="X2706" s="30" t="n">
        <v>85177351585</v>
      </c>
      <c r="Y2706" s="22" t="str">
        <f aca="false">O2706</f>
        <v>Produksi Assembly</v>
      </c>
      <c r="Z2706" s="13" t="str">
        <f aca="false">IFERROR(__xludf.dummyfunction("if(BJ2706="""","""",GOOGLETRANSLATE(BJ2706,""auto"",""en""))"),"Assembly Production")</f>
        <v>Assembly Production</v>
      </c>
      <c r="AA2706" s="23" t="str">
        <f aca="false">IF(C2706="","", CHOOSE(MONTH(C2706),"January","February","March","April","May","June","July","August","September","October","November","December")&amp;" "&amp;DAY(C2706)&amp;MID("thstndrdth",MIN(9,2*RIGHT(DAY(C2706))*(MOD(DAY(C2706)-11,100)&gt;2)+1),2)&amp;","&amp;TEXT(C2706," yyyy"))</f>
        <v>June 13th,2025</v>
      </c>
      <c r="AB2706" s="15" t="str">
        <f aca="true">IF(S2706="","",DATEDIF(S2706,TODAY(),"Y")&amp;" Tahun, "&amp;DATEDIF(S2706,TODAY(),"YM")&amp;" Bulan, "&amp;DATEDIF(S2706,TODAY(),"MD")&amp;" Hari")</f>
        <v>19 Tahun, 9 Bulan, 13 Hari</v>
      </c>
      <c r="AC2706" s="18" t="n">
        <v>45916</v>
      </c>
      <c r="AD2706" s="18" t="n">
        <f aca="false">EDATE(AC2706,1)-1</f>
        <v>45945</v>
      </c>
      <c r="AE2706" s="13" t="s">
        <v>44</v>
      </c>
    </row>
    <row r="2707" customFormat="false" ht="15" hidden="false" customHeight="true" outlineLevel="0" collapsed="false">
      <c r="A2707" s="12" t="n">
        <v>20808</v>
      </c>
      <c r="B2707" s="13" t="s">
        <v>11530</v>
      </c>
      <c r="C2707" s="16" t="n">
        <v>45916</v>
      </c>
      <c r="D2707" s="13" t="s">
        <v>2046</v>
      </c>
      <c r="E2707" s="15" t="s">
        <v>33</v>
      </c>
      <c r="F2707" s="15" t="str">
        <f aca="false">IFERROR(__xludf.dummyfunction("XLOOKUP(AJ2707,IMPORTRANGE(""1XaInW9DU9nz21V0tYIfzFQ0He9kVQ_JF2mCXgZ3hqFA"",""REKAP ALL 2026 - Andika!G:G""),IMPORTRANGE(""1XaInW9DU9nz21V0tYIfzFQ0He9kVQ_JF2mCXgZ3hqFA"",""REKAP ALL 2026 - Andika!F:F""),"""",0)"),"26063005008")</f>
        <v>26063005008</v>
      </c>
      <c r="G2707" s="13" t="s">
        <v>1127</v>
      </c>
      <c r="H2707" s="13" t="s">
        <v>35</v>
      </c>
      <c r="I2707" s="13" t="str">
        <f aca="false">IF(C2707=J2707,"NEW KONTRAK","RE-KONTRAK")</f>
        <v>NEW KONTRAK</v>
      </c>
      <c r="J2707" s="16" t="n">
        <f aca="false" t="array" ref="J2707:J2707">IFERROR(INDEX(AC2707:AE2707,IF(COUNTA(AC2707:AE2707)=0,"",MAX((AC2707:AE2707&lt;&gt;"")*(COLUMN(AC2707:AE2707)-(COLUMN(AC2707)))))-1),"")</f>
        <v>45916</v>
      </c>
      <c r="K2707" s="16" t="n">
        <f aca="false" t="array" ref="K2707:K2707">IFERROR(INDEX(AC2707:AE2707,IF(COUNTA(AC2707:AE2707)=0,"",MAX((AC2707:AE2707&lt;&gt;"")*(COLUMN(AC2707:AE2707)-(COLUMN(AC2707)-1))))-1),"")</f>
        <v>45945</v>
      </c>
      <c r="L2707" s="17" t="str">
        <f aca="false" t="array" ref="L2707:L2707">IFERROR(INDEX(AC2707:AE2707,IF(COUNTA(AC2707:AE2707)=0,"",MAX((AC2707:AE2707&lt;&gt;"")*(COLUMN(AC2707:AE2707)-(COLUMN(AC2707)-2))))-1),"")</f>
        <v>ARCHIVED</v>
      </c>
      <c r="M2707" s="13" t="n">
        <f aca="true">K2707-TODAY()</f>
        <v>-379</v>
      </c>
      <c r="N2707" s="18" t="s">
        <v>36</v>
      </c>
      <c r="O2707" s="13" t="s">
        <v>11521</v>
      </c>
      <c r="P2707" s="27" t="n">
        <v>215000</v>
      </c>
      <c r="Q2707" s="47" t="s">
        <v>11531</v>
      </c>
      <c r="R2707" s="13" t="s">
        <v>232</v>
      </c>
      <c r="S2707" s="16" t="n">
        <v>36576</v>
      </c>
      <c r="T2707" s="28" t="s">
        <v>40</v>
      </c>
      <c r="U2707" s="13" t="s">
        <v>11532</v>
      </c>
      <c r="V2707" s="13" t="s">
        <v>42</v>
      </c>
      <c r="W2707" s="13" t="s">
        <v>43</v>
      </c>
      <c r="X2707" s="21" t="s">
        <v>11533</v>
      </c>
      <c r="Y2707" s="22" t="str">
        <f aca="false">O2707</f>
        <v>Produksi Assembly</v>
      </c>
      <c r="Z2707" s="13" t="str">
        <f aca="false">IFERROR(__xludf.dummyfunction("if(BJ2707="""","""",GOOGLETRANSLATE(BJ2707,""auto"",""en""))"),"Assembly Production")</f>
        <v>Assembly Production</v>
      </c>
      <c r="AA2707" s="23" t="str">
        <f aca="false">IF(C2707="","", CHOOSE(MONTH(C2707),"January","February","March","April","May","June","July","August","September","October","November","December")&amp;" "&amp;DAY(C2707)&amp;MID("thstndrdth",MIN(9,2*RIGHT(DAY(C2707))*(MOD(DAY(C2707)-11,100)&gt;2)+1),2)&amp;","&amp;TEXT(C2707," yyyy"))</f>
        <v>September 16th,2025</v>
      </c>
      <c r="AB2707" s="15" t="str">
        <f aca="true">IF(S2707="","",DATEDIF(S2707,TODAY(),"Y")&amp;" Tahun, "&amp;DATEDIF(S2707,TODAY(),"YM")&amp;" Bulan, "&amp;DATEDIF(S2707,TODAY(),"MD")&amp;" Hari")</f>
        <v>26 Tahun, 8 Bulan, 9 Hari</v>
      </c>
      <c r="AC2707" s="18" t="n">
        <v>45916</v>
      </c>
      <c r="AD2707" s="18" t="n">
        <f aca="false">EDATE(AC2707,1)-1</f>
        <v>45945</v>
      </c>
      <c r="AE2707" s="13" t="s">
        <v>44</v>
      </c>
    </row>
    <row r="2708" customFormat="false" ht="15" hidden="false" customHeight="true" outlineLevel="0" collapsed="false">
      <c r="A2708" s="12" t="n">
        <v>20809</v>
      </c>
      <c r="B2708" s="13" t="s">
        <v>11534</v>
      </c>
      <c r="C2708" s="16" t="n">
        <v>45906</v>
      </c>
      <c r="D2708" s="13" t="s">
        <v>2046</v>
      </c>
      <c r="E2708" s="15" t="s">
        <v>102</v>
      </c>
      <c r="F2708" s="15" t="str">
        <f aca="false">IFERROR(__xludf.dummyfunction("XLOOKUP(AJ2708,IMPORTRANGE(""1XaInW9DU9nz21V0tYIfzFQ0He9kVQ_JF2mCXgZ3hqFA"",""REKAP ALL 2026 - Andika!G:G""),IMPORTRANGE(""1XaInW9DU9nz21V0tYIfzFQ0He9kVQ_JF2mCXgZ3hqFA"",""REKAP ALL 2026 - Andika!F:F""),"""",0)"),"25133240710")</f>
        <v>25133240710</v>
      </c>
      <c r="G2708" s="13" t="s">
        <v>1127</v>
      </c>
      <c r="H2708" s="13" t="s">
        <v>35</v>
      </c>
      <c r="I2708" s="13" t="str">
        <f aca="false">IF(C2708=J2708,"NEW KONTRAK","RE-KONTRAK")</f>
        <v>RE-KONTRAK</v>
      </c>
      <c r="J2708" s="16" t="n">
        <f aca="false" t="array" ref="J2708:J2708">IFERROR(INDEX(AC2708:AE2708,IF(COUNTA(AC2708:AE2708)=0,"",MAX((AC2708:AE2708&lt;&gt;"")*(COLUMN(AC2708:AE2708)-(COLUMN(AC2708)))))-1),"")</f>
        <v>45916</v>
      </c>
      <c r="K2708" s="16" t="n">
        <f aca="false" t="array" ref="K2708:K2708">IFERROR(INDEX(AC2708:AE2708,IF(COUNTA(AC2708:AE2708)=0,"",MAX((AC2708:AE2708&lt;&gt;"")*(COLUMN(AC2708:AE2708)-(COLUMN(AC2708)-1))))-1),"")</f>
        <v>45945</v>
      </c>
      <c r="L2708" s="17" t="str">
        <f aca="false" t="array" ref="L2708:L2708">IFERROR(INDEX(AC2708:AE2708,IF(COUNTA(AC2708:AE2708)=0,"",MAX((AC2708:AE2708&lt;&gt;"")*(COLUMN(AC2708:AE2708)-(COLUMN(AC2708)-2))))-1),"")</f>
        <v>ARCHIVED</v>
      </c>
      <c r="M2708" s="13" t="n">
        <f aca="true">K2708-TODAY()</f>
        <v>-379</v>
      </c>
      <c r="N2708" s="18" t="s">
        <v>36</v>
      </c>
      <c r="O2708" s="13" t="s">
        <v>11521</v>
      </c>
      <c r="P2708" s="19" t="s">
        <v>2050</v>
      </c>
      <c r="Q2708" s="47" t="s">
        <v>11535</v>
      </c>
      <c r="R2708" s="13" t="s">
        <v>73</v>
      </c>
      <c r="S2708" s="16" t="n">
        <v>36528</v>
      </c>
      <c r="T2708" s="28" t="s">
        <v>40</v>
      </c>
      <c r="U2708" s="13" t="s">
        <v>11536</v>
      </c>
      <c r="V2708" s="13" t="s">
        <v>42</v>
      </c>
      <c r="W2708" s="13" t="s">
        <v>43</v>
      </c>
      <c r="X2708" s="21" t="s">
        <v>11537</v>
      </c>
      <c r="Y2708" s="22" t="str">
        <f aca="false">O2708</f>
        <v>Produksi Assembly</v>
      </c>
      <c r="Z2708" s="13" t="str">
        <f aca="false">IFERROR(__xludf.dummyfunction("if(BJ2708="""","""",GOOGLETRANSLATE(BJ2708,""auto"",""en""))"),"Assembly Production")</f>
        <v>Assembly Production</v>
      </c>
      <c r="AA2708" s="23" t="str">
        <f aca="false">IF(C2708="","", CHOOSE(MONTH(C2708),"January","February","March","April","May","June","July","August","September","October","November","December")&amp;" "&amp;DAY(C2708)&amp;MID("thstndrdth",MIN(9,2*RIGHT(DAY(C2708))*(MOD(DAY(C2708)-11,100)&gt;2)+1),2)&amp;","&amp;TEXT(C2708," yyyy"))</f>
        <v>September 6th,2025</v>
      </c>
      <c r="AB2708" s="15" t="str">
        <f aca="true">IF(S2708="","",DATEDIF(S2708,TODAY(),"Y")&amp;" Tahun, "&amp;DATEDIF(S2708,TODAY(),"YM")&amp;" Bulan, "&amp;DATEDIF(S2708,TODAY(),"MD")&amp;" Hari")</f>
        <v>26 Tahun, 9 Bulan, 26 Hari</v>
      </c>
      <c r="AC2708" s="18" t="n">
        <v>45916</v>
      </c>
      <c r="AD2708" s="18" t="n">
        <f aca="false">EDATE(AC2708,1)-1</f>
        <v>45945</v>
      </c>
      <c r="AE2708" s="13" t="s">
        <v>44</v>
      </c>
    </row>
    <row r="2709" customFormat="false" ht="15" hidden="false" customHeight="true" outlineLevel="0" collapsed="false">
      <c r="A2709" s="12" t="n">
        <v>20810</v>
      </c>
      <c r="B2709" s="13" t="s">
        <v>11538</v>
      </c>
      <c r="C2709" s="16" t="n">
        <v>45916</v>
      </c>
      <c r="D2709" s="13" t="s">
        <v>2046</v>
      </c>
      <c r="E2709" s="15" t="s">
        <v>33</v>
      </c>
      <c r="F2709" s="24" t="s">
        <v>11539</v>
      </c>
      <c r="G2709" s="13" t="s">
        <v>1127</v>
      </c>
      <c r="H2709" s="13" t="s">
        <v>35</v>
      </c>
      <c r="I2709" s="13" t="str">
        <f aca="false">IF(C2709=J2709,"NEW KONTRAK","RE-KONTRAK")</f>
        <v>NEW KONTRAK</v>
      </c>
      <c r="J2709" s="16" t="n">
        <f aca="false" t="array" ref="J2709:J2709">IFERROR(INDEX(AC2709:AE2709,IF(COUNTA(AC2709:AE2709)=0,"",MAX((AC2709:AE2709&lt;&gt;"")*(COLUMN(AC2709:AE2709)-(COLUMN(AC2709)))))-1),"")</f>
        <v>45916</v>
      </c>
      <c r="K2709" s="16" t="n">
        <f aca="false" t="array" ref="K2709:K2709">IFERROR(INDEX(AC2709:AE2709,IF(COUNTA(AC2709:AE2709)=0,"",MAX((AC2709:AE2709&lt;&gt;"")*(COLUMN(AC2709:AE2709)-(COLUMN(AC2709)-1))))-1),"")</f>
        <v>45945</v>
      </c>
      <c r="L2709" s="17" t="str">
        <f aca="false" t="array" ref="L2709:L2709">IFERROR(INDEX(AC2709:AE2709,IF(COUNTA(AC2709:AE2709)=0,"",MAX((AC2709:AE2709&lt;&gt;"")*(COLUMN(AC2709:AE2709)-(COLUMN(AC2709)-2))))-1),"")</f>
        <v>ARCHIVED</v>
      </c>
      <c r="M2709" s="13" t="n">
        <f aca="true">K2709-TODAY()</f>
        <v>-379</v>
      </c>
      <c r="N2709" s="18" t="s">
        <v>36</v>
      </c>
      <c r="O2709" s="13" t="s">
        <v>11521</v>
      </c>
      <c r="P2709" s="27" t="n">
        <v>215000</v>
      </c>
      <c r="Q2709" s="47" t="s">
        <v>11540</v>
      </c>
      <c r="R2709" s="13" t="s">
        <v>232</v>
      </c>
      <c r="S2709" s="16" t="n">
        <v>36642</v>
      </c>
      <c r="T2709" s="28" t="s">
        <v>40</v>
      </c>
      <c r="U2709" s="13" t="s">
        <v>7152</v>
      </c>
      <c r="V2709" s="13" t="s">
        <v>42</v>
      </c>
      <c r="W2709" s="13" t="s">
        <v>43</v>
      </c>
      <c r="X2709" s="30" t="n">
        <v>81264317139</v>
      </c>
      <c r="Y2709" s="22" t="str">
        <f aca="false">O2709</f>
        <v>Produksi Assembly</v>
      </c>
      <c r="Z2709" s="13" t="str">
        <f aca="false">IFERROR(__xludf.dummyfunction("if(BJ2709="""","""",GOOGLETRANSLATE(BJ2709,""auto"",""en""))"),"Assembly Production")</f>
        <v>Assembly Production</v>
      </c>
      <c r="AA2709" s="23" t="str">
        <f aca="false">IF(C2709="","", CHOOSE(MONTH(C2709),"January","February","March","April","May","June","July","August","September","October","November","December")&amp;" "&amp;DAY(C2709)&amp;MID("thstndrdth",MIN(9,2*RIGHT(DAY(C2709))*(MOD(DAY(C2709)-11,100)&gt;2)+1),2)&amp;","&amp;TEXT(C2709," yyyy"))</f>
        <v>September 16th,2025</v>
      </c>
      <c r="AB2709" s="15" t="str">
        <f aca="true">IF(S2709="","",DATEDIF(S2709,TODAY(),"Y")&amp;" Tahun, "&amp;DATEDIF(S2709,TODAY(),"YM")&amp;" Bulan, "&amp;DATEDIF(S2709,TODAY(),"MD")&amp;" Hari")</f>
        <v>26 Tahun, 6 Bulan, 3 Hari</v>
      </c>
      <c r="AC2709" s="18" t="n">
        <v>45916</v>
      </c>
      <c r="AD2709" s="18" t="n">
        <f aca="false">EDATE(AC2709,1)-1</f>
        <v>45945</v>
      </c>
      <c r="AE2709" s="13" t="s">
        <v>44</v>
      </c>
    </row>
    <row r="2710" customFormat="false" ht="15" hidden="false" customHeight="true" outlineLevel="0" collapsed="false">
      <c r="A2710" s="12" t="n">
        <v>20811</v>
      </c>
      <c r="B2710" s="13" t="s">
        <v>11541</v>
      </c>
      <c r="C2710" s="16" t="n">
        <v>45916</v>
      </c>
      <c r="D2710" s="13" t="s">
        <v>2046</v>
      </c>
      <c r="E2710" s="15" t="s">
        <v>789</v>
      </c>
      <c r="F2710" s="24" t="s">
        <v>11542</v>
      </c>
      <c r="G2710" s="13" t="s">
        <v>1127</v>
      </c>
      <c r="H2710" s="13" t="s">
        <v>35</v>
      </c>
      <c r="I2710" s="13" t="str">
        <f aca="false">IF(C2710=J2710,"NEW KONTRAK","RE-KONTRAK")</f>
        <v>NEW KONTRAK</v>
      </c>
      <c r="J2710" s="16" t="n">
        <f aca="false" t="array" ref="J2710:J2710">IFERROR(INDEX(AC2710:AE2710,IF(COUNTA(AC2710:AE2710)=0,"",MAX((AC2710:AE2710&lt;&gt;"")*(COLUMN(AC2710:AE2710)-(COLUMN(AC2710)))))-1),"")</f>
        <v>45916</v>
      </c>
      <c r="K2710" s="16" t="n">
        <f aca="false" t="array" ref="K2710:K2710">IFERROR(INDEX(AC2710:AE2710,IF(COUNTA(AC2710:AE2710)=0,"",MAX((AC2710:AE2710&lt;&gt;"")*(COLUMN(AC2710:AE2710)-(COLUMN(AC2710)-1))))-1),"")</f>
        <v>45945</v>
      </c>
      <c r="L2710" s="17" t="str">
        <f aca="false" t="array" ref="L2710:L2710">IFERROR(INDEX(AC2710:AE2710,IF(COUNTA(AC2710:AE2710)=0,"",MAX((AC2710:AE2710&lt;&gt;"")*(COLUMN(AC2710:AE2710)-(COLUMN(AC2710)-2))))-1),"")</f>
        <v>ARCHIVED</v>
      </c>
      <c r="M2710" s="13" t="n">
        <f aca="true">K2710-TODAY()</f>
        <v>-379</v>
      </c>
      <c r="N2710" s="18" t="s">
        <v>36</v>
      </c>
      <c r="O2710" s="13" t="s">
        <v>11521</v>
      </c>
      <c r="P2710" s="19" t="s">
        <v>2050</v>
      </c>
      <c r="Q2710" s="47" t="s">
        <v>11543</v>
      </c>
      <c r="R2710" s="13" t="s">
        <v>73</v>
      </c>
      <c r="S2710" s="16" t="n">
        <v>36398</v>
      </c>
      <c r="T2710" s="28" t="s">
        <v>40</v>
      </c>
      <c r="U2710" s="13" t="s">
        <v>11544</v>
      </c>
      <c r="V2710" s="13" t="s">
        <v>42</v>
      </c>
      <c r="W2710" s="13" t="s">
        <v>43</v>
      </c>
      <c r="X2710" s="30" t="n">
        <v>81105329318</v>
      </c>
      <c r="Y2710" s="22" t="str">
        <f aca="false">O2710</f>
        <v>Produksi Assembly</v>
      </c>
      <c r="Z2710" s="13" t="str">
        <f aca="false">IFERROR(__xludf.dummyfunction("if(BJ2710="""","""",GOOGLETRANSLATE(BJ2710,""auto"",""en""))"),"Assembly Production")</f>
        <v>Assembly Production</v>
      </c>
      <c r="AA2710" s="23" t="str">
        <f aca="false">IF(C2710="","", CHOOSE(MONTH(C2710),"January","February","March","April","May","June","July","August","September","October","November","December")&amp;" "&amp;DAY(C2710)&amp;MID("thstndrdth",MIN(9,2*RIGHT(DAY(C2710))*(MOD(DAY(C2710)-11,100)&gt;2)+1),2)&amp;","&amp;TEXT(C2710," yyyy"))</f>
        <v>September 16th,2025</v>
      </c>
      <c r="AB2710" s="15" t="str">
        <f aca="true">IF(S2710="","",DATEDIF(S2710,TODAY(),"Y")&amp;" Tahun, "&amp;DATEDIF(S2710,TODAY(),"YM")&amp;" Bulan, "&amp;DATEDIF(S2710,TODAY(),"MD")&amp;" Hari")</f>
        <v>27 Tahun, 2 Bulan, 3 Hari</v>
      </c>
      <c r="AC2710" s="18" t="n">
        <v>45916</v>
      </c>
      <c r="AD2710" s="18" t="n">
        <f aca="false">EDATE(AC2710,1)-1</f>
        <v>45945</v>
      </c>
      <c r="AE2710" s="13" t="s">
        <v>44</v>
      </c>
    </row>
    <row r="2711" customFormat="false" ht="15" hidden="false" customHeight="true" outlineLevel="0" collapsed="false">
      <c r="A2711" s="12" t="n">
        <v>20812</v>
      </c>
      <c r="B2711" s="13" t="s">
        <v>11545</v>
      </c>
      <c r="C2711" s="16" t="n">
        <v>45916</v>
      </c>
      <c r="D2711" s="13" t="s">
        <v>2046</v>
      </c>
      <c r="E2711" s="15" t="s">
        <v>33</v>
      </c>
      <c r="F2711" s="24" t="s">
        <v>11546</v>
      </c>
      <c r="G2711" s="13" t="s">
        <v>1127</v>
      </c>
      <c r="H2711" s="13" t="s">
        <v>35</v>
      </c>
      <c r="I2711" s="13" t="str">
        <f aca="false">IF(C2711=J2711,"NEW KONTRAK","RE-KONTRAK")</f>
        <v>NEW KONTRAK</v>
      </c>
      <c r="J2711" s="16" t="n">
        <f aca="false" t="array" ref="J2711:J2711">IFERROR(INDEX(AC2711:AE2711,IF(COUNTA(AC2711:AE2711)=0,"",MAX((AC2711:AE2711&lt;&gt;"")*(COLUMN(AC2711:AE2711)-(COLUMN(AC2711)))))-1),"")</f>
        <v>45916</v>
      </c>
      <c r="K2711" s="16" t="n">
        <f aca="false" t="array" ref="K2711:K2711">IFERROR(INDEX(AC2711:AE2711,IF(COUNTA(AC2711:AE2711)=0,"",MAX((AC2711:AE2711&lt;&gt;"")*(COLUMN(AC2711:AE2711)-(COLUMN(AC2711)-1))))-1),"")</f>
        <v>45945</v>
      </c>
      <c r="L2711" s="17" t="str">
        <f aca="false" t="array" ref="L2711:L2711">IFERROR(INDEX(AC2711:AE2711,IF(COUNTA(AC2711:AE2711)=0,"",MAX((AC2711:AE2711&lt;&gt;"")*(COLUMN(AC2711:AE2711)-(COLUMN(AC2711)-2))))-1),"")</f>
        <v>ARCHIVED</v>
      </c>
      <c r="M2711" s="13" t="n">
        <f aca="true">K2711-TODAY()</f>
        <v>-379</v>
      </c>
      <c r="N2711" s="18" t="s">
        <v>36</v>
      </c>
      <c r="O2711" s="13" t="s">
        <v>11521</v>
      </c>
      <c r="P2711" s="27" t="n">
        <v>215000</v>
      </c>
      <c r="Q2711" s="47" t="s">
        <v>11547</v>
      </c>
      <c r="R2711" s="13" t="s">
        <v>52</v>
      </c>
      <c r="S2711" s="16" t="n">
        <v>35405</v>
      </c>
      <c r="T2711" s="28" t="s">
        <v>40</v>
      </c>
      <c r="U2711" s="13" t="s">
        <v>11548</v>
      </c>
      <c r="V2711" s="13" t="s">
        <v>99</v>
      </c>
      <c r="W2711" s="13" t="s">
        <v>43</v>
      </c>
      <c r="X2711" s="30" t="n">
        <v>85193352904</v>
      </c>
      <c r="Y2711" s="22" t="str">
        <f aca="false">O2711</f>
        <v>Produksi Assembly</v>
      </c>
      <c r="Z2711" s="13" t="str">
        <f aca="false">IFERROR(__xludf.dummyfunction("if(BJ2711="""","""",GOOGLETRANSLATE(BJ2711,""auto"",""en""))"),"Assembly Production")</f>
        <v>Assembly Production</v>
      </c>
      <c r="AA2711" s="23" t="str">
        <f aca="false">IF(C2711="","", CHOOSE(MONTH(C2711),"January","February","March","April","May","June","July","August","September","October","November","December")&amp;" "&amp;DAY(C2711)&amp;MID("thstndrdth",MIN(9,2*RIGHT(DAY(C2711))*(MOD(DAY(C2711)-11,100)&gt;2)+1),2)&amp;","&amp;TEXT(C2711," yyyy"))</f>
        <v>September 16th,2025</v>
      </c>
      <c r="AB2711" s="15" t="str">
        <f aca="true">IF(S2711="","",DATEDIF(S2711,TODAY(),"Y")&amp;" Tahun, "&amp;DATEDIF(S2711,TODAY(),"YM")&amp;" Bulan, "&amp;DATEDIF(S2711,TODAY(),"MD")&amp;" Hari")</f>
        <v>29 Tahun, 10 Bulan, 23 Hari</v>
      </c>
      <c r="AC2711" s="18" t="n">
        <v>45916</v>
      </c>
      <c r="AD2711" s="18" t="n">
        <f aca="false">EDATE(AC2711,1)-1</f>
        <v>45945</v>
      </c>
      <c r="AE2711" s="13" t="s">
        <v>44</v>
      </c>
    </row>
    <row r="2712" customFormat="false" ht="15" hidden="false" customHeight="true" outlineLevel="0" collapsed="false">
      <c r="A2712" s="12" t="n">
        <v>20813</v>
      </c>
      <c r="B2712" s="13" t="s">
        <v>11549</v>
      </c>
      <c r="C2712" s="16" t="n">
        <v>45916</v>
      </c>
      <c r="D2712" s="13" t="s">
        <v>2046</v>
      </c>
      <c r="E2712" s="15" t="s">
        <v>789</v>
      </c>
      <c r="F2712" s="24" t="s">
        <v>11550</v>
      </c>
      <c r="G2712" s="13" t="s">
        <v>1127</v>
      </c>
      <c r="H2712" s="13" t="s">
        <v>35</v>
      </c>
      <c r="I2712" s="13" t="str">
        <f aca="false">IF(C2712=J2712,"NEW KONTRAK","RE-KONTRAK")</f>
        <v>NEW KONTRAK</v>
      </c>
      <c r="J2712" s="16" t="n">
        <f aca="false" t="array" ref="J2712:J2712">IFERROR(INDEX(AC2712:AE2712,IF(COUNTA(AC2712:AE2712)=0,"",MAX((AC2712:AE2712&lt;&gt;"")*(COLUMN(AC2712:AE2712)-(COLUMN(AC2712)))))-1),"")</f>
        <v>45916</v>
      </c>
      <c r="K2712" s="16" t="n">
        <f aca="false" t="array" ref="K2712:K2712">IFERROR(INDEX(AC2712:AE2712,IF(COUNTA(AC2712:AE2712)=0,"",MAX((AC2712:AE2712&lt;&gt;"")*(COLUMN(AC2712:AE2712)-(COLUMN(AC2712)-1))))-1),"")</f>
        <v>45945</v>
      </c>
      <c r="L2712" s="17" t="str">
        <f aca="false" t="array" ref="L2712:L2712">IFERROR(INDEX(AC2712:AE2712,IF(COUNTA(AC2712:AE2712)=0,"",MAX((AC2712:AE2712&lt;&gt;"")*(COLUMN(AC2712:AE2712)-(COLUMN(AC2712)-2))))-1),"")</f>
        <v>ARCHIVED</v>
      </c>
      <c r="M2712" s="13" t="n">
        <f aca="true">K2712-TODAY()</f>
        <v>-379</v>
      </c>
      <c r="N2712" s="18" t="s">
        <v>36</v>
      </c>
      <c r="O2712" s="13" t="s">
        <v>11521</v>
      </c>
      <c r="P2712" s="19" t="s">
        <v>2050</v>
      </c>
      <c r="Q2712" s="47" t="s">
        <v>11551</v>
      </c>
      <c r="R2712" s="13" t="s">
        <v>65</v>
      </c>
      <c r="S2712" s="16" t="n">
        <v>37037</v>
      </c>
      <c r="T2712" s="28" t="s">
        <v>40</v>
      </c>
      <c r="U2712" s="13" t="s">
        <v>11552</v>
      </c>
      <c r="V2712" s="13" t="s">
        <v>42</v>
      </c>
      <c r="W2712" s="13" t="s">
        <v>43</v>
      </c>
      <c r="X2712" s="30" t="n">
        <v>82228421020</v>
      </c>
      <c r="Y2712" s="22" t="str">
        <f aca="false">O2712</f>
        <v>Produksi Assembly</v>
      </c>
      <c r="Z2712" s="13" t="str">
        <f aca="false">IFERROR(__xludf.dummyfunction("if(BJ2712="""","""",GOOGLETRANSLATE(BJ2712,""auto"",""en""))"),"Assembly Production")</f>
        <v>Assembly Production</v>
      </c>
      <c r="AA2712" s="23" t="str">
        <f aca="false">IF(C2712="","", CHOOSE(MONTH(C2712),"January","February","March","April","May","June","July","August","September","October","November","December")&amp;" "&amp;DAY(C2712)&amp;MID("thstndrdth",MIN(9,2*RIGHT(DAY(C2712))*(MOD(DAY(C2712)-11,100)&gt;2)+1),2)&amp;","&amp;TEXT(C2712," yyyy"))</f>
        <v>September 16th,2025</v>
      </c>
      <c r="AB2712" s="15" t="str">
        <f aca="true">IF(S2712="","",DATEDIF(S2712,TODAY(),"Y")&amp;" Tahun, "&amp;DATEDIF(S2712,TODAY(),"YM")&amp;" Bulan, "&amp;DATEDIF(S2712,TODAY(),"MD")&amp;" Hari")</f>
        <v>25 Tahun, 5 Bulan, 3 Hari</v>
      </c>
      <c r="AC2712" s="18" t="n">
        <v>45916</v>
      </c>
      <c r="AD2712" s="18" t="n">
        <f aca="false">EDATE(AC2712,1)-1</f>
        <v>45945</v>
      </c>
      <c r="AE2712" s="13" t="s">
        <v>44</v>
      </c>
    </row>
    <row r="2713" customFormat="false" ht="15" hidden="false" customHeight="true" outlineLevel="0" collapsed="false">
      <c r="A2713" s="12" t="n">
        <v>20814</v>
      </c>
      <c r="B2713" s="13" t="s">
        <v>11553</v>
      </c>
      <c r="C2713" s="16" t="n">
        <v>45905</v>
      </c>
      <c r="D2713" s="13" t="s">
        <v>2046</v>
      </c>
      <c r="E2713" s="15" t="s">
        <v>789</v>
      </c>
      <c r="F2713" s="24" t="s">
        <v>11554</v>
      </c>
      <c r="G2713" s="13" t="s">
        <v>1127</v>
      </c>
      <c r="H2713" s="13" t="s">
        <v>35</v>
      </c>
      <c r="I2713" s="13" t="str">
        <f aca="false">IF(C2713=J2713,"NEW KONTRAK","RE-KONTRAK")</f>
        <v>RE-KONTRAK</v>
      </c>
      <c r="J2713" s="16" t="n">
        <f aca="false" t="array" ref="J2713:J2713">IFERROR(INDEX(AC2713:AE2713,IF(COUNTA(AC2713:AE2713)=0,"",MAX((AC2713:AE2713&lt;&gt;"")*(COLUMN(AC2713:AE2713)-(COLUMN(AC2713)))))-1),"")</f>
        <v>45916</v>
      </c>
      <c r="K2713" s="16" t="n">
        <f aca="false" t="array" ref="K2713:K2713">IFERROR(INDEX(AC2713:AE2713,IF(COUNTA(AC2713:AE2713)=0,"",MAX((AC2713:AE2713&lt;&gt;"")*(COLUMN(AC2713:AE2713)-(COLUMN(AC2713)-1))))-1),"")</f>
        <v>45945</v>
      </c>
      <c r="L2713" s="17" t="str">
        <f aca="false" t="array" ref="L2713:L2713">IFERROR(INDEX(AC2713:AE2713,IF(COUNTA(AC2713:AE2713)=0,"",MAX((AC2713:AE2713&lt;&gt;"")*(COLUMN(AC2713:AE2713)-(COLUMN(AC2713)-2))))-1),"")</f>
        <v>ARCHIVED</v>
      </c>
      <c r="M2713" s="13" t="n">
        <f aca="true">K2713-TODAY()</f>
        <v>-379</v>
      </c>
      <c r="N2713" s="18" t="s">
        <v>36</v>
      </c>
      <c r="O2713" s="13" t="s">
        <v>11521</v>
      </c>
      <c r="P2713" s="19" t="s">
        <v>2050</v>
      </c>
      <c r="Q2713" s="47" t="s">
        <v>11555</v>
      </c>
      <c r="R2713" s="13" t="s">
        <v>65</v>
      </c>
      <c r="S2713" s="16" t="n">
        <v>36906</v>
      </c>
      <c r="T2713" s="28" t="s">
        <v>40</v>
      </c>
      <c r="U2713" s="13" t="s">
        <v>11556</v>
      </c>
      <c r="V2713" s="13" t="s">
        <v>42</v>
      </c>
      <c r="W2713" s="13" t="s">
        <v>43</v>
      </c>
      <c r="X2713" s="30" t="n">
        <v>87839502402</v>
      </c>
      <c r="Y2713" s="22" t="str">
        <f aca="false">O2713</f>
        <v>Produksi Assembly</v>
      </c>
      <c r="Z2713" s="13" t="str">
        <f aca="false">IFERROR(__xludf.dummyfunction("if(BJ2713="""","""",GOOGLETRANSLATE(BJ2713,""auto"",""en""))"),"Assembly Production")</f>
        <v>Assembly Production</v>
      </c>
      <c r="AA2713" s="23" t="str">
        <f aca="false">IF(C2713="","", CHOOSE(MONTH(C2713),"January","February","March","April","May","June","July","August","September","October","November","December")&amp;" "&amp;DAY(C2713)&amp;MID("thstndrdth",MIN(9,2*RIGHT(DAY(C2713))*(MOD(DAY(C2713)-11,100)&gt;2)+1),2)&amp;","&amp;TEXT(C2713," yyyy"))</f>
        <v>September 5th,2025</v>
      </c>
      <c r="AB2713" s="15" t="str">
        <f aca="true">IF(S2713="","",DATEDIF(S2713,TODAY(),"Y")&amp;" Tahun, "&amp;DATEDIF(S2713,TODAY(),"YM")&amp;" Bulan, "&amp;DATEDIF(S2713,TODAY(),"MD")&amp;" Hari")</f>
        <v>25 Tahun, 9 Bulan, 14 Hari</v>
      </c>
      <c r="AC2713" s="18" t="n">
        <v>45916</v>
      </c>
      <c r="AD2713" s="18" t="n">
        <f aca="false">EDATE(AC2713,1)-1</f>
        <v>45945</v>
      </c>
      <c r="AE2713" s="13" t="s">
        <v>44</v>
      </c>
    </row>
    <row r="2714" customFormat="false" ht="15" hidden="false" customHeight="true" outlineLevel="0" collapsed="false">
      <c r="A2714" s="12" t="n">
        <v>20816</v>
      </c>
      <c r="B2714" s="13" t="s">
        <v>11557</v>
      </c>
      <c r="C2714" s="16" t="n">
        <v>45922</v>
      </c>
      <c r="D2714" s="13" t="s">
        <v>393</v>
      </c>
      <c r="E2714" s="15" t="s">
        <v>47</v>
      </c>
      <c r="F2714" s="15" t="str">
        <f aca="false">IFERROR(__xludf.dummyfunction("XLOOKUP(AJ2714,IMPORTRANGE(""1XaInW9DU9nz21V0tYIfzFQ0He9kVQ_JF2mCXgZ3hqFA"",""REKAP ALL 2026 - Andika!G:G""),IMPORTRANGE(""1XaInW9DU9nz21V0tYIfzFQ0He9kVQ_JF2mCXgZ3hqFA"",""REKAP ALL 2026 - Andika!F:F""),"""",0)"),"25133241114")</f>
        <v>25133241114</v>
      </c>
      <c r="G2714" s="13" t="s">
        <v>11558</v>
      </c>
      <c r="H2714" s="13" t="s">
        <v>35</v>
      </c>
      <c r="I2714" s="13" t="str">
        <f aca="false">IF(C2714=J2714,"NEW KONTRAK","RE-KONTRAK")</f>
        <v>NEW KONTRAK</v>
      </c>
      <c r="J2714" s="16" t="n">
        <f aca="false" t="array" ref="J2714:J2714">IFERROR(INDEX(AC2714:AE2714,IF(COUNTA(AC2714:AE2714)=0,"",MAX((AC2714:AE2714&lt;&gt;"")*(COLUMN(AC2714:AE2714)-(COLUMN(AC2714)))))-1),"")</f>
        <v>45922</v>
      </c>
      <c r="K2714" s="16" t="n">
        <f aca="false" t="array" ref="K2714:K2714">IFERROR(INDEX(AC2714:AE2714,IF(COUNTA(AC2714:AE2714)=0,"",MAX((AC2714:AE2714&lt;&gt;"")*(COLUMN(AC2714:AE2714)-(COLUMN(AC2714)-1))))-1),"")</f>
        <v>46012</v>
      </c>
      <c r="L2714" s="17" t="str">
        <f aca="false" t="array" ref="L2714:L2714">IFERROR(INDEX(AC2714:AE2714,IF(COUNTA(AC2714:AE2714)=0,"",MAX((AC2714:AE2714&lt;&gt;"")*(COLUMN(AC2714:AE2714)-(COLUMN(AC2714)-2))))-1),"")</f>
        <v>KEMBALI</v>
      </c>
      <c r="M2714" s="13" t="n">
        <f aca="true">K2714-TODAY()</f>
        <v>-312</v>
      </c>
      <c r="N2714" s="18" t="s">
        <v>105</v>
      </c>
      <c r="O2714" s="13" t="s">
        <v>58</v>
      </c>
      <c r="P2714" s="19" t="n">
        <v>5191541</v>
      </c>
      <c r="Q2714" s="47" t="s">
        <v>11559</v>
      </c>
      <c r="R2714" s="13" t="s">
        <v>771</v>
      </c>
      <c r="S2714" s="16" t="n">
        <v>31310</v>
      </c>
      <c r="T2714" s="28" t="s">
        <v>40</v>
      </c>
      <c r="U2714" s="13" t="s">
        <v>11560</v>
      </c>
      <c r="V2714" s="13" t="s">
        <v>42</v>
      </c>
      <c r="W2714" s="13" t="s">
        <v>54</v>
      </c>
      <c r="X2714" s="102" t="n">
        <v>82323568108</v>
      </c>
      <c r="Y2714" s="22" t="str">
        <f aca="false">O2714</f>
        <v>Produksi</v>
      </c>
      <c r="Z2714" s="13" t="str">
        <f aca="false">IFERROR(__xludf.dummyfunction("if(BJ2714="""","""",GOOGLETRANSLATE(BJ2714,""auto"",""en""))"),"Production")</f>
        <v>Production</v>
      </c>
      <c r="AA2714" s="23" t="str">
        <f aca="false">IF(C2714="","", CHOOSE(MONTH(C2714),"January","February","March","April","May","June","July","August","September","October","November","December")&amp;" "&amp;DAY(C2714)&amp;MID("thstndrdth",MIN(9,2*RIGHT(DAY(C2714))*(MOD(DAY(C2714)-11,100)&gt;2)+1),2)&amp;","&amp;TEXT(C2714," yyyy"))</f>
        <v>September 22nd,2025</v>
      </c>
      <c r="AB2714" s="15" t="str">
        <f aca="true">IF(S2714="","",DATEDIF(S2714,TODAY(),"Y")&amp;" Tahun, "&amp;DATEDIF(S2714,TODAY(),"YM")&amp;" Bulan, "&amp;DATEDIF(S2714,TODAY(),"MD")&amp;" Hari")</f>
        <v>41 Tahun, 1 Bulan, 9 Hari</v>
      </c>
      <c r="AC2714" s="18" t="n">
        <v>45922</v>
      </c>
      <c r="AD2714" s="18" t="n">
        <v>46012</v>
      </c>
      <c r="AE2714" s="13" t="s">
        <v>397</v>
      </c>
    </row>
    <row r="2715" customFormat="false" ht="15" hidden="false" customHeight="true" outlineLevel="0" collapsed="false">
      <c r="A2715" s="12" t="n">
        <v>20817</v>
      </c>
      <c r="B2715" s="13" t="s">
        <v>11561</v>
      </c>
      <c r="C2715" s="14" t="n">
        <v>45858</v>
      </c>
      <c r="D2715" s="13" t="s">
        <v>4112</v>
      </c>
      <c r="E2715" s="15" t="s">
        <v>47</v>
      </c>
      <c r="F2715" s="15" t="str">
        <f aca="false">IFERROR(__xludf.dummyfunction("XLOOKUP(AJ2715,IMPORTRANGE(""1XaInW9DU9nz21V0tYIfzFQ0He9kVQ_JF2mCXgZ3hqFA"",""REKAP ALL 2026 - Andika!G:G""),IMPORTRANGE(""1XaInW9DU9nz21V0tYIfzFQ0He9kVQ_JF2mCXgZ3hqFA"",""REKAP ALL 2026 - Andika!F:F""),"""",0)"),"25133229424")</f>
        <v>25133229424</v>
      </c>
      <c r="G2715" s="28" t="s">
        <v>57</v>
      </c>
      <c r="H2715" s="13" t="s">
        <v>35</v>
      </c>
      <c r="I2715" s="13" t="str">
        <f aca="false">IF(C2715=J2715,"NEW KONTRAK","RE-KONTRAK")</f>
        <v>NEW KONTRAK</v>
      </c>
      <c r="J2715" s="16" t="n">
        <f aca="false" t="array" ref="J2715:J2715">IFERROR(INDEX(AC2715:AE2715,IF(COUNTA(AC2715:AE2715)=0,"",MAX((AC2715:AE2715&lt;&gt;"")*(COLUMN(AC2715:AE2715)-(COLUMN(AC2715)))))-1),"")</f>
        <v>45858</v>
      </c>
      <c r="K2715" s="16" t="n">
        <f aca="false" t="array" ref="K2715:K2715">IFERROR(INDEX(AC2715:AE2715,IF(COUNTA(AC2715:AE2715)=0,"",MAX((AC2715:AE2715&lt;&gt;"")*(COLUMN(AC2715:AE2715)-(COLUMN(AC2715)-1))))-1),"")</f>
        <v>46041</v>
      </c>
      <c r="L2715" s="17" t="str">
        <f aca="false" t="array" ref="L2715:L2715">IFERROR(INDEX(AC2715:AE2715,IF(COUNTA(AC2715:AE2715)=0,"",MAX((AC2715:AE2715&lt;&gt;"")*(COLUMN(AC2715:AE2715)-(COLUMN(AC2715)-2))))-1),"")</f>
        <v>ARCHIVED</v>
      </c>
      <c r="M2715" s="13" t="n">
        <f aca="true">K2715-TODAY()</f>
        <v>-283</v>
      </c>
      <c r="N2715" s="18" t="s">
        <v>728</v>
      </c>
      <c r="O2715" s="13" t="s">
        <v>3271</v>
      </c>
      <c r="P2715" s="71" t="n">
        <v>2600000</v>
      </c>
      <c r="Q2715" s="47" t="s">
        <v>11562</v>
      </c>
      <c r="R2715" s="13" t="s">
        <v>52</v>
      </c>
      <c r="S2715" s="14" t="n">
        <v>36093</v>
      </c>
      <c r="T2715" s="13" t="s">
        <v>40</v>
      </c>
      <c r="U2715" s="13" t="s">
        <v>11563</v>
      </c>
      <c r="V2715" s="13" t="s">
        <v>42</v>
      </c>
      <c r="W2715" s="13" t="s">
        <v>43</v>
      </c>
      <c r="X2715" s="21" t="n">
        <v>85736623084</v>
      </c>
      <c r="Y2715" s="22" t="str">
        <f aca="false">O2715</f>
        <v>Helper</v>
      </c>
      <c r="Z2715" s="13" t="str">
        <f aca="false">IFERROR(__xludf.dummyfunction("if(BJ2715="""","""",GOOGLETRANSLATE(BJ2715,""auto"",""en""))"),"Helper")</f>
        <v>Helper</v>
      </c>
      <c r="AA2715" s="23" t="str">
        <f aca="false">IF(C2715="","", CHOOSE(MONTH(C2715),"January","February","March","April","May","June","July","August","September","October","November","December")&amp;" "&amp;DAY(C2715)&amp;MID("thstndrdth",MIN(9,2*RIGHT(DAY(C2715))*(MOD(DAY(C2715)-11,100)&gt;2)+1),2)&amp;","&amp;TEXT(C2715," yyyy"))</f>
        <v>July 20th,2025</v>
      </c>
      <c r="AB2715" s="15" t="str">
        <f aca="true">IF(S2715="","",DATEDIF(S2715,TODAY(),"Y")&amp;" Tahun, "&amp;DATEDIF(S2715,TODAY(),"YM")&amp;" Bulan, "&amp;DATEDIF(S2715,TODAY(),"MD")&amp;" Hari")</f>
        <v>28 Tahun, 0 Bulan, 4 Hari</v>
      </c>
      <c r="AC2715" s="18" t="n">
        <v>45858</v>
      </c>
      <c r="AD2715" s="18" t="n">
        <f aca="false">EDATE(AC2715,6)-1</f>
        <v>46041</v>
      </c>
      <c r="AE2715" s="13" t="s">
        <v>44</v>
      </c>
    </row>
    <row r="2716" customFormat="false" ht="15" hidden="false" customHeight="true" outlineLevel="0" collapsed="false">
      <c r="A2716" s="12" t="n">
        <v>20818</v>
      </c>
      <c r="B2716" s="13" t="s">
        <v>11564</v>
      </c>
      <c r="C2716" s="14" t="n">
        <v>45858</v>
      </c>
      <c r="D2716" s="13" t="s">
        <v>4112</v>
      </c>
      <c r="E2716" s="15" t="s">
        <v>102</v>
      </c>
      <c r="F2716" s="15" t="str">
        <f aca="false">IFERROR(__xludf.dummyfunction("XLOOKUP(AJ2716,IMPORTRANGE(""1XaInW9DU9nz21V0tYIfzFQ0He9kVQ_JF2mCXgZ3hqFA"",""REKAP ALL 2026 - Andika!G:G""),IMPORTRANGE(""1XaInW9DU9nz21V0tYIfzFQ0He9kVQ_JF2mCXgZ3hqFA"",""REKAP ALL 2026 - Andika!F:F""),"""",0)"),"25133229432")</f>
        <v>25133229432</v>
      </c>
      <c r="G2716" s="28" t="s">
        <v>57</v>
      </c>
      <c r="H2716" s="13" t="s">
        <v>35</v>
      </c>
      <c r="I2716" s="13" t="str">
        <f aca="false">IF(C2716=J2716,"NEW KONTRAK","RE-KONTRAK")</f>
        <v>NEW KONTRAK</v>
      </c>
      <c r="J2716" s="16" t="n">
        <f aca="false" t="array" ref="J2716:J2716">IFERROR(INDEX(AC2716:AE2716,IF(COUNTA(AC2716:AE2716)=0,"",MAX((AC2716:AE2716&lt;&gt;"")*(COLUMN(AC2716:AE2716)-(COLUMN(AC2716)))))-1),"")</f>
        <v>45858</v>
      </c>
      <c r="K2716" s="16" t="n">
        <f aca="false" t="array" ref="K2716:K2716">IFERROR(INDEX(AC2716:AE2716,IF(COUNTA(AC2716:AE2716)=0,"",MAX((AC2716:AE2716&lt;&gt;"")*(COLUMN(AC2716:AE2716)-(COLUMN(AC2716)-1))))-1),"")</f>
        <v>46041</v>
      </c>
      <c r="L2716" s="17" t="str">
        <f aca="false" t="array" ref="L2716:L2716">IFERROR(INDEX(AC2716:AE2716,IF(COUNTA(AC2716:AE2716)=0,"",MAX((AC2716:AE2716&lt;&gt;"")*(COLUMN(AC2716:AE2716)-(COLUMN(AC2716)-2))))-1),"")</f>
        <v>ARCHIVED</v>
      </c>
      <c r="M2716" s="13" t="n">
        <f aca="true">K2716-TODAY()</f>
        <v>-283</v>
      </c>
      <c r="N2716" s="18" t="s">
        <v>728</v>
      </c>
      <c r="O2716" s="13" t="s">
        <v>3271</v>
      </c>
      <c r="P2716" s="71" t="n">
        <v>2600000</v>
      </c>
      <c r="Q2716" s="47" t="s">
        <v>11565</v>
      </c>
      <c r="R2716" s="13" t="s">
        <v>227</v>
      </c>
      <c r="S2716" s="14" t="n">
        <v>33568</v>
      </c>
      <c r="T2716" s="13" t="s">
        <v>40</v>
      </c>
      <c r="U2716" s="13" t="s">
        <v>11566</v>
      </c>
      <c r="V2716" s="13" t="s">
        <v>42</v>
      </c>
      <c r="W2716" s="13" t="s">
        <v>54</v>
      </c>
      <c r="X2716" s="21" t="n">
        <v>87776962510</v>
      </c>
      <c r="Y2716" s="22" t="str">
        <f aca="false">O2716</f>
        <v>Helper</v>
      </c>
      <c r="Z2716" s="13" t="str">
        <f aca="false">IFERROR(__xludf.dummyfunction("if(BJ2716="""","""",GOOGLETRANSLATE(BJ2716,""auto"",""en""))"),"Helper")</f>
        <v>Helper</v>
      </c>
      <c r="AA2716" s="23" t="str">
        <f aca="false">IF(C2716="","", CHOOSE(MONTH(C2716),"January","February","March","April","May","June","July","August","September","October","November","December")&amp;" "&amp;DAY(C2716)&amp;MID("thstndrdth",MIN(9,2*RIGHT(DAY(C2716))*(MOD(DAY(C2716)-11,100)&gt;2)+1),2)&amp;","&amp;TEXT(C2716," yyyy"))</f>
        <v>July 20th,2025</v>
      </c>
      <c r="AB2716" s="15" t="str">
        <f aca="true">IF(S2716="","",DATEDIF(S2716,TODAY(),"Y")&amp;" Tahun, "&amp;DATEDIF(S2716,TODAY(),"YM")&amp;" Bulan, "&amp;DATEDIF(S2716,TODAY(),"MD")&amp;" Hari")</f>
        <v>34 Tahun, 11 Bulan, 3 Hari</v>
      </c>
      <c r="AC2716" s="18" t="n">
        <v>45858</v>
      </c>
      <c r="AD2716" s="18" t="n">
        <f aca="false">EDATE(AC2716,6)-1</f>
        <v>46041</v>
      </c>
      <c r="AE2716" s="13" t="s">
        <v>44</v>
      </c>
    </row>
    <row r="2717" customFormat="false" ht="15" hidden="false" customHeight="true" outlineLevel="0" collapsed="false">
      <c r="A2717" s="12" t="n">
        <v>20819</v>
      </c>
      <c r="B2717" s="13" t="s">
        <v>11567</v>
      </c>
      <c r="C2717" s="14" t="n">
        <v>45858</v>
      </c>
      <c r="D2717" s="13" t="s">
        <v>4112</v>
      </c>
      <c r="E2717" s="15" t="s">
        <v>102</v>
      </c>
      <c r="F2717" s="15" t="str">
        <f aca="false">IFERROR(__xludf.dummyfunction("XLOOKUP(AJ2717,IMPORTRANGE(""1XaInW9DU9nz21V0tYIfzFQ0He9kVQ_JF2mCXgZ3hqFA"",""REKAP ALL 2026 - Andika!G:G""),IMPORTRANGE(""1XaInW9DU9nz21V0tYIfzFQ0He9kVQ_JF2mCXgZ3hqFA"",""REKAP ALL 2026 - Andika!F:F""),"""",0)"),"25133229440")</f>
        <v>25133229440</v>
      </c>
      <c r="G2717" s="28" t="s">
        <v>57</v>
      </c>
      <c r="H2717" s="13" t="s">
        <v>35</v>
      </c>
      <c r="I2717" s="13" t="str">
        <f aca="false">IF(C2717=J2717,"NEW KONTRAK","RE-KONTRAK")</f>
        <v>NEW KONTRAK</v>
      </c>
      <c r="J2717" s="16" t="n">
        <f aca="false" t="array" ref="J2717:J2717">IFERROR(INDEX(AC2717:AE2717,IF(COUNTA(AC2717:AE2717)=0,"",MAX((AC2717:AE2717&lt;&gt;"")*(COLUMN(AC2717:AE2717)-(COLUMN(AC2717)))))-1),"")</f>
        <v>45858</v>
      </c>
      <c r="K2717" s="16" t="n">
        <f aca="false" t="array" ref="K2717:K2717">IFERROR(INDEX(AC2717:AE2717,IF(COUNTA(AC2717:AE2717)=0,"",MAX((AC2717:AE2717&lt;&gt;"")*(COLUMN(AC2717:AE2717)-(COLUMN(AC2717)-1))))-1),"")</f>
        <v>46041</v>
      </c>
      <c r="L2717" s="17" t="str">
        <f aca="false" t="array" ref="L2717:L2717">IFERROR(INDEX(AC2717:AE2717,IF(COUNTA(AC2717:AE2717)=0,"",MAX((AC2717:AE2717&lt;&gt;"")*(COLUMN(AC2717:AE2717)-(COLUMN(AC2717)-2))))-1),"")</f>
        <v>ARCHIVED</v>
      </c>
      <c r="M2717" s="13" t="n">
        <f aca="true">K2717-TODAY()</f>
        <v>-283</v>
      </c>
      <c r="N2717" s="18" t="s">
        <v>728</v>
      </c>
      <c r="O2717" s="13" t="s">
        <v>3271</v>
      </c>
      <c r="P2717" s="71" t="n">
        <v>2600000</v>
      </c>
      <c r="Q2717" s="47" t="s">
        <v>11568</v>
      </c>
      <c r="R2717" s="13" t="s">
        <v>401</v>
      </c>
      <c r="S2717" s="14" t="n">
        <v>34909</v>
      </c>
      <c r="T2717" s="13" t="s">
        <v>108</v>
      </c>
      <c r="U2717" s="13" t="s">
        <v>11569</v>
      </c>
      <c r="V2717" s="13" t="s">
        <v>42</v>
      </c>
      <c r="W2717" s="13" t="s">
        <v>897</v>
      </c>
      <c r="X2717" s="21" t="n">
        <v>82334109074</v>
      </c>
      <c r="Y2717" s="22" t="str">
        <f aca="false">O2717</f>
        <v>Helper</v>
      </c>
      <c r="Z2717" s="13" t="str">
        <f aca="false">IFERROR(__xludf.dummyfunction("if(BJ2717="""","""",GOOGLETRANSLATE(BJ2717,""auto"",""en""))"),"Helper")</f>
        <v>Helper</v>
      </c>
      <c r="AA2717" s="23" t="str">
        <f aca="false">IF(C2717="","", CHOOSE(MONTH(C2717),"January","February","March","April","May","June","July","August","September","October","November","December")&amp;" "&amp;DAY(C2717)&amp;MID("thstndrdth",MIN(9,2*RIGHT(DAY(C2717))*(MOD(DAY(C2717)-11,100)&gt;2)+1),2)&amp;","&amp;TEXT(C2717," yyyy"))</f>
        <v>July 20th,2025</v>
      </c>
      <c r="AB2717" s="15" t="str">
        <f aca="true">IF(S2717="","",DATEDIF(S2717,TODAY(),"Y")&amp;" Tahun, "&amp;DATEDIF(S2717,TODAY(),"YM")&amp;" Bulan, "&amp;DATEDIF(S2717,TODAY(),"MD")&amp;" Hari")</f>
        <v>31 Tahun, 3 Bulan, 0 Hari</v>
      </c>
      <c r="AC2717" s="18" t="n">
        <v>45858</v>
      </c>
      <c r="AD2717" s="18" t="n">
        <f aca="false">EDATE(AC2717,6)-1</f>
        <v>46041</v>
      </c>
      <c r="AE2717" s="13" t="s">
        <v>44</v>
      </c>
    </row>
    <row r="2718" customFormat="false" ht="15" hidden="false" customHeight="true" outlineLevel="0" collapsed="false">
      <c r="A2718" s="12" t="n">
        <v>20820</v>
      </c>
      <c r="B2718" s="13" t="s">
        <v>11570</v>
      </c>
      <c r="C2718" s="14" t="n">
        <v>45858</v>
      </c>
      <c r="D2718" s="13" t="s">
        <v>4112</v>
      </c>
      <c r="E2718" s="15" t="s">
        <v>102</v>
      </c>
      <c r="F2718" s="24" t="s">
        <v>11571</v>
      </c>
      <c r="G2718" s="28" t="s">
        <v>57</v>
      </c>
      <c r="H2718" s="13" t="s">
        <v>35</v>
      </c>
      <c r="I2718" s="13" t="str">
        <f aca="false">IF(C2718=J2718,"NEW KONTRAK","RE-KONTRAK")</f>
        <v>NEW KONTRAK</v>
      </c>
      <c r="J2718" s="16" t="n">
        <f aca="false" t="array" ref="J2718:J2718">IFERROR(INDEX(AC2718:AE2718,IF(COUNTA(AC2718:AE2718)=0,"",MAX((AC2718:AE2718&lt;&gt;"")*(COLUMN(AC2718:AE2718)-(COLUMN(AC2718)))))-1),"")</f>
        <v>45858</v>
      </c>
      <c r="K2718" s="16" t="n">
        <f aca="false" t="array" ref="K2718:K2718">IFERROR(INDEX(AC2718:AE2718,IF(COUNTA(AC2718:AE2718)=0,"",MAX((AC2718:AE2718&lt;&gt;"")*(COLUMN(AC2718:AE2718)-(COLUMN(AC2718)-1))))-1),"")</f>
        <v>46041</v>
      </c>
      <c r="L2718" s="17" t="str">
        <f aca="false" t="array" ref="L2718:L2718">IFERROR(INDEX(AC2718:AE2718,IF(COUNTA(AC2718:AE2718)=0,"",MAX((AC2718:AE2718&lt;&gt;"")*(COLUMN(AC2718:AE2718)-(COLUMN(AC2718)-2))))-1),"")</f>
        <v>ARCHIVED</v>
      </c>
      <c r="M2718" s="13" t="n">
        <f aca="true">K2718-TODAY()</f>
        <v>-283</v>
      </c>
      <c r="N2718" s="18" t="s">
        <v>728</v>
      </c>
      <c r="O2718" s="13" t="s">
        <v>3271</v>
      </c>
      <c r="P2718" s="19" t="n">
        <v>104000</v>
      </c>
      <c r="Q2718" s="47" t="s">
        <v>11572</v>
      </c>
      <c r="R2718" s="13" t="s">
        <v>52</v>
      </c>
      <c r="S2718" s="16" t="n">
        <v>37771</v>
      </c>
      <c r="T2718" s="28" t="s">
        <v>40</v>
      </c>
      <c r="U2718" s="13" t="s">
        <v>11573</v>
      </c>
      <c r="V2718" s="13" t="s">
        <v>42</v>
      </c>
      <c r="W2718" s="13" t="s">
        <v>43</v>
      </c>
      <c r="X2718" s="21" t="s">
        <v>11574</v>
      </c>
      <c r="Y2718" s="22" t="str">
        <f aca="false">O2718</f>
        <v>Helper</v>
      </c>
      <c r="Z2718" s="13" t="str">
        <f aca="false">IFERROR(__xludf.dummyfunction("if(BJ2718="""","""",GOOGLETRANSLATE(BJ2718,""auto"",""en""))"),"Helper")</f>
        <v>Helper</v>
      </c>
      <c r="AA2718" s="23" t="str">
        <f aca="false">IF(C2718="","", CHOOSE(MONTH(C2718),"January","February","March","April","May","June","July","August","September","October","November","December")&amp;" "&amp;DAY(C2718)&amp;MID("thstndrdth",MIN(9,2*RIGHT(DAY(C2718))*(MOD(DAY(C2718)-11,100)&gt;2)+1),2)&amp;","&amp;TEXT(C2718," yyyy"))</f>
        <v>July 20th,2025</v>
      </c>
      <c r="AB2718" s="15" t="str">
        <f aca="true">IF(S2718="","",DATEDIF(S2718,TODAY(),"Y")&amp;" Tahun, "&amp;DATEDIF(S2718,TODAY(),"YM")&amp;" Bulan, "&amp;DATEDIF(S2718,TODAY(),"MD")&amp;" Hari")</f>
        <v>23 Tahun, 4 Bulan, 29 Hari</v>
      </c>
      <c r="AC2718" s="18" t="n">
        <v>45858</v>
      </c>
      <c r="AD2718" s="18" t="n">
        <f aca="false">EDATE(AC2718,6)-1</f>
        <v>46041</v>
      </c>
      <c r="AE2718" s="13" t="s">
        <v>44</v>
      </c>
    </row>
    <row r="2719" customFormat="false" ht="15" hidden="false" customHeight="true" outlineLevel="0" collapsed="false">
      <c r="A2719" s="12" t="n">
        <v>20830</v>
      </c>
      <c r="B2719" s="13" t="s">
        <v>11575</v>
      </c>
      <c r="C2719" s="16" t="n">
        <v>45922</v>
      </c>
      <c r="D2719" s="13" t="s">
        <v>144</v>
      </c>
      <c r="E2719" s="15" t="s">
        <v>47</v>
      </c>
      <c r="F2719" s="15" t="str">
        <f aca="false">IFERROR(__xludf.dummyfunction("XLOOKUP(AJ2719,IMPORTRANGE(""1XaInW9DU9nz21V0tYIfzFQ0He9kVQ_JF2mCXgZ3hqFA"",""REKAP ALL 2026 - Andika!G:G""),IMPORTRANGE(""1XaInW9DU9nz21V0tYIfzFQ0He9kVQ_JF2mCXgZ3hqFA"",""REKAP ALL 2026 - Andika!F:F""),"""",0)"),"25133240363")</f>
        <v>25133240363</v>
      </c>
      <c r="G2719" s="13" t="s">
        <v>1127</v>
      </c>
      <c r="H2719" s="13" t="s">
        <v>35</v>
      </c>
      <c r="I2719" s="13" t="str">
        <f aca="false">IF(C2719=J2719,"NEW KONTRAK","RE-KONTRAK")</f>
        <v>NEW KONTRAK</v>
      </c>
      <c r="J2719" s="16" t="n">
        <f aca="false" t="array" ref="J2719:J2719">IFERROR(INDEX(AC2719:AE2719,IF(COUNTA(AC2719:AE2719)=0,"",MAX((AC2719:AE2719&lt;&gt;"")*(COLUMN(AC2719:AE2719)-(COLUMN(AC2719)))))-1),"")</f>
        <v>45922</v>
      </c>
      <c r="K2719" s="16" t="n">
        <f aca="false" t="array" ref="K2719:K2719">IFERROR(INDEX(AC2719:AE2719,IF(COUNTA(AC2719:AE2719)=0,"",MAX((AC2719:AE2719&lt;&gt;"")*(COLUMN(AC2719:AE2719)-(COLUMN(AC2719)-1))))-1),"")</f>
        <v>46022</v>
      </c>
      <c r="L2719" s="17" t="str">
        <f aca="false" t="array" ref="L2719:L2719">IFERROR(INDEX(AC2719:AE2719,IF(COUNTA(AC2719:AE2719)=0,"",MAX((AC2719:AE2719&lt;&gt;"")*(COLUMN(AC2719:AE2719)-(COLUMN(AC2719)-2))))-1),"")</f>
        <v>ARCHIVED</v>
      </c>
      <c r="M2719" s="13" t="n">
        <f aca="true">K2719-TODAY()</f>
        <v>-302</v>
      </c>
      <c r="N2719" s="18" t="s">
        <v>36</v>
      </c>
      <c r="O2719" s="13" t="s">
        <v>146</v>
      </c>
      <c r="P2719" s="19" t="n">
        <v>5195401</v>
      </c>
      <c r="Q2719" s="47" t="s">
        <v>11576</v>
      </c>
      <c r="R2719" s="13" t="s">
        <v>232</v>
      </c>
      <c r="S2719" s="16" t="n">
        <v>35966</v>
      </c>
      <c r="T2719" s="28" t="s">
        <v>40</v>
      </c>
      <c r="U2719" s="13" t="s">
        <v>11577</v>
      </c>
      <c r="V2719" s="13" t="s">
        <v>42</v>
      </c>
      <c r="W2719" s="13" t="s">
        <v>43</v>
      </c>
      <c r="X2719" s="21" t="s">
        <v>11578</v>
      </c>
      <c r="Y2719" s="22" t="str">
        <f aca="false">O2719</f>
        <v>Enamel</v>
      </c>
      <c r="Z2719" s="13" t="str">
        <f aca="false">IFERROR(__xludf.dummyfunction("if(BJ2719="""","""",GOOGLETRANSLATE(BJ2719,""auto"",""en""))"),"Enamel")</f>
        <v>Enamel</v>
      </c>
      <c r="AA2719" s="23" t="str">
        <f aca="false">IF(C2719="","", CHOOSE(MONTH(C2719),"January","February","March","April","May","June","July","August","September","October","November","December")&amp;" "&amp;DAY(C2719)&amp;MID("thstndrdth",MIN(9,2*RIGHT(DAY(C2719))*(MOD(DAY(C2719)-11,100)&gt;2)+1),2)&amp;","&amp;TEXT(C2719," yyyy"))</f>
        <v>September 22nd,2025</v>
      </c>
      <c r="AB2719" s="15" t="str">
        <f aca="true">IF(S2719="","",DATEDIF(S2719,TODAY(),"Y")&amp;" Tahun, "&amp;DATEDIF(S2719,TODAY(),"YM")&amp;" Bulan, "&amp;DATEDIF(S2719,TODAY(),"MD")&amp;" Hari")</f>
        <v>28 Tahun, 4 Bulan, 9 Hari</v>
      </c>
      <c r="AC2719" s="18" t="n">
        <v>45922</v>
      </c>
      <c r="AD2719" s="18" t="n">
        <v>46022</v>
      </c>
      <c r="AE2719" s="13" t="s">
        <v>44</v>
      </c>
    </row>
    <row r="2720" customFormat="false" ht="15" hidden="false" customHeight="true" outlineLevel="0" collapsed="false">
      <c r="A2720" s="12" t="n">
        <v>20831</v>
      </c>
      <c r="B2720" s="13" t="s">
        <v>11579</v>
      </c>
      <c r="C2720" s="16" t="n">
        <v>45922</v>
      </c>
      <c r="D2720" s="13" t="s">
        <v>144</v>
      </c>
      <c r="E2720" s="15" t="s">
        <v>33</v>
      </c>
      <c r="F2720" s="15" t="str">
        <f aca="false">IFERROR(__xludf.dummyfunction("XLOOKUP(AJ2720,IMPORTRANGE(""1XaInW9DU9nz21V0tYIfzFQ0He9kVQ_JF2mCXgZ3hqFA"",""REKAP ALL 2026 - Andika!G:G""),IMPORTRANGE(""1XaInW9DU9nz21V0tYIfzFQ0He9kVQ_JF2mCXgZ3hqFA"",""REKAP ALL 2026 - Andika!F:F""),"""",0)"),"25133240389")</f>
        <v>25133240389</v>
      </c>
      <c r="G2720" s="13" t="s">
        <v>1127</v>
      </c>
      <c r="H2720" s="13" t="s">
        <v>35</v>
      </c>
      <c r="I2720" s="13" t="str">
        <f aca="false">IF(C2720=J2720,"NEW KONTRAK","RE-KONTRAK")</f>
        <v>NEW KONTRAK</v>
      </c>
      <c r="J2720" s="16" t="n">
        <f aca="false" t="array" ref="J2720:J2720">IFERROR(INDEX(AC2720:AE2720,IF(COUNTA(AC2720:AE2720)=0,"",MAX((AC2720:AE2720&lt;&gt;"")*(COLUMN(AC2720:AE2720)-(COLUMN(AC2720)))))-1),"")</f>
        <v>45922</v>
      </c>
      <c r="K2720" s="16" t="n">
        <f aca="false" t="array" ref="K2720:K2720">IFERROR(INDEX(AC2720:AE2720,IF(COUNTA(AC2720:AE2720)=0,"",MAX((AC2720:AE2720&lt;&gt;"")*(COLUMN(AC2720:AE2720)-(COLUMN(AC2720)-1))))-1),"")</f>
        <v>46022</v>
      </c>
      <c r="L2720" s="17" t="str">
        <f aca="false" t="array" ref="L2720:L2720">IFERROR(INDEX(AC2720:AE2720,IF(COUNTA(AC2720:AE2720)=0,"",MAX((AC2720:AE2720&lt;&gt;"")*(COLUMN(AC2720:AE2720)-(COLUMN(AC2720)-2))))-1),"")</f>
        <v>ARCHIVED</v>
      </c>
      <c r="M2720" s="13" t="n">
        <f aca="true">K2720-TODAY()</f>
        <v>-302</v>
      </c>
      <c r="N2720" s="18" t="s">
        <v>36</v>
      </c>
      <c r="O2720" s="13" t="s">
        <v>146</v>
      </c>
      <c r="P2720" s="19" t="n">
        <v>5195401</v>
      </c>
      <c r="Q2720" s="47" t="s">
        <v>11580</v>
      </c>
      <c r="R2720" s="13" t="s">
        <v>65</v>
      </c>
      <c r="S2720" s="16" t="n">
        <v>35328</v>
      </c>
      <c r="T2720" s="28" t="s">
        <v>40</v>
      </c>
      <c r="U2720" s="13" t="s">
        <v>11581</v>
      </c>
      <c r="V2720" s="13" t="s">
        <v>42</v>
      </c>
      <c r="W2720" s="13" t="s">
        <v>43</v>
      </c>
      <c r="X2720" s="21" t="n">
        <v>85746777546</v>
      </c>
      <c r="Y2720" s="22" t="str">
        <f aca="false">O2720</f>
        <v>Enamel</v>
      </c>
      <c r="Z2720" s="13" t="str">
        <f aca="false">IFERROR(__xludf.dummyfunction("if(BJ2720="""","""",GOOGLETRANSLATE(BJ2720,""auto"",""en""))"),"Enamel")</f>
        <v>Enamel</v>
      </c>
      <c r="AA2720" s="23" t="str">
        <f aca="false">IF(C2720="","", CHOOSE(MONTH(C2720),"January","February","March","April","May","June","July","August","September","October","November","December")&amp;" "&amp;DAY(C2720)&amp;MID("thstndrdth",MIN(9,2*RIGHT(DAY(C2720))*(MOD(DAY(C2720)-11,100)&gt;2)+1),2)&amp;","&amp;TEXT(C2720," yyyy"))</f>
        <v>September 22nd,2025</v>
      </c>
      <c r="AB2720" s="15" t="str">
        <f aca="true">IF(S2720="","",DATEDIF(S2720,TODAY(),"Y")&amp;" Tahun, "&amp;DATEDIF(S2720,TODAY(),"YM")&amp;" Bulan, "&amp;DATEDIF(S2720,TODAY(),"MD")&amp;" Hari")</f>
        <v>30 Tahun, 1 Bulan, 9 Hari</v>
      </c>
      <c r="AC2720" s="18" t="n">
        <v>45922</v>
      </c>
      <c r="AD2720" s="18" t="n">
        <v>46022</v>
      </c>
      <c r="AE2720" s="13" t="s">
        <v>44</v>
      </c>
    </row>
    <row r="2721" customFormat="false" ht="15" hidden="false" customHeight="true" outlineLevel="0" collapsed="false">
      <c r="A2721" s="12" t="n">
        <v>20832</v>
      </c>
      <c r="B2721" s="13" t="s">
        <v>11582</v>
      </c>
      <c r="C2721" s="16" t="n">
        <v>45922</v>
      </c>
      <c r="D2721" s="13" t="s">
        <v>144</v>
      </c>
      <c r="E2721" s="15" t="s">
        <v>102</v>
      </c>
      <c r="F2721" s="15" t="str">
        <f aca="false">IFERROR(__xludf.dummyfunction("XLOOKUP(AJ2721,IMPORTRANGE(""1XaInW9DU9nz21V0tYIfzFQ0He9kVQ_JF2mCXgZ3hqFA"",""REKAP ALL 2026 - Andika!G:G""),IMPORTRANGE(""1XaInW9DU9nz21V0tYIfzFQ0He9kVQ_JF2mCXgZ3hqFA"",""REKAP ALL 2026 - Andika!F:F""),"""",0)"),"25133240405")</f>
        <v>25133240405</v>
      </c>
      <c r="G2721" s="13" t="s">
        <v>1127</v>
      </c>
      <c r="H2721" s="13" t="s">
        <v>35</v>
      </c>
      <c r="I2721" s="13" t="str">
        <f aca="false">IF(C2721=J2721,"NEW KONTRAK","RE-KONTRAK")</f>
        <v>NEW KONTRAK</v>
      </c>
      <c r="J2721" s="16" t="n">
        <f aca="false" t="array" ref="J2721:J2721">IFERROR(INDEX(AC2721:AE2721,IF(COUNTA(AC2721:AE2721)=0,"",MAX((AC2721:AE2721&lt;&gt;"")*(COLUMN(AC2721:AE2721)-(COLUMN(AC2721)))))-1),"")</f>
        <v>45922</v>
      </c>
      <c r="K2721" s="16" t="n">
        <f aca="false" t="array" ref="K2721:K2721">IFERROR(INDEX(AC2721:AE2721,IF(COUNTA(AC2721:AE2721)=0,"",MAX((AC2721:AE2721&lt;&gt;"")*(COLUMN(AC2721:AE2721)-(COLUMN(AC2721)-1))))-1),"")</f>
        <v>46022</v>
      </c>
      <c r="L2721" s="17" t="str">
        <f aca="false" t="array" ref="L2721:L2721">IFERROR(INDEX(AC2721:AE2721,IF(COUNTA(AC2721:AE2721)=0,"",MAX((AC2721:AE2721&lt;&gt;"")*(COLUMN(AC2721:AE2721)-(COLUMN(AC2721)-2))))-1),"")</f>
        <v>ARCHIVED</v>
      </c>
      <c r="M2721" s="13" t="n">
        <f aca="true">K2721-TODAY()</f>
        <v>-302</v>
      </c>
      <c r="N2721" s="18" t="s">
        <v>36</v>
      </c>
      <c r="O2721" s="13" t="s">
        <v>11583</v>
      </c>
      <c r="P2721" s="19" t="n">
        <v>5195401</v>
      </c>
      <c r="Q2721" s="47" t="s">
        <v>11584</v>
      </c>
      <c r="R2721" s="13" t="s">
        <v>2383</v>
      </c>
      <c r="S2721" s="16" t="n">
        <v>31824</v>
      </c>
      <c r="T2721" s="28" t="s">
        <v>40</v>
      </c>
      <c r="U2721" s="13" t="s">
        <v>11585</v>
      </c>
      <c r="V2721" s="13" t="s">
        <v>42</v>
      </c>
      <c r="W2721" s="13" t="s">
        <v>43</v>
      </c>
      <c r="X2721" s="21" t="s">
        <v>11586</v>
      </c>
      <c r="Y2721" s="22" t="str">
        <f aca="false">O2721</f>
        <v>Staff IT/Office</v>
      </c>
      <c r="Z2721" s="13" t="str">
        <f aca="false">IFERROR(__xludf.dummyfunction("if(BJ2721="""","""",GOOGLETRANSLATE(BJ2721,""auto"",""en""))"),"Staff IT/Office")</f>
        <v>Staff IT/Office</v>
      </c>
      <c r="AA2721" s="23" t="str">
        <f aca="false">IF(C2721="","", CHOOSE(MONTH(C2721),"January","February","March","April","May","June","July","August","September","October","November","December")&amp;" "&amp;DAY(C2721)&amp;MID("thstndrdth",MIN(9,2*RIGHT(DAY(C2721))*(MOD(DAY(C2721)-11,100)&gt;2)+1),2)&amp;","&amp;TEXT(C2721," yyyy"))</f>
        <v>September 22nd,2025</v>
      </c>
      <c r="AB2721" s="15" t="str">
        <f aca="true">IF(S2721="","",DATEDIF(S2721,TODAY(),"Y")&amp;" Tahun, "&amp;DATEDIF(S2721,TODAY(),"YM")&amp;" Bulan, "&amp;DATEDIF(S2721,TODAY(),"MD")&amp;" Hari")</f>
        <v>39 Tahun, 8 Bulan, 13 Hari</v>
      </c>
      <c r="AC2721" s="18" t="n">
        <v>45922</v>
      </c>
      <c r="AD2721" s="18" t="n">
        <v>46022</v>
      </c>
      <c r="AE2721" s="13" t="s">
        <v>44</v>
      </c>
    </row>
    <row r="2722" customFormat="false" ht="15" hidden="false" customHeight="true" outlineLevel="0" collapsed="false">
      <c r="A2722" s="12" t="n">
        <v>20833</v>
      </c>
      <c r="B2722" s="13" t="s">
        <v>11587</v>
      </c>
      <c r="C2722" s="16" t="n">
        <v>45922</v>
      </c>
      <c r="D2722" s="13" t="s">
        <v>404</v>
      </c>
      <c r="E2722" s="15" t="s">
        <v>47</v>
      </c>
      <c r="F2722" s="15" t="str">
        <f aca="false">IFERROR(__xludf.dummyfunction("XLOOKUP(AJ2722,IMPORTRANGE(""1XaInW9DU9nz21V0tYIfzFQ0He9kVQ_JF2mCXgZ3hqFA"",""REKAP ALL 2026 - Andika!G:G""),IMPORTRANGE(""1XaInW9DU9nz21V0tYIfzFQ0He9kVQ_JF2mCXgZ3hqFA"",""REKAP ALL 2026 - Andika!F:F""),"""",0)"),"25133233558")</f>
        <v>25133233558</v>
      </c>
      <c r="G2722" s="13" t="s">
        <v>1127</v>
      </c>
      <c r="H2722" s="13" t="s">
        <v>35</v>
      </c>
      <c r="I2722" s="13" t="str">
        <f aca="false">IF(C2722=J2722,"NEW KONTRAK","RE-KONTRAK")</f>
        <v>NEW KONTRAK</v>
      </c>
      <c r="J2722" s="16" t="n">
        <f aca="false" t="array" ref="J2722:J2722">IFERROR(INDEX(AC2722:AE2722,IF(COUNTA(AC2722:AE2722)=0,"",MAX((AC2722:AE2722&lt;&gt;"")*(COLUMN(AC2722:AE2722)-(COLUMN(AC2722)))))-1),"")</f>
        <v>45922</v>
      </c>
      <c r="K2722" s="16" t="n">
        <f aca="false" t="array" ref="K2722:K2722">IFERROR(INDEX(AC2722:AE2722,IF(COUNTA(AC2722:AE2722)=0,"",MAX((AC2722:AE2722&lt;&gt;"")*(COLUMN(AC2722:AE2722)-(COLUMN(AC2722)-1))))-1),"")</f>
        <v>46022</v>
      </c>
      <c r="L2722" s="17" t="str">
        <f aca="false" t="array" ref="L2722:L2722">IFERROR(INDEX(AC2722:AE2722,IF(COUNTA(AC2722:AE2722)=0,"",MAX((AC2722:AE2722&lt;&gt;"")*(COLUMN(AC2722:AE2722)-(COLUMN(AC2722)-2))))-1),"")</f>
        <v>ARCHIVED</v>
      </c>
      <c r="M2722" s="13" t="n">
        <f aca="true">K2722-TODAY()</f>
        <v>-302</v>
      </c>
      <c r="N2722" s="18" t="s">
        <v>36</v>
      </c>
      <c r="O2722" s="13" t="s">
        <v>11588</v>
      </c>
      <c r="P2722" s="26" t="n">
        <v>5195401</v>
      </c>
      <c r="Q2722" s="47" t="s">
        <v>11589</v>
      </c>
      <c r="R2722" s="13" t="s">
        <v>65</v>
      </c>
      <c r="S2722" s="16" t="n">
        <v>37355</v>
      </c>
      <c r="T2722" s="28" t="s">
        <v>40</v>
      </c>
      <c r="U2722" s="13" t="s">
        <v>11590</v>
      </c>
      <c r="V2722" s="13" t="s">
        <v>42</v>
      </c>
      <c r="W2722" s="13" t="s">
        <v>43</v>
      </c>
      <c r="X2722" s="21" t="n">
        <v>82264489490</v>
      </c>
      <c r="Y2722" s="22" t="str">
        <f aca="false">O2722</f>
        <v>Fraksinasi</v>
      </c>
      <c r="Z2722" s="13" t="str">
        <f aca="false">IFERROR(__xludf.dummyfunction("if(BJ2722="""","""",GOOGLETRANSLATE(BJ2722,""auto"",""en""))"),"Fractionation")</f>
        <v>Fractionation</v>
      </c>
      <c r="AA2722" s="23" t="str">
        <f aca="false">IF(C2722="","", CHOOSE(MONTH(C2722),"January","February","March","April","May","June","July","August","September","October","November","December")&amp;" "&amp;DAY(C2722)&amp;MID("thstndrdth",MIN(9,2*RIGHT(DAY(C2722))*(MOD(DAY(C2722)-11,100)&gt;2)+1),2)&amp;","&amp;TEXT(C2722," yyyy"))</f>
        <v>September 22nd,2025</v>
      </c>
      <c r="AB2722" s="15" t="str">
        <f aca="true">IF(S2722="","",DATEDIF(S2722,TODAY(),"Y")&amp;" Tahun, "&amp;DATEDIF(S2722,TODAY(),"YM")&amp;" Bulan, "&amp;DATEDIF(S2722,TODAY(),"MD")&amp;" Hari")</f>
        <v>24 Tahun, 6 Bulan, 20 Hari</v>
      </c>
      <c r="AC2722" s="18" t="n">
        <v>45922</v>
      </c>
      <c r="AD2722" s="18" t="n">
        <v>46022</v>
      </c>
      <c r="AE2722" s="13" t="s">
        <v>44</v>
      </c>
    </row>
    <row r="2723" customFormat="false" ht="15" hidden="false" customHeight="true" outlineLevel="0" collapsed="false">
      <c r="A2723" s="12" t="n">
        <v>20835</v>
      </c>
      <c r="B2723" s="69" t="s">
        <v>11591</v>
      </c>
      <c r="C2723" s="16" t="n">
        <v>45922</v>
      </c>
      <c r="D2723" s="13" t="s">
        <v>1338</v>
      </c>
      <c r="E2723" s="15" t="s">
        <v>33</v>
      </c>
      <c r="F2723" s="24" t="s">
        <v>11592</v>
      </c>
      <c r="G2723" s="13" t="s">
        <v>57</v>
      </c>
      <c r="H2723" s="13" t="s">
        <v>2296</v>
      </c>
      <c r="I2723" s="13" t="str">
        <f aca="false">IF(C2723=J2723,"NEW KONTRAK","RE-KONTRAK")</f>
        <v>NEW KONTRAK</v>
      </c>
      <c r="J2723" s="16" t="n">
        <f aca="false" t="array" ref="J2723:J2723">IFERROR(INDEX(AC2723:AE2723,IF(COUNTA(AC2723:AE2723)=0,"",MAX((AC2723:AE2723&lt;&gt;"")*(COLUMN(AC2723:AE2723)-(COLUMN(AC2723)))))-1),"")</f>
        <v>45922</v>
      </c>
      <c r="K2723" s="16" t="n">
        <f aca="false" t="array" ref="K2723:K2723">IFERROR(INDEX(AC2723:AE2723,IF(COUNTA(AC2723:AE2723)=0,"",MAX((AC2723:AE2723&lt;&gt;"")*(COLUMN(AC2723:AE2723)-(COLUMN(AC2723)-1))))-1),"")</f>
        <v>46012</v>
      </c>
      <c r="L2723" s="17" t="str">
        <f aca="false" t="array" ref="L2723:L2723">IFERROR(INDEX(AC2723:AE2723,IF(COUNTA(AC2723:AE2723)=0,"",MAX((AC2723:AE2723&lt;&gt;"")*(COLUMN(AC2723:AE2723)-(COLUMN(AC2723)-2))))-1),"")</f>
        <v>ARCHIVED</v>
      </c>
      <c r="M2723" s="13" t="n">
        <f aca="true">K2723-TODAY()</f>
        <v>-312</v>
      </c>
      <c r="N2723" s="18" t="s">
        <v>615</v>
      </c>
      <c r="O2723" s="13" t="s">
        <v>11593</v>
      </c>
      <c r="P2723" s="19" t="n">
        <v>165635</v>
      </c>
      <c r="Q2723" s="47" t="s">
        <v>11594</v>
      </c>
      <c r="R2723" s="13" t="s">
        <v>232</v>
      </c>
      <c r="S2723" s="16" t="n">
        <v>35378</v>
      </c>
      <c r="T2723" s="28" t="s">
        <v>40</v>
      </c>
      <c r="U2723" s="13" t="s">
        <v>11595</v>
      </c>
      <c r="V2723" s="13" t="s">
        <v>42</v>
      </c>
      <c r="W2723" s="13" t="s">
        <v>43</v>
      </c>
      <c r="X2723" s="30" t="n">
        <v>89681177589</v>
      </c>
      <c r="Y2723" s="22" t="str">
        <f aca="false">O2723</f>
        <v>Borongan Muat</v>
      </c>
      <c r="Z2723" s="13" t="str">
        <f aca="false">IFERROR(__xludf.dummyfunction("if(BJ2723="""","""",GOOGLETRANSLATE(BJ2723,""auto"",""en""))"),"Bulk Loading")</f>
        <v>Bulk Loading</v>
      </c>
      <c r="AA2723" s="23" t="str">
        <f aca="false">IF(C2723="","", CHOOSE(MONTH(C2723),"January","February","March","April","May","June","July","August","September","October","November","December")&amp;" "&amp;DAY(C2723)&amp;MID("thstndrdth",MIN(9,2*RIGHT(DAY(C2723))*(MOD(DAY(C2723)-11,100)&gt;2)+1),2)&amp;","&amp;TEXT(C2723," yyyy"))</f>
        <v>September 22nd,2025</v>
      </c>
      <c r="AB2723" s="15" t="str">
        <f aca="true">IF(S2723="","",DATEDIF(S2723,TODAY(),"Y")&amp;" Tahun, "&amp;DATEDIF(S2723,TODAY(),"YM")&amp;" Bulan, "&amp;DATEDIF(S2723,TODAY(),"MD")&amp;" Hari")</f>
        <v>29 Tahun, 11 Bulan, 20 Hari</v>
      </c>
      <c r="AC2723" s="18" t="n">
        <v>45922</v>
      </c>
      <c r="AD2723" s="18" t="n">
        <v>46012</v>
      </c>
      <c r="AE2723" s="18" t="s">
        <v>44</v>
      </c>
    </row>
    <row r="2724" customFormat="false" ht="15" hidden="false" customHeight="true" outlineLevel="0" collapsed="false">
      <c r="A2724" s="12" t="n">
        <v>20855</v>
      </c>
      <c r="B2724" s="13" t="s">
        <v>11596</v>
      </c>
      <c r="C2724" s="16" t="n">
        <v>45876</v>
      </c>
      <c r="D2724" s="13" t="s">
        <v>747</v>
      </c>
      <c r="E2724" s="13" t="s">
        <v>47</v>
      </c>
      <c r="F2724" s="15" t="str">
        <f aca="false">IFERROR(__xludf.dummyfunction("XLOOKUP(AJ2724,IMPORTRANGE(""1XaInW9DU9nz21V0tYIfzFQ0He9kVQ_JF2mCXgZ3hqFA"",""REKAP ALL 2026 - Andika!G:G""),IMPORTRANGE(""1XaInW9DU9nz21V0tYIfzFQ0He9kVQ_JF2mCXgZ3hqFA"",""REKAP ALL 2026 - Andika!F:F""),"""",0)"),"25133241098")</f>
        <v>25133241098</v>
      </c>
      <c r="G2724" s="13" t="s">
        <v>1127</v>
      </c>
      <c r="H2724" s="13" t="s">
        <v>35</v>
      </c>
      <c r="I2724" s="13" t="str">
        <f aca="false">IF(C2724=J2724,"NEW KONTRAK","RE-KONTRAK")</f>
        <v>NEW KONTRAK</v>
      </c>
      <c r="J2724" s="16" t="n">
        <f aca="false" t="array" ref="J2724:J2724">IFERROR(INDEX(AC2724:AE2724,IF(COUNTA(AC2724:AE2724)=0,"",MAX((AC2724:AE2724&lt;&gt;"")*(COLUMN(AC2724:AE2724)-(COLUMN(AC2724)))))-1),"")</f>
        <v>45876</v>
      </c>
      <c r="K2724" s="16" t="n">
        <f aca="false" t="array" ref="K2724:K2724">IFERROR(INDEX(AC2724:AE2724,IF(COUNTA(AC2724:AE2724)=0,"",MAX((AC2724:AE2724&lt;&gt;"")*(COLUMN(AC2724:AE2724)-(COLUMN(AC2724)-1))))-1),"")</f>
        <v>46022</v>
      </c>
      <c r="L2724" s="17" t="str">
        <f aca="false" t="array" ref="L2724:L2724">IFERROR(INDEX(AC2724:AE2724,IF(COUNTA(AC2724:AE2724)=0,"",MAX((AC2724:AE2724&lt;&gt;"")*(COLUMN(AC2724:AE2724)-(COLUMN(AC2724)-2))))-1),"")</f>
        <v>ARCHIVED</v>
      </c>
      <c r="M2724" s="13" t="n">
        <f aca="true">K2724-TODAY()</f>
        <v>-302</v>
      </c>
      <c r="N2724" s="18" t="s">
        <v>749</v>
      </c>
      <c r="O2724" s="13" t="s">
        <v>3271</v>
      </c>
      <c r="P2724" s="19" t="n">
        <v>3724437.2</v>
      </c>
      <c r="Q2724" s="47" t="s">
        <v>11597</v>
      </c>
      <c r="R2724" s="13" t="s">
        <v>11598</v>
      </c>
      <c r="S2724" s="16" t="n">
        <v>30770</v>
      </c>
      <c r="T2724" s="28" t="s">
        <v>40</v>
      </c>
      <c r="U2724" s="13" t="s">
        <v>11599</v>
      </c>
      <c r="V2724" s="13" t="s">
        <v>42</v>
      </c>
      <c r="W2724" s="13" t="s">
        <v>54</v>
      </c>
      <c r="X2724" s="21" t="n">
        <v>81280104740</v>
      </c>
      <c r="Y2724" s="22" t="str">
        <f aca="false">O2724</f>
        <v>Helper</v>
      </c>
      <c r="Z2724" s="13" t="str">
        <f aca="false">IFERROR(__xludf.dummyfunction("if(BJ2724="""","""",GOOGLETRANSLATE(BJ2724,""auto"",""en""))"),"Helper")</f>
        <v>Helper</v>
      </c>
      <c r="AA2724" s="23" t="str">
        <f aca="false">IF(C2724="","", CHOOSE(MONTH(C2724),"January","February","March","April","May","June","July","August","September","October","November","December")&amp;" "&amp;DAY(C2724)&amp;MID("thstndrdth",MIN(9,2*RIGHT(DAY(C2724))*(MOD(DAY(C2724)-11,100)&gt;2)+1),2)&amp;","&amp;TEXT(C2724," yyyy"))</f>
        <v>August 7th,2025</v>
      </c>
      <c r="AB2724" s="15" t="str">
        <f aca="true">IF(S2724="","",DATEDIF(S2724,TODAY(),"Y")&amp;" Tahun, "&amp;DATEDIF(S2724,TODAY(),"YM")&amp;" Bulan, "&amp;DATEDIF(S2724,TODAY(),"MD")&amp;" Hari")</f>
        <v>42 Tahun, 7 Bulan, 0 Hari</v>
      </c>
      <c r="AC2724" s="18" t="n">
        <v>45876</v>
      </c>
      <c r="AD2724" s="18" t="n">
        <v>46022</v>
      </c>
      <c r="AE2724" s="13" t="s">
        <v>44</v>
      </c>
    </row>
    <row r="2725" customFormat="false" ht="15" hidden="false" customHeight="true" outlineLevel="0" collapsed="false">
      <c r="A2725" s="12" t="n">
        <v>20863</v>
      </c>
      <c r="B2725" s="13" t="s">
        <v>11600</v>
      </c>
      <c r="C2725" s="16" t="n">
        <v>45921</v>
      </c>
      <c r="D2725" s="13" t="s">
        <v>10155</v>
      </c>
      <c r="E2725" s="13" t="s">
        <v>102</v>
      </c>
      <c r="F2725" s="15" t="str">
        <f aca="false">IFERROR(__xludf.dummyfunction("XLOOKUP(AJ2725,IMPORTRANGE(""1XaInW9DU9nz21V0tYIfzFQ0He9kVQ_JF2mCXgZ3hqFA"",""REKAP ALL 2026 - Andika!G:G""),IMPORTRANGE(""1XaInW9DU9nz21V0tYIfzFQ0He9kVQ_JF2mCXgZ3hqFA"",""REKAP ALL 2026 - Andika!F:F""),"""",0)"),"25133235371")</f>
        <v>25133235371</v>
      </c>
      <c r="G2725" s="13" t="s">
        <v>1127</v>
      </c>
      <c r="H2725" s="13" t="s">
        <v>35</v>
      </c>
      <c r="I2725" s="13" t="str">
        <f aca="false">IF(C2725=J2725,"NEW KONTRAK","RE-KONTRAK")</f>
        <v>NEW KONTRAK</v>
      </c>
      <c r="J2725" s="16" t="n">
        <f aca="false" t="array" ref="J2725:J2725">IFERROR(INDEX(AC2725:AE2725,IF(COUNTA(AC2725:AE2725)=0,"",MAX((AC2725:AE2725&lt;&gt;"")*(COLUMN(AC2725:AE2725)-(COLUMN(AC2725)))))-1),"")</f>
        <v>45921</v>
      </c>
      <c r="K2725" s="16" t="n">
        <f aca="false" t="array" ref="K2725:K2725">IFERROR(INDEX(AC2725:AE2725,IF(COUNTA(AC2725:AE2725)=0,"",MAX((AC2725:AE2725&lt;&gt;"")*(COLUMN(AC2725:AE2725)-(COLUMN(AC2725)-1))))-1),"")</f>
        <v>46011</v>
      </c>
      <c r="L2725" s="17" t="str">
        <f aca="false" t="array" ref="L2725:L2725">IFERROR(INDEX(AC2725:AE2725,IF(COUNTA(AC2725:AE2725)=0,"",MAX((AC2725:AE2725&lt;&gt;"")*(COLUMN(AC2725:AE2725)-(COLUMN(AC2725)-2))))-1),"")</f>
        <v>ARCHIVED</v>
      </c>
      <c r="M2725" s="13" t="n">
        <f aca="true">K2725-TODAY()</f>
        <v>-313</v>
      </c>
      <c r="N2725" s="18" t="s">
        <v>36</v>
      </c>
      <c r="O2725" s="13" t="s">
        <v>10270</v>
      </c>
      <c r="P2725" s="27" t="n">
        <v>5195401</v>
      </c>
      <c r="Q2725" s="47" t="s">
        <v>11601</v>
      </c>
      <c r="R2725" s="13" t="s">
        <v>65</v>
      </c>
      <c r="S2725" s="16" t="n">
        <v>36181</v>
      </c>
      <c r="T2725" s="13" t="s">
        <v>108</v>
      </c>
      <c r="U2725" s="13" t="s">
        <v>11602</v>
      </c>
      <c r="V2725" s="13" t="s">
        <v>42</v>
      </c>
      <c r="W2725" s="13" t="s">
        <v>43</v>
      </c>
      <c r="X2725" s="21" t="n">
        <v>85608772421</v>
      </c>
      <c r="Y2725" s="22" t="str">
        <f aca="false">O2725</f>
        <v>Material Import Procurement</v>
      </c>
      <c r="Z2725" s="13" t="str">
        <f aca="false">IFERROR(__xludf.dummyfunction("if(BJ2725="""","""",GOOGLETRANSLATE(BJ2725,""auto"",""en""))"),"Material Import Procurement")</f>
        <v>Material Import Procurement</v>
      </c>
      <c r="AA2725" s="23" t="str">
        <f aca="false">IF(C2725="","", CHOOSE(MONTH(C2725),"January","February","March","April","May","June","July","August","September","October","November","December")&amp;" "&amp;DAY(C2725)&amp;MID("thstndrdth",MIN(9,2*RIGHT(DAY(C2725))*(MOD(DAY(C2725)-11,100)&gt;2)+1),2)&amp;","&amp;TEXT(C2725," yyyy"))</f>
        <v>September 21st,2025</v>
      </c>
      <c r="AB2725" s="15" t="str">
        <f aca="true">IF(S2725="","",DATEDIF(S2725,TODAY(),"Y")&amp;" Tahun, "&amp;DATEDIF(S2725,TODAY(),"YM")&amp;" Bulan, "&amp;DATEDIF(S2725,TODAY(),"MD")&amp;" Hari")</f>
        <v>27 Tahun, 9 Bulan, 8 Hari</v>
      </c>
      <c r="AC2725" s="18" t="n">
        <v>45921</v>
      </c>
      <c r="AD2725" s="18" t="n">
        <f aca="false">EDATE(AC2725,3)-1</f>
        <v>46011</v>
      </c>
      <c r="AE2725" s="13" t="s">
        <v>44</v>
      </c>
    </row>
    <row r="2726" customFormat="false" ht="15" hidden="false" customHeight="true" outlineLevel="0" collapsed="false">
      <c r="A2726" s="12" t="n">
        <v>20864</v>
      </c>
      <c r="B2726" s="13" t="s">
        <v>11603</v>
      </c>
      <c r="C2726" s="16" t="n">
        <v>45921</v>
      </c>
      <c r="D2726" s="13" t="s">
        <v>10155</v>
      </c>
      <c r="E2726" s="13" t="s">
        <v>47</v>
      </c>
      <c r="F2726" s="15" t="str">
        <f aca="false">IFERROR(__xludf.dummyfunction("XLOOKUP(AJ2726,IMPORTRANGE(""1XaInW9DU9nz21V0tYIfzFQ0He9kVQ_JF2mCXgZ3hqFA"",""REKAP ALL 2026 - Andika!G:G""),IMPORTRANGE(""1XaInW9DU9nz21V0tYIfzFQ0He9kVQ_JF2mCXgZ3hqFA"",""REKAP ALL 2026 - Andika!F:F""),"""",0)"),"25133235306")</f>
        <v>25133235306</v>
      </c>
      <c r="G2726" s="13" t="s">
        <v>1127</v>
      </c>
      <c r="H2726" s="13" t="s">
        <v>35</v>
      </c>
      <c r="I2726" s="13" t="str">
        <f aca="false">IF(C2726=J2726,"NEW KONTRAK","RE-KONTRAK")</f>
        <v>NEW KONTRAK</v>
      </c>
      <c r="J2726" s="16" t="n">
        <f aca="false" t="array" ref="J2726:J2726">IFERROR(INDEX(AC2726:AE2726,IF(COUNTA(AC2726:AE2726)=0,"",MAX((AC2726:AE2726&lt;&gt;"")*(COLUMN(AC2726:AE2726)-(COLUMN(AC2726)))))-1),"")</f>
        <v>45921</v>
      </c>
      <c r="K2726" s="16" t="n">
        <f aca="false" t="array" ref="K2726:K2726">IFERROR(INDEX(AC2726:AE2726,IF(COUNTA(AC2726:AE2726)=0,"",MAX((AC2726:AE2726&lt;&gt;"")*(COLUMN(AC2726:AE2726)-(COLUMN(AC2726)-1))))-1),"")</f>
        <v>46011</v>
      </c>
      <c r="L2726" s="17" t="str">
        <f aca="false" t="array" ref="L2726:L2726">IFERROR(INDEX(AC2726:AE2726,IF(COUNTA(AC2726:AE2726)=0,"",MAX((AC2726:AE2726&lt;&gt;"")*(COLUMN(AC2726:AE2726)-(COLUMN(AC2726)-2))))-1),"")</f>
        <v>ARCHIVED</v>
      </c>
      <c r="M2726" s="13" t="n">
        <f aca="true">K2726-TODAY()</f>
        <v>-313</v>
      </c>
      <c r="N2726" s="18" t="s">
        <v>36</v>
      </c>
      <c r="O2726" s="13" t="s">
        <v>11604</v>
      </c>
      <c r="P2726" s="27" t="n">
        <v>5195401</v>
      </c>
      <c r="Q2726" s="47" t="s">
        <v>11605</v>
      </c>
      <c r="R2726" s="13" t="s">
        <v>65</v>
      </c>
      <c r="S2726" s="16" t="n">
        <v>36870</v>
      </c>
      <c r="T2726" s="13" t="s">
        <v>108</v>
      </c>
      <c r="U2726" s="13" t="s">
        <v>11606</v>
      </c>
      <c r="V2726" s="13" t="s">
        <v>42</v>
      </c>
      <c r="W2726" s="13" t="s">
        <v>43</v>
      </c>
      <c r="X2726" s="21" t="n">
        <v>85731667488</v>
      </c>
      <c r="Y2726" s="22" t="str">
        <f aca="false">O2726</f>
        <v>Non Material Import Purchasing</v>
      </c>
      <c r="Z2726" s="13" t="str">
        <f aca="false">IFERROR(__xludf.dummyfunction("if(BJ2726="""","""",GOOGLETRANSLATE(BJ2726,""auto"",""en""))"),"Non Material Import Purchasing")</f>
        <v>Non Material Import Purchasing</v>
      </c>
      <c r="AA2726" s="23" t="str">
        <f aca="false">IF(C2726="","", CHOOSE(MONTH(C2726),"January","February","March","April","May","June","July","August","September","October","November","December")&amp;" "&amp;DAY(C2726)&amp;MID("thstndrdth",MIN(9,2*RIGHT(DAY(C2726))*(MOD(DAY(C2726)-11,100)&gt;2)+1),2)&amp;","&amp;TEXT(C2726," yyyy"))</f>
        <v>September 21st,2025</v>
      </c>
      <c r="AB2726" s="15" t="str">
        <f aca="true">IF(S2726="","",DATEDIF(S2726,TODAY(),"Y")&amp;" Tahun, "&amp;DATEDIF(S2726,TODAY(),"YM")&amp;" Bulan, "&amp;DATEDIF(S2726,TODAY(),"MD")&amp;" Hari")</f>
        <v>25 Tahun, 10 Bulan, 19 Hari</v>
      </c>
      <c r="AC2726" s="18" t="n">
        <v>45921</v>
      </c>
      <c r="AD2726" s="18" t="n">
        <f aca="false">EDATE(AC2726,3)-1</f>
        <v>46011</v>
      </c>
      <c r="AE2726" s="13" t="s">
        <v>44</v>
      </c>
    </row>
    <row r="2727" customFormat="false" ht="15" hidden="false" customHeight="true" outlineLevel="0" collapsed="false">
      <c r="A2727" s="12" t="n">
        <v>20865</v>
      </c>
      <c r="B2727" s="13" t="s">
        <v>11607</v>
      </c>
      <c r="C2727" s="16" t="n">
        <v>45921</v>
      </c>
      <c r="D2727" s="13" t="s">
        <v>10155</v>
      </c>
      <c r="E2727" s="13" t="s">
        <v>33</v>
      </c>
      <c r="F2727" s="24" t="s">
        <v>11608</v>
      </c>
      <c r="G2727" s="13" t="s">
        <v>1127</v>
      </c>
      <c r="H2727" s="13" t="s">
        <v>35</v>
      </c>
      <c r="I2727" s="13" t="str">
        <f aca="false">IF(C2727=J2727,"NEW KONTRAK","RE-KONTRAK")</f>
        <v>NEW KONTRAK</v>
      </c>
      <c r="J2727" s="16" t="n">
        <f aca="false" t="array" ref="J2727:J2727">IFERROR(INDEX(AC2727:AE2727,IF(COUNTA(AC2727:AE2727)=0,"",MAX((AC2727:AE2727&lt;&gt;"")*(COLUMN(AC2727:AE2727)-(COLUMN(AC2727)))))-1),"")</f>
        <v>45921</v>
      </c>
      <c r="K2727" s="16" t="n">
        <f aca="false" t="array" ref="K2727:K2727">IFERROR(INDEX(AC2727:AE2727,IF(COUNTA(AC2727:AE2727)=0,"",MAX((AC2727:AE2727&lt;&gt;"")*(COLUMN(AC2727:AE2727)-(COLUMN(AC2727)-1))))-1),"")</f>
        <v>46011</v>
      </c>
      <c r="L2727" s="17" t="str">
        <f aca="false" t="array" ref="L2727:L2727">IFERROR(INDEX(AC2727:AE2727,IF(COUNTA(AC2727:AE2727)=0,"",MAX((AC2727:AE2727&lt;&gt;"")*(COLUMN(AC2727:AE2727)-(COLUMN(AC2727)-2))))-1),"")</f>
        <v>ARCHIVED</v>
      </c>
      <c r="M2727" s="13" t="n">
        <f aca="true">K2727-TODAY()</f>
        <v>-313</v>
      </c>
      <c r="N2727" s="18" t="s">
        <v>36</v>
      </c>
      <c r="O2727" s="13" t="s">
        <v>11609</v>
      </c>
      <c r="P2727" s="27" t="n">
        <v>5195401</v>
      </c>
      <c r="Q2727" s="47" t="s">
        <v>11610</v>
      </c>
      <c r="R2727" s="13" t="s">
        <v>52</v>
      </c>
      <c r="S2727" s="16" t="n">
        <v>37278</v>
      </c>
      <c r="T2727" s="28" t="s">
        <v>40</v>
      </c>
      <c r="U2727" s="13" t="s">
        <v>11611</v>
      </c>
      <c r="V2727" s="13" t="s">
        <v>4748</v>
      </c>
      <c r="W2727" s="13" t="s">
        <v>43</v>
      </c>
      <c r="X2727" s="21" t="n">
        <v>89514665150</v>
      </c>
      <c r="Y2727" s="22" t="str">
        <f aca="false">O2727</f>
        <v>After Market Sales &amp; Marketing</v>
      </c>
      <c r="Z2727" s="13" t="str">
        <f aca="false">IFERROR(__xludf.dummyfunction("if(BJ2727="""","""",GOOGLETRANSLATE(BJ2727,""auto"",""en""))"),"After Market Sales &amp; Marketing")</f>
        <v>After Market Sales &amp; Marketing</v>
      </c>
      <c r="AA2727" s="23" t="str">
        <f aca="false">IF(C2727="","", CHOOSE(MONTH(C2727),"January","February","March","April","May","June","July","August","September","October","November","December")&amp;" "&amp;DAY(C2727)&amp;MID("thstndrdth",MIN(9,2*RIGHT(DAY(C2727))*(MOD(DAY(C2727)-11,100)&gt;2)+1),2)&amp;","&amp;TEXT(C2727," yyyy"))</f>
        <v>September 21st,2025</v>
      </c>
      <c r="AB2727" s="15" t="str">
        <f aca="true">IF(S2727="","",DATEDIF(S2727,TODAY(),"Y")&amp;" Tahun, "&amp;DATEDIF(S2727,TODAY(),"YM")&amp;" Bulan, "&amp;DATEDIF(S2727,TODAY(),"MD")&amp;" Hari")</f>
        <v>24 Tahun, 9 Bulan, 7 Hari</v>
      </c>
      <c r="AC2727" s="18" t="n">
        <v>45921</v>
      </c>
      <c r="AD2727" s="18" t="n">
        <f aca="false">EDATE(AC2727,3)-1</f>
        <v>46011</v>
      </c>
      <c r="AE2727" s="13" t="s">
        <v>44</v>
      </c>
    </row>
    <row r="2728" customFormat="false" ht="15" hidden="false" customHeight="true" outlineLevel="0" collapsed="false">
      <c r="A2728" s="12" t="n">
        <v>20866</v>
      </c>
      <c r="B2728" s="13" t="s">
        <v>11612</v>
      </c>
      <c r="C2728" s="16" t="n">
        <v>45917</v>
      </c>
      <c r="D2728" s="13" t="s">
        <v>7310</v>
      </c>
      <c r="E2728" s="13" t="s">
        <v>102</v>
      </c>
      <c r="F2728" s="15" t="str">
        <f aca="false">IFERROR(__xludf.dummyfunction("XLOOKUP(AJ2728,IMPORTRANGE(""1XaInW9DU9nz21V0tYIfzFQ0He9kVQ_JF2mCXgZ3hqFA"",""REKAP ALL 2026 - Andika!G:G""),IMPORTRANGE(""1XaInW9DU9nz21V0tYIfzFQ0He9kVQ_JF2mCXgZ3hqFA"",""REKAP ALL 2026 - Andika!F:F""),"""",0)"),"25133235272")</f>
        <v>25133235272</v>
      </c>
      <c r="G2728" s="13" t="s">
        <v>1127</v>
      </c>
      <c r="H2728" s="13" t="s">
        <v>35</v>
      </c>
      <c r="I2728" s="13" t="str">
        <f aca="false">IF(C2728=J2728,"NEW KONTRAK","RE-KONTRAK")</f>
        <v>NEW KONTRAK</v>
      </c>
      <c r="J2728" s="16" t="n">
        <f aca="false" t="array" ref="J2728:J2728">IFERROR(INDEX(AC2728:AE2728,IF(COUNTA(AC2728:AE2728)=0,"",MAX((AC2728:AE2728&lt;&gt;"")*(COLUMN(AC2728:AE2728)-(COLUMN(AC2728)))))-1),"")</f>
        <v>45917</v>
      </c>
      <c r="K2728" s="16" t="n">
        <f aca="false" t="array" ref="K2728:K2728">IFERROR(INDEX(AC2728:AE2728,IF(COUNTA(AC2728:AE2728)=0,"",MAX((AC2728:AE2728&lt;&gt;"")*(COLUMN(AC2728:AE2728)-(COLUMN(AC2728)-1))))-1),"")</f>
        <v>46267</v>
      </c>
      <c r="L2728" s="17" t="str">
        <f aca="false" t="array" ref="L2728:L2728">IFERROR(INDEX(AC2728:AE2728,IF(COUNTA(AC2728:AE2728)=0,"",MAX((AC2728:AE2728&lt;&gt;"")*(COLUMN(AC2728:AE2728)-(COLUMN(AC2728)-2))))-1),"")</f>
        <v>ARCHIVED</v>
      </c>
      <c r="M2728" s="13" t="n">
        <f aca="true">K2728-TODAY()</f>
        <v>-57</v>
      </c>
      <c r="N2728" s="18" t="s">
        <v>7313</v>
      </c>
      <c r="O2728" s="13" t="s">
        <v>7611</v>
      </c>
      <c r="P2728" s="19" t="n">
        <v>2550274</v>
      </c>
      <c r="Q2728" s="47" t="s">
        <v>11613</v>
      </c>
      <c r="R2728" s="13" t="s">
        <v>227</v>
      </c>
      <c r="S2728" s="16" t="n">
        <v>34775</v>
      </c>
      <c r="T2728" s="28" t="s">
        <v>40</v>
      </c>
      <c r="U2728" s="13" t="s">
        <v>11614</v>
      </c>
      <c r="V2728" s="13" t="s">
        <v>42</v>
      </c>
      <c r="W2728" s="13" t="s">
        <v>43</v>
      </c>
      <c r="X2728" s="21" t="s">
        <v>11615</v>
      </c>
      <c r="Y2728" s="22" t="str">
        <f aca="false">O2728</f>
        <v>Helper Kernet</v>
      </c>
      <c r="Z2728" s="13" t="str">
        <f aca="false">IFERROR(__xludf.dummyfunction("if(BJ2728="""","""",GOOGLETRANSLATE(BJ2728,""auto"",""en""))"),"Helper Kernet")</f>
        <v>Helper Kernet</v>
      </c>
      <c r="AA2728" s="23" t="str">
        <f aca="false">IF(C2728="","", CHOOSE(MONTH(C2728),"January","February","March","April","May","June","July","August","September","October","November","December")&amp;" "&amp;DAY(C2728)&amp;MID("thstndrdth",MIN(9,2*RIGHT(DAY(C2728))*(MOD(DAY(C2728)-11,100)&gt;2)+1),2)&amp;","&amp;TEXT(C2728," yyyy"))</f>
        <v>September 17th,2025</v>
      </c>
      <c r="AB2728" s="15" t="str">
        <f aca="true">IF(S2728="","",DATEDIF(S2728,TODAY(),"Y")&amp;" Tahun, "&amp;DATEDIF(S2728,TODAY(),"YM")&amp;" Bulan, "&amp;DATEDIF(S2728,TODAY(),"MD")&amp;" Hari")</f>
        <v>31 Tahun, 7 Bulan, 12 Hari</v>
      </c>
      <c r="AC2728" s="18" t="n">
        <v>45917</v>
      </c>
      <c r="AD2728" s="18" t="n">
        <v>46267</v>
      </c>
      <c r="AE2728" s="18" t="s">
        <v>44</v>
      </c>
    </row>
    <row r="2729" customFormat="false" ht="15" hidden="false" customHeight="true" outlineLevel="0" collapsed="false">
      <c r="A2729" s="12" t="n">
        <v>20867</v>
      </c>
      <c r="B2729" s="13" t="s">
        <v>11616</v>
      </c>
      <c r="C2729" s="16" t="n">
        <v>45920</v>
      </c>
      <c r="D2729" s="13" t="s">
        <v>7310</v>
      </c>
      <c r="E2729" s="13" t="s">
        <v>33</v>
      </c>
      <c r="F2729" s="24" t="s">
        <v>11617</v>
      </c>
      <c r="G2729" s="13" t="s">
        <v>1127</v>
      </c>
      <c r="H2729" s="13" t="s">
        <v>35</v>
      </c>
      <c r="I2729" s="13" t="str">
        <f aca="false">IF(C2729=J2729,"NEW KONTRAK","RE-KONTRAK")</f>
        <v>NEW KONTRAK</v>
      </c>
      <c r="J2729" s="16" t="n">
        <f aca="false" t="array" ref="J2729:J2729">IFERROR(INDEX(AC2729:AE2729,IF(COUNTA(AC2729:AE2729)=0,"",MAX((AC2729:AE2729&lt;&gt;"")*(COLUMN(AC2729:AE2729)-(COLUMN(AC2729)))))-1),"")</f>
        <v>45920</v>
      </c>
      <c r="K2729" s="16" t="n">
        <f aca="false" t="array" ref="K2729:K2729">IFERROR(INDEX(AC2729:AE2729,IF(COUNTA(AC2729:AE2729)=0,"",MAX((AC2729:AE2729&lt;&gt;"")*(COLUMN(AC2729:AE2729)-(COLUMN(AC2729)-1))))-1),"")</f>
        <v>46267</v>
      </c>
      <c r="L2729" s="17" t="str">
        <f aca="false" t="array" ref="L2729:L2729">IFERROR(INDEX(AC2729:AE2729,IF(COUNTA(AC2729:AE2729)=0,"",MAX((AC2729:AE2729&lt;&gt;"")*(COLUMN(AC2729:AE2729)-(COLUMN(AC2729)-2))))-1),"")</f>
        <v>ARCHIVED</v>
      </c>
      <c r="M2729" s="13" t="n">
        <f aca="true">K2729-TODAY()</f>
        <v>-57</v>
      </c>
      <c r="N2729" s="18" t="s">
        <v>7313</v>
      </c>
      <c r="O2729" s="13" t="s">
        <v>7611</v>
      </c>
      <c r="P2729" s="19" t="n">
        <v>2397550</v>
      </c>
      <c r="Q2729" s="47" t="s">
        <v>11618</v>
      </c>
      <c r="R2729" s="13" t="s">
        <v>227</v>
      </c>
      <c r="S2729" s="16" t="n">
        <v>34253</v>
      </c>
      <c r="T2729" s="13" t="s">
        <v>40</v>
      </c>
      <c r="U2729" s="13" t="s">
        <v>11114</v>
      </c>
      <c r="V2729" s="13" t="s">
        <v>42</v>
      </c>
      <c r="W2729" s="13" t="s">
        <v>43</v>
      </c>
      <c r="X2729" s="21" t="n">
        <v>81231314572</v>
      </c>
      <c r="Y2729" s="22" t="str">
        <f aca="false">O2729</f>
        <v>Helper Kernet</v>
      </c>
      <c r="Z2729" s="13" t="str">
        <f aca="false">IFERROR(__xludf.dummyfunction("if(BJ2729="""","""",GOOGLETRANSLATE(BJ2729,""auto"",""en""))"),"Helper Kernet")</f>
        <v>Helper Kernet</v>
      </c>
      <c r="AA2729" s="23" t="str">
        <f aca="false">IF(C2729="","", CHOOSE(MONTH(C2729),"January","February","March","April","May","June","July","August","September","October","November","December")&amp;" "&amp;DAY(C2729)&amp;MID("thstndrdth",MIN(9,2*RIGHT(DAY(C2729))*(MOD(DAY(C2729)-11,100)&gt;2)+1),2)&amp;","&amp;TEXT(C2729," yyyy"))</f>
        <v>September 20th,2025</v>
      </c>
      <c r="AB2729" s="15" t="str">
        <f aca="true">IF(S2729="","",DATEDIF(S2729,TODAY(),"Y")&amp;" Tahun, "&amp;DATEDIF(S2729,TODAY(),"YM")&amp;" Bulan, "&amp;DATEDIF(S2729,TODAY(),"MD")&amp;" Hari")</f>
        <v>33 Tahun, 0 Bulan, 18 Hari</v>
      </c>
      <c r="AC2729" s="18" t="n">
        <v>45920</v>
      </c>
      <c r="AD2729" s="18" t="n">
        <v>46267</v>
      </c>
      <c r="AE2729" s="18" t="s">
        <v>44</v>
      </c>
    </row>
    <row r="2730" customFormat="false" ht="15" hidden="false" customHeight="true" outlineLevel="0" collapsed="false">
      <c r="A2730" s="12" t="n">
        <v>20868</v>
      </c>
      <c r="B2730" s="13" t="s">
        <v>11619</v>
      </c>
      <c r="C2730" s="16" t="n">
        <v>45926</v>
      </c>
      <c r="D2730" s="13" t="s">
        <v>11620</v>
      </c>
      <c r="E2730" s="13" t="s">
        <v>47</v>
      </c>
      <c r="F2730" s="15" t="str">
        <f aca="false">IFERROR(__xludf.dummyfunction("XLOOKUP(AJ2730,IMPORTRANGE(""1XaInW9DU9nz21V0tYIfzFQ0He9kVQ_JF2mCXgZ3hqFA"",""REKAP ALL 2026 - Andika!G:G""),IMPORTRANGE(""1XaInW9DU9nz21V0tYIfzFQ0He9kVQ_JF2mCXgZ3hqFA"",""REKAP ALL 2026 - Andika!F:F""),"""",0)"),"25157580652")</f>
        <v>25157580652</v>
      </c>
      <c r="G2730" s="13" t="s">
        <v>1127</v>
      </c>
      <c r="H2730" s="13" t="s">
        <v>35</v>
      </c>
      <c r="I2730" s="13" t="str">
        <f aca="false">IF(C2730=J2730,"NEW KONTRAK","RE-KONTRAK")</f>
        <v>NEW KONTRAK</v>
      </c>
      <c r="J2730" s="16" t="n">
        <f aca="false" t="array" ref="J2730:J2730">IFERROR(INDEX(AC2730:AE2730,IF(COUNTA(AC2730:AE2730)=0,"",MAX((AC2730:AE2730&lt;&gt;"")*(COLUMN(AC2730:AE2730)-(COLUMN(AC2730)))))-1),"")</f>
        <v>45926</v>
      </c>
      <c r="K2730" s="16" t="n">
        <f aca="false" t="array" ref="K2730:K2730">IFERROR(INDEX(AC2730:AE2730,IF(COUNTA(AC2730:AE2730)=0,"",MAX((AC2730:AE2730&lt;&gt;"")*(COLUMN(AC2730:AE2730)-(COLUMN(AC2730)-1))))-1),"")</f>
        <v>46106</v>
      </c>
      <c r="L2730" s="17" t="str">
        <f aca="false" t="array" ref="L2730:L2730">IFERROR(INDEX(AC2730:AE2730,IF(COUNTA(AC2730:AE2730)=0,"",MAX((AC2730:AE2730&lt;&gt;"")*(COLUMN(AC2730:AE2730)-(COLUMN(AC2730)-2))))-1),"")</f>
        <v>ARCHIVED</v>
      </c>
      <c r="M2730" s="13" t="n">
        <f aca="true">K2730-TODAY()</f>
        <v>-218</v>
      </c>
      <c r="N2730" s="18" t="s">
        <v>36</v>
      </c>
      <c r="O2730" s="13" t="s">
        <v>11621</v>
      </c>
      <c r="P2730" s="27" t="n">
        <v>199823</v>
      </c>
      <c r="Q2730" s="47" t="s">
        <v>11622</v>
      </c>
      <c r="R2730" s="13" t="s">
        <v>78</v>
      </c>
      <c r="S2730" s="16" t="n">
        <v>36498</v>
      </c>
      <c r="T2730" s="28" t="s">
        <v>40</v>
      </c>
      <c r="U2730" s="13" t="s">
        <v>11623</v>
      </c>
      <c r="V2730" s="13" t="s">
        <v>42</v>
      </c>
      <c r="W2730" s="13" t="s">
        <v>43</v>
      </c>
      <c r="X2730" s="21" t="n">
        <v>81335274894</v>
      </c>
      <c r="Y2730" s="22" t="str">
        <f aca="false">O2730</f>
        <v>Kimia</v>
      </c>
      <c r="Z2730" s="13" t="str">
        <f aca="false">IFERROR(__xludf.dummyfunction("if(BJ2730="""","""",GOOGLETRANSLATE(BJ2730,""auto"",""en""))"),"Chemistry")</f>
        <v>Chemistry</v>
      </c>
      <c r="AA2730" s="23" t="str">
        <f aca="false">IF(C2730="","", CHOOSE(MONTH(C2730),"January","February","March","April","May","June","July","August","September","October","November","December")&amp;" "&amp;DAY(C2730)&amp;MID("thstndrdth",MIN(9,2*RIGHT(DAY(C2730))*(MOD(DAY(C2730)-11,100)&gt;2)+1),2)&amp;","&amp;TEXT(C2730," yyyy"))</f>
        <v>September 26th,2025</v>
      </c>
      <c r="AB2730" s="15" t="str">
        <f aca="true">IF(S2730="","",DATEDIF(S2730,TODAY(),"Y")&amp;" Tahun, "&amp;DATEDIF(S2730,TODAY(),"YM")&amp;" Bulan, "&amp;DATEDIF(S2730,TODAY(),"MD")&amp;" Hari")</f>
        <v>26 Tahun, 10 Bulan, 25 Hari</v>
      </c>
      <c r="AC2730" s="18" t="n">
        <v>45926</v>
      </c>
      <c r="AD2730" s="18" t="n">
        <f aca="false">EDATE(AC2730,6)-1</f>
        <v>46106</v>
      </c>
      <c r="AE2730" s="13" t="s">
        <v>44</v>
      </c>
    </row>
    <row r="2731" customFormat="false" ht="15" hidden="false" customHeight="true" outlineLevel="0" collapsed="false">
      <c r="A2731" s="12" t="n">
        <v>20869</v>
      </c>
      <c r="B2731" s="13" t="s">
        <v>11624</v>
      </c>
      <c r="C2731" s="16" t="n">
        <v>45926</v>
      </c>
      <c r="D2731" s="13" t="s">
        <v>11620</v>
      </c>
      <c r="E2731" s="13" t="s">
        <v>33</v>
      </c>
      <c r="F2731" s="24" t="s">
        <v>11625</v>
      </c>
      <c r="G2731" s="13" t="s">
        <v>1127</v>
      </c>
      <c r="H2731" s="13" t="s">
        <v>35</v>
      </c>
      <c r="I2731" s="13" t="str">
        <f aca="false">IF(C2731=J2731,"NEW KONTRAK","RE-KONTRAK")</f>
        <v>NEW KONTRAK</v>
      </c>
      <c r="J2731" s="16" t="n">
        <f aca="false" t="array" ref="J2731:J2731">IFERROR(INDEX(AC2731:AE2731,IF(COUNTA(AC2731:AE2731)=0,"",MAX((AC2731:AE2731&lt;&gt;"")*(COLUMN(AC2731:AE2731)-(COLUMN(AC2731)))))-1),"")</f>
        <v>45926</v>
      </c>
      <c r="K2731" s="16" t="n">
        <f aca="false" t="array" ref="K2731:K2731">IFERROR(INDEX(AC2731:AE2731,IF(COUNTA(AC2731:AE2731)=0,"",MAX((AC2731:AE2731&lt;&gt;"")*(COLUMN(AC2731:AE2731)-(COLUMN(AC2731)-1))))-1),"")</f>
        <v>46106</v>
      </c>
      <c r="L2731" s="17" t="str">
        <f aca="false" t="array" ref="L2731:L2731">IFERROR(INDEX(AC2731:AE2731,IF(COUNTA(AC2731:AE2731)=0,"",MAX((AC2731:AE2731&lt;&gt;"")*(COLUMN(AC2731:AE2731)-(COLUMN(AC2731)-2))))-1),"")</f>
        <v>ARCHIVED</v>
      </c>
      <c r="M2731" s="13" t="n">
        <f aca="true">K2731-TODAY()</f>
        <v>-218</v>
      </c>
      <c r="N2731" s="18" t="s">
        <v>36</v>
      </c>
      <c r="O2731" s="13" t="s">
        <v>624</v>
      </c>
      <c r="P2731" s="27" t="n">
        <v>199823</v>
      </c>
      <c r="Q2731" s="47" t="s">
        <v>11626</v>
      </c>
      <c r="R2731" s="13" t="s">
        <v>232</v>
      </c>
      <c r="S2731" s="16" t="n">
        <v>35143</v>
      </c>
      <c r="T2731" s="28" t="s">
        <v>40</v>
      </c>
      <c r="U2731" s="13" t="s">
        <v>11627</v>
      </c>
      <c r="V2731" s="13" t="s">
        <v>42</v>
      </c>
      <c r="W2731" s="13" t="s">
        <v>43</v>
      </c>
      <c r="X2731" s="21" t="n">
        <v>81216486664</v>
      </c>
      <c r="Y2731" s="22" t="str">
        <f aca="false">O2731</f>
        <v>Quality Control</v>
      </c>
      <c r="Z2731" s="13" t="str">
        <f aca="false">IFERROR(__xludf.dummyfunction("if(BJ2731="""","""",GOOGLETRANSLATE(BJ2731,""auto"",""en""))"),"Quality Control")</f>
        <v>Quality Control</v>
      </c>
      <c r="AA2731" s="23" t="str">
        <f aca="false">IF(C2731="","", CHOOSE(MONTH(C2731),"January","February","March","April","May","June","July","August","September","October","November","December")&amp;" "&amp;DAY(C2731)&amp;MID("thstndrdth",MIN(9,2*RIGHT(DAY(C2731))*(MOD(DAY(C2731)-11,100)&gt;2)+1),2)&amp;","&amp;TEXT(C2731," yyyy"))</f>
        <v>September 26th,2025</v>
      </c>
      <c r="AB2731" s="15" t="str">
        <f aca="true">IF(S2731="","",DATEDIF(S2731,TODAY(),"Y")&amp;" Tahun, "&amp;DATEDIF(S2731,TODAY(),"YM")&amp;" Bulan, "&amp;DATEDIF(S2731,TODAY(),"MD")&amp;" Hari")</f>
        <v>30 Tahun, 7 Bulan, 10 Hari</v>
      </c>
      <c r="AC2731" s="18" t="n">
        <v>45926</v>
      </c>
      <c r="AD2731" s="18" t="n">
        <f aca="false">EDATE(AC2731,6)-1</f>
        <v>46106</v>
      </c>
      <c r="AE2731" s="13" t="s">
        <v>44</v>
      </c>
    </row>
    <row r="2732" customFormat="false" ht="15" hidden="false" customHeight="true" outlineLevel="0" collapsed="false">
      <c r="A2732" s="12" t="n">
        <v>20870</v>
      </c>
      <c r="B2732" s="13" t="s">
        <v>11628</v>
      </c>
      <c r="C2732" s="16" t="n">
        <v>45926</v>
      </c>
      <c r="D2732" s="13" t="s">
        <v>11620</v>
      </c>
      <c r="E2732" s="13" t="s">
        <v>47</v>
      </c>
      <c r="F2732" s="15" t="str">
        <f aca="false">IFERROR(__xludf.dummyfunction("XLOOKUP(AJ2732,IMPORTRANGE(""1XaInW9DU9nz21V0tYIfzFQ0He9kVQ_JF2mCXgZ3hqFA"",""REKAP ALL 2026 - Andika!G:G""),IMPORTRANGE(""1XaInW9DU9nz21V0tYIfzFQ0He9kVQ_JF2mCXgZ3hqFA"",""REKAP ALL 2026 - Andika!F:F""),"""",0)"),"25157580694")</f>
        <v>25157580694</v>
      </c>
      <c r="G2732" s="13" t="s">
        <v>1127</v>
      </c>
      <c r="H2732" s="13" t="s">
        <v>35</v>
      </c>
      <c r="I2732" s="13" t="str">
        <f aca="false">IF(C2732=J2732,"NEW KONTRAK","RE-KONTRAK")</f>
        <v>NEW KONTRAK</v>
      </c>
      <c r="J2732" s="16" t="n">
        <f aca="false" t="array" ref="J2732:J2732">IFERROR(INDEX(AC2732:AE2732,IF(COUNTA(AC2732:AE2732)=0,"",MAX((AC2732:AE2732&lt;&gt;"")*(COLUMN(AC2732:AE2732)-(COLUMN(AC2732)))))-1),"")</f>
        <v>45926</v>
      </c>
      <c r="K2732" s="16" t="n">
        <f aca="false" t="array" ref="K2732:K2732">IFERROR(INDEX(AC2732:AE2732,IF(COUNTA(AC2732:AE2732)=0,"",MAX((AC2732:AE2732&lt;&gt;"")*(COLUMN(AC2732:AE2732)-(COLUMN(AC2732)-1))))-1),"")</f>
        <v>46106</v>
      </c>
      <c r="L2732" s="17" t="str">
        <f aca="false" t="array" ref="L2732:L2732">IFERROR(INDEX(AC2732:AE2732,IF(COUNTA(AC2732:AE2732)=0,"",MAX((AC2732:AE2732&lt;&gt;"")*(COLUMN(AC2732:AE2732)-(COLUMN(AC2732)-2))))-1),"")</f>
        <v>ARCHIVED</v>
      </c>
      <c r="M2732" s="13" t="n">
        <f aca="true">K2732-TODAY()</f>
        <v>-218</v>
      </c>
      <c r="N2732" s="18" t="s">
        <v>36</v>
      </c>
      <c r="O2732" s="13" t="s">
        <v>11629</v>
      </c>
      <c r="P2732" s="27" t="n">
        <v>199823</v>
      </c>
      <c r="Q2732" s="47" t="s">
        <v>11630</v>
      </c>
      <c r="R2732" s="13" t="s">
        <v>65</v>
      </c>
      <c r="S2732" s="16" t="n">
        <v>33377</v>
      </c>
      <c r="T2732" s="28" t="s">
        <v>40</v>
      </c>
      <c r="U2732" s="13" t="s">
        <v>11631</v>
      </c>
      <c r="V2732" s="13" t="s">
        <v>42</v>
      </c>
      <c r="W2732" s="13" t="s">
        <v>54</v>
      </c>
      <c r="X2732" s="21" t="n">
        <v>82141146142</v>
      </c>
      <c r="Y2732" s="22" t="str">
        <f aca="false">O2732</f>
        <v>Tubular</v>
      </c>
      <c r="Z2732" s="13" t="str">
        <f aca="false">IFERROR(__xludf.dummyfunction("if(BJ2732="""","""",GOOGLETRANSLATE(BJ2732,""auto"",""en""))"),"Tubular")</f>
        <v>Tubular</v>
      </c>
      <c r="AA2732" s="23" t="str">
        <f aca="false">IF(C2732="","", CHOOSE(MONTH(C2732),"January","February","March","April","May","June","July","August","September","October","November","December")&amp;" "&amp;DAY(C2732)&amp;MID("thstndrdth",MIN(9,2*RIGHT(DAY(C2732))*(MOD(DAY(C2732)-11,100)&gt;2)+1),2)&amp;","&amp;TEXT(C2732," yyyy"))</f>
        <v>September 26th,2025</v>
      </c>
      <c r="AB2732" s="15" t="str">
        <f aca="true">IF(S2732="","",DATEDIF(S2732,TODAY(),"Y")&amp;" Tahun, "&amp;DATEDIF(S2732,TODAY(),"YM")&amp;" Bulan, "&amp;DATEDIF(S2732,TODAY(),"MD")&amp;" Hari")</f>
        <v>35 Tahun, 5 Bulan, 10 Hari</v>
      </c>
      <c r="AC2732" s="18" t="n">
        <v>45926</v>
      </c>
      <c r="AD2732" s="18" t="n">
        <f aca="false">EDATE(AC2732,6)-1</f>
        <v>46106</v>
      </c>
      <c r="AE2732" s="13" t="s">
        <v>44</v>
      </c>
    </row>
    <row r="2733" customFormat="false" ht="15" hidden="false" customHeight="true" outlineLevel="0" collapsed="false">
      <c r="A2733" s="12" t="n">
        <v>20871</v>
      </c>
      <c r="B2733" s="13" t="s">
        <v>11632</v>
      </c>
      <c r="C2733" s="16" t="n">
        <v>45926</v>
      </c>
      <c r="D2733" s="13" t="s">
        <v>11620</v>
      </c>
      <c r="E2733" s="13" t="s">
        <v>47</v>
      </c>
      <c r="F2733" s="15" t="str">
        <f aca="false">IFERROR(__xludf.dummyfunction("XLOOKUP(AJ2733,IMPORTRANGE(""1XaInW9DU9nz21V0tYIfzFQ0He9kVQ_JF2mCXgZ3hqFA"",""REKAP ALL 2026 - Andika!G:G""),IMPORTRANGE(""1XaInW9DU9nz21V0tYIfzFQ0He9kVQ_JF2mCXgZ3hqFA"",""REKAP ALL 2026 - Andika!F:F""),"""",0)"),"25157580710")</f>
        <v>25157580710</v>
      </c>
      <c r="G2733" s="13" t="s">
        <v>1127</v>
      </c>
      <c r="H2733" s="13" t="s">
        <v>35</v>
      </c>
      <c r="I2733" s="13" t="str">
        <f aca="false">IF(C2733=J2733,"NEW KONTRAK","RE-KONTRAK")</f>
        <v>NEW KONTRAK</v>
      </c>
      <c r="J2733" s="16" t="n">
        <f aca="false" t="array" ref="J2733:J2733">IFERROR(INDEX(AC2733:AE2733,IF(COUNTA(AC2733:AE2733)=0,"",MAX((AC2733:AE2733&lt;&gt;"")*(COLUMN(AC2733:AE2733)-(COLUMN(AC2733)))))-1),"")</f>
        <v>45926</v>
      </c>
      <c r="K2733" s="16" t="n">
        <f aca="false" t="array" ref="K2733:K2733">IFERROR(INDEX(AC2733:AE2733,IF(COUNTA(AC2733:AE2733)=0,"",MAX((AC2733:AE2733&lt;&gt;"")*(COLUMN(AC2733:AE2733)-(COLUMN(AC2733)-1))))-1),"")</f>
        <v>46106</v>
      </c>
      <c r="L2733" s="17" t="str">
        <f aca="false" t="array" ref="L2733:L2733">IFERROR(INDEX(AC2733:AE2733,IF(COUNTA(AC2733:AE2733)=0,"",MAX((AC2733:AE2733&lt;&gt;"")*(COLUMN(AC2733:AE2733)-(COLUMN(AC2733)-2))))-1),"")</f>
        <v>ARCHIVED</v>
      </c>
      <c r="M2733" s="13" t="n">
        <f aca="true">K2733-TODAY()</f>
        <v>-218</v>
      </c>
      <c r="N2733" s="18" t="s">
        <v>36</v>
      </c>
      <c r="O2733" s="13" t="s">
        <v>624</v>
      </c>
      <c r="P2733" s="27" t="n">
        <v>199823</v>
      </c>
      <c r="Q2733" s="47" t="s">
        <v>11633</v>
      </c>
      <c r="R2733" s="13" t="s">
        <v>39</v>
      </c>
      <c r="S2733" s="16" t="n">
        <v>30783</v>
      </c>
      <c r="T2733" s="28" t="s">
        <v>40</v>
      </c>
      <c r="U2733" s="13" t="s">
        <v>11634</v>
      </c>
      <c r="V2733" s="13" t="s">
        <v>42</v>
      </c>
      <c r="W2733" s="13" t="s">
        <v>54</v>
      </c>
      <c r="X2733" s="21" t="n">
        <v>85100203290</v>
      </c>
      <c r="Y2733" s="22" t="str">
        <f aca="false">O2733</f>
        <v>Quality Control</v>
      </c>
      <c r="Z2733" s="13" t="str">
        <f aca="false">IFERROR(__xludf.dummyfunction("if(BJ2733="""","""",GOOGLETRANSLATE(BJ2733,""auto"",""en""))"),"Quality Control")</f>
        <v>Quality Control</v>
      </c>
      <c r="AA2733" s="23" t="str">
        <f aca="false">IF(C2733="","", CHOOSE(MONTH(C2733),"January","February","March","April","May","June","July","August","September","October","November","December")&amp;" "&amp;DAY(C2733)&amp;MID("thstndrdth",MIN(9,2*RIGHT(DAY(C2733))*(MOD(DAY(C2733)-11,100)&gt;2)+1),2)&amp;","&amp;TEXT(C2733," yyyy"))</f>
        <v>September 26th,2025</v>
      </c>
      <c r="AB2733" s="15" t="str">
        <f aca="true">IF(S2733="","",DATEDIF(S2733,TODAY(),"Y")&amp;" Tahun, "&amp;DATEDIF(S2733,TODAY(),"YM")&amp;" Bulan, "&amp;DATEDIF(S2733,TODAY(),"MD")&amp;" Hari")</f>
        <v>42 Tahun, 6 Bulan, 18 Hari</v>
      </c>
      <c r="AC2733" s="18" t="n">
        <v>45926</v>
      </c>
      <c r="AD2733" s="18" t="n">
        <f aca="false">EDATE(AC2733,6)-1</f>
        <v>46106</v>
      </c>
      <c r="AE2733" s="13" t="s">
        <v>44</v>
      </c>
    </row>
    <row r="2734" customFormat="false" ht="15" hidden="false" customHeight="true" outlineLevel="0" collapsed="false">
      <c r="A2734" s="12" t="n">
        <v>20872</v>
      </c>
      <c r="B2734" s="13" t="s">
        <v>11635</v>
      </c>
      <c r="C2734" s="16" t="n">
        <v>44025</v>
      </c>
      <c r="D2734" s="13" t="s">
        <v>11620</v>
      </c>
      <c r="E2734" s="13" t="s">
        <v>33</v>
      </c>
      <c r="F2734" s="24" t="s">
        <v>11636</v>
      </c>
      <c r="G2734" s="13" t="s">
        <v>1127</v>
      </c>
      <c r="H2734" s="13" t="s">
        <v>35</v>
      </c>
      <c r="I2734" s="13" t="str">
        <f aca="false">IF(C2734=J2734,"NEW KONTRAK","RE-KONTRAK")</f>
        <v>RE-KONTRAK</v>
      </c>
      <c r="J2734" s="16" t="n">
        <f aca="false" t="array" ref="J2734:J2734">IFERROR(INDEX(AC2734:AE2734,IF(COUNTA(AC2734:AE2734)=0,"",MAX((AC2734:AE2734&lt;&gt;"")*(COLUMN(AC2734:AE2734)-(COLUMN(AC2734)))))-1),"")</f>
        <v>45926</v>
      </c>
      <c r="K2734" s="16" t="n">
        <f aca="false" t="array" ref="K2734:K2734">IFERROR(INDEX(AC2734:AE2734,IF(COUNTA(AC2734:AE2734)=0,"",MAX((AC2734:AE2734&lt;&gt;"")*(COLUMN(AC2734:AE2734)-(COLUMN(AC2734)-1))))-1),"")</f>
        <v>46106</v>
      </c>
      <c r="L2734" s="17" t="str">
        <f aca="false" t="array" ref="L2734:L2734">IFERROR(INDEX(AC2734:AE2734,IF(COUNTA(AC2734:AE2734)=0,"",MAX((AC2734:AE2734&lt;&gt;"")*(COLUMN(AC2734:AE2734)-(COLUMN(AC2734)-2))))-1),"")</f>
        <v>ARCHIVED</v>
      </c>
      <c r="M2734" s="13" t="n">
        <f aca="true">K2734-TODAY()</f>
        <v>-218</v>
      </c>
      <c r="N2734" s="18" t="s">
        <v>36</v>
      </c>
      <c r="O2734" s="13" t="s">
        <v>624</v>
      </c>
      <c r="P2734" s="27" t="n">
        <v>199823</v>
      </c>
      <c r="Q2734" s="47" t="s">
        <v>11637</v>
      </c>
      <c r="R2734" s="13" t="s">
        <v>324</v>
      </c>
      <c r="S2734" s="16" t="n">
        <v>36740</v>
      </c>
      <c r="T2734" s="28" t="s">
        <v>40</v>
      </c>
      <c r="U2734" s="13" t="s">
        <v>11638</v>
      </c>
      <c r="V2734" s="13" t="s">
        <v>42</v>
      </c>
      <c r="W2734" s="13" t="s">
        <v>43</v>
      </c>
      <c r="X2734" s="21" t="n">
        <v>81332823696</v>
      </c>
      <c r="Y2734" s="22" t="str">
        <f aca="false">O2734</f>
        <v>Quality Control</v>
      </c>
      <c r="Z2734" s="13" t="str">
        <f aca="false">IFERROR(__xludf.dummyfunction("if(BJ2734="""","""",GOOGLETRANSLATE(BJ2734,""auto"",""en""))"),"Quality Control")</f>
        <v>Quality Control</v>
      </c>
      <c r="AA2734" s="23" t="str">
        <f aca="false">IF(C2734="","", CHOOSE(MONTH(C2734),"January","February","March","April","May","June","July","August","September","October","November","December")&amp;" "&amp;DAY(C2734)&amp;MID("thstndrdth",MIN(9,2*RIGHT(DAY(C2734))*(MOD(DAY(C2734)-11,100)&gt;2)+1),2)&amp;","&amp;TEXT(C2734," yyyy"))</f>
        <v>July 13th,2020</v>
      </c>
      <c r="AB2734" s="15" t="str">
        <f aca="true">IF(S2734="","",DATEDIF(S2734,TODAY(),"Y")&amp;" Tahun, "&amp;DATEDIF(S2734,TODAY(),"YM")&amp;" Bulan, "&amp;DATEDIF(S2734,TODAY(),"MD")&amp;" Hari")</f>
        <v>26 Tahun, 2 Bulan, 27 Hari</v>
      </c>
      <c r="AC2734" s="18" t="n">
        <v>45926</v>
      </c>
      <c r="AD2734" s="18" t="n">
        <f aca="false">EDATE(AC2734,6)-1</f>
        <v>46106</v>
      </c>
      <c r="AE2734" s="13" t="s">
        <v>44</v>
      </c>
    </row>
    <row r="2735" customFormat="false" ht="15" hidden="false" customHeight="true" outlineLevel="0" collapsed="false">
      <c r="A2735" s="12" t="n">
        <v>20873</v>
      </c>
      <c r="B2735" s="13" t="s">
        <v>11639</v>
      </c>
      <c r="C2735" s="16" t="n">
        <v>45926</v>
      </c>
      <c r="D2735" s="13" t="s">
        <v>11620</v>
      </c>
      <c r="E2735" s="13" t="s">
        <v>47</v>
      </c>
      <c r="F2735" s="15" t="str">
        <f aca="false">IFERROR(__xludf.dummyfunction("XLOOKUP(AJ2735,IMPORTRANGE(""1XaInW9DU9nz21V0tYIfzFQ0He9kVQ_JF2mCXgZ3hqFA"",""REKAP ALL 2026 - Andika!G:G""),IMPORTRANGE(""1XaInW9DU9nz21V0tYIfzFQ0He9kVQ_JF2mCXgZ3hqFA"",""REKAP ALL 2026 - Andika!F:F""),"""",0)"),"25157580751")</f>
        <v>25157580751</v>
      </c>
      <c r="G2735" s="13" t="s">
        <v>1127</v>
      </c>
      <c r="H2735" s="13" t="s">
        <v>35</v>
      </c>
      <c r="I2735" s="13" t="str">
        <f aca="false">IF(C2735=J2735,"NEW KONTRAK","RE-KONTRAK")</f>
        <v>NEW KONTRAK</v>
      </c>
      <c r="J2735" s="16" t="n">
        <f aca="false" t="array" ref="J2735:J2735">IFERROR(INDEX(AC2735:AE2735,IF(COUNTA(AC2735:AE2735)=0,"",MAX((AC2735:AE2735&lt;&gt;"")*(COLUMN(AC2735:AE2735)-(COLUMN(AC2735)))))-1),"")</f>
        <v>45926</v>
      </c>
      <c r="K2735" s="16" t="n">
        <f aca="false" t="array" ref="K2735:K2735">IFERROR(INDEX(AC2735:AE2735,IF(COUNTA(AC2735:AE2735)=0,"",MAX((AC2735:AE2735&lt;&gt;"")*(COLUMN(AC2735:AE2735)-(COLUMN(AC2735)-1))))-1),"")</f>
        <v>46106</v>
      </c>
      <c r="L2735" s="17" t="str">
        <f aca="false" t="array" ref="L2735:L2735">IFERROR(INDEX(AC2735:AE2735,IF(COUNTA(AC2735:AE2735)=0,"",MAX((AC2735:AE2735&lt;&gt;"")*(COLUMN(AC2735:AE2735)-(COLUMN(AC2735)-2))))-1),"")</f>
        <v>ARCHIVED</v>
      </c>
      <c r="M2735" s="13" t="n">
        <f aca="true">K2735-TODAY()</f>
        <v>-218</v>
      </c>
      <c r="N2735" s="18" t="s">
        <v>36</v>
      </c>
      <c r="O2735" s="13" t="s">
        <v>11640</v>
      </c>
      <c r="P2735" s="27" t="n">
        <v>199823</v>
      </c>
      <c r="Q2735" s="47" t="s">
        <v>11641</v>
      </c>
      <c r="R2735" s="13" t="s">
        <v>65</v>
      </c>
      <c r="S2735" s="16" t="n">
        <v>35565</v>
      </c>
      <c r="T2735" s="28" t="s">
        <v>40</v>
      </c>
      <c r="U2735" s="13" t="s">
        <v>11642</v>
      </c>
      <c r="V2735" s="13" t="s">
        <v>42</v>
      </c>
      <c r="W2735" s="13" t="s">
        <v>43</v>
      </c>
      <c r="X2735" s="21" t="n">
        <v>895428456970</v>
      </c>
      <c r="Y2735" s="22" t="str">
        <f aca="false">O2735</f>
        <v>IPAL</v>
      </c>
      <c r="Z2735" s="13" t="str">
        <f aca="false">IFERROR(__xludf.dummyfunction("if(BJ2735="""","""",GOOGLETRANSLATE(BJ2735,""auto"",""en""))"),"wastewater treatment plant")</f>
        <v>wastewater treatment plant</v>
      </c>
      <c r="AA2735" s="23" t="str">
        <f aca="false">IF(C2735="","", CHOOSE(MONTH(C2735),"January","February","March","April","May","June","July","August","September","October","November","December")&amp;" "&amp;DAY(C2735)&amp;MID("thstndrdth",MIN(9,2*RIGHT(DAY(C2735))*(MOD(DAY(C2735)-11,100)&gt;2)+1),2)&amp;","&amp;TEXT(C2735," yyyy"))</f>
        <v>September 26th,2025</v>
      </c>
      <c r="AB2735" s="15" t="str">
        <f aca="true">IF(S2735="","",DATEDIF(S2735,TODAY(),"Y")&amp;" Tahun, "&amp;DATEDIF(S2735,TODAY(),"YM")&amp;" Bulan, "&amp;DATEDIF(S2735,TODAY(),"MD")&amp;" Hari")</f>
        <v>29 Tahun, 5 Bulan, 14 Hari</v>
      </c>
      <c r="AC2735" s="18" t="n">
        <v>45926</v>
      </c>
      <c r="AD2735" s="18" t="n">
        <f aca="false">EDATE(AC2735,6)-1</f>
        <v>46106</v>
      </c>
      <c r="AE2735" s="13" t="s">
        <v>44</v>
      </c>
    </row>
    <row r="2736" customFormat="false" ht="15" hidden="false" customHeight="true" outlineLevel="0" collapsed="false">
      <c r="A2736" s="12" t="n">
        <v>20874</v>
      </c>
      <c r="B2736" s="13" t="s">
        <v>11643</v>
      </c>
      <c r="C2736" s="16" t="n">
        <v>45926</v>
      </c>
      <c r="D2736" s="13" t="s">
        <v>11620</v>
      </c>
      <c r="E2736" s="13" t="s">
        <v>102</v>
      </c>
      <c r="F2736" s="15" t="str">
        <f aca="false">IFERROR(__xludf.dummyfunction("XLOOKUP(AJ2736,IMPORTRANGE(""1XaInW9DU9nz21V0tYIfzFQ0He9kVQ_JF2mCXgZ3hqFA"",""REKAP ALL 2026 - Andika!G:G""),IMPORTRANGE(""1XaInW9DU9nz21V0tYIfzFQ0He9kVQ_JF2mCXgZ3hqFA"",""REKAP ALL 2026 - Andika!F:F""),"""",0)"),"25157580777")</f>
        <v>25157580777</v>
      </c>
      <c r="G2736" s="13" t="s">
        <v>1127</v>
      </c>
      <c r="H2736" s="13" t="s">
        <v>35</v>
      </c>
      <c r="I2736" s="13" t="str">
        <f aca="false">IF(C2736=J2736,"NEW KONTRAK","RE-KONTRAK")</f>
        <v>NEW KONTRAK</v>
      </c>
      <c r="J2736" s="16" t="n">
        <f aca="false" t="array" ref="J2736:J2736">IFERROR(INDEX(AC2736:AE2736,IF(COUNTA(AC2736:AE2736)=0,"",MAX((AC2736:AE2736&lt;&gt;"")*(COLUMN(AC2736:AE2736)-(COLUMN(AC2736)))))-1),"")</f>
        <v>45926</v>
      </c>
      <c r="K2736" s="16" t="n">
        <f aca="false" t="array" ref="K2736:K2736">IFERROR(INDEX(AC2736:AE2736,IF(COUNTA(AC2736:AE2736)=0,"",MAX((AC2736:AE2736&lt;&gt;"")*(COLUMN(AC2736:AE2736)-(COLUMN(AC2736)-1))))-1),"")</f>
        <v>46106</v>
      </c>
      <c r="L2736" s="17" t="str">
        <f aca="false" t="array" ref="L2736:L2736">IFERROR(INDEX(AC2736:AE2736,IF(COUNTA(AC2736:AE2736)=0,"",MAX((AC2736:AE2736&lt;&gt;"")*(COLUMN(AC2736:AE2736)-(COLUMN(AC2736)-2))))-1),"")</f>
        <v>ARCHIVED</v>
      </c>
      <c r="M2736" s="13" t="n">
        <f aca="true">K2736-TODAY()</f>
        <v>-218</v>
      </c>
      <c r="N2736" s="18" t="s">
        <v>36</v>
      </c>
      <c r="O2736" s="13" t="s">
        <v>11629</v>
      </c>
      <c r="P2736" s="27" t="n">
        <v>199823</v>
      </c>
      <c r="Q2736" s="47" t="s">
        <v>11644</v>
      </c>
      <c r="R2736" s="13" t="s">
        <v>52</v>
      </c>
      <c r="S2736" s="16" t="n">
        <v>34463</v>
      </c>
      <c r="T2736" s="28" t="s">
        <v>40</v>
      </c>
      <c r="U2736" s="13" t="s">
        <v>11645</v>
      </c>
      <c r="V2736" s="13" t="s">
        <v>42</v>
      </c>
      <c r="W2736" s="13" t="s">
        <v>54</v>
      </c>
      <c r="X2736" s="21" t="n">
        <v>8993803966</v>
      </c>
      <c r="Y2736" s="22" t="str">
        <f aca="false">O2736</f>
        <v>Tubular</v>
      </c>
      <c r="Z2736" s="13" t="str">
        <f aca="false">IFERROR(__xludf.dummyfunction("if(BJ2736="""","""",GOOGLETRANSLATE(BJ2736,""auto"",""en""))"),"Tubular")</f>
        <v>Tubular</v>
      </c>
      <c r="AA2736" s="23" t="str">
        <f aca="false">IF(C2736="","", CHOOSE(MONTH(C2736),"January","February","March","April","May","June","July","August","September","October","November","December")&amp;" "&amp;DAY(C2736)&amp;MID("thstndrdth",MIN(9,2*RIGHT(DAY(C2736))*(MOD(DAY(C2736)-11,100)&gt;2)+1),2)&amp;","&amp;TEXT(C2736," yyyy"))</f>
        <v>September 26th,2025</v>
      </c>
      <c r="AB2736" s="15" t="str">
        <f aca="true">IF(S2736="","",DATEDIF(S2736,TODAY(),"Y")&amp;" Tahun, "&amp;DATEDIF(S2736,TODAY(),"YM")&amp;" Bulan, "&amp;DATEDIF(S2736,TODAY(),"MD")&amp;" Hari")</f>
        <v>32 Tahun, 5 Bulan, 20 Hari</v>
      </c>
      <c r="AC2736" s="18" t="n">
        <v>45926</v>
      </c>
      <c r="AD2736" s="18" t="n">
        <f aca="false">EDATE(AC2736,6)-1</f>
        <v>46106</v>
      </c>
      <c r="AE2736" s="13" t="s">
        <v>44</v>
      </c>
    </row>
    <row r="2737" customFormat="false" ht="15" hidden="false" customHeight="true" outlineLevel="0" collapsed="false">
      <c r="A2737" s="12" t="n">
        <v>20875</v>
      </c>
      <c r="B2737" s="13" t="s">
        <v>11646</v>
      </c>
      <c r="C2737" s="16" t="n">
        <v>46259</v>
      </c>
      <c r="D2737" s="13" t="s">
        <v>11620</v>
      </c>
      <c r="E2737" s="13" t="s">
        <v>47</v>
      </c>
      <c r="F2737" s="15" t="str">
        <f aca="false">IFERROR(__xludf.dummyfunction("XLOOKUP(AJ2737,IMPORTRANGE(""1XaInW9DU9nz21V0tYIfzFQ0He9kVQ_JF2mCXgZ3hqFA"",""REKAP ALL 2026 - Andika!G:G""),IMPORTRANGE(""1XaInW9DU9nz21V0tYIfzFQ0He9kVQ_JF2mCXgZ3hqFA"",""REKAP ALL 2026 - Andika!F:F""),"""",0)"),"25157580793")</f>
        <v>25157580793</v>
      </c>
      <c r="G2737" s="13" t="s">
        <v>1127</v>
      </c>
      <c r="H2737" s="13" t="s">
        <v>35</v>
      </c>
      <c r="I2737" s="13" t="str">
        <f aca="false">IF(C2737=J2737,"NEW KONTRAK","RE-KONTRAK")</f>
        <v>NEW KONTRAK</v>
      </c>
      <c r="J2737" s="16" t="n">
        <f aca="false" t="array" ref="J2737:J2737">IFERROR(INDEX(AC2737:AE2737,IF(COUNTA(AC2737:AE2737)=0,"",MAX((AC2737:AE2737&lt;&gt;"")*(COLUMN(AC2737:AE2737)-(COLUMN(AC2737)))))-1),"")</f>
        <v>46259</v>
      </c>
      <c r="K2737" s="16" t="n">
        <f aca="false" t="array" ref="K2737:K2737">IFERROR(INDEX(AC2737:AE2737,IF(COUNTA(AC2737:AE2737)=0,"",MAX((AC2737:AE2737&lt;&gt;"")*(COLUMN(AC2737:AE2737)-(COLUMN(AC2737)-1))))-1),"")</f>
        <v>46350</v>
      </c>
      <c r="L2737" s="17" t="str">
        <f aca="false" t="array" ref="L2737:L2737">IFERROR(INDEX(AC2737:AE2737,IF(COUNTA(AC2737:AE2737)=0,"",MAX((AC2737:AE2737&lt;&gt;"")*(COLUMN(AC2737:AE2737)-(COLUMN(AC2737)-2))))-1),"")</f>
        <v>ARCHIVED</v>
      </c>
      <c r="M2737" s="13" t="n">
        <f aca="true">K2737-TODAY()</f>
        <v>26</v>
      </c>
      <c r="N2737" s="18" t="s">
        <v>36</v>
      </c>
      <c r="O2737" s="13" t="s">
        <v>624</v>
      </c>
      <c r="P2737" s="27" t="n">
        <v>199823</v>
      </c>
      <c r="Q2737" s="47" t="s">
        <v>11647</v>
      </c>
      <c r="R2737" s="13" t="s">
        <v>65</v>
      </c>
      <c r="S2737" s="16" t="n">
        <v>34619</v>
      </c>
      <c r="T2737" s="28" t="s">
        <v>40</v>
      </c>
      <c r="U2737" s="13" t="s">
        <v>11648</v>
      </c>
      <c r="V2737" s="13" t="s">
        <v>42</v>
      </c>
      <c r="W2737" s="13" t="s">
        <v>54</v>
      </c>
      <c r="X2737" s="21" t="n">
        <v>82142630099</v>
      </c>
      <c r="Y2737" s="22" t="str">
        <f aca="false">O2737</f>
        <v>Quality Control</v>
      </c>
      <c r="Z2737" s="13" t="str">
        <f aca="false">IFERROR(__xludf.dummyfunction("if(BJ2737="""","""",GOOGLETRANSLATE(BJ2737,""auto"",""en""))"),"Quality Control")</f>
        <v>Quality Control</v>
      </c>
      <c r="AA2737" s="23" t="str">
        <f aca="false">IF(C2737="","", CHOOSE(MONTH(C2737),"January","February","March","April","May","June","July","August","September","October","November","December")&amp;" "&amp;DAY(C2737)&amp;MID("thstndrdth",MIN(9,2*RIGHT(DAY(C2737))*(MOD(DAY(C2737)-11,100)&gt;2)+1),2)&amp;","&amp;TEXT(C2737," yyyy"))</f>
        <v>August 25th,2026</v>
      </c>
      <c r="AB2737" s="15" t="str">
        <f aca="true">IF(S2737="","",DATEDIF(S2737,TODAY(),"Y")&amp;" Tahun, "&amp;DATEDIF(S2737,TODAY(),"YM")&amp;" Bulan, "&amp;DATEDIF(S2737,TODAY(),"MD")&amp;" Hari")</f>
        <v>32 Tahun, 0 Bulan, 17 Hari</v>
      </c>
      <c r="AC2737" s="18" t="n">
        <v>46259</v>
      </c>
      <c r="AD2737" s="18" t="n">
        <f aca="false">EDATE(AC2737,3)-1</f>
        <v>46350</v>
      </c>
      <c r="AE2737" s="45" t="s">
        <v>44</v>
      </c>
    </row>
    <row r="2738" customFormat="false" ht="15" hidden="false" customHeight="true" outlineLevel="0" collapsed="false">
      <c r="A2738" s="12" t="n">
        <v>20876</v>
      </c>
      <c r="B2738" s="13" t="s">
        <v>7692</v>
      </c>
      <c r="C2738" s="16" t="n">
        <v>45926</v>
      </c>
      <c r="D2738" s="13" t="s">
        <v>11620</v>
      </c>
      <c r="E2738" s="13" t="s">
        <v>47</v>
      </c>
      <c r="F2738" s="15" t="str">
        <f aca="false">IFERROR(__xludf.dummyfunction("XLOOKUP(AJ2738,IMPORTRANGE(""1XaInW9DU9nz21V0tYIfzFQ0He9kVQ_JF2mCXgZ3hqFA"",""REKAP ALL 2026 - Andika!G:G""),IMPORTRANGE(""1XaInW9DU9nz21V0tYIfzFQ0He9kVQ_JF2mCXgZ3hqFA"",""REKAP ALL 2026 - Andika!F:F""),"""",0)"),"25157580819")</f>
        <v>25157580819</v>
      </c>
      <c r="G2738" s="13" t="s">
        <v>1127</v>
      </c>
      <c r="H2738" s="13" t="s">
        <v>35</v>
      </c>
      <c r="I2738" s="13" t="str">
        <f aca="false">IF(C2738=J2738,"NEW KONTRAK","RE-KONTRAK")</f>
        <v>NEW KONTRAK</v>
      </c>
      <c r="J2738" s="16" t="n">
        <f aca="false" t="array" ref="J2738:J2738">IFERROR(INDEX(AC2738:AE2738,IF(COUNTA(AC2738:AE2738)=0,"",MAX((AC2738:AE2738&lt;&gt;"")*(COLUMN(AC2738:AE2738)-(COLUMN(AC2738)))))-1),"")</f>
        <v>45926</v>
      </c>
      <c r="K2738" s="16" t="n">
        <f aca="false" t="array" ref="K2738:K2738">IFERROR(INDEX(AC2738:AE2738,IF(COUNTA(AC2738:AE2738)=0,"",MAX((AC2738:AE2738&lt;&gt;"")*(COLUMN(AC2738:AE2738)-(COLUMN(AC2738)-1))))-1),"")</f>
        <v>46106</v>
      </c>
      <c r="L2738" s="17" t="str">
        <f aca="false" t="array" ref="L2738:L2738">IFERROR(INDEX(AC2738:AE2738,IF(COUNTA(AC2738:AE2738)=0,"",MAX((AC2738:AE2738&lt;&gt;"")*(COLUMN(AC2738:AE2738)-(COLUMN(AC2738)-2))))-1),"")</f>
        <v>ARCHIVED</v>
      </c>
      <c r="M2738" s="13" t="n">
        <f aca="true">K2738-TODAY()</f>
        <v>-218</v>
      </c>
      <c r="N2738" s="18" t="s">
        <v>36</v>
      </c>
      <c r="O2738" s="13" t="s">
        <v>11640</v>
      </c>
      <c r="P2738" s="27" t="n">
        <v>199823</v>
      </c>
      <c r="Q2738" s="47" t="s">
        <v>11649</v>
      </c>
      <c r="R2738" s="13" t="s">
        <v>73</v>
      </c>
      <c r="S2738" s="16" t="n">
        <v>35163</v>
      </c>
      <c r="T2738" s="28" t="s">
        <v>40</v>
      </c>
      <c r="U2738" s="13" t="s">
        <v>11650</v>
      </c>
      <c r="V2738" s="13" t="s">
        <v>42</v>
      </c>
      <c r="W2738" s="13" t="s">
        <v>54</v>
      </c>
      <c r="X2738" s="21" t="n">
        <v>85732316751</v>
      </c>
      <c r="Y2738" s="22" t="str">
        <f aca="false">O2738</f>
        <v>IPAL</v>
      </c>
      <c r="Z2738" s="13" t="str">
        <f aca="false">IFERROR(__xludf.dummyfunction("if(BJ2738="""","""",GOOGLETRANSLATE(BJ2738,""auto"",""en""))"),"wastewater treatment plant")</f>
        <v>wastewater treatment plant</v>
      </c>
      <c r="AA2738" s="23" t="str">
        <f aca="false">IF(C2738="","", CHOOSE(MONTH(C2738),"January","February","March","April","May","June","July","August","September","October","November","December")&amp;" "&amp;DAY(C2738)&amp;MID("thstndrdth",MIN(9,2*RIGHT(DAY(C2738))*(MOD(DAY(C2738)-11,100)&gt;2)+1),2)&amp;","&amp;TEXT(C2738," yyyy"))</f>
        <v>September 26th,2025</v>
      </c>
      <c r="AB2738" s="15" t="str">
        <f aca="true">IF(S2738="","",DATEDIF(S2738,TODAY(),"Y")&amp;" Tahun, "&amp;DATEDIF(S2738,TODAY(),"YM")&amp;" Bulan, "&amp;DATEDIF(S2738,TODAY(),"MD")&amp;" Hari")</f>
        <v>30 Tahun, 6 Bulan, 21 Hari</v>
      </c>
      <c r="AC2738" s="18" t="n">
        <v>45926</v>
      </c>
      <c r="AD2738" s="18" t="n">
        <f aca="false">EDATE(AC2738,6)-1</f>
        <v>46106</v>
      </c>
      <c r="AE2738" s="13" t="s">
        <v>44</v>
      </c>
    </row>
    <row r="2739" customFormat="false" ht="15" hidden="false" customHeight="true" outlineLevel="0" collapsed="false">
      <c r="A2739" s="12" t="n">
        <v>20877</v>
      </c>
      <c r="B2739" s="13" t="s">
        <v>11651</v>
      </c>
      <c r="C2739" s="16" t="n">
        <v>45926</v>
      </c>
      <c r="D2739" s="13" t="s">
        <v>11620</v>
      </c>
      <c r="E2739" s="13" t="s">
        <v>33</v>
      </c>
      <c r="F2739" s="24" t="s">
        <v>11652</v>
      </c>
      <c r="G2739" s="13" t="s">
        <v>1127</v>
      </c>
      <c r="H2739" s="13" t="s">
        <v>35</v>
      </c>
      <c r="I2739" s="13" t="str">
        <f aca="false">IF(C2739=J2739,"NEW KONTRAK","RE-KONTRAK")</f>
        <v>NEW KONTRAK</v>
      </c>
      <c r="J2739" s="16" t="n">
        <f aca="false" t="array" ref="J2739:J2739">IFERROR(INDEX(AC2739:AE2739,IF(COUNTA(AC2739:AE2739)=0,"",MAX((AC2739:AE2739&lt;&gt;"")*(COLUMN(AC2739:AE2739)-(COLUMN(AC2739)))))-1),"")</f>
        <v>45926</v>
      </c>
      <c r="K2739" s="16" t="n">
        <f aca="false" t="array" ref="K2739:K2739">IFERROR(INDEX(AC2739:AE2739,IF(COUNTA(AC2739:AE2739)=0,"",MAX((AC2739:AE2739&lt;&gt;"")*(COLUMN(AC2739:AE2739)-(COLUMN(AC2739)-1))))-1),"")</f>
        <v>46106</v>
      </c>
      <c r="L2739" s="17" t="str">
        <f aca="false" t="array" ref="L2739:L2739">IFERROR(INDEX(AC2739:AE2739,IF(COUNTA(AC2739:AE2739)=0,"",MAX((AC2739:AE2739&lt;&gt;"")*(COLUMN(AC2739:AE2739)-(COLUMN(AC2739)-2))))-1),"")</f>
        <v>ARCHIVED</v>
      </c>
      <c r="M2739" s="13" t="n">
        <f aca="true">K2739-TODAY()</f>
        <v>-218</v>
      </c>
      <c r="N2739" s="18" t="s">
        <v>36</v>
      </c>
      <c r="O2739" s="13" t="s">
        <v>785</v>
      </c>
      <c r="P2739" s="27" t="n">
        <v>4500000</v>
      </c>
      <c r="Q2739" s="47" t="s">
        <v>11653</v>
      </c>
      <c r="R2739" s="13" t="s">
        <v>39</v>
      </c>
      <c r="S2739" s="16" t="n">
        <v>34777</v>
      </c>
      <c r="T2739" s="28" t="s">
        <v>40</v>
      </c>
      <c r="U2739" s="13" t="s">
        <v>11654</v>
      </c>
      <c r="V2739" s="13" t="s">
        <v>42</v>
      </c>
      <c r="W2739" s="13" t="s">
        <v>54</v>
      </c>
      <c r="X2739" s="21" t="n">
        <v>895329466727</v>
      </c>
      <c r="Y2739" s="22" t="str">
        <f aca="false">O2739</f>
        <v>Gudang</v>
      </c>
      <c r="Z2739" s="13" t="str">
        <f aca="false">IFERROR(__xludf.dummyfunction("if(BJ2739="""","""",GOOGLETRANSLATE(BJ2739,""auto"",""en""))"),"Warehouse")</f>
        <v>Warehouse</v>
      </c>
      <c r="AA2739" s="23" t="str">
        <f aca="false">IF(C2739="","", CHOOSE(MONTH(C2739),"January","February","March","April","May","June","July","August","September","October","November","December")&amp;" "&amp;DAY(C2739)&amp;MID("thstndrdth",MIN(9,2*RIGHT(DAY(C2739))*(MOD(DAY(C2739)-11,100)&gt;2)+1),2)&amp;","&amp;TEXT(C2739," yyyy"))</f>
        <v>September 26th,2025</v>
      </c>
      <c r="AB2739" s="15" t="str">
        <f aca="true">IF(S2739="","",DATEDIF(S2739,TODAY(),"Y")&amp;" Tahun, "&amp;DATEDIF(S2739,TODAY(),"YM")&amp;" Bulan, "&amp;DATEDIF(S2739,TODAY(),"MD")&amp;" Hari")</f>
        <v>31 Tahun, 7 Bulan, 10 Hari</v>
      </c>
      <c r="AC2739" s="18" t="n">
        <v>45926</v>
      </c>
      <c r="AD2739" s="18" t="n">
        <f aca="false">EDATE(AC2739,6)-1</f>
        <v>46106</v>
      </c>
      <c r="AE2739" s="13" t="s">
        <v>44</v>
      </c>
    </row>
    <row r="2740" customFormat="false" ht="15" hidden="false" customHeight="true" outlineLevel="0" collapsed="false">
      <c r="A2740" s="12" t="n">
        <v>20878</v>
      </c>
      <c r="B2740" s="13" t="s">
        <v>11655</v>
      </c>
      <c r="C2740" s="16" t="n">
        <v>45926</v>
      </c>
      <c r="D2740" s="13" t="s">
        <v>11620</v>
      </c>
      <c r="E2740" s="13" t="s">
        <v>47</v>
      </c>
      <c r="F2740" s="15" t="str">
        <f aca="false">IFERROR(__xludf.dummyfunction("XLOOKUP(AJ2740,IMPORTRANGE(""1XaInW9DU9nz21V0tYIfzFQ0He9kVQ_JF2mCXgZ3hqFA"",""REKAP ALL 2026 - Andika!G:G""),IMPORTRANGE(""1XaInW9DU9nz21V0tYIfzFQ0He9kVQ_JF2mCXgZ3hqFA"",""REKAP ALL 2026 - Andika!F:F""),"""",0)"),"25157580850")</f>
        <v>25157580850</v>
      </c>
      <c r="G2740" s="13" t="s">
        <v>1127</v>
      </c>
      <c r="H2740" s="13" t="s">
        <v>35</v>
      </c>
      <c r="I2740" s="13" t="str">
        <f aca="false">IF(C2740=J2740,"NEW KONTRAK","RE-KONTRAK")</f>
        <v>NEW KONTRAK</v>
      </c>
      <c r="J2740" s="16" t="n">
        <f aca="false" t="array" ref="J2740:J2740">IFERROR(INDEX(AC2740:AE2740,IF(COUNTA(AC2740:AE2740)=0,"",MAX((AC2740:AE2740&lt;&gt;"")*(COLUMN(AC2740:AE2740)-(COLUMN(AC2740)))))-1),"")</f>
        <v>45926</v>
      </c>
      <c r="K2740" s="16" t="n">
        <f aca="false" t="array" ref="K2740:K2740">IFERROR(INDEX(AC2740:AE2740,IF(COUNTA(AC2740:AE2740)=0,"",MAX((AC2740:AE2740&lt;&gt;"")*(COLUMN(AC2740:AE2740)-(COLUMN(AC2740)-1))))-1),"")</f>
        <v>46106</v>
      </c>
      <c r="L2740" s="17" t="str">
        <f aca="false" t="array" ref="L2740:L2740">IFERROR(INDEX(AC2740:AE2740,IF(COUNTA(AC2740:AE2740)=0,"",MAX((AC2740:AE2740&lt;&gt;"")*(COLUMN(AC2740:AE2740)-(COLUMN(AC2740)-2))))-1),"")</f>
        <v>ARCHIVED</v>
      </c>
      <c r="M2740" s="13" t="n">
        <f aca="true">K2740-TODAY()</f>
        <v>-218</v>
      </c>
      <c r="N2740" s="18" t="s">
        <v>36</v>
      </c>
      <c r="O2740" s="13" t="s">
        <v>624</v>
      </c>
      <c r="P2740" s="27" t="n">
        <v>199823</v>
      </c>
      <c r="Q2740" s="47" t="s">
        <v>11656</v>
      </c>
      <c r="R2740" s="13" t="s">
        <v>65</v>
      </c>
      <c r="S2740" s="16" t="n">
        <v>34525</v>
      </c>
      <c r="T2740" s="28" t="s">
        <v>40</v>
      </c>
      <c r="U2740" s="13" t="s">
        <v>11657</v>
      </c>
      <c r="V2740" s="13" t="s">
        <v>42</v>
      </c>
      <c r="W2740" s="13" t="s">
        <v>43</v>
      </c>
      <c r="X2740" s="21" t="n">
        <v>85755801284</v>
      </c>
      <c r="Y2740" s="22" t="str">
        <f aca="false">O2740</f>
        <v>Quality Control</v>
      </c>
      <c r="Z2740" s="13" t="str">
        <f aca="false">IFERROR(__xludf.dummyfunction("if(BJ2740="""","""",GOOGLETRANSLATE(BJ2740,""auto"",""en""))"),"Quality Control")</f>
        <v>Quality Control</v>
      </c>
      <c r="AA2740" s="23" t="str">
        <f aca="false">IF(C2740="","", CHOOSE(MONTH(C2740),"January","February","March","April","May","June","July","August","September","October","November","December")&amp;" "&amp;DAY(C2740)&amp;MID("thstndrdth",MIN(9,2*RIGHT(DAY(C2740))*(MOD(DAY(C2740)-11,100)&gt;2)+1),2)&amp;","&amp;TEXT(C2740," yyyy"))</f>
        <v>September 26th,2025</v>
      </c>
      <c r="AB2740" s="15" t="str">
        <f aca="true">IF(S2740="","",DATEDIF(S2740,TODAY(),"Y")&amp;" Tahun, "&amp;DATEDIF(S2740,TODAY(),"YM")&amp;" Bulan, "&amp;DATEDIF(S2740,TODAY(),"MD")&amp;" Hari")</f>
        <v>32 Tahun, 3 Bulan, 19 Hari</v>
      </c>
      <c r="AC2740" s="18" t="n">
        <v>45926</v>
      </c>
      <c r="AD2740" s="18" t="n">
        <f aca="false">EDATE(AC2740,6)-1</f>
        <v>46106</v>
      </c>
      <c r="AE2740" s="13" t="s">
        <v>44</v>
      </c>
    </row>
    <row r="2741" customFormat="false" ht="15" hidden="false" customHeight="true" outlineLevel="0" collapsed="false">
      <c r="A2741" s="12" t="n">
        <v>20879</v>
      </c>
      <c r="B2741" s="13" t="s">
        <v>11658</v>
      </c>
      <c r="C2741" s="16" t="n">
        <v>45926</v>
      </c>
      <c r="D2741" s="13" t="s">
        <v>11620</v>
      </c>
      <c r="E2741" s="13" t="s">
        <v>47</v>
      </c>
      <c r="F2741" s="15" t="str">
        <f aca="false">IFERROR(__xludf.dummyfunction("XLOOKUP(AJ2741,IMPORTRANGE(""1XaInW9DU9nz21V0tYIfzFQ0He9kVQ_JF2mCXgZ3hqFA"",""REKAP ALL 2026 - Andika!G:G""),IMPORTRANGE(""1XaInW9DU9nz21V0tYIfzFQ0He9kVQ_JF2mCXgZ3hqFA"",""REKAP ALL 2026 - Andika!F:F""),"""",0)"),"25157580884")</f>
        <v>25157580884</v>
      </c>
      <c r="G2741" s="13" t="s">
        <v>1127</v>
      </c>
      <c r="H2741" s="13" t="s">
        <v>35</v>
      </c>
      <c r="I2741" s="13" t="str">
        <f aca="false">IF(C2741=J2741,"NEW KONTRAK","RE-KONTRAK")</f>
        <v>NEW KONTRAK</v>
      </c>
      <c r="J2741" s="16" t="n">
        <f aca="false" t="array" ref="J2741:J2741">IFERROR(INDEX(AC2741:AE2741,IF(COUNTA(AC2741:AE2741)=0,"",MAX((AC2741:AE2741&lt;&gt;"")*(COLUMN(AC2741:AE2741)-(COLUMN(AC2741)))))-1),"")</f>
        <v>45926</v>
      </c>
      <c r="K2741" s="16" t="n">
        <f aca="false" t="array" ref="K2741:K2741">IFERROR(INDEX(AC2741:AE2741,IF(COUNTA(AC2741:AE2741)=0,"",MAX((AC2741:AE2741&lt;&gt;"")*(COLUMN(AC2741:AE2741)-(COLUMN(AC2741)-1))))-1),"")</f>
        <v>46106</v>
      </c>
      <c r="L2741" s="17" t="str">
        <f aca="false" t="array" ref="L2741:L2741">IFERROR(INDEX(AC2741:AE2741,IF(COUNTA(AC2741:AE2741)=0,"",MAX((AC2741:AE2741&lt;&gt;"")*(COLUMN(AC2741:AE2741)-(COLUMN(AC2741)-2))))-1),"")</f>
        <v>ARCHIVED</v>
      </c>
      <c r="M2741" s="13" t="n">
        <f aca="true">K2741-TODAY()</f>
        <v>-218</v>
      </c>
      <c r="N2741" s="18" t="s">
        <v>36</v>
      </c>
      <c r="O2741" s="13" t="s">
        <v>11659</v>
      </c>
      <c r="P2741" s="27" t="n">
        <v>199823</v>
      </c>
      <c r="Q2741" s="47" t="s">
        <v>11660</v>
      </c>
      <c r="R2741" s="13" t="s">
        <v>65</v>
      </c>
      <c r="S2741" s="16" t="n">
        <v>36015</v>
      </c>
      <c r="T2741" s="28" t="s">
        <v>40</v>
      </c>
      <c r="U2741" s="13" t="s">
        <v>11661</v>
      </c>
      <c r="V2741" s="13" t="s">
        <v>42</v>
      </c>
      <c r="W2741" s="13" t="s">
        <v>43</v>
      </c>
      <c r="X2741" s="21" t="n">
        <v>85546365317</v>
      </c>
      <c r="Y2741" s="22" t="str">
        <f aca="false">O2741</f>
        <v>Drawing</v>
      </c>
      <c r="Z2741" s="13" t="str">
        <f aca="false">IFERROR(__xludf.dummyfunction("if(BJ2741="""","""",GOOGLETRANSLATE(BJ2741,""auto"",""en""))"),"Drawing")</f>
        <v>Drawing</v>
      </c>
      <c r="AA2741" s="23" t="str">
        <f aca="false">IF(C2741="","", CHOOSE(MONTH(C2741),"January","February","March","April","May","June","July","August","September","October","November","December")&amp;" "&amp;DAY(C2741)&amp;MID("thstndrdth",MIN(9,2*RIGHT(DAY(C2741))*(MOD(DAY(C2741)-11,100)&gt;2)+1),2)&amp;","&amp;TEXT(C2741," yyyy"))</f>
        <v>September 26th,2025</v>
      </c>
      <c r="AB2741" s="15" t="str">
        <f aca="true">IF(S2741="","",DATEDIF(S2741,TODAY(),"Y")&amp;" Tahun, "&amp;DATEDIF(S2741,TODAY(),"YM")&amp;" Bulan, "&amp;DATEDIF(S2741,TODAY(),"MD")&amp;" Hari")</f>
        <v>28 Tahun, 2 Bulan, 21 Hari</v>
      </c>
      <c r="AC2741" s="18" t="n">
        <v>45926</v>
      </c>
      <c r="AD2741" s="18" t="n">
        <f aca="false">EDATE(AC2741,6)-1</f>
        <v>46106</v>
      </c>
      <c r="AE2741" s="13" t="s">
        <v>44</v>
      </c>
    </row>
    <row r="2742" customFormat="false" ht="15" hidden="false" customHeight="true" outlineLevel="0" collapsed="false">
      <c r="A2742" s="12" t="n">
        <v>20881</v>
      </c>
      <c r="B2742" s="13" t="s">
        <v>11662</v>
      </c>
      <c r="C2742" s="16" t="n">
        <v>45926</v>
      </c>
      <c r="D2742" s="13" t="s">
        <v>11620</v>
      </c>
      <c r="E2742" s="13" t="s">
        <v>47</v>
      </c>
      <c r="F2742" s="15" t="str">
        <f aca="false">IFERROR(__xludf.dummyfunction("XLOOKUP(AJ2742,IMPORTRANGE(""1XaInW9DU9nz21V0tYIfzFQ0He9kVQ_JF2mCXgZ3hqFA"",""REKAP ALL 2026 - Andika!G:G""),IMPORTRANGE(""1XaInW9DU9nz21V0tYIfzFQ0He9kVQ_JF2mCXgZ3hqFA"",""REKAP ALL 2026 - Andika!F:F""),"""",0)"),"25157580934")</f>
        <v>25157580934</v>
      </c>
      <c r="G2742" s="13" t="s">
        <v>1127</v>
      </c>
      <c r="H2742" s="13" t="s">
        <v>35</v>
      </c>
      <c r="I2742" s="13" t="str">
        <f aca="false">IF(C2742=J2742,"NEW KONTRAK","RE-KONTRAK")</f>
        <v>NEW KONTRAK</v>
      </c>
      <c r="J2742" s="16" t="n">
        <f aca="false" t="array" ref="J2742:J2742">IFERROR(INDEX(AC2742:AE2742,IF(COUNTA(AC2742:AE2742)=0,"",MAX((AC2742:AE2742&lt;&gt;"")*(COLUMN(AC2742:AE2742)-(COLUMN(AC2742)))))-1),"")</f>
        <v>45926</v>
      </c>
      <c r="K2742" s="16" t="n">
        <f aca="false" t="array" ref="K2742:K2742">IFERROR(INDEX(AC2742:AE2742,IF(COUNTA(AC2742:AE2742)=0,"",MAX((AC2742:AE2742&lt;&gt;"")*(COLUMN(AC2742:AE2742)-(COLUMN(AC2742)-1))))-1),"")</f>
        <v>46106</v>
      </c>
      <c r="L2742" s="17" t="str">
        <f aca="false" t="array" ref="L2742:L2742">IFERROR(INDEX(AC2742:AE2742,IF(COUNTA(AC2742:AE2742)=0,"",MAX((AC2742:AE2742&lt;&gt;"")*(COLUMN(AC2742:AE2742)-(COLUMN(AC2742)-2))))-1),"")</f>
        <v>ARCHIVED</v>
      </c>
      <c r="M2742" s="13" t="n">
        <f aca="true">K2742-TODAY()</f>
        <v>-218</v>
      </c>
      <c r="N2742" s="18" t="s">
        <v>36</v>
      </c>
      <c r="O2742" s="13" t="s">
        <v>11663</v>
      </c>
      <c r="P2742" s="27" t="n">
        <v>199823</v>
      </c>
      <c r="Q2742" s="47" t="s">
        <v>11664</v>
      </c>
      <c r="R2742" s="13" t="s">
        <v>73</v>
      </c>
      <c r="S2742" s="16" t="n">
        <v>32585</v>
      </c>
      <c r="T2742" s="28" t="s">
        <v>40</v>
      </c>
      <c r="U2742" s="13" t="s">
        <v>11665</v>
      </c>
      <c r="V2742" s="13" t="s">
        <v>42</v>
      </c>
      <c r="W2742" s="13" t="s">
        <v>54</v>
      </c>
      <c r="X2742" s="21" t="n">
        <v>85655328777</v>
      </c>
      <c r="Y2742" s="22" t="str">
        <f aca="false">O2742</f>
        <v>PC Strand</v>
      </c>
      <c r="Z2742" s="13" t="str">
        <f aca="false">IFERROR(__xludf.dummyfunction("if(BJ2742="""","""",GOOGLETRANSLATE(BJ2742,""auto"",""en""))"),"PC Strand")</f>
        <v>PC Strand</v>
      </c>
      <c r="AA2742" s="23" t="str">
        <f aca="false">IF(C2742="","", CHOOSE(MONTH(C2742),"January","February","March","April","May","June","July","August","September","October","November","December")&amp;" "&amp;DAY(C2742)&amp;MID("thstndrdth",MIN(9,2*RIGHT(DAY(C2742))*(MOD(DAY(C2742)-11,100)&gt;2)+1),2)&amp;","&amp;TEXT(C2742," yyyy"))</f>
        <v>September 26th,2025</v>
      </c>
      <c r="AB2742" s="15" t="str">
        <f aca="true">IF(S2742="","",DATEDIF(S2742,TODAY(),"Y")&amp;" Tahun, "&amp;DATEDIF(S2742,TODAY(),"YM")&amp;" Bulan, "&amp;DATEDIF(S2742,TODAY(),"MD")&amp;" Hari")</f>
        <v>37 Tahun, 7 Bulan, 11 Hari</v>
      </c>
      <c r="AC2742" s="18" t="n">
        <v>45926</v>
      </c>
      <c r="AD2742" s="18" t="n">
        <f aca="false">EDATE(AC2742,6)-1</f>
        <v>46106</v>
      </c>
      <c r="AE2742" s="13" t="s">
        <v>44</v>
      </c>
    </row>
    <row r="2743" customFormat="false" ht="15" hidden="false" customHeight="true" outlineLevel="0" collapsed="false">
      <c r="A2743" s="12" t="n">
        <v>20882</v>
      </c>
      <c r="B2743" s="13" t="s">
        <v>11666</v>
      </c>
      <c r="C2743" s="16" t="n">
        <v>45926</v>
      </c>
      <c r="D2743" s="13" t="s">
        <v>11620</v>
      </c>
      <c r="E2743" s="13" t="s">
        <v>47</v>
      </c>
      <c r="F2743" s="15" t="str">
        <f aca="false">IFERROR(__xludf.dummyfunction("XLOOKUP(AJ2743,IMPORTRANGE(""1XaInW9DU9nz21V0tYIfzFQ0He9kVQ_JF2mCXgZ3hqFA"",""REKAP ALL 2026 - Andika!G:G""),IMPORTRANGE(""1XaInW9DU9nz21V0tYIfzFQ0He9kVQ_JF2mCXgZ3hqFA"",""REKAP ALL 2026 - Andika!F:F""),"""",0)"),"25157580959")</f>
        <v>25157580959</v>
      </c>
      <c r="G2743" s="13" t="s">
        <v>1127</v>
      </c>
      <c r="H2743" s="13" t="s">
        <v>35</v>
      </c>
      <c r="I2743" s="13" t="str">
        <f aca="false">IF(C2743=J2743,"NEW KONTRAK","RE-KONTRAK")</f>
        <v>NEW KONTRAK</v>
      </c>
      <c r="J2743" s="16" t="n">
        <f aca="false" t="array" ref="J2743:J2743">IFERROR(INDEX(AC2743:AE2743,IF(COUNTA(AC2743:AE2743)=0,"",MAX((AC2743:AE2743&lt;&gt;"")*(COLUMN(AC2743:AE2743)-(COLUMN(AC2743)))))-1),"")</f>
        <v>45926</v>
      </c>
      <c r="K2743" s="16" t="n">
        <f aca="false" t="array" ref="K2743:K2743">IFERROR(INDEX(AC2743:AE2743,IF(COUNTA(AC2743:AE2743)=0,"",MAX((AC2743:AE2743&lt;&gt;"")*(COLUMN(AC2743:AE2743)-(COLUMN(AC2743)-1))))-1),"")</f>
        <v>46106</v>
      </c>
      <c r="L2743" s="17" t="str">
        <f aca="false" t="array" ref="L2743:L2743">IFERROR(INDEX(AC2743:AE2743,IF(COUNTA(AC2743:AE2743)=0,"",MAX((AC2743:AE2743&lt;&gt;"")*(COLUMN(AC2743:AE2743)-(COLUMN(AC2743)-2))))-1),"")</f>
        <v>ARCHIVED</v>
      </c>
      <c r="M2743" s="13" t="n">
        <f aca="true">K2743-TODAY()</f>
        <v>-218</v>
      </c>
      <c r="N2743" s="18" t="s">
        <v>36</v>
      </c>
      <c r="O2743" s="13" t="s">
        <v>298</v>
      </c>
      <c r="P2743" s="27" t="n">
        <v>199823</v>
      </c>
      <c r="Q2743" s="47" t="s">
        <v>11667</v>
      </c>
      <c r="R2743" s="13" t="s">
        <v>39</v>
      </c>
      <c r="S2743" s="16" t="n">
        <v>33443</v>
      </c>
      <c r="T2743" s="28" t="s">
        <v>40</v>
      </c>
      <c r="U2743" s="13" t="s">
        <v>11668</v>
      </c>
      <c r="V2743" s="28" t="s">
        <v>42</v>
      </c>
      <c r="W2743" s="28" t="s">
        <v>54</v>
      </c>
      <c r="X2743" s="21" t="n">
        <v>85732539300</v>
      </c>
      <c r="Y2743" s="22" t="str">
        <f aca="false">O2743</f>
        <v>Maintenance</v>
      </c>
      <c r="Z2743" s="13" t="str">
        <f aca="false">IFERROR(__xludf.dummyfunction("if(BJ2743="""","""",GOOGLETRANSLATE(BJ2743,""auto"",""en""))"),"Maintenance")</f>
        <v>Maintenance</v>
      </c>
      <c r="AA2743" s="23" t="str">
        <f aca="false">IF(C2743="","", CHOOSE(MONTH(C2743),"January","February","March","April","May","June","July","August","September","October","November","December")&amp;" "&amp;DAY(C2743)&amp;MID("thstndrdth",MIN(9,2*RIGHT(DAY(C2743))*(MOD(DAY(C2743)-11,100)&gt;2)+1),2)&amp;","&amp;TEXT(C2743," yyyy"))</f>
        <v>September 26th,2025</v>
      </c>
      <c r="AB2743" s="15" t="str">
        <f aca="true">IF(S2743="","",DATEDIF(S2743,TODAY(),"Y")&amp;" Tahun, "&amp;DATEDIF(S2743,TODAY(),"YM")&amp;" Bulan, "&amp;DATEDIF(S2743,TODAY(),"MD")&amp;" Hari")</f>
        <v>35 Tahun, 3 Bulan, 5 Hari</v>
      </c>
      <c r="AC2743" s="18" t="n">
        <v>45926</v>
      </c>
      <c r="AD2743" s="18" t="n">
        <f aca="false">EDATE(AC2743,6)-1</f>
        <v>46106</v>
      </c>
      <c r="AE2743" s="13" t="s">
        <v>44</v>
      </c>
    </row>
    <row r="2744" customFormat="false" ht="15" hidden="false" customHeight="true" outlineLevel="0" collapsed="false">
      <c r="A2744" s="12" t="n">
        <v>20884</v>
      </c>
      <c r="B2744" s="13" t="s">
        <v>11669</v>
      </c>
      <c r="C2744" s="16" t="n">
        <v>45926</v>
      </c>
      <c r="D2744" s="13" t="s">
        <v>11620</v>
      </c>
      <c r="E2744" s="13" t="s">
        <v>102</v>
      </c>
      <c r="F2744" s="24" t="s">
        <v>11670</v>
      </c>
      <c r="G2744" s="13" t="s">
        <v>1127</v>
      </c>
      <c r="H2744" s="13" t="s">
        <v>35</v>
      </c>
      <c r="I2744" s="13" t="str">
        <f aca="false">IF(C2744=J2744,"NEW KONTRAK","RE-KONTRAK")</f>
        <v>NEW KONTRAK</v>
      </c>
      <c r="J2744" s="16" t="n">
        <f aca="false" t="array" ref="J2744:J2744">IFERROR(INDEX(AC2744:AE2744,IF(COUNTA(AC2744:AE2744)=0,"",MAX((AC2744:AE2744&lt;&gt;"")*(COLUMN(AC2744:AE2744)-(COLUMN(AC2744)))))-1),"")</f>
        <v>45926</v>
      </c>
      <c r="K2744" s="16" t="n">
        <f aca="false" t="array" ref="K2744:K2744">IFERROR(INDEX(AC2744:AE2744,IF(COUNTA(AC2744:AE2744)=0,"",MAX((AC2744:AE2744&lt;&gt;"")*(COLUMN(AC2744:AE2744)-(COLUMN(AC2744)-1))))-1),"")</f>
        <v>46106</v>
      </c>
      <c r="L2744" s="17" t="str">
        <f aca="false" t="array" ref="L2744:L2744">IFERROR(INDEX(AC2744:AE2744,IF(COUNTA(AC2744:AE2744)=0,"",MAX((AC2744:AE2744&lt;&gt;"")*(COLUMN(AC2744:AE2744)-(COLUMN(AC2744)-2))))-1),"")</f>
        <v>ARCHIVED</v>
      </c>
      <c r="M2744" s="13" t="n">
        <f aca="true">K2744-TODAY()</f>
        <v>-218</v>
      </c>
      <c r="N2744" s="18" t="s">
        <v>36</v>
      </c>
      <c r="O2744" s="13" t="s">
        <v>298</v>
      </c>
      <c r="P2744" s="27" t="n">
        <v>199823</v>
      </c>
      <c r="Q2744" s="47" t="s">
        <v>11671</v>
      </c>
      <c r="R2744" s="13" t="s">
        <v>39</v>
      </c>
      <c r="S2744" s="16" t="n">
        <v>34049</v>
      </c>
      <c r="T2744" s="28" t="s">
        <v>40</v>
      </c>
      <c r="U2744" s="13" t="s">
        <v>11672</v>
      </c>
      <c r="V2744" s="13" t="s">
        <v>42</v>
      </c>
      <c r="W2744" s="13" t="s">
        <v>54</v>
      </c>
      <c r="X2744" s="21" t="n">
        <v>81238003663</v>
      </c>
      <c r="Y2744" s="22" t="str">
        <f aca="false">O2744</f>
        <v>Maintenance</v>
      </c>
      <c r="Z2744" s="13" t="str">
        <f aca="false">IFERROR(__xludf.dummyfunction("if(BJ2744="""","""",GOOGLETRANSLATE(BJ2744,""auto"",""en""))"),"Maintenance")</f>
        <v>Maintenance</v>
      </c>
      <c r="AA2744" s="23" t="str">
        <f aca="false">IF(C2744="","", CHOOSE(MONTH(C2744),"January","February","March","April","May","June","July","August","September","October","November","December")&amp;" "&amp;DAY(C2744)&amp;MID("thstndrdth",MIN(9,2*RIGHT(DAY(C2744))*(MOD(DAY(C2744)-11,100)&gt;2)+1),2)&amp;","&amp;TEXT(C2744," yyyy"))</f>
        <v>September 26th,2025</v>
      </c>
      <c r="AB2744" s="15" t="str">
        <f aca="true">IF(S2744="","",DATEDIF(S2744,TODAY(),"Y")&amp;" Tahun, "&amp;DATEDIF(S2744,TODAY(),"YM")&amp;" Bulan, "&amp;DATEDIF(S2744,TODAY(),"MD")&amp;" Hari")</f>
        <v>33 Tahun, 7 Bulan, 8 Hari</v>
      </c>
      <c r="AC2744" s="18" t="n">
        <v>45926</v>
      </c>
      <c r="AD2744" s="18" t="n">
        <f aca="false">EDATE(AC2744,6)-1</f>
        <v>46106</v>
      </c>
      <c r="AE2744" s="13" t="s">
        <v>44</v>
      </c>
    </row>
    <row r="2745" customFormat="false" ht="15" hidden="false" customHeight="true" outlineLevel="0" collapsed="false">
      <c r="A2745" s="12" t="n">
        <v>20885</v>
      </c>
      <c r="B2745" s="13" t="s">
        <v>11673</v>
      </c>
      <c r="C2745" s="16" t="n">
        <v>45926</v>
      </c>
      <c r="D2745" s="13" t="s">
        <v>11620</v>
      </c>
      <c r="E2745" s="13" t="s">
        <v>47</v>
      </c>
      <c r="F2745" s="15" t="str">
        <f aca="false">IFERROR(__xludf.dummyfunction("XLOOKUP(AJ2745,IMPORTRANGE(""1XaInW9DU9nz21V0tYIfzFQ0He9kVQ_JF2mCXgZ3hqFA"",""REKAP ALL 2026 - Andika!G:G""),IMPORTRANGE(""1XaInW9DU9nz21V0tYIfzFQ0He9kVQ_JF2mCXgZ3hqFA"",""REKAP ALL 2026 - Andika!F:F""),"""",0)"),"25157581015")</f>
        <v>25157581015</v>
      </c>
      <c r="G2745" s="13" t="s">
        <v>1127</v>
      </c>
      <c r="H2745" s="13" t="s">
        <v>35</v>
      </c>
      <c r="I2745" s="13" t="str">
        <f aca="false">IF(C2745=J2745,"NEW KONTRAK","RE-KONTRAK")</f>
        <v>NEW KONTRAK</v>
      </c>
      <c r="J2745" s="16" t="n">
        <f aca="false" t="array" ref="J2745:J2745">IFERROR(INDEX(AC2745:AE2745,IF(COUNTA(AC2745:AE2745)=0,"",MAX((AC2745:AE2745&lt;&gt;"")*(COLUMN(AC2745:AE2745)-(COLUMN(AC2745)))))-1),"")</f>
        <v>45926</v>
      </c>
      <c r="K2745" s="16" t="n">
        <f aca="false" t="array" ref="K2745:K2745">IFERROR(INDEX(AC2745:AE2745,IF(COUNTA(AC2745:AE2745)=0,"",MAX((AC2745:AE2745&lt;&gt;"")*(COLUMN(AC2745:AE2745)-(COLUMN(AC2745)-1))))-1),"")</f>
        <v>46106</v>
      </c>
      <c r="L2745" s="17" t="str">
        <f aca="false" t="array" ref="L2745:L2745">IFERROR(INDEX(AC2745:AE2745,IF(COUNTA(AC2745:AE2745)=0,"",MAX((AC2745:AE2745&lt;&gt;"")*(COLUMN(AC2745:AE2745)-(COLUMN(AC2745)-2))))-1),"")</f>
        <v>KEMBALI</v>
      </c>
      <c r="M2745" s="13" t="n">
        <f aca="true">K2745-TODAY()</f>
        <v>-218</v>
      </c>
      <c r="N2745" s="18" t="s">
        <v>36</v>
      </c>
      <c r="O2745" s="13" t="s">
        <v>11629</v>
      </c>
      <c r="P2745" s="27" t="n">
        <v>199823</v>
      </c>
      <c r="Q2745" s="47" t="s">
        <v>11674</v>
      </c>
      <c r="R2745" s="13" t="s">
        <v>65</v>
      </c>
      <c r="S2745" s="16" t="n">
        <v>36516</v>
      </c>
      <c r="T2745" s="28" t="s">
        <v>40</v>
      </c>
      <c r="U2745" s="13" t="s">
        <v>11675</v>
      </c>
      <c r="V2745" s="13" t="s">
        <v>42</v>
      </c>
      <c r="W2745" s="13" t="s">
        <v>54</v>
      </c>
      <c r="X2745" s="21" t="n">
        <v>83190737407</v>
      </c>
      <c r="Y2745" s="22" t="str">
        <f aca="false">O2745</f>
        <v>Tubular</v>
      </c>
      <c r="Z2745" s="13" t="str">
        <f aca="false">IFERROR(__xludf.dummyfunction("if(BJ2745="""","""",GOOGLETRANSLATE(BJ2745,""auto"",""en""))"),"Tubular")</f>
        <v>Tubular</v>
      </c>
      <c r="AA2745" s="23" t="str">
        <f aca="false">IF(C2745="","", CHOOSE(MONTH(C2745),"January","February","March","April","May","June","July","August","September","October","November","December")&amp;" "&amp;DAY(C2745)&amp;MID("thstndrdth",MIN(9,2*RIGHT(DAY(C2745))*(MOD(DAY(C2745)-11,100)&gt;2)+1),2)&amp;","&amp;TEXT(C2745," yyyy"))</f>
        <v>September 26th,2025</v>
      </c>
      <c r="AB2745" s="15" t="str">
        <f aca="true">IF(S2745="","",DATEDIF(S2745,TODAY(),"Y")&amp;" Tahun, "&amp;DATEDIF(S2745,TODAY(),"YM")&amp;" Bulan, "&amp;DATEDIF(S2745,TODAY(),"MD")&amp;" Hari")</f>
        <v>26 Tahun, 10 Bulan, 7 Hari</v>
      </c>
      <c r="AC2745" s="18" t="n">
        <v>45926</v>
      </c>
      <c r="AD2745" s="18" t="n">
        <f aca="false">EDATE(AC2745,6)-1</f>
        <v>46106</v>
      </c>
      <c r="AE2745" s="13" t="s">
        <v>397</v>
      </c>
    </row>
    <row r="2746" customFormat="false" ht="15" hidden="false" customHeight="true" outlineLevel="0" collapsed="false">
      <c r="A2746" s="12" t="n">
        <v>20886</v>
      </c>
      <c r="B2746" s="13" t="s">
        <v>11676</v>
      </c>
      <c r="C2746" s="16" t="n">
        <v>45926</v>
      </c>
      <c r="D2746" s="13" t="s">
        <v>11620</v>
      </c>
      <c r="E2746" s="13" t="s">
        <v>47</v>
      </c>
      <c r="F2746" s="15" t="str">
        <f aca="false">IFERROR(__xludf.dummyfunction("XLOOKUP(AJ2746,IMPORTRANGE(""1XaInW9DU9nz21V0tYIfzFQ0He9kVQ_JF2mCXgZ3hqFA"",""REKAP ALL 2026 - Andika!G:G""),IMPORTRANGE(""1XaInW9DU9nz21V0tYIfzFQ0He9kVQ_JF2mCXgZ3hqFA"",""REKAP ALL 2026 - Andika!F:F""),"""",0)"),"25157581031")</f>
        <v>25157581031</v>
      </c>
      <c r="G2746" s="13" t="s">
        <v>1127</v>
      </c>
      <c r="H2746" s="13" t="s">
        <v>35</v>
      </c>
      <c r="I2746" s="13" t="str">
        <f aca="false">IF(C2746=J2746,"NEW KONTRAK","RE-KONTRAK")</f>
        <v>NEW KONTRAK</v>
      </c>
      <c r="J2746" s="16" t="n">
        <f aca="false" t="array" ref="J2746:J2746">IFERROR(INDEX(AC2746:AE2746,IF(COUNTA(AC2746:AE2746)=0,"",MAX((AC2746:AE2746&lt;&gt;"")*(COLUMN(AC2746:AE2746)-(COLUMN(AC2746)))))-1),"")</f>
        <v>45926</v>
      </c>
      <c r="K2746" s="16" t="n">
        <f aca="false" t="array" ref="K2746:K2746">IFERROR(INDEX(AC2746:AE2746,IF(COUNTA(AC2746:AE2746)=0,"",MAX((AC2746:AE2746&lt;&gt;"")*(COLUMN(AC2746:AE2746)-(COLUMN(AC2746)-1))))-1),"")</f>
        <v>46106</v>
      </c>
      <c r="L2746" s="17" t="str">
        <f aca="false" t="array" ref="L2746:L2746">IFERROR(INDEX(AC2746:AE2746,IF(COUNTA(AC2746:AE2746)=0,"",MAX((AC2746:AE2746&lt;&gt;"")*(COLUMN(AC2746:AE2746)-(COLUMN(AC2746)-2))))-1),"")</f>
        <v>ARCHIVED</v>
      </c>
      <c r="M2746" s="13" t="n">
        <f aca="true">K2746-TODAY()</f>
        <v>-218</v>
      </c>
      <c r="N2746" s="18" t="s">
        <v>36</v>
      </c>
      <c r="O2746" s="13" t="s">
        <v>624</v>
      </c>
      <c r="P2746" s="27" t="n">
        <v>199823</v>
      </c>
      <c r="Q2746" s="47" t="s">
        <v>11677</v>
      </c>
      <c r="R2746" s="13" t="s">
        <v>39</v>
      </c>
      <c r="S2746" s="16" t="n">
        <v>30914</v>
      </c>
      <c r="T2746" s="28" t="s">
        <v>40</v>
      </c>
      <c r="U2746" s="13" t="s">
        <v>9175</v>
      </c>
      <c r="V2746" s="28" t="s">
        <v>42</v>
      </c>
      <c r="W2746" s="28" t="s">
        <v>54</v>
      </c>
      <c r="X2746" s="21" t="n">
        <v>81554077785</v>
      </c>
      <c r="Y2746" s="22" t="str">
        <f aca="false">O2746</f>
        <v>Quality Control</v>
      </c>
      <c r="Z2746" s="13" t="str">
        <f aca="false">IFERROR(__xludf.dummyfunction("if(BJ2746="""","""",GOOGLETRANSLATE(BJ2746,""auto"",""en""))"),"Quality Control")</f>
        <v>Quality Control</v>
      </c>
      <c r="AA2746" s="23" t="str">
        <f aca="false">IF(C2746="","", CHOOSE(MONTH(C2746),"January","February","March","April","May","June","July","August","September","October","November","December")&amp;" "&amp;DAY(C2746)&amp;MID("thstndrdth",MIN(9,2*RIGHT(DAY(C2746))*(MOD(DAY(C2746)-11,100)&gt;2)+1),2)&amp;","&amp;TEXT(C2746," yyyy"))</f>
        <v>September 26th,2025</v>
      </c>
      <c r="AB2746" s="15" t="str">
        <f aca="true">IF(S2746="","",DATEDIF(S2746,TODAY(),"Y")&amp;" Tahun, "&amp;DATEDIF(S2746,TODAY(),"YM")&amp;" Bulan, "&amp;DATEDIF(S2746,TODAY(),"MD")&amp;" Hari")</f>
        <v>42 Tahun, 2 Bulan, 9 Hari</v>
      </c>
      <c r="AC2746" s="18" t="n">
        <v>45926</v>
      </c>
      <c r="AD2746" s="18" t="n">
        <f aca="false">EDATE(AC2746,6)-1</f>
        <v>46106</v>
      </c>
      <c r="AE2746" s="13" t="s">
        <v>44</v>
      </c>
    </row>
    <row r="2747" customFormat="false" ht="15" hidden="false" customHeight="true" outlineLevel="0" collapsed="false">
      <c r="A2747" s="12" t="n">
        <v>20887</v>
      </c>
      <c r="B2747" s="13" t="s">
        <v>11678</v>
      </c>
      <c r="C2747" s="16" t="n">
        <v>45926</v>
      </c>
      <c r="D2747" s="13" t="s">
        <v>11620</v>
      </c>
      <c r="E2747" s="13" t="s">
        <v>102</v>
      </c>
      <c r="F2747" s="24" t="s">
        <v>11679</v>
      </c>
      <c r="G2747" s="13" t="s">
        <v>1127</v>
      </c>
      <c r="H2747" s="13" t="s">
        <v>35</v>
      </c>
      <c r="I2747" s="13" t="str">
        <f aca="false">IF(C2747=J2747,"NEW KONTRAK","RE-KONTRAK")</f>
        <v>NEW KONTRAK</v>
      </c>
      <c r="J2747" s="16" t="n">
        <f aca="false" t="array" ref="J2747:J2747">IFERROR(INDEX(AC2747:AE2747,IF(COUNTA(AC2747:AE2747)=0,"",MAX((AC2747:AE2747&lt;&gt;"")*(COLUMN(AC2747:AE2747)-(COLUMN(AC2747)))))-1),"")</f>
        <v>45926</v>
      </c>
      <c r="K2747" s="16" t="n">
        <f aca="false" t="array" ref="K2747:K2747">IFERROR(INDEX(AC2747:AE2747,IF(COUNTA(AC2747:AE2747)=0,"",MAX((AC2747:AE2747&lt;&gt;"")*(COLUMN(AC2747:AE2747)-(COLUMN(AC2747)-1))))-1),"")</f>
        <v>46106</v>
      </c>
      <c r="L2747" s="17" t="str">
        <f aca="false" t="array" ref="L2747:L2747">IFERROR(INDEX(AC2747:AE2747,IF(COUNTA(AC2747:AE2747)=0,"",MAX((AC2747:AE2747&lt;&gt;"")*(COLUMN(AC2747:AE2747)-(COLUMN(AC2747)-2))))-1),"")</f>
        <v>ARCHIVED</v>
      </c>
      <c r="M2747" s="13" t="n">
        <f aca="true">K2747-TODAY()</f>
        <v>-218</v>
      </c>
      <c r="N2747" s="18" t="s">
        <v>36</v>
      </c>
      <c r="O2747" s="13" t="s">
        <v>624</v>
      </c>
      <c r="P2747" s="27" t="n">
        <v>199823</v>
      </c>
      <c r="Q2747" s="47" t="s">
        <v>11680</v>
      </c>
      <c r="R2747" s="13" t="s">
        <v>52</v>
      </c>
      <c r="S2747" s="16" t="n">
        <v>34976</v>
      </c>
      <c r="T2747" s="28" t="s">
        <v>40</v>
      </c>
      <c r="U2747" s="13" t="s">
        <v>11681</v>
      </c>
      <c r="V2747" s="13" t="s">
        <v>42</v>
      </c>
      <c r="W2747" s="13" t="s">
        <v>54</v>
      </c>
      <c r="X2747" s="21" t="n">
        <v>83831472054</v>
      </c>
      <c r="Y2747" s="22" t="str">
        <f aca="false">O2747</f>
        <v>Quality Control</v>
      </c>
      <c r="Z2747" s="13" t="str">
        <f aca="false">IFERROR(__xludf.dummyfunction("if(BJ2747="""","""",GOOGLETRANSLATE(BJ2747,""auto"",""en""))"),"Quality Control")</f>
        <v>Quality Control</v>
      </c>
      <c r="AA2747" s="23" t="str">
        <f aca="false">IF(C2747="","", CHOOSE(MONTH(C2747),"January","February","March","April","May","June","July","August","September","October","November","December")&amp;" "&amp;DAY(C2747)&amp;MID("thstndrdth",MIN(9,2*RIGHT(DAY(C2747))*(MOD(DAY(C2747)-11,100)&gt;2)+1),2)&amp;","&amp;TEXT(C2747," yyyy"))</f>
        <v>September 26th,2025</v>
      </c>
      <c r="AB2747" s="15" t="str">
        <f aca="true">IF(S2747="","",DATEDIF(S2747,TODAY(),"Y")&amp;" Tahun, "&amp;DATEDIF(S2747,TODAY(),"YM")&amp;" Bulan, "&amp;DATEDIF(S2747,TODAY(),"MD")&amp;" Hari")</f>
        <v>31 Tahun, 0 Bulan, 25 Hari</v>
      </c>
      <c r="AC2747" s="18" t="n">
        <v>45926</v>
      </c>
      <c r="AD2747" s="18" t="n">
        <f aca="false">EDATE(AC2747,6)-1</f>
        <v>46106</v>
      </c>
      <c r="AE2747" s="13" t="s">
        <v>44</v>
      </c>
    </row>
    <row r="2748" customFormat="false" ht="15" hidden="false" customHeight="true" outlineLevel="0" collapsed="false">
      <c r="A2748" s="12" t="n">
        <v>20888</v>
      </c>
      <c r="B2748" s="13" t="s">
        <v>11682</v>
      </c>
      <c r="C2748" s="16" t="n">
        <v>45926</v>
      </c>
      <c r="D2748" s="13" t="s">
        <v>11620</v>
      </c>
      <c r="E2748" s="13" t="s">
        <v>102</v>
      </c>
      <c r="F2748" s="24" t="s">
        <v>11683</v>
      </c>
      <c r="G2748" s="13" t="s">
        <v>1127</v>
      </c>
      <c r="H2748" s="13" t="s">
        <v>35</v>
      </c>
      <c r="I2748" s="13" t="str">
        <f aca="false">IF(C2748=J2748,"NEW KONTRAK","RE-KONTRAK")</f>
        <v>NEW KONTRAK</v>
      </c>
      <c r="J2748" s="16" t="n">
        <f aca="false" t="array" ref="J2748:J2748">IFERROR(INDEX(AC2748:AE2748,IF(COUNTA(AC2748:AE2748)=0,"",MAX((AC2748:AE2748&lt;&gt;"")*(COLUMN(AC2748:AE2748)-(COLUMN(AC2748)))))-1),"")</f>
        <v>45926</v>
      </c>
      <c r="K2748" s="16" t="n">
        <f aca="false" t="array" ref="K2748:K2748">IFERROR(INDEX(AC2748:AE2748,IF(COUNTA(AC2748:AE2748)=0,"",MAX((AC2748:AE2748&lt;&gt;"")*(COLUMN(AC2748:AE2748)-(COLUMN(AC2748)-1))))-1),"")</f>
        <v>46106</v>
      </c>
      <c r="L2748" s="17" t="str">
        <f aca="false" t="array" ref="L2748:L2748">IFERROR(INDEX(AC2748:AE2748,IF(COUNTA(AC2748:AE2748)=0,"",MAX((AC2748:AE2748&lt;&gt;"")*(COLUMN(AC2748:AE2748)-(COLUMN(AC2748)-2))))-1),"")</f>
        <v>ARCHIVED</v>
      </c>
      <c r="M2748" s="13" t="n">
        <f aca="true">K2748-TODAY()</f>
        <v>-218</v>
      </c>
      <c r="N2748" s="18" t="s">
        <v>36</v>
      </c>
      <c r="O2748" s="13" t="s">
        <v>624</v>
      </c>
      <c r="P2748" s="27" t="n">
        <v>199823</v>
      </c>
      <c r="Q2748" s="47" t="s">
        <v>11684</v>
      </c>
      <c r="R2748" s="13" t="s">
        <v>39</v>
      </c>
      <c r="S2748" s="16" t="n">
        <v>34098</v>
      </c>
      <c r="T2748" s="28" t="s">
        <v>40</v>
      </c>
      <c r="U2748" s="13" t="s">
        <v>11685</v>
      </c>
      <c r="V2748" s="13" t="s">
        <v>42</v>
      </c>
      <c r="W2748" s="13" t="s">
        <v>54</v>
      </c>
      <c r="X2748" s="21" t="n">
        <v>83169978808</v>
      </c>
      <c r="Y2748" s="22" t="str">
        <f aca="false">O2748</f>
        <v>Quality Control</v>
      </c>
      <c r="Z2748" s="13" t="str">
        <f aca="false">IFERROR(__xludf.dummyfunction("if(BJ2748="""","""",GOOGLETRANSLATE(BJ2748,""auto"",""en""))"),"Quality Control")</f>
        <v>Quality Control</v>
      </c>
      <c r="AA2748" s="23" t="str">
        <f aca="false">IF(C2748="","", CHOOSE(MONTH(C2748),"January","February","March","April","May","June","July","August","September","October","November","December")&amp;" "&amp;DAY(C2748)&amp;MID("thstndrdth",MIN(9,2*RIGHT(DAY(C2748))*(MOD(DAY(C2748)-11,100)&gt;2)+1),2)&amp;","&amp;TEXT(C2748," yyyy"))</f>
        <v>September 26th,2025</v>
      </c>
      <c r="AB2748" s="15" t="str">
        <f aca="true">IF(S2748="","",DATEDIF(S2748,TODAY(),"Y")&amp;" Tahun, "&amp;DATEDIF(S2748,TODAY(),"YM")&amp;" Bulan, "&amp;DATEDIF(S2748,TODAY(),"MD")&amp;" Hari")</f>
        <v>33 Tahun, 5 Bulan, 20 Hari</v>
      </c>
      <c r="AC2748" s="18" t="n">
        <v>45926</v>
      </c>
      <c r="AD2748" s="18" t="n">
        <f aca="false">EDATE(AC2748,6)-1</f>
        <v>46106</v>
      </c>
      <c r="AE2748" s="13" t="s">
        <v>44</v>
      </c>
    </row>
    <row r="2749" customFormat="false" ht="15" hidden="false" customHeight="true" outlineLevel="0" collapsed="false">
      <c r="A2749" s="12" t="n">
        <v>20889</v>
      </c>
      <c r="B2749" s="13" t="s">
        <v>11686</v>
      </c>
      <c r="C2749" s="16" t="n">
        <v>45926</v>
      </c>
      <c r="D2749" s="13" t="s">
        <v>11620</v>
      </c>
      <c r="E2749" s="13" t="s">
        <v>47</v>
      </c>
      <c r="F2749" s="15" t="str">
        <f aca="false">IFERROR(__xludf.dummyfunction("XLOOKUP(AJ2749,IMPORTRANGE(""1XaInW9DU9nz21V0tYIfzFQ0He9kVQ_JF2mCXgZ3hqFA"",""REKAP ALL 2026 - Andika!G:G""),IMPORTRANGE(""1XaInW9DU9nz21V0tYIfzFQ0He9kVQ_JF2mCXgZ3hqFA"",""REKAP ALL 2026 - Andika!F:F""),"""",0)"),"25157581098")</f>
        <v>25157581098</v>
      </c>
      <c r="G2749" s="13" t="s">
        <v>1127</v>
      </c>
      <c r="H2749" s="13" t="s">
        <v>35</v>
      </c>
      <c r="I2749" s="13" t="str">
        <f aca="false">IF(C2749=J2749,"NEW KONTRAK","RE-KONTRAK")</f>
        <v>NEW KONTRAK</v>
      </c>
      <c r="J2749" s="16" t="n">
        <f aca="false" t="array" ref="J2749:J2749">IFERROR(INDEX(AC2749:AE2749,IF(COUNTA(AC2749:AE2749)=0,"",MAX((AC2749:AE2749&lt;&gt;"")*(COLUMN(AC2749:AE2749)-(COLUMN(AC2749)))))-1),"")</f>
        <v>45926</v>
      </c>
      <c r="K2749" s="16" t="n">
        <f aca="false" t="array" ref="K2749:K2749">IFERROR(INDEX(AC2749:AE2749,IF(COUNTA(AC2749:AE2749)=0,"",MAX((AC2749:AE2749&lt;&gt;"")*(COLUMN(AC2749:AE2749)-(COLUMN(AC2749)-1))))-1),"")</f>
        <v>46106</v>
      </c>
      <c r="L2749" s="17" t="str">
        <f aca="false" t="array" ref="L2749:L2749">IFERROR(INDEX(AC2749:AE2749,IF(COUNTA(AC2749:AE2749)=0,"",MAX((AC2749:AE2749&lt;&gt;"")*(COLUMN(AC2749:AE2749)-(COLUMN(AC2749)-2))))-1),"")</f>
        <v>ARCHIVED</v>
      </c>
      <c r="M2749" s="13" t="n">
        <f aca="true">K2749-TODAY()</f>
        <v>-218</v>
      </c>
      <c r="N2749" s="18" t="s">
        <v>36</v>
      </c>
      <c r="O2749" s="13" t="s">
        <v>624</v>
      </c>
      <c r="P2749" s="27" t="n">
        <v>199823</v>
      </c>
      <c r="Q2749" s="47" t="s">
        <v>11687</v>
      </c>
      <c r="R2749" s="13" t="s">
        <v>73</v>
      </c>
      <c r="S2749" s="16" t="n">
        <v>33742</v>
      </c>
      <c r="T2749" s="28" t="s">
        <v>40</v>
      </c>
      <c r="U2749" s="13" t="s">
        <v>11688</v>
      </c>
      <c r="V2749" s="13" t="s">
        <v>42</v>
      </c>
      <c r="W2749" s="13" t="s">
        <v>54</v>
      </c>
      <c r="X2749" s="21" t="n">
        <v>85746507646</v>
      </c>
      <c r="Y2749" s="22" t="str">
        <f aca="false">O2749</f>
        <v>Quality Control</v>
      </c>
      <c r="Z2749" s="13" t="str">
        <f aca="false">IFERROR(__xludf.dummyfunction("if(BJ2749="""","""",GOOGLETRANSLATE(BJ2749,""auto"",""en""))"),"Quality Control")</f>
        <v>Quality Control</v>
      </c>
      <c r="AA2749" s="23" t="str">
        <f aca="false">IF(C2749="","", CHOOSE(MONTH(C2749),"January","February","March","April","May","June","July","August","September","October","November","December")&amp;" "&amp;DAY(C2749)&amp;MID("thstndrdth",MIN(9,2*RIGHT(DAY(C2749))*(MOD(DAY(C2749)-11,100)&gt;2)+1),2)&amp;","&amp;TEXT(C2749," yyyy"))</f>
        <v>September 26th,2025</v>
      </c>
      <c r="AB2749" s="15" t="str">
        <f aca="true">IF(S2749="","",DATEDIF(S2749,TODAY(),"Y")&amp;" Tahun, "&amp;DATEDIF(S2749,TODAY(),"YM")&amp;" Bulan, "&amp;DATEDIF(S2749,TODAY(),"MD")&amp;" Hari")</f>
        <v>34 Tahun, 5 Bulan, 11 Hari</v>
      </c>
      <c r="AC2749" s="18" t="n">
        <v>45926</v>
      </c>
      <c r="AD2749" s="18" t="n">
        <f aca="false">EDATE(AC2749,6)-1</f>
        <v>46106</v>
      </c>
      <c r="AE2749" s="13" t="s">
        <v>44</v>
      </c>
    </row>
    <row r="2750" customFormat="false" ht="15" hidden="false" customHeight="true" outlineLevel="0" collapsed="false">
      <c r="A2750" s="12" t="n">
        <v>20890</v>
      </c>
      <c r="B2750" s="13" t="s">
        <v>11689</v>
      </c>
      <c r="C2750" s="16" t="n">
        <v>45926</v>
      </c>
      <c r="D2750" s="13" t="s">
        <v>11620</v>
      </c>
      <c r="E2750" s="13" t="s">
        <v>102</v>
      </c>
      <c r="F2750" s="15" t="str">
        <f aca="false">IFERROR(__xludf.dummyfunction("XLOOKUP(AJ2750,IMPORTRANGE(""1XaInW9DU9nz21V0tYIfzFQ0He9kVQ_JF2mCXgZ3hqFA"",""REKAP ALL 2026 - Andika!G:G""),IMPORTRANGE(""1XaInW9DU9nz21V0tYIfzFQ0He9kVQ_JF2mCXgZ3hqFA"",""REKAP ALL 2026 - Andika!F:F""),"""",0)"),"25157581114")</f>
        <v>25157581114</v>
      </c>
      <c r="G2750" s="13" t="s">
        <v>1127</v>
      </c>
      <c r="H2750" s="13" t="s">
        <v>35</v>
      </c>
      <c r="I2750" s="13" t="str">
        <f aca="false">IF(C2750=J2750,"NEW KONTRAK","RE-KONTRAK")</f>
        <v>NEW KONTRAK</v>
      </c>
      <c r="J2750" s="16" t="n">
        <f aca="false" t="array" ref="J2750:J2750">IFERROR(INDEX(AC2750:AE2750,IF(COUNTA(AC2750:AE2750)=0,"",MAX((AC2750:AE2750&lt;&gt;"")*(COLUMN(AC2750:AE2750)-(COLUMN(AC2750)))))-1),"")</f>
        <v>45926</v>
      </c>
      <c r="K2750" s="16" t="n">
        <f aca="false" t="array" ref="K2750:K2750">IFERROR(INDEX(AC2750:AE2750,IF(COUNTA(AC2750:AE2750)=0,"",MAX((AC2750:AE2750&lt;&gt;"")*(COLUMN(AC2750:AE2750)-(COLUMN(AC2750)-1))))-1),"")</f>
        <v>46106</v>
      </c>
      <c r="L2750" s="17" t="str">
        <f aca="false" t="array" ref="L2750:L2750">IFERROR(INDEX(AC2750:AE2750,IF(COUNTA(AC2750:AE2750)=0,"",MAX((AC2750:AE2750&lt;&gt;"")*(COLUMN(AC2750:AE2750)-(COLUMN(AC2750)-2))))-1),"")</f>
        <v>ARCHIVED</v>
      </c>
      <c r="M2750" s="13" t="n">
        <f aca="true">K2750-TODAY()</f>
        <v>-218</v>
      </c>
      <c r="N2750" s="18" t="s">
        <v>36</v>
      </c>
      <c r="O2750" s="13" t="s">
        <v>11629</v>
      </c>
      <c r="P2750" s="27" t="n">
        <v>199823</v>
      </c>
      <c r="Q2750" s="47" t="s">
        <v>11690</v>
      </c>
      <c r="R2750" s="13" t="s">
        <v>65</v>
      </c>
      <c r="S2750" s="16" t="n">
        <v>29074</v>
      </c>
      <c r="T2750" s="28" t="s">
        <v>40</v>
      </c>
      <c r="U2750" s="13" t="s">
        <v>11691</v>
      </c>
      <c r="V2750" s="13" t="s">
        <v>42</v>
      </c>
      <c r="W2750" s="13" t="s">
        <v>54</v>
      </c>
      <c r="X2750" s="21" t="n">
        <v>88235513292</v>
      </c>
      <c r="Y2750" s="22" t="str">
        <f aca="false">O2750</f>
        <v>Tubular</v>
      </c>
      <c r="Z2750" s="13" t="str">
        <f aca="false">IFERROR(__xludf.dummyfunction("if(BJ2750="""","""",GOOGLETRANSLATE(BJ2750,""auto"",""en""))"),"Tubular")</f>
        <v>Tubular</v>
      </c>
      <c r="AA2750" s="23" t="str">
        <f aca="false">IF(C2750="","", CHOOSE(MONTH(C2750),"January","February","March","April","May","June","July","August","September","October","November","December")&amp;" "&amp;DAY(C2750)&amp;MID("thstndrdth",MIN(9,2*RIGHT(DAY(C2750))*(MOD(DAY(C2750)-11,100)&gt;2)+1),2)&amp;","&amp;TEXT(C2750," yyyy"))</f>
        <v>September 26th,2025</v>
      </c>
      <c r="AB2750" s="15" t="str">
        <f aca="true">IF(S2750="","",DATEDIF(S2750,TODAY(),"Y")&amp;" Tahun, "&amp;DATEDIF(S2750,TODAY(),"YM")&amp;" Bulan, "&amp;DATEDIF(S2750,TODAY(),"MD")&amp;" Hari")</f>
        <v>47 Tahun, 2 Bulan, 22 Hari</v>
      </c>
      <c r="AC2750" s="18" t="n">
        <v>45926</v>
      </c>
      <c r="AD2750" s="18" t="n">
        <f aca="false">EDATE(AC2750,6)-1</f>
        <v>46106</v>
      </c>
      <c r="AE2750" s="13" t="s">
        <v>44</v>
      </c>
    </row>
    <row r="2751" customFormat="false" ht="15" hidden="false" customHeight="true" outlineLevel="0" collapsed="false">
      <c r="A2751" s="12" t="n">
        <v>20891</v>
      </c>
      <c r="B2751" s="13" t="s">
        <v>11692</v>
      </c>
      <c r="C2751" s="16" t="n">
        <v>45926</v>
      </c>
      <c r="D2751" s="13" t="s">
        <v>11620</v>
      </c>
      <c r="E2751" s="13" t="s">
        <v>47</v>
      </c>
      <c r="F2751" s="15" t="str">
        <f aca="false">IFERROR(__xludf.dummyfunction("XLOOKUP(AJ2751,IMPORTRANGE(""1XaInW9DU9nz21V0tYIfzFQ0He9kVQ_JF2mCXgZ3hqFA"",""REKAP ALL 2026 - Andika!G:G""),IMPORTRANGE(""1XaInW9DU9nz21V0tYIfzFQ0He9kVQ_JF2mCXgZ3hqFA"",""REKAP ALL 2026 - Andika!F:F""),"""",0)"),"25157581130")</f>
        <v>25157581130</v>
      </c>
      <c r="G2751" s="13" t="s">
        <v>1127</v>
      </c>
      <c r="H2751" s="13" t="s">
        <v>35</v>
      </c>
      <c r="I2751" s="13" t="str">
        <f aca="false">IF(C2751=J2751,"NEW KONTRAK","RE-KONTRAK")</f>
        <v>NEW KONTRAK</v>
      </c>
      <c r="J2751" s="16" t="n">
        <f aca="false" t="array" ref="J2751:J2751">IFERROR(INDEX(AC2751:AE2751,IF(COUNTA(AC2751:AE2751)=0,"",MAX((AC2751:AE2751&lt;&gt;"")*(COLUMN(AC2751:AE2751)-(COLUMN(AC2751)))))-1),"")</f>
        <v>45926</v>
      </c>
      <c r="K2751" s="16" t="n">
        <f aca="false" t="array" ref="K2751:K2751">IFERROR(INDEX(AC2751:AE2751,IF(COUNTA(AC2751:AE2751)=0,"",MAX((AC2751:AE2751&lt;&gt;"")*(COLUMN(AC2751:AE2751)-(COLUMN(AC2751)-1))))-1),"")</f>
        <v>46106</v>
      </c>
      <c r="L2751" s="17" t="str">
        <f aca="false" t="array" ref="L2751:L2751">IFERROR(INDEX(AC2751:AE2751,IF(COUNTA(AC2751:AE2751)=0,"",MAX((AC2751:AE2751&lt;&gt;"")*(COLUMN(AC2751:AE2751)-(COLUMN(AC2751)-2))))-1),"")</f>
        <v>ARCHIVED</v>
      </c>
      <c r="M2751" s="13" t="n">
        <f aca="true">K2751-TODAY()</f>
        <v>-218</v>
      </c>
      <c r="N2751" s="18" t="s">
        <v>36</v>
      </c>
      <c r="O2751" s="13" t="s">
        <v>11629</v>
      </c>
      <c r="P2751" s="27" t="n">
        <v>199823</v>
      </c>
      <c r="Q2751" s="47" t="s">
        <v>11693</v>
      </c>
      <c r="R2751" s="13" t="s">
        <v>148</v>
      </c>
      <c r="S2751" s="16" t="n">
        <v>34365</v>
      </c>
      <c r="T2751" s="28" t="s">
        <v>40</v>
      </c>
      <c r="U2751" s="13" t="s">
        <v>11694</v>
      </c>
      <c r="V2751" s="13" t="s">
        <v>42</v>
      </c>
      <c r="W2751" s="13" t="s">
        <v>54</v>
      </c>
      <c r="X2751" s="21" t="n">
        <v>87764132843</v>
      </c>
      <c r="Y2751" s="22" t="str">
        <f aca="false">O2751</f>
        <v>Tubular</v>
      </c>
      <c r="Z2751" s="13" t="str">
        <f aca="false">IFERROR(__xludf.dummyfunction("if(BJ2751="""","""",GOOGLETRANSLATE(BJ2751,""auto"",""en""))"),"Tubular")</f>
        <v>Tubular</v>
      </c>
      <c r="AA2751" s="23" t="str">
        <f aca="false">IF(C2751="","", CHOOSE(MONTH(C2751),"January","February","March","April","May","June","July","August","September","October","November","December")&amp;" "&amp;DAY(C2751)&amp;MID("thstndrdth",MIN(9,2*RIGHT(DAY(C2751))*(MOD(DAY(C2751)-11,100)&gt;2)+1),2)&amp;","&amp;TEXT(C2751," yyyy"))</f>
        <v>September 26th,2025</v>
      </c>
      <c r="AB2751" s="15" t="str">
        <f aca="true">IF(S2751="","",DATEDIF(S2751,TODAY(),"Y")&amp;" Tahun, "&amp;DATEDIF(S2751,TODAY(),"YM")&amp;" Bulan, "&amp;DATEDIF(S2751,TODAY(),"MD")&amp;" Hari")</f>
        <v>32 Tahun, 8 Bulan, 28 Hari</v>
      </c>
      <c r="AC2751" s="18" t="n">
        <v>45926</v>
      </c>
      <c r="AD2751" s="18" t="n">
        <f aca="false">EDATE(AC2751,6)-1</f>
        <v>46106</v>
      </c>
      <c r="AE2751" s="13" t="s">
        <v>44</v>
      </c>
    </row>
    <row r="2752" customFormat="false" ht="15" hidden="false" customHeight="true" outlineLevel="0" collapsed="false">
      <c r="A2752" s="12" t="n">
        <v>20892</v>
      </c>
      <c r="B2752" s="13" t="s">
        <v>2348</v>
      </c>
      <c r="C2752" s="16" t="n">
        <v>45926</v>
      </c>
      <c r="D2752" s="13" t="s">
        <v>11620</v>
      </c>
      <c r="E2752" s="13" t="s">
        <v>47</v>
      </c>
      <c r="F2752" s="15" t="str">
        <f aca="false">IFERROR(__xludf.dummyfunction("XLOOKUP(AJ2752,IMPORTRANGE(""1XaInW9DU9nz21V0tYIfzFQ0He9kVQ_JF2mCXgZ3hqFA"",""REKAP ALL 2026 - Andika!G:G""),IMPORTRANGE(""1XaInW9DU9nz21V0tYIfzFQ0He9kVQ_JF2mCXgZ3hqFA"",""REKAP ALL 2026 - Andika!F:F""),"""",0)"),"25157581155")</f>
        <v>25157581155</v>
      </c>
      <c r="G2752" s="13" t="s">
        <v>1127</v>
      </c>
      <c r="H2752" s="13" t="s">
        <v>35</v>
      </c>
      <c r="I2752" s="13" t="str">
        <f aca="false">IF(C2752=J2752,"NEW KONTRAK","RE-KONTRAK")</f>
        <v>NEW KONTRAK</v>
      </c>
      <c r="J2752" s="16" t="n">
        <f aca="false" t="array" ref="J2752:J2752">IFERROR(INDEX(AC2752:AE2752,IF(COUNTA(AC2752:AE2752)=0,"",MAX((AC2752:AE2752&lt;&gt;"")*(COLUMN(AC2752:AE2752)-(COLUMN(AC2752)))))-1),"")</f>
        <v>45926</v>
      </c>
      <c r="K2752" s="16" t="n">
        <f aca="false" t="array" ref="K2752:K2752">IFERROR(INDEX(AC2752:AE2752,IF(COUNTA(AC2752:AE2752)=0,"",MAX((AC2752:AE2752&lt;&gt;"")*(COLUMN(AC2752:AE2752)-(COLUMN(AC2752)-1))))-1),"")</f>
        <v>46106</v>
      </c>
      <c r="L2752" s="17" t="str">
        <f aca="false" t="array" ref="L2752:L2752">IFERROR(INDEX(AC2752:AE2752,IF(COUNTA(AC2752:AE2752)=0,"",MAX((AC2752:AE2752&lt;&gt;"")*(COLUMN(AC2752:AE2752)-(COLUMN(AC2752)-2))))-1),"")</f>
        <v>ARCHIVED</v>
      </c>
      <c r="M2752" s="13" t="n">
        <f aca="true">K2752-TODAY()</f>
        <v>-218</v>
      </c>
      <c r="N2752" s="18" t="s">
        <v>36</v>
      </c>
      <c r="O2752" s="13" t="s">
        <v>298</v>
      </c>
      <c r="P2752" s="27" t="n">
        <v>199823</v>
      </c>
      <c r="Q2752" s="47" t="s">
        <v>11695</v>
      </c>
      <c r="R2752" s="13" t="s">
        <v>255</v>
      </c>
      <c r="S2752" s="16" t="n">
        <v>29577</v>
      </c>
      <c r="T2752" s="28" t="s">
        <v>40</v>
      </c>
      <c r="U2752" s="13" t="s">
        <v>11696</v>
      </c>
      <c r="V2752" s="13" t="s">
        <v>42</v>
      </c>
      <c r="W2752" s="13" t="s">
        <v>54</v>
      </c>
      <c r="X2752" s="21" t="n">
        <v>82247446665</v>
      </c>
      <c r="Y2752" s="22" t="str">
        <f aca="false">O2752</f>
        <v>Maintenance</v>
      </c>
      <c r="Z2752" s="13" t="str">
        <f aca="false">IFERROR(__xludf.dummyfunction("if(BJ2752="""","""",GOOGLETRANSLATE(BJ2752,""auto"",""en""))"),"Maintenance")</f>
        <v>Maintenance</v>
      </c>
      <c r="AA2752" s="23" t="str">
        <f aca="false">IF(C2752="","", CHOOSE(MONTH(C2752),"January","February","March","April","May","June","July","August","September","October","November","December")&amp;" "&amp;DAY(C2752)&amp;MID("thstndrdth",MIN(9,2*RIGHT(DAY(C2752))*(MOD(DAY(C2752)-11,100)&gt;2)+1),2)&amp;","&amp;TEXT(C2752," yyyy"))</f>
        <v>September 26th,2025</v>
      </c>
      <c r="AB2752" s="15" t="str">
        <f aca="true">IF(S2752="","",DATEDIF(S2752,TODAY(),"Y")&amp;" Tahun, "&amp;DATEDIF(S2752,TODAY(),"YM")&amp;" Bulan, "&amp;DATEDIF(S2752,TODAY(),"MD")&amp;" Hari")</f>
        <v>45 Tahun, 10 Bulan, 7 Hari</v>
      </c>
      <c r="AC2752" s="18" t="n">
        <v>45926</v>
      </c>
      <c r="AD2752" s="18" t="n">
        <f aca="false">EDATE(AC2752,6)-1</f>
        <v>46106</v>
      </c>
      <c r="AE2752" s="13" t="s">
        <v>44</v>
      </c>
    </row>
    <row r="2753" customFormat="false" ht="15" hidden="false" customHeight="true" outlineLevel="0" collapsed="false">
      <c r="A2753" s="12" t="n">
        <v>20893</v>
      </c>
      <c r="B2753" s="13" t="s">
        <v>11697</v>
      </c>
      <c r="C2753" s="16" t="n">
        <v>45926</v>
      </c>
      <c r="D2753" s="13" t="s">
        <v>11620</v>
      </c>
      <c r="E2753" s="13" t="s">
        <v>102</v>
      </c>
      <c r="F2753" s="15" t="str">
        <f aca="false">IFERROR(__xludf.dummyfunction("XLOOKUP(AJ2753,IMPORTRANGE(""1XaInW9DU9nz21V0tYIfzFQ0He9kVQ_JF2mCXgZ3hqFA"",""REKAP ALL 2026 - Andika!G:G""),IMPORTRANGE(""1XaInW9DU9nz21V0tYIfzFQ0He9kVQ_JF2mCXgZ3hqFA"",""REKAP ALL 2026 - Andika!F:F""),"""",0)"),"25157581171")</f>
        <v>25157581171</v>
      </c>
      <c r="G2753" s="13" t="s">
        <v>1127</v>
      </c>
      <c r="H2753" s="13" t="s">
        <v>35</v>
      </c>
      <c r="I2753" s="13" t="str">
        <f aca="false">IF(C2753=J2753,"NEW KONTRAK","RE-KONTRAK")</f>
        <v>NEW KONTRAK</v>
      </c>
      <c r="J2753" s="16" t="n">
        <f aca="false" t="array" ref="J2753:J2753">IFERROR(INDEX(AC2753:AE2753,IF(COUNTA(AC2753:AE2753)=0,"",MAX((AC2753:AE2753&lt;&gt;"")*(COLUMN(AC2753:AE2753)-(COLUMN(AC2753)))))-1),"")</f>
        <v>45926</v>
      </c>
      <c r="K2753" s="16" t="n">
        <f aca="false" t="array" ref="K2753:K2753">IFERROR(INDEX(AC2753:AE2753,IF(COUNTA(AC2753:AE2753)=0,"",MAX((AC2753:AE2753&lt;&gt;"")*(COLUMN(AC2753:AE2753)-(COLUMN(AC2753)-1))))-1),"")</f>
        <v>46106</v>
      </c>
      <c r="L2753" s="17" t="str">
        <f aca="false" t="array" ref="L2753:L2753">IFERROR(INDEX(AC2753:AE2753,IF(COUNTA(AC2753:AE2753)=0,"",MAX((AC2753:AE2753&lt;&gt;"")*(COLUMN(AC2753:AE2753)-(COLUMN(AC2753)-2))))-1),"")</f>
        <v>ARCHIVED</v>
      </c>
      <c r="M2753" s="13" t="n">
        <f aca="true">K2753-TODAY()</f>
        <v>-218</v>
      </c>
      <c r="N2753" s="18" t="s">
        <v>36</v>
      </c>
      <c r="O2753" s="13" t="s">
        <v>11698</v>
      </c>
      <c r="P2753" s="27" t="n">
        <v>199823</v>
      </c>
      <c r="Q2753" s="47" t="s">
        <v>11699</v>
      </c>
      <c r="R2753" s="13" t="s">
        <v>255</v>
      </c>
      <c r="S2753" s="16" t="n">
        <v>31760</v>
      </c>
      <c r="T2753" s="28" t="s">
        <v>40</v>
      </c>
      <c r="U2753" s="13" t="s">
        <v>11700</v>
      </c>
      <c r="V2753" s="13" t="s">
        <v>42</v>
      </c>
      <c r="W2753" s="13" t="s">
        <v>54</v>
      </c>
      <c r="X2753" s="21" t="n">
        <v>83830546234</v>
      </c>
      <c r="Y2753" s="22" t="str">
        <f aca="false">O2753</f>
        <v>Pickling</v>
      </c>
      <c r="Z2753" s="13" t="str">
        <f aca="false">IFERROR(__xludf.dummyfunction("if(BJ2753="""","""",GOOGLETRANSLATE(BJ2753,""auto"",""en""))"),"Pickling")</f>
        <v>Pickling</v>
      </c>
      <c r="AA2753" s="23" t="str">
        <f aca="false">IF(C2753="","", CHOOSE(MONTH(C2753),"January","February","March","April","May","June","July","August","September","October","November","December")&amp;" "&amp;DAY(C2753)&amp;MID("thstndrdth",MIN(9,2*RIGHT(DAY(C2753))*(MOD(DAY(C2753)-11,100)&gt;2)+1),2)&amp;","&amp;TEXT(C2753," yyyy"))</f>
        <v>September 26th,2025</v>
      </c>
      <c r="AB2753" s="15" t="str">
        <f aca="true">IF(S2753="","",DATEDIF(S2753,TODAY(),"Y")&amp;" Tahun, "&amp;DATEDIF(S2753,TODAY(),"YM")&amp;" Bulan, "&amp;DATEDIF(S2753,TODAY(),"MD")&amp;" Hari")</f>
        <v>39 Tahun, 10 Bulan, 15 Hari</v>
      </c>
      <c r="AC2753" s="18" t="n">
        <v>45926</v>
      </c>
      <c r="AD2753" s="18" t="n">
        <f aca="false">EDATE(AC2753,6)-1</f>
        <v>46106</v>
      </c>
      <c r="AE2753" s="13" t="s">
        <v>44</v>
      </c>
    </row>
    <row r="2754" customFormat="false" ht="15" hidden="false" customHeight="true" outlineLevel="0" collapsed="false">
      <c r="A2754" s="12" t="n">
        <v>20894</v>
      </c>
      <c r="B2754" s="13" t="s">
        <v>11701</v>
      </c>
      <c r="C2754" s="16" t="n">
        <v>45926</v>
      </c>
      <c r="D2754" s="13" t="s">
        <v>11620</v>
      </c>
      <c r="E2754" s="13" t="s">
        <v>789</v>
      </c>
      <c r="F2754" s="15" t="str">
        <f aca="false">IFERROR(__xludf.dummyfunction("XLOOKUP(AJ2754,IMPORTRANGE(""1XaInW9DU9nz21V0tYIfzFQ0He9kVQ_JF2mCXgZ3hqFA"",""REKAP ALL 2026 - Andika!G:G""),IMPORTRANGE(""1XaInW9DU9nz21V0tYIfzFQ0He9kVQ_JF2mCXgZ3hqFA"",""REKAP ALL 2026 - Andika!F:F""),"""",0)"),"25157581197")</f>
        <v>25157581197</v>
      </c>
      <c r="G2754" s="13" t="s">
        <v>1127</v>
      </c>
      <c r="H2754" s="13" t="s">
        <v>35</v>
      </c>
      <c r="I2754" s="13" t="str">
        <f aca="false">IF(C2754=J2754,"NEW KONTRAK","RE-KONTRAK")</f>
        <v>NEW KONTRAK</v>
      </c>
      <c r="J2754" s="16" t="n">
        <f aca="false" t="array" ref="J2754:J2754">IFERROR(INDEX(AC2754:AE2754,IF(COUNTA(AC2754:AE2754)=0,"",MAX((AC2754:AE2754&lt;&gt;"")*(COLUMN(AC2754:AE2754)-(COLUMN(AC2754)))))-1),"")</f>
        <v>45926</v>
      </c>
      <c r="K2754" s="16" t="n">
        <f aca="false" t="array" ref="K2754:K2754">IFERROR(INDEX(AC2754:AE2754,IF(COUNTA(AC2754:AE2754)=0,"",MAX((AC2754:AE2754&lt;&gt;"")*(COLUMN(AC2754:AE2754)-(COLUMN(AC2754)-1))))-1),"")</f>
        <v>46106</v>
      </c>
      <c r="L2754" s="17" t="str">
        <f aca="false" t="array" ref="L2754:L2754">IFERROR(INDEX(AC2754:AE2754,IF(COUNTA(AC2754:AE2754)=0,"",MAX((AC2754:AE2754&lt;&gt;"")*(COLUMN(AC2754:AE2754)-(COLUMN(AC2754)-2))))-1),"")</f>
        <v>ARCHIVED</v>
      </c>
      <c r="M2754" s="13" t="n">
        <f aca="true">K2754-TODAY()</f>
        <v>-218</v>
      </c>
      <c r="N2754" s="18" t="s">
        <v>36</v>
      </c>
      <c r="O2754" s="13" t="s">
        <v>11659</v>
      </c>
      <c r="P2754" s="27" t="n">
        <v>199823</v>
      </c>
      <c r="Q2754" s="47" t="s">
        <v>11702</v>
      </c>
      <c r="R2754" s="13" t="s">
        <v>763</v>
      </c>
      <c r="S2754" s="16" t="n">
        <v>31347</v>
      </c>
      <c r="T2754" s="28" t="s">
        <v>40</v>
      </c>
      <c r="U2754" s="13" t="s">
        <v>11703</v>
      </c>
      <c r="V2754" s="13" t="s">
        <v>42</v>
      </c>
      <c r="W2754" s="13" t="s">
        <v>54</v>
      </c>
      <c r="X2754" s="21" t="n">
        <v>85745344334</v>
      </c>
      <c r="Y2754" s="22" t="str">
        <f aca="false">O2754</f>
        <v>Drawing</v>
      </c>
      <c r="Z2754" s="13" t="str">
        <f aca="false">IFERROR(__xludf.dummyfunction("if(BJ2754="""","""",GOOGLETRANSLATE(BJ2754,""auto"",""en""))"),"Drawing")</f>
        <v>Drawing</v>
      </c>
      <c r="AA2754" s="23" t="str">
        <f aca="false">IF(C2754="","", CHOOSE(MONTH(C2754),"January","February","March","April","May","June","July","August","September","October","November","December")&amp;" "&amp;DAY(C2754)&amp;MID("thstndrdth",MIN(9,2*RIGHT(DAY(C2754))*(MOD(DAY(C2754)-11,100)&gt;2)+1),2)&amp;","&amp;TEXT(C2754," yyyy"))</f>
        <v>September 26th,2025</v>
      </c>
      <c r="AB2754" s="15" t="str">
        <f aca="true">IF(S2754="","",DATEDIF(S2754,TODAY(),"Y")&amp;" Tahun, "&amp;DATEDIF(S2754,TODAY(),"YM")&amp;" Bulan, "&amp;DATEDIF(S2754,TODAY(),"MD")&amp;" Hari")</f>
        <v>41 Tahun, 0 Bulan, 2 Hari</v>
      </c>
      <c r="AC2754" s="18" t="n">
        <v>45926</v>
      </c>
      <c r="AD2754" s="18" t="n">
        <f aca="false">EDATE(AC2754,6)-1</f>
        <v>46106</v>
      </c>
      <c r="AE2754" s="13" t="s">
        <v>44</v>
      </c>
    </row>
    <row r="2755" customFormat="false" ht="15" hidden="false" customHeight="true" outlineLevel="0" collapsed="false">
      <c r="A2755" s="12" t="n">
        <v>20895</v>
      </c>
      <c r="B2755" s="13" t="s">
        <v>11704</v>
      </c>
      <c r="C2755" s="16" t="n">
        <v>45926</v>
      </c>
      <c r="D2755" s="13" t="s">
        <v>11620</v>
      </c>
      <c r="E2755" s="13" t="s">
        <v>47</v>
      </c>
      <c r="F2755" s="15" t="str">
        <f aca="false">IFERROR(__xludf.dummyfunction("XLOOKUP(AJ2755,IMPORTRANGE(""1XaInW9DU9nz21V0tYIfzFQ0He9kVQ_JF2mCXgZ3hqFA"",""REKAP ALL 2026 - Andika!G:G""),IMPORTRANGE(""1XaInW9DU9nz21V0tYIfzFQ0He9kVQ_JF2mCXgZ3hqFA"",""REKAP ALL 2026 - Andika!F:F""),"""",0)"),"25157581213")</f>
        <v>25157581213</v>
      </c>
      <c r="G2755" s="13" t="s">
        <v>1127</v>
      </c>
      <c r="H2755" s="13" t="s">
        <v>35</v>
      </c>
      <c r="I2755" s="13" t="str">
        <f aca="false">IF(C2755=J2755,"NEW KONTRAK","RE-KONTRAK")</f>
        <v>NEW KONTRAK</v>
      </c>
      <c r="J2755" s="16" t="n">
        <f aca="false" t="array" ref="J2755:J2755">IFERROR(INDEX(AC2755:AE2755,IF(COUNTA(AC2755:AE2755)=0,"",MAX((AC2755:AE2755&lt;&gt;"")*(COLUMN(AC2755:AE2755)-(COLUMN(AC2755)))))-1),"")</f>
        <v>45926</v>
      </c>
      <c r="K2755" s="16" t="n">
        <f aca="false" t="array" ref="K2755:K2755">IFERROR(INDEX(AC2755:AE2755,IF(COUNTA(AC2755:AE2755)=0,"",MAX((AC2755:AE2755&lt;&gt;"")*(COLUMN(AC2755:AE2755)-(COLUMN(AC2755)-1))))-1),"")</f>
        <v>46106</v>
      </c>
      <c r="L2755" s="17" t="str">
        <f aca="false" t="array" ref="L2755:L2755">IFERROR(INDEX(AC2755:AE2755,IF(COUNTA(AC2755:AE2755)=0,"",MAX((AC2755:AE2755&lt;&gt;"")*(COLUMN(AC2755:AE2755)-(COLUMN(AC2755)-2))))-1),"")</f>
        <v>ARCHIVED</v>
      </c>
      <c r="M2755" s="13" t="n">
        <f aca="true">K2755-TODAY()</f>
        <v>-218</v>
      </c>
      <c r="N2755" s="18" t="s">
        <v>36</v>
      </c>
      <c r="O2755" s="13" t="s">
        <v>11705</v>
      </c>
      <c r="P2755" s="27" t="n">
        <v>199823</v>
      </c>
      <c r="Q2755" s="47" t="s">
        <v>11706</v>
      </c>
      <c r="R2755" s="13" t="s">
        <v>65</v>
      </c>
      <c r="S2755" s="16" t="n">
        <v>35670</v>
      </c>
      <c r="T2755" s="28" t="s">
        <v>40</v>
      </c>
      <c r="U2755" s="13" t="s">
        <v>11707</v>
      </c>
      <c r="V2755" s="13" t="s">
        <v>42</v>
      </c>
      <c r="W2755" s="13" t="s">
        <v>54</v>
      </c>
      <c r="X2755" s="21" t="n">
        <v>83832638844</v>
      </c>
      <c r="Y2755" s="22" t="str">
        <f aca="false">O2755</f>
        <v>Galvanis</v>
      </c>
      <c r="Z2755" s="13" t="str">
        <f aca="false">IFERROR(__xludf.dummyfunction("if(BJ2755="""","""",GOOGLETRANSLATE(BJ2755,""auto"",""en""))"),"Galvanized")</f>
        <v>Galvanized</v>
      </c>
      <c r="AA2755" s="23" t="str">
        <f aca="false">IF(C2755="","", CHOOSE(MONTH(C2755),"January","February","March","April","May","June","July","August","September","October","November","December")&amp;" "&amp;DAY(C2755)&amp;MID("thstndrdth",MIN(9,2*RIGHT(DAY(C2755))*(MOD(DAY(C2755)-11,100)&gt;2)+1),2)&amp;","&amp;TEXT(C2755," yyyy"))</f>
        <v>September 26th,2025</v>
      </c>
      <c r="AB2755" s="15" t="str">
        <f aca="true">IF(S2755="","",DATEDIF(S2755,TODAY(),"Y")&amp;" Tahun, "&amp;DATEDIF(S2755,TODAY(),"YM")&amp;" Bulan, "&amp;DATEDIF(S2755,TODAY(),"MD")&amp;" Hari")</f>
        <v>29 Tahun, 2 Bulan, 1 Hari</v>
      </c>
      <c r="AC2755" s="18" t="n">
        <v>45926</v>
      </c>
      <c r="AD2755" s="18" t="n">
        <f aca="false">EDATE(AC2755,6)-1</f>
        <v>46106</v>
      </c>
      <c r="AE2755" s="13" t="s">
        <v>44</v>
      </c>
    </row>
    <row r="2756" customFormat="false" ht="15" hidden="false" customHeight="true" outlineLevel="0" collapsed="false">
      <c r="A2756" s="12" t="n">
        <v>20896</v>
      </c>
      <c r="B2756" s="13" t="s">
        <v>11708</v>
      </c>
      <c r="C2756" s="16" t="n">
        <v>45926</v>
      </c>
      <c r="D2756" s="13" t="s">
        <v>11620</v>
      </c>
      <c r="E2756" s="13" t="s">
        <v>102</v>
      </c>
      <c r="F2756" s="24" t="s">
        <v>11709</v>
      </c>
      <c r="G2756" s="13" t="s">
        <v>1127</v>
      </c>
      <c r="H2756" s="13" t="s">
        <v>35</v>
      </c>
      <c r="I2756" s="13" t="str">
        <f aca="false">IF(C2756=J2756,"NEW KONTRAK","RE-KONTRAK")</f>
        <v>NEW KONTRAK</v>
      </c>
      <c r="J2756" s="16" t="n">
        <f aca="false" t="array" ref="J2756:J2756">IFERROR(INDEX(AC2756:AE2756,IF(COUNTA(AC2756:AE2756)=0,"",MAX((AC2756:AE2756&lt;&gt;"")*(COLUMN(AC2756:AE2756)-(COLUMN(AC2756)))))-1),"")</f>
        <v>45926</v>
      </c>
      <c r="K2756" s="16" t="n">
        <f aca="false" t="array" ref="K2756:K2756">IFERROR(INDEX(AC2756:AE2756,IF(COUNTA(AC2756:AE2756)=0,"",MAX((AC2756:AE2756&lt;&gt;"")*(COLUMN(AC2756:AE2756)-(COLUMN(AC2756)-1))))-1),"")</f>
        <v>46106</v>
      </c>
      <c r="L2756" s="17" t="str">
        <f aca="false" t="array" ref="L2756:L2756">IFERROR(INDEX(AC2756:AE2756,IF(COUNTA(AC2756:AE2756)=0,"",MAX((AC2756:AE2756&lt;&gt;"")*(COLUMN(AC2756:AE2756)-(COLUMN(AC2756)-2))))-1),"")</f>
        <v>ARCHIVED</v>
      </c>
      <c r="M2756" s="13" t="n">
        <f aca="true">K2756-TODAY()</f>
        <v>-218</v>
      </c>
      <c r="N2756" s="18" t="s">
        <v>36</v>
      </c>
      <c r="O2756" s="13" t="s">
        <v>11710</v>
      </c>
      <c r="P2756" s="27" t="n">
        <v>199823</v>
      </c>
      <c r="Q2756" s="47" t="s">
        <v>11711</v>
      </c>
      <c r="R2756" s="13" t="s">
        <v>65</v>
      </c>
      <c r="S2756" s="16" t="n">
        <v>35871</v>
      </c>
      <c r="T2756" s="28" t="s">
        <v>40</v>
      </c>
      <c r="U2756" s="13" t="s">
        <v>11712</v>
      </c>
      <c r="V2756" s="28" t="s">
        <v>42</v>
      </c>
      <c r="W2756" s="13" t="s">
        <v>43</v>
      </c>
      <c r="X2756" s="21" t="n">
        <v>85933447384</v>
      </c>
      <c r="Y2756" s="22" t="str">
        <f aca="false">O2756</f>
        <v>PC Bar</v>
      </c>
      <c r="Z2756" s="13" t="str">
        <f aca="false">IFERROR(__xludf.dummyfunction("if(BJ2756="""","""",GOOGLETRANSLATE(BJ2756,""auto"",""en""))"),"PC Bar")</f>
        <v>PC Bar</v>
      </c>
      <c r="AA2756" s="23" t="str">
        <f aca="false">IF(C2756="","", CHOOSE(MONTH(C2756),"January","February","March","April","May","June","July","August","September","October","November","December")&amp;" "&amp;DAY(C2756)&amp;MID("thstndrdth",MIN(9,2*RIGHT(DAY(C2756))*(MOD(DAY(C2756)-11,100)&gt;2)+1),2)&amp;","&amp;TEXT(C2756," yyyy"))</f>
        <v>September 26th,2025</v>
      </c>
      <c r="AB2756" s="15" t="str">
        <f aca="true">IF(S2756="","",DATEDIF(S2756,TODAY(),"Y")&amp;" Tahun, "&amp;DATEDIF(S2756,TODAY(),"YM")&amp;" Bulan, "&amp;DATEDIF(S2756,TODAY(),"MD")&amp;" Hari")</f>
        <v>28 Tahun, 7 Bulan, 12 Hari</v>
      </c>
      <c r="AC2756" s="18" t="n">
        <v>45926</v>
      </c>
      <c r="AD2756" s="18" t="n">
        <f aca="false">EDATE(AC2756,6)-1</f>
        <v>46106</v>
      </c>
      <c r="AE2756" s="13" t="s">
        <v>44</v>
      </c>
    </row>
    <row r="2757" customFormat="false" ht="15" hidden="false" customHeight="true" outlineLevel="0" collapsed="false">
      <c r="A2757" s="12" t="n">
        <v>20897</v>
      </c>
      <c r="B2757" s="13" t="s">
        <v>11713</v>
      </c>
      <c r="C2757" s="16" t="n">
        <v>45926</v>
      </c>
      <c r="D2757" s="13" t="s">
        <v>11620</v>
      </c>
      <c r="E2757" s="13" t="s">
        <v>47</v>
      </c>
      <c r="F2757" s="15" t="str">
        <f aca="false">IFERROR(__xludf.dummyfunction("XLOOKUP(AJ2757,IMPORTRANGE(""1XaInW9DU9nz21V0tYIfzFQ0He9kVQ_JF2mCXgZ3hqFA"",""REKAP ALL 2026 - Andika!G:G""),IMPORTRANGE(""1XaInW9DU9nz21V0tYIfzFQ0He9kVQ_JF2mCXgZ3hqFA"",""REKAP ALL 2026 - Andika!F:F""),"""",0)"),"25157581254")</f>
        <v>25157581254</v>
      </c>
      <c r="G2757" s="13" t="s">
        <v>1127</v>
      </c>
      <c r="H2757" s="13" t="s">
        <v>35</v>
      </c>
      <c r="I2757" s="13" t="str">
        <f aca="false">IF(C2757=J2757,"NEW KONTRAK","RE-KONTRAK")</f>
        <v>NEW KONTRAK</v>
      </c>
      <c r="J2757" s="16" t="n">
        <f aca="false" t="array" ref="J2757:J2757">IFERROR(INDEX(AC2757:AE2757,IF(COUNTA(AC2757:AE2757)=0,"",MAX((AC2757:AE2757&lt;&gt;"")*(COLUMN(AC2757:AE2757)-(COLUMN(AC2757)))))-1),"")</f>
        <v>45926</v>
      </c>
      <c r="K2757" s="16" t="n">
        <f aca="false" t="array" ref="K2757:K2757">IFERROR(INDEX(AC2757:AE2757,IF(COUNTA(AC2757:AE2757)=0,"",MAX((AC2757:AE2757&lt;&gt;"")*(COLUMN(AC2757:AE2757)-(COLUMN(AC2757)-1))))-1),"")</f>
        <v>46106</v>
      </c>
      <c r="L2757" s="17" t="str">
        <f aca="false" t="array" ref="L2757:L2757">IFERROR(INDEX(AC2757:AE2757,IF(COUNTA(AC2757:AE2757)=0,"",MAX((AC2757:AE2757&lt;&gt;"")*(COLUMN(AC2757:AE2757)-(COLUMN(AC2757)-2))))-1),"")</f>
        <v>ARCHIVED</v>
      </c>
      <c r="M2757" s="13" t="n">
        <f aca="true">K2757-TODAY()</f>
        <v>-218</v>
      </c>
      <c r="N2757" s="18" t="s">
        <v>36</v>
      </c>
      <c r="O2757" s="13" t="s">
        <v>11629</v>
      </c>
      <c r="P2757" s="27" t="n">
        <v>199823</v>
      </c>
      <c r="Q2757" s="47" t="s">
        <v>11714</v>
      </c>
      <c r="R2757" s="13" t="s">
        <v>73</v>
      </c>
      <c r="S2757" s="16" t="n">
        <v>35362</v>
      </c>
      <c r="T2757" s="28" t="s">
        <v>40</v>
      </c>
      <c r="U2757" s="13" t="s">
        <v>11715</v>
      </c>
      <c r="V2757" s="13" t="s">
        <v>42</v>
      </c>
      <c r="W2757" s="13" t="s">
        <v>54</v>
      </c>
      <c r="X2757" s="21" t="n">
        <v>89667978299</v>
      </c>
      <c r="Y2757" s="22" t="str">
        <f aca="false">O2757</f>
        <v>Tubular</v>
      </c>
      <c r="Z2757" s="13" t="str">
        <f aca="false">IFERROR(__xludf.dummyfunction("if(BJ2757="""","""",GOOGLETRANSLATE(BJ2757,""auto"",""en""))"),"Tubular")</f>
        <v>Tubular</v>
      </c>
      <c r="AA2757" s="23" t="str">
        <f aca="false">IF(C2757="","", CHOOSE(MONTH(C2757),"January","February","March","April","May","June","July","August","September","October","November","December")&amp;" "&amp;DAY(C2757)&amp;MID("thstndrdth",MIN(9,2*RIGHT(DAY(C2757))*(MOD(DAY(C2757)-11,100)&gt;2)+1),2)&amp;","&amp;TEXT(C2757," yyyy"))</f>
        <v>September 26th,2025</v>
      </c>
      <c r="AB2757" s="15" t="str">
        <f aca="true">IF(S2757="","",DATEDIF(S2757,TODAY(),"Y")&amp;" Tahun, "&amp;DATEDIF(S2757,TODAY(),"YM")&amp;" Bulan, "&amp;DATEDIF(S2757,TODAY(),"MD")&amp;" Hari")</f>
        <v>30 Tahun, 0 Bulan, 5 Hari</v>
      </c>
      <c r="AC2757" s="18" t="n">
        <v>45926</v>
      </c>
      <c r="AD2757" s="18" t="n">
        <f aca="false">EDATE(AC2757,6)-1</f>
        <v>46106</v>
      </c>
      <c r="AE2757" s="13" t="s">
        <v>44</v>
      </c>
    </row>
    <row r="2758" customFormat="false" ht="15" hidden="false" customHeight="true" outlineLevel="0" collapsed="false">
      <c r="A2758" s="12" t="n">
        <v>20898</v>
      </c>
      <c r="B2758" s="13" t="s">
        <v>11716</v>
      </c>
      <c r="C2758" s="16" t="n">
        <v>45926</v>
      </c>
      <c r="D2758" s="13" t="s">
        <v>11620</v>
      </c>
      <c r="E2758" s="13" t="s">
        <v>47</v>
      </c>
      <c r="F2758" s="15" t="str">
        <f aca="false">IFERROR(__xludf.dummyfunction("XLOOKUP(AJ2758,IMPORTRANGE(""1XaInW9DU9nz21V0tYIfzFQ0He9kVQ_JF2mCXgZ3hqFA"",""REKAP ALL 2026 - Andika!G:G""),IMPORTRANGE(""1XaInW9DU9nz21V0tYIfzFQ0He9kVQ_JF2mCXgZ3hqFA"",""REKAP ALL 2026 - Andika!F:F""),"""",0)"),"24144510344")</f>
        <v>24144510344</v>
      </c>
      <c r="G2758" s="13" t="s">
        <v>1127</v>
      </c>
      <c r="H2758" s="13" t="s">
        <v>35</v>
      </c>
      <c r="I2758" s="13" t="str">
        <f aca="false">IF(C2758=J2758,"NEW KONTRAK","RE-KONTRAK")</f>
        <v>NEW KONTRAK</v>
      </c>
      <c r="J2758" s="16" t="n">
        <f aca="false" t="array" ref="J2758:J2758">IFERROR(INDEX(AC2758:AE2758,IF(COUNTA(AC2758:AE2758)=0,"",MAX((AC2758:AE2758&lt;&gt;"")*(COLUMN(AC2758:AE2758)-(COLUMN(AC2758)))))-1),"")</f>
        <v>45926</v>
      </c>
      <c r="K2758" s="16" t="n">
        <f aca="false" t="array" ref="K2758:K2758">IFERROR(INDEX(AC2758:AE2758,IF(COUNTA(AC2758:AE2758)=0,"",MAX((AC2758:AE2758&lt;&gt;"")*(COLUMN(AC2758:AE2758)-(COLUMN(AC2758)-1))))-1),"")</f>
        <v>46106</v>
      </c>
      <c r="L2758" s="17" t="str">
        <f aca="false" t="array" ref="L2758:L2758">IFERROR(INDEX(AC2758:AE2758,IF(COUNTA(AC2758:AE2758)=0,"",MAX((AC2758:AE2758&lt;&gt;"")*(COLUMN(AC2758:AE2758)-(COLUMN(AC2758)-2))))-1),"")</f>
        <v>ARCHIVED</v>
      </c>
      <c r="M2758" s="13" t="n">
        <f aca="true">K2758-TODAY()</f>
        <v>-218</v>
      </c>
      <c r="N2758" s="18" t="s">
        <v>36</v>
      </c>
      <c r="O2758" s="13" t="s">
        <v>298</v>
      </c>
      <c r="P2758" s="26" t="n">
        <v>199823</v>
      </c>
      <c r="Q2758" s="47" t="s">
        <v>11717</v>
      </c>
      <c r="R2758" s="13" t="s">
        <v>168</v>
      </c>
      <c r="S2758" s="16" t="n">
        <v>35303</v>
      </c>
      <c r="T2758" s="28" t="s">
        <v>40</v>
      </c>
      <c r="U2758" s="13" t="s">
        <v>11718</v>
      </c>
      <c r="V2758" s="13" t="s">
        <v>42</v>
      </c>
      <c r="W2758" s="13" t="s">
        <v>43</v>
      </c>
      <c r="X2758" s="21" t="n">
        <v>81334842826</v>
      </c>
      <c r="Y2758" s="22" t="str">
        <f aca="false">O2758</f>
        <v>Maintenance</v>
      </c>
      <c r="Z2758" s="13" t="str">
        <f aca="false">IFERROR(__xludf.dummyfunction("if(BJ2758="""","""",GOOGLETRANSLATE(BJ2758,""auto"",""en""))"),"Maintenance")</f>
        <v>Maintenance</v>
      </c>
      <c r="AA2758" s="23" t="str">
        <f aca="false">IF(C2758="","", CHOOSE(MONTH(C2758),"January","February","March","April","May","June","July","August","September","October","November","December")&amp;" "&amp;DAY(C2758)&amp;MID("thstndrdth",MIN(9,2*RIGHT(DAY(C2758))*(MOD(DAY(C2758)-11,100)&gt;2)+1),2)&amp;","&amp;TEXT(C2758," yyyy"))</f>
        <v>September 26th,2025</v>
      </c>
      <c r="AB2758" s="15" t="str">
        <f aca="true">IF(S2758="","",DATEDIF(S2758,TODAY(),"Y")&amp;" Tahun, "&amp;DATEDIF(S2758,TODAY(),"YM")&amp;" Bulan, "&amp;DATEDIF(S2758,TODAY(),"MD")&amp;" Hari")</f>
        <v>30 Tahun, 2 Bulan, 3 Hari</v>
      </c>
      <c r="AC2758" s="18" t="n">
        <v>45926</v>
      </c>
      <c r="AD2758" s="18" t="n">
        <f aca="false">EDATE(AC2758,6)-1</f>
        <v>46106</v>
      </c>
      <c r="AE2758" s="13" t="s">
        <v>44</v>
      </c>
    </row>
    <row r="2759" customFormat="false" ht="15" hidden="false" customHeight="true" outlineLevel="0" collapsed="false">
      <c r="A2759" s="12" t="n">
        <v>20899</v>
      </c>
      <c r="B2759" s="13" t="s">
        <v>11719</v>
      </c>
      <c r="C2759" s="16" t="n">
        <v>45926</v>
      </c>
      <c r="D2759" s="13" t="s">
        <v>11620</v>
      </c>
      <c r="E2759" s="13" t="s">
        <v>47</v>
      </c>
      <c r="F2759" s="15" t="str">
        <f aca="false">IFERROR(__xludf.dummyfunction("XLOOKUP(AJ2759,IMPORTRANGE(""1XaInW9DU9nz21V0tYIfzFQ0He9kVQ_JF2mCXgZ3hqFA"",""REKAP ALL 2026 - Andika!G:G""),IMPORTRANGE(""1XaInW9DU9nz21V0tYIfzFQ0He9kVQ_JF2mCXgZ3hqFA"",""REKAP ALL 2026 - Andika!F:F""),"""",0)"),"25157581296")</f>
        <v>25157581296</v>
      </c>
      <c r="G2759" s="13" t="s">
        <v>1127</v>
      </c>
      <c r="H2759" s="13" t="s">
        <v>35</v>
      </c>
      <c r="I2759" s="13" t="str">
        <f aca="false">IF(C2759=J2759,"NEW KONTRAK","RE-KONTRAK")</f>
        <v>NEW KONTRAK</v>
      </c>
      <c r="J2759" s="16" t="n">
        <f aca="false" t="array" ref="J2759:J2759">IFERROR(INDEX(AC2759:AE2759,IF(COUNTA(AC2759:AE2759)=0,"",MAX((AC2759:AE2759&lt;&gt;"")*(COLUMN(AC2759:AE2759)-(COLUMN(AC2759)))))-1),"")</f>
        <v>45926</v>
      </c>
      <c r="K2759" s="16" t="n">
        <f aca="false" t="array" ref="K2759:K2759">IFERROR(INDEX(AC2759:AE2759,IF(COUNTA(AC2759:AE2759)=0,"",MAX((AC2759:AE2759&lt;&gt;"")*(COLUMN(AC2759:AE2759)-(COLUMN(AC2759)-1))))-1),"")</f>
        <v>46106</v>
      </c>
      <c r="L2759" s="17" t="str">
        <f aca="false" t="array" ref="L2759:L2759">IFERROR(INDEX(AC2759:AE2759,IF(COUNTA(AC2759:AE2759)=0,"",MAX((AC2759:AE2759&lt;&gt;"")*(COLUMN(AC2759:AE2759)-(COLUMN(AC2759)-2))))-1),"")</f>
        <v>ARCHIVED</v>
      </c>
      <c r="M2759" s="13" t="n">
        <f aca="true">K2759-TODAY()</f>
        <v>-218</v>
      </c>
      <c r="N2759" s="18" t="s">
        <v>36</v>
      </c>
      <c r="O2759" s="13" t="s">
        <v>9225</v>
      </c>
      <c r="P2759" s="27" t="n">
        <v>5195401</v>
      </c>
      <c r="Q2759" s="47" t="s">
        <v>11720</v>
      </c>
      <c r="R2759" s="13" t="s">
        <v>1979</v>
      </c>
      <c r="S2759" s="16" t="n">
        <v>36910</v>
      </c>
      <c r="T2759" s="28" t="s">
        <v>40</v>
      </c>
      <c r="U2759" s="13" t="s">
        <v>11721</v>
      </c>
      <c r="V2759" s="13" t="s">
        <v>42</v>
      </c>
      <c r="W2759" s="13" t="s">
        <v>43</v>
      </c>
      <c r="X2759" s="21" t="n">
        <v>89529306689</v>
      </c>
      <c r="Y2759" s="22" t="str">
        <f aca="false">O2759</f>
        <v>Umum</v>
      </c>
      <c r="Z2759" s="13" t="str">
        <f aca="false">IFERROR(__xludf.dummyfunction("if(BJ2759="""","""",GOOGLETRANSLATE(BJ2759,""auto"",""en""))"),"General")</f>
        <v>General</v>
      </c>
      <c r="AA2759" s="23" t="str">
        <f aca="false">IF(C2759="","", CHOOSE(MONTH(C2759),"January","February","March","April","May","June","July","August","September","October","November","December")&amp;" "&amp;DAY(C2759)&amp;MID("thstndrdth",MIN(9,2*RIGHT(DAY(C2759))*(MOD(DAY(C2759)-11,100)&gt;2)+1),2)&amp;","&amp;TEXT(C2759," yyyy"))</f>
        <v>September 26th,2025</v>
      </c>
      <c r="AB2759" s="15" t="str">
        <f aca="true">IF(S2759="","",DATEDIF(S2759,TODAY(),"Y")&amp;" Tahun, "&amp;DATEDIF(S2759,TODAY(),"YM")&amp;" Bulan, "&amp;DATEDIF(S2759,TODAY(),"MD")&amp;" Hari")</f>
        <v>25 Tahun, 9 Bulan, 10 Hari</v>
      </c>
      <c r="AC2759" s="18" t="n">
        <v>45926</v>
      </c>
      <c r="AD2759" s="18" t="n">
        <f aca="false">EDATE(AC2759,6)-1</f>
        <v>46106</v>
      </c>
      <c r="AE2759" s="13" t="s">
        <v>44</v>
      </c>
    </row>
    <row r="2760" customFormat="false" ht="15" hidden="false" customHeight="true" outlineLevel="0" collapsed="false">
      <c r="A2760" s="12" t="n">
        <v>20900</v>
      </c>
      <c r="B2760" s="13" t="s">
        <v>11722</v>
      </c>
      <c r="C2760" s="16" t="n">
        <v>45926</v>
      </c>
      <c r="D2760" s="13" t="s">
        <v>11723</v>
      </c>
      <c r="E2760" s="13" t="s">
        <v>47</v>
      </c>
      <c r="F2760" s="15" t="str">
        <f aca="false">IFERROR(__xludf.dummyfunction("XLOOKUP(AJ2760,IMPORTRANGE(""1XaInW9DU9nz21V0tYIfzFQ0He9kVQ_JF2mCXgZ3hqFA"",""REKAP ALL 2026 - Andika!G:G""),IMPORTRANGE(""1XaInW9DU9nz21V0tYIfzFQ0He9kVQ_JF2mCXgZ3hqFA"",""REKAP ALL 2026 - Andika!F:F""),"""",0)"),"25157581312")</f>
        <v>25157581312</v>
      </c>
      <c r="G2760" s="13" t="s">
        <v>1127</v>
      </c>
      <c r="H2760" s="13" t="s">
        <v>35</v>
      </c>
      <c r="I2760" s="13" t="str">
        <f aca="false">IF(C2760=J2760,"NEW KONTRAK","RE-KONTRAK")</f>
        <v>NEW KONTRAK</v>
      </c>
      <c r="J2760" s="16" t="n">
        <f aca="false" t="array" ref="J2760:J2760">IFERROR(INDEX(AC2760:AE2760,IF(COUNTA(AC2760:AE2760)=0,"",MAX((AC2760:AE2760&lt;&gt;"")*(COLUMN(AC2760:AE2760)-(COLUMN(AC2760)))))-1),"")</f>
        <v>45926</v>
      </c>
      <c r="K2760" s="16" t="n">
        <f aca="false" t="array" ref="K2760:K2760">IFERROR(INDEX(AC2760:AE2760,IF(COUNTA(AC2760:AE2760)=0,"",MAX((AC2760:AE2760&lt;&gt;"")*(COLUMN(AC2760:AE2760)-(COLUMN(AC2760)-1))))-1),"")</f>
        <v>46106</v>
      </c>
      <c r="L2760" s="17" t="str">
        <f aca="false" t="array" ref="L2760:L2760">IFERROR(INDEX(AC2760:AE2760,IF(COUNTA(AC2760:AE2760)=0,"",MAX((AC2760:AE2760&lt;&gt;"")*(COLUMN(AC2760:AE2760)-(COLUMN(AC2760)-2))))-1),"")</f>
        <v>ARCHIVED</v>
      </c>
      <c r="M2760" s="13" t="n">
        <f aca="true">K2760-TODAY()</f>
        <v>-218</v>
      </c>
      <c r="N2760" s="18" t="s">
        <v>36</v>
      </c>
      <c r="O2760" s="13" t="s">
        <v>11724</v>
      </c>
      <c r="P2760" s="27" t="n">
        <v>5195401</v>
      </c>
      <c r="Q2760" s="47" t="s">
        <v>11725</v>
      </c>
      <c r="R2760" s="13" t="s">
        <v>39</v>
      </c>
      <c r="S2760" s="16" t="n">
        <v>34641</v>
      </c>
      <c r="T2760" s="13" t="s">
        <v>108</v>
      </c>
      <c r="U2760" s="13" t="s">
        <v>11726</v>
      </c>
      <c r="V2760" s="13" t="s">
        <v>42</v>
      </c>
      <c r="W2760" s="13" t="s">
        <v>43</v>
      </c>
      <c r="X2760" s="21" t="n">
        <v>81554181523</v>
      </c>
      <c r="Y2760" s="22" t="str">
        <f aca="false">O2760</f>
        <v>DC</v>
      </c>
      <c r="Z2760" s="13" t="str">
        <f aca="false">IFERROR(__xludf.dummyfunction("if(BJ2760="""","""",GOOGLETRANSLATE(BJ2760,""auto"",""en""))"),"DC")</f>
        <v>DC</v>
      </c>
      <c r="AA2760" s="23" t="str">
        <f aca="false">IF(C2760="","", CHOOSE(MONTH(C2760),"January","February","March","April","May","June","July","August","September","October","November","December")&amp;" "&amp;DAY(C2760)&amp;MID("thstndrdth",MIN(9,2*RIGHT(DAY(C2760))*(MOD(DAY(C2760)-11,100)&gt;2)+1),2)&amp;","&amp;TEXT(C2760," yyyy"))</f>
        <v>September 26th,2025</v>
      </c>
      <c r="AB2760" s="15" t="str">
        <f aca="true">IF(S2760="","",DATEDIF(S2760,TODAY(),"Y")&amp;" Tahun, "&amp;DATEDIF(S2760,TODAY(),"YM")&amp;" Bulan, "&amp;DATEDIF(S2760,TODAY(),"MD")&amp;" Hari")</f>
        <v>31 Tahun, 11 Bulan, 26 Hari</v>
      </c>
      <c r="AC2760" s="18" t="n">
        <v>45926</v>
      </c>
      <c r="AD2760" s="18" t="n">
        <f aca="false">EDATE(AC2760,6)-1</f>
        <v>46106</v>
      </c>
      <c r="AE2760" s="13" t="s">
        <v>44</v>
      </c>
    </row>
    <row r="2761" customFormat="false" ht="15" hidden="false" customHeight="true" outlineLevel="0" collapsed="false">
      <c r="A2761" s="12" t="n">
        <v>20901</v>
      </c>
      <c r="B2761" s="13" t="s">
        <v>11727</v>
      </c>
      <c r="C2761" s="16" t="n">
        <v>45926</v>
      </c>
      <c r="D2761" s="13" t="s">
        <v>11723</v>
      </c>
      <c r="E2761" s="13" t="s">
        <v>47</v>
      </c>
      <c r="F2761" s="15" t="str">
        <f aca="false">IFERROR(__xludf.dummyfunction("XLOOKUP(AJ2761,IMPORTRANGE(""1XaInW9DU9nz21V0tYIfzFQ0He9kVQ_JF2mCXgZ3hqFA"",""REKAP ALL 2026 - Andika!G:G""),IMPORTRANGE(""1XaInW9DU9nz21V0tYIfzFQ0He9kVQ_JF2mCXgZ3hqFA"",""REKAP ALL 2026 - Andika!F:F""),"""",0)"),"25157581338")</f>
        <v>25157581338</v>
      </c>
      <c r="G2761" s="13" t="s">
        <v>1127</v>
      </c>
      <c r="H2761" s="13" t="s">
        <v>35</v>
      </c>
      <c r="I2761" s="13" t="str">
        <f aca="false">IF(C2761=J2761,"NEW KONTRAK","RE-KONTRAK")</f>
        <v>NEW KONTRAK</v>
      </c>
      <c r="J2761" s="16" t="n">
        <f aca="false" t="array" ref="J2761:J2761">IFERROR(INDEX(AC2761:AE2761,IF(COUNTA(AC2761:AE2761)=0,"",MAX((AC2761:AE2761&lt;&gt;"")*(COLUMN(AC2761:AE2761)-(COLUMN(AC2761)))))-1),"")</f>
        <v>45926</v>
      </c>
      <c r="K2761" s="16" t="n">
        <f aca="false" t="array" ref="K2761:K2761">IFERROR(INDEX(AC2761:AE2761,IF(COUNTA(AC2761:AE2761)=0,"",MAX((AC2761:AE2761&lt;&gt;"")*(COLUMN(AC2761:AE2761)-(COLUMN(AC2761)-1))))-1),"")</f>
        <v>46106</v>
      </c>
      <c r="L2761" s="17" t="str">
        <f aca="false" t="array" ref="L2761:L2761">IFERROR(INDEX(AC2761:AE2761,IF(COUNTA(AC2761:AE2761)=0,"",MAX((AC2761:AE2761&lt;&gt;"")*(COLUMN(AC2761:AE2761)-(COLUMN(AC2761)-2))))-1),"")</f>
        <v>ARCHIVED</v>
      </c>
      <c r="M2761" s="13" t="n">
        <f aca="true">K2761-TODAY()</f>
        <v>-218</v>
      </c>
      <c r="N2761" s="18" t="s">
        <v>36</v>
      </c>
      <c r="O2761" s="13" t="s">
        <v>9225</v>
      </c>
      <c r="P2761" s="27" t="n">
        <v>5195401</v>
      </c>
      <c r="Q2761" s="47" t="s">
        <v>11728</v>
      </c>
      <c r="R2761" s="13" t="s">
        <v>65</v>
      </c>
      <c r="S2761" s="16" t="n">
        <v>27602</v>
      </c>
      <c r="T2761" s="28" t="s">
        <v>40</v>
      </c>
      <c r="U2761" s="13" t="s">
        <v>11729</v>
      </c>
      <c r="V2761" s="13" t="s">
        <v>42</v>
      </c>
      <c r="W2761" s="13" t="s">
        <v>54</v>
      </c>
      <c r="X2761" s="21" t="n">
        <v>81335306357</v>
      </c>
      <c r="Y2761" s="22" t="str">
        <f aca="false">O2761</f>
        <v>Umum</v>
      </c>
      <c r="Z2761" s="13" t="str">
        <f aca="false">IFERROR(__xludf.dummyfunction("if(BJ2761="""","""",GOOGLETRANSLATE(BJ2761,""auto"",""en""))"),"General")</f>
        <v>General</v>
      </c>
      <c r="AA2761" s="23" t="str">
        <f aca="false">IF(C2761="","", CHOOSE(MONTH(C2761),"January","February","March","April","May","June","July","August","September","October","November","December")&amp;" "&amp;DAY(C2761)&amp;MID("thstndrdth",MIN(9,2*RIGHT(DAY(C2761))*(MOD(DAY(C2761)-11,100)&gt;2)+1),2)&amp;","&amp;TEXT(C2761," yyyy"))</f>
        <v>September 26th,2025</v>
      </c>
      <c r="AB2761" s="15" t="str">
        <f aca="true">IF(S2761="","",DATEDIF(S2761,TODAY(),"Y")&amp;" Tahun, "&amp;DATEDIF(S2761,TODAY(),"YM")&amp;" Bulan, "&amp;DATEDIF(S2761,TODAY(),"MD")&amp;" Hari")</f>
        <v>51 Tahun, 3 Bulan, 2 Hari</v>
      </c>
      <c r="AC2761" s="18" t="n">
        <v>45926</v>
      </c>
      <c r="AD2761" s="18" t="n">
        <f aca="false">EDATE(AC2761,6)-1</f>
        <v>46106</v>
      </c>
      <c r="AE2761" s="13" t="s">
        <v>44</v>
      </c>
    </row>
    <row r="2762" customFormat="false" ht="15" hidden="false" customHeight="true" outlineLevel="0" collapsed="false">
      <c r="A2762" s="12" t="n">
        <v>20902</v>
      </c>
      <c r="B2762" s="13" t="s">
        <v>11730</v>
      </c>
      <c r="C2762" s="16" t="n">
        <v>45926</v>
      </c>
      <c r="D2762" s="13" t="s">
        <v>11723</v>
      </c>
      <c r="E2762" s="13" t="s">
        <v>47</v>
      </c>
      <c r="F2762" s="15" t="str">
        <f aca="false">IFERROR(__xludf.dummyfunction("XLOOKUP(AJ2762,IMPORTRANGE(""1XaInW9DU9nz21V0tYIfzFQ0He9kVQ_JF2mCXgZ3hqFA"",""REKAP ALL 2026 - Andika!G:G""),IMPORTRANGE(""1XaInW9DU9nz21V0tYIfzFQ0He9kVQ_JF2mCXgZ3hqFA"",""REKAP ALL 2026 - Andika!F:F""),"""",0)"),"25157581353")</f>
        <v>25157581353</v>
      </c>
      <c r="G2762" s="13" t="s">
        <v>1127</v>
      </c>
      <c r="H2762" s="13" t="s">
        <v>35</v>
      </c>
      <c r="I2762" s="13" t="str">
        <f aca="false">IF(C2762=J2762,"NEW KONTRAK","RE-KONTRAK")</f>
        <v>NEW KONTRAK</v>
      </c>
      <c r="J2762" s="16" t="n">
        <f aca="false" t="array" ref="J2762:J2762">IFERROR(INDEX(AC2762:AE2762,IF(COUNTA(AC2762:AE2762)=0,"",MAX((AC2762:AE2762&lt;&gt;"")*(COLUMN(AC2762:AE2762)-(COLUMN(AC2762)))))-1),"")</f>
        <v>45926</v>
      </c>
      <c r="K2762" s="16" t="n">
        <f aca="false" t="array" ref="K2762:K2762">IFERROR(INDEX(AC2762:AE2762,IF(COUNTA(AC2762:AE2762)=0,"",MAX((AC2762:AE2762&lt;&gt;"")*(COLUMN(AC2762:AE2762)-(COLUMN(AC2762)-1))))-1),"")</f>
        <v>46106</v>
      </c>
      <c r="L2762" s="17" t="str">
        <f aca="false" t="array" ref="L2762:L2762">IFERROR(INDEX(AC2762:AE2762,IF(COUNTA(AC2762:AE2762)=0,"",MAX((AC2762:AE2762&lt;&gt;"")*(COLUMN(AC2762:AE2762)-(COLUMN(AC2762)-2))))-1),"")</f>
        <v>ARCHIVED</v>
      </c>
      <c r="M2762" s="13" t="n">
        <f aca="true">K2762-TODAY()</f>
        <v>-218</v>
      </c>
      <c r="N2762" s="18" t="s">
        <v>36</v>
      </c>
      <c r="O2762" s="13" t="s">
        <v>785</v>
      </c>
      <c r="P2762" s="27" t="n">
        <v>4500000</v>
      </c>
      <c r="Q2762" s="47" t="s">
        <v>11731</v>
      </c>
      <c r="R2762" s="13" t="s">
        <v>324</v>
      </c>
      <c r="S2762" s="16" t="n">
        <v>29333</v>
      </c>
      <c r="T2762" s="13" t="s">
        <v>108</v>
      </c>
      <c r="U2762" s="13" t="s">
        <v>11732</v>
      </c>
      <c r="V2762" s="13" t="s">
        <v>42</v>
      </c>
      <c r="W2762" s="13" t="s">
        <v>54</v>
      </c>
      <c r="X2762" s="21" t="n">
        <v>85807432456</v>
      </c>
      <c r="Y2762" s="22" t="str">
        <f aca="false">O2762</f>
        <v>Gudang</v>
      </c>
      <c r="Z2762" s="13" t="str">
        <f aca="false">IFERROR(__xludf.dummyfunction("if(BJ2762="""","""",GOOGLETRANSLATE(BJ2762,""auto"",""en""))"),"Warehouse")</f>
        <v>Warehouse</v>
      </c>
      <c r="AA2762" s="23" t="str">
        <f aca="false">IF(C2762="","", CHOOSE(MONTH(C2762),"January","February","March","April","May","June","July","August","September","October","November","December")&amp;" "&amp;DAY(C2762)&amp;MID("thstndrdth",MIN(9,2*RIGHT(DAY(C2762))*(MOD(DAY(C2762)-11,100)&gt;2)+1),2)&amp;","&amp;TEXT(C2762," yyyy"))</f>
        <v>September 26th,2025</v>
      </c>
      <c r="AB2762" s="15" t="str">
        <f aca="true">IF(S2762="","",DATEDIF(S2762,TODAY(),"Y")&amp;" Tahun, "&amp;DATEDIF(S2762,TODAY(),"YM")&amp;" Bulan, "&amp;DATEDIF(S2762,TODAY(),"MD")&amp;" Hari")</f>
        <v>46 Tahun, 6 Bulan, 7 Hari</v>
      </c>
      <c r="AC2762" s="18" t="n">
        <v>45926</v>
      </c>
      <c r="AD2762" s="18" t="n">
        <f aca="false">EDATE(AC2762,6)-1</f>
        <v>46106</v>
      </c>
      <c r="AE2762" s="13" t="s">
        <v>44</v>
      </c>
    </row>
    <row r="2763" customFormat="false" ht="15" hidden="false" customHeight="true" outlineLevel="0" collapsed="false">
      <c r="A2763" s="12" t="n">
        <v>20912</v>
      </c>
      <c r="B2763" s="13" t="s">
        <v>11733</v>
      </c>
      <c r="C2763" s="16" t="n">
        <v>45931</v>
      </c>
      <c r="D2763" s="13" t="s">
        <v>5030</v>
      </c>
      <c r="E2763" s="13" t="s">
        <v>47</v>
      </c>
      <c r="F2763" s="15" t="str">
        <f aca="false">IFERROR(__xludf.dummyfunction("XLOOKUP(AJ2763,IMPORTRANGE(""1XaInW9DU9nz21V0tYIfzFQ0He9kVQ_JF2mCXgZ3hqFA"",""REKAP ALL 2026 - Andika!G:G""),IMPORTRANGE(""1XaInW9DU9nz21V0tYIfzFQ0He9kVQ_JF2mCXgZ3hqFA"",""REKAP ALL 2026 - Andika!F:F""),"""",0)"),"25157495364")</f>
        <v>25157495364</v>
      </c>
      <c r="G2763" s="13" t="s">
        <v>1127</v>
      </c>
      <c r="H2763" s="13" t="s">
        <v>35</v>
      </c>
      <c r="I2763" s="13" t="str">
        <f aca="false">IF(C2763=J2763,"NEW KONTRAK","RE-KONTRAK")</f>
        <v>NEW KONTRAK</v>
      </c>
      <c r="J2763" s="16" t="n">
        <f aca="false" t="array" ref="J2763:J2763">IFERROR(INDEX(AC2763:AE2763,IF(COUNTA(AC2763:AE2763)=0,"",MAX((AC2763:AE2763&lt;&gt;"")*(COLUMN(AC2763:AE2763)-(COLUMN(AC2763)))))-1),"")</f>
        <v>45931</v>
      </c>
      <c r="K2763" s="16" t="n">
        <f aca="false" t="array" ref="K2763:K2763">IFERROR(INDEX(AC2763:AE2763,IF(COUNTA(AC2763:AE2763)=0,"",MAX((AC2763:AE2763&lt;&gt;"")*(COLUMN(AC2763:AE2763)-(COLUMN(AC2763)-1))))-1),"")</f>
        <v>46234</v>
      </c>
      <c r="L2763" s="17" t="str">
        <f aca="false" t="array" ref="L2763:L2763">IFERROR(INDEX(AC2763:AE2763,IF(COUNTA(AC2763:AE2763)=0,"",MAX((AC2763:AE2763&lt;&gt;"")*(COLUMN(AC2763:AE2763)-(COLUMN(AC2763)-2))))-1),"")</f>
        <v>KEMBALI</v>
      </c>
      <c r="M2763" s="13" t="n">
        <f aca="true">K2763-TODAY()</f>
        <v>-90</v>
      </c>
      <c r="N2763" s="18" t="s">
        <v>728</v>
      </c>
      <c r="O2763" s="13" t="s">
        <v>5032</v>
      </c>
      <c r="P2763" s="27" t="n">
        <v>5195401</v>
      </c>
      <c r="Q2763" s="47" t="s">
        <v>11734</v>
      </c>
      <c r="R2763" s="13" t="s">
        <v>826</v>
      </c>
      <c r="S2763" s="16" t="n">
        <v>26459</v>
      </c>
      <c r="T2763" s="28" t="s">
        <v>40</v>
      </c>
      <c r="U2763" s="13" t="s">
        <v>11735</v>
      </c>
      <c r="V2763" s="13" t="s">
        <v>42</v>
      </c>
      <c r="W2763" s="13" t="s">
        <v>897</v>
      </c>
      <c r="X2763" s="21" t="n">
        <v>82231502321</v>
      </c>
      <c r="Y2763" s="22" t="str">
        <f aca="false">O2763</f>
        <v>Operator Genset</v>
      </c>
      <c r="Z2763" s="13" t="str">
        <f aca="false">IFERROR(__xludf.dummyfunction("if(BJ2763="""","""",GOOGLETRANSLATE(BJ2763,""auto"",""en""))"),"Generator Operator")</f>
        <v>Generator Operator</v>
      </c>
      <c r="AA2763" s="23" t="str">
        <f aca="false">IF(C2763="","", CHOOSE(MONTH(C2763),"January","February","March","April","May","June","July","August","September","October","November","December")&amp;" "&amp;DAY(C2763)&amp;MID("thstndrdth",MIN(9,2*RIGHT(DAY(C2763))*(MOD(DAY(C2763)-11,100)&gt;2)+1),2)&amp;","&amp;TEXT(C2763," yyyy"))</f>
        <v>October 1st,2025</v>
      </c>
      <c r="AB2763" s="15" t="str">
        <f aca="true">IF(S2763="","",DATEDIF(S2763,TODAY(),"Y")&amp;" Tahun, "&amp;DATEDIF(S2763,TODAY(),"YM")&amp;" Bulan, "&amp;DATEDIF(S2763,TODAY(),"MD")&amp;" Hari")</f>
        <v>54 Tahun, 4 Bulan, 20 Hari</v>
      </c>
      <c r="AC2763" s="18" t="n">
        <v>45931</v>
      </c>
      <c r="AD2763" s="18" t="n">
        <v>46234</v>
      </c>
      <c r="AE2763" s="13" t="s">
        <v>397</v>
      </c>
    </row>
    <row r="2764" customFormat="false" ht="15" hidden="false" customHeight="true" outlineLevel="0" collapsed="false">
      <c r="A2764" s="12" t="n">
        <v>20913</v>
      </c>
      <c r="B2764" s="13" t="s">
        <v>11736</v>
      </c>
      <c r="C2764" s="16" t="n">
        <v>45931</v>
      </c>
      <c r="D2764" s="13" t="s">
        <v>5030</v>
      </c>
      <c r="E2764" s="13" t="s">
        <v>47</v>
      </c>
      <c r="F2764" s="15" t="str">
        <f aca="false">IFERROR(__xludf.dummyfunction("XLOOKUP(AJ2764,IMPORTRANGE(""1XaInW9DU9nz21V0tYIfzFQ0He9kVQ_JF2mCXgZ3hqFA"",""REKAP ALL 2026 - Andika!G:G""),IMPORTRANGE(""1XaInW9DU9nz21V0tYIfzFQ0He9kVQ_JF2mCXgZ3hqFA"",""REKAP ALL 2026 - Andika!F:F""),"""",0)"),"25157495372")</f>
        <v>25157495372</v>
      </c>
      <c r="G2764" s="13" t="s">
        <v>1127</v>
      </c>
      <c r="H2764" s="13" t="s">
        <v>35</v>
      </c>
      <c r="I2764" s="13" t="str">
        <f aca="false">IF(C2764=J2764,"NEW KONTRAK","RE-KONTRAK")</f>
        <v>NEW KONTRAK</v>
      </c>
      <c r="J2764" s="16" t="n">
        <f aca="false" t="array" ref="J2764:J2764">IFERROR(INDEX(AC2764:AE2764,IF(COUNTA(AC2764:AE2764)=0,"",MAX((AC2764:AE2764&lt;&gt;"")*(COLUMN(AC2764:AE2764)-(COLUMN(AC2764)))))-1),"")</f>
        <v>45931</v>
      </c>
      <c r="K2764" s="16" t="n">
        <f aca="false" t="array" ref="K2764:K2764">IFERROR(INDEX(AC2764:AE2764,IF(COUNTA(AC2764:AE2764)=0,"",MAX((AC2764:AE2764&lt;&gt;"")*(COLUMN(AC2764:AE2764)-(COLUMN(AC2764)-1))))-1),"")</f>
        <v>46234</v>
      </c>
      <c r="L2764" s="17" t="str">
        <f aca="false" t="array" ref="L2764:L2764">IFERROR(INDEX(AC2764:AE2764,IF(COUNTA(AC2764:AE2764)=0,"",MAX((AC2764:AE2764&lt;&gt;"")*(COLUMN(AC2764:AE2764)-(COLUMN(AC2764)-2))))-1),"")</f>
        <v>KEMBALI</v>
      </c>
      <c r="M2764" s="13" t="n">
        <f aca="true">K2764-TODAY()</f>
        <v>-90</v>
      </c>
      <c r="N2764" s="18" t="s">
        <v>728</v>
      </c>
      <c r="O2764" s="13" t="s">
        <v>5032</v>
      </c>
      <c r="P2764" s="27" t="n">
        <v>5195401</v>
      </c>
      <c r="Q2764" s="47" t="s">
        <v>11737</v>
      </c>
      <c r="R2764" s="13" t="s">
        <v>260</v>
      </c>
      <c r="S2764" s="16" t="n">
        <v>34338</v>
      </c>
      <c r="T2764" s="28" t="s">
        <v>40</v>
      </c>
      <c r="U2764" s="13" t="s">
        <v>11738</v>
      </c>
      <c r="V2764" s="13" t="s">
        <v>42</v>
      </c>
      <c r="W2764" s="13" t="s">
        <v>43</v>
      </c>
      <c r="X2764" s="21" t="n">
        <v>8996778593</v>
      </c>
      <c r="Y2764" s="22" t="str">
        <f aca="false">O2764</f>
        <v>Operator Genset</v>
      </c>
      <c r="Z2764" s="13" t="str">
        <f aca="false">IFERROR(__xludf.dummyfunction("if(BJ2764="""","""",GOOGLETRANSLATE(BJ2764,""auto"",""en""))"),"Generator Operator")</f>
        <v>Generator Operator</v>
      </c>
      <c r="AA2764" s="23" t="str">
        <f aca="false">IF(C2764="","", CHOOSE(MONTH(C2764),"January","February","March","April","May","June","July","August","September","October","November","December")&amp;" "&amp;DAY(C2764)&amp;MID("thstndrdth",MIN(9,2*RIGHT(DAY(C2764))*(MOD(DAY(C2764)-11,100)&gt;2)+1),2)&amp;","&amp;TEXT(C2764," yyyy"))</f>
        <v>October 1st,2025</v>
      </c>
      <c r="AB2764" s="15" t="str">
        <f aca="true">IF(S2764="","",DATEDIF(S2764,TODAY(),"Y")&amp;" Tahun, "&amp;DATEDIF(S2764,TODAY(),"YM")&amp;" Bulan, "&amp;DATEDIF(S2764,TODAY(),"MD")&amp;" Hari")</f>
        <v>32 Tahun, 9 Bulan, 25 Hari</v>
      </c>
      <c r="AC2764" s="18" t="n">
        <v>45931</v>
      </c>
      <c r="AD2764" s="18" t="n">
        <v>46234</v>
      </c>
      <c r="AE2764" s="13" t="s">
        <v>397</v>
      </c>
    </row>
    <row r="2765" customFormat="false" ht="15" hidden="false" customHeight="true" outlineLevel="0" collapsed="false">
      <c r="A2765" s="12" t="n">
        <v>20914</v>
      </c>
      <c r="B2765" s="13" t="s">
        <v>11739</v>
      </c>
      <c r="C2765" s="16" t="n">
        <v>45931</v>
      </c>
      <c r="D2765" s="13" t="s">
        <v>5030</v>
      </c>
      <c r="E2765" s="13" t="s">
        <v>102</v>
      </c>
      <c r="F2765" s="24" t="s">
        <v>11740</v>
      </c>
      <c r="G2765" s="13" t="s">
        <v>1127</v>
      </c>
      <c r="H2765" s="13" t="s">
        <v>35</v>
      </c>
      <c r="I2765" s="13" t="str">
        <f aca="false">IF(C2765=J2765,"NEW KONTRAK","RE-KONTRAK")</f>
        <v>NEW KONTRAK</v>
      </c>
      <c r="J2765" s="16" t="n">
        <f aca="false" t="array" ref="J2765:J2765">IFERROR(INDEX(AC2765:AE2765,IF(COUNTA(AC2765:AE2765)=0,"",MAX((AC2765:AE2765&lt;&gt;"")*(COLUMN(AC2765:AE2765)-(COLUMN(AC2765)))))-1),"")</f>
        <v>45931</v>
      </c>
      <c r="K2765" s="16" t="n">
        <f aca="false" t="array" ref="K2765:K2765">IFERROR(INDEX(AC2765:AE2765,IF(COUNTA(AC2765:AE2765)=0,"",MAX((AC2765:AE2765&lt;&gt;"")*(COLUMN(AC2765:AE2765)-(COLUMN(AC2765)-1))))-1),"")</f>
        <v>46234</v>
      </c>
      <c r="L2765" s="17" t="str">
        <f aca="false" t="array" ref="L2765:L2765">IFERROR(INDEX(AC2765:AE2765,IF(COUNTA(AC2765:AE2765)=0,"",MAX((AC2765:AE2765&lt;&gt;"")*(COLUMN(AC2765:AE2765)-(COLUMN(AC2765)-2))))-1),"")</f>
        <v>ARCHIVED</v>
      </c>
      <c r="M2765" s="13" t="n">
        <f aca="true">K2765-TODAY()</f>
        <v>-90</v>
      </c>
      <c r="N2765" s="18" t="s">
        <v>728</v>
      </c>
      <c r="O2765" s="13" t="s">
        <v>5032</v>
      </c>
      <c r="P2765" s="27" t="n">
        <v>5195401</v>
      </c>
      <c r="Q2765" s="47" t="s">
        <v>11741</v>
      </c>
      <c r="R2765" s="13" t="s">
        <v>52</v>
      </c>
      <c r="S2765" s="16" t="n">
        <v>37650</v>
      </c>
      <c r="T2765" s="28" t="s">
        <v>40</v>
      </c>
      <c r="U2765" s="13" t="s">
        <v>11742</v>
      </c>
      <c r="V2765" s="13" t="s">
        <v>42</v>
      </c>
      <c r="W2765" s="13" t="s">
        <v>43</v>
      </c>
      <c r="X2765" s="21" t="n">
        <v>81238436564</v>
      </c>
      <c r="Y2765" s="22" t="str">
        <f aca="false">O2765</f>
        <v>Operator Genset</v>
      </c>
      <c r="Z2765" s="13" t="str">
        <f aca="false">IFERROR(__xludf.dummyfunction("if(BJ2765="""","""",GOOGLETRANSLATE(BJ2765,""auto"",""en""))"),"Generator Operator")</f>
        <v>Generator Operator</v>
      </c>
      <c r="AA2765" s="23" t="str">
        <f aca="false">IF(C2765="","", CHOOSE(MONTH(C2765),"January","February","March","April","May","June","July","August","September","October","November","December")&amp;" "&amp;DAY(C2765)&amp;MID("thstndrdth",MIN(9,2*RIGHT(DAY(C2765))*(MOD(DAY(C2765)-11,100)&gt;2)+1),2)&amp;","&amp;TEXT(C2765," yyyy"))</f>
        <v>October 1st,2025</v>
      </c>
      <c r="AB2765" s="15" t="str">
        <f aca="true">IF(S2765="","",DATEDIF(S2765,TODAY(),"Y")&amp;" Tahun, "&amp;DATEDIF(S2765,TODAY(),"YM")&amp;" Bulan, "&amp;DATEDIF(S2765,TODAY(),"MD")&amp;" Hari")</f>
        <v>23 Tahun, 9 Bulan, 0 Hari</v>
      </c>
      <c r="AC2765" s="18" t="n">
        <v>45931</v>
      </c>
      <c r="AD2765" s="18" t="n">
        <v>46234</v>
      </c>
      <c r="AE2765" s="13" t="s">
        <v>44</v>
      </c>
    </row>
    <row r="2766" customFormat="false" ht="15" hidden="false" customHeight="true" outlineLevel="0" collapsed="false">
      <c r="A2766" s="12" t="n">
        <v>20915</v>
      </c>
      <c r="B2766" s="13" t="s">
        <v>11743</v>
      </c>
      <c r="C2766" s="16" t="n">
        <v>45901</v>
      </c>
      <c r="D2766" s="13" t="s">
        <v>3976</v>
      </c>
      <c r="E2766" s="13" t="s">
        <v>47</v>
      </c>
      <c r="F2766" s="15" t="str">
        <f aca="false">IFERROR(__xludf.dummyfunction("XLOOKUP(AJ2766,IMPORTRANGE(""1XaInW9DU9nz21V0tYIfzFQ0He9kVQ_JF2mCXgZ3hqFA"",""REKAP ALL 2026 - Andika!G:G""),IMPORTRANGE(""1XaInW9DU9nz21V0tYIfzFQ0He9kVQ_JF2mCXgZ3hqFA"",""REKAP ALL 2026 - Andika!F:F""),"""",0)"),"25133219532")</f>
        <v>25133219532</v>
      </c>
      <c r="G2766" s="13" t="s">
        <v>1127</v>
      </c>
      <c r="H2766" s="13" t="s">
        <v>35</v>
      </c>
      <c r="I2766" s="13" t="str">
        <f aca="false">IF(C2766=J2766,"NEW KONTRAK","RE-KONTRAK")</f>
        <v>NEW KONTRAK</v>
      </c>
      <c r="J2766" s="16" t="n">
        <f aca="false" t="array" ref="J2766:J2766">IFERROR(INDEX(AC2766:AE2766,IF(COUNTA(AC2766:AE2766)=0,"",MAX((AC2766:AE2766&lt;&gt;"")*(COLUMN(AC2766:AE2766)-(COLUMN(AC2766)))))-1),"")</f>
        <v>45901</v>
      </c>
      <c r="K2766" s="16" t="n">
        <f aca="false" t="array" ref="K2766:K2766">IFERROR(INDEX(AC2766:AE2766,IF(COUNTA(AC2766:AE2766)=0,"",MAX((AC2766:AE2766&lt;&gt;"")*(COLUMN(AC2766:AE2766)-(COLUMN(AC2766)-1))))-1),"")</f>
        <v>46022</v>
      </c>
      <c r="L2766" s="17" t="str">
        <f aca="false" t="array" ref="L2766:L2766">IFERROR(INDEX(AC2766:AE2766,IF(COUNTA(AC2766:AE2766)=0,"",MAX((AC2766:AE2766&lt;&gt;"")*(COLUMN(AC2766:AE2766)-(COLUMN(AC2766)-2))))-1),"")</f>
        <v>ARCHIVED</v>
      </c>
      <c r="M2766" s="13" t="n">
        <f aca="true">K2766-TODAY()</f>
        <v>-302</v>
      </c>
      <c r="N2766" s="18" t="s">
        <v>105</v>
      </c>
      <c r="O2766" s="13" t="s">
        <v>11744</v>
      </c>
      <c r="P2766" s="19" t="n">
        <v>5191541</v>
      </c>
      <c r="Q2766" s="47" t="s">
        <v>11745</v>
      </c>
      <c r="R2766" s="13" t="s">
        <v>52</v>
      </c>
      <c r="S2766" s="16" t="n">
        <v>35518</v>
      </c>
      <c r="T2766" s="13" t="s">
        <v>108</v>
      </c>
      <c r="U2766" s="13" t="s">
        <v>11746</v>
      </c>
      <c r="V2766" s="13" t="s">
        <v>42</v>
      </c>
      <c r="W2766" s="13" t="s">
        <v>43</v>
      </c>
      <c r="X2766" s="21" t="n">
        <v>85792150760</v>
      </c>
      <c r="Y2766" s="22" t="str">
        <f aca="false">O2766</f>
        <v>Receptionist</v>
      </c>
      <c r="Z2766" s="13" t="str">
        <f aca="false">IFERROR(__xludf.dummyfunction("if(BJ2766="""","""",GOOGLETRANSLATE(BJ2766,""auto"",""en""))"),"Receptionist")</f>
        <v>Receptionist</v>
      </c>
      <c r="AA2766" s="23" t="str">
        <f aca="false">IF(C2766="","", CHOOSE(MONTH(C2766),"January","February","March","April","May","June","July","August","September","October","November","December")&amp;" "&amp;DAY(C2766)&amp;MID("thstndrdth",MIN(9,2*RIGHT(DAY(C2766))*(MOD(DAY(C2766)-11,100)&gt;2)+1),2)&amp;","&amp;TEXT(C2766," yyyy"))</f>
        <v>September 1st,2025</v>
      </c>
      <c r="AB2766" s="15" t="str">
        <f aca="true">IF(S2766="","",DATEDIF(S2766,TODAY(),"Y")&amp;" Tahun, "&amp;DATEDIF(S2766,TODAY(),"YM")&amp;" Bulan, "&amp;DATEDIF(S2766,TODAY(),"MD")&amp;" Hari")</f>
        <v>29 Tahun, 7 Bulan, 0 Hari</v>
      </c>
      <c r="AC2766" s="18" t="n">
        <v>45901</v>
      </c>
      <c r="AD2766" s="18" t="n">
        <v>46022</v>
      </c>
      <c r="AE2766" s="13" t="s">
        <v>44</v>
      </c>
    </row>
    <row r="2767" customFormat="false" ht="15" hidden="false" customHeight="true" outlineLevel="0" collapsed="false">
      <c r="A2767" s="12" t="n">
        <v>20931</v>
      </c>
      <c r="B2767" s="13" t="s">
        <v>11747</v>
      </c>
      <c r="C2767" s="16" t="n">
        <v>45929</v>
      </c>
      <c r="D2767" s="13" t="s">
        <v>7310</v>
      </c>
      <c r="E2767" s="13" t="s">
        <v>102</v>
      </c>
      <c r="F2767" s="15" t="str">
        <f aca="false">IFERROR(__xludf.dummyfunction("XLOOKUP(AJ2767,IMPORTRANGE(""1XaInW9DU9nz21V0tYIfzFQ0He9kVQ_JF2mCXgZ3hqFA"",""REKAP ALL 2026 - Andika!G:G""),IMPORTRANGE(""1XaInW9DU9nz21V0tYIfzFQ0He9kVQ_JF2mCXgZ3hqFA"",""REKAP ALL 2026 - Andika!F:F""),"""",0)"),"25133235256")</f>
        <v>25133235256</v>
      </c>
      <c r="G2767" s="13" t="s">
        <v>1127</v>
      </c>
      <c r="H2767" s="13" t="s">
        <v>35</v>
      </c>
      <c r="I2767" s="13" t="str">
        <f aca="false">IF(C2767=J2767,"NEW KONTRAK","RE-KONTRAK")</f>
        <v>NEW KONTRAK</v>
      </c>
      <c r="J2767" s="16" t="n">
        <f aca="false" t="array" ref="J2767:J2767">IFERROR(INDEX(AC2767:AE2767,IF(COUNTA(AC2767:AE2767)=0,"",MAX((AC2767:AE2767&lt;&gt;"")*(COLUMN(AC2767:AE2767)-(COLUMN(AC2767)))))-1),"")</f>
        <v>45929</v>
      </c>
      <c r="K2767" s="16" t="n">
        <f aca="false" t="array" ref="K2767:K2767">IFERROR(INDEX(AC2767:AE2767,IF(COUNTA(AC2767:AE2767)=0,"",MAX((AC2767:AE2767&lt;&gt;"")*(COLUMN(AC2767:AE2767)-(COLUMN(AC2767)-1))))-1),"")</f>
        <v>46267</v>
      </c>
      <c r="L2767" s="17" t="str">
        <f aca="false" t="array" ref="L2767:L2767">IFERROR(INDEX(AC2767:AE2767,IF(COUNTA(AC2767:AE2767)=0,"",MAX((AC2767:AE2767&lt;&gt;"")*(COLUMN(AC2767:AE2767)-(COLUMN(AC2767)-2))))-1),"")</f>
        <v>ARCHIVED</v>
      </c>
      <c r="M2767" s="13" t="n">
        <f aca="true">K2767-TODAY()</f>
        <v>-57</v>
      </c>
      <c r="N2767" s="18" t="s">
        <v>7313</v>
      </c>
      <c r="O2767" s="13" t="s">
        <v>7611</v>
      </c>
      <c r="P2767" s="19" t="n">
        <v>2550274</v>
      </c>
      <c r="Q2767" s="47" t="s">
        <v>11748</v>
      </c>
      <c r="R2767" s="13" t="s">
        <v>227</v>
      </c>
      <c r="S2767" s="16" t="n">
        <v>38077</v>
      </c>
      <c r="T2767" s="28" t="s">
        <v>40</v>
      </c>
      <c r="U2767" s="13" t="s">
        <v>11749</v>
      </c>
      <c r="V2767" s="13" t="s">
        <v>42</v>
      </c>
      <c r="W2767" s="13" t="s">
        <v>43</v>
      </c>
      <c r="X2767" s="21" t="n">
        <v>81779988833</v>
      </c>
      <c r="Y2767" s="22" t="str">
        <f aca="false">O2767</f>
        <v>Helper Kernet</v>
      </c>
      <c r="Z2767" s="13" t="str">
        <f aca="false">IFERROR(__xludf.dummyfunction("if(BJ2767="""","""",GOOGLETRANSLATE(BJ2767,""auto"",""en""))"),"Helper Kernet")</f>
        <v>Helper Kernet</v>
      </c>
      <c r="AA2767" s="23" t="str">
        <f aca="false">IF(C2767="","", CHOOSE(MONTH(C2767),"January","February","March","April","May","June","July","August","September","October","November","December")&amp;" "&amp;DAY(C2767)&amp;MID("thstndrdth",MIN(9,2*RIGHT(DAY(C2767))*(MOD(DAY(C2767)-11,100)&gt;2)+1),2)&amp;","&amp;TEXT(C2767," yyyy"))</f>
        <v>September 29th,2025</v>
      </c>
      <c r="AB2767" s="15" t="str">
        <f aca="true">IF(S2767="","",DATEDIF(S2767,TODAY(),"Y")&amp;" Tahun, "&amp;DATEDIF(S2767,TODAY(),"YM")&amp;" Bulan, "&amp;DATEDIF(S2767,TODAY(),"MD")&amp;" Hari")</f>
        <v>22 Tahun, 6 Bulan, 28 Hari</v>
      </c>
      <c r="AC2767" s="18" t="n">
        <v>45929</v>
      </c>
      <c r="AD2767" s="18" t="n">
        <v>46267</v>
      </c>
      <c r="AE2767" s="18" t="s">
        <v>44</v>
      </c>
    </row>
    <row r="2768" customFormat="false" ht="15" hidden="false" customHeight="true" outlineLevel="0" collapsed="false">
      <c r="A2768" s="12" t="n">
        <v>20952</v>
      </c>
      <c r="B2768" s="13" t="s">
        <v>11750</v>
      </c>
      <c r="C2768" s="16" t="n">
        <v>45906</v>
      </c>
      <c r="D2768" s="13" t="s">
        <v>6638</v>
      </c>
      <c r="E2768" s="13" t="s">
        <v>102</v>
      </c>
      <c r="F2768" s="15" t="str">
        <f aca="false">IFERROR(__xludf.dummyfunction("XLOOKUP(AJ2768,IMPORTRANGE(""1XaInW9DU9nz21V0tYIfzFQ0He9kVQ_JF2mCXgZ3hqFA"",""REKAP ALL 2026 - Andika!G:G""),IMPORTRANGE(""1XaInW9DU9nz21V0tYIfzFQ0He9kVQ_JF2mCXgZ3hqFA"",""REKAP ALL 2026 - Andika!F:F""),"""",0)"),"25133238250")</f>
        <v>25133238250</v>
      </c>
      <c r="G2768" s="13" t="s">
        <v>1127</v>
      </c>
      <c r="H2768" s="13" t="s">
        <v>35</v>
      </c>
      <c r="I2768" s="13" t="str">
        <f aca="false">IF(C2768=J2768,"NEW KONTRAK","RE-KONTRAK")</f>
        <v>NEW KONTRAK</v>
      </c>
      <c r="J2768" s="16" t="n">
        <f aca="false" t="array" ref="J2768:J2768">IFERROR(INDEX(AC2768:AE2768,IF(COUNTA(AC2768:AE2768)=0,"",MAX((AC2768:AE2768&lt;&gt;"")*(COLUMN(AC2768:AE2768)-(COLUMN(AC2768)))))-1),"")</f>
        <v>45906</v>
      </c>
      <c r="K2768" s="16" t="n">
        <f aca="false" t="array" ref="K2768:K2768">IFERROR(INDEX(AC2768:AE2768,IF(COUNTA(AC2768:AE2768)=0,"",MAX((AC2768:AE2768&lt;&gt;"")*(COLUMN(AC2768:AE2768)-(COLUMN(AC2768)-1))))-1),"")</f>
        <v>45996</v>
      </c>
      <c r="L2768" s="17" t="str">
        <f aca="false" t="array" ref="L2768:L2768">IFERROR(INDEX(AC2768:AE2768,IF(COUNTA(AC2768:AE2768)=0,"",MAX((AC2768:AE2768&lt;&gt;"")*(COLUMN(AC2768:AE2768)-(COLUMN(AC2768)-2))))-1),"")</f>
        <v>ARCHIVED</v>
      </c>
      <c r="M2768" s="13" t="n">
        <f aca="true">K2768-TODAY()</f>
        <v>-328</v>
      </c>
      <c r="N2768" s="50" t="s">
        <v>728</v>
      </c>
      <c r="O2768" s="13" t="s">
        <v>11751</v>
      </c>
      <c r="P2768" s="19" t="n">
        <v>3113530</v>
      </c>
      <c r="Q2768" s="47" t="s">
        <v>11752</v>
      </c>
      <c r="R2768" s="13" t="s">
        <v>324</v>
      </c>
      <c r="S2768" s="16" t="n">
        <v>35559</v>
      </c>
      <c r="T2768" s="28" t="s">
        <v>40</v>
      </c>
      <c r="U2768" s="13" t="s">
        <v>11753</v>
      </c>
      <c r="V2768" s="13" t="s">
        <v>42</v>
      </c>
      <c r="W2768" s="13" t="s">
        <v>43</v>
      </c>
      <c r="X2768" s="21" t="n">
        <v>89685116760</v>
      </c>
      <c r="Y2768" s="22" t="str">
        <f aca="false">O2768</f>
        <v>E-commerce Live Streaming Admin</v>
      </c>
      <c r="Z2768" s="13" t="str">
        <f aca="false">IFERROR(__xludf.dummyfunction("if(BJ2768="""","""",GOOGLETRANSLATE(BJ2768,""auto"",""en""))"),"E-commerce Live Streaming Admin")</f>
        <v>E-commerce Live Streaming Admin</v>
      </c>
      <c r="AA2768" s="23" t="str">
        <f aca="false">IF(C2768="","", CHOOSE(MONTH(C2768),"January","February","March","April","May","June","July","August","September","October","November","December")&amp;" "&amp;DAY(C2768)&amp;MID("thstndrdth",MIN(9,2*RIGHT(DAY(C2768))*(MOD(DAY(C2768)-11,100)&gt;2)+1),2)&amp;","&amp;TEXT(C2768," yyyy"))</f>
        <v>September 6th,2025</v>
      </c>
      <c r="AB2768" s="15" t="str">
        <f aca="true">IF(S2768="","",DATEDIF(S2768,TODAY(),"Y")&amp;" Tahun, "&amp;DATEDIF(S2768,TODAY(),"YM")&amp;" Bulan, "&amp;DATEDIF(S2768,TODAY(),"MD")&amp;" Hari")</f>
        <v>29 Tahun, 5 Bulan, 20 Hari</v>
      </c>
      <c r="AC2768" s="18" t="n">
        <v>45906</v>
      </c>
      <c r="AD2768" s="18" t="n">
        <f aca="false">EDATE(AC2768,3)-1</f>
        <v>45996</v>
      </c>
      <c r="AE2768" s="13" t="s">
        <v>44</v>
      </c>
    </row>
    <row r="2769" customFormat="false" ht="15" hidden="false" customHeight="true" outlineLevel="0" collapsed="false">
      <c r="A2769" s="12" t="n">
        <v>20953</v>
      </c>
      <c r="B2769" s="13" t="s">
        <v>11754</v>
      </c>
      <c r="C2769" s="16" t="n">
        <v>45934</v>
      </c>
      <c r="D2769" s="13" t="s">
        <v>2332</v>
      </c>
      <c r="E2769" s="15" t="s">
        <v>102</v>
      </c>
      <c r="F2769" s="15" t="str">
        <f aca="false">IFERROR(__xludf.dummyfunction("XLOOKUP(AJ2769,IMPORTRANGE(""1XaInW9DU9nz21V0tYIfzFQ0He9kVQ_JF2mCXgZ3hqFA"",""REKAP ALL 2026 - Andika!G:G""),IMPORTRANGE(""1XaInW9DU9nz21V0tYIfzFQ0He9kVQ_JF2mCXgZ3hqFA"",""REKAP ALL 2026 - Andika!F:F""),"""",0)"),"25157579787")</f>
        <v>25157579787</v>
      </c>
      <c r="G2769" s="13" t="s">
        <v>57</v>
      </c>
      <c r="H2769" s="13" t="s">
        <v>35</v>
      </c>
      <c r="I2769" s="13" t="str">
        <f aca="false">IF(C2769=J2769,"NEW KONTRAK","RE-KONTRAK")</f>
        <v>NEW KONTRAK</v>
      </c>
      <c r="J2769" s="16" t="n">
        <f aca="false" t="array" ref="J2769:J2769">IFERROR(INDEX(AC2769:AE2769,IF(COUNTA(AC2769:AE2769)=0,"",MAX((AC2769:AE2769&lt;&gt;"")*(COLUMN(AC2769:AE2769)-(COLUMN(AC2769)))))-1),"")</f>
        <v>45934</v>
      </c>
      <c r="K2769" s="16" t="n">
        <f aca="false" t="array" ref="K2769:K2769">IFERROR(INDEX(AC2769:AE2769,IF(COUNTA(AC2769:AE2769)=0,"",MAX((AC2769:AE2769&lt;&gt;"")*(COLUMN(AC2769:AE2769)-(COLUMN(AC2769)-1))))-1),"")</f>
        <v>46025</v>
      </c>
      <c r="L2769" s="17" t="str">
        <f aca="false" t="array" ref="L2769:L2769">IFERROR(INDEX(AC2769:AE2769,IF(COUNTA(AC2769:AE2769)=0,"",MAX((AC2769:AE2769&lt;&gt;"")*(COLUMN(AC2769:AE2769)-(COLUMN(AC2769)-2))))-1),"")</f>
        <v>ARCHIVED</v>
      </c>
      <c r="M2769" s="13" t="n">
        <f aca="true">K2769-TODAY()</f>
        <v>-299</v>
      </c>
      <c r="N2769" s="18" t="s">
        <v>615</v>
      </c>
      <c r="O2769" s="13" t="s">
        <v>7338</v>
      </c>
      <c r="P2769" s="19" t="n">
        <v>5176101</v>
      </c>
      <c r="Q2769" s="47" t="s">
        <v>11755</v>
      </c>
      <c r="R2769" s="13" t="s">
        <v>39</v>
      </c>
      <c r="S2769" s="16" t="n">
        <v>37590</v>
      </c>
      <c r="T2769" s="13" t="s">
        <v>108</v>
      </c>
      <c r="U2769" s="13" t="s">
        <v>11756</v>
      </c>
      <c r="V2769" s="13" t="s">
        <v>42</v>
      </c>
      <c r="W2769" s="13" t="s">
        <v>43</v>
      </c>
      <c r="X2769" s="30" t="n">
        <v>82178390847</v>
      </c>
      <c r="Y2769" s="22" t="str">
        <f aca="false">O2769</f>
        <v>Drafter</v>
      </c>
      <c r="Z2769" s="13" t="str">
        <f aca="false">IFERROR(__xludf.dummyfunction("if(BJ2769="""","""",GOOGLETRANSLATE(BJ2769,""auto"",""en""))"),"Drafter")</f>
        <v>Drafter</v>
      </c>
      <c r="AA2769" s="23" t="str">
        <f aca="false">IF(C2769="","", CHOOSE(MONTH(C2769),"January","February","March","April","May","June","July","August","September","October","November","December")&amp;" "&amp;DAY(C2769)&amp;MID("thstndrdth",MIN(9,2*RIGHT(DAY(C2769))*(MOD(DAY(C2769)-11,100)&gt;2)+1),2)&amp;","&amp;TEXT(C2769," yyyy"))</f>
        <v>October 4th,2025</v>
      </c>
      <c r="AB2769" s="15" t="str">
        <f aca="true">IF(S2769="","",DATEDIF(S2769,TODAY(),"Y")&amp;" Tahun, "&amp;DATEDIF(S2769,TODAY(),"YM")&amp;" Bulan, "&amp;DATEDIF(S2769,TODAY(),"MD")&amp;" Hari")</f>
        <v>23 Tahun, 10 Bulan, 29 Hari</v>
      </c>
      <c r="AC2769" s="18" t="n">
        <v>45934</v>
      </c>
      <c r="AD2769" s="18" t="n">
        <f aca="false">EDATE(AC2769,3)-1</f>
        <v>46025</v>
      </c>
      <c r="AE2769" s="18" t="s">
        <v>44</v>
      </c>
    </row>
    <row r="2770" customFormat="false" ht="15" hidden="false" customHeight="true" outlineLevel="0" collapsed="false">
      <c r="A2770" s="12" t="n">
        <v>20954</v>
      </c>
      <c r="B2770" s="13" t="s">
        <v>11757</v>
      </c>
      <c r="C2770" s="16" t="n">
        <v>45931</v>
      </c>
      <c r="D2770" s="13" t="s">
        <v>5030</v>
      </c>
      <c r="E2770" s="13" t="s">
        <v>47</v>
      </c>
      <c r="F2770" s="15" t="str">
        <f aca="false">IFERROR(__xludf.dummyfunction("XLOOKUP(AJ2770,IMPORTRANGE(""1XaInW9DU9nz21V0tYIfzFQ0He9kVQ_JF2mCXgZ3hqFA"",""REKAP ALL 2026 - Andika!G:G""),IMPORTRANGE(""1XaInW9DU9nz21V0tYIfzFQ0He9kVQ_JF2mCXgZ3hqFA"",""REKAP ALL 2026 - Andika!F:F""),"""",0)"),"25157495356")</f>
        <v>25157495356</v>
      </c>
      <c r="G2770" s="13" t="s">
        <v>1127</v>
      </c>
      <c r="H2770" s="13" t="s">
        <v>35</v>
      </c>
      <c r="I2770" s="13" t="str">
        <f aca="false">IF(C2770=J2770,"NEW KONTRAK","RE-KONTRAK")</f>
        <v>NEW KONTRAK</v>
      </c>
      <c r="J2770" s="16" t="n">
        <f aca="false" t="array" ref="J2770:J2770">IFERROR(INDEX(AC2770:AE2770,IF(COUNTA(AC2770:AE2770)=0,"",MAX((AC2770:AE2770&lt;&gt;"")*(COLUMN(AC2770:AE2770)-(COLUMN(AC2770)))))-1),"")</f>
        <v>45931</v>
      </c>
      <c r="K2770" s="16" t="n">
        <f aca="false" t="array" ref="K2770:K2770">IFERROR(INDEX(AC2770:AE2770,IF(COUNTA(AC2770:AE2770)=0,"",MAX((AC2770:AE2770&lt;&gt;"")*(COLUMN(AC2770:AE2770)-(COLUMN(AC2770)-1))))-1),"")</f>
        <v>46234</v>
      </c>
      <c r="L2770" s="17" t="str">
        <f aca="false" t="array" ref="L2770:L2770">IFERROR(INDEX(AC2770:AE2770,IF(COUNTA(AC2770:AE2770)=0,"",MAX((AC2770:AE2770&lt;&gt;"")*(COLUMN(AC2770:AE2770)-(COLUMN(AC2770)-2))))-1),"")</f>
        <v>KEMBALI</v>
      </c>
      <c r="M2770" s="13" t="n">
        <f aca="true">K2770-TODAY()</f>
        <v>-90</v>
      </c>
      <c r="N2770" s="18" t="s">
        <v>728</v>
      </c>
      <c r="O2770" s="13" t="s">
        <v>5032</v>
      </c>
      <c r="P2770" s="27" t="n">
        <v>5195401</v>
      </c>
      <c r="Q2770" s="47" t="s">
        <v>11758</v>
      </c>
      <c r="R2770" s="13" t="s">
        <v>39</v>
      </c>
      <c r="S2770" s="16" t="n">
        <v>28832</v>
      </c>
      <c r="T2770" s="28" t="s">
        <v>40</v>
      </c>
      <c r="U2770" s="13" t="s">
        <v>11098</v>
      </c>
      <c r="V2770" s="13" t="s">
        <v>42</v>
      </c>
      <c r="W2770" s="13" t="s">
        <v>54</v>
      </c>
      <c r="X2770" s="21" t="n">
        <v>81350239624</v>
      </c>
      <c r="Y2770" s="22" t="str">
        <f aca="false">O2770</f>
        <v>Operator Genset</v>
      </c>
      <c r="Z2770" s="13" t="str">
        <f aca="false">IFERROR(__xludf.dummyfunction("if(BJ2770="""","""",GOOGLETRANSLATE(BJ2770,""auto"",""en""))"),"Generator Operator")</f>
        <v>Generator Operator</v>
      </c>
      <c r="AA2770" s="23" t="str">
        <f aca="false">IF(C2770="","", CHOOSE(MONTH(C2770),"January","February","March","April","May","June","July","August","September","October","November","December")&amp;" "&amp;DAY(C2770)&amp;MID("thstndrdth",MIN(9,2*RIGHT(DAY(C2770))*(MOD(DAY(C2770)-11,100)&gt;2)+1),2)&amp;","&amp;TEXT(C2770," yyyy"))</f>
        <v>October 1st,2025</v>
      </c>
      <c r="AB2770" s="15" t="str">
        <f aca="true">IF(S2770="","",DATEDIF(S2770,TODAY(),"Y")&amp;" Tahun, "&amp;DATEDIF(S2770,TODAY(),"YM")&amp;" Bulan, "&amp;DATEDIF(S2770,TODAY(),"MD")&amp;" Hari")</f>
        <v>47 Tahun, 10 Bulan, 21 Hari</v>
      </c>
      <c r="AC2770" s="18" t="n">
        <v>45931</v>
      </c>
      <c r="AD2770" s="18" t="n">
        <v>46234</v>
      </c>
      <c r="AE2770" s="13" t="s">
        <v>397</v>
      </c>
    </row>
    <row r="2771" customFormat="false" ht="15" hidden="false" customHeight="true" outlineLevel="0" collapsed="false">
      <c r="A2771" s="12" t="n">
        <v>20955</v>
      </c>
      <c r="B2771" s="13" t="s">
        <v>11759</v>
      </c>
      <c r="C2771" s="16" t="n">
        <v>45916</v>
      </c>
      <c r="D2771" s="13" t="s">
        <v>2033</v>
      </c>
      <c r="E2771" s="13" t="s">
        <v>33</v>
      </c>
      <c r="F2771" s="24" t="s">
        <v>11760</v>
      </c>
      <c r="G2771" s="13" t="s">
        <v>1127</v>
      </c>
      <c r="H2771" s="13" t="s">
        <v>35</v>
      </c>
      <c r="I2771" s="13" t="str">
        <f aca="false">IF(C2771=J2771,"NEW KONTRAK","RE-KONTRAK")</f>
        <v>NEW KONTRAK</v>
      </c>
      <c r="J2771" s="16" t="n">
        <f aca="false" t="array" ref="J2771:J2771">IFERROR(INDEX(AC2771:AE2771,IF(COUNTA(AC2771:AE2771)=0,"",MAX((AC2771:AE2771&lt;&gt;"")*(COLUMN(AC2771:AE2771)-(COLUMN(AC2771)))))-1),"")</f>
        <v>45916</v>
      </c>
      <c r="K2771" s="16" t="n">
        <f aca="false" t="array" ref="K2771:K2771">IFERROR(INDEX(AC2771:AE2771,IF(COUNTA(AC2771:AE2771)=0,"",MAX((AC2771:AE2771&lt;&gt;"")*(COLUMN(AC2771:AE2771)-(COLUMN(AC2771)-1))))-1),"")</f>
        <v>46037</v>
      </c>
      <c r="L2771" s="17" t="str">
        <f aca="false" t="array" ref="L2771:L2771">IFERROR(INDEX(AC2771:AE2771,IF(COUNTA(AC2771:AE2771)=0,"",MAX((AC2771:AE2771&lt;&gt;"")*(COLUMN(AC2771:AE2771)-(COLUMN(AC2771)-2))))-1),"")</f>
        <v>ARCHIVED</v>
      </c>
      <c r="M2771" s="13" t="n">
        <f aca="true">K2771-TODAY()</f>
        <v>-287</v>
      </c>
      <c r="N2771" s="18" t="s">
        <v>4784</v>
      </c>
      <c r="O2771" s="13" t="s">
        <v>2037</v>
      </c>
      <c r="P2771" s="19" t="n">
        <v>3824264</v>
      </c>
      <c r="Q2771" s="47" t="s">
        <v>11761</v>
      </c>
      <c r="R2771" s="13" t="s">
        <v>4784</v>
      </c>
      <c r="S2771" s="16" t="n">
        <v>35782</v>
      </c>
      <c r="T2771" s="13" t="s">
        <v>108</v>
      </c>
      <c r="U2771" s="13" t="s">
        <v>11762</v>
      </c>
      <c r="V2771" s="13" t="s">
        <v>42</v>
      </c>
      <c r="W2771" s="13" t="s">
        <v>54</v>
      </c>
      <c r="X2771" s="21" t="s">
        <v>11763</v>
      </c>
      <c r="Y2771" s="22" t="str">
        <f aca="false">O2771</f>
        <v>SPG/BA</v>
      </c>
      <c r="Z2771" s="13" t="str">
        <f aca="false">IFERROR(__xludf.dummyfunction("if(BJ2771="""","""",GOOGLETRANSLATE(BJ2771,""auto"",""en""))"),"SPG/BA")</f>
        <v>SPG/BA</v>
      </c>
      <c r="AA2771" s="23" t="str">
        <f aca="false">IF(C2771="","", CHOOSE(MONTH(C2771),"January","February","March","April","May","June","July","August","September","October","November","December")&amp;" "&amp;DAY(C2771)&amp;MID("thstndrdth",MIN(9,2*RIGHT(DAY(C2771))*(MOD(DAY(C2771)-11,100)&gt;2)+1),2)&amp;","&amp;TEXT(C2771," yyyy"))</f>
        <v>September 16th,2025</v>
      </c>
      <c r="AB2771" s="15" t="str">
        <f aca="true">IF(S2771="","",DATEDIF(S2771,TODAY(),"Y")&amp;" Tahun, "&amp;DATEDIF(S2771,TODAY(),"YM")&amp;" Bulan, "&amp;DATEDIF(S2771,TODAY(),"MD")&amp;" Hari")</f>
        <v>28 Tahun, 10 Bulan, 11 Hari</v>
      </c>
      <c r="AC2771" s="18" t="n">
        <v>45916</v>
      </c>
      <c r="AD2771" s="18" t="n">
        <v>46037</v>
      </c>
      <c r="AE2771" s="13" t="s">
        <v>44</v>
      </c>
    </row>
    <row r="2772" customFormat="false" ht="15" hidden="false" customHeight="true" outlineLevel="0" collapsed="false">
      <c r="A2772" s="12" t="n">
        <v>15535</v>
      </c>
      <c r="B2772" s="13" t="s">
        <v>11764</v>
      </c>
      <c r="C2772" s="14" t="n">
        <v>45398</v>
      </c>
      <c r="D2772" s="13" t="s">
        <v>2033</v>
      </c>
      <c r="E2772" s="15" t="s">
        <v>47</v>
      </c>
      <c r="F2772" s="15" t="str">
        <f aca="false">IFERROR(__xludf.dummyfunction("XLOOKUP(AJ2772,IMPORTRANGE(""1XaInW9DU9nz21V0tYIfzFQ0He9kVQ_JF2mCXgZ3hqFA"",""REKAP ALL 2026 - Andika!G:G""),IMPORTRANGE(""1XaInW9DU9nz21V0tYIfzFQ0He9kVQ_JF2mCXgZ3hqFA"",""REKAP ALL 2026 - Andika!F:F""),"""",0)"),"24091262824")</f>
        <v>24091262824</v>
      </c>
      <c r="G2772" s="15" t="s">
        <v>11765</v>
      </c>
      <c r="H2772" s="13" t="s">
        <v>2035</v>
      </c>
      <c r="I2772" s="13" t="str">
        <f aca="false">IF(C2772=J2772,"NEW KONTRAK","RE-KONTRAK")</f>
        <v>RE-KONTRAK</v>
      </c>
      <c r="J2772" s="16" t="n">
        <f aca="false" t="array" ref="J2772:J2772">IFERROR(INDEX(AC2772:AE2772,IF(COUNTA(AC2772:AE2772)=0,"",MAX((AC2772:AE2772&lt;&gt;"")*(COLUMN(AC2772:AE2772)-(COLUMN(AC2772)))))-1),"")</f>
        <v>45744</v>
      </c>
      <c r="K2772" s="16" t="n">
        <f aca="false" t="array" ref="K2772:K2772">IFERROR(INDEX(AC2772:AE2772,IF(COUNTA(AC2772:AE2772)=0,"",MAX((AC2772:AE2772&lt;&gt;"")*(COLUMN(AC2772:AE2772)-(COLUMN(AC2772)-1))))-1),"")</f>
        <v>45915</v>
      </c>
      <c r="L2772" s="17" t="str">
        <f aca="false" t="array" ref="L2772:L2772">IFERROR(INDEX(AC2772:AE2772,IF(COUNTA(AC2772:AE2772)=0,"",MAX((AC2772:AE2772&lt;&gt;"")*(COLUMN(AC2772:AE2772)-(COLUMN(AC2772)-2))))-1),"")</f>
        <v>ARCHIVED</v>
      </c>
      <c r="M2772" s="13" t="n">
        <f aca="true">K2772-TODAY()</f>
        <v>-409</v>
      </c>
      <c r="N2772" s="18" t="s">
        <v>3902</v>
      </c>
      <c r="O2772" s="13" t="s">
        <v>2037</v>
      </c>
      <c r="P2772" s="19" t="n">
        <v>3491889</v>
      </c>
      <c r="Q2772" s="20" t="s">
        <v>11766</v>
      </c>
      <c r="R2772" s="13" t="s">
        <v>11767</v>
      </c>
      <c r="S2772" s="14" t="n">
        <v>35690</v>
      </c>
      <c r="T2772" s="13" t="s">
        <v>108</v>
      </c>
      <c r="U2772" s="13" t="s">
        <v>11768</v>
      </c>
      <c r="V2772" s="13" t="s">
        <v>42</v>
      </c>
      <c r="W2772" s="13" t="s">
        <v>43</v>
      </c>
      <c r="X2772" s="21" t="n">
        <v>895417307644</v>
      </c>
      <c r="Y2772" s="22" t="str">
        <f aca="false">O2772</f>
        <v>SPG/BA</v>
      </c>
      <c r="Z2772" s="13" t="str">
        <f aca="false">IFERROR(__xludf.dummyfunction("if(BJ2772="""","""",GOOGLETRANSLATE(BJ2772,""auto"",""en""))"),"SPG/BA")</f>
        <v>SPG/BA</v>
      </c>
      <c r="AA2772" s="23" t="str">
        <f aca="false">IF(C2772="","", CHOOSE(MONTH(C2772),"January","February","March","April","May","June","July","August","September","October","November","December")&amp;" "&amp;DAY(C2772)&amp;MID("thstndrdth",MIN(9,2*RIGHT(DAY(C2772))*(MOD(DAY(C2772)-11,100)&gt;2)+1),2)&amp;","&amp;TEXT(C2772," yyyy"))</f>
        <v>April 16th,2024</v>
      </c>
      <c r="AB2772" s="15" t="str">
        <f aca="true">IF(S2772="","",DATEDIF(S2772,TODAY(),"Y")&amp;" Tahun, "&amp;DATEDIF(S2772,TODAY(),"YM")&amp;" Bulan, "&amp;DATEDIF(S2772,TODAY(),"MD")&amp;" Hari")</f>
        <v>29 Tahun, 1 Bulan, 12 Hari</v>
      </c>
      <c r="AC2772" s="18" t="n">
        <v>45744</v>
      </c>
      <c r="AD2772" s="18" t="n">
        <v>45915</v>
      </c>
      <c r="AE2772" s="18" t="s">
        <v>44</v>
      </c>
    </row>
    <row r="2773" customFormat="false" ht="15" hidden="false" customHeight="true" outlineLevel="0" collapsed="false">
      <c r="A2773" s="12" t="n">
        <v>20957</v>
      </c>
      <c r="B2773" s="13" t="s">
        <v>11769</v>
      </c>
      <c r="C2773" s="16" t="n">
        <v>45917</v>
      </c>
      <c r="D2773" s="13" t="s">
        <v>2033</v>
      </c>
      <c r="E2773" s="13" t="s">
        <v>102</v>
      </c>
      <c r="F2773" s="24" t="s">
        <v>11770</v>
      </c>
      <c r="G2773" s="13" t="s">
        <v>1127</v>
      </c>
      <c r="H2773" s="13" t="s">
        <v>35</v>
      </c>
      <c r="I2773" s="13" t="str">
        <f aca="false">IF(C2773=J2773,"NEW KONTRAK","RE-KONTRAK")</f>
        <v>NEW KONTRAK</v>
      </c>
      <c r="J2773" s="16" t="n">
        <f aca="false" t="array" ref="J2773:J2773">IFERROR(INDEX(AC2773:AE2773,IF(COUNTA(AC2773:AE2773)=0,"",MAX((AC2773:AE2773&lt;&gt;"")*(COLUMN(AC2773:AE2773)-(COLUMN(AC2773)))))-1),"")</f>
        <v>45917</v>
      </c>
      <c r="K2773" s="16" t="n">
        <f aca="false" t="array" ref="K2773:K2773">IFERROR(INDEX(AC2773:AE2773,IF(COUNTA(AC2773:AE2773)=0,"",MAX((AC2773:AE2773&lt;&gt;"")*(COLUMN(AC2773:AE2773)-(COLUMN(AC2773)-1))))-1),"")</f>
        <v>46037</v>
      </c>
      <c r="L2773" s="17" t="str">
        <f aca="false" t="array" ref="L2773:L2773">IFERROR(INDEX(AC2773:AE2773,IF(COUNTA(AC2773:AE2773)=0,"",MAX((AC2773:AE2773&lt;&gt;"")*(COLUMN(AC2773:AE2773)-(COLUMN(AC2773)-2))))-1),"")</f>
        <v>ARCHIVED</v>
      </c>
      <c r="M2773" s="13" t="n">
        <f aca="true">K2773-TODAY()</f>
        <v>-287</v>
      </c>
      <c r="N2773" s="18" t="s">
        <v>3248</v>
      </c>
      <c r="O2773" s="13" t="s">
        <v>2037</v>
      </c>
      <c r="P2773" s="19" t="n">
        <v>4989600</v>
      </c>
      <c r="Q2773" s="47" t="s">
        <v>11771</v>
      </c>
      <c r="R2773" s="13" t="s">
        <v>3248</v>
      </c>
      <c r="S2773" s="16" t="n">
        <v>35844</v>
      </c>
      <c r="T2773" s="13" t="s">
        <v>108</v>
      </c>
      <c r="U2773" s="13" t="s">
        <v>11772</v>
      </c>
      <c r="V2773" s="13" t="s">
        <v>42</v>
      </c>
      <c r="W2773" s="13" t="s">
        <v>43</v>
      </c>
      <c r="X2773" s="21" t="s">
        <v>11773</v>
      </c>
      <c r="Y2773" s="22" t="str">
        <f aca="false">O2773</f>
        <v>SPG/BA</v>
      </c>
      <c r="Z2773" s="13" t="str">
        <f aca="false">IFERROR(__xludf.dummyfunction("if(BJ2773="""","""",GOOGLETRANSLATE(BJ2773,""auto"",""en""))"),"SPG/BA")</f>
        <v>SPG/BA</v>
      </c>
      <c r="AA2773" s="23" t="str">
        <f aca="false">IF(C2773="","", CHOOSE(MONTH(C2773),"January","February","March","April","May","June","July","August","September","October","November","December")&amp;" "&amp;DAY(C2773)&amp;MID("thstndrdth",MIN(9,2*RIGHT(DAY(C2773))*(MOD(DAY(C2773)-11,100)&gt;2)+1),2)&amp;","&amp;TEXT(C2773," yyyy"))</f>
        <v>September 17th,2025</v>
      </c>
      <c r="AB2773" s="15" t="str">
        <f aca="true">IF(S2773="","",DATEDIF(S2773,TODAY(),"Y")&amp;" Tahun, "&amp;DATEDIF(S2773,TODAY(),"YM")&amp;" Bulan, "&amp;DATEDIF(S2773,TODAY(),"MD")&amp;" Hari")</f>
        <v>28 Tahun, 8 Bulan, 11 Hari</v>
      </c>
      <c r="AC2773" s="18" t="n">
        <v>45917</v>
      </c>
      <c r="AD2773" s="18" t="n">
        <v>46037</v>
      </c>
      <c r="AE2773" s="13" t="s">
        <v>44</v>
      </c>
    </row>
    <row r="2774" customFormat="false" ht="15" hidden="false" customHeight="true" outlineLevel="0" collapsed="false">
      <c r="A2774" s="12" t="n">
        <v>20958</v>
      </c>
      <c r="B2774" s="13" t="s">
        <v>11774</v>
      </c>
      <c r="C2774" s="16" t="n">
        <v>45916</v>
      </c>
      <c r="D2774" s="13" t="s">
        <v>2033</v>
      </c>
      <c r="E2774" s="13" t="s">
        <v>1742</v>
      </c>
      <c r="F2774" s="15" t="str">
        <f aca="false">IFERROR(__xludf.dummyfunction("XLOOKUP(AJ2774,IMPORTRANGE(""1XaInW9DU9nz21V0tYIfzFQ0He9kVQ_JF2mCXgZ3hqFA"",""REKAP ALL 2026 - Andika!G:G""),IMPORTRANGE(""1XaInW9DU9nz21V0tYIfzFQ0He9kVQ_JF2mCXgZ3hqFA"",""REKAP ALL 2026 - Andika!F:F""),"""",0)"),"25133234317")</f>
        <v>25133234317</v>
      </c>
      <c r="G2774" s="13" t="s">
        <v>1127</v>
      </c>
      <c r="H2774" s="13" t="s">
        <v>35</v>
      </c>
      <c r="I2774" s="13" t="str">
        <f aca="false">IF(C2774=J2774,"NEW KONTRAK","RE-KONTRAK")</f>
        <v>NEW KONTRAK</v>
      </c>
      <c r="J2774" s="16" t="n">
        <f aca="false" t="array" ref="J2774:J2774">IFERROR(INDEX(AC2774:AE2774,IF(COUNTA(AC2774:AE2774)=0,"",MAX((AC2774:AE2774&lt;&gt;"")*(COLUMN(AC2774:AE2774)-(COLUMN(AC2774)))))-1),"")</f>
        <v>45916</v>
      </c>
      <c r="K2774" s="16" t="n">
        <f aca="false" t="array" ref="K2774:K2774">IFERROR(INDEX(AC2774:AE2774,IF(COUNTA(AC2774:AE2774)=0,"",MAX((AC2774:AE2774&lt;&gt;"")*(COLUMN(AC2774:AE2774)-(COLUMN(AC2774)-1))))-1),"")</f>
        <v>46037</v>
      </c>
      <c r="L2774" s="17" t="str">
        <f aca="false" t="array" ref="L2774:L2774">IFERROR(INDEX(AC2774:AE2774,IF(COUNTA(AC2774:AE2774)=0,"",MAX((AC2774:AE2774&lt;&gt;"")*(COLUMN(AC2774:AE2774)-(COLUMN(AC2774)-2))))-1),"")</f>
        <v>ARCHIVED</v>
      </c>
      <c r="M2774" s="13" t="n">
        <f aca="true">K2774-TODAY()</f>
        <v>-287</v>
      </c>
      <c r="N2774" s="18" t="s">
        <v>3703</v>
      </c>
      <c r="O2774" s="13" t="s">
        <v>2037</v>
      </c>
      <c r="P2774" s="19" t="n">
        <v>2818585</v>
      </c>
      <c r="Q2774" s="47" t="s">
        <v>11775</v>
      </c>
      <c r="R2774" s="13" t="s">
        <v>4779</v>
      </c>
      <c r="S2774" s="16" t="n">
        <v>38494</v>
      </c>
      <c r="T2774" s="13" t="s">
        <v>108</v>
      </c>
      <c r="U2774" s="13" t="s">
        <v>11776</v>
      </c>
      <c r="V2774" s="13" t="s">
        <v>42</v>
      </c>
      <c r="W2774" s="13" t="s">
        <v>43</v>
      </c>
      <c r="X2774" s="21" t="s">
        <v>11777</v>
      </c>
      <c r="Y2774" s="22" t="str">
        <f aca="false">O2774</f>
        <v>SPG/BA</v>
      </c>
      <c r="Z2774" s="13" t="str">
        <f aca="false">IFERROR(__xludf.dummyfunction("if(BJ2774="""","""",GOOGLETRANSLATE(BJ2774,""auto"",""en""))"),"SPG/BA")</f>
        <v>SPG/BA</v>
      </c>
      <c r="AA2774" s="23" t="str">
        <f aca="false">IF(C2774="","", CHOOSE(MONTH(C2774),"January","February","March","April","May","June","July","August","September","October","November","December")&amp;" "&amp;DAY(C2774)&amp;MID("thstndrdth",MIN(9,2*RIGHT(DAY(C2774))*(MOD(DAY(C2774)-11,100)&gt;2)+1),2)&amp;","&amp;TEXT(C2774," yyyy"))</f>
        <v>September 16th,2025</v>
      </c>
      <c r="AB2774" s="15" t="str">
        <f aca="true">IF(S2774="","",DATEDIF(S2774,TODAY(),"Y")&amp;" Tahun, "&amp;DATEDIF(S2774,TODAY(),"YM")&amp;" Bulan, "&amp;DATEDIF(S2774,TODAY(),"MD")&amp;" Hari")</f>
        <v>21 Tahun, 5 Bulan, 7 Hari</v>
      </c>
      <c r="AC2774" s="18" t="n">
        <v>45916</v>
      </c>
      <c r="AD2774" s="18" t="n">
        <v>46037</v>
      </c>
      <c r="AE2774" s="13" t="s">
        <v>44</v>
      </c>
    </row>
    <row r="2775" customFormat="false" ht="15" hidden="false" customHeight="true" outlineLevel="0" collapsed="false">
      <c r="A2775" s="12" t="n">
        <v>20959</v>
      </c>
      <c r="B2775" s="13" t="s">
        <v>11778</v>
      </c>
      <c r="C2775" s="16" t="n">
        <v>45926</v>
      </c>
      <c r="D2775" s="13" t="s">
        <v>2033</v>
      </c>
      <c r="E2775" s="13" t="s">
        <v>102</v>
      </c>
      <c r="F2775" s="15" t="str">
        <f aca="false">IFERROR(__xludf.dummyfunction("XLOOKUP(AJ2775,IMPORTRANGE(""1XaInW9DU9nz21V0tYIfzFQ0He9kVQ_JF2mCXgZ3hqFA"",""REKAP ALL 2026 - Andika!G:G""),IMPORTRANGE(""1XaInW9DU9nz21V0tYIfzFQ0He9kVQ_JF2mCXgZ3hqFA"",""REKAP ALL 2026 - Andika!F:F""),"""",0)"),"25133234382")</f>
        <v>25133234382</v>
      </c>
      <c r="G2775" s="13" t="s">
        <v>1127</v>
      </c>
      <c r="H2775" s="13" t="s">
        <v>35</v>
      </c>
      <c r="I2775" s="13" t="str">
        <f aca="false">IF(C2775=J2775,"NEW KONTRAK","RE-KONTRAK")</f>
        <v>NEW KONTRAK</v>
      </c>
      <c r="J2775" s="16" t="n">
        <f aca="false" t="array" ref="J2775:J2775">IFERROR(INDEX(AC2775:AE2775,IF(COUNTA(AC2775:AE2775)=0,"",MAX((AC2775:AE2775&lt;&gt;"")*(COLUMN(AC2775:AE2775)-(COLUMN(AC2775)))))-1),"")</f>
        <v>45926</v>
      </c>
      <c r="K2775" s="16" t="n">
        <f aca="false" t="array" ref="K2775:K2775">IFERROR(INDEX(AC2775:AE2775,IF(COUNTA(AC2775:AE2775)=0,"",MAX((AC2775:AE2775&lt;&gt;"")*(COLUMN(AC2775:AE2775)-(COLUMN(AC2775)-1))))-1),"")</f>
        <v>46037</v>
      </c>
      <c r="L2775" s="17" t="str">
        <f aca="false" t="array" ref="L2775:L2775">IFERROR(INDEX(AC2775:AE2775,IF(COUNTA(AC2775:AE2775)=0,"",MAX((AC2775:AE2775&lt;&gt;"")*(COLUMN(AC2775:AE2775)-(COLUMN(AC2775)-2))))-1),"")</f>
        <v>ARCHIVED</v>
      </c>
      <c r="M2775" s="13" t="n">
        <f aca="true">K2775-TODAY()</f>
        <v>-287</v>
      </c>
      <c r="N2775" s="18" t="s">
        <v>2356</v>
      </c>
      <c r="O2775" s="13" t="s">
        <v>2357</v>
      </c>
      <c r="P2775" s="19" t="n">
        <v>4148179</v>
      </c>
      <c r="Q2775" s="47" t="s">
        <v>11779</v>
      </c>
      <c r="R2775" s="13" t="s">
        <v>11780</v>
      </c>
      <c r="S2775" s="16" t="n">
        <v>35388</v>
      </c>
      <c r="T2775" s="28" t="s">
        <v>40</v>
      </c>
      <c r="U2775" s="13" t="s">
        <v>11781</v>
      </c>
      <c r="V2775" s="13" t="s">
        <v>42</v>
      </c>
      <c r="W2775" s="13" t="s">
        <v>54</v>
      </c>
      <c r="X2775" s="21" t="s">
        <v>11782</v>
      </c>
      <c r="Y2775" s="22" t="str">
        <f aca="false">O2775</f>
        <v>BA Promotor</v>
      </c>
      <c r="Z2775" s="13" t="str">
        <f aca="false">IFERROR(__xludf.dummyfunction("if(BJ2775="""","""",GOOGLETRANSLATE(BJ2775,""auto"",""en""))"),"BA Promoter")</f>
        <v>BA Promoter</v>
      </c>
      <c r="AA2775" s="23" t="str">
        <f aca="false">IF(C2775="","", CHOOSE(MONTH(C2775),"January","February","March","April","May","June","July","August","September","October","November","December")&amp;" "&amp;DAY(C2775)&amp;MID("thstndrdth",MIN(9,2*RIGHT(DAY(C2775))*(MOD(DAY(C2775)-11,100)&gt;2)+1),2)&amp;","&amp;TEXT(C2775," yyyy"))</f>
        <v>September 26th,2025</v>
      </c>
      <c r="AB2775" s="15" t="str">
        <f aca="true">IF(S2775="","",DATEDIF(S2775,TODAY(),"Y")&amp;" Tahun, "&amp;DATEDIF(S2775,TODAY(),"YM")&amp;" Bulan, "&amp;DATEDIF(S2775,TODAY(),"MD")&amp;" Hari")</f>
        <v>29 Tahun, 11 Bulan, 10 Hari</v>
      </c>
      <c r="AC2775" s="18" t="n">
        <v>45926</v>
      </c>
      <c r="AD2775" s="18" t="n">
        <v>46037</v>
      </c>
      <c r="AE2775" s="13" t="s">
        <v>44</v>
      </c>
    </row>
    <row r="2776" customFormat="false" ht="15" hidden="false" customHeight="true" outlineLevel="0" collapsed="false">
      <c r="A2776" s="12" t="n">
        <v>20969</v>
      </c>
      <c r="B2776" s="13" t="s">
        <v>11783</v>
      </c>
      <c r="C2776" s="16" t="n">
        <v>45936</v>
      </c>
      <c r="D2776" s="13" t="s">
        <v>144</v>
      </c>
      <c r="E2776" s="13" t="s">
        <v>47</v>
      </c>
      <c r="F2776" s="15" t="str">
        <f aca="false">IFERROR(__xludf.dummyfunction("XLOOKUP(AJ2776,IMPORTRANGE(""1XaInW9DU9nz21V0tYIfzFQ0He9kVQ_JF2mCXgZ3hqFA"",""REKAP ALL 2026 - Andika!G:G""),IMPORTRANGE(""1XaInW9DU9nz21V0tYIfzFQ0He9kVQ_JF2mCXgZ3hqFA"",""REKAP ALL 2026 - Andika!F:F""),"""",0)"),"25157578748")</f>
        <v>25157578748</v>
      </c>
      <c r="G2776" s="13" t="s">
        <v>1127</v>
      </c>
      <c r="H2776" s="13" t="s">
        <v>35</v>
      </c>
      <c r="I2776" s="13" t="str">
        <f aca="false">IF(C2776=J2776,"NEW KONTRAK","RE-KONTRAK")</f>
        <v>NEW KONTRAK</v>
      </c>
      <c r="J2776" s="16" t="n">
        <f aca="false" t="array" ref="J2776:J2776">IFERROR(INDEX(AC2776:AE2776,IF(COUNTA(AC2776:AE2776)=0,"",MAX((AC2776:AE2776&lt;&gt;"")*(COLUMN(AC2776:AE2776)-(COLUMN(AC2776)))))-1),"")</f>
        <v>45936</v>
      </c>
      <c r="K2776" s="16" t="n">
        <f aca="false" t="array" ref="K2776:K2776">IFERROR(INDEX(AC2776:AE2776,IF(COUNTA(AC2776:AE2776)=0,"",MAX((AC2776:AE2776&lt;&gt;"")*(COLUMN(AC2776:AE2776)-(COLUMN(AC2776)-1))))-1),"")</f>
        <v>46022</v>
      </c>
      <c r="L2776" s="17" t="str">
        <f aca="false" t="array" ref="L2776:L2776">IFERROR(INDEX(AC2776:AE2776,IF(COUNTA(AC2776:AE2776)=0,"",MAX((AC2776:AE2776&lt;&gt;"")*(COLUMN(AC2776:AE2776)-(COLUMN(AC2776)-2))))-1),"")</f>
        <v>ARCHIVED</v>
      </c>
      <c r="M2776" s="13" t="n">
        <f aca="true">K2776-TODAY()</f>
        <v>-302</v>
      </c>
      <c r="N2776" s="18" t="s">
        <v>36</v>
      </c>
      <c r="O2776" s="13" t="s">
        <v>211</v>
      </c>
      <c r="P2776" s="19" t="n">
        <v>5195401</v>
      </c>
      <c r="Q2776" s="47" t="s">
        <v>11784</v>
      </c>
      <c r="R2776" s="13" t="s">
        <v>78</v>
      </c>
      <c r="S2776" s="16" t="n">
        <v>35034</v>
      </c>
      <c r="T2776" s="28" t="s">
        <v>40</v>
      </c>
      <c r="U2776" s="13" t="s">
        <v>11785</v>
      </c>
      <c r="V2776" s="13" t="s">
        <v>42</v>
      </c>
      <c r="W2776" s="13" t="s">
        <v>54</v>
      </c>
      <c r="X2776" s="21" t="n">
        <v>82131321308</v>
      </c>
      <c r="Y2776" s="22" t="str">
        <f aca="false">O2776</f>
        <v>FG Store</v>
      </c>
      <c r="Z2776" s="13" t="str">
        <f aca="false">IFERROR(__xludf.dummyfunction("if(BJ2776="""","""",GOOGLETRANSLATE(BJ2776,""auto"",""en""))"),"FG Store")</f>
        <v>FG Store</v>
      </c>
      <c r="AA2776" s="23" t="str">
        <f aca="false">IF(C2776="","", CHOOSE(MONTH(C2776),"January","February","March","April","May","June","July","August","September","October","November","December")&amp;" "&amp;DAY(C2776)&amp;MID("thstndrdth",MIN(9,2*RIGHT(DAY(C2776))*(MOD(DAY(C2776)-11,100)&gt;2)+1),2)&amp;","&amp;TEXT(C2776," yyyy"))</f>
        <v>October 6th,2025</v>
      </c>
      <c r="AB2776" s="15" t="str">
        <f aca="true">IF(S2776="","",DATEDIF(S2776,TODAY(),"Y")&amp;" Tahun, "&amp;DATEDIF(S2776,TODAY(),"YM")&amp;" Bulan, "&amp;DATEDIF(S2776,TODAY(),"MD")&amp;" Hari")</f>
        <v>30 Tahun, 10 Bulan, 28 Hari</v>
      </c>
      <c r="AC2776" s="18" t="n">
        <v>45936</v>
      </c>
      <c r="AD2776" s="18" t="n">
        <v>46022</v>
      </c>
      <c r="AE2776" s="13" t="s">
        <v>44</v>
      </c>
    </row>
    <row r="2777" customFormat="false" ht="15" hidden="false" customHeight="true" outlineLevel="0" collapsed="false">
      <c r="A2777" s="12" t="n">
        <v>20970</v>
      </c>
      <c r="B2777" s="45" t="s">
        <v>11786</v>
      </c>
      <c r="C2777" s="16" t="n">
        <v>45936</v>
      </c>
      <c r="D2777" s="13" t="s">
        <v>144</v>
      </c>
      <c r="E2777" s="13" t="s">
        <v>47</v>
      </c>
      <c r="F2777" s="15" t="str">
        <f aca="false">IFERROR(__xludf.dummyfunction("XLOOKUP(AJ2777,IMPORTRANGE(""1XaInW9DU9nz21V0tYIfzFQ0He9kVQ_JF2mCXgZ3hqFA"",""REKAP ALL 2026 - Andika!G:G""),IMPORTRANGE(""1XaInW9DU9nz21V0tYIfzFQ0He9kVQ_JF2mCXgZ3hqFA"",""REKAP ALL 2026 - Andika!F:F""),"""",0)"),"25157578805")</f>
        <v>25157578805</v>
      </c>
      <c r="G2777" s="13" t="s">
        <v>1127</v>
      </c>
      <c r="H2777" s="13" t="s">
        <v>35</v>
      </c>
      <c r="I2777" s="13" t="str">
        <f aca="false">IF(C2777=J2777,"NEW KONTRAK","RE-KONTRAK")</f>
        <v>NEW KONTRAK</v>
      </c>
      <c r="J2777" s="16" t="n">
        <f aca="false" t="array" ref="J2777:J2777">IFERROR(INDEX(AC2777:AE2777,IF(COUNTA(AC2777:AE2777)=0,"",MAX((AC2777:AE2777&lt;&gt;"")*(COLUMN(AC2777:AE2777)-(COLUMN(AC2777)))))-1),"")</f>
        <v>45936</v>
      </c>
      <c r="K2777" s="16" t="n">
        <f aca="false" t="array" ref="K2777:K2777">IFERROR(INDEX(AC2777:AE2777,IF(COUNTA(AC2777:AE2777)=0,"",MAX((AC2777:AE2777&lt;&gt;"")*(COLUMN(AC2777:AE2777)-(COLUMN(AC2777)-1))))-1),"")</f>
        <v>46022</v>
      </c>
      <c r="L2777" s="17" t="str">
        <f aca="false" t="array" ref="L2777:L2777">IFERROR(INDEX(AC2777:AE2777,IF(COUNTA(AC2777:AE2777)=0,"",MAX((AC2777:AE2777&lt;&gt;"")*(COLUMN(AC2777:AE2777)-(COLUMN(AC2777)-2))))-1),"")</f>
        <v>ARCHIVED</v>
      </c>
      <c r="M2777" s="13" t="n">
        <f aca="true">K2777-TODAY()</f>
        <v>-302</v>
      </c>
      <c r="N2777" s="18" t="s">
        <v>36</v>
      </c>
      <c r="O2777" s="13" t="s">
        <v>512</v>
      </c>
      <c r="P2777" s="19" t="n">
        <v>5195401</v>
      </c>
      <c r="Q2777" s="47" t="s">
        <v>11787</v>
      </c>
      <c r="R2777" s="13" t="s">
        <v>65</v>
      </c>
      <c r="S2777" s="16" t="n">
        <v>36975</v>
      </c>
      <c r="T2777" s="28" t="s">
        <v>40</v>
      </c>
      <c r="U2777" s="13" t="s">
        <v>11788</v>
      </c>
      <c r="V2777" s="13" t="s">
        <v>42</v>
      </c>
      <c r="W2777" s="13" t="s">
        <v>43</v>
      </c>
      <c r="X2777" s="21" t="n">
        <v>81249761176</v>
      </c>
      <c r="Y2777" s="22" t="str">
        <f aca="false">O2777</f>
        <v>Laboratorium</v>
      </c>
      <c r="Z2777" s="13" t="str">
        <f aca="false">IFERROR(__xludf.dummyfunction("if(BJ2777="""","""",GOOGLETRANSLATE(BJ2777,""auto"",""en""))"),"Laboratory")</f>
        <v>Laboratory</v>
      </c>
      <c r="AA2777" s="23" t="str">
        <f aca="false">IF(C2777="","", CHOOSE(MONTH(C2777),"January","February","March","April","May","June","July","August","September","October","November","December")&amp;" "&amp;DAY(C2777)&amp;MID("thstndrdth",MIN(9,2*RIGHT(DAY(C2777))*(MOD(DAY(C2777)-11,100)&gt;2)+1),2)&amp;","&amp;TEXT(C2777," yyyy"))</f>
        <v>October 6th,2025</v>
      </c>
      <c r="AB2777" s="15" t="str">
        <f aca="true">IF(S2777="","",DATEDIF(S2777,TODAY(),"Y")&amp;" Tahun, "&amp;DATEDIF(S2777,TODAY(),"YM")&amp;" Bulan, "&amp;DATEDIF(S2777,TODAY(),"MD")&amp;" Hari")</f>
        <v>25 Tahun, 7 Bulan, 4 Hari</v>
      </c>
      <c r="AC2777" s="18" t="n">
        <v>45936</v>
      </c>
      <c r="AD2777" s="18" t="n">
        <v>46022</v>
      </c>
      <c r="AE2777" s="13" t="s">
        <v>44</v>
      </c>
    </row>
    <row r="2778" customFormat="false" ht="15" hidden="false" customHeight="true" outlineLevel="0" collapsed="false">
      <c r="A2778" s="12" t="n">
        <v>20971</v>
      </c>
      <c r="B2778" s="13" t="s">
        <v>11789</v>
      </c>
      <c r="C2778" s="16" t="n">
        <v>45936</v>
      </c>
      <c r="D2778" s="13" t="s">
        <v>144</v>
      </c>
      <c r="E2778" s="13" t="s">
        <v>789</v>
      </c>
      <c r="F2778" s="24" t="s">
        <v>11790</v>
      </c>
      <c r="G2778" s="13" t="s">
        <v>1127</v>
      </c>
      <c r="H2778" s="13" t="s">
        <v>35</v>
      </c>
      <c r="I2778" s="13" t="str">
        <f aca="false">IF(C2778=J2778,"NEW KONTRAK","RE-KONTRAK")</f>
        <v>NEW KONTRAK</v>
      </c>
      <c r="J2778" s="16" t="n">
        <f aca="false" t="array" ref="J2778:J2778">IFERROR(INDEX(AC2778:AE2778,IF(COUNTA(AC2778:AE2778)=0,"",MAX((AC2778:AE2778&lt;&gt;"")*(COLUMN(AC2778:AE2778)-(COLUMN(AC2778)))))-1),"")</f>
        <v>45936</v>
      </c>
      <c r="K2778" s="16" t="n">
        <f aca="false" t="array" ref="K2778:K2778">IFERROR(INDEX(AC2778:AE2778,IF(COUNTA(AC2778:AE2778)=0,"",MAX((AC2778:AE2778&lt;&gt;"")*(COLUMN(AC2778:AE2778)-(COLUMN(AC2778)-1))))-1),"")</f>
        <v>46022</v>
      </c>
      <c r="L2778" s="17" t="str">
        <f aca="false" t="array" ref="L2778:L2778">IFERROR(INDEX(AC2778:AE2778,IF(COUNTA(AC2778:AE2778)=0,"",MAX((AC2778:AE2778&lt;&gt;"")*(COLUMN(AC2778:AE2778)-(COLUMN(AC2778)-2))))-1),"")</f>
        <v>ARCHIVED</v>
      </c>
      <c r="M2778" s="13" t="n">
        <f aca="true">K2778-TODAY()</f>
        <v>-302</v>
      </c>
      <c r="N2778" s="18" t="s">
        <v>36</v>
      </c>
      <c r="O2778" s="13" t="s">
        <v>156</v>
      </c>
      <c r="P2778" s="19" t="n">
        <v>5195401</v>
      </c>
      <c r="Q2778" s="47" t="s">
        <v>11791</v>
      </c>
      <c r="R2778" s="13" t="s">
        <v>65</v>
      </c>
      <c r="S2778" s="16" t="n">
        <v>35851</v>
      </c>
      <c r="T2778" s="28" t="s">
        <v>40</v>
      </c>
      <c r="U2778" s="13" t="s">
        <v>11792</v>
      </c>
      <c r="V2778" s="13" t="s">
        <v>42</v>
      </c>
      <c r="W2778" s="13" t="s">
        <v>43</v>
      </c>
      <c r="X2778" s="21" t="n">
        <v>85804876750</v>
      </c>
      <c r="Y2778" s="22" t="str">
        <f aca="false">O2778</f>
        <v>Emulsion</v>
      </c>
      <c r="Z2778" s="13" t="str">
        <f aca="false">IFERROR(__xludf.dummyfunction("if(BJ2778="""","""",GOOGLETRANSLATE(BJ2778,""auto"",""en""))"),"Emulsion")</f>
        <v>Emulsion</v>
      </c>
      <c r="AA2778" s="23" t="str">
        <f aca="false">IF(C2778="","", CHOOSE(MONTH(C2778),"January","February","March","April","May","June","July","August","September","October","November","December")&amp;" "&amp;DAY(C2778)&amp;MID("thstndrdth",MIN(9,2*RIGHT(DAY(C2778))*(MOD(DAY(C2778)-11,100)&gt;2)+1),2)&amp;","&amp;TEXT(C2778," yyyy"))</f>
        <v>October 6th,2025</v>
      </c>
      <c r="AB2778" s="15" t="str">
        <f aca="true">IF(S2778="","",DATEDIF(S2778,TODAY(),"Y")&amp;" Tahun, "&amp;DATEDIF(S2778,TODAY(),"YM")&amp;" Bulan, "&amp;DATEDIF(S2778,TODAY(),"MD")&amp;" Hari")</f>
        <v>28 Tahun, 8 Bulan, 4 Hari</v>
      </c>
      <c r="AC2778" s="18" t="n">
        <v>45936</v>
      </c>
      <c r="AD2778" s="18" t="n">
        <v>46022</v>
      </c>
      <c r="AE2778" s="13" t="s">
        <v>44</v>
      </c>
    </row>
    <row r="2779" customFormat="false" ht="15" hidden="false" customHeight="true" outlineLevel="0" collapsed="false">
      <c r="A2779" s="12" t="n">
        <v>20973</v>
      </c>
      <c r="B2779" s="13" t="s">
        <v>11793</v>
      </c>
      <c r="C2779" s="16" t="n">
        <v>45936</v>
      </c>
      <c r="D2779" s="13" t="s">
        <v>144</v>
      </c>
      <c r="E2779" s="13" t="s">
        <v>33</v>
      </c>
      <c r="F2779" s="24" t="s">
        <v>11794</v>
      </c>
      <c r="G2779" s="13" t="s">
        <v>1127</v>
      </c>
      <c r="H2779" s="13" t="s">
        <v>35</v>
      </c>
      <c r="I2779" s="13" t="str">
        <f aca="false">IF(C2779=J2779,"NEW KONTRAK","RE-KONTRAK")</f>
        <v>NEW KONTRAK</v>
      </c>
      <c r="J2779" s="16" t="n">
        <f aca="false" t="array" ref="J2779:J2779">IFERROR(INDEX(AC2779:AE2779,IF(COUNTA(AC2779:AE2779)=0,"",MAX((AC2779:AE2779&lt;&gt;"")*(COLUMN(AC2779:AE2779)-(COLUMN(AC2779)))))-1),"")</f>
        <v>45936</v>
      </c>
      <c r="K2779" s="16" t="n">
        <f aca="false" t="array" ref="K2779:K2779">IFERROR(INDEX(AC2779:AE2779,IF(COUNTA(AC2779:AE2779)=0,"",MAX((AC2779:AE2779&lt;&gt;"")*(COLUMN(AC2779:AE2779)-(COLUMN(AC2779)-1))))-1),"")</f>
        <v>46022</v>
      </c>
      <c r="L2779" s="17" t="str">
        <f aca="false" t="array" ref="L2779:L2779">IFERROR(INDEX(AC2779:AE2779,IF(COUNTA(AC2779:AE2779)=0,"",MAX((AC2779:AE2779&lt;&gt;"")*(COLUMN(AC2779:AE2779)-(COLUMN(AC2779)-2))))-1),"")</f>
        <v>ARCHIVED</v>
      </c>
      <c r="M2779" s="13" t="n">
        <f aca="true">K2779-TODAY()</f>
        <v>-302</v>
      </c>
      <c r="N2779" s="18" t="s">
        <v>36</v>
      </c>
      <c r="O2779" s="13" t="s">
        <v>146</v>
      </c>
      <c r="P2779" s="19" t="n">
        <v>5195401</v>
      </c>
      <c r="Q2779" s="47" t="s">
        <v>11795</v>
      </c>
      <c r="R2779" s="13" t="s">
        <v>52</v>
      </c>
      <c r="S2779" s="16" t="n">
        <v>32616</v>
      </c>
      <c r="T2779" s="28" t="s">
        <v>40</v>
      </c>
      <c r="U2779" s="13" t="s">
        <v>11796</v>
      </c>
      <c r="V2779" s="13" t="s">
        <v>42</v>
      </c>
      <c r="W2779" s="13" t="s">
        <v>54</v>
      </c>
      <c r="X2779" s="30" t="n">
        <v>81107661771</v>
      </c>
      <c r="Y2779" s="22" t="str">
        <f aca="false">O2779</f>
        <v>Enamel</v>
      </c>
      <c r="Z2779" s="13" t="str">
        <f aca="false">IFERROR(__xludf.dummyfunction("if(BJ2779="""","""",GOOGLETRANSLATE(BJ2779,""auto"",""en""))"),"Enamel")</f>
        <v>Enamel</v>
      </c>
      <c r="AA2779" s="23" t="str">
        <f aca="false">IF(C2779="","", CHOOSE(MONTH(C2779),"January","February","March","April","May","June","July","August","September","October","November","December")&amp;" "&amp;DAY(C2779)&amp;MID("thstndrdth",MIN(9,2*RIGHT(DAY(C2779))*(MOD(DAY(C2779)-11,100)&gt;2)+1),2)&amp;","&amp;TEXT(C2779," yyyy"))</f>
        <v>October 6th,2025</v>
      </c>
      <c r="AB2779" s="15" t="str">
        <f aca="true">IF(S2779="","",DATEDIF(S2779,TODAY(),"Y")&amp;" Tahun, "&amp;DATEDIF(S2779,TODAY(),"YM")&amp;" Bulan, "&amp;DATEDIF(S2779,TODAY(),"MD")&amp;" Hari")</f>
        <v>37 Tahun, 6 Bulan, 11 Hari</v>
      </c>
      <c r="AC2779" s="18" t="n">
        <v>45936</v>
      </c>
      <c r="AD2779" s="18" t="n">
        <v>46022</v>
      </c>
      <c r="AE2779" s="13" t="s">
        <v>44</v>
      </c>
    </row>
    <row r="2780" customFormat="false" ht="15" hidden="false" customHeight="true" outlineLevel="0" collapsed="false">
      <c r="A2780" s="12" t="n">
        <v>20974</v>
      </c>
      <c r="B2780" s="13" t="s">
        <v>11797</v>
      </c>
      <c r="C2780" s="16" t="n">
        <v>45936</v>
      </c>
      <c r="D2780" s="13" t="s">
        <v>144</v>
      </c>
      <c r="E2780" s="13" t="s">
        <v>47</v>
      </c>
      <c r="F2780" s="15" t="str">
        <f aca="false">IFERROR(__xludf.dummyfunction("XLOOKUP(AJ2780,IMPORTRANGE(""1XaInW9DU9nz21V0tYIfzFQ0He9kVQ_JF2mCXgZ3hqFA"",""REKAP ALL 2026 - Andika!G:G""),IMPORTRANGE(""1XaInW9DU9nz21V0tYIfzFQ0He9kVQ_JF2mCXgZ3hqFA"",""REKAP ALL 2026 - Andika!F:F""),"""",0)"),"25157578862")</f>
        <v>25157578862</v>
      </c>
      <c r="G2780" s="13" t="s">
        <v>1127</v>
      </c>
      <c r="H2780" s="13" t="s">
        <v>35</v>
      </c>
      <c r="I2780" s="13" t="str">
        <f aca="false">IF(C2780=J2780,"NEW KONTRAK","RE-KONTRAK")</f>
        <v>NEW KONTRAK</v>
      </c>
      <c r="J2780" s="16" t="n">
        <f aca="false" t="array" ref="J2780:J2780">IFERROR(INDEX(AC2780:AE2780,IF(COUNTA(AC2780:AE2780)=0,"",MAX((AC2780:AE2780&lt;&gt;"")*(COLUMN(AC2780:AE2780)-(COLUMN(AC2780)))))-1),"")</f>
        <v>45936</v>
      </c>
      <c r="K2780" s="16" t="n">
        <f aca="false" t="array" ref="K2780:K2780">IFERROR(INDEX(AC2780:AE2780,IF(COUNTA(AC2780:AE2780)=0,"",MAX((AC2780:AE2780&lt;&gt;"")*(COLUMN(AC2780:AE2780)-(COLUMN(AC2780)-1))))-1),"")</f>
        <v>46022</v>
      </c>
      <c r="L2780" s="17" t="str">
        <f aca="false" t="array" ref="L2780:L2780">IFERROR(INDEX(AC2780:AE2780,IF(COUNTA(AC2780:AE2780)=0,"",MAX((AC2780:AE2780&lt;&gt;"")*(COLUMN(AC2780:AE2780)-(COLUMN(AC2780)-2))))-1),"")</f>
        <v>ARCHIVED</v>
      </c>
      <c r="M2780" s="13" t="n">
        <f aca="true">K2780-TODAY()</f>
        <v>-302</v>
      </c>
      <c r="N2780" s="18" t="s">
        <v>36</v>
      </c>
      <c r="O2780" s="13" t="s">
        <v>146</v>
      </c>
      <c r="P2780" s="19" t="n">
        <v>5195401</v>
      </c>
      <c r="Q2780" s="47" t="s">
        <v>11798</v>
      </c>
      <c r="R2780" s="13" t="s">
        <v>763</v>
      </c>
      <c r="S2780" s="16" t="n">
        <v>32427</v>
      </c>
      <c r="T2780" s="28" t="s">
        <v>40</v>
      </c>
      <c r="U2780" s="13" t="s">
        <v>11799</v>
      </c>
      <c r="V2780" s="13" t="s">
        <v>42</v>
      </c>
      <c r="W2780" s="13" t="s">
        <v>54</v>
      </c>
      <c r="X2780" s="21" t="n">
        <v>85642103254</v>
      </c>
      <c r="Y2780" s="22" t="str">
        <f aca="false">O2780</f>
        <v>Enamel</v>
      </c>
      <c r="Z2780" s="13" t="str">
        <f aca="false">IFERROR(__xludf.dummyfunction("if(BJ2780="""","""",GOOGLETRANSLATE(BJ2780,""auto"",""en""))"),"Enamel")</f>
        <v>Enamel</v>
      </c>
      <c r="AA2780" s="23" t="str">
        <f aca="false">IF(C2780="","", CHOOSE(MONTH(C2780),"January","February","March","April","May","June","July","August","September","October","November","December")&amp;" "&amp;DAY(C2780)&amp;MID("thstndrdth",MIN(9,2*RIGHT(DAY(C2780))*(MOD(DAY(C2780)-11,100)&gt;2)+1),2)&amp;","&amp;TEXT(C2780," yyyy"))</f>
        <v>October 6th,2025</v>
      </c>
      <c r="AB2780" s="15" t="str">
        <f aca="true">IF(S2780="","",DATEDIF(S2780,TODAY(),"Y")&amp;" Tahun, "&amp;DATEDIF(S2780,TODAY(),"YM")&amp;" Bulan, "&amp;DATEDIF(S2780,TODAY(),"MD")&amp;" Hari")</f>
        <v>38 Tahun, 0 Bulan, 18 Hari</v>
      </c>
      <c r="AC2780" s="18" t="n">
        <v>45936</v>
      </c>
      <c r="AD2780" s="18" t="n">
        <v>46022</v>
      </c>
      <c r="AE2780" s="13" t="s">
        <v>44</v>
      </c>
    </row>
    <row r="2781" customFormat="false" ht="15" hidden="false" customHeight="true" outlineLevel="0" collapsed="false">
      <c r="A2781" s="12" t="n">
        <v>20975</v>
      </c>
      <c r="B2781" s="13" t="s">
        <v>11800</v>
      </c>
      <c r="C2781" s="16" t="n">
        <v>45936</v>
      </c>
      <c r="D2781" s="13" t="s">
        <v>144</v>
      </c>
      <c r="E2781" s="13" t="s">
        <v>789</v>
      </c>
      <c r="F2781" s="15" t="str">
        <f aca="false">IFERROR(__xludf.dummyfunction("XLOOKUP(AJ2781,IMPORTRANGE(""1XaInW9DU9nz21V0tYIfzFQ0He9kVQ_JF2mCXgZ3hqFA"",""REKAP ALL 2026 - Andika!G:G""),IMPORTRANGE(""1XaInW9DU9nz21V0tYIfzFQ0He9kVQ_JF2mCXgZ3hqFA"",""REKAP ALL 2026 - Andika!F:F""),"""",0)"),"25157579019")</f>
        <v>25157579019</v>
      </c>
      <c r="G2781" s="13" t="s">
        <v>1127</v>
      </c>
      <c r="H2781" s="13" t="s">
        <v>35</v>
      </c>
      <c r="I2781" s="13" t="str">
        <f aca="false">IF(C2781=J2781,"NEW KONTRAK","RE-KONTRAK")</f>
        <v>NEW KONTRAK</v>
      </c>
      <c r="J2781" s="16" t="n">
        <f aca="false" t="array" ref="J2781:J2781">IFERROR(INDEX(AC2781:AE2781,IF(COUNTA(AC2781:AE2781)=0,"",MAX((AC2781:AE2781&lt;&gt;"")*(COLUMN(AC2781:AE2781)-(COLUMN(AC2781)))))-1),"")</f>
        <v>45936</v>
      </c>
      <c r="K2781" s="16" t="n">
        <f aca="false" t="array" ref="K2781:K2781">IFERROR(INDEX(AC2781:AE2781,IF(COUNTA(AC2781:AE2781)=0,"",MAX((AC2781:AE2781&lt;&gt;"")*(COLUMN(AC2781:AE2781)-(COLUMN(AC2781)-1))))-1),"")</f>
        <v>46022</v>
      </c>
      <c r="L2781" s="17" t="str">
        <f aca="false" t="array" ref="L2781:L2781">IFERROR(INDEX(AC2781:AE2781,IF(COUNTA(AC2781:AE2781)=0,"",MAX((AC2781:AE2781&lt;&gt;"")*(COLUMN(AC2781:AE2781)-(COLUMN(AC2781)-2))))-1),"")</f>
        <v>ARCHIVED</v>
      </c>
      <c r="M2781" s="13" t="n">
        <f aca="true">K2781-TODAY()</f>
        <v>-302</v>
      </c>
      <c r="N2781" s="18" t="s">
        <v>36</v>
      </c>
      <c r="O2781" s="13" t="s">
        <v>11801</v>
      </c>
      <c r="P2781" s="19" t="n">
        <v>5195401</v>
      </c>
      <c r="Q2781" s="47" t="s">
        <v>11802</v>
      </c>
      <c r="R2781" s="13" t="s">
        <v>52</v>
      </c>
      <c r="S2781" s="16" t="n">
        <v>37281</v>
      </c>
      <c r="T2781" s="28" t="s">
        <v>40</v>
      </c>
      <c r="U2781" s="13" t="s">
        <v>11803</v>
      </c>
      <c r="V2781" s="13" t="s">
        <v>42</v>
      </c>
      <c r="W2781" s="13" t="s">
        <v>43</v>
      </c>
      <c r="X2781" s="21" t="n">
        <v>81370218030</v>
      </c>
      <c r="Y2781" s="22" t="str">
        <f aca="false">O2781</f>
        <v>Produksi Enamel</v>
      </c>
      <c r="Z2781" s="13" t="str">
        <f aca="false">IFERROR(__xludf.dummyfunction("if(BJ2781="""","""",GOOGLETRANSLATE(BJ2781,""auto"",""en""))"),"Enamel Production")</f>
        <v>Enamel Production</v>
      </c>
      <c r="AA2781" s="23" t="str">
        <f aca="false">IF(C2781="","", CHOOSE(MONTH(C2781),"January","February","March","April","May","June","July","August","September","October","November","December")&amp;" "&amp;DAY(C2781)&amp;MID("thstndrdth",MIN(9,2*RIGHT(DAY(C2781))*(MOD(DAY(C2781)-11,100)&gt;2)+1),2)&amp;","&amp;TEXT(C2781," yyyy"))</f>
        <v>October 6th,2025</v>
      </c>
      <c r="AB2781" s="15" t="str">
        <f aca="true">IF(S2781="","",DATEDIF(S2781,TODAY(),"Y")&amp;" Tahun, "&amp;DATEDIF(S2781,TODAY(),"YM")&amp;" Bulan, "&amp;DATEDIF(S2781,TODAY(),"MD")&amp;" Hari")</f>
        <v>24 Tahun, 9 Bulan, 4 Hari</v>
      </c>
      <c r="AC2781" s="18" t="n">
        <v>45936</v>
      </c>
      <c r="AD2781" s="18" t="n">
        <v>46022</v>
      </c>
      <c r="AE2781" s="13" t="s">
        <v>44</v>
      </c>
    </row>
    <row r="2782" customFormat="false" ht="15" hidden="false" customHeight="true" outlineLevel="0" collapsed="false">
      <c r="A2782" s="12" t="n">
        <v>20978</v>
      </c>
      <c r="B2782" s="13" t="s">
        <v>11804</v>
      </c>
      <c r="C2782" s="16" t="n">
        <v>45936</v>
      </c>
      <c r="D2782" s="13" t="s">
        <v>3022</v>
      </c>
      <c r="E2782" s="13" t="s">
        <v>789</v>
      </c>
      <c r="F2782" s="24" t="s">
        <v>11805</v>
      </c>
      <c r="G2782" s="13" t="s">
        <v>57</v>
      </c>
      <c r="H2782" s="13" t="s">
        <v>3024</v>
      </c>
      <c r="I2782" s="13" t="str">
        <f aca="false">IF(C2782=J2782,"NEW KONTRAK","RE-KONTRAK")</f>
        <v>NEW KONTRAK</v>
      </c>
      <c r="J2782" s="16" t="n">
        <f aca="false" t="array" ref="J2782:J2782">IFERROR(INDEX(AC2782:AE2782,IF(COUNTA(AC2782:AE2782)=0,"",MAX((AC2782:AE2782&lt;&gt;"")*(COLUMN(AC2782:AE2782)-(COLUMN(AC2782)))))-1),"")</f>
        <v>45936</v>
      </c>
      <c r="K2782" s="16" t="n">
        <f aca="false" t="array" ref="K2782:K2782">IFERROR(INDEX(AC2782:AE2782,IF(COUNTA(AC2782:AE2782)=0,"",MAX((AC2782:AE2782&lt;&gt;"")*(COLUMN(AC2782:AE2782)-(COLUMN(AC2782)-1))))-1),"")</f>
        <v>46027</v>
      </c>
      <c r="L2782" s="17" t="str">
        <f aca="false" t="array" ref="L2782:L2782">IFERROR(INDEX(AC2782:AE2782,IF(COUNTA(AC2782:AE2782)=0,"",MAX((AC2782:AE2782&lt;&gt;"")*(COLUMN(AC2782:AE2782)-(COLUMN(AC2782)-2))))-1),"")</f>
        <v>ARCHIVED</v>
      </c>
      <c r="M2782" s="13" t="n">
        <f aca="true">K2782-TODAY()</f>
        <v>-297</v>
      </c>
      <c r="N2782" s="18" t="s">
        <v>36</v>
      </c>
      <c r="O2782" s="13" t="s">
        <v>58</v>
      </c>
      <c r="P2782" s="19" t="n">
        <v>93500</v>
      </c>
      <c r="Q2782" s="47" t="s">
        <v>11806</v>
      </c>
      <c r="R2782" s="13" t="s">
        <v>39</v>
      </c>
      <c r="S2782" s="16" t="n">
        <v>35327</v>
      </c>
      <c r="T2782" s="28" t="s">
        <v>40</v>
      </c>
      <c r="U2782" s="13" t="s">
        <v>11807</v>
      </c>
      <c r="V2782" s="13" t="s">
        <v>42</v>
      </c>
      <c r="W2782" s="13" t="s">
        <v>43</v>
      </c>
      <c r="X2782" s="30" t="n">
        <v>81359212499</v>
      </c>
      <c r="Y2782" s="22" t="str">
        <f aca="false">O2782</f>
        <v>Produksi</v>
      </c>
      <c r="Z2782" s="13" t="str">
        <f aca="false">IFERROR(__xludf.dummyfunction("if(BJ2782="""","""",GOOGLETRANSLATE(BJ2782,""auto"",""en""))"),"Production")</f>
        <v>Production</v>
      </c>
      <c r="AA2782" s="23" t="str">
        <f aca="false">IF(C2782="","", CHOOSE(MONTH(C2782),"January","February","March","April","May","June","July","August","September","October","November","December")&amp;" "&amp;DAY(C2782)&amp;MID("thstndrdth",MIN(9,2*RIGHT(DAY(C2782))*(MOD(DAY(C2782)-11,100)&gt;2)+1),2)&amp;","&amp;TEXT(C2782," yyyy"))</f>
        <v>October 6th,2025</v>
      </c>
      <c r="AB2782" s="15" t="str">
        <f aca="true">IF(S2782="","",DATEDIF(S2782,TODAY(),"Y")&amp;" Tahun, "&amp;DATEDIF(S2782,TODAY(),"YM")&amp;" Bulan, "&amp;DATEDIF(S2782,TODAY(),"MD")&amp;" Hari")</f>
        <v>30 Tahun, 1 Bulan, 10 Hari</v>
      </c>
      <c r="AC2782" s="18" t="n">
        <v>45936</v>
      </c>
      <c r="AD2782" s="18" t="n">
        <f aca="false">EDATE(AC2782,3)-1</f>
        <v>46027</v>
      </c>
      <c r="AE2782" s="13" t="s">
        <v>44</v>
      </c>
    </row>
    <row r="2783" customFormat="false" ht="15" hidden="false" customHeight="true" outlineLevel="0" collapsed="false">
      <c r="A2783" s="12" t="n">
        <v>20979</v>
      </c>
      <c r="B2783" s="13" t="s">
        <v>11808</v>
      </c>
      <c r="C2783" s="16" t="n">
        <v>45936</v>
      </c>
      <c r="D2783" s="13" t="s">
        <v>3022</v>
      </c>
      <c r="E2783" s="13" t="s">
        <v>33</v>
      </c>
      <c r="F2783" s="24" t="s">
        <v>11809</v>
      </c>
      <c r="G2783" s="13" t="s">
        <v>57</v>
      </c>
      <c r="H2783" s="13" t="s">
        <v>3024</v>
      </c>
      <c r="I2783" s="13" t="str">
        <f aca="false">IF(C2783=J2783,"NEW KONTRAK","RE-KONTRAK")</f>
        <v>NEW KONTRAK</v>
      </c>
      <c r="J2783" s="16" t="n">
        <f aca="false" t="array" ref="J2783:J2783">IFERROR(INDEX(AC2783:AE2783,IF(COUNTA(AC2783:AE2783)=0,"",MAX((AC2783:AE2783&lt;&gt;"")*(COLUMN(AC2783:AE2783)-(COLUMN(AC2783)))))-1),"")</f>
        <v>45936</v>
      </c>
      <c r="K2783" s="16" t="n">
        <f aca="false" t="array" ref="K2783:K2783">IFERROR(INDEX(AC2783:AE2783,IF(COUNTA(AC2783:AE2783)=0,"",MAX((AC2783:AE2783&lt;&gt;"")*(COLUMN(AC2783:AE2783)-(COLUMN(AC2783)-1))))-1),"")</f>
        <v>46027</v>
      </c>
      <c r="L2783" s="17" t="str">
        <f aca="false" t="array" ref="L2783:L2783">IFERROR(INDEX(AC2783:AE2783,IF(COUNTA(AC2783:AE2783)=0,"",MAX((AC2783:AE2783&lt;&gt;"")*(COLUMN(AC2783:AE2783)-(COLUMN(AC2783)-2))))-1),"")</f>
        <v>ARCHIVED</v>
      </c>
      <c r="M2783" s="13" t="n">
        <f aca="true">K2783-TODAY()</f>
        <v>-297</v>
      </c>
      <c r="N2783" s="18" t="s">
        <v>36</v>
      </c>
      <c r="O2783" s="13" t="s">
        <v>58</v>
      </c>
      <c r="P2783" s="19" t="n">
        <v>90000</v>
      </c>
      <c r="Q2783" s="47" t="s">
        <v>11810</v>
      </c>
      <c r="R2783" s="13" t="s">
        <v>39</v>
      </c>
      <c r="S2783" s="16" t="n">
        <v>37022</v>
      </c>
      <c r="T2783" s="28" t="s">
        <v>40</v>
      </c>
      <c r="U2783" s="13" t="s">
        <v>11811</v>
      </c>
      <c r="V2783" s="13" t="s">
        <v>42</v>
      </c>
      <c r="W2783" s="13" t="s">
        <v>43</v>
      </c>
      <c r="X2783" s="30" t="n">
        <v>85869847896</v>
      </c>
      <c r="Y2783" s="22" t="str">
        <f aca="false">O2783</f>
        <v>Produksi</v>
      </c>
      <c r="Z2783" s="13" t="str">
        <f aca="false">IFERROR(__xludf.dummyfunction("if(BJ2783="""","""",GOOGLETRANSLATE(BJ2783,""auto"",""en""))"),"Production")</f>
        <v>Production</v>
      </c>
      <c r="AA2783" s="23" t="str">
        <f aca="false">IF(C2783="","", CHOOSE(MONTH(C2783),"January","February","March","April","May","June","July","August","September","October","November","December")&amp;" "&amp;DAY(C2783)&amp;MID("thstndrdth",MIN(9,2*RIGHT(DAY(C2783))*(MOD(DAY(C2783)-11,100)&gt;2)+1),2)&amp;","&amp;TEXT(C2783," yyyy"))</f>
        <v>October 6th,2025</v>
      </c>
      <c r="AB2783" s="15" t="str">
        <f aca="true">IF(S2783="","",DATEDIF(S2783,TODAY(),"Y")&amp;" Tahun, "&amp;DATEDIF(S2783,TODAY(),"YM")&amp;" Bulan, "&amp;DATEDIF(S2783,TODAY(),"MD")&amp;" Hari")</f>
        <v>25 Tahun, 5 Bulan, 18 Hari</v>
      </c>
      <c r="AC2783" s="18" t="n">
        <v>45936</v>
      </c>
      <c r="AD2783" s="18" t="n">
        <f aca="false">EDATE(AC2783,3)-1</f>
        <v>46027</v>
      </c>
      <c r="AE2783" s="13" t="s">
        <v>44</v>
      </c>
    </row>
    <row r="2784" customFormat="false" ht="15" hidden="false" customHeight="true" outlineLevel="0" collapsed="false">
      <c r="A2784" s="12" t="n">
        <v>20980</v>
      </c>
      <c r="B2784" s="13" t="s">
        <v>11812</v>
      </c>
      <c r="C2784" s="16" t="n">
        <v>45936</v>
      </c>
      <c r="D2784" s="13" t="s">
        <v>3022</v>
      </c>
      <c r="E2784" s="13" t="s">
        <v>789</v>
      </c>
      <c r="F2784" s="24" t="s">
        <v>11813</v>
      </c>
      <c r="G2784" s="13" t="s">
        <v>57</v>
      </c>
      <c r="H2784" s="13" t="s">
        <v>3024</v>
      </c>
      <c r="I2784" s="13" t="str">
        <f aca="false">IF(C2784=J2784,"NEW KONTRAK","RE-KONTRAK")</f>
        <v>NEW KONTRAK</v>
      </c>
      <c r="J2784" s="16" t="n">
        <f aca="false" t="array" ref="J2784:J2784">IFERROR(INDEX(AC2784:AE2784,IF(COUNTA(AC2784:AE2784)=0,"",MAX((AC2784:AE2784&lt;&gt;"")*(COLUMN(AC2784:AE2784)-(COLUMN(AC2784)))))-1),"")</f>
        <v>45936</v>
      </c>
      <c r="K2784" s="16" t="n">
        <f aca="false" t="array" ref="K2784:K2784">IFERROR(INDEX(AC2784:AE2784,IF(COUNTA(AC2784:AE2784)=0,"",MAX((AC2784:AE2784&lt;&gt;"")*(COLUMN(AC2784:AE2784)-(COLUMN(AC2784)-1))))-1),"")</f>
        <v>46027</v>
      </c>
      <c r="L2784" s="17" t="str">
        <f aca="false" t="array" ref="L2784:L2784">IFERROR(INDEX(AC2784:AE2784,IF(COUNTA(AC2784:AE2784)=0,"",MAX((AC2784:AE2784&lt;&gt;"")*(COLUMN(AC2784:AE2784)-(COLUMN(AC2784)-2))))-1),"")</f>
        <v>ARCHIVED</v>
      </c>
      <c r="M2784" s="13" t="n">
        <f aca="true">K2784-TODAY()</f>
        <v>-297</v>
      </c>
      <c r="N2784" s="18" t="s">
        <v>36</v>
      </c>
      <c r="O2784" s="13" t="s">
        <v>58</v>
      </c>
      <c r="P2784" s="19" t="n">
        <v>93500</v>
      </c>
      <c r="Q2784" s="47" t="s">
        <v>11814</v>
      </c>
      <c r="R2784" s="13" t="s">
        <v>39</v>
      </c>
      <c r="S2784" s="16" t="n">
        <v>38887</v>
      </c>
      <c r="T2784" s="28" t="s">
        <v>40</v>
      </c>
      <c r="U2784" s="13" t="s">
        <v>11815</v>
      </c>
      <c r="V2784" s="13" t="s">
        <v>42</v>
      </c>
      <c r="W2784" s="13" t="s">
        <v>43</v>
      </c>
      <c r="X2784" s="30" t="n">
        <v>82118367365</v>
      </c>
      <c r="Y2784" s="22" t="str">
        <f aca="false">O2784</f>
        <v>Produksi</v>
      </c>
      <c r="Z2784" s="13" t="str">
        <f aca="false">IFERROR(__xludf.dummyfunction("if(BJ2784="""","""",GOOGLETRANSLATE(BJ2784,""auto"",""en""))"),"Production")</f>
        <v>Production</v>
      </c>
      <c r="AA2784" s="23" t="str">
        <f aca="false">IF(C2784="","", CHOOSE(MONTH(C2784),"January","February","March","April","May","June","July","August","September","October","November","December")&amp;" "&amp;DAY(C2784)&amp;MID("thstndrdth",MIN(9,2*RIGHT(DAY(C2784))*(MOD(DAY(C2784)-11,100)&gt;2)+1),2)&amp;","&amp;TEXT(C2784," yyyy"))</f>
        <v>October 6th,2025</v>
      </c>
      <c r="AB2784" s="15" t="str">
        <f aca="true">IF(S2784="","",DATEDIF(S2784,TODAY(),"Y")&amp;" Tahun, "&amp;DATEDIF(S2784,TODAY(),"YM")&amp;" Bulan, "&amp;DATEDIF(S2784,TODAY(),"MD")&amp;" Hari")</f>
        <v>20 Tahun, 4 Bulan, 10 Hari</v>
      </c>
      <c r="AC2784" s="18" t="n">
        <v>45936</v>
      </c>
      <c r="AD2784" s="18" t="n">
        <f aca="false">EDATE(AC2784,3)-1</f>
        <v>46027</v>
      </c>
      <c r="AE2784" s="13" t="s">
        <v>44</v>
      </c>
    </row>
    <row r="2785" customFormat="false" ht="15" hidden="false" customHeight="true" outlineLevel="0" collapsed="false">
      <c r="A2785" s="12" t="n">
        <v>20981</v>
      </c>
      <c r="B2785" s="13" t="s">
        <v>11816</v>
      </c>
      <c r="C2785" s="16" t="n">
        <v>45936</v>
      </c>
      <c r="D2785" s="13" t="s">
        <v>3022</v>
      </c>
      <c r="E2785" s="13" t="s">
        <v>789</v>
      </c>
      <c r="F2785" s="15" t="str">
        <f aca="false">IFERROR(__xludf.dummyfunction("XLOOKUP(AJ2785,IMPORTRANGE(""1XaInW9DU9nz21V0tYIfzFQ0He9kVQ_JF2mCXgZ3hqFA"",""REKAP ALL 2026 - Andika!G:G""),IMPORTRANGE(""1XaInW9DU9nz21V0tYIfzFQ0He9kVQ_JF2mCXgZ3hqFA"",""REKAP ALL 2026 - Andika!F:F""),"""",0)"),"26035117691")</f>
        <v>26035117691</v>
      </c>
      <c r="G2785" s="13" t="s">
        <v>57</v>
      </c>
      <c r="H2785" s="13" t="s">
        <v>3024</v>
      </c>
      <c r="I2785" s="13" t="str">
        <f aca="false">IF(C2785=J2785,"NEW KONTRAK","RE-KONTRAK")</f>
        <v>NEW KONTRAK</v>
      </c>
      <c r="J2785" s="16" t="n">
        <f aca="false" t="array" ref="J2785:J2785">IFERROR(INDEX(AC2785:AE2785,IF(COUNTA(AC2785:AE2785)=0,"",MAX((AC2785:AE2785&lt;&gt;"")*(COLUMN(AC2785:AE2785)-(COLUMN(AC2785)))))-1),"")</f>
        <v>45936</v>
      </c>
      <c r="K2785" s="16" t="n">
        <f aca="false" t="array" ref="K2785:K2785">IFERROR(INDEX(AC2785:AE2785,IF(COUNTA(AC2785:AE2785)=0,"",MAX((AC2785:AE2785&lt;&gt;"")*(COLUMN(AC2785:AE2785)-(COLUMN(AC2785)-1))))-1),"")</f>
        <v>46027</v>
      </c>
      <c r="L2785" s="17" t="str">
        <f aca="false" t="array" ref="L2785:L2785">IFERROR(INDEX(AC2785:AE2785,IF(COUNTA(AC2785:AE2785)=0,"",MAX((AC2785:AE2785&lt;&gt;"")*(COLUMN(AC2785:AE2785)-(COLUMN(AC2785)-2))))-1),"")</f>
        <v>ARCHIVED</v>
      </c>
      <c r="M2785" s="13" t="n">
        <f aca="true">K2785-TODAY()</f>
        <v>-297</v>
      </c>
      <c r="N2785" s="18" t="s">
        <v>36</v>
      </c>
      <c r="O2785" s="13" t="s">
        <v>58</v>
      </c>
      <c r="P2785" s="27" t="n">
        <v>112500</v>
      </c>
      <c r="Q2785" s="47" t="s">
        <v>11817</v>
      </c>
      <c r="R2785" s="13" t="s">
        <v>65</v>
      </c>
      <c r="S2785" s="16" t="n">
        <v>37134</v>
      </c>
      <c r="T2785" s="28" t="s">
        <v>40</v>
      </c>
      <c r="U2785" s="13" t="s">
        <v>11818</v>
      </c>
      <c r="V2785" s="13" t="s">
        <v>42</v>
      </c>
      <c r="W2785" s="13" t="s">
        <v>43</v>
      </c>
      <c r="X2785" s="30" t="n">
        <v>89866156545</v>
      </c>
      <c r="Y2785" s="22" t="str">
        <f aca="false">O2785</f>
        <v>Produksi</v>
      </c>
      <c r="Z2785" s="13" t="str">
        <f aca="false">IFERROR(__xludf.dummyfunction("if(BJ2785="""","""",GOOGLETRANSLATE(BJ2785,""auto"",""en""))"),"Production")</f>
        <v>Production</v>
      </c>
      <c r="AA2785" s="23" t="str">
        <f aca="false">IF(C2785="","", CHOOSE(MONTH(C2785),"January","February","March","April","May","June","July","August","September","October","November","December")&amp;" "&amp;DAY(C2785)&amp;MID("thstndrdth",MIN(9,2*RIGHT(DAY(C2785))*(MOD(DAY(C2785)-11,100)&gt;2)+1),2)&amp;","&amp;TEXT(C2785," yyyy"))</f>
        <v>October 6th,2025</v>
      </c>
      <c r="AB2785" s="15" t="str">
        <f aca="true">IF(S2785="","",DATEDIF(S2785,TODAY(),"Y")&amp;" Tahun, "&amp;DATEDIF(S2785,TODAY(),"YM")&amp;" Bulan, "&amp;DATEDIF(S2785,TODAY(),"MD")&amp;" Hari")</f>
        <v>25 Tahun, 1 Bulan, 28 Hari</v>
      </c>
      <c r="AC2785" s="18" t="n">
        <v>45936</v>
      </c>
      <c r="AD2785" s="18" t="n">
        <f aca="false">EDATE(AC2785,3)-1</f>
        <v>46027</v>
      </c>
      <c r="AE2785" s="13" t="s">
        <v>44</v>
      </c>
    </row>
    <row r="2786" customFormat="false" ht="15" hidden="false" customHeight="true" outlineLevel="0" collapsed="false">
      <c r="A2786" s="12" t="n">
        <v>20986</v>
      </c>
      <c r="B2786" s="13" t="s">
        <v>11819</v>
      </c>
      <c r="C2786" s="16" t="n">
        <v>45939</v>
      </c>
      <c r="D2786" s="13" t="s">
        <v>11620</v>
      </c>
      <c r="E2786" s="13" t="s">
        <v>33</v>
      </c>
      <c r="F2786" s="24" t="s">
        <v>11820</v>
      </c>
      <c r="G2786" s="13" t="s">
        <v>1127</v>
      </c>
      <c r="H2786" s="13" t="s">
        <v>35</v>
      </c>
      <c r="I2786" s="13" t="str">
        <f aca="false">IF(C2786=J2786,"NEW KONTRAK","RE-KONTRAK")</f>
        <v>NEW KONTRAK</v>
      </c>
      <c r="J2786" s="16" t="n">
        <f aca="false" t="array" ref="J2786:J2786">IFERROR(INDEX(AC2786:AE2786,IF(COUNTA(AC2786:AE2786)=0,"",MAX((AC2786:AE2786&lt;&gt;"")*(COLUMN(AC2786:AE2786)-(COLUMN(AC2786)))))-1),"")</f>
        <v>45939</v>
      </c>
      <c r="K2786" s="16" t="n">
        <f aca="false" t="array" ref="K2786:K2786">IFERROR(INDEX(AC2786:AE2786,IF(COUNTA(AC2786:AE2786)=0,"",MAX((AC2786:AE2786&lt;&gt;"")*(COLUMN(AC2786:AE2786)-(COLUMN(AC2786)-1))))-1),"")</f>
        <v>46030</v>
      </c>
      <c r="L2786" s="17" t="str">
        <f aca="false" t="array" ref="L2786:L2786">IFERROR(INDEX(AC2786:AE2786,IF(COUNTA(AC2786:AE2786)=0,"",MAX((AC2786:AE2786&lt;&gt;"")*(COLUMN(AC2786:AE2786)-(COLUMN(AC2786)-2))))-1),"")</f>
        <v>ARCHIVED</v>
      </c>
      <c r="M2786" s="13" t="n">
        <f aca="true">K2786-TODAY()</f>
        <v>-294</v>
      </c>
      <c r="N2786" s="18" t="s">
        <v>615</v>
      </c>
      <c r="O2786" s="13" t="s">
        <v>11821</v>
      </c>
      <c r="P2786" s="19" t="n">
        <v>4856026</v>
      </c>
      <c r="Q2786" s="47" t="s">
        <v>11822</v>
      </c>
      <c r="R2786" s="13" t="s">
        <v>324</v>
      </c>
      <c r="S2786" s="16" t="n">
        <v>37840</v>
      </c>
      <c r="T2786" s="28" t="s">
        <v>40</v>
      </c>
      <c r="U2786" s="13" t="s">
        <v>11823</v>
      </c>
      <c r="V2786" s="13" t="s">
        <v>42</v>
      </c>
      <c r="W2786" s="13" t="s">
        <v>43</v>
      </c>
      <c r="X2786" s="21" t="n">
        <v>85738956687</v>
      </c>
      <c r="Y2786" s="22" t="str">
        <f aca="false">O2786</f>
        <v>Operator Analis Kimia</v>
      </c>
      <c r="Z2786" s="13" t="str">
        <f aca="false">IFERROR(__xludf.dummyfunction("if(BJ2786="""","""",GOOGLETRANSLATE(BJ2786,""auto"",""en""))"),"Chemical Analyst Operator")</f>
        <v>Chemical Analyst Operator</v>
      </c>
      <c r="AA2786" s="23" t="str">
        <f aca="false">IF(C2786="","", CHOOSE(MONTH(C2786),"January","February","March","April","May","June","July","August","September","October","November","December")&amp;" "&amp;DAY(C2786)&amp;MID("thstndrdth",MIN(9,2*RIGHT(DAY(C2786))*(MOD(DAY(C2786)-11,100)&gt;2)+1),2)&amp;","&amp;TEXT(C2786," yyyy"))</f>
        <v>October 9th,2025</v>
      </c>
      <c r="AB2786" s="15" t="str">
        <f aca="true">IF(S2786="","",DATEDIF(S2786,TODAY(),"Y")&amp;" Tahun, "&amp;DATEDIF(S2786,TODAY(),"YM")&amp;" Bulan, "&amp;DATEDIF(S2786,TODAY(),"MD")&amp;" Hari")</f>
        <v>23 Tahun, 2 Bulan, 22 Hari</v>
      </c>
      <c r="AC2786" s="18" t="n">
        <v>45939</v>
      </c>
      <c r="AD2786" s="18" t="n">
        <f aca="false">EDATE(AC2786,3)-1</f>
        <v>46030</v>
      </c>
      <c r="AE2786" s="13" t="s">
        <v>44</v>
      </c>
    </row>
    <row r="2787" customFormat="false" ht="15" hidden="false" customHeight="true" outlineLevel="0" collapsed="false">
      <c r="A2787" s="12" t="n">
        <v>20988</v>
      </c>
      <c r="B2787" s="13" t="s">
        <v>11824</v>
      </c>
      <c r="C2787" s="16" t="n">
        <v>45945</v>
      </c>
      <c r="D2787" s="13" t="s">
        <v>32</v>
      </c>
      <c r="E2787" s="13" t="s">
        <v>47</v>
      </c>
      <c r="F2787" s="15" t="str">
        <f aca="false">IFERROR(__xludf.dummyfunction("XLOOKUP(AJ2787,IMPORTRANGE(""1XaInW9DU9nz21V0tYIfzFQ0He9kVQ_JF2mCXgZ3hqFA"",""REKAP ALL 2026 - Andika!G:G""),IMPORTRANGE(""1XaInW9DU9nz21V0tYIfzFQ0He9kVQ_JF2mCXgZ3hqFA"",""REKAP ALL 2026 - Andika!F:F""),"""",0)"),"25157577930")</f>
        <v>25157577930</v>
      </c>
      <c r="G2787" s="13" t="s">
        <v>1127</v>
      </c>
      <c r="H2787" s="13" t="s">
        <v>35</v>
      </c>
      <c r="I2787" s="13" t="str">
        <f aca="false">IF(C2787=J2787,"NEW KONTRAK","RE-KONTRAK")</f>
        <v>NEW KONTRAK</v>
      </c>
      <c r="J2787" s="16" t="n">
        <f aca="false" t="array" ref="J2787:J2787">IFERROR(INDEX(AC2787:AE2787,IF(COUNTA(AC2787:AE2787)=0,"",MAX((AC2787:AE2787&lt;&gt;"")*(COLUMN(AC2787:AE2787)-(COLUMN(AC2787)))))-1),"")</f>
        <v>45945</v>
      </c>
      <c r="K2787" s="16" t="n">
        <f aca="false" t="array" ref="K2787:K2787">IFERROR(INDEX(AC2787:AE2787,IF(COUNTA(AC2787:AE2787)=0,"",MAX((AC2787:AE2787&lt;&gt;"")*(COLUMN(AC2787:AE2787)-(COLUMN(AC2787)-1))))-1),"")</f>
        <v>46022</v>
      </c>
      <c r="L2787" s="17" t="str">
        <f aca="false" t="array" ref="L2787:L2787">IFERROR(INDEX(AC2787:AE2787,IF(COUNTA(AC2787:AE2787)=0,"",MAX((AC2787:AE2787&lt;&gt;"")*(COLUMN(AC2787:AE2787)-(COLUMN(AC2787)-2))))-1),"")</f>
        <v>ARCHIVED</v>
      </c>
      <c r="M2787" s="13" t="n">
        <f aca="true">K2787-TODAY()</f>
        <v>-302</v>
      </c>
      <c r="N2787" s="18" t="s">
        <v>36</v>
      </c>
      <c r="O2787" s="13" t="s">
        <v>11825</v>
      </c>
      <c r="P2787" s="19" t="n">
        <v>5300000</v>
      </c>
      <c r="Q2787" s="47" t="s">
        <v>11826</v>
      </c>
      <c r="R2787" s="13" t="s">
        <v>958</v>
      </c>
      <c r="S2787" s="16" t="n">
        <v>33548</v>
      </c>
      <c r="T2787" s="28" t="s">
        <v>40</v>
      </c>
      <c r="U2787" s="13" t="s">
        <v>11827</v>
      </c>
      <c r="V2787" s="13" t="s">
        <v>42</v>
      </c>
      <c r="W2787" s="13" t="s">
        <v>54</v>
      </c>
      <c r="X2787" s="21" t="n">
        <v>82208255747</v>
      </c>
      <c r="Y2787" s="22" t="str">
        <f aca="false">O2787</f>
        <v>Staff Gudang Finish goods</v>
      </c>
      <c r="Z2787" s="13" t="str">
        <f aca="false">IFERROR(__xludf.dummyfunction("if(BJ2787="""","""",GOOGLETRANSLATE(BJ2787,""auto"",""en""))"),"Finished goods warehouse staff")</f>
        <v>Finished goods warehouse staff</v>
      </c>
      <c r="AA2787" s="23" t="str">
        <f aca="false">IF(C2787="","", CHOOSE(MONTH(C2787),"January","February","March","April","May","June","July","August","September","October","November","December")&amp;" "&amp;DAY(C2787)&amp;MID("thstndrdth",MIN(9,2*RIGHT(DAY(C2787))*(MOD(DAY(C2787)-11,100)&gt;2)+1),2)&amp;","&amp;TEXT(C2787," yyyy"))</f>
        <v>October 15th,2025</v>
      </c>
      <c r="AB2787" s="15" t="str">
        <f aca="true">IF(S2787="","",DATEDIF(S2787,TODAY(),"Y")&amp;" Tahun, "&amp;DATEDIF(S2787,TODAY(),"YM")&amp;" Bulan, "&amp;DATEDIF(S2787,TODAY(),"MD")&amp;" Hari")</f>
        <v>34 Tahun, 11 Bulan, 23 Hari</v>
      </c>
      <c r="AC2787" s="18" t="n">
        <v>45945</v>
      </c>
      <c r="AD2787" s="18" t="n">
        <v>46022</v>
      </c>
      <c r="AE2787" s="13" t="s">
        <v>44</v>
      </c>
    </row>
    <row r="2788" customFormat="false" ht="15" hidden="false" customHeight="true" outlineLevel="0" collapsed="false">
      <c r="A2788" s="12" t="n">
        <v>20994</v>
      </c>
      <c r="B2788" s="13" t="s">
        <v>11828</v>
      </c>
      <c r="C2788" s="16" t="n">
        <v>45922</v>
      </c>
      <c r="D2788" s="13" t="s">
        <v>5892</v>
      </c>
      <c r="E2788" s="15" t="s">
        <v>102</v>
      </c>
      <c r="F2788" s="15" t="str">
        <f aca="false">IFERROR(__xludf.dummyfunction("XLOOKUP(AJ2788,IMPORTRANGE(""1XaInW9DU9nz21V0tYIfzFQ0He9kVQ_JF2mCXgZ3hqFA"",""REKAP ALL 2026 - Andika!G:G""),IMPORTRANGE(""1XaInW9DU9nz21V0tYIfzFQ0He9kVQ_JF2mCXgZ3hqFA"",""REKAP ALL 2026 - Andika!F:F""),"""",0)"),"26005753830")</f>
        <v>26005753830</v>
      </c>
      <c r="G2788" s="13" t="s">
        <v>57</v>
      </c>
      <c r="H2788" s="13" t="s">
        <v>35</v>
      </c>
      <c r="I2788" s="13" t="str">
        <f aca="false">IF(C2788=J2788,"NEW KONTRAK","RE-KONTRAK")</f>
        <v>NEW KONTRAK</v>
      </c>
      <c r="J2788" s="16" t="n">
        <f aca="false" t="array" ref="J2788:J2788">IFERROR(INDEX(AC2788:AE2788,IF(COUNTA(AC2788:AE2788)=0,"",MAX((AC2788:AE2788&lt;&gt;"")*(COLUMN(AC2788:AE2788)-(COLUMN(AC2788)))))-1),"")</f>
        <v>45922</v>
      </c>
      <c r="K2788" s="16" t="n">
        <f aca="false" t="array" ref="K2788:K2788">IFERROR(INDEX(AC2788:AE2788,IF(COUNTA(AC2788:AE2788)=0,"",MAX((AC2788:AE2788&lt;&gt;"")*(COLUMN(AC2788:AE2788)-(COLUMN(AC2788)-1))))-1),"")</f>
        <v>46012</v>
      </c>
      <c r="L2788" s="17" t="str">
        <f aca="false" t="array" ref="L2788:L2788">IFERROR(INDEX(AC2788:AE2788,IF(COUNTA(AC2788:AE2788)=0,"",MAX((AC2788:AE2788&lt;&gt;"")*(COLUMN(AC2788:AE2788)-(COLUMN(AC2788)-2))))-1),"")</f>
        <v>ARCHIVED</v>
      </c>
      <c r="M2788" s="13" t="n">
        <f aca="true">K2788-TODAY()</f>
        <v>-312</v>
      </c>
      <c r="N2788" s="18" t="s">
        <v>105</v>
      </c>
      <c r="O2788" s="13" t="s">
        <v>11829</v>
      </c>
      <c r="P2788" s="19" t="n">
        <v>2500000</v>
      </c>
      <c r="Q2788" s="47" t="s">
        <v>11830</v>
      </c>
      <c r="R2788" s="13" t="s">
        <v>39</v>
      </c>
      <c r="S2788" s="16" t="n">
        <v>38475</v>
      </c>
      <c r="T2788" s="28" t="s">
        <v>40</v>
      </c>
      <c r="U2788" s="13" t="s">
        <v>11831</v>
      </c>
      <c r="V2788" s="13" t="s">
        <v>42</v>
      </c>
      <c r="W2788" s="13" t="s">
        <v>43</v>
      </c>
      <c r="X2788" s="30" t="n">
        <v>82271111615</v>
      </c>
      <c r="Y2788" s="22" t="str">
        <f aca="false">O2788</f>
        <v>Warehouse Operator</v>
      </c>
      <c r="Z2788" s="13" t="str">
        <f aca="false">IFERROR(__xludf.dummyfunction("if(BJ2788="""","""",GOOGLETRANSLATE(BJ2788,""auto"",""en""))"),"Warehouse Operator")</f>
        <v>Warehouse Operator</v>
      </c>
      <c r="AA2788" s="23" t="str">
        <f aca="false">IF(C2788="","", CHOOSE(MONTH(C2788),"January","February","March","April","May","June","July","August","September","October","November","December")&amp;" "&amp;DAY(C2788)&amp;MID("thstndrdth",MIN(9,2*RIGHT(DAY(C2788))*(MOD(DAY(C2788)-11,100)&gt;2)+1),2)&amp;","&amp;TEXT(C2788," yyyy"))</f>
        <v>September 22nd,2025</v>
      </c>
      <c r="AB2788" s="15" t="str">
        <f aca="true">IF(S2788="","",DATEDIF(S2788,TODAY(),"Y")&amp;" Tahun, "&amp;DATEDIF(S2788,TODAY(),"YM")&amp;" Bulan, "&amp;DATEDIF(S2788,TODAY(),"MD")&amp;" Hari")</f>
        <v>21 Tahun, 5 Bulan, 26 Hari</v>
      </c>
      <c r="AC2788" s="18" t="n">
        <v>45922</v>
      </c>
      <c r="AD2788" s="18" t="n">
        <f aca="false">EDATE(AC2788,3)-1</f>
        <v>46012</v>
      </c>
      <c r="AE2788" s="13" t="s">
        <v>44</v>
      </c>
    </row>
    <row r="2789" customFormat="false" ht="15" hidden="false" customHeight="true" outlineLevel="0" collapsed="false">
      <c r="A2789" s="12" t="n">
        <v>20995</v>
      </c>
      <c r="B2789" s="13" t="s">
        <v>11832</v>
      </c>
      <c r="C2789" s="16" t="n">
        <v>45901</v>
      </c>
      <c r="D2789" s="13" t="s">
        <v>2046</v>
      </c>
      <c r="E2789" s="15" t="s">
        <v>102</v>
      </c>
      <c r="F2789" s="15" t="str">
        <f aca="false">IFERROR(__xludf.dummyfunction("XLOOKUP(AJ2789,IMPORTRANGE(""1XaInW9DU9nz21V0tYIfzFQ0He9kVQ_JF2mCXgZ3hqFA"",""REKAP ALL 2026 - Andika!G:G""),IMPORTRANGE(""1XaInW9DU9nz21V0tYIfzFQ0He9kVQ_JF2mCXgZ3hqFA"",""REKAP ALL 2026 - Andika!F:F""),"""",0)"),"25157578052")</f>
        <v>25157578052</v>
      </c>
      <c r="G2789" s="13" t="s">
        <v>1127</v>
      </c>
      <c r="H2789" s="13" t="s">
        <v>35</v>
      </c>
      <c r="I2789" s="13" t="str">
        <f aca="false">IF(C2789=J2789,"NEW KONTRAK","RE-KONTRAK")</f>
        <v>NEW KONTRAK</v>
      </c>
      <c r="J2789" s="16" t="n">
        <f aca="false" t="array" ref="J2789:J2789">IFERROR(INDEX(AC2789:AE2789,IF(COUNTA(AC2789:AE2789)=0,"",MAX((AC2789:AE2789&lt;&gt;"")*(COLUMN(AC2789:AE2789)-(COLUMN(AC2789)))))-1),"")</f>
        <v>45901</v>
      </c>
      <c r="K2789" s="16" t="n">
        <f aca="false" t="array" ref="K2789:K2789">IFERROR(INDEX(AC2789:AE2789,IF(COUNTA(AC2789:AE2789)=0,"",MAX((AC2789:AE2789&lt;&gt;"")*(COLUMN(AC2789:AE2789)-(COLUMN(AC2789)-1))))-1),"")</f>
        <v>45961</v>
      </c>
      <c r="L2789" s="17" t="str">
        <f aca="false" t="array" ref="L2789:L2789">IFERROR(INDEX(AC2789:AE2789,IF(COUNTA(AC2789:AE2789)=0,"",MAX((AC2789:AE2789&lt;&gt;"")*(COLUMN(AC2789:AE2789)-(COLUMN(AC2789)-2))))-1),"")</f>
        <v>ARCHIVED</v>
      </c>
      <c r="M2789" s="13" t="n">
        <f aca="true">K2789-TODAY()</f>
        <v>-363</v>
      </c>
      <c r="N2789" s="18" t="s">
        <v>36</v>
      </c>
      <c r="O2789" s="13" t="s">
        <v>11521</v>
      </c>
      <c r="P2789" s="19" t="s">
        <v>2050</v>
      </c>
      <c r="Q2789" s="47" t="s">
        <v>11833</v>
      </c>
      <c r="R2789" s="13" t="s">
        <v>65</v>
      </c>
      <c r="S2789" s="16" t="n">
        <v>38591</v>
      </c>
      <c r="T2789" s="28" t="s">
        <v>40</v>
      </c>
      <c r="U2789" s="13" t="s">
        <v>11834</v>
      </c>
      <c r="V2789" s="13" t="s">
        <v>42</v>
      </c>
      <c r="W2789" s="13" t="s">
        <v>43</v>
      </c>
      <c r="X2789" s="21" t="n">
        <v>82231132380</v>
      </c>
      <c r="Y2789" s="22" t="str">
        <f aca="false">O2789</f>
        <v>Produksi Assembly</v>
      </c>
      <c r="Z2789" s="13" t="str">
        <f aca="false">IFERROR(__xludf.dummyfunction("if(BJ2789="""","""",GOOGLETRANSLATE(BJ2789,""auto"",""en""))"),"Assembly Production")</f>
        <v>Assembly Production</v>
      </c>
      <c r="AA2789" s="23" t="str">
        <f aca="false">IF(C2789="","", CHOOSE(MONTH(C2789),"January","February","March","April","May","June","July","August","September","October","November","December")&amp;" "&amp;DAY(C2789)&amp;MID("thstndrdth",MIN(9,2*RIGHT(DAY(C2789))*(MOD(DAY(C2789)-11,100)&gt;2)+1),2)&amp;","&amp;TEXT(C2789," yyyy"))</f>
        <v>September 1st,2025</v>
      </c>
      <c r="AB2789" s="15" t="str">
        <f aca="true">IF(S2789="","",DATEDIF(S2789,TODAY(),"Y")&amp;" Tahun, "&amp;DATEDIF(S2789,TODAY(),"YM")&amp;" Bulan, "&amp;DATEDIF(S2789,TODAY(),"MD")&amp;" Hari")</f>
        <v>21 Tahun, 2 Bulan, 2 Hari</v>
      </c>
      <c r="AC2789" s="18" t="n">
        <v>45901</v>
      </c>
      <c r="AD2789" s="18" t="n">
        <v>45961</v>
      </c>
      <c r="AE2789" s="13" t="s">
        <v>44</v>
      </c>
    </row>
    <row r="2790" customFormat="false" ht="15" hidden="false" customHeight="true" outlineLevel="0" collapsed="false">
      <c r="A2790" s="12" t="n">
        <v>20996</v>
      </c>
      <c r="B2790" s="13" t="s">
        <v>11835</v>
      </c>
      <c r="C2790" s="16" t="n">
        <v>45901</v>
      </c>
      <c r="D2790" s="13" t="s">
        <v>2046</v>
      </c>
      <c r="E2790" s="13" t="s">
        <v>33</v>
      </c>
      <c r="F2790" s="24" t="s">
        <v>11836</v>
      </c>
      <c r="G2790" s="13" t="s">
        <v>1127</v>
      </c>
      <c r="H2790" s="13" t="s">
        <v>35</v>
      </c>
      <c r="I2790" s="13" t="str">
        <f aca="false">IF(C2790=J2790,"NEW KONTRAK","RE-KONTRAK")</f>
        <v>NEW KONTRAK</v>
      </c>
      <c r="J2790" s="16" t="n">
        <f aca="false" t="array" ref="J2790:J2790">IFERROR(INDEX(AC2790:AE2790,IF(COUNTA(AC2790:AE2790)=0,"",MAX((AC2790:AE2790&lt;&gt;"")*(COLUMN(AC2790:AE2790)-(COLUMN(AC2790)))))-1),"")</f>
        <v>45901</v>
      </c>
      <c r="K2790" s="16" t="n">
        <f aca="false" t="array" ref="K2790:K2790">IFERROR(INDEX(AC2790:AE2790,IF(COUNTA(AC2790:AE2790)=0,"",MAX((AC2790:AE2790&lt;&gt;"")*(COLUMN(AC2790:AE2790)-(COLUMN(AC2790)-1))))-1),"")</f>
        <v>45961</v>
      </c>
      <c r="L2790" s="17" t="str">
        <f aca="false" t="array" ref="L2790:L2790">IFERROR(INDEX(AC2790:AE2790,IF(COUNTA(AC2790:AE2790)=0,"",MAX((AC2790:AE2790&lt;&gt;"")*(COLUMN(AC2790:AE2790)-(COLUMN(AC2790)-2))))-1),"")</f>
        <v>ARCHIVED</v>
      </c>
      <c r="M2790" s="13" t="n">
        <f aca="true">K2790-TODAY()</f>
        <v>-363</v>
      </c>
      <c r="N2790" s="18" t="s">
        <v>36</v>
      </c>
      <c r="O2790" s="13" t="s">
        <v>11521</v>
      </c>
      <c r="P2790" s="27" t="n">
        <v>215000</v>
      </c>
      <c r="Q2790" s="47" t="s">
        <v>11837</v>
      </c>
      <c r="R2790" s="13" t="s">
        <v>232</v>
      </c>
      <c r="S2790" s="16" t="n">
        <v>37363</v>
      </c>
      <c r="T2790" s="28" t="s">
        <v>40</v>
      </c>
      <c r="U2790" s="13" t="s">
        <v>11838</v>
      </c>
      <c r="V2790" s="13" t="s">
        <v>42</v>
      </c>
      <c r="W2790" s="13" t="s">
        <v>54</v>
      </c>
      <c r="X2790" s="21" t="n">
        <v>85812343718</v>
      </c>
      <c r="Y2790" s="22" t="str">
        <f aca="false">O2790</f>
        <v>Produksi Assembly</v>
      </c>
      <c r="Z2790" s="13" t="str">
        <f aca="false">IFERROR(__xludf.dummyfunction("if(BJ2790="""","""",GOOGLETRANSLATE(BJ2790,""auto"",""en""))"),"Assembly Production")</f>
        <v>Assembly Production</v>
      </c>
      <c r="AA2790" s="23" t="str">
        <f aca="false">IF(C2790="","", CHOOSE(MONTH(C2790),"January","February","March","April","May","June","July","August","September","October","November","December")&amp;" "&amp;DAY(C2790)&amp;MID("thstndrdth",MIN(9,2*RIGHT(DAY(C2790))*(MOD(DAY(C2790)-11,100)&gt;2)+1),2)&amp;","&amp;TEXT(C2790," yyyy"))</f>
        <v>September 1st,2025</v>
      </c>
      <c r="AB2790" s="15" t="str">
        <f aca="true">IF(S2790="","",DATEDIF(S2790,TODAY(),"Y")&amp;" Tahun, "&amp;DATEDIF(S2790,TODAY(),"YM")&amp;" Bulan, "&amp;DATEDIF(S2790,TODAY(),"MD")&amp;" Hari")</f>
        <v>24 Tahun, 6 Bulan, 12 Hari</v>
      </c>
      <c r="AC2790" s="18" t="n">
        <v>45901</v>
      </c>
      <c r="AD2790" s="18" t="n">
        <v>45961</v>
      </c>
      <c r="AE2790" s="13" t="s">
        <v>44</v>
      </c>
    </row>
    <row r="2791" customFormat="false" ht="15" hidden="false" customHeight="true" outlineLevel="0" collapsed="false">
      <c r="A2791" s="12" t="n">
        <v>21004</v>
      </c>
      <c r="B2791" s="13" t="s">
        <v>11839</v>
      </c>
      <c r="C2791" s="16" t="n">
        <v>45913</v>
      </c>
      <c r="D2791" s="13" t="s">
        <v>10155</v>
      </c>
      <c r="E2791" s="13" t="s">
        <v>47</v>
      </c>
      <c r="F2791" s="15" t="str">
        <f aca="false">IFERROR(__xludf.dummyfunction("XLOOKUP(AJ2791,IMPORTRANGE(""1XaInW9DU9nz21V0tYIfzFQ0He9kVQ_JF2mCXgZ3hqFA"",""REKAP ALL 2026 - Andika!G:G""),IMPORTRANGE(""1XaInW9DU9nz21V0tYIfzFQ0He9kVQ_JF2mCXgZ3hqFA"",""REKAP ALL 2026 - Andika!F:F""),"""",0)"),"25157579571")</f>
        <v>25157579571</v>
      </c>
      <c r="G2791" s="13" t="s">
        <v>1127</v>
      </c>
      <c r="H2791" s="13" t="s">
        <v>35</v>
      </c>
      <c r="I2791" s="13" t="str">
        <f aca="false">IF(C2791=J2791,"NEW KONTRAK","RE-KONTRAK")</f>
        <v>NEW KONTRAK</v>
      </c>
      <c r="J2791" s="16" t="n">
        <f aca="false" t="array" ref="J2791:J2791">IFERROR(INDEX(AC2791:AE2791,IF(COUNTA(AC2791:AE2791)=0,"",MAX((AC2791:AE2791&lt;&gt;"")*(COLUMN(AC2791:AE2791)-(COLUMN(AC2791)))))-1),"")</f>
        <v>45913</v>
      </c>
      <c r="K2791" s="16" t="n">
        <f aca="false" t="array" ref="K2791:K2791">IFERROR(INDEX(AC2791:AE2791,IF(COUNTA(AC2791:AE2791)=0,"",MAX((AC2791:AE2791&lt;&gt;"")*(COLUMN(AC2791:AE2791)-(COLUMN(AC2791)-1))))-1),"")</f>
        <v>46022</v>
      </c>
      <c r="L2791" s="17" t="str">
        <f aca="false" t="array" ref="L2791:L2791">IFERROR(INDEX(AC2791:AE2791,IF(COUNTA(AC2791:AE2791)=0,"",MAX((AC2791:AE2791&lt;&gt;"")*(COLUMN(AC2791:AE2791)-(COLUMN(AC2791)-2))))-1),"")</f>
        <v>ARCHIVED</v>
      </c>
      <c r="M2791" s="13" t="n">
        <f aca="true">K2791-TODAY()</f>
        <v>-302</v>
      </c>
      <c r="N2791" s="18" t="s">
        <v>36</v>
      </c>
      <c r="O2791" s="13" t="s">
        <v>10241</v>
      </c>
      <c r="P2791" s="27" t="n">
        <v>5195401</v>
      </c>
      <c r="Q2791" s="47" t="s">
        <v>11840</v>
      </c>
      <c r="R2791" s="13" t="s">
        <v>65</v>
      </c>
      <c r="S2791" s="16" t="n">
        <v>38802</v>
      </c>
      <c r="T2791" s="13" t="s">
        <v>40</v>
      </c>
      <c r="U2791" s="13" t="s">
        <v>11841</v>
      </c>
      <c r="V2791" s="13" t="s">
        <v>42</v>
      </c>
      <c r="W2791" s="13" t="s">
        <v>43</v>
      </c>
      <c r="X2791" s="21" t="n">
        <v>8883020677</v>
      </c>
      <c r="Y2791" s="22" t="str">
        <f aca="false">O2791</f>
        <v>Hot CS &amp; SB P3 Production</v>
      </c>
      <c r="Z2791" s="13" t="str">
        <f aca="false">IFERROR(__xludf.dummyfunction("if(BJ2791="""","""",GOOGLETRANSLATE(BJ2791,""auto"",""en""))"),"Hot CS &amp; SB P3 Production")</f>
        <v>Hot CS &amp; SB P3 Production</v>
      </c>
      <c r="AA2791" s="23" t="str">
        <f aca="false">IF(C2791="","", CHOOSE(MONTH(C2791),"January","February","March","April","May","June","July","August","September","October","November","December")&amp;" "&amp;DAY(C2791)&amp;MID("thstndrdth",MIN(9,2*RIGHT(DAY(C2791))*(MOD(DAY(C2791)-11,100)&gt;2)+1),2)&amp;","&amp;TEXT(C2791," yyyy"))</f>
        <v>September 13th,2025</v>
      </c>
      <c r="AB2791" s="15" t="str">
        <f aca="true">IF(S2791="","",DATEDIF(S2791,TODAY(),"Y")&amp;" Tahun, "&amp;DATEDIF(S2791,TODAY(),"YM")&amp;" Bulan, "&amp;DATEDIF(S2791,TODAY(),"MD")&amp;" Hari")</f>
        <v>20 Tahun, 7 Bulan, 3 Hari</v>
      </c>
      <c r="AC2791" s="18" t="n">
        <v>45913</v>
      </c>
      <c r="AD2791" s="18" t="n">
        <v>46022</v>
      </c>
      <c r="AE2791" s="13" t="s">
        <v>44</v>
      </c>
    </row>
    <row r="2792" customFormat="false" ht="15" hidden="false" customHeight="true" outlineLevel="0" collapsed="false">
      <c r="A2792" s="12" t="n">
        <v>21005</v>
      </c>
      <c r="B2792" s="13" t="s">
        <v>11842</v>
      </c>
      <c r="C2792" s="16" t="n">
        <v>45913</v>
      </c>
      <c r="D2792" s="13" t="s">
        <v>10155</v>
      </c>
      <c r="E2792" s="13" t="s">
        <v>47</v>
      </c>
      <c r="F2792" s="15" t="str">
        <f aca="false">IFERROR(__xludf.dummyfunction("XLOOKUP(AJ2792,IMPORTRANGE(""1XaInW9DU9nz21V0tYIfzFQ0He9kVQ_JF2mCXgZ3hqFA"",""REKAP ALL 2026 - Andika!G:G""),IMPORTRANGE(""1XaInW9DU9nz21V0tYIfzFQ0He9kVQ_JF2mCXgZ3hqFA"",""REKAP ALL 2026 - Andika!F:F""),"""",0)"),"25157579613")</f>
        <v>25157579613</v>
      </c>
      <c r="G2792" s="13" t="s">
        <v>1127</v>
      </c>
      <c r="H2792" s="13" t="s">
        <v>35</v>
      </c>
      <c r="I2792" s="13" t="str">
        <f aca="false">IF(C2792=J2792,"NEW KONTRAK","RE-KONTRAK")</f>
        <v>NEW KONTRAK</v>
      </c>
      <c r="J2792" s="16" t="n">
        <f aca="false" t="array" ref="J2792:J2792">IFERROR(INDEX(AC2792:AE2792,IF(COUNTA(AC2792:AE2792)=0,"",MAX((AC2792:AE2792&lt;&gt;"")*(COLUMN(AC2792:AE2792)-(COLUMN(AC2792)))))-1),"")</f>
        <v>45913</v>
      </c>
      <c r="K2792" s="16" t="n">
        <f aca="false" t="array" ref="K2792:K2792">IFERROR(INDEX(AC2792:AE2792,IF(COUNTA(AC2792:AE2792)=0,"",MAX((AC2792:AE2792&lt;&gt;"")*(COLUMN(AC2792:AE2792)-(COLUMN(AC2792)-1))))-1),"")</f>
        <v>46022</v>
      </c>
      <c r="L2792" s="17" t="str">
        <f aca="false" t="array" ref="L2792:L2792">IFERROR(INDEX(AC2792:AE2792,IF(COUNTA(AC2792:AE2792)=0,"",MAX((AC2792:AE2792&lt;&gt;"")*(COLUMN(AC2792:AE2792)-(COLUMN(AC2792)-2))))-1),"")</f>
        <v>ARCHIVED</v>
      </c>
      <c r="M2792" s="13" t="n">
        <f aca="true">K2792-TODAY()</f>
        <v>-302</v>
      </c>
      <c r="N2792" s="18" t="s">
        <v>36</v>
      </c>
      <c r="O2792" s="13" t="s">
        <v>10241</v>
      </c>
      <c r="P2792" s="27" t="n">
        <v>5195401</v>
      </c>
      <c r="Q2792" s="47" t="s">
        <v>11843</v>
      </c>
      <c r="R2792" s="13" t="s">
        <v>65</v>
      </c>
      <c r="S2792" s="16" t="n">
        <v>37732</v>
      </c>
      <c r="T2792" s="13" t="s">
        <v>40</v>
      </c>
      <c r="U2792" s="13" t="s">
        <v>11844</v>
      </c>
      <c r="V2792" s="13" t="s">
        <v>42</v>
      </c>
      <c r="W2792" s="13" t="s">
        <v>43</v>
      </c>
      <c r="X2792" s="21" t="n">
        <v>81249624341</v>
      </c>
      <c r="Y2792" s="22" t="str">
        <f aca="false">O2792</f>
        <v>Hot CS &amp; SB P3 Production</v>
      </c>
      <c r="Z2792" s="13" t="str">
        <f aca="false">IFERROR(__xludf.dummyfunction("if(BJ2792="""","""",GOOGLETRANSLATE(BJ2792,""auto"",""en""))"),"Hot CS &amp; SB P3 Production")</f>
        <v>Hot CS &amp; SB P3 Production</v>
      </c>
      <c r="AA2792" s="23" t="str">
        <f aca="false">IF(C2792="","", CHOOSE(MONTH(C2792),"January","February","March","April","May","June","July","August","September","October","November","December")&amp;" "&amp;DAY(C2792)&amp;MID("thstndrdth",MIN(9,2*RIGHT(DAY(C2792))*(MOD(DAY(C2792)-11,100)&gt;2)+1),2)&amp;","&amp;TEXT(C2792," yyyy"))</f>
        <v>September 13th,2025</v>
      </c>
      <c r="AB2792" s="15" t="str">
        <f aca="true">IF(S2792="","",DATEDIF(S2792,TODAY(),"Y")&amp;" Tahun, "&amp;DATEDIF(S2792,TODAY(),"YM")&amp;" Bulan, "&amp;DATEDIF(S2792,TODAY(),"MD")&amp;" Hari")</f>
        <v>23 Tahun, 6 Bulan, 8 Hari</v>
      </c>
      <c r="AC2792" s="18" t="n">
        <v>45913</v>
      </c>
      <c r="AD2792" s="18" t="n">
        <v>46022</v>
      </c>
      <c r="AE2792" s="13" t="s">
        <v>44</v>
      </c>
    </row>
    <row r="2793" customFormat="false" ht="15" hidden="false" customHeight="true" outlineLevel="0" collapsed="false">
      <c r="A2793" s="12" t="n">
        <v>21006</v>
      </c>
      <c r="B2793" s="13" t="s">
        <v>11845</v>
      </c>
      <c r="C2793" s="16" t="n">
        <v>45913</v>
      </c>
      <c r="D2793" s="13" t="s">
        <v>10155</v>
      </c>
      <c r="E2793" s="13" t="s">
        <v>47</v>
      </c>
      <c r="F2793" s="15" t="str">
        <f aca="false">IFERROR(__xludf.dummyfunction("XLOOKUP(AJ2793,IMPORTRANGE(""1XaInW9DU9nz21V0tYIfzFQ0He9kVQ_JF2mCXgZ3hqFA"",""REKAP ALL 2026 - Andika!G:G""),IMPORTRANGE(""1XaInW9DU9nz21V0tYIfzFQ0He9kVQ_JF2mCXgZ3hqFA"",""REKAP ALL 2026 - Andika!F:F""),"""",0)"),"25157579621")</f>
        <v>25157579621</v>
      </c>
      <c r="G2793" s="13" t="s">
        <v>1127</v>
      </c>
      <c r="H2793" s="13" t="s">
        <v>35</v>
      </c>
      <c r="I2793" s="13" t="str">
        <f aca="false">IF(C2793=J2793,"NEW KONTRAK","RE-KONTRAK")</f>
        <v>NEW KONTRAK</v>
      </c>
      <c r="J2793" s="16" t="n">
        <f aca="false" t="array" ref="J2793:J2793">IFERROR(INDEX(AC2793:AE2793,IF(COUNTA(AC2793:AE2793)=0,"",MAX((AC2793:AE2793&lt;&gt;"")*(COLUMN(AC2793:AE2793)-(COLUMN(AC2793)))))-1),"")</f>
        <v>45913</v>
      </c>
      <c r="K2793" s="16" t="n">
        <f aca="false" t="array" ref="K2793:K2793">IFERROR(INDEX(AC2793:AE2793,IF(COUNTA(AC2793:AE2793)=0,"",MAX((AC2793:AE2793&lt;&gt;"")*(COLUMN(AC2793:AE2793)-(COLUMN(AC2793)-1))))-1),"")</f>
        <v>46022</v>
      </c>
      <c r="L2793" s="17" t="str">
        <f aca="false" t="array" ref="L2793:L2793">IFERROR(INDEX(AC2793:AE2793,IF(COUNTA(AC2793:AE2793)=0,"",MAX((AC2793:AE2793&lt;&gt;"")*(COLUMN(AC2793:AE2793)-(COLUMN(AC2793)-2))))-1),"")</f>
        <v>ARCHIVED</v>
      </c>
      <c r="M2793" s="13" t="n">
        <f aca="true">K2793-TODAY()</f>
        <v>-302</v>
      </c>
      <c r="N2793" s="18" t="s">
        <v>36</v>
      </c>
      <c r="O2793" s="13" t="s">
        <v>10241</v>
      </c>
      <c r="P2793" s="27" t="n">
        <v>5195401</v>
      </c>
      <c r="Q2793" s="47" t="s">
        <v>11846</v>
      </c>
      <c r="R2793" s="13" t="s">
        <v>65</v>
      </c>
      <c r="S2793" s="16" t="n">
        <v>33139</v>
      </c>
      <c r="T2793" s="13" t="s">
        <v>40</v>
      </c>
      <c r="U2793" s="13" t="s">
        <v>11847</v>
      </c>
      <c r="V2793" s="13" t="s">
        <v>42</v>
      </c>
      <c r="W2793" s="13" t="s">
        <v>54</v>
      </c>
      <c r="X2793" s="21" t="n">
        <v>85645785771</v>
      </c>
      <c r="Y2793" s="22" t="str">
        <f aca="false">O2793</f>
        <v>Hot CS &amp; SB P3 Production</v>
      </c>
      <c r="Z2793" s="13" t="str">
        <f aca="false">IFERROR(__xludf.dummyfunction("if(BJ2793="""","""",GOOGLETRANSLATE(BJ2793,""auto"",""en""))"),"Hot CS &amp; SB P3 Production")</f>
        <v>Hot CS &amp; SB P3 Production</v>
      </c>
      <c r="AA2793" s="23" t="str">
        <f aca="false">IF(C2793="","", CHOOSE(MONTH(C2793),"January","February","March","April","May","June","July","August","September","October","November","December")&amp;" "&amp;DAY(C2793)&amp;MID("thstndrdth",MIN(9,2*RIGHT(DAY(C2793))*(MOD(DAY(C2793)-11,100)&gt;2)+1),2)&amp;","&amp;TEXT(C2793," yyyy"))</f>
        <v>September 13th,2025</v>
      </c>
      <c r="AB2793" s="15" t="str">
        <f aca="true">IF(S2793="","",DATEDIF(S2793,TODAY(),"Y")&amp;" Tahun, "&amp;DATEDIF(S2793,TODAY(),"YM")&amp;" Bulan, "&amp;DATEDIF(S2793,TODAY(),"MD")&amp;" Hari")</f>
        <v>36 Tahun, 1 Bulan, 6 Hari</v>
      </c>
      <c r="AC2793" s="18" t="n">
        <v>45913</v>
      </c>
      <c r="AD2793" s="18" t="n">
        <v>46022</v>
      </c>
      <c r="AE2793" s="13" t="s">
        <v>44</v>
      </c>
    </row>
    <row r="2794" customFormat="false" ht="15" hidden="false" customHeight="true" outlineLevel="0" collapsed="false">
      <c r="A2794" s="12" t="n">
        <v>21007</v>
      </c>
      <c r="B2794" s="13" t="s">
        <v>11848</v>
      </c>
      <c r="C2794" s="16" t="n">
        <v>45913</v>
      </c>
      <c r="D2794" s="13" t="s">
        <v>10155</v>
      </c>
      <c r="E2794" s="13" t="s">
        <v>47</v>
      </c>
      <c r="F2794" s="15" t="str">
        <f aca="false">IFERROR(__xludf.dummyfunction("XLOOKUP(AJ2794,IMPORTRANGE(""1XaInW9DU9nz21V0tYIfzFQ0He9kVQ_JF2mCXgZ3hqFA"",""REKAP ALL 2026 - Andika!G:G""),IMPORTRANGE(""1XaInW9DU9nz21V0tYIfzFQ0He9kVQ_JF2mCXgZ3hqFA"",""REKAP ALL 2026 - Andika!F:F""),"""",0)"),"25157579233")</f>
        <v>25157579233</v>
      </c>
      <c r="G2794" s="13" t="s">
        <v>1127</v>
      </c>
      <c r="H2794" s="13" t="s">
        <v>35</v>
      </c>
      <c r="I2794" s="13" t="str">
        <f aca="false">IF(C2794=J2794,"NEW KONTRAK","RE-KONTRAK")</f>
        <v>NEW KONTRAK</v>
      </c>
      <c r="J2794" s="16" t="n">
        <f aca="false" t="array" ref="J2794:J2794">IFERROR(INDEX(AC2794:AE2794,IF(COUNTA(AC2794:AE2794)=0,"",MAX((AC2794:AE2794&lt;&gt;"")*(COLUMN(AC2794:AE2794)-(COLUMN(AC2794)))))-1),"")</f>
        <v>45913</v>
      </c>
      <c r="K2794" s="16" t="n">
        <f aca="false" t="array" ref="K2794:K2794">IFERROR(INDEX(AC2794:AE2794,IF(COUNTA(AC2794:AE2794)=0,"",MAX((AC2794:AE2794&lt;&gt;"")*(COLUMN(AC2794:AE2794)-(COLUMN(AC2794)-1))))-1),"")</f>
        <v>46022</v>
      </c>
      <c r="L2794" s="17" t="str">
        <f aca="false" t="array" ref="L2794:L2794">IFERROR(INDEX(AC2794:AE2794,IF(COUNTA(AC2794:AE2794)=0,"",MAX((AC2794:AE2794&lt;&gt;"")*(COLUMN(AC2794:AE2794)-(COLUMN(AC2794)-2))))-1),"")</f>
        <v>KEMBALI</v>
      </c>
      <c r="M2794" s="13" t="n">
        <f aca="true">K2794-TODAY()</f>
        <v>-302</v>
      </c>
      <c r="N2794" s="18" t="s">
        <v>36</v>
      </c>
      <c r="O2794" s="13" t="s">
        <v>10241</v>
      </c>
      <c r="P2794" s="27" t="n">
        <v>5195401</v>
      </c>
      <c r="Q2794" s="47" t="s">
        <v>11849</v>
      </c>
      <c r="R2794" s="13" t="s">
        <v>65</v>
      </c>
      <c r="S2794" s="16" t="n">
        <v>36128</v>
      </c>
      <c r="T2794" s="13" t="s">
        <v>40</v>
      </c>
      <c r="U2794" s="13" t="s">
        <v>11850</v>
      </c>
      <c r="V2794" s="13" t="s">
        <v>42</v>
      </c>
      <c r="W2794" s="13" t="s">
        <v>43</v>
      </c>
      <c r="X2794" s="21" t="n">
        <v>85730613462</v>
      </c>
      <c r="Y2794" s="22" t="str">
        <f aca="false">O2794</f>
        <v>Hot CS &amp; SB P3 Production</v>
      </c>
      <c r="Z2794" s="13" t="str">
        <f aca="false">IFERROR(__xludf.dummyfunction("if(BJ2794="""","""",GOOGLETRANSLATE(BJ2794,""auto"",""en""))"),"Hot CS &amp; SB P3 Production")</f>
        <v>Hot CS &amp; SB P3 Production</v>
      </c>
      <c r="AA2794" s="23" t="str">
        <f aca="false">IF(C2794="","", CHOOSE(MONTH(C2794),"January","February","March","April","May","June","July","August","September","October","November","December")&amp;" "&amp;DAY(C2794)&amp;MID("thstndrdth",MIN(9,2*RIGHT(DAY(C2794))*(MOD(DAY(C2794)-11,100)&gt;2)+1),2)&amp;","&amp;TEXT(C2794," yyyy"))</f>
        <v>September 13th,2025</v>
      </c>
      <c r="AB2794" s="15" t="str">
        <f aca="true">IF(S2794="","",DATEDIF(S2794,TODAY(),"Y")&amp;" Tahun, "&amp;DATEDIF(S2794,TODAY(),"YM")&amp;" Bulan, "&amp;DATEDIF(S2794,TODAY(),"MD")&amp;" Hari")</f>
        <v>27 Tahun, 11 Bulan, 0 Hari</v>
      </c>
      <c r="AC2794" s="18" t="n">
        <v>45913</v>
      </c>
      <c r="AD2794" s="18" t="n">
        <v>46022</v>
      </c>
      <c r="AE2794" s="13" t="s">
        <v>397</v>
      </c>
    </row>
    <row r="2795" customFormat="false" ht="15" hidden="false" customHeight="true" outlineLevel="0" collapsed="false">
      <c r="A2795" s="12" t="n">
        <v>21008</v>
      </c>
      <c r="B2795" s="13" t="s">
        <v>11851</v>
      </c>
      <c r="C2795" s="16" t="n">
        <v>45913</v>
      </c>
      <c r="D2795" s="13" t="s">
        <v>10155</v>
      </c>
      <c r="E2795" s="13" t="s">
        <v>47</v>
      </c>
      <c r="F2795" s="15" t="str">
        <f aca="false">IFERROR(__xludf.dummyfunction("XLOOKUP(AJ2795,IMPORTRANGE(""1XaInW9DU9nz21V0tYIfzFQ0He9kVQ_JF2mCXgZ3hqFA"",""REKAP ALL 2026 - Andika!G:G""),IMPORTRANGE(""1XaInW9DU9nz21V0tYIfzFQ0He9kVQ_JF2mCXgZ3hqFA"",""REKAP ALL 2026 - Andika!F:F""),"""",0)"),"25157579266")</f>
        <v>25157579266</v>
      </c>
      <c r="G2795" s="13" t="s">
        <v>1127</v>
      </c>
      <c r="H2795" s="13" t="s">
        <v>35</v>
      </c>
      <c r="I2795" s="13" t="str">
        <f aca="false">IF(C2795=J2795,"NEW KONTRAK","RE-KONTRAK")</f>
        <v>NEW KONTRAK</v>
      </c>
      <c r="J2795" s="16" t="n">
        <f aca="false" t="array" ref="J2795:J2795">IFERROR(INDEX(AC2795:AE2795,IF(COUNTA(AC2795:AE2795)=0,"",MAX((AC2795:AE2795&lt;&gt;"")*(COLUMN(AC2795:AE2795)-(COLUMN(AC2795)))))-1),"")</f>
        <v>45913</v>
      </c>
      <c r="K2795" s="16" t="n">
        <f aca="false" t="array" ref="K2795:K2795">IFERROR(INDEX(AC2795:AE2795,IF(COUNTA(AC2795:AE2795)=0,"",MAX((AC2795:AE2795&lt;&gt;"")*(COLUMN(AC2795:AE2795)-(COLUMN(AC2795)-1))))-1),"")</f>
        <v>46022</v>
      </c>
      <c r="L2795" s="17" t="str">
        <f aca="false" t="array" ref="L2795:L2795">IFERROR(INDEX(AC2795:AE2795,IF(COUNTA(AC2795:AE2795)=0,"",MAX((AC2795:AE2795&lt;&gt;"")*(COLUMN(AC2795:AE2795)-(COLUMN(AC2795)-2))))-1),"")</f>
        <v>ARCHIVED</v>
      </c>
      <c r="M2795" s="13" t="n">
        <f aca="true">K2795-TODAY()</f>
        <v>-302</v>
      </c>
      <c r="N2795" s="18" t="s">
        <v>36</v>
      </c>
      <c r="O2795" s="13" t="s">
        <v>10241</v>
      </c>
      <c r="P2795" s="27" t="n">
        <v>5195401</v>
      </c>
      <c r="Q2795" s="47" t="s">
        <v>11852</v>
      </c>
      <c r="R2795" s="13" t="s">
        <v>65</v>
      </c>
      <c r="S2795" s="16" t="n">
        <v>33859</v>
      </c>
      <c r="T2795" s="13" t="s">
        <v>40</v>
      </c>
      <c r="U2795" s="13" t="s">
        <v>11853</v>
      </c>
      <c r="V2795" s="13" t="s">
        <v>42</v>
      </c>
      <c r="W2795" s="13" t="s">
        <v>54</v>
      </c>
      <c r="X2795" s="21" t="n">
        <v>82229383915</v>
      </c>
      <c r="Y2795" s="22" t="str">
        <f aca="false">O2795</f>
        <v>Hot CS &amp; SB P3 Production</v>
      </c>
      <c r="Z2795" s="13" t="str">
        <f aca="false">IFERROR(__xludf.dummyfunction("if(BJ2795="""","""",GOOGLETRANSLATE(BJ2795,""auto"",""en""))"),"Hot CS &amp; SB P3 Production")</f>
        <v>Hot CS &amp; SB P3 Production</v>
      </c>
      <c r="AA2795" s="23" t="str">
        <f aca="false">IF(C2795="","", CHOOSE(MONTH(C2795),"January","February","March","April","May","June","July","August","September","October","November","December")&amp;" "&amp;DAY(C2795)&amp;MID("thstndrdth",MIN(9,2*RIGHT(DAY(C2795))*(MOD(DAY(C2795)-11,100)&gt;2)+1),2)&amp;","&amp;TEXT(C2795," yyyy"))</f>
        <v>September 13th,2025</v>
      </c>
      <c r="AB2795" s="15" t="str">
        <f aca="true">IF(S2795="","",DATEDIF(S2795,TODAY(),"Y")&amp;" Tahun, "&amp;DATEDIF(S2795,TODAY(),"YM")&amp;" Bulan, "&amp;DATEDIF(S2795,TODAY(),"MD")&amp;" Hari")</f>
        <v>34 Tahun, 1 Bulan, 17 Hari</v>
      </c>
      <c r="AC2795" s="18" t="n">
        <v>45913</v>
      </c>
      <c r="AD2795" s="18" t="n">
        <v>46022</v>
      </c>
      <c r="AE2795" s="13" t="s">
        <v>44</v>
      </c>
    </row>
    <row r="2796" customFormat="false" ht="15" hidden="false" customHeight="true" outlineLevel="0" collapsed="false">
      <c r="A2796" s="12" t="n">
        <v>21025</v>
      </c>
      <c r="B2796" s="13" t="s">
        <v>11854</v>
      </c>
      <c r="C2796" s="16" t="n">
        <v>45894</v>
      </c>
      <c r="D2796" s="13" t="s">
        <v>4112</v>
      </c>
      <c r="E2796" s="15" t="s">
        <v>47</v>
      </c>
      <c r="F2796" s="15" t="str">
        <f aca="false">IFERROR(__xludf.dummyfunction("XLOOKUP(AJ2796,IMPORTRANGE(""1XaInW9DU9nz21V0tYIfzFQ0He9kVQ_JF2mCXgZ3hqFA"",""REKAP ALL 2026 - Andika!G:G""),IMPORTRANGE(""1XaInW9DU9nz21V0tYIfzFQ0He9kVQ_JF2mCXgZ3hqFA"",""REKAP ALL 2026 - Andika!F:F""),"""",0)"),"25157500700")</f>
        <v>25157500700</v>
      </c>
      <c r="G2796" s="28" t="s">
        <v>57</v>
      </c>
      <c r="H2796" s="13" t="s">
        <v>35</v>
      </c>
      <c r="I2796" s="13" t="str">
        <f aca="false">IF(C2796=J2796,"NEW KONTRAK","RE-KONTRAK")</f>
        <v>RE-KONTRAK</v>
      </c>
      <c r="J2796" s="16" t="n">
        <f aca="false" t="array" ref="J2796:J2796">IFERROR(INDEX(AC2796:AE2796,IF(COUNTA(AC2796:AE2796)=0,"",MAX((AC2796:AE2796&lt;&gt;"")*(COLUMN(AC2796:AE2796)-(COLUMN(AC2796)))))-1),"")</f>
        <v>45858</v>
      </c>
      <c r="K2796" s="16" t="n">
        <f aca="false" t="array" ref="K2796:K2796">IFERROR(INDEX(AC2796:AE2796,IF(COUNTA(AC2796:AE2796)=0,"",MAX((AC2796:AE2796&lt;&gt;"")*(COLUMN(AC2796:AE2796)-(COLUMN(AC2796)-1))))-1),"")</f>
        <v>46041</v>
      </c>
      <c r="L2796" s="17" t="str">
        <f aca="false" t="array" ref="L2796:L2796">IFERROR(INDEX(AC2796:AE2796,IF(COUNTA(AC2796:AE2796)=0,"",MAX((AC2796:AE2796&lt;&gt;"")*(COLUMN(AC2796:AE2796)-(COLUMN(AC2796)-2))))-1),"")</f>
        <v>ARCHIVED</v>
      </c>
      <c r="M2796" s="13" t="n">
        <f aca="true">K2796-TODAY()</f>
        <v>-283</v>
      </c>
      <c r="N2796" s="18" t="s">
        <v>728</v>
      </c>
      <c r="O2796" s="13" t="s">
        <v>719</v>
      </c>
      <c r="P2796" s="19" t="n">
        <v>3100000</v>
      </c>
      <c r="Q2796" s="47" t="s">
        <v>11855</v>
      </c>
      <c r="R2796" s="13" t="s">
        <v>52</v>
      </c>
      <c r="S2796" s="14" t="n">
        <v>35861</v>
      </c>
      <c r="T2796" s="28" t="s">
        <v>40</v>
      </c>
      <c r="U2796" s="13" t="s">
        <v>11856</v>
      </c>
      <c r="V2796" s="13" t="s">
        <v>42</v>
      </c>
      <c r="W2796" s="13" t="s">
        <v>43</v>
      </c>
      <c r="X2796" s="21" t="n">
        <v>882009700832</v>
      </c>
      <c r="Y2796" s="22" t="str">
        <f aca="false">O2796</f>
        <v>Cleaning Service</v>
      </c>
      <c r="Z2796" s="13" t="str">
        <f aca="false">IFERROR(__xludf.dummyfunction("if(BJ2796="""","""",GOOGLETRANSLATE(BJ2796,""auto"",""en""))"),"Cleaning Service")</f>
        <v>Cleaning Service</v>
      </c>
      <c r="AA2796" s="23" t="str">
        <f aca="false">IF(C2796="","", CHOOSE(MONTH(C2796),"January","February","March","April","May","June","July","August","September","October","November","December")&amp;" "&amp;DAY(C2796)&amp;MID("thstndrdth",MIN(9,2*RIGHT(DAY(C2796))*(MOD(DAY(C2796)-11,100)&gt;2)+1),2)&amp;","&amp;TEXT(C2796," yyyy"))</f>
        <v>August 25th,2025</v>
      </c>
      <c r="AB2796" s="15" t="str">
        <f aca="true">IF(S2796="","",DATEDIF(S2796,TODAY(),"Y")&amp;" Tahun, "&amp;DATEDIF(S2796,TODAY(),"YM")&amp;" Bulan, "&amp;DATEDIF(S2796,TODAY(),"MD")&amp;" Hari")</f>
        <v>28 Tahun, 7 Bulan, 22 Hari</v>
      </c>
      <c r="AC2796" s="18" t="n">
        <v>45858</v>
      </c>
      <c r="AD2796" s="18" t="n">
        <f aca="false">EDATE(AC2796,6)-1</f>
        <v>46041</v>
      </c>
      <c r="AE2796" s="13" t="s">
        <v>44</v>
      </c>
    </row>
    <row r="2797" customFormat="false" ht="15" hidden="false" customHeight="true" outlineLevel="0" collapsed="false">
      <c r="A2797" s="12" t="n">
        <v>21026</v>
      </c>
      <c r="B2797" s="13" t="s">
        <v>11857</v>
      </c>
      <c r="C2797" s="16" t="n">
        <v>45936</v>
      </c>
      <c r="D2797" s="13" t="s">
        <v>10155</v>
      </c>
      <c r="E2797" s="15" t="s">
        <v>47</v>
      </c>
      <c r="F2797" s="15" t="str">
        <f aca="false">IFERROR(__xludf.dummyfunction("XLOOKUP(AJ2797,IMPORTRANGE(""1XaInW9DU9nz21V0tYIfzFQ0He9kVQ_JF2mCXgZ3hqFA"",""REKAP ALL 2026 - Andika!G:G""),IMPORTRANGE(""1XaInW9DU9nz21V0tYIfzFQ0He9kVQ_JF2mCXgZ3hqFA"",""REKAP ALL 2026 - Andika!F:F""),"""",0)"),"25157579308")</f>
        <v>25157579308</v>
      </c>
      <c r="G2797" s="13" t="s">
        <v>1127</v>
      </c>
      <c r="H2797" s="13" t="s">
        <v>35</v>
      </c>
      <c r="I2797" s="13" t="str">
        <f aca="false">IF(C2797=J2797,"NEW KONTRAK","RE-KONTRAK")</f>
        <v>NEW KONTRAK</v>
      </c>
      <c r="J2797" s="16" t="n">
        <f aca="false" t="array" ref="J2797:J2797">IFERROR(INDEX(AC2797:AE2797,IF(COUNTA(AC2797:AE2797)=0,"",MAX((AC2797:AE2797&lt;&gt;"")*(COLUMN(AC2797:AE2797)-(COLUMN(AC2797)))))-1),"")</f>
        <v>45936</v>
      </c>
      <c r="K2797" s="16" t="n">
        <f aca="false" t="array" ref="K2797:K2797">IFERROR(INDEX(AC2797:AE2797,IF(COUNTA(AC2797:AE2797)=0,"",MAX((AC2797:AE2797&lt;&gt;"")*(COLUMN(AC2797:AE2797)-(COLUMN(AC2797)-1))))-1),"")</f>
        <v>46022</v>
      </c>
      <c r="L2797" s="17" t="str">
        <f aca="false" t="array" ref="L2797:L2797">IFERROR(INDEX(AC2797:AE2797,IF(COUNTA(AC2797:AE2797)=0,"",MAX((AC2797:AE2797&lt;&gt;"")*(COLUMN(AC2797:AE2797)-(COLUMN(AC2797)-2))))-1),"")</f>
        <v>ARCHIVED</v>
      </c>
      <c r="M2797" s="13" t="n">
        <f aca="true">K2797-TODAY()</f>
        <v>-302</v>
      </c>
      <c r="N2797" s="18" t="s">
        <v>36</v>
      </c>
      <c r="O2797" s="13" t="s">
        <v>10241</v>
      </c>
      <c r="P2797" s="27" t="n">
        <v>5195401</v>
      </c>
      <c r="Q2797" s="47" t="s">
        <v>11858</v>
      </c>
      <c r="R2797" s="13" t="s">
        <v>83</v>
      </c>
      <c r="S2797" s="14" t="n">
        <v>37048</v>
      </c>
      <c r="T2797" s="28" t="s">
        <v>40</v>
      </c>
      <c r="U2797" s="13" t="s">
        <v>11859</v>
      </c>
      <c r="V2797" s="28" t="s">
        <v>1216</v>
      </c>
      <c r="W2797" s="13" t="s">
        <v>43</v>
      </c>
      <c r="X2797" s="30" t="n">
        <v>82280988516</v>
      </c>
      <c r="Y2797" s="22" t="str">
        <f aca="false">O2797</f>
        <v>Hot CS &amp; SB P3 Production</v>
      </c>
      <c r="Z2797" s="13" t="str">
        <f aca="false">IFERROR(__xludf.dummyfunction("if(BJ2797="""","""",GOOGLETRANSLATE(BJ2797,""auto"",""en""))"),"Hot CS &amp; SB P3 Production")</f>
        <v>Hot CS &amp; SB P3 Production</v>
      </c>
      <c r="AA2797" s="23" t="str">
        <f aca="false">IF(C2797="","", CHOOSE(MONTH(C2797),"January","February","March","April","May","June","July","August","September","October","November","December")&amp;" "&amp;DAY(C2797)&amp;MID("thstndrdth",MIN(9,2*RIGHT(DAY(C2797))*(MOD(DAY(C2797)-11,100)&gt;2)+1),2)&amp;","&amp;TEXT(C2797," yyyy"))</f>
        <v>October 6th,2025</v>
      </c>
      <c r="AB2797" s="15" t="str">
        <f aca="true">IF(S2797="","",DATEDIF(S2797,TODAY(),"Y")&amp;" Tahun, "&amp;DATEDIF(S2797,TODAY(),"YM")&amp;" Bulan, "&amp;DATEDIF(S2797,TODAY(),"MD")&amp;" Hari")</f>
        <v>25 Tahun, 4 Bulan, 23 Hari</v>
      </c>
      <c r="AC2797" s="18" t="n">
        <v>45936</v>
      </c>
      <c r="AD2797" s="18" t="n">
        <v>46022</v>
      </c>
      <c r="AE2797" s="13" t="s">
        <v>44</v>
      </c>
    </row>
    <row r="2798" customFormat="false" ht="15" hidden="false" customHeight="true" outlineLevel="0" collapsed="false">
      <c r="A2798" s="12" t="n">
        <v>21027</v>
      </c>
      <c r="B2798" s="13" t="s">
        <v>11860</v>
      </c>
      <c r="C2798" s="16" t="n">
        <v>45936</v>
      </c>
      <c r="D2798" s="13" t="s">
        <v>10155</v>
      </c>
      <c r="E2798" s="15" t="s">
        <v>102</v>
      </c>
      <c r="F2798" s="24" t="s">
        <v>11861</v>
      </c>
      <c r="G2798" s="13" t="s">
        <v>1127</v>
      </c>
      <c r="H2798" s="13" t="s">
        <v>35</v>
      </c>
      <c r="I2798" s="13" t="str">
        <f aca="false">IF(C2798=J2798,"NEW KONTRAK","RE-KONTRAK")</f>
        <v>NEW KONTRAK</v>
      </c>
      <c r="J2798" s="16" t="n">
        <f aca="false" t="array" ref="J2798:J2798">IFERROR(INDEX(AC2798:AE2798,IF(COUNTA(AC2798:AE2798)=0,"",MAX((AC2798:AE2798&lt;&gt;"")*(COLUMN(AC2798:AE2798)-(COLUMN(AC2798)))))-1),"")</f>
        <v>45936</v>
      </c>
      <c r="K2798" s="16" t="n">
        <f aca="false" t="array" ref="K2798:K2798">IFERROR(INDEX(AC2798:AE2798,IF(COUNTA(AC2798:AE2798)=0,"",MAX((AC2798:AE2798&lt;&gt;"")*(COLUMN(AC2798:AE2798)-(COLUMN(AC2798)-1))))-1),"")</f>
        <v>46022</v>
      </c>
      <c r="L2798" s="17" t="str">
        <f aca="false" t="array" ref="L2798:L2798">IFERROR(INDEX(AC2798:AE2798,IF(COUNTA(AC2798:AE2798)=0,"",MAX((AC2798:AE2798&lt;&gt;"")*(COLUMN(AC2798:AE2798)-(COLUMN(AC2798)-2))))-1),"")</f>
        <v>ARCHIVED</v>
      </c>
      <c r="M2798" s="13" t="n">
        <f aca="true">K2798-TODAY()</f>
        <v>-302</v>
      </c>
      <c r="N2798" s="18" t="s">
        <v>36</v>
      </c>
      <c r="O2798" s="13" t="s">
        <v>10308</v>
      </c>
      <c r="P2798" s="27" t="n">
        <v>5195401</v>
      </c>
      <c r="Q2798" s="47" t="s">
        <v>11862</v>
      </c>
      <c r="R2798" s="13" t="s">
        <v>65</v>
      </c>
      <c r="S2798" s="14" t="n">
        <v>37784</v>
      </c>
      <c r="T2798" s="28" t="s">
        <v>40</v>
      </c>
      <c r="U2798" s="13" t="s">
        <v>11863</v>
      </c>
      <c r="V2798" s="13" t="s">
        <v>42</v>
      </c>
      <c r="W2798" s="13" t="s">
        <v>43</v>
      </c>
      <c r="X2798" s="30" t="n">
        <v>87860494519</v>
      </c>
      <c r="Y2798" s="22" t="str">
        <f aca="false">O2798</f>
        <v>CS P1 QC &amp; Incoming</v>
      </c>
      <c r="Z2798" s="13" t="str">
        <f aca="false">IFERROR(__xludf.dummyfunction("if(BJ2798="""","""",GOOGLETRANSLATE(BJ2798,""auto"",""en""))"),"CS P1 QC &amp; Incoming")</f>
        <v>CS P1 QC &amp; Incoming</v>
      </c>
      <c r="AA2798" s="23" t="str">
        <f aca="false">IF(C2798="","", CHOOSE(MONTH(C2798),"January","February","March","April","May","June","July","August","September","October","November","December")&amp;" "&amp;DAY(C2798)&amp;MID("thstndrdth",MIN(9,2*RIGHT(DAY(C2798))*(MOD(DAY(C2798)-11,100)&gt;2)+1),2)&amp;","&amp;TEXT(C2798," yyyy"))</f>
        <v>October 6th,2025</v>
      </c>
      <c r="AB2798" s="15" t="str">
        <f aca="true">IF(S2798="","",DATEDIF(S2798,TODAY(),"Y")&amp;" Tahun, "&amp;DATEDIF(S2798,TODAY(),"YM")&amp;" Bulan, "&amp;DATEDIF(S2798,TODAY(),"MD")&amp;" Hari")</f>
        <v>23 Tahun, 4 Bulan, 17 Hari</v>
      </c>
      <c r="AC2798" s="18" t="n">
        <v>45936</v>
      </c>
      <c r="AD2798" s="18" t="n">
        <v>46022</v>
      </c>
      <c r="AE2798" s="13" t="s">
        <v>44</v>
      </c>
    </row>
    <row r="2799" customFormat="false" ht="15" hidden="false" customHeight="true" outlineLevel="0" collapsed="false">
      <c r="A2799" s="12" t="n">
        <v>21028</v>
      </c>
      <c r="B2799" s="13" t="s">
        <v>11864</v>
      </c>
      <c r="C2799" s="16" t="n">
        <v>45944</v>
      </c>
      <c r="D2799" s="13" t="s">
        <v>1338</v>
      </c>
      <c r="E2799" s="15" t="s">
        <v>47</v>
      </c>
      <c r="F2799" s="15" t="str">
        <f aca="false">IFERROR(__xludf.dummyfunction("XLOOKUP(AJ2799,IMPORTRANGE(""1XaInW9DU9nz21V0tYIfzFQ0He9kVQ_JF2mCXgZ3hqFA"",""REKAP ALL 2026 - Andika!G:G""),IMPORTRANGE(""1XaInW9DU9nz21V0tYIfzFQ0He9kVQ_JF2mCXgZ3hqFA"",""REKAP ALL 2026 - Andika!F:F""),"""",0)"),"25157579795")</f>
        <v>25157579795</v>
      </c>
      <c r="G2799" s="13" t="s">
        <v>57</v>
      </c>
      <c r="H2799" s="13" t="s">
        <v>3024</v>
      </c>
      <c r="I2799" s="13" t="str">
        <f aca="false">IF(C2799=J2799,"NEW KONTRAK","RE-KONTRAK")</f>
        <v>NEW KONTRAK</v>
      </c>
      <c r="J2799" s="16" t="n">
        <f aca="false" t="array" ref="J2799:J2799">IFERROR(INDEX(AC2799:AE2799,IF(COUNTA(AC2799:AE2799)=0,"",MAX((AC2799:AE2799&lt;&gt;"")*(COLUMN(AC2799:AE2799)-(COLUMN(AC2799)))))-1),"")</f>
        <v>45944</v>
      </c>
      <c r="K2799" s="16" t="n">
        <f aca="false" t="array" ref="K2799:K2799">IFERROR(INDEX(AC2799:AE2799,IF(COUNTA(AC2799:AE2799)=0,"",MAX((AC2799:AE2799&lt;&gt;"")*(COLUMN(AC2799:AE2799)-(COLUMN(AC2799)-1))))-1),"")</f>
        <v>46035</v>
      </c>
      <c r="L2799" s="17" t="str">
        <f aca="false" t="array" ref="L2799:L2799">IFERROR(INDEX(AC2799:AE2799,IF(COUNTA(AC2799:AE2799)=0,"",MAX((AC2799:AE2799&lt;&gt;"")*(COLUMN(AC2799:AE2799)-(COLUMN(AC2799)-2))))-1),"")</f>
        <v>ARCHIVED</v>
      </c>
      <c r="M2799" s="13" t="n">
        <f aca="true">K2799-TODAY()</f>
        <v>-289</v>
      </c>
      <c r="N2799" s="18" t="s">
        <v>615</v>
      </c>
      <c r="O2799" s="13" t="s">
        <v>2335</v>
      </c>
      <c r="P2799" s="19" t="n">
        <v>245000</v>
      </c>
      <c r="Q2799" s="47" t="s">
        <v>11865</v>
      </c>
      <c r="R2799" s="13" t="s">
        <v>232</v>
      </c>
      <c r="S2799" s="14" t="n">
        <v>32585</v>
      </c>
      <c r="T2799" s="28" t="s">
        <v>40</v>
      </c>
      <c r="U2799" s="13" t="s">
        <v>11866</v>
      </c>
      <c r="V2799" s="13" t="s">
        <v>42</v>
      </c>
      <c r="W2799" s="13" t="s">
        <v>54</v>
      </c>
      <c r="X2799" s="21" t="n">
        <v>82244518162</v>
      </c>
      <c r="Y2799" s="22" t="str">
        <f aca="false">O2799</f>
        <v>Project Management</v>
      </c>
      <c r="Z2799" s="13" t="str">
        <f aca="false">IFERROR(__xludf.dummyfunction("if(BJ2799="""","""",GOOGLETRANSLATE(BJ2799,""auto"",""en""))"),"Project Management")</f>
        <v>Project Management</v>
      </c>
      <c r="AA2799" s="23" t="str">
        <f aca="false">IF(C2799="","", CHOOSE(MONTH(C2799),"January","February","March","April","May","June","July","August","September","October","November","December")&amp;" "&amp;DAY(C2799)&amp;MID("thstndrdth",MIN(9,2*RIGHT(DAY(C2799))*(MOD(DAY(C2799)-11,100)&gt;2)+1),2)&amp;","&amp;TEXT(C2799," yyyy"))</f>
        <v>October 14th,2025</v>
      </c>
      <c r="AB2799" s="15" t="str">
        <f aca="true">IF(S2799="","",DATEDIF(S2799,TODAY(),"Y")&amp;" Tahun, "&amp;DATEDIF(S2799,TODAY(),"YM")&amp;" Bulan, "&amp;DATEDIF(S2799,TODAY(),"MD")&amp;" Hari")</f>
        <v>37 Tahun, 7 Bulan, 11 Hari</v>
      </c>
      <c r="AC2799" s="18" t="n">
        <v>45944</v>
      </c>
      <c r="AD2799" s="18" t="n">
        <v>46035</v>
      </c>
      <c r="AE2799" s="18" t="s">
        <v>44</v>
      </c>
    </row>
    <row r="2800" customFormat="false" ht="15" hidden="false" customHeight="true" outlineLevel="0" collapsed="false">
      <c r="A2800" s="12" t="n">
        <v>21030</v>
      </c>
      <c r="B2800" s="13" t="s">
        <v>11867</v>
      </c>
      <c r="C2800" s="16" t="n">
        <v>45944</v>
      </c>
      <c r="D2800" s="13" t="s">
        <v>144</v>
      </c>
      <c r="E2800" s="15" t="s">
        <v>47</v>
      </c>
      <c r="F2800" s="15" t="str">
        <f aca="false">IFERROR(__xludf.dummyfunction("XLOOKUP(AJ2800,IMPORTRANGE(""1XaInW9DU9nz21V0tYIfzFQ0He9kVQ_JF2mCXgZ3hqFA"",""REKAP ALL 2026 - Andika!G:G""),IMPORTRANGE(""1XaInW9DU9nz21V0tYIfzFQ0He9kVQ_JF2mCXgZ3hqFA"",""REKAP ALL 2026 - Andika!F:F""),"""",0)"),"25157579035")</f>
        <v>25157579035</v>
      </c>
      <c r="G2800" s="13" t="s">
        <v>1127</v>
      </c>
      <c r="H2800" s="13" t="s">
        <v>35</v>
      </c>
      <c r="I2800" s="13" t="str">
        <f aca="false">IF(C2800=J2800,"NEW KONTRAK","RE-KONTRAK")</f>
        <v>NEW KONTRAK</v>
      </c>
      <c r="J2800" s="16" t="n">
        <f aca="false" t="array" ref="J2800:J2800">IFERROR(INDEX(AC2800:AE2800,IF(COUNTA(AC2800:AE2800)=0,"",MAX((AC2800:AE2800&lt;&gt;"")*(COLUMN(AC2800:AE2800)-(COLUMN(AC2800)))))-1),"")</f>
        <v>45944</v>
      </c>
      <c r="K2800" s="16" t="n">
        <f aca="false" t="array" ref="K2800:K2800">IFERROR(INDEX(AC2800:AE2800,IF(COUNTA(AC2800:AE2800)=0,"",MAX((AC2800:AE2800&lt;&gt;"")*(COLUMN(AC2800:AE2800)-(COLUMN(AC2800)-1))))-1),"")</f>
        <v>46022</v>
      </c>
      <c r="L2800" s="17" t="str">
        <f aca="false" t="array" ref="L2800:L2800">IFERROR(INDEX(AC2800:AE2800,IF(COUNTA(AC2800:AE2800)=0,"",MAX((AC2800:AE2800&lt;&gt;"")*(COLUMN(AC2800:AE2800)-(COLUMN(AC2800)-2))))-1),"")</f>
        <v>ARCHIVED</v>
      </c>
      <c r="M2800" s="13" t="n">
        <f aca="true">K2800-TODAY()</f>
        <v>-302</v>
      </c>
      <c r="N2800" s="18" t="s">
        <v>36</v>
      </c>
      <c r="O2800" s="13" t="s">
        <v>146</v>
      </c>
      <c r="P2800" s="19" t="n">
        <v>5195401</v>
      </c>
      <c r="Q2800" s="47" t="s">
        <v>11868</v>
      </c>
      <c r="R2800" s="13" t="s">
        <v>65</v>
      </c>
      <c r="S2800" s="14" t="n">
        <v>36856</v>
      </c>
      <c r="T2800" s="28" t="s">
        <v>40</v>
      </c>
      <c r="U2800" s="13" t="s">
        <v>11869</v>
      </c>
      <c r="V2800" s="13" t="s">
        <v>42</v>
      </c>
      <c r="W2800" s="13" t="s">
        <v>43</v>
      </c>
      <c r="X2800" s="21" t="n">
        <v>85730462300</v>
      </c>
      <c r="Y2800" s="22" t="str">
        <f aca="false">O2800</f>
        <v>Enamel</v>
      </c>
      <c r="Z2800" s="13" t="str">
        <f aca="false">IFERROR(__xludf.dummyfunction("if(BJ2800="""","""",GOOGLETRANSLATE(BJ2800,""auto"",""en""))"),"Enamel")</f>
        <v>Enamel</v>
      </c>
      <c r="AA2800" s="23" t="str">
        <f aca="false">IF(C2800="","", CHOOSE(MONTH(C2800),"January","February","March","April","May","June","July","August","September","October","November","December")&amp;" "&amp;DAY(C2800)&amp;MID("thstndrdth",MIN(9,2*RIGHT(DAY(C2800))*(MOD(DAY(C2800)-11,100)&gt;2)+1),2)&amp;","&amp;TEXT(C2800," yyyy"))</f>
        <v>October 14th,2025</v>
      </c>
      <c r="AB2800" s="15" t="str">
        <f aca="true">IF(S2800="","",DATEDIF(S2800,TODAY(),"Y")&amp;" Tahun, "&amp;DATEDIF(S2800,TODAY(),"YM")&amp;" Bulan, "&amp;DATEDIF(S2800,TODAY(),"MD")&amp;" Hari")</f>
        <v>25 Tahun, 11 Bulan, 3 Hari</v>
      </c>
      <c r="AC2800" s="18" t="n">
        <v>45944</v>
      </c>
      <c r="AD2800" s="18" t="n">
        <v>46022</v>
      </c>
      <c r="AE2800" s="13" t="s">
        <v>44</v>
      </c>
    </row>
    <row r="2801" customFormat="false" ht="15" hidden="false" customHeight="true" outlineLevel="0" collapsed="false">
      <c r="A2801" s="12" t="n">
        <v>21031</v>
      </c>
      <c r="B2801" s="13" t="s">
        <v>11870</v>
      </c>
      <c r="C2801" s="16" t="n">
        <v>45944</v>
      </c>
      <c r="D2801" s="13" t="s">
        <v>144</v>
      </c>
      <c r="E2801" s="15" t="s">
        <v>33</v>
      </c>
      <c r="F2801" s="24" t="s">
        <v>11871</v>
      </c>
      <c r="G2801" s="13" t="s">
        <v>1127</v>
      </c>
      <c r="H2801" s="13" t="s">
        <v>35</v>
      </c>
      <c r="I2801" s="13" t="str">
        <f aca="false">IF(C2801=J2801,"NEW KONTRAK","RE-KONTRAK")</f>
        <v>NEW KONTRAK</v>
      </c>
      <c r="J2801" s="16" t="n">
        <f aca="false" t="array" ref="J2801:J2801">IFERROR(INDEX(AC2801:AE2801,IF(COUNTA(AC2801:AE2801)=0,"",MAX((AC2801:AE2801&lt;&gt;"")*(COLUMN(AC2801:AE2801)-(COLUMN(AC2801)))))-1),"")</f>
        <v>45944</v>
      </c>
      <c r="K2801" s="16" t="n">
        <f aca="false" t="array" ref="K2801:K2801">IFERROR(INDEX(AC2801:AE2801,IF(COUNTA(AC2801:AE2801)=0,"",MAX((AC2801:AE2801&lt;&gt;"")*(COLUMN(AC2801:AE2801)-(COLUMN(AC2801)-1))))-1),"")</f>
        <v>46022</v>
      </c>
      <c r="L2801" s="17" t="str">
        <f aca="false" t="array" ref="L2801:L2801">IFERROR(INDEX(AC2801:AE2801,IF(COUNTA(AC2801:AE2801)=0,"",MAX((AC2801:AE2801&lt;&gt;"")*(COLUMN(AC2801:AE2801)-(COLUMN(AC2801)-2))))-1),"")</f>
        <v>ARCHIVED</v>
      </c>
      <c r="M2801" s="13" t="n">
        <f aca="true">K2801-TODAY()</f>
        <v>-302</v>
      </c>
      <c r="N2801" s="18" t="s">
        <v>36</v>
      </c>
      <c r="O2801" s="13" t="s">
        <v>146</v>
      </c>
      <c r="P2801" s="19" t="n">
        <v>5195401</v>
      </c>
      <c r="Q2801" s="47" t="s">
        <v>11872</v>
      </c>
      <c r="R2801" s="13" t="s">
        <v>78</v>
      </c>
      <c r="S2801" s="14" t="n">
        <v>36145</v>
      </c>
      <c r="T2801" s="28" t="s">
        <v>40</v>
      </c>
      <c r="U2801" s="13" t="s">
        <v>11873</v>
      </c>
      <c r="V2801" s="13" t="s">
        <v>42</v>
      </c>
      <c r="W2801" s="13" t="s">
        <v>54</v>
      </c>
      <c r="X2801" s="21" t="n">
        <v>87792275883</v>
      </c>
      <c r="Y2801" s="22" t="str">
        <f aca="false">O2801</f>
        <v>Enamel</v>
      </c>
      <c r="Z2801" s="13" t="str">
        <f aca="false">IFERROR(__xludf.dummyfunction("if(BJ2801="""","""",GOOGLETRANSLATE(BJ2801,""auto"",""en""))"),"Enamel")</f>
        <v>Enamel</v>
      </c>
      <c r="AA2801" s="23" t="str">
        <f aca="false">IF(C2801="","", CHOOSE(MONTH(C2801),"January","February","March","April","May","June","July","August","September","October","November","December")&amp;" "&amp;DAY(C2801)&amp;MID("thstndrdth",MIN(9,2*RIGHT(DAY(C2801))*(MOD(DAY(C2801)-11,100)&gt;2)+1),2)&amp;","&amp;TEXT(C2801," yyyy"))</f>
        <v>October 14th,2025</v>
      </c>
      <c r="AB2801" s="15" t="str">
        <f aca="true">IF(S2801="","",DATEDIF(S2801,TODAY(),"Y")&amp;" Tahun, "&amp;DATEDIF(S2801,TODAY(),"YM")&amp;" Bulan, "&amp;DATEDIF(S2801,TODAY(),"MD")&amp;" Hari")</f>
        <v>27 Tahun, 10 Bulan, 13 Hari</v>
      </c>
      <c r="AC2801" s="18" t="n">
        <v>45944</v>
      </c>
      <c r="AD2801" s="18" t="n">
        <v>46022</v>
      </c>
      <c r="AE2801" s="13" t="s">
        <v>44</v>
      </c>
    </row>
    <row r="2802" customFormat="false" ht="15" hidden="false" customHeight="true" outlineLevel="0" collapsed="false">
      <c r="A2802" s="12" t="n">
        <v>21033</v>
      </c>
      <c r="B2802" s="13" t="s">
        <v>11874</v>
      </c>
      <c r="C2802" s="16" t="n">
        <v>45944</v>
      </c>
      <c r="D2802" s="13" t="s">
        <v>144</v>
      </c>
      <c r="E2802" s="15" t="s">
        <v>47</v>
      </c>
      <c r="F2802" s="15" t="str">
        <f aca="false">IFERROR(__xludf.dummyfunction("XLOOKUP(AJ2802,IMPORTRANGE(""1XaInW9DU9nz21V0tYIfzFQ0He9kVQ_JF2mCXgZ3hqFA"",""REKAP ALL 2026 - Andika!G:G""),IMPORTRANGE(""1XaInW9DU9nz21V0tYIfzFQ0He9kVQ_JF2mCXgZ3hqFA"",""REKAP ALL 2026 - Andika!F:F""),"""",0)"),"25157578938")</f>
        <v>25157578938</v>
      </c>
      <c r="G2802" s="13" t="s">
        <v>1127</v>
      </c>
      <c r="H2802" s="13" t="s">
        <v>35</v>
      </c>
      <c r="I2802" s="13" t="str">
        <f aca="false">IF(C2802=J2802,"NEW KONTRAK","RE-KONTRAK")</f>
        <v>NEW KONTRAK</v>
      </c>
      <c r="J2802" s="16" t="n">
        <f aca="false" t="array" ref="J2802:J2802">IFERROR(INDEX(AC2802:AE2802,IF(COUNTA(AC2802:AE2802)=0,"",MAX((AC2802:AE2802&lt;&gt;"")*(COLUMN(AC2802:AE2802)-(COLUMN(AC2802)))))-1),"")</f>
        <v>45944</v>
      </c>
      <c r="K2802" s="16" t="n">
        <f aca="false" t="array" ref="K2802:K2802">IFERROR(INDEX(AC2802:AE2802,IF(COUNTA(AC2802:AE2802)=0,"",MAX((AC2802:AE2802&lt;&gt;"")*(COLUMN(AC2802:AE2802)-(COLUMN(AC2802)-1))))-1),"")</f>
        <v>46022</v>
      </c>
      <c r="L2802" s="17" t="str">
        <f aca="false" t="array" ref="L2802:L2802">IFERROR(INDEX(AC2802:AE2802,IF(COUNTA(AC2802:AE2802)=0,"",MAX((AC2802:AE2802&lt;&gt;"")*(COLUMN(AC2802:AE2802)-(COLUMN(AC2802)-2))))-1),"")</f>
        <v>ARCHIVED</v>
      </c>
      <c r="M2802" s="13" t="n">
        <f aca="true">K2802-TODAY()</f>
        <v>-302</v>
      </c>
      <c r="N2802" s="18" t="s">
        <v>36</v>
      </c>
      <c r="O2802" s="13" t="s">
        <v>156</v>
      </c>
      <c r="P2802" s="19" t="n">
        <v>5195401</v>
      </c>
      <c r="Q2802" s="47" t="s">
        <v>11875</v>
      </c>
      <c r="R2802" s="13" t="s">
        <v>78</v>
      </c>
      <c r="S2802" s="14" t="n">
        <v>38013</v>
      </c>
      <c r="T2802" s="28" t="s">
        <v>40</v>
      </c>
      <c r="U2802" s="13" t="s">
        <v>11876</v>
      </c>
      <c r="V2802" s="13" t="s">
        <v>42</v>
      </c>
      <c r="W2802" s="13" t="s">
        <v>43</v>
      </c>
      <c r="X2802" s="21" t="n">
        <v>85808995984</v>
      </c>
      <c r="Y2802" s="22" t="str">
        <f aca="false">O2802</f>
        <v>Emulsion</v>
      </c>
      <c r="Z2802" s="13" t="str">
        <f aca="false">IFERROR(__xludf.dummyfunction("if(BJ2802="""","""",GOOGLETRANSLATE(BJ2802,""auto"",""en""))"),"Emulsion")</f>
        <v>Emulsion</v>
      </c>
      <c r="AA2802" s="23" t="str">
        <f aca="false">IF(C2802="","", CHOOSE(MONTH(C2802),"January","February","March","April","May","June","July","August","September","October","November","December")&amp;" "&amp;DAY(C2802)&amp;MID("thstndrdth",MIN(9,2*RIGHT(DAY(C2802))*(MOD(DAY(C2802)-11,100)&gt;2)+1),2)&amp;","&amp;TEXT(C2802," yyyy"))</f>
        <v>October 14th,2025</v>
      </c>
      <c r="AB2802" s="15" t="str">
        <f aca="true">IF(S2802="","",DATEDIF(S2802,TODAY(),"Y")&amp;" Tahun, "&amp;DATEDIF(S2802,TODAY(),"YM")&amp;" Bulan, "&amp;DATEDIF(S2802,TODAY(),"MD")&amp;" Hari")</f>
        <v>22 Tahun, 9 Bulan, 2 Hari</v>
      </c>
      <c r="AC2802" s="18" t="n">
        <v>45944</v>
      </c>
      <c r="AD2802" s="18" t="n">
        <v>46022</v>
      </c>
      <c r="AE2802" s="13" t="s">
        <v>44</v>
      </c>
    </row>
    <row r="2803" customFormat="false" ht="15" hidden="false" customHeight="true" outlineLevel="0" collapsed="false">
      <c r="A2803" s="12" t="n">
        <v>21034</v>
      </c>
      <c r="B2803" s="13" t="s">
        <v>11877</v>
      </c>
      <c r="C2803" s="16" t="n">
        <v>45944</v>
      </c>
      <c r="D2803" s="13" t="s">
        <v>144</v>
      </c>
      <c r="E2803" s="15" t="s">
        <v>47</v>
      </c>
      <c r="F2803" s="15" t="str">
        <f aca="false">IFERROR(__xludf.dummyfunction("XLOOKUP(AJ2803,IMPORTRANGE(""1XaInW9DU9nz21V0tYIfzFQ0He9kVQ_JF2mCXgZ3hqFA"",""REKAP ALL 2026 - Andika!G:G""),IMPORTRANGE(""1XaInW9DU9nz21V0tYIfzFQ0He9kVQ_JF2mCXgZ3hqFA"",""REKAP ALL 2026 - Andika!F:F""),"""",0)"),"25157578953")</f>
        <v>25157578953</v>
      </c>
      <c r="G2803" s="13" t="s">
        <v>1127</v>
      </c>
      <c r="H2803" s="13" t="s">
        <v>35</v>
      </c>
      <c r="I2803" s="13" t="str">
        <f aca="false">IF(C2803=J2803,"NEW KONTRAK","RE-KONTRAK")</f>
        <v>NEW KONTRAK</v>
      </c>
      <c r="J2803" s="16" t="n">
        <f aca="false" t="array" ref="J2803:J2803">IFERROR(INDEX(AC2803:AE2803,IF(COUNTA(AC2803:AE2803)=0,"",MAX((AC2803:AE2803&lt;&gt;"")*(COLUMN(AC2803:AE2803)-(COLUMN(AC2803)))))-1),"")</f>
        <v>45944</v>
      </c>
      <c r="K2803" s="16" t="n">
        <f aca="false" t="array" ref="K2803:K2803">IFERROR(INDEX(AC2803:AE2803,IF(COUNTA(AC2803:AE2803)=0,"",MAX((AC2803:AE2803&lt;&gt;"")*(COLUMN(AC2803:AE2803)-(COLUMN(AC2803)-1))))-1),"")</f>
        <v>46022</v>
      </c>
      <c r="L2803" s="17" t="str">
        <f aca="false" t="array" ref="L2803:L2803">IFERROR(INDEX(AC2803:AE2803,IF(COUNTA(AC2803:AE2803)=0,"",MAX((AC2803:AE2803&lt;&gt;"")*(COLUMN(AC2803:AE2803)-(COLUMN(AC2803)-2))))-1),"")</f>
        <v>ARCHIVED</v>
      </c>
      <c r="M2803" s="13" t="n">
        <f aca="true">K2803-TODAY()</f>
        <v>-302</v>
      </c>
      <c r="N2803" s="18" t="s">
        <v>36</v>
      </c>
      <c r="O2803" s="13" t="s">
        <v>9279</v>
      </c>
      <c r="P2803" s="19" t="n">
        <v>5195401</v>
      </c>
      <c r="Q2803" s="47" t="s">
        <v>11878</v>
      </c>
      <c r="R2803" s="13" t="s">
        <v>52</v>
      </c>
      <c r="S2803" s="14" t="n">
        <v>34225</v>
      </c>
      <c r="T2803" s="28" t="s">
        <v>40</v>
      </c>
      <c r="U2803" s="13" t="s">
        <v>11879</v>
      </c>
      <c r="V2803" s="13" t="s">
        <v>42</v>
      </c>
      <c r="W2803" s="13" t="s">
        <v>54</v>
      </c>
      <c r="X2803" s="21" t="n">
        <v>895401448408</v>
      </c>
      <c r="Y2803" s="22" t="str">
        <f aca="false">O2803</f>
        <v>Picker Gudang</v>
      </c>
      <c r="Z2803" s="13" t="str">
        <f aca="false">IFERROR(__xludf.dummyfunction("if(BJ2803="""","""",GOOGLETRANSLATE(BJ2803,""auto"",""en""))"),"Warehouse Picker")</f>
        <v>Warehouse Picker</v>
      </c>
      <c r="AA2803" s="23" t="str">
        <f aca="false">IF(C2803="","", CHOOSE(MONTH(C2803),"January","February","March","April","May","June","July","August","September","October","November","December")&amp;" "&amp;DAY(C2803)&amp;MID("thstndrdth",MIN(9,2*RIGHT(DAY(C2803))*(MOD(DAY(C2803)-11,100)&gt;2)+1),2)&amp;","&amp;TEXT(C2803," yyyy"))</f>
        <v>October 14th,2025</v>
      </c>
      <c r="AB2803" s="15" t="str">
        <f aca="true">IF(S2803="","",DATEDIF(S2803,TODAY(),"Y")&amp;" Tahun, "&amp;DATEDIF(S2803,TODAY(),"YM")&amp;" Bulan, "&amp;DATEDIF(S2803,TODAY(),"MD")&amp;" Hari")</f>
        <v>33 Tahun, 1 Bulan, 16 Hari</v>
      </c>
      <c r="AC2803" s="18" t="n">
        <v>45944</v>
      </c>
      <c r="AD2803" s="18" t="n">
        <v>46022</v>
      </c>
      <c r="AE2803" s="13" t="s">
        <v>44</v>
      </c>
    </row>
    <row r="2804" customFormat="false" ht="15" hidden="false" customHeight="true" outlineLevel="0" collapsed="false">
      <c r="A2804" s="12" t="n">
        <v>21035</v>
      </c>
      <c r="B2804" s="13" t="s">
        <v>11880</v>
      </c>
      <c r="C2804" s="16" t="n">
        <v>45944</v>
      </c>
      <c r="D2804" s="13" t="s">
        <v>144</v>
      </c>
      <c r="E2804" s="15" t="s">
        <v>102</v>
      </c>
      <c r="F2804" s="15" t="str">
        <f aca="false">IFERROR(__xludf.dummyfunction("XLOOKUP(AJ2804,IMPORTRANGE(""1XaInW9DU9nz21V0tYIfzFQ0He9kVQ_JF2mCXgZ3hqFA"",""REKAP ALL 2026 - Andika!G:G""),IMPORTRANGE(""1XaInW9DU9nz21V0tYIfzFQ0He9kVQ_JF2mCXgZ3hqFA"",""REKAP ALL 2026 - Andika!F:F""),"""",0)"),"25157578979")</f>
        <v>25157578979</v>
      </c>
      <c r="G2804" s="13" t="s">
        <v>1127</v>
      </c>
      <c r="H2804" s="13" t="s">
        <v>35</v>
      </c>
      <c r="I2804" s="13" t="str">
        <f aca="false">IF(C2804=J2804,"NEW KONTRAK","RE-KONTRAK")</f>
        <v>NEW KONTRAK</v>
      </c>
      <c r="J2804" s="16" t="n">
        <f aca="false" t="array" ref="J2804:J2804">IFERROR(INDEX(AC2804:AE2804,IF(COUNTA(AC2804:AE2804)=0,"",MAX((AC2804:AE2804&lt;&gt;"")*(COLUMN(AC2804:AE2804)-(COLUMN(AC2804)))))-1),"")</f>
        <v>45944</v>
      </c>
      <c r="K2804" s="16" t="n">
        <f aca="false" t="array" ref="K2804:K2804">IFERROR(INDEX(AC2804:AE2804,IF(COUNTA(AC2804:AE2804)=0,"",MAX((AC2804:AE2804&lt;&gt;"")*(COLUMN(AC2804:AE2804)-(COLUMN(AC2804)-1))))-1),"")</f>
        <v>46022</v>
      </c>
      <c r="L2804" s="17" t="str">
        <f aca="false" t="array" ref="L2804:L2804">IFERROR(INDEX(AC2804:AE2804,IF(COUNTA(AC2804:AE2804)=0,"",MAX((AC2804:AE2804&lt;&gt;"")*(COLUMN(AC2804:AE2804)-(COLUMN(AC2804)-2))))-1),"")</f>
        <v>ARCHIVED</v>
      </c>
      <c r="M2804" s="13" t="n">
        <f aca="true">K2804-TODAY()</f>
        <v>-302</v>
      </c>
      <c r="N2804" s="18" t="s">
        <v>36</v>
      </c>
      <c r="O2804" s="13" t="s">
        <v>9279</v>
      </c>
      <c r="P2804" s="19" t="n">
        <v>5195401</v>
      </c>
      <c r="Q2804" s="47" t="s">
        <v>11881</v>
      </c>
      <c r="R2804" s="13" t="s">
        <v>52</v>
      </c>
      <c r="S2804" s="14" t="n">
        <v>35144</v>
      </c>
      <c r="T2804" s="28" t="s">
        <v>40</v>
      </c>
      <c r="U2804" s="13" t="s">
        <v>11882</v>
      </c>
      <c r="V2804" s="13" t="s">
        <v>42</v>
      </c>
      <c r="W2804" s="13" t="s">
        <v>43</v>
      </c>
      <c r="X2804" s="21" t="n">
        <v>88991371710</v>
      </c>
      <c r="Y2804" s="22" t="str">
        <f aca="false">O2804</f>
        <v>Picker Gudang</v>
      </c>
      <c r="Z2804" s="13" t="str">
        <f aca="false">IFERROR(__xludf.dummyfunction("if(BJ2804="""","""",GOOGLETRANSLATE(BJ2804,""auto"",""en""))"),"Warehouse Picker")</f>
        <v>Warehouse Picker</v>
      </c>
      <c r="AA2804" s="23" t="str">
        <f aca="false">IF(C2804="","", CHOOSE(MONTH(C2804),"January","February","March","April","May","June","July","August","September","October","November","December")&amp;" "&amp;DAY(C2804)&amp;MID("thstndrdth",MIN(9,2*RIGHT(DAY(C2804))*(MOD(DAY(C2804)-11,100)&gt;2)+1),2)&amp;","&amp;TEXT(C2804," yyyy"))</f>
        <v>October 14th,2025</v>
      </c>
      <c r="AB2804" s="15" t="str">
        <f aca="true">IF(S2804="","",DATEDIF(S2804,TODAY(),"Y")&amp;" Tahun, "&amp;DATEDIF(S2804,TODAY(),"YM")&amp;" Bulan, "&amp;DATEDIF(S2804,TODAY(),"MD")&amp;" Hari")</f>
        <v>30 Tahun, 7 Bulan, 9 Hari</v>
      </c>
      <c r="AC2804" s="18" t="n">
        <v>45944</v>
      </c>
      <c r="AD2804" s="18" t="n">
        <v>46022</v>
      </c>
      <c r="AE2804" s="13" t="s">
        <v>44</v>
      </c>
    </row>
    <row r="2805" customFormat="false" ht="15" hidden="false" customHeight="true" outlineLevel="0" collapsed="false">
      <c r="A2805" s="12" t="n">
        <v>21036</v>
      </c>
      <c r="B2805" s="45" t="s">
        <v>11883</v>
      </c>
      <c r="C2805" s="16" t="n">
        <v>45944</v>
      </c>
      <c r="D2805" s="13" t="s">
        <v>144</v>
      </c>
      <c r="E2805" s="15" t="s">
        <v>47</v>
      </c>
      <c r="F2805" s="15" t="str">
        <f aca="false">IFERROR(__xludf.dummyfunction("XLOOKUP(AJ2805,IMPORTRANGE(""1XaInW9DU9nz21V0tYIfzFQ0He9kVQ_JF2mCXgZ3hqFA"",""REKAP ALL 2026 - Andika!G:G""),IMPORTRANGE(""1XaInW9DU9nz21V0tYIfzFQ0He9kVQ_JF2mCXgZ3hqFA"",""REKAP ALL 2026 - Andika!F:F""),"""",0)"),"25157578995")</f>
        <v>25157578995</v>
      </c>
      <c r="G2805" s="13" t="s">
        <v>1127</v>
      </c>
      <c r="H2805" s="13" t="s">
        <v>35</v>
      </c>
      <c r="I2805" s="13" t="str">
        <f aca="false">IF(C2805=J2805,"NEW KONTRAK","RE-KONTRAK")</f>
        <v>NEW KONTRAK</v>
      </c>
      <c r="J2805" s="16" t="n">
        <f aca="false" t="array" ref="J2805:J2805">IFERROR(INDEX(AC2805:AE2805,IF(COUNTA(AC2805:AE2805)=0,"",MAX((AC2805:AE2805&lt;&gt;"")*(COLUMN(AC2805:AE2805)-(COLUMN(AC2805)))))-1),"")</f>
        <v>45944</v>
      </c>
      <c r="K2805" s="16" t="n">
        <f aca="false" t="array" ref="K2805:K2805">IFERROR(INDEX(AC2805:AE2805,IF(COUNTA(AC2805:AE2805)=0,"",MAX((AC2805:AE2805&lt;&gt;"")*(COLUMN(AC2805:AE2805)-(COLUMN(AC2805)-1))))-1),"")</f>
        <v>46022</v>
      </c>
      <c r="L2805" s="17" t="str">
        <f aca="false" t="array" ref="L2805:L2805">IFERROR(INDEX(AC2805:AE2805,IF(COUNTA(AC2805:AE2805)=0,"",MAX((AC2805:AE2805&lt;&gt;"")*(COLUMN(AC2805:AE2805)-(COLUMN(AC2805)-2))))-1),"")</f>
        <v>ARCHIVED</v>
      </c>
      <c r="M2805" s="13" t="n">
        <f aca="true">K2805-TODAY()</f>
        <v>-302</v>
      </c>
      <c r="N2805" s="18" t="s">
        <v>36</v>
      </c>
      <c r="O2805" s="13" t="s">
        <v>11884</v>
      </c>
      <c r="P2805" s="19" t="n">
        <v>5195401</v>
      </c>
      <c r="Q2805" s="47" t="s">
        <v>11885</v>
      </c>
      <c r="R2805" s="13" t="s">
        <v>65</v>
      </c>
      <c r="S2805" s="14" t="n">
        <v>36322</v>
      </c>
      <c r="T2805" s="28" t="s">
        <v>40</v>
      </c>
      <c r="U2805" s="13" t="s">
        <v>11886</v>
      </c>
      <c r="V2805" s="13" t="s">
        <v>42</v>
      </c>
      <c r="W2805" s="13" t="s">
        <v>43</v>
      </c>
      <c r="X2805" s="21" t="n">
        <v>882009241583</v>
      </c>
      <c r="Y2805" s="22" t="str">
        <f aca="false">O2805</f>
        <v>Qc Laboratorium</v>
      </c>
      <c r="Z2805" s="13" t="str">
        <f aca="false">IFERROR(__xludf.dummyfunction("if(BJ2805="""","""",GOOGLETRANSLATE(BJ2805,""auto"",""en""))"),"QC Laboratory")</f>
        <v>QC Laboratory</v>
      </c>
      <c r="AA2805" s="23" t="str">
        <f aca="false">IF(C2805="","", CHOOSE(MONTH(C2805),"January","February","March","April","May","June","July","August","September","October","November","December")&amp;" "&amp;DAY(C2805)&amp;MID("thstndrdth",MIN(9,2*RIGHT(DAY(C2805))*(MOD(DAY(C2805)-11,100)&gt;2)+1),2)&amp;","&amp;TEXT(C2805," yyyy"))</f>
        <v>October 14th,2025</v>
      </c>
      <c r="AB2805" s="15" t="str">
        <f aca="true">IF(S2805="","",DATEDIF(S2805,TODAY(),"Y")&amp;" Tahun, "&amp;DATEDIF(S2805,TODAY(),"YM")&amp;" Bulan, "&amp;DATEDIF(S2805,TODAY(),"MD")&amp;" Hari")</f>
        <v>27 Tahun, 4 Bulan, 18 Hari</v>
      </c>
      <c r="AC2805" s="18" t="n">
        <v>45944</v>
      </c>
      <c r="AD2805" s="18" t="n">
        <v>46022</v>
      </c>
      <c r="AE2805" s="13" t="s">
        <v>44</v>
      </c>
    </row>
    <row r="2806" customFormat="false" ht="15" hidden="false" customHeight="true" outlineLevel="0" collapsed="false">
      <c r="A2806" s="12" t="n">
        <v>21038</v>
      </c>
      <c r="B2806" s="13" t="s">
        <v>11887</v>
      </c>
      <c r="C2806" s="16" t="n">
        <v>45946</v>
      </c>
      <c r="D2806" s="13" t="s">
        <v>404</v>
      </c>
      <c r="E2806" s="15" t="s">
        <v>47</v>
      </c>
      <c r="F2806" s="15" t="str">
        <f aca="false">IFERROR(__xludf.dummyfunction("XLOOKUP(AJ2806,IMPORTRANGE(""1XaInW9DU9nz21V0tYIfzFQ0He9kVQ_JF2mCXgZ3hqFA"",""REKAP ALL 2026 - Andika!G:G""),IMPORTRANGE(""1XaInW9DU9nz21V0tYIfzFQ0He9kVQ_JF2mCXgZ3hqFA"",""REKAP ALL 2026 - Andika!F:F""),"""",0)"),"25157579852")</f>
        <v>25157579852</v>
      </c>
      <c r="G2806" s="13" t="s">
        <v>1127</v>
      </c>
      <c r="H2806" s="13" t="s">
        <v>35</v>
      </c>
      <c r="I2806" s="13" t="str">
        <f aca="false">IF(C2806=J2806,"NEW KONTRAK","RE-KONTRAK")</f>
        <v>NEW KONTRAK</v>
      </c>
      <c r="J2806" s="16" t="n">
        <f aca="false" t="array" ref="J2806:J2806">IFERROR(INDEX(AC2806:AE2806,IF(COUNTA(AC2806:AE2806)=0,"",MAX((AC2806:AE2806&lt;&gt;"")*(COLUMN(AC2806:AE2806)-(COLUMN(AC2806)))))-1),"")</f>
        <v>45946</v>
      </c>
      <c r="K2806" s="16" t="n">
        <f aca="false" t="array" ref="K2806:K2806">IFERROR(INDEX(AC2806:AE2806,IF(COUNTA(AC2806:AE2806)=0,"",MAX((AC2806:AE2806&lt;&gt;"")*(COLUMN(AC2806:AE2806)-(COLUMN(AC2806)-1))))-1),"")</f>
        <v>46022</v>
      </c>
      <c r="L2806" s="17" t="str">
        <f aca="false" t="array" ref="L2806:L2806">IFERROR(INDEX(AC2806:AE2806,IF(COUNTA(AC2806:AE2806)=0,"",MAX((AC2806:AE2806&lt;&gt;"")*(COLUMN(AC2806:AE2806)-(COLUMN(AC2806)-2))))-1),"")</f>
        <v>ARCHIVED</v>
      </c>
      <c r="M2806" s="13" t="n">
        <f aca="true">K2806-TODAY()</f>
        <v>-302</v>
      </c>
      <c r="N2806" s="18" t="s">
        <v>36</v>
      </c>
      <c r="O2806" s="13" t="s">
        <v>3097</v>
      </c>
      <c r="P2806" s="26" t="n">
        <v>5195401</v>
      </c>
      <c r="Q2806" s="20" t="s">
        <v>11888</v>
      </c>
      <c r="R2806" s="13" t="s">
        <v>11889</v>
      </c>
      <c r="S2806" s="14" t="n">
        <v>34771</v>
      </c>
      <c r="T2806" s="13" t="s">
        <v>40</v>
      </c>
      <c r="U2806" s="13" t="s">
        <v>11890</v>
      </c>
      <c r="V2806" s="28" t="s">
        <v>1216</v>
      </c>
      <c r="W2806" s="13" t="s">
        <v>43</v>
      </c>
      <c r="X2806" s="21" t="n">
        <v>82146249337</v>
      </c>
      <c r="Y2806" s="22" t="str">
        <f aca="false">O2806</f>
        <v>Engineering</v>
      </c>
      <c r="Z2806" s="13" t="str">
        <f aca="false">IFERROR(__xludf.dummyfunction("if(BJ2806="""","""",GOOGLETRANSLATE(BJ2806,""auto"",""en""))"),"Engineering")</f>
        <v>Engineering</v>
      </c>
      <c r="AA2806" s="23" t="str">
        <f aca="false">IF(C2806="","", CHOOSE(MONTH(C2806),"January","February","March","April","May","June","July","August","September","October","November","December")&amp;" "&amp;DAY(C2806)&amp;MID("thstndrdth",MIN(9,2*RIGHT(DAY(C2806))*(MOD(DAY(C2806)-11,100)&gt;2)+1),2)&amp;","&amp;TEXT(C2806," yyyy"))</f>
        <v>October 16th,2025</v>
      </c>
      <c r="AB2806" s="15" t="str">
        <f aca="true">IF(S2806="","",DATEDIF(S2806,TODAY(),"Y")&amp;" Tahun, "&amp;DATEDIF(S2806,TODAY(),"YM")&amp;" Bulan, "&amp;DATEDIF(S2806,TODAY(),"MD")&amp;" Hari")</f>
        <v>31 Tahun, 7 Bulan, 16 Hari</v>
      </c>
      <c r="AC2806" s="18" t="n">
        <v>45946</v>
      </c>
      <c r="AD2806" s="18" t="n">
        <v>46022</v>
      </c>
      <c r="AE2806" s="13" t="s">
        <v>44</v>
      </c>
    </row>
    <row r="2807" customFormat="false" ht="15" hidden="false" customHeight="true" outlineLevel="0" collapsed="false">
      <c r="A2807" s="12" t="n">
        <v>21039</v>
      </c>
      <c r="B2807" s="13" t="s">
        <v>11891</v>
      </c>
      <c r="C2807" s="16" t="n">
        <v>45946</v>
      </c>
      <c r="D2807" s="13" t="s">
        <v>1338</v>
      </c>
      <c r="E2807" s="15" t="s">
        <v>102</v>
      </c>
      <c r="F2807" s="24" t="s">
        <v>11892</v>
      </c>
      <c r="G2807" s="13" t="s">
        <v>57</v>
      </c>
      <c r="H2807" s="13" t="s">
        <v>3024</v>
      </c>
      <c r="I2807" s="13" t="str">
        <f aca="false">IF(C2807=J2807,"NEW KONTRAK","RE-KONTRAK")</f>
        <v>NEW KONTRAK</v>
      </c>
      <c r="J2807" s="16" t="n">
        <f aca="false" t="array" ref="J2807:J2807">IFERROR(INDEX(AC2807:AE2807,IF(COUNTA(AC2807:AE2807)=0,"",MAX((AC2807:AE2807&lt;&gt;"")*(COLUMN(AC2807:AE2807)-(COLUMN(AC2807)))))-1),"")</f>
        <v>45946</v>
      </c>
      <c r="K2807" s="16" t="n">
        <f aca="false" t="array" ref="K2807:K2807">IFERROR(INDEX(AC2807:AE2807,IF(COUNTA(AC2807:AE2807)=0,"",MAX((AC2807:AE2807&lt;&gt;"")*(COLUMN(AC2807:AE2807)-(COLUMN(AC2807)-1))))-1),"")</f>
        <v>46037</v>
      </c>
      <c r="L2807" s="17" t="str">
        <f aca="false" t="array" ref="L2807:L2807">IFERROR(INDEX(AC2807:AE2807,IF(COUNTA(AC2807:AE2807)=0,"",MAX((AC2807:AE2807&lt;&gt;"")*(COLUMN(AC2807:AE2807)-(COLUMN(AC2807)-2))))-1),"")</f>
        <v>ARCHIVED</v>
      </c>
      <c r="M2807" s="13" t="n">
        <f aca="true">K2807-TODAY()</f>
        <v>-287</v>
      </c>
      <c r="N2807" s="18" t="s">
        <v>615</v>
      </c>
      <c r="O2807" s="13" t="s">
        <v>2335</v>
      </c>
      <c r="P2807" s="19" t="n">
        <v>160000</v>
      </c>
      <c r="Q2807" s="47" t="s">
        <v>11893</v>
      </c>
      <c r="R2807" s="13" t="s">
        <v>324</v>
      </c>
      <c r="S2807" s="14" t="n">
        <v>35486</v>
      </c>
      <c r="T2807" s="28" t="s">
        <v>40</v>
      </c>
      <c r="U2807" s="13" t="s">
        <v>11894</v>
      </c>
      <c r="V2807" s="13" t="s">
        <v>42</v>
      </c>
      <c r="W2807" s="13" t="s">
        <v>54</v>
      </c>
      <c r="X2807" s="21" t="n">
        <v>83857356838</v>
      </c>
      <c r="Y2807" s="22" t="str">
        <f aca="false">O2807</f>
        <v>Project Management</v>
      </c>
      <c r="Z2807" s="13" t="str">
        <f aca="false">IFERROR(__xludf.dummyfunction("if(BJ2807="""","""",GOOGLETRANSLATE(BJ2807,""auto"",""en""))"),"Project Management")</f>
        <v>Project Management</v>
      </c>
      <c r="AA2807" s="23" t="str">
        <f aca="false">IF(C2807="","", CHOOSE(MONTH(C2807),"January","February","March","April","May","June","July","August","September","October","November","December")&amp;" "&amp;DAY(C2807)&amp;MID("thstndrdth",MIN(9,2*RIGHT(DAY(C2807))*(MOD(DAY(C2807)-11,100)&gt;2)+1),2)&amp;","&amp;TEXT(C2807," yyyy"))</f>
        <v>October 16th,2025</v>
      </c>
      <c r="AB2807" s="15" t="str">
        <f aca="true">IF(S2807="","",DATEDIF(S2807,TODAY(),"Y")&amp;" Tahun, "&amp;DATEDIF(S2807,TODAY(),"YM")&amp;" Bulan, "&amp;DATEDIF(S2807,TODAY(),"MD")&amp;" Hari")</f>
        <v>29 Tahun, 8 Bulan, 4 Hari</v>
      </c>
      <c r="AC2807" s="18" t="n">
        <v>45946</v>
      </c>
      <c r="AD2807" s="18" t="n">
        <v>46037</v>
      </c>
      <c r="AE2807" s="18" t="s">
        <v>44</v>
      </c>
    </row>
    <row r="2808" customFormat="false" ht="15" hidden="false" customHeight="true" outlineLevel="0" collapsed="false">
      <c r="A2808" s="12" t="n">
        <v>21040</v>
      </c>
      <c r="B2808" s="13" t="s">
        <v>11895</v>
      </c>
      <c r="C2808" s="16" t="n">
        <v>45946</v>
      </c>
      <c r="D2808" s="13" t="s">
        <v>5892</v>
      </c>
      <c r="E2808" s="15" t="s">
        <v>536</v>
      </c>
      <c r="F2808" s="24" t="s">
        <v>11896</v>
      </c>
      <c r="G2808" s="28" t="s">
        <v>57</v>
      </c>
      <c r="H2808" s="13" t="s">
        <v>35</v>
      </c>
      <c r="I2808" s="13" t="str">
        <f aca="false">IF(C2808=J2808,"NEW KONTRAK","RE-KONTRAK")</f>
        <v>NEW KONTRAK</v>
      </c>
      <c r="J2808" s="16" t="n">
        <f aca="false" t="array" ref="J2808:J2808">IFERROR(INDEX(AC2808:AE2808,IF(COUNTA(AC2808:AE2808)=0,"",MAX((AC2808:AE2808&lt;&gt;"")*(COLUMN(AC2808:AE2808)-(COLUMN(AC2808)))))-1),"")</f>
        <v>45946</v>
      </c>
      <c r="K2808" s="16" t="n">
        <f aca="false" t="array" ref="K2808:K2808">IFERROR(INDEX(AC2808:AE2808,IF(COUNTA(AC2808:AE2808)=0,"",MAX((AC2808:AE2808&lt;&gt;"")*(COLUMN(AC2808:AE2808)-(COLUMN(AC2808)-1))))-1),"")</f>
        <v>46037</v>
      </c>
      <c r="L2808" s="17" t="str">
        <f aca="false" t="array" ref="L2808:L2808">IFERROR(INDEX(AC2808:AE2808,IF(COUNTA(AC2808:AE2808)=0,"",MAX((AC2808:AE2808&lt;&gt;"")*(COLUMN(AC2808:AE2808)-(COLUMN(AC2808)-2))))-1),"")</f>
        <v>ARCHIVED</v>
      </c>
      <c r="M2808" s="13" t="n">
        <f aca="true">K2808-TODAY()</f>
        <v>-287</v>
      </c>
      <c r="N2808" s="18" t="s">
        <v>105</v>
      </c>
      <c r="O2808" s="13" t="s">
        <v>719</v>
      </c>
      <c r="P2808" s="19" t="n">
        <v>100000</v>
      </c>
      <c r="Q2808" s="47" t="s">
        <v>11897</v>
      </c>
      <c r="R2808" s="13" t="s">
        <v>39</v>
      </c>
      <c r="S2808" s="14" t="n">
        <v>38227</v>
      </c>
      <c r="T2808" s="28" t="s">
        <v>40</v>
      </c>
      <c r="U2808" s="13" t="s">
        <v>11898</v>
      </c>
      <c r="V2808" s="13" t="s">
        <v>42</v>
      </c>
      <c r="W2808" s="13" t="s">
        <v>43</v>
      </c>
      <c r="X2808" s="21" t="n">
        <v>82231382350</v>
      </c>
      <c r="Y2808" s="22" t="str">
        <f aca="false">O2808</f>
        <v>Cleaning Service</v>
      </c>
      <c r="Z2808" s="13" t="str">
        <f aca="false">IFERROR(__xludf.dummyfunction("if(BJ2808="""","""",GOOGLETRANSLATE(BJ2808,""auto"",""en""))"),"Cleaning Service")</f>
        <v>Cleaning Service</v>
      </c>
      <c r="AA2808" s="23" t="str">
        <f aca="false">IF(C2808="","", CHOOSE(MONTH(C2808),"January","February","March","April","May","June","July","August","September","October","November","December")&amp;" "&amp;DAY(C2808)&amp;MID("thstndrdth",MIN(9,2*RIGHT(DAY(C2808))*(MOD(DAY(C2808)-11,100)&gt;2)+1),2)&amp;","&amp;TEXT(C2808," yyyy"))</f>
        <v>October 16th,2025</v>
      </c>
      <c r="AB2808" s="15" t="str">
        <f aca="true">IF(S2808="","",DATEDIF(S2808,TODAY(),"Y")&amp;" Tahun, "&amp;DATEDIF(S2808,TODAY(),"YM")&amp;" Bulan, "&amp;DATEDIF(S2808,TODAY(),"MD")&amp;" Hari")</f>
        <v>22 Tahun, 2 Bulan, 1 Hari</v>
      </c>
      <c r="AC2808" s="18" t="n">
        <v>45946</v>
      </c>
      <c r="AD2808" s="18" t="n">
        <f aca="false">EDATE(AC2808,3)-1</f>
        <v>46037</v>
      </c>
      <c r="AE2808" s="13" t="s">
        <v>44</v>
      </c>
    </row>
    <row r="2809" customFormat="false" ht="15" hidden="false" customHeight="true" outlineLevel="0" collapsed="false">
      <c r="A2809" s="12" t="n">
        <v>20294</v>
      </c>
      <c r="B2809" s="13" t="s">
        <v>11899</v>
      </c>
      <c r="C2809" s="16" t="n">
        <v>45870</v>
      </c>
      <c r="D2809" s="13" t="s">
        <v>2033</v>
      </c>
      <c r="E2809" s="15" t="s">
        <v>47</v>
      </c>
      <c r="F2809" s="15" t="str">
        <f aca="false">IFERROR(__xludf.dummyfunction("XLOOKUP(AJ2809,IMPORTRANGE(""1XaInW9DU9nz21V0tYIfzFQ0He9kVQ_JF2mCXgZ3hqFA"",""REKAP ALL 2026 - Andika!G:G""),IMPORTRANGE(""1XaInW9DU9nz21V0tYIfzFQ0He9kVQ_JF2mCXgZ3hqFA"",""REKAP ALL 2026 - Andika!F:F""),"""",0)"),"25115947985")</f>
        <v>25115947985</v>
      </c>
      <c r="G2809" s="13" t="s">
        <v>11900</v>
      </c>
      <c r="H2809" s="13" t="s">
        <v>2035</v>
      </c>
      <c r="I2809" s="13" t="str">
        <f aca="false">IF(C2809=J2809,"NEW KONTRAK","RE-KONTRAK")</f>
        <v>NEW KONTRAK</v>
      </c>
      <c r="J2809" s="16" t="n">
        <f aca="false" t="array" ref="J2809:J2809">IFERROR(INDEX(AC2809:AE2809,IF(COUNTA(AC2809:AE2809)=0,"",MAX((AC2809:AE2809&lt;&gt;"")*(COLUMN(AC2809:AE2809)-(COLUMN(AC2809)))))-1),"")</f>
        <v>45870</v>
      </c>
      <c r="K2809" s="16" t="n">
        <f aca="false" t="array" ref="K2809:K2809">IFERROR(INDEX(AC2809:AE2809,IF(COUNTA(AC2809:AE2809)=0,"",MAX((AC2809:AE2809&lt;&gt;"")*(COLUMN(AC2809:AE2809)-(COLUMN(AC2809)-1))))-1),"")</f>
        <v>45914</v>
      </c>
      <c r="L2809" s="17" t="str">
        <f aca="false" t="array" ref="L2809:L2809">IFERROR(INDEX(AC2809:AE2809,IF(COUNTA(AC2809:AE2809)=0,"",MAX((AC2809:AE2809&lt;&gt;"")*(COLUMN(AC2809:AE2809)-(COLUMN(AC2809)-2))))-1),"")</f>
        <v>ARCHIVED</v>
      </c>
      <c r="M2809" s="13" t="n">
        <f aca="true">K2809-TODAY()</f>
        <v>-410</v>
      </c>
      <c r="N2809" s="68" t="s">
        <v>2390</v>
      </c>
      <c r="O2809" s="13" t="s">
        <v>2037</v>
      </c>
      <c r="P2809" s="19" t="n">
        <v>4192837</v>
      </c>
      <c r="Q2809" s="20" t="s">
        <v>11901</v>
      </c>
      <c r="R2809" s="13" t="s">
        <v>2390</v>
      </c>
      <c r="S2809" s="16" t="n">
        <v>36834</v>
      </c>
      <c r="T2809" s="13" t="s">
        <v>108</v>
      </c>
      <c r="U2809" s="13" t="s">
        <v>11902</v>
      </c>
      <c r="V2809" s="13" t="s">
        <v>42</v>
      </c>
      <c r="W2809" s="13" t="s">
        <v>43</v>
      </c>
      <c r="X2809" s="21" t="n">
        <v>887437252807</v>
      </c>
      <c r="Y2809" s="22" t="str">
        <f aca="false">O2809</f>
        <v>SPG/BA</v>
      </c>
      <c r="Z2809" s="13" t="str">
        <f aca="false">IFERROR(__xludf.dummyfunction("if(BJ2809="""","""",GOOGLETRANSLATE(BJ2809,""auto"",""en""))"),"SPG/BA")</f>
        <v>SPG/BA</v>
      </c>
      <c r="AA2809" s="23" t="str">
        <f aca="false">IF(C2809="","", CHOOSE(MONTH(C2809),"January","February","March","April","May","June","July","August","September","October","November","December")&amp;" "&amp;DAY(C2809)&amp;MID("thstndrdth",MIN(9,2*RIGHT(DAY(C2809))*(MOD(DAY(C2809)-11,100)&gt;2)+1),2)&amp;","&amp;TEXT(C2809," yyyy"))</f>
        <v>August 1st,2025</v>
      </c>
      <c r="AB2809" s="15" t="str">
        <f aca="true">IF(S2809="","",DATEDIF(S2809,TODAY(),"Y")&amp;" Tahun, "&amp;DATEDIF(S2809,TODAY(),"YM")&amp;" Bulan, "&amp;DATEDIF(S2809,TODAY(),"MD")&amp;" Hari")</f>
        <v>25 Tahun, 11 Bulan, 25 Hari</v>
      </c>
      <c r="AC2809" s="18" t="n">
        <v>45870</v>
      </c>
      <c r="AD2809" s="18" t="n">
        <v>45914</v>
      </c>
      <c r="AE2809" s="18" t="s">
        <v>44</v>
      </c>
    </row>
    <row r="2810" customFormat="false" ht="15" hidden="false" customHeight="true" outlineLevel="0" collapsed="false">
      <c r="A2810" s="12" t="n">
        <v>21043</v>
      </c>
      <c r="B2810" s="13" t="s">
        <v>11903</v>
      </c>
      <c r="C2810" s="16" t="n">
        <v>45931</v>
      </c>
      <c r="D2810" s="13" t="s">
        <v>2033</v>
      </c>
      <c r="E2810" s="15" t="s">
        <v>33</v>
      </c>
      <c r="F2810" s="24" t="s">
        <v>11904</v>
      </c>
      <c r="G2810" s="13" t="s">
        <v>1127</v>
      </c>
      <c r="H2810" s="13" t="s">
        <v>35</v>
      </c>
      <c r="I2810" s="13" t="str">
        <f aca="false">IF(C2810=J2810,"NEW KONTRAK","RE-KONTRAK")</f>
        <v>NEW KONTRAK</v>
      </c>
      <c r="J2810" s="16" t="n">
        <f aca="false" t="array" ref="J2810:J2810">IFERROR(INDEX(AC2810:AE2810,IF(COUNTA(AC2810:AE2810)=0,"",MAX((AC2810:AE2810&lt;&gt;"")*(COLUMN(AC2810:AE2810)-(COLUMN(AC2810)))))-1),"")</f>
        <v>45931</v>
      </c>
      <c r="K2810" s="16" t="n">
        <f aca="false" t="array" ref="K2810:K2810">IFERROR(INDEX(AC2810:AE2810,IF(COUNTA(AC2810:AE2810)=0,"",MAX((AC2810:AE2810&lt;&gt;"")*(COLUMN(AC2810:AE2810)-(COLUMN(AC2810)-1))))-1),"")</f>
        <v>46037</v>
      </c>
      <c r="L2810" s="17" t="str">
        <f aca="false" t="array" ref="L2810:L2810">IFERROR(INDEX(AC2810:AE2810,IF(COUNTA(AC2810:AE2810)=0,"",MAX((AC2810:AE2810&lt;&gt;"")*(COLUMN(AC2810:AE2810)-(COLUMN(AC2810)-2))))-1),"")</f>
        <v>ARCHIVED</v>
      </c>
      <c r="M2810" s="13" t="n">
        <f aca="true">K2810-TODAY()</f>
        <v>-287</v>
      </c>
      <c r="N2810" s="18" t="s">
        <v>2363</v>
      </c>
      <c r="O2810" s="13" t="s">
        <v>2037</v>
      </c>
      <c r="P2810" s="19" t="n">
        <v>4014072</v>
      </c>
      <c r="Q2810" s="47" t="s">
        <v>11905</v>
      </c>
      <c r="R2810" s="13" t="s">
        <v>2363</v>
      </c>
      <c r="S2810" s="14" t="n">
        <v>38543</v>
      </c>
      <c r="T2810" s="13" t="s">
        <v>108</v>
      </c>
      <c r="U2810" s="13" t="s">
        <v>11906</v>
      </c>
      <c r="V2810" s="13" t="s">
        <v>42</v>
      </c>
      <c r="W2810" s="13" t="s">
        <v>43</v>
      </c>
      <c r="X2810" s="21" t="s">
        <v>11907</v>
      </c>
      <c r="Y2810" s="22" t="str">
        <f aca="false">O2810</f>
        <v>SPG/BA</v>
      </c>
      <c r="Z2810" s="13" t="str">
        <f aca="false">IFERROR(__xludf.dummyfunction("if(BJ2810="""","""",GOOGLETRANSLATE(BJ2810,""auto"",""en""))"),"SPG/BA")</f>
        <v>SPG/BA</v>
      </c>
      <c r="AA2810" s="23" t="str">
        <f aca="false">IF(C2810="","", CHOOSE(MONTH(C2810),"January","February","March","April","May","June","July","August","September","October","November","December")&amp;" "&amp;DAY(C2810)&amp;MID("thstndrdth",MIN(9,2*RIGHT(DAY(C2810))*(MOD(DAY(C2810)-11,100)&gt;2)+1),2)&amp;","&amp;TEXT(C2810," yyyy"))</f>
        <v>October 1st,2025</v>
      </c>
      <c r="AB2810" s="15" t="str">
        <f aca="true">IF(S2810="","",DATEDIF(S2810,TODAY(),"Y")&amp;" Tahun, "&amp;DATEDIF(S2810,TODAY(),"YM")&amp;" Bulan, "&amp;DATEDIF(S2810,TODAY(),"MD")&amp;" Hari")</f>
        <v>21 Tahun, 3 Bulan, 19 Hari</v>
      </c>
      <c r="AC2810" s="18" t="n">
        <v>45931</v>
      </c>
      <c r="AD2810" s="18" t="n">
        <v>46037</v>
      </c>
      <c r="AE2810" s="13" t="s">
        <v>44</v>
      </c>
    </row>
    <row r="2811" customFormat="false" ht="15" hidden="false" customHeight="true" outlineLevel="0" collapsed="false">
      <c r="A2811" s="12" t="n">
        <v>21044</v>
      </c>
      <c r="B2811" s="13" t="s">
        <v>11908</v>
      </c>
      <c r="C2811" s="16" t="n">
        <v>45931</v>
      </c>
      <c r="D2811" s="13" t="s">
        <v>2033</v>
      </c>
      <c r="E2811" s="15" t="s">
        <v>102</v>
      </c>
      <c r="F2811" s="24" t="s">
        <v>11909</v>
      </c>
      <c r="G2811" s="13" t="s">
        <v>1127</v>
      </c>
      <c r="H2811" s="13" t="s">
        <v>35</v>
      </c>
      <c r="I2811" s="13" t="str">
        <f aca="false">IF(C2811=J2811,"NEW KONTRAK","RE-KONTRAK")</f>
        <v>NEW KONTRAK</v>
      </c>
      <c r="J2811" s="16" t="n">
        <f aca="false" t="array" ref="J2811:J2811">IFERROR(INDEX(AC2811:AE2811,IF(COUNTA(AC2811:AE2811)=0,"",MAX((AC2811:AE2811&lt;&gt;"")*(COLUMN(AC2811:AE2811)-(COLUMN(AC2811)))))-1),"")</f>
        <v>45931</v>
      </c>
      <c r="K2811" s="16" t="n">
        <f aca="false" t="array" ref="K2811:K2811">IFERROR(INDEX(AC2811:AE2811,IF(COUNTA(AC2811:AE2811)=0,"",MAX((AC2811:AE2811&lt;&gt;"")*(COLUMN(AC2811:AE2811)-(COLUMN(AC2811)-1))))-1),"")</f>
        <v>46037</v>
      </c>
      <c r="L2811" s="17" t="str">
        <f aca="false" t="array" ref="L2811:L2811">IFERROR(INDEX(AC2811:AE2811,IF(COUNTA(AC2811:AE2811)=0,"",MAX((AC2811:AE2811&lt;&gt;"")*(COLUMN(AC2811:AE2811)-(COLUMN(AC2811)-2))))-1),"")</f>
        <v>ARCHIVED</v>
      </c>
      <c r="M2811" s="13" t="n">
        <f aca="true">K2811-TODAY()</f>
        <v>-287</v>
      </c>
      <c r="N2811" s="18" t="s">
        <v>2363</v>
      </c>
      <c r="O2811" s="13" t="s">
        <v>2037</v>
      </c>
      <c r="P2811" s="19" t="n">
        <v>4014072</v>
      </c>
      <c r="Q2811" s="47" t="s">
        <v>11910</v>
      </c>
      <c r="R2811" s="13" t="s">
        <v>2363</v>
      </c>
      <c r="S2811" s="14" t="n">
        <v>37279</v>
      </c>
      <c r="T2811" s="13" t="s">
        <v>108</v>
      </c>
      <c r="U2811" s="13" t="s">
        <v>11911</v>
      </c>
      <c r="V2811" s="13" t="s">
        <v>42</v>
      </c>
      <c r="W2811" s="13" t="s">
        <v>43</v>
      </c>
      <c r="X2811" s="21" t="s">
        <v>11912</v>
      </c>
      <c r="Y2811" s="22" t="str">
        <f aca="false">O2811</f>
        <v>SPG/BA</v>
      </c>
      <c r="Z2811" s="13" t="str">
        <f aca="false">IFERROR(__xludf.dummyfunction("if(BJ2811="""","""",GOOGLETRANSLATE(BJ2811,""auto"",""en""))"),"SPG/BA")</f>
        <v>SPG/BA</v>
      </c>
      <c r="AA2811" s="23" t="str">
        <f aca="false">IF(C2811="","", CHOOSE(MONTH(C2811),"January","February","March","April","May","June","July","August","September","October","November","December")&amp;" "&amp;DAY(C2811)&amp;MID("thstndrdth",MIN(9,2*RIGHT(DAY(C2811))*(MOD(DAY(C2811)-11,100)&gt;2)+1),2)&amp;","&amp;TEXT(C2811," yyyy"))</f>
        <v>October 1st,2025</v>
      </c>
      <c r="AB2811" s="15" t="str">
        <f aca="true">IF(S2811="","",DATEDIF(S2811,TODAY(),"Y")&amp;" Tahun, "&amp;DATEDIF(S2811,TODAY(),"YM")&amp;" Bulan, "&amp;DATEDIF(S2811,TODAY(),"MD")&amp;" Hari")</f>
        <v>24 Tahun, 9 Bulan, 6 Hari</v>
      </c>
      <c r="AC2811" s="18" t="n">
        <v>45931</v>
      </c>
      <c r="AD2811" s="18" t="n">
        <v>46037</v>
      </c>
      <c r="AE2811" s="13" t="s">
        <v>44</v>
      </c>
    </row>
    <row r="2812" customFormat="false" ht="15" hidden="false" customHeight="true" outlineLevel="0" collapsed="false">
      <c r="A2812" s="12" t="n">
        <v>9930</v>
      </c>
      <c r="B2812" s="13" t="s">
        <v>11913</v>
      </c>
      <c r="C2812" s="14" t="n">
        <v>44944</v>
      </c>
      <c r="D2812" s="13" t="s">
        <v>2033</v>
      </c>
      <c r="E2812" s="15" t="s">
        <v>47</v>
      </c>
      <c r="F2812" s="15" t="str">
        <f aca="false">IFERROR(__xludf.dummyfunction("XLOOKUP(AJ2812,IMPORTRANGE(""1XaInW9DU9nz21V0tYIfzFQ0He9kVQ_JF2mCXgZ3hqFA"",""REKAP ALL 2026 - Andika!G:G""),IMPORTRANGE(""1XaInW9DU9nz21V0tYIfzFQ0He9kVQ_JF2mCXgZ3hqFA"",""REKAP ALL 2026 - Andika!F:F""),"""",0)"),"23019105479")</f>
        <v>23019105479</v>
      </c>
      <c r="G2812" s="13" t="s">
        <v>11914</v>
      </c>
      <c r="H2812" s="13" t="s">
        <v>2035</v>
      </c>
      <c r="I2812" s="13" t="str">
        <f aca="false">IF(C2812=J2812,"NEW KONTRAK","RE-KONTRAK")</f>
        <v>RE-KONTRAK</v>
      </c>
      <c r="J2812" s="16" t="n">
        <f aca="false" t="array" ref="J2812:J2812">IFERROR(INDEX(AC2812:AE2812,IF(COUNTA(AC2812:AE2812)=0,"",MAX((AC2812:AE2812&lt;&gt;"")*(COLUMN(AC2812:AE2812)-(COLUMN(AC2812)))))-1),"")</f>
        <v>45744</v>
      </c>
      <c r="K2812" s="16" t="n">
        <f aca="false" t="array" ref="K2812:K2812">IFERROR(INDEX(AC2812:AE2812,IF(COUNTA(AC2812:AE2812)=0,"",MAX((AC2812:AE2812&lt;&gt;"")*(COLUMN(AC2812:AE2812)-(COLUMN(AC2812)-1))))-1),"")</f>
        <v>45915</v>
      </c>
      <c r="L2812" s="17" t="str">
        <f aca="false" t="array" ref="L2812:L2812">IFERROR(INDEX(AC2812:AE2812,IF(COUNTA(AC2812:AE2812)=0,"",MAX((AC2812:AE2812&lt;&gt;"")*(COLUMN(AC2812:AE2812)-(COLUMN(AC2812)-2))))-1),"")</f>
        <v>ARCHIVED</v>
      </c>
      <c r="M2812" s="13" t="n">
        <f aca="true">K2812-TODAY()</f>
        <v>-409</v>
      </c>
      <c r="N2812" s="18" t="s">
        <v>2356</v>
      </c>
      <c r="O2812" s="13" t="s">
        <v>2037</v>
      </c>
      <c r="P2812" s="19" t="n">
        <v>4148179</v>
      </c>
      <c r="Q2812" s="20" t="s">
        <v>11915</v>
      </c>
      <c r="R2812" s="13" t="s">
        <v>11916</v>
      </c>
      <c r="S2812" s="14" t="n">
        <v>33539</v>
      </c>
      <c r="T2812" s="13" t="s">
        <v>108</v>
      </c>
      <c r="U2812" s="13" t="s">
        <v>11917</v>
      </c>
      <c r="V2812" s="13" t="s">
        <v>42</v>
      </c>
      <c r="W2812" s="13" t="s">
        <v>897</v>
      </c>
      <c r="X2812" s="21" t="n">
        <v>82210866667</v>
      </c>
      <c r="Y2812" s="22" t="str">
        <f aca="false">O2812</f>
        <v>SPG/BA</v>
      </c>
      <c r="Z2812" s="13" t="str">
        <f aca="false">IFERROR(__xludf.dummyfunction("if(BJ2812="""","""",GOOGLETRANSLATE(BJ2812,""auto"",""en""))"),"SPG/BA")</f>
        <v>SPG/BA</v>
      </c>
      <c r="AA2812" s="23" t="str">
        <f aca="false">IF(C2812="","", CHOOSE(MONTH(C2812),"January","February","March","April","May","June","July","August","September","October","November","December")&amp;" "&amp;DAY(C2812)&amp;MID("thstndrdth",MIN(9,2*RIGHT(DAY(C2812))*(MOD(DAY(C2812)-11,100)&gt;2)+1),2)&amp;","&amp;TEXT(C2812," yyyy"))</f>
        <v>January 18th,2023</v>
      </c>
      <c r="AB2812" s="15" t="str">
        <f aca="true">IF(S2812="","",DATEDIF(S2812,TODAY(),"Y")&amp;" Tahun, "&amp;DATEDIF(S2812,TODAY(),"YM")&amp;" Bulan, "&amp;DATEDIF(S2812,TODAY(),"MD")&amp;" Hari")</f>
        <v>35 Tahun, 0 Bulan, 1 Hari</v>
      </c>
      <c r="AC2812" s="18" t="n">
        <v>45744</v>
      </c>
      <c r="AD2812" s="18" t="n">
        <v>45915</v>
      </c>
      <c r="AE2812" s="18" t="s">
        <v>44</v>
      </c>
    </row>
    <row r="2813" customFormat="false" ht="15" hidden="false" customHeight="true" outlineLevel="0" collapsed="false">
      <c r="A2813" s="12" t="n">
        <v>21872</v>
      </c>
      <c r="B2813" s="13" t="s">
        <v>11918</v>
      </c>
      <c r="C2813" s="16" t="n">
        <v>46059</v>
      </c>
      <c r="D2813" s="13" t="s">
        <v>2033</v>
      </c>
      <c r="E2813" s="15" t="s">
        <v>47</v>
      </c>
      <c r="F2813" s="15" t="str">
        <f aca="false">IFERROR(__xludf.dummyfunction("XLOOKUP(AJ2813,IMPORTRANGE(""1XaInW9DU9nz21V0tYIfzFQ0He9kVQ_JF2mCXgZ3hqFA"",""REKAP ALL 2026 - Andika!G:G""),IMPORTRANGE(""1XaInW9DU9nz21V0tYIfzFQ0He9kVQ_JF2mCXgZ3hqFA"",""REKAP ALL 2026 - Andika!F:F""),"""",0)"),"26035115885")</f>
        <v>26035115885</v>
      </c>
      <c r="G2813" s="13" t="s">
        <v>1127</v>
      </c>
      <c r="H2813" s="13" t="s">
        <v>35</v>
      </c>
      <c r="I2813" s="13" t="str">
        <f aca="false">IF(C2813=J2813,"NEW KONTRAK","RE-KONTRAK")</f>
        <v>NEW KONTRAK</v>
      </c>
      <c r="J2813" s="16" t="n">
        <f aca="false" t="array" ref="J2813:J2813">IFERROR(INDEX(AC2813:AE2813,IF(COUNTA(AC2813:AE2813)=0,"",MAX((AC2813:AE2813&lt;&gt;"")*(COLUMN(AC2813:AE2813)-(COLUMN(AC2813)))))-1),"")</f>
        <v>46059</v>
      </c>
      <c r="K2813" s="16" t="n">
        <f aca="false" t="array" ref="K2813:K2813">IFERROR(INDEX(AC2813:AE2813,IF(COUNTA(AC2813:AE2813)=0,"",MAX((AC2813:AE2813&lt;&gt;"")*(COLUMN(AC2813:AE2813)-(COLUMN(AC2813)-1))))-1),"")</f>
        <v>46188</v>
      </c>
      <c r="L2813" s="17" t="str">
        <f aca="false" t="array" ref="L2813:L2813">IFERROR(INDEX(AC2813:AE2813,IF(COUNTA(AC2813:AE2813)=0,"",MAX((AC2813:AE2813&lt;&gt;"")*(COLUMN(AC2813:AE2813)-(COLUMN(AC2813)-2))))-1),"")</f>
        <v>KEMBALI</v>
      </c>
      <c r="M2813" s="13" t="n">
        <f aca="true">K2813-TODAY()</f>
        <v>-136</v>
      </c>
      <c r="N2813" s="18" t="s">
        <v>2369</v>
      </c>
      <c r="O2813" s="13" t="s">
        <v>2037</v>
      </c>
      <c r="P2813" s="19" t="n">
        <v>3516070</v>
      </c>
      <c r="Q2813" s="47" t="s">
        <v>11919</v>
      </c>
      <c r="R2813" s="13" t="s">
        <v>11920</v>
      </c>
      <c r="S2813" s="16" t="n">
        <v>37217</v>
      </c>
      <c r="T2813" s="13" t="s">
        <v>108</v>
      </c>
      <c r="U2813" s="13" t="s">
        <v>11921</v>
      </c>
      <c r="V2813" s="13" t="s">
        <v>42</v>
      </c>
      <c r="W2813" s="13" t="s">
        <v>54</v>
      </c>
      <c r="X2813" s="13" t="s">
        <v>11922</v>
      </c>
      <c r="Y2813" s="22" t="str">
        <f aca="false">O2813</f>
        <v>SPG/BA</v>
      </c>
      <c r="Z2813" s="13" t="str">
        <f aca="false">IFERROR(__xludf.dummyfunction("if(BJ2813="""","""",GOOGLETRANSLATE(BJ2813,""auto"",""en""))"),"SPG/BA")</f>
        <v>SPG/BA</v>
      </c>
      <c r="AA2813" s="23" t="str">
        <f aca="false">IF(C2813="","", CHOOSE(MONTH(C2813),"January","February","March","April","May","June","July","August","September","October","November","December")&amp;" "&amp;DAY(C2813)&amp;MID("thstndrdth",MIN(9,2*RIGHT(DAY(C2813))*(MOD(DAY(C2813)-11,100)&gt;2)+1),2)&amp;","&amp;TEXT(C2813," yyyy"))</f>
        <v>February 6th,2026</v>
      </c>
      <c r="AB2813" s="15" t="str">
        <f aca="true">IF(S2813="","",DATEDIF(S2813,TODAY(),"Y")&amp;" Tahun, "&amp;DATEDIF(S2813,TODAY(),"YM")&amp;" Bulan, "&amp;DATEDIF(S2813,TODAY(),"MD")&amp;" Hari")</f>
        <v>24 Tahun, 11 Bulan, 7 Hari</v>
      </c>
      <c r="AC2813" s="18" t="n">
        <v>46059</v>
      </c>
      <c r="AD2813" s="18" t="n">
        <v>46188</v>
      </c>
      <c r="AE2813" s="13" t="s">
        <v>397</v>
      </c>
    </row>
    <row r="2814" customFormat="false" ht="14.25" hidden="false" customHeight="true" outlineLevel="0" collapsed="false">
      <c r="A2814" s="12" t="n">
        <v>19676</v>
      </c>
      <c r="B2814" s="13" t="s">
        <v>11923</v>
      </c>
      <c r="C2814" s="16" t="n">
        <v>45778</v>
      </c>
      <c r="D2814" s="13" t="s">
        <v>2033</v>
      </c>
      <c r="E2814" s="15" t="s">
        <v>47</v>
      </c>
      <c r="F2814" s="15" t="str">
        <f aca="false">IFERROR(__xludf.dummyfunction("XLOOKUP(AJ2814,IMPORTRANGE(""1XaInW9DU9nz21V0tYIfzFQ0He9kVQ_JF2mCXgZ3hqFA"",""REKAP ALL 2026 - Andika!G:G""),IMPORTRANGE(""1XaInW9DU9nz21V0tYIfzFQ0He9kVQ_JF2mCXgZ3hqFA"",""REKAP ALL 2026 - Andika!F:F""),"""",0)"),"25012924541")</f>
        <v>25012924541</v>
      </c>
      <c r="G2814" s="13" t="s">
        <v>11924</v>
      </c>
      <c r="H2814" s="13" t="s">
        <v>2035</v>
      </c>
      <c r="I2814" s="13" t="str">
        <f aca="false">IF(C2814=J2814,"NEW KONTRAK","RE-KONTRAK")</f>
        <v>NEW KONTRAK</v>
      </c>
      <c r="J2814" s="16" t="n">
        <f aca="false" t="array" ref="J2814:J2814">IFERROR(INDEX(AC2814:AE2814,IF(COUNTA(AC2814:AE2814)=0,"",MAX((AC2814:AE2814&lt;&gt;"")*(COLUMN(AC2814:AE2814)-(COLUMN(AC2814)))))-1),"")</f>
        <v>45778</v>
      </c>
      <c r="K2814" s="16" t="n">
        <f aca="false" t="array" ref="K2814:K2814">IFERROR(INDEX(AC2814:AE2814,IF(COUNTA(AC2814:AE2814)=0,"",MAX((AC2814:AE2814&lt;&gt;"")*(COLUMN(AC2814:AE2814)-(COLUMN(AC2814)-1))))-1),"")</f>
        <v>45915</v>
      </c>
      <c r="L2814" s="17" t="str">
        <f aca="false" t="array" ref="L2814:L2814">IFERROR(INDEX(AC2814:AE2814,IF(COUNTA(AC2814:AE2814)=0,"",MAX((AC2814:AE2814&lt;&gt;"")*(COLUMN(AC2814:AE2814)-(COLUMN(AC2814)-2))))-1),"")</f>
        <v>ARCHIVED</v>
      </c>
      <c r="M2814" s="13" t="n">
        <f aca="true">K2814-TODAY()</f>
        <v>-409</v>
      </c>
      <c r="N2814" s="18" t="s">
        <v>4498</v>
      </c>
      <c r="O2814" s="13" t="s">
        <v>2037</v>
      </c>
      <c r="P2814" s="19" t="n">
        <v>2633700</v>
      </c>
      <c r="Q2814" s="20" t="s">
        <v>11925</v>
      </c>
      <c r="R2814" s="13" t="s">
        <v>4498</v>
      </c>
      <c r="S2814" s="16" t="n">
        <v>37119</v>
      </c>
      <c r="T2814" s="13" t="s">
        <v>108</v>
      </c>
      <c r="U2814" s="13" t="s">
        <v>11926</v>
      </c>
      <c r="V2814" s="13" t="s">
        <v>42</v>
      </c>
      <c r="W2814" s="13" t="s">
        <v>54</v>
      </c>
      <c r="X2814" s="21" t="n">
        <v>82313176233</v>
      </c>
      <c r="Y2814" s="22" t="str">
        <f aca="false">O2814</f>
        <v>SPG/BA</v>
      </c>
      <c r="Z2814" s="13" t="str">
        <f aca="false">IFERROR(__xludf.dummyfunction("if(BJ2814="""","""",GOOGLETRANSLATE(BJ2814,""auto"",""en""))"),"SPG/BA")</f>
        <v>SPG/BA</v>
      </c>
      <c r="AA2814" s="23" t="str">
        <f aca="false">IF(C2814="","", CHOOSE(MONTH(C2814),"January","February","March","April","May","June","July","August","September","October","November","December")&amp;" "&amp;DAY(C2814)&amp;MID("thstndrdth",MIN(9,2*RIGHT(DAY(C2814))*(MOD(DAY(C2814)-11,100)&gt;2)+1),2)&amp;","&amp;TEXT(C2814," yyyy"))</f>
        <v>May 1st,2025</v>
      </c>
      <c r="AB2814" s="15" t="str">
        <f aca="true">IF(S2814="","",DATEDIF(S2814,TODAY(),"Y")&amp;" Tahun, "&amp;DATEDIF(S2814,TODAY(),"YM")&amp;" Bulan, "&amp;DATEDIF(S2814,TODAY(),"MD")&amp;" Hari")</f>
        <v>25 Tahun, 2 Bulan, 13 Hari</v>
      </c>
      <c r="AC2814" s="18" t="n">
        <v>45778</v>
      </c>
      <c r="AD2814" s="18" t="n">
        <v>45915</v>
      </c>
      <c r="AE2814" s="18" t="s">
        <v>44</v>
      </c>
    </row>
    <row r="2815" customFormat="false" ht="15" hidden="false" customHeight="true" outlineLevel="0" collapsed="false">
      <c r="A2815" s="12" t="n">
        <v>21048</v>
      </c>
      <c r="B2815" s="13" t="s">
        <v>11927</v>
      </c>
      <c r="C2815" s="16" t="n">
        <v>45945</v>
      </c>
      <c r="D2815" s="13" t="s">
        <v>8980</v>
      </c>
      <c r="E2815" s="15" t="s">
        <v>102</v>
      </c>
      <c r="F2815" s="15" t="str">
        <f aca="false">IFERROR(__xludf.dummyfunction("XLOOKUP(AJ2815,IMPORTRANGE(""1XaInW9DU9nz21V0tYIfzFQ0He9kVQ_JF2mCXgZ3hqFA"",""REKAP ALL 2026 - Andika!G:G""),IMPORTRANGE(""1XaInW9DU9nz21V0tYIfzFQ0He9kVQ_JF2mCXgZ3hqFA"",""REKAP ALL 2026 - Andika!F:F""),"""",0)"),"25157579332")</f>
        <v>25157579332</v>
      </c>
      <c r="G2815" s="13" t="s">
        <v>1127</v>
      </c>
      <c r="H2815" s="13" t="s">
        <v>35</v>
      </c>
      <c r="I2815" s="13" t="str">
        <f aca="false">IF(C2815=J2815,"NEW KONTRAK","RE-KONTRAK")</f>
        <v>NEW KONTRAK</v>
      </c>
      <c r="J2815" s="16" t="n">
        <f aca="false" t="array" ref="J2815:J2815">IFERROR(INDEX(AC2815:AE2815,IF(COUNTA(AC2815:AE2815)=0,"",MAX((AC2815:AE2815&lt;&gt;"")*(COLUMN(AC2815:AE2815)-(COLUMN(AC2815)))))-1),"")</f>
        <v>45945</v>
      </c>
      <c r="K2815" s="16" t="n">
        <f aca="false" t="array" ref="K2815:K2815">IFERROR(INDEX(AC2815:AE2815,IF(COUNTA(AC2815:AE2815)=0,"",MAX((AC2815:AE2815&lt;&gt;"")*(COLUMN(AC2815:AE2815)-(COLUMN(AC2815)-1))))-1),"")</f>
        <v>46036</v>
      </c>
      <c r="L2815" s="17" t="str">
        <f aca="false" t="array" ref="L2815:L2815">IFERROR(INDEX(AC2815:AE2815,IF(COUNTA(AC2815:AE2815)=0,"",MAX((AC2815:AE2815&lt;&gt;"")*(COLUMN(AC2815:AE2815)-(COLUMN(AC2815)-2))))-1),"")</f>
        <v>ARCHIVED</v>
      </c>
      <c r="M2815" s="13" t="n">
        <f aca="true">K2815-TODAY()</f>
        <v>-288</v>
      </c>
      <c r="N2815" s="18" t="s">
        <v>8982</v>
      </c>
      <c r="O2815" s="13" t="s">
        <v>9796</v>
      </c>
      <c r="P2815" s="19" t="n">
        <v>4000000</v>
      </c>
      <c r="Q2815" s="47" t="s">
        <v>11928</v>
      </c>
      <c r="R2815" s="13" t="s">
        <v>826</v>
      </c>
      <c r="S2815" s="14" t="n">
        <v>37431</v>
      </c>
      <c r="T2815" s="28" t="s">
        <v>40</v>
      </c>
      <c r="U2815" s="13" t="s">
        <v>11929</v>
      </c>
      <c r="V2815" s="13" t="s">
        <v>42</v>
      </c>
      <c r="W2815" s="13" t="s">
        <v>43</v>
      </c>
      <c r="X2815" s="21" t="n">
        <v>85141028040</v>
      </c>
      <c r="Y2815" s="22" t="str">
        <f aca="false">O2815</f>
        <v>Kepala SPBU</v>
      </c>
      <c r="Z2815" s="13" t="str">
        <f aca="false">IFERROR(__xludf.dummyfunction("if(BJ2815="""","""",GOOGLETRANSLATE(BJ2815,""auto"",""en""))"),"Head of gas station")</f>
        <v>Head of gas station</v>
      </c>
      <c r="AA2815" s="23" t="str">
        <f aca="false">IF(C2815="","", CHOOSE(MONTH(C2815),"January","February","March","April","May","June","July","August","September","October","November","December")&amp;" "&amp;DAY(C2815)&amp;MID("thstndrdth",MIN(9,2*RIGHT(DAY(C2815))*(MOD(DAY(C2815)-11,100)&gt;2)+1),2)&amp;","&amp;TEXT(C2815," yyyy"))</f>
        <v>October 15th,2025</v>
      </c>
      <c r="AB2815" s="15" t="str">
        <f aca="true">IF(S2815="","",DATEDIF(S2815,TODAY(),"Y")&amp;" Tahun, "&amp;DATEDIF(S2815,TODAY(),"YM")&amp;" Bulan, "&amp;DATEDIF(S2815,TODAY(),"MD")&amp;" Hari")</f>
        <v>24 Tahun, 4 Bulan, 5 Hari</v>
      </c>
      <c r="AC2815" s="18" t="n">
        <v>45945</v>
      </c>
      <c r="AD2815" s="18" t="n">
        <f aca="false">EDATE(AC2815,3)-1</f>
        <v>46036</v>
      </c>
      <c r="AE2815" s="13" t="s">
        <v>44</v>
      </c>
    </row>
    <row r="2816" customFormat="false" ht="15" hidden="false" customHeight="true" outlineLevel="0" collapsed="false">
      <c r="A2816" s="12" t="n">
        <v>21049</v>
      </c>
      <c r="B2816" s="13" t="s">
        <v>11930</v>
      </c>
      <c r="C2816" s="16" t="n">
        <v>45945</v>
      </c>
      <c r="D2816" s="13" t="s">
        <v>2046</v>
      </c>
      <c r="E2816" s="15" t="s">
        <v>789</v>
      </c>
      <c r="F2816" s="24" t="s">
        <v>11931</v>
      </c>
      <c r="G2816" s="15" t="s">
        <v>11932</v>
      </c>
      <c r="H2816" s="13" t="s">
        <v>35</v>
      </c>
      <c r="I2816" s="13" t="str">
        <f aca="false">IF(C2816=J2816,"NEW KONTRAK","RE-KONTRAK")</f>
        <v>NEW KONTRAK</v>
      </c>
      <c r="J2816" s="16" t="n">
        <f aca="false" t="array" ref="J2816:J2816">IFERROR(INDEX(AC2816:AE2816,IF(COUNTA(AC2816:AE2816)=0,"",MAX((AC2816:AE2816&lt;&gt;"")*(COLUMN(AC2816:AE2816)-(COLUMN(AC2816)))))-1),"")</f>
        <v>45945</v>
      </c>
      <c r="K2816" s="16" t="n">
        <f aca="false" t="array" ref="K2816:K2816">IFERROR(INDEX(AC2816:AE2816,IF(COUNTA(AC2816:AE2816)=0,"",MAX((AC2816:AE2816&lt;&gt;"")*(COLUMN(AC2816:AE2816)-(COLUMN(AC2816)-1))))-1),"")</f>
        <v>45975</v>
      </c>
      <c r="L2816" s="17" t="str">
        <f aca="false" t="array" ref="L2816:L2816">IFERROR(INDEX(AC2816:AE2816,IF(COUNTA(AC2816:AE2816)=0,"",MAX((AC2816:AE2816&lt;&gt;"")*(COLUMN(AC2816:AE2816)-(COLUMN(AC2816)-2))))-1),"")</f>
        <v>ARCHIVED</v>
      </c>
      <c r="M2816" s="13" t="n">
        <f aca="true">K2816-TODAY()</f>
        <v>-349</v>
      </c>
      <c r="N2816" s="18" t="s">
        <v>36</v>
      </c>
      <c r="O2816" s="13" t="s">
        <v>11933</v>
      </c>
      <c r="P2816" s="19" t="n">
        <v>4874133</v>
      </c>
      <c r="Q2816" s="47" t="s">
        <v>11934</v>
      </c>
      <c r="R2816" s="13" t="s">
        <v>148</v>
      </c>
      <c r="S2816" s="14" t="n">
        <v>35131</v>
      </c>
      <c r="T2816" s="28" t="s">
        <v>40</v>
      </c>
      <c r="U2816" s="13" t="s">
        <v>11935</v>
      </c>
      <c r="V2816" s="13" t="s">
        <v>42</v>
      </c>
      <c r="W2816" s="13" t="s">
        <v>43</v>
      </c>
      <c r="X2816" s="21" t="n">
        <v>85155073636</v>
      </c>
      <c r="Y2816" s="22" t="str">
        <f aca="false">O2816</f>
        <v>Spv Gudang</v>
      </c>
      <c r="Z2816" s="13" t="str">
        <f aca="false">IFERROR(__xludf.dummyfunction("if(BJ2816="""","""",GOOGLETRANSLATE(BJ2816,""auto"",""en""))"),"Warehouse Supervisor")</f>
        <v>Warehouse Supervisor</v>
      </c>
      <c r="AA2816" s="23" t="str">
        <f aca="false">IF(C2816="","", CHOOSE(MONTH(C2816),"January","February","March","April","May","June","July","August","September","October","November","December")&amp;" "&amp;DAY(C2816)&amp;MID("thstndrdth",MIN(9,2*RIGHT(DAY(C2816))*(MOD(DAY(C2816)-11,100)&gt;2)+1),2)&amp;","&amp;TEXT(C2816," yyyy"))</f>
        <v>October 15th,2025</v>
      </c>
      <c r="AB2816" s="15" t="str">
        <f aca="true">IF(S2816="","",DATEDIF(S2816,TODAY(),"Y")&amp;" Tahun, "&amp;DATEDIF(S2816,TODAY(),"YM")&amp;" Bulan, "&amp;DATEDIF(S2816,TODAY(),"MD")&amp;" Hari")</f>
        <v>30 Tahun, 7 Bulan, 22 Hari</v>
      </c>
      <c r="AC2816" s="18" t="n">
        <v>45945</v>
      </c>
      <c r="AD2816" s="18" t="n">
        <f aca="false">EDATE(AC2816,1)-1</f>
        <v>45975</v>
      </c>
      <c r="AE2816" s="13" t="s">
        <v>44</v>
      </c>
    </row>
    <row r="2817" customFormat="false" ht="15" hidden="false" customHeight="true" outlineLevel="0" collapsed="false">
      <c r="A2817" s="12" t="n">
        <v>21050</v>
      </c>
      <c r="B2817" s="13" t="s">
        <v>11936</v>
      </c>
      <c r="C2817" s="16" t="n">
        <v>45945</v>
      </c>
      <c r="D2817" s="13" t="s">
        <v>2046</v>
      </c>
      <c r="E2817" s="15" t="s">
        <v>789</v>
      </c>
      <c r="F2817" s="24" t="s">
        <v>11937</v>
      </c>
      <c r="G2817" s="15" t="s">
        <v>11932</v>
      </c>
      <c r="H2817" s="13" t="s">
        <v>35</v>
      </c>
      <c r="I2817" s="13" t="str">
        <f aca="false">IF(C2817=J2817,"NEW KONTRAK","RE-KONTRAK")</f>
        <v>NEW KONTRAK</v>
      </c>
      <c r="J2817" s="16" t="n">
        <f aca="false" t="array" ref="J2817:J2817">IFERROR(INDEX(AC2817:AE2817,IF(COUNTA(AC2817:AE2817)=0,"",MAX((AC2817:AE2817&lt;&gt;"")*(COLUMN(AC2817:AE2817)-(COLUMN(AC2817)))))-1),"")</f>
        <v>45945</v>
      </c>
      <c r="K2817" s="16" t="n">
        <f aca="false" t="array" ref="K2817:K2817">IFERROR(INDEX(AC2817:AE2817,IF(COUNTA(AC2817:AE2817)=0,"",MAX((AC2817:AE2817&lt;&gt;"")*(COLUMN(AC2817:AE2817)-(COLUMN(AC2817)-1))))-1),"")</f>
        <v>45975</v>
      </c>
      <c r="L2817" s="17" t="str">
        <f aca="false" t="array" ref="L2817:L2817">IFERROR(INDEX(AC2817:AE2817,IF(COUNTA(AC2817:AE2817)=0,"",MAX((AC2817:AE2817&lt;&gt;"")*(COLUMN(AC2817:AE2817)-(COLUMN(AC2817)-2))))-1),"")</f>
        <v>ARCHIVED</v>
      </c>
      <c r="M2817" s="13" t="n">
        <f aca="true">K2817-TODAY()</f>
        <v>-349</v>
      </c>
      <c r="N2817" s="18" t="s">
        <v>36</v>
      </c>
      <c r="O2817" s="13" t="s">
        <v>11933</v>
      </c>
      <c r="P2817" s="19" t="n">
        <v>4874133</v>
      </c>
      <c r="Q2817" s="47" t="s">
        <v>11938</v>
      </c>
      <c r="R2817" s="13" t="s">
        <v>65</v>
      </c>
      <c r="S2817" s="14" t="n">
        <v>36666</v>
      </c>
      <c r="T2817" s="28" t="s">
        <v>40</v>
      </c>
      <c r="U2817" s="13" t="s">
        <v>11142</v>
      </c>
      <c r="V2817" s="13" t="s">
        <v>42</v>
      </c>
      <c r="W2817" s="28" t="s">
        <v>43</v>
      </c>
      <c r="X2817" s="21" t="n">
        <v>81230222660</v>
      </c>
      <c r="Y2817" s="22" t="str">
        <f aca="false">O2817</f>
        <v>Spv Gudang</v>
      </c>
      <c r="Z2817" s="13" t="str">
        <f aca="false">IFERROR(__xludf.dummyfunction("if(BJ2817="""","""",GOOGLETRANSLATE(BJ2817,""auto"",""en""))"),"Warehouse Supervisor")</f>
        <v>Warehouse Supervisor</v>
      </c>
      <c r="AA2817" s="23" t="str">
        <f aca="false">IF(C2817="","", CHOOSE(MONTH(C2817),"January","February","March","April","May","June","July","August","September","October","November","December")&amp;" "&amp;DAY(C2817)&amp;MID("thstndrdth",MIN(9,2*RIGHT(DAY(C2817))*(MOD(DAY(C2817)-11,100)&gt;2)+1),2)&amp;","&amp;TEXT(C2817," yyyy"))</f>
        <v>October 15th,2025</v>
      </c>
      <c r="AB2817" s="15" t="str">
        <f aca="true">IF(S2817="","",DATEDIF(S2817,TODAY(),"Y")&amp;" Tahun, "&amp;DATEDIF(S2817,TODAY(),"YM")&amp;" Bulan, "&amp;DATEDIF(S2817,TODAY(),"MD")&amp;" Hari")</f>
        <v>26 Tahun, 5 Bulan, 9 Hari</v>
      </c>
      <c r="AC2817" s="18" t="n">
        <v>45945</v>
      </c>
      <c r="AD2817" s="18" t="n">
        <f aca="false">EDATE(AC2817,1)-1</f>
        <v>45975</v>
      </c>
      <c r="AE2817" s="13" t="s">
        <v>44</v>
      </c>
    </row>
    <row r="2818" customFormat="false" ht="15" hidden="false" customHeight="true" outlineLevel="0" collapsed="false">
      <c r="A2818" s="12" t="n">
        <v>21053</v>
      </c>
      <c r="B2818" s="13" t="s">
        <v>11939</v>
      </c>
      <c r="C2818" s="16" t="n">
        <v>45951</v>
      </c>
      <c r="D2818" s="13" t="s">
        <v>9043</v>
      </c>
      <c r="E2818" s="15" t="s">
        <v>102</v>
      </c>
      <c r="F2818" s="15" t="str">
        <f aca="false">IFERROR(__xludf.dummyfunction("XLOOKUP(AJ2818,IMPORTRANGE(""1XaInW9DU9nz21V0tYIfzFQ0He9kVQ_JF2mCXgZ3hqFA"",""REKAP ALL 2026 - Andika!G:G""),IMPORTRANGE(""1XaInW9DU9nz21V0tYIfzFQ0He9kVQ_JF2mCXgZ3hqFA"",""REKAP ALL 2026 - Andika!F:F""),"""",0)"),"26062990085")</f>
        <v>26062990085</v>
      </c>
      <c r="G2818" s="28" t="s">
        <v>57</v>
      </c>
      <c r="H2818" s="13" t="s">
        <v>35</v>
      </c>
      <c r="I2818" s="13" t="str">
        <f aca="false">IF(C2818=J2818,"NEW KONTRAK","RE-KONTRAK")</f>
        <v>NEW KONTRAK</v>
      </c>
      <c r="J2818" s="16" t="n">
        <f aca="false" t="array" ref="J2818:J2818">IFERROR(INDEX(AC2818:AE2818,IF(COUNTA(AC2818:AE2818)=0,"",MAX((AC2818:AE2818&lt;&gt;"")*(COLUMN(AC2818:AE2818)-(COLUMN(AC2818)))))-1),"")</f>
        <v>45951</v>
      </c>
      <c r="K2818" s="16" t="n">
        <f aca="false" t="array" ref="K2818:K2818">IFERROR(INDEX(AC2818:AE2818,IF(COUNTA(AC2818:AE2818)=0,"",MAX((AC2818:AE2818&lt;&gt;"")*(COLUMN(AC2818:AE2818)-(COLUMN(AC2818)-1))))-1),"")</f>
        <v>46315</v>
      </c>
      <c r="L2818" s="17" t="str">
        <f aca="false" t="array" ref="L2818:L2818">IFERROR(INDEX(AC2818:AE2818,IF(COUNTA(AC2818:AE2818)=0,"",MAX((AC2818:AE2818&lt;&gt;"")*(COLUMN(AC2818:AE2818)-(COLUMN(AC2818)-2))))-1),"")</f>
        <v>ARCHIVED</v>
      </c>
      <c r="M2818" s="13" t="n">
        <f aca="true">K2818-TODAY()</f>
        <v>-9</v>
      </c>
      <c r="N2818" s="50" t="s">
        <v>4735</v>
      </c>
      <c r="O2818" s="13" t="s">
        <v>9045</v>
      </c>
      <c r="P2818" s="19" t="n">
        <v>3268278</v>
      </c>
      <c r="Q2818" s="20" t="s">
        <v>11940</v>
      </c>
      <c r="R2818" s="13" t="s">
        <v>83</v>
      </c>
      <c r="S2818" s="14" t="n">
        <v>35524</v>
      </c>
      <c r="T2818" s="28" t="s">
        <v>40</v>
      </c>
      <c r="U2818" s="13" t="s">
        <v>11941</v>
      </c>
      <c r="V2818" s="13" t="s">
        <v>99</v>
      </c>
      <c r="W2818" s="13" t="s">
        <v>54</v>
      </c>
      <c r="X2818" s="21" t="n">
        <v>81288884304</v>
      </c>
      <c r="Y2818" s="22" t="str">
        <f aca="false">O2818</f>
        <v>Customer Service</v>
      </c>
      <c r="Z2818" s="13" t="str">
        <f aca="false">IFERROR(__xludf.dummyfunction("if(BJ2818="""","""",GOOGLETRANSLATE(BJ2818,""auto"",""en""))"),"Customer Service")</f>
        <v>Customer Service</v>
      </c>
      <c r="AA2818" s="23" t="str">
        <f aca="false">IF(C2818="","", CHOOSE(MONTH(C2818),"January","February","March","April","May","June","July","August","September","October","November","December")&amp;" "&amp;DAY(C2818)&amp;MID("thstndrdth",MIN(9,2*RIGHT(DAY(C2818))*(MOD(DAY(C2818)-11,100)&gt;2)+1),2)&amp;","&amp;TEXT(C2818," yyyy"))</f>
        <v>October 21st,2025</v>
      </c>
      <c r="AB2818" s="15" t="str">
        <f aca="true">IF(S2818="","",DATEDIF(S2818,TODAY(),"Y")&amp;" Tahun, "&amp;DATEDIF(S2818,TODAY(),"YM")&amp;" Bulan, "&amp;DATEDIF(S2818,TODAY(),"MD")&amp;" Hari")</f>
        <v>29 Tahun, 6 Bulan, 25 Hari</v>
      </c>
      <c r="AC2818" s="18" t="n">
        <v>45951</v>
      </c>
      <c r="AD2818" s="18" t="n">
        <f aca="false">EDATE(AC2818,12)-1</f>
        <v>46315</v>
      </c>
      <c r="AE2818" s="13" t="s">
        <v>44</v>
      </c>
    </row>
    <row r="2819" customFormat="false" ht="15" hidden="false" customHeight="true" outlineLevel="0" collapsed="false">
      <c r="A2819" s="12" t="n">
        <v>21132</v>
      </c>
      <c r="B2819" s="13" t="s">
        <v>11942</v>
      </c>
      <c r="C2819" s="16" t="n">
        <v>45951</v>
      </c>
      <c r="D2819" s="13" t="s">
        <v>10155</v>
      </c>
      <c r="E2819" s="15" t="s">
        <v>47</v>
      </c>
      <c r="F2819" s="15" t="str">
        <f aca="false">IFERROR(__xludf.dummyfunction("XLOOKUP(AJ2819,IMPORTRANGE(""1XaInW9DU9nz21V0tYIfzFQ0He9kVQ_JF2mCXgZ3hqFA"",""REKAP ALL 2026 - Andika!G:G""),IMPORTRANGE(""1XaInW9DU9nz21V0tYIfzFQ0He9kVQ_JF2mCXgZ3hqFA"",""REKAP ALL 2026 - Andika!F:F""),"""",0)"),"25157579365")</f>
        <v>25157579365</v>
      </c>
      <c r="G2819" s="13" t="s">
        <v>1127</v>
      </c>
      <c r="H2819" s="13" t="s">
        <v>35</v>
      </c>
      <c r="I2819" s="13" t="str">
        <f aca="false">IF(C2819=J2819,"NEW KONTRAK","RE-KONTRAK")</f>
        <v>NEW KONTRAK</v>
      </c>
      <c r="J2819" s="16" t="n">
        <f aca="false" t="array" ref="J2819:J2819">IFERROR(INDEX(AC2819:AE2819,IF(COUNTA(AC2819:AE2819)=0,"",MAX((AC2819:AE2819&lt;&gt;"")*(COLUMN(AC2819:AE2819)-(COLUMN(AC2819)))))-1),"")</f>
        <v>45951</v>
      </c>
      <c r="K2819" s="16" t="n">
        <f aca="false" t="array" ref="K2819:K2819">IFERROR(INDEX(AC2819:AE2819,IF(COUNTA(AC2819:AE2819)=0,"",MAX((AC2819:AE2819&lt;&gt;"")*(COLUMN(AC2819:AE2819)-(COLUMN(AC2819)-1))))-1),"")</f>
        <v>46022</v>
      </c>
      <c r="L2819" s="17" t="str">
        <f aca="false" t="array" ref="L2819:L2819">IFERROR(INDEX(AC2819:AE2819,IF(COUNTA(AC2819:AE2819)=0,"",MAX((AC2819:AE2819&lt;&gt;"")*(COLUMN(AC2819:AE2819)-(COLUMN(AC2819)-2))))-1),"")</f>
        <v>ARCHIVED</v>
      </c>
      <c r="M2819" s="13" t="n">
        <f aca="true">K2819-TODAY()</f>
        <v>-302</v>
      </c>
      <c r="N2819" s="18" t="s">
        <v>36</v>
      </c>
      <c r="O2819" s="13" t="s">
        <v>10295</v>
      </c>
      <c r="P2819" s="27" t="n">
        <v>5195401</v>
      </c>
      <c r="Q2819" s="47" t="s">
        <v>11943</v>
      </c>
      <c r="R2819" s="13" t="s">
        <v>65</v>
      </c>
      <c r="S2819" s="14" t="n">
        <v>37012</v>
      </c>
      <c r="T2819" s="13" t="s">
        <v>108</v>
      </c>
      <c r="U2819" s="13" t="s">
        <v>11944</v>
      </c>
      <c r="V2819" s="13" t="s">
        <v>42</v>
      </c>
      <c r="W2819" s="13" t="s">
        <v>43</v>
      </c>
      <c r="X2819" s="21" t="n">
        <v>85731034921</v>
      </c>
      <c r="Y2819" s="22" t="str">
        <f aca="false">O2819</f>
        <v>International After Market Sales</v>
      </c>
      <c r="Z2819" s="13" t="str">
        <f aca="false">IFERROR(__xludf.dummyfunction("if(BJ2819="""","""",GOOGLETRANSLATE(BJ2819,""auto"",""en""))"),"International After Market Sales")</f>
        <v>International After Market Sales</v>
      </c>
      <c r="AA2819" s="23" t="str">
        <f aca="false">IF(C2819="","", CHOOSE(MONTH(C2819),"January","February","March","April","May","June","July","August","September","October","November","December")&amp;" "&amp;DAY(C2819)&amp;MID("thstndrdth",MIN(9,2*RIGHT(DAY(C2819))*(MOD(DAY(C2819)-11,100)&gt;2)+1),2)&amp;","&amp;TEXT(C2819," yyyy"))</f>
        <v>October 21st,2025</v>
      </c>
      <c r="AB2819" s="15" t="str">
        <f aca="true">IF(S2819="","",DATEDIF(S2819,TODAY(),"Y")&amp;" Tahun, "&amp;DATEDIF(S2819,TODAY(),"YM")&amp;" Bulan, "&amp;DATEDIF(S2819,TODAY(),"MD")&amp;" Hari")</f>
        <v>25 Tahun, 5 Bulan, 28 Hari</v>
      </c>
      <c r="AC2819" s="18" t="n">
        <v>45951</v>
      </c>
      <c r="AD2819" s="18" t="n">
        <v>46022</v>
      </c>
      <c r="AE2819" s="13" t="s">
        <v>44</v>
      </c>
    </row>
    <row r="2820" customFormat="false" ht="15" hidden="false" customHeight="true" outlineLevel="0" collapsed="false">
      <c r="A2820" s="12" t="n">
        <v>21133</v>
      </c>
      <c r="B2820" s="13" t="s">
        <v>11945</v>
      </c>
      <c r="C2820" s="16" t="n">
        <v>45951</v>
      </c>
      <c r="D2820" s="13" t="s">
        <v>10155</v>
      </c>
      <c r="E2820" s="15" t="s">
        <v>47</v>
      </c>
      <c r="F2820" s="15" t="str">
        <f aca="false">IFERROR(__xludf.dummyfunction("XLOOKUP(AJ2820,IMPORTRANGE(""1XaInW9DU9nz21V0tYIfzFQ0He9kVQ_JF2mCXgZ3hqFA"",""REKAP ALL 2026 - Andika!G:G""),IMPORTRANGE(""1XaInW9DU9nz21V0tYIfzFQ0He9kVQ_JF2mCXgZ3hqFA"",""REKAP ALL 2026 - Andika!F:F""),"""",0)"),"25157579407")</f>
        <v>25157579407</v>
      </c>
      <c r="G2820" s="13" t="s">
        <v>1127</v>
      </c>
      <c r="H2820" s="13" t="s">
        <v>35</v>
      </c>
      <c r="I2820" s="13" t="str">
        <f aca="false">IF(C2820=J2820,"NEW KONTRAK","RE-KONTRAK")</f>
        <v>NEW KONTRAK</v>
      </c>
      <c r="J2820" s="16" t="n">
        <f aca="false" t="array" ref="J2820:J2820">IFERROR(INDEX(AC2820:AE2820,IF(COUNTA(AC2820:AE2820)=0,"",MAX((AC2820:AE2820&lt;&gt;"")*(COLUMN(AC2820:AE2820)-(COLUMN(AC2820)))))-1),"")</f>
        <v>45951</v>
      </c>
      <c r="K2820" s="16" t="n">
        <f aca="false" t="array" ref="K2820:K2820">IFERROR(INDEX(AC2820:AE2820,IF(COUNTA(AC2820:AE2820)=0,"",MAX((AC2820:AE2820&lt;&gt;"")*(COLUMN(AC2820:AE2820)-(COLUMN(AC2820)-1))))-1),"")</f>
        <v>46022</v>
      </c>
      <c r="L2820" s="17" t="str">
        <f aca="false" t="array" ref="L2820:L2820">IFERROR(INDEX(AC2820:AE2820,IF(COUNTA(AC2820:AE2820)=0,"",MAX((AC2820:AE2820&lt;&gt;"")*(COLUMN(AC2820:AE2820)-(COLUMN(AC2820)-2))))-1),"")</f>
        <v>ARCHIVED</v>
      </c>
      <c r="M2820" s="13" t="n">
        <f aca="true">K2820-TODAY()</f>
        <v>-302</v>
      </c>
      <c r="N2820" s="18" t="s">
        <v>36</v>
      </c>
      <c r="O2820" s="13" t="s">
        <v>10609</v>
      </c>
      <c r="P2820" s="27" t="n">
        <v>5195401</v>
      </c>
      <c r="Q2820" s="47" t="s">
        <v>11946</v>
      </c>
      <c r="R2820" s="13" t="s">
        <v>65</v>
      </c>
      <c r="S2820" s="14" t="n">
        <v>38835</v>
      </c>
      <c r="T2820" s="28" t="s">
        <v>40</v>
      </c>
      <c r="U2820" s="13" t="s">
        <v>11947</v>
      </c>
      <c r="V2820" s="13" t="s">
        <v>42</v>
      </c>
      <c r="W2820" s="13" t="s">
        <v>43</v>
      </c>
      <c r="X2820" s="21" t="n">
        <v>85707249422</v>
      </c>
      <c r="Y2820" s="22" t="str">
        <f aca="false">O2820</f>
        <v>Hot CS &amp; SB P3 Maintenance</v>
      </c>
      <c r="Z2820" s="13" t="str">
        <f aca="false">IFERROR(__xludf.dummyfunction("if(BJ2820="""","""",GOOGLETRANSLATE(BJ2820,""auto"",""en""))"),"Hot CS &amp; SB P3 Maintenance")</f>
        <v>Hot CS &amp; SB P3 Maintenance</v>
      </c>
      <c r="AA2820" s="23" t="str">
        <f aca="false">IF(C2820="","", CHOOSE(MONTH(C2820),"January","February","March","April","May","June","July","August","September","October","November","December")&amp;" "&amp;DAY(C2820)&amp;MID("thstndrdth",MIN(9,2*RIGHT(DAY(C2820))*(MOD(DAY(C2820)-11,100)&gt;2)+1),2)&amp;","&amp;TEXT(C2820," yyyy"))</f>
        <v>October 21st,2025</v>
      </c>
      <c r="AB2820" s="15" t="str">
        <f aca="true">IF(S2820="","",DATEDIF(S2820,TODAY(),"Y")&amp;" Tahun, "&amp;DATEDIF(S2820,TODAY(),"YM")&amp;" Bulan, "&amp;DATEDIF(S2820,TODAY(),"MD")&amp;" Hari")</f>
        <v>20 Tahun, 6 Bulan, 1 Hari</v>
      </c>
      <c r="AC2820" s="18" t="n">
        <v>45951</v>
      </c>
      <c r="AD2820" s="18" t="n">
        <v>46022</v>
      </c>
      <c r="AE2820" s="13" t="s">
        <v>44</v>
      </c>
    </row>
    <row r="2821" customFormat="false" ht="15" hidden="false" customHeight="true" outlineLevel="0" collapsed="false">
      <c r="A2821" s="12" t="n">
        <v>21134</v>
      </c>
      <c r="B2821" s="13" t="s">
        <v>11948</v>
      </c>
      <c r="C2821" s="16" t="n">
        <v>45951</v>
      </c>
      <c r="D2821" s="13" t="s">
        <v>10155</v>
      </c>
      <c r="E2821" s="15" t="s">
        <v>47</v>
      </c>
      <c r="F2821" s="15" t="str">
        <f aca="false">IFERROR(__xludf.dummyfunction("XLOOKUP(AJ2821,IMPORTRANGE(""1XaInW9DU9nz21V0tYIfzFQ0He9kVQ_JF2mCXgZ3hqFA"",""REKAP ALL 2026 - Andika!G:G""),IMPORTRANGE(""1XaInW9DU9nz21V0tYIfzFQ0He9kVQ_JF2mCXgZ3hqFA"",""REKAP ALL 2026 - Andika!F:F""),"""",0)"),"25157579431")</f>
        <v>25157579431</v>
      </c>
      <c r="G2821" s="13" t="s">
        <v>1127</v>
      </c>
      <c r="H2821" s="13" t="s">
        <v>35</v>
      </c>
      <c r="I2821" s="13" t="str">
        <f aca="false">IF(C2821=J2821,"NEW KONTRAK","RE-KONTRAK")</f>
        <v>NEW KONTRAK</v>
      </c>
      <c r="J2821" s="16" t="n">
        <f aca="false" t="array" ref="J2821:J2821">IFERROR(INDEX(AC2821:AE2821,IF(COUNTA(AC2821:AE2821)=0,"",MAX((AC2821:AE2821&lt;&gt;"")*(COLUMN(AC2821:AE2821)-(COLUMN(AC2821)))))-1),"")</f>
        <v>45951</v>
      </c>
      <c r="K2821" s="16" t="n">
        <f aca="false" t="array" ref="K2821:K2821">IFERROR(INDEX(AC2821:AE2821,IF(COUNTA(AC2821:AE2821)=0,"",MAX((AC2821:AE2821&lt;&gt;"")*(COLUMN(AC2821:AE2821)-(COLUMN(AC2821)-1))))-1),"")</f>
        <v>46022</v>
      </c>
      <c r="L2821" s="17" t="str">
        <f aca="false" t="array" ref="L2821:L2821">IFERROR(INDEX(AC2821:AE2821,IF(COUNTA(AC2821:AE2821)=0,"",MAX((AC2821:AE2821&lt;&gt;"")*(COLUMN(AC2821:AE2821)-(COLUMN(AC2821)-2))))-1),"")</f>
        <v>ARCHIVED</v>
      </c>
      <c r="M2821" s="13" t="n">
        <f aca="true">K2821-TODAY()</f>
        <v>-302</v>
      </c>
      <c r="N2821" s="18" t="s">
        <v>36</v>
      </c>
      <c r="O2821" s="13" t="s">
        <v>10609</v>
      </c>
      <c r="P2821" s="27" t="n">
        <v>5195401</v>
      </c>
      <c r="Q2821" s="47" t="s">
        <v>11949</v>
      </c>
      <c r="R2821" s="13" t="s">
        <v>65</v>
      </c>
      <c r="S2821" s="14" t="n">
        <v>38939</v>
      </c>
      <c r="T2821" s="28" t="s">
        <v>40</v>
      </c>
      <c r="U2821" s="13" t="s">
        <v>11950</v>
      </c>
      <c r="V2821" s="13" t="s">
        <v>42</v>
      </c>
      <c r="W2821" s="13" t="s">
        <v>43</v>
      </c>
      <c r="X2821" s="30" t="n">
        <v>87732731585</v>
      </c>
      <c r="Y2821" s="22" t="str">
        <f aca="false">O2821</f>
        <v>Hot CS &amp; SB P3 Maintenance</v>
      </c>
      <c r="Z2821" s="13" t="str">
        <f aca="false">IFERROR(__xludf.dummyfunction("if(BJ2821="""","""",GOOGLETRANSLATE(BJ2821,""auto"",""en""))"),"Hot CS &amp; SB P3 Maintenance")</f>
        <v>Hot CS &amp; SB P3 Maintenance</v>
      </c>
      <c r="AA2821" s="23" t="str">
        <f aca="false">IF(C2821="","", CHOOSE(MONTH(C2821),"January","February","March","April","May","June","July","August","September","October","November","December")&amp;" "&amp;DAY(C2821)&amp;MID("thstndrdth",MIN(9,2*RIGHT(DAY(C2821))*(MOD(DAY(C2821)-11,100)&gt;2)+1),2)&amp;","&amp;TEXT(C2821," yyyy"))</f>
        <v>October 21st,2025</v>
      </c>
      <c r="AB2821" s="15" t="str">
        <f aca="true">IF(S2821="","",DATEDIF(S2821,TODAY(),"Y")&amp;" Tahun, "&amp;DATEDIF(S2821,TODAY(),"YM")&amp;" Bulan, "&amp;DATEDIF(S2821,TODAY(),"MD")&amp;" Hari")</f>
        <v>20 Tahun, 2 Bulan, 19 Hari</v>
      </c>
      <c r="AC2821" s="18" t="n">
        <v>45951</v>
      </c>
      <c r="AD2821" s="18" t="n">
        <v>46022</v>
      </c>
      <c r="AE2821" s="13" t="s">
        <v>44</v>
      </c>
    </row>
    <row r="2822" customFormat="false" ht="15" hidden="false" customHeight="true" outlineLevel="0" collapsed="false">
      <c r="A2822" s="12" t="n">
        <v>21136</v>
      </c>
      <c r="B2822" s="13" t="s">
        <v>11951</v>
      </c>
      <c r="C2822" s="16" t="n">
        <v>45951</v>
      </c>
      <c r="D2822" s="13" t="s">
        <v>1338</v>
      </c>
      <c r="E2822" s="15" t="s">
        <v>33</v>
      </c>
      <c r="F2822" s="24" t="s">
        <v>11952</v>
      </c>
      <c r="G2822" s="13" t="s">
        <v>57</v>
      </c>
      <c r="H2822" s="13" t="s">
        <v>3024</v>
      </c>
      <c r="I2822" s="13" t="str">
        <f aca="false">IF(C2822=J2822,"NEW KONTRAK","RE-KONTRAK")</f>
        <v>NEW KONTRAK</v>
      </c>
      <c r="J2822" s="16" t="n">
        <f aca="false" t="array" ref="J2822:J2822">IFERROR(INDEX(AC2822:AE2822,IF(COUNTA(AC2822:AE2822)=0,"",MAX((AC2822:AE2822&lt;&gt;"")*(COLUMN(AC2822:AE2822)-(COLUMN(AC2822)))))-1),"")</f>
        <v>45951</v>
      </c>
      <c r="K2822" s="16" t="n">
        <f aca="false" t="array" ref="K2822:K2822">IFERROR(INDEX(AC2822:AE2822,IF(COUNTA(AC2822:AE2822)=0,"",MAX((AC2822:AE2822&lt;&gt;"")*(COLUMN(AC2822:AE2822)-(COLUMN(AC2822)-1))))-1),"")</f>
        <v>46042</v>
      </c>
      <c r="L2822" s="17" t="str">
        <f aca="false" t="array" ref="L2822:L2822">IFERROR(INDEX(AC2822:AE2822,IF(COUNTA(AC2822:AE2822)=0,"",MAX((AC2822:AE2822&lt;&gt;"")*(COLUMN(AC2822:AE2822)-(COLUMN(AC2822)-2))))-1),"")</f>
        <v>ARCHIVED</v>
      </c>
      <c r="M2822" s="13" t="n">
        <f aca="true">K2822-TODAY()</f>
        <v>-282</v>
      </c>
      <c r="N2822" s="18" t="s">
        <v>615</v>
      </c>
      <c r="O2822" s="13" t="s">
        <v>11953</v>
      </c>
      <c r="P2822" s="19" t="n">
        <v>165635</v>
      </c>
      <c r="Q2822" s="47" t="s">
        <v>11954</v>
      </c>
      <c r="R2822" s="13" t="s">
        <v>232</v>
      </c>
      <c r="S2822" s="14" t="n">
        <v>35644</v>
      </c>
      <c r="T2822" s="28" t="s">
        <v>40</v>
      </c>
      <c r="U2822" s="13" t="s">
        <v>11955</v>
      </c>
      <c r="V2822" s="13" t="s">
        <v>42</v>
      </c>
      <c r="W2822" s="13" t="s">
        <v>43</v>
      </c>
      <c r="X2822" s="21" t="n">
        <v>85606174178</v>
      </c>
      <c r="Y2822" s="22" t="str">
        <f aca="false">O2822</f>
        <v>HL Muat</v>
      </c>
      <c r="Z2822" s="13" t="str">
        <f aca="false">IFERROR(__xludf.dummyfunction("if(BJ2822="""","""",GOOGLETRANSLATE(BJ2822,""auto"",""en""))"),"HL Load")</f>
        <v>HL Load</v>
      </c>
      <c r="AA2822" s="23" t="str">
        <f aca="false">IF(C2822="","", CHOOSE(MONTH(C2822),"January","February","March","April","May","June","July","August","September","October","November","December")&amp;" "&amp;DAY(C2822)&amp;MID("thstndrdth",MIN(9,2*RIGHT(DAY(C2822))*(MOD(DAY(C2822)-11,100)&gt;2)+1),2)&amp;","&amp;TEXT(C2822," yyyy"))</f>
        <v>October 21st,2025</v>
      </c>
      <c r="AB2822" s="15" t="str">
        <f aca="true">IF(S2822="","",DATEDIF(S2822,TODAY(),"Y")&amp;" Tahun, "&amp;DATEDIF(S2822,TODAY(),"YM")&amp;" Bulan, "&amp;DATEDIF(S2822,TODAY(),"MD")&amp;" Hari")</f>
        <v>29 Tahun, 2 Bulan, 27 Hari</v>
      </c>
      <c r="AC2822" s="18" t="n">
        <v>45951</v>
      </c>
      <c r="AD2822" s="18" t="n">
        <f aca="false">EDATE(AC2822,3)-1</f>
        <v>46042</v>
      </c>
      <c r="AE2822" s="18" t="s">
        <v>44</v>
      </c>
    </row>
    <row r="2823" customFormat="false" ht="15" hidden="false" customHeight="true" outlineLevel="0" collapsed="false">
      <c r="A2823" s="12" t="n">
        <v>21137</v>
      </c>
      <c r="B2823" s="13" t="s">
        <v>11956</v>
      </c>
      <c r="C2823" s="16" t="n">
        <v>45951</v>
      </c>
      <c r="D2823" s="13" t="s">
        <v>1338</v>
      </c>
      <c r="E2823" s="15" t="s">
        <v>33</v>
      </c>
      <c r="F2823" s="24" t="s">
        <v>11957</v>
      </c>
      <c r="G2823" s="13" t="s">
        <v>57</v>
      </c>
      <c r="H2823" s="13" t="s">
        <v>2296</v>
      </c>
      <c r="I2823" s="13" t="str">
        <f aca="false">IF(C2823=J2823,"NEW KONTRAK","RE-KONTRAK")</f>
        <v>NEW KONTRAK</v>
      </c>
      <c r="J2823" s="16" t="n">
        <f aca="false" t="array" ref="J2823:J2823">IFERROR(INDEX(AC2823:AE2823,IF(COUNTA(AC2823:AE2823)=0,"",MAX((AC2823:AE2823&lt;&gt;"")*(COLUMN(AC2823:AE2823)-(COLUMN(AC2823)))))-1),"")</f>
        <v>45951</v>
      </c>
      <c r="K2823" s="16" t="n">
        <f aca="false" t="array" ref="K2823:K2823">IFERROR(INDEX(AC2823:AE2823,IF(COUNTA(AC2823:AE2823)=0,"",MAX((AC2823:AE2823&lt;&gt;"")*(COLUMN(AC2823:AE2823)-(COLUMN(AC2823)-1))))-1),"")</f>
        <v>46042</v>
      </c>
      <c r="L2823" s="17" t="str">
        <f aca="false" t="array" ref="L2823:L2823">IFERROR(INDEX(AC2823:AE2823,IF(COUNTA(AC2823:AE2823)=0,"",MAX((AC2823:AE2823&lt;&gt;"")*(COLUMN(AC2823:AE2823)-(COLUMN(AC2823)-2))))-1),"")</f>
        <v>ARCHIVED</v>
      </c>
      <c r="M2823" s="13" t="n">
        <f aca="true">K2823-TODAY()</f>
        <v>-282</v>
      </c>
      <c r="N2823" s="18" t="s">
        <v>615</v>
      </c>
      <c r="O2823" s="13" t="s">
        <v>11593</v>
      </c>
      <c r="P2823" s="27" t="n">
        <v>165635</v>
      </c>
      <c r="Q2823" s="47" t="s">
        <v>11958</v>
      </c>
      <c r="R2823" s="13" t="s">
        <v>232</v>
      </c>
      <c r="S2823" s="14" t="n">
        <v>26312</v>
      </c>
      <c r="T2823" s="28" t="s">
        <v>40</v>
      </c>
      <c r="U2823" s="13" t="s">
        <v>11959</v>
      </c>
      <c r="V2823" s="13" t="s">
        <v>42</v>
      </c>
      <c r="W2823" s="13" t="s">
        <v>54</v>
      </c>
      <c r="X2823" s="21" t="n">
        <v>85749392867</v>
      </c>
      <c r="Y2823" s="22" t="str">
        <f aca="false">O2823</f>
        <v>Borongan Muat</v>
      </c>
      <c r="Z2823" s="13" t="str">
        <f aca="false">IFERROR(__xludf.dummyfunction("if(BJ2823="""","""",GOOGLETRANSLATE(BJ2823,""auto"",""en""))"),"Bulk Loading")</f>
        <v>Bulk Loading</v>
      </c>
      <c r="AA2823" s="23" t="str">
        <f aca="false">IF(C2823="","", CHOOSE(MONTH(C2823),"January","February","March","April","May","June","July","August","September","October","November","December")&amp;" "&amp;DAY(C2823)&amp;MID("thstndrdth",MIN(9,2*RIGHT(DAY(C2823))*(MOD(DAY(C2823)-11,100)&gt;2)+1),2)&amp;","&amp;TEXT(C2823," yyyy"))</f>
        <v>October 21st,2025</v>
      </c>
      <c r="AB2823" s="15" t="str">
        <f aca="true">IF(S2823="","",DATEDIF(S2823,TODAY(),"Y")&amp;" Tahun, "&amp;DATEDIF(S2823,TODAY(),"YM")&amp;" Bulan, "&amp;DATEDIF(S2823,TODAY(),"MD")&amp;" Hari")</f>
        <v>54 Tahun, 9 Bulan, 15 Hari</v>
      </c>
      <c r="AC2823" s="18" t="n">
        <v>45951</v>
      </c>
      <c r="AD2823" s="18" t="n">
        <f aca="false">EDATE(AC2823,3)-1</f>
        <v>46042</v>
      </c>
      <c r="AE2823" s="18" t="s">
        <v>44</v>
      </c>
    </row>
    <row r="2824" customFormat="false" ht="15" hidden="false" customHeight="true" outlineLevel="0" collapsed="false">
      <c r="A2824" s="12" t="n">
        <v>21141</v>
      </c>
      <c r="B2824" s="13" t="s">
        <v>11960</v>
      </c>
      <c r="C2824" s="14" t="n">
        <v>43311</v>
      </c>
      <c r="D2824" s="13" t="s">
        <v>11961</v>
      </c>
      <c r="E2824" s="15" t="s">
        <v>47</v>
      </c>
      <c r="F2824" s="15" t="str">
        <f aca="false">IFERROR(__xludf.dummyfunction("XLOOKUP(AJ2824,IMPORTRANGE(""1XaInW9DU9nz21V0tYIfzFQ0He9kVQ_JF2mCXgZ3hqFA"",""REKAP ALL 2026 - Andika!G:G""),IMPORTRANGE(""1XaInW9DU9nz21V0tYIfzFQ0He9kVQ_JF2mCXgZ3hqFA"",""REKAP ALL 2026 - Andika!F:F""),"""",0)"),"15061664833")</f>
        <v>15061664833</v>
      </c>
      <c r="G2824" s="28" t="s">
        <v>57</v>
      </c>
      <c r="H2824" s="13" t="s">
        <v>35</v>
      </c>
      <c r="I2824" s="13" t="str">
        <f aca="false">IF(C2824=J2824,"NEW KONTRAK","RE-KONTRAK")</f>
        <v>RE-KONTRAK</v>
      </c>
      <c r="J2824" s="16" t="n">
        <f aca="false" t="array" ref="J2824:J2824">IFERROR(INDEX(AC2824:AE2824,IF(COUNTA(AC2824:AE2824)=0,"",MAX((AC2824:AE2824&lt;&gt;"")*(COLUMN(AC2824:AE2824)-(COLUMN(AC2824)))))-1),"")</f>
        <v>45931</v>
      </c>
      <c r="K2824" s="16" t="n">
        <f aca="false" t="array" ref="K2824:K2824">IFERROR(INDEX(AC2824:AE2824,IF(COUNTA(AC2824:AE2824)=0,"",MAX((AC2824:AE2824&lt;&gt;"")*(COLUMN(AC2824:AE2824)-(COLUMN(AC2824)-1))))-1),"")</f>
        <v>46022</v>
      </c>
      <c r="L2824" s="17" t="str">
        <f aca="false" t="array" ref="L2824:L2824">IFERROR(INDEX(AC2824:AE2824,IF(COUNTA(AC2824:AE2824)=0,"",MAX((AC2824:AE2824&lt;&gt;"")*(COLUMN(AC2824:AE2824)-(COLUMN(AC2824)-2))))-1),"")</f>
        <v>ARCHIVED</v>
      </c>
      <c r="M2824" s="13" t="n">
        <f aca="true">K2824-TODAY()</f>
        <v>-302</v>
      </c>
      <c r="N2824" s="18" t="s">
        <v>615</v>
      </c>
      <c r="O2824" s="13" t="s">
        <v>11962</v>
      </c>
      <c r="P2824" s="19" t="n">
        <v>5176101</v>
      </c>
      <c r="Q2824" s="20" t="s">
        <v>11963</v>
      </c>
      <c r="R2824" s="13" t="s">
        <v>6180</v>
      </c>
      <c r="S2824" s="14" t="n">
        <v>34918</v>
      </c>
      <c r="T2824" s="13" t="s">
        <v>108</v>
      </c>
      <c r="U2824" s="13" t="s">
        <v>11964</v>
      </c>
      <c r="V2824" s="13" t="s">
        <v>42</v>
      </c>
      <c r="W2824" s="13" t="s">
        <v>54</v>
      </c>
      <c r="X2824" s="21" t="n">
        <v>85812019257</v>
      </c>
      <c r="Y2824" s="22" t="str">
        <f aca="false">O2824</f>
        <v>Accounting</v>
      </c>
      <c r="Z2824" s="13" t="str">
        <f aca="false">IFERROR(__xludf.dummyfunction("if(BJ2824="""","""",GOOGLETRANSLATE(BJ2824,""auto"",""en""))"),"Accounting")</f>
        <v>Accounting</v>
      </c>
      <c r="AA2824" s="23" t="str">
        <f aca="false">IF(C2824="","", CHOOSE(MONTH(C2824),"January","February","March","April","May","June","July","August","September","October","November","December")&amp;" "&amp;DAY(C2824)&amp;MID("thstndrdth",MIN(9,2*RIGHT(DAY(C2824))*(MOD(DAY(C2824)-11,100)&gt;2)+1),2)&amp;","&amp;TEXT(C2824," yyyy"))</f>
        <v>July 30th,2018</v>
      </c>
      <c r="AB2824" s="15" t="str">
        <f aca="true">IF(S2824="","",DATEDIF(S2824,TODAY(),"Y")&amp;" Tahun, "&amp;DATEDIF(S2824,TODAY(),"YM")&amp;" Bulan, "&amp;DATEDIF(S2824,TODAY(),"MD")&amp;" Hari")</f>
        <v>31 Tahun, 2 Bulan, 22 Hari</v>
      </c>
      <c r="AC2824" s="18" t="n">
        <v>45931</v>
      </c>
      <c r="AD2824" s="18" t="n">
        <v>46022</v>
      </c>
      <c r="AE2824" s="18" t="s">
        <v>44</v>
      </c>
    </row>
    <row r="2825" customFormat="false" ht="15" hidden="false" customHeight="true" outlineLevel="0" collapsed="false">
      <c r="A2825" s="12" t="n">
        <v>21142</v>
      </c>
      <c r="B2825" s="13" t="s">
        <v>11965</v>
      </c>
      <c r="C2825" s="14" t="n">
        <v>43581</v>
      </c>
      <c r="D2825" s="13" t="s">
        <v>11961</v>
      </c>
      <c r="E2825" s="15" t="s">
        <v>47</v>
      </c>
      <c r="F2825" s="15" t="str">
        <f aca="false">IFERROR(__xludf.dummyfunction("XLOOKUP(AJ2825,IMPORTRANGE(""1XaInW9DU9nz21V0tYIfzFQ0He9kVQ_JF2mCXgZ3hqFA"",""REKAP ALL 2026 - Andika!G:G""),IMPORTRANGE(""1XaInW9DU9nz21V0tYIfzFQ0He9kVQ_JF2mCXgZ3hqFA"",""REKAP ALL 2026 - Andika!F:F""),"""",0)"),"21064475474")</f>
        <v>21064475474</v>
      </c>
      <c r="G2825" s="28" t="s">
        <v>57</v>
      </c>
      <c r="H2825" s="13" t="s">
        <v>35</v>
      </c>
      <c r="I2825" s="13" t="str">
        <f aca="false">IF(C2825=J2825,"NEW KONTRAK","RE-KONTRAK")</f>
        <v>RE-KONTRAK</v>
      </c>
      <c r="J2825" s="16" t="n">
        <f aca="false" t="array" ref="J2825:J2825">IFERROR(INDEX(AC2825:AE2825,IF(COUNTA(AC2825:AE2825)=0,"",MAX((AC2825:AE2825&lt;&gt;"")*(COLUMN(AC2825:AE2825)-(COLUMN(AC2825)))))-1),"")</f>
        <v>45931</v>
      </c>
      <c r="K2825" s="16" t="n">
        <f aca="false" t="array" ref="K2825:K2825">IFERROR(INDEX(AC2825:AE2825,IF(COUNTA(AC2825:AE2825)=0,"",MAX((AC2825:AE2825&lt;&gt;"")*(COLUMN(AC2825:AE2825)-(COLUMN(AC2825)-1))))-1),"")</f>
        <v>46022</v>
      </c>
      <c r="L2825" s="17" t="str">
        <f aca="false" t="array" ref="L2825:L2825">IFERROR(INDEX(AC2825:AE2825,IF(COUNTA(AC2825:AE2825)=0,"",MAX((AC2825:AE2825&lt;&gt;"")*(COLUMN(AC2825:AE2825)-(COLUMN(AC2825)-2))))-1),"")</f>
        <v>ARCHIVED</v>
      </c>
      <c r="M2825" s="13" t="n">
        <f aca="true">K2825-TODAY()</f>
        <v>-302</v>
      </c>
      <c r="N2825" s="18" t="s">
        <v>615</v>
      </c>
      <c r="O2825" s="13" t="s">
        <v>11962</v>
      </c>
      <c r="P2825" s="19" t="n">
        <v>5176101</v>
      </c>
      <c r="Q2825" s="20" t="s">
        <v>11966</v>
      </c>
      <c r="R2825" s="13" t="s">
        <v>227</v>
      </c>
      <c r="S2825" s="14" t="n">
        <v>30117</v>
      </c>
      <c r="T2825" s="13" t="s">
        <v>108</v>
      </c>
      <c r="U2825" s="13" t="s">
        <v>11967</v>
      </c>
      <c r="V2825" s="13" t="s">
        <v>42</v>
      </c>
      <c r="W2825" s="13" t="s">
        <v>54</v>
      </c>
      <c r="X2825" s="21" t="n">
        <v>82141965002</v>
      </c>
      <c r="Y2825" s="22" t="str">
        <f aca="false">O2825</f>
        <v>Accounting</v>
      </c>
      <c r="Z2825" s="13" t="str">
        <f aca="false">IFERROR(__xludf.dummyfunction("if(BJ2825="""","""",GOOGLETRANSLATE(BJ2825,""auto"",""en""))"),"Accounting")</f>
        <v>Accounting</v>
      </c>
      <c r="AA2825" s="23" t="str">
        <f aca="false">IF(C2825="","", CHOOSE(MONTH(C2825),"January","February","March","April","May","June","July","August","September","October","November","December")&amp;" "&amp;DAY(C2825)&amp;MID("thstndrdth",MIN(9,2*RIGHT(DAY(C2825))*(MOD(DAY(C2825)-11,100)&gt;2)+1),2)&amp;","&amp;TEXT(C2825," yyyy"))</f>
        <v>April 26th,2019</v>
      </c>
      <c r="AB2825" s="15" t="str">
        <f aca="true">IF(S2825="","",DATEDIF(S2825,TODAY(),"Y")&amp;" Tahun, "&amp;DATEDIF(S2825,TODAY(),"YM")&amp;" Bulan, "&amp;DATEDIF(S2825,TODAY(),"MD")&amp;" Hari")</f>
        <v>44 Tahun, 4 Bulan, 14 Hari</v>
      </c>
      <c r="AC2825" s="18" t="n">
        <v>45931</v>
      </c>
      <c r="AD2825" s="18" t="n">
        <v>46022</v>
      </c>
      <c r="AE2825" s="18" t="s">
        <v>44</v>
      </c>
    </row>
    <row r="2826" customFormat="false" ht="15" hidden="false" customHeight="true" outlineLevel="0" collapsed="false">
      <c r="A2826" s="12" t="n">
        <v>21143</v>
      </c>
      <c r="B2826" s="13" t="s">
        <v>11968</v>
      </c>
      <c r="C2826" s="14" t="n">
        <v>45931</v>
      </c>
      <c r="D2826" s="13" t="s">
        <v>11961</v>
      </c>
      <c r="E2826" s="15" t="s">
        <v>9415</v>
      </c>
      <c r="F2826" s="15" t="str">
        <f aca="false">IFERROR(__xludf.dummyfunction("XLOOKUP(AJ2826,IMPORTRANGE(""1XaInW9DU9nz21V0tYIfzFQ0He9kVQ_JF2mCXgZ3hqFA"",""REKAP ALL 2026 - Andika!G:G""),IMPORTRANGE(""1XaInW9DU9nz21V0tYIfzFQ0He9kVQ_JF2mCXgZ3hqFA"",""REKAP ALL 2026 - Andika!F:F""),"""",0)"),"21003186497")</f>
        <v>21003186497</v>
      </c>
      <c r="G2826" s="28" t="s">
        <v>57</v>
      </c>
      <c r="H2826" s="13" t="s">
        <v>35</v>
      </c>
      <c r="I2826" s="13" t="str">
        <f aca="false">IF(C2826=J2826,"NEW KONTRAK","RE-KONTRAK")</f>
        <v>NEW KONTRAK</v>
      </c>
      <c r="J2826" s="16" t="n">
        <f aca="false" t="array" ref="J2826:J2826">IFERROR(INDEX(AC2826:AE2826,IF(COUNTA(AC2826:AE2826)=0,"",MAX((AC2826:AE2826&lt;&gt;"")*(COLUMN(AC2826:AE2826)-(COLUMN(AC2826)))))-1),"")</f>
        <v>45931</v>
      </c>
      <c r="K2826" s="16" t="n">
        <f aca="false" t="array" ref="K2826:K2826">IFERROR(INDEX(AC2826:AE2826,IF(COUNTA(AC2826:AE2826)=0,"",MAX((AC2826:AE2826&lt;&gt;"")*(COLUMN(AC2826:AE2826)-(COLUMN(AC2826)-1))))-1),"")</f>
        <v>46022</v>
      </c>
      <c r="L2826" s="17" t="str">
        <f aca="false" t="array" ref="L2826:L2826">IFERROR(INDEX(AC2826:AE2826,IF(COUNTA(AC2826:AE2826)=0,"",MAX((AC2826:AE2826&lt;&gt;"")*(COLUMN(AC2826:AE2826)-(COLUMN(AC2826)-2))))-1),"")</f>
        <v>ARCHIVED</v>
      </c>
      <c r="M2826" s="13" t="n">
        <f aca="true">K2826-TODAY()</f>
        <v>-302</v>
      </c>
      <c r="N2826" s="18" t="s">
        <v>615</v>
      </c>
      <c r="O2826" s="13" t="s">
        <v>11969</v>
      </c>
      <c r="P2826" s="19" t="n">
        <v>4856026</v>
      </c>
      <c r="Q2826" s="20" t="s">
        <v>11970</v>
      </c>
      <c r="R2826" s="13" t="s">
        <v>232</v>
      </c>
      <c r="S2826" s="14" t="n">
        <v>31546</v>
      </c>
      <c r="T2826" s="13" t="s">
        <v>40</v>
      </c>
      <c r="U2826" s="13" t="s">
        <v>11971</v>
      </c>
      <c r="V2826" s="13" t="s">
        <v>42</v>
      </c>
      <c r="W2826" s="13" t="s">
        <v>54</v>
      </c>
      <c r="X2826" s="21" t="n">
        <v>89530406777</v>
      </c>
      <c r="Y2826" s="22" t="str">
        <f aca="false">O2826</f>
        <v>Karyawan Gudang</v>
      </c>
      <c r="Z2826" s="13" t="str">
        <f aca="false">IFERROR(__xludf.dummyfunction("if(BJ2826="""","""",GOOGLETRANSLATE(BJ2826,""auto"",""en""))"),"Warehouse Employee")</f>
        <v>Warehouse Employee</v>
      </c>
      <c r="AA2826" s="23" t="str">
        <f aca="false">IF(C2826="","", CHOOSE(MONTH(C2826),"January","February","March","April","May","June","July","August","September","October","November","December")&amp;" "&amp;DAY(C2826)&amp;MID("thstndrdth",MIN(9,2*RIGHT(DAY(C2826))*(MOD(DAY(C2826)-11,100)&gt;2)+1),2)&amp;","&amp;TEXT(C2826," yyyy"))</f>
        <v>October 1st,2025</v>
      </c>
      <c r="AB2826" s="15" t="str">
        <f aca="true">IF(S2826="","",DATEDIF(S2826,TODAY(),"Y")&amp;" Tahun, "&amp;DATEDIF(S2826,TODAY(),"YM")&amp;" Bulan, "&amp;DATEDIF(S2826,TODAY(),"MD")&amp;" Hari")</f>
        <v>40 Tahun, 5 Bulan, 15 Hari</v>
      </c>
      <c r="AC2826" s="18" t="n">
        <v>45931</v>
      </c>
      <c r="AD2826" s="18" t="n">
        <v>46022</v>
      </c>
      <c r="AE2826" s="18" t="s">
        <v>44</v>
      </c>
    </row>
    <row r="2827" customFormat="false" ht="15" hidden="false" customHeight="true" outlineLevel="0" collapsed="false">
      <c r="A2827" s="12" t="n">
        <v>21144</v>
      </c>
      <c r="B2827" s="13" t="s">
        <v>11972</v>
      </c>
      <c r="C2827" s="14" t="n">
        <v>43559</v>
      </c>
      <c r="D2827" s="13" t="s">
        <v>11961</v>
      </c>
      <c r="E2827" s="15" t="s">
        <v>102</v>
      </c>
      <c r="F2827" s="15" t="str">
        <f aca="false">IFERROR(__xludf.dummyfunction("XLOOKUP(AJ2827,IMPORTRANGE(""1XaInW9DU9nz21V0tYIfzFQ0He9kVQ_JF2mCXgZ3hqFA"",""REKAP ALL 2026 - Andika!G:G""),IMPORTRANGE(""1XaInW9DU9nz21V0tYIfzFQ0He9kVQ_JF2mCXgZ3hqFA"",""REKAP ALL 2026 - Andika!F:F""),"""",0)"),"19040648859")</f>
        <v>19040648859</v>
      </c>
      <c r="G2827" s="28" t="s">
        <v>57</v>
      </c>
      <c r="H2827" s="13" t="s">
        <v>35</v>
      </c>
      <c r="I2827" s="13" t="str">
        <f aca="false">IF(C2827=J2827,"NEW KONTRAK","RE-KONTRAK")</f>
        <v>RE-KONTRAK</v>
      </c>
      <c r="J2827" s="16" t="n">
        <f aca="false" t="array" ref="J2827:J2827">IFERROR(INDEX(AC2827:AE2827,IF(COUNTA(AC2827:AE2827)=0,"",MAX((AC2827:AE2827&lt;&gt;"")*(COLUMN(AC2827:AE2827)-(COLUMN(AC2827)))))-1),"")</f>
        <v>45931</v>
      </c>
      <c r="K2827" s="16" t="n">
        <f aca="false" t="array" ref="K2827:K2827">IFERROR(INDEX(AC2827:AE2827,IF(COUNTA(AC2827:AE2827)=0,"",MAX((AC2827:AE2827&lt;&gt;"")*(COLUMN(AC2827:AE2827)-(COLUMN(AC2827)-1))))-1),"")</f>
        <v>46022</v>
      </c>
      <c r="L2827" s="17" t="str">
        <f aca="false" t="array" ref="L2827:L2827">IFERROR(INDEX(AC2827:AE2827,IF(COUNTA(AC2827:AE2827)=0,"",MAX((AC2827:AE2827&lt;&gt;"")*(COLUMN(AC2827:AE2827)-(COLUMN(AC2827)-2))))-1),"")</f>
        <v>ARCHIVED</v>
      </c>
      <c r="M2827" s="13" t="n">
        <f aca="true">K2827-TODAY()</f>
        <v>-302</v>
      </c>
      <c r="N2827" s="18" t="s">
        <v>615</v>
      </c>
      <c r="O2827" s="13" t="s">
        <v>11973</v>
      </c>
      <c r="P2827" s="19" t="n">
        <v>4856026</v>
      </c>
      <c r="Q2827" s="20" t="s">
        <v>11974</v>
      </c>
      <c r="R2827" s="13" t="s">
        <v>763</v>
      </c>
      <c r="S2827" s="14" t="n">
        <v>25750</v>
      </c>
      <c r="T2827" s="13" t="s">
        <v>108</v>
      </c>
      <c r="U2827" s="13" t="s">
        <v>11975</v>
      </c>
      <c r="V2827" s="13" t="s">
        <v>42</v>
      </c>
      <c r="W2827" s="13" t="s">
        <v>54</v>
      </c>
      <c r="X2827" s="21" t="n">
        <v>85704910008</v>
      </c>
      <c r="Y2827" s="22" t="str">
        <f aca="false">O2827</f>
        <v>HRD</v>
      </c>
      <c r="Z2827" s="13" t="str">
        <f aca="false">IFERROR(__xludf.dummyfunction("if(BJ2827="""","""",GOOGLETRANSLATE(BJ2827,""auto"",""en""))"),"HRD")</f>
        <v>HRD</v>
      </c>
      <c r="AA2827" s="23" t="str">
        <f aca="false">IF(C2827="","", CHOOSE(MONTH(C2827),"January","February","March","April","May","June","July","August","September","October","November","December")&amp;" "&amp;DAY(C2827)&amp;MID("thstndrdth",MIN(9,2*RIGHT(DAY(C2827))*(MOD(DAY(C2827)-11,100)&gt;2)+1),2)&amp;","&amp;TEXT(C2827," yyyy"))</f>
        <v>April 4th,2019</v>
      </c>
      <c r="AB2827" s="15" t="str">
        <f aca="true">IF(S2827="","",DATEDIF(S2827,TODAY(),"Y")&amp;" Tahun, "&amp;DATEDIF(S2827,TODAY(),"YM")&amp;" Bulan, "&amp;DATEDIF(S2827,TODAY(),"MD")&amp;" Hari")</f>
        <v>56 Tahun, 3 Bulan, 28 Hari</v>
      </c>
      <c r="AC2827" s="18" t="n">
        <v>45931</v>
      </c>
      <c r="AD2827" s="18" t="n">
        <v>46022</v>
      </c>
      <c r="AE2827" s="18" t="s">
        <v>44</v>
      </c>
    </row>
    <row r="2828" customFormat="false" ht="15" hidden="false" customHeight="true" outlineLevel="0" collapsed="false">
      <c r="A2828" s="12" t="n">
        <v>21145</v>
      </c>
      <c r="B2828" s="13" t="s">
        <v>11976</v>
      </c>
      <c r="C2828" s="16" t="n">
        <v>45699</v>
      </c>
      <c r="D2828" s="13" t="s">
        <v>11961</v>
      </c>
      <c r="E2828" s="15" t="s">
        <v>47</v>
      </c>
      <c r="F2828" s="15" t="str">
        <f aca="false">IFERROR(__xludf.dummyfunction("XLOOKUP(AJ2828,IMPORTRANGE(""1XaInW9DU9nz21V0tYIfzFQ0He9kVQ_JF2mCXgZ3hqFA"",""REKAP ALL 2026 - Andika!G:G""),IMPORTRANGE(""1XaInW9DU9nz21V0tYIfzFQ0He9kVQ_JF2mCXgZ3hqFA"",""REKAP ALL 2026 - Andika!F:F""),"""",0)"),"25026105384")</f>
        <v>25026105384</v>
      </c>
      <c r="G2828" s="28" t="s">
        <v>57</v>
      </c>
      <c r="H2828" s="13" t="s">
        <v>35</v>
      </c>
      <c r="I2828" s="13" t="str">
        <f aca="false">IF(C2828=J2828,"NEW KONTRAK","RE-KONTRAK")</f>
        <v>RE-KONTRAK</v>
      </c>
      <c r="J2828" s="16" t="n">
        <f aca="false" t="array" ref="J2828:J2828">IFERROR(INDEX(AC2828:AE2828,IF(COUNTA(AC2828:AE2828)=0,"",MAX((AC2828:AE2828&lt;&gt;"")*(COLUMN(AC2828:AE2828)-(COLUMN(AC2828)))))-1),"")</f>
        <v>45931</v>
      </c>
      <c r="K2828" s="16" t="n">
        <f aca="false" t="array" ref="K2828:K2828">IFERROR(INDEX(AC2828:AE2828,IF(COUNTA(AC2828:AE2828)=0,"",MAX((AC2828:AE2828&lt;&gt;"")*(COLUMN(AC2828:AE2828)-(COLUMN(AC2828)-1))))-1),"")</f>
        <v>46022</v>
      </c>
      <c r="L2828" s="17" t="str">
        <f aca="false" t="array" ref="L2828:L2828">IFERROR(INDEX(AC2828:AE2828,IF(COUNTA(AC2828:AE2828)=0,"",MAX((AC2828:AE2828&lt;&gt;"")*(COLUMN(AC2828:AE2828)-(COLUMN(AC2828)-2))))-1),"")</f>
        <v>ARCHIVED</v>
      </c>
      <c r="M2828" s="13" t="n">
        <f aca="true">K2828-TODAY()</f>
        <v>-302</v>
      </c>
      <c r="N2828" s="18" t="s">
        <v>615</v>
      </c>
      <c r="O2828" s="13" t="s">
        <v>298</v>
      </c>
      <c r="P2828" s="19" t="n">
        <v>5176101</v>
      </c>
      <c r="Q2828" s="20" t="s">
        <v>11977</v>
      </c>
      <c r="R2828" s="13" t="s">
        <v>324</v>
      </c>
      <c r="S2828" s="14" t="n">
        <v>28772</v>
      </c>
      <c r="T2828" s="28" t="s">
        <v>40</v>
      </c>
      <c r="U2828" s="13" t="s">
        <v>11978</v>
      </c>
      <c r="V2828" s="13" t="s">
        <v>42</v>
      </c>
      <c r="W2828" s="13" t="s">
        <v>54</v>
      </c>
      <c r="X2828" s="21" t="n">
        <v>85808306217</v>
      </c>
      <c r="Y2828" s="22" t="str">
        <f aca="false">O2828</f>
        <v>Maintenance</v>
      </c>
      <c r="Z2828" s="13" t="str">
        <f aca="false">IFERROR(__xludf.dummyfunction("if(BJ2828="""","""",GOOGLETRANSLATE(BJ2828,""auto"",""en""))"),"Maintenance")</f>
        <v>Maintenance</v>
      </c>
      <c r="AA2828" s="23" t="str">
        <f aca="false">IF(C2828="","", CHOOSE(MONTH(C2828),"January","February","March","April","May","June","July","August","September","October","November","December")&amp;" "&amp;DAY(C2828)&amp;MID("thstndrdth",MIN(9,2*RIGHT(DAY(C2828))*(MOD(DAY(C2828)-11,100)&gt;2)+1),2)&amp;","&amp;TEXT(C2828," yyyy"))</f>
        <v>February 11th,2025</v>
      </c>
      <c r="AB2828" s="15" t="str">
        <f aca="true">IF(S2828="","",DATEDIF(S2828,TODAY(),"Y")&amp;" Tahun, "&amp;DATEDIF(S2828,TODAY(),"YM")&amp;" Bulan, "&amp;DATEDIF(S2828,TODAY(),"MD")&amp;" Hari")</f>
        <v>48 Tahun, 0 Bulan, 20 Hari</v>
      </c>
      <c r="AC2828" s="18" t="n">
        <v>45931</v>
      </c>
      <c r="AD2828" s="18" t="n">
        <v>46022</v>
      </c>
      <c r="AE2828" s="18" t="s">
        <v>44</v>
      </c>
    </row>
    <row r="2829" customFormat="false" ht="15" hidden="false" customHeight="true" outlineLevel="0" collapsed="false">
      <c r="A2829" s="12" t="n">
        <v>21146</v>
      </c>
      <c r="B2829" s="13" t="s">
        <v>11979</v>
      </c>
      <c r="C2829" s="16" t="n">
        <v>45819</v>
      </c>
      <c r="D2829" s="13" t="s">
        <v>11961</v>
      </c>
      <c r="E2829" s="15" t="s">
        <v>33</v>
      </c>
      <c r="F2829" s="24" t="s">
        <v>11980</v>
      </c>
      <c r="G2829" s="28" t="s">
        <v>57</v>
      </c>
      <c r="H2829" s="13" t="s">
        <v>35</v>
      </c>
      <c r="I2829" s="13" t="str">
        <f aca="false">IF(C2829=J2829,"NEW KONTRAK","RE-KONTRAK")</f>
        <v>RE-KONTRAK</v>
      </c>
      <c r="J2829" s="16" t="n">
        <f aca="false" t="array" ref="J2829:J2829">IFERROR(INDEX(AC2829:AE2829,IF(COUNTA(AC2829:AE2829)=0,"",MAX((AC2829:AE2829&lt;&gt;"")*(COLUMN(AC2829:AE2829)-(COLUMN(AC2829)))))-1),"")</f>
        <v>45931</v>
      </c>
      <c r="K2829" s="16" t="n">
        <f aca="false" t="array" ref="K2829:K2829">IFERROR(INDEX(AC2829:AE2829,IF(COUNTA(AC2829:AE2829)=0,"",MAX((AC2829:AE2829&lt;&gt;"")*(COLUMN(AC2829:AE2829)-(COLUMN(AC2829)-1))))-1),"")</f>
        <v>46022</v>
      </c>
      <c r="L2829" s="17" t="str">
        <f aca="false" t="array" ref="L2829:L2829">IFERROR(INDEX(AC2829:AE2829,IF(COUNTA(AC2829:AE2829)=0,"",MAX((AC2829:AE2829&lt;&gt;"")*(COLUMN(AC2829:AE2829)-(COLUMN(AC2829)-2))))-1),"")</f>
        <v>ARCHIVED</v>
      </c>
      <c r="M2829" s="13" t="n">
        <f aca="true">K2829-TODAY()</f>
        <v>-302</v>
      </c>
      <c r="N2829" s="18" t="s">
        <v>615</v>
      </c>
      <c r="O2829" s="13" t="s">
        <v>11981</v>
      </c>
      <c r="P2829" s="19" t="n">
        <v>4856026</v>
      </c>
      <c r="Q2829" s="20" t="s">
        <v>11982</v>
      </c>
      <c r="R2829" s="13" t="s">
        <v>52</v>
      </c>
      <c r="S2829" s="14" t="n">
        <v>27806</v>
      </c>
      <c r="T2829" s="28" t="s">
        <v>40</v>
      </c>
      <c r="U2829" s="13" t="s">
        <v>11983</v>
      </c>
      <c r="V2829" s="13" t="s">
        <v>42</v>
      </c>
      <c r="W2829" s="13" t="s">
        <v>54</v>
      </c>
      <c r="X2829" s="21" t="n">
        <v>81334679766</v>
      </c>
      <c r="Y2829" s="22" t="str">
        <f aca="false">O2829</f>
        <v>EXIM</v>
      </c>
      <c r="Z2829" s="13" t="str">
        <f aca="false">IFERROR(__xludf.dummyfunction("if(BJ2829="""","""",GOOGLETRANSLATE(BJ2829,""auto"",""en""))"),"EXIM")</f>
        <v>EXIM</v>
      </c>
      <c r="AA2829" s="23" t="str">
        <f aca="false">IF(C2829="","", CHOOSE(MONTH(C2829),"January","February","March","April","May","June","July","August","September","October","November","December")&amp;" "&amp;DAY(C2829)&amp;MID("thstndrdth",MIN(9,2*RIGHT(DAY(C2829))*(MOD(DAY(C2829)-11,100)&gt;2)+1),2)&amp;","&amp;TEXT(C2829," yyyy"))</f>
        <v>June 11th,2025</v>
      </c>
      <c r="AB2829" s="15" t="str">
        <f aca="true">IF(S2829="","",DATEDIF(S2829,TODAY(),"Y")&amp;" Tahun, "&amp;DATEDIF(S2829,TODAY(),"YM")&amp;" Bulan, "&amp;DATEDIF(S2829,TODAY(),"MD")&amp;" Hari")</f>
        <v>50 Tahun, 8 Bulan, 13 Hari</v>
      </c>
      <c r="AC2829" s="18" t="n">
        <v>45931</v>
      </c>
      <c r="AD2829" s="18" t="n">
        <v>46022</v>
      </c>
      <c r="AE2829" s="18" t="s">
        <v>44</v>
      </c>
    </row>
    <row r="2830" customFormat="false" ht="15" hidden="false" customHeight="true" outlineLevel="0" collapsed="false">
      <c r="A2830" s="12" t="n">
        <v>21147</v>
      </c>
      <c r="B2830" s="13" t="s">
        <v>11984</v>
      </c>
      <c r="C2830" s="16" t="n">
        <v>45819</v>
      </c>
      <c r="D2830" s="13" t="s">
        <v>11961</v>
      </c>
      <c r="E2830" s="15" t="s">
        <v>102</v>
      </c>
      <c r="F2830" s="15" t="str">
        <f aca="false">IFERROR(__xludf.dummyfunction("XLOOKUP(AJ2830,IMPORTRANGE(""1XaInW9DU9nz21V0tYIfzFQ0He9kVQ_JF2mCXgZ3hqFA"",""REKAP ALL 2026 - Andika!G:G""),IMPORTRANGE(""1XaInW9DU9nz21V0tYIfzFQ0He9kVQ_JF2mCXgZ3hqFA"",""REKAP ALL 2026 - Andika!F:F""),"""",0)"),"25079805435")</f>
        <v>25079805435</v>
      </c>
      <c r="G2830" s="28" t="s">
        <v>57</v>
      </c>
      <c r="H2830" s="13" t="s">
        <v>35</v>
      </c>
      <c r="I2830" s="13" t="str">
        <f aca="false">IF(C2830=J2830,"NEW KONTRAK","RE-KONTRAK")</f>
        <v>RE-KONTRAK</v>
      </c>
      <c r="J2830" s="16" t="n">
        <f aca="false" t="array" ref="J2830:J2830">IFERROR(INDEX(AC2830:AE2830,IF(COUNTA(AC2830:AE2830)=0,"",MAX((AC2830:AE2830&lt;&gt;"")*(COLUMN(AC2830:AE2830)-(COLUMN(AC2830)))))-1),"")</f>
        <v>45931</v>
      </c>
      <c r="K2830" s="16" t="n">
        <f aca="false" t="array" ref="K2830:K2830">IFERROR(INDEX(AC2830:AE2830,IF(COUNTA(AC2830:AE2830)=0,"",MAX((AC2830:AE2830&lt;&gt;"")*(COLUMN(AC2830:AE2830)-(COLUMN(AC2830)-1))))-1),"")</f>
        <v>46022</v>
      </c>
      <c r="L2830" s="17" t="str">
        <f aca="false" t="array" ref="L2830:L2830">IFERROR(INDEX(AC2830:AE2830,IF(COUNTA(AC2830:AE2830)=0,"",MAX((AC2830:AE2830&lt;&gt;"")*(COLUMN(AC2830:AE2830)-(COLUMN(AC2830)-2))))-1),"")</f>
        <v>ARCHIVED</v>
      </c>
      <c r="M2830" s="13" t="n">
        <f aca="true">K2830-TODAY()</f>
        <v>-302</v>
      </c>
      <c r="N2830" s="18" t="s">
        <v>615</v>
      </c>
      <c r="O2830" s="13" t="s">
        <v>11985</v>
      </c>
      <c r="P2830" s="19" t="n">
        <v>4856026</v>
      </c>
      <c r="Q2830" s="20" t="s">
        <v>11986</v>
      </c>
      <c r="R2830" s="13" t="s">
        <v>735</v>
      </c>
      <c r="S2830" s="14" t="n">
        <v>27206</v>
      </c>
      <c r="T2830" s="13" t="s">
        <v>108</v>
      </c>
      <c r="U2830" s="13" t="s">
        <v>11987</v>
      </c>
      <c r="V2830" s="13" t="s">
        <v>42</v>
      </c>
      <c r="W2830" s="13" t="s">
        <v>54</v>
      </c>
      <c r="X2830" s="21" t="n">
        <v>85808306217</v>
      </c>
      <c r="Y2830" s="22" t="str">
        <f aca="false">O2830</f>
        <v>Chef</v>
      </c>
      <c r="Z2830" s="13" t="str">
        <f aca="false">IFERROR(__xludf.dummyfunction("if(BJ2830="""","""",GOOGLETRANSLATE(BJ2830,""auto"",""en""))"),"Chef")</f>
        <v>Chef</v>
      </c>
      <c r="AA2830" s="23" t="str">
        <f aca="false">IF(C2830="","", CHOOSE(MONTH(C2830),"January","February","March","April","May","June","July","August","September","October","November","December")&amp;" "&amp;DAY(C2830)&amp;MID("thstndrdth",MIN(9,2*RIGHT(DAY(C2830))*(MOD(DAY(C2830)-11,100)&gt;2)+1),2)&amp;","&amp;TEXT(C2830," yyyy"))</f>
        <v>June 11th,2025</v>
      </c>
      <c r="AB2830" s="15" t="str">
        <f aca="true">IF(S2830="","",DATEDIF(S2830,TODAY(),"Y")&amp;" Tahun, "&amp;DATEDIF(S2830,TODAY(),"YM")&amp;" Bulan, "&amp;DATEDIF(S2830,TODAY(),"MD")&amp;" Hari")</f>
        <v>52 Tahun, 4 Bulan, 3 Hari</v>
      </c>
      <c r="AC2830" s="18" t="n">
        <v>45931</v>
      </c>
      <c r="AD2830" s="18" t="n">
        <v>46022</v>
      </c>
      <c r="AE2830" s="18" t="s">
        <v>44</v>
      </c>
    </row>
    <row r="2831" customFormat="false" ht="15" hidden="false" customHeight="true" outlineLevel="0" collapsed="false">
      <c r="A2831" s="12" t="n">
        <v>21148</v>
      </c>
      <c r="B2831" s="13" t="s">
        <v>11988</v>
      </c>
      <c r="C2831" s="16" t="n">
        <v>45848</v>
      </c>
      <c r="D2831" s="13" t="s">
        <v>11961</v>
      </c>
      <c r="E2831" s="15" t="s">
        <v>47</v>
      </c>
      <c r="F2831" s="15" t="str">
        <f aca="false">IFERROR(__xludf.dummyfunction("XLOOKUP(AJ2831,IMPORTRANGE(""1XaInW9DU9nz21V0tYIfzFQ0He9kVQ_JF2mCXgZ3hqFA"",""REKAP ALL 2026 - Andika!G:G""),IMPORTRANGE(""1XaInW9DU9nz21V0tYIfzFQ0He9kVQ_JF2mCXgZ3hqFA"",""REKAP ALL 2026 - Andika!F:F""),"""",0)"),"25099756204")</f>
        <v>25099756204</v>
      </c>
      <c r="G2831" s="28" t="s">
        <v>57</v>
      </c>
      <c r="H2831" s="13" t="s">
        <v>35</v>
      </c>
      <c r="I2831" s="13" t="str">
        <f aca="false">IF(C2831=J2831,"NEW KONTRAK","RE-KONTRAK")</f>
        <v>RE-KONTRAK</v>
      </c>
      <c r="J2831" s="16" t="n">
        <f aca="false" t="array" ref="J2831:J2831">IFERROR(INDEX(AC2831:AE2831,IF(COUNTA(AC2831:AE2831)=0,"",MAX((AC2831:AE2831&lt;&gt;"")*(COLUMN(AC2831:AE2831)-(COLUMN(AC2831)))))-1),"")</f>
        <v>45931</v>
      </c>
      <c r="K2831" s="16" t="n">
        <f aca="false" t="array" ref="K2831:K2831">IFERROR(INDEX(AC2831:AE2831,IF(COUNTA(AC2831:AE2831)=0,"",MAX((AC2831:AE2831&lt;&gt;"")*(COLUMN(AC2831:AE2831)-(COLUMN(AC2831)-1))))-1),"")</f>
        <v>46022</v>
      </c>
      <c r="L2831" s="17" t="str">
        <f aca="false" t="array" ref="L2831:L2831">IFERROR(INDEX(AC2831:AE2831,IF(COUNTA(AC2831:AE2831)=0,"",MAX((AC2831:AE2831&lt;&gt;"")*(COLUMN(AC2831:AE2831)-(COLUMN(AC2831)-2))))-1),"")</f>
        <v>ARCHIVED</v>
      </c>
      <c r="M2831" s="13" t="n">
        <f aca="true">K2831-TODAY()</f>
        <v>-302</v>
      </c>
      <c r="N2831" s="18" t="s">
        <v>615</v>
      </c>
      <c r="O2831" s="13" t="s">
        <v>3599</v>
      </c>
      <c r="P2831" s="19" t="n">
        <v>5176101</v>
      </c>
      <c r="Q2831" s="20" t="s">
        <v>11989</v>
      </c>
      <c r="R2831" s="13" t="s">
        <v>232</v>
      </c>
      <c r="S2831" s="14" t="n">
        <v>36709</v>
      </c>
      <c r="T2831" s="28" t="s">
        <v>40</v>
      </c>
      <c r="U2831" s="13" t="s">
        <v>11990</v>
      </c>
      <c r="V2831" s="13" t="s">
        <v>42</v>
      </c>
      <c r="W2831" s="13" t="s">
        <v>43</v>
      </c>
      <c r="X2831" s="21" t="n">
        <v>85604986690</v>
      </c>
      <c r="Y2831" s="22" t="str">
        <f aca="false">O2831</f>
        <v>Admin Gudang</v>
      </c>
      <c r="Z2831" s="13" t="str">
        <f aca="false">IFERROR(__xludf.dummyfunction("if(BJ2831="""","""",GOOGLETRANSLATE(BJ2831,""auto"",""en""))"),"Warehouse Admin")</f>
        <v>Warehouse Admin</v>
      </c>
      <c r="AA2831" s="23" t="str">
        <f aca="false">IF(C2831="","", CHOOSE(MONTH(C2831),"January","February","March","April","May","June","July","August","September","October","November","December")&amp;" "&amp;DAY(C2831)&amp;MID("thstndrdth",MIN(9,2*RIGHT(DAY(C2831))*(MOD(DAY(C2831)-11,100)&gt;2)+1),2)&amp;","&amp;TEXT(C2831," yyyy"))</f>
        <v>July 10th,2025</v>
      </c>
      <c r="AB2831" s="15" t="str">
        <f aca="true">IF(S2831="","",DATEDIF(S2831,TODAY(),"Y")&amp;" Tahun, "&amp;DATEDIF(S2831,TODAY(),"YM")&amp;" Bulan, "&amp;DATEDIF(S2831,TODAY(),"MD")&amp;" Hari")</f>
        <v>26 Tahun, 3 Bulan, 27 Hari</v>
      </c>
      <c r="AC2831" s="18" t="n">
        <v>45931</v>
      </c>
      <c r="AD2831" s="18" t="n">
        <v>46022</v>
      </c>
      <c r="AE2831" s="18" t="s">
        <v>44</v>
      </c>
    </row>
    <row r="2832" customFormat="false" ht="15" hidden="false" customHeight="true" outlineLevel="0" collapsed="false">
      <c r="A2832" s="12" t="n">
        <v>21149</v>
      </c>
      <c r="B2832" s="13" t="s">
        <v>11991</v>
      </c>
      <c r="C2832" s="16" t="n">
        <v>45848</v>
      </c>
      <c r="D2832" s="13" t="s">
        <v>11961</v>
      </c>
      <c r="E2832" s="15" t="s">
        <v>47</v>
      </c>
      <c r="F2832" s="15" t="str">
        <f aca="false">IFERROR(__xludf.dummyfunction("XLOOKUP(AJ2832,IMPORTRANGE(""1XaInW9DU9nz21V0tYIfzFQ0He9kVQ_JF2mCXgZ3hqFA"",""REKAP ALL 2026 - Andika!G:G""),IMPORTRANGE(""1XaInW9DU9nz21V0tYIfzFQ0He9kVQ_JF2mCXgZ3hqFA"",""REKAP ALL 2026 - Andika!F:F""),"""",0)"),"25099756196")</f>
        <v>25099756196</v>
      </c>
      <c r="G2832" s="28" t="s">
        <v>57</v>
      </c>
      <c r="H2832" s="13" t="s">
        <v>35</v>
      </c>
      <c r="I2832" s="13" t="str">
        <f aca="false">IF(C2832=J2832,"NEW KONTRAK","RE-KONTRAK")</f>
        <v>RE-KONTRAK</v>
      </c>
      <c r="J2832" s="16" t="n">
        <f aca="false" t="array" ref="J2832:J2832">IFERROR(INDEX(AC2832:AE2832,IF(COUNTA(AC2832:AE2832)=0,"",MAX((AC2832:AE2832&lt;&gt;"")*(COLUMN(AC2832:AE2832)-(COLUMN(AC2832)))))-1),"")</f>
        <v>45931</v>
      </c>
      <c r="K2832" s="16" t="n">
        <f aca="false" t="array" ref="K2832:K2832">IFERROR(INDEX(AC2832:AE2832,IF(COUNTA(AC2832:AE2832)=0,"",MAX((AC2832:AE2832&lt;&gt;"")*(COLUMN(AC2832:AE2832)-(COLUMN(AC2832)-1))))-1),"")</f>
        <v>46022</v>
      </c>
      <c r="L2832" s="17" t="str">
        <f aca="false" t="array" ref="L2832:L2832">IFERROR(INDEX(AC2832:AE2832,IF(COUNTA(AC2832:AE2832)=0,"",MAX((AC2832:AE2832&lt;&gt;"")*(COLUMN(AC2832:AE2832)-(COLUMN(AC2832)-2))))-1),"")</f>
        <v>ARCHIVED</v>
      </c>
      <c r="M2832" s="13" t="n">
        <f aca="true">K2832-TODAY()</f>
        <v>-302</v>
      </c>
      <c r="N2832" s="18" t="s">
        <v>615</v>
      </c>
      <c r="O2832" s="13" t="s">
        <v>11992</v>
      </c>
      <c r="P2832" s="19" t="n">
        <v>5176101</v>
      </c>
      <c r="Q2832" s="20" t="s">
        <v>11993</v>
      </c>
      <c r="R2832" s="13" t="s">
        <v>232</v>
      </c>
      <c r="S2832" s="14" t="n">
        <v>38964</v>
      </c>
      <c r="T2832" s="28" t="s">
        <v>40</v>
      </c>
      <c r="U2832" s="13" t="s">
        <v>11994</v>
      </c>
      <c r="V2832" s="13" t="s">
        <v>42</v>
      </c>
      <c r="W2832" s="13" t="s">
        <v>43</v>
      </c>
      <c r="X2832" s="21" t="n">
        <v>81953655038</v>
      </c>
      <c r="Y2832" s="22" t="str">
        <f aca="false">O2832</f>
        <v>IT</v>
      </c>
      <c r="Z2832" s="13" t="str">
        <f aca="false">IFERROR(__xludf.dummyfunction("if(BJ2832="""","""",GOOGLETRANSLATE(BJ2832,""auto"",""en""))"),"IT")</f>
        <v>IT</v>
      </c>
      <c r="AA2832" s="23" t="str">
        <f aca="false">IF(C2832="","", CHOOSE(MONTH(C2832),"January","February","March","April","May","June","July","August","September","October","November","December")&amp;" "&amp;DAY(C2832)&amp;MID("thstndrdth",MIN(9,2*RIGHT(DAY(C2832))*(MOD(DAY(C2832)-11,100)&gt;2)+1),2)&amp;","&amp;TEXT(C2832," yyyy"))</f>
        <v>July 10th,2025</v>
      </c>
      <c r="AB2832" s="15" t="str">
        <f aca="true">IF(S2832="","",DATEDIF(S2832,TODAY(),"Y")&amp;" Tahun, "&amp;DATEDIF(S2832,TODAY(),"YM")&amp;" Bulan, "&amp;DATEDIF(S2832,TODAY(),"MD")&amp;" Hari")</f>
        <v>20 Tahun, 1 Bulan, 25 Hari</v>
      </c>
      <c r="AC2832" s="18" t="n">
        <v>45931</v>
      </c>
      <c r="AD2832" s="18" t="n">
        <v>46022</v>
      </c>
      <c r="AE2832" s="18" t="s">
        <v>44</v>
      </c>
    </row>
    <row r="2833" customFormat="false" ht="15" hidden="false" customHeight="true" outlineLevel="0" collapsed="false">
      <c r="A2833" s="12" t="n">
        <v>21150</v>
      </c>
      <c r="B2833" s="13" t="s">
        <v>11995</v>
      </c>
      <c r="C2833" s="16" t="n">
        <v>45860</v>
      </c>
      <c r="D2833" s="13" t="s">
        <v>11961</v>
      </c>
      <c r="E2833" s="15" t="s">
        <v>47</v>
      </c>
      <c r="F2833" s="15" t="str">
        <f aca="false">IFERROR(__xludf.dummyfunction("XLOOKUP(AJ2833,IMPORTRANGE(""1XaInW9DU9nz21V0tYIfzFQ0He9kVQ_JF2mCXgZ3hqFA"",""REKAP ALL 2026 - Andika!G:G""),IMPORTRANGE(""1XaInW9DU9nz21V0tYIfzFQ0He9kVQ_JF2mCXgZ3hqFA"",""REKAP ALL 2026 - Andika!F:F""),"""",0)"),"25099756220")</f>
        <v>25099756220</v>
      </c>
      <c r="G2833" s="28" t="s">
        <v>57</v>
      </c>
      <c r="H2833" s="13" t="s">
        <v>35</v>
      </c>
      <c r="I2833" s="13" t="str">
        <f aca="false">IF(C2833=J2833,"NEW KONTRAK","RE-KONTRAK")</f>
        <v>RE-KONTRAK</v>
      </c>
      <c r="J2833" s="16" t="n">
        <f aca="false" t="array" ref="J2833:J2833">IFERROR(INDEX(AC2833:AE2833,IF(COUNTA(AC2833:AE2833)=0,"",MAX((AC2833:AE2833&lt;&gt;"")*(COLUMN(AC2833:AE2833)-(COLUMN(AC2833)))))-1),"")</f>
        <v>45931</v>
      </c>
      <c r="K2833" s="16" t="n">
        <f aca="false" t="array" ref="K2833:K2833">IFERROR(INDEX(AC2833:AE2833,IF(COUNTA(AC2833:AE2833)=0,"",MAX((AC2833:AE2833&lt;&gt;"")*(COLUMN(AC2833:AE2833)-(COLUMN(AC2833)-1))))-1),"")</f>
        <v>46022</v>
      </c>
      <c r="L2833" s="17" t="str">
        <f aca="false" t="array" ref="L2833:L2833">IFERROR(INDEX(AC2833:AE2833,IF(COUNTA(AC2833:AE2833)=0,"",MAX((AC2833:AE2833&lt;&gt;"")*(COLUMN(AC2833:AE2833)-(COLUMN(AC2833)-2))))-1),"")</f>
        <v>ARCHIVED</v>
      </c>
      <c r="M2833" s="13" t="n">
        <f aca="true">K2833-TODAY()</f>
        <v>-302</v>
      </c>
      <c r="N2833" s="18" t="s">
        <v>615</v>
      </c>
      <c r="O2833" s="13" t="s">
        <v>6140</v>
      </c>
      <c r="P2833" s="19" t="n">
        <v>5176101</v>
      </c>
      <c r="Q2833" s="20" t="s">
        <v>11996</v>
      </c>
      <c r="R2833" s="13" t="s">
        <v>1611</v>
      </c>
      <c r="S2833" s="14" t="n">
        <v>37874</v>
      </c>
      <c r="T2833" s="13" t="s">
        <v>108</v>
      </c>
      <c r="U2833" s="13" t="s">
        <v>11997</v>
      </c>
      <c r="V2833" s="13" t="s">
        <v>42</v>
      </c>
      <c r="W2833" s="13" t="s">
        <v>43</v>
      </c>
      <c r="X2833" s="21" t="n">
        <v>81216031623</v>
      </c>
      <c r="Y2833" s="22" t="str">
        <f aca="false">O2833</f>
        <v>Purchasing</v>
      </c>
      <c r="Z2833" s="13" t="str">
        <f aca="false">IFERROR(__xludf.dummyfunction("if(BJ2833="""","""",GOOGLETRANSLATE(BJ2833,""auto"",""en""))"),"Purchasing")</f>
        <v>Purchasing</v>
      </c>
      <c r="AA2833" s="23" t="str">
        <f aca="false">IF(C2833="","", CHOOSE(MONTH(C2833),"January","February","March","April","May","June","July","August","September","October","November","December")&amp;" "&amp;DAY(C2833)&amp;MID("thstndrdth",MIN(9,2*RIGHT(DAY(C2833))*(MOD(DAY(C2833)-11,100)&gt;2)+1),2)&amp;","&amp;TEXT(C2833," yyyy"))</f>
        <v>July 22nd,2025</v>
      </c>
      <c r="AB2833" s="15" t="str">
        <f aca="true">IF(S2833="","",DATEDIF(S2833,TODAY(),"Y")&amp;" Tahun, "&amp;DATEDIF(S2833,TODAY(),"YM")&amp;" Bulan, "&amp;DATEDIF(S2833,TODAY(),"MD")&amp;" Hari")</f>
        <v>23 Tahun, 1 Bulan, 19 Hari</v>
      </c>
      <c r="AC2833" s="18" t="n">
        <v>45931</v>
      </c>
      <c r="AD2833" s="18" t="n">
        <v>46022</v>
      </c>
      <c r="AE2833" s="18" t="s">
        <v>44</v>
      </c>
    </row>
    <row r="2834" customFormat="false" ht="15" hidden="false" customHeight="true" outlineLevel="0" collapsed="false">
      <c r="A2834" s="12" t="n">
        <v>21151</v>
      </c>
      <c r="B2834" s="45" t="s">
        <v>11998</v>
      </c>
      <c r="C2834" s="16" t="n">
        <v>45861</v>
      </c>
      <c r="D2834" s="13" t="s">
        <v>11961</v>
      </c>
      <c r="E2834" s="15" t="s">
        <v>47</v>
      </c>
      <c r="F2834" s="15" t="str">
        <f aca="false">IFERROR(__xludf.dummyfunction("XLOOKUP(AJ2834,IMPORTRANGE(""1XaInW9DU9nz21V0tYIfzFQ0He9kVQ_JF2mCXgZ3hqFA"",""REKAP ALL 2026 - Andika!G:G""),IMPORTRANGE(""1XaInW9DU9nz21V0tYIfzFQ0He9kVQ_JF2mCXgZ3hqFA"",""REKAP ALL 2026 - Andika!F:F""),"""",0)"),"25099756212")</f>
        <v>25099756212</v>
      </c>
      <c r="G2834" s="28" t="s">
        <v>57</v>
      </c>
      <c r="H2834" s="13" t="s">
        <v>35</v>
      </c>
      <c r="I2834" s="13" t="str">
        <f aca="false">IF(C2834=J2834,"NEW KONTRAK","RE-KONTRAK")</f>
        <v>RE-KONTRAK</v>
      </c>
      <c r="J2834" s="16" t="n">
        <f aca="false" t="array" ref="J2834:J2834">IFERROR(INDEX(AC2834:AE2834,IF(COUNTA(AC2834:AE2834)=0,"",MAX((AC2834:AE2834&lt;&gt;"")*(COLUMN(AC2834:AE2834)-(COLUMN(AC2834)))))-1),"")</f>
        <v>45931</v>
      </c>
      <c r="K2834" s="16" t="n">
        <f aca="false" t="array" ref="K2834:K2834">IFERROR(INDEX(AC2834:AE2834,IF(COUNTA(AC2834:AE2834)=0,"",MAX((AC2834:AE2834&lt;&gt;"")*(COLUMN(AC2834:AE2834)-(COLUMN(AC2834)-1))))-1),"")</f>
        <v>46022</v>
      </c>
      <c r="L2834" s="17" t="str">
        <f aca="false" t="array" ref="L2834:L2834">IFERROR(INDEX(AC2834:AE2834,IF(COUNTA(AC2834:AE2834)=0,"",MAX((AC2834:AE2834&lt;&gt;"")*(COLUMN(AC2834:AE2834)-(COLUMN(AC2834)-2))))-1),"")</f>
        <v>ARCHIVED</v>
      </c>
      <c r="M2834" s="13" t="n">
        <f aca="true">K2834-TODAY()</f>
        <v>-302</v>
      </c>
      <c r="N2834" s="18" t="s">
        <v>615</v>
      </c>
      <c r="O2834" s="13" t="s">
        <v>11999</v>
      </c>
      <c r="P2834" s="19" t="n">
        <v>5176101</v>
      </c>
      <c r="Q2834" s="20" t="s">
        <v>12000</v>
      </c>
      <c r="R2834" s="13" t="s">
        <v>39</v>
      </c>
      <c r="S2834" s="14" t="n">
        <v>36657</v>
      </c>
      <c r="T2834" s="28" t="s">
        <v>40</v>
      </c>
      <c r="U2834" s="13" t="s">
        <v>12001</v>
      </c>
      <c r="V2834" s="13" t="s">
        <v>42</v>
      </c>
      <c r="W2834" s="13" t="s">
        <v>43</v>
      </c>
      <c r="X2834" s="21" t="n">
        <v>85791388252</v>
      </c>
      <c r="Y2834" s="22" t="str">
        <f aca="false">O2834</f>
        <v>PPIC</v>
      </c>
      <c r="Z2834" s="13" t="str">
        <f aca="false">IFERROR(__xludf.dummyfunction("if(BJ2834="""","""",GOOGLETRANSLATE(BJ2834,""auto"",""en""))"),"PPIC")</f>
        <v>PPIC</v>
      </c>
      <c r="AA2834" s="23" t="str">
        <f aca="false">IF(C2834="","", CHOOSE(MONTH(C2834),"January","February","March","April","May","June","July","August","September","October","November","December")&amp;" "&amp;DAY(C2834)&amp;MID("thstndrdth",MIN(9,2*RIGHT(DAY(C2834))*(MOD(DAY(C2834)-11,100)&gt;2)+1),2)&amp;","&amp;TEXT(C2834," yyyy"))</f>
        <v>July 23rd,2025</v>
      </c>
      <c r="AB2834" s="15" t="str">
        <f aca="true">IF(S2834="","",DATEDIF(S2834,TODAY(),"Y")&amp;" Tahun, "&amp;DATEDIF(S2834,TODAY(),"YM")&amp;" Bulan, "&amp;DATEDIF(S2834,TODAY(),"MD")&amp;" Hari")</f>
        <v>26 Tahun, 5 Bulan, 18 Hari</v>
      </c>
      <c r="AC2834" s="18" t="n">
        <v>45931</v>
      </c>
      <c r="AD2834" s="18" t="n">
        <v>46022</v>
      </c>
      <c r="AE2834" s="18" t="s">
        <v>44</v>
      </c>
    </row>
    <row r="2835" customFormat="false" ht="15" hidden="false" customHeight="true" outlineLevel="0" collapsed="false">
      <c r="A2835" s="12" t="n">
        <v>21152</v>
      </c>
      <c r="B2835" s="13" t="s">
        <v>12002</v>
      </c>
      <c r="C2835" s="16" t="n">
        <v>45870</v>
      </c>
      <c r="D2835" s="13" t="s">
        <v>11961</v>
      </c>
      <c r="E2835" s="15" t="s">
        <v>102</v>
      </c>
      <c r="F2835" s="15" t="str">
        <f aca="false">IFERROR(__xludf.dummyfunction("XLOOKUP(AJ2835,IMPORTRANGE(""1XaInW9DU9nz21V0tYIfzFQ0He9kVQ_JF2mCXgZ3hqFA"",""REKAP ALL 2026 - Andika!G:G""),IMPORTRANGE(""1XaInW9DU9nz21V0tYIfzFQ0He9kVQ_JF2mCXgZ3hqFA"",""REKAP ALL 2026 - Andika!F:F""),"""",0)"),"25115948876")</f>
        <v>25115948876</v>
      </c>
      <c r="G2835" s="28" t="s">
        <v>57</v>
      </c>
      <c r="H2835" s="13" t="s">
        <v>35</v>
      </c>
      <c r="I2835" s="13" t="str">
        <f aca="false">IF(C2835=J2835,"NEW KONTRAK","RE-KONTRAK")</f>
        <v>RE-KONTRAK</v>
      </c>
      <c r="J2835" s="16" t="n">
        <f aca="false" t="array" ref="J2835:J2835">IFERROR(INDEX(AC2835:AE2835,IF(COUNTA(AC2835:AE2835)=0,"",MAX((AC2835:AE2835&lt;&gt;"")*(COLUMN(AC2835:AE2835)-(COLUMN(AC2835)))))-1),"")</f>
        <v>45931</v>
      </c>
      <c r="K2835" s="16" t="n">
        <f aca="false" t="array" ref="K2835:K2835">IFERROR(INDEX(AC2835:AE2835,IF(COUNTA(AC2835:AE2835)=0,"",MAX((AC2835:AE2835&lt;&gt;"")*(COLUMN(AC2835:AE2835)-(COLUMN(AC2835)-1))))-1),"")</f>
        <v>46022</v>
      </c>
      <c r="L2835" s="17" t="str">
        <f aca="false" t="array" ref="L2835:L2835">IFERROR(INDEX(AC2835:AE2835,IF(COUNTA(AC2835:AE2835)=0,"",MAX((AC2835:AE2835&lt;&gt;"")*(COLUMN(AC2835:AE2835)-(COLUMN(AC2835)-2))))-1),"")</f>
        <v>ARCHIVED</v>
      </c>
      <c r="M2835" s="13" t="n">
        <f aca="true">K2835-TODAY()</f>
        <v>-302</v>
      </c>
      <c r="N2835" s="18" t="s">
        <v>615</v>
      </c>
      <c r="O2835" s="13" t="s">
        <v>12003</v>
      </c>
      <c r="P2835" s="19" t="n">
        <v>4856026</v>
      </c>
      <c r="Q2835" s="20" t="s">
        <v>12004</v>
      </c>
      <c r="R2835" s="13" t="s">
        <v>232</v>
      </c>
      <c r="S2835" s="14" t="n">
        <v>36299</v>
      </c>
      <c r="T2835" s="13" t="s">
        <v>40</v>
      </c>
      <c r="U2835" s="13" t="s">
        <v>12005</v>
      </c>
      <c r="V2835" s="13" t="s">
        <v>42</v>
      </c>
      <c r="W2835" s="13" t="s">
        <v>43</v>
      </c>
      <c r="X2835" s="21" t="n">
        <v>81252394610</v>
      </c>
      <c r="Y2835" s="22" t="str">
        <f aca="false">O2835</f>
        <v>Translater</v>
      </c>
      <c r="Z2835" s="13" t="str">
        <f aca="false">IFERROR(__xludf.dummyfunction("if(BJ2835="""","""",GOOGLETRANSLATE(BJ2835,""auto"",""en""))"),"Translater")</f>
        <v>Translater</v>
      </c>
      <c r="AA2835" s="23" t="str">
        <f aca="false">IF(C2835="","", CHOOSE(MONTH(C2835),"January","February","March","April","May","June","July","August","September","October","November","December")&amp;" "&amp;DAY(C2835)&amp;MID("thstndrdth",MIN(9,2*RIGHT(DAY(C2835))*(MOD(DAY(C2835)-11,100)&gt;2)+1),2)&amp;","&amp;TEXT(C2835," yyyy"))</f>
        <v>August 1st,2025</v>
      </c>
      <c r="AB2835" s="15" t="str">
        <f aca="true">IF(S2835="","",DATEDIF(S2835,TODAY(),"Y")&amp;" Tahun, "&amp;DATEDIF(S2835,TODAY(),"YM")&amp;" Bulan, "&amp;DATEDIF(S2835,TODAY(),"MD")&amp;" Hari")</f>
        <v>27 Tahun, 5 Bulan, 10 Hari</v>
      </c>
      <c r="AC2835" s="18" t="n">
        <v>45931</v>
      </c>
      <c r="AD2835" s="18" t="n">
        <v>46022</v>
      </c>
      <c r="AE2835" s="18" t="s">
        <v>44</v>
      </c>
    </row>
    <row r="2836" customFormat="false" ht="15" hidden="false" customHeight="true" outlineLevel="0" collapsed="false">
      <c r="A2836" s="12" t="n">
        <v>21153</v>
      </c>
      <c r="B2836" s="13" t="s">
        <v>12006</v>
      </c>
      <c r="C2836" s="16" t="n">
        <v>45873</v>
      </c>
      <c r="D2836" s="13" t="s">
        <v>11961</v>
      </c>
      <c r="E2836" s="15" t="s">
        <v>47</v>
      </c>
      <c r="F2836" s="15" t="str">
        <f aca="false">IFERROR(__xludf.dummyfunction("XLOOKUP(AJ2836,IMPORTRANGE(""1XaInW9DU9nz21V0tYIfzFQ0He9kVQ_JF2mCXgZ3hqFA"",""REKAP ALL 2026 - Andika!G:G""),IMPORTRANGE(""1XaInW9DU9nz21V0tYIfzFQ0He9kVQ_JF2mCXgZ3hqFA"",""REKAP ALL 2026 - Andika!F:F""),"""",0)"),"25115948900")</f>
        <v>25115948900</v>
      </c>
      <c r="G2836" s="28" t="s">
        <v>57</v>
      </c>
      <c r="H2836" s="13" t="s">
        <v>35</v>
      </c>
      <c r="I2836" s="13" t="str">
        <f aca="false">IF(C2836=J2836,"NEW KONTRAK","RE-KONTRAK")</f>
        <v>RE-KONTRAK</v>
      </c>
      <c r="J2836" s="16" t="n">
        <f aca="false" t="array" ref="J2836:J2836">IFERROR(INDEX(AC2836:AE2836,IF(COUNTA(AC2836:AE2836)=0,"",MAX((AC2836:AE2836&lt;&gt;"")*(COLUMN(AC2836:AE2836)-(COLUMN(AC2836)))))-1),"")</f>
        <v>45931</v>
      </c>
      <c r="K2836" s="16" t="n">
        <f aca="false" t="array" ref="K2836:K2836">IFERROR(INDEX(AC2836:AE2836,IF(COUNTA(AC2836:AE2836)=0,"",MAX((AC2836:AE2836&lt;&gt;"")*(COLUMN(AC2836:AE2836)-(COLUMN(AC2836)-1))))-1),"")</f>
        <v>46022</v>
      </c>
      <c r="L2836" s="17" t="str">
        <f aca="false" t="array" ref="L2836:L2836">IFERROR(INDEX(AC2836:AE2836,IF(COUNTA(AC2836:AE2836)=0,"",MAX((AC2836:AE2836&lt;&gt;"")*(COLUMN(AC2836:AE2836)-(COLUMN(AC2836)-2))))-1),"")</f>
        <v>ARCHIVED</v>
      </c>
      <c r="M2836" s="13" t="n">
        <f aca="true">K2836-TODAY()</f>
        <v>-302</v>
      </c>
      <c r="N2836" s="18" t="s">
        <v>615</v>
      </c>
      <c r="O2836" s="13" t="s">
        <v>12007</v>
      </c>
      <c r="P2836" s="19" t="n">
        <v>5176101</v>
      </c>
      <c r="Q2836" s="20" t="s">
        <v>12008</v>
      </c>
      <c r="R2836" s="13" t="s">
        <v>39</v>
      </c>
      <c r="S2836" s="14" t="n">
        <v>33220</v>
      </c>
      <c r="T2836" s="13" t="s">
        <v>40</v>
      </c>
      <c r="U2836" s="13" t="s">
        <v>12009</v>
      </c>
      <c r="V2836" s="13" t="s">
        <v>42</v>
      </c>
      <c r="W2836" s="13" t="s">
        <v>54</v>
      </c>
      <c r="X2836" s="21" t="n">
        <v>85943799915</v>
      </c>
      <c r="Y2836" s="22" t="str">
        <f aca="false">O2836</f>
        <v>Maintenance Listrik</v>
      </c>
      <c r="Z2836" s="13" t="str">
        <f aca="false">IFERROR(__xludf.dummyfunction("if(BJ2836="""","""",GOOGLETRANSLATE(BJ2836,""auto"",""en""))"),"Electrical Maintenance")</f>
        <v>Electrical Maintenance</v>
      </c>
      <c r="AA2836" s="23" t="str">
        <f aca="false">IF(C2836="","", CHOOSE(MONTH(C2836),"January","February","March","April","May","June","July","August","September","October","November","December")&amp;" "&amp;DAY(C2836)&amp;MID("thstndrdth",MIN(9,2*RIGHT(DAY(C2836))*(MOD(DAY(C2836)-11,100)&gt;2)+1),2)&amp;","&amp;TEXT(C2836," yyyy"))</f>
        <v>August 4th,2025</v>
      </c>
      <c r="AB2836" s="15" t="str">
        <f aca="true">IF(S2836="","",DATEDIF(S2836,TODAY(),"Y")&amp;" Tahun, "&amp;DATEDIF(S2836,TODAY(),"YM")&amp;" Bulan, "&amp;DATEDIF(S2836,TODAY(),"MD")&amp;" Hari")</f>
        <v>35 Tahun, 10 Bulan, 16 Hari</v>
      </c>
      <c r="AC2836" s="18" t="n">
        <v>45931</v>
      </c>
      <c r="AD2836" s="18" t="n">
        <v>46022</v>
      </c>
      <c r="AE2836" s="18" t="s">
        <v>44</v>
      </c>
    </row>
    <row r="2837" customFormat="false" ht="15" hidden="false" customHeight="true" outlineLevel="0" collapsed="false">
      <c r="A2837" s="12" t="n">
        <v>21154</v>
      </c>
      <c r="B2837" s="13" t="s">
        <v>12010</v>
      </c>
      <c r="C2837" s="16" t="n">
        <v>45873</v>
      </c>
      <c r="D2837" s="13" t="s">
        <v>11961</v>
      </c>
      <c r="E2837" s="15" t="s">
        <v>47</v>
      </c>
      <c r="F2837" s="15" t="str">
        <f aca="false">IFERROR(__xludf.dummyfunction("XLOOKUP(AJ2837,IMPORTRANGE(""1XaInW9DU9nz21V0tYIfzFQ0He9kVQ_JF2mCXgZ3hqFA"",""REKAP ALL 2026 - Andika!G:G""),IMPORTRANGE(""1XaInW9DU9nz21V0tYIfzFQ0He9kVQ_JF2mCXgZ3hqFA"",""REKAP ALL 2026 - Andika!F:F""),"""",0)"),"25115948959")</f>
        <v>25115948959</v>
      </c>
      <c r="G2837" s="28" t="s">
        <v>57</v>
      </c>
      <c r="H2837" s="13" t="s">
        <v>35</v>
      </c>
      <c r="I2837" s="13" t="str">
        <f aca="false">IF(C2837=J2837,"NEW KONTRAK","RE-KONTRAK")</f>
        <v>RE-KONTRAK</v>
      </c>
      <c r="J2837" s="16" t="n">
        <f aca="false" t="array" ref="J2837:J2837">IFERROR(INDEX(AC2837:AE2837,IF(COUNTA(AC2837:AE2837)=0,"",MAX((AC2837:AE2837&lt;&gt;"")*(COLUMN(AC2837:AE2837)-(COLUMN(AC2837)))))-1),"")</f>
        <v>45931</v>
      </c>
      <c r="K2837" s="16" t="n">
        <f aca="false" t="array" ref="K2837:K2837">IFERROR(INDEX(AC2837:AE2837,IF(COUNTA(AC2837:AE2837)=0,"",MAX((AC2837:AE2837&lt;&gt;"")*(COLUMN(AC2837:AE2837)-(COLUMN(AC2837)-1))))-1),"")</f>
        <v>46022</v>
      </c>
      <c r="L2837" s="17" t="str">
        <f aca="false" t="array" ref="L2837:L2837">IFERROR(INDEX(AC2837:AE2837,IF(COUNTA(AC2837:AE2837)=0,"",MAX((AC2837:AE2837&lt;&gt;"")*(COLUMN(AC2837:AE2837)-(COLUMN(AC2837)-2))))-1),"")</f>
        <v>ARCHIVED</v>
      </c>
      <c r="M2837" s="13" t="n">
        <f aca="true">K2837-TODAY()</f>
        <v>-302</v>
      </c>
      <c r="N2837" s="18" t="s">
        <v>615</v>
      </c>
      <c r="O2837" s="13" t="s">
        <v>12007</v>
      </c>
      <c r="P2837" s="19" t="n">
        <v>5176101</v>
      </c>
      <c r="Q2837" s="20" t="s">
        <v>12011</v>
      </c>
      <c r="R2837" s="13" t="s">
        <v>232</v>
      </c>
      <c r="S2837" s="14" t="n">
        <v>33374</v>
      </c>
      <c r="T2837" s="13" t="s">
        <v>40</v>
      </c>
      <c r="U2837" s="13" t="s">
        <v>12012</v>
      </c>
      <c r="V2837" s="13" t="s">
        <v>42</v>
      </c>
      <c r="W2837" s="13" t="s">
        <v>54</v>
      </c>
      <c r="X2837" s="21" t="n">
        <v>8885336176</v>
      </c>
      <c r="Y2837" s="22" t="str">
        <f aca="false">O2837</f>
        <v>Maintenance Listrik</v>
      </c>
      <c r="Z2837" s="13" t="str">
        <f aca="false">IFERROR(__xludf.dummyfunction("if(BJ2837="""","""",GOOGLETRANSLATE(BJ2837,""auto"",""en""))"),"Electrical Maintenance")</f>
        <v>Electrical Maintenance</v>
      </c>
      <c r="AA2837" s="23" t="str">
        <f aca="false">IF(C2837="","", CHOOSE(MONTH(C2837),"January","February","March","April","May","June","July","August","September","October","November","December")&amp;" "&amp;DAY(C2837)&amp;MID("thstndrdth",MIN(9,2*RIGHT(DAY(C2837))*(MOD(DAY(C2837)-11,100)&gt;2)+1),2)&amp;","&amp;TEXT(C2837," yyyy"))</f>
        <v>August 4th,2025</v>
      </c>
      <c r="AB2837" s="15" t="str">
        <f aca="true">IF(S2837="","",DATEDIF(S2837,TODAY(),"Y")&amp;" Tahun, "&amp;DATEDIF(S2837,TODAY(),"YM")&amp;" Bulan, "&amp;DATEDIF(S2837,TODAY(),"MD")&amp;" Hari")</f>
        <v>35 Tahun, 5 Bulan, 13 Hari</v>
      </c>
      <c r="AC2837" s="18" t="n">
        <v>45931</v>
      </c>
      <c r="AD2837" s="18" t="n">
        <v>46022</v>
      </c>
      <c r="AE2837" s="18" t="s">
        <v>44</v>
      </c>
    </row>
    <row r="2838" customFormat="false" ht="15" hidden="false" customHeight="true" outlineLevel="0" collapsed="false">
      <c r="A2838" s="12" t="n">
        <v>21155</v>
      </c>
      <c r="B2838" s="13" t="s">
        <v>12013</v>
      </c>
      <c r="C2838" s="16" t="n">
        <v>45889</v>
      </c>
      <c r="D2838" s="13" t="s">
        <v>11961</v>
      </c>
      <c r="E2838" s="15" t="s">
        <v>47</v>
      </c>
      <c r="F2838" s="15" t="str">
        <f aca="false">IFERROR(__xludf.dummyfunction("XLOOKUP(AJ2838,IMPORTRANGE(""1XaInW9DU9nz21V0tYIfzFQ0He9kVQ_JF2mCXgZ3hqFA"",""REKAP ALL 2026 - Andika!G:G""),IMPORTRANGE(""1XaInW9DU9nz21V0tYIfzFQ0He9kVQ_JF2mCXgZ3hqFA"",""REKAP ALL 2026 - Andika!F:F""),"""",0)"),"25115948983")</f>
        <v>25115948983</v>
      </c>
      <c r="G2838" s="28" t="s">
        <v>57</v>
      </c>
      <c r="H2838" s="13" t="s">
        <v>35</v>
      </c>
      <c r="I2838" s="13" t="str">
        <f aca="false">IF(C2838=J2838,"NEW KONTRAK","RE-KONTRAK")</f>
        <v>RE-KONTRAK</v>
      </c>
      <c r="J2838" s="16" t="n">
        <f aca="false" t="array" ref="J2838:J2838">IFERROR(INDEX(AC2838:AE2838,IF(COUNTA(AC2838:AE2838)=0,"",MAX((AC2838:AE2838&lt;&gt;"")*(COLUMN(AC2838:AE2838)-(COLUMN(AC2838)))))-1),"")</f>
        <v>45931</v>
      </c>
      <c r="K2838" s="16" t="n">
        <f aca="false" t="array" ref="K2838:K2838">IFERROR(INDEX(AC2838:AE2838,IF(COUNTA(AC2838:AE2838)=0,"",MAX((AC2838:AE2838&lt;&gt;"")*(COLUMN(AC2838:AE2838)-(COLUMN(AC2838)-1))))-1),"")</f>
        <v>46022</v>
      </c>
      <c r="L2838" s="17" t="str">
        <f aca="false" t="array" ref="L2838:L2838">IFERROR(INDEX(AC2838:AE2838,IF(COUNTA(AC2838:AE2838)=0,"",MAX((AC2838:AE2838&lt;&gt;"")*(COLUMN(AC2838:AE2838)-(COLUMN(AC2838)-2))))-1),"")</f>
        <v>ARCHIVED</v>
      </c>
      <c r="M2838" s="13" t="n">
        <f aca="true">K2838-TODAY()</f>
        <v>-302</v>
      </c>
      <c r="N2838" s="18" t="s">
        <v>615</v>
      </c>
      <c r="O2838" s="13" t="s">
        <v>1287</v>
      </c>
      <c r="P2838" s="19" t="n">
        <v>5176101</v>
      </c>
      <c r="Q2838" s="47" t="s">
        <v>12014</v>
      </c>
      <c r="R2838" s="13" t="s">
        <v>232</v>
      </c>
      <c r="S2838" s="14" t="n">
        <v>33279</v>
      </c>
      <c r="T2838" s="13" t="s">
        <v>40</v>
      </c>
      <c r="U2838" s="13" t="s">
        <v>12015</v>
      </c>
      <c r="V2838" s="13" t="s">
        <v>42</v>
      </c>
      <c r="W2838" s="13" t="s">
        <v>54</v>
      </c>
      <c r="X2838" s="21" t="n">
        <v>81331171537</v>
      </c>
      <c r="Y2838" s="22" t="str">
        <f aca="false">O2838</f>
        <v>Office Boy</v>
      </c>
      <c r="Z2838" s="13" t="str">
        <f aca="false">IFERROR(__xludf.dummyfunction("if(BJ2838="""","""",GOOGLETRANSLATE(BJ2838,""auto"",""en""))"),"Office Boy")</f>
        <v>Office Boy</v>
      </c>
      <c r="AA2838" s="23" t="str">
        <f aca="false">IF(C2838="","", CHOOSE(MONTH(C2838),"January","February","March","April","May","June","July","August","September","October","November","December")&amp;" "&amp;DAY(C2838)&amp;MID("thstndrdth",MIN(9,2*RIGHT(DAY(C2838))*(MOD(DAY(C2838)-11,100)&gt;2)+1),2)&amp;","&amp;TEXT(C2838," yyyy"))</f>
        <v>August 20th,2025</v>
      </c>
      <c r="AB2838" s="15" t="str">
        <f aca="true">IF(S2838="","",DATEDIF(S2838,TODAY(),"Y")&amp;" Tahun, "&amp;DATEDIF(S2838,TODAY(),"YM")&amp;" Bulan, "&amp;DATEDIF(S2838,TODAY(),"MD")&amp;" Hari")</f>
        <v>35 Tahun, 8 Bulan, 19 Hari</v>
      </c>
      <c r="AC2838" s="18" t="n">
        <v>45931</v>
      </c>
      <c r="AD2838" s="18" t="n">
        <v>46022</v>
      </c>
      <c r="AE2838" s="18" t="s">
        <v>44</v>
      </c>
    </row>
    <row r="2839" customFormat="false" ht="15" hidden="false" customHeight="true" outlineLevel="0" collapsed="false">
      <c r="A2839" s="12" t="n">
        <v>21156</v>
      </c>
      <c r="B2839" s="13" t="s">
        <v>12016</v>
      </c>
      <c r="C2839" s="16" t="n">
        <v>45912</v>
      </c>
      <c r="D2839" s="13" t="s">
        <v>11961</v>
      </c>
      <c r="E2839" s="15" t="s">
        <v>47</v>
      </c>
      <c r="F2839" s="15" t="str">
        <f aca="false">IFERROR(__xludf.dummyfunction("XLOOKUP(AJ2839,IMPORTRANGE(""1XaInW9DU9nz21V0tYIfzFQ0He9kVQ_JF2mCXgZ3hqFA"",""REKAP ALL 2026 - Andika!G:G""),IMPORTRANGE(""1XaInW9DU9nz21V0tYIfzFQ0He9kVQ_JF2mCXgZ3hqFA"",""REKAP ALL 2026 - Andika!F:F""),"""",0)"),"25133236494")</f>
        <v>25133236494</v>
      </c>
      <c r="G2839" s="28" t="s">
        <v>57</v>
      </c>
      <c r="H2839" s="13" t="s">
        <v>35</v>
      </c>
      <c r="I2839" s="13" t="str">
        <f aca="false">IF(C2839=J2839,"NEW KONTRAK","RE-KONTRAK")</f>
        <v>RE-KONTRAK</v>
      </c>
      <c r="J2839" s="16" t="n">
        <f aca="false" t="array" ref="J2839:J2839">IFERROR(INDEX(AC2839:AE2839,IF(COUNTA(AC2839:AE2839)=0,"",MAX((AC2839:AE2839&lt;&gt;"")*(COLUMN(AC2839:AE2839)-(COLUMN(AC2839)))))-1),"")</f>
        <v>45931</v>
      </c>
      <c r="K2839" s="16" t="n">
        <f aca="false" t="array" ref="K2839:K2839">IFERROR(INDEX(AC2839:AE2839,IF(COUNTA(AC2839:AE2839)=0,"",MAX((AC2839:AE2839&lt;&gt;"")*(COLUMN(AC2839:AE2839)-(COLUMN(AC2839)-1))))-1),"")</f>
        <v>46022</v>
      </c>
      <c r="L2839" s="17" t="str">
        <f aca="false" t="array" ref="L2839:L2839">IFERROR(INDEX(AC2839:AE2839,IF(COUNTA(AC2839:AE2839)=0,"",MAX((AC2839:AE2839&lt;&gt;"")*(COLUMN(AC2839:AE2839)-(COLUMN(AC2839)-2))))-1),"")</f>
        <v>ARCHIVED</v>
      </c>
      <c r="M2839" s="13" t="n">
        <f aca="true">K2839-TODAY()</f>
        <v>-302</v>
      </c>
      <c r="N2839" s="18" t="s">
        <v>615</v>
      </c>
      <c r="O2839" s="13" t="s">
        <v>12017</v>
      </c>
      <c r="P2839" s="19" t="n">
        <v>5176101</v>
      </c>
      <c r="Q2839" s="47" t="s">
        <v>12018</v>
      </c>
      <c r="R2839" s="13" t="s">
        <v>232</v>
      </c>
      <c r="S2839" s="14" t="n">
        <v>29196</v>
      </c>
      <c r="T2839" s="13" t="s">
        <v>108</v>
      </c>
      <c r="U2839" s="13" t="s">
        <v>12019</v>
      </c>
      <c r="V2839" s="13" t="s">
        <v>42</v>
      </c>
      <c r="W2839" s="13" t="s">
        <v>43</v>
      </c>
      <c r="X2839" s="21" t="n">
        <v>85733366039</v>
      </c>
      <c r="Y2839" s="22" t="str">
        <f aca="false">O2839</f>
        <v>Legal</v>
      </c>
      <c r="Z2839" s="13" t="str">
        <f aca="false">IFERROR(__xludf.dummyfunction("if(BJ2839="""","""",GOOGLETRANSLATE(BJ2839,""auto"",""en""))"),"Legal")</f>
        <v>Legal</v>
      </c>
      <c r="AA2839" s="23" t="str">
        <f aca="false">IF(C2839="","", CHOOSE(MONTH(C2839),"January","February","March","April","May","June","July","August","September","October","November","December")&amp;" "&amp;DAY(C2839)&amp;MID("thstndrdth",MIN(9,2*RIGHT(DAY(C2839))*(MOD(DAY(C2839)-11,100)&gt;2)+1),2)&amp;","&amp;TEXT(C2839," yyyy"))</f>
        <v>September 12th,2025</v>
      </c>
      <c r="AB2839" s="15" t="str">
        <f aca="true">IF(S2839="","",DATEDIF(S2839,TODAY(),"Y")&amp;" Tahun, "&amp;DATEDIF(S2839,TODAY(),"YM")&amp;" Bulan, "&amp;DATEDIF(S2839,TODAY(),"MD")&amp;" Hari")</f>
        <v>46 Tahun, 10 Bulan, 22 Hari</v>
      </c>
      <c r="AC2839" s="18" t="n">
        <v>45931</v>
      </c>
      <c r="AD2839" s="18" t="n">
        <v>46022</v>
      </c>
      <c r="AE2839" s="18" t="s">
        <v>44</v>
      </c>
    </row>
    <row r="2840" customFormat="false" ht="15" hidden="false" customHeight="true" outlineLevel="0" collapsed="false">
      <c r="A2840" s="12" t="n">
        <v>21157</v>
      </c>
      <c r="B2840" s="13" t="s">
        <v>12020</v>
      </c>
      <c r="C2840" s="16" t="n">
        <v>45916</v>
      </c>
      <c r="D2840" s="13" t="s">
        <v>11961</v>
      </c>
      <c r="E2840" s="15" t="s">
        <v>47</v>
      </c>
      <c r="F2840" s="15" t="str">
        <f aca="false">IFERROR(__xludf.dummyfunction("XLOOKUP(AJ2840,IMPORTRANGE(""1XaInW9DU9nz21V0tYIfzFQ0He9kVQ_JF2mCXgZ3hqFA"",""REKAP ALL 2026 - Andika!G:G""),IMPORTRANGE(""1XaInW9DU9nz21V0tYIfzFQ0He9kVQ_JF2mCXgZ3hqFA"",""REKAP ALL 2026 - Andika!F:F""),"""",0)"),"25133236544")</f>
        <v>25133236544</v>
      </c>
      <c r="G2840" s="28" t="s">
        <v>57</v>
      </c>
      <c r="H2840" s="13" t="s">
        <v>35</v>
      </c>
      <c r="I2840" s="13" t="str">
        <f aca="false">IF(C2840=J2840,"NEW KONTRAK","RE-KONTRAK")</f>
        <v>RE-KONTRAK</v>
      </c>
      <c r="J2840" s="16" t="n">
        <f aca="false" t="array" ref="J2840:J2840">IFERROR(INDEX(AC2840:AE2840,IF(COUNTA(AC2840:AE2840)=0,"",MAX((AC2840:AE2840&lt;&gt;"")*(COLUMN(AC2840:AE2840)-(COLUMN(AC2840)))))-1),"")</f>
        <v>45931</v>
      </c>
      <c r="K2840" s="16" t="n">
        <f aca="false" t="array" ref="K2840:K2840">IFERROR(INDEX(AC2840:AE2840,IF(COUNTA(AC2840:AE2840)=0,"",MAX((AC2840:AE2840&lt;&gt;"")*(COLUMN(AC2840:AE2840)-(COLUMN(AC2840)-1))))-1),"")</f>
        <v>46022</v>
      </c>
      <c r="L2840" s="17" t="str">
        <f aca="false" t="array" ref="L2840:L2840">IFERROR(INDEX(AC2840:AE2840,IF(COUNTA(AC2840:AE2840)=0,"",MAX((AC2840:AE2840&lt;&gt;"")*(COLUMN(AC2840:AE2840)-(COLUMN(AC2840)-2))))-1),"")</f>
        <v>ARCHIVED</v>
      </c>
      <c r="M2840" s="13" t="n">
        <f aca="true">K2840-TODAY()</f>
        <v>-302</v>
      </c>
      <c r="N2840" s="18" t="s">
        <v>615</v>
      </c>
      <c r="O2840" s="13" t="s">
        <v>298</v>
      </c>
      <c r="P2840" s="19" t="n">
        <v>5176101</v>
      </c>
      <c r="Q2840" s="47" t="s">
        <v>12021</v>
      </c>
      <c r="R2840" s="13" t="s">
        <v>232</v>
      </c>
      <c r="S2840" s="14" t="n">
        <v>29197</v>
      </c>
      <c r="T2840" s="28" t="s">
        <v>40</v>
      </c>
      <c r="U2840" s="13" t="s">
        <v>12022</v>
      </c>
      <c r="V2840" s="13" t="s">
        <v>42</v>
      </c>
      <c r="W2840" s="13" t="s">
        <v>54</v>
      </c>
      <c r="X2840" s="21" t="n">
        <v>85791546554</v>
      </c>
      <c r="Y2840" s="22" t="str">
        <f aca="false">O2840</f>
        <v>Maintenance</v>
      </c>
      <c r="Z2840" s="13" t="str">
        <f aca="false">IFERROR(__xludf.dummyfunction("if(BJ2840="""","""",GOOGLETRANSLATE(BJ2840,""auto"",""en""))"),"Maintenance")</f>
        <v>Maintenance</v>
      </c>
      <c r="AA2840" s="23" t="str">
        <f aca="false">IF(C2840="","", CHOOSE(MONTH(C2840),"January","February","March","April","May","June","July","August","September","October","November","December")&amp;" "&amp;DAY(C2840)&amp;MID("thstndrdth",MIN(9,2*RIGHT(DAY(C2840))*(MOD(DAY(C2840)-11,100)&gt;2)+1),2)&amp;","&amp;TEXT(C2840," yyyy"))</f>
        <v>September 16th,2025</v>
      </c>
      <c r="AB2840" s="15" t="str">
        <f aca="true">IF(S2840="","",DATEDIF(S2840,TODAY(),"Y")&amp;" Tahun, "&amp;DATEDIF(S2840,TODAY(),"YM")&amp;" Bulan, "&amp;DATEDIF(S2840,TODAY(),"MD")&amp;" Hari")</f>
        <v>46 Tahun, 10 Bulan, 21 Hari</v>
      </c>
      <c r="AC2840" s="18" t="n">
        <v>45931</v>
      </c>
      <c r="AD2840" s="18" t="n">
        <v>46022</v>
      </c>
      <c r="AE2840" s="18" t="s">
        <v>44</v>
      </c>
    </row>
    <row r="2841" customFormat="false" ht="15" hidden="false" customHeight="true" outlineLevel="0" collapsed="false">
      <c r="A2841" s="12" t="n">
        <v>21158</v>
      </c>
      <c r="B2841" s="13" t="s">
        <v>12023</v>
      </c>
      <c r="C2841" s="16" t="n">
        <v>45919</v>
      </c>
      <c r="D2841" s="13" t="s">
        <v>11961</v>
      </c>
      <c r="E2841" s="15" t="s">
        <v>47</v>
      </c>
      <c r="F2841" s="15" t="str">
        <f aca="false">IFERROR(__xludf.dummyfunction("XLOOKUP(AJ2841,IMPORTRANGE(""1XaInW9DU9nz21V0tYIfzFQ0He9kVQ_JF2mCXgZ3hqFA"",""REKAP ALL 2026 - Andika!G:G""),IMPORTRANGE(""1XaInW9DU9nz21V0tYIfzFQ0He9kVQ_JF2mCXgZ3hqFA"",""REKAP ALL 2026 - Andika!F:F""),"""",0)"),"25133236569")</f>
        <v>25133236569</v>
      </c>
      <c r="G2841" s="28" t="s">
        <v>57</v>
      </c>
      <c r="H2841" s="13" t="s">
        <v>35</v>
      </c>
      <c r="I2841" s="13" t="str">
        <f aca="false">IF(C2841=J2841,"NEW KONTRAK","RE-KONTRAK")</f>
        <v>RE-KONTRAK</v>
      </c>
      <c r="J2841" s="16" t="n">
        <f aca="false" t="array" ref="J2841:J2841">IFERROR(INDEX(AC2841:AE2841,IF(COUNTA(AC2841:AE2841)=0,"",MAX((AC2841:AE2841&lt;&gt;"")*(COLUMN(AC2841:AE2841)-(COLUMN(AC2841)))))-1),"")</f>
        <v>45931</v>
      </c>
      <c r="K2841" s="16" t="n">
        <f aca="false" t="array" ref="K2841:K2841">IFERROR(INDEX(AC2841:AE2841,IF(COUNTA(AC2841:AE2841)=0,"",MAX((AC2841:AE2841&lt;&gt;"")*(COLUMN(AC2841:AE2841)-(COLUMN(AC2841)-1))))-1),"")</f>
        <v>46022</v>
      </c>
      <c r="L2841" s="17" t="str">
        <f aca="false" t="array" ref="L2841:L2841">IFERROR(INDEX(AC2841:AE2841,IF(COUNTA(AC2841:AE2841)=0,"",MAX((AC2841:AE2841&lt;&gt;"")*(COLUMN(AC2841:AE2841)-(COLUMN(AC2841)-2))))-1),"")</f>
        <v>ARCHIVED</v>
      </c>
      <c r="M2841" s="13" t="n">
        <f aca="true">K2841-TODAY()</f>
        <v>-302</v>
      </c>
      <c r="N2841" s="18" t="s">
        <v>615</v>
      </c>
      <c r="O2841" s="13" t="s">
        <v>298</v>
      </c>
      <c r="P2841" s="19" t="n">
        <v>5176101</v>
      </c>
      <c r="Q2841" s="47" t="s">
        <v>12024</v>
      </c>
      <c r="R2841" s="13" t="s">
        <v>232</v>
      </c>
      <c r="S2841" s="14" t="n">
        <v>36964</v>
      </c>
      <c r="T2841" s="28" t="s">
        <v>40</v>
      </c>
      <c r="U2841" s="13" t="s">
        <v>12025</v>
      </c>
      <c r="V2841" s="13" t="s">
        <v>42</v>
      </c>
      <c r="W2841" s="13" t="s">
        <v>43</v>
      </c>
      <c r="X2841" s="21" t="s">
        <v>12026</v>
      </c>
      <c r="Y2841" s="22" t="str">
        <f aca="false">O2841</f>
        <v>Maintenance</v>
      </c>
      <c r="Z2841" s="13" t="str">
        <f aca="false">IFERROR(__xludf.dummyfunction("if(BJ2841="""","""",GOOGLETRANSLATE(BJ2841,""auto"",""en""))"),"Maintenance")</f>
        <v>Maintenance</v>
      </c>
      <c r="AA2841" s="23" t="str">
        <f aca="false">IF(C2841="","", CHOOSE(MONTH(C2841),"January","February","March","April","May","June","July","August","September","October","November","December")&amp;" "&amp;DAY(C2841)&amp;MID("thstndrdth",MIN(9,2*RIGHT(DAY(C2841))*(MOD(DAY(C2841)-11,100)&gt;2)+1),2)&amp;","&amp;TEXT(C2841," yyyy"))</f>
        <v>September 19th,2025</v>
      </c>
      <c r="AB2841" s="15" t="str">
        <f aca="true">IF(S2841="","",DATEDIF(S2841,TODAY(),"Y")&amp;" Tahun, "&amp;DATEDIF(S2841,TODAY(),"YM")&amp;" Bulan, "&amp;DATEDIF(S2841,TODAY(),"MD")&amp;" Hari")</f>
        <v>25 Tahun, 7 Bulan, 15 Hari</v>
      </c>
      <c r="AC2841" s="18" t="n">
        <v>45931</v>
      </c>
      <c r="AD2841" s="18" t="n">
        <v>46022</v>
      </c>
      <c r="AE2841" s="18" t="s">
        <v>44</v>
      </c>
    </row>
    <row r="2842" customFormat="false" ht="15" hidden="false" customHeight="true" outlineLevel="0" collapsed="false">
      <c r="A2842" s="12" t="n">
        <v>21159</v>
      </c>
      <c r="B2842" s="13" t="s">
        <v>12027</v>
      </c>
      <c r="C2842" s="16" t="n">
        <v>45932</v>
      </c>
      <c r="D2842" s="13" t="s">
        <v>11961</v>
      </c>
      <c r="E2842" s="15" t="s">
        <v>47</v>
      </c>
      <c r="F2842" s="15" t="str">
        <f aca="false">IFERROR(__xludf.dummyfunction("XLOOKUP(AJ2842,IMPORTRANGE(""1XaInW9DU9nz21V0tYIfzFQ0He9kVQ_JF2mCXgZ3hqFA"",""REKAP ALL 2026 - Andika!G:G""),IMPORTRANGE(""1XaInW9DU9nz21V0tYIfzFQ0He9kVQ_JF2mCXgZ3hqFA"",""REKAP ALL 2026 - Andika!F:F""),"""",0)"),"25157580314")</f>
        <v>25157580314</v>
      </c>
      <c r="G2842" s="28" t="s">
        <v>57</v>
      </c>
      <c r="H2842" s="13" t="s">
        <v>35</v>
      </c>
      <c r="I2842" s="13" t="str">
        <f aca="false">IF(C2842=J2842,"NEW KONTRAK","RE-KONTRAK")</f>
        <v>RE-KONTRAK</v>
      </c>
      <c r="J2842" s="16" t="n">
        <f aca="false" t="array" ref="J2842:J2842">IFERROR(INDEX(AC2842:AE2842,IF(COUNTA(AC2842:AE2842)=0,"",MAX((AC2842:AE2842&lt;&gt;"")*(COLUMN(AC2842:AE2842)-(COLUMN(AC2842)))))-1),"")</f>
        <v>45931</v>
      </c>
      <c r="K2842" s="16" t="n">
        <f aca="false" t="array" ref="K2842:K2842">IFERROR(INDEX(AC2842:AE2842,IF(COUNTA(AC2842:AE2842)=0,"",MAX((AC2842:AE2842&lt;&gt;"")*(COLUMN(AC2842:AE2842)-(COLUMN(AC2842)-1))))-1),"")</f>
        <v>46022</v>
      </c>
      <c r="L2842" s="17" t="str">
        <f aca="false" t="array" ref="L2842:L2842">IFERROR(INDEX(AC2842:AE2842,IF(COUNTA(AC2842:AE2842)=0,"",MAX((AC2842:AE2842&lt;&gt;"")*(COLUMN(AC2842:AE2842)-(COLUMN(AC2842)-2))))-1),"")</f>
        <v>ARCHIVED</v>
      </c>
      <c r="M2842" s="13" t="n">
        <f aca="true">K2842-TODAY()</f>
        <v>-302</v>
      </c>
      <c r="N2842" s="18" t="s">
        <v>615</v>
      </c>
      <c r="O2842" s="13" t="s">
        <v>298</v>
      </c>
      <c r="P2842" s="19" t="n">
        <v>5176101</v>
      </c>
      <c r="Q2842" s="47" t="s">
        <v>12028</v>
      </c>
      <c r="R2842" s="13" t="s">
        <v>232</v>
      </c>
      <c r="S2842" s="14" t="n">
        <v>37140</v>
      </c>
      <c r="T2842" s="28" t="s">
        <v>40</v>
      </c>
      <c r="U2842" s="13" t="s">
        <v>12029</v>
      </c>
      <c r="V2842" s="13" t="s">
        <v>42</v>
      </c>
      <c r="W2842" s="13" t="s">
        <v>43</v>
      </c>
      <c r="X2842" s="21" t="n">
        <v>85731670134</v>
      </c>
      <c r="Y2842" s="22" t="str">
        <f aca="false">O2842</f>
        <v>Maintenance</v>
      </c>
      <c r="Z2842" s="13" t="str">
        <f aca="false">IFERROR(__xludf.dummyfunction("if(BJ2842="""","""",GOOGLETRANSLATE(BJ2842,""auto"",""en""))"),"Maintenance")</f>
        <v>Maintenance</v>
      </c>
      <c r="AA2842" s="23" t="str">
        <f aca="false">IF(C2842="","", CHOOSE(MONTH(C2842),"January","February","March","April","May","June","July","August","September","October","November","December")&amp;" "&amp;DAY(C2842)&amp;MID("thstndrdth",MIN(9,2*RIGHT(DAY(C2842))*(MOD(DAY(C2842)-11,100)&gt;2)+1),2)&amp;","&amp;TEXT(C2842," yyyy"))</f>
        <v>October 2nd,2025</v>
      </c>
      <c r="AB2842" s="15" t="str">
        <f aca="true">IF(S2842="","",DATEDIF(S2842,TODAY(),"Y")&amp;" Tahun, "&amp;DATEDIF(S2842,TODAY(),"YM")&amp;" Bulan, "&amp;DATEDIF(S2842,TODAY(),"MD")&amp;" Hari")</f>
        <v>25 Tahun, 1 Bulan, 23 Hari</v>
      </c>
      <c r="AC2842" s="18" t="n">
        <v>45931</v>
      </c>
      <c r="AD2842" s="18" t="n">
        <v>46022</v>
      </c>
      <c r="AE2842" s="18" t="s">
        <v>44</v>
      </c>
    </row>
    <row r="2843" customFormat="false" ht="15" hidden="false" customHeight="true" outlineLevel="0" collapsed="false">
      <c r="A2843" s="12" t="n">
        <v>21160</v>
      </c>
      <c r="B2843" s="13" t="s">
        <v>12030</v>
      </c>
      <c r="C2843" s="16" t="n">
        <v>45932</v>
      </c>
      <c r="D2843" s="13" t="s">
        <v>11961</v>
      </c>
      <c r="E2843" s="15" t="s">
        <v>47</v>
      </c>
      <c r="F2843" s="15" t="str">
        <f aca="false">IFERROR(__xludf.dummyfunction("XLOOKUP(AJ2843,IMPORTRANGE(""1XaInW9DU9nz21V0tYIfzFQ0He9kVQ_JF2mCXgZ3hqFA"",""REKAP ALL 2026 - Andika!G:G""),IMPORTRANGE(""1XaInW9DU9nz21V0tYIfzFQ0He9kVQ_JF2mCXgZ3hqFA"",""REKAP ALL 2026 - Andika!F:F""),"""",0)"),"25157580348")</f>
        <v>25157580348</v>
      </c>
      <c r="G2843" s="28" t="s">
        <v>57</v>
      </c>
      <c r="H2843" s="13" t="s">
        <v>35</v>
      </c>
      <c r="I2843" s="13" t="str">
        <f aca="false">IF(C2843=J2843,"NEW KONTRAK","RE-KONTRAK")</f>
        <v>RE-KONTRAK</v>
      </c>
      <c r="J2843" s="16" t="n">
        <f aca="false" t="array" ref="J2843:J2843">IFERROR(INDEX(AC2843:AE2843,IF(COUNTA(AC2843:AE2843)=0,"",MAX((AC2843:AE2843&lt;&gt;"")*(COLUMN(AC2843:AE2843)-(COLUMN(AC2843)))))-1),"")</f>
        <v>45931</v>
      </c>
      <c r="K2843" s="16" t="n">
        <f aca="false" t="array" ref="K2843:K2843">IFERROR(INDEX(AC2843:AE2843,IF(COUNTA(AC2843:AE2843)=0,"",MAX((AC2843:AE2843&lt;&gt;"")*(COLUMN(AC2843:AE2843)-(COLUMN(AC2843)-1))))-1),"")</f>
        <v>46022</v>
      </c>
      <c r="L2843" s="17" t="str">
        <f aca="false" t="array" ref="L2843:L2843">IFERROR(INDEX(AC2843:AE2843,IF(COUNTA(AC2843:AE2843)=0,"",MAX((AC2843:AE2843&lt;&gt;"")*(COLUMN(AC2843:AE2843)-(COLUMN(AC2843)-2))))-1),"")</f>
        <v>ARCHIVED</v>
      </c>
      <c r="M2843" s="13" t="n">
        <f aca="true">K2843-TODAY()</f>
        <v>-302</v>
      </c>
      <c r="N2843" s="18" t="s">
        <v>615</v>
      </c>
      <c r="O2843" s="13" t="s">
        <v>298</v>
      </c>
      <c r="P2843" s="19" t="n">
        <v>5176101</v>
      </c>
      <c r="Q2843" s="47" t="s">
        <v>12031</v>
      </c>
      <c r="R2843" s="13" t="s">
        <v>232</v>
      </c>
      <c r="S2843" s="14" t="n">
        <v>37398</v>
      </c>
      <c r="T2843" s="28" t="s">
        <v>40</v>
      </c>
      <c r="U2843" s="13" t="s">
        <v>12032</v>
      </c>
      <c r="V2843" s="13" t="s">
        <v>42</v>
      </c>
      <c r="W2843" s="13" t="s">
        <v>43</v>
      </c>
      <c r="X2843" s="21" t="n">
        <v>85812445765</v>
      </c>
      <c r="Y2843" s="22" t="str">
        <f aca="false">O2843</f>
        <v>Maintenance</v>
      </c>
      <c r="Z2843" s="13" t="str">
        <f aca="false">IFERROR(__xludf.dummyfunction("if(BJ2843="""","""",GOOGLETRANSLATE(BJ2843,""auto"",""en""))"),"Maintenance")</f>
        <v>Maintenance</v>
      </c>
      <c r="AA2843" s="23" t="str">
        <f aca="false">IF(C2843="","", CHOOSE(MONTH(C2843),"January","February","March","April","May","June","July","August","September","October","November","December")&amp;" "&amp;DAY(C2843)&amp;MID("thstndrdth",MIN(9,2*RIGHT(DAY(C2843))*(MOD(DAY(C2843)-11,100)&gt;2)+1),2)&amp;","&amp;TEXT(C2843," yyyy"))</f>
        <v>October 2nd,2025</v>
      </c>
      <c r="AB2843" s="15" t="str">
        <f aca="true">IF(S2843="","",DATEDIF(S2843,TODAY(),"Y")&amp;" Tahun, "&amp;DATEDIF(S2843,TODAY(),"YM")&amp;" Bulan, "&amp;DATEDIF(S2843,TODAY(),"MD")&amp;" Hari")</f>
        <v>24 Tahun, 5 Bulan, 7 Hari</v>
      </c>
      <c r="AC2843" s="18" t="n">
        <v>45931</v>
      </c>
      <c r="AD2843" s="18" t="n">
        <v>46022</v>
      </c>
      <c r="AE2843" s="18" t="s">
        <v>44</v>
      </c>
    </row>
    <row r="2844" customFormat="false" ht="15" hidden="false" customHeight="true" outlineLevel="0" collapsed="false">
      <c r="A2844" s="12" t="n">
        <v>21161</v>
      </c>
      <c r="B2844" s="13" t="s">
        <v>12033</v>
      </c>
      <c r="C2844" s="16" t="n">
        <v>45932</v>
      </c>
      <c r="D2844" s="13" t="s">
        <v>11961</v>
      </c>
      <c r="E2844" s="15" t="s">
        <v>102</v>
      </c>
      <c r="F2844" s="15" t="str">
        <f aca="false">IFERROR(__xludf.dummyfunction("XLOOKUP(AJ2844,IMPORTRANGE(""1XaInW9DU9nz21V0tYIfzFQ0He9kVQ_JF2mCXgZ3hqFA"",""REKAP ALL 2026 - Andika!G:G""),IMPORTRANGE(""1XaInW9DU9nz21V0tYIfzFQ0He9kVQ_JF2mCXgZ3hqFA"",""REKAP ALL 2026 - Andika!F:F""),"""",0)"),"25157580363")</f>
        <v>25157580363</v>
      </c>
      <c r="G2844" s="28" t="s">
        <v>57</v>
      </c>
      <c r="H2844" s="13" t="s">
        <v>35</v>
      </c>
      <c r="I2844" s="13" t="str">
        <f aca="false">IF(C2844=J2844,"NEW KONTRAK","RE-KONTRAK")</f>
        <v>RE-KONTRAK</v>
      </c>
      <c r="J2844" s="16" t="n">
        <f aca="false" t="array" ref="J2844:J2844">IFERROR(INDEX(AC2844:AE2844,IF(COUNTA(AC2844:AE2844)=0,"",MAX((AC2844:AE2844&lt;&gt;"")*(COLUMN(AC2844:AE2844)-(COLUMN(AC2844)))))-1),"")</f>
        <v>45931</v>
      </c>
      <c r="K2844" s="16" t="n">
        <f aca="false" t="array" ref="K2844:K2844">IFERROR(INDEX(AC2844:AE2844,IF(COUNTA(AC2844:AE2844)=0,"",MAX((AC2844:AE2844&lt;&gt;"")*(COLUMN(AC2844:AE2844)-(COLUMN(AC2844)-1))))-1),"")</f>
        <v>46022</v>
      </c>
      <c r="L2844" s="17" t="str">
        <f aca="false" t="array" ref="L2844:L2844">IFERROR(INDEX(AC2844:AE2844,IF(COUNTA(AC2844:AE2844)=0,"",MAX((AC2844:AE2844&lt;&gt;"")*(COLUMN(AC2844:AE2844)-(COLUMN(AC2844)-2))))-1),"")</f>
        <v>ARCHIVED</v>
      </c>
      <c r="M2844" s="13" t="n">
        <f aca="true">K2844-TODAY()</f>
        <v>-302</v>
      </c>
      <c r="N2844" s="18" t="s">
        <v>615</v>
      </c>
      <c r="O2844" s="13" t="s">
        <v>298</v>
      </c>
      <c r="P2844" s="19" t="n">
        <v>4856026</v>
      </c>
      <c r="Q2844" s="47" t="s">
        <v>12034</v>
      </c>
      <c r="R2844" s="13" t="s">
        <v>232</v>
      </c>
      <c r="S2844" s="14" t="n">
        <v>36321</v>
      </c>
      <c r="T2844" s="28" t="s">
        <v>40</v>
      </c>
      <c r="U2844" s="13" t="s">
        <v>12035</v>
      </c>
      <c r="V2844" s="13" t="s">
        <v>42</v>
      </c>
      <c r="W2844" s="13" t="s">
        <v>43</v>
      </c>
      <c r="X2844" s="21" t="s">
        <v>12036</v>
      </c>
      <c r="Y2844" s="22" t="str">
        <f aca="false">O2844</f>
        <v>Maintenance</v>
      </c>
      <c r="Z2844" s="13" t="str">
        <f aca="false">IFERROR(__xludf.dummyfunction("if(BJ2844="""","""",GOOGLETRANSLATE(BJ2844,""auto"",""en""))"),"Maintenance")</f>
        <v>Maintenance</v>
      </c>
      <c r="AA2844" s="23" t="str">
        <f aca="false">IF(C2844="","", CHOOSE(MONTH(C2844),"January","February","March","April","May","June","July","August","September","October","November","December")&amp;" "&amp;DAY(C2844)&amp;MID("thstndrdth",MIN(9,2*RIGHT(DAY(C2844))*(MOD(DAY(C2844)-11,100)&gt;2)+1),2)&amp;","&amp;TEXT(C2844," yyyy"))</f>
        <v>October 2nd,2025</v>
      </c>
      <c r="AB2844" s="15" t="str">
        <f aca="true">IF(S2844="","",DATEDIF(S2844,TODAY(),"Y")&amp;" Tahun, "&amp;DATEDIF(S2844,TODAY(),"YM")&amp;" Bulan, "&amp;DATEDIF(S2844,TODAY(),"MD")&amp;" Hari")</f>
        <v>27 Tahun, 4 Bulan, 19 Hari</v>
      </c>
      <c r="AC2844" s="18" t="n">
        <v>45931</v>
      </c>
      <c r="AD2844" s="18" t="n">
        <v>46022</v>
      </c>
      <c r="AE2844" s="18" t="s">
        <v>44</v>
      </c>
    </row>
    <row r="2845" customFormat="false" ht="15" hidden="false" customHeight="true" outlineLevel="0" collapsed="false">
      <c r="A2845" s="12" t="n">
        <v>21162</v>
      </c>
      <c r="B2845" s="13" t="s">
        <v>12037</v>
      </c>
      <c r="C2845" s="16" t="n">
        <v>45931</v>
      </c>
      <c r="D2845" s="13" t="s">
        <v>11961</v>
      </c>
      <c r="E2845" s="15" t="s">
        <v>9415</v>
      </c>
      <c r="F2845" s="15" t="str">
        <f aca="false">IFERROR(__xludf.dummyfunction("XLOOKUP(AJ2845,IMPORTRANGE(""1XaInW9DU9nz21V0tYIfzFQ0He9kVQ_JF2mCXgZ3hqFA"",""REKAP ALL 2026 - Andika!G:G""),IMPORTRANGE(""1XaInW9DU9nz21V0tYIfzFQ0He9kVQ_JF2mCXgZ3hqFA"",""REKAP ALL 2026 - Andika!F:F""),"""",0)"),"05N50071665")</f>
        <v>05N50071665</v>
      </c>
      <c r="G2845" s="28" t="s">
        <v>57</v>
      </c>
      <c r="H2845" s="13" t="s">
        <v>35</v>
      </c>
      <c r="I2845" s="13" t="str">
        <f aca="false">IF(C2845=J2845,"NEW KONTRAK","RE-KONTRAK")</f>
        <v>NEW KONTRAK</v>
      </c>
      <c r="J2845" s="16" t="n">
        <f aca="false" t="array" ref="J2845:J2845">IFERROR(INDEX(AC2845:AE2845,IF(COUNTA(AC2845:AE2845)=0,"",MAX((AC2845:AE2845&lt;&gt;"")*(COLUMN(AC2845:AE2845)-(COLUMN(AC2845)))))-1),"")</f>
        <v>45931</v>
      </c>
      <c r="K2845" s="16" t="n">
        <f aca="false" t="array" ref="K2845:K2845">IFERROR(INDEX(AC2845:AE2845,IF(COUNTA(AC2845:AE2845)=0,"",MAX((AC2845:AE2845&lt;&gt;"")*(COLUMN(AC2845:AE2845)-(COLUMN(AC2845)-1))))-1),"")</f>
        <v>46022</v>
      </c>
      <c r="L2845" s="17" t="str">
        <f aca="false" t="array" ref="L2845:L2845">IFERROR(INDEX(AC2845:AE2845,IF(COUNTA(AC2845:AE2845)=0,"",MAX((AC2845:AE2845&lt;&gt;"")*(COLUMN(AC2845:AE2845)-(COLUMN(AC2845)-2))))-1),"")</f>
        <v>ARCHIVED</v>
      </c>
      <c r="M2845" s="13" t="n">
        <f aca="true">K2845-TODAY()</f>
        <v>-302</v>
      </c>
      <c r="N2845" s="18" t="s">
        <v>615</v>
      </c>
      <c r="O2845" s="13" t="s">
        <v>6983</v>
      </c>
      <c r="P2845" s="19" t="n">
        <v>4856026</v>
      </c>
      <c r="Q2845" s="47" t="s">
        <v>12038</v>
      </c>
      <c r="R2845" s="13" t="s">
        <v>168</v>
      </c>
      <c r="S2845" s="14" t="n">
        <v>25084</v>
      </c>
      <c r="T2845" s="28" t="s">
        <v>40</v>
      </c>
      <c r="U2845" s="13" t="s">
        <v>12039</v>
      </c>
      <c r="V2845" s="13" t="s">
        <v>42</v>
      </c>
      <c r="W2845" s="13" t="s">
        <v>54</v>
      </c>
      <c r="X2845" s="21" t="n">
        <v>8123038122</v>
      </c>
      <c r="Y2845" s="22" t="str">
        <f aca="false">O2845</f>
        <v>General Affair</v>
      </c>
      <c r="Z2845" s="13" t="str">
        <f aca="false">IFERROR(__xludf.dummyfunction("if(BJ2845="""","""",GOOGLETRANSLATE(BJ2845,""auto"",""en""))"),"General Affair")</f>
        <v>General Affair</v>
      </c>
      <c r="AA2845" s="23" t="str">
        <f aca="false">IF(C2845="","", CHOOSE(MONTH(C2845),"January","February","March","April","May","June","July","August","September","October","November","December")&amp;" "&amp;DAY(C2845)&amp;MID("thstndrdth",MIN(9,2*RIGHT(DAY(C2845))*(MOD(DAY(C2845)-11,100)&gt;2)+1),2)&amp;","&amp;TEXT(C2845," yyyy"))</f>
        <v>October 1st,2025</v>
      </c>
      <c r="AB2845" s="15" t="str">
        <f aca="true">IF(S2845="","",DATEDIF(S2845,TODAY(),"Y")&amp;" Tahun, "&amp;DATEDIF(S2845,TODAY(),"YM")&amp;" Bulan, "&amp;DATEDIF(S2845,TODAY(),"MD")&amp;" Hari")</f>
        <v>58 Tahun, 1 Bulan, 26 Hari</v>
      </c>
      <c r="AC2845" s="18" t="n">
        <v>45931</v>
      </c>
      <c r="AD2845" s="18" t="n">
        <v>46022</v>
      </c>
      <c r="AE2845" s="18" t="s">
        <v>44</v>
      </c>
    </row>
    <row r="2846" customFormat="false" ht="15" hidden="false" customHeight="true" outlineLevel="0" collapsed="false">
      <c r="A2846" s="12" t="n">
        <v>21163</v>
      </c>
      <c r="B2846" s="13" t="s">
        <v>12040</v>
      </c>
      <c r="C2846" s="16" t="n">
        <v>45950</v>
      </c>
      <c r="D2846" s="13" t="s">
        <v>144</v>
      </c>
      <c r="E2846" s="15" t="s">
        <v>47</v>
      </c>
      <c r="F2846" s="15" t="str">
        <f aca="false">IFERROR(__xludf.dummyfunction("XLOOKUP(AJ2846,IMPORTRANGE(""1XaInW9DU9nz21V0tYIfzFQ0He9kVQ_JF2mCXgZ3hqFA"",""REKAP ALL 2026 - Andika!G:G""),IMPORTRANGE(""1XaInW9DU9nz21V0tYIfzFQ0He9kVQ_JF2mCXgZ3hqFA"",""REKAP ALL 2026 - Andika!F:F""),"""",0)"),"25157579050")</f>
        <v>25157579050</v>
      </c>
      <c r="G2846" s="13" t="s">
        <v>1127</v>
      </c>
      <c r="H2846" s="13" t="s">
        <v>35</v>
      </c>
      <c r="I2846" s="13" t="str">
        <f aca="false">IF(C2846=J2846,"NEW KONTRAK","RE-KONTRAK")</f>
        <v>NEW KONTRAK</v>
      </c>
      <c r="J2846" s="16" t="n">
        <f aca="false" t="array" ref="J2846:J2846">IFERROR(INDEX(AC2846:AE2846,IF(COUNTA(AC2846:AE2846)=0,"",MAX((AC2846:AE2846&lt;&gt;"")*(COLUMN(AC2846:AE2846)-(COLUMN(AC2846)))))-1),"")</f>
        <v>45950</v>
      </c>
      <c r="K2846" s="16" t="n">
        <f aca="false" t="array" ref="K2846:K2846">IFERROR(INDEX(AC2846:AE2846,IF(COUNTA(AC2846:AE2846)=0,"",MAX((AC2846:AE2846&lt;&gt;"")*(COLUMN(AC2846:AE2846)-(COLUMN(AC2846)-1))))-1),"")</f>
        <v>46022</v>
      </c>
      <c r="L2846" s="17" t="str">
        <f aca="false" t="array" ref="L2846:L2846">IFERROR(INDEX(AC2846:AE2846,IF(COUNTA(AC2846:AE2846)=0,"",MAX((AC2846:AE2846&lt;&gt;"")*(COLUMN(AC2846:AE2846)-(COLUMN(AC2846)-2))))-1),"")</f>
        <v>ARCHIVED</v>
      </c>
      <c r="M2846" s="13" t="n">
        <f aca="true">K2846-TODAY()</f>
        <v>-302</v>
      </c>
      <c r="N2846" s="18" t="s">
        <v>36</v>
      </c>
      <c r="O2846" s="13" t="s">
        <v>146</v>
      </c>
      <c r="P2846" s="19" t="n">
        <v>5195401</v>
      </c>
      <c r="Q2846" s="103" t="s">
        <v>12041</v>
      </c>
      <c r="R2846" s="13" t="s">
        <v>52</v>
      </c>
      <c r="S2846" s="14" t="n">
        <v>34477</v>
      </c>
      <c r="T2846" s="28" t="s">
        <v>40</v>
      </c>
      <c r="U2846" s="13" t="s">
        <v>12042</v>
      </c>
      <c r="V2846" s="13" t="s">
        <v>42</v>
      </c>
      <c r="W2846" s="13" t="s">
        <v>54</v>
      </c>
      <c r="X2846" s="21" t="n">
        <v>83832185243</v>
      </c>
      <c r="Y2846" s="22" t="str">
        <f aca="false">O2846</f>
        <v>Enamel</v>
      </c>
      <c r="Z2846" s="13" t="str">
        <f aca="false">IFERROR(__xludf.dummyfunction("if(BJ2846="""","""",GOOGLETRANSLATE(BJ2846,""auto"",""en""))"),"Enamel")</f>
        <v>Enamel</v>
      </c>
      <c r="AA2846" s="23" t="str">
        <f aca="false">IF(C2846="","", CHOOSE(MONTH(C2846),"January","February","March","April","May","June","July","August","September","October","November","December")&amp;" "&amp;DAY(C2846)&amp;MID("thstndrdth",MIN(9,2*RIGHT(DAY(C2846))*(MOD(DAY(C2846)-11,100)&gt;2)+1),2)&amp;","&amp;TEXT(C2846," yyyy"))</f>
        <v>October 20th,2025</v>
      </c>
      <c r="AB2846" s="15" t="str">
        <f aca="true">IF(S2846="","",DATEDIF(S2846,TODAY(),"Y")&amp;" Tahun, "&amp;DATEDIF(S2846,TODAY(),"YM")&amp;" Bulan, "&amp;DATEDIF(S2846,TODAY(),"MD")&amp;" Hari")</f>
        <v>32 Tahun, 5 Bulan, 6 Hari</v>
      </c>
      <c r="AC2846" s="18" t="n">
        <v>45950</v>
      </c>
      <c r="AD2846" s="18" t="n">
        <v>46022</v>
      </c>
      <c r="AE2846" s="13" t="s">
        <v>44</v>
      </c>
    </row>
    <row r="2847" customFormat="false" ht="15" hidden="false" customHeight="true" outlineLevel="0" collapsed="false">
      <c r="A2847" s="12" t="n">
        <v>21164</v>
      </c>
      <c r="B2847" s="13" t="s">
        <v>12043</v>
      </c>
      <c r="C2847" s="16" t="n">
        <v>45950</v>
      </c>
      <c r="D2847" s="13" t="s">
        <v>144</v>
      </c>
      <c r="E2847" s="15" t="s">
        <v>47</v>
      </c>
      <c r="F2847" s="15" t="str">
        <f aca="false">IFERROR(__xludf.dummyfunction("XLOOKUP(AJ2847,IMPORTRANGE(""1XaInW9DU9nz21V0tYIfzFQ0He9kVQ_JF2mCXgZ3hqFA"",""REKAP ALL 2026 - Andika!G:G""),IMPORTRANGE(""1XaInW9DU9nz21V0tYIfzFQ0He9kVQ_JF2mCXgZ3hqFA"",""REKAP ALL 2026 - Andika!F:F""),"""",0)"),"25157579084")</f>
        <v>25157579084</v>
      </c>
      <c r="G2847" s="13" t="s">
        <v>1127</v>
      </c>
      <c r="H2847" s="13" t="s">
        <v>35</v>
      </c>
      <c r="I2847" s="13" t="str">
        <f aca="false">IF(C2847=J2847,"NEW KONTRAK","RE-KONTRAK")</f>
        <v>NEW KONTRAK</v>
      </c>
      <c r="J2847" s="16" t="n">
        <f aca="false" t="array" ref="J2847:J2847">IFERROR(INDEX(AC2847:AE2847,IF(COUNTA(AC2847:AE2847)=0,"",MAX((AC2847:AE2847&lt;&gt;"")*(COLUMN(AC2847:AE2847)-(COLUMN(AC2847)))))-1),"")</f>
        <v>45950</v>
      </c>
      <c r="K2847" s="16" t="n">
        <f aca="false" t="array" ref="K2847:K2847">IFERROR(INDEX(AC2847:AE2847,IF(COUNTA(AC2847:AE2847)=0,"",MAX((AC2847:AE2847&lt;&gt;"")*(COLUMN(AC2847:AE2847)-(COLUMN(AC2847)-1))))-1),"")</f>
        <v>46022</v>
      </c>
      <c r="L2847" s="17" t="str">
        <f aca="false" t="array" ref="L2847:L2847">IFERROR(INDEX(AC2847:AE2847,IF(COUNTA(AC2847:AE2847)=0,"",MAX((AC2847:AE2847&lt;&gt;"")*(COLUMN(AC2847:AE2847)-(COLUMN(AC2847)-2))))-1),"")</f>
        <v>ARCHIVED</v>
      </c>
      <c r="M2847" s="13" t="n">
        <f aca="true">K2847-TODAY()</f>
        <v>-302</v>
      </c>
      <c r="N2847" s="18" t="s">
        <v>36</v>
      </c>
      <c r="O2847" s="13" t="s">
        <v>156</v>
      </c>
      <c r="P2847" s="19" t="n">
        <v>5195401</v>
      </c>
      <c r="Q2847" s="47" t="s">
        <v>12044</v>
      </c>
      <c r="R2847" s="13" t="s">
        <v>735</v>
      </c>
      <c r="S2847" s="14" t="n">
        <v>25852</v>
      </c>
      <c r="T2847" s="28" t="s">
        <v>40</v>
      </c>
      <c r="U2847" s="13" t="s">
        <v>12045</v>
      </c>
      <c r="V2847" s="13" t="s">
        <v>42</v>
      </c>
      <c r="W2847" s="13" t="s">
        <v>54</v>
      </c>
      <c r="X2847" s="21" t="n">
        <v>81230425602</v>
      </c>
      <c r="Y2847" s="22" t="str">
        <f aca="false">O2847</f>
        <v>Emulsion</v>
      </c>
      <c r="Z2847" s="13" t="str">
        <f aca="false">IFERROR(__xludf.dummyfunction("if(BJ2847="""","""",GOOGLETRANSLATE(BJ2847,""auto"",""en""))"),"Emulsion")</f>
        <v>Emulsion</v>
      </c>
      <c r="AA2847" s="23" t="str">
        <f aca="false">IF(C2847="","", CHOOSE(MONTH(C2847),"January","February","March","April","May","June","July","August","September","October","November","December")&amp;" "&amp;DAY(C2847)&amp;MID("thstndrdth",MIN(9,2*RIGHT(DAY(C2847))*(MOD(DAY(C2847)-11,100)&gt;2)+1),2)&amp;","&amp;TEXT(C2847," yyyy"))</f>
        <v>October 20th,2025</v>
      </c>
      <c r="AB2847" s="15" t="str">
        <f aca="true">IF(S2847="","",DATEDIF(S2847,TODAY(),"Y")&amp;" Tahun, "&amp;DATEDIF(S2847,TODAY(),"YM")&amp;" Bulan, "&amp;DATEDIF(S2847,TODAY(),"MD")&amp;" Hari")</f>
        <v>56 Tahun, 0 Bulan, 18 Hari</v>
      </c>
      <c r="AC2847" s="18" t="n">
        <v>45950</v>
      </c>
      <c r="AD2847" s="18" t="n">
        <v>46022</v>
      </c>
      <c r="AE2847" s="13" t="s">
        <v>44</v>
      </c>
    </row>
    <row r="2848" customFormat="false" ht="15" hidden="false" customHeight="true" outlineLevel="0" collapsed="false">
      <c r="A2848" s="12" t="n">
        <v>21165</v>
      </c>
      <c r="B2848" s="13" t="s">
        <v>12046</v>
      </c>
      <c r="C2848" s="16" t="n">
        <v>45950</v>
      </c>
      <c r="D2848" s="13" t="s">
        <v>144</v>
      </c>
      <c r="E2848" s="15" t="s">
        <v>47</v>
      </c>
      <c r="F2848" s="15" t="str">
        <f aca="false">IFERROR(__xludf.dummyfunction("XLOOKUP(AJ2848,IMPORTRANGE(""1XaInW9DU9nz21V0tYIfzFQ0He9kVQ_JF2mCXgZ3hqFA"",""REKAP ALL 2026 - Andika!G:G""),IMPORTRANGE(""1XaInW9DU9nz21V0tYIfzFQ0He9kVQ_JF2mCXgZ3hqFA"",""REKAP ALL 2026 - Andika!F:F""),"""",0)"),"25157579100")</f>
        <v>25157579100</v>
      </c>
      <c r="G2848" s="13" t="s">
        <v>1127</v>
      </c>
      <c r="H2848" s="13" t="s">
        <v>35</v>
      </c>
      <c r="I2848" s="13" t="str">
        <f aca="false">IF(C2848=J2848,"NEW KONTRAK","RE-KONTRAK")</f>
        <v>NEW KONTRAK</v>
      </c>
      <c r="J2848" s="16" t="n">
        <f aca="false" t="array" ref="J2848:J2848">IFERROR(INDEX(AC2848:AE2848,IF(COUNTA(AC2848:AE2848)=0,"",MAX((AC2848:AE2848&lt;&gt;"")*(COLUMN(AC2848:AE2848)-(COLUMN(AC2848)))))-1),"")</f>
        <v>45950</v>
      </c>
      <c r="K2848" s="16" t="n">
        <f aca="false" t="array" ref="K2848:K2848">IFERROR(INDEX(AC2848:AE2848,IF(COUNTA(AC2848:AE2848)=0,"",MAX((AC2848:AE2848&lt;&gt;"")*(COLUMN(AC2848:AE2848)-(COLUMN(AC2848)-1))))-1),"")</f>
        <v>46022</v>
      </c>
      <c r="L2848" s="17" t="str">
        <f aca="false" t="array" ref="L2848:L2848">IFERROR(INDEX(AC2848:AE2848,IF(COUNTA(AC2848:AE2848)=0,"",MAX((AC2848:AE2848&lt;&gt;"")*(COLUMN(AC2848:AE2848)-(COLUMN(AC2848)-2))))-1),"")</f>
        <v>ARCHIVED</v>
      </c>
      <c r="M2848" s="13" t="n">
        <f aca="true">K2848-TODAY()</f>
        <v>-302</v>
      </c>
      <c r="N2848" s="18" t="s">
        <v>36</v>
      </c>
      <c r="O2848" s="13" t="s">
        <v>624</v>
      </c>
      <c r="P2848" s="19" t="n">
        <v>5195401</v>
      </c>
      <c r="Q2848" s="47" t="s">
        <v>12047</v>
      </c>
      <c r="R2848" s="13" t="s">
        <v>826</v>
      </c>
      <c r="S2848" s="14" t="n">
        <v>34957</v>
      </c>
      <c r="T2848" s="28" t="s">
        <v>40</v>
      </c>
      <c r="U2848" s="13" t="s">
        <v>12048</v>
      </c>
      <c r="V2848" s="13" t="s">
        <v>42</v>
      </c>
      <c r="W2848" s="13" t="s">
        <v>54</v>
      </c>
      <c r="X2848" s="21" t="n">
        <v>85604659637</v>
      </c>
      <c r="Y2848" s="22" t="str">
        <f aca="false">O2848</f>
        <v>Quality Control</v>
      </c>
      <c r="Z2848" s="13" t="str">
        <f aca="false">IFERROR(__xludf.dummyfunction("if(BJ2848="""","""",GOOGLETRANSLATE(BJ2848,""auto"",""en""))"),"Quality Control")</f>
        <v>Quality Control</v>
      </c>
      <c r="AA2848" s="23" t="str">
        <f aca="false">IF(C2848="","", CHOOSE(MONTH(C2848),"January","February","March","April","May","June","July","August","September","October","November","December")&amp;" "&amp;DAY(C2848)&amp;MID("thstndrdth",MIN(9,2*RIGHT(DAY(C2848))*(MOD(DAY(C2848)-11,100)&gt;2)+1),2)&amp;","&amp;TEXT(C2848," yyyy"))</f>
        <v>October 20th,2025</v>
      </c>
      <c r="AB2848" s="15" t="str">
        <f aca="true">IF(S2848="","",DATEDIF(S2848,TODAY(),"Y")&amp;" Tahun, "&amp;DATEDIF(S2848,TODAY(),"YM")&amp;" Bulan, "&amp;DATEDIF(S2848,TODAY(),"MD")&amp;" Hari")</f>
        <v>31 Tahun, 1 Bulan, 14 Hari</v>
      </c>
      <c r="AC2848" s="18" t="n">
        <v>45950</v>
      </c>
      <c r="AD2848" s="18" t="n">
        <v>46022</v>
      </c>
      <c r="AE2848" s="13" t="s">
        <v>44</v>
      </c>
    </row>
    <row r="2849" customFormat="false" ht="15" hidden="false" customHeight="true" outlineLevel="0" collapsed="false">
      <c r="A2849" s="12" t="n">
        <v>21169</v>
      </c>
      <c r="B2849" s="13" t="s">
        <v>12049</v>
      </c>
      <c r="C2849" s="16" t="n">
        <v>45951</v>
      </c>
      <c r="D2849" s="13" t="s">
        <v>9387</v>
      </c>
      <c r="E2849" s="15" t="s">
        <v>47</v>
      </c>
      <c r="F2849" s="15" t="str">
        <f aca="false">IFERROR(__xludf.dummyfunction("XLOOKUP(AJ2849,IMPORTRANGE(""1XaInW9DU9nz21V0tYIfzFQ0He9kVQ_JF2mCXgZ3hqFA"",""REKAP ALL 2026 - Andika!G:G""),IMPORTRANGE(""1XaInW9DU9nz21V0tYIfzFQ0He9kVQ_JF2mCXgZ3hqFA"",""REKAP ALL 2026 - Andika!F:F""),"""",0)"),"25176553888")</f>
        <v>25176553888</v>
      </c>
      <c r="G2849" s="13" t="s">
        <v>57</v>
      </c>
      <c r="H2849" s="13" t="s">
        <v>35</v>
      </c>
      <c r="I2849" s="13" t="str">
        <f aca="false">IF(C2849=J2849,"NEW KONTRAK","RE-KONTRAK")</f>
        <v>NEW KONTRAK</v>
      </c>
      <c r="J2849" s="16" t="n">
        <f aca="false" t="array" ref="J2849:J2849">IFERROR(INDEX(AC2849:AE2849,IF(COUNTA(AC2849:AE2849)=0,"",MAX((AC2849:AE2849&lt;&gt;"")*(COLUMN(AC2849:AE2849)-(COLUMN(AC2849)))))-1),"")</f>
        <v>45951</v>
      </c>
      <c r="K2849" s="16" t="n">
        <f aca="false" t="array" ref="K2849:K2849">IFERROR(INDEX(AC2849:AE2849,IF(COUNTA(AC2849:AE2849)=0,"",MAX((AC2849:AE2849&lt;&gt;"")*(COLUMN(AC2849:AE2849)-(COLUMN(AC2849)-1))))-1),"")</f>
        <v>46315</v>
      </c>
      <c r="L2849" s="17" t="str">
        <f aca="false" t="array" ref="L2849:L2849">IFERROR(INDEX(AC2849:AE2849,IF(COUNTA(AC2849:AE2849)=0,"",MAX((AC2849:AE2849&lt;&gt;"")*(COLUMN(AC2849:AE2849)-(COLUMN(AC2849)-2))))-1),"")</f>
        <v>ARCHIVED</v>
      </c>
      <c r="M2849" s="13" t="n">
        <f aca="true">K2849-TODAY()</f>
        <v>-9</v>
      </c>
      <c r="N2849" s="18" t="s">
        <v>615</v>
      </c>
      <c r="O2849" s="13" t="s">
        <v>9388</v>
      </c>
      <c r="P2849" s="27" t="n">
        <v>5176101</v>
      </c>
      <c r="Q2849" s="47" t="s">
        <v>12050</v>
      </c>
      <c r="R2849" s="13" t="s">
        <v>232</v>
      </c>
      <c r="S2849" s="16" t="n">
        <v>38581</v>
      </c>
      <c r="T2849" s="28" t="s">
        <v>40</v>
      </c>
      <c r="U2849" s="13" t="s">
        <v>9410</v>
      </c>
      <c r="V2849" s="13" t="s">
        <v>42</v>
      </c>
      <c r="W2849" s="13" t="s">
        <v>43</v>
      </c>
      <c r="X2849" s="21" t="n">
        <v>8158367490</v>
      </c>
      <c r="Y2849" s="22" t="str">
        <f aca="false">O2849</f>
        <v>Tenaga Kerja Bongkar Muat (TKBM)</v>
      </c>
      <c r="Z2849" s="13" t="str">
        <f aca="false">IFERROR(__xludf.dummyfunction("if(BJ2849="""","""",GOOGLETRANSLATE(BJ2849,""auto"",""en""))"),"Loading and Unloading Workers (TKBM)")</f>
        <v>Loading and Unloading Workers (TKBM)</v>
      </c>
      <c r="AA2849" s="23" t="str">
        <f aca="false">IF(C2849="","", CHOOSE(MONTH(C2849),"January","February","March","April","May","June","July","August","September","October","November","December")&amp;" "&amp;DAY(C2849)&amp;MID("thstndrdth",MIN(9,2*RIGHT(DAY(C2849))*(MOD(DAY(C2849)-11,100)&gt;2)+1),2)&amp;","&amp;TEXT(C2849," yyyy"))</f>
        <v>October 21st,2025</v>
      </c>
      <c r="AB2849" s="15" t="str">
        <f aca="true">IF(S2849="","",DATEDIF(S2849,TODAY(),"Y")&amp;" Tahun, "&amp;DATEDIF(S2849,TODAY(),"YM")&amp;" Bulan, "&amp;DATEDIF(S2849,TODAY(),"MD")&amp;" Hari")</f>
        <v>21 Tahun, 2 Bulan, 12 Hari</v>
      </c>
      <c r="AC2849" s="18" t="n">
        <v>45951</v>
      </c>
      <c r="AD2849" s="18" t="n">
        <f aca="false">EDATE(AC2849,12)-1</f>
        <v>46315</v>
      </c>
      <c r="AE2849" s="13" t="s">
        <v>44</v>
      </c>
    </row>
    <row r="2850" customFormat="false" ht="15" hidden="false" customHeight="true" outlineLevel="0" collapsed="false">
      <c r="A2850" s="12" t="n">
        <v>21198</v>
      </c>
      <c r="B2850" s="13" t="s">
        <v>12051</v>
      </c>
      <c r="C2850" s="16" t="n">
        <v>45962</v>
      </c>
      <c r="D2850" s="13" t="s">
        <v>755</v>
      </c>
      <c r="E2850" s="15" t="s">
        <v>47</v>
      </c>
      <c r="F2850" s="15" t="str">
        <f aca="false">IFERROR(__xludf.dummyfunction("XLOOKUP(AJ2850,IMPORTRANGE(""1XaInW9DU9nz21V0tYIfzFQ0He9kVQ_JF2mCXgZ3hqFA"",""REKAP ALL 2026 - Andika!G:G""),IMPORTRANGE(""1XaInW9DU9nz21V0tYIfzFQ0He9kVQ_JF2mCXgZ3hqFA"",""REKAP ALL 2026 - Andika!F:F""),"""",0)"),"25180465616")</f>
        <v>25180465616</v>
      </c>
      <c r="G2850" s="28" t="s">
        <v>57</v>
      </c>
      <c r="H2850" s="13" t="s">
        <v>3024</v>
      </c>
      <c r="I2850" s="13" t="str">
        <f aca="false">IF(C2850=J2850,"NEW KONTRAK","RE-KONTRAK")</f>
        <v>NEW KONTRAK</v>
      </c>
      <c r="J2850" s="16" t="n">
        <f aca="false" t="array" ref="J2850:J2850">IFERROR(INDEX(AC2850:AE2850,IF(COUNTA(AC2850:AE2850)=0,"",MAX((AC2850:AE2850&lt;&gt;"")*(COLUMN(AC2850:AE2850)-(COLUMN(AC2850)))))-1),"")</f>
        <v>45962</v>
      </c>
      <c r="K2850" s="16" t="n">
        <f aca="false" t="array" ref="K2850:K2850">IFERROR(INDEX(AC2850:AE2850,IF(COUNTA(AC2850:AE2850)=0,"",MAX((AC2850:AE2850&lt;&gt;"")*(COLUMN(AC2850:AE2850)-(COLUMN(AC2850)-1))))-1),"")</f>
        <v>46528</v>
      </c>
      <c r="L2850" s="17" t="str">
        <f aca="false" t="array" ref="L2850:L2850">IFERROR(INDEX(AC2850:AE2850,IF(COUNTA(AC2850:AE2850)=0,"",MAX((AC2850:AE2850&lt;&gt;"")*(COLUMN(AC2850:AE2850)-(COLUMN(AC2850)-2))))-1),"")</f>
        <v>KEMBALI</v>
      </c>
      <c r="M2850" s="13" t="n">
        <f aca="true">K2850-TODAY()</f>
        <v>204</v>
      </c>
      <c r="N2850" s="18" t="s">
        <v>105</v>
      </c>
      <c r="O2850" s="13" t="s">
        <v>757</v>
      </c>
      <c r="P2850" s="19" t="n">
        <v>4870511</v>
      </c>
      <c r="Q2850" s="20" t="s">
        <v>12052</v>
      </c>
      <c r="R2850" s="13" t="s">
        <v>52</v>
      </c>
      <c r="S2850" s="16" t="n">
        <v>37812</v>
      </c>
      <c r="T2850" s="13" t="s">
        <v>108</v>
      </c>
      <c r="U2850" s="13" t="s">
        <v>12053</v>
      </c>
      <c r="V2850" s="28" t="s">
        <v>42</v>
      </c>
      <c r="W2850" s="28" t="s">
        <v>43</v>
      </c>
      <c r="X2850" s="30" t="n">
        <v>82149368998</v>
      </c>
      <c r="Y2850" s="22" t="str">
        <f aca="false">O2850</f>
        <v>Inputor</v>
      </c>
      <c r="Z2850" s="13" t="str">
        <f aca="false">IFERROR(__xludf.dummyfunction("if(BJ2850="""","""",GOOGLETRANSLATE(BJ2850,""auto"",""en""))"),"Inputor")</f>
        <v>Inputor</v>
      </c>
      <c r="AA2850" s="23" t="str">
        <f aca="false">IF(C2850="","", CHOOSE(MONTH(C2850),"January","February","March","April","May","June","July","August","September","October","November","December")&amp;" "&amp;DAY(C2850)&amp;MID("thstndrdth",MIN(9,2*RIGHT(DAY(C2850))*(MOD(DAY(C2850)-11,100)&gt;2)+1),2)&amp;","&amp;TEXT(C2850," yyyy"))</f>
        <v>November 1st,2025</v>
      </c>
      <c r="AB2850" s="15" t="str">
        <f aca="true">IF(S2850="","",DATEDIF(S2850,TODAY(),"Y")&amp;" Tahun, "&amp;DATEDIF(S2850,TODAY(),"YM")&amp;" Bulan, "&amp;DATEDIF(S2850,TODAY(),"MD")&amp;" Hari")</f>
        <v>23 Tahun, 3 Bulan, 19 Hari</v>
      </c>
      <c r="AC2850" s="18" t="n">
        <v>45962</v>
      </c>
      <c r="AD2850" s="18" t="n">
        <v>46528</v>
      </c>
      <c r="AE2850" s="13" t="s">
        <v>397</v>
      </c>
    </row>
    <row r="2851" customFormat="false" ht="15" hidden="false" customHeight="true" outlineLevel="0" collapsed="false">
      <c r="A2851" s="12" t="n">
        <v>21199</v>
      </c>
      <c r="B2851" s="13" t="s">
        <v>12054</v>
      </c>
      <c r="C2851" s="16" t="n">
        <v>45962</v>
      </c>
      <c r="D2851" s="13" t="s">
        <v>755</v>
      </c>
      <c r="E2851" s="15" t="s">
        <v>47</v>
      </c>
      <c r="F2851" s="15" t="str">
        <f aca="false">IFERROR(__xludf.dummyfunction("XLOOKUP(AJ2851,IMPORTRANGE(""1XaInW9DU9nz21V0tYIfzFQ0He9kVQ_JF2mCXgZ3hqFA"",""REKAP ALL 2026 - Andika!G:G""),IMPORTRANGE(""1XaInW9DU9nz21V0tYIfzFQ0He9kVQ_JF2mCXgZ3hqFA"",""REKAP ALL 2026 - Andika!F:F""),"""",0)"),"25180465624")</f>
        <v>25180465624</v>
      </c>
      <c r="G2851" s="28" t="s">
        <v>57</v>
      </c>
      <c r="H2851" s="13" t="s">
        <v>3024</v>
      </c>
      <c r="I2851" s="13" t="str">
        <f aca="false">IF(C2851=J2851,"NEW KONTRAK","RE-KONTRAK")</f>
        <v>NEW KONTRAK</v>
      </c>
      <c r="J2851" s="16" t="n">
        <f aca="false" t="array" ref="J2851:J2851">IFERROR(INDEX(AC2851:AE2851,IF(COUNTA(AC2851:AE2851)=0,"",MAX((AC2851:AE2851&lt;&gt;"")*(COLUMN(AC2851:AE2851)-(COLUMN(AC2851)))))-1),"")</f>
        <v>45962</v>
      </c>
      <c r="K2851" s="16" t="n">
        <f aca="false" t="array" ref="K2851:K2851">IFERROR(INDEX(AC2851:AE2851,IF(COUNTA(AC2851:AE2851)=0,"",MAX((AC2851:AE2851&lt;&gt;"")*(COLUMN(AC2851:AE2851)-(COLUMN(AC2851)-1))))-1),"")</f>
        <v>46528</v>
      </c>
      <c r="L2851" s="17" t="str">
        <f aca="false" t="array" ref="L2851:L2851">IFERROR(INDEX(AC2851:AE2851,IF(COUNTA(AC2851:AE2851)=0,"",MAX((AC2851:AE2851&lt;&gt;"")*(COLUMN(AC2851:AE2851)-(COLUMN(AC2851)-2))))-1),"")</f>
        <v>KEMBALI</v>
      </c>
      <c r="M2851" s="13" t="n">
        <f aca="true">K2851-TODAY()</f>
        <v>204</v>
      </c>
      <c r="N2851" s="18" t="s">
        <v>105</v>
      </c>
      <c r="O2851" s="13" t="s">
        <v>757</v>
      </c>
      <c r="P2851" s="19" t="n">
        <v>4870511</v>
      </c>
      <c r="Q2851" s="20" t="s">
        <v>12055</v>
      </c>
      <c r="R2851" s="13" t="s">
        <v>260</v>
      </c>
      <c r="S2851" s="16" t="n">
        <v>37263</v>
      </c>
      <c r="T2851" s="13" t="s">
        <v>108</v>
      </c>
      <c r="U2851" s="13" t="s">
        <v>12056</v>
      </c>
      <c r="V2851" s="13" t="s">
        <v>42</v>
      </c>
      <c r="W2851" s="13" t="s">
        <v>43</v>
      </c>
      <c r="X2851" s="30" t="n">
        <v>81194024455</v>
      </c>
      <c r="Y2851" s="22" t="str">
        <f aca="false">O2851</f>
        <v>Inputor</v>
      </c>
      <c r="Z2851" s="13" t="str">
        <f aca="false">IFERROR(__xludf.dummyfunction("if(BJ2851="""","""",GOOGLETRANSLATE(BJ2851,""auto"",""en""))"),"Inputor")</f>
        <v>Inputor</v>
      </c>
      <c r="AA2851" s="23" t="str">
        <f aca="false">IF(C2851="","", CHOOSE(MONTH(C2851),"January","February","March","April","May","June","July","August","September","October","November","December")&amp;" "&amp;DAY(C2851)&amp;MID("thstndrdth",MIN(9,2*RIGHT(DAY(C2851))*(MOD(DAY(C2851)-11,100)&gt;2)+1),2)&amp;","&amp;TEXT(C2851," yyyy"))</f>
        <v>November 1st,2025</v>
      </c>
      <c r="AB2851" s="15" t="str">
        <f aca="true">IF(S2851="","",DATEDIF(S2851,TODAY(),"Y")&amp;" Tahun, "&amp;DATEDIF(S2851,TODAY(),"YM")&amp;" Bulan, "&amp;DATEDIF(S2851,TODAY(),"MD")&amp;" Hari")</f>
        <v>24 Tahun, 9 Bulan, 22 Hari</v>
      </c>
      <c r="AC2851" s="18" t="n">
        <v>45962</v>
      </c>
      <c r="AD2851" s="18" t="n">
        <v>46528</v>
      </c>
      <c r="AE2851" s="13" t="s">
        <v>397</v>
      </c>
    </row>
    <row r="2852" customFormat="false" ht="15" hidden="false" customHeight="true" outlineLevel="0" collapsed="false">
      <c r="A2852" s="12" t="n">
        <v>21204</v>
      </c>
      <c r="B2852" s="13" t="s">
        <v>12057</v>
      </c>
      <c r="C2852" s="16" t="n">
        <v>45952</v>
      </c>
      <c r="D2852" s="13" t="s">
        <v>3838</v>
      </c>
      <c r="E2852" s="15" t="s">
        <v>47</v>
      </c>
      <c r="F2852" s="15" t="str">
        <f aca="false">IFERROR(__xludf.dummyfunction("XLOOKUP(AJ2852,IMPORTRANGE(""1XaInW9DU9nz21V0tYIfzFQ0He9kVQ_JF2mCXgZ3hqFA"",""REKAP ALL 2026 - Andika!G:G""),IMPORTRANGE(""1XaInW9DU9nz21V0tYIfzFQ0He9kVQ_JF2mCXgZ3hqFA"",""REKAP ALL 2026 - Andika!F:F""),"""",0)"),"26005758102")</f>
        <v>26005758102</v>
      </c>
      <c r="G2852" s="28" t="s">
        <v>57</v>
      </c>
      <c r="H2852" s="13" t="s">
        <v>35</v>
      </c>
      <c r="I2852" s="13" t="str">
        <f aca="false">IF(C2852=J2852,"NEW KONTRAK","RE-KONTRAK")</f>
        <v>NEW KONTRAK</v>
      </c>
      <c r="J2852" s="16" t="n">
        <f aca="false" t="array" ref="J2852:J2852">IFERROR(INDEX(AC2852:AE2852,IF(COUNTA(AC2852:AE2852)=0,"",MAX((AC2852:AE2852&lt;&gt;"")*(COLUMN(AC2852:AE2852)-(COLUMN(AC2852)))))-1),"")</f>
        <v>45952</v>
      </c>
      <c r="K2852" s="16" t="n">
        <f aca="false" t="array" ref="K2852:K2852">IFERROR(INDEX(AC2852:AE2852,IF(COUNTA(AC2852:AE2852)=0,"",MAX((AC2852:AE2852&lt;&gt;"")*(COLUMN(AC2852:AE2852)-(COLUMN(AC2852)-1))))-1),"")</f>
        <v>46022</v>
      </c>
      <c r="L2852" s="17" t="str">
        <f aca="false" t="array" ref="L2852:L2852">IFERROR(INDEX(AC2852:AE2852,IF(COUNTA(AC2852:AE2852)=0,"",MAX((AC2852:AE2852&lt;&gt;"")*(COLUMN(AC2852:AE2852)-(COLUMN(AC2852)-2))))-1),"")</f>
        <v>ARCHIVED</v>
      </c>
      <c r="M2852" s="13" t="n">
        <f aca="true">K2852-TODAY()</f>
        <v>-302</v>
      </c>
      <c r="N2852" s="18" t="s">
        <v>749</v>
      </c>
      <c r="O2852" s="13" t="s">
        <v>3577</v>
      </c>
      <c r="P2852" s="19" t="n">
        <v>3983882</v>
      </c>
      <c r="Q2852" s="20" t="s">
        <v>12058</v>
      </c>
      <c r="R2852" s="13" t="s">
        <v>752</v>
      </c>
      <c r="S2852" s="16" t="n">
        <v>38492</v>
      </c>
      <c r="T2852" s="28" t="s">
        <v>40</v>
      </c>
      <c r="U2852" s="13" t="s">
        <v>12059</v>
      </c>
      <c r="V2852" s="13" t="s">
        <v>42</v>
      </c>
      <c r="W2852" s="13" t="s">
        <v>43</v>
      </c>
      <c r="X2852" s="21" t="n">
        <v>82158757687</v>
      </c>
      <c r="Y2852" s="22" t="str">
        <f aca="false">O2852</f>
        <v>Kerani Gudang</v>
      </c>
      <c r="Z2852" s="13" t="str">
        <f aca="false">IFERROR(__xludf.dummyfunction("if(BJ2852="""","""",GOOGLETRANSLATE(BJ2852,""auto"",""en""))"),"Warehouse Clerk")</f>
        <v>Warehouse Clerk</v>
      </c>
      <c r="AA2852" s="23" t="str">
        <f aca="false">IF(C2852="","", CHOOSE(MONTH(C2852),"January","February","March","April","May","June","July","August","September","October","November","December")&amp;" "&amp;DAY(C2852)&amp;MID("thstndrdth",MIN(9,2*RIGHT(DAY(C2852))*(MOD(DAY(C2852)-11,100)&gt;2)+1),2)&amp;","&amp;TEXT(C2852," yyyy"))</f>
        <v>October 22nd,2025</v>
      </c>
      <c r="AB2852" s="15" t="str">
        <f aca="true">IF(S2852="","",DATEDIF(S2852,TODAY(),"Y")&amp;" Tahun, "&amp;DATEDIF(S2852,TODAY(),"YM")&amp;" Bulan, "&amp;DATEDIF(S2852,TODAY(),"MD")&amp;" Hari")</f>
        <v>21 Tahun, 5 Bulan, 9 Hari</v>
      </c>
      <c r="AC2852" s="16" t="n">
        <v>45952</v>
      </c>
      <c r="AD2852" s="18" t="n">
        <v>46022</v>
      </c>
      <c r="AE2852" s="13" t="s">
        <v>44</v>
      </c>
    </row>
    <row r="2853" customFormat="false" ht="15" hidden="false" customHeight="true" outlineLevel="0" collapsed="false">
      <c r="A2853" s="12" t="n">
        <v>21205</v>
      </c>
      <c r="B2853" s="13" t="s">
        <v>12060</v>
      </c>
      <c r="C2853" s="16" t="n">
        <v>45958</v>
      </c>
      <c r="D2853" s="13" t="s">
        <v>10714</v>
      </c>
      <c r="E2853" s="15" t="s">
        <v>47</v>
      </c>
      <c r="F2853" s="15" t="str">
        <f aca="false">IFERROR(__xludf.dummyfunction("XLOOKUP(AJ2853,IMPORTRANGE(""1XaInW9DU9nz21V0tYIfzFQ0He9kVQ_JF2mCXgZ3hqFA"",""REKAP ALL 2026 - Andika!G:G""),IMPORTRANGE(""1XaInW9DU9nz21V0tYIfzFQ0He9kVQ_JF2mCXgZ3hqFA"",""REKAP ALL 2026 - Andika!F:F""),"""",0)"),"25157579290")</f>
        <v>25157579290</v>
      </c>
      <c r="G2853" s="13" t="s">
        <v>1127</v>
      </c>
      <c r="H2853" s="13" t="s">
        <v>35</v>
      </c>
      <c r="I2853" s="13" t="str">
        <f aca="false">IF(C2853=J2853,"NEW KONTRAK","RE-KONTRAK")</f>
        <v>NEW KONTRAK</v>
      </c>
      <c r="J2853" s="16" t="n">
        <f aca="false" t="array" ref="J2853:J2853">IFERROR(INDEX(AC2853:AE2853,IF(COUNTA(AC2853:AE2853)=0,"",MAX((AC2853:AE2853&lt;&gt;"")*(COLUMN(AC2853:AE2853)-(COLUMN(AC2853)))))-1),"")</f>
        <v>45958</v>
      </c>
      <c r="K2853" s="16" t="n">
        <f aca="false" t="array" ref="K2853:K2853">IFERROR(INDEX(AC2853:AE2853,IF(COUNTA(AC2853:AE2853)=0,"",MAX((AC2853:AE2853&lt;&gt;"")*(COLUMN(AC2853:AE2853)-(COLUMN(AC2853)-1))))-1),"")</f>
        <v>46049</v>
      </c>
      <c r="L2853" s="17" t="str">
        <f aca="false" t="array" ref="L2853:L2853">IFERROR(INDEX(AC2853:AE2853,IF(COUNTA(AC2853:AE2853)=0,"",MAX((AC2853:AE2853&lt;&gt;"")*(COLUMN(AC2853:AE2853)-(COLUMN(AC2853)-2))))-1),"")</f>
        <v>ARCHIVED</v>
      </c>
      <c r="M2853" s="13" t="n">
        <f aca="true">K2853-TODAY()</f>
        <v>-275</v>
      </c>
      <c r="N2853" s="18" t="s">
        <v>728</v>
      </c>
      <c r="O2853" s="13" t="s">
        <v>12061</v>
      </c>
      <c r="P2853" s="19" t="n">
        <v>3000000</v>
      </c>
      <c r="Q2853" s="20" t="s">
        <v>12062</v>
      </c>
      <c r="R2853" s="13" t="s">
        <v>52</v>
      </c>
      <c r="S2853" s="16" t="n">
        <v>39074</v>
      </c>
      <c r="T2853" s="28" t="s">
        <v>40</v>
      </c>
      <c r="U2853" s="13" t="s">
        <v>12063</v>
      </c>
      <c r="V2853" s="13" t="s">
        <v>42</v>
      </c>
      <c r="W2853" s="13" t="s">
        <v>43</v>
      </c>
      <c r="X2853" s="21" t="n">
        <v>895327262459</v>
      </c>
      <c r="Y2853" s="22" t="str">
        <f aca="false">O2853</f>
        <v>Helper/Kernet</v>
      </c>
      <c r="Z2853" s="13" t="str">
        <f aca="false">IFERROR(__xludf.dummyfunction("if(BJ2853="""","""",GOOGLETRANSLATE(BJ2853,""auto"",""en""))"),"Helper/Coordinator")</f>
        <v>Helper/Coordinator</v>
      </c>
      <c r="AA2853" s="23" t="str">
        <f aca="false">IF(C2853="","", CHOOSE(MONTH(C2853),"January","February","March","April","May","June","July","August","September","October","November","December")&amp;" "&amp;DAY(C2853)&amp;MID("thstndrdth",MIN(9,2*RIGHT(DAY(C2853))*(MOD(DAY(C2853)-11,100)&gt;2)+1),2)&amp;","&amp;TEXT(C2853," yyyy"))</f>
        <v>October 28th,2025</v>
      </c>
      <c r="AB2853" s="15" t="str">
        <f aca="true">IF(S2853="","",DATEDIF(S2853,TODAY(),"Y")&amp;" Tahun, "&amp;DATEDIF(S2853,TODAY(),"YM")&amp;" Bulan, "&amp;DATEDIF(S2853,TODAY(),"MD")&amp;" Hari")</f>
        <v>19 Tahun, 10 Bulan, 6 Hari</v>
      </c>
      <c r="AC2853" s="18" t="n">
        <v>45958</v>
      </c>
      <c r="AD2853" s="18" t="n">
        <v>46049</v>
      </c>
      <c r="AE2853" s="13" t="s">
        <v>44</v>
      </c>
    </row>
    <row r="2854" customFormat="false" ht="15" hidden="false" customHeight="true" outlineLevel="0" collapsed="false">
      <c r="A2854" s="12" t="n">
        <v>21217</v>
      </c>
      <c r="B2854" s="13" t="s">
        <v>11733</v>
      </c>
      <c r="C2854" s="16" t="n">
        <v>45957</v>
      </c>
      <c r="D2854" s="13" t="s">
        <v>11961</v>
      </c>
      <c r="E2854" s="15" t="s">
        <v>47</v>
      </c>
      <c r="F2854" s="15" t="str">
        <f aca="false">IFERROR(__xludf.dummyfunction("XLOOKUP(AJ2854,IMPORTRANGE(""1XaInW9DU9nz21V0tYIfzFQ0He9kVQ_JF2mCXgZ3hqFA"",""REKAP ALL 2026 - Andika!G:G""),IMPORTRANGE(""1XaInW9DU9nz21V0tYIfzFQ0He9kVQ_JF2mCXgZ3hqFA"",""REKAP ALL 2026 - Andika!F:F""),"""",0)"),"25157580280")</f>
        <v>25157580280</v>
      </c>
      <c r="G2854" s="28" t="s">
        <v>57</v>
      </c>
      <c r="H2854" s="13" t="s">
        <v>35</v>
      </c>
      <c r="I2854" s="13" t="str">
        <f aca="false">IF(C2854=J2854,"NEW KONTRAK","RE-KONTRAK")</f>
        <v>NEW KONTRAK</v>
      </c>
      <c r="J2854" s="16" t="n">
        <f aca="false" t="array" ref="J2854:J2854">IFERROR(INDEX(AC2854:AE2854,IF(COUNTA(AC2854:AE2854)=0,"",MAX((AC2854:AE2854&lt;&gt;"")*(COLUMN(AC2854:AE2854)-(COLUMN(AC2854)))))-1),"")</f>
        <v>45957</v>
      </c>
      <c r="K2854" s="16" t="n">
        <f aca="false" t="array" ref="K2854:K2854">IFERROR(INDEX(AC2854:AE2854,IF(COUNTA(AC2854:AE2854)=0,"",MAX((AC2854:AE2854&lt;&gt;"")*(COLUMN(AC2854:AE2854)-(COLUMN(AC2854)-1))))-1),"")</f>
        <v>46048</v>
      </c>
      <c r="L2854" s="17" t="str">
        <f aca="false" t="array" ref="L2854:L2854">IFERROR(INDEX(AC2854:AE2854,IF(COUNTA(AC2854:AE2854)=0,"",MAX((AC2854:AE2854&lt;&gt;"")*(COLUMN(AC2854:AE2854)-(COLUMN(AC2854)-2))))-1),"")</f>
        <v>ARCHIVED</v>
      </c>
      <c r="M2854" s="13" t="n">
        <f aca="true">K2854-TODAY()</f>
        <v>-276</v>
      </c>
      <c r="N2854" s="18" t="s">
        <v>615</v>
      </c>
      <c r="O2854" s="13" t="s">
        <v>50</v>
      </c>
      <c r="P2854" s="19" t="n">
        <v>5176101</v>
      </c>
      <c r="Q2854" s="47" t="s">
        <v>12064</v>
      </c>
      <c r="R2854" s="13" t="s">
        <v>232</v>
      </c>
      <c r="S2854" s="16" t="n">
        <v>26981</v>
      </c>
      <c r="T2854" s="28" t="s">
        <v>40</v>
      </c>
      <c r="U2854" s="13" t="s">
        <v>12065</v>
      </c>
      <c r="V2854" s="13" t="s">
        <v>42</v>
      </c>
      <c r="W2854" s="13" t="s">
        <v>54</v>
      </c>
      <c r="X2854" s="21" t="n">
        <v>85175421797</v>
      </c>
      <c r="Y2854" s="22" t="str">
        <f aca="false">O2854</f>
        <v>Driver</v>
      </c>
      <c r="Z2854" s="13" t="str">
        <f aca="false">IFERROR(__xludf.dummyfunction("if(BJ2854="""","""",GOOGLETRANSLATE(BJ2854,""auto"",""en""))"),"Driver")</f>
        <v>Driver</v>
      </c>
      <c r="AA2854" s="23" t="str">
        <f aca="false">IF(C2854="","", CHOOSE(MONTH(C2854),"January","February","March","April","May","June","July","August","September","October","November","December")&amp;" "&amp;DAY(C2854)&amp;MID("thstndrdth",MIN(9,2*RIGHT(DAY(C2854))*(MOD(DAY(C2854)-11,100)&gt;2)+1),2)&amp;","&amp;TEXT(C2854," yyyy"))</f>
        <v>October 27th,2025</v>
      </c>
      <c r="AB2854" s="15" t="str">
        <f aca="true">IF(S2854="","",DATEDIF(S2854,TODAY(),"Y")&amp;" Tahun, "&amp;DATEDIF(S2854,TODAY(),"YM")&amp;" Bulan, "&amp;DATEDIF(S2854,TODAY(),"MD")&amp;" Hari")</f>
        <v>52 Tahun, 11 Bulan, 16 Hari</v>
      </c>
      <c r="AC2854" s="18" t="n">
        <v>45957</v>
      </c>
      <c r="AD2854" s="18" t="n">
        <f aca="false">EDATE(AC2854,3)-1</f>
        <v>46048</v>
      </c>
      <c r="AE2854" s="18" t="s">
        <v>44</v>
      </c>
    </row>
    <row r="2855" customFormat="false" ht="15" hidden="false" customHeight="true" outlineLevel="0" collapsed="false">
      <c r="A2855" s="12" t="n">
        <v>21218</v>
      </c>
      <c r="B2855" s="13" t="s">
        <v>12066</v>
      </c>
      <c r="C2855" s="16" t="n">
        <v>45957</v>
      </c>
      <c r="D2855" s="13" t="s">
        <v>3022</v>
      </c>
      <c r="E2855" s="15" t="s">
        <v>47</v>
      </c>
      <c r="F2855" s="15" t="str">
        <f aca="false">IFERROR(__xludf.dummyfunction("XLOOKUP(AJ2855,IMPORTRANGE(""1XaInW9DU9nz21V0tYIfzFQ0He9kVQ_JF2mCXgZ3hqFA"",""REKAP ALL 2026 - Andika!G:G""),IMPORTRANGE(""1XaInW9DU9nz21V0tYIfzFQ0He9kVQ_JF2mCXgZ3hqFA"",""REKAP ALL 2026 - Andika!F:F""),"""",0)"),"25157577856")</f>
        <v>25157577856</v>
      </c>
      <c r="G2855" s="13" t="s">
        <v>1127</v>
      </c>
      <c r="H2855" s="13" t="s">
        <v>3024</v>
      </c>
      <c r="I2855" s="13" t="str">
        <f aca="false">IF(C2855=J2855,"NEW KONTRAK","RE-KONTRAK")</f>
        <v>NEW KONTRAK</v>
      </c>
      <c r="J2855" s="16" t="n">
        <f aca="false" t="array" ref="J2855:J2855">IFERROR(INDEX(AC2855:AE2855,IF(COUNTA(AC2855:AE2855)=0,"",MAX((AC2855:AE2855&lt;&gt;"")*(COLUMN(AC2855:AE2855)-(COLUMN(AC2855)))))-1),"")</f>
        <v>45957</v>
      </c>
      <c r="K2855" s="16" t="n">
        <f aca="false" t="array" ref="K2855:K2855">IFERROR(INDEX(AC2855:AE2855,IF(COUNTA(AC2855:AE2855)=0,"",MAX((AC2855:AE2855&lt;&gt;"")*(COLUMN(AC2855:AE2855)-(COLUMN(AC2855)-1))))-1),"")</f>
        <v>46048</v>
      </c>
      <c r="L2855" s="17" t="str">
        <f aca="false" t="array" ref="L2855:L2855">IFERROR(INDEX(AC2855:AE2855,IF(COUNTA(AC2855:AE2855)=0,"",MAX((AC2855:AE2855&lt;&gt;"")*(COLUMN(AC2855:AE2855)-(COLUMN(AC2855)-2))))-1),"")</f>
        <v>ARCHIVED</v>
      </c>
      <c r="M2855" s="13" t="n">
        <f aca="true">K2855-TODAY()</f>
        <v>-276</v>
      </c>
      <c r="N2855" s="18" t="s">
        <v>36</v>
      </c>
      <c r="O2855" s="13" t="s">
        <v>58</v>
      </c>
      <c r="P2855" s="19" t="n">
        <v>112500</v>
      </c>
      <c r="Q2855" s="47" t="s">
        <v>12067</v>
      </c>
      <c r="R2855" s="13" t="s">
        <v>65</v>
      </c>
      <c r="S2855" s="16" t="n">
        <v>38982</v>
      </c>
      <c r="T2855" s="28" t="s">
        <v>40</v>
      </c>
      <c r="U2855" s="13" t="s">
        <v>7125</v>
      </c>
      <c r="V2855" s="13" t="s">
        <v>42</v>
      </c>
      <c r="W2855" s="13" t="s">
        <v>43</v>
      </c>
      <c r="X2855" s="21" t="n">
        <v>85730667535</v>
      </c>
      <c r="Y2855" s="22" t="str">
        <f aca="false">O2855</f>
        <v>Produksi</v>
      </c>
      <c r="Z2855" s="13" t="str">
        <f aca="false">IFERROR(__xludf.dummyfunction("if(BJ2855="""","""",GOOGLETRANSLATE(BJ2855,""auto"",""en""))"),"Production")</f>
        <v>Production</v>
      </c>
      <c r="AA2855" s="23" t="str">
        <f aca="false">IF(C2855="","", CHOOSE(MONTH(C2855),"January","February","March","April","May","June","July","August","September","October","November","December")&amp;" "&amp;DAY(C2855)&amp;MID("thstndrdth",MIN(9,2*RIGHT(DAY(C2855))*(MOD(DAY(C2855)-11,100)&gt;2)+1),2)&amp;","&amp;TEXT(C2855," yyyy"))</f>
        <v>October 27th,2025</v>
      </c>
      <c r="AB2855" s="15" t="str">
        <f aca="true">IF(S2855="","",DATEDIF(S2855,TODAY(),"Y")&amp;" Tahun, "&amp;DATEDIF(S2855,TODAY(),"YM")&amp;" Bulan, "&amp;DATEDIF(S2855,TODAY(),"MD")&amp;" Hari")</f>
        <v>20 Tahun, 1 Bulan, 7 Hari</v>
      </c>
      <c r="AC2855" s="18" t="n">
        <v>45957</v>
      </c>
      <c r="AD2855" s="18" t="n">
        <f aca="false">EDATE(AC2855,3)-1</f>
        <v>46048</v>
      </c>
      <c r="AE2855" s="13" t="s">
        <v>44</v>
      </c>
    </row>
    <row r="2856" customFormat="false" ht="15" hidden="false" customHeight="true" outlineLevel="0" collapsed="false">
      <c r="A2856" s="12" t="n">
        <v>21219</v>
      </c>
      <c r="B2856" s="13" t="s">
        <v>12068</v>
      </c>
      <c r="C2856" s="16" t="n">
        <v>45957</v>
      </c>
      <c r="D2856" s="13" t="s">
        <v>3022</v>
      </c>
      <c r="E2856" s="15" t="s">
        <v>102</v>
      </c>
      <c r="F2856" s="24" t="s">
        <v>12069</v>
      </c>
      <c r="G2856" s="13" t="s">
        <v>57</v>
      </c>
      <c r="H2856" s="13" t="s">
        <v>3024</v>
      </c>
      <c r="I2856" s="13" t="str">
        <f aca="false">IF(C2856=J2856,"NEW KONTRAK","RE-KONTRAK")</f>
        <v>NEW KONTRAK</v>
      </c>
      <c r="J2856" s="16" t="n">
        <f aca="false" t="array" ref="J2856:J2856">IFERROR(INDEX(AC2856:AE2856,IF(COUNTA(AC2856:AE2856)=0,"",MAX((AC2856:AE2856&lt;&gt;"")*(COLUMN(AC2856:AE2856)-(COLUMN(AC2856)))))-1),"")</f>
        <v>45957</v>
      </c>
      <c r="K2856" s="16" t="n">
        <f aca="false" t="array" ref="K2856:K2856">IFERROR(INDEX(AC2856:AE2856,IF(COUNTA(AC2856:AE2856)=0,"",MAX((AC2856:AE2856&lt;&gt;"")*(COLUMN(AC2856:AE2856)-(COLUMN(AC2856)-1))))-1),"")</f>
        <v>46048</v>
      </c>
      <c r="L2856" s="17" t="str">
        <f aca="false" t="array" ref="L2856:L2856">IFERROR(INDEX(AC2856:AE2856,IF(COUNTA(AC2856:AE2856)=0,"",MAX((AC2856:AE2856&lt;&gt;"")*(COLUMN(AC2856:AE2856)-(COLUMN(AC2856)-2))))-1),"")</f>
        <v>ARCHIVED</v>
      </c>
      <c r="M2856" s="13" t="n">
        <f aca="true">K2856-TODAY()</f>
        <v>-276</v>
      </c>
      <c r="N2856" s="18" t="s">
        <v>36</v>
      </c>
      <c r="O2856" s="13" t="s">
        <v>58</v>
      </c>
      <c r="P2856" s="19" t="n">
        <v>90000</v>
      </c>
      <c r="Q2856" s="47" t="s">
        <v>12070</v>
      </c>
      <c r="R2856" s="13" t="s">
        <v>39</v>
      </c>
      <c r="S2856" s="16" t="n">
        <v>38659</v>
      </c>
      <c r="T2856" s="28" t="s">
        <v>40</v>
      </c>
      <c r="U2856" s="13" t="s">
        <v>12071</v>
      </c>
      <c r="V2856" s="13" t="s">
        <v>42</v>
      </c>
      <c r="W2856" s="13" t="s">
        <v>43</v>
      </c>
      <c r="X2856" s="21" t="n">
        <v>82139366354</v>
      </c>
      <c r="Y2856" s="22" t="str">
        <f aca="false">O2856</f>
        <v>Produksi</v>
      </c>
      <c r="Z2856" s="13" t="str">
        <f aca="false">IFERROR(__xludf.dummyfunction("if(BJ2856="""","""",GOOGLETRANSLATE(BJ2856,""auto"",""en""))"),"Production")</f>
        <v>Production</v>
      </c>
      <c r="AA2856" s="23" t="str">
        <f aca="false">IF(C2856="","", CHOOSE(MONTH(C2856),"January","February","March","April","May","June","July","August","September","October","November","December")&amp;" "&amp;DAY(C2856)&amp;MID("thstndrdth",MIN(9,2*RIGHT(DAY(C2856))*(MOD(DAY(C2856)-11,100)&gt;2)+1),2)&amp;","&amp;TEXT(C2856," yyyy"))</f>
        <v>October 27th,2025</v>
      </c>
      <c r="AB2856" s="15" t="str">
        <f aca="true">IF(S2856="","",DATEDIF(S2856,TODAY(),"Y")&amp;" Tahun, "&amp;DATEDIF(S2856,TODAY(),"YM")&amp;" Bulan, "&amp;DATEDIF(S2856,TODAY(),"MD")&amp;" Hari")</f>
        <v>20 Tahun, 11 Bulan, 26 Hari</v>
      </c>
      <c r="AC2856" s="18" t="n">
        <v>45957</v>
      </c>
      <c r="AD2856" s="18" t="n">
        <f aca="false">EDATE(AC2856,3)-1</f>
        <v>46048</v>
      </c>
      <c r="AE2856" s="13" t="s">
        <v>44</v>
      </c>
    </row>
    <row r="2857" customFormat="false" ht="15" hidden="false" customHeight="true" outlineLevel="0" collapsed="false">
      <c r="A2857" s="12" t="n">
        <v>21220</v>
      </c>
      <c r="B2857" s="13" t="s">
        <v>12072</v>
      </c>
      <c r="C2857" s="16" t="n">
        <v>45964</v>
      </c>
      <c r="D2857" s="13" t="s">
        <v>6638</v>
      </c>
      <c r="E2857" s="15" t="s">
        <v>102</v>
      </c>
      <c r="F2857" s="15" t="str">
        <f aca="false">IFERROR(__xludf.dummyfunction("XLOOKUP(AJ2857,IMPORTRANGE(""1XaInW9DU9nz21V0tYIfzFQ0He9kVQ_JF2mCXgZ3hqFA"",""REKAP ALL 2026 - Andika!G:G""),IMPORTRANGE(""1XaInW9DU9nz21V0tYIfzFQ0He9kVQ_JF2mCXgZ3hqFA"",""REKAP ALL 2026 - Andika!F:F""),"""",0)"),"25180536200")</f>
        <v>25180536200</v>
      </c>
      <c r="G2857" s="13" t="s">
        <v>1127</v>
      </c>
      <c r="H2857" s="13" t="s">
        <v>35</v>
      </c>
      <c r="I2857" s="13" t="str">
        <f aca="false">IF(C2857=J2857,"NEW KONTRAK","RE-KONTRAK")</f>
        <v>NEW KONTRAK</v>
      </c>
      <c r="J2857" s="16" t="n">
        <f aca="false" t="array" ref="J2857:J2857">IFERROR(INDEX(AC2857:AE2857,IF(COUNTA(AC2857:AE2857)=0,"",MAX((AC2857:AE2857&lt;&gt;"")*(COLUMN(AC2857:AE2857)-(COLUMN(AC2857)))))-1),"")</f>
        <v>45964</v>
      </c>
      <c r="K2857" s="16" t="n">
        <f aca="false" t="array" ref="K2857:K2857">IFERROR(INDEX(AC2857:AE2857,IF(COUNTA(AC2857:AE2857)=0,"",MAX((AC2857:AE2857&lt;&gt;"")*(COLUMN(AC2857:AE2857)-(COLUMN(AC2857)-1))))-1),"")</f>
        <v>46055</v>
      </c>
      <c r="L2857" s="17" t="str">
        <f aca="false" t="array" ref="L2857:L2857">IFERROR(INDEX(AC2857:AE2857,IF(COUNTA(AC2857:AE2857)=0,"",MAX((AC2857:AE2857&lt;&gt;"")*(COLUMN(AC2857:AE2857)-(COLUMN(AC2857)-2))))-1),"")</f>
        <v>ARCHIVED</v>
      </c>
      <c r="M2857" s="13" t="n">
        <f aca="true">K2857-TODAY()</f>
        <v>-269</v>
      </c>
      <c r="N2857" s="18" t="s">
        <v>4735</v>
      </c>
      <c r="O2857" s="13" t="s">
        <v>6662</v>
      </c>
      <c r="P2857" s="19" t="n">
        <v>3300000</v>
      </c>
      <c r="Q2857" s="47" t="s">
        <v>12073</v>
      </c>
      <c r="R2857" s="13" t="s">
        <v>324</v>
      </c>
      <c r="S2857" s="16" t="n">
        <v>35527</v>
      </c>
      <c r="T2857" s="13" t="s">
        <v>108</v>
      </c>
      <c r="U2857" s="13" t="s">
        <v>12074</v>
      </c>
      <c r="V2857" s="13" t="s">
        <v>42</v>
      </c>
      <c r="W2857" s="13" t="s">
        <v>54</v>
      </c>
      <c r="X2857" s="21" t="n">
        <v>82131218787</v>
      </c>
      <c r="Y2857" s="22" t="str">
        <f aca="false">O2857</f>
        <v>Front Office</v>
      </c>
      <c r="Z2857" s="13" t="str">
        <f aca="false">IFERROR(__xludf.dummyfunction("if(BJ2857="""","""",GOOGLETRANSLATE(BJ2857,""auto"",""en""))"),"Front Office")</f>
        <v>Front Office</v>
      </c>
      <c r="AA2857" s="23" t="str">
        <f aca="false">IF(C2857="","", CHOOSE(MONTH(C2857),"January","February","March","April","May","June","July","August","September","October","November","December")&amp;" "&amp;DAY(C2857)&amp;MID("thstndrdth",MIN(9,2*RIGHT(DAY(C2857))*(MOD(DAY(C2857)-11,100)&gt;2)+1),2)&amp;","&amp;TEXT(C2857," yyyy"))</f>
        <v>November 3rd,2025</v>
      </c>
      <c r="AB2857" s="15" t="str">
        <f aca="true">IF(S2857="","",DATEDIF(S2857,TODAY(),"Y")&amp;" Tahun, "&amp;DATEDIF(S2857,TODAY(),"YM")&amp;" Bulan, "&amp;DATEDIF(S2857,TODAY(),"MD")&amp;" Hari")</f>
        <v>29 Tahun, 6 Bulan, 22 Hari</v>
      </c>
      <c r="AC2857" s="18" t="n">
        <v>45964</v>
      </c>
      <c r="AD2857" s="18" t="n">
        <f aca="false">EDATE(AC2857,3)-1</f>
        <v>46055</v>
      </c>
      <c r="AE2857" s="13" t="s">
        <v>44</v>
      </c>
    </row>
    <row r="2858" customFormat="false" ht="15" hidden="false" customHeight="true" outlineLevel="0" collapsed="false">
      <c r="A2858" s="12" t="n">
        <v>21224</v>
      </c>
      <c r="B2858" s="104" t="s">
        <v>12075</v>
      </c>
      <c r="C2858" s="16" t="n">
        <v>45962</v>
      </c>
      <c r="D2858" s="13" t="s">
        <v>11257</v>
      </c>
      <c r="E2858" s="15" t="s">
        <v>7556</v>
      </c>
      <c r="F2858" s="15" t="str">
        <f aca="false">IFERROR(__xludf.dummyfunction("XLOOKUP(AJ2858,IMPORTRANGE(""1XaInW9DU9nz21V0tYIfzFQ0He9kVQ_JF2mCXgZ3hqFA"",""REKAP ALL 2026 - Andika!G:G""),IMPORTRANGE(""1XaInW9DU9nz21V0tYIfzFQ0He9kVQ_JF2mCXgZ3hqFA"",""REKAP ALL 2026 - Andika!F:F""),"""",0)"),"26005714899")</f>
        <v>26005714899</v>
      </c>
      <c r="G2858" s="13" t="s">
        <v>57</v>
      </c>
      <c r="H2858" s="13" t="s">
        <v>35</v>
      </c>
      <c r="I2858" s="13" t="str">
        <f aca="false">IF(C2858=J2858,"NEW KONTRAK","RE-KONTRAK")</f>
        <v>NEW KONTRAK</v>
      </c>
      <c r="J2858" s="16" t="n">
        <f aca="false" t="array" ref="J2858:J2858">IFERROR(INDEX(AC2858:AE2858,IF(COUNTA(AC2858:AE2858)=0,"",MAX((AC2858:AE2858&lt;&gt;"")*(COLUMN(AC2858:AE2858)-(COLUMN(AC2858)))))-1),"")</f>
        <v>45962</v>
      </c>
      <c r="K2858" s="16" t="n">
        <f aca="false" t="array" ref="K2858:K2858">IFERROR(INDEX(AC2858:AE2858,IF(COUNTA(AC2858:AE2858)=0,"",MAX((AC2858:AE2858&lt;&gt;"")*(COLUMN(AC2858:AE2858)-(COLUMN(AC2858)-1))))-1),"")</f>
        <v>46053</v>
      </c>
      <c r="L2858" s="17" t="str">
        <f aca="false" t="array" ref="L2858:L2858">IFERROR(INDEX(AC2858:AE2858,IF(COUNTA(AC2858:AE2858)=0,"",MAX((AC2858:AE2858&lt;&gt;"")*(COLUMN(AC2858:AE2858)-(COLUMN(AC2858)-2))))-1),"")</f>
        <v>ARCHIVED</v>
      </c>
      <c r="M2858" s="13" t="n">
        <f aca="true">K2858-TODAY()</f>
        <v>-271</v>
      </c>
      <c r="N2858" s="18" t="s">
        <v>728</v>
      </c>
      <c r="O2858" s="13" t="s">
        <v>7419</v>
      </c>
      <c r="P2858" s="27" t="n">
        <v>211551</v>
      </c>
      <c r="Q2858" s="47" t="s">
        <v>12076</v>
      </c>
      <c r="R2858" s="13" t="s">
        <v>52</v>
      </c>
      <c r="S2858" s="16" t="n">
        <v>35070</v>
      </c>
      <c r="T2858" s="28" t="s">
        <v>40</v>
      </c>
      <c r="U2858" s="13" t="s">
        <v>12077</v>
      </c>
      <c r="V2858" s="13" t="s">
        <v>42</v>
      </c>
      <c r="W2858" s="13" t="s">
        <v>54</v>
      </c>
      <c r="X2858" s="21" t="n">
        <v>87806872227</v>
      </c>
      <c r="Y2858" s="22" t="str">
        <f aca="false">O2858</f>
        <v>TKBM</v>
      </c>
      <c r="Z2858" s="13" t="str">
        <f aca="false">IFERROR(__xludf.dummyfunction("if(BJ2858="""","""",GOOGLETRANSLATE(BJ2858,""auto"",""en""))"),"TKBM")</f>
        <v>TKBM</v>
      </c>
      <c r="AA2858" s="23" t="str">
        <f aca="false">IF(C2858="","", CHOOSE(MONTH(C2858),"January","February","March","April","May","June","July","August","September","October","November","December")&amp;" "&amp;DAY(C2858)&amp;MID("thstndrdth",MIN(9,2*RIGHT(DAY(C2858))*(MOD(DAY(C2858)-11,100)&gt;2)+1),2)&amp;","&amp;TEXT(C2858," yyyy"))</f>
        <v>November 1st,2025</v>
      </c>
      <c r="AB2858" s="15" t="str">
        <f aca="true">IF(S2858="","",DATEDIF(S2858,TODAY(),"Y")&amp;" Tahun, "&amp;DATEDIF(S2858,TODAY(),"YM")&amp;" Bulan, "&amp;DATEDIF(S2858,TODAY(),"MD")&amp;" Hari")</f>
        <v>30 Tahun, 9 Bulan, 23 Hari</v>
      </c>
      <c r="AC2858" s="18" t="n">
        <v>45962</v>
      </c>
      <c r="AD2858" s="18" t="n">
        <f aca="false">EDATE(AC2858,3)-1</f>
        <v>46053</v>
      </c>
      <c r="AE2858" s="13" t="s">
        <v>44</v>
      </c>
    </row>
    <row r="2859" customFormat="false" ht="15" hidden="false" customHeight="true" outlineLevel="0" collapsed="false">
      <c r="A2859" s="12" t="n">
        <v>21225</v>
      </c>
      <c r="B2859" s="13" t="s">
        <v>12078</v>
      </c>
      <c r="C2859" s="16" t="n">
        <v>46233</v>
      </c>
      <c r="D2859" s="13" t="s">
        <v>11257</v>
      </c>
      <c r="E2859" s="15" t="s">
        <v>7949</v>
      </c>
      <c r="F2859" s="15" t="str">
        <f aca="false">IFERROR(__xludf.dummyfunction("XLOOKUP(AJ2859,IMPORTRANGE(""1XaInW9DU9nz21V0tYIfzFQ0He9kVQ_JF2mCXgZ3hqFA"",""REKAP ALL 2026 - Andika!G:G""),IMPORTRANGE(""1XaInW9DU9nz21V0tYIfzFQ0He9kVQ_JF2mCXgZ3hqFA"",""REKAP ALL 2026 - Andika!F:F""),"""",0)"),"26005714881")</f>
        <v>26005714881</v>
      </c>
      <c r="G2859" s="13" t="s">
        <v>57</v>
      </c>
      <c r="H2859" s="13" t="s">
        <v>35</v>
      </c>
      <c r="I2859" s="13" t="str">
        <f aca="false">IF(C2859=J2859,"NEW KONTRAK","RE-KONTRAK")</f>
        <v>RE-KONTRAK</v>
      </c>
      <c r="J2859" s="16" t="n">
        <f aca="false" t="array" ref="J2859:J2859">IFERROR(INDEX(AC2859:AE2859,IF(COUNTA(AC2859:AE2859)=0,"",MAX((AC2859:AE2859&lt;&gt;"")*(COLUMN(AC2859:AE2859)-(COLUMN(AC2859)))))-1),"")</f>
        <v>45962</v>
      </c>
      <c r="K2859" s="16" t="n">
        <f aca="false" t="array" ref="K2859:K2859">IFERROR(INDEX(AC2859:AE2859,IF(COUNTA(AC2859:AE2859)=0,"",MAX((AC2859:AE2859&lt;&gt;"")*(COLUMN(AC2859:AE2859)-(COLUMN(AC2859)-1))))-1),"")</f>
        <v>46053</v>
      </c>
      <c r="L2859" s="17" t="str">
        <f aca="false" t="array" ref="L2859:L2859">IFERROR(INDEX(AC2859:AE2859,IF(COUNTA(AC2859:AE2859)=0,"",MAX((AC2859:AE2859&lt;&gt;"")*(COLUMN(AC2859:AE2859)-(COLUMN(AC2859)-2))))-1),"")</f>
        <v>ARCHIVED</v>
      </c>
      <c r="M2859" s="13" t="n">
        <f aca="true">K2859-TODAY()</f>
        <v>-271</v>
      </c>
      <c r="N2859" s="18" t="s">
        <v>728</v>
      </c>
      <c r="O2859" s="13" t="s">
        <v>7419</v>
      </c>
      <c r="P2859" s="19" t="n">
        <v>211551</v>
      </c>
      <c r="Q2859" s="47" t="s">
        <v>12079</v>
      </c>
      <c r="R2859" s="13" t="s">
        <v>52</v>
      </c>
      <c r="S2859" s="16" t="n">
        <v>28993</v>
      </c>
      <c r="T2859" s="28" t="s">
        <v>40</v>
      </c>
      <c r="U2859" s="13" t="s">
        <v>12080</v>
      </c>
      <c r="V2859" s="13" t="s">
        <v>42</v>
      </c>
      <c r="W2859" s="13" t="s">
        <v>54</v>
      </c>
      <c r="X2859" s="21" t="n">
        <v>83854397062</v>
      </c>
      <c r="Y2859" s="22" t="str">
        <f aca="false">O2859</f>
        <v>TKBM</v>
      </c>
      <c r="Z2859" s="13" t="str">
        <f aca="false">IFERROR(__xludf.dummyfunction("if(BJ2859="""","""",GOOGLETRANSLATE(BJ2859,""auto"",""en""))"),"TKBM")</f>
        <v>TKBM</v>
      </c>
      <c r="AA2859" s="23" t="str">
        <f aca="false">IF(C2859="","", CHOOSE(MONTH(C2859),"January","February","March","April","May","June","July","August","September","October","November","December")&amp;" "&amp;DAY(C2859)&amp;MID("thstndrdth",MIN(9,2*RIGHT(DAY(C2859))*(MOD(DAY(C2859)-11,100)&gt;2)+1),2)&amp;","&amp;TEXT(C2859," yyyy"))</f>
        <v>July 30th,2026</v>
      </c>
      <c r="AB2859" s="15" t="str">
        <f aca="true">IF(S2859="","",DATEDIF(S2859,TODAY(),"Y")&amp;" Tahun, "&amp;DATEDIF(S2859,TODAY(),"YM")&amp;" Bulan, "&amp;DATEDIF(S2859,TODAY(),"MD")&amp;" Hari")</f>
        <v>47 Tahun, 5 Bulan, 11 Hari</v>
      </c>
      <c r="AC2859" s="18" t="n">
        <v>45962</v>
      </c>
      <c r="AD2859" s="18" t="n">
        <f aca="false">EDATE(AC2859,3)-1</f>
        <v>46053</v>
      </c>
      <c r="AE2859" s="13" t="s">
        <v>44</v>
      </c>
    </row>
    <row r="2860" customFormat="false" ht="15" hidden="false" customHeight="true" outlineLevel="0" collapsed="false">
      <c r="A2860" s="12" t="n">
        <v>21234</v>
      </c>
      <c r="B2860" s="13" t="s">
        <v>12081</v>
      </c>
      <c r="C2860" s="16" t="n">
        <v>45960</v>
      </c>
      <c r="D2860" s="13" t="s">
        <v>144</v>
      </c>
      <c r="E2860" s="15" t="s">
        <v>33</v>
      </c>
      <c r="F2860" s="24" t="s">
        <v>12082</v>
      </c>
      <c r="G2860" s="13" t="s">
        <v>1127</v>
      </c>
      <c r="H2860" s="13" t="s">
        <v>35</v>
      </c>
      <c r="I2860" s="13" t="str">
        <f aca="false">IF(C2860=J2860,"NEW KONTRAK","RE-KONTRAK")</f>
        <v>NEW KONTRAK</v>
      </c>
      <c r="J2860" s="16" t="n">
        <f aca="false" t="array" ref="J2860:J2860">IFERROR(INDEX(AC2860:AE2860,IF(COUNTA(AC2860:AE2860)=0,"",MAX((AC2860:AE2860&lt;&gt;"")*(COLUMN(AC2860:AE2860)-(COLUMN(AC2860)))))-1),"")</f>
        <v>45960</v>
      </c>
      <c r="K2860" s="16" t="n">
        <f aca="false" t="array" ref="K2860:K2860">IFERROR(INDEX(AC2860:AE2860,IF(COUNTA(AC2860:AE2860)=0,"",MAX((AC2860:AE2860&lt;&gt;"")*(COLUMN(AC2860:AE2860)-(COLUMN(AC2860)-1))))-1),"")</f>
        <v>46022</v>
      </c>
      <c r="L2860" s="17" t="str">
        <f aca="false" t="array" ref="L2860:L2860">IFERROR(INDEX(AC2860:AE2860,IF(COUNTA(AC2860:AE2860)=0,"",MAX((AC2860:AE2860&lt;&gt;"")*(COLUMN(AC2860:AE2860)-(COLUMN(AC2860)-2))))-1),"")</f>
        <v>ARCHIVED</v>
      </c>
      <c r="M2860" s="13" t="n">
        <f aca="true">K2860-TODAY()</f>
        <v>-302</v>
      </c>
      <c r="N2860" s="18" t="s">
        <v>36</v>
      </c>
      <c r="O2860" s="13" t="s">
        <v>12083</v>
      </c>
      <c r="P2860" s="19" t="n">
        <v>5195401</v>
      </c>
      <c r="Q2860" s="47" t="s">
        <v>12084</v>
      </c>
      <c r="R2860" s="13" t="s">
        <v>553</v>
      </c>
      <c r="S2860" s="16" t="n">
        <v>32646</v>
      </c>
      <c r="T2860" s="13" t="s">
        <v>40</v>
      </c>
      <c r="U2860" s="13" t="s">
        <v>12085</v>
      </c>
      <c r="V2860" s="13" t="s">
        <v>42</v>
      </c>
      <c r="W2860" s="13" t="s">
        <v>54</v>
      </c>
      <c r="X2860" s="21" t="n">
        <v>85755580027</v>
      </c>
      <c r="Y2860" s="22" t="str">
        <f aca="false">O2860</f>
        <v>Operator Reacktruck</v>
      </c>
      <c r="Z2860" s="13" t="str">
        <f aca="false">IFERROR(__xludf.dummyfunction("if(BJ2860="""","""",GOOGLETRANSLATE(BJ2860,""auto"",""en""))"),"Operator Reacktruck")</f>
        <v>Operator Reacktruck</v>
      </c>
      <c r="AA2860" s="23" t="str">
        <f aca="false">IF(C2860="","", CHOOSE(MONTH(C2860),"January","February","March","April","May","June","July","August","September","October","November","December")&amp;" "&amp;DAY(C2860)&amp;MID("thstndrdth",MIN(9,2*RIGHT(DAY(C2860))*(MOD(DAY(C2860)-11,100)&gt;2)+1),2)&amp;","&amp;TEXT(C2860," yyyy"))</f>
        <v>October 30th,2025</v>
      </c>
      <c r="AB2860" s="15" t="str">
        <f aca="true">IF(S2860="","",DATEDIF(S2860,TODAY(),"Y")&amp;" Tahun, "&amp;DATEDIF(S2860,TODAY(),"YM")&amp;" Bulan, "&amp;DATEDIF(S2860,TODAY(),"MD")&amp;" Hari")</f>
        <v>37 Tahun, 5 Bulan, 11 Hari</v>
      </c>
      <c r="AC2860" s="18" t="n">
        <v>45960</v>
      </c>
      <c r="AD2860" s="18" t="n">
        <v>46022</v>
      </c>
      <c r="AE2860" s="13" t="s">
        <v>44</v>
      </c>
    </row>
    <row r="2861" customFormat="false" ht="15" hidden="false" customHeight="true" outlineLevel="0" collapsed="false">
      <c r="A2861" s="12" t="n">
        <v>21235</v>
      </c>
      <c r="B2861" s="13" t="s">
        <v>12086</v>
      </c>
      <c r="C2861" s="16" t="n">
        <v>45960</v>
      </c>
      <c r="D2861" s="13" t="s">
        <v>144</v>
      </c>
      <c r="E2861" s="15" t="s">
        <v>47</v>
      </c>
      <c r="F2861" s="15" t="str">
        <f aca="false">IFERROR(__xludf.dummyfunction("XLOOKUP(AJ2861,IMPORTRANGE(""1XaInW9DU9nz21V0tYIfzFQ0He9kVQ_JF2mCXgZ3hqFA"",""REKAP ALL 2026 - Andika!G:G""),IMPORTRANGE(""1XaInW9DU9nz21V0tYIfzFQ0He9kVQ_JF2mCXgZ3hqFA"",""REKAP ALL 2026 - Andika!F:F""),"""",0)"),"25157580041")</f>
        <v>25157580041</v>
      </c>
      <c r="G2861" s="13" t="s">
        <v>1127</v>
      </c>
      <c r="H2861" s="13" t="s">
        <v>35</v>
      </c>
      <c r="I2861" s="13" t="str">
        <f aca="false">IF(C2861=J2861,"NEW KONTRAK","RE-KONTRAK")</f>
        <v>NEW KONTRAK</v>
      </c>
      <c r="J2861" s="16" t="n">
        <f aca="false" t="array" ref="J2861:J2861">IFERROR(INDEX(AC2861:AE2861,IF(COUNTA(AC2861:AE2861)=0,"",MAX((AC2861:AE2861&lt;&gt;"")*(COLUMN(AC2861:AE2861)-(COLUMN(AC2861)))))-1),"")</f>
        <v>45960</v>
      </c>
      <c r="K2861" s="16" t="n">
        <f aca="false" t="array" ref="K2861:K2861">IFERROR(INDEX(AC2861:AE2861,IF(COUNTA(AC2861:AE2861)=0,"",MAX((AC2861:AE2861&lt;&gt;"")*(COLUMN(AC2861:AE2861)-(COLUMN(AC2861)-1))))-1),"")</f>
        <v>46022</v>
      </c>
      <c r="L2861" s="17" t="str">
        <f aca="false" t="array" ref="L2861:L2861">IFERROR(INDEX(AC2861:AE2861,IF(COUNTA(AC2861:AE2861)=0,"",MAX((AC2861:AE2861&lt;&gt;"")*(COLUMN(AC2861:AE2861)-(COLUMN(AC2861)-2))))-1),"")</f>
        <v>ARCHIVED</v>
      </c>
      <c r="M2861" s="13" t="n">
        <f aca="true">K2861-TODAY()</f>
        <v>-302</v>
      </c>
      <c r="N2861" s="18" t="s">
        <v>36</v>
      </c>
      <c r="O2861" s="13" t="s">
        <v>12083</v>
      </c>
      <c r="P2861" s="19" t="n">
        <v>5195401</v>
      </c>
      <c r="Q2861" s="47" t="s">
        <v>12087</v>
      </c>
      <c r="R2861" s="13" t="s">
        <v>65</v>
      </c>
      <c r="S2861" s="16" t="n">
        <v>32963</v>
      </c>
      <c r="T2861" s="13" t="s">
        <v>40</v>
      </c>
      <c r="U2861" s="13" t="s">
        <v>12088</v>
      </c>
      <c r="V2861" s="13" t="s">
        <v>42</v>
      </c>
      <c r="W2861" s="13" t="s">
        <v>43</v>
      </c>
      <c r="X2861" s="21" t="n">
        <v>85733338168</v>
      </c>
      <c r="Y2861" s="22" t="str">
        <f aca="false">O2861</f>
        <v>Operator Reacktruck</v>
      </c>
      <c r="Z2861" s="13" t="str">
        <f aca="false">IFERROR(__xludf.dummyfunction("if(BJ2861="""","""",GOOGLETRANSLATE(BJ2861,""auto"",""en""))"),"Operator Reacktruck")</f>
        <v>Operator Reacktruck</v>
      </c>
      <c r="AA2861" s="23" t="str">
        <f aca="false">IF(C2861="","", CHOOSE(MONTH(C2861),"January","February","March","April","May","June","July","August","September","October","November","December")&amp;" "&amp;DAY(C2861)&amp;MID("thstndrdth",MIN(9,2*RIGHT(DAY(C2861))*(MOD(DAY(C2861)-11,100)&gt;2)+1),2)&amp;","&amp;TEXT(C2861," yyyy"))</f>
        <v>October 30th,2025</v>
      </c>
      <c r="AB2861" s="15" t="str">
        <f aca="true">IF(S2861="","",DATEDIF(S2861,TODAY(),"Y")&amp;" Tahun, "&amp;DATEDIF(S2861,TODAY(),"YM")&amp;" Bulan, "&amp;DATEDIF(S2861,TODAY(),"MD")&amp;" Hari")</f>
        <v>36 Tahun, 6 Bulan, 28 Hari</v>
      </c>
      <c r="AC2861" s="18" t="n">
        <v>45960</v>
      </c>
      <c r="AD2861" s="18" t="n">
        <v>46022</v>
      </c>
      <c r="AE2861" s="13" t="s">
        <v>44</v>
      </c>
    </row>
    <row r="2862" customFormat="false" ht="15" hidden="false" customHeight="true" outlineLevel="0" collapsed="false">
      <c r="A2862" s="12" t="n">
        <v>21236</v>
      </c>
      <c r="B2862" s="13" t="s">
        <v>12089</v>
      </c>
      <c r="C2862" s="16" t="n">
        <v>45959</v>
      </c>
      <c r="D2862" s="13" t="s">
        <v>144</v>
      </c>
      <c r="E2862" s="15" t="s">
        <v>47</v>
      </c>
      <c r="F2862" s="15" t="str">
        <f aca="false">IFERROR(__xludf.dummyfunction("XLOOKUP(AJ2862,IMPORTRANGE(""1XaInW9DU9nz21V0tYIfzFQ0He9kVQ_JF2mCXgZ3hqFA"",""REKAP ALL 2026 - Andika!G:G""),IMPORTRANGE(""1XaInW9DU9nz21V0tYIfzFQ0He9kVQ_JF2mCXgZ3hqFA"",""REKAP ALL 2026 - Andika!F:F""),"""",0)"),"25157579159")</f>
        <v>25157579159</v>
      </c>
      <c r="G2862" s="13" t="s">
        <v>1127</v>
      </c>
      <c r="H2862" s="13" t="s">
        <v>35</v>
      </c>
      <c r="I2862" s="13" t="str">
        <f aca="false">IF(C2862=J2862,"NEW KONTRAK","RE-KONTRAK")</f>
        <v>NEW KONTRAK</v>
      </c>
      <c r="J2862" s="16" t="n">
        <f aca="false" t="array" ref="J2862:J2862">IFERROR(INDEX(AC2862:AE2862,IF(COUNTA(AC2862:AE2862)=0,"",MAX((AC2862:AE2862&lt;&gt;"")*(COLUMN(AC2862:AE2862)-(COLUMN(AC2862)))))-1),"")</f>
        <v>45959</v>
      </c>
      <c r="K2862" s="16" t="n">
        <f aca="false" t="array" ref="K2862:K2862">IFERROR(INDEX(AC2862:AE2862,IF(COUNTA(AC2862:AE2862)=0,"",MAX((AC2862:AE2862&lt;&gt;"")*(COLUMN(AC2862:AE2862)-(COLUMN(AC2862)-1))))-1),"")</f>
        <v>46022</v>
      </c>
      <c r="L2862" s="17" t="str">
        <f aca="false" t="array" ref="L2862:L2862">IFERROR(INDEX(AC2862:AE2862,IF(COUNTA(AC2862:AE2862)=0,"",MAX((AC2862:AE2862&lt;&gt;"")*(COLUMN(AC2862:AE2862)-(COLUMN(AC2862)-2))))-1),"")</f>
        <v>ARCHIVED</v>
      </c>
      <c r="M2862" s="13" t="n">
        <f aca="true">K2862-TODAY()</f>
        <v>-302</v>
      </c>
      <c r="N2862" s="18" t="s">
        <v>36</v>
      </c>
      <c r="O2862" s="13" t="s">
        <v>12083</v>
      </c>
      <c r="P2862" s="19" t="n">
        <v>5195401</v>
      </c>
      <c r="Q2862" s="47" t="s">
        <v>12090</v>
      </c>
      <c r="R2862" s="13" t="s">
        <v>52</v>
      </c>
      <c r="S2862" s="16" t="n">
        <v>37378</v>
      </c>
      <c r="T2862" s="13" t="s">
        <v>40</v>
      </c>
      <c r="U2862" s="13" t="s">
        <v>12091</v>
      </c>
      <c r="V2862" s="13" t="s">
        <v>42</v>
      </c>
      <c r="W2862" s="13" t="s">
        <v>54</v>
      </c>
      <c r="X2862" s="21" t="n">
        <v>85755722263</v>
      </c>
      <c r="Y2862" s="22" t="str">
        <f aca="false">O2862</f>
        <v>Operator Reacktruck</v>
      </c>
      <c r="Z2862" s="13" t="str">
        <f aca="false">IFERROR(__xludf.dummyfunction("if(BJ2862="""","""",GOOGLETRANSLATE(BJ2862,""auto"",""en""))"),"Operator Reacktruck")</f>
        <v>Operator Reacktruck</v>
      </c>
      <c r="AA2862" s="23" t="str">
        <f aca="false">IF(C2862="","", CHOOSE(MONTH(C2862),"January","February","March","April","May","June","July","August","September","October","November","December")&amp;" "&amp;DAY(C2862)&amp;MID("thstndrdth",MIN(9,2*RIGHT(DAY(C2862))*(MOD(DAY(C2862)-11,100)&gt;2)+1),2)&amp;","&amp;TEXT(C2862," yyyy"))</f>
        <v>October 29th,2025</v>
      </c>
      <c r="AB2862" s="15" t="str">
        <f aca="true">IF(S2862="","",DATEDIF(S2862,TODAY(),"Y")&amp;" Tahun, "&amp;DATEDIF(S2862,TODAY(),"YM")&amp;" Bulan, "&amp;DATEDIF(S2862,TODAY(),"MD")&amp;" Hari")</f>
        <v>24 Tahun, 5 Bulan, 27 Hari</v>
      </c>
      <c r="AC2862" s="18" t="n">
        <v>45959</v>
      </c>
      <c r="AD2862" s="18" t="n">
        <v>46022</v>
      </c>
      <c r="AE2862" s="13" t="s">
        <v>44</v>
      </c>
    </row>
    <row r="2863" customFormat="false" ht="15" hidden="false" customHeight="true" outlineLevel="0" collapsed="false">
      <c r="A2863" s="12" t="n">
        <v>21237</v>
      </c>
      <c r="B2863" s="13" t="s">
        <v>12092</v>
      </c>
      <c r="C2863" s="16" t="n">
        <v>45959</v>
      </c>
      <c r="D2863" s="13" t="s">
        <v>144</v>
      </c>
      <c r="E2863" s="15" t="s">
        <v>47</v>
      </c>
      <c r="F2863" s="15" t="str">
        <f aca="false">IFERROR(__xludf.dummyfunction("XLOOKUP(AJ2863,IMPORTRANGE(""1XaInW9DU9nz21V0tYIfzFQ0He9kVQ_JF2mCXgZ3hqFA"",""REKAP ALL 2026 - Andika!G:G""),IMPORTRANGE(""1XaInW9DU9nz21V0tYIfzFQ0He9kVQ_JF2mCXgZ3hqFA"",""REKAP ALL 2026 - Andika!F:F""),"""",0)"),"25157579985")</f>
        <v>25157579985</v>
      </c>
      <c r="G2863" s="13" t="s">
        <v>1127</v>
      </c>
      <c r="H2863" s="13" t="s">
        <v>35</v>
      </c>
      <c r="I2863" s="13" t="str">
        <f aca="false">IF(C2863=J2863,"NEW KONTRAK","RE-KONTRAK")</f>
        <v>NEW KONTRAK</v>
      </c>
      <c r="J2863" s="16" t="n">
        <f aca="false" t="array" ref="J2863:J2863">IFERROR(INDEX(AC2863:AE2863,IF(COUNTA(AC2863:AE2863)=0,"",MAX((AC2863:AE2863&lt;&gt;"")*(COLUMN(AC2863:AE2863)-(COLUMN(AC2863)))))-1),"")</f>
        <v>45959</v>
      </c>
      <c r="K2863" s="16" t="n">
        <f aca="false" t="array" ref="K2863:K2863">IFERROR(INDEX(AC2863:AE2863,IF(COUNTA(AC2863:AE2863)=0,"",MAX((AC2863:AE2863&lt;&gt;"")*(COLUMN(AC2863:AE2863)-(COLUMN(AC2863)-1))))-1),"")</f>
        <v>46022</v>
      </c>
      <c r="L2863" s="17" t="str">
        <f aca="false" t="array" ref="L2863:L2863">IFERROR(INDEX(AC2863:AE2863,IF(COUNTA(AC2863:AE2863)=0,"",MAX((AC2863:AE2863&lt;&gt;"")*(COLUMN(AC2863:AE2863)-(COLUMN(AC2863)-2))))-1),"")</f>
        <v>ARCHIVED</v>
      </c>
      <c r="M2863" s="13" t="n">
        <f aca="true">K2863-TODAY()</f>
        <v>-302</v>
      </c>
      <c r="N2863" s="18" t="s">
        <v>36</v>
      </c>
      <c r="O2863" s="13" t="s">
        <v>9279</v>
      </c>
      <c r="P2863" s="19" t="n">
        <v>5195401</v>
      </c>
      <c r="Q2863" s="47" t="s">
        <v>12093</v>
      </c>
      <c r="R2863" s="13" t="s">
        <v>78</v>
      </c>
      <c r="S2863" s="16" t="n">
        <v>33399</v>
      </c>
      <c r="T2863" s="13" t="s">
        <v>40</v>
      </c>
      <c r="U2863" s="13" t="s">
        <v>12094</v>
      </c>
      <c r="V2863" s="13" t="s">
        <v>42</v>
      </c>
      <c r="W2863" s="13" t="s">
        <v>43</v>
      </c>
      <c r="X2863" s="21" t="n">
        <v>85707489886</v>
      </c>
      <c r="Y2863" s="22" t="str">
        <f aca="false">O2863</f>
        <v>Picker Gudang</v>
      </c>
      <c r="Z2863" s="13" t="str">
        <f aca="false">IFERROR(__xludf.dummyfunction("if(BJ2863="""","""",GOOGLETRANSLATE(BJ2863,""auto"",""en""))"),"Warehouse Picker")</f>
        <v>Warehouse Picker</v>
      </c>
      <c r="AA2863" s="23" t="str">
        <f aca="false">IF(C2863="","", CHOOSE(MONTH(C2863),"January","February","March","April","May","June","July","August","September","October","November","December")&amp;" "&amp;DAY(C2863)&amp;MID("thstndrdth",MIN(9,2*RIGHT(DAY(C2863))*(MOD(DAY(C2863)-11,100)&gt;2)+1),2)&amp;","&amp;TEXT(C2863," yyyy"))</f>
        <v>October 29th,2025</v>
      </c>
      <c r="AB2863" s="15" t="str">
        <f aca="true">IF(S2863="","",DATEDIF(S2863,TODAY(),"Y")&amp;" Tahun, "&amp;DATEDIF(S2863,TODAY(),"YM")&amp;" Bulan, "&amp;DATEDIF(S2863,TODAY(),"MD")&amp;" Hari")</f>
        <v>35 Tahun, 4 Bulan, 19 Hari</v>
      </c>
      <c r="AC2863" s="18" t="n">
        <v>45959</v>
      </c>
      <c r="AD2863" s="18" t="n">
        <v>46022</v>
      </c>
      <c r="AE2863" s="13" t="s">
        <v>44</v>
      </c>
    </row>
    <row r="2864" customFormat="false" ht="15" hidden="false" customHeight="true" outlineLevel="0" collapsed="false">
      <c r="A2864" s="12" t="n">
        <v>21238</v>
      </c>
      <c r="B2864" s="13" t="s">
        <v>12095</v>
      </c>
      <c r="C2864" s="16" t="n">
        <v>45959</v>
      </c>
      <c r="D2864" s="13" t="s">
        <v>144</v>
      </c>
      <c r="E2864" s="15" t="s">
        <v>47</v>
      </c>
      <c r="F2864" s="15" t="str">
        <f aca="false">IFERROR(__xludf.dummyfunction("XLOOKUP(AJ2864,IMPORTRANGE(""1XaInW9DU9nz21V0tYIfzFQ0He9kVQ_JF2mCXgZ3hqFA"",""REKAP ALL 2026 - Andika!G:G""),IMPORTRANGE(""1XaInW9DU9nz21V0tYIfzFQ0He9kVQ_JF2mCXgZ3hqFA"",""REKAP ALL 2026 - Andika!F:F""),"""",0)"),"26005759589")</f>
        <v>26005759589</v>
      </c>
      <c r="G2864" s="13" t="s">
        <v>1127</v>
      </c>
      <c r="H2864" s="13" t="s">
        <v>35</v>
      </c>
      <c r="I2864" s="13" t="str">
        <f aca="false">IF(C2864=J2864,"NEW KONTRAK","RE-KONTRAK")</f>
        <v>NEW KONTRAK</v>
      </c>
      <c r="J2864" s="16" t="n">
        <f aca="false" t="array" ref="J2864:J2864">IFERROR(INDEX(AC2864:AE2864,IF(COUNTA(AC2864:AE2864)=0,"",MAX((AC2864:AE2864&lt;&gt;"")*(COLUMN(AC2864:AE2864)-(COLUMN(AC2864)))))-1),"")</f>
        <v>45959</v>
      </c>
      <c r="K2864" s="16" t="n">
        <f aca="false" t="array" ref="K2864:K2864">IFERROR(INDEX(AC2864:AE2864,IF(COUNTA(AC2864:AE2864)=0,"",MAX((AC2864:AE2864&lt;&gt;"")*(COLUMN(AC2864:AE2864)-(COLUMN(AC2864)-1))))-1),"")</f>
        <v>46022</v>
      </c>
      <c r="L2864" s="17" t="str">
        <f aca="false" t="array" ref="L2864:L2864">IFERROR(INDEX(AC2864:AE2864,IF(COUNTA(AC2864:AE2864)=0,"",MAX((AC2864:AE2864&lt;&gt;"")*(COLUMN(AC2864:AE2864)-(COLUMN(AC2864)-2))))-1),"")</f>
        <v>ARCHIVED</v>
      </c>
      <c r="M2864" s="13" t="n">
        <f aca="true">K2864-TODAY()</f>
        <v>-302</v>
      </c>
      <c r="N2864" s="18" t="s">
        <v>36</v>
      </c>
      <c r="O2864" s="13" t="s">
        <v>11801</v>
      </c>
      <c r="P2864" s="19" t="n">
        <v>5195401</v>
      </c>
      <c r="Q2864" s="47" t="s">
        <v>12096</v>
      </c>
      <c r="R2864" s="13" t="s">
        <v>39</v>
      </c>
      <c r="S2864" s="16" t="n">
        <v>36700</v>
      </c>
      <c r="T2864" s="13" t="s">
        <v>40</v>
      </c>
      <c r="U2864" s="13" t="s">
        <v>12097</v>
      </c>
      <c r="V2864" s="13" t="s">
        <v>42</v>
      </c>
      <c r="W2864" s="13" t="s">
        <v>43</v>
      </c>
      <c r="X2864" s="21" t="n">
        <v>85732705282</v>
      </c>
      <c r="Y2864" s="22" t="str">
        <f aca="false">O2864</f>
        <v>Produksi Enamel</v>
      </c>
      <c r="Z2864" s="13" t="str">
        <f aca="false">IFERROR(__xludf.dummyfunction("if(BJ2864="""","""",GOOGLETRANSLATE(BJ2864,""auto"",""en""))"),"Enamel Production")</f>
        <v>Enamel Production</v>
      </c>
      <c r="AA2864" s="23" t="str">
        <f aca="false">IF(C2864="","", CHOOSE(MONTH(C2864),"January","February","March","April","May","June","July","August","September","October","November","December")&amp;" "&amp;DAY(C2864)&amp;MID("thstndrdth",MIN(9,2*RIGHT(DAY(C2864))*(MOD(DAY(C2864)-11,100)&gt;2)+1),2)&amp;","&amp;TEXT(C2864," yyyy"))</f>
        <v>October 29th,2025</v>
      </c>
      <c r="AB2864" s="15" t="str">
        <f aca="true">IF(S2864="","",DATEDIF(S2864,TODAY(),"Y")&amp;" Tahun, "&amp;DATEDIF(S2864,TODAY(),"YM")&amp;" Bulan, "&amp;DATEDIF(S2864,TODAY(),"MD")&amp;" Hari")</f>
        <v>26 Tahun, 4 Bulan, 6 Hari</v>
      </c>
      <c r="AC2864" s="18" t="n">
        <v>45959</v>
      </c>
      <c r="AD2864" s="18" t="n">
        <v>46022</v>
      </c>
      <c r="AE2864" s="13" t="s">
        <v>44</v>
      </c>
    </row>
    <row r="2865" customFormat="false" ht="15" hidden="false" customHeight="true" outlineLevel="0" collapsed="false">
      <c r="A2865" s="12" t="n">
        <v>21239</v>
      </c>
      <c r="B2865" s="13" t="s">
        <v>12098</v>
      </c>
      <c r="C2865" s="16" t="n">
        <v>45959</v>
      </c>
      <c r="D2865" s="13" t="s">
        <v>144</v>
      </c>
      <c r="E2865" s="15" t="s">
        <v>47</v>
      </c>
      <c r="F2865" s="15" t="str">
        <f aca="false">IFERROR(__xludf.dummyfunction("XLOOKUP(AJ2865,IMPORTRANGE(""1XaInW9DU9nz21V0tYIfzFQ0He9kVQ_JF2mCXgZ3hqFA"",""REKAP ALL 2026 - Andika!G:G""),IMPORTRANGE(""1XaInW9DU9nz21V0tYIfzFQ0He9kVQ_JF2mCXgZ3hqFA"",""REKAP ALL 2026 - Andika!F:F""),"""",0)"),"25157580009")</f>
        <v>25157580009</v>
      </c>
      <c r="G2865" s="13" t="s">
        <v>1127</v>
      </c>
      <c r="H2865" s="13" t="s">
        <v>35</v>
      </c>
      <c r="I2865" s="13" t="str">
        <f aca="false">IF(C2865=J2865,"NEW KONTRAK","RE-KONTRAK")</f>
        <v>NEW KONTRAK</v>
      </c>
      <c r="J2865" s="16" t="n">
        <f aca="false" t="array" ref="J2865:J2865">IFERROR(INDEX(AC2865:AE2865,IF(COUNTA(AC2865:AE2865)=0,"",MAX((AC2865:AE2865&lt;&gt;"")*(COLUMN(AC2865:AE2865)-(COLUMN(AC2865)))))-1),"")</f>
        <v>45959</v>
      </c>
      <c r="K2865" s="16" t="n">
        <f aca="false" t="array" ref="K2865:K2865">IFERROR(INDEX(AC2865:AE2865,IF(COUNTA(AC2865:AE2865)=0,"",MAX((AC2865:AE2865&lt;&gt;"")*(COLUMN(AC2865:AE2865)-(COLUMN(AC2865)-1))))-1),"")</f>
        <v>46022</v>
      </c>
      <c r="L2865" s="17" t="str">
        <f aca="false" t="array" ref="L2865:L2865">IFERROR(INDEX(AC2865:AE2865,IF(COUNTA(AC2865:AE2865)=0,"",MAX((AC2865:AE2865&lt;&gt;"")*(COLUMN(AC2865:AE2865)-(COLUMN(AC2865)-2))))-1),"")</f>
        <v>ARCHIVED</v>
      </c>
      <c r="M2865" s="13" t="n">
        <f aca="true">K2865-TODAY()</f>
        <v>-302</v>
      </c>
      <c r="N2865" s="18" t="s">
        <v>36</v>
      </c>
      <c r="O2865" s="13" t="s">
        <v>11801</v>
      </c>
      <c r="P2865" s="19" t="n">
        <v>5195401</v>
      </c>
      <c r="Q2865" s="47" t="s">
        <v>12099</v>
      </c>
      <c r="R2865" s="13" t="s">
        <v>65</v>
      </c>
      <c r="S2865" s="16" t="n">
        <v>37194</v>
      </c>
      <c r="T2865" s="13" t="s">
        <v>40</v>
      </c>
      <c r="U2865" s="13" t="s">
        <v>12100</v>
      </c>
      <c r="V2865" s="13" t="s">
        <v>42</v>
      </c>
      <c r="W2865" s="13" t="s">
        <v>43</v>
      </c>
      <c r="X2865" s="21" t="n">
        <v>81337015203</v>
      </c>
      <c r="Y2865" s="22" t="str">
        <f aca="false">O2865</f>
        <v>Produksi Enamel</v>
      </c>
      <c r="Z2865" s="13" t="str">
        <f aca="false">IFERROR(__xludf.dummyfunction("if(BJ2865="""","""",GOOGLETRANSLATE(BJ2865,""auto"",""en""))"),"Enamel Production")</f>
        <v>Enamel Production</v>
      </c>
      <c r="AA2865" s="23" t="str">
        <f aca="false">IF(C2865="","", CHOOSE(MONTH(C2865),"January","February","March","April","May","June","July","August","September","October","November","December")&amp;" "&amp;DAY(C2865)&amp;MID("thstndrdth",MIN(9,2*RIGHT(DAY(C2865))*(MOD(DAY(C2865)-11,100)&gt;2)+1),2)&amp;","&amp;TEXT(C2865," yyyy"))</f>
        <v>October 29th,2025</v>
      </c>
      <c r="AB2865" s="15" t="str">
        <f aca="true">IF(S2865="","",DATEDIF(S2865,TODAY(),"Y")&amp;" Tahun, "&amp;DATEDIF(S2865,TODAY(),"YM")&amp;" Bulan, "&amp;DATEDIF(S2865,TODAY(),"MD")&amp;" Hari")</f>
        <v>24 Tahun, 11 Bulan, 29 Hari</v>
      </c>
      <c r="AC2865" s="18" t="n">
        <v>45959</v>
      </c>
      <c r="AD2865" s="18" t="n">
        <v>46022</v>
      </c>
      <c r="AE2865" s="13" t="s">
        <v>44</v>
      </c>
    </row>
    <row r="2866" customFormat="false" ht="15" hidden="false" customHeight="true" outlineLevel="0" collapsed="false">
      <c r="A2866" s="12" t="n">
        <v>21240</v>
      </c>
      <c r="B2866" s="13" t="s">
        <v>5585</v>
      </c>
      <c r="C2866" s="16" t="n">
        <v>45976</v>
      </c>
      <c r="D2866" s="13" t="s">
        <v>11620</v>
      </c>
      <c r="E2866" s="15" t="s">
        <v>47</v>
      </c>
      <c r="F2866" s="15" t="str">
        <f aca="false">IFERROR(__xludf.dummyfunction("XLOOKUP(AJ2866,IMPORTRANGE(""1XaInW9DU9nz21V0tYIfzFQ0He9kVQ_JF2mCXgZ3hqFA"",""REKAP ALL 2026 - Andika!G:G""),IMPORTRANGE(""1XaInW9DU9nz21V0tYIfzFQ0He9kVQ_JF2mCXgZ3hqFA"",""REKAP ALL 2026 - Andika!F:F""),"""",0)"),"25157579142")</f>
        <v>25157579142</v>
      </c>
      <c r="G2866" s="13" t="s">
        <v>1127</v>
      </c>
      <c r="H2866" s="13" t="s">
        <v>35</v>
      </c>
      <c r="I2866" s="13" t="str">
        <f aca="false">IF(C2866=J2866,"NEW KONTRAK","RE-KONTRAK")</f>
        <v>NEW KONTRAK</v>
      </c>
      <c r="J2866" s="16" t="n">
        <f aca="false" t="array" ref="J2866:J2866">IFERROR(INDEX(AC2866:AE2866,IF(COUNTA(AC2866:AE2866)=0,"",MAX((AC2866:AE2866&lt;&gt;"")*(COLUMN(AC2866:AE2866)-(COLUMN(AC2866)))))-1),"")</f>
        <v>45976</v>
      </c>
      <c r="K2866" s="16" t="n">
        <f aca="false" t="array" ref="K2866:K2866">IFERROR(INDEX(AC2866:AE2866,IF(COUNTA(AC2866:AE2866)=0,"",MAX((AC2866:AE2866&lt;&gt;"")*(COLUMN(AC2866:AE2866)-(COLUMN(AC2866)-1))))-1),"")</f>
        <v>46156</v>
      </c>
      <c r="L2866" s="17" t="str">
        <f aca="false" t="array" ref="L2866:L2866">IFERROR(INDEX(AC2866:AE2866,IF(COUNTA(AC2866:AE2866)=0,"",MAX((AC2866:AE2866&lt;&gt;"")*(COLUMN(AC2866:AE2866)-(COLUMN(AC2866)-2))))-1),"")</f>
        <v>ARCHIVED</v>
      </c>
      <c r="M2866" s="13" t="n">
        <f aca="true">K2866-TODAY()</f>
        <v>-168</v>
      </c>
      <c r="N2866" s="18" t="s">
        <v>36</v>
      </c>
      <c r="O2866" s="13" t="s">
        <v>9225</v>
      </c>
      <c r="P2866" s="19" t="n">
        <f aca="false">5195401/26</f>
        <v>199823.115384615</v>
      </c>
      <c r="Q2866" s="47" t="s">
        <v>12101</v>
      </c>
      <c r="R2866" s="13" t="s">
        <v>232</v>
      </c>
      <c r="S2866" s="16" t="n">
        <v>22646</v>
      </c>
      <c r="T2866" s="13" t="s">
        <v>40</v>
      </c>
      <c r="U2866" s="13" t="s">
        <v>12102</v>
      </c>
      <c r="V2866" s="13" t="s">
        <v>42</v>
      </c>
      <c r="W2866" s="13" t="s">
        <v>54</v>
      </c>
      <c r="X2866" s="30" t="n">
        <v>81122961201</v>
      </c>
      <c r="Y2866" s="22" t="str">
        <f aca="false">O2866</f>
        <v>Umum</v>
      </c>
      <c r="Z2866" s="13" t="str">
        <f aca="false">IFERROR(__xludf.dummyfunction("if(BJ2866="""","""",GOOGLETRANSLATE(BJ2866,""auto"",""en""))"),"General")</f>
        <v>General</v>
      </c>
      <c r="AA2866" s="23" t="str">
        <f aca="false">IF(C2866="","", CHOOSE(MONTH(C2866),"January","February","March","April","May","June","July","August","September","October","November","December")&amp;" "&amp;DAY(C2866)&amp;MID("thstndrdth",MIN(9,2*RIGHT(DAY(C2866))*(MOD(DAY(C2866)-11,100)&gt;2)+1),2)&amp;","&amp;TEXT(C2866," yyyy"))</f>
        <v>November 15th,2025</v>
      </c>
      <c r="AB2866" s="15" t="str">
        <f aca="true">IF(S2866="","",DATEDIF(S2866,TODAY(),"Y")&amp;" Tahun, "&amp;DATEDIF(S2866,TODAY(),"YM")&amp;" Bulan, "&amp;DATEDIF(S2866,TODAY(),"MD")&amp;" Hari")</f>
        <v>64 Tahun, 9 Bulan, 28 Hari</v>
      </c>
      <c r="AC2866" s="18" t="n">
        <v>45976</v>
      </c>
      <c r="AD2866" s="18" t="n">
        <f aca="false">EDATE(AC2866,6)-1</f>
        <v>46156</v>
      </c>
      <c r="AE2866" s="13" t="s">
        <v>44</v>
      </c>
    </row>
    <row r="2867" customFormat="false" ht="15" hidden="false" customHeight="true" outlineLevel="0" collapsed="false">
      <c r="A2867" s="12" t="n">
        <v>21246</v>
      </c>
      <c r="B2867" s="13" t="s">
        <v>12103</v>
      </c>
      <c r="C2867" s="16" t="n">
        <v>45962</v>
      </c>
      <c r="D2867" s="13" t="s">
        <v>7534</v>
      </c>
      <c r="E2867" s="15" t="s">
        <v>789</v>
      </c>
      <c r="F2867" s="24" t="s">
        <v>12104</v>
      </c>
      <c r="G2867" s="13" t="s">
        <v>1127</v>
      </c>
      <c r="H2867" s="13" t="s">
        <v>35</v>
      </c>
      <c r="I2867" s="13" t="str">
        <f aca="false">IF(C2867=J2867,"NEW KONTRAK","RE-KONTRAK")</f>
        <v>NEW KONTRAK</v>
      </c>
      <c r="J2867" s="16" t="n">
        <f aca="false" t="array" ref="J2867:J2867">IFERROR(INDEX(AC2867:AE2867,IF(COUNTA(AC2867:AE2867)=0,"",MAX((AC2867:AE2867&lt;&gt;"")*(COLUMN(AC2867:AE2867)-(COLUMN(AC2867)))))-1),"")</f>
        <v>45962</v>
      </c>
      <c r="K2867" s="16" t="n">
        <f aca="false" t="array" ref="K2867:K2867">IFERROR(INDEX(AC2867:AE2867,IF(COUNTA(AC2867:AE2867)=0,"",MAX((AC2867:AE2867&lt;&gt;"")*(COLUMN(AC2867:AE2867)-(COLUMN(AC2867)-1))))-1),"")</f>
        <v>46053</v>
      </c>
      <c r="L2867" s="17" t="str">
        <f aca="false" t="array" ref="L2867:L2867">IFERROR(INDEX(AC2867:AE2867,IF(COUNTA(AC2867:AE2867)=0,"",MAX((AC2867:AE2867&lt;&gt;"")*(COLUMN(AC2867:AE2867)-(COLUMN(AC2867)-2))))-1),"")</f>
        <v>ARCHIVED</v>
      </c>
      <c r="M2867" s="13" t="n">
        <f aca="true">K2867-TODAY()</f>
        <v>-271</v>
      </c>
      <c r="N2867" s="18" t="s">
        <v>4735</v>
      </c>
      <c r="O2867" s="13" t="s">
        <v>7536</v>
      </c>
      <c r="P2867" s="19" t="n">
        <v>3553530</v>
      </c>
      <c r="Q2867" s="47" t="s">
        <v>12105</v>
      </c>
      <c r="R2867" s="13" t="s">
        <v>83</v>
      </c>
      <c r="S2867" s="16" t="n">
        <v>37905</v>
      </c>
      <c r="T2867" s="13" t="s">
        <v>108</v>
      </c>
      <c r="U2867" s="13" t="s">
        <v>12106</v>
      </c>
      <c r="V2867" s="13" t="s">
        <v>42</v>
      </c>
      <c r="W2867" s="13" t="s">
        <v>43</v>
      </c>
      <c r="X2867" s="21" t="n">
        <v>81217180895</v>
      </c>
      <c r="Y2867" s="22" t="str">
        <f aca="false">O2867</f>
        <v>Host Live</v>
      </c>
      <c r="Z2867" s="13" t="str">
        <f aca="false">IFERROR(__xludf.dummyfunction("if(BJ2867="""","""",GOOGLETRANSLATE(BJ2867,""auto"",""en""))"),"Host Live")</f>
        <v>Host Live</v>
      </c>
      <c r="AA2867" s="23" t="str">
        <f aca="false">IF(C2867="","", CHOOSE(MONTH(C2867),"January","February","March","April","May","June","July","August","September","October","November","December")&amp;" "&amp;DAY(C2867)&amp;MID("thstndrdth",MIN(9,2*RIGHT(DAY(C2867))*(MOD(DAY(C2867)-11,100)&gt;2)+1),2)&amp;","&amp;TEXT(C2867," yyyy"))</f>
        <v>November 1st,2025</v>
      </c>
      <c r="AB2867" s="15" t="str">
        <f aca="true">IF(S2867="","",DATEDIF(S2867,TODAY(),"Y")&amp;" Tahun, "&amp;DATEDIF(S2867,TODAY(),"YM")&amp;" Bulan, "&amp;DATEDIF(S2867,TODAY(),"MD")&amp;" Hari")</f>
        <v>23 Tahun, 0 Bulan, 18 Hari</v>
      </c>
      <c r="AC2867" s="18" t="n">
        <v>45962</v>
      </c>
      <c r="AD2867" s="18" t="n">
        <f aca="false">EDATE(AC2867,3)-1</f>
        <v>46053</v>
      </c>
      <c r="AE2867" s="13" t="s">
        <v>44</v>
      </c>
    </row>
    <row r="2868" customFormat="false" ht="15" hidden="false" customHeight="true" outlineLevel="0" collapsed="false">
      <c r="A2868" s="12" t="n">
        <v>21253</v>
      </c>
      <c r="B2868" s="13" t="s">
        <v>12107</v>
      </c>
      <c r="C2868" s="16" t="n">
        <v>45964</v>
      </c>
      <c r="D2868" s="13" t="s">
        <v>5726</v>
      </c>
      <c r="E2868" s="15" t="s">
        <v>47</v>
      </c>
      <c r="F2868" s="15" t="str">
        <f aca="false">IFERROR(__xludf.dummyfunction("XLOOKUP(AJ2868,IMPORTRANGE(""1XaInW9DU9nz21V0tYIfzFQ0He9kVQ_JF2mCXgZ3hqFA"",""REKAP ALL 2026 - Andika!G:G""),IMPORTRANGE(""1XaInW9DU9nz21V0tYIfzFQ0He9kVQ_JF2mCXgZ3hqFA"",""REKAP ALL 2026 - Andika!F:F""),"""",0)"),"26005753939")</f>
        <v>26005753939</v>
      </c>
      <c r="G2868" s="13" t="s">
        <v>57</v>
      </c>
      <c r="H2868" s="13" t="s">
        <v>35</v>
      </c>
      <c r="I2868" s="13" t="str">
        <f aca="false">IF(C2868=J2868,"NEW KONTRAK","RE-KONTRAK")</f>
        <v>NEW KONTRAK</v>
      </c>
      <c r="J2868" s="16" t="n">
        <f aca="false" t="array" ref="J2868:J2868">IFERROR(INDEX(AC2868:AE2868,IF(COUNTA(AC2868:AE2868)=0,"",MAX((AC2868:AE2868&lt;&gt;"")*(COLUMN(AC2868:AE2868)-(COLUMN(AC2868)))))-1),"")</f>
        <v>45964</v>
      </c>
      <c r="K2868" s="16" t="n">
        <f aca="false" t="array" ref="K2868:K2868">IFERROR(INDEX(AC2868:AE2868,IF(COUNTA(AC2868:AE2868)=0,"",MAX((AC2868:AE2868&lt;&gt;"")*(COLUMN(AC2868:AE2868)-(COLUMN(AC2868)-1))))-1),"")</f>
        <v>46055</v>
      </c>
      <c r="L2868" s="17" t="str">
        <f aca="false" t="array" ref="L2868:L2868">IFERROR(INDEX(AC2868:AE2868,IF(COUNTA(AC2868:AE2868)=0,"",MAX((AC2868:AE2868&lt;&gt;"")*(COLUMN(AC2868:AE2868)-(COLUMN(AC2868)-2))))-1),"")</f>
        <v>ARCHIVED</v>
      </c>
      <c r="M2868" s="13" t="n">
        <f aca="true">K2868-TODAY()</f>
        <v>-269</v>
      </c>
      <c r="N2868" s="18" t="s">
        <v>615</v>
      </c>
      <c r="O2868" s="13" t="s">
        <v>5252</v>
      </c>
      <c r="P2868" s="19" t="n">
        <v>5176101</v>
      </c>
      <c r="Q2868" s="47" t="s">
        <v>12108</v>
      </c>
      <c r="R2868" s="13" t="s">
        <v>232</v>
      </c>
      <c r="S2868" s="16" t="n">
        <v>36370</v>
      </c>
      <c r="T2868" s="28" t="s">
        <v>40</v>
      </c>
      <c r="U2868" s="13" t="s">
        <v>12109</v>
      </c>
      <c r="V2868" s="13" t="s">
        <v>42</v>
      </c>
      <c r="W2868" s="13" t="s">
        <v>43</v>
      </c>
      <c r="X2868" s="21" t="n">
        <v>85899098547</v>
      </c>
      <c r="Y2868" s="22" t="str">
        <f aca="false">O2868</f>
        <v>Helper Printing</v>
      </c>
      <c r="Z2868" s="13" t="str">
        <f aca="false">IFERROR(__xludf.dummyfunction("if(BJ2868="""","""",GOOGLETRANSLATE(BJ2868,""auto"",""en""))"),"Helper Printing")</f>
        <v>Helper Printing</v>
      </c>
      <c r="AA2868" s="23" t="str">
        <f aca="false">IF(C2868="","", CHOOSE(MONTH(C2868),"January","February","March","April","May","June","July","August","September","October","November","December")&amp;" "&amp;DAY(C2868)&amp;MID("thstndrdth",MIN(9,2*RIGHT(DAY(C2868))*(MOD(DAY(C2868)-11,100)&gt;2)+1),2)&amp;","&amp;TEXT(C2868," yyyy"))</f>
        <v>November 3rd,2025</v>
      </c>
      <c r="AB2868" s="15" t="str">
        <f aca="true">IF(S2868="","",DATEDIF(S2868,TODAY(),"Y")&amp;" Tahun, "&amp;DATEDIF(S2868,TODAY(),"YM")&amp;" Bulan, "&amp;DATEDIF(S2868,TODAY(),"MD")&amp;" Hari")</f>
        <v>27 Tahun, 3 Bulan, 0 Hari</v>
      </c>
      <c r="AC2868" s="18" t="n">
        <v>45964</v>
      </c>
      <c r="AD2868" s="18" t="n">
        <f aca="false">EDATE(AC2868,3)-1</f>
        <v>46055</v>
      </c>
      <c r="AE2868" s="18" t="s">
        <v>44</v>
      </c>
    </row>
    <row r="2869" customFormat="false" ht="15" hidden="false" customHeight="true" outlineLevel="0" collapsed="false">
      <c r="A2869" s="12" t="n">
        <v>21255</v>
      </c>
      <c r="B2869" s="13" t="s">
        <v>12110</v>
      </c>
      <c r="C2869" s="16" t="n">
        <v>45964</v>
      </c>
      <c r="D2869" s="13" t="s">
        <v>12111</v>
      </c>
      <c r="E2869" s="15" t="s">
        <v>4614</v>
      </c>
      <c r="F2869" s="24" t="s">
        <v>12112</v>
      </c>
      <c r="G2869" s="13" t="s">
        <v>57</v>
      </c>
      <c r="H2869" s="13" t="s">
        <v>35</v>
      </c>
      <c r="I2869" s="13" t="str">
        <f aca="false">IF(C2869=J2869,"NEW KONTRAK","RE-KONTRAK")</f>
        <v>NEW KONTRAK</v>
      </c>
      <c r="J2869" s="16" t="n">
        <f aca="false" t="array" ref="J2869:J2869">IFERROR(INDEX(AC2869:AE2869,IF(COUNTA(AC2869:AE2869)=0,"",MAX((AC2869:AE2869&lt;&gt;"")*(COLUMN(AC2869:AE2869)-(COLUMN(AC2869)))))-1),"")</f>
        <v>45964</v>
      </c>
      <c r="K2869" s="16" t="n">
        <f aca="false" t="array" ref="K2869:K2869">IFERROR(INDEX(AC2869:AE2869,IF(COUNTA(AC2869:AE2869)=0,"",MAX((AC2869:AE2869&lt;&gt;"")*(COLUMN(AC2869:AE2869)-(COLUMN(AC2869)-1))))-1),"")</f>
        <v>46055</v>
      </c>
      <c r="L2869" s="17" t="str">
        <f aca="false" t="array" ref="L2869:L2869">IFERROR(INDEX(AC2869:AE2869,IF(COUNTA(AC2869:AE2869)=0,"",MAX((AC2869:AE2869&lt;&gt;"")*(COLUMN(AC2869:AE2869)-(COLUMN(AC2869)-2))))-1),"")</f>
        <v>ARCHIVED</v>
      </c>
      <c r="M2869" s="13" t="n">
        <f aca="true">K2869-TODAY()</f>
        <v>-269</v>
      </c>
      <c r="N2869" s="18" t="s">
        <v>615</v>
      </c>
      <c r="O2869" s="13" t="s">
        <v>5252</v>
      </c>
      <c r="P2869" s="19" t="n">
        <f aca="false">60%*4856026</f>
        <v>2913615.6</v>
      </c>
      <c r="Q2869" s="47" t="s">
        <v>12113</v>
      </c>
      <c r="R2869" s="13" t="s">
        <v>232</v>
      </c>
      <c r="S2869" s="16" t="n">
        <v>34950</v>
      </c>
      <c r="T2869" s="28" t="s">
        <v>40</v>
      </c>
      <c r="U2869" s="13" t="s">
        <v>12114</v>
      </c>
      <c r="V2869" s="13" t="s">
        <v>42</v>
      </c>
      <c r="W2869" s="13" t="s">
        <v>54</v>
      </c>
      <c r="X2869" s="21" t="n">
        <v>85808411193</v>
      </c>
      <c r="Y2869" s="22" t="str">
        <f aca="false">O2869</f>
        <v>Helper Printing</v>
      </c>
      <c r="Z2869" s="13" t="str">
        <f aca="false">IFERROR(__xludf.dummyfunction("if(BJ2869="""","""",GOOGLETRANSLATE(BJ2869,""auto"",""en""))"),"Helper Printing")</f>
        <v>Helper Printing</v>
      </c>
      <c r="AA2869" s="23" t="str">
        <f aca="false">IF(C2869="","", CHOOSE(MONTH(C2869),"January","February","March","April","May","June","July","August","September","October","November","December")&amp;" "&amp;DAY(C2869)&amp;MID("thstndrdth",MIN(9,2*RIGHT(DAY(C2869))*(MOD(DAY(C2869)-11,100)&gt;2)+1),2)&amp;","&amp;TEXT(C2869," yyyy"))</f>
        <v>November 3rd,2025</v>
      </c>
      <c r="AB2869" s="15" t="str">
        <f aca="true">IF(S2869="","",DATEDIF(S2869,TODAY(),"Y")&amp;" Tahun, "&amp;DATEDIF(S2869,TODAY(),"YM")&amp;" Bulan, "&amp;DATEDIF(S2869,TODAY(),"MD")&amp;" Hari")</f>
        <v>31 Tahun, 1 Bulan, 21 Hari</v>
      </c>
      <c r="AC2869" s="18" t="n">
        <v>45964</v>
      </c>
      <c r="AD2869" s="18" t="n">
        <f aca="false">EDATE(AC2869,3)-1</f>
        <v>46055</v>
      </c>
      <c r="AE2869" s="13" t="s">
        <v>44</v>
      </c>
    </row>
    <row r="2870" customFormat="false" ht="15" hidden="false" customHeight="true" outlineLevel="0" collapsed="false">
      <c r="A2870" s="12" t="n">
        <v>21261</v>
      </c>
      <c r="B2870" s="13" t="s">
        <v>4205</v>
      </c>
      <c r="C2870" s="16" t="n">
        <v>45961</v>
      </c>
      <c r="D2870" s="13" t="s">
        <v>1338</v>
      </c>
      <c r="E2870" s="15" t="s">
        <v>102</v>
      </c>
      <c r="F2870" s="15" t="str">
        <f aca="false">IFERROR(__xludf.dummyfunction("XLOOKUP(AJ2870,IMPORTRANGE(""1XaInW9DU9nz21V0tYIfzFQ0He9kVQ_JF2mCXgZ3hqFA"",""REKAP ALL 2026 - Andika!G:G""),IMPORTRANGE(""1XaInW9DU9nz21V0tYIfzFQ0He9kVQ_JF2mCXgZ3hqFA"",""REKAP ALL 2026 - Andika!F:F""),"""",0)"),"25157580058")</f>
        <v>25157580058</v>
      </c>
      <c r="G2870" s="28" t="s">
        <v>57</v>
      </c>
      <c r="H2870" s="13" t="s">
        <v>3024</v>
      </c>
      <c r="I2870" s="13" t="str">
        <f aca="false">IF(C2870=J2870,"NEW KONTRAK","RE-KONTRAK")</f>
        <v>NEW KONTRAK</v>
      </c>
      <c r="J2870" s="16" t="n">
        <f aca="false" t="array" ref="J2870:J2870">IFERROR(INDEX(AC2870:AE2870,IF(COUNTA(AC2870:AE2870)=0,"",MAX((AC2870:AE2870&lt;&gt;"")*(COLUMN(AC2870:AE2870)-(COLUMN(AC2870)))))-1),"")</f>
        <v>45961</v>
      </c>
      <c r="K2870" s="16" t="n">
        <f aca="false" t="array" ref="K2870:K2870">IFERROR(INDEX(AC2870:AE2870,IF(COUNTA(AC2870:AE2870)=0,"",MAX((AC2870:AE2870&lt;&gt;"")*(COLUMN(AC2870:AE2870)-(COLUMN(AC2870)-1))))-1),"")</f>
        <v>46053</v>
      </c>
      <c r="L2870" s="17" t="str">
        <f aca="false" t="array" ref="L2870:L2870">IFERROR(INDEX(AC2870:AE2870,IF(COUNTA(AC2870:AE2870)=0,"",MAX((AC2870:AE2870&lt;&gt;"")*(COLUMN(AC2870:AE2870)-(COLUMN(AC2870)-2))))-1),"")</f>
        <v>ARCHIVED</v>
      </c>
      <c r="M2870" s="13" t="n">
        <f aca="true">K2870-TODAY()</f>
        <v>-271</v>
      </c>
      <c r="N2870" s="18" t="s">
        <v>615</v>
      </c>
      <c r="O2870" s="13" t="s">
        <v>11953</v>
      </c>
      <c r="P2870" s="19" t="n">
        <v>165635</v>
      </c>
      <c r="Q2870" s="47" t="s">
        <v>12115</v>
      </c>
      <c r="R2870" s="13" t="s">
        <v>879</v>
      </c>
      <c r="S2870" s="16" t="n">
        <v>32737</v>
      </c>
      <c r="T2870" s="28" t="s">
        <v>40</v>
      </c>
      <c r="U2870" s="13" t="s">
        <v>12116</v>
      </c>
      <c r="V2870" s="13" t="s">
        <v>42</v>
      </c>
      <c r="W2870" s="13" t="s">
        <v>54</v>
      </c>
      <c r="X2870" s="30" t="n">
        <v>87736675254</v>
      </c>
      <c r="Y2870" s="22" t="str">
        <f aca="false">O2870</f>
        <v>HL Muat</v>
      </c>
      <c r="Z2870" s="13" t="str">
        <f aca="false">IFERROR(__xludf.dummyfunction("if(BJ2870="""","""",GOOGLETRANSLATE(BJ2870,""auto"",""en""))"),"HL Load")</f>
        <v>HL Load</v>
      </c>
      <c r="AA2870" s="23" t="str">
        <f aca="false">IF(C2870="","", CHOOSE(MONTH(C2870),"January","February","March","April","May","June","July","August","September","October","November","December")&amp;" "&amp;DAY(C2870)&amp;MID("thstndrdth",MIN(9,2*RIGHT(DAY(C2870))*(MOD(DAY(C2870)-11,100)&gt;2)+1),2)&amp;","&amp;TEXT(C2870," yyyy"))</f>
        <v>October 31st,2025</v>
      </c>
      <c r="AB2870" s="15" t="str">
        <f aca="true">IF(S2870="","",DATEDIF(S2870,TODAY(),"Y")&amp;" Tahun, "&amp;DATEDIF(S2870,TODAY(),"YM")&amp;" Bulan, "&amp;DATEDIF(S2870,TODAY(),"MD")&amp;" Hari")</f>
        <v>37 Tahun, 2 Bulan, 12 Hari</v>
      </c>
      <c r="AC2870" s="18" t="n">
        <v>45961</v>
      </c>
      <c r="AD2870" s="18" t="n">
        <v>46053</v>
      </c>
      <c r="AE2870" s="18" t="s">
        <v>44</v>
      </c>
    </row>
    <row r="2871" customFormat="false" ht="15" hidden="false" customHeight="true" outlineLevel="0" collapsed="false">
      <c r="A2871" s="12" t="n">
        <v>21269</v>
      </c>
      <c r="B2871" s="13" t="s">
        <v>12117</v>
      </c>
      <c r="C2871" s="16" t="n">
        <v>45962</v>
      </c>
      <c r="D2871" s="13" t="s">
        <v>4045</v>
      </c>
      <c r="E2871" s="15" t="s">
        <v>47</v>
      </c>
      <c r="F2871" s="15" t="str">
        <f aca="false">IFERROR(__xludf.dummyfunction("XLOOKUP(AJ2871,IMPORTRANGE(""1XaInW9DU9nz21V0tYIfzFQ0He9kVQ_JF2mCXgZ3hqFA"",""REKAP ALL 2026 - Andika!G:G""),IMPORTRANGE(""1XaInW9DU9nz21V0tYIfzFQ0He9kVQ_JF2mCXgZ3hqFA"",""REKAP ALL 2026 - Andika!F:F""),"""",0)"),"25180514835")</f>
        <v>25180514835</v>
      </c>
      <c r="G2871" s="13" t="s">
        <v>4046</v>
      </c>
      <c r="H2871" s="13" t="s">
        <v>35</v>
      </c>
      <c r="I2871" s="13" t="str">
        <f aca="false">IF(C2871=J2871,"NEW KONTRAK","RE-KONTRAK")</f>
        <v>NEW KONTRAK</v>
      </c>
      <c r="J2871" s="16" t="n">
        <f aca="false" t="array" ref="J2871:J2871">IFERROR(INDEX(AC2871:AE2871,IF(COUNTA(AC2871:AE2871)=0,"",MAX((AC2871:AE2871&lt;&gt;"")*(COLUMN(AC2871:AE2871)-(COLUMN(AC2871)))))-1),"")</f>
        <v>45962</v>
      </c>
      <c r="K2871" s="16" t="n">
        <f aca="false" t="array" ref="K2871:K2871">IFERROR(INDEX(AC2871:AE2871,IF(COUNTA(AC2871:AE2871)=0,"",MAX((AC2871:AE2871&lt;&gt;"")*(COLUMN(AC2871:AE2871)-(COLUMN(AC2871)-1))))-1),"")</f>
        <v>46326</v>
      </c>
      <c r="L2871" s="17" t="str">
        <f aca="false" t="array" ref="L2871:L2871">IFERROR(INDEX(AC2871:AE2871,IF(COUNTA(AC2871:AE2871)=0,"",MAX((AC2871:AE2871&lt;&gt;"")*(COLUMN(AC2871:AE2871)-(COLUMN(AC2871)-2))))-1),"")</f>
        <v>ARCHIVED</v>
      </c>
      <c r="M2871" s="13" t="n">
        <f aca="true">K2871-TODAY()</f>
        <v>2</v>
      </c>
      <c r="N2871" s="18" t="s">
        <v>12118</v>
      </c>
      <c r="O2871" s="13" t="s">
        <v>3510</v>
      </c>
      <c r="P2871" s="19" t="n">
        <v>5938885</v>
      </c>
      <c r="Q2871" s="47" t="s">
        <v>12119</v>
      </c>
      <c r="R2871" s="13" t="s">
        <v>12120</v>
      </c>
      <c r="S2871" s="16" t="n">
        <v>32856</v>
      </c>
      <c r="T2871" s="28" t="s">
        <v>40</v>
      </c>
      <c r="U2871" s="13" t="s">
        <v>12121</v>
      </c>
      <c r="V2871" s="13" t="s">
        <v>42</v>
      </c>
      <c r="W2871" s="13" t="s">
        <v>54</v>
      </c>
      <c r="X2871" s="21" t="n">
        <v>85811766059</v>
      </c>
      <c r="Y2871" s="22" t="str">
        <f aca="false">O2871</f>
        <v>Teknisi</v>
      </c>
      <c r="Z2871" s="13" t="str">
        <f aca="false">IFERROR(__xludf.dummyfunction("if(BJ2871="""","""",GOOGLETRANSLATE(BJ2871,""auto"",""en""))"),"Technician")</f>
        <v>Technician</v>
      </c>
      <c r="AA2871" s="23" t="str">
        <f aca="false">IF(C2871="","", CHOOSE(MONTH(C2871),"January","February","March","April","May","June","July","August","September","October","November","December")&amp;" "&amp;DAY(C2871)&amp;MID("thstndrdth",MIN(9,2*RIGHT(DAY(C2871))*(MOD(DAY(C2871)-11,100)&gt;2)+1),2)&amp;","&amp;TEXT(C2871," yyyy"))</f>
        <v>November 1st,2025</v>
      </c>
      <c r="AB2871" s="15" t="str">
        <f aca="true">IF(S2871="","",DATEDIF(S2871,TODAY(),"Y")&amp;" Tahun, "&amp;DATEDIF(S2871,TODAY(),"YM")&amp;" Bulan, "&amp;DATEDIF(S2871,TODAY(),"MD")&amp;" Hari")</f>
        <v>36 Tahun, 10 Bulan, 15 Hari</v>
      </c>
      <c r="AC2871" s="18" t="n">
        <v>45962</v>
      </c>
      <c r="AD2871" s="18" t="n">
        <f aca="false">EDATE(AC2871,12)-1</f>
        <v>46326</v>
      </c>
      <c r="AE2871" s="13" t="s">
        <v>44</v>
      </c>
    </row>
    <row r="2872" customFormat="false" ht="15" hidden="false" customHeight="true" outlineLevel="0" collapsed="false">
      <c r="A2872" s="12" t="n">
        <v>21270</v>
      </c>
      <c r="B2872" s="13" t="s">
        <v>12122</v>
      </c>
      <c r="C2872" s="16" t="n">
        <v>45962</v>
      </c>
      <c r="D2872" s="13" t="s">
        <v>4045</v>
      </c>
      <c r="E2872" s="15" t="s">
        <v>47</v>
      </c>
      <c r="F2872" s="15" t="str">
        <f aca="false">IFERROR(__xludf.dummyfunction("XLOOKUP(AJ2872,IMPORTRANGE(""1XaInW9DU9nz21V0tYIfzFQ0He9kVQ_JF2mCXgZ3hqFA"",""REKAP ALL 2026 - Andika!G:G""),IMPORTRANGE(""1XaInW9DU9nz21V0tYIfzFQ0He9kVQ_JF2mCXgZ3hqFA"",""REKAP ALL 2026 - Andika!F:F""),"""",0)"),"25180514827")</f>
        <v>25180514827</v>
      </c>
      <c r="G2872" s="13" t="s">
        <v>4046</v>
      </c>
      <c r="H2872" s="13" t="s">
        <v>35</v>
      </c>
      <c r="I2872" s="13" t="str">
        <f aca="false">IF(C2872=J2872,"NEW KONTRAK","RE-KONTRAK")</f>
        <v>NEW KONTRAK</v>
      </c>
      <c r="J2872" s="16" t="n">
        <f aca="false" t="array" ref="J2872:J2872">IFERROR(INDEX(AC2872:AE2872,IF(COUNTA(AC2872:AE2872)=0,"",MAX((AC2872:AE2872&lt;&gt;"")*(COLUMN(AC2872:AE2872)-(COLUMN(AC2872)))))-1),"")</f>
        <v>45962</v>
      </c>
      <c r="K2872" s="16" t="n">
        <f aca="false" t="array" ref="K2872:K2872">IFERROR(INDEX(AC2872:AE2872,IF(COUNTA(AC2872:AE2872)=0,"",MAX((AC2872:AE2872&lt;&gt;"")*(COLUMN(AC2872:AE2872)-(COLUMN(AC2872)-1))))-1),"")</f>
        <v>46326</v>
      </c>
      <c r="L2872" s="17" t="str">
        <f aca="false" t="array" ref="L2872:L2872">IFERROR(INDEX(AC2872:AE2872,IF(COUNTA(AC2872:AE2872)=0,"",MAX((AC2872:AE2872&lt;&gt;"")*(COLUMN(AC2872:AE2872)-(COLUMN(AC2872)-2))))-1),"")</f>
        <v>ARCHIVED</v>
      </c>
      <c r="M2872" s="13" t="n">
        <f aca="true">K2872-TODAY()</f>
        <v>2</v>
      </c>
      <c r="N2872" s="18" t="s">
        <v>12118</v>
      </c>
      <c r="O2872" s="13" t="s">
        <v>3510</v>
      </c>
      <c r="P2872" s="19" t="n">
        <v>5938885</v>
      </c>
      <c r="Q2872" s="47" t="s">
        <v>12123</v>
      </c>
      <c r="R2872" s="13" t="s">
        <v>12124</v>
      </c>
      <c r="S2872" s="16" t="n">
        <v>36439</v>
      </c>
      <c r="T2872" s="28" t="s">
        <v>40</v>
      </c>
      <c r="U2872" s="13" t="s">
        <v>12125</v>
      </c>
      <c r="V2872" s="13" t="s">
        <v>42</v>
      </c>
      <c r="W2872" s="13" t="s">
        <v>43</v>
      </c>
      <c r="X2872" s="21" t="n">
        <v>83812908138</v>
      </c>
      <c r="Y2872" s="22" t="str">
        <f aca="false">O2872</f>
        <v>Teknisi</v>
      </c>
      <c r="Z2872" s="13" t="str">
        <f aca="false">IFERROR(__xludf.dummyfunction("if(BJ2872="""","""",GOOGLETRANSLATE(BJ2872,""auto"",""en""))"),"Technician")</f>
        <v>Technician</v>
      </c>
      <c r="AA2872" s="23" t="str">
        <f aca="false">IF(C2872="","", CHOOSE(MONTH(C2872),"January","February","March","April","May","June","July","August","September","October","November","December")&amp;" "&amp;DAY(C2872)&amp;MID("thstndrdth",MIN(9,2*RIGHT(DAY(C2872))*(MOD(DAY(C2872)-11,100)&gt;2)+1),2)&amp;","&amp;TEXT(C2872," yyyy"))</f>
        <v>November 1st,2025</v>
      </c>
      <c r="AB2872" s="15" t="str">
        <f aca="true">IF(S2872="","",DATEDIF(S2872,TODAY(),"Y")&amp;" Tahun, "&amp;DATEDIF(S2872,TODAY(),"YM")&amp;" Bulan, "&amp;DATEDIF(S2872,TODAY(),"MD")&amp;" Hari")</f>
        <v>27 Tahun, 0 Bulan, 23 Hari</v>
      </c>
      <c r="AC2872" s="18" t="n">
        <v>45962</v>
      </c>
      <c r="AD2872" s="18" t="n">
        <f aca="false">EDATE(AC2872,12)-1</f>
        <v>46326</v>
      </c>
      <c r="AE2872" s="13" t="s">
        <v>44</v>
      </c>
    </row>
    <row r="2873" customFormat="false" ht="15" hidden="false" customHeight="true" outlineLevel="0" collapsed="false">
      <c r="A2873" s="12" t="n">
        <v>21272</v>
      </c>
      <c r="B2873" s="13" t="s">
        <v>12126</v>
      </c>
      <c r="C2873" s="16" t="n">
        <v>45964</v>
      </c>
      <c r="D2873" s="13" t="s">
        <v>10155</v>
      </c>
      <c r="E2873" s="15" t="s">
        <v>33</v>
      </c>
      <c r="F2873" s="24" t="s">
        <v>12127</v>
      </c>
      <c r="G2873" s="13" t="s">
        <v>1127</v>
      </c>
      <c r="H2873" s="13" t="s">
        <v>35</v>
      </c>
      <c r="I2873" s="13" t="str">
        <f aca="false">IF(C2873=J2873,"NEW KONTRAK","RE-KONTRAK")</f>
        <v>NEW KONTRAK</v>
      </c>
      <c r="J2873" s="16" t="n">
        <f aca="false" t="array" ref="J2873:J2873">IFERROR(INDEX(AC2873:AE2873,IF(COUNTA(AC2873:AE2873)=0,"",MAX((AC2873:AE2873&lt;&gt;"")*(COLUMN(AC2873:AE2873)-(COLUMN(AC2873)))))-1),"")</f>
        <v>45964</v>
      </c>
      <c r="K2873" s="16" t="n">
        <f aca="false" t="array" ref="K2873:K2873">IFERROR(INDEX(AC2873:AE2873,IF(COUNTA(AC2873:AE2873)=0,"",MAX((AC2873:AE2873&lt;&gt;"")*(COLUMN(AC2873:AE2873)-(COLUMN(AC2873)-1))))-1),"")</f>
        <v>46022</v>
      </c>
      <c r="L2873" s="17" t="str">
        <f aca="false" t="array" ref="L2873:L2873">IFERROR(INDEX(AC2873:AE2873,IF(COUNTA(AC2873:AE2873)=0,"",MAX((AC2873:AE2873&lt;&gt;"")*(COLUMN(AC2873:AE2873)-(COLUMN(AC2873)-2))))-1),"")</f>
        <v>ARCHIVED</v>
      </c>
      <c r="M2873" s="13" t="n">
        <f aca="true">K2873-TODAY()</f>
        <v>-302</v>
      </c>
      <c r="N2873" s="18" t="s">
        <v>36</v>
      </c>
      <c r="O2873" s="13" t="s">
        <v>10241</v>
      </c>
      <c r="P2873" s="27" t="n">
        <v>5195401</v>
      </c>
      <c r="Q2873" s="47" t="s">
        <v>12128</v>
      </c>
      <c r="R2873" s="13" t="s">
        <v>65</v>
      </c>
      <c r="S2873" s="16" t="n">
        <v>37750</v>
      </c>
      <c r="T2873" s="13" t="s">
        <v>40</v>
      </c>
      <c r="U2873" s="13" t="s">
        <v>12129</v>
      </c>
      <c r="V2873" s="13" t="s">
        <v>42</v>
      </c>
      <c r="W2873" s="13" t="s">
        <v>43</v>
      </c>
      <c r="X2873" s="21" t="n">
        <v>88804918548</v>
      </c>
      <c r="Y2873" s="22" t="str">
        <f aca="false">O2873</f>
        <v>Hot CS &amp; SB P3 Production</v>
      </c>
      <c r="Z2873" s="13" t="str">
        <f aca="false">IFERROR(__xludf.dummyfunction("if(BJ2873="""","""",GOOGLETRANSLATE(BJ2873,""auto"",""en""))"),"Hot CS &amp; SB P3 Production")</f>
        <v>Hot CS &amp; SB P3 Production</v>
      </c>
      <c r="AA2873" s="23" t="str">
        <f aca="false">IF(C2873="","", CHOOSE(MONTH(C2873),"January","February","March","April","May","June","July","August","September","October","November","December")&amp;" "&amp;DAY(C2873)&amp;MID("thstndrdth",MIN(9,2*RIGHT(DAY(C2873))*(MOD(DAY(C2873)-11,100)&gt;2)+1),2)&amp;","&amp;TEXT(C2873," yyyy"))</f>
        <v>November 3rd,2025</v>
      </c>
      <c r="AB2873" s="15" t="str">
        <f aca="true">IF(S2873="","",DATEDIF(S2873,TODAY(),"Y")&amp;" Tahun, "&amp;DATEDIF(S2873,TODAY(),"YM")&amp;" Bulan, "&amp;DATEDIF(S2873,TODAY(),"MD")&amp;" Hari")</f>
        <v>23 Tahun, 5 Bulan, 20 Hari</v>
      </c>
      <c r="AC2873" s="18" t="n">
        <v>45964</v>
      </c>
      <c r="AD2873" s="18" t="n">
        <v>46022</v>
      </c>
      <c r="AE2873" s="13" t="s">
        <v>44</v>
      </c>
    </row>
    <row r="2874" customFormat="false" ht="15" hidden="false" customHeight="true" outlineLevel="0" collapsed="false">
      <c r="A2874" s="12" t="n">
        <v>21273</v>
      </c>
      <c r="B2874" s="13" t="s">
        <v>12130</v>
      </c>
      <c r="C2874" s="16" t="n">
        <v>45958</v>
      </c>
      <c r="D2874" s="13" t="s">
        <v>8980</v>
      </c>
      <c r="E2874" s="15" t="s">
        <v>102</v>
      </c>
      <c r="F2874" s="24" t="s">
        <v>12131</v>
      </c>
      <c r="G2874" s="13" t="s">
        <v>1127</v>
      </c>
      <c r="H2874" s="13" t="s">
        <v>35</v>
      </c>
      <c r="I2874" s="13" t="str">
        <f aca="false">IF(C2874=J2874,"NEW KONTRAK","RE-KONTRAK")</f>
        <v>NEW KONTRAK</v>
      </c>
      <c r="J2874" s="16" t="n">
        <f aca="false" t="array" ref="J2874:J2874">IFERROR(INDEX(AC2874:AE2874,IF(COUNTA(AC2874:AE2874)=0,"",MAX((AC2874:AE2874&lt;&gt;"")*(COLUMN(AC2874:AE2874)-(COLUMN(AC2874)))))-1),"")</f>
        <v>45958</v>
      </c>
      <c r="K2874" s="16" t="n">
        <f aca="false" t="array" ref="K2874:K2874">IFERROR(INDEX(AC2874:AE2874,IF(COUNTA(AC2874:AE2874)=0,"",MAX((AC2874:AE2874&lt;&gt;"")*(COLUMN(AC2874:AE2874)-(COLUMN(AC2874)-1))))-1),"")</f>
        <v>46049</v>
      </c>
      <c r="L2874" s="17" t="str">
        <f aca="false" t="array" ref="L2874:L2874">IFERROR(INDEX(AC2874:AE2874,IF(COUNTA(AC2874:AE2874)=0,"",MAX((AC2874:AE2874&lt;&gt;"")*(COLUMN(AC2874:AE2874)-(COLUMN(AC2874)-2))))-1),"")</f>
        <v>ARCHIVED</v>
      </c>
      <c r="M2874" s="13" t="n">
        <f aca="true">K2874-TODAY()</f>
        <v>-275</v>
      </c>
      <c r="N2874" s="18" t="s">
        <v>8982</v>
      </c>
      <c r="O2874" s="13" t="s">
        <v>8983</v>
      </c>
      <c r="P2874" s="19" t="n">
        <v>2000000</v>
      </c>
      <c r="Q2874" s="47" t="s">
        <v>12132</v>
      </c>
      <c r="R2874" s="13" t="s">
        <v>826</v>
      </c>
      <c r="S2874" s="16" t="n">
        <v>38861</v>
      </c>
      <c r="T2874" s="28" t="s">
        <v>40</v>
      </c>
      <c r="U2874" s="13" t="s">
        <v>12133</v>
      </c>
      <c r="V2874" s="13" t="s">
        <v>42</v>
      </c>
      <c r="W2874" s="13" t="s">
        <v>43</v>
      </c>
      <c r="X2874" s="21" t="n">
        <v>85855703462</v>
      </c>
      <c r="Y2874" s="22" t="str">
        <f aca="false">O2874</f>
        <v>Operator SPBU</v>
      </c>
      <c r="Z2874" s="13" t="str">
        <f aca="false">IFERROR(__xludf.dummyfunction("if(BJ2874="""","""",GOOGLETRANSLATE(BJ2874,""auto"",""en""))"),"Gas Station Operator")</f>
        <v>Gas Station Operator</v>
      </c>
      <c r="AA2874" s="23" t="str">
        <f aca="false">IF(C2874="","", CHOOSE(MONTH(C2874),"January","February","March","April","May","June","July","August","September","October","November","December")&amp;" "&amp;DAY(C2874)&amp;MID("thstndrdth",MIN(9,2*RIGHT(DAY(C2874))*(MOD(DAY(C2874)-11,100)&gt;2)+1),2)&amp;","&amp;TEXT(C2874," yyyy"))</f>
        <v>October 28th,2025</v>
      </c>
      <c r="AB2874" s="15" t="str">
        <f aca="true">IF(S2874="","",DATEDIF(S2874,TODAY(),"Y")&amp;" Tahun, "&amp;DATEDIF(S2874,TODAY(),"YM")&amp;" Bulan, "&amp;DATEDIF(S2874,TODAY(),"MD")&amp;" Hari")</f>
        <v>20 Tahun, 5 Bulan, 5 Hari</v>
      </c>
      <c r="AC2874" s="18" t="n">
        <v>45958</v>
      </c>
      <c r="AD2874" s="18" t="n">
        <f aca="false">EDATE(AC2874,3)-1</f>
        <v>46049</v>
      </c>
      <c r="AE2874" s="13" t="s">
        <v>44</v>
      </c>
    </row>
    <row r="2875" customFormat="false" ht="15" hidden="false" customHeight="true" outlineLevel="0" collapsed="false">
      <c r="A2875" s="12" t="n">
        <v>22230</v>
      </c>
      <c r="B2875" s="13" t="s">
        <v>12134</v>
      </c>
      <c r="C2875" s="16" t="n">
        <v>46147</v>
      </c>
      <c r="D2875" s="13" t="s">
        <v>101</v>
      </c>
      <c r="E2875" s="15" t="s">
        <v>47</v>
      </c>
      <c r="F2875" s="24" t="s">
        <v>12135</v>
      </c>
      <c r="G2875" s="28" t="s">
        <v>57</v>
      </c>
      <c r="H2875" s="13" t="s">
        <v>35</v>
      </c>
      <c r="I2875" s="13" t="str">
        <f aca="false">IF(C2875=J2875,"NEW KONTRAK","RE-KONTRAK")</f>
        <v>NEW KONTRAK</v>
      </c>
      <c r="J2875" s="16" t="n">
        <f aca="false" t="array" ref="J2875:J2875">IFERROR(INDEX(AC2875:AE2875,IF(COUNTA(AC2875:AE2875)=0,"",MAX((AC2875:AE2875&lt;&gt;"")*(COLUMN(AC2875:AE2875)-(COLUMN(AC2875)))))-1),"")</f>
        <v>46147</v>
      </c>
      <c r="K2875" s="16" t="n">
        <f aca="false" t="array" ref="K2875:K2875">IFERROR(INDEX(AC2875:AE2875,IF(COUNTA(AC2875:AE2875)=0,"",MAX((AC2875:AE2875&lt;&gt;"")*(COLUMN(AC2875:AE2875)-(COLUMN(AC2875)-1))))-1),"")</f>
        <v>46188</v>
      </c>
      <c r="L2875" s="17" t="str">
        <f aca="false" t="array" ref="L2875:L2875">IFERROR(INDEX(AC2875:AE2875,IF(COUNTA(AC2875:AE2875)=0,"",MAX((AC2875:AE2875&lt;&gt;"")*(COLUMN(AC2875:AE2875)-(COLUMN(AC2875)-2))))-1),"")</f>
        <v>ARCHIVED</v>
      </c>
      <c r="M2875" s="13" t="n">
        <f aca="true">K2875-TODAY()</f>
        <v>-136</v>
      </c>
      <c r="N2875" s="18" t="s">
        <v>105</v>
      </c>
      <c r="O2875" s="13" t="s">
        <v>12136</v>
      </c>
      <c r="P2875" s="19" t="n">
        <v>247216.23</v>
      </c>
      <c r="Q2875" s="20" t="s">
        <v>12137</v>
      </c>
      <c r="R2875" s="13" t="s">
        <v>39</v>
      </c>
      <c r="S2875" s="25" t="n">
        <v>37904</v>
      </c>
      <c r="T2875" s="28" t="s">
        <v>40</v>
      </c>
      <c r="U2875" s="13" t="s">
        <v>12138</v>
      </c>
      <c r="V2875" s="13" t="s">
        <v>42</v>
      </c>
      <c r="W2875" s="13" t="s">
        <v>43</v>
      </c>
      <c r="X2875" s="21" t="n">
        <v>85803966528</v>
      </c>
      <c r="Y2875" s="22" t="str">
        <f aca="false">O2875</f>
        <v>Helper Audit</v>
      </c>
      <c r="Z2875" s="13" t="str">
        <f aca="false">IFERROR(__xludf.dummyfunction("if(BJ2875="""","""",GOOGLETRANSLATE(BJ2875,""auto"",""en""))"),"Helper Audit")</f>
        <v>Helper Audit</v>
      </c>
      <c r="AA2875" s="23" t="str">
        <f aca="false">IF(C2875="","", CHOOSE(MONTH(C2875),"January","February","March","April","May","June","July","August","September","October","November","December")&amp;" "&amp;DAY(C2875)&amp;MID("thstndrdth",MIN(9,2*RIGHT(DAY(C2875))*(MOD(DAY(C2875)-11,100)&gt;2)+1),2)&amp;","&amp;TEXT(C2875," yyyy"))</f>
        <v>May 5th,2026</v>
      </c>
      <c r="AB2875" s="15" t="str">
        <f aca="true">IF(S2875="","",DATEDIF(S2875,TODAY(),"Y")&amp;" Tahun, "&amp;DATEDIF(S2875,TODAY(),"YM")&amp;" Bulan, "&amp;DATEDIF(S2875,TODAY(),"MD")&amp;" Hari")</f>
        <v>23 Tahun, 0 Bulan, 19 Hari</v>
      </c>
      <c r="AC2875" s="14" t="n">
        <f aca="false">C2875</f>
        <v>46147</v>
      </c>
      <c r="AD2875" s="18" t="n">
        <v>46188</v>
      </c>
      <c r="AE2875" s="13" t="s">
        <v>44</v>
      </c>
    </row>
    <row r="2876" customFormat="false" ht="15" hidden="false" customHeight="true" outlineLevel="0" collapsed="false">
      <c r="A2876" s="12" t="n">
        <v>21284</v>
      </c>
      <c r="B2876" s="13" t="s">
        <v>12139</v>
      </c>
      <c r="C2876" s="16" t="n">
        <v>45962</v>
      </c>
      <c r="D2876" s="13" t="s">
        <v>11620</v>
      </c>
      <c r="E2876" s="15" t="s">
        <v>102</v>
      </c>
      <c r="F2876" s="24" t="s">
        <v>12140</v>
      </c>
      <c r="G2876" s="13" t="s">
        <v>1127</v>
      </c>
      <c r="H2876" s="13" t="s">
        <v>35</v>
      </c>
      <c r="I2876" s="13" t="str">
        <f aca="false">IF(C2876=J2876,"NEW KONTRAK","RE-KONTRAK")</f>
        <v>NEW KONTRAK</v>
      </c>
      <c r="J2876" s="16" t="n">
        <f aca="false" t="array" ref="J2876:J2876">IFERROR(INDEX(AC2876:AE2876,IF(COUNTA(AC2876:AE2876)=0,"",MAX((AC2876:AE2876&lt;&gt;"")*(COLUMN(AC2876:AE2876)-(COLUMN(AC2876)))))-1),"")</f>
        <v>45962</v>
      </c>
      <c r="K2876" s="16" t="n">
        <f aca="false" t="array" ref="K2876:K2876">IFERROR(INDEX(AC2876:AE2876,IF(COUNTA(AC2876:AE2876)=0,"",MAX((AC2876:AE2876&lt;&gt;"")*(COLUMN(AC2876:AE2876)-(COLUMN(AC2876)-1))))-1),"")</f>
        <v>46142</v>
      </c>
      <c r="L2876" s="17" t="str">
        <f aca="false" t="array" ref="L2876:L2876">IFERROR(INDEX(AC2876:AE2876,IF(COUNTA(AC2876:AE2876)=0,"",MAX((AC2876:AE2876&lt;&gt;"")*(COLUMN(AC2876:AE2876)-(COLUMN(AC2876)-2))))-1),"")</f>
        <v>ARCHIVED</v>
      </c>
      <c r="M2876" s="13" t="n">
        <f aca="true">K2876-TODAY()</f>
        <v>-182</v>
      </c>
      <c r="N2876" s="18" t="s">
        <v>36</v>
      </c>
      <c r="O2876" s="13" t="s">
        <v>12141</v>
      </c>
      <c r="P2876" s="19" t="n">
        <v>187466</v>
      </c>
      <c r="Q2876" s="47" t="s">
        <v>12142</v>
      </c>
      <c r="R2876" s="13" t="s">
        <v>324</v>
      </c>
      <c r="S2876" s="16" t="n">
        <v>37500</v>
      </c>
      <c r="T2876" s="13" t="s">
        <v>40</v>
      </c>
      <c r="U2876" s="13" t="s">
        <v>12143</v>
      </c>
      <c r="V2876" s="13" t="s">
        <v>42</v>
      </c>
      <c r="W2876" s="13" t="s">
        <v>43</v>
      </c>
      <c r="X2876" s="21" t="n">
        <v>85806430334</v>
      </c>
      <c r="Y2876" s="22" t="str">
        <f aca="false">O2876</f>
        <v>Operator Kimia</v>
      </c>
      <c r="Z2876" s="13" t="str">
        <f aca="false">IFERROR(__xludf.dummyfunction("if(BJ2876="""","""",GOOGLETRANSLATE(BJ2876,""auto"",""en""))"),"Chemical Operator")</f>
        <v>Chemical Operator</v>
      </c>
      <c r="AA2876" s="23" t="str">
        <f aca="false">IF(C2876="","", CHOOSE(MONTH(C2876),"January","February","March","April","May","June","July","August","September","October","November","December")&amp;" "&amp;DAY(C2876)&amp;MID("thstndrdth",MIN(9,2*RIGHT(DAY(C2876))*(MOD(DAY(C2876)-11,100)&gt;2)+1),2)&amp;","&amp;TEXT(C2876," yyyy"))</f>
        <v>November 1st,2025</v>
      </c>
      <c r="AB2876" s="15" t="str">
        <f aca="true">IF(S2876="","",DATEDIF(S2876,TODAY(),"Y")&amp;" Tahun, "&amp;DATEDIF(S2876,TODAY(),"YM")&amp;" Bulan, "&amp;DATEDIF(S2876,TODAY(),"MD")&amp;" Hari")</f>
        <v>24 Tahun, 1 Bulan, 28 Hari</v>
      </c>
      <c r="AC2876" s="18" t="n">
        <v>45962</v>
      </c>
      <c r="AD2876" s="18" t="n">
        <f aca="false">EDATE(AC2876,6)-1</f>
        <v>46142</v>
      </c>
      <c r="AE2876" s="13" t="s">
        <v>44</v>
      </c>
    </row>
    <row r="2877" customFormat="false" ht="15" hidden="false" customHeight="true" outlineLevel="0" collapsed="false">
      <c r="A2877" s="12" t="n">
        <v>21291</v>
      </c>
      <c r="B2877" s="13" t="s">
        <v>12144</v>
      </c>
      <c r="C2877" s="16" t="n">
        <v>45946</v>
      </c>
      <c r="D2877" s="13" t="s">
        <v>10058</v>
      </c>
      <c r="E2877" s="15" t="s">
        <v>47</v>
      </c>
      <c r="F2877" s="24" t="s">
        <v>12145</v>
      </c>
      <c r="G2877" s="13" t="s">
        <v>1127</v>
      </c>
      <c r="H2877" s="13" t="s">
        <v>3024</v>
      </c>
      <c r="I2877" s="13" t="str">
        <f aca="false">IF(C2877=J2877,"NEW KONTRAK","RE-KONTRAK")</f>
        <v>NEW KONTRAK</v>
      </c>
      <c r="J2877" s="16" t="n">
        <f aca="false" t="array" ref="J2877:J2877">IFERROR(INDEX(AC2877:AE2877,IF(COUNTA(AC2877:AE2877)=0,"",MAX((AC2877:AE2877&lt;&gt;"")*(COLUMN(AC2877:AE2877)-(COLUMN(AC2877)))))-1),"")</f>
        <v>45946</v>
      </c>
      <c r="K2877" s="16" t="n">
        <f aca="false" t="array" ref="K2877:K2877">IFERROR(INDEX(AC2877:AE2877,IF(COUNTA(AC2877:AE2877)=0,"",MAX((AC2877:AE2877&lt;&gt;"")*(COLUMN(AC2877:AE2877)-(COLUMN(AC2877)-1))))-1),"")</f>
        <v>46036</v>
      </c>
      <c r="L2877" s="17" t="str">
        <f aca="false" t="array" ref="L2877:L2877">IFERROR(INDEX(AC2877:AE2877,IF(COUNTA(AC2877:AE2877)=0,"",MAX((AC2877:AE2877&lt;&gt;"")*(COLUMN(AC2877:AE2877)-(COLUMN(AC2877)-2))))-1),"")</f>
        <v>ARCHIVED</v>
      </c>
      <c r="M2877" s="13" t="n">
        <f aca="true">K2877-TODAY()</f>
        <v>-288</v>
      </c>
      <c r="N2877" s="18" t="s">
        <v>105</v>
      </c>
      <c r="O2877" s="13" t="s">
        <v>10059</v>
      </c>
      <c r="P2877" s="31" t="n">
        <v>138915</v>
      </c>
      <c r="Q2877" s="47" t="s">
        <v>12146</v>
      </c>
      <c r="R2877" s="13" t="s">
        <v>255</v>
      </c>
      <c r="S2877" s="16" t="n">
        <v>35521</v>
      </c>
      <c r="T2877" s="13" t="s">
        <v>108</v>
      </c>
      <c r="U2877" s="13" t="s">
        <v>12147</v>
      </c>
      <c r="V2877" s="13" t="s">
        <v>42</v>
      </c>
      <c r="W2877" s="13" t="s">
        <v>43</v>
      </c>
      <c r="X2877" s="21" t="n">
        <v>81233798226</v>
      </c>
      <c r="Y2877" s="22" t="str">
        <f aca="false">O2877</f>
        <v>Harian Lepas E-Commerce</v>
      </c>
      <c r="Z2877" s="13" t="str">
        <f aca="false">IFERROR(__xludf.dummyfunction("if(BJ2877="""","""",GOOGLETRANSLATE(BJ2877,""auto"",""en""))"),"Daily Post E-Commerce")</f>
        <v>Daily Post E-Commerce</v>
      </c>
      <c r="AA2877" s="23" t="str">
        <f aca="false">IF(C2877="","", CHOOSE(MONTH(C2877),"January","February","March","April","May","June","July","August","September","October","November","December")&amp;" "&amp;DAY(C2877)&amp;MID("thstndrdth",MIN(9,2*RIGHT(DAY(C2877))*(MOD(DAY(C2877)-11,100)&gt;2)+1),2)&amp;","&amp;TEXT(C2877," yyyy"))</f>
        <v>October 16th,2025</v>
      </c>
      <c r="AB2877" s="15" t="str">
        <f aca="true">IF(S2877="","",DATEDIF(S2877,TODAY(),"Y")&amp;" Tahun, "&amp;DATEDIF(S2877,TODAY(),"YM")&amp;" Bulan, "&amp;DATEDIF(S2877,TODAY(),"MD")&amp;" Hari")</f>
        <v>29 Tahun, 6 Bulan, 28 Hari</v>
      </c>
      <c r="AC2877" s="18" t="n">
        <v>45946</v>
      </c>
      <c r="AD2877" s="18" t="n">
        <v>46036</v>
      </c>
      <c r="AE2877" s="13" t="s">
        <v>44</v>
      </c>
    </row>
    <row r="2878" customFormat="false" ht="15" hidden="false" customHeight="true" outlineLevel="0" collapsed="false">
      <c r="A2878" s="12" t="n">
        <v>21292</v>
      </c>
      <c r="B2878" s="13" t="s">
        <v>12148</v>
      </c>
      <c r="C2878" s="16" t="n">
        <v>45946</v>
      </c>
      <c r="D2878" s="13" t="s">
        <v>10058</v>
      </c>
      <c r="E2878" s="15" t="s">
        <v>102</v>
      </c>
      <c r="F2878" s="24" t="s">
        <v>12149</v>
      </c>
      <c r="G2878" s="13" t="s">
        <v>1127</v>
      </c>
      <c r="H2878" s="13" t="s">
        <v>3024</v>
      </c>
      <c r="I2878" s="13" t="str">
        <f aca="false">IF(C2878=J2878,"NEW KONTRAK","RE-KONTRAK")</f>
        <v>NEW KONTRAK</v>
      </c>
      <c r="J2878" s="16" t="n">
        <f aca="false" t="array" ref="J2878:J2878">IFERROR(INDEX(AC2878:AE2878,IF(COUNTA(AC2878:AE2878)=0,"",MAX((AC2878:AE2878&lt;&gt;"")*(COLUMN(AC2878:AE2878)-(COLUMN(AC2878)))))-1),"")</f>
        <v>45946</v>
      </c>
      <c r="K2878" s="16" t="n">
        <f aca="false" t="array" ref="K2878:K2878">IFERROR(INDEX(AC2878:AE2878,IF(COUNTA(AC2878:AE2878)=0,"",MAX((AC2878:AE2878&lt;&gt;"")*(COLUMN(AC2878:AE2878)-(COLUMN(AC2878)-1))))-1),"")</f>
        <v>46036</v>
      </c>
      <c r="L2878" s="17" t="str">
        <f aca="false" t="array" ref="L2878:L2878">IFERROR(INDEX(AC2878:AE2878,IF(COUNTA(AC2878:AE2878)=0,"",MAX((AC2878:AE2878&lt;&gt;"")*(COLUMN(AC2878:AE2878)-(COLUMN(AC2878)-2))))-1),"")</f>
        <v>ARCHIVED</v>
      </c>
      <c r="M2878" s="13" t="n">
        <f aca="true">K2878-TODAY()</f>
        <v>-288</v>
      </c>
      <c r="N2878" s="18" t="s">
        <v>105</v>
      </c>
      <c r="O2878" s="13" t="s">
        <v>10059</v>
      </c>
      <c r="P2878" s="19" t="n">
        <v>132300</v>
      </c>
      <c r="Q2878" s="47" t="s">
        <v>12150</v>
      </c>
      <c r="R2878" s="13" t="s">
        <v>324</v>
      </c>
      <c r="S2878" s="16" t="n">
        <v>36590</v>
      </c>
      <c r="T2878" s="13" t="s">
        <v>108</v>
      </c>
      <c r="U2878" s="13" t="s">
        <v>12151</v>
      </c>
      <c r="V2878" s="13" t="s">
        <v>42</v>
      </c>
      <c r="W2878" s="13" t="s">
        <v>43</v>
      </c>
      <c r="X2878" s="21" t="n">
        <v>85129020832</v>
      </c>
      <c r="Y2878" s="22" t="str">
        <f aca="false">O2878</f>
        <v>Harian Lepas E-Commerce</v>
      </c>
      <c r="Z2878" s="13" t="str">
        <f aca="false">IFERROR(__xludf.dummyfunction("if(BJ2878="""","""",GOOGLETRANSLATE(BJ2878,""auto"",""en""))"),"Daily Post E-Commerce")</f>
        <v>Daily Post E-Commerce</v>
      </c>
      <c r="AA2878" s="23" t="str">
        <f aca="false">IF(C2878="","", CHOOSE(MONTH(C2878),"January","February","March","April","May","June","July","August","September","October","November","December")&amp;" "&amp;DAY(C2878)&amp;MID("thstndrdth",MIN(9,2*RIGHT(DAY(C2878))*(MOD(DAY(C2878)-11,100)&gt;2)+1),2)&amp;","&amp;TEXT(C2878," yyyy"))</f>
        <v>October 16th,2025</v>
      </c>
      <c r="AB2878" s="15" t="str">
        <f aca="true">IF(S2878="","",DATEDIF(S2878,TODAY(),"Y")&amp;" Tahun, "&amp;DATEDIF(S2878,TODAY(),"YM")&amp;" Bulan, "&amp;DATEDIF(S2878,TODAY(),"MD")&amp;" Hari")</f>
        <v>26 Tahun, 7 Bulan, 24 Hari</v>
      </c>
      <c r="AC2878" s="18" t="n">
        <v>45946</v>
      </c>
      <c r="AD2878" s="18" t="n">
        <v>46036</v>
      </c>
      <c r="AE2878" s="13" t="s">
        <v>44</v>
      </c>
    </row>
    <row r="2879" customFormat="false" ht="15" hidden="false" customHeight="true" outlineLevel="0" collapsed="false">
      <c r="A2879" s="12" t="n">
        <v>21293</v>
      </c>
      <c r="B2879" s="13" t="s">
        <v>12152</v>
      </c>
      <c r="C2879" s="16" t="n">
        <v>45946</v>
      </c>
      <c r="D2879" s="13" t="s">
        <v>10058</v>
      </c>
      <c r="E2879" s="15" t="s">
        <v>102</v>
      </c>
      <c r="F2879" s="15" t="str">
        <f aca="false">IFERROR(__xludf.dummyfunction("XLOOKUP(AJ2879,IMPORTRANGE(""1XaInW9DU9nz21V0tYIfzFQ0He9kVQ_JF2mCXgZ3hqFA"",""REKAP ALL 2026 - Andika!G:G""),IMPORTRANGE(""1XaInW9DU9nz21V0tYIfzFQ0He9kVQ_JF2mCXgZ3hqFA"",""REKAP ALL 2026 - Andika!F:F""),"""",0)"),"26062985424")</f>
        <v>26062985424</v>
      </c>
      <c r="G2879" s="13" t="s">
        <v>1127</v>
      </c>
      <c r="H2879" s="13" t="s">
        <v>3024</v>
      </c>
      <c r="I2879" s="13" t="str">
        <f aca="false">IF(C2879=J2879,"NEW KONTRAK","RE-KONTRAK")</f>
        <v>NEW KONTRAK</v>
      </c>
      <c r="J2879" s="16" t="n">
        <f aca="false" t="array" ref="J2879:J2879">IFERROR(INDEX(AC2879:AE2879,IF(COUNTA(AC2879:AE2879)=0,"",MAX((AC2879:AE2879&lt;&gt;"")*(COLUMN(AC2879:AE2879)-(COLUMN(AC2879)))))-1),"")</f>
        <v>45946</v>
      </c>
      <c r="K2879" s="16" t="n">
        <f aca="false" t="array" ref="K2879:K2879">IFERROR(INDEX(AC2879:AE2879,IF(COUNTA(AC2879:AE2879)=0,"",MAX((AC2879:AE2879&lt;&gt;"")*(COLUMN(AC2879:AE2879)-(COLUMN(AC2879)-1))))-1),"")</f>
        <v>46036</v>
      </c>
      <c r="L2879" s="17" t="str">
        <f aca="false" t="array" ref="L2879:L2879">IFERROR(INDEX(AC2879:AE2879,IF(COUNTA(AC2879:AE2879)=0,"",MAX((AC2879:AE2879&lt;&gt;"")*(COLUMN(AC2879:AE2879)-(COLUMN(AC2879)-2))))-1),"")</f>
        <v>ARCHIVED</v>
      </c>
      <c r="M2879" s="13" t="n">
        <f aca="true">K2879-TODAY()</f>
        <v>-288</v>
      </c>
      <c r="N2879" s="18" t="s">
        <v>105</v>
      </c>
      <c r="O2879" s="13" t="s">
        <v>10059</v>
      </c>
      <c r="P2879" s="19" t="n">
        <v>132300</v>
      </c>
      <c r="Q2879" s="47" t="s">
        <v>12153</v>
      </c>
      <c r="R2879" s="13" t="s">
        <v>39</v>
      </c>
      <c r="S2879" s="16" t="n">
        <v>36017</v>
      </c>
      <c r="T2879" s="13" t="s">
        <v>40</v>
      </c>
      <c r="U2879" s="13" t="s">
        <v>12154</v>
      </c>
      <c r="V2879" s="13" t="s">
        <v>42</v>
      </c>
      <c r="W2879" s="13" t="s">
        <v>54</v>
      </c>
      <c r="X2879" s="21" t="n">
        <v>89521420547</v>
      </c>
      <c r="Y2879" s="22" t="str">
        <f aca="false">O2879</f>
        <v>Harian Lepas E-Commerce</v>
      </c>
      <c r="Z2879" s="13" t="str">
        <f aca="false">IFERROR(__xludf.dummyfunction("if(BJ2879="""","""",GOOGLETRANSLATE(BJ2879,""auto"",""en""))"),"Daily Post E-Commerce")</f>
        <v>Daily Post E-Commerce</v>
      </c>
      <c r="AA2879" s="23" t="str">
        <f aca="false">IF(C2879="","", CHOOSE(MONTH(C2879),"January","February","March","April","May","June","July","August","September","October","November","December")&amp;" "&amp;DAY(C2879)&amp;MID("thstndrdth",MIN(9,2*RIGHT(DAY(C2879))*(MOD(DAY(C2879)-11,100)&gt;2)+1),2)&amp;","&amp;TEXT(C2879," yyyy"))</f>
        <v>October 16th,2025</v>
      </c>
      <c r="AB2879" s="15" t="str">
        <f aca="true">IF(S2879="","",DATEDIF(S2879,TODAY(),"Y")&amp;" Tahun, "&amp;DATEDIF(S2879,TODAY(),"YM")&amp;" Bulan, "&amp;DATEDIF(S2879,TODAY(),"MD")&amp;" Hari")</f>
        <v>28 Tahun, 2 Bulan, 19 Hari</v>
      </c>
      <c r="AC2879" s="18" t="n">
        <v>45946</v>
      </c>
      <c r="AD2879" s="18" t="n">
        <v>46036</v>
      </c>
      <c r="AE2879" s="13" t="s">
        <v>44</v>
      </c>
    </row>
    <row r="2880" customFormat="false" ht="15" hidden="false" customHeight="true" outlineLevel="0" collapsed="false">
      <c r="A2880" s="12" t="n">
        <v>21294</v>
      </c>
      <c r="B2880" s="13" t="s">
        <v>12155</v>
      </c>
      <c r="C2880" s="16" t="n">
        <v>45946</v>
      </c>
      <c r="D2880" s="13" t="s">
        <v>10058</v>
      </c>
      <c r="E2880" s="15" t="s">
        <v>47</v>
      </c>
      <c r="F2880" s="15" t="str">
        <f aca="false">IFERROR(__xludf.dummyfunction("XLOOKUP(AJ2880,IMPORTRANGE(""1XaInW9DU9nz21V0tYIfzFQ0He9kVQ_JF2mCXgZ3hqFA"",""REKAP ALL 2026 - Andika!G:G""),IMPORTRANGE(""1XaInW9DU9nz21V0tYIfzFQ0He9kVQ_JF2mCXgZ3hqFA"",""REKAP ALL 2026 - Andika!F:F""),"""",0)"),"26062983429")</f>
        <v>26062983429</v>
      </c>
      <c r="G2880" s="13" t="s">
        <v>1127</v>
      </c>
      <c r="H2880" s="13" t="s">
        <v>3024</v>
      </c>
      <c r="I2880" s="13" t="str">
        <f aca="false">IF(C2880=J2880,"NEW KONTRAK","RE-KONTRAK")</f>
        <v>NEW KONTRAK</v>
      </c>
      <c r="J2880" s="16" t="n">
        <f aca="false" t="array" ref="J2880:J2880">IFERROR(INDEX(AC2880:AE2880,IF(COUNTA(AC2880:AE2880)=0,"",MAX((AC2880:AE2880&lt;&gt;"")*(COLUMN(AC2880:AE2880)-(COLUMN(AC2880)))))-1),"")</f>
        <v>45946</v>
      </c>
      <c r="K2880" s="16" t="n">
        <f aca="false" t="array" ref="K2880:K2880">IFERROR(INDEX(AC2880:AE2880,IF(COUNTA(AC2880:AE2880)=0,"",MAX((AC2880:AE2880&lt;&gt;"")*(COLUMN(AC2880:AE2880)-(COLUMN(AC2880)-1))))-1),"")</f>
        <v>46036</v>
      </c>
      <c r="L2880" s="17" t="str">
        <f aca="false" t="array" ref="L2880:L2880">IFERROR(INDEX(AC2880:AE2880,IF(COUNTA(AC2880:AE2880)=0,"",MAX((AC2880:AE2880&lt;&gt;"")*(COLUMN(AC2880:AE2880)-(COLUMN(AC2880)-2))))-1),"")</f>
        <v>ARCHIVED</v>
      </c>
      <c r="M2880" s="13" t="n">
        <f aca="true">K2880-TODAY()</f>
        <v>-288</v>
      </c>
      <c r="N2880" s="18" t="s">
        <v>105</v>
      </c>
      <c r="O2880" s="13" t="s">
        <v>10059</v>
      </c>
      <c r="P2880" s="31" t="n">
        <v>138915</v>
      </c>
      <c r="Q2880" s="47" t="s">
        <v>12156</v>
      </c>
      <c r="R2880" s="13" t="s">
        <v>39</v>
      </c>
      <c r="S2880" s="16" t="n">
        <v>36936</v>
      </c>
      <c r="T2880" s="13" t="s">
        <v>40</v>
      </c>
      <c r="U2880" s="13" t="s">
        <v>12157</v>
      </c>
      <c r="V2880" s="13" t="s">
        <v>42</v>
      </c>
      <c r="W2880" s="13" t="s">
        <v>43</v>
      </c>
      <c r="X2880" s="21" t="n">
        <v>89519171654</v>
      </c>
      <c r="Y2880" s="22" t="str">
        <f aca="false">O2880</f>
        <v>Harian Lepas E-Commerce</v>
      </c>
      <c r="Z2880" s="13" t="str">
        <f aca="false">IFERROR(__xludf.dummyfunction("if(BJ2880="""","""",GOOGLETRANSLATE(BJ2880,""auto"",""en""))"),"Daily Post E-Commerce")</f>
        <v>Daily Post E-Commerce</v>
      </c>
      <c r="AA2880" s="23" t="str">
        <f aca="false">IF(C2880="","", CHOOSE(MONTH(C2880),"January","February","March","April","May","June","July","August","September","October","November","December")&amp;" "&amp;DAY(C2880)&amp;MID("thstndrdth",MIN(9,2*RIGHT(DAY(C2880))*(MOD(DAY(C2880)-11,100)&gt;2)+1),2)&amp;","&amp;TEXT(C2880," yyyy"))</f>
        <v>October 16th,2025</v>
      </c>
      <c r="AB2880" s="15" t="str">
        <f aca="true">IF(S2880="","",DATEDIF(S2880,TODAY(),"Y")&amp;" Tahun, "&amp;DATEDIF(S2880,TODAY(),"YM")&amp;" Bulan, "&amp;DATEDIF(S2880,TODAY(),"MD")&amp;" Hari")</f>
        <v>25 Tahun, 8 Bulan, 15 Hari</v>
      </c>
      <c r="AC2880" s="18" t="n">
        <v>45946</v>
      </c>
      <c r="AD2880" s="18" t="n">
        <v>46036</v>
      </c>
      <c r="AE2880" s="13" t="s">
        <v>44</v>
      </c>
    </row>
    <row r="2881" customFormat="false" ht="15" hidden="false" customHeight="true" outlineLevel="0" collapsed="false">
      <c r="A2881" s="12" t="n">
        <v>21296</v>
      </c>
      <c r="B2881" s="13" t="s">
        <v>12158</v>
      </c>
      <c r="C2881" s="16" t="n">
        <v>45946</v>
      </c>
      <c r="D2881" s="13" t="s">
        <v>10058</v>
      </c>
      <c r="E2881" s="15" t="s">
        <v>102</v>
      </c>
      <c r="F2881" s="15" t="str">
        <f aca="false">IFERROR(__xludf.dummyfunction("XLOOKUP(AJ2881,IMPORTRANGE(""1XaInW9DU9nz21V0tYIfzFQ0He9kVQ_JF2mCXgZ3hqFA"",""REKAP ALL 2026 - Andika!G:G""),IMPORTRANGE(""1XaInW9DU9nz21V0tYIfzFQ0He9kVQ_JF2mCXgZ3hqFA"",""REKAP ALL 2026 - Andika!F:F""),"""",0)"),"26062985374")</f>
        <v>26062985374</v>
      </c>
      <c r="G2881" s="13" t="s">
        <v>1127</v>
      </c>
      <c r="H2881" s="13" t="s">
        <v>3024</v>
      </c>
      <c r="I2881" s="13" t="str">
        <f aca="false">IF(C2881=J2881,"NEW KONTRAK","RE-KONTRAK")</f>
        <v>NEW KONTRAK</v>
      </c>
      <c r="J2881" s="16" t="n">
        <f aca="false" t="array" ref="J2881:J2881">IFERROR(INDEX(AC2881:AE2881,IF(COUNTA(AC2881:AE2881)=0,"",MAX((AC2881:AE2881&lt;&gt;"")*(COLUMN(AC2881:AE2881)-(COLUMN(AC2881)))))-1),"")</f>
        <v>45946</v>
      </c>
      <c r="K2881" s="16" t="n">
        <f aca="false" t="array" ref="K2881:K2881">IFERROR(INDEX(AC2881:AE2881,IF(COUNTA(AC2881:AE2881)=0,"",MAX((AC2881:AE2881&lt;&gt;"")*(COLUMN(AC2881:AE2881)-(COLUMN(AC2881)-1))))-1),"")</f>
        <v>46036</v>
      </c>
      <c r="L2881" s="17" t="str">
        <f aca="false" t="array" ref="L2881:L2881">IFERROR(INDEX(AC2881:AE2881,IF(COUNTA(AC2881:AE2881)=0,"",MAX((AC2881:AE2881&lt;&gt;"")*(COLUMN(AC2881:AE2881)-(COLUMN(AC2881)-2))))-1),"")</f>
        <v>ARCHIVED</v>
      </c>
      <c r="M2881" s="13" t="n">
        <f aca="true">K2881-TODAY()</f>
        <v>-288</v>
      </c>
      <c r="N2881" s="18" t="s">
        <v>105</v>
      </c>
      <c r="O2881" s="13" t="s">
        <v>10059</v>
      </c>
      <c r="P2881" s="19" t="n">
        <v>132300</v>
      </c>
      <c r="Q2881" s="47" t="s">
        <v>12159</v>
      </c>
      <c r="R2881" s="13" t="s">
        <v>52</v>
      </c>
      <c r="S2881" s="16" t="n">
        <v>38072</v>
      </c>
      <c r="T2881" s="13" t="s">
        <v>40</v>
      </c>
      <c r="U2881" s="13" t="s">
        <v>12160</v>
      </c>
      <c r="V2881" s="13" t="s">
        <v>42</v>
      </c>
      <c r="W2881" s="13" t="s">
        <v>43</v>
      </c>
      <c r="X2881" s="21" t="n">
        <v>87787985818</v>
      </c>
      <c r="Y2881" s="22" t="str">
        <f aca="false">O2881</f>
        <v>Harian Lepas E-Commerce</v>
      </c>
      <c r="Z2881" s="13" t="str">
        <f aca="false">IFERROR(__xludf.dummyfunction("if(BJ2881="""","""",GOOGLETRANSLATE(BJ2881,""auto"",""en""))"),"Daily Post E-Commerce")</f>
        <v>Daily Post E-Commerce</v>
      </c>
      <c r="AA2881" s="23" t="str">
        <f aca="false">IF(C2881="","", CHOOSE(MONTH(C2881),"January","February","March","April","May","June","July","August","September","October","November","December")&amp;" "&amp;DAY(C2881)&amp;MID("thstndrdth",MIN(9,2*RIGHT(DAY(C2881))*(MOD(DAY(C2881)-11,100)&gt;2)+1),2)&amp;","&amp;TEXT(C2881," yyyy"))</f>
        <v>October 16th,2025</v>
      </c>
      <c r="AB2881" s="15" t="str">
        <f aca="true">IF(S2881="","",DATEDIF(S2881,TODAY(),"Y")&amp;" Tahun, "&amp;DATEDIF(S2881,TODAY(),"YM")&amp;" Bulan, "&amp;DATEDIF(S2881,TODAY(),"MD")&amp;" Hari")</f>
        <v>22 Tahun, 7 Bulan, 3 Hari</v>
      </c>
      <c r="AC2881" s="18" t="n">
        <v>45946</v>
      </c>
      <c r="AD2881" s="18" t="n">
        <v>46036</v>
      </c>
      <c r="AE2881" s="13" t="s">
        <v>44</v>
      </c>
    </row>
    <row r="2882" customFormat="false" ht="15" hidden="false" customHeight="true" outlineLevel="0" collapsed="false">
      <c r="A2882" s="12" t="n">
        <v>21297</v>
      </c>
      <c r="B2882" s="13" t="s">
        <v>12161</v>
      </c>
      <c r="C2882" s="16" t="n">
        <v>45946</v>
      </c>
      <c r="D2882" s="13" t="s">
        <v>10058</v>
      </c>
      <c r="E2882" s="15" t="s">
        <v>102</v>
      </c>
      <c r="F2882" s="24" t="s">
        <v>12162</v>
      </c>
      <c r="G2882" s="13" t="s">
        <v>1127</v>
      </c>
      <c r="H2882" s="13" t="s">
        <v>3024</v>
      </c>
      <c r="I2882" s="13" t="str">
        <f aca="false">IF(C2882=J2882,"NEW KONTRAK","RE-KONTRAK")</f>
        <v>NEW KONTRAK</v>
      </c>
      <c r="J2882" s="16" t="n">
        <f aca="false" t="array" ref="J2882:J2882">IFERROR(INDEX(AC2882:AE2882,IF(COUNTA(AC2882:AE2882)=0,"",MAX((AC2882:AE2882&lt;&gt;"")*(COLUMN(AC2882:AE2882)-(COLUMN(AC2882)))))-1),"")</f>
        <v>45946</v>
      </c>
      <c r="K2882" s="16" t="n">
        <f aca="false" t="array" ref="K2882:K2882">IFERROR(INDEX(AC2882:AE2882,IF(COUNTA(AC2882:AE2882)=0,"",MAX((AC2882:AE2882&lt;&gt;"")*(COLUMN(AC2882:AE2882)-(COLUMN(AC2882)-1))))-1),"")</f>
        <v>46036</v>
      </c>
      <c r="L2882" s="17" t="str">
        <f aca="false" t="array" ref="L2882:L2882">IFERROR(INDEX(AC2882:AE2882,IF(COUNTA(AC2882:AE2882)=0,"",MAX((AC2882:AE2882&lt;&gt;"")*(COLUMN(AC2882:AE2882)-(COLUMN(AC2882)-2))))-1),"")</f>
        <v>ARCHIVED</v>
      </c>
      <c r="M2882" s="13" t="n">
        <f aca="true">K2882-TODAY()</f>
        <v>-288</v>
      </c>
      <c r="N2882" s="18" t="s">
        <v>105</v>
      </c>
      <c r="O2882" s="13" t="s">
        <v>10059</v>
      </c>
      <c r="P2882" s="19" t="n">
        <v>132300</v>
      </c>
      <c r="Q2882" s="47" t="s">
        <v>12163</v>
      </c>
      <c r="R2882" s="13" t="s">
        <v>39</v>
      </c>
      <c r="S2882" s="16" t="n">
        <v>36478</v>
      </c>
      <c r="T2882" s="13" t="s">
        <v>108</v>
      </c>
      <c r="U2882" s="13" t="s">
        <v>12164</v>
      </c>
      <c r="V2882" s="13" t="s">
        <v>42</v>
      </c>
      <c r="W2882" s="13" t="s">
        <v>43</v>
      </c>
      <c r="X2882" s="21" t="n">
        <v>85946728875</v>
      </c>
      <c r="Y2882" s="22" t="str">
        <f aca="false">O2882</f>
        <v>Harian Lepas E-Commerce</v>
      </c>
      <c r="Z2882" s="13" t="str">
        <f aca="false">IFERROR(__xludf.dummyfunction("if(BJ2882="""","""",GOOGLETRANSLATE(BJ2882,""auto"",""en""))"),"Daily Post E-Commerce")</f>
        <v>Daily Post E-Commerce</v>
      </c>
      <c r="AA2882" s="23" t="str">
        <f aca="false">IF(C2882="","", CHOOSE(MONTH(C2882),"January","February","March","April","May","June","July","August","September","October","November","December")&amp;" "&amp;DAY(C2882)&amp;MID("thstndrdth",MIN(9,2*RIGHT(DAY(C2882))*(MOD(DAY(C2882)-11,100)&gt;2)+1),2)&amp;","&amp;TEXT(C2882," yyyy"))</f>
        <v>October 16th,2025</v>
      </c>
      <c r="AB2882" s="15" t="str">
        <f aca="true">IF(S2882="","",DATEDIF(S2882,TODAY(),"Y")&amp;" Tahun, "&amp;DATEDIF(S2882,TODAY(),"YM")&amp;" Bulan, "&amp;DATEDIF(S2882,TODAY(),"MD")&amp;" Hari")</f>
        <v>26 Tahun, 11 Bulan, 15 Hari</v>
      </c>
      <c r="AC2882" s="18" t="n">
        <v>45946</v>
      </c>
      <c r="AD2882" s="18" t="n">
        <v>46036</v>
      </c>
      <c r="AE2882" s="13" t="s">
        <v>44</v>
      </c>
    </row>
    <row r="2883" customFormat="false" ht="15" hidden="false" customHeight="true" outlineLevel="0" collapsed="false">
      <c r="A2883" s="12" t="n">
        <v>21299</v>
      </c>
      <c r="B2883" s="13" t="s">
        <v>12165</v>
      </c>
      <c r="C2883" s="16" t="n">
        <v>45946</v>
      </c>
      <c r="D2883" s="13" t="s">
        <v>10058</v>
      </c>
      <c r="E2883" s="15" t="s">
        <v>102</v>
      </c>
      <c r="F2883" s="24" t="s">
        <v>12166</v>
      </c>
      <c r="G2883" s="13" t="s">
        <v>1127</v>
      </c>
      <c r="H2883" s="13" t="s">
        <v>3024</v>
      </c>
      <c r="I2883" s="13" t="str">
        <f aca="false">IF(C2883=J2883,"NEW KONTRAK","RE-KONTRAK")</f>
        <v>NEW KONTRAK</v>
      </c>
      <c r="J2883" s="16" t="n">
        <f aca="false" t="array" ref="J2883:J2883">IFERROR(INDEX(AC2883:AE2883,IF(COUNTA(AC2883:AE2883)=0,"",MAX((AC2883:AE2883&lt;&gt;"")*(COLUMN(AC2883:AE2883)-(COLUMN(AC2883)))))-1),"")</f>
        <v>45946</v>
      </c>
      <c r="K2883" s="16" t="n">
        <f aca="false" t="array" ref="K2883:K2883">IFERROR(INDEX(AC2883:AE2883,IF(COUNTA(AC2883:AE2883)=0,"",MAX((AC2883:AE2883&lt;&gt;"")*(COLUMN(AC2883:AE2883)-(COLUMN(AC2883)-1))))-1),"")</f>
        <v>46036</v>
      </c>
      <c r="L2883" s="17" t="str">
        <f aca="false" t="array" ref="L2883:L2883">IFERROR(INDEX(AC2883:AE2883,IF(COUNTA(AC2883:AE2883)=0,"",MAX((AC2883:AE2883&lt;&gt;"")*(COLUMN(AC2883:AE2883)-(COLUMN(AC2883)-2))))-1),"")</f>
        <v>ARCHIVED</v>
      </c>
      <c r="M2883" s="13" t="n">
        <f aca="true">K2883-TODAY()</f>
        <v>-288</v>
      </c>
      <c r="N2883" s="18" t="s">
        <v>105</v>
      </c>
      <c r="O2883" s="13" t="s">
        <v>10059</v>
      </c>
      <c r="P2883" s="19" t="n">
        <v>132300</v>
      </c>
      <c r="Q2883" s="47" t="s">
        <v>12167</v>
      </c>
      <c r="R2883" s="13" t="s">
        <v>39</v>
      </c>
      <c r="S2883" s="16" t="n">
        <v>38557</v>
      </c>
      <c r="T2883" s="13" t="s">
        <v>108</v>
      </c>
      <c r="U2883" s="13" t="s">
        <v>12168</v>
      </c>
      <c r="V2883" s="13" t="s">
        <v>42</v>
      </c>
      <c r="W2883" s="13" t="s">
        <v>43</v>
      </c>
      <c r="X2883" s="21" t="n">
        <v>81949577239</v>
      </c>
      <c r="Y2883" s="22" t="str">
        <f aca="false">O2883</f>
        <v>Harian Lepas E-Commerce</v>
      </c>
      <c r="Z2883" s="13" t="str">
        <f aca="false">IFERROR(__xludf.dummyfunction("if(BJ2883="""","""",GOOGLETRANSLATE(BJ2883,""auto"",""en""))"),"Daily Post E-Commerce")</f>
        <v>Daily Post E-Commerce</v>
      </c>
      <c r="AA2883" s="23" t="str">
        <f aca="false">IF(C2883="","", CHOOSE(MONTH(C2883),"January","February","March","April","May","June","July","August","September","October","November","December")&amp;" "&amp;DAY(C2883)&amp;MID("thstndrdth",MIN(9,2*RIGHT(DAY(C2883))*(MOD(DAY(C2883)-11,100)&gt;2)+1),2)&amp;","&amp;TEXT(C2883," yyyy"))</f>
        <v>October 16th,2025</v>
      </c>
      <c r="AB2883" s="15" t="str">
        <f aca="true">IF(S2883="","",DATEDIF(S2883,TODAY(),"Y")&amp;" Tahun, "&amp;DATEDIF(S2883,TODAY(),"YM")&amp;" Bulan, "&amp;DATEDIF(S2883,TODAY(),"MD")&amp;" Hari")</f>
        <v>21 Tahun, 3 Bulan, 5 Hari</v>
      </c>
      <c r="AC2883" s="18" t="n">
        <v>45946</v>
      </c>
      <c r="AD2883" s="18" t="n">
        <v>46036</v>
      </c>
      <c r="AE2883" s="13" t="s">
        <v>44</v>
      </c>
    </row>
    <row r="2884" customFormat="false" ht="15" hidden="false" customHeight="true" outlineLevel="0" collapsed="false">
      <c r="A2884" s="12" t="n">
        <v>21300</v>
      </c>
      <c r="B2884" s="13" t="s">
        <v>12169</v>
      </c>
      <c r="C2884" s="16" t="n">
        <v>45950</v>
      </c>
      <c r="D2884" s="13" t="s">
        <v>10058</v>
      </c>
      <c r="E2884" s="15" t="s">
        <v>33</v>
      </c>
      <c r="F2884" s="24" t="s">
        <v>12170</v>
      </c>
      <c r="G2884" s="13" t="s">
        <v>1127</v>
      </c>
      <c r="H2884" s="13" t="s">
        <v>3024</v>
      </c>
      <c r="I2884" s="13" t="str">
        <f aca="false">IF(C2884=J2884,"NEW KONTRAK","RE-KONTRAK")</f>
        <v>NEW KONTRAK</v>
      </c>
      <c r="J2884" s="16" t="n">
        <f aca="false" t="array" ref="J2884:J2884">IFERROR(INDEX(AC2884:AE2884,IF(COUNTA(AC2884:AE2884)=0,"",MAX((AC2884:AE2884&lt;&gt;"")*(COLUMN(AC2884:AE2884)-(COLUMN(AC2884)))))-1),"")</f>
        <v>45950</v>
      </c>
      <c r="K2884" s="16" t="n">
        <f aca="false" t="array" ref="K2884:K2884">IFERROR(INDEX(AC2884:AE2884,IF(COUNTA(AC2884:AE2884)=0,"",MAX((AC2884:AE2884&lt;&gt;"")*(COLUMN(AC2884:AE2884)-(COLUMN(AC2884)-1))))-1),"")</f>
        <v>46036</v>
      </c>
      <c r="L2884" s="17" t="str">
        <f aca="false" t="array" ref="L2884:L2884">IFERROR(INDEX(AC2884:AE2884,IF(COUNTA(AC2884:AE2884)=0,"",MAX((AC2884:AE2884&lt;&gt;"")*(COLUMN(AC2884:AE2884)-(COLUMN(AC2884)-2))))-1),"")</f>
        <v>ARCHIVED</v>
      </c>
      <c r="M2884" s="13" t="n">
        <f aca="true">K2884-TODAY()</f>
        <v>-288</v>
      </c>
      <c r="N2884" s="18" t="s">
        <v>105</v>
      </c>
      <c r="O2884" s="13" t="s">
        <v>10059</v>
      </c>
      <c r="P2884" s="19" t="n">
        <v>132300</v>
      </c>
      <c r="Q2884" s="47" t="s">
        <v>12171</v>
      </c>
      <c r="R2884" s="13" t="s">
        <v>232</v>
      </c>
      <c r="S2884" s="16" t="n">
        <v>38767</v>
      </c>
      <c r="T2884" s="13" t="s">
        <v>108</v>
      </c>
      <c r="U2884" s="13" t="s">
        <v>12172</v>
      </c>
      <c r="V2884" s="13" t="s">
        <v>42</v>
      </c>
      <c r="W2884" s="13" t="s">
        <v>43</v>
      </c>
      <c r="X2884" s="21" t="n">
        <v>85143993139</v>
      </c>
      <c r="Y2884" s="22" t="str">
        <f aca="false">O2884</f>
        <v>Harian Lepas E-Commerce</v>
      </c>
      <c r="Z2884" s="13" t="str">
        <f aca="false">IFERROR(__xludf.dummyfunction("if(BJ2884="""","""",GOOGLETRANSLATE(BJ2884,""auto"",""en""))"),"Daily Post E-Commerce")</f>
        <v>Daily Post E-Commerce</v>
      </c>
      <c r="AA2884" s="23" t="str">
        <f aca="false">IF(C2884="","", CHOOSE(MONTH(C2884),"January","February","March","April","May","June","July","August","September","October","November","December")&amp;" "&amp;DAY(C2884)&amp;MID("thstndrdth",MIN(9,2*RIGHT(DAY(C2884))*(MOD(DAY(C2884)-11,100)&gt;2)+1),2)&amp;","&amp;TEXT(C2884," yyyy"))</f>
        <v>October 20th,2025</v>
      </c>
      <c r="AB2884" s="15" t="str">
        <f aca="true">IF(S2884="","",DATEDIF(S2884,TODAY(),"Y")&amp;" Tahun, "&amp;DATEDIF(S2884,TODAY(),"YM")&amp;" Bulan, "&amp;DATEDIF(S2884,TODAY(),"MD")&amp;" Hari")</f>
        <v>20 Tahun, 8 Bulan, 10 Hari</v>
      </c>
      <c r="AC2884" s="18" t="n">
        <v>45950</v>
      </c>
      <c r="AD2884" s="18" t="n">
        <v>46036</v>
      </c>
      <c r="AE2884" s="13" t="s">
        <v>44</v>
      </c>
    </row>
    <row r="2885" customFormat="false" ht="15" hidden="false" customHeight="true" outlineLevel="0" collapsed="false">
      <c r="A2885" s="12" t="n">
        <v>21301</v>
      </c>
      <c r="B2885" s="13" t="s">
        <v>12173</v>
      </c>
      <c r="C2885" s="16" t="n">
        <v>45950</v>
      </c>
      <c r="D2885" s="13" t="s">
        <v>10058</v>
      </c>
      <c r="E2885" s="15" t="s">
        <v>33</v>
      </c>
      <c r="F2885" s="24" t="s">
        <v>12174</v>
      </c>
      <c r="G2885" s="13" t="s">
        <v>1127</v>
      </c>
      <c r="H2885" s="13" t="s">
        <v>3024</v>
      </c>
      <c r="I2885" s="13" t="str">
        <f aca="false">IF(C2885=J2885,"NEW KONTRAK","RE-KONTRAK")</f>
        <v>NEW KONTRAK</v>
      </c>
      <c r="J2885" s="16" t="n">
        <f aca="false" t="array" ref="J2885:J2885">IFERROR(INDEX(AC2885:AE2885,IF(COUNTA(AC2885:AE2885)=0,"",MAX((AC2885:AE2885&lt;&gt;"")*(COLUMN(AC2885:AE2885)-(COLUMN(AC2885)))))-1),"")</f>
        <v>45950</v>
      </c>
      <c r="K2885" s="16" t="n">
        <f aca="false" t="array" ref="K2885:K2885">IFERROR(INDEX(AC2885:AE2885,IF(COUNTA(AC2885:AE2885)=0,"",MAX((AC2885:AE2885&lt;&gt;"")*(COLUMN(AC2885:AE2885)-(COLUMN(AC2885)-1))))-1),"")</f>
        <v>46036</v>
      </c>
      <c r="L2885" s="17" t="str">
        <f aca="false" t="array" ref="L2885:L2885">IFERROR(INDEX(AC2885:AE2885,IF(COUNTA(AC2885:AE2885)=0,"",MAX((AC2885:AE2885&lt;&gt;"")*(COLUMN(AC2885:AE2885)-(COLUMN(AC2885)-2))))-1),"")</f>
        <v>ARCHIVED</v>
      </c>
      <c r="M2885" s="13" t="n">
        <f aca="true">K2885-TODAY()</f>
        <v>-288</v>
      </c>
      <c r="N2885" s="18" t="s">
        <v>105</v>
      </c>
      <c r="O2885" s="13" t="s">
        <v>10059</v>
      </c>
      <c r="P2885" s="19" t="n">
        <v>132300</v>
      </c>
      <c r="Q2885" s="47" t="s">
        <v>12175</v>
      </c>
      <c r="R2885" s="13" t="s">
        <v>39</v>
      </c>
      <c r="S2885" s="16" t="n">
        <v>37370</v>
      </c>
      <c r="T2885" s="13" t="s">
        <v>108</v>
      </c>
      <c r="U2885" s="13" t="s">
        <v>12176</v>
      </c>
      <c r="V2885" s="13" t="s">
        <v>42</v>
      </c>
      <c r="W2885" s="13" t="s">
        <v>43</v>
      </c>
      <c r="X2885" s="21" t="n">
        <v>89678803997</v>
      </c>
      <c r="Y2885" s="22" t="str">
        <f aca="false">O2885</f>
        <v>Harian Lepas E-Commerce</v>
      </c>
      <c r="Z2885" s="13" t="str">
        <f aca="false">IFERROR(__xludf.dummyfunction("if(BJ2885="""","""",GOOGLETRANSLATE(BJ2885,""auto"",""en""))"),"Daily Post E-Commerce")</f>
        <v>Daily Post E-Commerce</v>
      </c>
      <c r="AA2885" s="23" t="str">
        <f aca="false">IF(C2885="","", CHOOSE(MONTH(C2885),"January","February","March","April","May","June","July","August","September","October","November","December")&amp;" "&amp;DAY(C2885)&amp;MID("thstndrdth",MIN(9,2*RIGHT(DAY(C2885))*(MOD(DAY(C2885)-11,100)&gt;2)+1),2)&amp;","&amp;TEXT(C2885," yyyy"))</f>
        <v>October 20th,2025</v>
      </c>
      <c r="AB2885" s="15" t="str">
        <f aca="true">IF(S2885="","",DATEDIF(S2885,TODAY(),"Y")&amp;" Tahun, "&amp;DATEDIF(S2885,TODAY(),"YM")&amp;" Bulan, "&amp;DATEDIF(S2885,TODAY(),"MD")&amp;" Hari")</f>
        <v>24 Tahun, 6 Bulan, 5 Hari</v>
      </c>
      <c r="AC2885" s="18" t="n">
        <v>45950</v>
      </c>
      <c r="AD2885" s="18" t="n">
        <v>46036</v>
      </c>
      <c r="AE2885" s="13" t="s">
        <v>44</v>
      </c>
    </row>
    <row r="2886" customFormat="false" ht="15" hidden="false" customHeight="true" outlineLevel="0" collapsed="false">
      <c r="A2886" s="12" t="n">
        <v>21302</v>
      </c>
      <c r="B2886" s="13" t="s">
        <v>12177</v>
      </c>
      <c r="C2886" s="16" t="n">
        <v>45957</v>
      </c>
      <c r="D2886" s="13" t="s">
        <v>10058</v>
      </c>
      <c r="E2886" s="15" t="s">
        <v>33</v>
      </c>
      <c r="F2886" s="24" t="s">
        <v>12178</v>
      </c>
      <c r="G2886" s="13" t="s">
        <v>1127</v>
      </c>
      <c r="H2886" s="13" t="s">
        <v>3024</v>
      </c>
      <c r="I2886" s="13" t="str">
        <f aca="false">IF(C2886=J2886,"NEW KONTRAK","RE-KONTRAK")</f>
        <v>NEW KONTRAK</v>
      </c>
      <c r="J2886" s="16" t="n">
        <f aca="false" t="array" ref="J2886:J2886">IFERROR(INDEX(AC2886:AE2886,IF(COUNTA(AC2886:AE2886)=0,"",MAX((AC2886:AE2886&lt;&gt;"")*(COLUMN(AC2886:AE2886)-(COLUMN(AC2886)))))-1),"")</f>
        <v>45957</v>
      </c>
      <c r="K2886" s="16" t="n">
        <f aca="false" t="array" ref="K2886:K2886">IFERROR(INDEX(AC2886:AE2886,IF(COUNTA(AC2886:AE2886)=0,"",MAX((AC2886:AE2886&lt;&gt;"")*(COLUMN(AC2886:AE2886)-(COLUMN(AC2886)-1))))-1),"")</f>
        <v>46036</v>
      </c>
      <c r="L2886" s="17" t="str">
        <f aca="false" t="array" ref="L2886:L2886">IFERROR(INDEX(AC2886:AE2886,IF(COUNTA(AC2886:AE2886)=0,"",MAX((AC2886:AE2886&lt;&gt;"")*(COLUMN(AC2886:AE2886)-(COLUMN(AC2886)-2))))-1),"")</f>
        <v>ARCHIVED</v>
      </c>
      <c r="M2886" s="13" t="n">
        <f aca="true">K2886-TODAY()</f>
        <v>-288</v>
      </c>
      <c r="N2886" s="18" t="s">
        <v>105</v>
      </c>
      <c r="O2886" s="13" t="s">
        <v>10059</v>
      </c>
      <c r="P2886" s="19" t="n">
        <v>132300</v>
      </c>
      <c r="Q2886" s="47" t="s">
        <v>12179</v>
      </c>
      <c r="R2886" s="13" t="s">
        <v>52</v>
      </c>
      <c r="S2886" s="16" t="n">
        <v>38865</v>
      </c>
      <c r="T2886" s="13" t="s">
        <v>108</v>
      </c>
      <c r="U2886" s="13" t="s">
        <v>12180</v>
      </c>
      <c r="V2886" s="13" t="s">
        <v>42</v>
      </c>
      <c r="W2886" s="13" t="s">
        <v>43</v>
      </c>
      <c r="X2886" s="21" t="n">
        <v>89523401901</v>
      </c>
      <c r="Y2886" s="22" t="str">
        <f aca="false">O2886</f>
        <v>Harian Lepas E-Commerce</v>
      </c>
      <c r="Z2886" s="13" t="str">
        <f aca="false">IFERROR(__xludf.dummyfunction("if(BJ2886="""","""",GOOGLETRANSLATE(BJ2886,""auto"",""en""))"),"Daily Post E-Commerce")</f>
        <v>Daily Post E-Commerce</v>
      </c>
      <c r="AA2886" s="23" t="str">
        <f aca="false">IF(C2886="","", CHOOSE(MONTH(C2886),"January","February","March","April","May","June","July","August","September","October","November","December")&amp;" "&amp;DAY(C2886)&amp;MID("thstndrdth",MIN(9,2*RIGHT(DAY(C2886))*(MOD(DAY(C2886)-11,100)&gt;2)+1),2)&amp;","&amp;TEXT(C2886," yyyy"))</f>
        <v>October 27th,2025</v>
      </c>
      <c r="AB2886" s="15" t="str">
        <f aca="true">IF(S2886="","",DATEDIF(S2886,TODAY(),"Y")&amp;" Tahun, "&amp;DATEDIF(S2886,TODAY(),"YM")&amp;" Bulan, "&amp;DATEDIF(S2886,TODAY(),"MD")&amp;" Hari")</f>
        <v>20 Tahun, 5 Bulan, 1 Hari</v>
      </c>
      <c r="AC2886" s="18" t="n">
        <v>45957</v>
      </c>
      <c r="AD2886" s="18" t="n">
        <v>46036</v>
      </c>
      <c r="AE2886" s="13" t="s">
        <v>44</v>
      </c>
    </row>
    <row r="2887" customFormat="false" ht="15" hidden="false" customHeight="true" outlineLevel="0" collapsed="false">
      <c r="A2887" s="12" t="n">
        <v>21303</v>
      </c>
      <c r="B2887" s="13" t="s">
        <v>12181</v>
      </c>
      <c r="C2887" s="16" t="n">
        <v>45957</v>
      </c>
      <c r="D2887" s="13" t="s">
        <v>10058</v>
      </c>
      <c r="E2887" s="15" t="s">
        <v>47</v>
      </c>
      <c r="F2887" s="15" t="str">
        <f aca="false">IFERROR(__xludf.dummyfunction("XLOOKUP(AJ2887,IMPORTRANGE(""1XaInW9DU9nz21V0tYIfzFQ0He9kVQ_JF2mCXgZ3hqFA"",""REKAP ALL 2026 - Andika!G:G""),IMPORTRANGE(""1XaInW9DU9nz21V0tYIfzFQ0He9kVQ_JF2mCXgZ3hqFA"",""REKAP ALL 2026 - Andika!F:F""),"""",0)"),"26062985556")</f>
        <v>26062985556</v>
      </c>
      <c r="G2887" s="28" t="s">
        <v>57</v>
      </c>
      <c r="H2887" s="13" t="s">
        <v>3024</v>
      </c>
      <c r="I2887" s="13" t="str">
        <f aca="false">IF(C2887=J2887,"NEW KONTRAK","RE-KONTRAK")</f>
        <v>NEW KONTRAK</v>
      </c>
      <c r="J2887" s="16" t="n">
        <f aca="false" t="array" ref="J2887:J2887">IFERROR(INDEX(AC2887:AE2887,IF(COUNTA(AC2887:AE2887)=0,"",MAX((AC2887:AE2887&lt;&gt;"")*(COLUMN(AC2887:AE2887)-(COLUMN(AC2887)))))-1),"")</f>
        <v>45957</v>
      </c>
      <c r="K2887" s="16" t="n">
        <f aca="false" t="array" ref="K2887:K2887">IFERROR(INDEX(AC2887:AE2887,IF(COUNTA(AC2887:AE2887)=0,"",MAX((AC2887:AE2887&lt;&gt;"")*(COLUMN(AC2887:AE2887)-(COLUMN(AC2887)-1))))-1),"")</f>
        <v>46036</v>
      </c>
      <c r="L2887" s="17" t="str">
        <f aca="false" t="array" ref="L2887:L2887">IFERROR(INDEX(AC2887:AE2887,IF(COUNTA(AC2887:AE2887)=0,"",MAX((AC2887:AE2887&lt;&gt;"")*(COLUMN(AC2887:AE2887)-(COLUMN(AC2887)-2))))-1),"")</f>
        <v>ARCHIVED</v>
      </c>
      <c r="M2887" s="13" t="n">
        <f aca="true">K2887-TODAY()</f>
        <v>-288</v>
      </c>
      <c r="N2887" s="18" t="s">
        <v>105</v>
      </c>
      <c r="O2887" s="13" t="s">
        <v>10059</v>
      </c>
      <c r="P2887" s="31" t="n">
        <v>138915</v>
      </c>
      <c r="Q2887" s="47" t="s">
        <v>12182</v>
      </c>
      <c r="R2887" s="13" t="s">
        <v>39</v>
      </c>
      <c r="S2887" s="16" t="n">
        <v>35963</v>
      </c>
      <c r="T2887" s="13" t="s">
        <v>40</v>
      </c>
      <c r="U2887" s="13" t="s">
        <v>12183</v>
      </c>
      <c r="V2887" s="13" t="s">
        <v>42</v>
      </c>
      <c r="W2887" s="13" t="s">
        <v>43</v>
      </c>
      <c r="X2887" s="21" t="n">
        <v>85746328312</v>
      </c>
      <c r="Y2887" s="22" t="str">
        <f aca="false">O2887</f>
        <v>Harian Lepas E-Commerce</v>
      </c>
      <c r="Z2887" s="13" t="str">
        <f aca="false">IFERROR(__xludf.dummyfunction("if(BJ2887="""","""",GOOGLETRANSLATE(BJ2887,""auto"",""en""))"),"Daily Post E-Commerce")</f>
        <v>Daily Post E-Commerce</v>
      </c>
      <c r="AA2887" s="23" t="str">
        <f aca="false">IF(C2887="","", CHOOSE(MONTH(C2887),"January","February","March","April","May","June","July","August","September","October","November","December")&amp;" "&amp;DAY(C2887)&amp;MID("thstndrdth",MIN(9,2*RIGHT(DAY(C2887))*(MOD(DAY(C2887)-11,100)&gt;2)+1),2)&amp;","&amp;TEXT(C2887," yyyy"))</f>
        <v>October 27th,2025</v>
      </c>
      <c r="AB2887" s="15" t="str">
        <f aca="true">IF(S2887="","",DATEDIF(S2887,TODAY(),"Y")&amp;" Tahun, "&amp;DATEDIF(S2887,TODAY(),"YM")&amp;" Bulan, "&amp;DATEDIF(S2887,TODAY(),"MD")&amp;" Hari")</f>
        <v>28 Tahun, 4 Bulan, 12 Hari</v>
      </c>
      <c r="AC2887" s="18" t="n">
        <v>45957</v>
      </c>
      <c r="AD2887" s="18" t="n">
        <v>46036</v>
      </c>
      <c r="AE2887" s="13" t="s">
        <v>44</v>
      </c>
    </row>
    <row r="2888" customFormat="false" ht="15" hidden="false" customHeight="true" outlineLevel="0" collapsed="false">
      <c r="A2888" s="12" t="n">
        <v>21304</v>
      </c>
      <c r="B2888" s="13" t="s">
        <v>12184</v>
      </c>
      <c r="C2888" s="16" t="n">
        <v>45964</v>
      </c>
      <c r="D2888" s="13" t="s">
        <v>10058</v>
      </c>
      <c r="E2888" s="15" t="s">
        <v>102</v>
      </c>
      <c r="F2888" s="24" t="s">
        <v>12185</v>
      </c>
      <c r="G2888" s="13" t="s">
        <v>1127</v>
      </c>
      <c r="H2888" s="13" t="s">
        <v>3024</v>
      </c>
      <c r="I2888" s="13" t="str">
        <f aca="false">IF(C2888=J2888,"NEW KONTRAK","RE-KONTRAK")</f>
        <v>NEW KONTRAK</v>
      </c>
      <c r="J2888" s="16" t="n">
        <f aca="false" t="array" ref="J2888:J2888">IFERROR(INDEX(AC2888:AE2888,IF(COUNTA(AC2888:AE2888)=0,"",MAX((AC2888:AE2888&lt;&gt;"")*(COLUMN(AC2888:AE2888)-(COLUMN(AC2888)))))-1),"")</f>
        <v>45964</v>
      </c>
      <c r="K2888" s="16" t="n">
        <f aca="false" t="array" ref="K2888:K2888">IFERROR(INDEX(AC2888:AE2888,IF(COUNTA(AC2888:AE2888)=0,"",MAX((AC2888:AE2888&lt;&gt;"")*(COLUMN(AC2888:AE2888)-(COLUMN(AC2888)-1))))-1),"")</f>
        <v>46036</v>
      </c>
      <c r="L2888" s="17" t="str">
        <f aca="false" t="array" ref="L2888:L2888">IFERROR(INDEX(AC2888:AE2888,IF(COUNTA(AC2888:AE2888)=0,"",MAX((AC2888:AE2888&lt;&gt;"")*(COLUMN(AC2888:AE2888)-(COLUMN(AC2888)-2))))-1),"")</f>
        <v>ARCHIVED</v>
      </c>
      <c r="M2888" s="13" t="n">
        <f aca="true">K2888-TODAY()</f>
        <v>-288</v>
      </c>
      <c r="N2888" s="18" t="s">
        <v>105</v>
      </c>
      <c r="O2888" s="13" t="s">
        <v>10059</v>
      </c>
      <c r="P2888" s="19" t="n">
        <v>132300</v>
      </c>
      <c r="Q2888" s="47" t="s">
        <v>12186</v>
      </c>
      <c r="R2888" s="13" t="s">
        <v>168</v>
      </c>
      <c r="S2888" s="16" t="n">
        <v>36406</v>
      </c>
      <c r="T2888" s="13" t="s">
        <v>108</v>
      </c>
      <c r="U2888" s="13" t="s">
        <v>12187</v>
      </c>
      <c r="V2888" s="13" t="s">
        <v>42</v>
      </c>
      <c r="W2888" s="13" t="s">
        <v>43</v>
      </c>
      <c r="X2888" s="21" t="n">
        <v>85731754436</v>
      </c>
      <c r="Y2888" s="22" t="str">
        <f aca="false">O2888</f>
        <v>Harian Lepas E-Commerce</v>
      </c>
      <c r="Z2888" s="13" t="str">
        <f aca="false">IFERROR(__xludf.dummyfunction("if(BJ2888="""","""",GOOGLETRANSLATE(BJ2888,""auto"",""en""))"),"Daily Post E-Commerce")</f>
        <v>Daily Post E-Commerce</v>
      </c>
      <c r="AA2888" s="23" t="str">
        <f aca="false">IF(C2888="","", CHOOSE(MONTH(C2888),"January","February","March","April","May","June","July","August","September","October","November","December")&amp;" "&amp;DAY(C2888)&amp;MID("thstndrdth",MIN(9,2*RIGHT(DAY(C2888))*(MOD(DAY(C2888)-11,100)&gt;2)+1),2)&amp;","&amp;TEXT(C2888," yyyy"))</f>
        <v>November 3rd,2025</v>
      </c>
      <c r="AB2888" s="15" t="str">
        <f aca="true">IF(S2888="","",DATEDIF(S2888,TODAY(),"Y")&amp;" Tahun, "&amp;DATEDIF(S2888,TODAY(),"YM")&amp;" Bulan, "&amp;DATEDIF(S2888,TODAY(),"MD")&amp;" Hari")</f>
        <v>27 Tahun, 1 Bulan, 26 Hari</v>
      </c>
      <c r="AC2888" s="18" t="n">
        <v>45964</v>
      </c>
      <c r="AD2888" s="18" t="n">
        <v>46036</v>
      </c>
      <c r="AE2888" s="13" t="s">
        <v>44</v>
      </c>
    </row>
    <row r="2889" customFormat="false" ht="15" hidden="false" customHeight="true" outlineLevel="0" collapsed="false">
      <c r="A2889" s="12" t="n">
        <v>21305</v>
      </c>
      <c r="B2889" s="13" t="s">
        <v>12188</v>
      </c>
      <c r="C2889" s="16" t="n">
        <v>45964</v>
      </c>
      <c r="D2889" s="13" t="s">
        <v>10058</v>
      </c>
      <c r="E2889" s="15" t="s">
        <v>102</v>
      </c>
      <c r="F2889" s="24" t="s">
        <v>12189</v>
      </c>
      <c r="G2889" s="13" t="s">
        <v>1127</v>
      </c>
      <c r="H2889" s="13" t="s">
        <v>3024</v>
      </c>
      <c r="I2889" s="13" t="str">
        <f aca="false">IF(C2889=J2889,"NEW KONTRAK","RE-KONTRAK")</f>
        <v>NEW KONTRAK</v>
      </c>
      <c r="J2889" s="16" t="n">
        <f aca="false" t="array" ref="J2889:J2889">IFERROR(INDEX(AC2889:AE2889,IF(COUNTA(AC2889:AE2889)=0,"",MAX((AC2889:AE2889&lt;&gt;"")*(COLUMN(AC2889:AE2889)-(COLUMN(AC2889)))))-1),"")</f>
        <v>45964</v>
      </c>
      <c r="K2889" s="16" t="n">
        <f aca="false" t="array" ref="K2889:K2889">IFERROR(INDEX(AC2889:AE2889,IF(COUNTA(AC2889:AE2889)=0,"",MAX((AC2889:AE2889&lt;&gt;"")*(COLUMN(AC2889:AE2889)-(COLUMN(AC2889)-1))))-1),"")</f>
        <v>46036</v>
      </c>
      <c r="L2889" s="17" t="str">
        <f aca="false" t="array" ref="L2889:L2889">IFERROR(INDEX(AC2889:AE2889,IF(COUNTA(AC2889:AE2889)=0,"",MAX((AC2889:AE2889&lt;&gt;"")*(COLUMN(AC2889:AE2889)-(COLUMN(AC2889)-2))))-1),"")</f>
        <v>ARCHIVED</v>
      </c>
      <c r="M2889" s="13" t="n">
        <f aca="true">K2889-TODAY()</f>
        <v>-288</v>
      </c>
      <c r="N2889" s="18" t="s">
        <v>105</v>
      </c>
      <c r="O2889" s="13" t="s">
        <v>10059</v>
      </c>
      <c r="P2889" s="19" t="n">
        <v>132300</v>
      </c>
      <c r="Q2889" s="47" t="s">
        <v>12190</v>
      </c>
      <c r="R2889" s="13" t="s">
        <v>39</v>
      </c>
      <c r="S2889" s="16" t="n">
        <v>35911</v>
      </c>
      <c r="T2889" s="13" t="s">
        <v>108</v>
      </c>
      <c r="U2889" s="13" t="s">
        <v>12191</v>
      </c>
      <c r="V2889" s="13" t="s">
        <v>99</v>
      </c>
      <c r="W2889" s="13" t="s">
        <v>43</v>
      </c>
      <c r="X2889" s="21" t="n">
        <v>85198305620</v>
      </c>
      <c r="Y2889" s="22" t="str">
        <f aca="false">O2889</f>
        <v>Harian Lepas E-Commerce</v>
      </c>
      <c r="Z2889" s="13" t="str">
        <f aca="false">IFERROR(__xludf.dummyfunction("if(BJ2889="""","""",GOOGLETRANSLATE(BJ2889,""auto"",""en""))"),"Daily Post E-Commerce")</f>
        <v>Daily Post E-Commerce</v>
      </c>
      <c r="AA2889" s="23" t="str">
        <f aca="false">IF(C2889="","", CHOOSE(MONTH(C2889),"January","February","March","April","May","June","July","August","September","October","November","December")&amp;" "&amp;DAY(C2889)&amp;MID("thstndrdth",MIN(9,2*RIGHT(DAY(C2889))*(MOD(DAY(C2889)-11,100)&gt;2)+1),2)&amp;","&amp;TEXT(C2889," yyyy"))</f>
        <v>November 3rd,2025</v>
      </c>
      <c r="AB2889" s="15" t="str">
        <f aca="true">IF(S2889="","",DATEDIF(S2889,TODAY(),"Y")&amp;" Tahun, "&amp;DATEDIF(S2889,TODAY(),"YM")&amp;" Bulan, "&amp;DATEDIF(S2889,TODAY(),"MD")&amp;" Hari")</f>
        <v>28 Tahun, 6 Bulan, 3 Hari</v>
      </c>
      <c r="AC2889" s="18" t="n">
        <v>45964</v>
      </c>
      <c r="AD2889" s="18" t="n">
        <v>46036</v>
      </c>
      <c r="AE2889" s="13" t="s">
        <v>44</v>
      </c>
    </row>
    <row r="2890" customFormat="false" ht="15" hidden="false" customHeight="true" outlineLevel="0" collapsed="false">
      <c r="A2890" s="12" t="n">
        <v>21306</v>
      </c>
      <c r="B2890" s="13" t="s">
        <v>12192</v>
      </c>
      <c r="C2890" s="16" t="n">
        <v>45965</v>
      </c>
      <c r="D2890" s="13" t="s">
        <v>10058</v>
      </c>
      <c r="E2890" s="15" t="s">
        <v>102</v>
      </c>
      <c r="F2890" s="24" t="s">
        <v>12193</v>
      </c>
      <c r="G2890" s="13" t="s">
        <v>1127</v>
      </c>
      <c r="H2890" s="13" t="s">
        <v>3024</v>
      </c>
      <c r="I2890" s="13" t="str">
        <f aca="false">IF(C2890=J2890,"NEW KONTRAK","RE-KONTRAK")</f>
        <v>NEW KONTRAK</v>
      </c>
      <c r="J2890" s="16" t="n">
        <f aca="false" t="array" ref="J2890:J2890">IFERROR(INDEX(AC2890:AE2890,IF(COUNTA(AC2890:AE2890)=0,"",MAX((AC2890:AE2890&lt;&gt;"")*(COLUMN(AC2890:AE2890)-(COLUMN(AC2890)))))-1),"")</f>
        <v>45965</v>
      </c>
      <c r="K2890" s="16" t="n">
        <f aca="false" t="array" ref="K2890:K2890">IFERROR(INDEX(AC2890:AE2890,IF(COUNTA(AC2890:AE2890)=0,"",MAX((AC2890:AE2890&lt;&gt;"")*(COLUMN(AC2890:AE2890)-(COLUMN(AC2890)-1))))-1),"")</f>
        <v>46036</v>
      </c>
      <c r="L2890" s="17" t="str">
        <f aca="false" t="array" ref="L2890:L2890">IFERROR(INDEX(AC2890:AE2890,IF(COUNTA(AC2890:AE2890)=0,"",MAX((AC2890:AE2890&lt;&gt;"")*(COLUMN(AC2890:AE2890)-(COLUMN(AC2890)-2))))-1),"")</f>
        <v>ARCHIVED</v>
      </c>
      <c r="M2890" s="13" t="n">
        <f aca="true">K2890-TODAY()</f>
        <v>-288</v>
      </c>
      <c r="N2890" s="18" t="s">
        <v>105</v>
      </c>
      <c r="O2890" s="13" t="s">
        <v>10059</v>
      </c>
      <c r="P2890" s="19" t="n">
        <v>132300</v>
      </c>
      <c r="Q2890" s="47" t="s">
        <v>12194</v>
      </c>
      <c r="R2890" s="13" t="s">
        <v>12195</v>
      </c>
      <c r="S2890" s="16" t="n">
        <v>39400</v>
      </c>
      <c r="T2890" s="13" t="s">
        <v>108</v>
      </c>
      <c r="U2890" s="13" t="s">
        <v>12196</v>
      </c>
      <c r="V2890" s="13" t="s">
        <v>99</v>
      </c>
      <c r="W2890" s="13" t="s">
        <v>43</v>
      </c>
      <c r="X2890" s="21" t="n">
        <v>81262949438</v>
      </c>
      <c r="Y2890" s="22" t="str">
        <f aca="false">O2890</f>
        <v>Harian Lepas E-Commerce</v>
      </c>
      <c r="Z2890" s="13" t="str">
        <f aca="false">IFERROR(__xludf.dummyfunction("if(BJ2890="""","""",GOOGLETRANSLATE(BJ2890,""auto"",""en""))"),"Daily Post E-Commerce")</f>
        <v>Daily Post E-Commerce</v>
      </c>
      <c r="AA2890" s="23" t="str">
        <f aca="false">IF(C2890="","", CHOOSE(MONTH(C2890),"January","February","March","April","May","June","July","August","September","October","November","December")&amp;" "&amp;DAY(C2890)&amp;MID("thstndrdth",MIN(9,2*RIGHT(DAY(C2890))*(MOD(DAY(C2890)-11,100)&gt;2)+1),2)&amp;","&amp;TEXT(C2890," yyyy"))</f>
        <v>November 4th,2025</v>
      </c>
      <c r="AB2890" s="15" t="str">
        <f aca="true">IF(S2890="","",DATEDIF(S2890,TODAY(),"Y")&amp;" Tahun, "&amp;DATEDIF(S2890,TODAY(),"YM")&amp;" Bulan, "&amp;DATEDIF(S2890,TODAY(),"MD")&amp;" Hari")</f>
        <v>18 Tahun, 11 Bulan, 15 Hari</v>
      </c>
      <c r="AC2890" s="18" t="n">
        <v>45965</v>
      </c>
      <c r="AD2890" s="18" t="n">
        <v>46036</v>
      </c>
      <c r="AE2890" s="13" t="s">
        <v>44</v>
      </c>
    </row>
    <row r="2891" customFormat="false" ht="15" hidden="false" customHeight="true" outlineLevel="0" collapsed="false">
      <c r="A2891" s="12" t="n">
        <v>21307</v>
      </c>
      <c r="B2891" s="13" t="s">
        <v>12197</v>
      </c>
      <c r="C2891" s="16" t="n">
        <v>45965</v>
      </c>
      <c r="D2891" s="13" t="s">
        <v>4252</v>
      </c>
      <c r="E2891" s="15" t="s">
        <v>33</v>
      </c>
      <c r="F2891" s="24" t="s">
        <v>12198</v>
      </c>
      <c r="G2891" s="13" t="s">
        <v>57</v>
      </c>
      <c r="H2891" s="13" t="s">
        <v>35</v>
      </c>
      <c r="I2891" s="13" t="str">
        <f aca="false">IF(C2891=J2891,"NEW KONTRAK","RE-KONTRAK")</f>
        <v>NEW KONTRAK</v>
      </c>
      <c r="J2891" s="16" t="n">
        <f aca="false" t="array" ref="J2891:J2891">IFERROR(INDEX(AC2891:AE2891,IF(COUNTA(AC2891:AE2891)=0,"",MAX((AC2891:AE2891&lt;&gt;"")*(COLUMN(AC2891:AE2891)-(COLUMN(AC2891)))))-1),"")</f>
        <v>45965</v>
      </c>
      <c r="K2891" s="16" t="n">
        <f aca="false" t="array" ref="K2891:K2891">IFERROR(INDEX(AC2891:AE2891,IF(COUNTA(AC2891:AE2891)=0,"",MAX((AC2891:AE2891&lt;&gt;"")*(COLUMN(AC2891:AE2891)-(COLUMN(AC2891)-1))))-1),"")</f>
        <v>46056</v>
      </c>
      <c r="L2891" s="17" t="str">
        <f aca="false" t="array" ref="L2891:L2891">IFERROR(INDEX(AC2891:AE2891,IF(COUNTA(AC2891:AE2891)=0,"",MAX((AC2891:AE2891&lt;&gt;"")*(COLUMN(AC2891:AE2891)-(COLUMN(AC2891)-2))))-1),"")</f>
        <v>ARCHIVED</v>
      </c>
      <c r="M2891" s="13" t="n">
        <f aca="true">K2891-TODAY()</f>
        <v>-268</v>
      </c>
      <c r="N2891" s="18" t="s">
        <v>36</v>
      </c>
      <c r="O2891" s="13" t="s">
        <v>4274</v>
      </c>
      <c r="P2891" s="27" t="n">
        <v>200000</v>
      </c>
      <c r="Q2891" s="47" t="s">
        <v>12199</v>
      </c>
      <c r="R2891" s="13" t="s">
        <v>39</v>
      </c>
      <c r="S2891" s="16" t="n">
        <v>32225</v>
      </c>
      <c r="T2891" s="13" t="s">
        <v>40</v>
      </c>
      <c r="U2891" s="13" t="s">
        <v>12200</v>
      </c>
      <c r="V2891" s="13" t="s">
        <v>42</v>
      </c>
      <c r="W2891" s="13" t="s">
        <v>54</v>
      </c>
      <c r="X2891" s="30" t="n">
        <v>85899102290</v>
      </c>
      <c r="Y2891" s="22" t="str">
        <f aca="false">O2891</f>
        <v>Operator Extruder</v>
      </c>
      <c r="Z2891" s="13" t="str">
        <f aca="false">IFERROR(__xludf.dummyfunction("if(BJ2891="""","""",GOOGLETRANSLATE(BJ2891,""auto"",""en""))"),"Operator Extruder")</f>
        <v>Operator Extruder</v>
      </c>
      <c r="AA2891" s="23" t="str">
        <f aca="false">IF(C2891="","", CHOOSE(MONTH(C2891),"January","February","March","April","May","June","July","August","September","October","November","December")&amp;" "&amp;DAY(C2891)&amp;MID("thstndrdth",MIN(9,2*RIGHT(DAY(C2891))*(MOD(DAY(C2891)-11,100)&gt;2)+1),2)&amp;","&amp;TEXT(C2891," yyyy"))</f>
        <v>November 4th,2025</v>
      </c>
      <c r="AB2891" s="15" t="str">
        <f aca="true">IF(S2891="","",DATEDIF(S2891,TODAY(),"Y")&amp;" Tahun, "&amp;DATEDIF(S2891,TODAY(),"YM")&amp;" Bulan, "&amp;DATEDIF(S2891,TODAY(),"MD")&amp;" Hari")</f>
        <v>38 Tahun, 7 Bulan, 6 Hari</v>
      </c>
      <c r="AC2891" s="18" t="n">
        <v>45965</v>
      </c>
      <c r="AD2891" s="18" t="n">
        <v>46056</v>
      </c>
      <c r="AE2891" s="13" t="s">
        <v>44</v>
      </c>
    </row>
    <row r="2892" customFormat="false" ht="15" hidden="false" customHeight="true" outlineLevel="0" collapsed="false">
      <c r="A2892" s="12" t="n">
        <v>21308</v>
      </c>
      <c r="B2892" s="13" t="s">
        <v>12201</v>
      </c>
      <c r="C2892" s="16" t="n">
        <v>45964</v>
      </c>
      <c r="D2892" s="13" t="s">
        <v>10155</v>
      </c>
      <c r="E2892" s="15" t="s">
        <v>47</v>
      </c>
      <c r="F2892" s="15" t="str">
        <f aca="false">IFERROR(__xludf.dummyfunction("XLOOKUP(AJ2892,IMPORTRANGE(""1XaInW9DU9nz21V0tYIfzFQ0He9kVQ_JF2mCXgZ3hqFA"",""REKAP ALL 2026 - Andika!G:G""),IMPORTRANGE(""1XaInW9DU9nz21V0tYIfzFQ0He9kVQ_JF2mCXgZ3hqFA"",""REKAP ALL 2026 - Andika!F:F""),"""",0)"),"25168300827")</f>
        <v>25168300827</v>
      </c>
      <c r="G2892" s="13" t="s">
        <v>1127</v>
      </c>
      <c r="H2892" s="13" t="s">
        <v>35</v>
      </c>
      <c r="I2892" s="13" t="str">
        <f aca="false">IF(C2892=J2892,"NEW KONTRAK","RE-KONTRAK")</f>
        <v>NEW KONTRAK</v>
      </c>
      <c r="J2892" s="16" t="n">
        <f aca="false" t="array" ref="J2892:J2892">IFERROR(INDEX(AC2892:AE2892,IF(COUNTA(AC2892:AE2892)=0,"",MAX((AC2892:AE2892&lt;&gt;"")*(COLUMN(AC2892:AE2892)-(COLUMN(AC2892)))))-1),"")</f>
        <v>45964</v>
      </c>
      <c r="K2892" s="16" t="n">
        <f aca="false" t="array" ref="K2892:K2892">IFERROR(INDEX(AC2892:AE2892,IF(COUNTA(AC2892:AE2892)=0,"",MAX((AC2892:AE2892&lt;&gt;"")*(COLUMN(AC2892:AE2892)-(COLUMN(AC2892)-1))))-1),"")</f>
        <v>46022</v>
      </c>
      <c r="L2892" s="17" t="str">
        <f aca="false" t="array" ref="L2892:L2892">IFERROR(INDEX(AC2892:AE2892,IF(COUNTA(AC2892:AE2892)=0,"",MAX((AC2892:AE2892&lt;&gt;"")*(COLUMN(AC2892:AE2892)-(COLUMN(AC2892)-2))))-1),"")</f>
        <v>ARCHIVED</v>
      </c>
      <c r="M2892" s="13" t="n">
        <f aca="true">K2892-TODAY()</f>
        <v>-302</v>
      </c>
      <c r="N2892" s="18" t="s">
        <v>36</v>
      </c>
      <c r="O2892" s="13" t="s">
        <v>12202</v>
      </c>
      <c r="P2892" s="27" t="n">
        <v>5195401</v>
      </c>
      <c r="Q2892" s="47" t="s">
        <v>12203</v>
      </c>
      <c r="R2892" s="13" t="s">
        <v>255</v>
      </c>
      <c r="S2892" s="16" t="n">
        <v>37628</v>
      </c>
      <c r="T2892" s="28" t="s">
        <v>40</v>
      </c>
      <c r="U2892" s="13" t="s">
        <v>12204</v>
      </c>
      <c r="V2892" s="13" t="s">
        <v>42</v>
      </c>
      <c r="W2892" s="13" t="s">
        <v>43</v>
      </c>
      <c r="X2892" s="21" t="n">
        <v>85259058786</v>
      </c>
      <c r="Y2892" s="22" t="str">
        <f aca="false">O2892</f>
        <v>LS P1 - QC &amp; INCOMING</v>
      </c>
      <c r="Z2892" s="13" t="str">
        <f aca="false">IFERROR(__xludf.dummyfunction("if(BJ2892="""","""",GOOGLETRANSLATE(BJ2892,""auto"",""en""))"),"LS P1 - QC &amp; INCOMING")</f>
        <v>LS P1 - QC &amp; INCOMING</v>
      </c>
      <c r="AA2892" s="23" t="str">
        <f aca="false">IF(C2892="","", CHOOSE(MONTH(C2892),"January","February","March","April","May","June","July","August","September","October","November","December")&amp;" "&amp;DAY(C2892)&amp;MID("thstndrdth",MIN(9,2*RIGHT(DAY(C2892))*(MOD(DAY(C2892)-11,100)&gt;2)+1),2)&amp;","&amp;TEXT(C2892," yyyy"))</f>
        <v>November 3rd,2025</v>
      </c>
      <c r="AB2892" s="15" t="str">
        <f aca="true">IF(S2892="","",DATEDIF(S2892,TODAY(),"Y")&amp;" Tahun, "&amp;DATEDIF(S2892,TODAY(),"YM")&amp;" Bulan, "&amp;DATEDIF(S2892,TODAY(),"MD")&amp;" Hari")</f>
        <v>23 Tahun, 9 Bulan, 22 Hari</v>
      </c>
      <c r="AC2892" s="18" t="n">
        <v>45964</v>
      </c>
      <c r="AD2892" s="18" t="n">
        <v>46022</v>
      </c>
      <c r="AE2892" s="13" t="s">
        <v>44</v>
      </c>
    </row>
    <row r="2893" customFormat="false" ht="15" hidden="false" customHeight="true" outlineLevel="0" collapsed="false">
      <c r="A2893" s="12" t="n">
        <v>21309</v>
      </c>
      <c r="B2893" s="13" t="s">
        <v>12205</v>
      </c>
      <c r="C2893" s="16" t="n">
        <v>45965</v>
      </c>
      <c r="D2893" s="13" t="s">
        <v>3022</v>
      </c>
      <c r="E2893" s="15" t="s">
        <v>6819</v>
      </c>
      <c r="F2893" s="15" t="str">
        <f aca="false">IFERROR(__xludf.dummyfunction("XLOOKUP(AJ2893,IMPORTRANGE(""1XaInW9DU9nz21V0tYIfzFQ0He9kVQ_JF2mCXgZ3hqFA"",""REKAP ALL 2026 - Andika!G:G""),IMPORTRANGE(""1XaInW9DU9nz21V0tYIfzFQ0He9kVQ_JF2mCXgZ3hqFA"",""REKAP ALL 2026 - Andika!F:F""),"""",0)"),"25180536903")</f>
        <v>25180536903</v>
      </c>
      <c r="G2893" s="13" t="s">
        <v>1127</v>
      </c>
      <c r="H2893" s="13" t="s">
        <v>3024</v>
      </c>
      <c r="I2893" s="13" t="str">
        <f aca="false">IF(C2893=J2893,"NEW KONTRAK","RE-KONTRAK")</f>
        <v>NEW KONTRAK</v>
      </c>
      <c r="J2893" s="16" t="n">
        <f aca="false" t="array" ref="J2893:J2893">IFERROR(INDEX(AC2893:AE2893,IF(COUNTA(AC2893:AE2893)=0,"",MAX((AC2893:AE2893&lt;&gt;"")*(COLUMN(AC2893:AE2893)-(COLUMN(AC2893)))))-1),"")</f>
        <v>45965</v>
      </c>
      <c r="K2893" s="16" t="n">
        <f aca="false" t="array" ref="K2893:K2893">IFERROR(INDEX(AC2893:AE2893,IF(COUNTA(AC2893:AE2893)=0,"",MAX((AC2893:AE2893&lt;&gt;"")*(COLUMN(AC2893:AE2893)-(COLUMN(AC2893)-1))))-1),"")</f>
        <v>46056</v>
      </c>
      <c r="L2893" s="17" t="str">
        <f aca="false" t="array" ref="L2893:L2893">IFERROR(INDEX(AC2893:AE2893,IF(COUNTA(AC2893:AE2893)=0,"",MAX((AC2893:AE2893&lt;&gt;"")*(COLUMN(AC2893:AE2893)-(COLUMN(AC2893)-2))))-1),"")</f>
        <v>ARCHIVED</v>
      </c>
      <c r="M2893" s="13" t="n">
        <f aca="true">K2893-TODAY()</f>
        <v>-268</v>
      </c>
      <c r="N2893" s="18" t="s">
        <v>36</v>
      </c>
      <c r="O2893" s="13" t="s">
        <v>58</v>
      </c>
      <c r="P2893" s="19" t="n">
        <v>112500</v>
      </c>
      <c r="Q2893" s="47" t="s">
        <v>12206</v>
      </c>
      <c r="R2893" s="13" t="s">
        <v>4779</v>
      </c>
      <c r="S2893" s="16" t="n">
        <v>36672</v>
      </c>
      <c r="T2893" s="13" t="s">
        <v>40</v>
      </c>
      <c r="U2893" s="13" t="s">
        <v>12207</v>
      </c>
      <c r="V2893" s="13" t="s">
        <v>42</v>
      </c>
      <c r="W2893" s="13" t="s">
        <v>43</v>
      </c>
      <c r="X2893" s="21" t="n">
        <v>82248084796</v>
      </c>
      <c r="Y2893" s="22" t="str">
        <f aca="false">O2893</f>
        <v>Produksi</v>
      </c>
      <c r="Z2893" s="13" t="str">
        <f aca="false">IFERROR(__xludf.dummyfunction("if(BJ2893="""","""",GOOGLETRANSLATE(BJ2893,""auto"",""en""))"),"Production")</f>
        <v>Production</v>
      </c>
      <c r="AA2893" s="23" t="str">
        <f aca="false">IF(C2893="","", CHOOSE(MONTH(C2893),"January","February","March","April","May","June","July","August","September","October","November","December")&amp;" "&amp;DAY(C2893)&amp;MID("thstndrdth",MIN(9,2*RIGHT(DAY(C2893))*(MOD(DAY(C2893)-11,100)&gt;2)+1),2)&amp;","&amp;TEXT(C2893," yyyy"))</f>
        <v>November 4th,2025</v>
      </c>
      <c r="AB2893" s="15" t="str">
        <f aca="true">IF(S2893="","",DATEDIF(S2893,TODAY(),"Y")&amp;" Tahun, "&amp;DATEDIF(S2893,TODAY(),"YM")&amp;" Bulan, "&amp;DATEDIF(S2893,TODAY(),"MD")&amp;" Hari")</f>
        <v>26 Tahun, 5 Bulan, 3 Hari</v>
      </c>
      <c r="AC2893" s="18" t="n">
        <v>45965</v>
      </c>
      <c r="AD2893" s="18" t="n">
        <f aca="false">EDATE(AC2893,3)-1</f>
        <v>46056</v>
      </c>
      <c r="AE2893" s="13" t="s">
        <v>44</v>
      </c>
    </row>
    <row r="2894" customFormat="false" ht="15" hidden="false" customHeight="true" outlineLevel="0" collapsed="false">
      <c r="A2894" s="12" t="n">
        <v>21311</v>
      </c>
      <c r="B2894" s="13" t="s">
        <v>12208</v>
      </c>
      <c r="C2894" s="16" t="n">
        <v>45946</v>
      </c>
      <c r="D2894" s="13" t="s">
        <v>2033</v>
      </c>
      <c r="E2894" s="15" t="s">
        <v>102</v>
      </c>
      <c r="F2894" s="15" t="str">
        <f aca="false">IFERROR(__xludf.dummyfunction("XLOOKUP(AJ2894,IMPORTRANGE(""1XaInW9DU9nz21V0tYIfzFQ0He9kVQ_JF2mCXgZ3hqFA"",""REKAP ALL 2026 - Andika!G:G""),IMPORTRANGE(""1XaInW9DU9nz21V0tYIfzFQ0He9kVQ_JF2mCXgZ3hqFA"",""REKAP ALL 2026 - Andika!F:F""),"""",0)"),"25157577799")</f>
        <v>25157577799</v>
      </c>
      <c r="G2894" s="13" t="s">
        <v>1127</v>
      </c>
      <c r="H2894" s="13" t="s">
        <v>35</v>
      </c>
      <c r="I2894" s="13" t="str">
        <f aca="false">IF(C2894=J2894,"NEW KONTRAK","RE-KONTRAK")</f>
        <v>NEW KONTRAK</v>
      </c>
      <c r="J2894" s="16" t="n">
        <f aca="false" t="array" ref="J2894:J2894">IFERROR(INDEX(AC2894:AE2894,IF(COUNTA(AC2894:AE2894)=0,"",MAX((AC2894:AE2894&lt;&gt;"")*(COLUMN(AC2894:AE2894)-(COLUMN(AC2894)))))-1),"")</f>
        <v>45946</v>
      </c>
      <c r="K2894" s="16" t="n">
        <f aca="false" t="array" ref="K2894:K2894">IFERROR(INDEX(AC2894:AE2894,IF(COUNTA(AC2894:AE2894)=0,"",MAX((AC2894:AE2894&lt;&gt;"")*(COLUMN(AC2894:AE2894)-(COLUMN(AC2894)-1))))-1),"")</f>
        <v>46037</v>
      </c>
      <c r="L2894" s="17" t="str">
        <f aca="false" t="array" ref="L2894:L2894">IFERROR(INDEX(AC2894:AE2894,IF(COUNTA(AC2894:AE2894)=0,"",MAX((AC2894:AE2894&lt;&gt;"")*(COLUMN(AC2894:AE2894)-(COLUMN(AC2894)-2))))-1),"")</f>
        <v>ARCHIVED</v>
      </c>
      <c r="M2894" s="13" t="n">
        <f aca="true">K2894-TODAY()</f>
        <v>-287</v>
      </c>
      <c r="N2894" s="18" t="s">
        <v>12209</v>
      </c>
      <c r="O2894" s="13" t="s">
        <v>2037</v>
      </c>
      <c r="P2894" s="19" t="n">
        <v>3855894</v>
      </c>
      <c r="Q2894" s="47" t="s">
        <v>12210</v>
      </c>
      <c r="R2894" s="13" t="s">
        <v>12211</v>
      </c>
      <c r="S2894" s="16" t="n">
        <v>34106</v>
      </c>
      <c r="T2894" s="13" t="s">
        <v>108</v>
      </c>
      <c r="U2894" s="13" t="s">
        <v>12212</v>
      </c>
      <c r="V2894" s="13" t="s">
        <v>42</v>
      </c>
      <c r="W2894" s="13" t="s">
        <v>54</v>
      </c>
      <c r="X2894" s="21" t="n">
        <v>82398452855</v>
      </c>
      <c r="Y2894" s="22" t="str">
        <f aca="false">O2894</f>
        <v>SPG/BA</v>
      </c>
      <c r="Z2894" s="13" t="str">
        <f aca="false">IFERROR(__xludf.dummyfunction("if(BJ2894="""","""",GOOGLETRANSLATE(BJ2894,""auto"",""en""))"),"SPG/BA")</f>
        <v>SPG/BA</v>
      </c>
      <c r="AA2894" s="23" t="str">
        <f aca="false">IF(C2894="","", CHOOSE(MONTH(C2894),"January","February","March","April","May","June","July","August","September","October","November","December")&amp;" "&amp;DAY(C2894)&amp;MID("thstndrdth",MIN(9,2*RIGHT(DAY(C2894))*(MOD(DAY(C2894)-11,100)&gt;2)+1),2)&amp;","&amp;TEXT(C2894," yyyy"))</f>
        <v>October 16th,2025</v>
      </c>
      <c r="AB2894" s="15" t="str">
        <f aca="true">IF(S2894="","",DATEDIF(S2894,TODAY(),"Y")&amp;" Tahun, "&amp;DATEDIF(S2894,TODAY(),"YM")&amp;" Bulan, "&amp;DATEDIF(S2894,TODAY(),"MD")&amp;" Hari")</f>
        <v>33 Tahun, 5 Bulan, 12 Hari</v>
      </c>
      <c r="AC2894" s="18" t="n">
        <v>45946</v>
      </c>
      <c r="AD2894" s="18" t="n">
        <v>46037</v>
      </c>
      <c r="AE2894" s="13" t="s">
        <v>44</v>
      </c>
    </row>
    <row r="2895" customFormat="false" ht="15" hidden="false" customHeight="true" outlineLevel="0" collapsed="false">
      <c r="A2895" s="12" t="n">
        <v>7082</v>
      </c>
      <c r="B2895" s="13" t="s">
        <v>12213</v>
      </c>
      <c r="C2895" s="14" t="n">
        <v>44743</v>
      </c>
      <c r="D2895" s="13" t="s">
        <v>2033</v>
      </c>
      <c r="E2895" s="15" t="s">
        <v>47</v>
      </c>
      <c r="F2895" s="15" t="str">
        <f aca="false">IFERROR(__xludf.dummyfunction("XLOOKUP(AJ2895,IMPORTRANGE(""1XaInW9DU9nz21V0tYIfzFQ0He9kVQ_JF2mCXgZ3hqFA"",""REKAP ALL 2026 - Andika!G:G""),IMPORTRANGE(""1XaInW9DU9nz21V0tYIfzFQ0He9kVQ_JF2mCXgZ3hqFA"",""REKAP ALL 2026 - Andika!F:F""),"""",0)"),"22072567344")</f>
        <v>22072567344</v>
      </c>
      <c r="G2895" s="13" t="s">
        <v>12214</v>
      </c>
      <c r="H2895" s="13" t="s">
        <v>2035</v>
      </c>
      <c r="I2895" s="13" t="str">
        <f aca="false">IF(C2895=J2895,"NEW KONTRAK","RE-KONTRAK")</f>
        <v>RE-KONTRAK</v>
      </c>
      <c r="J2895" s="16" t="n">
        <f aca="false" t="array" ref="J2895:J2895">IFERROR(INDEX(AC2895:AE2895,IF(COUNTA(AC2895:AE2895)=0,"",MAX((AC2895:AE2895&lt;&gt;"")*(COLUMN(AC2895:AE2895)-(COLUMN(AC2895)))))-1),"")</f>
        <v>45744</v>
      </c>
      <c r="K2895" s="16" t="n">
        <f aca="false" t="array" ref="K2895:K2895">IFERROR(INDEX(AC2895:AE2895,IF(COUNTA(AC2895:AE2895)=0,"",MAX((AC2895:AE2895&lt;&gt;"")*(COLUMN(AC2895:AE2895)-(COLUMN(AC2895)-1))))-1),"")</f>
        <v>45915</v>
      </c>
      <c r="L2895" s="17" t="str">
        <f aca="false" t="array" ref="L2895:L2895">IFERROR(INDEX(AC2895:AE2895,IF(COUNTA(AC2895:AE2895)=0,"",MAX((AC2895:AE2895&lt;&gt;"")*(COLUMN(AC2895:AE2895)-(COLUMN(AC2895)-2))))-1),"")</f>
        <v>ARCHIVED</v>
      </c>
      <c r="M2895" s="13" t="n">
        <f aca="true">K2895-TODAY()</f>
        <v>-409</v>
      </c>
      <c r="N2895" s="18" t="s">
        <v>12215</v>
      </c>
      <c r="O2895" s="13" t="s">
        <v>2037</v>
      </c>
      <c r="P2895" s="19" t="n">
        <v>3942963</v>
      </c>
      <c r="Q2895" s="20" t="s">
        <v>12216</v>
      </c>
      <c r="R2895" s="13" t="s">
        <v>2390</v>
      </c>
      <c r="S2895" s="14" t="n">
        <v>28616</v>
      </c>
      <c r="T2895" s="13" t="s">
        <v>108</v>
      </c>
      <c r="U2895" s="13" t="s">
        <v>12217</v>
      </c>
      <c r="V2895" s="13" t="s">
        <v>42</v>
      </c>
      <c r="W2895" s="13" t="s">
        <v>2402</v>
      </c>
      <c r="X2895" s="21" t="n">
        <v>85217588360</v>
      </c>
      <c r="Y2895" s="22" t="str">
        <f aca="false">O2895</f>
        <v>SPG/BA</v>
      </c>
      <c r="Z2895" s="13" t="str">
        <f aca="false">IFERROR(__xludf.dummyfunction("if(BJ2895="""","""",GOOGLETRANSLATE(BJ2895,""auto"",""en""))"),"SPG/BA")</f>
        <v>SPG/BA</v>
      </c>
      <c r="AA2895" s="23" t="str">
        <f aca="false">IF(C2895="","", CHOOSE(MONTH(C2895),"January","February","March","April","May","June","July","August","September","October","November","December")&amp;" "&amp;DAY(C2895)&amp;MID("thstndrdth",MIN(9,2*RIGHT(DAY(C2895))*(MOD(DAY(C2895)-11,100)&gt;2)+1),2)&amp;","&amp;TEXT(C2895," yyyy"))</f>
        <v>July 1st,2022</v>
      </c>
      <c r="AB2895" s="15" t="str">
        <f aca="true">IF(S2895="","",DATEDIF(S2895,TODAY(),"Y")&amp;" Tahun, "&amp;DATEDIF(S2895,TODAY(),"YM")&amp;" Bulan, "&amp;DATEDIF(S2895,TODAY(),"MD")&amp;" Hari")</f>
        <v>48 Tahun, 5 Bulan, 23 Hari</v>
      </c>
      <c r="AC2895" s="18" t="n">
        <v>45744</v>
      </c>
      <c r="AD2895" s="18" t="n">
        <v>45915</v>
      </c>
      <c r="AE2895" s="18" t="s">
        <v>44</v>
      </c>
    </row>
    <row r="2896" customFormat="false" ht="15" hidden="false" customHeight="true" outlineLevel="0" collapsed="false">
      <c r="A2896" s="12" t="n">
        <v>21313</v>
      </c>
      <c r="B2896" s="13" t="s">
        <v>12218</v>
      </c>
      <c r="C2896" s="16" t="n">
        <v>45953</v>
      </c>
      <c r="D2896" s="13" t="s">
        <v>2033</v>
      </c>
      <c r="E2896" s="15" t="s">
        <v>102</v>
      </c>
      <c r="F2896" s="15" t="str">
        <f aca="false">IFERROR(__xludf.dummyfunction("XLOOKUP(AJ2896,IMPORTRANGE(""1XaInW9DU9nz21V0tYIfzFQ0He9kVQ_JF2mCXgZ3hqFA"",""REKAP ALL 2026 - Andika!G:G""),IMPORTRANGE(""1XaInW9DU9nz21V0tYIfzFQ0He9kVQ_JF2mCXgZ3hqFA"",""REKAP ALL 2026 - Andika!F:F""),"""",0)"),"25157577609")</f>
        <v>25157577609</v>
      </c>
      <c r="G2896" s="13" t="s">
        <v>1127</v>
      </c>
      <c r="H2896" s="13" t="s">
        <v>35</v>
      </c>
      <c r="I2896" s="13" t="str">
        <f aca="false">IF(C2896=J2896,"NEW KONTRAK","RE-KONTRAK")</f>
        <v>NEW KONTRAK</v>
      </c>
      <c r="J2896" s="16" t="n">
        <f aca="false" t="array" ref="J2896:J2896">IFERROR(INDEX(AC2896:AE2896,IF(COUNTA(AC2896:AE2896)=0,"",MAX((AC2896:AE2896&lt;&gt;"")*(COLUMN(AC2896:AE2896)-(COLUMN(AC2896)))))-1),"")</f>
        <v>45953</v>
      </c>
      <c r="K2896" s="16" t="n">
        <f aca="false" t="array" ref="K2896:K2896">IFERROR(INDEX(AC2896:AE2896,IF(COUNTA(AC2896:AE2896)=0,"",MAX((AC2896:AE2896&lt;&gt;"")*(COLUMN(AC2896:AE2896)-(COLUMN(AC2896)-1))))-1),"")</f>
        <v>46037</v>
      </c>
      <c r="L2896" s="17" t="str">
        <f aca="false" t="array" ref="L2896:L2896">IFERROR(INDEX(AC2896:AE2896,IF(COUNTA(AC2896:AE2896)=0,"",MAX((AC2896:AE2896&lt;&gt;"")*(COLUMN(AC2896:AE2896)-(COLUMN(AC2896)-2))))-1),"")</f>
        <v>ARCHIVED</v>
      </c>
      <c r="M2896" s="13" t="n">
        <f aca="true">K2896-TODAY()</f>
        <v>-287</v>
      </c>
      <c r="N2896" s="18" t="s">
        <v>10508</v>
      </c>
      <c r="O2896" s="13" t="s">
        <v>2037</v>
      </c>
      <c r="P2896" s="19" t="n">
        <v>3499879</v>
      </c>
      <c r="Q2896" s="47" t="s">
        <v>12219</v>
      </c>
      <c r="R2896" s="13" t="s">
        <v>12220</v>
      </c>
      <c r="S2896" s="16" t="n">
        <v>37633</v>
      </c>
      <c r="T2896" s="13" t="s">
        <v>108</v>
      </c>
      <c r="U2896" s="13" t="s">
        <v>12221</v>
      </c>
      <c r="V2896" s="13" t="s">
        <v>1310</v>
      </c>
      <c r="W2896" s="13" t="s">
        <v>43</v>
      </c>
      <c r="X2896" s="21" t="n">
        <v>81999009566</v>
      </c>
      <c r="Y2896" s="22" t="str">
        <f aca="false">O2896</f>
        <v>SPG/BA</v>
      </c>
      <c r="Z2896" s="13" t="str">
        <f aca="false">IFERROR(__xludf.dummyfunction("if(BJ2896="""","""",GOOGLETRANSLATE(BJ2896,""auto"",""en""))"),"SPG/BA")</f>
        <v>SPG/BA</v>
      </c>
      <c r="AA2896" s="23" t="str">
        <f aca="false">IF(C2896="","", CHOOSE(MONTH(C2896),"January","February","March","April","May","June","July","August","September","October","November","December")&amp;" "&amp;DAY(C2896)&amp;MID("thstndrdth",MIN(9,2*RIGHT(DAY(C2896))*(MOD(DAY(C2896)-11,100)&gt;2)+1),2)&amp;","&amp;TEXT(C2896," yyyy"))</f>
        <v>October 23rd,2025</v>
      </c>
      <c r="AB2896" s="15" t="str">
        <f aca="true">IF(S2896="","",DATEDIF(S2896,TODAY(),"Y")&amp;" Tahun, "&amp;DATEDIF(S2896,TODAY(),"YM")&amp;" Bulan, "&amp;DATEDIF(S2896,TODAY(),"MD")&amp;" Hari")</f>
        <v>23 Tahun, 9 Bulan, 17 Hari</v>
      </c>
      <c r="AC2896" s="18" t="n">
        <v>45953</v>
      </c>
      <c r="AD2896" s="18" t="n">
        <v>46037</v>
      </c>
      <c r="AE2896" s="13" t="s">
        <v>44</v>
      </c>
    </row>
    <row r="2897" customFormat="false" ht="15" hidden="false" customHeight="true" outlineLevel="0" collapsed="false">
      <c r="A2897" s="12" t="n">
        <v>21314</v>
      </c>
      <c r="B2897" s="13" t="s">
        <v>12222</v>
      </c>
      <c r="C2897" s="16" t="n">
        <v>45958</v>
      </c>
      <c r="D2897" s="13" t="s">
        <v>2033</v>
      </c>
      <c r="E2897" s="15" t="s">
        <v>102</v>
      </c>
      <c r="F2897" s="24" t="s">
        <v>12223</v>
      </c>
      <c r="G2897" s="13" t="s">
        <v>1127</v>
      </c>
      <c r="H2897" s="13" t="s">
        <v>35</v>
      </c>
      <c r="I2897" s="13" t="str">
        <f aca="false">IF(C2897=J2897,"NEW KONTRAK","RE-KONTRAK")</f>
        <v>NEW KONTRAK</v>
      </c>
      <c r="J2897" s="16" t="n">
        <f aca="false" t="array" ref="J2897:J2897">IFERROR(INDEX(AC2897:AE2897,IF(COUNTA(AC2897:AE2897)=0,"",MAX((AC2897:AE2897&lt;&gt;"")*(COLUMN(AC2897:AE2897)-(COLUMN(AC2897)))))-1),"")</f>
        <v>45958</v>
      </c>
      <c r="K2897" s="16" t="n">
        <f aca="false" t="array" ref="K2897:K2897">IFERROR(INDEX(AC2897:AE2897,IF(COUNTA(AC2897:AE2897)=0,"",MAX((AC2897:AE2897&lt;&gt;"")*(COLUMN(AC2897:AE2897)-(COLUMN(AC2897)-1))))-1),"")</f>
        <v>46037</v>
      </c>
      <c r="L2897" s="17" t="str">
        <f aca="false" t="array" ref="L2897:L2897">IFERROR(INDEX(AC2897:AE2897,IF(COUNTA(AC2897:AE2897)=0,"",MAX((AC2897:AE2897&lt;&gt;"")*(COLUMN(AC2897:AE2897)-(COLUMN(AC2897)-2))))-1),"")</f>
        <v>ARCHIVED</v>
      </c>
      <c r="M2897" s="13" t="n">
        <f aca="true">K2897-TODAY()</f>
        <v>-287</v>
      </c>
      <c r="N2897" s="18" t="s">
        <v>10508</v>
      </c>
      <c r="O2897" s="13" t="s">
        <v>2037</v>
      </c>
      <c r="P2897" s="19" t="n">
        <v>3298116</v>
      </c>
      <c r="Q2897" s="47" t="s">
        <v>12224</v>
      </c>
      <c r="R2897" s="13" t="s">
        <v>5852</v>
      </c>
      <c r="S2897" s="16" t="n">
        <v>36789</v>
      </c>
      <c r="T2897" s="13" t="s">
        <v>108</v>
      </c>
      <c r="U2897" s="13" t="s">
        <v>12225</v>
      </c>
      <c r="V2897" s="13" t="s">
        <v>1310</v>
      </c>
      <c r="W2897" s="13" t="s">
        <v>43</v>
      </c>
      <c r="X2897" s="21" t="n">
        <v>85847217192</v>
      </c>
      <c r="Y2897" s="22" t="str">
        <f aca="false">O2897</f>
        <v>SPG/BA</v>
      </c>
      <c r="Z2897" s="13" t="str">
        <f aca="false">IFERROR(__xludf.dummyfunction("if(BJ2897="""","""",GOOGLETRANSLATE(BJ2897,""auto"",""en""))"),"SPG/BA")</f>
        <v>SPG/BA</v>
      </c>
      <c r="AA2897" s="23" t="str">
        <f aca="false">IF(C2897="","", CHOOSE(MONTH(C2897),"January","February","March","April","May","June","July","August","September","October","November","December")&amp;" "&amp;DAY(C2897)&amp;MID("thstndrdth",MIN(9,2*RIGHT(DAY(C2897))*(MOD(DAY(C2897)-11,100)&gt;2)+1),2)&amp;","&amp;TEXT(C2897," yyyy"))</f>
        <v>October 28th,2025</v>
      </c>
      <c r="AB2897" s="15" t="str">
        <f aca="true">IF(S2897="","",DATEDIF(S2897,TODAY(),"Y")&amp;" Tahun, "&amp;DATEDIF(S2897,TODAY(),"YM")&amp;" Bulan, "&amp;DATEDIF(S2897,TODAY(),"MD")&amp;" Hari")</f>
        <v>26 Tahun, 1 Bulan, 9 Hari</v>
      </c>
      <c r="AC2897" s="18" t="n">
        <v>45958</v>
      </c>
      <c r="AD2897" s="18" t="n">
        <v>46037</v>
      </c>
      <c r="AE2897" s="13" t="s">
        <v>44</v>
      </c>
    </row>
    <row r="2898" customFormat="false" ht="15" hidden="false" customHeight="true" outlineLevel="0" collapsed="false">
      <c r="A2898" s="12" t="n">
        <v>19227</v>
      </c>
      <c r="B2898" s="13" t="s">
        <v>12226</v>
      </c>
      <c r="C2898" s="16" t="n">
        <v>45724</v>
      </c>
      <c r="D2898" s="13" t="s">
        <v>2033</v>
      </c>
      <c r="E2898" s="15" t="s">
        <v>47</v>
      </c>
      <c r="F2898" s="15" t="str">
        <f aca="false">IFERROR(__xludf.dummyfunction("XLOOKUP(AJ2898,IMPORTRANGE(""1XaInW9DU9nz21V0tYIfzFQ0He9kVQ_JF2mCXgZ3hqFA"",""REKAP ALL 2026 - Andika!G:G""),IMPORTRANGE(""1XaInW9DU9nz21V0tYIfzFQ0He9kVQ_JF2mCXgZ3hqFA"",""REKAP ALL 2026 - Andika!F:F""),"""",0)"),"25047636284")</f>
        <v>25047636284</v>
      </c>
      <c r="G2898" s="13" t="s">
        <v>12227</v>
      </c>
      <c r="H2898" s="13" t="s">
        <v>2035</v>
      </c>
      <c r="I2898" s="13" t="str">
        <f aca="false">IF(C2898=J2898,"NEW KONTRAK","RE-KONTRAK")</f>
        <v>NEW KONTRAK</v>
      </c>
      <c r="J2898" s="16" t="n">
        <f aca="false" t="array" ref="J2898:J2898">IFERROR(INDEX(AC2898:AE2898,IF(COUNTA(AC2898:AE2898)=0,"",MAX((AC2898:AE2898&lt;&gt;"")*(COLUMN(AC2898:AE2898)-(COLUMN(AC2898)))))-1),"")</f>
        <v>45724</v>
      </c>
      <c r="K2898" s="16" t="n">
        <f aca="false" t="array" ref="K2898:K2898">IFERROR(INDEX(AC2898:AE2898,IF(COUNTA(AC2898:AE2898)=0,"",MAX((AC2898:AE2898&lt;&gt;"")*(COLUMN(AC2898:AE2898)-(COLUMN(AC2898)-1))))-1),"")</f>
        <v>45915</v>
      </c>
      <c r="L2898" s="17" t="str">
        <f aca="false" t="array" ref="L2898:L2898">IFERROR(INDEX(AC2898:AE2898,IF(COUNTA(AC2898:AE2898)=0,"",MAX((AC2898:AE2898&lt;&gt;"")*(COLUMN(AC2898:AE2898)-(COLUMN(AC2898)-2))))-1),"")</f>
        <v>ARCHIVED</v>
      </c>
      <c r="M2898" s="13" t="n">
        <f aca="true">K2898-TODAY()</f>
        <v>-409</v>
      </c>
      <c r="N2898" s="18" t="s">
        <v>2356</v>
      </c>
      <c r="O2898" s="13" t="s">
        <v>2357</v>
      </c>
      <c r="P2898" s="19" t="n">
        <v>4148179</v>
      </c>
      <c r="Q2898" s="20" t="s">
        <v>12228</v>
      </c>
      <c r="R2898" s="13" t="s">
        <v>2359</v>
      </c>
      <c r="S2898" s="16" t="n">
        <v>33089</v>
      </c>
      <c r="T2898" s="13" t="s">
        <v>108</v>
      </c>
      <c r="U2898" s="13" t="s">
        <v>12229</v>
      </c>
      <c r="V2898" s="13" t="s">
        <v>42</v>
      </c>
      <c r="W2898" s="13" t="s">
        <v>43</v>
      </c>
      <c r="X2898" s="21" t="n">
        <v>82349497839</v>
      </c>
      <c r="Y2898" s="22" t="str">
        <f aca="false">O2898</f>
        <v>BA Promotor</v>
      </c>
      <c r="Z2898" s="13" t="str">
        <f aca="false">IFERROR(__xludf.dummyfunction("if(BJ2898="""","""",GOOGLETRANSLATE(BJ2898,""auto"",""en""))"),"BA Promoter")</f>
        <v>BA Promoter</v>
      </c>
      <c r="AA2898" s="23" t="str">
        <f aca="false">IF(C2898="","", CHOOSE(MONTH(C2898),"January","February","March","April","May","June","July","August","September","October","November","December")&amp;" "&amp;DAY(C2898)&amp;MID("thstndrdth",MIN(9,2*RIGHT(DAY(C2898))*(MOD(DAY(C2898)-11,100)&gt;2)+1),2)&amp;","&amp;TEXT(C2898," yyyy"))</f>
        <v>March 8th,2025</v>
      </c>
      <c r="AB2898" s="15" t="str">
        <f aca="true">IF(S2898="","",DATEDIF(S2898,TODAY(),"Y")&amp;" Tahun, "&amp;DATEDIF(S2898,TODAY(),"YM")&amp;" Bulan, "&amp;DATEDIF(S2898,TODAY(),"MD")&amp;" Hari")</f>
        <v>36 Tahun, 2 Bulan, 25 Hari</v>
      </c>
      <c r="AC2898" s="18" t="n">
        <v>45724</v>
      </c>
      <c r="AD2898" s="18" t="n">
        <v>45915</v>
      </c>
      <c r="AE2898" s="18" t="s">
        <v>44</v>
      </c>
    </row>
    <row r="2899" customFormat="false" ht="15" hidden="false" customHeight="true" outlineLevel="0" collapsed="false">
      <c r="A2899" s="12" t="n">
        <v>21316</v>
      </c>
      <c r="B2899" s="13" t="s">
        <v>12230</v>
      </c>
      <c r="C2899" s="16" t="n">
        <v>45958</v>
      </c>
      <c r="D2899" s="13" t="s">
        <v>2033</v>
      </c>
      <c r="E2899" s="15" t="s">
        <v>102</v>
      </c>
      <c r="F2899" s="24" t="s">
        <v>12231</v>
      </c>
      <c r="G2899" s="13" t="s">
        <v>1127</v>
      </c>
      <c r="H2899" s="13" t="s">
        <v>35</v>
      </c>
      <c r="I2899" s="13" t="str">
        <f aca="false">IF(C2899=J2899,"NEW KONTRAK","RE-KONTRAK")</f>
        <v>NEW KONTRAK</v>
      </c>
      <c r="J2899" s="16" t="n">
        <f aca="false" t="array" ref="J2899:J2899">IFERROR(INDEX(AC2899:AE2899,IF(COUNTA(AC2899:AE2899)=0,"",MAX((AC2899:AE2899&lt;&gt;"")*(COLUMN(AC2899:AE2899)-(COLUMN(AC2899)))))-1),"")</f>
        <v>45958</v>
      </c>
      <c r="K2899" s="16" t="n">
        <f aca="false" t="array" ref="K2899:K2899">IFERROR(INDEX(AC2899:AE2899,IF(COUNTA(AC2899:AE2899)=0,"",MAX((AC2899:AE2899&lt;&gt;"")*(COLUMN(AC2899:AE2899)-(COLUMN(AC2899)-1))))-1),"")</f>
        <v>46037</v>
      </c>
      <c r="L2899" s="17" t="str">
        <f aca="false" t="array" ref="L2899:L2899">IFERROR(INDEX(AC2899:AE2899,IF(COUNTA(AC2899:AE2899)=0,"",MAX((AC2899:AE2899&lt;&gt;"")*(COLUMN(AC2899:AE2899)-(COLUMN(AC2899)-2))))-1),"")</f>
        <v>ARCHIVED</v>
      </c>
      <c r="M2899" s="13" t="n">
        <f aca="true">K2899-TODAY()</f>
        <v>-287</v>
      </c>
      <c r="N2899" s="18" t="s">
        <v>4903</v>
      </c>
      <c r="O2899" s="13" t="s">
        <v>2037</v>
      </c>
      <c r="P2899" s="19" t="n">
        <v>3024820</v>
      </c>
      <c r="Q2899" s="47" t="s">
        <v>12232</v>
      </c>
      <c r="R2899" s="13" t="s">
        <v>4903</v>
      </c>
      <c r="S2899" s="16" t="n">
        <v>38161</v>
      </c>
      <c r="T2899" s="13" t="s">
        <v>108</v>
      </c>
      <c r="U2899" s="13" t="s">
        <v>12233</v>
      </c>
      <c r="V2899" s="13" t="s">
        <v>42</v>
      </c>
      <c r="W2899" s="13" t="s">
        <v>43</v>
      </c>
      <c r="X2899" s="21" t="n">
        <v>85654694855</v>
      </c>
      <c r="Y2899" s="22" t="str">
        <f aca="false">O2899</f>
        <v>SPG/BA</v>
      </c>
      <c r="Z2899" s="13" t="str">
        <f aca="false">IFERROR(__xludf.dummyfunction("if(BJ2899="""","""",GOOGLETRANSLATE(BJ2899,""auto"",""en""))"),"SPG/BA")</f>
        <v>SPG/BA</v>
      </c>
      <c r="AA2899" s="23" t="str">
        <f aca="false">IF(C2899="","", CHOOSE(MONTH(C2899),"January","February","March","April","May","June","July","August","September","October","November","December")&amp;" "&amp;DAY(C2899)&amp;MID("thstndrdth",MIN(9,2*RIGHT(DAY(C2899))*(MOD(DAY(C2899)-11,100)&gt;2)+1),2)&amp;","&amp;TEXT(C2899," yyyy"))</f>
        <v>October 28th,2025</v>
      </c>
      <c r="AB2899" s="15" t="str">
        <f aca="true">IF(S2899="","",DATEDIF(S2899,TODAY(),"Y")&amp;" Tahun, "&amp;DATEDIF(S2899,TODAY(),"YM")&amp;" Bulan, "&amp;DATEDIF(S2899,TODAY(),"MD")&amp;" Hari")</f>
        <v>22 Tahun, 4 Bulan, 6 Hari</v>
      </c>
      <c r="AC2899" s="18" t="n">
        <v>45958</v>
      </c>
      <c r="AD2899" s="18" t="n">
        <v>46037</v>
      </c>
      <c r="AE2899" s="13" t="s">
        <v>44</v>
      </c>
    </row>
    <row r="2900" customFormat="false" ht="15" hidden="false" customHeight="true" outlineLevel="0" collapsed="false">
      <c r="A2900" s="12" t="n">
        <v>21317</v>
      </c>
      <c r="B2900" s="13" t="s">
        <v>12234</v>
      </c>
      <c r="C2900" s="16" t="n">
        <v>45965</v>
      </c>
      <c r="D2900" s="13" t="s">
        <v>2033</v>
      </c>
      <c r="E2900" s="15" t="s">
        <v>789</v>
      </c>
      <c r="F2900" s="24" t="s">
        <v>12235</v>
      </c>
      <c r="G2900" s="13" t="s">
        <v>1127</v>
      </c>
      <c r="H2900" s="13" t="s">
        <v>35</v>
      </c>
      <c r="I2900" s="13" t="str">
        <f aca="false">IF(C2900=J2900,"NEW KONTRAK","RE-KONTRAK")</f>
        <v>NEW KONTRAK</v>
      </c>
      <c r="J2900" s="16" t="n">
        <f aca="false" t="array" ref="J2900:J2900">IFERROR(INDEX(AC2900:AE2900,IF(COUNTA(AC2900:AE2900)=0,"",MAX((AC2900:AE2900&lt;&gt;"")*(COLUMN(AC2900:AE2900)-(COLUMN(AC2900)))))-1),"")</f>
        <v>45965</v>
      </c>
      <c r="K2900" s="16" t="n">
        <f aca="false" t="array" ref="K2900:K2900">IFERROR(INDEX(AC2900:AE2900,IF(COUNTA(AC2900:AE2900)=0,"",MAX((AC2900:AE2900&lt;&gt;"")*(COLUMN(AC2900:AE2900)-(COLUMN(AC2900)-1))))-1),"")</f>
        <v>46037</v>
      </c>
      <c r="L2900" s="17" t="str">
        <f aca="false" t="array" ref="L2900:L2900">IFERROR(INDEX(AC2900:AE2900,IF(COUNTA(AC2900:AE2900)=0,"",MAX((AC2900:AE2900&lt;&gt;"")*(COLUMN(AC2900:AE2900)-(COLUMN(AC2900)-2))))-1),"")</f>
        <v>ARCHIVED</v>
      </c>
      <c r="M2900" s="13" t="n">
        <f aca="true">K2900-TODAY()</f>
        <v>-287</v>
      </c>
      <c r="N2900" s="18" t="s">
        <v>3895</v>
      </c>
      <c r="O2900" s="13" t="s">
        <v>2037</v>
      </c>
      <c r="P2900" s="19" t="n">
        <v>3496195</v>
      </c>
      <c r="Q2900" s="47" t="s">
        <v>12236</v>
      </c>
      <c r="R2900" s="13" t="s">
        <v>3897</v>
      </c>
      <c r="S2900" s="16" t="n">
        <v>36880</v>
      </c>
      <c r="T2900" s="13" t="s">
        <v>108</v>
      </c>
      <c r="U2900" s="13" t="s">
        <v>12237</v>
      </c>
      <c r="V2900" s="13" t="s">
        <v>42</v>
      </c>
      <c r="W2900" s="13" t="s">
        <v>43</v>
      </c>
      <c r="X2900" s="21" t="n">
        <v>895355522252</v>
      </c>
      <c r="Y2900" s="22" t="str">
        <f aca="false">O2900</f>
        <v>SPG/BA</v>
      </c>
      <c r="Z2900" s="13" t="str">
        <f aca="false">IFERROR(__xludf.dummyfunction("if(BJ2900="""","""",GOOGLETRANSLATE(BJ2900,""auto"",""en""))"),"SPG/BA")</f>
        <v>SPG/BA</v>
      </c>
      <c r="AA2900" s="23" t="str">
        <f aca="false">IF(C2900="","", CHOOSE(MONTH(C2900),"January","February","March","April","May","June","July","August","September","October","November","December")&amp;" "&amp;DAY(C2900)&amp;MID("thstndrdth",MIN(9,2*RIGHT(DAY(C2900))*(MOD(DAY(C2900)-11,100)&gt;2)+1),2)&amp;","&amp;TEXT(C2900," yyyy"))</f>
        <v>November 4th,2025</v>
      </c>
      <c r="AB2900" s="15" t="str">
        <f aca="true">IF(S2900="","",DATEDIF(S2900,TODAY(),"Y")&amp;" Tahun, "&amp;DATEDIF(S2900,TODAY(),"YM")&amp;" Bulan, "&amp;DATEDIF(S2900,TODAY(),"MD")&amp;" Hari")</f>
        <v>25 Tahun, 10 Bulan, 9 Hari</v>
      </c>
      <c r="AC2900" s="18" t="n">
        <v>45965</v>
      </c>
      <c r="AD2900" s="18" t="n">
        <v>46037</v>
      </c>
      <c r="AE2900" s="13" t="s">
        <v>44</v>
      </c>
    </row>
    <row r="2901" customFormat="false" ht="15" hidden="false" customHeight="true" outlineLevel="0" collapsed="false">
      <c r="A2901" s="12" t="n">
        <v>21318</v>
      </c>
      <c r="B2901" s="13" t="s">
        <v>12238</v>
      </c>
      <c r="C2901" s="16" t="n">
        <v>45964</v>
      </c>
      <c r="D2901" s="13" t="s">
        <v>2033</v>
      </c>
      <c r="E2901" s="15" t="s">
        <v>102</v>
      </c>
      <c r="F2901" s="15" t="str">
        <f aca="false">IFERROR(__xludf.dummyfunction("XLOOKUP(AJ2901,IMPORTRANGE(""1XaInW9DU9nz21V0tYIfzFQ0He9kVQ_JF2mCXgZ3hqFA"",""REKAP ALL 2026 - Andika!G:G""),IMPORTRANGE(""1XaInW9DU9nz21V0tYIfzFQ0He9kVQ_JF2mCXgZ3hqFA"",""REKAP ALL 2026 - Andika!F:F""),"""",0)"),"25180535053")</f>
        <v>25180535053</v>
      </c>
      <c r="G2901" s="13" t="s">
        <v>1127</v>
      </c>
      <c r="H2901" s="13" t="s">
        <v>35</v>
      </c>
      <c r="I2901" s="13" t="str">
        <f aca="false">IF(C2901=J2901,"NEW KONTRAK","RE-KONTRAK")</f>
        <v>NEW KONTRAK</v>
      </c>
      <c r="J2901" s="16" t="n">
        <f aca="false" t="array" ref="J2901:J2901">IFERROR(INDEX(AC2901:AE2901,IF(COUNTA(AC2901:AE2901)=0,"",MAX((AC2901:AE2901&lt;&gt;"")*(COLUMN(AC2901:AE2901)-(COLUMN(AC2901)))))-1),"")</f>
        <v>45964</v>
      </c>
      <c r="K2901" s="16" t="n">
        <f aca="false" t="array" ref="K2901:K2901">IFERROR(INDEX(AC2901:AE2901,IF(COUNTA(AC2901:AE2901)=0,"",MAX((AC2901:AE2901&lt;&gt;"")*(COLUMN(AC2901:AE2901)-(COLUMN(AC2901)-1))))-1),"")</f>
        <v>46037</v>
      </c>
      <c r="L2901" s="17" t="str">
        <f aca="false" t="array" ref="L2901:L2901">IFERROR(INDEX(AC2901:AE2901,IF(COUNTA(AC2901:AE2901)=0,"",MAX((AC2901:AE2901&lt;&gt;"")*(COLUMN(AC2901:AE2901)-(COLUMN(AC2901)-2))))-1),"")</f>
        <v>ARCHIVED</v>
      </c>
      <c r="M2901" s="13" t="n">
        <f aca="true">K2901-TODAY()</f>
        <v>-287</v>
      </c>
      <c r="N2901" s="18" t="s">
        <v>3705</v>
      </c>
      <c r="O2901" s="13" t="s">
        <v>2037</v>
      </c>
      <c r="P2901" s="19" t="n">
        <v>2756501</v>
      </c>
      <c r="Q2901" s="47" t="s">
        <v>12239</v>
      </c>
      <c r="R2901" s="13" t="s">
        <v>3705</v>
      </c>
      <c r="S2901" s="16" t="n">
        <v>38717</v>
      </c>
      <c r="T2901" s="13" t="s">
        <v>108</v>
      </c>
      <c r="U2901" s="13" t="s">
        <v>12240</v>
      </c>
      <c r="V2901" s="13" t="s">
        <v>42</v>
      </c>
      <c r="W2901" s="13" t="s">
        <v>43</v>
      </c>
      <c r="X2901" s="21" t="n">
        <v>85742157886</v>
      </c>
      <c r="Y2901" s="22" t="str">
        <f aca="false">O2901</f>
        <v>SPG/BA</v>
      </c>
      <c r="Z2901" s="13" t="str">
        <f aca="false">IFERROR(__xludf.dummyfunction("if(BJ2901="""","""",GOOGLETRANSLATE(BJ2901,""auto"",""en""))"),"SPG/BA")</f>
        <v>SPG/BA</v>
      </c>
      <c r="AA2901" s="23" t="str">
        <f aca="false">IF(C2901="","", CHOOSE(MONTH(C2901),"January","February","March","April","May","June","July","August","September","October","November","December")&amp;" "&amp;DAY(C2901)&amp;MID("thstndrdth",MIN(9,2*RIGHT(DAY(C2901))*(MOD(DAY(C2901)-11,100)&gt;2)+1),2)&amp;","&amp;TEXT(C2901," yyyy"))</f>
        <v>November 3rd,2025</v>
      </c>
      <c r="AB2901" s="15" t="str">
        <f aca="true">IF(S2901="","",DATEDIF(S2901,TODAY(),"Y")&amp;" Tahun, "&amp;DATEDIF(S2901,TODAY(),"YM")&amp;" Bulan, "&amp;DATEDIF(S2901,TODAY(),"MD")&amp;" Hari")</f>
        <v>20 Tahun, 9 Bulan, 28 Hari</v>
      </c>
      <c r="AC2901" s="18" t="n">
        <v>45964</v>
      </c>
      <c r="AD2901" s="18" t="n">
        <v>46037</v>
      </c>
      <c r="AE2901" s="13" t="s">
        <v>44</v>
      </c>
    </row>
    <row r="2902" customFormat="false" ht="15" hidden="false" customHeight="true" outlineLevel="0" collapsed="false">
      <c r="A2902" s="12" t="n">
        <v>21319</v>
      </c>
      <c r="B2902" s="13" t="s">
        <v>12241</v>
      </c>
      <c r="C2902" s="16" t="n">
        <v>45964</v>
      </c>
      <c r="D2902" s="13" t="s">
        <v>2033</v>
      </c>
      <c r="E2902" s="15" t="s">
        <v>102</v>
      </c>
      <c r="F2902" s="24" t="s">
        <v>12242</v>
      </c>
      <c r="G2902" s="13" t="s">
        <v>1127</v>
      </c>
      <c r="H2902" s="13" t="s">
        <v>35</v>
      </c>
      <c r="I2902" s="13" t="str">
        <f aca="false">IF(C2902=J2902,"NEW KONTRAK","RE-KONTRAK")</f>
        <v>NEW KONTRAK</v>
      </c>
      <c r="J2902" s="16" t="n">
        <f aca="false" t="array" ref="J2902:J2902">IFERROR(INDEX(AC2902:AE2902,IF(COUNTA(AC2902:AE2902)=0,"",MAX((AC2902:AE2902&lt;&gt;"")*(COLUMN(AC2902:AE2902)-(COLUMN(AC2902)))))-1),"")</f>
        <v>45964</v>
      </c>
      <c r="K2902" s="16" t="n">
        <f aca="false" t="array" ref="K2902:K2902">IFERROR(INDEX(AC2902:AE2902,IF(COUNTA(AC2902:AE2902)=0,"",MAX((AC2902:AE2902&lt;&gt;"")*(COLUMN(AC2902:AE2902)-(COLUMN(AC2902)-1))))-1),"")</f>
        <v>46037</v>
      </c>
      <c r="L2902" s="17" t="str">
        <f aca="false" t="array" ref="L2902:L2902">IFERROR(INDEX(AC2902:AE2902,IF(COUNTA(AC2902:AE2902)=0,"",MAX((AC2902:AE2902&lt;&gt;"")*(COLUMN(AC2902:AE2902)-(COLUMN(AC2902)-2))))-1),"")</f>
        <v>ARCHIVED</v>
      </c>
      <c r="M2902" s="13" t="n">
        <f aca="true">K2902-TODAY()</f>
        <v>-287</v>
      </c>
      <c r="N2902" s="18" t="s">
        <v>5322</v>
      </c>
      <c r="O2902" s="13" t="s">
        <v>2037</v>
      </c>
      <c r="P2902" s="19" t="n">
        <v>3685616</v>
      </c>
      <c r="Q2902" s="47" t="s">
        <v>12243</v>
      </c>
      <c r="R2902" s="13" t="s">
        <v>4795</v>
      </c>
      <c r="S2902" s="16" t="n">
        <v>36723</v>
      </c>
      <c r="T2902" s="13" t="s">
        <v>108</v>
      </c>
      <c r="U2902" s="13" t="s">
        <v>12244</v>
      </c>
      <c r="V2902" s="13" t="s">
        <v>42</v>
      </c>
      <c r="W2902" s="13" t="s">
        <v>43</v>
      </c>
      <c r="X2902" s="21" t="n">
        <v>82267596419</v>
      </c>
      <c r="Y2902" s="22" t="str">
        <f aca="false">O2902</f>
        <v>SPG/BA</v>
      </c>
      <c r="Z2902" s="13" t="str">
        <f aca="false">IFERROR(__xludf.dummyfunction("if(BJ2902="""","""",GOOGLETRANSLATE(BJ2902,""auto"",""en""))"),"SPG/BA")</f>
        <v>SPG/BA</v>
      </c>
      <c r="AA2902" s="23" t="str">
        <f aca="false">IF(C2902="","", CHOOSE(MONTH(C2902),"January","February","March","April","May","June","July","August","September","October","November","December")&amp;" "&amp;DAY(C2902)&amp;MID("thstndrdth",MIN(9,2*RIGHT(DAY(C2902))*(MOD(DAY(C2902)-11,100)&gt;2)+1),2)&amp;","&amp;TEXT(C2902," yyyy"))</f>
        <v>November 3rd,2025</v>
      </c>
      <c r="AB2902" s="15" t="str">
        <f aca="true">IF(S2902="","",DATEDIF(S2902,TODAY(),"Y")&amp;" Tahun, "&amp;DATEDIF(S2902,TODAY(),"YM")&amp;" Bulan, "&amp;DATEDIF(S2902,TODAY(),"MD")&amp;" Hari")</f>
        <v>26 Tahun, 3 Bulan, 13 Hari</v>
      </c>
      <c r="AC2902" s="18" t="n">
        <v>45964</v>
      </c>
      <c r="AD2902" s="18" t="n">
        <v>46037</v>
      </c>
      <c r="AE2902" s="13" t="s">
        <v>44</v>
      </c>
    </row>
    <row r="2903" customFormat="false" ht="15" hidden="false" customHeight="true" outlineLevel="0" collapsed="false">
      <c r="A2903" s="12" t="n">
        <v>3052</v>
      </c>
      <c r="B2903" s="13" t="s">
        <v>12245</v>
      </c>
      <c r="C2903" s="14" t="n">
        <v>44287</v>
      </c>
      <c r="D2903" s="13" t="s">
        <v>2033</v>
      </c>
      <c r="E2903" s="15" t="s">
        <v>47</v>
      </c>
      <c r="F2903" s="15" t="str">
        <f aca="false">IFERROR(__xludf.dummyfunction("XLOOKUP(AJ2903,IMPORTRANGE(""1XaInW9DU9nz21V0tYIfzFQ0He9kVQ_JF2mCXgZ3hqFA"",""REKAP ALL 2026 - Andika!G:G""),IMPORTRANGE(""1XaInW9DU9nz21V0tYIfzFQ0He9kVQ_JF2mCXgZ3hqFA"",""REKAP ALL 2026 - Andika!F:F""),"""",0)"),"11017741296")</f>
        <v>11017741296</v>
      </c>
      <c r="G2903" s="13" t="s">
        <v>12246</v>
      </c>
      <c r="H2903" s="13" t="s">
        <v>2035</v>
      </c>
      <c r="I2903" s="13" t="str">
        <f aca="false">IF(C2903=J2903,"NEW KONTRAK","RE-KONTRAK")</f>
        <v>RE-KONTRAK</v>
      </c>
      <c r="J2903" s="16" t="n">
        <f aca="false" t="array" ref="J2903:J2903">IFERROR(INDEX(AC2903:AE2903,IF(COUNTA(AC2903:AE2903)=0,"",MAX((AC2903:AE2903&lt;&gt;"")*(COLUMN(AC2903:AE2903)-(COLUMN(AC2903)))))-1),"")</f>
        <v>45744</v>
      </c>
      <c r="K2903" s="16" t="n">
        <f aca="false" t="array" ref="K2903:K2903">IFERROR(INDEX(AC2903:AE2903,IF(COUNTA(AC2903:AE2903)=0,"",MAX((AC2903:AE2903&lt;&gt;"")*(COLUMN(AC2903:AE2903)-(COLUMN(AC2903)-1))))-1),"")</f>
        <v>45915</v>
      </c>
      <c r="L2903" s="17" t="str">
        <f aca="false" t="array" ref="L2903:L2903">IFERROR(INDEX(AC2903:AE2903,IF(COUNTA(AC2903:AE2903)=0,"",MAX((AC2903:AE2903&lt;&gt;"")*(COLUMN(AC2903:AE2903)-(COLUMN(AC2903)-2))))-1),"")</f>
        <v>ARCHIVED</v>
      </c>
      <c r="M2903" s="13" t="n">
        <f aca="true">K2903-TODAY()</f>
        <v>-409</v>
      </c>
      <c r="N2903" s="18" t="s">
        <v>2363</v>
      </c>
      <c r="O2903" s="13" t="s">
        <v>2037</v>
      </c>
      <c r="P2903" s="19" t="n">
        <v>4335198</v>
      </c>
      <c r="Q2903" s="20" t="s">
        <v>12247</v>
      </c>
      <c r="R2903" s="13" t="s">
        <v>2363</v>
      </c>
      <c r="S2903" s="14" t="n">
        <v>32632</v>
      </c>
      <c r="T2903" s="13" t="s">
        <v>108</v>
      </c>
      <c r="U2903" s="13" t="s">
        <v>12248</v>
      </c>
      <c r="V2903" s="13" t="s">
        <v>42</v>
      </c>
      <c r="W2903" s="13" t="s">
        <v>54</v>
      </c>
      <c r="X2903" s="21" t="n">
        <v>81378198965</v>
      </c>
      <c r="Y2903" s="22" t="str">
        <f aca="false">O2903</f>
        <v>SPG/BA</v>
      </c>
      <c r="Z2903" s="13" t="str">
        <f aca="false">IFERROR(__xludf.dummyfunction("if(BJ2903="""","""",GOOGLETRANSLATE(BJ2903,""auto"",""en""))"),"SPG/BA")</f>
        <v>SPG/BA</v>
      </c>
      <c r="AA2903" s="23" t="str">
        <f aca="false">IF(C2903="","", CHOOSE(MONTH(C2903),"January","February","March","April","May","June","July","August","September","October","November","December")&amp;" "&amp;DAY(C2903)&amp;MID("thstndrdth",MIN(9,2*RIGHT(DAY(C2903))*(MOD(DAY(C2903)-11,100)&gt;2)+1),2)&amp;","&amp;TEXT(C2903," yyyy"))</f>
        <v>April 1st,2021</v>
      </c>
      <c r="AB2903" s="15" t="str">
        <f aca="true">IF(S2903="","",DATEDIF(S2903,TODAY(),"Y")&amp;" Tahun, "&amp;DATEDIF(S2903,TODAY(),"YM")&amp;" Bulan, "&amp;DATEDIF(S2903,TODAY(),"MD")&amp;" Hari")</f>
        <v>37 Tahun, 5 Bulan, 25 Hari</v>
      </c>
      <c r="AC2903" s="18" t="n">
        <v>45744</v>
      </c>
      <c r="AD2903" s="18" t="n">
        <v>45915</v>
      </c>
      <c r="AE2903" s="18" t="s">
        <v>44</v>
      </c>
    </row>
    <row r="2904" customFormat="false" ht="15" hidden="false" customHeight="true" outlineLevel="0" collapsed="false">
      <c r="A2904" s="12" t="n">
        <v>21321</v>
      </c>
      <c r="B2904" s="13" t="s">
        <v>12249</v>
      </c>
      <c r="C2904" s="16" t="n">
        <v>45966</v>
      </c>
      <c r="D2904" s="13" t="s">
        <v>2033</v>
      </c>
      <c r="E2904" s="15" t="s">
        <v>33</v>
      </c>
      <c r="F2904" s="24" t="s">
        <v>12250</v>
      </c>
      <c r="G2904" s="13" t="s">
        <v>1127</v>
      </c>
      <c r="H2904" s="13" t="s">
        <v>35</v>
      </c>
      <c r="I2904" s="13" t="str">
        <f aca="false">IF(C2904=J2904,"NEW KONTRAK","RE-KONTRAK")</f>
        <v>NEW KONTRAK</v>
      </c>
      <c r="J2904" s="16" t="n">
        <f aca="false" t="array" ref="J2904:J2904">IFERROR(INDEX(AC2904:AE2904,IF(COUNTA(AC2904:AE2904)=0,"",MAX((AC2904:AE2904&lt;&gt;"")*(COLUMN(AC2904:AE2904)-(COLUMN(AC2904)))))-1),"")</f>
        <v>45966</v>
      </c>
      <c r="K2904" s="16" t="n">
        <f aca="false" t="array" ref="K2904:K2904">IFERROR(INDEX(AC2904:AE2904,IF(COUNTA(AC2904:AE2904)=0,"",MAX((AC2904:AE2904&lt;&gt;"")*(COLUMN(AC2904:AE2904)-(COLUMN(AC2904)-1))))-1),"")</f>
        <v>46037</v>
      </c>
      <c r="L2904" s="17" t="str">
        <f aca="false" t="array" ref="L2904:L2904">IFERROR(INDEX(AC2904:AE2904,IF(COUNTA(AC2904:AE2904)=0,"",MAX((AC2904:AE2904&lt;&gt;"")*(COLUMN(AC2904:AE2904)-(COLUMN(AC2904)-2))))-1),"")</f>
        <v>ARCHIVED</v>
      </c>
      <c r="M2904" s="13" t="n">
        <f aca="true">K2904-TODAY()</f>
        <v>-287</v>
      </c>
      <c r="N2904" s="18" t="s">
        <v>4779</v>
      </c>
      <c r="O2904" s="13" t="s">
        <v>2037</v>
      </c>
      <c r="P2904" s="19" t="n">
        <v>2332350</v>
      </c>
      <c r="Q2904" s="47" t="s">
        <v>12251</v>
      </c>
      <c r="R2904" s="13" t="s">
        <v>3703</v>
      </c>
      <c r="S2904" s="16" t="n">
        <v>35291</v>
      </c>
      <c r="T2904" s="13" t="s">
        <v>108</v>
      </c>
      <c r="U2904" s="13" t="s">
        <v>12252</v>
      </c>
      <c r="V2904" s="13" t="s">
        <v>42</v>
      </c>
      <c r="W2904" s="13" t="s">
        <v>54</v>
      </c>
      <c r="X2904" s="21" t="n">
        <v>895342384488</v>
      </c>
      <c r="Y2904" s="22" t="str">
        <f aca="false">O2904</f>
        <v>SPG/BA</v>
      </c>
      <c r="Z2904" s="13" t="str">
        <f aca="false">IFERROR(__xludf.dummyfunction("if(BJ2904="""","""",GOOGLETRANSLATE(BJ2904,""auto"",""en""))"),"SPG/BA")</f>
        <v>SPG/BA</v>
      </c>
      <c r="AA2904" s="23" t="str">
        <f aca="false">IF(C2904="","", CHOOSE(MONTH(C2904),"January","February","March","April","May","June","July","August","September","October","November","December")&amp;" "&amp;DAY(C2904)&amp;MID("thstndrdth",MIN(9,2*RIGHT(DAY(C2904))*(MOD(DAY(C2904)-11,100)&gt;2)+1),2)&amp;","&amp;TEXT(C2904," yyyy"))</f>
        <v>November 5th,2025</v>
      </c>
      <c r="AB2904" s="15" t="str">
        <f aca="true">IF(S2904="","",DATEDIF(S2904,TODAY(),"Y")&amp;" Tahun, "&amp;DATEDIF(S2904,TODAY(),"YM")&amp;" Bulan, "&amp;DATEDIF(S2904,TODAY(),"MD")&amp;" Hari")</f>
        <v>30 Tahun, 2 Bulan, 15 Hari</v>
      </c>
      <c r="AC2904" s="18" t="n">
        <v>45966</v>
      </c>
      <c r="AD2904" s="18" t="n">
        <v>46037</v>
      </c>
      <c r="AE2904" s="13" t="s">
        <v>44</v>
      </c>
    </row>
    <row r="2905" customFormat="false" ht="15" hidden="false" customHeight="true" outlineLevel="0" collapsed="false">
      <c r="A2905" s="12" t="n">
        <v>22901</v>
      </c>
      <c r="B2905" s="13" t="s">
        <v>12253</v>
      </c>
      <c r="C2905" s="14" t="n">
        <v>46266</v>
      </c>
      <c r="D2905" s="13" t="s">
        <v>2033</v>
      </c>
      <c r="E2905" s="13" t="s">
        <v>47</v>
      </c>
      <c r="F2905" s="24" t="s">
        <v>12254</v>
      </c>
      <c r="G2905" s="13" t="s">
        <v>1452</v>
      </c>
      <c r="H2905" s="13" t="s">
        <v>35</v>
      </c>
      <c r="I2905" s="13" t="str">
        <f aca="false">IF(C2905=J2905,"NEW KONTRAK","RE-KONTRAK")</f>
        <v>NEW KONTRAK</v>
      </c>
      <c r="J2905" s="16" t="n">
        <f aca="false" t="array" ref="J2905:J2905">IFERROR(INDEX(AC2905:AE2905,IF(COUNTA(AC2905:AE2905)=0,"",MAX((AC2905:AE2905&lt;&gt;"")*(COLUMN(AC2905:AE2905)-(COLUMN(AC2905)))))-1),"")</f>
        <v>46266</v>
      </c>
      <c r="K2905" s="16" t="n">
        <f aca="false" t="array" ref="K2905:K2905">IFERROR(INDEX(AC2905:AE2905,IF(COUNTA(AC2905:AE2905)=0,"",MAX((AC2905:AE2905&lt;&gt;"")*(COLUMN(AC2905:AE2905)-(COLUMN(AC2905)-1))))-1),"")</f>
        <v>46402</v>
      </c>
      <c r="L2905" s="17" t="str">
        <f aca="false" t="array" ref="L2905:L2905">IFERROR(INDEX(AC2905:AE2905,IF(COUNTA(AC2905:AE2905)=0,"",MAX((AC2905:AE2905&lt;&gt;"")*(COLUMN(AC2905:AE2905)-(COLUMN(AC2905)-2))))-1),"")</f>
        <v>KEMBALI ONLINE</v>
      </c>
      <c r="M2905" s="13" t="n">
        <f aca="true">K2905-TODAY()</f>
        <v>78</v>
      </c>
      <c r="N2905" s="13" t="s">
        <v>2363</v>
      </c>
      <c r="O2905" s="13" t="s">
        <v>2384</v>
      </c>
      <c r="P2905" s="26" t="n">
        <v>4335198</v>
      </c>
      <c r="Q2905" s="20" t="s">
        <v>12255</v>
      </c>
      <c r="R2905" s="13" t="s">
        <v>2363</v>
      </c>
      <c r="S2905" s="25" t="n">
        <v>38803</v>
      </c>
      <c r="T2905" s="13" t="s">
        <v>108</v>
      </c>
      <c r="U2905" s="13" t="s">
        <v>12256</v>
      </c>
      <c r="V2905" s="13" t="s">
        <v>42</v>
      </c>
      <c r="W2905" s="13" t="s">
        <v>43</v>
      </c>
      <c r="X2905" s="21" t="n">
        <v>89652494649</v>
      </c>
      <c r="Y2905" s="22" t="str">
        <f aca="false">O2905</f>
        <v>SPG</v>
      </c>
      <c r="Z2905" s="13" t="str">
        <f aca="false">IFERROR(__xludf.dummyfunction("if(BJ2905="""","""",GOOGLETRANSLATE(BJ2905,""auto"",""en""))"),"SPG")</f>
        <v>SPG</v>
      </c>
      <c r="AA2905" s="23" t="str">
        <f aca="false">IF(C2905="","", CHOOSE(MONTH(C2905),"January","February","March","April","May","June","July","August","September","October","November","December")&amp;" "&amp;DAY(C2905)&amp;MID("thstndrdth",MIN(9,2*RIGHT(DAY(C2905))*(MOD(DAY(C2905)-11,100)&gt;2)+1),2)&amp;","&amp;TEXT(C2905," yyyy"))</f>
        <v>September 1st,2026</v>
      </c>
      <c r="AB2905" s="15" t="str">
        <f aca="true">IF(S2905="","",DATEDIF(S2905,TODAY(),"Y")&amp;" Tahun, "&amp;DATEDIF(S2905,TODAY(),"YM")&amp;" Bulan, "&amp;DATEDIF(S2905,TODAY(),"MD")&amp;" Hari")</f>
        <v>20 Tahun, 7 Bulan, 2 Hari</v>
      </c>
      <c r="AC2905" s="14" t="n">
        <v>46266</v>
      </c>
      <c r="AD2905" s="18" t="n">
        <v>46402</v>
      </c>
      <c r="AE2905" s="13" t="s">
        <v>2387</v>
      </c>
    </row>
    <row r="2906" customFormat="false" ht="15" hidden="false" customHeight="true" outlineLevel="0" collapsed="false">
      <c r="A2906" s="12" t="n">
        <v>21335</v>
      </c>
      <c r="B2906" s="13" t="s">
        <v>12257</v>
      </c>
      <c r="C2906" s="16" t="n">
        <v>45971</v>
      </c>
      <c r="D2906" s="13" t="s">
        <v>10058</v>
      </c>
      <c r="E2906" s="15" t="s">
        <v>102</v>
      </c>
      <c r="F2906" s="24" t="s">
        <v>12258</v>
      </c>
      <c r="G2906" s="13" t="s">
        <v>1127</v>
      </c>
      <c r="H2906" s="13" t="s">
        <v>3024</v>
      </c>
      <c r="I2906" s="13" t="str">
        <f aca="false">IF(C2906=J2906,"NEW KONTRAK","RE-KONTRAK")</f>
        <v>NEW KONTRAK</v>
      </c>
      <c r="J2906" s="16" t="n">
        <f aca="false" t="array" ref="J2906:J2906">IFERROR(INDEX(AC2906:AE2906,IF(COUNTA(AC2906:AE2906)=0,"",MAX((AC2906:AE2906&lt;&gt;"")*(COLUMN(AC2906:AE2906)-(COLUMN(AC2906)))))-1),"")</f>
        <v>45971</v>
      </c>
      <c r="K2906" s="16" t="n">
        <f aca="false" t="array" ref="K2906:K2906">IFERROR(INDEX(AC2906:AE2906,IF(COUNTA(AC2906:AE2906)=0,"",MAX((AC2906:AE2906&lt;&gt;"")*(COLUMN(AC2906:AE2906)-(COLUMN(AC2906)-1))))-1),"")</f>
        <v>46036</v>
      </c>
      <c r="L2906" s="17" t="str">
        <f aca="false" t="array" ref="L2906:L2906">IFERROR(INDEX(AC2906:AE2906,IF(COUNTA(AC2906:AE2906)=0,"",MAX((AC2906:AE2906&lt;&gt;"")*(COLUMN(AC2906:AE2906)-(COLUMN(AC2906)-2))))-1),"")</f>
        <v>ARCHIVED</v>
      </c>
      <c r="M2906" s="13" t="n">
        <f aca="true">K2906-TODAY()</f>
        <v>-288</v>
      </c>
      <c r="N2906" s="18" t="s">
        <v>105</v>
      </c>
      <c r="O2906" s="13" t="s">
        <v>10059</v>
      </c>
      <c r="P2906" s="19" t="n">
        <v>132300</v>
      </c>
      <c r="Q2906" s="47" t="s">
        <v>12259</v>
      </c>
      <c r="R2906" s="13" t="s">
        <v>39</v>
      </c>
      <c r="S2906" s="16" t="n">
        <v>38566</v>
      </c>
      <c r="T2906" s="13" t="s">
        <v>108</v>
      </c>
      <c r="U2906" s="13" t="s">
        <v>12260</v>
      </c>
      <c r="V2906" s="13" t="s">
        <v>42</v>
      </c>
      <c r="W2906" s="13" t="s">
        <v>43</v>
      </c>
      <c r="X2906" s="21" t="n">
        <v>81233798226</v>
      </c>
      <c r="Y2906" s="22" t="str">
        <f aca="false">O2906</f>
        <v>Harian Lepas E-Commerce</v>
      </c>
      <c r="Z2906" s="13" t="str">
        <f aca="false">IFERROR(__xludf.dummyfunction("if(BJ2906="""","""",GOOGLETRANSLATE(BJ2906,""auto"",""en""))"),"Daily Post E-Commerce")</f>
        <v>Daily Post E-Commerce</v>
      </c>
      <c r="AA2906" s="23" t="str">
        <f aca="false">IF(C2906="","", CHOOSE(MONTH(C2906),"January","February","March","April","May","June","July","August","September","October","November","December")&amp;" "&amp;DAY(C2906)&amp;MID("thstndrdth",MIN(9,2*RIGHT(DAY(C2906))*(MOD(DAY(C2906)-11,100)&gt;2)+1),2)&amp;","&amp;TEXT(C2906," yyyy"))</f>
        <v>November 10th,2025</v>
      </c>
      <c r="AB2906" s="15" t="str">
        <f aca="true">IF(S2906="","",DATEDIF(S2906,TODAY(),"Y")&amp;" Tahun, "&amp;DATEDIF(S2906,TODAY(),"YM")&amp;" Bulan, "&amp;DATEDIF(S2906,TODAY(),"MD")&amp;" Hari")</f>
        <v>21 Tahun, 2 Bulan, 27 Hari</v>
      </c>
      <c r="AC2906" s="18" t="n">
        <v>45971</v>
      </c>
      <c r="AD2906" s="18" t="n">
        <v>46036</v>
      </c>
      <c r="AE2906" s="13" t="s">
        <v>44</v>
      </c>
    </row>
    <row r="2907" customFormat="false" ht="15" hidden="false" customHeight="true" outlineLevel="0" collapsed="false">
      <c r="A2907" s="12" t="n">
        <v>21337</v>
      </c>
      <c r="B2907" s="13" t="s">
        <v>12261</v>
      </c>
      <c r="C2907" s="16" t="n">
        <v>45971</v>
      </c>
      <c r="D2907" s="13" t="s">
        <v>10058</v>
      </c>
      <c r="E2907" s="15" t="s">
        <v>102</v>
      </c>
      <c r="F2907" s="15" t="str">
        <f aca="false">IFERROR(__xludf.dummyfunction("XLOOKUP(AJ2907,IMPORTRANGE(""1XaInW9DU9nz21V0tYIfzFQ0He9kVQ_JF2mCXgZ3hqFA"",""REKAP ALL 2026 - Andika!G:G""),IMPORTRANGE(""1XaInW9DU9nz21V0tYIfzFQ0He9kVQ_JF2mCXgZ3hqFA"",""REKAP ALL 2026 - Andika!F:F""),"""",0)"),"26062985572")</f>
        <v>26062985572</v>
      </c>
      <c r="G2907" s="13" t="s">
        <v>1127</v>
      </c>
      <c r="H2907" s="13" t="s">
        <v>3024</v>
      </c>
      <c r="I2907" s="13" t="str">
        <f aca="false">IF(C2907=J2907,"NEW KONTRAK","RE-KONTRAK")</f>
        <v>NEW KONTRAK</v>
      </c>
      <c r="J2907" s="16" t="n">
        <f aca="false" t="array" ref="J2907:J2907">IFERROR(INDEX(AC2907:AE2907,IF(COUNTA(AC2907:AE2907)=0,"",MAX((AC2907:AE2907&lt;&gt;"")*(COLUMN(AC2907:AE2907)-(COLUMN(AC2907)))))-1),"")</f>
        <v>45971</v>
      </c>
      <c r="K2907" s="16" t="n">
        <f aca="false" t="array" ref="K2907:K2907">IFERROR(INDEX(AC2907:AE2907,IF(COUNTA(AC2907:AE2907)=0,"",MAX((AC2907:AE2907&lt;&gt;"")*(COLUMN(AC2907:AE2907)-(COLUMN(AC2907)-1))))-1),"")</f>
        <v>46036</v>
      </c>
      <c r="L2907" s="17" t="str">
        <f aca="false" t="array" ref="L2907:L2907">IFERROR(INDEX(AC2907:AE2907,IF(COUNTA(AC2907:AE2907)=0,"",MAX((AC2907:AE2907&lt;&gt;"")*(COLUMN(AC2907:AE2907)-(COLUMN(AC2907)-2))))-1),"")</f>
        <v>ARCHIVED</v>
      </c>
      <c r="M2907" s="13" t="n">
        <f aca="true">K2907-TODAY()</f>
        <v>-288</v>
      </c>
      <c r="N2907" s="18" t="s">
        <v>105</v>
      </c>
      <c r="O2907" s="13" t="s">
        <v>10059</v>
      </c>
      <c r="P2907" s="19" t="n">
        <v>132300</v>
      </c>
      <c r="Q2907" s="47" t="s">
        <v>12262</v>
      </c>
      <c r="R2907" s="13" t="s">
        <v>52</v>
      </c>
      <c r="S2907" s="16" t="n">
        <v>36554</v>
      </c>
      <c r="T2907" s="13" t="s">
        <v>108</v>
      </c>
      <c r="U2907" s="13" t="s">
        <v>12263</v>
      </c>
      <c r="V2907" s="13" t="s">
        <v>42</v>
      </c>
      <c r="W2907" s="13" t="s">
        <v>54</v>
      </c>
      <c r="X2907" s="21" t="n">
        <v>85739118909</v>
      </c>
      <c r="Y2907" s="22" t="str">
        <f aca="false">O2907</f>
        <v>Harian Lepas E-Commerce</v>
      </c>
      <c r="Z2907" s="13" t="str">
        <f aca="false">IFERROR(__xludf.dummyfunction("if(BJ2907="""","""",GOOGLETRANSLATE(BJ2907,""auto"",""en""))"),"Daily Post E-Commerce")</f>
        <v>Daily Post E-Commerce</v>
      </c>
      <c r="AA2907" s="23" t="str">
        <f aca="false">IF(C2907="","", CHOOSE(MONTH(C2907),"January","February","March","April","May","June","July","August","September","October","November","December")&amp;" "&amp;DAY(C2907)&amp;MID("thstndrdth",MIN(9,2*RIGHT(DAY(C2907))*(MOD(DAY(C2907)-11,100)&gt;2)+1),2)&amp;","&amp;TEXT(C2907," yyyy"))</f>
        <v>November 10th,2025</v>
      </c>
      <c r="AB2907" s="15" t="str">
        <f aca="true">IF(S2907="","",DATEDIF(S2907,TODAY(),"Y")&amp;" Tahun, "&amp;DATEDIF(S2907,TODAY(),"YM")&amp;" Bulan, "&amp;DATEDIF(S2907,TODAY(),"MD")&amp;" Hari")</f>
        <v>26 Tahun, 9 Bulan, 0 Hari</v>
      </c>
      <c r="AC2907" s="18" t="n">
        <v>45971</v>
      </c>
      <c r="AD2907" s="18" t="n">
        <v>46036</v>
      </c>
      <c r="AE2907" s="13" t="s">
        <v>44</v>
      </c>
    </row>
    <row r="2908" customFormat="false" ht="15" hidden="false" customHeight="true" outlineLevel="0" collapsed="false">
      <c r="A2908" s="12" t="n">
        <v>21338</v>
      </c>
      <c r="B2908" s="13" t="s">
        <v>12264</v>
      </c>
      <c r="C2908" s="16" t="n">
        <v>45972</v>
      </c>
      <c r="D2908" s="13" t="s">
        <v>5726</v>
      </c>
      <c r="E2908" s="15" t="s">
        <v>789</v>
      </c>
      <c r="F2908" s="15" t="str">
        <f aca="false">IFERROR(__xludf.dummyfunction("XLOOKUP(AJ2908,IMPORTRANGE(""1XaInW9DU9nz21V0tYIfzFQ0He9kVQ_JF2mCXgZ3hqFA"",""REKAP ALL 2026 - Andika!G:G""),IMPORTRANGE(""1XaInW9DU9nz21V0tYIfzFQ0He9kVQ_JF2mCXgZ3hqFA"",""REKAP ALL 2026 - Andika!F:F""),"""",0)"),"25180535145")</f>
        <v>25180535145</v>
      </c>
      <c r="G2908" s="13" t="s">
        <v>57</v>
      </c>
      <c r="H2908" s="13" t="s">
        <v>35</v>
      </c>
      <c r="I2908" s="13" t="str">
        <f aca="false">IF(C2908=J2908,"NEW KONTRAK","RE-KONTRAK")</f>
        <v>NEW KONTRAK</v>
      </c>
      <c r="J2908" s="16" t="n">
        <f aca="false" t="array" ref="J2908:J2908">IFERROR(INDEX(AC2908:AE2908,IF(COUNTA(AC2908:AE2908)=0,"",MAX((AC2908:AE2908&lt;&gt;"")*(COLUMN(AC2908:AE2908)-(COLUMN(AC2908)))))-1),"")</f>
        <v>45972</v>
      </c>
      <c r="K2908" s="16" t="n">
        <f aca="false" t="array" ref="K2908:K2908">IFERROR(INDEX(AC2908:AE2908,IF(COUNTA(AC2908:AE2908)=0,"",MAX((AC2908:AE2908&lt;&gt;"")*(COLUMN(AC2908:AE2908)-(COLUMN(AC2908)-1))))-1),"")</f>
        <v>46063</v>
      </c>
      <c r="L2908" s="17" t="str">
        <f aca="false" t="array" ref="L2908:L2908">IFERROR(INDEX(AC2908:AE2908,IF(COUNTA(AC2908:AE2908)=0,"",MAX((AC2908:AE2908&lt;&gt;"")*(COLUMN(AC2908:AE2908)-(COLUMN(AC2908)-2))))-1),"")</f>
        <v>ARCHIVED</v>
      </c>
      <c r="M2908" s="13" t="n">
        <f aca="true">K2908-TODAY()</f>
        <v>-261</v>
      </c>
      <c r="N2908" s="18" t="s">
        <v>615</v>
      </c>
      <c r="O2908" s="13" t="s">
        <v>624</v>
      </c>
      <c r="P2908" s="19" t="n">
        <v>5176101</v>
      </c>
      <c r="Q2908" s="47" t="s">
        <v>12265</v>
      </c>
      <c r="R2908" s="13" t="s">
        <v>232</v>
      </c>
      <c r="S2908" s="16" t="n">
        <v>37368</v>
      </c>
      <c r="T2908" s="13" t="s">
        <v>40</v>
      </c>
      <c r="U2908" s="13" t="s">
        <v>12266</v>
      </c>
      <c r="V2908" s="13" t="s">
        <v>42</v>
      </c>
      <c r="W2908" s="13" t="s">
        <v>43</v>
      </c>
      <c r="X2908" s="21" t="n">
        <v>87850530326</v>
      </c>
      <c r="Y2908" s="22" t="str">
        <f aca="false">O2908</f>
        <v>Quality Control</v>
      </c>
      <c r="Z2908" s="13" t="str">
        <f aca="false">IFERROR(__xludf.dummyfunction("if(BJ2908="""","""",GOOGLETRANSLATE(BJ2908,""auto"",""en""))"),"Quality Control")</f>
        <v>Quality Control</v>
      </c>
      <c r="AA2908" s="23" t="str">
        <f aca="false">IF(C2908="","", CHOOSE(MONTH(C2908),"January","February","March","April","May","June","July","August","September","October","November","December")&amp;" "&amp;DAY(C2908)&amp;MID("thstndrdth",MIN(9,2*RIGHT(DAY(C2908))*(MOD(DAY(C2908)-11,100)&gt;2)+1),2)&amp;","&amp;TEXT(C2908," yyyy"))</f>
        <v>November 11th,2025</v>
      </c>
      <c r="AB2908" s="15" t="str">
        <f aca="true">IF(S2908="","",DATEDIF(S2908,TODAY(),"Y")&amp;" Tahun, "&amp;DATEDIF(S2908,TODAY(),"YM")&amp;" Bulan, "&amp;DATEDIF(S2908,TODAY(),"MD")&amp;" Hari")</f>
        <v>24 Tahun, 6 Bulan, 7 Hari</v>
      </c>
      <c r="AC2908" s="18" t="n">
        <v>45972</v>
      </c>
      <c r="AD2908" s="18" t="n">
        <f aca="false">EDATE(AC2908,3)-1</f>
        <v>46063</v>
      </c>
      <c r="AE2908" s="18" t="s">
        <v>44</v>
      </c>
    </row>
    <row r="2909" customFormat="false" ht="15" hidden="false" customHeight="true" outlineLevel="0" collapsed="false">
      <c r="A2909" s="12" t="n">
        <v>21339</v>
      </c>
      <c r="B2909" s="13" t="s">
        <v>12267</v>
      </c>
      <c r="C2909" s="16" t="n">
        <v>45972</v>
      </c>
      <c r="D2909" s="13" t="s">
        <v>5726</v>
      </c>
      <c r="E2909" s="15" t="s">
        <v>47</v>
      </c>
      <c r="F2909" s="15" t="str">
        <f aca="false">IFERROR(__xludf.dummyfunction("XLOOKUP(AJ2909,IMPORTRANGE(""1XaInW9DU9nz21V0tYIfzFQ0He9kVQ_JF2mCXgZ3hqFA"",""REKAP ALL 2026 - Andika!G:G""),IMPORTRANGE(""1XaInW9DU9nz21V0tYIfzFQ0He9kVQ_JF2mCXgZ3hqFA"",""REKAP ALL 2026 - Andika!F:F""),"""",0)"),"25180535178")</f>
        <v>25180535178</v>
      </c>
      <c r="G2909" s="13" t="s">
        <v>57</v>
      </c>
      <c r="H2909" s="13" t="s">
        <v>35</v>
      </c>
      <c r="I2909" s="13" t="str">
        <f aca="false">IF(C2909=J2909,"NEW KONTRAK","RE-KONTRAK")</f>
        <v>NEW KONTRAK</v>
      </c>
      <c r="J2909" s="16" t="n">
        <f aca="false" t="array" ref="J2909:J2909">IFERROR(INDEX(AC2909:AE2909,IF(COUNTA(AC2909:AE2909)=0,"",MAX((AC2909:AE2909&lt;&gt;"")*(COLUMN(AC2909:AE2909)-(COLUMN(AC2909)))))-1),"")</f>
        <v>45972</v>
      </c>
      <c r="K2909" s="16" t="n">
        <f aca="false" t="array" ref="K2909:K2909">IFERROR(INDEX(AC2909:AE2909,IF(COUNTA(AC2909:AE2909)=0,"",MAX((AC2909:AE2909&lt;&gt;"")*(COLUMN(AC2909:AE2909)-(COLUMN(AC2909)-1))))-1),"")</f>
        <v>46063</v>
      </c>
      <c r="L2909" s="17" t="str">
        <f aca="false" t="array" ref="L2909:L2909">IFERROR(INDEX(AC2909:AE2909,IF(COUNTA(AC2909:AE2909)=0,"",MAX((AC2909:AE2909&lt;&gt;"")*(COLUMN(AC2909:AE2909)-(COLUMN(AC2909)-2))))-1),"")</f>
        <v>ARCHIVED</v>
      </c>
      <c r="M2909" s="13" t="n">
        <f aca="true">K2909-TODAY()</f>
        <v>-261</v>
      </c>
      <c r="N2909" s="18" t="s">
        <v>615</v>
      </c>
      <c r="O2909" s="13" t="s">
        <v>624</v>
      </c>
      <c r="P2909" s="19" t="n">
        <v>5176101</v>
      </c>
      <c r="Q2909" s="47" t="s">
        <v>12268</v>
      </c>
      <c r="R2909" s="13" t="s">
        <v>232</v>
      </c>
      <c r="S2909" s="16" t="n">
        <v>38249</v>
      </c>
      <c r="T2909" s="13" t="s">
        <v>40</v>
      </c>
      <c r="U2909" s="13" t="s">
        <v>12269</v>
      </c>
      <c r="V2909" s="13" t="s">
        <v>42</v>
      </c>
      <c r="W2909" s="13" t="s">
        <v>43</v>
      </c>
      <c r="X2909" s="21" t="n">
        <v>8975058950</v>
      </c>
      <c r="Y2909" s="22" t="str">
        <f aca="false">O2909</f>
        <v>Quality Control</v>
      </c>
      <c r="Z2909" s="13" t="str">
        <f aca="false">IFERROR(__xludf.dummyfunction("if(BJ2909="""","""",GOOGLETRANSLATE(BJ2909,""auto"",""en""))"),"Quality Control")</f>
        <v>Quality Control</v>
      </c>
      <c r="AA2909" s="23" t="str">
        <f aca="false">IF(C2909="","", CHOOSE(MONTH(C2909),"January","February","March","April","May","June","July","August","September","October","November","December")&amp;" "&amp;DAY(C2909)&amp;MID("thstndrdth",MIN(9,2*RIGHT(DAY(C2909))*(MOD(DAY(C2909)-11,100)&gt;2)+1),2)&amp;","&amp;TEXT(C2909," yyyy"))</f>
        <v>November 11th,2025</v>
      </c>
      <c r="AB2909" s="15" t="str">
        <f aca="true">IF(S2909="","",DATEDIF(S2909,TODAY(),"Y")&amp;" Tahun, "&amp;DATEDIF(S2909,TODAY(),"YM")&amp;" Bulan, "&amp;DATEDIF(S2909,TODAY(),"MD")&amp;" Hari")</f>
        <v>22 Tahun, 1 Bulan, 10 Hari</v>
      </c>
      <c r="AC2909" s="18" t="n">
        <v>45972</v>
      </c>
      <c r="AD2909" s="18" t="n">
        <f aca="false">EDATE(AC2909,3)-1</f>
        <v>46063</v>
      </c>
      <c r="AE2909" s="18" t="s">
        <v>44</v>
      </c>
    </row>
    <row r="2910" customFormat="false" ht="15" hidden="false" customHeight="true" outlineLevel="0" collapsed="false">
      <c r="A2910" s="12" t="n">
        <v>21340</v>
      </c>
      <c r="B2910" s="13" t="s">
        <v>12270</v>
      </c>
      <c r="C2910" s="16" t="n">
        <v>45972</v>
      </c>
      <c r="D2910" s="13" t="s">
        <v>5726</v>
      </c>
      <c r="E2910" s="15" t="s">
        <v>47</v>
      </c>
      <c r="F2910" s="15" t="str">
        <f aca="false">IFERROR(__xludf.dummyfunction("XLOOKUP(AJ2910,IMPORTRANGE(""1XaInW9DU9nz21V0tYIfzFQ0He9kVQ_JF2mCXgZ3hqFA"",""REKAP ALL 2026 - Andika!G:G""),IMPORTRANGE(""1XaInW9DU9nz21V0tYIfzFQ0He9kVQ_JF2mCXgZ3hqFA"",""REKAP ALL 2026 - Andika!F:F""),"""",0)"),"25180535194")</f>
        <v>25180535194</v>
      </c>
      <c r="G2910" s="13" t="s">
        <v>57</v>
      </c>
      <c r="H2910" s="13" t="s">
        <v>35</v>
      </c>
      <c r="I2910" s="13" t="str">
        <f aca="false">IF(C2910=J2910,"NEW KONTRAK","RE-KONTRAK")</f>
        <v>NEW KONTRAK</v>
      </c>
      <c r="J2910" s="16" t="n">
        <f aca="false" t="array" ref="J2910:J2910">IFERROR(INDEX(AC2910:AE2910,IF(COUNTA(AC2910:AE2910)=0,"",MAX((AC2910:AE2910&lt;&gt;"")*(COLUMN(AC2910:AE2910)-(COLUMN(AC2910)))))-1),"")</f>
        <v>45972</v>
      </c>
      <c r="K2910" s="16" t="n">
        <f aca="false" t="array" ref="K2910:K2910">IFERROR(INDEX(AC2910:AE2910,IF(COUNTA(AC2910:AE2910)=0,"",MAX((AC2910:AE2910&lt;&gt;"")*(COLUMN(AC2910:AE2910)-(COLUMN(AC2910)-1))))-1),"")</f>
        <v>46063</v>
      </c>
      <c r="L2910" s="17" t="str">
        <f aca="false" t="array" ref="L2910:L2910">IFERROR(INDEX(AC2910:AE2910,IF(COUNTA(AC2910:AE2910)=0,"",MAX((AC2910:AE2910&lt;&gt;"")*(COLUMN(AC2910:AE2910)-(COLUMN(AC2910)-2))))-1),"")</f>
        <v>ARCHIVED</v>
      </c>
      <c r="M2910" s="13" t="n">
        <f aca="true">K2910-TODAY()</f>
        <v>-261</v>
      </c>
      <c r="N2910" s="18" t="s">
        <v>615</v>
      </c>
      <c r="O2910" s="13" t="s">
        <v>5252</v>
      </c>
      <c r="P2910" s="19" t="n">
        <v>5176101</v>
      </c>
      <c r="Q2910" s="47" t="s">
        <v>12271</v>
      </c>
      <c r="R2910" s="13" t="s">
        <v>232</v>
      </c>
      <c r="S2910" s="16" t="n">
        <v>37990</v>
      </c>
      <c r="T2910" s="13" t="s">
        <v>40</v>
      </c>
      <c r="U2910" s="13" t="s">
        <v>12272</v>
      </c>
      <c r="V2910" s="13" t="s">
        <v>42</v>
      </c>
      <c r="W2910" s="13" t="s">
        <v>43</v>
      </c>
      <c r="X2910" s="21" t="n">
        <v>85707390445</v>
      </c>
      <c r="Y2910" s="22" t="str">
        <f aca="false">O2910</f>
        <v>Helper Printing</v>
      </c>
      <c r="Z2910" s="13" t="str">
        <f aca="false">IFERROR(__xludf.dummyfunction("if(BJ2910="""","""",GOOGLETRANSLATE(BJ2910,""auto"",""en""))"),"Helper Printing")</f>
        <v>Helper Printing</v>
      </c>
      <c r="AA2910" s="23" t="str">
        <f aca="false">IF(C2910="","", CHOOSE(MONTH(C2910),"January","February","March","April","May","June","July","August","September","October","November","December")&amp;" "&amp;DAY(C2910)&amp;MID("thstndrdth",MIN(9,2*RIGHT(DAY(C2910))*(MOD(DAY(C2910)-11,100)&gt;2)+1),2)&amp;","&amp;TEXT(C2910," yyyy"))</f>
        <v>November 11th,2025</v>
      </c>
      <c r="AB2910" s="15" t="str">
        <f aca="true">IF(S2910="","",DATEDIF(S2910,TODAY(),"Y")&amp;" Tahun, "&amp;DATEDIF(S2910,TODAY(),"YM")&amp;" Bulan, "&amp;DATEDIF(S2910,TODAY(),"MD")&amp;" Hari")</f>
        <v>22 Tahun, 9 Bulan, 25 Hari</v>
      </c>
      <c r="AC2910" s="18" t="n">
        <v>45972</v>
      </c>
      <c r="AD2910" s="18" t="n">
        <f aca="false">EDATE(AC2910,3)-1</f>
        <v>46063</v>
      </c>
      <c r="AE2910" s="18" t="s">
        <v>44</v>
      </c>
    </row>
    <row r="2911" customFormat="false" ht="15" hidden="false" customHeight="true" outlineLevel="0" collapsed="false">
      <c r="A2911" s="12" t="n">
        <v>21343</v>
      </c>
      <c r="B2911" s="13" t="s">
        <v>12273</v>
      </c>
      <c r="C2911" s="16" t="n">
        <v>45971</v>
      </c>
      <c r="D2911" s="13" t="s">
        <v>1338</v>
      </c>
      <c r="E2911" s="15" t="s">
        <v>47</v>
      </c>
      <c r="F2911" s="15" t="str">
        <f aca="false">IFERROR(__xludf.dummyfunction("XLOOKUP(AJ2911,IMPORTRANGE(""1XaInW9DU9nz21V0tYIfzFQ0He9kVQ_JF2mCXgZ3hqFA"",""REKAP ALL 2026 - Andika!G:G""),IMPORTRANGE(""1XaInW9DU9nz21V0tYIfzFQ0He9kVQ_JF2mCXgZ3hqFA"",""REKAP ALL 2026 - Andika!F:F""),"""",0)"),"26046412032")</f>
        <v>26046412032</v>
      </c>
      <c r="G2911" s="13" t="s">
        <v>57</v>
      </c>
      <c r="H2911" s="13" t="s">
        <v>3024</v>
      </c>
      <c r="I2911" s="13" t="str">
        <f aca="false">IF(C2911=J2911,"NEW KONTRAK","RE-KONTRAK")</f>
        <v>NEW KONTRAK</v>
      </c>
      <c r="J2911" s="16" t="n">
        <f aca="false" t="array" ref="J2911:J2911">IFERROR(INDEX(AC2911:AE2911,IF(COUNTA(AC2911:AE2911)=0,"",MAX((AC2911:AE2911&lt;&gt;"")*(COLUMN(AC2911:AE2911)-(COLUMN(AC2911)))))-1),"")</f>
        <v>45971</v>
      </c>
      <c r="K2911" s="16" t="n">
        <f aca="false" t="array" ref="K2911:K2911">IFERROR(INDEX(AC2911:AE2911,IF(COUNTA(AC2911:AE2911)=0,"",MAX((AC2911:AE2911&lt;&gt;"")*(COLUMN(AC2911:AE2911)-(COLUMN(AC2911)-1))))-1),"")</f>
        <v>46062</v>
      </c>
      <c r="L2911" s="17" t="str">
        <f aca="false" t="array" ref="L2911:L2911">IFERROR(INDEX(AC2911:AE2911,IF(COUNTA(AC2911:AE2911)=0,"",MAX((AC2911:AE2911&lt;&gt;"")*(COLUMN(AC2911:AE2911)-(COLUMN(AC2911)-2))))-1),"")</f>
        <v>KEMBALI</v>
      </c>
      <c r="M2911" s="13" t="n">
        <f aca="true">K2911-TODAY()</f>
        <v>-262</v>
      </c>
      <c r="N2911" s="18" t="s">
        <v>615</v>
      </c>
      <c r="O2911" s="13" t="s">
        <v>2335</v>
      </c>
      <c r="P2911" s="19" t="n">
        <v>210000</v>
      </c>
      <c r="Q2911" s="47" t="s">
        <v>12274</v>
      </c>
      <c r="R2911" s="13" t="s">
        <v>73</v>
      </c>
      <c r="S2911" s="16" t="n">
        <v>30765</v>
      </c>
      <c r="T2911" s="28" t="s">
        <v>40</v>
      </c>
      <c r="U2911" s="13" t="s">
        <v>7960</v>
      </c>
      <c r="V2911" s="13" t="s">
        <v>42</v>
      </c>
      <c r="W2911" s="13" t="s">
        <v>54</v>
      </c>
      <c r="X2911" s="21" t="n">
        <v>82145721820</v>
      </c>
      <c r="Y2911" s="22" t="str">
        <f aca="false">O2911</f>
        <v>Project Management</v>
      </c>
      <c r="Z2911" s="13" t="str">
        <f aca="false">IFERROR(__xludf.dummyfunction("if(BJ2911="""","""",GOOGLETRANSLATE(BJ2911,""auto"",""en""))"),"Project Management")</f>
        <v>Project Management</v>
      </c>
      <c r="AA2911" s="23" t="str">
        <f aca="false">IF(C2911="","", CHOOSE(MONTH(C2911),"January","February","March","April","May","June","July","August","September","October","November","December")&amp;" "&amp;DAY(C2911)&amp;MID("thstndrdth",MIN(9,2*RIGHT(DAY(C2911))*(MOD(DAY(C2911)-11,100)&gt;2)+1),2)&amp;","&amp;TEXT(C2911," yyyy"))</f>
        <v>November 10th,2025</v>
      </c>
      <c r="AB2911" s="15" t="str">
        <f aca="true">IF(S2911="","",DATEDIF(S2911,TODAY(),"Y")&amp;" Tahun, "&amp;DATEDIF(S2911,TODAY(),"YM")&amp;" Bulan, "&amp;DATEDIF(S2911,TODAY(),"MD")&amp;" Hari")</f>
        <v>42 Tahun, 7 Bulan, 5 Hari</v>
      </c>
      <c r="AC2911" s="18" t="n">
        <v>45971</v>
      </c>
      <c r="AD2911" s="18" t="n">
        <v>46062</v>
      </c>
      <c r="AE2911" s="13" t="s">
        <v>397</v>
      </c>
    </row>
    <row r="2912" customFormat="false" ht="15" hidden="false" customHeight="true" outlineLevel="0" collapsed="false">
      <c r="A2912" s="12" t="n">
        <v>21344</v>
      </c>
      <c r="B2912" s="13" t="s">
        <v>12275</v>
      </c>
      <c r="C2912" s="16" t="n">
        <v>45971</v>
      </c>
      <c r="D2912" s="13" t="s">
        <v>7948</v>
      </c>
      <c r="E2912" s="15" t="s">
        <v>7949</v>
      </c>
      <c r="F2912" s="15" t="str">
        <f aca="false">IFERROR(__xludf.dummyfunction("XLOOKUP(AJ2912,IMPORTRANGE(""1XaInW9DU9nz21V0tYIfzFQ0He9kVQ_JF2mCXgZ3hqFA"",""REKAP ALL 2026 - Andika!G:G""),IMPORTRANGE(""1XaInW9DU9nz21V0tYIfzFQ0He9kVQ_JF2mCXgZ3hqFA"",""REKAP ALL 2026 - Andika!F:F""),"""",0)"),"26062983700")</f>
        <v>26062983700</v>
      </c>
      <c r="G2912" s="13" t="s">
        <v>57</v>
      </c>
      <c r="H2912" s="13" t="s">
        <v>3024</v>
      </c>
      <c r="I2912" s="13" t="str">
        <f aca="false">IF(C2912=J2912,"NEW KONTRAK","RE-KONTRAK")</f>
        <v>NEW KONTRAK</v>
      </c>
      <c r="J2912" s="16" t="n">
        <f aca="false" t="array" ref="J2912:J2912">IFERROR(INDEX(AC2912:AE2912,IF(COUNTA(AC2912:AE2912)=0,"",MAX((AC2912:AE2912&lt;&gt;"")*(COLUMN(AC2912:AE2912)-(COLUMN(AC2912)))))-1),"")</f>
        <v>45971</v>
      </c>
      <c r="K2912" s="16" t="n">
        <f aca="false" t="array" ref="K2912:K2912">IFERROR(INDEX(AC2912:AE2912,IF(COUNTA(AC2912:AE2912)=0,"",MAX((AC2912:AE2912&lt;&gt;"")*(COLUMN(AC2912:AE2912)-(COLUMN(AC2912)-1))))-1),"")</f>
        <v>46062</v>
      </c>
      <c r="L2912" s="17" t="str">
        <f aca="false" t="array" ref="L2912:L2912">IFERROR(INDEX(AC2912:AE2912,IF(COUNTA(AC2912:AE2912)=0,"",MAX((AC2912:AE2912&lt;&gt;"")*(COLUMN(AC2912:AE2912)-(COLUMN(AC2912)-2))))-1),"")</f>
        <v>KEMBALI</v>
      </c>
      <c r="M2912" s="13" t="n">
        <f aca="true">K2912-TODAY()</f>
        <v>-262</v>
      </c>
      <c r="N2912" s="18" t="s">
        <v>4051</v>
      </c>
      <c r="O2912" s="13" t="s">
        <v>2335</v>
      </c>
      <c r="P2912" s="19" t="n">
        <v>210000</v>
      </c>
      <c r="Q2912" s="47" t="s">
        <v>12276</v>
      </c>
      <c r="R2912" s="13" t="s">
        <v>232</v>
      </c>
      <c r="S2912" s="16" t="n">
        <v>31166</v>
      </c>
      <c r="T2912" s="28" t="s">
        <v>40</v>
      </c>
      <c r="U2912" s="13" t="s">
        <v>12277</v>
      </c>
      <c r="V2912" s="13" t="s">
        <v>42</v>
      </c>
      <c r="W2912" s="13" t="s">
        <v>54</v>
      </c>
      <c r="X2912" s="21" t="n">
        <v>81216721587</v>
      </c>
      <c r="Y2912" s="22" t="str">
        <f aca="false">O2912</f>
        <v>Project Management</v>
      </c>
      <c r="Z2912" s="13" t="str">
        <f aca="false">IFERROR(__xludf.dummyfunction("if(BJ2912="""","""",GOOGLETRANSLATE(BJ2912,""auto"",""en""))"),"Project Management")</f>
        <v>Project Management</v>
      </c>
      <c r="AA2912" s="23" t="str">
        <f aca="false">IF(C2912="","", CHOOSE(MONTH(C2912),"January","February","March","April","May","June","July","August","September","October","November","December")&amp;" "&amp;DAY(C2912)&amp;MID("thstndrdth",MIN(9,2*RIGHT(DAY(C2912))*(MOD(DAY(C2912)-11,100)&gt;2)+1),2)&amp;","&amp;TEXT(C2912," yyyy"))</f>
        <v>November 10th,2025</v>
      </c>
      <c r="AB2912" s="15" t="str">
        <f aca="true">IF(S2912="","",DATEDIF(S2912,TODAY(),"Y")&amp;" Tahun, "&amp;DATEDIF(S2912,TODAY(),"YM")&amp;" Bulan, "&amp;DATEDIF(S2912,TODAY(),"MD")&amp;" Hari")</f>
        <v>41 Tahun, 6 Bulan, 0 Hari</v>
      </c>
      <c r="AC2912" s="18" t="n">
        <v>45971</v>
      </c>
      <c r="AD2912" s="18" t="n">
        <v>46062</v>
      </c>
      <c r="AE2912" s="13" t="s">
        <v>397</v>
      </c>
    </row>
    <row r="2913" customFormat="false" ht="15" hidden="false" customHeight="true" outlineLevel="0" collapsed="false">
      <c r="A2913" s="12" t="n">
        <v>21345</v>
      </c>
      <c r="B2913" s="13" t="s">
        <v>12278</v>
      </c>
      <c r="C2913" s="16" t="n">
        <v>45971</v>
      </c>
      <c r="D2913" s="13" t="s">
        <v>1338</v>
      </c>
      <c r="E2913" s="15" t="s">
        <v>47</v>
      </c>
      <c r="F2913" s="15" t="str">
        <f aca="false">IFERROR(__xludf.dummyfunction("XLOOKUP(AJ2913,IMPORTRANGE(""1XaInW9DU9nz21V0tYIfzFQ0He9kVQ_JF2mCXgZ3hqFA"",""REKAP ALL 2026 - Andika!G:G""),IMPORTRANGE(""1XaInW9DU9nz21V0tYIfzFQ0He9kVQ_JF2mCXgZ3hqFA"",""REKAP ALL 2026 - Andika!F:F""),"""",0)"),"25180535277")</f>
        <v>25180535277</v>
      </c>
      <c r="G2913" s="13" t="s">
        <v>57</v>
      </c>
      <c r="H2913" s="13" t="s">
        <v>3024</v>
      </c>
      <c r="I2913" s="13" t="str">
        <f aca="false">IF(C2913=J2913,"NEW KONTRAK","RE-KONTRAK")</f>
        <v>NEW KONTRAK</v>
      </c>
      <c r="J2913" s="16" t="n">
        <f aca="false" t="array" ref="J2913:J2913">IFERROR(INDEX(AC2913:AE2913,IF(COUNTA(AC2913:AE2913)=0,"",MAX((AC2913:AE2913&lt;&gt;"")*(COLUMN(AC2913:AE2913)-(COLUMN(AC2913)))))-1),"")</f>
        <v>45971</v>
      </c>
      <c r="K2913" s="16" t="n">
        <f aca="false" t="array" ref="K2913:K2913">IFERROR(INDEX(AC2913:AE2913,IF(COUNTA(AC2913:AE2913)=0,"",MAX((AC2913:AE2913&lt;&gt;"")*(COLUMN(AC2913:AE2913)-(COLUMN(AC2913)-1))))-1),"")</f>
        <v>46062</v>
      </c>
      <c r="L2913" s="17" t="str">
        <f aca="false" t="array" ref="L2913:L2913">IFERROR(INDEX(AC2913:AE2913,IF(COUNTA(AC2913:AE2913)=0,"",MAX((AC2913:AE2913&lt;&gt;"")*(COLUMN(AC2913:AE2913)-(COLUMN(AC2913)-2))))-1),"")</f>
        <v>KEMBALI</v>
      </c>
      <c r="M2913" s="13" t="n">
        <f aca="true">K2913-TODAY()</f>
        <v>-262</v>
      </c>
      <c r="N2913" s="18" t="s">
        <v>615</v>
      </c>
      <c r="O2913" s="13" t="s">
        <v>2335</v>
      </c>
      <c r="P2913" s="19" t="n">
        <v>210000</v>
      </c>
      <c r="Q2913" s="47" t="s">
        <v>12279</v>
      </c>
      <c r="R2913" s="13" t="s">
        <v>39</v>
      </c>
      <c r="S2913" s="16" t="n">
        <v>32518</v>
      </c>
      <c r="T2913" s="28" t="s">
        <v>40</v>
      </c>
      <c r="U2913" s="13" t="s">
        <v>5537</v>
      </c>
      <c r="V2913" s="13" t="s">
        <v>42</v>
      </c>
      <c r="W2913" s="13" t="s">
        <v>54</v>
      </c>
      <c r="X2913" s="21" t="n">
        <v>89530454083</v>
      </c>
      <c r="Y2913" s="22" t="str">
        <f aca="false">O2913</f>
        <v>Project Management</v>
      </c>
      <c r="Z2913" s="13" t="str">
        <f aca="false">IFERROR(__xludf.dummyfunction("if(BJ2913="""","""",GOOGLETRANSLATE(BJ2913,""auto"",""en""))"),"Project Management")</f>
        <v>Project Management</v>
      </c>
      <c r="AA2913" s="23" t="str">
        <f aca="false">IF(C2913="","", CHOOSE(MONTH(C2913),"January","February","March","April","May","June","July","August","September","October","November","December")&amp;" "&amp;DAY(C2913)&amp;MID("thstndrdth",MIN(9,2*RIGHT(DAY(C2913))*(MOD(DAY(C2913)-11,100)&gt;2)+1),2)&amp;","&amp;TEXT(C2913," yyyy"))</f>
        <v>November 10th,2025</v>
      </c>
      <c r="AB2913" s="15" t="str">
        <f aca="true">IF(S2913="","",DATEDIF(S2913,TODAY(),"Y")&amp;" Tahun, "&amp;DATEDIF(S2913,TODAY(),"YM")&amp;" Bulan, "&amp;DATEDIF(S2913,TODAY(),"MD")&amp;" Hari")</f>
        <v>37 Tahun, 9 Bulan, 19 Hari</v>
      </c>
      <c r="AC2913" s="18" t="n">
        <v>45971</v>
      </c>
      <c r="AD2913" s="18" t="n">
        <v>46062</v>
      </c>
      <c r="AE2913" s="13" t="s">
        <v>397</v>
      </c>
    </row>
    <row r="2914" customFormat="false" ht="15" hidden="false" customHeight="true" outlineLevel="0" collapsed="false">
      <c r="A2914" s="12" t="n">
        <v>21346</v>
      </c>
      <c r="B2914" s="13" t="s">
        <v>12280</v>
      </c>
      <c r="C2914" s="16" t="n">
        <v>45971</v>
      </c>
      <c r="D2914" s="13" t="s">
        <v>1338</v>
      </c>
      <c r="E2914" s="15" t="s">
        <v>47</v>
      </c>
      <c r="F2914" s="15" t="str">
        <f aca="false">IFERROR(__xludf.dummyfunction("XLOOKUP(AJ2914,IMPORTRANGE(""1XaInW9DU9nz21V0tYIfzFQ0He9kVQ_JF2mCXgZ3hqFA"",""REKAP ALL 2026 - Andika!G:G""),IMPORTRANGE(""1XaInW9DU9nz21V0tYIfzFQ0He9kVQ_JF2mCXgZ3hqFA"",""REKAP ALL 2026 - Andika!F:F""),"""",0)"),"25180535293")</f>
        <v>25180535293</v>
      </c>
      <c r="G2914" s="13" t="s">
        <v>57</v>
      </c>
      <c r="H2914" s="13" t="s">
        <v>3024</v>
      </c>
      <c r="I2914" s="13" t="str">
        <f aca="false">IF(C2914=J2914,"NEW KONTRAK","RE-KONTRAK")</f>
        <v>NEW KONTRAK</v>
      </c>
      <c r="J2914" s="16" t="n">
        <f aca="false" t="array" ref="J2914:J2914">IFERROR(INDEX(AC2914:AE2914,IF(COUNTA(AC2914:AE2914)=0,"",MAX((AC2914:AE2914&lt;&gt;"")*(COLUMN(AC2914:AE2914)-(COLUMN(AC2914)))))-1),"")</f>
        <v>45971</v>
      </c>
      <c r="K2914" s="16" t="n">
        <f aca="false" t="array" ref="K2914:K2914">IFERROR(INDEX(AC2914:AE2914,IF(COUNTA(AC2914:AE2914)=0,"",MAX((AC2914:AE2914&lt;&gt;"")*(COLUMN(AC2914:AE2914)-(COLUMN(AC2914)-1))))-1),"")</f>
        <v>46062</v>
      </c>
      <c r="L2914" s="17" t="str">
        <f aca="false" t="array" ref="L2914:L2914">IFERROR(INDEX(AC2914:AE2914,IF(COUNTA(AC2914:AE2914)=0,"",MAX((AC2914:AE2914&lt;&gt;"")*(COLUMN(AC2914:AE2914)-(COLUMN(AC2914)-2))))-1),"")</f>
        <v>KEMBALI</v>
      </c>
      <c r="M2914" s="13" t="n">
        <f aca="true">K2914-TODAY()</f>
        <v>-262</v>
      </c>
      <c r="N2914" s="18" t="s">
        <v>615</v>
      </c>
      <c r="O2914" s="13" t="s">
        <v>2335</v>
      </c>
      <c r="P2914" s="19" t="n">
        <v>160000</v>
      </c>
      <c r="Q2914" s="47" t="s">
        <v>12281</v>
      </c>
      <c r="R2914" s="13" t="s">
        <v>52</v>
      </c>
      <c r="S2914" s="16" t="n">
        <v>38461</v>
      </c>
      <c r="T2914" s="28" t="s">
        <v>40</v>
      </c>
      <c r="U2914" s="13" t="s">
        <v>12282</v>
      </c>
      <c r="V2914" s="13" t="s">
        <v>42</v>
      </c>
      <c r="W2914" s="13" t="s">
        <v>43</v>
      </c>
      <c r="X2914" s="21" t="n">
        <v>882009390477</v>
      </c>
      <c r="Y2914" s="22" t="str">
        <f aca="false">O2914</f>
        <v>Project Management</v>
      </c>
      <c r="Z2914" s="13" t="str">
        <f aca="false">IFERROR(__xludf.dummyfunction("if(BJ2914="""","""",GOOGLETRANSLATE(BJ2914,""auto"",""en""))"),"Project Management")</f>
        <v>Project Management</v>
      </c>
      <c r="AA2914" s="23" t="str">
        <f aca="false">IF(C2914="","", CHOOSE(MONTH(C2914),"January","February","March","April","May","June","July","August","September","October","November","December")&amp;" "&amp;DAY(C2914)&amp;MID("thstndrdth",MIN(9,2*RIGHT(DAY(C2914))*(MOD(DAY(C2914)-11,100)&gt;2)+1),2)&amp;","&amp;TEXT(C2914," yyyy"))</f>
        <v>November 10th,2025</v>
      </c>
      <c r="AB2914" s="15" t="str">
        <f aca="true">IF(S2914="","",DATEDIF(S2914,TODAY(),"Y")&amp;" Tahun, "&amp;DATEDIF(S2914,TODAY(),"YM")&amp;" Bulan, "&amp;DATEDIF(S2914,TODAY(),"MD")&amp;" Hari")</f>
        <v>21 Tahun, 6 Bulan, 10 Hari</v>
      </c>
      <c r="AC2914" s="18" t="n">
        <v>45971</v>
      </c>
      <c r="AD2914" s="18" t="n">
        <v>46062</v>
      </c>
      <c r="AE2914" s="13" t="s">
        <v>397</v>
      </c>
    </row>
    <row r="2915" customFormat="false" ht="15" hidden="false" customHeight="true" outlineLevel="0" collapsed="false">
      <c r="A2915" s="12" t="n">
        <v>21347</v>
      </c>
      <c r="B2915" s="13" t="s">
        <v>12283</v>
      </c>
      <c r="C2915" s="16" t="n">
        <v>45971</v>
      </c>
      <c r="D2915" s="13" t="s">
        <v>2294</v>
      </c>
      <c r="E2915" s="15" t="s">
        <v>47</v>
      </c>
      <c r="F2915" s="15" t="str">
        <f aca="false">IFERROR(__xludf.dummyfunction("XLOOKUP(AJ2915,IMPORTRANGE(""1XaInW9DU9nz21V0tYIfzFQ0He9kVQ_JF2mCXgZ3hqFA"",""REKAP ALL 2026 - Andika!G:G""),IMPORTRANGE(""1XaInW9DU9nz21V0tYIfzFQ0He9kVQ_JF2mCXgZ3hqFA"",""REKAP ALL 2026 - Andika!F:F""),"""",0)"),"25180535319")</f>
        <v>25180535319</v>
      </c>
      <c r="G2915" s="28" t="s">
        <v>57</v>
      </c>
      <c r="H2915" s="13" t="s">
        <v>2296</v>
      </c>
      <c r="I2915" s="13" t="str">
        <f aca="false">IF(C2915=J2915,"NEW KONTRAK","RE-KONTRAK")</f>
        <v>NEW KONTRAK</v>
      </c>
      <c r="J2915" s="16" t="n">
        <f aca="false" t="array" ref="J2915:J2915">IFERROR(INDEX(AC2915:AE2915,IF(COUNTA(AC2915:AE2915)=0,"",MAX((AC2915:AE2915&lt;&gt;"")*(COLUMN(AC2915:AE2915)-(COLUMN(AC2915)))))-1),"")</f>
        <v>45971</v>
      </c>
      <c r="K2915" s="16" t="n">
        <f aca="false" t="array" ref="K2915:K2915">IFERROR(INDEX(AC2915:AE2915,IF(COUNTA(AC2915:AE2915)=0,"",MAX((AC2915:AE2915&lt;&gt;"")*(COLUMN(AC2915:AE2915)-(COLUMN(AC2915)-1))))-1),"")</f>
        <v>46062</v>
      </c>
      <c r="L2915" s="17" t="str">
        <f aca="false" t="array" ref="L2915:L2915">IFERROR(INDEX(AC2915:AE2915,IF(COUNTA(AC2915:AE2915)=0,"",MAX((AC2915:AE2915&lt;&gt;"")*(COLUMN(AC2915:AE2915)-(COLUMN(AC2915)-2))))-1),"")</f>
        <v>KEMBALI</v>
      </c>
      <c r="M2915" s="13" t="n">
        <f aca="true">K2915-TODAY()</f>
        <v>-262</v>
      </c>
      <c r="N2915" s="18" t="s">
        <v>615</v>
      </c>
      <c r="O2915" s="13" t="s">
        <v>11593</v>
      </c>
      <c r="P2915" s="19" t="n">
        <v>165635</v>
      </c>
      <c r="Q2915" s="47" t="s">
        <v>12284</v>
      </c>
      <c r="R2915" s="13" t="s">
        <v>232</v>
      </c>
      <c r="S2915" s="16" t="n">
        <v>26004</v>
      </c>
      <c r="T2915" s="28" t="s">
        <v>40</v>
      </c>
      <c r="U2915" s="13" t="s">
        <v>2303</v>
      </c>
      <c r="V2915" s="13" t="s">
        <v>42</v>
      </c>
      <c r="W2915" s="28" t="s">
        <v>54</v>
      </c>
      <c r="X2915" s="30" t="n">
        <v>81347679764</v>
      </c>
      <c r="Y2915" s="22" t="str">
        <f aca="false">O2915</f>
        <v>Borongan Muat</v>
      </c>
      <c r="Z2915" s="13" t="str">
        <f aca="false">IFERROR(__xludf.dummyfunction("if(BJ2915="""","""",GOOGLETRANSLATE(BJ2915,""auto"",""en""))"),"Bulk Loading")</f>
        <v>Bulk Loading</v>
      </c>
      <c r="AA2915" s="23" t="str">
        <f aca="false">IF(C2915="","", CHOOSE(MONTH(C2915),"January","February","March","April","May","June","July","August","September","October","November","December")&amp;" "&amp;DAY(C2915)&amp;MID("thstndrdth",MIN(9,2*RIGHT(DAY(C2915))*(MOD(DAY(C2915)-11,100)&gt;2)+1),2)&amp;","&amp;TEXT(C2915," yyyy"))</f>
        <v>November 10th,2025</v>
      </c>
      <c r="AB2915" s="15" t="str">
        <f aca="true">IF(S2915="","",DATEDIF(S2915,TODAY(),"Y")&amp;" Tahun, "&amp;DATEDIF(S2915,TODAY(),"YM")&amp;" Bulan, "&amp;DATEDIF(S2915,TODAY(),"MD")&amp;" Hari")</f>
        <v>55 Tahun, 7 Bulan, 17 Hari</v>
      </c>
      <c r="AC2915" s="18" t="n">
        <v>45971</v>
      </c>
      <c r="AD2915" s="18" t="n">
        <v>46062</v>
      </c>
      <c r="AE2915" s="13" t="s">
        <v>397</v>
      </c>
    </row>
    <row r="2916" customFormat="false" ht="15" hidden="false" customHeight="true" outlineLevel="0" collapsed="false">
      <c r="A2916" s="12" t="n">
        <v>21348</v>
      </c>
      <c r="B2916" s="13" t="s">
        <v>12285</v>
      </c>
      <c r="C2916" s="16" t="n">
        <v>45978</v>
      </c>
      <c r="D2916" s="13" t="s">
        <v>6638</v>
      </c>
      <c r="E2916" s="15" t="s">
        <v>102</v>
      </c>
      <c r="F2916" s="24" t="s">
        <v>12286</v>
      </c>
      <c r="G2916" s="13" t="s">
        <v>1127</v>
      </c>
      <c r="H2916" s="13" t="s">
        <v>35</v>
      </c>
      <c r="I2916" s="13" t="str">
        <f aca="false">IF(C2916=J2916,"NEW KONTRAK","RE-KONTRAK")</f>
        <v>NEW KONTRAK</v>
      </c>
      <c r="J2916" s="16" t="n">
        <f aca="false" t="array" ref="J2916:J2916">IFERROR(INDEX(AC2916:AE2916,IF(COUNTA(AC2916:AE2916)=0,"",MAX((AC2916:AE2916&lt;&gt;"")*(COLUMN(AC2916:AE2916)-(COLUMN(AC2916)))))-1),"")</f>
        <v>45978</v>
      </c>
      <c r="K2916" s="16" t="n">
        <f aca="false" t="array" ref="K2916:K2916">IFERROR(INDEX(AC2916:AE2916,IF(COUNTA(AC2916:AE2916)=0,"",MAX((AC2916:AE2916&lt;&gt;"")*(COLUMN(AC2916:AE2916)-(COLUMN(AC2916)-1))))-1),"")</f>
        <v>46069</v>
      </c>
      <c r="L2916" s="17" t="str">
        <f aca="false" t="array" ref="L2916:L2916">IFERROR(INDEX(AC2916:AE2916,IF(COUNTA(AC2916:AE2916)=0,"",MAX((AC2916:AE2916&lt;&gt;"")*(COLUMN(AC2916:AE2916)-(COLUMN(AC2916)-2))))-1),"")</f>
        <v>ARCHIVED</v>
      </c>
      <c r="M2916" s="13" t="n">
        <f aca="true">K2916-TODAY()</f>
        <v>-255</v>
      </c>
      <c r="N2916" s="18" t="s">
        <v>4735</v>
      </c>
      <c r="O2916" s="13" t="s">
        <v>10570</v>
      </c>
      <c r="P2916" s="19" t="n">
        <v>3113530</v>
      </c>
      <c r="Q2916" s="47" t="s">
        <v>12287</v>
      </c>
      <c r="R2916" s="13" t="s">
        <v>260</v>
      </c>
      <c r="S2916" s="16" t="n">
        <v>36127</v>
      </c>
      <c r="T2916" s="13" t="s">
        <v>108</v>
      </c>
      <c r="U2916" s="13" t="s">
        <v>12288</v>
      </c>
      <c r="V2916" s="13" t="s">
        <v>42</v>
      </c>
      <c r="W2916" s="13" t="s">
        <v>43</v>
      </c>
      <c r="X2916" s="30" t="n">
        <v>85181561497</v>
      </c>
      <c r="Y2916" s="22" t="str">
        <f aca="false">O2916</f>
        <v>KOL Specialist</v>
      </c>
      <c r="Z2916" s="13" t="str">
        <f aca="false">IFERROR(__xludf.dummyfunction("if(BJ2916="""","""",GOOGLETRANSLATE(BJ2916,""auto"",""en""))"),"KOL Specialist")</f>
        <v>KOL Specialist</v>
      </c>
      <c r="AA2916" s="23" t="str">
        <f aca="false">IF(C2916="","", CHOOSE(MONTH(C2916),"January","February","March","April","May","June","July","August","September","October","November","December")&amp;" "&amp;DAY(C2916)&amp;MID("thstndrdth",MIN(9,2*RIGHT(DAY(C2916))*(MOD(DAY(C2916)-11,100)&gt;2)+1),2)&amp;","&amp;TEXT(C2916," yyyy"))</f>
        <v>November 17th,2025</v>
      </c>
      <c r="AB2916" s="15" t="str">
        <f aca="true">IF(S2916="","",DATEDIF(S2916,TODAY(),"Y")&amp;" Tahun, "&amp;DATEDIF(S2916,TODAY(),"YM")&amp;" Bulan, "&amp;DATEDIF(S2916,TODAY(),"MD")&amp;" Hari")</f>
        <v>27 Tahun, 11 Bulan, 1 Hari</v>
      </c>
      <c r="AC2916" s="18" t="n">
        <v>45978</v>
      </c>
      <c r="AD2916" s="18" t="n">
        <f aca="false">EDATE(AC2916,3)-1</f>
        <v>46069</v>
      </c>
      <c r="AE2916" s="13" t="s">
        <v>44</v>
      </c>
    </row>
    <row r="2917" customFormat="false" ht="15" hidden="false" customHeight="true" outlineLevel="0" collapsed="false">
      <c r="A2917" s="12" t="n">
        <v>21349</v>
      </c>
      <c r="B2917" s="13" t="s">
        <v>12289</v>
      </c>
      <c r="C2917" s="16" t="n">
        <v>45978</v>
      </c>
      <c r="D2917" s="13" t="s">
        <v>6638</v>
      </c>
      <c r="E2917" s="15" t="s">
        <v>102</v>
      </c>
      <c r="F2917" s="15" t="str">
        <f aca="false">IFERROR(__xludf.dummyfunction("XLOOKUP(AJ2917,IMPORTRANGE(""1XaInW9DU9nz21V0tYIfzFQ0He9kVQ_JF2mCXgZ3hqFA"",""REKAP ALL 2026 - Andika!G:G""),IMPORTRANGE(""1XaInW9DU9nz21V0tYIfzFQ0He9kVQ_JF2mCXgZ3hqFA"",""REKAP ALL 2026 - Andika!F:F""),"""",0)"),"25062537383")</f>
        <v>25062537383</v>
      </c>
      <c r="G2917" s="13" t="s">
        <v>1127</v>
      </c>
      <c r="H2917" s="13" t="s">
        <v>35</v>
      </c>
      <c r="I2917" s="13" t="str">
        <f aca="false">IF(C2917=J2917,"NEW KONTRAK","RE-KONTRAK")</f>
        <v>NEW KONTRAK</v>
      </c>
      <c r="J2917" s="16" t="n">
        <f aca="false" t="array" ref="J2917:J2917">IFERROR(INDEX(AC2917:AE2917,IF(COUNTA(AC2917:AE2917)=0,"",MAX((AC2917:AE2917&lt;&gt;"")*(COLUMN(AC2917:AE2917)-(COLUMN(AC2917)))))-1),"")</f>
        <v>45978</v>
      </c>
      <c r="K2917" s="16" t="n">
        <f aca="false" t="array" ref="K2917:K2917">IFERROR(INDEX(AC2917:AE2917,IF(COUNTA(AC2917:AE2917)=0,"",MAX((AC2917:AE2917&lt;&gt;"")*(COLUMN(AC2917:AE2917)-(COLUMN(AC2917)-1))))-1),"")</f>
        <v>46069</v>
      </c>
      <c r="L2917" s="17" t="str">
        <f aca="false" t="array" ref="L2917:L2917">IFERROR(INDEX(AC2917:AE2917,IF(COUNTA(AC2917:AE2917)=0,"",MAX((AC2917:AE2917&lt;&gt;"")*(COLUMN(AC2917:AE2917)-(COLUMN(AC2917)-2))))-1),"")</f>
        <v>ARCHIVED</v>
      </c>
      <c r="M2917" s="13" t="n">
        <f aca="true">K2917-TODAY()</f>
        <v>-255</v>
      </c>
      <c r="N2917" s="18" t="s">
        <v>4735</v>
      </c>
      <c r="O2917" s="13" t="s">
        <v>10570</v>
      </c>
      <c r="P2917" s="19" t="n">
        <v>3113530</v>
      </c>
      <c r="Q2917" s="47" t="s">
        <v>12290</v>
      </c>
      <c r="R2917" s="13" t="s">
        <v>958</v>
      </c>
      <c r="S2917" s="16" t="n">
        <v>37568</v>
      </c>
      <c r="T2917" s="13" t="s">
        <v>108</v>
      </c>
      <c r="U2917" s="13" t="s">
        <v>12291</v>
      </c>
      <c r="V2917" s="13" t="s">
        <v>42</v>
      </c>
      <c r="W2917" s="13" t="s">
        <v>43</v>
      </c>
      <c r="X2917" s="21" t="n">
        <v>82131933329</v>
      </c>
      <c r="Y2917" s="22" t="str">
        <f aca="false">O2917</f>
        <v>KOL Specialist</v>
      </c>
      <c r="Z2917" s="13" t="str">
        <f aca="false">IFERROR(__xludf.dummyfunction("if(BJ2917="""","""",GOOGLETRANSLATE(BJ2917,""auto"",""en""))"),"KOL Specialist")</f>
        <v>KOL Specialist</v>
      </c>
      <c r="AA2917" s="23" t="str">
        <f aca="false">IF(C2917="","", CHOOSE(MONTH(C2917),"January","February","March","April","May","June","July","August","September","October","November","December")&amp;" "&amp;DAY(C2917)&amp;MID("thstndrdth",MIN(9,2*RIGHT(DAY(C2917))*(MOD(DAY(C2917)-11,100)&gt;2)+1),2)&amp;","&amp;TEXT(C2917," yyyy"))</f>
        <v>November 17th,2025</v>
      </c>
      <c r="AB2917" s="15" t="str">
        <f aca="true">IF(S2917="","",DATEDIF(S2917,TODAY(),"Y")&amp;" Tahun, "&amp;DATEDIF(S2917,TODAY(),"YM")&amp;" Bulan, "&amp;DATEDIF(S2917,TODAY(),"MD")&amp;" Hari")</f>
        <v>23 Tahun, 11 Bulan, 21 Hari</v>
      </c>
      <c r="AC2917" s="18" t="n">
        <v>45978</v>
      </c>
      <c r="AD2917" s="18" t="n">
        <f aca="false">EDATE(AC2917,3)-1</f>
        <v>46069</v>
      </c>
      <c r="AE2917" s="13" t="s">
        <v>44</v>
      </c>
    </row>
    <row r="2918" customFormat="false" ht="15" hidden="false" customHeight="true" outlineLevel="0" collapsed="false">
      <c r="A2918" s="12" t="n">
        <v>21350</v>
      </c>
      <c r="B2918" s="13" t="s">
        <v>12292</v>
      </c>
      <c r="C2918" s="16" t="n">
        <v>45987</v>
      </c>
      <c r="D2918" s="13" t="s">
        <v>6638</v>
      </c>
      <c r="E2918" s="15" t="s">
        <v>102</v>
      </c>
      <c r="F2918" s="15" t="str">
        <f aca="false">IFERROR(__xludf.dummyfunction("XLOOKUP(AJ2918,IMPORTRANGE(""1XaInW9DU9nz21V0tYIfzFQ0He9kVQ_JF2mCXgZ3hqFA"",""REKAP ALL 2026 - Andika!G:G""),IMPORTRANGE(""1XaInW9DU9nz21V0tYIfzFQ0He9kVQ_JF2mCXgZ3hqFA"",""REKAP ALL 2026 - Andika!F:F""),"""",0)"),"25180536176")</f>
        <v>25180536176</v>
      </c>
      <c r="G2918" s="13" t="s">
        <v>1127</v>
      </c>
      <c r="H2918" s="13" t="s">
        <v>35</v>
      </c>
      <c r="I2918" s="13" t="str">
        <f aca="false">IF(C2918=J2918,"NEW KONTRAK","RE-KONTRAK")</f>
        <v>NEW KONTRAK</v>
      </c>
      <c r="J2918" s="16" t="n">
        <f aca="false" t="array" ref="J2918:J2918">IFERROR(INDEX(AC2918:AE2918,IF(COUNTA(AC2918:AE2918)=0,"",MAX((AC2918:AE2918&lt;&gt;"")*(COLUMN(AC2918:AE2918)-(COLUMN(AC2918)))))-1),"")</f>
        <v>45987</v>
      </c>
      <c r="K2918" s="16" t="n">
        <f aca="false" t="array" ref="K2918:K2918">IFERROR(INDEX(AC2918:AE2918,IF(COUNTA(AC2918:AE2918)=0,"",MAX((AC2918:AE2918&lt;&gt;"")*(COLUMN(AC2918:AE2918)-(COLUMN(AC2918)-1))))-1),"")</f>
        <v>46078</v>
      </c>
      <c r="L2918" s="17" t="str">
        <f aca="false" t="array" ref="L2918:L2918">IFERROR(INDEX(AC2918:AE2918,IF(COUNTA(AC2918:AE2918)=0,"",MAX((AC2918:AE2918&lt;&gt;"")*(COLUMN(AC2918:AE2918)-(COLUMN(AC2918)-2))))-1),"")</f>
        <v>ARCHIVED</v>
      </c>
      <c r="M2918" s="13" t="n">
        <f aca="true">K2918-TODAY()</f>
        <v>-246</v>
      </c>
      <c r="N2918" s="18" t="s">
        <v>4735</v>
      </c>
      <c r="O2918" s="13" t="s">
        <v>10570</v>
      </c>
      <c r="P2918" s="19" t="n">
        <v>3113530</v>
      </c>
      <c r="Q2918" s="47" t="s">
        <v>12293</v>
      </c>
      <c r="R2918" s="13" t="s">
        <v>83</v>
      </c>
      <c r="S2918" s="16" t="n">
        <v>37244</v>
      </c>
      <c r="T2918" s="13" t="s">
        <v>108</v>
      </c>
      <c r="U2918" s="13" t="s">
        <v>12294</v>
      </c>
      <c r="V2918" s="13" t="s">
        <v>42</v>
      </c>
      <c r="W2918" s="13" t="s">
        <v>43</v>
      </c>
      <c r="X2918" s="21" t="n">
        <v>85704436820</v>
      </c>
      <c r="Y2918" s="22" t="str">
        <f aca="false">O2918</f>
        <v>KOL Specialist</v>
      </c>
      <c r="Z2918" s="13" t="str">
        <f aca="false">IFERROR(__xludf.dummyfunction("if(BJ2918="""","""",GOOGLETRANSLATE(BJ2918,""auto"",""en""))"),"KOL Specialist")</f>
        <v>KOL Specialist</v>
      </c>
      <c r="AA2918" s="23" t="str">
        <f aca="false">IF(C2918="","", CHOOSE(MONTH(C2918),"January","February","March","April","May","June","July","August","September","October","November","December")&amp;" "&amp;DAY(C2918)&amp;MID("thstndrdth",MIN(9,2*RIGHT(DAY(C2918))*(MOD(DAY(C2918)-11,100)&gt;2)+1),2)&amp;","&amp;TEXT(C2918," yyyy"))</f>
        <v>November 26th,2025</v>
      </c>
      <c r="AB2918" s="15" t="str">
        <f aca="true">IF(S2918="","",DATEDIF(S2918,TODAY(),"Y")&amp;" Tahun, "&amp;DATEDIF(S2918,TODAY(),"YM")&amp;" Bulan, "&amp;DATEDIF(S2918,TODAY(),"MD")&amp;" Hari")</f>
        <v>24 Tahun, 10 Bulan, 10 Hari</v>
      </c>
      <c r="AC2918" s="18" t="n">
        <v>45987</v>
      </c>
      <c r="AD2918" s="18" t="n">
        <f aca="false">EDATE(AC2918,3)-1</f>
        <v>46078</v>
      </c>
      <c r="AE2918" s="13" t="s">
        <v>44</v>
      </c>
    </row>
    <row r="2919" customFormat="false" ht="15" hidden="false" customHeight="true" outlineLevel="0" collapsed="false">
      <c r="A2919" s="12" t="n">
        <v>21351</v>
      </c>
      <c r="B2919" s="13" t="s">
        <v>12295</v>
      </c>
      <c r="C2919" s="16" t="n">
        <v>45980</v>
      </c>
      <c r="D2919" s="13" t="s">
        <v>6638</v>
      </c>
      <c r="E2919" s="15" t="s">
        <v>8354</v>
      </c>
      <c r="F2919" s="15" t="str">
        <f aca="false">IFERROR(__xludf.dummyfunction("XLOOKUP(AJ2919,IMPORTRANGE(""1XaInW9DU9nz21V0tYIfzFQ0He9kVQ_JF2mCXgZ3hqFA"",""REKAP ALL 2026 - Andika!G:G""),IMPORTRANGE(""1XaInW9DU9nz21V0tYIfzFQ0He9kVQ_JF2mCXgZ3hqFA"",""REKAP ALL 2026 - Andika!F:F""),"""",0)"),"25180536127")</f>
        <v>25180536127</v>
      </c>
      <c r="G2919" s="13" t="s">
        <v>1127</v>
      </c>
      <c r="H2919" s="13" t="s">
        <v>35</v>
      </c>
      <c r="I2919" s="13" t="str">
        <f aca="false">IF(C2919=J2919,"NEW KONTRAK","RE-KONTRAK")</f>
        <v>NEW KONTRAK</v>
      </c>
      <c r="J2919" s="16" t="n">
        <f aca="false" t="array" ref="J2919:J2919">IFERROR(INDEX(AC2919:AE2919,IF(COUNTA(AC2919:AE2919)=0,"",MAX((AC2919:AE2919&lt;&gt;"")*(COLUMN(AC2919:AE2919)-(COLUMN(AC2919)))))-1),"")</f>
        <v>45980</v>
      </c>
      <c r="K2919" s="16" t="n">
        <f aca="false" t="array" ref="K2919:K2919">IFERROR(INDEX(AC2919:AE2919,IF(COUNTA(AC2919:AE2919)=0,"",MAX((AC2919:AE2919&lt;&gt;"")*(COLUMN(AC2919:AE2919)-(COLUMN(AC2919)-1))))-1),"")</f>
        <v>46071</v>
      </c>
      <c r="L2919" s="17" t="str">
        <f aca="false" t="array" ref="L2919:L2919">IFERROR(INDEX(AC2919:AE2919,IF(COUNTA(AC2919:AE2919)=0,"",MAX((AC2919:AE2919&lt;&gt;"")*(COLUMN(AC2919:AE2919)-(COLUMN(AC2919)-2))))-1),"")</f>
        <v>ARCHIVED</v>
      </c>
      <c r="M2919" s="13" t="n">
        <f aca="true">K2919-TODAY()</f>
        <v>-253</v>
      </c>
      <c r="N2919" s="18" t="s">
        <v>4735</v>
      </c>
      <c r="O2919" s="13" t="s">
        <v>12296</v>
      </c>
      <c r="P2919" s="19" t="n">
        <v>3113530</v>
      </c>
      <c r="Q2919" s="47" t="s">
        <v>12297</v>
      </c>
      <c r="R2919" s="13" t="s">
        <v>83</v>
      </c>
      <c r="S2919" s="16" t="n">
        <v>37297</v>
      </c>
      <c r="T2919" s="13" t="s">
        <v>108</v>
      </c>
      <c r="U2919" s="17" t="s">
        <v>12298</v>
      </c>
      <c r="V2919" s="13" t="s">
        <v>99</v>
      </c>
      <c r="W2919" s="13" t="s">
        <v>43</v>
      </c>
      <c r="X2919" s="21" t="n">
        <v>85954570667</v>
      </c>
      <c r="Y2919" s="22" t="str">
        <f aca="false">O2919</f>
        <v>Admin Community</v>
      </c>
      <c r="Z2919" s="13" t="str">
        <f aca="false">IFERROR(__xludf.dummyfunction("if(BJ2919="""","""",GOOGLETRANSLATE(BJ2919,""auto"",""en""))"),"Admin Community")</f>
        <v>Admin Community</v>
      </c>
      <c r="AA2919" s="23" t="str">
        <f aca="false">IF(C2919="","", CHOOSE(MONTH(C2919),"January","February","March","April","May","June","July","August","September","October","November","December")&amp;" "&amp;DAY(C2919)&amp;MID("thstndrdth",MIN(9,2*RIGHT(DAY(C2919))*(MOD(DAY(C2919)-11,100)&gt;2)+1),2)&amp;","&amp;TEXT(C2919," yyyy"))</f>
        <v>November 19th,2025</v>
      </c>
      <c r="AB2919" s="15" t="str">
        <f aca="true">IF(S2919="","",DATEDIF(S2919,TODAY(),"Y")&amp;" Tahun, "&amp;DATEDIF(S2919,TODAY(),"YM")&amp;" Bulan, "&amp;DATEDIF(S2919,TODAY(),"MD")&amp;" Hari")</f>
        <v>24 Tahun, 8 Bulan, 19 Hari</v>
      </c>
      <c r="AC2919" s="18" t="n">
        <v>45980</v>
      </c>
      <c r="AD2919" s="18" t="n">
        <f aca="false">EDATE(AC2919,3)-1</f>
        <v>46071</v>
      </c>
      <c r="AE2919" s="13" t="s">
        <v>44</v>
      </c>
    </row>
    <row r="2920" customFormat="false" ht="15" hidden="false" customHeight="true" outlineLevel="0" collapsed="false">
      <c r="A2920" s="12" t="n">
        <v>21352</v>
      </c>
      <c r="B2920" s="13" t="s">
        <v>12299</v>
      </c>
      <c r="C2920" s="16" t="n">
        <v>45972</v>
      </c>
      <c r="D2920" s="13" t="s">
        <v>144</v>
      </c>
      <c r="E2920" s="15" t="s">
        <v>33</v>
      </c>
      <c r="F2920" s="24" t="s">
        <v>12300</v>
      </c>
      <c r="G2920" s="13" t="s">
        <v>1127</v>
      </c>
      <c r="H2920" s="13" t="s">
        <v>35</v>
      </c>
      <c r="I2920" s="13" t="str">
        <f aca="false">IF(C2920=J2920,"NEW KONTRAK","RE-KONTRAK")</f>
        <v>NEW KONTRAK</v>
      </c>
      <c r="J2920" s="16" t="n">
        <f aca="false" t="array" ref="J2920:J2920">IFERROR(INDEX(AC2920:AE2920,IF(COUNTA(AC2920:AE2920)=0,"",MAX((AC2920:AE2920&lt;&gt;"")*(COLUMN(AC2920:AE2920)-(COLUMN(AC2920)))))-1),"")</f>
        <v>45972</v>
      </c>
      <c r="K2920" s="16" t="n">
        <f aca="false" t="array" ref="K2920:K2920">IFERROR(INDEX(AC2920:AE2920,IF(COUNTA(AC2920:AE2920)=0,"",MAX((AC2920:AE2920&lt;&gt;"")*(COLUMN(AC2920:AE2920)-(COLUMN(AC2920)-1))))-1),"")</f>
        <v>46022</v>
      </c>
      <c r="L2920" s="17" t="str">
        <f aca="false" t="array" ref="L2920:L2920">IFERROR(INDEX(AC2920:AE2920,IF(COUNTA(AC2920:AE2920)=0,"",MAX((AC2920:AE2920&lt;&gt;"")*(COLUMN(AC2920:AE2920)-(COLUMN(AC2920)-2))))-1),"")</f>
        <v>ARCHIVED</v>
      </c>
      <c r="M2920" s="13" t="n">
        <f aca="true">K2920-TODAY()</f>
        <v>-302</v>
      </c>
      <c r="N2920" s="18" t="s">
        <v>36</v>
      </c>
      <c r="O2920" s="13" t="s">
        <v>12083</v>
      </c>
      <c r="P2920" s="19" t="n">
        <v>5195401</v>
      </c>
      <c r="Q2920" s="47" t="s">
        <v>12301</v>
      </c>
      <c r="R2920" s="13" t="s">
        <v>52</v>
      </c>
      <c r="S2920" s="16" t="n">
        <v>36422</v>
      </c>
      <c r="T2920" s="13" t="s">
        <v>40</v>
      </c>
      <c r="U2920" s="13" t="s">
        <v>12302</v>
      </c>
      <c r="V2920" s="13" t="s">
        <v>42</v>
      </c>
      <c r="W2920" s="13" t="s">
        <v>43</v>
      </c>
      <c r="X2920" s="21" t="n">
        <v>81233867193</v>
      </c>
      <c r="Y2920" s="22" t="str">
        <f aca="false">O2920</f>
        <v>Operator Reacktruck</v>
      </c>
      <c r="Z2920" s="13" t="str">
        <f aca="false">IFERROR(__xludf.dummyfunction("if(BJ2920="""","""",GOOGLETRANSLATE(BJ2920,""auto"",""en""))"),"Operator Reacktruck")</f>
        <v>Operator Reacktruck</v>
      </c>
      <c r="AA2920" s="23" t="str">
        <f aca="false">IF(C2920="","", CHOOSE(MONTH(C2920),"January","February","March","April","May","June","July","August","September","October","November","December")&amp;" "&amp;DAY(C2920)&amp;MID("thstndrdth",MIN(9,2*RIGHT(DAY(C2920))*(MOD(DAY(C2920)-11,100)&gt;2)+1),2)&amp;","&amp;TEXT(C2920," yyyy"))</f>
        <v>November 11th,2025</v>
      </c>
      <c r="AB2920" s="15" t="str">
        <f aca="true">IF(S2920="","",DATEDIF(S2920,TODAY(),"Y")&amp;" Tahun, "&amp;DATEDIF(S2920,TODAY(),"YM")&amp;" Bulan, "&amp;DATEDIF(S2920,TODAY(),"MD")&amp;" Hari")</f>
        <v>27 Tahun, 1 Bulan, 10 Hari</v>
      </c>
      <c r="AC2920" s="18" t="n">
        <v>45972</v>
      </c>
      <c r="AD2920" s="18" t="n">
        <v>46022</v>
      </c>
      <c r="AE2920" s="13" t="s">
        <v>44</v>
      </c>
    </row>
    <row r="2921" customFormat="false" ht="15" hidden="false" customHeight="true" outlineLevel="0" collapsed="false">
      <c r="A2921" s="12" t="n">
        <v>21353</v>
      </c>
      <c r="B2921" s="13" t="s">
        <v>12303</v>
      </c>
      <c r="C2921" s="16" t="n">
        <v>45972</v>
      </c>
      <c r="D2921" s="13" t="s">
        <v>144</v>
      </c>
      <c r="E2921" s="15" t="s">
        <v>47</v>
      </c>
      <c r="F2921" s="15" t="str">
        <f aca="false">IFERROR(__xludf.dummyfunction("XLOOKUP(AJ2921,IMPORTRANGE(""1XaInW9DU9nz21V0tYIfzFQ0He9kVQ_JF2mCXgZ3hqFA"",""REKAP ALL 2026 - Andika!G:G""),IMPORTRANGE(""1XaInW9DU9nz21V0tYIfzFQ0He9kVQ_JF2mCXgZ3hqFA"",""REKAP ALL 2026 - Andika!F:F""),"""",0)"),"25180536895")</f>
        <v>25180536895</v>
      </c>
      <c r="G2921" s="13" t="s">
        <v>1127</v>
      </c>
      <c r="H2921" s="13" t="s">
        <v>35</v>
      </c>
      <c r="I2921" s="13" t="str">
        <f aca="false">IF(C2921=J2921,"NEW KONTRAK","RE-KONTRAK")</f>
        <v>NEW KONTRAK</v>
      </c>
      <c r="J2921" s="16" t="n">
        <f aca="false" t="array" ref="J2921:J2921">IFERROR(INDEX(AC2921:AE2921,IF(COUNTA(AC2921:AE2921)=0,"",MAX((AC2921:AE2921&lt;&gt;"")*(COLUMN(AC2921:AE2921)-(COLUMN(AC2921)))))-1),"")</f>
        <v>45972</v>
      </c>
      <c r="K2921" s="16" t="n">
        <f aca="false" t="array" ref="K2921:K2921">IFERROR(INDEX(AC2921:AE2921,IF(COUNTA(AC2921:AE2921)=0,"",MAX((AC2921:AE2921&lt;&gt;"")*(COLUMN(AC2921:AE2921)-(COLUMN(AC2921)-1))))-1),"")</f>
        <v>46022</v>
      </c>
      <c r="L2921" s="17" t="str">
        <f aca="false" t="array" ref="L2921:L2921">IFERROR(INDEX(AC2921:AE2921,IF(COUNTA(AC2921:AE2921)=0,"",MAX((AC2921:AE2921&lt;&gt;"")*(COLUMN(AC2921:AE2921)-(COLUMN(AC2921)-2))))-1),"")</f>
        <v>ARCHIVED</v>
      </c>
      <c r="M2921" s="13" t="n">
        <f aca="true">K2921-TODAY()</f>
        <v>-302</v>
      </c>
      <c r="N2921" s="18" t="s">
        <v>36</v>
      </c>
      <c r="O2921" s="13" t="s">
        <v>12083</v>
      </c>
      <c r="P2921" s="19" t="n">
        <v>5195401</v>
      </c>
      <c r="Q2921" s="47" t="s">
        <v>12304</v>
      </c>
      <c r="R2921" s="13" t="s">
        <v>78</v>
      </c>
      <c r="S2921" s="16" t="n">
        <v>31309</v>
      </c>
      <c r="T2921" s="13" t="s">
        <v>40</v>
      </c>
      <c r="U2921" s="13" t="s">
        <v>12305</v>
      </c>
      <c r="V2921" s="13" t="s">
        <v>42</v>
      </c>
      <c r="W2921" s="13" t="s">
        <v>54</v>
      </c>
      <c r="X2921" s="21" t="n">
        <v>83117661597</v>
      </c>
      <c r="Y2921" s="22" t="str">
        <f aca="false">O2921</f>
        <v>Operator Reacktruck</v>
      </c>
      <c r="Z2921" s="13" t="str">
        <f aca="false">IFERROR(__xludf.dummyfunction("if(BJ2921="""","""",GOOGLETRANSLATE(BJ2921,""auto"",""en""))"),"Operator Reacktruck")</f>
        <v>Operator Reacktruck</v>
      </c>
      <c r="AA2921" s="23" t="str">
        <f aca="false">IF(C2921="","", CHOOSE(MONTH(C2921),"January","February","March","April","May","June","July","August","September","October","November","December")&amp;" "&amp;DAY(C2921)&amp;MID("thstndrdth",MIN(9,2*RIGHT(DAY(C2921))*(MOD(DAY(C2921)-11,100)&gt;2)+1),2)&amp;","&amp;TEXT(C2921," yyyy"))</f>
        <v>November 11th,2025</v>
      </c>
      <c r="AB2921" s="15" t="str">
        <f aca="true">IF(S2921="","",DATEDIF(S2921,TODAY(),"Y")&amp;" Tahun, "&amp;DATEDIF(S2921,TODAY(),"YM")&amp;" Bulan, "&amp;DATEDIF(S2921,TODAY(),"MD")&amp;" Hari")</f>
        <v>41 Tahun, 1 Bulan, 10 Hari</v>
      </c>
      <c r="AC2921" s="18" t="n">
        <v>45972</v>
      </c>
      <c r="AD2921" s="18" t="n">
        <v>46022</v>
      </c>
      <c r="AE2921" s="13" t="s">
        <v>44</v>
      </c>
    </row>
    <row r="2922" customFormat="false" ht="15" hidden="false" customHeight="true" outlineLevel="0" collapsed="false">
      <c r="A2922" s="12" t="n">
        <v>21354</v>
      </c>
      <c r="B2922" s="13" t="s">
        <v>12306</v>
      </c>
      <c r="C2922" s="16" t="n">
        <v>45972</v>
      </c>
      <c r="D2922" s="13" t="s">
        <v>144</v>
      </c>
      <c r="E2922" s="15" t="s">
        <v>47</v>
      </c>
      <c r="F2922" s="15" t="str">
        <f aca="false">IFERROR(__xludf.dummyfunction("XLOOKUP(AJ2922,IMPORTRANGE(""1XaInW9DU9nz21V0tYIfzFQ0He9kVQ_JF2mCXgZ3hqFA"",""REKAP ALL 2026 - Andika!G:G""),IMPORTRANGE(""1XaInW9DU9nz21V0tYIfzFQ0He9kVQ_JF2mCXgZ3hqFA"",""REKAP ALL 2026 - Andika!F:F""),"""",0)"),"25180536853")</f>
        <v>25180536853</v>
      </c>
      <c r="G2922" s="13" t="s">
        <v>1127</v>
      </c>
      <c r="H2922" s="13" t="s">
        <v>35</v>
      </c>
      <c r="I2922" s="13" t="str">
        <f aca="false">IF(C2922=J2922,"NEW KONTRAK","RE-KONTRAK")</f>
        <v>NEW KONTRAK</v>
      </c>
      <c r="J2922" s="16" t="n">
        <f aca="false" t="array" ref="J2922:J2922">IFERROR(INDEX(AC2922:AE2922,IF(COUNTA(AC2922:AE2922)=0,"",MAX((AC2922:AE2922&lt;&gt;"")*(COLUMN(AC2922:AE2922)-(COLUMN(AC2922)))))-1),"")</f>
        <v>45972</v>
      </c>
      <c r="K2922" s="16" t="n">
        <f aca="false" t="array" ref="K2922:K2922">IFERROR(INDEX(AC2922:AE2922,IF(COUNTA(AC2922:AE2922)=0,"",MAX((AC2922:AE2922&lt;&gt;"")*(COLUMN(AC2922:AE2922)-(COLUMN(AC2922)-1))))-1),"")</f>
        <v>46022</v>
      </c>
      <c r="L2922" s="17" t="str">
        <f aca="false" t="array" ref="L2922:L2922">IFERROR(INDEX(AC2922:AE2922,IF(COUNTA(AC2922:AE2922)=0,"",MAX((AC2922:AE2922&lt;&gt;"")*(COLUMN(AC2922:AE2922)-(COLUMN(AC2922)-2))))-1),"")</f>
        <v>ARCHIVED</v>
      </c>
      <c r="M2922" s="13" t="n">
        <f aca="true">K2922-TODAY()</f>
        <v>-302</v>
      </c>
      <c r="N2922" s="18" t="s">
        <v>36</v>
      </c>
      <c r="O2922" s="13" t="s">
        <v>11801</v>
      </c>
      <c r="P2922" s="19" t="n">
        <v>5195401</v>
      </c>
      <c r="Q2922" s="47" t="s">
        <v>12307</v>
      </c>
      <c r="R2922" s="13" t="s">
        <v>148</v>
      </c>
      <c r="S2922" s="16" t="n">
        <v>39016</v>
      </c>
      <c r="T2922" s="13" t="s">
        <v>40</v>
      </c>
      <c r="U2922" s="13" t="s">
        <v>12308</v>
      </c>
      <c r="V2922" s="13" t="s">
        <v>42</v>
      </c>
      <c r="W2922" s="13" t="s">
        <v>43</v>
      </c>
      <c r="X2922" s="21" t="n">
        <v>85716417643</v>
      </c>
      <c r="Y2922" s="22" t="str">
        <f aca="false">O2922</f>
        <v>Produksi Enamel</v>
      </c>
      <c r="Z2922" s="13" t="str">
        <f aca="false">IFERROR(__xludf.dummyfunction("if(BJ2922="""","""",GOOGLETRANSLATE(BJ2922,""auto"",""en""))"),"Enamel Production")</f>
        <v>Enamel Production</v>
      </c>
      <c r="AA2922" s="23" t="str">
        <f aca="false">IF(C2922="","", CHOOSE(MONTH(C2922),"January","February","March","April","May","June","July","August","September","October","November","December")&amp;" "&amp;DAY(C2922)&amp;MID("thstndrdth",MIN(9,2*RIGHT(DAY(C2922))*(MOD(DAY(C2922)-11,100)&gt;2)+1),2)&amp;","&amp;TEXT(C2922," yyyy"))</f>
        <v>November 11th,2025</v>
      </c>
      <c r="AB2922" s="15" t="str">
        <f aca="true">IF(S2922="","",DATEDIF(S2922,TODAY(),"Y")&amp;" Tahun, "&amp;DATEDIF(S2922,TODAY(),"YM")&amp;" Bulan, "&amp;DATEDIF(S2922,TODAY(),"MD")&amp;" Hari")</f>
        <v>20 Tahun, 0 Bulan, 3 Hari</v>
      </c>
      <c r="AC2922" s="18" t="n">
        <v>45972</v>
      </c>
      <c r="AD2922" s="18" t="n">
        <v>46022</v>
      </c>
      <c r="AE2922" s="13" t="s">
        <v>44</v>
      </c>
    </row>
    <row r="2923" customFormat="false" ht="15" hidden="false" customHeight="true" outlineLevel="0" collapsed="false">
      <c r="A2923" s="12" t="n">
        <v>21355</v>
      </c>
      <c r="B2923" s="13" t="s">
        <v>12309</v>
      </c>
      <c r="C2923" s="16" t="n">
        <v>45972</v>
      </c>
      <c r="D2923" s="13" t="s">
        <v>144</v>
      </c>
      <c r="E2923" s="13" t="s">
        <v>789</v>
      </c>
      <c r="F2923" s="15" t="str">
        <f aca="false">IFERROR(__xludf.dummyfunction("XLOOKUP(AJ2923,IMPORTRANGE(""1XaInW9DU9nz21V0tYIfzFQ0He9kVQ_JF2mCXgZ3hqFA"",""REKAP ALL 2026 - Andika!G:G""),IMPORTRANGE(""1XaInW9DU9nz21V0tYIfzFQ0He9kVQ_JF2mCXgZ3hqFA"",""REKAP ALL 2026 - Andika!F:F""),"""",0)"),"25180536861")</f>
        <v>25180536861</v>
      </c>
      <c r="G2923" s="13" t="s">
        <v>1127</v>
      </c>
      <c r="H2923" s="13" t="s">
        <v>35</v>
      </c>
      <c r="I2923" s="13" t="str">
        <f aca="false">IF(C2923=J2923,"NEW KONTRAK","RE-KONTRAK")</f>
        <v>NEW KONTRAK</v>
      </c>
      <c r="J2923" s="16" t="n">
        <f aca="false" t="array" ref="J2923:J2923">IFERROR(INDEX(AC2923:AE2923,IF(COUNTA(AC2923:AE2923)=0,"",MAX((AC2923:AE2923&lt;&gt;"")*(COLUMN(AC2923:AE2923)-(COLUMN(AC2923)))))-1),"")</f>
        <v>45972</v>
      </c>
      <c r="K2923" s="16" t="n">
        <f aca="false" t="array" ref="K2923:K2923">IFERROR(INDEX(AC2923:AE2923,IF(COUNTA(AC2923:AE2923)=0,"",MAX((AC2923:AE2923&lt;&gt;"")*(COLUMN(AC2923:AE2923)-(COLUMN(AC2923)-1))))-1),"")</f>
        <v>46022</v>
      </c>
      <c r="L2923" s="17" t="str">
        <f aca="false" t="array" ref="L2923:L2923">IFERROR(INDEX(AC2923:AE2923,IF(COUNTA(AC2923:AE2923)=0,"",MAX((AC2923:AE2923&lt;&gt;"")*(COLUMN(AC2923:AE2923)-(COLUMN(AC2923)-2))))-1),"")</f>
        <v>ARCHIVED</v>
      </c>
      <c r="M2923" s="13" t="n">
        <f aca="true">K2923-TODAY()</f>
        <v>-302</v>
      </c>
      <c r="N2923" s="18" t="s">
        <v>36</v>
      </c>
      <c r="O2923" s="13" t="s">
        <v>11801</v>
      </c>
      <c r="P2923" s="19" t="n">
        <v>5195401</v>
      </c>
      <c r="Q2923" s="47" t="s">
        <v>12310</v>
      </c>
      <c r="R2923" s="13" t="s">
        <v>879</v>
      </c>
      <c r="S2923" s="16" t="n">
        <v>35558</v>
      </c>
      <c r="T2923" s="13" t="s">
        <v>40</v>
      </c>
      <c r="U2923" s="13" t="s">
        <v>12311</v>
      </c>
      <c r="V2923" s="13" t="s">
        <v>42</v>
      </c>
      <c r="W2923" s="13" t="s">
        <v>54</v>
      </c>
      <c r="X2923" s="21" t="n">
        <v>85755710734</v>
      </c>
      <c r="Y2923" s="22" t="str">
        <f aca="false">O2923</f>
        <v>Produksi Enamel</v>
      </c>
      <c r="Z2923" s="13" t="str">
        <f aca="false">IFERROR(__xludf.dummyfunction("if(BJ2923="""","""",GOOGLETRANSLATE(BJ2923,""auto"",""en""))"),"Enamel Production")</f>
        <v>Enamel Production</v>
      </c>
      <c r="AA2923" s="23" t="str">
        <f aca="false">IF(C2923="","", CHOOSE(MONTH(C2923),"January","February","March","April","May","June","July","August","September","October","November","December")&amp;" "&amp;DAY(C2923)&amp;MID("thstndrdth",MIN(9,2*RIGHT(DAY(C2923))*(MOD(DAY(C2923)-11,100)&gt;2)+1),2)&amp;","&amp;TEXT(C2923," yyyy"))</f>
        <v>November 11th,2025</v>
      </c>
      <c r="AB2923" s="15" t="str">
        <f aca="true">IF(S2923="","",DATEDIF(S2923,TODAY(),"Y")&amp;" Tahun, "&amp;DATEDIF(S2923,TODAY(),"YM")&amp;" Bulan, "&amp;DATEDIF(S2923,TODAY(),"MD")&amp;" Hari")</f>
        <v>29 Tahun, 5 Bulan, 21 Hari</v>
      </c>
      <c r="AC2923" s="18" t="n">
        <v>45972</v>
      </c>
      <c r="AD2923" s="18" t="n">
        <v>46022</v>
      </c>
      <c r="AE2923" s="13" t="s">
        <v>44</v>
      </c>
    </row>
    <row r="2924" customFormat="false" ht="15" hidden="false" customHeight="true" outlineLevel="0" collapsed="false">
      <c r="A2924" s="12" t="n">
        <v>22475</v>
      </c>
      <c r="B2924" s="45" t="s">
        <v>12312</v>
      </c>
      <c r="C2924" s="14" t="n">
        <v>46202</v>
      </c>
      <c r="D2924" s="13" t="s">
        <v>101</v>
      </c>
      <c r="E2924" s="15" t="s">
        <v>47</v>
      </c>
      <c r="F2924" s="24" t="s">
        <v>12313</v>
      </c>
      <c r="G2924" s="13" t="s">
        <v>1127</v>
      </c>
      <c r="H2924" s="13" t="s">
        <v>35</v>
      </c>
      <c r="I2924" s="13" t="str">
        <f aca="false">IF(C2924=J2924,"NEW KONTRAK","RE-KONTRAK")</f>
        <v>NEW KONTRAK</v>
      </c>
      <c r="J2924" s="16" t="n">
        <f aca="false" t="array" ref="J2924:J2924">IFERROR(INDEX(AC2924:AE2924,IF(COUNTA(AC2924:AE2924)=0,"",MAX((AC2924:AE2924&lt;&gt;"")*(COLUMN(AC2924:AE2924)-(COLUMN(AC2924)))))-1),"")</f>
        <v>46202</v>
      </c>
      <c r="K2924" s="16" t="n">
        <f aca="false" t="array" ref="K2924:K2924">IFERROR(INDEX(AC2924:AE2924,IF(COUNTA(AC2924:AE2924)=0,"",MAX((AC2924:AE2924&lt;&gt;"")*(COLUMN(AC2924:AE2924)-(COLUMN(AC2924)-1))))-1),"")</f>
        <v>46293</v>
      </c>
      <c r="L2924" s="17" t="str">
        <f aca="false" t="array" ref="L2924:L2924">IFERROR(INDEX(AC2924:AE2924,IF(COUNTA(AC2924:AE2924)=0,"",MAX((AC2924:AE2924&lt;&gt;"")*(COLUMN(AC2924:AE2924)-(COLUMN(AC2924)-2))))-1),"")</f>
        <v>KEMBALI</v>
      </c>
      <c r="M2924" s="13" t="n">
        <f aca="true">K2924-TODAY()</f>
        <v>-31</v>
      </c>
      <c r="N2924" s="18" t="s">
        <v>105</v>
      </c>
      <c r="O2924" s="13" t="s">
        <v>12314</v>
      </c>
      <c r="P2924" s="26" t="n">
        <v>138915</v>
      </c>
      <c r="Q2924" s="47" t="s">
        <v>12315</v>
      </c>
      <c r="R2924" s="13" t="s">
        <v>12316</v>
      </c>
      <c r="S2924" s="48" t="n">
        <v>37202</v>
      </c>
      <c r="T2924" s="28" t="s">
        <v>40</v>
      </c>
      <c r="U2924" s="13" t="s">
        <v>12317</v>
      </c>
      <c r="V2924" s="28" t="s">
        <v>42</v>
      </c>
      <c r="W2924" s="28" t="s">
        <v>43</v>
      </c>
      <c r="X2924" s="21" t="n">
        <v>81336908565</v>
      </c>
      <c r="Y2924" s="22" t="str">
        <f aca="false">O2924</f>
        <v>Maintenance - Helper</v>
      </c>
      <c r="Z2924" s="13" t="str">
        <f aca="false">IFERROR(__xludf.dummyfunction("if(BJ2924="""","""",GOOGLETRANSLATE(BJ2924,""auto"",""en""))"),"Maintenance - Helper")</f>
        <v>Maintenance - Helper</v>
      </c>
      <c r="AA2924" s="23" t="str">
        <f aca="false">IF(C2924="","", CHOOSE(MONTH(C2924),"January","February","March","April","May","June","July","August","September","October","November","December")&amp;" "&amp;DAY(C2924)&amp;MID("thstndrdth",MIN(9,2*RIGHT(DAY(C2924))*(MOD(DAY(C2924)-11,100)&gt;2)+1),2)&amp;","&amp;TEXT(C2924," yyyy"))</f>
        <v>June 29th,2026</v>
      </c>
      <c r="AB2924" s="15" t="str">
        <f aca="true">IF(S2924="","",DATEDIF(S2924,TODAY(),"Y")&amp;" Tahun, "&amp;DATEDIF(S2924,TODAY(),"YM")&amp;" Bulan, "&amp;DATEDIF(S2924,TODAY(),"MD")&amp;" Hari")</f>
        <v>24 Tahun, 11 Bulan, 22 Hari</v>
      </c>
      <c r="AC2924" s="14" t="n">
        <v>46202</v>
      </c>
      <c r="AD2924" s="18" t="n">
        <f aca="false">EDATE(AC2924,3)-1</f>
        <v>46293</v>
      </c>
      <c r="AE2924" s="13" t="s">
        <v>397</v>
      </c>
    </row>
    <row r="2925" customFormat="false" ht="15" hidden="false" customHeight="true" outlineLevel="0" collapsed="false">
      <c r="A2925" s="12" t="n">
        <v>22558</v>
      </c>
      <c r="B2925" s="45" t="s">
        <v>12318</v>
      </c>
      <c r="C2925" s="14" t="n">
        <v>46219</v>
      </c>
      <c r="D2925" s="13" t="s">
        <v>101</v>
      </c>
      <c r="E2925" s="15" t="s">
        <v>47</v>
      </c>
      <c r="F2925" s="24" t="s">
        <v>12319</v>
      </c>
      <c r="G2925" s="28" t="s">
        <v>57</v>
      </c>
      <c r="H2925" s="13" t="s">
        <v>35</v>
      </c>
      <c r="I2925" s="13" t="str">
        <f aca="false">IF(C2925=J2925,"NEW KONTRAK","RE-KONTRAK")</f>
        <v>NEW KONTRAK</v>
      </c>
      <c r="J2925" s="16" t="n">
        <f aca="false" t="array" ref="J2925:J2925">IFERROR(INDEX(AC2925:AE2925,IF(COUNTA(AC2925:AE2925)=0,"",MAX((AC2925:AE2925&lt;&gt;"")*(COLUMN(AC2925:AE2925)-(COLUMN(AC2925)))))-1),"")</f>
        <v>46219</v>
      </c>
      <c r="K2925" s="16" t="n">
        <f aca="false" t="array" ref="K2925:K2925">IFERROR(INDEX(AC2925:AE2925,IF(COUNTA(AC2925:AE2925)=0,"",MAX((AC2925:AE2925&lt;&gt;"")*(COLUMN(AC2925:AE2925)-(COLUMN(AC2925)-1))))-1),"")</f>
        <v>46402</v>
      </c>
      <c r="L2925" s="17" t="str">
        <f aca="false" t="array" ref="L2925:L2925">IFERROR(INDEX(AC2925:AE2925,IF(COUNTA(AC2925:AE2925)=0,"",MAX((AC2925:AE2925&lt;&gt;"")*(COLUMN(AC2925:AE2925)-(COLUMN(AC2925)-2))))-1),"")</f>
        <v>KEMBALI</v>
      </c>
      <c r="M2925" s="13" t="n">
        <f aca="true">K2925-TODAY()</f>
        <v>78</v>
      </c>
      <c r="N2925" s="18" t="s">
        <v>105</v>
      </c>
      <c r="O2925" s="13" t="s">
        <v>1453</v>
      </c>
      <c r="P2925" s="26" t="n">
        <v>138915</v>
      </c>
      <c r="Q2925" s="20" t="s">
        <v>12320</v>
      </c>
      <c r="R2925" s="16" t="s">
        <v>39</v>
      </c>
      <c r="S2925" s="25" t="n">
        <v>38620</v>
      </c>
      <c r="T2925" s="28" t="s">
        <v>40</v>
      </c>
      <c r="U2925" s="17" t="s">
        <v>12321</v>
      </c>
      <c r="V2925" s="15" t="s">
        <v>42</v>
      </c>
      <c r="W2925" s="13" t="s">
        <v>43</v>
      </c>
      <c r="X2925" s="21" t="n">
        <v>89530019241</v>
      </c>
      <c r="Y2925" s="22" t="str">
        <f aca="false">O2925</f>
        <v>Helper Produksi</v>
      </c>
      <c r="Z2925" s="13" t="str">
        <f aca="false">IFERROR(__xludf.dummyfunction("if(BJ2925="""","""",GOOGLETRANSLATE(BJ2925,""auto"",""en""))"),"Production Helper")</f>
        <v>Production Helper</v>
      </c>
      <c r="AA2925" s="23" t="str">
        <f aca="false">IF(C2925="","", CHOOSE(MONTH(C2925),"January","February","March","April","May","June","July","August","September","October","November","December")&amp;" "&amp;DAY(C2925)&amp;MID("thstndrdth",MIN(9,2*RIGHT(DAY(C2925))*(MOD(DAY(C2925)-11,100)&gt;2)+1),2)&amp;","&amp;TEXT(C2925," yyyy"))</f>
        <v>July 16th,2026</v>
      </c>
      <c r="AB2925" s="15" t="str">
        <f aca="true">IF(S2925="","",DATEDIF(S2925,TODAY(),"Y")&amp;" Tahun, "&amp;DATEDIF(S2925,TODAY(),"YM")&amp;" Bulan, "&amp;DATEDIF(S2925,TODAY(),"MD")&amp;" Hari")</f>
        <v>21 Tahun, 1 Bulan, 4 Hari</v>
      </c>
      <c r="AC2925" s="14" t="n">
        <v>46219</v>
      </c>
      <c r="AD2925" s="18" t="n">
        <v>46402</v>
      </c>
      <c r="AE2925" s="13" t="s">
        <v>397</v>
      </c>
    </row>
    <row r="2926" customFormat="false" ht="15" hidden="false" customHeight="true" outlineLevel="0" collapsed="false">
      <c r="A2926" s="12" t="n">
        <v>21376</v>
      </c>
      <c r="B2926" s="13" t="s">
        <v>12322</v>
      </c>
      <c r="C2926" s="16" t="n">
        <v>45974</v>
      </c>
      <c r="D2926" s="13" t="s">
        <v>4112</v>
      </c>
      <c r="E2926" s="15" t="s">
        <v>102</v>
      </c>
      <c r="F2926" s="15" t="str">
        <f aca="false">IFERROR(__xludf.dummyfunction("XLOOKUP(AJ2926,IMPORTRANGE(""1XaInW9DU9nz21V0tYIfzFQ0He9kVQ_JF2mCXgZ3hqFA"",""REKAP ALL 2026 - Andika!G:G""),IMPORTRANGE(""1XaInW9DU9nz21V0tYIfzFQ0He9kVQ_JF2mCXgZ3hqFA"",""REKAP ALL 2026 - Andika!F:F""),"""",0)"),"25180471911")</f>
        <v>25180471911</v>
      </c>
      <c r="G2926" s="28" t="s">
        <v>57</v>
      </c>
      <c r="H2926" s="13" t="s">
        <v>35</v>
      </c>
      <c r="I2926" s="13" t="str">
        <f aca="false">IF(C2926=J2926,"NEW KONTRAK","RE-KONTRAK")</f>
        <v>NEW KONTRAK</v>
      </c>
      <c r="J2926" s="16" t="n">
        <f aca="false" t="array" ref="J2926:J2926">IFERROR(INDEX(AC2926:AE2926,IF(COUNTA(AC2926:AE2926)=0,"",MAX((AC2926:AE2926&lt;&gt;"")*(COLUMN(AC2926:AE2926)-(COLUMN(AC2926)))))-1),"")</f>
        <v>45974</v>
      </c>
      <c r="K2926" s="16" t="n">
        <f aca="false" t="array" ref="K2926:K2926">IFERROR(INDEX(AC2926:AE2926,IF(COUNTA(AC2926:AE2926)=0,"",MAX((AC2926:AE2926&lt;&gt;"")*(COLUMN(AC2926:AE2926)-(COLUMN(AC2926)-1))))-1),"")</f>
        <v>46065</v>
      </c>
      <c r="L2926" s="17" t="str">
        <f aca="false" t="array" ref="L2926:L2926">IFERROR(INDEX(AC2926:AE2926,IF(COUNTA(AC2926:AE2926)=0,"",MAX((AC2926:AE2926&lt;&gt;"")*(COLUMN(AC2926:AE2926)-(COLUMN(AC2926)-2))))-1),"")</f>
        <v>ARCHIVED</v>
      </c>
      <c r="M2926" s="13" t="n">
        <f aca="true">K2926-TODAY()</f>
        <v>-259</v>
      </c>
      <c r="N2926" s="18" t="s">
        <v>728</v>
      </c>
      <c r="O2926" s="13" t="s">
        <v>719</v>
      </c>
      <c r="P2926" s="19" t="n">
        <v>120000</v>
      </c>
      <c r="Q2926" s="47" t="s">
        <v>12323</v>
      </c>
      <c r="R2926" s="13" t="s">
        <v>52</v>
      </c>
      <c r="S2926" s="16" t="n">
        <v>32233</v>
      </c>
      <c r="T2926" s="28" t="s">
        <v>40</v>
      </c>
      <c r="U2926" s="13" t="s">
        <v>12324</v>
      </c>
      <c r="V2926" s="28" t="s">
        <v>1216</v>
      </c>
      <c r="W2926" s="13" t="s">
        <v>43</v>
      </c>
      <c r="X2926" s="21" t="n">
        <v>81252915542</v>
      </c>
      <c r="Y2926" s="22" t="str">
        <f aca="false">O2926</f>
        <v>Cleaning Service</v>
      </c>
      <c r="Z2926" s="13" t="str">
        <f aca="false">IFERROR(__xludf.dummyfunction("if(BJ2926="""","""",GOOGLETRANSLATE(BJ2926,""auto"",""en""))"),"Cleaning Service")</f>
        <v>Cleaning Service</v>
      </c>
      <c r="AA2926" s="23" t="str">
        <f aca="false">IF(C2926="","", CHOOSE(MONTH(C2926),"January","February","March","April","May","June","July","August","September","October","November","December")&amp;" "&amp;DAY(C2926)&amp;MID("thstndrdth",MIN(9,2*RIGHT(DAY(C2926))*(MOD(DAY(C2926)-11,100)&gt;2)+1),2)&amp;","&amp;TEXT(C2926," yyyy"))</f>
        <v>November 13th,2025</v>
      </c>
      <c r="AB2926" s="15" t="str">
        <f aca="true">IF(S2926="","",DATEDIF(S2926,TODAY(),"Y")&amp;" Tahun, "&amp;DATEDIF(S2926,TODAY(),"YM")&amp;" Bulan, "&amp;DATEDIF(S2926,TODAY(),"MD")&amp;" Hari")</f>
        <v>38 Tahun, 6 Bulan, 28 Hari</v>
      </c>
      <c r="AC2926" s="18" t="n">
        <v>45974</v>
      </c>
      <c r="AD2926" s="18" t="n">
        <f aca="false">EDATE(AC2926,3)-1</f>
        <v>46065</v>
      </c>
      <c r="AE2926" s="13" t="s">
        <v>44</v>
      </c>
    </row>
    <row r="2927" customFormat="false" ht="15" hidden="false" customHeight="true" outlineLevel="0" collapsed="false">
      <c r="A2927" s="12" t="n">
        <v>21383</v>
      </c>
      <c r="B2927" s="13" t="s">
        <v>12325</v>
      </c>
      <c r="C2927" s="16" t="n">
        <v>45975</v>
      </c>
      <c r="D2927" s="13" t="s">
        <v>5726</v>
      </c>
      <c r="E2927" s="15" t="s">
        <v>47</v>
      </c>
      <c r="F2927" s="15" t="str">
        <f aca="false">IFERROR(__xludf.dummyfunction("XLOOKUP(AJ2927,IMPORTRANGE(""1XaInW9DU9nz21V0tYIfzFQ0He9kVQ_JF2mCXgZ3hqFA"",""REKAP ALL 2026 - Andika!G:G""),IMPORTRANGE(""1XaInW9DU9nz21V0tYIfzFQ0He9kVQ_JF2mCXgZ3hqFA"",""REKAP ALL 2026 - Andika!F:F""),"""",0)"),"25180534114")</f>
        <v>25180534114</v>
      </c>
      <c r="G2927" s="13" t="s">
        <v>1127</v>
      </c>
      <c r="H2927" s="13" t="s">
        <v>35</v>
      </c>
      <c r="I2927" s="13" t="str">
        <f aca="false">IF(C2927=J2927,"NEW KONTRAK","RE-KONTRAK")</f>
        <v>NEW KONTRAK</v>
      </c>
      <c r="J2927" s="16" t="n">
        <f aca="false" t="array" ref="J2927:J2927">IFERROR(INDEX(AC2927:AE2927,IF(COUNTA(AC2927:AE2927)=0,"",MAX((AC2927:AE2927&lt;&gt;"")*(COLUMN(AC2927:AE2927)-(COLUMN(AC2927)))))-1),"")</f>
        <v>45975</v>
      </c>
      <c r="K2927" s="16" t="n">
        <f aca="false" t="array" ref="K2927:K2927">IFERROR(INDEX(AC2927:AE2927,IF(COUNTA(AC2927:AE2927)=0,"",MAX((AC2927:AE2927&lt;&gt;"")*(COLUMN(AC2927:AE2927)-(COLUMN(AC2927)-1))))-1),"")</f>
        <v>46066</v>
      </c>
      <c r="L2927" s="17" t="str">
        <f aca="false" t="array" ref="L2927:L2927">IFERROR(INDEX(AC2927:AE2927,IF(COUNTA(AC2927:AE2927)=0,"",MAX((AC2927:AE2927&lt;&gt;"")*(COLUMN(AC2927:AE2927)-(COLUMN(AC2927)-2))))-1),"")</f>
        <v>ARCHIVED</v>
      </c>
      <c r="M2927" s="13" t="n">
        <f aca="true">K2927-TODAY()</f>
        <v>-258</v>
      </c>
      <c r="N2927" s="18" t="s">
        <v>615</v>
      </c>
      <c r="O2927" s="13" t="s">
        <v>5252</v>
      </c>
      <c r="P2927" s="19" t="n">
        <v>5176101</v>
      </c>
      <c r="Q2927" s="47" t="s">
        <v>12326</v>
      </c>
      <c r="R2927" s="13" t="s">
        <v>65</v>
      </c>
      <c r="S2927" s="16" t="n">
        <v>34470</v>
      </c>
      <c r="T2927" s="28" t="s">
        <v>40</v>
      </c>
      <c r="U2927" s="13" t="s">
        <v>12327</v>
      </c>
      <c r="V2927" s="13" t="s">
        <v>42</v>
      </c>
      <c r="W2927" s="13" t="s">
        <v>54</v>
      </c>
      <c r="X2927" s="104" t="n">
        <v>85706415403</v>
      </c>
      <c r="Y2927" s="22" t="str">
        <f aca="false">O2927</f>
        <v>Helper Printing</v>
      </c>
      <c r="Z2927" s="13" t="str">
        <f aca="false">IFERROR(__xludf.dummyfunction("if(BJ2927="""","""",GOOGLETRANSLATE(BJ2927,""auto"",""en""))"),"Helper Printing")</f>
        <v>Helper Printing</v>
      </c>
      <c r="AA2927" s="23" t="str">
        <f aca="false">IF(C2927="","", CHOOSE(MONTH(C2927),"January","February","March","April","May","June","July","August","September","October","November","December")&amp;" "&amp;DAY(C2927)&amp;MID("thstndrdth",MIN(9,2*RIGHT(DAY(C2927))*(MOD(DAY(C2927)-11,100)&gt;2)+1),2)&amp;","&amp;TEXT(C2927," yyyy"))</f>
        <v>November 14th,2025</v>
      </c>
      <c r="AB2927" s="15" t="str">
        <f aca="true">IF(S2927="","",DATEDIF(S2927,TODAY(),"Y")&amp;" Tahun, "&amp;DATEDIF(S2927,TODAY(),"YM")&amp;" Bulan, "&amp;DATEDIF(S2927,TODAY(),"MD")&amp;" Hari")</f>
        <v>32 Tahun, 5 Bulan, 13 Hari</v>
      </c>
      <c r="AC2927" s="18" t="n">
        <v>45975</v>
      </c>
      <c r="AD2927" s="18" t="n">
        <f aca="false">EDATE(AC2927,3)-1</f>
        <v>46066</v>
      </c>
      <c r="AE2927" s="18" t="s">
        <v>44</v>
      </c>
    </row>
    <row r="2928" customFormat="false" ht="15" hidden="false" customHeight="true" outlineLevel="0" collapsed="false">
      <c r="A2928" s="12" t="n">
        <v>21384</v>
      </c>
      <c r="B2928" s="13" t="s">
        <v>12328</v>
      </c>
      <c r="C2928" s="16" t="n">
        <v>45971</v>
      </c>
      <c r="D2928" s="13" t="s">
        <v>10155</v>
      </c>
      <c r="E2928" s="15" t="s">
        <v>47</v>
      </c>
      <c r="F2928" s="15" t="str">
        <f aca="false">IFERROR(__xludf.dummyfunction("XLOOKUP(AJ2928,IMPORTRANGE(""1XaInW9DU9nz21V0tYIfzFQ0He9kVQ_JF2mCXgZ3hqFA"",""REKAP ALL 2026 - Andika!G:G""),IMPORTRANGE(""1XaInW9DU9nz21V0tYIfzFQ0He9kVQ_JF2mCXgZ3hqFA"",""REKAP ALL 2026 - Andika!F:F""),"""",0)"),"25168300835")</f>
        <v>25168300835</v>
      </c>
      <c r="G2928" s="13" t="s">
        <v>1127</v>
      </c>
      <c r="H2928" s="13" t="s">
        <v>35</v>
      </c>
      <c r="I2928" s="13" t="str">
        <f aca="false">IF(C2928=J2928,"NEW KONTRAK","RE-KONTRAK")</f>
        <v>NEW KONTRAK</v>
      </c>
      <c r="J2928" s="16" t="n">
        <f aca="false" t="array" ref="J2928:J2928">IFERROR(INDEX(AC2928:AE2928,IF(COUNTA(AC2928:AE2928)=0,"",MAX((AC2928:AE2928&lt;&gt;"")*(COLUMN(AC2928:AE2928)-(COLUMN(AC2928)))))-1),"")</f>
        <v>45971</v>
      </c>
      <c r="K2928" s="16" t="n">
        <f aca="false" t="array" ref="K2928:K2928">IFERROR(INDEX(AC2928:AE2928,IF(COUNTA(AC2928:AE2928)=0,"",MAX((AC2928:AE2928&lt;&gt;"")*(COLUMN(AC2928:AE2928)-(COLUMN(AC2928)-1))))-1),"")</f>
        <v>46022</v>
      </c>
      <c r="L2928" s="17" t="str">
        <f aca="false" t="array" ref="L2928:L2928">IFERROR(INDEX(AC2928:AE2928,IF(COUNTA(AC2928:AE2928)=0,"",MAX((AC2928:AE2928&lt;&gt;"")*(COLUMN(AC2928:AE2928)-(COLUMN(AC2928)-2))))-1),"")</f>
        <v>ARCHIVED</v>
      </c>
      <c r="M2928" s="13" t="n">
        <f aca="true">K2928-TODAY()</f>
        <v>-302</v>
      </c>
      <c r="N2928" s="18" t="s">
        <v>36</v>
      </c>
      <c r="O2928" s="13" t="s">
        <v>12329</v>
      </c>
      <c r="P2928" s="27" t="n">
        <v>5195401</v>
      </c>
      <c r="Q2928" s="47" t="s">
        <v>12330</v>
      </c>
      <c r="R2928" s="13" t="s">
        <v>65</v>
      </c>
      <c r="S2928" s="16" t="n">
        <v>37952</v>
      </c>
      <c r="T2928" s="13" t="s">
        <v>108</v>
      </c>
      <c r="U2928" s="13" t="s">
        <v>12331</v>
      </c>
      <c r="V2928" s="13" t="s">
        <v>42</v>
      </c>
      <c r="W2928" s="13" t="s">
        <v>43</v>
      </c>
      <c r="X2928" s="21" t="n">
        <v>81216463871</v>
      </c>
      <c r="Y2928" s="22" t="str">
        <f aca="false">O2928</f>
        <v>PAYABLE ADMIN</v>
      </c>
      <c r="Z2928" s="13" t="str">
        <f aca="false">IFERROR(__xludf.dummyfunction("if(BJ2928="""","""",GOOGLETRANSLATE(BJ2928,""auto"",""en""))"),"PAYABLE ADMIN")</f>
        <v>PAYABLE ADMIN</v>
      </c>
      <c r="AA2928" s="23" t="str">
        <f aca="false">IF(C2928="","", CHOOSE(MONTH(C2928),"January","February","March","April","May","June","July","August","September","October","November","December")&amp;" "&amp;DAY(C2928)&amp;MID("thstndrdth",MIN(9,2*RIGHT(DAY(C2928))*(MOD(DAY(C2928)-11,100)&gt;2)+1),2)&amp;","&amp;TEXT(C2928," yyyy"))</f>
        <v>November 10th,2025</v>
      </c>
      <c r="AB2928" s="15" t="str">
        <f aca="true">IF(S2928="","",DATEDIF(S2928,TODAY(),"Y")&amp;" Tahun, "&amp;DATEDIF(S2928,TODAY(),"YM")&amp;" Bulan, "&amp;DATEDIF(S2928,TODAY(),"MD")&amp;" Hari")</f>
        <v>22 Tahun, 11 Bulan, 2 Hari</v>
      </c>
      <c r="AC2928" s="18" t="n">
        <v>45971</v>
      </c>
      <c r="AD2928" s="18" t="n">
        <v>46022</v>
      </c>
      <c r="AE2928" s="13" t="s">
        <v>44</v>
      </c>
    </row>
    <row r="2929" customFormat="false" ht="15" hidden="false" customHeight="true" outlineLevel="0" collapsed="false">
      <c r="A2929" s="12" t="n">
        <v>21386</v>
      </c>
      <c r="B2929" s="13" t="s">
        <v>12332</v>
      </c>
      <c r="C2929" s="16" t="n">
        <v>45971</v>
      </c>
      <c r="D2929" s="13" t="s">
        <v>2033</v>
      </c>
      <c r="E2929" s="15" t="s">
        <v>33</v>
      </c>
      <c r="F2929" s="24" t="s">
        <v>12333</v>
      </c>
      <c r="G2929" s="13" t="s">
        <v>1127</v>
      </c>
      <c r="H2929" s="13" t="s">
        <v>35</v>
      </c>
      <c r="I2929" s="13" t="str">
        <f aca="false">IF(C2929=J2929,"NEW KONTRAK","RE-KONTRAK")</f>
        <v>NEW KONTRAK</v>
      </c>
      <c r="J2929" s="16" t="n">
        <f aca="false" t="array" ref="J2929:J2929">IFERROR(INDEX(AC2929:AE2929,IF(COUNTA(AC2929:AE2929)=0,"",MAX((AC2929:AE2929&lt;&gt;"")*(COLUMN(AC2929:AE2929)-(COLUMN(AC2929)))))-1),"")</f>
        <v>45971</v>
      </c>
      <c r="K2929" s="16" t="n">
        <f aca="false" t="array" ref="K2929:K2929">IFERROR(INDEX(AC2929:AE2929,IF(COUNTA(AC2929:AE2929)=0,"",MAX((AC2929:AE2929&lt;&gt;"")*(COLUMN(AC2929:AE2929)-(COLUMN(AC2929)-1))))-1),"")</f>
        <v>46037</v>
      </c>
      <c r="L2929" s="17" t="str">
        <f aca="false" t="array" ref="L2929:L2929">IFERROR(INDEX(AC2929:AE2929,IF(COUNTA(AC2929:AE2929)=0,"",MAX((AC2929:AE2929&lt;&gt;"")*(COLUMN(AC2929:AE2929)-(COLUMN(AC2929)-2))))-1),"")</f>
        <v>ARCHIVED</v>
      </c>
      <c r="M2929" s="13" t="n">
        <f aca="true">K2929-TODAY()</f>
        <v>-287</v>
      </c>
      <c r="N2929" s="18" t="s">
        <v>2434</v>
      </c>
      <c r="O2929" s="13" t="s">
        <v>2037</v>
      </c>
      <c r="P2929" s="19" t="n">
        <v>2655041</v>
      </c>
      <c r="Q2929" s="47" t="s">
        <v>12334</v>
      </c>
      <c r="R2929" s="13" t="s">
        <v>5004</v>
      </c>
      <c r="S2929" s="16" t="n">
        <v>37076</v>
      </c>
      <c r="T2929" s="13" t="s">
        <v>108</v>
      </c>
      <c r="U2929" s="13" t="s">
        <v>12335</v>
      </c>
      <c r="V2929" s="13" t="s">
        <v>42</v>
      </c>
      <c r="W2929" s="13" t="s">
        <v>43</v>
      </c>
      <c r="X2929" s="21" t="n">
        <v>882006850914</v>
      </c>
      <c r="Y2929" s="22" t="str">
        <f aca="false">O2929</f>
        <v>SPG/BA</v>
      </c>
      <c r="Z2929" s="13" t="str">
        <f aca="false">IFERROR(__xludf.dummyfunction("if(BJ2929="""","""",GOOGLETRANSLATE(BJ2929,""auto"",""en""))"),"SPG/BA")</f>
        <v>SPG/BA</v>
      </c>
      <c r="AA2929" s="23" t="str">
        <f aca="false">IF(C2929="","", CHOOSE(MONTH(C2929),"January","February","March","April","May","June","July","August","September","October","November","December")&amp;" "&amp;DAY(C2929)&amp;MID("thstndrdth",MIN(9,2*RIGHT(DAY(C2929))*(MOD(DAY(C2929)-11,100)&gt;2)+1),2)&amp;","&amp;TEXT(C2929," yyyy"))</f>
        <v>November 10th,2025</v>
      </c>
      <c r="AB2929" s="15" t="str">
        <f aca="true">IF(S2929="","",DATEDIF(S2929,TODAY(),"Y")&amp;" Tahun, "&amp;DATEDIF(S2929,TODAY(),"YM")&amp;" Bulan, "&amp;DATEDIF(S2929,TODAY(),"MD")&amp;" Hari")</f>
        <v>25 Tahun, 3 Bulan, 25 Hari</v>
      </c>
      <c r="AC2929" s="18" t="n">
        <v>45971</v>
      </c>
      <c r="AD2929" s="18" t="n">
        <v>46037</v>
      </c>
      <c r="AE2929" s="13" t="s">
        <v>44</v>
      </c>
    </row>
    <row r="2930" customFormat="false" ht="15" hidden="false" customHeight="true" outlineLevel="0" collapsed="false">
      <c r="A2930" s="12" t="n">
        <v>21387</v>
      </c>
      <c r="B2930" s="13" t="s">
        <v>12336</v>
      </c>
      <c r="C2930" s="16" t="n">
        <v>45972</v>
      </c>
      <c r="D2930" s="13" t="s">
        <v>2033</v>
      </c>
      <c r="E2930" s="15" t="s">
        <v>1742</v>
      </c>
      <c r="F2930" s="15" t="str">
        <f aca="false">IFERROR(__xludf.dummyfunction("XLOOKUP(AJ2930,IMPORTRANGE(""1XaInW9DU9nz21V0tYIfzFQ0He9kVQ_JF2mCXgZ3hqFA"",""REKAP ALL 2026 - Andika!G:G""),IMPORTRANGE(""1XaInW9DU9nz21V0tYIfzFQ0He9kVQ_JF2mCXgZ3hqFA"",""REKAP ALL 2026 - Andika!F:F""),"""",0)"),"25180535483")</f>
        <v>25180535483</v>
      </c>
      <c r="G2930" s="13" t="s">
        <v>1127</v>
      </c>
      <c r="H2930" s="13" t="s">
        <v>35</v>
      </c>
      <c r="I2930" s="13" t="str">
        <f aca="false">IF(C2930=J2930,"NEW KONTRAK","RE-KONTRAK")</f>
        <v>NEW KONTRAK</v>
      </c>
      <c r="J2930" s="16" t="n">
        <f aca="false" t="array" ref="J2930:J2930">IFERROR(INDEX(AC2930:AE2930,IF(COUNTA(AC2930:AE2930)=0,"",MAX((AC2930:AE2930&lt;&gt;"")*(COLUMN(AC2930:AE2930)-(COLUMN(AC2930)))))-1),"")</f>
        <v>45972</v>
      </c>
      <c r="K2930" s="16" t="n">
        <f aca="false" t="array" ref="K2930:K2930">IFERROR(INDEX(AC2930:AE2930,IF(COUNTA(AC2930:AE2930)=0,"",MAX((AC2930:AE2930&lt;&gt;"")*(COLUMN(AC2930:AE2930)-(COLUMN(AC2930)-1))))-1),"")</f>
        <v>46037</v>
      </c>
      <c r="L2930" s="17" t="str">
        <f aca="false" t="array" ref="L2930:L2930">IFERROR(INDEX(AC2930:AE2930,IF(COUNTA(AC2930:AE2930)=0,"",MAX((AC2930:AE2930&lt;&gt;"")*(COLUMN(AC2930:AE2930)-(COLUMN(AC2930)-2))))-1),"")</f>
        <v>ARCHIVED</v>
      </c>
      <c r="M2930" s="13" t="n">
        <f aca="true">K2930-TODAY()</f>
        <v>-287</v>
      </c>
      <c r="N2930" s="18" t="s">
        <v>2369</v>
      </c>
      <c r="O2930" s="13" t="s">
        <v>2037</v>
      </c>
      <c r="P2930" s="19" t="n">
        <v>3516070</v>
      </c>
      <c r="Q2930" s="47" t="s">
        <v>12337</v>
      </c>
      <c r="R2930" s="13" t="s">
        <v>12338</v>
      </c>
      <c r="S2930" s="16" t="n">
        <v>37460</v>
      </c>
      <c r="T2930" s="13" t="s">
        <v>108</v>
      </c>
      <c r="U2930" s="13" t="s">
        <v>12339</v>
      </c>
      <c r="V2930" s="13" t="s">
        <v>42</v>
      </c>
      <c r="W2930" s="13" t="s">
        <v>43</v>
      </c>
      <c r="X2930" s="21" t="n">
        <v>89507419957</v>
      </c>
      <c r="Y2930" s="22" t="str">
        <f aca="false">O2930</f>
        <v>SPG/BA</v>
      </c>
      <c r="Z2930" s="13" t="str">
        <f aca="false">IFERROR(__xludf.dummyfunction("if(BJ2930="""","""",GOOGLETRANSLATE(BJ2930,""auto"",""en""))"),"SPG/BA")</f>
        <v>SPG/BA</v>
      </c>
      <c r="AA2930" s="23" t="str">
        <f aca="false">IF(C2930="","", CHOOSE(MONTH(C2930),"January","February","March","April","May","June","July","August","September","October","November","December")&amp;" "&amp;DAY(C2930)&amp;MID("thstndrdth",MIN(9,2*RIGHT(DAY(C2930))*(MOD(DAY(C2930)-11,100)&gt;2)+1),2)&amp;","&amp;TEXT(C2930," yyyy"))</f>
        <v>November 11th,2025</v>
      </c>
      <c r="AB2930" s="15" t="str">
        <f aca="true">IF(S2930="","",DATEDIF(S2930,TODAY(),"Y")&amp;" Tahun, "&amp;DATEDIF(S2930,TODAY(),"YM")&amp;" Bulan, "&amp;DATEDIF(S2930,TODAY(),"MD")&amp;" Hari")</f>
        <v>24 Tahun, 3 Bulan, 6 Hari</v>
      </c>
      <c r="AC2930" s="18" t="n">
        <v>45972</v>
      </c>
      <c r="AD2930" s="18" t="n">
        <v>46037</v>
      </c>
      <c r="AE2930" s="13" t="s">
        <v>44</v>
      </c>
    </row>
    <row r="2931" customFormat="false" ht="15" hidden="false" customHeight="true" outlineLevel="0" collapsed="false">
      <c r="A2931" s="12" t="n">
        <v>21390</v>
      </c>
      <c r="B2931" s="13" t="s">
        <v>12340</v>
      </c>
      <c r="C2931" s="16" t="n">
        <v>45982</v>
      </c>
      <c r="D2931" s="13" t="s">
        <v>9043</v>
      </c>
      <c r="E2931" s="15" t="s">
        <v>102</v>
      </c>
      <c r="F2931" s="15" t="str">
        <f aca="false">IFERROR(__xludf.dummyfunction("XLOOKUP(AJ2931,IMPORTRANGE(""1XaInW9DU9nz21V0tYIfzFQ0He9kVQ_JF2mCXgZ3hqFA"",""REKAP ALL 2026 - Andika!G:G""),IMPORTRANGE(""1XaInW9DU9nz21V0tYIfzFQ0He9kVQ_JF2mCXgZ3hqFA"",""REKAP ALL 2026 - Andika!F:F""),"""",0)"),"25180535913")</f>
        <v>25180535913</v>
      </c>
      <c r="G2931" s="28" t="s">
        <v>57</v>
      </c>
      <c r="H2931" s="13" t="s">
        <v>35</v>
      </c>
      <c r="I2931" s="13" t="str">
        <f aca="false">IF(C2931=J2931,"NEW KONTRAK","RE-KONTRAK")</f>
        <v>NEW KONTRAK</v>
      </c>
      <c r="J2931" s="16" t="n">
        <f aca="false" t="array" ref="J2931:J2931">IFERROR(INDEX(AC2931:AE2931,IF(COUNTA(AC2931:AE2931)=0,"",MAX((AC2931:AE2931&lt;&gt;"")*(COLUMN(AC2931:AE2931)-(COLUMN(AC2931)))))-1),"")</f>
        <v>45982</v>
      </c>
      <c r="K2931" s="16" t="n">
        <f aca="false" t="array" ref="K2931:K2931">IFERROR(INDEX(AC2931:AE2931,IF(COUNTA(AC2931:AE2931)=0,"",MAX((AC2931:AE2931&lt;&gt;"")*(COLUMN(AC2931:AE2931)-(COLUMN(AC2931)-1))))-1),"")</f>
        <v>46162</v>
      </c>
      <c r="L2931" s="17" t="str">
        <f aca="false" t="array" ref="L2931:L2931">IFERROR(INDEX(AC2931:AE2931,IF(COUNTA(AC2931:AE2931)=0,"",MAX((AC2931:AE2931&lt;&gt;"")*(COLUMN(AC2931:AE2931)-(COLUMN(AC2931)-2))))-1),"")</f>
        <v>ARCHIVED</v>
      </c>
      <c r="M2931" s="13" t="n">
        <f aca="true">K2931-TODAY()</f>
        <v>-162</v>
      </c>
      <c r="N2931" s="50" t="s">
        <v>105</v>
      </c>
      <c r="O2931" s="13" t="s">
        <v>12341</v>
      </c>
      <c r="P2931" s="19" t="n">
        <v>3944496</v>
      </c>
      <c r="Q2931" s="47" t="s">
        <v>12342</v>
      </c>
      <c r="R2931" s="13" t="s">
        <v>52</v>
      </c>
      <c r="S2931" s="16" t="n">
        <v>37497</v>
      </c>
      <c r="T2931" s="13" t="s">
        <v>108</v>
      </c>
      <c r="U2931" s="13" t="s">
        <v>12343</v>
      </c>
      <c r="V2931" s="13" t="s">
        <v>42</v>
      </c>
      <c r="W2931" s="13" t="s">
        <v>43</v>
      </c>
      <c r="X2931" s="21" t="n">
        <v>82337850533</v>
      </c>
      <c r="Y2931" s="22" t="str">
        <f aca="false">O2931</f>
        <v>Creative Staff</v>
      </c>
      <c r="Z2931" s="13" t="str">
        <f aca="false">IFERROR(__xludf.dummyfunction("if(BJ2931="""","""",GOOGLETRANSLATE(BJ2931,""auto"",""en""))"),"Creative Staff")</f>
        <v>Creative Staff</v>
      </c>
      <c r="AA2931" s="23" t="str">
        <f aca="false">IF(C2931="","", CHOOSE(MONTH(C2931),"January","February","March","April","May","June","July","August","September","October","November","December")&amp;" "&amp;DAY(C2931)&amp;MID("thstndrdth",MIN(9,2*RIGHT(DAY(C2931))*(MOD(DAY(C2931)-11,100)&gt;2)+1),2)&amp;","&amp;TEXT(C2931," yyyy"))</f>
        <v>November 21st,2025</v>
      </c>
      <c r="AB2931" s="15" t="str">
        <f aca="true">IF(S2931="","",DATEDIF(S2931,TODAY(),"Y")&amp;" Tahun, "&amp;DATEDIF(S2931,TODAY(),"YM")&amp;" Bulan, "&amp;DATEDIF(S2931,TODAY(),"MD")&amp;" Hari")</f>
        <v>24 Tahun, 2 Bulan, 0 Hari</v>
      </c>
      <c r="AC2931" s="18" t="n">
        <v>45982</v>
      </c>
      <c r="AD2931" s="18" t="n">
        <f aca="false">EDATE(AC2931,6)-1</f>
        <v>46162</v>
      </c>
      <c r="AE2931" s="13" t="s">
        <v>44</v>
      </c>
    </row>
    <row r="2932" customFormat="false" ht="15" hidden="false" customHeight="true" outlineLevel="0" collapsed="false">
      <c r="A2932" s="12" t="n">
        <v>21396</v>
      </c>
      <c r="B2932" s="13" t="s">
        <v>12344</v>
      </c>
      <c r="C2932" s="16" t="n">
        <v>45945</v>
      </c>
      <c r="D2932" s="13" t="s">
        <v>2046</v>
      </c>
      <c r="E2932" s="15" t="s">
        <v>102</v>
      </c>
      <c r="F2932" s="15" t="str">
        <f aca="false">IFERROR(__xludf.dummyfunction("XLOOKUP(AJ2932,IMPORTRANGE(""1XaInW9DU9nz21V0tYIfzFQ0He9kVQ_JF2mCXgZ3hqFA"",""REKAP ALL 2026 - Andika!G:G""),IMPORTRANGE(""1XaInW9DU9nz21V0tYIfzFQ0He9kVQ_JF2mCXgZ3hqFA"",""REKAP ALL 2026 - Andika!F:F""),"""",0)"),"25180537208")</f>
        <v>25180537208</v>
      </c>
      <c r="G2932" s="28" t="s">
        <v>57</v>
      </c>
      <c r="H2932" s="13" t="s">
        <v>35</v>
      </c>
      <c r="I2932" s="13" t="str">
        <f aca="false">IF(C2932=J2932,"NEW KONTRAK","RE-KONTRAK")</f>
        <v>NEW KONTRAK</v>
      </c>
      <c r="J2932" s="16" t="n">
        <f aca="false" t="array" ref="J2932:J2932">IFERROR(INDEX(AC2932:AE2932,IF(COUNTA(AC2932:AE2932)=0,"",MAX((AC2932:AE2932&lt;&gt;"")*(COLUMN(AC2932:AE2932)-(COLUMN(AC2932)))))-1),"")</f>
        <v>45945</v>
      </c>
      <c r="K2932" s="16" t="n">
        <f aca="false" t="array" ref="K2932:K2932">IFERROR(INDEX(AC2932:AE2932,IF(COUNTA(AC2932:AE2932)=0,"",MAX((AC2932:AE2932&lt;&gt;"")*(COLUMN(AC2932:AE2932)-(COLUMN(AC2932)-1))))-1),"")</f>
        <v>45975</v>
      </c>
      <c r="L2932" s="17" t="str">
        <f aca="false" t="array" ref="L2932:L2932">IFERROR(INDEX(AC2932:AE2932,IF(COUNTA(AC2932:AE2932)=0,"",MAX((AC2932:AE2932&lt;&gt;"")*(COLUMN(AC2932:AE2932)-(COLUMN(AC2932)-2))))-1),"")</f>
        <v>ARCHIVED</v>
      </c>
      <c r="M2932" s="13" t="n">
        <f aca="true">K2932-TODAY()</f>
        <v>-349</v>
      </c>
      <c r="N2932" s="18" t="s">
        <v>36</v>
      </c>
      <c r="O2932" s="13" t="s">
        <v>2055</v>
      </c>
      <c r="P2932" s="19" t="s">
        <v>2050</v>
      </c>
      <c r="Q2932" s="47" t="s">
        <v>12345</v>
      </c>
      <c r="R2932" s="13" t="s">
        <v>65</v>
      </c>
      <c r="S2932" s="16" t="n">
        <v>35251</v>
      </c>
      <c r="T2932" s="13" t="s">
        <v>40</v>
      </c>
      <c r="U2932" s="13" t="s">
        <v>2737</v>
      </c>
      <c r="V2932" s="13" t="s">
        <v>42</v>
      </c>
      <c r="W2932" s="13" t="s">
        <v>43</v>
      </c>
      <c r="X2932" s="30" t="n">
        <v>87740369003</v>
      </c>
      <c r="Y2932" s="22" t="str">
        <f aca="false">O2932</f>
        <v>Assembly</v>
      </c>
      <c r="Z2932" s="13" t="str">
        <f aca="false">IFERROR(__xludf.dummyfunction("if(BJ2932="""","""",GOOGLETRANSLATE(BJ2932,""auto"",""en""))"),"Assembly")</f>
        <v>Assembly</v>
      </c>
      <c r="AA2932" s="23" t="str">
        <f aca="false">IF(C2932="","", CHOOSE(MONTH(C2932),"January","February","March","April","May","June","July","August","September","October","November","December")&amp;" "&amp;DAY(C2932)&amp;MID("thstndrdth",MIN(9,2*RIGHT(DAY(C2932))*(MOD(DAY(C2932)-11,100)&gt;2)+1),2)&amp;","&amp;TEXT(C2932," yyyy"))</f>
        <v>October 15th,2025</v>
      </c>
      <c r="AB2932" s="15" t="str">
        <f aca="true">IF(S2932="","",DATEDIF(S2932,TODAY(),"Y")&amp;" Tahun, "&amp;DATEDIF(S2932,TODAY(),"YM")&amp;" Bulan, "&amp;DATEDIF(S2932,TODAY(),"MD")&amp;" Hari")</f>
        <v>30 Tahun, 3 Bulan, 24 Hari</v>
      </c>
      <c r="AC2932" s="18" t="n">
        <v>45945</v>
      </c>
      <c r="AD2932" s="18" t="n">
        <f aca="false">EDATE(AC2932,1)-1</f>
        <v>45975</v>
      </c>
      <c r="AE2932" s="13" t="s">
        <v>44</v>
      </c>
    </row>
    <row r="2933" customFormat="false" ht="15" hidden="false" customHeight="true" outlineLevel="0" collapsed="false">
      <c r="A2933" s="12" t="n">
        <v>21416</v>
      </c>
      <c r="B2933" s="13" t="s">
        <v>12346</v>
      </c>
      <c r="C2933" s="16" t="n">
        <v>45975</v>
      </c>
      <c r="D2933" s="13" t="s">
        <v>144</v>
      </c>
      <c r="E2933" s="15" t="s">
        <v>33</v>
      </c>
      <c r="F2933" s="24" t="s">
        <v>12347</v>
      </c>
      <c r="G2933" s="13" t="s">
        <v>1127</v>
      </c>
      <c r="H2933" s="13" t="s">
        <v>35</v>
      </c>
      <c r="I2933" s="13" t="str">
        <f aca="false">IF(C2933=J2933,"NEW KONTRAK","RE-KONTRAK")</f>
        <v>NEW KONTRAK</v>
      </c>
      <c r="J2933" s="16" t="n">
        <f aca="false" t="array" ref="J2933:J2933">IFERROR(INDEX(AC2933:AE2933,IF(COUNTA(AC2933:AE2933)=0,"",MAX((AC2933:AE2933&lt;&gt;"")*(COLUMN(AC2933:AE2933)-(COLUMN(AC2933)))))-1),"")</f>
        <v>45975</v>
      </c>
      <c r="K2933" s="16" t="n">
        <f aca="false" t="array" ref="K2933:K2933">IFERROR(INDEX(AC2933:AE2933,IF(COUNTA(AC2933:AE2933)=0,"",MAX((AC2933:AE2933&lt;&gt;"")*(COLUMN(AC2933:AE2933)-(COLUMN(AC2933)-1))))-1),"")</f>
        <v>46022</v>
      </c>
      <c r="L2933" s="17" t="str">
        <f aca="false" t="array" ref="L2933:L2933">IFERROR(INDEX(AC2933:AE2933,IF(COUNTA(AC2933:AE2933)=0,"",MAX((AC2933:AE2933&lt;&gt;"")*(COLUMN(AC2933:AE2933)-(COLUMN(AC2933)-2))))-1),"")</f>
        <v>ARCHIVED</v>
      </c>
      <c r="M2933" s="13" t="n">
        <f aca="true">K2933-TODAY()</f>
        <v>-302</v>
      </c>
      <c r="N2933" s="18" t="s">
        <v>36</v>
      </c>
      <c r="O2933" s="13" t="s">
        <v>12083</v>
      </c>
      <c r="P2933" s="19" t="n">
        <v>5195401</v>
      </c>
      <c r="Q2933" s="47" t="s">
        <v>12348</v>
      </c>
      <c r="R2933" s="13" t="s">
        <v>52</v>
      </c>
      <c r="S2933" s="16" t="n">
        <v>31238</v>
      </c>
      <c r="T2933" s="13" t="s">
        <v>40</v>
      </c>
      <c r="U2933" s="13" t="s">
        <v>12349</v>
      </c>
      <c r="V2933" s="28" t="s">
        <v>1216</v>
      </c>
      <c r="W2933" s="13" t="s">
        <v>54</v>
      </c>
      <c r="X2933" s="21" t="n">
        <v>81234236621</v>
      </c>
      <c r="Y2933" s="22" t="str">
        <f aca="false">O2933</f>
        <v>Operator Reacktruck</v>
      </c>
      <c r="Z2933" s="13" t="str">
        <f aca="false">IFERROR(__xludf.dummyfunction("if(BJ2933="""","""",GOOGLETRANSLATE(BJ2933,""auto"",""en""))"),"Operator Reacktruck")</f>
        <v>Operator Reacktruck</v>
      </c>
      <c r="AA2933" s="23" t="str">
        <f aca="false">IF(C2933="","", CHOOSE(MONTH(C2933),"January","February","March","April","May","June","July","August","September","October","November","December")&amp;" "&amp;DAY(C2933)&amp;MID("thstndrdth",MIN(9,2*RIGHT(DAY(C2933))*(MOD(DAY(C2933)-11,100)&gt;2)+1),2)&amp;","&amp;TEXT(C2933," yyyy"))</f>
        <v>November 14th,2025</v>
      </c>
      <c r="AB2933" s="15" t="str">
        <f aca="true">IF(S2933="","",DATEDIF(S2933,TODAY(),"Y")&amp;" Tahun, "&amp;DATEDIF(S2933,TODAY(),"YM")&amp;" Bulan, "&amp;DATEDIF(S2933,TODAY(),"MD")&amp;" Hari")</f>
        <v>41 Tahun, 3 Bulan, 19 Hari</v>
      </c>
      <c r="AC2933" s="18" t="n">
        <v>45975</v>
      </c>
      <c r="AD2933" s="18" t="n">
        <v>46022</v>
      </c>
      <c r="AE2933" s="13" t="s">
        <v>44</v>
      </c>
    </row>
    <row r="2934" customFormat="false" ht="15" hidden="false" customHeight="true" outlineLevel="0" collapsed="false">
      <c r="A2934" s="12" t="n">
        <v>21420</v>
      </c>
      <c r="B2934" s="13" t="s">
        <v>12350</v>
      </c>
      <c r="C2934" s="16" t="n">
        <v>45980</v>
      </c>
      <c r="D2934" s="13" t="s">
        <v>5726</v>
      </c>
      <c r="E2934" s="15" t="s">
        <v>47</v>
      </c>
      <c r="F2934" s="15" t="str">
        <f aca="false">IFERROR(__xludf.dummyfunction("XLOOKUP(AJ2934,IMPORTRANGE(""1XaInW9DU9nz21V0tYIfzFQ0He9kVQ_JF2mCXgZ3hqFA"",""REKAP ALL 2026 - Andika!G:G""),IMPORTRANGE(""1XaInW9DU9nz21V0tYIfzFQ0He9kVQ_JF2mCXgZ3hqFA"",""REKAP ALL 2026 - Andika!F:F""),"""",0)"),"25180535236")</f>
        <v>25180535236</v>
      </c>
      <c r="G2934" s="13" t="s">
        <v>57</v>
      </c>
      <c r="H2934" s="13" t="s">
        <v>35</v>
      </c>
      <c r="I2934" s="13" t="str">
        <f aca="false">IF(C2934=J2934,"NEW KONTRAK","RE-KONTRAK")</f>
        <v>NEW KONTRAK</v>
      </c>
      <c r="J2934" s="16" t="n">
        <f aca="false" t="array" ref="J2934:J2934">IFERROR(INDEX(AC2934:AE2934,IF(COUNTA(AC2934:AE2934)=0,"",MAX((AC2934:AE2934&lt;&gt;"")*(COLUMN(AC2934:AE2934)-(COLUMN(AC2934)))))-1),"")</f>
        <v>45980</v>
      </c>
      <c r="K2934" s="16" t="n">
        <f aca="false" t="array" ref="K2934:K2934">IFERROR(INDEX(AC2934:AE2934,IF(COUNTA(AC2934:AE2934)=0,"",MAX((AC2934:AE2934&lt;&gt;"")*(COLUMN(AC2934:AE2934)-(COLUMN(AC2934)-1))))-1),"")</f>
        <v>46071</v>
      </c>
      <c r="L2934" s="17" t="str">
        <f aca="false" t="array" ref="L2934:L2934">IFERROR(INDEX(AC2934:AE2934,IF(COUNTA(AC2934:AE2934)=0,"",MAX((AC2934:AE2934&lt;&gt;"")*(COLUMN(AC2934:AE2934)-(COLUMN(AC2934)-2))))-1),"")</f>
        <v>ARCHIVED</v>
      </c>
      <c r="M2934" s="13" t="n">
        <f aca="true">K2934-TODAY()</f>
        <v>-253</v>
      </c>
      <c r="N2934" s="18" t="s">
        <v>615</v>
      </c>
      <c r="O2934" s="13" t="s">
        <v>5252</v>
      </c>
      <c r="P2934" s="19" t="n">
        <v>5176101</v>
      </c>
      <c r="Q2934" s="47" t="s">
        <v>12351</v>
      </c>
      <c r="R2934" s="13" t="s">
        <v>232</v>
      </c>
      <c r="S2934" s="16" t="n">
        <v>38589</v>
      </c>
      <c r="T2934" s="13" t="s">
        <v>40</v>
      </c>
      <c r="U2934" s="13" t="s">
        <v>12352</v>
      </c>
      <c r="V2934" s="13" t="s">
        <v>42</v>
      </c>
      <c r="W2934" s="13" t="s">
        <v>43</v>
      </c>
      <c r="X2934" s="104" t="n">
        <v>85730505442</v>
      </c>
      <c r="Y2934" s="22" t="str">
        <f aca="false">O2934</f>
        <v>Helper Printing</v>
      </c>
      <c r="Z2934" s="13" t="str">
        <f aca="false">IFERROR(__xludf.dummyfunction("if(BJ2934="""","""",GOOGLETRANSLATE(BJ2934,""auto"",""en""))"),"Helper Printing")</f>
        <v>Helper Printing</v>
      </c>
      <c r="AA2934" s="23" t="str">
        <f aca="false">IF(C2934="","", CHOOSE(MONTH(C2934),"January","February","March","April","May","June","July","August","September","October","November","December")&amp;" "&amp;DAY(C2934)&amp;MID("thstndrdth",MIN(9,2*RIGHT(DAY(C2934))*(MOD(DAY(C2934)-11,100)&gt;2)+1),2)&amp;","&amp;TEXT(C2934," yyyy"))</f>
        <v>November 19th,2025</v>
      </c>
      <c r="AB2934" s="15" t="str">
        <f aca="true">IF(S2934="","",DATEDIF(S2934,TODAY(),"Y")&amp;" Tahun, "&amp;DATEDIF(S2934,TODAY(),"YM")&amp;" Bulan, "&amp;DATEDIF(S2934,TODAY(),"MD")&amp;" Hari")</f>
        <v>21 Tahun, 2 Bulan, 4 Hari</v>
      </c>
      <c r="AC2934" s="18" t="n">
        <v>45980</v>
      </c>
      <c r="AD2934" s="18" t="n">
        <f aca="false">EDATE(AC2934,3)-1</f>
        <v>46071</v>
      </c>
      <c r="AE2934" s="18" t="s">
        <v>44</v>
      </c>
    </row>
    <row r="2935" customFormat="false" ht="15" hidden="false" customHeight="true" outlineLevel="0" collapsed="false">
      <c r="A2935" s="12" t="n">
        <v>21421</v>
      </c>
      <c r="B2935" s="13" t="s">
        <v>12353</v>
      </c>
      <c r="C2935" s="16" t="n">
        <v>45980</v>
      </c>
      <c r="D2935" s="13" t="s">
        <v>5726</v>
      </c>
      <c r="E2935" s="15" t="s">
        <v>47</v>
      </c>
      <c r="F2935" s="15" t="str">
        <f aca="false">IFERROR(__xludf.dummyfunction("XLOOKUP(AJ2935,IMPORTRANGE(""1XaInW9DU9nz21V0tYIfzFQ0He9kVQ_JF2mCXgZ3hqFA"",""REKAP ALL 2026 - Andika!G:G""),IMPORTRANGE(""1XaInW9DU9nz21V0tYIfzFQ0He9kVQ_JF2mCXgZ3hqFA"",""REKAP ALL 2026 - Andika!F:F""),"""",0)"),"25180535251")</f>
        <v>25180535251</v>
      </c>
      <c r="G2935" s="13" t="s">
        <v>57</v>
      </c>
      <c r="H2935" s="13" t="s">
        <v>35</v>
      </c>
      <c r="I2935" s="13" t="str">
        <f aca="false">IF(C2935=J2935,"NEW KONTRAK","RE-KONTRAK")</f>
        <v>NEW KONTRAK</v>
      </c>
      <c r="J2935" s="16" t="n">
        <f aca="false" t="array" ref="J2935:J2935">IFERROR(INDEX(AC2935:AE2935,IF(COUNTA(AC2935:AE2935)=0,"",MAX((AC2935:AE2935&lt;&gt;"")*(COLUMN(AC2935:AE2935)-(COLUMN(AC2935)))))-1),"")</f>
        <v>45980</v>
      </c>
      <c r="K2935" s="16" t="n">
        <f aca="false" t="array" ref="K2935:K2935">IFERROR(INDEX(AC2935:AE2935,IF(COUNTA(AC2935:AE2935)=0,"",MAX((AC2935:AE2935&lt;&gt;"")*(COLUMN(AC2935:AE2935)-(COLUMN(AC2935)-1))))-1),"")</f>
        <v>46071</v>
      </c>
      <c r="L2935" s="17" t="str">
        <f aca="false" t="array" ref="L2935:L2935">IFERROR(INDEX(AC2935:AE2935,IF(COUNTA(AC2935:AE2935)=0,"",MAX((AC2935:AE2935&lt;&gt;"")*(COLUMN(AC2935:AE2935)-(COLUMN(AC2935)-2))))-1),"")</f>
        <v>ARCHIVED</v>
      </c>
      <c r="M2935" s="13" t="n">
        <f aca="true">K2935-TODAY()</f>
        <v>-253</v>
      </c>
      <c r="N2935" s="18" t="s">
        <v>615</v>
      </c>
      <c r="O2935" s="13" t="s">
        <v>5252</v>
      </c>
      <c r="P2935" s="19" t="n">
        <v>5176101</v>
      </c>
      <c r="Q2935" s="47" t="s">
        <v>12354</v>
      </c>
      <c r="R2935" s="13" t="s">
        <v>232</v>
      </c>
      <c r="S2935" s="16" t="n">
        <v>39116</v>
      </c>
      <c r="T2935" s="13" t="s">
        <v>40</v>
      </c>
      <c r="U2935" s="13" t="s">
        <v>12355</v>
      </c>
      <c r="V2935" s="13" t="s">
        <v>42</v>
      </c>
      <c r="W2935" s="13" t="s">
        <v>43</v>
      </c>
      <c r="X2935" s="104" t="n">
        <v>85707866196</v>
      </c>
      <c r="Y2935" s="22" t="str">
        <f aca="false">O2935</f>
        <v>Helper Printing</v>
      </c>
      <c r="Z2935" s="13" t="str">
        <f aca="false">IFERROR(__xludf.dummyfunction("if(BJ2935="""","""",GOOGLETRANSLATE(BJ2935,""auto"",""en""))"),"Helper Printing")</f>
        <v>Helper Printing</v>
      </c>
      <c r="AA2935" s="23" t="str">
        <f aca="false">IF(C2935="","", CHOOSE(MONTH(C2935),"January","February","March","April","May","June","July","August","September","October","November","December")&amp;" "&amp;DAY(C2935)&amp;MID("thstndrdth",MIN(9,2*RIGHT(DAY(C2935))*(MOD(DAY(C2935)-11,100)&gt;2)+1),2)&amp;","&amp;TEXT(C2935," yyyy"))</f>
        <v>November 19th,2025</v>
      </c>
      <c r="AB2935" s="15" t="str">
        <f aca="true">IF(S2935="","",DATEDIF(S2935,TODAY(),"Y")&amp;" Tahun, "&amp;DATEDIF(S2935,TODAY(),"YM")&amp;" Bulan, "&amp;DATEDIF(S2935,TODAY(),"MD")&amp;" Hari")</f>
        <v>19 Tahun, 8 Bulan, 26 Hari</v>
      </c>
      <c r="AC2935" s="18" t="n">
        <v>45980</v>
      </c>
      <c r="AD2935" s="18" t="n">
        <f aca="false">EDATE(AC2935,3)-1</f>
        <v>46071</v>
      </c>
      <c r="AE2935" s="18" t="s">
        <v>44</v>
      </c>
    </row>
    <row r="2936" customFormat="false" ht="15" hidden="false" customHeight="true" outlineLevel="0" collapsed="false">
      <c r="A2936" s="12" t="n">
        <v>21423</v>
      </c>
      <c r="B2936" s="13" t="s">
        <v>12356</v>
      </c>
      <c r="C2936" s="16" t="n">
        <v>45978</v>
      </c>
      <c r="D2936" s="13" t="s">
        <v>4252</v>
      </c>
      <c r="E2936" s="15" t="s">
        <v>33</v>
      </c>
      <c r="F2936" s="15" t="str">
        <f aca="false">IFERROR(__xludf.dummyfunction("XLOOKUP(AJ2936,IMPORTRANGE(""1XaInW9DU9nz21V0tYIfzFQ0He9kVQ_JF2mCXgZ3hqFA"",""REKAP ALL 2026 - Andika!G:G""),IMPORTRANGE(""1XaInW9DU9nz21V0tYIfzFQ0He9kVQ_JF2mCXgZ3hqFA"",""REKAP ALL 2026 - Andika!F:F""),"""",0)"),"25180537182")</f>
        <v>25180537182</v>
      </c>
      <c r="G2936" s="13" t="s">
        <v>57</v>
      </c>
      <c r="H2936" s="13" t="s">
        <v>35</v>
      </c>
      <c r="I2936" s="13" t="str">
        <f aca="false">IF(C2936=J2936,"NEW KONTRAK","RE-KONTRAK")</f>
        <v>NEW KONTRAK</v>
      </c>
      <c r="J2936" s="16" t="n">
        <f aca="false" t="array" ref="J2936:J2936">IFERROR(INDEX(AC2936:AE2936,IF(COUNTA(AC2936:AE2936)=0,"",MAX((AC2936:AE2936&lt;&gt;"")*(COLUMN(AC2936:AE2936)-(COLUMN(AC2936)))))-1),"")</f>
        <v>45978</v>
      </c>
      <c r="K2936" s="16" t="n">
        <f aca="false" t="array" ref="K2936:K2936">IFERROR(INDEX(AC2936:AE2936,IF(COUNTA(AC2936:AE2936)=0,"",MAX((AC2936:AE2936&lt;&gt;"")*(COLUMN(AC2936:AE2936)-(COLUMN(AC2936)-1))))-1),"")</f>
        <v>46069</v>
      </c>
      <c r="L2936" s="17" t="str">
        <f aca="false" t="array" ref="L2936:L2936">IFERROR(INDEX(AC2936:AE2936,IF(COUNTA(AC2936:AE2936)=0,"",MAX((AC2936:AE2936&lt;&gt;"")*(COLUMN(AC2936:AE2936)-(COLUMN(AC2936)-2))))-1),"")</f>
        <v>ARCHIVED</v>
      </c>
      <c r="M2936" s="13" t="n">
        <f aca="true">K2936-TODAY()</f>
        <v>-255</v>
      </c>
      <c r="N2936" s="18" t="s">
        <v>36</v>
      </c>
      <c r="O2936" s="13" t="s">
        <v>4288</v>
      </c>
      <c r="P2936" s="27" t="n">
        <v>200000</v>
      </c>
      <c r="Q2936" s="47" t="s">
        <v>12357</v>
      </c>
      <c r="R2936" s="13" t="s">
        <v>39</v>
      </c>
      <c r="S2936" s="16" t="n">
        <v>34935</v>
      </c>
      <c r="T2936" s="13" t="s">
        <v>40</v>
      </c>
      <c r="U2936" s="13" t="s">
        <v>12358</v>
      </c>
      <c r="V2936" s="13" t="s">
        <v>42</v>
      </c>
      <c r="W2936" s="13" t="s">
        <v>43</v>
      </c>
      <c r="X2936" s="30" t="n">
        <v>85732445107</v>
      </c>
      <c r="Y2936" s="22" t="str">
        <f aca="false">O2936</f>
        <v>Operator Printing</v>
      </c>
      <c r="Z2936" s="13" t="str">
        <f aca="false">IFERROR(__xludf.dummyfunction("if(BJ2936="""","""",GOOGLETRANSLATE(BJ2936,""auto"",""en""))"),"Operator Printing")</f>
        <v>Operator Printing</v>
      </c>
      <c r="AA2936" s="23" t="str">
        <f aca="false">IF(C2936="","", CHOOSE(MONTH(C2936),"January","February","March","April","May","June","July","August","September","October","November","December")&amp;" "&amp;DAY(C2936)&amp;MID("thstndrdth",MIN(9,2*RIGHT(DAY(C2936))*(MOD(DAY(C2936)-11,100)&gt;2)+1),2)&amp;","&amp;TEXT(C2936," yyyy"))</f>
        <v>November 17th,2025</v>
      </c>
      <c r="AB2936" s="15" t="str">
        <f aca="true">IF(S2936="","",DATEDIF(S2936,TODAY(),"Y")&amp;" Tahun, "&amp;DATEDIF(S2936,TODAY(),"YM")&amp;" Bulan, "&amp;DATEDIF(S2936,TODAY(),"MD")&amp;" Hari")</f>
        <v>31 Tahun, 2 Bulan, 5 Hari</v>
      </c>
      <c r="AC2936" s="18" t="n">
        <v>45978</v>
      </c>
      <c r="AD2936" s="18" t="n">
        <v>46069</v>
      </c>
      <c r="AE2936" s="13" t="s">
        <v>44</v>
      </c>
    </row>
    <row r="2937" customFormat="false" ht="15" hidden="false" customHeight="true" outlineLevel="0" collapsed="false">
      <c r="A2937" s="12" t="n">
        <v>21430</v>
      </c>
      <c r="B2937" s="13" t="s">
        <v>12359</v>
      </c>
      <c r="C2937" s="16" t="n">
        <v>45979</v>
      </c>
      <c r="D2937" s="13" t="s">
        <v>10058</v>
      </c>
      <c r="E2937" s="15" t="s">
        <v>102</v>
      </c>
      <c r="F2937" s="24" t="s">
        <v>12360</v>
      </c>
      <c r="G2937" s="13" t="s">
        <v>1127</v>
      </c>
      <c r="H2937" s="13" t="s">
        <v>3024</v>
      </c>
      <c r="I2937" s="13" t="str">
        <f aca="false">IF(C2937=J2937,"NEW KONTRAK","RE-KONTRAK")</f>
        <v>NEW KONTRAK</v>
      </c>
      <c r="J2937" s="16" t="n">
        <f aca="false" t="array" ref="J2937:J2937">IFERROR(INDEX(AC2937:AE2937,IF(COUNTA(AC2937:AE2937)=0,"",MAX((AC2937:AE2937&lt;&gt;"")*(COLUMN(AC2937:AE2937)-(COLUMN(AC2937)))))-1),"")</f>
        <v>45979</v>
      </c>
      <c r="K2937" s="16" t="n">
        <f aca="false" t="array" ref="K2937:K2937">IFERROR(INDEX(AC2937:AE2937,IF(COUNTA(AC2937:AE2937)=0,"",MAX((AC2937:AE2937&lt;&gt;"")*(COLUMN(AC2937:AE2937)-(COLUMN(AC2937)-1))))-1),"")</f>
        <v>46036</v>
      </c>
      <c r="L2937" s="17" t="str">
        <f aca="false" t="array" ref="L2937:L2937">IFERROR(INDEX(AC2937:AE2937,IF(COUNTA(AC2937:AE2937)=0,"",MAX((AC2937:AE2937&lt;&gt;"")*(COLUMN(AC2937:AE2937)-(COLUMN(AC2937)-2))))-1),"")</f>
        <v>ARCHIVED</v>
      </c>
      <c r="M2937" s="13" t="n">
        <f aca="true">K2937-TODAY()</f>
        <v>-288</v>
      </c>
      <c r="N2937" s="18" t="s">
        <v>105</v>
      </c>
      <c r="O2937" s="13" t="s">
        <v>10059</v>
      </c>
      <c r="P2937" s="19" t="n">
        <v>132300</v>
      </c>
      <c r="Q2937" s="47" t="s">
        <v>12361</v>
      </c>
      <c r="R2937" s="13" t="s">
        <v>39</v>
      </c>
      <c r="S2937" s="16" t="n">
        <v>38246</v>
      </c>
      <c r="T2937" s="13" t="s">
        <v>108</v>
      </c>
      <c r="U2937" s="13" t="s">
        <v>12362</v>
      </c>
      <c r="V2937" s="13" t="s">
        <v>42</v>
      </c>
      <c r="W2937" s="13" t="s">
        <v>43</v>
      </c>
      <c r="X2937" s="21" t="n">
        <v>89675938603</v>
      </c>
      <c r="Y2937" s="22" t="str">
        <f aca="false">O2937</f>
        <v>Harian Lepas E-Commerce</v>
      </c>
      <c r="Z2937" s="13" t="str">
        <f aca="false">IFERROR(__xludf.dummyfunction("if(BJ2937="""","""",GOOGLETRANSLATE(BJ2937,""auto"",""en""))"),"Daily Post E-Commerce")</f>
        <v>Daily Post E-Commerce</v>
      </c>
      <c r="AA2937" s="23" t="str">
        <f aca="false">IF(C2937="","", CHOOSE(MONTH(C2937),"January","February","March","April","May","June","July","August","September","October","November","December")&amp;" "&amp;DAY(C2937)&amp;MID("thstndrdth",MIN(9,2*RIGHT(DAY(C2937))*(MOD(DAY(C2937)-11,100)&gt;2)+1),2)&amp;","&amp;TEXT(C2937," yyyy"))</f>
        <v>November 18th,2025</v>
      </c>
      <c r="AB2937" s="15" t="str">
        <f aca="true">IF(S2937="","",DATEDIF(S2937,TODAY(),"Y")&amp;" Tahun, "&amp;DATEDIF(S2937,TODAY(),"YM")&amp;" Bulan, "&amp;DATEDIF(S2937,TODAY(),"MD")&amp;" Hari")</f>
        <v>22 Tahun, 1 Bulan, 13 Hari</v>
      </c>
      <c r="AC2937" s="18" t="n">
        <v>45979</v>
      </c>
      <c r="AD2937" s="18" t="n">
        <v>46036</v>
      </c>
      <c r="AE2937" s="13" t="s">
        <v>44</v>
      </c>
    </row>
    <row r="2938" customFormat="false" ht="15" hidden="false" customHeight="true" outlineLevel="0" collapsed="false">
      <c r="A2938" s="12" t="n">
        <v>21431</v>
      </c>
      <c r="B2938" s="13" t="s">
        <v>12363</v>
      </c>
      <c r="C2938" s="16" t="n">
        <v>45979</v>
      </c>
      <c r="D2938" s="13" t="s">
        <v>3022</v>
      </c>
      <c r="E2938" s="15" t="s">
        <v>33</v>
      </c>
      <c r="F2938" s="24" t="s">
        <v>12364</v>
      </c>
      <c r="G2938" s="13" t="s">
        <v>57</v>
      </c>
      <c r="H2938" s="13" t="s">
        <v>3024</v>
      </c>
      <c r="I2938" s="13" t="str">
        <f aca="false">IF(C2938=J2938,"NEW KONTRAK","RE-KONTRAK")</f>
        <v>NEW KONTRAK</v>
      </c>
      <c r="J2938" s="16" t="n">
        <f aca="false" t="array" ref="J2938:J2938">IFERROR(INDEX(AC2938:AE2938,IF(COUNTA(AC2938:AE2938)=0,"",MAX((AC2938:AE2938&lt;&gt;"")*(COLUMN(AC2938:AE2938)-(COLUMN(AC2938)))))-1),"")</f>
        <v>45979</v>
      </c>
      <c r="K2938" s="16" t="n">
        <f aca="false" t="array" ref="K2938:K2938">IFERROR(INDEX(AC2938:AE2938,IF(COUNTA(AC2938:AE2938)=0,"",MAX((AC2938:AE2938&lt;&gt;"")*(COLUMN(AC2938:AE2938)-(COLUMN(AC2938)-1))))-1),"")</f>
        <v>46070</v>
      </c>
      <c r="L2938" s="17" t="str">
        <f aca="false" t="array" ref="L2938:L2938">IFERROR(INDEX(AC2938:AE2938,IF(COUNTA(AC2938:AE2938)=0,"",MAX((AC2938:AE2938&lt;&gt;"")*(COLUMN(AC2938:AE2938)-(COLUMN(AC2938)-2))))-1),"")</f>
        <v>ARCHIVED</v>
      </c>
      <c r="M2938" s="13" t="n">
        <f aca="true">K2938-TODAY()</f>
        <v>-254</v>
      </c>
      <c r="N2938" s="18" t="s">
        <v>36</v>
      </c>
      <c r="O2938" s="13" t="s">
        <v>3030</v>
      </c>
      <c r="P2938" s="19" t="n">
        <v>93500</v>
      </c>
      <c r="Q2938" s="47" t="s">
        <v>12365</v>
      </c>
      <c r="R2938" s="13" t="s">
        <v>39</v>
      </c>
      <c r="S2938" s="16" t="n">
        <v>37654</v>
      </c>
      <c r="T2938" s="28" t="s">
        <v>40</v>
      </c>
      <c r="U2938" s="13" t="s">
        <v>12366</v>
      </c>
      <c r="V2938" s="13" t="s">
        <v>42</v>
      </c>
      <c r="W2938" s="13" t="s">
        <v>43</v>
      </c>
      <c r="X2938" s="30" t="n">
        <v>89622683885</v>
      </c>
      <c r="Y2938" s="22" t="str">
        <f aca="false">O2938</f>
        <v>Produksi ( Shearing )</v>
      </c>
      <c r="Z2938" s="13" t="str">
        <f aca="false">IFERROR(__xludf.dummyfunction("if(BJ2938="""","""",GOOGLETRANSLATE(BJ2938,""auto"",""en""))"),"Production (Shearing)")</f>
        <v>Production (Shearing)</v>
      </c>
      <c r="AA2938" s="23" t="str">
        <f aca="false">IF(C2938="","", CHOOSE(MONTH(C2938),"January","February","March","April","May","June","July","August","September","October","November","December")&amp;" "&amp;DAY(C2938)&amp;MID("thstndrdth",MIN(9,2*RIGHT(DAY(C2938))*(MOD(DAY(C2938)-11,100)&gt;2)+1),2)&amp;","&amp;TEXT(C2938," yyyy"))</f>
        <v>November 18th,2025</v>
      </c>
      <c r="AB2938" s="15" t="str">
        <f aca="true">IF(S2938="","",DATEDIF(S2938,TODAY(),"Y")&amp;" Tahun, "&amp;DATEDIF(S2938,TODAY(),"YM")&amp;" Bulan, "&amp;DATEDIF(S2938,TODAY(),"MD")&amp;" Hari")</f>
        <v>23 Tahun, 8 Bulan, 27 Hari</v>
      </c>
      <c r="AC2938" s="18" t="n">
        <v>45979</v>
      </c>
      <c r="AD2938" s="18" t="n">
        <f aca="false">EDATE(AC2938,3)-1</f>
        <v>46070</v>
      </c>
      <c r="AE2938" s="13" t="s">
        <v>44</v>
      </c>
    </row>
    <row r="2939" customFormat="false" ht="15" hidden="false" customHeight="true" outlineLevel="0" collapsed="false">
      <c r="A2939" s="12" t="n">
        <v>21432</v>
      </c>
      <c r="B2939" s="13" t="s">
        <v>12367</v>
      </c>
      <c r="C2939" s="16" t="n">
        <v>45978</v>
      </c>
      <c r="D2939" s="13" t="s">
        <v>3022</v>
      </c>
      <c r="E2939" s="15" t="s">
        <v>47</v>
      </c>
      <c r="F2939" s="15" t="str">
        <f aca="false">IFERROR(__xludf.dummyfunction("XLOOKUP(AJ2939,IMPORTRANGE(""1XaInW9DU9nz21V0tYIfzFQ0He9kVQ_JF2mCXgZ3hqFA"",""REKAP ALL 2026 - Andika!G:G""),IMPORTRANGE(""1XaInW9DU9nz21V0tYIfzFQ0He9kVQ_JF2mCXgZ3hqFA"",""REKAP ALL 2026 - Andika!F:F""),"""",0)"),"25180536911")</f>
        <v>25180536911</v>
      </c>
      <c r="G2939" s="13" t="s">
        <v>1127</v>
      </c>
      <c r="H2939" s="13" t="s">
        <v>3024</v>
      </c>
      <c r="I2939" s="13" t="str">
        <f aca="false">IF(C2939=J2939,"NEW KONTRAK","RE-KONTRAK")</f>
        <v>NEW KONTRAK</v>
      </c>
      <c r="J2939" s="16" t="n">
        <f aca="false" t="array" ref="J2939:J2939">IFERROR(INDEX(AC2939:AE2939,IF(COUNTA(AC2939:AE2939)=0,"",MAX((AC2939:AE2939&lt;&gt;"")*(COLUMN(AC2939:AE2939)-(COLUMN(AC2939)))))-1),"")</f>
        <v>45978</v>
      </c>
      <c r="K2939" s="16" t="n">
        <f aca="false" t="array" ref="K2939:K2939">IFERROR(INDEX(AC2939:AE2939,IF(COUNTA(AC2939:AE2939)=0,"",MAX((AC2939:AE2939&lt;&gt;"")*(COLUMN(AC2939:AE2939)-(COLUMN(AC2939)-1))))-1),"")</f>
        <v>46069</v>
      </c>
      <c r="L2939" s="17" t="str">
        <f aca="false" t="array" ref="L2939:L2939">IFERROR(INDEX(AC2939:AE2939,IF(COUNTA(AC2939:AE2939)=0,"",MAX((AC2939:AE2939&lt;&gt;"")*(COLUMN(AC2939:AE2939)-(COLUMN(AC2939)-2))))-1),"")</f>
        <v>ARCHIVED</v>
      </c>
      <c r="M2939" s="13" t="n">
        <f aca="true">K2939-TODAY()</f>
        <v>-255</v>
      </c>
      <c r="N2939" s="18" t="s">
        <v>36</v>
      </c>
      <c r="O2939" s="13" t="s">
        <v>12368</v>
      </c>
      <c r="P2939" s="19" t="n">
        <v>110000</v>
      </c>
      <c r="Q2939" s="47" t="s">
        <v>12369</v>
      </c>
      <c r="R2939" s="13" t="s">
        <v>52</v>
      </c>
      <c r="S2939" s="16" t="n">
        <v>37945</v>
      </c>
      <c r="T2939" s="28" t="s">
        <v>40</v>
      </c>
      <c r="U2939" s="13" t="s">
        <v>12370</v>
      </c>
      <c r="V2939" s="13" t="s">
        <v>42</v>
      </c>
      <c r="W2939" s="13" t="s">
        <v>43</v>
      </c>
      <c r="X2939" s="30" t="n">
        <v>81360607159</v>
      </c>
      <c r="Y2939" s="22" t="str">
        <f aca="false">O2939</f>
        <v>PU Office</v>
      </c>
      <c r="Z2939" s="13" t="str">
        <f aca="false">IFERROR(__xludf.dummyfunction("if(BJ2939="""","""",GOOGLETRANSLATE(BJ2939,""auto"",""en""))"),"PU Office")</f>
        <v>PU Office</v>
      </c>
      <c r="AA2939" s="23" t="str">
        <f aca="false">IF(C2939="","", CHOOSE(MONTH(C2939),"January","February","March","April","May","June","July","August","September","October","November","December")&amp;" "&amp;DAY(C2939)&amp;MID("thstndrdth",MIN(9,2*RIGHT(DAY(C2939))*(MOD(DAY(C2939)-11,100)&gt;2)+1),2)&amp;","&amp;TEXT(C2939," yyyy"))</f>
        <v>November 17th,2025</v>
      </c>
      <c r="AB2939" s="15" t="str">
        <f aca="true">IF(S2939="","",DATEDIF(S2939,TODAY(),"Y")&amp;" Tahun, "&amp;DATEDIF(S2939,TODAY(),"YM")&amp;" Bulan, "&amp;DATEDIF(S2939,TODAY(),"MD")&amp;" Hari")</f>
        <v>22 Tahun, 11 Bulan, 9 Hari</v>
      </c>
      <c r="AC2939" s="18" t="n">
        <v>45978</v>
      </c>
      <c r="AD2939" s="18" t="n">
        <f aca="false">EDATE(AC2939,3)-1</f>
        <v>46069</v>
      </c>
      <c r="AE2939" s="13" t="s">
        <v>44</v>
      </c>
    </row>
    <row r="2940" customFormat="false" ht="15" hidden="false" customHeight="true" outlineLevel="0" collapsed="false">
      <c r="A2940" s="12" t="n">
        <v>21434</v>
      </c>
      <c r="B2940" s="13" t="s">
        <v>12371</v>
      </c>
      <c r="C2940" s="16" t="n">
        <v>45982</v>
      </c>
      <c r="D2940" s="13" t="s">
        <v>755</v>
      </c>
      <c r="E2940" s="15" t="s">
        <v>47</v>
      </c>
      <c r="F2940" s="15" t="str">
        <f aca="false">IFERROR(__xludf.dummyfunction("XLOOKUP(AJ2940,IMPORTRANGE(""1XaInW9DU9nz21V0tYIfzFQ0He9kVQ_JF2mCXgZ3hqFA"",""REKAP ALL 2026 - Andika!G:G""),IMPORTRANGE(""1XaInW9DU9nz21V0tYIfzFQ0He9kVQ_JF2mCXgZ3hqFA"",""REKAP ALL 2026 - Andika!F:F""),"""",0)"),"25180465632")</f>
        <v>25180465632</v>
      </c>
      <c r="G2940" s="28" t="s">
        <v>57</v>
      </c>
      <c r="H2940" s="13" t="s">
        <v>3024</v>
      </c>
      <c r="I2940" s="13" t="str">
        <f aca="false">IF(C2940=J2940,"NEW KONTRAK","RE-KONTRAK")</f>
        <v>NEW KONTRAK</v>
      </c>
      <c r="J2940" s="16" t="n">
        <f aca="false" t="array" ref="J2940:J2940">IFERROR(INDEX(AC2940:AE2940,IF(COUNTA(AC2940:AE2940)=0,"",MAX((AC2940:AE2940&lt;&gt;"")*(COLUMN(AC2940:AE2940)-(COLUMN(AC2940)))))-1),"")</f>
        <v>45982</v>
      </c>
      <c r="K2940" s="16" t="n">
        <f aca="false" t="array" ref="K2940:K2940">IFERROR(INDEX(AC2940:AE2940,IF(COUNTA(AC2940:AE2940)=0,"",MAX((AC2940:AE2940&lt;&gt;"")*(COLUMN(AC2940:AE2940)-(COLUMN(AC2940)-1))))-1),"")</f>
        <v>46528</v>
      </c>
      <c r="L2940" s="17" t="str">
        <f aca="false" t="array" ref="L2940:L2940">IFERROR(INDEX(AC2940:AE2940,IF(COUNTA(AC2940:AE2940)=0,"",MAX((AC2940:AE2940&lt;&gt;"")*(COLUMN(AC2940:AE2940)-(COLUMN(AC2940)-2))))-1),"")</f>
        <v>KEMBALI</v>
      </c>
      <c r="M2940" s="13" t="n">
        <f aca="true">K2940-TODAY()</f>
        <v>204</v>
      </c>
      <c r="N2940" s="18" t="s">
        <v>105</v>
      </c>
      <c r="O2940" s="13" t="s">
        <v>757</v>
      </c>
      <c r="P2940" s="19" t="n">
        <v>4940090</v>
      </c>
      <c r="Q2940" s="47" t="s">
        <v>12372</v>
      </c>
      <c r="R2940" s="13" t="s">
        <v>232</v>
      </c>
      <c r="S2940" s="16" t="n">
        <v>37983</v>
      </c>
      <c r="T2940" s="28" t="s">
        <v>40</v>
      </c>
      <c r="U2940" s="13" t="s">
        <v>12373</v>
      </c>
      <c r="V2940" s="13" t="s">
        <v>42</v>
      </c>
      <c r="W2940" s="13" t="s">
        <v>43</v>
      </c>
      <c r="X2940" s="21" t="n">
        <v>81330807722</v>
      </c>
      <c r="Y2940" s="22" t="str">
        <f aca="false">O2940</f>
        <v>Inputor</v>
      </c>
      <c r="Z2940" s="13" t="str">
        <f aca="false">IFERROR(__xludf.dummyfunction("if(BJ2940="""","""",GOOGLETRANSLATE(BJ2940,""auto"",""en""))"),"Inputor")</f>
        <v>Inputor</v>
      </c>
      <c r="AA2940" s="23" t="str">
        <f aca="false">IF(C2940="","", CHOOSE(MONTH(C2940),"January","February","March","April","May","June","July","August","September","October","November","December")&amp;" "&amp;DAY(C2940)&amp;MID("thstndrdth",MIN(9,2*RIGHT(DAY(C2940))*(MOD(DAY(C2940)-11,100)&gt;2)+1),2)&amp;","&amp;TEXT(C2940," yyyy"))</f>
        <v>November 21st,2025</v>
      </c>
      <c r="AB2940" s="15" t="str">
        <f aca="true">IF(S2940="","",DATEDIF(S2940,TODAY(),"Y")&amp;" Tahun, "&amp;DATEDIF(S2940,TODAY(),"YM")&amp;" Bulan, "&amp;DATEDIF(S2940,TODAY(),"MD")&amp;" Hari")</f>
        <v>22 Tahun, 10 Bulan, 1 Hari</v>
      </c>
      <c r="AC2940" s="18" t="n">
        <v>45982</v>
      </c>
      <c r="AD2940" s="18" t="n">
        <v>46528</v>
      </c>
      <c r="AE2940" s="13" t="s">
        <v>397</v>
      </c>
    </row>
    <row r="2941" customFormat="false" ht="15" hidden="false" customHeight="true" outlineLevel="0" collapsed="false">
      <c r="A2941" s="12" t="n">
        <v>21442</v>
      </c>
      <c r="B2941" s="13" t="s">
        <v>12374</v>
      </c>
      <c r="C2941" s="16" t="n">
        <v>45981</v>
      </c>
      <c r="D2941" s="13" t="s">
        <v>8597</v>
      </c>
      <c r="E2941" s="15" t="s">
        <v>47</v>
      </c>
      <c r="F2941" s="15" t="str">
        <f aca="false">IFERROR(__xludf.dummyfunction("XLOOKUP(AJ2941,IMPORTRANGE(""1XaInW9DU9nz21V0tYIfzFQ0He9kVQ_JF2mCXgZ3hqFA"",""REKAP ALL 2026 - Andika!G:G""),IMPORTRANGE(""1XaInW9DU9nz21V0tYIfzFQ0He9kVQ_JF2mCXgZ3hqFA"",""REKAP ALL 2026 - Andika!F:F""),"""",0)"),"25180536366")</f>
        <v>25180536366</v>
      </c>
      <c r="G2941" s="28" t="s">
        <v>57</v>
      </c>
      <c r="H2941" s="13" t="s">
        <v>35</v>
      </c>
      <c r="I2941" s="13" t="str">
        <f aca="false">IF(C2941=J2941,"NEW KONTRAK","RE-KONTRAK")</f>
        <v>NEW KONTRAK</v>
      </c>
      <c r="J2941" s="16" t="n">
        <f aca="false" t="array" ref="J2941:J2941">IFERROR(INDEX(AC2941:AE2941,IF(COUNTA(AC2941:AE2941)=0,"",MAX((AC2941:AE2941&lt;&gt;"")*(COLUMN(AC2941:AE2941)-(COLUMN(AC2941)))))-1),"")</f>
        <v>45981</v>
      </c>
      <c r="K2941" s="16" t="n">
        <f aca="false" t="array" ref="K2941:K2941">IFERROR(INDEX(AC2941:AE2941,IF(COUNTA(AC2941:AE2941)=0,"",MAX((AC2941:AE2941&lt;&gt;"")*(COLUMN(AC2941:AE2941)-(COLUMN(AC2941)-1))))-1),"")</f>
        <v>46234</v>
      </c>
      <c r="L2941" s="17" t="str">
        <f aca="false" t="array" ref="L2941:L2941">IFERROR(INDEX(AC2941:AE2941,IF(COUNTA(AC2941:AE2941)=0,"",MAX((AC2941:AE2941&lt;&gt;"")*(COLUMN(AC2941:AE2941)-(COLUMN(AC2941)-2))))-1),"")</f>
        <v>ARCHIVED</v>
      </c>
      <c r="M2941" s="13" t="n">
        <f aca="true">K2941-TODAY()</f>
        <v>-90</v>
      </c>
      <c r="N2941" s="18" t="s">
        <v>615</v>
      </c>
      <c r="O2941" s="13" t="s">
        <v>50</v>
      </c>
      <c r="P2941" s="27" t="n">
        <v>2550274</v>
      </c>
      <c r="Q2941" s="47" t="s">
        <v>12375</v>
      </c>
      <c r="R2941" s="13" t="s">
        <v>255</v>
      </c>
      <c r="S2941" s="16" t="n">
        <v>37163</v>
      </c>
      <c r="T2941" s="13" t="s">
        <v>40</v>
      </c>
      <c r="U2941" s="13" t="s">
        <v>12376</v>
      </c>
      <c r="V2941" s="13" t="s">
        <v>42</v>
      </c>
      <c r="W2941" s="13" t="s">
        <v>54</v>
      </c>
      <c r="X2941" s="21" t="n">
        <v>85604871172</v>
      </c>
      <c r="Y2941" s="22" t="str">
        <f aca="false">O2941</f>
        <v>Driver</v>
      </c>
      <c r="Z2941" s="13" t="str">
        <f aca="false">IFERROR(__xludf.dummyfunction("if(BJ2941="""","""",GOOGLETRANSLATE(BJ2941,""auto"",""en""))"),"Driver")</f>
        <v>Driver</v>
      </c>
      <c r="AA2941" s="23" t="str">
        <f aca="false">IF(C2941="","", CHOOSE(MONTH(C2941),"January","February","March","April","May","June","July","August","September","October","November","December")&amp;" "&amp;DAY(C2941)&amp;MID("thstndrdth",MIN(9,2*RIGHT(DAY(C2941))*(MOD(DAY(C2941)-11,100)&gt;2)+1),2)&amp;","&amp;TEXT(C2941," yyyy"))</f>
        <v>November 20th,2025</v>
      </c>
      <c r="AB2941" s="15" t="str">
        <f aca="true">IF(S2941="","",DATEDIF(S2941,TODAY(),"Y")&amp;" Tahun, "&amp;DATEDIF(S2941,TODAY(),"YM")&amp;" Bulan, "&amp;DATEDIF(S2941,TODAY(),"MD")&amp;" Hari")</f>
        <v>25 Tahun, 1 Bulan, 0 Hari</v>
      </c>
      <c r="AC2941" s="18" t="n">
        <v>45981</v>
      </c>
      <c r="AD2941" s="18" t="n">
        <v>46234</v>
      </c>
      <c r="AE2941" s="13" t="s">
        <v>44</v>
      </c>
    </row>
    <row r="2942" customFormat="false" ht="15" hidden="false" customHeight="true" outlineLevel="0" collapsed="false">
      <c r="A2942" s="12" t="n">
        <v>21443</v>
      </c>
      <c r="B2942" s="13" t="s">
        <v>12377</v>
      </c>
      <c r="C2942" s="16" t="n">
        <v>45990</v>
      </c>
      <c r="D2942" s="13" t="s">
        <v>7534</v>
      </c>
      <c r="E2942" s="15" t="s">
        <v>47</v>
      </c>
      <c r="F2942" s="15" t="str">
        <f aca="false">IFERROR(__xludf.dummyfunction("XLOOKUP(AJ2942,IMPORTRANGE(""1XaInW9DU9nz21V0tYIfzFQ0He9kVQ_JF2mCXgZ3hqFA"",""REKAP ALL 2026 - Andika!G:G""),IMPORTRANGE(""1XaInW9DU9nz21V0tYIfzFQ0He9kVQ_JF2mCXgZ3hqFA"",""REKAP ALL 2026 - Andika!F:F""),"""",0)"),"25180536218")</f>
        <v>25180536218</v>
      </c>
      <c r="G2942" s="13" t="s">
        <v>1127</v>
      </c>
      <c r="H2942" s="13" t="s">
        <v>35</v>
      </c>
      <c r="I2942" s="13" t="str">
        <f aca="false">IF(C2942=J2942,"NEW KONTRAK","RE-KONTRAK")</f>
        <v>NEW KONTRAK</v>
      </c>
      <c r="J2942" s="16" t="n">
        <f aca="false" t="array" ref="J2942:J2942">IFERROR(INDEX(AC2942:AE2942,IF(COUNTA(AC2942:AE2942)=0,"",MAX((AC2942:AE2942&lt;&gt;"")*(COLUMN(AC2942:AE2942)-(COLUMN(AC2942)))))-1),"")</f>
        <v>45990</v>
      </c>
      <c r="K2942" s="16" t="n">
        <f aca="false" t="array" ref="K2942:K2942">IFERROR(INDEX(AC2942:AE2942,IF(COUNTA(AC2942:AE2942)=0,"",MAX((AC2942:AE2942&lt;&gt;"")*(COLUMN(AC2942:AE2942)-(COLUMN(AC2942)-1))))-1),"")</f>
        <v>46080</v>
      </c>
      <c r="L2942" s="17" t="str">
        <f aca="false" t="array" ref="L2942:L2942">IFERROR(INDEX(AC2942:AE2942,IF(COUNTA(AC2942:AE2942)=0,"",MAX((AC2942:AE2942&lt;&gt;"")*(COLUMN(AC2942:AE2942)-(COLUMN(AC2942)-2))))-1),"")</f>
        <v>KEMBALI</v>
      </c>
      <c r="M2942" s="13" t="n">
        <f aca="true">K2942-TODAY()</f>
        <v>-244</v>
      </c>
      <c r="N2942" s="18" t="s">
        <v>4735</v>
      </c>
      <c r="O2942" s="13" t="s">
        <v>7536</v>
      </c>
      <c r="P2942" s="19" t="n">
        <v>3553530</v>
      </c>
      <c r="Q2942" s="47" t="s">
        <v>12378</v>
      </c>
      <c r="R2942" s="13" t="s">
        <v>83</v>
      </c>
      <c r="S2942" s="16" t="n">
        <v>37239</v>
      </c>
      <c r="T2942" s="13" t="s">
        <v>108</v>
      </c>
      <c r="U2942" s="13" t="s">
        <v>12379</v>
      </c>
      <c r="V2942" s="13" t="s">
        <v>42</v>
      </c>
      <c r="W2942" s="13" t="s">
        <v>43</v>
      </c>
      <c r="X2942" s="21" t="n">
        <v>83151856669</v>
      </c>
      <c r="Y2942" s="22" t="str">
        <f aca="false">O2942</f>
        <v>Host Live</v>
      </c>
      <c r="Z2942" s="13" t="str">
        <f aca="false">IFERROR(__xludf.dummyfunction("if(BJ2942="""","""",GOOGLETRANSLATE(BJ2942,""auto"",""en""))"),"Host Live")</f>
        <v>Host Live</v>
      </c>
      <c r="AA2942" s="23" t="str">
        <f aca="false">IF(C2942="","", CHOOSE(MONTH(C2942),"January","February","March","April","May","June","July","August","September","October","November","December")&amp;" "&amp;DAY(C2942)&amp;MID("thstndrdth",MIN(9,2*RIGHT(DAY(C2942))*(MOD(DAY(C2942)-11,100)&gt;2)+1),2)&amp;","&amp;TEXT(C2942," yyyy"))</f>
        <v>November 29th,2025</v>
      </c>
      <c r="AB2942" s="15" t="str">
        <f aca="true">IF(S2942="","",DATEDIF(S2942,TODAY(),"Y")&amp;" Tahun, "&amp;DATEDIF(S2942,TODAY(),"YM")&amp;" Bulan, "&amp;DATEDIF(S2942,TODAY(),"MD")&amp;" Hari")</f>
        <v>24 Tahun, 10 Bulan, 15 Hari</v>
      </c>
      <c r="AC2942" s="18" t="n">
        <v>45990</v>
      </c>
      <c r="AD2942" s="18" t="n">
        <f aca="false">EDATE(AC2942,3)-1</f>
        <v>46080</v>
      </c>
      <c r="AE2942" s="13" t="s">
        <v>397</v>
      </c>
    </row>
    <row r="2943" customFormat="false" ht="15" hidden="false" customHeight="true" outlineLevel="0" collapsed="false">
      <c r="A2943" s="12" t="n">
        <v>21447</v>
      </c>
      <c r="B2943" s="13" t="s">
        <v>12380</v>
      </c>
      <c r="C2943" s="16" t="n">
        <v>45985</v>
      </c>
      <c r="D2943" s="13" t="s">
        <v>3022</v>
      </c>
      <c r="E2943" s="15" t="s">
        <v>102</v>
      </c>
      <c r="F2943" s="15" t="str">
        <f aca="false">IFERROR(__xludf.dummyfunction("XLOOKUP(AJ2943,IMPORTRANGE(""1XaInW9DU9nz21V0tYIfzFQ0He9kVQ_JF2mCXgZ3hqFA"",""REKAP ALL 2026 - Andika!G:G""),IMPORTRANGE(""1XaInW9DU9nz21V0tYIfzFQ0He9kVQ_JF2mCXgZ3hqFA"",""REKAP ALL 2026 - Andika!F:F""),"""",0)"),"25180536929")</f>
        <v>25180536929</v>
      </c>
      <c r="G2943" s="13" t="s">
        <v>1127</v>
      </c>
      <c r="H2943" s="13" t="s">
        <v>3024</v>
      </c>
      <c r="I2943" s="13" t="str">
        <f aca="false">IF(C2943=J2943,"NEW KONTRAK","RE-KONTRAK")</f>
        <v>NEW KONTRAK</v>
      </c>
      <c r="J2943" s="16" t="n">
        <f aca="false" t="array" ref="J2943:J2943">IFERROR(INDEX(AC2943:AE2943,IF(COUNTA(AC2943:AE2943)=0,"",MAX((AC2943:AE2943&lt;&gt;"")*(COLUMN(AC2943:AE2943)-(COLUMN(AC2943)))))-1),"")</f>
        <v>45985</v>
      </c>
      <c r="K2943" s="16" t="n">
        <f aca="false" t="array" ref="K2943:K2943">IFERROR(INDEX(AC2943:AE2943,IF(COUNTA(AC2943:AE2943)=0,"",MAX((AC2943:AE2943&lt;&gt;"")*(COLUMN(AC2943:AE2943)-(COLUMN(AC2943)-1))))-1),"")</f>
        <v>46076</v>
      </c>
      <c r="L2943" s="17" t="str">
        <f aca="false" t="array" ref="L2943:L2943">IFERROR(INDEX(AC2943:AE2943,IF(COUNTA(AC2943:AE2943)=0,"",MAX((AC2943:AE2943&lt;&gt;"")*(COLUMN(AC2943:AE2943)-(COLUMN(AC2943)-2))))-1),"")</f>
        <v>ARCHIVED</v>
      </c>
      <c r="M2943" s="13" t="n">
        <f aca="true">K2943-TODAY()</f>
        <v>-248</v>
      </c>
      <c r="N2943" s="18" t="s">
        <v>36</v>
      </c>
      <c r="O2943" s="13" t="s">
        <v>3030</v>
      </c>
      <c r="P2943" s="19" t="n">
        <v>112500</v>
      </c>
      <c r="Q2943" s="47" t="s">
        <v>12381</v>
      </c>
      <c r="R2943" s="13" t="s">
        <v>232</v>
      </c>
      <c r="S2943" s="16" t="n">
        <v>35937</v>
      </c>
      <c r="T2943" s="28" t="s">
        <v>40</v>
      </c>
      <c r="U2943" s="13" t="s">
        <v>6792</v>
      </c>
      <c r="V2943" s="13" t="s">
        <v>42</v>
      </c>
      <c r="W2943" s="13" t="s">
        <v>43</v>
      </c>
      <c r="X2943" s="21" t="n">
        <v>881036421760</v>
      </c>
      <c r="Y2943" s="22" t="str">
        <f aca="false">O2943</f>
        <v>Produksi ( Shearing )</v>
      </c>
      <c r="Z2943" s="13" t="str">
        <f aca="false">IFERROR(__xludf.dummyfunction("if(BJ2943="""","""",GOOGLETRANSLATE(BJ2943,""auto"",""en""))"),"Production (Shearing)")</f>
        <v>Production (Shearing)</v>
      </c>
      <c r="AA2943" s="23" t="str">
        <f aca="false">IF(C2943="","", CHOOSE(MONTH(C2943),"January","February","March","April","May","June","July","August","September","October","November","December")&amp;" "&amp;DAY(C2943)&amp;MID("thstndrdth",MIN(9,2*RIGHT(DAY(C2943))*(MOD(DAY(C2943)-11,100)&gt;2)+1),2)&amp;","&amp;TEXT(C2943," yyyy"))</f>
        <v>November 24th,2025</v>
      </c>
      <c r="AB2943" s="15" t="str">
        <f aca="true">IF(S2943="","",DATEDIF(S2943,TODAY(),"Y")&amp;" Tahun, "&amp;DATEDIF(S2943,TODAY(),"YM")&amp;" Bulan, "&amp;DATEDIF(S2943,TODAY(),"MD")&amp;" Hari")</f>
        <v>28 Tahun, 5 Bulan, 7 Hari</v>
      </c>
      <c r="AC2943" s="18" t="n">
        <v>45985</v>
      </c>
      <c r="AD2943" s="18" t="n">
        <f aca="false">EDATE(AC2943,3)-1</f>
        <v>46076</v>
      </c>
      <c r="AE2943" s="13" t="s">
        <v>44</v>
      </c>
    </row>
    <row r="2944" customFormat="false" ht="15" hidden="false" customHeight="true" outlineLevel="0" collapsed="false">
      <c r="A2944" s="12" t="n">
        <v>21449</v>
      </c>
      <c r="B2944" s="13" t="s">
        <v>12382</v>
      </c>
      <c r="C2944" s="16" t="n">
        <v>45946</v>
      </c>
      <c r="D2944" s="13" t="s">
        <v>2033</v>
      </c>
      <c r="E2944" s="15" t="s">
        <v>102</v>
      </c>
      <c r="F2944" s="24" t="s">
        <v>12383</v>
      </c>
      <c r="G2944" s="13" t="s">
        <v>1127</v>
      </c>
      <c r="H2944" s="13" t="s">
        <v>35</v>
      </c>
      <c r="I2944" s="13" t="str">
        <f aca="false">IF(C2944=J2944,"NEW KONTRAK","RE-KONTRAK")</f>
        <v>NEW KONTRAK</v>
      </c>
      <c r="J2944" s="16" t="n">
        <f aca="false" t="array" ref="J2944:J2944">IFERROR(INDEX(AC2944:AE2944,IF(COUNTA(AC2944:AE2944)=0,"",MAX((AC2944:AE2944&lt;&gt;"")*(COLUMN(AC2944:AE2944)-(COLUMN(AC2944)))))-1),"")</f>
        <v>45946</v>
      </c>
      <c r="K2944" s="16" t="n">
        <f aca="false" t="array" ref="K2944:K2944">IFERROR(INDEX(AC2944:AE2944,IF(COUNTA(AC2944:AE2944)=0,"",MAX((AC2944:AE2944&lt;&gt;"")*(COLUMN(AC2944:AE2944)-(COLUMN(AC2944)-1))))-1),"")</f>
        <v>46037</v>
      </c>
      <c r="L2944" s="17" t="str">
        <f aca="false" t="array" ref="L2944:L2944">IFERROR(INDEX(AC2944:AE2944,IF(COUNTA(AC2944:AE2944)=0,"",MAX((AC2944:AE2944&lt;&gt;"")*(COLUMN(AC2944:AE2944)-(COLUMN(AC2944)-2))))-1),"")</f>
        <v>ARCHIVED</v>
      </c>
      <c r="M2944" s="13" t="n">
        <f aca="true">K2944-TODAY()</f>
        <v>-287</v>
      </c>
      <c r="N2944" s="18" t="s">
        <v>3520</v>
      </c>
      <c r="O2944" s="13" t="s">
        <v>2037</v>
      </c>
      <c r="P2944" s="19" t="n">
        <v>3701508</v>
      </c>
      <c r="Q2944" s="47" t="s">
        <v>12384</v>
      </c>
      <c r="R2944" s="13" t="s">
        <v>3520</v>
      </c>
      <c r="S2944" s="16" t="n">
        <v>38974</v>
      </c>
      <c r="T2944" s="13" t="s">
        <v>108</v>
      </c>
      <c r="U2944" s="13" t="s">
        <v>12385</v>
      </c>
      <c r="V2944" s="13" t="s">
        <v>42</v>
      </c>
      <c r="W2944" s="13" t="s">
        <v>43</v>
      </c>
      <c r="X2944" s="21" t="n">
        <v>85716876646</v>
      </c>
      <c r="Y2944" s="22" t="str">
        <f aca="false">O2944</f>
        <v>SPG/BA</v>
      </c>
      <c r="Z2944" s="13" t="str">
        <f aca="false">IFERROR(__xludf.dummyfunction("if(BJ2944="""","""",GOOGLETRANSLATE(BJ2944,""auto"",""en""))"),"SPG/BA")</f>
        <v>SPG/BA</v>
      </c>
      <c r="AA2944" s="23" t="str">
        <f aca="false">IF(C2944="","", CHOOSE(MONTH(C2944),"January","February","March","April","May","June","July","August","September","October","November","December")&amp;" "&amp;DAY(C2944)&amp;MID("thstndrdth",MIN(9,2*RIGHT(DAY(C2944))*(MOD(DAY(C2944)-11,100)&gt;2)+1),2)&amp;","&amp;TEXT(C2944," yyyy"))</f>
        <v>October 16th,2025</v>
      </c>
      <c r="AB2944" s="15" t="str">
        <f aca="true">IF(S2944="","",DATEDIF(S2944,TODAY(),"Y")&amp;" Tahun, "&amp;DATEDIF(S2944,TODAY(),"YM")&amp;" Bulan, "&amp;DATEDIF(S2944,TODAY(),"MD")&amp;" Hari")</f>
        <v>20 Tahun, 1 Bulan, 15 Hari</v>
      </c>
      <c r="AC2944" s="18" t="n">
        <v>45946</v>
      </c>
      <c r="AD2944" s="18" t="n">
        <v>46037</v>
      </c>
      <c r="AE2944" s="13" t="s">
        <v>44</v>
      </c>
    </row>
    <row r="2945" customFormat="false" ht="15" hidden="false" customHeight="true" outlineLevel="0" collapsed="false">
      <c r="A2945" s="12" t="n">
        <v>21452</v>
      </c>
      <c r="B2945" s="13" t="s">
        <v>12386</v>
      </c>
      <c r="C2945" s="16" t="n">
        <v>45987</v>
      </c>
      <c r="D2945" s="13" t="s">
        <v>961</v>
      </c>
      <c r="E2945" s="15" t="s">
        <v>102</v>
      </c>
      <c r="F2945" s="15" t="str">
        <f aca="false">IFERROR(__xludf.dummyfunction("XLOOKUP(AJ2945,IMPORTRANGE(""1XaInW9DU9nz21V0tYIfzFQ0He9kVQ_JF2mCXgZ3hqFA"",""REKAP ALL 2026 - Andika!G:G""),IMPORTRANGE(""1XaInW9DU9nz21V0tYIfzFQ0He9kVQ_JF2mCXgZ3hqFA"",""REKAP ALL 2026 - Andika!F:F""),"""",0)"),"25180534072")</f>
        <v>25180534072</v>
      </c>
      <c r="G2945" s="28" t="s">
        <v>57</v>
      </c>
      <c r="H2945" s="13" t="s">
        <v>35</v>
      </c>
      <c r="I2945" s="13" t="str">
        <f aca="false">IF(C2945=J2945,"NEW KONTRAK","RE-KONTRAK")</f>
        <v>NEW KONTRAK</v>
      </c>
      <c r="J2945" s="16" t="n">
        <f aca="false" t="array" ref="J2945:J2945">IFERROR(INDEX(AC2945:AE2945,IF(COUNTA(AC2945:AE2945)=0,"",MAX((AC2945:AE2945&lt;&gt;"")*(COLUMN(AC2945:AE2945)-(COLUMN(AC2945)))))-1),"")</f>
        <v>45987</v>
      </c>
      <c r="K2945" s="16" t="n">
        <f aca="false" t="array" ref="K2945:K2945">IFERROR(INDEX(AC2945:AE2945,IF(COUNTA(AC2945:AE2945)=0,"",MAX((AC2945:AE2945&lt;&gt;"")*(COLUMN(AC2945:AE2945)-(COLUMN(AC2945)-1))))-1),"")</f>
        <v>46387</v>
      </c>
      <c r="L2945" s="17" t="str">
        <f aca="false" t="array" ref="L2945:L2945">IFERROR(INDEX(AC2945:AE2945,IF(COUNTA(AC2945:AE2945)=0,"",MAX((AC2945:AE2945&lt;&gt;"")*(COLUMN(AC2945:AE2945)-(COLUMN(AC2945)-2))))-1),"")</f>
        <v>ARCHIVED</v>
      </c>
      <c r="M2945" s="13" t="n">
        <f aca="true">K2945-TODAY()</f>
        <v>63</v>
      </c>
      <c r="N2945" s="18" t="s">
        <v>728</v>
      </c>
      <c r="O2945" s="13" t="s">
        <v>12387</v>
      </c>
      <c r="P2945" s="19" t="n">
        <v>5032635</v>
      </c>
      <c r="Q2945" s="47" t="s">
        <v>12388</v>
      </c>
      <c r="R2945" s="13" t="s">
        <v>39</v>
      </c>
      <c r="S2945" s="16" t="n">
        <v>37108</v>
      </c>
      <c r="T2945" s="13" t="s">
        <v>40</v>
      </c>
      <c r="U2945" s="13" t="s">
        <v>12389</v>
      </c>
      <c r="V2945" s="13" t="s">
        <v>42</v>
      </c>
      <c r="W2945" s="13" t="s">
        <v>43</v>
      </c>
      <c r="X2945" s="21" t="n">
        <v>895334856041</v>
      </c>
      <c r="Y2945" s="22" t="str">
        <f aca="false">O2945</f>
        <v>Checker Warehouse</v>
      </c>
      <c r="Z2945" s="13" t="str">
        <f aca="false">IFERROR(__xludf.dummyfunction("if(BJ2945="""","""",GOOGLETRANSLATE(BJ2945,""auto"",""en""))"),"Checker Warehouse")</f>
        <v>Checker Warehouse</v>
      </c>
      <c r="AA2945" s="23" t="str">
        <f aca="false">IF(C2945="","", CHOOSE(MONTH(C2945),"January","February","March","April","May","June","July","August","September","October","November","December")&amp;" "&amp;DAY(C2945)&amp;MID("thstndrdth",MIN(9,2*RIGHT(DAY(C2945))*(MOD(DAY(C2945)-11,100)&gt;2)+1),2)&amp;","&amp;TEXT(C2945," yyyy"))</f>
        <v>November 26th,2025</v>
      </c>
      <c r="AB2945" s="15" t="str">
        <f aca="true">IF(S2945="","",DATEDIF(S2945,TODAY(),"Y")&amp;" Tahun, "&amp;DATEDIF(S2945,TODAY(),"YM")&amp;" Bulan, "&amp;DATEDIF(S2945,TODAY(),"MD")&amp;" Hari")</f>
        <v>25 Tahun, 2 Bulan, 24 Hari</v>
      </c>
      <c r="AC2945" s="18" t="n">
        <v>45987</v>
      </c>
      <c r="AD2945" s="18" t="n">
        <v>46387</v>
      </c>
      <c r="AE2945" s="13" t="s">
        <v>44</v>
      </c>
    </row>
    <row r="2946" customFormat="false" ht="15" hidden="false" customHeight="true" outlineLevel="0" collapsed="false">
      <c r="A2946" s="12" t="n">
        <v>21453</v>
      </c>
      <c r="B2946" s="13" t="s">
        <v>12390</v>
      </c>
      <c r="C2946" s="16" t="n">
        <v>45987</v>
      </c>
      <c r="D2946" s="13" t="s">
        <v>961</v>
      </c>
      <c r="E2946" s="15" t="s">
        <v>47</v>
      </c>
      <c r="F2946" s="15" t="str">
        <f aca="false">IFERROR(__xludf.dummyfunction("XLOOKUP(AJ2946,IMPORTRANGE(""1XaInW9DU9nz21V0tYIfzFQ0He9kVQ_JF2mCXgZ3hqFA"",""REKAP ALL 2026 - Andika!G:G""),IMPORTRANGE(""1XaInW9DU9nz21V0tYIfzFQ0He9kVQ_JF2mCXgZ3hqFA"",""REKAP ALL 2026 - Andika!F:F""),"""",0)"),"19000866863")</f>
        <v>19000866863</v>
      </c>
      <c r="G2946" s="28" t="s">
        <v>57</v>
      </c>
      <c r="H2946" s="13" t="s">
        <v>35</v>
      </c>
      <c r="I2946" s="13" t="str">
        <f aca="false">IF(C2946=J2946,"NEW KONTRAK","RE-KONTRAK")</f>
        <v>NEW KONTRAK</v>
      </c>
      <c r="J2946" s="16" t="n">
        <f aca="false" t="array" ref="J2946:J2946">IFERROR(INDEX(AC2946:AE2946,IF(COUNTA(AC2946:AE2946)=0,"",MAX((AC2946:AE2946&lt;&gt;"")*(COLUMN(AC2946:AE2946)-(COLUMN(AC2946)))))-1),"")</f>
        <v>45987</v>
      </c>
      <c r="K2946" s="16" t="n">
        <f aca="false" t="array" ref="K2946:K2946">IFERROR(INDEX(AC2946:AE2946,IF(COUNTA(AC2946:AE2946)=0,"",MAX((AC2946:AE2946&lt;&gt;"")*(COLUMN(AC2946:AE2946)-(COLUMN(AC2946)-1))))-1),"")</f>
        <v>46387</v>
      </c>
      <c r="L2946" s="17" t="str">
        <f aca="false" t="array" ref="L2946:L2946">IFERROR(INDEX(AC2946:AE2946,IF(COUNTA(AC2946:AE2946)=0,"",MAX((AC2946:AE2946&lt;&gt;"")*(COLUMN(AC2946:AE2946)-(COLUMN(AC2946)-2))))-1),"")</f>
        <v>ARCHIVED</v>
      </c>
      <c r="M2946" s="13" t="n">
        <f aca="true">K2946-TODAY()</f>
        <v>63</v>
      </c>
      <c r="N2946" s="18" t="s">
        <v>728</v>
      </c>
      <c r="O2946" s="13" t="s">
        <v>12387</v>
      </c>
      <c r="P2946" s="19" t="n">
        <v>5032635</v>
      </c>
      <c r="Q2946" s="47" t="s">
        <v>12391</v>
      </c>
      <c r="R2946" s="13" t="s">
        <v>39</v>
      </c>
      <c r="S2946" s="16" t="n">
        <v>35926</v>
      </c>
      <c r="T2946" s="13" t="s">
        <v>40</v>
      </c>
      <c r="U2946" s="13" t="s">
        <v>12392</v>
      </c>
      <c r="V2946" s="13" t="s">
        <v>42</v>
      </c>
      <c r="W2946" s="13" t="s">
        <v>54</v>
      </c>
      <c r="X2946" s="21" t="n">
        <v>85707546364</v>
      </c>
      <c r="Y2946" s="22" t="str">
        <f aca="false">O2946</f>
        <v>Checker Warehouse</v>
      </c>
      <c r="Z2946" s="13" t="str">
        <f aca="false">IFERROR(__xludf.dummyfunction("if(BJ2946="""","""",GOOGLETRANSLATE(BJ2946,""auto"",""en""))"),"Checker Warehouse")</f>
        <v>Checker Warehouse</v>
      </c>
      <c r="AA2946" s="23" t="str">
        <f aca="false">IF(C2946="","", CHOOSE(MONTH(C2946),"January","February","March","April","May","June","July","August","September","October","November","December")&amp;" "&amp;DAY(C2946)&amp;MID("thstndrdth",MIN(9,2*RIGHT(DAY(C2946))*(MOD(DAY(C2946)-11,100)&gt;2)+1),2)&amp;","&amp;TEXT(C2946," yyyy"))</f>
        <v>November 26th,2025</v>
      </c>
      <c r="AB2946" s="15" t="str">
        <f aca="true">IF(S2946="","",DATEDIF(S2946,TODAY(),"Y")&amp;" Tahun, "&amp;DATEDIF(S2946,TODAY(),"YM")&amp;" Bulan, "&amp;DATEDIF(S2946,TODAY(),"MD")&amp;" Hari")</f>
        <v>28 Tahun, 5 Bulan, 18 Hari</v>
      </c>
      <c r="AC2946" s="18" t="n">
        <v>45987</v>
      </c>
      <c r="AD2946" s="18" t="n">
        <v>46387</v>
      </c>
      <c r="AE2946" s="13" t="s">
        <v>44</v>
      </c>
    </row>
    <row r="2947" customFormat="false" ht="15" hidden="false" customHeight="true" outlineLevel="0" collapsed="false">
      <c r="A2947" s="12" t="n">
        <v>21455</v>
      </c>
      <c r="B2947" s="13" t="s">
        <v>12393</v>
      </c>
      <c r="C2947" s="16" t="n">
        <v>45987</v>
      </c>
      <c r="D2947" s="13" t="s">
        <v>4743</v>
      </c>
      <c r="E2947" s="15" t="s">
        <v>47</v>
      </c>
      <c r="F2947" s="15" t="str">
        <f aca="false">IFERROR(__xludf.dummyfunction("XLOOKUP(AJ2947,IMPORTRANGE(""1XaInW9DU9nz21V0tYIfzFQ0He9kVQ_JF2mCXgZ3hqFA"",""REKAP ALL 2026 - Andika!G:G""),IMPORTRANGE(""1XaInW9DU9nz21V0tYIfzFQ0He9kVQ_JF2mCXgZ3hqFA"",""REKAP ALL 2026 - Andika!F:F""),"""",0)"),"25180465210")</f>
        <v>25180465210</v>
      </c>
      <c r="G2947" s="13" t="s">
        <v>1127</v>
      </c>
      <c r="H2947" s="13" t="s">
        <v>35</v>
      </c>
      <c r="I2947" s="13" t="str">
        <f aca="false">IF(C2947=J2947,"NEW KONTRAK","RE-KONTRAK")</f>
        <v>NEW KONTRAK</v>
      </c>
      <c r="J2947" s="16" t="n">
        <f aca="false" t="array" ref="J2947:J2947">IFERROR(INDEX(AC2947:AE2947,IF(COUNTA(AC2947:AE2947)=0,"",MAX((AC2947:AE2947&lt;&gt;"")*(COLUMN(AC2947:AE2947)-(COLUMN(AC2947)))))-1),"")</f>
        <v>45987</v>
      </c>
      <c r="K2947" s="16" t="n">
        <f aca="false" t="array" ref="K2947:K2947">IFERROR(INDEX(AC2947:AE2947,IF(COUNTA(AC2947:AE2947)=0,"",MAX((AC2947:AE2947&lt;&gt;"")*(COLUMN(AC2947:AE2947)-(COLUMN(AC2947)-1))))-1),"")</f>
        <v>46078</v>
      </c>
      <c r="L2947" s="17" t="str">
        <f aca="false" t="array" ref="L2947:L2947">IFERROR(INDEX(AC2947:AE2947,IF(COUNTA(AC2947:AE2947)=0,"",MAX((AC2947:AE2947&lt;&gt;"")*(COLUMN(AC2947:AE2947)-(COLUMN(AC2947)-2))))-1),"")</f>
        <v>KEMBALI</v>
      </c>
      <c r="M2947" s="13" t="n">
        <f aca="true">K2947-TODAY()</f>
        <v>-246</v>
      </c>
      <c r="N2947" s="18" t="s">
        <v>728</v>
      </c>
      <c r="O2947" s="13" t="s">
        <v>6140</v>
      </c>
      <c r="P2947" s="19" t="n">
        <v>4000000</v>
      </c>
      <c r="Q2947" s="47" t="s">
        <v>12394</v>
      </c>
      <c r="R2947" s="13" t="s">
        <v>52</v>
      </c>
      <c r="S2947" s="16" t="n">
        <v>36712</v>
      </c>
      <c r="T2947" s="13" t="s">
        <v>108</v>
      </c>
      <c r="U2947" s="13" t="s">
        <v>12395</v>
      </c>
      <c r="V2947" s="13" t="s">
        <v>42</v>
      </c>
      <c r="W2947" s="13" t="s">
        <v>43</v>
      </c>
      <c r="X2947" s="21" t="n">
        <v>81259651616</v>
      </c>
      <c r="Y2947" s="22" t="str">
        <f aca="false">O2947</f>
        <v>Purchasing</v>
      </c>
      <c r="Z2947" s="13" t="str">
        <f aca="false">IFERROR(__xludf.dummyfunction("if(BJ2947="""","""",GOOGLETRANSLATE(BJ2947,""auto"",""en""))"),"Purchasing")</f>
        <v>Purchasing</v>
      </c>
      <c r="AA2947" s="23" t="str">
        <f aca="false">IF(C2947="","", CHOOSE(MONTH(C2947),"January","February","March","April","May","June","July","August","September","October","November","December")&amp;" "&amp;DAY(C2947)&amp;MID("thstndrdth",MIN(9,2*RIGHT(DAY(C2947))*(MOD(DAY(C2947)-11,100)&gt;2)+1),2)&amp;","&amp;TEXT(C2947," yyyy"))</f>
        <v>November 26th,2025</v>
      </c>
      <c r="AB2947" s="15" t="str">
        <f aca="true">IF(S2947="","",DATEDIF(S2947,TODAY(),"Y")&amp;" Tahun, "&amp;DATEDIF(S2947,TODAY(),"YM")&amp;" Bulan, "&amp;DATEDIF(S2947,TODAY(),"MD")&amp;" Hari")</f>
        <v>26 Tahun, 3 Bulan, 24 Hari</v>
      </c>
      <c r="AC2947" s="18" t="n">
        <v>45987</v>
      </c>
      <c r="AD2947" s="18" t="n">
        <f aca="false">EDATE(AC2947,3)-1</f>
        <v>46078</v>
      </c>
      <c r="AE2947" s="13" t="s">
        <v>397</v>
      </c>
    </row>
    <row r="2948" customFormat="false" ht="15" hidden="false" customHeight="true" outlineLevel="0" collapsed="false">
      <c r="A2948" s="12" t="n">
        <v>21459</v>
      </c>
      <c r="B2948" s="13" t="s">
        <v>12396</v>
      </c>
      <c r="C2948" s="16" t="n">
        <v>45987</v>
      </c>
      <c r="D2948" s="13" t="s">
        <v>144</v>
      </c>
      <c r="E2948" s="15" t="s">
        <v>102</v>
      </c>
      <c r="F2948" s="24" t="s">
        <v>12397</v>
      </c>
      <c r="G2948" s="13" t="s">
        <v>1127</v>
      </c>
      <c r="H2948" s="13" t="s">
        <v>35</v>
      </c>
      <c r="I2948" s="13" t="str">
        <f aca="false">IF(C2948=J2948,"NEW KONTRAK","RE-KONTRAK")</f>
        <v>NEW KONTRAK</v>
      </c>
      <c r="J2948" s="16" t="n">
        <f aca="false" t="array" ref="J2948:J2948">IFERROR(INDEX(AC2948:AE2948,IF(COUNTA(AC2948:AE2948)=0,"",MAX((AC2948:AE2948&lt;&gt;"")*(COLUMN(AC2948:AE2948)-(COLUMN(AC2948)))))-1),"")</f>
        <v>45987</v>
      </c>
      <c r="K2948" s="16" t="n">
        <f aca="false" t="array" ref="K2948:K2948">IFERROR(INDEX(AC2948:AE2948,IF(COUNTA(AC2948:AE2948)=0,"",MAX((AC2948:AE2948&lt;&gt;"")*(COLUMN(AC2948:AE2948)-(COLUMN(AC2948)-1))))-1),"")</f>
        <v>46022</v>
      </c>
      <c r="L2948" s="17" t="str">
        <f aca="false" t="array" ref="L2948:L2948">IFERROR(INDEX(AC2948:AE2948,IF(COUNTA(AC2948:AE2948)=0,"",MAX((AC2948:AE2948&lt;&gt;"")*(COLUMN(AC2948:AE2948)-(COLUMN(AC2948)-2))))-1),"")</f>
        <v>ARCHIVED</v>
      </c>
      <c r="M2948" s="13" t="n">
        <f aca="true">K2948-TODAY()</f>
        <v>-302</v>
      </c>
      <c r="N2948" s="18" t="s">
        <v>36</v>
      </c>
      <c r="O2948" s="13" t="s">
        <v>8192</v>
      </c>
      <c r="P2948" s="19" t="n">
        <v>5195401</v>
      </c>
      <c r="Q2948" s="47" t="s">
        <v>12398</v>
      </c>
      <c r="R2948" s="13" t="s">
        <v>65</v>
      </c>
      <c r="S2948" s="16" t="n">
        <v>36732</v>
      </c>
      <c r="T2948" s="13" t="s">
        <v>40</v>
      </c>
      <c r="U2948" s="13" t="s">
        <v>12399</v>
      </c>
      <c r="V2948" s="13" t="s">
        <v>42</v>
      </c>
      <c r="W2948" s="13" t="s">
        <v>43</v>
      </c>
      <c r="X2948" s="21" t="n">
        <v>89614960042</v>
      </c>
      <c r="Y2948" s="22" t="str">
        <f aca="false">O2948</f>
        <v>Admin Produksi</v>
      </c>
      <c r="Z2948" s="13" t="str">
        <f aca="false">IFERROR(__xludf.dummyfunction("if(BJ2948="""","""",GOOGLETRANSLATE(BJ2948,""auto"",""en""))"),"Production Admin")</f>
        <v>Production Admin</v>
      </c>
      <c r="AA2948" s="23" t="str">
        <f aca="false">IF(C2948="","", CHOOSE(MONTH(C2948),"January","February","March","April","May","June","July","August","September","October","November","December")&amp;" "&amp;DAY(C2948)&amp;MID("thstndrdth",MIN(9,2*RIGHT(DAY(C2948))*(MOD(DAY(C2948)-11,100)&gt;2)+1),2)&amp;","&amp;TEXT(C2948," yyyy"))</f>
        <v>November 26th,2025</v>
      </c>
      <c r="AB2948" s="15" t="str">
        <f aca="true">IF(S2948="","",DATEDIF(S2948,TODAY(),"Y")&amp;" Tahun, "&amp;DATEDIF(S2948,TODAY(),"YM")&amp;" Bulan, "&amp;DATEDIF(S2948,TODAY(),"MD")&amp;" Hari")</f>
        <v>26 Tahun, 3 Bulan, 4 Hari</v>
      </c>
      <c r="AC2948" s="18" t="n">
        <v>45987</v>
      </c>
      <c r="AD2948" s="18" t="n">
        <v>46022</v>
      </c>
      <c r="AE2948" s="13" t="s">
        <v>44</v>
      </c>
    </row>
    <row r="2949" customFormat="false" ht="15" hidden="false" customHeight="true" outlineLevel="0" collapsed="false">
      <c r="A2949" s="12" t="n">
        <v>21460</v>
      </c>
      <c r="B2949" s="13" t="s">
        <v>12400</v>
      </c>
      <c r="C2949" s="16" t="n">
        <v>45987</v>
      </c>
      <c r="D2949" s="13" t="s">
        <v>144</v>
      </c>
      <c r="E2949" s="15" t="s">
        <v>102</v>
      </c>
      <c r="F2949" s="15" t="str">
        <f aca="false">IFERROR(__xludf.dummyfunction("XLOOKUP(AJ2949,IMPORTRANGE(""1XaInW9DU9nz21V0tYIfzFQ0He9kVQ_JF2mCXgZ3hqFA"",""REKAP ALL 2026 - Andika!G:G""),IMPORTRANGE(""1XaInW9DU9nz21V0tYIfzFQ0He9kVQ_JF2mCXgZ3hqFA"",""REKAP ALL 2026 - Andika!F:F""),"""",0)"),"25180536887")</f>
        <v>25180536887</v>
      </c>
      <c r="G2949" s="13" t="s">
        <v>1127</v>
      </c>
      <c r="H2949" s="13" t="s">
        <v>35</v>
      </c>
      <c r="I2949" s="13" t="str">
        <f aca="false">IF(C2949=J2949,"NEW KONTRAK","RE-KONTRAK")</f>
        <v>NEW KONTRAK</v>
      </c>
      <c r="J2949" s="16" t="n">
        <f aca="false" t="array" ref="J2949:J2949">IFERROR(INDEX(AC2949:AE2949,IF(COUNTA(AC2949:AE2949)=0,"",MAX((AC2949:AE2949&lt;&gt;"")*(COLUMN(AC2949:AE2949)-(COLUMN(AC2949)))))-1),"")</f>
        <v>45987</v>
      </c>
      <c r="K2949" s="16" t="n">
        <f aca="false" t="array" ref="K2949:K2949">IFERROR(INDEX(AC2949:AE2949,IF(COUNTA(AC2949:AE2949)=0,"",MAX((AC2949:AE2949&lt;&gt;"")*(COLUMN(AC2949:AE2949)-(COLUMN(AC2949)-1))))-1),"")</f>
        <v>46022</v>
      </c>
      <c r="L2949" s="17" t="str">
        <f aca="false" t="array" ref="L2949:L2949">IFERROR(INDEX(AC2949:AE2949,IF(COUNTA(AC2949:AE2949)=0,"",MAX((AC2949:AE2949&lt;&gt;"")*(COLUMN(AC2949:AE2949)-(COLUMN(AC2949)-2))))-1),"")</f>
        <v>ARCHIVED</v>
      </c>
      <c r="M2949" s="13" t="n">
        <f aca="true">K2949-TODAY()</f>
        <v>-302</v>
      </c>
      <c r="N2949" s="18" t="s">
        <v>36</v>
      </c>
      <c r="O2949" s="13" t="s">
        <v>9279</v>
      </c>
      <c r="P2949" s="19" t="n">
        <v>5195401</v>
      </c>
      <c r="Q2949" s="47" t="s">
        <v>12401</v>
      </c>
      <c r="R2949" s="13" t="s">
        <v>78</v>
      </c>
      <c r="S2949" s="16" t="n">
        <v>36082</v>
      </c>
      <c r="T2949" s="13" t="s">
        <v>40</v>
      </c>
      <c r="U2949" s="13" t="s">
        <v>12402</v>
      </c>
      <c r="V2949" s="13" t="s">
        <v>42</v>
      </c>
      <c r="W2949" s="13" t="s">
        <v>43</v>
      </c>
      <c r="X2949" s="21" t="n">
        <v>85851898944</v>
      </c>
      <c r="Y2949" s="22" t="str">
        <f aca="false">O2949</f>
        <v>Picker Gudang</v>
      </c>
      <c r="Z2949" s="13" t="str">
        <f aca="false">IFERROR(__xludf.dummyfunction("if(BJ2949="""","""",GOOGLETRANSLATE(BJ2949,""auto"",""en""))"),"Warehouse Picker")</f>
        <v>Warehouse Picker</v>
      </c>
      <c r="AA2949" s="23" t="str">
        <f aca="false">IF(C2949="","", CHOOSE(MONTH(C2949),"January","February","March","April","May","June","July","August","September","October","November","December")&amp;" "&amp;DAY(C2949)&amp;MID("thstndrdth",MIN(9,2*RIGHT(DAY(C2949))*(MOD(DAY(C2949)-11,100)&gt;2)+1),2)&amp;","&amp;TEXT(C2949," yyyy"))</f>
        <v>November 26th,2025</v>
      </c>
      <c r="AB2949" s="15" t="str">
        <f aca="true">IF(S2949="","",DATEDIF(S2949,TODAY(),"Y")&amp;" Tahun, "&amp;DATEDIF(S2949,TODAY(),"YM")&amp;" Bulan, "&amp;DATEDIF(S2949,TODAY(),"MD")&amp;" Hari")</f>
        <v>28 Tahun, 0 Bulan, 15 Hari</v>
      </c>
      <c r="AC2949" s="18" t="n">
        <v>45987</v>
      </c>
      <c r="AD2949" s="18" t="n">
        <v>46022</v>
      </c>
      <c r="AE2949" s="13" t="s">
        <v>44</v>
      </c>
    </row>
    <row r="2950" customFormat="false" ht="15" hidden="false" customHeight="true" outlineLevel="0" collapsed="false">
      <c r="A2950" s="12" t="n">
        <v>21461</v>
      </c>
      <c r="B2950" s="13" t="s">
        <v>12403</v>
      </c>
      <c r="C2950" s="14" t="n">
        <v>45985</v>
      </c>
      <c r="D2950" s="13" t="s">
        <v>380</v>
      </c>
      <c r="E2950" s="15" t="s">
        <v>47</v>
      </c>
      <c r="F2950" s="15" t="str">
        <f aca="false">IFERROR(__xludf.dummyfunction("XLOOKUP(AJ2950,IMPORTRANGE(""1XaInW9DU9nz21V0tYIfzFQ0He9kVQ_JF2mCXgZ3hqFA"",""REKAP ALL 2026 - Andika!G:G""),IMPORTRANGE(""1XaInW9DU9nz21V0tYIfzFQ0He9kVQ_JF2mCXgZ3hqFA"",""REKAP ALL 2026 - Andika!F:F""),"""",0)"),"25180534098")</f>
        <v>25180534098</v>
      </c>
      <c r="G2950" s="13" t="s">
        <v>12404</v>
      </c>
      <c r="H2950" s="13" t="s">
        <v>49</v>
      </c>
      <c r="I2950" s="13" t="str">
        <f aca="false">IF(C2950=J2950,"NEW KONTRAK","RE-KONTRAK")</f>
        <v>NEW KONTRAK</v>
      </c>
      <c r="J2950" s="16" t="n">
        <f aca="false" t="array" ref="J2950:J2950">IFERROR(INDEX(AC2950:AE2950,IF(COUNTA(AC2950:AE2950)=0,"",MAX((AC2950:AE2950&lt;&gt;"")*(COLUMN(AC2950:AE2950)-(COLUMN(AC2950)))))-1),"")</f>
        <v>45985</v>
      </c>
      <c r="K2950" s="16" t="n">
        <f aca="false" t="array" ref="K2950:K2950">IFERROR(INDEX(AC2950:AE2950,IF(COUNTA(AC2950:AE2950)=0,"",MAX((AC2950:AE2950&lt;&gt;"")*(COLUMN(AC2950:AE2950)-(COLUMN(AC2950)-1))))-1),"")</f>
        <v>46165</v>
      </c>
      <c r="L2950" s="17" t="str">
        <f aca="false" t="array" ref="L2950:L2950">IFERROR(INDEX(AC2950:AE2950,IF(COUNTA(AC2950:AE2950)=0,"",MAX((AC2950:AE2950&lt;&gt;"")*(COLUMN(AC2950:AE2950)-(COLUMN(AC2950)-2))))-1),"")</f>
        <v>ARCHIVED</v>
      </c>
      <c r="M2950" s="13" t="n">
        <f aca="true">K2950-TODAY()</f>
        <v>-159</v>
      </c>
      <c r="N2950" s="18" t="s">
        <v>383</v>
      </c>
      <c r="O2950" s="13" t="s">
        <v>389</v>
      </c>
      <c r="P2950" s="19" t="n">
        <v>2786977</v>
      </c>
      <c r="Q2950" s="20" t="s">
        <v>12405</v>
      </c>
      <c r="R2950" s="13" t="s">
        <v>232</v>
      </c>
      <c r="S2950" s="14" t="n">
        <v>34189</v>
      </c>
      <c r="T2950" s="13" t="s">
        <v>108</v>
      </c>
      <c r="U2950" s="13" t="s">
        <v>12406</v>
      </c>
      <c r="V2950" s="13" t="s">
        <v>42</v>
      </c>
      <c r="W2950" s="13" t="s">
        <v>54</v>
      </c>
      <c r="X2950" s="21" t="n">
        <v>85733546746</v>
      </c>
      <c r="Y2950" s="22" t="str">
        <f aca="false">O2950</f>
        <v>Packing</v>
      </c>
      <c r="Z2950" s="13" t="str">
        <f aca="false">IFERROR(__xludf.dummyfunction("if(BJ2950="""","""",GOOGLETRANSLATE(BJ2950,""auto"",""en""))"),"Packing")</f>
        <v>Packing</v>
      </c>
      <c r="AA2950" s="23" t="str">
        <f aca="false">IF(C2950="","", CHOOSE(MONTH(C2950),"January","February","March","April","May","June","July","August","September","October","November","December")&amp;" "&amp;DAY(C2950)&amp;MID("thstndrdth",MIN(9,2*RIGHT(DAY(C2950))*(MOD(DAY(C2950)-11,100)&gt;2)+1),2)&amp;","&amp;TEXT(C2950," yyyy"))</f>
        <v>November 24th,2025</v>
      </c>
      <c r="AB2950" s="15" t="str">
        <f aca="true">IF(S2950="","",DATEDIF(S2950,TODAY(),"Y")&amp;" Tahun, "&amp;DATEDIF(S2950,TODAY(),"YM")&amp;" Bulan, "&amp;DATEDIF(S2950,TODAY(),"MD")&amp;" Hari")</f>
        <v>33 Tahun, 2 Bulan, 21 Hari</v>
      </c>
      <c r="AC2950" s="53" t="n">
        <v>45985</v>
      </c>
      <c r="AD2950" s="18" t="n">
        <f aca="false">EDATE(AC2950,6)-1</f>
        <v>46165</v>
      </c>
      <c r="AE2950" s="13" t="s">
        <v>44</v>
      </c>
    </row>
    <row r="2951" customFormat="false" ht="15" hidden="false" customHeight="true" outlineLevel="0" collapsed="false">
      <c r="A2951" s="12" t="n">
        <v>21462</v>
      </c>
      <c r="B2951" s="13" t="s">
        <v>12407</v>
      </c>
      <c r="C2951" s="16" t="n">
        <v>45997</v>
      </c>
      <c r="D2951" s="13" t="s">
        <v>7534</v>
      </c>
      <c r="E2951" s="15" t="s">
        <v>536</v>
      </c>
      <c r="F2951" s="24" t="s">
        <v>12408</v>
      </c>
      <c r="G2951" s="13" t="s">
        <v>1127</v>
      </c>
      <c r="H2951" s="13" t="s">
        <v>35</v>
      </c>
      <c r="I2951" s="13" t="str">
        <f aca="false">IF(C2951=J2951,"NEW KONTRAK","RE-KONTRAK")</f>
        <v>NEW KONTRAK</v>
      </c>
      <c r="J2951" s="16" t="n">
        <f aca="false" t="array" ref="J2951:J2951">IFERROR(INDEX(AC2951:AE2951,IF(COUNTA(AC2951:AE2951)=0,"",MAX((AC2951:AE2951&lt;&gt;"")*(COLUMN(AC2951:AE2951)-(COLUMN(AC2951)))))-1),"")</f>
        <v>45997</v>
      </c>
      <c r="K2951" s="16" t="n">
        <f aca="false" t="array" ref="K2951:K2951">IFERROR(INDEX(AC2951:AE2951,IF(COUNTA(AC2951:AE2951)=0,"",MAX((AC2951:AE2951&lt;&gt;"")*(COLUMN(AC2951:AE2951)-(COLUMN(AC2951)-1))))-1),"")</f>
        <v>46086</v>
      </c>
      <c r="L2951" s="17" t="str">
        <f aca="false" t="array" ref="L2951:L2951">IFERROR(INDEX(AC2951:AE2951,IF(COUNTA(AC2951:AE2951)=0,"",MAX((AC2951:AE2951&lt;&gt;"")*(COLUMN(AC2951:AE2951)-(COLUMN(AC2951)-2))))-1),"")</f>
        <v>ARCHIVED</v>
      </c>
      <c r="M2951" s="13" t="n">
        <f aca="true">K2951-TODAY()</f>
        <v>-238</v>
      </c>
      <c r="N2951" s="18" t="s">
        <v>4735</v>
      </c>
      <c r="O2951" s="13" t="s">
        <v>7536</v>
      </c>
      <c r="P2951" s="19" t="n">
        <v>3553530</v>
      </c>
      <c r="Q2951" s="47" t="s">
        <v>12409</v>
      </c>
      <c r="R2951" s="13" t="s">
        <v>83</v>
      </c>
      <c r="S2951" s="16" t="n">
        <v>37732</v>
      </c>
      <c r="T2951" s="13" t="s">
        <v>108</v>
      </c>
      <c r="U2951" s="13" t="s">
        <v>12410</v>
      </c>
      <c r="V2951" s="13" t="s">
        <v>42</v>
      </c>
      <c r="W2951" s="13" t="s">
        <v>43</v>
      </c>
      <c r="X2951" s="30" t="n">
        <v>89696641605</v>
      </c>
      <c r="Y2951" s="22" t="str">
        <f aca="false">O2951</f>
        <v>Host Live</v>
      </c>
      <c r="Z2951" s="13" t="str">
        <f aca="false">IFERROR(__xludf.dummyfunction("if(BJ2951="""","""",GOOGLETRANSLATE(BJ2951,""auto"",""en""))"),"Host Live")</f>
        <v>Host Live</v>
      </c>
      <c r="AA2951" s="23" t="str">
        <f aca="false">IF(C2951="","", CHOOSE(MONTH(C2951),"January","February","March","April","May","June","July","August","September","October","November","December")&amp;" "&amp;DAY(C2951)&amp;MID("thstndrdth",MIN(9,2*RIGHT(DAY(C2951))*(MOD(DAY(C2951)-11,100)&gt;2)+1),2)&amp;","&amp;TEXT(C2951," yyyy"))</f>
        <v>December 6th,2025</v>
      </c>
      <c r="AB2951" s="15" t="str">
        <f aca="true">IF(S2951="","",DATEDIF(S2951,TODAY(),"Y")&amp;" Tahun, "&amp;DATEDIF(S2951,TODAY(),"YM")&amp;" Bulan, "&amp;DATEDIF(S2951,TODAY(),"MD")&amp;" Hari")</f>
        <v>23 Tahun, 6 Bulan, 8 Hari</v>
      </c>
      <c r="AC2951" s="18" t="n">
        <v>45997</v>
      </c>
      <c r="AD2951" s="18" t="n">
        <f aca="false">EDATE(AC2951,3)-1</f>
        <v>46086</v>
      </c>
      <c r="AE2951" s="13" t="s">
        <v>44</v>
      </c>
    </row>
    <row r="2952" customFormat="false" ht="15" hidden="false" customHeight="true" outlineLevel="0" collapsed="false">
      <c r="A2952" s="12" t="n">
        <v>21463</v>
      </c>
      <c r="B2952" s="13" t="s">
        <v>12411</v>
      </c>
      <c r="C2952" s="16" t="n">
        <v>45997</v>
      </c>
      <c r="D2952" s="13" t="s">
        <v>7534</v>
      </c>
      <c r="E2952" s="15" t="s">
        <v>536</v>
      </c>
      <c r="F2952" s="24" t="s">
        <v>12412</v>
      </c>
      <c r="G2952" s="13" t="s">
        <v>1127</v>
      </c>
      <c r="H2952" s="13" t="s">
        <v>35</v>
      </c>
      <c r="I2952" s="13" t="str">
        <f aca="false">IF(C2952=J2952,"NEW KONTRAK","RE-KONTRAK")</f>
        <v>NEW KONTRAK</v>
      </c>
      <c r="J2952" s="16" t="n">
        <f aca="false" t="array" ref="J2952:J2952">IFERROR(INDEX(AC2952:AE2952,IF(COUNTA(AC2952:AE2952)=0,"",MAX((AC2952:AE2952&lt;&gt;"")*(COLUMN(AC2952:AE2952)-(COLUMN(AC2952)))))-1),"")</f>
        <v>45997</v>
      </c>
      <c r="K2952" s="16" t="n">
        <f aca="false" t="array" ref="K2952:K2952">IFERROR(INDEX(AC2952:AE2952,IF(COUNTA(AC2952:AE2952)=0,"",MAX((AC2952:AE2952&lt;&gt;"")*(COLUMN(AC2952:AE2952)-(COLUMN(AC2952)-1))))-1),"")</f>
        <v>46086</v>
      </c>
      <c r="L2952" s="17" t="str">
        <f aca="false" t="array" ref="L2952:L2952">IFERROR(INDEX(AC2952:AE2952,IF(COUNTA(AC2952:AE2952)=0,"",MAX((AC2952:AE2952&lt;&gt;"")*(COLUMN(AC2952:AE2952)-(COLUMN(AC2952)-2))))-1),"")</f>
        <v>KEMBALI</v>
      </c>
      <c r="M2952" s="13" t="n">
        <f aca="true">K2952-TODAY()</f>
        <v>-238</v>
      </c>
      <c r="N2952" s="18" t="s">
        <v>4735</v>
      </c>
      <c r="O2952" s="13" t="s">
        <v>7536</v>
      </c>
      <c r="P2952" s="19" t="n">
        <v>3553530</v>
      </c>
      <c r="Q2952" s="47" t="s">
        <v>12413</v>
      </c>
      <c r="R2952" s="13" t="s">
        <v>83</v>
      </c>
      <c r="S2952" s="16" t="n">
        <v>38751</v>
      </c>
      <c r="T2952" s="13" t="s">
        <v>108</v>
      </c>
      <c r="U2952" s="13" t="s">
        <v>12414</v>
      </c>
      <c r="V2952" s="13" t="s">
        <v>42</v>
      </c>
      <c r="W2952" s="13" t="s">
        <v>43</v>
      </c>
      <c r="X2952" s="30" t="n">
        <v>82397516136</v>
      </c>
      <c r="Y2952" s="22" t="str">
        <f aca="false">O2952</f>
        <v>Host Live</v>
      </c>
      <c r="Z2952" s="13" t="str">
        <f aca="false">IFERROR(__xludf.dummyfunction("if(BJ2952="""","""",GOOGLETRANSLATE(BJ2952,""auto"",""en""))"),"Host Live")</f>
        <v>Host Live</v>
      </c>
      <c r="AA2952" s="23" t="str">
        <f aca="false">IF(C2952="","", CHOOSE(MONTH(C2952),"January","February","March","April","May","June","July","August","September","October","November","December")&amp;" "&amp;DAY(C2952)&amp;MID("thstndrdth",MIN(9,2*RIGHT(DAY(C2952))*(MOD(DAY(C2952)-11,100)&gt;2)+1),2)&amp;","&amp;TEXT(C2952," yyyy"))</f>
        <v>December 6th,2025</v>
      </c>
      <c r="AB2952" s="15" t="str">
        <f aca="true">IF(S2952="","",DATEDIF(S2952,TODAY(),"Y")&amp;" Tahun, "&amp;DATEDIF(S2952,TODAY(),"YM")&amp;" Bulan, "&amp;DATEDIF(S2952,TODAY(),"MD")&amp;" Hari")</f>
        <v>20 Tahun, 8 Bulan, 26 Hari</v>
      </c>
      <c r="AC2952" s="18" t="n">
        <v>45997</v>
      </c>
      <c r="AD2952" s="18" t="n">
        <f aca="false">EDATE(AC2952,3)-1</f>
        <v>46086</v>
      </c>
      <c r="AE2952" s="13" t="s">
        <v>397</v>
      </c>
    </row>
    <row r="2953" customFormat="false" ht="15" hidden="false" customHeight="true" outlineLevel="0" collapsed="false">
      <c r="A2953" s="12" t="n">
        <v>21464</v>
      </c>
      <c r="B2953" s="13" t="s">
        <v>12415</v>
      </c>
      <c r="C2953" s="16" t="n">
        <v>45976</v>
      </c>
      <c r="D2953" s="13" t="s">
        <v>2033</v>
      </c>
      <c r="E2953" s="15" t="s">
        <v>102</v>
      </c>
      <c r="F2953" s="15" t="str">
        <f aca="false">IFERROR(__xludf.dummyfunction("XLOOKUP(AJ2953,IMPORTRANGE(""1XaInW9DU9nz21V0tYIfzFQ0He9kVQ_JF2mCXgZ3hqFA"",""REKAP ALL 2026 - Andika!G:G""),IMPORTRANGE(""1XaInW9DU9nz21V0tYIfzFQ0He9kVQ_JF2mCXgZ3hqFA"",""REKAP ALL 2026 - Andika!F:F""),"""",0)"),"25180535525")</f>
        <v>25180535525</v>
      </c>
      <c r="G2953" s="13" t="s">
        <v>1127</v>
      </c>
      <c r="H2953" s="13" t="s">
        <v>35</v>
      </c>
      <c r="I2953" s="13" t="str">
        <f aca="false">IF(C2953=J2953,"NEW KONTRAK","RE-KONTRAK")</f>
        <v>NEW KONTRAK</v>
      </c>
      <c r="J2953" s="16" t="n">
        <f aca="false" t="array" ref="J2953:J2953">IFERROR(INDEX(AC2953:AE2953,IF(COUNTA(AC2953:AE2953)=0,"",MAX((AC2953:AE2953&lt;&gt;"")*(COLUMN(AC2953:AE2953)-(COLUMN(AC2953)))))-1),"")</f>
        <v>45976</v>
      </c>
      <c r="K2953" s="16" t="n">
        <f aca="false" t="array" ref="K2953:K2953">IFERROR(INDEX(AC2953:AE2953,IF(COUNTA(AC2953:AE2953)=0,"",MAX((AC2953:AE2953&lt;&gt;"")*(COLUMN(AC2953:AE2953)-(COLUMN(AC2953)-1))))-1),"")</f>
        <v>46037</v>
      </c>
      <c r="L2953" s="17" t="str">
        <f aca="false" t="array" ref="L2953:L2953">IFERROR(INDEX(AC2953:AE2953,IF(COUNTA(AC2953:AE2953)=0,"",MAX((AC2953:AE2953&lt;&gt;"")*(COLUMN(AC2953:AE2953)-(COLUMN(AC2953)-2))))-1),"")</f>
        <v>ARCHIVED</v>
      </c>
      <c r="M2953" s="13" t="n">
        <f aca="true">K2953-TODAY()</f>
        <v>-287</v>
      </c>
      <c r="N2953" s="18" t="s">
        <v>3902</v>
      </c>
      <c r="O2953" s="13" t="s">
        <v>2037</v>
      </c>
      <c r="P2953" s="19" t="n">
        <v>2903301</v>
      </c>
      <c r="Q2953" s="47" t="s">
        <v>12416</v>
      </c>
      <c r="R2953" s="13" t="s">
        <v>3499</v>
      </c>
      <c r="S2953" s="16" t="n">
        <v>36832</v>
      </c>
      <c r="T2953" s="13" t="s">
        <v>108</v>
      </c>
      <c r="U2953" s="13" t="s">
        <v>12417</v>
      </c>
      <c r="V2953" s="13" t="s">
        <v>42</v>
      </c>
      <c r="W2953" s="13" t="s">
        <v>43</v>
      </c>
      <c r="X2953" s="21" t="n">
        <v>895605999158</v>
      </c>
      <c r="Y2953" s="22" t="str">
        <f aca="false">O2953</f>
        <v>SPG/BA</v>
      </c>
      <c r="Z2953" s="13" t="str">
        <f aca="false">IFERROR(__xludf.dummyfunction("if(BJ2953="""","""",GOOGLETRANSLATE(BJ2953,""auto"",""en""))"),"SPG/BA")</f>
        <v>SPG/BA</v>
      </c>
      <c r="AA2953" s="23" t="str">
        <f aca="false">IF(C2953="","", CHOOSE(MONTH(C2953),"January","February","March","April","May","June","July","August","September","October","November","December")&amp;" "&amp;DAY(C2953)&amp;MID("thstndrdth",MIN(9,2*RIGHT(DAY(C2953))*(MOD(DAY(C2953)-11,100)&gt;2)+1),2)&amp;","&amp;TEXT(C2953," yyyy"))</f>
        <v>November 15th,2025</v>
      </c>
      <c r="AB2953" s="15" t="str">
        <f aca="true">IF(S2953="","",DATEDIF(S2953,TODAY(),"Y")&amp;" Tahun, "&amp;DATEDIF(S2953,TODAY(),"YM")&amp;" Bulan, "&amp;DATEDIF(S2953,TODAY(),"MD")&amp;" Hari")</f>
        <v>25 Tahun, 11 Bulan, 27 Hari</v>
      </c>
      <c r="AC2953" s="18" t="n">
        <v>45976</v>
      </c>
      <c r="AD2953" s="18" t="n">
        <v>46037</v>
      </c>
      <c r="AE2953" s="13" t="s">
        <v>44</v>
      </c>
    </row>
    <row r="2954" customFormat="false" ht="15" hidden="false" customHeight="true" outlineLevel="0" collapsed="false">
      <c r="A2954" s="12" t="n">
        <v>21465</v>
      </c>
      <c r="B2954" s="13" t="s">
        <v>12418</v>
      </c>
      <c r="C2954" s="16" t="n">
        <v>45985</v>
      </c>
      <c r="D2954" s="13" t="s">
        <v>10735</v>
      </c>
      <c r="E2954" s="15" t="s">
        <v>8354</v>
      </c>
      <c r="F2954" s="24" t="s">
        <v>12419</v>
      </c>
      <c r="G2954" s="13" t="s">
        <v>1127</v>
      </c>
      <c r="H2954" s="13" t="s">
        <v>35</v>
      </c>
      <c r="I2954" s="13" t="str">
        <f aca="false">IF(C2954=J2954,"NEW KONTRAK","RE-KONTRAK")</f>
        <v>NEW KONTRAK</v>
      </c>
      <c r="J2954" s="16" t="n">
        <f aca="false" t="array" ref="J2954:J2954">IFERROR(INDEX(AC2954:AE2954,IF(COUNTA(AC2954:AE2954)=0,"",MAX((AC2954:AE2954&lt;&gt;"")*(COLUMN(AC2954:AE2954)-(COLUMN(AC2954)))))-1),"")</f>
        <v>45985</v>
      </c>
      <c r="K2954" s="16" t="n">
        <f aca="false" t="array" ref="K2954:K2954">IFERROR(INDEX(AC2954:AE2954,IF(COUNTA(AC2954:AE2954)=0,"",MAX((AC2954:AE2954&lt;&gt;"")*(COLUMN(AC2954:AE2954)-(COLUMN(AC2954)-1))))-1),"")</f>
        <v>46076</v>
      </c>
      <c r="L2954" s="17" t="str">
        <f aca="false" t="array" ref="L2954:L2954">IFERROR(INDEX(AC2954:AE2954,IF(COUNTA(AC2954:AE2954)=0,"",MAX((AC2954:AE2954&lt;&gt;"")*(COLUMN(AC2954:AE2954)-(COLUMN(AC2954)-2))))-1),"")</f>
        <v>ARCHIVED</v>
      </c>
      <c r="M2954" s="13" t="n">
        <f aca="true">K2954-TODAY()</f>
        <v>-248</v>
      </c>
      <c r="N2954" s="18" t="s">
        <v>4735</v>
      </c>
      <c r="O2954" s="13" t="s">
        <v>10737</v>
      </c>
      <c r="P2954" s="19" t="n">
        <v>2553530</v>
      </c>
      <c r="Q2954" s="47" t="s">
        <v>12420</v>
      </c>
      <c r="R2954" s="13" t="s">
        <v>241</v>
      </c>
      <c r="S2954" s="16" t="n">
        <v>34758</v>
      </c>
      <c r="T2954" s="28" t="s">
        <v>40</v>
      </c>
      <c r="U2954" s="13" t="s">
        <v>12421</v>
      </c>
      <c r="V2954" s="13" t="s">
        <v>42</v>
      </c>
      <c r="W2954" s="13" t="s">
        <v>54</v>
      </c>
      <c r="X2954" s="21" t="n">
        <v>87865000395</v>
      </c>
      <c r="Y2954" s="22" t="str">
        <f aca="false">O2954</f>
        <v>Sales Taking Order</v>
      </c>
      <c r="Z2954" s="13" t="str">
        <f aca="false">IFERROR(__xludf.dummyfunction("if(BJ2954="""","""",GOOGLETRANSLATE(BJ2954,""auto"",""en""))"),"Sales Taking Order")</f>
        <v>Sales Taking Order</v>
      </c>
      <c r="AA2954" s="23" t="str">
        <f aca="false">IF(C2954="","", CHOOSE(MONTH(C2954),"January","February","March","April","May","June","July","August","September","October","November","December")&amp;" "&amp;DAY(C2954)&amp;MID("thstndrdth",MIN(9,2*RIGHT(DAY(C2954))*(MOD(DAY(C2954)-11,100)&gt;2)+1),2)&amp;","&amp;TEXT(C2954," yyyy"))</f>
        <v>November 24th,2025</v>
      </c>
      <c r="AB2954" s="15" t="str">
        <f aca="true">IF(S2954="","",DATEDIF(S2954,TODAY(),"Y")&amp;" Tahun, "&amp;DATEDIF(S2954,TODAY(),"YM")&amp;" Bulan, "&amp;DATEDIF(S2954,TODAY(),"MD")&amp;" Hari")</f>
        <v>31 Tahun, 8 Bulan, 1 Hari</v>
      </c>
      <c r="AC2954" s="18" t="n">
        <v>45985</v>
      </c>
      <c r="AD2954" s="18" t="n">
        <f aca="false">EDATE(AC2954,3)-1</f>
        <v>46076</v>
      </c>
      <c r="AE2954" s="13" t="s">
        <v>44</v>
      </c>
    </row>
    <row r="2955" customFormat="false" ht="15" hidden="false" customHeight="true" outlineLevel="0" collapsed="false">
      <c r="A2955" s="12" t="n">
        <v>21466</v>
      </c>
      <c r="B2955" s="13" t="s">
        <v>12422</v>
      </c>
      <c r="C2955" s="16" t="n">
        <v>45977</v>
      </c>
      <c r="D2955" s="13" t="s">
        <v>2033</v>
      </c>
      <c r="E2955" s="15" t="s">
        <v>102</v>
      </c>
      <c r="F2955" s="24" t="s">
        <v>12423</v>
      </c>
      <c r="G2955" s="13" t="s">
        <v>1127</v>
      </c>
      <c r="H2955" s="13" t="s">
        <v>35</v>
      </c>
      <c r="I2955" s="13" t="str">
        <f aca="false">IF(C2955=J2955,"NEW KONTRAK","RE-KONTRAK")</f>
        <v>NEW KONTRAK</v>
      </c>
      <c r="J2955" s="16" t="n">
        <f aca="false" t="array" ref="J2955:J2955">IFERROR(INDEX(AC2955:AE2955,IF(COUNTA(AC2955:AE2955)=0,"",MAX((AC2955:AE2955&lt;&gt;"")*(COLUMN(AC2955:AE2955)-(COLUMN(AC2955)))))-1),"")</f>
        <v>45977</v>
      </c>
      <c r="K2955" s="16" t="n">
        <f aca="false" t="array" ref="K2955:K2955">IFERROR(INDEX(AC2955:AE2955,IF(COUNTA(AC2955:AE2955)=0,"",MAX((AC2955:AE2955&lt;&gt;"")*(COLUMN(AC2955:AE2955)-(COLUMN(AC2955)-1))))-1),"")</f>
        <v>46037</v>
      </c>
      <c r="L2955" s="17" t="str">
        <f aca="false" t="array" ref="L2955:L2955">IFERROR(INDEX(AC2955:AE2955,IF(COUNTA(AC2955:AE2955)=0,"",MAX((AC2955:AE2955&lt;&gt;"")*(COLUMN(AC2955:AE2955)-(COLUMN(AC2955)-2))))-1),"")</f>
        <v>ARCHIVED</v>
      </c>
      <c r="M2955" s="13" t="n">
        <f aca="true">K2955-TODAY()</f>
        <v>-287</v>
      </c>
      <c r="N2955" s="18" t="s">
        <v>5749</v>
      </c>
      <c r="O2955" s="13" t="s">
        <v>2037</v>
      </c>
      <c r="P2955" s="19" t="n">
        <v>3685616</v>
      </c>
      <c r="Q2955" s="47" t="s">
        <v>12424</v>
      </c>
      <c r="R2955" s="13" t="s">
        <v>12425</v>
      </c>
      <c r="S2955" s="16" t="n">
        <v>35953</v>
      </c>
      <c r="T2955" s="13" t="s">
        <v>108</v>
      </c>
      <c r="U2955" s="13" t="s">
        <v>12426</v>
      </c>
      <c r="V2955" s="13" t="s">
        <v>42</v>
      </c>
      <c r="W2955" s="13" t="s">
        <v>54</v>
      </c>
      <c r="X2955" s="21" t="n">
        <v>82338575995</v>
      </c>
      <c r="Y2955" s="22" t="str">
        <f aca="false">O2955</f>
        <v>SPG/BA</v>
      </c>
      <c r="Z2955" s="13" t="str">
        <f aca="false">IFERROR(__xludf.dummyfunction("if(BJ2955="""","""",GOOGLETRANSLATE(BJ2955,""auto"",""en""))"),"SPG/BA")</f>
        <v>SPG/BA</v>
      </c>
      <c r="AA2955" s="23" t="str">
        <f aca="false">IF(C2955="","", CHOOSE(MONTH(C2955),"January","February","March","April","May","June","July","August","September","October","November","December")&amp;" "&amp;DAY(C2955)&amp;MID("thstndrdth",MIN(9,2*RIGHT(DAY(C2955))*(MOD(DAY(C2955)-11,100)&gt;2)+1),2)&amp;","&amp;TEXT(C2955," yyyy"))</f>
        <v>November 16th,2025</v>
      </c>
      <c r="AB2955" s="15" t="str">
        <f aca="true">IF(S2955="","",DATEDIF(S2955,TODAY(),"Y")&amp;" Tahun, "&amp;DATEDIF(S2955,TODAY(),"YM")&amp;" Bulan, "&amp;DATEDIF(S2955,TODAY(),"MD")&amp;" Hari")</f>
        <v>28 Tahun, 4 Bulan, 22 Hari</v>
      </c>
      <c r="AC2955" s="18" t="n">
        <v>45977</v>
      </c>
      <c r="AD2955" s="18" t="n">
        <v>46037</v>
      </c>
      <c r="AE2955" s="13" t="s">
        <v>44</v>
      </c>
    </row>
    <row r="2956" customFormat="false" ht="15" hidden="false" customHeight="true" outlineLevel="0" collapsed="false">
      <c r="A2956" s="12" t="n">
        <v>21467</v>
      </c>
      <c r="B2956" s="13" t="s">
        <v>12427</v>
      </c>
      <c r="C2956" s="16" t="n">
        <v>45985</v>
      </c>
      <c r="D2956" s="13" t="s">
        <v>10735</v>
      </c>
      <c r="E2956" s="15" t="s">
        <v>789</v>
      </c>
      <c r="F2956" s="24" t="s">
        <v>12428</v>
      </c>
      <c r="G2956" s="13" t="s">
        <v>1127</v>
      </c>
      <c r="H2956" s="13" t="s">
        <v>35</v>
      </c>
      <c r="I2956" s="13" t="str">
        <f aca="false">IF(C2956=J2956,"NEW KONTRAK","RE-KONTRAK")</f>
        <v>NEW KONTRAK</v>
      </c>
      <c r="J2956" s="16" t="n">
        <f aca="false" t="array" ref="J2956:J2956">IFERROR(INDEX(AC2956:AE2956,IF(COUNTA(AC2956:AE2956)=0,"",MAX((AC2956:AE2956&lt;&gt;"")*(COLUMN(AC2956:AE2956)-(COLUMN(AC2956)))))-1),"")</f>
        <v>45985</v>
      </c>
      <c r="K2956" s="16" t="n">
        <f aca="false" t="array" ref="K2956:K2956">IFERROR(INDEX(AC2956:AE2956,IF(COUNTA(AC2956:AE2956)=0,"",MAX((AC2956:AE2956&lt;&gt;"")*(COLUMN(AC2956:AE2956)-(COLUMN(AC2956)-1))))-1),"")</f>
        <v>46076</v>
      </c>
      <c r="L2956" s="17" t="str">
        <f aca="false" t="array" ref="L2956:L2956">IFERROR(INDEX(AC2956:AE2956,IF(COUNTA(AC2956:AE2956)=0,"",MAX((AC2956:AE2956&lt;&gt;"")*(COLUMN(AC2956:AE2956)-(COLUMN(AC2956)-2))))-1),"")</f>
        <v>ARCHIVED</v>
      </c>
      <c r="M2956" s="13" t="n">
        <f aca="true">K2956-TODAY()</f>
        <v>-248</v>
      </c>
      <c r="N2956" s="18" t="s">
        <v>4735</v>
      </c>
      <c r="O2956" s="13" t="s">
        <v>12429</v>
      </c>
      <c r="P2956" s="19" t="n">
        <v>2553530</v>
      </c>
      <c r="Q2956" s="47" t="s">
        <v>12430</v>
      </c>
      <c r="R2956" s="13" t="s">
        <v>232</v>
      </c>
      <c r="S2956" s="16" t="n">
        <v>37878</v>
      </c>
      <c r="T2956" s="13" t="s">
        <v>108</v>
      </c>
      <c r="U2956" s="13" t="s">
        <v>12431</v>
      </c>
      <c r="V2956" s="13" t="s">
        <v>42</v>
      </c>
      <c r="W2956" s="13" t="s">
        <v>54</v>
      </c>
      <c r="X2956" s="21" t="n">
        <v>85710562489</v>
      </c>
      <c r="Y2956" s="22" t="str">
        <f aca="false">O2956</f>
        <v>Beauty Advisor</v>
      </c>
      <c r="Z2956" s="13" t="str">
        <f aca="false">IFERROR(__xludf.dummyfunction("if(BJ2956="""","""",GOOGLETRANSLATE(BJ2956,""auto"",""en""))"),"Beauty Advisor")</f>
        <v>Beauty Advisor</v>
      </c>
      <c r="AA2956" s="23" t="str">
        <f aca="false">IF(C2956="","", CHOOSE(MONTH(C2956),"January","February","March","April","May","June","July","August","September","October","November","December")&amp;" "&amp;DAY(C2956)&amp;MID("thstndrdth",MIN(9,2*RIGHT(DAY(C2956))*(MOD(DAY(C2956)-11,100)&gt;2)+1),2)&amp;","&amp;TEXT(C2956," yyyy"))</f>
        <v>November 24th,2025</v>
      </c>
      <c r="AB2956" s="15" t="str">
        <f aca="true">IF(S2956="","",DATEDIF(S2956,TODAY(),"Y")&amp;" Tahun, "&amp;DATEDIF(S2956,TODAY(),"YM")&amp;" Bulan, "&amp;DATEDIF(S2956,TODAY(),"MD")&amp;" Hari")</f>
        <v>23 Tahun, 1 Bulan, 15 Hari</v>
      </c>
      <c r="AC2956" s="18" t="n">
        <v>45985</v>
      </c>
      <c r="AD2956" s="18" t="n">
        <f aca="false">EDATE(AC2956,3)-1</f>
        <v>46076</v>
      </c>
      <c r="AE2956" s="13" t="s">
        <v>44</v>
      </c>
    </row>
    <row r="2957" customFormat="false" ht="15" hidden="false" customHeight="true" outlineLevel="0" collapsed="false">
      <c r="A2957" s="12" t="n">
        <v>21468</v>
      </c>
      <c r="B2957" s="13" t="s">
        <v>12432</v>
      </c>
      <c r="C2957" s="16" t="n">
        <v>45976</v>
      </c>
      <c r="D2957" s="13" t="s">
        <v>2033</v>
      </c>
      <c r="E2957" s="15" t="s">
        <v>102</v>
      </c>
      <c r="F2957" s="24" t="s">
        <v>12433</v>
      </c>
      <c r="G2957" s="13" t="s">
        <v>1127</v>
      </c>
      <c r="H2957" s="13" t="s">
        <v>35</v>
      </c>
      <c r="I2957" s="13" t="str">
        <f aca="false">IF(C2957=J2957,"NEW KONTRAK","RE-KONTRAK")</f>
        <v>NEW KONTRAK</v>
      </c>
      <c r="J2957" s="16" t="n">
        <f aca="false" t="array" ref="J2957:J2957">IFERROR(INDEX(AC2957:AE2957,IF(COUNTA(AC2957:AE2957)=0,"",MAX((AC2957:AE2957&lt;&gt;"")*(COLUMN(AC2957:AE2957)-(COLUMN(AC2957)))))-1),"")</f>
        <v>45976</v>
      </c>
      <c r="K2957" s="16" t="n">
        <f aca="false" t="array" ref="K2957:K2957">IFERROR(INDEX(AC2957:AE2957,IF(COUNTA(AC2957:AE2957)=0,"",MAX((AC2957:AE2957&lt;&gt;"")*(COLUMN(AC2957:AE2957)-(COLUMN(AC2957)-1))))-1),"")</f>
        <v>46037</v>
      </c>
      <c r="L2957" s="17" t="str">
        <f aca="false" t="array" ref="L2957:L2957">IFERROR(INDEX(AC2957:AE2957,IF(COUNTA(AC2957:AE2957)=0,"",MAX((AC2957:AE2957&lt;&gt;"")*(COLUMN(AC2957:AE2957)-(COLUMN(AC2957)-2))))-1),"")</f>
        <v>ARCHIVED</v>
      </c>
      <c r="M2957" s="13" t="n">
        <f aca="true">K2957-TODAY()</f>
        <v>-287</v>
      </c>
      <c r="N2957" s="18" t="s">
        <v>6678</v>
      </c>
      <c r="O2957" s="13" t="s">
        <v>2037</v>
      </c>
      <c r="P2957" s="19" t="n">
        <v>3221731</v>
      </c>
      <c r="Q2957" s="47" t="s">
        <v>12434</v>
      </c>
      <c r="R2957" s="13" t="s">
        <v>6678</v>
      </c>
      <c r="S2957" s="16" t="n">
        <v>36518</v>
      </c>
      <c r="T2957" s="13" t="s">
        <v>108</v>
      </c>
      <c r="U2957" s="13" t="s">
        <v>12435</v>
      </c>
      <c r="V2957" s="13" t="s">
        <v>42</v>
      </c>
      <c r="W2957" s="13" t="s">
        <v>54</v>
      </c>
      <c r="X2957" s="21" t="n">
        <v>89618832600</v>
      </c>
      <c r="Y2957" s="22" t="str">
        <f aca="false">O2957</f>
        <v>SPG/BA</v>
      </c>
      <c r="Z2957" s="13" t="str">
        <f aca="false">IFERROR(__xludf.dummyfunction("if(BJ2957="""","""",GOOGLETRANSLATE(BJ2957,""auto"",""en""))"),"SPG/BA")</f>
        <v>SPG/BA</v>
      </c>
      <c r="AA2957" s="23" t="str">
        <f aca="false">IF(C2957="","", CHOOSE(MONTH(C2957),"January","February","March","April","May","June","July","August","September","October","November","December")&amp;" "&amp;DAY(C2957)&amp;MID("thstndrdth",MIN(9,2*RIGHT(DAY(C2957))*(MOD(DAY(C2957)-11,100)&gt;2)+1),2)&amp;","&amp;TEXT(C2957," yyyy"))</f>
        <v>November 15th,2025</v>
      </c>
      <c r="AB2957" s="15" t="str">
        <f aca="true">IF(S2957="","",DATEDIF(S2957,TODAY(),"Y")&amp;" Tahun, "&amp;DATEDIF(S2957,TODAY(),"YM")&amp;" Bulan, "&amp;DATEDIF(S2957,TODAY(),"MD")&amp;" Hari")</f>
        <v>26 Tahun, 10 Bulan, 5 Hari</v>
      </c>
      <c r="AC2957" s="18" t="n">
        <v>45976</v>
      </c>
      <c r="AD2957" s="18" t="n">
        <v>46037</v>
      </c>
      <c r="AE2957" s="13" t="s">
        <v>44</v>
      </c>
    </row>
    <row r="2958" customFormat="false" ht="15" hidden="false" customHeight="true" outlineLevel="0" collapsed="false">
      <c r="A2958" s="12" t="n">
        <v>21469</v>
      </c>
      <c r="B2958" s="13" t="s">
        <v>12436</v>
      </c>
      <c r="C2958" s="16" t="n">
        <v>45978</v>
      </c>
      <c r="D2958" s="13" t="s">
        <v>2033</v>
      </c>
      <c r="E2958" s="15" t="s">
        <v>789</v>
      </c>
      <c r="F2958" s="24" t="s">
        <v>12437</v>
      </c>
      <c r="G2958" s="13" t="s">
        <v>1127</v>
      </c>
      <c r="H2958" s="13" t="s">
        <v>35</v>
      </c>
      <c r="I2958" s="13" t="str">
        <f aca="false">IF(C2958=J2958,"NEW KONTRAK","RE-KONTRAK")</f>
        <v>NEW KONTRAK</v>
      </c>
      <c r="J2958" s="16" t="n">
        <f aca="false" t="array" ref="J2958:J2958">IFERROR(INDEX(AC2958:AE2958,IF(COUNTA(AC2958:AE2958)=0,"",MAX((AC2958:AE2958&lt;&gt;"")*(COLUMN(AC2958:AE2958)-(COLUMN(AC2958)))))-1),"")</f>
        <v>45978</v>
      </c>
      <c r="K2958" s="16" t="n">
        <f aca="false" t="array" ref="K2958:K2958">IFERROR(INDEX(AC2958:AE2958,IF(COUNTA(AC2958:AE2958)=0,"",MAX((AC2958:AE2958&lt;&gt;"")*(COLUMN(AC2958:AE2958)-(COLUMN(AC2958)-1))))-1),"")</f>
        <v>46037</v>
      </c>
      <c r="L2958" s="17" t="str">
        <f aca="false" t="array" ref="L2958:L2958">IFERROR(INDEX(AC2958:AE2958,IF(COUNTA(AC2958:AE2958)=0,"",MAX((AC2958:AE2958&lt;&gt;"")*(COLUMN(AC2958:AE2958)-(COLUMN(AC2958)-2))))-1),"")</f>
        <v>ARCHIVED</v>
      </c>
      <c r="M2958" s="13" t="n">
        <f aca="true">K2958-TODAY()</f>
        <v>-287</v>
      </c>
      <c r="N2958" s="18" t="s">
        <v>4784</v>
      </c>
      <c r="O2958" s="13" t="s">
        <v>2037</v>
      </c>
      <c r="P2958" s="19" t="n">
        <v>3824264</v>
      </c>
      <c r="Q2958" s="47" t="s">
        <v>12438</v>
      </c>
      <c r="R2958" s="13" t="s">
        <v>12439</v>
      </c>
      <c r="S2958" s="16" t="n">
        <v>36804</v>
      </c>
      <c r="T2958" s="13" t="s">
        <v>108</v>
      </c>
      <c r="U2958" s="13" t="s">
        <v>12440</v>
      </c>
      <c r="V2958" s="13" t="s">
        <v>99</v>
      </c>
      <c r="W2958" s="13" t="s">
        <v>54</v>
      </c>
      <c r="X2958" s="21" t="n">
        <v>856937691</v>
      </c>
      <c r="Y2958" s="22" t="str">
        <f aca="false">O2958</f>
        <v>SPG/BA</v>
      </c>
      <c r="Z2958" s="13" t="str">
        <f aca="false">IFERROR(__xludf.dummyfunction("if(BJ2958="""","""",GOOGLETRANSLATE(BJ2958,""auto"",""en""))"),"SPG/BA")</f>
        <v>SPG/BA</v>
      </c>
      <c r="AA2958" s="23" t="str">
        <f aca="false">IF(C2958="","", CHOOSE(MONTH(C2958),"January","February","March","April","May","June","July","August","September","October","November","December")&amp;" "&amp;DAY(C2958)&amp;MID("thstndrdth",MIN(9,2*RIGHT(DAY(C2958))*(MOD(DAY(C2958)-11,100)&gt;2)+1),2)&amp;","&amp;TEXT(C2958," yyyy"))</f>
        <v>November 17th,2025</v>
      </c>
      <c r="AB2958" s="15" t="str">
        <f aca="true">IF(S2958="","",DATEDIF(S2958,TODAY(),"Y")&amp;" Tahun, "&amp;DATEDIF(S2958,TODAY(),"YM")&amp;" Bulan, "&amp;DATEDIF(S2958,TODAY(),"MD")&amp;" Hari")</f>
        <v>26 Tahun, 0 Bulan, 24 Hari</v>
      </c>
      <c r="AC2958" s="18" t="n">
        <v>45978</v>
      </c>
      <c r="AD2958" s="18" t="n">
        <v>46037</v>
      </c>
      <c r="AE2958" s="13" t="s">
        <v>44</v>
      </c>
    </row>
    <row r="2959" customFormat="false" ht="15" hidden="false" customHeight="true" outlineLevel="0" collapsed="false">
      <c r="A2959" s="12" t="n">
        <v>22477</v>
      </c>
      <c r="B2959" s="13" t="s">
        <v>12441</v>
      </c>
      <c r="C2959" s="14" t="n">
        <v>46188</v>
      </c>
      <c r="D2959" s="13" t="s">
        <v>2033</v>
      </c>
      <c r="E2959" s="15" t="s">
        <v>47</v>
      </c>
      <c r="F2959" s="24" t="s">
        <v>12442</v>
      </c>
      <c r="G2959" s="15" t="s">
        <v>1127</v>
      </c>
      <c r="H2959" s="13" t="s">
        <v>35</v>
      </c>
      <c r="I2959" s="13" t="str">
        <f aca="false">IF(C2959=J2959,"NEW KONTRAK","RE-KONTRAK")</f>
        <v>NEW KONTRAK</v>
      </c>
      <c r="J2959" s="16" t="n">
        <f aca="false" t="array" ref="J2959:J2959">IFERROR(INDEX(AC2959:AE2959,IF(COUNTA(AC2959:AE2959)=0,"",MAX((AC2959:AE2959&lt;&gt;"")*(COLUMN(AC2959:AE2959)-(COLUMN(AC2959)))))-1),"")</f>
        <v>46188</v>
      </c>
      <c r="K2959" s="16" t="n">
        <f aca="false" t="array" ref="K2959:K2959">IFERROR(INDEX(AC2959:AE2959,IF(COUNTA(AC2959:AE2959)=0,"",MAX((AC2959:AE2959&lt;&gt;"")*(COLUMN(AC2959:AE2959)-(COLUMN(AC2959)-1))))-1),"")</f>
        <v>46279</v>
      </c>
      <c r="L2959" s="17" t="str">
        <f aca="false" t="array" ref="L2959:L2959">IFERROR(INDEX(AC2959:AE2959,IF(COUNTA(AC2959:AE2959)=0,"",MAX((AC2959:AE2959&lt;&gt;"")*(COLUMN(AC2959:AE2959)-(COLUMN(AC2959)-2))))-1),"")</f>
        <v>KEMBALI ONLINE</v>
      </c>
      <c r="M2959" s="13" t="n">
        <f aca="true">K2959-TODAY()</f>
        <v>-45</v>
      </c>
      <c r="N2959" s="13" t="s">
        <v>2587</v>
      </c>
      <c r="O2959" s="13" t="s">
        <v>2384</v>
      </c>
      <c r="P2959" s="19" t="n">
        <v>3855894</v>
      </c>
      <c r="Q2959" s="47" t="s">
        <v>12443</v>
      </c>
      <c r="R2959" s="13" t="s">
        <v>12444</v>
      </c>
      <c r="S2959" s="16" t="n">
        <v>38204</v>
      </c>
      <c r="T2959" s="13" t="s">
        <v>108</v>
      </c>
      <c r="U2959" s="13" t="s">
        <v>12445</v>
      </c>
      <c r="V2959" s="28" t="s">
        <v>42</v>
      </c>
      <c r="W2959" s="13" t="s">
        <v>43</v>
      </c>
      <c r="X2959" s="67" t="s">
        <v>12446</v>
      </c>
      <c r="Y2959" s="22" t="str">
        <f aca="false">O2959</f>
        <v>SPG</v>
      </c>
      <c r="Z2959" s="13" t="str">
        <f aca="false">IFERROR(__xludf.dummyfunction("if(BJ2959="""","""",GOOGLETRANSLATE(BJ2959,""auto"",""en""))"),"SPG")</f>
        <v>SPG</v>
      </c>
      <c r="AA2959" s="23" t="str">
        <f aca="false">IF(C2959="","", CHOOSE(MONTH(C2959),"January","February","March","April","May","June","July","August","September","October","November","December")&amp;" "&amp;DAY(C2959)&amp;MID("thstndrdth",MIN(9,2*RIGHT(DAY(C2959))*(MOD(DAY(C2959)-11,100)&gt;2)+1),2)&amp;","&amp;TEXT(C2959," yyyy"))</f>
        <v>June 15th,2026</v>
      </c>
      <c r="AB2959" s="15" t="str">
        <f aca="true">IF(S2959="","",DATEDIF(S2959,TODAY(),"Y")&amp;" Tahun, "&amp;DATEDIF(S2959,TODAY(),"YM")&amp;" Bulan, "&amp;DATEDIF(S2959,TODAY(),"MD")&amp;" Hari")</f>
        <v>22 Tahun, 2 Bulan, 24 Hari</v>
      </c>
      <c r="AC2959" s="14" t="n">
        <v>46188</v>
      </c>
      <c r="AD2959" s="18" t="n">
        <f aca="false">EDATE(AC2959,3)-1</f>
        <v>46279</v>
      </c>
      <c r="AE2959" s="13" t="s">
        <v>2387</v>
      </c>
    </row>
    <row r="2960" customFormat="false" ht="15" hidden="false" customHeight="true" outlineLevel="0" collapsed="false">
      <c r="A2960" s="12" t="n">
        <v>21471</v>
      </c>
      <c r="B2960" s="13" t="s">
        <v>12447</v>
      </c>
      <c r="C2960" s="16" t="n">
        <v>45985</v>
      </c>
      <c r="D2960" s="13" t="s">
        <v>2046</v>
      </c>
      <c r="E2960" s="15" t="s">
        <v>789</v>
      </c>
      <c r="F2960" s="24" t="s">
        <v>12448</v>
      </c>
      <c r="G2960" s="13" t="s">
        <v>1127</v>
      </c>
      <c r="H2960" s="13" t="s">
        <v>35</v>
      </c>
      <c r="I2960" s="13" t="str">
        <f aca="false">IF(C2960=J2960,"NEW KONTRAK","RE-KONTRAK")</f>
        <v>NEW KONTRAK</v>
      </c>
      <c r="J2960" s="16" t="n">
        <f aca="false" t="array" ref="J2960:J2960">IFERROR(INDEX(AC2960:AE2960,IF(COUNTA(AC2960:AE2960)=0,"",MAX((AC2960:AE2960&lt;&gt;"")*(COLUMN(AC2960:AE2960)-(COLUMN(AC2960)))))-1),"")</f>
        <v>45985</v>
      </c>
      <c r="K2960" s="16" t="n">
        <f aca="false" t="array" ref="K2960:K2960">IFERROR(INDEX(AC2960:AE2960,IF(COUNTA(AC2960:AE2960)=0,"",MAX((AC2960:AE2960&lt;&gt;"")*(COLUMN(AC2960:AE2960)-(COLUMN(AC2960)-1))))-1),"")</f>
        <v>46022</v>
      </c>
      <c r="L2960" s="17" t="str">
        <f aca="false" t="array" ref="L2960:L2960">IFERROR(INDEX(AC2960:AE2960,IF(COUNTA(AC2960:AE2960)=0,"",MAX((AC2960:AE2960&lt;&gt;"")*(COLUMN(AC2960:AE2960)-(COLUMN(AC2960)-2))))-1),"")</f>
        <v>ARCHIVED</v>
      </c>
      <c r="M2960" s="13" t="n">
        <f aca="true">K2960-TODAY()</f>
        <v>-302</v>
      </c>
      <c r="N2960" s="18" t="s">
        <v>36</v>
      </c>
      <c r="O2960" s="13" t="s">
        <v>11521</v>
      </c>
      <c r="P2960" s="19" t="s">
        <v>2050</v>
      </c>
      <c r="Q2960" s="47" t="s">
        <v>12449</v>
      </c>
      <c r="R2960" s="13" t="s">
        <v>78</v>
      </c>
      <c r="S2960" s="16" t="n">
        <v>34309</v>
      </c>
      <c r="T2960" s="28" t="s">
        <v>40</v>
      </c>
      <c r="U2960" s="13" t="s">
        <v>11602</v>
      </c>
      <c r="V2960" s="13" t="s">
        <v>42</v>
      </c>
      <c r="W2960" s="13" t="s">
        <v>54</v>
      </c>
      <c r="X2960" s="30" t="n">
        <v>89581645352</v>
      </c>
      <c r="Y2960" s="22" t="str">
        <f aca="false">O2960</f>
        <v>Produksi Assembly</v>
      </c>
      <c r="Z2960" s="13" t="str">
        <f aca="false">IFERROR(__xludf.dummyfunction("if(BJ2960="""","""",GOOGLETRANSLATE(BJ2960,""auto"",""en""))"),"Assembly Production")</f>
        <v>Assembly Production</v>
      </c>
      <c r="AA2960" s="23" t="str">
        <f aca="false">IF(C2960="","", CHOOSE(MONTH(C2960),"January","February","March","April","May","June","July","August","September","October","November","December")&amp;" "&amp;DAY(C2960)&amp;MID("thstndrdth",MIN(9,2*RIGHT(DAY(C2960))*(MOD(DAY(C2960)-11,100)&gt;2)+1),2)&amp;","&amp;TEXT(C2960," yyyy"))</f>
        <v>November 24th,2025</v>
      </c>
      <c r="AB2960" s="15" t="str">
        <f aca="true">IF(S2960="","",DATEDIF(S2960,TODAY(),"Y")&amp;" Tahun, "&amp;DATEDIF(S2960,TODAY(),"YM")&amp;" Bulan, "&amp;DATEDIF(S2960,TODAY(),"MD")&amp;" Hari")</f>
        <v>32 Tahun, 10 Bulan, 23 Hari</v>
      </c>
      <c r="AC2960" s="18" t="n">
        <v>45985</v>
      </c>
      <c r="AD2960" s="18" t="n">
        <v>46022</v>
      </c>
      <c r="AE2960" s="13" t="s">
        <v>44</v>
      </c>
    </row>
    <row r="2961" customFormat="false" ht="15" hidden="false" customHeight="true" outlineLevel="0" collapsed="false">
      <c r="A2961" s="12" t="n">
        <v>21472</v>
      </c>
      <c r="B2961" s="13" t="s">
        <v>12450</v>
      </c>
      <c r="C2961" s="16" t="n">
        <v>45982</v>
      </c>
      <c r="D2961" s="13" t="s">
        <v>11620</v>
      </c>
      <c r="E2961" s="15" t="s">
        <v>47</v>
      </c>
      <c r="F2961" s="15" t="str">
        <f aca="false">IFERROR(__xludf.dummyfunction("XLOOKUP(AJ2961,IMPORTRANGE(""1XaInW9DU9nz21V0tYIfzFQ0He9kVQ_JF2mCXgZ3hqFA"",""REKAP ALL 2026 - Andika!G:G""),IMPORTRANGE(""1XaInW9DU9nz21V0tYIfzFQ0He9kVQ_JF2mCXgZ3hqFA"",""REKAP ALL 2026 - Andika!F:F""),"""",0)"),"26005762476")</f>
        <v>26005762476</v>
      </c>
      <c r="G2961" s="13" t="s">
        <v>1127</v>
      </c>
      <c r="H2961" s="13" t="s">
        <v>35</v>
      </c>
      <c r="I2961" s="13" t="str">
        <f aca="false">IF(C2961=J2961,"NEW KONTRAK","RE-KONTRAK")</f>
        <v>NEW KONTRAK</v>
      </c>
      <c r="J2961" s="16" t="n">
        <f aca="false" t="array" ref="J2961:J2961">IFERROR(INDEX(AC2961:AE2961,IF(COUNTA(AC2961:AE2961)=0,"",MAX((AC2961:AE2961&lt;&gt;"")*(COLUMN(AC2961:AE2961)-(COLUMN(AC2961)))))-1),"")</f>
        <v>45982</v>
      </c>
      <c r="K2961" s="16" t="n">
        <f aca="false" t="array" ref="K2961:K2961">IFERROR(INDEX(AC2961:AE2961,IF(COUNTA(AC2961:AE2961)=0,"",MAX((AC2961:AE2961&lt;&gt;"")*(COLUMN(AC2961:AE2961)-(COLUMN(AC2961)-1))))-1),"")</f>
        <v>46162</v>
      </c>
      <c r="L2961" s="17" t="str">
        <f aca="false" t="array" ref="L2961:L2961">IFERROR(INDEX(AC2961:AE2961,IF(COUNTA(AC2961:AE2961)=0,"",MAX((AC2961:AE2961&lt;&gt;"")*(COLUMN(AC2961:AE2961)-(COLUMN(AC2961)-2))))-1),"")</f>
        <v>ARCHIVED</v>
      </c>
      <c r="M2961" s="13" t="n">
        <f aca="true">K2961-TODAY()</f>
        <v>-162</v>
      </c>
      <c r="N2961" s="18" t="s">
        <v>36</v>
      </c>
      <c r="O2961" s="13" t="s">
        <v>624</v>
      </c>
      <c r="P2961" s="19" t="n">
        <v>187466</v>
      </c>
      <c r="Q2961" s="47" t="s">
        <v>12451</v>
      </c>
      <c r="R2961" s="13" t="s">
        <v>73</v>
      </c>
      <c r="S2961" s="16" t="n">
        <v>33686</v>
      </c>
      <c r="T2961" s="28" t="s">
        <v>40</v>
      </c>
      <c r="U2961" s="13" t="s">
        <v>12452</v>
      </c>
      <c r="V2961" s="13" t="s">
        <v>42</v>
      </c>
      <c r="W2961" s="13" t="s">
        <v>54</v>
      </c>
      <c r="X2961" s="30" t="n">
        <v>81381883552</v>
      </c>
      <c r="Y2961" s="22" t="str">
        <f aca="false">O2961</f>
        <v>Quality Control</v>
      </c>
      <c r="Z2961" s="13" t="str">
        <f aca="false">IFERROR(__xludf.dummyfunction("if(BJ2961="""","""",GOOGLETRANSLATE(BJ2961,""auto"",""en""))"),"Quality Control")</f>
        <v>Quality Control</v>
      </c>
      <c r="AA2961" s="23" t="str">
        <f aca="false">IF(C2961="","", CHOOSE(MONTH(C2961),"January","February","March","April","May","June","July","August","September","October","November","December")&amp;" "&amp;DAY(C2961)&amp;MID("thstndrdth",MIN(9,2*RIGHT(DAY(C2961))*(MOD(DAY(C2961)-11,100)&gt;2)+1),2)&amp;","&amp;TEXT(C2961," yyyy"))</f>
        <v>November 21st,2025</v>
      </c>
      <c r="AB2961" s="15" t="str">
        <f aca="true">IF(S2961="","",DATEDIF(S2961,TODAY(),"Y")&amp;" Tahun, "&amp;DATEDIF(S2961,TODAY(),"YM")&amp;" Bulan, "&amp;DATEDIF(S2961,TODAY(),"MD")&amp;" Hari")</f>
        <v>34 Tahun, 7 Bulan, 6 Hari</v>
      </c>
      <c r="AC2961" s="18" t="n">
        <v>45982</v>
      </c>
      <c r="AD2961" s="18" t="n">
        <f aca="false">EDATE(AC2961,6)-1</f>
        <v>46162</v>
      </c>
      <c r="AE2961" s="13" t="s">
        <v>44</v>
      </c>
    </row>
    <row r="2962" customFormat="false" ht="15" hidden="false" customHeight="true" outlineLevel="0" collapsed="false">
      <c r="A2962" s="12" t="n">
        <v>21473</v>
      </c>
      <c r="B2962" s="13" t="s">
        <v>12453</v>
      </c>
      <c r="C2962" s="16" t="n">
        <v>45988</v>
      </c>
      <c r="D2962" s="13" t="s">
        <v>11620</v>
      </c>
      <c r="E2962" s="15" t="s">
        <v>47</v>
      </c>
      <c r="F2962" s="15" t="str">
        <f aca="false">IFERROR(__xludf.dummyfunction("XLOOKUP(AJ2962,IMPORTRANGE(""1XaInW9DU9nz21V0tYIfzFQ0He9kVQ_JF2mCXgZ3hqFA"",""REKAP ALL 2026 - Andika!G:G""),IMPORTRANGE(""1XaInW9DU9nz21V0tYIfzFQ0He9kVQ_JF2mCXgZ3hqFA"",""REKAP ALL 2026 - Andika!F:F""),"""",0)"),"26020755372")</f>
        <v>26020755372</v>
      </c>
      <c r="G2962" s="13" t="s">
        <v>1127</v>
      </c>
      <c r="H2962" s="13" t="s">
        <v>35</v>
      </c>
      <c r="I2962" s="13" t="str">
        <f aca="false">IF(C2962=J2962,"NEW KONTRAK","RE-KONTRAK")</f>
        <v>NEW KONTRAK</v>
      </c>
      <c r="J2962" s="16" t="n">
        <f aca="false" t="array" ref="J2962:J2962">IFERROR(INDEX(AC2962:AE2962,IF(COUNTA(AC2962:AE2962)=0,"",MAX((AC2962:AE2962&lt;&gt;"")*(COLUMN(AC2962:AE2962)-(COLUMN(AC2962)))))-1),"")</f>
        <v>45988</v>
      </c>
      <c r="K2962" s="16" t="n">
        <f aca="false" t="array" ref="K2962:K2962">IFERROR(INDEX(AC2962:AE2962,IF(COUNTA(AC2962:AE2962)=0,"",MAX((AC2962:AE2962&lt;&gt;"")*(COLUMN(AC2962:AE2962)-(COLUMN(AC2962)-1))))-1),"")</f>
        <v>46168</v>
      </c>
      <c r="L2962" s="17" t="str">
        <f aca="false" t="array" ref="L2962:L2962">IFERROR(INDEX(AC2962:AE2962,IF(COUNTA(AC2962:AE2962)=0,"",MAX((AC2962:AE2962&lt;&gt;"")*(COLUMN(AC2962:AE2962)-(COLUMN(AC2962)-2))))-1),"")</f>
        <v>ARCHIVED</v>
      </c>
      <c r="M2962" s="13" t="n">
        <f aca="true">K2962-TODAY()</f>
        <v>-156</v>
      </c>
      <c r="N2962" s="18" t="s">
        <v>36</v>
      </c>
      <c r="O2962" s="13" t="s">
        <v>11629</v>
      </c>
      <c r="P2962" s="19" t="n">
        <v>187466</v>
      </c>
      <c r="Q2962" s="47" t="s">
        <v>12454</v>
      </c>
      <c r="R2962" s="13" t="s">
        <v>232</v>
      </c>
      <c r="S2962" s="16" t="n">
        <v>34298</v>
      </c>
      <c r="T2962" s="28" t="s">
        <v>40</v>
      </c>
      <c r="U2962" s="13" t="s">
        <v>12455</v>
      </c>
      <c r="V2962" s="13" t="s">
        <v>42</v>
      </c>
      <c r="W2962" s="13" t="s">
        <v>54</v>
      </c>
      <c r="X2962" s="30" t="n">
        <v>85212432921</v>
      </c>
      <c r="Y2962" s="22" t="str">
        <f aca="false">O2962</f>
        <v>Tubular</v>
      </c>
      <c r="Z2962" s="13" t="str">
        <f aca="false">IFERROR(__xludf.dummyfunction("if(BJ2962="""","""",GOOGLETRANSLATE(BJ2962,""auto"",""en""))"),"Tubular")</f>
        <v>Tubular</v>
      </c>
      <c r="AA2962" s="23" t="str">
        <f aca="false">IF(C2962="","", CHOOSE(MONTH(C2962),"January","February","March","April","May","June","July","August","September","October","November","December")&amp;" "&amp;DAY(C2962)&amp;MID("thstndrdth",MIN(9,2*RIGHT(DAY(C2962))*(MOD(DAY(C2962)-11,100)&gt;2)+1),2)&amp;","&amp;TEXT(C2962," yyyy"))</f>
        <v>November 27th,2025</v>
      </c>
      <c r="AB2962" s="15" t="str">
        <f aca="true">IF(S2962="","",DATEDIF(S2962,TODAY(),"Y")&amp;" Tahun, "&amp;DATEDIF(S2962,TODAY(),"YM")&amp;" Bulan, "&amp;DATEDIF(S2962,TODAY(),"MD")&amp;" Hari")</f>
        <v>32 Tahun, 11 Bulan, 4 Hari</v>
      </c>
      <c r="AC2962" s="18" t="n">
        <v>45988</v>
      </c>
      <c r="AD2962" s="18" t="n">
        <f aca="false">EDATE(AC2962,6)-1</f>
        <v>46168</v>
      </c>
      <c r="AE2962" s="13" t="s">
        <v>44</v>
      </c>
    </row>
    <row r="2963" customFormat="false" ht="15" hidden="false" customHeight="true" outlineLevel="0" collapsed="false">
      <c r="A2963" s="12" t="n">
        <v>21474</v>
      </c>
      <c r="B2963" s="13" t="s">
        <v>12456</v>
      </c>
      <c r="C2963" s="16" t="n">
        <v>45992</v>
      </c>
      <c r="D2963" s="13" t="s">
        <v>11257</v>
      </c>
      <c r="E2963" s="15" t="s">
        <v>7556</v>
      </c>
      <c r="F2963" s="15" t="str">
        <f aca="false">IFERROR(__xludf.dummyfunction("XLOOKUP(AJ2963,IMPORTRANGE(""1XaInW9DU9nz21V0tYIfzFQ0He9kVQ_JF2mCXgZ3hqFA"",""REKAP ALL 2026 - Andika!G:G""),IMPORTRANGE(""1XaInW9DU9nz21V0tYIfzFQ0He9kVQ_JF2mCXgZ3hqFA"",""REKAP ALL 2026 - Andika!F:F""),"""",0)"),"25180471937")</f>
        <v>25180471937</v>
      </c>
      <c r="G2963" s="13" t="s">
        <v>57</v>
      </c>
      <c r="H2963" s="13" t="s">
        <v>35</v>
      </c>
      <c r="I2963" s="13" t="str">
        <f aca="false">IF(C2963=J2963,"NEW KONTRAK","RE-KONTRAK")</f>
        <v>NEW KONTRAK</v>
      </c>
      <c r="J2963" s="16" t="n">
        <f aca="false" t="array" ref="J2963:J2963">IFERROR(INDEX(AC2963:AE2963,IF(COUNTA(AC2963:AE2963)=0,"",MAX((AC2963:AE2963&lt;&gt;"")*(COLUMN(AC2963:AE2963)-(COLUMN(AC2963)))))-1),"")</f>
        <v>45992</v>
      </c>
      <c r="K2963" s="16" t="n">
        <f aca="false" t="array" ref="K2963:K2963">IFERROR(INDEX(AC2963:AE2963,IF(COUNTA(AC2963:AE2963)=0,"",MAX((AC2963:AE2963&lt;&gt;"")*(COLUMN(AC2963:AE2963)-(COLUMN(AC2963)-1))))-1),"")</f>
        <v>46053</v>
      </c>
      <c r="L2963" s="17" t="str">
        <f aca="false" t="array" ref="L2963:L2963">IFERROR(INDEX(AC2963:AE2963,IF(COUNTA(AC2963:AE2963)=0,"",MAX((AC2963:AE2963&lt;&gt;"")*(COLUMN(AC2963:AE2963)-(COLUMN(AC2963)-2))))-1),"")</f>
        <v>ARCHIVED</v>
      </c>
      <c r="M2963" s="13" t="n">
        <f aca="true">K2963-TODAY()</f>
        <v>-271</v>
      </c>
      <c r="N2963" s="18" t="s">
        <v>728</v>
      </c>
      <c r="O2963" s="13" t="s">
        <v>7419</v>
      </c>
      <c r="P2963" s="27" t="n">
        <v>211551</v>
      </c>
      <c r="Q2963" s="47" t="s">
        <v>12457</v>
      </c>
      <c r="R2963" s="13" t="s">
        <v>401</v>
      </c>
      <c r="S2963" s="16" t="n">
        <v>37344</v>
      </c>
      <c r="T2963" s="13" t="s">
        <v>40</v>
      </c>
      <c r="U2963" s="13" t="s">
        <v>12458</v>
      </c>
      <c r="V2963" s="13" t="s">
        <v>42</v>
      </c>
      <c r="W2963" s="13" t="s">
        <v>43</v>
      </c>
      <c r="X2963" s="21" t="n">
        <v>85739125504</v>
      </c>
      <c r="Y2963" s="22" t="str">
        <f aca="false">O2963</f>
        <v>TKBM</v>
      </c>
      <c r="Z2963" s="13" t="str">
        <f aca="false">IFERROR(__xludf.dummyfunction("if(BJ2963="""","""",GOOGLETRANSLATE(BJ2963,""auto"",""en""))"),"TKBM")</f>
        <v>TKBM</v>
      </c>
      <c r="AA2963" s="23" t="str">
        <f aca="false">IF(C2963="","", CHOOSE(MONTH(C2963),"January","February","March","April","May","June","July","August","September","October","November","December")&amp;" "&amp;DAY(C2963)&amp;MID("thstndrdth",MIN(9,2*RIGHT(DAY(C2963))*(MOD(DAY(C2963)-11,100)&gt;2)+1),2)&amp;","&amp;TEXT(C2963," yyyy"))</f>
        <v>December 1st,2025</v>
      </c>
      <c r="AB2963" s="15" t="str">
        <f aca="true">IF(S2963="","",DATEDIF(S2963,TODAY(),"Y")&amp;" Tahun, "&amp;DATEDIF(S2963,TODAY(),"YM")&amp;" Bulan, "&amp;DATEDIF(S2963,TODAY(),"MD")&amp;" Hari")</f>
        <v>24 Tahun, 7 Bulan, 0 Hari</v>
      </c>
      <c r="AC2963" s="18" t="n">
        <v>45992</v>
      </c>
      <c r="AD2963" s="18" t="n">
        <v>46053</v>
      </c>
      <c r="AE2963" s="13" t="s">
        <v>44</v>
      </c>
    </row>
    <row r="2964" customFormat="false" ht="15" hidden="false" customHeight="true" outlineLevel="0" collapsed="false">
      <c r="A2964" s="12" t="n">
        <v>21475</v>
      </c>
      <c r="B2964" s="13" t="s">
        <v>12459</v>
      </c>
      <c r="C2964" s="16" t="n">
        <v>45992</v>
      </c>
      <c r="D2964" s="13" t="s">
        <v>11257</v>
      </c>
      <c r="E2964" s="15" t="s">
        <v>7556</v>
      </c>
      <c r="F2964" s="15" t="str">
        <f aca="false">IFERROR(__xludf.dummyfunction("XLOOKUP(AJ2964,IMPORTRANGE(""1XaInW9DU9nz21V0tYIfzFQ0He9kVQ_JF2mCXgZ3hqFA"",""REKAP ALL 2026 - Andika!G:G""),IMPORTRANGE(""1XaInW9DU9nz21V0tYIfzFQ0He9kVQ_JF2mCXgZ3hqFA"",""REKAP ALL 2026 - Andika!F:F""),"""",0)"),"25180471945")</f>
        <v>25180471945</v>
      </c>
      <c r="G2964" s="13" t="s">
        <v>57</v>
      </c>
      <c r="H2964" s="13" t="s">
        <v>35</v>
      </c>
      <c r="I2964" s="13" t="str">
        <f aca="false">IF(C2964=J2964,"NEW KONTRAK","RE-KONTRAK")</f>
        <v>NEW KONTRAK</v>
      </c>
      <c r="J2964" s="16" t="n">
        <f aca="false" t="array" ref="J2964:J2964">IFERROR(INDEX(AC2964:AE2964,IF(COUNTA(AC2964:AE2964)=0,"",MAX((AC2964:AE2964&lt;&gt;"")*(COLUMN(AC2964:AE2964)-(COLUMN(AC2964)))))-1),"")</f>
        <v>45992</v>
      </c>
      <c r="K2964" s="16" t="n">
        <f aca="false" t="array" ref="K2964:K2964">IFERROR(INDEX(AC2964:AE2964,IF(COUNTA(AC2964:AE2964)=0,"",MAX((AC2964:AE2964&lt;&gt;"")*(COLUMN(AC2964:AE2964)-(COLUMN(AC2964)-1))))-1),"")</f>
        <v>46053</v>
      </c>
      <c r="L2964" s="17" t="str">
        <f aca="false" t="array" ref="L2964:L2964">IFERROR(INDEX(AC2964:AE2964,IF(COUNTA(AC2964:AE2964)=0,"",MAX((AC2964:AE2964&lt;&gt;"")*(COLUMN(AC2964:AE2964)-(COLUMN(AC2964)-2))))-1),"")</f>
        <v>ARCHIVED</v>
      </c>
      <c r="M2964" s="13" t="n">
        <f aca="true">K2964-TODAY()</f>
        <v>-271</v>
      </c>
      <c r="N2964" s="18" t="s">
        <v>728</v>
      </c>
      <c r="O2964" s="13" t="s">
        <v>7419</v>
      </c>
      <c r="P2964" s="27" t="n">
        <v>211551</v>
      </c>
      <c r="Q2964" s="47" t="s">
        <v>12460</v>
      </c>
      <c r="R2964" s="13" t="s">
        <v>52</v>
      </c>
      <c r="S2964" s="16" t="n">
        <v>36343</v>
      </c>
      <c r="T2964" s="13" t="s">
        <v>40</v>
      </c>
      <c r="U2964" s="13" t="s">
        <v>12461</v>
      </c>
      <c r="V2964" s="13" t="s">
        <v>42</v>
      </c>
      <c r="W2964" s="13" t="s">
        <v>43</v>
      </c>
      <c r="X2964" s="21" t="n">
        <v>85604321955</v>
      </c>
      <c r="Y2964" s="22" t="str">
        <f aca="false">O2964</f>
        <v>TKBM</v>
      </c>
      <c r="Z2964" s="13" t="str">
        <f aca="false">IFERROR(__xludf.dummyfunction("if(BJ2964="""","""",GOOGLETRANSLATE(BJ2964,""auto"",""en""))"),"TKBM")</f>
        <v>TKBM</v>
      </c>
      <c r="AA2964" s="23" t="str">
        <f aca="false">IF(C2964="","", CHOOSE(MONTH(C2964),"January","February","March","April","May","June","July","August","September","October","November","December")&amp;" "&amp;DAY(C2964)&amp;MID("thstndrdth",MIN(9,2*RIGHT(DAY(C2964))*(MOD(DAY(C2964)-11,100)&gt;2)+1),2)&amp;","&amp;TEXT(C2964," yyyy"))</f>
        <v>December 1st,2025</v>
      </c>
      <c r="AB2964" s="15" t="str">
        <f aca="true">IF(S2964="","",DATEDIF(S2964,TODAY(),"Y")&amp;" Tahun, "&amp;DATEDIF(S2964,TODAY(),"YM")&amp;" Bulan, "&amp;DATEDIF(S2964,TODAY(),"MD")&amp;" Hari")</f>
        <v>27 Tahun, 3 Bulan, 27 Hari</v>
      </c>
      <c r="AC2964" s="18" t="n">
        <v>45992</v>
      </c>
      <c r="AD2964" s="18" t="n">
        <v>46053</v>
      </c>
      <c r="AE2964" s="13" t="s">
        <v>44</v>
      </c>
    </row>
    <row r="2965" customFormat="false" ht="14.25" hidden="false" customHeight="true" outlineLevel="0" collapsed="false">
      <c r="A2965" s="12" t="n">
        <v>21478</v>
      </c>
      <c r="B2965" s="13" t="s">
        <v>12462</v>
      </c>
      <c r="C2965" s="16" t="n">
        <v>45992</v>
      </c>
      <c r="D2965" s="13" t="s">
        <v>11257</v>
      </c>
      <c r="E2965" s="15" t="s">
        <v>7556</v>
      </c>
      <c r="F2965" s="15" t="str">
        <f aca="false">IFERROR(__xludf.dummyfunction("XLOOKUP(AJ2965,IMPORTRANGE(""1XaInW9DU9nz21V0tYIfzFQ0He9kVQ_JF2mCXgZ3hqFA"",""REKAP ALL 2026 - Andika!G:G""),IMPORTRANGE(""1XaInW9DU9nz21V0tYIfzFQ0He9kVQ_JF2mCXgZ3hqFA"",""REKAP ALL 2026 - Andika!F:F""),"""",0)"),"25180471929")</f>
        <v>25180471929</v>
      </c>
      <c r="G2965" s="13" t="s">
        <v>57</v>
      </c>
      <c r="H2965" s="13" t="s">
        <v>35</v>
      </c>
      <c r="I2965" s="13" t="str">
        <f aca="false">IF(C2965=J2965,"NEW KONTRAK","RE-KONTRAK")</f>
        <v>NEW KONTRAK</v>
      </c>
      <c r="J2965" s="16" t="n">
        <f aca="false" t="array" ref="J2965:J2965">IFERROR(INDEX(AC2965:AE2965,IF(COUNTA(AC2965:AE2965)=0,"",MAX((AC2965:AE2965&lt;&gt;"")*(COLUMN(AC2965:AE2965)-(COLUMN(AC2965)))))-1),"")</f>
        <v>45992</v>
      </c>
      <c r="K2965" s="16" t="n">
        <f aca="false" t="array" ref="K2965:K2965">IFERROR(INDEX(AC2965:AE2965,IF(COUNTA(AC2965:AE2965)=0,"",MAX((AC2965:AE2965&lt;&gt;"")*(COLUMN(AC2965:AE2965)-(COLUMN(AC2965)-1))))-1),"")</f>
        <v>46053</v>
      </c>
      <c r="L2965" s="17" t="str">
        <f aca="false" t="array" ref="L2965:L2965">IFERROR(INDEX(AC2965:AE2965,IF(COUNTA(AC2965:AE2965)=0,"",MAX((AC2965:AE2965&lt;&gt;"")*(COLUMN(AC2965:AE2965)-(COLUMN(AC2965)-2))))-1),"")</f>
        <v>ARCHIVED</v>
      </c>
      <c r="M2965" s="13" t="n">
        <f aca="true">K2965-TODAY()</f>
        <v>-271</v>
      </c>
      <c r="N2965" s="18" t="s">
        <v>728</v>
      </c>
      <c r="O2965" s="13" t="s">
        <v>7419</v>
      </c>
      <c r="P2965" s="27" t="n">
        <v>211551</v>
      </c>
      <c r="Q2965" s="47" t="s">
        <v>12463</v>
      </c>
      <c r="R2965" s="13" t="s">
        <v>52</v>
      </c>
      <c r="S2965" s="16" t="n">
        <v>33211</v>
      </c>
      <c r="T2965" s="13" t="s">
        <v>40</v>
      </c>
      <c r="U2965" s="13" t="s">
        <v>12464</v>
      </c>
      <c r="V2965" s="13" t="s">
        <v>42</v>
      </c>
      <c r="W2965" s="13" t="s">
        <v>54</v>
      </c>
      <c r="X2965" s="21" t="n">
        <v>83852838954</v>
      </c>
      <c r="Y2965" s="22" t="str">
        <f aca="false">O2965</f>
        <v>TKBM</v>
      </c>
      <c r="Z2965" s="13" t="str">
        <f aca="false">IFERROR(__xludf.dummyfunction("if(BJ2965="""","""",GOOGLETRANSLATE(BJ2965,""auto"",""en""))"),"TKBM")</f>
        <v>TKBM</v>
      </c>
      <c r="AA2965" s="23" t="str">
        <f aca="false">IF(C2965="","", CHOOSE(MONTH(C2965),"January","February","March","April","May","June","July","August","September","October","November","December")&amp;" "&amp;DAY(C2965)&amp;MID("thstndrdth",MIN(9,2*RIGHT(DAY(C2965))*(MOD(DAY(C2965)-11,100)&gt;2)+1),2)&amp;","&amp;TEXT(C2965," yyyy"))</f>
        <v>December 1st,2025</v>
      </c>
      <c r="AB2965" s="15" t="str">
        <f aca="true">IF(S2965="","",DATEDIF(S2965,TODAY(),"Y")&amp;" Tahun, "&amp;DATEDIF(S2965,TODAY(),"YM")&amp;" Bulan, "&amp;DATEDIF(S2965,TODAY(),"MD")&amp;" Hari")</f>
        <v>35 Tahun, 10 Bulan, 25 Hari</v>
      </c>
      <c r="AC2965" s="18" t="n">
        <v>45992</v>
      </c>
      <c r="AD2965" s="18" t="n">
        <v>46053</v>
      </c>
      <c r="AE2965" s="13" t="s">
        <v>44</v>
      </c>
    </row>
    <row r="2966" customFormat="false" ht="15" hidden="false" customHeight="true" outlineLevel="0" collapsed="false">
      <c r="A2966" s="12" t="n">
        <v>21479</v>
      </c>
      <c r="B2966" s="13" t="s">
        <v>12465</v>
      </c>
      <c r="C2966" s="16" t="n">
        <v>45985</v>
      </c>
      <c r="D2966" s="13" t="s">
        <v>10155</v>
      </c>
      <c r="E2966" s="15" t="s">
        <v>47</v>
      </c>
      <c r="F2966" s="15" t="str">
        <f aca="false">IFERROR(__xludf.dummyfunction("XLOOKUP(AJ2966,IMPORTRANGE(""1XaInW9DU9nz21V0tYIfzFQ0He9kVQ_JF2mCXgZ3hqFA"",""REKAP ALL 2026 - Andika!G:G""),IMPORTRANGE(""1XaInW9DU9nz21V0tYIfzFQ0He9kVQ_JF2mCXgZ3hqFA"",""REKAP ALL 2026 - Andika!F:F""),"""",0)"),"26005762450")</f>
        <v>26005762450</v>
      </c>
      <c r="G2966" s="13" t="s">
        <v>1127</v>
      </c>
      <c r="H2966" s="13" t="s">
        <v>35</v>
      </c>
      <c r="I2966" s="13" t="str">
        <f aca="false">IF(C2966=J2966,"NEW KONTRAK","RE-KONTRAK")</f>
        <v>NEW KONTRAK</v>
      </c>
      <c r="J2966" s="16" t="n">
        <f aca="false" t="array" ref="J2966:J2966">IFERROR(INDEX(AC2966:AE2966,IF(COUNTA(AC2966:AE2966)=0,"",MAX((AC2966:AE2966&lt;&gt;"")*(COLUMN(AC2966:AE2966)-(COLUMN(AC2966)))))-1),"")</f>
        <v>45985</v>
      </c>
      <c r="K2966" s="16" t="n">
        <f aca="false" t="array" ref="K2966:K2966">IFERROR(INDEX(AC2966:AE2966,IF(COUNTA(AC2966:AE2966)=0,"",MAX((AC2966:AE2966&lt;&gt;"")*(COLUMN(AC2966:AE2966)-(COLUMN(AC2966)-1))))-1),"")</f>
        <v>46022</v>
      </c>
      <c r="L2966" s="17" t="str">
        <f aca="false" t="array" ref="L2966:L2966">IFERROR(INDEX(AC2966:AE2966,IF(COUNTA(AC2966:AE2966)=0,"",MAX((AC2966:AE2966&lt;&gt;"")*(COLUMN(AC2966:AE2966)-(COLUMN(AC2966)-2))))-1),"")</f>
        <v>ARCHIVED</v>
      </c>
      <c r="M2966" s="13" t="n">
        <f aca="true">K2966-TODAY()</f>
        <v>-302</v>
      </c>
      <c r="N2966" s="18" t="s">
        <v>36</v>
      </c>
      <c r="O2966" s="13" t="s">
        <v>10308</v>
      </c>
      <c r="P2966" s="27" t="n">
        <v>5195401</v>
      </c>
      <c r="Q2966" s="47" t="s">
        <v>12466</v>
      </c>
      <c r="R2966" s="13" t="s">
        <v>65</v>
      </c>
      <c r="S2966" s="16" t="n">
        <v>39263</v>
      </c>
      <c r="T2966" s="13" t="s">
        <v>40</v>
      </c>
      <c r="U2966" s="13" t="s">
        <v>12467</v>
      </c>
      <c r="V2966" s="13" t="s">
        <v>42</v>
      </c>
      <c r="W2966" s="13" t="s">
        <v>43</v>
      </c>
      <c r="X2966" s="21" t="n">
        <v>89676857510</v>
      </c>
      <c r="Y2966" s="22" t="str">
        <f aca="false">O2966</f>
        <v>CS P1 QC &amp; Incoming</v>
      </c>
      <c r="Z2966" s="13" t="str">
        <f aca="false">IFERROR(__xludf.dummyfunction("if(BJ2966="""","""",GOOGLETRANSLATE(BJ2966,""auto"",""en""))"),"CS P1 QC &amp; Incoming")</f>
        <v>CS P1 QC &amp; Incoming</v>
      </c>
      <c r="AA2966" s="23" t="str">
        <f aca="false">IF(C2966="","", CHOOSE(MONTH(C2966),"January","February","March","April","May","June","July","August","September","October","November","December")&amp;" "&amp;DAY(C2966)&amp;MID("thstndrdth",MIN(9,2*RIGHT(DAY(C2966))*(MOD(DAY(C2966)-11,100)&gt;2)+1),2)&amp;","&amp;TEXT(C2966," yyyy"))</f>
        <v>November 24th,2025</v>
      </c>
      <c r="AB2966" s="15" t="str">
        <f aca="true">IF(S2966="","",DATEDIF(S2966,TODAY(),"Y")&amp;" Tahun, "&amp;DATEDIF(S2966,TODAY(),"YM")&amp;" Bulan, "&amp;DATEDIF(S2966,TODAY(),"MD")&amp;" Hari")</f>
        <v>19 Tahun, 3 Bulan, 29 Hari</v>
      </c>
      <c r="AC2966" s="18" t="n">
        <v>45985</v>
      </c>
      <c r="AD2966" s="18" t="n">
        <v>46022</v>
      </c>
      <c r="AE2966" s="13" t="s">
        <v>44</v>
      </c>
    </row>
    <row r="2967" customFormat="false" ht="15" hidden="false" customHeight="true" outlineLevel="0" collapsed="false">
      <c r="A2967" s="12" t="n">
        <v>21480</v>
      </c>
      <c r="B2967" s="13" t="s">
        <v>12468</v>
      </c>
      <c r="C2967" s="16" t="n">
        <v>45982</v>
      </c>
      <c r="D2967" s="13" t="s">
        <v>10155</v>
      </c>
      <c r="E2967" s="15" t="s">
        <v>47</v>
      </c>
      <c r="F2967" s="15" t="str">
        <f aca="false">IFERROR(__xludf.dummyfunction("XLOOKUP(AJ2967,IMPORTRANGE(""1XaInW9DU9nz21V0tYIfzFQ0He9kVQ_JF2mCXgZ3hqFA"",""REKAP ALL 2026 - Andika!G:G""),IMPORTRANGE(""1XaInW9DU9nz21V0tYIfzFQ0He9kVQ_JF2mCXgZ3hqFA"",""REKAP ALL 2026 - Andika!F:F""),"""",0)"),"26005762468")</f>
        <v>26005762468</v>
      </c>
      <c r="G2967" s="13" t="s">
        <v>1127</v>
      </c>
      <c r="H2967" s="13" t="s">
        <v>35</v>
      </c>
      <c r="I2967" s="13" t="str">
        <f aca="false">IF(C2967=J2967,"NEW KONTRAK","RE-KONTRAK")</f>
        <v>NEW KONTRAK</v>
      </c>
      <c r="J2967" s="16" t="n">
        <f aca="false" t="array" ref="J2967:J2967">IFERROR(INDEX(AC2967:AE2967,IF(COUNTA(AC2967:AE2967)=0,"",MAX((AC2967:AE2967&lt;&gt;"")*(COLUMN(AC2967:AE2967)-(COLUMN(AC2967)))))-1),"")</f>
        <v>45982</v>
      </c>
      <c r="K2967" s="16" t="n">
        <f aca="false" t="array" ref="K2967:K2967">IFERROR(INDEX(AC2967:AE2967,IF(COUNTA(AC2967:AE2967)=0,"",MAX((AC2967:AE2967&lt;&gt;"")*(COLUMN(AC2967:AE2967)-(COLUMN(AC2967)-1))))-1),"")</f>
        <v>46022</v>
      </c>
      <c r="L2967" s="17" t="str">
        <f aca="false" t="array" ref="L2967:L2967">IFERROR(INDEX(AC2967:AE2967,IF(COUNTA(AC2967:AE2967)=0,"",MAX((AC2967:AE2967&lt;&gt;"")*(COLUMN(AC2967:AE2967)-(COLUMN(AC2967)-2))))-1),"")</f>
        <v>ARCHIVED</v>
      </c>
      <c r="M2967" s="13" t="n">
        <f aca="true">K2967-TODAY()</f>
        <v>-302</v>
      </c>
      <c r="N2967" s="18" t="s">
        <v>36</v>
      </c>
      <c r="O2967" s="13" t="s">
        <v>12469</v>
      </c>
      <c r="P2967" s="27" t="n">
        <v>5195401</v>
      </c>
      <c r="Q2967" s="47" t="s">
        <v>12470</v>
      </c>
      <c r="R2967" s="13" t="s">
        <v>255</v>
      </c>
      <c r="S2967" s="16" t="n">
        <v>39027</v>
      </c>
      <c r="T2967" s="13" t="s">
        <v>40</v>
      </c>
      <c r="U2967" s="13" t="s">
        <v>12471</v>
      </c>
      <c r="V2967" s="13" t="s">
        <v>42</v>
      </c>
      <c r="W2967" s="13" t="s">
        <v>43</v>
      </c>
      <c r="X2967" s="30" t="n">
        <v>82377997995</v>
      </c>
      <c r="Y2967" s="22" t="str">
        <f aca="false">O2967</f>
        <v>Network &amp; Infrastructure</v>
      </c>
      <c r="Z2967" s="13" t="str">
        <f aca="false">IFERROR(__xludf.dummyfunction("if(BJ2967="""","""",GOOGLETRANSLATE(BJ2967,""auto"",""en""))"),"Network &amp; Infrastructure")</f>
        <v>Network &amp; Infrastructure</v>
      </c>
      <c r="AA2967" s="23" t="str">
        <f aca="false">IF(C2967="","", CHOOSE(MONTH(C2967),"January","February","March","April","May","June","July","August","September","October","November","December")&amp;" "&amp;DAY(C2967)&amp;MID("thstndrdth",MIN(9,2*RIGHT(DAY(C2967))*(MOD(DAY(C2967)-11,100)&gt;2)+1),2)&amp;","&amp;TEXT(C2967," yyyy"))</f>
        <v>November 21st,2025</v>
      </c>
      <c r="AB2967" s="15" t="str">
        <f aca="true">IF(S2967="","",DATEDIF(S2967,TODAY(),"Y")&amp;" Tahun, "&amp;DATEDIF(S2967,TODAY(),"YM")&amp;" Bulan, "&amp;DATEDIF(S2967,TODAY(),"MD")&amp;" Hari")</f>
        <v>19 Tahun, 11 Bulan, 23 Hari</v>
      </c>
      <c r="AC2967" s="18" t="n">
        <v>45982</v>
      </c>
      <c r="AD2967" s="18" t="n">
        <v>46022</v>
      </c>
      <c r="AE2967" s="13" t="s">
        <v>44</v>
      </c>
    </row>
    <row r="2968" customFormat="false" ht="15" hidden="false" customHeight="true" outlineLevel="0" collapsed="false">
      <c r="A2968" s="12" t="n">
        <v>21491</v>
      </c>
      <c r="B2968" s="13" t="s">
        <v>12472</v>
      </c>
      <c r="C2968" s="16" t="n">
        <v>45992</v>
      </c>
      <c r="D2968" s="13" t="s">
        <v>144</v>
      </c>
      <c r="E2968" s="15" t="s">
        <v>789</v>
      </c>
      <c r="F2968" s="24" t="s">
        <v>12473</v>
      </c>
      <c r="G2968" s="13" t="s">
        <v>1127</v>
      </c>
      <c r="H2968" s="13" t="s">
        <v>35</v>
      </c>
      <c r="I2968" s="13" t="str">
        <f aca="false">IF(C2968=J2968,"NEW KONTRAK","RE-KONTRAK")</f>
        <v>NEW KONTRAK</v>
      </c>
      <c r="J2968" s="16" t="n">
        <f aca="false" t="array" ref="J2968:J2968">IFERROR(INDEX(AC2968:AE2968,IF(COUNTA(AC2968:AE2968)=0,"",MAX((AC2968:AE2968&lt;&gt;"")*(COLUMN(AC2968:AE2968)-(COLUMN(AC2968)))))-1),"")</f>
        <v>45992</v>
      </c>
      <c r="K2968" s="16" t="n">
        <f aca="false" t="array" ref="K2968:K2968">IFERROR(INDEX(AC2968:AE2968,IF(COUNTA(AC2968:AE2968)=0,"",MAX((AC2968:AE2968&lt;&gt;"")*(COLUMN(AC2968:AE2968)-(COLUMN(AC2968)-1))))-1),"")</f>
        <v>46022</v>
      </c>
      <c r="L2968" s="17" t="str">
        <f aca="false" t="array" ref="L2968:L2968">IFERROR(INDEX(AC2968:AE2968,IF(COUNTA(AC2968:AE2968)=0,"",MAX((AC2968:AE2968&lt;&gt;"")*(COLUMN(AC2968:AE2968)-(COLUMN(AC2968)-2))))-1),"")</f>
        <v>ARCHIVED</v>
      </c>
      <c r="M2968" s="13" t="n">
        <f aca="true">K2968-TODAY()</f>
        <v>-302</v>
      </c>
      <c r="N2968" s="18" t="s">
        <v>36</v>
      </c>
      <c r="O2968" s="13" t="s">
        <v>12474</v>
      </c>
      <c r="P2968" s="19" t="n">
        <v>5195401</v>
      </c>
      <c r="Q2968" s="47" t="s">
        <v>12475</v>
      </c>
      <c r="R2968" s="13" t="s">
        <v>65</v>
      </c>
      <c r="S2968" s="16" t="n">
        <v>33280</v>
      </c>
      <c r="T2968" s="13" t="s">
        <v>40</v>
      </c>
      <c r="U2968" s="13" t="s">
        <v>12476</v>
      </c>
      <c r="V2968" s="13" t="s">
        <v>42</v>
      </c>
      <c r="W2968" s="13" t="s">
        <v>43</v>
      </c>
      <c r="X2968" s="21" t="n">
        <v>895421120606</v>
      </c>
      <c r="Y2968" s="22" t="str">
        <f aca="false">O2968</f>
        <v>Produksi Emulsion</v>
      </c>
      <c r="Z2968" s="13" t="str">
        <f aca="false">IFERROR(__xludf.dummyfunction("if(BJ2968="""","""",GOOGLETRANSLATE(BJ2968,""auto"",""en""))"),"Emulsion Production")</f>
        <v>Emulsion Production</v>
      </c>
      <c r="AA2968" s="23" t="str">
        <f aca="false">IF(C2968="","", CHOOSE(MONTH(C2968),"January","February","March","April","May","June","July","August","September","October","November","December")&amp;" "&amp;DAY(C2968)&amp;MID("thstndrdth",MIN(9,2*RIGHT(DAY(C2968))*(MOD(DAY(C2968)-11,100)&gt;2)+1),2)&amp;","&amp;TEXT(C2968," yyyy"))</f>
        <v>December 1st,2025</v>
      </c>
      <c r="AB2968" s="15" t="str">
        <f aca="true">IF(S2968="","",DATEDIF(S2968,TODAY(),"Y")&amp;" Tahun, "&amp;DATEDIF(S2968,TODAY(),"YM")&amp;" Bulan, "&amp;DATEDIF(S2968,TODAY(),"MD")&amp;" Hari")</f>
        <v>35 Tahun, 8 Bulan, 18 Hari</v>
      </c>
      <c r="AC2968" s="18" t="n">
        <v>45992</v>
      </c>
      <c r="AD2968" s="18" t="n">
        <v>46022</v>
      </c>
      <c r="AE2968" s="13" t="s">
        <v>44</v>
      </c>
    </row>
    <row r="2969" customFormat="false" ht="15" hidden="false" customHeight="true" outlineLevel="0" collapsed="false">
      <c r="A2969" s="12" t="n">
        <v>21492</v>
      </c>
      <c r="B2969" s="13" t="s">
        <v>12477</v>
      </c>
      <c r="C2969" s="16" t="n">
        <v>45992</v>
      </c>
      <c r="D2969" s="13" t="s">
        <v>144</v>
      </c>
      <c r="E2969" s="15" t="s">
        <v>33</v>
      </c>
      <c r="F2969" s="24" t="s">
        <v>12478</v>
      </c>
      <c r="G2969" s="13" t="s">
        <v>1127</v>
      </c>
      <c r="H2969" s="13" t="s">
        <v>35</v>
      </c>
      <c r="I2969" s="13" t="str">
        <f aca="false">IF(C2969=J2969,"NEW KONTRAK","RE-KONTRAK")</f>
        <v>NEW KONTRAK</v>
      </c>
      <c r="J2969" s="16" t="n">
        <f aca="false" t="array" ref="J2969:J2969">IFERROR(INDEX(AC2969:AE2969,IF(COUNTA(AC2969:AE2969)=0,"",MAX((AC2969:AE2969&lt;&gt;"")*(COLUMN(AC2969:AE2969)-(COLUMN(AC2969)))))-1),"")</f>
        <v>45992</v>
      </c>
      <c r="K2969" s="16" t="n">
        <f aca="false" t="array" ref="K2969:K2969">IFERROR(INDEX(AC2969:AE2969,IF(COUNTA(AC2969:AE2969)=0,"",MAX((AC2969:AE2969&lt;&gt;"")*(COLUMN(AC2969:AE2969)-(COLUMN(AC2969)-1))))-1),"")</f>
        <v>46022</v>
      </c>
      <c r="L2969" s="17" t="str">
        <f aca="false" t="array" ref="L2969:L2969">IFERROR(INDEX(AC2969:AE2969,IF(COUNTA(AC2969:AE2969)=0,"",MAX((AC2969:AE2969&lt;&gt;"")*(COLUMN(AC2969:AE2969)-(COLUMN(AC2969)-2))))-1),"")</f>
        <v>ARCHIVED</v>
      </c>
      <c r="M2969" s="13" t="n">
        <f aca="true">K2969-TODAY()</f>
        <v>-302</v>
      </c>
      <c r="N2969" s="18" t="s">
        <v>36</v>
      </c>
      <c r="O2969" s="13" t="s">
        <v>12474</v>
      </c>
      <c r="P2969" s="19" t="n">
        <v>5195401</v>
      </c>
      <c r="Q2969" s="47" t="s">
        <v>12479</v>
      </c>
      <c r="R2969" s="13" t="s">
        <v>78</v>
      </c>
      <c r="S2969" s="16" t="n">
        <v>35130</v>
      </c>
      <c r="T2969" s="13" t="s">
        <v>40</v>
      </c>
      <c r="U2969" s="13" t="s">
        <v>12480</v>
      </c>
      <c r="V2969" s="13" t="s">
        <v>42</v>
      </c>
      <c r="W2969" s="13" t="s">
        <v>54</v>
      </c>
      <c r="X2969" s="21" t="n">
        <v>81398009553</v>
      </c>
      <c r="Y2969" s="22" t="str">
        <f aca="false">O2969</f>
        <v>Produksi Emulsion</v>
      </c>
      <c r="Z2969" s="13" t="str">
        <f aca="false">IFERROR(__xludf.dummyfunction("if(BJ2969="""","""",GOOGLETRANSLATE(BJ2969,""auto"",""en""))"),"Emulsion Production")</f>
        <v>Emulsion Production</v>
      </c>
      <c r="AA2969" s="23" t="str">
        <f aca="false">IF(C2969="","", CHOOSE(MONTH(C2969),"January","February","March","April","May","June","July","August","September","October","November","December")&amp;" "&amp;DAY(C2969)&amp;MID("thstndrdth",MIN(9,2*RIGHT(DAY(C2969))*(MOD(DAY(C2969)-11,100)&gt;2)+1),2)&amp;","&amp;TEXT(C2969," yyyy"))</f>
        <v>December 1st,2025</v>
      </c>
      <c r="AB2969" s="15" t="str">
        <f aca="true">IF(S2969="","",DATEDIF(S2969,TODAY(),"Y")&amp;" Tahun, "&amp;DATEDIF(S2969,TODAY(),"YM")&amp;" Bulan, "&amp;DATEDIF(S2969,TODAY(),"MD")&amp;" Hari")</f>
        <v>30 Tahun, 7 Bulan, 23 Hari</v>
      </c>
      <c r="AC2969" s="18" t="n">
        <v>45992</v>
      </c>
      <c r="AD2969" s="18" t="n">
        <v>46022</v>
      </c>
      <c r="AE2969" s="13" t="s">
        <v>44</v>
      </c>
    </row>
    <row r="2970" customFormat="false" ht="15" hidden="false" customHeight="true" outlineLevel="0" collapsed="false">
      <c r="A2970" s="12" t="n">
        <v>21493</v>
      </c>
      <c r="B2970" s="13" t="s">
        <v>12481</v>
      </c>
      <c r="C2970" s="16" t="n">
        <v>45992</v>
      </c>
      <c r="D2970" s="13" t="s">
        <v>144</v>
      </c>
      <c r="E2970" s="15" t="s">
        <v>789</v>
      </c>
      <c r="F2970" s="15" t="str">
        <f aca="false">IFERROR(__xludf.dummyfunction("XLOOKUP(AJ2970,IMPORTRANGE(""1XaInW9DU9nz21V0tYIfzFQ0He9kVQ_JF2mCXgZ3hqFA"",""REKAP ALL 2026 - Andika!G:G""),IMPORTRANGE(""1XaInW9DU9nz21V0tYIfzFQ0He9kVQ_JF2mCXgZ3hqFA"",""REKAP ALL 2026 - Andika!F:F""),"""",0)"),"26005759654")</f>
        <v>26005759654</v>
      </c>
      <c r="G2970" s="13" t="s">
        <v>1127</v>
      </c>
      <c r="H2970" s="13" t="s">
        <v>35</v>
      </c>
      <c r="I2970" s="13" t="str">
        <f aca="false">IF(C2970=J2970,"NEW KONTRAK","RE-KONTRAK")</f>
        <v>NEW KONTRAK</v>
      </c>
      <c r="J2970" s="16" t="n">
        <f aca="false" t="array" ref="J2970:J2970">IFERROR(INDEX(AC2970:AE2970,IF(COUNTA(AC2970:AE2970)=0,"",MAX((AC2970:AE2970&lt;&gt;"")*(COLUMN(AC2970:AE2970)-(COLUMN(AC2970)))))-1),"")</f>
        <v>45992</v>
      </c>
      <c r="K2970" s="16" t="n">
        <f aca="false" t="array" ref="K2970:K2970">IFERROR(INDEX(AC2970:AE2970,IF(COUNTA(AC2970:AE2970)=0,"",MAX((AC2970:AE2970&lt;&gt;"")*(COLUMN(AC2970:AE2970)-(COLUMN(AC2970)-1))))-1),"")</f>
        <v>46022</v>
      </c>
      <c r="L2970" s="17" t="str">
        <f aca="false" t="array" ref="L2970:L2970">IFERROR(INDEX(AC2970:AE2970,IF(COUNTA(AC2970:AE2970)=0,"",MAX((AC2970:AE2970&lt;&gt;"")*(COLUMN(AC2970:AE2970)-(COLUMN(AC2970)-2))))-1),"")</f>
        <v>ARCHIVED</v>
      </c>
      <c r="M2970" s="13" t="n">
        <f aca="true">K2970-TODAY()</f>
        <v>-302</v>
      </c>
      <c r="N2970" s="18" t="s">
        <v>36</v>
      </c>
      <c r="O2970" s="13" t="s">
        <v>12474</v>
      </c>
      <c r="P2970" s="19" t="n">
        <v>5195401</v>
      </c>
      <c r="Q2970" s="47" t="s">
        <v>12482</v>
      </c>
      <c r="R2970" s="13" t="s">
        <v>78</v>
      </c>
      <c r="S2970" s="16" t="n">
        <v>34460</v>
      </c>
      <c r="T2970" s="13" t="s">
        <v>40</v>
      </c>
      <c r="U2970" s="13" t="s">
        <v>12483</v>
      </c>
      <c r="V2970" s="13" t="s">
        <v>42</v>
      </c>
      <c r="W2970" s="13" t="s">
        <v>897</v>
      </c>
      <c r="X2970" s="21" t="s">
        <v>12484</v>
      </c>
      <c r="Y2970" s="22" t="str">
        <f aca="false">O2970</f>
        <v>Produksi Emulsion</v>
      </c>
      <c r="Z2970" s="13" t="str">
        <f aca="false">IFERROR(__xludf.dummyfunction("if(BJ2970="""","""",GOOGLETRANSLATE(BJ2970,""auto"",""en""))"),"Emulsion Production")</f>
        <v>Emulsion Production</v>
      </c>
      <c r="AA2970" s="23" t="str">
        <f aca="false">IF(C2970="","", CHOOSE(MONTH(C2970),"January","February","March","April","May","June","July","August","September","October","November","December")&amp;" "&amp;DAY(C2970)&amp;MID("thstndrdth",MIN(9,2*RIGHT(DAY(C2970))*(MOD(DAY(C2970)-11,100)&gt;2)+1),2)&amp;","&amp;TEXT(C2970," yyyy"))</f>
        <v>December 1st,2025</v>
      </c>
      <c r="AB2970" s="15" t="str">
        <f aca="true">IF(S2970="","",DATEDIF(S2970,TODAY(),"Y")&amp;" Tahun, "&amp;DATEDIF(S2970,TODAY(),"YM")&amp;" Bulan, "&amp;DATEDIF(S2970,TODAY(),"MD")&amp;" Hari")</f>
        <v>32 Tahun, 5 Bulan, 23 Hari</v>
      </c>
      <c r="AC2970" s="18" t="n">
        <v>45992</v>
      </c>
      <c r="AD2970" s="18" t="n">
        <v>46022</v>
      </c>
      <c r="AE2970" s="13" t="s">
        <v>44</v>
      </c>
    </row>
    <row r="2971" customFormat="false" ht="15" hidden="false" customHeight="true" outlineLevel="0" collapsed="false">
      <c r="A2971" s="12" t="n">
        <v>21494</v>
      </c>
      <c r="B2971" s="13" t="s">
        <v>12485</v>
      </c>
      <c r="C2971" s="16" t="n">
        <v>45992</v>
      </c>
      <c r="D2971" s="13" t="s">
        <v>10058</v>
      </c>
      <c r="E2971" s="15" t="s">
        <v>102</v>
      </c>
      <c r="F2971" s="15" t="str">
        <f aca="false">IFERROR(__xludf.dummyfunction("XLOOKUP(AJ2971,IMPORTRANGE(""1XaInW9DU9nz21V0tYIfzFQ0He9kVQ_JF2mCXgZ3hqFA"",""REKAP ALL 2026 - Andika!G:G""),IMPORTRANGE(""1XaInW9DU9nz21V0tYIfzFQ0He9kVQ_JF2mCXgZ3hqFA"",""REKAP ALL 2026 - Andika!F:F""),"""",0)"),"26062980755")</f>
        <v>26062980755</v>
      </c>
      <c r="G2971" s="13" t="s">
        <v>1127</v>
      </c>
      <c r="H2971" s="13" t="s">
        <v>3024</v>
      </c>
      <c r="I2971" s="13" t="str">
        <f aca="false">IF(C2971=J2971,"NEW KONTRAK","RE-KONTRAK")</f>
        <v>NEW KONTRAK</v>
      </c>
      <c r="J2971" s="16" t="n">
        <f aca="false" t="array" ref="J2971:J2971">IFERROR(INDEX(AC2971:AE2971,IF(COUNTA(AC2971:AE2971)=0,"",MAX((AC2971:AE2971&lt;&gt;"")*(COLUMN(AC2971:AE2971)-(COLUMN(AC2971)))))-1),"")</f>
        <v>45992</v>
      </c>
      <c r="K2971" s="16" t="n">
        <f aca="false" t="array" ref="K2971:K2971">IFERROR(INDEX(AC2971:AE2971,IF(COUNTA(AC2971:AE2971)=0,"",MAX((AC2971:AE2971&lt;&gt;"")*(COLUMN(AC2971:AE2971)-(COLUMN(AC2971)-1))))-1),"")</f>
        <v>46036</v>
      </c>
      <c r="L2971" s="17" t="str">
        <f aca="false" t="array" ref="L2971:L2971">IFERROR(INDEX(AC2971:AE2971,IF(COUNTA(AC2971:AE2971)=0,"",MAX((AC2971:AE2971&lt;&gt;"")*(COLUMN(AC2971:AE2971)-(COLUMN(AC2971)-2))))-1),"")</f>
        <v>ARCHIVED</v>
      </c>
      <c r="M2971" s="13" t="n">
        <f aca="true">K2971-TODAY()</f>
        <v>-288</v>
      </c>
      <c r="N2971" s="18" t="s">
        <v>105</v>
      </c>
      <c r="O2971" s="13" t="s">
        <v>10059</v>
      </c>
      <c r="P2971" s="19" t="n">
        <v>132300</v>
      </c>
      <c r="Q2971" s="47" t="s">
        <v>12486</v>
      </c>
      <c r="R2971" s="13" t="s">
        <v>401</v>
      </c>
      <c r="S2971" s="16" t="n">
        <v>39084</v>
      </c>
      <c r="T2971" s="13" t="s">
        <v>40</v>
      </c>
      <c r="U2971" s="13" t="s">
        <v>12487</v>
      </c>
      <c r="V2971" s="13" t="s">
        <v>42</v>
      </c>
      <c r="W2971" s="13" t="s">
        <v>43</v>
      </c>
      <c r="X2971" s="21" t="n">
        <v>85965991426</v>
      </c>
      <c r="Y2971" s="22" t="str">
        <f aca="false">O2971</f>
        <v>Harian Lepas E-Commerce</v>
      </c>
      <c r="Z2971" s="13" t="str">
        <f aca="false">IFERROR(__xludf.dummyfunction("if(BJ2971="""","""",GOOGLETRANSLATE(BJ2971,""auto"",""en""))"),"Daily Post E-Commerce")</f>
        <v>Daily Post E-Commerce</v>
      </c>
      <c r="AA2971" s="23" t="str">
        <f aca="false">IF(C2971="","", CHOOSE(MONTH(C2971),"January","February","March","April","May","June","July","August","September","October","November","December")&amp;" "&amp;DAY(C2971)&amp;MID("thstndrdth",MIN(9,2*RIGHT(DAY(C2971))*(MOD(DAY(C2971)-11,100)&gt;2)+1),2)&amp;","&amp;TEXT(C2971," yyyy"))</f>
        <v>December 1st,2025</v>
      </c>
      <c r="AB2971" s="15" t="str">
        <f aca="true">IF(S2971="","",DATEDIF(S2971,TODAY(),"Y")&amp;" Tahun, "&amp;DATEDIF(S2971,TODAY(),"YM")&amp;" Bulan, "&amp;DATEDIF(S2971,TODAY(),"MD")&amp;" Hari")</f>
        <v>19 Tahun, 9 Bulan, 27 Hari</v>
      </c>
      <c r="AC2971" s="18" t="n">
        <v>45992</v>
      </c>
      <c r="AD2971" s="18" t="n">
        <v>46036</v>
      </c>
      <c r="AE2971" s="13" t="s">
        <v>44</v>
      </c>
    </row>
    <row r="2972" customFormat="false" ht="15" hidden="false" customHeight="true" outlineLevel="0" collapsed="false">
      <c r="A2972" s="12" t="n">
        <v>21498</v>
      </c>
      <c r="B2972" s="13" t="s">
        <v>12488</v>
      </c>
      <c r="C2972" s="16" t="n">
        <v>45994</v>
      </c>
      <c r="D2972" s="13" t="s">
        <v>2148</v>
      </c>
      <c r="E2972" s="15" t="s">
        <v>102</v>
      </c>
      <c r="F2972" s="15" t="str">
        <f aca="false">IFERROR(__xludf.dummyfunction("XLOOKUP(AJ2972,IMPORTRANGE(""1XaInW9DU9nz21V0tYIfzFQ0He9kVQ_JF2mCXgZ3hqFA"",""REKAP ALL 2026 - Andika!G:G""),IMPORTRANGE(""1XaInW9DU9nz21V0tYIfzFQ0He9kVQ_JF2mCXgZ3hqFA"",""REKAP ALL 2026 - Andika!F:F""),"""",0)"),"26005758078")</f>
        <v>26005758078</v>
      </c>
      <c r="G2972" s="13" t="s">
        <v>1127</v>
      </c>
      <c r="H2972" s="13" t="s">
        <v>35</v>
      </c>
      <c r="I2972" s="13" t="str">
        <f aca="false">IF(C2972=J2972,"NEW KONTRAK","RE-KONTRAK")</f>
        <v>NEW KONTRAK</v>
      </c>
      <c r="J2972" s="16" t="n">
        <f aca="false" t="array" ref="J2972:J2972">IFERROR(INDEX(AC2972:AE2972,IF(COUNTA(AC2972:AE2972)=0,"",MAX((AC2972:AE2972&lt;&gt;"")*(COLUMN(AC2972:AE2972)-(COLUMN(AC2972)))))-1),"")</f>
        <v>45994</v>
      </c>
      <c r="K2972" s="16" t="n">
        <f aca="false" t="array" ref="K2972:K2972">IFERROR(INDEX(AC2972:AE2972,IF(COUNTA(AC2972:AE2972)=0,"",MAX((AC2972:AE2972&lt;&gt;"")*(COLUMN(AC2972:AE2972)-(COLUMN(AC2972)-1))))-1),"")</f>
        <v>46175</v>
      </c>
      <c r="L2972" s="17" t="str">
        <f aca="false" t="array" ref="L2972:L2972">IFERROR(INDEX(AC2972:AE2972,IF(COUNTA(AC2972:AE2972)=0,"",MAX((AC2972:AE2972&lt;&gt;"")*(COLUMN(AC2972:AE2972)-(COLUMN(AC2972)-2))))-1),"")</f>
        <v>ARCHIVED</v>
      </c>
      <c r="M2972" s="13" t="n">
        <f aca="true">K2972-TODAY()</f>
        <v>-149</v>
      </c>
      <c r="N2972" s="18" t="s">
        <v>105</v>
      </c>
      <c r="O2972" s="13" t="s">
        <v>12489</v>
      </c>
      <c r="P2972" s="19" t="n">
        <v>185220</v>
      </c>
      <c r="Q2972" s="47" t="s">
        <v>12490</v>
      </c>
      <c r="R2972" s="13" t="s">
        <v>39</v>
      </c>
      <c r="S2972" s="48" t="n">
        <v>36621</v>
      </c>
      <c r="T2972" s="13" t="s">
        <v>40</v>
      </c>
      <c r="U2972" s="13" t="s">
        <v>12491</v>
      </c>
      <c r="V2972" s="13" t="s">
        <v>42</v>
      </c>
      <c r="W2972" s="13" t="s">
        <v>43</v>
      </c>
      <c r="X2972" s="21" t="n">
        <v>81939561184</v>
      </c>
      <c r="Y2972" s="22" t="str">
        <f aca="false">O2972</f>
        <v>Admin Logistik Marketing</v>
      </c>
      <c r="Z2972" s="13" t="str">
        <f aca="false">IFERROR(__xludf.dummyfunction("if(BJ2972="""","""",GOOGLETRANSLATE(BJ2972,""auto"",""en""))"),"Marketing Logistics Admin")</f>
        <v>Marketing Logistics Admin</v>
      </c>
      <c r="AA2972" s="23" t="str">
        <f aca="false">IF(C2972="","", CHOOSE(MONTH(C2972),"January","February","March","April","May","June","July","August","September","October","November","December")&amp;" "&amp;DAY(C2972)&amp;MID("thstndrdth",MIN(9,2*RIGHT(DAY(C2972))*(MOD(DAY(C2972)-11,100)&gt;2)+1),2)&amp;","&amp;TEXT(C2972," yyyy"))</f>
        <v>December 3rd,2025</v>
      </c>
      <c r="AB2972" s="15" t="str">
        <f aca="true">IF(S2972="","",DATEDIF(S2972,TODAY(),"Y")&amp;" Tahun, "&amp;DATEDIF(S2972,TODAY(),"YM")&amp;" Bulan, "&amp;DATEDIF(S2972,TODAY(),"MD")&amp;" Hari")</f>
        <v>26 Tahun, 6 Bulan, 24 Hari</v>
      </c>
      <c r="AC2972" s="18" t="n">
        <v>45994</v>
      </c>
      <c r="AD2972" s="18" t="n">
        <f aca="false">EDATE(AC2972,6)-1</f>
        <v>46175</v>
      </c>
      <c r="AE2972" s="13" t="s">
        <v>44</v>
      </c>
    </row>
    <row r="2973" customFormat="false" ht="15" hidden="false" customHeight="true" outlineLevel="0" collapsed="false">
      <c r="A2973" s="12" t="n">
        <v>21500</v>
      </c>
      <c r="B2973" s="13" t="s">
        <v>12492</v>
      </c>
      <c r="C2973" s="16" t="n">
        <v>46023</v>
      </c>
      <c r="D2973" s="13" t="s">
        <v>885</v>
      </c>
      <c r="E2973" s="15" t="s">
        <v>47</v>
      </c>
      <c r="F2973" s="15" t="str">
        <f aca="false">IFERROR(__xludf.dummyfunction("XLOOKUP(AJ2973,IMPORTRANGE(""1XaInW9DU9nz21V0tYIfzFQ0He9kVQ_JF2mCXgZ3hqFA"",""REKAP ALL 2026 - Andika!G:G""),IMPORTRANGE(""1XaInW9DU9nz21V0tYIfzFQ0He9kVQ_JF2mCXgZ3hqFA"",""REKAP ALL 2026 - Andika!F:F""),"""",0)"),"26005751552")</f>
        <v>26005751552</v>
      </c>
      <c r="G2973" s="28" t="s">
        <v>57</v>
      </c>
      <c r="H2973" s="13" t="s">
        <v>35</v>
      </c>
      <c r="I2973" s="13" t="str">
        <f aca="false">IF(C2973=J2973,"NEW KONTRAK","RE-KONTRAK")</f>
        <v>NEW KONTRAK</v>
      </c>
      <c r="J2973" s="16" t="n">
        <f aca="false" t="array" ref="J2973:J2973">IFERROR(INDEX(AC2973:AE2973,IF(COUNTA(AC2973:AE2973)=0,"",MAX((AC2973:AE2973&lt;&gt;"")*(COLUMN(AC2973:AE2973)-(COLUMN(AC2973)))))-1),"")</f>
        <v>46023</v>
      </c>
      <c r="K2973" s="16" t="n">
        <f aca="false" t="array" ref="K2973:K2973">IFERROR(INDEX(AC2973:AE2973,IF(COUNTA(AC2973:AE2973)=0,"",MAX((AC2973:AE2973&lt;&gt;"")*(COLUMN(AC2973:AE2973)-(COLUMN(AC2973)-1))))-1),"")</f>
        <v>46112</v>
      </c>
      <c r="L2973" s="17" t="str">
        <f aca="false" t="array" ref="L2973:L2973">IFERROR(INDEX(AC2973:AE2973,IF(COUNTA(AC2973:AE2973)=0,"",MAX((AC2973:AE2973&lt;&gt;"")*(COLUMN(AC2973:AE2973)-(COLUMN(AC2973)-2))))-1),"")</f>
        <v>ARCHIVED</v>
      </c>
      <c r="M2973" s="13" t="n">
        <f aca="true">K2973-TODAY()</f>
        <v>-212</v>
      </c>
      <c r="N2973" s="18" t="s">
        <v>728</v>
      </c>
      <c r="O2973" s="13" t="s">
        <v>1453</v>
      </c>
      <c r="P2973" s="27" t="n">
        <v>132300</v>
      </c>
      <c r="Q2973" s="47" t="s">
        <v>12493</v>
      </c>
      <c r="R2973" s="13" t="s">
        <v>246</v>
      </c>
      <c r="S2973" s="16" t="n">
        <v>31709</v>
      </c>
      <c r="T2973" s="13" t="s">
        <v>40</v>
      </c>
      <c r="U2973" s="13" t="s">
        <v>12494</v>
      </c>
      <c r="V2973" s="28" t="s">
        <v>1216</v>
      </c>
      <c r="W2973" s="13" t="s">
        <v>54</v>
      </c>
      <c r="X2973" s="21" t="n">
        <v>81235802737</v>
      </c>
      <c r="Y2973" s="22" t="str">
        <f aca="false">O2973</f>
        <v>Helper Produksi</v>
      </c>
      <c r="Z2973" s="13" t="str">
        <f aca="false">IFERROR(__xludf.dummyfunction("if(BJ2973="""","""",GOOGLETRANSLATE(BJ2973,""auto"",""en""))"),"Production Helper")</f>
        <v>Production Helper</v>
      </c>
      <c r="AA2973" s="23" t="str">
        <f aca="false">IF(C2973="","", CHOOSE(MONTH(C2973),"January","February","March","April","May","June","July","August","September","October","November","December")&amp;" "&amp;DAY(C2973)&amp;MID("thstndrdth",MIN(9,2*RIGHT(DAY(C2973))*(MOD(DAY(C2973)-11,100)&gt;2)+1),2)&amp;","&amp;TEXT(C2973," yyyy"))</f>
        <v>January 1st,2026</v>
      </c>
      <c r="AB2973" s="15" t="str">
        <f aca="true">IF(S2973="","",DATEDIF(S2973,TODAY(),"Y")&amp;" Tahun, "&amp;DATEDIF(S2973,TODAY(),"YM")&amp;" Bulan, "&amp;DATEDIF(S2973,TODAY(),"MD")&amp;" Hari")</f>
        <v>40 Tahun, 0 Bulan, 5 Hari</v>
      </c>
      <c r="AC2973" s="18" t="n">
        <v>46023</v>
      </c>
      <c r="AD2973" s="18" t="n">
        <f aca="false">EDATE(AC2973,3)-1</f>
        <v>46112</v>
      </c>
      <c r="AE2973" s="13" t="s">
        <v>44</v>
      </c>
    </row>
    <row r="2974" customFormat="false" ht="15" hidden="false" customHeight="true" outlineLevel="0" collapsed="false">
      <c r="A2974" s="12" t="n">
        <v>21501</v>
      </c>
      <c r="B2974" s="13" t="s">
        <v>12495</v>
      </c>
      <c r="C2974" s="16" t="n">
        <v>46023</v>
      </c>
      <c r="D2974" s="13" t="s">
        <v>885</v>
      </c>
      <c r="E2974" s="15" t="s">
        <v>47</v>
      </c>
      <c r="F2974" s="15" t="str">
        <f aca="false">IFERROR(__xludf.dummyfunction("XLOOKUP(AJ2974,IMPORTRANGE(""1XaInW9DU9nz21V0tYIfzFQ0He9kVQ_JF2mCXgZ3hqFA"",""REKAP ALL 2026 - Andika!G:G""),IMPORTRANGE(""1XaInW9DU9nz21V0tYIfzFQ0He9kVQ_JF2mCXgZ3hqFA"",""REKAP ALL 2026 - Andika!F:F""),"""",0)"),"26005751586")</f>
        <v>26005751586</v>
      </c>
      <c r="G2974" s="28" t="s">
        <v>57</v>
      </c>
      <c r="H2974" s="13" t="s">
        <v>35</v>
      </c>
      <c r="I2974" s="13" t="str">
        <f aca="false">IF(C2974=J2974,"NEW KONTRAK","RE-KONTRAK")</f>
        <v>NEW KONTRAK</v>
      </c>
      <c r="J2974" s="16" t="n">
        <f aca="false" t="array" ref="J2974:J2974">IFERROR(INDEX(AC2974:AE2974,IF(COUNTA(AC2974:AE2974)=0,"",MAX((AC2974:AE2974&lt;&gt;"")*(COLUMN(AC2974:AE2974)-(COLUMN(AC2974)))))-1),"")</f>
        <v>46023</v>
      </c>
      <c r="K2974" s="16" t="n">
        <f aca="false" t="array" ref="K2974:K2974">IFERROR(INDEX(AC2974:AE2974,IF(COUNTA(AC2974:AE2974)=0,"",MAX((AC2974:AE2974&lt;&gt;"")*(COLUMN(AC2974:AE2974)-(COLUMN(AC2974)-1))))-1),"")</f>
        <v>46112</v>
      </c>
      <c r="L2974" s="17" t="str">
        <f aca="false" t="array" ref="L2974:L2974">IFERROR(INDEX(AC2974:AE2974,IF(COUNTA(AC2974:AE2974)=0,"",MAX((AC2974:AE2974&lt;&gt;"")*(COLUMN(AC2974:AE2974)-(COLUMN(AC2974)-2))))-1),"")</f>
        <v>ARCHIVED</v>
      </c>
      <c r="M2974" s="13" t="n">
        <f aca="true">K2974-TODAY()</f>
        <v>-212</v>
      </c>
      <c r="N2974" s="18" t="s">
        <v>728</v>
      </c>
      <c r="O2974" s="13" t="s">
        <v>1453</v>
      </c>
      <c r="P2974" s="19" t="n">
        <v>132300</v>
      </c>
      <c r="Q2974" s="47" t="s">
        <v>12496</v>
      </c>
      <c r="R2974" s="13" t="s">
        <v>52</v>
      </c>
      <c r="S2974" s="16" t="n">
        <v>30378</v>
      </c>
      <c r="T2974" s="13" t="s">
        <v>40</v>
      </c>
      <c r="U2974" s="13" t="s">
        <v>12497</v>
      </c>
      <c r="V2974" s="13" t="s">
        <v>42</v>
      </c>
      <c r="W2974" s="13" t="s">
        <v>54</v>
      </c>
      <c r="X2974" s="21" t="n">
        <v>89669167522</v>
      </c>
      <c r="Y2974" s="22" t="str">
        <f aca="false">O2974</f>
        <v>Helper Produksi</v>
      </c>
      <c r="Z2974" s="13" t="str">
        <f aca="false">IFERROR(__xludf.dummyfunction("if(BJ2974="""","""",GOOGLETRANSLATE(BJ2974,""auto"",""en""))"),"Production Helper")</f>
        <v>Production Helper</v>
      </c>
      <c r="AA2974" s="23" t="str">
        <f aca="false">IF(C2974="","", CHOOSE(MONTH(C2974),"January","February","March","April","May","June","July","August","September","October","November","December")&amp;" "&amp;DAY(C2974)&amp;MID("thstndrdth",MIN(9,2*RIGHT(DAY(C2974))*(MOD(DAY(C2974)-11,100)&gt;2)+1),2)&amp;","&amp;TEXT(C2974," yyyy"))</f>
        <v>January 1st,2026</v>
      </c>
      <c r="AB2974" s="15" t="str">
        <f aca="true">IF(S2974="","",DATEDIF(S2974,TODAY(),"Y")&amp;" Tahun, "&amp;DATEDIF(S2974,TODAY(),"YM")&amp;" Bulan, "&amp;DATEDIF(S2974,TODAY(),"MD")&amp;" Hari")</f>
        <v>43 Tahun, 7 Bulan, 26 Hari</v>
      </c>
      <c r="AC2974" s="18" t="n">
        <v>46023</v>
      </c>
      <c r="AD2974" s="18" t="n">
        <f aca="false">EDATE(AC2974,3)-1</f>
        <v>46112</v>
      </c>
      <c r="AE2974" s="13" t="s">
        <v>44</v>
      </c>
    </row>
    <row r="2975" customFormat="false" ht="15" hidden="false" customHeight="true" outlineLevel="0" collapsed="false">
      <c r="A2975" s="12" t="n">
        <v>21502</v>
      </c>
      <c r="B2975" s="13" t="s">
        <v>12498</v>
      </c>
      <c r="C2975" s="16" t="n">
        <v>46023</v>
      </c>
      <c r="D2975" s="13" t="s">
        <v>885</v>
      </c>
      <c r="E2975" s="15" t="s">
        <v>47</v>
      </c>
      <c r="F2975" s="15" t="str">
        <f aca="false">IFERROR(__xludf.dummyfunction("XLOOKUP(AJ2975,IMPORTRANGE(""1XaInW9DU9nz21V0tYIfzFQ0He9kVQ_JF2mCXgZ3hqFA"",""REKAP ALL 2026 - Andika!G:G""),IMPORTRANGE(""1XaInW9DU9nz21V0tYIfzFQ0He9kVQ_JF2mCXgZ3hqFA"",""REKAP ALL 2026 - Andika!F:F""),"""",0)"),"26005751354")</f>
        <v>26005751354</v>
      </c>
      <c r="G2975" s="28" t="s">
        <v>57</v>
      </c>
      <c r="H2975" s="13" t="s">
        <v>35</v>
      </c>
      <c r="I2975" s="13" t="str">
        <f aca="false">IF(C2975=J2975,"NEW KONTRAK","RE-KONTRAK")</f>
        <v>NEW KONTRAK</v>
      </c>
      <c r="J2975" s="16" t="n">
        <f aca="false" t="array" ref="J2975:J2975">IFERROR(INDEX(AC2975:AE2975,IF(COUNTA(AC2975:AE2975)=0,"",MAX((AC2975:AE2975&lt;&gt;"")*(COLUMN(AC2975:AE2975)-(COLUMN(AC2975)))))-1),"")</f>
        <v>46023</v>
      </c>
      <c r="K2975" s="16" t="n">
        <f aca="false" t="array" ref="K2975:K2975">IFERROR(INDEX(AC2975:AE2975,IF(COUNTA(AC2975:AE2975)=0,"",MAX((AC2975:AE2975&lt;&gt;"")*(COLUMN(AC2975:AE2975)-(COLUMN(AC2975)-1))))-1),"")</f>
        <v>46112</v>
      </c>
      <c r="L2975" s="17" t="str">
        <f aca="false" t="array" ref="L2975:L2975">IFERROR(INDEX(AC2975:AE2975,IF(COUNTA(AC2975:AE2975)=0,"",MAX((AC2975:AE2975&lt;&gt;"")*(COLUMN(AC2975:AE2975)-(COLUMN(AC2975)-2))))-1),"")</f>
        <v>ARCHIVED</v>
      </c>
      <c r="M2975" s="13" t="n">
        <f aca="true">K2975-TODAY()</f>
        <v>-212</v>
      </c>
      <c r="N2975" s="18" t="s">
        <v>728</v>
      </c>
      <c r="O2975" s="13" t="s">
        <v>1453</v>
      </c>
      <c r="P2975" s="19" t="n">
        <v>132300</v>
      </c>
      <c r="Q2975" s="47" t="s">
        <v>12499</v>
      </c>
      <c r="R2975" s="13" t="s">
        <v>39</v>
      </c>
      <c r="S2975" s="16" t="n">
        <v>36416</v>
      </c>
      <c r="T2975" s="13" t="s">
        <v>40</v>
      </c>
      <c r="U2975" s="13" t="s">
        <v>12500</v>
      </c>
      <c r="V2975" s="13" t="s">
        <v>42</v>
      </c>
      <c r="W2975" s="13" t="s">
        <v>43</v>
      </c>
      <c r="X2975" s="21" t="n">
        <v>87782591927</v>
      </c>
      <c r="Y2975" s="22" t="str">
        <f aca="false">O2975</f>
        <v>Helper Produksi</v>
      </c>
      <c r="Z2975" s="13" t="str">
        <f aca="false">IFERROR(__xludf.dummyfunction("if(BJ2975="""","""",GOOGLETRANSLATE(BJ2975,""auto"",""en""))"),"Production Helper")</f>
        <v>Production Helper</v>
      </c>
      <c r="AA2975" s="23" t="str">
        <f aca="false">IF(C2975="","", CHOOSE(MONTH(C2975),"January","February","March","April","May","June","July","August","September","October","November","December")&amp;" "&amp;DAY(C2975)&amp;MID("thstndrdth",MIN(9,2*RIGHT(DAY(C2975))*(MOD(DAY(C2975)-11,100)&gt;2)+1),2)&amp;","&amp;TEXT(C2975," yyyy"))</f>
        <v>January 1st,2026</v>
      </c>
      <c r="AB2975" s="15" t="str">
        <f aca="true">IF(S2975="","",DATEDIF(S2975,TODAY(),"Y")&amp;" Tahun, "&amp;DATEDIF(S2975,TODAY(),"YM")&amp;" Bulan, "&amp;DATEDIF(S2975,TODAY(),"MD")&amp;" Hari")</f>
        <v>27 Tahun, 1 Bulan, 16 Hari</v>
      </c>
      <c r="AC2975" s="18" t="n">
        <v>46023</v>
      </c>
      <c r="AD2975" s="18" t="n">
        <f aca="false">EDATE(AC2975,3)-1</f>
        <v>46112</v>
      </c>
      <c r="AE2975" s="13" t="s">
        <v>44</v>
      </c>
    </row>
    <row r="2976" customFormat="false" ht="15" hidden="false" customHeight="true" outlineLevel="0" collapsed="false">
      <c r="A2976" s="12" t="n">
        <v>21503</v>
      </c>
      <c r="B2976" s="13" t="s">
        <v>12501</v>
      </c>
      <c r="C2976" s="16" t="n">
        <v>46023</v>
      </c>
      <c r="D2976" s="13" t="s">
        <v>885</v>
      </c>
      <c r="E2976" s="15" t="s">
        <v>47</v>
      </c>
      <c r="F2976" s="15" t="str">
        <f aca="false">IFERROR(__xludf.dummyfunction("XLOOKUP(AJ2976,IMPORTRANGE(""1XaInW9DU9nz21V0tYIfzFQ0He9kVQ_JF2mCXgZ3hqFA"",""REKAP ALL 2026 - Andika!G:G""),IMPORTRANGE(""1XaInW9DU9nz21V0tYIfzFQ0He9kVQ_JF2mCXgZ3hqFA"",""REKAP ALL 2026 - Andika!F:F""),"""",0)"),"26005751412")</f>
        <v>26005751412</v>
      </c>
      <c r="G2976" s="28" t="s">
        <v>57</v>
      </c>
      <c r="H2976" s="13" t="s">
        <v>35</v>
      </c>
      <c r="I2976" s="13" t="str">
        <f aca="false">IF(C2976=J2976,"NEW KONTRAK","RE-KONTRAK")</f>
        <v>NEW KONTRAK</v>
      </c>
      <c r="J2976" s="16" t="n">
        <f aca="false" t="array" ref="J2976:J2976">IFERROR(INDEX(AC2976:AE2976,IF(COUNTA(AC2976:AE2976)=0,"",MAX((AC2976:AE2976&lt;&gt;"")*(COLUMN(AC2976:AE2976)-(COLUMN(AC2976)))))-1),"")</f>
        <v>46023</v>
      </c>
      <c r="K2976" s="16" t="n">
        <f aca="false" t="array" ref="K2976:K2976">IFERROR(INDEX(AC2976:AE2976,IF(COUNTA(AC2976:AE2976)=0,"",MAX((AC2976:AE2976&lt;&gt;"")*(COLUMN(AC2976:AE2976)-(COLUMN(AC2976)-1))))-1),"")</f>
        <v>46112</v>
      </c>
      <c r="L2976" s="17" t="str">
        <f aca="false" t="array" ref="L2976:L2976">IFERROR(INDEX(AC2976:AE2976,IF(COUNTA(AC2976:AE2976)=0,"",MAX((AC2976:AE2976&lt;&gt;"")*(COLUMN(AC2976:AE2976)-(COLUMN(AC2976)-2))))-1),"")</f>
        <v>ARCHIVED</v>
      </c>
      <c r="M2976" s="13" t="n">
        <f aca="true">K2976-TODAY()</f>
        <v>-212</v>
      </c>
      <c r="N2976" s="18" t="s">
        <v>728</v>
      </c>
      <c r="O2976" s="13" t="s">
        <v>1453</v>
      </c>
      <c r="P2976" s="27" t="n">
        <v>132300</v>
      </c>
      <c r="Q2976" s="47" t="s">
        <v>12502</v>
      </c>
      <c r="R2976" s="13" t="s">
        <v>39</v>
      </c>
      <c r="S2976" s="16" t="n">
        <v>31879</v>
      </c>
      <c r="T2976" s="13" t="s">
        <v>40</v>
      </c>
      <c r="U2976" s="13" t="s">
        <v>12503</v>
      </c>
      <c r="V2976" s="13" t="s">
        <v>42</v>
      </c>
      <c r="W2976" s="13" t="s">
        <v>54</v>
      </c>
      <c r="X2976" s="21" t="n">
        <v>89696796055</v>
      </c>
      <c r="Y2976" s="22" t="str">
        <f aca="false">O2976</f>
        <v>Helper Produksi</v>
      </c>
      <c r="Z2976" s="13" t="str">
        <f aca="false">IFERROR(__xludf.dummyfunction("if(BJ2976="""","""",GOOGLETRANSLATE(BJ2976,""auto"",""en""))"),"Production Helper")</f>
        <v>Production Helper</v>
      </c>
      <c r="AA2976" s="23" t="str">
        <f aca="false">IF(C2976="","", CHOOSE(MONTH(C2976),"January","February","March","April","May","June","July","August","September","October","November","December")&amp;" "&amp;DAY(C2976)&amp;MID("thstndrdth",MIN(9,2*RIGHT(DAY(C2976))*(MOD(DAY(C2976)-11,100)&gt;2)+1),2)&amp;","&amp;TEXT(C2976," yyyy"))</f>
        <v>January 1st,2026</v>
      </c>
      <c r="AB2976" s="15" t="str">
        <f aca="true">IF(S2976="","",DATEDIF(S2976,TODAY(),"Y")&amp;" Tahun, "&amp;DATEDIF(S2976,TODAY(),"YM")&amp;" Bulan, "&amp;DATEDIF(S2976,TODAY(),"MD")&amp;" Hari")</f>
        <v>39 Tahun, 6 Bulan, 17 Hari</v>
      </c>
      <c r="AC2976" s="18" t="n">
        <v>46023</v>
      </c>
      <c r="AD2976" s="18" t="n">
        <f aca="false">EDATE(AC2976,3)-1</f>
        <v>46112</v>
      </c>
      <c r="AE2976" s="13" t="s">
        <v>44</v>
      </c>
    </row>
    <row r="2977" customFormat="false" ht="15" hidden="false" customHeight="true" outlineLevel="0" collapsed="false">
      <c r="A2977" s="12" t="n">
        <v>21504</v>
      </c>
      <c r="B2977" s="13" t="s">
        <v>12504</v>
      </c>
      <c r="C2977" s="16" t="n">
        <v>46023</v>
      </c>
      <c r="D2977" s="13" t="s">
        <v>885</v>
      </c>
      <c r="E2977" s="15" t="s">
        <v>47</v>
      </c>
      <c r="F2977" s="15" t="str">
        <f aca="false">IFERROR(__xludf.dummyfunction("XLOOKUP(AJ2977,IMPORTRANGE(""1XaInW9DU9nz21V0tYIfzFQ0He9kVQ_JF2mCXgZ3hqFA"",""REKAP ALL 2026 - Andika!G:G""),IMPORTRANGE(""1XaInW9DU9nz21V0tYIfzFQ0He9kVQ_JF2mCXgZ3hqFA"",""REKAP ALL 2026 - Andika!F:F""),"""",0)"),"26005751636")</f>
        <v>26005751636</v>
      </c>
      <c r="G2977" s="28" t="s">
        <v>57</v>
      </c>
      <c r="H2977" s="13" t="s">
        <v>35</v>
      </c>
      <c r="I2977" s="13" t="str">
        <f aca="false">IF(C2977=J2977,"NEW KONTRAK","RE-KONTRAK")</f>
        <v>NEW KONTRAK</v>
      </c>
      <c r="J2977" s="16" t="n">
        <f aca="false" t="array" ref="J2977:J2977">IFERROR(INDEX(AC2977:AE2977,IF(COUNTA(AC2977:AE2977)=0,"",MAX((AC2977:AE2977&lt;&gt;"")*(COLUMN(AC2977:AE2977)-(COLUMN(AC2977)))))-1),"")</f>
        <v>46023</v>
      </c>
      <c r="K2977" s="16" t="n">
        <f aca="false" t="array" ref="K2977:K2977">IFERROR(INDEX(AC2977:AE2977,IF(COUNTA(AC2977:AE2977)=0,"",MAX((AC2977:AE2977&lt;&gt;"")*(COLUMN(AC2977:AE2977)-(COLUMN(AC2977)-1))))-1),"")</f>
        <v>46112</v>
      </c>
      <c r="L2977" s="17" t="str">
        <f aca="false" t="array" ref="L2977:L2977">IFERROR(INDEX(AC2977:AE2977,IF(COUNTA(AC2977:AE2977)=0,"",MAX((AC2977:AE2977&lt;&gt;"")*(COLUMN(AC2977:AE2977)-(COLUMN(AC2977)-2))))-1),"")</f>
        <v>ARCHIVED</v>
      </c>
      <c r="M2977" s="13" t="n">
        <f aca="true">K2977-TODAY()</f>
        <v>-212</v>
      </c>
      <c r="N2977" s="18" t="s">
        <v>728</v>
      </c>
      <c r="O2977" s="13" t="s">
        <v>1453</v>
      </c>
      <c r="P2977" s="19" t="n">
        <v>132300</v>
      </c>
      <c r="Q2977" s="47" t="s">
        <v>12505</v>
      </c>
      <c r="R2977" s="13" t="s">
        <v>52</v>
      </c>
      <c r="S2977" s="16" t="n">
        <v>30231</v>
      </c>
      <c r="T2977" s="13" t="s">
        <v>40</v>
      </c>
      <c r="U2977" s="13" t="s">
        <v>12506</v>
      </c>
      <c r="V2977" s="13" t="s">
        <v>42</v>
      </c>
      <c r="W2977" s="13" t="s">
        <v>54</v>
      </c>
      <c r="X2977" s="21" t="n">
        <v>81230008758</v>
      </c>
      <c r="Y2977" s="22" t="str">
        <f aca="false">O2977</f>
        <v>Helper Produksi</v>
      </c>
      <c r="Z2977" s="13" t="str">
        <f aca="false">IFERROR(__xludf.dummyfunction("if(BJ2977="""","""",GOOGLETRANSLATE(BJ2977,""auto"",""en""))"),"Production Helper")</f>
        <v>Production Helper</v>
      </c>
      <c r="AA2977" s="23" t="str">
        <f aca="false">IF(C2977="","", CHOOSE(MONTH(C2977),"January","February","March","April","May","June","July","August","September","October","November","December")&amp;" "&amp;DAY(C2977)&amp;MID("thstndrdth",MIN(9,2*RIGHT(DAY(C2977))*(MOD(DAY(C2977)-11,100)&gt;2)+1),2)&amp;","&amp;TEXT(C2977," yyyy"))</f>
        <v>January 1st,2026</v>
      </c>
      <c r="AB2977" s="15" t="str">
        <f aca="true">IF(S2977="","",DATEDIF(S2977,TODAY(),"Y")&amp;" Tahun, "&amp;DATEDIF(S2977,TODAY(),"YM")&amp;" Bulan, "&amp;DATEDIF(S2977,TODAY(),"MD")&amp;" Hari")</f>
        <v>44 Tahun, 0 Bulan, 22 Hari</v>
      </c>
      <c r="AC2977" s="18" t="n">
        <v>46023</v>
      </c>
      <c r="AD2977" s="18" t="n">
        <f aca="false">EDATE(AC2977,3)-1</f>
        <v>46112</v>
      </c>
      <c r="AE2977" s="13" t="s">
        <v>44</v>
      </c>
    </row>
    <row r="2978" customFormat="false" ht="15" hidden="false" customHeight="true" outlineLevel="0" collapsed="false">
      <c r="A2978" s="12" t="n">
        <v>21505</v>
      </c>
      <c r="B2978" s="13" t="s">
        <v>12507</v>
      </c>
      <c r="C2978" s="16" t="n">
        <v>46023</v>
      </c>
      <c r="D2978" s="13" t="s">
        <v>885</v>
      </c>
      <c r="E2978" s="15" t="s">
        <v>47</v>
      </c>
      <c r="F2978" s="15" t="str">
        <f aca="false">IFERROR(__xludf.dummyfunction("XLOOKUP(AJ2978,IMPORTRANGE(""1XaInW9DU9nz21V0tYIfzFQ0He9kVQ_JF2mCXgZ3hqFA"",""REKAP ALL 2026 - Andika!G:G""),IMPORTRANGE(""1XaInW9DU9nz21V0tYIfzFQ0He9kVQ_JF2mCXgZ3hqFA"",""REKAP ALL 2026 - Andika!F:F""),"""",0)"),"26005751370")</f>
        <v>26005751370</v>
      </c>
      <c r="G2978" s="28" t="s">
        <v>57</v>
      </c>
      <c r="H2978" s="13" t="s">
        <v>35</v>
      </c>
      <c r="I2978" s="13" t="str">
        <f aca="false">IF(C2978=J2978,"NEW KONTRAK","RE-KONTRAK")</f>
        <v>NEW KONTRAK</v>
      </c>
      <c r="J2978" s="16" t="n">
        <f aca="false" t="array" ref="J2978:J2978">IFERROR(INDEX(AC2978:AE2978,IF(COUNTA(AC2978:AE2978)=0,"",MAX((AC2978:AE2978&lt;&gt;"")*(COLUMN(AC2978:AE2978)-(COLUMN(AC2978)))))-1),"")</f>
        <v>46023</v>
      </c>
      <c r="K2978" s="16" t="n">
        <f aca="false" t="array" ref="K2978:K2978">IFERROR(INDEX(AC2978:AE2978,IF(COUNTA(AC2978:AE2978)=0,"",MAX((AC2978:AE2978&lt;&gt;"")*(COLUMN(AC2978:AE2978)-(COLUMN(AC2978)-1))))-1),"")</f>
        <v>46112</v>
      </c>
      <c r="L2978" s="17" t="str">
        <f aca="false" t="array" ref="L2978:L2978">IFERROR(INDEX(AC2978:AE2978,IF(COUNTA(AC2978:AE2978)=0,"",MAX((AC2978:AE2978&lt;&gt;"")*(COLUMN(AC2978:AE2978)-(COLUMN(AC2978)-2))))-1),"")</f>
        <v>ARCHIVED</v>
      </c>
      <c r="M2978" s="13" t="n">
        <f aca="true">K2978-TODAY()</f>
        <v>-212</v>
      </c>
      <c r="N2978" s="18" t="s">
        <v>728</v>
      </c>
      <c r="O2978" s="13" t="s">
        <v>1453</v>
      </c>
      <c r="P2978" s="27" t="n">
        <v>132300</v>
      </c>
      <c r="Q2978" s="47" t="s">
        <v>12508</v>
      </c>
      <c r="R2978" s="13" t="s">
        <v>39</v>
      </c>
      <c r="S2978" s="16" t="n">
        <v>30412</v>
      </c>
      <c r="T2978" s="13" t="s">
        <v>40</v>
      </c>
      <c r="U2978" s="13" t="s">
        <v>12509</v>
      </c>
      <c r="V2978" s="13" t="s">
        <v>42</v>
      </c>
      <c r="W2978" s="13" t="s">
        <v>54</v>
      </c>
      <c r="X2978" s="21" t="n">
        <v>82245045433</v>
      </c>
      <c r="Y2978" s="22" t="str">
        <f aca="false">O2978</f>
        <v>Helper Produksi</v>
      </c>
      <c r="Z2978" s="13" t="str">
        <f aca="false">IFERROR(__xludf.dummyfunction("if(BJ2978="""","""",GOOGLETRANSLATE(BJ2978,""auto"",""en""))"),"Production Helper")</f>
        <v>Production Helper</v>
      </c>
      <c r="AA2978" s="23" t="str">
        <f aca="false">IF(C2978="","", CHOOSE(MONTH(C2978),"January","February","March","April","May","June","July","August","September","October","November","December")&amp;" "&amp;DAY(C2978)&amp;MID("thstndrdth",MIN(9,2*RIGHT(DAY(C2978))*(MOD(DAY(C2978)-11,100)&gt;2)+1),2)&amp;","&amp;TEXT(C2978," yyyy"))</f>
        <v>January 1st,2026</v>
      </c>
      <c r="AB2978" s="15" t="str">
        <f aca="true">IF(S2978="","",DATEDIF(S2978,TODAY(),"Y")&amp;" Tahun, "&amp;DATEDIF(S2978,TODAY(),"YM")&amp;" Bulan, "&amp;DATEDIF(S2978,TODAY(),"MD")&amp;" Hari")</f>
        <v>43 Tahun, 6 Bulan, 23 Hari</v>
      </c>
      <c r="AC2978" s="18" t="n">
        <v>46023</v>
      </c>
      <c r="AD2978" s="18" t="n">
        <f aca="false">EDATE(AC2978,3)-1</f>
        <v>46112</v>
      </c>
      <c r="AE2978" s="13" t="s">
        <v>44</v>
      </c>
    </row>
    <row r="2979" customFormat="false" ht="15" hidden="false" customHeight="true" outlineLevel="0" collapsed="false">
      <c r="A2979" s="12" t="n">
        <v>21506</v>
      </c>
      <c r="B2979" s="13" t="s">
        <v>12510</v>
      </c>
      <c r="C2979" s="16" t="n">
        <v>46023</v>
      </c>
      <c r="D2979" s="13" t="s">
        <v>885</v>
      </c>
      <c r="E2979" s="15" t="s">
        <v>47</v>
      </c>
      <c r="F2979" s="15" t="str">
        <f aca="false">IFERROR(__xludf.dummyfunction("XLOOKUP(AJ2979,IMPORTRANGE(""1XaInW9DU9nz21V0tYIfzFQ0He9kVQ_JF2mCXgZ3hqFA"",""REKAP ALL 2026 - Andika!G:G""),IMPORTRANGE(""1XaInW9DU9nz21V0tYIfzFQ0He9kVQ_JF2mCXgZ3hqFA"",""REKAP ALL 2026 - Andika!F:F""),"""",0)"),"26005751321")</f>
        <v>26005751321</v>
      </c>
      <c r="G2979" s="28" t="s">
        <v>57</v>
      </c>
      <c r="H2979" s="13" t="s">
        <v>35</v>
      </c>
      <c r="I2979" s="13" t="str">
        <f aca="false">IF(C2979=J2979,"NEW KONTRAK","RE-KONTRAK")</f>
        <v>NEW KONTRAK</v>
      </c>
      <c r="J2979" s="16" t="n">
        <f aca="false" t="array" ref="J2979:J2979">IFERROR(INDEX(AC2979:AE2979,IF(COUNTA(AC2979:AE2979)=0,"",MAX((AC2979:AE2979&lt;&gt;"")*(COLUMN(AC2979:AE2979)-(COLUMN(AC2979)))))-1),"")</f>
        <v>46023</v>
      </c>
      <c r="K2979" s="16" t="n">
        <f aca="false" t="array" ref="K2979:K2979">IFERROR(INDEX(AC2979:AE2979,IF(COUNTA(AC2979:AE2979)=0,"",MAX((AC2979:AE2979&lt;&gt;"")*(COLUMN(AC2979:AE2979)-(COLUMN(AC2979)-1))))-1),"")</f>
        <v>46112</v>
      </c>
      <c r="L2979" s="17" t="str">
        <f aca="false" t="array" ref="L2979:L2979">IFERROR(INDEX(AC2979:AE2979,IF(COUNTA(AC2979:AE2979)=0,"",MAX((AC2979:AE2979&lt;&gt;"")*(COLUMN(AC2979:AE2979)-(COLUMN(AC2979)-2))))-1),"")</f>
        <v>ARCHIVED</v>
      </c>
      <c r="M2979" s="13" t="n">
        <f aca="true">K2979-TODAY()</f>
        <v>-212</v>
      </c>
      <c r="N2979" s="18" t="s">
        <v>728</v>
      </c>
      <c r="O2979" s="13" t="s">
        <v>1453</v>
      </c>
      <c r="P2979" s="27" t="n">
        <v>132300</v>
      </c>
      <c r="Q2979" s="47" t="s">
        <v>12511</v>
      </c>
      <c r="R2979" s="13" t="s">
        <v>39</v>
      </c>
      <c r="S2979" s="16" t="n">
        <v>34092</v>
      </c>
      <c r="T2979" s="13" t="s">
        <v>40</v>
      </c>
      <c r="U2979" s="13" t="s">
        <v>12512</v>
      </c>
      <c r="V2979" s="13" t="s">
        <v>42</v>
      </c>
      <c r="W2979" s="13" t="s">
        <v>54</v>
      </c>
      <c r="X2979" s="21" t="n">
        <v>82229988856</v>
      </c>
      <c r="Y2979" s="22" t="str">
        <f aca="false">O2979</f>
        <v>Helper Produksi</v>
      </c>
      <c r="Z2979" s="13" t="str">
        <f aca="false">IFERROR(__xludf.dummyfunction("if(BJ2979="""","""",GOOGLETRANSLATE(BJ2979,""auto"",""en""))"),"Production Helper")</f>
        <v>Production Helper</v>
      </c>
      <c r="AA2979" s="23" t="str">
        <f aca="false">IF(C2979="","", CHOOSE(MONTH(C2979),"January","February","March","April","May","June","July","August","September","October","November","December")&amp;" "&amp;DAY(C2979)&amp;MID("thstndrdth",MIN(9,2*RIGHT(DAY(C2979))*(MOD(DAY(C2979)-11,100)&gt;2)+1),2)&amp;","&amp;TEXT(C2979," yyyy"))</f>
        <v>January 1st,2026</v>
      </c>
      <c r="AB2979" s="15" t="str">
        <f aca="true">IF(S2979="","",DATEDIF(S2979,TODAY(),"Y")&amp;" Tahun, "&amp;DATEDIF(S2979,TODAY(),"YM")&amp;" Bulan, "&amp;DATEDIF(S2979,TODAY(),"MD")&amp;" Hari")</f>
        <v>33 Tahun, 5 Bulan, 26 Hari</v>
      </c>
      <c r="AC2979" s="18" t="n">
        <v>46023</v>
      </c>
      <c r="AD2979" s="18" t="n">
        <f aca="false">EDATE(AC2979,3)-1</f>
        <v>46112</v>
      </c>
      <c r="AE2979" s="13" t="s">
        <v>44</v>
      </c>
    </row>
    <row r="2980" customFormat="false" ht="15" hidden="false" customHeight="true" outlineLevel="0" collapsed="false">
      <c r="A2980" s="12" t="n">
        <v>21507</v>
      </c>
      <c r="B2980" s="13" t="s">
        <v>12513</v>
      </c>
      <c r="C2980" s="16" t="n">
        <v>46023</v>
      </c>
      <c r="D2980" s="13" t="s">
        <v>885</v>
      </c>
      <c r="E2980" s="15" t="s">
        <v>102</v>
      </c>
      <c r="F2980" s="15" t="str">
        <f aca="false">IFERROR(__xludf.dummyfunction("XLOOKUP(AJ2980,IMPORTRANGE(""1XaInW9DU9nz21V0tYIfzFQ0He9kVQ_JF2mCXgZ3hqFA"",""REKAP ALL 2026 - Andika!G:G""),IMPORTRANGE(""1XaInW9DU9nz21V0tYIfzFQ0He9kVQ_JF2mCXgZ3hqFA"",""REKAP ALL 2026 - Andika!F:F""),"""",0)"),"26005751503")</f>
        <v>26005751503</v>
      </c>
      <c r="G2980" s="28" t="s">
        <v>57</v>
      </c>
      <c r="H2980" s="13" t="s">
        <v>35</v>
      </c>
      <c r="I2980" s="13" t="str">
        <f aca="false">IF(C2980=J2980,"NEW KONTRAK","RE-KONTRAK")</f>
        <v>NEW KONTRAK</v>
      </c>
      <c r="J2980" s="16" t="n">
        <f aca="false" t="array" ref="J2980:J2980">IFERROR(INDEX(AC2980:AE2980,IF(COUNTA(AC2980:AE2980)=0,"",MAX((AC2980:AE2980&lt;&gt;"")*(COLUMN(AC2980:AE2980)-(COLUMN(AC2980)))))-1),"")</f>
        <v>46023</v>
      </c>
      <c r="K2980" s="16" t="n">
        <f aca="false" t="array" ref="K2980:K2980">IFERROR(INDEX(AC2980:AE2980,IF(COUNTA(AC2980:AE2980)=0,"",MAX((AC2980:AE2980&lt;&gt;"")*(COLUMN(AC2980:AE2980)-(COLUMN(AC2980)-1))))-1),"")</f>
        <v>46112</v>
      </c>
      <c r="L2980" s="17" t="str">
        <f aca="false" t="array" ref="L2980:L2980">IFERROR(INDEX(AC2980:AE2980,IF(COUNTA(AC2980:AE2980)=0,"",MAX((AC2980:AE2980&lt;&gt;"")*(COLUMN(AC2980:AE2980)-(COLUMN(AC2980)-2))))-1),"")</f>
        <v>ARCHIVED</v>
      </c>
      <c r="M2980" s="13" t="n">
        <f aca="true">K2980-TODAY()</f>
        <v>-212</v>
      </c>
      <c r="N2980" s="18" t="s">
        <v>728</v>
      </c>
      <c r="O2980" s="13" t="s">
        <v>1453</v>
      </c>
      <c r="P2980" s="27" t="n">
        <v>132300</v>
      </c>
      <c r="Q2980" s="47" t="s">
        <v>12514</v>
      </c>
      <c r="R2980" s="13" t="s">
        <v>246</v>
      </c>
      <c r="S2980" s="16" t="n">
        <v>33530</v>
      </c>
      <c r="T2980" s="13" t="s">
        <v>40</v>
      </c>
      <c r="U2980" s="13" t="s">
        <v>12515</v>
      </c>
      <c r="V2980" s="13" t="s">
        <v>42</v>
      </c>
      <c r="W2980" s="13" t="s">
        <v>54</v>
      </c>
      <c r="X2980" s="21" t="n">
        <v>85235418580</v>
      </c>
      <c r="Y2980" s="22" t="str">
        <f aca="false">O2980</f>
        <v>Helper Produksi</v>
      </c>
      <c r="Z2980" s="13" t="str">
        <f aca="false">IFERROR(__xludf.dummyfunction("if(BJ2980="""","""",GOOGLETRANSLATE(BJ2980,""auto"",""en""))"),"Production Helper")</f>
        <v>Production Helper</v>
      </c>
      <c r="AA2980" s="23" t="str">
        <f aca="false">IF(C2980="","", CHOOSE(MONTH(C2980),"January","February","March","April","May","June","July","August","September","October","November","December")&amp;" "&amp;DAY(C2980)&amp;MID("thstndrdth",MIN(9,2*RIGHT(DAY(C2980))*(MOD(DAY(C2980)-11,100)&gt;2)+1),2)&amp;","&amp;TEXT(C2980," yyyy"))</f>
        <v>January 1st,2026</v>
      </c>
      <c r="AB2980" s="15" t="str">
        <f aca="true">IF(S2980="","",DATEDIF(S2980,TODAY(),"Y")&amp;" Tahun, "&amp;DATEDIF(S2980,TODAY(),"YM")&amp;" Bulan, "&amp;DATEDIF(S2980,TODAY(),"MD")&amp;" Hari")</f>
        <v>35 Tahun, 0 Bulan, 10 Hari</v>
      </c>
      <c r="AC2980" s="18" t="n">
        <v>46023</v>
      </c>
      <c r="AD2980" s="18" t="n">
        <f aca="false">EDATE(AC2980,3)-1</f>
        <v>46112</v>
      </c>
      <c r="AE2980" s="13" t="s">
        <v>44</v>
      </c>
    </row>
    <row r="2981" customFormat="false" ht="15" hidden="false" customHeight="true" outlineLevel="0" collapsed="false">
      <c r="A2981" s="12" t="n">
        <v>21508</v>
      </c>
      <c r="B2981" s="13" t="s">
        <v>12516</v>
      </c>
      <c r="C2981" s="16" t="n">
        <v>46023</v>
      </c>
      <c r="D2981" s="13" t="s">
        <v>885</v>
      </c>
      <c r="E2981" s="15" t="s">
        <v>47</v>
      </c>
      <c r="F2981" s="15" t="str">
        <f aca="false">IFERROR(__xludf.dummyfunction("XLOOKUP(AJ2981,IMPORTRANGE(""1XaInW9DU9nz21V0tYIfzFQ0He9kVQ_JF2mCXgZ3hqFA"",""REKAP ALL 2026 - Andika!G:G""),IMPORTRANGE(""1XaInW9DU9nz21V0tYIfzFQ0He9kVQ_JF2mCXgZ3hqFA"",""REKAP ALL 2026 - Andika!F:F""),"""",0)"),"26005751453")</f>
        <v>26005751453</v>
      </c>
      <c r="G2981" s="28" t="s">
        <v>57</v>
      </c>
      <c r="H2981" s="13" t="s">
        <v>35</v>
      </c>
      <c r="I2981" s="13" t="str">
        <f aca="false">IF(C2981=J2981,"NEW KONTRAK","RE-KONTRAK")</f>
        <v>NEW KONTRAK</v>
      </c>
      <c r="J2981" s="16" t="n">
        <f aca="false" t="array" ref="J2981:J2981">IFERROR(INDEX(AC2981:AE2981,IF(COUNTA(AC2981:AE2981)=0,"",MAX((AC2981:AE2981&lt;&gt;"")*(COLUMN(AC2981:AE2981)-(COLUMN(AC2981)))))-1),"")</f>
        <v>46023</v>
      </c>
      <c r="K2981" s="16" t="n">
        <f aca="false" t="array" ref="K2981:K2981">IFERROR(INDEX(AC2981:AE2981,IF(COUNTA(AC2981:AE2981)=0,"",MAX((AC2981:AE2981&lt;&gt;"")*(COLUMN(AC2981:AE2981)-(COLUMN(AC2981)-1))))-1),"")</f>
        <v>46112</v>
      </c>
      <c r="L2981" s="17" t="str">
        <f aca="false" t="array" ref="L2981:L2981">IFERROR(INDEX(AC2981:AE2981,IF(COUNTA(AC2981:AE2981)=0,"",MAX((AC2981:AE2981&lt;&gt;"")*(COLUMN(AC2981:AE2981)-(COLUMN(AC2981)-2))))-1),"")</f>
        <v>ARCHIVED</v>
      </c>
      <c r="M2981" s="13" t="n">
        <f aca="true">K2981-TODAY()</f>
        <v>-212</v>
      </c>
      <c r="N2981" s="18" t="s">
        <v>728</v>
      </c>
      <c r="O2981" s="13" t="s">
        <v>1453</v>
      </c>
      <c r="P2981" s="19" t="n">
        <v>132300</v>
      </c>
      <c r="Q2981" s="47" t="s">
        <v>12517</v>
      </c>
      <c r="R2981" s="13" t="s">
        <v>73</v>
      </c>
      <c r="S2981" s="16" t="n">
        <v>38522</v>
      </c>
      <c r="T2981" s="13" t="s">
        <v>40</v>
      </c>
      <c r="U2981" s="13" t="s">
        <v>12518</v>
      </c>
      <c r="V2981" s="13" t="s">
        <v>42</v>
      </c>
      <c r="W2981" s="13" t="s">
        <v>43</v>
      </c>
      <c r="X2981" s="21" t="n">
        <v>82337299899</v>
      </c>
      <c r="Y2981" s="22" t="str">
        <f aca="false">O2981</f>
        <v>Helper Produksi</v>
      </c>
      <c r="Z2981" s="13" t="str">
        <f aca="false">IFERROR(__xludf.dummyfunction("if(BJ2981="""","""",GOOGLETRANSLATE(BJ2981,""auto"",""en""))"),"Production Helper")</f>
        <v>Production Helper</v>
      </c>
      <c r="AA2981" s="23" t="str">
        <f aca="false">IF(C2981="","", CHOOSE(MONTH(C2981),"January","February","March","April","May","June","July","August","September","October","November","December")&amp;" "&amp;DAY(C2981)&amp;MID("thstndrdth",MIN(9,2*RIGHT(DAY(C2981))*(MOD(DAY(C2981)-11,100)&gt;2)+1),2)&amp;","&amp;TEXT(C2981," yyyy"))</f>
        <v>January 1st,2026</v>
      </c>
      <c r="AB2981" s="15" t="str">
        <f aca="true">IF(S2981="","",DATEDIF(S2981,TODAY(),"Y")&amp;" Tahun, "&amp;DATEDIF(S2981,TODAY(),"YM")&amp;" Bulan, "&amp;DATEDIF(S2981,TODAY(),"MD")&amp;" Hari")</f>
        <v>21 Tahun, 4 Bulan, 10 Hari</v>
      </c>
      <c r="AC2981" s="18" t="n">
        <v>46023</v>
      </c>
      <c r="AD2981" s="18" t="n">
        <f aca="false">EDATE(AC2981,3)-1</f>
        <v>46112</v>
      </c>
      <c r="AE2981" s="13" t="s">
        <v>44</v>
      </c>
    </row>
    <row r="2982" customFormat="false" ht="15" hidden="false" customHeight="true" outlineLevel="0" collapsed="false">
      <c r="A2982" s="12" t="n">
        <v>21509</v>
      </c>
      <c r="B2982" s="13" t="s">
        <v>12519</v>
      </c>
      <c r="C2982" s="16" t="n">
        <v>46023</v>
      </c>
      <c r="D2982" s="13" t="s">
        <v>885</v>
      </c>
      <c r="E2982" s="15" t="s">
        <v>47</v>
      </c>
      <c r="F2982" s="15" t="str">
        <f aca="false">IFERROR(__xludf.dummyfunction("XLOOKUP(AJ2982,IMPORTRANGE(""1XaInW9DU9nz21V0tYIfzFQ0He9kVQ_JF2mCXgZ3hqFA"",""REKAP ALL 2026 - Andika!G:G""),IMPORTRANGE(""1XaInW9DU9nz21V0tYIfzFQ0He9kVQ_JF2mCXgZ3hqFA"",""REKAP ALL 2026 - Andika!F:F""),"""",0)"),"26005751644")</f>
        <v>26005751644</v>
      </c>
      <c r="G2982" s="28" t="s">
        <v>57</v>
      </c>
      <c r="H2982" s="13" t="s">
        <v>35</v>
      </c>
      <c r="I2982" s="13" t="str">
        <f aca="false">IF(C2982=J2982,"NEW KONTRAK","RE-KONTRAK")</f>
        <v>NEW KONTRAK</v>
      </c>
      <c r="J2982" s="16" t="n">
        <f aca="false" t="array" ref="J2982:J2982">IFERROR(INDEX(AC2982:AE2982,IF(COUNTA(AC2982:AE2982)=0,"",MAX((AC2982:AE2982&lt;&gt;"")*(COLUMN(AC2982:AE2982)-(COLUMN(AC2982)))))-1),"")</f>
        <v>46023</v>
      </c>
      <c r="K2982" s="16" t="n">
        <f aca="false" t="array" ref="K2982:K2982">IFERROR(INDEX(AC2982:AE2982,IF(COUNTA(AC2982:AE2982)=0,"",MAX((AC2982:AE2982&lt;&gt;"")*(COLUMN(AC2982:AE2982)-(COLUMN(AC2982)-1))))-1),"")</f>
        <v>46112</v>
      </c>
      <c r="L2982" s="17" t="str">
        <f aca="false" t="array" ref="L2982:L2982">IFERROR(INDEX(AC2982:AE2982,IF(COUNTA(AC2982:AE2982)=0,"",MAX((AC2982:AE2982&lt;&gt;"")*(COLUMN(AC2982:AE2982)-(COLUMN(AC2982)-2))))-1),"")</f>
        <v>ARCHIVED</v>
      </c>
      <c r="M2982" s="13" t="n">
        <f aca="true">K2982-TODAY()</f>
        <v>-212</v>
      </c>
      <c r="N2982" s="18" t="s">
        <v>728</v>
      </c>
      <c r="O2982" s="13" t="s">
        <v>1453</v>
      </c>
      <c r="P2982" s="19" t="n">
        <v>132300</v>
      </c>
      <c r="Q2982" s="47" t="s">
        <v>12520</v>
      </c>
      <c r="R2982" s="13" t="s">
        <v>52</v>
      </c>
      <c r="S2982" s="16" t="n">
        <v>37632</v>
      </c>
      <c r="T2982" s="13" t="s">
        <v>40</v>
      </c>
      <c r="U2982" s="13" t="s">
        <v>12521</v>
      </c>
      <c r="V2982" s="13" t="s">
        <v>42</v>
      </c>
      <c r="W2982" s="13" t="s">
        <v>43</v>
      </c>
      <c r="X2982" s="21" t="n">
        <v>82245691460</v>
      </c>
      <c r="Y2982" s="22" t="str">
        <f aca="false">O2982</f>
        <v>Helper Produksi</v>
      </c>
      <c r="Z2982" s="13" t="str">
        <f aca="false">IFERROR(__xludf.dummyfunction("if(BJ2982="""","""",GOOGLETRANSLATE(BJ2982,""auto"",""en""))"),"Production Helper")</f>
        <v>Production Helper</v>
      </c>
      <c r="AA2982" s="23" t="str">
        <f aca="false">IF(C2982="","", CHOOSE(MONTH(C2982),"January","February","March","April","May","June","July","August","September","October","November","December")&amp;" "&amp;DAY(C2982)&amp;MID("thstndrdth",MIN(9,2*RIGHT(DAY(C2982))*(MOD(DAY(C2982)-11,100)&gt;2)+1),2)&amp;","&amp;TEXT(C2982," yyyy"))</f>
        <v>January 1st,2026</v>
      </c>
      <c r="AB2982" s="15" t="str">
        <f aca="true">IF(S2982="","",DATEDIF(S2982,TODAY(),"Y")&amp;" Tahun, "&amp;DATEDIF(S2982,TODAY(),"YM")&amp;" Bulan, "&amp;DATEDIF(S2982,TODAY(),"MD")&amp;" Hari")</f>
        <v>23 Tahun, 9 Bulan, 18 Hari</v>
      </c>
      <c r="AC2982" s="18" t="n">
        <v>46023</v>
      </c>
      <c r="AD2982" s="18" t="n">
        <f aca="false">EDATE(AC2982,3)-1</f>
        <v>46112</v>
      </c>
      <c r="AE2982" s="13" t="s">
        <v>44</v>
      </c>
    </row>
    <row r="2983" customFormat="false" ht="15" hidden="false" customHeight="true" outlineLevel="0" collapsed="false">
      <c r="A2983" s="12" t="n">
        <v>21510</v>
      </c>
      <c r="B2983" s="13" t="s">
        <v>12522</v>
      </c>
      <c r="C2983" s="16" t="n">
        <v>46023</v>
      </c>
      <c r="D2983" s="13" t="s">
        <v>885</v>
      </c>
      <c r="E2983" s="15" t="s">
        <v>47</v>
      </c>
      <c r="F2983" s="15" t="str">
        <f aca="false">IFERROR(__xludf.dummyfunction("XLOOKUP(AJ2983,IMPORTRANGE(""1XaInW9DU9nz21V0tYIfzFQ0He9kVQ_JF2mCXgZ3hqFA"",""REKAP ALL 2026 - Andika!G:G""),IMPORTRANGE(""1XaInW9DU9nz21V0tYIfzFQ0He9kVQ_JF2mCXgZ3hqFA"",""REKAP ALL 2026 - Andika!F:F""),"""",0)"),"26005751545")</f>
        <v>26005751545</v>
      </c>
      <c r="G2983" s="28" t="s">
        <v>57</v>
      </c>
      <c r="H2983" s="13" t="s">
        <v>35</v>
      </c>
      <c r="I2983" s="13" t="str">
        <f aca="false">IF(C2983=J2983,"NEW KONTRAK","RE-KONTRAK")</f>
        <v>NEW KONTRAK</v>
      </c>
      <c r="J2983" s="16" t="n">
        <f aca="false" t="array" ref="J2983:J2983">IFERROR(INDEX(AC2983:AE2983,IF(COUNTA(AC2983:AE2983)=0,"",MAX((AC2983:AE2983&lt;&gt;"")*(COLUMN(AC2983:AE2983)-(COLUMN(AC2983)))))-1),"")</f>
        <v>46023</v>
      </c>
      <c r="K2983" s="16" t="n">
        <f aca="false" t="array" ref="K2983:K2983">IFERROR(INDEX(AC2983:AE2983,IF(COUNTA(AC2983:AE2983)=0,"",MAX((AC2983:AE2983&lt;&gt;"")*(COLUMN(AC2983:AE2983)-(COLUMN(AC2983)-1))))-1),"")</f>
        <v>46112</v>
      </c>
      <c r="L2983" s="17" t="str">
        <f aca="false" t="array" ref="L2983:L2983">IFERROR(INDEX(AC2983:AE2983,IF(COUNTA(AC2983:AE2983)=0,"",MAX((AC2983:AE2983&lt;&gt;"")*(COLUMN(AC2983:AE2983)-(COLUMN(AC2983)-2))))-1),"")</f>
        <v>ARCHIVED</v>
      </c>
      <c r="M2983" s="13" t="n">
        <f aca="true">K2983-TODAY()</f>
        <v>-212</v>
      </c>
      <c r="N2983" s="18" t="s">
        <v>728</v>
      </c>
      <c r="O2983" s="13" t="s">
        <v>1453</v>
      </c>
      <c r="P2983" s="19" t="n">
        <v>132300</v>
      </c>
      <c r="Q2983" s="47" t="s">
        <v>12523</v>
      </c>
      <c r="R2983" s="13" t="s">
        <v>52</v>
      </c>
      <c r="S2983" s="16" t="n">
        <v>36098</v>
      </c>
      <c r="T2983" s="13" t="s">
        <v>40</v>
      </c>
      <c r="U2983" s="13" t="s">
        <v>12524</v>
      </c>
      <c r="V2983" s="13" t="s">
        <v>42</v>
      </c>
      <c r="W2983" s="13" t="s">
        <v>43</v>
      </c>
      <c r="X2983" s="21" t="n">
        <v>83844038400</v>
      </c>
      <c r="Y2983" s="22" t="str">
        <f aca="false">O2983</f>
        <v>Helper Produksi</v>
      </c>
      <c r="Z2983" s="13" t="str">
        <f aca="false">IFERROR(__xludf.dummyfunction("if(BJ2983="""","""",GOOGLETRANSLATE(BJ2983,""auto"",""en""))"),"Production Helper")</f>
        <v>Production Helper</v>
      </c>
      <c r="AA2983" s="23" t="str">
        <f aca="false">IF(C2983="","", CHOOSE(MONTH(C2983),"January","February","March","April","May","June","July","August","September","October","November","December")&amp;" "&amp;DAY(C2983)&amp;MID("thstndrdth",MIN(9,2*RIGHT(DAY(C2983))*(MOD(DAY(C2983)-11,100)&gt;2)+1),2)&amp;","&amp;TEXT(C2983," yyyy"))</f>
        <v>January 1st,2026</v>
      </c>
      <c r="AB2983" s="15" t="str">
        <f aca="true">IF(S2983="","",DATEDIF(S2983,TODAY(),"Y")&amp;" Tahun, "&amp;DATEDIF(S2983,TODAY(),"YM")&amp;" Bulan, "&amp;DATEDIF(S2983,TODAY(),"MD")&amp;" Hari")</f>
        <v>27 Tahun, 11 Bulan, 29 Hari</v>
      </c>
      <c r="AC2983" s="18" t="n">
        <v>46023</v>
      </c>
      <c r="AD2983" s="18" t="n">
        <f aca="false">EDATE(AC2983,3)-1</f>
        <v>46112</v>
      </c>
      <c r="AE2983" s="13" t="s">
        <v>44</v>
      </c>
    </row>
    <row r="2984" customFormat="false" ht="15" hidden="false" customHeight="true" outlineLevel="0" collapsed="false">
      <c r="A2984" s="12" t="n">
        <v>21511</v>
      </c>
      <c r="B2984" s="13" t="s">
        <v>12525</v>
      </c>
      <c r="C2984" s="16" t="n">
        <v>46023</v>
      </c>
      <c r="D2984" s="13" t="s">
        <v>885</v>
      </c>
      <c r="E2984" s="15" t="s">
        <v>47</v>
      </c>
      <c r="F2984" s="15" t="str">
        <f aca="false">IFERROR(__xludf.dummyfunction("XLOOKUP(AJ2984,IMPORTRANGE(""1XaInW9DU9nz21V0tYIfzFQ0He9kVQ_JF2mCXgZ3hqFA"",""REKAP ALL 2026 - Andika!G:G""),IMPORTRANGE(""1XaInW9DU9nz21V0tYIfzFQ0He9kVQ_JF2mCXgZ3hqFA"",""REKAP ALL 2026 - Andika!F:F""),"""",0)"),"26005751289")</f>
        <v>26005751289</v>
      </c>
      <c r="G2984" s="28" t="s">
        <v>57</v>
      </c>
      <c r="H2984" s="13" t="s">
        <v>35</v>
      </c>
      <c r="I2984" s="13" t="str">
        <f aca="false">IF(C2984=J2984,"NEW KONTRAK","RE-KONTRAK")</f>
        <v>NEW KONTRAK</v>
      </c>
      <c r="J2984" s="16" t="n">
        <f aca="false" t="array" ref="J2984:J2984">IFERROR(INDEX(AC2984:AE2984,IF(COUNTA(AC2984:AE2984)=0,"",MAX((AC2984:AE2984&lt;&gt;"")*(COLUMN(AC2984:AE2984)-(COLUMN(AC2984)))))-1),"")</f>
        <v>46023</v>
      </c>
      <c r="K2984" s="16" t="n">
        <f aca="false" t="array" ref="K2984:K2984">IFERROR(INDEX(AC2984:AE2984,IF(COUNTA(AC2984:AE2984)=0,"",MAX((AC2984:AE2984&lt;&gt;"")*(COLUMN(AC2984:AE2984)-(COLUMN(AC2984)-1))))-1),"")</f>
        <v>46112</v>
      </c>
      <c r="L2984" s="17" t="str">
        <f aca="false" t="array" ref="L2984:L2984">IFERROR(INDEX(AC2984:AE2984,IF(COUNTA(AC2984:AE2984)=0,"",MAX((AC2984:AE2984&lt;&gt;"")*(COLUMN(AC2984:AE2984)-(COLUMN(AC2984)-2))))-1),"")</f>
        <v>ARCHIVED</v>
      </c>
      <c r="M2984" s="13" t="n">
        <f aca="true">K2984-TODAY()</f>
        <v>-212</v>
      </c>
      <c r="N2984" s="18" t="s">
        <v>728</v>
      </c>
      <c r="O2984" s="13" t="s">
        <v>1453</v>
      </c>
      <c r="P2984" s="19" t="n">
        <v>132300</v>
      </c>
      <c r="Q2984" s="47" t="s">
        <v>12526</v>
      </c>
      <c r="R2984" s="13" t="s">
        <v>4950</v>
      </c>
      <c r="S2984" s="16" t="n">
        <v>36627</v>
      </c>
      <c r="T2984" s="13" t="s">
        <v>40</v>
      </c>
      <c r="U2984" s="13" t="s">
        <v>12527</v>
      </c>
      <c r="V2984" s="13" t="s">
        <v>42</v>
      </c>
      <c r="W2984" s="13" t="s">
        <v>54</v>
      </c>
      <c r="X2984" s="21" t="n">
        <v>89660036200</v>
      </c>
      <c r="Y2984" s="22" t="str">
        <f aca="false">O2984</f>
        <v>Helper Produksi</v>
      </c>
      <c r="Z2984" s="13" t="str">
        <f aca="false">IFERROR(__xludf.dummyfunction("if(BJ2984="""","""",GOOGLETRANSLATE(BJ2984,""auto"",""en""))"),"Production Helper")</f>
        <v>Production Helper</v>
      </c>
      <c r="AA2984" s="23" t="str">
        <f aca="false">IF(C2984="","", CHOOSE(MONTH(C2984),"January","February","March","April","May","June","July","August","September","October","November","December")&amp;" "&amp;DAY(C2984)&amp;MID("thstndrdth",MIN(9,2*RIGHT(DAY(C2984))*(MOD(DAY(C2984)-11,100)&gt;2)+1),2)&amp;","&amp;TEXT(C2984," yyyy"))</f>
        <v>January 1st,2026</v>
      </c>
      <c r="AB2984" s="15" t="str">
        <f aca="true">IF(S2984="","",DATEDIF(S2984,TODAY(),"Y")&amp;" Tahun, "&amp;DATEDIF(S2984,TODAY(),"YM")&amp;" Bulan, "&amp;DATEDIF(S2984,TODAY(),"MD")&amp;" Hari")</f>
        <v>26 Tahun, 6 Bulan, 18 Hari</v>
      </c>
      <c r="AC2984" s="18" t="n">
        <v>46023</v>
      </c>
      <c r="AD2984" s="18" t="n">
        <f aca="false">EDATE(AC2984,3)-1</f>
        <v>46112</v>
      </c>
      <c r="AE2984" s="13" t="s">
        <v>44</v>
      </c>
    </row>
    <row r="2985" customFormat="false" ht="15" hidden="false" customHeight="true" outlineLevel="0" collapsed="false">
      <c r="A2985" s="12" t="n">
        <v>21512</v>
      </c>
      <c r="B2985" s="13" t="s">
        <v>12528</v>
      </c>
      <c r="C2985" s="16" t="n">
        <v>46023</v>
      </c>
      <c r="D2985" s="13" t="s">
        <v>885</v>
      </c>
      <c r="E2985" s="15" t="s">
        <v>47</v>
      </c>
      <c r="F2985" s="15" t="str">
        <f aca="false">IFERROR(__xludf.dummyfunction("XLOOKUP(AJ2985,IMPORTRANGE(""1XaInW9DU9nz21V0tYIfzFQ0He9kVQ_JF2mCXgZ3hqFA"",""REKAP ALL 2026 - Andika!G:G""),IMPORTRANGE(""1XaInW9DU9nz21V0tYIfzFQ0He9kVQ_JF2mCXgZ3hqFA"",""REKAP ALL 2026 - Andika!F:F""),"""",0)"),"26005751578")</f>
        <v>26005751578</v>
      </c>
      <c r="G2985" s="28" t="s">
        <v>57</v>
      </c>
      <c r="H2985" s="13" t="s">
        <v>35</v>
      </c>
      <c r="I2985" s="13" t="str">
        <f aca="false">IF(C2985=J2985,"NEW KONTRAK","RE-KONTRAK")</f>
        <v>NEW KONTRAK</v>
      </c>
      <c r="J2985" s="16" t="n">
        <f aca="false" t="array" ref="J2985:J2985">IFERROR(INDEX(AC2985:AE2985,IF(COUNTA(AC2985:AE2985)=0,"",MAX((AC2985:AE2985&lt;&gt;"")*(COLUMN(AC2985:AE2985)-(COLUMN(AC2985)))))-1),"")</f>
        <v>46023</v>
      </c>
      <c r="K2985" s="16" t="n">
        <f aca="false" t="array" ref="K2985:K2985">IFERROR(INDEX(AC2985:AE2985,IF(COUNTA(AC2985:AE2985)=0,"",MAX((AC2985:AE2985&lt;&gt;"")*(COLUMN(AC2985:AE2985)-(COLUMN(AC2985)-1))))-1),"")</f>
        <v>46112</v>
      </c>
      <c r="L2985" s="17" t="str">
        <f aca="false" t="array" ref="L2985:L2985">IFERROR(INDEX(AC2985:AE2985,IF(COUNTA(AC2985:AE2985)=0,"",MAX((AC2985:AE2985&lt;&gt;"")*(COLUMN(AC2985:AE2985)-(COLUMN(AC2985)-2))))-1),"")</f>
        <v>ARCHIVED</v>
      </c>
      <c r="M2985" s="13" t="n">
        <f aca="true">K2985-TODAY()</f>
        <v>-212</v>
      </c>
      <c r="N2985" s="18" t="s">
        <v>728</v>
      </c>
      <c r="O2985" s="13" t="s">
        <v>1453</v>
      </c>
      <c r="P2985" s="27" t="n">
        <v>132300</v>
      </c>
      <c r="Q2985" s="47" t="s">
        <v>12529</v>
      </c>
      <c r="R2985" s="13" t="s">
        <v>52</v>
      </c>
      <c r="S2985" s="16" t="n">
        <v>31940</v>
      </c>
      <c r="T2985" s="13" t="s">
        <v>40</v>
      </c>
      <c r="U2985" s="13" t="s">
        <v>12530</v>
      </c>
      <c r="V2985" s="13" t="s">
        <v>42</v>
      </c>
      <c r="W2985" s="13" t="s">
        <v>54</v>
      </c>
      <c r="X2985" s="21" t="n">
        <v>81230361421</v>
      </c>
      <c r="Y2985" s="22" t="str">
        <f aca="false">O2985</f>
        <v>Helper Produksi</v>
      </c>
      <c r="Z2985" s="13" t="str">
        <f aca="false">IFERROR(__xludf.dummyfunction("if(BJ2985="""","""",GOOGLETRANSLATE(BJ2985,""auto"",""en""))"),"Production Helper")</f>
        <v>Production Helper</v>
      </c>
      <c r="AA2985" s="23" t="str">
        <f aca="false">IF(C2985="","", CHOOSE(MONTH(C2985),"January","February","March","April","May","June","July","August","September","October","November","December")&amp;" "&amp;DAY(C2985)&amp;MID("thstndrdth",MIN(9,2*RIGHT(DAY(C2985))*(MOD(DAY(C2985)-11,100)&gt;2)+1),2)&amp;","&amp;TEXT(C2985," yyyy"))</f>
        <v>January 1st,2026</v>
      </c>
      <c r="AB2985" s="15" t="str">
        <f aca="true">IF(S2985="","",DATEDIF(S2985,TODAY(),"Y")&amp;" Tahun, "&amp;DATEDIF(S2985,TODAY(),"YM")&amp;" Bulan, "&amp;DATEDIF(S2985,TODAY(),"MD")&amp;" Hari")</f>
        <v>39 Tahun, 4 Bulan, 17 Hari</v>
      </c>
      <c r="AC2985" s="18" t="n">
        <v>46023</v>
      </c>
      <c r="AD2985" s="18" t="n">
        <f aca="false">EDATE(AC2985,3)-1</f>
        <v>46112</v>
      </c>
      <c r="AE2985" s="13" t="s">
        <v>44</v>
      </c>
    </row>
    <row r="2986" customFormat="false" ht="15" hidden="false" customHeight="true" outlineLevel="0" collapsed="false">
      <c r="A2986" s="12" t="n">
        <v>21513</v>
      </c>
      <c r="B2986" s="13" t="s">
        <v>12531</v>
      </c>
      <c r="C2986" s="16" t="n">
        <v>46023</v>
      </c>
      <c r="D2986" s="13" t="s">
        <v>885</v>
      </c>
      <c r="E2986" s="15" t="s">
        <v>47</v>
      </c>
      <c r="F2986" s="15" t="str">
        <f aca="false">IFERROR(__xludf.dummyfunction("XLOOKUP(AJ2986,IMPORTRANGE(""1XaInW9DU9nz21V0tYIfzFQ0He9kVQ_JF2mCXgZ3hqFA"",""REKAP ALL 2026 - Andika!G:G""),IMPORTRANGE(""1XaInW9DU9nz21V0tYIfzFQ0He9kVQ_JF2mCXgZ3hqFA"",""REKAP ALL 2026 - Andika!F:F""),"""",0)"),"26005751594")</f>
        <v>26005751594</v>
      </c>
      <c r="G2986" s="28" t="s">
        <v>57</v>
      </c>
      <c r="H2986" s="13" t="s">
        <v>35</v>
      </c>
      <c r="I2986" s="13" t="str">
        <f aca="false">IF(C2986=J2986,"NEW KONTRAK","RE-KONTRAK")</f>
        <v>NEW KONTRAK</v>
      </c>
      <c r="J2986" s="16" t="n">
        <f aca="false" t="array" ref="J2986:J2986">IFERROR(INDEX(AC2986:AE2986,IF(COUNTA(AC2986:AE2986)=0,"",MAX((AC2986:AE2986&lt;&gt;"")*(COLUMN(AC2986:AE2986)-(COLUMN(AC2986)))))-1),"")</f>
        <v>46023</v>
      </c>
      <c r="K2986" s="16" t="n">
        <f aca="false" t="array" ref="K2986:K2986">IFERROR(INDEX(AC2986:AE2986,IF(COUNTA(AC2986:AE2986)=0,"",MAX((AC2986:AE2986&lt;&gt;"")*(COLUMN(AC2986:AE2986)-(COLUMN(AC2986)-1))))-1),"")</f>
        <v>46112</v>
      </c>
      <c r="L2986" s="17" t="str">
        <f aca="false" t="array" ref="L2986:L2986">IFERROR(INDEX(AC2986:AE2986,IF(COUNTA(AC2986:AE2986)=0,"",MAX((AC2986:AE2986&lt;&gt;"")*(COLUMN(AC2986:AE2986)-(COLUMN(AC2986)-2))))-1),"")</f>
        <v>ARCHIVED</v>
      </c>
      <c r="M2986" s="13" t="n">
        <f aca="true">K2986-TODAY()</f>
        <v>-212</v>
      </c>
      <c r="N2986" s="18" t="s">
        <v>728</v>
      </c>
      <c r="O2986" s="13" t="s">
        <v>1453</v>
      </c>
      <c r="P2986" s="27" t="n">
        <v>132300</v>
      </c>
      <c r="Q2986" s="47" t="s">
        <v>12532</v>
      </c>
      <c r="R2986" s="13" t="s">
        <v>52</v>
      </c>
      <c r="S2986" s="16" t="n">
        <v>38141</v>
      </c>
      <c r="T2986" s="13" t="s">
        <v>40</v>
      </c>
      <c r="U2986" s="13" t="s">
        <v>12533</v>
      </c>
      <c r="V2986" s="13" t="s">
        <v>42</v>
      </c>
      <c r="W2986" s="13" t="s">
        <v>43</v>
      </c>
      <c r="X2986" s="21" t="n">
        <v>82131041739</v>
      </c>
      <c r="Y2986" s="22" t="str">
        <f aca="false">O2986</f>
        <v>Helper Produksi</v>
      </c>
      <c r="Z2986" s="13" t="str">
        <f aca="false">IFERROR(__xludf.dummyfunction("if(BJ2986="""","""",GOOGLETRANSLATE(BJ2986,""auto"",""en""))"),"Production Helper")</f>
        <v>Production Helper</v>
      </c>
      <c r="AA2986" s="23" t="str">
        <f aca="false">IF(C2986="","", CHOOSE(MONTH(C2986),"January","February","March","April","May","June","July","August","September","October","November","December")&amp;" "&amp;DAY(C2986)&amp;MID("thstndrdth",MIN(9,2*RIGHT(DAY(C2986))*(MOD(DAY(C2986)-11,100)&gt;2)+1),2)&amp;","&amp;TEXT(C2986," yyyy"))</f>
        <v>January 1st,2026</v>
      </c>
      <c r="AB2986" s="15" t="str">
        <f aca="true">IF(S2986="","",DATEDIF(S2986,TODAY(),"Y")&amp;" Tahun, "&amp;DATEDIF(S2986,TODAY(),"YM")&amp;" Bulan, "&amp;DATEDIF(S2986,TODAY(),"MD")&amp;" Hari")</f>
        <v>22 Tahun, 4 Bulan, 26 Hari</v>
      </c>
      <c r="AC2986" s="18" t="n">
        <v>46023</v>
      </c>
      <c r="AD2986" s="18" t="n">
        <f aca="false">EDATE(AC2986,3)-1</f>
        <v>46112</v>
      </c>
      <c r="AE2986" s="13" t="s">
        <v>44</v>
      </c>
    </row>
    <row r="2987" customFormat="false" ht="15" hidden="false" customHeight="true" outlineLevel="0" collapsed="false">
      <c r="A2987" s="12" t="n">
        <v>21514</v>
      </c>
      <c r="B2987" s="13" t="s">
        <v>12534</v>
      </c>
      <c r="C2987" s="16" t="n">
        <v>46023</v>
      </c>
      <c r="D2987" s="13" t="s">
        <v>885</v>
      </c>
      <c r="E2987" s="15" t="s">
        <v>33</v>
      </c>
      <c r="F2987" s="15" t="str">
        <f aca="false">IFERROR(__xludf.dummyfunction("XLOOKUP(AJ2987,IMPORTRANGE(""1XaInW9DU9nz21V0tYIfzFQ0He9kVQ_JF2mCXgZ3hqFA"",""REKAP ALL 2026 - Andika!G:G""),IMPORTRANGE(""1XaInW9DU9nz21V0tYIfzFQ0He9kVQ_JF2mCXgZ3hqFA"",""REKAP ALL 2026 - Andika!F:F""),"""",0)"),"26005751404")</f>
        <v>26005751404</v>
      </c>
      <c r="G2987" s="28" t="s">
        <v>57</v>
      </c>
      <c r="H2987" s="13" t="s">
        <v>35</v>
      </c>
      <c r="I2987" s="13" t="str">
        <f aca="false">IF(C2987=J2987,"NEW KONTRAK","RE-KONTRAK")</f>
        <v>NEW KONTRAK</v>
      </c>
      <c r="J2987" s="16" t="n">
        <f aca="false" t="array" ref="J2987:J2987">IFERROR(INDEX(AC2987:AE2987,IF(COUNTA(AC2987:AE2987)=0,"",MAX((AC2987:AE2987&lt;&gt;"")*(COLUMN(AC2987:AE2987)-(COLUMN(AC2987)))))-1),"")</f>
        <v>46023</v>
      </c>
      <c r="K2987" s="16" t="n">
        <f aca="false" t="array" ref="K2987:K2987">IFERROR(INDEX(AC2987:AE2987,IF(COUNTA(AC2987:AE2987)=0,"",MAX((AC2987:AE2987&lt;&gt;"")*(COLUMN(AC2987:AE2987)-(COLUMN(AC2987)-1))))-1),"")</f>
        <v>46112</v>
      </c>
      <c r="L2987" s="17" t="str">
        <f aca="false" t="array" ref="L2987:L2987">IFERROR(INDEX(AC2987:AE2987,IF(COUNTA(AC2987:AE2987)=0,"",MAX((AC2987:AE2987&lt;&gt;"")*(COLUMN(AC2987:AE2987)-(COLUMN(AC2987)-2))))-1),"")</f>
        <v>ARCHIVED</v>
      </c>
      <c r="M2987" s="13" t="n">
        <f aca="true">K2987-TODAY()</f>
        <v>-212</v>
      </c>
      <c r="N2987" s="18" t="s">
        <v>728</v>
      </c>
      <c r="O2987" s="13" t="s">
        <v>1453</v>
      </c>
      <c r="P2987" s="27" t="n">
        <v>132300</v>
      </c>
      <c r="Q2987" s="47" t="s">
        <v>12535</v>
      </c>
      <c r="R2987" s="13" t="s">
        <v>1979</v>
      </c>
      <c r="S2987" s="16" t="n">
        <v>38966</v>
      </c>
      <c r="T2987" s="13" t="s">
        <v>40</v>
      </c>
      <c r="U2987" s="13" t="s">
        <v>12536</v>
      </c>
      <c r="V2987" s="13" t="s">
        <v>42</v>
      </c>
      <c r="W2987" s="13" t="s">
        <v>43</v>
      </c>
      <c r="X2987" s="21" t="n">
        <v>8133191139</v>
      </c>
      <c r="Y2987" s="22" t="str">
        <f aca="false">O2987</f>
        <v>Helper Produksi</v>
      </c>
      <c r="Z2987" s="13" t="str">
        <f aca="false">IFERROR(__xludf.dummyfunction("if(BJ2987="""","""",GOOGLETRANSLATE(BJ2987,""auto"",""en""))"),"Production Helper")</f>
        <v>Production Helper</v>
      </c>
      <c r="AA2987" s="23" t="str">
        <f aca="false">IF(C2987="","", CHOOSE(MONTH(C2987),"January","February","March","April","May","June","July","August","September","October","November","December")&amp;" "&amp;DAY(C2987)&amp;MID("thstndrdth",MIN(9,2*RIGHT(DAY(C2987))*(MOD(DAY(C2987)-11,100)&gt;2)+1),2)&amp;","&amp;TEXT(C2987," yyyy"))</f>
        <v>January 1st,2026</v>
      </c>
      <c r="AB2987" s="15" t="str">
        <f aca="true">IF(S2987="","",DATEDIF(S2987,TODAY(),"Y")&amp;" Tahun, "&amp;DATEDIF(S2987,TODAY(),"YM")&amp;" Bulan, "&amp;DATEDIF(S2987,TODAY(),"MD")&amp;" Hari")</f>
        <v>20 Tahun, 1 Bulan, 23 Hari</v>
      </c>
      <c r="AC2987" s="18" t="n">
        <v>46023</v>
      </c>
      <c r="AD2987" s="18" t="n">
        <f aca="false">EDATE(AC2987,3)-1</f>
        <v>46112</v>
      </c>
      <c r="AE2987" s="13" t="s">
        <v>44</v>
      </c>
    </row>
    <row r="2988" customFormat="false" ht="15" hidden="false" customHeight="true" outlineLevel="0" collapsed="false">
      <c r="A2988" s="12" t="n">
        <v>21515</v>
      </c>
      <c r="B2988" s="13" t="s">
        <v>12537</v>
      </c>
      <c r="C2988" s="16" t="n">
        <v>46023</v>
      </c>
      <c r="D2988" s="13" t="s">
        <v>885</v>
      </c>
      <c r="E2988" s="15" t="s">
        <v>47</v>
      </c>
      <c r="F2988" s="15" t="str">
        <f aca="false">IFERROR(__xludf.dummyfunction("XLOOKUP(AJ2988,IMPORTRANGE(""1XaInW9DU9nz21V0tYIfzFQ0He9kVQ_JF2mCXgZ3hqFA"",""REKAP ALL 2026 - Andika!G:G""),IMPORTRANGE(""1XaInW9DU9nz21V0tYIfzFQ0He9kVQ_JF2mCXgZ3hqFA"",""REKAP ALL 2026 - Andika!F:F""),"""",0)"),"26005751537")</f>
        <v>26005751537</v>
      </c>
      <c r="G2988" s="28" t="s">
        <v>57</v>
      </c>
      <c r="H2988" s="13" t="s">
        <v>35</v>
      </c>
      <c r="I2988" s="13" t="str">
        <f aca="false">IF(C2988=J2988,"NEW KONTRAK","RE-KONTRAK")</f>
        <v>NEW KONTRAK</v>
      </c>
      <c r="J2988" s="16" t="n">
        <f aca="false" t="array" ref="J2988:J2988">IFERROR(INDEX(AC2988:AE2988,IF(COUNTA(AC2988:AE2988)=0,"",MAX((AC2988:AE2988&lt;&gt;"")*(COLUMN(AC2988:AE2988)-(COLUMN(AC2988)))))-1),"")</f>
        <v>46023</v>
      </c>
      <c r="K2988" s="16" t="n">
        <f aca="false" t="array" ref="K2988:K2988">IFERROR(INDEX(AC2988:AE2988,IF(COUNTA(AC2988:AE2988)=0,"",MAX((AC2988:AE2988&lt;&gt;"")*(COLUMN(AC2988:AE2988)-(COLUMN(AC2988)-1))))-1),"")</f>
        <v>46112</v>
      </c>
      <c r="L2988" s="17" t="str">
        <f aca="false" t="array" ref="L2988:L2988">IFERROR(INDEX(AC2988:AE2988,IF(COUNTA(AC2988:AE2988)=0,"",MAX((AC2988:AE2988&lt;&gt;"")*(COLUMN(AC2988:AE2988)-(COLUMN(AC2988)-2))))-1),"")</f>
        <v>ARCHIVED</v>
      </c>
      <c r="M2988" s="13" t="n">
        <f aca="true">K2988-TODAY()</f>
        <v>-212</v>
      </c>
      <c r="N2988" s="18" t="s">
        <v>728</v>
      </c>
      <c r="O2988" s="13" t="s">
        <v>1453</v>
      </c>
      <c r="P2988" s="19" t="n">
        <v>132300</v>
      </c>
      <c r="Q2988" s="47" t="s">
        <v>12538</v>
      </c>
      <c r="R2988" s="13" t="s">
        <v>39</v>
      </c>
      <c r="S2988" s="16" t="n">
        <v>38316</v>
      </c>
      <c r="T2988" s="13" t="s">
        <v>40</v>
      </c>
      <c r="U2988" s="13" t="s">
        <v>12539</v>
      </c>
      <c r="V2988" s="13" t="s">
        <v>42</v>
      </c>
      <c r="W2988" s="13" t="s">
        <v>43</v>
      </c>
      <c r="X2988" s="21" t="n">
        <v>82137281727</v>
      </c>
      <c r="Y2988" s="22" t="str">
        <f aca="false">O2988</f>
        <v>Helper Produksi</v>
      </c>
      <c r="Z2988" s="13" t="str">
        <f aca="false">IFERROR(__xludf.dummyfunction("if(BJ2988="""","""",GOOGLETRANSLATE(BJ2988,""auto"",""en""))"),"Production Helper")</f>
        <v>Production Helper</v>
      </c>
      <c r="AA2988" s="23" t="str">
        <f aca="false">IF(C2988="","", CHOOSE(MONTH(C2988),"January","February","March","April","May","June","July","August","September","October","November","December")&amp;" "&amp;DAY(C2988)&amp;MID("thstndrdth",MIN(9,2*RIGHT(DAY(C2988))*(MOD(DAY(C2988)-11,100)&gt;2)+1),2)&amp;","&amp;TEXT(C2988," yyyy"))</f>
        <v>January 1st,2026</v>
      </c>
      <c r="AB2988" s="15" t="str">
        <f aca="true">IF(S2988="","",DATEDIF(S2988,TODAY(),"Y")&amp;" Tahun, "&amp;DATEDIF(S2988,TODAY(),"YM")&amp;" Bulan, "&amp;DATEDIF(S2988,TODAY(),"MD")&amp;" Hari")</f>
        <v>21 Tahun, 11 Bulan, 4 Hari</v>
      </c>
      <c r="AC2988" s="18" t="n">
        <v>46023</v>
      </c>
      <c r="AD2988" s="18" t="n">
        <f aca="false">EDATE(AC2988,3)-1</f>
        <v>46112</v>
      </c>
      <c r="AE2988" s="13" t="s">
        <v>44</v>
      </c>
    </row>
    <row r="2989" customFormat="false" ht="15" hidden="false" customHeight="true" outlineLevel="0" collapsed="false">
      <c r="A2989" s="12" t="n">
        <v>21516</v>
      </c>
      <c r="B2989" s="13" t="s">
        <v>12540</v>
      </c>
      <c r="C2989" s="16" t="n">
        <v>46023</v>
      </c>
      <c r="D2989" s="13" t="s">
        <v>885</v>
      </c>
      <c r="E2989" s="15" t="s">
        <v>47</v>
      </c>
      <c r="F2989" s="15" t="str">
        <f aca="false">IFERROR(__xludf.dummyfunction("XLOOKUP(AJ2989,IMPORTRANGE(""1XaInW9DU9nz21V0tYIfzFQ0He9kVQ_JF2mCXgZ3hqFA"",""REKAP ALL 2026 - Andika!G:G""),IMPORTRANGE(""1XaInW9DU9nz21V0tYIfzFQ0He9kVQ_JF2mCXgZ3hqFA"",""REKAP ALL 2026 - Andika!F:F""),"""",0)"),"26005751529")</f>
        <v>26005751529</v>
      </c>
      <c r="G2989" s="28" t="s">
        <v>57</v>
      </c>
      <c r="H2989" s="13" t="s">
        <v>35</v>
      </c>
      <c r="I2989" s="13" t="str">
        <f aca="false">IF(C2989=J2989,"NEW KONTRAK","RE-KONTRAK")</f>
        <v>NEW KONTRAK</v>
      </c>
      <c r="J2989" s="16" t="n">
        <f aca="false" t="array" ref="J2989:J2989">IFERROR(INDEX(AC2989:AE2989,IF(COUNTA(AC2989:AE2989)=0,"",MAX((AC2989:AE2989&lt;&gt;"")*(COLUMN(AC2989:AE2989)-(COLUMN(AC2989)))))-1),"")</f>
        <v>46023</v>
      </c>
      <c r="K2989" s="16" t="n">
        <f aca="false" t="array" ref="K2989:K2989">IFERROR(INDEX(AC2989:AE2989,IF(COUNTA(AC2989:AE2989)=0,"",MAX((AC2989:AE2989&lt;&gt;"")*(COLUMN(AC2989:AE2989)-(COLUMN(AC2989)-1))))-1),"")</f>
        <v>46112</v>
      </c>
      <c r="L2989" s="17" t="str">
        <f aca="false" t="array" ref="L2989:L2989">IFERROR(INDEX(AC2989:AE2989,IF(COUNTA(AC2989:AE2989)=0,"",MAX((AC2989:AE2989&lt;&gt;"")*(COLUMN(AC2989:AE2989)-(COLUMN(AC2989)-2))))-1),"")</f>
        <v>ARCHIVED</v>
      </c>
      <c r="M2989" s="13" t="n">
        <f aca="true">K2989-TODAY()</f>
        <v>-212</v>
      </c>
      <c r="N2989" s="18" t="s">
        <v>728</v>
      </c>
      <c r="O2989" s="13" t="s">
        <v>1453</v>
      </c>
      <c r="P2989" s="27" t="n">
        <v>132300</v>
      </c>
      <c r="Q2989" s="47" t="s">
        <v>12541</v>
      </c>
      <c r="R2989" s="13" t="s">
        <v>52</v>
      </c>
      <c r="S2989" s="16" t="n">
        <v>37936</v>
      </c>
      <c r="T2989" s="13" t="s">
        <v>40</v>
      </c>
      <c r="U2989" s="13" t="s">
        <v>12542</v>
      </c>
      <c r="V2989" s="13" t="s">
        <v>42</v>
      </c>
      <c r="W2989" s="13" t="s">
        <v>43</v>
      </c>
      <c r="X2989" s="21" t="n">
        <v>88991638187</v>
      </c>
      <c r="Y2989" s="22" t="str">
        <f aca="false">O2989</f>
        <v>Helper Produksi</v>
      </c>
      <c r="Z2989" s="13" t="str">
        <f aca="false">IFERROR(__xludf.dummyfunction("if(BJ2989="""","""",GOOGLETRANSLATE(BJ2989,""auto"",""en""))"),"Production Helper")</f>
        <v>Production Helper</v>
      </c>
      <c r="AA2989" s="23" t="str">
        <f aca="false">IF(C2989="","", CHOOSE(MONTH(C2989),"January","February","March","April","May","June","July","August","September","October","November","December")&amp;" "&amp;DAY(C2989)&amp;MID("thstndrdth",MIN(9,2*RIGHT(DAY(C2989))*(MOD(DAY(C2989)-11,100)&gt;2)+1),2)&amp;","&amp;TEXT(C2989," yyyy"))</f>
        <v>January 1st,2026</v>
      </c>
      <c r="AB2989" s="15" t="str">
        <f aca="true">IF(S2989="","",DATEDIF(S2989,TODAY(),"Y")&amp;" Tahun, "&amp;DATEDIF(S2989,TODAY(),"YM")&amp;" Bulan, "&amp;DATEDIF(S2989,TODAY(),"MD")&amp;" Hari")</f>
        <v>22 Tahun, 11 Bulan, 18 Hari</v>
      </c>
      <c r="AC2989" s="18" t="n">
        <v>46023</v>
      </c>
      <c r="AD2989" s="18" t="n">
        <f aca="false">EDATE(AC2989,3)-1</f>
        <v>46112</v>
      </c>
      <c r="AE2989" s="13" t="s">
        <v>44</v>
      </c>
    </row>
    <row r="2990" customFormat="false" ht="15" hidden="false" customHeight="true" outlineLevel="0" collapsed="false">
      <c r="A2990" s="12" t="n">
        <v>21517</v>
      </c>
      <c r="B2990" s="13" t="s">
        <v>12543</v>
      </c>
      <c r="C2990" s="16" t="n">
        <v>46023</v>
      </c>
      <c r="D2990" s="13" t="s">
        <v>885</v>
      </c>
      <c r="E2990" s="15" t="s">
        <v>102</v>
      </c>
      <c r="F2990" s="15" t="str">
        <f aca="false">IFERROR(__xludf.dummyfunction("XLOOKUP(AJ2990,IMPORTRANGE(""1XaInW9DU9nz21V0tYIfzFQ0He9kVQ_JF2mCXgZ3hqFA"",""REKAP ALL 2026 - Andika!G:G""),IMPORTRANGE(""1XaInW9DU9nz21V0tYIfzFQ0He9kVQ_JF2mCXgZ3hqFA"",""REKAP ALL 2026 - Andika!F:F""),"""",0)"),"26005751420")</f>
        <v>26005751420</v>
      </c>
      <c r="G2990" s="28" t="s">
        <v>57</v>
      </c>
      <c r="H2990" s="13" t="s">
        <v>35</v>
      </c>
      <c r="I2990" s="13" t="str">
        <f aca="false">IF(C2990=J2990,"NEW KONTRAK","RE-KONTRAK")</f>
        <v>NEW KONTRAK</v>
      </c>
      <c r="J2990" s="16" t="n">
        <f aca="false" t="array" ref="J2990:J2990">IFERROR(INDEX(AC2990:AE2990,IF(COUNTA(AC2990:AE2990)=0,"",MAX((AC2990:AE2990&lt;&gt;"")*(COLUMN(AC2990:AE2990)-(COLUMN(AC2990)))))-1),"")</f>
        <v>46023</v>
      </c>
      <c r="K2990" s="16" t="n">
        <f aca="false" t="array" ref="K2990:K2990">IFERROR(INDEX(AC2990:AE2990,IF(COUNTA(AC2990:AE2990)=0,"",MAX((AC2990:AE2990&lt;&gt;"")*(COLUMN(AC2990:AE2990)-(COLUMN(AC2990)-1))))-1),"")</f>
        <v>46112</v>
      </c>
      <c r="L2990" s="17" t="str">
        <f aca="false" t="array" ref="L2990:L2990">IFERROR(INDEX(AC2990:AE2990,IF(COUNTA(AC2990:AE2990)=0,"",MAX((AC2990:AE2990&lt;&gt;"")*(COLUMN(AC2990:AE2990)-(COLUMN(AC2990)-2))))-1),"")</f>
        <v>ARCHIVED</v>
      </c>
      <c r="M2990" s="13" t="n">
        <f aca="true">K2990-TODAY()</f>
        <v>-212</v>
      </c>
      <c r="N2990" s="18" t="s">
        <v>728</v>
      </c>
      <c r="O2990" s="13" t="s">
        <v>1453</v>
      </c>
      <c r="P2990" s="19" t="n">
        <v>132300</v>
      </c>
      <c r="Q2990" s="47" t="s">
        <v>12544</v>
      </c>
      <c r="R2990" s="13" t="s">
        <v>52</v>
      </c>
      <c r="S2990" s="16" t="n">
        <v>36354</v>
      </c>
      <c r="T2990" s="13" t="s">
        <v>40</v>
      </c>
      <c r="U2990" s="13" t="s">
        <v>12545</v>
      </c>
      <c r="V2990" s="13" t="s">
        <v>42</v>
      </c>
      <c r="W2990" s="13" t="s">
        <v>43</v>
      </c>
      <c r="X2990" s="21" t="n">
        <v>85732387734</v>
      </c>
      <c r="Y2990" s="22" t="str">
        <f aca="false">O2990</f>
        <v>Helper Produksi</v>
      </c>
      <c r="Z2990" s="13" t="str">
        <f aca="false">IFERROR(__xludf.dummyfunction("if(BJ2990="""","""",GOOGLETRANSLATE(BJ2990,""auto"",""en""))"),"Production Helper")</f>
        <v>Production Helper</v>
      </c>
      <c r="AA2990" s="23" t="str">
        <f aca="false">IF(C2990="","", CHOOSE(MONTH(C2990),"January","February","March","April","May","June","July","August","September","October","November","December")&amp;" "&amp;DAY(C2990)&amp;MID("thstndrdth",MIN(9,2*RIGHT(DAY(C2990))*(MOD(DAY(C2990)-11,100)&gt;2)+1),2)&amp;","&amp;TEXT(C2990," yyyy"))</f>
        <v>January 1st,2026</v>
      </c>
      <c r="AB2990" s="15" t="str">
        <f aca="true">IF(S2990="","",DATEDIF(S2990,TODAY(),"Y")&amp;" Tahun, "&amp;DATEDIF(S2990,TODAY(),"YM")&amp;" Bulan, "&amp;DATEDIF(S2990,TODAY(),"MD")&amp;" Hari")</f>
        <v>27 Tahun, 3 Bulan, 16 Hari</v>
      </c>
      <c r="AC2990" s="18" t="n">
        <v>46023</v>
      </c>
      <c r="AD2990" s="18" t="n">
        <f aca="false">EDATE(AC2990,3)-1</f>
        <v>46112</v>
      </c>
      <c r="AE2990" s="13" t="s">
        <v>44</v>
      </c>
    </row>
    <row r="2991" customFormat="false" ht="15" hidden="false" customHeight="true" outlineLevel="0" collapsed="false">
      <c r="A2991" s="12" t="n">
        <v>21529</v>
      </c>
      <c r="B2991" s="13" t="s">
        <v>12546</v>
      </c>
      <c r="C2991" s="16" t="n">
        <v>45999</v>
      </c>
      <c r="D2991" s="13" t="s">
        <v>8227</v>
      </c>
      <c r="E2991" s="15" t="s">
        <v>102</v>
      </c>
      <c r="F2991" s="24" t="s">
        <v>12547</v>
      </c>
      <c r="G2991" s="15" t="s">
        <v>2809</v>
      </c>
      <c r="H2991" s="13" t="s">
        <v>35</v>
      </c>
      <c r="I2991" s="13" t="str">
        <f aca="false">IF(C2991=J2991,"NEW KONTRAK","RE-KONTRAK")</f>
        <v>NEW KONTRAK</v>
      </c>
      <c r="J2991" s="16" t="n">
        <f aca="false" t="array" ref="J2991:J2991">IFERROR(INDEX(AC2991:AE2991,IF(COUNTA(AC2991:AE2991)=0,"",MAX((AC2991:AE2991&lt;&gt;"")*(COLUMN(AC2991:AE2991)-(COLUMN(AC2991)))))-1),"")</f>
        <v>45999</v>
      </c>
      <c r="K2991" s="16" t="n">
        <f aca="false" t="array" ref="K2991:K2991">IFERROR(INDEX(AC2991:AE2991,IF(COUNTA(AC2991:AE2991)=0,"",MAX((AC2991:AE2991&lt;&gt;"")*(COLUMN(AC2991:AE2991)-(COLUMN(AC2991)-1))))-1),"")</f>
        <v>46088</v>
      </c>
      <c r="L2991" s="17" t="str">
        <f aca="false" t="array" ref="L2991:L2991">IFERROR(INDEX(AC2991:AE2991,IF(COUNTA(AC2991:AE2991)=0,"",MAX((AC2991:AE2991&lt;&gt;"")*(COLUMN(AC2991:AE2991)-(COLUMN(AC2991)-2))))-1),"")</f>
        <v>ARCHIVED</v>
      </c>
      <c r="M2991" s="13" t="n">
        <f aca="true">K2991-TODAY()</f>
        <v>-236</v>
      </c>
      <c r="N2991" s="18" t="s">
        <v>728</v>
      </c>
      <c r="O2991" s="13" t="s">
        <v>12548</v>
      </c>
      <c r="P2991" s="19" t="n">
        <v>2750000</v>
      </c>
      <c r="Q2991" s="47" t="s">
        <v>12549</v>
      </c>
      <c r="R2991" s="13" t="s">
        <v>3774</v>
      </c>
      <c r="S2991" s="16" t="n">
        <v>36717</v>
      </c>
      <c r="T2991" s="28" t="s">
        <v>40</v>
      </c>
      <c r="U2991" s="13" t="s">
        <v>12550</v>
      </c>
      <c r="V2991" s="13" t="s">
        <v>99</v>
      </c>
      <c r="W2991" s="13" t="s">
        <v>43</v>
      </c>
      <c r="X2991" s="30" t="n">
        <v>85827177449</v>
      </c>
      <c r="Y2991" s="22" t="str">
        <f aca="false">O2991</f>
        <v>Admin Handling</v>
      </c>
      <c r="Z2991" s="13" t="str">
        <f aca="false">IFERROR(__xludf.dummyfunction("if(BJ2991="""","""",GOOGLETRANSLATE(BJ2991,""auto"",""en""))"),"Admin Handling")</f>
        <v>Admin Handling</v>
      </c>
      <c r="AA2991" s="23" t="str">
        <f aca="false">IF(C2991="","", CHOOSE(MONTH(C2991),"January","February","March","April","May","June","July","August","September","October","November","December")&amp;" "&amp;DAY(C2991)&amp;MID("thstndrdth",MIN(9,2*RIGHT(DAY(C2991))*(MOD(DAY(C2991)-11,100)&gt;2)+1),2)&amp;","&amp;TEXT(C2991," yyyy"))</f>
        <v>December 8th,2025</v>
      </c>
      <c r="AB2991" s="15" t="str">
        <f aca="true">IF(S2991="","",DATEDIF(S2991,TODAY(),"Y")&amp;" Tahun, "&amp;DATEDIF(S2991,TODAY(),"YM")&amp;" Bulan, "&amp;DATEDIF(S2991,TODAY(),"MD")&amp;" Hari")</f>
        <v>26 Tahun, 3 Bulan, 19 Hari</v>
      </c>
      <c r="AC2991" s="18" t="n">
        <v>45999</v>
      </c>
      <c r="AD2991" s="18" t="n">
        <f aca="false">EDATE(AC2991,3)-1</f>
        <v>46088</v>
      </c>
      <c r="AE2991" s="13" t="s">
        <v>44</v>
      </c>
    </row>
    <row r="2992" customFormat="false" ht="15" hidden="false" customHeight="true" outlineLevel="0" collapsed="false">
      <c r="A2992" s="12" t="n">
        <v>21535</v>
      </c>
      <c r="B2992" s="13" t="s">
        <v>12551</v>
      </c>
      <c r="C2992" s="16" t="n">
        <v>45988</v>
      </c>
      <c r="D2992" s="13" t="s">
        <v>4610</v>
      </c>
      <c r="E2992" s="15" t="s">
        <v>47</v>
      </c>
      <c r="F2992" s="15" t="str">
        <f aca="false">IFERROR(__xludf.dummyfunction("XLOOKUP(AJ2992,IMPORTRANGE(""1XaInW9DU9nz21V0tYIfzFQ0He9kVQ_JF2mCXgZ3hqFA"",""REKAP ALL 2026 - Andika!G:G""),IMPORTRANGE(""1XaInW9DU9nz21V0tYIfzFQ0He9kVQ_JF2mCXgZ3hqFA"",""REKAP ALL 2026 - Andika!F:F""),"""",0)"),"26005761783")</f>
        <v>26005761783</v>
      </c>
      <c r="G2992" s="13" t="s">
        <v>57</v>
      </c>
      <c r="H2992" s="13" t="s">
        <v>35</v>
      </c>
      <c r="I2992" s="13" t="str">
        <f aca="false">IF(C2992=J2992,"NEW KONTRAK","RE-KONTRAK")</f>
        <v>NEW KONTRAK</v>
      </c>
      <c r="J2992" s="16" t="n">
        <f aca="false" t="array" ref="J2992:J2992">IFERROR(INDEX(AC2992:AE2992,IF(COUNTA(AC2992:AE2992)=0,"",MAX((AC2992:AE2992&lt;&gt;"")*(COLUMN(AC2992:AE2992)-(COLUMN(AC2992)))))-1),"")</f>
        <v>45988</v>
      </c>
      <c r="K2992" s="16" t="n">
        <f aca="false" t="array" ref="K2992:K2992">IFERROR(INDEX(AC2992:AE2992,IF(COUNTA(AC2992:AE2992)=0,"",MAX((AC2992:AE2992&lt;&gt;"")*(COLUMN(AC2992:AE2992)-(COLUMN(AC2992)-1))))-1),"")</f>
        <v>46079</v>
      </c>
      <c r="L2992" s="17" t="str">
        <f aca="false" t="array" ref="L2992:L2992">IFERROR(INDEX(AC2992:AE2992,IF(COUNTA(AC2992:AE2992)=0,"",MAX((AC2992:AE2992&lt;&gt;"")*(COLUMN(AC2992:AE2992)-(COLUMN(AC2992)-2))))-1),"")</f>
        <v>ARCHIVED</v>
      </c>
      <c r="M2992" s="13" t="n">
        <f aca="true">K2992-TODAY()</f>
        <v>-245</v>
      </c>
      <c r="N2992" s="18" t="s">
        <v>36</v>
      </c>
      <c r="O2992" s="13" t="s">
        <v>4274</v>
      </c>
      <c r="P2992" s="27" t="n">
        <v>200000</v>
      </c>
      <c r="Q2992" s="20" t="s">
        <v>12552</v>
      </c>
      <c r="R2992" s="13" t="s">
        <v>148</v>
      </c>
      <c r="S2992" s="16" t="n">
        <v>32925</v>
      </c>
      <c r="T2992" s="28" t="s">
        <v>40</v>
      </c>
      <c r="U2992" s="13" t="s">
        <v>12553</v>
      </c>
      <c r="V2992" s="13" t="s">
        <v>42</v>
      </c>
      <c r="W2992" s="13" t="s">
        <v>54</v>
      </c>
      <c r="X2992" s="30" t="n">
        <v>81258147700</v>
      </c>
      <c r="Y2992" s="22" t="str">
        <f aca="false">O2992</f>
        <v>Operator Extruder</v>
      </c>
      <c r="Z2992" s="13" t="str">
        <f aca="false">IFERROR(__xludf.dummyfunction("if(BJ2992="""","""",GOOGLETRANSLATE(BJ2992,""auto"",""en""))"),"Operator Extruder")</f>
        <v>Operator Extruder</v>
      </c>
      <c r="AA2992" s="23" t="str">
        <f aca="false">IF(C2992="","", CHOOSE(MONTH(C2992),"January","February","March","April","May","June","July","August","September","October","November","December")&amp;" "&amp;DAY(C2992)&amp;MID("thstndrdth",MIN(9,2*RIGHT(DAY(C2992))*(MOD(DAY(C2992)-11,100)&gt;2)+1),2)&amp;","&amp;TEXT(C2992," yyyy"))</f>
        <v>November 27th,2025</v>
      </c>
      <c r="AB2992" s="15" t="str">
        <f aca="true">IF(S2992="","",DATEDIF(S2992,TODAY(),"Y")&amp;" Tahun, "&amp;DATEDIF(S2992,TODAY(),"YM")&amp;" Bulan, "&amp;DATEDIF(S2992,TODAY(),"MD")&amp;" Hari")</f>
        <v>36 Tahun, 8 Bulan, 8 Hari</v>
      </c>
      <c r="AC2992" s="18" t="n">
        <v>45988</v>
      </c>
      <c r="AD2992" s="18" t="n">
        <v>46079</v>
      </c>
      <c r="AE2992" s="13" t="s">
        <v>44</v>
      </c>
    </row>
    <row r="2993" customFormat="false" ht="15" hidden="false" customHeight="true" outlineLevel="0" collapsed="false">
      <c r="A2993" s="12" t="n">
        <v>22896</v>
      </c>
      <c r="B2993" s="13" t="s">
        <v>12554</v>
      </c>
      <c r="C2993" s="14" t="n">
        <v>46255</v>
      </c>
      <c r="D2993" s="13" t="s">
        <v>2033</v>
      </c>
      <c r="E2993" s="13" t="s">
        <v>47</v>
      </c>
      <c r="F2993" s="24" t="s">
        <v>12555</v>
      </c>
      <c r="G2993" s="13" t="s">
        <v>1452</v>
      </c>
      <c r="H2993" s="13" t="s">
        <v>35</v>
      </c>
      <c r="I2993" s="13" t="str">
        <f aca="false">IF(C2993=J2993,"NEW KONTRAK","RE-KONTRAK")</f>
        <v>NEW KONTRAK</v>
      </c>
      <c r="J2993" s="16" t="n">
        <f aca="false" t="array" ref="J2993:J2993">IFERROR(INDEX(AC2993:AE2993,IF(COUNTA(AC2993:AE2993)=0,"",MAX((AC2993:AE2993&lt;&gt;"")*(COLUMN(AC2993:AE2993)-(COLUMN(AC2993)))))-1),"")</f>
        <v>46255</v>
      </c>
      <c r="K2993" s="16" t="n">
        <f aca="false" t="array" ref="K2993:K2993">IFERROR(INDEX(AC2993:AE2993,IF(COUNTA(AC2993:AE2993)=0,"",MAX((AC2993:AE2993&lt;&gt;"")*(COLUMN(AC2993:AE2993)-(COLUMN(AC2993)-1))))-1),"")</f>
        <v>46402</v>
      </c>
      <c r="L2993" s="17" t="str">
        <f aca="false" t="array" ref="L2993:L2993">IFERROR(INDEX(AC2993:AE2993,IF(COUNTA(AC2993:AE2993)=0,"",MAX((AC2993:AE2993&lt;&gt;"")*(COLUMN(AC2993:AE2993)-(COLUMN(AC2993)-2))))-1),"")</f>
        <v>KEMBALI ONLINE</v>
      </c>
      <c r="M2993" s="13" t="n">
        <f aca="true">K2993-TODAY()</f>
        <v>78</v>
      </c>
      <c r="N2993" s="13" t="s">
        <v>3705</v>
      </c>
      <c r="O2993" s="13" t="s">
        <v>2384</v>
      </c>
      <c r="P2993" s="26" t="n">
        <v>2756501</v>
      </c>
      <c r="Q2993" s="20" t="s">
        <v>12556</v>
      </c>
      <c r="R2993" s="13" t="s">
        <v>3705</v>
      </c>
      <c r="S2993" s="25" t="n">
        <v>38803</v>
      </c>
      <c r="T2993" s="13" t="s">
        <v>108</v>
      </c>
      <c r="U2993" s="13" t="s">
        <v>12557</v>
      </c>
      <c r="V2993" s="13" t="s">
        <v>42</v>
      </c>
      <c r="W2993" s="13" t="s">
        <v>43</v>
      </c>
      <c r="X2993" s="21" t="n">
        <v>87827776382</v>
      </c>
      <c r="Y2993" s="22" t="str">
        <f aca="false">O2993</f>
        <v>SPG</v>
      </c>
      <c r="Z2993" s="13" t="str">
        <f aca="false">IFERROR(__xludf.dummyfunction("if(BJ2993="""","""",GOOGLETRANSLATE(BJ2993,""auto"",""en""))"),"SPG")</f>
        <v>SPG</v>
      </c>
      <c r="AA2993" s="23" t="str">
        <f aca="false">IF(C2993="","", CHOOSE(MONTH(C2993),"January","February","March","April","May","June","July","August","September","October","November","December")&amp;" "&amp;DAY(C2993)&amp;MID("thstndrdth",MIN(9,2*RIGHT(DAY(C2993))*(MOD(DAY(C2993)-11,100)&gt;2)+1),2)&amp;","&amp;TEXT(C2993," yyyy"))</f>
        <v>August 21st,2026</v>
      </c>
      <c r="AB2993" s="15" t="str">
        <f aca="true">IF(S2993="","",DATEDIF(S2993,TODAY(),"Y")&amp;" Tahun, "&amp;DATEDIF(S2993,TODAY(),"YM")&amp;" Bulan, "&amp;DATEDIF(S2993,TODAY(),"MD")&amp;" Hari")</f>
        <v>20 Tahun, 7 Bulan, 2 Hari</v>
      </c>
      <c r="AC2993" s="14" t="n">
        <v>46255</v>
      </c>
      <c r="AD2993" s="18" t="n">
        <v>46402</v>
      </c>
      <c r="AE2993" s="13" t="s">
        <v>2387</v>
      </c>
    </row>
    <row r="2994" customFormat="false" ht="15" hidden="false" customHeight="true" outlineLevel="0" collapsed="false">
      <c r="A2994" s="12" t="n">
        <v>22897</v>
      </c>
      <c r="B2994" s="13" t="s">
        <v>12558</v>
      </c>
      <c r="C2994" s="14" t="n">
        <v>46266</v>
      </c>
      <c r="D2994" s="13" t="s">
        <v>2033</v>
      </c>
      <c r="E2994" s="13" t="s">
        <v>47</v>
      </c>
      <c r="F2994" s="24" t="s">
        <v>12559</v>
      </c>
      <c r="G2994" s="13" t="s">
        <v>1452</v>
      </c>
      <c r="H2994" s="13" t="s">
        <v>35</v>
      </c>
      <c r="I2994" s="13" t="str">
        <f aca="false">IF(C2994=J2994,"NEW KONTRAK","RE-KONTRAK")</f>
        <v>NEW KONTRAK</v>
      </c>
      <c r="J2994" s="16" t="n">
        <f aca="false" t="array" ref="J2994:J2994">IFERROR(INDEX(AC2994:AE2994,IF(COUNTA(AC2994:AE2994)=0,"",MAX((AC2994:AE2994&lt;&gt;"")*(COLUMN(AC2994:AE2994)-(COLUMN(AC2994)))))-1),"")</f>
        <v>46266</v>
      </c>
      <c r="K2994" s="16" t="n">
        <f aca="false" t="array" ref="K2994:K2994">IFERROR(INDEX(AC2994:AE2994,IF(COUNTA(AC2994:AE2994)=0,"",MAX((AC2994:AE2994&lt;&gt;"")*(COLUMN(AC2994:AE2994)-(COLUMN(AC2994)-1))))-1),"")</f>
        <v>46402</v>
      </c>
      <c r="L2994" s="17" t="str">
        <f aca="false" t="array" ref="L2994:L2994">IFERROR(INDEX(AC2994:AE2994,IF(COUNTA(AC2994:AE2994)=0,"",MAX((AC2994:AE2994&lt;&gt;"")*(COLUMN(AC2994:AE2994)-(COLUMN(AC2994)-2))))-1),"")</f>
        <v>KEMBALI ONLINE</v>
      </c>
      <c r="M2994" s="13" t="n">
        <f aca="true">K2994-TODAY()</f>
        <v>78</v>
      </c>
      <c r="N2994" s="13" t="s">
        <v>4498</v>
      </c>
      <c r="O2994" s="13" t="s">
        <v>2384</v>
      </c>
      <c r="P2994" s="26" t="n">
        <v>2633700</v>
      </c>
      <c r="Q2994" s="20" t="s">
        <v>12560</v>
      </c>
      <c r="R2994" s="13" t="s">
        <v>4498</v>
      </c>
      <c r="S2994" s="25" t="n">
        <v>39631</v>
      </c>
      <c r="T2994" s="13" t="s">
        <v>108</v>
      </c>
      <c r="U2994" s="13" t="s">
        <v>12561</v>
      </c>
      <c r="V2994" s="13" t="s">
        <v>42</v>
      </c>
      <c r="W2994" s="13" t="s">
        <v>43</v>
      </c>
      <c r="X2994" s="21" t="n">
        <v>85877551776</v>
      </c>
      <c r="Y2994" s="22" t="str">
        <f aca="false">O2994</f>
        <v>SPG</v>
      </c>
      <c r="Z2994" s="13" t="str">
        <f aca="false">IFERROR(__xludf.dummyfunction("if(BJ2994="""","""",GOOGLETRANSLATE(BJ2994,""auto"",""en""))"),"SPG")</f>
        <v>SPG</v>
      </c>
      <c r="AA2994" s="23" t="str">
        <f aca="false">IF(C2994="","", CHOOSE(MONTH(C2994),"January","February","March","April","May","June","July","August","September","October","November","December")&amp;" "&amp;DAY(C2994)&amp;MID("thstndrdth",MIN(9,2*RIGHT(DAY(C2994))*(MOD(DAY(C2994)-11,100)&gt;2)+1),2)&amp;","&amp;TEXT(C2994," yyyy"))</f>
        <v>September 1st,2026</v>
      </c>
      <c r="AB2994" s="15" t="str">
        <f aca="true">IF(S2994="","",DATEDIF(S2994,TODAY(),"Y")&amp;" Tahun, "&amp;DATEDIF(S2994,TODAY(),"YM")&amp;" Bulan, "&amp;DATEDIF(S2994,TODAY(),"MD")&amp;" Hari")</f>
        <v>18 Tahun, 3 Bulan, 27 Hari</v>
      </c>
      <c r="AC2994" s="14" t="n">
        <v>46266</v>
      </c>
      <c r="AD2994" s="18" t="n">
        <v>46402</v>
      </c>
      <c r="AE2994" s="13" t="s">
        <v>2387</v>
      </c>
    </row>
    <row r="2995" customFormat="false" ht="15" hidden="false" customHeight="true" outlineLevel="0" collapsed="false">
      <c r="A2995" s="12" t="n">
        <v>21538</v>
      </c>
      <c r="B2995" s="13" t="s">
        <v>12562</v>
      </c>
      <c r="C2995" s="16" t="n">
        <v>45964</v>
      </c>
      <c r="D2995" s="13" t="s">
        <v>5892</v>
      </c>
      <c r="E2995" s="15" t="s">
        <v>102</v>
      </c>
      <c r="F2995" s="24" t="s">
        <v>12563</v>
      </c>
      <c r="G2995" s="13" t="s">
        <v>1127</v>
      </c>
      <c r="H2995" s="13" t="s">
        <v>35</v>
      </c>
      <c r="I2995" s="13" t="str">
        <f aca="false">IF(C2995=J2995,"NEW KONTRAK","RE-KONTRAK")</f>
        <v>NEW KONTRAK</v>
      </c>
      <c r="J2995" s="16" t="n">
        <f aca="false" t="array" ref="J2995:J2995">IFERROR(INDEX(AC2995:AE2995,IF(COUNTA(AC2995:AE2995)=0,"",MAX((AC2995:AE2995&lt;&gt;"")*(COLUMN(AC2995:AE2995)-(COLUMN(AC2995)))))-1),"")</f>
        <v>45964</v>
      </c>
      <c r="K2995" s="16" t="n">
        <f aca="false" t="array" ref="K2995:K2995">IFERROR(INDEX(AC2995:AE2995,IF(COUNTA(AC2995:AE2995)=0,"",MAX((AC2995:AE2995&lt;&gt;"")*(COLUMN(AC2995:AE2995)-(COLUMN(AC2995)-1))))-1),"")</f>
        <v>46055</v>
      </c>
      <c r="L2995" s="17" t="str">
        <f aca="false" t="array" ref="L2995:L2995">IFERROR(INDEX(AC2995:AE2995,IF(COUNTA(AC2995:AE2995)=0,"",MAX((AC2995:AE2995&lt;&gt;"")*(COLUMN(AC2995:AE2995)-(COLUMN(AC2995)-2))))-1),"")</f>
        <v>ARCHIVED</v>
      </c>
      <c r="M2995" s="13" t="n">
        <f aca="true">K2995-TODAY()</f>
        <v>-269</v>
      </c>
      <c r="N2995" s="18" t="s">
        <v>105</v>
      </c>
      <c r="O2995" s="13" t="s">
        <v>6285</v>
      </c>
      <c r="P2995" s="19" t="n">
        <v>4060000</v>
      </c>
      <c r="Q2995" s="47" t="s">
        <v>12564</v>
      </c>
      <c r="R2995" s="13" t="s">
        <v>78</v>
      </c>
      <c r="S2995" s="16" t="n">
        <v>35911</v>
      </c>
      <c r="T2995" s="28" t="s">
        <v>40</v>
      </c>
      <c r="U2995" s="13" t="s">
        <v>12565</v>
      </c>
      <c r="V2995" s="13" t="s">
        <v>42</v>
      </c>
      <c r="W2995" s="13" t="s">
        <v>54</v>
      </c>
      <c r="X2995" s="21" t="n">
        <v>87894040312</v>
      </c>
      <c r="Y2995" s="22" t="str">
        <f aca="false">O2995</f>
        <v>Operator Reach Truck</v>
      </c>
      <c r="Z2995" s="13" t="str">
        <f aca="false">IFERROR(__xludf.dummyfunction("if(BJ2995="""","""",GOOGLETRANSLATE(BJ2995,""auto"",""en""))"),"Operator Reach Truck")</f>
        <v>Operator Reach Truck</v>
      </c>
      <c r="AA2995" s="23" t="str">
        <f aca="false">IF(C2995="","", CHOOSE(MONTH(C2995),"January","February","March","April","May","June","July","August","September","October","November","December")&amp;" "&amp;DAY(C2995)&amp;MID("thstndrdth",MIN(9,2*RIGHT(DAY(C2995))*(MOD(DAY(C2995)-11,100)&gt;2)+1),2)&amp;","&amp;TEXT(C2995," yyyy"))</f>
        <v>November 3rd,2025</v>
      </c>
      <c r="AB2995" s="15" t="str">
        <f aca="true">IF(S2995="","",DATEDIF(S2995,TODAY(),"Y")&amp;" Tahun, "&amp;DATEDIF(S2995,TODAY(),"YM")&amp;" Bulan, "&amp;DATEDIF(S2995,TODAY(),"MD")&amp;" Hari")</f>
        <v>28 Tahun, 6 Bulan, 3 Hari</v>
      </c>
      <c r="AC2995" s="18" t="n">
        <v>45964</v>
      </c>
      <c r="AD2995" s="18" t="n">
        <f aca="false">EDATE(AC2995,3)-1</f>
        <v>46055</v>
      </c>
      <c r="AE2995" s="13" t="s">
        <v>44</v>
      </c>
    </row>
    <row r="2996" customFormat="false" ht="15" hidden="false" customHeight="true" outlineLevel="0" collapsed="false">
      <c r="A2996" s="12" t="n">
        <v>21539</v>
      </c>
      <c r="B2996" s="13" t="s">
        <v>12566</v>
      </c>
      <c r="C2996" s="16" t="n">
        <v>45970</v>
      </c>
      <c r="D2996" s="13" t="s">
        <v>5892</v>
      </c>
      <c r="E2996" s="15" t="s">
        <v>47</v>
      </c>
      <c r="F2996" s="15" t="str">
        <f aca="false">IFERROR(__xludf.dummyfunction("XLOOKUP(AJ2996,IMPORTRANGE(""1XaInW9DU9nz21V0tYIfzFQ0He9kVQ_JF2mCXgZ3hqFA"",""REKAP ALL 2026 - Andika!G:G""),IMPORTRANGE(""1XaInW9DU9nz21V0tYIfzFQ0He9kVQ_JF2mCXgZ3hqFA"",""REKAP ALL 2026 - Andika!F:F""),"""",0)"),"26005762351")</f>
        <v>26005762351</v>
      </c>
      <c r="G2996" s="13" t="s">
        <v>1127</v>
      </c>
      <c r="H2996" s="13" t="s">
        <v>35</v>
      </c>
      <c r="I2996" s="13" t="str">
        <f aca="false">IF(C2996=J2996,"NEW KONTRAK","RE-KONTRAK")</f>
        <v>NEW KONTRAK</v>
      </c>
      <c r="J2996" s="16" t="n">
        <f aca="false" t="array" ref="J2996:J2996">IFERROR(INDEX(AC2996:AE2996,IF(COUNTA(AC2996:AE2996)=0,"",MAX((AC2996:AE2996&lt;&gt;"")*(COLUMN(AC2996:AE2996)-(COLUMN(AC2996)))))-1),"")</f>
        <v>45970</v>
      </c>
      <c r="K2996" s="16" t="n">
        <f aca="false" t="array" ref="K2996:K2996">IFERROR(INDEX(AC2996:AE2996,IF(COUNTA(AC2996:AE2996)=0,"",MAX((AC2996:AE2996&lt;&gt;"")*(COLUMN(AC2996:AE2996)-(COLUMN(AC2996)-1))))-1),"")</f>
        <v>46061</v>
      </c>
      <c r="L2996" s="17" t="str">
        <f aca="false" t="array" ref="L2996:L2996">IFERROR(INDEX(AC2996:AE2996,IF(COUNTA(AC2996:AE2996)=0,"",MAX((AC2996:AE2996&lt;&gt;"")*(COLUMN(AC2996:AE2996)-(COLUMN(AC2996)-2))))-1),"")</f>
        <v>KEMBALI</v>
      </c>
      <c r="M2996" s="13" t="n">
        <f aca="true">K2996-TODAY()</f>
        <v>-263</v>
      </c>
      <c r="N2996" s="18" t="s">
        <v>105</v>
      </c>
      <c r="O2996" s="13" t="s">
        <v>6285</v>
      </c>
      <c r="P2996" s="19" t="n">
        <v>4060000</v>
      </c>
      <c r="Q2996" s="47" t="s">
        <v>12567</v>
      </c>
      <c r="R2996" s="13" t="s">
        <v>324</v>
      </c>
      <c r="S2996" s="16" t="n">
        <v>35663</v>
      </c>
      <c r="T2996" s="28" t="s">
        <v>40</v>
      </c>
      <c r="U2996" s="13" t="s">
        <v>12568</v>
      </c>
      <c r="V2996" s="13" t="s">
        <v>42</v>
      </c>
      <c r="W2996" s="13" t="s">
        <v>43</v>
      </c>
      <c r="X2996" s="21" t="n">
        <v>87859361343</v>
      </c>
      <c r="Y2996" s="22" t="str">
        <f aca="false">O2996</f>
        <v>Operator Reach Truck</v>
      </c>
      <c r="Z2996" s="13" t="str">
        <f aca="false">IFERROR(__xludf.dummyfunction("if(BJ2996="""","""",GOOGLETRANSLATE(BJ2996,""auto"",""en""))"),"Operator Reach Truck")</f>
        <v>Operator Reach Truck</v>
      </c>
      <c r="AA2996" s="23" t="str">
        <f aca="false">IF(C2996="","", CHOOSE(MONTH(C2996),"January","February","March","April","May","June","July","August","September","October","November","December")&amp;" "&amp;DAY(C2996)&amp;MID("thstndrdth",MIN(9,2*RIGHT(DAY(C2996))*(MOD(DAY(C2996)-11,100)&gt;2)+1),2)&amp;","&amp;TEXT(C2996," yyyy"))</f>
        <v>November 9th,2025</v>
      </c>
      <c r="AB2996" s="15" t="str">
        <f aca="true">IF(S2996="","",DATEDIF(S2996,TODAY(),"Y")&amp;" Tahun, "&amp;DATEDIF(S2996,TODAY(),"YM")&amp;" Bulan, "&amp;DATEDIF(S2996,TODAY(),"MD")&amp;" Hari")</f>
        <v>29 Tahun, 2 Bulan, 8 Hari</v>
      </c>
      <c r="AC2996" s="18" t="n">
        <v>45970</v>
      </c>
      <c r="AD2996" s="18" t="n">
        <f aca="false">EDATE(AC2996,3)-1</f>
        <v>46061</v>
      </c>
      <c r="AE2996" s="13" t="s">
        <v>397</v>
      </c>
    </row>
    <row r="2997" customFormat="false" ht="15" hidden="false" customHeight="true" outlineLevel="0" collapsed="false">
      <c r="A2997" s="12" t="n">
        <v>21540</v>
      </c>
      <c r="B2997" s="13" t="s">
        <v>12569</v>
      </c>
      <c r="C2997" s="16" t="n">
        <v>45973</v>
      </c>
      <c r="D2997" s="13" t="s">
        <v>5892</v>
      </c>
      <c r="E2997" s="15" t="s">
        <v>47</v>
      </c>
      <c r="F2997" s="15" t="str">
        <f aca="false">IFERROR(__xludf.dummyfunction("XLOOKUP(AJ2997,IMPORTRANGE(""1XaInW9DU9nz21V0tYIfzFQ0He9kVQ_JF2mCXgZ3hqFA"",""REKAP ALL 2026 - Andika!G:G""),IMPORTRANGE(""1XaInW9DU9nz21V0tYIfzFQ0He9kVQ_JF2mCXgZ3hqFA"",""REKAP ALL 2026 - Andika!F:F""),"""",0)"),"26005762369")</f>
        <v>26005762369</v>
      </c>
      <c r="G2997" s="13" t="s">
        <v>1127</v>
      </c>
      <c r="H2997" s="13" t="s">
        <v>35</v>
      </c>
      <c r="I2997" s="13" t="str">
        <f aca="false">IF(C2997=J2997,"NEW KONTRAK","RE-KONTRAK")</f>
        <v>NEW KONTRAK</v>
      </c>
      <c r="J2997" s="16" t="n">
        <f aca="false" t="array" ref="J2997:J2997">IFERROR(INDEX(AC2997:AE2997,IF(COUNTA(AC2997:AE2997)=0,"",MAX((AC2997:AE2997&lt;&gt;"")*(COLUMN(AC2997:AE2997)-(COLUMN(AC2997)))))-1),"")</f>
        <v>45973</v>
      </c>
      <c r="K2997" s="16" t="n">
        <f aca="false" t="array" ref="K2997:K2997">IFERROR(INDEX(AC2997:AE2997,IF(COUNTA(AC2997:AE2997)=0,"",MAX((AC2997:AE2997&lt;&gt;"")*(COLUMN(AC2997:AE2997)-(COLUMN(AC2997)-1))))-1),"")</f>
        <v>46064</v>
      </c>
      <c r="L2997" s="17" t="str">
        <f aca="false" t="array" ref="L2997:L2997">IFERROR(INDEX(AC2997:AE2997,IF(COUNTA(AC2997:AE2997)=0,"",MAX((AC2997:AE2997&lt;&gt;"")*(COLUMN(AC2997:AE2997)-(COLUMN(AC2997)-2))))-1),"")</f>
        <v>ARCHIVED</v>
      </c>
      <c r="M2997" s="13" t="n">
        <f aca="true">K2997-TODAY()</f>
        <v>-260</v>
      </c>
      <c r="N2997" s="18" t="s">
        <v>105</v>
      </c>
      <c r="O2997" s="13" t="s">
        <v>5894</v>
      </c>
      <c r="P2997" s="19" t="n">
        <v>4200000</v>
      </c>
      <c r="Q2997" s="47" t="s">
        <v>12570</v>
      </c>
      <c r="R2997" s="13" t="s">
        <v>232</v>
      </c>
      <c r="S2997" s="16" t="n">
        <v>31428</v>
      </c>
      <c r="T2997" s="28" t="s">
        <v>40</v>
      </c>
      <c r="U2997" s="13" t="s">
        <v>12571</v>
      </c>
      <c r="V2997" s="13" t="s">
        <v>42</v>
      </c>
      <c r="W2997" s="13" t="s">
        <v>54</v>
      </c>
      <c r="X2997" s="30" t="n">
        <v>87841199867</v>
      </c>
      <c r="Y2997" s="22" t="str">
        <f aca="false">O2997</f>
        <v>Checker</v>
      </c>
      <c r="Z2997" s="13" t="str">
        <f aca="false">IFERROR(__xludf.dummyfunction("if(BJ2997="""","""",GOOGLETRANSLATE(BJ2997,""auto"",""en""))"),"Checker")</f>
        <v>Checker</v>
      </c>
      <c r="AA2997" s="23" t="str">
        <f aca="false">IF(C2997="","", CHOOSE(MONTH(C2997),"January","February","March","April","May","June","July","August","September","October","November","December")&amp;" "&amp;DAY(C2997)&amp;MID("thstndrdth",MIN(9,2*RIGHT(DAY(C2997))*(MOD(DAY(C2997)-11,100)&gt;2)+1),2)&amp;","&amp;TEXT(C2997," yyyy"))</f>
        <v>November 12th,2025</v>
      </c>
      <c r="AB2997" s="15" t="str">
        <f aca="true">IF(S2997="","",DATEDIF(S2997,TODAY(),"Y")&amp;" Tahun, "&amp;DATEDIF(S2997,TODAY(),"YM")&amp;" Bulan, "&amp;DATEDIF(S2997,TODAY(),"MD")&amp;" Hari")</f>
        <v>40 Tahun, 9 Bulan, 13 Hari</v>
      </c>
      <c r="AC2997" s="18" t="n">
        <v>45973</v>
      </c>
      <c r="AD2997" s="18" t="n">
        <f aca="false">EDATE(AC2997,3)-1</f>
        <v>46064</v>
      </c>
      <c r="AE2997" s="13" t="s">
        <v>44</v>
      </c>
    </row>
    <row r="2998" customFormat="false" ht="15" hidden="false" customHeight="true" outlineLevel="0" collapsed="false">
      <c r="A2998" s="12" t="n">
        <v>21541</v>
      </c>
      <c r="B2998" s="13" t="s">
        <v>12572</v>
      </c>
      <c r="C2998" s="16" t="n">
        <v>45983</v>
      </c>
      <c r="D2998" s="13" t="s">
        <v>5892</v>
      </c>
      <c r="E2998" s="15" t="s">
        <v>102</v>
      </c>
      <c r="F2998" s="24" t="s">
        <v>12573</v>
      </c>
      <c r="G2998" s="13" t="s">
        <v>57</v>
      </c>
      <c r="H2998" s="13" t="s">
        <v>35</v>
      </c>
      <c r="I2998" s="13" t="str">
        <f aca="false">IF(C2998=J2998,"NEW KONTRAK","RE-KONTRAK")</f>
        <v>NEW KONTRAK</v>
      </c>
      <c r="J2998" s="16" t="n">
        <f aca="false" t="array" ref="J2998:J2998">IFERROR(INDEX(AC2998:AE2998,IF(COUNTA(AC2998:AE2998)=0,"",MAX((AC2998:AE2998&lt;&gt;"")*(COLUMN(AC2998:AE2998)-(COLUMN(AC2998)))))-1),"")</f>
        <v>45983</v>
      </c>
      <c r="K2998" s="16" t="n">
        <f aca="false" t="array" ref="K2998:K2998">IFERROR(INDEX(AC2998:AE2998,IF(COUNTA(AC2998:AE2998)=0,"",MAX((AC2998:AE2998&lt;&gt;"")*(COLUMN(AC2998:AE2998)-(COLUMN(AC2998)-1))))-1),"")</f>
        <v>46074</v>
      </c>
      <c r="L2998" s="17" t="str">
        <f aca="false" t="array" ref="L2998:L2998">IFERROR(INDEX(AC2998:AE2998,IF(COUNTA(AC2998:AE2998)=0,"",MAX((AC2998:AE2998&lt;&gt;"")*(COLUMN(AC2998:AE2998)-(COLUMN(AC2998)-2))))-1),"")</f>
        <v>ARCHIVED</v>
      </c>
      <c r="M2998" s="13" t="n">
        <f aca="true">K2998-TODAY()</f>
        <v>-250</v>
      </c>
      <c r="N2998" s="18" t="s">
        <v>105</v>
      </c>
      <c r="O2998" s="13" t="s">
        <v>719</v>
      </c>
      <c r="P2998" s="19" t="n">
        <v>100000</v>
      </c>
      <c r="Q2998" s="47" t="s">
        <v>12574</v>
      </c>
      <c r="R2998" s="13" t="s">
        <v>52</v>
      </c>
      <c r="S2998" s="16" t="n">
        <v>37235</v>
      </c>
      <c r="T2998" s="28" t="s">
        <v>40</v>
      </c>
      <c r="U2998" s="13" t="s">
        <v>12575</v>
      </c>
      <c r="V2998" s="13" t="s">
        <v>42</v>
      </c>
      <c r="W2998" s="13" t="s">
        <v>43</v>
      </c>
      <c r="X2998" s="21" t="n">
        <v>88231925672</v>
      </c>
      <c r="Y2998" s="22" t="str">
        <f aca="false">O2998</f>
        <v>Cleaning Service</v>
      </c>
      <c r="Z2998" s="13" t="str">
        <f aca="false">IFERROR(__xludf.dummyfunction("if(BJ2998="""","""",GOOGLETRANSLATE(BJ2998,""auto"",""en""))"),"Cleaning Service")</f>
        <v>Cleaning Service</v>
      </c>
      <c r="AA2998" s="23" t="str">
        <f aca="false">IF(C2998="","", CHOOSE(MONTH(C2998),"January","February","March","April","May","June","July","August","September","October","November","December")&amp;" "&amp;DAY(C2998)&amp;MID("thstndrdth",MIN(9,2*RIGHT(DAY(C2998))*(MOD(DAY(C2998)-11,100)&gt;2)+1),2)&amp;","&amp;TEXT(C2998," yyyy"))</f>
        <v>November 22nd,2025</v>
      </c>
      <c r="AB2998" s="15" t="str">
        <f aca="true">IF(S2998="","",DATEDIF(S2998,TODAY(),"Y")&amp;" Tahun, "&amp;DATEDIF(S2998,TODAY(),"YM")&amp;" Bulan, "&amp;DATEDIF(S2998,TODAY(),"MD")&amp;" Hari")</f>
        <v>24 Tahun, 10 Bulan, 19 Hari</v>
      </c>
      <c r="AC2998" s="18" t="n">
        <v>45983</v>
      </c>
      <c r="AD2998" s="18" t="n">
        <f aca="false">EDATE(AC2998,3)-1</f>
        <v>46074</v>
      </c>
      <c r="AE2998" s="13" t="s">
        <v>44</v>
      </c>
    </row>
    <row r="2999" customFormat="false" ht="15" hidden="false" customHeight="true" outlineLevel="0" collapsed="false">
      <c r="A2999" s="12" t="n">
        <v>21542</v>
      </c>
      <c r="B2999" s="13" t="s">
        <v>12576</v>
      </c>
      <c r="C2999" s="16" t="n">
        <v>45999</v>
      </c>
      <c r="D2999" s="13" t="s">
        <v>5892</v>
      </c>
      <c r="E2999" s="15" t="s">
        <v>33</v>
      </c>
      <c r="F2999" s="24" t="s">
        <v>12577</v>
      </c>
      <c r="G2999" s="13" t="s">
        <v>1127</v>
      </c>
      <c r="H2999" s="13" t="s">
        <v>35</v>
      </c>
      <c r="I2999" s="13" t="str">
        <f aca="false">IF(C2999=J2999,"NEW KONTRAK","RE-KONTRAK")</f>
        <v>NEW KONTRAK</v>
      </c>
      <c r="J2999" s="16" t="n">
        <f aca="false" t="array" ref="J2999:J2999">IFERROR(INDEX(AC2999:AE2999,IF(COUNTA(AC2999:AE2999)=0,"",MAX((AC2999:AE2999&lt;&gt;"")*(COLUMN(AC2999:AE2999)-(COLUMN(AC2999)))))-1),"")</f>
        <v>45999</v>
      </c>
      <c r="K2999" s="16" t="n">
        <f aca="false" t="array" ref="K2999:K2999">IFERROR(INDEX(AC2999:AE2999,IF(COUNTA(AC2999:AE2999)=0,"",MAX((AC2999:AE2999&lt;&gt;"")*(COLUMN(AC2999:AE2999)-(COLUMN(AC2999)-1))))-1),"")</f>
        <v>46088</v>
      </c>
      <c r="L2999" s="17" t="str">
        <f aca="false" t="array" ref="L2999:L2999">IFERROR(INDEX(AC2999:AE2999,IF(COUNTA(AC2999:AE2999)=0,"",MAX((AC2999:AE2999&lt;&gt;"")*(COLUMN(AC2999:AE2999)-(COLUMN(AC2999)-2))))-1),"")</f>
        <v>ARCHIVED</v>
      </c>
      <c r="M2999" s="13" t="n">
        <f aca="true">K2999-TODAY()</f>
        <v>-236</v>
      </c>
      <c r="N2999" s="18" t="s">
        <v>105</v>
      </c>
      <c r="O2999" s="13" t="s">
        <v>12578</v>
      </c>
      <c r="P2999" s="19" t="n">
        <v>4140000</v>
      </c>
      <c r="Q2999" s="47" t="s">
        <v>12579</v>
      </c>
      <c r="R2999" s="13" t="s">
        <v>148</v>
      </c>
      <c r="S2999" s="16" t="n">
        <v>35908</v>
      </c>
      <c r="T2999" s="28" t="s">
        <v>40</v>
      </c>
      <c r="U2999" s="13" t="s">
        <v>12580</v>
      </c>
      <c r="V2999" s="13" t="s">
        <v>42</v>
      </c>
      <c r="W2999" s="13" t="s">
        <v>43</v>
      </c>
      <c r="X2999" s="21" t="n">
        <v>85604683816</v>
      </c>
      <c r="Y2999" s="22" t="str">
        <f aca="false">O2999</f>
        <v>Operator Checker</v>
      </c>
      <c r="Z2999" s="13" t="str">
        <f aca="false">IFERROR(__xludf.dummyfunction("if(BJ2999="""","""",GOOGLETRANSLATE(BJ2999,""auto"",""en""))"),"Operator Checker")</f>
        <v>Operator Checker</v>
      </c>
      <c r="AA2999" s="23" t="str">
        <f aca="false">IF(C2999="","", CHOOSE(MONTH(C2999),"January","February","March","April","May","June","July","August","September","October","November","December")&amp;" "&amp;DAY(C2999)&amp;MID("thstndrdth",MIN(9,2*RIGHT(DAY(C2999))*(MOD(DAY(C2999)-11,100)&gt;2)+1),2)&amp;","&amp;TEXT(C2999," yyyy"))</f>
        <v>December 8th,2025</v>
      </c>
      <c r="AB2999" s="15" t="str">
        <f aca="true">IF(S2999="","",DATEDIF(S2999,TODAY(),"Y")&amp;" Tahun, "&amp;DATEDIF(S2999,TODAY(),"YM")&amp;" Bulan, "&amp;DATEDIF(S2999,TODAY(),"MD")&amp;" Hari")</f>
        <v>28 Tahun, 6 Bulan, 6 Hari</v>
      </c>
      <c r="AC2999" s="18" t="n">
        <v>45999</v>
      </c>
      <c r="AD2999" s="18" t="n">
        <f aca="false">EDATE(AC2999,3)-1</f>
        <v>46088</v>
      </c>
      <c r="AE2999" s="13" t="s">
        <v>44</v>
      </c>
    </row>
    <row r="3000" customFormat="false" ht="15" hidden="false" customHeight="true" outlineLevel="0" collapsed="false">
      <c r="A3000" s="12" t="n">
        <v>21543</v>
      </c>
      <c r="B3000" s="13" t="s">
        <v>12581</v>
      </c>
      <c r="C3000" s="16" t="n">
        <v>46000</v>
      </c>
      <c r="D3000" s="13" t="s">
        <v>5892</v>
      </c>
      <c r="E3000" s="15" t="s">
        <v>536</v>
      </c>
      <c r="F3000" s="24" t="s">
        <v>12582</v>
      </c>
      <c r="G3000" s="13" t="s">
        <v>1127</v>
      </c>
      <c r="H3000" s="13" t="s">
        <v>35</v>
      </c>
      <c r="I3000" s="13" t="str">
        <f aca="false">IF(C3000=J3000,"NEW KONTRAK","RE-KONTRAK")</f>
        <v>NEW KONTRAK</v>
      </c>
      <c r="J3000" s="16" t="n">
        <f aca="false" t="array" ref="J3000:J3000">IFERROR(INDEX(AC3000:AE3000,IF(COUNTA(AC3000:AE3000)=0,"",MAX((AC3000:AE3000&lt;&gt;"")*(COLUMN(AC3000:AE3000)-(COLUMN(AC3000)))))-1),"")</f>
        <v>46000</v>
      </c>
      <c r="K3000" s="16" t="n">
        <f aca="false" t="array" ref="K3000:K3000">IFERROR(INDEX(AC3000:AE3000,IF(COUNTA(AC3000:AE3000)=0,"",MAX((AC3000:AE3000&lt;&gt;"")*(COLUMN(AC3000:AE3000)-(COLUMN(AC3000)-1))))-1),"")</f>
        <v>46089</v>
      </c>
      <c r="L3000" s="17" t="str">
        <f aca="false" t="array" ref="L3000:L3000">IFERROR(INDEX(AC3000:AE3000,IF(COUNTA(AC3000:AE3000)=0,"",MAX((AC3000:AE3000&lt;&gt;"")*(COLUMN(AC3000:AE3000)-(COLUMN(AC3000)-2))))-1),"")</f>
        <v>ARCHIVED</v>
      </c>
      <c r="M3000" s="13" t="n">
        <f aca="true">K3000-TODAY()</f>
        <v>-235</v>
      </c>
      <c r="N3000" s="18" t="s">
        <v>105</v>
      </c>
      <c r="O3000" s="13" t="s">
        <v>12578</v>
      </c>
      <c r="P3000" s="19" t="n">
        <v>4140000</v>
      </c>
      <c r="Q3000" s="47" t="s">
        <v>12583</v>
      </c>
      <c r="R3000" s="13" t="s">
        <v>39</v>
      </c>
      <c r="S3000" s="16" t="n">
        <v>35246</v>
      </c>
      <c r="T3000" s="28" t="s">
        <v>40</v>
      </c>
      <c r="U3000" s="13" t="s">
        <v>12584</v>
      </c>
      <c r="V3000" s="13" t="s">
        <v>42</v>
      </c>
      <c r="W3000" s="13" t="s">
        <v>54</v>
      </c>
      <c r="X3000" s="21" t="n">
        <v>81230045159</v>
      </c>
      <c r="Y3000" s="22" t="str">
        <f aca="false">O3000</f>
        <v>Operator Checker</v>
      </c>
      <c r="Z3000" s="13" t="str">
        <f aca="false">IFERROR(__xludf.dummyfunction("if(BJ3000="""","""",GOOGLETRANSLATE(BJ3000,""auto"",""en""))"),"Operator Checker")</f>
        <v>Operator Checker</v>
      </c>
      <c r="AA3000" s="23" t="str">
        <f aca="false">IF(C3000="","", CHOOSE(MONTH(C3000),"January","February","March","April","May","June","July","August","September","October","November","December")&amp;" "&amp;DAY(C3000)&amp;MID("thstndrdth",MIN(9,2*RIGHT(DAY(C3000))*(MOD(DAY(C3000)-11,100)&gt;2)+1),2)&amp;","&amp;TEXT(C3000," yyyy"))</f>
        <v>December 9th,2025</v>
      </c>
      <c r="AB3000" s="15" t="str">
        <f aca="true">IF(S3000="","",DATEDIF(S3000,TODAY(),"Y")&amp;" Tahun, "&amp;DATEDIF(S3000,TODAY(),"YM")&amp;" Bulan, "&amp;DATEDIF(S3000,TODAY(),"MD")&amp;" Hari")</f>
        <v>30 Tahun, 3 Bulan, 29 Hari</v>
      </c>
      <c r="AC3000" s="18" t="n">
        <v>46000</v>
      </c>
      <c r="AD3000" s="18" t="n">
        <f aca="false">EDATE(AC3000,3)-1</f>
        <v>46089</v>
      </c>
      <c r="AE3000" s="13" t="s">
        <v>44</v>
      </c>
    </row>
    <row r="3001" customFormat="false" ht="15" hidden="false" customHeight="true" outlineLevel="0" collapsed="false">
      <c r="A3001" s="12" t="n">
        <v>21544</v>
      </c>
      <c r="B3001" s="13" t="s">
        <v>12585</v>
      </c>
      <c r="C3001" s="16" t="n">
        <v>45999</v>
      </c>
      <c r="D3001" s="13" t="s">
        <v>5892</v>
      </c>
      <c r="E3001" s="15" t="s">
        <v>33</v>
      </c>
      <c r="F3001" s="24" t="s">
        <v>12586</v>
      </c>
      <c r="G3001" s="13" t="s">
        <v>1127</v>
      </c>
      <c r="H3001" s="13" t="s">
        <v>35</v>
      </c>
      <c r="I3001" s="13" t="str">
        <f aca="false">IF(C3001=J3001,"NEW KONTRAK","RE-KONTRAK")</f>
        <v>NEW KONTRAK</v>
      </c>
      <c r="J3001" s="16" t="n">
        <f aca="false" t="array" ref="J3001:J3001">IFERROR(INDEX(AC3001:AE3001,IF(COUNTA(AC3001:AE3001)=0,"",MAX((AC3001:AE3001&lt;&gt;"")*(COLUMN(AC3001:AE3001)-(COLUMN(AC3001)))))-1),"")</f>
        <v>45999</v>
      </c>
      <c r="K3001" s="16" t="n">
        <f aca="false" t="array" ref="K3001:K3001">IFERROR(INDEX(AC3001:AE3001,IF(COUNTA(AC3001:AE3001)=0,"",MAX((AC3001:AE3001&lt;&gt;"")*(COLUMN(AC3001:AE3001)-(COLUMN(AC3001)-1))))-1),"")</f>
        <v>46088</v>
      </c>
      <c r="L3001" s="17" t="str">
        <f aca="false" t="array" ref="L3001:L3001">IFERROR(INDEX(AC3001:AE3001,IF(COUNTA(AC3001:AE3001)=0,"",MAX((AC3001:AE3001&lt;&gt;"")*(COLUMN(AC3001:AE3001)-(COLUMN(AC3001)-2))))-1),"")</f>
        <v>ARCHIVED</v>
      </c>
      <c r="M3001" s="13" t="n">
        <f aca="true">K3001-TODAY()</f>
        <v>-236</v>
      </c>
      <c r="N3001" s="18" t="s">
        <v>105</v>
      </c>
      <c r="O3001" s="13" t="s">
        <v>12587</v>
      </c>
      <c r="P3001" s="19" t="n">
        <v>4870511</v>
      </c>
      <c r="Q3001" s="47" t="s">
        <v>12588</v>
      </c>
      <c r="R3001" s="13" t="s">
        <v>255</v>
      </c>
      <c r="S3001" s="16" t="n">
        <v>35980</v>
      </c>
      <c r="T3001" s="28" t="s">
        <v>40</v>
      </c>
      <c r="U3001" s="13" t="s">
        <v>12589</v>
      </c>
      <c r="V3001" s="13" t="s">
        <v>42</v>
      </c>
      <c r="W3001" s="13" t="s">
        <v>43</v>
      </c>
      <c r="X3001" s="21" t="n">
        <v>81775269689</v>
      </c>
      <c r="Y3001" s="22" t="str">
        <f aca="false">O3001</f>
        <v>Staff Recruitment</v>
      </c>
      <c r="Z3001" s="13" t="str">
        <f aca="false">IFERROR(__xludf.dummyfunction("if(BJ3001="""","""",GOOGLETRANSLATE(BJ3001,""auto"",""en""))"),"Staff Recruitment")</f>
        <v>Staff Recruitment</v>
      </c>
      <c r="AA3001" s="23" t="str">
        <f aca="false">IF(C3001="","", CHOOSE(MONTH(C3001),"January","February","March","April","May","June","July","August","September","October","November","December")&amp;" "&amp;DAY(C3001)&amp;MID("thstndrdth",MIN(9,2*RIGHT(DAY(C3001))*(MOD(DAY(C3001)-11,100)&gt;2)+1),2)&amp;","&amp;TEXT(C3001," yyyy"))</f>
        <v>December 8th,2025</v>
      </c>
      <c r="AB3001" s="15" t="str">
        <f aca="true">IF(S3001="","",DATEDIF(S3001,TODAY(),"Y")&amp;" Tahun, "&amp;DATEDIF(S3001,TODAY(),"YM")&amp;" Bulan, "&amp;DATEDIF(S3001,TODAY(),"MD")&amp;" Hari")</f>
        <v>28 Tahun, 3 Bulan, 25 Hari</v>
      </c>
      <c r="AC3001" s="18" t="n">
        <v>45999</v>
      </c>
      <c r="AD3001" s="18" t="n">
        <f aca="false">EDATE(AC3001,3)-1</f>
        <v>46088</v>
      </c>
      <c r="AE3001" s="13" t="s">
        <v>44</v>
      </c>
    </row>
    <row r="3002" customFormat="false" ht="15" hidden="false" customHeight="true" outlineLevel="0" collapsed="false">
      <c r="A3002" s="12" t="n">
        <v>21545</v>
      </c>
      <c r="B3002" s="13" t="s">
        <v>9430</v>
      </c>
      <c r="C3002" s="16" t="n">
        <v>45994</v>
      </c>
      <c r="D3002" s="13" t="s">
        <v>4252</v>
      </c>
      <c r="E3002" s="15" t="s">
        <v>102</v>
      </c>
      <c r="F3002" s="24" t="s">
        <v>12590</v>
      </c>
      <c r="G3002" s="13" t="s">
        <v>57</v>
      </c>
      <c r="H3002" s="13" t="s">
        <v>35</v>
      </c>
      <c r="I3002" s="13" t="str">
        <f aca="false">IF(C3002=J3002,"NEW KONTRAK","RE-KONTRAK")</f>
        <v>NEW KONTRAK</v>
      </c>
      <c r="J3002" s="16" t="n">
        <f aca="false" t="array" ref="J3002:J3002">IFERROR(INDEX(AC3002:AE3002,IF(COUNTA(AC3002:AE3002)=0,"",MAX((AC3002:AE3002&lt;&gt;"")*(COLUMN(AC3002:AE3002)-(COLUMN(AC3002)))))-1),"")</f>
        <v>45994</v>
      </c>
      <c r="K3002" s="16" t="n">
        <f aca="false" t="array" ref="K3002:K3002">IFERROR(INDEX(AC3002:AE3002,IF(COUNTA(AC3002:AE3002)=0,"",MAX((AC3002:AE3002&lt;&gt;"")*(COLUMN(AC3002:AE3002)-(COLUMN(AC3002)-1))))-1),"")</f>
        <v>46083</v>
      </c>
      <c r="L3002" s="17" t="str">
        <f aca="false" t="array" ref="L3002:L3002">IFERROR(INDEX(AC3002:AE3002,IF(COUNTA(AC3002:AE3002)=0,"",MAX((AC3002:AE3002&lt;&gt;"")*(COLUMN(AC3002:AE3002)-(COLUMN(AC3002)-2))))-1),"")</f>
        <v>ARCHIVED</v>
      </c>
      <c r="M3002" s="13" t="n">
        <f aca="true">K3002-TODAY()</f>
        <v>-241</v>
      </c>
      <c r="N3002" s="18" t="s">
        <v>36</v>
      </c>
      <c r="O3002" s="13" t="s">
        <v>4288</v>
      </c>
      <c r="P3002" s="27" t="n">
        <v>200000</v>
      </c>
      <c r="Q3002" s="20" t="s">
        <v>12591</v>
      </c>
      <c r="R3002" s="13" t="s">
        <v>39</v>
      </c>
      <c r="S3002" s="16" t="n">
        <v>35617</v>
      </c>
      <c r="T3002" s="28" t="s">
        <v>40</v>
      </c>
      <c r="U3002" s="13" t="s">
        <v>12592</v>
      </c>
      <c r="V3002" s="13" t="s">
        <v>42</v>
      </c>
      <c r="W3002" s="13" t="s">
        <v>54</v>
      </c>
      <c r="X3002" s="30" t="n">
        <v>81279359782</v>
      </c>
      <c r="Y3002" s="22" t="str">
        <f aca="false">O3002</f>
        <v>Operator Printing</v>
      </c>
      <c r="Z3002" s="13" t="str">
        <f aca="false">IFERROR(__xludf.dummyfunction("if(BJ3002="""","""",GOOGLETRANSLATE(BJ3002,""auto"",""en""))"),"Operator Printing")</f>
        <v>Operator Printing</v>
      </c>
      <c r="AA3002" s="23" t="str">
        <f aca="false">IF(C3002="","", CHOOSE(MONTH(C3002),"January","February","March","April","May","June","July","August","September","October","November","December")&amp;" "&amp;DAY(C3002)&amp;MID("thstndrdth",MIN(9,2*RIGHT(DAY(C3002))*(MOD(DAY(C3002)-11,100)&gt;2)+1),2)&amp;","&amp;TEXT(C3002," yyyy"))</f>
        <v>December 3rd,2025</v>
      </c>
      <c r="AB3002" s="15" t="str">
        <f aca="true">IF(S3002="","",DATEDIF(S3002,TODAY(),"Y")&amp;" Tahun, "&amp;DATEDIF(S3002,TODAY(),"YM")&amp;" Bulan, "&amp;DATEDIF(S3002,TODAY(),"MD")&amp;" Hari")</f>
        <v>29 Tahun, 3 Bulan, 23 Hari</v>
      </c>
      <c r="AC3002" s="18" t="n">
        <v>45994</v>
      </c>
      <c r="AD3002" s="18" t="n">
        <v>46083</v>
      </c>
      <c r="AE3002" s="13" t="s">
        <v>44</v>
      </c>
    </row>
    <row r="3003" customFormat="false" ht="15" hidden="false" customHeight="true" outlineLevel="0" collapsed="false">
      <c r="A3003" s="12" t="n">
        <v>21546</v>
      </c>
      <c r="B3003" s="13" t="s">
        <v>7637</v>
      </c>
      <c r="C3003" s="16" t="n">
        <v>45994</v>
      </c>
      <c r="D3003" s="13" t="s">
        <v>4252</v>
      </c>
      <c r="E3003" s="15" t="s">
        <v>102</v>
      </c>
      <c r="F3003" s="24" t="s">
        <v>12593</v>
      </c>
      <c r="G3003" s="13" t="s">
        <v>57</v>
      </c>
      <c r="H3003" s="13" t="s">
        <v>35</v>
      </c>
      <c r="I3003" s="13" t="str">
        <f aca="false">IF(C3003=J3003,"NEW KONTRAK","RE-KONTRAK")</f>
        <v>NEW KONTRAK</v>
      </c>
      <c r="J3003" s="16" t="n">
        <f aca="false" t="array" ref="J3003:J3003">IFERROR(INDEX(AC3003:AE3003,IF(COUNTA(AC3003:AE3003)=0,"",MAX((AC3003:AE3003&lt;&gt;"")*(COLUMN(AC3003:AE3003)-(COLUMN(AC3003)))))-1),"")</f>
        <v>45994</v>
      </c>
      <c r="K3003" s="16" t="n">
        <f aca="false" t="array" ref="K3003:K3003">IFERROR(INDEX(AC3003:AE3003,IF(COUNTA(AC3003:AE3003)=0,"",MAX((AC3003:AE3003&lt;&gt;"")*(COLUMN(AC3003:AE3003)-(COLUMN(AC3003)-1))))-1),"")</f>
        <v>46083</v>
      </c>
      <c r="L3003" s="17" t="str">
        <f aca="false" t="array" ref="L3003:L3003">IFERROR(INDEX(AC3003:AE3003,IF(COUNTA(AC3003:AE3003)=0,"",MAX((AC3003:AE3003&lt;&gt;"")*(COLUMN(AC3003:AE3003)-(COLUMN(AC3003)-2))))-1),"")</f>
        <v>ARCHIVED</v>
      </c>
      <c r="M3003" s="13" t="n">
        <f aca="true">K3003-TODAY()</f>
        <v>-241</v>
      </c>
      <c r="N3003" s="18" t="s">
        <v>36</v>
      </c>
      <c r="O3003" s="13" t="s">
        <v>4274</v>
      </c>
      <c r="P3003" s="27" t="n">
        <v>200000</v>
      </c>
      <c r="Q3003" s="20" t="s">
        <v>12594</v>
      </c>
      <c r="R3003" s="13" t="s">
        <v>39</v>
      </c>
      <c r="S3003" s="16" t="n">
        <v>29005</v>
      </c>
      <c r="T3003" s="28" t="s">
        <v>40</v>
      </c>
      <c r="U3003" s="13" t="s">
        <v>12595</v>
      </c>
      <c r="V3003" s="13" t="s">
        <v>42</v>
      </c>
      <c r="W3003" s="13" t="s">
        <v>43</v>
      </c>
      <c r="X3003" s="30" t="n">
        <v>81271518203</v>
      </c>
      <c r="Y3003" s="22" t="str">
        <f aca="false">O3003</f>
        <v>Operator Extruder</v>
      </c>
      <c r="Z3003" s="13" t="str">
        <f aca="false">IFERROR(__xludf.dummyfunction("if(BJ3003="""","""",GOOGLETRANSLATE(BJ3003,""auto"",""en""))"),"Operator Extruder")</f>
        <v>Operator Extruder</v>
      </c>
      <c r="AA3003" s="23" t="str">
        <f aca="false">IF(C3003="","", CHOOSE(MONTH(C3003),"January","February","March","April","May","June","July","August","September","October","November","December")&amp;" "&amp;DAY(C3003)&amp;MID("thstndrdth",MIN(9,2*RIGHT(DAY(C3003))*(MOD(DAY(C3003)-11,100)&gt;2)+1),2)&amp;","&amp;TEXT(C3003," yyyy"))</f>
        <v>December 3rd,2025</v>
      </c>
      <c r="AB3003" s="15" t="str">
        <f aca="true">IF(S3003="","",DATEDIF(S3003,TODAY(),"Y")&amp;" Tahun, "&amp;DATEDIF(S3003,TODAY(),"YM")&amp;" Bulan, "&amp;DATEDIF(S3003,TODAY(),"MD")&amp;" Hari")</f>
        <v>47 Tahun, 4 Bulan, 29 Hari</v>
      </c>
      <c r="AC3003" s="18" t="n">
        <v>45994</v>
      </c>
      <c r="AD3003" s="18" t="n">
        <v>46083</v>
      </c>
      <c r="AE3003" s="13" t="s">
        <v>44</v>
      </c>
    </row>
    <row r="3004" customFormat="false" ht="15" hidden="false" customHeight="true" outlineLevel="0" collapsed="false">
      <c r="A3004" s="12" t="n">
        <v>21557</v>
      </c>
      <c r="B3004" s="13" t="s">
        <v>12596</v>
      </c>
      <c r="C3004" s="16" t="n">
        <v>45996</v>
      </c>
      <c r="D3004" s="13" t="s">
        <v>2033</v>
      </c>
      <c r="E3004" s="15" t="s">
        <v>789</v>
      </c>
      <c r="F3004" s="15" t="str">
        <f aca="false">IFERROR(__xludf.dummyfunction("XLOOKUP(AJ3004,IMPORTRANGE(""1XaInW9DU9nz21V0tYIfzFQ0He9kVQ_JF2mCXgZ3hqFA"",""REKAP ALL 2026 - Andika!G:G""),IMPORTRANGE(""1XaInW9DU9nz21V0tYIfzFQ0He9kVQ_JF2mCXgZ3hqFA"",""REKAP ALL 2026 - Andika!F:F""),"""",0)"),"26005755942")</f>
        <v>26005755942</v>
      </c>
      <c r="G3004" s="13" t="s">
        <v>1127</v>
      </c>
      <c r="H3004" s="13" t="s">
        <v>35</v>
      </c>
      <c r="I3004" s="13" t="str">
        <f aca="false">IF(C3004=J3004,"NEW KONTRAK","RE-KONTRAK")</f>
        <v>NEW KONTRAK</v>
      </c>
      <c r="J3004" s="16" t="n">
        <f aca="false" t="array" ref="J3004:J3004">IFERROR(INDEX(AC3004:AE3004,IF(COUNTA(AC3004:AE3004)=0,"",MAX((AC3004:AE3004&lt;&gt;"")*(COLUMN(AC3004:AE3004)-(COLUMN(AC3004)))))-1),"")</f>
        <v>45996</v>
      </c>
      <c r="K3004" s="16" t="n">
        <f aca="false" t="array" ref="K3004:K3004">IFERROR(INDEX(AC3004:AE3004,IF(COUNTA(AC3004:AE3004)=0,"",MAX((AC3004:AE3004&lt;&gt;"")*(COLUMN(AC3004:AE3004)-(COLUMN(AC3004)-1))))-1),"")</f>
        <v>46037</v>
      </c>
      <c r="L3004" s="17" t="str">
        <f aca="false" t="array" ref="L3004:L3004">IFERROR(INDEX(AC3004:AE3004,IF(COUNTA(AC3004:AE3004)=0,"",MAX((AC3004:AE3004&lt;&gt;"")*(COLUMN(AC3004:AE3004)-(COLUMN(AC3004)-2))))-1),"")</f>
        <v>KEMBALI</v>
      </c>
      <c r="M3004" s="13" t="n">
        <f aca="true">K3004-TODAY()</f>
        <v>-287</v>
      </c>
      <c r="N3004" s="18" t="s">
        <v>2587</v>
      </c>
      <c r="O3004" s="13" t="s">
        <v>2037</v>
      </c>
      <c r="P3004" s="19" t="n">
        <v>3599182</v>
      </c>
      <c r="Q3004" s="47" t="s">
        <v>12597</v>
      </c>
      <c r="R3004" s="13" t="s">
        <v>2587</v>
      </c>
      <c r="S3004" s="16" t="n">
        <v>37788</v>
      </c>
      <c r="T3004" s="13" t="s">
        <v>108</v>
      </c>
      <c r="U3004" s="13" t="s">
        <v>12598</v>
      </c>
      <c r="V3004" s="13" t="s">
        <v>42</v>
      </c>
      <c r="W3004" s="13" t="s">
        <v>43</v>
      </c>
      <c r="X3004" s="21" t="n">
        <v>85186859091</v>
      </c>
      <c r="Y3004" s="22" t="str">
        <f aca="false">O3004</f>
        <v>SPG/BA</v>
      </c>
      <c r="Z3004" s="13" t="str">
        <f aca="false">IFERROR(__xludf.dummyfunction("if(BJ3004="""","""",GOOGLETRANSLATE(BJ3004,""auto"",""en""))"),"SPG/BA")</f>
        <v>SPG/BA</v>
      </c>
      <c r="AA3004" s="23" t="str">
        <f aca="false">IF(C3004="","", CHOOSE(MONTH(C3004),"January","February","March","April","May","June","July","August","September","October","November","December")&amp;" "&amp;DAY(C3004)&amp;MID("thstndrdth",MIN(9,2*RIGHT(DAY(C3004))*(MOD(DAY(C3004)-11,100)&gt;2)+1),2)&amp;","&amp;TEXT(C3004," yyyy"))</f>
        <v>December 5th,2025</v>
      </c>
      <c r="AB3004" s="15" t="str">
        <f aca="true">IF(S3004="","",DATEDIF(S3004,TODAY(),"Y")&amp;" Tahun, "&amp;DATEDIF(S3004,TODAY(),"YM")&amp;" Bulan, "&amp;DATEDIF(S3004,TODAY(),"MD")&amp;" Hari")</f>
        <v>23 Tahun, 4 Bulan, 13 Hari</v>
      </c>
      <c r="AC3004" s="18" t="n">
        <v>45996</v>
      </c>
      <c r="AD3004" s="18" t="n">
        <v>46037</v>
      </c>
      <c r="AE3004" s="13" t="s">
        <v>397</v>
      </c>
    </row>
    <row r="3005" customFormat="false" ht="15" hidden="false" customHeight="true" outlineLevel="0" collapsed="false">
      <c r="A3005" s="12" t="n">
        <v>22596</v>
      </c>
      <c r="B3005" s="45" t="s">
        <v>12599</v>
      </c>
      <c r="C3005" s="14" t="n">
        <v>46204</v>
      </c>
      <c r="D3005" s="13" t="s">
        <v>2033</v>
      </c>
      <c r="E3005" s="13" t="s">
        <v>47</v>
      </c>
      <c r="F3005" s="24" t="s">
        <v>12600</v>
      </c>
      <c r="G3005" s="13" t="s">
        <v>1452</v>
      </c>
      <c r="H3005" s="13" t="s">
        <v>35</v>
      </c>
      <c r="I3005" s="13" t="str">
        <f aca="false">IF(C3005=J3005,"NEW KONTRAK","RE-KONTRAK")</f>
        <v>NEW KONTRAK</v>
      </c>
      <c r="J3005" s="16" t="n">
        <f aca="false" t="array" ref="J3005:J3005">IFERROR(INDEX(AC3005:AE3005,IF(COUNTA(AC3005:AE3005)=0,"",MAX((AC3005:AE3005&lt;&gt;"")*(COLUMN(AC3005:AE3005)-(COLUMN(AC3005)))))-1),"")</f>
        <v>46204</v>
      </c>
      <c r="K3005" s="16" t="n">
        <f aca="false" t="array" ref="K3005:K3005">IFERROR(INDEX(AC3005:AE3005,IF(COUNTA(AC3005:AE3005)=0,"",MAX((AC3005:AE3005&lt;&gt;"")*(COLUMN(AC3005:AE3005)-(COLUMN(AC3005)-1))))-1),"")</f>
        <v>46295</v>
      </c>
      <c r="L3005" s="17" t="str">
        <f aca="false" t="array" ref="L3005:L3005">IFERROR(INDEX(AC3005:AE3005,IF(COUNTA(AC3005:AE3005)=0,"",MAX((AC3005:AE3005&lt;&gt;"")*(COLUMN(AC3005:AE3005)-(COLUMN(AC3005)-2))))-1),"")</f>
        <v>KEMBALI ONLINE </v>
      </c>
      <c r="M3005" s="13" t="n">
        <f aca="true">K3005-TODAY()</f>
        <v>-29</v>
      </c>
      <c r="N3005" s="13" t="s">
        <v>3503</v>
      </c>
      <c r="O3005" s="13" t="s">
        <v>5017</v>
      </c>
      <c r="P3005" s="19" t="n">
        <v>3868963</v>
      </c>
      <c r="Q3005" s="20" t="s">
        <v>12601</v>
      </c>
      <c r="R3005" s="13" t="s">
        <v>3503</v>
      </c>
      <c r="S3005" s="25" t="n">
        <v>32604</v>
      </c>
      <c r="T3005" s="13" t="s">
        <v>108</v>
      </c>
      <c r="U3005" s="17" t="s">
        <v>12602</v>
      </c>
      <c r="V3005" s="13" t="s">
        <v>42</v>
      </c>
      <c r="W3005" s="13" t="s">
        <v>54</v>
      </c>
      <c r="X3005" s="21" t="n">
        <v>89524118191</v>
      </c>
      <c r="Y3005" s="22" t="str">
        <f aca="false">O3005</f>
        <v>Sales</v>
      </c>
      <c r="Z3005" s="13" t="str">
        <f aca="false">IFERROR(__xludf.dummyfunction("if(BJ3005="""","""",GOOGLETRANSLATE(BJ3005,""auto"",""en""))"),"Sales")</f>
        <v>Sales</v>
      </c>
      <c r="AA3005" s="23" t="str">
        <f aca="false">IF(C3005="","", CHOOSE(MONTH(C3005),"January","February","March","April","May","June","July","August","September","October","November","December")&amp;" "&amp;DAY(C3005)&amp;MID("thstndrdth",MIN(9,2*RIGHT(DAY(C3005))*(MOD(DAY(C3005)-11,100)&gt;2)+1),2)&amp;","&amp;TEXT(C3005," yyyy"))</f>
        <v>July 1st,2026</v>
      </c>
      <c r="AB3005" s="15" t="str">
        <f aca="true">IF(S3005="","",DATEDIF(S3005,TODAY(),"Y")&amp;" Tahun, "&amp;DATEDIF(S3005,TODAY(),"YM")&amp;" Bulan, "&amp;DATEDIF(S3005,TODAY(),"MD")&amp;" Hari")</f>
        <v>37 Tahun, 6 Bulan, 23 Hari</v>
      </c>
      <c r="AC3005" s="14" t="n">
        <v>46204</v>
      </c>
      <c r="AD3005" s="18" t="n">
        <f aca="false">EDATE(AC3005,3)-1</f>
        <v>46295</v>
      </c>
      <c r="AE3005" s="13" t="s">
        <v>12603</v>
      </c>
    </row>
    <row r="3006" customFormat="false" ht="15" hidden="false" customHeight="true" outlineLevel="0" collapsed="false">
      <c r="A3006" s="12" t="n">
        <v>21561</v>
      </c>
      <c r="B3006" s="13" t="s">
        <v>12604</v>
      </c>
      <c r="C3006" s="16" t="n">
        <v>46006</v>
      </c>
      <c r="D3006" s="13" t="s">
        <v>7948</v>
      </c>
      <c r="E3006" s="15" t="s">
        <v>7949</v>
      </c>
      <c r="F3006" s="15" t="str">
        <f aca="false">IFERROR(__xludf.dummyfunction("XLOOKUP(AJ3006,IMPORTRANGE(""1XaInW9DU9nz21V0tYIfzFQ0He9kVQ_JF2mCXgZ3hqFA"",""REKAP ALL 2026 - Andika!G:G""),IMPORTRANGE(""1XaInW9DU9nz21V0tYIfzFQ0He9kVQ_JF2mCXgZ3hqFA"",""REKAP ALL 2026 - Andika!F:F""),"""",0)"),"26005753368")</f>
        <v>26005753368</v>
      </c>
      <c r="G3006" s="13" t="s">
        <v>57</v>
      </c>
      <c r="H3006" s="13" t="s">
        <v>3024</v>
      </c>
      <c r="I3006" s="13" t="str">
        <f aca="false">IF(C3006=J3006,"NEW KONTRAK","RE-KONTRAK")</f>
        <v>NEW KONTRAK</v>
      </c>
      <c r="J3006" s="16" t="n">
        <f aca="false" t="array" ref="J3006:J3006">IFERROR(INDEX(AC3006:AE3006,IF(COUNTA(AC3006:AE3006)=0,"",MAX((AC3006:AE3006&lt;&gt;"")*(COLUMN(AC3006:AE3006)-(COLUMN(AC3006)))))-1),"")</f>
        <v>46006</v>
      </c>
      <c r="K3006" s="16" t="n">
        <f aca="false" t="array" ref="K3006:K3006">IFERROR(INDEX(AC3006:AE3006,IF(COUNTA(AC3006:AE3006)=0,"",MAX((AC3006:AE3006&lt;&gt;"")*(COLUMN(AC3006:AE3006)-(COLUMN(AC3006)-1))))-1),"")</f>
        <v>46095</v>
      </c>
      <c r="L3006" s="17" t="str">
        <f aca="false" t="array" ref="L3006:L3006">IFERROR(INDEX(AC3006:AE3006,IF(COUNTA(AC3006:AE3006)=0,"",MAX((AC3006:AE3006&lt;&gt;"")*(COLUMN(AC3006:AE3006)-(COLUMN(AC3006)-2))))-1),"")</f>
        <v>KEMBALI</v>
      </c>
      <c r="M3006" s="13" t="n">
        <f aca="true">K3006-TODAY()</f>
        <v>-229</v>
      </c>
      <c r="N3006" s="18" t="s">
        <v>4051</v>
      </c>
      <c r="O3006" s="13" t="s">
        <v>2335</v>
      </c>
      <c r="P3006" s="19" t="n">
        <v>210000</v>
      </c>
      <c r="Q3006" s="47" t="s">
        <v>12605</v>
      </c>
      <c r="R3006" s="13" t="s">
        <v>324</v>
      </c>
      <c r="S3006" s="16" t="n">
        <v>30937</v>
      </c>
      <c r="T3006" s="28" t="s">
        <v>40</v>
      </c>
      <c r="U3006" s="13" t="s">
        <v>12606</v>
      </c>
      <c r="V3006" s="13" t="s">
        <v>42</v>
      </c>
      <c r="W3006" s="13" t="s">
        <v>54</v>
      </c>
      <c r="X3006" s="21" t="n">
        <v>895369110300</v>
      </c>
      <c r="Y3006" s="22" t="str">
        <f aca="false">O3006</f>
        <v>Project Management</v>
      </c>
      <c r="Z3006" s="13" t="str">
        <f aca="false">IFERROR(__xludf.dummyfunction("if(BJ3006="""","""",GOOGLETRANSLATE(BJ3006,""auto"",""en""))"),"Project Management")</f>
        <v>Project Management</v>
      </c>
      <c r="AA3006" s="23" t="str">
        <f aca="false">IF(C3006="","", CHOOSE(MONTH(C3006),"January","February","March","April","May","June","July","August","September","October","November","December")&amp;" "&amp;DAY(C3006)&amp;MID("thstndrdth",MIN(9,2*RIGHT(DAY(C3006))*(MOD(DAY(C3006)-11,100)&gt;2)+1),2)&amp;","&amp;TEXT(C3006," yyyy"))</f>
        <v>December 15th,2025</v>
      </c>
      <c r="AB3006" s="15" t="str">
        <f aca="true">IF(S3006="","",DATEDIF(S3006,TODAY(),"Y")&amp;" Tahun, "&amp;DATEDIF(S3006,TODAY(),"YM")&amp;" Bulan, "&amp;DATEDIF(S3006,TODAY(),"MD")&amp;" Hari")</f>
        <v>42 Tahun, 1 Bulan, 17 Hari</v>
      </c>
      <c r="AC3006" s="18" t="n">
        <v>46006</v>
      </c>
      <c r="AD3006" s="18" t="n">
        <v>46095</v>
      </c>
      <c r="AE3006" s="13" t="s">
        <v>397</v>
      </c>
    </row>
    <row r="3007" customFormat="false" ht="15" hidden="false" customHeight="true" outlineLevel="0" collapsed="false">
      <c r="A3007" s="12" t="n">
        <v>21562</v>
      </c>
      <c r="B3007" s="13" t="s">
        <v>12607</v>
      </c>
      <c r="C3007" s="16" t="n">
        <v>46006</v>
      </c>
      <c r="D3007" s="13" t="s">
        <v>7948</v>
      </c>
      <c r="E3007" s="15" t="s">
        <v>7949</v>
      </c>
      <c r="F3007" s="15" t="str">
        <f aca="false">IFERROR(__xludf.dummyfunction("XLOOKUP(AJ3007,IMPORTRANGE(""1XaInW9DU9nz21V0tYIfzFQ0He9kVQ_JF2mCXgZ3hqFA"",""REKAP ALL 2026 - Andika!G:G""),IMPORTRANGE(""1XaInW9DU9nz21V0tYIfzFQ0He9kVQ_JF2mCXgZ3hqFA"",""REKAP ALL 2026 - Andika!F:F""),"""",0)"),"26005753384")</f>
        <v>26005753384</v>
      </c>
      <c r="G3007" s="13" t="s">
        <v>57</v>
      </c>
      <c r="H3007" s="13" t="s">
        <v>3024</v>
      </c>
      <c r="I3007" s="13" t="str">
        <f aca="false">IF(C3007=J3007,"NEW KONTRAK","RE-KONTRAK")</f>
        <v>NEW KONTRAK</v>
      </c>
      <c r="J3007" s="16" t="n">
        <f aca="false" t="array" ref="J3007:J3007">IFERROR(INDEX(AC3007:AE3007,IF(COUNTA(AC3007:AE3007)=0,"",MAX((AC3007:AE3007&lt;&gt;"")*(COLUMN(AC3007:AE3007)-(COLUMN(AC3007)))))-1),"")</f>
        <v>46006</v>
      </c>
      <c r="K3007" s="16" t="n">
        <f aca="false" t="array" ref="K3007:K3007">IFERROR(INDEX(AC3007:AE3007,IF(COUNTA(AC3007:AE3007)=0,"",MAX((AC3007:AE3007&lt;&gt;"")*(COLUMN(AC3007:AE3007)-(COLUMN(AC3007)-1))))-1),"")</f>
        <v>46095</v>
      </c>
      <c r="L3007" s="17" t="str">
        <f aca="false" t="array" ref="L3007:L3007">IFERROR(INDEX(AC3007:AE3007,IF(COUNTA(AC3007:AE3007)=0,"",MAX((AC3007:AE3007&lt;&gt;"")*(COLUMN(AC3007:AE3007)-(COLUMN(AC3007)-2))))-1),"")</f>
        <v>KEMBALI</v>
      </c>
      <c r="M3007" s="13" t="n">
        <f aca="true">K3007-TODAY()</f>
        <v>-229</v>
      </c>
      <c r="N3007" s="18" t="s">
        <v>4051</v>
      </c>
      <c r="O3007" s="13" t="s">
        <v>2335</v>
      </c>
      <c r="P3007" s="19" t="n">
        <v>210000</v>
      </c>
      <c r="Q3007" s="47" t="s">
        <v>12608</v>
      </c>
      <c r="R3007" s="13" t="s">
        <v>232</v>
      </c>
      <c r="S3007" s="16" t="n">
        <v>29407</v>
      </c>
      <c r="T3007" s="28" t="s">
        <v>40</v>
      </c>
      <c r="U3007" s="13" t="s">
        <v>12609</v>
      </c>
      <c r="V3007" s="13" t="s">
        <v>42</v>
      </c>
      <c r="W3007" s="13" t="s">
        <v>54</v>
      </c>
      <c r="X3007" s="21" t="n">
        <v>82150436770</v>
      </c>
      <c r="Y3007" s="22" t="str">
        <f aca="false">O3007</f>
        <v>Project Management</v>
      </c>
      <c r="Z3007" s="13" t="str">
        <f aca="false">IFERROR(__xludf.dummyfunction("if(BJ3007="""","""",GOOGLETRANSLATE(BJ3007,""auto"",""en""))"),"Project Management")</f>
        <v>Project Management</v>
      </c>
      <c r="AA3007" s="23" t="str">
        <f aca="false">IF(C3007="","", CHOOSE(MONTH(C3007),"January","February","March","April","May","June","July","August","September","October","November","December")&amp;" "&amp;DAY(C3007)&amp;MID("thstndrdth",MIN(9,2*RIGHT(DAY(C3007))*(MOD(DAY(C3007)-11,100)&gt;2)+1),2)&amp;","&amp;TEXT(C3007," yyyy"))</f>
        <v>December 15th,2025</v>
      </c>
      <c r="AB3007" s="15" t="str">
        <f aca="true">IF(S3007="","",DATEDIF(S3007,TODAY(),"Y")&amp;" Tahun, "&amp;DATEDIF(S3007,TODAY(),"YM")&amp;" Bulan, "&amp;DATEDIF(S3007,TODAY(),"MD")&amp;" Hari")</f>
        <v>46 Tahun, 3 Bulan, 24 Hari</v>
      </c>
      <c r="AC3007" s="18" t="n">
        <v>46006</v>
      </c>
      <c r="AD3007" s="18" t="n">
        <v>46095</v>
      </c>
      <c r="AE3007" s="13" t="s">
        <v>397</v>
      </c>
    </row>
    <row r="3008" customFormat="false" ht="15" hidden="false" customHeight="true" outlineLevel="0" collapsed="false">
      <c r="A3008" s="12" t="n">
        <v>21563</v>
      </c>
      <c r="B3008" s="13" t="s">
        <v>12610</v>
      </c>
      <c r="C3008" s="16" t="n">
        <v>46006</v>
      </c>
      <c r="D3008" s="13" t="s">
        <v>1338</v>
      </c>
      <c r="E3008" s="15" t="s">
        <v>47</v>
      </c>
      <c r="F3008" s="15" t="str">
        <f aca="false">IFERROR(__xludf.dummyfunction("XLOOKUP(AJ3008,IMPORTRANGE(""1XaInW9DU9nz21V0tYIfzFQ0He9kVQ_JF2mCXgZ3hqFA"",""REKAP ALL 2026 - Andika!G:G""),IMPORTRANGE(""1XaInW9DU9nz21V0tYIfzFQ0He9kVQ_JF2mCXgZ3hqFA"",""REKAP ALL 2026 - Andika!F:F""),"""",0)"),"26005753400")</f>
        <v>26005753400</v>
      </c>
      <c r="G3008" s="13" t="s">
        <v>57</v>
      </c>
      <c r="H3008" s="13" t="s">
        <v>3024</v>
      </c>
      <c r="I3008" s="13" t="str">
        <f aca="false">IF(C3008=J3008,"NEW KONTRAK","RE-KONTRAK")</f>
        <v>NEW KONTRAK</v>
      </c>
      <c r="J3008" s="16" t="n">
        <f aca="false" t="array" ref="J3008:J3008">IFERROR(INDEX(AC3008:AE3008,IF(COUNTA(AC3008:AE3008)=0,"",MAX((AC3008:AE3008&lt;&gt;"")*(COLUMN(AC3008:AE3008)-(COLUMN(AC3008)))))-1),"")</f>
        <v>46006</v>
      </c>
      <c r="K3008" s="16" t="n">
        <f aca="false" t="array" ref="K3008:K3008">IFERROR(INDEX(AC3008:AE3008,IF(COUNTA(AC3008:AE3008)=0,"",MAX((AC3008:AE3008&lt;&gt;"")*(COLUMN(AC3008:AE3008)-(COLUMN(AC3008)-1))))-1),"")</f>
        <v>46095</v>
      </c>
      <c r="L3008" s="17" t="str">
        <f aca="false" t="array" ref="L3008:L3008">IFERROR(INDEX(AC3008:AE3008,IF(COUNTA(AC3008:AE3008)=0,"",MAX((AC3008:AE3008&lt;&gt;"")*(COLUMN(AC3008:AE3008)-(COLUMN(AC3008)-2))))-1),"")</f>
        <v>KEMBALI</v>
      </c>
      <c r="M3008" s="13" t="n">
        <f aca="true">K3008-TODAY()</f>
        <v>-229</v>
      </c>
      <c r="N3008" s="18" t="s">
        <v>615</v>
      </c>
      <c r="O3008" s="13" t="s">
        <v>2335</v>
      </c>
      <c r="P3008" s="19" t="n">
        <v>210000</v>
      </c>
      <c r="Q3008" s="47" t="s">
        <v>12611</v>
      </c>
      <c r="R3008" s="13" t="s">
        <v>232</v>
      </c>
      <c r="S3008" s="16" t="n">
        <v>37408</v>
      </c>
      <c r="T3008" s="28" t="s">
        <v>40</v>
      </c>
      <c r="U3008" s="13" t="s">
        <v>12612</v>
      </c>
      <c r="V3008" s="13" t="s">
        <v>42</v>
      </c>
      <c r="W3008" s="13" t="s">
        <v>43</v>
      </c>
      <c r="X3008" s="21" t="n">
        <v>85895060898</v>
      </c>
      <c r="Y3008" s="22" t="str">
        <f aca="false">O3008</f>
        <v>Project Management</v>
      </c>
      <c r="Z3008" s="13" t="str">
        <f aca="false">IFERROR(__xludf.dummyfunction("if(BJ3008="""","""",GOOGLETRANSLATE(BJ3008,""auto"",""en""))"),"Project Management")</f>
        <v>Project Management</v>
      </c>
      <c r="AA3008" s="23" t="str">
        <f aca="false">IF(C3008="","", CHOOSE(MONTH(C3008),"January","February","March","April","May","June","July","August","September","October","November","December")&amp;" "&amp;DAY(C3008)&amp;MID("thstndrdth",MIN(9,2*RIGHT(DAY(C3008))*(MOD(DAY(C3008)-11,100)&gt;2)+1),2)&amp;","&amp;TEXT(C3008," yyyy"))</f>
        <v>December 15th,2025</v>
      </c>
      <c r="AB3008" s="15" t="str">
        <f aca="true">IF(S3008="","",DATEDIF(S3008,TODAY(),"Y")&amp;" Tahun, "&amp;DATEDIF(S3008,TODAY(),"YM")&amp;" Bulan, "&amp;DATEDIF(S3008,TODAY(),"MD")&amp;" Hari")</f>
        <v>24 Tahun, 4 Bulan, 28 Hari</v>
      </c>
      <c r="AC3008" s="18" t="n">
        <v>46006</v>
      </c>
      <c r="AD3008" s="18" t="n">
        <v>46095</v>
      </c>
      <c r="AE3008" s="13" t="s">
        <v>397</v>
      </c>
    </row>
    <row r="3009" customFormat="false" ht="15" hidden="false" customHeight="true" outlineLevel="0" collapsed="false">
      <c r="A3009" s="12" t="n">
        <v>21564</v>
      </c>
      <c r="B3009" s="13" t="s">
        <v>12613</v>
      </c>
      <c r="C3009" s="16" t="n">
        <v>46006</v>
      </c>
      <c r="D3009" s="13" t="s">
        <v>1338</v>
      </c>
      <c r="E3009" s="15" t="s">
        <v>47</v>
      </c>
      <c r="F3009" s="15" t="str">
        <f aca="false">IFERROR(__xludf.dummyfunction("XLOOKUP(AJ3009,IMPORTRANGE(""1XaInW9DU9nz21V0tYIfzFQ0He9kVQ_JF2mCXgZ3hqFA"",""REKAP ALL 2026 - Andika!G:G""),IMPORTRANGE(""1XaInW9DU9nz21V0tYIfzFQ0He9kVQ_JF2mCXgZ3hqFA"",""REKAP ALL 2026 - Andika!F:F""),"""",0)"),"26005753426")</f>
        <v>26005753426</v>
      </c>
      <c r="G3009" s="13" t="s">
        <v>57</v>
      </c>
      <c r="H3009" s="13" t="s">
        <v>3024</v>
      </c>
      <c r="I3009" s="13" t="str">
        <f aca="false">IF(C3009=J3009,"NEW KONTRAK","RE-KONTRAK")</f>
        <v>NEW KONTRAK</v>
      </c>
      <c r="J3009" s="16" t="n">
        <f aca="false" t="array" ref="J3009:J3009">IFERROR(INDEX(AC3009:AE3009,IF(COUNTA(AC3009:AE3009)=0,"",MAX((AC3009:AE3009&lt;&gt;"")*(COLUMN(AC3009:AE3009)-(COLUMN(AC3009)))))-1),"")</f>
        <v>46006</v>
      </c>
      <c r="K3009" s="16" t="n">
        <f aca="false" t="array" ref="K3009:K3009">IFERROR(INDEX(AC3009:AE3009,IF(COUNTA(AC3009:AE3009)=0,"",MAX((AC3009:AE3009&lt;&gt;"")*(COLUMN(AC3009:AE3009)-(COLUMN(AC3009)-1))))-1),"")</f>
        <v>46095</v>
      </c>
      <c r="L3009" s="17" t="str">
        <f aca="false" t="array" ref="L3009:L3009">IFERROR(INDEX(AC3009:AE3009,IF(COUNTA(AC3009:AE3009)=0,"",MAX((AC3009:AE3009&lt;&gt;"")*(COLUMN(AC3009:AE3009)-(COLUMN(AC3009)-2))))-1),"")</f>
        <v>KEMBALI</v>
      </c>
      <c r="M3009" s="13" t="n">
        <f aca="true">K3009-TODAY()</f>
        <v>-229</v>
      </c>
      <c r="N3009" s="18" t="s">
        <v>615</v>
      </c>
      <c r="O3009" s="13" t="s">
        <v>2335</v>
      </c>
      <c r="P3009" s="19" t="n">
        <v>245000</v>
      </c>
      <c r="Q3009" s="47" t="s">
        <v>12614</v>
      </c>
      <c r="R3009" s="13" t="s">
        <v>232</v>
      </c>
      <c r="S3009" s="16" t="n">
        <v>29842</v>
      </c>
      <c r="T3009" s="28" t="s">
        <v>40</v>
      </c>
      <c r="U3009" s="13" t="s">
        <v>12615</v>
      </c>
      <c r="V3009" s="13" t="s">
        <v>42</v>
      </c>
      <c r="W3009" s="13" t="s">
        <v>54</v>
      </c>
      <c r="X3009" s="21" t="n">
        <v>85648881981</v>
      </c>
      <c r="Y3009" s="22" t="str">
        <f aca="false">O3009</f>
        <v>Project Management</v>
      </c>
      <c r="Z3009" s="13" t="str">
        <f aca="false">IFERROR(__xludf.dummyfunction("if(BJ3009="""","""",GOOGLETRANSLATE(BJ3009,""auto"",""en""))"),"Project Management")</f>
        <v>Project Management</v>
      </c>
      <c r="AA3009" s="23" t="str">
        <f aca="false">IF(C3009="","", CHOOSE(MONTH(C3009),"January","February","March","April","May","June","July","August","September","October","November","December")&amp;" "&amp;DAY(C3009)&amp;MID("thstndrdth",MIN(9,2*RIGHT(DAY(C3009))*(MOD(DAY(C3009)-11,100)&gt;2)+1),2)&amp;","&amp;TEXT(C3009," yyyy"))</f>
        <v>December 15th,2025</v>
      </c>
      <c r="AB3009" s="15" t="str">
        <f aca="true">IF(S3009="","",DATEDIF(S3009,TODAY(),"Y")&amp;" Tahun, "&amp;DATEDIF(S3009,TODAY(),"YM")&amp;" Bulan, "&amp;DATEDIF(S3009,TODAY(),"MD")&amp;" Hari")</f>
        <v>45 Tahun, 1 Bulan, 16 Hari</v>
      </c>
      <c r="AC3009" s="18" t="n">
        <v>46006</v>
      </c>
      <c r="AD3009" s="18" t="n">
        <v>46095</v>
      </c>
      <c r="AE3009" s="13" t="s">
        <v>397</v>
      </c>
    </row>
    <row r="3010" customFormat="false" ht="15" hidden="false" customHeight="true" outlineLevel="0" collapsed="false">
      <c r="A3010" s="12" t="n">
        <v>21566</v>
      </c>
      <c r="B3010" s="93" t="s">
        <v>12616</v>
      </c>
      <c r="C3010" s="16" t="n">
        <v>46006</v>
      </c>
      <c r="D3010" s="13" t="s">
        <v>1338</v>
      </c>
      <c r="E3010" s="15" t="s">
        <v>102</v>
      </c>
      <c r="F3010" s="15" t="str">
        <f aca="false">IFERROR(__xludf.dummyfunction("XLOOKUP(AJ3010,IMPORTRANGE(""1XaInW9DU9nz21V0tYIfzFQ0He9kVQ_JF2mCXgZ3hqFA"",""REKAP ALL 2026 - Andika!G:G""),IMPORTRANGE(""1XaInW9DU9nz21V0tYIfzFQ0He9kVQ_JF2mCXgZ3hqFA"",""REKAP ALL 2026 - Andika!F:F""),"""",0)"),"26005753442")</f>
        <v>26005753442</v>
      </c>
      <c r="G3010" s="13" t="s">
        <v>57</v>
      </c>
      <c r="H3010" s="13" t="s">
        <v>3024</v>
      </c>
      <c r="I3010" s="13" t="str">
        <f aca="false">IF(C3010=J3010,"NEW KONTRAK","RE-KONTRAK")</f>
        <v>NEW KONTRAK</v>
      </c>
      <c r="J3010" s="16" t="n">
        <f aca="false" t="array" ref="J3010:J3010">IFERROR(INDEX(AC3010:AE3010,IF(COUNTA(AC3010:AE3010)=0,"",MAX((AC3010:AE3010&lt;&gt;"")*(COLUMN(AC3010:AE3010)-(COLUMN(AC3010)))))-1),"")</f>
        <v>46006</v>
      </c>
      <c r="K3010" s="16" t="n">
        <f aca="false" t="array" ref="K3010:K3010">IFERROR(INDEX(AC3010:AE3010,IF(COUNTA(AC3010:AE3010)=0,"",MAX((AC3010:AE3010&lt;&gt;"")*(COLUMN(AC3010:AE3010)-(COLUMN(AC3010)-1))))-1),"")</f>
        <v>46095</v>
      </c>
      <c r="L3010" s="17" t="str">
        <f aca="false" t="array" ref="L3010:L3010">IFERROR(INDEX(AC3010:AE3010,IF(COUNTA(AC3010:AE3010)=0,"",MAX((AC3010:AE3010&lt;&gt;"")*(COLUMN(AC3010:AE3010)-(COLUMN(AC3010)-2))))-1),"")</f>
        <v>ARCHIVED</v>
      </c>
      <c r="M3010" s="13" t="n">
        <f aca="true">K3010-TODAY()</f>
        <v>-229</v>
      </c>
      <c r="N3010" s="18" t="s">
        <v>615</v>
      </c>
      <c r="O3010" s="13" t="s">
        <v>2335</v>
      </c>
      <c r="P3010" s="19" t="n">
        <v>210000</v>
      </c>
      <c r="Q3010" s="47" t="s">
        <v>12617</v>
      </c>
      <c r="R3010" s="13" t="s">
        <v>232</v>
      </c>
      <c r="S3010" s="16" t="n">
        <v>35513</v>
      </c>
      <c r="T3010" s="28" t="s">
        <v>40</v>
      </c>
      <c r="U3010" s="13" t="s">
        <v>12618</v>
      </c>
      <c r="V3010" s="13" t="s">
        <v>42</v>
      </c>
      <c r="W3010" s="13" t="s">
        <v>54</v>
      </c>
      <c r="X3010" s="30" t="n">
        <v>89878892554</v>
      </c>
      <c r="Y3010" s="22" t="str">
        <f aca="false">O3010</f>
        <v>Project Management</v>
      </c>
      <c r="Z3010" s="13" t="str">
        <f aca="false">IFERROR(__xludf.dummyfunction("if(BJ3010="""","""",GOOGLETRANSLATE(BJ3010,""auto"",""en""))"),"Project Management")</f>
        <v>Project Management</v>
      </c>
      <c r="AA3010" s="23" t="str">
        <f aca="false">IF(C3010="","", CHOOSE(MONTH(C3010),"January","February","March","April","May","June","July","August","September","October","November","December")&amp;" "&amp;DAY(C3010)&amp;MID("thstndrdth",MIN(9,2*RIGHT(DAY(C3010))*(MOD(DAY(C3010)-11,100)&gt;2)+1),2)&amp;","&amp;TEXT(C3010," yyyy"))</f>
        <v>December 15th,2025</v>
      </c>
      <c r="AB3010" s="15" t="str">
        <f aca="true">IF(S3010="","",DATEDIF(S3010,TODAY(),"Y")&amp;" Tahun, "&amp;DATEDIF(S3010,TODAY(),"YM")&amp;" Bulan, "&amp;DATEDIF(S3010,TODAY(),"MD")&amp;" Hari")</f>
        <v>29 Tahun, 7 Bulan, 5 Hari</v>
      </c>
      <c r="AC3010" s="18" t="n">
        <v>46006</v>
      </c>
      <c r="AD3010" s="18" t="n">
        <v>46095</v>
      </c>
      <c r="AE3010" s="18" t="s">
        <v>44</v>
      </c>
    </row>
    <row r="3011" customFormat="false" ht="15" hidden="false" customHeight="true" outlineLevel="0" collapsed="false">
      <c r="A3011" s="12" t="n">
        <v>21567</v>
      </c>
      <c r="B3011" s="93" t="s">
        <v>12619</v>
      </c>
      <c r="C3011" s="16" t="n">
        <v>46006</v>
      </c>
      <c r="D3011" s="13" t="s">
        <v>1338</v>
      </c>
      <c r="E3011" s="15" t="s">
        <v>47</v>
      </c>
      <c r="F3011" s="24" t="s">
        <v>12620</v>
      </c>
      <c r="G3011" s="13" t="s">
        <v>57</v>
      </c>
      <c r="H3011" s="13" t="s">
        <v>3024</v>
      </c>
      <c r="I3011" s="13" t="str">
        <f aca="false">IF(C3011=J3011,"NEW KONTRAK","RE-KONTRAK")</f>
        <v>NEW KONTRAK</v>
      </c>
      <c r="J3011" s="16" t="n">
        <f aca="false" t="array" ref="J3011:J3011">IFERROR(INDEX(AC3011:AE3011,IF(COUNTA(AC3011:AE3011)=0,"",MAX((AC3011:AE3011&lt;&gt;"")*(COLUMN(AC3011:AE3011)-(COLUMN(AC3011)))))-1),"")</f>
        <v>46006</v>
      </c>
      <c r="K3011" s="16" t="n">
        <f aca="false" t="array" ref="K3011:K3011">IFERROR(INDEX(AC3011:AE3011,IF(COUNTA(AC3011:AE3011)=0,"",MAX((AC3011:AE3011&lt;&gt;"")*(COLUMN(AC3011:AE3011)-(COLUMN(AC3011)-1))))-1),"")</f>
        <v>46095</v>
      </c>
      <c r="L3011" s="17" t="str">
        <f aca="false" t="array" ref="L3011:L3011">IFERROR(INDEX(AC3011:AE3011,IF(COUNTA(AC3011:AE3011)=0,"",MAX((AC3011:AE3011&lt;&gt;"")*(COLUMN(AC3011:AE3011)-(COLUMN(AC3011)-2))))-1),"")</f>
        <v>KEMBALI</v>
      </c>
      <c r="M3011" s="13" t="n">
        <f aca="true">K3011-TODAY()</f>
        <v>-229</v>
      </c>
      <c r="N3011" s="18" t="s">
        <v>615</v>
      </c>
      <c r="O3011" s="13" t="s">
        <v>2335</v>
      </c>
      <c r="P3011" s="19" t="n">
        <v>210000</v>
      </c>
      <c r="Q3011" s="47" t="s">
        <v>12621</v>
      </c>
      <c r="R3011" s="13" t="s">
        <v>232</v>
      </c>
      <c r="S3011" s="16" t="n">
        <v>34105</v>
      </c>
      <c r="T3011" s="28" t="s">
        <v>40</v>
      </c>
      <c r="U3011" s="13" t="s">
        <v>12622</v>
      </c>
      <c r="V3011" s="13" t="s">
        <v>42</v>
      </c>
      <c r="W3011" s="13" t="s">
        <v>54</v>
      </c>
      <c r="X3011" s="30" t="n">
        <v>89565905151</v>
      </c>
      <c r="Y3011" s="22" t="str">
        <f aca="false">O3011</f>
        <v>Project Management</v>
      </c>
      <c r="Z3011" s="13" t="str">
        <f aca="false">IFERROR(__xludf.dummyfunction("if(BJ3011="""","""",GOOGLETRANSLATE(BJ3011,""auto"",""en""))"),"Project Management")</f>
        <v>Project Management</v>
      </c>
      <c r="AA3011" s="23" t="str">
        <f aca="false">IF(C3011="","", CHOOSE(MONTH(C3011),"January","February","March","April","May","June","July","August","September","October","November","December")&amp;" "&amp;DAY(C3011)&amp;MID("thstndrdth",MIN(9,2*RIGHT(DAY(C3011))*(MOD(DAY(C3011)-11,100)&gt;2)+1),2)&amp;","&amp;TEXT(C3011," yyyy"))</f>
        <v>December 15th,2025</v>
      </c>
      <c r="AB3011" s="15" t="str">
        <f aca="true">IF(S3011="","",DATEDIF(S3011,TODAY(),"Y")&amp;" Tahun, "&amp;DATEDIF(S3011,TODAY(),"YM")&amp;" Bulan, "&amp;DATEDIF(S3011,TODAY(),"MD")&amp;" Hari")</f>
        <v>33 Tahun, 5 Bulan, 13 Hari</v>
      </c>
      <c r="AC3011" s="18" t="n">
        <v>46006</v>
      </c>
      <c r="AD3011" s="18" t="n">
        <v>46095</v>
      </c>
      <c r="AE3011" s="13" t="s">
        <v>397</v>
      </c>
    </row>
    <row r="3012" customFormat="false" ht="15" hidden="false" customHeight="true" outlineLevel="0" collapsed="false">
      <c r="A3012" s="12" t="n">
        <v>21568</v>
      </c>
      <c r="B3012" s="13" t="s">
        <v>12623</v>
      </c>
      <c r="C3012" s="16" t="n">
        <v>46004</v>
      </c>
      <c r="D3012" s="13" t="s">
        <v>5892</v>
      </c>
      <c r="E3012" s="15" t="s">
        <v>33</v>
      </c>
      <c r="F3012" s="24" t="s">
        <v>12624</v>
      </c>
      <c r="G3012" s="13" t="s">
        <v>1127</v>
      </c>
      <c r="H3012" s="13" t="s">
        <v>35</v>
      </c>
      <c r="I3012" s="13" t="str">
        <f aca="false">IF(C3012=J3012,"NEW KONTRAK","RE-KONTRAK")</f>
        <v>NEW KONTRAK</v>
      </c>
      <c r="J3012" s="16" t="n">
        <f aca="false" t="array" ref="J3012:J3012">IFERROR(INDEX(AC3012:AE3012,IF(COUNTA(AC3012:AE3012)=0,"",MAX((AC3012:AE3012&lt;&gt;"")*(COLUMN(AC3012:AE3012)-(COLUMN(AC3012)))))-1),"")</f>
        <v>46004</v>
      </c>
      <c r="K3012" s="16" t="n">
        <f aca="false" t="array" ref="K3012:K3012">IFERROR(INDEX(AC3012:AE3012,IF(COUNTA(AC3012:AE3012)=0,"",MAX((AC3012:AE3012&lt;&gt;"")*(COLUMN(AC3012:AE3012)-(COLUMN(AC3012)-1))))-1),"")</f>
        <v>46093</v>
      </c>
      <c r="L3012" s="17" t="str">
        <f aca="false" t="array" ref="L3012:L3012">IFERROR(INDEX(AC3012:AE3012,IF(COUNTA(AC3012:AE3012)=0,"",MAX((AC3012:AE3012&lt;&gt;"")*(COLUMN(AC3012:AE3012)-(COLUMN(AC3012)-2))))-1),"")</f>
        <v>ARCHIVED</v>
      </c>
      <c r="M3012" s="13" t="n">
        <f aca="true">K3012-TODAY()</f>
        <v>-231</v>
      </c>
      <c r="N3012" s="18" t="s">
        <v>105</v>
      </c>
      <c r="O3012" s="13" t="s">
        <v>5894</v>
      </c>
      <c r="P3012" s="19" t="n">
        <v>4140000</v>
      </c>
      <c r="Q3012" s="47" t="s">
        <v>12625</v>
      </c>
      <c r="R3012" s="13" t="s">
        <v>39</v>
      </c>
      <c r="S3012" s="16" t="n">
        <v>36030</v>
      </c>
      <c r="T3012" s="13" t="s">
        <v>40</v>
      </c>
      <c r="U3012" s="13" t="s">
        <v>12626</v>
      </c>
      <c r="V3012" s="13" t="s">
        <v>42</v>
      </c>
      <c r="W3012" s="13" t="s">
        <v>43</v>
      </c>
      <c r="X3012" s="13" t="n">
        <v>85604905808</v>
      </c>
      <c r="Y3012" s="22" t="str">
        <f aca="false">O3012</f>
        <v>Checker</v>
      </c>
      <c r="Z3012" s="13" t="str">
        <f aca="false">IFERROR(__xludf.dummyfunction("if(BJ3012="""","""",GOOGLETRANSLATE(BJ3012,""auto"",""en""))"),"Checker")</f>
        <v>Checker</v>
      </c>
      <c r="AA3012" s="23" t="str">
        <f aca="false">IF(C3012="","", CHOOSE(MONTH(C3012),"January","February","March","April","May","June","July","August","September","October","November","December")&amp;" "&amp;DAY(C3012)&amp;MID("thstndrdth",MIN(9,2*RIGHT(DAY(C3012))*(MOD(DAY(C3012)-11,100)&gt;2)+1),2)&amp;","&amp;TEXT(C3012," yyyy"))</f>
        <v>December 13th,2025</v>
      </c>
      <c r="AB3012" s="15" t="str">
        <f aca="true">IF(S3012="","",DATEDIF(S3012,TODAY(),"Y")&amp;" Tahun, "&amp;DATEDIF(S3012,TODAY(),"YM")&amp;" Bulan, "&amp;DATEDIF(S3012,TODAY(),"MD")&amp;" Hari")</f>
        <v>28 Tahun, 2 Bulan, 6 Hari</v>
      </c>
      <c r="AC3012" s="18" t="n">
        <v>46004</v>
      </c>
      <c r="AD3012" s="18" t="n">
        <f aca="false">EDATE(AC3012,3)-1</f>
        <v>46093</v>
      </c>
      <c r="AE3012" s="13" t="s">
        <v>44</v>
      </c>
    </row>
    <row r="3013" customFormat="false" ht="15" hidden="false" customHeight="true" outlineLevel="0" collapsed="false">
      <c r="A3013" s="12" t="n">
        <v>21569</v>
      </c>
      <c r="B3013" s="13" t="s">
        <v>12627</v>
      </c>
      <c r="C3013" s="16" t="n">
        <v>46003</v>
      </c>
      <c r="D3013" s="13" t="s">
        <v>10058</v>
      </c>
      <c r="E3013" s="15" t="s">
        <v>47</v>
      </c>
      <c r="F3013" s="15" t="str">
        <f aca="false">IFERROR(__xludf.dummyfunction("XLOOKUP(AJ3013,IMPORTRANGE(""1XaInW9DU9nz21V0tYIfzFQ0He9kVQ_JF2mCXgZ3hqFA"",""REKAP ALL 2026 - Andika!G:G""),IMPORTRANGE(""1XaInW9DU9nz21V0tYIfzFQ0He9kVQ_JF2mCXgZ3hqFA"",""REKAP ALL 2026 - Andika!F:F""),"""",0)"),"26062985457")</f>
        <v>26062985457</v>
      </c>
      <c r="G3013" s="13" t="s">
        <v>1127</v>
      </c>
      <c r="H3013" s="13" t="s">
        <v>3024</v>
      </c>
      <c r="I3013" s="13" t="str">
        <f aca="false">IF(C3013=J3013,"NEW KONTRAK","RE-KONTRAK")</f>
        <v>NEW KONTRAK</v>
      </c>
      <c r="J3013" s="16" t="n">
        <f aca="false" t="array" ref="J3013:J3013">IFERROR(INDEX(AC3013:AE3013,IF(COUNTA(AC3013:AE3013)=0,"",MAX((AC3013:AE3013&lt;&gt;"")*(COLUMN(AC3013:AE3013)-(COLUMN(AC3013)))))-1),"")</f>
        <v>46003</v>
      </c>
      <c r="K3013" s="16" t="n">
        <f aca="false" t="array" ref="K3013:K3013">IFERROR(INDEX(AC3013:AE3013,IF(COUNTA(AC3013:AE3013)=0,"",MAX((AC3013:AE3013&lt;&gt;"")*(COLUMN(AC3013:AE3013)-(COLUMN(AC3013)-1))))-1),"")</f>
        <v>46036</v>
      </c>
      <c r="L3013" s="17" t="str">
        <f aca="false" t="array" ref="L3013:L3013">IFERROR(INDEX(AC3013:AE3013,IF(COUNTA(AC3013:AE3013)=0,"",MAX((AC3013:AE3013&lt;&gt;"")*(COLUMN(AC3013:AE3013)-(COLUMN(AC3013)-2))))-1),"")</f>
        <v>ARCHIVED</v>
      </c>
      <c r="M3013" s="13" t="n">
        <f aca="true">K3013-TODAY()</f>
        <v>-288</v>
      </c>
      <c r="N3013" s="18" t="s">
        <v>105</v>
      </c>
      <c r="O3013" s="13" t="s">
        <v>10059</v>
      </c>
      <c r="P3013" s="31" t="n">
        <v>138915</v>
      </c>
      <c r="Q3013" s="47" t="s">
        <v>12628</v>
      </c>
      <c r="R3013" s="13" t="s">
        <v>52</v>
      </c>
      <c r="S3013" s="16" t="n">
        <v>38757</v>
      </c>
      <c r="T3013" s="13" t="s">
        <v>108</v>
      </c>
      <c r="U3013" s="13" t="s">
        <v>12629</v>
      </c>
      <c r="V3013" s="13" t="s">
        <v>42</v>
      </c>
      <c r="W3013" s="13" t="s">
        <v>43</v>
      </c>
      <c r="X3013" s="21" t="n">
        <v>85858498150</v>
      </c>
      <c r="Y3013" s="22" t="str">
        <f aca="false">O3013</f>
        <v>Harian Lepas E-Commerce</v>
      </c>
      <c r="Z3013" s="13" t="str">
        <f aca="false">IFERROR(__xludf.dummyfunction("if(BJ3013="""","""",GOOGLETRANSLATE(BJ3013,""auto"",""en""))"),"Daily Post E-Commerce")</f>
        <v>Daily Post E-Commerce</v>
      </c>
      <c r="AA3013" s="23" t="str">
        <f aca="false">IF(C3013="","", CHOOSE(MONTH(C3013),"January","February","March","April","May","June","July","August","September","October","November","December")&amp;" "&amp;DAY(C3013)&amp;MID("thstndrdth",MIN(9,2*RIGHT(DAY(C3013))*(MOD(DAY(C3013)-11,100)&gt;2)+1),2)&amp;","&amp;TEXT(C3013," yyyy"))</f>
        <v>December 12th,2025</v>
      </c>
      <c r="AB3013" s="15" t="str">
        <f aca="true">IF(S3013="","",DATEDIF(S3013,TODAY(),"Y")&amp;" Tahun, "&amp;DATEDIF(S3013,TODAY(),"YM")&amp;" Bulan, "&amp;DATEDIF(S3013,TODAY(),"MD")&amp;" Hari")</f>
        <v>20 Tahun, 8 Bulan, 20 Hari</v>
      </c>
      <c r="AC3013" s="18" t="n">
        <v>46003</v>
      </c>
      <c r="AD3013" s="18" t="n">
        <v>46036</v>
      </c>
      <c r="AE3013" s="18" t="s">
        <v>44</v>
      </c>
    </row>
    <row r="3014" customFormat="false" ht="15" hidden="false" customHeight="true" outlineLevel="0" collapsed="false">
      <c r="A3014" s="12" t="n">
        <v>21570</v>
      </c>
      <c r="B3014" s="13" t="s">
        <v>12630</v>
      </c>
      <c r="C3014" s="16" t="n">
        <v>46004</v>
      </c>
      <c r="D3014" s="13" t="s">
        <v>10058</v>
      </c>
      <c r="E3014" s="15" t="s">
        <v>47</v>
      </c>
      <c r="F3014" s="15" t="str">
        <f aca="false">IFERROR(__xludf.dummyfunction("XLOOKUP(AJ3014,IMPORTRANGE(""1XaInW9DU9nz21V0tYIfzFQ0He9kVQ_JF2mCXgZ3hqFA"",""REKAP ALL 2026 - Andika!G:G""),IMPORTRANGE(""1XaInW9DU9nz21V0tYIfzFQ0He9kVQ_JF2mCXgZ3hqFA"",""REKAP ALL 2026 - Andika!F:F""),"""",0)"),"26062983163")</f>
        <v>26062983163</v>
      </c>
      <c r="G3014" s="13" t="s">
        <v>1127</v>
      </c>
      <c r="H3014" s="13" t="s">
        <v>3024</v>
      </c>
      <c r="I3014" s="13" t="str">
        <f aca="false">IF(C3014=J3014,"NEW KONTRAK","RE-KONTRAK")</f>
        <v>NEW KONTRAK</v>
      </c>
      <c r="J3014" s="16" t="n">
        <f aca="false" t="array" ref="J3014:J3014">IFERROR(INDEX(AC3014:AE3014,IF(COUNTA(AC3014:AE3014)=0,"",MAX((AC3014:AE3014&lt;&gt;"")*(COLUMN(AC3014:AE3014)-(COLUMN(AC3014)))))-1),"")</f>
        <v>46004</v>
      </c>
      <c r="K3014" s="16" t="n">
        <f aca="false" t="array" ref="K3014:K3014">IFERROR(INDEX(AC3014:AE3014,IF(COUNTA(AC3014:AE3014)=0,"",MAX((AC3014:AE3014&lt;&gt;"")*(COLUMN(AC3014:AE3014)-(COLUMN(AC3014)-1))))-1),"")</f>
        <v>46036</v>
      </c>
      <c r="L3014" s="17" t="str">
        <f aca="false" t="array" ref="L3014:L3014">IFERROR(INDEX(AC3014:AE3014,IF(COUNTA(AC3014:AE3014)=0,"",MAX((AC3014:AE3014&lt;&gt;"")*(COLUMN(AC3014:AE3014)-(COLUMN(AC3014)-2))))-1),"")</f>
        <v>ARCHIVED</v>
      </c>
      <c r="M3014" s="13" t="n">
        <f aca="true">K3014-TODAY()</f>
        <v>-288</v>
      </c>
      <c r="N3014" s="18" t="s">
        <v>105</v>
      </c>
      <c r="O3014" s="13" t="s">
        <v>10059</v>
      </c>
      <c r="P3014" s="31" t="n">
        <v>138915</v>
      </c>
      <c r="Q3014" s="47" t="s">
        <v>12631</v>
      </c>
      <c r="R3014" s="13" t="s">
        <v>52</v>
      </c>
      <c r="S3014" s="16" t="n">
        <v>38639</v>
      </c>
      <c r="T3014" s="13" t="s">
        <v>40</v>
      </c>
      <c r="U3014" s="13" t="s">
        <v>12632</v>
      </c>
      <c r="V3014" s="13" t="s">
        <v>42</v>
      </c>
      <c r="W3014" s="13" t="s">
        <v>43</v>
      </c>
      <c r="X3014" s="21" t="n">
        <v>87898963970</v>
      </c>
      <c r="Y3014" s="22" t="str">
        <f aca="false">O3014</f>
        <v>Harian Lepas E-Commerce</v>
      </c>
      <c r="Z3014" s="13" t="str">
        <f aca="false">IFERROR(__xludf.dummyfunction("if(BJ3014="""","""",GOOGLETRANSLATE(BJ3014,""auto"",""en""))"),"Daily Post E-Commerce")</f>
        <v>Daily Post E-Commerce</v>
      </c>
      <c r="AA3014" s="23" t="str">
        <f aca="false">IF(C3014="","", CHOOSE(MONTH(C3014),"January","February","March","April","May","June","July","August","September","October","November","December")&amp;" "&amp;DAY(C3014)&amp;MID("thstndrdth",MIN(9,2*RIGHT(DAY(C3014))*(MOD(DAY(C3014)-11,100)&gt;2)+1),2)&amp;","&amp;TEXT(C3014," yyyy"))</f>
        <v>December 13th,2025</v>
      </c>
      <c r="AB3014" s="15" t="str">
        <f aca="true">IF(S3014="","",DATEDIF(S3014,TODAY(),"Y")&amp;" Tahun, "&amp;DATEDIF(S3014,TODAY(),"YM")&amp;" Bulan, "&amp;DATEDIF(S3014,TODAY(),"MD")&amp;" Hari")</f>
        <v>21 Tahun, 0 Bulan, 15 Hari</v>
      </c>
      <c r="AC3014" s="18" t="n">
        <v>46004</v>
      </c>
      <c r="AD3014" s="18" t="n">
        <v>46036</v>
      </c>
      <c r="AE3014" s="13" t="s">
        <v>44</v>
      </c>
    </row>
    <row r="3015" customFormat="false" ht="15" hidden="false" customHeight="true" outlineLevel="0" collapsed="false">
      <c r="A3015" s="12" t="n">
        <v>21571</v>
      </c>
      <c r="B3015" s="13" t="s">
        <v>12633</v>
      </c>
      <c r="C3015" s="16" t="n">
        <v>46006</v>
      </c>
      <c r="D3015" s="13" t="s">
        <v>10058</v>
      </c>
      <c r="E3015" s="15" t="s">
        <v>47</v>
      </c>
      <c r="F3015" s="15" t="str">
        <f aca="false">IFERROR(__xludf.dummyfunction("XLOOKUP(AJ3015,IMPORTRANGE(""1XaInW9DU9nz21V0tYIfzFQ0He9kVQ_JF2mCXgZ3hqFA"",""REKAP ALL 2026 - Andika!G:G""),IMPORTRANGE(""1XaInW9DU9nz21V0tYIfzFQ0He9kVQ_JF2mCXgZ3hqFA"",""REKAP ALL 2026 - Andika!F:F""),"""",0)"),"26062983296")</f>
        <v>26062983296</v>
      </c>
      <c r="G3015" s="13" t="s">
        <v>1127</v>
      </c>
      <c r="H3015" s="13" t="s">
        <v>3024</v>
      </c>
      <c r="I3015" s="13" t="str">
        <f aca="false">IF(C3015=J3015,"NEW KONTRAK","RE-KONTRAK")</f>
        <v>NEW KONTRAK</v>
      </c>
      <c r="J3015" s="16" t="n">
        <f aca="false" t="array" ref="J3015:J3015">IFERROR(INDEX(AC3015:AE3015,IF(COUNTA(AC3015:AE3015)=0,"",MAX((AC3015:AE3015&lt;&gt;"")*(COLUMN(AC3015:AE3015)-(COLUMN(AC3015)))))-1),"")</f>
        <v>46006</v>
      </c>
      <c r="K3015" s="16" t="n">
        <f aca="false" t="array" ref="K3015:K3015">IFERROR(INDEX(AC3015:AE3015,IF(COUNTA(AC3015:AE3015)=0,"",MAX((AC3015:AE3015&lt;&gt;"")*(COLUMN(AC3015:AE3015)-(COLUMN(AC3015)-1))))-1),"")</f>
        <v>46036</v>
      </c>
      <c r="L3015" s="17" t="str">
        <f aca="false" t="array" ref="L3015:L3015">IFERROR(INDEX(AC3015:AE3015,IF(COUNTA(AC3015:AE3015)=0,"",MAX((AC3015:AE3015&lt;&gt;"")*(COLUMN(AC3015:AE3015)-(COLUMN(AC3015)-2))))-1),"")</f>
        <v>ARCHIVED</v>
      </c>
      <c r="M3015" s="13" t="n">
        <f aca="true">K3015-TODAY()</f>
        <v>-288</v>
      </c>
      <c r="N3015" s="18" t="s">
        <v>105</v>
      </c>
      <c r="O3015" s="13" t="s">
        <v>10059</v>
      </c>
      <c r="P3015" s="31" t="n">
        <v>138915</v>
      </c>
      <c r="Q3015" s="47" t="s">
        <v>12634</v>
      </c>
      <c r="R3015" s="13" t="s">
        <v>52</v>
      </c>
      <c r="S3015" s="16" t="n">
        <v>39152</v>
      </c>
      <c r="T3015" s="13" t="s">
        <v>108</v>
      </c>
      <c r="U3015" s="13" t="s">
        <v>12635</v>
      </c>
      <c r="V3015" s="13" t="s">
        <v>42</v>
      </c>
      <c r="W3015" s="13" t="s">
        <v>43</v>
      </c>
      <c r="X3015" s="21" t="n">
        <v>88217703741</v>
      </c>
      <c r="Y3015" s="22" t="str">
        <f aca="false">O3015</f>
        <v>Harian Lepas E-Commerce</v>
      </c>
      <c r="Z3015" s="13" t="str">
        <f aca="false">IFERROR(__xludf.dummyfunction("if(BJ3015="""","""",GOOGLETRANSLATE(BJ3015,""auto"",""en""))"),"Daily Post E-Commerce")</f>
        <v>Daily Post E-Commerce</v>
      </c>
      <c r="AA3015" s="23" t="str">
        <f aca="false">IF(C3015="","", CHOOSE(MONTH(C3015),"January","February","March","April","May","June","July","August","September","October","November","December")&amp;" "&amp;DAY(C3015)&amp;MID("thstndrdth",MIN(9,2*RIGHT(DAY(C3015))*(MOD(DAY(C3015)-11,100)&gt;2)+1),2)&amp;","&amp;TEXT(C3015," yyyy"))</f>
        <v>December 15th,2025</v>
      </c>
      <c r="AB3015" s="15" t="str">
        <f aca="true">IF(S3015="","",DATEDIF(S3015,TODAY(),"Y")&amp;" Tahun, "&amp;DATEDIF(S3015,TODAY(),"YM")&amp;" Bulan, "&amp;DATEDIF(S3015,TODAY(),"MD")&amp;" Hari")</f>
        <v>19 Tahun, 7 Bulan, 18 Hari</v>
      </c>
      <c r="AC3015" s="18" t="n">
        <v>46006</v>
      </c>
      <c r="AD3015" s="18" t="n">
        <v>46036</v>
      </c>
      <c r="AE3015" s="13" t="s">
        <v>44</v>
      </c>
    </row>
    <row r="3016" customFormat="false" ht="15" hidden="false" customHeight="true" outlineLevel="0" collapsed="false">
      <c r="A3016" s="12" t="n">
        <v>21573</v>
      </c>
      <c r="B3016" s="13" t="s">
        <v>12636</v>
      </c>
      <c r="C3016" s="16" t="n">
        <v>45995</v>
      </c>
      <c r="D3016" s="13" t="s">
        <v>144</v>
      </c>
      <c r="E3016" s="15" t="s">
        <v>47</v>
      </c>
      <c r="F3016" s="15" t="str">
        <f aca="false">IFERROR(__xludf.dummyfunction("XLOOKUP(AJ3016,IMPORTRANGE(""1XaInW9DU9nz21V0tYIfzFQ0He9kVQ_JF2mCXgZ3hqFA"",""REKAP ALL 2026 - Andika!G:G""),IMPORTRANGE(""1XaInW9DU9nz21V0tYIfzFQ0He9kVQ_JF2mCXgZ3hqFA"",""REKAP ALL 2026 - Andika!F:F""),"""",0)"),"26005759670")</f>
        <v>26005759670</v>
      </c>
      <c r="G3016" s="13" t="s">
        <v>1127</v>
      </c>
      <c r="H3016" s="13" t="s">
        <v>35</v>
      </c>
      <c r="I3016" s="13" t="str">
        <f aca="false">IF(C3016=J3016,"NEW KONTRAK","RE-KONTRAK")</f>
        <v>NEW KONTRAK</v>
      </c>
      <c r="J3016" s="16" t="n">
        <f aca="false" t="array" ref="J3016:J3016">IFERROR(INDEX(AC3016:AE3016,IF(COUNTA(AC3016:AE3016)=0,"",MAX((AC3016:AE3016&lt;&gt;"")*(COLUMN(AC3016:AE3016)-(COLUMN(AC3016)))))-1),"")</f>
        <v>45995</v>
      </c>
      <c r="K3016" s="16" t="n">
        <f aca="false" t="array" ref="K3016:K3016">IFERROR(INDEX(AC3016:AE3016,IF(COUNTA(AC3016:AE3016)=0,"",MAX((AC3016:AE3016&lt;&gt;"")*(COLUMN(AC3016:AE3016)-(COLUMN(AC3016)-1))))-1),"")</f>
        <v>46022</v>
      </c>
      <c r="L3016" s="17" t="str">
        <f aca="false" t="array" ref="L3016:L3016">IFERROR(INDEX(AC3016:AE3016,IF(COUNTA(AC3016:AE3016)=0,"",MAX((AC3016:AE3016&lt;&gt;"")*(COLUMN(AC3016:AE3016)-(COLUMN(AC3016)-2))))-1),"")</f>
        <v>ARCHIVED</v>
      </c>
      <c r="M3016" s="13" t="n">
        <f aca="true">K3016-TODAY()</f>
        <v>-302</v>
      </c>
      <c r="N3016" s="18" t="s">
        <v>36</v>
      </c>
      <c r="O3016" s="13" t="s">
        <v>12083</v>
      </c>
      <c r="P3016" s="19" t="n">
        <v>5195401</v>
      </c>
      <c r="Q3016" s="47" t="s">
        <v>12637</v>
      </c>
      <c r="R3016" s="13" t="s">
        <v>52</v>
      </c>
      <c r="S3016" s="16" t="n">
        <v>34746</v>
      </c>
      <c r="T3016" s="13" t="s">
        <v>40</v>
      </c>
      <c r="U3016" s="13" t="s">
        <v>12638</v>
      </c>
      <c r="V3016" s="13" t="s">
        <v>42</v>
      </c>
      <c r="W3016" s="13" t="s">
        <v>54</v>
      </c>
      <c r="X3016" s="21" t="n">
        <v>82229548457</v>
      </c>
      <c r="Y3016" s="22" t="str">
        <f aca="false">O3016</f>
        <v>Operator Reacktruck</v>
      </c>
      <c r="Z3016" s="13" t="str">
        <f aca="false">IFERROR(__xludf.dummyfunction("if(BJ3016="""","""",GOOGLETRANSLATE(BJ3016,""auto"",""en""))"),"Operator Reacktruck")</f>
        <v>Operator Reacktruck</v>
      </c>
      <c r="AA3016" s="23" t="str">
        <f aca="false">IF(C3016="","", CHOOSE(MONTH(C3016),"January","February","March","April","May","June","July","August","September","October","November","December")&amp;" "&amp;DAY(C3016)&amp;MID("thstndrdth",MIN(9,2*RIGHT(DAY(C3016))*(MOD(DAY(C3016)-11,100)&gt;2)+1),2)&amp;","&amp;TEXT(C3016," yyyy"))</f>
        <v>December 4th,2025</v>
      </c>
      <c r="AB3016" s="15" t="str">
        <f aca="true">IF(S3016="","",DATEDIF(S3016,TODAY(),"Y")&amp;" Tahun, "&amp;DATEDIF(S3016,TODAY(),"YM")&amp;" Bulan, "&amp;DATEDIF(S3016,TODAY(),"MD")&amp;" Hari")</f>
        <v>31 Tahun, 8 Bulan, 13 Hari</v>
      </c>
      <c r="AC3016" s="18" t="n">
        <v>45995</v>
      </c>
      <c r="AD3016" s="18" t="n">
        <v>46022</v>
      </c>
      <c r="AE3016" s="13" t="s">
        <v>44</v>
      </c>
    </row>
    <row r="3017" customFormat="false" ht="15" hidden="false" customHeight="true" outlineLevel="0" collapsed="false">
      <c r="A3017" s="12" t="n">
        <v>21574</v>
      </c>
      <c r="B3017" s="13" t="s">
        <v>12639</v>
      </c>
      <c r="C3017" s="16" t="n">
        <v>45995</v>
      </c>
      <c r="D3017" s="13" t="s">
        <v>144</v>
      </c>
      <c r="E3017" s="15" t="s">
        <v>102</v>
      </c>
      <c r="F3017" s="15" t="str">
        <f aca="false">IFERROR(__xludf.dummyfunction("XLOOKUP(AJ3017,IMPORTRANGE(""1XaInW9DU9nz21V0tYIfzFQ0He9kVQ_JF2mCXgZ3hqFA"",""REKAP ALL 2026 - Andika!G:G""),IMPORTRANGE(""1XaInW9DU9nz21V0tYIfzFQ0He9kVQ_JF2mCXgZ3hqFA"",""REKAP ALL 2026 - Andika!F:F""),"""",0)"),"26005759704")</f>
        <v>26005759704</v>
      </c>
      <c r="G3017" s="13" t="s">
        <v>1127</v>
      </c>
      <c r="H3017" s="13" t="s">
        <v>35</v>
      </c>
      <c r="I3017" s="13" t="str">
        <f aca="false">IF(C3017=J3017,"NEW KONTRAK","RE-KONTRAK")</f>
        <v>NEW KONTRAK</v>
      </c>
      <c r="J3017" s="16" t="n">
        <f aca="false" t="array" ref="J3017:J3017">IFERROR(INDEX(AC3017:AE3017,IF(COUNTA(AC3017:AE3017)=0,"",MAX((AC3017:AE3017&lt;&gt;"")*(COLUMN(AC3017:AE3017)-(COLUMN(AC3017)))))-1),"")</f>
        <v>45995</v>
      </c>
      <c r="K3017" s="16" t="n">
        <f aca="false" t="array" ref="K3017:K3017">IFERROR(INDEX(AC3017:AE3017,IF(COUNTA(AC3017:AE3017)=0,"",MAX((AC3017:AE3017&lt;&gt;"")*(COLUMN(AC3017:AE3017)-(COLUMN(AC3017)-1))))-1),"")</f>
        <v>46022</v>
      </c>
      <c r="L3017" s="17" t="str">
        <f aca="false" t="array" ref="L3017:L3017">IFERROR(INDEX(AC3017:AE3017,IF(COUNTA(AC3017:AE3017)=0,"",MAX((AC3017:AE3017&lt;&gt;"")*(COLUMN(AC3017:AE3017)-(COLUMN(AC3017)-2))))-1),"")</f>
        <v>ARCHIVED</v>
      </c>
      <c r="M3017" s="13" t="n">
        <f aca="true">K3017-TODAY()</f>
        <v>-302</v>
      </c>
      <c r="N3017" s="18" t="s">
        <v>36</v>
      </c>
      <c r="O3017" s="13" t="s">
        <v>12083</v>
      </c>
      <c r="P3017" s="19" t="n">
        <v>5195401</v>
      </c>
      <c r="Q3017" s="47" t="s">
        <v>12640</v>
      </c>
      <c r="R3017" s="13" t="s">
        <v>65</v>
      </c>
      <c r="S3017" s="16" t="n">
        <v>37583</v>
      </c>
      <c r="T3017" s="13" t="s">
        <v>40</v>
      </c>
      <c r="U3017" s="13" t="s">
        <v>12641</v>
      </c>
      <c r="V3017" s="13" t="s">
        <v>42</v>
      </c>
      <c r="W3017" s="13" t="s">
        <v>43</v>
      </c>
      <c r="X3017" s="21" t="n">
        <v>83123244110</v>
      </c>
      <c r="Y3017" s="22" t="str">
        <f aca="false">O3017</f>
        <v>Operator Reacktruck</v>
      </c>
      <c r="Z3017" s="13" t="str">
        <f aca="false">IFERROR(__xludf.dummyfunction("if(BJ3017="""","""",GOOGLETRANSLATE(BJ3017,""auto"",""en""))"),"Operator Reacktruck")</f>
        <v>Operator Reacktruck</v>
      </c>
      <c r="AA3017" s="23" t="str">
        <f aca="false">IF(C3017="","", CHOOSE(MONTH(C3017),"January","February","March","April","May","June","July","August","September","October","November","December")&amp;" "&amp;DAY(C3017)&amp;MID("thstndrdth",MIN(9,2*RIGHT(DAY(C3017))*(MOD(DAY(C3017)-11,100)&gt;2)+1),2)&amp;","&amp;TEXT(C3017," yyyy"))</f>
        <v>December 4th,2025</v>
      </c>
      <c r="AB3017" s="15" t="str">
        <f aca="true">IF(S3017="","",DATEDIF(S3017,TODAY(),"Y")&amp;" Tahun, "&amp;DATEDIF(S3017,TODAY(),"YM")&amp;" Bulan, "&amp;DATEDIF(S3017,TODAY(),"MD")&amp;" Hari")</f>
        <v>23 Tahun, 11 Bulan, 6 Hari</v>
      </c>
      <c r="AC3017" s="18" t="n">
        <v>45995</v>
      </c>
      <c r="AD3017" s="18" t="n">
        <v>46022</v>
      </c>
      <c r="AE3017" s="13" t="s">
        <v>44</v>
      </c>
    </row>
    <row r="3018" customFormat="false" ht="15" hidden="false" customHeight="true" outlineLevel="0" collapsed="false">
      <c r="A3018" s="12" t="n">
        <v>21575</v>
      </c>
      <c r="B3018" s="45" t="s">
        <v>12642</v>
      </c>
      <c r="C3018" s="16" t="n">
        <v>45999</v>
      </c>
      <c r="D3018" s="13" t="s">
        <v>144</v>
      </c>
      <c r="E3018" s="15" t="s">
        <v>47</v>
      </c>
      <c r="F3018" s="15" t="str">
        <f aca="false">IFERROR(__xludf.dummyfunction("XLOOKUP(AJ3018,IMPORTRANGE(""1XaInW9DU9nz21V0tYIfzFQ0He9kVQ_JF2mCXgZ3hqFA"",""REKAP ALL 2026 - Andika!G:G""),IMPORTRANGE(""1XaInW9DU9nz21V0tYIfzFQ0He9kVQ_JF2mCXgZ3hqFA"",""REKAP ALL 2026 - Andika!F:F""),"""",0)"),"26005759720")</f>
        <v>26005759720</v>
      </c>
      <c r="G3018" s="13" t="s">
        <v>1127</v>
      </c>
      <c r="H3018" s="13" t="s">
        <v>35</v>
      </c>
      <c r="I3018" s="13" t="str">
        <f aca="false">IF(C3018=J3018,"NEW KONTRAK","RE-KONTRAK")</f>
        <v>NEW KONTRAK</v>
      </c>
      <c r="J3018" s="16" t="n">
        <f aca="false" t="array" ref="J3018:J3018">IFERROR(INDEX(AC3018:AE3018,IF(COUNTA(AC3018:AE3018)=0,"",MAX((AC3018:AE3018&lt;&gt;"")*(COLUMN(AC3018:AE3018)-(COLUMN(AC3018)))))-1),"")</f>
        <v>45999</v>
      </c>
      <c r="K3018" s="16" t="n">
        <f aca="false" t="array" ref="K3018:K3018">IFERROR(INDEX(AC3018:AE3018,IF(COUNTA(AC3018:AE3018)=0,"",MAX((AC3018:AE3018&lt;&gt;"")*(COLUMN(AC3018:AE3018)-(COLUMN(AC3018)-1))))-1),"")</f>
        <v>46022</v>
      </c>
      <c r="L3018" s="17" t="str">
        <f aca="false" t="array" ref="L3018:L3018">IFERROR(INDEX(AC3018:AE3018,IF(COUNTA(AC3018:AE3018)=0,"",MAX((AC3018:AE3018&lt;&gt;"")*(COLUMN(AC3018:AE3018)-(COLUMN(AC3018)-2))))-1),"")</f>
        <v>ARCHIVED</v>
      </c>
      <c r="M3018" s="13" t="n">
        <f aca="true">K3018-TODAY()</f>
        <v>-302</v>
      </c>
      <c r="N3018" s="18" t="s">
        <v>36</v>
      </c>
      <c r="O3018" s="13" t="s">
        <v>12643</v>
      </c>
      <c r="P3018" s="19" t="n">
        <v>5195401</v>
      </c>
      <c r="Q3018" s="47" t="s">
        <v>12644</v>
      </c>
      <c r="R3018" s="13" t="s">
        <v>241</v>
      </c>
      <c r="S3018" s="16" t="n">
        <v>37250</v>
      </c>
      <c r="T3018" s="13" t="s">
        <v>40</v>
      </c>
      <c r="U3018" s="13" t="s">
        <v>12645</v>
      </c>
      <c r="V3018" s="13" t="s">
        <v>42</v>
      </c>
      <c r="W3018" s="13" t="s">
        <v>43</v>
      </c>
      <c r="X3018" s="21" t="n">
        <v>85736278921</v>
      </c>
      <c r="Y3018" s="22" t="str">
        <f aca="false">O3018</f>
        <v>Analis Laboratorium</v>
      </c>
      <c r="Z3018" s="13" t="str">
        <f aca="false">IFERROR(__xludf.dummyfunction("if(BJ3018="""","""",GOOGLETRANSLATE(BJ3018,""auto"",""en""))"),"Laboratory Analyst")</f>
        <v>Laboratory Analyst</v>
      </c>
      <c r="AA3018" s="23" t="str">
        <f aca="false">IF(C3018="","", CHOOSE(MONTH(C3018),"January","February","March","April","May","June","July","August","September","October","November","December")&amp;" "&amp;DAY(C3018)&amp;MID("thstndrdth",MIN(9,2*RIGHT(DAY(C3018))*(MOD(DAY(C3018)-11,100)&gt;2)+1),2)&amp;","&amp;TEXT(C3018," yyyy"))</f>
        <v>December 8th,2025</v>
      </c>
      <c r="AB3018" s="15" t="str">
        <f aca="true">IF(S3018="","",DATEDIF(S3018,TODAY(),"Y")&amp;" Tahun, "&amp;DATEDIF(S3018,TODAY(),"YM")&amp;" Bulan, "&amp;DATEDIF(S3018,TODAY(),"MD")&amp;" Hari")</f>
        <v>24 Tahun, 10 Bulan, 4 Hari</v>
      </c>
      <c r="AC3018" s="18" t="n">
        <v>45999</v>
      </c>
      <c r="AD3018" s="18" t="n">
        <v>46022</v>
      </c>
      <c r="AE3018" s="13" t="s">
        <v>44</v>
      </c>
    </row>
    <row r="3019" customFormat="false" ht="15" hidden="false" customHeight="true" outlineLevel="0" collapsed="false">
      <c r="A3019" s="12" t="n">
        <v>21576</v>
      </c>
      <c r="B3019" s="13" t="s">
        <v>12646</v>
      </c>
      <c r="C3019" s="16" t="n">
        <v>45999</v>
      </c>
      <c r="D3019" s="13" t="s">
        <v>144</v>
      </c>
      <c r="E3019" s="15" t="s">
        <v>47</v>
      </c>
      <c r="F3019" s="15" t="str">
        <f aca="false">IFERROR(__xludf.dummyfunction("XLOOKUP(AJ3019,IMPORTRANGE(""1XaInW9DU9nz21V0tYIfzFQ0He9kVQ_JF2mCXgZ3hqFA"",""REKAP ALL 2026 - Andika!G:G""),IMPORTRANGE(""1XaInW9DU9nz21V0tYIfzFQ0He9kVQ_JF2mCXgZ3hqFA"",""REKAP ALL 2026 - Andika!F:F""),"""",0)"),"26005759746")</f>
        <v>26005759746</v>
      </c>
      <c r="G3019" s="13" t="s">
        <v>1127</v>
      </c>
      <c r="H3019" s="13" t="s">
        <v>35</v>
      </c>
      <c r="I3019" s="13" t="str">
        <f aca="false">IF(C3019=J3019,"NEW KONTRAK","RE-KONTRAK")</f>
        <v>NEW KONTRAK</v>
      </c>
      <c r="J3019" s="16" t="n">
        <f aca="false" t="array" ref="J3019:J3019">IFERROR(INDEX(AC3019:AE3019,IF(COUNTA(AC3019:AE3019)=0,"",MAX((AC3019:AE3019&lt;&gt;"")*(COLUMN(AC3019:AE3019)-(COLUMN(AC3019)))))-1),"")</f>
        <v>45999</v>
      </c>
      <c r="K3019" s="16" t="n">
        <f aca="false" t="array" ref="K3019:K3019">IFERROR(INDEX(AC3019:AE3019,IF(COUNTA(AC3019:AE3019)=0,"",MAX((AC3019:AE3019&lt;&gt;"")*(COLUMN(AC3019:AE3019)-(COLUMN(AC3019)-1))))-1),"")</f>
        <v>46022</v>
      </c>
      <c r="L3019" s="17" t="str">
        <f aca="false" t="array" ref="L3019:L3019">IFERROR(INDEX(AC3019:AE3019,IF(COUNTA(AC3019:AE3019)=0,"",MAX((AC3019:AE3019&lt;&gt;"")*(COLUMN(AC3019:AE3019)-(COLUMN(AC3019)-2))))-1),"")</f>
        <v>ARCHIVED</v>
      </c>
      <c r="M3019" s="13" t="n">
        <f aca="true">K3019-TODAY()</f>
        <v>-302</v>
      </c>
      <c r="N3019" s="18" t="s">
        <v>36</v>
      </c>
      <c r="O3019" s="13" t="s">
        <v>9279</v>
      </c>
      <c r="P3019" s="19" t="n">
        <v>5195401</v>
      </c>
      <c r="Q3019" s="47" t="s">
        <v>12647</v>
      </c>
      <c r="R3019" s="13" t="s">
        <v>78</v>
      </c>
      <c r="S3019" s="16" t="n">
        <v>38032</v>
      </c>
      <c r="T3019" s="13" t="s">
        <v>40</v>
      </c>
      <c r="U3019" s="13" t="s">
        <v>12648</v>
      </c>
      <c r="V3019" s="13" t="s">
        <v>42</v>
      </c>
      <c r="W3019" s="13" t="s">
        <v>43</v>
      </c>
      <c r="X3019" s="21" t="n">
        <v>87861441717</v>
      </c>
      <c r="Y3019" s="22" t="str">
        <f aca="false">O3019</f>
        <v>Picker Gudang</v>
      </c>
      <c r="Z3019" s="13" t="str">
        <f aca="false">IFERROR(__xludf.dummyfunction("if(BJ3019="""","""",GOOGLETRANSLATE(BJ3019,""auto"",""en""))"),"Warehouse Picker")</f>
        <v>Warehouse Picker</v>
      </c>
      <c r="AA3019" s="23" t="str">
        <f aca="false">IF(C3019="","", CHOOSE(MONTH(C3019),"January","February","March","April","May","June","July","August","September","October","November","December")&amp;" "&amp;DAY(C3019)&amp;MID("thstndrdth",MIN(9,2*RIGHT(DAY(C3019))*(MOD(DAY(C3019)-11,100)&gt;2)+1),2)&amp;","&amp;TEXT(C3019," yyyy"))</f>
        <v>December 8th,2025</v>
      </c>
      <c r="AB3019" s="15" t="str">
        <f aca="true">IF(S3019="","",DATEDIF(S3019,TODAY(),"Y")&amp;" Tahun, "&amp;DATEDIF(S3019,TODAY(),"YM")&amp;" Bulan, "&amp;DATEDIF(S3019,TODAY(),"MD")&amp;" Hari")</f>
        <v>22 Tahun, 8 Bulan, 14 Hari</v>
      </c>
      <c r="AC3019" s="18" t="n">
        <v>45999</v>
      </c>
      <c r="AD3019" s="18" t="n">
        <v>46022</v>
      </c>
      <c r="AE3019" s="13" t="s">
        <v>44</v>
      </c>
    </row>
    <row r="3020" customFormat="false" ht="15" hidden="false" customHeight="true" outlineLevel="0" collapsed="false">
      <c r="A3020" s="12" t="n">
        <v>21577</v>
      </c>
      <c r="B3020" s="13" t="s">
        <v>12649</v>
      </c>
      <c r="C3020" s="16" t="n">
        <v>45999</v>
      </c>
      <c r="D3020" s="13" t="s">
        <v>144</v>
      </c>
      <c r="E3020" s="15" t="s">
        <v>47</v>
      </c>
      <c r="F3020" s="15" t="str">
        <f aca="false">IFERROR(__xludf.dummyfunction("XLOOKUP(AJ3020,IMPORTRANGE(""1XaInW9DU9nz21V0tYIfzFQ0He9kVQ_JF2mCXgZ3hqFA"",""REKAP ALL 2026 - Andika!G:G""),IMPORTRANGE(""1XaInW9DU9nz21V0tYIfzFQ0He9kVQ_JF2mCXgZ3hqFA"",""REKAP ALL 2026 - Andika!F:F""),"""",0)"),"26005759761")</f>
        <v>26005759761</v>
      </c>
      <c r="G3020" s="13" t="s">
        <v>1127</v>
      </c>
      <c r="H3020" s="13" t="s">
        <v>35</v>
      </c>
      <c r="I3020" s="13" t="str">
        <f aca="false">IF(C3020=J3020,"NEW KONTRAK","RE-KONTRAK")</f>
        <v>NEW KONTRAK</v>
      </c>
      <c r="J3020" s="16" t="n">
        <f aca="false" t="array" ref="J3020:J3020">IFERROR(INDEX(AC3020:AE3020,IF(COUNTA(AC3020:AE3020)=0,"",MAX((AC3020:AE3020&lt;&gt;"")*(COLUMN(AC3020:AE3020)-(COLUMN(AC3020)))))-1),"")</f>
        <v>45999</v>
      </c>
      <c r="K3020" s="16" t="n">
        <f aca="false" t="array" ref="K3020:K3020">IFERROR(INDEX(AC3020:AE3020,IF(COUNTA(AC3020:AE3020)=0,"",MAX((AC3020:AE3020&lt;&gt;"")*(COLUMN(AC3020:AE3020)-(COLUMN(AC3020)-1))))-1),"")</f>
        <v>46022</v>
      </c>
      <c r="L3020" s="17" t="str">
        <f aca="false" t="array" ref="L3020:L3020">IFERROR(INDEX(AC3020:AE3020,IF(COUNTA(AC3020:AE3020)=0,"",MAX((AC3020:AE3020&lt;&gt;"")*(COLUMN(AC3020:AE3020)-(COLUMN(AC3020)-2))))-1),"")</f>
        <v>ARCHIVED</v>
      </c>
      <c r="M3020" s="13" t="n">
        <f aca="true">K3020-TODAY()</f>
        <v>-302</v>
      </c>
      <c r="N3020" s="18" t="s">
        <v>36</v>
      </c>
      <c r="O3020" s="13" t="s">
        <v>12650</v>
      </c>
      <c r="P3020" s="19" t="n">
        <v>5195401</v>
      </c>
      <c r="Q3020" s="47" t="s">
        <v>12651</v>
      </c>
      <c r="R3020" s="13" t="s">
        <v>52</v>
      </c>
      <c r="S3020" s="16" t="n">
        <v>35606</v>
      </c>
      <c r="T3020" s="13" t="s">
        <v>108</v>
      </c>
      <c r="U3020" s="13" t="s">
        <v>12652</v>
      </c>
      <c r="V3020" s="13" t="s">
        <v>42</v>
      </c>
      <c r="W3020" s="13" t="s">
        <v>43</v>
      </c>
      <c r="X3020" s="21" t="n">
        <v>87855474511</v>
      </c>
      <c r="Y3020" s="22" t="str">
        <f aca="false">O3020</f>
        <v>Resepsionis</v>
      </c>
      <c r="Z3020" s="13" t="str">
        <f aca="false">IFERROR(__xludf.dummyfunction("if(BJ3020="""","""",GOOGLETRANSLATE(BJ3020,""auto"",""en""))"),"Receptionist")</f>
        <v>Receptionist</v>
      </c>
      <c r="AA3020" s="23" t="str">
        <f aca="false">IF(C3020="","", CHOOSE(MONTH(C3020),"January","February","March","April","May","June","July","August","September","October","November","December")&amp;" "&amp;DAY(C3020)&amp;MID("thstndrdth",MIN(9,2*RIGHT(DAY(C3020))*(MOD(DAY(C3020)-11,100)&gt;2)+1),2)&amp;","&amp;TEXT(C3020," yyyy"))</f>
        <v>December 8th,2025</v>
      </c>
      <c r="AB3020" s="15" t="str">
        <f aca="true">IF(S3020="","",DATEDIF(S3020,TODAY(),"Y")&amp;" Tahun, "&amp;DATEDIF(S3020,TODAY(),"YM")&amp;" Bulan, "&amp;DATEDIF(S3020,TODAY(),"MD")&amp;" Hari")</f>
        <v>29 Tahun, 4 Bulan, 4 Hari</v>
      </c>
      <c r="AC3020" s="18" t="n">
        <v>45999</v>
      </c>
      <c r="AD3020" s="18" t="n">
        <v>46022</v>
      </c>
      <c r="AE3020" s="13" t="s">
        <v>44</v>
      </c>
    </row>
    <row r="3021" customFormat="false" ht="15" hidden="false" customHeight="true" outlineLevel="0" collapsed="false">
      <c r="A3021" s="12" t="n">
        <v>21578</v>
      </c>
      <c r="B3021" s="13" t="s">
        <v>12653</v>
      </c>
      <c r="C3021" s="16" t="n">
        <v>45999</v>
      </c>
      <c r="D3021" s="13" t="s">
        <v>144</v>
      </c>
      <c r="E3021" s="15" t="s">
        <v>102</v>
      </c>
      <c r="F3021" s="24" t="s">
        <v>12654</v>
      </c>
      <c r="G3021" s="13" t="s">
        <v>1127</v>
      </c>
      <c r="H3021" s="13" t="s">
        <v>35</v>
      </c>
      <c r="I3021" s="13" t="str">
        <f aca="false">IF(C3021=J3021,"NEW KONTRAK","RE-KONTRAK")</f>
        <v>NEW KONTRAK</v>
      </c>
      <c r="J3021" s="16" t="n">
        <f aca="false" t="array" ref="J3021:J3021">IFERROR(INDEX(AC3021:AE3021,IF(COUNTA(AC3021:AE3021)=0,"",MAX((AC3021:AE3021&lt;&gt;"")*(COLUMN(AC3021:AE3021)-(COLUMN(AC3021)))))-1),"")</f>
        <v>45999</v>
      </c>
      <c r="K3021" s="16" t="n">
        <f aca="false" t="array" ref="K3021:K3021">IFERROR(INDEX(AC3021:AE3021,IF(COUNTA(AC3021:AE3021)=0,"",MAX((AC3021:AE3021&lt;&gt;"")*(COLUMN(AC3021:AE3021)-(COLUMN(AC3021)-1))))-1),"")</f>
        <v>46022</v>
      </c>
      <c r="L3021" s="17" t="str">
        <f aca="false" t="array" ref="L3021:L3021">IFERROR(INDEX(AC3021:AE3021,IF(COUNTA(AC3021:AE3021)=0,"",MAX((AC3021:AE3021&lt;&gt;"")*(COLUMN(AC3021:AE3021)-(COLUMN(AC3021)-2))))-1),"")</f>
        <v>ARCHIVED</v>
      </c>
      <c r="M3021" s="13" t="n">
        <f aca="true">K3021-TODAY()</f>
        <v>-302</v>
      </c>
      <c r="N3021" s="18" t="s">
        <v>36</v>
      </c>
      <c r="O3021" s="13" t="s">
        <v>12474</v>
      </c>
      <c r="P3021" s="19" t="n">
        <v>5195401</v>
      </c>
      <c r="Q3021" s="47" t="s">
        <v>12655</v>
      </c>
      <c r="R3021" s="13" t="s">
        <v>65</v>
      </c>
      <c r="S3021" s="16" t="n">
        <v>25914</v>
      </c>
      <c r="T3021" s="13" t="s">
        <v>40</v>
      </c>
      <c r="U3021" s="13" t="s">
        <v>12656</v>
      </c>
      <c r="V3021" s="13" t="s">
        <v>42</v>
      </c>
      <c r="W3021" s="13" t="s">
        <v>54</v>
      </c>
      <c r="X3021" s="21" t="n">
        <v>83837501367</v>
      </c>
      <c r="Y3021" s="22" t="str">
        <f aca="false">O3021</f>
        <v>Produksi Emulsion</v>
      </c>
      <c r="Z3021" s="13" t="str">
        <f aca="false">IFERROR(__xludf.dummyfunction("if(BJ3021="""","""",GOOGLETRANSLATE(BJ3021,""auto"",""en""))"),"Emulsion Production")</f>
        <v>Emulsion Production</v>
      </c>
      <c r="AA3021" s="23" t="str">
        <f aca="false">IF(C3021="","", CHOOSE(MONTH(C3021),"January","February","March","April","May","June","July","August","September","October","November","December")&amp;" "&amp;DAY(C3021)&amp;MID("thstndrdth",MIN(9,2*RIGHT(DAY(C3021))*(MOD(DAY(C3021)-11,100)&gt;2)+1),2)&amp;","&amp;TEXT(C3021," yyyy"))</f>
        <v>December 8th,2025</v>
      </c>
      <c r="AB3021" s="15" t="str">
        <f aca="true">IF(S3021="","",DATEDIF(S3021,TODAY(),"Y")&amp;" Tahun, "&amp;DATEDIF(S3021,TODAY(),"YM")&amp;" Bulan, "&amp;DATEDIF(S3021,TODAY(),"MD")&amp;" Hari")</f>
        <v>55 Tahun, 10 Bulan, 17 Hari</v>
      </c>
      <c r="AC3021" s="18" t="n">
        <v>45999</v>
      </c>
      <c r="AD3021" s="18" t="n">
        <v>46022</v>
      </c>
      <c r="AE3021" s="13" t="s">
        <v>44</v>
      </c>
    </row>
    <row r="3022" customFormat="false" ht="15" hidden="false" customHeight="true" outlineLevel="0" collapsed="false">
      <c r="A3022" s="12" t="n">
        <v>21579</v>
      </c>
      <c r="B3022" s="13" t="s">
        <v>12657</v>
      </c>
      <c r="C3022" s="16" t="n">
        <v>46001</v>
      </c>
      <c r="D3022" s="13" t="s">
        <v>144</v>
      </c>
      <c r="E3022" s="15" t="s">
        <v>33</v>
      </c>
      <c r="F3022" s="15" t="str">
        <f aca="false">IFERROR(__xludf.dummyfunction("XLOOKUP(AJ3022,IMPORTRANGE(""1XaInW9DU9nz21V0tYIfzFQ0He9kVQ_JF2mCXgZ3hqFA"",""REKAP ALL 2026 - Andika!G:G""),IMPORTRANGE(""1XaInW9DU9nz21V0tYIfzFQ0He9kVQ_JF2mCXgZ3hqFA"",""REKAP ALL 2026 - Andika!F:F""),"""",0)"),"26005759811")</f>
        <v>26005759811</v>
      </c>
      <c r="G3022" s="13" t="s">
        <v>1127</v>
      </c>
      <c r="H3022" s="13" t="s">
        <v>35</v>
      </c>
      <c r="I3022" s="13" t="str">
        <f aca="false">IF(C3022=J3022,"NEW KONTRAK","RE-KONTRAK")</f>
        <v>NEW KONTRAK</v>
      </c>
      <c r="J3022" s="16" t="n">
        <f aca="false" t="array" ref="J3022:J3022">IFERROR(INDEX(AC3022:AE3022,IF(COUNTA(AC3022:AE3022)=0,"",MAX((AC3022:AE3022&lt;&gt;"")*(COLUMN(AC3022:AE3022)-(COLUMN(AC3022)))))-1),"")</f>
        <v>46001</v>
      </c>
      <c r="K3022" s="16" t="n">
        <f aca="false" t="array" ref="K3022:K3022">IFERROR(INDEX(AC3022:AE3022,IF(COUNTA(AC3022:AE3022)=0,"",MAX((AC3022:AE3022&lt;&gt;"")*(COLUMN(AC3022:AE3022)-(COLUMN(AC3022)-1))))-1),"")</f>
        <v>46022</v>
      </c>
      <c r="L3022" s="17" t="str">
        <f aca="false" t="array" ref="L3022:L3022">IFERROR(INDEX(AC3022:AE3022,IF(COUNTA(AC3022:AE3022)=0,"",MAX((AC3022:AE3022&lt;&gt;"")*(COLUMN(AC3022:AE3022)-(COLUMN(AC3022)-2))))-1),"")</f>
        <v>ARCHIVED</v>
      </c>
      <c r="M3022" s="13" t="n">
        <f aca="true">K3022-TODAY()</f>
        <v>-302</v>
      </c>
      <c r="N3022" s="18" t="s">
        <v>36</v>
      </c>
      <c r="O3022" s="13" t="s">
        <v>12083</v>
      </c>
      <c r="P3022" s="19" t="n">
        <v>5195401</v>
      </c>
      <c r="Q3022" s="47" t="s">
        <v>12658</v>
      </c>
      <c r="R3022" s="13" t="s">
        <v>73</v>
      </c>
      <c r="S3022" s="16" t="n">
        <v>37128</v>
      </c>
      <c r="T3022" s="13" t="s">
        <v>40</v>
      </c>
      <c r="U3022" s="13" t="s">
        <v>12659</v>
      </c>
      <c r="V3022" s="13" t="s">
        <v>42</v>
      </c>
      <c r="W3022" s="13" t="s">
        <v>43</v>
      </c>
      <c r="X3022" s="21" t="n">
        <v>82324783224</v>
      </c>
      <c r="Y3022" s="22" t="str">
        <f aca="false">O3022</f>
        <v>Operator Reacktruck</v>
      </c>
      <c r="Z3022" s="13" t="str">
        <f aca="false">IFERROR(__xludf.dummyfunction("if(BJ3022="""","""",GOOGLETRANSLATE(BJ3022,""auto"",""en""))"),"Operator Reacktruck")</f>
        <v>Operator Reacktruck</v>
      </c>
      <c r="AA3022" s="23" t="str">
        <f aca="false">IF(C3022="","", CHOOSE(MONTH(C3022),"January","February","March","April","May","June","July","August","September","October","November","December")&amp;" "&amp;DAY(C3022)&amp;MID("thstndrdth",MIN(9,2*RIGHT(DAY(C3022))*(MOD(DAY(C3022)-11,100)&gt;2)+1),2)&amp;","&amp;TEXT(C3022," yyyy"))</f>
        <v>December 10th,2025</v>
      </c>
      <c r="AB3022" s="15" t="str">
        <f aca="true">IF(S3022="","",DATEDIF(S3022,TODAY(),"Y")&amp;" Tahun, "&amp;DATEDIF(S3022,TODAY(),"YM")&amp;" Bulan, "&amp;DATEDIF(S3022,TODAY(),"MD")&amp;" Hari")</f>
        <v>25 Tahun, 2 Bulan, 4 Hari</v>
      </c>
      <c r="AC3022" s="18" t="n">
        <v>46001</v>
      </c>
      <c r="AD3022" s="18" t="n">
        <v>46022</v>
      </c>
      <c r="AE3022" s="13" t="s">
        <v>44</v>
      </c>
    </row>
    <row r="3023" customFormat="false" ht="15" hidden="false" customHeight="true" outlineLevel="0" collapsed="false">
      <c r="A3023" s="12" t="n">
        <v>21580</v>
      </c>
      <c r="B3023" s="13" t="s">
        <v>12660</v>
      </c>
      <c r="C3023" s="16" t="n">
        <v>46005</v>
      </c>
      <c r="D3023" s="13" t="s">
        <v>774</v>
      </c>
      <c r="E3023" s="15" t="s">
        <v>47</v>
      </c>
      <c r="F3023" s="15" t="str">
        <f aca="false">IFERROR(__xludf.dummyfunction("XLOOKUP(AJ3023,IMPORTRANGE(""1XaInW9DU9nz21V0tYIfzFQ0He9kVQ_JF2mCXgZ3hqFA"",""REKAP ALL 2026 - Andika!G:G""),IMPORTRANGE(""1XaInW9DU9nz21V0tYIfzFQ0He9kVQ_JF2mCXgZ3hqFA"",""REKAP ALL 2026 - Andika!F:F""),"""",0)"),"26005758268")</f>
        <v>26005758268</v>
      </c>
      <c r="G3023" s="13" t="s">
        <v>1127</v>
      </c>
      <c r="H3023" s="13" t="s">
        <v>35</v>
      </c>
      <c r="I3023" s="13" t="str">
        <f aca="false">IF(C3023=J3023,"NEW KONTRAK","RE-KONTRAK")</f>
        <v>NEW KONTRAK</v>
      </c>
      <c r="J3023" s="16" t="n">
        <f aca="false" t="array" ref="J3023:J3023">IFERROR(INDEX(AC3023:AE3023,IF(COUNTA(AC3023:AE3023)=0,"",MAX((AC3023:AE3023&lt;&gt;"")*(COLUMN(AC3023:AE3023)-(COLUMN(AC3023)))))-1),"")</f>
        <v>46005</v>
      </c>
      <c r="K3023" s="16" t="n">
        <f aca="false" t="array" ref="K3023:K3023">IFERROR(INDEX(AC3023:AE3023,IF(COUNTA(AC3023:AE3023)=0,"",MAX((AC3023:AE3023&lt;&gt;"")*(COLUMN(AC3023:AE3023)-(COLUMN(AC3023)-1))))-1),"")</f>
        <v>46094</v>
      </c>
      <c r="L3023" s="17" t="str">
        <f aca="false" t="array" ref="L3023:L3023">IFERROR(INDEX(AC3023:AE3023,IF(COUNTA(AC3023:AE3023)=0,"",MAX((AC3023:AE3023&lt;&gt;"")*(COLUMN(AC3023:AE3023)-(COLUMN(AC3023)-2))))-1),"")</f>
        <v>ARCHIVED</v>
      </c>
      <c r="M3023" s="13" t="n">
        <f aca="true">K3023-TODAY()</f>
        <v>-230</v>
      </c>
      <c r="N3023" s="18" t="s">
        <v>36</v>
      </c>
      <c r="O3023" s="29" t="s">
        <v>12661</v>
      </c>
      <c r="P3023" s="19" t="n">
        <v>5195500</v>
      </c>
      <c r="Q3023" s="47" t="s">
        <v>12662</v>
      </c>
      <c r="R3023" s="13" t="s">
        <v>65</v>
      </c>
      <c r="S3023" s="16" t="n">
        <v>35639</v>
      </c>
      <c r="T3023" s="13" t="s">
        <v>40</v>
      </c>
      <c r="U3023" s="13" t="s">
        <v>12663</v>
      </c>
      <c r="V3023" s="13" t="s">
        <v>42</v>
      </c>
      <c r="W3023" s="13" t="s">
        <v>43</v>
      </c>
      <c r="X3023" s="21" t="n">
        <v>83819667124</v>
      </c>
      <c r="Y3023" s="22" t="str">
        <f aca="false">O3023</f>
        <v>Staff Ppic</v>
      </c>
      <c r="Z3023" s="13" t="str">
        <f aca="false">IFERROR(__xludf.dummyfunction("if(BJ3023="""","""",GOOGLETRANSLATE(BJ3023,""auto"",""en""))"),"Ppic Staff")</f>
        <v>Ppic Staff</v>
      </c>
      <c r="AA3023" s="23" t="str">
        <f aca="false">IF(C3023="","", CHOOSE(MONTH(C3023),"January","February","March","April","May","June","July","August","September","October","November","December")&amp;" "&amp;DAY(C3023)&amp;MID("thstndrdth",MIN(9,2*RIGHT(DAY(C3023))*(MOD(DAY(C3023)-11,100)&gt;2)+1),2)&amp;","&amp;TEXT(C3023," yyyy"))</f>
        <v>December 14th,2025</v>
      </c>
      <c r="AB3023" s="15" t="str">
        <f aca="true">IF(S3023="","",DATEDIF(S3023,TODAY(),"Y")&amp;" Tahun, "&amp;DATEDIF(S3023,TODAY(),"YM")&amp;" Bulan, "&amp;DATEDIF(S3023,TODAY(),"MD")&amp;" Hari")</f>
        <v>29 Tahun, 3 Bulan, 1 Hari</v>
      </c>
      <c r="AC3023" s="18" t="n">
        <v>46005</v>
      </c>
      <c r="AD3023" s="18" t="n">
        <f aca="false">EDATE(AC3023,3)-1</f>
        <v>46094</v>
      </c>
      <c r="AE3023" s="13" t="s">
        <v>44</v>
      </c>
    </row>
    <row r="3024" customFormat="false" ht="15" hidden="false" customHeight="true" outlineLevel="0" collapsed="false">
      <c r="A3024" s="12" t="n">
        <v>21581</v>
      </c>
      <c r="B3024" s="13" t="s">
        <v>12664</v>
      </c>
      <c r="C3024" s="16" t="n">
        <v>46005</v>
      </c>
      <c r="D3024" s="13" t="s">
        <v>774</v>
      </c>
      <c r="E3024" s="15" t="s">
        <v>47</v>
      </c>
      <c r="F3024" s="15" t="str">
        <f aca="false">IFERROR(__xludf.dummyfunction("XLOOKUP(AJ3024,IMPORTRANGE(""1XaInW9DU9nz21V0tYIfzFQ0He9kVQ_JF2mCXgZ3hqFA"",""REKAP ALL 2026 - Andika!G:G""),IMPORTRANGE(""1XaInW9DU9nz21V0tYIfzFQ0He9kVQ_JF2mCXgZ3hqFA"",""REKAP ALL 2026 - Andika!F:F""),"""",0)"),"26005758292")</f>
        <v>26005758292</v>
      </c>
      <c r="G3024" s="13" t="s">
        <v>1127</v>
      </c>
      <c r="H3024" s="13" t="s">
        <v>35</v>
      </c>
      <c r="I3024" s="13" t="str">
        <f aca="false">IF(C3024=J3024,"NEW KONTRAK","RE-KONTRAK")</f>
        <v>NEW KONTRAK</v>
      </c>
      <c r="J3024" s="16" t="n">
        <f aca="false" t="array" ref="J3024:J3024">IFERROR(INDEX(AC3024:AE3024,IF(COUNTA(AC3024:AE3024)=0,"",MAX((AC3024:AE3024&lt;&gt;"")*(COLUMN(AC3024:AE3024)-(COLUMN(AC3024)))))-1),"")</f>
        <v>46005</v>
      </c>
      <c r="K3024" s="16" t="n">
        <f aca="false" t="array" ref="K3024:K3024">IFERROR(INDEX(AC3024:AE3024,IF(COUNTA(AC3024:AE3024)=0,"",MAX((AC3024:AE3024&lt;&gt;"")*(COLUMN(AC3024:AE3024)-(COLUMN(AC3024)-1))))-1),"")</f>
        <v>46094</v>
      </c>
      <c r="L3024" s="17" t="str">
        <f aca="false" t="array" ref="L3024:L3024">IFERROR(INDEX(AC3024:AE3024,IF(COUNTA(AC3024:AE3024)=0,"",MAX((AC3024:AE3024&lt;&gt;"")*(COLUMN(AC3024:AE3024)-(COLUMN(AC3024)-2))))-1),"")</f>
        <v>ARCHIVED</v>
      </c>
      <c r="M3024" s="13" t="n">
        <f aca="true">K3024-TODAY()</f>
        <v>-230</v>
      </c>
      <c r="N3024" s="18" t="s">
        <v>36</v>
      </c>
      <c r="O3024" s="13" t="s">
        <v>3599</v>
      </c>
      <c r="P3024" s="19" t="n">
        <v>3800000</v>
      </c>
      <c r="Q3024" s="47" t="s">
        <v>12665</v>
      </c>
      <c r="R3024" s="13" t="s">
        <v>324</v>
      </c>
      <c r="S3024" s="16" t="n">
        <v>37703</v>
      </c>
      <c r="T3024" s="13" t="s">
        <v>108</v>
      </c>
      <c r="U3024" s="13" t="s">
        <v>12666</v>
      </c>
      <c r="V3024" s="13" t="s">
        <v>42</v>
      </c>
      <c r="W3024" s="13" t="s">
        <v>43</v>
      </c>
      <c r="X3024" s="21" t="n">
        <v>83848441811</v>
      </c>
      <c r="Y3024" s="22" t="str">
        <f aca="false">O3024</f>
        <v>Admin Gudang</v>
      </c>
      <c r="Z3024" s="13" t="str">
        <f aca="false">IFERROR(__xludf.dummyfunction("if(BJ3024="""","""",GOOGLETRANSLATE(BJ3024,""auto"",""en""))"),"Warehouse Admin")</f>
        <v>Warehouse Admin</v>
      </c>
      <c r="AA3024" s="23" t="str">
        <f aca="false">IF(C3024="","", CHOOSE(MONTH(C3024),"January","February","March","April","May","June","July","August","September","October","November","December")&amp;" "&amp;DAY(C3024)&amp;MID("thstndrdth",MIN(9,2*RIGHT(DAY(C3024))*(MOD(DAY(C3024)-11,100)&gt;2)+1),2)&amp;","&amp;TEXT(C3024," yyyy"))</f>
        <v>December 14th,2025</v>
      </c>
      <c r="AB3024" s="15" t="str">
        <f aca="true">IF(S3024="","",DATEDIF(S3024,TODAY(),"Y")&amp;" Tahun, "&amp;DATEDIF(S3024,TODAY(),"YM")&amp;" Bulan, "&amp;DATEDIF(S3024,TODAY(),"MD")&amp;" Hari")</f>
        <v>23 Tahun, 7 Bulan, 6 Hari</v>
      </c>
      <c r="AC3024" s="18" t="n">
        <v>46005</v>
      </c>
      <c r="AD3024" s="18" t="n">
        <f aca="false">EDATE(AC3024,3)-1</f>
        <v>46094</v>
      </c>
      <c r="AE3024" s="13" t="s">
        <v>44</v>
      </c>
    </row>
    <row r="3025" customFormat="false" ht="15" hidden="false" customHeight="true" outlineLevel="0" collapsed="false">
      <c r="A3025" s="12" t="n">
        <v>21582</v>
      </c>
      <c r="B3025" s="13" t="s">
        <v>12667</v>
      </c>
      <c r="C3025" s="16" t="n">
        <v>46005</v>
      </c>
      <c r="D3025" s="13" t="s">
        <v>3022</v>
      </c>
      <c r="E3025" s="15" t="s">
        <v>6819</v>
      </c>
      <c r="F3025" s="15" t="str">
        <f aca="false">IFERROR(__xludf.dummyfunction("XLOOKUP(AJ3025,IMPORTRANGE(""1XaInW9DU9nz21V0tYIfzFQ0He9kVQ_JF2mCXgZ3hqFA"",""REKAP ALL 2026 - Andika!G:G""),IMPORTRANGE(""1XaInW9DU9nz21V0tYIfzFQ0He9kVQ_JF2mCXgZ3hqFA"",""REKAP ALL 2026 - Andika!F:F""),"""",0)"),"26005760033")</f>
        <v>26005760033</v>
      </c>
      <c r="G3025" s="13" t="s">
        <v>57</v>
      </c>
      <c r="H3025" s="13" t="s">
        <v>3024</v>
      </c>
      <c r="I3025" s="13" t="str">
        <f aca="false">IF(C3025=J3025,"NEW KONTRAK","RE-KONTRAK")</f>
        <v>NEW KONTRAK</v>
      </c>
      <c r="J3025" s="16" t="n">
        <f aca="false" t="array" ref="J3025:J3025">IFERROR(INDEX(AC3025:AE3025,IF(COUNTA(AC3025:AE3025)=0,"",MAX((AC3025:AE3025&lt;&gt;"")*(COLUMN(AC3025:AE3025)-(COLUMN(AC3025)))))-1),"")</f>
        <v>46005</v>
      </c>
      <c r="K3025" s="16" t="n">
        <f aca="false" t="array" ref="K3025:K3025">IFERROR(INDEX(AC3025:AE3025,IF(COUNTA(AC3025:AE3025)=0,"",MAX((AC3025:AE3025&lt;&gt;"")*(COLUMN(AC3025:AE3025)-(COLUMN(AC3025)-1))))-1),"")</f>
        <v>46094</v>
      </c>
      <c r="L3025" s="17" t="str">
        <f aca="false" t="array" ref="L3025:L3025">IFERROR(INDEX(AC3025:AE3025,IF(COUNTA(AC3025:AE3025)=0,"",MAX((AC3025:AE3025&lt;&gt;"")*(COLUMN(AC3025:AE3025)-(COLUMN(AC3025)-2))))-1),"")</f>
        <v>ARCHIVED</v>
      </c>
      <c r="M3025" s="13" t="n">
        <f aca="true">K3025-TODAY()</f>
        <v>-230</v>
      </c>
      <c r="N3025" s="18" t="s">
        <v>36</v>
      </c>
      <c r="O3025" s="13" t="s">
        <v>10685</v>
      </c>
      <c r="P3025" s="19" t="n">
        <v>135000</v>
      </c>
      <c r="Q3025" s="47" t="s">
        <v>12668</v>
      </c>
      <c r="R3025" s="13" t="s">
        <v>52</v>
      </c>
      <c r="S3025" s="16" t="n">
        <v>29706</v>
      </c>
      <c r="T3025" s="13" t="s">
        <v>40</v>
      </c>
      <c r="U3025" s="13" t="s">
        <v>12669</v>
      </c>
      <c r="V3025" s="13" t="s">
        <v>42</v>
      </c>
      <c r="W3025" s="13" t="s">
        <v>54</v>
      </c>
      <c r="X3025" s="21" t="n">
        <v>81230138281</v>
      </c>
      <c r="Y3025" s="22" t="str">
        <f aca="false">O3025</f>
        <v>Driver Direksi</v>
      </c>
      <c r="Z3025" s="13" t="str">
        <f aca="false">IFERROR(__xludf.dummyfunction("if(BJ3025="""","""",GOOGLETRANSLATE(BJ3025,""auto"",""en""))"),"Director Driver")</f>
        <v>Director Driver</v>
      </c>
      <c r="AA3025" s="23" t="str">
        <f aca="false">IF(C3025="","", CHOOSE(MONTH(C3025),"January","February","March","April","May","June","July","August","September","October","November","December")&amp;" "&amp;DAY(C3025)&amp;MID("thstndrdth",MIN(9,2*RIGHT(DAY(C3025))*(MOD(DAY(C3025)-11,100)&gt;2)+1),2)&amp;","&amp;TEXT(C3025," yyyy"))</f>
        <v>December 14th,2025</v>
      </c>
      <c r="AB3025" s="15" t="str">
        <f aca="true">IF(S3025="","",DATEDIF(S3025,TODAY(),"Y")&amp;" Tahun, "&amp;DATEDIF(S3025,TODAY(),"YM")&amp;" Bulan, "&amp;DATEDIF(S3025,TODAY(),"MD")&amp;" Hari")</f>
        <v>45 Tahun, 5 Bulan, 29 Hari</v>
      </c>
      <c r="AC3025" s="18" t="n">
        <v>46005</v>
      </c>
      <c r="AD3025" s="18" t="n">
        <f aca="false">EDATE(AC3025,3)-1</f>
        <v>46094</v>
      </c>
      <c r="AE3025" s="13" t="s">
        <v>44</v>
      </c>
    </row>
    <row r="3026" customFormat="false" ht="15" hidden="false" customHeight="true" outlineLevel="0" collapsed="false">
      <c r="A3026" s="12" t="n">
        <v>21583</v>
      </c>
      <c r="B3026" s="13" t="s">
        <v>12670</v>
      </c>
      <c r="C3026" s="16" t="n">
        <v>46008</v>
      </c>
      <c r="D3026" s="13" t="s">
        <v>8980</v>
      </c>
      <c r="E3026" s="15" t="s">
        <v>102</v>
      </c>
      <c r="F3026" s="24" t="s">
        <v>12671</v>
      </c>
      <c r="G3026" s="13" t="s">
        <v>1127</v>
      </c>
      <c r="H3026" s="13" t="s">
        <v>35</v>
      </c>
      <c r="I3026" s="13" t="str">
        <f aca="false">IF(C3026=J3026,"NEW KONTRAK","RE-KONTRAK")</f>
        <v>NEW KONTRAK</v>
      </c>
      <c r="J3026" s="16" t="n">
        <f aca="false" t="array" ref="J3026:J3026">IFERROR(INDEX(AC3026:AE3026,IF(COUNTA(AC3026:AE3026)=0,"",MAX((AC3026:AE3026&lt;&gt;"")*(COLUMN(AC3026:AE3026)-(COLUMN(AC3026)))))-1),"")</f>
        <v>46008</v>
      </c>
      <c r="K3026" s="16" t="n">
        <f aca="false" t="array" ref="K3026:K3026">IFERROR(INDEX(AC3026:AE3026,IF(COUNTA(AC3026:AE3026)=0,"",MAX((AC3026:AE3026&lt;&gt;"")*(COLUMN(AC3026:AE3026)-(COLUMN(AC3026)-1))))-1),"")</f>
        <v>46097</v>
      </c>
      <c r="L3026" s="17" t="str">
        <f aca="false" t="array" ref="L3026:L3026">IFERROR(INDEX(AC3026:AE3026,IF(COUNTA(AC3026:AE3026)=0,"",MAX((AC3026:AE3026&lt;&gt;"")*(COLUMN(AC3026:AE3026)-(COLUMN(AC3026)-2))))-1),"")</f>
        <v>ARCHIVED</v>
      </c>
      <c r="M3026" s="13" t="n">
        <f aca="true">K3026-TODAY()</f>
        <v>-227</v>
      </c>
      <c r="N3026" s="18" t="s">
        <v>8982</v>
      </c>
      <c r="O3026" s="13" t="s">
        <v>8983</v>
      </c>
      <c r="P3026" s="19" t="n">
        <v>2000000</v>
      </c>
      <c r="Q3026" s="20" t="s">
        <v>12672</v>
      </c>
      <c r="R3026" s="13" t="s">
        <v>826</v>
      </c>
      <c r="S3026" s="16" t="n">
        <v>33988</v>
      </c>
      <c r="T3026" s="13" t="s">
        <v>40</v>
      </c>
      <c r="U3026" s="13" t="s">
        <v>12673</v>
      </c>
      <c r="V3026" s="13" t="s">
        <v>42</v>
      </c>
      <c r="W3026" s="13" t="s">
        <v>54</v>
      </c>
      <c r="X3026" s="30" t="n">
        <v>89544925192</v>
      </c>
      <c r="Y3026" s="22" t="str">
        <f aca="false">O3026</f>
        <v>Operator SPBU</v>
      </c>
      <c r="Z3026" s="13" t="str">
        <f aca="false">IFERROR(__xludf.dummyfunction("if(BJ3026="""","""",GOOGLETRANSLATE(BJ3026,""auto"",""en""))"),"Gas Station Operator")</f>
        <v>Gas Station Operator</v>
      </c>
      <c r="AA3026" s="23" t="str">
        <f aca="false">IF(C3026="","", CHOOSE(MONTH(C3026),"January","February","March","April","May","June","July","August","September","October","November","December")&amp;" "&amp;DAY(C3026)&amp;MID("thstndrdth",MIN(9,2*RIGHT(DAY(C3026))*(MOD(DAY(C3026)-11,100)&gt;2)+1),2)&amp;","&amp;TEXT(C3026," yyyy"))</f>
        <v>December 17th,2025</v>
      </c>
      <c r="AB3026" s="15" t="str">
        <f aca="true">IF(S3026="","",DATEDIF(S3026,TODAY(),"Y")&amp;" Tahun, "&amp;DATEDIF(S3026,TODAY(),"YM")&amp;" Bulan, "&amp;DATEDIF(S3026,TODAY(),"MD")&amp;" Hari")</f>
        <v>33 Tahun, 9 Bulan, 10 Hari</v>
      </c>
      <c r="AC3026" s="18" t="n">
        <v>46008</v>
      </c>
      <c r="AD3026" s="18" t="n">
        <f aca="false">EDATE(AC3026,3)-1</f>
        <v>46097</v>
      </c>
      <c r="AE3026" s="13" t="s">
        <v>44</v>
      </c>
    </row>
    <row r="3027" customFormat="false" ht="15" hidden="false" customHeight="true" outlineLevel="0" collapsed="false">
      <c r="A3027" s="12" t="n">
        <v>21584</v>
      </c>
      <c r="B3027" s="13" t="s">
        <v>12674</v>
      </c>
      <c r="C3027" s="16" t="n">
        <v>46001</v>
      </c>
      <c r="D3027" s="13" t="s">
        <v>2033</v>
      </c>
      <c r="E3027" s="15" t="s">
        <v>102</v>
      </c>
      <c r="F3027" s="15" t="str">
        <f aca="false">IFERROR(__xludf.dummyfunction("XLOOKUP(AJ3027,IMPORTRANGE(""1XaInW9DU9nz21V0tYIfzFQ0He9kVQ_JF2mCXgZ3hqFA"",""REKAP ALL 2026 - Andika!G:G""),IMPORTRANGE(""1XaInW9DU9nz21V0tYIfzFQ0He9kVQ_JF2mCXgZ3hqFA"",""REKAP ALL 2026 - Andika!F:F""),"""",0)"),"26005755785")</f>
        <v>26005755785</v>
      </c>
      <c r="G3027" s="13" t="s">
        <v>1127</v>
      </c>
      <c r="H3027" s="13" t="s">
        <v>35</v>
      </c>
      <c r="I3027" s="13" t="str">
        <f aca="false">IF(C3027=J3027,"NEW KONTRAK","RE-KONTRAK")</f>
        <v>NEW KONTRAK</v>
      </c>
      <c r="J3027" s="16" t="n">
        <f aca="false" t="array" ref="J3027:J3027">IFERROR(INDEX(AC3027:AE3027,IF(COUNTA(AC3027:AE3027)=0,"",MAX((AC3027:AE3027&lt;&gt;"")*(COLUMN(AC3027:AE3027)-(COLUMN(AC3027)))))-1),"")</f>
        <v>46001</v>
      </c>
      <c r="K3027" s="16" t="n">
        <f aca="false" t="array" ref="K3027:K3027">IFERROR(INDEX(AC3027:AE3027,IF(COUNTA(AC3027:AE3027)=0,"",MAX((AC3027:AE3027&lt;&gt;"")*(COLUMN(AC3027:AE3027)-(COLUMN(AC3027)-1))))-1),"")</f>
        <v>46037</v>
      </c>
      <c r="L3027" s="17" t="str">
        <f aca="false" t="array" ref="L3027:L3027">IFERROR(INDEX(AC3027:AE3027,IF(COUNTA(AC3027:AE3027)=0,"",MAX((AC3027:AE3027&lt;&gt;"")*(COLUMN(AC3027:AE3027)-(COLUMN(AC3027)-2))))-1),"")</f>
        <v>ARCHIVED</v>
      </c>
      <c r="M3027" s="13" t="n">
        <f aca="true">K3027-TODAY()</f>
        <v>-287</v>
      </c>
      <c r="N3027" s="18" t="s">
        <v>3902</v>
      </c>
      <c r="O3027" s="13" t="s">
        <v>2037</v>
      </c>
      <c r="P3027" s="19" t="n">
        <v>3305367</v>
      </c>
      <c r="Q3027" s="47" t="s">
        <v>12675</v>
      </c>
      <c r="R3027" s="13" t="s">
        <v>3904</v>
      </c>
      <c r="S3027" s="16" t="n">
        <v>38281</v>
      </c>
      <c r="T3027" s="13" t="s">
        <v>108</v>
      </c>
      <c r="U3027" s="13" t="s">
        <v>12676</v>
      </c>
      <c r="V3027" s="13" t="s">
        <v>42</v>
      </c>
      <c r="W3027" s="13" t="s">
        <v>43</v>
      </c>
      <c r="X3027" s="21" t="n">
        <v>82281852125</v>
      </c>
      <c r="Y3027" s="22" t="str">
        <f aca="false">O3027</f>
        <v>SPG/BA</v>
      </c>
      <c r="Z3027" s="13" t="str">
        <f aca="false">IFERROR(__xludf.dummyfunction("if(BJ3027="""","""",GOOGLETRANSLATE(BJ3027,""auto"",""en""))"),"SPG/BA")</f>
        <v>SPG/BA</v>
      </c>
      <c r="AA3027" s="23" t="str">
        <f aca="false">IF(C3027="","", CHOOSE(MONTH(C3027),"January","February","March","April","May","June","July","August","September","October","November","December")&amp;" "&amp;DAY(C3027)&amp;MID("thstndrdth",MIN(9,2*RIGHT(DAY(C3027))*(MOD(DAY(C3027)-11,100)&gt;2)+1),2)&amp;","&amp;TEXT(C3027," yyyy"))</f>
        <v>December 10th,2025</v>
      </c>
      <c r="AB3027" s="15" t="str">
        <f aca="true">IF(S3027="","",DATEDIF(S3027,TODAY(),"Y")&amp;" Tahun, "&amp;DATEDIF(S3027,TODAY(),"YM")&amp;" Bulan, "&amp;DATEDIF(S3027,TODAY(),"MD")&amp;" Hari")</f>
        <v>22 Tahun, 0 Bulan, 8 Hari</v>
      </c>
      <c r="AC3027" s="18" t="n">
        <v>46001</v>
      </c>
      <c r="AD3027" s="18" t="n">
        <v>46037</v>
      </c>
      <c r="AE3027" s="13" t="s">
        <v>44</v>
      </c>
    </row>
    <row r="3028" customFormat="false" ht="15" hidden="false" customHeight="true" outlineLevel="0" collapsed="false">
      <c r="A3028" s="12" t="n">
        <v>21585</v>
      </c>
      <c r="B3028" s="13" t="s">
        <v>12677</v>
      </c>
      <c r="C3028" s="14" t="n">
        <v>45991</v>
      </c>
      <c r="D3028" s="13" t="s">
        <v>5726</v>
      </c>
      <c r="E3028" s="15" t="s">
        <v>47</v>
      </c>
      <c r="F3028" s="15" t="str">
        <f aca="false">IFERROR(__xludf.dummyfunction("XLOOKUP(AJ3028,IMPORTRANGE(""1XaInW9DU9nz21V0tYIfzFQ0He9kVQ_JF2mCXgZ3hqFA"",""REKAP ALL 2026 - Andika!G:G""),IMPORTRANGE(""1XaInW9DU9nz21V0tYIfzFQ0He9kVQ_JF2mCXgZ3hqFA"",""REKAP ALL 2026 - Andika!F:F""),"""",0)"),"26005751271")</f>
        <v>26005751271</v>
      </c>
      <c r="G3028" s="15" t="s">
        <v>12678</v>
      </c>
      <c r="H3028" s="13" t="s">
        <v>35</v>
      </c>
      <c r="I3028" s="13" t="str">
        <f aca="false">IF(C3028=J3028,"NEW KONTRAK","RE-KONTRAK")</f>
        <v>NEW KONTRAK</v>
      </c>
      <c r="J3028" s="16" t="n">
        <f aca="false" t="array" ref="J3028:J3028">IFERROR(INDEX(AC3028:AE3028,IF(COUNTA(AC3028:AE3028)=0,"",MAX((AC3028:AE3028&lt;&gt;"")*(COLUMN(AC3028:AE3028)-(COLUMN(AC3028)))))-1),"")</f>
        <v>45991</v>
      </c>
      <c r="K3028" s="16" t="n">
        <f aca="false" t="array" ref="K3028:K3028">IFERROR(INDEX(AC3028:AE3028,IF(COUNTA(AC3028:AE3028)=0,"",MAX((AC3028:AE3028&lt;&gt;"")*(COLUMN(AC3028:AE3028)-(COLUMN(AC3028)-1))))-1),"")</f>
        <v>46080</v>
      </c>
      <c r="L3028" s="17" t="str">
        <f aca="false" t="array" ref="L3028:L3028">IFERROR(INDEX(AC3028:AE3028,IF(COUNTA(AC3028:AE3028)=0,"",MAX((AC3028:AE3028&lt;&gt;"")*(COLUMN(AC3028:AE3028)-(COLUMN(AC3028)-2))))-1),"")</f>
        <v>ARCHIVED</v>
      </c>
      <c r="M3028" s="13" t="n">
        <f aca="true">K3028-TODAY()</f>
        <v>-244</v>
      </c>
      <c r="N3028" s="18" t="s">
        <v>615</v>
      </c>
      <c r="O3028" s="13" t="s">
        <v>5252</v>
      </c>
      <c r="P3028" s="19" t="n">
        <v>5176101</v>
      </c>
      <c r="Q3028" s="20" t="s">
        <v>12679</v>
      </c>
      <c r="R3028" s="13" t="s">
        <v>255</v>
      </c>
      <c r="S3028" s="14" t="n">
        <v>36871</v>
      </c>
      <c r="T3028" s="13" t="s">
        <v>40</v>
      </c>
      <c r="U3028" s="13" t="s">
        <v>12680</v>
      </c>
      <c r="V3028" s="13" t="s">
        <v>42</v>
      </c>
      <c r="W3028" s="13" t="s">
        <v>43</v>
      </c>
      <c r="X3028" s="21" t="n">
        <v>87815167759</v>
      </c>
      <c r="Y3028" s="22" t="str">
        <f aca="false">O3028</f>
        <v>Helper Printing</v>
      </c>
      <c r="Z3028" s="13" t="str">
        <f aca="false">IFERROR(__xludf.dummyfunction("if(BJ3028="""","""",GOOGLETRANSLATE(BJ3028,""auto"",""en""))"),"Helper Printing")</f>
        <v>Helper Printing</v>
      </c>
      <c r="AA3028" s="23" t="str">
        <f aca="false">IF(C3028="","", CHOOSE(MONTH(C3028),"January","February","March","April","May","June","July","August","September","October","November","December")&amp;" "&amp;DAY(C3028)&amp;MID("thstndrdth",MIN(9,2*RIGHT(DAY(C3028))*(MOD(DAY(C3028)-11,100)&gt;2)+1),2)&amp;","&amp;TEXT(C3028," yyyy"))</f>
        <v>November 30th,2025</v>
      </c>
      <c r="AB3028" s="15" t="str">
        <f aca="true">IF(S3028="","",DATEDIF(S3028,TODAY(),"Y")&amp;" Tahun, "&amp;DATEDIF(S3028,TODAY(),"YM")&amp;" Bulan, "&amp;DATEDIF(S3028,TODAY(),"MD")&amp;" Hari")</f>
        <v>25 Tahun, 10 Bulan, 18 Hari</v>
      </c>
      <c r="AC3028" s="53" t="n">
        <v>45991</v>
      </c>
      <c r="AD3028" s="18" t="n">
        <f aca="false">EDATE(AC3028,3)-1</f>
        <v>46080</v>
      </c>
      <c r="AE3028" s="18" t="s">
        <v>44</v>
      </c>
    </row>
    <row r="3029" customFormat="false" ht="15" hidden="false" customHeight="true" outlineLevel="0" collapsed="false">
      <c r="A3029" s="12" t="n">
        <v>21586</v>
      </c>
      <c r="B3029" s="13" t="s">
        <v>12681</v>
      </c>
      <c r="C3029" s="16" t="n">
        <v>46009</v>
      </c>
      <c r="D3029" s="13" t="s">
        <v>5892</v>
      </c>
      <c r="E3029" s="15" t="s">
        <v>47</v>
      </c>
      <c r="F3029" s="15" t="str">
        <f aca="false">IFERROR(__xludf.dummyfunction("XLOOKUP(AJ3029,IMPORTRANGE(""1XaInW9DU9nz21V0tYIfzFQ0He9kVQ_JF2mCXgZ3hqFA"",""REKAP ALL 2026 - Andika!G:G""),IMPORTRANGE(""1XaInW9DU9nz21V0tYIfzFQ0He9kVQ_JF2mCXgZ3hqFA"",""REKAP ALL 2026 - Andika!F:F""),"""",0)"),"26005762385")</f>
        <v>26005762385</v>
      </c>
      <c r="G3029" s="13" t="s">
        <v>1127</v>
      </c>
      <c r="H3029" s="13" t="s">
        <v>35</v>
      </c>
      <c r="I3029" s="13" t="str">
        <f aca="false">IF(C3029=J3029,"NEW KONTRAK","RE-KONTRAK")</f>
        <v>NEW KONTRAK</v>
      </c>
      <c r="J3029" s="16" t="n">
        <f aca="false" t="array" ref="J3029:J3029">IFERROR(INDEX(AC3029:AE3029,IF(COUNTA(AC3029:AE3029)=0,"",MAX((AC3029:AE3029&lt;&gt;"")*(COLUMN(AC3029:AE3029)-(COLUMN(AC3029)))))-1),"")</f>
        <v>46009</v>
      </c>
      <c r="K3029" s="16" t="n">
        <f aca="false" t="array" ref="K3029:K3029">IFERROR(INDEX(AC3029:AE3029,IF(COUNTA(AC3029:AE3029)=0,"",MAX((AC3029:AE3029&lt;&gt;"")*(COLUMN(AC3029:AE3029)-(COLUMN(AC3029)-1))))-1),"")</f>
        <v>46098</v>
      </c>
      <c r="L3029" s="17" t="str">
        <f aca="false" t="array" ref="L3029:L3029">IFERROR(INDEX(AC3029:AE3029,IF(COUNTA(AC3029:AE3029)=0,"",MAX((AC3029:AE3029&lt;&gt;"")*(COLUMN(AC3029:AE3029)-(COLUMN(AC3029)-2))))-1),"")</f>
        <v>KEMBALI</v>
      </c>
      <c r="M3029" s="13" t="n">
        <f aca="true">K3029-TODAY()</f>
        <v>-226</v>
      </c>
      <c r="N3029" s="18" t="s">
        <v>105</v>
      </c>
      <c r="O3029" s="13" t="s">
        <v>5894</v>
      </c>
      <c r="P3029" s="19" t="n">
        <v>4200000</v>
      </c>
      <c r="Q3029" s="47" t="s">
        <v>12682</v>
      </c>
      <c r="R3029" s="13" t="s">
        <v>39</v>
      </c>
      <c r="S3029" s="16" t="n">
        <v>35074</v>
      </c>
      <c r="T3029" s="13" t="s">
        <v>40</v>
      </c>
      <c r="U3029" s="13" t="s">
        <v>12683</v>
      </c>
      <c r="V3029" s="13" t="s">
        <v>42</v>
      </c>
      <c r="W3029" s="13" t="s">
        <v>43</v>
      </c>
      <c r="X3029" s="21" t="n">
        <v>85648109478</v>
      </c>
      <c r="Y3029" s="22" t="str">
        <f aca="false">O3029</f>
        <v>Checker</v>
      </c>
      <c r="Z3029" s="13" t="str">
        <f aca="false">IFERROR(__xludf.dummyfunction("if(BJ3029="""","""",GOOGLETRANSLATE(BJ3029,""auto"",""en""))"),"Checker")</f>
        <v>Checker</v>
      </c>
      <c r="AA3029" s="23" t="str">
        <f aca="false">IF(C3029="","", CHOOSE(MONTH(C3029),"January","February","March","April","May","June","July","August","September","October","November","December")&amp;" "&amp;DAY(C3029)&amp;MID("thstndrdth",MIN(9,2*RIGHT(DAY(C3029))*(MOD(DAY(C3029)-11,100)&gt;2)+1),2)&amp;","&amp;TEXT(C3029," yyyy"))</f>
        <v>December 18th,2025</v>
      </c>
      <c r="AB3029" s="15" t="str">
        <f aca="true">IF(S3029="","",DATEDIF(S3029,TODAY(),"Y")&amp;" Tahun, "&amp;DATEDIF(S3029,TODAY(),"YM")&amp;" Bulan, "&amp;DATEDIF(S3029,TODAY(),"MD")&amp;" Hari")</f>
        <v>30 Tahun, 9 Bulan, 19 Hari</v>
      </c>
      <c r="AC3029" s="18" t="n">
        <v>46009</v>
      </c>
      <c r="AD3029" s="18" t="n">
        <f aca="false">EDATE(AC3029,3)-1</f>
        <v>46098</v>
      </c>
      <c r="AE3029" s="13" t="s">
        <v>397</v>
      </c>
    </row>
    <row r="3030" customFormat="false" ht="15" hidden="false" customHeight="true" outlineLevel="0" collapsed="false">
      <c r="A3030" s="12" t="n">
        <v>21588</v>
      </c>
      <c r="B3030" s="13" t="s">
        <v>12684</v>
      </c>
      <c r="C3030" s="16" t="n">
        <v>46013</v>
      </c>
      <c r="D3030" s="13" t="s">
        <v>1338</v>
      </c>
      <c r="E3030" s="15" t="s">
        <v>102</v>
      </c>
      <c r="F3030" s="15" t="str">
        <f aca="false">IFERROR(__xludf.dummyfunction("XLOOKUP(AJ3030,IMPORTRANGE(""1XaInW9DU9nz21V0tYIfzFQ0He9kVQ_JF2mCXgZ3hqFA"",""REKAP ALL 2026 - Andika!G:G""),IMPORTRANGE(""1XaInW9DU9nz21V0tYIfzFQ0He9kVQ_JF2mCXgZ3hqFA"",""REKAP ALL 2026 - Andika!F:F""),"""",0)"),"26005753483")</f>
        <v>26005753483</v>
      </c>
      <c r="G3030" s="13" t="s">
        <v>57</v>
      </c>
      <c r="H3030" s="13" t="s">
        <v>3024</v>
      </c>
      <c r="I3030" s="13" t="str">
        <f aca="false">IF(C3030=J3030,"NEW KONTRAK","RE-KONTRAK")</f>
        <v>NEW KONTRAK</v>
      </c>
      <c r="J3030" s="16" t="n">
        <f aca="false" t="array" ref="J3030:J3030">IFERROR(INDEX(AC3030:AE3030,IF(COUNTA(AC3030:AE3030)=0,"",MAX((AC3030:AE3030&lt;&gt;"")*(COLUMN(AC3030:AE3030)-(COLUMN(AC3030)))))-1),"")</f>
        <v>46013</v>
      </c>
      <c r="K3030" s="16" t="n">
        <f aca="false" t="array" ref="K3030:K3030">IFERROR(INDEX(AC3030:AE3030,IF(COUNTA(AC3030:AE3030)=0,"",MAX((AC3030:AE3030&lt;&gt;"")*(COLUMN(AC3030:AE3030)-(COLUMN(AC3030)-1))))-1),"")</f>
        <v>46103</v>
      </c>
      <c r="L3030" s="17" t="str">
        <f aca="false" t="array" ref="L3030:L3030">IFERROR(INDEX(AC3030:AE3030,IF(COUNTA(AC3030:AE3030)=0,"",MAX((AC3030:AE3030&lt;&gt;"")*(COLUMN(AC3030:AE3030)-(COLUMN(AC3030)-2))))-1),"")</f>
        <v>ARCHIVED</v>
      </c>
      <c r="M3030" s="13" t="n">
        <f aca="true">K3030-TODAY()</f>
        <v>-221</v>
      </c>
      <c r="N3030" s="18" t="s">
        <v>615</v>
      </c>
      <c r="O3030" s="13" t="s">
        <v>2335</v>
      </c>
      <c r="P3030" s="19" t="n">
        <v>160000</v>
      </c>
      <c r="Q3030" s="47" t="s">
        <v>12685</v>
      </c>
      <c r="R3030" s="13" t="s">
        <v>232</v>
      </c>
      <c r="S3030" s="16" t="n">
        <v>29294</v>
      </c>
      <c r="T3030" s="28" t="s">
        <v>40</v>
      </c>
      <c r="U3030" s="13" t="s">
        <v>12686</v>
      </c>
      <c r="V3030" s="13" t="s">
        <v>42</v>
      </c>
      <c r="W3030" s="13" t="s">
        <v>54</v>
      </c>
      <c r="X3030" s="21" t="n">
        <v>85785148543</v>
      </c>
      <c r="Y3030" s="22" t="str">
        <f aca="false">O3030</f>
        <v>Project Management</v>
      </c>
      <c r="Z3030" s="13" t="str">
        <f aca="false">IFERROR(__xludf.dummyfunction("if(BJ3030="""","""",GOOGLETRANSLATE(BJ3030,""auto"",""en""))"),"Project Management")</f>
        <v>Project Management</v>
      </c>
      <c r="AA3030" s="23" t="str">
        <f aca="false">IF(C3030="","", CHOOSE(MONTH(C3030),"January","February","March","April","May","June","July","August","September","October","November","December")&amp;" "&amp;DAY(C3030)&amp;MID("thstndrdth",MIN(9,2*RIGHT(DAY(C3030))*(MOD(DAY(C3030)-11,100)&gt;2)+1),2)&amp;","&amp;TEXT(C3030," yyyy"))</f>
        <v>December 22nd,2025</v>
      </c>
      <c r="AB3030" s="15" t="str">
        <f aca="true">IF(S3030="","",DATEDIF(S3030,TODAY(),"Y")&amp;" Tahun, "&amp;DATEDIF(S3030,TODAY(),"YM")&amp;" Bulan, "&amp;DATEDIF(S3030,TODAY(),"MD")&amp;" Hari")</f>
        <v>46 Tahun, 7 Bulan, 15 Hari</v>
      </c>
      <c r="AC3030" s="18" t="n">
        <v>46013</v>
      </c>
      <c r="AD3030" s="18" t="n">
        <v>46103</v>
      </c>
      <c r="AE3030" s="18" t="s">
        <v>44</v>
      </c>
    </row>
    <row r="3031" customFormat="false" ht="15" hidden="false" customHeight="true" outlineLevel="0" collapsed="false">
      <c r="A3031" s="12" t="n">
        <v>21589</v>
      </c>
      <c r="B3031" s="13" t="s">
        <v>12687</v>
      </c>
      <c r="C3031" s="16" t="n">
        <v>46013</v>
      </c>
      <c r="D3031" s="13" t="s">
        <v>1338</v>
      </c>
      <c r="E3031" s="15" t="s">
        <v>102</v>
      </c>
      <c r="F3031" s="24" t="s">
        <v>12688</v>
      </c>
      <c r="G3031" s="13" t="s">
        <v>57</v>
      </c>
      <c r="H3031" s="13" t="s">
        <v>3024</v>
      </c>
      <c r="I3031" s="13" t="str">
        <f aca="false">IF(C3031=J3031,"NEW KONTRAK","RE-KONTRAK")</f>
        <v>NEW KONTRAK</v>
      </c>
      <c r="J3031" s="16" t="n">
        <f aca="false" t="array" ref="J3031:J3031">IFERROR(INDEX(AC3031:AE3031,IF(COUNTA(AC3031:AE3031)=0,"",MAX((AC3031:AE3031&lt;&gt;"")*(COLUMN(AC3031:AE3031)-(COLUMN(AC3031)))))-1),"")</f>
        <v>46013</v>
      </c>
      <c r="K3031" s="16" t="n">
        <f aca="false" t="array" ref="K3031:K3031">IFERROR(INDEX(AC3031:AE3031,IF(COUNTA(AC3031:AE3031)=0,"",MAX((AC3031:AE3031&lt;&gt;"")*(COLUMN(AC3031:AE3031)-(COLUMN(AC3031)-1))))-1),"")</f>
        <v>46103</v>
      </c>
      <c r="L3031" s="17" t="str">
        <f aca="false" t="array" ref="L3031:L3031">IFERROR(INDEX(AC3031:AE3031,IF(COUNTA(AC3031:AE3031)=0,"",MAX((AC3031:AE3031&lt;&gt;"")*(COLUMN(AC3031:AE3031)-(COLUMN(AC3031)-2))))-1),"")</f>
        <v>ARCHIVED</v>
      </c>
      <c r="M3031" s="13" t="n">
        <f aca="true">K3031-TODAY()</f>
        <v>-221</v>
      </c>
      <c r="N3031" s="18" t="s">
        <v>615</v>
      </c>
      <c r="O3031" s="13" t="s">
        <v>2335</v>
      </c>
      <c r="P3031" s="19" t="n">
        <v>160000</v>
      </c>
      <c r="Q3031" s="47" t="s">
        <v>12689</v>
      </c>
      <c r="R3031" s="13" t="s">
        <v>232</v>
      </c>
      <c r="S3031" s="16" t="n">
        <v>35798</v>
      </c>
      <c r="T3031" s="28" t="s">
        <v>40</v>
      </c>
      <c r="U3031" s="13" t="s">
        <v>12690</v>
      </c>
      <c r="V3031" s="13" t="s">
        <v>42</v>
      </c>
      <c r="W3031" s="13" t="s">
        <v>54</v>
      </c>
      <c r="X3031" s="21" t="n">
        <v>81906814323</v>
      </c>
      <c r="Y3031" s="22" t="str">
        <f aca="false">O3031</f>
        <v>Project Management</v>
      </c>
      <c r="Z3031" s="13" t="str">
        <f aca="false">IFERROR(__xludf.dummyfunction("if(BJ3031="""","""",GOOGLETRANSLATE(BJ3031,""auto"",""en""))"),"Project Management")</f>
        <v>Project Management</v>
      </c>
      <c r="AA3031" s="23" t="str">
        <f aca="false">IF(C3031="","", CHOOSE(MONTH(C3031),"January","February","March","April","May","June","July","August","September","October","November","December")&amp;" "&amp;DAY(C3031)&amp;MID("thstndrdth",MIN(9,2*RIGHT(DAY(C3031))*(MOD(DAY(C3031)-11,100)&gt;2)+1),2)&amp;","&amp;TEXT(C3031," yyyy"))</f>
        <v>December 22nd,2025</v>
      </c>
      <c r="AB3031" s="15" t="str">
        <f aca="true">IF(S3031="","",DATEDIF(S3031,TODAY(),"Y")&amp;" Tahun, "&amp;DATEDIF(S3031,TODAY(),"YM")&amp;" Bulan, "&amp;DATEDIF(S3031,TODAY(),"MD")&amp;" Hari")</f>
        <v>28 Tahun, 9 Bulan, 26 Hari</v>
      </c>
      <c r="AC3031" s="18" t="n">
        <v>46013</v>
      </c>
      <c r="AD3031" s="18" t="n">
        <v>46103</v>
      </c>
      <c r="AE3031" s="18" t="s">
        <v>44</v>
      </c>
    </row>
    <row r="3032" customFormat="false" ht="15" hidden="false" customHeight="true" outlineLevel="0" collapsed="false">
      <c r="A3032" s="12" t="n">
        <v>21590</v>
      </c>
      <c r="B3032" s="13" t="s">
        <v>12691</v>
      </c>
      <c r="C3032" s="16" t="n">
        <v>46013</v>
      </c>
      <c r="D3032" s="13" t="s">
        <v>1338</v>
      </c>
      <c r="E3032" s="15" t="s">
        <v>102</v>
      </c>
      <c r="F3032" s="24" t="s">
        <v>12692</v>
      </c>
      <c r="G3032" s="13" t="s">
        <v>57</v>
      </c>
      <c r="H3032" s="13" t="s">
        <v>3024</v>
      </c>
      <c r="I3032" s="13" t="str">
        <f aca="false">IF(C3032=J3032,"NEW KONTRAK","RE-KONTRAK")</f>
        <v>NEW KONTRAK</v>
      </c>
      <c r="J3032" s="16" t="n">
        <f aca="false" t="array" ref="J3032:J3032">IFERROR(INDEX(AC3032:AE3032,IF(COUNTA(AC3032:AE3032)=0,"",MAX((AC3032:AE3032&lt;&gt;"")*(COLUMN(AC3032:AE3032)-(COLUMN(AC3032)))))-1),"")</f>
        <v>46013</v>
      </c>
      <c r="K3032" s="16" t="n">
        <f aca="false" t="array" ref="K3032:K3032">IFERROR(INDEX(AC3032:AE3032,IF(COUNTA(AC3032:AE3032)=0,"",MAX((AC3032:AE3032&lt;&gt;"")*(COLUMN(AC3032:AE3032)-(COLUMN(AC3032)-1))))-1),"")</f>
        <v>46103</v>
      </c>
      <c r="L3032" s="17" t="str">
        <f aca="false" t="array" ref="L3032:L3032">IFERROR(INDEX(AC3032:AE3032,IF(COUNTA(AC3032:AE3032)=0,"",MAX((AC3032:AE3032&lt;&gt;"")*(COLUMN(AC3032:AE3032)-(COLUMN(AC3032)-2))))-1),"")</f>
        <v>ARCHIVED</v>
      </c>
      <c r="M3032" s="13" t="n">
        <f aca="true">K3032-TODAY()</f>
        <v>-221</v>
      </c>
      <c r="N3032" s="18" t="s">
        <v>615</v>
      </c>
      <c r="O3032" s="13" t="s">
        <v>2335</v>
      </c>
      <c r="P3032" s="19" t="n">
        <v>160000</v>
      </c>
      <c r="Q3032" s="47" t="s">
        <v>12693</v>
      </c>
      <c r="R3032" s="13" t="s">
        <v>232</v>
      </c>
      <c r="S3032" s="16" t="n">
        <v>32067</v>
      </c>
      <c r="T3032" s="28" t="s">
        <v>40</v>
      </c>
      <c r="U3032" s="13" t="s">
        <v>12694</v>
      </c>
      <c r="V3032" s="13" t="s">
        <v>42</v>
      </c>
      <c r="W3032" s="13" t="s">
        <v>54</v>
      </c>
      <c r="X3032" s="21" t="n">
        <v>81216036385</v>
      </c>
      <c r="Y3032" s="22" t="str">
        <f aca="false">O3032</f>
        <v>Project Management</v>
      </c>
      <c r="Z3032" s="13" t="str">
        <f aca="false">IFERROR(__xludf.dummyfunction("if(BJ3032="""","""",GOOGLETRANSLATE(BJ3032,""auto"",""en""))"),"Project Management")</f>
        <v>Project Management</v>
      </c>
      <c r="AA3032" s="23" t="str">
        <f aca="false">IF(C3032="","", CHOOSE(MONTH(C3032),"January","February","March","April","May","June","July","August","September","October","November","December")&amp;" "&amp;DAY(C3032)&amp;MID("thstndrdth",MIN(9,2*RIGHT(DAY(C3032))*(MOD(DAY(C3032)-11,100)&gt;2)+1),2)&amp;","&amp;TEXT(C3032," yyyy"))</f>
        <v>December 22nd,2025</v>
      </c>
      <c r="AB3032" s="15" t="str">
        <f aca="true">IF(S3032="","",DATEDIF(S3032,TODAY(),"Y")&amp;" Tahun, "&amp;DATEDIF(S3032,TODAY(),"YM")&amp;" Bulan, "&amp;DATEDIF(S3032,TODAY(),"MD")&amp;" Hari")</f>
        <v>39 Tahun, 0 Bulan, 12 Hari</v>
      </c>
      <c r="AC3032" s="18" t="n">
        <v>46013</v>
      </c>
      <c r="AD3032" s="18" t="n">
        <v>46103</v>
      </c>
      <c r="AE3032" s="18" t="s">
        <v>44</v>
      </c>
    </row>
    <row r="3033" customFormat="false" ht="15" hidden="false" customHeight="true" outlineLevel="0" collapsed="false">
      <c r="A3033" s="12" t="n">
        <v>21591</v>
      </c>
      <c r="B3033" s="13" t="s">
        <v>12695</v>
      </c>
      <c r="C3033" s="16" t="n">
        <v>46013</v>
      </c>
      <c r="D3033" s="13" t="s">
        <v>774</v>
      </c>
      <c r="E3033" s="15" t="s">
        <v>536</v>
      </c>
      <c r="F3033" s="24" t="s">
        <v>12696</v>
      </c>
      <c r="G3033" s="13" t="s">
        <v>1127</v>
      </c>
      <c r="H3033" s="13" t="s">
        <v>35</v>
      </c>
      <c r="I3033" s="13" t="str">
        <f aca="false">IF(C3033=J3033,"NEW KONTRAK","RE-KONTRAK")</f>
        <v>NEW KONTRAK</v>
      </c>
      <c r="J3033" s="16" t="n">
        <f aca="false" t="array" ref="J3033:J3033">IFERROR(INDEX(AC3033:AE3033,IF(COUNTA(AC3033:AE3033)=0,"",MAX((AC3033:AE3033&lt;&gt;"")*(COLUMN(AC3033:AE3033)-(COLUMN(AC3033)))))-1),"")</f>
        <v>46013</v>
      </c>
      <c r="K3033" s="16" t="n">
        <f aca="false" t="array" ref="K3033:K3033">IFERROR(INDEX(AC3033:AE3033,IF(COUNTA(AC3033:AE3033)=0,"",MAX((AC3033:AE3033&lt;&gt;"")*(COLUMN(AC3033:AE3033)-(COLUMN(AC3033)-1))))-1),"")</f>
        <v>46102</v>
      </c>
      <c r="L3033" s="17" t="str">
        <f aca="false" t="array" ref="L3033:L3033">IFERROR(INDEX(AC3033:AE3033,IF(COUNTA(AC3033:AE3033)=0,"",MAX((AC3033:AE3033&lt;&gt;"")*(COLUMN(AC3033:AE3033)-(COLUMN(AC3033)-2))))-1),"")</f>
        <v>ARCHIVED</v>
      </c>
      <c r="M3033" s="13" t="n">
        <f aca="true">K3033-TODAY()</f>
        <v>-222</v>
      </c>
      <c r="N3033" s="18" t="s">
        <v>36</v>
      </c>
      <c r="O3033" s="13" t="s">
        <v>6877</v>
      </c>
      <c r="P3033" s="19" t="n">
        <v>4500000</v>
      </c>
      <c r="Q3033" s="47" t="s">
        <v>12697</v>
      </c>
      <c r="R3033" s="13" t="s">
        <v>4779</v>
      </c>
      <c r="S3033" s="16" t="n">
        <v>34659</v>
      </c>
      <c r="T3033" s="13" t="s">
        <v>108</v>
      </c>
      <c r="U3033" s="13" t="s">
        <v>12698</v>
      </c>
      <c r="V3033" s="13" t="s">
        <v>42</v>
      </c>
      <c r="W3033" s="13" t="s">
        <v>897</v>
      </c>
      <c r="X3033" s="21" t="n">
        <v>81327713722</v>
      </c>
      <c r="Y3033" s="22" t="str">
        <f aca="false">O3033</f>
        <v>Staff Accounting</v>
      </c>
      <c r="Z3033" s="13" t="str">
        <f aca="false">IFERROR(__xludf.dummyfunction("if(BJ3033="""","""",GOOGLETRANSLATE(BJ3033,""auto"",""en""))"),"Staff Accounting")</f>
        <v>Staff Accounting</v>
      </c>
      <c r="AA3033" s="23" t="str">
        <f aca="false">IF(C3033="","", CHOOSE(MONTH(C3033),"January","February","March","April","May","June","July","August","September","October","November","December")&amp;" "&amp;DAY(C3033)&amp;MID("thstndrdth",MIN(9,2*RIGHT(DAY(C3033))*(MOD(DAY(C3033)-11,100)&gt;2)+1),2)&amp;","&amp;TEXT(C3033," yyyy"))</f>
        <v>December 22nd,2025</v>
      </c>
      <c r="AB3033" s="15" t="str">
        <f aca="true">IF(S3033="","",DATEDIF(S3033,TODAY(),"Y")&amp;" Tahun, "&amp;DATEDIF(S3033,TODAY(),"YM")&amp;" Bulan, "&amp;DATEDIF(S3033,TODAY(),"MD")&amp;" Hari")</f>
        <v>31 Tahun, 11 Bulan, 8 Hari</v>
      </c>
      <c r="AC3033" s="18" t="n">
        <v>46013</v>
      </c>
      <c r="AD3033" s="18" t="n">
        <f aca="false">EDATE(AC3033,3)-1</f>
        <v>46102</v>
      </c>
      <c r="AE3033" s="13" t="s">
        <v>44</v>
      </c>
    </row>
    <row r="3034" customFormat="false" ht="15" hidden="false" customHeight="true" outlineLevel="0" collapsed="false">
      <c r="A3034" s="12" t="n">
        <v>21592</v>
      </c>
      <c r="B3034" s="13" t="s">
        <v>12699</v>
      </c>
      <c r="C3034" s="16" t="n">
        <v>45659</v>
      </c>
      <c r="D3034" s="13" t="s">
        <v>8864</v>
      </c>
      <c r="E3034" s="15" t="s">
        <v>102</v>
      </c>
      <c r="F3034" s="15" t="str">
        <f aca="false">IFERROR(__xludf.dummyfunction("XLOOKUP(AJ3034,IMPORTRANGE(""1XaInW9DU9nz21V0tYIfzFQ0He9kVQ_JF2mCXgZ3hqFA"",""REKAP ALL 2026 - Andika!G:G""),IMPORTRANGE(""1XaInW9DU9nz21V0tYIfzFQ0He9kVQ_JF2mCXgZ3hqFA"",""REKAP ALL 2026 - Andika!F:F""),"""",0)"),"26005753251")</f>
        <v>26005753251</v>
      </c>
      <c r="G3034" s="13" t="s">
        <v>57</v>
      </c>
      <c r="H3034" s="13" t="s">
        <v>35</v>
      </c>
      <c r="I3034" s="13" t="str">
        <f aca="false">IF(C3034=J3034,"NEW KONTRAK","RE-KONTRAK")</f>
        <v>RE-KONTRAK</v>
      </c>
      <c r="J3034" s="16" t="n">
        <f aca="false" t="array" ref="J3034:J3034">IFERROR(INDEX(AC3034:AE3034,IF(COUNTA(AC3034:AE3034)=0,"",MAX((AC3034:AE3034&lt;&gt;"")*(COLUMN(AC3034:AE3034)-(COLUMN(AC3034)))))-1),"")</f>
        <v>46024</v>
      </c>
      <c r="K3034" s="16" t="n">
        <f aca="false" t="array" ref="K3034:K3034">IFERROR(INDEX(AC3034:AE3034,IF(COUNTA(AC3034:AE3034)=0,"",MAX((AC3034:AE3034&lt;&gt;"")*(COLUMN(AC3034:AE3034)-(COLUMN(AC3034)-1))))-1),"")</f>
        <v>46388</v>
      </c>
      <c r="L3034" s="17" t="str">
        <f aca="false" t="array" ref="L3034:L3034">IFERROR(INDEX(AC3034:AE3034,IF(COUNTA(AC3034:AE3034)=0,"",MAX((AC3034:AE3034&lt;&gt;"")*(COLUMN(AC3034:AE3034)-(COLUMN(AC3034)-2))))-1),"")</f>
        <v>ARCHIVED</v>
      </c>
      <c r="M3034" s="13" t="n">
        <f aca="true">K3034-TODAY()</f>
        <v>64</v>
      </c>
      <c r="N3034" s="18" t="s">
        <v>105</v>
      </c>
      <c r="O3034" s="13" t="s">
        <v>719</v>
      </c>
      <c r="P3034" s="19" t="n">
        <v>100000</v>
      </c>
      <c r="Q3034" s="47" t="s">
        <v>12700</v>
      </c>
      <c r="R3034" s="13" t="s">
        <v>39</v>
      </c>
      <c r="S3034" s="16" t="n">
        <v>34297</v>
      </c>
      <c r="T3034" s="28" t="s">
        <v>40</v>
      </c>
      <c r="U3034" s="13" t="s">
        <v>12701</v>
      </c>
      <c r="V3034" s="13" t="s">
        <v>42</v>
      </c>
      <c r="W3034" s="13" t="s">
        <v>54</v>
      </c>
      <c r="X3034" s="21" t="n">
        <v>81998159046</v>
      </c>
      <c r="Y3034" s="22" t="str">
        <f aca="false">O3034</f>
        <v>Cleaning Service</v>
      </c>
      <c r="Z3034" s="13" t="str">
        <f aca="false">IFERROR(__xludf.dummyfunction("if(BJ3034="""","""",GOOGLETRANSLATE(BJ3034,""auto"",""en""))"),"Cleaning Service")</f>
        <v>Cleaning Service</v>
      </c>
      <c r="AA3034" s="23" t="str">
        <f aca="false">IF(C3034="","", CHOOSE(MONTH(C3034),"January","February","March","April","May","June","July","August","September","October","November","December")&amp;" "&amp;DAY(C3034)&amp;MID("thstndrdth",MIN(9,2*RIGHT(DAY(C3034))*(MOD(DAY(C3034)-11,100)&gt;2)+1),2)&amp;","&amp;TEXT(C3034," yyyy"))</f>
        <v>January 2nd,2025</v>
      </c>
      <c r="AB3034" s="15" t="str">
        <f aca="true">IF(S3034="","",DATEDIF(S3034,TODAY(),"Y")&amp;" Tahun, "&amp;DATEDIF(S3034,TODAY(),"YM")&amp;" Bulan, "&amp;DATEDIF(S3034,TODAY(),"MD")&amp;" Hari")</f>
        <v>32 Tahun, 11 Bulan, 5 Hari</v>
      </c>
      <c r="AC3034" s="18" t="n">
        <v>46024</v>
      </c>
      <c r="AD3034" s="18" t="n">
        <f aca="false">EDATE(AC3034,12)-1</f>
        <v>46388</v>
      </c>
      <c r="AE3034" s="13" t="s">
        <v>44</v>
      </c>
    </row>
    <row r="3035" customFormat="false" ht="15" hidden="false" customHeight="true" outlineLevel="0" collapsed="false">
      <c r="A3035" s="12" t="n">
        <v>21594</v>
      </c>
      <c r="B3035" s="13" t="s">
        <v>12702</v>
      </c>
      <c r="C3035" s="16" t="n">
        <v>46014</v>
      </c>
      <c r="D3035" s="13" t="s">
        <v>5892</v>
      </c>
      <c r="E3035" s="15" t="s">
        <v>102</v>
      </c>
      <c r="F3035" s="24" t="s">
        <v>12703</v>
      </c>
      <c r="G3035" s="13" t="s">
        <v>1127</v>
      </c>
      <c r="H3035" s="13" t="s">
        <v>35</v>
      </c>
      <c r="I3035" s="13" t="str">
        <f aca="false">IF(C3035=J3035,"NEW KONTRAK","RE-KONTRAK")</f>
        <v>NEW KONTRAK</v>
      </c>
      <c r="J3035" s="16" t="n">
        <f aca="false" t="array" ref="J3035:J3035">IFERROR(INDEX(AC3035:AE3035,IF(COUNTA(AC3035:AE3035)=0,"",MAX((AC3035:AE3035&lt;&gt;"")*(COLUMN(AC3035:AE3035)-(COLUMN(AC3035)))))-1),"")</f>
        <v>46014</v>
      </c>
      <c r="K3035" s="16" t="n">
        <f aca="false" t="array" ref="K3035:K3035">IFERROR(INDEX(AC3035:AE3035,IF(COUNTA(AC3035:AE3035)=0,"",MAX((AC3035:AE3035&lt;&gt;"")*(COLUMN(AC3035:AE3035)-(COLUMN(AC3035)-1))))-1),"")</f>
        <v>46103</v>
      </c>
      <c r="L3035" s="17" t="str">
        <f aca="false" t="array" ref="L3035:L3035">IFERROR(INDEX(AC3035:AE3035,IF(COUNTA(AC3035:AE3035)=0,"",MAX((AC3035:AE3035&lt;&gt;"")*(COLUMN(AC3035:AE3035)-(COLUMN(AC3035)-2))))-1),"")</f>
        <v>ARCHIVED</v>
      </c>
      <c r="M3035" s="13" t="n">
        <f aca="true">K3035-TODAY()</f>
        <v>-221</v>
      </c>
      <c r="N3035" s="18" t="s">
        <v>105</v>
      </c>
      <c r="O3035" s="13" t="s">
        <v>5899</v>
      </c>
      <c r="P3035" s="19" t="n">
        <v>4140000</v>
      </c>
      <c r="Q3035" s="47" t="s">
        <v>12704</v>
      </c>
      <c r="R3035" s="13" t="s">
        <v>39</v>
      </c>
      <c r="S3035" s="16" t="n">
        <v>36349</v>
      </c>
      <c r="T3035" s="28" t="s">
        <v>40</v>
      </c>
      <c r="U3035" s="13" t="s">
        <v>12705</v>
      </c>
      <c r="V3035" s="13" t="s">
        <v>42</v>
      </c>
      <c r="W3035" s="13" t="s">
        <v>43</v>
      </c>
      <c r="X3035" s="21" t="n">
        <v>85731127717</v>
      </c>
      <c r="Y3035" s="22" t="str">
        <f aca="false">O3035</f>
        <v>PLC</v>
      </c>
      <c r="Z3035" s="13" t="str">
        <f aca="false">IFERROR(__xludf.dummyfunction("if(BJ3035="""","""",GOOGLETRANSLATE(BJ3035,""auto"",""en""))"),"PLC")</f>
        <v>PLC</v>
      </c>
      <c r="AA3035" s="23" t="str">
        <f aca="false">IF(C3035="","", CHOOSE(MONTH(C3035),"January","February","March","April","May","June","July","August","September","October","November","December")&amp;" "&amp;DAY(C3035)&amp;MID("thstndrdth",MIN(9,2*RIGHT(DAY(C3035))*(MOD(DAY(C3035)-11,100)&gt;2)+1),2)&amp;","&amp;TEXT(C3035," yyyy"))</f>
        <v>December 23rd,2025</v>
      </c>
      <c r="AB3035" s="15" t="str">
        <f aca="true">IF(S3035="","",DATEDIF(S3035,TODAY(),"Y")&amp;" Tahun, "&amp;DATEDIF(S3035,TODAY(),"YM")&amp;" Bulan, "&amp;DATEDIF(S3035,TODAY(),"MD")&amp;" Hari")</f>
        <v>27 Tahun, 3 Bulan, 21 Hari</v>
      </c>
      <c r="AC3035" s="18" t="n">
        <v>46014</v>
      </c>
      <c r="AD3035" s="18" t="n">
        <f aca="false">EDATE(AC3035,3)-1</f>
        <v>46103</v>
      </c>
      <c r="AE3035" s="13" t="s">
        <v>44</v>
      </c>
    </row>
    <row r="3036" customFormat="false" ht="15" hidden="false" customHeight="true" outlineLevel="0" collapsed="false">
      <c r="A3036" s="12" t="n">
        <v>21595</v>
      </c>
      <c r="B3036" s="13" t="s">
        <v>12706</v>
      </c>
      <c r="C3036" s="16" t="n">
        <v>43291</v>
      </c>
      <c r="D3036" s="13" t="s">
        <v>885</v>
      </c>
      <c r="E3036" s="15" t="s">
        <v>102</v>
      </c>
      <c r="F3036" s="15" t="str">
        <f aca="false">IFERROR(__xludf.dummyfunction("XLOOKUP(AJ3036,IMPORTRANGE(""1XaInW9DU9nz21V0tYIfzFQ0He9kVQ_JF2mCXgZ3hqFA"",""REKAP ALL 2026 - Andika!G:G""),IMPORTRANGE(""1XaInW9DU9nz21V0tYIfzFQ0He9kVQ_JF2mCXgZ3hqFA"",""REKAP ALL 2026 - Andika!F:F""),"""",0)"),"26005751495")</f>
        <v>26005751495</v>
      </c>
      <c r="G3036" s="28" t="s">
        <v>57</v>
      </c>
      <c r="H3036" s="13" t="s">
        <v>35</v>
      </c>
      <c r="I3036" s="13" t="str">
        <f aca="false">IF(C3036=J3036,"NEW KONTRAK","RE-KONTRAK")</f>
        <v>RE-KONTRAK</v>
      </c>
      <c r="J3036" s="16" t="n">
        <f aca="false" t="array" ref="J3036:J3036">IFERROR(INDEX(AC3036:AE3036,IF(COUNTA(AC3036:AE3036)=0,"",MAX((AC3036:AE3036&lt;&gt;"")*(COLUMN(AC3036:AE3036)-(COLUMN(AC3036)))))-1),"")</f>
        <v>46023</v>
      </c>
      <c r="K3036" s="16" t="n">
        <f aca="false" t="array" ref="K3036:K3036">IFERROR(INDEX(AC3036:AE3036,IF(COUNTA(AC3036:AE3036)=0,"",MAX((AC3036:AE3036&lt;&gt;"")*(COLUMN(AC3036:AE3036)-(COLUMN(AC3036)-1))))-1),"")</f>
        <v>46112</v>
      </c>
      <c r="L3036" s="17" t="str">
        <f aca="false" t="array" ref="L3036:L3036">IFERROR(INDEX(AC3036:AE3036,IF(COUNTA(AC3036:AE3036)=0,"",MAX((AC3036:AE3036&lt;&gt;"")*(COLUMN(AC3036:AE3036)-(COLUMN(AC3036)-2))))-1),"")</f>
        <v>ARCHIVED</v>
      </c>
      <c r="M3036" s="13" t="n">
        <f aca="true">K3036-TODAY()</f>
        <v>-212</v>
      </c>
      <c r="N3036" s="18" t="s">
        <v>728</v>
      </c>
      <c r="O3036" s="13" t="s">
        <v>3015</v>
      </c>
      <c r="P3036" s="19" t="n">
        <v>132300</v>
      </c>
      <c r="Q3036" s="47" t="s">
        <v>12707</v>
      </c>
      <c r="R3036" s="13" t="s">
        <v>246</v>
      </c>
      <c r="S3036" s="16" t="n">
        <v>36721</v>
      </c>
      <c r="T3036" s="28" t="s">
        <v>40</v>
      </c>
      <c r="U3036" s="13" t="s">
        <v>12708</v>
      </c>
      <c r="V3036" s="13" t="s">
        <v>42</v>
      </c>
      <c r="W3036" s="13" t="s">
        <v>43</v>
      </c>
      <c r="X3036" s="30" t="n">
        <v>87846291486</v>
      </c>
      <c r="Y3036" s="22" t="str">
        <f aca="false">O3036</f>
        <v>Staff Produksi</v>
      </c>
      <c r="Z3036" s="13" t="str">
        <f aca="false">IFERROR(__xludf.dummyfunction("if(BJ3036="""","""",GOOGLETRANSLATE(BJ3036,""auto"",""en""))"),"Production Staff")</f>
        <v>Production Staff</v>
      </c>
      <c r="AA3036" s="23" t="str">
        <f aca="false">IF(C3036="","", CHOOSE(MONTH(C3036),"January","February","March","April","May","June","July","August","September","October","November","December")&amp;" "&amp;DAY(C3036)&amp;MID("thstndrdth",MIN(9,2*RIGHT(DAY(C3036))*(MOD(DAY(C3036)-11,100)&gt;2)+1),2)&amp;","&amp;TEXT(C3036," yyyy"))</f>
        <v>July 10th,2018</v>
      </c>
      <c r="AB3036" s="15" t="str">
        <f aca="true">IF(S3036="","",DATEDIF(S3036,TODAY(),"Y")&amp;" Tahun, "&amp;DATEDIF(S3036,TODAY(),"YM")&amp;" Bulan, "&amp;DATEDIF(S3036,TODAY(),"MD")&amp;" Hari")</f>
        <v>26 Tahun, 3 Bulan, 15 Hari</v>
      </c>
      <c r="AC3036" s="18" t="n">
        <v>46023</v>
      </c>
      <c r="AD3036" s="18" t="n">
        <f aca="false">EDATE(AC3036,3)-1</f>
        <v>46112</v>
      </c>
      <c r="AE3036" s="13" t="s">
        <v>44</v>
      </c>
    </row>
    <row r="3037" customFormat="false" ht="15" hidden="false" customHeight="true" outlineLevel="0" collapsed="false">
      <c r="A3037" s="12" t="n">
        <v>21596</v>
      </c>
      <c r="B3037" s="13" t="s">
        <v>12709</v>
      </c>
      <c r="C3037" s="16" t="n">
        <v>46023</v>
      </c>
      <c r="D3037" s="13" t="s">
        <v>885</v>
      </c>
      <c r="E3037" s="15" t="s">
        <v>47</v>
      </c>
      <c r="F3037" s="15" t="str">
        <f aca="false">IFERROR(__xludf.dummyfunction("XLOOKUP(AJ3037,IMPORTRANGE(""1XaInW9DU9nz21V0tYIfzFQ0He9kVQ_JF2mCXgZ3hqFA"",""REKAP ALL 2026 - Andika!G:G""),IMPORTRANGE(""1XaInW9DU9nz21V0tYIfzFQ0He9kVQ_JF2mCXgZ3hqFA"",""REKAP ALL 2026 - Andika!F:F""),"""",0)"),"26005751339")</f>
        <v>26005751339</v>
      </c>
      <c r="G3037" s="28" t="s">
        <v>57</v>
      </c>
      <c r="H3037" s="13" t="s">
        <v>35</v>
      </c>
      <c r="I3037" s="13" t="str">
        <f aca="false">IF(C3037=J3037,"NEW KONTRAK","RE-KONTRAK")</f>
        <v>NEW KONTRAK</v>
      </c>
      <c r="J3037" s="16" t="n">
        <f aca="false" t="array" ref="J3037:J3037">IFERROR(INDEX(AC3037:AE3037,IF(COUNTA(AC3037:AE3037)=0,"",MAX((AC3037:AE3037&lt;&gt;"")*(COLUMN(AC3037:AE3037)-(COLUMN(AC3037)))))-1),"")</f>
        <v>46023</v>
      </c>
      <c r="K3037" s="16" t="n">
        <f aca="false" t="array" ref="K3037:K3037">IFERROR(INDEX(AC3037:AE3037,IF(COUNTA(AC3037:AE3037)=0,"",MAX((AC3037:AE3037&lt;&gt;"")*(COLUMN(AC3037:AE3037)-(COLUMN(AC3037)-1))))-1),"")</f>
        <v>46112</v>
      </c>
      <c r="L3037" s="17" t="str">
        <f aca="false" t="array" ref="L3037:L3037">IFERROR(INDEX(AC3037:AE3037,IF(COUNTA(AC3037:AE3037)=0,"",MAX((AC3037:AE3037&lt;&gt;"")*(COLUMN(AC3037:AE3037)-(COLUMN(AC3037)-2))))-1),"")</f>
        <v>ARCHIVED</v>
      </c>
      <c r="M3037" s="13" t="n">
        <f aca="true">K3037-TODAY()</f>
        <v>-212</v>
      </c>
      <c r="N3037" s="18" t="s">
        <v>728</v>
      </c>
      <c r="O3037" s="13" t="s">
        <v>1453</v>
      </c>
      <c r="P3037" s="19" t="n">
        <v>132300</v>
      </c>
      <c r="Q3037" s="47" t="s">
        <v>12710</v>
      </c>
      <c r="R3037" s="13" t="s">
        <v>12711</v>
      </c>
      <c r="S3037" s="16" t="n">
        <v>37948</v>
      </c>
      <c r="T3037" s="28" t="s">
        <v>40</v>
      </c>
      <c r="U3037" s="13" t="s">
        <v>12712</v>
      </c>
      <c r="V3037" s="13" t="s">
        <v>42</v>
      </c>
      <c r="W3037" s="13" t="s">
        <v>43</v>
      </c>
      <c r="X3037" s="30" t="n">
        <v>85828168505</v>
      </c>
      <c r="Y3037" s="22" t="str">
        <f aca="false">O3037</f>
        <v>Helper Produksi</v>
      </c>
      <c r="Z3037" s="13" t="str">
        <f aca="false">IFERROR(__xludf.dummyfunction("if(BJ3037="""","""",GOOGLETRANSLATE(BJ3037,""auto"",""en""))"),"Production Helper")</f>
        <v>Production Helper</v>
      </c>
      <c r="AA3037" s="23" t="str">
        <f aca="false">IF(C3037="","", CHOOSE(MONTH(C3037),"January","February","March","April","May","June","July","August","September","October","November","December")&amp;" "&amp;DAY(C3037)&amp;MID("thstndrdth",MIN(9,2*RIGHT(DAY(C3037))*(MOD(DAY(C3037)-11,100)&gt;2)+1),2)&amp;","&amp;TEXT(C3037," yyyy"))</f>
        <v>January 1st,2026</v>
      </c>
      <c r="AB3037" s="15" t="str">
        <f aca="true">IF(S3037="","",DATEDIF(S3037,TODAY(),"Y")&amp;" Tahun, "&amp;DATEDIF(S3037,TODAY(),"YM")&amp;" Bulan, "&amp;DATEDIF(S3037,TODAY(),"MD")&amp;" Hari")</f>
        <v>22 Tahun, 11 Bulan, 6 Hari</v>
      </c>
      <c r="AC3037" s="18" t="n">
        <v>46023</v>
      </c>
      <c r="AD3037" s="18" t="n">
        <f aca="false">EDATE(AC3037,3)-1</f>
        <v>46112</v>
      </c>
      <c r="AE3037" s="13" t="s">
        <v>44</v>
      </c>
    </row>
    <row r="3038" customFormat="false" ht="15" hidden="false" customHeight="true" outlineLevel="0" collapsed="false">
      <c r="A3038" s="12" t="n">
        <v>21597</v>
      </c>
      <c r="B3038" s="13" t="s">
        <v>12713</v>
      </c>
      <c r="C3038" s="16" t="n">
        <v>46023</v>
      </c>
      <c r="D3038" s="13" t="s">
        <v>885</v>
      </c>
      <c r="E3038" s="15" t="s">
        <v>102</v>
      </c>
      <c r="F3038" s="15" t="str">
        <f aca="false">IFERROR(__xludf.dummyfunction("XLOOKUP(AJ3038,IMPORTRANGE(""1XaInW9DU9nz21V0tYIfzFQ0He9kVQ_JF2mCXgZ3hqFA"",""REKAP ALL 2026 - Andika!G:G""),IMPORTRANGE(""1XaInW9DU9nz21V0tYIfzFQ0He9kVQ_JF2mCXgZ3hqFA"",""REKAP ALL 2026 - Andika!F:F""),"""",0)"),"26005751669")</f>
        <v>26005751669</v>
      </c>
      <c r="G3038" s="28" t="s">
        <v>57</v>
      </c>
      <c r="H3038" s="13" t="s">
        <v>35</v>
      </c>
      <c r="I3038" s="13" t="str">
        <f aca="false">IF(C3038=J3038,"NEW KONTRAK","RE-KONTRAK")</f>
        <v>NEW KONTRAK</v>
      </c>
      <c r="J3038" s="16" t="n">
        <f aca="false" t="array" ref="J3038:J3038">IFERROR(INDEX(AC3038:AE3038,IF(COUNTA(AC3038:AE3038)=0,"",MAX((AC3038:AE3038&lt;&gt;"")*(COLUMN(AC3038:AE3038)-(COLUMN(AC3038)))))-1),"")</f>
        <v>46023</v>
      </c>
      <c r="K3038" s="16" t="n">
        <f aca="false" t="array" ref="K3038:K3038">IFERROR(INDEX(AC3038:AE3038,IF(COUNTA(AC3038:AE3038)=0,"",MAX((AC3038:AE3038&lt;&gt;"")*(COLUMN(AC3038:AE3038)-(COLUMN(AC3038)-1))))-1),"")</f>
        <v>46112</v>
      </c>
      <c r="L3038" s="17" t="str">
        <f aca="false" t="array" ref="L3038:L3038">IFERROR(INDEX(AC3038:AE3038,IF(COUNTA(AC3038:AE3038)=0,"",MAX((AC3038:AE3038&lt;&gt;"")*(COLUMN(AC3038:AE3038)-(COLUMN(AC3038)-2))))-1),"")</f>
        <v>ARCHIVED</v>
      </c>
      <c r="M3038" s="13" t="n">
        <f aca="true">K3038-TODAY()</f>
        <v>-212</v>
      </c>
      <c r="N3038" s="18" t="s">
        <v>728</v>
      </c>
      <c r="O3038" s="13" t="s">
        <v>1453</v>
      </c>
      <c r="P3038" s="27" t="n">
        <v>132300</v>
      </c>
      <c r="Q3038" s="47" t="s">
        <v>12714</v>
      </c>
      <c r="R3038" s="13" t="s">
        <v>52</v>
      </c>
      <c r="S3038" s="16" t="n">
        <v>38396</v>
      </c>
      <c r="T3038" s="28" t="s">
        <v>40</v>
      </c>
      <c r="U3038" s="13" t="s">
        <v>12715</v>
      </c>
      <c r="V3038" s="13" t="s">
        <v>42</v>
      </c>
      <c r="W3038" s="13" t="s">
        <v>43</v>
      </c>
      <c r="X3038" s="30" t="n">
        <v>85723573322</v>
      </c>
      <c r="Y3038" s="22" t="str">
        <f aca="false">O3038</f>
        <v>Helper Produksi</v>
      </c>
      <c r="Z3038" s="13" t="str">
        <f aca="false">IFERROR(__xludf.dummyfunction("if(BJ3038="""","""",GOOGLETRANSLATE(BJ3038,""auto"",""en""))"),"Production Helper")</f>
        <v>Production Helper</v>
      </c>
      <c r="AA3038" s="23" t="str">
        <f aca="false">IF(C3038="","", CHOOSE(MONTH(C3038),"January","February","March","April","May","June","July","August","September","October","November","December")&amp;" "&amp;DAY(C3038)&amp;MID("thstndrdth",MIN(9,2*RIGHT(DAY(C3038))*(MOD(DAY(C3038)-11,100)&gt;2)+1),2)&amp;","&amp;TEXT(C3038," yyyy"))</f>
        <v>January 1st,2026</v>
      </c>
      <c r="AB3038" s="15" t="str">
        <f aca="true">IF(S3038="","",DATEDIF(S3038,TODAY(),"Y")&amp;" Tahun, "&amp;DATEDIF(S3038,TODAY(),"YM")&amp;" Bulan, "&amp;DATEDIF(S3038,TODAY(),"MD")&amp;" Hari")</f>
        <v>21 Tahun, 8 Bulan, 16 Hari</v>
      </c>
      <c r="AC3038" s="18" t="n">
        <v>46023</v>
      </c>
      <c r="AD3038" s="18" t="n">
        <f aca="false">EDATE(AC3038,3)-1</f>
        <v>46112</v>
      </c>
      <c r="AE3038" s="13" t="s">
        <v>44</v>
      </c>
    </row>
    <row r="3039" customFormat="false" ht="15" hidden="false" customHeight="true" outlineLevel="0" collapsed="false">
      <c r="A3039" s="12" t="n">
        <v>21598</v>
      </c>
      <c r="B3039" s="13" t="s">
        <v>12716</v>
      </c>
      <c r="C3039" s="16" t="n">
        <v>46023</v>
      </c>
      <c r="D3039" s="13" t="s">
        <v>885</v>
      </c>
      <c r="E3039" s="15" t="s">
        <v>47</v>
      </c>
      <c r="F3039" s="15" t="str">
        <f aca="false">IFERROR(__xludf.dummyfunction("XLOOKUP(AJ3039,IMPORTRANGE(""1XaInW9DU9nz21V0tYIfzFQ0He9kVQ_JF2mCXgZ3hqFA"",""REKAP ALL 2026 - Andika!G:G""),IMPORTRANGE(""1XaInW9DU9nz21V0tYIfzFQ0He9kVQ_JF2mCXgZ3hqFA"",""REKAP ALL 2026 - Andika!F:F""),"""",0)"),"26005751438")</f>
        <v>26005751438</v>
      </c>
      <c r="G3039" s="28" t="s">
        <v>57</v>
      </c>
      <c r="H3039" s="13" t="s">
        <v>35</v>
      </c>
      <c r="I3039" s="13" t="str">
        <f aca="false">IF(C3039=J3039,"NEW KONTRAK","RE-KONTRAK")</f>
        <v>NEW KONTRAK</v>
      </c>
      <c r="J3039" s="16" t="n">
        <f aca="false" t="array" ref="J3039:J3039">IFERROR(INDEX(AC3039:AE3039,IF(COUNTA(AC3039:AE3039)=0,"",MAX((AC3039:AE3039&lt;&gt;"")*(COLUMN(AC3039:AE3039)-(COLUMN(AC3039)))))-1),"")</f>
        <v>46023</v>
      </c>
      <c r="K3039" s="16" t="n">
        <f aca="false" t="array" ref="K3039:K3039">IFERROR(INDEX(AC3039:AE3039,IF(COUNTA(AC3039:AE3039)=0,"",MAX((AC3039:AE3039&lt;&gt;"")*(COLUMN(AC3039:AE3039)-(COLUMN(AC3039)-1))))-1),"")</f>
        <v>46112</v>
      </c>
      <c r="L3039" s="17" t="str">
        <f aca="false" t="array" ref="L3039:L3039">IFERROR(INDEX(AC3039:AE3039,IF(COUNTA(AC3039:AE3039)=0,"",MAX((AC3039:AE3039&lt;&gt;"")*(COLUMN(AC3039:AE3039)-(COLUMN(AC3039)-2))))-1),"")</f>
        <v>ARCHIVED</v>
      </c>
      <c r="M3039" s="13" t="n">
        <f aca="true">K3039-TODAY()</f>
        <v>-212</v>
      </c>
      <c r="N3039" s="18" t="s">
        <v>728</v>
      </c>
      <c r="O3039" s="13" t="s">
        <v>1453</v>
      </c>
      <c r="P3039" s="19" t="n">
        <v>132300</v>
      </c>
      <c r="Q3039" s="47" t="s">
        <v>12717</v>
      </c>
      <c r="R3039" s="13" t="s">
        <v>73</v>
      </c>
      <c r="S3039" s="16" t="n">
        <v>34765</v>
      </c>
      <c r="T3039" s="28" t="s">
        <v>40</v>
      </c>
      <c r="U3039" s="13" t="s">
        <v>12718</v>
      </c>
      <c r="V3039" s="13" t="s">
        <v>42</v>
      </c>
      <c r="W3039" s="13" t="s">
        <v>43</v>
      </c>
      <c r="X3039" s="30" t="n">
        <v>81341888059</v>
      </c>
      <c r="Y3039" s="22" t="str">
        <f aca="false">O3039</f>
        <v>Helper Produksi</v>
      </c>
      <c r="Z3039" s="13" t="str">
        <f aca="false">IFERROR(__xludf.dummyfunction("if(BJ3039="""","""",GOOGLETRANSLATE(BJ3039,""auto"",""en""))"),"Production Helper")</f>
        <v>Production Helper</v>
      </c>
      <c r="AA3039" s="23" t="str">
        <f aca="false">IF(C3039="","", CHOOSE(MONTH(C3039),"January","February","March","April","May","June","July","August","September","October","November","December")&amp;" "&amp;DAY(C3039)&amp;MID("thstndrdth",MIN(9,2*RIGHT(DAY(C3039))*(MOD(DAY(C3039)-11,100)&gt;2)+1),2)&amp;","&amp;TEXT(C3039," yyyy"))</f>
        <v>January 1st,2026</v>
      </c>
      <c r="AB3039" s="15" t="str">
        <f aca="true">IF(S3039="","",DATEDIF(S3039,TODAY(),"Y")&amp;" Tahun, "&amp;DATEDIF(S3039,TODAY(),"YM")&amp;" Bulan, "&amp;DATEDIF(S3039,TODAY(),"MD")&amp;" Hari")</f>
        <v>31 Tahun, 7 Bulan, 22 Hari</v>
      </c>
      <c r="AC3039" s="18" t="n">
        <v>46023</v>
      </c>
      <c r="AD3039" s="18" t="n">
        <f aca="false">EDATE(AC3039,3)-1</f>
        <v>46112</v>
      </c>
      <c r="AE3039" s="13" t="s">
        <v>44</v>
      </c>
    </row>
    <row r="3040" customFormat="false" ht="15" hidden="false" customHeight="true" outlineLevel="0" collapsed="false">
      <c r="A3040" s="12" t="n">
        <v>21599</v>
      </c>
      <c r="B3040" s="13" t="s">
        <v>12719</v>
      </c>
      <c r="C3040" s="16" t="n">
        <v>46023</v>
      </c>
      <c r="D3040" s="13" t="s">
        <v>885</v>
      </c>
      <c r="E3040" s="15" t="s">
        <v>102</v>
      </c>
      <c r="F3040" s="24" t="s">
        <v>12720</v>
      </c>
      <c r="G3040" s="28" t="s">
        <v>57</v>
      </c>
      <c r="H3040" s="13" t="s">
        <v>35</v>
      </c>
      <c r="I3040" s="13" t="str">
        <f aca="false">IF(C3040=J3040,"NEW KONTRAK","RE-KONTRAK")</f>
        <v>NEW KONTRAK</v>
      </c>
      <c r="J3040" s="16" t="n">
        <f aca="false" t="array" ref="J3040:J3040">IFERROR(INDEX(AC3040:AE3040,IF(COUNTA(AC3040:AE3040)=0,"",MAX((AC3040:AE3040&lt;&gt;"")*(COLUMN(AC3040:AE3040)-(COLUMN(AC3040)))))-1),"")</f>
        <v>46023</v>
      </c>
      <c r="K3040" s="16" t="n">
        <f aca="false" t="array" ref="K3040:K3040">IFERROR(INDEX(AC3040:AE3040,IF(COUNTA(AC3040:AE3040)=0,"",MAX((AC3040:AE3040&lt;&gt;"")*(COLUMN(AC3040:AE3040)-(COLUMN(AC3040)-1))))-1),"")</f>
        <v>46112</v>
      </c>
      <c r="L3040" s="17" t="str">
        <f aca="false" t="array" ref="L3040:L3040">IFERROR(INDEX(AC3040:AE3040,IF(COUNTA(AC3040:AE3040)=0,"",MAX((AC3040:AE3040&lt;&gt;"")*(COLUMN(AC3040:AE3040)-(COLUMN(AC3040)-2))))-1),"")</f>
        <v>ARCHIVED</v>
      </c>
      <c r="M3040" s="13" t="n">
        <f aca="true">K3040-TODAY()</f>
        <v>-212</v>
      </c>
      <c r="N3040" s="18" t="s">
        <v>728</v>
      </c>
      <c r="O3040" s="13" t="s">
        <v>1453</v>
      </c>
      <c r="P3040" s="27" t="n">
        <v>132300</v>
      </c>
      <c r="Q3040" s="47" t="s">
        <v>12721</v>
      </c>
      <c r="R3040" s="13" t="s">
        <v>52</v>
      </c>
      <c r="S3040" s="16" t="n">
        <v>36851</v>
      </c>
      <c r="T3040" s="28" t="s">
        <v>40</v>
      </c>
      <c r="U3040" s="13" t="s">
        <v>12722</v>
      </c>
      <c r="V3040" s="13" t="s">
        <v>42</v>
      </c>
      <c r="W3040" s="13" t="s">
        <v>43</v>
      </c>
      <c r="X3040" s="30" t="n">
        <v>82296222927</v>
      </c>
      <c r="Y3040" s="22" t="str">
        <f aca="false">O3040</f>
        <v>Helper Produksi</v>
      </c>
      <c r="Z3040" s="13" t="str">
        <f aca="false">IFERROR(__xludf.dummyfunction("if(BJ3040="""","""",GOOGLETRANSLATE(BJ3040,""auto"",""en""))"),"Production Helper")</f>
        <v>Production Helper</v>
      </c>
      <c r="AA3040" s="23" t="str">
        <f aca="false">IF(C3040="","", CHOOSE(MONTH(C3040),"January","February","March","April","May","June","July","August","September","October","November","December")&amp;" "&amp;DAY(C3040)&amp;MID("thstndrdth",MIN(9,2*RIGHT(DAY(C3040))*(MOD(DAY(C3040)-11,100)&gt;2)+1),2)&amp;","&amp;TEXT(C3040," yyyy"))</f>
        <v>January 1st,2026</v>
      </c>
      <c r="AB3040" s="15" t="str">
        <f aca="true">IF(S3040="","",DATEDIF(S3040,TODAY(),"Y")&amp;" Tahun, "&amp;DATEDIF(S3040,TODAY(),"YM")&amp;" Bulan, "&amp;DATEDIF(S3040,TODAY(),"MD")&amp;" Hari")</f>
        <v>25 Tahun, 11 Bulan, 8 Hari</v>
      </c>
      <c r="AC3040" s="18" t="n">
        <v>46023</v>
      </c>
      <c r="AD3040" s="18" t="n">
        <f aca="false">EDATE(AC3040,3)-1</f>
        <v>46112</v>
      </c>
      <c r="AE3040" s="13" t="s">
        <v>44</v>
      </c>
    </row>
    <row r="3041" customFormat="false" ht="15" hidden="false" customHeight="true" outlineLevel="0" collapsed="false">
      <c r="A3041" s="12" t="n">
        <v>21600</v>
      </c>
      <c r="B3041" s="13" t="s">
        <v>12723</v>
      </c>
      <c r="C3041" s="16" t="n">
        <v>46023</v>
      </c>
      <c r="D3041" s="13" t="s">
        <v>885</v>
      </c>
      <c r="E3041" s="15" t="s">
        <v>47</v>
      </c>
      <c r="F3041" s="15" t="str">
        <f aca="false">IFERROR(__xludf.dummyfunction("XLOOKUP(AJ3041,IMPORTRANGE(""1XaInW9DU9nz21V0tYIfzFQ0He9kVQ_JF2mCXgZ3hqFA"",""REKAP ALL 2026 - Andika!G:G""),IMPORTRANGE(""1XaInW9DU9nz21V0tYIfzFQ0He9kVQ_JF2mCXgZ3hqFA"",""REKAP ALL 2026 - Andika!F:F""),"""",0)"),"26005751347")</f>
        <v>26005751347</v>
      </c>
      <c r="G3041" s="28" t="s">
        <v>57</v>
      </c>
      <c r="H3041" s="13" t="s">
        <v>35</v>
      </c>
      <c r="I3041" s="13" t="str">
        <f aca="false">IF(C3041=J3041,"NEW KONTRAK","RE-KONTRAK")</f>
        <v>NEW KONTRAK</v>
      </c>
      <c r="J3041" s="16" t="n">
        <f aca="false" t="array" ref="J3041:J3041">IFERROR(INDEX(AC3041:AE3041,IF(COUNTA(AC3041:AE3041)=0,"",MAX((AC3041:AE3041&lt;&gt;"")*(COLUMN(AC3041:AE3041)-(COLUMN(AC3041)))))-1),"")</f>
        <v>46023</v>
      </c>
      <c r="K3041" s="16" t="n">
        <f aca="false" t="array" ref="K3041:K3041">IFERROR(INDEX(AC3041:AE3041,IF(COUNTA(AC3041:AE3041)=0,"",MAX((AC3041:AE3041&lt;&gt;"")*(COLUMN(AC3041:AE3041)-(COLUMN(AC3041)-1))))-1),"")</f>
        <v>46112</v>
      </c>
      <c r="L3041" s="17" t="str">
        <f aca="false" t="array" ref="L3041:L3041">IFERROR(INDEX(AC3041:AE3041,IF(COUNTA(AC3041:AE3041)=0,"",MAX((AC3041:AE3041&lt;&gt;"")*(COLUMN(AC3041:AE3041)-(COLUMN(AC3041)-2))))-1),"")</f>
        <v>ARCHIVED</v>
      </c>
      <c r="M3041" s="13" t="n">
        <f aca="true">K3041-TODAY()</f>
        <v>-212</v>
      </c>
      <c r="N3041" s="18" t="s">
        <v>728</v>
      </c>
      <c r="O3041" s="13" t="s">
        <v>1453</v>
      </c>
      <c r="P3041" s="27" t="n">
        <v>132300</v>
      </c>
      <c r="Q3041" s="47" t="s">
        <v>12724</v>
      </c>
      <c r="R3041" s="13" t="s">
        <v>39</v>
      </c>
      <c r="S3041" s="16" t="n">
        <v>32244</v>
      </c>
      <c r="T3041" s="28" t="s">
        <v>40</v>
      </c>
      <c r="U3041" s="13" t="s">
        <v>12725</v>
      </c>
      <c r="V3041" s="13" t="s">
        <v>42</v>
      </c>
      <c r="W3041" s="13" t="s">
        <v>54</v>
      </c>
      <c r="X3041" s="30" t="n">
        <v>81265379473</v>
      </c>
      <c r="Y3041" s="22" t="str">
        <f aca="false">O3041</f>
        <v>Helper Produksi</v>
      </c>
      <c r="Z3041" s="13" t="str">
        <f aca="false">IFERROR(__xludf.dummyfunction("if(BJ3041="""","""",GOOGLETRANSLATE(BJ3041,""auto"",""en""))"),"Production Helper")</f>
        <v>Production Helper</v>
      </c>
      <c r="AA3041" s="23" t="str">
        <f aca="false">IF(C3041="","", CHOOSE(MONTH(C3041),"January","February","March","April","May","June","July","August","September","October","November","December")&amp;" "&amp;DAY(C3041)&amp;MID("thstndrdth",MIN(9,2*RIGHT(DAY(C3041))*(MOD(DAY(C3041)-11,100)&gt;2)+1),2)&amp;","&amp;TEXT(C3041," yyyy"))</f>
        <v>January 1st,2026</v>
      </c>
      <c r="AB3041" s="15" t="str">
        <f aca="true">IF(S3041="","",DATEDIF(S3041,TODAY(),"Y")&amp;" Tahun, "&amp;DATEDIF(S3041,TODAY(),"YM")&amp;" Bulan, "&amp;DATEDIF(S3041,TODAY(),"MD")&amp;" Hari")</f>
        <v>38 Tahun, 6 Bulan, 18 Hari</v>
      </c>
      <c r="AC3041" s="18" t="n">
        <v>46023</v>
      </c>
      <c r="AD3041" s="18" t="n">
        <f aca="false">EDATE(AC3041,3)-1</f>
        <v>46112</v>
      </c>
      <c r="AE3041" s="13" t="s">
        <v>44</v>
      </c>
    </row>
    <row r="3042" customFormat="false" ht="15" hidden="false" customHeight="true" outlineLevel="0" collapsed="false">
      <c r="A3042" s="12" t="n">
        <v>21601</v>
      </c>
      <c r="B3042" s="13" t="s">
        <v>12726</v>
      </c>
      <c r="C3042" s="16" t="n">
        <v>46023</v>
      </c>
      <c r="D3042" s="13" t="s">
        <v>885</v>
      </c>
      <c r="E3042" s="15" t="s">
        <v>47</v>
      </c>
      <c r="F3042" s="15" t="str">
        <f aca="false">IFERROR(__xludf.dummyfunction("XLOOKUP(AJ3042,IMPORTRANGE(""1XaInW9DU9nz21V0tYIfzFQ0He9kVQ_JF2mCXgZ3hqFA"",""REKAP ALL 2026 - Andika!G:G""),IMPORTRANGE(""1XaInW9DU9nz21V0tYIfzFQ0He9kVQ_JF2mCXgZ3hqFA"",""REKAP ALL 2026 - Andika!F:F""),"""",0)"),"26005751560")</f>
        <v>26005751560</v>
      </c>
      <c r="G3042" s="28" t="s">
        <v>57</v>
      </c>
      <c r="H3042" s="13" t="s">
        <v>35</v>
      </c>
      <c r="I3042" s="13" t="str">
        <f aca="false">IF(C3042=J3042,"NEW KONTRAK","RE-KONTRAK")</f>
        <v>NEW KONTRAK</v>
      </c>
      <c r="J3042" s="16" t="n">
        <f aca="false" t="array" ref="J3042:J3042">IFERROR(INDEX(AC3042:AE3042,IF(COUNTA(AC3042:AE3042)=0,"",MAX((AC3042:AE3042&lt;&gt;"")*(COLUMN(AC3042:AE3042)-(COLUMN(AC3042)))))-1),"")</f>
        <v>46023</v>
      </c>
      <c r="K3042" s="16" t="n">
        <f aca="false" t="array" ref="K3042:K3042">IFERROR(INDEX(AC3042:AE3042,IF(COUNTA(AC3042:AE3042)=0,"",MAX((AC3042:AE3042&lt;&gt;"")*(COLUMN(AC3042:AE3042)-(COLUMN(AC3042)-1))))-1),"")</f>
        <v>46112</v>
      </c>
      <c r="L3042" s="17" t="str">
        <f aca="false" t="array" ref="L3042:L3042">IFERROR(INDEX(AC3042:AE3042,IF(COUNTA(AC3042:AE3042)=0,"",MAX((AC3042:AE3042&lt;&gt;"")*(COLUMN(AC3042:AE3042)-(COLUMN(AC3042)-2))))-1),"")</f>
        <v>ARCHIVED</v>
      </c>
      <c r="M3042" s="13" t="n">
        <f aca="true">K3042-TODAY()</f>
        <v>-212</v>
      </c>
      <c r="N3042" s="18" t="s">
        <v>728</v>
      </c>
      <c r="O3042" s="13" t="s">
        <v>1453</v>
      </c>
      <c r="P3042" s="19" t="n">
        <v>132300</v>
      </c>
      <c r="Q3042" s="47" t="s">
        <v>12727</v>
      </c>
      <c r="R3042" s="13" t="s">
        <v>73</v>
      </c>
      <c r="S3042" s="16" t="n">
        <v>34151</v>
      </c>
      <c r="T3042" s="28" t="s">
        <v>40</v>
      </c>
      <c r="U3042" s="13" t="s">
        <v>12728</v>
      </c>
      <c r="V3042" s="13" t="s">
        <v>42</v>
      </c>
      <c r="W3042" s="13" t="s">
        <v>43</v>
      </c>
      <c r="X3042" s="30" t="n">
        <v>85247359774</v>
      </c>
      <c r="Y3042" s="22" t="str">
        <f aca="false">O3042</f>
        <v>Helper Produksi</v>
      </c>
      <c r="Z3042" s="13" t="str">
        <f aca="false">IFERROR(__xludf.dummyfunction("if(BJ3042="""","""",GOOGLETRANSLATE(BJ3042,""auto"",""en""))"),"Production Helper")</f>
        <v>Production Helper</v>
      </c>
      <c r="AA3042" s="23" t="str">
        <f aca="false">IF(C3042="","", CHOOSE(MONTH(C3042),"January","February","March","April","May","June","July","August","September","October","November","December")&amp;" "&amp;DAY(C3042)&amp;MID("thstndrdth",MIN(9,2*RIGHT(DAY(C3042))*(MOD(DAY(C3042)-11,100)&gt;2)+1),2)&amp;","&amp;TEXT(C3042," yyyy"))</f>
        <v>January 1st,2026</v>
      </c>
      <c r="AB3042" s="15" t="str">
        <f aca="true">IF(S3042="","",DATEDIF(S3042,TODAY(),"Y")&amp;" Tahun, "&amp;DATEDIF(S3042,TODAY(),"YM")&amp;" Bulan, "&amp;DATEDIF(S3042,TODAY(),"MD")&amp;" Hari")</f>
        <v>33 Tahun, 3 Bulan, 28 Hari</v>
      </c>
      <c r="AC3042" s="18" t="n">
        <v>46023</v>
      </c>
      <c r="AD3042" s="18" t="n">
        <f aca="false">EDATE(AC3042,3)-1</f>
        <v>46112</v>
      </c>
      <c r="AE3042" s="13" t="s">
        <v>44</v>
      </c>
    </row>
    <row r="3043" customFormat="false" ht="15" hidden="false" customHeight="true" outlineLevel="0" collapsed="false">
      <c r="A3043" s="12" t="n">
        <v>21602</v>
      </c>
      <c r="B3043" s="13" t="s">
        <v>12729</v>
      </c>
      <c r="C3043" s="16" t="n">
        <v>46023</v>
      </c>
      <c r="D3043" s="13" t="s">
        <v>885</v>
      </c>
      <c r="E3043" s="15" t="s">
        <v>47</v>
      </c>
      <c r="F3043" s="15" t="str">
        <f aca="false">IFERROR(__xludf.dummyfunction("XLOOKUP(AJ3043,IMPORTRANGE(""1XaInW9DU9nz21V0tYIfzFQ0He9kVQ_JF2mCXgZ3hqFA"",""REKAP ALL 2026 - Andika!G:G""),IMPORTRANGE(""1XaInW9DU9nz21V0tYIfzFQ0He9kVQ_JF2mCXgZ3hqFA"",""REKAP ALL 2026 - Andika!F:F""),"""",0)"),"26005751487")</f>
        <v>26005751487</v>
      </c>
      <c r="G3043" s="28" t="s">
        <v>57</v>
      </c>
      <c r="H3043" s="13" t="s">
        <v>35</v>
      </c>
      <c r="I3043" s="13" t="str">
        <f aca="false">IF(C3043=J3043,"NEW KONTRAK","RE-KONTRAK")</f>
        <v>NEW KONTRAK</v>
      </c>
      <c r="J3043" s="16" t="n">
        <f aca="false" t="array" ref="J3043:J3043">IFERROR(INDEX(AC3043:AE3043,IF(COUNTA(AC3043:AE3043)=0,"",MAX((AC3043:AE3043&lt;&gt;"")*(COLUMN(AC3043:AE3043)-(COLUMN(AC3043)))))-1),"")</f>
        <v>46023</v>
      </c>
      <c r="K3043" s="16" t="n">
        <f aca="false" t="array" ref="K3043:K3043">IFERROR(INDEX(AC3043:AE3043,IF(COUNTA(AC3043:AE3043)=0,"",MAX((AC3043:AE3043&lt;&gt;"")*(COLUMN(AC3043:AE3043)-(COLUMN(AC3043)-1))))-1),"")</f>
        <v>46112</v>
      </c>
      <c r="L3043" s="17" t="str">
        <f aca="false" t="array" ref="L3043:L3043">IFERROR(INDEX(AC3043:AE3043,IF(COUNTA(AC3043:AE3043)=0,"",MAX((AC3043:AE3043&lt;&gt;"")*(COLUMN(AC3043:AE3043)-(COLUMN(AC3043)-2))))-1),"")</f>
        <v>ARCHIVED</v>
      </c>
      <c r="M3043" s="13" t="n">
        <f aca="true">K3043-TODAY()</f>
        <v>-212</v>
      </c>
      <c r="N3043" s="18" t="s">
        <v>728</v>
      </c>
      <c r="O3043" s="13" t="s">
        <v>1453</v>
      </c>
      <c r="P3043" s="19" t="n">
        <v>132300</v>
      </c>
      <c r="Q3043" s="47" t="s">
        <v>12730</v>
      </c>
      <c r="R3043" s="13" t="s">
        <v>255</v>
      </c>
      <c r="S3043" s="16" t="n">
        <v>35015</v>
      </c>
      <c r="T3043" s="28" t="s">
        <v>40</v>
      </c>
      <c r="U3043" s="13" t="s">
        <v>12731</v>
      </c>
      <c r="V3043" s="13" t="s">
        <v>42</v>
      </c>
      <c r="W3043" s="13" t="s">
        <v>54</v>
      </c>
      <c r="X3043" s="30" t="n">
        <v>89588623924</v>
      </c>
      <c r="Y3043" s="22" t="str">
        <f aca="false">O3043</f>
        <v>Helper Produksi</v>
      </c>
      <c r="Z3043" s="13" t="str">
        <f aca="false">IFERROR(__xludf.dummyfunction("if(BJ3043="""","""",GOOGLETRANSLATE(BJ3043,""auto"",""en""))"),"Production Helper")</f>
        <v>Production Helper</v>
      </c>
      <c r="AA3043" s="23" t="str">
        <f aca="false">IF(C3043="","", CHOOSE(MONTH(C3043),"January","February","March","April","May","June","July","August","September","October","November","December")&amp;" "&amp;DAY(C3043)&amp;MID("thstndrdth",MIN(9,2*RIGHT(DAY(C3043))*(MOD(DAY(C3043)-11,100)&gt;2)+1),2)&amp;","&amp;TEXT(C3043," yyyy"))</f>
        <v>January 1st,2026</v>
      </c>
      <c r="AB3043" s="15" t="str">
        <f aca="true">IF(S3043="","",DATEDIF(S3043,TODAY(),"Y")&amp;" Tahun, "&amp;DATEDIF(S3043,TODAY(),"YM")&amp;" Bulan, "&amp;DATEDIF(S3043,TODAY(),"MD")&amp;" Hari")</f>
        <v>30 Tahun, 11 Bulan, 17 Hari</v>
      </c>
      <c r="AC3043" s="18" t="n">
        <v>46023</v>
      </c>
      <c r="AD3043" s="18" t="n">
        <f aca="false">EDATE(AC3043,3)-1</f>
        <v>46112</v>
      </c>
      <c r="AE3043" s="13" t="s">
        <v>44</v>
      </c>
    </row>
    <row r="3044" customFormat="false" ht="15" hidden="false" customHeight="true" outlineLevel="0" collapsed="false">
      <c r="A3044" s="12" t="n">
        <v>21603</v>
      </c>
      <c r="B3044" s="13" t="s">
        <v>12732</v>
      </c>
      <c r="C3044" s="16" t="n">
        <v>46023</v>
      </c>
      <c r="D3044" s="13" t="s">
        <v>885</v>
      </c>
      <c r="E3044" s="15" t="s">
        <v>102</v>
      </c>
      <c r="F3044" s="15" t="str">
        <f aca="false">IFERROR(__xludf.dummyfunction("XLOOKUP(AJ3044,IMPORTRANGE(""1XaInW9DU9nz21V0tYIfzFQ0He9kVQ_JF2mCXgZ3hqFA"",""REKAP ALL 2026 - Andika!G:G""),IMPORTRANGE(""1XaInW9DU9nz21V0tYIfzFQ0He9kVQ_JF2mCXgZ3hqFA"",""REKAP ALL 2026 - Andika!F:F""),"""",0)"),"26005751461")</f>
        <v>26005751461</v>
      </c>
      <c r="G3044" s="28" t="s">
        <v>57</v>
      </c>
      <c r="H3044" s="13" t="s">
        <v>35</v>
      </c>
      <c r="I3044" s="13" t="str">
        <f aca="false">IF(C3044=J3044,"NEW KONTRAK","RE-KONTRAK")</f>
        <v>NEW KONTRAK</v>
      </c>
      <c r="J3044" s="16" t="n">
        <f aca="false" t="array" ref="J3044:J3044">IFERROR(INDEX(AC3044:AE3044,IF(COUNTA(AC3044:AE3044)=0,"",MAX((AC3044:AE3044&lt;&gt;"")*(COLUMN(AC3044:AE3044)-(COLUMN(AC3044)))))-1),"")</f>
        <v>46023</v>
      </c>
      <c r="K3044" s="16" t="n">
        <f aca="false" t="array" ref="K3044:K3044">IFERROR(INDEX(AC3044:AE3044,IF(COUNTA(AC3044:AE3044)=0,"",MAX((AC3044:AE3044&lt;&gt;"")*(COLUMN(AC3044:AE3044)-(COLUMN(AC3044)-1))))-1),"")</f>
        <v>46112</v>
      </c>
      <c r="L3044" s="17" t="str">
        <f aca="false" t="array" ref="L3044:L3044">IFERROR(INDEX(AC3044:AE3044,IF(COUNTA(AC3044:AE3044)=0,"",MAX((AC3044:AE3044&lt;&gt;"")*(COLUMN(AC3044:AE3044)-(COLUMN(AC3044)-2))))-1),"")</f>
        <v>ARCHIVED</v>
      </c>
      <c r="M3044" s="13" t="n">
        <f aca="true">K3044-TODAY()</f>
        <v>-212</v>
      </c>
      <c r="N3044" s="18" t="s">
        <v>728</v>
      </c>
      <c r="O3044" s="13" t="s">
        <v>1453</v>
      </c>
      <c r="P3044" s="19" t="n">
        <v>132300</v>
      </c>
      <c r="Q3044" s="47" t="s">
        <v>12733</v>
      </c>
      <c r="R3044" s="13" t="s">
        <v>73</v>
      </c>
      <c r="S3044" s="16" t="n">
        <v>36611</v>
      </c>
      <c r="T3044" s="28" t="s">
        <v>40</v>
      </c>
      <c r="U3044" s="13" t="s">
        <v>12734</v>
      </c>
      <c r="V3044" s="13" t="s">
        <v>42</v>
      </c>
      <c r="W3044" s="13" t="s">
        <v>43</v>
      </c>
      <c r="X3044" s="30" t="n">
        <v>81275818141</v>
      </c>
      <c r="Y3044" s="22" t="str">
        <f aca="false">O3044</f>
        <v>Helper Produksi</v>
      </c>
      <c r="Z3044" s="13" t="str">
        <f aca="false">IFERROR(__xludf.dummyfunction("if(BJ3044="""","""",GOOGLETRANSLATE(BJ3044,""auto"",""en""))"),"Production Helper")</f>
        <v>Production Helper</v>
      </c>
      <c r="AA3044" s="23" t="str">
        <f aca="false">IF(C3044="","", CHOOSE(MONTH(C3044),"January","February","March","April","May","June","July","August","September","October","November","December")&amp;" "&amp;DAY(C3044)&amp;MID("thstndrdth",MIN(9,2*RIGHT(DAY(C3044))*(MOD(DAY(C3044)-11,100)&gt;2)+1),2)&amp;","&amp;TEXT(C3044," yyyy"))</f>
        <v>January 1st,2026</v>
      </c>
      <c r="AB3044" s="15" t="str">
        <f aca="true">IF(S3044="","",DATEDIF(S3044,TODAY(),"Y")&amp;" Tahun, "&amp;DATEDIF(S3044,TODAY(),"YM")&amp;" Bulan, "&amp;DATEDIF(S3044,TODAY(),"MD")&amp;" Hari")</f>
        <v>26 Tahun, 7 Bulan, 3 Hari</v>
      </c>
      <c r="AC3044" s="18" t="n">
        <v>46023</v>
      </c>
      <c r="AD3044" s="18" t="n">
        <f aca="false">EDATE(AC3044,3)-1</f>
        <v>46112</v>
      </c>
      <c r="AE3044" s="13" t="s">
        <v>44</v>
      </c>
    </row>
    <row r="3045" customFormat="false" ht="15" hidden="false" customHeight="true" outlineLevel="0" collapsed="false">
      <c r="A3045" s="12" t="n">
        <v>21604</v>
      </c>
      <c r="B3045" s="13" t="s">
        <v>12735</v>
      </c>
      <c r="C3045" s="16" t="n">
        <v>46023</v>
      </c>
      <c r="D3045" s="13" t="s">
        <v>885</v>
      </c>
      <c r="E3045" s="15" t="s">
        <v>47</v>
      </c>
      <c r="F3045" s="15" t="str">
        <f aca="false">IFERROR(__xludf.dummyfunction("XLOOKUP(AJ3045,IMPORTRANGE(""1XaInW9DU9nz21V0tYIfzFQ0He9kVQ_JF2mCXgZ3hqFA"",""REKAP ALL 2026 - Andika!G:G""),IMPORTRANGE(""1XaInW9DU9nz21V0tYIfzFQ0He9kVQ_JF2mCXgZ3hqFA"",""REKAP ALL 2026 - Andika!F:F""),"""",0)"),"26005751511")</f>
        <v>26005751511</v>
      </c>
      <c r="G3045" s="28" t="s">
        <v>57</v>
      </c>
      <c r="H3045" s="13" t="s">
        <v>35</v>
      </c>
      <c r="I3045" s="13" t="str">
        <f aca="false">IF(C3045=J3045,"NEW KONTRAK","RE-KONTRAK")</f>
        <v>NEW KONTRAK</v>
      </c>
      <c r="J3045" s="16" t="n">
        <f aca="false" t="array" ref="J3045:J3045">IFERROR(INDEX(AC3045:AE3045,IF(COUNTA(AC3045:AE3045)=0,"",MAX((AC3045:AE3045&lt;&gt;"")*(COLUMN(AC3045:AE3045)-(COLUMN(AC3045)))))-1),"")</f>
        <v>46023</v>
      </c>
      <c r="K3045" s="16" t="n">
        <f aca="false" t="array" ref="K3045:K3045">IFERROR(INDEX(AC3045:AE3045,IF(COUNTA(AC3045:AE3045)=0,"",MAX((AC3045:AE3045&lt;&gt;"")*(COLUMN(AC3045:AE3045)-(COLUMN(AC3045)-1))))-1),"")</f>
        <v>46112</v>
      </c>
      <c r="L3045" s="17" t="str">
        <f aca="false" t="array" ref="L3045:L3045">IFERROR(INDEX(AC3045:AE3045,IF(COUNTA(AC3045:AE3045)=0,"",MAX((AC3045:AE3045&lt;&gt;"")*(COLUMN(AC3045:AE3045)-(COLUMN(AC3045)-2))))-1),"")</f>
        <v>ARCHIVED</v>
      </c>
      <c r="M3045" s="13" t="n">
        <f aca="true">K3045-TODAY()</f>
        <v>-212</v>
      </c>
      <c r="N3045" s="18" t="s">
        <v>728</v>
      </c>
      <c r="O3045" s="13" t="s">
        <v>1453</v>
      </c>
      <c r="P3045" s="19" t="n">
        <v>132300</v>
      </c>
      <c r="Q3045" s="47" t="s">
        <v>12736</v>
      </c>
      <c r="R3045" s="13" t="s">
        <v>52</v>
      </c>
      <c r="S3045" s="16" t="n">
        <v>39057</v>
      </c>
      <c r="T3045" s="28" t="s">
        <v>40</v>
      </c>
      <c r="U3045" s="13" t="s">
        <v>12737</v>
      </c>
      <c r="V3045" s="13" t="s">
        <v>42</v>
      </c>
      <c r="W3045" s="13" t="s">
        <v>43</v>
      </c>
      <c r="X3045" s="30" t="n">
        <v>82347826137</v>
      </c>
      <c r="Y3045" s="22" t="str">
        <f aca="false">O3045</f>
        <v>Helper Produksi</v>
      </c>
      <c r="Z3045" s="13" t="str">
        <f aca="false">IFERROR(__xludf.dummyfunction("if(BJ3045="""","""",GOOGLETRANSLATE(BJ3045,""auto"",""en""))"),"Production Helper")</f>
        <v>Production Helper</v>
      </c>
      <c r="AA3045" s="23" t="str">
        <f aca="false">IF(C3045="","", CHOOSE(MONTH(C3045),"January","February","March","April","May","June","July","August","September","October","November","December")&amp;" "&amp;DAY(C3045)&amp;MID("thstndrdth",MIN(9,2*RIGHT(DAY(C3045))*(MOD(DAY(C3045)-11,100)&gt;2)+1),2)&amp;","&amp;TEXT(C3045," yyyy"))</f>
        <v>January 1st,2026</v>
      </c>
      <c r="AB3045" s="15" t="str">
        <f aca="true">IF(S3045="","",DATEDIF(S3045,TODAY(),"Y")&amp;" Tahun, "&amp;DATEDIF(S3045,TODAY(),"YM")&amp;" Bulan, "&amp;DATEDIF(S3045,TODAY(),"MD")&amp;" Hari")</f>
        <v>19 Tahun, 10 Bulan, 23 Hari</v>
      </c>
      <c r="AC3045" s="18" t="n">
        <v>46023</v>
      </c>
      <c r="AD3045" s="18" t="n">
        <f aca="false">EDATE(AC3045,3)-1</f>
        <v>46112</v>
      </c>
      <c r="AE3045" s="13" t="s">
        <v>44</v>
      </c>
    </row>
    <row r="3046" customFormat="false" ht="15" hidden="false" customHeight="true" outlineLevel="0" collapsed="false">
      <c r="A3046" s="12" t="n">
        <v>21605</v>
      </c>
      <c r="B3046" s="13" t="s">
        <v>12738</v>
      </c>
      <c r="C3046" s="16" t="n">
        <v>46023</v>
      </c>
      <c r="D3046" s="13" t="s">
        <v>885</v>
      </c>
      <c r="E3046" s="15" t="s">
        <v>4614</v>
      </c>
      <c r="F3046" s="24" t="s">
        <v>12739</v>
      </c>
      <c r="G3046" s="28" t="s">
        <v>57</v>
      </c>
      <c r="H3046" s="13" t="s">
        <v>35</v>
      </c>
      <c r="I3046" s="13" t="str">
        <f aca="false">IF(C3046=J3046,"NEW KONTRAK","RE-KONTRAK")</f>
        <v>NEW KONTRAK</v>
      </c>
      <c r="J3046" s="16" t="n">
        <f aca="false" t="array" ref="J3046:J3046">IFERROR(INDEX(AC3046:AE3046,IF(COUNTA(AC3046:AE3046)=0,"",MAX((AC3046:AE3046&lt;&gt;"")*(COLUMN(AC3046:AE3046)-(COLUMN(AC3046)))))-1),"")</f>
        <v>46023</v>
      </c>
      <c r="K3046" s="16" t="n">
        <f aca="false" t="array" ref="K3046:K3046">IFERROR(INDEX(AC3046:AE3046,IF(COUNTA(AC3046:AE3046)=0,"",MAX((AC3046:AE3046&lt;&gt;"")*(COLUMN(AC3046:AE3046)-(COLUMN(AC3046)-1))))-1),"")</f>
        <v>46112</v>
      </c>
      <c r="L3046" s="17" t="str">
        <f aca="false" t="array" ref="L3046:L3046">IFERROR(INDEX(AC3046:AE3046,IF(COUNTA(AC3046:AE3046)=0,"",MAX((AC3046:AE3046&lt;&gt;"")*(COLUMN(AC3046:AE3046)-(COLUMN(AC3046)-2))))-1),"")</f>
        <v>ARCHIVED</v>
      </c>
      <c r="M3046" s="13" t="n">
        <f aca="true">K3046-TODAY()</f>
        <v>-212</v>
      </c>
      <c r="N3046" s="18" t="s">
        <v>728</v>
      </c>
      <c r="O3046" s="13" t="s">
        <v>1453</v>
      </c>
      <c r="P3046" s="27" t="n">
        <v>132300</v>
      </c>
      <c r="Q3046" s="47" t="s">
        <v>12740</v>
      </c>
      <c r="R3046" s="13" t="s">
        <v>52</v>
      </c>
      <c r="S3046" s="16" t="n">
        <v>33661</v>
      </c>
      <c r="T3046" s="28" t="s">
        <v>40</v>
      </c>
      <c r="U3046" s="13" t="s">
        <v>12741</v>
      </c>
      <c r="V3046" s="13" t="s">
        <v>42</v>
      </c>
      <c r="W3046" s="13" t="s">
        <v>43</v>
      </c>
      <c r="X3046" s="30" t="n">
        <v>87806068536</v>
      </c>
      <c r="Y3046" s="22" t="str">
        <f aca="false">O3046</f>
        <v>Helper Produksi</v>
      </c>
      <c r="Z3046" s="13" t="str">
        <f aca="false">IFERROR(__xludf.dummyfunction("if(BJ3046="""","""",GOOGLETRANSLATE(BJ3046,""auto"",""en""))"),"Production Helper")</f>
        <v>Production Helper</v>
      </c>
      <c r="AA3046" s="23" t="str">
        <f aca="false">IF(C3046="","", CHOOSE(MONTH(C3046),"January","February","March","April","May","June","July","August","September","October","November","December")&amp;" "&amp;DAY(C3046)&amp;MID("thstndrdth",MIN(9,2*RIGHT(DAY(C3046))*(MOD(DAY(C3046)-11,100)&gt;2)+1),2)&amp;","&amp;TEXT(C3046," yyyy"))</f>
        <v>January 1st,2026</v>
      </c>
      <c r="AB3046" s="15" t="str">
        <f aca="true">IF(S3046="","",DATEDIF(S3046,TODAY(),"Y")&amp;" Tahun, "&amp;DATEDIF(S3046,TODAY(),"YM")&amp;" Bulan, "&amp;DATEDIF(S3046,TODAY(),"MD")&amp;" Hari")</f>
        <v>34 Tahun, 8 Bulan, 2 Hari</v>
      </c>
      <c r="AC3046" s="18" t="n">
        <v>46023</v>
      </c>
      <c r="AD3046" s="18" t="n">
        <f aca="false">EDATE(AC3046,3)-1</f>
        <v>46112</v>
      </c>
      <c r="AE3046" s="13" t="s">
        <v>44</v>
      </c>
    </row>
    <row r="3047" customFormat="false" ht="15" hidden="false" customHeight="true" outlineLevel="0" collapsed="false">
      <c r="A3047" s="12" t="n">
        <v>21606</v>
      </c>
      <c r="B3047" s="13" t="s">
        <v>12742</v>
      </c>
      <c r="C3047" s="16" t="n">
        <v>46023</v>
      </c>
      <c r="D3047" s="13" t="s">
        <v>885</v>
      </c>
      <c r="E3047" s="15" t="s">
        <v>47</v>
      </c>
      <c r="F3047" s="15" t="str">
        <f aca="false">IFERROR(__xludf.dummyfunction("XLOOKUP(AJ3047,IMPORTRANGE(""1XaInW9DU9nz21V0tYIfzFQ0He9kVQ_JF2mCXgZ3hqFA"",""REKAP ALL 2026 - Andika!G:G""),IMPORTRANGE(""1XaInW9DU9nz21V0tYIfzFQ0He9kVQ_JF2mCXgZ3hqFA"",""REKAP ALL 2026 - Andika!F:F""),"""",0)"),"26005751446")</f>
        <v>26005751446</v>
      </c>
      <c r="G3047" s="28" t="s">
        <v>57</v>
      </c>
      <c r="H3047" s="13" t="s">
        <v>35</v>
      </c>
      <c r="I3047" s="13" t="str">
        <f aca="false">IF(C3047=J3047,"NEW KONTRAK","RE-KONTRAK")</f>
        <v>NEW KONTRAK</v>
      </c>
      <c r="J3047" s="16" t="n">
        <f aca="false" t="array" ref="J3047:J3047">IFERROR(INDEX(AC3047:AE3047,IF(COUNTA(AC3047:AE3047)=0,"",MAX((AC3047:AE3047&lt;&gt;"")*(COLUMN(AC3047:AE3047)-(COLUMN(AC3047)))))-1),"")</f>
        <v>46023</v>
      </c>
      <c r="K3047" s="16" t="n">
        <f aca="false" t="array" ref="K3047:K3047">IFERROR(INDEX(AC3047:AE3047,IF(COUNTA(AC3047:AE3047)=0,"",MAX((AC3047:AE3047&lt;&gt;"")*(COLUMN(AC3047:AE3047)-(COLUMN(AC3047)-1))))-1),"")</f>
        <v>46112</v>
      </c>
      <c r="L3047" s="17" t="str">
        <f aca="false" t="array" ref="L3047:L3047">IFERROR(INDEX(AC3047:AE3047,IF(COUNTA(AC3047:AE3047)=0,"",MAX((AC3047:AE3047&lt;&gt;"")*(COLUMN(AC3047:AE3047)-(COLUMN(AC3047)-2))))-1),"")</f>
        <v>ARCHIVED</v>
      </c>
      <c r="M3047" s="13" t="n">
        <f aca="true">K3047-TODAY()</f>
        <v>-212</v>
      </c>
      <c r="N3047" s="18" t="s">
        <v>728</v>
      </c>
      <c r="O3047" s="13" t="s">
        <v>1453</v>
      </c>
      <c r="P3047" s="27" t="n">
        <v>132300</v>
      </c>
      <c r="Q3047" s="47" t="s">
        <v>12743</v>
      </c>
      <c r="R3047" s="13" t="s">
        <v>73</v>
      </c>
      <c r="S3047" s="16" t="n">
        <v>38362</v>
      </c>
      <c r="T3047" s="28" t="s">
        <v>40</v>
      </c>
      <c r="U3047" s="13" t="s">
        <v>12744</v>
      </c>
      <c r="V3047" s="13" t="s">
        <v>42</v>
      </c>
      <c r="W3047" s="13" t="s">
        <v>43</v>
      </c>
      <c r="X3047" s="30" t="n">
        <v>81353051522</v>
      </c>
      <c r="Y3047" s="22" t="str">
        <f aca="false">O3047</f>
        <v>Helper Produksi</v>
      </c>
      <c r="Z3047" s="13" t="str">
        <f aca="false">IFERROR(__xludf.dummyfunction("if(BJ3047="""","""",GOOGLETRANSLATE(BJ3047,""auto"",""en""))"),"Production Helper")</f>
        <v>Production Helper</v>
      </c>
      <c r="AA3047" s="23" t="str">
        <f aca="false">IF(C3047="","", CHOOSE(MONTH(C3047),"January","February","March","April","May","June","July","August","September","October","November","December")&amp;" "&amp;DAY(C3047)&amp;MID("thstndrdth",MIN(9,2*RIGHT(DAY(C3047))*(MOD(DAY(C3047)-11,100)&gt;2)+1),2)&amp;","&amp;TEXT(C3047," yyyy"))</f>
        <v>January 1st,2026</v>
      </c>
      <c r="AB3047" s="15" t="str">
        <f aca="true">IF(S3047="","",DATEDIF(S3047,TODAY(),"Y")&amp;" Tahun, "&amp;DATEDIF(S3047,TODAY(),"YM")&amp;" Bulan, "&amp;DATEDIF(S3047,TODAY(),"MD")&amp;" Hari")</f>
        <v>21 Tahun, 9 Bulan, 19 Hari</v>
      </c>
      <c r="AC3047" s="18" t="n">
        <v>46023</v>
      </c>
      <c r="AD3047" s="18" t="n">
        <f aca="false">EDATE(AC3047,3)-1</f>
        <v>46112</v>
      </c>
      <c r="AE3047" s="13" t="s">
        <v>44</v>
      </c>
    </row>
    <row r="3048" customFormat="false" ht="15" hidden="false" customHeight="true" outlineLevel="0" collapsed="false">
      <c r="A3048" s="12" t="n">
        <v>21607</v>
      </c>
      <c r="B3048" s="13" t="s">
        <v>12745</v>
      </c>
      <c r="C3048" s="16" t="n">
        <v>46023</v>
      </c>
      <c r="D3048" s="13" t="s">
        <v>885</v>
      </c>
      <c r="E3048" s="15" t="s">
        <v>102</v>
      </c>
      <c r="F3048" s="15" t="str">
        <f aca="false">IFERROR(__xludf.dummyfunction("XLOOKUP(AJ3048,IMPORTRANGE(""1XaInW9DU9nz21V0tYIfzFQ0He9kVQ_JF2mCXgZ3hqFA"",""REKAP ALL 2026 - Andika!G:G""),IMPORTRANGE(""1XaInW9DU9nz21V0tYIfzFQ0He9kVQ_JF2mCXgZ3hqFA"",""REKAP ALL 2026 - Andika!F:F""),"""",0)"),"26005751628")</f>
        <v>26005751628</v>
      </c>
      <c r="G3048" s="28" t="s">
        <v>57</v>
      </c>
      <c r="H3048" s="13" t="s">
        <v>35</v>
      </c>
      <c r="I3048" s="13" t="str">
        <f aca="false">IF(C3048=J3048,"NEW KONTRAK","RE-KONTRAK")</f>
        <v>NEW KONTRAK</v>
      </c>
      <c r="J3048" s="16" t="n">
        <f aca="false" t="array" ref="J3048:J3048">IFERROR(INDEX(AC3048:AE3048,IF(COUNTA(AC3048:AE3048)=0,"",MAX((AC3048:AE3048&lt;&gt;"")*(COLUMN(AC3048:AE3048)-(COLUMN(AC3048)))))-1),"")</f>
        <v>46023</v>
      </c>
      <c r="K3048" s="16" t="n">
        <f aca="false" t="array" ref="K3048:K3048">IFERROR(INDEX(AC3048:AE3048,IF(COUNTA(AC3048:AE3048)=0,"",MAX((AC3048:AE3048&lt;&gt;"")*(COLUMN(AC3048:AE3048)-(COLUMN(AC3048)-1))))-1),"")</f>
        <v>46112</v>
      </c>
      <c r="L3048" s="17" t="str">
        <f aca="false" t="array" ref="L3048:L3048">IFERROR(INDEX(AC3048:AE3048,IF(COUNTA(AC3048:AE3048)=0,"",MAX((AC3048:AE3048&lt;&gt;"")*(COLUMN(AC3048:AE3048)-(COLUMN(AC3048)-2))))-1),"")</f>
        <v>ARCHIVED</v>
      </c>
      <c r="M3048" s="13" t="n">
        <f aca="true">K3048-TODAY()</f>
        <v>-212</v>
      </c>
      <c r="N3048" s="18" t="s">
        <v>728</v>
      </c>
      <c r="O3048" s="13" t="s">
        <v>1453</v>
      </c>
      <c r="P3048" s="27" t="n">
        <v>132300</v>
      </c>
      <c r="Q3048" s="47" t="s">
        <v>12746</v>
      </c>
      <c r="R3048" s="13" t="s">
        <v>65</v>
      </c>
      <c r="S3048" s="16" t="n">
        <v>35890</v>
      </c>
      <c r="T3048" s="28" t="s">
        <v>40</v>
      </c>
      <c r="U3048" s="13" t="s">
        <v>12747</v>
      </c>
      <c r="V3048" s="13" t="s">
        <v>42</v>
      </c>
      <c r="W3048" s="13" t="s">
        <v>43</v>
      </c>
      <c r="X3048" s="30" t="n">
        <v>81247277901</v>
      </c>
      <c r="Y3048" s="22" t="str">
        <f aca="false">O3048</f>
        <v>Helper Produksi</v>
      </c>
      <c r="Z3048" s="13" t="str">
        <f aca="false">IFERROR(__xludf.dummyfunction("if(BJ3048="""","""",GOOGLETRANSLATE(BJ3048,""auto"",""en""))"),"Production Helper")</f>
        <v>Production Helper</v>
      </c>
      <c r="AA3048" s="23" t="str">
        <f aca="false">IF(C3048="","", CHOOSE(MONTH(C3048),"January","February","March","April","May","June","July","August","September","October","November","December")&amp;" "&amp;DAY(C3048)&amp;MID("thstndrdth",MIN(9,2*RIGHT(DAY(C3048))*(MOD(DAY(C3048)-11,100)&gt;2)+1),2)&amp;","&amp;TEXT(C3048," yyyy"))</f>
        <v>January 1st,2026</v>
      </c>
      <c r="AB3048" s="15" t="str">
        <f aca="true">IF(S3048="","",DATEDIF(S3048,TODAY(),"Y")&amp;" Tahun, "&amp;DATEDIF(S3048,TODAY(),"YM")&amp;" Bulan, "&amp;DATEDIF(S3048,TODAY(),"MD")&amp;" Hari")</f>
        <v>28 Tahun, 6 Bulan, 24 Hari</v>
      </c>
      <c r="AC3048" s="18" t="n">
        <v>46023</v>
      </c>
      <c r="AD3048" s="18" t="n">
        <f aca="false">EDATE(AC3048,3)-1</f>
        <v>46112</v>
      </c>
      <c r="AE3048" s="13" t="s">
        <v>44</v>
      </c>
    </row>
    <row r="3049" customFormat="false" ht="15" hidden="false" customHeight="true" outlineLevel="0" collapsed="false">
      <c r="A3049" s="12" t="n">
        <v>21608</v>
      </c>
      <c r="B3049" s="13" t="s">
        <v>12748</v>
      </c>
      <c r="C3049" s="16" t="n">
        <v>46023</v>
      </c>
      <c r="D3049" s="13" t="s">
        <v>885</v>
      </c>
      <c r="E3049" s="15" t="s">
        <v>102</v>
      </c>
      <c r="F3049" s="24" t="s">
        <v>12749</v>
      </c>
      <c r="G3049" s="28" t="s">
        <v>57</v>
      </c>
      <c r="H3049" s="13" t="s">
        <v>35</v>
      </c>
      <c r="I3049" s="13" t="str">
        <f aca="false">IF(C3049=J3049,"NEW KONTRAK","RE-KONTRAK")</f>
        <v>NEW KONTRAK</v>
      </c>
      <c r="J3049" s="16" t="n">
        <f aca="false" t="array" ref="J3049:J3049">IFERROR(INDEX(AC3049:AE3049,IF(COUNTA(AC3049:AE3049)=0,"",MAX((AC3049:AE3049&lt;&gt;"")*(COLUMN(AC3049:AE3049)-(COLUMN(AC3049)))))-1),"")</f>
        <v>46023</v>
      </c>
      <c r="K3049" s="16" t="n">
        <f aca="false" t="array" ref="K3049:K3049">IFERROR(INDEX(AC3049:AE3049,IF(COUNTA(AC3049:AE3049)=0,"",MAX((AC3049:AE3049&lt;&gt;"")*(COLUMN(AC3049:AE3049)-(COLUMN(AC3049)-1))))-1),"")</f>
        <v>46112</v>
      </c>
      <c r="L3049" s="17" t="str">
        <f aca="false" t="array" ref="L3049:L3049">IFERROR(INDEX(AC3049:AE3049,IF(COUNTA(AC3049:AE3049)=0,"",MAX((AC3049:AE3049&lt;&gt;"")*(COLUMN(AC3049:AE3049)-(COLUMN(AC3049)-2))))-1),"")</f>
        <v>ARCHIVED</v>
      </c>
      <c r="M3049" s="13" t="n">
        <f aca="true">K3049-TODAY()</f>
        <v>-212</v>
      </c>
      <c r="N3049" s="18" t="s">
        <v>728</v>
      </c>
      <c r="O3049" s="13" t="s">
        <v>1453</v>
      </c>
      <c r="P3049" s="27" t="n">
        <v>132300</v>
      </c>
      <c r="Q3049" s="47" t="s">
        <v>12750</v>
      </c>
      <c r="R3049" s="13" t="s">
        <v>39</v>
      </c>
      <c r="S3049" s="16" t="n">
        <v>37773</v>
      </c>
      <c r="T3049" s="28" t="s">
        <v>40</v>
      </c>
      <c r="U3049" s="13" t="s">
        <v>12751</v>
      </c>
      <c r="V3049" s="13" t="s">
        <v>42</v>
      </c>
      <c r="W3049" s="13" t="s">
        <v>43</v>
      </c>
      <c r="X3049" s="30" t="n">
        <v>81143289861</v>
      </c>
      <c r="Y3049" s="22" t="str">
        <f aca="false">O3049</f>
        <v>Helper Produksi</v>
      </c>
      <c r="Z3049" s="13" t="str">
        <f aca="false">IFERROR(__xludf.dummyfunction("if(BJ3049="""","""",GOOGLETRANSLATE(BJ3049,""auto"",""en""))"),"Production Helper")</f>
        <v>Production Helper</v>
      </c>
      <c r="AA3049" s="23" t="str">
        <f aca="false">IF(C3049="","", CHOOSE(MONTH(C3049),"January","February","March","April","May","June","July","August","September","October","November","December")&amp;" "&amp;DAY(C3049)&amp;MID("thstndrdth",MIN(9,2*RIGHT(DAY(C3049))*(MOD(DAY(C3049)-11,100)&gt;2)+1),2)&amp;","&amp;TEXT(C3049," yyyy"))</f>
        <v>January 1st,2026</v>
      </c>
      <c r="AB3049" s="15" t="str">
        <f aca="true">IF(S3049="","",DATEDIF(S3049,TODAY(),"Y")&amp;" Tahun, "&amp;DATEDIF(S3049,TODAY(),"YM")&amp;" Bulan, "&amp;DATEDIF(S3049,TODAY(),"MD")&amp;" Hari")</f>
        <v>23 Tahun, 4 Bulan, 28 Hari</v>
      </c>
      <c r="AC3049" s="18" t="n">
        <v>46023</v>
      </c>
      <c r="AD3049" s="18" t="n">
        <f aca="false">EDATE(AC3049,3)-1</f>
        <v>46112</v>
      </c>
      <c r="AE3049" s="13" t="s">
        <v>44</v>
      </c>
    </row>
    <row r="3050" customFormat="false" ht="15" hidden="false" customHeight="true" outlineLevel="0" collapsed="false">
      <c r="A3050" s="12" t="n">
        <v>21609</v>
      </c>
      <c r="B3050" s="13" t="s">
        <v>12752</v>
      </c>
      <c r="C3050" s="16" t="n">
        <v>46023</v>
      </c>
      <c r="D3050" s="13" t="s">
        <v>885</v>
      </c>
      <c r="E3050" s="15" t="s">
        <v>102</v>
      </c>
      <c r="F3050" s="15" t="str">
        <f aca="false">IFERROR(__xludf.dummyfunction("XLOOKUP(AJ3050,IMPORTRANGE(""1XaInW9DU9nz21V0tYIfzFQ0He9kVQ_JF2mCXgZ3hqFA"",""REKAP ALL 2026 - Andika!G:G""),IMPORTRANGE(""1XaInW9DU9nz21V0tYIfzFQ0He9kVQ_JF2mCXgZ3hqFA"",""REKAP ALL 2026 - Andika!F:F""),"""",0)"),"26005751479")</f>
        <v>26005751479</v>
      </c>
      <c r="G3050" s="28" t="s">
        <v>57</v>
      </c>
      <c r="H3050" s="13" t="s">
        <v>35</v>
      </c>
      <c r="I3050" s="13" t="str">
        <f aca="false">IF(C3050=J3050,"NEW KONTRAK","RE-KONTRAK")</f>
        <v>NEW KONTRAK</v>
      </c>
      <c r="J3050" s="16" t="n">
        <f aca="false" t="array" ref="J3050:J3050">IFERROR(INDEX(AC3050:AE3050,IF(COUNTA(AC3050:AE3050)=0,"",MAX((AC3050:AE3050&lt;&gt;"")*(COLUMN(AC3050:AE3050)-(COLUMN(AC3050)))))-1),"")</f>
        <v>46023</v>
      </c>
      <c r="K3050" s="16" t="n">
        <f aca="false" t="array" ref="K3050:K3050">IFERROR(INDEX(AC3050:AE3050,IF(COUNTA(AC3050:AE3050)=0,"",MAX((AC3050:AE3050&lt;&gt;"")*(COLUMN(AC3050:AE3050)-(COLUMN(AC3050)-1))))-1),"")</f>
        <v>46112</v>
      </c>
      <c r="L3050" s="17" t="str">
        <f aca="false" t="array" ref="L3050:L3050">IFERROR(INDEX(AC3050:AE3050,IF(COUNTA(AC3050:AE3050)=0,"",MAX((AC3050:AE3050&lt;&gt;"")*(COLUMN(AC3050:AE3050)-(COLUMN(AC3050)-2))))-1),"")</f>
        <v>ARCHIVED</v>
      </c>
      <c r="M3050" s="13" t="n">
        <f aca="true">K3050-TODAY()</f>
        <v>-212</v>
      </c>
      <c r="N3050" s="18" t="s">
        <v>728</v>
      </c>
      <c r="O3050" s="13" t="s">
        <v>1453</v>
      </c>
      <c r="P3050" s="27" t="n">
        <v>132300</v>
      </c>
      <c r="Q3050" s="47" t="s">
        <v>12753</v>
      </c>
      <c r="R3050" s="13" t="s">
        <v>73</v>
      </c>
      <c r="S3050" s="16" t="n">
        <v>39802</v>
      </c>
      <c r="T3050" s="28" t="s">
        <v>40</v>
      </c>
      <c r="U3050" s="13" t="s">
        <v>12754</v>
      </c>
      <c r="V3050" s="13" t="s">
        <v>42</v>
      </c>
      <c r="W3050" s="13" t="s">
        <v>43</v>
      </c>
      <c r="X3050" s="30" t="n">
        <v>85734103697</v>
      </c>
      <c r="Y3050" s="22" t="str">
        <f aca="false">O3050</f>
        <v>Helper Produksi</v>
      </c>
      <c r="Z3050" s="13" t="str">
        <f aca="false">IFERROR(__xludf.dummyfunction("if(BJ3050="""","""",GOOGLETRANSLATE(BJ3050,""auto"",""en""))"),"Production Helper")</f>
        <v>Production Helper</v>
      </c>
      <c r="AA3050" s="23" t="str">
        <f aca="false">IF(C3050="","", CHOOSE(MONTH(C3050),"January","February","March","April","May","June","July","August","September","October","November","December")&amp;" "&amp;DAY(C3050)&amp;MID("thstndrdth",MIN(9,2*RIGHT(DAY(C3050))*(MOD(DAY(C3050)-11,100)&gt;2)+1),2)&amp;","&amp;TEXT(C3050," yyyy"))</f>
        <v>January 1st,2026</v>
      </c>
      <c r="AB3050" s="15" t="str">
        <f aca="true">IF(S3050="","",DATEDIF(S3050,TODAY(),"Y")&amp;" Tahun, "&amp;DATEDIF(S3050,TODAY(),"YM")&amp;" Bulan, "&amp;DATEDIF(S3050,TODAY(),"MD")&amp;" Hari")</f>
        <v>17 Tahun, 10 Bulan, 9 Hari</v>
      </c>
      <c r="AC3050" s="18" t="n">
        <v>46023</v>
      </c>
      <c r="AD3050" s="18" t="n">
        <f aca="false">EDATE(AC3050,3)-1</f>
        <v>46112</v>
      </c>
      <c r="AE3050" s="13" t="s">
        <v>44</v>
      </c>
    </row>
    <row r="3051" customFormat="false" ht="15" hidden="false" customHeight="true" outlineLevel="0" collapsed="false">
      <c r="A3051" s="12" t="n">
        <v>21610</v>
      </c>
      <c r="B3051" s="13" t="s">
        <v>12755</v>
      </c>
      <c r="C3051" s="16" t="n">
        <v>46023</v>
      </c>
      <c r="D3051" s="13" t="s">
        <v>885</v>
      </c>
      <c r="E3051" s="15" t="s">
        <v>47</v>
      </c>
      <c r="F3051" s="15" t="str">
        <f aca="false">IFERROR(__xludf.dummyfunction("XLOOKUP(AJ3051,IMPORTRANGE(""1XaInW9DU9nz21V0tYIfzFQ0He9kVQ_JF2mCXgZ3hqFA"",""REKAP ALL 2026 - Andika!G:G""),IMPORTRANGE(""1XaInW9DU9nz21V0tYIfzFQ0He9kVQ_JF2mCXgZ3hqFA"",""REKAP ALL 2026 - Andika!F:F""),"""",0)"),"26005751305")</f>
        <v>26005751305</v>
      </c>
      <c r="G3051" s="28" t="s">
        <v>57</v>
      </c>
      <c r="H3051" s="13" t="s">
        <v>35</v>
      </c>
      <c r="I3051" s="13" t="str">
        <f aca="false">IF(C3051=J3051,"NEW KONTRAK","RE-KONTRAK")</f>
        <v>NEW KONTRAK</v>
      </c>
      <c r="J3051" s="16" t="n">
        <f aca="false" t="array" ref="J3051:J3051">IFERROR(INDEX(AC3051:AE3051,IF(COUNTA(AC3051:AE3051)=0,"",MAX((AC3051:AE3051&lt;&gt;"")*(COLUMN(AC3051:AE3051)-(COLUMN(AC3051)))))-1),"")</f>
        <v>46023</v>
      </c>
      <c r="K3051" s="16" t="n">
        <f aca="false" t="array" ref="K3051:K3051">IFERROR(INDEX(AC3051:AE3051,IF(COUNTA(AC3051:AE3051)=0,"",MAX((AC3051:AE3051&lt;&gt;"")*(COLUMN(AC3051:AE3051)-(COLUMN(AC3051)-1))))-1),"")</f>
        <v>46112</v>
      </c>
      <c r="L3051" s="17" t="str">
        <f aca="false" t="array" ref="L3051:L3051">IFERROR(INDEX(AC3051:AE3051,IF(COUNTA(AC3051:AE3051)=0,"",MAX((AC3051:AE3051&lt;&gt;"")*(COLUMN(AC3051:AE3051)-(COLUMN(AC3051)-2))))-1),"")</f>
        <v>ARCHIVED</v>
      </c>
      <c r="M3051" s="13" t="n">
        <f aca="true">K3051-TODAY()</f>
        <v>-212</v>
      </c>
      <c r="N3051" s="18" t="s">
        <v>728</v>
      </c>
      <c r="O3051" s="13" t="s">
        <v>1453</v>
      </c>
      <c r="P3051" s="27" t="n">
        <v>132300</v>
      </c>
      <c r="Q3051" s="47" t="s">
        <v>12756</v>
      </c>
      <c r="R3051" s="13" t="s">
        <v>260</v>
      </c>
      <c r="S3051" s="16" t="n">
        <v>37314</v>
      </c>
      <c r="T3051" s="28" t="s">
        <v>40</v>
      </c>
      <c r="U3051" s="13" t="s">
        <v>12757</v>
      </c>
      <c r="V3051" s="13" t="s">
        <v>42</v>
      </c>
      <c r="W3051" s="13" t="s">
        <v>54</v>
      </c>
      <c r="X3051" s="30" t="n">
        <v>81317980893</v>
      </c>
      <c r="Y3051" s="22" t="str">
        <f aca="false">O3051</f>
        <v>Helper Produksi</v>
      </c>
      <c r="Z3051" s="13" t="str">
        <f aca="false">IFERROR(__xludf.dummyfunction("if(BJ3051="""","""",GOOGLETRANSLATE(BJ3051,""auto"",""en""))"),"Production Helper")</f>
        <v>Production Helper</v>
      </c>
      <c r="AA3051" s="23" t="str">
        <f aca="false">IF(C3051="","", CHOOSE(MONTH(C3051),"January","February","March","April","May","June","July","August","September","October","November","December")&amp;" "&amp;DAY(C3051)&amp;MID("thstndrdth",MIN(9,2*RIGHT(DAY(C3051))*(MOD(DAY(C3051)-11,100)&gt;2)+1),2)&amp;","&amp;TEXT(C3051," yyyy"))</f>
        <v>January 1st,2026</v>
      </c>
      <c r="AB3051" s="15" t="str">
        <f aca="true">IF(S3051="","",DATEDIF(S3051,TODAY(),"Y")&amp;" Tahun, "&amp;DATEDIF(S3051,TODAY(),"YM")&amp;" Bulan, "&amp;DATEDIF(S3051,TODAY(),"MD")&amp;" Hari")</f>
        <v>24 Tahun, 8 Bulan, 2 Hari</v>
      </c>
      <c r="AC3051" s="18" t="n">
        <v>46023</v>
      </c>
      <c r="AD3051" s="18" t="n">
        <f aca="false">EDATE(AC3051,3)-1</f>
        <v>46112</v>
      </c>
      <c r="AE3051" s="13" t="s">
        <v>44</v>
      </c>
    </row>
    <row r="3052" customFormat="false" ht="15" hidden="false" customHeight="true" outlineLevel="0" collapsed="false">
      <c r="A3052" s="12" t="n">
        <v>21611</v>
      </c>
      <c r="B3052" s="13" t="s">
        <v>12758</v>
      </c>
      <c r="C3052" s="16" t="n">
        <v>46023</v>
      </c>
      <c r="D3052" s="13" t="s">
        <v>885</v>
      </c>
      <c r="E3052" s="15" t="s">
        <v>47</v>
      </c>
      <c r="F3052" s="15" t="str">
        <f aca="false">IFERROR(__xludf.dummyfunction("XLOOKUP(AJ3052,IMPORTRANGE(""1XaInW9DU9nz21V0tYIfzFQ0He9kVQ_JF2mCXgZ3hqFA"",""REKAP ALL 2026 - Andika!G:G""),IMPORTRANGE(""1XaInW9DU9nz21V0tYIfzFQ0He9kVQ_JF2mCXgZ3hqFA"",""REKAP ALL 2026 - Andika!F:F""),"""",0)"),"26005751602")</f>
        <v>26005751602</v>
      </c>
      <c r="G3052" s="28" t="s">
        <v>57</v>
      </c>
      <c r="H3052" s="13" t="s">
        <v>35</v>
      </c>
      <c r="I3052" s="13" t="str">
        <f aca="false">IF(C3052=J3052,"NEW KONTRAK","RE-KONTRAK")</f>
        <v>NEW KONTRAK</v>
      </c>
      <c r="J3052" s="16" t="n">
        <f aca="false" t="array" ref="J3052:J3052">IFERROR(INDEX(AC3052:AE3052,IF(COUNTA(AC3052:AE3052)=0,"",MAX((AC3052:AE3052&lt;&gt;"")*(COLUMN(AC3052:AE3052)-(COLUMN(AC3052)))))-1),"")</f>
        <v>46023</v>
      </c>
      <c r="K3052" s="16" t="n">
        <f aca="false" t="array" ref="K3052:K3052">IFERROR(INDEX(AC3052:AE3052,IF(COUNTA(AC3052:AE3052)=0,"",MAX((AC3052:AE3052&lt;&gt;"")*(COLUMN(AC3052:AE3052)-(COLUMN(AC3052)-1))))-1),"")</f>
        <v>46112</v>
      </c>
      <c r="L3052" s="17" t="str">
        <f aca="false" t="array" ref="L3052:L3052">IFERROR(INDEX(AC3052:AE3052,IF(COUNTA(AC3052:AE3052)=0,"",MAX((AC3052:AE3052&lt;&gt;"")*(COLUMN(AC3052:AE3052)-(COLUMN(AC3052)-2))))-1),"")</f>
        <v>ARCHIVED</v>
      </c>
      <c r="M3052" s="13" t="n">
        <f aca="true">K3052-TODAY()</f>
        <v>-212</v>
      </c>
      <c r="N3052" s="18" t="s">
        <v>728</v>
      </c>
      <c r="O3052" s="13" t="s">
        <v>1453</v>
      </c>
      <c r="P3052" s="19" t="n">
        <v>132300</v>
      </c>
      <c r="Q3052" s="47" t="s">
        <v>12759</v>
      </c>
      <c r="R3052" s="13" t="s">
        <v>52</v>
      </c>
      <c r="S3052" s="16" t="n">
        <v>35531</v>
      </c>
      <c r="T3052" s="28" t="s">
        <v>40</v>
      </c>
      <c r="U3052" s="13" t="s">
        <v>12760</v>
      </c>
      <c r="V3052" s="13" t="s">
        <v>42</v>
      </c>
      <c r="W3052" s="13" t="s">
        <v>43</v>
      </c>
      <c r="X3052" s="30" t="n">
        <v>82246095396</v>
      </c>
      <c r="Y3052" s="22" t="str">
        <f aca="false">O3052</f>
        <v>Helper Produksi</v>
      </c>
      <c r="Z3052" s="13" t="str">
        <f aca="false">IFERROR(__xludf.dummyfunction("if(BJ3052="""","""",GOOGLETRANSLATE(BJ3052,""auto"",""en""))"),"Production Helper")</f>
        <v>Production Helper</v>
      </c>
      <c r="AA3052" s="23" t="str">
        <f aca="false">IF(C3052="","", CHOOSE(MONTH(C3052),"January","February","March","April","May","June","July","August","September","October","November","December")&amp;" "&amp;DAY(C3052)&amp;MID("thstndrdth",MIN(9,2*RIGHT(DAY(C3052))*(MOD(DAY(C3052)-11,100)&gt;2)+1),2)&amp;","&amp;TEXT(C3052," yyyy"))</f>
        <v>January 1st,2026</v>
      </c>
      <c r="AB3052" s="15" t="str">
        <f aca="true">IF(S3052="","",DATEDIF(S3052,TODAY(),"Y")&amp;" Tahun, "&amp;DATEDIF(S3052,TODAY(),"YM")&amp;" Bulan, "&amp;DATEDIF(S3052,TODAY(),"MD")&amp;" Hari")</f>
        <v>29 Tahun, 6 Bulan, 18 Hari</v>
      </c>
      <c r="AC3052" s="18" t="n">
        <v>46023</v>
      </c>
      <c r="AD3052" s="18" t="n">
        <f aca="false">EDATE(AC3052,3)-1</f>
        <v>46112</v>
      </c>
      <c r="AE3052" s="13" t="s">
        <v>44</v>
      </c>
    </row>
    <row r="3053" customFormat="false" ht="15" hidden="false" customHeight="true" outlineLevel="0" collapsed="false">
      <c r="A3053" s="12" t="n">
        <v>21612</v>
      </c>
      <c r="B3053" s="13" t="s">
        <v>12761</v>
      </c>
      <c r="C3053" s="16" t="n">
        <v>46023</v>
      </c>
      <c r="D3053" s="13" t="s">
        <v>885</v>
      </c>
      <c r="E3053" s="15" t="s">
        <v>47</v>
      </c>
      <c r="F3053" s="15" t="str">
        <f aca="false">IFERROR(__xludf.dummyfunction("XLOOKUP(AJ3053,IMPORTRANGE(""1XaInW9DU9nz21V0tYIfzFQ0He9kVQ_JF2mCXgZ3hqFA"",""REKAP ALL 2026 - Andika!G:G""),IMPORTRANGE(""1XaInW9DU9nz21V0tYIfzFQ0He9kVQ_JF2mCXgZ3hqFA"",""REKAP ALL 2026 - Andika!F:F""),"""",0)"),"26005751651")</f>
        <v>26005751651</v>
      </c>
      <c r="G3053" s="28" t="s">
        <v>57</v>
      </c>
      <c r="H3053" s="13" t="s">
        <v>35</v>
      </c>
      <c r="I3053" s="13" t="str">
        <f aca="false">IF(C3053=J3053,"NEW KONTRAK","RE-KONTRAK")</f>
        <v>NEW KONTRAK</v>
      </c>
      <c r="J3053" s="16" t="n">
        <f aca="false" t="array" ref="J3053:J3053">IFERROR(INDEX(AC3053:AE3053,IF(COUNTA(AC3053:AE3053)=0,"",MAX((AC3053:AE3053&lt;&gt;"")*(COLUMN(AC3053:AE3053)-(COLUMN(AC3053)))))-1),"")</f>
        <v>46023</v>
      </c>
      <c r="K3053" s="16" t="n">
        <f aca="false" t="array" ref="K3053:K3053">IFERROR(INDEX(AC3053:AE3053,IF(COUNTA(AC3053:AE3053)=0,"",MAX((AC3053:AE3053&lt;&gt;"")*(COLUMN(AC3053:AE3053)-(COLUMN(AC3053)-1))))-1),"")</f>
        <v>46112</v>
      </c>
      <c r="L3053" s="17" t="str">
        <f aca="false" t="array" ref="L3053:L3053">IFERROR(INDEX(AC3053:AE3053,IF(COUNTA(AC3053:AE3053)=0,"",MAX((AC3053:AE3053&lt;&gt;"")*(COLUMN(AC3053:AE3053)-(COLUMN(AC3053)-2))))-1),"")</f>
        <v>ARCHIVED</v>
      </c>
      <c r="M3053" s="13" t="n">
        <f aca="true">K3053-TODAY()</f>
        <v>-212</v>
      </c>
      <c r="N3053" s="18" t="s">
        <v>728</v>
      </c>
      <c r="O3053" s="13" t="s">
        <v>1453</v>
      </c>
      <c r="P3053" s="27" t="n">
        <v>132300</v>
      </c>
      <c r="Q3053" s="47" t="s">
        <v>12762</v>
      </c>
      <c r="R3053" s="13" t="s">
        <v>52</v>
      </c>
      <c r="S3053" s="16" t="n">
        <v>32652</v>
      </c>
      <c r="T3053" s="28" t="s">
        <v>40</v>
      </c>
      <c r="U3053" s="13" t="s">
        <v>12763</v>
      </c>
      <c r="V3053" s="13" t="s">
        <v>42</v>
      </c>
      <c r="W3053" s="13" t="s">
        <v>54</v>
      </c>
      <c r="X3053" s="30" t="n">
        <v>82318518888</v>
      </c>
      <c r="Y3053" s="22" t="str">
        <f aca="false">O3053</f>
        <v>Helper Produksi</v>
      </c>
      <c r="Z3053" s="13" t="str">
        <f aca="false">IFERROR(__xludf.dummyfunction("if(BJ3053="""","""",GOOGLETRANSLATE(BJ3053,""auto"",""en""))"),"Production Helper")</f>
        <v>Production Helper</v>
      </c>
      <c r="AA3053" s="23" t="str">
        <f aca="false">IF(C3053="","", CHOOSE(MONTH(C3053),"January","February","March","April","May","June","July","August","September","October","November","December")&amp;" "&amp;DAY(C3053)&amp;MID("thstndrdth",MIN(9,2*RIGHT(DAY(C3053))*(MOD(DAY(C3053)-11,100)&gt;2)+1),2)&amp;","&amp;TEXT(C3053," yyyy"))</f>
        <v>January 1st,2026</v>
      </c>
      <c r="AB3053" s="15" t="str">
        <f aca="true">IF(S3053="","",DATEDIF(S3053,TODAY(),"Y")&amp;" Tahun, "&amp;DATEDIF(S3053,TODAY(),"YM")&amp;" Bulan, "&amp;DATEDIF(S3053,TODAY(),"MD")&amp;" Hari")</f>
        <v>37 Tahun, 5 Bulan, 5 Hari</v>
      </c>
      <c r="AC3053" s="18" t="n">
        <v>46023</v>
      </c>
      <c r="AD3053" s="18" t="n">
        <f aca="false">EDATE(AC3053,3)-1</f>
        <v>46112</v>
      </c>
      <c r="AE3053" s="13" t="s">
        <v>44</v>
      </c>
    </row>
    <row r="3054" customFormat="false" ht="15" hidden="false" customHeight="true" outlineLevel="0" collapsed="false">
      <c r="A3054" s="12" t="n">
        <v>21613</v>
      </c>
      <c r="B3054" s="13" t="s">
        <v>12764</v>
      </c>
      <c r="C3054" s="16" t="n">
        <v>46023</v>
      </c>
      <c r="D3054" s="13" t="s">
        <v>885</v>
      </c>
      <c r="E3054" s="15" t="s">
        <v>47</v>
      </c>
      <c r="F3054" s="15" t="str">
        <f aca="false">IFERROR(__xludf.dummyfunction("XLOOKUP(AJ3054,IMPORTRANGE(""1XaInW9DU9nz21V0tYIfzFQ0He9kVQ_JF2mCXgZ3hqFA"",""REKAP ALL 2026 - Andika!G:G""),IMPORTRANGE(""1XaInW9DU9nz21V0tYIfzFQ0He9kVQ_JF2mCXgZ3hqFA"",""REKAP ALL 2026 - Andika!F:F""),"""",0)"),"26005751313")</f>
        <v>26005751313</v>
      </c>
      <c r="G3054" s="28" t="s">
        <v>57</v>
      </c>
      <c r="H3054" s="13" t="s">
        <v>35</v>
      </c>
      <c r="I3054" s="13" t="str">
        <f aca="false">IF(C3054=J3054,"NEW KONTRAK","RE-KONTRAK")</f>
        <v>NEW KONTRAK</v>
      </c>
      <c r="J3054" s="16" t="n">
        <f aca="false" t="array" ref="J3054:J3054">IFERROR(INDEX(AC3054:AE3054,IF(COUNTA(AC3054:AE3054)=0,"",MAX((AC3054:AE3054&lt;&gt;"")*(COLUMN(AC3054:AE3054)-(COLUMN(AC3054)))))-1),"")</f>
        <v>46023</v>
      </c>
      <c r="K3054" s="16" t="n">
        <f aca="false" t="array" ref="K3054:K3054">IFERROR(INDEX(AC3054:AE3054,IF(COUNTA(AC3054:AE3054)=0,"",MAX((AC3054:AE3054&lt;&gt;"")*(COLUMN(AC3054:AE3054)-(COLUMN(AC3054)-1))))-1),"")</f>
        <v>46112</v>
      </c>
      <c r="L3054" s="17" t="str">
        <f aca="false" t="array" ref="L3054:L3054">IFERROR(INDEX(AC3054:AE3054,IF(COUNTA(AC3054:AE3054)=0,"",MAX((AC3054:AE3054&lt;&gt;"")*(COLUMN(AC3054:AE3054)-(COLUMN(AC3054)-2))))-1),"")</f>
        <v>ARCHIVED</v>
      </c>
      <c r="M3054" s="13" t="n">
        <f aca="true">K3054-TODAY()</f>
        <v>-212</v>
      </c>
      <c r="N3054" s="18" t="s">
        <v>728</v>
      </c>
      <c r="O3054" s="13" t="s">
        <v>1453</v>
      </c>
      <c r="P3054" s="19" t="n">
        <v>132300</v>
      </c>
      <c r="Q3054" s="47" t="s">
        <v>12765</v>
      </c>
      <c r="R3054" s="13" t="s">
        <v>83</v>
      </c>
      <c r="S3054" s="16" t="n">
        <v>34881</v>
      </c>
      <c r="T3054" s="28" t="s">
        <v>40</v>
      </c>
      <c r="U3054" s="13" t="s">
        <v>12766</v>
      </c>
      <c r="V3054" s="13" t="s">
        <v>42</v>
      </c>
      <c r="W3054" s="13" t="s">
        <v>54</v>
      </c>
      <c r="X3054" s="30" t="n">
        <v>81167065405</v>
      </c>
      <c r="Y3054" s="22" t="str">
        <f aca="false">O3054</f>
        <v>Helper Produksi</v>
      </c>
      <c r="Z3054" s="13" t="str">
        <f aca="false">IFERROR(__xludf.dummyfunction("if(BJ3054="""","""",GOOGLETRANSLATE(BJ3054,""auto"",""en""))"),"Production Helper")</f>
        <v>Production Helper</v>
      </c>
      <c r="AA3054" s="23" t="str">
        <f aca="false">IF(C3054="","", CHOOSE(MONTH(C3054),"January","February","March","April","May","June","July","August","September","October","November","December")&amp;" "&amp;DAY(C3054)&amp;MID("thstndrdth",MIN(9,2*RIGHT(DAY(C3054))*(MOD(DAY(C3054)-11,100)&gt;2)+1),2)&amp;","&amp;TEXT(C3054," yyyy"))</f>
        <v>January 1st,2026</v>
      </c>
      <c r="AB3054" s="15" t="str">
        <f aca="true">IF(S3054="","",DATEDIF(S3054,TODAY(),"Y")&amp;" Tahun, "&amp;DATEDIF(S3054,TODAY(),"YM")&amp;" Bulan, "&amp;DATEDIF(S3054,TODAY(),"MD")&amp;" Hari")</f>
        <v>31 Tahun, 3 Bulan, 28 Hari</v>
      </c>
      <c r="AC3054" s="18" t="n">
        <v>46023</v>
      </c>
      <c r="AD3054" s="18" t="n">
        <f aca="false">EDATE(AC3054,3)-1</f>
        <v>46112</v>
      </c>
      <c r="AE3054" s="13" t="s">
        <v>44</v>
      </c>
    </row>
    <row r="3055" customFormat="false" ht="15" hidden="false" customHeight="true" outlineLevel="0" collapsed="false">
      <c r="A3055" s="12" t="n">
        <v>21614</v>
      </c>
      <c r="B3055" s="13" t="s">
        <v>12767</v>
      </c>
      <c r="C3055" s="16" t="n">
        <v>46027</v>
      </c>
      <c r="D3055" s="13" t="s">
        <v>961</v>
      </c>
      <c r="E3055" s="15" t="s">
        <v>47</v>
      </c>
      <c r="F3055" s="15" t="str">
        <f aca="false">IFERROR(__xludf.dummyfunction("XLOOKUP(AJ3055,IMPORTRANGE(""1XaInW9DU9nz21V0tYIfzFQ0He9kVQ_JF2mCXgZ3hqFA"",""REKAP ALL 2026 - Andika!G:G""),IMPORTRANGE(""1XaInW9DU9nz21V0tYIfzFQ0He9kVQ_JF2mCXgZ3hqFA"",""REKAP ALL 2026 - Andika!F:F""),"""",0)"),"26005751362")</f>
        <v>26005751362</v>
      </c>
      <c r="G3055" s="28" t="s">
        <v>57</v>
      </c>
      <c r="H3055" s="13" t="s">
        <v>35</v>
      </c>
      <c r="I3055" s="13" t="str">
        <f aca="false">IF(C3055=J3055,"NEW KONTRAK","RE-KONTRAK")</f>
        <v>NEW KONTRAK</v>
      </c>
      <c r="J3055" s="16" t="n">
        <f aca="false" t="array" ref="J3055:J3055">IFERROR(INDEX(AC3055:AE3055,IF(COUNTA(AC3055:AE3055)=0,"",MAX((AC3055:AE3055&lt;&gt;"")*(COLUMN(AC3055:AE3055)-(COLUMN(AC3055)))))-1),"")</f>
        <v>46027</v>
      </c>
      <c r="K3055" s="16" t="n">
        <f aca="false" t="array" ref="K3055:K3055">IFERROR(INDEX(AC3055:AE3055,IF(COUNTA(AC3055:AE3055)=0,"",MAX((AC3055:AE3055&lt;&gt;"")*(COLUMN(AC3055:AE3055)-(COLUMN(AC3055)-1))))-1),"")</f>
        <v>46116</v>
      </c>
      <c r="L3055" s="17" t="str">
        <f aca="false" t="array" ref="L3055:L3055">IFERROR(INDEX(AC3055:AE3055,IF(COUNTA(AC3055:AE3055)=0,"",MAX((AC3055:AE3055&lt;&gt;"")*(COLUMN(AC3055:AE3055)-(COLUMN(AC3055)-2))))-1),"")</f>
        <v>ARCHIVED</v>
      </c>
      <c r="M3055" s="13" t="n">
        <f aca="true">K3055-TODAY()</f>
        <v>-208</v>
      </c>
      <c r="N3055" s="18" t="s">
        <v>728</v>
      </c>
      <c r="O3055" s="13" t="s">
        <v>12768</v>
      </c>
      <c r="P3055" s="27" t="n">
        <v>4961753</v>
      </c>
      <c r="Q3055" s="47" t="s">
        <v>12769</v>
      </c>
      <c r="R3055" s="13" t="s">
        <v>39</v>
      </c>
      <c r="S3055" s="16" t="n">
        <v>37578</v>
      </c>
      <c r="T3055" s="28" t="s">
        <v>40</v>
      </c>
      <c r="U3055" s="13" t="s">
        <v>12770</v>
      </c>
      <c r="V3055" s="13" t="s">
        <v>42</v>
      </c>
      <c r="W3055" s="13" t="s">
        <v>43</v>
      </c>
      <c r="X3055" s="30" t="n">
        <v>81353195205</v>
      </c>
      <c r="Y3055" s="22" t="str">
        <f aca="false">O3055</f>
        <v>Helper Engineering</v>
      </c>
      <c r="Z3055" s="13" t="str">
        <f aca="false">IFERROR(__xludf.dummyfunction("if(BJ3055="""","""",GOOGLETRANSLATE(BJ3055,""auto"",""en""))"),"Helper Engineering")</f>
        <v>Helper Engineering</v>
      </c>
      <c r="AA3055" s="23" t="str">
        <f aca="false">IF(C3055="","", CHOOSE(MONTH(C3055),"January","February","March","April","May","June","July","August","September","October","November","December")&amp;" "&amp;DAY(C3055)&amp;MID("thstndrdth",MIN(9,2*RIGHT(DAY(C3055))*(MOD(DAY(C3055)-11,100)&gt;2)+1),2)&amp;","&amp;TEXT(C3055," yyyy"))</f>
        <v>January 5th,2026</v>
      </c>
      <c r="AB3055" s="15" t="str">
        <f aca="true">IF(S3055="","",DATEDIF(S3055,TODAY(),"Y")&amp;" Tahun, "&amp;DATEDIF(S3055,TODAY(),"YM")&amp;" Bulan, "&amp;DATEDIF(S3055,TODAY(),"MD")&amp;" Hari")</f>
        <v>23 Tahun, 11 Bulan, 11 Hari</v>
      </c>
      <c r="AC3055" s="18" t="n">
        <v>46027</v>
      </c>
      <c r="AD3055" s="18" t="n">
        <f aca="false">EDATE(AC3055,3)-1</f>
        <v>46116</v>
      </c>
      <c r="AE3055" s="13" t="s">
        <v>44</v>
      </c>
    </row>
    <row r="3056" customFormat="false" ht="15" hidden="false" customHeight="true" outlineLevel="0" collapsed="false">
      <c r="A3056" s="12" t="n">
        <v>21615</v>
      </c>
      <c r="B3056" s="13" t="s">
        <v>12771</v>
      </c>
      <c r="C3056" s="16" t="n">
        <v>46027</v>
      </c>
      <c r="D3056" s="13" t="s">
        <v>961</v>
      </c>
      <c r="E3056" s="15" t="s">
        <v>789</v>
      </c>
      <c r="F3056" s="15" t="str">
        <f aca="false">IFERROR(__xludf.dummyfunction("XLOOKUP(AJ3056,IMPORTRANGE(""1XaInW9DU9nz21V0tYIfzFQ0He9kVQ_JF2mCXgZ3hqFA"",""REKAP ALL 2026 - Andika!G:G""),IMPORTRANGE(""1XaInW9DU9nz21V0tYIfzFQ0He9kVQ_JF2mCXgZ3hqFA"",""REKAP ALL 2026 - Andika!F:F""),"""",0)"),"26005751388")</f>
        <v>26005751388</v>
      </c>
      <c r="G3056" s="28" t="s">
        <v>57</v>
      </c>
      <c r="H3056" s="13" t="s">
        <v>35</v>
      </c>
      <c r="I3056" s="13" t="str">
        <f aca="false">IF(C3056=J3056,"NEW KONTRAK","RE-KONTRAK")</f>
        <v>NEW KONTRAK</v>
      </c>
      <c r="J3056" s="16" t="n">
        <f aca="false" t="array" ref="J3056:J3056">IFERROR(INDEX(AC3056:AE3056,IF(COUNTA(AC3056:AE3056)=0,"",MAX((AC3056:AE3056&lt;&gt;"")*(COLUMN(AC3056:AE3056)-(COLUMN(AC3056)))))-1),"")</f>
        <v>46027</v>
      </c>
      <c r="K3056" s="16" t="n">
        <f aca="false" t="array" ref="K3056:K3056">IFERROR(INDEX(AC3056:AE3056,IF(COUNTA(AC3056:AE3056)=0,"",MAX((AC3056:AE3056&lt;&gt;"")*(COLUMN(AC3056:AE3056)-(COLUMN(AC3056)-1))))-1),"")</f>
        <v>46116</v>
      </c>
      <c r="L3056" s="17" t="str">
        <f aca="false" t="array" ref="L3056:L3056">IFERROR(INDEX(AC3056:AE3056,IF(COUNTA(AC3056:AE3056)=0,"",MAX((AC3056:AE3056&lt;&gt;"")*(COLUMN(AC3056:AE3056)-(COLUMN(AC3056)-2))))-1),"")</f>
        <v>ARCHIVED</v>
      </c>
      <c r="M3056" s="13" t="n">
        <f aca="true">K3056-TODAY()</f>
        <v>-208</v>
      </c>
      <c r="N3056" s="18" t="s">
        <v>728</v>
      </c>
      <c r="O3056" s="13" t="s">
        <v>12768</v>
      </c>
      <c r="P3056" s="27" t="n">
        <v>4961753</v>
      </c>
      <c r="Q3056" s="47" t="s">
        <v>12772</v>
      </c>
      <c r="R3056" s="13" t="s">
        <v>39</v>
      </c>
      <c r="S3056" s="16" t="n">
        <v>35514</v>
      </c>
      <c r="T3056" s="28" t="s">
        <v>40</v>
      </c>
      <c r="U3056" s="13" t="s">
        <v>12773</v>
      </c>
      <c r="V3056" s="13" t="s">
        <v>42</v>
      </c>
      <c r="W3056" s="13" t="s">
        <v>43</v>
      </c>
      <c r="X3056" s="30" t="n">
        <v>85827722170</v>
      </c>
      <c r="Y3056" s="22" t="str">
        <f aca="false">O3056</f>
        <v>Helper Engineering</v>
      </c>
      <c r="Z3056" s="13" t="str">
        <f aca="false">IFERROR(__xludf.dummyfunction("if(BJ3056="""","""",GOOGLETRANSLATE(BJ3056,""auto"",""en""))"),"Helper Engineering")</f>
        <v>Helper Engineering</v>
      </c>
      <c r="AA3056" s="23" t="str">
        <f aca="false">IF(C3056="","", CHOOSE(MONTH(C3056),"January","February","March","April","May","June","July","August","September","October","November","December")&amp;" "&amp;DAY(C3056)&amp;MID("thstndrdth",MIN(9,2*RIGHT(DAY(C3056))*(MOD(DAY(C3056)-11,100)&gt;2)+1),2)&amp;","&amp;TEXT(C3056," yyyy"))</f>
        <v>January 5th,2026</v>
      </c>
      <c r="AB3056" s="15" t="str">
        <f aca="true">IF(S3056="","",DATEDIF(S3056,TODAY(),"Y")&amp;" Tahun, "&amp;DATEDIF(S3056,TODAY(),"YM")&amp;" Bulan, "&amp;DATEDIF(S3056,TODAY(),"MD")&amp;" Hari")</f>
        <v>29 Tahun, 7 Bulan, 4 Hari</v>
      </c>
      <c r="AC3056" s="18" t="n">
        <v>46027</v>
      </c>
      <c r="AD3056" s="18" t="n">
        <f aca="false">EDATE(AC3056,3)-1</f>
        <v>46116</v>
      </c>
      <c r="AE3056" s="13" t="s">
        <v>44</v>
      </c>
    </row>
    <row r="3057" customFormat="false" ht="15" hidden="false" customHeight="true" outlineLevel="0" collapsed="false">
      <c r="A3057" s="12" t="n">
        <v>21616</v>
      </c>
      <c r="B3057" s="13" t="s">
        <v>12774</v>
      </c>
      <c r="C3057" s="16" t="n">
        <v>46017</v>
      </c>
      <c r="D3057" s="13" t="s">
        <v>12775</v>
      </c>
      <c r="E3057" s="15" t="s">
        <v>47</v>
      </c>
      <c r="F3057" s="24" t="s">
        <v>12776</v>
      </c>
      <c r="G3057" s="28" t="s">
        <v>57</v>
      </c>
      <c r="H3057" s="13" t="s">
        <v>35</v>
      </c>
      <c r="I3057" s="13" t="str">
        <f aca="false">IF(C3057=J3057,"NEW KONTRAK","RE-KONTRAK")</f>
        <v>NEW KONTRAK</v>
      </c>
      <c r="J3057" s="16" t="n">
        <f aca="false" t="array" ref="J3057:J3057">IFERROR(INDEX(AC3057:AE3057,IF(COUNTA(AC3057:AE3057)=0,"",MAX((AC3057:AE3057&lt;&gt;"")*(COLUMN(AC3057:AE3057)-(COLUMN(AC3057)))))-1),"")</f>
        <v>46017</v>
      </c>
      <c r="K3057" s="16" t="n">
        <f aca="false" t="array" ref="K3057:K3057">IFERROR(INDEX(AC3057:AE3057,IF(COUNTA(AC3057:AE3057)=0,"",MAX((AC3057:AE3057&lt;&gt;"")*(COLUMN(AC3057:AE3057)-(COLUMN(AC3057)-1))))-1),"")</f>
        <v>46106</v>
      </c>
      <c r="L3057" s="17" t="str">
        <f aca="false" t="array" ref="L3057:L3057">IFERROR(INDEX(AC3057:AE3057,IF(COUNTA(AC3057:AE3057)=0,"",MAX((AC3057:AE3057&lt;&gt;"")*(COLUMN(AC3057:AE3057)-(COLUMN(AC3057)-2))))-1),"")</f>
        <v>KEMBALI</v>
      </c>
      <c r="M3057" s="13" t="n">
        <f aca="true">K3057-TODAY()</f>
        <v>-218</v>
      </c>
      <c r="N3057" s="28" t="s">
        <v>728</v>
      </c>
      <c r="O3057" s="13" t="s">
        <v>12777</v>
      </c>
      <c r="P3057" s="27" t="n">
        <v>5288796</v>
      </c>
      <c r="Q3057" s="47" t="s">
        <v>12778</v>
      </c>
      <c r="R3057" s="13" t="s">
        <v>1611</v>
      </c>
      <c r="S3057" s="16" t="n">
        <v>37268</v>
      </c>
      <c r="T3057" s="28" t="s">
        <v>40</v>
      </c>
      <c r="U3057" s="13" t="s">
        <v>12779</v>
      </c>
      <c r="V3057" s="13" t="s">
        <v>42</v>
      </c>
      <c r="W3057" s="13" t="s">
        <v>43</v>
      </c>
      <c r="X3057" s="21" t="n">
        <v>895330023752</v>
      </c>
      <c r="Y3057" s="22" t="str">
        <f aca="false">O3057</f>
        <v>Admin Warehouse</v>
      </c>
      <c r="Z3057" s="13" t="str">
        <f aca="false">IFERROR(__xludf.dummyfunction("if(BJ3057="""","""",GOOGLETRANSLATE(BJ3057,""auto"",""en""))"),"Admin Warehouse")</f>
        <v>Admin Warehouse</v>
      </c>
      <c r="AA3057" s="23" t="str">
        <f aca="false">IF(C3057="","", CHOOSE(MONTH(C3057),"January","February","March","April","May","June","July","August","September","October","November","December")&amp;" "&amp;DAY(C3057)&amp;MID("thstndrdth",MIN(9,2*RIGHT(DAY(C3057))*(MOD(DAY(C3057)-11,100)&gt;2)+1),2)&amp;","&amp;TEXT(C3057," yyyy"))</f>
        <v>December 26th,2025</v>
      </c>
      <c r="AB3057" s="15" t="str">
        <f aca="true">IF(S3057="","",DATEDIF(S3057,TODAY(),"Y")&amp;" Tahun, "&amp;DATEDIF(S3057,TODAY(),"YM")&amp;" Bulan, "&amp;DATEDIF(S3057,TODAY(),"MD")&amp;" Hari")</f>
        <v>24 Tahun, 9 Bulan, 17 Hari</v>
      </c>
      <c r="AC3057" s="18" t="n">
        <v>46017</v>
      </c>
      <c r="AD3057" s="18" t="n">
        <f aca="false">EDATE(AC3057,3)-1</f>
        <v>46106</v>
      </c>
      <c r="AE3057" s="13" t="s">
        <v>397</v>
      </c>
    </row>
    <row r="3058" customFormat="false" ht="15" hidden="false" customHeight="true" outlineLevel="0" collapsed="false">
      <c r="A3058" s="12" t="n">
        <v>21617</v>
      </c>
      <c r="B3058" s="13" t="s">
        <v>12780</v>
      </c>
      <c r="C3058" s="16" t="n">
        <v>46020</v>
      </c>
      <c r="D3058" s="13" t="s">
        <v>1338</v>
      </c>
      <c r="E3058" s="15" t="s">
        <v>102</v>
      </c>
      <c r="F3058" s="24" t="s">
        <v>12781</v>
      </c>
      <c r="G3058" s="13" t="s">
        <v>57</v>
      </c>
      <c r="H3058" s="13" t="s">
        <v>35</v>
      </c>
      <c r="I3058" s="13" t="str">
        <f aca="false">IF(C3058=J3058,"NEW KONTRAK","RE-KONTRAK")</f>
        <v>NEW KONTRAK</v>
      </c>
      <c r="J3058" s="16" t="n">
        <f aca="false" t="array" ref="J3058:J3058">IFERROR(INDEX(AC3058:AE3058,IF(COUNTA(AC3058:AE3058)=0,"",MAX((AC3058:AE3058&lt;&gt;"")*(COLUMN(AC3058:AE3058)-(COLUMN(AC3058)))))-1),"")</f>
        <v>46020</v>
      </c>
      <c r="K3058" s="16" t="n">
        <f aca="false" t="array" ref="K3058:K3058">IFERROR(INDEX(AC3058:AE3058,IF(COUNTA(AC3058:AE3058)=0,"",MAX((AC3058:AE3058&lt;&gt;"")*(COLUMN(AC3058:AE3058)-(COLUMN(AC3058)-1))))-1),"")</f>
        <v>46109</v>
      </c>
      <c r="L3058" s="17" t="str">
        <f aca="false" t="array" ref="L3058:L3058">IFERROR(INDEX(AC3058:AE3058,IF(COUNTA(AC3058:AE3058)=0,"",MAX((AC3058:AE3058&lt;&gt;"")*(COLUMN(AC3058:AE3058)-(COLUMN(AC3058)-2))))-1),"")</f>
        <v>ARCHIVED</v>
      </c>
      <c r="M3058" s="13" t="n">
        <f aca="true">K3058-TODAY()</f>
        <v>-215</v>
      </c>
      <c r="N3058" s="18" t="s">
        <v>615</v>
      </c>
      <c r="O3058" s="13" t="s">
        <v>2335</v>
      </c>
      <c r="P3058" s="19" t="n">
        <v>4856026</v>
      </c>
      <c r="Q3058" s="47" t="s">
        <v>12782</v>
      </c>
      <c r="R3058" s="13" t="s">
        <v>232</v>
      </c>
      <c r="S3058" s="16" t="n">
        <v>32469</v>
      </c>
      <c r="T3058" s="28" t="s">
        <v>40</v>
      </c>
      <c r="U3058" s="13" t="s">
        <v>12783</v>
      </c>
      <c r="V3058" s="13" t="s">
        <v>42</v>
      </c>
      <c r="W3058" s="13" t="s">
        <v>54</v>
      </c>
      <c r="X3058" s="30" t="n">
        <v>85730305486</v>
      </c>
      <c r="Y3058" s="22" t="str">
        <f aca="false">O3058</f>
        <v>Project Management</v>
      </c>
      <c r="Z3058" s="13" t="str">
        <f aca="false">IFERROR(__xludf.dummyfunction("if(BJ3058="""","""",GOOGLETRANSLATE(BJ3058,""auto"",""en""))"),"Project Management")</f>
        <v>Project Management</v>
      </c>
      <c r="AA3058" s="23" t="str">
        <f aca="false">IF(C3058="","", CHOOSE(MONTH(C3058),"January","February","March","April","May","June","July","August","September","October","November","December")&amp;" "&amp;DAY(C3058)&amp;MID("thstndrdth",MIN(9,2*RIGHT(DAY(C3058))*(MOD(DAY(C3058)-11,100)&gt;2)+1),2)&amp;","&amp;TEXT(C3058," yyyy"))</f>
        <v>December 29th,2025</v>
      </c>
      <c r="AB3058" s="15" t="str">
        <f aca="true">IF(S3058="","",DATEDIF(S3058,TODAY(),"Y")&amp;" Tahun, "&amp;DATEDIF(S3058,TODAY(),"YM")&amp;" Bulan, "&amp;DATEDIF(S3058,TODAY(),"MD")&amp;" Hari")</f>
        <v>37 Tahun, 11 Bulan, 7 Hari</v>
      </c>
      <c r="AC3058" s="18" t="n">
        <v>46020</v>
      </c>
      <c r="AD3058" s="18" t="n">
        <v>46109</v>
      </c>
      <c r="AE3058" s="18" t="s">
        <v>44</v>
      </c>
    </row>
    <row r="3059" customFormat="false" ht="15" hidden="false" customHeight="true" outlineLevel="0" collapsed="false">
      <c r="A3059" s="12" t="n">
        <v>21618</v>
      </c>
      <c r="B3059" s="13" t="s">
        <v>12784</v>
      </c>
      <c r="C3059" s="16" t="n">
        <v>46020</v>
      </c>
      <c r="D3059" s="13" t="s">
        <v>1338</v>
      </c>
      <c r="E3059" s="15" t="s">
        <v>47</v>
      </c>
      <c r="F3059" s="15" t="str">
        <f aca="false">IFERROR(__xludf.dummyfunction("XLOOKUP(AJ3059,IMPORTRANGE(""1XaInW9DU9nz21V0tYIfzFQ0He9kVQ_JF2mCXgZ3hqFA"",""REKAP ALL 2026 - Andika!G:G""),IMPORTRANGE(""1XaInW9DU9nz21V0tYIfzFQ0He9kVQ_JF2mCXgZ3hqFA"",""REKAP ALL 2026 - Andika!F:F""),"""",0)"),"26005753574")</f>
        <v>26005753574</v>
      </c>
      <c r="G3059" s="13" t="s">
        <v>57</v>
      </c>
      <c r="H3059" s="13" t="s">
        <v>3024</v>
      </c>
      <c r="I3059" s="13" t="str">
        <f aca="false">IF(C3059=J3059,"NEW KONTRAK","RE-KONTRAK")</f>
        <v>NEW KONTRAK</v>
      </c>
      <c r="J3059" s="16" t="n">
        <f aca="false" t="array" ref="J3059:J3059">IFERROR(INDEX(AC3059:AE3059,IF(COUNTA(AC3059:AE3059)=0,"",MAX((AC3059:AE3059&lt;&gt;"")*(COLUMN(AC3059:AE3059)-(COLUMN(AC3059)))))-1),"")</f>
        <v>46020</v>
      </c>
      <c r="K3059" s="16" t="n">
        <f aca="false" t="array" ref="K3059:K3059">IFERROR(INDEX(AC3059:AE3059,IF(COUNTA(AC3059:AE3059)=0,"",MAX((AC3059:AE3059&lt;&gt;"")*(COLUMN(AC3059:AE3059)-(COLUMN(AC3059)-1))))-1),"")</f>
        <v>46109</v>
      </c>
      <c r="L3059" s="17" t="str">
        <f aca="false" t="array" ref="L3059:L3059">IFERROR(INDEX(AC3059:AE3059,IF(COUNTA(AC3059:AE3059)=0,"",MAX((AC3059:AE3059&lt;&gt;"")*(COLUMN(AC3059:AE3059)-(COLUMN(AC3059)-2))))-1),"")</f>
        <v>KEMBALI</v>
      </c>
      <c r="M3059" s="13" t="n">
        <f aca="true">K3059-TODAY()</f>
        <v>-215</v>
      </c>
      <c r="N3059" s="18" t="s">
        <v>615</v>
      </c>
      <c r="O3059" s="13" t="s">
        <v>2335</v>
      </c>
      <c r="P3059" s="19" t="n">
        <v>160000</v>
      </c>
      <c r="Q3059" s="47" t="s">
        <v>12785</v>
      </c>
      <c r="R3059" s="13" t="s">
        <v>39</v>
      </c>
      <c r="S3059" s="16" t="n">
        <v>33338</v>
      </c>
      <c r="T3059" s="28" t="s">
        <v>40</v>
      </c>
      <c r="U3059" s="13" t="s">
        <v>12786</v>
      </c>
      <c r="V3059" s="13" t="s">
        <v>42</v>
      </c>
      <c r="W3059" s="13" t="s">
        <v>54</v>
      </c>
      <c r="X3059" s="30" t="n">
        <v>83140345054</v>
      </c>
      <c r="Y3059" s="22" t="str">
        <f aca="false">O3059</f>
        <v>Project Management</v>
      </c>
      <c r="Z3059" s="13" t="str">
        <f aca="false">IFERROR(__xludf.dummyfunction("if(BJ3059="""","""",GOOGLETRANSLATE(BJ3059,""auto"",""en""))"),"Project Management")</f>
        <v>Project Management</v>
      </c>
      <c r="AA3059" s="23" t="str">
        <f aca="false">IF(C3059="","", CHOOSE(MONTH(C3059),"January","February","March","April","May","June","July","August","September","October","November","December")&amp;" "&amp;DAY(C3059)&amp;MID("thstndrdth",MIN(9,2*RIGHT(DAY(C3059))*(MOD(DAY(C3059)-11,100)&gt;2)+1),2)&amp;","&amp;TEXT(C3059," yyyy"))</f>
        <v>December 29th,2025</v>
      </c>
      <c r="AB3059" s="15" t="str">
        <f aca="true">IF(S3059="","",DATEDIF(S3059,TODAY(),"Y")&amp;" Tahun, "&amp;DATEDIF(S3059,TODAY(),"YM")&amp;" Bulan, "&amp;DATEDIF(S3059,TODAY(),"MD")&amp;" Hari")</f>
        <v>35 Tahun, 6 Bulan, 19 Hari</v>
      </c>
      <c r="AC3059" s="18" t="n">
        <v>46020</v>
      </c>
      <c r="AD3059" s="18" t="n">
        <v>46109</v>
      </c>
      <c r="AE3059" s="13" t="s">
        <v>397</v>
      </c>
    </row>
    <row r="3060" customFormat="false" ht="15" hidden="false" customHeight="true" outlineLevel="0" collapsed="false">
      <c r="A3060" s="12" t="n">
        <v>21619</v>
      </c>
      <c r="B3060" s="13" t="s">
        <v>12787</v>
      </c>
      <c r="C3060" s="16" t="n">
        <v>46020</v>
      </c>
      <c r="D3060" s="13" t="s">
        <v>1338</v>
      </c>
      <c r="E3060" s="15" t="s">
        <v>102</v>
      </c>
      <c r="F3060" s="24" t="s">
        <v>12788</v>
      </c>
      <c r="G3060" s="13" t="s">
        <v>57</v>
      </c>
      <c r="H3060" s="13" t="s">
        <v>3024</v>
      </c>
      <c r="I3060" s="13" t="str">
        <f aca="false">IF(C3060=J3060,"NEW KONTRAK","RE-KONTRAK")</f>
        <v>NEW KONTRAK</v>
      </c>
      <c r="J3060" s="16" t="n">
        <f aca="false" t="array" ref="J3060:J3060">IFERROR(INDEX(AC3060:AE3060,IF(COUNTA(AC3060:AE3060)=0,"",MAX((AC3060:AE3060&lt;&gt;"")*(COLUMN(AC3060:AE3060)-(COLUMN(AC3060)))))-1),"")</f>
        <v>46020</v>
      </c>
      <c r="K3060" s="16" t="n">
        <f aca="false" t="array" ref="K3060:K3060">IFERROR(INDEX(AC3060:AE3060,IF(COUNTA(AC3060:AE3060)=0,"",MAX((AC3060:AE3060&lt;&gt;"")*(COLUMN(AC3060:AE3060)-(COLUMN(AC3060)-1))))-1),"")</f>
        <v>46109</v>
      </c>
      <c r="L3060" s="17" t="str">
        <f aca="false" t="array" ref="L3060:L3060">IFERROR(INDEX(AC3060:AE3060,IF(COUNTA(AC3060:AE3060)=0,"",MAX((AC3060:AE3060&lt;&gt;"")*(COLUMN(AC3060:AE3060)-(COLUMN(AC3060)-2))))-1),"")</f>
        <v>ARCHIVED</v>
      </c>
      <c r="M3060" s="13" t="n">
        <f aca="true">K3060-TODAY()</f>
        <v>-215</v>
      </c>
      <c r="N3060" s="18" t="s">
        <v>615</v>
      </c>
      <c r="O3060" s="13" t="s">
        <v>2335</v>
      </c>
      <c r="P3060" s="19" t="n">
        <v>160000</v>
      </c>
      <c r="Q3060" s="47" t="s">
        <v>12789</v>
      </c>
      <c r="R3060" s="13" t="s">
        <v>232</v>
      </c>
      <c r="S3060" s="16" t="n">
        <v>30500</v>
      </c>
      <c r="T3060" s="28" t="s">
        <v>40</v>
      </c>
      <c r="U3060" s="13" t="s">
        <v>12790</v>
      </c>
      <c r="V3060" s="13" t="s">
        <v>42</v>
      </c>
      <c r="W3060" s="13" t="s">
        <v>54</v>
      </c>
      <c r="X3060" s="30" t="n">
        <v>82156676527</v>
      </c>
      <c r="Y3060" s="22" t="str">
        <f aca="false">O3060</f>
        <v>Project Management</v>
      </c>
      <c r="Z3060" s="13" t="str">
        <f aca="false">IFERROR(__xludf.dummyfunction("if(BJ3060="""","""",GOOGLETRANSLATE(BJ3060,""auto"",""en""))"),"Project Management")</f>
        <v>Project Management</v>
      </c>
      <c r="AA3060" s="23" t="str">
        <f aca="false">IF(C3060="","", CHOOSE(MONTH(C3060),"January","February","March","April","May","June","July","August","September","October","November","December")&amp;" "&amp;DAY(C3060)&amp;MID("thstndrdth",MIN(9,2*RIGHT(DAY(C3060))*(MOD(DAY(C3060)-11,100)&gt;2)+1),2)&amp;","&amp;TEXT(C3060," yyyy"))</f>
        <v>December 29th,2025</v>
      </c>
      <c r="AB3060" s="15" t="str">
        <f aca="true">IF(S3060="","",DATEDIF(S3060,TODAY(),"Y")&amp;" Tahun, "&amp;DATEDIF(S3060,TODAY(),"YM")&amp;" Bulan, "&amp;DATEDIF(S3060,TODAY(),"MD")&amp;" Hari")</f>
        <v>43 Tahun, 3 Bulan, 26 Hari</v>
      </c>
      <c r="AC3060" s="18" t="n">
        <v>46020</v>
      </c>
      <c r="AD3060" s="18" t="n">
        <v>46109</v>
      </c>
      <c r="AE3060" s="18" t="s">
        <v>44</v>
      </c>
    </row>
    <row r="3061" customFormat="false" ht="15" hidden="false" customHeight="true" outlineLevel="0" collapsed="false">
      <c r="A3061" s="12" t="n">
        <v>21620</v>
      </c>
      <c r="B3061" s="13" t="s">
        <v>12791</v>
      </c>
      <c r="C3061" s="16" t="n">
        <v>46007</v>
      </c>
      <c r="D3061" s="13" t="s">
        <v>2033</v>
      </c>
      <c r="E3061" s="15" t="s">
        <v>102</v>
      </c>
      <c r="F3061" s="15" t="str">
        <f aca="false">IFERROR(__xludf.dummyfunction("XLOOKUP(AJ3061,IMPORTRANGE(""1XaInW9DU9nz21V0tYIfzFQ0He9kVQ_JF2mCXgZ3hqFA"",""REKAP ALL 2026 - Andika!G:G""),IMPORTRANGE(""1XaInW9DU9nz21V0tYIfzFQ0He9kVQ_JF2mCXgZ3hqFA"",""REKAP ALL 2026 - Andika!F:F""),"""",0)"),"26005755744")</f>
        <v>26005755744</v>
      </c>
      <c r="G3061" s="13" t="s">
        <v>1127</v>
      </c>
      <c r="H3061" s="13" t="s">
        <v>35</v>
      </c>
      <c r="I3061" s="13" t="str">
        <f aca="false">IF(C3061=J3061,"NEW KONTRAK","RE-KONTRAK")</f>
        <v>NEW KONTRAK</v>
      </c>
      <c r="J3061" s="16" t="n">
        <f aca="false" t="array" ref="J3061:J3061">IFERROR(INDEX(AC3061:AE3061,IF(COUNTA(AC3061:AE3061)=0,"",MAX((AC3061:AE3061&lt;&gt;"")*(COLUMN(AC3061:AE3061)-(COLUMN(AC3061)))))-1),"")</f>
        <v>46007</v>
      </c>
      <c r="K3061" s="16" t="n">
        <f aca="false" t="array" ref="K3061:K3061">IFERROR(INDEX(AC3061:AE3061,IF(COUNTA(AC3061:AE3061)=0,"",MAX((AC3061:AE3061&lt;&gt;"")*(COLUMN(AC3061:AE3061)-(COLUMN(AC3061)-1))))-1),"")</f>
        <v>46037</v>
      </c>
      <c r="L3061" s="17" t="str">
        <f aca="false" t="array" ref="L3061:L3061">IFERROR(INDEX(AC3061:AE3061,IF(COUNTA(AC3061:AE3061)=0,"",MAX((AC3061:AE3061&lt;&gt;"")*(COLUMN(AC3061:AE3061)-(COLUMN(AC3061)-2))))-1),"")</f>
        <v>ARCHIVED</v>
      </c>
      <c r="M3061" s="13" t="n">
        <f aca="true">K3061-TODAY()</f>
        <v>-287</v>
      </c>
      <c r="N3061" s="18" t="s">
        <v>3902</v>
      </c>
      <c r="O3061" s="13" t="s">
        <v>2037</v>
      </c>
      <c r="P3061" s="19" t="n">
        <v>3305367</v>
      </c>
      <c r="Q3061" s="47" t="s">
        <v>12792</v>
      </c>
      <c r="R3061" s="13" t="s">
        <v>12793</v>
      </c>
      <c r="S3061" s="16" t="n">
        <v>38236</v>
      </c>
      <c r="T3061" s="13" t="s">
        <v>108</v>
      </c>
      <c r="U3061" s="13" t="s">
        <v>12794</v>
      </c>
      <c r="V3061" s="13" t="s">
        <v>42</v>
      </c>
      <c r="W3061" s="13" t="s">
        <v>43</v>
      </c>
      <c r="X3061" s="21" t="n">
        <v>85669603149</v>
      </c>
      <c r="Y3061" s="22" t="str">
        <f aca="false">O3061</f>
        <v>SPG/BA</v>
      </c>
      <c r="Z3061" s="13" t="str">
        <f aca="false">IFERROR(__xludf.dummyfunction("if(BJ3061="""","""",GOOGLETRANSLATE(BJ3061,""auto"",""en""))"),"SPG/BA")</f>
        <v>SPG/BA</v>
      </c>
      <c r="AA3061" s="23" t="str">
        <f aca="false">IF(C3061="","", CHOOSE(MONTH(C3061),"January","February","March","April","May","June","July","August","September","October","November","December")&amp;" "&amp;DAY(C3061)&amp;MID("thstndrdth",MIN(9,2*RIGHT(DAY(C3061))*(MOD(DAY(C3061)-11,100)&gt;2)+1),2)&amp;","&amp;TEXT(C3061," yyyy"))</f>
        <v>December 16th,2025</v>
      </c>
      <c r="AB3061" s="15" t="str">
        <f aca="true">IF(S3061="","",DATEDIF(S3061,TODAY(),"Y")&amp;" Tahun, "&amp;DATEDIF(S3061,TODAY(),"YM")&amp;" Bulan, "&amp;DATEDIF(S3061,TODAY(),"MD")&amp;" Hari")</f>
        <v>22 Tahun, 1 Bulan, 23 Hari</v>
      </c>
      <c r="AC3061" s="18" t="n">
        <v>46007</v>
      </c>
      <c r="AD3061" s="18" t="n">
        <v>46037</v>
      </c>
      <c r="AE3061" s="13" t="s">
        <v>44</v>
      </c>
    </row>
    <row r="3062" customFormat="false" ht="15" hidden="false" customHeight="true" outlineLevel="0" collapsed="false">
      <c r="A3062" s="12" t="n">
        <v>21621</v>
      </c>
      <c r="B3062" s="13" t="s">
        <v>12795</v>
      </c>
      <c r="C3062" s="16" t="n">
        <v>46049</v>
      </c>
      <c r="D3062" s="13" t="s">
        <v>5892</v>
      </c>
      <c r="E3062" s="15" t="s">
        <v>47</v>
      </c>
      <c r="F3062" s="15" t="str">
        <f aca="false">IFERROR(__xludf.dummyfunction("XLOOKUP(AJ3062,IMPORTRANGE(""1XaInW9DU9nz21V0tYIfzFQ0He9kVQ_JF2mCXgZ3hqFA"",""REKAP ALL 2026 - Andika!G:G""),IMPORTRANGE(""1XaInW9DU9nz21V0tYIfzFQ0He9kVQ_JF2mCXgZ3hqFA"",""REKAP ALL 2026 - Andika!F:F""),"""",0)"),"26005762419")</f>
        <v>26005762419</v>
      </c>
      <c r="G3062" s="13" t="s">
        <v>1127</v>
      </c>
      <c r="H3062" s="13" t="s">
        <v>35</v>
      </c>
      <c r="I3062" s="13" t="str">
        <f aca="false">IF(C3062=J3062,"NEW KONTRAK","RE-KONTRAK")</f>
        <v>NEW KONTRAK</v>
      </c>
      <c r="J3062" s="16" t="n">
        <f aca="false" t="array" ref="J3062:J3062">IFERROR(INDEX(AC3062:AE3062,IF(COUNTA(AC3062:AE3062)=0,"",MAX((AC3062:AE3062&lt;&gt;"")*(COLUMN(AC3062:AE3062)-(COLUMN(AC3062)))))-1),"")</f>
        <v>46049</v>
      </c>
      <c r="K3062" s="16" t="n">
        <f aca="false" t="array" ref="K3062:K3062">IFERROR(INDEX(AC3062:AE3062,IF(COUNTA(AC3062:AE3062)=0,"",MAX((AC3062:AE3062&lt;&gt;"")*(COLUMN(AC3062:AE3062)-(COLUMN(AC3062)-1))))-1),"")</f>
        <v>46138</v>
      </c>
      <c r="L3062" s="17" t="str">
        <f aca="false" t="array" ref="L3062:L3062">IFERROR(INDEX(AC3062:AE3062,IF(COUNTA(AC3062:AE3062)=0,"",MAX((AC3062:AE3062&lt;&gt;"")*(COLUMN(AC3062:AE3062)-(COLUMN(AC3062)-2))))-1),"")</f>
        <v>ARCHIVED</v>
      </c>
      <c r="M3062" s="13" t="n">
        <f aca="true">K3062-TODAY()</f>
        <v>-186</v>
      </c>
      <c r="N3062" s="18" t="s">
        <v>105</v>
      </c>
      <c r="O3062" s="13" t="s">
        <v>12587</v>
      </c>
      <c r="P3062" s="19" t="n">
        <v>4870511</v>
      </c>
      <c r="Q3062" s="47" t="s">
        <v>12796</v>
      </c>
      <c r="R3062" s="13" t="s">
        <v>39</v>
      </c>
      <c r="S3062" s="16" t="n">
        <v>36042</v>
      </c>
      <c r="T3062" s="13" t="s">
        <v>40</v>
      </c>
      <c r="U3062" s="17" t="s">
        <v>12797</v>
      </c>
      <c r="V3062" s="13" t="s">
        <v>42</v>
      </c>
      <c r="W3062" s="13" t="s">
        <v>43</v>
      </c>
      <c r="X3062" s="21" t="n">
        <v>85646433744</v>
      </c>
      <c r="Y3062" s="22" t="str">
        <f aca="false">O3062</f>
        <v>Staff Recruitment</v>
      </c>
      <c r="Z3062" s="13" t="str">
        <f aca="false">IFERROR(__xludf.dummyfunction("if(BJ3062="""","""",GOOGLETRANSLATE(BJ3062,""auto"",""en""))"),"Staff Recruitment")</f>
        <v>Staff Recruitment</v>
      </c>
      <c r="AA3062" s="23" t="str">
        <f aca="false">IF(C3062="","", CHOOSE(MONTH(C3062),"January","February","March","April","May","June","July","August","September","October","November","December")&amp;" "&amp;DAY(C3062)&amp;MID("thstndrdth",MIN(9,2*RIGHT(DAY(C3062))*(MOD(DAY(C3062)-11,100)&gt;2)+1),2)&amp;","&amp;TEXT(C3062," yyyy"))</f>
        <v>January 27th,2026</v>
      </c>
      <c r="AB3062" s="15" t="str">
        <f aca="true">IF(S3062="","",DATEDIF(S3062,TODAY(),"Y")&amp;" Tahun, "&amp;DATEDIF(S3062,TODAY(),"YM")&amp;" Bulan, "&amp;DATEDIF(S3062,TODAY(),"MD")&amp;" Hari")</f>
        <v>28 Tahun, 1 Bulan, 25 Hari</v>
      </c>
      <c r="AC3062" s="18" t="n">
        <v>46049</v>
      </c>
      <c r="AD3062" s="18" t="n">
        <f aca="false">EDATE(AC3062,3)-1</f>
        <v>46138</v>
      </c>
      <c r="AE3062" s="13" t="s">
        <v>44</v>
      </c>
    </row>
    <row r="3063" customFormat="false" ht="15" hidden="false" customHeight="true" outlineLevel="0" collapsed="false">
      <c r="A3063" s="12" t="n">
        <v>21622</v>
      </c>
      <c r="B3063" s="13" t="s">
        <v>12798</v>
      </c>
      <c r="C3063" s="16" t="n">
        <v>45659</v>
      </c>
      <c r="D3063" s="13" t="s">
        <v>6487</v>
      </c>
      <c r="E3063" s="15" t="s">
        <v>47</v>
      </c>
      <c r="F3063" s="15" t="str">
        <f aca="false">IFERROR(__xludf.dummyfunction("XLOOKUP(AJ3063,IMPORTRANGE(""1XaInW9DU9nz21V0tYIfzFQ0He9kVQ_JF2mCXgZ3hqFA"",""REKAP ALL 2026 - Andika!G:G""),IMPORTRANGE(""1XaInW9DU9nz21V0tYIfzFQ0He9kVQ_JF2mCXgZ3hqFA"",""REKAP ALL 2026 - Andika!F:F""),"""",0)"),"26005762336")</f>
        <v>26005762336</v>
      </c>
      <c r="G3063" s="28" t="s">
        <v>57</v>
      </c>
      <c r="H3063" s="13" t="s">
        <v>35</v>
      </c>
      <c r="I3063" s="13" t="str">
        <f aca="false">IF(C3063=J3063,"NEW KONTRAK","RE-KONTRAK")</f>
        <v>NEW KONTRAK</v>
      </c>
      <c r="J3063" s="16" t="n">
        <f aca="false" t="array" ref="J3063:J3063">IFERROR(INDEX(AC3063:AE3063,IF(COUNTA(AC3063:AE3063)=0,"",MAX((AC3063:AE3063&lt;&gt;"")*(COLUMN(AC3063:AE3063)-(COLUMN(AC3063)))))-1),"")</f>
        <v>45659</v>
      </c>
      <c r="K3063" s="16" t="n">
        <f aca="false" t="array" ref="K3063:K3063">IFERROR(INDEX(AC3063:AE3063,IF(COUNTA(AC3063:AE3063)=0,"",MAX((AC3063:AE3063&lt;&gt;"")*(COLUMN(AC3063:AE3063)-(COLUMN(AC3063)-1))))-1),"")</f>
        <v>46022</v>
      </c>
      <c r="L3063" s="17" t="str">
        <f aca="false" t="array" ref="L3063:L3063">IFERROR(INDEX(AC3063:AE3063,IF(COUNTA(AC3063:AE3063)=0,"",MAX((AC3063:AE3063&lt;&gt;"")*(COLUMN(AC3063:AE3063)-(COLUMN(AC3063)-2))))-1),"")</f>
        <v>ARCHIVED</v>
      </c>
      <c r="M3063" s="13" t="n">
        <f aca="true">K3063-TODAY()</f>
        <v>-302</v>
      </c>
      <c r="N3063" s="18" t="s">
        <v>4735</v>
      </c>
      <c r="O3063" s="13" t="s">
        <v>12799</v>
      </c>
      <c r="P3063" s="19" t="n">
        <v>3802862</v>
      </c>
      <c r="Q3063" s="20" t="s">
        <v>12800</v>
      </c>
      <c r="R3063" s="13" t="s">
        <v>83</v>
      </c>
      <c r="S3063" s="16" t="n">
        <v>33395</v>
      </c>
      <c r="T3063" s="13" t="s">
        <v>40</v>
      </c>
      <c r="U3063" s="13" t="s">
        <v>12801</v>
      </c>
      <c r="V3063" s="13" t="s">
        <v>42</v>
      </c>
      <c r="W3063" s="13" t="s">
        <v>43</v>
      </c>
      <c r="X3063" s="21" t="n">
        <v>81382777335</v>
      </c>
      <c r="Y3063" s="22" t="str">
        <f aca="false">O3063</f>
        <v>Helper Ekspedisi</v>
      </c>
      <c r="Z3063" s="13" t="str">
        <f aca="false">IFERROR(__xludf.dummyfunction("if(BJ3063="""","""",GOOGLETRANSLATE(BJ3063,""auto"",""en""))"),"Expedition Helper")</f>
        <v>Expedition Helper</v>
      </c>
      <c r="AA3063" s="23" t="str">
        <f aca="false">IF(C3063="","", CHOOSE(MONTH(C3063),"January","February","March","April","May","June","July","August","September","October","November","December")&amp;" "&amp;DAY(C3063)&amp;MID("thstndrdth",MIN(9,2*RIGHT(DAY(C3063))*(MOD(DAY(C3063)-11,100)&gt;2)+1),2)&amp;","&amp;TEXT(C3063," yyyy"))</f>
        <v>January 2nd,2025</v>
      </c>
      <c r="AB3063" s="15" t="str">
        <f aca="true">IF(S3063="","",DATEDIF(S3063,TODAY(),"Y")&amp;" Tahun, "&amp;DATEDIF(S3063,TODAY(),"YM")&amp;" Bulan, "&amp;DATEDIF(S3063,TODAY(),"MD")&amp;" Hari")</f>
        <v>35 Tahun, 4 Bulan, 23 Hari</v>
      </c>
      <c r="AC3063" s="18" t="n">
        <v>45659</v>
      </c>
      <c r="AD3063" s="18" t="n">
        <v>46022</v>
      </c>
      <c r="AE3063" s="13" t="s">
        <v>44</v>
      </c>
    </row>
    <row r="3064" customFormat="false" ht="15" hidden="false" customHeight="true" outlineLevel="0" collapsed="false">
      <c r="A3064" s="12" t="n">
        <v>21623</v>
      </c>
      <c r="B3064" s="13" t="s">
        <v>12802</v>
      </c>
      <c r="C3064" s="16" t="n">
        <v>45659</v>
      </c>
      <c r="D3064" s="13" t="s">
        <v>6487</v>
      </c>
      <c r="E3064" s="15" t="s">
        <v>12803</v>
      </c>
      <c r="F3064" s="24" t="s">
        <v>12804</v>
      </c>
      <c r="G3064" s="28" t="s">
        <v>57</v>
      </c>
      <c r="H3064" s="13" t="s">
        <v>35</v>
      </c>
      <c r="I3064" s="13" t="str">
        <f aca="false">IF(C3064=J3064,"NEW KONTRAK","RE-KONTRAK")</f>
        <v>NEW KONTRAK</v>
      </c>
      <c r="J3064" s="16" t="n">
        <f aca="false" t="array" ref="J3064:J3064">IFERROR(INDEX(AC3064:AE3064,IF(COUNTA(AC3064:AE3064)=0,"",MAX((AC3064:AE3064&lt;&gt;"")*(COLUMN(AC3064:AE3064)-(COLUMN(AC3064)))))-1),"")</f>
        <v>45659</v>
      </c>
      <c r="K3064" s="16" t="n">
        <f aca="false" t="array" ref="K3064:K3064">IFERROR(INDEX(AC3064:AE3064,IF(COUNTA(AC3064:AE3064)=0,"",MAX((AC3064:AE3064&lt;&gt;"")*(COLUMN(AC3064:AE3064)-(COLUMN(AC3064)-1))))-1),"")</f>
        <v>46022</v>
      </c>
      <c r="L3064" s="17" t="str">
        <f aca="false" t="array" ref="L3064:L3064">IFERROR(INDEX(AC3064:AE3064,IF(COUNTA(AC3064:AE3064)=0,"",MAX((AC3064:AE3064&lt;&gt;"")*(COLUMN(AC3064:AE3064)-(COLUMN(AC3064)-2))))-1),"")</f>
        <v>ARCHIVED</v>
      </c>
      <c r="M3064" s="13" t="n">
        <f aca="true">K3064-TODAY()</f>
        <v>-302</v>
      </c>
      <c r="N3064" s="18" t="s">
        <v>4735</v>
      </c>
      <c r="O3064" s="13" t="s">
        <v>12799</v>
      </c>
      <c r="P3064" s="19" t="n">
        <v>3802862</v>
      </c>
      <c r="Q3064" s="20" t="s">
        <v>12805</v>
      </c>
      <c r="R3064" s="13" t="s">
        <v>83</v>
      </c>
      <c r="S3064" s="16" t="n">
        <v>35958</v>
      </c>
      <c r="T3064" s="13" t="s">
        <v>40</v>
      </c>
      <c r="U3064" s="13" t="s">
        <v>12806</v>
      </c>
      <c r="V3064" s="13" t="s">
        <v>42</v>
      </c>
      <c r="W3064" s="13" t="s">
        <v>43</v>
      </c>
      <c r="X3064" s="104" t="n">
        <v>85895874375</v>
      </c>
      <c r="Y3064" s="22" t="str">
        <f aca="false">O3064</f>
        <v>Helper Ekspedisi</v>
      </c>
      <c r="Z3064" s="13" t="str">
        <f aca="false">IFERROR(__xludf.dummyfunction("if(BJ3064="""","""",GOOGLETRANSLATE(BJ3064,""auto"",""en""))"),"Expedition Helper")</f>
        <v>Expedition Helper</v>
      </c>
      <c r="AA3064" s="23" t="str">
        <f aca="false">IF(C3064="","", CHOOSE(MONTH(C3064),"January","February","March","April","May","June","July","August","September","October","November","December")&amp;" "&amp;DAY(C3064)&amp;MID("thstndrdth",MIN(9,2*RIGHT(DAY(C3064))*(MOD(DAY(C3064)-11,100)&gt;2)+1),2)&amp;","&amp;TEXT(C3064," yyyy"))</f>
        <v>January 2nd,2025</v>
      </c>
      <c r="AB3064" s="15" t="str">
        <f aca="true">IF(S3064="","",DATEDIF(S3064,TODAY(),"Y")&amp;" Tahun, "&amp;DATEDIF(S3064,TODAY(),"YM")&amp;" Bulan, "&amp;DATEDIF(S3064,TODAY(),"MD")&amp;" Hari")</f>
        <v>28 Tahun, 4 Bulan, 17 Hari</v>
      </c>
      <c r="AC3064" s="18" t="n">
        <v>45659</v>
      </c>
      <c r="AD3064" s="18" t="n">
        <v>46022</v>
      </c>
      <c r="AE3064" s="13" t="s">
        <v>44</v>
      </c>
    </row>
    <row r="3065" customFormat="false" ht="15" hidden="false" customHeight="true" outlineLevel="0" collapsed="false">
      <c r="A3065" s="12" t="n">
        <v>21624</v>
      </c>
      <c r="B3065" s="13" t="s">
        <v>12807</v>
      </c>
      <c r="C3065" s="16" t="n">
        <v>46020</v>
      </c>
      <c r="D3065" s="13" t="s">
        <v>3022</v>
      </c>
      <c r="E3065" s="15" t="s">
        <v>47</v>
      </c>
      <c r="F3065" s="15" t="str">
        <f aca="false">IFERROR(__xludf.dummyfunction("XLOOKUP(AJ3065,IMPORTRANGE(""1XaInW9DU9nz21V0tYIfzFQ0He9kVQ_JF2mCXgZ3hqFA"",""REKAP ALL 2026 - Andika!G:G""),IMPORTRANGE(""1XaInW9DU9nz21V0tYIfzFQ0He9kVQ_JF2mCXgZ3hqFA"",""REKAP ALL 2026 - Andika!F:F""),"""",0)"),"26005759993")</f>
        <v>26005759993</v>
      </c>
      <c r="G3065" s="13" t="s">
        <v>57</v>
      </c>
      <c r="H3065" s="13" t="s">
        <v>3024</v>
      </c>
      <c r="I3065" s="13" t="str">
        <f aca="false">IF(C3065=J3065,"NEW KONTRAK","RE-KONTRAK")</f>
        <v>NEW KONTRAK</v>
      </c>
      <c r="J3065" s="16" t="n">
        <f aca="false" t="array" ref="J3065:J3065">IFERROR(INDEX(AC3065:AE3065,IF(COUNTA(AC3065:AE3065)=0,"",MAX((AC3065:AE3065&lt;&gt;"")*(COLUMN(AC3065:AE3065)-(COLUMN(AC3065)))))-1),"")</f>
        <v>46020</v>
      </c>
      <c r="K3065" s="16" t="n">
        <f aca="false" t="array" ref="K3065:K3065">IFERROR(INDEX(AC3065:AE3065,IF(COUNTA(AC3065:AE3065)=0,"",MAX((AC3065:AE3065&lt;&gt;"")*(COLUMN(AC3065:AE3065)-(COLUMN(AC3065)-1))))-1),"")</f>
        <v>46109</v>
      </c>
      <c r="L3065" s="17" t="str">
        <f aca="false" t="array" ref="L3065:L3065">IFERROR(INDEX(AC3065:AE3065,IF(COUNTA(AC3065:AE3065)=0,"",MAX((AC3065:AE3065&lt;&gt;"")*(COLUMN(AC3065:AE3065)-(COLUMN(AC3065)-2))))-1),"")</f>
        <v>ARCHIVED</v>
      </c>
      <c r="M3065" s="13" t="n">
        <f aca="true">K3065-TODAY()</f>
        <v>-215</v>
      </c>
      <c r="N3065" s="18" t="s">
        <v>36</v>
      </c>
      <c r="O3065" s="13" t="s">
        <v>58</v>
      </c>
      <c r="P3065" s="19" t="n">
        <v>112500</v>
      </c>
      <c r="Q3065" s="47" t="s">
        <v>12808</v>
      </c>
      <c r="R3065" s="13" t="s">
        <v>52</v>
      </c>
      <c r="S3065" s="16" t="n">
        <v>38284</v>
      </c>
      <c r="T3065" s="13" t="s">
        <v>40</v>
      </c>
      <c r="U3065" s="13" t="s">
        <v>12809</v>
      </c>
      <c r="V3065" s="13" t="s">
        <v>42</v>
      </c>
      <c r="W3065" s="13" t="s">
        <v>43</v>
      </c>
      <c r="X3065" s="21" t="n">
        <v>895366448572</v>
      </c>
      <c r="Y3065" s="22" t="str">
        <f aca="false">O3065</f>
        <v>Produksi</v>
      </c>
      <c r="Z3065" s="13" t="str">
        <f aca="false">IFERROR(__xludf.dummyfunction("if(BJ3065="""","""",GOOGLETRANSLATE(BJ3065,""auto"",""en""))"),"Production")</f>
        <v>Production</v>
      </c>
      <c r="AA3065" s="23" t="str">
        <f aca="false">IF(C3065="","", CHOOSE(MONTH(C3065),"January","February","March","April","May","June","July","August","September","October","November","December")&amp;" "&amp;DAY(C3065)&amp;MID("thstndrdth",MIN(9,2*RIGHT(DAY(C3065))*(MOD(DAY(C3065)-11,100)&gt;2)+1),2)&amp;","&amp;TEXT(C3065," yyyy"))</f>
        <v>December 29th,2025</v>
      </c>
      <c r="AB3065" s="15" t="str">
        <f aca="true">IF(S3065="","",DATEDIF(S3065,TODAY(),"Y")&amp;" Tahun, "&amp;DATEDIF(S3065,TODAY(),"YM")&amp;" Bulan, "&amp;DATEDIF(S3065,TODAY(),"MD")&amp;" Hari")</f>
        <v>22 Tahun, 0 Bulan, 5 Hari</v>
      </c>
      <c r="AC3065" s="18" t="n">
        <v>46020</v>
      </c>
      <c r="AD3065" s="18" t="n">
        <f aca="false">EDATE(AC3065,3)-1</f>
        <v>46109</v>
      </c>
      <c r="AE3065" s="13" t="s">
        <v>44</v>
      </c>
    </row>
    <row r="3066" customFormat="false" ht="15" hidden="false" customHeight="true" outlineLevel="0" collapsed="false">
      <c r="A3066" s="12" t="n">
        <v>21625</v>
      </c>
      <c r="B3066" s="13" t="s">
        <v>12810</v>
      </c>
      <c r="C3066" s="16" t="n">
        <v>46020</v>
      </c>
      <c r="D3066" s="13" t="s">
        <v>5892</v>
      </c>
      <c r="E3066" s="15" t="s">
        <v>47</v>
      </c>
      <c r="F3066" s="15" t="str">
        <f aca="false">IFERROR(__xludf.dummyfunction("XLOOKUP(AJ3066,IMPORTRANGE(""1XaInW9DU9nz21V0tYIfzFQ0He9kVQ_JF2mCXgZ3hqFA"",""REKAP ALL 2026 - Andika!G:G""),IMPORTRANGE(""1XaInW9DU9nz21V0tYIfzFQ0He9kVQ_JF2mCXgZ3hqFA"",""REKAP ALL 2026 - Andika!F:F""),"""",0)"),"26005762427")</f>
        <v>26005762427</v>
      </c>
      <c r="G3066" s="13" t="s">
        <v>1127</v>
      </c>
      <c r="H3066" s="13" t="s">
        <v>35</v>
      </c>
      <c r="I3066" s="13" t="str">
        <f aca="false">IF(C3066=J3066,"NEW KONTRAK","RE-KONTRAK")</f>
        <v>NEW KONTRAK</v>
      </c>
      <c r="J3066" s="16" t="n">
        <f aca="false" t="array" ref="J3066:J3066">IFERROR(INDEX(AC3066:AE3066,IF(COUNTA(AC3066:AE3066)=0,"",MAX((AC3066:AE3066&lt;&gt;"")*(COLUMN(AC3066:AE3066)-(COLUMN(AC3066)))))-1),"")</f>
        <v>46020</v>
      </c>
      <c r="K3066" s="16" t="n">
        <f aca="false" t="array" ref="K3066:K3066">IFERROR(INDEX(AC3066:AE3066,IF(COUNTA(AC3066:AE3066)=0,"",MAX((AC3066:AE3066&lt;&gt;"")*(COLUMN(AC3066:AE3066)-(COLUMN(AC3066)-1))))-1),"")</f>
        <v>46109</v>
      </c>
      <c r="L3066" s="17" t="str">
        <f aca="false" t="array" ref="L3066:L3066">IFERROR(INDEX(AC3066:AE3066,IF(COUNTA(AC3066:AE3066)=0,"",MAX((AC3066:AE3066&lt;&gt;"")*(COLUMN(AC3066:AE3066)-(COLUMN(AC3066)-2))))-1),"")</f>
        <v>KEMBALI</v>
      </c>
      <c r="M3066" s="13" t="n">
        <f aca="true">K3066-TODAY()</f>
        <v>-215</v>
      </c>
      <c r="N3066" s="18" t="s">
        <v>105</v>
      </c>
      <c r="O3066" s="13" t="s">
        <v>6285</v>
      </c>
      <c r="P3066" s="19" t="n">
        <v>4120000</v>
      </c>
      <c r="Q3066" s="47" t="s">
        <v>12811</v>
      </c>
      <c r="R3066" s="13" t="s">
        <v>78</v>
      </c>
      <c r="S3066" s="16" t="n">
        <v>36445</v>
      </c>
      <c r="T3066" s="13" t="s">
        <v>40</v>
      </c>
      <c r="U3066" s="13" t="s">
        <v>12812</v>
      </c>
      <c r="V3066" s="13" t="s">
        <v>42</v>
      </c>
      <c r="W3066" s="13" t="s">
        <v>43</v>
      </c>
      <c r="X3066" s="21" t="n">
        <v>85606210126</v>
      </c>
      <c r="Y3066" s="22" t="str">
        <f aca="false">O3066</f>
        <v>Operator Reach Truck</v>
      </c>
      <c r="Z3066" s="13" t="str">
        <f aca="false">IFERROR(__xludf.dummyfunction("if(BJ3066="""","""",GOOGLETRANSLATE(BJ3066,""auto"",""en""))"),"Operator Reach Truck")</f>
        <v>Operator Reach Truck</v>
      </c>
      <c r="AA3066" s="23" t="str">
        <f aca="false">IF(C3066="","", CHOOSE(MONTH(C3066),"January","February","March","April","May","June","July","August","September","October","November","December")&amp;" "&amp;DAY(C3066)&amp;MID("thstndrdth",MIN(9,2*RIGHT(DAY(C3066))*(MOD(DAY(C3066)-11,100)&gt;2)+1),2)&amp;","&amp;TEXT(C3066," yyyy"))</f>
        <v>December 29th,2025</v>
      </c>
      <c r="AB3066" s="15" t="str">
        <f aca="true">IF(S3066="","",DATEDIF(S3066,TODAY(),"Y")&amp;" Tahun, "&amp;DATEDIF(S3066,TODAY(),"YM")&amp;" Bulan, "&amp;DATEDIF(S3066,TODAY(),"MD")&amp;" Hari")</f>
        <v>27 Tahun, 0 Bulan, 17 Hari</v>
      </c>
      <c r="AC3066" s="18" t="n">
        <v>46020</v>
      </c>
      <c r="AD3066" s="18" t="n">
        <f aca="false">EDATE(AC3066,3)-1</f>
        <v>46109</v>
      </c>
      <c r="AE3066" s="13" t="s">
        <v>397</v>
      </c>
    </row>
    <row r="3067" customFormat="false" ht="15" hidden="false" customHeight="true" outlineLevel="0" collapsed="false">
      <c r="A3067" s="12" t="n">
        <v>21626</v>
      </c>
      <c r="B3067" s="13" t="s">
        <v>12813</v>
      </c>
      <c r="C3067" s="16" t="n">
        <v>46023</v>
      </c>
      <c r="D3067" s="13" t="s">
        <v>12814</v>
      </c>
      <c r="E3067" s="15" t="s">
        <v>47</v>
      </c>
      <c r="F3067" s="15" t="str">
        <f aca="false">IFERROR(__xludf.dummyfunction("XLOOKUP(AJ3067,IMPORTRANGE(""1XaInW9DU9nz21V0tYIfzFQ0He9kVQ_JF2mCXgZ3hqFA"",""REKAP ALL 2026 - Andika!G:G""),IMPORTRANGE(""1XaInW9DU9nz21V0tYIfzFQ0He9kVQ_JF2mCXgZ3hqFA"",""REKAP ALL 2026 - Andika!F:F""),"""",0)"),"26020757469")</f>
        <v>26020757469</v>
      </c>
      <c r="G3067" s="13" t="s">
        <v>1127</v>
      </c>
      <c r="H3067" s="13" t="s">
        <v>35</v>
      </c>
      <c r="I3067" s="13" t="str">
        <f aca="false">IF(C3067=J3067,"NEW KONTRAK","RE-KONTRAK")</f>
        <v>NEW KONTRAK</v>
      </c>
      <c r="J3067" s="16" t="n">
        <f aca="false" t="array" ref="J3067:J3067">IFERROR(INDEX(AC3067:AE3067,IF(COUNTA(AC3067:AE3067)=0,"",MAX((AC3067:AE3067&lt;&gt;"")*(COLUMN(AC3067:AE3067)-(COLUMN(AC3067)))))-1),"")</f>
        <v>46023</v>
      </c>
      <c r="K3067" s="16" t="n">
        <f aca="false" t="array" ref="K3067:K3067">IFERROR(INDEX(AC3067:AE3067,IF(COUNTA(AC3067:AE3067)=0,"",MAX((AC3067:AE3067&lt;&gt;"")*(COLUMN(AC3067:AE3067)-(COLUMN(AC3067)-1))))-1),"")</f>
        <v>46387</v>
      </c>
      <c r="L3067" s="17" t="str">
        <f aca="false" t="array" ref="L3067:L3067">IFERROR(INDEX(AC3067:AE3067,IF(COUNTA(AC3067:AE3067)=0,"",MAX((AC3067:AE3067&lt;&gt;"")*(COLUMN(AC3067:AE3067)-(COLUMN(AC3067)-2))))-1),"")</f>
        <v>KEMBALI</v>
      </c>
      <c r="M3067" s="13" t="n">
        <f aca="true">K3067-TODAY()</f>
        <v>63</v>
      </c>
      <c r="N3067" s="18" t="s">
        <v>36</v>
      </c>
      <c r="O3067" s="13" t="s">
        <v>12815</v>
      </c>
      <c r="P3067" s="19" t="n">
        <v>5195401</v>
      </c>
      <c r="Q3067" s="47" t="s">
        <v>12816</v>
      </c>
      <c r="R3067" s="13" t="s">
        <v>148</v>
      </c>
      <c r="S3067" s="16" t="n">
        <v>35187</v>
      </c>
      <c r="T3067" s="13" t="s">
        <v>40</v>
      </c>
      <c r="U3067" s="13" t="s">
        <v>12817</v>
      </c>
      <c r="V3067" s="13" t="s">
        <v>42</v>
      </c>
      <c r="W3067" s="13" t="s">
        <v>54</v>
      </c>
      <c r="X3067" s="30" t="n">
        <v>83158416169</v>
      </c>
      <c r="Y3067" s="22" t="str">
        <f aca="false">O3067</f>
        <v>Cook Helper</v>
      </c>
      <c r="Z3067" s="13" t="str">
        <f aca="false">IFERROR(__xludf.dummyfunction("if(BJ3067="""","""",GOOGLETRANSLATE(BJ3067,""auto"",""en""))"),"Cook Helper")</f>
        <v>Cook Helper</v>
      </c>
      <c r="AA3067" s="23" t="str">
        <f aca="false">IF(C3067="","", CHOOSE(MONTH(C3067),"January","February","March","April","May","June","July","August","September","October","November","December")&amp;" "&amp;DAY(C3067)&amp;MID("thstndrdth",MIN(9,2*RIGHT(DAY(C3067))*(MOD(DAY(C3067)-11,100)&gt;2)+1),2)&amp;","&amp;TEXT(C3067," yyyy"))</f>
        <v>January 1st,2026</v>
      </c>
      <c r="AB3067" s="15" t="str">
        <f aca="true">IF(S3067="","",DATEDIF(S3067,TODAY(),"Y")&amp;" Tahun, "&amp;DATEDIF(S3067,TODAY(),"YM")&amp;" Bulan, "&amp;DATEDIF(S3067,TODAY(),"MD")&amp;" Hari")</f>
        <v>30 Tahun, 5 Bulan, 27 Hari</v>
      </c>
      <c r="AC3067" s="18" t="n">
        <v>46023</v>
      </c>
      <c r="AD3067" s="18" t="n">
        <f aca="false">EDATE(AC3067,12)-1</f>
        <v>46387</v>
      </c>
      <c r="AE3067" s="13" t="s">
        <v>397</v>
      </c>
    </row>
    <row r="3068" customFormat="false" ht="15" hidden="false" customHeight="true" outlineLevel="0" collapsed="false">
      <c r="A3068" s="12" t="n">
        <v>21627</v>
      </c>
      <c r="B3068" s="13" t="s">
        <v>12818</v>
      </c>
      <c r="C3068" s="16" t="n">
        <v>46023</v>
      </c>
      <c r="D3068" s="13" t="s">
        <v>12814</v>
      </c>
      <c r="E3068" s="15" t="s">
        <v>102</v>
      </c>
      <c r="F3068" s="24" t="s">
        <v>12819</v>
      </c>
      <c r="G3068" s="13" t="s">
        <v>1127</v>
      </c>
      <c r="H3068" s="13" t="s">
        <v>35</v>
      </c>
      <c r="I3068" s="13" t="str">
        <f aca="false">IF(C3068=J3068,"NEW KONTRAK","RE-KONTRAK")</f>
        <v>NEW KONTRAK</v>
      </c>
      <c r="J3068" s="16" t="n">
        <f aca="false" t="array" ref="J3068:J3068">IFERROR(INDEX(AC3068:AE3068,IF(COUNTA(AC3068:AE3068)=0,"",MAX((AC3068:AE3068&lt;&gt;"")*(COLUMN(AC3068:AE3068)-(COLUMN(AC3068)))))-1),"")</f>
        <v>46023</v>
      </c>
      <c r="K3068" s="16" t="n">
        <f aca="false" t="array" ref="K3068:K3068">IFERROR(INDEX(AC3068:AE3068,IF(COUNTA(AC3068:AE3068)=0,"",MAX((AC3068:AE3068&lt;&gt;"")*(COLUMN(AC3068:AE3068)-(COLUMN(AC3068)-1))))-1),"")</f>
        <v>46387</v>
      </c>
      <c r="L3068" s="17" t="str">
        <f aca="false" t="array" ref="L3068:L3068">IFERROR(INDEX(AC3068:AE3068,IF(COUNTA(AC3068:AE3068)=0,"",MAX((AC3068:AE3068&lt;&gt;"")*(COLUMN(AC3068:AE3068)-(COLUMN(AC3068)-2))))-1),"")</f>
        <v>ARCHIVED</v>
      </c>
      <c r="M3068" s="13" t="n">
        <f aca="true">K3068-TODAY()</f>
        <v>63</v>
      </c>
      <c r="N3068" s="18" t="s">
        <v>36</v>
      </c>
      <c r="O3068" s="13" t="s">
        <v>12815</v>
      </c>
      <c r="P3068" s="19" t="n">
        <v>5195401</v>
      </c>
      <c r="Q3068" s="47" t="s">
        <v>12820</v>
      </c>
      <c r="R3068" s="13" t="s">
        <v>2416</v>
      </c>
      <c r="S3068" s="16" t="n">
        <v>31516</v>
      </c>
      <c r="T3068" s="13" t="s">
        <v>108</v>
      </c>
      <c r="U3068" s="13" t="s">
        <v>12821</v>
      </c>
      <c r="V3068" s="13" t="s">
        <v>42</v>
      </c>
      <c r="W3068" s="13" t="s">
        <v>43</v>
      </c>
      <c r="X3068" s="30" t="n">
        <v>82384511544</v>
      </c>
      <c r="Y3068" s="22" t="str">
        <f aca="false">O3068</f>
        <v>Cook Helper</v>
      </c>
      <c r="Z3068" s="13" t="str">
        <f aca="false">IFERROR(__xludf.dummyfunction("if(BJ3068="""","""",GOOGLETRANSLATE(BJ3068,""auto"",""en""))"),"Cook Helper")</f>
        <v>Cook Helper</v>
      </c>
      <c r="AA3068" s="23" t="str">
        <f aca="false">IF(C3068="","", CHOOSE(MONTH(C3068),"January","February","March","April","May","June","July","August","September","October","November","December")&amp;" "&amp;DAY(C3068)&amp;MID("thstndrdth",MIN(9,2*RIGHT(DAY(C3068))*(MOD(DAY(C3068)-11,100)&gt;2)+1),2)&amp;","&amp;TEXT(C3068," yyyy"))</f>
        <v>January 1st,2026</v>
      </c>
      <c r="AB3068" s="15" t="str">
        <f aca="true">IF(S3068="","",DATEDIF(S3068,TODAY(),"Y")&amp;" Tahun, "&amp;DATEDIF(S3068,TODAY(),"YM")&amp;" Bulan, "&amp;DATEDIF(S3068,TODAY(),"MD")&amp;" Hari")</f>
        <v>40 Tahun, 6 Bulan, 15 Hari</v>
      </c>
      <c r="AC3068" s="18" t="n">
        <v>46023</v>
      </c>
      <c r="AD3068" s="18" t="n">
        <f aca="false">EDATE(AC3068,12)-1</f>
        <v>46387</v>
      </c>
      <c r="AE3068" s="13" t="s">
        <v>44</v>
      </c>
    </row>
    <row r="3069" customFormat="false" ht="15" hidden="false" customHeight="true" outlineLevel="0" collapsed="false">
      <c r="A3069" s="12" t="n">
        <v>21628</v>
      </c>
      <c r="B3069" s="13" t="s">
        <v>12822</v>
      </c>
      <c r="C3069" s="16" t="n">
        <v>46023</v>
      </c>
      <c r="D3069" s="13" t="s">
        <v>12814</v>
      </c>
      <c r="E3069" s="15" t="s">
        <v>102</v>
      </c>
      <c r="F3069" s="24" t="s">
        <v>12823</v>
      </c>
      <c r="G3069" s="13" t="s">
        <v>1127</v>
      </c>
      <c r="H3069" s="13" t="s">
        <v>35</v>
      </c>
      <c r="I3069" s="13" t="str">
        <f aca="false">IF(C3069=J3069,"NEW KONTRAK","RE-KONTRAK")</f>
        <v>NEW KONTRAK</v>
      </c>
      <c r="J3069" s="16" t="n">
        <f aca="false" t="array" ref="J3069:J3069">IFERROR(INDEX(AC3069:AE3069,IF(COUNTA(AC3069:AE3069)=0,"",MAX((AC3069:AE3069&lt;&gt;"")*(COLUMN(AC3069:AE3069)-(COLUMN(AC3069)))))-1),"")</f>
        <v>46023</v>
      </c>
      <c r="K3069" s="16" t="n">
        <f aca="false" t="array" ref="K3069:K3069">IFERROR(INDEX(AC3069:AE3069,IF(COUNTA(AC3069:AE3069)=0,"",MAX((AC3069:AE3069&lt;&gt;"")*(COLUMN(AC3069:AE3069)-(COLUMN(AC3069)-1))))-1),"")</f>
        <v>46387</v>
      </c>
      <c r="L3069" s="17" t="str">
        <f aca="false" t="array" ref="L3069:L3069">IFERROR(INDEX(AC3069:AE3069,IF(COUNTA(AC3069:AE3069)=0,"",MAX((AC3069:AE3069&lt;&gt;"")*(COLUMN(AC3069:AE3069)-(COLUMN(AC3069)-2))))-1),"")</f>
        <v>ARCHIVED</v>
      </c>
      <c r="M3069" s="13" t="n">
        <f aca="true">K3069-TODAY()</f>
        <v>63</v>
      </c>
      <c r="N3069" s="18" t="s">
        <v>36</v>
      </c>
      <c r="O3069" s="13" t="s">
        <v>12815</v>
      </c>
      <c r="P3069" s="19" t="n">
        <v>5195401</v>
      </c>
      <c r="Q3069" s="47" t="s">
        <v>12824</v>
      </c>
      <c r="R3069" s="13" t="s">
        <v>52</v>
      </c>
      <c r="S3069" s="16" t="n">
        <v>35187</v>
      </c>
      <c r="T3069" s="13" t="s">
        <v>108</v>
      </c>
      <c r="U3069" s="13" t="s">
        <v>12825</v>
      </c>
      <c r="V3069" s="13" t="s">
        <v>42</v>
      </c>
      <c r="W3069" s="13" t="s">
        <v>54</v>
      </c>
      <c r="X3069" s="30" t="n">
        <v>89896275705</v>
      </c>
      <c r="Y3069" s="22" t="str">
        <f aca="false">O3069</f>
        <v>Cook Helper</v>
      </c>
      <c r="Z3069" s="13" t="str">
        <f aca="false">IFERROR(__xludf.dummyfunction("if(BJ3069="""","""",GOOGLETRANSLATE(BJ3069,""auto"",""en""))"),"Cook Helper")</f>
        <v>Cook Helper</v>
      </c>
      <c r="AA3069" s="23" t="str">
        <f aca="false">IF(C3069="","", CHOOSE(MONTH(C3069),"January","February","March","April","May","June","July","August","September","October","November","December")&amp;" "&amp;DAY(C3069)&amp;MID("thstndrdth",MIN(9,2*RIGHT(DAY(C3069))*(MOD(DAY(C3069)-11,100)&gt;2)+1),2)&amp;","&amp;TEXT(C3069," yyyy"))</f>
        <v>January 1st,2026</v>
      </c>
      <c r="AB3069" s="15" t="str">
        <f aca="true">IF(S3069="","",DATEDIF(S3069,TODAY(),"Y")&amp;" Tahun, "&amp;DATEDIF(S3069,TODAY(),"YM")&amp;" Bulan, "&amp;DATEDIF(S3069,TODAY(),"MD")&amp;" Hari")</f>
        <v>30 Tahun, 5 Bulan, 27 Hari</v>
      </c>
      <c r="AC3069" s="18" t="n">
        <v>46023</v>
      </c>
      <c r="AD3069" s="18" t="n">
        <f aca="false">EDATE(AC3069,12)-1</f>
        <v>46387</v>
      </c>
      <c r="AE3069" s="13" t="s">
        <v>44</v>
      </c>
    </row>
    <row r="3070" customFormat="false" ht="15" hidden="false" customHeight="true" outlineLevel="0" collapsed="false">
      <c r="A3070" s="12" t="n">
        <v>21629</v>
      </c>
      <c r="B3070" s="13" t="s">
        <v>12826</v>
      </c>
      <c r="C3070" s="16" t="n">
        <v>46023</v>
      </c>
      <c r="D3070" s="13" t="s">
        <v>12814</v>
      </c>
      <c r="E3070" s="15" t="s">
        <v>47</v>
      </c>
      <c r="F3070" s="15" t="str">
        <f aca="false">IFERROR(__xludf.dummyfunction("XLOOKUP(AJ3070,IMPORTRANGE(""1XaInW9DU9nz21V0tYIfzFQ0He9kVQ_JF2mCXgZ3hqFA"",""REKAP ALL 2026 - Andika!G:G""),IMPORTRANGE(""1XaInW9DU9nz21V0tYIfzFQ0He9kVQ_JF2mCXgZ3hqFA"",""REKAP ALL 2026 - Andika!F:F""),"""",0)"),"26020757071")</f>
        <v>26020757071</v>
      </c>
      <c r="G3070" s="13" t="s">
        <v>1127</v>
      </c>
      <c r="H3070" s="13" t="s">
        <v>35</v>
      </c>
      <c r="I3070" s="13" t="str">
        <f aca="false">IF(C3070=J3070,"NEW KONTRAK","RE-KONTRAK")</f>
        <v>NEW KONTRAK</v>
      </c>
      <c r="J3070" s="16" t="n">
        <f aca="false" t="array" ref="J3070:J3070">IFERROR(INDEX(AC3070:AE3070,IF(COUNTA(AC3070:AE3070)=0,"",MAX((AC3070:AE3070&lt;&gt;"")*(COLUMN(AC3070:AE3070)-(COLUMN(AC3070)))))-1),"")</f>
        <v>46023</v>
      </c>
      <c r="K3070" s="16" t="n">
        <f aca="false" t="array" ref="K3070:K3070">IFERROR(INDEX(AC3070:AE3070,IF(COUNTA(AC3070:AE3070)=0,"",MAX((AC3070:AE3070&lt;&gt;"")*(COLUMN(AC3070:AE3070)-(COLUMN(AC3070)-1))))-1),"")</f>
        <v>46387</v>
      </c>
      <c r="L3070" s="17" t="str">
        <f aca="false" t="array" ref="L3070:L3070">IFERROR(INDEX(AC3070:AE3070,IF(COUNTA(AC3070:AE3070)=0,"",MAX((AC3070:AE3070&lt;&gt;"")*(COLUMN(AC3070:AE3070)-(COLUMN(AC3070)-2))))-1),"")</f>
        <v>KEMBALI</v>
      </c>
      <c r="M3070" s="13" t="n">
        <f aca="true">K3070-TODAY()</f>
        <v>63</v>
      </c>
      <c r="N3070" s="18" t="s">
        <v>36</v>
      </c>
      <c r="O3070" s="13" t="s">
        <v>12815</v>
      </c>
      <c r="P3070" s="19" t="n">
        <v>5195401</v>
      </c>
      <c r="Q3070" s="47" t="s">
        <v>12827</v>
      </c>
      <c r="R3070" s="13" t="s">
        <v>65</v>
      </c>
      <c r="S3070" s="16" t="n">
        <v>33905</v>
      </c>
      <c r="T3070" s="13" t="s">
        <v>108</v>
      </c>
      <c r="U3070" s="13" t="s">
        <v>12663</v>
      </c>
      <c r="V3070" s="13" t="s">
        <v>42</v>
      </c>
      <c r="W3070" s="13" t="s">
        <v>43</v>
      </c>
      <c r="X3070" s="30" t="n">
        <v>89640165820</v>
      </c>
      <c r="Y3070" s="22" t="str">
        <f aca="false">O3070</f>
        <v>Cook Helper</v>
      </c>
      <c r="Z3070" s="13" t="str">
        <f aca="false">IFERROR(__xludf.dummyfunction("if(BJ3070="""","""",GOOGLETRANSLATE(BJ3070,""auto"",""en""))"),"Cook Helper")</f>
        <v>Cook Helper</v>
      </c>
      <c r="AA3070" s="23" t="str">
        <f aca="false">IF(C3070="","", CHOOSE(MONTH(C3070),"January","February","March","April","May","June","July","August","September","October","November","December")&amp;" "&amp;DAY(C3070)&amp;MID("thstndrdth",MIN(9,2*RIGHT(DAY(C3070))*(MOD(DAY(C3070)-11,100)&gt;2)+1),2)&amp;","&amp;TEXT(C3070," yyyy"))</f>
        <v>January 1st,2026</v>
      </c>
      <c r="AB3070" s="15" t="str">
        <f aca="true">IF(S3070="","",DATEDIF(S3070,TODAY(),"Y")&amp;" Tahun, "&amp;DATEDIF(S3070,TODAY(),"YM")&amp;" Bulan, "&amp;DATEDIF(S3070,TODAY(),"MD")&amp;" Hari")</f>
        <v>34 Tahun, 0 Bulan, 1 Hari</v>
      </c>
      <c r="AC3070" s="18" t="n">
        <v>46023</v>
      </c>
      <c r="AD3070" s="18" t="n">
        <f aca="false">EDATE(AC3070,12)-1</f>
        <v>46387</v>
      </c>
      <c r="AE3070" s="13" t="s">
        <v>397</v>
      </c>
    </row>
    <row r="3071" customFormat="false" ht="15" hidden="false" customHeight="true" outlineLevel="0" collapsed="false">
      <c r="A3071" s="12" t="n">
        <v>21630</v>
      </c>
      <c r="B3071" s="13" t="s">
        <v>12828</v>
      </c>
      <c r="C3071" s="16" t="n">
        <v>46023</v>
      </c>
      <c r="D3071" s="13" t="s">
        <v>12814</v>
      </c>
      <c r="E3071" s="15" t="s">
        <v>47</v>
      </c>
      <c r="F3071" s="15" t="str">
        <f aca="false">IFERROR(__xludf.dummyfunction("XLOOKUP(AJ3071,IMPORTRANGE(""1XaInW9DU9nz21V0tYIfzFQ0He9kVQ_JF2mCXgZ3hqFA"",""REKAP ALL 2026 - Andika!G:G""),IMPORTRANGE(""1XaInW9DU9nz21V0tYIfzFQ0He9kVQ_JF2mCXgZ3hqFA"",""REKAP ALL 2026 - Andika!F:F""),"""",0)"),"26020757097")</f>
        <v>26020757097</v>
      </c>
      <c r="G3071" s="13" t="s">
        <v>1127</v>
      </c>
      <c r="H3071" s="13" t="s">
        <v>35</v>
      </c>
      <c r="I3071" s="13" t="str">
        <f aca="false">IF(C3071=J3071,"NEW KONTRAK","RE-KONTRAK")</f>
        <v>NEW KONTRAK</v>
      </c>
      <c r="J3071" s="16" t="n">
        <f aca="false" t="array" ref="J3071:J3071">IFERROR(INDEX(AC3071:AE3071,IF(COUNTA(AC3071:AE3071)=0,"",MAX((AC3071:AE3071&lt;&gt;"")*(COLUMN(AC3071:AE3071)-(COLUMN(AC3071)))))-1),"")</f>
        <v>46023</v>
      </c>
      <c r="K3071" s="16" t="n">
        <f aca="false" t="array" ref="K3071:K3071">IFERROR(INDEX(AC3071:AE3071,IF(COUNTA(AC3071:AE3071)=0,"",MAX((AC3071:AE3071&lt;&gt;"")*(COLUMN(AC3071:AE3071)-(COLUMN(AC3071)-1))))-1),"")</f>
        <v>46387</v>
      </c>
      <c r="L3071" s="17" t="str">
        <f aca="false" t="array" ref="L3071:L3071">IFERROR(INDEX(AC3071:AE3071,IF(COUNTA(AC3071:AE3071)=0,"",MAX((AC3071:AE3071&lt;&gt;"")*(COLUMN(AC3071:AE3071)-(COLUMN(AC3071)-2))))-1),"")</f>
        <v>KEMBALI</v>
      </c>
      <c r="M3071" s="13" t="n">
        <f aca="true">K3071-TODAY()</f>
        <v>63</v>
      </c>
      <c r="N3071" s="18" t="s">
        <v>36</v>
      </c>
      <c r="O3071" s="13" t="s">
        <v>12815</v>
      </c>
      <c r="P3071" s="19" t="n">
        <v>5195401</v>
      </c>
      <c r="Q3071" s="47" t="s">
        <v>12829</v>
      </c>
      <c r="R3071" s="13" t="s">
        <v>65</v>
      </c>
      <c r="S3071" s="16" t="n">
        <v>36736</v>
      </c>
      <c r="T3071" s="13" t="s">
        <v>108</v>
      </c>
      <c r="U3071" s="13" t="s">
        <v>12830</v>
      </c>
      <c r="V3071" s="13" t="s">
        <v>42</v>
      </c>
      <c r="W3071" s="13" t="s">
        <v>43</v>
      </c>
      <c r="X3071" s="30" t="n">
        <v>82297021355</v>
      </c>
      <c r="Y3071" s="22" t="str">
        <f aca="false">O3071</f>
        <v>Cook Helper</v>
      </c>
      <c r="Z3071" s="13" t="str">
        <f aca="false">IFERROR(__xludf.dummyfunction("if(BJ3071="""","""",GOOGLETRANSLATE(BJ3071,""auto"",""en""))"),"Cook Helper")</f>
        <v>Cook Helper</v>
      </c>
      <c r="AA3071" s="23" t="str">
        <f aca="false">IF(C3071="","", CHOOSE(MONTH(C3071),"January","February","March","April","May","June","July","August","September","October","November","December")&amp;" "&amp;DAY(C3071)&amp;MID("thstndrdth",MIN(9,2*RIGHT(DAY(C3071))*(MOD(DAY(C3071)-11,100)&gt;2)+1),2)&amp;","&amp;TEXT(C3071," yyyy"))</f>
        <v>January 1st,2026</v>
      </c>
      <c r="AB3071" s="15" t="str">
        <f aca="true">IF(S3071="","",DATEDIF(S3071,TODAY(),"Y")&amp;" Tahun, "&amp;DATEDIF(S3071,TODAY(),"YM")&amp;" Bulan, "&amp;DATEDIF(S3071,TODAY(),"MD")&amp;" Hari")</f>
        <v>26 Tahun, 3 Bulan, 0 Hari</v>
      </c>
      <c r="AC3071" s="18" t="n">
        <v>46023</v>
      </c>
      <c r="AD3071" s="18" t="n">
        <f aca="false">EDATE(AC3071,12)-1</f>
        <v>46387</v>
      </c>
      <c r="AE3071" s="13" t="s">
        <v>397</v>
      </c>
    </row>
    <row r="3072" customFormat="false" ht="15" hidden="false" customHeight="true" outlineLevel="0" collapsed="false">
      <c r="A3072" s="12" t="n">
        <v>21631</v>
      </c>
      <c r="B3072" s="13" t="s">
        <v>12831</v>
      </c>
      <c r="C3072" s="16" t="n">
        <v>46023</v>
      </c>
      <c r="D3072" s="13" t="s">
        <v>12814</v>
      </c>
      <c r="E3072" s="15" t="s">
        <v>47</v>
      </c>
      <c r="F3072" s="15" t="str">
        <f aca="false">IFERROR(__xludf.dummyfunction("XLOOKUP(AJ3072,IMPORTRANGE(""1XaInW9DU9nz21V0tYIfzFQ0He9kVQ_JF2mCXgZ3hqFA"",""REKAP ALL 2026 - Andika!G:G""),IMPORTRANGE(""1XaInW9DU9nz21V0tYIfzFQ0He9kVQ_JF2mCXgZ3hqFA"",""REKAP ALL 2026 - Andika!F:F""),"""",0)"),"26020757113")</f>
        <v>26020757113</v>
      </c>
      <c r="G3072" s="13" t="s">
        <v>1127</v>
      </c>
      <c r="H3072" s="13" t="s">
        <v>35</v>
      </c>
      <c r="I3072" s="13" t="str">
        <f aca="false">IF(C3072=J3072,"NEW KONTRAK","RE-KONTRAK")</f>
        <v>NEW KONTRAK</v>
      </c>
      <c r="J3072" s="16" t="n">
        <f aca="false" t="array" ref="J3072:J3072">IFERROR(INDEX(AC3072:AE3072,IF(COUNTA(AC3072:AE3072)=0,"",MAX((AC3072:AE3072&lt;&gt;"")*(COLUMN(AC3072:AE3072)-(COLUMN(AC3072)))))-1),"")</f>
        <v>46023</v>
      </c>
      <c r="K3072" s="16" t="n">
        <f aca="false" t="array" ref="K3072:K3072">IFERROR(INDEX(AC3072:AE3072,IF(COUNTA(AC3072:AE3072)=0,"",MAX((AC3072:AE3072&lt;&gt;"")*(COLUMN(AC3072:AE3072)-(COLUMN(AC3072)-1))))-1),"")</f>
        <v>46387</v>
      </c>
      <c r="L3072" s="17" t="str">
        <f aca="false" t="array" ref="L3072:L3072">IFERROR(INDEX(AC3072:AE3072,IF(COUNTA(AC3072:AE3072)=0,"",MAX((AC3072:AE3072&lt;&gt;"")*(COLUMN(AC3072:AE3072)-(COLUMN(AC3072)-2))))-1),"")</f>
        <v>KEMBALI</v>
      </c>
      <c r="M3072" s="13" t="n">
        <f aca="true">K3072-TODAY()</f>
        <v>63</v>
      </c>
      <c r="N3072" s="18" t="s">
        <v>36</v>
      </c>
      <c r="O3072" s="13" t="s">
        <v>12832</v>
      </c>
      <c r="P3072" s="19" t="n">
        <v>5195401</v>
      </c>
      <c r="Q3072" s="47" t="s">
        <v>12833</v>
      </c>
      <c r="R3072" s="13" t="s">
        <v>12834</v>
      </c>
      <c r="S3072" s="16" t="n">
        <v>33099</v>
      </c>
      <c r="T3072" s="13" t="s">
        <v>108</v>
      </c>
      <c r="U3072" s="13" t="s">
        <v>12835</v>
      </c>
      <c r="V3072" s="13" t="s">
        <v>42</v>
      </c>
      <c r="W3072" s="13" t="s">
        <v>54</v>
      </c>
      <c r="X3072" s="30" t="n">
        <v>89590927557</v>
      </c>
      <c r="Y3072" s="22" t="str">
        <f aca="false">O3072</f>
        <v>Cook Helper Senior</v>
      </c>
      <c r="Z3072" s="13" t="str">
        <f aca="false">IFERROR(__xludf.dummyfunction("if(BJ3072="""","""",GOOGLETRANSLATE(BJ3072,""auto"",""en""))"),"Cook Helper Senior")</f>
        <v>Cook Helper Senior</v>
      </c>
      <c r="AA3072" s="23" t="str">
        <f aca="false">IF(C3072="","", CHOOSE(MONTH(C3072),"January","February","March","April","May","June","July","August","September","October","November","December")&amp;" "&amp;DAY(C3072)&amp;MID("thstndrdth",MIN(9,2*RIGHT(DAY(C3072))*(MOD(DAY(C3072)-11,100)&gt;2)+1),2)&amp;","&amp;TEXT(C3072," yyyy"))</f>
        <v>January 1st,2026</v>
      </c>
      <c r="AB3072" s="15" t="str">
        <f aca="true">IF(S3072="","",DATEDIF(S3072,TODAY(),"Y")&amp;" Tahun, "&amp;DATEDIF(S3072,TODAY(),"YM")&amp;" Bulan, "&amp;DATEDIF(S3072,TODAY(),"MD")&amp;" Hari")</f>
        <v>36 Tahun, 2 Bulan, 15 Hari</v>
      </c>
      <c r="AC3072" s="18" t="n">
        <v>46023</v>
      </c>
      <c r="AD3072" s="18" t="n">
        <f aca="false">EDATE(AC3072,12)-1</f>
        <v>46387</v>
      </c>
      <c r="AE3072" s="13" t="s">
        <v>397</v>
      </c>
    </row>
    <row r="3073" customFormat="false" ht="15" hidden="false" customHeight="true" outlineLevel="0" collapsed="false">
      <c r="A3073" s="12" t="n">
        <v>21632</v>
      </c>
      <c r="B3073" s="13" t="s">
        <v>12836</v>
      </c>
      <c r="C3073" s="16" t="n">
        <v>46023</v>
      </c>
      <c r="D3073" s="13" t="s">
        <v>12814</v>
      </c>
      <c r="E3073" s="15" t="s">
        <v>47</v>
      </c>
      <c r="F3073" s="15" t="str">
        <f aca="false">IFERROR(__xludf.dummyfunction("XLOOKUP(AJ3073,IMPORTRANGE(""1XaInW9DU9nz21V0tYIfzFQ0He9kVQ_JF2mCXgZ3hqFA"",""REKAP ALL 2026 - Andika!G:G""),IMPORTRANGE(""1XaInW9DU9nz21V0tYIfzFQ0He9kVQ_JF2mCXgZ3hqFA"",""REKAP ALL 2026 - Andika!F:F""),"""",0)"),"26020757147")</f>
        <v>26020757147</v>
      </c>
      <c r="G3073" s="13" t="s">
        <v>1127</v>
      </c>
      <c r="H3073" s="13" t="s">
        <v>35</v>
      </c>
      <c r="I3073" s="13" t="str">
        <f aca="false">IF(C3073=J3073,"NEW KONTRAK","RE-KONTRAK")</f>
        <v>NEW KONTRAK</v>
      </c>
      <c r="J3073" s="16" t="n">
        <f aca="false" t="array" ref="J3073:J3073">IFERROR(INDEX(AC3073:AE3073,IF(COUNTA(AC3073:AE3073)=0,"",MAX((AC3073:AE3073&lt;&gt;"")*(COLUMN(AC3073:AE3073)-(COLUMN(AC3073)))))-1),"")</f>
        <v>46023</v>
      </c>
      <c r="K3073" s="16" t="n">
        <f aca="false" t="array" ref="K3073:K3073">IFERROR(INDEX(AC3073:AE3073,IF(COUNTA(AC3073:AE3073)=0,"",MAX((AC3073:AE3073&lt;&gt;"")*(COLUMN(AC3073:AE3073)-(COLUMN(AC3073)-1))))-1),"")</f>
        <v>46387</v>
      </c>
      <c r="L3073" s="17" t="str">
        <f aca="false" t="array" ref="L3073:L3073">IFERROR(INDEX(AC3073:AE3073,IF(COUNTA(AC3073:AE3073)=0,"",MAX((AC3073:AE3073&lt;&gt;"")*(COLUMN(AC3073:AE3073)-(COLUMN(AC3073)-2))))-1),"")</f>
        <v>KEMBALI</v>
      </c>
      <c r="M3073" s="13" t="n">
        <f aca="true">K3073-TODAY()</f>
        <v>63</v>
      </c>
      <c r="N3073" s="18" t="s">
        <v>36</v>
      </c>
      <c r="O3073" s="13" t="s">
        <v>12815</v>
      </c>
      <c r="P3073" s="19" t="n">
        <v>5195401</v>
      </c>
      <c r="Q3073" s="47" t="s">
        <v>12837</v>
      </c>
      <c r="R3073" s="13" t="s">
        <v>65</v>
      </c>
      <c r="S3073" s="16" t="n">
        <v>37829</v>
      </c>
      <c r="T3073" s="13" t="s">
        <v>108</v>
      </c>
      <c r="U3073" s="13" t="s">
        <v>12838</v>
      </c>
      <c r="V3073" s="13" t="s">
        <v>42</v>
      </c>
      <c r="W3073" s="13" t="s">
        <v>43</v>
      </c>
      <c r="X3073" s="30" t="n">
        <v>81392856543</v>
      </c>
      <c r="Y3073" s="22" t="str">
        <f aca="false">O3073</f>
        <v>Cook Helper</v>
      </c>
      <c r="Z3073" s="13" t="str">
        <f aca="false">IFERROR(__xludf.dummyfunction("if(BJ3073="""","""",GOOGLETRANSLATE(BJ3073,""auto"",""en""))"),"Cook Helper")</f>
        <v>Cook Helper</v>
      </c>
      <c r="AA3073" s="23" t="str">
        <f aca="false">IF(C3073="","", CHOOSE(MONTH(C3073),"January","February","March","April","May","June","July","August","September","October","November","December")&amp;" "&amp;DAY(C3073)&amp;MID("thstndrdth",MIN(9,2*RIGHT(DAY(C3073))*(MOD(DAY(C3073)-11,100)&gt;2)+1),2)&amp;","&amp;TEXT(C3073," yyyy"))</f>
        <v>January 1st,2026</v>
      </c>
      <c r="AB3073" s="15" t="str">
        <f aca="true">IF(S3073="","",DATEDIF(S3073,TODAY(),"Y")&amp;" Tahun, "&amp;DATEDIF(S3073,TODAY(),"YM")&amp;" Bulan, "&amp;DATEDIF(S3073,TODAY(),"MD")&amp;" Hari")</f>
        <v>23 Tahun, 3 Bulan, 2 Hari</v>
      </c>
      <c r="AC3073" s="18" t="n">
        <v>46023</v>
      </c>
      <c r="AD3073" s="18" t="n">
        <f aca="false">EDATE(AC3073,12)-1</f>
        <v>46387</v>
      </c>
      <c r="AE3073" s="13" t="s">
        <v>397</v>
      </c>
    </row>
    <row r="3074" customFormat="false" ht="15" hidden="false" customHeight="true" outlineLevel="0" collapsed="false">
      <c r="A3074" s="12" t="n">
        <v>21633</v>
      </c>
      <c r="B3074" s="13" t="s">
        <v>12839</v>
      </c>
      <c r="C3074" s="16" t="n">
        <v>46023</v>
      </c>
      <c r="D3074" s="13" t="s">
        <v>12814</v>
      </c>
      <c r="E3074" s="15" t="s">
        <v>47</v>
      </c>
      <c r="F3074" s="15" t="str">
        <f aca="false">IFERROR(__xludf.dummyfunction("XLOOKUP(AJ3074,IMPORTRANGE(""1XaInW9DU9nz21V0tYIfzFQ0He9kVQ_JF2mCXgZ3hqFA"",""REKAP ALL 2026 - Andika!G:G""),IMPORTRANGE(""1XaInW9DU9nz21V0tYIfzFQ0He9kVQ_JF2mCXgZ3hqFA"",""REKAP ALL 2026 - Andika!F:F""),"""",0)"),"26020757170")</f>
        <v>26020757170</v>
      </c>
      <c r="G3074" s="13" t="s">
        <v>1127</v>
      </c>
      <c r="H3074" s="13" t="s">
        <v>35</v>
      </c>
      <c r="I3074" s="13" t="str">
        <f aca="false">IF(C3074=J3074,"NEW KONTRAK","RE-KONTRAK")</f>
        <v>NEW KONTRAK</v>
      </c>
      <c r="J3074" s="16" t="n">
        <f aca="false" t="array" ref="J3074:J3074">IFERROR(INDEX(AC3074:AE3074,IF(COUNTA(AC3074:AE3074)=0,"",MAX((AC3074:AE3074&lt;&gt;"")*(COLUMN(AC3074:AE3074)-(COLUMN(AC3074)))))-1),"")</f>
        <v>46023</v>
      </c>
      <c r="K3074" s="16" t="n">
        <f aca="false" t="array" ref="K3074:K3074">IFERROR(INDEX(AC3074:AE3074,IF(COUNTA(AC3074:AE3074)=0,"",MAX((AC3074:AE3074&lt;&gt;"")*(COLUMN(AC3074:AE3074)-(COLUMN(AC3074)-1))))-1),"")</f>
        <v>46387</v>
      </c>
      <c r="L3074" s="17" t="str">
        <f aca="false" t="array" ref="L3074:L3074">IFERROR(INDEX(AC3074:AE3074,IF(COUNTA(AC3074:AE3074)=0,"",MAX((AC3074:AE3074&lt;&gt;"")*(COLUMN(AC3074:AE3074)-(COLUMN(AC3074)-2))))-1),"")</f>
        <v>KEMBALI</v>
      </c>
      <c r="M3074" s="13" t="n">
        <f aca="true">K3074-TODAY()</f>
        <v>63</v>
      </c>
      <c r="N3074" s="18" t="s">
        <v>36</v>
      </c>
      <c r="O3074" s="13" t="s">
        <v>12815</v>
      </c>
      <c r="P3074" s="19" t="n">
        <v>5195401</v>
      </c>
      <c r="Q3074" s="47" t="s">
        <v>12840</v>
      </c>
      <c r="R3074" s="13" t="s">
        <v>65</v>
      </c>
      <c r="S3074" s="16" t="n">
        <v>37807</v>
      </c>
      <c r="T3074" s="13" t="s">
        <v>108</v>
      </c>
      <c r="U3074" s="13" t="s">
        <v>12841</v>
      </c>
      <c r="V3074" s="13" t="s">
        <v>42</v>
      </c>
      <c r="W3074" s="13" t="s">
        <v>43</v>
      </c>
      <c r="X3074" s="30" t="n">
        <v>82102786814</v>
      </c>
      <c r="Y3074" s="22" t="str">
        <f aca="false">O3074</f>
        <v>Cook Helper</v>
      </c>
      <c r="Z3074" s="13" t="str">
        <f aca="false">IFERROR(__xludf.dummyfunction("if(BJ3074="""","""",GOOGLETRANSLATE(BJ3074,""auto"",""en""))"),"Cook Helper")</f>
        <v>Cook Helper</v>
      </c>
      <c r="AA3074" s="23" t="str">
        <f aca="false">IF(C3074="","", CHOOSE(MONTH(C3074),"January","February","March","April","May","June","July","August","September","October","November","December")&amp;" "&amp;DAY(C3074)&amp;MID("thstndrdth",MIN(9,2*RIGHT(DAY(C3074))*(MOD(DAY(C3074)-11,100)&gt;2)+1),2)&amp;","&amp;TEXT(C3074," yyyy"))</f>
        <v>January 1st,2026</v>
      </c>
      <c r="AB3074" s="15" t="str">
        <f aca="true">IF(S3074="","",DATEDIF(S3074,TODAY(),"Y")&amp;" Tahun, "&amp;DATEDIF(S3074,TODAY(),"YM")&amp;" Bulan, "&amp;DATEDIF(S3074,TODAY(),"MD")&amp;" Hari")</f>
        <v>23 Tahun, 3 Bulan, 24 Hari</v>
      </c>
      <c r="AC3074" s="18" t="n">
        <v>46023</v>
      </c>
      <c r="AD3074" s="18" t="n">
        <f aca="false">EDATE(AC3074,12)-1</f>
        <v>46387</v>
      </c>
      <c r="AE3074" s="13" t="s">
        <v>397</v>
      </c>
    </row>
    <row r="3075" customFormat="false" ht="15" hidden="false" customHeight="true" outlineLevel="0" collapsed="false">
      <c r="A3075" s="12" t="n">
        <v>21634</v>
      </c>
      <c r="B3075" s="13" t="s">
        <v>12842</v>
      </c>
      <c r="C3075" s="16" t="n">
        <v>46023</v>
      </c>
      <c r="D3075" s="13" t="s">
        <v>12814</v>
      </c>
      <c r="E3075" s="15" t="s">
        <v>47</v>
      </c>
      <c r="F3075" s="15" t="str">
        <f aca="false">IFERROR(__xludf.dummyfunction("XLOOKUP(AJ3075,IMPORTRANGE(""1XaInW9DU9nz21V0tYIfzFQ0He9kVQ_JF2mCXgZ3hqFA"",""REKAP ALL 2026 - Andika!G:G""),IMPORTRANGE(""1XaInW9DU9nz21V0tYIfzFQ0He9kVQ_JF2mCXgZ3hqFA"",""REKAP ALL 2026 - Andika!F:F""),"""",0)"),"26020757196")</f>
        <v>26020757196</v>
      </c>
      <c r="G3075" s="13" t="s">
        <v>1127</v>
      </c>
      <c r="H3075" s="13" t="s">
        <v>35</v>
      </c>
      <c r="I3075" s="13" t="str">
        <f aca="false">IF(C3075=J3075,"NEW KONTRAK","RE-KONTRAK")</f>
        <v>NEW KONTRAK</v>
      </c>
      <c r="J3075" s="16" t="n">
        <f aca="false" t="array" ref="J3075:J3075">IFERROR(INDEX(AC3075:AE3075,IF(COUNTA(AC3075:AE3075)=0,"",MAX((AC3075:AE3075&lt;&gt;"")*(COLUMN(AC3075:AE3075)-(COLUMN(AC3075)))))-1),"")</f>
        <v>46023</v>
      </c>
      <c r="K3075" s="16" t="n">
        <f aca="false" t="array" ref="K3075:K3075">IFERROR(INDEX(AC3075:AE3075,IF(COUNTA(AC3075:AE3075)=0,"",MAX((AC3075:AE3075&lt;&gt;"")*(COLUMN(AC3075:AE3075)-(COLUMN(AC3075)-1))))-1),"")</f>
        <v>46387</v>
      </c>
      <c r="L3075" s="17" t="str">
        <f aca="false" t="array" ref="L3075:L3075">IFERROR(INDEX(AC3075:AE3075,IF(COUNTA(AC3075:AE3075)=0,"",MAX((AC3075:AE3075&lt;&gt;"")*(COLUMN(AC3075:AE3075)-(COLUMN(AC3075)-2))))-1),"")</f>
        <v>KEMBALI</v>
      </c>
      <c r="M3075" s="13" t="n">
        <f aca="true">K3075-TODAY()</f>
        <v>63</v>
      </c>
      <c r="N3075" s="18" t="s">
        <v>36</v>
      </c>
      <c r="O3075" s="13" t="s">
        <v>12815</v>
      </c>
      <c r="P3075" s="19" t="n">
        <v>5195401</v>
      </c>
      <c r="Q3075" s="47" t="s">
        <v>12843</v>
      </c>
      <c r="R3075" s="13" t="s">
        <v>958</v>
      </c>
      <c r="S3075" s="16" t="n">
        <v>34860</v>
      </c>
      <c r="T3075" s="13" t="s">
        <v>108</v>
      </c>
      <c r="U3075" s="13" t="s">
        <v>12844</v>
      </c>
      <c r="V3075" s="13" t="s">
        <v>42</v>
      </c>
      <c r="W3075" s="13" t="s">
        <v>54</v>
      </c>
      <c r="X3075" s="30" t="n">
        <v>85373947312</v>
      </c>
      <c r="Y3075" s="22" t="str">
        <f aca="false">O3075</f>
        <v>Cook Helper</v>
      </c>
      <c r="Z3075" s="13" t="str">
        <f aca="false">IFERROR(__xludf.dummyfunction("if(BJ3075="""","""",GOOGLETRANSLATE(BJ3075,""auto"",""en""))"),"Cook Helper")</f>
        <v>Cook Helper</v>
      </c>
      <c r="AA3075" s="23" t="str">
        <f aca="false">IF(C3075="","", CHOOSE(MONTH(C3075),"January","February","March","April","May","June","July","August","September","October","November","December")&amp;" "&amp;DAY(C3075)&amp;MID("thstndrdth",MIN(9,2*RIGHT(DAY(C3075))*(MOD(DAY(C3075)-11,100)&gt;2)+1),2)&amp;","&amp;TEXT(C3075," yyyy"))</f>
        <v>January 1st,2026</v>
      </c>
      <c r="AB3075" s="15" t="str">
        <f aca="true">IF(S3075="","",DATEDIF(S3075,TODAY(),"Y")&amp;" Tahun, "&amp;DATEDIF(S3075,TODAY(),"YM")&amp;" Bulan, "&amp;DATEDIF(S3075,TODAY(),"MD")&amp;" Hari")</f>
        <v>31 Tahun, 4 Bulan, 19 Hari</v>
      </c>
      <c r="AC3075" s="18" t="n">
        <v>46023</v>
      </c>
      <c r="AD3075" s="18" t="n">
        <f aca="false">EDATE(AC3075,12)-1</f>
        <v>46387</v>
      </c>
      <c r="AE3075" s="13" t="s">
        <v>397</v>
      </c>
    </row>
    <row r="3076" customFormat="false" ht="15" hidden="false" customHeight="true" outlineLevel="0" collapsed="false">
      <c r="A3076" s="12" t="n">
        <v>21635</v>
      </c>
      <c r="B3076" s="13" t="s">
        <v>12845</v>
      </c>
      <c r="C3076" s="16" t="n">
        <v>46023</v>
      </c>
      <c r="D3076" s="13" t="s">
        <v>12814</v>
      </c>
      <c r="E3076" s="15" t="s">
        <v>47</v>
      </c>
      <c r="F3076" s="15" t="str">
        <f aca="false">IFERROR(__xludf.dummyfunction("XLOOKUP(AJ3076,IMPORTRANGE(""1XaInW9DU9nz21V0tYIfzFQ0He9kVQ_JF2mCXgZ3hqFA"",""REKAP ALL 2026 - Andika!G:G""),IMPORTRANGE(""1XaInW9DU9nz21V0tYIfzFQ0He9kVQ_JF2mCXgZ3hqFA"",""REKAP ALL 2026 - Andika!F:F""),"""",0)"),"26020757238")</f>
        <v>26020757238</v>
      </c>
      <c r="G3076" s="13" t="s">
        <v>1127</v>
      </c>
      <c r="H3076" s="13" t="s">
        <v>35</v>
      </c>
      <c r="I3076" s="13" t="str">
        <f aca="false">IF(C3076=J3076,"NEW KONTRAK","RE-KONTRAK")</f>
        <v>NEW KONTRAK</v>
      </c>
      <c r="J3076" s="16" t="n">
        <f aca="false" t="array" ref="J3076:J3076">IFERROR(INDEX(AC3076:AE3076,IF(COUNTA(AC3076:AE3076)=0,"",MAX((AC3076:AE3076&lt;&gt;"")*(COLUMN(AC3076:AE3076)-(COLUMN(AC3076)))))-1),"")</f>
        <v>46023</v>
      </c>
      <c r="K3076" s="16" t="n">
        <f aca="false" t="array" ref="K3076:K3076">IFERROR(INDEX(AC3076:AE3076,IF(COUNTA(AC3076:AE3076)=0,"",MAX((AC3076:AE3076&lt;&gt;"")*(COLUMN(AC3076:AE3076)-(COLUMN(AC3076)-1))))-1),"")</f>
        <v>46387</v>
      </c>
      <c r="L3076" s="17" t="str">
        <f aca="false" t="array" ref="L3076:L3076">IFERROR(INDEX(AC3076:AE3076,IF(COUNTA(AC3076:AE3076)=0,"",MAX((AC3076:AE3076&lt;&gt;"")*(COLUMN(AC3076:AE3076)-(COLUMN(AC3076)-2))))-1),"")</f>
        <v>KEMBALI</v>
      </c>
      <c r="M3076" s="13" t="n">
        <f aca="true">K3076-TODAY()</f>
        <v>63</v>
      </c>
      <c r="N3076" s="18" t="s">
        <v>36</v>
      </c>
      <c r="O3076" s="13" t="s">
        <v>11985</v>
      </c>
      <c r="P3076" s="19" t="n">
        <v>5195401</v>
      </c>
      <c r="Q3076" s="47" t="s">
        <v>12846</v>
      </c>
      <c r="R3076" s="13" t="s">
        <v>12847</v>
      </c>
      <c r="S3076" s="16" t="n">
        <v>28292</v>
      </c>
      <c r="T3076" s="13" t="s">
        <v>40</v>
      </c>
      <c r="U3076" s="13" t="s">
        <v>12848</v>
      </c>
      <c r="V3076" s="13" t="s">
        <v>4748</v>
      </c>
      <c r="W3076" s="13" t="s">
        <v>54</v>
      </c>
      <c r="X3076" s="30" t="n">
        <v>81372715518</v>
      </c>
      <c r="Y3076" s="22" t="str">
        <f aca="false">O3076</f>
        <v>Chef</v>
      </c>
      <c r="Z3076" s="13" t="str">
        <f aca="false">IFERROR(__xludf.dummyfunction("if(BJ3076="""","""",GOOGLETRANSLATE(BJ3076,""auto"",""en""))"),"Chef")</f>
        <v>Chef</v>
      </c>
      <c r="AA3076" s="23" t="str">
        <f aca="false">IF(C3076="","", CHOOSE(MONTH(C3076),"January","February","March","April","May","June","July","August","September","October","November","December")&amp;" "&amp;DAY(C3076)&amp;MID("thstndrdth",MIN(9,2*RIGHT(DAY(C3076))*(MOD(DAY(C3076)-11,100)&gt;2)+1),2)&amp;","&amp;TEXT(C3076," yyyy"))</f>
        <v>January 1st,2026</v>
      </c>
      <c r="AB3076" s="15" t="str">
        <f aca="true">IF(S3076="","",DATEDIF(S3076,TODAY(),"Y")&amp;" Tahun, "&amp;DATEDIF(S3076,TODAY(),"YM")&amp;" Bulan, "&amp;DATEDIF(S3076,TODAY(),"MD")&amp;" Hari")</f>
        <v>49 Tahun, 4 Bulan, 13 Hari</v>
      </c>
      <c r="AC3076" s="18" t="n">
        <v>46023</v>
      </c>
      <c r="AD3076" s="18" t="n">
        <f aca="false">EDATE(AC3076,12)-1</f>
        <v>46387</v>
      </c>
      <c r="AE3076" s="13" t="s">
        <v>397</v>
      </c>
    </row>
    <row r="3077" customFormat="false" ht="15" hidden="false" customHeight="true" outlineLevel="0" collapsed="false">
      <c r="A3077" s="12" t="n">
        <v>21636</v>
      </c>
      <c r="B3077" s="13" t="s">
        <v>12849</v>
      </c>
      <c r="C3077" s="16" t="n">
        <v>46023</v>
      </c>
      <c r="D3077" s="13" t="s">
        <v>12814</v>
      </c>
      <c r="E3077" s="15" t="s">
        <v>102</v>
      </c>
      <c r="F3077" s="15" t="str">
        <f aca="false">IFERROR(__xludf.dummyfunction("XLOOKUP(AJ3077,IMPORTRANGE(""1XaInW9DU9nz21V0tYIfzFQ0He9kVQ_JF2mCXgZ3hqFA"",""REKAP ALL 2026 - Andika!G:G""),IMPORTRANGE(""1XaInW9DU9nz21V0tYIfzFQ0He9kVQ_JF2mCXgZ3hqFA"",""REKAP ALL 2026 - Andika!F:F""),"""",0)"),"26020757279")</f>
        <v>26020757279</v>
      </c>
      <c r="G3077" s="13" t="s">
        <v>1127</v>
      </c>
      <c r="H3077" s="13" t="s">
        <v>35</v>
      </c>
      <c r="I3077" s="13" t="str">
        <f aca="false">IF(C3077=J3077,"NEW KONTRAK","RE-KONTRAK")</f>
        <v>NEW KONTRAK</v>
      </c>
      <c r="J3077" s="16" t="n">
        <f aca="false" t="array" ref="J3077:J3077">IFERROR(INDEX(AC3077:AE3077,IF(COUNTA(AC3077:AE3077)=0,"",MAX((AC3077:AE3077&lt;&gt;"")*(COLUMN(AC3077:AE3077)-(COLUMN(AC3077)))))-1),"")</f>
        <v>46023</v>
      </c>
      <c r="K3077" s="16" t="n">
        <f aca="false" t="array" ref="K3077:K3077">IFERROR(INDEX(AC3077:AE3077,IF(COUNTA(AC3077:AE3077)=0,"",MAX((AC3077:AE3077&lt;&gt;"")*(COLUMN(AC3077:AE3077)-(COLUMN(AC3077)-1))))-1),"")</f>
        <v>46387</v>
      </c>
      <c r="L3077" s="17" t="str">
        <f aca="false" t="array" ref="L3077:L3077">IFERROR(INDEX(AC3077:AE3077,IF(COUNTA(AC3077:AE3077)=0,"",MAX((AC3077:AE3077&lt;&gt;"")*(COLUMN(AC3077:AE3077)-(COLUMN(AC3077)-2))))-1),"")</f>
        <v>ARCHIVED</v>
      </c>
      <c r="M3077" s="13" t="n">
        <f aca="true">K3077-TODAY()</f>
        <v>63</v>
      </c>
      <c r="N3077" s="18" t="s">
        <v>36</v>
      </c>
      <c r="O3077" s="13" t="s">
        <v>12815</v>
      </c>
      <c r="P3077" s="19" t="n">
        <v>5195401</v>
      </c>
      <c r="Q3077" s="47" t="s">
        <v>12850</v>
      </c>
      <c r="R3077" s="13" t="s">
        <v>148</v>
      </c>
      <c r="S3077" s="16" t="n">
        <v>38372</v>
      </c>
      <c r="T3077" s="13" t="s">
        <v>40</v>
      </c>
      <c r="U3077" s="13" t="s">
        <v>12851</v>
      </c>
      <c r="V3077" s="13" t="s">
        <v>42</v>
      </c>
      <c r="W3077" s="13" t="s">
        <v>43</v>
      </c>
      <c r="X3077" s="30" t="n">
        <v>85742258313</v>
      </c>
      <c r="Y3077" s="22" t="str">
        <f aca="false">O3077</f>
        <v>Cook Helper</v>
      </c>
      <c r="Z3077" s="13" t="str">
        <f aca="false">IFERROR(__xludf.dummyfunction("if(BJ3077="""","""",GOOGLETRANSLATE(BJ3077,""auto"",""en""))"),"Cook Helper")</f>
        <v>Cook Helper</v>
      </c>
      <c r="AA3077" s="23" t="str">
        <f aca="false">IF(C3077="","", CHOOSE(MONTH(C3077),"January","February","March","April","May","June","July","August","September","October","November","December")&amp;" "&amp;DAY(C3077)&amp;MID("thstndrdth",MIN(9,2*RIGHT(DAY(C3077))*(MOD(DAY(C3077)-11,100)&gt;2)+1),2)&amp;","&amp;TEXT(C3077," yyyy"))</f>
        <v>January 1st,2026</v>
      </c>
      <c r="AB3077" s="15" t="str">
        <f aca="true">IF(S3077="","",DATEDIF(S3077,TODAY(),"Y")&amp;" Tahun, "&amp;DATEDIF(S3077,TODAY(),"YM")&amp;" Bulan, "&amp;DATEDIF(S3077,TODAY(),"MD")&amp;" Hari")</f>
        <v>21 Tahun, 9 Bulan, 9 Hari</v>
      </c>
      <c r="AC3077" s="18" t="n">
        <v>46023</v>
      </c>
      <c r="AD3077" s="18" t="n">
        <f aca="false">EDATE(AC3077,12)-1</f>
        <v>46387</v>
      </c>
      <c r="AE3077" s="13" t="s">
        <v>44</v>
      </c>
    </row>
    <row r="3078" customFormat="false" ht="15" hidden="false" customHeight="true" outlineLevel="0" collapsed="false">
      <c r="A3078" s="12" t="n">
        <v>21637</v>
      </c>
      <c r="B3078" s="13" t="s">
        <v>12852</v>
      </c>
      <c r="C3078" s="16" t="n">
        <v>46023</v>
      </c>
      <c r="D3078" s="13" t="s">
        <v>12814</v>
      </c>
      <c r="E3078" s="15" t="s">
        <v>47</v>
      </c>
      <c r="F3078" s="15" t="str">
        <f aca="false">IFERROR(__xludf.dummyfunction("XLOOKUP(AJ3078,IMPORTRANGE(""1XaInW9DU9nz21V0tYIfzFQ0He9kVQ_JF2mCXgZ3hqFA"",""REKAP ALL 2026 - Andika!G:G""),IMPORTRANGE(""1XaInW9DU9nz21V0tYIfzFQ0He9kVQ_JF2mCXgZ3hqFA"",""REKAP ALL 2026 - Andika!F:F""),"""",0)"),"26020757303")</f>
        <v>26020757303</v>
      </c>
      <c r="G3078" s="13" t="s">
        <v>1127</v>
      </c>
      <c r="H3078" s="13" t="s">
        <v>35</v>
      </c>
      <c r="I3078" s="13" t="str">
        <f aca="false">IF(C3078=J3078,"NEW KONTRAK","RE-KONTRAK")</f>
        <v>NEW KONTRAK</v>
      </c>
      <c r="J3078" s="16" t="n">
        <f aca="false" t="array" ref="J3078:J3078">IFERROR(INDEX(AC3078:AE3078,IF(COUNTA(AC3078:AE3078)=0,"",MAX((AC3078:AE3078&lt;&gt;"")*(COLUMN(AC3078:AE3078)-(COLUMN(AC3078)))))-1),"")</f>
        <v>46023</v>
      </c>
      <c r="K3078" s="16" t="n">
        <f aca="false" t="array" ref="K3078:K3078">IFERROR(INDEX(AC3078:AE3078,IF(COUNTA(AC3078:AE3078)=0,"",MAX((AC3078:AE3078&lt;&gt;"")*(COLUMN(AC3078:AE3078)-(COLUMN(AC3078)-1))))-1),"")</f>
        <v>46387</v>
      </c>
      <c r="L3078" s="17" t="str">
        <f aca="false" t="array" ref="L3078:L3078">IFERROR(INDEX(AC3078:AE3078,IF(COUNTA(AC3078:AE3078)=0,"",MAX((AC3078:AE3078&lt;&gt;"")*(COLUMN(AC3078:AE3078)-(COLUMN(AC3078)-2))))-1),"")</f>
        <v>KEMBALI</v>
      </c>
      <c r="M3078" s="13" t="n">
        <f aca="true">K3078-TODAY()</f>
        <v>63</v>
      </c>
      <c r="N3078" s="18" t="s">
        <v>36</v>
      </c>
      <c r="O3078" s="13" t="s">
        <v>12815</v>
      </c>
      <c r="P3078" s="19" t="n">
        <v>5195401</v>
      </c>
      <c r="Q3078" s="47" t="s">
        <v>12853</v>
      </c>
      <c r="R3078" s="13" t="s">
        <v>78</v>
      </c>
      <c r="S3078" s="16" t="n">
        <v>33986</v>
      </c>
      <c r="T3078" s="13" t="s">
        <v>40</v>
      </c>
      <c r="U3078" s="13" t="s">
        <v>12854</v>
      </c>
      <c r="V3078" s="13" t="s">
        <v>42</v>
      </c>
      <c r="W3078" s="13" t="s">
        <v>54</v>
      </c>
      <c r="X3078" s="30" t="n">
        <v>82237058957</v>
      </c>
      <c r="Y3078" s="22" t="str">
        <f aca="false">O3078</f>
        <v>Cook Helper</v>
      </c>
      <c r="Z3078" s="13" t="str">
        <f aca="false">IFERROR(__xludf.dummyfunction("if(BJ3078="""","""",GOOGLETRANSLATE(BJ3078,""auto"",""en""))"),"Cook Helper")</f>
        <v>Cook Helper</v>
      </c>
      <c r="AA3078" s="23" t="str">
        <f aca="false">IF(C3078="","", CHOOSE(MONTH(C3078),"January","February","March","April","May","June","July","August","September","October","November","December")&amp;" "&amp;DAY(C3078)&amp;MID("thstndrdth",MIN(9,2*RIGHT(DAY(C3078))*(MOD(DAY(C3078)-11,100)&gt;2)+1),2)&amp;","&amp;TEXT(C3078," yyyy"))</f>
        <v>January 1st,2026</v>
      </c>
      <c r="AB3078" s="15" t="str">
        <f aca="true">IF(S3078="","",DATEDIF(S3078,TODAY(),"Y")&amp;" Tahun, "&amp;DATEDIF(S3078,TODAY(),"YM")&amp;" Bulan, "&amp;DATEDIF(S3078,TODAY(),"MD")&amp;" Hari")</f>
        <v>33 Tahun, 9 Bulan, 12 Hari</v>
      </c>
      <c r="AC3078" s="18" t="n">
        <v>46023</v>
      </c>
      <c r="AD3078" s="18" t="n">
        <f aca="false">EDATE(AC3078,12)-1</f>
        <v>46387</v>
      </c>
      <c r="AE3078" s="13" t="s">
        <v>397</v>
      </c>
    </row>
    <row r="3079" customFormat="false" ht="15" hidden="false" customHeight="true" outlineLevel="0" collapsed="false">
      <c r="A3079" s="12" t="n">
        <v>21638</v>
      </c>
      <c r="B3079" s="13" t="s">
        <v>12855</v>
      </c>
      <c r="C3079" s="16" t="n">
        <v>46023</v>
      </c>
      <c r="D3079" s="13" t="s">
        <v>12814</v>
      </c>
      <c r="E3079" s="15" t="s">
        <v>47</v>
      </c>
      <c r="F3079" s="15" t="str">
        <f aca="false">IFERROR(__xludf.dummyfunction("XLOOKUP(AJ3079,IMPORTRANGE(""1XaInW9DU9nz21V0tYIfzFQ0He9kVQ_JF2mCXgZ3hqFA"",""REKAP ALL 2026 - Andika!G:G""),IMPORTRANGE(""1XaInW9DU9nz21V0tYIfzFQ0He9kVQ_JF2mCXgZ3hqFA"",""REKAP ALL 2026 - Andika!F:F""),"""",0)"),"26020757337")</f>
        <v>26020757337</v>
      </c>
      <c r="G3079" s="13" t="s">
        <v>1127</v>
      </c>
      <c r="H3079" s="13" t="s">
        <v>35</v>
      </c>
      <c r="I3079" s="13" t="str">
        <f aca="false">IF(C3079=J3079,"NEW KONTRAK","RE-KONTRAK")</f>
        <v>NEW KONTRAK</v>
      </c>
      <c r="J3079" s="16" t="n">
        <f aca="false" t="array" ref="J3079:J3079">IFERROR(INDEX(AC3079:AE3079,IF(COUNTA(AC3079:AE3079)=0,"",MAX((AC3079:AE3079&lt;&gt;"")*(COLUMN(AC3079:AE3079)-(COLUMN(AC3079)))))-1),"")</f>
        <v>46023</v>
      </c>
      <c r="K3079" s="16" t="n">
        <f aca="false" t="array" ref="K3079:K3079">IFERROR(INDEX(AC3079:AE3079,IF(COUNTA(AC3079:AE3079)=0,"",MAX((AC3079:AE3079&lt;&gt;"")*(COLUMN(AC3079:AE3079)-(COLUMN(AC3079)-1))))-1),"")</f>
        <v>46387</v>
      </c>
      <c r="L3079" s="17" t="str">
        <f aca="false" t="array" ref="L3079:L3079">IFERROR(INDEX(AC3079:AE3079,IF(COUNTA(AC3079:AE3079)=0,"",MAX((AC3079:AE3079&lt;&gt;"")*(COLUMN(AC3079:AE3079)-(COLUMN(AC3079)-2))))-1),"")</f>
        <v>KEMBALI</v>
      </c>
      <c r="M3079" s="13" t="n">
        <f aca="true">K3079-TODAY()</f>
        <v>63</v>
      </c>
      <c r="N3079" s="18" t="s">
        <v>36</v>
      </c>
      <c r="O3079" s="13" t="s">
        <v>12815</v>
      </c>
      <c r="P3079" s="19" t="n">
        <v>5195401</v>
      </c>
      <c r="Q3079" s="47" t="s">
        <v>12856</v>
      </c>
      <c r="R3079" s="13" t="s">
        <v>227</v>
      </c>
      <c r="S3079" s="16" t="n">
        <v>34106</v>
      </c>
      <c r="T3079" s="13" t="s">
        <v>108</v>
      </c>
      <c r="U3079" s="13" t="s">
        <v>12857</v>
      </c>
      <c r="V3079" s="13" t="s">
        <v>42</v>
      </c>
      <c r="W3079" s="13" t="s">
        <v>54</v>
      </c>
      <c r="X3079" s="30" t="n">
        <v>82291146786</v>
      </c>
      <c r="Y3079" s="22" t="str">
        <f aca="false">O3079</f>
        <v>Cook Helper</v>
      </c>
      <c r="Z3079" s="13" t="str">
        <f aca="false">IFERROR(__xludf.dummyfunction("if(BJ3079="""","""",GOOGLETRANSLATE(BJ3079,""auto"",""en""))"),"Cook Helper")</f>
        <v>Cook Helper</v>
      </c>
      <c r="AA3079" s="23" t="str">
        <f aca="false">IF(C3079="","", CHOOSE(MONTH(C3079),"January","February","March","April","May","June","July","August","September","October","November","December")&amp;" "&amp;DAY(C3079)&amp;MID("thstndrdth",MIN(9,2*RIGHT(DAY(C3079))*(MOD(DAY(C3079)-11,100)&gt;2)+1),2)&amp;","&amp;TEXT(C3079," yyyy"))</f>
        <v>January 1st,2026</v>
      </c>
      <c r="AB3079" s="15" t="str">
        <f aca="true">IF(S3079="","",DATEDIF(S3079,TODAY(),"Y")&amp;" Tahun, "&amp;DATEDIF(S3079,TODAY(),"YM")&amp;" Bulan, "&amp;DATEDIF(S3079,TODAY(),"MD")&amp;" Hari")</f>
        <v>33 Tahun, 5 Bulan, 12 Hari</v>
      </c>
      <c r="AC3079" s="18" t="n">
        <v>46023</v>
      </c>
      <c r="AD3079" s="18" t="n">
        <f aca="false">EDATE(AC3079,12)-1</f>
        <v>46387</v>
      </c>
      <c r="AE3079" s="13" t="s">
        <v>397</v>
      </c>
    </row>
    <row r="3080" customFormat="false" ht="15" hidden="false" customHeight="true" outlineLevel="0" collapsed="false">
      <c r="A3080" s="12" t="n">
        <v>21639</v>
      </c>
      <c r="B3080" s="13" t="s">
        <v>12858</v>
      </c>
      <c r="C3080" s="16" t="n">
        <v>46023</v>
      </c>
      <c r="D3080" s="13" t="s">
        <v>12814</v>
      </c>
      <c r="E3080" s="15" t="s">
        <v>102</v>
      </c>
      <c r="F3080" s="24" t="s">
        <v>12859</v>
      </c>
      <c r="G3080" s="13" t="s">
        <v>1127</v>
      </c>
      <c r="H3080" s="13" t="s">
        <v>35</v>
      </c>
      <c r="I3080" s="13" t="str">
        <f aca="false">IF(C3080=J3080,"NEW KONTRAK","RE-KONTRAK")</f>
        <v>NEW KONTRAK</v>
      </c>
      <c r="J3080" s="16" t="n">
        <f aca="false" t="array" ref="J3080:J3080">IFERROR(INDEX(AC3080:AE3080,IF(COUNTA(AC3080:AE3080)=0,"",MAX((AC3080:AE3080&lt;&gt;"")*(COLUMN(AC3080:AE3080)-(COLUMN(AC3080)))))-1),"")</f>
        <v>46023</v>
      </c>
      <c r="K3080" s="16" t="n">
        <f aca="false" t="array" ref="K3080:K3080">IFERROR(INDEX(AC3080:AE3080,IF(COUNTA(AC3080:AE3080)=0,"",MAX((AC3080:AE3080&lt;&gt;"")*(COLUMN(AC3080:AE3080)-(COLUMN(AC3080)-1))))-1),"")</f>
        <v>46387</v>
      </c>
      <c r="L3080" s="17" t="str">
        <f aca="false" t="array" ref="L3080:L3080">IFERROR(INDEX(AC3080:AE3080,IF(COUNTA(AC3080:AE3080)=0,"",MAX((AC3080:AE3080&lt;&gt;"")*(COLUMN(AC3080:AE3080)-(COLUMN(AC3080)-2))))-1),"")</f>
        <v>ARCHIVED</v>
      </c>
      <c r="M3080" s="13" t="n">
        <f aca="true">K3080-TODAY()</f>
        <v>63</v>
      </c>
      <c r="N3080" s="18" t="s">
        <v>36</v>
      </c>
      <c r="O3080" s="13" t="s">
        <v>12815</v>
      </c>
      <c r="P3080" s="19" t="n">
        <v>5195401</v>
      </c>
      <c r="Q3080" s="47" t="s">
        <v>12860</v>
      </c>
      <c r="R3080" s="13" t="s">
        <v>52</v>
      </c>
      <c r="S3080" s="16" t="n">
        <v>34346</v>
      </c>
      <c r="T3080" s="13" t="s">
        <v>108</v>
      </c>
      <c r="U3080" s="13" t="s">
        <v>12861</v>
      </c>
      <c r="V3080" s="13" t="s">
        <v>42</v>
      </c>
      <c r="W3080" s="13" t="s">
        <v>54</v>
      </c>
      <c r="X3080" s="30" t="n">
        <v>89691251778</v>
      </c>
      <c r="Y3080" s="22" t="str">
        <f aca="false">O3080</f>
        <v>Cook Helper</v>
      </c>
      <c r="Z3080" s="13" t="str">
        <f aca="false">IFERROR(__xludf.dummyfunction("if(BJ3080="""","""",GOOGLETRANSLATE(BJ3080,""auto"",""en""))"),"Cook Helper")</f>
        <v>Cook Helper</v>
      </c>
      <c r="AA3080" s="23" t="str">
        <f aca="false">IF(C3080="","", CHOOSE(MONTH(C3080),"January","February","March","April","May","June","July","August","September","October","November","December")&amp;" "&amp;DAY(C3080)&amp;MID("thstndrdth",MIN(9,2*RIGHT(DAY(C3080))*(MOD(DAY(C3080)-11,100)&gt;2)+1),2)&amp;","&amp;TEXT(C3080," yyyy"))</f>
        <v>January 1st,2026</v>
      </c>
      <c r="AB3080" s="15" t="str">
        <f aca="true">IF(S3080="","",DATEDIF(S3080,TODAY(),"Y")&amp;" Tahun, "&amp;DATEDIF(S3080,TODAY(),"YM")&amp;" Bulan, "&amp;DATEDIF(S3080,TODAY(),"MD")&amp;" Hari")</f>
        <v>32 Tahun, 9 Bulan, 17 Hari</v>
      </c>
      <c r="AC3080" s="18" t="n">
        <v>46023</v>
      </c>
      <c r="AD3080" s="18" t="n">
        <f aca="false">EDATE(AC3080,12)-1</f>
        <v>46387</v>
      </c>
      <c r="AE3080" s="13" t="s">
        <v>44</v>
      </c>
    </row>
    <row r="3081" customFormat="false" ht="15" hidden="false" customHeight="true" outlineLevel="0" collapsed="false">
      <c r="A3081" s="12" t="n">
        <v>21640</v>
      </c>
      <c r="B3081" s="13" t="s">
        <v>12862</v>
      </c>
      <c r="C3081" s="16" t="n">
        <v>46023</v>
      </c>
      <c r="D3081" s="13" t="s">
        <v>12814</v>
      </c>
      <c r="E3081" s="15" t="s">
        <v>47</v>
      </c>
      <c r="F3081" s="15" t="str">
        <f aca="false">IFERROR(__xludf.dummyfunction("XLOOKUP(AJ3081,IMPORTRANGE(""1XaInW9DU9nz21V0tYIfzFQ0He9kVQ_JF2mCXgZ3hqFA"",""REKAP ALL 2026 - Andika!G:G""),IMPORTRANGE(""1XaInW9DU9nz21V0tYIfzFQ0He9kVQ_JF2mCXgZ3hqFA"",""REKAP ALL 2026 - Andika!F:F""),"""",0)"),"26020757048")</f>
        <v>26020757048</v>
      </c>
      <c r="G3081" s="13" t="s">
        <v>1127</v>
      </c>
      <c r="H3081" s="13" t="s">
        <v>35</v>
      </c>
      <c r="I3081" s="13" t="str">
        <f aca="false">IF(C3081=J3081,"NEW KONTRAK","RE-KONTRAK")</f>
        <v>NEW KONTRAK</v>
      </c>
      <c r="J3081" s="16" t="n">
        <f aca="false" t="array" ref="J3081:J3081">IFERROR(INDEX(AC3081:AE3081,IF(COUNTA(AC3081:AE3081)=0,"",MAX((AC3081:AE3081&lt;&gt;"")*(COLUMN(AC3081:AE3081)-(COLUMN(AC3081)))))-1),"")</f>
        <v>46023</v>
      </c>
      <c r="K3081" s="16" t="n">
        <f aca="false" t="array" ref="K3081:K3081">IFERROR(INDEX(AC3081:AE3081,IF(COUNTA(AC3081:AE3081)=0,"",MAX((AC3081:AE3081&lt;&gt;"")*(COLUMN(AC3081:AE3081)-(COLUMN(AC3081)-1))))-1),"")</f>
        <v>46387</v>
      </c>
      <c r="L3081" s="17" t="str">
        <f aca="false" t="array" ref="L3081:L3081">IFERROR(INDEX(AC3081:AE3081,IF(COUNTA(AC3081:AE3081)=0,"",MAX((AC3081:AE3081&lt;&gt;"")*(COLUMN(AC3081:AE3081)-(COLUMN(AC3081)-2))))-1),"")</f>
        <v>KEMBALI</v>
      </c>
      <c r="M3081" s="13" t="n">
        <f aca="true">K3081-TODAY()</f>
        <v>63</v>
      </c>
      <c r="N3081" s="18" t="s">
        <v>36</v>
      </c>
      <c r="O3081" s="13" t="s">
        <v>12815</v>
      </c>
      <c r="P3081" s="19" t="n">
        <v>5195401</v>
      </c>
      <c r="Q3081" s="47" t="s">
        <v>12863</v>
      </c>
      <c r="R3081" s="13" t="s">
        <v>879</v>
      </c>
      <c r="S3081" s="16" t="n">
        <v>29405</v>
      </c>
      <c r="T3081" s="13" t="s">
        <v>108</v>
      </c>
      <c r="U3081" s="13" t="s">
        <v>12864</v>
      </c>
      <c r="V3081" s="13" t="s">
        <v>42</v>
      </c>
      <c r="W3081" s="13" t="s">
        <v>54</v>
      </c>
      <c r="X3081" s="30" t="n">
        <v>87828922680</v>
      </c>
      <c r="Y3081" s="22" t="str">
        <f aca="false">O3081</f>
        <v>Cook Helper</v>
      </c>
      <c r="Z3081" s="13" t="str">
        <f aca="false">IFERROR(__xludf.dummyfunction("if(BJ3081="""","""",GOOGLETRANSLATE(BJ3081,""auto"",""en""))"),"Cook Helper")</f>
        <v>Cook Helper</v>
      </c>
      <c r="AA3081" s="23" t="str">
        <f aca="false">IF(C3081="","", CHOOSE(MONTH(C3081),"January","February","March","April","May","June","July","August","September","October","November","December")&amp;" "&amp;DAY(C3081)&amp;MID("thstndrdth",MIN(9,2*RIGHT(DAY(C3081))*(MOD(DAY(C3081)-11,100)&gt;2)+1),2)&amp;","&amp;TEXT(C3081," yyyy"))</f>
        <v>January 1st,2026</v>
      </c>
      <c r="AB3081" s="15" t="str">
        <f aca="true">IF(S3081="","",DATEDIF(S3081,TODAY(),"Y")&amp;" Tahun, "&amp;DATEDIF(S3081,TODAY(),"YM")&amp;" Bulan, "&amp;DATEDIF(S3081,TODAY(),"MD")&amp;" Hari")</f>
        <v>46 Tahun, 3 Bulan, 26 Hari</v>
      </c>
      <c r="AC3081" s="18" t="n">
        <v>46023</v>
      </c>
      <c r="AD3081" s="18" t="n">
        <f aca="false">EDATE(AC3081,12)-1</f>
        <v>46387</v>
      </c>
      <c r="AE3081" s="13" t="s">
        <v>397</v>
      </c>
    </row>
    <row r="3082" customFormat="false" ht="15" hidden="false" customHeight="true" outlineLevel="0" collapsed="false">
      <c r="A3082" s="12" t="n">
        <v>21641</v>
      </c>
      <c r="B3082" s="13" t="s">
        <v>12865</v>
      </c>
      <c r="C3082" s="16" t="n">
        <v>46023</v>
      </c>
      <c r="D3082" s="13" t="s">
        <v>12814</v>
      </c>
      <c r="E3082" s="15" t="s">
        <v>47</v>
      </c>
      <c r="F3082" s="15" t="str">
        <f aca="false">IFERROR(__xludf.dummyfunction("XLOOKUP(AJ3082,IMPORTRANGE(""1XaInW9DU9nz21V0tYIfzFQ0He9kVQ_JF2mCXgZ3hqFA"",""REKAP ALL 2026 - Andika!G:G""),IMPORTRANGE(""1XaInW9DU9nz21V0tYIfzFQ0He9kVQ_JF2mCXgZ3hqFA"",""REKAP ALL 2026 - Andika!F:F""),"""",0)"),"26020757394")</f>
        <v>26020757394</v>
      </c>
      <c r="G3082" s="13" t="s">
        <v>1127</v>
      </c>
      <c r="H3082" s="13" t="s">
        <v>35</v>
      </c>
      <c r="I3082" s="13" t="str">
        <f aca="false">IF(C3082=J3082,"NEW KONTRAK","RE-KONTRAK")</f>
        <v>NEW KONTRAK</v>
      </c>
      <c r="J3082" s="16" t="n">
        <f aca="false" t="array" ref="J3082:J3082">IFERROR(INDEX(AC3082:AE3082,IF(COUNTA(AC3082:AE3082)=0,"",MAX((AC3082:AE3082&lt;&gt;"")*(COLUMN(AC3082:AE3082)-(COLUMN(AC3082)))))-1),"")</f>
        <v>46023</v>
      </c>
      <c r="K3082" s="16" t="n">
        <f aca="false" t="array" ref="K3082:K3082">IFERROR(INDEX(AC3082:AE3082,IF(COUNTA(AC3082:AE3082)=0,"",MAX((AC3082:AE3082&lt;&gt;"")*(COLUMN(AC3082:AE3082)-(COLUMN(AC3082)-1))))-1),"")</f>
        <v>46387</v>
      </c>
      <c r="L3082" s="17" t="str">
        <f aca="false" t="array" ref="L3082:L3082">IFERROR(INDEX(AC3082:AE3082,IF(COUNTA(AC3082:AE3082)=0,"",MAX((AC3082:AE3082&lt;&gt;"")*(COLUMN(AC3082:AE3082)-(COLUMN(AC3082)-2))))-1),"")</f>
        <v>KEMBALI</v>
      </c>
      <c r="M3082" s="13" t="n">
        <f aca="true">K3082-TODAY()</f>
        <v>63</v>
      </c>
      <c r="N3082" s="18" t="s">
        <v>36</v>
      </c>
      <c r="O3082" s="13" t="s">
        <v>12815</v>
      </c>
      <c r="P3082" s="19" t="n">
        <v>5195401</v>
      </c>
      <c r="Q3082" s="47" t="s">
        <v>12866</v>
      </c>
      <c r="R3082" s="13" t="s">
        <v>65</v>
      </c>
      <c r="S3082" s="16" t="n">
        <v>37575</v>
      </c>
      <c r="T3082" s="13" t="s">
        <v>108</v>
      </c>
      <c r="U3082" s="13" t="s">
        <v>12867</v>
      </c>
      <c r="V3082" s="13" t="s">
        <v>42</v>
      </c>
      <c r="W3082" s="13" t="s">
        <v>43</v>
      </c>
      <c r="X3082" s="30" t="n">
        <v>82182422535</v>
      </c>
      <c r="Y3082" s="22" t="str">
        <f aca="false">O3082</f>
        <v>Cook Helper</v>
      </c>
      <c r="Z3082" s="13" t="str">
        <f aca="false">IFERROR(__xludf.dummyfunction("if(BJ3082="""","""",GOOGLETRANSLATE(BJ3082,""auto"",""en""))"),"Cook Helper")</f>
        <v>Cook Helper</v>
      </c>
      <c r="AA3082" s="23" t="str">
        <f aca="false">IF(C3082="","", CHOOSE(MONTH(C3082),"January","February","March","April","May","June","July","August","September","October","November","December")&amp;" "&amp;DAY(C3082)&amp;MID("thstndrdth",MIN(9,2*RIGHT(DAY(C3082))*(MOD(DAY(C3082)-11,100)&gt;2)+1),2)&amp;","&amp;TEXT(C3082," yyyy"))</f>
        <v>January 1st,2026</v>
      </c>
      <c r="AB3082" s="15" t="str">
        <f aca="true">IF(S3082="","",DATEDIF(S3082,TODAY(),"Y")&amp;" Tahun, "&amp;DATEDIF(S3082,TODAY(),"YM")&amp;" Bulan, "&amp;DATEDIF(S3082,TODAY(),"MD")&amp;" Hari")</f>
        <v>23 Tahun, 11 Bulan, 14 Hari</v>
      </c>
      <c r="AC3082" s="18" t="n">
        <v>46023</v>
      </c>
      <c r="AD3082" s="18" t="n">
        <f aca="false">EDATE(AC3082,12)-1</f>
        <v>46387</v>
      </c>
      <c r="AE3082" s="13" t="s">
        <v>397</v>
      </c>
    </row>
    <row r="3083" customFormat="false" ht="15" hidden="false" customHeight="true" outlineLevel="0" collapsed="false">
      <c r="A3083" s="12" t="n">
        <v>21642</v>
      </c>
      <c r="B3083" s="13" t="s">
        <v>12868</v>
      </c>
      <c r="C3083" s="16" t="n">
        <v>46024</v>
      </c>
      <c r="D3083" s="13" t="s">
        <v>1338</v>
      </c>
      <c r="E3083" s="15" t="s">
        <v>789</v>
      </c>
      <c r="F3083" s="15" t="str">
        <f aca="false">IFERROR(__xludf.dummyfunction("XLOOKUP(AJ3083,IMPORTRANGE(""1XaInW9DU9nz21V0tYIfzFQ0He9kVQ_JF2mCXgZ3hqFA"",""REKAP ALL 2026 - Andika!G:G""),IMPORTRANGE(""1XaInW9DU9nz21V0tYIfzFQ0He9kVQ_JF2mCXgZ3hqFA"",""REKAP ALL 2026 - Andika!F:F""),"""",0)"),"26020755091")</f>
        <v>26020755091</v>
      </c>
      <c r="G3083" s="13" t="s">
        <v>57</v>
      </c>
      <c r="H3083" s="13" t="s">
        <v>3024</v>
      </c>
      <c r="I3083" s="13" t="str">
        <f aca="false">IF(C3083=J3083,"NEW KONTRAK","RE-KONTRAK")</f>
        <v>NEW KONTRAK</v>
      </c>
      <c r="J3083" s="16" t="n">
        <f aca="false" t="array" ref="J3083:J3083">IFERROR(INDEX(AC3083:AE3083,IF(COUNTA(AC3083:AE3083)=0,"",MAX((AC3083:AE3083&lt;&gt;"")*(COLUMN(AC3083:AE3083)-(COLUMN(AC3083)))))-1),"")</f>
        <v>46024</v>
      </c>
      <c r="K3083" s="16" t="n">
        <f aca="false" t="array" ref="K3083:K3083">IFERROR(INDEX(AC3083:AE3083,IF(COUNTA(AC3083:AE3083)=0,"",MAX((AC3083:AE3083&lt;&gt;"")*(COLUMN(AC3083:AE3083)-(COLUMN(AC3083)-1))))-1),"")</f>
        <v>46142</v>
      </c>
      <c r="L3083" s="17" t="str">
        <f aca="false" t="array" ref="L3083:L3083">IFERROR(INDEX(AC3083:AE3083,IF(COUNTA(AC3083:AE3083)=0,"",MAX((AC3083:AE3083&lt;&gt;"")*(COLUMN(AC3083:AE3083)-(COLUMN(AC3083)-2))))-1),"")</f>
        <v>KEMBALI</v>
      </c>
      <c r="M3083" s="13" t="n">
        <f aca="true">K3083-TODAY()</f>
        <v>-182</v>
      </c>
      <c r="N3083" s="18" t="s">
        <v>615</v>
      </c>
      <c r="O3083" s="13" t="s">
        <v>2335</v>
      </c>
      <c r="P3083" s="19" t="n">
        <v>160000</v>
      </c>
      <c r="Q3083" s="47" t="s">
        <v>12869</v>
      </c>
      <c r="R3083" s="13" t="s">
        <v>763</v>
      </c>
      <c r="S3083" s="16" t="n">
        <v>37969</v>
      </c>
      <c r="T3083" s="28" t="s">
        <v>40</v>
      </c>
      <c r="U3083" s="13" t="s">
        <v>12870</v>
      </c>
      <c r="V3083" s="13" t="s">
        <v>42</v>
      </c>
      <c r="W3083" s="13" t="s">
        <v>43</v>
      </c>
      <c r="X3083" s="21" t="n">
        <v>85748521663</v>
      </c>
      <c r="Y3083" s="22" t="str">
        <f aca="false">O3083</f>
        <v>Project Management</v>
      </c>
      <c r="Z3083" s="13" t="str">
        <f aca="false">IFERROR(__xludf.dummyfunction("if(BJ3083="""","""",GOOGLETRANSLATE(BJ3083,""auto"",""en""))"),"Project Management")</f>
        <v>Project Management</v>
      </c>
      <c r="AA3083" s="23" t="str">
        <f aca="false">IF(C3083="","", CHOOSE(MONTH(C3083),"January","February","March","April","May","June","July","August","September","October","November","December")&amp;" "&amp;DAY(C3083)&amp;MID("thstndrdth",MIN(9,2*RIGHT(DAY(C3083))*(MOD(DAY(C3083)-11,100)&gt;2)+1),2)&amp;","&amp;TEXT(C3083," yyyy"))</f>
        <v>January 2nd,2026</v>
      </c>
      <c r="AB3083" s="15" t="str">
        <f aca="true">IF(S3083="","",DATEDIF(S3083,TODAY(),"Y")&amp;" Tahun, "&amp;DATEDIF(S3083,TODAY(),"YM")&amp;" Bulan, "&amp;DATEDIF(S3083,TODAY(),"MD")&amp;" Hari")</f>
        <v>22 Tahun, 10 Bulan, 15 Hari</v>
      </c>
      <c r="AC3083" s="18" t="n">
        <v>46024</v>
      </c>
      <c r="AD3083" s="18" t="n">
        <v>46142</v>
      </c>
      <c r="AE3083" s="13" t="s">
        <v>397</v>
      </c>
    </row>
    <row r="3084" customFormat="false" ht="15" hidden="false" customHeight="true" outlineLevel="0" collapsed="false">
      <c r="A3084" s="12" t="n">
        <v>21643</v>
      </c>
      <c r="B3084" s="13" t="s">
        <v>12871</v>
      </c>
      <c r="C3084" s="16" t="n">
        <v>46024</v>
      </c>
      <c r="D3084" s="13" t="s">
        <v>1338</v>
      </c>
      <c r="E3084" s="15" t="s">
        <v>102</v>
      </c>
      <c r="F3084" s="24" t="s">
        <v>12872</v>
      </c>
      <c r="G3084" s="13" t="s">
        <v>57</v>
      </c>
      <c r="H3084" s="13" t="s">
        <v>3024</v>
      </c>
      <c r="I3084" s="13" t="str">
        <f aca="false">IF(C3084=J3084,"NEW KONTRAK","RE-KONTRAK")</f>
        <v>NEW KONTRAK</v>
      </c>
      <c r="J3084" s="16" t="n">
        <f aca="false" t="array" ref="J3084:J3084">IFERROR(INDEX(AC3084:AE3084,IF(COUNTA(AC3084:AE3084)=0,"",MAX((AC3084:AE3084&lt;&gt;"")*(COLUMN(AC3084:AE3084)-(COLUMN(AC3084)))))-1),"")</f>
        <v>46024</v>
      </c>
      <c r="K3084" s="16" t="n">
        <f aca="false" t="array" ref="K3084:K3084">IFERROR(INDEX(AC3084:AE3084,IF(COUNTA(AC3084:AE3084)=0,"",MAX((AC3084:AE3084&lt;&gt;"")*(COLUMN(AC3084:AE3084)-(COLUMN(AC3084)-1))))-1),"")</f>
        <v>46142</v>
      </c>
      <c r="L3084" s="17" t="str">
        <f aca="false" t="array" ref="L3084:L3084">IFERROR(INDEX(AC3084:AE3084,IF(COUNTA(AC3084:AE3084)=0,"",MAX((AC3084:AE3084&lt;&gt;"")*(COLUMN(AC3084:AE3084)-(COLUMN(AC3084)-2))))-1),"")</f>
        <v>ARCHIVED</v>
      </c>
      <c r="M3084" s="13" t="n">
        <f aca="true">K3084-TODAY()</f>
        <v>-182</v>
      </c>
      <c r="N3084" s="18" t="s">
        <v>615</v>
      </c>
      <c r="O3084" s="13" t="s">
        <v>2335</v>
      </c>
      <c r="P3084" s="19" t="n">
        <v>160000</v>
      </c>
      <c r="Q3084" s="47" t="s">
        <v>12873</v>
      </c>
      <c r="R3084" s="13" t="s">
        <v>232</v>
      </c>
      <c r="S3084" s="16" t="n">
        <v>39246</v>
      </c>
      <c r="T3084" s="28" t="s">
        <v>40</v>
      </c>
      <c r="U3084" s="13" t="s">
        <v>12874</v>
      </c>
      <c r="V3084" s="13" t="s">
        <v>42</v>
      </c>
      <c r="W3084" s="13" t="s">
        <v>43</v>
      </c>
      <c r="X3084" s="21" t="n">
        <v>85732211367</v>
      </c>
      <c r="Y3084" s="22" t="str">
        <f aca="false">O3084</f>
        <v>Project Management</v>
      </c>
      <c r="Z3084" s="13" t="str">
        <f aca="false">IFERROR(__xludf.dummyfunction("if(BJ3084="""","""",GOOGLETRANSLATE(BJ3084,""auto"",""en""))"),"Project Management")</f>
        <v>Project Management</v>
      </c>
      <c r="AA3084" s="23" t="str">
        <f aca="false">IF(C3084="","", CHOOSE(MONTH(C3084),"January","February","March","April","May","June","July","August","September","October","November","December")&amp;" "&amp;DAY(C3084)&amp;MID("thstndrdth",MIN(9,2*RIGHT(DAY(C3084))*(MOD(DAY(C3084)-11,100)&gt;2)+1),2)&amp;","&amp;TEXT(C3084," yyyy"))</f>
        <v>January 2nd,2026</v>
      </c>
      <c r="AB3084" s="15" t="str">
        <f aca="true">IF(S3084="","",DATEDIF(S3084,TODAY(),"Y")&amp;" Tahun, "&amp;DATEDIF(S3084,TODAY(),"YM")&amp;" Bulan, "&amp;DATEDIF(S3084,TODAY(),"MD")&amp;" Hari")</f>
        <v>19 Tahun, 4 Bulan, 16 Hari</v>
      </c>
      <c r="AC3084" s="18" t="n">
        <v>46024</v>
      </c>
      <c r="AD3084" s="18" t="n">
        <v>46142</v>
      </c>
      <c r="AE3084" s="18" t="s">
        <v>44</v>
      </c>
    </row>
    <row r="3085" customFormat="false" ht="15" hidden="false" customHeight="true" outlineLevel="0" collapsed="false">
      <c r="A3085" s="12" t="n">
        <v>21645</v>
      </c>
      <c r="B3085" s="13" t="s">
        <v>12875</v>
      </c>
      <c r="C3085" s="16" t="n">
        <v>46013</v>
      </c>
      <c r="D3085" s="13" t="s">
        <v>144</v>
      </c>
      <c r="E3085" s="15" t="s">
        <v>33</v>
      </c>
      <c r="F3085" s="15" t="str">
        <f aca="false">IFERROR(__xludf.dummyfunction("XLOOKUP(AJ3085,IMPORTRANGE(""1XaInW9DU9nz21V0tYIfzFQ0He9kVQ_JF2mCXgZ3hqFA"",""REKAP ALL 2026 - Andika!G:G""),IMPORTRANGE(""1XaInW9DU9nz21V0tYIfzFQ0He9kVQ_JF2mCXgZ3hqFA"",""REKAP ALL 2026 - Andika!F:F""),"""",0)"),"26005759852")</f>
        <v>26005759852</v>
      </c>
      <c r="G3085" s="13" t="s">
        <v>1127</v>
      </c>
      <c r="H3085" s="13" t="s">
        <v>35</v>
      </c>
      <c r="I3085" s="13" t="str">
        <f aca="false">IF(C3085=J3085,"NEW KONTRAK","RE-KONTRAK")</f>
        <v>NEW KONTRAK</v>
      </c>
      <c r="J3085" s="16" t="n">
        <f aca="false" t="array" ref="J3085:J3085">IFERROR(INDEX(AC3085:AE3085,IF(COUNTA(AC3085:AE3085)=0,"",MAX((AC3085:AE3085&lt;&gt;"")*(COLUMN(AC3085:AE3085)-(COLUMN(AC3085)))))-1),"")</f>
        <v>46013</v>
      </c>
      <c r="K3085" s="16" t="n">
        <f aca="false" t="array" ref="K3085:K3085">IFERROR(INDEX(AC3085:AE3085,IF(COUNTA(AC3085:AE3085)=0,"",MAX((AC3085:AE3085&lt;&gt;"")*(COLUMN(AC3085:AE3085)-(COLUMN(AC3085)-1))))-1),"")</f>
        <v>46053</v>
      </c>
      <c r="L3085" s="17" t="str">
        <f aca="false" t="array" ref="L3085:L3085">IFERROR(INDEX(AC3085:AE3085,IF(COUNTA(AC3085:AE3085)=0,"",MAX((AC3085:AE3085&lt;&gt;"")*(COLUMN(AC3085:AE3085)-(COLUMN(AC3085)-2))))-1),"")</f>
        <v>ARCHIVED</v>
      </c>
      <c r="M3085" s="13" t="n">
        <f aca="true">K3085-TODAY()</f>
        <v>-271</v>
      </c>
      <c r="N3085" s="18" t="s">
        <v>36</v>
      </c>
      <c r="O3085" s="13" t="s">
        <v>12474</v>
      </c>
      <c r="P3085" s="19" t="n">
        <v>5195401</v>
      </c>
      <c r="Q3085" s="47" t="s">
        <v>12876</v>
      </c>
      <c r="R3085" s="13" t="s">
        <v>65</v>
      </c>
      <c r="S3085" s="16" t="n">
        <v>31859</v>
      </c>
      <c r="T3085" s="13" t="s">
        <v>40</v>
      </c>
      <c r="U3085" s="13" t="s">
        <v>12877</v>
      </c>
      <c r="V3085" s="13" t="s">
        <v>42</v>
      </c>
      <c r="W3085" s="13" t="s">
        <v>54</v>
      </c>
      <c r="X3085" s="30" t="n">
        <v>87741438424</v>
      </c>
      <c r="Y3085" s="22" t="str">
        <f aca="false">O3085</f>
        <v>Produksi Emulsion</v>
      </c>
      <c r="Z3085" s="13" t="str">
        <f aca="false">IFERROR(__xludf.dummyfunction("if(BJ3085="""","""",GOOGLETRANSLATE(BJ3085,""auto"",""en""))"),"Emulsion Production")</f>
        <v>Emulsion Production</v>
      </c>
      <c r="AA3085" s="23" t="str">
        <f aca="false">IF(C3085="","", CHOOSE(MONTH(C3085),"January","February","March","April","May","June","July","August","September","October","November","December")&amp;" "&amp;DAY(C3085)&amp;MID("thstndrdth",MIN(9,2*RIGHT(DAY(C3085))*(MOD(DAY(C3085)-11,100)&gt;2)+1),2)&amp;","&amp;TEXT(C3085," yyyy"))</f>
        <v>December 22nd,2025</v>
      </c>
      <c r="AB3085" s="15" t="str">
        <f aca="true">IF(S3085="","",DATEDIF(S3085,TODAY(),"Y")&amp;" Tahun, "&amp;DATEDIF(S3085,TODAY(),"YM")&amp;" Bulan, "&amp;DATEDIF(S3085,TODAY(),"MD")&amp;" Hari")</f>
        <v>39 Tahun, 7 Bulan, 6 Hari</v>
      </c>
      <c r="AC3085" s="18" t="n">
        <v>46013</v>
      </c>
      <c r="AD3085" s="18" t="n">
        <v>46053</v>
      </c>
      <c r="AE3085" s="13" t="s">
        <v>44</v>
      </c>
    </row>
    <row r="3086" customFormat="false" ht="15" hidden="false" customHeight="true" outlineLevel="0" collapsed="false">
      <c r="A3086" s="12" t="n">
        <v>21647</v>
      </c>
      <c r="B3086" s="13" t="s">
        <v>12878</v>
      </c>
      <c r="C3086" s="16" t="n">
        <v>46027</v>
      </c>
      <c r="D3086" s="13" t="s">
        <v>393</v>
      </c>
      <c r="E3086" s="15" t="s">
        <v>102</v>
      </c>
      <c r="F3086" s="15" t="str">
        <f aca="false">IFERROR(__xludf.dummyfunction("XLOOKUP(AJ3086,IMPORTRANGE(""1XaInW9DU9nz21V0tYIfzFQ0He9kVQ_JF2mCXgZ3hqFA"",""REKAP ALL 2026 - Andika!G:G""),IMPORTRANGE(""1XaInW9DU9nz21V0tYIfzFQ0He9kVQ_JF2mCXgZ3hqFA"",""REKAP ALL 2026 - Andika!F:F""),"""",0)"),"26020764242")</f>
        <v>26020764242</v>
      </c>
      <c r="G3086" s="28" t="s">
        <v>57</v>
      </c>
      <c r="H3086" s="13" t="s">
        <v>35</v>
      </c>
      <c r="I3086" s="13" t="str">
        <f aca="false">IF(C3086=J3086,"NEW KONTRAK","RE-KONTRAK")</f>
        <v>NEW KONTRAK</v>
      </c>
      <c r="J3086" s="16" t="n">
        <f aca="false" t="array" ref="J3086:J3086">IFERROR(INDEX(AC3086:AE3086,IF(COUNTA(AC3086:AE3086)=0,"",MAX((AC3086:AE3086&lt;&gt;"")*(COLUMN(AC3086:AE3086)-(COLUMN(AC3086)))))-1),"")</f>
        <v>46027</v>
      </c>
      <c r="K3086" s="16" t="n">
        <f aca="false" t="array" ref="K3086:K3086">IFERROR(INDEX(AC3086:AE3086,IF(COUNTA(AC3086:AE3086)=0,"",MAX((AC3086:AE3086&lt;&gt;"")*(COLUMN(AC3086:AE3086)-(COLUMN(AC3086)-1))))-1),"")</f>
        <v>46116</v>
      </c>
      <c r="L3086" s="17" t="str">
        <f aca="false" t="array" ref="L3086:L3086">IFERROR(INDEX(AC3086:AE3086,IF(COUNTA(AC3086:AE3086)=0,"",MAX((AC3086:AE3086&lt;&gt;"")*(COLUMN(AC3086:AE3086)-(COLUMN(AC3086)-2))))-1),"")</f>
        <v>ARCHIVED</v>
      </c>
      <c r="M3086" s="13" t="n">
        <f aca="true">K3086-TODAY()</f>
        <v>-208</v>
      </c>
      <c r="N3086" s="18" t="s">
        <v>105</v>
      </c>
      <c r="O3086" s="13" t="s">
        <v>12879</v>
      </c>
      <c r="P3086" s="19" t="n">
        <v>5191541</v>
      </c>
      <c r="Q3086" s="47" t="s">
        <v>12880</v>
      </c>
      <c r="R3086" s="13" t="s">
        <v>148</v>
      </c>
      <c r="S3086" s="16" t="n">
        <v>37916</v>
      </c>
      <c r="T3086" s="28" t="s">
        <v>40</v>
      </c>
      <c r="U3086" s="13" t="s">
        <v>12881</v>
      </c>
      <c r="V3086" s="13" t="s">
        <v>42</v>
      </c>
      <c r="W3086" s="13" t="s">
        <v>43</v>
      </c>
      <c r="X3086" s="30" t="n">
        <v>81382992299</v>
      </c>
      <c r="Y3086" s="22" t="str">
        <f aca="false">O3086</f>
        <v>Furniture</v>
      </c>
      <c r="Z3086" s="13" t="str">
        <f aca="false">IFERROR(__xludf.dummyfunction("if(BJ3086="""","""",GOOGLETRANSLATE(BJ3086,""auto"",""en""))"),"Furniture")</f>
        <v>Furniture</v>
      </c>
      <c r="AA3086" s="23" t="str">
        <f aca="false">IF(C3086="","", CHOOSE(MONTH(C3086),"January","February","March","April","May","June","July","August","September","October","November","December")&amp;" "&amp;DAY(C3086)&amp;MID("thstndrdth",MIN(9,2*RIGHT(DAY(C3086))*(MOD(DAY(C3086)-11,100)&gt;2)+1),2)&amp;","&amp;TEXT(C3086," yyyy"))</f>
        <v>January 5th,2026</v>
      </c>
      <c r="AB3086" s="15" t="str">
        <f aca="true">IF(S3086="","",DATEDIF(S3086,TODAY(),"Y")&amp;" Tahun, "&amp;DATEDIF(S3086,TODAY(),"YM")&amp;" Bulan, "&amp;DATEDIF(S3086,TODAY(),"MD")&amp;" Hari")</f>
        <v>23 Tahun, 0 Bulan, 7 Hari</v>
      </c>
      <c r="AC3086" s="18" t="n">
        <v>46027</v>
      </c>
      <c r="AD3086" s="18" t="n">
        <f aca="false">EDATE(AC3086,3)-1</f>
        <v>46116</v>
      </c>
      <c r="AE3086" s="13" t="s">
        <v>44</v>
      </c>
    </row>
    <row r="3087" customFormat="false" ht="15" hidden="false" customHeight="true" outlineLevel="0" collapsed="false">
      <c r="A3087" s="12" t="n">
        <v>21648</v>
      </c>
      <c r="B3087" s="13" t="s">
        <v>12882</v>
      </c>
      <c r="C3087" s="16" t="n">
        <v>46027</v>
      </c>
      <c r="D3087" s="13" t="s">
        <v>393</v>
      </c>
      <c r="E3087" s="15" t="s">
        <v>47</v>
      </c>
      <c r="F3087" s="15" t="str">
        <f aca="false">IFERROR(__xludf.dummyfunction("XLOOKUP(AJ3087,IMPORTRANGE(""1XaInW9DU9nz21V0tYIfzFQ0He9kVQ_JF2mCXgZ3hqFA"",""REKAP ALL 2026 - Andika!G:G""),IMPORTRANGE(""1XaInW9DU9nz21V0tYIfzFQ0He9kVQ_JF2mCXgZ3hqFA"",""REKAP ALL 2026 - Andika!F:F""),"""",0)"),"26020764259")</f>
        <v>26020764259</v>
      </c>
      <c r="G3087" s="28" t="s">
        <v>57</v>
      </c>
      <c r="H3087" s="13" t="s">
        <v>35</v>
      </c>
      <c r="I3087" s="13" t="str">
        <f aca="false">IF(C3087=J3087,"NEW KONTRAK","RE-KONTRAK")</f>
        <v>NEW KONTRAK</v>
      </c>
      <c r="J3087" s="16" t="n">
        <f aca="false" t="array" ref="J3087:J3087">IFERROR(INDEX(AC3087:AE3087,IF(COUNTA(AC3087:AE3087)=0,"",MAX((AC3087:AE3087&lt;&gt;"")*(COLUMN(AC3087:AE3087)-(COLUMN(AC3087)))))-1),"")</f>
        <v>46027</v>
      </c>
      <c r="K3087" s="16" t="n">
        <f aca="false" t="array" ref="K3087:K3087">IFERROR(INDEX(AC3087:AE3087,IF(COUNTA(AC3087:AE3087)=0,"",MAX((AC3087:AE3087&lt;&gt;"")*(COLUMN(AC3087:AE3087)-(COLUMN(AC3087)-1))))-1),"")</f>
        <v>46116</v>
      </c>
      <c r="L3087" s="17" t="str">
        <f aca="false" t="array" ref="L3087:L3087">IFERROR(INDEX(AC3087:AE3087,IF(COUNTA(AC3087:AE3087)=0,"",MAX((AC3087:AE3087&lt;&gt;"")*(COLUMN(AC3087:AE3087)-(COLUMN(AC3087)-2))))-1),"")</f>
        <v>KEMBALI</v>
      </c>
      <c r="M3087" s="13" t="n">
        <f aca="true">K3087-TODAY()</f>
        <v>-208</v>
      </c>
      <c r="N3087" s="18" t="s">
        <v>105</v>
      </c>
      <c r="O3087" s="13" t="s">
        <v>58</v>
      </c>
      <c r="P3087" s="19" t="n">
        <v>5191541</v>
      </c>
      <c r="Q3087" s="47" t="s">
        <v>12883</v>
      </c>
      <c r="R3087" s="13" t="s">
        <v>39</v>
      </c>
      <c r="S3087" s="16" t="n">
        <v>33819</v>
      </c>
      <c r="T3087" s="28" t="s">
        <v>40</v>
      </c>
      <c r="U3087" s="13" t="s">
        <v>12884</v>
      </c>
      <c r="V3087" s="13" t="s">
        <v>42</v>
      </c>
      <c r="W3087" s="13" t="s">
        <v>54</v>
      </c>
      <c r="X3087" s="30" t="n">
        <v>85890010943</v>
      </c>
      <c r="Y3087" s="22" t="str">
        <f aca="false">O3087</f>
        <v>Produksi</v>
      </c>
      <c r="Z3087" s="13" t="str">
        <f aca="false">IFERROR(__xludf.dummyfunction("if(BJ3087="""","""",GOOGLETRANSLATE(BJ3087,""auto"",""en""))"),"Production")</f>
        <v>Production</v>
      </c>
      <c r="AA3087" s="23" t="str">
        <f aca="false">IF(C3087="","", CHOOSE(MONTH(C3087),"January","February","March","April","May","June","July","August","September","October","November","December")&amp;" "&amp;DAY(C3087)&amp;MID("thstndrdth",MIN(9,2*RIGHT(DAY(C3087))*(MOD(DAY(C3087)-11,100)&gt;2)+1),2)&amp;","&amp;TEXT(C3087," yyyy"))</f>
        <v>January 5th,2026</v>
      </c>
      <c r="AB3087" s="15" t="str">
        <f aca="true">IF(S3087="","",DATEDIF(S3087,TODAY(),"Y")&amp;" Tahun, "&amp;DATEDIF(S3087,TODAY(),"YM")&amp;" Bulan, "&amp;DATEDIF(S3087,TODAY(),"MD")&amp;" Hari")</f>
        <v>34 Tahun, 2 Bulan, 26 Hari</v>
      </c>
      <c r="AC3087" s="18" t="n">
        <v>46027</v>
      </c>
      <c r="AD3087" s="18" t="n">
        <f aca="false">EDATE(AC3087,3)-1</f>
        <v>46116</v>
      </c>
      <c r="AE3087" s="13" t="s">
        <v>397</v>
      </c>
    </row>
    <row r="3088" customFormat="false" ht="15" hidden="false" customHeight="true" outlineLevel="0" collapsed="false">
      <c r="A3088" s="12" t="n">
        <v>21649</v>
      </c>
      <c r="B3088" s="13" t="s">
        <v>12885</v>
      </c>
      <c r="C3088" s="16" t="n">
        <v>46027</v>
      </c>
      <c r="D3088" s="13" t="s">
        <v>393</v>
      </c>
      <c r="E3088" s="15" t="s">
        <v>102</v>
      </c>
      <c r="F3088" s="24" t="s">
        <v>12886</v>
      </c>
      <c r="G3088" s="28" t="s">
        <v>57</v>
      </c>
      <c r="H3088" s="13" t="s">
        <v>35</v>
      </c>
      <c r="I3088" s="13" t="str">
        <f aca="false">IF(C3088=J3088,"NEW KONTRAK","RE-KONTRAK")</f>
        <v>NEW KONTRAK</v>
      </c>
      <c r="J3088" s="16" t="n">
        <f aca="false" t="array" ref="J3088:J3088">IFERROR(INDEX(AC3088:AE3088,IF(COUNTA(AC3088:AE3088)=0,"",MAX((AC3088:AE3088&lt;&gt;"")*(COLUMN(AC3088:AE3088)-(COLUMN(AC3088)))))-1),"")</f>
        <v>46027</v>
      </c>
      <c r="K3088" s="16" t="n">
        <f aca="false" t="array" ref="K3088:K3088">IFERROR(INDEX(AC3088:AE3088,IF(COUNTA(AC3088:AE3088)=0,"",MAX((AC3088:AE3088&lt;&gt;"")*(COLUMN(AC3088:AE3088)-(COLUMN(AC3088)-1))))-1),"")</f>
        <v>46116</v>
      </c>
      <c r="L3088" s="17" t="str">
        <f aca="false" t="array" ref="L3088:L3088">IFERROR(INDEX(AC3088:AE3088,IF(COUNTA(AC3088:AE3088)=0,"",MAX((AC3088:AE3088&lt;&gt;"")*(COLUMN(AC3088:AE3088)-(COLUMN(AC3088)-2))))-1),"")</f>
        <v>ARCHIVED</v>
      </c>
      <c r="M3088" s="13" t="n">
        <f aca="true">K3088-TODAY()</f>
        <v>-208</v>
      </c>
      <c r="N3088" s="18" t="s">
        <v>105</v>
      </c>
      <c r="O3088" s="13" t="s">
        <v>12879</v>
      </c>
      <c r="P3088" s="19" t="n">
        <v>5191541</v>
      </c>
      <c r="Q3088" s="47" t="s">
        <v>12887</v>
      </c>
      <c r="R3088" s="13" t="s">
        <v>826</v>
      </c>
      <c r="S3088" s="16" t="n">
        <v>36245</v>
      </c>
      <c r="T3088" s="28" t="s">
        <v>40</v>
      </c>
      <c r="U3088" s="13" t="s">
        <v>12888</v>
      </c>
      <c r="V3088" s="13" t="s">
        <v>42</v>
      </c>
      <c r="W3088" s="13" t="s">
        <v>43</v>
      </c>
      <c r="X3088" s="30" t="n">
        <v>89690784473</v>
      </c>
      <c r="Y3088" s="22" t="str">
        <f aca="false">O3088</f>
        <v>Furniture</v>
      </c>
      <c r="Z3088" s="13" t="str">
        <f aca="false">IFERROR(__xludf.dummyfunction("if(BJ3088="""","""",GOOGLETRANSLATE(BJ3088,""auto"",""en""))"),"Furniture")</f>
        <v>Furniture</v>
      </c>
      <c r="AA3088" s="23" t="str">
        <f aca="false">IF(C3088="","", CHOOSE(MONTH(C3088),"January","February","March","April","May","June","July","August","September","October","November","December")&amp;" "&amp;DAY(C3088)&amp;MID("thstndrdth",MIN(9,2*RIGHT(DAY(C3088))*(MOD(DAY(C3088)-11,100)&gt;2)+1),2)&amp;","&amp;TEXT(C3088," yyyy"))</f>
        <v>January 5th,2026</v>
      </c>
      <c r="AB3088" s="15" t="str">
        <f aca="true">IF(S3088="","",DATEDIF(S3088,TODAY(),"Y")&amp;" Tahun, "&amp;DATEDIF(S3088,TODAY(),"YM")&amp;" Bulan, "&amp;DATEDIF(S3088,TODAY(),"MD")&amp;" Hari")</f>
        <v>27 Tahun, 7 Bulan, 3 Hari</v>
      </c>
      <c r="AC3088" s="18" t="n">
        <v>46027</v>
      </c>
      <c r="AD3088" s="18" t="n">
        <f aca="false">EDATE(AC3088,3)-1</f>
        <v>46116</v>
      </c>
      <c r="AE3088" s="13" t="s">
        <v>44</v>
      </c>
    </row>
    <row r="3089" customFormat="false" ht="15" hidden="false" customHeight="true" outlineLevel="0" collapsed="false">
      <c r="A3089" s="12" t="n">
        <v>21650</v>
      </c>
      <c r="B3089" s="13" t="s">
        <v>12889</v>
      </c>
      <c r="C3089" s="16" t="n">
        <v>46027</v>
      </c>
      <c r="D3089" s="13" t="s">
        <v>393</v>
      </c>
      <c r="E3089" s="15" t="s">
        <v>47</v>
      </c>
      <c r="F3089" s="15" t="str">
        <f aca="false">IFERROR(__xludf.dummyfunction("XLOOKUP(AJ3089,IMPORTRANGE(""1XaInW9DU9nz21V0tYIfzFQ0He9kVQ_JF2mCXgZ3hqFA"",""REKAP ALL 2026 - Andika!G:G""),IMPORTRANGE(""1XaInW9DU9nz21V0tYIfzFQ0He9kVQ_JF2mCXgZ3hqFA"",""REKAP ALL 2026 - Andika!F:F""),"""",0)"),"26020764234")</f>
        <v>26020764234</v>
      </c>
      <c r="G3089" s="28" t="s">
        <v>57</v>
      </c>
      <c r="H3089" s="13" t="s">
        <v>35</v>
      </c>
      <c r="I3089" s="13" t="str">
        <f aca="false">IF(C3089=J3089,"NEW KONTRAK","RE-KONTRAK")</f>
        <v>NEW KONTRAK</v>
      </c>
      <c r="J3089" s="16" t="n">
        <f aca="false" t="array" ref="J3089:J3089">IFERROR(INDEX(AC3089:AE3089,IF(COUNTA(AC3089:AE3089)=0,"",MAX((AC3089:AE3089&lt;&gt;"")*(COLUMN(AC3089:AE3089)-(COLUMN(AC3089)))))-1),"")</f>
        <v>46027</v>
      </c>
      <c r="K3089" s="16" t="n">
        <f aca="false" t="array" ref="K3089:K3089">IFERROR(INDEX(AC3089:AE3089,IF(COUNTA(AC3089:AE3089)=0,"",MAX((AC3089:AE3089&lt;&gt;"")*(COLUMN(AC3089:AE3089)-(COLUMN(AC3089)-1))))-1),"")</f>
        <v>46116</v>
      </c>
      <c r="L3089" s="17" t="str">
        <f aca="false" t="array" ref="L3089:L3089">IFERROR(INDEX(AC3089:AE3089,IF(COUNTA(AC3089:AE3089)=0,"",MAX((AC3089:AE3089&lt;&gt;"")*(COLUMN(AC3089:AE3089)-(COLUMN(AC3089)-2))))-1),"")</f>
        <v>KEMBALI</v>
      </c>
      <c r="M3089" s="13" t="n">
        <f aca="true">K3089-TODAY()</f>
        <v>-208</v>
      </c>
      <c r="N3089" s="18" t="s">
        <v>105</v>
      </c>
      <c r="O3089" s="13" t="s">
        <v>58</v>
      </c>
      <c r="P3089" s="19" t="n">
        <v>5191541</v>
      </c>
      <c r="Q3089" s="47" t="s">
        <v>12890</v>
      </c>
      <c r="R3089" s="13" t="s">
        <v>39</v>
      </c>
      <c r="S3089" s="16" t="n">
        <v>29339</v>
      </c>
      <c r="T3089" s="28" t="s">
        <v>40</v>
      </c>
      <c r="U3089" s="13" t="s">
        <v>12891</v>
      </c>
      <c r="V3089" s="13" t="s">
        <v>42</v>
      </c>
      <c r="W3089" s="13" t="s">
        <v>54</v>
      </c>
      <c r="X3089" s="30" t="n">
        <v>89547102767</v>
      </c>
      <c r="Y3089" s="22" t="str">
        <f aca="false">O3089</f>
        <v>Produksi</v>
      </c>
      <c r="Z3089" s="13" t="str">
        <f aca="false">IFERROR(__xludf.dummyfunction("if(BJ3089="""","""",GOOGLETRANSLATE(BJ3089,""auto"",""en""))"),"Production")</f>
        <v>Production</v>
      </c>
      <c r="AA3089" s="23" t="str">
        <f aca="false">IF(C3089="","", CHOOSE(MONTH(C3089),"January","February","March","April","May","June","July","August","September","October","November","December")&amp;" "&amp;DAY(C3089)&amp;MID("thstndrdth",MIN(9,2*RIGHT(DAY(C3089))*(MOD(DAY(C3089)-11,100)&gt;2)+1),2)&amp;","&amp;TEXT(C3089," yyyy"))</f>
        <v>January 5th,2026</v>
      </c>
      <c r="AB3089" s="15" t="str">
        <f aca="true">IF(S3089="","",DATEDIF(S3089,TODAY(),"Y")&amp;" Tahun, "&amp;DATEDIF(S3089,TODAY(),"YM")&amp;" Bulan, "&amp;DATEDIF(S3089,TODAY(),"MD")&amp;" Hari")</f>
        <v>46 Tahun, 6 Bulan, 1 Hari</v>
      </c>
      <c r="AC3089" s="18" t="n">
        <v>46027</v>
      </c>
      <c r="AD3089" s="18" t="n">
        <f aca="false">EDATE(AC3089,3)-1</f>
        <v>46116</v>
      </c>
      <c r="AE3089" s="13" t="s">
        <v>397</v>
      </c>
    </row>
    <row r="3090" customFormat="false" ht="15" hidden="false" customHeight="true" outlineLevel="0" collapsed="false">
      <c r="A3090" s="12" t="n">
        <v>21651</v>
      </c>
      <c r="B3090" s="13" t="s">
        <v>12892</v>
      </c>
      <c r="C3090" s="16" t="n">
        <v>46023</v>
      </c>
      <c r="D3090" s="13" t="s">
        <v>3643</v>
      </c>
      <c r="E3090" s="15" t="s">
        <v>102</v>
      </c>
      <c r="F3090" s="24" t="s">
        <v>12893</v>
      </c>
      <c r="G3090" s="15" t="s">
        <v>2809</v>
      </c>
      <c r="H3090" s="13" t="s">
        <v>35</v>
      </c>
      <c r="I3090" s="13" t="str">
        <f aca="false">IF(C3090=J3090,"NEW KONTRAK","RE-KONTRAK")</f>
        <v>NEW KONTRAK</v>
      </c>
      <c r="J3090" s="16" t="n">
        <f aca="false" t="array" ref="J3090:J3090">IFERROR(INDEX(AC3090:AE3090,IF(COUNTA(AC3090:AE3090)=0,"",MAX((AC3090:AE3090&lt;&gt;"")*(COLUMN(AC3090:AE3090)-(COLUMN(AC3090)))))-1),"")</f>
        <v>46023</v>
      </c>
      <c r="K3090" s="16" t="n">
        <f aca="false" t="array" ref="K3090:K3090">IFERROR(INDEX(AC3090:AE3090,IF(COUNTA(AC3090:AE3090)=0,"",MAX((AC3090:AE3090&lt;&gt;"")*(COLUMN(AC3090:AE3090)-(COLUMN(AC3090)-1))))-1),"")</f>
        <v>46112</v>
      </c>
      <c r="L3090" s="17" t="str">
        <f aca="false" t="array" ref="L3090:L3090">IFERROR(INDEX(AC3090:AE3090,IF(COUNTA(AC3090:AE3090)=0,"",MAX((AC3090:AE3090&lt;&gt;"")*(COLUMN(AC3090:AE3090)-(COLUMN(AC3090)-2))))-1),"")</f>
        <v>ARCHIVED</v>
      </c>
      <c r="M3090" s="13" t="n">
        <f aca="true">K3090-TODAY()</f>
        <v>-212</v>
      </c>
      <c r="N3090" s="18" t="s">
        <v>728</v>
      </c>
      <c r="O3090" s="13" t="s">
        <v>12894</v>
      </c>
      <c r="P3090" s="19" t="n">
        <v>2750000</v>
      </c>
      <c r="Q3090" s="20" t="s">
        <v>12895</v>
      </c>
      <c r="R3090" s="13" t="s">
        <v>241</v>
      </c>
      <c r="S3090" s="16" t="n">
        <v>37061</v>
      </c>
      <c r="T3090" s="28" t="s">
        <v>40</v>
      </c>
      <c r="U3090" s="13" t="s">
        <v>12896</v>
      </c>
      <c r="V3090" s="13" t="s">
        <v>42</v>
      </c>
      <c r="W3090" s="13" t="s">
        <v>43</v>
      </c>
      <c r="X3090" s="21" t="n">
        <v>82338407214</v>
      </c>
      <c r="Y3090" s="22" t="str">
        <f aca="false">O3090</f>
        <v>Handling/Tally</v>
      </c>
      <c r="Z3090" s="13" t="str">
        <f aca="false">IFERROR(__xludf.dummyfunction("if(BJ3090="""","""",GOOGLETRANSLATE(BJ3090,""auto"",""en""))"),"Handling/Tally")</f>
        <v>Handling/Tally</v>
      </c>
      <c r="AA3090" s="23" t="str">
        <f aca="false">IF(C3090="","", CHOOSE(MONTH(C3090),"January","February","March","April","May","June","July","August","September","October","November","December")&amp;" "&amp;DAY(C3090)&amp;MID("thstndrdth",MIN(9,2*RIGHT(DAY(C3090))*(MOD(DAY(C3090)-11,100)&gt;2)+1),2)&amp;","&amp;TEXT(C3090," yyyy"))</f>
        <v>January 1st,2026</v>
      </c>
      <c r="AB3090" s="15" t="str">
        <f aca="true">IF(S3090="","",DATEDIF(S3090,TODAY(),"Y")&amp;" Tahun, "&amp;DATEDIF(S3090,TODAY(),"YM")&amp;" Bulan, "&amp;DATEDIF(S3090,TODAY(),"MD")&amp;" Hari")</f>
        <v>25 Tahun, 4 Bulan, 10 Hari</v>
      </c>
      <c r="AC3090" s="18" t="n">
        <v>46023</v>
      </c>
      <c r="AD3090" s="18" t="n">
        <f aca="false">EDATE(AC3090,3)-1</f>
        <v>46112</v>
      </c>
      <c r="AE3090" s="13" t="s">
        <v>44</v>
      </c>
    </row>
    <row r="3091" customFormat="false" ht="15" hidden="false" customHeight="true" outlineLevel="0" collapsed="false">
      <c r="A3091" s="12" t="n">
        <v>21652</v>
      </c>
      <c r="B3091" s="13" t="s">
        <v>12897</v>
      </c>
      <c r="C3091" s="16" t="n">
        <v>46023</v>
      </c>
      <c r="D3091" s="13" t="s">
        <v>8227</v>
      </c>
      <c r="E3091" s="15" t="s">
        <v>12803</v>
      </c>
      <c r="F3091" s="24" t="s">
        <v>12898</v>
      </c>
      <c r="G3091" s="15" t="s">
        <v>2809</v>
      </c>
      <c r="H3091" s="13" t="s">
        <v>35</v>
      </c>
      <c r="I3091" s="13" t="str">
        <f aca="false">IF(C3091=J3091,"NEW KONTRAK","RE-KONTRAK")</f>
        <v>NEW KONTRAK</v>
      </c>
      <c r="J3091" s="16" t="n">
        <f aca="false" t="array" ref="J3091:J3091">IFERROR(INDEX(AC3091:AE3091,IF(COUNTA(AC3091:AE3091)=0,"",MAX((AC3091:AE3091&lt;&gt;"")*(COLUMN(AC3091:AE3091)-(COLUMN(AC3091)))))-1),"")</f>
        <v>46023</v>
      </c>
      <c r="K3091" s="16" t="n">
        <f aca="false" t="array" ref="K3091:K3091">IFERROR(INDEX(AC3091:AE3091,IF(COUNTA(AC3091:AE3091)=0,"",MAX((AC3091:AE3091&lt;&gt;"")*(COLUMN(AC3091:AE3091)-(COLUMN(AC3091)-1))))-1),"")</f>
        <v>46112</v>
      </c>
      <c r="L3091" s="17" t="str">
        <f aca="false" t="array" ref="L3091:L3091">IFERROR(INDEX(AC3091:AE3091,IF(COUNTA(AC3091:AE3091)=0,"",MAX((AC3091:AE3091&lt;&gt;"")*(COLUMN(AC3091:AE3091)-(COLUMN(AC3091)-2))))-1),"")</f>
        <v>ARCHIVED</v>
      </c>
      <c r="M3091" s="13" t="n">
        <f aca="true">K3091-TODAY()</f>
        <v>-212</v>
      </c>
      <c r="N3091" s="18" t="s">
        <v>728</v>
      </c>
      <c r="O3091" s="13" t="s">
        <v>12894</v>
      </c>
      <c r="P3091" s="19" t="n">
        <v>2750000</v>
      </c>
      <c r="Q3091" s="20" t="s">
        <v>12899</v>
      </c>
      <c r="R3091" s="13" t="s">
        <v>52</v>
      </c>
      <c r="S3091" s="16" t="n">
        <v>36720</v>
      </c>
      <c r="T3091" s="28" t="s">
        <v>40</v>
      </c>
      <c r="U3091" s="13" t="s">
        <v>12900</v>
      </c>
      <c r="V3091" s="13" t="s">
        <v>42</v>
      </c>
      <c r="W3091" s="13" t="s">
        <v>43</v>
      </c>
      <c r="X3091" s="21" t="n">
        <v>82132261734</v>
      </c>
      <c r="Y3091" s="22" t="str">
        <f aca="false">O3091</f>
        <v>Handling/Tally</v>
      </c>
      <c r="Z3091" s="13" t="str">
        <f aca="false">IFERROR(__xludf.dummyfunction("if(BJ3091="""","""",GOOGLETRANSLATE(BJ3091,""auto"",""en""))"),"Handling/Tally")</f>
        <v>Handling/Tally</v>
      </c>
      <c r="AA3091" s="23" t="str">
        <f aca="false">IF(C3091="","", CHOOSE(MONTH(C3091),"January","February","March","April","May","June","July","August","September","October","November","December")&amp;" "&amp;DAY(C3091)&amp;MID("thstndrdth",MIN(9,2*RIGHT(DAY(C3091))*(MOD(DAY(C3091)-11,100)&gt;2)+1),2)&amp;","&amp;TEXT(C3091," yyyy"))</f>
        <v>January 1st,2026</v>
      </c>
      <c r="AB3091" s="15" t="str">
        <f aca="true">IF(S3091="","",DATEDIF(S3091,TODAY(),"Y")&amp;" Tahun, "&amp;DATEDIF(S3091,TODAY(),"YM")&amp;" Bulan, "&amp;DATEDIF(S3091,TODAY(),"MD")&amp;" Hari")</f>
        <v>26 Tahun, 3 Bulan, 16 Hari</v>
      </c>
      <c r="AC3091" s="18" t="n">
        <v>46023</v>
      </c>
      <c r="AD3091" s="18" t="n">
        <f aca="false">EDATE(AC3091,3)-1</f>
        <v>46112</v>
      </c>
      <c r="AE3091" s="13" t="s">
        <v>44</v>
      </c>
    </row>
    <row r="3092" customFormat="false" ht="15" hidden="false" customHeight="true" outlineLevel="0" collapsed="false">
      <c r="A3092" s="12" t="n">
        <v>21653</v>
      </c>
      <c r="B3092" s="13" t="s">
        <v>12901</v>
      </c>
      <c r="C3092" s="16" t="n">
        <v>46023</v>
      </c>
      <c r="D3092" s="13" t="s">
        <v>8227</v>
      </c>
      <c r="E3092" s="15" t="s">
        <v>12803</v>
      </c>
      <c r="F3092" s="24" t="s">
        <v>12902</v>
      </c>
      <c r="G3092" s="15" t="s">
        <v>2809</v>
      </c>
      <c r="H3092" s="13" t="s">
        <v>35</v>
      </c>
      <c r="I3092" s="13" t="str">
        <f aca="false">IF(C3092=J3092,"NEW KONTRAK","RE-KONTRAK")</f>
        <v>NEW KONTRAK</v>
      </c>
      <c r="J3092" s="16" t="n">
        <f aca="false" t="array" ref="J3092:J3092">IFERROR(INDEX(AC3092:AE3092,IF(COUNTA(AC3092:AE3092)=0,"",MAX((AC3092:AE3092&lt;&gt;"")*(COLUMN(AC3092:AE3092)-(COLUMN(AC3092)))))-1),"")</f>
        <v>46023</v>
      </c>
      <c r="K3092" s="16" t="n">
        <f aca="false" t="array" ref="K3092:K3092">IFERROR(INDEX(AC3092:AE3092,IF(COUNTA(AC3092:AE3092)=0,"",MAX((AC3092:AE3092&lt;&gt;"")*(COLUMN(AC3092:AE3092)-(COLUMN(AC3092)-1))))-1),"")</f>
        <v>46112</v>
      </c>
      <c r="L3092" s="17" t="str">
        <f aca="false" t="array" ref="L3092:L3092">IFERROR(INDEX(AC3092:AE3092,IF(COUNTA(AC3092:AE3092)=0,"",MAX((AC3092:AE3092&lt;&gt;"")*(COLUMN(AC3092:AE3092)-(COLUMN(AC3092)-2))))-1),"")</f>
        <v>ARCHIVED</v>
      </c>
      <c r="M3092" s="13" t="n">
        <f aca="true">K3092-TODAY()</f>
        <v>-212</v>
      </c>
      <c r="N3092" s="18" t="s">
        <v>728</v>
      </c>
      <c r="O3092" s="13" t="s">
        <v>12894</v>
      </c>
      <c r="P3092" s="19" t="n">
        <v>2750000</v>
      </c>
      <c r="Q3092" s="20" t="s">
        <v>12903</v>
      </c>
      <c r="R3092" s="13" t="s">
        <v>12904</v>
      </c>
      <c r="S3092" s="16" t="n">
        <v>36693</v>
      </c>
      <c r="T3092" s="13" t="s">
        <v>108</v>
      </c>
      <c r="U3092" s="13" t="s">
        <v>12905</v>
      </c>
      <c r="V3092" s="13" t="s">
        <v>99</v>
      </c>
      <c r="W3092" s="13" t="s">
        <v>43</v>
      </c>
      <c r="X3092" s="21" t="n">
        <v>81357307206</v>
      </c>
      <c r="Y3092" s="22" t="str">
        <f aca="false">O3092</f>
        <v>Handling/Tally</v>
      </c>
      <c r="Z3092" s="13" t="str">
        <f aca="false">IFERROR(__xludf.dummyfunction("if(BJ3092="""","""",GOOGLETRANSLATE(BJ3092,""auto"",""en""))"),"Handling/Tally")</f>
        <v>Handling/Tally</v>
      </c>
      <c r="AA3092" s="23" t="str">
        <f aca="false">IF(C3092="","", CHOOSE(MONTH(C3092),"January","February","March","April","May","June","July","August","September","October","November","December")&amp;" "&amp;DAY(C3092)&amp;MID("thstndrdth",MIN(9,2*RIGHT(DAY(C3092))*(MOD(DAY(C3092)-11,100)&gt;2)+1),2)&amp;","&amp;TEXT(C3092," yyyy"))</f>
        <v>January 1st,2026</v>
      </c>
      <c r="AB3092" s="15" t="str">
        <f aca="true">IF(S3092="","",DATEDIF(S3092,TODAY(),"Y")&amp;" Tahun, "&amp;DATEDIF(S3092,TODAY(),"YM")&amp;" Bulan, "&amp;DATEDIF(S3092,TODAY(),"MD")&amp;" Hari")</f>
        <v>26 Tahun, 4 Bulan, 13 Hari</v>
      </c>
      <c r="AC3092" s="18" t="n">
        <v>46023</v>
      </c>
      <c r="AD3092" s="18" t="n">
        <f aca="false">EDATE(AC3092,3)-1</f>
        <v>46112</v>
      </c>
      <c r="AE3092" s="13" t="s">
        <v>44</v>
      </c>
    </row>
    <row r="3093" customFormat="false" ht="15" hidden="false" customHeight="true" outlineLevel="0" collapsed="false">
      <c r="A3093" s="12" t="n">
        <v>21654</v>
      </c>
      <c r="B3093" s="13" t="s">
        <v>12906</v>
      </c>
      <c r="C3093" s="16" t="n">
        <v>46023</v>
      </c>
      <c r="D3093" s="13" t="s">
        <v>8227</v>
      </c>
      <c r="E3093" s="15" t="s">
        <v>102</v>
      </c>
      <c r="F3093" s="24" t="s">
        <v>12907</v>
      </c>
      <c r="G3093" s="15" t="s">
        <v>2809</v>
      </c>
      <c r="H3093" s="13" t="s">
        <v>35</v>
      </c>
      <c r="I3093" s="13" t="str">
        <f aca="false">IF(C3093=J3093,"NEW KONTRAK","RE-KONTRAK")</f>
        <v>NEW KONTRAK</v>
      </c>
      <c r="J3093" s="16" t="n">
        <f aca="false" t="array" ref="J3093:J3093">IFERROR(INDEX(AC3093:AE3093,IF(COUNTA(AC3093:AE3093)=0,"",MAX((AC3093:AE3093&lt;&gt;"")*(COLUMN(AC3093:AE3093)-(COLUMN(AC3093)))))-1),"")</f>
        <v>46023</v>
      </c>
      <c r="K3093" s="16" t="n">
        <f aca="false" t="array" ref="K3093:K3093">IFERROR(INDEX(AC3093:AE3093,IF(COUNTA(AC3093:AE3093)=0,"",MAX((AC3093:AE3093&lt;&gt;"")*(COLUMN(AC3093:AE3093)-(COLUMN(AC3093)-1))))-1),"")</f>
        <v>46112</v>
      </c>
      <c r="L3093" s="17" t="str">
        <f aca="false" t="array" ref="L3093:L3093">IFERROR(INDEX(AC3093:AE3093,IF(COUNTA(AC3093:AE3093)=0,"",MAX((AC3093:AE3093&lt;&gt;"")*(COLUMN(AC3093:AE3093)-(COLUMN(AC3093)-2))))-1),"")</f>
        <v>ARCHIVED</v>
      </c>
      <c r="M3093" s="13" t="n">
        <f aca="true">K3093-TODAY()</f>
        <v>-212</v>
      </c>
      <c r="N3093" s="18" t="s">
        <v>728</v>
      </c>
      <c r="O3093" s="13" t="s">
        <v>12894</v>
      </c>
      <c r="P3093" s="19" t="n">
        <v>2750000</v>
      </c>
      <c r="Q3093" s="20" t="s">
        <v>12908</v>
      </c>
      <c r="R3093" s="13" t="s">
        <v>52</v>
      </c>
      <c r="S3093" s="16" t="n">
        <v>37931</v>
      </c>
      <c r="T3093" s="28" t="s">
        <v>40</v>
      </c>
      <c r="U3093" s="13" t="s">
        <v>12909</v>
      </c>
      <c r="V3093" s="13" t="s">
        <v>42</v>
      </c>
      <c r="W3093" s="13" t="s">
        <v>43</v>
      </c>
      <c r="X3093" s="21" t="n">
        <v>81231393422</v>
      </c>
      <c r="Y3093" s="22" t="str">
        <f aca="false">O3093</f>
        <v>Handling/Tally</v>
      </c>
      <c r="Z3093" s="13" t="str">
        <f aca="false">IFERROR(__xludf.dummyfunction("if(BJ3093="""","""",GOOGLETRANSLATE(BJ3093,""auto"",""en""))"),"Handling/Tally")</f>
        <v>Handling/Tally</v>
      </c>
      <c r="AA3093" s="23" t="str">
        <f aca="false">IF(C3093="","", CHOOSE(MONTH(C3093),"January","February","March","April","May","June","July","August","September","October","November","December")&amp;" "&amp;DAY(C3093)&amp;MID("thstndrdth",MIN(9,2*RIGHT(DAY(C3093))*(MOD(DAY(C3093)-11,100)&gt;2)+1),2)&amp;","&amp;TEXT(C3093," yyyy"))</f>
        <v>January 1st,2026</v>
      </c>
      <c r="AB3093" s="15" t="str">
        <f aca="true">IF(S3093="","",DATEDIF(S3093,TODAY(),"Y")&amp;" Tahun, "&amp;DATEDIF(S3093,TODAY(),"YM")&amp;" Bulan, "&amp;DATEDIF(S3093,TODAY(),"MD")&amp;" Hari")</f>
        <v>22 Tahun, 11 Bulan, 23 Hari</v>
      </c>
      <c r="AC3093" s="18" t="n">
        <v>46023</v>
      </c>
      <c r="AD3093" s="18" t="n">
        <f aca="false">EDATE(AC3093,3)-1</f>
        <v>46112</v>
      </c>
      <c r="AE3093" s="13" t="s">
        <v>44</v>
      </c>
    </row>
    <row r="3094" customFormat="false" ht="15" hidden="false" customHeight="true" outlineLevel="0" collapsed="false">
      <c r="A3094" s="12" t="n">
        <v>21655</v>
      </c>
      <c r="B3094" s="13" t="s">
        <v>12910</v>
      </c>
      <c r="C3094" s="16" t="n">
        <v>45966</v>
      </c>
      <c r="D3094" s="13" t="s">
        <v>2046</v>
      </c>
      <c r="E3094" s="15" t="s">
        <v>102</v>
      </c>
      <c r="F3094" s="15" t="str">
        <f aca="false">IFERROR(__xludf.dummyfunction("XLOOKUP(AJ3094,IMPORTRANGE(""1XaInW9DU9nz21V0tYIfzFQ0He9kVQ_JF2mCXgZ3hqFA"",""REKAP ALL 2026 - Andika!G:G""),IMPORTRANGE(""1XaInW9DU9nz21V0tYIfzFQ0He9kVQ_JF2mCXgZ3hqFA"",""REKAP ALL 2026 - Andika!F:F""),"""",0)"),"26005761320")</f>
        <v>26005761320</v>
      </c>
      <c r="G3094" s="13" t="s">
        <v>1127</v>
      </c>
      <c r="H3094" s="13" t="s">
        <v>35</v>
      </c>
      <c r="I3094" s="13" t="str">
        <f aca="false">IF(C3094=J3094,"NEW KONTRAK","RE-KONTRAK")</f>
        <v>NEW KONTRAK</v>
      </c>
      <c r="J3094" s="16" t="n">
        <f aca="false" t="array" ref="J3094:J3094">IFERROR(INDEX(AC3094:AE3094,IF(COUNTA(AC3094:AE3094)=0,"",MAX((AC3094:AE3094&lt;&gt;"")*(COLUMN(AC3094:AE3094)-(COLUMN(AC3094)))))-1),"")</f>
        <v>45966</v>
      </c>
      <c r="K3094" s="16" t="n">
        <f aca="false" t="array" ref="K3094:K3094">IFERROR(INDEX(AC3094:AE3094,IF(COUNTA(AC3094:AE3094)=0,"",MAX((AC3094:AE3094&lt;&gt;"")*(COLUMN(AC3094:AE3094)-(COLUMN(AC3094)-1))))-1),"")</f>
        <v>46022</v>
      </c>
      <c r="L3094" s="17" t="str">
        <f aca="false" t="array" ref="L3094:L3094">IFERROR(INDEX(AC3094:AE3094,IF(COUNTA(AC3094:AE3094)=0,"",MAX((AC3094:AE3094&lt;&gt;"")*(COLUMN(AC3094:AE3094)-(COLUMN(AC3094)-2))))-1),"")</f>
        <v>ARCHIVED</v>
      </c>
      <c r="M3094" s="13" t="n">
        <f aca="true">K3094-TODAY()</f>
        <v>-302</v>
      </c>
      <c r="N3094" s="18" t="s">
        <v>36</v>
      </c>
      <c r="O3094" s="13" t="s">
        <v>11521</v>
      </c>
      <c r="P3094" s="19" t="s">
        <v>2050</v>
      </c>
      <c r="Q3094" s="47" t="s">
        <v>12911</v>
      </c>
      <c r="R3094" s="13" t="s">
        <v>65</v>
      </c>
      <c r="S3094" s="16" t="n">
        <v>39296</v>
      </c>
      <c r="T3094" s="28" t="s">
        <v>40</v>
      </c>
      <c r="U3094" s="13" t="s">
        <v>11142</v>
      </c>
      <c r="V3094" s="13" t="s">
        <v>42</v>
      </c>
      <c r="W3094" s="13" t="s">
        <v>43</v>
      </c>
      <c r="X3094" s="30" t="n">
        <v>89835925556</v>
      </c>
      <c r="Y3094" s="22" t="str">
        <f aca="false">O3094</f>
        <v>Produksi Assembly</v>
      </c>
      <c r="Z3094" s="13" t="str">
        <f aca="false">IFERROR(__xludf.dummyfunction("if(BJ3094="""","""",GOOGLETRANSLATE(BJ3094,""auto"",""en""))"),"Assembly Production")</f>
        <v>Assembly Production</v>
      </c>
      <c r="AA3094" s="23" t="str">
        <f aca="false">IF(C3094="","", CHOOSE(MONTH(C3094),"January","February","March","April","May","June","July","August","September","October","November","December")&amp;" "&amp;DAY(C3094)&amp;MID("thstndrdth",MIN(9,2*RIGHT(DAY(C3094))*(MOD(DAY(C3094)-11,100)&gt;2)+1),2)&amp;","&amp;TEXT(C3094," yyyy"))</f>
        <v>November 5th,2025</v>
      </c>
      <c r="AB3094" s="15" t="str">
        <f aca="true">IF(S3094="","",DATEDIF(S3094,TODAY(),"Y")&amp;" Tahun, "&amp;DATEDIF(S3094,TODAY(),"YM")&amp;" Bulan, "&amp;DATEDIF(S3094,TODAY(),"MD")&amp;" Hari")</f>
        <v>19 Tahun, 2 Bulan, 27 Hari</v>
      </c>
      <c r="AC3094" s="18" t="n">
        <v>45966</v>
      </c>
      <c r="AD3094" s="18" t="n">
        <v>46022</v>
      </c>
      <c r="AE3094" s="13" t="s">
        <v>44</v>
      </c>
    </row>
    <row r="3095" customFormat="false" ht="15" hidden="false" customHeight="true" outlineLevel="0" collapsed="false">
      <c r="A3095" s="12" t="n">
        <v>21656</v>
      </c>
      <c r="B3095" s="13" t="s">
        <v>12912</v>
      </c>
      <c r="C3095" s="16" t="n">
        <v>46028</v>
      </c>
      <c r="D3095" s="13" t="s">
        <v>6487</v>
      </c>
      <c r="E3095" s="15" t="s">
        <v>47</v>
      </c>
      <c r="F3095" s="15" t="str">
        <f aca="false">IFERROR(__xludf.dummyfunction("XLOOKUP(AJ3095,IMPORTRANGE(""1XaInW9DU9nz21V0tYIfzFQ0He9kVQ_JF2mCXgZ3hqFA"",""REKAP ALL 2026 - Andika!G:G""),IMPORTRANGE(""1XaInW9DU9nz21V0tYIfzFQ0He9kVQ_JF2mCXgZ3hqFA"",""REKAP ALL 2026 - Andika!F:F""),"""",0)"),"26005762310")</f>
        <v>26005762310</v>
      </c>
      <c r="G3095" s="28" t="s">
        <v>57</v>
      </c>
      <c r="H3095" s="13" t="s">
        <v>35</v>
      </c>
      <c r="I3095" s="13" t="str">
        <f aca="false">IF(C3095=J3095,"NEW KONTRAK","RE-KONTRAK")</f>
        <v>NEW KONTRAK</v>
      </c>
      <c r="J3095" s="16" t="n">
        <f aca="false" t="array" ref="J3095:J3095">IFERROR(INDEX(AC3095:AE3095,IF(COUNTA(AC3095:AE3095)=0,"",MAX((AC3095:AE3095&lt;&gt;"")*(COLUMN(AC3095:AE3095)-(COLUMN(AC3095)))))-1),"")</f>
        <v>46028</v>
      </c>
      <c r="K3095" s="16" t="n">
        <f aca="false" t="array" ref="K3095:K3095">IFERROR(INDEX(AC3095:AE3095,IF(COUNTA(AC3095:AE3095)=0,"",MAX((AC3095:AE3095&lt;&gt;"")*(COLUMN(AC3095:AE3095)-(COLUMN(AC3095)-1))))-1),"")</f>
        <v>46387</v>
      </c>
      <c r="L3095" s="17" t="str">
        <f aca="false" t="array" ref="L3095:L3095">IFERROR(INDEX(AC3095:AE3095,IF(COUNTA(AC3095:AE3095)=0,"",MAX((AC3095:AE3095&lt;&gt;"")*(COLUMN(AC3095:AE3095)-(COLUMN(AC3095)-2))))-1),"")</f>
        <v>KEMBALI</v>
      </c>
      <c r="M3095" s="13" t="n">
        <f aca="true">K3095-TODAY()</f>
        <v>63</v>
      </c>
      <c r="N3095" s="18" t="s">
        <v>4735</v>
      </c>
      <c r="O3095" s="13" t="s">
        <v>12799</v>
      </c>
      <c r="P3095" s="19" t="n">
        <v>3802862</v>
      </c>
      <c r="Q3095" s="20" t="s">
        <v>12913</v>
      </c>
      <c r="R3095" s="13" t="s">
        <v>83</v>
      </c>
      <c r="S3095" s="16" t="n">
        <v>35720</v>
      </c>
      <c r="T3095" s="28" t="s">
        <v>40</v>
      </c>
      <c r="U3095" s="13" t="s">
        <v>12914</v>
      </c>
      <c r="V3095" s="13" t="s">
        <v>42</v>
      </c>
      <c r="W3095" s="13" t="s">
        <v>43</v>
      </c>
      <c r="X3095" s="21" t="n">
        <v>87851600318</v>
      </c>
      <c r="Y3095" s="22" t="str">
        <f aca="false">O3095</f>
        <v>Helper Ekspedisi</v>
      </c>
      <c r="Z3095" s="13" t="str">
        <f aca="false">IFERROR(__xludf.dummyfunction("if(BJ3095="""","""",GOOGLETRANSLATE(BJ3095,""auto"",""en""))"),"Expedition Helper")</f>
        <v>Expedition Helper</v>
      </c>
      <c r="AA3095" s="23" t="str">
        <f aca="false">IF(C3095="","", CHOOSE(MONTH(C3095),"January","February","March","April","May","June","July","August","September","October","November","December")&amp;" "&amp;DAY(C3095)&amp;MID("thstndrdth",MIN(9,2*RIGHT(DAY(C3095))*(MOD(DAY(C3095)-11,100)&gt;2)+1),2)&amp;","&amp;TEXT(C3095," yyyy"))</f>
        <v>January 6th,2026</v>
      </c>
      <c r="AB3095" s="15" t="str">
        <f aca="true">IF(S3095="","",DATEDIF(S3095,TODAY(),"Y")&amp;" Tahun, "&amp;DATEDIF(S3095,TODAY(),"YM")&amp;" Bulan, "&amp;DATEDIF(S3095,TODAY(),"MD")&amp;" Hari")</f>
        <v>29 Tahun, 0 Bulan, 12 Hari</v>
      </c>
      <c r="AC3095" s="18" t="n">
        <v>46028</v>
      </c>
      <c r="AD3095" s="18" t="n">
        <v>46387</v>
      </c>
      <c r="AE3095" s="13" t="s">
        <v>397</v>
      </c>
    </row>
    <row r="3096" customFormat="false" ht="15" hidden="false" customHeight="true" outlineLevel="0" collapsed="false">
      <c r="A3096" s="12" t="n">
        <v>21657</v>
      </c>
      <c r="B3096" s="13" t="s">
        <v>12915</v>
      </c>
      <c r="C3096" s="16" t="n">
        <v>46027</v>
      </c>
      <c r="D3096" s="13" t="s">
        <v>10155</v>
      </c>
      <c r="E3096" s="15" t="s">
        <v>47</v>
      </c>
      <c r="F3096" s="15" t="str">
        <f aca="false">IFERROR(__xludf.dummyfunction("XLOOKUP(AJ3096,IMPORTRANGE(""1XaInW9DU9nz21V0tYIfzFQ0He9kVQ_JF2mCXgZ3hqFA"",""REKAP ALL 2026 - Andika!G:G""),IMPORTRANGE(""1XaInW9DU9nz21V0tYIfzFQ0He9kVQ_JF2mCXgZ3hqFA"",""REKAP ALL 2026 - Andika!F:F""),"""",0)"),"26020755331")</f>
        <v>26020755331</v>
      </c>
      <c r="G3096" s="13" t="s">
        <v>1127</v>
      </c>
      <c r="H3096" s="13" t="s">
        <v>35</v>
      </c>
      <c r="I3096" s="13" t="str">
        <f aca="false">IF(C3096=J3096,"NEW KONTRAK","RE-KONTRAK")</f>
        <v>NEW KONTRAK</v>
      </c>
      <c r="J3096" s="16" t="n">
        <f aca="false" t="array" ref="J3096:J3096">IFERROR(INDEX(AC3096:AE3096,IF(COUNTA(AC3096:AE3096)=0,"",MAX((AC3096:AE3096&lt;&gt;"")*(COLUMN(AC3096:AE3096)-(COLUMN(AC3096)))))-1),"")</f>
        <v>46027</v>
      </c>
      <c r="K3096" s="16" t="n">
        <f aca="false" t="array" ref="K3096:K3096">IFERROR(INDEX(AC3096:AE3096,IF(COUNTA(AC3096:AE3096)=0,"",MAX((AC3096:AE3096&lt;&gt;"")*(COLUMN(AC3096:AE3096)-(COLUMN(AC3096)-1))))-1),"")</f>
        <v>46081</v>
      </c>
      <c r="L3096" s="17" t="str">
        <f aca="false" t="array" ref="L3096:L3096">IFERROR(INDEX(AC3096:AE3096,IF(COUNTA(AC3096:AE3096)=0,"",MAX((AC3096:AE3096&lt;&gt;"")*(COLUMN(AC3096:AE3096)-(COLUMN(AC3096)-2))))-1),"")</f>
        <v>ARCHIVED</v>
      </c>
      <c r="M3096" s="13" t="n">
        <f aca="true">K3096-TODAY()</f>
        <v>-243</v>
      </c>
      <c r="N3096" s="18" t="s">
        <v>36</v>
      </c>
      <c r="O3096" s="13" t="s">
        <v>12916</v>
      </c>
      <c r="P3096" s="27" t="n">
        <v>5195401</v>
      </c>
      <c r="Q3096" s="47" t="s">
        <v>12917</v>
      </c>
      <c r="R3096" s="13" t="s">
        <v>65</v>
      </c>
      <c r="S3096" s="16" t="n">
        <v>37104</v>
      </c>
      <c r="T3096" s="13" t="s">
        <v>108</v>
      </c>
      <c r="U3096" s="13" t="s">
        <v>12918</v>
      </c>
      <c r="V3096" s="13" t="s">
        <v>42</v>
      </c>
      <c r="W3096" s="13" t="s">
        <v>43</v>
      </c>
      <c r="X3096" s="21" t="n">
        <v>89698906817</v>
      </c>
      <c r="Y3096" s="22" t="str">
        <f aca="false">O3096</f>
        <v>Admin Logistic GBJ Plant 1</v>
      </c>
      <c r="Z3096" s="13" t="str">
        <f aca="false">IFERROR(__xludf.dummyfunction("if(BJ3096="""","""",GOOGLETRANSLATE(BJ3096,""auto"",""en""))"),"Admin Logistic GBJ Plant 1")</f>
        <v>Admin Logistic GBJ Plant 1</v>
      </c>
      <c r="AA3096" s="23" t="str">
        <f aca="false">IF(C3096="","", CHOOSE(MONTH(C3096),"January","February","March","April","May","June","July","August","September","October","November","December")&amp;" "&amp;DAY(C3096)&amp;MID("thstndrdth",MIN(9,2*RIGHT(DAY(C3096))*(MOD(DAY(C3096)-11,100)&gt;2)+1),2)&amp;","&amp;TEXT(C3096," yyyy"))</f>
        <v>January 5th,2026</v>
      </c>
      <c r="AB3096" s="15" t="str">
        <f aca="true">IF(S3096="","",DATEDIF(S3096,TODAY(),"Y")&amp;" Tahun, "&amp;DATEDIF(S3096,TODAY(),"YM")&amp;" Bulan, "&amp;DATEDIF(S3096,TODAY(),"MD")&amp;" Hari")</f>
        <v>25 Tahun, 2 Bulan, 28 Hari</v>
      </c>
      <c r="AC3096" s="18" t="n">
        <v>46027</v>
      </c>
      <c r="AD3096" s="18" t="n">
        <v>46081</v>
      </c>
      <c r="AE3096" s="13" t="s">
        <v>44</v>
      </c>
    </row>
    <row r="3097" customFormat="false" ht="15" hidden="false" customHeight="true" outlineLevel="0" collapsed="false">
      <c r="A3097" s="12" t="n">
        <v>21658</v>
      </c>
      <c r="B3097" s="13" t="s">
        <v>12919</v>
      </c>
      <c r="C3097" s="16" t="n">
        <v>46028</v>
      </c>
      <c r="D3097" s="13" t="s">
        <v>6487</v>
      </c>
      <c r="E3097" s="15" t="s">
        <v>47</v>
      </c>
      <c r="F3097" s="15" t="str">
        <f aca="false">IFERROR(__xludf.dummyfunction("XLOOKUP(AJ3097,IMPORTRANGE(""1XaInW9DU9nz21V0tYIfzFQ0He9kVQ_JF2mCXgZ3hqFA"",""REKAP ALL 2026 - Andika!G:G""),IMPORTRANGE(""1XaInW9DU9nz21V0tYIfzFQ0He9kVQ_JF2mCXgZ3hqFA"",""REKAP ALL 2026 - Andika!F:F""),"""",0)"),"26020763863")</f>
        <v>26020763863</v>
      </c>
      <c r="G3097" s="28" t="s">
        <v>57</v>
      </c>
      <c r="H3097" s="13" t="s">
        <v>35</v>
      </c>
      <c r="I3097" s="13" t="str">
        <f aca="false">IF(C3097=J3097,"NEW KONTRAK","RE-KONTRAK")</f>
        <v>NEW KONTRAK</v>
      </c>
      <c r="J3097" s="16" t="n">
        <f aca="false" t="array" ref="J3097:J3097">IFERROR(INDEX(AC3097:AE3097,IF(COUNTA(AC3097:AE3097)=0,"",MAX((AC3097:AE3097&lt;&gt;"")*(COLUMN(AC3097:AE3097)-(COLUMN(AC3097)))))-1),"")</f>
        <v>46028</v>
      </c>
      <c r="K3097" s="16" t="n">
        <f aca="false" t="array" ref="K3097:K3097">IFERROR(INDEX(AC3097:AE3097,IF(COUNTA(AC3097:AE3097)=0,"",MAX((AC3097:AE3097&lt;&gt;"")*(COLUMN(AC3097:AE3097)-(COLUMN(AC3097)-1))))-1),"")</f>
        <v>46387</v>
      </c>
      <c r="L3097" s="17" t="str">
        <f aca="false" t="array" ref="L3097:L3097">IFERROR(INDEX(AC3097:AE3097,IF(COUNTA(AC3097:AE3097)=0,"",MAX((AC3097:AE3097&lt;&gt;"")*(COLUMN(AC3097:AE3097)-(COLUMN(AC3097)-2))))-1),"")</f>
        <v>KEMBALI</v>
      </c>
      <c r="M3097" s="13" t="n">
        <f aca="true">K3097-TODAY()</f>
        <v>63</v>
      </c>
      <c r="N3097" s="18" t="s">
        <v>4735</v>
      </c>
      <c r="O3097" s="13" t="s">
        <v>12799</v>
      </c>
      <c r="P3097" s="19" t="n">
        <v>3802862</v>
      </c>
      <c r="Q3097" s="20" t="s">
        <v>12920</v>
      </c>
      <c r="R3097" s="13" t="s">
        <v>12921</v>
      </c>
      <c r="S3097" s="16" t="n">
        <v>35937</v>
      </c>
      <c r="T3097" s="28" t="s">
        <v>40</v>
      </c>
      <c r="U3097" s="13" t="s">
        <v>12922</v>
      </c>
      <c r="V3097" s="13" t="s">
        <v>42</v>
      </c>
      <c r="W3097" s="13" t="s">
        <v>43</v>
      </c>
      <c r="X3097" s="21" t="n">
        <v>81332720355</v>
      </c>
      <c r="Y3097" s="22" t="str">
        <f aca="false">O3097</f>
        <v>Helper Ekspedisi</v>
      </c>
      <c r="Z3097" s="13" t="str">
        <f aca="false">IFERROR(__xludf.dummyfunction("if(BJ3097="""","""",GOOGLETRANSLATE(BJ3097,""auto"",""en""))"),"Expedition Helper")</f>
        <v>Expedition Helper</v>
      </c>
      <c r="AA3097" s="23" t="str">
        <f aca="false">IF(C3097="","", CHOOSE(MONTH(C3097),"January","February","March","April","May","June","July","August","September","October","November","December")&amp;" "&amp;DAY(C3097)&amp;MID("thstndrdth",MIN(9,2*RIGHT(DAY(C3097))*(MOD(DAY(C3097)-11,100)&gt;2)+1),2)&amp;","&amp;TEXT(C3097," yyyy"))</f>
        <v>January 6th,2026</v>
      </c>
      <c r="AB3097" s="15" t="str">
        <f aca="true">IF(S3097="","",DATEDIF(S3097,TODAY(),"Y")&amp;" Tahun, "&amp;DATEDIF(S3097,TODAY(),"YM")&amp;" Bulan, "&amp;DATEDIF(S3097,TODAY(),"MD")&amp;" Hari")</f>
        <v>28 Tahun, 5 Bulan, 7 Hari</v>
      </c>
      <c r="AC3097" s="18" t="n">
        <v>46028</v>
      </c>
      <c r="AD3097" s="18" t="n">
        <v>46387</v>
      </c>
      <c r="AE3097" s="13" t="s">
        <v>397</v>
      </c>
    </row>
    <row r="3098" customFormat="false" ht="15" hidden="false" customHeight="true" outlineLevel="0" collapsed="false">
      <c r="A3098" s="12" t="n">
        <v>21659</v>
      </c>
      <c r="B3098" s="13" t="s">
        <v>12923</v>
      </c>
      <c r="C3098" s="16" t="n">
        <v>46030</v>
      </c>
      <c r="D3098" s="13" t="s">
        <v>1338</v>
      </c>
      <c r="E3098" s="15" t="s">
        <v>47</v>
      </c>
      <c r="F3098" s="15" t="str">
        <f aca="false">IFERROR(__xludf.dummyfunction("XLOOKUP(AJ3098,IMPORTRANGE(""1XaInW9DU9nz21V0tYIfzFQ0He9kVQ_JF2mCXgZ3hqFA"",""REKAP ALL 2026 - Andika!G:G""),IMPORTRANGE(""1XaInW9DU9nz21V0tYIfzFQ0He9kVQ_JF2mCXgZ3hqFA"",""REKAP ALL 2026 - Andika!F:F""),"""",0)"),"26020755117")</f>
        <v>26020755117</v>
      </c>
      <c r="G3098" s="13" t="s">
        <v>57</v>
      </c>
      <c r="H3098" s="13" t="s">
        <v>3024</v>
      </c>
      <c r="I3098" s="13" t="str">
        <f aca="false">IF(C3098=J3098,"NEW KONTRAK","RE-KONTRAK")</f>
        <v>NEW KONTRAK</v>
      </c>
      <c r="J3098" s="16" t="n">
        <f aca="false" t="array" ref="J3098:J3098">IFERROR(INDEX(AC3098:AE3098,IF(COUNTA(AC3098:AE3098)=0,"",MAX((AC3098:AE3098&lt;&gt;"")*(COLUMN(AC3098:AE3098)-(COLUMN(AC3098)))))-1),"")</f>
        <v>46030</v>
      </c>
      <c r="K3098" s="16" t="n">
        <f aca="false" t="array" ref="K3098:K3098">IFERROR(INDEX(AC3098:AE3098,IF(COUNTA(AC3098:AE3098)=0,"",MAX((AC3098:AE3098&lt;&gt;"")*(COLUMN(AC3098:AE3098)-(COLUMN(AC3098)-1))))-1),"")</f>
        <v>46149</v>
      </c>
      <c r="L3098" s="17" t="str">
        <f aca="false" t="array" ref="L3098:L3098">IFERROR(INDEX(AC3098:AE3098,IF(COUNTA(AC3098:AE3098)=0,"",MAX((AC3098:AE3098&lt;&gt;"")*(COLUMN(AC3098:AE3098)-(COLUMN(AC3098)-2))))-1),"")</f>
        <v>KEMBALI</v>
      </c>
      <c r="M3098" s="13" t="n">
        <f aca="true">K3098-TODAY()</f>
        <v>-175</v>
      </c>
      <c r="N3098" s="18" t="s">
        <v>615</v>
      </c>
      <c r="O3098" s="13" t="s">
        <v>2335</v>
      </c>
      <c r="P3098" s="19" t="n">
        <v>160000</v>
      </c>
      <c r="Q3098" s="47" t="s">
        <v>12924</v>
      </c>
      <c r="R3098" s="13" t="s">
        <v>73</v>
      </c>
      <c r="S3098" s="16" t="n">
        <v>31905</v>
      </c>
      <c r="T3098" s="28" t="s">
        <v>40</v>
      </c>
      <c r="U3098" s="13" t="s">
        <v>12925</v>
      </c>
      <c r="V3098" s="13" t="s">
        <v>42</v>
      </c>
      <c r="W3098" s="13" t="s">
        <v>54</v>
      </c>
      <c r="X3098" s="21" t="n">
        <v>85706321326</v>
      </c>
      <c r="Y3098" s="22" t="str">
        <f aca="false">O3098</f>
        <v>Project Management</v>
      </c>
      <c r="Z3098" s="13" t="str">
        <f aca="false">IFERROR(__xludf.dummyfunction("if(BJ3098="""","""",GOOGLETRANSLATE(BJ3098,""auto"",""en""))"),"Project Management")</f>
        <v>Project Management</v>
      </c>
      <c r="AA3098" s="23" t="str">
        <f aca="false">IF(C3098="","", CHOOSE(MONTH(C3098),"January","February","March","April","May","June","July","August","September","October","November","December")&amp;" "&amp;DAY(C3098)&amp;MID("thstndrdth",MIN(9,2*RIGHT(DAY(C3098))*(MOD(DAY(C3098)-11,100)&gt;2)+1),2)&amp;","&amp;TEXT(C3098," yyyy"))</f>
        <v>January 8th,2026</v>
      </c>
      <c r="AB3098" s="15" t="str">
        <f aca="true">IF(S3098="","",DATEDIF(S3098,TODAY(),"Y")&amp;" Tahun, "&amp;DATEDIF(S3098,TODAY(),"YM")&amp;" Bulan, "&amp;DATEDIF(S3098,TODAY(),"MD")&amp;" Hari")</f>
        <v>39 Tahun, 5 Bulan, 21 Hari</v>
      </c>
      <c r="AC3098" s="18" t="n">
        <v>46030</v>
      </c>
      <c r="AD3098" s="18" t="n">
        <v>46149</v>
      </c>
      <c r="AE3098" s="13" t="s">
        <v>397</v>
      </c>
    </row>
    <row r="3099" customFormat="false" ht="15" hidden="false" customHeight="true" outlineLevel="0" collapsed="false">
      <c r="A3099" s="12" t="n">
        <v>21660</v>
      </c>
      <c r="B3099" s="13" t="s">
        <v>12926</v>
      </c>
      <c r="C3099" s="16" t="n">
        <v>46023</v>
      </c>
      <c r="D3099" s="13" t="s">
        <v>3643</v>
      </c>
      <c r="E3099" s="15" t="s">
        <v>102</v>
      </c>
      <c r="F3099" s="24" t="s">
        <v>12927</v>
      </c>
      <c r="G3099" s="15" t="s">
        <v>2809</v>
      </c>
      <c r="H3099" s="13" t="s">
        <v>35</v>
      </c>
      <c r="I3099" s="13" t="str">
        <f aca="false">IF(C3099=J3099,"NEW KONTRAK","RE-KONTRAK")</f>
        <v>NEW KONTRAK</v>
      </c>
      <c r="J3099" s="16" t="n">
        <f aca="false" t="array" ref="J3099:J3099">IFERROR(INDEX(AC3099:AE3099,IF(COUNTA(AC3099:AE3099)=0,"",MAX((AC3099:AE3099&lt;&gt;"")*(COLUMN(AC3099:AE3099)-(COLUMN(AC3099)))))-1),"")</f>
        <v>46023</v>
      </c>
      <c r="K3099" s="16" t="n">
        <f aca="false" t="array" ref="K3099:K3099">IFERROR(INDEX(AC3099:AE3099,IF(COUNTA(AC3099:AE3099)=0,"",MAX((AC3099:AE3099&lt;&gt;"")*(COLUMN(AC3099:AE3099)-(COLUMN(AC3099)-1))))-1),"")</f>
        <v>46112</v>
      </c>
      <c r="L3099" s="17" t="str">
        <f aca="false" t="array" ref="L3099:L3099">IFERROR(INDEX(AC3099:AE3099,IF(COUNTA(AC3099:AE3099)=0,"",MAX((AC3099:AE3099&lt;&gt;"")*(COLUMN(AC3099:AE3099)-(COLUMN(AC3099)-2))))-1),"")</f>
        <v>ARCHIVED</v>
      </c>
      <c r="M3099" s="13" t="n">
        <f aca="true">K3099-TODAY()</f>
        <v>-212</v>
      </c>
      <c r="N3099" s="18" t="s">
        <v>728</v>
      </c>
      <c r="O3099" s="13" t="s">
        <v>12894</v>
      </c>
      <c r="P3099" s="19" t="n">
        <v>2750000</v>
      </c>
      <c r="Q3099" s="47" t="s">
        <v>12928</v>
      </c>
      <c r="R3099" s="13" t="s">
        <v>52</v>
      </c>
      <c r="S3099" s="16" t="n">
        <v>37645</v>
      </c>
      <c r="T3099" s="28" t="s">
        <v>40</v>
      </c>
      <c r="U3099" s="13" t="s">
        <v>12929</v>
      </c>
      <c r="V3099" s="13" t="s">
        <v>42</v>
      </c>
      <c r="W3099" s="13" t="s">
        <v>43</v>
      </c>
      <c r="X3099" s="21" t="n">
        <v>81234922304</v>
      </c>
      <c r="Y3099" s="22" t="str">
        <f aca="false">O3099</f>
        <v>Handling/Tally</v>
      </c>
      <c r="Z3099" s="13" t="str">
        <f aca="false">IFERROR(__xludf.dummyfunction("if(BJ3099="""","""",GOOGLETRANSLATE(BJ3099,""auto"",""en""))"),"Handling/Tally")</f>
        <v>Handling/Tally</v>
      </c>
      <c r="AA3099" s="23" t="str">
        <f aca="false">IF(C3099="","", CHOOSE(MONTH(C3099),"January","February","March","April","May","June","July","August","September","October","November","December")&amp;" "&amp;DAY(C3099)&amp;MID("thstndrdth",MIN(9,2*RIGHT(DAY(C3099))*(MOD(DAY(C3099)-11,100)&gt;2)+1),2)&amp;","&amp;TEXT(C3099," yyyy"))</f>
        <v>January 1st,2026</v>
      </c>
      <c r="AB3099" s="15" t="str">
        <f aca="true">IF(S3099="","",DATEDIF(S3099,TODAY(),"Y")&amp;" Tahun, "&amp;DATEDIF(S3099,TODAY(),"YM")&amp;" Bulan, "&amp;DATEDIF(S3099,TODAY(),"MD")&amp;" Hari")</f>
        <v>23 Tahun, 9 Bulan, 5 Hari</v>
      </c>
      <c r="AC3099" s="18" t="n">
        <v>46023</v>
      </c>
      <c r="AD3099" s="18" t="n">
        <f aca="false">EDATE(AC3099,3)-1</f>
        <v>46112</v>
      </c>
      <c r="AE3099" s="13" t="s">
        <v>44</v>
      </c>
    </row>
    <row r="3100" customFormat="false" ht="15" hidden="false" customHeight="true" outlineLevel="0" collapsed="false">
      <c r="A3100" s="12" t="n">
        <v>21661</v>
      </c>
      <c r="B3100" s="13" t="s">
        <v>12930</v>
      </c>
      <c r="C3100" s="16" t="n">
        <v>46023</v>
      </c>
      <c r="D3100" s="13" t="s">
        <v>3643</v>
      </c>
      <c r="E3100" s="15" t="s">
        <v>47</v>
      </c>
      <c r="F3100" s="24" t="s">
        <v>12931</v>
      </c>
      <c r="G3100" s="13" t="s">
        <v>2809</v>
      </c>
      <c r="H3100" s="13" t="s">
        <v>35</v>
      </c>
      <c r="I3100" s="13" t="str">
        <f aca="false">IF(C3100=J3100,"NEW KONTRAK","RE-KONTRAK")</f>
        <v>NEW KONTRAK</v>
      </c>
      <c r="J3100" s="16" t="n">
        <f aca="false" t="array" ref="J3100:J3100">IFERROR(INDEX(AC3100:AE3100,IF(COUNTA(AC3100:AE3100)=0,"",MAX((AC3100:AE3100&lt;&gt;"")*(COLUMN(AC3100:AE3100)-(COLUMN(AC3100)))))-1),"")</f>
        <v>46023</v>
      </c>
      <c r="K3100" s="16" t="n">
        <f aca="false" t="array" ref="K3100:K3100">IFERROR(INDEX(AC3100:AE3100,IF(COUNTA(AC3100:AE3100)=0,"",MAX((AC3100:AE3100&lt;&gt;"")*(COLUMN(AC3100:AE3100)-(COLUMN(AC3100)-1))))-1),"")</f>
        <v>46112</v>
      </c>
      <c r="L3100" s="17" t="str">
        <f aca="false" t="array" ref="L3100:L3100">IFERROR(INDEX(AC3100:AE3100,IF(COUNTA(AC3100:AE3100)=0,"",MAX((AC3100:AE3100&lt;&gt;"")*(COLUMN(AC3100:AE3100)-(COLUMN(AC3100)-2))))-1),"")</f>
        <v>ARCHIVED</v>
      </c>
      <c r="M3100" s="13" t="n">
        <f aca="true">K3100-TODAY()</f>
        <v>-212</v>
      </c>
      <c r="N3100" s="18" t="s">
        <v>728</v>
      </c>
      <c r="O3100" s="13" t="s">
        <v>12894</v>
      </c>
      <c r="P3100" s="19" t="n">
        <v>2750000</v>
      </c>
      <c r="Q3100" s="47" t="s">
        <v>12932</v>
      </c>
      <c r="R3100" s="13" t="s">
        <v>401</v>
      </c>
      <c r="S3100" s="16" t="n">
        <v>37045</v>
      </c>
      <c r="T3100" s="28" t="s">
        <v>40</v>
      </c>
      <c r="U3100" s="13" t="s">
        <v>12933</v>
      </c>
      <c r="V3100" s="13" t="s">
        <v>42</v>
      </c>
      <c r="W3100" s="13" t="s">
        <v>43</v>
      </c>
      <c r="X3100" s="21" t="n">
        <v>85931200550</v>
      </c>
      <c r="Y3100" s="22" t="str">
        <f aca="false">O3100</f>
        <v>Handling/Tally</v>
      </c>
      <c r="Z3100" s="13" t="str">
        <f aca="false">IFERROR(__xludf.dummyfunction("if(BJ3100="""","""",GOOGLETRANSLATE(BJ3100,""auto"",""en""))"),"Handling/Tally")</f>
        <v>Handling/Tally</v>
      </c>
      <c r="AA3100" s="23" t="str">
        <f aca="false">IF(C3100="","", CHOOSE(MONTH(C3100),"January","February","March","April","May","June","July","August","September","October","November","December")&amp;" "&amp;DAY(C3100)&amp;MID("thstndrdth",MIN(9,2*RIGHT(DAY(C3100))*(MOD(DAY(C3100)-11,100)&gt;2)+1),2)&amp;","&amp;TEXT(C3100," yyyy"))</f>
        <v>January 1st,2026</v>
      </c>
      <c r="AB3100" s="15" t="str">
        <f aca="true">IF(S3100="","",DATEDIF(S3100,TODAY(),"Y")&amp;" Tahun, "&amp;DATEDIF(S3100,TODAY(),"YM")&amp;" Bulan, "&amp;DATEDIF(S3100,TODAY(),"MD")&amp;" Hari")</f>
        <v>25 Tahun, 4 Bulan, 26 Hari</v>
      </c>
      <c r="AC3100" s="18" t="n">
        <v>46023</v>
      </c>
      <c r="AD3100" s="18" t="n">
        <f aca="false">EDATE(AC3100,3)-1</f>
        <v>46112</v>
      </c>
      <c r="AE3100" s="13" t="s">
        <v>44</v>
      </c>
    </row>
    <row r="3101" customFormat="false" ht="15" hidden="false" customHeight="true" outlineLevel="0" collapsed="false">
      <c r="A3101" s="12" t="n">
        <v>21662</v>
      </c>
      <c r="B3101" s="13" t="s">
        <v>12934</v>
      </c>
      <c r="C3101" s="16" t="n">
        <v>46024</v>
      </c>
      <c r="D3101" s="13" t="s">
        <v>1721</v>
      </c>
      <c r="E3101" s="15" t="s">
        <v>1778</v>
      </c>
      <c r="F3101" s="24" t="s">
        <v>12935</v>
      </c>
      <c r="G3101" s="28" t="s">
        <v>57</v>
      </c>
      <c r="H3101" s="13" t="s">
        <v>35</v>
      </c>
      <c r="I3101" s="13" t="str">
        <f aca="false">IF(C3101=J3101,"NEW KONTRAK","RE-KONTRAK")</f>
        <v>NEW KONTRAK</v>
      </c>
      <c r="J3101" s="16" t="n">
        <f aca="false" t="array" ref="J3101:J3101">IFERROR(INDEX(AC3101:AE3101,IF(COUNTA(AC3101:AE3101)=0,"",MAX((AC3101:AE3101&lt;&gt;"")*(COLUMN(AC3101:AE3101)-(COLUMN(AC3101)))))-1),"")</f>
        <v>46024</v>
      </c>
      <c r="K3101" s="16" t="n">
        <f aca="false" t="array" ref="K3101:K3101">IFERROR(INDEX(AC3101:AE3101,IF(COUNTA(AC3101:AE3101)=0,"",MAX((AC3101:AE3101&lt;&gt;"")*(COLUMN(AC3101:AE3101)-(COLUMN(AC3101)-1))))-1),"")</f>
        <v>46113</v>
      </c>
      <c r="L3101" s="17" t="str">
        <f aca="false" t="array" ref="L3101:L3101">IFERROR(INDEX(AC3101:AE3101,IF(COUNTA(AC3101:AE3101)=0,"",MAX((AC3101:AE3101&lt;&gt;"")*(COLUMN(AC3101:AE3101)-(COLUMN(AC3101)-2))))-1),"")</f>
        <v>ARCHIVED</v>
      </c>
      <c r="M3101" s="13" t="n">
        <f aca="true">K3101-TODAY()</f>
        <v>-211</v>
      </c>
      <c r="N3101" s="18" t="s">
        <v>728</v>
      </c>
      <c r="O3101" s="13" t="s">
        <v>12936</v>
      </c>
      <c r="P3101" s="19" t="n">
        <v>5444909</v>
      </c>
      <c r="Q3101" s="47" t="s">
        <v>12937</v>
      </c>
      <c r="R3101" s="13" t="s">
        <v>148</v>
      </c>
      <c r="S3101" s="16" t="n">
        <v>37795</v>
      </c>
      <c r="T3101" s="13" t="s">
        <v>108</v>
      </c>
      <c r="U3101" s="13" t="s">
        <v>12938</v>
      </c>
      <c r="V3101" s="13" t="s">
        <v>42</v>
      </c>
      <c r="W3101" s="13" t="s">
        <v>43</v>
      </c>
      <c r="X3101" s="21" t="s">
        <v>12939</v>
      </c>
      <c r="Y3101" s="22" t="str">
        <f aca="false">O3101</f>
        <v>IM.Operator</v>
      </c>
      <c r="Z3101" s="13" t="str">
        <f aca="false">IFERROR(__xludf.dummyfunction("if(BJ3101="""","""",GOOGLETRANSLATE(BJ3101,""auto"",""en""))"),"IM.Operator")</f>
        <v>IM.Operator</v>
      </c>
      <c r="AA3101" s="23" t="str">
        <f aca="false">IF(C3101="","", CHOOSE(MONTH(C3101),"January","February","March","April","May","June","July","August","September","October","November","December")&amp;" "&amp;DAY(C3101)&amp;MID("thstndrdth",MIN(9,2*RIGHT(DAY(C3101))*(MOD(DAY(C3101)-11,100)&gt;2)+1),2)&amp;","&amp;TEXT(C3101," yyyy"))</f>
        <v>January 2nd,2026</v>
      </c>
      <c r="AB3101" s="15" t="str">
        <f aca="true">IF(S3101="","",DATEDIF(S3101,TODAY(),"Y")&amp;" Tahun, "&amp;DATEDIF(S3101,TODAY(),"YM")&amp;" Bulan, "&amp;DATEDIF(S3101,TODAY(),"MD")&amp;" Hari")</f>
        <v>23 Tahun, 4 Bulan, 6 Hari</v>
      </c>
      <c r="AC3101" s="18" t="n">
        <v>46024</v>
      </c>
      <c r="AD3101" s="18" t="n">
        <f aca="false">EDATE(AC3101,3)-1</f>
        <v>46113</v>
      </c>
      <c r="AE3101" s="18" t="s">
        <v>44</v>
      </c>
    </row>
    <row r="3102" customFormat="false" ht="15" hidden="false" customHeight="true" outlineLevel="0" collapsed="false">
      <c r="A3102" s="12" t="n">
        <v>2190</v>
      </c>
      <c r="B3102" s="13" t="s">
        <v>12940</v>
      </c>
      <c r="C3102" s="14" t="n">
        <v>44256</v>
      </c>
      <c r="D3102" s="13" t="s">
        <v>1721</v>
      </c>
      <c r="E3102" s="15" t="s">
        <v>47</v>
      </c>
      <c r="F3102" s="15" t="str">
        <f aca="false">IFERROR(__xludf.dummyfunction("XLOOKUP(AJ3102,IMPORTRANGE(""1XaInW9DU9nz21V0tYIfzFQ0He9kVQ_JF2mCXgZ3hqFA"",""REKAP ALL 2026 - Andika!G:G""),IMPORTRANGE(""1XaInW9DU9nz21V0tYIfzFQ0He9kVQ_JF2mCXgZ3hqFA"",""REKAP ALL 2026 - Andika!F:F""),"""",0)"),"17058289996")</f>
        <v>17058289996</v>
      </c>
      <c r="G3102" s="13" t="s">
        <v>12941</v>
      </c>
      <c r="H3102" s="13" t="s">
        <v>35</v>
      </c>
      <c r="I3102" s="13" t="str">
        <f aca="false">IF(C3102=J3102,"NEW KONTRAK","RE-KONTRAK")</f>
        <v>RE-KONTRAK</v>
      </c>
      <c r="J3102" s="16" t="n">
        <f aca="false" t="array" ref="J3102:J3102">IFERROR(INDEX(AC3102:AE3102,IF(COUNTA(AC3102:AE3102)=0,"",MAX((AC3102:AE3102&lt;&gt;"")*(COLUMN(AC3102:AE3102)-(COLUMN(AC3102)))))-1),"")</f>
        <v>45659</v>
      </c>
      <c r="K3102" s="16" t="n">
        <f aca="false" t="array" ref="K3102:K3102">IFERROR(INDEX(AC3102:AE3102,IF(COUNTA(AC3102:AE3102)=0,"",MAX((AC3102:AE3102&lt;&gt;"")*(COLUMN(AC3102:AE3102)-(COLUMN(AC3102)-1))))-1),"")</f>
        <v>46021</v>
      </c>
      <c r="L3102" s="17" t="str">
        <f aca="false" t="array" ref="L3102:L3102">IFERROR(INDEX(AC3102:AE3102,IF(COUNTA(AC3102:AE3102)=0,"",MAX((AC3102:AE3102&lt;&gt;"")*(COLUMN(AC3102:AE3102)-(COLUMN(AC3102)-2))))-1),"")</f>
        <v>KEMBALI</v>
      </c>
      <c r="M3102" s="13" t="n">
        <f aca="true">K3102-TODAY()</f>
        <v>-303</v>
      </c>
      <c r="N3102" s="18" t="s">
        <v>728</v>
      </c>
      <c r="O3102" s="13" t="s">
        <v>1914</v>
      </c>
      <c r="P3102" s="19" t="n">
        <v>5444909</v>
      </c>
      <c r="Q3102" s="20" t="s">
        <v>12942</v>
      </c>
      <c r="R3102" s="13" t="s">
        <v>52</v>
      </c>
      <c r="S3102" s="14" t="n">
        <v>35960</v>
      </c>
      <c r="T3102" s="13" t="s">
        <v>108</v>
      </c>
      <c r="U3102" s="13" t="s">
        <v>12943</v>
      </c>
      <c r="V3102" s="13" t="s">
        <v>42</v>
      </c>
      <c r="W3102" s="13" t="s">
        <v>43</v>
      </c>
      <c r="X3102" s="21" t="n">
        <v>89687678678</v>
      </c>
      <c r="Y3102" s="22" t="str">
        <f aca="false">O3102</f>
        <v>Im Operator</v>
      </c>
      <c r="Z3102" s="13" t="str">
        <f aca="false">IFERROR(__xludf.dummyfunction("if(BJ3102="""","""",GOOGLETRANSLATE(BJ3102,""auto"",""en""))"),"Im Operator")</f>
        <v>Im Operator</v>
      </c>
      <c r="AA3102" s="23" t="str">
        <f aca="false">IF(C3102="","", CHOOSE(MONTH(C3102),"January","February","March","April","May","June","July","August","September","October","November","December")&amp;" "&amp;DAY(C3102)&amp;MID("thstndrdth",MIN(9,2*RIGHT(DAY(C3102))*(MOD(DAY(C3102)-11,100)&gt;2)+1),2)&amp;","&amp;TEXT(C3102," yyyy"))</f>
        <v>March 1st,2021</v>
      </c>
      <c r="AB3102" s="15" t="str">
        <f aca="true">IF(S3102="","",DATEDIF(S3102,TODAY(),"Y")&amp;" Tahun, "&amp;DATEDIF(S3102,TODAY(),"YM")&amp;" Bulan, "&amp;DATEDIF(S3102,TODAY(),"MD")&amp;" Hari")</f>
        <v>28 Tahun, 4 Bulan, 15 Hari</v>
      </c>
      <c r="AC3102" s="18" t="n">
        <v>45659</v>
      </c>
      <c r="AD3102" s="18" t="n">
        <v>46021</v>
      </c>
      <c r="AE3102" s="13" t="s">
        <v>397</v>
      </c>
    </row>
    <row r="3103" customFormat="false" ht="15" hidden="false" customHeight="true" outlineLevel="0" collapsed="false">
      <c r="A3103" s="12" t="n">
        <v>2193</v>
      </c>
      <c r="B3103" s="13" t="s">
        <v>12944</v>
      </c>
      <c r="C3103" s="14" t="n">
        <v>44256</v>
      </c>
      <c r="D3103" s="13" t="s">
        <v>1721</v>
      </c>
      <c r="E3103" s="15" t="s">
        <v>47</v>
      </c>
      <c r="F3103" s="15" t="str">
        <f aca="false">IFERROR(__xludf.dummyfunction("XLOOKUP(AJ3103,IMPORTRANGE(""1XaInW9DU9nz21V0tYIfzFQ0He9kVQ_JF2mCXgZ3hqFA"",""REKAP ALL 2026 - Andika!G:G""),IMPORTRANGE(""1XaInW9DU9nz21V0tYIfzFQ0He9kVQ_JF2mCXgZ3hqFA"",""REKAP ALL 2026 - Andika!F:F""),"""",0)"),"18113406286")</f>
        <v>18113406286</v>
      </c>
      <c r="G3103" s="13" t="s">
        <v>12945</v>
      </c>
      <c r="H3103" s="13" t="s">
        <v>35</v>
      </c>
      <c r="I3103" s="13" t="str">
        <f aca="false">IF(C3103=J3103,"NEW KONTRAK","RE-KONTRAK")</f>
        <v>RE-KONTRAK</v>
      </c>
      <c r="J3103" s="16" t="n">
        <f aca="false" t="array" ref="J3103:J3103">IFERROR(INDEX(AC3103:AE3103,IF(COUNTA(AC3103:AE3103)=0,"",MAX((AC3103:AE3103&lt;&gt;"")*(COLUMN(AC3103:AE3103)-(COLUMN(AC3103)))))-1),"")</f>
        <v>45659</v>
      </c>
      <c r="K3103" s="16" t="n">
        <f aca="false" t="array" ref="K3103:K3103">IFERROR(INDEX(AC3103:AE3103,IF(COUNTA(AC3103:AE3103)=0,"",MAX((AC3103:AE3103&lt;&gt;"")*(COLUMN(AC3103:AE3103)-(COLUMN(AC3103)-1))))-1),"")</f>
        <v>46021</v>
      </c>
      <c r="L3103" s="17" t="str">
        <f aca="false" t="array" ref="L3103:L3103">IFERROR(INDEX(AC3103:AE3103,IF(COUNTA(AC3103:AE3103)=0,"",MAX((AC3103:AE3103&lt;&gt;"")*(COLUMN(AC3103:AE3103)-(COLUMN(AC3103)-2))))-1),"")</f>
        <v>KEMBALI</v>
      </c>
      <c r="M3103" s="13" t="n">
        <f aca="true">K3103-TODAY()</f>
        <v>-303</v>
      </c>
      <c r="N3103" s="18" t="s">
        <v>728</v>
      </c>
      <c r="O3103" s="13" t="s">
        <v>1914</v>
      </c>
      <c r="P3103" s="19" t="n">
        <v>5444909</v>
      </c>
      <c r="Q3103" s="20" t="s">
        <v>12946</v>
      </c>
      <c r="R3103" s="13" t="s">
        <v>78</v>
      </c>
      <c r="S3103" s="14" t="n">
        <v>27490</v>
      </c>
      <c r="T3103" s="13" t="s">
        <v>108</v>
      </c>
      <c r="U3103" s="13" t="s">
        <v>12947</v>
      </c>
      <c r="V3103" s="13" t="s">
        <v>42</v>
      </c>
      <c r="W3103" s="13" t="s">
        <v>54</v>
      </c>
      <c r="X3103" s="21" t="n">
        <v>85731283569</v>
      </c>
      <c r="Y3103" s="22" t="str">
        <f aca="false">O3103</f>
        <v>Im Operator</v>
      </c>
      <c r="Z3103" s="13" t="str">
        <f aca="false">IFERROR(__xludf.dummyfunction("if(BJ3103="""","""",GOOGLETRANSLATE(BJ3103,""auto"",""en""))"),"Im Operator")</f>
        <v>Im Operator</v>
      </c>
      <c r="AA3103" s="23" t="str">
        <f aca="false">IF(C3103="","", CHOOSE(MONTH(C3103),"January","February","March","April","May","June","July","August","September","October","November","December")&amp;" "&amp;DAY(C3103)&amp;MID("thstndrdth",MIN(9,2*RIGHT(DAY(C3103))*(MOD(DAY(C3103)-11,100)&gt;2)+1),2)&amp;","&amp;TEXT(C3103," yyyy"))</f>
        <v>March 1st,2021</v>
      </c>
      <c r="AB3103" s="15" t="str">
        <f aca="true">IF(S3103="","",DATEDIF(S3103,TODAY(),"Y")&amp;" Tahun, "&amp;DATEDIF(S3103,TODAY(),"YM")&amp;" Bulan, "&amp;DATEDIF(S3103,TODAY(),"MD")&amp;" Hari")</f>
        <v>51 Tahun, 6 Bulan, 23 Hari</v>
      </c>
      <c r="AC3103" s="18" t="n">
        <v>45659</v>
      </c>
      <c r="AD3103" s="18" t="n">
        <v>46021</v>
      </c>
      <c r="AE3103" s="13" t="s">
        <v>397</v>
      </c>
    </row>
    <row r="3104" customFormat="false" ht="15" hidden="false" customHeight="true" outlineLevel="0" collapsed="false">
      <c r="A3104" s="12" t="n">
        <v>21676</v>
      </c>
      <c r="B3104" s="13" t="s">
        <v>12948</v>
      </c>
      <c r="C3104" s="16" t="n">
        <v>46024</v>
      </c>
      <c r="D3104" s="13" t="s">
        <v>1721</v>
      </c>
      <c r="E3104" s="15" t="s">
        <v>2467</v>
      </c>
      <c r="F3104" s="15" t="str">
        <f aca="false">IFERROR(__xludf.dummyfunction("XLOOKUP(AJ3104,IMPORTRANGE(""1XaInW9DU9nz21V0tYIfzFQ0He9kVQ_JF2mCXgZ3hqFA"",""REKAP ALL 2026 - Andika!G:G""),IMPORTRANGE(""1XaInW9DU9nz21V0tYIfzFQ0He9kVQ_JF2mCXgZ3hqFA"",""REKAP ALL 2026 - Andika!F:F""),"""",0)"),"26020754821")</f>
        <v>26020754821</v>
      </c>
      <c r="G3104" s="28" t="s">
        <v>57</v>
      </c>
      <c r="H3104" s="13" t="s">
        <v>35</v>
      </c>
      <c r="I3104" s="13" t="str">
        <f aca="false">IF(C3104=J3104,"NEW KONTRAK","RE-KONTRAK")</f>
        <v>NEW KONTRAK</v>
      </c>
      <c r="J3104" s="16" t="n">
        <f aca="false" t="array" ref="J3104:J3104">IFERROR(INDEX(AC3104:AE3104,IF(COUNTA(AC3104:AE3104)=0,"",MAX((AC3104:AE3104&lt;&gt;"")*(COLUMN(AC3104:AE3104)-(COLUMN(AC3104)))))-1),"")</f>
        <v>46024</v>
      </c>
      <c r="K3104" s="16" t="n">
        <f aca="false" t="array" ref="K3104:K3104">IFERROR(INDEX(AC3104:AE3104,IF(COUNTA(AC3104:AE3104)=0,"",MAX((AC3104:AE3104&lt;&gt;"")*(COLUMN(AC3104:AE3104)-(COLUMN(AC3104)-1))))-1),"")</f>
        <v>46113</v>
      </c>
      <c r="L3104" s="17" t="str">
        <f aca="false" t="array" ref="L3104:L3104">IFERROR(INDEX(AC3104:AE3104,IF(COUNTA(AC3104:AE3104)=0,"",MAX((AC3104:AE3104&lt;&gt;"")*(COLUMN(AC3104:AE3104)-(COLUMN(AC3104)-2))))-1),"")</f>
        <v>ARCHIVED</v>
      </c>
      <c r="M3104" s="13" t="n">
        <f aca="true">K3104-TODAY()</f>
        <v>-211</v>
      </c>
      <c r="N3104" s="18" t="s">
        <v>728</v>
      </c>
      <c r="O3104" s="13" t="s">
        <v>12936</v>
      </c>
      <c r="P3104" s="19" t="n">
        <v>5444909</v>
      </c>
      <c r="Q3104" s="47" t="s">
        <v>12949</v>
      </c>
      <c r="R3104" s="13" t="s">
        <v>65</v>
      </c>
      <c r="S3104" s="16" t="n">
        <v>31296</v>
      </c>
      <c r="T3104" s="13" t="s">
        <v>108</v>
      </c>
      <c r="U3104" s="13" t="s">
        <v>12950</v>
      </c>
      <c r="V3104" s="13" t="s">
        <v>42</v>
      </c>
      <c r="W3104" s="13" t="s">
        <v>54</v>
      </c>
      <c r="X3104" s="21" t="s">
        <v>12951</v>
      </c>
      <c r="Y3104" s="22" t="str">
        <f aca="false">O3104</f>
        <v>IM.Operator</v>
      </c>
      <c r="Z3104" s="13" t="str">
        <f aca="false">IFERROR(__xludf.dummyfunction("if(BJ3104="""","""",GOOGLETRANSLATE(BJ3104,""auto"",""en""))"),"IM.Operator")</f>
        <v>IM.Operator</v>
      </c>
      <c r="AA3104" s="23" t="str">
        <f aca="false">IF(C3104="","", CHOOSE(MONTH(C3104),"January","February","March","April","May","June","July","August","September","October","November","December")&amp;" "&amp;DAY(C3104)&amp;MID("thstndrdth",MIN(9,2*RIGHT(DAY(C3104))*(MOD(DAY(C3104)-11,100)&gt;2)+1),2)&amp;","&amp;TEXT(C3104," yyyy"))</f>
        <v>January 2nd,2026</v>
      </c>
      <c r="AB3104" s="15" t="str">
        <f aca="true">IF(S3104="","",DATEDIF(S3104,TODAY(),"Y")&amp;" Tahun, "&amp;DATEDIF(S3104,TODAY(),"YM")&amp;" Bulan, "&amp;DATEDIF(S3104,TODAY(),"MD")&amp;" Hari")</f>
        <v>41 Tahun, 1 Bulan, 23 Hari</v>
      </c>
      <c r="AC3104" s="18" t="n">
        <v>46024</v>
      </c>
      <c r="AD3104" s="18" t="n">
        <f aca="false">EDATE(AC3104,3)-1</f>
        <v>46113</v>
      </c>
      <c r="AE3104" s="18" t="s">
        <v>44</v>
      </c>
    </row>
    <row r="3105" customFormat="false" ht="15" hidden="false" customHeight="true" outlineLevel="0" collapsed="false">
      <c r="A3105" s="12" t="n">
        <v>4647</v>
      </c>
      <c r="B3105" s="13" t="s">
        <v>12952</v>
      </c>
      <c r="C3105" s="14" t="n">
        <v>44349</v>
      </c>
      <c r="D3105" s="13" t="s">
        <v>1721</v>
      </c>
      <c r="E3105" s="15" t="s">
        <v>47</v>
      </c>
      <c r="F3105" s="15" t="str">
        <f aca="false">IFERROR(__xludf.dummyfunction("XLOOKUP(AJ3105,IMPORTRANGE(""1XaInW9DU9nz21V0tYIfzFQ0He9kVQ_JF2mCXgZ3hqFA"",""REKAP ALL 2026 - Andika!G:G""),IMPORTRANGE(""1XaInW9DU9nz21V0tYIfzFQ0He9kVQ_JF2mCXgZ3hqFA"",""REKAP ALL 2026 - Andika!F:F""),"""",0)"),"22015020112")</f>
        <v>22015020112</v>
      </c>
      <c r="G3105" s="13" t="s">
        <v>12953</v>
      </c>
      <c r="H3105" s="13" t="s">
        <v>35</v>
      </c>
      <c r="I3105" s="13" t="str">
        <f aca="false">IF(C3105=J3105,"NEW KONTRAK","RE-KONTRAK")</f>
        <v>RE-KONTRAK</v>
      </c>
      <c r="J3105" s="16" t="n">
        <f aca="false" t="array" ref="J3105:J3105">IFERROR(INDEX(AC3105:AE3105,IF(COUNTA(AC3105:AE3105)=0,"",MAX((AC3105:AE3105&lt;&gt;"")*(COLUMN(AC3105:AE3105)-(COLUMN(AC3105)))))-1),"")</f>
        <v>45659</v>
      </c>
      <c r="K3105" s="16" t="n">
        <f aca="false" t="array" ref="K3105:K3105">IFERROR(INDEX(AC3105:AE3105,IF(COUNTA(AC3105:AE3105)=0,"",MAX((AC3105:AE3105&lt;&gt;"")*(COLUMN(AC3105:AE3105)-(COLUMN(AC3105)-1))))-1),"")</f>
        <v>46021</v>
      </c>
      <c r="L3105" s="17" t="str">
        <f aca="false" t="array" ref="L3105:L3105">IFERROR(INDEX(AC3105:AE3105,IF(COUNTA(AC3105:AE3105)=0,"",MAX((AC3105:AE3105&lt;&gt;"")*(COLUMN(AC3105:AE3105)-(COLUMN(AC3105)-2))))-1),"")</f>
        <v>KEMBALI</v>
      </c>
      <c r="M3105" s="13" t="n">
        <f aca="true">K3105-TODAY()</f>
        <v>-303</v>
      </c>
      <c r="N3105" s="18" t="s">
        <v>728</v>
      </c>
      <c r="O3105" s="13" t="s">
        <v>1914</v>
      </c>
      <c r="P3105" s="19" t="n">
        <v>5444909</v>
      </c>
      <c r="Q3105" s="20" t="s">
        <v>12954</v>
      </c>
      <c r="R3105" s="13" t="s">
        <v>52</v>
      </c>
      <c r="S3105" s="14" t="n">
        <v>32679</v>
      </c>
      <c r="T3105" s="13" t="s">
        <v>108</v>
      </c>
      <c r="U3105" s="13" t="s">
        <v>12955</v>
      </c>
      <c r="V3105" s="13" t="s">
        <v>42</v>
      </c>
      <c r="W3105" s="13" t="s">
        <v>54</v>
      </c>
      <c r="X3105" s="21" t="n">
        <v>8979095267</v>
      </c>
      <c r="Y3105" s="22" t="str">
        <f aca="false">O3105</f>
        <v>Im Operator</v>
      </c>
      <c r="Z3105" s="13" t="str">
        <f aca="false">IFERROR(__xludf.dummyfunction("if(BJ3105="""","""",GOOGLETRANSLATE(BJ3105,""auto"",""en""))"),"Im Operator")</f>
        <v>Im Operator</v>
      </c>
      <c r="AA3105" s="23" t="str">
        <f aca="false">IF(C3105="","", CHOOSE(MONTH(C3105),"January","February","March","April","May","June","July","August","September","October","November","December")&amp;" "&amp;DAY(C3105)&amp;MID("thstndrdth",MIN(9,2*RIGHT(DAY(C3105))*(MOD(DAY(C3105)-11,100)&gt;2)+1),2)&amp;","&amp;TEXT(C3105," yyyy"))</f>
        <v>June 2nd,2021</v>
      </c>
      <c r="AB3105" s="15" t="str">
        <f aca="true">IF(S3105="","",DATEDIF(S3105,TODAY(),"Y")&amp;" Tahun, "&amp;DATEDIF(S3105,TODAY(),"YM")&amp;" Bulan, "&amp;DATEDIF(S3105,TODAY(),"MD")&amp;" Hari")</f>
        <v>37 Tahun, 4 Bulan, 9 Hari</v>
      </c>
      <c r="AC3105" s="18" t="n">
        <v>45659</v>
      </c>
      <c r="AD3105" s="18" t="n">
        <v>46021</v>
      </c>
      <c r="AE3105" s="13" t="s">
        <v>397</v>
      </c>
    </row>
    <row r="3106" customFormat="false" ht="15" hidden="false" customHeight="true" outlineLevel="0" collapsed="false">
      <c r="A3106" s="12" t="n">
        <v>16377</v>
      </c>
      <c r="B3106" s="13" t="s">
        <v>12956</v>
      </c>
      <c r="C3106" s="14" t="n">
        <v>45488</v>
      </c>
      <c r="D3106" s="13" t="s">
        <v>1721</v>
      </c>
      <c r="E3106" s="15" t="s">
        <v>47</v>
      </c>
      <c r="F3106" s="15" t="str">
        <f aca="false">IFERROR(__xludf.dummyfunction("XLOOKUP(AJ3106,IMPORTRANGE(""1XaInW9DU9nz21V0tYIfzFQ0He9kVQ_JF2mCXgZ3hqFA"",""REKAP ALL 2026 - Andika!G:G""),IMPORTRANGE(""1XaInW9DU9nz21V0tYIfzFQ0He9kVQ_JF2mCXgZ3hqFA"",""REKAP ALL 2026 - Andika!F:F""),"""",0)"),"24105108013")</f>
        <v>24105108013</v>
      </c>
      <c r="G3106" s="15" t="s">
        <v>12957</v>
      </c>
      <c r="H3106" s="13" t="s">
        <v>35</v>
      </c>
      <c r="I3106" s="13" t="str">
        <f aca="false">IF(C3106=J3106,"NEW KONTRAK","RE-KONTRAK")</f>
        <v>RE-KONTRAK</v>
      </c>
      <c r="J3106" s="16" t="n">
        <f aca="false" t="array" ref="J3106:J3106">IFERROR(INDEX(AC3106:AE3106,IF(COUNTA(AC3106:AE3106)=0,"",MAX((AC3106:AE3106&lt;&gt;"")*(COLUMN(AC3106:AE3106)-(COLUMN(AC3106)))))-1),"")</f>
        <v>45659</v>
      </c>
      <c r="K3106" s="16" t="n">
        <f aca="false" t="array" ref="K3106:K3106">IFERROR(INDEX(AC3106:AE3106,IF(COUNTA(AC3106:AE3106)=0,"",MAX((AC3106:AE3106&lt;&gt;"")*(COLUMN(AC3106:AE3106)-(COLUMN(AC3106)-1))))-1),"")</f>
        <v>46021</v>
      </c>
      <c r="L3106" s="17" t="str">
        <f aca="false" t="array" ref="L3106:L3106">IFERROR(INDEX(AC3106:AE3106,IF(COUNTA(AC3106:AE3106)=0,"",MAX((AC3106:AE3106&lt;&gt;"")*(COLUMN(AC3106:AE3106)-(COLUMN(AC3106)-2))))-1),"")</f>
        <v>KEMBALI</v>
      </c>
      <c r="M3106" s="13" t="n">
        <f aca="true">K3106-TODAY()</f>
        <v>-303</v>
      </c>
      <c r="N3106" s="18" t="s">
        <v>728</v>
      </c>
      <c r="O3106" s="13" t="s">
        <v>1914</v>
      </c>
      <c r="P3106" s="19" t="n">
        <v>5444909</v>
      </c>
      <c r="Q3106" s="49" t="s">
        <v>12958</v>
      </c>
      <c r="R3106" s="13" t="s">
        <v>148</v>
      </c>
      <c r="S3106" s="14" t="n">
        <v>36034</v>
      </c>
      <c r="T3106" s="13" t="s">
        <v>108</v>
      </c>
      <c r="U3106" s="13" t="s">
        <v>12959</v>
      </c>
      <c r="V3106" s="13" t="s">
        <v>42</v>
      </c>
      <c r="W3106" s="13" t="s">
        <v>54</v>
      </c>
      <c r="X3106" s="21" t="n">
        <v>88991551759</v>
      </c>
      <c r="Y3106" s="22" t="str">
        <f aca="false">O3106</f>
        <v>Im Operator</v>
      </c>
      <c r="Z3106" s="13" t="str">
        <f aca="false">IFERROR(__xludf.dummyfunction("if(BJ3106="""","""",GOOGLETRANSLATE(BJ3106,""auto"",""en""))"),"Im Operator")</f>
        <v>Im Operator</v>
      </c>
      <c r="AA3106" s="23" t="str">
        <f aca="false">IF(C3106="","", CHOOSE(MONTH(C3106),"January","February","March","April","May","June","July","August","September","October","November","December")&amp;" "&amp;DAY(C3106)&amp;MID("thstndrdth",MIN(9,2*RIGHT(DAY(C3106))*(MOD(DAY(C3106)-11,100)&gt;2)+1),2)&amp;","&amp;TEXT(C3106," yyyy"))</f>
        <v>July 15th,2024</v>
      </c>
      <c r="AB3106" s="15" t="str">
        <f aca="true">IF(S3106="","",DATEDIF(S3106,TODAY(),"Y")&amp;" Tahun, "&amp;DATEDIF(S3106,TODAY(),"YM")&amp;" Bulan, "&amp;DATEDIF(S3106,TODAY(),"MD")&amp;" Hari")</f>
        <v>28 Tahun, 2 Bulan, 2 Hari</v>
      </c>
      <c r="AC3106" s="18" t="n">
        <v>45659</v>
      </c>
      <c r="AD3106" s="18" t="n">
        <v>46021</v>
      </c>
      <c r="AE3106" s="13" t="s">
        <v>397</v>
      </c>
    </row>
    <row r="3107" customFormat="false" ht="15" hidden="false" customHeight="true" outlineLevel="0" collapsed="false">
      <c r="A3107" s="12" t="n">
        <v>10186</v>
      </c>
      <c r="B3107" s="13" t="s">
        <v>12960</v>
      </c>
      <c r="C3107" s="14" t="n">
        <v>44986</v>
      </c>
      <c r="D3107" s="13" t="s">
        <v>1721</v>
      </c>
      <c r="E3107" s="15" t="s">
        <v>47</v>
      </c>
      <c r="F3107" s="15" t="str">
        <f aca="false">IFERROR(__xludf.dummyfunction("XLOOKUP(AJ3107,IMPORTRANGE(""1XaInW9DU9nz21V0tYIfzFQ0He9kVQ_JF2mCXgZ3hqFA"",""REKAP ALL 2026 - Andika!G:G""),IMPORTRANGE(""1XaInW9DU9nz21V0tYIfzFQ0He9kVQ_JF2mCXgZ3hqFA"",""REKAP ALL 2026 - Andika!F:F""),"""",0)"),"23031595954")</f>
        <v>23031595954</v>
      </c>
      <c r="G3107" s="13" t="s">
        <v>12961</v>
      </c>
      <c r="H3107" s="13" t="s">
        <v>35</v>
      </c>
      <c r="I3107" s="13" t="str">
        <f aca="false">IF(C3107=J3107,"NEW KONTRAK","RE-KONTRAK")</f>
        <v>RE-KONTRAK</v>
      </c>
      <c r="J3107" s="16" t="n">
        <f aca="false" t="array" ref="J3107:J3107">IFERROR(INDEX(AC3107:AE3107,IF(COUNTA(AC3107:AE3107)=0,"",MAX((AC3107:AE3107&lt;&gt;"")*(COLUMN(AC3107:AE3107)-(COLUMN(AC3107)))))-1),"")</f>
        <v>45659</v>
      </c>
      <c r="K3107" s="16" t="n">
        <f aca="false" t="array" ref="K3107:K3107">IFERROR(INDEX(AC3107:AE3107,IF(COUNTA(AC3107:AE3107)=0,"",MAX((AC3107:AE3107&lt;&gt;"")*(COLUMN(AC3107:AE3107)-(COLUMN(AC3107)-1))))-1),"")</f>
        <v>46021</v>
      </c>
      <c r="L3107" s="17" t="str">
        <f aca="false" t="array" ref="L3107:L3107">IFERROR(INDEX(AC3107:AE3107,IF(COUNTA(AC3107:AE3107)=0,"",MAX((AC3107:AE3107&lt;&gt;"")*(COLUMN(AC3107:AE3107)-(COLUMN(AC3107)-2))))-1),"")</f>
        <v>KEMBALI</v>
      </c>
      <c r="M3107" s="13" t="n">
        <f aca="true">K3107-TODAY()</f>
        <v>-303</v>
      </c>
      <c r="N3107" s="18" t="s">
        <v>728</v>
      </c>
      <c r="O3107" s="13" t="s">
        <v>1914</v>
      </c>
      <c r="P3107" s="19" t="n">
        <v>5444909</v>
      </c>
      <c r="Q3107" s="20" t="s">
        <v>12962</v>
      </c>
      <c r="R3107" s="13" t="s">
        <v>73</v>
      </c>
      <c r="S3107" s="14" t="n">
        <v>31897</v>
      </c>
      <c r="T3107" s="13" t="s">
        <v>108</v>
      </c>
      <c r="U3107" s="13" t="s">
        <v>12963</v>
      </c>
      <c r="V3107" s="13" t="s">
        <v>42</v>
      </c>
      <c r="W3107" s="13" t="s">
        <v>54</v>
      </c>
      <c r="X3107" s="21" t="n">
        <v>85748804003</v>
      </c>
      <c r="Y3107" s="22" t="str">
        <f aca="false">O3107</f>
        <v>Im Operator</v>
      </c>
      <c r="Z3107" s="13" t="str">
        <f aca="false">IFERROR(__xludf.dummyfunction("if(BJ3107="""","""",GOOGLETRANSLATE(BJ3107,""auto"",""en""))"),"Im Operator")</f>
        <v>Im Operator</v>
      </c>
      <c r="AA3107" s="23" t="str">
        <f aca="false">IF(C3107="","", CHOOSE(MONTH(C3107),"January","February","March","April","May","June","July","August","September","October","November","December")&amp;" "&amp;DAY(C3107)&amp;MID("thstndrdth",MIN(9,2*RIGHT(DAY(C3107))*(MOD(DAY(C3107)-11,100)&gt;2)+1),2)&amp;","&amp;TEXT(C3107," yyyy"))</f>
        <v>March 1st,2023</v>
      </c>
      <c r="AB3107" s="15" t="str">
        <f aca="true">IF(S3107="","",DATEDIF(S3107,TODAY(),"Y")&amp;" Tahun, "&amp;DATEDIF(S3107,TODAY(),"YM")&amp;" Bulan, "&amp;DATEDIF(S3107,TODAY(),"MD")&amp;" Hari")</f>
        <v>39 Tahun, 5 Bulan, 29 Hari</v>
      </c>
      <c r="AC3107" s="18" t="n">
        <v>45659</v>
      </c>
      <c r="AD3107" s="18" t="n">
        <v>46021</v>
      </c>
      <c r="AE3107" s="13" t="s">
        <v>397</v>
      </c>
    </row>
    <row r="3108" customFormat="false" ht="15" hidden="false" customHeight="true" outlineLevel="0" collapsed="false">
      <c r="A3108" s="12" t="n">
        <v>2196</v>
      </c>
      <c r="B3108" s="13" t="s">
        <v>12964</v>
      </c>
      <c r="C3108" s="14" t="n">
        <v>44349</v>
      </c>
      <c r="D3108" s="13" t="s">
        <v>1721</v>
      </c>
      <c r="E3108" s="15" t="s">
        <v>47</v>
      </c>
      <c r="F3108" s="15" t="str">
        <f aca="false">IFERROR(__xludf.dummyfunction("XLOOKUP(AJ3108,IMPORTRANGE(""1XaInW9DU9nz21V0tYIfzFQ0He9kVQ_JF2mCXgZ3hqFA"",""REKAP ALL 2026 - Andika!G:G""),IMPORTRANGE(""1XaInW9DU9nz21V0tYIfzFQ0He9kVQ_JF2mCXgZ3hqFA"",""REKAP ALL 2026 - Andika!F:F""),"""",0)"),"21096161860")</f>
        <v>21096161860</v>
      </c>
      <c r="G3108" s="13" t="s">
        <v>12965</v>
      </c>
      <c r="H3108" s="13" t="s">
        <v>35</v>
      </c>
      <c r="I3108" s="13" t="str">
        <f aca="false">IF(C3108=J3108,"NEW KONTRAK","RE-KONTRAK")</f>
        <v>RE-KONTRAK</v>
      </c>
      <c r="J3108" s="16" t="n">
        <f aca="false" t="array" ref="J3108:J3108">IFERROR(INDEX(AC3108:AE3108,IF(COUNTA(AC3108:AE3108)=0,"",MAX((AC3108:AE3108&lt;&gt;"")*(COLUMN(AC3108:AE3108)-(COLUMN(AC3108)))))-1),"")</f>
        <v>45659</v>
      </c>
      <c r="K3108" s="16" t="n">
        <f aca="false" t="array" ref="K3108:K3108">IFERROR(INDEX(AC3108:AE3108,IF(COUNTA(AC3108:AE3108)=0,"",MAX((AC3108:AE3108&lt;&gt;"")*(COLUMN(AC3108:AE3108)-(COLUMN(AC3108)-1))))-1),"")</f>
        <v>46021</v>
      </c>
      <c r="L3108" s="17" t="str">
        <f aca="false" t="array" ref="L3108:L3108">IFERROR(INDEX(AC3108:AE3108,IF(COUNTA(AC3108:AE3108)=0,"",MAX((AC3108:AE3108&lt;&gt;"")*(COLUMN(AC3108:AE3108)-(COLUMN(AC3108)-2))))-1),"")</f>
        <v>KEMBALI</v>
      </c>
      <c r="M3108" s="13" t="n">
        <f aca="true">K3108-TODAY()</f>
        <v>-303</v>
      </c>
      <c r="N3108" s="18" t="s">
        <v>728</v>
      </c>
      <c r="O3108" s="13" t="s">
        <v>1744</v>
      </c>
      <c r="P3108" s="19" t="n">
        <v>5444909</v>
      </c>
      <c r="Q3108" s="20" t="s">
        <v>12966</v>
      </c>
      <c r="R3108" s="13" t="s">
        <v>78</v>
      </c>
      <c r="S3108" s="14" t="n">
        <v>34752</v>
      </c>
      <c r="T3108" s="13" t="s">
        <v>108</v>
      </c>
      <c r="U3108" s="13" t="s">
        <v>12967</v>
      </c>
      <c r="V3108" s="13" t="s">
        <v>42</v>
      </c>
      <c r="W3108" s="13" t="s">
        <v>54</v>
      </c>
      <c r="X3108" s="21" t="n">
        <v>882010067258</v>
      </c>
      <c r="Y3108" s="22" t="str">
        <f aca="false">O3108</f>
        <v>Print Operator</v>
      </c>
      <c r="Z3108" s="13" t="str">
        <f aca="false">IFERROR(__xludf.dummyfunction("if(BJ3108="""","""",GOOGLETRANSLATE(BJ3108,""auto"",""en""))"),"Print Operator")</f>
        <v>Print Operator</v>
      </c>
      <c r="AA3108" s="23" t="str">
        <f aca="false">IF(C3108="","", CHOOSE(MONTH(C3108),"January","February","March","April","May","June","July","August","September","October","November","December")&amp;" "&amp;DAY(C3108)&amp;MID("thstndrdth",MIN(9,2*RIGHT(DAY(C3108))*(MOD(DAY(C3108)-11,100)&gt;2)+1),2)&amp;","&amp;TEXT(C3108," yyyy"))</f>
        <v>June 2nd,2021</v>
      </c>
      <c r="AB3108" s="15" t="str">
        <f aca="true">IF(S3108="","",DATEDIF(S3108,TODAY(),"Y")&amp;" Tahun, "&amp;DATEDIF(S3108,TODAY(),"YM")&amp;" Bulan, "&amp;DATEDIF(S3108,TODAY(),"MD")&amp;" Hari")</f>
        <v>31 Tahun, 8 Bulan, 7 Hari</v>
      </c>
      <c r="AC3108" s="18" t="n">
        <v>45659</v>
      </c>
      <c r="AD3108" s="18" t="n">
        <v>46021</v>
      </c>
      <c r="AE3108" s="13" t="s">
        <v>397</v>
      </c>
    </row>
    <row r="3109" customFormat="false" ht="15" hidden="false" customHeight="true" outlineLevel="0" collapsed="false">
      <c r="A3109" s="12" t="n">
        <v>22695</v>
      </c>
      <c r="B3109" s="13" t="s">
        <v>12968</v>
      </c>
      <c r="C3109" s="14" t="n">
        <v>46251</v>
      </c>
      <c r="D3109" s="13" t="s">
        <v>1721</v>
      </c>
      <c r="E3109" s="13" t="s">
        <v>47</v>
      </c>
      <c r="F3109" s="24" t="s">
        <v>12969</v>
      </c>
      <c r="G3109" s="13" t="s">
        <v>1452</v>
      </c>
      <c r="H3109" s="13" t="s">
        <v>35</v>
      </c>
      <c r="I3109" s="13" t="str">
        <f aca="false">IF(C3109=J3109,"NEW KONTRAK","RE-KONTRAK")</f>
        <v>NEW KONTRAK</v>
      </c>
      <c r="J3109" s="16" t="n">
        <f aca="false" t="array" ref="J3109:J3109">IFERROR(INDEX(AC3109:AE3109,IF(COUNTA(AC3109:AE3109)=0,"",MAX((AC3109:AE3109&lt;&gt;"")*(COLUMN(AC3109:AE3109)-(COLUMN(AC3109)))))-1),"")</f>
        <v>46251</v>
      </c>
      <c r="K3109" s="16" t="n">
        <f aca="false" t="array" ref="K3109:K3109">IFERROR(INDEX(AC3109:AE3109,IF(COUNTA(AC3109:AE3109)=0,"",MAX((AC3109:AE3109&lt;&gt;"")*(COLUMN(AC3109:AE3109)-(COLUMN(AC3109)-1))))-1),"")</f>
        <v>46342</v>
      </c>
      <c r="L3109" s="17" t="str">
        <f aca="false" t="array" ref="L3109:L3109">IFERROR(INDEX(AC3109:AE3109,IF(COUNTA(AC3109:AE3109)=0,"",MAX((AC3109:AE3109&lt;&gt;"")*(COLUMN(AC3109:AE3109)-(COLUMN(AC3109)-2))))-1),"")</f>
        <v>ARCHIVED</v>
      </c>
      <c r="M3109" s="13" t="n">
        <f aca="true">K3109-TODAY()</f>
        <v>18</v>
      </c>
      <c r="N3109" s="18" t="s">
        <v>728</v>
      </c>
      <c r="O3109" s="13" t="s">
        <v>1803</v>
      </c>
      <c r="P3109" s="26" t="n">
        <v>5444909</v>
      </c>
      <c r="Q3109" s="20" t="s">
        <v>12970</v>
      </c>
      <c r="R3109" s="13" t="s">
        <v>255</v>
      </c>
      <c r="S3109" s="25" t="n">
        <v>30569</v>
      </c>
      <c r="T3109" s="13" t="s">
        <v>108</v>
      </c>
      <c r="U3109" s="13" t="s">
        <v>12971</v>
      </c>
      <c r="V3109" s="13" t="s">
        <v>42</v>
      </c>
      <c r="W3109" s="13" t="s">
        <v>54</v>
      </c>
      <c r="X3109" s="21" t="n">
        <v>81216315232</v>
      </c>
      <c r="Y3109" s="22" t="str">
        <f aca="false">O3109</f>
        <v>Injectition Moulding</v>
      </c>
      <c r="Z3109" s="13" t="str">
        <f aca="false">IFERROR(__xludf.dummyfunction("if(BJ3109="""","""",GOOGLETRANSLATE(BJ3109,""auto"",""en""))"),"Injectition Moulding")</f>
        <v>Injectition Moulding</v>
      </c>
      <c r="AA3109" s="23" t="str">
        <f aca="false">IF(C3109="","", CHOOSE(MONTH(C3109),"January","February","March","April","May","June","July","August","September","October","November","December")&amp;" "&amp;DAY(C3109)&amp;MID("thstndrdth",MIN(9,2*RIGHT(DAY(C3109))*(MOD(DAY(C3109)-11,100)&gt;2)+1),2)&amp;","&amp;TEXT(C3109," yyyy"))</f>
        <v>August 17th,2026</v>
      </c>
      <c r="AB3109" s="15" t="str">
        <f aca="true">IF(S3109="","",DATEDIF(S3109,TODAY(),"Y")&amp;" Tahun, "&amp;DATEDIF(S3109,TODAY(),"YM")&amp;" Bulan, "&amp;DATEDIF(S3109,TODAY(),"MD")&amp;" Hari")</f>
        <v>43 Tahun, 1 Bulan, 19 Hari</v>
      </c>
      <c r="AC3109" s="14" t="n">
        <v>46251</v>
      </c>
      <c r="AD3109" s="18" t="n">
        <f aca="false">EDATE(AC3109,3)-1</f>
        <v>46342</v>
      </c>
      <c r="AE3109" s="45" t="s">
        <v>44</v>
      </c>
    </row>
    <row r="3110" customFormat="false" ht="15" hidden="false" customHeight="true" outlineLevel="0" collapsed="false">
      <c r="A3110" s="12" t="n">
        <v>22872</v>
      </c>
      <c r="B3110" s="13" t="s">
        <v>12972</v>
      </c>
      <c r="C3110" s="14" t="n">
        <v>46279</v>
      </c>
      <c r="D3110" s="13" t="s">
        <v>1721</v>
      </c>
      <c r="E3110" s="13" t="s">
        <v>47</v>
      </c>
      <c r="F3110" s="24" t="s">
        <v>12973</v>
      </c>
      <c r="G3110" s="13" t="s">
        <v>1452</v>
      </c>
      <c r="H3110" s="13" t="s">
        <v>35</v>
      </c>
      <c r="I3110" s="13" t="str">
        <f aca="false">IF(C3110=J3110,"NEW KONTRAK","RE-KONTRAK")</f>
        <v>NEW KONTRAK</v>
      </c>
      <c r="J3110" s="16" t="n">
        <f aca="false" t="array" ref="J3110:J3110">IFERROR(INDEX(AC3110:AE3110,IF(COUNTA(AC3110:AE3110)=0,"",MAX((AC3110:AE3110&lt;&gt;"")*(COLUMN(AC3110:AE3110)-(COLUMN(AC3110)))))-1),"")</f>
        <v>46279</v>
      </c>
      <c r="K3110" s="16" t="n">
        <f aca="false" t="array" ref="K3110:K3110">IFERROR(INDEX(AC3110:AE3110,IF(COUNTA(AC3110:AE3110)=0,"",MAX((AC3110:AE3110&lt;&gt;"")*(COLUMN(AC3110:AE3110)-(COLUMN(AC3110)-1))))-1),"")</f>
        <v>46386</v>
      </c>
      <c r="L3110" s="17" t="str">
        <f aca="false" t="array" ref="L3110:L3110">IFERROR(INDEX(AC3110:AE3110,IF(COUNTA(AC3110:AE3110)=0,"",MAX((AC3110:AE3110&lt;&gt;"")*(COLUMN(AC3110:AE3110)-(COLUMN(AC3110)-2))))-1),"")</f>
        <v>ARCHIVED</v>
      </c>
      <c r="M3110" s="13" t="n">
        <f aca="true">K3110-TODAY()</f>
        <v>62</v>
      </c>
      <c r="N3110" s="18" t="s">
        <v>728</v>
      </c>
      <c r="O3110" s="13" t="s">
        <v>1755</v>
      </c>
      <c r="P3110" s="26" t="n">
        <v>5444909</v>
      </c>
      <c r="Q3110" s="20" t="s">
        <v>12974</v>
      </c>
      <c r="R3110" s="48" t="s">
        <v>52</v>
      </c>
      <c r="S3110" s="25" t="n">
        <v>36316</v>
      </c>
      <c r="T3110" s="13" t="s">
        <v>108</v>
      </c>
      <c r="U3110" s="13" t="s">
        <v>12975</v>
      </c>
      <c r="V3110" s="13" t="s">
        <v>42</v>
      </c>
      <c r="W3110" s="28" t="s">
        <v>43</v>
      </c>
      <c r="X3110" s="21" t="n">
        <v>85936192868</v>
      </c>
      <c r="Y3110" s="22" t="str">
        <f aca="false">O3110</f>
        <v>Im.Operator</v>
      </c>
      <c r="Z3110" s="13" t="str">
        <f aca="false">IFERROR(__xludf.dummyfunction("if(BJ3110="""","""",GOOGLETRANSLATE(BJ3110,""auto"",""en""))"),"Im.Operator")</f>
        <v>Im.Operator</v>
      </c>
      <c r="AA3110" s="23" t="str">
        <f aca="false">IF(C3110="","", CHOOSE(MONTH(C3110),"January","February","March","April","May","June","July","August","September","October","November","December")&amp;" "&amp;DAY(C3110)&amp;MID("thstndrdth",MIN(9,2*RIGHT(DAY(C3110))*(MOD(DAY(C3110)-11,100)&gt;2)+1),2)&amp;","&amp;TEXT(C3110," yyyy"))</f>
        <v>September 14th,2026</v>
      </c>
      <c r="AB3110" s="15" t="str">
        <f aca="true">IF(S3110="","",DATEDIF(S3110,TODAY(),"Y")&amp;" Tahun, "&amp;DATEDIF(S3110,TODAY(),"YM")&amp;" Bulan, "&amp;DATEDIF(S3110,TODAY(),"MD")&amp;" Hari")</f>
        <v>27 Tahun, 4 Bulan, 24 Hari</v>
      </c>
      <c r="AC3110" s="14" t="n">
        <v>46279</v>
      </c>
      <c r="AD3110" s="18" t="n">
        <v>46386</v>
      </c>
      <c r="AE3110" s="13" t="s">
        <v>44</v>
      </c>
    </row>
    <row r="3111" customFormat="false" ht="15" hidden="false" customHeight="true" outlineLevel="0" collapsed="false">
      <c r="A3111" s="12" t="n">
        <v>22705</v>
      </c>
      <c r="B3111" s="13" t="s">
        <v>12976</v>
      </c>
      <c r="C3111" s="14" t="n">
        <v>46251</v>
      </c>
      <c r="D3111" s="13" t="s">
        <v>1721</v>
      </c>
      <c r="E3111" s="13" t="s">
        <v>47</v>
      </c>
      <c r="F3111" s="24" t="s">
        <v>12977</v>
      </c>
      <c r="G3111" s="13" t="s">
        <v>1452</v>
      </c>
      <c r="H3111" s="13" t="s">
        <v>35</v>
      </c>
      <c r="I3111" s="13" t="str">
        <f aca="false">IF(C3111=J3111,"NEW KONTRAK","RE-KONTRAK")</f>
        <v>NEW KONTRAK</v>
      </c>
      <c r="J3111" s="16" t="n">
        <f aca="false" t="array" ref="J3111:J3111">IFERROR(INDEX(AC3111:AE3111,IF(COUNTA(AC3111:AE3111)=0,"",MAX((AC3111:AE3111&lt;&gt;"")*(COLUMN(AC3111:AE3111)-(COLUMN(AC3111)))))-1),"")</f>
        <v>46251</v>
      </c>
      <c r="K3111" s="16" t="n">
        <f aca="false" t="array" ref="K3111:K3111">IFERROR(INDEX(AC3111:AE3111,IF(COUNTA(AC3111:AE3111)=0,"",MAX((AC3111:AE3111&lt;&gt;"")*(COLUMN(AC3111:AE3111)-(COLUMN(AC3111)-1))))-1),"")</f>
        <v>46342</v>
      </c>
      <c r="L3111" s="17" t="str">
        <f aca="false" t="array" ref="L3111:L3111">IFERROR(INDEX(AC3111:AE3111,IF(COUNTA(AC3111:AE3111)=0,"",MAX((AC3111:AE3111&lt;&gt;"")*(COLUMN(AC3111:AE3111)-(COLUMN(AC3111)-2))))-1),"")</f>
        <v>KEMBALI</v>
      </c>
      <c r="M3111" s="13" t="n">
        <f aca="true">K3111-TODAY()</f>
        <v>18</v>
      </c>
      <c r="N3111" s="18" t="s">
        <v>728</v>
      </c>
      <c r="O3111" s="13" t="s">
        <v>1822</v>
      </c>
      <c r="P3111" s="26" t="n">
        <v>5444909</v>
      </c>
      <c r="Q3111" s="20" t="s">
        <v>12978</v>
      </c>
      <c r="R3111" s="13" t="s">
        <v>255</v>
      </c>
      <c r="S3111" s="25" t="n">
        <v>34933</v>
      </c>
      <c r="T3111" s="13" t="s">
        <v>108</v>
      </c>
      <c r="U3111" s="13" t="s">
        <v>12979</v>
      </c>
      <c r="V3111" s="13" t="s">
        <v>42</v>
      </c>
      <c r="W3111" s="13" t="s">
        <v>54</v>
      </c>
      <c r="X3111" s="21" t="n">
        <v>85706447465</v>
      </c>
      <c r="Y3111" s="22" t="str">
        <f aca="false">O3111</f>
        <v>Assembling</v>
      </c>
      <c r="Z3111" s="13" t="str">
        <f aca="false">IFERROR(__xludf.dummyfunction("if(BJ3111="""","""",GOOGLETRANSLATE(BJ3111,""auto"",""en""))"),"Assembling")</f>
        <v>Assembling</v>
      </c>
      <c r="AA3111" s="23" t="str">
        <f aca="false">IF(C3111="","", CHOOSE(MONTH(C3111),"January","February","March","April","May","June","July","August","September","October","November","December")&amp;" "&amp;DAY(C3111)&amp;MID("thstndrdth",MIN(9,2*RIGHT(DAY(C3111))*(MOD(DAY(C3111)-11,100)&gt;2)+1),2)&amp;","&amp;TEXT(C3111," yyyy"))</f>
        <v>August 17th,2026</v>
      </c>
      <c r="AB3111" s="15" t="str">
        <f aca="true">IF(S3111="","",DATEDIF(S3111,TODAY(),"Y")&amp;" Tahun, "&amp;DATEDIF(S3111,TODAY(),"YM")&amp;" Bulan, "&amp;DATEDIF(S3111,TODAY(),"MD")&amp;" Hari")</f>
        <v>31 Tahun, 2 Bulan, 7 Hari</v>
      </c>
      <c r="AC3111" s="14" t="n">
        <v>46251</v>
      </c>
      <c r="AD3111" s="18" t="n">
        <f aca="false">EDATE(AC3111,3)-1</f>
        <v>46342</v>
      </c>
      <c r="AE3111" s="13" t="s">
        <v>397</v>
      </c>
    </row>
    <row r="3112" customFormat="false" ht="15" hidden="false" customHeight="true" outlineLevel="0" collapsed="false">
      <c r="A3112" s="12" t="n">
        <v>22838</v>
      </c>
      <c r="B3112" s="13" t="s">
        <v>12980</v>
      </c>
      <c r="C3112" s="14" t="n">
        <v>46279</v>
      </c>
      <c r="D3112" s="13" t="s">
        <v>1721</v>
      </c>
      <c r="E3112" s="13" t="s">
        <v>47</v>
      </c>
      <c r="F3112" s="24" t="s">
        <v>12981</v>
      </c>
      <c r="G3112" s="13" t="s">
        <v>1452</v>
      </c>
      <c r="H3112" s="13" t="s">
        <v>35</v>
      </c>
      <c r="I3112" s="13" t="str">
        <f aca="false">IF(C3112=J3112,"NEW KONTRAK","RE-KONTRAK")</f>
        <v>NEW KONTRAK</v>
      </c>
      <c r="J3112" s="16" t="n">
        <f aca="false" t="array" ref="J3112:J3112">IFERROR(INDEX(AC3112:AE3112,IF(COUNTA(AC3112:AE3112)=0,"",MAX((AC3112:AE3112&lt;&gt;"")*(COLUMN(AC3112:AE3112)-(COLUMN(AC3112)))))-1),"")</f>
        <v>46279</v>
      </c>
      <c r="K3112" s="16" t="n">
        <f aca="false" t="array" ref="K3112:K3112">IFERROR(INDEX(AC3112:AE3112,IF(COUNTA(AC3112:AE3112)=0,"",MAX((AC3112:AE3112&lt;&gt;"")*(COLUMN(AC3112:AE3112)-(COLUMN(AC3112)-1))))-1),"")</f>
        <v>46386</v>
      </c>
      <c r="L3112" s="17" t="str">
        <f aca="false" t="array" ref="L3112:L3112">IFERROR(INDEX(AC3112:AE3112,IF(COUNTA(AC3112:AE3112)=0,"",MAX((AC3112:AE3112&lt;&gt;"")*(COLUMN(AC3112:AE3112)-(COLUMN(AC3112)-2))))-1),"")</f>
        <v>ARCHIVED</v>
      </c>
      <c r="M3112" s="13" t="n">
        <f aca="true">K3112-TODAY()</f>
        <v>62</v>
      </c>
      <c r="N3112" s="18" t="s">
        <v>728</v>
      </c>
      <c r="O3112" s="13" t="s">
        <v>1755</v>
      </c>
      <c r="P3112" s="26" t="n">
        <v>5444909</v>
      </c>
      <c r="Q3112" s="20" t="s">
        <v>12982</v>
      </c>
      <c r="R3112" s="48" t="s">
        <v>78</v>
      </c>
      <c r="S3112" s="25" t="n">
        <v>34139</v>
      </c>
      <c r="T3112" s="13" t="s">
        <v>108</v>
      </c>
      <c r="U3112" s="13" t="s">
        <v>12983</v>
      </c>
      <c r="V3112" s="13" t="s">
        <v>42</v>
      </c>
      <c r="W3112" s="28" t="s">
        <v>54</v>
      </c>
      <c r="X3112" s="21" t="n">
        <v>85733433471</v>
      </c>
      <c r="Y3112" s="22" t="str">
        <f aca="false">O3112</f>
        <v>Im.Operator</v>
      </c>
      <c r="Z3112" s="13" t="str">
        <f aca="false">IFERROR(__xludf.dummyfunction("if(BJ3112="""","""",GOOGLETRANSLATE(BJ3112,""auto"",""en""))"),"Im.Operator")</f>
        <v>Im.Operator</v>
      </c>
      <c r="AA3112" s="23" t="str">
        <f aca="false">IF(C3112="","", CHOOSE(MONTH(C3112),"January","February","March","April","May","June","July","August","September","October","November","December")&amp;" "&amp;DAY(C3112)&amp;MID("thstndrdth",MIN(9,2*RIGHT(DAY(C3112))*(MOD(DAY(C3112)-11,100)&gt;2)+1),2)&amp;","&amp;TEXT(C3112," yyyy"))</f>
        <v>September 14th,2026</v>
      </c>
      <c r="AB3112" s="15" t="str">
        <f aca="true">IF(S3112="","",DATEDIF(S3112,TODAY(),"Y")&amp;" Tahun, "&amp;DATEDIF(S3112,TODAY(),"YM")&amp;" Bulan, "&amp;DATEDIF(S3112,TODAY(),"MD")&amp;" Hari")</f>
        <v>33 Tahun, 4 Bulan, 10 Hari</v>
      </c>
      <c r="AC3112" s="14" t="n">
        <v>46279</v>
      </c>
      <c r="AD3112" s="18" t="n">
        <v>46386</v>
      </c>
      <c r="AE3112" s="13" t="s">
        <v>44</v>
      </c>
    </row>
    <row r="3113" customFormat="false" ht="15" hidden="false" customHeight="true" outlineLevel="0" collapsed="false">
      <c r="A3113" s="12" t="n">
        <v>21692</v>
      </c>
      <c r="B3113" s="13" t="s">
        <v>12984</v>
      </c>
      <c r="C3113" s="16" t="n">
        <v>46024</v>
      </c>
      <c r="D3113" s="13" t="s">
        <v>1721</v>
      </c>
      <c r="E3113" s="15" t="s">
        <v>1778</v>
      </c>
      <c r="F3113" s="24" t="s">
        <v>12985</v>
      </c>
      <c r="G3113" s="28" t="s">
        <v>57</v>
      </c>
      <c r="H3113" s="13" t="s">
        <v>35</v>
      </c>
      <c r="I3113" s="13" t="str">
        <f aca="false">IF(C3113=J3113,"NEW KONTRAK","RE-KONTRAK")</f>
        <v>NEW KONTRAK</v>
      </c>
      <c r="J3113" s="16" t="n">
        <f aca="false" t="array" ref="J3113:J3113">IFERROR(INDEX(AC3113:AE3113,IF(COUNTA(AC3113:AE3113)=0,"",MAX((AC3113:AE3113&lt;&gt;"")*(COLUMN(AC3113:AE3113)-(COLUMN(AC3113)))))-1),"")</f>
        <v>46024</v>
      </c>
      <c r="K3113" s="16" t="n">
        <f aca="false" t="array" ref="K3113:K3113">IFERROR(INDEX(AC3113:AE3113,IF(COUNTA(AC3113:AE3113)=0,"",MAX((AC3113:AE3113&lt;&gt;"")*(COLUMN(AC3113:AE3113)-(COLUMN(AC3113)-1))))-1),"")</f>
        <v>46113</v>
      </c>
      <c r="L3113" s="17" t="str">
        <f aca="false" t="array" ref="L3113:L3113">IFERROR(INDEX(AC3113:AE3113,IF(COUNTA(AC3113:AE3113)=0,"",MAX((AC3113:AE3113&lt;&gt;"")*(COLUMN(AC3113:AE3113)-(COLUMN(AC3113)-2))))-1),"")</f>
        <v>ARCHIVED</v>
      </c>
      <c r="M3113" s="13" t="n">
        <f aca="true">K3113-TODAY()</f>
        <v>-211</v>
      </c>
      <c r="N3113" s="18" t="s">
        <v>728</v>
      </c>
      <c r="O3113" s="13" t="s">
        <v>12986</v>
      </c>
      <c r="P3113" s="19" t="n">
        <v>5444909</v>
      </c>
      <c r="Q3113" s="47" t="s">
        <v>12987</v>
      </c>
      <c r="R3113" s="13" t="s">
        <v>52</v>
      </c>
      <c r="S3113" s="16" t="n">
        <v>37418</v>
      </c>
      <c r="T3113" s="13" t="s">
        <v>108</v>
      </c>
      <c r="U3113" s="13" t="s">
        <v>12988</v>
      </c>
      <c r="V3113" s="13" t="s">
        <v>42</v>
      </c>
      <c r="W3113" s="13" t="s">
        <v>43</v>
      </c>
      <c r="X3113" s="21" t="s">
        <v>12989</v>
      </c>
      <c r="Y3113" s="22" t="str">
        <f aca="false">O3113</f>
        <v>ASSEMBLING.operator</v>
      </c>
      <c r="Z3113" s="13" t="str">
        <f aca="false">IFERROR(__xludf.dummyfunction("if(BJ3113="""","""",GOOGLETRANSLATE(BJ3113,""auto"",""en""))"),"ASSEMBLING.operator")</f>
        <v>ASSEMBLING.operator</v>
      </c>
      <c r="AA3113" s="23" t="str">
        <f aca="false">IF(C3113="","", CHOOSE(MONTH(C3113),"January","February","March","April","May","June","July","August","September","October","November","December")&amp;" "&amp;DAY(C3113)&amp;MID("thstndrdth",MIN(9,2*RIGHT(DAY(C3113))*(MOD(DAY(C3113)-11,100)&gt;2)+1),2)&amp;","&amp;TEXT(C3113," yyyy"))</f>
        <v>January 2nd,2026</v>
      </c>
      <c r="AB3113" s="15" t="str">
        <f aca="true">IF(S3113="","",DATEDIF(S3113,TODAY(),"Y")&amp;" Tahun, "&amp;DATEDIF(S3113,TODAY(),"YM")&amp;" Bulan, "&amp;DATEDIF(S3113,TODAY(),"MD")&amp;" Hari")</f>
        <v>24 Tahun, 4 Bulan, 18 Hari</v>
      </c>
      <c r="AC3113" s="18" t="n">
        <v>46024</v>
      </c>
      <c r="AD3113" s="18" t="n">
        <f aca="false">EDATE(AC3113,3)-1</f>
        <v>46113</v>
      </c>
      <c r="AE3113" s="18" t="s">
        <v>44</v>
      </c>
    </row>
    <row r="3114" customFormat="false" ht="15" hidden="false" customHeight="true" outlineLevel="0" collapsed="false">
      <c r="A3114" s="12" t="n">
        <v>21693</v>
      </c>
      <c r="B3114" s="13" t="s">
        <v>12990</v>
      </c>
      <c r="C3114" s="16" t="n">
        <v>46024</v>
      </c>
      <c r="D3114" s="13" t="s">
        <v>1721</v>
      </c>
      <c r="E3114" s="15" t="s">
        <v>1778</v>
      </c>
      <c r="F3114" s="24" t="s">
        <v>12991</v>
      </c>
      <c r="G3114" s="28" t="s">
        <v>57</v>
      </c>
      <c r="H3114" s="13" t="s">
        <v>35</v>
      </c>
      <c r="I3114" s="13" t="str">
        <f aca="false">IF(C3114=J3114,"NEW KONTRAK","RE-KONTRAK")</f>
        <v>NEW KONTRAK</v>
      </c>
      <c r="J3114" s="16" t="n">
        <f aca="false" t="array" ref="J3114:J3114">IFERROR(INDEX(AC3114:AE3114,IF(COUNTA(AC3114:AE3114)=0,"",MAX((AC3114:AE3114&lt;&gt;"")*(COLUMN(AC3114:AE3114)-(COLUMN(AC3114)))))-1),"")</f>
        <v>46024</v>
      </c>
      <c r="K3114" s="16" t="n">
        <f aca="false" t="array" ref="K3114:K3114">IFERROR(INDEX(AC3114:AE3114,IF(COUNTA(AC3114:AE3114)=0,"",MAX((AC3114:AE3114&lt;&gt;"")*(COLUMN(AC3114:AE3114)-(COLUMN(AC3114)-1))))-1),"")</f>
        <v>46113</v>
      </c>
      <c r="L3114" s="17" t="str">
        <f aca="false" t="array" ref="L3114:L3114">IFERROR(INDEX(AC3114:AE3114,IF(COUNTA(AC3114:AE3114)=0,"",MAX((AC3114:AE3114&lt;&gt;"")*(COLUMN(AC3114:AE3114)-(COLUMN(AC3114)-2))))-1),"")</f>
        <v>ARCHIVED</v>
      </c>
      <c r="M3114" s="13" t="n">
        <f aca="true">K3114-TODAY()</f>
        <v>-211</v>
      </c>
      <c r="N3114" s="18" t="s">
        <v>728</v>
      </c>
      <c r="O3114" s="13" t="s">
        <v>12986</v>
      </c>
      <c r="P3114" s="19" t="n">
        <v>5444909</v>
      </c>
      <c r="Q3114" s="47" t="s">
        <v>12992</v>
      </c>
      <c r="R3114" s="13" t="s">
        <v>168</v>
      </c>
      <c r="S3114" s="16" t="n">
        <v>38313</v>
      </c>
      <c r="T3114" s="13" t="s">
        <v>108</v>
      </c>
      <c r="U3114" s="13" t="s">
        <v>12993</v>
      </c>
      <c r="V3114" s="13" t="s">
        <v>42</v>
      </c>
      <c r="W3114" s="13" t="s">
        <v>43</v>
      </c>
      <c r="X3114" s="21" t="s">
        <v>12994</v>
      </c>
      <c r="Y3114" s="22" t="str">
        <f aca="false">O3114</f>
        <v>ASSEMBLING.operator</v>
      </c>
      <c r="Z3114" s="13" t="str">
        <f aca="false">IFERROR(__xludf.dummyfunction("if(BJ3114="""","""",GOOGLETRANSLATE(BJ3114,""auto"",""en""))"),"ASSEMBLING.operator")</f>
        <v>ASSEMBLING.operator</v>
      </c>
      <c r="AA3114" s="23" t="str">
        <f aca="false">IF(C3114="","", CHOOSE(MONTH(C3114),"January","February","March","April","May","June","July","August","September","October","November","December")&amp;" "&amp;DAY(C3114)&amp;MID("thstndrdth",MIN(9,2*RIGHT(DAY(C3114))*(MOD(DAY(C3114)-11,100)&gt;2)+1),2)&amp;","&amp;TEXT(C3114," yyyy"))</f>
        <v>January 2nd,2026</v>
      </c>
      <c r="AB3114" s="15" t="str">
        <f aca="true">IF(S3114="","",DATEDIF(S3114,TODAY(),"Y")&amp;" Tahun, "&amp;DATEDIF(S3114,TODAY(),"YM")&amp;" Bulan, "&amp;DATEDIF(S3114,TODAY(),"MD")&amp;" Hari")</f>
        <v>21 Tahun, 11 Bulan, 7 Hari</v>
      </c>
      <c r="AC3114" s="18" t="n">
        <v>46024</v>
      </c>
      <c r="AD3114" s="18" t="n">
        <f aca="false">EDATE(AC3114,3)-1</f>
        <v>46113</v>
      </c>
      <c r="AE3114" s="18" t="s">
        <v>44</v>
      </c>
    </row>
    <row r="3115" customFormat="false" ht="15" hidden="false" customHeight="true" outlineLevel="0" collapsed="false">
      <c r="A3115" s="12" t="n">
        <v>2201</v>
      </c>
      <c r="B3115" s="13" t="s">
        <v>12995</v>
      </c>
      <c r="C3115" s="14" t="n">
        <v>44350</v>
      </c>
      <c r="D3115" s="13" t="s">
        <v>1721</v>
      </c>
      <c r="E3115" s="15" t="s">
        <v>47</v>
      </c>
      <c r="F3115" s="15" t="str">
        <f aca="false">IFERROR(__xludf.dummyfunction("XLOOKUP(AJ3115,IMPORTRANGE(""1XaInW9DU9nz21V0tYIfzFQ0He9kVQ_JF2mCXgZ3hqFA"",""REKAP ALL 2026 - Andika!G:G""),IMPORTRANGE(""1XaInW9DU9nz21V0tYIfzFQ0He9kVQ_JF2mCXgZ3hqFA"",""REKAP ALL 2026 - Andika!F:F""),"""",0)"),"15029921366")</f>
        <v>15029921366</v>
      </c>
      <c r="G3115" s="13" t="s">
        <v>12996</v>
      </c>
      <c r="H3115" s="13" t="s">
        <v>35</v>
      </c>
      <c r="I3115" s="13" t="str">
        <f aca="false">IF(C3115=J3115,"NEW KONTRAK","RE-KONTRAK")</f>
        <v>RE-KONTRAK</v>
      </c>
      <c r="J3115" s="16" t="n">
        <f aca="false" t="array" ref="J3115:J3115">IFERROR(INDEX(AC3115:AE3115,IF(COUNTA(AC3115:AE3115)=0,"",MAX((AC3115:AE3115&lt;&gt;"")*(COLUMN(AC3115:AE3115)-(COLUMN(AC3115)))))-1),"")</f>
        <v>45659</v>
      </c>
      <c r="K3115" s="16" t="n">
        <f aca="false" t="array" ref="K3115:K3115">IFERROR(INDEX(AC3115:AE3115,IF(COUNTA(AC3115:AE3115)=0,"",MAX((AC3115:AE3115&lt;&gt;"")*(COLUMN(AC3115:AE3115)-(COLUMN(AC3115)-1))))-1),"")</f>
        <v>46021</v>
      </c>
      <c r="L3115" s="17" t="str">
        <f aca="false" t="array" ref="L3115:L3115">IFERROR(INDEX(AC3115:AE3115,IF(COUNTA(AC3115:AE3115)=0,"",MAX((AC3115:AE3115&lt;&gt;"")*(COLUMN(AC3115:AE3115)-(COLUMN(AC3115)-2))))-1),"")</f>
        <v>KEMBALI</v>
      </c>
      <c r="M3115" s="13" t="n">
        <f aca="true">K3115-TODAY()</f>
        <v>-303</v>
      </c>
      <c r="N3115" s="18" t="s">
        <v>728</v>
      </c>
      <c r="O3115" s="13" t="s">
        <v>1914</v>
      </c>
      <c r="P3115" s="19" t="n">
        <v>5444909</v>
      </c>
      <c r="Q3115" s="20" t="s">
        <v>12997</v>
      </c>
      <c r="R3115" s="13" t="s">
        <v>324</v>
      </c>
      <c r="S3115" s="14" t="n">
        <v>32510</v>
      </c>
      <c r="T3115" s="13" t="s">
        <v>108</v>
      </c>
      <c r="U3115" s="13" t="s">
        <v>12998</v>
      </c>
      <c r="V3115" s="13" t="s">
        <v>42</v>
      </c>
      <c r="W3115" s="13" t="s">
        <v>54</v>
      </c>
      <c r="X3115" s="21" t="n">
        <v>81707302660</v>
      </c>
      <c r="Y3115" s="22" t="str">
        <f aca="false">O3115</f>
        <v>Im Operator</v>
      </c>
      <c r="Z3115" s="13" t="str">
        <f aca="false">IFERROR(__xludf.dummyfunction("if(BJ3115="""","""",GOOGLETRANSLATE(BJ3115,""auto"",""en""))"),"Im Operator")</f>
        <v>Im Operator</v>
      </c>
      <c r="AA3115" s="23" t="str">
        <f aca="false">IF(C3115="","", CHOOSE(MONTH(C3115),"January","February","March","April","May","June","July","August","September","October","November","December")&amp;" "&amp;DAY(C3115)&amp;MID("thstndrdth",MIN(9,2*RIGHT(DAY(C3115))*(MOD(DAY(C3115)-11,100)&gt;2)+1),2)&amp;","&amp;TEXT(C3115," yyyy"))</f>
        <v>June 3rd,2021</v>
      </c>
      <c r="AB3115" s="15" t="str">
        <f aca="true">IF(S3115="","",DATEDIF(S3115,TODAY(),"Y")&amp;" Tahun, "&amp;DATEDIF(S3115,TODAY(),"YM")&amp;" Bulan, "&amp;DATEDIF(S3115,TODAY(),"MD")&amp;" Hari")</f>
        <v>37 Tahun, 9 Bulan, 27 Hari</v>
      </c>
      <c r="AC3115" s="18" t="n">
        <v>45659</v>
      </c>
      <c r="AD3115" s="18" t="n">
        <v>46021</v>
      </c>
      <c r="AE3115" s="13" t="s">
        <v>397</v>
      </c>
    </row>
    <row r="3116" customFormat="false" ht="15" hidden="false" customHeight="true" outlineLevel="0" collapsed="false">
      <c r="A3116" s="12" t="n">
        <v>22852</v>
      </c>
      <c r="B3116" s="13" t="s">
        <v>12999</v>
      </c>
      <c r="C3116" s="14" t="n">
        <v>46279</v>
      </c>
      <c r="D3116" s="13" t="s">
        <v>1721</v>
      </c>
      <c r="E3116" s="13" t="s">
        <v>47</v>
      </c>
      <c r="F3116" s="24" t="s">
        <v>13000</v>
      </c>
      <c r="G3116" s="13" t="s">
        <v>1452</v>
      </c>
      <c r="H3116" s="13" t="s">
        <v>35</v>
      </c>
      <c r="I3116" s="13" t="str">
        <f aca="false">IF(C3116=J3116,"NEW KONTRAK","RE-KONTRAK")</f>
        <v>NEW KONTRAK</v>
      </c>
      <c r="J3116" s="16" t="n">
        <f aca="false" t="array" ref="J3116:J3116">IFERROR(INDEX(AC3116:AE3116,IF(COUNTA(AC3116:AE3116)=0,"",MAX((AC3116:AE3116&lt;&gt;"")*(COLUMN(AC3116:AE3116)-(COLUMN(AC3116)))))-1),"")</f>
        <v>46279</v>
      </c>
      <c r="K3116" s="16" t="n">
        <f aca="false" t="array" ref="K3116:K3116">IFERROR(INDEX(AC3116:AE3116,IF(COUNTA(AC3116:AE3116)=0,"",MAX((AC3116:AE3116&lt;&gt;"")*(COLUMN(AC3116:AE3116)-(COLUMN(AC3116)-1))))-1),"")</f>
        <v>46386</v>
      </c>
      <c r="L3116" s="17" t="str">
        <f aca="false" t="array" ref="L3116:L3116">IFERROR(INDEX(AC3116:AE3116,IF(COUNTA(AC3116:AE3116)=0,"",MAX((AC3116:AE3116&lt;&gt;"")*(COLUMN(AC3116:AE3116)-(COLUMN(AC3116)-2))))-1),"")</f>
        <v>ARCHIVED</v>
      </c>
      <c r="M3116" s="13" t="n">
        <f aca="true">K3116-TODAY()</f>
        <v>62</v>
      </c>
      <c r="N3116" s="18" t="s">
        <v>728</v>
      </c>
      <c r="O3116" s="13" t="s">
        <v>1755</v>
      </c>
      <c r="P3116" s="26" t="n">
        <v>5444909</v>
      </c>
      <c r="Q3116" s="20" t="s">
        <v>13001</v>
      </c>
      <c r="R3116" s="13" t="s">
        <v>52</v>
      </c>
      <c r="S3116" s="25" t="n">
        <v>34394</v>
      </c>
      <c r="T3116" s="13" t="s">
        <v>108</v>
      </c>
      <c r="U3116" s="13" t="s">
        <v>13002</v>
      </c>
      <c r="V3116" s="13" t="s">
        <v>42</v>
      </c>
      <c r="W3116" s="13" t="s">
        <v>54</v>
      </c>
      <c r="X3116" s="30" t="n">
        <v>82258815371</v>
      </c>
      <c r="Y3116" s="22" t="str">
        <f aca="false">O3116</f>
        <v>Im.Operator</v>
      </c>
      <c r="Z3116" s="13" t="str">
        <f aca="false">IFERROR(__xludf.dummyfunction("if(BJ3116="""","""",GOOGLETRANSLATE(BJ3116,""auto"",""en""))"),"Im.Operator")</f>
        <v>Im.Operator</v>
      </c>
      <c r="AA3116" s="23" t="str">
        <f aca="false">IF(C3116="","", CHOOSE(MONTH(C3116),"January","February","March","April","May","June","July","August","September","October","November","December")&amp;" "&amp;DAY(C3116)&amp;MID("thstndrdth",MIN(9,2*RIGHT(DAY(C3116))*(MOD(DAY(C3116)-11,100)&gt;2)+1),2)&amp;","&amp;TEXT(C3116," yyyy"))</f>
        <v>September 14th,2026</v>
      </c>
      <c r="AB3116" s="15" t="str">
        <f aca="true">IF(S3116="","",DATEDIF(S3116,TODAY(),"Y")&amp;" Tahun, "&amp;DATEDIF(S3116,TODAY(),"YM")&amp;" Bulan, "&amp;DATEDIF(S3116,TODAY(),"MD")&amp;" Hari")</f>
        <v>32 Tahun, 7 Bulan, 28 Hari</v>
      </c>
      <c r="AC3116" s="14" t="n">
        <v>46279</v>
      </c>
      <c r="AD3116" s="18" t="n">
        <v>46386</v>
      </c>
      <c r="AE3116" s="13" t="s">
        <v>44</v>
      </c>
    </row>
    <row r="3117" customFormat="false" ht="15" hidden="false" customHeight="true" outlineLevel="0" collapsed="false">
      <c r="A3117" s="12" t="n">
        <v>21706</v>
      </c>
      <c r="B3117" s="13" t="s">
        <v>13003</v>
      </c>
      <c r="C3117" s="16" t="n">
        <v>46024</v>
      </c>
      <c r="D3117" s="13" t="s">
        <v>1721</v>
      </c>
      <c r="E3117" s="15" t="s">
        <v>1778</v>
      </c>
      <c r="F3117" s="24" t="s">
        <v>13004</v>
      </c>
      <c r="G3117" s="28" t="s">
        <v>57</v>
      </c>
      <c r="H3117" s="13" t="s">
        <v>35</v>
      </c>
      <c r="I3117" s="13" t="str">
        <f aca="false">IF(C3117=J3117,"NEW KONTRAK","RE-KONTRAK")</f>
        <v>NEW KONTRAK</v>
      </c>
      <c r="J3117" s="16" t="n">
        <f aca="false" t="array" ref="J3117:J3117">IFERROR(INDEX(AC3117:AE3117,IF(COUNTA(AC3117:AE3117)=0,"",MAX((AC3117:AE3117&lt;&gt;"")*(COLUMN(AC3117:AE3117)-(COLUMN(AC3117)))))-1),"")</f>
        <v>46024</v>
      </c>
      <c r="K3117" s="16" t="n">
        <f aca="false" t="array" ref="K3117:K3117">IFERROR(INDEX(AC3117:AE3117,IF(COUNTA(AC3117:AE3117)=0,"",MAX((AC3117:AE3117&lt;&gt;"")*(COLUMN(AC3117:AE3117)-(COLUMN(AC3117)-1))))-1),"")</f>
        <v>46113</v>
      </c>
      <c r="L3117" s="17" t="str">
        <f aca="false" t="array" ref="L3117:L3117">IFERROR(INDEX(AC3117:AE3117,IF(COUNTA(AC3117:AE3117)=0,"",MAX((AC3117:AE3117&lt;&gt;"")*(COLUMN(AC3117:AE3117)-(COLUMN(AC3117)-2))))-1),"")</f>
        <v>ARCHIVED</v>
      </c>
      <c r="M3117" s="13" t="n">
        <f aca="true">K3117-TODAY()</f>
        <v>-211</v>
      </c>
      <c r="N3117" s="18" t="s">
        <v>728</v>
      </c>
      <c r="O3117" s="13" t="s">
        <v>13005</v>
      </c>
      <c r="P3117" s="19" t="n">
        <v>5444909</v>
      </c>
      <c r="Q3117" s="47" t="s">
        <v>13006</v>
      </c>
      <c r="R3117" s="13" t="s">
        <v>255</v>
      </c>
      <c r="S3117" s="16" t="n">
        <v>38696</v>
      </c>
      <c r="T3117" s="13" t="s">
        <v>108</v>
      </c>
      <c r="U3117" s="13" t="s">
        <v>13007</v>
      </c>
      <c r="V3117" s="13" t="s">
        <v>42</v>
      </c>
      <c r="W3117" s="13" t="s">
        <v>43</v>
      </c>
      <c r="X3117" s="21" t="s">
        <v>13008</v>
      </c>
      <c r="Y3117" s="22" t="str">
        <f aca="false">O3117</f>
        <v>PRINTING</v>
      </c>
      <c r="Z3117" s="13" t="str">
        <f aca="false">IFERROR(__xludf.dummyfunction("if(BJ3117="""","""",GOOGLETRANSLATE(BJ3117,""auto"",""en""))"),"PRINTING")</f>
        <v>PRINTING</v>
      </c>
      <c r="AA3117" s="23" t="str">
        <f aca="false">IF(C3117="","", CHOOSE(MONTH(C3117),"January","February","March","April","May","June","July","August","September","October","November","December")&amp;" "&amp;DAY(C3117)&amp;MID("thstndrdth",MIN(9,2*RIGHT(DAY(C3117))*(MOD(DAY(C3117)-11,100)&gt;2)+1),2)&amp;","&amp;TEXT(C3117," yyyy"))</f>
        <v>January 2nd,2026</v>
      </c>
      <c r="AB3117" s="15" t="str">
        <f aca="true">IF(S3117="","",DATEDIF(S3117,TODAY(),"Y")&amp;" Tahun, "&amp;DATEDIF(S3117,TODAY(),"YM")&amp;" Bulan, "&amp;DATEDIF(S3117,TODAY(),"MD")&amp;" Hari")</f>
        <v>20 Tahun, 10 Bulan, 19 Hari</v>
      </c>
      <c r="AC3117" s="18" t="n">
        <v>46024</v>
      </c>
      <c r="AD3117" s="18" t="n">
        <f aca="false">EDATE(AC3117,3)-1</f>
        <v>46113</v>
      </c>
      <c r="AE3117" s="18" t="s">
        <v>44</v>
      </c>
    </row>
    <row r="3118" customFormat="false" ht="15" hidden="false" customHeight="true" outlineLevel="0" collapsed="false">
      <c r="A3118" s="12" t="n">
        <v>21707</v>
      </c>
      <c r="B3118" s="13" t="s">
        <v>13009</v>
      </c>
      <c r="C3118" s="16" t="n">
        <v>46024</v>
      </c>
      <c r="D3118" s="13" t="s">
        <v>1721</v>
      </c>
      <c r="E3118" s="15" t="s">
        <v>1778</v>
      </c>
      <c r="F3118" s="24" t="s">
        <v>13010</v>
      </c>
      <c r="G3118" s="28" t="s">
        <v>57</v>
      </c>
      <c r="H3118" s="13" t="s">
        <v>35</v>
      </c>
      <c r="I3118" s="13" t="str">
        <f aca="false">IF(C3118=J3118,"NEW KONTRAK","RE-KONTRAK")</f>
        <v>NEW KONTRAK</v>
      </c>
      <c r="J3118" s="16" t="n">
        <f aca="false" t="array" ref="J3118:J3118">IFERROR(INDEX(AC3118:AE3118,IF(COUNTA(AC3118:AE3118)=0,"",MAX((AC3118:AE3118&lt;&gt;"")*(COLUMN(AC3118:AE3118)-(COLUMN(AC3118)))))-1),"")</f>
        <v>46024</v>
      </c>
      <c r="K3118" s="16" t="n">
        <f aca="false" t="array" ref="K3118:K3118">IFERROR(INDEX(AC3118:AE3118,IF(COUNTA(AC3118:AE3118)=0,"",MAX((AC3118:AE3118&lt;&gt;"")*(COLUMN(AC3118:AE3118)-(COLUMN(AC3118)-1))))-1),"")</f>
        <v>46113</v>
      </c>
      <c r="L3118" s="17" t="str">
        <f aca="false" t="array" ref="L3118:L3118">IFERROR(INDEX(AC3118:AE3118,IF(COUNTA(AC3118:AE3118)=0,"",MAX((AC3118:AE3118&lt;&gt;"")*(COLUMN(AC3118:AE3118)-(COLUMN(AC3118)-2))))-1),"")</f>
        <v>ARCHIVED</v>
      </c>
      <c r="M3118" s="13" t="n">
        <f aca="true">K3118-TODAY()</f>
        <v>-211</v>
      </c>
      <c r="N3118" s="18" t="s">
        <v>728</v>
      </c>
      <c r="O3118" s="13" t="s">
        <v>13005</v>
      </c>
      <c r="P3118" s="19" t="n">
        <v>5444909</v>
      </c>
      <c r="Q3118" s="47" t="s">
        <v>13011</v>
      </c>
      <c r="R3118" s="13" t="s">
        <v>227</v>
      </c>
      <c r="S3118" s="16" t="n">
        <v>35522</v>
      </c>
      <c r="T3118" s="13" t="s">
        <v>108</v>
      </c>
      <c r="U3118" s="13" t="s">
        <v>13012</v>
      </c>
      <c r="V3118" s="13" t="s">
        <v>42</v>
      </c>
      <c r="W3118" s="13" t="s">
        <v>43</v>
      </c>
      <c r="X3118" s="21" t="s">
        <v>13013</v>
      </c>
      <c r="Y3118" s="22" t="str">
        <f aca="false">O3118</f>
        <v>PRINTING</v>
      </c>
      <c r="Z3118" s="13" t="str">
        <f aca="false">IFERROR(__xludf.dummyfunction("if(BJ3118="""","""",GOOGLETRANSLATE(BJ3118,""auto"",""en""))"),"PRINTING")</f>
        <v>PRINTING</v>
      </c>
      <c r="AA3118" s="23" t="str">
        <f aca="false">IF(C3118="","", CHOOSE(MONTH(C3118),"January","February","March","April","May","June","July","August","September","October","November","December")&amp;" "&amp;DAY(C3118)&amp;MID("thstndrdth",MIN(9,2*RIGHT(DAY(C3118))*(MOD(DAY(C3118)-11,100)&gt;2)+1),2)&amp;","&amp;TEXT(C3118," yyyy"))</f>
        <v>January 2nd,2026</v>
      </c>
      <c r="AB3118" s="15" t="str">
        <f aca="true">IF(S3118="","",DATEDIF(S3118,TODAY(),"Y")&amp;" Tahun, "&amp;DATEDIF(S3118,TODAY(),"YM")&amp;" Bulan, "&amp;DATEDIF(S3118,TODAY(),"MD")&amp;" Hari")</f>
        <v>29 Tahun, 6 Bulan, 27 Hari</v>
      </c>
      <c r="AC3118" s="18" t="n">
        <v>46024</v>
      </c>
      <c r="AD3118" s="18" t="n">
        <f aca="false">EDATE(AC3118,3)-1</f>
        <v>46113</v>
      </c>
      <c r="AE3118" s="18" t="s">
        <v>44</v>
      </c>
    </row>
    <row r="3119" customFormat="false" ht="15" hidden="false" customHeight="true" outlineLevel="0" collapsed="false">
      <c r="A3119" s="12" t="n">
        <v>21708</v>
      </c>
      <c r="B3119" s="13" t="s">
        <v>13014</v>
      </c>
      <c r="C3119" s="16" t="n">
        <v>46024</v>
      </c>
      <c r="D3119" s="13" t="s">
        <v>1721</v>
      </c>
      <c r="E3119" s="15" t="s">
        <v>1778</v>
      </c>
      <c r="F3119" s="24" t="s">
        <v>13015</v>
      </c>
      <c r="G3119" s="28" t="s">
        <v>57</v>
      </c>
      <c r="H3119" s="13" t="s">
        <v>35</v>
      </c>
      <c r="I3119" s="13" t="str">
        <f aca="false">IF(C3119=J3119,"NEW KONTRAK","RE-KONTRAK")</f>
        <v>NEW KONTRAK</v>
      </c>
      <c r="J3119" s="16" t="n">
        <f aca="false" t="array" ref="J3119:J3119">IFERROR(INDEX(AC3119:AE3119,IF(COUNTA(AC3119:AE3119)=0,"",MAX((AC3119:AE3119&lt;&gt;"")*(COLUMN(AC3119:AE3119)-(COLUMN(AC3119)))))-1),"")</f>
        <v>46024</v>
      </c>
      <c r="K3119" s="16" t="n">
        <f aca="false" t="array" ref="K3119:K3119">IFERROR(INDEX(AC3119:AE3119,IF(COUNTA(AC3119:AE3119)=0,"",MAX((AC3119:AE3119&lt;&gt;"")*(COLUMN(AC3119:AE3119)-(COLUMN(AC3119)-1))))-1),"")</f>
        <v>46113</v>
      </c>
      <c r="L3119" s="17" t="str">
        <f aca="false" t="array" ref="L3119:L3119">IFERROR(INDEX(AC3119:AE3119,IF(COUNTA(AC3119:AE3119)=0,"",MAX((AC3119:AE3119&lt;&gt;"")*(COLUMN(AC3119:AE3119)-(COLUMN(AC3119)-2))))-1),"")</f>
        <v>ARCHIVED</v>
      </c>
      <c r="M3119" s="13" t="n">
        <f aca="true">K3119-TODAY()</f>
        <v>-211</v>
      </c>
      <c r="N3119" s="18" t="s">
        <v>728</v>
      </c>
      <c r="O3119" s="13" t="s">
        <v>13005</v>
      </c>
      <c r="P3119" s="19" t="n">
        <v>5444909</v>
      </c>
      <c r="Q3119" s="47" t="s">
        <v>13016</v>
      </c>
      <c r="R3119" s="13" t="s">
        <v>65</v>
      </c>
      <c r="S3119" s="16" t="n">
        <v>35612</v>
      </c>
      <c r="T3119" s="13" t="s">
        <v>108</v>
      </c>
      <c r="U3119" s="13" t="s">
        <v>13017</v>
      </c>
      <c r="V3119" s="13" t="s">
        <v>42</v>
      </c>
      <c r="W3119" s="13" t="s">
        <v>54</v>
      </c>
      <c r="X3119" s="21" t="s">
        <v>13018</v>
      </c>
      <c r="Y3119" s="22" t="str">
        <f aca="false">O3119</f>
        <v>PRINTING</v>
      </c>
      <c r="Z3119" s="13" t="str">
        <f aca="false">IFERROR(__xludf.dummyfunction("if(BJ3119="""","""",GOOGLETRANSLATE(BJ3119,""auto"",""en""))"),"PRINTING")</f>
        <v>PRINTING</v>
      </c>
      <c r="AA3119" s="23" t="str">
        <f aca="false">IF(C3119="","", CHOOSE(MONTH(C3119),"January","February","March","April","May","June","July","August","September","October","November","December")&amp;" "&amp;DAY(C3119)&amp;MID("thstndrdth",MIN(9,2*RIGHT(DAY(C3119))*(MOD(DAY(C3119)-11,100)&gt;2)+1),2)&amp;","&amp;TEXT(C3119," yyyy"))</f>
        <v>January 2nd,2026</v>
      </c>
      <c r="AB3119" s="15" t="str">
        <f aca="true">IF(S3119="","",DATEDIF(S3119,TODAY(),"Y")&amp;" Tahun, "&amp;DATEDIF(S3119,TODAY(),"YM")&amp;" Bulan, "&amp;DATEDIF(S3119,TODAY(),"MD")&amp;" Hari")</f>
        <v>29 Tahun, 3 Bulan, 28 Hari</v>
      </c>
      <c r="AC3119" s="18" t="n">
        <v>46024</v>
      </c>
      <c r="AD3119" s="18" t="n">
        <f aca="false">EDATE(AC3119,3)-1</f>
        <v>46113</v>
      </c>
      <c r="AE3119" s="18" t="s">
        <v>44</v>
      </c>
    </row>
    <row r="3120" customFormat="false" ht="15" hidden="false" customHeight="true" outlineLevel="0" collapsed="false">
      <c r="A3120" s="12" t="n">
        <v>22987</v>
      </c>
      <c r="B3120" s="13" t="s">
        <v>13019</v>
      </c>
      <c r="C3120" s="14" t="n">
        <v>46307</v>
      </c>
      <c r="D3120" s="13" t="s">
        <v>1721</v>
      </c>
      <c r="E3120" s="13" t="s">
        <v>47</v>
      </c>
      <c r="F3120" s="24" t="s">
        <v>13020</v>
      </c>
      <c r="G3120" s="13" t="s">
        <v>1127</v>
      </c>
      <c r="H3120" s="13" t="s">
        <v>35</v>
      </c>
      <c r="I3120" s="13" t="str">
        <f aca="false">IF(C3120=J3120,"NEW KONTRAK","RE-KONTRAK")</f>
        <v>NEW KONTRAK</v>
      </c>
      <c r="J3120" s="16" t="n">
        <f aca="false" t="array" ref="J3120:J3120">IFERROR(INDEX(AC3120:AE3120,IF(COUNTA(AC3120:AE3120)=0,"",MAX((AC3120:AE3120&lt;&gt;"")*(COLUMN(AC3120:AE3120)-(COLUMN(AC3120)))))-1),"")</f>
        <v>46307</v>
      </c>
      <c r="K3120" s="16" t="n">
        <f aca="false" t="array" ref="K3120:K3120">IFERROR(INDEX(AC3120:AE3120,IF(COUNTA(AC3120:AE3120)=0,"",MAX((AC3120:AE3120&lt;&gt;"")*(COLUMN(AC3120:AE3120)-(COLUMN(AC3120)-1))))-1),"")</f>
        <v>46386</v>
      </c>
      <c r="L3120" s="17" t="str">
        <f aca="false" t="array" ref="L3120:L3120">IFERROR(INDEX(AC3120:AE3120,IF(COUNTA(AC3120:AE3120)=0,"",MAX((AC3120:AE3120&lt;&gt;"")*(COLUMN(AC3120:AE3120)-(COLUMN(AC3120)-2))))-1),"")</f>
        <v>PRINTED</v>
      </c>
      <c r="M3120" s="13" t="n">
        <f aca="true">K3120-TODAY()</f>
        <v>62</v>
      </c>
      <c r="N3120" s="18" t="s">
        <v>728</v>
      </c>
      <c r="O3120" s="13" t="s">
        <v>1738</v>
      </c>
      <c r="P3120" s="26" t="n">
        <v>5444909</v>
      </c>
      <c r="Q3120" s="20" t="s">
        <v>13021</v>
      </c>
      <c r="R3120" s="13" t="s">
        <v>65</v>
      </c>
      <c r="S3120" s="25" t="n">
        <v>39585</v>
      </c>
      <c r="T3120" s="13" t="s">
        <v>108</v>
      </c>
      <c r="U3120" s="13" t="s">
        <v>13022</v>
      </c>
      <c r="V3120" s="13" t="s">
        <v>42</v>
      </c>
      <c r="W3120" s="13" t="s">
        <v>43</v>
      </c>
      <c r="X3120" s="21" t="n">
        <v>81358371663</v>
      </c>
      <c r="Y3120" s="22" t="str">
        <f aca="false">O3120</f>
        <v>IM Operator</v>
      </c>
      <c r="Z3120" s="13" t="str">
        <f aca="false">IFERROR(__xludf.dummyfunction("if(BJ3120="""","""",GOOGLETRANSLATE(BJ3120,""auto"",""en""))"),"IM Operator")</f>
        <v>IM Operator</v>
      </c>
      <c r="AA3120" s="23" t="str">
        <f aca="false">IF(C3120="","", CHOOSE(MONTH(C3120),"January","February","March","April","May","June","July","August","September","October","November","December")&amp;" "&amp;DAY(C3120)&amp;MID("thstndrdth",MIN(9,2*RIGHT(DAY(C3120))*(MOD(DAY(C3120)-11,100)&gt;2)+1),2)&amp;","&amp;TEXT(C3120," yyyy"))</f>
        <v>October 12th,2026</v>
      </c>
      <c r="AB3120" s="15" t="str">
        <f aca="true">IF(S3120="","",DATEDIF(S3120,TODAY(),"Y")&amp;" Tahun, "&amp;DATEDIF(S3120,TODAY(),"YM")&amp;" Bulan, "&amp;DATEDIF(S3120,TODAY(),"MD")&amp;" Hari")</f>
        <v>18 Tahun, 5 Bulan, 12 Hari</v>
      </c>
      <c r="AC3120" s="14" t="n">
        <v>46307</v>
      </c>
      <c r="AD3120" s="18" t="n">
        <v>46386</v>
      </c>
      <c r="AE3120" s="13" t="s">
        <v>1752</v>
      </c>
    </row>
    <row r="3121" customFormat="false" ht="15" hidden="false" customHeight="true" outlineLevel="0" collapsed="false">
      <c r="A3121" s="12" t="n">
        <v>2206</v>
      </c>
      <c r="B3121" s="13" t="s">
        <v>13023</v>
      </c>
      <c r="C3121" s="14" t="n">
        <v>44350</v>
      </c>
      <c r="D3121" s="13" t="s">
        <v>1721</v>
      </c>
      <c r="E3121" s="15" t="s">
        <v>47</v>
      </c>
      <c r="F3121" s="24" t="s">
        <v>13024</v>
      </c>
      <c r="G3121" s="13" t="s">
        <v>13025</v>
      </c>
      <c r="H3121" s="13" t="s">
        <v>35</v>
      </c>
      <c r="I3121" s="13" t="str">
        <f aca="false">IF(C3121=J3121,"NEW KONTRAK","RE-KONTRAK")</f>
        <v>RE-KONTRAK</v>
      </c>
      <c r="J3121" s="16" t="n">
        <f aca="false" t="array" ref="J3121:J3121">IFERROR(INDEX(AC3121:AE3121,IF(COUNTA(AC3121:AE3121)=0,"",MAX((AC3121:AE3121&lt;&gt;"")*(COLUMN(AC3121:AE3121)-(COLUMN(AC3121)))))-1),"")</f>
        <v>45659</v>
      </c>
      <c r="K3121" s="16" t="n">
        <f aca="false" t="array" ref="K3121:K3121">IFERROR(INDEX(AC3121:AE3121,IF(COUNTA(AC3121:AE3121)=0,"",MAX((AC3121:AE3121&lt;&gt;"")*(COLUMN(AC3121:AE3121)-(COLUMN(AC3121)-1))))-1),"")</f>
        <v>46021</v>
      </c>
      <c r="L3121" s="17" t="str">
        <f aca="false" t="array" ref="L3121:L3121">IFERROR(INDEX(AC3121:AE3121,IF(COUNTA(AC3121:AE3121)=0,"",MAX((AC3121:AE3121&lt;&gt;"")*(COLUMN(AC3121:AE3121)-(COLUMN(AC3121)-2))))-1),"")</f>
        <v>KEMBALI</v>
      </c>
      <c r="M3121" s="13" t="n">
        <f aca="true">K3121-TODAY()</f>
        <v>-303</v>
      </c>
      <c r="N3121" s="18" t="s">
        <v>728</v>
      </c>
      <c r="O3121" s="13" t="s">
        <v>1914</v>
      </c>
      <c r="P3121" s="19" t="n">
        <v>5444909</v>
      </c>
      <c r="Q3121" s="20" t="s">
        <v>13026</v>
      </c>
      <c r="R3121" s="13" t="s">
        <v>39</v>
      </c>
      <c r="S3121" s="14" t="n">
        <v>31492</v>
      </c>
      <c r="T3121" s="13" t="s">
        <v>108</v>
      </c>
      <c r="U3121" s="13" t="s">
        <v>13027</v>
      </c>
      <c r="V3121" s="13" t="s">
        <v>42</v>
      </c>
      <c r="W3121" s="13" t="s">
        <v>54</v>
      </c>
      <c r="X3121" s="21" t="n">
        <v>85808792128</v>
      </c>
      <c r="Y3121" s="22" t="str">
        <f aca="false">O3121</f>
        <v>Im Operator</v>
      </c>
      <c r="Z3121" s="13" t="str">
        <f aca="false">IFERROR(__xludf.dummyfunction("if(BJ3121="""","""",GOOGLETRANSLATE(BJ3121,""auto"",""en""))"),"Im Operator")</f>
        <v>Im Operator</v>
      </c>
      <c r="AA3121" s="23" t="str">
        <f aca="false">IF(C3121="","", CHOOSE(MONTH(C3121),"January","February","March","April","May","June","July","August","September","October","November","December")&amp;" "&amp;DAY(C3121)&amp;MID("thstndrdth",MIN(9,2*RIGHT(DAY(C3121))*(MOD(DAY(C3121)-11,100)&gt;2)+1),2)&amp;","&amp;TEXT(C3121," yyyy"))</f>
        <v>June 3rd,2021</v>
      </c>
      <c r="AB3121" s="15" t="str">
        <f aca="true">IF(S3121="","",DATEDIF(S3121,TODAY(),"Y")&amp;" Tahun, "&amp;DATEDIF(S3121,TODAY(),"YM")&amp;" Bulan, "&amp;DATEDIF(S3121,TODAY(),"MD")&amp;" Hari")</f>
        <v>40 Tahun, 7 Bulan, 8 Hari</v>
      </c>
      <c r="AC3121" s="18" t="n">
        <v>45659</v>
      </c>
      <c r="AD3121" s="18" t="n">
        <v>46021</v>
      </c>
      <c r="AE3121" s="13" t="s">
        <v>397</v>
      </c>
    </row>
    <row r="3122" customFormat="false" ht="15" hidden="false" customHeight="true" outlineLevel="0" collapsed="false">
      <c r="A3122" s="12" t="n">
        <v>21711</v>
      </c>
      <c r="B3122" s="13" t="s">
        <v>13028</v>
      </c>
      <c r="C3122" s="16" t="n">
        <v>46033</v>
      </c>
      <c r="D3122" s="13" t="s">
        <v>4045</v>
      </c>
      <c r="E3122" s="15" t="s">
        <v>47</v>
      </c>
      <c r="F3122" s="15" t="str">
        <f aca="false">IFERROR(__xludf.dummyfunction("XLOOKUP(AJ3122,IMPORTRANGE(""1XaInW9DU9nz21V0tYIfzFQ0He9kVQ_JF2mCXgZ3hqFA"",""REKAP ALL 2026 - Andika!G:G""),IMPORTRANGE(""1XaInW9DU9nz21V0tYIfzFQ0He9kVQ_JF2mCXgZ3hqFA"",""REKAP ALL 2026 - Andika!F:F""),"""",0)"),"26020634510")</f>
        <v>26020634510</v>
      </c>
      <c r="G3122" s="13" t="s">
        <v>4046</v>
      </c>
      <c r="H3122" s="13" t="s">
        <v>35</v>
      </c>
      <c r="I3122" s="13" t="str">
        <f aca="false">IF(C3122=J3122,"NEW KONTRAK","RE-KONTRAK")</f>
        <v>NEW KONTRAK</v>
      </c>
      <c r="J3122" s="16" t="n">
        <f aca="false" t="array" ref="J3122:J3122">IFERROR(INDEX(AC3122:AE3122,IF(COUNTA(AC3122:AE3122)=0,"",MAX((AC3122:AE3122&lt;&gt;"")*(COLUMN(AC3122:AE3122)-(COLUMN(AC3122)))))-1),"")</f>
        <v>46033</v>
      </c>
      <c r="K3122" s="16" t="n">
        <f aca="false" t="array" ref="K3122:K3122">IFERROR(INDEX(AC3122:AE3122,IF(COUNTA(AC3122:AE3122)=0,"",MAX((AC3122:AE3122&lt;&gt;"")*(COLUMN(AC3122:AE3122)-(COLUMN(AC3122)-1))))-1),"")</f>
        <v>46213</v>
      </c>
      <c r="L3122" s="17" t="str">
        <f aca="false" t="array" ref="L3122:L3122">IFERROR(INDEX(AC3122:AE3122,IF(COUNTA(AC3122:AE3122)=0,"",MAX((AC3122:AE3122&lt;&gt;"")*(COLUMN(AC3122:AE3122)-(COLUMN(AC3122)-2))))-1),"")</f>
        <v>KEMBALI</v>
      </c>
      <c r="M3122" s="13" t="n">
        <f aca="true">K3122-TODAY()</f>
        <v>-111</v>
      </c>
      <c r="N3122" s="18" t="s">
        <v>12118</v>
      </c>
      <c r="O3122" s="13" t="s">
        <v>3510</v>
      </c>
      <c r="P3122" s="19" t="n">
        <v>5938885</v>
      </c>
      <c r="Q3122" s="20" t="s">
        <v>13029</v>
      </c>
      <c r="R3122" s="13" t="s">
        <v>5190</v>
      </c>
      <c r="S3122" s="16" t="n">
        <v>34922</v>
      </c>
      <c r="T3122" s="28" t="s">
        <v>40</v>
      </c>
      <c r="U3122" s="13" t="s">
        <v>13030</v>
      </c>
      <c r="V3122" s="13" t="s">
        <v>42</v>
      </c>
      <c r="W3122" s="13" t="s">
        <v>54</v>
      </c>
      <c r="X3122" s="21" t="n">
        <v>85795669919</v>
      </c>
      <c r="Y3122" s="22" t="str">
        <f aca="false">O3122</f>
        <v>Teknisi</v>
      </c>
      <c r="Z3122" s="13" t="str">
        <f aca="false">IFERROR(__xludf.dummyfunction("if(BJ3122="""","""",GOOGLETRANSLATE(BJ3122,""auto"",""en""))"),"Technician")</f>
        <v>Technician</v>
      </c>
      <c r="AA3122" s="23" t="str">
        <f aca="false">IF(C3122="","", CHOOSE(MONTH(C3122),"January","February","March","April","May","June","July","August","September","October","November","December")&amp;" "&amp;DAY(C3122)&amp;MID("thstndrdth",MIN(9,2*RIGHT(DAY(C3122))*(MOD(DAY(C3122)-11,100)&gt;2)+1),2)&amp;","&amp;TEXT(C3122," yyyy"))</f>
        <v>January 11th,2026</v>
      </c>
      <c r="AB3122" s="15" t="str">
        <f aca="true">IF(S3122="","",DATEDIF(S3122,TODAY(),"Y")&amp;" Tahun, "&amp;DATEDIF(S3122,TODAY(),"YM")&amp;" Bulan, "&amp;DATEDIF(S3122,TODAY(),"MD")&amp;" Hari")</f>
        <v>31 Tahun, 2 Bulan, 18 Hari</v>
      </c>
      <c r="AC3122" s="18" t="n">
        <v>46033</v>
      </c>
      <c r="AD3122" s="18" t="n">
        <f aca="false">EDATE(AC3122,6)-1</f>
        <v>46213</v>
      </c>
      <c r="AE3122" s="13" t="s">
        <v>397</v>
      </c>
    </row>
    <row r="3123" customFormat="false" ht="15" hidden="false" customHeight="true" outlineLevel="0" collapsed="false">
      <c r="A3123" s="12" t="n">
        <v>21712</v>
      </c>
      <c r="B3123" s="13" t="s">
        <v>13031</v>
      </c>
      <c r="C3123" s="16" t="n">
        <v>46028</v>
      </c>
      <c r="D3123" s="13" t="s">
        <v>4610</v>
      </c>
      <c r="E3123" s="15" t="s">
        <v>47</v>
      </c>
      <c r="F3123" s="15" t="str">
        <f aca="false">IFERROR(__xludf.dummyfunction("XLOOKUP(AJ3123,IMPORTRANGE(""1XaInW9DU9nz21V0tYIfzFQ0He9kVQ_JF2mCXgZ3hqFA"",""REKAP ALL 2026 - Andika!G:G""),IMPORTRANGE(""1XaInW9DU9nz21V0tYIfzFQ0He9kVQ_JF2mCXgZ3hqFA"",""REKAP ALL 2026 - Andika!F:F""),"""",0)"),"26020763715")</f>
        <v>26020763715</v>
      </c>
      <c r="G3123" s="13" t="s">
        <v>57</v>
      </c>
      <c r="H3123" s="13" t="s">
        <v>35</v>
      </c>
      <c r="I3123" s="13" t="str">
        <f aca="false">IF(C3123=J3123,"NEW KONTRAK","RE-KONTRAK")</f>
        <v>NEW KONTRAK</v>
      </c>
      <c r="J3123" s="16" t="n">
        <f aca="false" t="array" ref="J3123:J3123">IFERROR(INDEX(AC3123:AE3123,IF(COUNTA(AC3123:AE3123)=0,"",MAX((AC3123:AE3123&lt;&gt;"")*(COLUMN(AC3123:AE3123)-(COLUMN(AC3123)))))-1),"")</f>
        <v>46028</v>
      </c>
      <c r="K3123" s="16" t="n">
        <f aca="false" t="array" ref="K3123:K3123">IFERROR(INDEX(AC3123:AE3123,IF(COUNTA(AC3123:AE3123)=0,"",MAX((AC3123:AE3123&lt;&gt;"")*(COLUMN(AC3123:AE3123)-(COLUMN(AC3123)-1))))-1),"")</f>
        <v>46117</v>
      </c>
      <c r="L3123" s="17" t="str">
        <f aca="false" t="array" ref="L3123:L3123">IFERROR(INDEX(AC3123:AE3123,IF(COUNTA(AC3123:AE3123)=0,"",MAX((AC3123:AE3123&lt;&gt;"")*(COLUMN(AC3123:AE3123)-(COLUMN(AC3123)-2))))-1),"")</f>
        <v>KEMBALI</v>
      </c>
      <c r="M3123" s="13" t="n">
        <f aca="true">K3123-TODAY()</f>
        <v>-207</v>
      </c>
      <c r="N3123" s="18" t="s">
        <v>36</v>
      </c>
      <c r="O3123" s="13" t="s">
        <v>4288</v>
      </c>
      <c r="P3123" s="27" t="n">
        <v>200000</v>
      </c>
      <c r="Q3123" s="47" t="s">
        <v>13032</v>
      </c>
      <c r="R3123" s="13" t="s">
        <v>39</v>
      </c>
      <c r="S3123" s="16" t="n">
        <v>36455</v>
      </c>
      <c r="T3123" s="28" t="s">
        <v>40</v>
      </c>
      <c r="U3123" s="13" t="s">
        <v>13033</v>
      </c>
      <c r="V3123" s="13" t="s">
        <v>42</v>
      </c>
      <c r="W3123" s="13" t="s">
        <v>54</v>
      </c>
      <c r="X3123" s="30" t="n">
        <v>85373210469</v>
      </c>
      <c r="Y3123" s="22" t="str">
        <f aca="false">O3123</f>
        <v>Operator Printing</v>
      </c>
      <c r="Z3123" s="13" t="str">
        <f aca="false">IFERROR(__xludf.dummyfunction("if(BJ3123="""","""",GOOGLETRANSLATE(BJ3123,""auto"",""en""))"),"Operator Printing")</f>
        <v>Operator Printing</v>
      </c>
      <c r="AA3123" s="23" t="str">
        <f aca="false">IF(C3123="","", CHOOSE(MONTH(C3123),"January","February","March","April","May","June","July","August","September","October","November","December")&amp;" "&amp;DAY(C3123)&amp;MID("thstndrdth",MIN(9,2*RIGHT(DAY(C3123))*(MOD(DAY(C3123)-11,100)&gt;2)+1),2)&amp;","&amp;TEXT(C3123," yyyy"))</f>
        <v>January 6th,2026</v>
      </c>
      <c r="AB3123" s="15" t="str">
        <f aca="true">IF(S3123="","",DATEDIF(S3123,TODAY(),"Y")&amp;" Tahun, "&amp;DATEDIF(S3123,TODAY(),"YM")&amp;" Bulan, "&amp;DATEDIF(S3123,TODAY(),"MD")&amp;" Hari")</f>
        <v>27 Tahun, 0 Bulan, 7 Hari</v>
      </c>
      <c r="AC3123" s="18" t="n">
        <v>46028</v>
      </c>
      <c r="AD3123" s="18" t="n">
        <f aca="false">EDATE(AC3123,3)-1</f>
        <v>46117</v>
      </c>
      <c r="AE3123" s="13" t="s">
        <v>397</v>
      </c>
    </row>
    <row r="3124" customFormat="false" ht="15" hidden="false" customHeight="true" outlineLevel="0" collapsed="false">
      <c r="A3124" s="12" t="n">
        <v>21713</v>
      </c>
      <c r="B3124" s="13" t="s">
        <v>13034</v>
      </c>
      <c r="C3124" s="16" t="n">
        <v>46031</v>
      </c>
      <c r="D3124" s="13" t="s">
        <v>4610</v>
      </c>
      <c r="E3124" s="15" t="s">
        <v>47</v>
      </c>
      <c r="F3124" s="15" t="str">
        <f aca="false">IFERROR(__xludf.dummyfunction("XLOOKUP(AJ3124,IMPORTRANGE(""1XaInW9DU9nz21V0tYIfzFQ0He9kVQ_JF2mCXgZ3hqFA"",""REKAP ALL 2026 - Andika!G:G""),IMPORTRANGE(""1XaInW9DU9nz21V0tYIfzFQ0He9kVQ_JF2mCXgZ3hqFA"",""REKAP ALL 2026 - Andika!F:F""),"""",0)"),"26020763723")</f>
        <v>26020763723</v>
      </c>
      <c r="G3124" s="13" t="s">
        <v>57</v>
      </c>
      <c r="H3124" s="13" t="s">
        <v>35</v>
      </c>
      <c r="I3124" s="13" t="str">
        <f aca="false">IF(C3124=J3124,"NEW KONTRAK","RE-KONTRAK")</f>
        <v>NEW KONTRAK</v>
      </c>
      <c r="J3124" s="16" t="n">
        <f aca="false" t="array" ref="J3124:J3124">IFERROR(INDEX(AC3124:AE3124,IF(COUNTA(AC3124:AE3124)=0,"",MAX((AC3124:AE3124&lt;&gt;"")*(COLUMN(AC3124:AE3124)-(COLUMN(AC3124)))))-1),"")</f>
        <v>46031</v>
      </c>
      <c r="K3124" s="16" t="n">
        <f aca="false" t="array" ref="K3124:K3124">IFERROR(INDEX(AC3124:AE3124,IF(COUNTA(AC3124:AE3124)=0,"",MAX((AC3124:AE3124&lt;&gt;"")*(COLUMN(AC3124:AE3124)-(COLUMN(AC3124)-1))))-1),"")</f>
        <v>46120</v>
      </c>
      <c r="L3124" s="17" t="str">
        <f aca="false" t="array" ref="L3124:L3124">IFERROR(INDEX(AC3124:AE3124,IF(COUNTA(AC3124:AE3124)=0,"",MAX((AC3124:AE3124&lt;&gt;"")*(COLUMN(AC3124:AE3124)-(COLUMN(AC3124)-2))))-1),"")</f>
        <v>KEMBALI</v>
      </c>
      <c r="M3124" s="13" t="n">
        <f aca="true">K3124-TODAY()</f>
        <v>-204</v>
      </c>
      <c r="N3124" s="18" t="s">
        <v>36</v>
      </c>
      <c r="O3124" s="13" t="s">
        <v>4288</v>
      </c>
      <c r="P3124" s="27" t="n">
        <v>200000</v>
      </c>
      <c r="Q3124" s="47" t="s">
        <v>13035</v>
      </c>
      <c r="R3124" s="13" t="s">
        <v>255</v>
      </c>
      <c r="S3124" s="16" t="n">
        <v>34160</v>
      </c>
      <c r="T3124" s="28" t="s">
        <v>40</v>
      </c>
      <c r="U3124" s="13" t="s">
        <v>13036</v>
      </c>
      <c r="V3124" s="13" t="s">
        <v>42</v>
      </c>
      <c r="W3124" s="13" t="s">
        <v>54</v>
      </c>
      <c r="X3124" s="30" t="n">
        <v>89632595327</v>
      </c>
      <c r="Y3124" s="22" t="str">
        <f aca="false">O3124</f>
        <v>Operator Printing</v>
      </c>
      <c r="Z3124" s="13" t="str">
        <f aca="false">IFERROR(__xludf.dummyfunction("if(BJ3124="""","""",GOOGLETRANSLATE(BJ3124,""auto"",""en""))"),"Operator Printing")</f>
        <v>Operator Printing</v>
      </c>
      <c r="AA3124" s="23" t="str">
        <f aca="false">IF(C3124="","", CHOOSE(MONTH(C3124),"January","February","March","April","May","June","July","August","September","October","November","December")&amp;" "&amp;DAY(C3124)&amp;MID("thstndrdth",MIN(9,2*RIGHT(DAY(C3124))*(MOD(DAY(C3124)-11,100)&gt;2)+1),2)&amp;","&amp;TEXT(C3124," yyyy"))</f>
        <v>January 9th,2026</v>
      </c>
      <c r="AB3124" s="15" t="str">
        <f aca="true">IF(S3124="","",DATEDIF(S3124,TODAY(),"Y")&amp;" Tahun, "&amp;DATEDIF(S3124,TODAY(),"YM")&amp;" Bulan, "&amp;DATEDIF(S3124,TODAY(),"MD")&amp;" Hari")</f>
        <v>33 Tahun, 3 Bulan, 19 Hari</v>
      </c>
      <c r="AC3124" s="18" t="n">
        <v>46031</v>
      </c>
      <c r="AD3124" s="18" t="n">
        <f aca="false">EDATE(AC3124,3)-1</f>
        <v>46120</v>
      </c>
      <c r="AE3124" s="13" t="s">
        <v>397</v>
      </c>
    </row>
    <row r="3125" customFormat="false" ht="15" hidden="false" customHeight="true" outlineLevel="0" collapsed="false">
      <c r="A3125" s="12" t="n">
        <v>21714</v>
      </c>
      <c r="B3125" s="13" t="s">
        <v>13037</v>
      </c>
      <c r="C3125" s="16" t="n">
        <v>46043</v>
      </c>
      <c r="D3125" s="13" t="s">
        <v>755</v>
      </c>
      <c r="E3125" s="15" t="s">
        <v>47</v>
      </c>
      <c r="F3125" s="15" t="str">
        <f aca="false">IFERROR(__xludf.dummyfunction("XLOOKUP(AJ3125,IMPORTRANGE(""1XaInW9DU9nz21V0tYIfzFQ0He9kVQ_JF2mCXgZ3hqFA"",""REKAP ALL 2026 - Andika!G:G""),IMPORTRANGE(""1XaInW9DU9nz21V0tYIfzFQ0He9kVQ_JF2mCXgZ3hqFA"",""REKAP ALL 2026 - Andika!F:F""),"""",0)"),"26020805359")</f>
        <v>26020805359</v>
      </c>
      <c r="G3125" s="28" t="s">
        <v>57</v>
      </c>
      <c r="H3125" s="13" t="s">
        <v>3024</v>
      </c>
      <c r="I3125" s="13" t="str">
        <f aca="false">IF(C3125=J3125,"NEW KONTRAK","RE-KONTRAK")</f>
        <v>NEW KONTRAK</v>
      </c>
      <c r="J3125" s="16" t="n">
        <f aca="false" t="array" ref="J3125:J3125">IFERROR(INDEX(AC3125:AE3125,IF(COUNTA(AC3125:AE3125)=0,"",MAX((AC3125:AE3125&lt;&gt;"")*(COLUMN(AC3125:AE3125)-(COLUMN(AC3125)))))-1),"")</f>
        <v>46043</v>
      </c>
      <c r="K3125" s="16" t="n">
        <f aca="false" t="array" ref="K3125:K3125">IFERROR(INDEX(AC3125:AE3125,IF(COUNTA(AC3125:AE3125)=0,"",MAX((AC3125:AE3125&lt;&gt;"")*(COLUMN(AC3125:AE3125)-(COLUMN(AC3125)-1))))-1),"")</f>
        <v>46528</v>
      </c>
      <c r="L3125" s="17" t="str">
        <f aca="false" t="array" ref="L3125:L3125">IFERROR(INDEX(AC3125:AE3125,IF(COUNTA(AC3125:AE3125)=0,"",MAX((AC3125:AE3125&lt;&gt;"")*(COLUMN(AC3125:AE3125)-(COLUMN(AC3125)-2))))-1),"")</f>
        <v>KEMBALI</v>
      </c>
      <c r="M3125" s="13" t="n">
        <f aca="true">K3125-TODAY()</f>
        <v>204</v>
      </c>
      <c r="N3125" s="18" t="s">
        <v>105</v>
      </c>
      <c r="O3125" s="13" t="s">
        <v>757</v>
      </c>
      <c r="P3125" s="19" t="n">
        <v>5191541</v>
      </c>
      <c r="Q3125" s="47" t="s">
        <v>13038</v>
      </c>
      <c r="R3125" s="13" t="s">
        <v>7715</v>
      </c>
      <c r="S3125" s="16" t="n">
        <v>37285</v>
      </c>
      <c r="T3125" s="13" t="s">
        <v>40</v>
      </c>
      <c r="U3125" s="13" t="s">
        <v>13039</v>
      </c>
      <c r="V3125" s="13" t="s">
        <v>42</v>
      </c>
      <c r="W3125" s="13" t="s">
        <v>43</v>
      </c>
      <c r="X3125" s="21" t="n">
        <v>8970947112</v>
      </c>
      <c r="Y3125" s="22" t="str">
        <f aca="false">O3125</f>
        <v>Inputor</v>
      </c>
      <c r="Z3125" s="13" t="str">
        <f aca="false">IFERROR(__xludf.dummyfunction("if(BJ3125="""","""",GOOGLETRANSLATE(BJ3125,""auto"",""en""))"),"Inputor")</f>
        <v>Inputor</v>
      </c>
      <c r="AA3125" s="23" t="str">
        <f aca="false">IF(C3125="","", CHOOSE(MONTH(C3125),"January","February","March","April","May","June","July","August","September","October","November","December")&amp;" "&amp;DAY(C3125)&amp;MID("thstndrdth",MIN(9,2*RIGHT(DAY(C3125))*(MOD(DAY(C3125)-11,100)&gt;2)+1),2)&amp;","&amp;TEXT(C3125," yyyy"))</f>
        <v>January 21st,2026</v>
      </c>
      <c r="AB3125" s="15" t="str">
        <f aca="true">IF(S3125="","",DATEDIF(S3125,TODAY(),"Y")&amp;" Tahun, "&amp;DATEDIF(S3125,TODAY(),"YM")&amp;" Bulan, "&amp;DATEDIF(S3125,TODAY(),"MD")&amp;" Hari")</f>
        <v>24 Tahun, 9 Bulan, 0 Hari</v>
      </c>
      <c r="AC3125" s="18" t="n">
        <v>46043</v>
      </c>
      <c r="AD3125" s="18" t="n">
        <v>46528</v>
      </c>
      <c r="AE3125" s="13" t="s">
        <v>397</v>
      </c>
    </row>
    <row r="3126" customFormat="false" ht="15" hidden="false" customHeight="true" outlineLevel="0" collapsed="false">
      <c r="A3126" s="12" t="n">
        <v>21715</v>
      </c>
      <c r="B3126" s="13" t="s">
        <v>13040</v>
      </c>
      <c r="C3126" s="16" t="n">
        <v>46043</v>
      </c>
      <c r="D3126" s="13" t="s">
        <v>755</v>
      </c>
      <c r="E3126" s="15" t="s">
        <v>47</v>
      </c>
      <c r="F3126" s="15" t="str">
        <f aca="false">IFERROR(__xludf.dummyfunction("XLOOKUP(AJ3126,IMPORTRANGE(""1XaInW9DU9nz21V0tYIfzFQ0He9kVQ_JF2mCXgZ3hqFA"",""REKAP ALL 2026 - Andika!G:G""),IMPORTRANGE(""1XaInW9DU9nz21V0tYIfzFQ0He9kVQ_JF2mCXgZ3hqFA"",""REKAP ALL 2026 - Andika!F:F""),"""",0)"),"26020805367")</f>
        <v>26020805367</v>
      </c>
      <c r="G3126" s="28" t="s">
        <v>57</v>
      </c>
      <c r="H3126" s="13" t="s">
        <v>3024</v>
      </c>
      <c r="I3126" s="13" t="str">
        <f aca="false">IF(C3126=J3126,"NEW KONTRAK","RE-KONTRAK")</f>
        <v>NEW KONTRAK</v>
      </c>
      <c r="J3126" s="16" t="n">
        <f aca="false" t="array" ref="J3126:J3126">IFERROR(INDEX(AC3126:AE3126,IF(COUNTA(AC3126:AE3126)=0,"",MAX((AC3126:AE3126&lt;&gt;"")*(COLUMN(AC3126:AE3126)-(COLUMN(AC3126)))))-1),"")</f>
        <v>46043</v>
      </c>
      <c r="K3126" s="16" t="n">
        <f aca="false" t="array" ref="K3126:K3126">IFERROR(INDEX(AC3126:AE3126,IF(COUNTA(AC3126:AE3126)=0,"",MAX((AC3126:AE3126&lt;&gt;"")*(COLUMN(AC3126:AE3126)-(COLUMN(AC3126)-1))))-1),"")</f>
        <v>46528</v>
      </c>
      <c r="L3126" s="17" t="str">
        <f aca="false" t="array" ref="L3126:L3126">IFERROR(INDEX(AC3126:AE3126,IF(COUNTA(AC3126:AE3126)=0,"",MAX((AC3126:AE3126&lt;&gt;"")*(COLUMN(AC3126:AE3126)-(COLUMN(AC3126)-2))))-1),"")</f>
        <v>KEMBALI</v>
      </c>
      <c r="M3126" s="13" t="n">
        <f aca="true">K3126-TODAY()</f>
        <v>204</v>
      </c>
      <c r="N3126" s="18" t="s">
        <v>105</v>
      </c>
      <c r="O3126" s="13" t="s">
        <v>757</v>
      </c>
      <c r="P3126" s="19" t="n">
        <v>5191541</v>
      </c>
      <c r="Q3126" s="47" t="s">
        <v>13041</v>
      </c>
      <c r="R3126" s="13" t="s">
        <v>735</v>
      </c>
      <c r="S3126" s="16" t="n">
        <v>37303</v>
      </c>
      <c r="T3126" s="13" t="s">
        <v>40</v>
      </c>
      <c r="U3126" s="13" t="s">
        <v>13042</v>
      </c>
      <c r="V3126" s="13" t="s">
        <v>42</v>
      </c>
      <c r="W3126" s="13" t="s">
        <v>43</v>
      </c>
      <c r="X3126" s="21" t="n">
        <v>85738537017</v>
      </c>
      <c r="Y3126" s="22" t="str">
        <f aca="false">O3126</f>
        <v>Inputor</v>
      </c>
      <c r="Z3126" s="13" t="str">
        <f aca="false">IFERROR(__xludf.dummyfunction("if(BJ3126="""","""",GOOGLETRANSLATE(BJ3126,""auto"",""en""))"),"Inputor")</f>
        <v>Inputor</v>
      </c>
      <c r="AA3126" s="23" t="str">
        <f aca="false">IF(C3126="","", CHOOSE(MONTH(C3126),"January","February","March","April","May","June","July","August","September","October","November","December")&amp;" "&amp;DAY(C3126)&amp;MID("thstndrdth",MIN(9,2*RIGHT(DAY(C3126))*(MOD(DAY(C3126)-11,100)&gt;2)+1),2)&amp;","&amp;TEXT(C3126," yyyy"))</f>
        <v>January 21st,2026</v>
      </c>
      <c r="AB3126" s="15" t="str">
        <f aca="true">IF(S3126="","",DATEDIF(S3126,TODAY(),"Y")&amp;" Tahun, "&amp;DATEDIF(S3126,TODAY(),"YM")&amp;" Bulan, "&amp;DATEDIF(S3126,TODAY(),"MD")&amp;" Hari")</f>
        <v>24 Tahun, 8 Bulan, 13 Hari</v>
      </c>
      <c r="AC3126" s="18" t="n">
        <v>46043</v>
      </c>
      <c r="AD3126" s="18" t="n">
        <v>46528</v>
      </c>
      <c r="AE3126" s="13" t="s">
        <v>397</v>
      </c>
    </row>
    <row r="3127" customFormat="false" ht="15" hidden="false" customHeight="true" outlineLevel="0" collapsed="false">
      <c r="A3127" s="12" t="n">
        <v>21716</v>
      </c>
      <c r="B3127" s="13" t="s">
        <v>13043</v>
      </c>
      <c r="C3127" s="16" t="n">
        <v>46043</v>
      </c>
      <c r="D3127" s="13" t="s">
        <v>755</v>
      </c>
      <c r="E3127" s="15" t="s">
        <v>47</v>
      </c>
      <c r="F3127" s="15" t="str">
        <f aca="false">IFERROR(__xludf.dummyfunction("XLOOKUP(AJ3127,IMPORTRANGE(""1XaInW9DU9nz21V0tYIfzFQ0He9kVQ_JF2mCXgZ3hqFA"",""REKAP ALL 2026 - Andika!G:G""),IMPORTRANGE(""1XaInW9DU9nz21V0tYIfzFQ0He9kVQ_JF2mCXgZ3hqFA"",""REKAP ALL 2026 - Andika!F:F""),"""",0)"),"26020805375")</f>
        <v>26020805375</v>
      </c>
      <c r="G3127" s="28" t="s">
        <v>57</v>
      </c>
      <c r="H3127" s="13" t="s">
        <v>3024</v>
      </c>
      <c r="I3127" s="13" t="str">
        <f aca="false">IF(C3127=J3127,"NEW KONTRAK","RE-KONTRAK")</f>
        <v>NEW KONTRAK</v>
      </c>
      <c r="J3127" s="16" t="n">
        <f aca="false" t="array" ref="J3127:J3127">IFERROR(INDEX(AC3127:AE3127,IF(COUNTA(AC3127:AE3127)=0,"",MAX((AC3127:AE3127&lt;&gt;"")*(COLUMN(AC3127:AE3127)-(COLUMN(AC3127)))))-1),"")</f>
        <v>46043</v>
      </c>
      <c r="K3127" s="16" t="n">
        <f aca="false" t="array" ref="K3127:K3127">IFERROR(INDEX(AC3127:AE3127,IF(COUNTA(AC3127:AE3127)=0,"",MAX((AC3127:AE3127&lt;&gt;"")*(COLUMN(AC3127:AE3127)-(COLUMN(AC3127)-1))))-1),"")</f>
        <v>46528</v>
      </c>
      <c r="L3127" s="17" t="str">
        <f aca="false" t="array" ref="L3127:L3127">IFERROR(INDEX(AC3127:AE3127,IF(COUNTA(AC3127:AE3127)=0,"",MAX((AC3127:AE3127&lt;&gt;"")*(COLUMN(AC3127:AE3127)-(COLUMN(AC3127)-2))))-1),"")</f>
        <v>KEMBALI</v>
      </c>
      <c r="M3127" s="13" t="n">
        <f aca="true">K3127-TODAY()</f>
        <v>204</v>
      </c>
      <c r="N3127" s="18" t="s">
        <v>105</v>
      </c>
      <c r="O3127" s="13" t="s">
        <v>757</v>
      </c>
      <c r="P3127" s="19" t="n">
        <v>5191541</v>
      </c>
      <c r="Q3127" s="47" t="s">
        <v>13044</v>
      </c>
      <c r="R3127" s="13" t="s">
        <v>735</v>
      </c>
      <c r="S3127" s="16" t="n">
        <v>38266</v>
      </c>
      <c r="T3127" s="13" t="s">
        <v>108</v>
      </c>
      <c r="U3127" s="13" t="s">
        <v>13045</v>
      </c>
      <c r="V3127" s="13" t="s">
        <v>42</v>
      </c>
      <c r="W3127" s="13" t="s">
        <v>43</v>
      </c>
      <c r="X3127" s="21" t="n">
        <v>895387744640</v>
      </c>
      <c r="Y3127" s="22" t="str">
        <f aca="false">O3127</f>
        <v>Inputor</v>
      </c>
      <c r="Z3127" s="13" t="str">
        <f aca="false">IFERROR(__xludf.dummyfunction("if(BJ3127="""","""",GOOGLETRANSLATE(BJ3127,""auto"",""en""))"),"Inputor")</f>
        <v>Inputor</v>
      </c>
      <c r="AA3127" s="23" t="str">
        <f aca="false">IF(C3127="","", CHOOSE(MONTH(C3127),"January","February","March","April","May","June","July","August","September","October","November","December")&amp;" "&amp;DAY(C3127)&amp;MID("thstndrdth",MIN(9,2*RIGHT(DAY(C3127))*(MOD(DAY(C3127)-11,100)&gt;2)+1),2)&amp;","&amp;TEXT(C3127," yyyy"))</f>
        <v>January 21st,2026</v>
      </c>
      <c r="AB3127" s="15" t="str">
        <f aca="true">IF(S3127="","",DATEDIF(S3127,TODAY(),"Y")&amp;" Tahun, "&amp;DATEDIF(S3127,TODAY(),"YM")&amp;" Bulan, "&amp;DATEDIF(S3127,TODAY(),"MD")&amp;" Hari")</f>
        <v>22 Tahun, 0 Bulan, 23 Hari</v>
      </c>
      <c r="AC3127" s="18" t="n">
        <v>46043</v>
      </c>
      <c r="AD3127" s="18" t="n">
        <v>46528</v>
      </c>
      <c r="AE3127" s="13" t="s">
        <v>397</v>
      </c>
    </row>
    <row r="3128" customFormat="false" ht="15" hidden="false" customHeight="true" outlineLevel="0" collapsed="false">
      <c r="A3128" s="12" t="n">
        <v>21717</v>
      </c>
      <c r="B3128" s="13" t="s">
        <v>13046</v>
      </c>
      <c r="C3128" s="16" t="n">
        <v>46043</v>
      </c>
      <c r="D3128" s="13" t="s">
        <v>755</v>
      </c>
      <c r="E3128" s="15" t="s">
        <v>47</v>
      </c>
      <c r="F3128" s="15" t="str">
        <f aca="false">IFERROR(__xludf.dummyfunction("XLOOKUP(AJ3128,IMPORTRANGE(""1XaInW9DU9nz21V0tYIfzFQ0He9kVQ_JF2mCXgZ3hqFA"",""REKAP ALL 2026 - Andika!G:G""),IMPORTRANGE(""1XaInW9DU9nz21V0tYIfzFQ0He9kVQ_JF2mCXgZ3hqFA"",""REKAP ALL 2026 - Andika!F:F""),"""",0)"),"26020805383")</f>
        <v>26020805383</v>
      </c>
      <c r="G3128" s="28" t="s">
        <v>57</v>
      </c>
      <c r="H3128" s="13" t="s">
        <v>3024</v>
      </c>
      <c r="I3128" s="13" t="str">
        <f aca="false">IF(C3128=J3128,"NEW KONTRAK","RE-KONTRAK")</f>
        <v>NEW KONTRAK</v>
      </c>
      <c r="J3128" s="16" t="n">
        <f aca="false" t="array" ref="J3128:J3128">IFERROR(INDEX(AC3128:AE3128,IF(COUNTA(AC3128:AE3128)=0,"",MAX((AC3128:AE3128&lt;&gt;"")*(COLUMN(AC3128:AE3128)-(COLUMN(AC3128)))))-1),"")</f>
        <v>46043</v>
      </c>
      <c r="K3128" s="16" t="n">
        <f aca="false" t="array" ref="K3128:K3128">IFERROR(INDEX(AC3128:AE3128,IF(COUNTA(AC3128:AE3128)=0,"",MAX((AC3128:AE3128&lt;&gt;"")*(COLUMN(AC3128:AE3128)-(COLUMN(AC3128)-1))))-1),"")</f>
        <v>46528</v>
      </c>
      <c r="L3128" s="17" t="str">
        <f aca="false" t="array" ref="L3128:L3128">IFERROR(INDEX(AC3128:AE3128,IF(COUNTA(AC3128:AE3128)=0,"",MAX((AC3128:AE3128&lt;&gt;"")*(COLUMN(AC3128:AE3128)-(COLUMN(AC3128)-2))))-1),"")</f>
        <v>KEMBALI</v>
      </c>
      <c r="M3128" s="13" t="n">
        <f aca="true">K3128-TODAY()</f>
        <v>204</v>
      </c>
      <c r="N3128" s="18" t="s">
        <v>105</v>
      </c>
      <c r="O3128" s="13" t="s">
        <v>757</v>
      </c>
      <c r="P3128" s="19" t="n">
        <v>5191541</v>
      </c>
      <c r="Q3128" s="47" t="s">
        <v>13047</v>
      </c>
      <c r="R3128" s="13" t="s">
        <v>39</v>
      </c>
      <c r="S3128" s="16" t="n">
        <v>37198</v>
      </c>
      <c r="T3128" s="13" t="s">
        <v>108</v>
      </c>
      <c r="U3128" s="13" t="s">
        <v>13048</v>
      </c>
      <c r="V3128" s="13" t="s">
        <v>42</v>
      </c>
      <c r="W3128" s="13" t="s">
        <v>43</v>
      </c>
      <c r="X3128" s="21" t="n">
        <v>89687796503</v>
      </c>
      <c r="Y3128" s="22" t="str">
        <f aca="false">O3128</f>
        <v>Inputor</v>
      </c>
      <c r="Z3128" s="13" t="str">
        <f aca="false">IFERROR(__xludf.dummyfunction("if(BJ3128="""","""",GOOGLETRANSLATE(BJ3128,""auto"",""en""))"),"Inputor")</f>
        <v>Inputor</v>
      </c>
      <c r="AA3128" s="23" t="str">
        <f aca="false">IF(C3128="","", CHOOSE(MONTH(C3128),"January","February","March","April","May","June","July","August","September","October","November","December")&amp;" "&amp;DAY(C3128)&amp;MID("thstndrdth",MIN(9,2*RIGHT(DAY(C3128))*(MOD(DAY(C3128)-11,100)&gt;2)+1),2)&amp;","&amp;TEXT(C3128," yyyy"))</f>
        <v>January 21st,2026</v>
      </c>
      <c r="AB3128" s="15" t="str">
        <f aca="true">IF(S3128="","",DATEDIF(S3128,TODAY(),"Y")&amp;" Tahun, "&amp;DATEDIF(S3128,TODAY(),"YM")&amp;" Bulan, "&amp;DATEDIF(S3128,TODAY(),"MD")&amp;" Hari")</f>
        <v>24 Tahun, 11 Bulan, 26 Hari</v>
      </c>
      <c r="AC3128" s="18" t="n">
        <v>46043</v>
      </c>
      <c r="AD3128" s="18" t="n">
        <v>46528</v>
      </c>
      <c r="AE3128" s="13" t="s">
        <v>397</v>
      </c>
    </row>
    <row r="3129" customFormat="false" ht="15" hidden="false" customHeight="true" outlineLevel="0" collapsed="false">
      <c r="A3129" s="12" t="n">
        <v>21718</v>
      </c>
      <c r="B3129" s="13" t="s">
        <v>13049</v>
      </c>
      <c r="C3129" s="16" t="n">
        <v>46043</v>
      </c>
      <c r="D3129" s="13" t="s">
        <v>755</v>
      </c>
      <c r="E3129" s="15" t="s">
        <v>47</v>
      </c>
      <c r="F3129" s="15" t="str">
        <f aca="false">IFERROR(__xludf.dummyfunction("XLOOKUP(AJ3129,IMPORTRANGE(""1XaInW9DU9nz21V0tYIfzFQ0He9kVQ_JF2mCXgZ3hqFA"",""REKAP ALL 2026 - Andika!G:G""),IMPORTRANGE(""1XaInW9DU9nz21V0tYIfzFQ0He9kVQ_JF2mCXgZ3hqFA"",""REKAP ALL 2026 - Andika!F:F""),"""",0)"),"26020805391")</f>
        <v>26020805391</v>
      </c>
      <c r="G3129" s="28" t="s">
        <v>57</v>
      </c>
      <c r="H3129" s="13" t="s">
        <v>3024</v>
      </c>
      <c r="I3129" s="13" t="str">
        <f aca="false">IF(C3129=J3129,"NEW KONTRAK","RE-KONTRAK")</f>
        <v>NEW KONTRAK</v>
      </c>
      <c r="J3129" s="16" t="n">
        <f aca="false" t="array" ref="J3129:J3129">IFERROR(INDEX(AC3129:AE3129,IF(COUNTA(AC3129:AE3129)=0,"",MAX((AC3129:AE3129&lt;&gt;"")*(COLUMN(AC3129:AE3129)-(COLUMN(AC3129)))))-1),"")</f>
        <v>46043</v>
      </c>
      <c r="K3129" s="16" t="n">
        <f aca="false" t="array" ref="K3129:K3129">IFERROR(INDEX(AC3129:AE3129,IF(COUNTA(AC3129:AE3129)=0,"",MAX((AC3129:AE3129&lt;&gt;"")*(COLUMN(AC3129:AE3129)-(COLUMN(AC3129)-1))))-1),"")</f>
        <v>46528</v>
      </c>
      <c r="L3129" s="17" t="str">
        <f aca="false" t="array" ref="L3129:L3129">IFERROR(INDEX(AC3129:AE3129,IF(COUNTA(AC3129:AE3129)=0,"",MAX((AC3129:AE3129&lt;&gt;"")*(COLUMN(AC3129:AE3129)-(COLUMN(AC3129)-2))))-1),"")</f>
        <v>KEMBALI</v>
      </c>
      <c r="M3129" s="13" t="n">
        <f aca="true">K3129-TODAY()</f>
        <v>204</v>
      </c>
      <c r="N3129" s="18" t="s">
        <v>105</v>
      </c>
      <c r="O3129" s="13" t="s">
        <v>757</v>
      </c>
      <c r="P3129" s="19" t="n">
        <v>5191541</v>
      </c>
      <c r="Q3129" s="47" t="s">
        <v>13050</v>
      </c>
      <c r="R3129" s="13" t="s">
        <v>39</v>
      </c>
      <c r="S3129" s="16" t="n">
        <v>38385</v>
      </c>
      <c r="T3129" s="13" t="s">
        <v>40</v>
      </c>
      <c r="U3129" s="13" t="s">
        <v>13051</v>
      </c>
      <c r="V3129" s="13" t="s">
        <v>42</v>
      </c>
      <c r="W3129" s="13" t="s">
        <v>43</v>
      </c>
      <c r="X3129" s="21" t="n">
        <v>85755738684</v>
      </c>
      <c r="Y3129" s="22" t="str">
        <f aca="false">O3129</f>
        <v>Inputor</v>
      </c>
      <c r="Z3129" s="13" t="str">
        <f aca="false">IFERROR(__xludf.dummyfunction("if(BJ3129="""","""",GOOGLETRANSLATE(BJ3129,""auto"",""en""))"),"Inputor")</f>
        <v>Inputor</v>
      </c>
      <c r="AA3129" s="23" t="str">
        <f aca="false">IF(C3129="","", CHOOSE(MONTH(C3129),"January","February","March","April","May","June","July","August","September","October","November","December")&amp;" "&amp;DAY(C3129)&amp;MID("thstndrdth",MIN(9,2*RIGHT(DAY(C3129))*(MOD(DAY(C3129)-11,100)&gt;2)+1),2)&amp;","&amp;TEXT(C3129," yyyy"))</f>
        <v>January 21st,2026</v>
      </c>
      <c r="AB3129" s="15" t="str">
        <f aca="true">IF(S3129="","",DATEDIF(S3129,TODAY(),"Y")&amp;" Tahun, "&amp;DATEDIF(S3129,TODAY(),"YM")&amp;" Bulan, "&amp;DATEDIF(S3129,TODAY(),"MD")&amp;" Hari")</f>
        <v>21 Tahun, 8 Bulan, 27 Hari</v>
      </c>
      <c r="AC3129" s="18" t="n">
        <v>46043</v>
      </c>
      <c r="AD3129" s="18" t="n">
        <v>46528</v>
      </c>
      <c r="AE3129" s="13" t="s">
        <v>397</v>
      </c>
    </row>
    <row r="3130" customFormat="false" ht="15" hidden="false" customHeight="true" outlineLevel="0" collapsed="false">
      <c r="A3130" s="12" t="n">
        <v>21719</v>
      </c>
      <c r="B3130" s="13" t="s">
        <v>13052</v>
      </c>
      <c r="C3130" s="16" t="n">
        <v>46043</v>
      </c>
      <c r="D3130" s="13" t="s">
        <v>755</v>
      </c>
      <c r="E3130" s="15" t="s">
        <v>47</v>
      </c>
      <c r="F3130" s="15" t="str">
        <f aca="false">IFERROR(__xludf.dummyfunction("XLOOKUP(AJ3130,IMPORTRANGE(""1XaInW9DU9nz21V0tYIfzFQ0He9kVQ_JF2mCXgZ3hqFA"",""REKAP ALL 2026 - Andika!G:G""),IMPORTRANGE(""1XaInW9DU9nz21V0tYIfzFQ0He9kVQ_JF2mCXgZ3hqFA"",""REKAP ALL 2026 - Andika!F:F""),"""",0)"),"26020805409")</f>
        <v>26020805409</v>
      </c>
      <c r="G3130" s="28" t="s">
        <v>57</v>
      </c>
      <c r="H3130" s="13" t="s">
        <v>3024</v>
      </c>
      <c r="I3130" s="13" t="str">
        <f aca="false">IF(C3130=J3130,"NEW KONTRAK","RE-KONTRAK")</f>
        <v>NEW KONTRAK</v>
      </c>
      <c r="J3130" s="16" t="n">
        <f aca="false" t="array" ref="J3130:J3130">IFERROR(INDEX(AC3130:AE3130,IF(COUNTA(AC3130:AE3130)=0,"",MAX((AC3130:AE3130&lt;&gt;"")*(COLUMN(AC3130:AE3130)-(COLUMN(AC3130)))))-1),"")</f>
        <v>46043</v>
      </c>
      <c r="K3130" s="16" t="n">
        <f aca="false" t="array" ref="K3130:K3130">IFERROR(INDEX(AC3130:AE3130,IF(COUNTA(AC3130:AE3130)=0,"",MAX((AC3130:AE3130&lt;&gt;"")*(COLUMN(AC3130:AE3130)-(COLUMN(AC3130)-1))))-1),"")</f>
        <v>46528</v>
      </c>
      <c r="L3130" s="17" t="str">
        <f aca="false" t="array" ref="L3130:L3130">IFERROR(INDEX(AC3130:AE3130,IF(COUNTA(AC3130:AE3130)=0,"",MAX((AC3130:AE3130&lt;&gt;"")*(COLUMN(AC3130:AE3130)-(COLUMN(AC3130)-2))))-1),"")</f>
        <v>KEMBALI</v>
      </c>
      <c r="M3130" s="13" t="n">
        <f aca="true">K3130-TODAY()</f>
        <v>204</v>
      </c>
      <c r="N3130" s="18" t="s">
        <v>105</v>
      </c>
      <c r="O3130" s="13" t="s">
        <v>757</v>
      </c>
      <c r="P3130" s="19" t="n">
        <v>5191541</v>
      </c>
      <c r="Q3130" s="47" t="s">
        <v>13053</v>
      </c>
      <c r="R3130" s="13" t="s">
        <v>39</v>
      </c>
      <c r="S3130" s="16" t="n">
        <v>37066</v>
      </c>
      <c r="T3130" s="13" t="s">
        <v>40</v>
      </c>
      <c r="U3130" s="13" t="s">
        <v>13054</v>
      </c>
      <c r="V3130" s="13" t="s">
        <v>42</v>
      </c>
      <c r="W3130" s="13" t="s">
        <v>43</v>
      </c>
      <c r="X3130" s="21" t="n">
        <v>8997362092</v>
      </c>
      <c r="Y3130" s="22" t="str">
        <f aca="false">O3130</f>
        <v>Inputor</v>
      </c>
      <c r="Z3130" s="13" t="str">
        <f aca="false">IFERROR(__xludf.dummyfunction("if(BJ3130="""","""",GOOGLETRANSLATE(BJ3130,""auto"",""en""))"),"Inputor")</f>
        <v>Inputor</v>
      </c>
      <c r="AA3130" s="23" t="str">
        <f aca="false">IF(C3130="","", CHOOSE(MONTH(C3130),"January","February","March","April","May","June","July","August","September","October","November","December")&amp;" "&amp;DAY(C3130)&amp;MID("thstndrdth",MIN(9,2*RIGHT(DAY(C3130))*(MOD(DAY(C3130)-11,100)&gt;2)+1),2)&amp;","&amp;TEXT(C3130," yyyy"))</f>
        <v>January 21st,2026</v>
      </c>
      <c r="AB3130" s="15" t="str">
        <f aca="true">IF(S3130="","",DATEDIF(S3130,TODAY(),"Y")&amp;" Tahun, "&amp;DATEDIF(S3130,TODAY(),"YM")&amp;" Bulan, "&amp;DATEDIF(S3130,TODAY(),"MD")&amp;" Hari")</f>
        <v>25 Tahun, 4 Bulan, 5 Hari</v>
      </c>
      <c r="AC3130" s="18" t="n">
        <v>46043</v>
      </c>
      <c r="AD3130" s="18" t="n">
        <v>46528</v>
      </c>
      <c r="AE3130" s="13" t="s">
        <v>397</v>
      </c>
    </row>
    <row r="3131" customFormat="false" ht="15" hidden="false" customHeight="true" outlineLevel="0" collapsed="false">
      <c r="A3131" s="12" t="n">
        <v>21720</v>
      </c>
      <c r="B3131" s="13" t="s">
        <v>13055</v>
      </c>
      <c r="C3131" s="16" t="n">
        <v>46043</v>
      </c>
      <c r="D3131" s="13" t="s">
        <v>755</v>
      </c>
      <c r="E3131" s="15" t="s">
        <v>47</v>
      </c>
      <c r="F3131" s="15" t="str">
        <f aca="false">IFERROR(__xludf.dummyfunction("XLOOKUP(AJ3131,IMPORTRANGE(""1XaInW9DU9nz21V0tYIfzFQ0He9kVQ_JF2mCXgZ3hqFA"",""REKAP ALL 2026 - Andika!G:G""),IMPORTRANGE(""1XaInW9DU9nz21V0tYIfzFQ0He9kVQ_JF2mCXgZ3hqFA"",""REKAP ALL 2026 - Andika!F:F""),"""",0)"),"26020805417")</f>
        <v>26020805417</v>
      </c>
      <c r="G3131" s="28" t="s">
        <v>57</v>
      </c>
      <c r="H3131" s="13" t="s">
        <v>3024</v>
      </c>
      <c r="I3131" s="13" t="str">
        <f aca="false">IF(C3131=J3131,"NEW KONTRAK","RE-KONTRAK")</f>
        <v>NEW KONTRAK</v>
      </c>
      <c r="J3131" s="16" t="n">
        <f aca="false" t="array" ref="J3131:J3131">IFERROR(INDEX(AC3131:AE3131,IF(COUNTA(AC3131:AE3131)=0,"",MAX((AC3131:AE3131&lt;&gt;"")*(COLUMN(AC3131:AE3131)-(COLUMN(AC3131)))))-1),"")</f>
        <v>46043</v>
      </c>
      <c r="K3131" s="16" t="n">
        <f aca="false" t="array" ref="K3131:K3131">IFERROR(INDEX(AC3131:AE3131,IF(COUNTA(AC3131:AE3131)=0,"",MAX((AC3131:AE3131&lt;&gt;"")*(COLUMN(AC3131:AE3131)-(COLUMN(AC3131)-1))))-1),"")</f>
        <v>46528</v>
      </c>
      <c r="L3131" s="17" t="str">
        <f aca="false" t="array" ref="L3131:L3131">IFERROR(INDEX(AC3131:AE3131,IF(COUNTA(AC3131:AE3131)=0,"",MAX((AC3131:AE3131&lt;&gt;"")*(COLUMN(AC3131:AE3131)-(COLUMN(AC3131)-2))))-1),"")</f>
        <v>KEMBALI</v>
      </c>
      <c r="M3131" s="13" t="n">
        <f aca="true">K3131-TODAY()</f>
        <v>204</v>
      </c>
      <c r="N3131" s="18" t="s">
        <v>105</v>
      </c>
      <c r="O3131" s="13" t="s">
        <v>757</v>
      </c>
      <c r="P3131" s="19" t="n">
        <v>5191541</v>
      </c>
      <c r="Q3131" s="47" t="s">
        <v>13056</v>
      </c>
      <c r="R3131" s="13" t="s">
        <v>39</v>
      </c>
      <c r="S3131" s="16" t="n">
        <v>37191</v>
      </c>
      <c r="T3131" s="13" t="s">
        <v>40</v>
      </c>
      <c r="U3131" s="13" t="s">
        <v>13057</v>
      </c>
      <c r="V3131" s="13" t="s">
        <v>42</v>
      </c>
      <c r="W3131" s="13" t="s">
        <v>43</v>
      </c>
      <c r="X3131" s="21" t="n">
        <v>82234430002</v>
      </c>
      <c r="Y3131" s="22" t="str">
        <f aca="false">O3131</f>
        <v>Inputor</v>
      </c>
      <c r="Z3131" s="13" t="str">
        <f aca="false">IFERROR(__xludf.dummyfunction("if(BJ3131="""","""",GOOGLETRANSLATE(BJ3131,""auto"",""en""))"),"Inputor")</f>
        <v>Inputor</v>
      </c>
      <c r="AA3131" s="23" t="str">
        <f aca="false">IF(C3131="","", CHOOSE(MONTH(C3131),"January","February","March","April","May","June","July","August","September","October","November","December")&amp;" "&amp;DAY(C3131)&amp;MID("thstndrdth",MIN(9,2*RIGHT(DAY(C3131))*(MOD(DAY(C3131)-11,100)&gt;2)+1),2)&amp;","&amp;TEXT(C3131," yyyy"))</f>
        <v>January 21st,2026</v>
      </c>
      <c r="AB3131" s="15" t="str">
        <f aca="true">IF(S3131="","",DATEDIF(S3131,TODAY(),"Y")&amp;" Tahun, "&amp;DATEDIF(S3131,TODAY(),"YM")&amp;" Bulan, "&amp;DATEDIF(S3131,TODAY(),"MD")&amp;" Hari")</f>
        <v>25 Tahun, 0 Bulan, 2 Hari</v>
      </c>
      <c r="AC3131" s="18" t="n">
        <v>46043</v>
      </c>
      <c r="AD3131" s="18" t="n">
        <v>46528</v>
      </c>
      <c r="AE3131" s="13" t="s">
        <v>397</v>
      </c>
    </row>
    <row r="3132" customFormat="false" ht="15" hidden="false" customHeight="true" outlineLevel="0" collapsed="false">
      <c r="A3132" s="12" t="n">
        <v>21721</v>
      </c>
      <c r="B3132" s="13" t="s">
        <v>13058</v>
      </c>
      <c r="C3132" s="16" t="n">
        <v>46043</v>
      </c>
      <c r="D3132" s="13" t="s">
        <v>755</v>
      </c>
      <c r="E3132" s="15" t="s">
        <v>47</v>
      </c>
      <c r="F3132" s="15" t="str">
        <f aca="false">IFERROR(__xludf.dummyfunction("XLOOKUP(AJ3132,IMPORTRANGE(""1XaInW9DU9nz21V0tYIfzFQ0He9kVQ_JF2mCXgZ3hqFA"",""REKAP ALL 2026 - Andika!G:G""),IMPORTRANGE(""1XaInW9DU9nz21V0tYIfzFQ0He9kVQ_JF2mCXgZ3hqFA"",""REKAP ALL 2026 - Andika!F:F""),"""",0)"),"26020805425")</f>
        <v>26020805425</v>
      </c>
      <c r="G3132" s="28" t="s">
        <v>57</v>
      </c>
      <c r="H3132" s="13" t="s">
        <v>3024</v>
      </c>
      <c r="I3132" s="13" t="str">
        <f aca="false">IF(C3132=J3132,"NEW KONTRAK","RE-KONTRAK")</f>
        <v>NEW KONTRAK</v>
      </c>
      <c r="J3132" s="16" t="n">
        <f aca="false" t="array" ref="J3132:J3132">IFERROR(INDEX(AC3132:AE3132,IF(COUNTA(AC3132:AE3132)=0,"",MAX((AC3132:AE3132&lt;&gt;"")*(COLUMN(AC3132:AE3132)-(COLUMN(AC3132)))))-1),"")</f>
        <v>46043</v>
      </c>
      <c r="K3132" s="16" t="n">
        <f aca="false" t="array" ref="K3132:K3132">IFERROR(INDEX(AC3132:AE3132,IF(COUNTA(AC3132:AE3132)=0,"",MAX((AC3132:AE3132&lt;&gt;"")*(COLUMN(AC3132:AE3132)-(COLUMN(AC3132)-1))))-1),"")</f>
        <v>46528</v>
      </c>
      <c r="L3132" s="17" t="str">
        <f aca="false" t="array" ref="L3132:L3132">IFERROR(INDEX(AC3132:AE3132,IF(COUNTA(AC3132:AE3132)=0,"",MAX((AC3132:AE3132&lt;&gt;"")*(COLUMN(AC3132:AE3132)-(COLUMN(AC3132)-2))))-1),"")</f>
        <v>KEMBALI</v>
      </c>
      <c r="M3132" s="13" t="n">
        <f aca="true">K3132-TODAY()</f>
        <v>204</v>
      </c>
      <c r="N3132" s="18" t="s">
        <v>105</v>
      </c>
      <c r="O3132" s="13" t="s">
        <v>757</v>
      </c>
      <c r="P3132" s="19" t="n">
        <v>5191541</v>
      </c>
      <c r="Q3132" s="47" t="s">
        <v>13059</v>
      </c>
      <c r="R3132" s="13" t="s">
        <v>39</v>
      </c>
      <c r="S3132" s="16" t="n">
        <v>36996</v>
      </c>
      <c r="T3132" s="13" t="s">
        <v>40</v>
      </c>
      <c r="U3132" s="13" t="s">
        <v>13060</v>
      </c>
      <c r="V3132" s="13" t="s">
        <v>42</v>
      </c>
      <c r="W3132" s="13" t="s">
        <v>54</v>
      </c>
      <c r="X3132" s="21" t="n">
        <v>87865461568</v>
      </c>
      <c r="Y3132" s="22" t="str">
        <f aca="false">O3132</f>
        <v>Inputor</v>
      </c>
      <c r="Z3132" s="13" t="str">
        <f aca="false">IFERROR(__xludf.dummyfunction("if(BJ3132="""","""",GOOGLETRANSLATE(BJ3132,""auto"",""en""))"),"Inputor")</f>
        <v>Inputor</v>
      </c>
      <c r="AA3132" s="23" t="str">
        <f aca="false">IF(C3132="","", CHOOSE(MONTH(C3132),"January","February","March","April","May","June","July","August","September","October","November","December")&amp;" "&amp;DAY(C3132)&amp;MID("thstndrdth",MIN(9,2*RIGHT(DAY(C3132))*(MOD(DAY(C3132)-11,100)&gt;2)+1),2)&amp;","&amp;TEXT(C3132," yyyy"))</f>
        <v>January 21st,2026</v>
      </c>
      <c r="AB3132" s="15" t="str">
        <f aca="true">IF(S3132="","",DATEDIF(S3132,TODAY(),"Y")&amp;" Tahun, "&amp;DATEDIF(S3132,TODAY(),"YM")&amp;" Bulan, "&amp;DATEDIF(S3132,TODAY(),"MD")&amp;" Hari")</f>
        <v>25 Tahun, 6 Bulan, 14 Hari</v>
      </c>
      <c r="AC3132" s="18" t="n">
        <v>46043</v>
      </c>
      <c r="AD3132" s="18" t="n">
        <v>46528</v>
      </c>
      <c r="AE3132" s="13" t="s">
        <v>397</v>
      </c>
    </row>
    <row r="3133" customFormat="false" ht="15" hidden="false" customHeight="true" outlineLevel="0" collapsed="false">
      <c r="A3133" s="12" t="n">
        <v>21722</v>
      </c>
      <c r="B3133" s="13" t="s">
        <v>13061</v>
      </c>
      <c r="C3133" s="16" t="n">
        <v>46043</v>
      </c>
      <c r="D3133" s="13" t="s">
        <v>755</v>
      </c>
      <c r="E3133" s="15" t="s">
        <v>47</v>
      </c>
      <c r="F3133" s="15" t="str">
        <f aca="false">IFERROR(__xludf.dummyfunction("XLOOKUP(AJ3133,IMPORTRANGE(""1XaInW9DU9nz21V0tYIfzFQ0He9kVQ_JF2mCXgZ3hqFA"",""REKAP ALL 2026 - Andika!G:G""),IMPORTRANGE(""1XaInW9DU9nz21V0tYIfzFQ0He9kVQ_JF2mCXgZ3hqFA"",""REKAP ALL 2026 - Andika!F:F""),"""",0)"),"26020805433")</f>
        <v>26020805433</v>
      </c>
      <c r="G3133" s="28" t="s">
        <v>57</v>
      </c>
      <c r="H3133" s="13" t="s">
        <v>3024</v>
      </c>
      <c r="I3133" s="13" t="str">
        <f aca="false">IF(C3133=J3133,"NEW KONTRAK","RE-KONTRAK")</f>
        <v>NEW KONTRAK</v>
      </c>
      <c r="J3133" s="16" t="n">
        <f aca="false" t="array" ref="J3133:J3133">IFERROR(INDEX(AC3133:AE3133,IF(COUNTA(AC3133:AE3133)=0,"",MAX((AC3133:AE3133&lt;&gt;"")*(COLUMN(AC3133:AE3133)-(COLUMN(AC3133)))))-1),"")</f>
        <v>46043</v>
      </c>
      <c r="K3133" s="16" t="n">
        <f aca="false" t="array" ref="K3133:K3133">IFERROR(INDEX(AC3133:AE3133,IF(COUNTA(AC3133:AE3133)=0,"",MAX((AC3133:AE3133&lt;&gt;"")*(COLUMN(AC3133:AE3133)-(COLUMN(AC3133)-1))))-1),"")</f>
        <v>46528</v>
      </c>
      <c r="L3133" s="17" t="str">
        <f aca="false" t="array" ref="L3133:L3133">IFERROR(INDEX(AC3133:AE3133,IF(COUNTA(AC3133:AE3133)=0,"",MAX((AC3133:AE3133&lt;&gt;"")*(COLUMN(AC3133:AE3133)-(COLUMN(AC3133)-2))))-1),"")</f>
        <v>KEMBALI</v>
      </c>
      <c r="M3133" s="13" t="n">
        <f aca="true">K3133-TODAY()</f>
        <v>204</v>
      </c>
      <c r="N3133" s="18" t="s">
        <v>105</v>
      </c>
      <c r="O3133" s="13" t="s">
        <v>757</v>
      </c>
      <c r="P3133" s="19" t="n">
        <v>5191541</v>
      </c>
      <c r="Q3133" s="47" t="s">
        <v>13062</v>
      </c>
      <c r="R3133" s="13" t="s">
        <v>39</v>
      </c>
      <c r="S3133" s="16" t="n">
        <v>37431</v>
      </c>
      <c r="T3133" s="13" t="s">
        <v>108</v>
      </c>
      <c r="U3133" s="13" t="s">
        <v>13063</v>
      </c>
      <c r="V3133" s="13" t="s">
        <v>42</v>
      </c>
      <c r="W3133" s="13" t="s">
        <v>43</v>
      </c>
      <c r="X3133" s="21" t="n">
        <v>85784530980</v>
      </c>
      <c r="Y3133" s="22" t="str">
        <f aca="false">O3133</f>
        <v>Inputor</v>
      </c>
      <c r="Z3133" s="13" t="str">
        <f aca="false">IFERROR(__xludf.dummyfunction("if(BJ3133="""","""",GOOGLETRANSLATE(BJ3133,""auto"",""en""))"),"Inputor")</f>
        <v>Inputor</v>
      </c>
      <c r="AA3133" s="23" t="str">
        <f aca="false">IF(C3133="","", CHOOSE(MONTH(C3133),"January","February","March","April","May","June","July","August","September","October","November","December")&amp;" "&amp;DAY(C3133)&amp;MID("thstndrdth",MIN(9,2*RIGHT(DAY(C3133))*(MOD(DAY(C3133)-11,100)&gt;2)+1),2)&amp;","&amp;TEXT(C3133," yyyy"))</f>
        <v>January 21st,2026</v>
      </c>
      <c r="AB3133" s="15" t="str">
        <f aca="true">IF(S3133="","",DATEDIF(S3133,TODAY(),"Y")&amp;" Tahun, "&amp;DATEDIF(S3133,TODAY(),"YM")&amp;" Bulan, "&amp;DATEDIF(S3133,TODAY(),"MD")&amp;" Hari")</f>
        <v>24 Tahun, 4 Bulan, 5 Hari</v>
      </c>
      <c r="AC3133" s="18" t="n">
        <v>46043</v>
      </c>
      <c r="AD3133" s="18" t="n">
        <v>46528</v>
      </c>
      <c r="AE3133" s="13" t="s">
        <v>397</v>
      </c>
    </row>
    <row r="3134" customFormat="false" ht="15" hidden="false" customHeight="true" outlineLevel="0" collapsed="false">
      <c r="A3134" s="12" t="n">
        <v>21723</v>
      </c>
      <c r="B3134" s="13" t="s">
        <v>13064</v>
      </c>
      <c r="C3134" s="16" t="n">
        <v>46043</v>
      </c>
      <c r="D3134" s="13" t="s">
        <v>755</v>
      </c>
      <c r="E3134" s="15" t="s">
        <v>47</v>
      </c>
      <c r="F3134" s="15" t="str">
        <f aca="false">IFERROR(__xludf.dummyfunction("XLOOKUP(AJ3134,IMPORTRANGE(""1XaInW9DU9nz21V0tYIfzFQ0He9kVQ_JF2mCXgZ3hqFA"",""REKAP ALL 2026 - Andika!G:G""),IMPORTRANGE(""1XaInW9DU9nz21V0tYIfzFQ0He9kVQ_JF2mCXgZ3hqFA"",""REKAP ALL 2026 - Andika!F:F""),"""",0)"),"26020805458")</f>
        <v>26020805458</v>
      </c>
      <c r="G3134" s="28" t="s">
        <v>57</v>
      </c>
      <c r="H3134" s="13" t="s">
        <v>3024</v>
      </c>
      <c r="I3134" s="13" t="str">
        <f aca="false">IF(C3134=J3134,"NEW KONTRAK","RE-KONTRAK")</f>
        <v>NEW KONTRAK</v>
      </c>
      <c r="J3134" s="16" t="n">
        <f aca="false" t="array" ref="J3134:J3134">IFERROR(INDEX(AC3134:AE3134,IF(COUNTA(AC3134:AE3134)=0,"",MAX((AC3134:AE3134&lt;&gt;"")*(COLUMN(AC3134:AE3134)-(COLUMN(AC3134)))))-1),"")</f>
        <v>46043</v>
      </c>
      <c r="K3134" s="16" t="n">
        <f aca="false" t="array" ref="K3134:K3134">IFERROR(INDEX(AC3134:AE3134,IF(COUNTA(AC3134:AE3134)=0,"",MAX((AC3134:AE3134&lt;&gt;"")*(COLUMN(AC3134:AE3134)-(COLUMN(AC3134)-1))))-1),"")</f>
        <v>46528</v>
      </c>
      <c r="L3134" s="17" t="str">
        <f aca="false" t="array" ref="L3134:L3134">IFERROR(INDEX(AC3134:AE3134,IF(COUNTA(AC3134:AE3134)=0,"",MAX((AC3134:AE3134&lt;&gt;"")*(COLUMN(AC3134:AE3134)-(COLUMN(AC3134)-2))))-1),"")</f>
        <v>KEMBALI</v>
      </c>
      <c r="M3134" s="13" t="n">
        <f aca="true">K3134-TODAY()</f>
        <v>204</v>
      </c>
      <c r="N3134" s="18" t="s">
        <v>105</v>
      </c>
      <c r="O3134" s="13" t="s">
        <v>757</v>
      </c>
      <c r="P3134" s="19" t="n">
        <v>5191541</v>
      </c>
      <c r="Q3134" s="47" t="s">
        <v>13065</v>
      </c>
      <c r="R3134" s="13" t="s">
        <v>39</v>
      </c>
      <c r="S3134" s="16" t="n">
        <v>38138</v>
      </c>
      <c r="T3134" s="13" t="s">
        <v>40</v>
      </c>
      <c r="U3134" s="13" t="s">
        <v>13066</v>
      </c>
      <c r="V3134" s="13" t="s">
        <v>42</v>
      </c>
      <c r="W3134" s="13" t="s">
        <v>43</v>
      </c>
      <c r="X3134" s="21" t="n">
        <v>81390169106</v>
      </c>
      <c r="Y3134" s="22" t="str">
        <f aca="false">O3134</f>
        <v>Inputor</v>
      </c>
      <c r="Z3134" s="13" t="str">
        <f aca="false">IFERROR(__xludf.dummyfunction("if(BJ3134="""","""",GOOGLETRANSLATE(BJ3134,""auto"",""en""))"),"Inputor")</f>
        <v>Inputor</v>
      </c>
      <c r="AA3134" s="23" t="str">
        <f aca="false">IF(C3134="","", CHOOSE(MONTH(C3134),"January","February","March","April","May","June","July","August","September","October","November","December")&amp;" "&amp;DAY(C3134)&amp;MID("thstndrdth",MIN(9,2*RIGHT(DAY(C3134))*(MOD(DAY(C3134)-11,100)&gt;2)+1),2)&amp;","&amp;TEXT(C3134," yyyy"))</f>
        <v>January 21st,2026</v>
      </c>
      <c r="AB3134" s="15" t="str">
        <f aca="true">IF(S3134="","",DATEDIF(S3134,TODAY(),"Y")&amp;" Tahun, "&amp;DATEDIF(S3134,TODAY(),"YM")&amp;" Bulan, "&amp;DATEDIF(S3134,TODAY(),"MD")&amp;" Hari")</f>
        <v>22 Tahun, 4 Bulan, 28 Hari</v>
      </c>
      <c r="AC3134" s="18" t="n">
        <v>46043</v>
      </c>
      <c r="AD3134" s="18" t="n">
        <v>46528</v>
      </c>
      <c r="AE3134" s="13" t="s">
        <v>397</v>
      </c>
    </row>
    <row r="3135" customFormat="false" ht="15" hidden="false" customHeight="true" outlineLevel="0" collapsed="false">
      <c r="A3135" s="12" t="n">
        <v>21724</v>
      </c>
      <c r="B3135" s="13" t="s">
        <v>13067</v>
      </c>
      <c r="C3135" s="16" t="n">
        <v>46043</v>
      </c>
      <c r="D3135" s="13" t="s">
        <v>755</v>
      </c>
      <c r="E3135" s="15" t="s">
        <v>47</v>
      </c>
      <c r="F3135" s="15" t="str">
        <f aca="false">IFERROR(__xludf.dummyfunction("XLOOKUP(AJ3135,IMPORTRANGE(""1XaInW9DU9nz21V0tYIfzFQ0He9kVQ_JF2mCXgZ3hqFA"",""REKAP ALL 2026 - Andika!G:G""),IMPORTRANGE(""1XaInW9DU9nz21V0tYIfzFQ0He9kVQ_JF2mCXgZ3hqFA"",""REKAP ALL 2026 - Andika!F:F""),"""",0)"),"26020805474")</f>
        <v>26020805474</v>
      </c>
      <c r="G3135" s="28" t="s">
        <v>57</v>
      </c>
      <c r="H3135" s="13" t="s">
        <v>3024</v>
      </c>
      <c r="I3135" s="13" t="str">
        <f aca="false">IF(C3135=J3135,"NEW KONTRAK","RE-KONTRAK")</f>
        <v>NEW KONTRAK</v>
      </c>
      <c r="J3135" s="16" t="n">
        <f aca="false" t="array" ref="J3135:J3135">IFERROR(INDEX(AC3135:AE3135,IF(COUNTA(AC3135:AE3135)=0,"",MAX((AC3135:AE3135&lt;&gt;"")*(COLUMN(AC3135:AE3135)-(COLUMN(AC3135)))))-1),"")</f>
        <v>46043</v>
      </c>
      <c r="K3135" s="16" t="n">
        <f aca="false" t="array" ref="K3135:K3135">IFERROR(INDEX(AC3135:AE3135,IF(COUNTA(AC3135:AE3135)=0,"",MAX((AC3135:AE3135&lt;&gt;"")*(COLUMN(AC3135:AE3135)-(COLUMN(AC3135)-1))))-1),"")</f>
        <v>46528</v>
      </c>
      <c r="L3135" s="17" t="str">
        <f aca="false" t="array" ref="L3135:L3135">IFERROR(INDEX(AC3135:AE3135,IF(COUNTA(AC3135:AE3135)=0,"",MAX((AC3135:AE3135&lt;&gt;"")*(COLUMN(AC3135:AE3135)-(COLUMN(AC3135)-2))))-1),"")</f>
        <v>KEMBALI</v>
      </c>
      <c r="M3135" s="13" t="n">
        <f aca="true">K3135-TODAY()</f>
        <v>204</v>
      </c>
      <c r="N3135" s="18" t="s">
        <v>105</v>
      </c>
      <c r="O3135" s="13" t="s">
        <v>757</v>
      </c>
      <c r="P3135" s="19" t="n">
        <v>5191541</v>
      </c>
      <c r="Q3135" s="47" t="s">
        <v>13068</v>
      </c>
      <c r="R3135" s="13" t="s">
        <v>232</v>
      </c>
      <c r="S3135" s="16" t="n">
        <v>38085</v>
      </c>
      <c r="T3135" s="13" t="s">
        <v>108</v>
      </c>
      <c r="U3135" s="13" t="s">
        <v>13069</v>
      </c>
      <c r="V3135" s="13" t="s">
        <v>42</v>
      </c>
      <c r="W3135" s="13" t="s">
        <v>43</v>
      </c>
      <c r="X3135" s="21" t="n">
        <v>85708702918</v>
      </c>
      <c r="Y3135" s="22" t="str">
        <f aca="false">O3135</f>
        <v>Inputor</v>
      </c>
      <c r="Z3135" s="13" t="str">
        <f aca="false">IFERROR(__xludf.dummyfunction("if(BJ3135="""","""",GOOGLETRANSLATE(BJ3135,""auto"",""en""))"),"Inputor")</f>
        <v>Inputor</v>
      </c>
      <c r="AA3135" s="23" t="str">
        <f aca="false">IF(C3135="","", CHOOSE(MONTH(C3135),"January","February","March","April","May","June","July","August","September","October","November","December")&amp;" "&amp;DAY(C3135)&amp;MID("thstndrdth",MIN(9,2*RIGHT(DAY(C3135))*(MOD(DAY(C3135)-11,100)&gt;2)+1),2)&amp;","&amp;TEXT(C3135," yyyy"))</f>
        <v>January 21st,2026</v>
      </c>
      <c r="AB3135" s="15" t="str">
        <f aca="true">IF(S3135="","",DATEDIF(S3135,TODAY(),"Y")&amp;" Tahun, "&amp;DATEDIF(S3135,TODAY(),"YM")&amp;" Bulan, "&amp;DATEDIF(S3135,TODAY(),"MD")&amp;" Hari")</f>
        <v>22 Tahun, 6 Bulan, 21 Hari</v>
      </c>
      <c r="AC3135" s="18" t="n">
        <v>46043</v>
      </c>
      <c r="AD3135" s="18" t="n">
        <v>46528</v>
      </c>
      <c r="AE3135" s="13" t="s">
        <v>397</v>
      </c>
    </row>
    <row r="3136" customFormat="false" ht="15" hidden="false" customHeight="true" outlineLevel="0" collapsed="false">
      <c r="A3136" s="12" t="n">
        <v>21725</v>
      </c>
      <c r="B3136" s="13" t="s">
        <v>13070</v>
      </c>
      <c r="C3136" s="16" t="n">
        <v>46043</v>
      </c>
      <c r="D3136" s="13" t="s">
        <v>755</v>
      </c>
      <c r="E3136" s="15" t="s">
        <v>47</v>
      </c>
      <c r="F3136" s="15" t="str">
        <f aca="false">IFERROR(__xludf.dummyfunction("XLOOKUP(AJ3136,IMPORTRANGE(""1XaInW9DU9nz21V0tYIfzFQ0He9kVQ_JF2mCXgZ3hqFA"",""REKAP ALL 2026 - Andika!G:G""),IMPORTRANGE(""1XaInW9DU9nz21V0tYIfzFQ0He9kVQ_JF2mCXgZ3hqFA"",""REKAP ALL 2026 - Andika!F:F""),"""",0)"),"26020805482")</f>
        <v>26020805482</v>
      </c>
      <c r="G3136" s="28" t="s">
        <v>57</v>
      </c>
      <c r="H3136" s="13" t="s">
        <v>3024</v>
      </c>
      <c r="I3136" s="13" t="str">
        <f aca="false">IF(C3136=J3136,"NEW KONTRAK","RE-KONTRAK")</f>
        <v>NEW KONTRAK</v>
      </c>
      <c r="J3136" s="16" t="n">
        <f aca="false" t="array" ref="J3136:J3136">IFERROR(INDEX(AC3136:AE3136,IF(COUNTA(AC3136:AE3136)=0,"",MAX((AC3136:AE3136&lt;&gt;"")*(COLUMN(AC3136:AE3136)-(COLUMN(AC3136)))))-1),"")</f>
        <v>46043</v>
      </c>
      <c r="K3136" s="16" t="n">
        <f aca="false" t="array" ref="K3136:K3136">IFERROR(INDEX(AC3136:AE3136,IF(COUNTA(AC3136:AE3136)=0,"",MAX((AC3136:AE3136&lt;&gt;"")*(COLUMN(AC3136:AE3136)-(COLUMN(AC3136)-1))))-1),"")</f>
        <v>46528</v>
      </c>
      <c r="L3136" s="17" t="str">
        <f aca="false" t="array" ref="L3136:L3136">IFERROR(INDEX(AC3136:AE3136,IF(COUNTA(AC3136:AE3136)=0,"",MAX((AC3136:AE3136&lt;&gt;"")*(COLUMN(AC3136:AE3136)-(COLUMN(AC3136)-2))))-1),"")</f>
        <v>KEMBALI</v>
      </c>
      <c r="M3136" s="13" t="n">
        <f aca="true">K3136-TODAY()</f>
        <v>204</v>
      </c>
      <c r="N3136" s="18" t="s">
        <v>105</v>
      </c>
      <c r="O3136" s="13" t="s">
        <v>757</v>
      </c>
      <c r="P3136" s="19" t="n">
        <v>5191541</v>
      </c>
      <c r="Q3136" s="47" t="s">
        <v>13071</v>
      </c>
      <c r="R3136" s="13" t="s">
        <v>232</v>
      </c>
      <c r="S3136" s="16" t="n">
        <v>38122</v>
      </c>
      <c r="T3136" s="13" t="s">
        <v>108</v>
      </c>
      <c r="U3136" s="13" t="s">
        <v>13072</v>
      </c>
      <c r="V3136" s="13" t="s">
        <v>42</v>
      </c>
      <c r="W3136" s="13" t="s">
        <v>43</v>
      </c>
      <c r="X3136" s="21" t="n">
        <v>81554919928</v>
      </c>
      <c r="Y3136" s="22" t="str">
        <f aca="false">O3136</f>
        <v>Inputor</v>
      </c>
      <c r="Z3136" s="13" t="str">
        <f aca="false">IFERROR(__xludf.dummyfunction("if(BJ3136="""","""",GOOGLETRANSLATE(BJ3136,""auto"",""en""))"),"Inputor")</f>
        <v>Inputor</v>
      </c>
      <c r="AA3136" s="23" t="str">
        <f aca="false">IF(C3136="","", CHOOSE(MONTH(C3136),"January","February","March","April","May","June","July","August","September","October","November","December")&amp;" "&amp;DAY(C3136)&amp;MID("thstndrdth",MIN(9,2*RIGHT(DAY(C3136))*(MOD(DAY(C3136)-11,100)&gt;2)+1),2)&amp;","&amp;TEXT(C3136," yyyy"))</f>
        <v>January 21st,2026</v>
      </c>
      <c r="AB3136" s="15" t="str">
        <f aca="true">IF(S3136="","",DATEDIF(S3136,TODAY(),"Y")&amp;" Tahun, "&amp;DATEDIF(S3136,TODAY(),"YM")&amp;" Bulan, "&amp;DATEDIF(S3136,TODAY(),"MD")&amp;" Hari")</f>
        <v>22 Tahun, 5 Bulan, 14 Hari</v>
      </c>
      <c r="AC3136" s="18" t="n">
        <v>46043</v>
      </c>
      <c r="AD3136" s="18" t="n">
        <v>46528</v>
      </c>
      <c r="AE3136" s="13" t="s">
        <v>397</v>
      </c>
    </row>
    <row r="3137" customFormat="false" ht="15" hidden="false" customHeight="true" outlineLevel="0" collapsed="false">
      <c r="A3137" s="12" t="n">
        <v>21726</v>
      </c>
      <c r="B3137" s="13" t="s">
        <v>13073</v>
      </c>
      <c r="C3137" s="16" t="n">
        <v>46043</v>
      </c>
      <c r="D3137" s="13" t="s">
        <v>755</v>
      </c>
      <c r="E3137" s="15" t="s">
        <v>47</v>
      </c>
      <c r="F3137" s="15" t="str">
        <f aca="false">IFERROR(__xludf.dummyfunction("XLOOKUP(AJ3137,IMPORTRANGE(""1XaInW9DU9nz21V0tYIfzFQ0He9kVQ_JF2mCXgZ3hqFA"",""REKAP ALL 2026 - Andika!G:G""),IMPORTRANGE(""1XaInW9DU9nz21V0tYIfzFQ0He9kVQ_JF2mCXgZ3hqFA"",""REKAP ALL 2026 - Andika!F:F""),"""",0)"),"26020805490")</f>
        <v>26020805490</v>
      </c>
      <c r="G3137" s="28" t="s">
        <v>57</v>
      </c>
      <c r="H3137" s="13" t="s">
        <v>3024</v>
      </c>
      <c r="I3137" s="13" t="str">
        <f aca="false">IF(C3137=J3137,"NEW KONTRAK","RE-KONTRAK")</f>
        <v>NEW KONTRAK</v>
      </c>
      <c r="J3137" s="16" t="n">
        <f aca="false" t="array" ref="J3137:J3137">IFERROR(INDEX(AC3137:AE3137,IF(COUNTA(AC3137:AE3137)=0,"",MAX((AC3137:AE3137&lt;&gt;"")*(COLUMN(AC3137:AE3137)-(COLUMN(AC3137)))))-1),"")</f>
        <v>46043</v>
      </c>
      <c r="K3137" s="16" t="n">
        <f aca="false" t="array" ref="K3137:K3137">IFERROR(INDEX(AC3137:AE3137,IF(COUNTA(AC3137:AE3137)=0,"",MAX((AC3137:AE3137&lt;&gt;"")*(COLUMN(AC3137:AE3137)-(COLUMN(AC3137)-1))))-1),"")</f>
        <v>46528</v>
      </c>
      <c r="L3137" s="17" t="str">
        <f aca="false" t="array" ref="L3137:L3137">IFERROR(INDEX(AC3137:AE3137,IF(COUNTA(AC3137:AE3137)=0,"",MAX((AC3137:AE3137&lt;&gt;"")*(COLUMN(AC3137:AE3137)-(COLUMN(AC3137)-2))))-1),"")</f>
        <v>KEMBALI</v>
      </c>
      <c r="M3137" s="13" t="n">
        <f aca="true">K3137-TODAY()</f>
        <v>204</v>
      </c>
      <c r="N3137" s="18" t="s">
        <v>105</v>
      </c>
      <c r="O3137" s="13" t="s">
        <v>757</v>
      </c>
      <c r="P3137" s="19" t="n">
        <v>5191541</v>
      </c>
      <c r="Q3137" s="47" t="s">
        <v>13074</v>
      </c>
      <c r="R3137" s="13" t="s">
        <v>232</v>
      </c>
      <c r="S3137" s="16" t="n">
        <v>38170</v>
      </c>
      <c r="T3137" s="13" t="s">
        <v>40</v>
      </c>
      <c r="U3137" s="13" t="s">
        <v>13075</v>
      </c>
      <c r="V3137" s="13" t="s">
        <v>42</v>
      </c>
      <c r="W3137" s="13" t="s">
        <v>43</v>
      </c>
      <c r="X3137" s="21" t="n">
        <v>89504526055</v>
      </c>
      <c r="Y3137" s="22" t="str">
        <f aca="false">O3137</f>
        <v>Inputor</v>
      </c>
      <c r="Z3137" s="13" t="str">
        <f aca="false">IFERROR(__xludf.dummyfunction("if(BJ3137="""","""",GOOGLETRANSLATE(BJ3137,""auto"",""en""))"),"Inputor")</f>
        <v>Inputor</v>
      </c>
      <c r="AA3137" s="23" t="str">
        <f aca="false">IF(C3137="","", CHOOSE(MONTH(C3137),"January","February","March","April","May","June","July","August","September","October","November","December")&amp;" "&amp;DAY(C3137)&amp;MID("thstndrdth",MIN(9,2*RIGHT(DAY(C3137))*(MOD(DAY(C3137)-11,100)&gt;2)+1),2)&amp;","&amp;TEXT(C3137," yyyy"))</f>
        <v>January 21st,2026</v>
      </c>
      <c r="AB3137" s="15" t="str">
        <f aca="true">IF(S3137="","",DATEDIF(S3137,TODAY(),"Y")&amp;" Tahun, "&amp;DATEDIF(S3137,TODAY(),"YM")&amp;" Bulan, "&amp;DATEDIF(S3137,TODAY(),"MD")&amp;" Hari")</f>
        <v>22 Tahun, 3 Bulan, 27 Hari</v>
      </c>
      <c r="AC3137" s="18" t="n">
        <v>46043</v>
      </c>
      <c r="AD3137" s="18" t="n">
        <v>46528</v>
      </c>
      <c r="AE3137" s="13" t="s">
        <v>397</v>
      </c>
    </row>
    <row r="3138" customFormat="false" ht="15" hidden="false" customHeight="true" outlineLevel="0" collapsed="false">
      <c r="A3138" s="12" t="n">
        <v>21727</v>
      </c>
      <c r="B3138" s="13" t="s">
        <v>13076</v>
      </c>
      <c r="C3138" s="16" t="n">
        <v>46043</v>
      </c>
      <c r="D3138" s="13" t="s">
        <v>755</v>
      </c>
      <c r="E3138" s="15" t="s">
        <v>47</v>
      </c>
      <c r="F3138" s="15" t="str">
        <f aca="false">IFERROR(__xludf.dummyfunction("XLOOKUP(AJ3138,IMPORTRANGE(""1XaInW9DU9nz21V0tYIfzFQ0He9kVQ_JF2mCXgZ3hqFA"",""REKAP ALL 2026 - Andika!G:G""),IMPORTRANGE(""1XaInW9DU9nz21V0tYIfzFQ0He9kVQ_JF2mCXgZ3hqFA"",""REKAP ALL 2026 - Andika!F:F""),"""",0)"),"26020805508")</f>
        <v>26020805508</v>
      </c>
      <c r="G3138" s="28" t="s">
        <v>57</v>
      </c>
      <c r="H3138" s="13" t="s">
        <v>3024</v>
      </c>
      <c r="I3138" s="13" t="str">
        <f aca="false">IF(C3138=J3138,"NEW KONTRAK","RE-KONTRAK")</f>
        <v>NEW KONTRAK</v>
      </c>
      <c r="J3138" s="16" t="n">
        <f aca="false" t="array" ref="J3138:J3138">IFERROR(INDEX(AC3138:AE3138,IF(COUNTA(AC3138:AE3138)=0,"",MAX((AC3138:AE3138&lt;&gt;"")*(COLUMN(AC3138:AE3138)-(COLUMN(AC3138)))))-1),"")</f>
        <v>46043</v>
      </c>
      <c r="K3138" s="16" t="n">
        <f aca="false" t="array" ref="K3138:K3138">IFERROR(INDEX(AC3138:AE3138,IF(COUNTA(AC3138:AE3138)=0,"",MAX((AC3138:AE3138&lt;&gt;"")*(COLUMN(AC3138:AE3138)-(COLUMN(AC3138)-1))))-1),"")</f>
        <v>46528</v>
      </c>
      <c r="L3138" s="17" t="str">
        <f aca="false" t="array" ref="L3138:L3138">IFERROR(INDEX(AC3138:AE3138,IF(COUNTA(AC3138:AE3138)=0,"",MAX((AC3138:AE3138&lt;&gt;"")*(COLUMN(AC3138:AE3138)-(COLUMN(AC3138)-2))))-1),"")</f>
        <v>KEMBALI</v>
      </c>
      <c r="M3138" s="13" t="n">
        <f aca="true">K3138-TODAY()</f>
        <v>204</v>
      </c>
      <c r="N3138" s="18" t="s">
        <v>105</v>
      </c>
      <c r="O3138" s="13" t="s">
        <v>757</v>
      </c>
      <c r="P3138" s="19" t="n">
        <v>5191541</v>
      </c>
      <c r="Q3138" s="47" t="s">
        <v>13077</v>
      </c>
      <c r="R3138" s="13" t="s">
        <v>232</v>
      </c>
      <c r="S3138" s="16" t="n">
        <v>37756</v>
      </c>
      <c r="T3138" s="13" t="s">
        <v>40</v>
      </c>
      <c r="U3138" s="13" t="s">
        <v>13078</v>
      </c>
      <c r="V3138" s="13" t="s">
        <v>42</v>
      </c>
      <c r="W3138" s="13" t="s">
        <v>43</v>
      </c>
      <c r="X3138" s="21" t="n">
        <v>85851640733</v>
      </c>
      <c r="Y3138" s="22" t="str">
        <f aca="false">O3138</f>
        <v>Inputor</v>
      </c>
      <c r="Z3138" s="13" t="str">
        <f aca="false">IFERROR(__xludf.dummyfunction("if(BJ3138="""","""",GOOGLETRANSLATE(BJ3138,""auto"",""en""))"),"Inputor")</f>
        <v>Inputor</v>
      </c>
      <c r="AA3138" s="23" t="str">
        <f aca="false">IF(C3138="","", CHOOSE(MONTH(C3138),"January","February","March","April","May","June","July","August","September","October","November","December")&amp;" "&amp;DAY(C3138)&amp;MID("thstndrdth",MIN(9,2*RIGHT(DAY(C3138))*(MOD(DAY(C3138)-11,100)&gt;2)+1),2)&amp;","&amp;TEXT(C3138," yyyy"))</f>
        <v>January 21st,2026</v>
      </c>
      <c r="AB3138" s="15" t="str">
        <f aca="true">IF(S3138="","",DATEDIF(S3138,TODAY(),"Y")&amp;" Tahun, "&amp;DATEDIF(S3138,TODAY(),"YM")&amp;" Bulan, "&amp;DATEDIF(S3138,TODAY(),"MD")&amp;" Hari")</f>
        <v>23 Tahun, 5 Bulan, 14 Hari</v>
      </c>
      <c r="AC3138" s="18" t="n">
        <v>46043</v>
      </c>
      <c r="AD3138" s="18" t="n">
        <v>46528</v>
      </c>
      <c r="AE3138" s="13" t="s">
        <v>397</v>
      </c>
    </row>
    <row r="3139" customFormat="false" ht="15" hidden="false" customHeight="true" outlineLevel="0" collapsed="false">
      <c r="A3139" s="12" t="n">
        <v>21728</v>
      </c>
      <c r="B3139" s="13" t="s">
        <v>13079</v>
      </c>
      <c r="C3139" s="16" t="n">
        <v>46043</v>
      </c>
      <c r="D3139" s="13" t="s">
        <v>755</v>
      </c>
      <c r="E3139" s="15" t="s">
        <v>47</v>
      </c>
      <c r="F3139" s="15" t="str">
        <f aca="false">IFERROR(__xludf.dummyfunction("XLOOKUP(AJ3139,IMPORTRANGE(""1XaInW9DU9nz21V0tYIfzFQ0He9kVQ_JF2mCXgZ3hqFA"",""REKAP ALL 2026 - Andika!G:G""),IMPORTRANGE(""1XaInW9DU9nz21V0tYIfzFQ0He9kVQ_JF2mCXgZ3hqFA"",""REKAP ALL 2026 - Andika!F:F""),"""",0)"),"26020805516")</f>
        <v>26020805516</v>
      </c>
      <c r="G3139" s="28" t="s">
        <v>57</v>
      </c>
      <c r="H3139" s="13" t="s">
        <v>3024</v>
      </c>
      <c r="I3139" s="13" t="str">
        <f aca="false">IF(C3139=J3139,"NEW KONTRAK","RE-KONTRAK")</f>
        <v>NEW KONTRAK</v>
      </c>
      <c r="J3139" s="16" t="n">
        <f aca="false" t="array" ref="J3139:J3139">IFERROR(INDEX(AC3139:AE3139,IF(COUNTA(AC3139:AE3139)=0,"",MAX((AC3139:AE3139&lt;&gt;"")*(COLUMN(AC3139:AE3139)-(COLUMN(AC3139)))))-1),"")</f>
        <v>46043</v>
      </c>
      <c r="K3139" s="16" t="n">
        <f aca="false" t="array" ref="K3139:K3139">IFERROR(INDEX(AC3139:AE3139,IF(COUNTA(AC3139:AE3139)=0,"",MAX((AC3139:AE3139&lt;&gt;"")*(COLUMN(AC3139:AE3139)-(COLUMN(AC3139)-1))))-1),"")</f>
        <v>46528</v>
      </c>
      <c r="L3139" s="17" t="str">
        <f aca="false" t="array" ref="L3139:L3139">IFERROR(INDEX(AC3139:AE3139,IF(COUNTA(AC3139:AE3139)=0,"",MAX((AC3139:AE3139&lt;&gt;"")*(COLUMN(AC3139:AE3139)-(COLUMN(AC3139)-2))))-1),"")</f>
        <v>KEMBALI</v>
      </c>
      <c r="M3139" s="13" t="n">
        <f aca="true">K3139-TODAY()</f>
        <v>204</v>
      </c>
      <c r="N3139" s="18" t="s">
        <v>105</v>
      </c>
      <c r="O3139" s="13" t="s">
        <v>757</v>
      </c>
      <c r="P3139" s="19" t="n">
        <v>5191541</v>
      </c>
      <c r="Q3139" s="47" t="s">
        <v>13080</v>
      </c>
      <c r="R3139" s="13" t="s">
        <v>73</v>
      </c>
      <c r="S3139" s="16" t="n">
        <v>36777</v>
      </c>
      <c r="T3139" s="13" t="s">
        <v>108</v>
      </c>
      <c r="U3139" s="13" t="s">
        <v>13081</v>
      </c>
      <c r="V3139" s="13" t="s">
        <v>42</v>
      </c>
      <c r="W3139" s="13" t="s">
        <v>43</v>
      </c>
      <c r="X3139" s="21" t="n">
        <v>85158187742</v>
      </c>
      <c r="Y3139" s="22" t="str">
        <f aca="false">O3139</f>
        <v>Inputor</v>
      </c>
      <c r="Z3139" s="13" t="str">
        <f aca="false">IFERROR(__xludf.dummyfunction("if(BJ3139="""","""",GOOGLETRANSLATE(BJ3139,""auto"",""en""))"),"Inputor")</f>
        <v>Inputor</v>
      </c>
      <c r="AA3139" s="23" t="str">
        <f aca="false">IF(C3139="","", CHOOSE(MONTH(C3139),"January","February","March","April","May","June","July","August","September","October","November","December")&amp;" "&amp;DAY(C3139)&amp;MID("thstndrdth",MIN(9,2*RIGHT(DAY(C3139))*(MOD(DAY(C3139)-11,100)&gt;2)+1),2)&amp;","&amp;TEXT(C3139," yyyy"))</f>
        <v>January 21st,2026</v>
      </c>
      <c r="AB3139" s="15" t="str">
        <f aca="true">IF(S3139="","",DATEDIF(S3139,TODAY(),"Y")&amp;" Tahun, "&amp;DATEDIF(S3139,TODAY(),"YM")&amp;" Bulan, "&amp;DATEDIF(S3139,TODAY(),"MD")&amp;" Hari")</f>
        <v>26 Tahun, 1 Bulan, 21 Hari</v>
      </c>
      <c r="AC3139" s="18" t="n">
        <v>46043</v>
      </c>
      <c r="AD3139" s="18" t="n">
        <v>46528</v>
      </c>
      <c r="AE3139" s="13" t="s">
        <v>397</v>
      </c>
    </row>
    <row r="3140" customFormat="false" ht="15" hidden="false" customHeight="true" outlineLevel="0" collapsed="false">
      <c r="A3140" s="12" t="n">
        <v>21729</v>
      </c>
      <c r="B3140" s="13" t="s">
        <v>13082</v>
      </c>
      <c r="C3140" s="16" t="n">
        <v>46043</v>
      </c>
      <c r="D3140" s="13" t="s">
        <v>755</v>
      </c>
      <c r="E3140" s="15" t="s">
        <v>47</v>
      </c>
      <c r="F3140" s="15" t="str">
        <f aca="false">IFERROR(__xludf.dummyfunction("XLOOKUP(AJ3140,IMPORTRANGE(""1XaInW9DU9nz21V0tYIfzFQ0He9kVQ_JF2mCXgZ3hqFA"",""REKAP ALL 2026 - Andika!G:G""),IMPORTRANGE(""1XaInW9DU9nz21V0tYIfzFQ0He9kVQ_JF2mCXgZ3hqFA"",""REKAP ALL 2026 - Andika!F:F""),"""",0)"),"26020805524")</f>
        <v>26020805524</v>
      </c>
      <c r="G3140" s="28" t="s">
        <v>57</v>
      </c>
      <c r="H3140" s="13" t="s">
        <v>3024</v>
      </c>
      <c r="I3140" s="13" t="str">
        <f aca="false">IF(C3140=J3140,"NEW KONTRAK","RE-KONTRAK")</f>
        <v>NEW KONTRAK</v>
      </c>
      <c r="J3140" s="16" t="n">
        <f aca="false" t="array" ref="J3140:J3140">IFERROR(INDEX(AC3140:AE3140,IF(COUNTA(AC3140:AE3140)=0,"",MAX((AC3140:AE3140&lt;&gt;"")*(COLUMN(AC3140:AE3140)-(COLUMN(AC3140)))))-1),"")</f>
        <v>46043</v>
      </c>
      <c r="K3140" s="16" t="n">
        <f aca="false" t="array" ref="K3140:K3140">IFERROR(INDEX(AC3140:AE3140,IF(COUNTA(AC3140:AE3140)=0,"",MAX((AC3140:AE3140&lt;&gt;"")*(COLUMN(AC3140:AE3140)-(COLUMN(AC3140)-1))))-1),"")</f>
        <v>46528</v>
      </c>
      <c r="L3140" s="17" t="str">
        <f aca="false" t="array" ref="L3140:L3140">IFERROR(INDEX(AC3140:AE3140,IF(COUNTA(AC3140:AE3140)=0,"",MAX((AC3140:AE3140&lt;&gt;"")*(COLUMN(AC3140:AE3140)-(COLUMN(AC3140)-2))))-1),"")</f>
        <v>KEMBALI</v>
      </c>
      <c r="M3140" s="13" t="n">
        <f aca="true">K3140-TODAY()</f>
        <v>204</v>
      </c>
      <c r="N3140" s="18" t="s">
        <v>105</v>
      </c>
      <c r="O3140" s="13" t="s">
        <v>757</v>
      </c>
      <c r="P3140" s="19" t="n">
        <v>5191541</v>
      </c>
      <c r="Q3140" s="47" t="s">
        <v>13083</v>
      </c>
      <c r="R3140" s="13" t="s">
        <v>3774</v>
      </c>
      <c r="S3140" s="16" t="n">
        <v>37618</v>
      </c>
      <c r="T3140" s="13" t="s">
        <v>40</v>
      </c>
      <c r="U3140" s="13" t="s">
        <v>13084</v>
      </c>
      <c r="V3140" s="13" t="s">
        <v>42</v>
      </c>
      <c r="W3140" s="13" t="s">
        <v>43</v>
      </c>
      <c r="X3140" s="21" t="n">
        <v>85155420988</v>
      </c>
      <c r="Y3140" s="22" t="str">
        <f aca="false">O3140</f>
        <v>Inputor</v>
      </c>
      <c r="Z3140" s="13" t="str">
        <f aca="false">IFERROR(__xludf.dummyfunction("if(BJ3140="""","""",GOOGLETRANSLATE(BJ3140,""auto"",""en""))"),"Inputor")</f>
        <v>Inputor</v>
      </c>
      <c r="AA3140" s="23" t="str">
        <f aca="false">IF(C3140="","", CHOOSE(MONTH(C3140),"January","February","March","April","May","June","July","August","September","October","November","December")&amp;" "&amp;DAY(C3140)&amp;MID("thstndrdth",MIN(9,2*RIGHT(DAY(C3140))*(MOD(DAY(C3140)-11,100)&gt;2)+1),2)&amp;","&amp;TEXT(C3140," yyyy"))</f>
        <v>January 21st,2026</v>
      </c>
      <c r="AB3140" s="15" t="str">
        <f aca="true">IF(S3140="","",DATEDIF(S3140,TODAY(),"Y")&amp;" Tahun, "&amp;DATEDIF(S3140,TODAY(),"YM")&amp;" Bulan, "&amp;DATEDIF(S3140,TODAY(),"MD")&amp;" Hari")</f>
        <v>23 Tahun, 10 Bulan, 1 Hari</v>
      </c>
      <c r="AC3140" s="18" t="n">
        <v>46043</v>
      </c>
      <c r="AD3140" s="18" t="n">
        <v>46528</v>
      </c>
      <c r="AE3140" s="13" t="s">
        <v>397</v>
      </c>
    </row>
    <row r="3141" customFormat="false" ht="15" hidden="false" customHeight="true" outlineLevel="0" collapsed="false">
      <c r="A3141" s="12" t="n">
        <v>21730</v>
      </c>
      <c r="B3141" s="13" t="s">
        <v>13085</v>
      </c>
      <c r="C3141" s="16" t="n">
        <v>46043</v>
      </c>
      <c r="D3141" s="13" t="s">
        <v>755</v>
      </c>
      <c r="E3141" s="15" t="s">
        <v>47</v>
      </c>
      <c r="F3141" s="15" t="str">
        <f aca="false">IFERROR(__xludf.dummyfunction("XLOOKUP(AJ3141,IMPORTRANGE(""1XaInW9DU9nz21V0tYIfzFQ0He9kVQ_JF2mCXgZ3hqFA"",""REKAP ALL 2026 - Andika!G:G""),IMPORTRANGE(""1XaInW9DU9nz21V0tYIfzFQ0He9kVQ_JF2mCXgZ3hqFA"",""REKAP ALL 2026 - Andika!F:F""),"""",0)"),"26020805532")</f>
        <v>26020805532</v>
      </c>
      <c r="G3141" s="28" t="s">
        <v>57</v>
      </c>
      <c r="H3141" s="13" t="s">
        <v>3024</v>
      </c>
      <c r="I3141" s="13" t="str">
        <f aca="false">IF(C3141=J3141,"NEW KONTRAK","RE-KONTRAK")</f>
        <v>NEW KONTRAK</v>
      </c>
      <c r="J3141" s="16" t="n">
        <f aca="false" t="array" ref="J3141:J3141">IFERROR(INDEX(AC3141:AE3141,IF(COUNTA(AC3141:AE3141)=0,"",MAX((AC3141:AE3141&lt;&gt;"")*(COLUMN(AC3141:AE3141)-(COLUMN(AC3141)))))-1),"")</f>
        <v>46043</v>
      </c>
      <c r="K3141" s="16" t="n">
        <f aca="false" t="array" ref="K3141:K3141">IFERROR(INDEX(AC3141:AE3141,IF(COUNTA(AC3141:AE3141)=0,"",MAX((AC3141:AE3141&lt;&gt;"")*(COLUMN(AC3141:AE3141)-(COLUMN(AC3141)-1))))-1),"")</f>
        <v>46528</v>
      </c>
      <c r="L3141" s="17" t="str">
        <f aca="false" t="array" ref="L3141:L3141">IFERROR(INDEX(AC3141:AE3141,IF(COUNTA(AC3141:AE3141)=0,"",MAX((AC3141:AE3141&lt;&gt;"")*(COLUMN(AC3141:AE3141)-(COLUMN(AC3141)-2))))-1),"")</f>
        <v>KEMBALI</v>
      </c>
      <c r="M3141" s="13" t="n">
        <f aca="true">K3141-TODAY()</f>
        <v>204</v>
      </c>
      <c r="N3141" s="18" t="s">
        <v>105</v>
      </c>
      <c r="O3141" s="13" t="s">
        <v>757</v>
      </c>
      <c r="P3141" s="19" t="n">
        <v>5191541</v>
      </c>
      <c r="Q3141" s="47" t="s">
        <v>13086</v>
      </c>
      <c r="R3141" s="13" t="s">
        <v>52</v>
      </c>
      <c r="S3141" s="16" t="n">
        <v>37131</v>
      </c>
      <c r="T3141" s="13" t="s">
        <v>108</v>
      </c>
      <c r="U3141" s="13" t="s">
        <v>13087</v>
      </c>
      <c r="V3141" s="13" t="s">
        <v>42</v>
      </c>
      <c r="W3141" s="13" t="s">
        <v>43</v>
      </c>
      <c r="X3141" s="21" t="n">
        <v>82264444047</v>
      </c>
      <c r="Y3141" s="22" t="str">
        <f aca="false">O3141</f>
        <v>Inputor</v>
      </c>
      <c r="Z3141" s="13" t="str">
        <f aca="false">IFERROR(__xludf.dummyfunction("if(BJ3141="""","""",GOOGLETRANSLATE(BJ3141,""auto"",""en""))"),"Inputor")</f>
        <v>Inputor</v>
      </c>
      <c r="AA3141" s="23" t="str">
        <f aca="false">IF(C3141="","", CHOOSE(MONTH(C3141),"January","February","March","April","May","June","July","August","September","October","November","December")&amp;" "&amp;DAY(C3141)&amp;MID("thstndrdth",MIN(9,2*RIGHT(DAY(C3141))*(MOD(DAY(C3141)-11,100)&gt;2)+1),2)&amp;","&amp;TEXT(C3141," yyyy"))</f>
        <v>January 21st,2026</v>
      </c>
      <c r="AB3141" s="15" t="str">
        <f aca="true">IF(S3141="","",DATEDIF(S3141,TODAY(),"Y")&amp;" Tahun, "&amp;DATEDIF(S3141,TODAY(),"YM")&amp;" Bulan, "&amp;DATEDIF(S3141,TODAY(),"MD")&amp;" Hari")</f>
        <v>25 Tahun, 2 Bulan, 1 Hari</v>
      </c>
      <c r="AC3141" s="18" t="n">
        <v>46043</v>
      </c>
      <c r="AD3141" s="18" t="n">
        <v>46528</v>
      </c>
      <c r="AE3141" s="13" t="s">
        <v>397</v>
      </c>
    </row>
    <row r="3142" customFormat="false" ht="15" hidden="false" customHeight="true" outlineLevel="0" collapsed="false">
      <c r="A3142" s="12" t="n">
        <v>21731</v>
      </c>
      <c r="B3142" s="13" t="s">
        <v>13088</v>
      </c>
      <c r="C3142" s="16" t="n">
        <v>46034</v>
      </c>
      <c r="D3142" s="13" t="s">
        <v>6487</v>
      </c>
      <c r="E3142" s="15" t="s">
        <v>13089</v>
      </c>
      <c r="F3142" s="15" t="str">
        <f aca="false">IFERROR(__xludf.dummyfunction("XLOOKUP(AJ3142,IMPORTRANGE(""1XaInW9DU9nz21V0tYIfzFQ0He9kVQ_JF2mCXgZ3hqFA"",""REKAP ALL 2026 - Andika!G:G""),IMPORTRANGE(""1XaInW9DU9nz21V0tYIfzFQ0He9kVQ_JF2mCXgZ3hqFA"",""REKAP ALL 2026 - Andika!F:F""),"""",0)"),"26020763897")</f>
        <v>26020763897</v>
      </c>
      <c r="G3142" s="28" t="s">
        <v>57</v>
      </c>
      <c r="H3142" s="13" t="s">
        <v>35</v>
      </c>
      <c r="I3142" s="13" t="str">
        <f aca="false">IF(C3142=J3142,"NEW KONTRAK","RE-KONTRAK")</f>
        <v>RE-KONTRAK</v>
      </c>
      <c r="J3142" s="16" t="n">
        <f aca="false" t="array" ref="J3142:J3142">IFERROR(INDEX(AC3142:AE3142,IF(COUNTA(AC3142:AE3142)=0,"",MAX((AC3142:AE3142&lt;&gt;"")*(COLUMN(AC3142:AE3142)-(COLUMN(AC3142)))))-1),"")</f>
        <v>46033</v>
      </c>
      <c r="K3142" s="16" t="n">
        <f aca="false" t="array" ref="K3142:K3142">IFERROR(INDEX(AC3142:AE3142,IF(COUNTA(AC3142:AE3142)=0,"",MAX((AC3142:AE3142&lt;&gt;"")*(COLUMN(AC3142:AE3142)-(COLUMN(AC3142)-1))))-1),"")</f>
        <v>46387</v>
      </c>
      <c r="L3142" s="17" t="str">
        <f aca="false" t="array" ref="L3142:L3142">IFERROR(INDEX(AC3142:AE3142,IF(COUNTA(AC3142:AE3142)=0,"",MAX((AC3142:AE3142&lt;&gt;"")*(COLUMN(AC3142:AE3142)-(COLUMN(AC3142)-2))))-1),"")</f>
        <v>ARCHIVED</v>
      </c>
      <c r="M3142" s="13" t="n">
        <f aca="true">K3142-TODAY()</f>
        <v>63</v>
      </c>
      <c r="N3142" s="18" t="s">
        <v>4735</v>
      </c>
      <c r="O3142" s="13" t="s">
        <v>11196</v>
      </c>
      <c r="P3142" s="19" t="n">
        <v>3802862</v>
      </c>
      <c r="Q3142" s="20" t="s">
        <v>13090</v>
      </c>
      <c r="R3142" s="13" t="s">
        <v>52</v>
      </c>
      <c r="S3142" s="16" t="n">
        <v>36482</v>
      </c>
      <c r="T3142" s="13" t="s">
        <v>40</v>
      </c>
      <c r="U3142" s="13" t="s">
        <v>13091</v>
      </c>
      <c r="V3142" s="13" t="s">
        <v>42</v>
      </c>
      <c r="W3142" s="13" t="s">
        <v>43</v>
      </c>
      <c r="X3142" s="21" t="n">
        <v>82131084345</v>
      </c>
      <c r="Y3142" s="22" t="str">
        <f aca="false">O3142</f>
        <v>Helper Gudang</v>
      </c>
      <c r="Z3142" s="13" t="str">
        <f aca="false">IFERROR(__xludf.dummyfunction("if(BJ3142="""","""",GOOGLETRANSLATE(BJ3142,""auto"",""en""))"),"Helper Gudang")</f>
        <v>Helper Gudang</v>
      </c>
      <c r="AA3142" s="23" t="str">
        <f aca="false">IF(C3142="","", CHOOSE(MONTH(C3142),"January","February","March","April","May","June","July","August","September","October","November","December")&amp;" "&amp;DAY(C3142)&amp;MID("thstndrdth",MIN(9,2*RIGHT(DAY(C3142))*(MOD(DAY(C3142)-11,100)&gt;2)+1),2)&amp;","&amp;TEXT(C3142," yyyy"))</f>
        <v>January 12th,2026</v>
      </c>
      <c r="AB3142" s="15" t="str">
        <f aca="true">IF(S3142="","",DATEDIF(S3142,TODAY(),"Y")&amp;" Tahun, "&amp;DATEDIF(S3142,TODAY(),"YM")&amp;" Bulan, "&amp;DATEDIF(S3142,TODAY(),"MD")&amp;" Hari")</f>
        <v>26 Tahun, 11 Bulan, 11 Hari</v>
      </c>
      <c r="AC3142" s="64" t="n">
        <v>46033</v>
      </c>
      <c r="AD3142" s="18" t="n">
        <v>46387</v>
      </c>
      <c r="AE3142" s="13" t="s">
        <v>44</v>
      </c>
    </row>
    <row r="3143" customFormat="false" ht="15" hidden="false" customHeight="true" outlineLevel="0" collapsed="false">
      <c r="A3143" s="12" t="n">
        <v>3082</v>
      </c>
      <c r="B3143" s="13" t="s">
        <v>13092</v>
      </c>
      <c r="C3143" s="14" t="n">
        <v>44243</v>
      </c>
      <c r="D3143" s="13" t="s">
        <v>2033</v>
      </c>
      <c r="E3143" s="15" t="s">
        <v>47</v>
      </c>
      <c r="F3143" s="15" t="str">
        <f aca="false">IFERROR(__xludf.dummyfunction("XLOOKUP(AJ3143,IMPORTRANGE(""1XaInW9DU9nz21V0tYIfzFQ0He9kVQ_JF2mCXgZ3hqFA"",""REKAP ALL 2026 - Andika!G:G""),IMPORTRANGE(""1XaInW9DU9nz21V0tYIfzFQ0He9kVQ_JF2mCXgZ3hqFA"",""REKAP ALL 2026 - Andika!F:F""),"""",0)"),"19088139654")</f>
        <v>19088139654</v>
      </c>
      <c r="G3143" s="13" t="s">
        <v>13093</v>
      </c>
      <c r="H3143" s="13" t="s">
        <v>2035</v>
      </c>
      <c r="I3143" s="13" t="str">
        <f aca="false">IF(C3143=J3143,"NEW KONTRAK","RE-KONTRAK")</f>
        <v>RE-KONTRAK</v>
      </c>
      <c r="J3143" s="16" t="n">
        <f aca="false" t="array" ref="J3143:J3143">IFERROR(INDEX(AC3143:AE3143,IF(COUNTA(AC3143:AE3143)=0,"",MAX((AC3143:AE3143&lt;&gt;"")*(COLUMN(AC3143:AE3143)-(COLUMN(AC3143)))))-1),"")</f>
        <v>45744</v>
      </c>
      <c r="K3143" s="16" t="n">
        <f aca="false" t="array" ref="K3143:K3143">IFERROR(INDEX(AC3143:AE3143,IF(COUNTA(AC3143:AE3143)=0,"",MAX((AC3143:AE3143&lt;&gt;"")*(COLUMN(AC3143:AE3143)-(COLUMN(AC3143)-1))))-1),"")</f>
        <v>45915</v>
      </c>
      <c r="L3143" s="17" t="str">
        <f aca="false" t="array" ref="L3143:L3143">IFERROR(INDEX(AC3143:AE3143,IF(COUNTA(AC3143:AE3143)=0,"",MAX((AC3143:AE3143&lt;&gt;"")*(COLUMN(AC3143:AE3143)-(COLUMN(AC3143)-2))))-1),"")</f>
        <v>ARCHIVED</v>
      </c>
      <c r="M3143" s="13" t="n">
        <f aca="true">K3143-TODAY()</f>
        <v>-409</v>
      </c>
      <c r="N3143" s="18" t="s">
        <v>10508</v>
      </c>
      <c r="O3143" s="13" t="s">
        <v>2037</v>
      </c>
      <c r="P3143" s="19" t="n">
        <v>3791003</v>
      </c>
      <c r="Q3143" s="20" t="s">
        <v>13094</v>
      </c>
      <c r="R3143" s="13" t="s">
        <v>13095</v>
      </c>
      <c r="S3143" s="14" t="n">
        <v>33756</v>
      </c>
      <c r="T3143" s="13" t="s">
        <v>108</v>
      </c>
      <c r="U3143" s="13" t="s">
        <v>13096</v>
      </c>
      <c r="V3143" s="13" t="s">
        <v>1310</v>
      </c>
      <c r="W3143" s="13" t="s">
        <v>43</v>
      </c>
      <c r="X3143" s="21" t="n">
        <v>81805216359</v>
      </c>
      <c r="Y3143" s="22" t="str">
        <f aca="false">O3143</f>
        <v>SPG/BA</v>
      </c>
      <c r="Z3143" s="13" t="str">
        <f aca="false">IFERROR(__xludf.dummyfunction("if(BJ3143="""","""",GOOGLETRANSLATE(BJ3143,""auto"",""en""))"),"SPG/BA")</f>
        <v>SPG/BA</v>
      </c>
      <c r="AA3143" s="23" t="str">
        <f aca="false">IF(C3143="","", CHOOSE(MONTH(C3143),"January","February","March","April","May","June","July","August","September","October","November","December")&amp;" "&amp;DAY(C3143)&amp;MID("thstndrdth",MIN(9,2*RIGHT(DAY(C3143))*(MOD(DAY(C3143)-11,100)&gt;2)+1),2)&amp;","&amp;TEXT(C3143," yyyy"))</f>
        <v>February 16th,2021</v>
      </c>
      <c r="AB3143" s="15" t="str">
        <f aca="true">IF(S3143="","",DATEDIF(S3143,TODAY(),"Y")&amp;" Tahun, "&amp;DATEDIF(S3143,TODAY(),"YM")&amp;" Bulan, "&amp;DATEDIF(S3143,TODAY(),"MD")&amp;" Hari")</f>
        <v>34 Tahun, 4 Bulan, 28 Hari</v>
      </c>
      <c r="AC3143" s="18" t="n">
        <v>45744</v>
      </c>
      <c r="AD3143" s="18" t="n">
        <v>45915</v>
      </c>
      <c r="AE3143" s="18" t="s">
        <v>44</v>
      </c>
    </row>
    <row r="3144" customFormat="false" ht="15" hidden="false" customHeight="true" outlineLevel="0" collapsed="false">
      <c r="A3144" s="12" t="n">
        <v>18466</v>
      </c>
      <c r="B3144" s="13" t="s">
        <v>13097</v>
      </c>
      <c r="C3144" s="14" t="n">
        <v>45643</v>
      </c>
      <c r="D3144" s="13" t="s">
        <v>2033</v>
      </c>
      <c r="E3144" s="15" t="s">
        <v>47</v>
      </c>
      <c r="F3144" s="15" t="str">
        <f aca="false">IFERROR(__xludf.dummyfunction("XLOOKUP(AJ3144,IMPORTRANGE(""1XaInW9DU9nz21V0tYIfzFQ0He9kVQ_JF2mCXgZ3hqFA"",""REKAP ALL 2026 - Andika!G:G""),IMPORTRANGE(""1XaInW9DU9nz21V0tYIfzFQ0He9kVQ_JF2mCXgZ3hqFA"",""REKAP ALL 2026 - Andika!F:F""),"""",0)"),"25012463581")</f>
        <v>25012463581</v>
      </c>
      <c r="G3144" s="13" t="s">
        <v>13098</v>
      </c>
      <c r="H3144" s="13" t="s">
        <v>2035</v>
      </c>
      <c r="I3144" s="13" t="str">
        <f aca="false">IF(C3144=J3144,"NEW KONTRAK","RE-KONTRAK")</f>
        <v>RE-KONTRAK</v>
      </c>
      <c r="J3144" s="16" t="n">
        <f aca="false" t="array" ref="J3144:J3144">IFERROR(INDEX(AC3144:AE3144,IF(COUNTA(AC3144:AE3144)=0,"",MAX((AC3144:AE3144&lt;&gt;"")*(COLUMN(AC3144:AE3144)-(COLUMN(AC3144)))))-1),"")</f>
        <v>45744</v>
      </c>
      <c r="K3144" s="16" t="n">
        <f aca="false" t="array" ref="K3144:K3144">IFERROR(INDEX(AC3144:AE3144,IF(COUNTA(AC3144:AE3144)=0,"",MAX((AC3144:AE3144&lt;&gt;"")*(COLUMN(AC3144:AE3144)-(COLUMN(AC3144)-1))))-1),"")</f>
        <v>45915</v>
      </c>
      <c r="L3144" s="17" t="str">
        <f aca="false" t="array" ref="L3144:L3144">IFERROR(INDEX(AC3144:AE3144,IF(COUNTA(AC3144:AE3144)=0,"",MAX((AC3144:AE3144&lt;&gt;"")*(COLUMN(AC3144:AE3144)-(COLUMN(AC3144)-2))))-1),"")</f>
        <v>ARCHIVED</v>
      </c>
      <c r="M3144" s="13" t="n">
        <f aca="true">K3144-TODAY()</f>
        <v>-409</v>
      </c>
      <c r="N3144" s="18" t="s">
        <v>13099</v>
      </c>
      <c r="O3144" s="13" t="s">
        <v>2037</v>
      </c>
      <c r="P3144" s="19" t="n">
        <v>3316798</v>
      </c>
      <c r="Q3144" s="20" t="s">
        <v>13100</v>
      </c>
      <c r="R3144" s="13" t="s">
        <v>13101</v>
      </c>
      <c r="S3144" s="14" t="n">
        <v>34852</v>
      </c>
      <c r="T3144" s="13" t="s">
        <v>108</v>
      </c>
      <c r="U3144" s="13" t="s">
        <v>13102</v>
      </c>
      <c r="V3144" s="13" t="s">
        <v>1310</v>
      </c>
      <c r="W3144" s="13" t="s">
        <v>54</v>
      </c>
      <c r="X3144" s="21" t="n">
        <v>81246537175</v>
      </c>
      <c r="Y3144" s="22" t="str">
        <f aca="false">O3144</f>
        <v>SPG/BA</v>
      </c>
      <c r="Z3144" s="13" t="str">
        <f aca="false">IFERROR(__xludf.dummyfunction("if(BJ3144="""","""",GOOGLETRANSLATE(BJ3144,""auto"",""en""))"),"SPG/BA")</f>
        <v>SPG/BA</v>
      </c>
      <c r="AA3144" s="23" t="str">
        <f aca="false">IF(C3144="","", CHOOSE(MONTH(C3144),"January","February","March","April","May","June","July","August","September","October","November","December")&amp;" "&amp;DAY(C3144)&amp;MID("thstndrdth",MIN(9,2*RIGHT(DAY(C3144))*(MOD(DAY(C3144)-11,100)&gt;2)+1),2)&amp;","&amp;TEXT(C3144," yyyy"))</f>
        <v>December 17th,2024</v>
      </c>
      <c r="AB3144" s="15" t="str">
        <f aca="true">IF(S3144="","",DATEDIF(S3144,TODAY(),"Y")&amp;" Tahun, "&amp;DATEDIF(S3144,TODAY(),"YM")&amp;" Bulan, "&amp;DATEDIF(S3144,TODAY(),"MD")&amp;" Hari")</f>
        <v>31 Tahun, 4 Bulan, 27 Hari</v>
      </c>
      <c r="AC3144" s="18" t="n">
        <v>45744</v>
      </c>
      <c r="AD3144" s="18" t="n">
        <v>45915</v>
      </c>
      <c r="AE3144" s="18" t="s">
        <v>44</v>
      </c>
    </row>
    <row r="3145" customFormat="false" ht="15" hidden="false" customHeight="true" outlineLevel="0" collapsed="false">
      <c r="A3145" s="12" t="n">
        <v>21734</v>
      </c>
      <c r="B3145" s="13" t="s">
        <v>13103</v>
      </c>
      <c r="C3145" s="16" t="n">
        <v>46025</v>
      </c>
      <c r="D3145" s="13" t="s">
        <v>2033</v>
      </c>
      <c r="E3145" s="15" t="s">
        <v>789</v>
      </c>
      <c r="F3145" s="24" t="s">
        <v>13104</v>
      </c>
      <c r="G3145" s="13" t="s">
        <v>1127</v>
      </c>
      <c r="H3145" s="13" t="s">
        <v>35</v>
      </c>
      <c r="I3145" s="13" t="str">
        <f aca="false">IF(C3145=J3145,"NEW KONTRAK","RE-KONTRAK")</f>
        <v>NEW KONTRAK</v>
      </c>
      <c r="J3145" s="16" t="n">
        <f aca="false" t="array" ref="J3145:J3145">IFERROR(INDEX(AC3145:AE3145,IF(COUNTA(AC3145:AE3145)=0,"",MAX((AC3145:AE3145&lt;&gt;"")*(COLUMN(AC3145:AE3145)-(COLUMN(AC3145)))))-1),"")</f>
        <v>46025</v>
      </c>
      <c r="K3145" s="16" t="n">
        <f aca="false" t="array" ref="K3145:K3145">IFERROR(INDEX(AC3145:AE3145,IF(COUNTA(AC3145:AE3145)=0,"",MAX((AC3145:AE3145&lt;&gt;"")*(COLUMN(AC3145:AE3145)-(COLUMN(AC3145)-1))))-1),"")</f>
        <v>46068</v>
      </c>
      <c r="L3145" s="17" t="str">
        <f aca="false" t="array" ref="L3145:L3145">IFERROR(INDEX(AC3145:AE3145,IF(COUNTA(AC3145:AE3145)=0,"",MAX((AC3145:AE3145&lt;&gt;"")*(COLUMN(AC3145:AE3145)-(COLUMN(AC3145)-2))))-1),"")</f>
        <v>ARCHIVED</v>
      </c>
      <c r="M3145" s="13" t="n">
        <f aca="true">K3145-TODAY()</f>
        <v>-256</v>
      </c>
      <c r="N3145" s="18" t="s">
        <v>3703</v>
      </c>
      <c r="O3145" s="13" t="s">
        <v>2037</v>
      </c>
      <c r="P3145" s="19" t="n">
        <v>2680485</v>
      </c>
      <c r="Q3145" s="47" t="s">
        <v>13105</v>
      </c>
      <c r="R3145" s="13" t="s">
        <v>3703</v>
      </c>
      <c r="S3145" s="16" t="n">
        <v>39382</v>
      </c>
      <c r="T3145" s="13" t="s">
        <v>108</v>
      </c>
      <c r="U3145" s="13" t="s">
        <v>13106</v>
      </c>
      <c r="V3145" s="13" t="s">
        <v>42</v>
      </c>
      <c r="W3145" s="13" t="s">
        <v>43</v>
      </c>
      <c r="X3145" s="21" t="n">
        <v>87838016217</v>
      </c>
      <c r="Y3145" s="22" t="str">
        <f aca="false">O3145</f>
        <v>SPG/BA</v>
      </c>
      <c r="Z3145" s="13" t="str">
        <f aca="false">IFERROR(__xludf.dummyfunction("if(BJ3145="""","""",GOOGLETRANSLATE(BJ3145,""auto"",""en""))"),"SPG/BA")</f>
        <v>SPG/BA</v>
      </c>
      <c r="AA3145" s="23" t="str">
        <f aca="false">IF(C3145="","", CHOOSE(MONTH(C3145),"January","February","March","April","May","June","July","August","September","October","November","December")&amp;" "&amp;DAY(C3145)&amp;MID("thstndrdth",MIN(9,2*RIGHT(DAY(C3145))*(MOD(DAY(C3145)-11,100)&gt;2)+1),2)&amp;","&amp;TEXT(C3145," yyyy"))</f>
        <v>January 3rd,2026</v>
      </c>
      <c r="AB3145" s="15" t="str">
        <f aca="true">IF(S3145="","",DATEDIF(S3145,TODAY(),"Y")&amp;" Tahun, "&amp;DATEDIF(S3145,TODAY(),"YM")&amp;" Bulan, "&amp;DATEDIF(S3145,TODAY(),"MD")&amp;" Hari")</f>
        <v>19 Tahun, 0 Bulan, 2 Hari</v>
      </c>
      <c r="AC3145" s="18" t="n">
        <v>46025</v>
      </c>
      <c r="AD3145" s="18" t="n">
        <v>46068</v>
      </c>
      <c r="AE3145" s="13" t="s">
        <v>44</v>
      </c>
    </row>
    <row r="3146" customFormat="false" ht="15" hidden="false" customHeight="true" outlineLevel="0" collapsed="false">
      <c r="A3146" s="12" t="n">
        <v>10340</v>
      </c>
      <c r="B3146" s="13" t="s">
        <v>13107</v>
      </c>
      <c r="C3146" s="14" t="n">
        <v>44987</v>
      </c>
      <c r="D3146" s="13" t="s">
        <v>2033</v>
      </c>
      <c r="E3146" s="15" t="s">
        <v>47</v>
      </c>
      <c r="F3146" s="15" t="str">
        <f aca="false">IFERROR(__xludf.dummyfunction("XLOOKUP(AJ3146,IMPORTRANGE(""1XaInW9DU9nz21V0tYIfzFQ0He9kVQ_JF2mCXgZ3hqFA"",""REKAP ALL 2026 - Andika!G:G""),IMPORTRANGE(""1XaInW9DU9nz21V0tYIfzFQ0He9kVQ_JF2mCXgZ3hqFA"",""REKAP ALL 2026 - Andika!F:F""),"""",0)"),"23046250801")</f>
        <v>23046250801</v>
      </c>
      <c r="G3146" s="13" t="s">
        <v>13108</v>
      </c>
      <c r="H3146" s="13" t="s">
        <v>2035</v>
      </c>
      <c r="I3146" s="13" t="str">
        <f aca="false">IF(C3146=J3146,"NEW KONTRAK","RE-KONTRAK")</f>
        <v>RE-KONTRAK</v>
      </c>
      <c r="J3146" s="16" t="n">
        <f aca="false" t="array" ref="J3146:J3146">IFERROR(INDEX(AC3146:AE3146,IF(COUNTA(AC3146:AE3146)=0,"",MAX((AC3146:AE3146&lt;&gt;"")*(COLUMN(AC3146:AE3146)-(COLUMN(AC3146)))))-1),"")</f>
        <v>45744</v>
      </c>
      <c r="K3146" s="16" t="n">
        <f aca="false" t="array" ref="K3146:K3146">IFERROR(INDEX(AC3146:AE3146,IF(COUNTA(AC3146:AE3146)=0,"",MAX((AC3146:AE3146&lt;&gt;"")*(COLUMN(AC3146:AE3146)-(COLUMN(AC3146)-1))))-1),"")</f>
        <v>45915</v>
      </c>
      <c r="L3146" s="17" t="str">
        <f aca="false" t="array" ref="L3146:L3146">IFERROR(INDEX(AC3146:AE3146,IF(COUNTA(AC3146:AE3146)=0,"",MAX((AC3146:AE3146&lt;&gt;"")*(COLUMN(AC3146:AE3146)-(COLUMN(AC3146)-2))))-1),"")</f>
        <v>ARCHIVED</v>
      </c>
      <c r="M3146" s="13" t="n">
        <f aca="true">K3146-TODAY()</f>
        <v>-409</v>
      </c>
      <c r="N3146" s="18" t="s">
        <v>13109</v>
      </c>
      <c r="O3146" s="13" t="s">
        <v>2037</v>
      </c>
      <c r="P3146" s="19" t="n">
        <v>3499879</v>
      </c>
      <c r="Q3146" s="20" t="s">
        <v>13110</v>
      </c>
      <c r="R3146" s="13" t="s">
        <v>13111</v>
      </c>
      <c r="S3146" s="14" t="n">
        <v>36129</v>
      </c>
      <c r="T3146" s="13" t="s">
        <v>108</v>
      </c>
      <c r="U3146" s="13" t="s">
        <v>13112</v>
      </c>
      <c r="V3146" s="13" t="s">
        <v>1310</v>
      </c>
      <c r="W3146" s="13" t="s">
        <v>43</v>
      </c>
      <c r="X3146" s="21" t="n">
        <v>82146306715</v>
      </c>
      <c r="Y3146" s="22" t="str">
        <f aca="false">O3146</f>
        <v>SPG/BA</v>
      </c>
      <c r="Z3146" s="13" t="str">
        <f aca="false">IFERROR(__xludf.dummyfunction("if(BJ3146="""","""",GOOGLETRANSLATE(BJ3146,""auto"",""en""))"),"SPG/BA")</f>
        <v>SPG/BA</v>
      </c>
      <c r="AA3146" s="23" t="str">
        <f aca="false">IF(C3146="","", CHOOSE(MONTH(C3146),"January","February","March","April","May","June","July","August","September","October","November","December")&amp;" "&amp;DAY(C3146)&amp;MID("thstndrdth",MIN(9,2*RIGHT(DAY(C3146))*(MOD(DAY(C3146)-11,100)&gt;2)+1),2)&amp;","&amp;TEXT(C3146," yyyy"))</f>
        <v>March 2nd,2023</v>
      </c>
      <c r="AB3146" s="15" t="str">
        <f aca="true">IF(S3146="","",DATEDIF(S3146,TODAY(),"Y")&amp;" Tahun, "&amp;DATEDIF(S3146,TODAY(),"YM")&amp;" Bulan, "&amp;DATEDIF(S3146,TODAY(),"MD")&amp;" Hari")</f>
        <v>27 Tahun, 10 Bulan, 29 Hari</v>
      </c>
      <c r="AC3146" s="18" t="n">
        <v>45744</v>
      </c>
      <c r="AD3146" s="18" t="n">
        <v>45915</v>
      </c>
      <c r="AE3146" s="18" t="s">
        <v>44</v>
      </c>
    </row>
    <row r="3147" customFormat="false" ht="15" hidden="false" customHeight="true" outlineLevel="0" collapsed="false">
      <c r="A3147" s="12" t="n">
        <v>21736</v>
      </c>
      <c r="B3147" s="13" t="s">
        <v>13113</v>
      </c>
      <c r="C3147" s="16" t="n">
        <v>46029</v>
      </c>
      <c r="D3147" s="13" t="s">
        <v>2033</v>
      </c>
      <c r="E3147" s="15" t="s">
        <v>102</v>
      </c>
      <c r="F3147" s="15" t="str">
        <f aca="false">IFERROR(__xludf.dummyfunction("XLOOKUP(AJ3147,IMPORTRANGE(""1XaInW9DU9nz21V0tYIfzFQ0He9kVQ_JF2mCXgZ3hqFA"",""REKAP ALL 2026 - Andika!G:G""),IMPORTRANGE(""1XaInW9DU9nz21V0tYIfzFQ0He9kVQ_JF2mCXgZ3hqFA"",""REKAP ALL 2026 - Andika!F:F""),"""",0)"),"26020755315")</f>
        <v>26020755315</v>
      </c>
      <c r="G3147" s="13" t="s">
        <v>1127</v>
      </c>
      <c r="H3147" s="13" t="s">
        <v>35</v>
      </c>
      <c r="I3147" s="13" t="str">
        <f aca="false">IF(C3147=J3147,"NEW KONTRAK","RE-KONTRAK")</f>
        <v>NEW KONTRAK</v>
      </c>
      <c r="J3147" s="16" t="n">
        <f aca="false" t="array" ref="J3147:J3147">IFERROR(INDEX(AC3147:AE3147,IF(COUNTA(AC3147:AE3147)=0,"",MAX((AC3147:AE3147&lt;&gt;"")*(COLUMN(AC3147:AE3147)-(COLUMN(AC3147)))))-1),"")</f>
        <v>46029</v>
      </c>
      <c r="K3147" s="16" t="n">
        <f aca="false" t="array" ref="K3147:K3147">IFERROR(INDEX(AC3147:AE3147,IF(COUNTA(AC3147:AE3147)=0,"",MAX((AC3147:AE3147&lt;&gt;"")*(COLUMN(AC3147:AE3147)-(COLUMN(AC3147)-1))))-1),"")</f>
        <v>46068</v>
      </c>
      <c r="L3147" s="17" t="str">
        <f aca="false" t="array" ref="L3147:L3147">IFERROR(INDEX(AC3147:AE3147,IF(COUNTA(AC3147:AE3147)=0,"",MAX((AC3147:AE3147&lt;&gt;"")*(COLUMN(AC3147:AE3147)-(COLUMN(AC3147)-2))))-1),"")</f>
        <v>ARCHIVED</v>
      </c>
      <c r="M3147" s="13" t="n">
        <f aca="true">K3147-TODAY()</f>
        <v>-256</v>
      </c>
      <c r="N3147" s="18" t="s">
        <v>4784</v>
      </c>
      <c r="O3147" s="13" t="s">
        <v>2037</v>
      </c>
      <c r="P3147" s="19" t="n">
        <v>3824264</v>
      </c>
      <c r="Q3147" s="47" t="s">
        <v>13114</v>
      </c>
      <c r="R3147" s="13" t="s">
        <v>13115</v>
      </c>
      <c r="S3147" s="16" t="n">
        <v>34990</v>
      </c>
      <c r="T3147" s="13" t="s">
        <v>108</v>
      </c>
      <c r="U3147" s="13" t="s">
        <v>13116</v>
      </c>
      <c r="V3147" s="13" t="s">
        <v>42</v>
      </c>
      <c r="W3147" s="13" t="s">
        <v>43</v>
      </c>
      <c r="X3147" s="21" t="n">
        <v>82187190596</v>
      </c>
      <c r="Y3147" s="22" t="str">
        <f aca="false">O3147</f>
        <v>SPG/BA</v>
      </c>
      <c r="Z3147" s="13" t="str">
        <f aca="false">IFERROR(__xludf.dummyfunction("if(BJ3147="""","""",GOOGLETRANSLATE(BJ3147,""auto"",""en""))"),"SPG/BA")</f>
        <v>SPG/BA</v>
      </c>
      <c r="AA3147" s="23" t="str">
        <f aca="false">IF(C3147="","", CHOOSE(MONTH(C3147),"January","February","March","April","May","June","July","August","September","October","November","December")&amp;" "&amp;DAY(C3147)&amp;MID("thstndrdth",MIN(9,2*RIGHT(DAY(C3147))*(MOD(DAY(C3147)-11,100)&gt;2)+1),2)&amp;","&amp;TEXT(C3147," yyyy"))</f>
        <v>January 7th,2026</v>
      </c>
      <c r="AB3147" s="15" t="str">
        <f aca="true">IF(S3147="","",DATEDIF(S3147,TODAY(),"Y")&amp;" Tahun, "&amp;DATEDIF(S3147,TODAY(),"YM")&amp;" Bulan, "&amp;DATEDIF(S3147,TODAY(),"MD")&amp;" Hari")</f>
        <v>31 Tahun, 0 Bulan, 11 Hari</v>
      </c>
      <c r="AC3147" s="18" t="n">
        <v>46029</v>
      </c>
      <c r="AD3147" s="18" t="n">
        <v>46068</v>
      </c>
      <c r="AE3147" s="13" t="s">
        <v>44</v>
      </c>
    </row>
    <row r="3148" customFormat="false" ht="15" hidden="false" customHeight="true" outlineLevel="0" collapsed="false">
      <c r="A3148" s="12" t="n">
        <v>21737</v>
      </c>
      <c r="B3148" s="13" t="s">
        <v>13117</v>
      </c>
      <c r="C3148" s="16" t="n">
        <v>46024</v>
      </c>
      <c r="D3148" s="13" t="s">
        <v>144</v>
      </c>
      <c r="E3148" s="15" t="s">
        <v>47</v>
      </c>
      <c r="F3148" s="15" t="str">
        <f aca="false">IFERROR(__xludf.dummyfunction("XLOOKUP(AJ3148,IMPORTRANGE(""1XaInW9DU9nz21V0tYIfzFQ0He9kVQ_JF2mCXgZ3hqFA"",""REKAP ALL 2026 - Andika!G:G""),IMPORTRANGE(""1XaInW9DU9nz21V0tYIfzFQ0He9kVQ_JF2mCXgZ3hqFA"",""REKAP ALL 2026 - Andika!F:F""),"""",0)"),"26005759837")</f>
        <v>26005759837</v>
      </c>
      <c r="G3148" s="13" t="s">
        <v>1127</v>
      </c>
      <c r="H3148" s="13" t="s">
        <v>35</v>
      </c>
      <c r="I3148" s="13" t="str">
        <f aca="false">IF(C3148=J3148,"NEW KONTRAK","RE-KONTRAK")</f>
        <v>NEW KONTRAK</v>
      </c>
      <c r="J3148" s="16" t="n">
        <f aca="false" t="array" ref="J3148:J3148">IFERROR(INDEX(AC3148:AE3148,IF(COUNTA(AC3148:AE3148)=0,"",MAX((AC3148:AE3148&lt;&gt;"")*(COLUMN(AC3148:AE3148)-(COLUMN(AC3148)))))-1),"")</f>
        <v>46024</v>
      </c>
      <c r="K3148" s="16" t="n">
        <f aca="false" t="array" ref="K3148:K3148">IFERROR(INDEX(AC3148:AE3148,IF(COUNTA(AC3148:AE3148)=0,"",MAX((AC3148:AE3148&lt;&gt;"")*(COLUMN(AC3148:AE3148)-(COLUMN(AC3148)-1))))-1),"")</f>
        <v>46081</v>
      </c>
      <c r="L3148" s="17" t="str">
        <f aca="false" t="array" ref="L3148:L3148">IFERROR(INDEX(AC3148:AE3148,IF(COUNTA(AC3148:AE3148)=0,"",MAX((AC3148:AE3148&lt;&gt;"")*(COLUMN(AC3148:AE3148)-(COLUMN(AC3148)-2))))-1),"")</f>
        <v>ARCHIVED</v>
      </c>
      <c r="M3148" s="13" t="n">
        <f aca="true">K3148-TODAY()</f>
        <v>-243</v>
      </c>
      <c r="N3148" s="18" t="s">
        <v>36</v>
      </c>
      <c r="O3148" s="13" t="s">
        <v>156</v>
      </c>
      <c r="P3148" s="19" t="n">
        <v>5195401</v>
      </c>
      <c r="Q3148" s="47" t="s">
        <v>13118</v>
      </c>
      <c r="R3148" s="13" t="s">
        <v>13119</v>
      </c>
      <c r="S3148" s="16" t="n">
        <v>35016</v>
      </c>
      <c r="T3148" s="28" t="s">
        <v>40</v>
      </c>
      <c r="U3148" s="13" t="s">
        <v>13120</v>
      </c>
      <c r="V3148" s="13" t="s">
        <v>42</v>
      </c>
      <c r="W3148" s="13" t="s">
        <v>54</v>
      </c>
      <c r="X3148" s="30" t="n">
        <v>87777470168</v>
      </c>
      <c r="Y3148" s="22" t="str">
        <f aca="false">O3148</f>
        <v>Emulsion</v>
      </c>
      <c r="Z3148" s="13" t="str">
        <f aca="false">IFERROR(__xludf.dummyfunction("if(BJ3148="""","""",GOOGLETRANSLATE(BJ3148,""auto"",""en""))"),"Emulsion")</f>
        <v>Emulsion</v>
      </c>
      <c r="AA3148" s="23" t="str">
        <f aca="false">IF(C3148="","", CHOOSE(MONTH(C3148),"January","February","March","April","May","June","July","August","September","October","November","December")&amp;" "&amp;DAY(C3148)&amp;MID("thstndrdth",MIN(9,2*RIGHT(DAY(C3148))*(MOD(DAY(C3148)-11,100)&gt;2)+1),2)&amp;","&amp;TEXT(C3148," yyyy"))</f>
        <v>January 2nd,2026</v>
      </c>
      <c r="AB3148" s="15" t="str">
        <f aca="true">IF(S3148="","",DATEDIF(S3148,TODAY(),"Y")&amp;" Tahun, "&amp;DATEDIF(S3148,TODAY(),"YM")&amp;" Bulan, "&amp;DATEDIF(S3148,TODAY(),"MD")&amp;" Hari")</f>
        <v>30 Tahun, 11 Bulan, 16 Hari</v>
      </c>
      <c r="AC3148" s="18" t="n">
        <v>46024</v>
      </c>
      <c r="AD3148" s="105" t="n">
        <v>46081</v>
      </c>
      <c r="AE3148" s="13" t="s">
        <v>44</v>
      </c>
    </row>
    <row r="3149" customFormat="false" ht="15" hidden="false" customHeight="true" outlineLevel="0" collapsed="false">
      <c r="A3149" s="12" t="n">
        <v>21738</v>
      </c>
      <c r="B3149" s="13" t="s">
        <v>13121</v>
      </c>
      <c r="C3149" s="16" t="n">
        <v>46024</v>
      </c>
      <c r="D3149" s="13" t="s">
        <v>144</v>
      </c>
      <c r="E3149" s="15" t="s">
        <v>47</v>
      </c>
      <c r="F3149" s="15" t="str">
        <f aca="false">IFERROR(__xludf.dummyfunction("XLOOKUP(AJ3149,IMPORTRANGE(""1XaInW9DU9nz21V0tYIfzFQ0He9kVQ_JF2mCXgZ3hqFA"",""REKAP ALL 2026 - Andika!G:G""),IMPORTRANGE(""1XaInW9DU9nz21V0tYIfzFQ0He9kVQ_JF2mCXgZ3hqFA"",""REKAP ALL 2026 - Andika!F:F""),"""",0)"),"26005759886")</f>
        <v>26005759886</v>
      </c>
      <c r="G3149" s="13" t="s">
        <v>1127</v>
      </c>
      <c r="H3149" s="13" t="s">
        <v>35</v>
      </c>
      <c r="I3149" s="13" t="str">
        <f aca="false">IF(C3149=J3149,"NEW KONTRAK","RE-KONTRAK")</f>
        <v>NEW KONTRAK</v>
      </c>
      <c r="J3149" s="16" t="n">
        <f aca="false" t="array" ref="J3149:J3149">IFERROR(INDEX(AC3149:AE3149,IF(COUNTA(AC3149:AE3149)=0,"",MAX((AC3149:AE3149&lt;&gt;"")*(COLUMN(AC3149:AE3149)-(COLUMN(AC3149)))))-1),"")</f>
        <v>46024</v>
      </c>
      <c r="K3149" s="16" t="n">
        <f aca="false" t="array" ref="K3149:K3149">IFERROR(INDEX(AC3149:AE3149,IF(COUNTA(AC3149:AE3149)=0,"",MAX((AC3149:AE3149&lt;&gt;"")*(COLUMN(AC3149:AE3149)-(COLUMN(AC3149)-1))))-1),"")</f>
        <v>46081</v>
      </c>
      <c r="L3149" s="17" t="str">
        <f aca="false" t="array" ref="L3149:L3149">IFERROR(INDEX(AC3149:AE3149,IF(COUNTA(AC3149:AE3149)=0,"",MAX((AC3149:AE3149&lt;&gt;"")*(COLUMN(AC3149:AE3149)-(COLUMN(AC3149)-2))))-1),"")</f>
        <v>ARCHIVED</v>
      </c>
      <c r="M3149" s="13" t="n">
        <f aca="true">K3149-TODAY()</f>
        <v>-243</v>
      </c>
      <c r="N3149" s="18" t="s">
        <v>36</v>
      </c>
      <c r="O3149" s="13" t="s">
        <v>13122</v>
      </c>
      <c r="P3149" s="19" t="n">
        <v>5195401</v>
      </c>
      <c r="Q3149" s="47" t="s">
        <v>13123</v>
      </c>
      <c r="R3149" s="13" t="s">
        <v>65</v>
      </c>
      <c r="S3149" s="16" t="n">
        <v>33732</v>
      </c>
      <c r="T3149" s="28" t="s">
        <v>40</v>
      </c>
      <c r="U3149" s="13" t="s">
        <v>13124</v>
      </c>
      <c r="V3149" s="13" t="s">
        <v>42</v>
      </c>
      <c r="W3149" s="13" t="s">
        <v>54</v>
      </c>
      <c r="X3149" s="30" t="n">
        <v>89833950047</v>
      </c>
      <c r="Y3149" s="22" t="str">
        <f aca="false">O3149</f>
        <v>QC Analisis</v>
      </c>
      <c r="Z3149" s="13" t="str">
        <f aca="false">IFERROR(__xludf.dummyfunction("if(BJ3149="""","""",GOOGLETRANSLATE(BJ3149,""auto"",""en""))"),"QC Analysis")</f>
        <v>QC Analysis</v>
      </c>
      <c r="AA3149" s="23" t="str">
        <f aca="false">IF(C3149="","", CHOOSE(MONTH(C3149),"January","February","March","April","May","June","July","August","September","October","November","December")&amp;" "&amp;DAY(C3149)&amp;MID("thstndrdth",MIN(9,2*RIGHT(DAY(C3149))*(MOD(DAY(C3149)-11,100)&gt;2)+1),2)&amp;","&amp;TEXT(C3149," yyyy"))</f>
        <v>January 2nd,2026</v>
      </c>
      <c r="AB3149" s="15" t="str">
        <f aca="true">IF(S3149="","",DATEDIF(S3149,TODAY(),"Y")&amp;" Tahun, "&amp;DATEDIF(S3149,TODAY(),"YM")&amp;" Bulan, "&amp;DATEDIF(S3149,TODAY(),"MD")&amp;" Hari")</f>
        <v>34 Tahun, 5 Bulan, 21 Hari</v>
      </c>
      <c r="AC3149" s="18" t="n">
        <v>46024</v>
      </c>
      <c r="AD3149" s="105" t="n">
        <v>46081</v>
      </c>
      <c r="AE3149" s="13" t="s">
        <v>44</v>
      </c>
    </row>
    <row r="3150" customFormat="false" ht="15" hidden="false" customHeight="true" outlineLevel="0" collapsed="false">
      <c r="A3150" s="12" t="n">
        <v>21739</v>
      </c>
      <c r="B3150" s="13" t="s">
        <v>13125</v>
      </c>
      <c r="C3150" s="16" t="n">
        <v>46028</v>
      </c>
      <c r="D3150" s="13" t="s">
        <v>144</v>
      </c>
      <c r="E3150" s="15" t="s">
        <v>102</v>
      </c>
      <c r="F3150" s="15" t="str">
        <f aca="false">IFERROR(__xludf.dummyfunction("XLOOKUP(AJ3150,IMPORTRANGE(""1XaInW9DU9nz21V0tYIfzFQ0He9kVQ_JF2mCXgZ3hqFA"",""REKAP ALL 2026 - Andika!G:G""),IMPORTRANGE(""1XaInW9DU9nz21V0tYIfzFQ0He9kVQ_JF2mCXgZ3hqFA"",""REKAP ALL 2026 - Andika!F:F""),"""",0)"),"26020755455")</f>
        <v>26020755455</v>
      </c>
      <c r="G3150" s="13" t="s">
        <v>1127</v>
      </c>
      <c r="H3150" s="13" t="s">
        <v>35</v>
      </c>
      <c r="I3150" s="13" t="str">
        <f aca="false">IF(C3150=J3150,"NEW KONTRAK","RE-KONTRAK")</f>
        <v>NEW KONTRAK</v>
      </c>
      <c r="J3150" s="16" t="n">
        <f aca="false" t="array" ref="J3150:J3150">IFERROR(INDEX(AC3150:AE3150,IF(COUNTA(AC3150:AE3150)=0,"",MAX((AC3150:AE3150&lt;&gt;"")*(COLUMN(AC3150:AE3150)-(COLUMN(AC3150)))))-1),"")</f>
        <v>46028</v>
      </c>
      <c r="K3150" s="16" t="n">
        <f aca="false" t="array" ref="K3150:K3150">IFERROR(INDEX(AC3150:AE3150,IF(COUNTA(AC3150:AE3150)=0,"",MAX((AC3150:AE3150&lt;&gt;"")*(COLUMN(AC3150:AE3150)-(COLUMN(AC3150)-1))))-1),"")</f>
        <v>46081</v>
      </c>
      <c r="L3150" s="17" t="str">
        <f aca="false" t="array" ref="L3150:L3150">IFERROR(INDEX(AC3150:AE3150,IF(COUNTA(AC3150:AE3150)=0,"",MAX((AC3150:AE3150&lt;&gt;"")*(COLUMN(AC3150:AE3150)-(COLUMN(AC3150)-2))))-1),"")</f>
        <v>ARCHIVED</v>
      </c>
      <c r="M3150" s="13" t="n">
        <f aca="true">K3150-TODAY()</f>
        <v>-243</v>
      </c>
      <c r="N3150" s="18" t="s">
        <v>36</v>
      </c>
      <c r="O3150" s="13" t="s">
        <v>12083</v>
      </c>
      <c r="P3150" s="19" t="n">
        <v>5195401</v>
      </c>
      <c r="Q3150" s="47" t="s">
        <v>13126</v>
      </c>
      <c r="R3150" s="13" t="s">
        <v>52</v>
      </c>
      <c r="S3150" s="16" t="n">
        <v>35262</v>
      </c>
      <c r="T3150" s="28" t="s">
        <v>40</v>
      </c>
      <c r="U3150" s="13" t="s">
        <v>13127</v>
      </c>
      <c r="V3150" s="13" t="s">
        <v>42</v>
      </c>
      <c r="W3150" s="13" t="s">
        <v>43</v>
      </c>
      <c r="X3150" s="30" t="n">
        <v>83148016245</v>
      </c>
      <c r="Y3150" s="22" t="str">
        <f aca="false">O3150</f>
        <v>Operator Reacktruck</v>
      </c>
      <c r="Z3150" s="13" t="str">
        <f aca="false">IFERROR(__xludf.dummyfunction("if(BJ3150="""","""",GOOGLETRANSLATE(BJ3150,""auto"",""en""))"),"Operator Reacktruck")</f>
        <v>Operator Reacktruck</v>
      </c>
      <c r="AA3150" s="23" t="str">
        <f aca="false">IF(C3150="","", CHOOSE(MONTH(C3150),"January","February","March","April","May","June","July","August","September","October","November","December")&amp;" "&amp;DAY(C3150)&amp;MID("thstndrdth",MIN(9,2*RIGHT(DAY(C3150))*(MOD(DAY(C3150)-11,100)&gt;2)+1),2)&amp;","&amp;TEXT(C3150," yyyy"))</f>
        <v>January 6th,2026</v>
      </c>
      <c r="AB3150" s="15" t="str">
        <f aca="true">IF(S3150="","",DATEDIF(S3150,TODAY(),"Y")&amp;" Tahun, "&amp;DATEDIF(S3150,TODAY(),"YM")&amp;" Bulan, "&amp;DATEDIF(S3150,TODAY(),"MD")&amp;" Hari")</f>
        <v>30 Tahun, 3 Bulan, 13 Hari</v>
      </c>
      <c r="AC3150" s="18" t="n">
        <v>46028</v>
      </c>
      <c r="AD3150" s="105" t="n">
        <v>46081</v>
      </c>
      <c r="AE3150" s="13" t="s">
        <v>44</v>
      </c>
    </row>
    <row r="3151" customFormat="false" ht="15" hidden="false" customHeight="true" outlineLevel="0" collapsed="false">
      <c r="A3151" s="12" t="n">
        <v>21740</v>
      </c>
      <c r="B3151" s="13" t="s">
        <v>13128</v>
      </c>
      <c r="C3151" s="16" t="n">
        <v>46028</v>
      </c>
      <c r="D3151" s="13" t="s">
        <v>144</v>
      </c>
      <c r="E3151" s="15" t="s">
        <v>102</v>
      </c>
      <c r="F3151" s="24" t="s">
        <v>13129</v>
      </c>
      <c r="G3151" s="13" t="s">
        <v>1127</v>
      </c>
      <c r="H3151" s="13" t="s">
        <v>35</v>
      </c>
      <c r="I3151" s="13" t="str">
        <f aca="false">IF(C3151=J3151,"NEW KONTRAK","RE-KONTRAK")</f>
        <v>NEW KONTRAK</v>
      </c>
      <c r="J3151" s="16" t="n">
        <f aca="false" t="array" ref="J3151:J3151">IFERROR(INDEX(AC3151:AE3151,IF(COUNTA(AC3151:AE3151)=0,"",MAX((AC3151:AE3151&lt;&gt;"")*(COLUMN(AC3151:AE3151)-(COLUMN(AC3151)))))-1),"")</f>
        <v>46028</v>
      </c>
      <c r="K3151" s="16" t="n">
        <f aca="false" t="array" ref="K3151:K3151">IFERROR(INDEX(AC3151:AE3151,IF(COUNTA(AC3151:AE3151)=0,"",MAX((AC3151:AE3151&lt;&gt;"")*(COLUMN(AC3151:AE3151)-(COLUMN(AC3151)-1))))-1),"")</f>
        <v>46081</v>
      </c>
      <c r="L3151" s="17" t="str">
        <f aca="false" t="array" ref="L3151:L3151">IFERROR(INDEX(AC3151:AE3151,IF(COUNTA(AC3151:AE3151)=0,"",MAX((AC3151:AE3151&lt;&gt;"")*(COLUMN(AC3151:AE3151)-(COLUMN(AC3151)-2))))-1),"")</f>
        <v>ARCHIVED</v>
      </c>
      <c r="M3151" s="13" t="n">
        <f aca="true">K3151-TODAY()</f>
        <v>-243</v>
      </c>
      <c r="N3151" s="18" t="s">
        <v>36</v>
      </c>
      <c r="O3151" s="13" t="s">
        <v>12083</v>
      </c>
      <c r="P3151" s="19" t="n">
        <v>5195401</v>
      </c>
      <c r="Q3151" s="47" t="s">
        <v>13130</v>
      </c>
      <c r="R3151" s="13" t="s">
        <v>5930</v>
      </c>
      <c r="S3151" s="16" t="n">
        <v>36555</v>
      </c>
      <c r="T3151" s="28" t="s">
        <v>40</v>
      </c>
      <c r="U3151" s="13" t="s">
        <v>13131</v>
      </c>
      <c r="V3151" s="13" t="s">
        <v>42</v>
      </c>
      <c r="W3151" s="13" t="s">
        <v>43</v>
      </c>
      <c r="X3151" s="30" t="n">
        <v>89550609835</v>
      </c>
      <c r="Y3151" s="22" t="str">
        <f aca="false">O3151</f>
        <v>Operator Reacktruck</v>
      </c>
      <c r="Z3151" s="13" t="str">
        <f aca="false">IFERROR(__xludf.dummyfunction("if(BJ3151="""","""",GOOGLETRANSLATE(BJ3151,""auto"",""en""))"),"Operator Reacktruck")</f>
        <v>Operator Reacktruck</v>
      </c>
      <c r="AA3151" s="23" t="str">
        <f aca="false">IF(C3151="","", CHOOSE(MONTH(C3151),"January","February","March","April","May","June","July","August","September","October","November","December")&amp;" "&amp;DAY(C3151)&amp;MID("thstndrdth",MIN(9,2*RIGHT(DAY(C3151))*(MOD(DAY(C3151)-11,100)&gt;2)+1),2)&amp;","&amp;TEXT(C3151," yyyy"))</f>
        <v>January 6th,2026</v>
      </c>
      <c r="AB3151" s="15" t="str">
        <f aca="true">IF(S3151="","",DATEDIF(S3151,TODAY(),"Y")&amp;" Tahun, "&amp;DATEDIF(S3151,TODAY(),"YM")&amp;" Bulan, "&amp;DATEDIF(S3151,TODAY(),"MD")&amp;" Hari")</f>
        <v>26 Tahun, 8 Bulan, 29 Hari</v>
      </c>
      <c r="AC3151" s="18" t="n">
        <v>46028</v>
      </c>
      <c r="AD3151" s="105" t="n">
        <v>46081</v>
      </c>
      <c r="AE3151" s="13" t="s">
        <v>44</v>
      </c>
    </row>
    <row r="3152" customFormat="false" ht="15" hidden="false" customHeight="true" outlineLevel="0" collapsed="false">
      <c r="A3152" s="12" t="n">
        <v>21741</v>
      </c>
      <c r="B3152" s="13" t="s">
        <v>13132</v>
      </c>
      <c r="C3152" s="16" t="n">
        <v>46028</v>
      </c>
      <c r="D3152" s="13" t="s">
        <v>144</v>
      </c>
      <c r="E3152" s="15" t="s">
        <v>47</v>
      </c>
      <c r="F3152" s="15" t="str">
        <f aca="false">IFERROR(__xludf.dummyfunction("XLOOKUP(AJ3152,IMPORTRANGE(""1XaInW9DU9nz21V0tYIfzFQ0He9kVQ_JF2mCXgZ3hqFA"",""REKAP ALL 2026 - Andika!G:G""),IMPORTRANGE(""1XaInW9DU9nz21V0tYIfzFQ0He9kVQ_JF2mCXgZ3hqFA"",""REKAP ALL 2026 - Andika!F:F""),"""",0)"),"26020755471")</f>
        <v>26020755471</v>
      </c>
      <c r="G3152" s="13" t="s">
        <v>1127</v>
      </c>
      <c r="H3152" s="13" t="s">
        <v>35</v>
      </c>
      <c r="I3152" s="13" t="str">
        <f aca="false">IF(C3152=J3152,"NEW KONTRAK","RE-KONTRAK")</f>
        <v>NEW KONTRAK</v>
      </c>
      <c r="J3152" s="16" t="n">
        <f aca="false" t="array" ref="J3152:J3152">IFERROR(INDEX(AC3152:AE3152,IF(COUNTA(AC3152:AE3152)=0,"",MAX((AC3152:AE3152&lt;&gt;"")*(COLUMN(AC3152:AE3152)-(COLUMN(AC3152)))))-1),"")</f>
        <v>46028</v>
      </c>
      <c r="K3152" s="16" t="n">
        <f aca="false" t="array" ref="K3152:K3152">IFERROR(INDEX(AC3152:AE3152,IF(COUNTA(AC3152:AE3152)=0,"",MAX((AC3152:AE3152&lt;&gt;"")*(COLUMN(AC3152:AE3152)-(COLUMN(AC3152)-1))))-1),"")</f>
        <v>46081</v>
      </c>
      <c r="L3152" s="17" t="str">
        <f aca="false" t="array" ref="L3152:L3152">IFERROR(INDEX(AC3152:AE3152,IF(COUNTA(AC3152:AE3152)=0,"",MAX((AC3152:AE3152&lt;&gt;"")*(COLUMN(AC3152:AE3152)-(COLUMN(AC3152)-2))))-1),"")</f>
        <v>ARCHIVED</v>
      </c>
      <c r="M3152" s="13" t="n">
        <f aca="true">K3152-TODAY()</f>
        <v>-243</v>
      </c>
      <c r="N3152" s="18" t="s">
        <v>36</v>
      </c>
      <c r="O3152" s="13" t="s">
        <v>12083</v>
      </c>
      <c r="P3152" s="19" t="n">
        <v>5195401</v>
      </c>
      <c r="Q3152" s="47" t="s">
        <v>13133</v>
      </c>
      <c r="R3152" s="13" t="s">
        <v>2001</v>
      </c>
      <c r="S3152" s="16" t="n">
        <v>37442</v>
      </c>
      <c r="T3152" s="28" t="s">
        <v>40</v>
      </c>
      <c r="U3152" s="13" t="s">
        <v>13134</v>
      </c>
      <c r="V3152" s="13" t="s">
        <v>42</v>
      </c>
      <c r="W3152" s="13" t="s">
        <v>43</v>
      </c>
      <c r="X3152" s="30" t="n">
        <v>85716878499</v>
      </c>
      <c r="Y3152" s="22" t="str">
        <f aca="false">O3152</f>
        <v>Operator Reacktruck</v>
      </c>
      <c r="Z3152" s="13" t="str">
        <f aca="false">IFERROR(__xludf.dummyfunction("if(BJ3152="""","""",GOOGLETRANSLATE(BJ3152,""auto"",""en""))"),"Operator Reacktruck")</f>
        <v>Operator Reacktruck</v>
      </c>
      <c r="AA3152" s="23" t="str">
        <f aca="false">IF(C3152="","", CHOOSE(MONTH(C3152),"January","February","March","April","May","June","July","August","September","October","November","December")&amp;" "&amp;DAY(C3152)&amp;MID("thstndrdth",MIN(9,2*RIGHT(DAY(C3152))*(MOD(DAY(C3152)-11,100)&gt;2)+1),2)&amp;","&amp;TEXT(C3152," yyyy"))</f>
        <v>January 6th,2026</v>
      </c>
      <c r="AB3152" s="15" t="str">
        <f aca="true">IF(S3152="","",DATEDIF(S3152,TODAY(),"Y")&amp;" Tahun, "&amp;DATEDIF(S3152,TODAY(),"YM")&amp;" Bulan, "&amp;DATEDIF(S3152,TODAY(),"MD")&amp;" Hari")</f>
        <v>24 Tahun, 3 Bulan, 24 Hari</v>
      </c>
      <c r="AC3152" s="18" t="n">
        <v>46028</v>
      </c>
      <c r="AD3152" s="105" t="n">
        <v>46081</v>
      </c>
      <c r="AE3152" s="13" t="s">
        <v>44</v>
      </c>
    </row>
    <row r="3153" customFormat="false" ht="15" hidden="false" customHeight="true" outlineLevel="0" collapsed="false">
      <c r="A3153" s="12" t="n">
        <v>21742</v>
      </c>
      <c r="B3153" s="13" t="s">
        <v>13135</v>
      </c>
      <c r="C3153" s="16" t="n">
        <v>46028</v>
      </c>
      <c r="D3153" s="13" t="s">
        <v>144</v>
      </c>
      <c r="E3153" s="15" t="s">
        <v>789</v>
      </c>
      <c r="F3153" s="15" t="str">
        <f aca="false">IFERROR(__xludf.dummyfunction("XLOOKUP(AJ3153,IMPORTRANGE(""1XaInW9DU9nz21V0tYIfzFQ0He9kVQ_JF2mCXgZ3hqFA"",""REKAP ALL 2026 - Andika!G:G""),IMPORTRANGE(""1XaInW9DU9nz21V0tYIfzFQ0He9kVQ_JF2mCXgZ3hqFA"",""REKAP ALL 2026 - Andika!F:F""),"""",0)"),"26020755489")</f>
        <v>26020755489</v>
      </c>
      <c r="G3153" s="13" t="s">
        <v>1127</v>
      </c>
      <c r="H3153" s="13" t="s">
        <v>35</v>
      </c>
      <c r="I3153" s="13" t="str">
        <f aca="false">IF(C3153=J3153,"NEW KONTRAK","RE-KONTRAK")</f>
        <v>NEW KONTRAK</v>
      </c>
      <c r="J3153" s="16" t="n">
        <f aca="false" t="array" ref="J3153:J3153">IFERROR(INDEX(AC3153:AE3153,IF(COUNTA(AC3153:AE3153)=0,"",MAX((AC3153:AE3153&lt;&gt;"")*(COLUMN(AC3153:AE3153)-(COLUMN(AC3153)))))-1),"")</f>
        <v>46028</v>
      </c>
      <c r="K3153" s="16" t="n">
        <f aca="false" t="array" ref="K3153:K3153">IFERROR(INDEX(AC3153:AE3153,IF(COUNTA(AC3153:AE3153)=0,"",MAX((AC3153:AE3153&lt;&gt;"")*(COLUMN(AC3153:AE3153)-(COLUMN(AC3153)-1))))-1),"")</f>
        <v>46081</v>
      </c>
      <c r="L3153" s="17" t="str">
        <f aca="false" t="array" ref="L3153:L3153">IFERROR(INDEX(AC3153:AE3153,IF(COUNTA(AC3153:AE3153)=0,"",MAX((AC3153:AE3153&lt;&gt;"")*(COLUMN(AC3153:AE3153)-(COLUMN(AC3153)-2))))-1),"")</f>
        <v>ARCHIVED</v>
      </c>
      <c r="M3153" s="13" t="n">
        <f aca="true">K3153-TODAY()</f>
        <v>-243</v>
      </c>
      <c r="N3153" s="18" t="s">
        <v>36</v>
      </c>
      <c r="O3153" s="13" t="s">
        <v>9279</v>
      </c>
      <c r="P3153" s="19" t="n">
        <v>5195401</v>
      </c>
      <c r="Q3153" s="47" t="s">
        <v>13136</v>
      </c>
      <c r="R3153" s="13" t="s">
        <v>2359</v>
      </c>
      <c r="S3153" s="16" t="n">
        <v>35889</v>
      </c>
      <c r="T3153" s="28" t="s">
        <v>40</v>
      </c>
      <c r="U3153" s="13" t="s">
        <v>13137</v>
      </c>
      <c r="V3153" s="13" t="s">
        <v>42</v>
      </c>
      <c r="W3153" s="13" t="s">
        <v>43</v>
      </c>
      <c r="X3153" s="30" t="n">
        <v>82121655852</v>
      </c>
      <c r="Y3153" s="22" t="str">
        <f aca="false">O3153</f>
        <v>Picker Gudang</v>
      </c>
      <c r="Z3153" s="13" t="str">
        <f aca="false">IFERROR(__xludf.dummyfunction("if(BJ3153="""","""",GOOGLETRANSLATE(BJ3153,""auto"",""en""))"),"Warehouse Picker")</f>
        <v>Warehouse Picker</v>
      </c>
      <c r="AA3153" s="23" t="str">
        <f aca="false">IF(C3153="","", CHOOSE(MONTH(C3153),"January","February","March","April","May","June","July","August","September","October","November","December")&amp;" "&amp;DAY(C3153)&amp;MID("thstndrdth",MIN(9,2*RIGHT(DAY(C3153))*(MOD(DAY(C3153)-11,100)&gt;2)+1),2)&amp;","&amp;TEXT(C3153," yyyy"))</f>
        <v>January 6th,2026</v>
      </c>
      <c r="AB3153" s="15" t="str">
        <f aca="true">IF(S3153="","",DATEDIF(S3153,TODAY(),"Y")&amp;" Tahun, "&amp;DATEDIF(S3153,TODAY(),"YM")&amp;" Bulan, "&amp;DATEDIF(S3153,TODAY(),"MD")&amp;" Hari")</f>
        <v>28 Tahun, 6 Bulan, 25 Hari</v>
      </c>
      <c r="AC3153" s="18" t="n">
        <v>46028</v>
      </c>
      <c r="AD3153" s="105" t="n">
        <v>46081</v>
      </c>
      <c r="AE3153" s="13" t="s">
        <v>44</v>
      </c>
    </row>
    <row r="3154" customFormat="false" ht="15" hidden="false" customHeight="true" outlineLevel="0" collapsed="false">
      <c r="A3154" s="12" t="n">
        <v>21743</v>
      </c>
      <c r="B3154" s="13" t="s">
        <v>13138</v>
      </c>
      <c r="C3154" s="16" t="n">
        <v>46028</v>
      </c>
      <c r="D3154" s="13" t="s">
        <v>144</v>
      </c>
      <c r="E3154" s="15" t="s">
        <v>47</v>
      </c>
      <c r="F3154" s="15" t="str">
        <f aca="false">IFERROR(__xludf.dummyfunction("XLOOKUP(AJ3154,IMPORTRANGE(""1XaInW9DU9nz21V0tYIfzFQ0He9kVQ_JF2mCXgZ3hqFA"",""REKAP ALL 2026 - Andika!G:G""),IMPORTRANGE(""1XaInW9DU9nz21V0tYIfzFQ0He9kVQ_JF2mCXgZ3hqFA"",""REKAP ALL 2026 - Andika!F:F""),"""",0)"),"26020755497")</f>
        <v>26020755497</v>
      </c>
      <c r="G3154" s="13" t="s">
        <v>1127</v>
      </c>
      <c r="H3154" s="13" t="s">
        <v>35</v>
      </c>
      <c r="I3154" s="13" t="str">
        <f aca="false">IF(C3154=J3154,"NEW KONTRAK","RE-KONTRAK")</f>
        <v>NEW KONTRAK</v>
      </c>
      <c r="J3154" s="16" t="n">
        <f aca="false" t="array" ref="J3154:J3154">IFERROR(INDEX(AC3154:AE3154,IF(COUNTA(AC3154:AE3154)=0,"",MAX((AC3154:AE3154&lt;&gt;"")*(COLUMN(AC3154:AE3154)-(COLUMN(AC3154)))))-1),"")</f>
        <v>46028</v>
      </c>
      <c r="K3154" s="16" t="n">
        <f aca="false" t="array" ref="K3154:K3154">IFERROR(INDEX(AC3154:AE3154,IF(COUNTA(AC3154:AE3154)=0,"",MAX((AC3154:AE3154&lt;&gt;"")*(COLUMN(AC3154:AE3154)-(COLUMN(AC3154)-1))))-1),"")</f>
        <v>46081</v>
      </c>
      <c r="L3154" s="17" t="str">
        <f aca="false" t="array" ref="L3154:L3154">IFERROR(INDEX(AC3154:AE3154,IF(COUNTA(AC3154:AE3154)=0,"",MAX((AC3154:AE3154&lt;&gt;"")*(COLUMN(AC3154:AE3154)-(COLUMN(AC3154)-2))))-1),"")</f>
        <v>ARCHIVED</v>
      </c>
      <c r="M3154" s="13" t="n">
        <f aca="true">K3154-TODAY()</f>
        <v>-243</v>
      </c>
      <c r="N3154" s="18" t="s">
        <v>36</v>
      </c>
      <c r="O3154" s="13" t="s">
        <v>9279</v>
      </c>
      <c r="P3154" s="19" t="n">
        <v>5195401</v>
      </c>
      <c r="Q3154" s="47" t="s">
        <v>13139</v>
      </c>
      <c r="R3154" s="13" t="s">
        <v>78</v>
      </c>
      <c r="S3154" s="16" t="n">
        <v>37888</v>
      </c>
      <c r="T3154" s="28" t="s">
        <v>40</v>
      </c>
      <c r="U3154" s="13" t="s">
        <v>13140</v>
      </c>
      <c r="V3154" s="13" t="s">
        <v>42</v>
      </c>
      <c r="W3154" s="13" t="s">
        <v>43</v>
      </c>
      <c r="X3154" s="30" t="n">
        <v>85198680002</v>
      </c>
      <c r="Y3154" s="22" t="str">
        <f aca="false">O3154</f>
        <v>Picker Gudang</v>
      </c>
      <c r="Z3154" s="13" t="str">
        <f aca="false">IFERROR(__xludf.dummyfunction("if(BJ3154="""","""",GOOGLETRANSLATE(BJ3154,""auto"",""en""))"),"Warehouse Picker")</f>
        <v>Warehouse Picker</v>
      </c>
      <c r="AA3154" s="23" t="str">
        <f aca="false">IF(C3154="","", CHOOSE(MONTH(C3154),"January","February","March","April","May","June","July","August","September","October","November","December")&amp;" "&amp;DAY(C3154)&amp;MID("thstndrdth",MIN(9,2*RIGHT(DAY(C3154))*(MOD(DAY(C3154)-11,100)&gt;2)+1),2)&amp;","&amp;TEXT(C3154," yyyy"))</f>
        <v>January 6th,2026</v>
      </c>
      <c r="AB3154" s="15" t="str">
        <f aca="true">IF(S3154="","",DATEDIF(S3154,TODAY(),"Y")&amp;" Tahun, "&amp;DATEDIF(S3154,TODAY(),"YM")&amp;" Bulan, "&amp;DATEDIF(S3154,TODAY(),"MD")&amp;" Hari")</f>
        <v>23 Tahun, 1 Bulan, 5 Hari</v>
      </c>
      <c r="AC3154" s="18" t="n">
        <v>46028</v>
      </c>
      <c r="AD3154" s="105" t="n">
        <v>46081</v>
      </c>
      <c r="AE3154" s="13" t="s">
        <v>44</v>
      </c>
    </row>
    <row r="3155" customFormat="false" ht="15" hidden="false" customHeight="true" outlineLevel="0" collapsed="false">
      <c r="A3155" s="12" t="n">
        <v>21744</v>
      </c>
      <c r="B3155" s="13" t="s">
        <v>13141</v>
      </c>
      <c r="C3155" s="16" t="n">
        <v>46028</v>
      </c>
      <c r="D3155" s="13" t="s">
        <v>144</v>
      </c>
      <c r="E3155" s="15" t="s">
        <v>102</v>
      </c>
      <c r="F3155" s="24" t="s">
        <v>13142</v>
      </c>
      <c r="G3155" s="13" t="s">
        <v>1127</v>
      </c>
      <c r="H3155" s="13" t="s">
        <v>35</v>
      </c>
      <c r="I3155" s="13" t="str">
        <f aca="false">IF(C3155=J3155,"NEW KONTRAK","RE-KONTRAK")</f>
        <v>NEW KONTRAK</v>
      </c>
      <c r="J3155" s="16" t="n">
        <f aca="false" t="array" ref="J3155:J3155">IFERROR(INDEX(AC3155:AE3155,IF(COUNTA(AC3155:AE3155)=0,"",MAX((AC3155:AE3155&lt;&gt;"")*(COLUMN(AC3155:AE3155)-(COLUMN(AC3155)))))-1),"")</f>
        <v>46028</v>
      </c>
      <c r="K3155" s="16" t="n">
        <f aca="false" t="array" ref="K3155:K3155">IFERROR(INDEX(AC3155:AE3155,IF(COUNTA(AC3155:AE3155)=0,"",MAX((AC3155:AE3155&lt;&gt;"")*(COLUMN(AC3155:AE3155)-(COLUMN(AC3155)-1))))-1),"")</f>
        <v>46058</v>
      </c>
      <c r="L3155" s="17" t="str">
        <f aca="false" t="array" ref="L3155:L3155">IFERROR(INDEX(AC3155:AE3155,IF(COUNTA(AC3155:AE3155)=0,"",MAX((AC3155:AE3155&lt;&gt;"")*(COLUMN(AC3155:AE3155)-(COLUMN(AC3155)-2))))-1),"")</f>
        <v>ARCHIVED</v>
      </c>
      <c r="M3155" s="13" t="n">
        <f aca="true">K3155-TODAY()</f>
        <v>-266</v>
      </c>
      <c r="N3155" s="18" t="s">
        <v>36</v>
      </c>
      <c r="O3155" s="13" t="s">
        <v>156</v>
      </c>
      <c r="P3155" s="19" t="n">
        <v>5195401</v>
      </c>
      <c r="Q3155" s="47" t="s">
        <v>13143</v>
      </c>
      <c r="R3155" s="13" t="s">
        <v>65</v>
      </c>
      <c r="S3155" s="16" t="n">
        <v>36714</v>
      </c>
      <c r="T3155" s="28" t="s">
        <v>40</v>
      </c>
      <c r="U3155" s="13" t="s">
        <v>13144</v>
      </c>
      <c r="V3155" s="13" t="s">
        <v>42</v>
      </c>
      <c r="W3155" s="13" t="s">
        <v>43</v>
      </c>
      <c r="X3155" s="30" t="n">
        <v>85878729825</v>
      </c>
      <c r="Y3155" s="22" t="str">
        <f aca="false">O3155</f>
        <v>Emulsion</v>
      </c>
      <c r="Z3155" s="13" t="str">
        <f aca="false">IFERROR(__xludf.dummyfunction("if(BJ3155="""","""",GOOGLETRANSLATE(BJ3155,""auto"",""en""))"),"Emulsion")</f>
        <v>Emulsion</v>
      </c>
      <c r="AA3155" s="23" t="str">
        <f aca="false">IF(C3155="","", CHOOSE(MONTH(C3155),"January","February","March","April","May","June","July","August","September","October","November","December")&amp;" "&amp;DAY(C3155)&amp;MID("thstndrdth",MIN(9,2*RIGHT(DAY(C3155))*(MOD(DAY(C3155)-11,100)&gt;2)+1),2)&amp;","&amp;TEXT(C3155," yyyy"))</f>
        <v>January 6th,2026</v>
      </c>
      <c r="AB3155" s="15" t="str">
        <f aca="true">IF(S3155="","",DATEDIF(S3155,TODAY(),"Y")&amp;" Tahun, "&amp;DATEDIF(S3155,TODAY(),"YM")&amp;" Bulan, "&amp;DATEDIF(S3155,TODAY(),"MD")&amp;" Hari")</f>
        <v>26 Tahun, 3 Bulan, 22 Hari</v>
      </c>
      <c r="AC3155" s="18" t="n">
        <v>46028</v>
      </c>
      <c r="AD3155" s="105" t="n">
        <f aca="false">EDATE(AC3155,1)-1</f>
        <v>46058</v>
      </c>
      <c r="AE3155" s="13" t="s">
        <v>44</v>
      </c>
    </row>
    <row r="3156" customFormat="false" ht="15" hidden="false" customHeight="true" outlineLevel="0" collapsed="false">
      <c r="A3156" s="12" t="n">
        <v>21745</v>
      </c>
      <c r="B3156" s="13" t="s">
        <v>13145</v>
      </c>
      <c r="C3156" s="16" t="n">
        <v>46028</v>
      </c>
      <c r="D3156" s="13" t="s">
        <v>144</v>
      </c>
      <c r="E3156" s="15" t="s">
        <v>102</v>
      </c>
      <c r="F3156" s="24" t="s">
        <v>13146</v>
      </c>
      <c r="G3156" s="13" t="s">
        <v>1127</v>
      </c>
      <c r="H3156" s="13" t="s">
        <v>35</v>
      </c>
      <c r="I3156" s="13" t="str">
        <f aca="false">IF(C3156=J3156,"NEW KONTRAK","RE-KONTRAK")</f>
        <v>NEW KONTRAK</v>
      </c>
      <c r="J3156" s="16" t="n">
        <f aca="false" t="array" ref="J3156:J3156">IFERROR(INDEX(AC3156:AE3156,IF(COUNTA(AC3156:AE3156)=0,"",MAX((AC3156:AE3156&lt;&gt;"")*(COLUMN(AC3156:AE3156)-(COLUMN(AC3156)))))-1),"")</f>
        <v>46028</v>
      </c>
      <c r="K3156" s="16" t="n">
        <f aca="false" t="array" ref="K3156:K3156">IFERROR(INDEX(AC3156:AE3156,IF(COUNTA(AC3156:AE3156)=0,"",MAX((AC3156:AE3156&lt;&gt;"")*(COLUMN(AC3156:AE3156)-(COLUMN(AC3156)-1))))-1),"")</f>
        <v>46058</v>
      </c>
      <c r="L3156" s="17" t="str">
        <f aca="false" t="array" ref="L3156:L3156">IFERROR(INDEX(AC3156:AE3156,IF(COUNTA(AC3156:AE3156)=0,"",MAX((AC3156:AE3156&lt;&gt;"")*(COLUMN(AC3156:AE3156)-(COLUMN(AC3156)-2))))-1),"")</f>
        <v>ARCHIVED</v>
      </c>
      <c r="M3156" s="13" t="n">
        <f aca="true">K3156-TODAY()</f>
        <v>-266</v>
      </c>
      <c r="N3156" s="18" t="s">
        <v>36</v>
      </c>
      <c r="O3156" s="13" t="s">
        <v>156</v>
      </c>
      <c r="P3156" s="19" t="n">
        <v>5195401</v>
      </c>
      <c r="Q3156" s="47" t="s">
        <v>13147</v>
      </c>
      <c r="R3156" s="13" t="s">
        <v>65</v>
      </c>
      <c r="S3156" s="16" t="n">
        <v>36429</v>
      </c>
      <c r="T3156" s="28" t="s">
        <v>40</v>
      </c>
      <c r="U3156" s="13" t="s">
        <v>13148</v>
      </c>
      <c r="V3156" s="13" t="s">
        <v>42</v>
      </c>
      <c r="W3156" s="13" t="s">
        <v>43</v>
      </c>
      <c r="X3156" s="30" t="n">
        <v>85826949588</v>
      </c>
      <c r="Y3156" s="22" t="str">
        <f aca="false">O3156</f>
        <v>Emulsion</v>
      </c>
      <c r="Z3156" s="13" t="str">
        <f aca="false">IFERROR(__xludf.dummyfunction("if(BJ3156="""","""",GOOGLETRANSLATE(BJ3156,""auto"",""en""))"),"Emulsion")</f>
        <v>Emulsion</v>
      </c>
      <c r="AA3156" s="23" t="str">
        <f aca="false">IF(C3156="","", CHOOSE(MONTH(C3156),"January","February","March","April","May","June","July","August","September","October","November","December")&amp;" "&amp;DAY(C3156)&amp;MID("thstndrdth",MIN(9,2*RIGHT(DAY(C3156))*(MOD(DAY(C3156)-11,100)&gt;2)+1),2)&amp;","&amp;TEXT(C3156," yyyy"))</f>
        <v>January 6th,2026</v>
      </c>
      <c r="AB3156" s="15" t="str">
        <f aca="true">IF(S3156="","",DATEDIF(S3156,TODAY(),"Y")&amp;" Tahun, "&amp;DATEDIF(S3156,TODAY(),"YM")&amp;" Bulan, "&amp;DATEDIF(S3156,TODAY(),"MD")&amp;" Hari")</f>
        <v>27 Tahun, 1 Bulan, 3 Hari</v>
      </c>
      <c r="AC3156" s="18" t="n">
        <v>46028</v>
      </c>
      <c r="AD3156" s="105" t="n">
        <f aca="false">EDATE(AC3156,1)-1</f>
        <v>46058</v>
      </c>
      <c r="AE3156" s="13" t="s">
        <v>44</v>
      </c>
    </row>
    <row r="3157" customFormat="false" ht="15" hidden="false" customHeight="true" outlineLevel="0" collapsed="false">
      <c r="A3157" s="12" t="n">
        <v>21746</v>
      </c>
      <c r="B3157" s="13" t="s">
        <v>13149</v>
      </c>
      <c r="C3157" s="16" t="n">
        <v>46028</v>
      </c>
      <c r="D3157" s="13" t="s">
        <v>144</v>
      </c>
      <c r="E3157" s="15" t="s">
        <v>789</v>
      </c>
      <c r="F3157" s="15" t="str">
        <f aca="false">IFERROR(__xludf.dummyfunction("XLOOKUP(AJ3157,IMPORTRANGE(""1XaInW9DU9nz21V0tYIfzFQ0He9kVQ_JF2mCXgZ3hqFA"",""REKAP ALL 2026 - Andika!G:G""),IMPORTRANGE(""1XaInW9DU9nz21V0tYIfzFQ0He9kVQ_JF2mCXgZ3hqFA"",""REKAP ALL 2026 - Andika!F:F""),"""",0)"),"26020755521")</f>
        <v>26020755521</v>
      </c>
      <c r="G3157" s="13" t="s">
        <v>1127</v>
      </c>
      <c r="H3157" s="13" t="s">
        <v>35</v>
      </c>
      <c r="I3157" s="13" t="str">
        <f aca="false">IF(C3157=J3157,"NEW KONTRAK","RE-KONTRAK")</f>
        <v>NEW KONTRAK</v>
      </c>
      <c r="J3157" s="16" t="n">
        <f aca="false" t="array" ref="J3157:J3157">IFERROR(INDEX(AC3157:AE3157,IF(COUNTA(AC3157:AE3157)=0,"",MAX((AC3157:AE3157&lt;&gt;"")*(COLUMN(AC3157:AE3157)-(COLUMN(AC3157)))))-1),"")</f>
        <v>46028</v>
      </c>
      <c r="K3157" s="16" t="n">
        <f aca="false" t="array" ref="K3157:K3157">IFERROR(INDEX(AC3157:AE3157,IF(COUNTA(AC3157:AE3157)=0,"",MAX((AC3157:AE3157&lt;&gt;"")*(COLUMN(AC3157:AE3157)-(COLUMN(AC3157)-1))))-1),"")</f>
        <v>46081</v>
      </c>
      <c r="L3157" s="17" t="str">
        <f aca="false" t="array" ref="L3157:L3157">IFERROR(INDEX(AC3157:AE3157,IF(COUNTA(AC3157:AE3157)=0,"",MAX((AC3157:AE3157&lt;&gt;"")*(COLUMN(AC3157:AE3157)-(COLUMN(AC3157)-2))))-1),"")</f>
        <v>ARCHIVED</v>
      </c>
      <c r="M3157" s="13" t="n">
        <f aca="true">K3157-TODAY()</f>
        <v>-243</v>
      </c>
      <c r="N3157" s="18" t="s">
        <v>36</v>
      </c>
      <c r="O3157" s="13" t="s">
        <v>12474</v>
      </c>
      <c r="P3157" s="19" t="n">
        <v>5195401</v>
      </c>
      <c r="Q3157" s="47" t="s">
        <v>13150</v>
      </c>
      <c r="R3157" s="13" t="s">
        <v>78</v>
      </c>
      <c r="S3157" s="16" t="n">
        <v>35972</v>
      </c>
      <c r="T3157" s="28" t="s">
        <v>40</v>
      </c>
      <c r="U3157" s="13" t="s">
        <v>9196</v>
      </c>
      <c r="V3157" s="13" t="s">
        <v>42</v>
      </c>
      <c r="W3157" s="13" t="s">
        <v>43</v>
      </c>
      <c r="X3157" s="30" t="n">
        <v>83194705516</v>
      </c>
      <c r="Y3157" s="22" t="str">
        <f aca="false">O3157</f>
        <v>Produksi Emulsion</v>
      </c>
      <c r="Z3157" s="13" t="str">
        <f aca="false">IFERROR(__xludf.dummyfunction("if(BJ3157="""","""",GOOGLETRANSLATE(BJ3157,""auto"",""en""))"),"Emulsion Production")</f>
        <v>Emulsion Production</v>
      </c>
      <c r="AA3157" s="23" t="str">
        <f aca="false">IF(C3157="","", CHOOSE(MONTH(C3157),"January","February","March","April","May","June","July","August","September","October","November","December")&amp;" "&amp;DAY(C3157)&amp;MID("thstndrdth",MIN(9,2*RIGHT(DAY(C3157))*(MOD(DAY(C3157)-11,100)&gt;2)+1),2)&amp;","&amp;TEXT(C3157," yyyy"))</f>
        <v>January 6th,2026</v>
      </c>
      <c r="AB3157" s="15" t="str">
        <f aca="true">IF(S3157="","",DATEDIF(S3157,TODAY(),"Y")&amp;" Tahun, "&amp;DATEDIF(S3157,TODAY(),"YM")&amp;" Bulan, "&amp;DATEDIF(S3157,TODAY(),"MD")&amp;" Hari")</f>
        <v>28 Tahun, 4 Bulan, 3 Hari</v>
      </c>
      <c r="AC3157" s="18" t="n">
        <v>46028</v>
      </c>
      <c r="AD3157" s="105" t="n">
        <v>46081</v>
      </c>
      <c r="AE3157" s="13" t="s">
        <v>44</v>
      </c>
    </row>
    <row r="3158" customFormat="false" ht="15" hidden="false" customHeight="true" outlineLevel="0" collapsed="false">
      <c r="A3158" s="12" t="n">
        <v>21747</v>
      </c>
      <c r="B3158" s="13" t="s">
        <v>13151</v>
      </c>
      <c r="C3158" s="16" t="n">
        <v>46028</v>
      </c>
      <c r="D3158" s="13" t="s">
        <v>144</v>
      </c>
      <c r="E3158" s="15" t="s">
        <v>102</v>
      </c>
      <c r="F3158" s="15" t="str">
        <f aca="false">IFERROR(__xludf.dummyfunction("XLOOKUP(AJ3158,IMPORTRANGE(""1XaInW9DU9nz21V0tYIfzFQ0He9kVQ_JF2mCXgZ3hqFA"",""REKAP ALL 2026 - Andika!G:G""),IMPORTRANGE(""1XaInW9DU9nz21V0tYIfzFQ0He9kVQ_JF2mCXgZ3hqFA"",""REKAP ALL 2026 - Andika!F:F""),"""",0)"),"26020755539")</f>
        <v>26020755539</v>
      </c>
      <c r="G3158" s="13" t="s">
        <v>1127</v>
      </c>
      <c r="H3158" s="13" t="s">
        <v>35</v>
      </c>
      <c r="I3158" s="13" t="str">
        <f aca="false">IF(C3158=J3158,"NEW KONTRAK","RE-KONTRAK")</f>
        <v>NEW KONTRAK</v>
      </c>
      <c r="J3158" s="16" t="n">
        <f aca="false" t="array" ref="J3158:J3158">IFERROR(INDEX(AC3158:AE3158,IF(COUNTA(AC3158:AE3158)=0,"",MAX((AC3158:AE3158&lt;&gt;"")*(COLUMN(AC3158:AE3158)-(COLUMN(AC3158)))))-1),"")</f>
        <v>46028</v>
      </c>
      <c r="K3158" s="16" t="n">
        <f aca="false" t="array" ref="K3158:K3158">IFERROR(INDEX(AC3158:AE3158,IF(COUNTA(AC3158:AE3158)=0,"",MAX((AC3158:AE3158&lt;&gt;"")*(COLUMN(AC3158:AE3158)-(COLUMN(AC3158)-1))))-1),"")</f>
        <v>46081</v>
      </c>
      <c r="L3158" s="17" t="str">
        <f aca="false" t="array" ref="L3158:L3158">IFERROR(INDEX(AC3158:AE3158,IF(COUNTA(AC3158:AE3158)=0,"",MAX((AC3158:AE3158&lt;&gt;"")*(COLUMN(AC3158:AE3158)-(COLUMN(AC3158)-2))))-1),"")</f>
        <v>ARCHIVED</v>
      </c>
      <c r="M3158" s="13" t="n">
        <f aca="true">K3158-TODAY()</f>
        <v>-243</v>
      </c>
      <c r="N3158" s="18" t="s">
        <v>36</v>
      </c>
      <c r="O3158" s="13" t="s">
        <v>146</v>
      </c>
      <c r="P3158" s="19" t="n">
        <v>5195401</v>
      </c>
      <c r="Q3158" s="47" t="s">
        <v>13152</v>
      </c>
      <c r="R3158" s="13" t="s">
        <v>3703</v>
      </c>
      <c r="S3158" s="16" t="n">
        <v>36590</v>
      </c>
      <c r="T3158" s="28" t="s">
        <v>40</v>
      </c>
      <c r="U3158" s="13" t="s">
        <v>13153</v>
      </c>
      <c r="V3158" s="13" t="s">
        <v>42</v>
      </c>
      <c r="W3158" s="13" t="s">
        <v>43</v>
      </c>
      <c r="X3158" s="30" t="n">
        <v>85709749930</v>
      </c>
      <c r="Y3158" s="22" t="str">
        <f aca="false">O3158</f>
        <v>Enamel</v>
      </c>
      <c r="Z3158" s="13" t="str">
        <f aca="false">IFERROR(__xludf.dummyfunction("if(BJ3158="""","""",GOOGLETRANSLATE(BJ3158,""auto"",""en""))"),"Enamel")</f>
        <v>Enamel</v>
      </c>
      <c r="AA3158" s="23" t="str">
        <f aca="false">IF(C3158="","", CHOOSE(MONTH(C3158),"January","February","March","April","May","June","July","August","September","October","November","December")&amp;" "&amp;DAY(C3158)&amp;MID("thstndrdth",MIN(9,2*RIGHT(DAY(C3158))*(MOD(DAY(C3158)-11,100)&gt;2)+1),2)&amp;","&amp;TEXT(C3158," yyyy"))</f>
        <v>January 6th,2026</v>
      </c>
      <c r="AB3158" s="15" t="str">
        <f aca="true">IF(S3158="","",DATEDIF(S3158,TODAY(),"Y")&amp;" Tahun, "&amp;DATEDIF(S3158,TODAY(),"YM")&amp;" Bulan, "&amp;DATEDIF(S3158,TODAY(),"MD")&amp;" Hari")</f>
        <v>26 Tahun, 7 Bulan, 24 Hari</v>
      </c>
      <c r="AC3158" s="18" t="n">
        <v>46028</v>
      </c>
      <c r="AD3158" s="105" t="n">
        <v>46081</v>
      </c>
      <c r="AE3158" s="13" t="s">
        <v>44</v>
      </c>
    </row>
    <row r="3159" customFormat="false" ht="15" hidden="false" customHeight="true" outlineLevel="0" collapsed="false">
      <c r="A3159" s="12" t="n">
        <v>21748</v>
      </c>
      <c r="B3159" s="13" t="s">
        <v>13154</v>
      </c>
      <c r="C3159" s="16" t="n">
        <v>46028</v>
      </c>
      <c r="D3159" s="13" t="s">
        <v>144</v>
      </c>
      <c r="E3159" s="13" t="s">
        <v>789</v>
      </c>
      <c r="F3159" s="15" t="str">
        <f aca="false">IFERROR(__xludf.dummyfunction("XLOOKUP(AJ3159,IMPORTRANGE(""1XaInW9DU9nz21V0tYIfzFQ0He9kVQ_JF2mCXgZ3hqFA"",""REKAP ALL 2026 - Andika!G:G""),IMPORTRANGE(""1XaInW9DU9nz21V0tYIfzFQ0He9kVQ_JF2mCXgZ3hqFA"",""REKAP ALL 2026 - Andika!F:F""),"""",0)"),"26020755547")</f>
        <v>26020755547</v>
      </c>
      <c r="G3159" s="13" t="s">
        <v>1127</v>
      </c>
      <c r="H3159" s="13" t="s">
        <v>35</v>
      </c>
      <c r="I3159" s="13" t="str">
        <f aca="false">IF(C3159=J3159,"NEW KONTRAK","RE-KONTRAK")</f>
        <v>NEW KONTRAK</v>
      </c>
      <c r="J3159" s="16" t="n">
        <f aca="false" t="array" ref="J3159:J3159">IFERROR(INDEX(AC3159:AE3159,IF(COUNTA(AC3159:AE3159)=0,"",MAX((AC3159:AE3159&lt;&gt;"")*(COLUMN(AC3159:AE3159)-(COLUMN(AC3159)))))-1),"")</f>
        <v>46028</v>
      </c>
      <c r="K3159" s="16" t="n">
        <f aca="false" t="array" ref="K3159:K3159">IFERROR(INDEX(AC3159:AE3159,IF(COUNTA(AC3159:AE3159)=0,"",MAX((AC3159:AE3159&lt;&gt;"")*(COLUMN(AC3159:AE3159)-(COLUMN(AC3159)-1))))-1),"")</f>
        <v>46081</v>
      </c>
      <c r="L3159" s="17" t="str">
        <f aca="false" t="array" ref="L3159:L3159">IFERROR(INDEX(AC3159:AE3159,IF(COUNTA(AC3159:AE3159)=0,"",MAX((AC3159:AE3159&lt;&gt;"")*(COLUMN(AC3159:AE3159)-(COLUMN(AC3159)-2))))-1),"")</f>
        <v>ARCHIVED</v>
      </c>
      <c r="M3159" s="13" t="n">
        <f aca="true">K3159-TODAY()</f>
        <v>-243</v>
      </c>
      <c r="N3159" s="18" t="s">
        <v>36</v>
      </c>
      <c r="O3159" s="13" t="s">
        <v>11801</v>
      </c>
      <c r="P3159" s="19" t="n">
        <v>5195401</v>
      </c>
      <c r="Q3159" s="47" t="s">
        <v>13155</v>
      </c>
      <c r="R3159" s="13" t="s">
        <v>65</v>
      </c>
      <c r="S3159" s="16" t="n">
        <v>35601</v>
      </c>
      <c r="T3159" s="28" t="s">
        <v>40</v>
      </c>
      <c r="U3159" s="13" t="s">
        <v>13156</v>
      </c>
      <c r="V3159" s="13" t="s">
        <v>42</v>
      </c>
      <c r="W3159" s="13" t="s">
        <v>43</v>
      </c>
      <c r="X3159" s="21" t="n">
        <v>89627032914</v>
      </c>
      <c r="Y3159" s="22" t="str">
        <f aca="false">O3159</f>
        <v>Produksi Enamel</v>
      </c>
      <c r="Z3159" s="13" t="str">
        <f aca="false">IFERROR(__xludf.dummyfunction("if(BJ3159="""","""",GOOGLETRANSLATE(BJ3159,""auto"",""en""))"),"Enamel Production")</f>
        <v>Enamel Production</v>
      </c>
      <c r="AA3159" s="23" t="str">
        <f aca="false">IF(C3159="","", CHOOSE(MONTH(C3159),"January","February","March","April","May","June","July","August","September","October","November","December")&amp;" "&amp;DAY(C3159)&amp;MID("thstndrdth",MIN(9,2*RIGHT(DAY(C3159))*(MOD(DAY(C3159)-11,100)&gt;2)+1),2)&amp;","&amp;TEXT(C3159," yyyy"))</f>
        <v>January 6th,2026</v>
      </c>
      <c r="AB3159" s="15" t="str">
        <f aca="true">IF(S3159="","",DATEDIF(S3159,TODAY(),"Y")&amp;" Tahun, "&amp;DATEDIF(S3159,TODAY(),"YM")&amp;" Bulan, "&amp;DATEDIF(S3159,TODAY(),"MD")&amp;" Hari")</f>
        <v>29 Tahun, 4 Bulan, 9 Hari</v>
      </c>
      <c r="AC3159" s="18" t="n">
        <v>46028</v>
      </c>
      <c r="AD3159" s="105" t="n">
        <v>46081</v>
      </c>
      <c r="AE3159" s="13" t="s">
        <v>44</v>
      </c>
    </row>
    <row r="3160" customFormat="false" ht="15" hidden="false" customHeight="true" outlineLevel="0" collapsed="false">
      <c r="A3160" s="12" t="n">
        <v>21749</v>
      </c>
      <c r="B3160" s="13" t="s">
        <v>13157</v>
      </c>
      <c r="C3160" s="16" t="n">
        <v>46028</v>
      </c>
      <c r="D3160" s="13" t="s">
        <v>144</v>
      </c>
      <c r="E3160" s="15" t="s">
        <v>102</v>
      </c>
      <c r="F3160" s="24" t="s">
        <v>13158</v>
      </c>
      <c r="G3160" s="13" t="s">
        <v>1127</v>
      </c>
      <c r="H3160" s="13" t="s">
        <v>35</v>
      </c>
      <c r="I3160" s="13" t="str">
        <f aca="false">IF(C3160=J3160,"NEW KONTRAK","RE-KONTRAK")</f>
        <v>NEW KONTRAK</v>
      </c>
      <c r="J3160" s="16" t="n">
        <f aca="false" t="array" ref="J3160:J3160">IFERROR(INDEX(AC3160:AE3160,IF(COUNTA(AC3160:AE3160)=0,"",MAX((AC3160:AE3160&lt;&gt;"")*(COLUMN(AC3160:AE3160)-(COLUMN(AC3160)))))-1),"")</f>
        <v>46028</v>
      </c>
      <c r="K3160" s="16" t="n">
        <f aca="false" t="array" ref="K3160:K3160">IFERROR(INDEX(AC3160:AE3160,IF(COUNTA(AC3160:AE3160)=0,"",MAX((AC3160:AE3160&lt;&gt;"")*(COLUMN(AC3160:AE3160)-(COLUMN(AC3160)-1))))-1),"")</f>
        <v>46081</v>
      </c>
      <c r="L3160" s="17" t="str">
        <f aca="false" t="array" ref="L3160:L3160">IFERROR(INDEX(AC3160:AE3160,IF(COUNTA(AC3160:AE3160)=0,"",MAX((AC3160:AE3160&lt;&gt;"")*(COLUMN(AC3160:AE3160)-(COLUMN(AC3160)-2))))-1),"")</f>
        <v>ARCHIVED</v>
      </c>
      <c r="M3160" s="13" t="n">
        <f aca="true">K3160-TODAY()</f>
        <v>-243</v>
      </c>
      <c r="N3160" s="18" t="s">
        <v>36</v>
      </c>
      <c r="O3160" s="13" t="s">
        <v>146</v>
      </c>
      <c r="P3160" s="19" t="n">
        <v>5195401</v>
      </c>
      <c r="Q3160" s="47" t="s">
        <v>13159</v>
      </c>
      <c r="R3160" s="13" t="s">
        <v>65</v>
      </c>
      <c r="S3160" s="16" t="n">
        <v>38581</v>
      </c>
      <c r="T3160" s="28" t="s">
        <v>40</v>
      </c>
      <c r="U3160" s="13" t="s">
        <v>13160</v>
      </c>
      <c r="V3160" s="13" t="s">
        <v>42</v>
      </c>
      <c r="W3160" s="13" t="s">
        <v>43</v>
      </c>
      <c r="X3160" s="30" t="n">
        <v>83128962309</v>
      </c>
      <c r="Y3160" s="22" t="str">
        <f aca="false">O3160</f>
        <v>Enamel</v>
      </c>
      <c r="Z3160" s="13" t="str">
        <f aca="false">IFERROR(__xludf.dummyfunction("if(BJ3160="""","""",GOOGLETRANSLATE(BJ3160,""auto"",""en""))"),"Enamel")</f>
        <v>Enamel</v>
      </c>
      <c r="AA3160" s="23" t="str">
        <f aca="false">IF(C3160="","", CHOOSE(MONTH(C3160),"January","February","March","April","May","June","July","August","September","October","November","December")&amp;" "&amp;DAY(C3160)&amp;MID("thstndrdth",MIN(9,2*RIGHT(DAY(C3160))*(MOD(DAY(C3160)-11,100)&gt;2)+1),2)&amp;","&amp;TEXT(C3160," yyyy"))</f>
        <v>January 6th,2026</v>
      </c>
      <c r="AB3160" s="15" t="str">
        <f aca="true">IF(S3160="","",DATEDIF(S3160,TODAY(),"Y")&amp;" Tahun, "&amp;DATEDIF(S3160,TODAY(),"YM")&amp;" Bulan, "&amp;DATEDIF(S3160,TODAY(),"MD")&amp;" Hari")</f>
        <v>21 Tahun, 2 Bulan, 12 Hari</v>
      </c>
      <c r="AC3160" s="18" t="n">
        <v>46028</v>
      </c>
      <c r="AD3160" s="105" t="n">
        <v>46081</v>
      </c>
      <c r="AE3160" s="13" t="s">
        <v>44</v>
      </c>
    </row>
    <row r="3161" customFormat="false" ht="15" hidden="false" customHeight="true" outlineLevel="0" collapsed="false">
      <c r="A3161" s="12" t="n">
        <v>21750</v>
      </c>
      <c r="B3161" s="13" t="s">
        <v>13161</v>
      </c>
      <c r="C3161" s="16" t="n">
        <v>46034</v>
      </c>
      <c r="D3161" s="13" t="s">
        <v>144</v>
      </c>
      <c r="E3161" s="15" t="s">
        <v>102</v>
      </c>
      <c r="F3161" s="24" t="s">
        <v>13162</v>
      </c>
      <c r="G3161" s="13" t="s">
        <v>1127</v>
      </c>
      <c r="H3161" s="13" t="s">
        <v>35</v>
      </c>
      <c r="I3161" s="13" t="str">
        <f aca="false">IF(C3161=J3161,"NEW KONTRAK","RE-KONTRAK")</f>
        <v>NEW KONTRAK</v>
      </c>
      <c r="J3161" s="16" t="n">
        <f aca="false" t="array" ref="J3161:J3161">IFERROR(INDEX(AC3161:AE3161,IF(COUNTA(AC3161:AE3161)=0,"",MAX((AC3161:AE3161&lt;&gt;"")*(COLUMN(AC3161:AE3161)-(COLUMN(AC3161)))))-1),"")</f>
        <v>46034</v>
      </c>
      <c r="K3161" s="16" t="n">
        <f aca="false" t="array" ref="K3161:K3161">IFERROR(INDEX(AC3161:AE3161,IF(COUNTA(AC3161:AE3161)=0,"",MAX((AC3161:AE3161&lt;&gt;"")*(COLUMN(AC3161:AE3161)-(COLUMN(AC3161)-1))))-1),"")</f>
        <v>46081</v>
      </c>
      <c r="L3161" s="17" t="str">
        <f aca="false" t="array" ref="L3161:L3161">IFERROR(INDEX(AC3161:AE3161,IF(COUNTA(AC3161:AE3161)=0,"",MAX((AC3161:AE3161&lt;&gt;"")*(COLUMN(AC3161:AE3161)-(COLUMN(AC3161)-2))))-1),"")</f>
        <v>ARCHIVED</v>
      </c>
      <c r="M3161" s="13" t="n">
        <f aca="true">K3161-TODAY()</f>
        <v>-243</v>
      </c>
      <c r="N3161" s="18" t="s">
        <v>36</v>
      </c>
      <c r="O3161" s="13" t="s">
        <v>12083</v>
      </c>
      <c r="P3161" s="19" t="n">
        <v>5195401</v>
      </c>
      <c r="Q3161" s="47" t="s">
        <v>13163</v>
      </c>
      <c r="R3161" s="13" t="s">
        <v>232</v>
      </c>
      <c r="S3161" s="16" t="n">
        <v>35517</v>
      </c>
      <c r="T3161" s="28" t="s">
        <v>40</v>
      </c>
      <c r="U3161" s="13" t="s">
        <v>13164</v>
      </c>
      <c r="V3161" s="13" t="s">
        <v>42</v>
      </c>
      <c r="W3161" s="13" t="s">
        <v>54</v>
      </c>
      <c r="X3161" s="30" t="n">
        <v>82130756263</v>
      </c>
      <c r="Y3161" s="22" t="str">
        <f aca="false">O3161</f>
        <v>Operator Reacktruck</v>
      </c>
      <c r="Z3161" s="13" t="str">
        <f aca="false">IFERROR(__xludf.dummyfunction("if(BJ3161="""","""",GOOGLETRANSLATE(BJ3161,""auto"",""en""))"),"Operator Reacktruck")</f>
        <v>Operator Reacktruck</v>
      </c>
      <c r="AA3161" s="23" t="str">
        <f aca="false">IF(C3161="","", CHOOSE(MONTH(C3161),"January","February","March","April","May","June","July","August","September","October","November","December")&amp;" "&amp;DAY(C3161)&amp;MID("thstndrdth",MIN(9,2*RIGHT(DAY(C3161))*(MOD(DAY(C3161)-11,100)&gt;2)+1),2)&amp;","&amp;TEXT(C3161," yyyy"))</f>
        <v>January 12th,2026</v>
      </c>
      <c r="AB3161" s="15" t="str">
        <f aca="true">IF(S3161="","",DATEDIF(S3161,TODAY(),"Y")&amp;" Tahun, "&amp;DATEDIF(S3161,TODAY(),"YM")&amp;" Bulan, "&amp;DATEDIF(S3161,TODAY(),"MD")&amp;" Hari")</f>
        <v>29 Tahun, 7 Bulan, 1 Hari</v>
      </c>
      <c r="AC3161" s="18" t="n">
        <v>46034</v>
      </c>
      <c r="AD3161" s="105" t="n">
        <v>46081</v>
      </c>
      <c r="AE3161" s="13" t="s">
        <v>44</v>
      </c>
    </row>
    <row r="3162" customFormat="false" ht="15" hidden="false" customHeight="true" outlineLevel="0" collapsed="false">
      <c r="A3162" s="12" t="n">
        <v>21751</v>
      </c>
      <c r="B3162" s="13" t="s">
        <v>13165</v>
      </c>
      <c r="C3162" s="16" t="n">
        <v>46034</v>
      </c>
      <c r="D3162" s="13" t="s">
        <v>144</v>
      </c>
      <c r="E3162" s="15" t="s">
        <v>47</v>
      </c>
      <c r="F3162" s="15" t="str">
        <f aca="false">IFERROR(__xludf.dummyfunction("XLOOKUP(AJ3162,IMPORTRANGE(""1XaInW9DU9nz21V0tYIfzFQ0He9kVQ_JF2mCXgZ3hqFA"",""REKAP ALL 2026 - Andika!G:G""),IMPORTRANGE(""1XaInW9DU9nz21V0tYIfzFQ0He9kVQ_JF2mCXgZ3hqFA"",""REKAP ALL 2026 - Andika!F:F""),"""",0)"),"26020755570")</f>
        <v>26020755570</v>
      </c>
      <c r="G3162" s="13" t="s">
        <v>1127</v>
      </c>
      <c r="H3162" s="13" t="s">
        <v>35</v>
      </c>
      <c r="I3162" s="13" t="str">
        <f aca="false">IF(C3162=J3162,"NEW KONTRAK","RE-KONTRAK")</f>
        <v>NEW KONTRAK</v>
      </c>
      <c r="J3162" s="16" t="n">
        <f aca="false" t="array" ref="J3162:J3162">IFERROR(INDEX(AC3162:AE3162,IF(COUNTA(AC3162:AE3162)=0,"",MAX((AC3162:AE3162&lt;&gt;"")*(COLUMN(AC3162:AE3162)-(COLUMN(AC3162)))))-1),"")</f>
        <v>46034</v>
      </c>
      <c r="K3162" s="16" t="n">
        <f aca="false" t="array" ref="K3162:K3162">IFERROR(INDEX(AC3162:AE3162,IF(COUNTA(AC3162:AE3162)=0,"",MAX((AC3162:AE3162&lt;&gt;"")*(COLUMN(AC3162:AE3162)-(COLUMN(AC3162)-1))))-1),"")</f>
        <v>46081</v>
      </c>
      <c r="L3162" s="17" t="str">
        <f aca="false" t="array" ref="L3162:L3162">IFERROR(INDEX(AC3162:AE3162,IF(COUNTA(AC3162:AE3162)=0,"",MAX((AC3162:AE3162&lt;&gt;"")*(COLUMN(AC3162:AE3162)-(COLUMN(AC3162)-2))))-1),"")</f>
        <v>ARCHIVED</v>
      </c>
      <c r="M3162" s="13" t="n">
        <f aca="true">K3162-TODAY()</f>
        <v>-243</v>
      </c>
      <c r="N3162" s="18" t="s">
        <v>36</v>
      </c>
      <c r="O3162" s="13" t="s">
        <v>76</v>
      </c>
      <c r="P3162" s="19" t="n">
        <v>5195401</v>
      </c>
      <c r="Q3162" s="47" t="s">
        <v>13166</v>
      </c>
      <c r="R3162" s="13" t="s">
        <v>168</v>
      </c>
      <c r="S3162" s="16" t="n">
        <v>35288</v>
      </c>
      <c r="T3162" s="28" t="s">
        <v>40</v>
      </c>
      <c r="U3162" s="13" t="s">
        <v>13167</v>
      </c>
      <c r="V3162" s="13" t="s">
        <v>42</v>
      </c>
      <c r="W3162" s="13" t="s">
        <v>54</v>
      </c>
      <c r="X3162" s="30" t="n">
        <v>89689702838</v>
      </c>
      <c r="Y3162" s="22" t="str">
        <f aca="false">O3162</f>
        <v>Operator Forklift</v>
      </c>
      <c r="Z3162" s="13" t="str">
        <f aca="false">IFERROR(__xludf.dummyfunction("if(BJ3162="""","""",GOOGLETRANSLATE(BJ3162,""auto"",""en""))"),"Operator Forklift")</f>
        <v>Operator Forklift</v>
      </c>
      <c r="AA3162" s="23" t="str">
        <f aca="false">IF(C3162="","", CHOOSE(MONTH(C3162),"January","February","March","April","May","June","July","August","September","October","November","December")&amp;" "&amp;DAY(C3162)&amp;MID("thstndrdth",MIN(9,2*RIGHT(DAY(C3162))*(MOD(DAY(C3162)-11,100)&gt;2)+1),2)&amp;","&amp;TEXT(C3162," yyyy"))</f>
        <v>January 12th,2026</v>
      </c>
      <c r="AB3162" s="15" t="str">
        <f aca="true">IF(S3162="","",DATEDIF(S3162,TODAY(),"Y")&amp;" Tahun, "&amp;DATEDIF(S3162,TODAY(),"YM")&amp;" Bulan, "&amp;DATEDIF(S3162,TODAY(),"MD")&amp;" Hari")</f>
        <v>30 Tahun, 2 Bulan, 18 Hari</v>
      </c>
      <c r="AC3162" s="18" t="n">
        <v>46034</v>
      </c>
      <c r="AD3162" s="105" t="n">
        <v>46081</v>
      </c>
      <c r="AE3162" s="13" t="s">
        <v>44</v>
      </c>
    </row>
    <row r="3163" customFormat="false" ht="15" hidden="false" customHeight="true" outlineLevel="0" collapsed="false">
      <c r="A3163" s="12" t="n">
        <v>21752</v>
      </c>
      <c r="B3163" s="13" t="s">
        <v>13168</v>
      </c>
      <c r="C3163" s="16" t="n">
        <v>46027</v>
      </c>
      <c r="D3163" s="13" t="s">
        <v>3022</v>
      </c>
      <c r="E3163" s="15" t="s">
        <v>47</v>
      </c>
      <c r="F3163" s="24" t="s">
        <v>13169</v>
      </c>
      <c r="G3163" s="13" t="s">
        <v>57</v>
      </c>
      <c r="H3163" s="13" t="s">
        <v>3024</v>
      </c>
      <c r="I3163" s="13" t="str">
        <f aca="false">IF(C3163=J3163,"NEW KONTRAK","RE-KONTRAK")</f>
        <v>NEW KONTRAK</v>
      </c>
      <c r="J3163" s="16" t="n">
        <f aca="false" t="array" ref="J3163:J3163">IFERROR(INDEX(AC3163:AE3163,IF(COUNTA(AC3163:AE3163)=0,"",MAX((AC3163:AE3163&lt;&gt;"")*(COLUMN(AC3163:AE3163)-(COLUMN(AC3163)))))-1),"")</f>
        <v>46027</v>
      </c>
      <c r="K3163" s="16" t="n">
        <f aca="false" t="array" ref="K3163:K3163">IFERROR(INDEX(AC3163:AE3163,IF(COUNTA(AC3163:AE3163)=0,"",MAX((AC3163:AE3163&lt;&gt;"")*(COLUMN(AC3163:AE3163)-(COLUMN(AC3163)-1))))-1),"")</f>
        <v>46116</v>
      </c>
      <c r="L3163" s="17" t="str">
        <f aca="false" t="array" ref="L3163:L3163">IFERROR(INDEX(AC3163:AE3163,IF(COUNTA(AC3163:AE3163)=0,"",MAX((AC3163:AE3163&lt;&gt;"")*(COLUMN(AC3163:AE3163)-(COLUMN(AC3163)-2))))-1),"")</f>
        <v>ARCHIVED</v>
      </c>
      <c r="M3163" s="13" t="n">
        <f aca="true">K3163-TODAY()</f>
        <v>-208</v>
      </c>
      <c r="N3163" s="18" t="s">
        <v>36</v>
      </c>
      <c r="O3163" s="13" t="s">
        <v>58</v>
      </c>
      <c r="P3163" s="19" t="n">
        <v>100000</v>
      </c>
      <c r="Q3163" s="47" t="s">
        <v>13170</v>
      </c>
      <c r="R3163" s="13" t="s">
        <v>39</v>
      </c>
      <c r="S3163" s="16" t="n">
        <v>38867</v>
      </c>
      <c r="T3163" s="28" t="s">
        <v>40</v>
      </c>
      <c r="U3163" s="13" t="s">
        <v>13171</v>
      </c>
      <c r="V3163" s="13" t="s">
        <v>42</v>
      </c>
      <c r="W3163" s="13" t="s">
        <v>43</v>
      </c>
      <c r="X3163" s="21" t="n">
        <v>85732061854</v>
      </c>
      <c r="Y3163" s="22" t="str">
        <f aca="false">O3163</f>
        <v>Produksi</v>
      </c>
      <c r="Z3163" s="13" t="str">
        <f aca="false">IFERROR(__xludf.dummyfunction("if(BJ3163="""","""",GOOGLETRANSLATE(BJ3163,""auto"",""en""))"),"Production")</f>
        <v>Production</v>
      </c>
      <c r="AA3163" s="23" t="str">
        <f aca="false">IF(C3163="","", CHOOSE(MONTH(C3163),"January","February","March","April","May","June","July","August","September","October","November","December")&amp;" "&amp;DAY(C3163)&amp;MID("thstndrdth",MIN(9,2*RIGHT(DAY(C3163))*(MOD(DAY(C3163)-11,100)&gt;2)+1),2)&amp;","&amp;TEXT(C3163," yyyy"))</f>
        <v>January 5th,2026</v>
      </c>
      <c r="AB3163" s="15" t="str">
        <f aca="true">IF(S3163="","",DATEDIF(S3163,TODAY(),"Y")&amp;" Tahun, "&amp;DATEDIF(S3163,TODAY(),"YM")&amp;" Bulan, "&amp;DATEDIF(S3163,TODAY(),"MD")&amp;" Hari")</f>
        <v>20 Tahun, 4 Bulan, 29 Hari</v>
      </c>
      <c r="AC3163" s="18" t="n">
        <v>46027</v>
      </c>
      <c r="AD3163" s="18" t="n">
        <f aca="false">EDATE(AC3163,3)-1</f>
        <v>46116</v>
      </c>
      <c r="AE3163" s="13" t="s">
        <v>44</v>
      </c>
    </row>
    <row r="3164" customFormat="false" ht="15" hidden="false" customHeight="true" outlineLevel="0" collapsed="false">
      <c r="A3164" s="12" t="n">
        <v>21753</v>
      </c>
      <c r="B3164" s="13" t="s">
        <v>13172</v>
      </c>
      <c r="C3164" s="16" t="n">
        <v>46036</v>
      </c>
      <c r="D3164" s="13" t="s">
        <v>393</v>
      </c>
      <c r="E3164" s="15" t="s">
        <v>102</v>
      </c>
      <c r="F3164" s="15" t="str">
        <f aca="false">IFERROR(__xludf.dummyfunction("XLOOKUP(AJ3164,IMPORTRANGE(""1XaInW9DU9nz21V0tYIfzFQ0He9kVQ_JF2mCXgZ3hqFA"",""REKAP ALL 2026 - Andika!G:G""),IMPORTRANGE(""1XaInW9DU9nz21V0tYIfzFQ0He9kVQ_JF2mCXgZ3hqFA"",""REKAP ALL 2026 - Andika!F:F""),"""",0)"),"26020764226")</f>
        <v>26020764226</v>
      </c>
      <c r="G3164" s="28" t="s">
        <v>57</v>
      </c>
      <c r="H3164" s="13" t="s">
        <v>35</v>
      </c>
      <c r="I3164" s="13" t="str">
        <f aca="false">IF(C3164=J3164,"NEW KONTRAK","RE-KONTRAK")</f>
        <v>NEW KONTRAK</v>
      </c>
      <c r="J3164" s="16" t="n">
        <f aca="false" t="array" ref="J3164:J3164">IFERROR(INDEX(AC3164:AE3164,IF(COUNTA(AC3164:AE3164)=0,"",MAX((AC3164:AE3164&lt;&gt;"")*(COLUMN(AC3164:AE3164)-(COLUMN(AC3164)))))-1),"")</f>
        <v>46036</v>
      </c>
      <c r="K3164" s="16" t="n">
        <f aca="false" t="array" ref="K3164:K3164">IFERROR(INDEX(AC3164:AE3164,IF(COUNTA(AC3164:AE3164)=0,"",MAX((AC3164:AE3164&lt;&gt;"")*(COLUMN(AC3164:AE3164)-(COLUMN(AC3164)-1))))-1),"")</f>
        <v>46125</v>
      </c>
      <c r="L3164" s="17" t="str">
        <f aca="false" t="array" ref="L3164:L3164">IFERROR(INDEX(AC3164:AE3164,IF(COUNTA(AC3164:AE3164)=0,"",MAX((AC3164:AE3164&lt;&gt;"")*(COLUMN(AC3164:AE3164)-(COLUMN(AC3164)-2))))-1),"")</f>
        <v>ARCHIVED</v>
      </c>
      <c r="M3164" s="13" t="n">
        <f aca="true">K3164-TODAY()</f>
        <v>-199</v>
      </c>
      <c r="N3164" s="18" t="s">
        <v>105</v>
      </c>
      <c r="O3164" s="13" t="s">
        <v>12879</v>
      </c>
      <c r="P3164" s="19" t="n">
        <v>5191541</v>
      </c>
      <c r="Q3164" s="47" t="s">
        <v>13173</v>
      </c>
      <c r="R3164" s="13" t="s">
        <v>232</v>
      </c>
      <c r="S3164" s="16" t="n">
        <v>36439</v>
      </c>
      <c r="T3164" s="28" t="s">
        <v>40</v>
      </c>
      <c r="U3164" s="13" t="s">
        <v>13174</v>
      </c>
      <c r="V3164" s="13" t="s">
        <v>42</v>
      </c>
      <c r="W3164" s="13" t="s">
        <v>54</v>
      </c>
      <c r="X3164" s="30" t="n">
        <v>85878652785</v>
      </c>
      <c r="Y3164" s="22" t="str">
        <f aca="false">O3164</f>
        <v>Furniture</v>
      </c>
      <c r="Z3164" s="13" t="str">
        <f aca="false">IFERROR(__xludf.dummyfunction("if(BJ3164="""","""",GOOGLETRANSLATE(BJ3164,""auto"",""en""))"),"Furniture")</f>
        <v>Furniture</v>
      </c>
      <c r="AA3164" s="23" t="str">
        <f aca="false">IF(C3164="","", CHOOSE(MONTH(C3164),"January","February","March","April","May","June","July","August","September","October","November","December")&amp;" "&amp;DAY(C3164)&amp;MID("thstndrdth",MIN(9,2*RIGHT(DAY(C3164))*(MOD(DAY(C3164)-11,100)&gt;2)+1),2)&amp;","&amp;TEXT(C3164," yyyy"))</f>
        <v>January 14th,2026</v>
      </c>
      <c r="AB3164" s="15" t="str">
        <f aca="true">IF(S3164="","",DATEDIF(S3164,TODAY(),"Y")&amp;" Tahun, "&amp;DATEDIF(S3164,TODAY(),"YM")&amp;" Bulan, "&amp;DATEDIF(S3164,TODAY(),"MD")&amp;" Hari")</f>
        <v>27 Tahun, 0 Bulan, 23 Hari</v>
      </c>
      <c r="AC3164" s="18" t="n">
        <v>46036</v>
      </c>
      <c r="AD3164" s="18" t="n">
        <f aca="false">EDATE(AC3164,3)-1</f>
        <v>46125</v>
      </c>
      <c r="AE3164" s="13" t="s">
        <v>44</v>
      </c>
    </row>
    <row r="3165" customFormat="false" ht="15" hidden="false" customHeight="true" outlineLevel="0" collapsed="false">
      <c r="A3165" s="12" t="n">
        <v>21754</v>
      </c>
      <c r="B3165" s="13" t="s">
        <v>13175</v>
      </c>
      <c r="C3165" s="16" t="n">
        <v>46029</v>
      </c>
      <c r="D3165" s="13" t="s">
        <v>774</v>
      </c>
      <c r="E3165" s="15" t="s">
        <v>47</v>
      </c>
      <c r="F3165" s="15" t="str">
        <f aca="false">IFERROR(__xludf.dummyfunction("XLOOKUP(AJ3165,IMPORTRANGE(""1XaInW9DU9nz21V0tYIfzFQ0He9kVQ_JF2mCXgZ3hqFA"",""REKAP ALL 2026 - Andika!G:G""),IMPORTRANGE(""1XaInW9DU9nz21V0tYIfzFQ0He9kVQ_JF2mCXgZ3hqFA"",""REKAP ALL 2026 - Andika!F:F""),"""",0)"),"26020760836")</f>
        <v>26020760836</v>
      </c>
      <c r="G3165" s="13" t="s">
        <v>1127</v>
      </c>
      <c r="H3165" s="13" t="s">
        <v>35</v>
      </c>
      <c r="I3165" s="13" t="str">
        <f aca="false">IF(C3165=J3165,"NEW KONTRAK","RE-KONTRAK")</f>
        <v>NEW KONTRAK</v>
      </c>
      <c r="J3165" s="16" t="n">
        <f aca="false" t="array" ref="J3165:J3165">IFERROR(INDEX(AC3165:AE3165,IF(COUNTA(AC3165:AE3165)=0,"",MAX((AC3165:AE3165&lt;&gt;"")*(COLUMN(AC3165:AE3165)-(COLUMN(AC3165)))))-1),"")</f>
        <v>46029</v>
      </c>
      <c r="K3165" s="16" t="n">
        <f aca="false" t="array" ref="K3165:K3165">IFERROR(INDEX(AC3165:AE3165,IF(COUNTA(AC3165:AE3165)=0,"",MAX((AC3165:AE3165&lt;&gt;"")*(COLUMN(AC3165:AE3165)-(COLUMN(AC3165)-1))))-1),"")</f>
        <v>46393</v>
      </c>
      <c r="L3165" s="17" t="str">
        <f aca="false" t="array" ref="L3165:L3165">IFERROR(INDEX(AC3165:AE3165,IF(COUNTA(AC3165:AE3165)=0,"",MAX((AC3165:AE3165&lt;&gt;"")*(COLUMN(AC3165:AE3165)-(COLUMN(AC3165)-2))))-1),"")</f>
        <v>KEMBALI</v>
      </c>
      <c r="M3165" s="13" t="n">
        <f aca="true">K3165-TODAY()</f>
        <v>69</v>
      </c>
      <c r="N3165" s="18" t="s">
        <v>36</v>
      </c>
      <c r="O3165" s="13" t="s">
        <v>13176</v>
      </c>
      <c r="P3165" s="19" t="n">
        <v>5195500</v>
      </c>
      <c r="Q3165" s="47" t="s">
        <v>13177</v>
      </c>
      <c r="R3165" s="13" t="s">
        <v>39</v>
      </c>
      <c r="S3165" s="16" t="n">
        <v>37138</v>
      </c>
      <c r="T3165" s="13" t="s">
        <v>108</v>
      </c>
      <c r="U3165" s="13" t="s">
        <v>13178</v>
      </c>
      <c r="V3165" s="13" t="s">
        <v>42</v>
      </c>
      <c r="W3165" s="13" t="s">
        <v>43</v>
      </c>
      <c r="X3165" s="21" t="n">
        <v>85731957063</v>
      </c>
      <c r="Y3165" s="22" t="str">
        <f aca="false">O3165</f>
        <v>Admin Fat</v>
      </c>
      <c r="Z3165" s="13" t="str">
        <f aca="false">IFERROR(__xludf.dummyfunction("if(BJ3165="""","""",GOOGLETRANSLATE(BJ3165,""auto"",""en""))"),"Admin Fat")</f>
        <v>Admin Fat</v>
      </c>
      <c r="AA3165" s="23" t="str">
        <f aca="false">IF(C3165="","", CHOOSE(MONTH(C3165),"January","February","March","April","May","June","July","August","September","October","November","December")&amp;" "&amp;DAY(C3165)&amp;MID("thstndrdth",MIN(9,2*RIGHT(DAY(C3165))*(MOD(DAY(C3165)-11,100)&gt;2)+1),2)&amp;","&amp;TEXT(C3165," yyyy"))</f>
        <v>January 7th,2026</v>
      </c>
      <c r="AB3165" s="15" t="str">
        <f aca="true">IF(S3165="","",DATEDIF(S3165,TODAY(),"Y")&amp;" Tahun, "&amp;DATEDIF(S3165,TODAY(),"YM")&amp;" Bulan, "&amp;DATEDIF(S3165,TODAY(),"MD")&amp;" Hari")</f>
        <v>25 Tahun, 1 Bulan, 25 Hari</v>
      </c>
      <c r="AC3165" s="18" t="n">
        <v>46029</v>
      </c>
      <c r="AD3165" s="18" t="n">
        <f aca="false">EDATE(AC3165,12)-1</f>
        <v>46393</v>
      </c>
      <c r="AE3165" s="13" t="s">
        <v>397</v>
      </c>
    </row>
    <row r="3166" customFormat="false" ht="15" hidden="false" customHeight="true" outlineLevel="0" collapsed="false">
      <c r="A3166" s="12" t="n">
        <v>21755</v>
      </c>
      <c r="B3166" s="13" t="s">
        <v>13179</v>
      </c>
      <c r="C3166" s="16" t="n">
        <v>45985</v>
      </c>
      <c r="D3166" s="13" t="s">
        <v>774</v>
      </c>
      <c r="E3166" s="15" t="s">
        <v>102</v>
      </c>
      <c r="F3166" s="24" t="s">
        <v>13180</v>
      </c>
      <c r="G3166" s="13" t="s">
        <v>1127</v>
      </c>
      <c r="H3166" s="13" t="s">
        <v>35</v>
      </c>
      <c r="I3166" s="13" t="str">
        <f aca="false">IF(C3166=J3166,"NEW KONTRAK","RE-KONTRAK")</f>
        <v>NEW KONTRAK</v>
      </c>
      <c r="J3166" s="16" t="n">
        <f aca="false" t="array" ref="J3166:J3166">IFERROR(INDEX(AC3166:AE3166,IF(COUNTA(AC3166:AE3166)=0,"",MAX((AC3166:AE3166&lt;&gt;"")*(COLUMN(AC3166:AE3166)-(COLUMN(AC3166)))))-1),"")</f>
        <v>45985</v>
      </c>
      <c r="K3166" s="16" t="n">
        <f aca="false" t="array" ref="K3166:K3166">IFERROR(INDEX(AC3166:AE3166,IF(COUNTA(AC3166:AE3166)=0,"",MAX((AC3166:AE3166&lt;&gt;"")*(COLUMN(AC3166:AE3166)-(COLUMN(AC3166)-1))))-1),"")</f>
        <v>46295</v>
      </c>
      <c r="L3166" s="17" t="str">
        <f aca="false" t="array" ref="L3166:L3166">IFERROR(INDEX(AC3166:AE3166,IF(COUNTA(AC3166:AE3166)=0,"",MAX((AC3166:AE3166&lt;&gt;"")*(COLUMN(AC3166:AE3166)-(COLUMN(AC3166)-2))))-1),"")</f>
        <v>ARCHIVED</v>
      </c>
      <c r="M3166" s="13" t="n">
        <f aca="true">K3166-TODAY()</f>
        <v>-29</v>
      </c>
      <c r="N3166" s="18" t="s">
        <v>36</v>
      </c>
      <c r="O3166" s="13" t="s">
        <v>6877</v>
      </c>
      <c r="P3166" s="19" t="n">
        <v>4000000</v>
      </c>
      <c r="Q3166" s="47" t="s">
        <v>13181</v>
      </c>
      <c r="R3166" s="13" t="s">
        <v>52</v>
      </c>
      <c r="S3166" s="16" t="n">
        <v>37254</v>
      </c>
      <c r="T3166" s="13" t="s">
        <v>108</v>
      </c>
      <c r="U3166" s="13" t="s">
        <v>13182</v>
      </c>
      <c r="V3166" s="13" t="s">
        <v>42</v>
      </c>
      <c r="W3166" s="13" t="s">
        <v>43</v>
      </c>
      <c r="X3166" s="21" t="n">
        <v>85646459039</v>
      </c>
      <c r="Y3166" s="22" t="str">
        <f aca="false">O3166</f>
        <v>Staff Accounting</v>
      </c>
      <c r="Z3166" s="13" t="str">
        <f aca="false">IFERROR(__xludf.dummyfunction("if(BJ3166="""","""",GOOGLETRANSLATE(BJ3166,""auto"",""en""))"),"Staff Accounting")</f>
        <v>Staff Accounting</v>
      </c>
      <c r="AA3166" s="23" t="str">
        <f aca="false">IF(C3166="","", CHOOSE(MONTH(C3166),"January","February","March","April","May","June","July","August","September","October","November","December")&amp;" "&amp;DAY(C3166)&amp;MID("thstndrdth",MIN(9,2*RIGHT(DAY(C3166))*(MOD(DAY(C3166)-11,100)&gt;2)+1),2)&amp;","&amp;TEXT(C3166," yyyy"))</f>
        <v>November 24th,2025</v>
      </c>
      <c r="AB3166" s="15" t="str">
        <f aca="true">IF(S3166="","",DATEDIF(S3166,TODAY(),"Y")&amp;" Tahun, "&amp;DATEDIF(S3166,TODAY(),"YM")&amp;" Bulan, "&amp;DATEDIF(S3166,TODAY(),"MD")&amp;" Hari")</f>
        <v>24 Tahun, 10 Bulan, 0 Hari</v>
      </c>
      <c r="AC3166" s="18" t="n">
        <v>45985</v>
      </c>
      <c r="AD3166" s="105" t="n">
        <v>46295</v>
      </c>
      <c r="AE3166" s="13" t="s">
        <v>44</v>
      </c>
    </row>
    <row r="3167" customFormat="false" ht="15" hidden="false" customHeight="true" outlineLevel="0" collapsed="false">
      <c r="A3167" s="12" t="n">
        <v>21756</v>
      </c>
      <c r="B3167" s="13" t="s">
        <v>13183</v>
      </c>
      <c r="C3167" s="16" t="n">
        <v>46037</v>
      </c>
      <c r="D3167" s="13" t="s">
        <v>10735</v>
      </c>
      <c r="E3167" s="15" t="s">
        <v>102</v>
      </c>
      <c r="F3167" s="15" t="str">
        <f aca="false">IFERROR(__xludf.dummyfunction("XLOOKUP(AJ3167,IMPORTRANGE(""1XaInW9DU9nz21V0tYIfzFQ0He9kVQ_JF2mCXgZ3hqFA"",""REKAP ALL 2026 - Andika!G:G""),IMPORTRANGE(""1XaInW9DU9nz21V0tYIfzFQ0He9kVQ_JF2mCXgZ3hqFA"",""REKAP ALL 2026 - Andika!F:F""),"""",0)"),"26020755323")</f>
        <v>26020755323</v>
      </c>
      <c r="G3167" s="13" t="s">
        <v>1127</v>
      </c>
      <c r="H3167" s="13" t="s">
        <v>35</v>
      </c>
      <c r="I3167" s="13" t="str">
        <f aca="false">IF(C3167=J3167,"NEW KONTRAK","RE-KONTRAK")</f>
        <v>NEW KONTRAK</v>
      </c>
      <c r="J3167" s="16" t="n">
        <f aca="false" t="array" ref="J3167:J3167">IFERROR(INDEX(AC3167:AE3167,IF(COUNTA(AC3167:AE3167)=0,"",MAX((AC3167:AE3167&lt;&gt;"")*(COLUMN(AC3167:AE3167)-(COLUMN(AC3167)))))-1),"")</f>
        <v>46037</v>
      </c>
      <c r="K3167" s="16" t="n">
        <f aca="false" t="array" ref="K3167:K3167">IFERROR(INDEX(AC3167:AE3167,IF(COUNTA(AC3167:AE3167)=0,"",MAX((AC3167:AE3167&lt;&gt;"")*(COLUMN(AC3167:AE3167)-(COLUMN(AC3167)-1))))-1),"")</f>
        <v>46126</v>
      </c>
      <c r="L3167" s="17" t="str">
        <f aca="false" t="array" ref="L3167:L3167">IFERROR(INDEX(AC3167:AE3167,IF(COUNTA(AC3167:AE3167)=0,"",MAX((AC3167:AE3167&lt;&gt;"")*(COLUMN(AC3167:AE3167)-(COLUMN(AC3167)-2))))-1),"")</f>
        <v>ARCHIVED</v>
      </c>
      <c r="M3167" s="13" t="n">
        <f aca="true">K3167-TODAY()</f>
        <v>-198</v>
      </c>
      <c r="N3167" s="18" t="s">
        <v>10508</v>
      </c>
      <c r="O3167" s="13" t="s">
        <v>12429</v>
      </c>
      <c r="P3167" s="19" t="n">
        <v>3000000</v>
      </c>
      <c r="Q3167" s="47" t="s">
        <v>13184</v>
      </c>
      <c r="R3167" s="13" t="s">
        <v>13185</v>
      </c>
      <c r="S3167" s="16" t="n">
        <v>37072</v>
      </c>
      <c r="T3167" s="13" t="s">
        <v>108</v>
      </c>
      <c r="U3167" s="13" t="s">
        <v>13186</v>
      </c>
      <c r="V3167" s="13" t="s">
        <v>42</v>
      </c>
      <c r="W3167" s="13" t="s">
        <v>43</v>
      </c>
      <c r="X3167" s="21" t="n">
        <v>81264265871</v>
      </c>
      <c r="Y3167" s="22" t="str">
        <f aca="false">O3167</f>
        <v>Beauty Advisor</v>
      </c>
      <c r="Z3167" s="13" t="str">
        <f aca="false">IFERROR(__xludf.dummyfunction("if(BJ3167="""","""",GOOGLETRANSLATE(BJ3167,""auto"",""en""))"),"Beauty Advisor")</f>
        <v>Beauty Advisor</v>
      </c>
      <c r="AA3167" s="23" t="str">
        <f aca="false">IF(C3167="","", CHOOSE(MONTH(C3167),"January","February","March","April","May","June","July","August","September","October","November","December")&amp;" "&amp;DAY(C3167)&amp;MID("thstndrdth",MIN(9,2*RIGHT(DAY(C3167))*(MOD(DAY(C3167)-11,100)&gt;2)+1),2)&amp;","&amp;TEXT(C3167," yyyy"))</f>
        <v>January 15th,2026</v>
      </c>
      <c r="AB3167" s="15" t="str">
        <f aca="true">IF(S3167="","",DATEDIF(S3167,TODAY(),"Y")&amp;" Tahun, "&amp;DATEDIF(S3167,TODAY(),"YM")&amp;" Bulan, "&amp;DATEDIF(S3167,TODAY(),"MD")&amp;" Hari")</f>
        <v>25 Tahun, 3 Bulan, 29 Hari</v>
      </c>
      <c r="AC3167" s="18" t="n">
        <v>46037</v>
      </c>
      <c r="AD3167" s="18" t="n">
        <f aca="false">EDATE(AC3167,3)-1</f>
        <v>46126</v>
      </c>
      <c r="AE3167" s="13" t="s">
        <v>44</v>
      </c>
    </row>
    <row r="3168" customFormat="false" ht="15" hidden="false" customHeight="true" outlineLevel="0" collapsed="false">
      <c r="A3168" s="12" t="n">
        <v>21758</v>
      </c>
      <c r="B3168" s="13" t="s">
        <v>13187</v>
      </c>
      <c r="C3168" s="16" t="n">
        <v>46030</v>
      </c>
      <c r="D3168" s="13" t="s">
        <v>1338</v>
      </c>
      <c r="E3168" s="15" t="s">
        <v>789</v>
      </c>
      <c r="F3168" s="15" t="str">
        <f aca="false">IFERROR(__xludf.dummyfunction("XLOOKUP(AJ3168,IMPORTRANGE(""1XaInW9DU9nz21V0tYIfzFQ0He9kVQ_JF2mCXgZ3hqFA"",""REKAP ALL 2026 - Andika!G:G""),IMPORTRANGE(""1XaInW9DU9nz21V0tYIfzFQ0He9kVQ_JF2mCXgZ3hqFA"",""REKAP ALL 2026 - Andika!F:F""),"""",0)"),"26020755125")</f>
        <v>26020755125</v>
      </c>
      <c r="G3168" s="13" t="s">
        <v>57</v>
      </c>
      <c r="H3168" s="13" t="s">
        <v>3024</v>
      </c>
      <c r="I3168" s="13" t="str">
        <f aca="false">IF(C3168=J3168,"NEW KONTRAK","RE-KONTRAK")</f>
        <v>NEW KONTRAK</v>
      </c>
      <c r="J3168" s="16" t="n">
        <f aca="false" t="array" ref="J3168:J3168">IFERROR(INDEX(AC3168:AE3168,IF(COUNTA(AC3168:AE3168)=0,"",MAX((AC3168:AE3168&lt;&gt;"")*(COLUMN(AC3168:AE3168)-(COLUMN(AC3168)))))-1),"")</f>
        <v>46030</v>
      </c>
      <c r="K3168" s="16" t="n">
        <f aca="false" t="array" ref="K3168:K3168">IFERROR(INDEX(AC3168:AE3168,IF(COUNTA(AC3168:AE3168)=0,"",MAX((AC3168:AE3168&lt;&gt;"")*(COLUMN(AC3168:AE3168)-(COLUMN(AC3168)-1))))-1),"")</f>
        <v>46119</v>
      </c>
      <c r="L3168" s="17" t="str">
        <f aca="false" t="array" ref="L3168:L3168">IFERROR(INDEX(AC3168:AE3168,IF(COUNTA(AC3168:AE3168)=0,"",MAX((AC3168:AE3168&lt;&gt;"")*(COLUMN(AC3168:AE3168)-(COLUMN(AC3168)-2))))-1),"")</f>
        <v>ARCHIVED</v>
      </c>
      <c r="M3168" s="13" t="n">
        <f aca="true">K3168-TODAY()</f>
        <v>-205</v>
      </c>
      <c r="N3168" s="18" t="s">
        <v>615</v>
      </c>
      <c r="O3168" s="13" t="s">
        <v>13188</v>
      </c>
      <c r="P3168" s="19" t="n">
        <v>125000</v>
      </c>
      <c r="Q3168" s="47" t="s">
        <v>13189</v>
      </c>
      <c r="R3168" s="13" t="s">
        <v>232</v>
      </c>
      <c r="S3168" s="16" t="n">
        <v>37730</v>
      </c>
      <c r="T3168" s="28" t="s">
        <v>40</v>
      </c>
      <c r="U3168" s="13" t="s">
        <v>13190</v>
      </c>
      <c r="V3168" s="13" t="s">
        <v>42</v>
      </c>
      <c r="W3168" s="13" t="s">
        <v>43</v>
      </c>
      <c r="X3168" s="30" t="n">
        <v>87849733484</v>
      </c>
      <c r="Y3168" s="22" t="str">
        <f aca="false">O3168</f>
        <v>TK Cat Temporer</v>
      </c>
      <c r="Z3168" s="13" t="str">
        <f aca="false">IFERROR(__xludf.dummyfunction("if(BJ3168="""","""",GOOGLETRANSLATE(BJ3168,""auto"",""en""))"),"Temporary Cat Kindergarten")</f>
        <v>Temporary Cat Kindergarten</v>
      </c>
      <c r="AA3168" s="23" t="str">
        <f aca="false">IF(C3168="","", CHOOSE(MONTH(C3168),"January","February","March","April","May","June","July","August","September","October","November","December")&amp;" "&amp;DAY(C3168)&amp;MID("thstndrdth",MIN(9,2*RIGHT(DAY(C3168))*(MOD(DAY(C3168)-11,100)&gt;2)+1),2)&amp;","&amp;TEXT(C3168," yyyy"))</f>
        <v>January 8th,2026</v>
      </c>
      <c r="AB3168" s="15" t="str">
        <f aca="true">IF(S3168="","",DATEDIF(S3168,TODAY(),"Y")&amp;" Tahun, "&amp;DATEDIF(S3168,TODAY(),"YM")&amp;" Bulan, "&amp;DATEDIF(S3168,TODAY(),"MD")&amp;" Hari")</f>
        <v>23 Tahun, 6 Bulan, 10 Hari</v>
      </c>
      <c r="AC3168" s="18" t="n">
        <v>46030</v>
      </c>
      <c r="AD3168" s="18" t="n">
        <f aca="false">EDATE(AC3168,3)-1</f>
        <v>46119</v>
      </c>
      <c r="AE3168" s="13" t="s">
        <v>44</v>
      </c>
    </row>
    <row r="3169" customFormat="false" ht="15" hidden="false" customHeight="true" outlineLevel="0" collapsed="false">
      <c r="A3169" s="12" t="n">
        <v>21759</v>
      </c>
      <c r="B3169" s="13" t="s">
        <v>13191</v>
      </c>
      <c r="C3169" s="16" t="n">
        <v>46030</v>
      </c>
      <c r="D3169" s="13" t="s">
        <v>1338</v>
      </c>
      <c r="E3169" s="15" t="s">
        <v>789</v>
      </c>
      <c r="F3169" s="15" t="str">
        <f aca="false">IFERROR(__xludf.dummyfunction("XLOOKUP(AJ3169,IMPORTRANGE(""1XaInW9DU9nz21V0tYIfzFQ0He9kVQ_JF2mCXgZ3hqFA"",""REKAP ALL 2026 - Andika!G:G""),IMPORTRANGE(""1XaInW9DU9nz21V0tYIfzFQ0He9kVQ_JF2mCXgZ3hqFA"",""REKAP ALL 2026 - Andika!F:F""),"""",0)"),"26020755133")</f>
        <v>26020755133</v>
      </c>
      <c r="G3169" s="13" t="s">
        <v>57</v>
      </c>
      <c r="H3169" s="13" t="s">
        <v>3024</v>
      </c>
      <c r="I3169" s="13" t="str">
        <f aca="false">IF(C3169=J3169,"NEW KONTRAK","RE-KONTRAK")</f>
        <v>NEW KONTRAK</v>
      </c>
      <c r="J3169" s="16" t="n">
        <f aca="false" t="array" ref="J3169:J3169">IFERROR(INDEX(AC3169:AE3169,IF(COUNTA(AC3169:AE3169)=0,"",MAX((AC3169:AE3169&lt;&gt;"")*(COLUMN(AC3169:AE3169)-(COLUMN(AC3169)))))-1),"")</f>
        <v>46030</v>
      </c>
      <c r="K3169" s="16" t="n">
        <f aca="false" t="array" ref="K3169:K3169">IFERROR(INDEX(AC3169:AE3169,IF(COUNTA(AC3169:AE3169)=0,"",MAX((AC3169:AE3169&lt;&gt;"")*(COLUMN(AC3169:AE3169)-(COLUMN(AC3169)-1))))-1),"")</f>
        <v>46119</v>
      </c>
      <c r="L3169" s="17" t="str">
        <f aca="false" t="array" ref="L3169:L3169">IFERROR(INDEX(AC3169:AE3169,IF(COUNTA(AC3169:AE3169)=0,"",MAX((AC3169:AE3169&lt;&gt;"")*(COLUMN(AC3169:AE3169)-(COLUMN(AC3169)-2))))-1),"")</f>
        <v>ARCHIVED</v>
      </c>
      <c r="M3169" s="13" t="n">
        <f aca="true">K3169-TODAY()</f>
        <v>-205</v>
      </c>
      <c r="N3169" s="18" t="s">
        <v>615</v>
      </c>
      <c r="O3169" s="13" t="s">
        <v>13188</v>
      </c>
      <c r="P3169" s="19" t="n">
        <v>125000</v>
      </c>
      <c r="Q3169" s="47" t="s">
        <v>13192</v>
      </c>
      <c r="R3169" s="13" t="s">
        <v>232</v>
      </c>
      <c r="S3169" s="16" t="n">
        <v>35155</v>
      </c>
      <c r="T3169" s="28" t="s">
        <v>40</v>
      </c>
      <c r="U3169" s="13" t="s">
        <v>13193</v>
      </c>
      <c r="V3169" s="13" t="s">
        <v>42</v>
      </c>
      <c r="W3169" s="13" t="s">
        <v>43</v>
      </c>
      <c r="X3169" s="30" t="n">
        <v>85244375758</v>
      </c>
      <c r="Y3169" s="22" t="str">
        <f aca="false">O3169</f>
        <v>TK Cat Temporer</v>
      </c>
      <c r="Z3169" s="13" t="str">
        <f aca="false">IFERROR(__xludf.dummyfunction("if(BJ3169="""","""",GOOGLETRANSLATE(BJ3169,""auto"",""en""))"),"Temporary Cat Kindergarten")</f>
        <v>Temporary Cat Kindergarten</v>
      </c>
      <c r="AA3169" s="23" t="str">
        <f aca="false">IF(C3169="","", CHOOSE(MONTH(C3169),"January","February","March","April","May","June","July","August","September","October","November","December")&amp;" "&amp;DAY(C3169)&amp;MID("thstndrdth",MIN(9,2*RIGHT(DAY(C3169))*(MOD(DAY(C3169)-11,100)&gt;2)+1),2)&amp;","&amp;TEXT(C3169," yyyy"))</f>
        <v>January 8th,2026</v>
      </c>
      <c r="AB3169" s="15" t="str">
        <f aca="true">IF(S3169="","",DATEDIF(S3169,TODAY(),"Y")&amp;" Tahun, "&amp;DATEDIF(S3169,TODAY(),"YM")&amp;" Bulan, "&amp;DATEDIF(S3169,TODAY(),"MD")&amp;" Hari")</f>
        <v>30 Tahun, 6 Bulan, 28 Hari</v>
      </c>
      <c r="AC3169" s="18" t="n">
        <v>46030</v>
      </c>
      <c r="AD3169" s="18" t="n">
        <f aca="false">EDATE(AC3169,3)-1</f>
        <v>46119</v>
      </c>
      <c r="AE3169" s="13" t="s">
        <v>44</v>
      </c>
    </row>
    <row r="3170" customFormat="false" ht="15" hidden="false" customHeight="true" outlineLevel="0" collapsed="false">
      <c r="A3170" s="12" t="n">
        <v>21760</v>
      </c>
      <c r="B3170" s="13" t="s">
        <v>13194</v>
      </c>
      <c r="C3170" s="16" t="n">
        <v>46031</v>
      </c>
      <c r="D3170" s="13" t="s">
        <v>1338</v>
      </c>
      <c r="E3170" s="15" t="s">
        <v>33</v>
      </c>
      <c r="F3170" s="15" t="str">
        <f aca="false">IFERROR(__xludf.dummyfunction("XLOOKUP(AJ3170,IMPORTRANGE(""1XaInW9DU9nz21V0tYIfzFQ0He9kVQ_JF2mCXgZ3hqFA"",""REKAP ALL 2026 - Andika!G:G""),IMPORTRANGE(""1XaInW9DU9nz21V0tYIfzFQ0He9kVQ_JF2mCXgZ3hqFA"",""REKAP ALL 2026 - Andika!F:F""),"""",0)"),"26020755141")</f>
        <v>26020755141</v>
      </c>
      <c r="G3170" s="13" t="s">
        <v>57</v>
      </c>
      <c r="H3170" s="13" t="s">
        <v>3024</v>
      </c>
      <c r="I3170" s="13" t="str">
        <f aca="false">IF(C3170=J3170,"NEW KONTRAK","RE-KONTRAK")</f>
        <v>NEW KONTRAK</v>
      </c>
      <c r="J3170" s="16" t="n">
        <f aca="false" t="array" ref="J3170:J3170">IFERROR(INDEX(AC3170:AE3170,IF(COUNTA(AC3170:AE3170)=0,"",MAX((AC3170:AE3170&lt;&gt;"")*(COLUMN(AC3170:AE3170)-(COLUMN(AC3170)))))-1),"")</f>
        <v>46031</v>
      </c>
      <c r="K3170" s="16" t="n">
        <f aca="false" t="array" ref="K3170:K3170">IFERROR(INDEX(AC3170:AE3170,IF(COUNTA(AC3170:AE3170)=0,"",MAX((AC3170:AE3170&lt;&gt;"")*(COLUMN(AC3170:AE3170)-(COLUMN(AC3170)-1))))-1),"")</f>
        <v>46120</v>
      </c>
      <c r="L3170" s="17" t="str">
        <f aca="false" t="array" ref="L3170:L3170">IFERROR(INDEX(AC3170:AE3170,IF(COUNTA(AC3170:AE3170)=0,"",MAX((AC3170:AE3170&lt;&gt;"")*(COLUMN(AC3170:AE3170)-(COLUMN(AC3170)-2))))-1),"")</f>
        <v>ARCHIVED</v>
      </c>
      <c r="M3170" s="13" t="n">
        <f aca="true">K3170-TODAY()</f>
        <v>-204</v>
      </c>
      <c r="N3170" s="18" t="s">
        <v>615</v>
      </c>
      <c r="O3170" s="13" t="s">
        <v>13188</v>
      </c>
      <c r="P3170" s="19" t="n">
        <v>125000</v>
      </c>
      <c r="Q3170" s="47" t="s">
        <v>13195</v>
      </c>
      <c r="R3170" s="13" t="s">
        <v>232</v>
      </c>
      <c r="S3170" s="16" t="n">
        <v>37464</v>
      </c>
      <c r="T3170" s="28" t="s">
        <v>40</v>
      </c>
      <c r="U3170" s="13" t="s">
        <v>13196</v>
      </c>
      <c r="V3170" s="13" t="s">
        <v>42</v>
      </c>
      <c r="W3170" s="13" t="s">
        <v>43</v>
      </c>
      <c r="X3170" s="30" t="n">
        <v>85341986652</v>
      </c>
      <c r="Y3170" s="22" t="str">
        <f aca="false">O3170</f>
        <v>TK Cat Temporer</v>
      </c>
      <c r="Z3170" s="13" t="str">
        <f aca="false">IFERROR(__xludf.dummyfunction("if(BJ3170="""","""",GOOGLETRANSLATE(BJ3170,""auto"",""en""))"),"Temporary Cat Kindergarten")</f>
        <v>Temporary Cat Kindergarten</v>
      </c>
      <c r="AA3170" s="23" t="str">
        <f aca="false">IF(C3170="","", CHOOSE(MONTH(C3170),"January","February","March","April","May","June","July","August","September","October","November","December")&amp;" "&amp;DAY(C3170)&amp;MID("thstndrdth",MIN(9,2*RIGHT(DAY(C3170))*(MOD(DAY(C3170)-11,100)&gt;2)+1),2)&amp;","&amp;TEXT(C3170," yyyy"))</f>
        <v>January 9th,2026</v>
      </c>
      <c r="AB3170" s="15" t="str">
        <f aca="true">IF(S3170="","",DATEDIF(S3170,TODAY(),"Y")&amp;" Tahun, "&amp;DATEDIF(S3170,TODAY(),"YM")&amp;" Bulan, "&amp;DATEDIF(S3170,TODAY(),"MD")&amp;" Hari")</f>
        <v>24 Tahun, 3 Bulan, 2 Hari</v>
      </c>
      <c r="AC3170" s="18" t="n">
        <v>46031</v>
      </c>
      <c r="AD3170" s="18" t="n">
        <f aca="false">EDATE(AC3170,3)-1</f>
        <v>46120</v>
      </c>
      <c r="AE3170" s="13" t="s">
        <v>44</v>
      </c>
    </row>
    <row r="3171" customFormat="false" ht="15" hidden="false" customHeight="true" outlineLevel="0" collapsed="false">
      <c r="A3171" s="12" t="n">
        <v>21761</v>
      </c>
      <c r="B3171" s="13" t="s">
        <v>13197</v>
      </c>
      <c r="C3171" s="16" t="n">
        <v>46031</v>
      </c>
      <c r="D3171" s="13" t="s">
        <v>1338</v>
      </c>
      <c r="E3171" s="15" t="s">
        <v>789</v>
      </c>
      <c r="F3171" s="15" t="str">
        <f aca="false">IFERROR(__xludf.dummyfunction("XLOOKUP(AJ3171,IMPORTRANGE(""1XaInW9DU9nz21V0tYIfzFQ0He9kVQ_JF2mCXgZ3hqFA"",""REKAP ALL 2026 - Andika!G:G""),IMPORTRANGE(""1XaInW9DU9nz21V0tYIfzFQ0He9kVQ_JF2mCXgZ3hqFA"",""REKAP ALL 2026 - Andika!F:F""),"""",0)"),"26020755158")</f>
        <v>26020755158</v>
      </c>
      <c r="G3171" s="13" t="s">
        <v>57</v>
      </c>
      <c r="H3171" s="13" t="s">
        <v>3024</v>
      </c>
      <c r="I3171" s="13" t="str">
        <f aca="false">IF(C3171=J3171,"NEW KONTRAK","RE-KONTRAK")</f>
        <v>NEW KONTRAK</v>
      </c>
      <c r="J3171" s="16" t="n">
        <f aca="false" t="array" ref="J3171:J3171">IFERROR(INDEX(AC3171:AE3171,IF(COUNTA(AC3171:AE3171)=0,"",MAX((AC3171:AE3171&lt;&gt;"")*(COLUMN(AC3171:AE3171)-(COLUMN(AC3171)))))-1),"")</f>
        <v>46031</v>
      </c>
      <c r="K3171" s="16" t="n">
        <f aca="false" t="array" ref="K3171:K3171">IFERROR(INDEX(AC3171:AE3171,IF(COUNTA(AC3171:AE3171)=0,"",MAX((AC3171:AE3171&lt;&gt;"")*(COLUMN(AC3171:AE3171)-(COLUMN(AC3171)-1))))-1),"")</f>
        <v>46120</v>
      </c>
      <c r="L3171" s="17" t="str">
        <f aca="false" t="array" ref="L3171:L3171">IFERROR(INDEX(AC3171:AE3171,IF(COUNTA(AC3171:AE3171)=0,"",MAX((AC3171:AE3171&lt;&gt;"")*(COLUMN(AC3171:AE3171)-(COLUMN(AC3171)-2))))-1),"")</f>
        <v>ARCHIVED</v>
      </c>
      <c r="M3171" s="13" t="n">
        <f aca="true">K3171-TODAY()</f>
        <v>-204</v>
      </c>
      <c r="N3171" s="18" t="s">
        <v>615</v>
      </c>
      <c r="O3171" s="13" t="s">
        <v>13188</v>
      </c>
      <c r="P3171" s="19" t="n">
        <v>125000</v>
      </c>
      <c r="Q3171" s="47" t="s">
        <v>13198</v>
      </c>
      <c r="R3171" s="13" t="s">
        <v>232</v>
      </c>
      <c r="S3171" s="16" t="n">
        <v>39075</v>
      </c>
      <c r="T3171" s="28" t="s">
        <v>40</v>
      </c>
      <c r="U3171" s="13" t="s">
        <v>13199</v>
      </c>
      <c r="V3171" s="13" t="s">
        <v>42</v>
      </c>
      <c r="W3171" s="13" t="s">
        <v>43</v>
      </c>
      <c r="X3171" s="30" t="n">
        <v>85704157473</v>
      </c>
      <c r="Y3171" s="22" t="str">
        <f aca="false">O3171</f>
        <v>TK Cat Temporer</v>
      </c>
      <c r="Z3171" s="13" t="str">
        <f aca="false">IFERROR(__xludf.dummyfunction("if(BJ3171="""","""",GOOGLETRANSLATE(BJ3171,""auto"",""en""))"),"Temporary Cat Kindergarten")</f>
        <v>Temporary Cat Kindergarten</v>
      </c>
      <c r="AA3171" s="23" t="str">
        <f aca="false">IF(C3171="","", CHOOSE(MONTH(C3171),"January","February","March","April","May","June","July","August","September","October","November","December")&amp;" "&amp;DAY(C3171)&amp;MID("thstndrdth",MIN(9,2*RIGHT(DAY(C3171))*(MOD(DAY(C3171)-11,100)&gt;2)+1),2)&amp;","&amp;TEXT(C3171," yyyy"))</f>
        <v>January 9th,2026</v>
      </c>
      <c r="AB3171" s="15" t="str">
        <f aca="true">IF(S3171="","",DATEDIF(S3171,TODAY(),"Y")&amp;" Tahun, "&amp;DATEDIF(S3171,TODAY(),"YM")&amp;" Bulan, "&amp;DATEDIF(S3171,TODAY(),"MD")&amp;" Hari")</f>
        <v>19 Tahun, 10 Bulan, 5 Hari</v>
      </c>
      <c r="AC3171" s="18" t="n">
        <v>46031</v>
      </c>
      <c r="AD3171" s="18" t="n">
        <f aca="false">EDATE(AC3171,3)-1</f>
        <v>46120</v>
      </c>
      <c r="AE3171" s="13" t="s">
        <v>44</v>
      </c>
    </row>
    <row r="3172" customFormat="false" ht="15" hidden="false" customHeight="true" outlineLevel="0" collapsed="false">
      <c r="A3172" s="12" t="n">
        <v>21762</v>
      </c>
      <c r="B3172" s="13" t="s">
        <v>13200</v>
      </c>
      <c r="C3172" s="16" t="n">
        <v>46032</v>
      </c>
      <c r="D3172" s="13" t="s">
        <v>1338</v>
      </c>
      <c r="E3172" s="15" t="s">
        <v>102</v>
      </c>
      <c r="F3172" s="24" t="s">
        <v>13201</v>
      </c>
      <c r="G3172" s="13" t="s">
        <v>57</v>
      </c>
      <c r="H3172" s="13" t="s">
        <v>3024</v>
      </c>
      <c r="I3172" s="13" t="str">
        <f aca="false">IF(C3172=J3172,"NEW KONTRAK","RE-KONTRAK")</f>
        <v>NEW KONTRAK</v>
      </c>
      <c r="J3172" s="16" t="n">
        <f aca="false" t="array" ref="J3172:J3172">IFERROR(INDEX(AC3172:AE3172,IF(COUNTA(AC3172:AE3172)=0,"",MAX((AC3172:AE3172&lt;&gt;"")*(COLUMN(AC3172:AE3172)-(COLUMN(AC3172)))))-1),"")</f>
        <v>46032</v>
      </c>
      <c r="K3172" s="16" t="n">
        <f aca="false" t="array" ref="K3172:K3172">IFERROR(INDEX(AC3172:AE3172,IF(COUNTA(AC3172:AE3172)=0,"",MAX((AC3172:AE3172&lt;&gt;"")*(COLUMN(AC3172:AE3172)-(COLUMN(AC3172)-1))))-1),"")</f>
        <v>46121</v>
      </c>
      <c r="L3172" s="17" t="str">
        <f aca="false" t="array" ref="L3172:L3172">IFERROR(INDEX(AC3172:AE3172,IF(COUNTA(AC3172:AE3172)=0,"",MAX((AC3172:AE3172&lt;&gt;"")*(COLUMN(AC3172:AE3172)-(COLUMN(AC3172)-2))))-1),"")</f>
        <v>ARCHIVED</v>
      </c>
      <c r="M3172" s="13" t="n">
        <f aca="true">K3172-TODAY()</f>
        <v>-203</v>
      </c>
      <c r="N3172" s="18" t="s">
        <v>615</v>
      </c>
      <c r="O3172" s="13" t="s">
        <v>13188</v>
      </c>
      <c r="P3172" s="19" t="n">
        <v>125000</v>
      </c>
      <c r="Q3172" s="47" t="s">
        <v>13202</v>
      </c>
      <c r="R3172" s="13" t="s">
        <v>232</v>
      </c>
      <c r="S3172" s="16" t="n">
        <v>37089</v>
      </c>
      <c r="T3172" s="28" t="s">
        <v>40</v>
      </c>
      <c r="U3172" s="13" t="s">
        <v>13203</v>
      </c>
      <c r="V3172" s="13" t="s">
        <v>42</v>
      </c>
      <c r="W3172" s="13" t="s">
        <v>43</v>
      </c>
      <c r="X3172" s="30" t="n">
        <v>85184842199</v>
      </c>
      <c r="Y3172" s="22" t="str">
        <f aca="false">O3172</f>
        <v>TK Cat Temporer</v>
      </c>
      <c r="Z3172" s="13" t="str">
        <f aca="false">IFERROR(__xludf.dummyfunction("if(BJ3172="""","""",GOOGLETRANSLATE(BJ3172,""auto"",""en""))"),"Temporary Cat Kindergarten")</f>
        <v>Temporary Cat Kindergarten</v>
      </c>
      <c r="AA3172" s="23" t="str">
        <f aca="false">IF(C3172="","", CHOOSE(MONTH(C3172),"January","February","March","April","May","June","July","August","September","October","November","December")&amp;" "&amp;DAY(C3172)&amp;MID("thstndrdth",MIN(9,2*RIGHT(DAY(C3172))*(MOD(DAY(C3172)-11,100)&gt;2)+1),2)&amp;","&amp;TEXT(C3172," yyyy"))</f>
        <v>January 10th,2026</v>
      </c>
      <c r="AB3172" s="15" t="str">
        <f aca="true">IF(S3172="","",DATEDIF(S3172,TODAY(),"Y")&amp;" Tahun, "&amp;DATEDIF(S3172,TODAY(),"YM")&amp;" Bulan, "&amp;DATEDIF(S3172,TODAY(),"MD")&amp;" Hari")</f>
        <v>25 Tahun, 3 Bulan, 12 Hari</v>
      </c>
      <c r="AC3172" s="18" t="n">
        <v>46032</v>
      </c>
      <c r="AD3172" s="18" t="n">
        <f aca="false">EDATE(AC3172,3)-1</f>
        <v>46121</v>
      </c>
      <c r="AE3172" s="13" t="s">
        <v>44</v>
      </c>
    </row>
    <row r="3173" customFormat="false" ht="15" hidden="false" customHeight="true" outlineLevel="0" collapsed="false">
      <c r="A3173" s="12" t="n">
        <v>21763</v>
      </c>
      <c r="B3173" s="13" t="s">
        <v>13204</v>
      </c>
      <c r="C3173" s="16" t="n">
        <v>46036</v>
      </c>
      <c r="D3173" s="13" t="s">
        <v>8980</v>
      </c>
      <c r="E3173" s="15" t="s">
        <v>47</v>
      </c>
      <c r="F3173" s="15" t="str">
        <f aca="false">IFERROR(__xludf.dummyfunction("XLOOKUP(AJ3173,IMPORTRANGE(""1XaInW9DU9nz21V0tYIfzFQ0He9kVQ_JF2mCXgZ3hqFA"",""REKAP ALL 2026 - Andika!G:G""),IMPORTRANGE(""1XaInW9DU9nz21V0tYIfzFQ0He9kVQ_JF2mCXgZ3hqFA"",""REKAP ALL 2026 - Andika!F:F""),"""",0)"),"26020757436")</f>
        <v>26020757436</v>
      </c>
      <c r="G3173" s="13" t="s">
        <v>1127</v>
      </c>
      <c r="H3173" s="13" t="s">
        <v>35</v>
      </c>
      <c r="I3173" s="13" t="str">
        <f aca="false">IF(C3173=J3173,"NEW KONTRAK","RE-KONTRAK")</f>
        <v>NEW KONTRAK</v>
      </c>
      <c r="J3173" s="16" t="n">
        <f aca="false" t="array" ref="J3173:J3173">IFERROR(INDEX(AC3173:AE3173,IF(COUNTA(AC3173:AE3173)=0,"",MAX((AC3173:AE3173&lt;&gt;"")*(COLUMN(AC3173:AE3173)-(COLUMN(AC3173)))))-1),"")</f>
        <v>46036</v>
      </c>
      <c r="K3173" s="16" t="n">
        <f aca="false" t="array" ref="K3173:K3173">IFERROR(INDEX(AC3173:AE3173,IF(COUNTA(AC3173:AE3173)=0,"",MAX((AC3173:AE3173&lt;&gt;"")*(COLUMN(AC3173:AE3173)-(COLUMN(AC3173)-1))))-1),"")</f>
        <v>46125</v>
      </c>
      <c r="L3173" s="17" t="str">
        <f aca="false" t="array" ref="L3173:L3173">IFERROR(INDEX(AC3173:AE3173,IF(COUNTA(AC3173:AE3173)=0,"",MAX((AC3173:AE3173&lt;&gt;"")*(COLUMN(AC3173:AE3173)-(COLUMN(AC3173)-2))))-1),"")</f>
        <v>KEMBALI</v>
      </c>
      <c r="M3173" s="13" t="n">
        <f aca="true">K3173-TODAY()</f>
        <v>-199</v>
      </c>
      <c r="N3173" s="18" t="s">
        <v>8982</v>
      </c>
      <c r="O3173" s="13" t="s">
        <v>8983</v>
      </c>
      <c r="P3173" s="19" t="n">
        <v>2250000</v>
      </c>
      <c r="Q3173" s="20" t="s">
        <v>13205</v>
      </c>
      <c r="R3173" s="13" t="s">
        <v>826</v>
      </c>
      <c r="S3173" s="16" t="n">
        <v>36960</v>
      </c>
      <c r="T3173" s="28" t="s">
        <v>40</v>
      </c>
      <c r="U3173" s="13" t="s">
        <v>13206</v>
      </c>
      <c r="V3173" s="13" t="s">
        <v>42</v>
      </c>
      <c r="W3173" s="13" t="s">
        <v>43</v>
      </c>
      <c r="X3173" s="30" t="n">
        <v>85230833016</v>
      </c>
      <c r="Y3173" s="22" t="str">
        <f aca="false">O3173</f>
        <v>Operator SPBU</v>
      </c>
      <c r="Z3173" s="13" t="str">
        <f aca="false">IFERROR(__xludf.dummyfunction("if(BJ3173="""","""",GOOGLETRANSLATE(BJ3173,""auto"",""en""))"),"Gas Station Operator")</f>
        <v>Gas Station Operator</v>
      </c>
      <c r="AA3173" s="23" t="str">
        <f aca="false">IF(C3173="","", CHOOSE(MONTH(C3173),"January","February","March","April","May","June","July","August","September","October","November","December")&amp;" "&amp;DAY(C3173)&amp;MID("thstndrdth",MIN(9,2*RIGHT(DAY(C3173))*(MOD(DAY(C3173)-11,100)&gt;2)+1),2)&amp;","&amp;TEXT(C3173," yyyy"))</f>
        <v>January 14th,2026</v>
      </c>
      <c r="AB3173" s="15" t="str">
        <f aca="true">IF(S3173="","",DATEDIF(S3173,TODAY(),"Y")&amp;" Tahun, "&amp;DATEDIF(S3173,TODAY(),"YM")&amp;" Bulan, "&amp;DATEDIF(S3173,TODAY(),"MD")&amp;" Hari")</f>
        <v>25 Tahun, 7 Bulan, 19 Hari</v>
      </c>
      <c r="AC3173" s="18" t="n">
        <v>46036</v>
      </c>
      <c r="AD3173" s="18" t="n">
        <f aca="false">EDATE(AC3173,3)-1</f>
        <v>46125</v>
      </c>
      <c r="AE3173" s="13" t="s">
        <v>397</v>
      </c>
    </row>
    <row r="3174" customFormat="false" ht="15" hidden="false" customHeight="true" outlineLevel="0" collapsed="false">
      <c r="A3174" s="12" t="n">
        <v>21764</v>
      </c>
      <c r="B3174" s="13" t="s">
        <v>13207</v>
      </c>
      <c r="C3174" s="16" t="n">
        <v>46035</v>
      </c>
      <c r="D3174" s="13" t="s">
        <v>3838</v>
      </c>
      <c r="E3174" s="15" t="s">
        <v>47</v>
      </c>
      <c r="F3174" s="15" t="str">
        <f aca="false">IFERROR(__xludf.dummyfunction("XLOOKUP(AJ3174,IMPORTRANGE(""1XaInW9DU9nz21V0tYIfzFQ0He9kVQ_JF2mCXgZ3hqFA"",""REKAP ALL 2026 - Andika!G:G""),IMPORTRANGE(""1XaInW9DU9nz21V0tYIfzFQ0He9kVQ_JF2mCXgZ3hqFA"",""REKAP ALL 2026 - Andika!F:F""),"""",0)"),"26020755430")</f>
        <v>26020755430</v>
      </c>
      <c r="G3174" s="28" t="s">
        <v>57</v>
      </c>
      <c r="H3174" s="13" t="s">
        <v>35</v>
      </c>
      <c r="I3174" s="13" t="str">
        <f aca="false">IF(C3174=J3174,"NEW KONTRAK","RE-KONTRAK")</f>
        <v>NEW KONTRAK</v>
      </c>
      <c r="J3174" s="16" t="n">
        <f aca="false" t="array" ref="J3174:J3174">IFERROR(INDEX(AC3174:AE3174,IF(COUNTA(AC3174:AE3174)=0,"",MAX((AC3174:AE3174&lt;&gt;"")*(COLUMN(AC3174:AE3174)-(COLUMN(AC3174)))))-1),"")</f>
        <v>46035</v>
      </c>
      <c r="K3174" s="16" t="n">
        <f aca="false" t="array" ref="K3174:K3174">IFERROR(INDEX(AC3174:AE3174,IF(COUNTA(AC3174:AE3174)=0,"",MAX((AC3174:AE3174&lt;&gt;"")*(COLUMN(AC3174:AE3174)-(COLUMN(AC3174)-1))))-1),"")</f>
        <v>46124</v>
      </c>
      <c r="L3174" s="17" t="str">
        <f aca="false" t="array" ref="L3174:L3174">IFERROR(INDEX(AC3174:AE3174,IF(COUNTA(AC3174:AE3174)=0,"",MAX((AC3174:AE3174&lt;&gt;"")*(COLUMN(AC3174:AE3174)-(COLUMN(AC3174)-2))))-1),"")</f>
        <v>ARCHIVED</v>
      </c>
      <c r="M3174" s="13" t="n">
        <f aca="true">K3174-TODAY()</f>
        <v>-200</v>
      </c>
      <c r="N3174" s="18" t="s">
        <v>749</v>
      </c>
      <c r="O3174" s="13" t="s">
        <v>3577</v>
      </c>
      <c r="P3174" s="19" t="n">
        <v>3983882</v>
      </c>
      <c r="Q3174" s="20" t="s">
        <v>13208</v>
      </c>
      <c r="R3174" s="13" t="s">
        <v>763</v>
      </c>
      <c r="S3174" s="16" t="n">
        <v>35857</v>
      </c>
      <c r="T3174" s="28" t="s">
        <v>40</v>
      </c>
      <c r="U3174" s="13" t="s">
        <v>13209</v>
      </c>
      <c r="V3174" s="13" t="s">
        <v>42</v>
      </c>
      <c r="W3174" s="13" t="s">
        <v>43</v>
      </c>
      <c r="X3174" s="30" t="n">
        <v>85871208267</v>
      </c>
      <c r="Y3174" s="22" t="str">
        <f aca="false">O3174</f>
        <v>Kerani Gudang</v>
      </c>
      <c r="Z3174" s="13" t="str">
        <f aca="false">IFERROR(__xludf.dummyfunction("if(BJ3174="""","""",GOOGLETRANSLATE(BJ3174,""auto"",""en""))"),"Warehouse Clerk")</f>
        <v>Warehouse Clerk</v>
      </c>
      <c r="AA3174" s="23" t="str">
        <f aca="false">IF(C3174="","", CHOOSE(MONTH(C3174),"January","February","March","April","May","June","July","August","September","October","November","December")&amp;" "&amp;DAY(C3174)&amp;MID("thstndrdth",MIN(9,2*RIGHT(DAY(C3174))*(MOD(DAY(C3174)-11,100)&gt;2)+1),2)&amp;","&amp;TEXT(C3174," yyyy"))</f>
        <v>January 13th,2026</v>
      </c>
      <c r="AB3174" s="15" t="str">
        <f aca="true">IF(S3174="","",DATEDIF(S3174,TODAY(),"Y")&amp;" Tahun, "&amp;DATEDIF(S3174,TODAY(),"YM")&amp;" Bulan, "&amp;DATEDIF(S3174,TODAY(),"MD")&amp;" Hari")</f>
        <v>28 Tahun, 7 Bulan, 26 Hari</v>
      </c>
      <c r="AC3174" s="18" t="n">
        <v>46035</v>
      </c>
      <c r="AD3174" s="18" t="n">
        <f aca="false">EDATE(AC3174,3)-1</f>
        <v>46124</v>
      </c>
      <c r="AE3174" s="13" t="s">
        <v>44</v>
      </c>
    </row>
    <row r="3175" customFormat="false" ht="15" hidden="false" customHeight="true" outlineLevel="0" collapsed="false">
      <c r="A3175" s="12" t="n">
        <v>21765</v>
      </c>
      <c r="B3175" s="13" t="s">
        <v>13210</v>
      </c>
      <c r="C3175" s="16" t="n">
        <v>46041</v>
      </c>
      <c r="D3175" s="13" t="s">
        <v>11257</v>
      </c>
      <c r="E3175" s="15" t="s">
        <v>789</v>
      </c>
      <c r="F3175" s="24" t="s">
        <v>13211</v>
      </c>
      <c r="G3175" s="13" t="s">
        <v>57</v>
      </c>
      <c r="H3175" s="13" t="s">
        <v>35</v>
      </c>
      <c r="I3175" s="13" t="str">
        <f aca="false">IF(C3175=J3175,"NEW KONTRAK","RE-KONTRAK")</f>
        <v>NEW KONTRAK</v>
      </c>
      <c r="J3175" s="16" t="n">
        <f aca="false" t="array" ref="J3175:J3175">IFERROR(INDEX(AC3175:AE3175,IF(COUNTA(AC3175:AE3175)=0,"",MAX((AC3175:AE3175&lt;&gt;"")*(COLUMN(AC3175:AE3175)-(COLUMN(AC3175)))))-1),"")</f>
        <v>46041</v>
      </c>
      <c r="K3175" s="16" t="n">
        <f aca="false" t="array" ref="K3175:K3175">IFERROR(INDEX(AC3175:AE3175,IF(COUNTA(AC3175:AE3175)=0,"",MAX((AC3175:AE3175&lt;&gt;"")*(COLUMN(AC3175:AE3175)-(COLUMN(AC3175)-1))))-1),"")</f>
        <v>46045</v>
      </c>
      <c r="L3175" s="17" t="str">
        <f aca="false" t="array" ref="L3175:L3175">IFERROR(INDEX(AC3175:AE3175,IF(COUNTA(AC3175:AE3175)=0,"",MAX((AC3175:AE3175&lt;&gt;"")*(COLUMN(AC3175:AE3175)-(COLUMN(AC3175)-2))))-1),"")</f>
        <v>ARCHIVED</v>
      </c>
      <c r="M3175" s="13" t="n">
        <f aca="true">K3175-TODAY()</f>
        <v>-279</v>
      </c>
      <c r="N3175" s="18" t="s">
        <v>728</v>
      </c>
      <c r="O3175" s="13" t="s">
        <v>3271</v>
      </c>
      <c r="P3175" s="27" t="n">
        <v>211551</v>
      </c>
      <c r="Q3175" s="47" t="s">
        <v>13212</v>
      </c>
      <c r="R3175" s="13" t="s">
        <v>232</v>
      </c>
      <c r="S3175" s="16" t="n">
        <v>34278</v>
      </c>
      <c r="T3175" s="28" t="s">
        <v>40</v>
      </c>
      <c r="U3175" s="13" t="s">
        <v>13213</v>
      </c>
      <c r="V3175" s="13" t="s">
        <v>42</v>
      </c>
      <c r="W3175" s="13" t="s">
        <v>54</v>
      </c>
      <c r="X3175" s="30" t="n">
        <v>83134540193</v>
      </c>
      <c r="Y3175" s="22" t="str">
        <f aca="false">O3175</f>
        <v>Helper</v>
      </c>
      <c r="Z3175" s="13" t="str">
        <f aca="false">IFERROR(__xludf.dummyfunction("if(BJ3175="""","""",GOOGLETRANSLATE(BJ3175,""auto"",""en""))"),"Helper")</f>
        <v>Helper</v>
      </c>
      <c r="AA3175" s="23" t="str">
        <f aca="false">IF(C3175="","", CHOOSE(MONTH(C3175),"January","February","March","April","May","June","July","August","September","October","November","December")&amp;" "&amp;DAY(C3175)&amp;MID("thstndrdth",MIN(9,2*RIGHT(DAY(C3175))*(MOD(DAY(C3175)-11,100)&gt;2)+1),2)&amp;","&amp;TEXT(C3175," yyyy"))</f>
        <v>January 19th,2026</v>
      </c>
      <c r="AB3175" s="15" t="str">
        <f aca="true">IF(S3175="","",DATEDIF(S3175,TODAY(),"Y")&amp;" Tahun, "&amp;DATEDIF(S3175,TODAY(),"YM")&amp;" Bulan, "&amp;DATEDIF(S3175,TODAY(),"MD")&amp;" Hari")</f>
        <v>32 Tahun, 11 Bulan, 24 Hari</v>
      </c>
      <c r="AC3175" s="18" t="n">
        <v>46041</v>
      </c>
      <c r="AD3175" s="18" t="n">
        <v>46045</v>
      </c>
      <c r="AE3175" s="13" t="s">
        <v>44</v>
      </c>
    </row>
    <row r="3176" customFormat="false" ht="15" hidden="false" customHeight="true" outlineLevel="0" collapsed="false">
      <c r="A3176" s="12" t="n">
        <v>21768</v>
      </c>
      <c r="B3176" s="13" t="s">
        <v>13214</v>
      </c>
      <c r="C3176" s="16" t="n">
        <v>46041</v>
      </c>
      <c r="D3176" s="13" t="s">
        <v>11257</v>
      </c>
      <c r="E3176" s="15" t="s">
        <v>789</v>
      </c>
      <c r="F3176" s="24" t="s">
        <v>13215</v>
      </c>
      <c r="G3176" s="13" t="s">
        <v>57</v>
      </c>
      <c r="H3176" s="13" t="s">
        <v>35</v>
      </c>
      <c r="I3176" s="13" t="str">
        <f aca="false">IF(C3176=J3176,"NEW KONTRAK","RE-KONTRAK")</f>
        <v>NEW KONTRAK</v>
      </c>
      <c r="J3176" s="16" t="n">
        <f aca="false" t="array" ref="J3176:J3176">IFERROR(INDEX(AC3176:AE3176,IF(COUNTA(AC3176:AE3176)=0,"",MAX((AC3176:AE3176&lt;&gt;"")*(COLUMN(AC3176:AE3176)-(COLUMN(AC3176)))))-1),"")</f>
        <v>46041</v>
      </c>
      <c r="K3176" s="16" t="n">
        <f aca="false" t="array" ref="K3176:K3176">IFERROR(INDEX(AC3176:AE3176,IF(COUNTA(AC3176:AE3176)=0,"",MAX((AC3176:AE3176&lt;&gt;"")*(COLUMN(AC3176:AE3176)-(COLUMN(AC3176)-1))))-1),"")</f>
        <v>46045</v>
      </c>
      <c r="L3176" s="17" t="str">
        <f aca="false" t="array" ref="L3176:L3176">IFERROR(INDEX(AC3176:AE3176,IF(COUNTA(AC3176:AE3176)=0,"",MAX((AC3176:AE3176&lt;&gt;"")*(COLUMN(AC3176:AE3176)-(COLUMN(AC3176)-2))))-1),"")</f>
        <v>ARCHIVED</v>
      </c>
      <c r="M3176" s="13" t="n">
        <f aca="true">K3176-TODAY()</f>
        <v>-279</v>
      </c>
      <c r="N3176" s="18" t="s">
        <v>728</v>
      </c>
      <c r="O3176" s="13" t="s">
        <v>3271</v>
      </c>
      <c r="P3176" s="27" t="n">
        <v>211551</v>
      </c>
      <c r="Q3176" s="47" t="s">
        <v>13216</v>
      </c>
      <c r="R3176" s="13" t="s">
        <v>73</v>
      </c>
      <c r="S3176" s="16" t="n">
        <v>32899</v>
      </c>
      <c r="T3176" s="28" t="s">
        <v>40</v>
      </c>
      <c r="U3176" s="13" t="s">
        <v>13217</v>
      </c>
      <c r="V3176" s="13" t="s">
        <v>42</v>
      </c>
      <c r="W3176" s="13" t="s">
        <v>54</v>
      </c>
      <c r="X3176" s="30" t="n">
        <v>81226206724</v>
      </c>
      <c r="Y3176" s="22" t="str">
        <f aca="false">O3176</f>
        <v>Helper</v>
      </c>
      <c r="Z3176" s="13" t="str">
        <f aca="false">IFERROR(__xludf.dummyfunction("if(BJ3176="""","""",GOOGLETRANSLATE(BJ3176,""auto"",""en""))"),"Helper")</f>
        <v>Helper</v>
      </c>
      <c r="AA3176" s="23" t="str">
        <f aca="false">IF(C3176="","", CHOOSE(MONTH(C3176),"January","February","March","April","May","June","July","August","September","October","November","December")&amp;" "&amp;DAY(C3176)&amp;MID("thstndrdth",MIN(9,2*RIGHT(DAY(C3176))*(MOD(DAY(C3176)-11,100)&gt;2)+1),2)&amp;","&amp;TEXT(C3176," yyyy"))</f>
        <v>January 19th,2026</v>
      </c>
      <c r="AB3176" s="15" t="str">
        <f aca="true">IF(S3176="","",DATEDIF(S3176,TODAY(),"Y")&amp;" Tahun, "&amp;DATEDIF(S3176,TODAY(),"YM")&amp;" Bulan, "&amp;DATEDIF(S3176,TODAY(),"MD")&amp;" Hari")</f>
        <v>36 Tahun, 9 Bulan, 3 Hari</v>
      </c>
      <c r="AC3176" s="18" t="n">
        <v>46041</v>
      </c>
      <c r="AD3176" s="18" t="n">
        <v>46045</v>
      </c>
      <c r="AE3176" s="13" t="s">
        <v>44</v>
      </c>
    </row>
    <row r="3177" customFormat="false" ht="15" hidden="false" customHeight="true" outlineLevel="0" collapsed="false">
      <c r="A3177" s="12" t="n">
        <v>21769</v>
      </c>
      <c r="B3177" s="13" t="s">
        <v>13218</v>
      </c>
      <c r="C3177" s="16" t="n">
        <v>46041</v>
      </c>
      <c r="D3177" s="13" t="s">
        <v>11257</v>
      </c>
      <c r="E3177" s="15" t="s">
        <v>789</v>
      </c>
      <c r="F3177" s="24" t="s">
        <v>13219</v>
      </c>
      <c r="G3177" s="13" t="s">
        <v>57</v>
      </c>
      <c r="H3177" s="13" t="s">
        <v>35</v>
      </c>
      <c r="I3177" s="13" t="str">
        <f aca="false">IF(C3177=J3177,"NEW KONTRAK","RE-KONTRAK")</f>
        <v>NEW KONTRAK</v>
      </c>
      <c r="J3177" s="16" t="n">
        <f aca="false" t="array" ref="J3177:J3177">IFERROR(INDEX(AC3177:AE3177,IF(COUNTA(AC3177:AE3177)=0,"",MAX((AC3177:AE3177&lt;&gt;"")*(COLUMN(AC3177:AE3177)-(COLUMN(AC3177)))))-1),"")</f>
        <v>46041</v>
      </c>
      <c r="K3177" s="16" t="n">
        <f aca="false" t="array" ref="K3177:K3177">IFERROR(INDEX(AC3177:AE3177,IF(COUNTA(AC3177:AE3177)=0,"",MAX((AC3177:AE3177&lt;&gt;"")*(COLUMN(AC3177:AE3177)-(COLUMN(AC3177)-1))))-1),"")</f>
        <v>46045</v>
      </c>
      <c r="L3177" s="17" t="str">
        <f aca="false" t="array" ref="L3177:L3177">IFERROR(INDEX(AC3177:AE3177,IF(COUNTA(AC3177:AE3177)=0,"",MAX((AC3177:AE3177&lt;&gt;"")*(COLUMN(AC3177:AE3177)-(COLUMN(AC3177)-2))))-1),"")</f>
        <v>ARCHIVED</v>
      </c>
      <c r="M3177" s="13" t="n">
        <f aca="true">K3177-TODAY()</f>
        <v>-279</v>
      </c>
      <c r="N3177" s="18" t="s">
        <v>728</v>
      </c>
      <c r="O3177" s="13" t="s">
        <v>3271</v>
      </c>
      <c r="P3177" s="27" t="n">
        <v>211551</v>
      </c>
      <c r="Q3177" s="47" t="s">
        <v>13220</v>
      </c>
      <c r="R3177" s="13" t="s">
        <v>52</v>
      </c>
      <c r="S3177" s="16" t="n">
        <v>33010</v>
      </c>
      <c r="T3177" s="28" t="s">
        <v>40</v>
      </c>
      <c r="U3177" s="13" t="s">
        <v>13221</v>
      </c>
      <c r="V3177" s="13" t="s">
        <v>42</v>
      </c>
      <c r="W3177" s="13" t="s">
        <v>54</v>
      </c>
      <c r="X3177" s="30" t="n">
        <v>81204991547</v>
      </c>
      <c r="Y3177" s="22" t="str">
        <f aca="false">O3177</f>
        <v>Helper</v>
      </c>
      <c r="Z3177" s="13" t="str">
        <f aca="false">IFERROR(__xludf.dummyfunction("if(BJ3177="""","""",GOOGLETRANSLATE(BJ3177,""auto"",""en""))"),"Helper")</f>
        <v>Helper</v>
      </c>
      <c r="AA3177" s="23" t="str">
        <f aca="false">IF(C3177="","", CHOOSE(MONTH(C3177),"January","February","March","April","May","June","July","August","September","October","November","December")&amp;" "&amp;DAY(C3177)&amp;MID("thstndrdth",MIN(9,2*RIGHT(DAY(C3177))*(MOD(DAY(C3177)-11,100)&gt;2)+1),2)&amp;","&amp;TEXT(C3177," yyyy"))</f>
        <v>January 19th,2026</v>
      </c>
      <c r="AB3177" s="15" t="str">
        <f aca="true">IF(S3177="","",DATEDIF(S3177,TODAY(),"Y")&amp;" Tahun, "&amp;DATEDIF(S3177,TODAY(),"YM")&amp;" Bulan, "&amp;DATEDIF(S3177,TODAY(),"MD")&amp;" Hari")</f>
        <v>36 Tahun, 5 Bulan, 12 Hari</v>
      </c>
      <c r="AC3177" s="18" t="n">
        <v>46041</v>
      </c>
      <c r="AD3177" s="18" t="n">
        <v>46045</v>
      </c>
      <c r="AE3177" s="13" t="s">
        <v>44</v>
      </c>
    </row>
    <row r="3178" customFormat="false" ht="15" hidden="false" customHeight="true" outlineLevel="0" collapsed="false">
      <c r="A3178" s="12" t="n">
        <v>21771</v>
      </c>
      <c r="B3178" s="13" t="s">
        <v>13222</v>
      </c>
      <c r="C3178" s="16" t="n">
        <v>46041</v>
      </c>
      <c r="D3178" s="13" t="s">
        <v>1338</v>
      </c>
      <c r="E3178" s="15" t="s">
        <v>102</v>
      </c>
      <c r="F3178" s="15" t="str">
        <f aca="false">IFERROR(__xludf.dummyfunction("XLOOKUP(AJ3178,IMPORTRANGE(""1XaInW9DU9nz21V0tYIfzFQ0He9kVQ_JF2mCXgZ3hqFA"",""REKAP ALL 2026 - Andika!G:G""),IMPORTRANGE(""1XaInW9DU9nz21V0tYIfzFQ0He9kVQ_JF2mCXgZ3hqFA"",""REKAP ALL 2026 - Andika!F:F""),"""",0)"),"26020755166")</f>
        <v>26020755166</v>
      </c>
      <c r="G3178" s="13" t="s">
        <v>57</v>
      </c>
      <c r="H3178" s="13" t="s">
        <v>3024</v>
      </c>
      <c r="I3178" s="13" t="str">
        <f aca="false">IF(C3178=J3178,"NEW KONTRAK","RE-KONTRAK")</f>
        <v>NEW KONTRAK</v>
      </c>
      <c r="J3178" s="16" t="n">
        <f aca="false" t="array" ref="J3178:J3178">IFERROR(INDEX(AC3178:AE3178,IF(COUNTA(AC3178:AE3178)=0,"",MAX((AC3178:AE3178&lt;&gt;"")*(COLUMN(AC3178:AE3178)-(COLUMN(AC3178)))))-1),"")</f>
        <v>46041</v>
      </c>
      <c r="K3178" s="16" t="n">
        <f aca="false" t="array" ref="K3178:K3178">IFERROR(INDEX(AC3178:AE3178,IF(COUNTA(AC3178:AE3178)=0,"",MAX((AC3178:AE3178&lt;&gt;"")*(COLUMN(AC3178:AE3178)-(COLUMN(AC3178)-1))))-1),"")</f>
        <v>46130</v>
      </c>
      <c r="L3178" s="17" t="str">
        <f aca="false" t="array" ref="L3178:L3178">IFERROR(INDEX(AC3178:AE3178,IF(COUNTA(AC3178:AE3178)=0,"",MAX((AC3178:AE3178&lt;&gt;"")*(COLUMN(AC3178:AE3178)-(COLUMN(AC3178)-2))))-1),"")</f>
        <v>KEMBALI ONLINE</v>
      </c>
      <c r="M3178" s="13" t="n">
        <f aca="true">K3178-TODAY()</f>
        <v>-194</v>
      </c>
      <c r="N3178" s="18" t="s">
        <v>615</v>
      </c>
      <c r="O3178" s="13" t="s">
        <v>2335</v>
      </c>
      <c r="P3178" s="19" t="n">
        <v>160000</v>
      </c>
      <c r="Q3178" s="47" t="s">
        <v>13223</v>
      </c>
      <c r="R3178" s="17" t="s">
        <v>232</v>
      </c>
      <c r="S3178" s="16" t="n">
        <v>34471</v>
      </c>
      <c r="T3178" s="28" t="s">
        <v>40</v>
      </c>
      <c r="U3178" s="13" t="s">
        <v>13224</v>
      </c>
      <c r="V3178" s="13" t="s">
        <v>42</v>
      </c>
      <c r="W3178" s="13" t="s">
        <v>43</v>
      </c>
      <c r="X3178" s="30" t="n">
        <v>87772874315</v>
      </c>
      <c r="Y3178" s="22" t="str">
        <f aca="false">O3178</f>
        <v>Project Management</v>
      </c>
      <c r="Z3178" s="13" t="str">
        <f aca="false">IFERROR(__xludf.dummyfunction("if(BJ3178="""","""",GOOGLETRANSLATE(BJ3178,""auto"",""en""))"),"Project Management")</f>
        <v>Project Management</v>
      </c>
      <c r="AA3178" s="23" t="str">
        <f aca="false">IF(C3178="","", CHOOSE(MONTH(C3178),"January","February","March","April","May","June","July","August","September","October","November","December")&amp;" "&amp;DAY(C3178)&amp;MID("thstndrdth",MIN(9,2*RIGHT(DAY(C3178))*(MOD(DAY(C3178)-11,100)&gt;2)+1),2)&amp;","&amp;TEXT(C3178," yyyy"))</f>
        <v>January 19th,2026</v>
      </c>
      <c r="AB3178" s="15" t="str">
        <f aca="true">IF(S3178="","",DATEDIF(S3178,TODAY(),"Y")&amp;" Tahun, "&amp;DATEDIF(S3178,TODAY(),"YM")&amp;" Bulan, "&amp;DATEDIF(S3178,TODAY(),"MD")&amp;" Hari")</f>
        <v>32 Tahun, 5 Bulan, 12 Hari</v>
      </c>
      <c r="AC3178" s="18" t="n">
        <v>46041</v>
      </c>
      <c r="AD3178" s="18" t="n">
        <v>46130</v>
      </c>
      <c r="AE3178" s="13" t="s">
        <v>2387</v>
      </c>
    </row>
    <row r="3179" customFormat="false" ht="15" hidden="false" customHeight="true" outlineLevel="0" collapsed="false">
      <c r="A3179" s="12" t="n">
        <v>21772</v>
      </c>
      <c r="B3179" s="13" t="s">
        <v>13225</v>
      </c>
      <c r="C3179" s="16" t="n">
        <v>46041</v>
      </c>
      <c r="D3179" s="13" t="s">
        <v>1338</v>
      </c>
      <c r="E3179" s="15" t="s">
        <v>102</v>
      </c>
      <c r="F3179" s="15" t="str">
        <f aca="false">IFERROR(__xludf.dummyfunction("XLOOKUP(AJ3179,IMPORTRANGE(""1XaInW9DU9nz21V0tYIfzFQ0He9kVQ_JF2mCXgZ3hqFA"",""REKAP ALL 2026 - Andika!G:G""),IMPORTRANGE(""1XaInW9DU9nz21V0tYIfzFQ0He9kVQ_JF2mCXgZ3hqFA"",""REKAP ALL 2026 - Andika!F:F""),"""",0)"),"26020755174")</f>
        <v>26020755174</v>
      </c>
      <c r="G3179" s="13" t="s">
        <v>57</v>
      </c>
      <c r="H3179" s="13" t="s">
        <v>3024</v>
      </c>
      <c r="I3179" s="13" t="str">
        <f aca="false">IF(C3179=J3179,"NEW KONTRAK","RE-KONTRAK")</f>
        <v>NEW KONTRAK</v>
      </c>
      <c r="J3179" s="16" t="n">
        <f aca="false" t="array" ref="J3179:J3179">IFERROR(INDEX(AC3179:AE3179,IF(COUNTA(AC3179:AE3179)=0,"",MAX((AC3179:AE3179&lt;&gt;"")*(COLUMN(AC3179:AE3179)-(COLUMN(AC3179)))))-1),"")</f>
        <v>46041</v>
      </c>
      <c r="K3179" s="16" t="n">
        <f aca="false" t="array" ref="K3179:K3179">IFERROR(INDEX(AC3179:AE3179,IF(COUNTA(AC3179:AE3179)=0,"",MAX((AC3179:AE3179&lt;&gt;"")*(COLUMN(AC3179:AE3179)-(COLUMN(AC3179)-1))))-1),"")</f>
        <v>46130</v>
      </c>
      <c r="L3179" s="17" t="str">
        <f aca="false" t="array" ref="L3179:L3179">IFERROR(INDEX(AC3179:AE3179,IF(COUNTA(AC3179:AE3179)=0,"",MAX((AC3179:AE3179&lt;&gt;"")*(COLUMN(AC3179:AE3179)-(COLUMN(AC3179)-2))))-1),"")</f>
        <v>KEMBALI ONLINE</v>
      </c>
      <c r="M3179" s="13" t="n">
        <f aca="true">K3179-TODAY()</f>
        <v>-194</v>
      </c>
      <c r="N3179" s="18" t="s">
        <v>615</v>
      </c>
      <c r="O3179" s="13" t="s">
        <v>2335</v>
      </c>
      <c r="P3179" s="19" t="n">
        <v>160000</v>
      </c>
      <c r="Q3179" s="47" t="s">
        <v>13226</v>
      </c>
      <c r="R3179" s="17" t="s">
        <v>232</v>
      </c>
      <c r="S3179" s="16" t="n">
        <v>38610</v>
      </c>
      <c r="T3179" s="28" t="s">
        <v>40</v>
      </c>
      <c r="U3179" s="13" t="s">
        <v>13227</v>
      </c>
      <c r="V3179" s="13" t="s">
        <v>42</v>
      </c>
      <c r="W3179" s="13" t="s">
        <v>43</v>
      </c>
      <c r="X3179" s="30" t="n">
        <v>82374205493</v>
      </c>
      <c r="Y3179" s="22" t="str">
        <f aca="false">O3179</f>
        <v>Project Management</v>
      </c>
      <c r="Z3179" s="13" t="str">
        <f aca="false">IFERROR(__xludf.dummyfunction("if(BJ3179="""","""",GOOGLETRANSLATE(BJ3179,""auto"",""en""))"),"Project Management")</f>
        <v>Project Management</v>
      </c>
      <c r="AA3179" s="23" t="str">
        <f aca="false">IF(C3179="","", CHOOSE(MONTH(C3179),"January","February","March","April","May","June","July","August","September","October","November","December")&amp;" "&amp;DAY(C3179)&amp;MID("thstndrdth",MIN(9,2*RIGHT(DAY(C3179))*(MOD(DAY(C3179)-11,100)&gt;2)+1),2)&amp;","&amp;TEXT(C3179," yyyy"))</f>
        <v>January 19th,2026</v>
      </c>
      <c r="AB3179" s="15" t="str">
        <f aca="true">IF(S3179="","",DATEDIF(S3179,TODAY(),"Y")&amp;" Tahun, "&amp;DATEDIF(S3179,TODAY(),"YM")&amp;" Bulan, "&amp;DATEDIF(S3179,TODAY(),"MD")&amp;" Hari")</f>
        <v>21 Tahun, 1 Bulan, 14 Hari</v>
      </c>
      <c r="AC3179" s="18" t="n">
        <v>46041</v>
      </c>
      <c r="AD3179" s="18" t="n">
        <v>46130</v>
      </c>
      <c r="AE3179" s="13" t="s">
        <v>2387</v>
      </c>
    </row>
    <row r="3180" customFormat="false" ht="15" hidden="false" customHeight="true" outlineLevel="0" collapsed="false">
      <c r="A3180" s="12" t="n">
        <v>21773</v>
      </c>
      <c r="B3180" s="13" t="s">
        <v>13228</v>
      </c>
      <c r="C3180" s="16" t="n">
        <v>46041</v>
      </c>
      <c r="D3180" s="13" t="s">
        <v>1338</v>
      </c>
      <c r="E3180" s="15" t="s">
        <v>47</v>
      </c>
      <c r="F3180" s="15" t="str">
        <f aca="false">IFERROR(__xludf.dummyfunction("XLOOKUP(AJ3180,IMPORTRANGE(""1XaInW9DU9nz21V0tYIfzFQ0He9kVQ_JF2mCXgZ3hqFA"",""REKAP ALL 2026 - Andika!G:G""),IMPORTRANGE(""1XaInW9DU9nz21V0tYIfzFQ0He9kVQ_JF2mCXgZ3hqFA"",""REKAP ALL 2026 - Andika!F:F""),"""",0)"),"26020755182")</f>
        <v>26020755182</v>
      </c>
      <c r="G3180" s="13" t="s">
        <v>57</v>
      </c>
      <c r="H3180" s="13" t="s">
        <v>3024</v>
      </c>
      <c r="I3180" s="13" t="str">
        <f aca="false">IF(C3180=J3180,"NEW KONTRAK","RE-KONTRAK")</f>
        <v>NEW KONTRAK</v>
      </c>
      <c r="J3180" s="16" t="n">
        <f aca="false" t="array" ref="J3180:J3180">IFERROR(INDEX(AC3180:AE3180,IF(COUNTA(AC3180:AE3180)=0,"",MAX((AC3180:AE3180&lt;&gt;"")*(COLUMN(AC3180:AE3180)-(COLUMN(AC3180)))))-1),"")</f>
        <v>46041</v>
      </c>
      <c r="K3180" s="16" t="n">
        <f aca="false" t="array" ref="K3180:K3180">IFERROR(INDEX(AC3180:AE3180,IF(COUNTA(AC3180:AE3180)=0,"",MAX((AC3180:AE3180&lt;&gt;"")*(COLUMN(AC3180:AE3180)-(COLUMN(AC3180)-1))))-1),"")</f>
        <v>46130</v>
      </c>
      <c r="L3180" s="17" t="str">
        <f aca="false" t="array" ref="L3180:L3180">IFERROR(INDEX(AC3180:AE3180,IF(COUNTA(AC3180:AE3180)=0,"",MAX((AC3180:AE3180&lt;&gt;"")*(COLUMN(AC3180:AE3180)-(COLUMN(AC3180)-2))))-1),"")</f>
        <v>KEMBALI</v>
      </c>
      <c r="M3180" s="13" t="n">
        <f aca="true">K3180-TODAY()</f>
        <v>-194</v>
      </c>
      <c r="N3180" s="18" t="s">
        <v>615</v>
      </c>
      <c r="O3180" s="13" t="s">
        <v>2335</v>
      </c>
      <c r="P3180" s="19" t="n">
        <v>160000</v>
      </c>
      <c r="Q3180" s="47" t="s">
        <v>13229</v>
      </c>
      <c r="R3180" s="17" t="s">
        <v>232</v>
      </c>
      <c r="S3180" s="16" t="n">
        <v>37257</v>
      </c>
      <c r="T3180" s="28" t="s">
        <v>40</v>
      </c>
      <c r="U3180" s="13" t="s">
        <v>13230</v>
      </c>
      <c r="V3180" s="13" t="s">
        <v>42</v>
      </c>
      <c r="W3180" s="13" t="s">
        <v>43</v>
      </c>
      <c r="X3180" s="30" t="n">
        <v>82396685161</v>
      </c>
      <c r="Y3180" s="22" t="str">
        <f aca="false">O3180</f>
        <v>Project Management</v>
      </c>
      <c r="Z3180" s="13" t="str">
        <f aca="false">IFERROR(__xludf.dummyfunction("if(BJ3180="""","""",GOOGLETRANSLATE(BJ3180,""auto"",""en""))"),"Project Management")</f>
        <v>Project Management</v>
      </c>
      <c r="AA3180" s="23" t="str">
        <f aca="false">IF(C3180="","", CHOOSE(MONTH(C3180),"January","February","March","April","May","June","July","August","September","October","November","December")&amp;" "&amp;DAY(C3180)&amp;MID("thstndrdth",MIN(9,2*RIGHT(DAY(C3180))*(MOD(DAY(C3180)-11,100)&gt;2)+1),2)&amp;","&amp;TEXT(C3180," yyyy"))</f>
        <v>January 19th,2026</v>
      </c>
      <c r="AB3180" s="15" t="str">
        <f aca="true">IF(S3180="","",DATEDIF(S3180,TODAY(),"Y")&amp;" Tahun, "&amp;DATEDIF(S3180,TODAY(),"YM")&amp;" Bulan, "&amp;DATEDIF(S3180,TODAY(),"MD")&amp;" Hari")</f>
        <v>24 Tahun, 9 Bulan, 28 Hari</v>
      </c>
      <c r="AC3180" s="18" t="n">
        <v>46041</v>
      </c>
      <c r="AD3180" s="18" t="n">
        <v>46130</v>
      </c>
      <c r="AE3180" s="13" t="s">
        <v>397</v>
      </c>
    </row>
    <row r="3181" customFormat="false" ht="15" hidden="false" customHeight="true" outlineLevel="0" collapsed="false">
      <c r="A3181" s="12" t="n">
        <v>21774</v>
      </c>
      <c r="B3181" s="13" t="s">
        <v>13231</v>
      </c>
      <c r="C3181" s="16" t="n">
        <v>46041</v>
      </c>
      <c r="D3181" s="13" t="s">
        <v>1338</v>
      </c>
      <c r="E3181" s="15" t="s">
        <v>102</v>
      </c>
      <c r="F3181" s="24" t="s">
        <v>13232</v>
      </c>
      <c r="G3181" s="13" t="s">
        <v>57</v>
      </c>
      <c r="H3181" s="13" t="s">
        <v>3024</v>
      </c>
      <c r="I3181" s="13" t="str">
        <f aca="false">IF(C3181=J3181,"NEW KONTRAK","RE-KONTRAK")</f>
        <v>NEW KONTRAK</v>
      </c>
      <c r="J3181" s="16" t="n">
        <f aca="false" t="array" ref="J3181:J3181">IFERROR(INDEX(AC3181:AE3181,IF(COUNTA(AC3181:AE3181)=0,"",MAX((AC3181:AE3181&lt;&gt;"")*(COLUMN(AC3181:AE3181)-(COLUMN(AC3181)))))-1),"")</f>
        <v>46041</v>
      </c>
      <c r="K3181" s="16" t="n">
        <f aca="false" t="array" ref="K3181:K3181">IFERROR(INDEX(AC3181:AE3181,IF(COUNTA(AC3181:AE3181)=0,"",MAX((AC3181:AE3181&lt;&gt;"")*(COLUMN(AC3181:AE3181)-(COLUMN(AC3181)-1))))-1),"")</f>
        <v>46130</v>
      </c>
      <c r="L3181" s="17" t="str">
        <f aca="false" t="array" ref="L3181:L3181">IFERROR(INDEX(AC3181:AE3181,IF(COUNTA(AC3181:AE3181)=0,"",MAX((AC3181:AE3181&lt;&gt;"")*(COLUMN(AC3181:AE3181)-(COLUMN(AC3181)-2))))-1),"")</f>
        <v>KEMBALI ONLINE</v>
      </c>
      <c r="M3181" s="13" t="n">
        <f aca="true">K3181-TODAY()</f>
        <v>-194</v>
      </c>
      <c r="N3181" s="18" t="s">
        <v>615</v>
      </c>
      <c r="O3181" s="13" t="s">
        <v>2335</v>
      </c>
      <c r="P3181" s="19" t="n">
        <v>160000</v>
      </c>
      <c r="Q3181" s="47" t="s">
        <v>13233</v>
      </c>
      <c r="R3181" s="17" t="s">
        <v>232</v>
      </c>
      <c r="S3181" s="16" t="n">
        <v>33667</v>
      </c>
      <c r="T3181" s="28" t="s">
        <v>40</v>
      </c>
      <c r="U3181" s="13" t="s">
        <v>13234</v>
      </c>
      <c r="V3181" s="13" t="s">
        <v>42</v>
      </c>
      <c r="W3181" s="13" t="s">
        <v>54</v>
      </c>
      <c r="X3181" s="30" t="n">
        <v>82327530463</v>
      </c>
      <c r="Y3181" s="22" t="str">
        <f aca="false">O3181</f>
        <v>Project Management</v>
      </c>
      <c r="Z3181" s="13" t="str">
        <f aca="false">IFERROR(__xludf.dummyfunction("if(BJ3181="""","""",GOOGLETRANSLATE(BJ3181,""auto"",""en""))"),"Project Management")</f>
        <v>Project Management</v>
      </c>
      <c r="AA3181" s="23" t="str">
        <f aca="false">IF(C3181="","", CHOOSE(MONTH(C3181),"January","February","March","April","May","June","July","August","September","October","November","December")&amp;" "&amp;DAY(C3181)&amp;MID("thstndrdth",MIN(9,2*RIGHT(DAY(C3181))*(MOD(DAY(C3181)-11,100)&gt;2)+1),2)&amp;","&amp;TEXT(C3181," yyyy"))</f>
        <v>January 19th,2026</v>
      </c>
      <c r="AB3181" s="15" t="str">
        <f aca="true">IF(S3181="","",DATEDIF(S3181,TODAY(),"Y")&amp;" Tahun, "&amp;DATEDIF(S3181,TODAY(),"YM")&amp;" Bulan, "&amp;DATEDIF(S3181,TODAY(),"MD")&amp;" Hari")</f>
        <v>34 Tahun, 7 Bulan, 25 Hari</v>
      </c>
      <c r="AC3181" s="18" t="n">
        <v>46041</v>
      </c>
      <c r="AD3181" s="18" t="n">
        <v>46130</v>
      </c>
      <c r="AE3181" s="13" t="s">
        <v>2387</v>
      </c>
    </row>
    <row r="3182" customFormat="false" ht="15" hidden="false" customHeight="true" outlineLevel="0" collapsed="false">
      <c r="A3182" s="12" t="n">
        <v>21775</v>
      </c>
      <c r="B3182" s="13" t="s">
        <v>13235</v>
      </c>
      <c r="C3182" s="16" t="n">
        <v>45678</v>
      </c>
      <c r="D3182" s="13" t="s">
        <v>7948</v>
      </c>
      <c r="E3182" s="15" t="s">
        <v>7949</v>
      </c>
      <c r="F3182" s="15" t="str">
        <f aca="false">IFERROR(__xludf.dummyfunction("XLOOKUP(AJ3182,IMPORTRANGE(""1XaInW9DU9nz21V0tYIfzFQ0He9kVQ_JF2mCXgZ3hqFA"",""REKAP ALL 2026 - Andika!G:G""),IMPORTRANGE(""1XaInW9DU9nz21V0tYIfzFQ0He9kVQ_JF2mCXgZ3hqFA"",""REKAP ALL 2026 - Andika!F:F""),"""",0)"),"26020755026")</f>
        <v>26020755026</v>
      </c>
      <c r="G3182" s="13" t="s">
        <v>57</v>
      </c>
      <c r="H3182" s="13" t="s">
        <v>3024</v>
      </c>
      <c r="I3182" s="13" t="str">
        <f aca="false">IF(C3182=J3182,"NEW KONTRAK","RE-KONTRAK")</f>
        <v>NEW KONTRAK</v>
      </c>
      <c r="J3182" s="16" t="n">
        <f aca="false" t="array" ref="J3182:J3182">IFERROR(INDEX(AC3182:AE3182,IF(COUNTA(AC3182:AE3182)=0,"",MAX((AC3182:AE3182&lt;&gt;"")*(COLUMN(AC3182:AE3182)-(COLUMN(AC3182)))))-1),"")</f>
        <v>45678</v>
      </c>
      <c r="K3182" s="16" t="n">
        <f aca="false" t="array" ref="K3182:K3182">IFERROR(INDEX(AC3182:AE3182,IF(COUNTA(AC3182:AE3182)=0,"",MAX((AC3182:AE3182&lt;&gt;"")*(COLUMN(AC3182:AE3182)-(COLUMN(AC3182)-1))))-1),"")</f>
        <v>46132</v>
      </c>
      <c r="L3182" s="17" t="str">
        <f aca="false" t="array" ref="L3182:L3182">IFERROR(INDEX(AC3182:AE3182,IF(COUNTA(AC3182:AE3182)=0,"",MAX((AC3182:AE3182&lt;&gt;"")*(COLUMN(AC3182:AE3182)-(COLUMN(AC3182)-2))))-1),"")</f>
        <v>ARCHIVED</v>
      </c>
      <c r="M3182" s="13" t="n">
        <f aca="true">K3182-TODAY()</f>
        <v>-192</v>
      </c>
      <c r="N3182" s="18" t="s">
        <v>4051</v>
      </c>
      <c r="O3182" s="13" t="s">
        <v>2335</v>
      </c>
      <c r="P3182" s="19" t="n">
        <v>245000</v>
      </c>
      <c r="Q3182" s="47" t="s">
        <v>13236</v>
      </c>
      <c r="R3182" s="13" t="s">
        <v>73</v>
      </c>
      <c r="S3182" s="16" t="n">
        <v>31762</v>
      </c>
      <c r="T3182" s="28" t="s">
        <v>40</v>
      </c>
      <c r="U3182" s="13" t="s">
        <v>13237</v>
      </c>
      <c r="V3182" s="13" t="s">
        <v>42</v>
      </c>
      <c r="W3182" s="13" t="s">
        <v>54</v>
      </c>
      <c r="X3182" s="30" t="n">
        <v>89845499045</v>
      </c>
      <c r="Y3182" s="22" t="str">
        <f aca="false">O3182</f>
        <v>Project Management</v>
      </c>
      <c r="Z3182" s="13" t="str">
        <f aca="false">IFERROR(__xludf.dummyfunction("if(BJ3182="""","""",GOOGLETRANSLATE(BJ3182,""auto"",""en""))"),"Project Management")</f>
        <v>Project Management</v>
      </c>
      <c r="AA3182" s="23" t="str">
        <f aca="false">IF(C3182="","", CHOOSE(MONTH(C3182),"January","February","March","April","May","June","July","August","September","October","November","December")&amp;" "&amp;DAY(C3182)&amp;MID("thstndrdth",MIN(9,2*RIGHT(DAY(C3182))*(MOD(DAY(C3182)-11,100)&gt;2)+1),2)&amp;","&amp;TEXT(C3182," yyyy"))</f>
        <v>January 21st,2025</v>
      </c>
      <c r="AB3182" s="15" t="str">
        <f aca="true">IF(S3182="","",DATEDIF(S3182,TODAY(),"Y")&amp;" Tahun, "&amp;DATEDIF(S3182,TODAY(),"YM")&amp;" Bulan, "&amp;DATEDIF(S3182,TODAY(),"MD")&amp;" Hari")</f>
        <v>39 Tahun, 10 Bulan, 13 Hari</v>
      </c>
      <c r="AC3182" s="18" t="n">
        <v>45678</v>
      </c>
      <c r="AD3182" s="18" t="n">
        <v>46132</v>
      </c>
      <c r="AE3182" s="18" t="s">
        <v>44</v>
      </c>
    </row>
    <row r="3183" customFormat="false" ht="15" hidden="false" customHeight="true" outlineLevel="0" collapsed="false">
      <c r="A3183" s="12" t="n">
        <v>21776</v>
      </c>
      <c r="B3183" s="13" t="s">
        <v>9772</v>
      </c>
      <c r="C3183" s="16" t="n">
        <v>45678</v>
      </c>
      <c r="D3183" s="13" t="s">
        <v>7948</v>
      </c>
      <c r="E3183" s="15" t="s">
        <v>7949</v>
      </c>
      <c r="F3183" s="15" t="str">
        <f aca="false">IFERROR(__xludf.dummyfunction("XLOOKUP(AJ3183,IMPORTRANGE(""1XaInW9DU9nz21V0tYIfzFQ0He9kVQ_JF2mCXgZ3hqFA"",""REKAP ALL 2026 - Andika!G:G""),IMPORTRANGE(""1XaInW9DU9nz21V0tYIfzFQ0He9kVQ_JF2mCXgZ3hqFA"",""REKAP ALL 2026 - Andika!F:F""),"""",0)"),"26020755034")</f>
        <v>26020755034</v>
      </c>
      <c r="G3183" s="13" t="s">
        <v>57</v>
      </c>
      <c r="H3183" s="13" t="s">
        <v>3024</v>
      </c>
      <c r="I3183" s="13" t="str">
        <f aca="false">IF(C3183=J3183,"NEW KONTRAK","RE-KONTRAK")</f>
        <v>NEW KONTRAK</v>
      </c>
      <c r="J3183" s="16" t="n">
        <f aca="false" t="array" ref="J3183:J3183">IFERROR(INDEX(AC3183:AE3183,IF(COUNTA(AC3183:AE3183)=0,"",MAX((AC3183:AE3183&lt;&gt;"")*(COLUMN(AC3183:AE3183)-(COLUMN(AC3183)))))-1),"")</f>
        <v>45678</v>
      </c>
      <c r="K3183" s="16" t="n">
        <f aca="false" t="array" ref="K3183:K3183">IFERROR(INDEX(AC3183:AE3183,IF(COUNTA(AC3183:AE3183)=0,"",MAX((AC3183:AE3183&lt;&gt;"")*(COLUMN(AC3183:AE3183)-(COLUMN(AC3183)-1))))-1),"")</f>
        <v>46132</v>
      </c>
      <c r="L3183" s="17" t="str">
        <f aca="false" t="array" ref="L3183:L3183">IFERROR(INDEX(AC3183:AE3183,IF(COUNTA(AC3183:AE3183)=0,"",MAX((AC3183:AE3183&lt;&gt;"")*(COLUMN(AC3183:AE3183)-(COLUMN(AC3183)-2))))-1),"")</f>
        <v>ARCHIVED</v>
      </c>
      <c r="M3183" s="13" t="n">
        <f aca="true">K3183-TODAY()</f>
        <v>-192</v>
      </c>
      <c r="N3183" s="18" t="s">
        <v>4051</v>
      </c>
      <c r="O3183" s="13" t="s">
        <v>2335</v>
      </c>
      <c r="P3183" s="19" t="n">
        <v>210000</v>
      </c>
      <c r="Q3183" s="47" t="s">
        <v>13238</v>
      </c>
      <c r="R3183" s="17" t="s">
        <v>232</v>
      </c>
      <c r="S3183" s="16" t="n">
        <v>28095</v>
      </c>
      <c r="T3183" s="28" t="s">
        <v>40</v>
      </c>
      <c r="U3183" s="13" t="s">
        <v>13239</v>
      </c>
      <c r="V3183" s="13" t="s">
        <v>42</v>
      </c>
      <c r="W3183" s="13" t="s">
        <v>54</v>
      </c>
      <c r="X3183" s="30" t="n">
        <v>85201742684</v>
      </c>
      <c r="Y3183" s="22" t="str">
        <f aca="false">O3183</f>
        <v>Project Management</v>
      </c>
      <c r="Z3183" s="13" t="str">
        <f aca="false">IFERROR(__xludf.dummyfunction("if(BJ3183="""","""",GOOGLETRANSLATE(BJ3183,""auto"",""en""))"),"Project Management")</f>
        <v>Project Management</v>
      </c>
      <c r="AA3183" s="23" t="str">
        <f aca="false">IF(C3183="","", CHOOSE(MONTH(C3183),"January","February","March","April","May","June","July","August","September","October","November","December")&amp;" "&amp;DAY(C3183)&amp;MID("thstndrdth",MIN(9,2*RIGHT(DAY(C3183))*(MOD(DAY(C3183)-11,100)&gt;2)+1),2)&amp;","&amp;TEXT(C3183," yyyy"))</f>
        <v>January 21st,2025</v>
      </c>
      <c r="AB3183" s="15" t="str">
        <f aca="true">IF(S3183="","",DATEDIF(S3183,TODAY(),"Y")&amp;" Tahun, "&amp;DATEDIF(S3183,TODAY(),"YM")&amp;" Bulan, "&amp;DATEDIF(S3183,TODAY(),"MD")&amp;" Hari")</f>
        <v>49 Tahun, 10 Bulan, 28 Hari</v>
      </c>
      <c r="AC3183" s="18" t="n">
        <v>45678</v>
      </c>
      <c r="AD3183" s="18" t="n">
        <v>46132</v>
      </c>
      <c r="AE3183" s="18" t="s">
        <v>44</v>
      </c>
    </row>
    <row r="3184" customFormat="false" ht="15" hidden="false" customHeight="true" outlineLevel="0" collapsed="false">
      <c r="A3184" s="12" t="n">
        <v>21777</v>
      </c>
      <c r="B3184" s="13" t="s">
        <v>13240</v>
      </c>
      <c r="C3184" s="16" t="n">
        <v>45678</v>
      </c>
      <c r="D3184" s="13" t="s">
        <v>7948</v>
      </c>
      <c r="E3184" s="15" t="s">
        <v>7949</v>
      </c>
      <c r="F3184" s="15" t="str">
        <f aca="false">IFERROR(__xludf.dummyfunction("XLOOKUP(AJ3184,IMPORTRANGE(""1XaInW9DU9nz21V0tYIfzFQ0He9kVQ_JF2mCXgZ3hqFA"",""REKAP ALL 2026 - Andika!G:G""),IMPORTRANGE(""1XaInW9DU9nz21V0tYIfzFQ0He9kVQ_JF2mCXgZ3hqFA"",""REKAP ALL 2026 - Andika!F:F""),"""",0)"),"26020755042")</f>
        <v>26020755042</v>
      </c>
      <c r="G3184" s="13" t="s">
        <v>57</v>
      </c>
      <c r="H3184" s="13" t="s">
        <v>3024</v>
      </c>
      <c r="I3184" s="13" t="str">
        <f aca="false">IF(C3184=J3184,"NEW KONTRAK","RE-KONTRAK")</f>
        <v>NEW KONTRAK</v>
      </c>
      <c r="J3184" s="16" t="n">
        <f aca="false" t="array" ref="J3184:J3184">IFERROR(INDEX(AC3184:AE3184,IF(COUNTA(AC3184:AE3184)=0,"",MAX((AC3184:AE3184&lt;&gt;"")*(COLUMN(AC3184:AE3184)-(COLUMN(AC3184)))))-1),"")</f>
        <v>45678</v>
      </c>
      <c r="K3184" s="16" t="n">
        <f aca="false" t="array" ref="K3184:K3184">IFERROR(INDEX(AC3184:AE3184,IF(COUNTA(AC3184:AE3184)=0,"",MAX((AC3184:AE3184&lt;&gt;"")*(COLUMN(AC3184:AE3184)-(COLUMN(AC3184)-1))))-1),"")</f>
        <v>46132</v>
      </c>
      <c r="L3184" s="17" t="str">
        <f aca="false" t="array" ref="L3184:L3184">IFERROR(INDEX(AC3184:AE3184,IF(COUNTA(AC3184:AE3184)=0,"",MAX((AC3184:AE3184&lt;&gt;"")*(COLUMN(AC3184:AE3184)-(COLUMN(AC3184)-2))))-1),"")</f>
        <v>ARCHIVED</v>
      </c>
      <c r="M3184" s="13" t="n">
        <f aca="true">K3184-TODAY()</f>
        <v>-192</v>
      </c>
      <c r="N3184" s="18" t="s">
        <v>4051</v>
      </c>
      <c r="O3184" s="13" t="s">
        <v>2335</v>
      </c>
      <c r="P3184" s="19" t="n">
        <v>210000</v>
      </c>
      <c r="Q3184" s="47" t="s">
        <v>13241</v>
      </c>
      <c r="R3184" s="13" t="s">
        <v>73</v>
      </c>
      <c r="S3184" s="16" t="n">
        <v>27230</v>
      </c>
      <c r="T3184" s="28" t="s">
        <v>40</v>
      </c>
      <c r="U3184" s="13" t="s">
        <v>13242</v>
      </c>
      <c r="V3184" s="13" t="s">
        <v>42</v>
      </c>
      <c r="W3184" s="13" t="s">
        <v>54</v>
      </c>
      <c r="X3184" s="30" t="n">
        <v>82145933272</v>
      </c>
      <c r="Y3184" s="22" t="str">
        <f aca="false">O3184</f>
        <v>Project Management</v>
      </c>
      <c r="Z3184" s="13" t="str">
        <f aca="false">IFERROR(__xludf.dummyfunction("if(BJ3184="""","""",GOOGLETRANSLATE(BJ3184,""auto"",""en""))"),"Project Management")</f>
        <v>Project Management</v>
      </c>
      <c r="AA3184" s="23" t="str">
        <f aca="false">IF(C3184="","", CHOOSE(MONTH(C3184),"January","February","March","April","May","June","July","August","September","October","November","December")&amp;" "&amp;DAY(C3184)&amp;MID("thstndrdth",MIN(9,2*RIGHT(DAY(C3184))*(MOD(DAY(C3184)-11,100)&gt;2)+1),2)&amp;","&amp;TEXT(C3184," yyyy"))</f>
        <v>January 21st,2025</v>
      </c>
      <c r="AB3184" s="15" t="str">
        <f aca="true">IF(S3184="","",DATEDIF(S3184,TODAY(),"Y")&amp;" Tahun, "&amp;DATEDIF(S3184,TODAY(),"YM")&amp;" Bulan, "&amp;DATEDIF(S3184,TODAY(),"MD")&amp;" Hari")</f>
        <v>52 Tahun, 3 Bulan, 9 Hari</v>
      </c>
      <c r="AC3184" s="18" t="n">
        <v>45678</v>
      </c>
      <c r="AD3184" s="18" t="n">
        <v>46132</v>
      </c>
      <c r="AE3184" s="18" t="s">
        <v>44</v>
      </c>
    </row>
    <row r="3185" customFormat="false" ht="15" hidden="false" customHeight="true" outlineLevel="0" collapsed="false">
      <c r="A3185" s="12" t="n">
        <v>21778</v>
      </c>
      <c r="B3185" s="13" t="s">
        <v>3373</v>
      </c>
      <c r="C3185" s="16" t="n">
        <v>45678</v>
      </c>
      <c r="D3185" s="13" t="s">
        <v>7948</v>
      </c>
      <c r="E3185" s="15" t="s">
        <v>7949</v>
      </c>
      <c r="F3185" s="15" t="str">
        <f aca="false">IFERROR(__xludf.dummyfunction("XLOOKUP(AJ3185,IMPORTRANGE(""1XaInW9DU9nz21V0tYIfzFQ0He9kVQ_JF2mCXgZ3hqFA"",""REKAP ALL 2026 - Andika!G:G""),IMPORTRANGE(""1XaInW9DU9nz21V0tYIfzFQ0He9kVQ_JF2mCXgZ3hqFA"",""REKAP ALL 2026 - Andika!F:F""),"""",0)"),"26020755059")</f>
        <v>26020755059</v>
      </c>
      <c r="G3185" s="13" t="s">
        <v>57</v>
      </c>
      <c r="H3185" s="13" t="s">
        <v>3024</v>
      </c>
      <c r="I3185" s="13" t="str">
        <f aca="false">IF(C3185=J3185,"NEW KONTRAK","RE-KONTRAK")</f>
        <v>NEW KONTRAK</v>
      </c>
      <c r="J3185" s="16" t="n">
        <f aca="false" t="array" ref="J3185:J3185">IFERROR(INDEX(AC3185:AE3185,IF(COUNTA(AC3185:AE3185)=0,"",MAX((AC3185:AE3185&lt;&gt;"")*(COLUMN(AC3185:AE3185)-(COLUMN(AC3185)))))-1),"")</f>
        <v>45678</v>
      </c>
      <c r="K3185" s="16" t="n">
        <f aca="false" t="array" ref="K3185:K3185">IFERROR(INDEX(AC3185:AE3185,IF(COUNTA(AC3185:AE3185)=0,"",MAX((AC3185:AE3185&lt;&gt;"")*(COLUMN(AC3185:AE3185)-(COLUMN(AC3185)-1))))-1),"")</f>
        <v>46132</v>
      </c>
      <c r="L3185" s="17" t="str">
        <f aca="false" t="array" ref="L3185:L3185">IFERROR(INDEX(AC3185:AE3185,IF(COUNTA(AC3185:AE3185)=0,"",MAX((AC3185:AE3185&lt;&gt;"")*(COLUMN(AC3185:AE3185)-(COLUMN(AC3185)-2))))-1),"")</f>
        <v>ARCHIVED</v>
      </c>
      <c r="M3185" s="13" t="n">
        <f aca="true">K3185-TODAY()</f>
        <v>-192</v>
      </c>
      <c r="N3185" s="18" t="s">
        <v>4051</v>
      </c>
      <c r="O3185" s="13" t="s">
        <v>2335</v>
      </c>
      <c r="P3185" s="19" t="n">
        <v>210000</v>
      </c>
      <c r="Q3185" s="47" t="s">
        <v>13243</v>
      </c>
      <c r="R3185" s="17" t="s">
        <v>232</v>
      </c>
      <c r="S3185" s="16" t="n">
        <v>30201</v>
      </c>
      <c r="T3185" s="28" t="s">
        <v>40</v>
      </c>
      <c r="U3185" s="13" t="s">
        <v>13244</v>
      </c>
      <c r="V3185" s="13" t="s">
        <v>42</v>
      </c>
      <c r="W3185" s="13" t="s">
        <v>54</v>
      </c>
      <c r="X3185" s="30" t="n">
        <v>89895687833</v>
      </c>
      <c r="Y3185" s="22" t="str">
        <f aca="false">O3185</f>
        <v>Project Management</v>
      </c>
      <c r="Z3185" s="13" t="str">
        <f aca="false">IFERROR(__xludf.dummyfunction("if(BJ3185="""","""",GOOGLETRANSLATE(BJ3185,""auto"",""en""))"),"Project Management")</f>
        <v>Project Management</v>
      </c>
      <c r="AA3185" s="23" t="str">
        <f aca="false">IF(C3185="","", CHOOSE(MONTH(C3185),"January","February","March","April","May","June","July","August","September","October","November","December")&amp;" "&amp;DAY(C3185)&amp;MID("thstndrdth",MIN(9,2*RIGHT(DAY(C3185))*(MOD(DAY(C3185)-11,100)&gt;2)+1),2)&amp;","&amp;TEXT(C3185," yyyy"))</f>
        <v>January 21st,2025</v>
      </c>
      <c r="AB3185" s="15" t="str">
        <f aca="true">IF(S3185="","",DATEDIF(S3185,TODAY(),"Y")&amp;" Tahun, "&amp;DATEDIF(S3185,TODAY(),"YM")&amp;" Bulan, "&amp;DATEDIF(S3185,TODAY(),"MD")&amp;" Hari")</f>
        <v>44 Tahun, 1 Bulan, 22 Hari</v>
      </c>
      <c r="AC3185" s="18" t="n">
        <v>45678</v>
      </c>
      <c r="AD3185" s="18" t="n">
        <v>46132</v>
      </c>
      <c r="AE3185" s="18" t="s">
        <v>44</v>
      </c>
    </row>
    <row r="3186" customFormat="false" ht="15" hidden="false" customHeight="true" outlineLevel="0" collapsed="false">
      <c r="A3186" s="12" t="n">
        <v>21779</v>
      </c>
      <c r="B3186" s="13" t="s">
        <v>13245</v>
      </c>
      <c r="C3186" s="16" t="n">
        <v>45678</v>
      </c>
      <c r="D3186" s="13" t="s">
        <v>7948</v>
      </c>
      <c r="E3186" s="15" t="s">
        <v>7949</v>
      </c>
      <c r="F3186" s="15" t="str">
        <f aca="false">IFERROR(__xludf.dummyfunction("XLOOKUP(AJ3186,IMPORTRANGE(""1XaInW9DU9nz21V0tYIfzFQ0He9kVQ_JF2mCXgZ3hqFA"",""REKAP ALL 2026 - Andika!G:G""),IMPORTRANGE(""1XaInW9DU9nz21V0tYIfzFQ0He9kVQ_JF2mCXgZ3hqFA"",""REKAP ALL 2026 - Andika!F:F""),"""",0)"),"26020755067")</f>
        <v>26020755067</v>
      </c>
      <c r="G3186" s="13" t="s">
        <v>57</v>
      </c>
      <c r="H3186" s="13" t="s">
        <v>3024</v>
      </c>
      <c r="I3186" s="13" t="str">
        <f aca="false">IF(C3186=J3186,"NEW KONTRAK","RE-KONTRAK")</f>
        <v>NEW KONTRAK</v>
      </c>
      <c r="J3186" s="16" t="n">
        <f aca="false" t="array" ref="J3186:J3186">IFERROR(INDEX(AC3186:AE3186,IF(COUNTA(AC3186:AE3186)=0,"",MAX((AC3186:AE3186&lt;&gt;"")*(COLUMN(AC3186:AE3186)-(COLUMN(AC3186)))))-1),"")</f>
        <v>45678</v>
      </c>
      <c r="K3186" s="16" t="n">
        <f aca="false" t="array" ref="K3186:K3186">IFERROR(INDEX(AC3186:AE3186,IF(COUNTA(AC3186:AE3186)=0,"",MAX((AC3186:AE3186&lt;&gt;"")*(COLUMN(AC3186:AE3186)-(COLUMN(AC3186)-1))))-1),"")</f>
        <v>46132</v>
      </c>
      <c r="L3186" s="17" t="str">
        <f aca="false" t="array" ref="L3186:L3186">IFERROR(INDEX(AC3186:AE3186,IF(COUNTA(AC3186:AE3186)=0,"",MAX((AC3186:AE3186&lt;&gt;"")*(COLUMN(AC3186:AE3186)-(COLUMN(AC3186)-2))))-1),"")</f>
        <v>ARCHIVED</v>
      </c>
      <c r="M3186" s="13" t="n">
        <f aca="true">K3186-TODAY()</f>
        <v>-192</v>
      </c>
      <c r="N3186" s="18" t="s">
        <v>4051</v>
      </c>
      <c r="O3186" s="13" t="s">
        <v>2335</v>
      </c>
      <c r="P3186" s="19" t="n">
        <v>210000</v>
      </c>
      <c r="Q3186" s="47" t="s">
        <v>13246</v>
      </c>
      <c r="R3186" s="17" t="s">
        <v>232</v>
      </c>
      <c r="S3186" s="16" t="n">
        <v>34532</v>
      </c>
      <c r="T3186" s="28" t="s">
        <v>40</v>
      </c>
      <c r="U3186" s="13" t="s">
        <v>13247</v>
      </c>
      <c r="V3186" s="13" t="s">
        <v>42</v>
      </c>
      <c r="W3186" s="13" t="s">
        <v>54</v>
      </c>
      <c r="X3186" s="30" t="n">
        <v>81387851910</v>
      </c>
      <c r="Y3186" s="22" t="str">
        <f aca="false">O3186</f>
        <v>Project Management</v>
      </c>
      <c r="Z3186" s="13" t="str">
        <f aca="false">IFERROR(__xludf.dummyfunction("if(BJ3186="""","""",GOOGLETRANSLATE(BJ3186,""auto"",""en""))"),"Project Management")</f>
        <v>Project Management</v>
      </c>
      <c r="AA3186" s="23" t="str">
        <f aca="false">IF(C3186="","", CHOOSE(MONTH(C3186),"January","February","March","April","May","June","July","August","September","October","November","December")&amp;" "&amp;DAY(C3186)&amp;MID("thstndrdth",MIN(9,2*RIGHT(DAY(C3186))*(MOD(DAY(C3186)-11,100)&gt;2)+1),2)&amp;","&amp;TEXT(C3186," yyyy"))</f>
        <v>January 21st,2025</v>
      </c>
      <c r="AB3186" s="15" t="str">
        <f aca="true">IF(S3186="","",DATEDIF(S3186,TODAY(),"Y")&amp;" Tahun, "&amp;DATEDIF(S3186,TODAY(),"YM")&amp;" Bulan, "&amp;DATEDIF(S3186,TODAY(),"MD")&amp;" Hari")</f>
        <v>32 Tahun, 3 Bulan, 12 Hari</v>
      </c>
      <c r="AC3186" s="18" t="n">
        <v>45678</v>
      </c>
      <c r="AD3186" s="18" t="n">
        <v>46132</v>
      </c>
      <c r="AE3186" s="18" t="s">
        <v>44</v>
      </c>
    </row>
    <row r="3187" customFormat="false" ht="15" hidden="false" customHeight="true" outlineLevel="0" collapsed="false">
      <c r="A3187" s="12" t="n">
        <v>21780</v>
      </c>
      <c r="B3187" s="13" t="s">
        <v>13248</v>
      </c>
      <c r="C3187" s="16" t="n">
        <v>45678</v>
      </c>
      <c r="D3187" s="13" t="s">
        <v>7948</v>
      </c>
      <c r="E3187" s="15" t="s">
        <v>7949</v>
      </c>
      <c r="F3187" s="15" t="str">
        <f aca="false">IFERROR(__xludf.dummyfunction("XLOOKUP(AJ3187,IMPORTRANGE(""1XaInW9DU9nz21V0tYIfzFQ0He9kVQ_JF2mCXgZ3hqFA"",""REKAP ALL 2026 - Andika!G:G""),IMPORTRANGE(""1XaInW9DU9nz21V0tYIfzFQ0He9kVQ_JF2mCXgZ3hqFA"",""REKAP ALL 2026 - Andika!F:F""),"""",0)"),"26020755075")</f>
        <v>26020755075</v>
      </c>
      <c r="G3187" s="13" t="s">
        <v>57</v>
      </c>
      <c r="H3187" s="13" t="s">
        <v>3024</v>
      </c>
      <c r="I3187" s="13" t="str">
        <f aca="false">IF(C3187=J3187,"NEW KONTRAK","RE-KONTRAK")</f>
        <v>NEW KONTRAK</v>
      </c>
      <c r="J3187" s="16" t="n">
        <f aca="false" t="array" ref="J3187:J3187">IFERROR(INDEX(AC3187:AE3187,IF(COUNTA(AC3187:AE3187)=0,"",MAX((AC3187:AE3187&lt;&gt;"")*(COLUMN(AC3187:AE3187)-(COLUMN(AC3187)))))-1),"")</f>
        <v>45678</v>
      </c>
      <c r="K3187" s="16" t="n">
        <f aca="false" t="array" ref="K3187:K3187">IFERROR(INDEX(AC3187:AE3187,IF(COUNTA(AC3187:AE3187)=0,"",MAX((AC3187:AE3187&lt;&gt;"")*(COLUMN(AC3187:AE3187)-(COLUMN(AC3187)-1))))-1),"")</f>
        <v>46132</v>
      </c>
      <c r="L3187" s="17" t="str">
        <f aca="false" t="array" ref="L3187:L3187">IFERROR(INDEX(AC3187:AE3187,IF(COUNTA(AC3187:AE3187)=0,"",MAX((AC3187:AE3187&lt;&gt;"")*(COLUMN(AC3187:AE3187)-(COLUMN(AC3187)-2))))-1),"")</f>
        <v>ARCHIVED</v>
      </c>
      <c r="M3187" s="13" t="n">
        <f aca="true">K3187-TODAY()</f>
        <v>-192</v>
      </c>
      <c r="N3187" s="18" t="s">
        <v>4051</v>
      </c>
      <c r="O3187" s="13" t="s">
        <v>2335</v>
      </c>
      <c r="P3187" s="19" t="n">
        <v>210000</v>
      </c>
      <c r="Q3187" s="47" t="s">
        <v>13249</v>
      </c>
      <c r="R3187" s="13" t="s">
        <v>73</v>
      </c>
      <c r="S3187" s="16" t="n">
        <v>36692</v>
      </c>
      <c r="T3187" s="28" t="s">
        <v>40</v>
      </c>
      <c r="U3187" s="13" t="s">
        <v>13250</v>
      </c>
      <c r="V3187" s="13" t="s">
        <v>42</v>
      </c>
      <c r="W3187" s="13" t="s">
        <v>54</v>
      </c>
      <c r="X3187" s="30" t="n">
        <v>87739822587</v>
      </c>
      <c r="Y3187" s="22" t="str">
        <f aca="false">O3187</f>
        <v>Project Management</v>
      </c>
      <c r="Z3187" s="13" t="str">
        <f aca="false">IFERROR(__xludf.dummyfunction("if(BJ3187="""","""",GOOGLETRANSLATE(BJ3187,""auto"",""en""))"),"Project Management")</f>
        <v>Project Management</v>
      </c>
      <c r="AA3187" s="23" t="str">
        <f aca="false">IF(C3187="","", CHOOSE(MONTH(C3187),"January","February","March","April","May","June","July","August","September","October","November","December")&amp;" "&amp;DAY(C3187)&amp;MID("thstndrdth",MIN(9,2*RIGHT(DAY(C3187))*(MOD(DAY(C3187)-11,100)&gt;2)+1),2)&amp;","&amp;TEXT(C3187," yyyy"))</f>
        <v>January 21st,2025</v>
      </c>
      <c r="AB3187" s="15" t="str">
        <f aca="true">IF(S3187="","",DATEDIF(S3187,TODAY(),"Y")&amp;" Tahun, "&amp;DATEDIF(S3187,TODAY(),"YM")&amp;" Bulan, "&amp;DATEDIF(S3187,TODAY(),"MD")&amp;" Hari")</f>
        <v>26 Tahun, 4 Bulan, 14 Hari</v>
      </c>
      <c r="AC3187" s="18" t="n">
        <v>45678</v>
      </c>
      <c r="AD3187" s="18" t="n">
        <v>46132</v>
      </c>
      <c r="AE3187" s="18" t="s">
        <v>44</v>
      </c>
    </row>
    <row r="3188" customFormat="false" ht="15" hidden="false" customHeight="true" outlineLevel="0" collapsed="false">
      <c r="A3188" s="12" t="n">
        <v>21781</v>
      </c>
      <c r="B3188" s="13" t="s">
        <v>13251</v>
      </c>
      <c r="C3188" s="16" t="n">
        <v>45994</v>
      </c>
      <c r="D3188" s="13" t="s">
        <v>613</v>
      </c>
      <c r="E3188" s="15" t="s">
        <v>47</v>
      </c>
      <c r="F3188" s="15" t="str">
        <f aca="false">IFERROR(__xludf.dummyfunction("XLOOKUP(AJ3188,IMPORTRANGE(""1XaInW9DU9nz21V0tYIfzFQ0He9kVQ_JF2mCXgZ3hqFA"",""REKAP ALL 2026 - Andika!G:G""),IMPORTRANGE(""1XaInW9DU9nz21V0tYIfzFQ0He9kVQ_JF2mCXgZ3hqFA"",""REKAP ALL 2026 - Andika!F:F""),"""",0)"),"26020755224")</f>
        <v>26020755224</v>
      </c>
      <c r="G3188" s="28" t="s">
        <v>57</v>
      </c>
      <c r="H3188" s="13" t="s">
        <v>35</v>
      </c>
      <c r="I3188" s="13" t="str">
        <f aca="false">IF(C3188=J3188,"NEW KONTRAK","RE-KONTRAK")</f>
        <v>NEW KONTRAK</v>
      </c>
      <c r="J3188" s="16" t="n">
        <f aca="false" t="array" ref="J3188:J3188">IFERROR(INDEX(AC3188:AE3188,IF(COUNTA(AC3188:AE3188)=0,"",MAX((AC3188:AE3188&lt;&gt;"")*(COLUMN(AC3188:AE3188)-(COLUMN(AC3188)))))-1),"")</f>
        <v>45994</v>
      </c>
      <c r="K3188" s="16" t="n">
        <f aca="false" t="array" ref="K3188:K3188">IFERROR(INDEX(AC3188:AE3188,IF(COUNTA(AC3188:AE3188)=0,"",MAX((AC3188:AE3188&lt;&gt;"")*(COLUMN(AC3188:AE3188)-(COLUMN(AC3188)-1))))-1),"")</f>
        <v>46068</v>
      </c>
      <c r="L3188" s="17" t="str">
        <f aca="false" t="array" ref="L3188:L3188">IFERROR(INDEX(AC3188:AE3188,IF(COUNTA(AC3188:AE3188)=0,"",MAX((AC3188:AE3188&lt;&gt;"")*(COLUMN(AC3188:AE3188)-(COLUMN(AC3188)-2))))-1),"")</f>
        <v>ARCHIVED</v>
      </c>
      <c r="M3188" s="13" t="n">
        <f aca="true">K3188-TODAY()</f>
        <v>-256</v>
      </c>
      <c r="N3188" s="18" t="s">
        <v>615</v>
      </c>
      <c r="O3188" s="13" t="s">
        <v>58</v>
      </c>
      <c r="P3188" s="19" t="n">
        <v>5176101</v>
      </c>
      <c r="Q3188" s="20" t="s">
        <v>13252</v>
      </c>
      <c r="R3188" s="13" t="s">
        <v>232</v>
      </c>
      <c r="S3188" s="16" t="n">
        <v>32275</v>
      </c>
      <c r="T3188" s="28" t="s">
        <v>40</v>
      </c>
      <c r="U3188" s="13" t="s">
        <v>13253</v>
      </c>
      <c r="V3188" s="13" t="s">
        <v>42</v>
      </c>
      <c r="W3188" s="13" t="s">
        <v>54</v>
      </c>
      <c r="X3188" s="21" t="n">
        <v>81515513838</v>
      </c>
      <c r="Y3188" s="22" t="str">
        <f aca="false">O3188</f>
        <v>Produksi</v>
      </c>
      <c r="Z3188" s="13" t="str">
        <f aca="false">IFERROR(__xludf.dummyfunction("if(BJ3188="""","""",GOOGLETRANSLATE(BJ3188,""auto"",""en""))"),"Production")</f>
        <v>Production</v>
      </c>
      <c r="AA3188" s="23" t="str">
        <f aca="false">IF(C3188="","", CHOOSE(MONTH(C3188),"January","February","March","April","May","June","July","August","September","October","November","December")&amp;" "&amp;DAY(C3188)&amp;MID("thstndrdth",MIN(9,2*RIGHT(DAY(C3188))*(MOD(DAY(C3188)-11,100)&gt;2)+1),2)&amp;","&amp;TEXT(C3188," yyyy"))</f>
        <v>December 3rd,2025</v>
      </c>
      <c r="AB3188" s="15" t="str">
        <f aca="true">IF(S3188="","",DATEDIF(S3188,TODAY(),"Y")&amp;" Tahun, "&amp;DATEDIF(S3188,TODAY(),"YM")&amp;" Bulan, "&amp;DATEDIF(S3188,TODAY(),"MD")&amp;" Hari")</f>
        <v>38 Tahun, 5 Bulan, 17 Hari</v>
      </c>
      <c r="AC3188" s="18" t="n">
        <v>45994</v>
      </c>
      <c r="AD3188" s="18" t="n">
        <v>46068</v>
      </c>
      <c r="AE3188" s="13" t="s">
        <v>44</v>
      </c>
    </row>
    <row r="3189" customFormat="false" ht="15" hidden="false" customHeight="true" outlineLevel="0" collapsed="false">
      <c r="A3189" s="12" t="n">
        <v>21782</v>
      </c>
      <c r="B3189" s="13" t="s">
        <v>13254</v>
      </c>
      <c r="C3189" s="16" t="n">
        <v>46039</v>
      </c>
      <c r="D3189" s="13" t="s">
        <v>4610</v>
      </c>
      <c r="E3189" s="15" t="s">
        <v>47</v>
      </c>
      <c r="F3189" s="15" t="str">
        <f aca="false">IFERROR(__xludf.dummyfunction("XLOOKUP(AJ3189,IMPORTRANGE(""1XaInW9DU9nz21V0tYIfzFQ0He9kVQ_JF2mCXgZ3hqFA"",""REKAP ALL 2026 - Andika!G:G""),IMPORTRANGE(""1XaInW9DU9nz21V0tYIfzFQ0He9kVQ_JF2mCXgZ3hqFA"",""REKAP ALL 2026 - Andika!F:F""),"""",0)"),"26020763707")</f>
        <v>26020763707</v>
      </c>
      <c r="G3189" s="13" t="s">
        <v>57</v>
      </c>
      <c r="H3189" s="13" t="s">
        <v>35</v>
      </c>
      <c r="I3189" s="13" t="str">
        <f aca="false">IF(C3189=J3189,"NEW KONTRAK","RE-KONTRAK")</f>
        <v>NEW KONTRAK</v>
      </c>
      <c r="J3189" s="16" t="n">
        <f aca="false" t="array" ref="J3189:J3189">IFERROR(INDEX(AC3189:AE3189,IF(COUNTA(AC3189:AE3189)=0,"",MAX((AC3189:AE3189&lt;&gt;"")*(COLUMN(AC3189:AE3189)-(COLUMN(AC3189)))))-1),"")</f>
        <v>46039</v>
      </c>
      <c r="K3189" s="16" t="n">
        <f aca="false" t="array" ref="K3189:K3189">IFERROR(INDEX(AC3189:AE3189,IF(COUNTA(AC3189:AE3189)=0,"",MAX((AC3189:AE3189&lt;&gt;"")*(COLUMN(AC3189:AE3189)-(COLUMN(AC3189)-1))))-1),"")</f>
        <v>46069</v>
      </c>
      <c r="L3189" s="17" t="str">
        <f aca="false" t="array" ref="L3189:L3189">IFERROR(INDEX(AC3189:AE3189,IF(COUNTA(AC3189:AE3189)=0,"",MAX((AC3189:AE3189&lt;&gt;"")*(COLUMN(AC3189:AE3189)-(COLUMN(AC3189)-2))))-1),"")</f>
        <v>ARCHIVED</v>
      </c>
      <c r="M3189" s="13" t="n">
        <f aca="true">K3189-TODAY()</f>
        <v>-255</v>
      </c>
      <c r="N3189" s="18" t="s">
        <v>36</v>
      </c>
      <c r="O3189" s="13" t="s">
        <v>4280</v>
      </c>
      <c r="P3189" s="27" t="n">
        <v>120000</v>
      </c>
      <c r="Q3189" s="20" t="s">
        <v>13255</v>
      </c>
      <c r="R3189" s="13" t="s">
        <v>260</v>
      </c>
      <c r="S3189" s="16" t="n">
        <v>32702</v>
      </c>
      <c r="T3189" s="13" t="s">
        <v>108</v>
      </c>
      <c r="U3189" s="13" t="s">
        <v>13256</v>
      </c>
      <c r="V3189" s="13" t="s">
        <v>42</v>
      </c>
      <c r="W3189" s="13" t="s">
        <v>54</v>
      </c>
      <c r="X3189" s="30" t="n">
        <v>82139718707</v>
      </c>
      <c r="Y3189" s="22" t="str">
        <f aca="false">O3189</f>
        <v>Helper Cutting</v>
      </c>
      <c r="Z3189" s="13" t="str">
        <f aca="false">IFERROR(__xludf.dummyfunction("if(BJ3189="""","""",GOOGLETRANSLATE(BJ3189,""auto"",""en""))"),"Helper Cutting")</f>
        <v>Helper Cutting</v>
      </c>
      <c r="AA3189" s="23" t="str">
        <f aca="false">IF(C3189="","", CHOOSE(MONTH(C3189),"January","February","March","April","May","June","July","August","September","October","November","December")&amp;" "&amp;DAY(C3189)&amp;MID("thstndrdth",MIN(9,2*RIGHT(DAY(C3189))*(MOD(DAY(C3189)-11,100)&gt;2)+1),2)&amp;","&amp;TEXT(C3189," yyyy"))</f>
        <v>January 17th,2026</v>
      </c>
      <c r="AB3189" s="15" t="str">
        <f aca="true">IF(S3189="","",DATEDIF(S3189,TODAY(),"Y")&amp;" Tahun, "&amp;DATEDIF(S3189,TODAY(),"YM")&amp;" Bulan, "&amp;DATEDIF(S3189,TODAY(),"MD")&amp;" Hari")</f>
        <v>37 Tahun, 3 Bulan, 16 Hari</v>
      </c>
      <c r="AC3189" s="18" t="n">
        <v>46039</v>
      </c>
      <c r="AD3189" s="18" t="n">
        <v>46069</v>
      </c>
      <c r="AE3189" s="18" t="s">
        <v>44</v>
      </c>
    </row>
    <row r="3190" customFormat="false" ht="15" hidden="false" customHeight="true" outlineLevel="0" collapsed="false">
      <c r="A3190" s="12" t="n">
        <v>21783</v>
      </c>
      <c r="B3190" s="13" t="s">
        <v>13257</v>
      </c>
      <c r="C3190" s="16" t="n">
        <v>46042</v>
      </c>
      <c r="D3190" s="13" t="s">
        <v>774</v>
      </c>
      <c r="E3190" s="15" t="s">
        <v>47</v>
      </c>
      <c r="F3190" s="15" t="str">
        <f aca="false">IFERROR(__xludf.dummyfunction("XLOOKUP(AJ3190,IMPORTRANGE(""1XaInW9DU9nz21V0tYIfzFQ0He9kVQ_JF2mCXgZ3hqFA"",""REKAP ALL 2026 - Andika!G:G""),IMPORTRANGE(""1XaInW9DU9nz21V0tYIfzFQ0He9kVQ_JF2mCXgZ3hqFA"",""REKAP ALL 2026 - Andika!F:F""),"""",0)"),"26020760752")</f>
        <v>26020760752</v>
      </c>
      <c r="G3190" s="13" t="s">
        <v>1127</v>
      </c>
      <c r="H3190" s="13" t="s">
        <v>35</v>
      </c>
      <c r="I3190" s="13" t="str">
        <f aca="false">IF(C3190=J3190,"NEW KONTRAK","RE-KONTRAK")</f>
        <v>RE-KONTRAK</v>
      </c>
      <c r="J3190" s="16" t="n">
        <f aca="false" t="array" ref="J3190:J3190">IFERROR(INDEX(AC3190:AE3190,IF(COUNTA(AC3190:AE3190)=0,"",MAX((AC3190:AE3190&lt;&gt;"")*(COLUMN(AC3190:AE3190)-(COLUMN(AC3190)))))-1),"")</f>
        <v>46029</v>
      </c>
      <c r="K3190" s="16" t="n">
        <f aca="false" t="array" ref="K3190:K3190">IFERROR(INDEX(AC3190:AE3190,IF(COUNTA(AC3190:AE3190)=0,"",MAX((AC3190:AE3190&lt;&gt;"")*(COLUMN(AC3190:AE3190)-(COLUMN(AC3190)-1))))-1),"")</f>
        <v>46393</v>
      </c>
      <c r="L3190" s="17" t="str">
        <f aca="false" t="array" ref="L3190:L3190">IFERROR(INDEX(AC3190:AE3190,IF(COUNTA(AC3190:AE3190)=0,"",MAX((AC3190:AE3190&lt;&gt;"")*(COLUMN(AC3190:AE3190)-(COLUMN(AC3190)-2))))-1),"")</f>
        <v>KEMBALI</v>
      </c>
      <c r="M3190" s="13" t="n">
        <f aca="true">K3190-TODAY()</f>
        <v>69</v>
      </c>
      <c r="N3190" s="18" t="s">
        <v>36</v>
      </c>
      <c r="O3190" s="13" t="s">
        <v>3015</v>
      </c>
      <c r="P3190" s="19" t="n">
        <v>6000000</v>
      </c>
      <c r="Q3190" s="47" t="s">
        <v>13258</v>
      </c>
      <c r="R3190" s="13" t="s">
        <v>241</v>
      </c>
      <c r="S3190" s="16" t="n">
        <v>35844</v>
      </c>
      <c r="T3190" s="28" t="s">
        <v>40</v>
      </c>
      <c r="U3190" s="13" t="s">
        <v>13259</v>
      </c>
      <c r="V3190" s="13" t="s">
        <v>42</v>
      </c>
      <c r="W3190" s="13" t="s">
        <v>54</v>
      </c>
      <c r="X3190" s="21" t="n">
        <v>81333008922</v>
      </c>
      <c r="Y3190" s="22" t="str">
        <f aca="false">O3190</f>
        <v>Staff Produksi</v>
      </c>
      <c r="Z3190" s="13" t="str">
        <f aca="false">IFERROR(__xludf.dummyfunction("if(BJ3190="""","""",GOOGLETRANSLATE(BJ3190,""auto"",""en""))"),"Production Staff")</f>
        <v>Production Staff</v>
      </c>
      <c r="AA3190" s="23" t="str">
        <f aca="false">IF(C3190="","", CHOOSE(MONTH(C3190),"January","February","March","April","May","June","July","August","September","October","November","December")&amp;" "&amp;DAY(C3190)&amp;MID("thstndrdth",MIN(9,2*RIGHT(DAY(C3190))*(MOD(DAY(C3190)-11,100)&gt;2)+1),2)&amp;","&amp;TEXT(C3190," yyyy"))</f>
        <v>January 20th,2026</v>
      </c>
      <c r="AB3190" s="15" t="str">
        <f aca="true">IF(S3190="","",DATEDIF(S3190,TODAY(),"Y")&amp;" Tahun, "&amp;DATEDIF(S3190,TODAY(),"YM")&amp;" Bulan, "&amp;DATEDIF(S3190,TODAY(),"MD")&amp;" Hari")</f>
        <v>28 Tahun, 8 Bulan, 11 Hari</v>
      </c>
      <c r="AC3190" s="18" t="n">
        <v>46029</v>
      </c>
      <c r="AD3190" s="18" t="n">
        <f aca="false">EDATE(AC3190,12)-1</f>
        <v>46393</v>
      </c>
      <c r="AE3190" s="13" t="s">
        <v>397</v>
      </c>
    </row>
    <row r="3191" customFormat="false" ht="15" hidden="false" customHeight="true" outlineLevel="0" collapsed="false">
      <c r="A3191" s="12" t="n">
        <v>21784</v>
      </c>
      <c r="B3191" s="13" t="s">
        <v>13260</v>
      </c>
      <c r="C3191" s="16" t="n">
        <v>46042</v>
      </c>
      <c r="D3191" s="13" t="s">
        <v>2747</v>
      </c>
      <c r="E3191" s="15" t="s">
        <v>47</v>
      </c>
      <c r="F3191" s="24" t="s">
        <v>13261</v>
      </c>
      <c r="G3191" s="13" t="s">
        <v>2809</v>
      </c>
      <c r="H3191" s="13" t="s">
        <v>35</v>
      </c>
      <c r="I3191" s="13" t="str">
        <f aca="false">IF(C3191=J3191,"NEW KONTRAK","RE-KONTRAK")</f>
        <v>NEW KONTRAK</v>
      </c>
      <c r="J3191" s="16" t="n">
        <f aca="false" t="array" ref="J3191:J3191">IFERROR(INDEX(AC3191:AE3191,IF(COUNTA(AC3191:AE3191)=0,"",MAX((AC3191:AE3191&lt;&gt;"")*(COLUMN(AC3191:AE3191)-(COLUMN(AC3191)))))-1),"")</f>
        <v>46042</v>
      </c>
      <c r="K3191" s="16" t="n">
        <f aca="false" t="array" ref="K3191:K3191">IFERROR(INDEX(AC3191:AE3191,IF(COUNTA(AC3191:AE3191)=0,"",MAX((AC3191:AE3191&lt;&gt;"")*(COLUMN(AC3191:AE3191)-(COLUMN(AC3191)-1))))-1),"")</f>
        <v>46406</v>
      </c>
      <c r="L3191" s="17" t="str">
        <f aca="false" t="array" ref="L3191:L3191">IFERROR(INDEX(AC3191:AE3191,IF(COUNTA(AC3191:AE3191)=0,"",MAX((AC3191:AE3191&lt;&gt;"")*(COLUMN(AC3191:AE3191)-(COLUMN(AC3191)-2))))-1),"")</f>
        <v>KEMBALI</v>
      </c>
      <c r="M3191" s="13" t="n">
        <f aca="true">K3191-TODAY()</f>
        <v>82</v>
      </c>
      <c r="N3191" s="18" t="s">
        <v>36</v>
      </c>
      <c r="O3191" s="13" t="s">
        <v>50</v>
      </c>
      <c r="P3191" s="19" t="n">
        <v>135000</v>
      </c>
      <c r="Q3191" s="20" t="s">
        <v>13262</v>
      </c>
      <c r="R3191" s="13" t="s">
        <v>52</v>
      </c>
      <c r="S3191" s="16" t="n">
        <v>32749</v>
      </c>
      <c r="T3191" s="28" t="s">
        <v>40</v>
      </c>
      <c r="U3191" s="13" t="s">
        <v>13263</v>
      </c>
      <c r="V3191" s="28" t="s">
        <v>42</v>
      </c>
      <c r="W3191" s="28" t="s">
        <v>54</v>
      </c>
      <c r="X3191" s="21" t="n">
        <v>82142422799</v>
      </c>
      <c r="Y3191" s="22" t="str">
        <f aca="false">O3191</f>
        <v>Driver</v>
      </c>
      <c r="Z3191" s="13" t="str">
        <f aca="false">IFERROR(__xludf.dummyfunction("if(BJ3191="""","""",GOOGLETRANSLATE(BJ3191,""auto"",""en""))"),"Driver")</f>
        <v>Driver</v>
      </c>
      <c r="AA3191" s="23" t="str">
        <f aca="false">IF(C3191="","", CHOOSE(MONTH(C3191),"January","February","March","April","May","June","July","August","September","October","November","December")&amp;" "&amp;DAY(C3191)&amp;MID("thstndrdth",MIN(9,2*RIGHT(DAY(C3191))*(MOD(DAY(C3191)-11,100)&gt;2)+1),2)&amp;","&amp;TEXT(C3191," yyyy"))</f>
        <v>January 20th,2026</v>
      </c>
      <c r="AB3191" s="15" t="str">
        <f aca="true">IF(S3191="","",DATEDIF(S3191,TODAY(),"Y")&amp;" Tahun, "&amp;DATEDIF(S3191,TODAY(),"YM")&amp;" Bulan, "&amp;DATEDIF(S3191,TODAY(),"MD")&amp;" Hari")</f>
        <v>37 Tahun, 2 Bulan, 0 Hari</v>
      </c>
      <c r="AC3191" s="18" t="n">
        <v>46042</v>
      </c>
      <c r="AD3191" s="18" t="n">
        <f aca="false">EDATE(AC3191,12)-1</f>
        <v>46406</v>
      </c>
      <c r="AE3191" s="13" t="s">
        <v>397</v>
      </c>
    </row>
    <row r="3192" customFormat="false" ht="15" hidden="false" customHeight="true" outlineLevel="0" collapsed="false">
      <c r="A3192" s="12" t="n">
        <v>21786</v>
      </c>
      <c r="B3192" s="13" t="s">
        <v>13264</v>
      </c>
      <c r="C3192" s="16" t="n">
        <v>46044</v>
      </c>
      <c r="D3192" s="13" t="s">
        <v>6473</v>
      </c>
      <c r="E3192" s="15" t="s">
        <v>102</v>
      </c>
      <c r="F3192" s="15" t="str">
        <f aca="false">IFERROR(__xludf.dummyfunction("XLOOKUP(AJ3192,IMPORTRANGE(""1XaInW9DU9nz21V0tYIfzFQ0He9kVQ_JF2mCXgZ3hqFA"",""REKAP ALL 2026 - Andika!G:G""),IMPORTRANGE(""1XaInW9DU9nz21V0tYIfzFQ0He9kVQ_JF2mCXgZ3hqFA"",""REKAP ALL 2026 - Andika!F:F""),"""",0)"),"26020762949")</f>
        <v>26020762949</v>
      </c>
      <c r="G3192" s="28" t="s">
        <v>57</v>
      </c>
      <c r="H3192" s="13" t="s">
        <v>35</v>
      </c>
      <c r="I3192" s="13" t="str">
        <f aca="false">IF(C3192=J3192,"NEW KONTRAK","RE-KONTRAK")</f>
        <v>NEW KONTRAK</v>
      </c>
      <c r="J3192" s="16" t="n">
        <f aca="false" t="array" ref="J3192:J3192">IFERROR(INDEX(AC3192:AE3192,IF(COUNTA(AC3192:AE3192)=0,"",MAX((AC3192:AE3192&lt;&gt;"")*(COLUMN(AC3192:AE3192)-(COLUMN(AC3192)))))-1),"")</f>
        <v>46044</v>
      </c>
      <c r="K3192" s="16" t="n">
        <f aca="false" t="array" ref="K3192:K3192">IFERROR(INDEX(AC3192:AE3192,IF(COUNTA(AC3192:AE3192)=0,"",MAX((AC3192:AE3192&lt;&gt;"")*(COLUMN(AC3192:AE3192)-(COLUMN(AC3192)-1))))-1),"")</f>
        <v>46133</v>
      </c>
      <c r="L3192" s="17" t="str">
        <f aca="false" t="array" ref="L3192:L3192">IFERROR(INDEX(AC3192:AE3192,IF(COUNTA(AC3192:AE3192)=0,"",MAX((AC3192:AE3192&lt;&gt;"")*(COLUMN(AC3192:AE3192)-(COLUMN(AC3192)-2))))-1),"")</f>
        <v>ARCHIVED</v>
      </c>
      <c r="M3192" s="13" t="n">
        <f aca="true">K3192-TODAY()</f>
        <v>-191</v>
      </c>
      <c r="N3192" s="18" t="s">
        <v>728</v>
      </c>
      <c r="O3192" s="13" t="s">
        <v>13265</v>
      </c>
      <c r="P3192" s="19" t="n">
        <v>140000</v>
      </c>
      <c r="Q3192" s="47" t="s">
        <v>13266</v>
      </c>
      <c r="R3192" s="13" t="s">
        <v>7387</v>
      </c>
      <c r="S3192" s="16" t="n">
        <v>38434</v>
      </c>
      <c r="T3192" s="13" t="s">
        <v>108</v>
      </c>
      <c r="U3192" s="13" t="s">
        <v>13267</v>
      </c>
      <c r="V3192" s="13" t="s">
        <v>42</v>
      </c>
      <c r="W3192" s="13" t="s">
        <v>43</v>
      </c>
      <c r="X3192" s="21" t="n">
        <v>83101362373</v>
      </c>
      <c r="Y3192" s="22" t="str">
        <f aca="false">O3192</f>
        <v>Admin HR (Part Time)</v>
      </c>
      <c r="Z3192" s="13" t="str">
        <f aca="false">IFERROR(__xludf.dummyfunction("if(BJ3192="""","""",GOOGLETRANSLATE(BJ3192,""auto"",""en""))"),"Admin HR (Part Time)")</f>
        <v>Admin HR (Part Time)</v>
      </c>
      <c r="AA3192" s="23" t="str">
        <f aca="false">IF(C3192="","", CHOOSE(MONTH(C3192),"January","February","March","April","May","June","July","August","September","October","November","December")&amp;" "&amp;DAY(C3192)&amp;MID("thstndrdth",MIN(9,2*RIGHT(DAY(C3192))*(MOD(DAY(C3192)-11,100)&gt;2)+1),2)&amp;","&amp;TEXT(C3192," yyyy"))</f>
        <v>January 22nd,2026</v>
      </c>
      <c r="AB3192" s="15" t="str">
        <f aca="true">IF(S3192="","",DATEDIF(S3192,TODAY(),"Y")&amp;" Tahun, "&amp;DATEDIF(S3192,TODAY(),"YM")&amp;" Bulan, "&amp;DATEDIF(S3192,TODAY(),"MD")&amp;" Hari")</f>
        <v>21 Tahun, 7 Bulan, 6 Hari</v>
      </c>
      <c r="AC3192" s="18" t="n">
        <v>46044</v>
      </c>
      <c r="AD3192" s="18" t="n">
        <f aca="false">EDATE(AC3192,3)-1</f>
        <v>46133</v>
      </c>
      <c r="AE3192" s="18" t="s">
        <v>44</v>
      </c>
    </row>
    <row r="3193" customFormat="false" ht="15" hidden="false" customHeight="true" outlineLevel="0" collapsed="false">
      <c r="A3193" s="12" t="n">
        <v>21787</v>
      </c>
      <c r="B3193" s="13" t="s">
        <v>13268</v>
      </c>
      <c r="C3193" s="16" t="n">
        <v>46024</v>
      </c>
      <c r="D3193" s="13" t="s">
        <v>4112</v>
      </c>
      <c r="E3193" s="15" t="s">
        <v>102</v>
      </c>
      <c r="F3193" s="24" t="s">
        <v>13269</v>
      </c>
      <c r="G3193" s="28" t="s">
        <v>57</v>
      </c>
      <c r="H3193" s="13" t="s">
        <v>35</v>
      </c>
      <c r="I3193" s="13" t="str">
        <f aca="false">IF(C3193=J3193,"NEW KONTRAK","RE-KONTRAK")</f>
        <v>NEW KONTRAK</v>
      </c>
      <c r="J3193" s="16" t="n">
        <f aca="false" t="array" ref="J3193:J3193">IFERROR(INDEX(AC3193:AE3193,IF(COUNTA(AC3193:AE3193)=0,"",MAX((AC3193:AE3193&lt;&gt;"")*(COLUMN(AC3193:AE3193)-(COLUMN(AC3193)))))-1),"")</f>
        <v>46024</v>
      </c>
      <c r="K3193" s="16" t="n">
        <f aca="false" t="array" ref="K3193:K3193">IFERROR(INDEX(AC3193:AE3193,IF(COUNTA(AC3193:AE3193)=0,"",MAX((AC3193:AE3193&lt;&gt;"")*(COLUMN(AC3193:AE3193)-(COLUMN(AC3193)-1))))-1),"")</f>
        <v>46113</v>
      </c>
      <c r="L3193" s="17" t="str">
        <f aca="false" t="array" ref="L3193:L3193">IFERROR(INDEX(AC3193:AE3193,IF(COUNTA(AC3193:AE3193)=0,"",MAX((AC3193:AE3193&lt;&gt;"")*(COLUMN(AC3193:AE3193)-(COLUMN(AC3193)-2))))-1),"")</f>
        <v>KEMBALI</v>
      </c>
      <c r="M3193" s="13" t="n">
        <f aca="true">K3193-TODAY()</f>
        <v>-211</v>
      </c>
      <c r="N3193" s="18" t="s">
        <v>728</v>
      </c>
      <c r="O3193" s="13" t="s">
        <v>719</v>
      </c>
      <c r="P3193" s="19" t="n">
        <v>120000</v>
      </c>
      <c r="Q3193" s="47" t="s">
        <v>13270</v>
      </c>
      <c r="R3193" s="13" t="s">
        <v>73</v>
      </c>
      <c r="S3193" s="16" t="n">
        <v>36132</v>
      </c>
      <c r="T3193" s="28" t="s">
        <v>40</v>
      </c>
      <c r="U3193" s="13" t="s">
        <v>13271</v>
      </c>
      <c r="V3193" s="13" t="s">
        <v>42</v>
      </c>
      <c r="W3193" s="13" t="s">
        <v>54</v>
      </c>
      <c r="X3193" s="21" t="n">
        <v>85947610039</v>
      </c>
      <c r="Y3193" s="22" t="str">
        <f aca="false">O3193</f>
        <v>Cleaning Service</v>
      </c>
      <c r="Z3193" s="13" t="str">
        <f aca="false">IFERROR(__xludf.dummyfunction("if(BJ3193="""","""",GOOGLETRANSLATE(BJ3193,""auto"",""en""))"),"Cleaning Service")</f>
        <v>Cleaning Service</v>
      </c>
      <c r="AA3193" s="23" t="str">
        <f aca="false">IF(C3193="","", CHOOSE(MONTH(C3193),"January","February","March","April","May","June","July","August","September","October","November","December")&amp;" "&amp;DAY(C3193)&amp;MID("thstndrdth",MIN(9,2*RIGHT(DAY(C3193))*(MOD(DAY(C3193)-11,100)&gt;2)+1),2)&amp;","&amp;TEXT(C3193," yyyy"))</f>
        <v>January 2nd,2026</v>
      </c>
      <c r="AB3193" s="15" t="str">
        <f aca="true">IF(S3193="","",DATEDIF(S3193,TODAY(),"Y")&amp;" Tahun, "&amp;DATEDIF(S3193,TODAY(),"YM")&amp;" Bulan, "&amp;DATEDIF(S3193,TODAY(),"MD")&amp;" Hari")</f>
        <v>27 Tahun, 10 Bulan, 26 Hari</v>
      </c>
      <c r="AC3193" s="18" t="n">
        <v>46024</v>
      </c>
      <c r="AD3193" s="18" t="n">
        <f aca="false">EDATE(AC3193,3)-1</f>
        <v>46113</v>
      </c>
      <c r="AE3193" s="13" t="s">
        <v>397</v>
      </c>
    </row>
    <row r="3194" customFormat="false" ht="15" hidden="false" customHeight="true" outlineLevel="0" collapsed="false">
      <c r="A3194" s="12" t="n">
        <v>21788</v>
      </c>
      <c r="B3194" s="13" t="s">
        <v>13272</v>
      </c>
      <c r="C3194" s="16" t="n">
        <v>46015</v>
      </c>
      <c r="D3194" s="13" t="s">
        <v>10058</v>
      </c>
      <c r="E3194" s="15" t="s">
        <v>47</v>
      </c>
      <c r="F3194" s="15" t="str">
        <f aca="false">IFERROR(__xludf.dummyfunction("XLOOKUP(AJ3194,IMPORTRANGE(""1XaInW9DU9nz21V0tYIfzFQ0He9kVQ_JF2mCXgZ3hqFA"",""REKAP ALL 2026 - Andika!G:G""),IMPORTRANGE(""1XaInW9DU9nz21V0tYIfzFQ0He9kVQ_JF2mCXgZ3hqFA"",""REKAP ALL 2026 - Andika!F:F""),"""",0)"),"26062985473")</f>
        <v>26062985473</v>
      </c>
      <c r="G3194" s="13" t="s">
        <v>1127</v>
      </c>
      <c r="H3194" s="13" t="s">
        <v>3024</v>
      </c>
      <c r="I3194" s="13" t="str">
        <f aca="false">IF(C3194=J3194,"NEW KONTRAK","RE-KONTRAK")</f>
        <v>NEW KONTRAK</v>
      </c>
      <c r="J3194" s="16" t="n">
        <f aca="false" t="array" ref="J3194:J3194">IFERROR(INDEX(AC3194:AE3194,IF(COUNTA(AC3194:AE3194)=0,"",MAX((AC3194:AE3194&lt;&gt;"")*(COLUMN(AC3194:AE3194)-(COLUMN(AC3194)))))-1),"")</f>
        <v>46015</v>
      </c>
      <c r="K3194" s="16" t="n">
        <f aca="false" t="array" ref="K3194:K3194">IFERROR(INDEX(AC3194:AE3194,IF(COUNTA(AC3194:AE3194)=0,"",MAX((AC3194:AE3194&lt;&gt;"")*(COLUMN(AC3194:AE3194)-(COLUMN(AC3194)-1))))-1),"")</f>
        <v>46104</v>
      </c>
      <c r="L3194" s="17" t="str">
        <f aca="false" t="array" ref="L3194:L3194">IFERROR(INDEX(AC3194:AE3194,IF(COUNTA(AC3194:AE3194)=0,"",MAX((AC3194:AE3194&lt;&gt;"")*(COLUMN(AC3194:AE3194)-(COLUMN(AC3194)-2))))-1),"")</f>
        <v>ARCHIVED</v>
      </c>
      <c r="M3194" s="13" t="n">
        <f aca="true">K3194-TODAY()</f>
        <v>-220</v>
      </c>
      <c r="N3194" s="18" t="s">
        <v>105</v>
      </c>
      <c r="O3194" s="13" t="s">
        <v>10059</v>
      </c>
      <c r="P3194" s="31" t="n">
        <v>138915</v>
      </c>
      <c r="Q3194" s="47" t="s">
        <v>13273</v>
      </c>
      <c r="R3194" s="13" t="s">
        <v>39</v>
      </c>
      <c r="S3194" s="16" t="n">
        <v>38548</v>
      </c>
      <c r="T3194" s="13" t="s">
        <v>108</v>
      </c>
      <c r="U3194" s="13" t="s">
        <v>13274</v>
      </c>
      <c r="V3194" s="13" t="s">
        <v>42</v>
      </c>
      <c r="W3194" s="13" t="s">
        <v>43</v>
      </c>
      <c r="X3194" s="21" t="n">
        <v>89682283099</v>
      </c>
      <c r="Y3194" s="22" t="str">
        <f aca="false">O3194</f>
        <v>Harian Lepas E-Commerce</v>
      </c>
      <c r="Z3194" s="13" t="str">
        <f aca="false">IFERROR(__xludf.dummyfunction("if(BJ3194="""","""",GOOGLETRANSLATE(BJ3194,""auto"",""en""))"),"Daily Post E-Commerce")</f>
        <v>Daily Post E-Commerce</v>
      </c>
      <c r="AA3194" s="23" t="str">
        <f aca="false">IF(C3194="","", CHOOSE(MONTH(C3194),"January","February","March","April","May","June","July","August","September","October","November","December")&amp;" "&amp;DAY(C3194)&amp;MID("thstndrdth",MIN(9,2*RIGHT(DAY(C3194))*(MOD(DAY(C3194)-11,100)&gt;2)+1),2)&amp;","&amp;TEXT(C3194," yyyy"))</f>
        <v>December 24th,2025</v>
      </c>
      <c r="AB3194" s="15" t="str">
        <f aca="true">IF(S3194="","",DATEDIF(S3194,TODAY(),"Y")&amp;" Tahun, "&amp;DATEDIF(S3194,TODAY(),"YM")&amp;" Bulan, "&amp;DATEDIF(S3194,TODAY(),"MD")&amp;" Hari")</f>
        <v>21 Tahun, 3 Bulan, 14 Hari</v>
      </c>
      <c r="AC3194" s="18" t="n">
        <v>46015</v>
      </c>
      <c r="AD3194" s="18" t="n">
        <f aca="false">EDATE(AC3194,3)-1</f>
        <v>46104</v>
      </c>
      <c r="AE3194" s="18" t="s">
        <v>44</v>
      </c>
    </row>
    <row r="3195" customFormat="false" ht="15" hidden="false" customHeight="true" outlineLevel="0" collapsed="false">
      <c r="A3195" s="12" t="n">
        <v>21789</v>
      </c>
      <c r="B3195" s="13" t="s">
        <v>13275</v>
      </c>
      <c r="C3195" s="16" t="n">
        <v>46015</v>
      </c>
      <c r="D3195" s="13" t="s">
        <v>10058</v>
      </c>
      <c r="E3195" s="15" t="s">
        <v>102</v>
      </c>
      <c r="F3195" s="24" t="s">
        <v>13276</v>
      </c>
      <c r="G3195" s="13" t="s">
        <v>1127</v>
      </c>
      <c r="H3195" s="13" t="s">
        <v>3024</v>
      </c>
      <c r="I3195" s="13" t="str">
        <f aca="false">IF(C3195=J3195,"NEW KONTRAK","RE-KONTRAK")</f>
        <v>NEW KONTRAK</v>
      </c>
      <c r="J3195" s="16" t="n">
        <f aca="false" t="array" ref="J3195:J3195">IFERROR(INDEX(AC3195:AE3195,IF(COUNTA(AC3195:AE3195)=0,"",MAX((AC3195:AE3195&lt;&gt;"")*(COLUMN(AC3195:AE3195)-(COLUMN(AC3195)))))-1),"")</f>
        <v>46015</v>
      </c>
      <c r="K3195" s="16" t="n">
        <f aca="false" t="array" ref="K3195:K3195">IFERROR(INDEX(AC3195:AE3195,IF(COUNTA(AC3195:AE3195)=0,"",MAX((AC3195:AE3195&lt;&gt;"")*(COLUMN(AC3195:AE3195)-(COLUMN(AC3195)-1))))-1),"")</f>
        <v>46104</v>
      </c>
      <c r="L3195" s="17" t="str">
        <f aca="false" t="array" ref="L3195:L3195">IFERROR(INDEX(AC3195:AE3195,IF(COUNTA(AC3195:AE3195)=0,"",MAX((AC3195:AE3195&lt;&gt;"")*(COLUMN(AC3195:AE3195)-(COLUMN(AC3195)-2))))-1),"")</f>
        <v>ARCHIVED</v>
      </c>
      <c r="M3195" s="13" t="n">
        <f aca="true">K3195-TODAY()</f>
        <v>-220</v>
      </c>
      <c r="N3195" s="18" t="s">
        <v>105</v>
      </c>
      <c r="O3195" s="13" t="s">
        <v>10059</v>
      </c>
      <c r="P3195" s="19" t="n">
        <v>132300</v>
      </c>
      <c r="Q3195" s="47" t="s">
        <v>13277</v>
      </c>
      <c r="R3195" s="13" t="s">
        <v>958</v>
      </c>
      <c r="S3195" s="16" t="n">
        <v>36388</v>
      </c>
      <c r="T3195" s="13" t="s">
        <v>108</v>
      </c>
      <c r="U3195" s="13" t="s">
        <v>13278</v>
      </c>
      <c r="V3195" s="13" t="s">
        <v>42</v>
      </c>
      <c r="W3195" s="13" t="s">
        <v>54</v>
      </c>
      <c r="X3195" s="21" t="n">
        <v>85198931855</v>
      </c>
      <c r="Y3195" s="22" t="str">
        <f aca="false">O3195</f>
        <v>Harian Lepas E-Commerce</v>
      </c>
      <c r="Z3195" s="13" t="str">
        <f aca="false">IFERROR(__xludf.dummyfunction("if(BJ3195="""","""",GOOGLETRANSLATE(BJ3195,""auto"",""en""))"),"Daily Post E-Commerce")</f>
        <v>Daily Post E-Commerce</v>
      </c>
      <c r="AA3195" s="23" t="str">
        <f aca="false">IF(C3195="","", CHOOSE(MONTH(C3195),"January","February","March","April","May","June","July","August","September","October","November","December")&amp;" "&amp;DAY(C3195)&amp;MID("thstndrdth",MIN(9,2*RIGHT(DAY(C3195))*(MOD(DAY(C3195)-11,100)&gt;2)+1),2)&amp;","&amp;TEXT(C3195," yyyy"))</f>
        <v>December 24th,2025</v>
      </c>
      <c r="AB3195" s="15" t="str">
        <f aca="true">IF(S3195="","",DATEDIF(S3195,TODAY(),"Y")&amp;" Tahun, "&amp;DATEDIF(S3195,TODAY(),"YM")&amp;" Bulan, "&amp;DATEDIF(S3195,TODAY(),"MD")&amp;" Hari")</f>
        <v>27 Tahun, 2 Bulan, 13 Hari</v>
      </c>
      <c r="AC3195" s="18" t="n">
        <v>46015</v>
      </c>
      <c r="AD3195" s="18" t="n">
        <f aca="false">EDATE(AC3195,3)-1</f>
        <v>46104</v>
      </c>
      <c r="AE3195" s="13" t="s">
        <v>44</v>
      </c>
    </row>
    <row r="3196" customFormat="false" ht="15" hidden="false" customHeight="true" outlineLevel="0" collapsed="false">
      <c r="A3196" s="12" t="n">
        <v>21790</v>
      </c>
      <c r="B3196" s="13" t="s">
        <v>13279</v>
      </c>
      <c r="C3196" s="16" t="n">
        <v>46017</v>
      </c>
      <c r="D3196" s="13" t="s">
        <v>10058</v>
      </c>
      <c r="E3196" s="15" t="s">
        <v>47</v>
      </c>
      <c r="F3196" s="15" t="str">
        <f aca="false">IFERROR(__xludf.dummyfunction("XLOOKUP(AJ3196,IMPORTRANGE(""1XaInW9DU9nz21V0tYIfzFQ0He9kVQ_JF2mCXgZ3hqFA"",""REKAP ALL 2026 - Andika!G:G""),IMPORTRANGE(""1XaInW9DU9nz21V0tYIfzFQ0He9kVQ_JF2mCXgZ3hqFA"",""REKAP ALL 2026 - Andika!F:F""),"""",0)"),"26062985523")</f>
        <v>26062985523</v>
      </c>
      <c r="G3196" s="13" t="s">
        <v>1127</v>
      </c>
      <c r="H3196" s="13" t="s">
        <v>3024</v>
      </c>
      <c r="I3196" s="13" t="str">
        <f aca="false">IF(C3196=J3196,"NEW KONTRAK","RE-KONTRAK")</f>
        <v>NEW KONTRAK</v>
      </c>
      <c r="J3196" s="16" t="n">
        <f aca="false" t="array" ref="J3196:J3196">IFERROR(INDEX(AC3196:AE3196,IF(COUNTA(AC3196:AE3196)=0,"",MAX((AC3196:AE3196&lt;&gt;"")*(COLUMN(AC3196:AE3196)-(COLUMN(AC3196)))))-1),"")</f>
        <v>46017</v>
      </c>
      <c r="K3196" s="16" t="n">
        <f aca="false" t="array" ref="K3196:K3196">IFERROR(INDEX(AC3196:AE3196,IF(COUNTA(AC3196:AE3196)=0,"",MAX((AC3196:AE3196&lt;&gt;"")*(COLUMN(AC3196:AE3196)-(COLUMN(AC3196)-1))))-1),"")</f>
        <v>46106</v>
      </c>
      <c r="L3196" s="17" t="str">
        <f aca="false" t="array" ref="L3196:L3196">IFERROR(INDEX(AC3196:AE3196,IF(COUNTA(AC3196:AE3196)=0,"",MAX((AC3196:AE3196&lt;&gt;"")*(COLUMN(AC3196:AE3196)-(COLUMN(AC3196)-2))))-1),"")</f>
        <v>ARCHIVED</v>
      </c>
      <c r="M3196" s="13" t="n">
        <f aca="true">K3196-TODAY()</f>
        <v>-218</v>
      </c>
      <c r="N3196" s="18" t="s">
        <v>105</v>
      </c>
      <c r="O3196" s="13" t="s">
        <v>10059</v>
      </c>
      <c r="P3196" s="31" t="n">
        <v>138915</v>
      </c>
      <c r="Q3196" s="47" t="s">
        <v>13280</v>
      </c>
      <c r="R3196" s="13" t="s">
        <v>168</v>
      </c>
      <c r="S3196" s="16" t="n">
        <v>38417</v>
      </c>
      <c r="T3196" s="13" t="s">
        <v>108</v>
      </c>
      <c r="U3196" s="13" t="s">
        <v>12191</v>
      </c>
      <c r="V3196" s="13" t="s">
        <v>42</v>
      </c>
      <c r="W3196" s="13" t="s">
        <v>43</v>
      </c>
      <c r="X3196" s="21" t="n">
        <v>85806826481</v>
      </c>
      <c r="Y3196" s="22" t="str">
        <f aca="false">O3196</f>
        <v>Harian Lepas E-Commerce</v>
      </c>
      <c r="Z3196" s="13" t="str">
        <f aca="false">IFERROR(__xludf.dummyfunction("if(BJ3196="""","""",GOOGLETRANSLATE(BJ3196,""auto"",""en""))"),"Daily Post E-Commerce")</f>
        <v>Daily Post E-Commerce</v>
      </c>
      <c r="AA3196" s="23" t="str">
        <f aca="false">IF(C3196="","", CHOOSE(MONTH(C3196),"January","February","March","April","May","June","July","August","September","October","November","December")&amp;" "&amp;DAY(C3196)&amp;MID("thstndrdth",MIN(9,2*RIGHT(DAY(C3196))*(MOD(DAY(C3196)-11,100)&gt;2)+1),2)&amp;","&amp;TEXT(C3196," yyyy"))</f>
        <v>December 26th,2025</v>
      </c>
      <c r="AB3196" s="15" t="str">
        <f aca="true">IF(S3196="","",DATEDIF(S3196,TODAY(),"Y")&amp;" Tahun, "&amp;DATEDIF(S3196,TODAY(),"YM")&amp;" Bulan, "&amp;DATEDIF(S3196,TODAY(),"MD")&amp;" Hari")</f>
        <v>21 Tahun, 7 Bulan, 23 Hari</v>
      </c>
      <c r="AC3196" s="18" t="n">
        <v>46017</v>
      </c>
      <c r="AD3196" s="18" t="n">
        <f aca="false">EDATE(AC3196,3)-1</f>
        <v>46106</v>
      </c>
      <c r="AE3196" s="13" t="s">
        <v>44</v>
      </c>
    </row>
    <row r="3197" customFormat="false" ht="15" hidden="false" customHeight="true" outlineLevel="0" collapsed="false">
      <c r="A3197" s="12" t="n">
        <v>21791</v>
      </c>
      <c r="B3197" s="13" t="s">
        <v>13281</v>
      </c>
      <c r="C3197" s="16" t="n">
        <v>46017</v>
      </c>
      <c r="D3197" s="13" t="s">
        <v>10058</v>
      </c>
      <c r="E3197" s="15" t="s">
        <v>102</v>
      </c>
      <c r="F3197" s="24" t="s">
        <v>13282</v>
      </c>
      <c r="G3197" s="13" t="s">
        <v>1127</v>
      </c>
      <c r="H3197" s="13" t="s">
        <v>3024</v>
      </c>
      <c r="I3197" s="13" t="str">
        <f aca="false">IF(C3197=J3197,"NEW KONTRAK","RE-KONTRAK")</f>
        <v>NEW KONTRAK</v>
      </c>
      <c r="J3197" s="16" t="n">
        <f aca="false" t="array" ref="J3197:J3197">IFERROR(INDEX(AC3197:AE3197,IF(COUNTA(AC3197:AE3197)=0,"",MAX((AC3197:AE3197&lt;&gt;"")*(COLUMN(AC3197:AE3197)-(COLUMN(AC3197)))))-1),"")</f>
        <v>46017</v>
      </c>
      <c r="K3197" s="16" t="n">
        <f aca="false" t="array" ref="K3197:K3197">IFERROR(INDEX(AC3197:AE3197,IF(COUNTA(AC3197:AE3197)=0,"",MAX((AC3197:AE3197&lt;&gt;"")*(COLUMN(AC3197:AE3197)-(COLUMN(AC3197)-1))))-1),"")</f>
        <v>46106</v>
      </c>
      <c r="L3197" s="17" t="str">
        <f aca="false" t="array" ref="L3197:L3197">IFERROR(INDEX(AC3197:AE3197,IF(COUNTA(AC3197:AE3197)=0,"",MAX((AC3197:AE3197&lt;&gt;"")*(COLUMN(AC3197:AE3197)-(COLUMN(AC3197)-2))))-1),"")</f>
        <v>ARCHIVED</v>
      </c>
      <c r="M3197" s="13" t="n">
        <f aca="true">K3197-TODAY()</f>
        <v>-218</v>
      </c>
      <c r="N3197" s="18" t="s">
        <v>105</v>
      </c>
      <c r="O3197" s="13" t="s">
        <v>10059</v>
      </c>
      <c r="P3197" s="19" t="n">
        <v>132300</v>
      </c>
      <c r="Q3197" s="47" t="s">
        <v>13283</v>
      </c>
      <c r="R3197" s="13" t="s">
        <v>39</v>
      </c>
      <c r="S3197" s="16" t="n">
        <v>37323</v>
      </c>
      <c r="T3197" s="13" t="s">
        <v>108</v>
      </c>
      <c r="U3197" s="13" t="s">
        <v>12191</v>
      </c>
      <c r="V3197" s="13" t="s">
        <v>42</v>
      </c>
      <c r="W3197" s="13" t="s">
        <v>43</v>
      </c>
      <c r="X3197" s="21" t="n">
        <v>88971009883</v>
      </c>
      <c r="Y3197" s="22" t="str">
        <f aca="false">O3197</f>
        <v>Harian Lepas E-Commerce</v>
      </c>
      <c r="Z3197" s="13" t="str">
        <f aca="false">IFERROR(__xludf.dummyfunction("if(BJ3197="""","""",GOOGLETRANSLATE(BJ3197,""auto"",""en""))"),"Daily Post E-Commerce")</f>
        <v>Daily Post E-Commerce</v>
      </c>
      <c r="AA3197" s="23" t="str">
        <f aca="false">IF(C3197="","", CHOOSE(MONTH(C3197),"January","February","March","April","May","June","July","August","September","October","November","December")&amp;" "&amp;DAY(C3197)&amp;MID("thstndrdth",MIN(9,2*RIGHT(DAY(C3197))*(MOD(DAY(C3197)-11,100)&gt;2)+1),2)&amp;","&amp;TEXT(C3197," yyyy"))</f>
        <v>December 26th,2025</v>
      </c>
      <c r="AB3197" s="15" t="str">
        <f aca="true">IF(S3197="","",DATEDIF(S3197,TODAY(),"Y")&amp;" Tahun, "&amp;DATEDIF(S3197,TODAY(),"YM")&amp;" Bulan, "&amp;DATEDIF(S3197,TODAY(),"MD")&amp;" Hari")</f>
        <v>24 Tahun, 7 Bulan, 21 Hari</v>
      </c>
      <c r="AC3197" s="18" t="n">
        <v>46017</v>
      </c>
      <c r="AD3197" s="18" t="n">
        <f aca="false">EDATE(AC3197,3)-1</f>
        <v>46106</v>
      </c>
      <c r="AE3197" s="13" t="s">
        <v>44</v>
      </c>
    </row>
    <row r="3198" customFormat="false" ht="15" hidden="false" customHeight="true" outlineLevel="0" collapsed="false">
      <c r="A3198" s="12" t="n">
        <v>21792</v>
      </c>
      <c r="B3198" s="13" t="s">
        <v>13284</v>
      </c>
      <c r="C3198" s="16" t="n">
        <v>46025</v>
      </c>
      <c r="D3198" s="13" t="s">
        <v>10058</v>
      </c>
      <c r="E3198" s="15" t="s">
        <v>47</v>
      </c>
      <c r="F3198" s="15" t="str">
        <f aca="false">IFERROR(__xludf.dummyfunction("XLOOKUP(AJ3198,IMPORTRANGE(""1XaInW9DU9nz21V0tYIfzFQ0He9kVQ_JF2mCXgZ3hqFA"",""REKAP ALL 2026 - Andika!G:G""),IMPORTRANGE(""1XaInW9DU9nz21V0tYIfzFQ0He9kVQ_JF2mCXgZ3hqFA"",""REKAP ALL 2026 - Andika!F:F""),"""",0)"),"26062983205")</f>
        <v>26062983205</v>
      </c>
      <c r="G3198" s="13" t="s">
        <v>1127</v>
      </c>
      <c r="H3198" s="13" t="s">
        <v>3024</v>
      </c>
      <c r="I3198" s="13" t="str">
        <f aca="false">IF(C3198=J3198,"NEW KONTRAK","RE-KONTRAK")</f>
        <v>NEW KONTRAK</v>
      </c>
      <c r="J3198" s="16" t="n">
        <f aca="false" t="array" ref="J3198:J3198">IFERROR(INDEX(AC3198:AE3198,IF(COUNTA(AC3198:AE3198)=0,"",MAX((AC3198:AE3198&lt;&gt;"")*(COLUMN(AC3198:AE3198)-(COLUMN(AC3198)))))-1),"")</f>
        <v>46025</v>
      </c>
      <c r="K3198" s="16" t="n">
        <f aca="false" t="array" ref="K3198:K3198">IFERROR(INDEX(AC3198:AE3198,IF(COUNTA(AC3198:AE3198)=0,"",MAX((AC3198:AE3198&lt;&gt;"")*(COLUMN(AC3198:AE3198)-(COLUMN(AC3198)-1))))-1),"")</f>
        <v>46114</v>
      </c>
      <c r="L3198" s="17" t="str">
        <f aca="false" t="array" ref="L3198:L3198">IFERROR(INDEX(AC3198:AE3198,IF(COUNTA(AC3198:AE3198)=0,"",MAX((AC3198:AE3198&lt;&gt;"")*(COLUMN(AC3198:AE3198)-(COLUMN(AC3198)-2))))-1),"")</f>
        <v>ARCHIVED</v>
      </c>
      <c r="M3198" s="13" t="n">
        <f aca="true">K3198-TODAY()</f>
        <v>-210</v>
      </c>
      <c r="N3198" s="18" t="s">
        <v>105</v>
      </c>
      <c r="O3198" s="13" t="s">
        <v>10059</v>
      </c>
      <c r="P3198" s="31" t="n">
        <v>138915</v>
      </c>
      <c r="Q3198" s="47" t="s">
        <v>13285</v>
      </c>
      <c r="R3198" s="13" t="s">
        <v>73</v>
      </c>
      <c r="S3198" s="16" t="n">
        <v>35644</v>
      </c>
      <c r="T3198" s="13" t="s">
        <v>108</v>
      </c>
      <c r="U3198" s="13" t="s">
        <v>13286</v>
      </c>
      <c r="V3198" s="13" t="s">
        <v>42</v>
      </c>
      <c r="W3198" s="13" t="s">
        <v>54</v>
      </c>
      <c r="X3198" s="21" t="n">
        <v>88989992185</v>
      </c>
      <c r="Y3198" s="22" t="str">
        <f aca="false">O3198</f>
        <v>Harian Lepas E-Commerce</v>
      </c>
      <c r="Z3198" s="13" t="str">
        <f aca="false">IFERROR(__xludf.dummyfunction("if(BJ3198="""","""",GOOGLETRANSLATE(BJ3198,""auto"",""en""))"),"Daily Post E-Commerce")</f>
        <v>Daily Post E-Commerce</v>
      </c>
      <c r="AA3198" s="23" t="str">
        <f aca="false">IF(C3198="","", CHOOSE(MONTH(C3198),"January","February","March","April","May","June","July","August","September","October","November","December")&amp;" "&amp;DAY(C3198)&amp;MID("thstndrdth",MIN(9,2*RIGHT(DAY(C3198))*(MOD(DAY(C3198)-11,100)&gt;2)+1),2)&amp;","&amp;TEXT(C3198," yyyy"))</f>
        <v>January 3rd,2026</v>
      </c>
      <c r="AB3198" s="15" t="str">
        <f aca="true">IF(S3198="","",DATEDIF(S3198,TODAY(),"Y")&amp;" Tahun, "&amp;DATEDIF(S3198,TODAY(),"YM")&amp;" Bulan, "&amp;DATEDIF(S3198,TODAY(),"MD")&amp;" Hari")</f>
        <v>29 Tahun, 2 Bulan, 27 Hari</v>
      </c>
      <c r="AC3198" s="18" t="n">
        <v>46025</v>
      </c>
      <c r="AD3198" s="18" t="n">
        <f aca="false">EDATE(AC3198,3)-1</f>
        <v>46114</v>
      </c>
      <c r="AE3198" s="13" t="s">
        <v>44</v>
      </c>
    </row>
    <row r="3199" customFormat="false" ht="15" hidden="false" customHeight="true" outlineLevel="0" collapsed="false">
      <c r="A3199" s="12" t="n">
        <v>21793</v>
      </c>
      <c r="B3199" s="13" t="s">
        <v>13287</v>
      </c>
      <c r="C3199" s="16" t="n">
        <v>46025</v>
      </c>
      <c r="D3199" s="13" t="s">
        <v>10058</v>
      </c>
      <c r="E3199" s="15" t="s">
        <v>47</v>
      </c>
      <c r="F3199" s="15" t="str">
        <f aca="false">IFERROR(__xludf.dummyfunction("XLOOKUP(AJ3199,IMPORTRANGE(""1XaInW9DU9nz21V0tYIfzFQ0He9kVQ_JF2mCXgZ3hqFA"",""REKAP ALL 2026 - Andika!G:G""),IMPORTRANGE(""1XaInW9DU9nz21V0tYIfzFQ0He9kVQ_JF2mCXgZ3hqFA"",""REKAP ALL 2026 - Andika!F:F""),"""",0)"),"26062985184")</f>
        <v>26062985184</v>
      </c>
      <c r="G3199" s="13" t="s">
        <v>1127</v>
      </c>
      <c r="H3199" s="13" t="s">
        <v>3024</v>
      </c>
      <c r="I3199" s="13" t="str">
        <f aca="false">IF(C3199=J3199,"NEW KONTRAK","RE-KONTRAK")</f>
        <v>NEW KONTRAK</v>
      </c>
      <c r="J3199" s="16" t="n">
        <f aca="false" t="array" ref="J3199:J3199">IFERROR(INDEX(AC3199:AE3199,IF(COUNTA(AC3199:AE3199)=0,"",MAX((AC3199:AE3199&lt;&gt;"")*(COLUMN(AC3199:AE3199)-(COLUMN(AC3199)))))-1),"")</f>
        <v>46025</v>
      </c>
      <c r="K3199" s="16" t="n">
        <f aca="false" t="array" ref="K3199:K3199">IFERROR(INDEX(AC3199:AE3199,IF(COUNTA(AC3199:AE3199)=0,"",MAX((AC3199:AE3199&lt;&gt;"")*(COLUMN(AC3199:AE3199)-(COLUMN(AC3199)-1))))-1),"")</f>
        <v>46114</v>
      </c>
      <c r="L3199" s="17" t="str">
        <f aca="false" t="array" ref="L3199:L3199">IFERROR(INDEX(AC3199:AE3199,IF(COUNTA(AC3199:AE3199)=0,"",MAX((AC3199:AE3199&lt;&gt;"")*(COLUMN(AC3199:AE3199)-(COLUMN(AC3199)-2))))-1),"")</f>
        <v>ARCHIVED</v>
      </c>
      <c r="M3199" s="13" t="n">
        <f aca="true">K3199-TODAY()</f>
        <v>-210</v>
      </c>
      <c r="N3199" s="18" t="s">
        <v>105</v>
      </c>
      <c r="O3199" s="13" t="s">
        <v>10059</v>
      </c>
      <c r="P3199" s="31" t="n">
        <v>138915</v>
      </c>
      <c r="Q3199" s="47" t="s">
        <v>13288</v>
      </c>
      <c r="R3199" s="13" t="s">
        <v>260</v>
      </c>
      <c r="S3199" s="16" t="n">
        <v>35018</v>
      </c>
      <c r="T3199" s="13" t="s">
        <v>108</v>
      </c>
      <c r="U3199" s="13" t="s">
        <v>13289</v>
      </c>
      <c r="V3199" s="13" t="s">
        <v>42</v>
      </c>
      <c r="W3199" s="13" t="s">
        <v>54</v>
      </c>
      <c r="X3199" s="21" t="n">
        <v>87740898522</v>
      </c>
      <c r="Y3199" s="22" t="str">
        <f aca="false">O3199</f>
        <v>Harian Lepas E-Commerce</v>
      </c>
      <c r="Z3199" s="13" t="str">
        <f aca="false">IFERROR(__xludf.dummyfunction("if(BJ3199="""","""",GOOGLETRANSLATE(BJ3199,""auto"",""en""))"),"Daily Post E-Commerce")</f>
        <v>Daily Post E-Commerce</v>
      </c>
      <c r="AA3199" s="23" t="str">
        <f aca="false">IF(C3199="","", CHOOSE(MONTH(C3199),"January","February","March","April","May","June","July","August","September","October","November","December")&amp;" "&amp;DAY(C3199)&amp;MID("thstndrdth",MIN(9,2*RIGHT(DAY(C3199))*(MOD(DAY(C3199)-11,100)&gt;2)+1),2)&amp;","&amp;TEXT(C3199," yyyy"))</f>
        <v>January 3rd,2026</v>
      </c>
      <c r="AB3199" s="15" t="str">
        <f aca="true">IF(S3199="","",DATEDIF(S3199,TODAY(),"Y")&amp;" Tahun, "&amp;DATEDIF(S3199,TODAY(),"YM")&amp;" Bulan, "&amp;DATEDIF(S3199,TODAY(),"MD")&amp;" Hari")</f>
        <v>30 Tahun, 11 Bulan, 14 Hari</v>
      </c>
      <c r="AC3199" s="18" t="n">
        <v>46025</v>
      </c>
      <c r="AD3199" s="18" t="n">
        <f aca="false">EDATE(AC3199,3)-1</f>
        <v>46114</v>
      </c>
      <c r="AE3199" s="13" t="s">
        <v>44</v>
      </c>
    </row>
    <row r="3200" customFormat="false" ht="15" hidden="false" customHeight="true" outlineLevel="0" collapsed="false">
      <c r="A3200" s="12" t="n">
        <v>21794</v>
      </c>
      <c r="B3200" s="13" t="s">
        <v>13290</v>
      </c>
      <c r="C3200" s="16" t="n">
        <v>46030</v>
      </c>
      <c r="D3200" s="13" t="s">
        <v>2148</v>
      </c>
      <c r="E3200" s="15" t="s">
        <v>47</v>
      </c>
      <c r="F3200" s="15" t="str">
        <f aca="false">IFERROR(__xludf.dummyfunction("XLOOKUP(AJ3200,IMPORTRANGE(""1XaInW9DU9nz21V0tYIfzFQ0He9kVQ_JF2mCXgZ3hqFA"",""REKAP ALL 2026 - Andika!G:G""),IMPORTRANGE(""1XaInW9DU9nz21V0tYIfzFQ0He9kVQ_JF2mCXgZ3hqFA"",""REKAP ALL 2026 - Andika!F:F""),"""",0)"),"26020755422")</f>
        <v>26020755422</v>
      </c>
      <c r="G3200" s="13" t="s">
        <v>1127</v>
      </c>
      <c r="H3200" s="13" t="s">
        <v>35</v>
      </c>
      <c r="I3200" s="13" t="str">
        <f aca="false">IF(C3200=J3200,"NEW KONTRAK","RE-KONTRAK")</f>
        <v>NEW KONTRAK</v>
      </c>
      <c r="J3200" s="16" t="n">
        <f aca="false" t="array" ref="J3200:J3200">IFERROR(INDEX(AC3200:AE3200,IF(COUNTA(AC3200:AE3200)=0,"",MAX((AC3200:AE3200&lt;&gt;"")*(COLUMN(AC3200:AE3200)-(COLUMN(AC3200)))))-1),"")</f>
        <v>46030</v>
      </c>
      <c r="K3200" s="16" t="n">
        <f aca="false" t="array" ref="K3200:K3200">IFERROR(INDEX(AC3200:AE3200,IF(COUNTA(AC3200:AE3200)=0,"",MAX((AC3200:AE3200&lt;&gt;"")*(COLUMN(AC3200:AE3200)-(COLUMN(AC3200)-1))))-1),"")</f>
        <v>46188</v>
      </c>
      <c r="L3200" s="17" t="str">
        <f aca="false" t="array" ref="L3200:L3200">IFERROR(INDEX(AC3200:AE3200,IF(COUNTA(AC3200:AE3200)=0,"",MAX((AC3200:AE3200&lt;&gt;"")*(COLUMN(AC3200:AE3200)-(COLUMN(AC3200)-2))))-1),"")</f>
        <v>ARCHIVED</v>
      </c>
      <c r="M3200" s="13" t="n">
        <f aca="true">K3200-TODAY()</f>
        <v>-136</v>
      </c>
      <c r="N3200" s="18" t="s">
        <v>105</v>
      </c>
      <c r="O3200" s="13" t="s">
        <v>12489</v>
      </c>
      <c r="P3200" s="19" t="n">
        <v>194481</v>
      </c>
      <c r="Q3200" s="47" t="s">
        <v>13291</v>
      </c>
      <c r="R3200" s="13" t="s">
        <v>39</v>
      </c>
      <c r="S3200" s="48" t="n">
        <v>36367</v>
      </c>
      <c r="T3200" s="13" t="s">
        <v>40</v>
      </c>
      <c r="U3200" s="13" t="s">
        <v>13292</v>
      </c>
      <c r="V3200" s="13" t="s">
        <v>42</v>
      </c>
      <c r="W3200" s="13" t="s">
        <v>43</v>
      </c>
      <c r="X3200" s="21" t="n">
        <v>895606090540</v>
      </c>
      <c r="Y3200" s="22" t="str">
        <f aca="false">O3200</f>
        <v>Admin Logistik Marketing</v>
      </c>
      <c r="Z3200" s="13" t="str">
        <f aca="false">IFERROR(__xludf.dummyfunction("if(BJ3200="""","""",GOOGLETRANSLATE(BJ3200,""auto"",""en""))"),"Marketing Logistics Admin")</f>
        <v>Marketing Logistics Admin</v>
      </c>
      <c r="AA3200" s="23" t="str">
        <f aca="false">IF(C3200="","", CHOOSE(MONTH(C3200),"January","February","March","April","May","June","July","August","September","October","November","December")&amp;" "&amp;DAY(C3200)&amp;MID("thstndrdth",MIN(9,2*RIGHT(DAY(C3200))*(MOD(DAY(C3200)-11,100)&gt;2)+1),2)&amp;","&amp;TEXT(C3200," yyyy"))</f>
        <v>January 8th,2026</v>
      </c>
      <c r="AB3200" s="15" t="str">
        <f aca="true">IF(S3200="","",DATEDIF(S3200,TODAY(),"Y")&amp;" Tahun, "&amp;DATEDIF(S3200,TODAY(),"YM")&amp;" Bulan, "&amp;DATEDIF(S3200,TODAY(),"MD")&amp;" Hari")</f>
        <v>27 Tahun, 3 Bulan, 3 Hari</v>
      </c>
      <c r="AC3200" s="18" t="n">
        <v>46030</v>
      </c>
      <c r="AD3200" s="18" t="n">
        <v>46188</v>
      </c>
      <c r="AE3200" s="13" t="s">
        <v>44</v>
      </c>
    </row>
    <row r="3201" customFormat="false" ht="15" hidden="false" customHeight="true" outlineLevel="0" collapsed="false">
      <c r="A3201" s="12" t="n">
        <v>21795</v>
      </c>
      <c r="B3201" s="13" t="s">
        <v>13293</v>
      </c>
      <c r="C3201" s="16" t="n">
        <v>46043</v>
      </c>
      <c r="D3201" s="13" t="s">
        <v>3022</v>
      </c>
      <c r="E3201" s="15" t="s">
        <v>13294</v>
      </c>
      <c r="F3201" s="15" t="str">
        <f aca="false">IFERROR(__xludf.dummyfunction("XLOOKUP(AJ3201,IMPORTRANGE(""1XaInW9DU9nz21V0tYIfzFQ0He9kVQ_JF2mCXgZ3hqFA"",""REKAP ALL 2026 - Andika!G:G""),IMPORTRANGE(""1XaInW9DU9nz21V0tYIfzFQ0He9kVQ_JF2mCXgZ3hqFA"",""REKAP ALL 2026 - Andika!F:F""),"""",0)"),"26020761115")</f>
        <v>26020761115</v>
      </c>
      <c r="G3201" s="13" t="s">
        <v>57</v>
      </c>
      <c r="H3201" s="13" t="s">
        <v>3024</v>
      </c>
      <c r="I3201" s="13" t="str">
        <f aca="false">IF(C3201=J3201,"NEW KONTRAK","RE-KONTRAK")</f>
        <v>NEW KONTRAK</v>
      </c>
      <c r="J3201" s="16" t="n">
        <f aca="false" t="array" ref="J3201:J3201">IFERROR(INDEX(AC3201:AE3201,IF(COUNTA(AC3201:AE3201)=0,"",MAX((AC3201:AE3201&lt;&gt;"")*(COLUMN(AC3201:AE3201)-(COLUMN(AC3201)))))-1),"")</f>
        <v>46043</v>
      </c>
      <c r="K3201" s="16" t="n">
        <f aca="false" t="array" ref="K3201:K3201">IFERROR(INDEX(AC3201:AE3201,IF(COUNTA(AC3201:AE3201)=0,"",MAX((AC3201:AE3201&lt;&gt;"")*(COLUMN(AC3201:AE3201)-(COLUMN(AC3201)-1))))-1),"")</f>
        <v>46132</v>
      </c>
      <c r="L3201" s="17" t="str">
        <f aca="false" t="array" ref="L3201:L3201">IFERROR(INDEX(AC3201:AE3201,IF(COUNTA(AC3201:AE3201)=0,"",MAX((AC3201:AE3201&lt;&gt;"")*(COLUMN(AC3201:AE3201)-(COLUMN(AC3201)-2))))-1),"")</f>
        <v>ARCHIVED</v>
      </c>
      <c r="M3201" s="13" t="n">
        <f aca="true">K3201-TODAY()</f>
        <v>-192</v>
      </c>
      <c r="N3201" s="18" t="s">
        <v>36</v>
      </c>
      <c r="O3201" s="13" t="s">
        <v>13295</v>
      </c>
      <c r="P3201" s="19" t="n">
        <v>112500</v>
      </c>
      <c r="Q3201" s="47" t="s">
        <v>13296</v>
      </c>
      <c r="R3201" s="13" t="s">
        <v>65</v>
      </c>
      <c r="S3201" s="16" t="n">
        <v>38113</v>
      </c>
      <c r="T3201" s="28" t="s">
        <v>40</v>
      </c>
      <c r="U3201" s="13" t="s">
        <v>13297</v>
      </c>
      <c r="V3201" s="13" t="s">
        <v>42</v>
      </c>
      <c r="W3201" s="13" t="s">
        <v>43</v>
      </c>
      <c r="X3201" s="21" t="n">
        <v>83899225768</v>
      </c>
      <c r="Y3201" s="22" t="str">
        <f aca="false">O3201</f>
        <v>PU</v>
      </c>
      <c r="Z3201" s="13" t="str">
        <f aca="false">IFERROR(__xludf.dummyfunction("if(BJ3201="""","""",GOOGLETRANSLATE(BJ3201,""auto"",""en""))"),"COULD")</f>
        <v>COULD</v>
      </c>
      <c r="AA3201" s="23" t="str">
        <f aca="false">IF(C3201="","", CHOOSE(MONTH(C3201),"January","February","March","April","May","June","July","August","September","October","November","December")&amp;" "&amp;DAY(C3201)&amp;MID("thstndrdth",MIN(9,2*RIGHT(DAY(C3201))*(MOD(DAY(C3201)-11,100)&gt;2)+1),2)&amp;","&amp;TEXT(C3201," yyyy"))</f>
        <v>January 21st,2026</v>
      </c>
      <c r="AB3201" s="15" t="str">
        <f aca="true">IF(S3201="","",DATEDIF(S3201,TODAY(),"Y")&amp;" Tahun, "&amp;DATEDIF(S3201,TODAY(),"YM")&amp;" Bulan, "&amp;DATEDIF(S3201,TODAY(),"MD")&amp;" Hari")</f>
        <v>22 Tahun, 5 Bulan, 23 Hari</v>
      </c>
      <c r="AC3201" s="18" t="n">
        <v>46043</v>
      </c>
      <c r="AD3201" s="18" t="n">
        <f aca="false">EDATE(AC3201,3)-1</f>
        <v>46132</v>
      </c>
      <c r="AE3201" s="13" t="s">
        <v>44</v>
      </c>
    </row>
    <row r="3202" customFormat="false" ht="15" hidden="false" customHeight="true" outlineLevel="0" collapsed="false">
      <c r="A3202" s="12" t="n">
        <v>21796</v>
      </c>
      <c r="B3202" s="13" t="s">
        <v>13298</v>
      </c>
      <c r="C3202" s="16" t="n">
        <v>46042</v>
      </c>
      <c r="D3202" s="13" t="s">
        <v>1338</v>
      </c>
      <c r="E3202" s="15" t="s">
        <v>789</v>
      </c>
      <c r="F3202" s="15" t="str">
        <f aca="false">IFERROR(__xludf.dummyfunction("XLOOKUP(AJ3202,IMPORTRANGE(""1XaInW9DU9nz21V0tYIfzFQ0He9kVQ_JF2mCXgZ3hqFA"",""REKAP ALL 2026 - Andika!G:G""),IMPORTRANGE(""1XaInW9DU9nz21V0tYIfzFQ0He9kVQ_JF2mCXgZ3hqFA"",""REKAP ALL 2026 - Andika!F:F""),"""",0)"),"26020755208")</f>
        <v>26020755208</v>
      </c>
      <c r="G3202" s="13" t="s">
        <v>57</v>
      </c>
      <c r="H3202" s="13" t="s">
        <v>3024</v>
      </c>
      <c r="I3202" s="13" t="str">
        <f aca="false">IF(C3202=J3202,"NEW KONTRAK","RE-KONTRAK")</f>
        <v>NEW KONTRAK</v>
      </c>
      <c r="J3202" s="16" t="n">
        <f aca="false" t="array" ref="J3202:J3202">IFERROR(INDEX(AC3202:AE3202,IF(COUNTA(AC3202:AE3202)=0,"",MAX((AC3202:AE3202&lt;&gt;"")*(COLUMN(AC3202:AE3202)-(COLUMN(AC3202)))))-1),"")</f>
        <v>46042</v>
      </c>
      <c r="K3202" s="16" t="n">
        <f aca="false" t="array" ref="K3202:K3202">IFERROR(INDEX(AC3202:AE3202,IF(COUNTA(AC3202:AE3202)=0,"",MAX((AC3202:AE3202&lt;&gt;"")*(COLUMN(AC3202:AE3202)-(COLUMN(AC3202)-1))))-1),"")</f>
        <v>46131</v>
      </c>
      <c r="L3202" s="17" t="str">
        <f aca="false" t="array" ref="L3202:L3202">IFERROR(INDEX(AC3202:AE3202,IF(COUNTA(AC3202:AE3202)=0,"",MAX((AC3202:AE3202&lt;&gt;"")*(COLUMN(AC3202:AE3202)-(COLUMN(AC3202)-2))))-1),"")</f>
        <v>ARCHIVED</v>
      </c>
      <c r="M3202" s="13" t="n">
        <f aca="true">K3202-TODAY()</f>
        <v>-193</v>
      </c>
      <c r="N3202" s="18" t="s">
        <v>615</v>
      </c>
      <c r="O3202" s="13" t="s">
        <v>13188</v>
      </c>
      <c r="P3202" s="19" t="n">
        <v>125000</v>
      </c>
      <c r="Q3202" s="47" t="s">
        <v>13299</v>
      </c>
      <c r="R3202" s="13" t="s">
        <v>232</v>
      </c>
      <c r="S3202" s="16" t="n">
        <v>36562</v>
      </c>
      <c r="T3202" s="28" t="s">
        <v>40</v>
      </c>
      <c r="U3202" s="13" t="s">
        <v>13300</v>
      </c>
      <c r="V3202" s="13" t="s">
        <v>42</v>
      </c>
      <c r="W3202" s="13" t="s">
        <v>43</v>
      </c>
      <c r="X3202" s="30" t="n">
        <v>82286790874</v>
      </c>
      <c r="Y3202" s="22" t="str">
        <f aca="false">O3202</f>
        <v>TK Cat Temporer</v>
      </c>
      <c r="Z3202" s="13" t="str">
        <f aca="false">IFERROR(__xludf.dummyfunction("if(BJ3202="""","""",GOOGLETRANSLATE(BJ3202,""auto"",""en""))"),"Temporary Cat Kindergarten")</f>
        <v>Temporary Cat Kindergarten</v>
      </c>
      <c r="AA3202" s="23" t="str">
        <f aca="false">IF(C3202="","", CHOOSE(MONTH(C3202),"January","February","March","April","May","June","July","August","September","October","November","December")&amp;" "&amp;DAY(C3202)&amp;MID("thstndrdth",MIN(9,2*RIGHT(DAY(C3202))*(MOD(DAY(C3202)-11,100)&gt;2)+1),2)&amp;","&amp;TEXT(C3202," yyyy"))</f>
        <v>January 20th,2026</v>
      </c>
      <c r="AB3202" s="15" t="str">
        <f aca="true">IF(S3202="","",DATEDIF(S3202,TODAY(),"Y")&amp;" Tahun, "&amp;DATEDIF(S3202,TODAY(),"YM")&amp;" Bulan, "&amp;DATEDIF(S3202,TODAY(),"MD")&amp;" Hari")</f>
        <v>26 Tahun, 8 Bulan, 23 Hari</v>
      </c>
      <c r="AC3202" s="18" t="n">
        <v>46042</v>
      </c>
      <c r="AD3202" s="18" t="n">
        <v>46131</v>
      </c>
      <c r="AE3202" s="13" t="s">
        <v>44</v>
      </c>
    </row>
    <row r="3203" customFormat="false" ht="15" hidden="false" customHeight="true" outlineLevel="0" collapsed="false">
      <c r="A3203" s="12" t="n">
        <v>21801</v>
      </c>
      <c r="B3203" s="76" t="s">
        <v>13301</v>
      </c>
      <c r="C3203" s="16" t="n">
        <v>46055</v>
      </c>
      <c r="D3203" s="13" t="s">
        <v>32</v>
      </c>
      <c r="E3203" s="15" t="s">
        <v>47</v>
      </c>
      <c r="F3203" s="15" t="str">
        <f aca="false">IFERROR(__xludf.dummyfunction("XLOOKUP(AJ3203,IMPORTRANGE(""1XaInW9DU9nz21V0tYIfzFQ0He9kVQ_JF2mCXgZ3hqFA"",""REKAP ALL 2026 - Andika!G:G""),IMPORTRANGE(""1XaInW9DU9nz21V0tYIfzFQ0He9kVQ_JF2mCXgZ3hqFA"",""REKAP ALL 2026 - Andika!F:F""),"""",0)"),"26035116297")</f>
        <v>26035116297</v>
      </c>
      <c r="G3203" s="13" t="s">
        <v>1127</v>
      </c>
      <c r="H3203" s="13" t="s">
        <v>35</v>
      </c>
      <c r="I3203" s="13" t="str">
        <f aca="false">IF(C3203=J3203,"NEW KONTRAK","RE-KONTRAK")</f>
        <v>NEW KONTRAK</v>
      </c>
      <c r="J3203" s="16" t="n">
        <f aca="false" t="array" ref="J3203:J3203">IFERROR(INDEX(AC3203:AE3203,IF(COUNTA(AC3203:AE3203)=0,"",MAX((AC3203:AE3203&lt;&gt;"")*(COLUMN(AC3203:AE3203)-(COLUMN(AC3203)))))-1),"")</f>
        <v>46055</v>
      </c>
      <c r="K3203" s="16" t="n">
        <f aca="false" t="array" ref="K3203:K3203">IFERROR(INDEX(AC3203:AE3203,IF(COUNTA(AC3203:AE3203)=0,"",MAX((AC3203:AE3203&lt;&gt;"")*(COLUMN(AC3203:AE3203)-(COLUMN(AC3203)-1))))-1),"")</f>
        <v>46143</v>
      </c>
      <c r="L3203" s="17" t="str">
        <f aca="false" t="array" ref="L3203:L3203">IFERROR(INDEX(AC3203:AE3203,IF(COUNTA(AC3203:AE3203)=0,"",MAX((AC3203:AE3203&lt;&gt;"")*(COLUMN(AC3203:AE3203)-(COLUMN(AC3203)-2))))-1),"")</f>
        <v>KEMBALI ONLINE</v>
      </c>
      <c r="M3203" s="13" t="n">
        <f aca="true">K3203-TODAY()</f>
        <v>-181</v>
      </c>
      <c r="N3203" s="18" t="s">
        <v>36</v>
      </c>
      <c r="O3203" s="13" t="s">
        <v>13302</v>
      </c>
      <c r="P3203" s="19" t="n">
        <v>7000000</v>
      </c>
      <c r="Q3203" s="20" t="s">
        <v>13303</v>
      </c>
      <c r="R3203" s="13" t="s">
        <v>1695</v>
      </c>
      <c r="S3203" s="16" t="n">
        <v>37068</v>
      </c>
      <c r="T3203" s="28" t="s">
        <v>40</v>
      </c>
      <c r="U3203" s="13" t="s">
        <v>13304</v>
      </c>
      <c r="V3203" s="13" t="s">
        <v>42</v>
      </c>
      <c r="W3203" s="13" t="s">
        <v>43</v>
      </c>
      <c r="X3203" s="21" t="n">
        <v>831430967502</v>
      </c>
      <c r="Y3203" s="22" t="str">
        <f aca="false">O3203</f>
        <v>Drafter Desain interior</v>
      </c>
      <c r="Z3203" s="13" t="str">
        <f aca="false">IFERROR(__xludf.dummyfunction("if(BJ3203="""","""",GOOGLETRANSLATE(BJ3203,""auto"",""en""))"),"Interior Design Drafter")</f>
        <v>Interior Design Drafter</v>
      </c>
      <c r="AA3203" s="23" t="str">
        <f aca="false">IF(C3203="","", CHOOSE(MONTH(C3203),"January","February","March","April","May","June","July","August","September","October","November","December")&amp;" "&amp;DAY(C3203)&amp;MID("thstndrdth",MIN(9,2*RIGHT(DAY(C3203))*(MOD(DAY(C3203)-11,100)&gt;2)+1),2)&amp;","&amp;TEXT(C3203," yyyy"))</f>
        <v>February 2nd,2026</v>
      </c>
      <c r="AB3203" s="15" t="str">
        <f aca="true">IF(S3203="","",DATEDIF(S3203,TODAY(),"Y")&amp;" Tahun, "&amp;DATEDIF(S3203,TODAY(),"YM")&amp;" Bulan, "&amp;DATEDIF(S3203,TODAY(),"MD")&amp;" Hari")</f>
        <v>25 Tahun, 4 Bulan, 3 Hari</v>
      </c>
      <c r="AC3203" s="18" t="n">
        <v>46055</v>
      </c>
      <c r="AD3203" s="18" t="n">
        <f aca="false">EDATE(AC3203,3)-1</f>
        <v>46143</v>
      </c>
      <c r="AE3203" s="13" t="s">
        <v>2387</v>
      </c>
    </row>
    <row r="3204" customFormat="false" ht="15" hidden="false" customHeight="true" outlineLevel="0" collapsed="false">
      <c r="A3204" s="12" t="n">
        <v>21802</v>
      </c>
      <c r="B3204" s="13" t="s">
        <v>13305</v>
      </c>
      <c r="C3204" s="16" t="n">
        <v>46048</v>
      </c>
      <c r="D3204" s="13" t="s">
        <v>3022</v>
      </c>
      <c r="E3204" s="15" t="s">
        <v>33</v>
      </c>
      <c r="F3204" s="15" t="str">
        <f aca="false">IFERROR(__xludf.dummyfunction("XLOOKUP(AJ3204,IMPORTRANGE(""1XaInW9DU9nz21V0tYIfzFQ0He9kVQ_JF2mCXgZ3hqFA"",""REKAP ALL 2026 - Andika!G:G""),IMPORTRANGE(""1XaInW9DU9nz21V0tYIfzFQ0He9kVQ_JF2mCXgZ3hqFA"",""REKAP ALL 2026 - Andika!F:F""),"""",0)"),"26020761156")</f>
        <v>26020761156</v>
      </c>
      <c r="G3204" s="13" t="s">
        <v>57</v>
      </c>
      <c r="H3204" s="13" t="s">
        <v>3024</v>
      </c>
      <c r="I3204" s="13" t="str">
        <f aca="false">IF(C3204=J3204,"NEW KONTRAK","RE-KONTRAK")</f>
        <v>NEW KONTRAK</v>
      </c>
      <c r="J3204" s="16" t="n">
        <f aca="false" t="array" ref="J3204:J3204">IFERROR(INDEX(AC3204:AE3204,IF(COUNTA(AC3204:AE3204)=0,"",MAX((AC3204:AE3204&lt;&gt;"")*(COLUMN(AC3204:AE3204)-(COLUMN(AC3204)))))-1),"")</f>
        <v>46048</v>
      </c>
      <c r="K3204" s="16" t="n">
        <f aca="false" t="array" ref="K3204:K3204">IFERROR(INDEX(AC3204:AE3204,IF(COUNTA(AC3204:AE3204)=0,"",MAX((AC3204:AE3204&lt;&gt;"")*(COLUMN(AC3204:AE3204)-(COLUMN(AC3204)-1))))-1),"")</f>
        <v>46137</v>
      </c>
      <c r="L3204" s="17" t="str">
        <f aca="false" t="array" ref="L3204:L3204">IFERROR(INDEX(AC3204:AE3204,IF(COUNTA(AC3204:AE3204)=0,"",MAX((AC3204:AE3204&lt;&gt;"")*(COLUMN(AC3204:AE3204)-(COLUMN(AC3204)-2))))-1),"")</f>
        <v>ARCHIVED</v>
      </c>
      <c r="M3204" s="13" t="n">
        <f aca="true">K3204-TODAY()</f>
        <v>-187</v>
      </c>
      <c r="N3204" s="18" t="s">
        <v>36</v>
      </c>
      <c r="O3204" s="13" t="s">
        <v>3750</v>
      </c>
      <c r="P3204" s="19" t="n">
        <v>112500</v>
      </c>
      <c r="Q3204" s="47" t="s">
        <v>13306</v>
      </c>
      <c r="R3204" s="13" t="s">
        <v>65</v>
      </c>
      <c r="S3204" s="16" t="n">
        <v>39203</v>
      </c>
      <c r="T3204" s="28" t="s">
        <v>40</v>
      </c>
      <c r="U3204" s="13" t="s">
        <v>3614</v>
      </c>
      <c r="V3204" s="13" t="s">
        <v>42</v>
      </c>
      <c r="W3204" s="13" t="s">
        <v>43</v>
      </c>
      <c r="X3204" s="30" t="n">
        <v>81164039106</v>
      </c>
      <c r="Y3204" s="22" t="str">
        <f aca="false">O3204</f>
        <v>Produksi ( Painting )</v>
      </c>
      <c r="Z3204" s="13" t="str">
        <f aca="false">IFERROR(__xludf.dummyfunction("if(BJ3204="""","""",GOOGLETRANSLATE(BJ3204,""auto"",""en""))"),"Production (Painting)")</f>
        <v>Production (Painting)</v>
      </c>
      <c r="AA3204" s="23" t="str">
        <f aca="false">IF(C3204="","", CHOOSE(MONTH(C3204),"January","February","March","April","May","June","July","August","September","October","November","December")&amp;" "&amp;DAY(C3204)&amp;MID("thstndrdth",MIN(9,2*RIGHT(DAY(C3204))*(MOD(DAY(C3204)-11,100)&gt;2)+1),2)&amp;","&amp;TEXT(C3204," yyyy"))</f>
        <v>January 26th,2026</v>
      </c>
      <c r="AB3204" s="15" t="str">
        <f aca="true">IF(S3204="","",DATEDIF(S3204,TODAY(),"Y")&amp;" Tahun, "&amp;DATEDIF(S3204,TODAY(),"YM")&amp;" Bulan, "&amp;DATEDIF(S3204,TODAY(),"MD")&amp;" Hari")</f>
        <v>19 Tahun, 5 Bulan, 28 Hari</v>
      </c>
      <c r="AC3204" s="18" t="n">
        <v>46048</v>
      </c>
      <c r="AD3204" s="18" t="n">
        <v>46137</v>
      </c>
      <c r="AE3204" s="18" t="s">
        <v>44</v>
      </c>
    </row>
    <row r="3205" customFormat="false" ht="15" hidden="false" customHeight="true" outlineLevel="0" collapsed="false">
      <c r="A3205" s="12" t="n">
        <v>21803</v>
      </c>
      <c r="B3205" s="13" t="s">
        <v>13307</v>
      </c>
      <c r="C3205" s="16" t="n">
        <v>46045</v>
      </c>
      <c r="D3205" s="13" t="s">
        <v>3022</v>
      </c>
      <c r="E3205" s="15" t="s">
        <v>102</v>
      </c>
      <c r="F3205" s="24" t="s">
        <v>13308</v>
      </c>
      <c r="G3205" s="13" t="s">
        <v>57</v>
      </c>
      <c r="H3205" s="13" t="s">
        <v>3024</v>
      </c>
      <c r="I3205" s="13" t="str">
        <f aca="false">IF(C3205=J3205,"NEW KONTRAK","RE-KONTRAK")</f>
        <v>NEW KONTRAK</v>
      </c>
      <c r="J3205" s="16" t="n">
        <f aca="false" t="array" ref="J3205:J3205">IFERROR(INDEX(AC3205:AE3205,IF(COUNTA(AC3205:AE3205)=0,"",MAX((AC3205:AE3205&lt;&gt;"")*(COLUMN(AC3205:AE3205)-(COLUMN(AC3205)))))-1),"")</f>
        <v>46045</v>
      </c>
      <c r="K3205" s="16" t="n">
        <f aca="false" t="array" ref="K3205:K3205">IFERROR(INDEX(AC3205:AE3205,IF(COUNTA(AC3205:AE3205)=0,"",MAX((AC3205:AE3205&lt;&gt;"")*(COLUMN(AC3205:AE3205)-(COLUMN(AC3205)-1))))-1),"")</f>
        <v>46134</v>
      </c>
      <c r="L3205" s="17" t="str">
        <f aca="false" t="array" ref="L3205:L3205">IFERROR(INDEX(AC3205:AE3205,IF(COUNTA(AC3205:AE3205)=0,"",MAX((AC3205:AE3205&lt;&gt;"")*(COLUMN(AC3205:AE3205)-(COLUMN(AC3205)-2))))-1),"")</f>
        <v>ARCHIVED</v>
      </c>
      <c r="M3205" s="13" t="n">
        <f aca="true">K3205-TODAY()</f>
        <v>-190</v>
      </c>
      <c r="N3205" s="18" t="s">
        <v>36</v>
      </c>
      <c r="O3205" s="13" t="s">
        <v>58</v>
      </c>
      <c r="P3205" s="19" t="n">
        <v>112500</v>
      </c>
      <c r="Q3205" s="47" t="s">
        <v>13309</v>
      </c>
      <c r="R3205" s="13" t="s">
        <v>232</v>
      </c>
      <c r="S3205" s="16" t="n">
        <v>33822</v>
      </c>
      <c r="T3205" s="28" t="s">
        <v>40</v>
      </c>
      <c r="U3205" s="13" t="s">
        <v>13310</v>
      </c>
      <c r="V3205" s="13" t="s">
        <v>42</v>
      </c>
      <c r="W3205" s="13" t="s">
        <v>54</v>
      </c>
      <c r="X3205" s="30" t="n">
        <v>87818017046</v>
      </c>
      <c r="Y3205" s="22" t="str">
        <f aca="false">O3205</f>
        <v>Produksi</v>
      </c>
      <c r="Z3205" s="13" t="str">
        <f aca="false">IFERROR(__xludf.dummyfunction("if(BJ3205="""","""",GOOGLETRANSLATE(BJ3205,""auto"",""en""))"),"Production")</f>
        <v>Production</v>
      </c>
      <c r="AA3205" s="23" t="str">
        <f aca="false">IF(C3205="","", CHOOSE(MONTH(C3205),"January","February","March","April","May","June","July","August","September","October","November","December")&amp;" "&amp;DAY(C3205)&amp;MID("thstndrdth",MIN(9,2*RIGHT(DAY(C3205))*(MOD(DAY(C3205)-11,100)&gt;2)+1),2)&amp;","&amp;TEXT(C3205," yyyy"))</f>
        <v>January 23rd,2026</v>
      </c>
      <c r="AB3205" s="15" t="str">
        <f aca="true">IF(S3205="","",DATEDIF(S3205,TODAY(),"Y")&amp;" Tahun, "&amp;DATEDIF(S3205,TODAY(),"YM")&amp;" Bulan, "&amp;DATEDIF(S3205,TODAY(),"MD")&amp;" Hari")</f>
        <v>34 Tahun, 2 Bulan, 23 Hari</v>
      </c>
      <c r="AC3205" s="18" t="n">
        <v>46045</v>
      </c>
      <c r="AD3205" s="18" t="n">
        <v>46134</v>
      </c>
      <c r="AE3205" s="18" t="s">
        <v>44</v>
      </c>
    </row>
    <row r="3206" customFormat="false" ht="15" hidden="false" customHeight="true" outlineLevel="0" collapsed="false">
      <c r="A3206" s="12" t="n">
        <v>21804</v>
      </c>
      <c r="B3206" s="13" t="s">
        <v>13311</v>
      </c>
      <c r="C3206" s="16" t="n">
        <v>46048</v>
      </c>
      <c r="D3206" s="13" t="s">
        <v>5892</v>
      </c>
      <c r="E3206" s="15" t="s">
        <v>789</v>
      </c>
      <c r="F3206" s="15" t="str">
        <f aca="false">IFERROR(__xludf.dummyfunction("XLOOKUP(AJ3206,IMPORTRANGE(""1XaInW9DU9nz21V0tYIfzFQ0He9kVQ_JF2mCXgZ3hqFA"",""REKAP ALL 2026 - Andika!G:G""),IMPORTRANGE(""1XaInW9DU9nz21V0tYIfzFQ0He9kVQ_JF2mCXgZ3hqFA"",""REKAP ALL 2026 - Andika!F:F""),"""",0)"),"26020763954")</f>
        <v>26020763954</v>
      </c>
      <c r="G3206" s="13" t="s">
        <v>1127</v>
      </c>
      <c r="H3206" s="13" t="s">
        <v>35</v>
      </c>
      <c r="I3206" s="13" t="str">
        <f aca="false">IF(C3206=J3206,"NEW KONTRAK","RE-KONTRAK")</f>
        <v>NEW KONTRAK</v>
      </c>
      <c r="J3206" s="16" t="n">
        <f aca="false" t="array" ref="J3206:J3206">IFERROR(INDEX(AC3206:AE3206,IF(COUNTA(AC3206:AE3206)=0,"",MAX((AC3206:AE3206&lt;&gt;"")*(COLUMN(AC3206:AE3206)-(COLUMN(AC3206)))))-1),"")</f>
        <v>46048</v>
      </c>
      <c r="K3206" s="16" t="n">
        <f aca="false" t="array" ref="K3206:K3206">IFERROR(INDEX(AC3206:AE3206,IF(COUNTA(AC3206:AE3206)=0,"",MAX((AC3206:AE3206&lt;&gt;"")*(COLUMN(AC3206:AE3206)-(COLUMN(AC3206)-1))))-1),"")</f>
        <v>46078</v>
      </c>
      <c r="L3206" s="17" t="str">
        <f aca="false" t="array" ref="L3206:L3206">IFERROR(INDEX(AC3206:AE3206,IF(COUNTA(AC3206:AE3206)=0,"",MAX((AC3206:AE3206&lt;&gt;"")*(COLUMN(AC3206:AE3206)-(COLUMN(AC3206)-2))))-1),"")</f>
        <v>ARCHIVED</v>
      </c>
      <c r="M3206" s="13" t="n">
        <f aca="true">K3206-TODAY()</f>
        <v>-246</v>
      </c>
      <c r="N3206" s="18" t="s">
        <v>105</v>
      </c>
      <c r="O3206" s="13" t="s">
        <v>13312</v>
      </c>
      <c r="P3206" s="19" t="n">
        <v>3300000</v>
      </c>
      <c r="Q3206" s="47" t="s">
        <v>13313</v>
      </c>
      <c r="R3206" s="13" t="s">
        <v>39</v>
      </c>
      <c r="S3206" s="16" t="n">
        <v>37458</v>
      </c>
      <c r="T3206" s="28" t="s">
        <v>40</v>
      </c>
      <c r="U3206" s="13" t="s">
        <v>13314</v>
      </c>
      <c r="V3206" s="13" t="s">
        <v>42</v>
      </c>
      <c r="W3206" s="13" t="s">
        <v>43</v>
      </c>
      <c r="X3206" s="21" t="n">
        <v>85730803880</v>
      </c>
      <c r="Y3206" s="22" t="str">
        <f aca="false">O3206</f>
        <v>Junior Checker</v>
      </c>
      <c r="Z3206" s="13" t="str">
        <f aca="false">IFERROR(__xludf.dummyfunction("if(BJ3206="""","""",GOOGLETRANSLATE(BJ3206,""auto"",""en""))"),"Junior Checker")</f>
        <v>Junior Checker</v>
      </c>
      <c r="AA3206" s="23" t="str">
        <f aca="false">IF(C3206="","", CHOOSE(MONTH(C3206),"January","February","March","April","May","June","July","August","September","October","November","December")&amp;" "&amp;DAY(C3206)&amp;MID("thstndrdth",MIN(9,2*RIGHT(DAY(C3206))*(MOD(DAY(C3206)-11,100)&gt;2)+1),2)&amp;","&amp;TEXT(C3206," yyyy"))</f>
        <v>January 26th,2026</v>
      </c>
      <c r="AB3206" s="15" t="str">
        <f aca="true">IF(S3206="","",DATEDIF(S3206,TODAY(),"Y")&amp;" Tahun, "&amp;DATEDIF(S3206,TODAY(),"YM")&amp;" Bulan, "&amp;DATEDIF(S3206,TODAY(),"MD")&amp;" Hari")</f>
        <v>24 Tahun, 3 Bulan, 8 Hari</v>
      </c>
      <c r="AC3206" s="18" t="n">
        <v>46048</v>
      </c>
      <c r="AD3206" s="18" t="n">
        <f aca="false">EDATE(AC3206,1)-1</f>
        <v>46078</v>
      </c>
      <c r="AE3206" s="13" t="s">
        <v>44</v>
      </c>
    </row>
    <row r="3207" customFormat="false" ht="15" hidden="false" customHeight="true" outlineLevel="0" collapsed="false">
      <c r="A3207" s="12" t="n">
        <v>21805</v>
      </c>
      <c r="B3207" s="13" t="s">
        <v>13315</v>
      </c>
      <c r="C3207" s="16" t="n">
        <v>46048</v>
      </c>
      <c r="D3207" s="13" t="s">
        <v>5892</v>
      </c>
      <c r="E3207" s="15" t="s">
        <v>789</v>
      </c>
      <c r="F3207" s="24" t="s">
        <v>13316</v>
      </c>
      <c r="G3207" s="13" t="s">
        <v>1127</v>
      </c>
      <c r="H3207" s="13" t="s">
        <v>35</v>
      </c>
      <c r="I3207" s="13" t="str">
        <f aca="false">IF(C3207=J3207,"NEW KONTRAK","RE-KONTRAK")</f>
        <v>NEW KONTRAK</v>
      </c>
      <c r="J3207" s="16" t="n">
        <f aca="false" t="array" ref="J3207:J3207">IFERROR(INDEX(AC3207:AE3207,IF(COUNTA(AC3207:AE3207)=0,"",MAX((AC3207:AE3207&lt;&gt;"")*(COLUMN(AC3207:AE3207)-(COLUMN(AC3207)))))-1),"")</f>
        <v>46048</v>
      </c>
      <c r="K3207" s="16" t="n">
        <f aca="false" t="array" ref="K3207:K3207">IFERROR(INDEX(AC3207:AE3207,IF(COUNTA(AC3207:AE3207)=0,"",MAX((AC3207:AE3207&lt;&gt;"")*(COLUMN(AC3207:AE3207)-(COLUMN(AC3207)-1))))-1),"")</f>
        <v>46053</v>
      </c>
      <c r="L3207" s="17" t="str">
        <f aca="false" t="array" ref="L3207:L3207">IFERROR(INDEX(AC3207:AE3207,IF(COUNTA(AC3207:AE3207)=0,"",MAX((AC3207:AE3207&lt;&gt;"")*(COLUMN(AC3207:AE3207)-(COLUMN(AC3207)-2))))-1),"")</f>
        <v>ARCHIVED</v>
      </c>
      <c r="M3207" s="13" t="n">
        <f aca="true">K3207-TODAY()</f>
        <v>-271</v>
      </c>
      <c r="N3207" s="18" t="s">
        <v>105</v>
      </c>
      <c r="O3207" s="13" t="s">
        <v>13317</v>
      </c>
      <c r="P3207" s="19" t="n">
        <v>4870511</v>
      </c>
      <c r="Q3207" s="47" t="s">
        <v>13318</v>
      </c>
      <c r="R3207" s="13" t="s">
        <v>78</v>
      </c>
      <c r="S3207" s="16" t="n">
        <v>35889</v>
      </c>
      <c r="T3207" s="28" t="s">
        <v>40</v>
      </c>
      <c r="U3207" s="13" t="s">
        <v>13319</v>
      </c>
      <c r="V3207" s="13" t="s">
        <v>42</v>
      </c>
      <c r="W3207" s="13" t="s">
        <v>43</v>
      </c>
      <c r="X3207" s="13" t="n">
        <v>85226035484</v>
      </c>
      <c r="Y3207" s="22" t="str">
        <f aca="false">O3207</f>
        <v>Staff Inventory Control</v>
      </c>
      <c r="Z3207" s="13" t="str">
        <f aca="false">IFERROR(__xludf.dummyfunction("if(BJ3207="""","""",GOOGLETRANSLATE(BJ3207,""auto"",""en""))"),"Staff Inventory Control")</f>
        <v>Staff Inventory Control</v>
      </c>
      <c r="AA3207" s="23" t="str">
        <f aca="false">IF(C3207="","", CHOOSE(MONTH(C3207),"January","February","March","April","May","June","July","August","September","October","November","December")&amp;" "&amp;DAY(C3207)&amp;MID("thstndrdth",MIN(9,2*RIGHT(DAY(C3207))*(MOD(DAY(C3207)-11,100)&gt;2)+1),2)&amp;","&amp;TEXT(C3207," yyyy"))</f>
        <v>January 26th,2026</v>
      </c>
      <c r="AB3207" s="15" t="str">
        <f aca="true">IF(S3207="","",DATEDIF(S3207,TODAY(),"Y")&amp;" Tahun, "&amp;DATEDIF(S3207,TODAY(),"YM")&amp;" Bulan, "&amp;DATEDIF(S3207,TODAY(),"MD")&amp;" Hari")</f>
        <v>28 Tahun, 6 Bulan, 25 Hari</v>
      </c>
      <c r="AC3207" s="18" t="n">
        <v>46048</v>
      </c>
      <c r="AD3207" s="18" t="n">
        <v>46053</v>
      </c>
      <c r="AE3207" s="13" t="s">
        <v>44</v>
      </c>
    </row>
    <row r="3208" customFormat="false" ht="15" hidden="false" customHeight="true" outlineLevel="0" collapsed="false">
      <c r="A3208" s="12" t="n">
        <v>21806</v>
      </c>
      <c r="B3208" s="13" t="s">
        <v>13320</v>
      </c>
      <c r="C3208" s="16" t="n">
        <v>46049</v>
      </c>
      <c r="D3208" s="13" t="s">
        <v>5892</v>
      </c>
      <c r="E3208" s="15" t="s">
        <v>47</v>
      </c>
      <c r="F3208" s="15" t="str">
        <f aca="false">IFERROR(__xludf.dummyfunction("XLOOKUP(AJ3208,IMPORTRANGE(""1XaInW9DU9nz21V0tYIfzFQ0He9kVQ_JF2mCXgZ3hqFA"",""REKAP ALL 2026 - Andika!G:G""),IMPORTRANGE(""1XaInW9DU9nz21V0tYIfzFQ0He9kVQ_JF2mCXgZ3hqFA"",""REKAP ALL 2026 - Andika!F:F""),"""",0)"),"26020763970")</f>
        <v>26020763970</v>
      </c>
      <c r="G3208" s="13" t="s">
        <v>1127</v>
      </c>
      <c r="H3208" s="13" t="s">
        <v>35</v>
      </c>
      <c r="I3208" s="13" t="str">
        <f aca="false">IF(C3208=J3208,"NEW KONTRAK","RE-KONTRAK")</f>
        <v>NEW KONTRAK</v>
      </c>
      <c r="J3208" s="16" t="n">
        <f aca="false" t="array" ref="J3208:J3208">IFERROR(INDEX(AC3208:AE3208,IF(COUNTA(AC3208:AE3208)=0,"",MAX((AC3208:AE3208&lt;&gt;"")*(COLUMN(AC3208:AE3208)-(COLUMN(AC3208)))))-1),"")</f>
        <v>46049</v>
      </c>
      <c r="K3208" s="16" t="n">
        <f aca="false" t="array" ref="K3208:K3208">IFERROR(INDEX(AC3208:AE3208,IF(COUNTA(AC3208:AE3208)=0,"",MAX((AC3208:AE3208&lt;&gt;"")*(COLUMN(AC3208:AE3208)-(COLUMN(AC3208)-1))))-1),"")</f>
        <v>46079</v>
      </c>
      <c r="L3208" s="17" t="str">
        <f aca="false" t="array" ref="L3208:L3208">IFERROR(INDEX(AC3208:AE3208,IF(COUNTA(AC3208:AE3208)=0,"",MAX((AC3208:AE3208&lt;&gt;"")*(COLUMN(AC3208:AE3208)-(COLUMN(AC3208)-2))))-1),"")</f>
        <v>ARCHIVED</v>
      </c>
      <c r="M3208" s="13" t="n">
        <f aca="true">K3208-TODAY()</f>
        <v>-245</v>
      </c>
      <c r="N3208" s="18" t="s">
        <v>105</v>
      </c>
      <c r="O3208" s="13" t="s">
        <v>13312</v>
      </c>
      <c r="P3208" s="19" t="n">
        <v>3300000</v>
      </c>
      <c r="Q3208" s="47" t="s">
        <v>13321</v>
      </c>
      <c r="R3208" s="13" t="s">
        <v>255</v>
      </c>
      <c r="S3208" s="16" t="n">
        <v>36038</v>
      </c>
      <c r="T3208" s="28" t="s">
        <v>40</v>
      </c>
      <c r="U3208" s="13" t="s">
        <v>13322</v>
      </c>
      <c r="V3208" s="13" t="s">
        <v>42</v>
      </c>
      <c r="W3208" s="13" t="s">
        <v>54</v>
      </c>
      <c r="X3208" s="13" t="n">
        <v>88235910702</v>
      </c>
      <c r="Y3208" s="22" t="str">
        <f aca="false">O3208</f>
        <v>Junior Checker</v>
      </c>
      <c r="Z3208" s="13" t="str">
        <f aca="false">IFERROR(__xludf.dummyfunction("if(BJ3208="""","""",GOOGLETRANSLATE(BJ3208,""auto"",""en""))"),"Junior Checker")</f>
        <v>Junior Checker</v>
      </c>
      <c r="AA3208" s="23" t="str">
        <f aca="false">IF(C3208="","", CHOOSE(MONTH(C3208),"January","February","March","April","May","June","July","August","September","October","November","December")&amp;" "&amp;DAY(C3208)&amp;MID("thstndrdth",MIN(9,2*RIGHT(DAY(C3208))*(MOD(DAY(C3208)-11,100)&gt;2)+1),2)&amp;","&amp;TEXT(C3208," yyyy"))</f>
        <v>January 27th,2026</v>
      </c>
      <c r="AB3208" s="15" t="str">
        <f aca="true">IF(S3208="","",DATEDIF(S3208,TODAY(),"Y")&amp;" Tahun, "&amp;DATEDIF(S3208,TODAY(),"YM")&amp;" Bulan, "&amp;DATEDIF(S3208,TODAY(),"MD")&amp;" Hari")</f>
        <v>28 Tahun, 1 Bulan, 28 Hari</v>
      </c>
      <c r="AC3208" s="18" t="n">
        <v>46049</v>
      </c>
      <c r="AD3208" s="18" t="n">
        <f aca="false">EDATE(AC3208,1)-1</f>
        <v>46079</v>
      </c>
      <c r="AE3208" s="13" t="s">
        <v>44</v>
      </c>
    </row>
    <row r="3209" customFormat="false" ht="15" hidden="false" customHeight="true" outlineLevel="0" collapsed="false">
      <c r="A3209" s="12" t="n">
        <v>21807</v>
      </c>
      <c r="B3209" s="13" t="s">
        <v>13323</v>
      </c>
      <c r="C3209" s="16" t="n">
        <v>46055</v>
      </c>
      <c r="D3209" s="13" t="s">
        <v>5726</v>
      </c>
      <c r="E3209" s="15" t="s">
        <v>47</v>
      </c>
      <c r="F3209" s="15" t="str">
        <f aca="false">IFERROR(__xludf.dummyfunction("XLOOKUP(AJ3209,IMPORTRANGE(""1XaInW9DU9nz21V0tYIfzFQ0He9kVQ_JF2mCXgZ3hqFA"",""REKAP ALL 2026 - Andika!G:G""),IMPORTRANGE(""1XaInW9DU9nz21V0tYIfzFQ0He9kVQ_JF2mCXgZ3hqFA"",""REKAP ALL 2026 - Andika!F:F""),"""",0)"),"26035115976")</f>
        <v>26035115976</v>
      </c>
      <c r="G3209" s="13" t="s">
        <v>57</v>
      </c>
      <c r="H3209" s="13" t="s">
        <v>35</v>
      </c>
      <c r="I3209" s="13" t="str">
        <f aca="false">IF(C3209=J3209,"NEW KONTRAK","RE-KONTRAK")</f>
        <v>NEW KONTRAK</v>
      </c>
      <c r="J3209" s="16" t="n">
        <f aca="false" t="array" ref="J3209:J3209">IFERROR(INDEX(AC3209:AE3209,IF(COUNTA(AC3209:AE3209)=0,"",MAX((AC3209:AE3209&lt;&gt;"")*(COLUMN(AC3209:AE3209)-(COLUMN(AC3209)))))-1),"")</f>
        <v>46055</v>
      </c>
      <c r="K3209" s="16" t="n">
        <f aca="false" t="array" ref="K3209:K3209">IFERROR(INDEX(AC3209:AE3209,IF(COUNTA(AC3209:AE3209)=0,"",MAX((AC3209:AE3209&lt;&gt;"")*(COLUMN(AC3209:AE3209)-(COLUMN(AC3209)-1))))-1),"")</f>
        <v>46143</v>
      </c>
      <c r="L3209" s="17" t="str">
        <f aca="false" t="array" ref="L3209:L3209">IFERROR(INDEX(AC3209:AE3209,IF(COUNTA(AC3209:AE3209)=0,"",MAX((AC3209:AE3209&lt;&gt;"")*(COLUMN(AC3209:AE3209)-(COLUMN(AC3209)-2))))-1),"")</f>
        <v>ARCHIVED</v>
      </c>
      <c r="M3209" s="13" t="n">
        <f aca="true">K3209-TODAY()</f>
        <v>-181</v>
      </c>
      <c r="N3209" s="18" t="s">
        <v>615</v>
      </c>
      <c r="O3209" s="13" t="s">
        <v>1531</v>
      </c>
      <c r="P3209" s="19" t="n">
        <v>5176101</v>
      </c>
      <c r="Q3209" s="47" t="s">
        <v>13324</v>
      </c>
      <c r="R3209" s="13" t="s">
        <v>324</v>
      </c>
      <c r="S3209" s="16" t="n">
        <v>37733</v>
      </c>
      <c r="T3209" s="28" t="s">
        <v>40</v>
      </c>
      <c r="U3209" s="13" t="s">
        <v>13325</v>
      </c>
      <c r="V3209" s="13" t="s">
        <v>42</v>
      </c>
      <c r="W3209" s="13" t="s">
        <v>43</v>
      </c>
      <c r="X3209" s="104" t="n">
        <v>87838249836</v>
      </c>
      <c r="Y3209" s="22" t="str">
        <f aca="false">O3209</f>
        <v>Packer</v>
      </c>
      <c r="Z3209" s="13" t="str">
        <f aca="false">IFERROR(__xludf.dummyfunction("if(BJ3209="""","""",GOOGLETRANSLATE(BJ3209,""auto"",""en""))"),"Packer")</f>
        <v>Packer</v>
      </c>
      <c r="AA3209" s="23" t="str">
        <f aca="false">IF(C3209="","", CHOOSE(MONTH(C3209),"January","February","March","April","May","June","July","August","September","October","November","December")&amp;" "&amp;DAY(C3209)&amp;MID("thstndrdth",MIN(9,2*RIGHT(DAY(C3209))*(MOD(DAY(C3209)-11,100)&gt;2)+1),2)&amp;","&amp;TEXT(C3209," yyyy"))</f>
        <v>February 2nd,2026</v>
      </c>
      <c r="AB3209" s="15" t="str">
        <f aca="true">IF(S3209="","",DATEDIF(S3209,TODAY(),"Y")&amp;" Tahun, "&amp;DATEDIF(S3209,TODAY(),"YM")&amp;" Bulan, "&amp;DATEDIF(S3209,TODAY(),"MD")&amp;" Hari")</f>
        <v>23 Tahun, 6 Bulan, 7 Hari</v>
      </c>
      <c r="AC3209" s="18" t="n">
        <v>46055</v>
      </c>
      <c r="AD3209" s="18" t="n">
        <f aca="false">EDATE(AC3209,3)-1</f>
        <v>46143</v>
      </c>
      <c r="AE3209" s="18" t="s">
        <v>44</v>
      </c>
    </row>
    <row r="3210" customFormat="false" ht="15" hidden="false" customHeight="true" outlineLevel="0" collapsed="false">
      <c r="A3210" s="12" t="n">
        <v>21808</v>
      </c>
      <c r="B3210" s="13" t="s">
        <v>13326</v>
      </c>
      <c r="C3210" s="16" t="n">
        <v>46055</v>
      </c>
      <c r="D3210" s="13" t="s">
        <v>5726</v>
      </c>
      <c r="E3210" s="15" t="s">
        <v>47</v>
      </c>
      <c r="F3210" s="15" t="str">
        <f aca="false">IFERROR(__xludf.dummyfunction("XLOOKUP(AJ3210,IMPORTRANGE(""1XaInW9DU9nz21V0tYIfzFQ0He9kVQ_JF2mCXgZ3hqFA"",""REKAP ALL 2026 - Andika!G:G""),IMPORTRANGE(""1XaInW9DU9nz21V0tYIfzFQ0He9kVQ_JF2mCXgZ3hqFA"",""REKAP ALL 2026 - Andika!F:F""),"""",0)"),"26035115984")</f>
        <v>26035115984</v>
      </c>
      <c r="G3210" s="13" t="s">
        <v>57</v>
      </c>
      <c r="H3210" s="13" t="s">
        <v>35</v>
      </c>
      <c r="I3210" s="13" t="str">
        <f aca="false">IF(C3210=J3210,"NEW KONTRAK","RE-KONTRAK")</f>
        <v>NEW KONTRAK</v>
      </c>
      <c r="J3210" s="16" t="n">
        <f aca="false" t="array" ref="J3210:J3210">IFERROR(INDEX(AC3210:AE3210,IF(COUNTA(AC3210:AE3210)=0,"",MAX((AC3210:AE3210&lt;&gt;"")*(COLUMN(AC3210:AE3210)-(COLUMN(AC3210)))))-1),"")</f>
        <v>46055</v>
      </c>
      <c r="K3210" s="16" t="n">
        <f aca="false" t="array" ref="K3210:K3210">IFERROR(INDEX(AC3210:AE3210,IF(COUNTA(AC3210:AE3210)=0,"",MAX((AC3210:AE3210&lt;&gt;"")*(COLUMN(AC3210:AE3210)-(COLUMN(AC3210)-1))))-1),"")</f>
        <v>46143</v>
      </c>
      <c r="L3210" s="17" t="str">
        <f aca="false" t="array" ref="L3210:L3210">IFERROR(INDEX(AC3210:AE3210,IF(COUNTA(AC3210:AE3210)=0,"",MAX((AC3210:AE3210&lt;&gt;"")*(COLUMN(AC3210:AE3210)-(COLUMN(AC3210)-2))))-1),"")</f>
        <v>KEMBALI</v>
      </c>
      <c r="M3210" s="13" t="n">
        <f aca="true">K3210-TODAY()</f>
        <v>-181</v>
      </c>
      <c r="N3210" s="18" t="s">
        <v>615</v>
      </c>
      <c r="O3210" s="13" t="s">
        <v>1531</v>
      </c>
      <c r="P3210" s="19" t="n">
        <v>5176101</v>
      </c>
      <c r="Q3210" s="47" t="s">
        <v>13327</v>
      </c>
      <c r="R3210" s="13" t="s">
        <v>232</v>
      </c>
      <c r="S3210" s="16" t="n">
        <v>36988</v>
      </c>
      <c r="T3210" s="28" t="s">
        <v>40</v>
      </c>
      <c r="U3210" s="13" t="s">
        <v>13328</v>
      </c>
      <c r="V3210" s="13" t="s">
        <v>42</v>
      </c>
      <c r="W3210" s="13" t="s">
        <v>43</v>
      </c>
      <c r="X3210" s="104" t="n">
        <v>83842411909</v>
      </c>
      <c r="Y3210" s="22" t="str">
        <f aca="false">O3210</f>
        <v>Packer</v>
      </c>
      <c r="Z3210" s="13" t="str">
        <f aca="false">IFERROR(__xludf.dummyfunction("if(BJ3210="""","""",GOOGLETRANSLATE(BJ3210,""auto"",""en""))"),"Packer")</f>
        <v>Packer</v>
      </c>
      <c r="AA3210" s="23" t="str">
        <f aca="false">IF(C3210="","", CHOOSE(MONTH(C3210),"January","February","March","April","May","June","July","August","September","October","November","December")&amp;" "&amp;DAY(C3210)&amp;MID("thstndrdth",MIN(9,2*RIGHT(DAY(C3210))*(MOD(DAY(C3210)-11,100)&gt;2)+1),2)&amp;","&amp;TEXT(C3210," yyyy"))</f>
        <v>February 2nd,2026</v>
      </c>
      <c r="AB3210" s="15" t="str">
        <f aca="true">IF(S3210="","",DATEDIF(S3210,TODAY(),"Y")&amp;" Tahun, "&amp;DATEDIF(S3210,TODAY(),"YM")&amp;" Bulan, "&amp;DATEDIF(S3210,TODAY(),"MD")&amp;" Hari")</f>
        <v>25 Tahun, 6 Bulan, 22 Hari</v>
      </c>
      <c r="AC3210" s="18" t="n">
        <v>46055</v>
      </c>
      <c r="AD3210" s="18" t="n">
        <f aca="false">EDATE(AC3210,3)-1</f>
        <v>46143</v>
      </c>
      <c r="AE3210" s="13" t="s">
        <v>397</v>
      </c>
    </row>
    <row r="3211" customFormat="false" ht="15" hidden="false" customHeight="true" outlineLevel="0" collapsed="false">
      <c r="A3211" s="12" t="n">
        <v>21809</v>
      </c>
      <c r="B3211" s="13" t="s">
        <v>13329</v>
      </c>
      <c r="C3211" s="16" t="n">
        <v>46055</v>
      </c>
      <c r="D3211" s="13" t="s">
        <v>5726</v>
      </c>
      <c r="E3211" s="15" t="s">
        <v>47</v>
      </c>
      <c r="F3211" s="15" t="str">
        <f aca="false">IFERROR(__xludf.dummyfunction("XLOOKUP(AJ3211,IMPORTRANGE(""1XaInW9DU9nz21V0tYIfzFQ0He9kVQ_JF2mCXgZ3hqFA"",""REKAP ALL 2026 - Andika!G:G""),IMPORTRANGE(""1XaInW9DU9nz21V0tYIfzFQ0He9kVQ_JF2mCXgZ3hqFA"",""REKAP ALL 2026 - Andika!F:F""),"""",0)"),"26035115992")</f>
        <v>26035115992</v>
      </c>
      <c r="G3211" s="13" t="s">
        <v>57</v>
      </c>
      <c r="H3211" s="13" t="s">
        <v>35</v>
      </c>
      <c r="I3211" s="13" t="str">
        <f aca="false">IF(C3211=J3211,"NEW KONTRAK","RE-KONTRAK")</f>
        <v>NEW KONTRAK</v>
      </c>
      <c r="J3211" s="16" t="n">
        <f aca="false" t="array" ref="J3211:J3211">IFERROR(INDEX(AC3211:AE3211,IF(COUNTA(AC3211:AE3211)=0,"",MAX((AC3211:AE3211&lt;&gt;"")*(COLUMN(AC3211:AE3211)-(COLUMN(AC3211)))))-1),"")</f>
        <v>46055</v>
      </c>
      <c r="K3211" s="16" t="n">
        <f aca="false" t="array" ref="K3211:K3211">IFERROR(INDEX(AC3211:AE3211,IF(COUNTA(AC3211:AE3211)=0,"",MAX((AC3211:AE3211&lt;&gt;"")*(COLUMN(AC3211:AE3211)-(COLUMN(AC3211)-1))))-1),"")</f>
        <v>46143</v>
      </c>
      <c r="L3211" s="17" t="str">
        <f aca="false" t="array" ref="L3211:L3211">IFERROR(INDEX(AC3211:AE3211,IF(COUNTA(AC3211:AE3211)=0,"",MAX((AC3211:AE3211&lt;&gt;"")*(COLUMN(AC3211:AE3211)-(COLUMN(AC3211)-2))))-1),"")</f>
        <v>KEMBALI</v>
      </c>
      <c r="M3211" s="13" t="n">
        <f aca="true">K3211-TODAY()</f>
        <v>-181</v>
      </c>
      <c r="N3211" s="18" t="s">
        <v>615</v>
      </c>
      <c r="O3211" s="13" t="s">
        <v>1531</v>
      </c>
      <c r="P3211" s="19" t="n">
        <v>5176101</v>
      </c>
      <c r="Q3211" s="47" t="s">
        <v>13330</v>
      </c>
      <c r="R3211" s="13" t="s">
        <v>274</v>
      </c>
      <c r="S3211" s="16" t="n">
        <v>37830</v>
      </c>
      <c r="T3211" s="28" t="s">
        <v>40</v>
      </c>
      <c r="U3211" s="13" t="s">
        <v>13331</v>
      </c>
      <c r="V3211" s="13" t="s">
        <v>42</v>
      </c>
      <c r="W3211" s="13" t="s">
        <v>43</v>
      </c>
      <c r="X3211" s="104" t="n">
        <v>85646191078</v>
      </c>
      <c r="Y3211" s="22" t="str">
        <f aca="false">O3211</f>
        <v>Packer</v>
      </c>
      <c r="Z3211" s="13" t="str">
        <f aca="false">IFERROR(__xludf.dummyfunction("if(BJ3211="""","""",GOOGLETRANSLATE(BJ3211,""auto"",""en""))"),"Packer")</f>
        <v>Packer</v>
      </c>
      <c r="AA3211" s="23" t="str">
        <f aca="false">IF(C3211="","", CHOOSE(MONTH(C3211),"January","February","March","April","May","June","July","August","September","October","November","December")&amp;" "&amp;DAY(C3211)&amp;MID("thstndrdth",MIN(9,2*RIGHT(DAY(C3211))*(MOD(DAY(C3211)-11,100)&gt;2)+1),2)&amp;","&amp;TEXT(C3211," yyyy"))</f>
        <v>February 2nd,2026</v>
      </c>
      <c r="AB3211" s="15" t="str">
        <f aca="true">IF(S3211="","",DATEDIF(S3211,TODAY(),"Y")&amp;" Tahun, "&amp;DATEDIF(S3211,TODAY(),"YM")&amp;" Bulan, "&amp;DATEDIF(S3211,TODAY(),"MD")&amp;" Hari")</f>
        <v>23 Tahun, 3 Bulan, 1 Hari</v>
      </c>
      <c r="AC3211" s="18" t="n">
        <v>46055</v>
      </c>
      <c r="AD3211" s="18" t="n">
        <f aca="false">EDATE(AC3211,3)-1</f>
        <v>46143</v>
      </c>
      <c r="AE3211" s="13" t="s">
        <v>397</v>
      </c>
    </row>
    <row r="3212" customFormat="false" ht="15" hidden="false" customHeight="true" outlineLevel="0" collapsed="false">
      <c r="A3212" s="12" t="n">
        <v>21810</v>
      </c>
      <c r="B3212" s="13" t="s">
        <v>13332</v>
      </c>
      <c r="C3212" s="16" t="n">
        <v>46055</v>
      </c>
      <c r="D3212" s="13" t="s">
        <v>5726</v>
      </c>
      <c r="E3212" s="15" t="s">
        <v>47</v>
      </c>
      <c r="F3212" s="15" t="str">
        <f aca="false">IFERROR(__xludf.dummyfunction("XLOOKUP(AJ3212,IMPORTRANGE(""1XaInW9DU9nz21V0tYIfzFQ0He9kVQ_JF2mCXgZ3hqFA"",""REKAP ALL 2026 - Andika!G:G""),IMPORTRANGE(""1XaInW9DU9nz21V0tYIfzFQ0He9kVQ_JF2mCXgZ3hqFA"",""REKAP ALL 2026 - Andika!F:F""),"""",0)"),"26035116008")</f>
        <v>26035116008</v>
      </c>
      <c r="G3212" s="13" t="s">
        <v>57</v>
      </c>
      <c r="H3212" s="13" t="s">
        <v>35</v>
      </c>
      <c r="I3212" s="13" t="str">
        <f aca="false">IF(C3212=J3212,"NEW KONTRAK","RE-KONTRAK")</f>
        <v>NEW KONTRAK</v>
      </c>
      <c r="J3212" s="16" t="n">
        <f aca="false" t="array" ref="J3212:J3212">IFERROR(INDEX(AC3212:AE3212,IF(COUNTA(AC3212:AE3212)=0,"",MAX((AC3212:AE3212&lt;&gt;"")*(COLUMN(AC3212:AE3212)-(COLUMN(AC3212)))))-1),"")</f>
        <v>46055</v>
      </c>
      <c r="K3212" s="16" t="n">
        <f aca="false" t="array" ref="K3212:K3212">IFERROR(INDEX(AC3212:AE3212,IF(COUNTA(AC3212:AE3212)=0,"",MAX((AC3212:AE3212&lt;&gt;"")*(COLUMN(AC3212:AE3212)-(COLUMN(AC3212)-1))))-1),"")</f>
        <v>46143</v>
      </c>
      <c r="L3212" s="17" t="str">
        <f aca="false" t="array" ref="L3212:L3212">IFERROR(INDEX(AC3212:AE3212,IF(COUNTA(AC3212:AE3212)=0,"",MAX((AC3212:AE3212&lt;&gt;"")*(COLUMN(AC3212:AE3212)-(COLUMN(AC3212)-2))))-1),"")</f>
        <v>ARCHIVED</v>
      </c>
      <c r="M3212" s="13" t="n">
        <f aca="true">K3212-TODAY()</f>
        <v>-181</v>
      </c>
      <c r="N3212" s="18" t="s">
        <v>615</v>
      </c>
      <c r="O3212" s="13" t="s">
        <v>1531</v>
      </c>
      <c r="P3212" s="19" t="n">
        <v>5176101</v>
      </c>
      <c r="Q3212" s="47" t="s">
        <v>13333</v>
      </c>
      <c r="R3212" s="13" t="s">
        <v>168</v>
      </c>
      <c r="S3212" s="16" t="n">
        <v>39081</v>
      </c>
      <c r="T3212" s="13" t="s">
        <v>108</v>
      </c>
      <c r="U3212" s="13" t="s">
        <v>13334</v>
      </c>
      <c r="V3212" s="13" t="s">
        <v>42</v>
      </c>
      <c r="W3212" s="13" t="s">
        <v>43</v>
      </c>
      <c r="X3212" s="21" t="n">
        <v>85748109712</v>
      </c>
      <c r="Y3212" s="22" t="str">
        <f aca="false">O3212</f>
        <v>Packer</v>
      </c>
      <c r="Z3212" s="13" t="str">
        <f aca="false">IFERROR(__xludf.dummyfunction("if(BJ3212="""","""",GOOGLETRANSLATE(BJ3212,""auto"",""en""))"),"Packer")</f>
        <v>Packer</v>
      </c>
      <c r="AA3212" s="23" t="str">
        <f aca="false">IF(C3212="","", CHOOSE(MONTH(C3212),"January","February","March","April","May","June","July","August","September","October","November","December")&amp;" "&amp;DAY(C3212)&amp;MID("thstndrdth",MIN(9,2*RIGHT(DAY(C3212))*(MOD(DAY(C3212)-11,100)&gt;2)+1),2)&amp;","&amp;TEXT(C3212," yyyy"))</f>
        <v>February 2nd,2026</v>
      </c>
      <c r="AB3212" s="15" t="str">
        <f aca="true">IF(S3212="","",DATEDIF(S3212,TODAY(),"Y")&amp;" Tahun, "&amp;DATEDIF(S3212,TODAY(),"YM")&amp;" Bulan, "&amp;DATEDIF(S3212,TODAY(),"MD")&amp;" Hari")</f>
        <v>19 Tahun, 9 Bulan, 29 Hari</v>
      </c>
      <c r="AC3212" s="18" t="n">
        <v>46055</v>
      </c>
      <c r="AD3212" s="18" t="n">
        <f aca="false">EDATE(AC3212,3)-1</f>
        <v>46143</v>
      </c>
      <c r="AE3212" s="18" t="s">
        <v>44</v>
      </c>
    </row>
    <row r="3213" customFormat="false" ht="15" hidden="false" customHeight="true" outlineLevel="0" collapsed="false">
      <c r="A3213" s="12" t="n">
        <v>21811</v>
      </c>
      <c r="B3213" s="13" t="s">
        <v>13335</v>
      </c>
      <c r="C3213" s="16" t="n">
        <v>46054</v>
      </c>
      <c r="D3213" s="13" t="s">
        <v>6487</v>
      </c>
      <c r="E3213" s="15" t="s">
        <v>47</v>
      </c>
      <c r="F3213" s="15" t="str">
        <f aca="false">IFERROR(__xludf.dummyfunction("XLOOKUP(AJ3213,IMPORTRANGE(""1XaInW9DU9nz21V0tYIfzFQ0He9kVQ_JF2mCXgZ3hqFA"",""REKAP ALL 2026 - Andika!G:G""),IMPORTRANGE(""1XaInW9DU9nz21V0tYIfzFQ0He9kVQ_JF2mCXgZ3hqFA"",""REKAP ALL 2026 - Andika!F:F""),"""",0)"),"26035120356")</f>
        <v>26035120356</v>
      </c>
      <c r="G3213" s="28" t="s">
        <v>57</v>
      </c>
      <c r="H3213" s="13" t="s">
        <v>35</v>
      </c>
      <c r="I3213" s="13" t="str">
        <f aca="false">IF(C3213=J3213,"NEW KONTRAK","RE-KONTRAK")</f>
        <v>NEW KONTRAK</v>
      </c>
      <c r="J3213" s="16" t="n">
        <f aca="false" t="array" ref="J3213:J3213">IFERROR(INDEX(AC3213:AE3213,IF(COUNTA(AC3213:AE3213)=0,"",MAX((AC3213:AE3213&lt;&gt;"")*(COLUMN(AC3213:AE3213)-(COLUMN(AC3213)))))-1),"")</f>
        <v>46054</v>
      </c>
      <c r="K3213" s="16" t="n">
        <f aca="false" t="array" ref="K3213:K3213">IFERROR(INDEX(AC3213:AE3213,IF(COUNTA(AC3213:AE3213)=0,"",MAX((AC3213:AE3213&lt;&gt;"")*(COLUMN(AC3213:AE3213)-(COLUMN(AC3213)-1))))-1),"")</f>
        <v>46387</v>
      </c>
      <c r="L3213" s="17" t="str">
        <f aca="false" t="array" ref="L3213:L3213">IFERROR(INDEX(AC3213:AE3213,IF(COUNTA(AC3213:AE3213)=0,"",MAX((AC3213:AE3213&lt;&gt;"")*(COLUMN(AC3213:AE3213)-(COLUMN(AC3213)-2))))-1),"")</f>
        <v>ARCHIVED</v>
      </c>
      <c r="M3213" s="13" t="n">
        <f aca="true">K3213-TODAY()</f>
        <v>63</v>
      </c>
      <c r="N3213" s="18" t="s">
        <v>4735</v>
      </c>
      <c r="O3213" s="13" t="s">
        <v>50</v>
      </c>
      <c r="P3213" s="19" t="n">
        <v>3802862</v>
      </c>
      <c r="Q3213" s="47" t="s">
        <v>13336</v>
      </c>
      <c r="R3213" s="13" t="s">
        <v>83</v>
      </c>
      <c r="S3213" s="16" t="n">
        <v>37101</v>
      </c>
      <c r="T3213" s="13" t="s">
        <v>40</v>
      </c>
      <c r="U3213" s="13" t="s">
        <v>13337</v>
      </c>
      <c r="V3213" s="28" t="s">
        <v>42</v>
      </c>
      <c r="W3213" s="28" t="s">
        <v>43</v>
      </c>
      <c r="X3213" s="21" t="n">
        <v>895366210769</v>
      </c>
      <c r="Y3213" s="22" t="str">
        <f aca="false">O3213</f>
        <v>Driver</v>
      </c>
      <c r="Z3213" s="13" t="str">
        <f aca="false">IFERROR(__xludf.dummyfunction("if(BJ3213="""","""",GOOGLETRANSLATE(BJ3213,""auto"",""en""))"),"Driver")</f>
        <v>Driver</v>
      </c>
      <c r="AA3213" s="23" t="str">
        <f aca="false">IF(C3213="","", CHOOSE(MONTH(C3213),"January","February","March","April","May","June","July","August","September","October","November","December")&amp;" "&amp;DAY(C3213)&amp;MID("thstndrdth",MIN(9,2*RIGHT(DAY(C3213))*(MOD(DAY(C3213)-11,100)&gt;2)+1),2)&amp;","&amp;TEXT(C3213," yyyy"))</f>
        <v>February 1st,2026</v>
      </c>
      <c r="AB3213" s="15" t="str">
        <f aca="true">IF(S3213="","",DATEDIF(S3213,TODAY(),"Y")&amp;" Tahun, "&amp;DATEDIF(S3213,TODAY(),"YM")&amp;" Bulan, "&amp;DATEDIF(S3213,TODAY(),"MD")&amp;" Hari")</f>
        <v>25 Tahun, 3 Bulan, 0 Hari</v>
      </c>
      <c r="AC3213" s="18" t="n">
        <v>46054</v>
      </c>
      <c r="AD3213" s="18" t="n">
        <v>46387</v>
      </c>
      <c r="AE3213" s="13" t="s">
        <v>44</v>
      </c>
    </row>
    <row r="3214" customFormat="false" ht="15" hidden="false" customHeight="true" outlineLevel="0" collapsed="false">
      <c r="A3214" s="12" t="n">
        <v>21812</v>
      </c>
      <c r="B3214" s="13" t="s">
        <v>13338</v>
      </c>
      <c r="C3214" s="16" t="n">
        <v>46054</v>
      </c>
      <c r="D3214" s="13" t="s">
        <v>6487</v>
      </c>
      <c r="E3214" s="15" t="s">
        <v>102</v>
      </c>
      <c r="F3214" s="24" t="s">
        <v>13339</v>
      </c>
      <c r="G3214" s="28" t="s">
        <v>57</v>
      </c>
      <c r="H3214" s="13" t="s">
        <v>35</v>
      </c>
      <c r="I3214" s="13" t="str">
        <f aca="false">IF(C3214=J3214,"NEW KONTRAK","RE-KONTRAK")</f>
        <v>NEW KONTRAK</v>
      </c>
      <c r="J3214" s="16" t="n">
        <f aca="false" t="array" ref="J3214:J3214">IFERROR(INDEX(AC3214:AE3214,IF(COUNTA(AC3214:AE3214)=0,"",MAX((AC3214:AE3214&lt;&gt;"")*(COLUMN(AC3214:AE3214)-(COLUMN(AC3214)))))-1),"")</f>
        <v>46054</v>
      </c>
      <c r="K3214" s="16" t="n">
        <f aca="false" t="array" ref="K3214:K3214">IFERROR(INDEX(AC3214:AE3214,IF(COUNTA(AC3214:AE3214)=0,"",MAX((AC3214:AE3214&lt;&gt;"")*(COLUMN(AC3214:AE3214)-(COLUMN(AC3214)-1))))-1),"")</f>
        <v>46387</v>
      </c>
      <c r="L3214" s="17" t="str">
        <f aca="false" t="array" ref="L3214:L3214">IFERROR(INDEX(AC3214:AE3214,IF(COUNTA(AC3214:AE3214)=0,"",MAX((AC3214:AE3214&lt;&gt;"")*(COLUMN(AC3214:AE3214)-(COLUMN(AC3214)-2))))-1),"")</f>
        <v>ARCHIVED</v>
      </c>
      <c r="M3214" s="13" t="n">
        <f aca="true">K3214-TODAY()</f>
        <v>63</v>
      </c>
      <c r="N3214" s="50" t="s">
        <v>4735</v>
      </c>
      <c r="O3214" s="13" t="s">
        <v>50</v>
      </c>
      <c r="P3214" s="19" t="n">
        <v>3803000</v>
      </c>
      <c r="Q3214" s="47" t="s">
        <v>13340</v>
      </c>
      <c r="R3214" s="28" t="s">
        <v>83</v>
      </c>
      <c r="S3214" s="16" t="n">
        <v>30744</v>
      </c>
      <c r="T3214" s="13" t="s">
        <v>40</v>
      </c>
      <c r="U3214" s="13" t="s">
        <v>13341</v>
      </c>
      <c r="V3214" s="28" t="s">
        <v>42</v>
      </c>
      <c r="W3214" s="28" t="s">
        <v>54</v>
      </c>
      <c r="X3214" s="21" t="n">
        <v>82228362526</v>
      </c>
      <c r="Y3214" s="22" t="str">
        <f aca="false">O3214</f>
        <v>Driver</v>
      </c>
      <c r="Z3214" s="13" t="str">
        <f aca="false">IFERROR(__xludf.dummyfunction("if(BJ3214="""","""",GOOGLETRANSLATE(BJ3214,""auto"",""en""))"),"Driver")</f>
        <v>Driver</v>
      </c>
      <c r="AA3214" s="23" t="str">
        <f aca="false">IF(C3214="","", CHOOSE(MONTH(C3214),"January","February","March","April","May","June","July","August","September","October","November","December")&amp;" "&amp;DAY(C3214)&amp;MID("thstndrdth",MIN(9,2*RIGHT(DAY(C3214))*(MOD(DAY(C3214)-11,100)&gt;2)+1),2)&amp;","&amp;TEXT(C3214," yyyy"))</f>
        <v>February 1st,2026</v>
      </c>
      <c r="AB3214" s="15" t="str">
        <f aca="true">IF(S3214="","",DATEDIF(S3214,TODAY(),"Y")&amp;" Tahun, "&amp;DATEDIF(S3214,TODAY(),"YM")&amp;" Bulan, "&amp;DATEDIF(S3214,TODAY(),"MD")&amp;" Hari")</f>
        <v>42 Tahun, 7 Bulan, 26 Hari</v>
      </c>
      <c r="AC3214" s="18" t="n">
        <v>46054</v>
      </c>
      <c r="AD3214" s="18" t="n">
        <v>46387</v>
      </c>
      <c r="AE3214" s="13" t="s">
        <v>44</v>
      </c>
    </row>
    <row r="3215" customFormat="false" ht="15" hidden="false" customHeight="true" outlineLevel="0" collapsed="false">
      <c r="A3215" s="12" t="n">
        <v>21813</v>
      </c>
      <c r="B3215" s="13" t="s">
        <v>13342</v>
      </c>
      <c r="C3215" s="16" t="n">
        <v>46054</v>
      </c>
      <c r="D3215" s="13" t="s">
        <v>6487</v>
      </c>
      <c r="E3215" s="15" t="s">
        <v>789</v>
      </c>
      <c r="F3215" s="15" t="str">
        <f aca="false">IFERROR(__xludf.dummyfunction("XLOOKUP(AJ3215,IMPORTRANGE(""1XaInW9DU9nz21V0tYIfzFQ0He9kVQ_JF2mCXgZ3hqFA"",""REKAP ALL 2026 - Andika!G:G""),IMPORTRANGE(""1XaInW9DU9nz21V0tYIfzFQ0He9kVQ_JF2mCXgZ3hqFA"",""REKAP ALL 2026 - Andika!F:F""),"""",0)"),"26035120372")</f>
        <v>26035120372</v>
      </c>
      <c r="G3215" s="28" t="s">
        <v>57</v>
      </c>
      <c r="H3215" s="13" t="s">
        <v>35</v>
      </c>
      <c r="I3215" s="13" t="str">
        <f aca="false">IF(C3215=J3215,"NEW KONTRAK","RE-KONTRAK")</f>
        <v>NEW KONTRAK</v>
      </c>
      <c r="J3215" s="16" t="n">
        <f aca="false" t="array" ref="J3215:J3215">IFERROR(INDEX(AC3215:AE3215,IF(COUNTA(AC3215:AE3215)=0,"",MAX((AC3215:AE3215&lt;&gt;"")*(COLUMN(AC3215:AE3215)-(COLUMN(AC3215)))))-1),"")</f>
        <v>46054</v>
      </c>
      <c r="K3215" s="16" t="n">
        <f aca="false" t="array" ref="K3215:K3215">IFERROR(INDEX(AC3215:AE3215,IF(COUNTA(AC3215:AE3215)=0,"",MAX((AC3215:AE3215&lt;&gt;"")*(COLUMN(AC3215:AE3215)-(COLUMN(AC3215)-1))))-1),"")</f>
        <v>46387</v>
      </c>
      <c r="L3215" s="17" t="str">
        <f aca="false" t="array" ref="L3215:L3215">IFERROR(INDEX(AC3215:AE3215,IF(COUNTA(AC3215:AE3215)=0,"",MAX((AC3215:AE3215&lt;&gt;"")*(COLUMN(AC3215:AE3215)-(COLUMN(AC3215)-2))))-1),"")</f>
        <v>ARCHIVED</v>
      </c>
      <c r="M3215" s="13" t="n">
        <f aca="true">K3215-TODAY()</f>
        <v>63</v>
      </c>
      <c r="N3215" s="50" t="s">
        <v>4735</v>
      </c>
      <c r="O3215" s="13" t="s">
        <v>13343</v>
      </c>
      <c r="P3215" s="19" t="n">
        <v>4081000</v>
      </c>
      <c r="Q3215" s="47" t="s">
        <v>13344</v>
      </c>
      <c r="R3215" s="13" t="s">
        <v>735</v>
      </c>
      <c r="S3215" s="16" t="n">
        <v>31575</v>
      </c>
      <c r="T3215" s="13" t="s">
        <v>40</v>
      </c>
      <c r="U3215" s="13" t="s">
        <v>13345</v>
      </c>
      <c r="V3215" s="13" t="s">
        <v>42</v>
      </c>
      <c r="W3215" s="13" t="s">
        <v>54</v>
      </c>
      <c r="X3215" s="21" t="n">
        <v>81335830762</v>
      </c>
      <c r="Y3215" s="22" t="str">
        <f aca="false">O3215</f>
        <v>Checker cold chain</v>
      </c>
      <c r="Z3215" s="13" t="str">
        <f aca="false">IFERROR(__xludf.dummyfunction("if(BJ3215="""","""",GOOGLETRANSLATE(BJ3215,""auto"",""en""))"),"Checker cold chain")</f>
        <v>Checker cold chain</v>
      </c>
      <c r="AA3215" s="23" t="str">
        <f aca="false">IF(C3215="","", CHOOSE(MONTH(C3215),"January","February","March","April","May","June","July","August","September","October","November","December")&amp;" "&amp;DAY(C3215)&amp;MID("thstndrdth",MIN(9,2*RIGHT(DAY(C3215))*(MOD(DAY(C3215)-11,100)&gt;2)+1),2)&amp;","&amp;TEXT(C3215," yyyy"))</f>
        <v>February 1st,2026</v>
      </c>
      <c r="AB3215" s="15" t="str">
        <f aca="true">IF(S3215="","",DATEDIF(S3215,TODAY(),"Y")&amp;" Tahun, "&amp;DATEDIF(S3215,TODAY(),"YM")&amp;" Bulan, "&amp;DATEDIF(S3215,TODAY(),"MD")&amp;" Hari")</f>
        <v>40 Tahun, 4 Bulan, 17 Hari</v>
      </c>
      <c r="AC3215" s="18" t="n">
        <v>46054</v>
      </c>
      <c r="AD3215" s="18" t="n">
        <v>46387</v>
      </c>
      <c r="AE3215" s="13" t="s">
        <v>44</v>
      </c>
    </row>
    <row r="3216" customFormat="false" ht="15" hidden="false" customHeight="true" outlineLevel="0" collapsed="false">
      <c r="A3216" s="12" t="n">
        <v>21814</v>
      </c>
      <c r="B3216" s="13" t="s">
        <v>13346</v>
      </c>
      <c r="C3216" s="16" t="n">
        <v>46054</v>
      </c>
      <c r="D3216" s="13" t="s">
        <v>6487</v>
      </c>
      <c r="E3216" s="15" t="s">
        <v>47</v>
      </c>
      <c r="F3216" s="15" t="str">
        <f aca="false">IFERROR(__xludf.dummyfunction("XLOOKUP(AJ3216,IMPORTRANGE(""1XaInW9DU9nz21V0tYIfzFQ0He9kVQ_JF2mCXgZ3hqFA"",""REKAP ALL 2026 - Andika!G:G""),IMPORTRANGE(""1XaInW9DU9nz21V0tYIfzFQ0He9kVQ_JF2mCXgZ3hqFA"",""REKAP ALL 2026 - Andika!F:F""),"""",0)"),"26035120380")</f>
        <v>26035120380</v>
      </c>
      <c r="G3216" s="28" t="s">
        <v>57</v>
      </c>
      <c r="H3216" s="13" t="s">
        <v>35</v>
      </c>
      <c r="I3216" s="13" t="str">
        <f aca="false">IF(C3216=J3216,"NEW KONTRAK","RE-KONTRAK")</f>
        <v>NEW KONTRAK</v>
      </c>
      <c r="J3216" s="16" t="n">
        <f aca="false" t="array" ref="J3216:J3216">IFERROR(INDEX(AC3216:AE3216,IF(COUNTA(AC3216:AE3216)=0,"",MAX((AC3216:AE3216&lt;&gt;"")*(COLUMN(AC3216:AE3216)-(COLUMN(AC3216)))))-1),"")</f>
        <v>46054</v>
      </c>
      <c r="K3216" s="16" t="n">
        <f aca="false" t="array" ref="K3216:K3216">IFERROR(INDEX(AC3216:AE3216,IF(COUNTA(AC3216:AE3216)=0,"",MAX((AC3216:AE3216&lt;&gt;"")*(COLUMN(AC3216:AE3216)-(COLUMN(AC3216)-1))))-1),"")</f>
        <v>46387</v>
      </c>
      <c r="L3216" s="17" t="str">
        <f aca="false" t="array" ref="L3216:L3216">IFERROR(INDEX(AC3216:AE3216,IF(COUNTA(AC3216:AE3216)=0,"",MAX((AC3216:AE3216&lt;&gt;"")*(COLUMN(AC3216:AE3216)-(COLUMN(AC3216)-2))))-1),"")</f>
        <v>ARCHIVED</v>
      </c>
      <c r="M3216" s="13" t="n">
        <f aca="true">K3216-TODAY()</f>
        <v>63</v>
      </c>
      <c r="N3216" s="18" t="s">
        <v>4735</v>
      </c>
      <c r="O3216" s="13" t="s">
        <v>50</v>
      </c>
      <c r="P3216" s="19" t="n">
        <v>3803000</v>
      </c>
      <c r="Q3216" s="47" t="s">
        <v>13347</v>
      </c>
      <c r="R3216" s="13" t="s">
        <v>83</v>
      </c>
      <c r="S3216" s="16" t="n">
        <v>29237</v>
      </c>
      <c r="T3216" s="13" t="s">
        <v>40</v>
      </c>
      <c r="U3216" s="13" t="s">
        <v>13348</v>
      </c>
      <c r="V3216" s="28" t="s">
        <v>42</v>
      </c>
      <c r="W3216" s="28" t="s">
        <v>54</v>
      </c>
      <c r="X3216" s="21" t="n">
        <v>81232613105</v>
      </c>
      <c r="Y3216" s="22" t="str">
        <f aca="false">O3216</f>
        <v>Driver</v>
      </c>
      <c r="Z3216" s="13" t="str">
        <f aca="false">IFERROR(__xludf.dummyfunction("if(BJ3216="""","""",GOOGLETRANSLATE(BJ3216,""auto"",""en""))"),"Driver")</f>
        <v>Driver</v>
      </c>
      <c r="AA3216" s="23" t="str">
        <f aca="false">IF(C3216="","", CHOOSE(MONTH(C3216),"January","February","March","April","May","June","July","August","September","October","November","December")&amp;" "&amp;DAY(C3216)&amp;MID("thstndrdth",MIN(9,2*RIGHT(DAY(C3216))*(MOD(DAY(C3216)-11,100)&gt;2)+1),2)&amp;","&amp;TEXT(C3216," yyyy"))</f>
        <v>February 1st,2026</v>
      </c>
      <c r="AB3216" s="15" t="str">
        <f aca="true">IF(S3216="","",DATEDIF(S3216,TODAY(),"Y")&amp;" Tahun, "&amp;DATEDIF(S3216,TODAY(),"YM")&amp;" Bulan, "&amp;DATEDIF(S3216,TODAY(),"MD")&amp;" Hari")</f>
        <v>46 Tahun, 9 Bulan, 12 Hari</v>
      </c>
      <c r="AC3216" s="18" t="n">
        <v>46054</v>
      </c>
      <c r="AD3216" s="18" t="n">
        <v>46387</v>
      </c>
      <c r="AE3216" s="13" t="s">
        <v>44</v>
      </c>
    </row>
    <row r="3217" customFormat="false" ht="15" hidden="false" customHeight="true" outlineLevel="0" collapsed="false">
      <c r="A3217" s="12" t="n">
        <v>21815</v>
      </c>
      <c r="B3217" s="13" t="s">
        <v>13349</v>
      </c>
      <c r="C3217" s="16" t="n">
        <v>46054</v>
      </c>
      <c r="D3217" s="13" t="s">
        <v>6487</v>
      </c>
      <c r="E3217" s="15" t="s">
        <v>102</v>
      </c>
      <c r="F3217" s="15" t="str">
        <f aca="false">IFERROR(__xludf.dummyfunction("XLOOKUP(AJ3217,IMPORTRANGE(""1XaInW9DU9nz21V0tYIfzFQ0He9kVQ_JF2mCXgZ3hqFA"",""REKAP ALL 2026 - Andika!G:G""),IMPORTRANGE(""1XaInW9DU9nz21V0tYIfzFQ0He9kVQ_JF2mCXgZ3hqFA"",""REKAP ALL 2026 - Andika!F:F""),"""",0)"),"26035120398")</f>
        <v>26035120398</v>
      </c>
      <c r="G3217" s="28" t="s">
        <v>57</v>
      </c>
      <c r="H3217" s="13" t="s">
        <v>35</v>
      </c>
      <c r="I3217" s="13" t="str">
        <f aca="false">IF(C3217=J3217,"NEW KONTRAK","RE-KONTRAK")</f>
        <v>NEW KONTRAK</v>
      </c>
      <c r="J3217" s="16" t="n">
        <f aca="false" t="array" ref="J3217:J3217">IFERROR(INDEX(AC3217:AE3217,IF(COUNTA(AC3217:AE3217)=0,"",MAX((AC3217:AE3217&lt;&gt;"")*(COLUMN(AC3217:AE3217)-(COLUMN(AC3217)))))-1),"")</f>
        <v>46054</v>
      </c>
      <c r="K3217" s="16" t="n">
        <f aca="false" t="array" ref="K3217:K3217">IFERROR(INDEX(AC3217:AE3217,IF(COUNTA(AC3217:AE3217)=0,"",MAX((AC3217:AE3217&lt;&gt;"")*(COLUMN(AC3217:AE3217)-(COLUMN(AC3217)-1))))-1),"")</f>
        <v>46387</v>
      </c>
      <c r="L3217" s="17" t="str">
        <f aca="false" t="array" ref="L3217:L3217">IFERROR(INDEX(AC3217:AE3217,IF(COUNTA(AC3217:AE3217)=0,"",MAX((AC3217:AE3217&lt;&gt;"")*(COLUMN(AC3217:AE3217)-(COLUMN(AC3217)-2))))-1),"")</f>
        <v>ARCHIVED</v>
      </c>
      <c r="M3217" s="13" t="n">
        <f aca="true">K3217-TODAY()</f>
        <v>63</v>
      </c>
      <c r="N3217" s="50" t="s">
        <v>4735</v>
      </c>
      <c r="O3217" s="13" t="s">
        <v>13350</v>
      </c>
      <c r="P3217" s="19" t="n">
        <v>3803000</v>
      </c>
      <c r="Q3217" s="47" t="s">
        <v>13351</v>
      </c>
      <c r="R3217" s="13" t="s">
        <v>83</v>
      </c>
      <c r="S3217" s="16" t="n">
        <v>35452</v>
      </c>
      <c r="T3217" s="13" t="s">
        <v>40</v>
      </c>
      <c r="U3217" s="13" t="s">
        <v>13352</v>
      </c>
      <c r="V3217" s="28" t="s">
        <v>42</v>
      </c>
      <c r="W3217" s="28" t="s">
        <v>54</v>
      </c>
      <c r="X3217" s="21" t="n">
        <v>87743021229</v>
      </c>
      <c r="Y3217" s="22" t="str">
        <f aca="false">O3217</f>
        <v>Helper Cold Chain</v>
      </c>
      <c r="Z3217" s="13" t="str">
        <f aca="false">IFERROR(__xludf.dummyfunction("if(BJ3217="""","""",GOOGLETRANSLATE(BJ3217,""auto"",""en""))"),"Helper Cold Chain")</f>
        <v>Helper Cold Chain</v>
      </c>
      <c r="AA3217" s="23" t="str">
        <f aca="false">IF(C3217="","", CHOOSE(MONTH(C3217),"January","February","March","April","May","June","July","August","September","October","November","December")&amp;" "&amp;DAY(C3217)&amp;MID("thstndrdth",MIN(9,2*RIGHT(DAY(C3217))*(MOD(DAY(C3217)-11,100)&gt;2)+1),2)&amp;","&amp;TEXT(C3217," yyyy"))</f>
        <v>February 1st,2026</v>
      </c>
      <c r="AB3217" s="15" t="str">
        <f aca="true">IF(S3217="","",DATEDIF(S3217,TODAY(),"Y")&amp;" Tahun, "&amp;DATEDIF(S3217,TODAY(),"YM")&amp;" Bulan, "&amp;DATEDIF(S3217,TODAY(),"MD")&amp;" Hari")</f>
        <v>29 Tahun, 9 Bulan, 7 Hari</v>
      </c>
      <c r="AC3217" s="18" t="n">
        <v>46054</v>
      </c>
      <c r="AD3217" s="18" t="n">
        <v>46387</v>
      </c>
      <c r="AE3217" s="13" t="s">
        <v>44</v>
      </c>
    </row>
    <row r="3218" customFormat="false" ht="15" hidden="false" customHeight="true" outlineLevel="0" collapsed="false">
      <c r="A3218" s="12" t="n">
        <v>21816</v>
      </c>
      <c r="B3218" s="13" t="s">
        <v>13353</v>
      </c>
      <c r="C3218" s="16" t="n">
        <v>46054</v>
      </c>
      <c r="D3218" s="13" t="s">
        <v>6487</v>
      </c>
      <c r="E3218" s="15" t="s">
        <v>47</v>
      </c>
      <c r="F3218" s="15" t="str">
        <f aca="false">IFERROR(__xludf.dummyfunction("XLOOKUP(AJ3218,IMPORTRANGE(""1XaInW9DU9nz21V0tYIfzFQ0He9kVQ_JF2mCXgZ3hqFA"",""REKAP ALL 2026 - Andika!G:G""),IMPORTRANGE(""1XaInW9DU9nz21V0tYIfzFQ0He9kVQ_JF2mCXgZ3hqFA"",""REKAP ALL 2026 - Andika!F:F""),"""",0)"),"26035120406")</f>
        <v>26035120406</v>
      </c>
      <c r="G3218" s="28" t="s">
        <v>57</v>
      </c>
      <c r="H3218" s="13" t="s">
        <v>35</v>
      </c>
      <c r="I3218" s="13" t="str">
        <f aca="false">IF(C3218=J3218,"NEW KONTRAK","RE-KONTRAK")</f>
        <v>NEW KONTRAK</v>
      </c>
      <c r="J3218" s="16" t="n">
        <f aca="false" t="array" ref="J3218:J3218">IFERROR(INDEX(AC3218:AE3218,IF(COUNTA(AC3218:AE3218)=0,"",MAX((AC3218:AE3218&lt;&gt;"")*(COLUMN(AC3218:AE3218)-(COLUMN(AC3218)))))-1),"")</f>
        <v>46054</v>
      </c>
      <c r="K3218" s="16" t="n">
        <f aca="false" t="array" ref="K3218:K3218">IFERROR(INDEX(AC3218:AE3218,IF(COUNTA(AC3218:AE3218)=0,"",MAX((AC3218:AE3218&lt;&gt;"")*(COLUMN(AC3218:AE3218)-(COLUMN(AC3218)-1))))-1),"")</f>
        <v>46387</v>
      </c>
      <c r="L3218" s="17" t="str">
        <f aca="false" t="array" ref="L3218:L3218">IFERROR(INDEX(AC3218:AE3218,IF(COUNTA(AC3218:AE3218)=0,"",MAX((AC3218:AE3218&lt;&gt;"")*(COLUMN(AC3218:AE3218)-(COLUMN(AC3218)-2))))-1),"")</f>
        <v>ARCHIVED</v>
      </c>
      <c r="M3218" s="13" t="n">
        <f aca="true">K3218-TODAY()</f>
        <v>63</v>
      </c>
      <c r="N3218" s="18" t="s">
        <v>4735</v>
      </c>
      <c r="O3218" s="13" t="s">
        <v>5894</v>
      </c>
      <c r="P3218" s="19" t="n">
        <v>3803000</v>
      </c>
      <c r="Q3218" s="47" t="s">
        <v>13354</v>
      </c>
      <c r="R3218" s="13" t="s">
        <v>2001</v>
      </c>
      <c r="S3218" s="16" t="n">
        <v>36621</v>
      </c>
      <c r="T3218" s="13" t="s">
        <v>40</v>
      </c>
      <c r="U3218" s="13" t="s">
        <v>13355</v>
      </c>
      <c r="V3218" s="13" t="s">
        <v>42</v>
      </c>
      <c r="W3218" s="13" t="s">
        <v>43</v>
      </c>
      <c r="X3218" s="21" t="n">
        <v>82135645170</v>
      </c>
      <c r="Y3218" s="22" t="str">
        <f aca="false">O3218</f>
        <v>Checker</v>
      </c>
      <c r="Z3218" s="13" t="str">
        <f aca="false">IFERROR(__xludf.dummyfunction("if(BJ3218="""","""",GOOGLETRANSLATE(BJ3218,""auto"",""en""))"),"Checker")</f>
        <v>Checker</v>
      </c>
      <c r="AA3218" s="23" t="str">
        <f aca="false">IF(C3218="","", CHOOSE(MONTH(C3218),"January","February","March","April","May","June","July","August","September","October","November","December")&amp;" "&amp;DAY(C3218)&amp;MID("thstndrdth",MIN(9,2*RIGHT(DAY(C3218))*(MOD(DAY(C3218)-11,100)&gt;2)+1),2)&amp;","&amp;TEXT(C3218," yyyy"))</f>
        <v>February 1st,2026</v>
      </c>
      <c r="AB3218" s="15" t="str">
        <f aca="true">IF(S3218="","",DATEDIF(S3218,TODAY(),"Y")&amp;" Tahun, "&amp;DATEDIF(S3218,TODAY(),"YM")&amp;" Bulan, "&amp;DATEDIF(S3218,TODAY(),"MD")&amp;" Hari")</f>
        <v>26 Tahun, 6 Bulan, 24 Hari</v>
      </c>
      <c r="AC3218" s="18" t="n">
        <v>46054</v>
      </c>
      <c r="AD3218" s="18" t="n">
        <v>46387</v>
      </c>
      <c r="AE3218" s="13" t="s">
        <v>44</v>
      </c>
    </row>
    <row r="3219" customFormat="false" ht="15" hidden="false" customHeight="true" outlineLevel="0" collapsed="false">
      <c r="A3219" s="12" t="n">
        <v>21817</v>
      </c>
      <c r="B3219" s="13" t="s">
        <v>13356</v>
      </c>
      <c r="C3219" s="16" t="n">
        <v>46035</v>
      </c>
      <c r="D3219" s="13" t="s">
        <v>2033</v>
      </c>
      <c r="E3219" s="15" t="s">
        <v>102</v>
      </c>
      <c r="F3219" s="24" t="s">
        <v>13357</v>
      </c>
      <c r="G3219" s="13" t="s">
        <v>1127</v>
      </c>
      <c r="H3219" s="13" t="s">
        <v>35</v>
      </c>
      <c r="I3219" s="13" t="str">
        <f aca="false">IF(C3219=J3219,"NEW KONTRAK","RE-KONTRAK")</f>
        <v>NEW KONTRAK</v>
      </c>
      <c r="J3219" s="16" t="n">
        <f aca="false" t="array" ref="J3219:J3219">IFERROR(INDEX(AC3219:AE3219,IF(COUNTA(AC3219:AE3219)=0,"",MAX((AC3219:AE3219&lt;&gt;"")*(COLUMN(AC3219:AE3219)-(COLUMN(AC3219)))))-1),"")</f>
        <v>46035</v>
      </c>
      <c r="K3219" s="16" t="n">
        <f aca="false" t="array" ref="K3219:K3219">IFERROR(INDEX(AC3219:AE3219,IF(COUNTA(AC3219:AE3219)=0,"",MAX((AC3219:AE3219&lt;&gt;"")*(COLUMN(AC3219:AE3219)-(COLUMN(AC3219)-1))))-1),"")</f>
        <v>46127</v>
      </c>
      <c r="L3219" s="17" t="str">
        <f aca="false" t="array" ref="L3219:L3219">IFERROR(INDEX(AC3219:AE3219,IF(COUNTA(AC3219:AE3219)=0,"",MAX((AC3219:AE3219&lt;&gt;"")*(COLUMN(AC3219:AE3219)-(COLUMN(AC3219)-2))))-1),"")</f>
        <v>ARCHIVED</v>
      </c>
      <c r="M3219" s="13" t="n">
        <f aca="true">K3219-TODAY()</f>
        <v>-197</v>
      </c>
      <c r="N3219" s="18" t="s">
        <v>5852</v>
      </c>
      <c r="O3219" s="13" t="s">
        <v>5017</v>
      </c>
      <c r="P3219" s="19" t="n">
        <v>2859620</v>
      </c>
      <c r="Q3219" s="47" t="s">
        <v>13358</v>
      </c>
      <c r="R3219" s="13" t="s">
        <v>13359</v>
      </c>
      <c r="S3219" s="16" t="n">
        <v>37789</v>
      </c>
      <c r="T3219" s="13" t="s">
        <v>40</v>
      </c>
      <c r="U3219" s="13" t="s">
        <v>13360</v>
      </c>
      <c r="V3219" s="13" t="s">
        <v>42</v>
      </c>
      <c r="W3219" s="13" t="s">
        <v>43</v>
      </c>
      <c r="X3219" s="21" t="s">
        <v>13361</v>
      </c>
      <c r="Y3219" s="22" t="str">
        <f aca="false">O3219</f>
        <v>Sales</v>
      </c>
      <c r="Z3219" s="13" t="str">
        <f aca="false">IFERROR(__xludf.dummyfunction("if(BJ3219="""","""",GOOGLETRANSLATE(BJ3219,""auto"",""en""))"),"Sales")</f>
        <v>Sales</v>
      </c>
      <c r="AA3219" s="23" t="str">
        <f aca="false">IF(C3219="","", CHOOSE(MONTH(C3219),"January","February","March","April","May","June","July","August","September","October","November","December")&amp;" "&amp;DAY(C3219)&amp;MID("thstndrdth",MIN(9,2*RIGHT(DAY(C3219))*(MOD(DAY(C3219)-11,100)&gt;2)+1),2)&amp;","&amp;TEXT(C3219," yyyy"))</f>
        <v>January 13th,2026</v>
      </c>
      <c r="AB3219" s="15" t="str">
        <f aca="true">IF(S3219="","",DATEDIF(S3219,TODAY(),"Y")&amp;" Tahun, "&amp;DATEDIF(S3219,TODAY(),"YM")&amp;" Bulan, "&amp;DATEDIF(S3219,TODAY(),"MD")&amp;" Hari")</f>
        <v>23 Tahun, 4 Bulan, 12 Hari</v>
      </c>
      <c r="AC3219" s="18" t="n">
        <v>46035</v>
      </c>
      <c r="AD3219" s="18" t="n">
        <v>46127</v>
      </c>
      <c r="AE3219" s="13" t="s">
        <v>44</v>
      </c>
    </row>
    <row r="3220" customFormat="false" ht="15" hidden="false" customHeight="true" outlineLevel="0" collapsed="false">
      <c r="A3220" s="12" t="n">
        <v>22405</v>
      </c>
      <c r="B3220" s="13" t="s">
        <v>13362</v>
      </c>
      <c r="C3220" s="14" t="n">
        <v>46173</v>
      </c>
      <c r="D3220" s="13" t="s">
        <v>2033</v>
      </c>
      <c r="E3220" s="15" t="s">
        <v>47</v>
      </c>
      <c r="F3220" s="24" t="s">
        <v>13363</v>
      </c>
      <c r="G3220" s="24" t="s">
        <v>57</v>
      </c>
      <c r="H3220" s="13" t="s">
        <v>35</v>
      </c>
      <c r="I3220" s="13" t="str">
        <f aca="false">IF(C3220=J3220,"NEW KONTRAK","RE-KONTRAK")</f>
        <v>NEW KONTRAK</v>
      </c>
      <c r="J3220" s="16" t="n">
        <f aca="false" t="array" ref="J3220:J3220">IFERROR(INDEX(AC3220:AE3220,IF(COUNTA(AC3220:AE3220)=0,"",MAX((AC3220:AE3220&lt;&gt;"")*(COLUMN(AC3220:AE3220)-(COLUMN(AC3220)))))-1),"")</f>
        <v>46173</v>
      </c>
      <c r="K3220" s="16" t="n">
        <f aca="false" t="array" ref="K3220:K3220">IFERROR(INDEX(AC3220:AE3220,IF(COUNTA(AC3220:AE3220)=0,"",MAX((AC3220:AE3220&lt;&gt;"")*(COLUMN(AC3220:AE3220)-(COLUMN(AC3220)-1))))-1),"")</f>
        <v>46264</v>
      </c>
      <c r="L3220" s="17" t="str">
        <f aca="false" t="array" ref="L3220:L3220">IFERROR(INDEX(AC3220:AE3220,IF(COUNTA(AC3220:AE3220)=0,"",MAX((AC3220:AE3220&lt;&gt;"")*(COLUMN(AC3220:AE3220)-(COLUMN(AC3220)-2))))-1),"")</f>
        <v>KEMBALI ONLINE</v>
      </c>
      <c r="M3220" s="13" t="n">
        <f aca="true">K3220-TODAY()</f>
        <v>-60</v>
      </c>
      <c r="N3220" s="28" t="s">
        <v>2363</v>
      </c>
      <c r="O3220" s="13" t="s">
        <v>2037</v>
      </c>
      <c r="P3220" s="26" t="n">
        <v>4335198</v>
      </c>
      <c r="Q3220" s="47" t="s">
        <v>13364</v>
      </c>
      <c r="R3220" s="13" t="s">
        <v>13365</v>
      </c>
      <c r="S3220" s="16" t="n">
        <v>38673</v>
      </c>
      <c r="T3220" s="13" t="s">
        <v>108</v>
      </c>
      <c r="U3220" s="13" t="s">
        <v>13366</v>
      </c>
      <c r="V3220" s="28" t="s">
        <v>42</v>
      </c>
      <c r="W3220" s="13" t="s">
        <v>43</v>
      </c>
      <c r="X3220" s="21" t="n">
        <v>83848971153</v>
      </c>
      <c r="Y3220" s="22" t="str">
        <f aca="false">O3220</f>
        <v>SPG/BA</v>
      </c>
      <c r="Z3220" s="13" t="str">
        <f aca="false">IFERROR(__xludf.dummyfunction("if(BJ3220="""","""",GOOGLETRANSLATE(BJ3220,""auto"",""en""))"),"SPG/BA")</f>
        <v>SPG/BA</v>
      </c>
      <c r="AA3220" s="23" t="str">
        <f aca="false">IF(C3220="","", CHOOSE(MONTH(C3220),"January","February","March","April","May","June","July","August","September","October","November","December")&amp;" "&amp;DAY(C3220)&amp;MID("thstndrdth",MIN(9,2*RIGHT(DAY(C3220))*(MOD(DAY(C3220)-11,100)&gt;2)+1),2)&amp;","&amp;TEXT(C3220," yyyy"))</f>
        <v>May 31st,2026</v>
      </c>
      <c r="AB3220" s="15" t="str">
        <f aca="true">IF(S3220="","",DATEDIF(S3220,TODAY(),"Y")&amp;" Tahun, "&amp;DATEDIF(S3220,TODAY(),"YM")&amp;" Bulan, "&amp;DATEDIF(S3220,TODAY(),"MD")&amp;" Hari")</f>
        <v>20 Tahun, 11 Bulan, 12 Hari</v>
      </c>
      <c r="AC3220" s="14" t="n">
        <v>46173</v>
      </c>
      <c r="AD3220" s="18" t="n">
        <f aca="false">EDATE(AC3220,3)-1</f>
        <v>46264</v>
      </c>
      <c r="AE3220" s="13" t="s">
        <v>2387</v>
      </c>
    </row>
    <row r="3221" customFormat="false" ht="15" hidden="false" customHeight="true" outlineLevel="0" collapsed="false">
      <c r="A3221" s="12" t="n">
        <v>21819</v>
      </c>
      <c r="B3221" s="13" t="s">
        <v>13367</v>
      </c>
      <c r="C3221" s="16" t="n">
        <v>46052</v>
      </c>
      <c r="D3221" s="13" t="s">
        <v>7310</v>
      </c>
      <c r="E3221" s="15" t="s">
        <v>102</v>
      </c>
      <c r="F3221" s="15" t="str">
        <f aca="false">IFERROR(__xludf.dummyfunction("XLOOKUP(AJ3221,IMPORTRANGE(""1XaInW9DU9nz21V0tYIfzFQ0He9kVQ_JF2mCXgZ3hqFA"",""REKAP ALL 2026 - Andika!G:G""),IMPORTRANGE(""1XaInW9DU9nz21V0tYIfzFQ0He9kVQ_JF2mCXgZ3hqFA"",""REKAP ALL 2026 - Andika!F:F""),"""",0)"),"26020755398")</f>
        <v>26020755398</v>
      </c>
      <c r="G3221" s="13" t="s">
        <v>1127</v>
      </c>
      <c r="H3221" s="13" t="s">
        <v>35</v>
      </c>
      <c r="I3221" s="13" t="str">
        <f aca="false">IF(C3221=J3221,"NEW KONTRAK","RE-KONTRAK")</f>
        <v>NEW KONTRAK</v>
      </c>
      <c r="J3221" s="16" t="n">
        <f aca="false" t="array" ref="J3221:J3221">IFERROR(INDEX(AC3221:AE3221,IF(COUNTA(AC3221:AE3221)=0,"",MAX((AC3221:AE3221&lt;&gt;"")*(COLUMN(AC3221:AE3221)-(COLUMN(AC3221)))))-1),"")</f>
        <v>46052</v>
      </c>
      <c r="K3221" s="16" t="n">
        <f aca="false" t="array" ref="K3221:K3221">IFERROR(INDEX(AC3221:AE3221,IF(COUNTA(AC3221:AE3221)=0,"",MAX((AC3221:AE3221&lt;&gt;"")*(COLUMN(AC3221:AE3221)-(COLUMN(AC3221)-1))))-1),"")</f>
        <v>46267</v>
      </c>
      <c r="L3221" s="17" t="str">
        <f aca="false" t="array" ref="L3221:L3221">IFERROR(INDEX(AC3221:AE3221,IF(COUNTA(AC3221:AE3221)=0,"",MAX((AC3221:AE3221&lt;&gt;"")*(COLUMN(AC3221:AE3221)-(COLUMN(AC3221)-2))))-1),"")</f>
        <v>ARCHIVED</v>
      </c>
      <c r="M3221" s="13" t="n">
        <f aca="true">K3221-TODAY()</f>
        <v>-57</v>
      </c>
      <c r="N3221" s="18" t="s">
        <v>7313</v>
      </c>
      <c r="O3221" s="13" t="s">
        <v>50</v>
      </c>
      <c r="P3221" s="19" t="n">
        <v>2550274</v>
      </c>
      <c r="Q3221" s="47" t="s">
        <v>13368</v>
      </c>
      <c r="R3221" s="13" t="s">
        <v>1695</v>
      </c>
      <c r="S3221" s="16" t="n">
        <v>36240</v>
      </c>
      <c r="T3221" s="13" t="s">
        <v>40</v>
      </c>
      <c r="U3221" s="13" t="s">
        <v>13369</v>
      </c>
      <c r="V3221" s="13" t="s">
        <v>42</v>
      </c>
      <c r="W3221" s="13" t="s">
        <v>43</v>
      </c>
      <c r="X3221" s="21" t="n">
        <v>85706171443</v>
      </c>
      <c r="Y3221" s="22" t="str">
        <f aca="false">O3221</f>
        <v>Driver</v>
      </c>
      <c r="Z3221" s="13" t="str">
        <f aca="false">IFERROR(__xludf.dummyfunction("if(BJ3221="""","""",GOOGLETRANSLATE(BJ3221,""auto"",""en""))"),"Driver")</f>
        <v>Driver</v>
      </c>
      <c r="AA3221" s="23" t="str">
        <f aca="false">IF(C3221="","", CHOOSE(MONTH(C3221),"January","February","March","April","May","June","July","August","September","October","November","December")&amp;" "&amp;DAY(C3221)&amp;MID("thstndrdth",MIN(9,2*RIGHT(DAY(C3221))*(MOD(DAY(C3221)-11,100)&gt;2)+1),2)&amp;","&amp;TEXT(C3221," yyyy"))</f>
        <v>January 30th,2026</v>
      </c>
      <c r="AB3221" s="15" t="str">
        <f aca="true">IF(S3221="","",DATEDIF(S3221,TODAY(),"Y")&amp;" Tahun, "&amp;DATEDIF(S3221,TODAY(),"YM")&amp;" Bulan, "&amp;DATEDIF(S3221,TODAY(),"MD")&amp;" Hari")</f>
        <v>27 Tahun, 7 Bulan, 8 Hari</v>
      </c>
      <c r="AC3221" s="18" t="n">
        <v>46052</v>
      </c>
      <c r="AD3221" s="18" t="n">
        <v>46267</v>
      </c>
      <c r="AE3221" s="18" t="s">
        <v>44</v>
      </c>
    </row>
    <row r="3222" customFormat="false" ht="15" hidden="false" customHeight="true" outlineLevel="0" collapsed="false">
      <c r="A3222" s="12" t="n">
        <v>21820</v>
      </c>
      <c r="B3222" s="13" t="s">
        <v>13370</v>
      </c>
      <c r="C3222" s="16" t="n">
        <v>46050</v>
      </c>
      <c r="D3222" s="13" t="s">
        <v>12775</v>
      </c>
      <c r="E3222" s="15" t="s">
        <v>47</v>
      </c>
      <c r="F3222" s="24" t="s">
        <v>13371</v>
      </c>
      <c r="G3222" s="28" t="s">
        <v>57</v>
      </c>
      <c r="H3222" s="13" t="s">
        <v>35</v>
      </c>
      <c r="I3222" s="13" t="str">
        <f aca="false">IF(C3222=J3222,"NEW KONTRAK","RE-KONTRAK")</f>
        <v>NEW KONTRAK</v>
      </c>
      <c r="J3222" s="16" t="n">
        <f aca="false" t="array" ref="J3222:J3222">IFERROR(INDEX(AC3222:AE3222,IF(COUNTA(AC3222:AE3222)=0,"",MAX((AC3222:AE3222&lt;&gt;"")*(COLUMN(AC3222:AE3222)-(COLUMN(AC3222)))))-1),"")</f>
        <v>46050</v>
      </c>
      <c r="K3222" s="16" t="n">
        <f aca="false" t="array" ref="K3222:K3222">IFERROR(INDEX(AC3222:AE3222,IF(COUNTA(AC3222:AE3222)=0,"",MAX((AC3222:AE3222&lt;&gt;"")*(COLUMN(AC3222:AE3222)-(COLUMN(AC3222)-1))))-1),"")</f>
        <v>46139</v>
      </c>
      <c r="L3222" s="17" t="str">
        <f aca="false" t="array" ref="L3222:L3222">IFERROR(INDEX(AC3222:AE3222,IF(COUNTA(AC3222:AE3222)=0,"",MAX((AC3222:AE3222&lt;&gt;"")*(COLUMN(AC3222:AE3222)-(COLUMN(AC3222)-2))))-1),"")</f>
        <v>KEMBALI</v>
      </c>
      <c r="M3222" s="13" t="n">
        <f aca="true">K3222-TODAY()</f>
        <v>-185</v>
      </c>
      <c r="N3222" s="50" t="s">
        <v>728</v>
      </c>
      <c r="O3222" s="13" t="s">
        <v>50</v>
      </c>
      <c r="P3222" s="19" t="n">
        <v>5288796</v>
      </c>
      <c r="Q3222" s="47" t="s">
        <v>13372</v>
      </c>
      <c r="R3222" s="13" t="s">
        <v>52</v>
      </c>
      <c r="S3222" s="16" t="n">
        <v>31604</v>
      </c>
      <c r="T3222" s="13" t="s">
        <v>40</v>
      </c>
      <c r="U3222" s="13" t="s">
        <v>13373</v>
      </c>
      <c r="V3222" s="13" t="s">
        <v>42</v>
      </c>
      <c r="W3222" s="13" t="s">
        <v>54</v>
      </c>
      <c r="X3222" s="21" t="n">
        <v>87794604666</v>
      </c>
      <c r="Y3222" s="22" t="str">
        <f aca="false">O3222</f>
        <v>Driver</v>
      </c>
      <c r="Z3222" s="13" t="str">
        <f aca="false">IFERROR(__xludf.dummyfunction("if(BJ3222="""","""",GOOGLETRANSLATE(BJ3222,""auto"",""en""))"),"Driver")</f>
        <v>Driver</v>
      </c>
      <c r="AA3222" s="23" t="str">
        <f aca="false">IF(C3222="","", CHOOSE(MONTH(C3222),"January","February","March","April","May","June","July","August","September","October","November","December")&amp;" "&amp;DAY(C3222)&amp;MID("thstndrdth",MIN(9,2*RIGHT(DAY(C3222))*(MOD(DAY(C3222)-11,100)&gt;2)+1),2)&amp;","&amp;TEXT(C3222," yyyy"))</f>
        <v>January 28th,2026</v>
      </c>
      <c r="AB3222" s="15" t="str">
        <f aca="true">IF(S3222="","",DATEDIF(S3222,TODAY(),"Y")&amp;" Tahun, "&amp;DATEDIF(S3222,TODAY(),"YM")&amp;" Bulan, "&amp;DATEDIF(S3222,TODAY(),"MD")&amp;" Hari")</f>
        <v>40 Tahun, 3 Bulan, 18 Hari</v>
      </c>
      <c r="AC3222" s="18" t="n">
        <v>46050</v>
      </c>
      <c r="AD3222" s="18" t="n">
        <f aca="false">EDATE(AC3222,3)-1</f>
        <v>46139</v>
      </c>
      <c r="AE3222" s="13" t="s">
        <v>397</v>
      </c>
    </row>
    <row r="3223" customFormat="false" ht="15" hidden="false" customHeight="true" outlineLevel="0" collapsed="false">
      <c r="A3223" s="12" t="n">
        <v>21821</v>
      </c>
      <c r="B3223" s="13" t="s">
        <v>13374</v>
      </c>
      <c r="C3223" s="16" t="n">
        <v>46053</v>
      </c>
      <c r="D3223" s="13" t="s">
        <v>6498</v>
      </c>
      <c r="E3223" s="15" t="s">
        <v>47</v>
      </c>
      <c r="F3223" s="15" t="str">
        <f aca="false">IFERROR(__xludf.dummyfunction("XLOOKUP(AJ3223,IMPORTRANGE(""1XaInW9DU9nz21V0tYIfzFQ0He9kVQ_JF2mCXgZ3hqFA"",""REKAP ALL 2026 - Andika!G:G""),IMPORTRANGE(""1XaInW9DU9nz21V0tYIfzFQ0He9kVQ_JF2mCXgZ3hqFA"",""REKAP ALL 2026 - Andika!F:F""),"""",0)"),"26020763871")</f>
        <v>26020763871</v>
      </c>
      <c r="G3223" s="28" t="s">
        <v>57</v>
      </c>
      <c r="H3223" s="13" t="s">
        <v>35</v>
      </c>
      <c r="I3223" s="13" t="str">
        <f aca="false">IF(C3223=J3223,"NEW KONTRAK","RE-KONTRAK")</f>
        <v>NEW KONTRAK</v>
      </c>
      <c r="J3223" s="16" t="n">
        <f aca="false" t="array" ref="J3223:J3223">IFERROR(INDEX(AC3223:AE3223,IF(COUNTA(AC3223:AE3223)=0,"",MAX((AC3223:AE3223&lt;&gt;"")*(COLUMN(AC3223:AE3223)-(COLUMN(AC3223)))))-1),"")</f>
        <v>46053</v>
      </c>
      <c r="K3223" s="16" t="n">
        <f aca="false" t="array" ref="K3223:K3223">IFERROR(INDEX(AC3223:AE3223,IF(COUNTA(AC3223:AE3223)=0,"",MAX((AC3223:AE3223&lt;&gt;"")*(COLUMN(AC3223:AE3223)-(COLUMN(AC3223)-1))))-1),"")</f>
        <v>46387</v>
      </c>
      <c r="L3223" s="17" t="str">
        <f aca="false" t="array" ref="L3223:L3223">IFERROR(INDEX(AC3223:AE3223,IF(COUNTA(AC3223:AE3223)=0,"",MAX((AC3223:AE3223&lt;&gt;"")*(COLUMN(AC3223:AE3223)-(COLUMN(AC3223)-2))))-1),"")</f>
        <v>KEMBALI</v>
      </c>
      <c r="M3223" s="13" t="n">
        <f aca="true">K3223-TODAY()</f>
        <v>63</v>
      </c>
      <c r="N3223" s="50" t="s">
        <v>728</v>
      </c>
      <c r="O3223" s="13" t="s">
        <v>50</v>
      </c>
      <c r="P3223" s="19" t="n">
        <v>5288796</v>
      </c>
      <c r="Q3223" s="20" t="s">
        <v>13375</v>
      </c>
      <c r="R3223" s="13" t="s">
        <v>52</v>
      </c>
      <c r="S3223" s="16" t="n">
        <v>29797</v>
      </c>
      <c r="T3223" s="13" t="s">
        <v>40</v>
      </c>
      <c r="U3223" s="13" t="s">
        <v>13376</v>
      </c>
      <c r="V3223" s="13" t="s">
        <v>42</v>
      </c>
      <c r="W3223" s="13" t="s">
        <v>54</v>
      </c>
      <c r="X3223" s="21" t="n">
        <v>8133198543</v>
      </c>
      <c r="Y3223" s="22" t="str">
        <f aca="false">O3223</f>
        <v>Driver</v>
      </c>
      <c r="Z3223" s="13" t="str">
        <f aca="false">IFERROR(__xludf.dummyfunction("if(BJ3223="""","""",GOOGLETRANSLATE(BJ3223,""auto"",""en""))"),"Driver")</f>
        <v>Driver</v>
      </c>
      <c r="AA3223" s="23" t="str">
        <f aca="false">IF(C3223="","", CHOOSE(MONTH(C3223),"January","February","March","April","May","June","July","August","September","October","November","December")&amp;" "&amp;DAY(C3223)&amp;MID("thstndrdth",MIN(9,2*RIGHT(DAY(C3223))*(MOD(DAY(C3223)-11,100)&gt;2)+1),2)&amp;","&amp;TEXT(C3223," yyyy"))</f>
        <v>January 31st,2026</v>
      </c>
      <c r="AB3223" s="15" t="str">
        <f aca="true">IF(S3223="","",DATEDIF(S3223,TODAY(),"Y")&amp;" Tahun, "&amp;DATEDIF(S3223,TODAY(),"YM")&amp;" Bulan, "&amp;DATEDIF(S3223,TODAY(),"MD")&amp;" Hari")</f>
        <v>45 Tahun, 2 Bulan, 29 Hari</v>
      </c>
      <c r="AC3223" s="18" t="n">
        <v>46053</v>
      </c>
      <c r="AD3223" s="18" t="n">
        <v>46387</v>
      </c>
      <c r="AE3223" s="13" t="s">
        <v>397</v>
      </c>
    </row>
    <row r="3224" customFormat="false" ht="15" hidden="false" customHeight="true" outlineLevel="0" collapsed="false">
      <c r="A3224" s="12" t="n">
        <v>21822</v>
      </c>
      <c r="B3224" s="13" t="s">
        <v>13377</v>
      </c>
      <c r="C3224" s="16" t="n">
        <v>46054</v>
      </c>
      <c r="D3224" s="13" t="s">
        <v>11961</v>
      </c>
      <c r="E3224" s="15" t="s">
        <v>47</v>
      </c>
      <c r="F3224" s="15" t="str">
        <f aca="false">IFERROR(__xludf.dummyfunction("XLOOKUP(AJ3224,IMPORTRANGE(""1XaInW9DU9nz21V0tYIfzFQ0He9kVQ_JF2mCXgZ3hqFA"",""REKAP ALL 2026 - Andika!G:G""),IMPORTRANGE(""1XaInW9DU9nz21V0tYIfzFQ0He9kVQ_JF2mCXgZ3hqFA"",""REKAP ALL 2026 - Andika!F:F""),"""",0)"),"26035115620")</f>
        <v>26035115620</v>
      </c>
      <c r="G3224" s="28" t="s">
        <v>57</v>
      </c>
      <c r="H3224" s="13" t="s">
        <v>35</v>
      </c>
      <c r="I3224" s="13" t="str">
        <f aca="false">IF(C3224=J3224,"NEW KONTRAK","RE-KONTRAK")</f>
        <v>NEW KONTRAK</v>
      </c>
      <c r="J3224" s="16" t="n">
        <f aca="false" t="array" ref="J3224:J3224">IFERROR(INDEX(AC3224:AE3224,IF(COUNTA(AC3224:AE3224)=0,"",MAX((AC3224:AE3224&lt;&gt;"")*(COLUMN(AC3224:AE3224)-(COLUMN(AC3224)))))-1),"")</f>
        <v>46054</v>
      </c>
      <c r="K3224" s="16" t="n">
        <f aca="false" t="array" ref="K3224:K3224">IFERROR(INDEX(AC3224:AE3224,IF(COUNTA(AC3224:AE3224)=0,"",MAX((AC3224:AE3224&lt;&gt;"")*(COLUMN(AC3224:AE3224)-(COLUMN(AC3224)-1))))-1),"")</f>
        <v>46142</v>
      </c>
      <c r="L3224" s="17" t="str">
        <f aca="false" t="array" ref="L3224:L3224">IFERROR(INDEX(AC3224:AE3224,IF(COUNTA(AC3224:AE3224)=0,"",MAX((AC3224:AE3224&lt;&gt;"")*(COLUMN(AC3224:AE3224)-(COLUMN(AC3224)-2))))-1),"")</f>
        <v>KEMBALI</v>
      </c>
      <c r="M3224" s="13" t="n">
        <f aca="true">K3224-TODAY()</f>
        <v>-182</v>
      </c>
      <c r="N3224" s="18" t="s">
        <v>615</v>
      </c>
      <c r="O3224" s="13" t="s">
        <v>750</v>
      </c>
      <c r="P3224" s="19" t="n">
        <v>5176101</v>
      </c>
      <c r="Q3224" s="47" t="s">
        <v>13378</v>
      </c>
      <c r="R3224" s="13" t="s">
        <v>39</v>
      </c>
      <c r="S3224" s="16" t="n">
        <v>36355</v>
      </c>
      <c r="T3224" s="13" t="s">
        <v>40</v>
      </c>
      <c r="U3224" s="13" t="s">
        <v>13379</v>
      </c>
      <c r="V3224" s="13" t="s">
        <v>42</v>
      </c>
      <c r="W3224" s="13" t="s">
        <v>43</v>
      </c>
      <c r="X3224" s="21" t="n">
        <v>816569055</v>
      </c>
      <c r="Y3224" s="22" t="str">
        <f aca="false">O3224</f>
        <v>Admin</v>
      </c>
      <c r="Z3224" s="13" t="str">
        <f aca="false">IFERROR(__xludf.dummyfunction("if(BJ3224="""","""",GOOGLETRANSLATE(BJ3224,""auto"",""en""))"),"Admin")</f>
        <v>Admin</v>
      </c>
      <c r="AA3224" s="23" t="str">
        <f aca="false">IF(C3224="","", CHOOSE(MONTH(C3224),"January","February","March","April","May","June","July","August","September","October","November","December")&amp;" "&amp;DAY(C3224)&amp;MID("thstndrdth",MIN(9,2*RIGHT(DAY(C3224))*(MOD(DAY(C3224)-11,100)&gt;2)+1),2)&amp;","&amp;TEXT(C3224," yyyy"))</f>
        <v>February 1st,2026</v>
      </c>
      <c r="AB3224" s="15" t="str">
        <f aca="true">IF(S3224="","",DATEDIF(S3224,TODAY(),"Y")&amp;" Tahun, "&amp;DATEDIF(S3224,TODAY(),"YM")&amp;" Bulan, "&amp;DATEDIF(S3224,TODAY(),"MD")&amp;" Hari")</f>
        <v>27 Tahun, 3 Bulan, 15 Hari</v>
      </c>
      <c r="AC3224" s="18" t="n">
        <v>46054</v>
      </c>
      <c r="AD3224" s="18" t="n">
        <f aca="false">EDATE(AC3224,3)-1</f>
        <v>46142</v>
      </c>
      <c r="AE3224" s="13" t="s">
        <v>397</v>
      </c>
    </row>
    <row r="3225" customFormat="false" ht="15" hidden="false" customHeight="true" outlineLevel="0" collapsed="false">
      <c r="A3225" s="12" t="n">
        <v>21823</v>
      </c>
      <c r="B3225" s="13" t="s">
        <v>13380</v>
      </c>
      <c r="C3225" s="16" t="n">
        <v>46054</v>
      </c>
      <c r="D3225" s="13" t="s">
        <v>6498</v>
      </c>
      <c r="E3225" s="15" t="s">
        <v>47</v>
      </c>
      <c r="F3225" s="15" t="str">
        <f aca="false">IFERROR(__xludf.dummyfunction("XLOOKUP(AJ3225,IMPORTRANGE(""1XaInW9DU9nz21V0tYIfzFQ0He9kVQ_JF2mCXgZ3hqFA"",""REKAP ALL 2026 - Andika!G:G""),IMPORTRANGE(""1XaInW9DU9nz21V0tYIfzFQ0He9kVQ_JF2mCXgZ3hqFA"",""REKAP ALL 2026 - Andika!F:F""),"""",0)"),"26035120414")</f>
        <v>26035120414</v>
      </c>
      <c r="G3225" s="28" t="s">
        <v>57</v>
      </c>
      <c r="H3225" s="13" t="s">
        <v>35</v>
      </c>
      <c r="I3225" s="13" t="str">
        <f aca="false">IF(C3225=J3225,"NEW KONTRAK","RE-KONTRAK")</f>
        <v>NEW KONTRAK</v>
      </c>
      <c r="J3225" s="16" t="n">
        <f aca="false" t="array" ref="J3225:J3225">IFERROR(INDEX(AC3225:AE3225,IF(COUNTA(AC3225:AE3225)=0,"",MAX((AC3225:AE3225&lt;&gt;"")*(COLUMN(AC3225:AE3225)-(COLUMN(AC3225)))))-1),"")</f>
        <v>46054</v>
      </c>
      <c r="K3225" s="16" t="n">
        <f aca="false" t="array" ref="K3225:K3225">IFERROR(INDEX(AC3225:AE3225,IF(COUNTA(AC3225:AE3225)=0,"",MAX((AC3225:AE3225&lt;&gt;"")*(COLUMN(AC3225:AE3225)-(COLUMN(AC3225)-1))))-1),"")</f>
        <v>46387</v>
      </c>
      <c r="L3225" s="17" t="str">
        <f aca="false" t="array" ref="L3225:L3225">IFERROR(INDEX(AC3225:AE3225,IF(COUNTA(AC3225:AE3225)=0,"",MAX((AC3225:AE3225&lt;&gt;"")*(COLUMN(AC3225:AE3225)-(COLUMN(AC3225)-2))))-1),"")</f>
        <v>ARCHIVED</v>
      </c>
      <c r="M3225" s="13" t="n">
        <f aca="true">K3225-TODAY()</f>
        <v>63</v>
      </c>
      <c r="N3225" s="50" t="s">
        <v>728</v>
      </c>
      <c r="O3225" s="13" t="s">
        <v>12799</v>
      </c>
      <c r="P3225" s="19" t="n">
        <v>5289000</v>
      </c>
      <c r="Q3225" s="47" t="s">
        <v>13381</v>
      </c>
      <c r="R3225" s="13" t="s">
        <v>52</v>
      </c>
      <c r="S3225" s="16" t="n">
        <v>33835</v>
      </c>
      <c r="T3225" s="13" t="s">
        <v>40</v>
      </c>
      <c r="U3225" s="13" t="s">
        <v>13382</v>
      </c>
      <c r="V3225" s="13" t="s">
        <v>42</v>
      </c>
      <c r="W3225" s="13" t="s">
        <v>54</v>
      </c>
      <c r="X3225" s="21" t="s">
        <v>13383</v>
      </c>
      <c r="Y3225" s="22" t="str">
        <f aca="false">O3225</f>
        <v>Helper Ekspedisi</v>
      </c>
      <c r="Z3225" s="13" t="str">
        <f aca="false">IFERROR(__xludf.dummyfunction("if(BJ3225="""","""",GOOGLETRANSLATE(BJ3225,""auto"",""en""))"),"Expedition Helper")</f>
        <v>Expedition Helper</v>
      </c>
      <c r="AA3225" s="23" t="str">
        <f aca="false">IF(C3225="","", CHOOSE(MONTH(C3225),"January","February","March","April","May","June","July","August","September","October","November","December")&amp;" "&amp;DAY(C3225)&amp;MID("thstndrdth",MIN(9,2*RIGHT(DAY(C3225))*(MOD(DAY(C3225)-11,100)&gt;2)+1),2)&amp;","&amp;TEXT(C3225," yyyy"))</f>
        <v>February 1st,2026</v>
      </c>
      <c r="AB3225" s="15" t="str">
        <f aca="true">IF(S3225="","",DATEDIF(S3225,TODAY(),"Y")&amp;" Tahun, "&amp;DATEDIF(S3225,TODAY(),"YM")&amp;" Bulan, "&amp;DATEDIF(S3225,TODAY(),"MD")&amp;" Hari")</f>
        <v>34 Tahun, 2 Bulan, 10 Hari</v>
      </c>
      <c r="AC3225" s="18" t="n">
        <v>46054</v>
      </c>
      <c r="AD3225" s="18" t="n">
        <v>46387</v>
      </c>
      <c r="AE3225" s="13" t="s">
        <v>44</v>
      </c>
    </row>
    <row r="3226" customFormat="false" ht="15" hidden="false" customHeight="true" outlineLevel="0" collapsed="false">
      <c r="A3226" s="12" t="n">
        <v>21824</v>
      </c>
      <c r="B3226" s="13" t="s">
        <v>13384</v>
      </c>
      <c r="C3226" s="16" t="n">
        <v>46054</v>
      </c>
      <c r="D3226" s="13" t="s">
        <v>6498</v>
      </c>
      <c r="E3226" s="15" t="s">
        <v>47</v>
      </c>
      <c r="F3226" s="15" t="str">
        <f aca="false">IFERROR(__xludf.dummyfunction("XLOOKUP(AJ3226,IMPORTRANGE(""1XaInW9DU9nz21V0tYIfzFQ0He9kVQ_JF2mCXgZ3hqFA"",""REKAP ALL 2026 - Andika!G:G""),IMPORTRANGE(""1XaInW9DU9nz21V0tYIfzFQ0He9kVQ_JF2mCXgZ3hqFA"",""REKAP ALL 2026 - Andika!F:F""),"""",0)"),"26035120422")</f>
        <v>26035120422</v>
      </c>
      <c r="G3226" s="28" t="s">
        <v>57</v>
      </c>
      <c r="H3226" s="13" t="s">
        <v>35</v>
      </c>
      <c r="I3226" s="13" t="str">
        <f aca="false">IF(C3226=J3226,"NEW KONTRAK","RE-KONTRAK")</f>
        <v>NEW KONTRAK</v>
      </c>
      <c r="J3226" s="16" t="n">
        <f aca="false" t="array" ref="J3226:J3226">IFERROR(INDEX(AC3226:AE3226,IF(COUNTA(AC3226:AE3226)=0,"",MAX((AC3226:AE3226&lt;&gt;"")*(COLUMN(AC3226:AE3226)-(COLUMN(AC3226)))))-1),"")</f>
        <v>46054</v>
      </c>
      <c r="K3226" s="16" t="n">
        <f aca="false" t="array" ref="K3226:K3226">IFERROR(INDEX(AC3226:AE3226,IF(COUNTA(AC3226:AE3226)=0,"",MAX((AC3226:AE3226&lt;&gt;"")*(COLUMN(AC3226:AE3226)-(COLUMN(AC3226)-1))))-1),"")</f>
        <v>46387</v>
      </c>
      <c r="L3226" s="17" t="str">
        <f aca="false" t="array" ref="L3226:L3226">IFERROR(INDEX(AC3226:AE3226,IF(COUNTA(AC3226:AE3226)=0,"",MAX((AC3226:AE3226&lt;&gt;"")*(COLUMN(AC3226:AE3226)-(COLUMN(AC3226)-2))))-1),"")</f>
        <v>ARCHIVED</v>
      </c>
      <c r="M3226" s="13" t="n">
        <f aca="true">K3226-TODAY()</f>
        <v>63</v>
      </c>
      <c r="N3226" s="50" t="s">
        <v>728</v>
      </c>
      <c r="O3226" s="13" t="s">
        <v>50</v>
      </c>
      <c r="P3226" s="19" t="n">
        <v>5289000</v>
      </c>
      <c r="Q3226" s="47" t="s">
        <v>13385</v>
      </c>
      <c r="R3226" s="13" t="s">
        <v>52</v>
      </c>
      <c r="S3226" s="16" t="n">
        <v>32196</v>
      </c>
      <c r="T3226" s="28" t="s">
        <v>40</v>
      </c>
      <c r="U3226" s="13" t="s">
        <v>13386</v>
      </c>
      <c r="V3226" s="13" t="s">
        <v>42</v>
      </c>
      <c r="W3226" s="13" t="s">
        <v>54</v>
      </c>
      <c r="X3226" s="21" t="s">
        <v>13387</v>
      </c>
      <c r="Y3226" s="22" t="str">
        <f aca="false">O3226</f>
        <v>Driver</v>
      </c>
      <c r="Z3226" s="13" t="str">
        <f aca="false">IFERROR(__xludf.dummyfunction("if(BJ3226="""","""",GOOGLETRANSLATE(BJ3226,""auto"",""en""))"),"Driver")</f>
        <v>Driver</v>
      </c>
      <c r="AA3226" s="23" t="str">
        <f aca="false">IF(C3226="","", CHOOSE(MONTH(C3226),"January","February","March","April","May","June","July","August","September","October","November","December")&amp;" "&amp;DAY(C3226)&amp;MID("thstndrdth",MIN(9,2*RIGHT(DAY(C3226))*(MOD(DAY(C3226)-11,100)&gt;2)+1),2)&amp;","&amp;TEXT(C3226," yyyy"))</f>
        <v>February 1st,2026</v>
      </c>
      <c r="AB3226" s="15" t="str">
        <f aca="true">IF(S3226="","",DATEDIF(S3226,TODAY(),"Y")&amp;" Tahun, "&amp;DATEDIF(S3226,TODAY(),"YM")&amp;" Bulan, "&amp;DATEDIF(S3226,TODAY(),"MD")&amp;" Hari")</f>
        <v>38 Tahun, 8 Bulan, 6 Hari</v>
      </c>
      <c r="AC3226" s="18" t="n">
        <v>46054</v>
      </c>
      <c r="AD3226" s="18" t="n">
        <v>46387</v>
      </c>
      <c r="AE3226" s="13" t="s">
        <v>44</v>
      </c>
    </row>
    <row r="3227" customFormat="false" ht="15" hidden="false" customHeight="true" outlineLevel="0" collapsed="false">
      <c r="A3227" s="12" t="n">
        <v>21825</v>
      </c>
      <c r="B3227" s="13" t="s">
        <v>13388</v>
      </c>
      <c r="C3227" s="16" t="n">
        <v>46054</v>
      </c>
      <c r="D3227" s="13" t="s">
        <v>6498</v>
      </c>
      <c r="E3227" s="15" t="s">
        <v>47</v>
      </c>
      <c r="F3227" s="15" t="str">
        <f aca="false">IFERROR(__xludf.dummyfunction("XLOOKUP(AJ3227,IMPORTRANGE(""1XaInW9DU9nz21V0tYIfzFQ0He9kVQ_JF2mCXgZ3hqFA"",""REKAP ALL 2026 - Andika!G:G""),IMPORTRANGE(""1XaInW9DU9nz21V0tYIfzFQ0He9kVQ_JF2mCXgZ3hqFA"",""REKAP ALL 2026 - Andika!F:F""),"""",0)"),"26035120430")</f>
        <v>26035120430</v>
      </c>
      <c r="G3227" s="28" t="s">
        <v>57</v>
      </c>
      <c r="H3227" s="13" t="s">
        <v>35</v>
      </c>
      <c r="I3227" s="13" t="str">
        <f aca="false">IF(C3227=J3227,"NEW KONTRAK","RE-KONTRAK")</f>
        <v>NEW KONTRAK</v>
      </c>
      <c r="J3227" s="16" t="n">
        <f aca="false" t="array" ref="J3227:J3227">IFERROR(INDEX(AC3227:AE3227,IF(COUNTA(AC3227:AE3227)=0,"",MAX((AC3227:AE3227&lt;&gt;"")*(COLUMN(AC3227:AE3227)-(COLUMN(AC3227)))))-1),"")</f>
        <v>46054</v>
      </c>
      <c r="K3227" s="16" t="n">
        <f aca="false" t="array" ref="K3227:K3227">IFERROR(INDEX(AC3227:AE3227,IF(COUNTA(AC3227:AE3227)=0,"",MAX((AC3227:AE3227&lt;&gt;"")*(COLUMN(AC3227:AE3227)-(COLUMN(AC3227)-1))))-1),"")</f>
        <v>46387</v>
      </c>
      <c r="L3227" s="17" t="str">
        <f aca="false" t="array" ref="L3227:L3227">IFERROR(INDEX(AC3227:AE3227,IF(COUNTA(AC3227:AE3227)=0,"",MAX((AC3227:AE3227&lt;&gt;"")*(COLUMN(AC3227:AE3227)-(COLUMN(AC3227)-2))))-1),"")</f>
        <v>KEMBALI</v>
      </c>
      <c r="M3227" s="13" t="n">
        <f aca="true">K3227-TODAY()</f>
        <v>63</v>
      </c>
      <c r="N3227" s="50" t="s">
        <v>728</v>
      </c>
      <c r="O3227" s="13" t="s">
        <v>12799</v>
      </c>
      <c r="P3227" s="19" t="n">
        <v>5289000</v>
      </c>
      <c r="Q3227" s="47" t="s">
        <v>13389</v>
      </c>
      <c r="R3227" s="13" t="s">
        <v>260</v>
      </c>
      <c r="S3227" s="16" t="n">
        <v>30076</v>
      </c>
      <c r="T3227" s="13" t="s">
        <v>40</v>
      </c>
      <c r="U3227" s="13" t="s">
        <v>13390</v>
      </c>
      <c r="V3227" s="13" t="s">
        <v>42</v>
      </c>
      <c r="W3227" s="13" t="s">
        <v>54</v>
      </c>
      <c r="X3227" s="21" t="s">
        <v>13391</v>
      </c>
      <c r="Y3227" s="22" t="str">
        <f aca="false">O3227</f>
        <v>Helper Ekspedisi</v>
      </c>
      <c r="Z3227" s="13" t="str">
        <f aca="false">IFERROR(__xludf.dummyfunction("if(BJ3227="""","""",GOOGLETRANSLATE(BJ3227,""auto"",""en""))"),"Expedition Helper")</f>
        <v>Expedition Helper</v>
      </c>
      <c r="AA3227" s="23" t="str">
        <f aca="false">IF(C3227="","", CHOOSE(MONTH(C3227),"January","February","March","April","May","June","July","August","September","October","November","December")&amp;" "&amp;DAY(C3227)&amp;MID("thstndrdth",MIN(9,2*RIGHT(DAY(C3227))*(MOD(DAY(C3227)-11,100)&gt;2)+1),2)&amp;","&amp;TEXT(C3227," yyyy"))</f>
        <v>February 1st,2026</v>
      </c>
      <c r="AB3227" s="15" t="str">
        <f aca="true">IF(S3227="","",DATEDIF(S3227,TODAY(),"Y")&amp;" Tahun, "&amp;DATEDIF(S3227,TODAY(),"YM")&amp;" Bulan, "&amp;DATEDIF(S3227,TODAY(),"MD")&amp;" Hari")</f>
        <v>44 Tahun, 5 Bulan, 24 Hari</v>
      </c>
      <c r="AC3227" s="18" t="n">
        <v>46054</v>
      </c>
      <c r="AD3227" s="18" t="n">
        <v>46387</v>
      </c>
      <c r="AE3227" s="13" t="s">
        <v>397</v>
      </c>
    </row>
    <row r="3228" customFormat="false" ht="15" hidden="false" customHeight="true" outlineLevel="0" collapsed="false">
      <c r="A3228" s="12" t="n">
        <v>21826</v>
      </c>
      <c r="B3228" s="13" t="s">
        <v>13392</v>
      </c>
      <c r="C3228" s="16" t="n">
        <v>46054</v>
      </c>
      <c r="D3228" s="13" t="s">
        <v>6498</v>
      </c>
      <c r="E3228" s="15" t="s">
        <v>47</v>
      </c>
      <c r="F3228" s="15" t="str">
        <f aca="false">IFERROR(__xludf.dummyfunction("XLOOKUP(AJ3228,IMPORTRANGE(""1XaInW9DU9nz21V0tYIfzFQ0He9kVQ_JF2mCXgZ3hqFA"",""REKAP ALL 2026 - Andika!G:G""),IMPORTRANGE(""1XaInW9DU9nz21V0tYIfzFQ0He9kVQ_JF2mCXgZ3hqFA"",""REKAP ALL 2026 - Andika!F:F""),"""",0)"),"26035120448")</f>
        <v>26035120448</v>
      </c>
      <c r="G3228" s="28" t="s">
        <v>57</v>
      </c>
      <c r="H3228" s="13" t="s">
        <v>35</v>
      </c>
      <c r="I3228" s="13" t="str">
        <f aca="false">IF(C3228=J3228,"NEW KONTRAK","RE-KONTRAK")</f>
        <v>NEW KONTRAK</v>
      </c>
      <c r="J3228" s="16" t="n">
        <f aca="false" t="array" ref="J3228:J3228">IFERROR(INDEX(AC3228:AE3228,IF(COUNTA(AC3228:AE3228)=0,"",MAX((AC3228:AE3228&lt;&gt;"")*(COLUMN(AC3228:AE3228)-(COLUMN(AC3228)))))-1),"")</f>
        <v>46054</v>
      </c>
      <c r="K3228" s="16" t="n">
        <f aca="false" t="array" ref="K3228:K3228">IFERROR(INDEX(AC3228:AE3228,IF(COUNTA(AC3228:AE3228)=0,"",MAX((AC3228:AE3228&lt;&gt;"")*(COLUMN(AC3228:AE3228)-(COLUMN(AC3228)-1))))-1),"")</f>
        <v>46387</v>
      </c>
      <c r="L3228" s="17" t="str">
        <f aca="false" t="array" ref="L3228:L3228">IFERROR(INDEX(AC3228:AE3228,IF(COUNTA(AC3228:AE3228)=0,"",MAX((AC3228:AE3228&lt;&gt;"")*(COLUMN(AC3228:AE3228)-(COLUMN(AC3228)-2))))-1),"")</f>
        <v>ARCHIVED</v>
      </c>
      <c r="M3228" s="13" t="n">
        <f aca="true">K3228-TODAY()</f>
        <v>63</v>
      </c>
      <c r="N3228" s="50" t="s">
        <v>728</v>
      </c>
      <c r="O3228" s="13" t="s">
        <v>5894</v>
      </c>
      <c r="P3228" s="19" t="n">
        <v>5289000</v>
      </c>
      <c r="Q3228" s="47" t="s">
        <v>13393</v>
      </c>
      <c r="R3228" s="13" t="s">
        <v>65</v>
      </c>
      <c r="S3228" s="16" t="n">
        <v>34720</v>
      </c>
      <c r="T3228" s="13" t="s">
        <v>40</v>
      </c>
      <c r="U3228" s="13" t="s">
        <v>13394</v>
      </c>
      <c r="V3228" s="13" t="s">
        <v>42</v>
      </c>
      <c r="W3228" s="13" t="s">
        <v>43</v>
      </c>
      <c r="X3228" s="21" t="s">
        <v>13395</v>
      </c>
      <c r="Y3228" s="22" t="str">
        <f aca="false">O3228</f>
        <v>Checker</v>
      </c>
      <c r="Z3228" s="13" t="str">
        <f aca="false">IFERROR(__xludf.dummyfunction("if(BJ3228="""","""",GOOGLETRANSLATE(BJ3228,""auto"",""en""))"),"Checker")</f>
        <v>Checker</v>
      </c>
      <c r="AA3228" s="23" t="str">
        <f aca="false">IF(C3228="","", CHOOSE(MONTH(C3228),"January","February","March","April","May","June","July","August","September","October","November","December")&amp;" "&amp;DAY(C3228)&amp;MID("thstndrdth",MIN(9,2*RIGHT(DAY(C3228))*(MOD(DAY(C3228)-11,100)&gt;2)+1),2)&amp;","&amp;TEXT(C3228," yyyy"))</f>
        <v>February 1st,2026</v>
      </c>
      <c r="AB3228" s="15" t="str">
        <f aca="true">IF(S3228="","",DATEDIF(S3228,TODAY(),"Y")&amp;" Tahun, "&amp;DATEDIF(S3228,TODAY(),"YM")&amp;" Bulan, "&amp;DATEDIF(S3228,TODAY(),"MD")&amp;" Hari")</f>
        <v>31 Tahun, 9 Bulan, 8 Hari</v>
      </c>
      <c r="AC3228" s="18" t="n">
        <v>46054</v>
      </c>
      <c r="AD3228" s="18" t="n">
        <v>46387</v>
      </c>
      <c r="AE3228" s="13" t="s">
        <v>44</v>
      </c>
    </row>
    <row r="3229" customFormat="false" ht="15" hidden="false" customHeight="true" outlineLevel="0" collapsed="false">
      <c r="A3229" s="12" t="n">
        <v>21827</v>
      </c>
      <c r="B3229" s="13" t="s">
        <v>13396</v>
      </c>
      <c r="C3229" s="16" t="n">
        <v>46054</v>
      </c>
      <c r="D3229" s="13" t="s">
        <v>6498</v>
      </c>
      <c r="E3229" s="15" t="s">
        <v>47</v>
      </c>
      <c r="F3229" s="15" t="str">
        <f aca="false">IFERROR(__xludf.dummyfunction("XLOOKUP(AJ3229,IMPORTRANGE(""1XaInW9DU9nz21V0tYIfzFQ0He9kVQ_JF2mCXgZ3hqFA"",""REKAP ALL 2026 - Andika!G:G""),IMPORTRANGE(""1XaInW9DU9nz21V0tYIfzFQ0He9kVQ_JF2mCXgZ3hqFA"",""REKAP ALL 2026 - Andika!F:F""),"""",0)"),"26035120455")</f>
        <v>26035120455</v>
      </c>
      <c r="G3229" s="28" t="s">
        <v>57</v>
      </c>
      <c r="H3229" s="13" t="s">
        <v>35</v>
      </c>
      <c r="I3229" s="13" t="str">
        <f aca="false">IF(C3229=J3229,"NEW KONTRAK","RE-KONTRAK")</f>
        <v>NEW KONTRAK</v>
      </c>
      <c r="J3229" s="16" t="n">
        <f aca="false" t="array" ref="J3229:J3229">IFERROR(INDEX(AC3229:AE3229,IF(COUNTA(AC3229:AE3229)=0,"",MAX((AC3229:AE3229&lt;&gt;"")*(COLUMN(AC3229:AE3229)-(COLUMN(AC3229)))))-1),"")</f>
        <v>46054</v>
      </c>
      <c r="K3229" s="16" t="n">
        <f aca="false" t="array" ref="K3229:K3229">IFERROR(INDEX(AC3229:AE3229,IF(COUNTA(AC3229:AE3229)=0,"",MAX((AC3229:AE3229&lt;&gt;"")*(COLUMN(AC3229:AE3229)-(COLUMN(AC3229)-1))))-1),"")</f>
        <v>46387</v>
      </c>
      <c r="L3229" s="17" t="str">
        <f aca="false" t="array" ref="L3229:L3229">IFERROR(INDEX(AC3229:AE3229,IF(COUNTA(AC3229:AE3229)=0,"",MAX((AC3229:AE3229&lt;&gt;"")*(COLUMN(AC3229:AE3229)-(COLUMN(AC3229)-2))))-1),"")</f>
        <v>ARCHIVED</v>
      </c>
      <c r="M3229" s="13" t="n">
        <f aca="true">K3229-TODAY()</f>
        <v>63</v>
      </c>
      <c r="N3229" s="50" t="s">
        <v>728</v>
      </c>
      <c r="O3229" s="13" t="s">
        <v>5894</v>
      </c>
      <c r="P3229" s="19" t="n">
        <v>5289000</v>
      </c>
      <c r="Q3229" s="47" t="s">
        <v>13397</v>
      </c>
      <c r="R3229" s="13" t="s">
        <v>52</v>
      </c>
      <c r="S3229" s="16" t="n">
        <v>36634</v>
      </c>
      <c r="T3229" s="13" t="s">
        <v>40</v>
      </c>
      <c r="U3229" s="13" t="s">
        <v>13398</v>
      </c>
      <c r="V3229" s="13" t="s">
        <v>42</v>
      </c>
      <c r="W3229" s="13" t="s">
        <v>54</v>
      </c>
      <c r="X3229" s="21" t="s">
        <v>13399</v>
      </c>
      <c r="Y3229" s="22" t="str">
        <f aca="false">O3229</f>
        <v>Checker</v>
      </c>
      <c r="Z3229" s="13" t="str">
        <f aca="false">IFERROR(__xludf.dummyfunction("if(BJ3229="""","""",GOOGLETRANSLATE(BJ3229,""auto"",""en""))"),"Checker")</f>
        <v>Checker</v>
      </c>
      <c r="AA3229" s="23" t="str">
        <f aca="false">IF(C3229="","", CHOOSE(MONTH(C3229),"January","February","March","April","May","June","July","August","September","October","November","December")&amp;" "&amp;DAY(C3229)&amp;MID("thstndrdth",MIN(9,2*RIGHT(DAY(C3229))*(MOD(DAY(C3229)-11,100)&gt;2)+1),2)&amp;","&amp;TEXT(C3229," yyyy"))</f>
        <v>February 1st,2026</v>
      </c>
      <c r="AB3229" s="15" t="str">
        <f aca="true">IF(S3229="","",DATEDIF(S3229,TODAY(),"Y")&amp;" Tahun, "&amp;DATEDIF(S3229,TODAY(),"YM")&amp;" Bulan, "&amp;DATEDIF(S3229,TODAY(),"MD")&amp;" Hari")</f>
        <v>26 Tahun, 6 Bulan, 11 Hari</v>
      </c>
      <c r="AC3229" s="18" t="n">
        <v>46054</v>
      </c>
      <c r="AD3229" s="18" t="n">
        <v>46387</v>
      </c>
      <c r="AE3229" s="13" t="s">
        <v>44</v>
      </c>
    </row>
    <row r="3230" customFormat="false" ht="15" hidden="false" customHeight="true" outlineLevel="0" collapsed="false">
      <c r="A3230" s="12" t="n">
        <v>21828</v>
      </c>
      <c r="B3230" s="13" t="s">
        <v>13400</v>
      </c>
      <c r="C3230" s="16" t="n">
        <v>46056</v>
      </c>
      <c r="D3230" s="13" t="s">
        <v>9744</v>
      </c>
      <c r="E3230" s="15" t="s">
        <v>47</v>
      </c>
      <c r="F3230" s="15" t="str">
        <f aca="false">IFERROR(__xludf.dummyfunction("XLOOKUP(AJ3230,IMPORTRANGE(""1XaInW9DU9nz21V0tYIfzFQ0He9kVQ_JF2mCXgZ3hqFA"",""REKAP ALL 2026 - Andika!G:G""),IMPORTRANGE(""1XaInW9DU9nz21V0tYIfzFQ0He9kVQ_JF2mCXgZ3hqFA"",""REKAP ALL 2026 - Andika!F:F""),"""",0)"),"26035479695")</f>
        <v>26035479695</v>
      </c>
      <c r="G3230" s="28" t="s">
        <v>57</v>
      </c>
      <c r="H3230" s="13" t="s">
        <v>35</v>
      </c>
      <c r="I3230" s="13" t="str">
        <f aca="false">IF(C3230=J3230,"NEW KONTRAK","RE-KONTRAK")</f>
        <v>NEW KONTRAK</v>
      </c>
      <c r="J3230" s="16" t="n">
        <f aca="false" t="array" ref="J3230:J3230">IFERROR(INDEX(AC3230:AE3230,IF(COUNTA(AC3230:AE3230)=0,"",MAX((AC3230:AE3230&lt;&gt;"")*(COLUMN(AC3230:AE3230)-(COLUMN(AC3230)))))-1),"")</f>
        <v>46056</v>
      </c>
      <c r="K3230" s="16" t="n">
        <f aca="false" t="array" ref="K3230:K3230">IFERROR(INDEX(AC3230:AE3230,IF(COUNTA(AC3230:AE3230)=0,"",MAX((AC3230:AE3230&lt;&gt;"")*(COLUMN(AC3230:AE3230)-(COLUMN(AC3230)-1))))-1),"")</f>
        <v>46174</v>
      </c>
      <c r="L3230" s="17" t="str">
        <f aca="false" t="array" ref="L3230:L3230">IFERROR(INDEX(AC3230:AE3230,IF(COUNTA(AC3230:AE3230)=0,"",MAX((AC3230:AE3230&lt;&gt;"")*(COLUMN(AC3230:AE3230)-(COLUMN(AC3230)-2))))-1),"")</f>
        <v>KEMBALI</v>
      </c>
      <c r="M3230" s="13" t="n">
        <f aca="true">K3230-TODAY()</f>
        <v>-150</v>
      </c>
      <c r="N3230" s="18" t="s">
        <v>728</v>
      </c>
      <c r="O3230" s="13" t="s">
        <v>9747</v>
      </c>
      <c r="P3230" s="19" t="n">
        <v>5288796</v>
      </c>
      <c r="Q3230" s="47" t="s">
        <v>13401</v>
      </c>
      <c r="R3230" s="13" t="s">
        <v>260</v>
      </c>
      <c r="S3230" s="16" t="n">
        <v>38464</v>
      </c>
      <c r="T3230" s="13" t="s">
        <v>108</v>
      </c>
      <c r="U3230" s="13" t="s">
        <v>13402</v>
      </c>
      <c r="V3230" s="13" t="s">
        <v>99</v>
      </c>
      <c r="W3230" s="13" t="s">
        <v>43</v>
      </c>
      <c r="X3230" s="21" t="n">
        <v>85161347250</v>
      </c>
      <c r="Y3230" s="22" t="str">
        <f aca="false">O3230</f>
        <v>Operator Telepon</v>
      </c>
      <c r="Z3230" s="13" t="str">
        <f aca="false">IFERROR(__xludf.dummyfunction("if(BJ3230="""","""",GOOGLETRANSLATE(BJ3230,""auto"",""en""))"),"Telephone Operator")</f>
        <v>Telephone Operator</v>
      </c>
      <c r="AA3230" s="23" t="str">
        <f aca="false">IF(C3230="","", CHOOSE(MONTH(C3230),"January","February","March","April","May","June","July","August","September","October","November","December")&amp;" "&amp;DAY(C3230)&amp;MID("thstndrdth",MIN(9,2*RIGHT(DAY(C3230))*(MOD(DAY(C3230)-11,100)&gt;2)+1),2)&amp;","&amp;TEXT(C3230," yyyy"))</f>
        <v>February 3rd,2026</v>
      </c>
      <c r="AB3230" s="15" t="str">
        <f aca="true">IF(S3230="","",DATEDIF(S3230,TODAY(),"Y")&amp;" Tahun, "&amp;DATEDIF(S3230,TODAY(),"YM")&amp;" Bulan, "&amp;DATEDIF(S3230,TODAY(),"MD")&amp;" Hari")</f>
        <v>21 Tahun, 6 Bulan, 7 Hari</v>
      </c>
      <c r="AC3230" s="18" t="n">
        <v>46056</v>
      </c>
      <c r="AD3230" s="18" t="n">
        <v>46174</v>
      </c>
      <c r="AE3230" s="13" t="s">
        <v>397</v>
      </c>
    </row>
    <row r="3231" customFormat="false" ht="15" hidden="false" customHeight="true" outlineLevel="0" collapsed="false">
      <c r="A3231" s="12" t="n">
        <v>21829</v>
      </c>
      <c r="B3231" s="13" t="s">
        <v>13403</v>
      </c>
      <c r="C3231" s="16" t="n">
        <v>46055</v>
      </c>
      <c r="D3231" s="13" t="s">
        <v>4252</v>
      </c>
      <c r="E3231" s="15" t="s">
        <v>12803</v>
      </c>
      <c r="F3231" s="24" t="s">
        <v>13404</v>
      </c>
      <c r="G3231" s="13" t="s">
        <v>57</v>
      </c>
      <c r="H3231" s="13" t="s">
        <v>35</v>
      </c>
      <c r="I3231" s="13" t="str">
        <f aca="false">IF(C3231=J3231,"NEW KONTRAK","RE-KONTRAK")</f>
        <v>NEW KONTRAK</v>
      </c>
      <c r="J3231" s="16" t="n">
        <f aca="false" t="array" ref="J3231:J3231">IFERROR(INDEX(AC3231:AE3231,IF(COUNTA(AC3231:AE3231)=0,"",MAX((AC3231:AE3231&lt;&gt;"")*(COLUMN(AC3231:AE3231)-(COLUMN(AC3231)))))-1),"")</f>
        <v>46055</v>
      </c>
      <c r="K3231" s="16" t="n">
        <f aca="false" t="array" ref="K3231:K3231">IFERROR(INDEX(AC3231:AE3231,IF(COUNTA(AC3231:AE3231)=0,"",MAX((AC3231:AE3231&lt;&gt;"")*(COLUMN(AC3231:AE3231)-(COLUMN(AC3231)-1))))-1),"")</f>
        <v>46143</v>
      </c>
      <c r="L3231" s="17" t="str">
        <f aca="false" t="array" ref="L3231:L3231">IFERROR(INDEX(AC3231:AE3231,IF(COUNTA(AC3231:AE3231)=0,"",MAX((AC3231:AE3231&lt;&gt;"")*(COLUMN(AC3231:AE3231)-(COLUMN(AC3231)-2))))-1),"")</f>
        <v>ARCHIVED</v>
      </c>
      <c r="M3231" s="13" t="n">
        <f aca="true">K3231-TODAY()</f>
        <v>-181</v>
      </c>
      <c r="N3231" s="18" t="s">
        <v>36</v>
      </c>
      <c r="O3231" s="13" t="s">
        <v>13405</v>
      </c>
      <c r="P3231" s="27" t="n">
        <v>200000</v>
      </c>
      <c r="Q3231" s="20" t="s">
        <v>13406</v>
      </c>
      <c r="R3231" s="13" t="s">
        <v>958</v>
      </c>
      <c r="S3231" s="16" t="n">
        <v>35838</v>
      </c>
      <c r="T3231" s="13" t="s">
        <v>40</v>
      </c>
      <c r="U3231" s="13" t="s">
        <v>13407</v>
      </c>
      <c r="V3231" s="13" t="s">
        <v>42</v>
      </c>
      <c r="W3231" s="13" t="s">
        <v>43</v>
      </c>
      <c r="X3231" s="30" t="n">
        <v>82326567661</v>
      </c>
      <c r="Y3231" s="22" t="str">
        <f aca="false">O3231</f>
        <v>Helper Extruder</v>
      </c>
      <c r="Z3231" s="13" t="str">
        <f aca="false">IFERROR(__xludf.dummyfunction("if(BJ3231="""","""",GOOGLETRANSLATE(BJ3231,""auto"",""en""))"),"Helper Extruder")</f>
        <v>Helper Extruder</v>
      </c>
      <c r="AA3231" s="23" t="str">
        <f aca="false">IF(C3231="","", CHOOSE(MONTH(C3231),"January","February","March","April","May","June","July","August","September","October","November","December")&amp;" "&amp;DAY(C3231)&amp;MID("thstndrdth",MIN(9,2*RIGHT(DAY(C3231))*(MOD(DAY(C3231)-11,100)&gt;2)+1),2)&amp;","&amp;TEXT(C3231," yyyy"))</f>
        <v>February 2nd,2026</v>
      </c>
      <c r="AB3231" s="15" t="str">
        <f aca="true">IF(S3231="","",DATEDIF(S3231,TODAY(),"Y")&amp;" Tahun, "&amp;DATEDIF(S3231,TODAY(),"YM")&amp;" Bulan, "&amp;DATEDIF(S3231,TODAY(),"MD")&amp;" Hari")</f>
        <v>28 Tahun, 8 Bulan, 17 Hari</v>
      </c>
      <c r="AC3231" s="18" t="n">
        <v>46055</v>
      </c>
      <c r="AD3231" s="18" t="n">
        <v>46143</v>
      </c>
      <c r="AE3231" s="13" t="s">
        <v>44</v>
      </c>
    </row>
    <row r="3232" customFormat="false" ht="15" hidden="false" customHeight="true" outlineLevel="0" collapsed="false">
      <c r="A3232" s="12" t="n">
        <v>21830</v>
      </c>
      <c r="B3232" s="13" t="s">
        <v>13408</v>
      </c>
      <c r="C3232" s="16" t="n">
        <v>46055</v>
      </c>
      <c r="D3232" s="13" t="s">
        <v>9387</v>
      </c>
      <c r="E3232" s="15" t="s">
        <v>47</v>
      </c>
      <c r="F3232" s="15" t="str">
        <f aca="false">IFERROR(__xludf.dummyfunction("XLOOKUP(AJ3232,IMPORTRANGE(""1XaInW9DU9nz21V0tYIfzFQ0He9kVQ_JF2mCXgZ3hqFA"",""REKAP ALL 2026 - Andika!G:G""),IMPORTRANGE(""1XaInW9DU9nz21V0tYIfzFQ0He9kVQ_JF2mCXgZ3hqFA"",""REKAP ALL 2026 - Andika!F:F""),"""",0)"),"26030960863")</f>
        <v>26030960863</v>
      </c>
      <c r="G3232" s="13" t="s">
        <v>57</v>
      </c>
      <c r="H3232" s="13" t="s">
        <v>35</v>
      </c>
      <c r="I3232" s="13" t="str">
        <f aca="false">IF(C3232=J3232,"NEW KONTRAK","RE-KONTRAK")</f>
        <v>NEW KONTRAK</v>
      </c>
      <c r="J3232" s="16" t="n">
        <f aca="false" t="array" ref="J3232:J3232">IFERROR(INDEX(AC3232:AE3232,IF(COUNTA(AC3232:AE3232)=0,"",MAX((AC3232:AE3232&lt;&gt;"")*(COLUMN(AC3232:AE3232)-(COLUMN(AC3232)))))-1),"")</f>
        <v>46055</v>
      </c>
      <c r="K3232" s="16" t="n">
        <f aca="false" t="array" ref="K3232:K3232">IFERROR(INDEX(AC3232:AE3232,IF(COUNTA(AC3232:AE3232)=0,"",MAX((AC3232:AE3232&lt;&gt;"")*(COLUMN(AC3232:AE3232)-(COLUMN(AC3232)-1))))-1),"")</f>
        <v>46235</v>
      </c>
      <c r="L3232" s="17" t="str">
        <f aca="false" t="array" ref="L3232:L3232">IFERROR(INDEX(AC3232:AE3232,IF(COUNTA(AC3232:AE3232)=0,"",MAX((AC3232:AE3232&lt;&gt;"")*(COLUMN(AC3232:AE3232)-(COLUMN(AC3232)-2))))-1),"")</f>
        <v>ARCHIVED</v>
      </c>
      <c r="M3232" s="13" t="n">
        <f aca="true">K3232-TODAY()</f>
        <v>-89</v>
      </c>
      <c r="N3232" s="18" t="s">
        <v>615</v>
      </c>
      <c r="O3232" s="13" t="s">
        <v>9388</v>
      </c>
      <c r="P3232" s="27" t="n">
        <v>5176101</v>
      </c>
      <c r="Q3232" s="47" t="s">
        <v>13409</v>
      </c>
      <c r="R3232" s="13" t="s">
        <v>232</v>
      </c>
      <c r="S3232" s="16" t="n">
        <v>35332</v>
      </c>
      <c r="T3232" s="28" t="s">
        <v>40</v>
      </c>
      <c r="U3232" s="13" t="s">
        <v>13410</v>
      </c>
      <c r="V3232" s="28" t="s">
        <v>42</v>
      </c>
      <c r="W3232" s="28" t="s">
        <v>54</v>
      </c>
      <c r="X3232" s="30" t="n">
        <v>82251286823</v>
      </c>
      <c r="Y3232" s="22" t="str">
        <f aca="false">O3232</f>
        <v>Tenaga Kerja Bongkar Muat (TKBM)</v>
      </c>
      <c r="Z3232" s="13" t="str">
        <f aca="false">IFERROR(__xludf.dummyfunction("if(BJ3232="""","""",GOOGLETRANSLATE(BJ3232,""auto"",""en""))"),"Loading and Unloading Workers (TKBM)")</f>
        <v>Loading and Unloading Workers (TKBM)</v>
      </c>
      <c r="AA3232" s="23" t="str">
        <f aca="false">IF(C3232="","", CHOOSE(MONTH(C3232),"January","February","March","April","May","June","July","August","September","October","November","December")&amp;" "&amp;DAY(C3232)&amp;MID("thstndrdth",MIN(9,2*RIGHT(DAY(C3232))*(MOD(DAY(C3232)-11,100)&gt;2)+1),2)&amp;","&amp;TEXT(C3232," yyyy"))</f>
        <v>February 2nd,2026</v>
      </c>
      <c r="AB3232" s="15" t="str">
        <f aca="true">IF(S3232="","",DATEDIF(S3232,TODAY(),"Y")&amp;" Tahun, "&amp;DATEDIF(S3232,TODAY(),"YM")&amp;" Bulan, "&amp;DATEDIF(S3232,TODAY(),"MD")&amp;" Hari")</f>
        <v>30 Tahun, 1 Bulan, 5 Hari</v>
      </c>
      <c r="AC3232" s="18" t="n">
        <v>46055</v>
      </c>
      <c r="AD3232" s="18" t="n">
        <f aca="false">EDATE(AC3232,6)-1</f>
        <v>46235</v>
      </c>
      <c r="AE3232" s="13" t="s">
        <v>44</v>
      </c>
    </row>
    <row r="3233" customFormat="false" ht="15" hidden="false" customHeight="true" outlineLevel="0" collapsed="false">
      <c r="A3233" s="12" t="n">
        <v>21831</v>
      </c>
      <c r="B3233" s="13" t="s">
        <v>13411</v>
      </c>
      <c r="C3233" s="16" t="n">
        <v>46055</v>
      </c>
      <c r="D3233" s="13" t="s">
        <v>9387</v>
      </c>
      <c r="E3233" s="15" t="s">
        <v>47</v>
      </c>
      <c r="F3233" s="15" t="str">
        <f aca="false">IFERROR(__xludf.dummyfunction("XLOOKUP(AJ3233,IMPORTRANGE(""1XaInW9DU9nz21V0tYIfzFQ0He9kVQ_JF2mCXgZ3hqFA"",""REKAP ALL 2026 - Andika!G:G""),IMPORTRANGE(""1XaInW9DU9nz21V0tYIfzFQ0He9kVQ_JF2mCXgZ3hqFA"",""REKAP ALL 2026 - Andika!F:F""),"""",0)"),"26030960871")</f>
        <v>26030960871</v>
      </c>
      <c r="G3233" s="13" t="s">
        <v>57</v>
      </c>
      <c r="H3233" s="13" t="s">
        <v>35</v>
      </c>
      <c r="I3233" s="13" t="str">
        <f aca="false">IF(C3233=J3233,"NEW KONTRAK","RE-KONTRAK")</f>
        <v>NEW KONTRAK</v>
      </c>
      <c r="J3233" s="16" t="n">
        <f aca="false" t="array" ref="J3233:J3233">IFERROR(INDEX(AC3233:AE3233,IF(COUNTA(AC3233:AE3233)=0,"",MAX((AC3233:AE3233&lt;&gt;"")*(COLUMN(AC3233:AE3233)-(COLUMN(AC3233)))))-1),"")</f>
        <v>46055</v>
      </c>
      <c r="K3233" s="16" t="n">
        <f aca="false" t="array" ref="K3233:K3233">IFERROR(INDEX(AC3233:AE3233,IF(COUNTA(AC3233:AE3233)=0,"",MAX((AC3233:AE3233&lt;&gt;"")*(COLUMN(AC3233:AE3233)-(COLUMN(AC3233)-1))))-1),"")</f>
        <v>46235</v>
      </c>
      <c r="L3233" s="17" t="str">
        <f aca="false" t="array" ref="L3233:L3233">IFERROR(INDEX(AC3233:AE3233,IF(COUNTA(AC3233:AE3233)=0,"",MAX((AC3233:AE3233&lt;&gt;"")*(COLUMN(AC3233:AE3233)-(COLUMN(AC3233)-2))))-1),"")</f>
        <v>ARCHIVED</v>
      </c>
      <c r="M3233" s="13" t="n">
        <f aca="true">K3233-TODAY()</f>
        <v>-89</v>
      </c>
      <c r="N3233" s="18" t="s">
        <v>615</v>
      </c>
      <c r="O3233" s="13" t="s">
        <v>9388</v>
      </c>
      <c r="P3233" s="27" t="n">
        <v>5176101</v>
      </c>
      <c r="Q3233" s="47" t="s">
        <v>13412</v>
      </c>
      <c r="R3233" s="13" t="s">
        <v>232</v>
      </c>
      <c r="S3233" s="16" t="n">
        <v>35438</v>
      </c>
      <c r="T3233" s="28" t="s">
        <v>40</v>
      </c>
      <c r="U3233" s="13" t="s">
        <v>13413</v>
      </c>
      <c r="V3233" s="28" t="s">
        <v>42</v>
      </c>
      <c r="W3233" s="28" t="s">
        <v>54</v>
      </c>
      <c r="X3233" s="30" t="n">
        <v>81104786863</v>
      </c>
      <c r="Y3233" s="22" t="str">
        <f aca="false">O3233</f>
        <v>Tenaga Kerja Bongkar Muat (TKBM)</v>
      </c>
      <c r="Z3233" s="13" t="str">
        <f aca="false">IFERROR(__xludf.dummyfunction("if(BJ3233="""","""",GOOGLETRANSLATE(BJ3233,""auto"",""en""))"),"Loading and Unloading Workers (TKBM)")</f>
        <v>Loading and Unloading Workers (TKBM)</v>
      </c>
      <c r="AA3233" s="23" t="str">
        <f aca="false">IF(C3233="","", CHOOSE(MONTH(C3233),"January","February","March","April","May","June","July","August","September","October","November","December")&amp;" "&amp;DAY(C3233)&amp;MID("thstndrdth",MIN(9,2*RIGHT(DAY(C3233))*(MOD(DAY(C3233)-11,100)&gt;2)+1),2)&amp;","&amp;TEXT(C3233," yyyy"))</f>
        <v>February 2nd,2026</v>
      </c>
      <c r="AB3233" s="15" t="str">
        <f aca="true">IF(S3233="","",DATEDIF(S3233,TODAY(),"Y")&amp;" Tahun, "&amp;DATEDIF(S3233,TODAY(),"YM")&amp;" Bulan, "&amp;DATEDIF(S3233,TODAY(),"MD")&amp;" Hari")</f>
        <v>29 Tahun, 9 Bulan, 21 Hari</v>
      </c>
      <c r="AC3233" s="18" t="n">
        <v>46055</v>
      </c>
      <c r="AD3233" s="18" t="n">
        <f aca="false">EDATE(AC3233,6)-1</f>
        <v>46235</v>
      </c>
      <c r="AE3233" s="13" t="s">
        <v>44</v>
      </c>
    </row>
    <row r="3234" customFormat="false" ht="15" hidden="false" customHeight="true" outlineLevel="0" collapsed="false">
      <c r="A3234" s="12" t="n">
        <v>21832</v>
      </c>
      <c r="B3234" s="13" t="s">
        <v>13414</v>
      </c>
      <c r="C3234" s="16" t="n">
        <v>46055</v>
      </c>
      <c r="D3234" s="13" t="s">
        <v>9387</v>
      </c>
      <c r="E3234" s="15" t="s">
        <v>47</v>
      </c>
      <c r="F3234" s="15" t="str">
        <f aca="false">IFERROR(__xludf.dummyfunction("XLOOKUP(AJ3234,IMPORTRANGE(""1XaInW9DU9nz21V0tYIfzFQ0He9kVQ_JF2mCXgZ3hqFA"",""REKAP ALL 2026 - Andika!G:G""),IMPORTRANGE(""1XaInW9DU9nz21V0tYIfzFQ0He9kVQ_JF2mCXgZ3hqFA"",""REKAP ALL 2026 - Andika!F:F""),"""",0)"),"26030960889")</f>
        <v>26030960889</v>
      </c>
      <c r="G3234" s="13" t="s">
        <v>57</v>
      </c>
      <c r="H3234" s="13" t="s">
        <v>35</v>
      </c>
      <c r="I3234" s="13" t="str">
        <f aca="false">IF(C3234=J3234,"NEW KONTRAK","RE-KONTRAK")</f>
        <v>NEW KONTRAK</v>
      </c>
      <c r="J3234" s="16" t="n">
        <f aca="false" t="array" ref="J3234:J3234">IFERROR(INDEX(AC3234:AE3234,IF(COUNTA(AC3234:AE3234)=0,"",MAX((AC3234:AE3234&lt;&gt;"")*(COLUMN(AC3234:AE3234)-(COLUMN(AC3234)))))-1),"")</f>
        <v>46055</v>
      </c>
      <c r="K3234" s="16" t="n">
        <f aca="false" t="array" ref="K3234:K3234">IFERROR(INDEX(AC3234:AE3234,IF(COUNTA(AC3234:AE3234)=0,"",MAX((AC3234:AE3234&lt;&gt;"")*(COLUMN(AC3234:AE3234)-(COLUMN(AC3234)-1))))-1),"")</f>
        <v>46235</v>
      </c>
      <c r="L3234" s="17" t="str">
        <f aca="false" t="array" ref="L3234:L3234">IFERROR(INDEX(AC3234:AE3234,IF(COUNTA(AC3234:AE3234)=0,"",MAX((AC3234:AE3234&lt;&gt;"")*(COLUMN(AC3234:AE3234)-(COLUMN(AC3234)-2))))-1),"")</f>
        <v>ARCHIVED</v>
      </c>
      <c r="M3234" s="13" t="n">
        <f aca="true">K3234-TODAY()</f>
        <v>-89</v>
      </c>
      <c r="N3234" s="18" t="s">
        <v>615</v>
      </c>
      <c r="O3234" s="13" t="s">
        <v>9388</v>
      </c>
      <c r="P3234" s="27" t="n">
        <v>5176101</v>
      </c>
      <c r="Q3234" s="47" t="s">
        <v>13415</v>
      </c>
      <c r="R3234" s="13" t="s">
        <v>73</v>
      </c>
      <c r="S3234" s="16" t="n">
        <v>33031</v>
      </c>
      <c r="T3234" s="28" t="s">
        <v>40</v>
      </c>
      <c r="U3234" s="13" t="s">
        <v>13416</v>
      </c>
      <c r="V3234" s="28" t="s">
        <v>42</v>
      </c>
      <c r="W3234" s="28" t="s">
        <v>54</v>
      </c>
      <c r="X3234" s="30" t="n">
        <v>85275243106</v>
      </c>
      <c r="Y3234" s="22" t="str">
        <f aca="false">O3234</f>
        <v>Tenaga Kerja Bongkar Muat (TKBM)</v>
      </c>
      <c r="Z3234" s="13" t="str">
        <f aca="false">IFERROR(__xludf.dummyfunction("if(BJ3234="""","""",GOOGLETRANSLATE(BJ3234,""auto"",""en""))"),"Loading and Unloading Workers (TKBM)")</f>
        <v>Loading and Unloading Workers (TKBM)</v>
      </c>
      <c r="AA3234" s="23" t="str">
        <f aca="false">IF(C3234="","", CHOOSE(MONTH(C3234),"January","February","March","April","May","June","July","August","September","October","November","December")&amp;" "&amp;DAY(C3234)&amp;MID("thstndrdth",MIN(9,2*RIGHT(DAY(C3234))*(MOD(DAY(C3234)-11,100)&gt;2)+1),2)&amp;","&amp;TEXT(C3234," yyyy"))</f>
        <v>February 2nd,2026</v>
      </c>
      <c r="AB3234" s="15" t="str">
        <f aca="true">IF(S3234="","",DATEDIF(S3234,TODAY(),"Y")&amp;" Tahun, "&amp;DATEDIF(S3234,TODAY(),"YM")&amp;" Bulan, "&amp;DATEDIF(S3234,TODAY(),"MD")&amp;" Hari")</f>
        <v>36 Tahun, 4 Bulan, 22 Hari</v>
      </c>
      <c r="AC3234" s="18" t="n">
        <v>46055</v>
      </c>
      <c r="AD3234" s="18" t="n">
        <f aca="false">EDATE(AC3234,6)-1</f>
        <v>46235</v>
      </c>
      <c r="AE3234" s="13" t="s">
        <v>44</v>
      </c>
    </row>
    <row r="3235" customFormat="false" ht="15" hidden="false" customHeight="true" outlineLevel="0" collapsed="false">
      <c r="A3235" s="12" t="n">
        <v>21833</v>
      </c>
      <c r="B3235" s="13" t="s">
        <v>8366</v>
      </c>
      <c r="C3235" s="16" t="n">
        <v>46055</v>
      </c>
      <c r="D3235" s="13" t="s">
        <v>9387</v>
      </c>
      <c r="E3235" s="15" t="s">
        <v>47</v>
      </c>
      <c r="F3235" s="15" t="str">
        <f aca="false">IFERROR(__xludf.dummyfunction("XLOOKUP(AJ3235,IMPORTRANGE(""1XaInW9DU9nz21V0tYIfzFQ0He9kVQ_JF2mCXgZ3hqFA"",""REKAP ALL 2026 - Andika!G:G""),IMPORTRANGE(""1XaInW9DU9nz21V0tYIfzFQ0He9kVQ_JF2mCXgZ3hqFA"",""REKAP ALL 2026 - Andika!F:F""),"""",0)"),"26030960897")</f>
        <v>26030960897</v>
      </c>
      <c r="G3235" s="13" t="s">
        <v>57</v>
      </c>
      <c r="H3235" s="13" t="s">
        <v>35</v>
      </c>
      <c r="I3235" s="13" t="str">
        <f aca="false">IF(C3235=J3235,"NEW KONTRAK","RE-KONTRAK")</f>
        <v>NEW KONTRAK</v>
      </c>
      <c r="J3235" s="16" t="n">
        <f aca="false" t="array" ref="J3235:J3235">IFERROR(INDEX(AC3235:AE3235,IF(COUNTA(AC3235:AE3235)=0,"",MAX((AC3235:AE3235&lt;&gt;"")*(COLUMN(AC3235:AE3235)-(COLUMN(AC3235)))))-1),"")</f>
        <v>46055</v>
      </c>
      <c r="K3235" s="16" t="n">
        <f aca="false" t="array" ref="K3235:K3235">IFERROR(INDEX(AC3235:AE3235,IF(COUNTA(AC3235:AE3235)=0,"",MAX((AC3235:AE3235&lt;&gt;"")*(COLUMN(AC3235:AE3235)-(COLUMN(AC3235)-1))))-1),"")</f>
        <v>46235</v>
      </c>
      <c r="L3235" s="17" t="str">
        <f aca="false" t="array" ref="L3235:L3235">IFERROR(INDEX(AC3235:AE3235,IF(COUNTA(AC3235:AE3235)=0,"",MAX((AC3235:AE3235&lt;&gt;"")*(COLUMN(AC3235:AE3235)-(COLUMN(AC3235)-2))))-1),"")</f>
        <v>ARCHIVED</v>
      </c>
      <c r="M3235" s="13" t="n">
        <f aca="true">K3235-TODAY()</f>
        <v>-89</v>
      </c>
      <c r="N3235" s="18" t="s">
        <v>615</v>
      </c>
      <c r="O3235" s="13" t="s">
        <v>9388</v>
      </c>
      <c r="P3235" s="27" t="n">
        <v>5176101</v>
      </c>
      <c r="Q3235" s="47" t="s">
        <v>13417</v>
      </c>
      <c r="R3235" s="13" t="s">
        <v>232</v>
      </c>
      <c r="S3235" s="16" t="n">
        <v>33646</v>
      </c>
      <c r="T3235" s="28" t="s">
        <v>40</v>
      </c>
      <c r="U3235" s="13" t="s">
        <v>13418</v>
      </c>
      <c r="V3235" s="28" t="s">
        <v>42</v>
      </c>
      <c r="W3235" s="28" t="s">
        <v>54</v>
      </c>
      <c r="X3235" s="30" t="n">
        <v>81133119079</v>
      </c>
      <c r="Y3235" s="22" t="str">
        <f aca="false">O3235</f>
        <v>Tenaga Kerja Bongkar Muat (TKBM)</v>
      </c>
      <c r="Z3235" s="13" t="str">
        <f aca="false">IFERROR(__xludf.dummyfunction("if(BJ3235="""","""",GOOGLETRANSLATE(BJ3235,""auto"",""en""))"),"Loading and Unloading Workers (TKBM)")</f>
        <v>Loading and Unloading Workers (TKBM)</v>
      </c>
      <c r="AA3235" s="23" t="str">
        <f aca="false">IF(C3235="","", CHOOSE(MONTH(C3235),"January","February","March","April","May","June","July","August","September","October","November","December")&amp;" "&amp;DAY(C3235)&amp;MID("thstndrdth",MIN(9,2*RIGHT(DAY(C3235))*(MOD(DAY(C3235)-11,100)&gt;2)+1),2)&amp;","&amp;TEXT(C3235," yyyy"))</f>
        <v>February 2nd,2026</v>
      </c>
      <c r="AB3235" s="15" t="str">
        <f aca="true">IF(S3235="","",DATEDIF(S3235,TODAY(),"Y")&amp;" Tahun, "&amp;DATEDIF(S3235,TODAY(),"YM")&amp;" Bulan, "&amp;DATEDIF(S3235,TODAY(),"MD")&amp;" Hari")</f>
        <v>34 Tahun, 8 Bulan, 17 Hari</v>
      </c>
      <c r="AC3235" s="18" t="n">
        <v>46055</v>
      </c>
      <c r="AD3235" s="18" t="n">
        <f aca="false">EDATE(AC3235,6)-1</f>
        <v>46235</v>
      </c>
      <c r="AE3235" s="13" t="s">
        <v>44</v>
      </c>
    </row>
    <row r="3236" customFormat="false" ht="15" hidden="false" customHeight="true" outlineLevel="0" collapsed="false">
      <c r="A3236" s="12" t="n">
        <v>21834</v>
      </c>
      <c r="B3236" s="13" t="s">
        <v>13419</v>
      </c>
      <c r="C3236" s="16" t="n">
        <v>46055</v>
      </c>
      <c r="D3236" s="13" t="s">
        <v>9387</v>
      </c>
      <c r="E3236" s="15" t="s">
        <v>47</v>
      </c>
      <c r="F3236" s="15" t="str">
        <f aca="false">IFERROR(__xludf.dummyfunction("XLOOKUP(AJ3236,IMPORTRANGE(""1XaInW9DU9nz21V0tYIfzFQ0He9kVQ_JF2mCXgZ3hqFA"",""REKAP ALL 2026 - Andika!G:G""),IMPORTRANGE(""1XaInW9DU9nz21V0tYIfzFQ0He9kVQ_JF2mCXgZ3hqFA"",""REKAP ALL 2026 - Andika!F:F""),"""",0)"),"26030960905")</f>
        <v>26030960905</v>
      </c>
      <c r="G3236" s="13" t="s">
        <v>57</v>
      </c>
      <c r="H3236" s="13" t="s">
        <v>35</v>
      </c>
      <c r="I3236" s="13" t="str">
        <f aca="false">IF(C3236=J3236,"NEW KONTRAK","RE-KONTRAK")</f>
        <v>NEW KONTRAK</v>
      </c>
      <c r="J3236" s="16" t="n">
        <f aca="false" t="array" ref="J3236:J3236">IFERROR(INDEX(AC3236:AE3236,IF(COUNTA(AC3236:AE3236)=0,"",MAX((AC3236:AE3236&lt;&gt;"")*(COLUMN(AC3236:AE3236)-(COLUMN(AC3236)))))-1),"")</f>
        <v>46055</v>
      </c>
      <c r="K3236" s="16" t="n">
        <f aca="false" t="array" ref="K3236:K3236">IFERROR(INDEX(AC3236:AE3236,IF(COUNTA(AC3236:AE3236)=0,"",MAX((AC3236:AE3236&lt;&gt;"")*(COLUMN(AC3236:AE3236)-(COLUMN(AC3236)-1))))-1),"")</f>
        <v>46235</v>
      </c>
      <c r="L3236" s="17" t="str">
        <f aca="false" t="array" ref="L3236:L3236">IFERROR(INDEX(AC3236:AE3236,IF(COUNTA(AC3236:AE3236)=0,"",MAX((AC3236:AE3236&lt;&gt;"")*(COLUMN(AC3236:AE3236)-(COLUMN(AC3236)-2))))-1),"")</f>
        <v>ARCHIVED</v>
      </c>
      <c r="M3236" s="13" t="n">
        <f aca="true">K3236-TODAY()</f>
        <v>-89</v>
      </c>
      <c r="N3236" s="18" t="s">
        <v>615</v>
      </c>
      <c r="O3236" s="13" t="s">
        <v>9388</v>
      </c>
      <c r="P3236" s="27" t="n">
        <v>5176101</v>
      </c>
      <c r="Q3236" s="47" t="s">
        <v>13420</v>
      </c>
      <c r="R3236" s="13" t="s">
        <v>232</v>
      </c>
      <c r="S3236" s="16" t="n">
        <v>38140</v>
      </c>
      <c r="T3236" s="28" t="s">
        <v>40</v>
      </c>
      <c r="U3236" s="13" t="s">
        <v>13421</v>
      </c>
      <c r="V3236" s="28" t="s">
        <v>42</v>
      </c>
      <c r="W3236" s="28" t="s">
        <v>43</v>
      </c>
      <c r="X3236" s="30" t="n">
        <v>81230673830</v>
      </c>
      <c r="Y3236" s="22" t="str">
        <f aca="false">O3236</f>
        <v>Tenaga Kerja Bongkar Muat (TKBM)</v>
      </c>
      <c r="Z3236" s="13" t="str">
        <f aca="false">IFERROR(__xludf.dummyfunction("if(BJ3236="""","""",GOOGLETRANSLATE(BJ3236,""auto"",""en""))"),"Loading and Unloading Workers (TKBM)")</f>
        <v>Loading and Unloading Workers (TKBM)</v>
      </c>
      <c r="AA3236" s="23" t="str">
        <f aca="false">IF(C3236="","", CHOOSE(MONTH(C3236),"January","February","March","April","May","June","July","August","September","October","November","December")&amp;" "&amp;DAY(C3236)&amp;MID("thstndrdth",MIN(9,2*RIGHT(DAY(C3236))*(MOD(DAY(C3236)-11,100)&gt;2)+1),2)&amp;","&amp;TEXT(C3236," yyyy"))</f>
        <v>February 2nd,2026</v>
      </c>
      <c r="AB3236" s="15" t="str">
        <f aca="true">IF(S3236="","",DATEDIF(S3236,TODAY(),"Y")&amp;" Tahun, "&amp;DATEDIF(S3236,TODAY(),"YM")&amp;" Bulan, "&amp;DATEDIF(S3236,TODAY(),"MD")&amp;" Hari")</f>
        <v>22 Tahun, 4 Bulan, 27 Hari</v>
      </c>
      <c r="AC3236" s="18" t="n">
        <v>46055</v>
      </c>
      <c r="AD3236" s="18" t="n">
        <f aca="false">EDATE(AC3236,6)-1</f>
        <v>46235</v>
      </c>
      <c r="AE3236" s="13" t="s">
        <v>44</v>
      </c>
    </row>
    <row r="3237" customFormat="false" ht="15" hidden="false" customHeight="true" outlineLevel="0" collapsed="false">
      <c r="A3237" s="12" t="n">
        <v>21835</v>
      </c>
      <c r="B3237" s="13" t="s">
        <v>13422</v>
      </c>
      <c r="C3237" s="16" t="n">
        <v>46055</v>
      </c>
      <c r="D3237" s="13" t="s">
        <v>9387</v>
      </c>
      <c r="E3237" s="15" t="s">
        <v>47</v>
      </c>
      <c r="F3237" s="15" t="str">
        <f aca="false">IFERROR(__xludf.dummyfunction("XLOOKUP(AJ3237,IMPORTRANGE(""1XaInW9DU9nz21V0tYIfzFQ0He9kVQ_JF2mCXgZ3hqFA"",""REKAP ALL 2026 - Andika!G:G""),IMPORTRANGE(""1XaInW9DU9nz21V0tYIfzFQ0He9kVQ_JF2mCXgZ3hqFA"",""REKAP ALL 2026 - Andika!F:F""),"""",0)"),"26030960913")</f>
        <v>26030960913</v>
      </c>
      <c r="G3237" s="13" t="s">
        <v>57</v>
      </c>
      <c r="H3237" s="13" t="s">
        <v>35</v>
      </c>
      <c r="I3237" s="13" t="str">
        <f aca="false">IF(C3237=J3237,"NEW KONTRAK","RE-KONTRAK")</f>
        <v>NEW KONTRAK</v>
      </c>
      <c r="J3237" s="16" t="n">
        <f aca="false" t="array" ref="J3237:J3237">IFERROR(INDEX(AC3237:AE3237,IF(COUNTA(AC3237:AE3237)=0,"",MAX((AC3237:AE3237&lt;&gt;"")*(COLUMN(AC3237:AE3237)-(COLUMN(AC3237)))))-1),"")</f>
        <v>46055</v>
      </c>
      <c r="K3237" s="16" t="n">
        <f aca="false" t="array" ref="K3237:K3237">IFERROR(INDEX(AC3237:AE3237,IF(COUNTA(AC3237:AE3237)=0,"",MAX((AC3237:AE3237&lt;&gt;"")*(COLUMN(AC3237:AE3237)-(COLUMN(AC3237)-1))))-1),"")</f>
        <v>46235</v>
      </c>
      <c r="L3237" s="17" t="str">
        <f aca="false" t="array" ref="L3237:L3237">IFERROR(INDEX(AC3237:AE3237,IF(COUNTA(AC3237:AE3237)=0,"",MAX((AC3237:AE3237&lt;&gt;"")*(COLUMN(AC3237:AE3237)-(COLUMN(AC3237)-2))))-1),"")</f>
        <v>ARCHIVED</v>
      </c>
      <c r="M3237" s="13" t="n">
        <f aca="true">K3237-TODAY()</f>
        <v>-89</v>
      </c>
      <c r="N3237" s="18" t="s">
        <v>615</v>
      </c>
      <c r="O3237" s="13" t="s">
        <v>9388</v>
      </c>
      <c r="P3237" s="27" t="n">
        <v>5176101</v>
      </c>
      <c r="Q3237" s="47" t="s">
        <v>13423</v>
      </c>
      <c r="R3237" s="13" t="s">
        <v>232</v>
      </c>
      <c r="S3237" s="16" t="n">
        <v>37868</v>
      </c>
      <c r="T3237" s="28" t="s">
        <v>40</v>
      </c>
      <c r="U3237" s="13" t="s">
        <v>13424</v>
      </c>
      <c r="V3237" s="28" t="s">
        <v>42</v>
      </c>
      <c r="W3237" s="28" t="s">
        <v>43</v>
      </c>
      <c r="X3237" s="30" t="n">
        <v>82284395995</v>
      </c>
      <c r="Y3237" s="22" t="str">
        <f aca="false">O3237</f>
        <v>Tenaga Kerja Bongkar Muat (TKBM)</v>
      </c>
      <c r="Z3237" s="13" t="str">
        <f aca="false">IFERROR(__xludf.dummyfunction("if(BJ3237="""","""",GOOGLETRANSLATE(BJ3237,""auto"",""en""))"),"Loading and Unloading Workers (TKBM)")</f>
        <v>Loading and Unloading Workers (TKBM)</v>
      </c>
      <c r="AA3237" s="23" t="str">
        <f aca="false">IF(C3237="","", CHOOSE(MONTH(C3237),"January","February","March","April","May","June","July","August","September","October","November","December")&amp;" "&amp;DAY(C3237)&amp;MID("thstndrdth",MIN(9,2*RIGHT(DAY(C3237))*(MOD(DAY(C3237)-11,100)&gt;2)+1),2)&amp;","&amp;TEXT(C3237," yyyy"))</f>
        <v>February 2nd,2026</v>
      </c>
      <c r="AB3237" s="15" t="str">
        <f aca="true">IF(S3237="","",DATEDIF(S3237,TODAY(),"Y")&amp;" Tahun, "&amp;DATEDIF(S3237,TODAY(),"YM")&amp;" Bulan, "&amp;DATEDIF(S3237,TODAY(),"MD")&amp;" Hari")</f>
        <v>23 Tahun, 1 Bulan, 25 Hari</v>
      </c>
      <c r="AC3237" s="18" t="n">
        <v>46055</v>
      </c>
      <c r="AD3237" s="18" t="n">
        <f aca="false">EDATE(AC3237,6)-1</f>
        <v>46235</v>
      </c>
      <c r="AE3237" s="13" t="s">
        <v>44</v>
      </c>
    </row>
    <row r="3238" customFormat="false" ht="15" hidden="false" customHeight="true" outlineLevel="0" collapsed="false">
      <c r="A3238" s="12" t="n">
        <v>21836</v>
      </c>
      <c r="B3238" s="13" t="s">
        <v>13425</v>
      </c>
      <c r="C3238" s="16" t="n">
        <v>46055</v>
      </c>
      <c r="D3238" s="13" t="s">
        <v>9387</v>
      </c>
      <c r="E3238" s="15" t="s">
        <v>33</v>
      </c>
      <c r="F3238" s="24" t="s">
        <v>13426</v>
      </c>
      <c r="G3238" s="13" t="s">
        <v>57</v>
      </c>
      <c r="H3238" s="13" t="s">
        <v>35</v>
      </c>
      <c r="I3238" s="13" t="str">
        <f aca="false">IF(C3238=J3238,"NEW KONTRAK","RE-KONTRAK")</f>
        <v>NEW KONTRAK</v>
      </c>
      <c r="J3238" s="16" t="n">
        <f aca="false" t="array" ref="J3238:J3238">IFERROR(INDEX(AC3238:AE3238,IF(COUNTA(AC3238:AE3238)=0,"",MAX((AC3238:AE3238&lt;&gt;"")*(COLUMN(AC3238:AE3238)-(COLUMN(AC3238)))))-1),"")</f>
        <v>46055</v>
      </c>
      <c r="K3238" s="16" t="n">
        <f aca="false" t="array" ref="K3238:K3238">IFERROR(INDEX(AC3238:AE3238,IF(COUNTA(AC3238:AE3238)=0,"",MAX((AC3238:AE3238&lt;&gt;"")*(COLUMN(AC3238:AE3238)-(COLUMN(AC3238)-1))))-1),"")</f>
        <v>46235</v>
      </c>
      <c r="L3238" s="17" t="str">
        <f aca="false" t="array" ref="L3238:L3238">IFERROR(INDEX(AC3238:AE3238,IF(COUNTA(AC3238:AE3238)=0,"",MAX((AC3238:AE3238&lt;&gt;"")*(COLUMN(AC3238:AE3238)-(COLUMN(AC3238)-2))))-1),"")</f>
        <v>ARCHIVED</v>
      </c>
      <c r="M3238" s="13" t="n">
        <f aca="true">K3238-TODAY()</f>
        <v>-89</v>
      </c>
      <c r="N3238" s="18" t="s">
        <v>615</v>
      </c>
      <c r="O3238" s="13" t="s">
        <v>9388</v>
      </c>
      <c r="P3238" s="27" t="n">
        <v>5176101</v>
      </c>
      <c r="Q3238" s="47" t="s">
        <v>13427</v>
      </c>
      <c r="R3238" s="13" t="s">
        <v>39</v>
      </c>
      <c r="S3238" s="16" t="n">
        <v>38737</v>
      </c>
      <c r="T3238" s="28" t="s">
        <v>40</v>
      </c>
      <c r="U3238" s="13" t="s">
        <v>13428</v>
      </c>
      <c r="V3238" s="28" t="s">
        <v>42</v>
      </c>
      <c r="W3238" s="28" t="s">
        <v>43</v>
      </c>
      <c r="X3238" s="30" t="n">
        <v>85242836440</v>
      </c>
      <c r="Y3238" s="22" t="str">
        <f aca="false">O3238</f>
        <v>Tenaga Kerja Bongkar Muat (TKBM)</v>
      </c>
      <c r="Z3238" s="13" t="str">
        <f aca="false">IFERROR(__xludf.dummyfunction("if(BJ3238="""","""",GOOGLETRANSLATE(BJ3238,""auto"",""en""))"),"Loading and Unloading Workers (TKBM)")</f>
        <v>Loading and Unloading Workers (TKBM)</v>
      </c>
      <c r="AA3238" s="23" t="str">
        <f aca="false">IF(C3238="","", CHOOSE(MONTH(C3238),"January","February","March","April","May","June","July","August","September","October","November","December")&amp;" "&amp;DAY(C3238)&amp;MID("thstndrdth",MIN(9,2*RIGHT(DAY(C3238))*(MOD(DAY(C3238)-11,100)&gt;2)+1),2)&amp;","&amp;TEXT(C3238," yyyy"))</f>
        <v>February 2nd,2026</v>
      </c>
      <c r="AB3238" s="15" t="str">
        <f aca="true">IF(S3238="","",DATEDIF(S3238,TODAY(),"Y")&amp;" Tahun, "&amp;DATEDIF(S3238,TODAY(),"YM")&amp;" Bulan, "&amp;DATEDIF(S3238,TODAY(),"MD")&amp;" Hari")</f>
        <v>20 Tahun, 9 Bulan, 9 Hari</v>
      </c>
      <c r="AC3238" s="18" t="n">
        <v>46055</v>
      </c>
      <c r="AD3238" s="18" t="n">
        <f aca="false">EDATE(AC3238,6)-1</f>
        <v>46235</v>
      </c>
      <c r="AE3238" s="13" t="s">
        <v>44</v>
      </c>
    </row>
    <row r="3239" customFormat="false" ht="15" hidden="false" customHeight="true" outlineLevel="0" collapsed="false">
      <c r="A3239" s="12" t="n">
        <v>21837</v>
      </c>
      <c r="B3239" s="13" t="s">
        <v>13429</v>
      </c>
      <c r="C3239" s="16" t="n">
        <v>46055</v>
      </c>
      <c r="D3239" s="13" t="s">
        <v>9387</v>
      </c>
      <c r="E3239" s="15" t="s">
        <v>47</v>
      </c>
      <c r="F3239" s="15" t="str">
        <f aca="false">IFERROR(__xludf.dummyfunction("XLOOKUP(AJ3239,IMPORTRANGE(""1XaInW9DU9nz21V0tYIfzFQ0He9kVQ_JF2mCXgZ3hqFA"",""REKAP ALL 2026 - Andika!G:G""),IMPORTRANGE(""1XaInW9DU9nz21V0tYIfzFQ0He9kVQ_JF2mCXgZ3hqFA"",""REKAP ALL 2026 - Andika!F:F""),"""",0)"),"26030960947")</f>
        <v>26030960947</v>
      </c>
      <c r="G3239" s="13" t="s">
        <v>57</v>
      </c>
      <c r="H3239" s="13" t="s">
        <v>35</v>
      </c>
      <c r="I3239" s="13" t="str">
        <f aca="false">IF(C3239=J3239,"NEW KONTRAK","RE-KONTRAK")</f>
        <v>NEW KONTRAK</v>
      </c>
      <c r="J3239" s="16" t="n">
        <f aca="false" t="array" ref="J3239:J3239">IFERROR(INDEX(AC3239:AE3239,IF(COUNTA(AC3239:AE3239)=0,"",MAX((AC3239:AE3239&lt;&gt;"")*(COLUMN(AC3239:AE3239)-(COLUMN(AC3239)))))-1),"")</f>
        <v>46055</v>
      </c>
      <c r="K3239" s="16" t="n">
        <f aca="false" t="array" ref="K3239:K3239">IFERROR(INDEX(AC3239:AE3239,IF(COUNTA(AC3239:AE3239)=0,"",MAX((AC3239:AE3239&lt;&gt;"")*(COLUMN(AC3239:AE3239)-(COLUMN(AC3239)-1))))-1),"")</f>
        <v>46235</v>
      </c>
      <c r="L3239" s="17" t="str">
        <f aca="false" t="array" ref="L3239:L3239">IFERROR(INDEX(AC3239:AE3239,IF(COUNTA(AC3239:AE3239)=0,"",MAX((AC3239:AE3239&lt;&gt;"")*(COLUMN(AC3239:AE3239)-(COLUMN(AC3239)-2))))-1),"")</f>
        <v>ARCHIVED</v>
      </c>
      <c r="M3239" s="13" t="n">
        <f aca="true">K3239-TODAY()</f>
        <v>-89</v>
      </c>
      <c r="N3239" s="18" t="s">
        <v>615</v>
      </c>
      <c r="O3239" s="13" t="s">
        <v>9388</v>
      </c>
      <c r="P3239" s="27" t="n">
        <v>5176101</v>
      </c>
      <c r="Q3239" s="47" t="s">
        <v>13430</v>
      </c>
      <c r="R3239" s="13" t="s">
        <v>232</v>
      </c>
      <c r="S3239" s="16" t="n">
        <v>34819</v>
      </c>
      <c r="T3239" s="28" t="s">
        <v>40</v>
      </c>
      <c r="U3239" s="13" t="s">
        <v>13431</v>
      </c>
      <c r="V3239" s="28" t="s">
        <v>42</v>
      </c>
      <c r="W3239" s="28" t="s">
        <v>54</v>
      </c>
      <c r="X3239" s="30" t="n">
        <v>82368705685</v>
      </c>
      <c r="Y3239" s="22" t="str">
        <f aca="false">O3239</f>
        <v>Tenaga Kerja Bongkar Muat (TKBM)</v>
      </c>
      <c r="Z3239" s="13" t="str">
        <f aca="false">IFERROR(__xludf.dummyfunction("if(BJ3239="""","""",GOOGLETRANSLATE(BJ3239,""auto"",""en""))"),"Loading and Unloading Workers (TKBM)")</f>
        <v>Loading and Unloading Workers (TKBM)</v>
      </c>
      <c r="AA3239" s="23" t="str">
        <f aca="false">IF(C3239="","", CHOOSE(MONTH(C3239),"January","February","March","April","May","June","July","August","September","October","November","December")&amp;" "&amp;DAY(C3239)&amp;MID("thstndrdth",MIN(9,2*RIGHT(DAY(C3239))*(MOD(DAY(C3239)-11,100)&gt;2)+1),2)&amp;","&amp;TEXT(C3239," yyyy"))</f>
        <v>February 2nd,2026</v>
      </c>
      <c r="AB3239" s="15" t="str">
        <f aca="true">IF(S3239="","",DATEDIF(S3239,TODAY(),"Y")&amp;" Tahun, "&amp;DATEDIF(S3239,TODAY(),"YM")&amp;" Bulan, "&amp;DATEDIF(S3239,TODAY(),"MD")&amp;" Hari")</f>
        <v>31 Tahun, 5 Bulan, 29 Hari</v>
      </c>
      <c r="AC3239" s="18" t="n">
        <v>46055</v>
      </c>
      <c r="AD3239" s="18" t="n">
        <f aca="false">EDATE(AC3239,6)-1</f>
        <v>46235</v>
      </c>
      <c r="AE3239" s="13" t="s">
        <v>44</v>
      </c>
    </row>
    <row r="3240" customFormat="false" ht="15" hidden="false" customHeight="true" outlineLevel="0" collapsed="false">
      <c r="A3240" s="12" t="n">
        <v>21838</v>
      </c>
      <c r="B3240" s="13" t="s">
        <v>13432</v>
      </c>
      <c r="C3240" s="16" t="n">
        <v>46055</v>
      </c>
      <c r="D3240" s="13" t="s">
        <v>9387</v>
      </c>
      <c r="E3240" s="15" t="s">
        <v>47</v>
      </c>
      <c r="F3240" s="15" t="str">
        <f aca="false">IFERROR(__xludf.dummyfunction("XLOOKUP(AJ3240,IMPORTRANGE(""1XaInW9DU9nz21V0tYIfzFQ0He9kVQ_JF2mCXgZ3hqFA"",""REKAP ALL 2026 - Andika!G:G""),IMPORTRANGE(""1XaInW9DU9nz21V0tYIfzFQ0He9kVQ_JF2mCXgZ3hqFA"",""REKAP ALL 2026 - Andika!F:F""),"""",0)"),"26030960954")</f>
        <v>26030960954</v>
      </c>
      <c r="G3240" s="13" t="s">
        <v>57</v>
      </c>
      <c r="H3240" s="13" t="s">
        <v>35</v>
      </c>
      <c r="I3240" s="13" t="str">
        <f aca="false">IF(C3240=J3240,"NEW KONTRAK","RE-KONTRAK")</f>
        <v>NEW KONTRAK</v>
      </c>
      <c r="J3240" s="16" t="n">
        <f aca="false" t="array" ref="J3240:J3240">IFERROR(INDEX(AC3240:AE3240,IF(COUNTA(AC3240:AE3240)=0,"",MAX((AC3240:AE3240&lt;&gt;"")*(COLUMN(AC3240:AE3240)-(COLUMN(AC3240)))))-1),"")</f>
        <v>46055</v>
      </c>
      <c r="K3240" s="16" t="n">
        <f aca="false" t="array" ref="K3240:K3240">IFERROR(INDEX(AC3240:AE3240,IF(COUNTA(AC3240:AE3240)=0,"",MAX((AC3240:AE3240&lt;&gt;"")*(COLUMN(AC3240:AE3240)-(COLUMN(AC3240)-1))))-1),"")</f>
        <v>46235</v>
      </c>
      <c r="L3240" s="17" t="str">
        <f aca="false" t="array" ref="L3240:L3240">IFERROR(INDEX(AC3240:AE3240,IF(COUNTA(AC3240:AE3240)=0,"",MAX((AC3240:AE3240&lt;&gt;"")*(COLUMN(AC3240:AE3240)-(COLUMN(AC3240)-2))))-1),"")</f>
        <v>ARCHIVED</v>
      </c>
      <c r="M3240" s="13" t="n">
        <f aca="true">K3240-TODAY()</f>
        <v>-89</v>
      </c>
      <c r="N3240" s="18" t="s">
        <v>615</v>
      </c>
      <c r="O3240" s="13" t="s">
        <v>9388</v>
      </c>
      <c r="P3240" s="27" t="n">
        <v>5176101</v>
      </c>
      <c r="Q3240" s="47" t="s">
        <v>13433</v>
      </c>
      <c r="R3240" s="13" t="s">
        <v>232</v>
      </c>
      <c r="S3240" s="16" t="n">
        <v>31503</v>
      </c>
      <c r="T3240" s="28" t="s">
        <v>40</v>
      </c>
      <c r="U3240" s="13" t="s">
        <v>13431</v>
      </c>
      <c r="V3240" s="28" t="s">
        <v>42</v>
      </c>
      <c r="W3240" s="28" t="s">
        <v>54</v>
      </c>
      <c r="X3240" s="30" t="n">
        <v>89662462873</v>
      </c>
      <c r="Y3240" s="22" t="str">
        <f aca="false">O3240</f>
        <v>Tenaga Kerja Bongkar Muat (TKBM)</v>
      </c>
      <c r="Z3240" s="13" t="str">
        <f aca="false">IFERROR(__xludf.dummyfunction("if(BJ3240="""","""",GOOGLETRANSLATE(BJ3240,""auto"",""en""))"),"Loading and Unloading Workers (TKBM)")</f>
        <v>Loading and Unloading Workers (TKBM)</v>
      </c>
      <c r="AA3240" s="23" t="str">
        <f aca="false">IF(C3240="","", CHOOSE(MONTH(C3240),"January","February","March","April","May","June","July","August","September","October","November","December")&amp;" "&amp;DAY(C3240)&amp;MID("thstndrdth",MIN(9,2*RIGHT(DAY(C3240))*(MOD(DAY(C3240)-11,100)&gt;2)+1),2)&amp;","&amp;TEXT(C3240," yyyy"))</f>
        <v>February 2nd,2026</v>
      </c>
      <c r="AB3240" s="15" t="str">
        <f aca="true">IF(S3240="","",DATEDIF(S3240,TODAY(),"Y")&amp;" Tahun, "&amp;DATEDIF(S3240,TODAY(),"YM")&amp;" Bulan, "&amp;DATEDIF(S3240,TODAY(),"MD")&amp;" Hari")</f>
        <v>40 Tahun, 6 Bulan, 28 Hari</v>
      </c>
      <c r="AC3240" s="18" t="n">
        <v>46055</v>
      </c>
      <c r="AD3240" s="18" t="n">
        <f aca="false">EDATE(AC3240,6)-1</f>
        <v>46235</v>
      </c>
      <c r="AE3240" s="13" t="s">
        <v>44</v>
      </c>
    </row>
    <row r="3241" customFormat="false" ht="15" hidden="false" customHeight="true" outlineLevel="0" collapsed="false">
      <c r="A3241" s="12" t="n">
        <v>21839</v>
      </c>
      <c r="B3241" s="13" t="s">
        <v>13434</v>
      </c>
      <c r="C3241" s="16" t="n">
        <v>46055</v>
      </c>
      <c r="D3241" s="13" t="s">
        <v>9387</v>
      </c>
      <c r="E3241" s="15" t="s">
        <v>47</v>
      </c>
      <c r="F3241" s="15" t="str">
        <f aca="false">IFERROR(__xludf.dummyfunction("XLOOKUP(AJ3241,IMPORTRANGE(""1XaInW9DU9nz21V0tYIfzFQ0He9kVQ_JF2mCXgZ3hqFA"",""REKAP ALL 2026 - Andika!G:G""),IMPORTRANGE(""1XaInW9DU9nz21V0tYIfzFQ0He9kVQ_JF2mCXgZ3hqFA"",""REKAP ALL 2026 - Andika!F:F""),"""",0)"),"26030960962")</f>
        <v>26030960962</v>
      </c>
      <c r="G3241" s="13" t="s">
        <v>57</v>
      </c>
      <c r="H3241" s="13" t="s">
        <v>35</v>
      </c>
      <c r="I3241" s="13" t="str">
        <f aca="false">IF(C3241=J3241,"NEW KONTRAK","RE-KONTRAK")</f>
        <v>NEW KONTRAK</v>
      </c>
      <c r="J3241" s="16" t="n">
        <f aca="false" t="array" ref="J3241:J3241">IFERROR(INDEX(AC3241:AE3241,IF(COUNTA(AC3241:AE3241)=0,"",MAX((AC3241:AE3241&lt;&gt;"")*(COLUMN(AC3241:AE3241)-(COLUMN(AC3241)))))-1),"")</f>
        <v>46055</v>
      </c>
      <c r="K3241" s="16" t="n">
        <f aca="false" t="array" ref="K3241:K3241">IFERROR(INDEX(AC3241:AE3241,IF(COUNTA(AC3241:AE3241)=0,"",MAX((AC3241:AE3241&lt;&gt;"")*(COLUMN(AC3241:AE3241)-(COLUMN(AC3241)-1))))-1),"")</f>
        <v>46235</v>
      </c>
      <c r="L3241" s="17" t="str">
        <f aca="false" t="array" ref="L3241:L3241">IFERROR(INDEX(AC3241:AE3241,IF(COUNTA(AC3241:AE3241)=0,"",MAX((AC3241:AE3241&lt;&gt;"")*(COLUMN(AC3241:AE3241)-(COLUMN(AC3241)-2))))-1),"")</f>
        <v>ARCHIVED</v>
      </c>
      <c r="M3241" s="13" t="n">
        <f aca="true">K3241-TODAY()</f>
        <v>-89</v>
      </c>
      <c r="N3241" s="18" t="s">
        <v>615</v>
      </c>
      <c r="O3241" s="13" t="s">
        <v>9388</v>
      </c>
      <c r="P3241" s="27" t="n">
        <v>5176101</v>
      </c>
      <c r="Q3241" s="47" t="s">
        <v>13435</v>
      </c>
      <c r="R3241" s="13" t="s">
        <v>232</v>
      </c>
      <c r="S3241" s="16" t="n">
        <v>33078</v>
      </c>
      <c r="T3241" s="28" t="s">
        <v>40</v>
      </c>
      <c r="U3241" s="13" t="s">
        <v>13436</v>
      </c>
      <c r="V3241" s="28" t="s">
        <v>42</v>
      </c>
      <c r="W3241" s="28" t="s">
        <v>54</v>
      </c>
      <c r="X3241" s="30" t="n">
        <v>85242708668</v>
      </c>
      <c r="Y3241" s="22" t="str">
        <f aca="false">O3241</f>
        <v>Tenaga Kerja Bongkar Muat (TKBM)</v>
      </c>
      <c r="Z3241" s="13" t="str">
        <f aca="false">IFERROR(__xludf.dummyfunction("if(BJ3241="""","""",GOOGLETRANSLATE(BJ3241,""auto"",""en""))"),"Loading and Unloading Workers (TKBM)")</f>
        <v>Loading and Unloading Workers (TKBM)</v>
      </c>
      <c r="AA3241" s="23" t="str">
        <f aca="false">IF(C3241="","", CHOOSE(MONTH(C3241),"January","February","March","April","May","June","July","August","September","October","November","December")&amp;" "&amp;DAY(C3241)&amp;MID("thstndrdth",MIN(9,2*RIGHT(DAY(C3241))*(MOD(DAY(C3241)-11,100)&gt;2)+1),2)&amp;","&amp;TEXT(C3241," yyyy"))</f>
        <v>February 2nd,2026</v>
      </c>
      <c r="AB3241" s="15" t="str">
        <f aca="true">IF(S3241="","",DATEDIF(S3241,TODAY(),"Y")&amp;" Tahun, "&amp;DATEDIF(S3241,TODAY(),"YM")&amp;" Bulan, "&amp;DATEDIF(S3241,TODAY(),"MD")&amp;" Hari")</f>
        <v>36 Tahun, 3 Bulan, 5 Hari</v>
      </c>
      <c r="AC3241" s="18" t="n">
        <v>46055</v>
      </c>
      <c r="AD3241" s="18" t="n">
        <f aca="false">EDATE(AC3241,6)-1</f>
        <v>46235</v>
      </c>
      <c r="AE3241" s="13" t="s">
        <v>44</v>
      </c>
    </row>
    <row r="3242" customFormat="false" ht="15" hidden="false" customHeight="true" outlineLevel="0" collapsed="false">
      <c r="A3242" s="12" t="n">
        <v>21840</v>
      </c>
      <c r="B3242" s="13" t="s">
        <v>13437</v>
      </c>
      <c r="C3242" s="16" t="n">
        <v>46029</v>
      </c>
      <c r="D3242" s="13" t="s">
        <v>11620</v>
      </c>
      <c r="E3242" s="15" t="s">
        <v>47</v>
      </c>
      <c r="F3242" s="15" t="str">
        <f aca="false">IFERROR(__xludf.dummyfunction("XLOOKUP(AJ3242,IMPORTRANGE(""1XaInW9DU9nz21V0tYIfzFQ0He9kVQ_JF2mCXgZ3hqFA"",""REKAP ALL 2026 - Andika!G:G""),IMPORTRANGE(""1XaInW9DU9nz21V0tYIfzFQ0He9kVQ_JF2mCXgZ3hqFA"",""REKAP ALL 2026 - Andika!F:F""),"""",0)"),"26020755364")</f>
        <v>26020755364</v>
      </c>
      <c r="G3242" s="13" t="s">
        <v>1127</v>
      </c>
      <c r="H3242" s="13" t="s">
        <v>35</v>
      </c>
      <c r="I3242" s="13" t="str">
        <f aca="false">IF(C3242=J3242,"NEW KONTRAK","RE-KONTRAK")</f>
        <v>NEW KONTRAK</v>
      </c>
      <c r="J3242" s="16" t="n">
        <f aca="false" t="array" ref="J3242:J3242">IFERROR(INDEX(AC3242:AE3242,IF(COUNTA(AC3242:AE3242)=0,"",MAX((AC3242:AE3242&lt;&gt;"")*(COLUMN(AC3242:AE3242)-(COLUMN(AC3242)))))-1),"")</f>
        <v>46029</v>
      </c>
      <c r="K3242" s="16" t="n">
        <f aca="false" t="array" ref="K3242:K3242">IFERROR(INDEX(AC3242:AE3242,IF(COUNTA(AC3242:AE3242)=0,"",MAX((AC3242:AE3242&lt;&gt;"")*(COLUMN(AC3242:AE3242)-(COLUMN(AC3242)-1))))-1),"")</f>
        <v>46106</v>
      </c>
      <c r="L3242" s="17" t="str">
        <f aca="false" t="array" ref="L3242:L3242">IFERROR(INDEX(AC3242:AE3242,IF(COUNTA(AC3242:AE3242)=0,"",MAX((AC3242:AE3242&lt;&gt;"")*(COLUMN(AC3242:AE3242)-(COLUMN(AC3242)-2))))-1),"")</f>
        <v>ARCHIVED</v>
      </c>
      <c r="M3242" s="13" t="n">
        <f aca="true">K3242-TODAY()</f>
        <v>-218</v>
      </c>
      <c r="N3242" s="18" t="s">
        <v>36</v>
      </c>
      <c r="O3242" s="13" t="s">
        <v>624</v>
      </c>
      <c r="P3242" s="19" t="n">
        <v>199823</v>
      </c>
      <c r="Q3242" s="20" t="s">
        <v>13438</v>
      </c>
      <c r="R3242" s="13" t="s">
        <v>65</v>
      </c>
      <c r="S3242" s="16" t="n">
        <v>37250</v>
      </c>
      <c r="T3242" s="13" t="s">
        <v>40</v>
      </c>
      <c r="U3242" s="13" t="s">
        <v>13439</v>
      </c>
      <c r="V3242" s="13" t="s">
        <v>42</v>
      </c>
      <c r="W3242" s="13" t="s">
        <v>43</v>
      </c>
      <c r="X3242" s="21" t="n">
        <v>81997987358</v>
      </c>
      <c r="Y3242" s="22" t="str">
        <f aca="false">O3242</f>
        <v>Quality Control</v>
      </c>
      <c r="Z3242" s="13" t="str">
        <f aca="false">IFERROR(__xludf.dummyfunction("if(BJ3242="""","""",GOOGLETRANSLATE(BJ3242,""auto"",""en""))"),"Quality Control")</f>
        <v>Quality Control</v>
      </c>
      <c r="AA3242" s="23" t="str">
        <f aca="false">IF(C3242="","", CHOOSE(MONTH(C3242),"January","February","March","April","May","June","July","August","September","October","November","December")&amp;" "&amp;DAY(C3242)&amp;MID("thstndrdth",MIN(9,2*RIGHT(DAY(C3242))*(MOD(DAY(C3242)-11,100)&gt;2)+1),2)&amp;","&amp;TEXT(C3242," yyyy"))</f>
        <v>January 7th,2026</v>
      </c>
      <c r="AB3242" s="15" t="str">
        <f aca="true">IF(S3242="","",DATEDIF(S3242,TODAY(),"Y")&amp;" Tahun, "&amp;DATEDIF(S3242,TODAY(),"YM")&amp;" Bulan, "&amp;DATEDIF(S3242,TODAY(),"MD")&amp;" Hari")</f>
        <v>24 Tahun, 10 Bulan, 4 Hari</v>
      </c>
      <c r="AC3242" s="18" t="n">
        <v>46029</v>
      </c>
      <c r="AD3242" s="18" t="n">
        <v>46106</v>
      </c>
      <c r="AE3242" s="13" t="s">
        <v>44</v>
      </c>
    </row>
    <row r="3243" customFormat="false" ht="15" hidden="false" customHeight="true" outlineLevel="0" collapsed="false">
      <c r="A3243" s="12" t="n">
        <v>21841</v>
      </c>
      <c r="B3243" s="13" t="s">
        <v>13440</v>
      </c>
      <c r="C3243" s="16" t="n">
        <v>46055</v>
      </c>
      <c r="D3243" s="13" t="s">
        <v>11620</v>
      </c>
      <c r="E3243" s="15" t="s">
        <v>102</v>
      </c>
      <c r="F3243" s="24" t="s">
        <v>13441</v>
      </c>
      <c r="G3243" s="13" t="s">
        <v>1127</v>
      </c>
      <c r="H3243" s="13" t="s">
        <v>35</v>
      </c>
      <c r="I3243" s="13" t="str">
        <f aca="false">IF(C3243=J3243,"NEW KONTRAK","RE-KONTRAK")</f>
        <v>NEW KONTRAK</v>
      </c>
      <c r="J3243" s="16" t="n">
        <f aca="false" t="array" ref="J3243:J3243">IFERROR(INDEX(AC3243:AE3243,IF(COUNTA(AC3243:AE3243)=0,"",MAX((AC3243:AE3243&lt;&gt;"")*(COLUMN(AC3243:AE3243)-(COLUMN(AC3243)))))-1),"")</f>
        <v>46055</v>
      </c>
      <c r="K3243" s="16" t="n">
        <f aca="false" t="array" ref="K3243:K3243">IFERROR(INDEX(AC3243:AE3243,IF(COUNTA(AC3243:AE3243)=0,"",MAX((AC3243:AE3243&lt;&gt;"")*(COLUMN(AC3243:AE3243)-(COLUMN(AC3243)-1))))-1),"")</f>
        <v>46106</v>
      </c>
      <c r="L3243" s="17" t="str">
        <f aca="false" t="array" ref="L3243:L3243">IFERROR(INDEX(AC3243:AE3243,IF(COUNTA(AC3243:AE3243)=0,"",MAX((AC3243:AE3243&lt;&gt;"")*(COLUMN(AC3243:AE3243)-(COLUMN(AC3243)-2))))-1),"")</f>
        <v>ARCHIVED</v>
      </c>
      <c r="M3243" s="13" t="n">
        <f aca="true">K3243-TODAY()</f>
        <v>-218</v>
      </c>
      <c r="N3243" s="18" t="s">
        <v>36</v>
      </c>
      <c r="O3243" s="13" t="s">
        <v>624</v>
      </c>
      <c r="P3243" s="19" t="n">
        <v>199823</v>
      </c>
      <c r="Q3243" s="47" t="s">
        <v>13442</v>
      </c>
      <c r="R3243" s="13" t="s">
        <v>39</v>
      </c>
      <c r="S3243" s="16" t="n">
        <v>31881</v>
      </c>
      <c r="T3243" s="28" t="s">
        <v>40</v>
      </c>
      <c r="U3243" s="13" t="s">
        <v>13443</v>
      </c>
      <c r="V3243" s="13" t="s">
        <v>42</v>
      </c>
      <c r="W3243" s="13" t="s">
        <v>54</v>
      </c>
      <c r="X3243" s="21" t="n">
        <v>81515727776</v>
      </c>
      <c r="Y3243" s="22" t="str">
        <f aca="false">O3243</f>
        <v>Quality Control</v>
      </c>
      <c r="Z3243" s="13" t="str">
        <f aca="false">IFERROR(__xludf.dummyfunction("if(BJ3243="""","""",GOOGLETRANSLATE(BJ3243,""auto"",""en""))"),"Quality Control")</f>
        <v>Quality Control</v>
      </c>
      <c r="AA3243" s="23" t="str">
        <f aca="false">IF(C3243="","", CHOOSE(MONTH(C3243),"January","February","March","April","May","June","July","August","September","October","November","December")&amp;" "&amp;DAY(C3243)&amp;MID("thstndrdth",MIN(9,2*RIGHT(DAY(C3243))*(MOD(DAY(C3243)-11,100)&gt;2)+1),2)&amp;","&amp;TEXT(C3243," yyyy"))</f>
        <v>February 2nd,2026</v>
      </c>
      <c r="AB3243" s="15" t="str">
        <f aca="true">IF(S3243="","",DATEDIF(S3243,TODAY(),"Y")&amp;" Tahun, "&amp;DATEDIF(S3243,TODAY(),"YM")&amp;" Bulan, "&amp;DATEDIF(S3243,TODAY(),"MD")&amp;" Hari")</f>
        <v>39 Tahun, 6 Bulan, 15 Hari</v>
      </c>
      <c r="AC3243" s="18" t="n">
        <v>46055</v>
      </c>
      <c r="AD3243" s="18" t="n">
        <v>46106</v>
      </c>
      <c r="AE3243" s="13" t="s">
        <v>44</v>
      </c>
    </row>
    <row r="3244" customFormat="false" ht="15" hidden="false" customHeight="true" outlineLevel="0" collapsed="false">
      <c r="A3244" s="12" t="n">
        <v>21842</v>
      </c>
      <c r="B3244" s="13" t="s">
        <v>13444</v>
      </c>
      <c r="C3244" s="16" t="n">
        <v>46055</v>
      </c>
      <c r="D3244" s="13" t="s">
        <v>11620</v>
      </c>
      <c r="E3244" s="15" t="s">
        <v>47</v>
      </c>
      <c r="F3244" s="15" t="str">
        <f aca="false">IFERROR(__xludf.dummyfunction("XLOOKUP(AJ3244,IMPORTRANGE(""1XaInW9DU9nz21V0tYIfzFQ0He9kVQ_JF2mCXgZ3hqFA"",""REKAP ALL 2026 - Andika!G:G""),IMPORTRANGE(""1XaInW9DU9nz21V0tYIfzFQ0He9kVQ_JF2mCXgZ3hqFA"",""REKAP ALL 2026 - Andika!F:F""),"""",0)"),"26035116305")</f>
        <v>26035116305</v>
      </c>
      <c r="G3244" s="13" t="s">
        <v>1127</v>
      </c>
      <c r="H3244" s="13" t="s">
        <v>35</v>
      </c>
      <c r="I3244" s="13" t="str">
        <f aca="false">IF(C3244=J3244,"NEW KONTRAK","RE-KONTRAK")</f>
        <v>NEW KONTRAK</v>
      </c>
      <c r="J3244" s="16" t="n">
        <f aca="false" t="array" ref="J3244:J3244">IFERROR(INDEX(AC3244:AE3244,IF(COUNTA(AC3244:AE3244)=0,"",MAX((AC3244:AE3244&lt;&gt;"")*(COLUMN(AC3244:AE3244)-(COLUMN(AC3244)))))-1),"")</f>
        <v>46055</v>
      </c>
      <c r="K3244" s="16" t="n">
        <f aca="false" t="array" ref="K3244:K3244">IFERROR(INDEX(AC3244:AE3244,IF(COUNTA(AC3244:AE3244)=0,"",MAX((AC3244:AE3244&lt;&gt;"")*(COLUMN(AC3244:AE3244)-(COLUMN(AC3244)-1))))-1),"")</f>
        <v>46106</v>
      </c>
      <c r="L3244" s="17" t="str">
        <f aca="false" t="array" ref="L3244:L3244">IFERROR(INDEX(AC3244:AE3244,IF(COUNTA(AC3244:AE3244)=0,"",MAX((AC3244:AE3244&lt;&gt;"")*(COLUMN(AC3244:AE3244)-(COLUMN(AC3244)-2))))-1),"")</f>
        <v>ARCHIVED</v>
      </c>
      <c r="M3244" s="13" t="n">
        <f aca="true">K3244-TODAY()</f>
        <v>-218</v>
      </c>
      <c r="N3244" s="18" t="s">
        <v>36</v>
      </c>
      <c r="O3244" s="13" t="s">
        <v>13445</v>
      </c>
      <c r="P3244" s="19" t="n">
        <v>199823</v>
      </c>
      <c r="Q3244" s="47" t="s">
        <v>13446</v>
      </c>
      <c r="R3244" s="13" t="s">
        <v>260</v>
      </c>
      <c r="S3244" s="16" t="n">
        <v>36416</v>
      </c>
      <c r="T3244" s="28" t="s">
        <v>40</v>
      </c>
      <c r="U3244" s="13" t="s">
        <v>13447</v>
      </c>
      <c r="V3244" s="13" t="s">
        <v>42</v>
      </c>
      <c r="W3244" s="13" t="s">
        <v>54</v>
      </c>
      <c r="X3244" s="21" t="n">
        <v>85236181631</v>
      </c>
      <c r="Y3244" s="22" t="str">
        <f aca="false">O3244</f>
        <v>Analis Kimia</v>
      </c>
      <c r="Z3244" s="13" t="str">
        <f aca="false">IFERROR(__xludf.dummyfunction("if(BJ3244="""","""",GOOGLETRANSLATE(BJ3244,""auto"",""en""))"),"Chemical Analyst")</f>
        <v>Chemical Analyst</v>
      </c>
      <c r="AA3244" s="23" t="str">
        <f aca="false">IF(C3244="","", CHOOSE(MONTH(C3244),"January","February","March","April","May","June","July","August","September","October","November","December")&amp;" "&amp;DAY(C3244)&amp;MID("thstndrdth",MIN(9,2*RIGHT(DAY(C3244))*(MOD(DAY(C3244)-11,100)&gt;2)+1),2)&amp;","&amp;TEXT(C3244," yyyy"))</f>
        <v>February 2nd,2026</v>
      </c>
      <c r="AB3244" s="15" t="str">
        <f aca="true">IF(S3244="","",DATEDIF(S3244,TODAY(),"Y")&amp;" Tahun, "&amp;DATEDIF(S3244,TODAY(),"YM")&amp;" Bulan, "&amp;DATEDIF(S3244,TODAY(),"MD")&amp;" Hari")</f>
        <v>27 Tahun, 1 Bulan, 16 Hari</v>
      </c>
      <c r="AC3244" s="18" t="n">
        <v>46055</v>
      </c>
      <c r="AD3244" s="18" t="n">
        <v>46106</v>
      </c>
      <c r="AE3244" s="13" t="s">
        <v>44</v>
      </c>
    </row>
    <row r="3245" customFormat="false" ht="15" hidden="false" customHeight="true" outlineLevel="0" collapsed="false">
      <c r="A3245" s="12" t="n">
        <v>21843</v>
      </c>
      <c r="B3245" s="13" t="s">
        <v>13448</v>
      </c>
      <c r="C3245" s="16" t="n">
        <v>46003</v>
      </c>
      <c r="D3245" s="13" t="s">
        <v>7310</v>
      </c>
      <c r="E3245" s="15" t="s">
        <v>102</v>
      </c>
      <c r="F3245" s="15" t="str">
        <f aca="false">IFERROR(__xludf.dummyfunction("XLOOKUP(AJ3245,IMPORTRANGE(""1XaInW9DU9nz21V0tYIfzFQ0He9kVQ_JF2mCXgZ3hqFA"",""REKAP ALL 2026 - Andika!G:G""),IMPORTRANGE(""1XaInW9DU9nz21V0tYIfzFQ0He9kVQ_JF2mCXgZ3hqFA"",""REKAP ALL 2026 - Andika!F:F""),"""",0)"),"26020755380")</f>
        <v>26020755380</v>
      </c>
      <c r="G3245" s="13" t="s">
        <v>1127</v>
      </c>
      <c r="H3245" s="13" t="s">
        <v>35</v>
      </c>
      <c r="I3245" s="13" t="str">
        <f aca="false">IF(C3245=J3245,"NEW KONTRAK","RE-KONTRAK")</f>
        <v>NEW KONTRAK</v>
      </c>
      <c r="J3245" s="16" t="n">
        <f aca="false" t="array" ref="J3245:J3245">IFERROR(INDEX(AC3245:AE3245,IF(COUNTA(AC3245:AE3245)=0,"",MAX((AC3245:AE3245&lt;&gt;"")*(COLUMN(AC3245:AE3245)-(COLUMN(AC3245)))))-1),"")</f>
        <v>46003</v>
      </c>
      <c r="K3245" s="16" t="n">
        <f aca="false" t="array" ref="K3245:K3245">IFERROR(INDEX(AC3245:AE3245,IF(COUNTA(AC3245:AE3245)=0,"",MAX((AC3245:AE3245&lt;&gt;"")*(COLUMN(AC3245:AE3245)-(COLUMN(AC3245)-1))))-1),"")</f>
        <v>46267</v>
      </c>
      <c r="L3245" s="17" t="str">
        <f aca="false" t="array" ref="L3245:L3245">IFERROR(INDEX(AC3245:AE3245,IF(COUNTA(AC3245:AE3245)=0,"",MAX((AC3245:AE3245&lt;&gt;"")*(COLUMN(AC3245:AE3245)-(COLUMN(AC3245)-2))))-1),"")</f>
        <v>ARCHIVED</v>
      </c>
      <c r="M3245" s="13" t="n">
        <f aca="true">K3245-TODAY()</f>
        <v>-57</v>
      </c>
      <c r="N3245" s="18" t="s">
        <v>7313</v>
      </c>
      <c r="O3245" s="13" t="s">
        <v>13449</v>
      </c>
      <c r="P3245" s="19" t="n">
        <v>2550274</v>
      </c>
      <c r="Q3245" s="47" t="s">
        <v>13450</v>
      </c>
      <c r="R3245" s="13" t="s">
        <v>227</v>
      </c>
      <c r="S3245" s="16" t="n">
        <v>35150</v>
      </c>
      <c r="T3245" s="28" t="s">
        <v>40</v>
      </c>
      <c r="U3245" s="13" t="s">
        <v>11614</v>
      </c>
      <c r="V3245" s="13" t="s">
        <v>42</v>
      </c>
      <c r="W3245" s="13" t="s">
        <v>43</v>
      </c>
      <c r="X3245" s="21" t="n">
        <v>85893336515</v>
      </c>
      <c r="Y3245" s="22" t="str">
        <f aca="false">O3245</f>
        <v>Promosi</v>
      </c>
      <c r="Z3245" s="13" t="str">
        <f aca="false">IFERROR(__xludf.dummyfunction("if(BJ3245="""","""",GOOGLETRANSLATE(BJ3245,""auto"",""en""))"),"Promotion")</f>
        <v>Promotion</v>
      </c>
      <c r="AA3245" s="23" t="str">
        <f aca="false">IF(C3245="","", CHOOSE(MONTH(C3245),"January","February","March","April","May","June","July","August","September","October","November","December")&amp;" "&amp;DAY(C3245)&amp;MID("thstndrdth",MIN(9,2*RIGHT(DAY(C3245))*(MOD(DAY(C3245)-11,100)&gt;2)+1),2)&amp;","&amp;TEXT(C3245," yyyy"))</f>
        <v>December 12th,2025</v>
      </c>
      <c r="AB3245" s="15" t="str">
        <f aca="true">IF(S3245="","",DATEDIF(S3245,TODAY(),"Y")&amp;" Tahun, "&amp;DATEDIF(S3245,TODAY(),"YM")&amp;" Bulan, "&amp;DATEDIF(S3245,TODAY(),"MD")&amp;" Hari")</f>
        <v>30 Tahun, 7 Bulan, 3 Hari</v>
      </c>
      <c r="AC3245" s="18" t="n">
        <v>46003</v>
      </c>
      <c r="AD3245" s="18" t="n">
        <v>46267</v>
      </c>
      <c r="AE3245" s="18" t="s">
        <v>44</v>
      </c>
    </row>
    <row r="3246" customFormat="false" ht="15" hidden="false" customHeight="true" outlineLevel="0" collapsed="false">
      <c r="A3246" s="12" t="n">
        <v>21845</v>
      </c>
      <c r="B3246" s="13" t="s">
        <v>13451</v>
      </c>
      <c r="C3246" s="16" t="n">
        <v>46059</v>
      </c>
      <c r="D3246" s="13" t="s">
        <v>6498</v>
      </c>
      <c r="E3246" s="15" t="s">
        <v>47</v>
      </c>
      <c r="F3246" s="15" t="str">
        <f aca="false">IFERROR(__xludf.dummyfunction("XLOOKUP(AJ3246,IMPORTRANGE(""1XaInW9DU9nz21V0tYIfzFQ0He9kVQ_JF2mCXgZ3hqFA"",""REKAP ALL 2026 - Andika!G:G""),IMPORTRANGE(""1XaInW9DU9nz21V0tYIfzFQ0He9kVQ_JF2mCXgZ3hqFA"",""REKAP ALL 2026 - Andika!F:F""),"""",0)"),"26035120463")</f>
        <v>26035120463</v>
      </c>
      <c r="G3246" s="28" t="s">
        <v>57</v>
      </c>
      <c r="H3246" s="13" t="s">
        <v>35</v>
      </c>
      <c r="I3246" s="13" t="str">
        <f aca="false">IF(C3246=J3246,"NEW KONTRAK","RE-KONTRAK")</f>
        <v>NEW KONTRAK</v>
      </c>
      <c r="J3246" s="16" t="n">
        <f aca="false" t="array" ref="J3246:J3246">IFERROR(INDEX(AC3246:AE3246,IF(COUNTA(AC3246:AE3246)=0,"",MAX((AC3246:AE3246&lt;&gt;"")*(COLUMN(AC3246:AE3246)-(COLUMN(AC3246)))))-1),"")</f>
        <v>46059</v>
      </c>
      <c r="K3246" s="16" t="n">
        <f aca="false" t="array" ref="K3246:K3246">IFERROR(INDEX(AC3246:AE3246,IF(COUNTA(AC3246:AE3246)=0,"",MAX((AC3246:AE3246&lt;&gt;"")*(COLUMN(AC3246:AE3246)-(COLUMN(AC3246)-1))))-1),"")</f>
        <v>46387</v>
      </c>
      <c r="L3246" s="17" t="str">
        <f aca="false" t="array" ref="L3246:L3246">IFERROR(INDEX(AC3246:AE3246,IF(COUNTA(AC3246:AE3246)=0,"",MAX((AC3246:AE3246&lt;&gt;"")*(COLUMN(AC3246:AE3246)-(COLUMN(AC3246)-2))))-1),"")</f>
        <v>KEMBALI</v>
      </c>
      <c r="M3246" s="13" t="n">
        <f aca="true">K3246-TODAY()</f>
        <v>63</v>
      </c>
      <c r="N3246" s="50" t="s">
        <v>728</v>
      </c>
      <c r="O3246" s="13" t="s">
        <v>13452</v>
      </c>
      <c r="P3246" s="19" t="n">
        <v>5288796</v>
      </c>
      <c r="Q3246" s="47" t="s">
        <v>13453</v>
      </c>
      <c r="R3246" s="13" t="s">
        <v>52</v>
      </c>
      <c r="S3246" s="16" t="n">
        <v>38743</v>
      </c>
      <c r="T3246" s="28" t="s">
        <v>40</v>
      </c>
      <c r="U3246" s="13" t="s">
        <v>13454</v>
      </c>
      <c r="V3246" s="13" t="s">
        <v>42</v>
      </c>
      <c r="W3246" s="13" t="s">
        <v>43</v>
      </c>
      <c r="X3246" s="21" t="n">
        <v>85925964708</v>
      </c>
      <c r="Y3246" s="22" t="str">
        <f aca="false">O3246</f>
        <v>Checker Cold Chain</v>
      </c>
      <c r="Z3246" s="13" t="str">
        <f aca="false">IFERROR(__xludf.dummyfunction("if(BJ3246="""","""",GOOGLETRANSLATE(BJ3246,""auto"",""en""))"),"Checker Cold Chain")</f>
        <v>Checker Cold Chain</v>
      </c>
      <c r="AA3246" s="23" t="str">
        <f aca="false">IF(C3246="","", CHOOSE(MONTH(C3246),"January","February","March","April","May","June","July","August","September","October","November","December")&amp;" "&amp;DAY(C3246)&amp;MID("thstndrdth",MIN(9,2*RIGHT(DAY(C3246))*(MOD(DAY(C3246)-11,100)&gt;2)+1),2)&amp;","&amp;TEXT(C3246," yyyy"))</f>
        <v>February 6th,2026</v>
      </c>
      <c r="AB3246" s="15" t="str">
        <f aca="true">IF(S3246="","",DATEDIF(S3246,TODAY(),"Y")&amp;" Tahun, "&amp;DATEDIF(S3246,TODAY(),"YM")&amp;" Bulan, "&amp;DATEDIF(S3246,TODAY(),"MD")&amp;" Hari")</f>
        <v>20 Tahun, 9 Bulan, 3 Hari</v>
      </c>
      <c r="AC3246" s="18" t="n">
        <v>46059</v>
      </c>
      <c r="AD3246" s="18" t="n">
        <v>46387</v>
      </c>
      <c r="AE3246" s="13" t="s">
        <v>397</v>
      </c>
    </row>
    <row r="3247" customFormat="false" ht="15" hidden="false" customHeight="true" outlineLevel="0" collapsed="false">
      <c r="A3247" s="12" t="n">
        <v>21846</v>
      </c>
      <c r="B3247" s="13" t="s">
        <v>13455</v>
      </c>
      <c r="C3247" s="16" t="n">
        <v>46062</v>
      </c>
      <c r="D3247" s="13" t="s">
        <v>6638</v>
      </c>
      <c r="E3247" s="15" t="s">
        <v>47</v>
      </c>
      <c r="F3247" s="15" t="str">
        <f aca="false">IFERROR(__xludf.dummyfunction("XLOOKUP(AJ3247,IMPORTRANGE(""1XaInW9DU9nz21V0tYIfzFQ0He9kVQ_JF2mCXgZ3hqFA"",""REKAP ALL 2026 - Andika!G:G""),IMPORTRANGE(""1XaInW9DU9nz21V0tYIfzFQ0He9kVQ_JF2mCXgZ3hqFA"",""REKAP ALL 2026 - Andika!F:F""),"""",0)"),"26035116222")</f>
        <v>26035116222</v>
      </c>
      <c r="G3247" s="13" t="s">
        <v>1127</v>
      </c>
      <c r="H3247" s="13" t="s">
        <v>35</v>
      </c>
      <c r="I3247" s="13" t="str">
        <f aca="false">IF(C3247=J3247,"NEW KONTRAK","RE-KONTRAK")</f>
        <v>NEW KONTRAK</v>
      </c>
      <c r="J3247" s="16" t="n">
        <f aca="false" t="array" ref="J3247:J3247">IFERROR(INDEX(AC3247:AE3247,IF(COUNTA(AC3247:AE3247)=0,"",MAX((AC3247:AE3247&lt;&gt;"")*(COLUMN(AC3247:AE3247)-(COLUMN(AC3247)))))-1),"")</f>
        <v>46062</v>
      </c>
      <c r="K3247" s="16" t="n">
        <f aca="false" t="array" ref="K3247:K3247">IFERROR(INDEX(AC3247:AE3247,IF(COUNTA(AC3247:AE3247)=0,"",MAX((AC3247:AE3247&lt;&gt;"")*(COLUMN(AC3247:AE3247)-(COLUMN(AC3247)-1))))-1),"")</f>
        <v>46242</v>
      </c>
      <c r="L3247" s="17" t="str">
        <f aca="false" t="array" ref="L3247:L3247">IFERROR(INDEX(AC3247:AE3247,IF(COUNTA(AC3247:AE3247)=0,"",MAX((AC3247:AE3247&lt;&gt;"")*(COLUMN(AC3247:AE3247)-(COLUMN(AC3247)-2))))-1),"")</f>
        <v>KEMBALI</v>
      </c>
      <c r="M3247" s="13" t="n">
        <f aca="true">K3247-TODAY()</f>
        <v>-82</v>
      </c>
      <c r="N3247" s="18" t="s">
        <v>4735</v>
      </c>
      <c r="O3247" s="13" t="s">
        <v>13456</v>
      </c>
      <c r="P3247" s="19" t="n">
        <v>3113530</v>
      </c>
      <c r="Q3247" s="47" t="s">
        <v>13457</v>
      </c>
      <c r="R3247" s="13" t="s">
        <v>83</v>
      </c>
      <c r="S3247" s="16" t="n">
        <v>37049</v>
      </c>
      <c r="T3247" s="13" t="s">
        <v>108</v>
      </c>
      <c r="U3247" s="13" t="s">
        <v>13458</v>
      </c>
      <c r="V3247" s="13" t="s">
        <v>42</v>
      </c>
      <c r="W3247" s="13" t="s">
        <v>43</v>
      </c>
      <c r="X3247" s="21" t="n">
        <v>6285229134186</v>
      </c>
      <c r="Y3247" s="22" t="str">
        <f aca="false">O3247</f>
        <v>Recruitment Staff</v>
      </c>
      <c r="Z3247" s="13" t="str">
        <f aca="false">IFERROR(__xludf.dummyfunction("if(BJ3247="""","""",GOOGLETRANSLATE(BJ3247,""auto"",""en""))"),"Recruitment Staff")</f>
        <v>Recruitment Staff</v>
      </c>
      <c r="AA3247" s="23" t="str">
        <f aca="false">IF(C3247="","", CHOOSE(MONTH(C3247),"January","February","March","April","May","June","July","August","September","October","November","December")&amp;" "&amp;DAY(C3247)&amp;MID("thstndrdth",MIN(9,2*RIGHT(DAY(C3247))*(MOD(DAY(C3247)-11,100)&gt;2)+1),2)&amp;","&amp;TEXT(C3247," yyyy"))</f>
        <v>February 9th,2026</v>
      </c>
      <c r="AB3247" s="15" t="str">
        <f aca="true">IF(S3247="","",DATEDIF(S3247,TODAY(),"Y")&amp;" Tahun, "&amp;DATEDIF(S3247,TODAY(),"YM")&amp;" Bulan, "&amp;DATEDIF(S3247,TODAY(),"MD")&amp;" Hari")</f>
        <v>25 Tahun, 4 Bulan, 22 Hari</v>
      </c>
      <c r="AC3247" s="18" t="n">
        <v>46062</v>
      </c>
      <c r="AD3247" s="18" t="n">
        <v>46242</v>
      </c>
      <c r="AE3247" s="13" t="s">
        <v>397</v>
      </c>
    </row>
    <row r="3248" customFormat="false" ht="15" hidden="false" customHeight="true" outlineLevel="0" collapsed="false">
      <c r="A3248" s="12" t="n">
        <v>21847</v>
      </c>
      <c r="B3248" s="13" t="s">
        <v>13459</v>
      </c>
      <c r="C3248" s="16" t="n">
        <v>46065</v>
      </c>
      <c r="D3248" s="13" t="s">
        <v>6638</v>
      </c>
      <c r="E3248" s="15" t="s">
        <v>102</v>
      </c>
      <c r="F3248" s="15" t="str">
        <f aca="false">IFERROR(__xludf.dummyfunction("XLOOKUP(AJ3248,IMPORTRANGE(""1XaInW9DU9nz21V0tYIfzFQ0He9kVQ_JF2mCXgZ3hqFA"",""REKAP ALL 2026 - Andika!G:G""),IMPORTRANGE(""1XaInW9DU9nz21V0tYIfzFQ0He9kVQ_JF2mCXgZ3hqFA"",""REKAP ALL 2026 - Andika!F:F""),"""",0)"),"26035116214")</f>
        <v>26035116214</v>
      </c>
      <c r="G3248" s="13" t="s">
        <v>1127</v>
      </c>
      <c r="H3248" s="13" t="s">
        <v>35</v>
      </c>
      <c r="I3248" s="13" t="str">
        <f aca="false">IF(C3248=J3248,"NEW KONTRAK","RE-KONTRAK")</f>
        <v>NEW KONTRAK</v>
      </c>
      <c r="J3248" s="16" t="n">
        <f aca="false" t="array" ref="J3248:J3248">IFERROR(INDEX(AC3248:AE3248,IF(COUNTA(AC3248:AE3248)=0,"",MAX((AC3248:AE3248&lt;&gt;"")*(COLUMN(AC3248:AE3248)-(COLUMN(AC3248)))))-1),"")</f>
        <v>46065</v>
      </c>
      <c r="K3248" s="16" t="n">
        <f aca="false" t="array" ref="K3248:K3248">IFERROR(INDEX(AC3248:AE3248,IF(COUNTA(AC3248:AE3248)=0,"",MAX((AC3248:AE3248&lt;&gt;"")*(COLUMN(AC3248:AE3248)-(COLUMN(AC3248)-1))))-1),"")</f>
        <v>46245</v>
      </c>
      <c r="L3248" s="17" t="str">
        <f aca="false" t="array" ref="L3248:L3248">IFERROR(INDEX(AC3248:AE3248,IF(COUNTA(AC3248:AE3248)=0,"",MAX((AC3248:AE3248&lt;&gt;"")*(COLUMN(AC3248:AE3248)-(COLUMN(AC3248)-2))))-1),"")</f>
        <v>KEMBALI</v>
      </c>
      <c r="M3248" s="13" t="n">
        <f aca="true">K3248-TODAY()</f>
        <v>-79</v>
      </c>
      <c r="N3248" s="18" t="s">
        <v>4735</v>
      </c>
      <c r="O3248" s="13" t="s">
        <v>13456</v>
      </c>
      <c r="P3248" s="19" t="n">
        <v>3113530</v>
      </c>
      <c r="Q3248" s="47" t="s">
        <v>13460</v>
      </c>
      <c r="R3248" s="13" t="s">
        <v>83</v>
      </c>
      <c r="S3248" s="16" t="n">
        <v>37043</v>
      </c>
      <c r="T3248" s="28" t="s">
        <v>40</v>
      </c>
      <c r="U3248" s="13" t="s">
        <v>13461</v>
      </c>
      <c r="V3248" s="13" t="s">
        <v>42</v>
      </c>
      <c r="W3248" s="13" t="s">
        <v>43</v>
      </c>
      <c r="X3248" s="21" t="n">
        <v>6282132167204</v>
      </c>
      <c r="Y3248" s="22" t="str">
        <f aca="false">O3248</f>
        <v>Recruitment Staff</v>
      </c>
      <c r="Z3248" s="13" t="str">
        <f aca="false">IFERROR(__xludf.dummyfunction("if(BJ3248="""","""",GOOGLETRANSLATE(BJ3248,""auto"",""en""))"),"Recruitment Staff")</f>
        <v>Recruitment Staff</v>
      </c>
      <c r="AA3248" s="23" t="str">
        <f aca="false">IF(C3248="","", CHOOSE(MONTH(C3248),"January","February","March","April","May","June","July","August","September","October","November","December")&amp;" "&amp;DAY(C3248)&amp;MID("thstndrdth",MIN(9,2*RIGHT(DAY(C3248))*(MOD(DAY(C3248)-11,100)&gt;2)+1),2)&amp;","&amp;TEXT(C3248," yyyy"))</f>
        <v>February 12th,2026</v>
      </c>
      <c r="AB3248" s="15" t="str">
        <f aca="true">IF(S3248="","",DATEDIF(S3248,TODAY(),"Y")&amp;" Tahun, "&amp;DATEDIF(S3248,TODAY(),"YM")&amp;" Bulan, "&amp;DATEDIF(S3248,TODAY(),"MD")&amp;" Hari")</f>
        <v>25 Tahun, 4 Bulan, 28 Hari</v>
      </c>
      <c r="AC3248" s="18" t="n">
        <v>46065</v>
      </c>
      <c r="AD3248" s="18" t="n">
        <f aca="false">EDATE(AC3248,6)-1</f>
        <v>46245</v>
      </c>
      <c r="AE3248" s="13" t="s">
        <v>397</v>
      </c>
    </row>
    <row r="3249" customFormat="false" ht="15" hidden="false" customHeight="true" outlineLevel="0" collapsed="false">
      <c r="A3249" s="12" t="n">
        <v>21848</v>
      </c>
      <c r="B3249" s="13" t="s">
        <v>13462</v>
      </c>
      <c r="C3249" s="16" t="n">
        <v>46062</v>
      </c>
      <c r="D3249" s="13" t="s">
        <v>3643</v>
      </c>
      <c r="E3249" s="15" t="s">
        <v>47</v>
      </c>
      <c r="F3249" s="24" t="s">
        <v>13463</v>
      </c>
      <c r="G3249" s="13" t="s">
        <v>2809</v>
      </c>
      <c r="H3249" s="13" t="s">
        <v>35</v>
      </c>
      <c r="I3249" s="13" t="str">
        <f aca="false">IF(C3249=J3249,"NEW KONTRAK","RE-KONTRAK")</f>
        <v>NEW KONTRAK</v>
      </c>
      <c r="J3249" s="16" t="n">
        <f aca="false" t="array" ref="J3249:J3249">IFERROR(INDEX(AC3249:AE3249,IF(COUNTA(AC3249:AE3249)=0,"",MAX((AC3249:AE3249&lt;&gt;"")*(COLUMN(AC3249:AE3249)-(COLUMN(AC3249)))))-1),"")</f>
        <v>46062</v>
      </c>
      <c r="K3249" s="16" t="n">
        <f aca="false" t="array" ref="K3249:K3249">IFERROR(INDEX(AC3249:AE3249,IF(COUNTA(AC3249:AE3249)=0,"",MAX((AC3249:AE3249&lt;&gt;"")*(COLUMN(AC3249:AE3249)-(COLUMN(AC3249)-1))))-1),"")</f>
        <v>46150</v>
      </c>
      <c r="L3249" s="17" t="str">
        <f aca="false" t="array" ref="L3249:L3249">IFERROR(INDEX(AC3249:AE3249,IF(COUNTA(AC3249:AE3249)=0,"",MAX((AC3249:AE3249&lt;&gt;"")*(COLUMN(AC3249:AE3249)-(COLUMN(AC3249)-2))))-1),"")</f>
        <v>ARCHIVED</v>
      </c>
      <c r="M3249" s="13" t="n">
        <f aca="true">K3249-TODAY()</f>
        <v>-174</v>
      </c>
      <c r="N3249" s="18" t="s">
        <v>728</v>
      </c>
      <c r="O3249" s="13" t="s">
        <v>13464</v>
      </c>
      <c r="P3249" s="19" t="n">
        <v>2750000</v>
      </c>
      <c r="Q3249" s="47" t="s">
        <v>13465</v>
      </c>
      <c r="R3249" s="13" t="s">
        <v>52</v>
      </c>
      <c r="S3249" s="16" t="n">
        <v>36880</v>
      </c>
      <c r="T3249" s="28" t="s">
        <v>40</v>
      </c>
      <c r="U3249" s="13" t="s">
        <v>13466</v>
      </c>
      <c r="V3249" s="13" t="s">
        <v>42</v>
      </c>
      <c r="W3249" s="13" t="s">
        <v>43</v>
      </c>
      <c r="X3249" s="21" t="n">
        <v>85736035659</v>
      </c>
      <c r="Y3249" s="22" t="str">
        <f aca="false">O3249</f>
        <v>Tenaga Gudang</v>
      </c>
      <c r="Z3249" s="13" t="str">
        <f aca="false">IFERROR(__xludf.dummyfunction("if(BJ3249="""","""",GOOGLETRANSLATE(BJ3249,""auto"",""en""))"),"Warehouse Energy")</f>
        <v>Warehouse Energy</v>
      </c>
      <c r="AA3249" s="23" t="str">
        <f aca="false">IF(C3249="","", CHOOSE(MONTH(C3249),"January","February","March","April","May","June","July","August","September","October","November","December")&amp;" "&amp;DAY(C3249)&amp;MID("thstndrdth",MIN(9,2*RIGHT(DAY(C3249))*(MOD(DAY(C3249)-11,100)&gt;2)+1),2)&amp;","&amp;TEXT(C3249," yyyy"))</f>
        <v>February 9th,2026</v>
      </c>
      <c r="AB3249" s="15" t="str">
        <f aca="true">IF(S3249="","",DATEDIF(S3249,TODAY(),"Y")&amp;" Tahun, "&amp;DATEDIF(S3249,TODAY(),"YM")&amp;" Bulan, "&amp;DATEDIF(S3249,TODAY(),"MD")&amp;" Hari")</f>
        <v>25 Tahun, 10 Bulan, 9 Hari</v>
      </c>
      <c r="AC3249" s="18" t="n">
        <v>46062</v>
      </c>
      <c r="AD3249" s="18" t="n">
        <f aca="false">EDATE(AC3249,3)-1</f>
        <v>46150</v>
      </c>
      <c r="AE3249" s="13" t="s">
        <v>44</v>
      </c>
    </row>
    <row r="3250" customFormat="false" ht="15" hidden="false" customHeight="true" outlineLevel="0" collapsed="false">
      <c r="A3250" s="12" t="n">
        <v>21849</v>
      </c>
      <c r="B3250" s="13" t="s">
        <v>13467</v>
      </c>
      <c r="C3250" s="16" t="n">
        <v>46062</v>
      </c>
      <c r="D3250" s="13" t="s">
        <v>3838</v>
      </c>
      <c r="E3250" s="15" t="s">
        <v>47</v>
      </c>
      <c r="F3250" s="15" t="str">
        <f aca="false">IFERROR(__xludf.dummyfunction("XLOOKUP(AJ3250,IMPORTRANGE(""1XaInW9DU9nz21V0tYIfzFQ0He9kVQ_JF2mCXgZ3hqFA"",""REKAP ALL 2026 - Andika!G:G""),IMPORTRANGE(""1XaInW9DU9nz21V0tYIfzFQ0He9kVQ_JF2mCXgZ3hqFA"",""REKAP ALL 2026 - Andika!F:F""),"""",0)"),"26035116255")</f>
        <v>26035116255</v>
      </c>
      <c r="G3250" s="13" t="s">
        <v>1127</v>
      </c>
      <c r="H3250" s="13" t="s">
        <v>35</v>
      </c>
      <c r="I3250" s="13" t="str">
        <f aca="false">IF(C3250=J3250,"NEW KONTRAK","RE-KONTRAK")</f>
        <v>NEW KONTRAK</v>
      </c>
      <c r="J3250" s="16" t="n">
        <f aca="false" t="array" ref="J3250:J3250">IFERROR(INDEX(AC3250:AE3250,IF(COUNTA(AC3250:AE3250)=0,"",MAX((AC3250:AE3250&lt;&gt;"")*(COLUMN(AC3250:AE3250)-(COLUMN(AC3250)))))-1),"")</f>
        <v>46062</v>
      </c>
      <c r="K3250" s="16" t="n">
        <f aca="false" t="array" ref="K3250:K3250">IFERROR(INDEX(AC3250:AE3250,IF(COUNTA(AC3250:AE3250)=0,"",MAX((AC3250:AE3250&lt;&gt;"")*(COLUMN(AC3250:AE3250)-(COLUMN(AC3250)-1))))-1),"")</f>
        <v>46387</v>
      </c>
      <c r="L3250" s="17" t="str">
        <f aca="false" t="array" ref="L3250:L3250">IFERROR(INDEX(AC3250:AE3250,IF(COUNTA(AC3250:AE3250)=0,"",MAX((AC3250:AE3250&lt;&gt;"")*(COLUMN(AC3250:AE3250)-(COLUMN(AC3250)-2))))-1),"")</f>
        <v>ARCHIVED</v>
      </c>
      <c r="M3250" s="13" t="n">
        <f aca="true">K3250-TODAY()</f>
        <v>63</v>
      </c>
      <c r="N3250" s="18" t="s">
        <v>749</v>
      </c>
      <c r="O3250" s="13" t="s">
        <v>3577</v>
      </c>
      <c r="P3250" s="19" t="n">
        <v>3983882</v>
      </c>
      <c r="Q3250" s="20" t="s">
        <v>13468</v>
      </c>
      <c r="R3250" s="13" t="s">
        <v>752</v>
      </c>
      <c r="S3250" s="16" t="n">
        <v>37587</v>
      </c>
      <c r="T3250" s="28" t="s">
        <v>40</v>
      </c>
      <c r="U3250" s="13" t="s">
        <v>13469</v>
      </c>
      <c r="V3250" s="13" t="s">
        <v>42</v>
      </c>
      <c r="W3250" s="13" t="s">
        <v>43</v>
      </c>
      <c r="X3250" s="13" t="n">
        <v>85828467393</v>
      </c>
      <c r="Y3250" s="22" t="str">
        <f aca="false">O3250</f>
        <v>Kerani Gudang</v>
      </c>
      <c r="Z3250" s="13" t="str">
        <f aca="false">IFERROR(__xludf.dummyfunction("if(BJ3250="""","""",GOOGLETRANSLATE(BJ3250,""auto"",""en""))"),"Warehouse Clerk")</f>
        <v>Warehouse Clerk</v>
      </c>
      <c r="AA3250" s="23" t="str">
        <f aca="false">IF(C3250="","", CHOOSE(MONTH(C3250),"January","February","March","April","May","June","July","August","September","October","November","December")&amp;" "&amp;DAY(C3250)&amp;MID("thstndrdth",MIN(9,2*RIGHT(DAY(C3250))*(MOD(DAY(C3250)-11,100)&gt;2)+1),2)&amp;","&amp;TEXT(C3250," yyyy"))</f>
        <v>February 9th,2026</v>
      </c>
      <c r="AB3250" s="15" t="str">
        <f aca="true">IF(S3250="","",DATEDIF(S3250,TODAY(),"Y")&amp;" Tahun, "&amp;DATEDIF(S3250,TODAY(),"YM")&amp;" Bulan, "&amp;DATEDIF(S3250,TODAY(),"MD")&amp;" Hari")</f>
        <v>23 Tahun, 11 Bulan, 2 Hari</v>
      </c>
      <c r="AC3250" s="18" t="n">
        <v>46062</v>
      </c>
      <c r="AD3250" s="18" t="n">
        <v>46387</v>
      </c>
      <c r="AE3250" s="13" t="s">
        <v>44</v>
      </c>
    </row>
    <row r="3251" customFormat="false" ht="15" hidden="false" customHeight="true" outlineLevel="0" collapsed="false">
      <c r="A3251" s="12" t="n">
        <v>21850</v>
      </c>
      <c r="B3251" s="13" t="s">
        <v>13470</v>
      </c>
      <c r="C3251" s="16" t="n">
        <v>46059</v>
      </c>
      <c r="D3251" s="13" t="s">
        <v>11620</v>
      </c>
      <c r="E3251" s="15" t="s">
        <v>47</v>
      </c>
      <c r="F3251" s="15" t="str">
        <f aca="false">IFERROR(__xludf.dummyfunction("XLOOKUP(AJ3251,IMPORTRANGE(""1XaInW9DU9nz21V0tYIfzFQ0He9kVQ_JF2mCXgZ3hqFA"",""REKAP ALL 2026 - Andika!G:G""),IMPORTRANGE(""1XaInW9DU9nz21V0tYIfzFQ0He9kVQ_JF2mCXgZ3hqFA"",""REKAP ALL 2026 - Andika!F:F""),"""",0)"),"26046412628")</f>
        <v>26046412628</v>
      </c>
      <c r="G3251" s="13" t="s">
        <v>1127</v>
      </c>
      <c r="H3251" s="13" t="s">
        <v>35</v>
      </c>
      <c r="I3251" s="13" t="str">
        <f aca="false">IF(C3251=J3251,"NEW KONTRAK","RE-KONTRAK")</f>
        <v>NEW KONTRAK</v>
      </c>
      <c r="J3251" s="16" t="n">
        <f aca="false" t="array" ref="J3251:J3251">IFERROR(INDEX(AC3251:AE3251,IF(COUNTA(AC3251:AE3251)=0,"",MAX((AC3251:AE3251&lt;&gt;"")*(COLUMN(AC3251:AE3251)-(COLUMN(AC3251)))))-1),"")</f>
        <v>46059</v>
      </c>
      <c r="K3251" s="16" t="n">
        <f aca="false" t="array" ref="K3251:K3251">IFERROR(INDEX(AC3251:AE3251,IF(COUNTA(AC3251:AE3251)=0,"",MAX((AC3251:AE3251&lt;&gt;"")*(COLUMN(AC3251:AE3251)-(COLUMN(AC3251)-1))))-1),"")</f>
        <v>46106</v>
      </c>
      <c r="L3251" s="17" t="str">
        <f aca="false" t="array" ref="L3251:L3251">IFERROR(INDEX(AC3251:AE3251,IF(COUNTA(AC3251:AE3251)=0,"",MAX((AC3251:AE3251&lt;&gt;"")*(COLUMN(AC3251:AE3251)-(COLUMN(AC3251)-2))))-1),"")</f>
        <v>ARCHIVED</v>
      </c>
      <c r="M3251" s="13" t="n">
        <f aca="true">K3251-TODAY()</f>
        <v>-218</v>
      </c>
      <c r="N3251" s="18" t="s">
        <v>36</v>
      </c>
      <c r="O3251" s="13" t="s">
        <v>5444</v>
      </c>
      <c r="P3251" s="19" t="n">
        <v>199823</v>
      </c>
      <c r="Q3251" s="47" t="s">
        <v>13471</v>
      </c>
      <c r="R3251" s="13" t="s">
        <v>232</v>
      </c>
      <c r="S3251" s="16" t="n">
        <v>36503</v>
      </c>
      <c r="T3251" s="28" t="s">
        <v>40</v>
      </c>
      <c r="U3251" s="13" t="s">
        <v>13472</v>
      </c>
      <c r="V3251" s="13" t="s">
        <v>42</v>
      </c>
      <c r="W3251" s="13" t="s">
        <v>43</v>
      </c>
      <c r="X3251" s="21" t="n">
        <v>87784077533</v>
      </c>
      <c r="Y3251" s="22" t="str">
        <f aca="false">O3251</f>
        <v>Operator Produksi</v>
      </c>
      <c r="Z3251" s="13" t="str">
        <f aca="false">IFERROR(__xludf.dummyfunction("if(BJ3251="""","""",GOOGLETRANSLATE(BJ3251,""auto"",""en""))"),"Production operator")</f>
        <v>Production operator</v>
      </c>
      <c r="AA3251" s="23" t="str">
        <f aca="false">IF(C3251="","", CHOOSE(MONTH(C3251),"January","February","March","April","May","June","July","August","September","October","November","December")&amp;" "&amp;DAY(C3251)&amp;MID("thstndrdth",MIN(9,2*RIGHT(DAY(C3251))*(MOD(DAY(C3251)-11,100)&gt;2)+1),2)&amp;","&amp;TEXT(C3251," yyyy"))</f>
        <v>February 6th,2026</v>
      </c>
      <c r="AB3251" s="15" t="str">
        <f aca="true">IF(S3251="","",DATEDIF(S3251,TODAY(),"Y")&amp;" Tahun, "&amp;DATEDIF(S3251,TODAY(),"YM")&amp;" Bulan, "&amp;DATEDIF(S3251,TODAY(),"MD")&amp;" Hari")</f>
        <v>26 Tahun, 10 Bulan, 20 Hari</v>
      </c>
      <c r="AC3251" s="18" t="n">
        <v>46059</v>
      </c>
      <c r="AD3251" s="18" t="n">
        <v>46106</v>
      </c>
      <c r="AE3251" s="13" t="s">
        <v>44</v>
      </c>
    </row>
    <row r="3252" customFormat="false" ht="15" hidden="false" customHeight="true" outlineLevel="0" collapsed="false">
      <c r="A3252" s="12" t="n">
        <v>21851</v>
      </c>
      <c r="B3252" s="13" t="s">
        <v>13473</v>
      </c>
      <c r="C3252" s="16" t="n">
        <v>46064</v>
      </c>
      <c r="D3252" s="13" t="s">
        <v>3022</v>
      </c>
      <c r="E3252" s="15" t="s">
        <v>789</v>
      </c>
      <c r="F3252" s="24" t="s">
        <v>13474</v>
      </c>
      <c r="G3252" s="13" t="s">
        <v>57</v>
      </c>
      <c r="H3252" s="13" t="s">
        <v>3024</v>
      </c>
      <c r="I3252" s="13" t="str">
        <f aca="false">IF(C3252=J3252,"NEW KONTRAK","RE-KONTRAK")</f>
        <v>NEW KONTRAK</v>
      </c>
      <c r="J3252" s="16" t="n">
        <f aca="false" t="array" ref="J3252:J3252">IFERROR(INDEX(AC3252:AE3252,IF(COUNTA(AC3252:AE3252)=0,"",MAX((AC3252:AE3252&lt;&gt;"")*(COLUMN(AC3252:AE3252)-(COLUMN(AC3252)))))-1),"")</f>
        <v>46064</v>
      </c>
      <c r="K3252" s="16" t="n">
        <f aca="false" t="array" ref="K3252:K3252">IFERROR(INDEX(AC3252:AE3252,IF(COUNTA(AC3252:AE3252)=0,"",MAX((AC3252:AE3252&lt;&gt;"")*(COLUMN(AC3252:AE3252)-(COLUMN(AC3252)-1))))-1),"")</f>
        <v>46152</v>
      </c>
      <c r="L3252" s="17" t="str">
        <f aca="false" t="array" ref="L3252:L3252">IFERROR(INDEX(AC3252:AE3252,IF(COUNTA(AC3252:AE3252)=0,"",MAX((AC3252:AE3252&lt;&gt;"")*(COLUMN(AC3252:AE3252)-(COLUMN(AC3252)-2))))-1),"")</f>
        <v>ARCHIVED</v>
      </c>
      <c r="M3252" s="13" t="n">
        <f aca="true">K3252-TODAY()</f>
        <v>-172</v>
      </c>
      <c r="N3252" s="18" t="s">
        <v>36</v>
      </c>
      <c r="O3252" s="13" t="s">
        <v>3030</v>
      </c>
      <c r="P3252" s="19" t="n">
        <v>112500</v>
      </c>
      <c r="Q3252" s="47" t="s">
        <v>13475</v>
      </c>
      <c r="R3252" s="13" t="s">
        <v>232</v>
      </c>
      <c r="S3252" s="16" t="n">
        <v>36019</v>
      </c>
      <c r="T3252" s="28" t="s">
        <v>40</v>
      </c>
      <c r="U3252" s="13" t="s">
        <v>13476</v>
      </c>
      <c r="V3252" s="13" t="s">
        <v>42</v>
      </c>
      <c r="W3252" s="13" t="s">
        <v>43</v>
      </c>
      <c r="X3252" s="21" t="n">
        <v>81947168852</v>
      </c>
      <c r="Y3252" s="22" t="str">
        <f aca="false">O3252</f>
        <v>Produksi ( Shearing )</v>
      </c>
      <c r="Z3252" s="13" t="str">
        <f aca="false">IFERROR(__xludf.dummyfunction("if(BJ3252="""","""",GOOGLETRANSLATE(BJ3252,""auto"",""en""))"),"Production (Shearing)")</f>
        <v>Production (Shearing)</v>
      </c>
      <c r="AA3252" s="23" t="str">
        <f aca="false">IF(C3252="","", CHOOSE(MONTH(C3252),"January","February","March","April","May","June","July","August","September","October","November","December")&amp;" "&amp;DAY(C3252)&amp;MID("thstndrdth",MIN(9,2*RIGHT(DAY(C3252))*(MOD(DAY(C3252)-11,100)&gt;2)+1),2)&amp;","&amp;TEXT(C3252," yyyy"))</f>
        <v>February 11th,2026</v>
      </c>
      <c r="AB3252" s="15" t="str">
        <f aca="true">IF(S3252="","",DATEDIF(S3252,TODAY(),"Y")&amp;" Tahun, "&amp;DATEDIF(S3252,TODAY(),"YM")&amp;" Bulan, "&amp;DATEDIF(S3252,TODAY(),"MD")&amp;" Hari")</f>
        <v>28 Tahun, 2 Bulan, 17 Hari</v>
      </c>
      <c r="AC3252" s="18" t="n">
        <v>46064</v>
      </c>
      <c r="AD3252" s="18" t="n">
        <f aca="false">EDATE(AC3252,3)-1</f>
        <v>46152</v>
      </c>
      <c r="AE3252" s="13" t="s">
        <v>44</v>
      </c>
    </row>
    <row r="3253" customFormat="false" ht="15" hidden="false" customHeight="true" outlineLevel="0" collapsed="false">
      <c r="A3253" s="12" t="n">
        <v>21852</v>
      </c>
      <c r="B3253" s="13" t="s">
        <v>13477</v>
      </c>
      <c r="C3253" s="16" t="n">
        <v>46064</v>
      </c>
      <c r="D3253" s="13" t="s">
        <v>3022</v>
      </c>
      <c r="E3253" s="15" t="s">
        <v>789</v>
      </c>
      <c r="F3253" s="24" t="s">
        <v>13478</v>
      </c>
      <c r="G3253" s="13" t="s">
        <v>57</v>
      </c>
      <c r="H3253" s="13" t="s">
        <v>3024</v>
      </c>
      <c r="I3253" s="13" t="str">
        <f aca="false">IF(C3253=J3253,"NEW KONTRAK","RE-KONTRAK")</f>
        <v>NEW KONTRAK</v>
      </c>
      <c r="J3253" s="16" t="n">
        <f aca="false" t="array" ref="J3253:J3253">IFERROR(INDEX(AC3253:AE3253,IF(COUNTA(AC3253:AE3253)=0,"",MAX((AC3253:AE3253&lt;&gt;"")*(COLUMN(AC3253:AE3253)-(COLUMN(AC3253)))))-1),"")</f>
        <v>46064</v>
      </c>
      <c r="K3253" s="16" t="n">
        <f aca="false" t="array" ref="K3253:K3253">IFERROR(INDEX(AC3253:AE3253,IF(COUNTA(AC3253:AE3253)=0,"",MAX((AC3253:AE3253&lt;&gt;"")*(COLUMN(AC3253:AE3253)-(COLUMN(AC3253)-1))))-1),"")</f>
        <v>46152</v>
      </c>
      <c r="L3253" s="17" t="str">
        <f aca="false" t="array" ref="L3253:L3253">IFERROR(INDEX(AC3253:AE3253,IF(COUNTA(AC3253:AE3253)=0,"",MAX((AC3253:AE3253&lt;&gt;"")*(COLUMN(AC3253:AE3253)-(COLUMN(AC3253)-2))))-1),"")</f>
        <v>ARCHIVED</v>
      </c>
      <c r="M3253" s="13" t="n">
        <f aca="true">K3253-TODAY()</f>
        <v>-172</v>
      </c>
      <c r="N3253" s="18" t="s">
        <v>36</v>
      </c>
      <c r="O3253" s="13" t="s">
        <v>3750</v>
      </c>
      <c r="P3253" s="19" t="n">
        <v>112500</v>
      </c>
      <c r="Q3253" s="47" t="s">
        <v>13479</v>
      </c>
      <c r="R3253" s="13" t="s">
        <v>39</v>
      </c>
      <c r="S3253" s="16" t="n">
        <v>36068</v>
      </c>
      <c r="T3253" s="28" t="s">
        <v>40</v>
      </c>
      <c r="U3253" s="13" t="s">
        <v>13480</v>
      </c>
      <c r="V3253" s="13" t="s">
        <v>42</v>
      </c>
      <c r="W3253" s="13" t="s">
        <v>54</v>
      </c>
      <c r="X3253" s="21" t="n">
        <v>85708111168</v>
      </c>
      <c r="Y3253" s="22" t="str">
        <f aca="false">O3253</f>
        <v>Produksi ( Painting )</v>
      </c>
      <c r="Z3253" s="13" t="str">
        <f aca="false">IFERROR(__xludf.dummyfunction("if(BJ3253="""","""",GOOGLETRANSLATE(BJ3253,""auto"",""en""))"),"Production (Painting)")</f>
        <v>Production (Painting)</v>
      </c>
      <c r="AA3253" s="23" t="str">
        <f aca="false">IF(C3253="","", CHOOSE(MONTH(C3253),"January","February","March","April","May","June","July","August","September","October","November","December")&amp;" "&amp;DAY(C3253)&amp;MID("thstndrdth",MIN(9,2*RIGHT(DAY(C3253))*(MOD(DAY(C3253)-11,100)&gt;2)+1),2)&amp;","&amp;TEXT(C3253," yyyy"))</f>
        <v>February 11th,2026</v>
      </c>
      <c r="AB3253" s="15" t="str">
        <f aca="true">IF(S3253="","",DATEDIF(S3253,TODAY(),"Y")&amp;" Tahun, "&amp;DATEDIF(S3253,TODAY(),"YM")&amp;" Bulan, "&amp;DATEDIF(S3253,TODAY(),"MD")&amp;" Hari")</f>
        <v>28 Tahun, 0 Bulan, 29 Hari</v>
      </c>
      <c r="AC3253" s="18" t="n">
        <v>46064</v>
      </c>
      <c r="AD3253" s="18" t="n">
        <f aca="false">EDATE(AC3253,3)-1</f>
        <v>46152</v>
      </c>
      <c r="AE3253" s="13" t="s">
        <v>44</v>
      </c>
    </row>
    <row r="3254" customFormat="false" ht="15" hidden="false" customHeight="true" outlineLevel="0" collapsed="false">
      <c r="A3254" s="12" t="n">
        <v>21853</v>
      </c>
      <c r="B3254" s="13" t="s">
        <v>13481</v>
      </c>
      <c r="C3254" s="16" t="n">
        <v>46064</v>
      </c>
      <c r="D3254" s="13" t="s">
        <v>3022</v>
      </c>
      <c r="E3254" s="15" t="s">
        <v>47</v>
      </c>
      <c r="F3254" s="15" t="str">
        <f aca="false">IFERROR(__xludf.dummyfunction("XLOOKUP(AJ3254,IMPORTRANGE(""1XaInW9DU9nz21V0tYIfzFQ0He9kVQ_JF2mCXgZ3hqFA"",""REKAP ALL 2026 - Andika!G:G""),IMPORTRANGE(""1XaInW9DU9nz21V0tYIfzFQ0He9kVQ_JF2mCXgZ3hqFA"",""REKAP ALL 2026 - Andika!F:F""),"""",0)"),"26035120067")</f>
        <v>26035120067</v>
      </c>
      <c r="G3254" s="13" t="s">
        <v>57</v>
      </c>
      <c r="H3254" s="13" t="s">
        <v>3024</v>
      </c>
      <c r="I3254" s="13" t="str">
        <f aca="false">IF(C3254=J3254,"NEW KONTRAK","RE-KONTRAK")</f>
        <v>NEW KONTRAK</v>
      </c>
      <c r="J3254" s="16" t="n">
        <f aca="false" t="array" ref="J3254:J3254">IFERROR(INDEX(AC3254:AE3254,IF(COUNTA(AC3254:AE3254)=0,"",MAX((AC3254:AE3254&lt;&gt;"")*(COLUMN(AC3254:AE3254)-(COLUMN(AC3254)))))-1),"")</f>
        <v>46064</v>
      </c>
      <c r="K3254" s="16" t="n">
        <f aca="false" t="array" ref="K3254:K3254">IFERROR(INDEX(AC3254:AE3254,IF(COUNTA(AC3254:AE3254)=0,"",MAX((AC3254:AE3254&lt;&gt;"")*(COLUMN(AC3254:AE3254)-(COLUMN(AC3254)-1))))-1),"")</f>
        <v>46152</v>
      </c>
      <c r="L3254" s="17" t="str">
        <f aca="false" t="array" ref="L3254:L3254">IFERROR(INDEX(AC3254:AE3254,IF(COUNTA(AC3254:AE3254)=0,"",MAX((AC3254:AE3254&lt;&gt;"")*(COLUMN(AC3254:AE3254)-(COLUMN(AC3254)-2))))-1),"")</f>
        <v>ARCHIVED</v>
      </c>
      <c r="M3254" s="13" t="n">
        <f aca="true">K3254-TODAY()</f>
        <v>-172</v>
      </c>
      <c r="N3254" s="18" t="s">
        <v>36</v>
      </c>
      <c r="O3254" s="13" t="s">
        <v>3750</v>
      </c>
      <c r="P3254" s="19" t="n">
        <v>112500</v>
      </c>
      <c r="Q3254" s="47" t="s">
        <v>13482</v>
      </c>
      <c r="R3254" s="13" t="s">
        <v>39</v>
      </c>
      <c r="S3254" s="16" t="n">
        <v>37722</v>
      </c>
      <c r="T3254" s="28" t="s">
        <v>40</v>
      </c>
      <c r="U3254" s="13" t="s">
        <v>13483</v>
      </c>
      <c r="V3254" s="13" t="s">
        <v>42</v>
      </c>
      <c r="W3254" s="13" t="s">
        <v>43</v>
      </c>
      <c r="X3254" s="21" t="n">
        <v>81235576004</v>
      </c>
      <c r="Y3254" s="22" t="str">
        <f aca="false">O3254</f>
        <v>Produksi ( Painting )</v>
      </c>
      <c r="Z3254" s="13" t="str">
        <f aca="false">IFERROR(__xludf.dummyfunction("if(BJ3254="""","""",GOOGLETRANSLATE(BJ3254,""auto"",""en""))"),"Production (Painting)")</f>
        <v>Production (Painting)</v>
      </c>
      <c r="AA3254" s="23" t="str">
        <f aca="false">IF(C3254="","", CHOOSE(MONTH(C3254),"January","February","March","April","May","June","July","August","September","October","November","December")&amp;" "&amp;DAY(C3254)&amp;MID("thstndrdth",MIN(9,2*RIGHT(DAY(C3254))*(MOD(DAY(C3254)-11,100)&gt;2)+1),2)&amp;","&amp;TEXT(C3254," yyyy"))</f>
        <v>February 11th,2026</v>
      </c>
      <c r="AB3254" s="15" t="str">
        <f aca="true">IF(S3254="","",DATEDIF(S3254,TODAY(),"Y")&amp;" Tahun, "&amp;DATEDIF(S3254,TODAY(),"YM")&amp;" Bulan, "&amp;DATEDIF(S3254,TODAY(),"MD")&amp;" Hari")</f>
        <v>23 Tahun, 6 Bulan, 18 Hari</v>
      </c>
      <c r="AC3254" s="18" t="n">
        <v>46064</v>
      </c>
      <c r="AD3254" s="18" t="n">
        <f aca="false">EDATE(AC3254,3)-1</f>
        <v>46152</v>
      </c>
      <c r="AE3254" s="18" t="s">
        <v>44</v>
      </c>
    </row>
    <row r="3255" customFormat="false" ht="15" hidden="false" customHeight="true" outlineLevel="0" collapsed="false">
      <c r="A3255" s="12" t="n">
        <v>21854</v>
      </c>
      <c r="B3255" s="13" t="s">
        <v>13484</v>
      </c>
      <c r="C3255" s="16" t="n">
        <v>46064</v>
      </c>
      <c r="D3255" s="13" t="s">
        <v>3022</v>
      </c>
      <c r="E3255" s="15" t="s">
        <v>789</v>
      </c>
      <c r="F3255" s="24" t="s">
        <v>13485</v>
      </c>
      <c r="G3255" s="13" t="s">
        <v>57</v>
      </c>
      <c r="H3255" s="13" t="s">
        <v>3024</v>
      </c>
      <c r="I3255" s="13" t="str">
        <f aca="false">IF(C3255=J3255,"NEW KONTRAK","RE-KONTRAK")</f>
        <v>NEW KONTRAK</v>
      </c>
      <c r="J3255" s="16" t="n">
        <f aca="false" t="array" ref="J3255:J3255">IFERROR(INDEX(AC3255:AE3255,IF(COUNTA(AC3255:AE3255)=0,"",MAX((AC3255:AE3255&lt;&gt;"")*(COLUMN(AC3255:AE3255)-(COLUMN(AC3255)))))-1),"")</f>
        <v>46064</v>
      </c>
      <c r="K3255" s="16" t="n">
        <f aca="false" t="array" ref="K3255:K3255">IFERROR(INDEX(AC3255:AE3255,IF(COUNTA(AC3255:AE3255)=0,"",MAX((AC3255:AE3255&lt;&gt;"")*(COLUMN(AC3255:AE3255)-(COLUMN(AC3255)-1))))-1),"")</f>
        <v>46152</v>
      </c>
      <c r="L3255" s="17" t="str">
        <f aca="false" t="array" ref="L3255:L3255">IFERROR(INDEX(AC3255:AE3255,IF(COUNTA(AC3255:AE3255)=0,"",MAX((AC3255:AE3255&lt;&gt;"")*(COLUMN(AC3255:AE3255)-(COLUMN(AC3255)-2))))-1),"")</f>
        <v>ARCHIVED</v>
      </c>
      <c r="M3255" s="13" t="n">
        <f aca="true">K3255-TODAY()</f>
        <v>-172</v>
      </c>
      <c r="N3255" s="18" t="s">
        <v>36</v>
      </c>
      <c r="O3255" s="13" t="s">
        <v>3750</v>
      </c>
      <c r="P3255" s="19" t="n">
        <v>112500</v>
      </c>
      <c r="Q3255" s="47" t="s">
        <v>13486</v>
      </c>
      <c r="R3255" s="13" t="s">
        <v>65</v>
      </c>
      <c r="S3255" s="16" t="n">
        <v>38160</v>
      </c>
      <c r="T3255" s="28" t="s">
        <v>40</v>
      </c>
      <c r="U3255" s="13" t="s">
        <v>13487</v>
      </c>
      <c r="V3255" s="13" t="s">
        <v>42</v>
      </c>
      <c r="W3255" s="13" t="s">
        <v>43</v>
      </c>
      <c r="X3255" s="21" t="n">
        <v>8993313610</v>
      </c>
      <c r="Y3255" s="22" t="str">
        <f aca="false">O3255</f>
        <v>Produksi ( Painting )</v>
      </c>
      <c r="Z3255" s="13" t="str">
        <f aca="false">IFERROR(__xludf.dummyfunction("if(BJ3255="""","""",GOOGLETRANSLATE(BJ3255,""auto"",""en""))"),"Production (Painting)")</f>
        <v>Production (Painting)</v>
      </c>
      <c r="AA3255" s="23" t="str">
        <f aca="false">IF(C3255="","", CHOOSE(MONTH(C3255),"January","February","March","April","May","June","July","August","September","October","November","December")&amp;" "&amp;DAY(C3255)&amp;MID("thstndrdth",MIN(9,2*RIGHT(DAY(C3255))*(MOD(DAY(C3255)-11,100)&gt;2)+1),2)&amp;","&amp;TEXT(C3255," yyyy"))</f>
        <v>February 11th,2026</v>
      </c>
      <c r="AB3255" s="15" t="str">
        <f aca="true">IF(S3255="","",DATEDIF(S3255,TODAY(),"Y")&amp;" Tahun, "&amp;DATEDIF(S3255,TODAY(),"YM")&amp;" Bulan, "&amp;DATEDIF(S3255,TODAY(),"MD")&amp;" Hari")</f>
        <v>22 Tahun, 4 Bulan, 7 Hari</v>
      </c>
      <c r="AC3255" s="18" t="n">
        <v>46064</v>
      </c>
      <c r="AD3255" s="18" t="n">
        <f aca="false">EDATE(AC3255,3)-1</f>
        <v>46152</v>
      </c>
      <c r="AE3255" s="13" t="s">
        <v>44</v>
      </c>
    </row>
    <row r="3256" customFormat="false" ht="15" hidden="false" customHeight="true" outlineLevel="0" collapsed="false">
      <c r="A3256" s="12" t="n">
        <v>21855</v>
      </c>
      <c r="B3256" s="13" t="s">
        <v>13488</v>
      </c>
      <c r="C3256" s="16" t="n">
        <v>46064</v>
      </c>
      <c r="D3256" s="13" t="s">
        <v>3022</v>
      </c>
      <c r="E3256" s="15" t="s">
        <v>789</v>
      </c>
      <c r="F3256" s="24" t="s">
        <v>13489</v>
      </c>
      <c r="G3256" s="13" t="s">
        <v>57</v>
      </c>
      <c r="H3256" s="13" t="s">
        <v>3024</v>
      </c>
      <c r="I3256" s="13" t="str">
        <f aca="false">IF(C3256=J3256,"NEW KONTRAK","RE-KONTRAK")</f>
        <v>NEW KONTRAK</v>
      </c>
      <c r="J3256" s="16" t="n">
        <f aca="false" t="array" ref="J3256:J3256">IFERROR(INDEX(AC3256:AE3256,IF(COUNTA(AC3256:AE3256)=0,"",MAX((AC3256:AE3256&lt;&gt;"")*(COLUMN(AC3256:AE3256)-(COLUMN(AC3256)))))-1),"")</f>
        <v>46064</v>
      </c>
      <c r="K3256" s="16" t="n">
        <f aca="false" t="array" ref="K3256:K3256">IFERROR(INDEX(AC3256:AE3256,IF(COUNTA(AC3256:AE3256)=0,"",MAX((AC3256:AE3256&lt;&gt;"")*(COLUMN(AC3256:AE3256)-(COLUMN(AC3256)-1))))-1),"")</f>
        <v>46152</v>
      </c>
      <c r="L3256" s="17" t="str">
        <f aca="false" t="array" ref="L3256:L3256">IFERROR(INDEX(AC3256:AE3256,IF(COUNTA(AC3256:AE3256)=0,"",MAX((AC3256:AE3256&lt;&gt;"")*(COLUMN(AC3256:AE3256)-(COLUMN(AC3256)-2))))-1),"")</f>
        <v>ARCHIVED</v>
      </c>
      <c r="M3256" s="13" t="n">
        <f aca="true">K3256-TODAY()</f>
        <v>-172</v>
      </c>
      <c r="N3256" s="18" t="s">
        <v>36</v>
      </c>
      <c r="O3256" s="13" t="s">
        <v>3750</v>
      </c>
      <c r="P3256" s="19" t="n">
        <v>112500</v>
      </c>
      <c r="Q3256" s="47" t="s">
        <v>13490</v>
      </c>
      <c r="R3256" s="13" t="s">
        <v>65</v>
      </c>
      <c r="S3256" s="16" t="n">
        <v>36106</v>
      </c>
      <c r="T3256" s="28" t="s">
        <v>40</v>
      </c>
      <c r="U3256" s="13" t="s">
        <v>13491</v>
      </c>
      <c r="V3256" s="13" t="s">
        <v>42</v>
      </c>
      <c r="W3256" s="13" t="s">
        <v>43</v>
      </c>
      <c r="X3256" s="21" t="n">
        <v>89516574955</v>
      </c>
      <c r="Y3256" s="22" t="str">
        <f aca="false">O3256</f>
        <v>Produksi ( Painting )</v>
      </c>
      <c r="Z3256" s="13" t="str">
        <f aca="false">IFERROR(__xludf.dummyfunction("if(BJ3256="""","""",GOOGLETRANSLATE(BJ3256,""auto"",""en""))"),"Production (Painting)")</f>
        <v>Production (Painting)</v>
      </c>
      <c r="AA3256" s="23" t="str">
        <f aca="false">IF(C3256="","", CHOOSE(MONTH(C3256),"January","February","March","April","May","June","July","August","September","October","November","December")&amp;" "&amp;DAY(C3256)&amp;MID("thstndrdth",MIN(9,2*RIGHT(DAY(C3256))*(MOD(DAY(C3256)-11,100)&gt;2)+1),2)&amp;","&amp;TEXT(C3256," yyyy"))</f>
        <v>February 11th,2026</v>
      </c>
      <c r="AB3256" s="15" t="str">
        <f aca="true">IF(S3256="","",DATEDIF(S3256,TODAY(),"Y")&amp;" Tahun, "&amp;DATEDIF(S3256,TODAY(),"YM")&amp;" Bulan, "&amp;DATEDIF(S3256,TODAY(),"MD")&amp;" Hari")</f>
        <v>27 Tahun, 11 Bulan, 22 Hari</v>
      </c>
      <c r="AC3256" s="18" t="n">
        <v>46064</v>
      </c>
      <c r="AD3256" s="18" t="n">
        <f aca="false">EDATE(AC3256,3)-1</f>
        <v>46152</v>
      </c>
      <c r="AE3256" s="13" t="s">
        <v>44</v>
      </c>
    </row>
    <row r="3257" customFormat="false" ht="15" hidden="false" customHeight="true" outlineLevel="0" collapsed="false">
      <c r="A3257" s="12" t="n">
        <v>21856</v>
      </c>
      <c r="B3257" s="13" t="s">
        <v>13492</v>
      </c>
      <c r="C3257" s="16" t="n">
        <v>46064</v>
      </c>
      <c r="D3257" s="13" t="s">
        <v>3022</v>
      </c>
      <c r="E3257" s="15" t="s">
        <v>789</v>
      </c>
      <c r="F3257" s="24" t="s">
        <v>13493</v>
      </c>
      <c r="G3257" s="13" t="s">
        <v>57</v>
      </c>
      <c r="H3257" s="13" t="s">
        <v>3024</v>
      </c>
      <c r="I3257" s="13" t="str">
        <f aca="false">IF(C3257=J3257,"NEW KONTRAK","RE-KONTRAK")</f>
        <v>NEW KONTRAK</v>
      </c>
      <c r="J3257" s="16" t="n">
        <f aca="false" t="array" ref="J3257:J3257">IFERROR(INDEX(AC3257:AE3257,IF(COUNTA(AC3257:AE3257)=0,"",MAX((AC3257:AE3257&lt;&gt;"")*(COLUMN(AC3257:AE3257)-(COLUMN(AC3257)))))-1),"")</f>
        <v>46064</v>
      </c>
      <c r="K3257" s="16" t="n">
        <f aca="false" t="array" ref="K3257:K3257">IFERROR(INDEX(AC3257:AE3257,IF(COUNTA(AC3257:AE3257)=0,"",MAX((AC3257:AE3257&lt;&gt;"")*(COLUMN(AC3257:AE3257)-(COLUMN(AC3257)-1))))-1),"")</f>
        <v>46152</v>
      </c>
      <c r="L3257" s="17" t="str">
        <f aca="false" t="array" ref="L3257:L3257">IFERROR(INDEX(AC3257:AE3257,IF(COUNTA(AC3257:AE3257)=0,"",MAX((AC3257:AE3257&lt;&gt;"")*(COLUMN(AC3257:AE3257)-(COLUMN(AC3257)-2))))-1),"")</f>
        <v>ARCHIVED</v>
      </c>
      <c r="M3257" s="13" t="n">
        <f aca="true">K3257-TODAY()</f>
        <v>-172</v>
      </c>
      <c r="N3257" s="18" t="s">
        <v>36</v>
      </c>
      <c r="O3257" s="13" t="s">
        <v>3750</v>
      </c>
      <c r="P3257" s="19" t="n">
        <v>112500</v>
      </c>
      <c r="Q3257" s="47" t="s">
        <v>13494</v>
      </c>
      <c r="R3257" s="13" t="s">
        <v>9040</v>
      </c>
      <c r="S3257" s="16" t="n">
        <v>35840</v>
      </c>
      <c r="T3257" s="28" t="s">
        <v>40</v>
      </c>
      <c r="U3257" s="13" t="s">
        <v>13495</v>
      </c>
      <c r="V3257" s="13" t="s">
        <v>42</v>
      </c>
      <c r="W3257" s="13" t="s">
        <v>43</v>
      </c>
      <c r="X3257" s="21" t="n">
        <v>89676326246</v>
      </c>
      <c r="Y3257" s="22" t="str">
        <f aca="false">O3257</f>
        <v>Produksi ( Painting )</v>
      </c>
      <c r="Z3257" s="13" t="str">
        <f aca="false">IFERROR(__xludf.dummyfunction("if(BJ3257="""","""",GOOGLETRANSLATE(BJ3257,""auto"",""en""))"),"Production (Painting)")</f>
        <v>Production (Painting)</v>
      </c>
      <c r="AA3257" s="23" t="str">
        <f aca="false">IF(C3257="","", CHOOSE(MONTH(C3257),"January","February","March","April","May","June","July","August","September","October","November","December")&amp;" "&amp;DAY(C3257)&amp;MID("thstndrdth",MIN(9,2*RIGHT(DAY(C3257))*(MOD(DAY(C3257)-11,100)&gt;2)+1),2)&amp;","&amp;TEXT(C3257," yyyy"))</f>
        <v>February 11th,2026</v>
      </c>
      <c r="AB3257" s="15" t="str">
        <f aca="true">IF(S3257="","",DATEDIF(S3257,TODAY(),"Y")&amp;" Tahun, "&amp;DATEDIF(S3257,TODAY(),"YM")&amp;" Bulan, "&amp;DATEDIF(S3257,TODAY(),"MD")&amp;" Hari")</f>
        <v>28 Tahun, 8 Bulan, 15 Hari</v>
      </c>
      <c r="AC3257" s="18" t="n">
        <v>46064</v>
      </c>
      <c r="AD3257" s="18" t="n">
        <f aca="false">EDATE(AC3257,3)-1</f>
        <v>46152</v>
      </c>
      <c r="AE3257" s="13" t="s">
        <v>44</v>
      </c>
    </row>
    <row r="3258" customFormat="false" ht="15" hidden="false" customHeight="true" outlineLevel="0" collapsed="false">
      <c r="A3258" s="12" t="n">
        <v>21857</v>
      </c>
      <c r="B3258" s="13" t="s">
        <v>13496</v>
      </c>
      <c r="C3258" s="16" t="n">
        <v>46058</v>
      </c>
      <c r="D3258" s="13" t="s">
        <v>4252</v>
      </c>
      <c r="E3258" s="15" t="s">
        <v>102</v>
      </c>
      <c r="F3258" s="24" t="s">
        <v>13497</v>
      </c>
      <c r="G3258" s="13" t="s">
        <v>57</v>
      </c>
      <c r="H3258" s="13" t="s">
        <v>35</v>
      </c>
      <c r="I3258" s="13" t="str">
        <f aca="false">IF(C3258=J3258,"NEW KONTRAK","RE-KONTRAK")</f>
        <v>NEW KONTRAK</v>
      </c>
      <c r="J3258" s="16" t="n">
        <f aca="false" t="array" ref="J3258:J3258">IFERROR(INDEX(AC3258:AE3258,IF(COUNTA(AC3258:AE3258)=0,"",MAX((AC3258:AE3258&lt;&gt;"")*(COLUMN(AC3258:AE3258)-(COLUMN(AC3258)))))-1),"")</f>
        <v>46058</v>
      </c>
      <c r="K3258" s="16" t="n">
        <f aca="false" t="array" ref="K3258:K3258">IFERROR(INDEX(AC3258:AE3258,IF(COUNTA(AC3258:AE3258)=0,"",MAX((AC3258:AE3258&lt;&gt;"")*(COLUMN(AC3258:AE3258)-(COLUMN(AC3258)-1))))-1),"")</f>
        <v>46146</v>
      </c>
      <c r="L3258" s="17" t="str">
        <f aca="false" t="array" ref="L3258:L3258">IFERROR(INDEX(AC3258:AE3258,IF(COUNTA(AC3258:AE3258)=0,"",MAX((AC3258:AE3258&lt;&gt;"")*(COLUMN(AC3258:AE3258)-(COLUMN(AC3258)-2))))-1),"")</f>
        <v>ARCHIVED</v>
      </c>
      <c r="M3258" s="13" t="n">
        <f aca="true">K3258-TODAY()</f>
        <v>-178</v>
      </c>
      <c r="N3258" s="18" t="s">
        <v>36</v>
      </c>
      <c r="O3258" s="13" t="s">
        <v>13405</v>
      </c>
      <c r="P3258" s="27" t="n">
        <v>200000</v>
      </c>
      <c r="Q3258" s="20" t="s">
        <v>13498</v>
      </c>
      <c r="R3258" s="13" t="s">
        <v>763</v>
      </c>
      <c r="S3258" s="16" t="n">
        <v>33824</v>
      </c>
      <c r="T3258" s="28" t="s">
        <v>40</v>
      </c>
      <c r="U3258" s="13" t="s">
        <v>13499</v>
      </c>
      <c r="V3258" s="13" t="s">
        <v>42</v>
      </c>
      <c r="W3258" s="13" t="s">
        <v>54</v>
      </c>
      <c r="X3258" s="30" t="n">
        <v>87726343517</v>
      </c>
      <c r="Y3258" s="22" t="str">
        <f aca="false">O3258</f>
        <v>Helper Extruder</v>
      </c>
      <c r="Z3258" s="13" t="str">
        <f aca="false">IFERROR(__xludf.dummyfunction("if(BJ3258="""","""",GOOGLETRANSLATE(BJ3258,""auto"",""en""))"),"Helper Extruder")</f>
        <v>Helper Extruder</v>
      </c>
      <c r="AA3258" s="23" t="str">
        <f aca="false">IF(C3258="","", CHOOSE(MONTH(C3258),"January","February","March","April","May","June","July","August","September","October","November","December")&amp;" "&amp;DAY(C3258)&amp;MID("thstndrdth",MIN(9,2*RIGHT(DAY(C3258))*(MOD(DAY(C3258)-11,100)&gt;2)+1),2)&amp;","&amp;TEXT(C3258," yyyy"))</f>
        <v>February 5th,2026</v>
      </c>
      <c r="AB3258" s="15" t="str">
        <f aca="true">IF(S3258="","",DATEDIF(S3258,TODAY(),"Y")&amp;" Tahun, "&amp;DATEDIF(S3258,TODAY(),"YM")&amp;" Bulan, "&amp;DATEDIF(S3258,TODAY(),"MD")&amp;" Hari")</f>
        <v>34 Tahun, 2 Bulan, 21 Hari</v>
      </c>
      <c r="AC3258" s="18" t="n">
        <v>46058</v>
      </c>
      <c r="AD3258" s="18" t="n">
        <v>46146</v>
      </c>
      <c r="AE3258" s="13" t="s">
        <v>44</v>
      </c>
    </row>
    <row r="3259" customFormat="false" ht="15" hidden="false" customHeight="true" outlineLevel="0" collapsed="false">
      <c r="A3259" s="12" t="n">
        <v>21858</v>
      </c>
      <c r="B3259" s="13" t="s">
        <v>13500</v>
      </c>
      <c r="C3259" s="16" t="n">
        <v>46066</v>
      </c>
      <c r="D3259" s="13" t="s">
        <v>7948</v>
      </c>
      <c r="E3259" s="15" t="s">
        <v>7949</v>
      </c>
      <c r="F3259" s="15" t="str">
        <f aca="false">IFERROR(__xludf.dummyfunction("XLOOKUP(AJ3259,IMPORTRANGE(""1XaInW9DU9nz21V0tYIfzFQ0He9kVQ_JF2mCXgZ3hqFA"",""REKAP ALL 2026 - Andika!G:G""),IMPORTRANGE(""1XaInW9DU9nz21V0tYIfzFQ0He9kVQ_JF2mCXgZ3hqFA"",""REKAP ALL 2026 - Andika!F:F""),"""",0)"),"26035116016")</f>
        <v>26035116016</v>
      </c>
      <c r="G3259" s="13" t="s">
        <v>57</v>
      </c>
      <c r="H3259" s="13" t="s">
        <v>3024</v>
      </c>
      <c r="I3259" s="13" t="str">
        <f aca="false">IF(C3259=J3259,"NEW KONTRAK","RE-KONTRAK")</f>
        <v>NEW KONTRAK</v>
      </c>
      <c r="J3259" s="16" t="n">
        <f aca="false" t="array" ref="J3259:J3259">IFERROR(INDEX(AC3259:AE3259,IF(COUNTA(AC3259:AE3259)=0,"",MAX((AC3259:AE3259&lt;&gt;"")*(COLUMN(AC3259:AE3259)-(COLUMN(AC3259)))))-1),"")</f>
        <v>46066</v>
      </c>
      <c r="K3259" s="16" t="n">
        <f aca="false" t="array" ref="K3259:K3259">IFERROR(INDEX(AC3259:AE3259,IF(COUNTA(AC3259:AE3259)=0,"",MAX((AC3259:AE3259&lt;&gt;"")*(COLUMN(AC3259:AE3259)-(COLUMN(AC3259)-1))))-1),"")</f>
        <v>46154</v>
      </c>
      <c r="L3259" s="17" t="str">
        <f aca="false" t="array" ref="L3259:L3259">IFERROR(INDEX(AC3259:AE3259,IF(COUNTA(AC3259:AE3259)=0,"",MAX((AC3259:AE3259&lt;&gt;"")*(COLUMN(AC3259:AE3259)-(COLUMN(AC3259)-2))))-1),"")</f>
        <v>KEMBALI ONLINE</v>
      </c>
      <c r="M3259" s="13" t="n">
        <f aca="true">K3259-TODAY()</f>
        <v>-170</v>
      </c>
      <c r="N3259" s="18" t="s">
        <v>4051</v>
      </c>
      <c r="O3259" s="13" t="s">
        <v>7951</v>
      </c>
      <c r="P3259" s="19" t="n">
        <v>210000</v>
      </c>
      <c r="Q3259" s="47" t="s">
        <v>13501</v>
      </c>
      <c r="R3259" s="13" t="s">
        <v>232</v>
      </c>
      <c r="S3259" s="16" t="n">
        <v>34451</v>
      </c>
      <c r="T3259" s="28" t="s">
        <v>40</v>
      </c>
      <c r="U3259" s="13" t="s">
        <v>13502</v>
      </c>
      <c r="V3259" s="13" t="s">
        <v>42</v>
      </c>
      <c r="W3259" s="13" t="s">
        <v>54</v>
      </c>
      <c r="X3259" s="30" t="n">
        <v>87818304699</v>
      </c>
      <c r="Y3259" s="22" t="str">
        <f aca="false">O3259</f>
        <v>Mekanik Kiln</v>
      </c>
      <c r="Z3259" s="13" t="str">
        <f aca="false">IFERROR(__xludf.dummyfunction("if(BJ3259="""","""",GOOGLETRANSLATE(BJ3259,""auto"",""en""))"),"Kiln Mechanics")</f>
        <v>Kiln Mechanics</v>
      </c>
      <c r="AA3259" s="23" t="str">
        <f aca="false">IF(C3259="","", CHOOSE(MONTH(C3259),"January","February","March","April","May","June","July","August","September","October","November","December")&amp;" "&amp;DAY(C3259)&amp;MID("thstndrdth",MIN(9,2*RIGHT(DAY(C3259))*(MOD(DAY(C3259)-11,100)&gt;2)+1),2)&amp;","&amp;TEXT(C3259," yyyy"))</f>
        <v>February 13th,2026</v>
      </c>
      <c r="AB3259" s="15" t="str">
        <f aca="true">IF(S3259="","",DATEDIF(S3259,TODAY(),"Y")&amp;" Tahun, "&amp;DATEDIF(S3259,TODAY(),"YM")&amp;" Bulan, "&amp;DATEDIF(S3259,TODAY(),"MD")&amp;" Hari")</f>
        <v>32 Tahun, 6 Bulan, 2 Hari</v>
      </c>
      <c r="AC3259" s="18" t="n">
        <v>46066</v>
      </c>
      <c r="AD3259" s="18" t="n">
        <v>46154</v>
      </c>
      <c r="AE3259" s="13" t="s">
        <v>2387</v>
      </c>
    </row>
    <row r="3260" customFormat="false" ht="15" hidden="false" customHeight="true" outlineLevel="0" collapsed="false">
      <c r="A3260" s="12" t="n">
        <v>21859</v>
      </c>
      <c r="B3260" s="13" t="s">
        <v>13503</v>
      </c>
      <c r="C3260" s="16" t="n">
        <v>46066</v>
      </c>
      <c r="D3260" s="13" t="s">
        <v>7948</v>
      </c>
      <c r="E3260" s="15" t="s">
        <v>7949</v>
      </c>
      <c r="F3260" s="15" t="str">
        <f aca="false">IFERROR(__xludf.dummyfunction("XLOOKUP(AJ3260,IMPORTRANGE(""1XaInW9DU9nz21V0tYIfzFQ0He9kVQ_JF2mCXgZ3hqFA"",""REKAP ALL 2026 - Andika!G:G""),IMPORTRANGE(""1XaInW9DU9nz21V0tYIfzFQ0He9kVQ_JF2mCXgZ3hqFA"",""REKAP ALL 2026 - Andika!F:F""),"""",0)"),"26035116024")</f>
        <v>26035116024</v>
      </c>
      <c r="G3260" s="13" t="s">
        <v>57</v>
      </c>
      <c r="H3260" s="13" t="s">
        <v>3024</v>
      </c>
      <c r="I3260" s="13" t="str">
        <f aca="false">IF(C3260=J3260,"NEW KONTRAK","RE-KONTRAK")</f>
        <v>NEW KONTRAK</v>
      </c>
      <c r="J3260" s="16" t="n">
        <f aca="false" t="array" ref="J3260:J3260">IFERROR(INDEX(AC3260:AE3260,IF(COUNTA(AC3260:AE3260)=0,"",MAX((AC3260:AE3260&lt;&gt;"")*(COLUMN(AC3260:AE3260)-(COLUMN(AC3260)))))-1),"")</f>
        <v>46066</v>
      </c>
      <c r="K3260" s="16" t="n">
        <f aca="false" t="array" ref="K3260:K3260">IFERROR(INDEX(AC3260:AE3260,IF(COUNTA(AC3260:AE3260)=0,"",MAX((AC3260:AE3260&lt;&gt;"")*(COLUMN(AC3260:AE3260)-(COLUMN(AC3260)-1))))-1),"")</f>
        <v>46154</v>
      </c>
      <c r="L3260" s="17" t="str">
        <f aca="false" t="array" ref="L3260:L3260">IFERROR(INDEX(AC3260:AE3260,IF(COUNTA(AC3260:AE3260)=0,"",MAX((AC3260:AE3260&lt;&gt;"")*(COLUMN(AC3260:AE3260)-(COLUMN(AC3260)-2))))-1),"")</f>
        <v>KEMBALI ONLINE</v>
      </c>
      <c r="M3260" s="13" t="n">
        <f aca="true">K3260-TODAY()</f>
        <v>-170</v>
      </c>
      <c r="N3260" s="18" t="s">
        <v>4051</v>
      </c>
      <c r="O3260" s="13" t="s">
        <v>7951</v>
      </c>
      <c r="P3260" s="19" t="n">
        <v>210000</v>
      </c>
      <c r="Q3260" s="47" t="s">
        <v>13504</v>
      </c>
      <c r="R3260" s="13" t="s">
        <v>232</v>
      </c>
      <c r="S3260" s="16" t="n">
        <v>30895</v>
      </c>
      <c r="T3260" s="28" t="s">
        <v>40</v>
      </c>
      <c r="U3260" s="13" t="s">
        <v>13505</v>
      </c>
      <c r="V3260" s="13" t="s">
        <v>42</v>
      </c>
      <c r="W3260" s="13" t="s">
        <v>54</v>
      </c>
      <c r="X3260" s="30" t="n">
        <v>81213983735</v>
      </c>
      <c r="Y3260" s="22" t="str">
        <f aca="false">O3260</f>
        <v>Mekanik Kiln</v>
      </c>
      <c r="Z3260" s="13" t="str">
        <f aca="false">IFERROR(__xludf.dummyfunction("if(BJ3260="""","""",GOOGLETRANSLATE(BJ3260,""auto"",""en""))"),"Kiln Mechanics")</f>
        <v>Kiln Mechanics</v>
      </c>
      <c r="AA3260" s="23" t="str">
        <f aca="false">IF(C3260="","", CHOOSE(MONTH(C3260),"January","February","March","April","May","June","July","August","September","October","November","December")&amp;" "&amp;DAY(C3260)&amp;MID("thstndrdth",MIN(9,2*RIGHT(DAY(C3260))*(MOD(DAY(C3260)-11,100)&gt;2)+1),2)&amp;","&amp;TEXT(C3260," yyyy"))</f>
        <v>February 13th,2026</v>
      </c>
      <c r="AB3260" s="15" t="str">
        <f aca="true">IF(S3260="","",DATEDIF(S3260,TODAY(),"Y")&amp;" Tahun, "&amp;DATEDIF(S3260,TODAY(),"YM")&amp;" Bulan, "&amp;DATEDIF(S3260,TODAY(),"MD")&amp;" Hari")</f>
        <v>42 Tahun, 2 Bulan, 28 Hari</v>
      </c>
      <c r="AC3260" s="18" t="n">
        <v>46066</v>
      </c>
      <c r="AD3260" s="18" t="n">
        <v>46154</v>
      </c>
      <c r="AE3260" s="13" t="s">
        <v>2387</v>
      </c>
    </row>
    <row r="3261" customFormat="false" ht="15" hidden="false" customHeight="true" outlineLevel="0" collapsed="false">
      <c r="A3261" s="12" t="n">
        <v>21860</v>
      </c>
      <c r="B3261" s="13" t="s">
        <v>13506</v>
      </c>
      <c r="C3261" s="16" t="n">
        <v>46071</v>
      </c>
      <c r="D3261" s="13" t="s">
        <v>46</v>
      </c>
      <c r="E3261" s="15" t="s">
        <v>102</v>
      </c>
      <c r="F3261" s="15" t="str">
        <f aca="false">IFERROR(__xludf.dummyfunction("XLOOKUP(AJ3261,IMPORTRANGE(""1XaInW9DU9nz21V0tYIfzFQ0He9kVQ_JF2mCXgZ3hqFA"",""REKAP ALL 2026 - Andika!G:G""),IMPORTRANGE(""1XaInW9DU9nz21V0tYIfzFQ0He9kVQ_JF2mCXgZ3hqFA"",""REKAP ALL 2026 - Andika!F:F""),"""",0)"),"26035119663")</f>
        <v>26035119663</v>
      </c>
      <c r="G3261" s="28" t="s">
        <v>57</v>
      </c>
      <c r="H3261" s="13" t="s">
        <v>35</v>
      </c>
      <c r="I3261" s="13" t="str">
        <f aca="false">IF(C3261=J3261,"NEW KONTRAK","RE-KONTRAK")</f>
        <v>NEW KONTRAK</v>
      </c>
      <c r="J3261" s="16" t="n">
        <f aca="false" t="array" ref="J3261:J3261">IFERROR(INDEX(AC3261:AE3261,IF(COUNTA(AC3261:AE3261)=0,"",MAX((AC3261:AE3261&lt;&gt;"")*(COLUMN(AC3261:AE3261)-(COLUMN(AC3261)))))-1),"")</f>
        <v>46071</v>
      </c>
      <c r="K3261" s="16" t="n">
        <f aca="false" t="array" ref="K3261:K3261">IFERROR(INDEX(AC3261:AE3261,IF(COUNTA(AC3261:AE3261)=0,"",MAX((AC3261:AE3261&lt;&gt;"")*(COLUMN(AC3261:AE3261)-(COLUMN(AC3261)-1))))-1),"")</f>
        <v>46251</v>
      </c>
      <c r="L3261" s="17" t="str">
        <f aca="false" t="array" ref="L3261:L3261">IFERROR(INDEX(AC3261:AE3261,IF(COUNTA(AC3261:AE3261)=0,"",MAX((AC3261:AE3261&lt;&gt;"")*(COLUMN(AC3261:AE3261)-(COLUMN(AC3261)-2))))-1),"")</f>
        <v>ARCHIVED</v>
      </c>
      <c r="M3261" s="13" t="n">
        <f aca="true">K3261-TODAY()</f>
        <v>-73</v>
      </c>
      <c r="N3261" s="18" t="s">
        <v>36</v>
      </c>
      <c r="O3261" s="13" t="s">
        <v>11962</v>
      </c>
      <c r="P3261" s="19" t="n">
        <v>5195401</v>
      </c>
      <c r="Q3261" s="20" t="s">
        <v>13507</v>
      </c>
      <c r="R3261" s="13" t="s">
        <v>65</v>
      </c>
      <c r="S3261" s="16" t="n">
        <v>34101</v>
      </c>
      <c r="T3261" s="13" t="s">
        <v>108</v>
      </c>
      <c r="U3261" s="13" t="s">
        <v>13508</v>
      </c>
      <c r="V3261" s="13" t="s">
        <v>42</v>
      </c>
      <c r="W3261" s="13" t="s">
        <v>43</v>
      </c>
      <c r="X3261" s="21" t="n">
        <v>82249720605</v>
      </c>
      <c r="Y3261" s="22" t="str">
        <f aca="false">O3261</f>
        <v>Accounting</v>
      </c>
      <c r="Z3261" s="13" t="str">
        <f aca="false">IFERROR(__xludf.dummyfunction("if(BJ3261="""","""",GOOGLETRANSLATE(BJ3261,""auto"",""en""))"),"Accounting")</f>
        <v>Accounting</v>
      </c>
      <c r="AA3261" s="23" t="str">
        <f aca="false">IF(C3261="","", CHOOSE(MONTH(C3261),"January","February","March","April","May","June","July","August","September","October","November","December")&amp;" "&amp;DAY(C3261)&amp;MID("thstndrdth",MIN(9,2*RIGHT(DAY(C3261))*(MOD(DAY(C3261)-11,100)&gt;2)+1),2)&amp;","&amp;TEXT(C3261," yyyy"))</f>
        <v>February 18th,2026</v>
      </c>
      <c r="AB3261" s="15" t="str">
        <f aca="true">IF(S3261="","",DATEDIF(S3261,TODAY(),"Y")&amp;" Tahun, "&amp;DATEDIF(S3261,TODAY(),"YM")&amp;" Bulan, "&amp;DATEDIF(S3261,TODAY(),"MD")&amp;" Hari")</f>
        <v>33 Tahun, 5 Bulan, 17 Hari</v>
      </c>
      <c r="AC3261" s="18" t="n">
        <v>46071</v>
      </c>
      <c r="AD3261" s="18" t="n">
        <f aca="false">EDATE(AC3261,6)-1</f>
        <v>46251</v>
      </c>
      <c r="AE3261" s="13" t="s">
        <v>44</v>
      </c>
    </row>
    <row r="3262" customFormat="false" ht="15" hidden="false" customHeight="true" outlineLevel="0" collapsed="false">
      <c r="A3262" s="12" t="n">
        <v>21861</v>
      </c>
      <c r="B3262" s="13" t="s">
        <v>13509</v>
      </c>
      <c r="C3262" s="16" t="n">
        <v>46060</v>
      </c>
      <c r="D3262" s="13" t="s">
        <v>7310</v>
      </c>
      <c r="E3262" s="15" t="s">
        <v>102</v>
      </c>
      <c r="F3262" s="24" t="s">
        <v>13510</v>
      </c>
      <c r="G3262" s="13" t="s">
        <v>1127</v>
      </c>
      <c r="H3262" s="13" t="s">
        <v>35</v>
      </c>
      <c r="I3262" s="13" t="str">
        <f aca="false">IF(C3262=J3262,"NEW KONTRAK","RE-KONTRAK")</f>
        <v>NEW KONTRAK</v>
      </c>
      <c r="J3262" s="16" t="n">
        <f aca="false" t="array" ref="J3262:J3262">IFERROR(INDEX(AC3262:AE3262,IF(COUNTA(AC3262:AE3262)=0,"",MAX((AC3262:AE3262&lt;&gt;"")*(COLUMN(AC3262:AE3262)-(COLUMN(AC3262)))))-1),"")</f>
        <v>46060</v>
      </c>
      <c r="K3262" s="16" t="n">
        <f aca="false" t="array" ref="K3262:K3262">IFERROR(INDEX(AC3262:AE3262,IF(COUNTA(AC3262:AE3262)=0,"",MAX((AC3262:AE3262&lt;&gt;"")*(COLUMN(AC3262:AE3262)-(COLUMN(AC3262)-1))))-1),"")</f>
        <v>46267</v>
      </c>
      <c r="L3262" s="17" t="str">
        <f aca="false" t="array" ref="L3262:L3262">IFERROR(INDEX(AC3262:AE3262,IF(COUNTA(AC3262:AE3262)=0,"",MAX((AC3262:AE3262&lt;&gt;"")*(COLUMN(AC3262:AE3262)-(COLUMN(AC3262)-2))))-1),"")</f>
        <v>ARCHIVED</v>
      </c>
      <c r="M3262" s="13" t="n">
        <f aca="true">K3262-TODAY()</f>
        <v>-57</v>
      </c>
      <c r="N3262" s="18" t="s">
        <v>7313</v>
      </c>
      <c r="O3262" s="13" t="s">
        <v>50</v>
      </c>
      <c r="P3262" s="19" t="n">
        <v>2550274</v>
      </c>
      <c r="Q3262" s="47" t="s">
        <v>13511</v>
      </c>
      <c r="R3262" s="13" t="s">
        <v>227</v>
      </c>
      <c r="S3262" s="16" t="n">
        <v>38556</v>
      </c>
      <c r="T3262" s="28" t="s">
        <v>40</v>
      </c>
      <c r="U3262" s="13" t="s">
        <v>13512</v>
      </c>
      <c r="V3262" s="13" t="s">
        <v>42</v>
      </c>
      <c r="W3262" s="13" t="s">
        <v>43</v>
      </c>
      <c r="X3262" s="21" t="n">
        <v>6287791067032</v>
      </c>
      <c r="Y3262" s="22" t="str">
        <f aca="false">O3262</f>
        <v>Driver</v>
      </c>
      <c r="Z3262" s="13" t="str">
        <f aca="false">IFERROR(__xludf.dummyfunction("if(BJ3262="""","""",GOOGLETRANSLATE(BJ3262,""auto"",""en""))"),"Driver")</f>
        <v>Driver</v>
      </c>
      <c r="AA3262" s="23" t="str">
        <f aca="false">IF(C3262="","", CHOOSE(MONTH(C3262),"January","February","March","April","May","June","July","August","September","October","November","December")&amp;" "&amp;DAY(C3262)&amp;MID("thstndrdth",MIN(9,2*RIGHT(DAY(C3262))*(MOD(DAY(C3262)-11,100)&gt;2)+1),2)&amp;","&amp;TEXT(C3262," yyyy"))</f>
        <v>February 7th,2026</v>
      </c>
      <c r="AB3262" s="15" t="str">
        <f aca="true">IF(S3262="","",DATEDIF(S3262,TODAY(),"Y")&amp;" Tahun, "&amp;DATEDIF(S3262,TODAY(),"YM")&amp;" Bulan, "&amp;DATEDIF(S3262,TODAY(),"MD")&amp;" Hari")</f>
        <v>21 Tahun, 3 Bulan, 6 Hari</v>
      </c>
      <c r="AC3262" s="18" t="n">
        <v>46060</v>
      </c>
      <c r="AD3262" s="18" t="n">
        <v>46267</v>
      </c>
      <c r="AE3262" s="18" t="s">
        <v>44</v>
      </c>
    </row>
    <row r="3263" customFormat="false" ht="15.75" hidden="false" customHeight="true" outlineLevel="0" collapsed="false">
      <c r="A3263" s="12" t="n">
        <v>21862</v>
      </c>
      <c r="B3263" s="13" t="s">
        <v>13513</v>
      </c>
      <c r="C3263" s="16" t="n">
        <v>45985</v>
      </c>
      <c r="D3263" s="13" t="s">
        <v>7310</v>
      </c>
      <c r="E3263" s="15" t="s">
        <v>47</v>
      </c>
      <c r="F3263" s="15" t="str">
        <f aca="false">IFERROR(__xludf.dummyfunction("XLOOKUP(AJ3263,IMPORTRANGE(""1XaInW9DU9nz21V0tYIfzFQ0He9kVQ_JF2mCXgZ3hqFA"",""REKAP ALL 2026 - Andika!G:G""),IMPORTRANGE(""1XaInW9DU9nz21V0tYIfzFQ0He9kVQ_JF2mCXgZ3hqFA"",""REKAP ALL 2026 - Andika!F:F""),"""",0)"),"26035116180")</f>
        <v>26035116180</v>
      </c>
      <c r="G3263" s="13" t="s">
        <v>1127</v>
      </c>
      <c r="H3263" s="13" t="s">
        <v>35</v>
      </c>
      <c r="I3263" s="13" t="str">
        <f aca="false">IF(C3263=J3263,"NEW KONTRAK","RE-KONTRAK")</f>
        <v>NEW KONTRAK</v>
      </c>
      <c r="J3263" s="16" t="n">
        <f aca="false" t="array" ref="J3263:J3263">IFERROR(INDEX(AC3263:AE3263,IF(COUNTA(AC3263:AE3263)=0,"",MAX((AC3263:AE3263&lt;&gt;"")*(COLUMN(AC3263:AE3263)-(COLUMN(AC3263)))))-1),"")</f>
        <v>45985</v>
      </c>
      <c r="K3263" s="16" t="n">
        <f aca="false" t="array" ref="K3263:K3263">IFERROR(INDEX(AC3263:AE3263,IF(COUNTA(AC3263:AE3263)=0,"",MAX((AC3263:AE3263&lt;&gt;"")*(COLUMN(AC3263:AE3263)-(COLUMN(AC3263)-1))))-1),"")</f>
        <v>46267</v>
      </c>
      <c r="L3263" s="17" t="str">
        <f aca="false" t="array" ref="L3263:L3263">IFERROR(INDEX(AC3263:AE3263,IF(COUNTA(AC3263:AE3263)=0,"",MAX((AC3263:AE3263&lt;&gt;"")*(COLUMN(AC3263:AE3263)-(COLUMN(AC3263)-2))))-1),"")</f>
        <v>ARCHIVED</v>
      </c>
      <c r="M3263" s="13" t="n">
        <f aca="true">K3263-TODAY()</f>
        <v>-57</v>
      </c>
      <c r="N3263" s="18" t="s">
        <v>7313</v>
      </c>
      <c r="O3263" s="13" t="s">
        <v>50</v>
      </c>
      <c r="P3263" s="19" t="n">
        <v>2550274</v>
      </c>
      <c r="Q3263" s="47" t="s">
        <v>13514</v>
      </c>
      <c r="R3263" s="13" t="s">
        <v>227</v>
      </c>
      <c r="S3263" s="16" t="n">
        <v>34251</v>
      </c>
      <c r="T3263" s="28" t="s">
        <v>40</v>
      </c>
      <c r="U3263" s="13" t="s">
        <v>13515</v>
      </c>
      <c r="V3263" s="13" t="s">
        <v>42</v>
      </c>
      <c r="W3263" s="13" t="s">
        <v>54</v>
      </c>
      <c r="X3263" s="21" t="s">
        <v>13516</v>
      </c>
      <c r="Y3263" s="22" t="str">
        <f aca="false">O3263</f>
        <v>Driver</v>
      </c>
      <c r="Z3263" s="13" t="str">
        <f aca="false">IFERROR(__xludf.dummyfunction("if(BJ3263="""","""",GOOGLETRANSLATE(BJ3263,""auto"",""en""))"),"Driver")</f>
        <v>Driver</v>
      </c>
      <c r="AA3263" s="23" t="str">
        <f aca="false">IF(C3263="","", CHOOSE(MONTH(C3263),"January","February","March","April","May","June","July","August","September","October","November","December")&amp;" "&amp;DAY(C3263)&amp;MID("thstndrdth",MIN(9,2*RIGHT(DAY(C3263))*(MOD(DAY(C3263)-11,100)&gt;2)+1),2)&amp;","&amp;TEXT(C3263," yyyy"))</f>
        <v>November 24th,2025</v>
      </c>
      <c r="AB3263" s="15" t="str">
        <f aca="true">IF(S3263="","",DATEDIF(S3263,TODAY(),"Y")&amp;" Tahun, "&amp;DATEDIF(S3263,TODAY(),"YM")&amp;" Bulan, "&amp;DATEDIF(S3263,TODAY(),"MD")&amp;" Hari")</f>
        <v>33 Tahun, 0 Bulan, 20 Hari</v>
      </c>
      <c r="AC3263" s="18" t="n">
        <v>45985</v>
      </c>
      <c r="AD3263" s="18" t="n">
        <v>46267</v>
      </c>
      <c r="AE3263" s="18" t="s">
        <v>44</v>
      </c>
    </row>
    <row r="3264" customFormat="false" ht="15" hidden="false" customHeight="true" outlineLevel="0" collapsed="false">
      <c r="A3264" s="12" t="n">
        <v>21863</v>
      </c>
      <c r="B3264" s="13" t="s">
        <v>13517</v>
      </c>
      <c r="C3264" s="16" t="n">
        <v>46055</v>
      </c>
      <c r="D3264" s="13" t="s">
        <v>2046</v>
      </c>
      <c r="E3264" s="15" t="s">
        <v>789</v>
      </c>
      <c r="F3264" s="24" t="s">
        <v>13518</v>
      </c>
      <c r="G3264" s="13" t="s">
        <v>1127</v>
      </c>
      <c r="H3264" s="13" t="s">
        <v>35</v>
      </c>
      <c r="I3264" s="13" t="str">
        <f aca="false">IF(C3264=J3264,"NEW KONTRAK","RE-KONTRAK")</f>
        <v>NEW KONTRAK</v>
      </c>
      <c r="J3264" s="16" t="n">
        <f aca="false" t="array" ref="J3264:J3264">IFERROR(INDEX(AC3264:AE3264,IF(COUNTA(AC3264:AE3264)=0,"",MAX((AC3264:AE3264&lt;&gt;"")*(COLUMN(AC3264:AE3264)-(COLUMN(AC3264)))))-1),"")</f>
        <v>46055</v>
      </c>
      <c r="K3264" s="16" t="n">
        <f aca="false" t="array" ref="K3264:K3264">IFERROR(INDEX(AC3264:AE3264,IF(COUNTA(AC3264:AE3264)=0,"",MAX((AC3264:AE3264&lt;&gt;"")*(COLUMN(AC3264:AE3264)-(COLUMN(AC3264)-1))))-1),"")</f>
        <v>46082</v>
      </c>
      <c r="L3264" s="17" t="str">
        <f aca="false" t="array" ref="L3264:L3264">IFERROR(INDEX(AC3264:AE3264,IF(COUNTA(AC3264:AE3264)=0,"",MAX((AC3264:AE3264&lt;&gt;"")*(COLUMN(AC3264:AE3264)-(COLUMN(AC3264)-2))))-1),"")</f>
        <v>ARCHIVED</v>
      </c>
      <c r="M3264" s="13" t="n">
        <f aca="true">K3264-TODAY()</f>
        <v>-242</v>
      </c>
      <c r="N3264" s="18" t="s">
        <v>36</v>
      </c>
      <c r="O3264" s="13" t="s">
        <v>13519</v>
      </c>
      <c r="P3264" s="19" t="n">
        <v>4800000</v>
      </c>
      <c r="Q3264" s="47" t="s">
        <v>13520</v>
      </c>
      <c r="R3264" s="13" t="s">
        <v>97</v>
      </c>
      <c r="S3264" s="16" t="n">
        <v>31502</v>
      </c>
      <c r="T3264" s="28" t="s">
        <v>40</v>
      </c>
      <c r="U3264" s="13" t="s">
        <v>13521</v>
      </c>
      <c r="V3264" s="13" t="s">
        <v>42</v>
      </c>
      <c r="W3264" s="13" t="s">
        <v>43</v>
      </c>
      <c r="X3264" s="21" t="n">
        <v>81294194821</v>
      </c>
      <c r="Y3264" s="22" t="str">
        <f aca="false">O3264</f>
        <v>SPV Warehouse</v>
      </c>
      <c r="Z3264" s="13" t="str">
        <f aca="false">IFERROR(__xludf.dummyfunction("if(BJ3264="""","""",GOOGLETRANSLATE(BJ3264,""auto"",""en""))"),"SPV Warehouse")</f>
        <v>SPV Warehouse</v>
      </c>
      <c r="AA3264" s="23" t="str">
        <f aca="false">IF(C3264="","", CHOOSE(MONTH(C3264),"January","February","March","April","May","June","July","August","September","October","November","December")&amp;" "&amp;DAY(C3264)&amp;MID("thstndrdth",MIN(9,2*RIGHT(DAY(C3264))*(MOD(DAY(C3264)-11,100)&gt;2)+1),2)&amp;","&amp;TEXT(C3264," yyyy"))</f>
        <v>February 2nd,2026</v>
      </c>
      <c r="AB3264" s="15" t="str">
        <f aca="true">IF(S3264="","",DATEDIF(S3264,TODAY(),"Y")&amp;" Tahun, "&amp;DATEDIF(S3264,TODAY(),"YM")&amp;" Bulan, "&amp;DATEDIF(S3264,TODAY(),"MD")&amp;" Hari")</f>
        <v>40 Tahun, 6 Bulan, 28 Hari</v>
      </c>
      <c r="AC3264" s="18" t="n">
        <v>46055</v>
      </c>
      <c r="AD3264" s="18" t="n">
        <f aca="false">EDATE(AC3264,1)-1</f>
        <v>46082</v>
      </c>
      <c r="AE3264" s="13" t="s">
        <v>44</v>
      </c>
    </row>
    <row r="3265" customFormat="false" ht="15" hidden="false" customHeight="true" outlineLevel="0" collapsed="false">
      <c r="A3265" s="12" t="n">
        <v>21864</v>
      </c>
      <c r="B3265" s="13" t="s">
        <v>13522</v>
      </c>
      <c r="C3265" s="16" t="n">
        <v>46066</v>
      </c>
      <c r="D3265" s="13" t="s">
        <v>3022</v>
      </c>
      <c r="E3265" s="15" t="s">
        <v>47</v>
      </c>
      <c r="F3265" s="15" t="str">
        <f aca="false">IFERROR(__xludf.dummyfunction("XLOOKUP(AJ3265,IMPORTRANGE(""1XaInW9DU9nz21V0tYIfzFQ0He9kVQ_JF2mCXgZ3hqFA"",""REKAP ALL 2026 - Andika!G:G""),IMPORTRANGE(""1XaInW9DU9nz21V0tYIfzFQ0He9kVQ_JF2mCXgZ3hqFA"",""REKAP ALL 2026 - Andika!F:F""),"""",0)"),"26035120059")</f>
        <v>26035120059</v>
      </c>
      <c r="G3265" s="13" t="s">
        <v>57</v>
      </c>
      <c r="H3265" s="13" t="s">
        <v>3024</v>
      </c>
      <c r="I3265" s="13" t="str">
        <f aca="false">IF(C3265=J3265,"NEW KONTRAK","RE-KONTRAK")</f>
        <v>NEW KONTRAK</v>
      </c>
      <c r="J3265" s="16" t="n">
        <f aca="false" t="array" ref="J3265:J3265">IFERROR(INDEX(AC3265:AE3265,IF(COUNTA(AC3265:AE3265)=0,"",MAX((AC3265:AE3265&lt;&gt;"")*(COLUMN(AC3265:AE3265)-(COLUMN(AC3265)))))-1),"")</f>
        <v>46066</v>
      </c>
      <c r="K3265" s="16" t="n">
        <f aca="false" t="array" ref="K3265:K3265">IFERROR(INDEX(AC3265:AE3265,IF(COUNTA(AC3265:AE3265)=0,"",MAX((AC3265:AE3265&lt;&gt;"")*(COLUMN(AC3265:AE3265)-(COLUMN(AC3265)-1))))-1),"")</f>
        <v>46154</v>
      </c>
      <c r="L3265" s="17" t="str">
        <f aca="false" t="array" ref="L3265:L3265">IFERROR(INDEX(AC3265:AE3265,IF(COUNTA(AC3265:AE3265)=0,"",MAX((AC3265:AE3265&lt;&gt;"")*(COLUMN(AC3265:AE3265)-(COLUMN(AC3265)-2))))-1),"")</f>
        <v>ARCHIVED</v>
      </c>
      <c r="M3265" s="13" t="n">
        <f aca="true">K3265-TODAY()</f>
        <v>-170</v>
      </c>
      <c r="N3265" s="18" t="s">
        <v>36</v>
      </c>
      <c r="O3265" s="13" t="s">
        <v>3750</v>
      </c>
      <c r="P3265" s="19" t="n">
        <v>112500</v>
      </c>
      <c r="Q3265" s="47" t="s">
        <v>13523</v>
      </c>
      <c r="R3265" s="13" t="s">
        <v>232</v>
      </c>
      <c r="S3265" s="16" t="n">
        <v>35612</v>
      </c>
      <c r="T3265" s="28" t="s">
        <v>40</v>
      </c>
      <c r="U3265" s="13" t="s">
        <v>13524</v>
      </c>
      <c r="V3265" s="13" t="s">
        <v>42</v>
      </c>
      <c r="W3265" s="13" t="s">
        <v>54</v>
      </c>
      <c r="X3265" s="21" t="n">
        <v>88989638299</v>
      </c>
      <c r="Y3265" s="22" t="str">
        <f aca="false">O3265</f>
        <v>Produksi ( Painting )</v>
      </c>
      <c r="Z3265" s="13" t="str">
        <f aca="false">IFERROR(__xludf.dummyfunction("if(BJ3265="""","""",GOOGLETRANSLATE(BJ3265,""auto"",""en""))"),"Production (Painting)")</f>
        <v>Production (Painting)</v>
      </c>
      <c r="AA3265" s="23" t="str">
        <f aca="false">IF(C3265="","", CHOOSE(MONTH(C3265),"January","February","March","April","May","June","July","August","September","October","November","December")&amp;" "&amp;DAY(C3265)&amp;MID("thstndrdth",MIN(9,2*RIGHT(DAY(C3265))*(MOD(DAY(C3265)-11,100)&gt;2)+1),2)&amp;","&amp;TEXT(C3265," yyyy"))</f>
        <v>February 13th,2026</v>
      </c>
      <c r="AB3265" s="15" t="str">
        <f aca="true">IF(S3265="","",DATEDIF(S3265,TODAY(),"Y")&amp;" Tahun, "&amp;DATEDIF(S3265,TODAY(),"YM")&amp;" Bulan, "&amp;DATEDIF(S3265,TODAY(),"MD")&amp;" Hari")</f>
        <v>29 Tahun, 3 Bulan, 28 Hari</v>
      </c>
      <c r="AC3265" s="18" t="n">
        <v>46066</v>
      </c>
      <c r="AD3265" s="18" t="n">
        <f aca="false">EDATE(AC3265,3)-1</f>
        <v>46154</v>
      </c>
      <c r="AE3265" s="18" t="s">
        <v>44</v>
      </c>
    </row>
    <row r="3266" customFormat="false" ht="15" hidden="false" customHeight="true" outlineLevel="0" collapsed="false">
      <c r="A3266" s="12" t="n">
        <v>18467</v>
      </c>
      <c r="B3266" s="13" t="s">
        <v>13525</v>
      </c>
      <c r="C3266" s="14" t="n">
        <v>45642</v>
      </c>
      <c r="D3266" s="13" t="s">
        <v>2033</v>
      </c>
      <c r="E3266" s="15" t="s">
        <v>47</v>
      </c>
      <c r="F3266" s="15" t="str">
        <f aca="false">IFERROR(__xludf.dummyfunction("XLOOKUP(AJ3266,IMPORTRANGE(""1XaInW9DU9nz21V0tYIfzFQ0He9kVQ_JF2mCXgZ3hqFA"",""REKAP ALL 2026 - Andika!G:G""),IMPORTRANGE(""1XaInW9DU9nz21V0tYIfzFQ0He9kVQ_JF2mCXgZ3hqFA"",""REKAP ALL 2026 - Andika!F:F""),"""",0)"),"25012463607")</f>
        <v>25012463607</v>
      </c>
      <c r="G3266" s="13" t="s">
        <v>13526</v>
      </c>
      <c r="H3266" s="13" t="s">
        <v>2035</v>
      </c>
      <c r="I3266" s="13" t="str">
        <f aca="false">IF(C3266=J3266,"NEW KONTRAK","RE-KONTRAK")</f>
        <v>RE-KONTRAK</v>
      </c>
      <c r="J3266" s="16" t="n">
        <f aca="false" t="array" ref="J3266:J3266">IFERROR(INDEX(AC3266:AE3266,IF(COUNTA(AC3266:AE3266)=0,"",MAX((AC3266:AE3266&lt;&gt;"")*(COLUMN(AC3266:AE3266)-(COLUMN(AC3266)))))-1),"")</f>
        <v>45744</v>
      </c>
      <c r="K3266" s="16" t="n">
        <f aca="false" t="array" ref="K3266:K3266">IFERROR(INDEX(AC3266:AE3266,IF(COUNTA(AC3266:AE3266)=0,"",MAX((AC3266:AE3266&lt;&gt;"")*(COLUMN(AC3266:AE3266)-(COLUMN(AC3266)-1))))-1),"")</f>
        <v>45915</v>
      </c>
      <c r="L3266" s="17" t="str">
        <f aca="false" t="array" ref="L3266:L3266">IFERROR(INDEX(AC3266:AE3266,IF(COUNTA(AC3266:AE3266)=0,"",MAX((AC3266:AE3266&lt;&gt;"")*(COLUMN(AC3266:AE3266)-(COLUMN(AC3266)-2))))-1),"")</f>
        <v>ARCHIVED</v>
      </c>
      <c r="M3266" s="13" t="n">
        <f aca="true">K3266-TODAY()</f>
        <v>-409</v>
      </c>
      <c r="N3266" s="18" t="s">
        <v>3895</v>
      </c>
      <c r="O3266" s="13" t="s">
        <v>2037</v>
      </c>
      <c r="P3266" s="19" t="n">
        <v>3725000</v>
      </c>
      <c r="Q3266" s="20" t="s">
        <v>13527</v>
      </c>
      <c r="R3266" s="13" t="s">
        <v>13528</v>
      </c>
      <c r="S3266" s="14" t="n">
        <v>38174</v>
      </c>
      <c r="T3266" s="13" t="s">
        <v>108</v>
      </c>
      <c r="U3266" s="13" t="s">
        <v>13529</v>
      </c>
      <c r="V3266" s="13" t="s">
        <v>42</v>
      </c>
      <c r="W3266" s="13" t="s">
        <v>43</v>
      </c>
      <c r="X3266" s="21" t="n">
        <v>81998889659</v>
      </c>
      <c r="Y3266" s="22" t="str">
        <f aca="false">O3266</f>
        <v>SPG/BA</v>
      </c>
      <c r="Z3266" s="13" t="str">
        <f aca="false">IFERROR(__xludf.dummyfunction("if(BJ3266="""","""",GOOGLETRANSLATE(BJ3266,""auto"",""en""))"),"SPG/BA")</f>
        <v>SPG/BA</v>
      </c>
      <c r="AA3266" s="23" t="str">
        <f aca="false">IF(C3266="","", CHOOSE(MONTH(C3266),"January","February","March","April","May","June","July","August","September","October","November","December")&amp;" "&amp;DAY(C3266)&amp;MID("thstndrdth",MIN(9,2*RIGHT(DAY(C3266))*(MOD(DAY(C3266)-11,100)&gt;2)+1),2)&amp;","&amp;TEXT(C3266," yyyy"))</f>
        <v>December 16th,2024</v>
      </c>
      <c r="AB3266" s="15" t="str">
        <f aca="true">IF(S3266="","",DATEDIF(S3266,TODAY(),"Y")&amp;" Tahun, "&amp;DATEDIF(S3266,TODAY(),"YM")&amp;" Bulan, "&amp;DATEDIF(S3266,TODAY(),"MD")&amp;" Hari")</f>
        <v>22 Tahun, 3 Bulan, 23 Hari</v>
      </c>
      <c r="AC3266" s="18" t="n">
        <v>45744</v>
      </c>
      <c r="AD3266" s="18" t="n">
        <v>45915</v>
      </c>
      <c r="AE3266" s="18" t="s">
        <v>44</v>
      </c>
    </row>
    <row r="3267" customFormat="false" ht="15" hidden="false" customHeight="true" outlineLevel="0" collapsed="false">
      <c r="A3267" s="12" t="n">
        <v>21866</v>
      </c>
      <c r="B3267" s="13" t="s">
        <v>13530</v>
      </c>
      <c r="C3267" s="16" t="n">
        <v>46055</v>
      </c>
      <c r="D3267" s="13" t="s">
        <v>2033</v>
      </c>
      <c r="E3267" s="15" t="s">
        <v>13089</v>
      </c>
      <c r="F3267" s="15" t="str">
        <f aca="false">IFERROR(__xludf.dummyfunction("XLOOKUP(AJ3267,IMPORTRANGE(""1XaInW9DU9nz21V0tYIfzFQ0He9kVQ_JF2mCXgZ3hqFA"",""REKAP ALL 2026 - Andika!G:G""),IMPORTRANGE(""1XaInW9DU9nz21V0tYIfzFQ0He9kVQ_JF2mCXgZ3hqFA"",""REKAP ALL 2026 - Andika!F:F""),"""",0)"),"26035115935")</f>
        <v>26035115935</v>
      </c>
      <c r="G3267" s="13" t="s">
        <v>1127</v>
      </c>
      <c r="H3267" s="13" t="s">
        <v>35</v>
      </c>
      <c r="I3267" s="13" t="str">
        <f aca="false">IF(C3267=J3267,"NEW KONTRAK","RE-KONTRAK")</f>
        <v>NEW KONTRAK</v>
      </c>
      <c r="J3267" s="16" t="n">
        <f aca="false" t="array" ref="J3267:J3267">IFERROR(INDEX(AC3267:AE3267,IF(COUNTA(AC3267:AE3267)=0,"",MAX((AC3267:AE3267&lt;&gt;"")*(COLUMN(AC3267:AE3267)-(COLUMN(AC3267)))))-1),"")</f>
        <v>46055</v>
      </c>
      <c r="K3267" s="16" t="n">
        <f aca="false" t="array" ref="K3267:K3267">IFERROR(INDEX(AC3267:AE3267,IF(COUNTA(AC3267:AE3267)=0,"",MAX((AC3267:AE3267&lt;&gt;"")*(COLUMN(AC3267:AE3267)-(COLUMN(AC3267)-1))))-1),"")</f>
        <v>46188</v>
      </c>
      <c r="L3267" s="17" t="str">
        <f aca="false" t="array" ref="L3267:L3267">IFERROR(INDEX(AC3267:AE3267,IF(COUNTA(AC3267:AE3267)=0,"",MAX((AC3267:AE3267&lt;&gt;"")*(COLUMN(AC3267:AE3267)-(COLUMN(AC3267)-2))))-1),"")</f>
        <v>KEMBALI</v>
      </c>
      <c r="M3267" s="13" t="n">
        <f aca="true">K3267-TODAY()</f>
        <v>-136</v>
      </c>
      <c r="N3267" s="18" t="s">
        <v>5340</v>
      </c>
      <c r="O3267" s="13" t="s">
        <v>2037</v>
      </c>
      <c r="P3267" s="19" t="n">
        <v>3756643</v>
      </c>
      <c r="Q3267" s="47" t="s">
        <v>13531</v>
      </c>
      <c r="R3267" s="13" t="s">
        <v>13532</v>
      </c>
      <c r="S3267" s="16" t="n">
        <v>37834</v>
      </c>
      <c r="T3267" s="13" t="s">
        <v>108</v>
      </c>
      <c r="U3267" s="13" t="s">
        <v>13533</v>
      </c>
      <c r="V3267" s="13" t="s">
        <v>42</v>
      </c>
      <c r="W3267" s="13" t="s">
        <v>43</v>
      </c>
      <c r="X3267" s="13" t="s">
        <v>13534</v>
      </c>
      <c r="Y3267" s="22" t="str">
        <f aca="false">O3267</f>
        <v>SPG/BA</v>
      </c>
      <c r="Z3267" s="13" t="str">
        <f aca="false">IFERROR(__xludf.dummyfunction("if(BJ3267="""","""",GOOGLETRANSLATE(BJ3267,""auto"",""en""))"),"SPG/BA")</f>
        <v>SPG/BA</v>
      </c>
      <c r="AA3267" s="23" t="str">
        <f aca="false">IF(C3267="","", CHOOSE(MONTH(C3267),"January","February","March","April","May","June","July","August","September","October","November","December")&amp;" "&amp;DAY(C3267)&amp;MID("thstndrdth",MIN(9,2*RIGHT(DAY(C3267))*(MOD(DAY(C3267)-11,100)&gt;2)+1),2)&amp;","&amp;TEXT(C3267," yyyy"))</f>
        <v>February 2nd,2026</v>
      </c>
      <c r="AB3267" s="15" t="str">
        <f aca="true">IF(S3267="","",DATEDIF(S3267,TODAY(),"Y")&amp;" Tahun, "&amp;DATEDIF(S3267,TODAY(),"YM")&amp;" Bulan, "&amp;DATEDIF(S3267,TODAY(),"MD")&amp;" Hari")</f>
        <v>23 Tahun, 2 Bulan, 28 Hari</v>
      </c>
      <c r="AC3267" s="18" t="n">
        <v>46055</v>
      </c>
      <c r="AD3267" s="18" t="n">
        <v>46188</v>
      </c>
      <c r="AE3267" s="13" t="s">
        <v>397</v>
      </c>
    </row>
    <row r="3268" customFormat="false" ht="15" hidden="false" customHeight="true" outlineLevel="0" collapsed="false">
      <c r="A3268" s="12" t="n">
        <v>18471</v>
      </c>
      <c r="B3268" s="13" t="s">
        <v>13535</v>
      </c>
      <c r="C3268" s="14" t="n">
        <v>45660</v>
      </c>
      <c r="D3268" s="13" t="s">
        <v>2033</v>
      </c>
      <c r="E3268" s="15" t="s">
        <v>47</v>
      </c>
      <c r="F3268" s="15" t="str">
        <f aca="false">IFERROR(__xludf.dummyfunction("XLOOKUP(AJ3268,IMPORTRANGE(""1XaInW9DU9nz21V0tYIfzFQ0He9kVQ_JF2mCXgZ3hqFA"",""REKAP ALL 2026 - Andika!G:G""),IMPORTRANGE(""1XaInW9DU9nz21V0tYIfzFQ0He9kVQ_JF2mCXgZ3hqFA"",""REKAP ALL 2026 - Andika!F:F""),"""",0)"),"25012463383")</f>
        <v>25012463383</v>
      </c>
      <c r="G3268" s="13" t="s">
        <v>13536</v>
      </c>
      <c r="H3268" s="13" t="s">
        <v>2035</v>
      </c>
      <c r="I3268" s="13" t="str">
        <f aca="false">IF(C3268=J3268,"NEW KONTRAK","RE-KONTRAK")</f>
        <v>RE-KONTRAK</v>
      </c>
      <c r="J3268" s="16" t="n">
        <f aca="false" t="array" ref="J3268:J3268">IFERROR(INDEX(AC3268:AE3268,IF(COUNTA(AC3268:AE3268)=0,"",MAX((AC3268:AE3268&lt;&gt;"")*(COLUMN(AC3268:AE3268)-(COLUMN(AC3268)))))-1),"")</f>
        <v>45744</v>
      </c>
      <c r="K3268" s="16" t="n">
        <f aca="false" t="array" ref="K3268:K3268">IFERROR(INDEX(AC3268:AE3268,IF(COUNTA(AC3268:AE3268)=0,"",MAX((AC3268:AE3268&lt;&gt;"")*(COLUMN(AC3268:AE3268)-(COLUMN(AC3268)-1))))-1),"")</f>
        <v>45915</v>
      </c>
      <c r="L3268" s="17" t="str">
        <f aca="false" t="array" ref="L3268:L3268">IFERROR(INDEX(AC3268:AE3268,IF(COUNTA(AC3268:AE3268)=0,"",MAX((AC3268:AE3268&lt;&gt;"")*(COLUMN(AC3268:AE3268)-(COLUMN(AC3268)-2))))-1),"")</f>
        <v>ARCHIVED</v>
      </c>
      <c r="M3268" s="13" t="n">
        <f aca="true">K3268-TODAY()</f>
        <v>-409</v>
      </c>
      <c r="N3268" s="18" t="s">
        <v>2587</v>
      </c>
      <c r="O3268" s="13" t="s">
        <v>2037</v>
      </c>
      <c r="P3268" s="19" t="n">
        <v>3843038</v>
      </c>
      <c r="Q3268" s="20" t="s">
        <v>13537</v>
      </c>
      <c r="R3268" s="13" t="s">
        <v>13538</v>
      </c>
      <c r="S3268" s="14" t="n">
        <v>38078</v>
      </c>
      <c r="T3268" s="13" t="s">
        <v>108</v>
      </c>
      <c r="U3268" s="13" t="s">
        <v>13539</v>
      </c>
      <c r="V3268" s="13" t="s">
        <v>42</v>
      </c>
      <c r="W3268" s="13" t="s">
        <v>43</v>
      </c>
      <c r="X3268" s="21" t="n">
        <v>895339734214</v>
      </c>
      <c r="Y3268" s="22" t="str">
        <f aca="false">O3268</f>
        <v>SPG/BA</v>
      </c>
      <c r="Z3268" s="13" t="str">
        <f aca="false">IFERROR(__xludf.dummyfunction("if(BJ3268="""","""",GOOGLETRANSLATE(BJ3268,""auto"",""en""))"),"SPG/BA")</f>
        <v>SPG/BA</v>
      </c>
      <c r="AA3268" s="23" t="str">
        <f aca="false">IF(C3268="","", CHOOSE(MONTH(C3268),"January","February","March","April","May","June","July","August","September","October","November","December")&amp;" "&amp;DAY(C3268)&amp;MID("thstndrdth",MIN(9,2*RIGHT(DAY(C3268))*(MOD(DAY(C3268)-11,100)&gt;2)+1),2)&amp;","&amp;TEXT(C3268," yyyy"))</f>
        <v>January 3rd,2025</v>
      </c>
      <c r="AB3268" s="15" t="str">
        <f aca="true">IF(S3268="","",DATEDIF(S3268,TODAY(),"Y")&amp;" Tahun, "&amp;DATEDIF(S3268,TODAY(),"YM")&amp;" Bulan, "&amp;DATEDIF(S3268,TODAY(),"MD")&amp;" Hari")</f>
        <v>22 Tahun, 6 Bulan, 28 Hari</v>
      </c>
      <c r="AC3268" s="18" t="n">
        <v>45744</v>
      </c>
      <c r="AD3268" s="18" t="n">
        <v>45915</v>
      </c>
      <c r="AE3268" s="18" t="s">
        <v>44</v>
      </c>
    </row>
    <row r="3269" customFormat="false" ht="15" hidden="false" customHeight="true" outlineLevel="0" collapsed="false">
      <c r="A3269" s="12" t="n">
        <v>21868</v>
      </c>
      <c r="B3269" s="69" t="s">
        <v>13540</v>
      </c>
      <c r="C3269" s="16" t="n">
        <v>46045</v>
      </c>
      <c r="D3269" s="13" t="s">
        <v>2033</v>
      </c>
      <c r="E3269" s="15" t="s">
        <v>102</v>
      </c>
      <c r="F3269" s="15" t="str">
        <f aca="false">IFERROR(__xludf.dummyfunction("XLOOKUP(AJ3269,IMPORTRANGE(""1XaInW9DU9nz21V0tYIfzFQ0He9kVQ_JF2mCXgZ3hqFA"",""REKAP ALL 2026 - Andika!G:G""),IMPORTRANGE(""1XaInW9DU9nz21V0tYIfzFQ0He9kVQ_JF2mCXgZ3hqFA"",""REKAP ALL 2026 - Andika!F:F""),"""",0)"),"26035115927")</f>
        <v>26035115927</v>
      </c>
      <c r="G3269" s="13" t="s">
        <v>1127</v>
      </c>
      <c r="H3269" s="13" t="s">
        <v>35</v>
      </c>
      <c r="I3269" s="13" t="str">
        <f aca="false">IF(C3269=J3269,"NEW KONTRAK","RE-KONTRAK")</f>
        <v>NEW KONTRAK</v>
      </c>
      <c r="J3269" s="16" t="n">
        <f aca="false" t="array" ref="J3269:J3269">IFERROR(INDEX(AC3269:AE3269,IF(COUNTA(AC3269:AE3269)=0,"",MAX((AC3269:AE3269&lt;&gt;"")*(COLUMN(AC3269:AE3269)-(COLUMN(AC3269)))))-1),"")</f>
        <v>46045</v>
      </c>
      <c r="K3269" s="16" t="n">
        <f aca="false" t="array" ref="K3269:K3269">IFERROR(INDEX(AC3269:AE3269,IF(COUNTA(AC3269:AE3269)=0,"",MAX((AC3269:AE3269&lt;&gt;"")*(COLUMN(AC3269:AE3269)-(COLUMN(AC3269)-1))))-1),"")</f>
        <v>46188</v>
      </c>
      <c r="L3269" s="17" t="str">
        <f aca="false" t="array" ref="L3269:L3269">IFERROR(INDEX(AC3269:AE3269,IF(COUNTA(AC3269:AE3269)=0,"",MAX((AC3269:AE3269&lt;&gt;"")*(COLUMN(AC3269:AE3269)-(COLUMN(AC3269)-2))))-1),"")</f>
        <v>ARCHIVED</v>
      </c>
      <c r="M3269" s="13" t="n">
        <f aca="true">K3269-TODAY()</f>
        <v>-136</v>
      </c>
      <c r="N3269" s="50" t="s">
        <v>10550</v>
      </c>
      <c r="O3269" s="13" t="s">
        <v>2037</v>
      </c>
      <c r="P3269" s="19" t="n">
        <v>2396696</v>
      </c>
      <c r="Q3269" s="47" t="s">
        <v>13541</v>
      </c>
      <c r="R3269" s="13" t="s">
        <v>6556</v>
      </c>
      <c r="S3269" s="16" t="n">
        <v>37612</v>
      </c>
      <c r="T3269" s="13" t="s">
        <v>108</v>
      </c>
      <c r="U3269" s="13" t="s">
        <v>13542</v>
      </c>
      <c r="V3269" s="28" t="s">
        <v>1216</v>
      </c>
      <c r="W3269" s="13" t="s">
        <v>43</v>
      </c>
      <c r="X3269" s="13" t="s">
        <v>13543</v>
      </c>
      <c r="Y3269" s="22" t="str">
        <f aca="false">O3269</f>
        <v>SPG/BA</v>
      </c>
      <c r="Z3269" s="13" t="str">
        <f aca="false">IFERROR(__xludf.dummyfunction("if(BJ3269="""","""",GOOGLETRANSLATE(BJ3269,""auto"",""en""))"),"SPG/BA")</f>
        <v>SPG/BA</v>
      </c>
      <c r="AA3269" s="23" t="str">
        <f aca="false">IF(C3269="","", CHOOSE(MONTH(C3269),"January","February","March","April","May","June","July","August","September","October","November","December")&amp;" "&amp;DAY(C3269)&amp;MID("thstndrdth",MIN(9,2*RIGHT(DAY(C3269))*(MOD(DAY(C3269)-11,100)&gt;2)+1),2)&amp;","&amp;TEXT(C3269," yyyy"))</f>
        <v>January 23rd,2026</v>
      </c>
      <c r="AB3269" s="15" t="str">
        <f aca="true">IF(S3269="","",DATEDIF(S3269,TODAY(),"Y")&amp;" Tahun, "&amp;DATEDIF(S3269,TODAY(),"YM")&amp;" Bulan, "&amp;DATEDIF(S3269,TODAY(),"MD")&amp;" Hari")</f>
        <v>23 Tahun, 10 Bulan, 7 Hari</v>
      </c>
      <c r="AC3269" s="18" t="n">
        <v>46045</v>
      </c>
      <c r="AD3269" s="18" t="n">
        <v>46188</v>
      </c>
      <c r="AE3269" s="13" t="s">
        <v>44</v>
      </c>
    </row>
    <row r="3270" customFormat="false" ht="15" hidden="false" customHeight="true" outlineLevel="0" collapsed="false">
      <c r="A3270" s="12" t="n">
        <v>21733</v>
      </c>
      <c r="B3270" s="13" t="s">
        <v>13544</v>
      </c>
      <c r="C3270" s="16" t="n">
        <v>46024</v>
      </c>
      <c r="D3270" s="13" t="s">
        <v>2033</v>
      </c>
      <c r="E3270" s="15" t="s">
        <v>47</v>
      </c>
      <c r="F3270" s="15" t="str">
        <f aca="false">IFERROR(__xludf.dummyfunction("XLOOKUP(AJ3270,IMPORTRANGE(""1XaInW9DU9nz21V0tYIfzFQ0He9kVQ_JF2mCXgZ3hqFA"",""REKAP ALL 2026 - Andika!G:G""),IMPORTRANGE(""1XaInW9DU9nz21V0tYIfzFQ0He9kVQ_JF2mCXgZ3hqFA"",""REKAP ALL 2026 - Andika!F:F""),"""",0)"),"26020755299")</f>
        <v>26020755299</v>
      </c>
      <c r="G3270" s="13" t="s">
        <v>1127</v>
      </c>
      <c r="H3270" s="13" t="s">
        <v>35</v>
      </c>
      <c r="I3270" s="13" t="str">
        <f aca="false">IF(C3270=J3270,"NEW KONTRAK","RE-KONTRAK")</f>
        <v>NEW KONTRAK</v>
      </c>
      <c r="J3270" s="16" t="n">
        <f aca="false" t="array" ref="J3270:J3270">IFERROR(INDEX(AC3270:AE3270,IF(COUNTA(AC3270:AE3270)=0,"",MAX((AC3270:AE3270&lt;&gt;"")*(COLUMN(AC3270:AE3270)-(COLUMN(AC3270)))))-1),"")</f>
        <v>46024</v>
      </c>
      <c r="K3270" s="16" t="n">
        <f aca="false" t="array" ref="K3270:K3270">IFERROR(INDEX(AC3270:AE3270,IF(COUNTA(AC3270:AE3270)=0,"",MAX((AC3270:AE3270&lt;&gt;"")*(COLUMN(AC3270:AE3270)-(COLUMN(AC3270)-1))))-1),"")</f>
        <v>46068</v>
      </c>
      <c r="L3270" s="17" t="str">
        <f aca="false" t="array" ref="L3270:L3270">IFERROR(INDEX(AC3270:AE3270,IF(COUNTA(AC3270:AE3270)=0,"",MAX((AC3270:AE3270&lt;&gt;"")*(COLUMN(AC3270:AE3270)-(COLUMN(AC3270)-2))))-1),"")</f>
        <v>KEMBALI</v>
      </c>
      <c r="M3270" s="13" t="n">
        <f aca="true">K3270-TODAY()</f>
        <v>-256</v>
      </c>
      <c r="N3270" s="18" t="s">
        <v>3703</v>
      </c>
      <c r="O3270" s="13" t="s">
        <v>2037</v>
      </c>
      <c r="P3270" s="19" t="n">
        <v>2818585</v>
      </c>
      <c r="Q3270" s="47" t="s">
        <v>13545</v>
      </c>
      <c r="R3270" s="13" t="s">
        <v>3703</v>
      </c>
      <c r="S3270" s="16" t="n">
        <v>33490</v>
      </c>
      <c r="T3270" s="13" t="s">
        <v>108</v>
      </c>
      <c r="U3270" s="13" t="s">
        <v>13546</v>
      </c>
      <c r="V3270" s="13" t="s">
        <v>42</v>
      </c>
      <c r="W3270" s="13" t="s">
        <v>2402</v>
      </c>
      <c r="X3270" s="21" t="n">
        <v>87773097155</v>
      </c>
      <c r="Y3270" s="22" t="str">
        <f aca="false">O3270</f>
        <v>SPG/BA</v>
      </c>
      <c r="Z3270" s="13" t="str">
        <f aca="false">IFERROR(__xludf.dummyfunction("if(BJ3270="""","""",GOOGLETRANSLATE(BJ3270,""auto"",""en""))"),"SPG/BA")</f>
        <v>SPG/BA</v>
      </c>
      <c r="AA3270" s="23" t="str">
        <f aca="false">IF(C3270="","", CHOOSE(MONTH(C3270),"January","February","March","April","May","June","July","August","September","October","November","December")&amp;" "&amp;DAY(C3270)&amp;MID("thstndrdth",MIN(9,2*RIGHT(DAY(C3270))*(MOD(DAY(C3270)-11,100)&gt;2)+1),2)&amp;","&amp;TEXT(C3270," yyyy"))</f>
        <v>January 2nd,2026</v>
      </c>
      <c r="AB3270" s="15" t="str">
        <f aca="true">IF(S3270="","",DATEDIF(S3270,TODAY(),"Y")&amp;" Tahun, "&amp;DATEDIF(S3270,TODAY(),"YM")&amp;" Bulan, "&amp;DATEDIF(S3270,TODAY(),"MD")&amp;" Hari")</f>
        <v>35 Tahun, 1 Bulan, 20 Hari</v>
      </c>
      <c r="AC3270" s="18" t="n">
        <v>46024</v>
      </c>
      <c r="AD3270" s="18" t="n">
        <v>46068</v>
      </c>
      <c r="AE3270" s="13" t="s">
        <v>397</v>
      </c>
    </row>
    <row r="3271" customFormat="false" ht="15" hidden="false" customHeight="true" outlineLevel="0" collapsed="false">
      <c r="A3271" s="12" t="n">
        <v>22907</v>
      </c>
      <c r="B3271" s="13" t="s">
        <v>13547</v>
      </c>
      <c r="C3271" s="14" t="n">
        <v>46250</v>
      </c>
      <c r="D3271" s="13" t="s">
        <v>2033</v>
      </c>
      <c r="E3271" s="13" t="s">
        <v>47</v>
      </c>
      <c r="F3271" s="24" t="s">
        <v>13548</v>
      </c>
      <c r="G3271" s="13" t="s">
        <v>1452</v>
      </c>
      <c r="H3271" s="13" t="s">
        <v>35</v>
      </c>
      <c r="I3271" s="13" t="str">
        <f aca="false">IF(C3271=J3271,"NEW KONTRAK","RE-KONTRAK")</f>
        <v>NEW KONTRAK</v>
      </c>
      <c r="J3271" s="16" t="n">
        <f aca="false" t="array" ref="J3271:J3271">IFERROR(INDEX(AC3271:AE3271,IF(COUNTA(AC3271:AE3271)=0,"",MAX((AC3271:AE3271&lt;&gt;"")*(COLUMN(AC3271:AE3271)-(COLUMN(AC3271)))))-1),"")</f>
        <v>46250</v>
      </c>
      <c r="K3271" s="16" t="n">
        <f aca="false" t="array" ref="K3271:K3271">IFERROR(INDEX(AC3271:AE3271,IF(COUNTA(AC3271:AE3271)=0,"",MAX((AC3271:AE3271&lt;&gt;"")*(COLUMN(AC3271:AE3271)-(COLUMN(AC3271)-1))))-1),"")</f>
        <v>46402</v>
      </c>
      <c r="L3271" s="17" t="str">
        <f aca="false" t="array" ref="L3271:L3271">IFERROR(INDEX(AC3271:AE3271,IF(COUNTA(AC3271:AE3271)=0,"",MAX((AC3271:AE3271&lt;&gt;"")*(COLUMN(AC3271:AE3271)-(COLUMN(AC3271)-2))))-1),"")</f>
        <v>KEMBALI ONLINE</v>
      </c>
      <c r="M3271" s="13" t="n">
        <f aca="true">K3271-TODAY()</f>
        <v>78</v>
      </c>
      <c r="N3271" s="13" t="s">
        <v>3895</v>
      </c>
      <c r="O3271" s="13" t="s">
        <v>2384</v>
      </c>
      <c r="P3271" s="26" t="n">
        <v>3725000</v>
      </c>
      <c r="Q3271" s="20" t="s">
        <v>13549</v>
      </c>
      <c r="R3271" s="13" t="s">
        <v>13550</v>
      </c>
      <c r="S3271" s="25" t="n">
        <v>38408</v>
      </c>
      <c r="T3271" s="13" t="s">
        <v>108</v>
      </c>
      <c r="U3271" s="13" t="s">
        <v>13551</v>
      </c>
      <c r="V3271" s="13" t="s">
        <v>42</v>
      </c>
      <c r="W3271" s="13" t="s">
        <v>43</v>
      </c>
      <c r="X3271" s="21" t="n">
        <v>83143423695</v>
      </c>
      <c r="Y3271" s="22" t="str">
        <f aca="false">O3271</f>
        <v>SPG</v>
      </c>
      <c r="Z3271" s="13" t="str">
        <f aca="false">IFERROR(__xludf.dummyfunction("if(BJ3271="""","""",GOOGLETRANSLATE(BJ3271,""auto"",""en""))"),"SPG")</f>
        <v>SPG</v>
      </c>
      <c r="AA3271" s="23" t="str">
        <f aca="false">IF(C3271="","", CHOOSE(MONTH(C3271),"January","February","March","April","May","June","July","August","September","October","November","December")&amp;" "&amp;DAY(C3271)&amp;MID("thstndrdth",MIN(9,2*RIGHT(DAY(C3271))*(MOD(DAY(C3271)-11,100)&gt;2)+1),2)&amp;","&amp;TEXT(C3271," yyyy"))</f>
        <v>August 16th,2026</v>
      </c>
      <c r="AB3271" s="15" t="str">
        <f aca="true">IF(S3271="","",DATEDIF(S3271,TODAY(),"Y")&amp;" Tahun, "&amp;DATEDIF(S3271,TODAY(),"YM")&amp;" Bulan, "&amp;DATEDIF(S3271,TODAY(),"MD")&amp;" Hari")</f>
        <v>21 Tahun, 8 Bulan, 4 Hari</v>
      </c>
      <c r="AC3271" s="14" t="n">
        <v>46250</v>
      </c>
      <c r="AD3271" s="18" t="n">
        <v>46402</v>
      </c>
      <c r="AE3271" s="13" t="s">
        <v>2387</v>
      </c>
    </row>
    <row r="3272" customFormat="false" ht="15" hidden="false" customHeight="true" outlineLevel="0" collapsed="false">
      <c r="A3272" s="12" t="n">
        <v>22735</v>
      </c>
      <c r="B3272" s="13" t="s">
        <v>13552</v>
      </c>
      <c r="C3272" s="14" t="n">
        <v>46234</v>
      </c>
      <c r="D3272" s="13" t="s">
        <v>2033</v>
      </c>
      <c r="E3272" s="13" t="s">
        <v>47</v>
      </c>
      <c r="F3272" s="24" t="s">
        <v>13553</v>
      </c>
      <c r="G3272" s="13" t="s">
        <v>1452</v>
      </c>
      <c r="H3272" s="13" t="s">
        <v>35</v>
      </c>
      <c r="I3272" s="13" t="str">
        <f aca="false">IF(C3272=J3272,"NEW KONTRAK","RE-KONTRAK")</f>
        <v>NEW KONTRAK</v>
      </c>
      <c r="J3272" s="16" t="n">
        <f aca="false" t="array" ref="J3272:J3272">IFERROR(INDEX(AC3272:AE3272,IF(COUNTA(AC3272:AE3272)=0,"",MAX((AC3272:AE3272&lt;&gt;"")*(COLUMN(AC3272:AE3272)-(COLUMN(AC3272)))))-1),"")</f>
        <v>46234</v>
      </c>
      <c r="K3272" s="16" t="n">
        <f aca="false" t="array" ref="K3272:K3272">IFERROR(INDEX(AC3272:AE3272,IF(COUNTA(AC3272:AE3272)=0,"",MAX((AC3272:AE3272&lt;&gt;"")*(COLUMN(AC3272:AE3272)-(COLUMN(AC3272)-1))))-1),"")</f>
        <v>46355</v>
      </c>
      <c r="L3272" s="17" t="str">
        <f aca="false" t="array" ref="L3272:L3272">IFERROR(INDEX(AC3272:AE3272,IF(COUNTA(AC3272:AE3272)=0,"",MAX((AC3272:AE3272&lt;&gt;"")*(COLUMN(AC3272:AE3272)-(COLUMN(AC3272)-2))))-1),"")</f>
        <v>ARCHIVED</v>
      </c>
      <c r="M3272" s="13" t="n">
        <f aca="true">K3272-TODAY()</f>
        <v>31</v>
      </c>
      <c r="N3272" s="18" t="s">
        <v>5340</v>
      </c>
      <c r="O3272" s="13" t="s">
        <v>2384</v>
      </c>
      <c r="P3272" s="19" t="n">
        <v>3756643</v>
      </c>
      <c r="Q3272" s="20" t="s">
        <v>13554</v>
      </c>
      <c r="R3272" s="13" t="s">
        <v>13555</v>
      </c>
      <c r="S3272" s="25" t="n">
        <v>36312</v>
      </c>
      <c r="T3272" s="13" t="s">
        <v>108</v>
      </c>
      <c r="U3272" s="13" t="s">
        <v>13556</v>
      </c>
      <c r="V3272" s="13" t="s">
        <v>42</v>
      </c>
      <c r="W3272" s="13" t="s">
        <v>43</v>
      </c>
      <c r="X3272" s="21" t="n">
        <v>83152895005</v>
      </c>
      <c r="Y3272" s="22" t="str">
        <f aca="false">O3272</f>
        <v>SPG</v>
      </c>
      <c r="Z3272" s="13" t="str">
        <f aca="false">IFERROR(__xludf.dummyfunction("if(BJ3272="""","""",GOOGLETRANSLATE(BJ3272,""auto"",""en""))"),"SPG")</f>
        <v>SPG</v>
      </c>
      <c r="AA3272" s="23" t="str">
        <f aca="false">IF(C3272="","", CHOOSE(MONTH(C3272),"January","February","March","April","May","June","July","August","September","October","November","December")&amp;" "&amp;DAY(C3272)&amp;MID("thstndrdth",MIN(9,2*RIGHT(DAY(C3272))*(MOD(DAY(C3272)-11,100)&gt;2)+1),2)&amp;","&amp;TEXT(C3272," yyyy"))</f>
        <v>July 31st,2026</v>
      </c>
      <c r="AB3272" s="15" t="str">
        <f aca="true">IF(S3272="","",DATEDIF(S3272,TODAY(),"Y")&amp;" Tahun, "&amp;DATEDIF(S3272,TODAY(),"YM")&amp;" Bulan, "&amp;DATEDIF(S3272,TODAY(),"MD")&amp;" Hari")</f>
        <v>27 Tahun, 4 Bulan, 28 Hari</v>
      </c>
      <c r="AC3272" s="14" t="n">
        <v>46234</v>
      </c>
      <c r="AD3272" s="18" t="n">
        <f aca="false">EDATE(AC3272,4)-1</f>
        <v>46355</v>
      </c>
      <c r="AE3272" s="65" t="s">
        <v>44</v>
      </c>
    </row>
    <row r="3273" customFormat="false" ht="15" hidden="false" customHeight="true" outlineLevel="0" collapsed="false">
      <c r="A3273" s="12" t="n">
        <v>18465</v>
      </c>
      <c r="B3273" s="13" t="s">
        <v>13557</v>
      </c>
      <c r="C3273" s="14" t="n">
        <v>45612</v>
      </c>
      <c r="D3273" s="13" t="s">
        <v>2033</v>
      </c>
      <c r="E3273" s="15" t="s">
        <v>47</v>
      </c>
      <c r="F3273" s="15" t="str">
        <f aca="false">IFERROR(__xludf.dummyfunction("XLOOKUP(AJ3273,IMPORTRANGE(""1XaInW9DU9nz21V0tYIfzFQ0He9kVQ_JF2mCXgZ3hqFA"",""REKAP ALL 2026 - Andika!G:G""),IMPORTRANGE(""1XaInW9DU9nz21V0tYIfzFQ0He9kVQ_JF2mCXgZ3hqFA"",""REKAP ALL 2026 - Andika!F:F""),"""",0)"),"25012463565")</f>
        <v>25012463565</v>
      </c>
      <c r="G3273" s="13" t="s">
        <v>13558</v>
      </c>
      <c r="H3273" s="13" t="s">
        <v>2035</v>
      </c>
      <c r="I3273" s="13" t="str">
        <f aca="false">IF(C3273=J3273,"NEW KONTRAK","RE-KONTRAK")</f>
        <v>RE-KONTRAK</v>
      </c>
      <c r="J3273" s="16" t="n">
        <f aca="false" t="array" ref="J3273:J3273">IFERROR(INDEX(AC3273:AE3273,IF(COUNTA(AC3273:AE3273)=0,"",MAX((AC3273:AE3273&lt;&gt;"")*(COLUMN(AC3273:AE3273)-(COLUMN(AC3273)))))-1),"")</f>
        <v>45744</v>
      </c>
      <c r="K3273" s="16" t="n">
        <f aca="false" t="array" ref="K3273:K3273">IFERROR(INDEX(AC3273:AE3273,IF(COUNTA(AC3273:AE3273)=0,"",MAX((AC3273:AE3273&lt;&gt;"")*(COLUMN(AC3273:AE3273)-(COLUMN(AC3273)-1))))-1),"")</f>
        <v>45915</v>
      </c>
      <c r="L3273" s="17" t="str">
        <f aca="false" t="array" ref="L3273:L3273">IFERROR(INDEX(AC3273:AE3273,IF(COUNTA(AC3273:AE3273)=0,"",MAX((AC3273:AE3273&lt;&gt;"")*(COLUMN(AC3273:AE3273)-(COLUMN(AC3273)-2))))-1),"")</f>
        <v>ARCHIVED</v>
      </c>
      <c r="M3273" s="13" t="n">
        <f aca="true">K3273-TODAY()</f>
        <v>-409</v>
      </c>
      <c r="N3273" s="18" t="s">
        <v>5749</v>
      </c>
      <c r="O3273" s="13" t="s">
        <v>2037</v>
      </c>
      <c r="P3273" s="19" t="n">
        <v>3932552</v>
      </c>
      <c r="Q3273" s="20" t="s">
        <v>13559</v>
      </c>
      <c r="R3273" s="13" t="s">
        <v>13560</v>
      </c>
      <c r="S3273" s="14" t="n">
        <v>36558</v>
      </c>
      <c r="T3273" s="13" t="s">
        <v>108</v>
      </c>
      <c r="U3273" s="13" t="s">
        <v>13561</v>
      </c>
      <c r="V3273" s="13" t="s">
        <v>42</v>
      </c>
      <c r="W3273" s="13" t="s">
        <v>54</v>
      </c>
      <c r="X3273" s="21" t="n">
        <v>81262980795</v>
      </c>
      <c r="Y3273" s="22" t="str">
        <f aca="false">O3273</f>
        <v>SPG/BA</v>
      </c>
      <c r="Z3273" s="13" t="str">
        <f aca="false">IFERROR(__xludf.dummyfunction("if(BJ3273="""","""",GOOGLETRANSLATE(BJ3273,""auto"",""en""))"),"SPG/BA")</f>
        <v>SPG/BA</v>
      </c>
      <c r="AA3273" s="23" t="str">
        <f aca="false">IF(C3273="","", CHOOSE(MONTH(C3273),"January","February","March","April","May","June","July","August","September","October","November","December")&amp;" "&amp;DAY(C3273)&amp;MID("thstndrdth",MIN(9,2*RIGHT(DAY(C3273))*(MOD(DAY(C3273)-11,100)&gt;2)+1),2)&amp;","&amp;TEXT(C3273," yyyy"))</f>
        <v>November 16th,2024</v>
      </c>
      <c r="AB3273" s="15" t="str">
        <f aca="true">IF(S3273="","",DATEDIF(S3273,TODAY(),"Y")&amp;" Tahun, "&amp;DATEDIF(S3273,TODAY(),"YM")&amp;" Bulan, "&amp;DATEDIF(S3273,TODAY(),"MD")&amp;" Hari")</f>
        <v>26 Tahun, 8 Bulan, 27 Hari</v>
      </c>
      <c r="AC3273" s="18" t="n">
        <v>45744</v>
      </c>
      <c r="AD3273" s="18" t="n">
        <v>45915</v>
      </c>
      <c r="AE3273" s="18" t="s">
        <v>44</v>
      </c>
    </row>
    <row r="3274" customFormat="false" ht="15" hidden="false" customHeight="true" outlineLevel="0" collapsed="false">
      <c r="A3274" s="12" t="n">
        <v>21874</v>
      </c>
      <c r="B3274" s="13" t="s">
        <v>13562</v>
      </c>
      <c r="C3274" s="16" t="n">
        <v>46071</v>
      </c>
      <c r="D3274" s="13" t="s">
        <v>56</v>
      </c>
      <c r="E3274" s="15" t="s">
        <v>47</v>
      </c>
      <c r="F3274" s="15" t="str">
        <f aca="false">IFERROR(__xludf.dummyfunction("XLOOKUP(AJ3274,IMPORTRANGE(""1XaInW9DU9nz21V0tYIfzFQ0He9kVQ_JF2mCXgZ3hqFA"",""REKAP ALL 2026 - Andika!G:G""),IMPORTRANGE(""1XaInW9DU9nz21V0tYIfzFQ0He9kVQ_JF2mCXgZ3hqFA"",""REKAP ALL 2026 - Andika!F:F""),"""",0)"),"26035116107")</f>
        <v>26035116107</v>
      </c>
      <c r="G3274" s="13" t="s">
        <v>57</v>
      </c>
      <c r="H3274" s="13" t="s">
        <v>35</v>
      </c>
      <c r="I3274" s="13" t="str">
        <f aca="false">IF(C3274=J3274,"NEW KONTRAK","RE-KONTRAK")</f>
        <v>NEW KONTRAK</v>
      </c>
      <c r="J3274" s="16" t="n">
        <f aca="false" t="array" ref="J3274:J3274">IFERROR(INDEX(AC3274:AE3274,IF(COUNTA(AC3274:AE3274)=0,"",MAX((AC3274:AE3274&lt;&gt;"")*(COLUMN(AC3274:AE3274)-(COLUMN(AC3274)))))-1),"")</f>
        <v>46071</v>
      </c>
      <c r="K3274" s="16" t="n">
        <f aca="false" t="array" ref="K3274:K3274">IFERROR(INDEX(AC3274:AE3274,IF(COUNTA(AC3274:AE3274)=0,"",MAX((AC3274:AE3274&lt;&gt;"")*(COLUMN(AC3274:AE3274)-(COLUMN(AC3274)-1))))-1),"")</f>
        <v>46203</v>
      </c>
      <c r="L3274" s="17" t="str">
        <f aca="false" t="array" ref="L3274:L3274">IFERROR(INDEX(AC3274:AE3274,IF(COUNTA(AC3274:AE3274)=0,"",MAX((AC3274:AE3274&lt;&gt;"")*(COLUMN(AC3274:AE3274)-(COLUMN(AC3274)-2))))-1),"")</f>
        <v>KEMBALI ONLINE</v>
      </c>
      <c r="M3274" s="13" t="n">
        <f aca="true">K3274-TODAY()</f>
        <v>-121</v>
      </c>
      <c r="N3274" s="18" t="s">
        <v>36</v>
      </c>
      <c r="O3274" s="13" t="s">
        <v>58</v>
      </c>
      <c r="P3274" s="19" t="n">
        <v>210000</v>
      </c>
      <c r="Q3274" s="47" t="s">
        <v>13563</v>
      </c>
      <c r="R3274" s="13" t="s">
        <v>65</v>
      </c>
      <c r="S3274" s="16" t="n">
        <v>33803</v>
      </c>
      <c r="T3274" s="28" t="s">
        <v>40</v>
      </c>
      <c r="U3274" s="13" t="s">
        <v>13564</v>
      </c>
      <c r="V3274" s="13" t="s">
        <v>42</v>
      </c>
      <c r="W3274" s="13" t="s">
        <v>54</v>
      </c>
      <c r="X3274" s="104" t="n">
        <v>85748342468</v>
      </c>
      <c r="Y3274" s="22" t="str">
        <f aca="false">O3274</f>
        <v>Produksi</v>
      </c>
      <c r="Z3274" s="13" t="str">
        <f aca="false">IFERROR(__xludf.dummyfunction("if(BJ3274="""","""",GOOGLETRANSLATE(BJ3274,""auto"",""en""))"),"Production")</f>
        <v>Production</v>
      </c>
      <c r="AA3274" s="23" t="str">
        <f aca="false">IF(C3274="","", CHOOSE(MONTH(C3274),"January","February","March","April","May","June","July","August","September","October","November","December")&amp;" "&amp;DAY(C3274)&amp;MID("thstndrdth",MIN(9,2*RIGHT(DAY(C3274))*(MOD(DAY(C3274)-11,100)&gt;2)+1),2)&amp;","&amp;TEXT(C3274," yyyy"))</f>
        <v>February 18th,2026</v>
      </c>
      <c r="AB3274" s="15" t="str">
        <f aca="true">IF(S3274="","",DATEDIF(S3274,TODAY(),"Y")&amp;" Tahun, "&amp;DATEDIF(S3274,TODAY(),"YM")&amp;" Bulan, "&amp;DATEDIF(S3274,TODAY(),"MD")&amp;" Hari")</f>
        <v>34 Tahun, 3 Bulan, 11 Hari</v>
      </c>
      <c r="AC3274" s="18" t="n">
        <v>46071</v>
      </c>
      <c r="AD3274" s="18" t="n">
        <v>46203</v>
      </c>
      <c r="AE3274" s="13" t="s">
        <v>2387</v>
      </c>
    </row>
    <row r="3275" customFormat="false" ht="15" hidden="false" customHeight="true" outlineLevel="0" collapsed="false">
      <c r="A3275" s="12" t="n">
        <v>21875</v>
      </c>
      <c r="B3275" s="13" t="s">
        <v>13565</v>
      </c>
      <c r="C3275" s="16" t="n">
        <v>46071</v>
      </c>
      <c r="D3275" s="13" t="s">
        <v>56</v>
      </c>
      <c r="E3275" s="15" t="s">
        <v>47</v>
      </c>
      <c r="F3275" s="15" t="str">
        <f aca="false">IFERROR(__xludf.dummyfunction("XLOOKUP(AJ3275,IMPORTRANGE(""1XaInW9DU9nz21V0tYIfzFQ0He9kVQ_JF2mCXgZ3hqFA"",""REKAP ALL 2026 - Andika!G:G""),IMPORTRANGE(""1XaInW9DU9nz21V0tYIfzFQ0He9kVQ_JF2mCXgZ3hqFA"",""REKAP ALL 2026 - Andika!F:F""),"""",0)"),"26035116115")</f>
        <v>26035116115</v>
      </c>
      <c r="G3275" s="13" t="s">
        <v>57</v>
      </c>
      <c r="H3275" s="13" t="s">
        <v>35</v>
      </c>
      <c r="I3275" s="13" t="str">
        <f aca="false">IF(C3275=J3275,"NEW KONTRAK","RE-KONTRAK")</f>
        <v>NEW KONTRAK</v>
      </c>
      <c r="J3275" s="16" t="n">
        <f aca="false" t="array" ref="J3275:J3275">IFERROR(INDEX(AC3275:AE3275,IF(COUNTA(AC3275:AE3275)=0,"",MAX((AC3275:AE3275&lt;&gt;"")*(COLUMN(AC3275:AE3275)-(COLUMN(AC3275)))))-1),"")</f>
        <v>46071</v>
      </c>
      <c r="K3275" s="16" t="n">
        <f aca="false" t="array" ref="K3275:K3275">IFERROR(INDEX(AC3275:AE3275,IF(COUNTA(AC3275:AE3275)=0,"",MAX((AC3275:AE3275&lt;&gt;"")*(COLUMN(AC3275:AE3275)-(COLUMN(AC3275)-1))))-1),"")</f>
        <v>46203</v>
      </c>
      <c r="L3275" s="17" t="str">
        <f aca="false" t="array" ref="L3275:L3275">IFERROR(INDEX(AC3275:AE3275,IF(COUNTA(AC3275:AE3275)=0,"",MAX((AC3275:AE3275&lt;&gt;"")*(COLUMN(AC3275:AE3275)-(COLUMN(AC3275)-2))))-1),"")</f>
        <v>KEMBALI ONLINE</v>
      </c>
      <c r="M3275" s="13" t="n">
        <f aca="true">K3275-TODAY()</f>
        <v>-121</v>
      </c>
      <c r="N3275" s="18" t="s">
        <v>36</v>
      </c>
      <c r="O3275" s="13" t="s">
        <v>58</v>
      </c>
      <c r="P3275" s="19" t="n">
        <v>210000</v>
      </c>
      <c r="Q3275" s="47" t="s">
        <v>13566</v>
      </c>
      <c r="R3275" s="13" t="s">
        <v>65</v>
      </c>
      <c r="S3275" s="16" t="n">
        <v>28274</v>
      </c>
      <c r="T3275" s="28" t="s">
        <v>40</v>
      </c>
      <c r="U3275" s="13" t="s">
        <v>13567</v>
      </c>
      <c r="V3275" s="13" t="s">
        <v>42</v>
      </c>
      <c r="W3275" s="13" t="s">
        <v>54</v>
      </c>
      <c r="X3275" s="104" t="n">
        <v>85731555767</v>
      </c>
      <c r="Y3275" s="22" t="str">
        <f aca="false">O3275</f>
        <v>Produksi</v>
      </c>
      <c r="Z3275" s="13" t="str">
        <f aca="false">IFERROR(__xludf.dummyfunction("if(BJ3275="""","""",GOOGLETRANSLATE(BJ3275,""auto"",""en""))"),"Production")</f>
        <v>Production</v>
      </c>
      <c r="AA3275" s="23" t="str">
        <f aca="false">IF(C3275="","", CHOOSE(MONTH(C3275),"January","February","March","April","May","June","July","August","September","October","November","December")&amp;" "&amp;DAY(C3275)&amp;MID("thstndrdth",MIN(9,2*RIGHT(DAY(C3275))*(MOD(DAY(C3275)-11,100)&gt;2)+1),2)&amp;","&amp;TEXT(C3275," yyyy"))</f>
        <v>February 18th,2026</v>
      </c>
      <c r="AB3275" s="15" t="str">
        <f aca="true">IF(S3275="","",DATEDIF(S3275,TODAY(),"Y")&amp;" Tahun, "&amp;DATEDIF(S3275,TODAY(),"YM")&amp;" Bulan, "&amp;DATEDIF(S3275,TODAY(),"MD")&amp;" Hari")</f>
        <v>49 Tahun, 5 Bulan, 0 Hari</v>
      </c>
      <c r="AC3275" s="18" t="n">
        <v>46071</v>
      </c>
      <c r="AD3275" s="18" t="n">
        <v>46203</v>
      </c>
      <c r="AE3275" s="13" t="s">
        <v>2387</v>
      </c>
    </row>
    <row r="3276" customFormat="false" ht="15" hidden="false" customHeight="true" outlineLevel="0" collapsed="false">
      <c r="A3276" s="12" t="n">
        <v>21876</v>
      </c>
      <c r="B3276" s="13" t="s">
        <v>13568</v>
      </c>
      <c r="C3276" s="16" t="n">
        <v>46066</v>
      </c>
      <c r="D3276" s="13" t="s">
        <v>3022</v>
      </c>
      <c r="E3276" s="15" t="s">
        <v>4614</v>
      </c>
      <c r="F3276" s="15" t="str">
        <f aca="false">IFERROR(__xludf.dummyfunction("XLOOKUP(AJ3276,IMPORTRANGE(""1XaInW9DU9nz21V0tYIfzFQ0He9kVQ_JF2mCXgZ3hqFA"",""REKAP ALL 2026 - Andika!G:G""),IMPORTRANGE(""1XaInW9DU9nz21V0tYIfzFQ0He9kVQ_JF2mCXgZ3hqFA"",""REKAP ALL 2026 - Andika!F:F""),"""",0)"),"26035120109")</f>
        <v>26035120109</v>
      </c>
      <c r="G3276" s="13" t="s">
        <v>57</v>
      </c>
      <c r="H3276" s="13" t="s">
        <v>3024</v>
      </c>
      <c r="I3276" s="13" t="str">
        <f aca="false">IF(C3276=J3276,"NEW KONTRAK","RE-KONTRAK")</f>
        <v>NEW KONTRAK</v>
      </c>
      <c r="J3276" s="16" t="n">
        <f aca="false" t="array" ref="J3276:J3276">IFERROR(INDEX(AC3276:AE3276,IF(COUNTA(AC3276:AE3276)=0,"",MAX((AC3276:AE3276&lt;&gt;"")*(COLUMN(AC3276:AE3276)-(COLUMN(AC3276)))))-1),"")</f>
        <v>46066</v>
      </c>
      <c r="K3276" s="16" t="n">
        <f aca="false" t="array" ref="K3276:K3276">IFERROR(INDEX(AC3276:AE3276,IF(COUNTA(AC3276:AE3276)=0,"",MAX((AC3276:AE3276&lt;&gt;"")*(COLUMN(AC3276:AE3276)-(COLUMN(AC3276)-1))))-1),"")</f>
        <v>46154</v>
      </c>
      <c r="L3276" s="17" t="str">
        <f aca="false" t="array" ref="L3276:L3276">IFERROR(INDEX(AC3276:AE3276,IF(COUNTA(AC3276:AE3276)=0,"",MAX((AC3276:AE3276&lt;&gt;"")*(COLUMN(AC3276:AE3276)-(COLUMN(AC3276)-2))))-1),"")</f>
        <v>ARCHIVED</v>
      </c>
      <c r="M3276" s="13" t="n">
        <f aca="true">K3276-TODAY()</f>
        <v>-170</v>
      </c>
      <c r="N3276" s="18" t="s">
        <v>36</v>
      </c>
      <c r="O3276" s="13" t="s">
        <v>3750</v>
      </c>
      <c r="P3276" s="19" t="n">
        <v>112500</v>
      </c>
      <c r="Q3276" s="47" t="s">
        <v>13569</v>
      </c>
      <c r="R3276" s="13" t="s">
        <v>255</v>
      </c>
      <c r="S3276" s="16" t="n">
        <v>34755</v>
      </c>
      <c r="T3276" s="28" t="s">
        <v>40</v>
      </c>
      <c r="U3276" s="13" t="s">
        <v>13570</v>
      </c>
      <c r="V3276" s="13" t="s">
        <v>42</v>
      </c>
      <c r="W3276" s="13" t="s">
        <v>54</v>
      </c>
      <c r="X3276" s="21" t="n">
        <v>87874970726</v>
      </c>
      <c r="Y3276" s="22" t="str">
        <f aca="false">O3276</f>
        <v>Produksi ( Painting )</v>
      </c>
      <c r="Z3276" s="13" t="str">
        <f aca="false">IFERROR(__xludf.dummyfunction("if(BJ3276="""","""",GOOGLETRANSLATE(BJ3276,""auto"",""en""))"),"Production (Painting)")</f>
        <v>Production (Painting)</v>
      </c>
      <c r="AA3276" s="23" t="str">
        <f aca="false">IF(C3276="","", CHOOSE(MONTH(C3276),"January","February","March","April","May","June","July","August","September","October","November","December")&amp;" "&amp;DAY(C3276)&amp;MID("thstndrdth",MIN(9,2*RIGHT(DAY(C3276))*(MOD(DAY(C3276)-11,100)&gt;2)+1),2)&amp;","&amp;TEXT(C3276," yyyy"))</f>
        <v>February 13th,2026</v>
      </c>
      <c r="AB3276" s="15" t="str">
        <f aca="true">IF(S3276="","",DATEDIF(S3276,TODAY(),"Y")&amp;" Tahun, "&amp;DATEDIF(S3276,TODAY(),"YM")&amp;" Bulan, "&amp;DATEDIF(S3276,TODAY(),"MD")&amp;" Hari")</f>
        <v>31 Tahun, 8 Bulan, 4 Hari</v>
      </c>
      <c r="AC3276" s="18" t="n">
        <v>46066</v>
      </c>
      <c r="AD3276" s="18" t="n">
        <f aca="false">EDATE(AC3276,3)-1</f>
        <v>46154</v>
      </c>
      <c r="AE3276" s="18" t="s">
        <v>44</v>
      </c>
    </row>
    <row r="3277" customFormat="false" ht="15" hidden="false" customHeight="true" outlineLevel="0" collapsed="false">
      <c r="A3277" s="12" t="n">
        <v>21878</v>
      </c>
      <c r="B3277" s="13" t="s">
        <v>13571</v>
      </c>
      <c r="C3277" s="16" t="n">
        <v>46066</v>
      </c>
      <c r="D3277" s="13" t="s">
        <v>3022</v>
      </c>
      <c r="E3277" s="15" t="s">
        <v>102</v>
      </c>
      <c r="F3277" s="24" t="s">
        <v>13572</v>
      </c>
      <c r="G3277" s="13" t="s">
        <v>57</v>
      </c>
      <c r="H3277" s="13" t="s">
        <v>3024</v>
      </c>
      <c r="I3277" s="13" t="str">
        <f aca="false">IF(C3277=J3277,"NEW KONTRAK","RE-KONTRAK")</f>
        <v>NEW KONTRAK</v>
      </c>
      <c r="J3277" s="16" t="n">
        <f aca="false" t="array" ref="J3277:J3277">IFERROR(INDEX(AC3277:AE3277,IF(COUNTA(AC3277:AE3277)=0,"",MAX((AC3277:AE3277&lt;&gt;"")*(COLUMN(AC3277:AE3277)-(COLUMN(AC3277)))))-1),"")</f>
        <v>46066</v>
      </c>
      <c r="K3277" s="16" t="n">
        <f aca="false" t="array" ref="K3277:K3277">IFERROR(INDEX(AC3277:AE3277,IF(COUNTA(AC3277:AE3277)=0,"",MAX((AC3277:AE3277&lt;&gt;"")*(COLUMN(AC3277:AE3277)-(COLUMN(AC3277)-1))))-1),"")</f>
        <v>46154</v>
      </c>
      <c r="L3277" s="17" t="str">
        <f aca="false" t="array" ref="L3277:L3277">IFERROR(INDEX(AC3277:AE3277,IF(COUNTA(AC3277:AE3277)=0,"",MAX((AC3277:AE3277&lt;&gt;"")*(COLUMN(AC3277:AE3277)-(COLUMN(AC3277)-2))))-1),"")</f>
        <v>ARCHIVED</v>
      </c>
      <c r="M3277" s="13" t="n">
        <f aca="true">K3277-TODAY()</f>
        <v>-170</v>
      </c>
      <c r="N3277" s="18" t="s">
        <v>36</v>
      </c>
      <c r="O3277" s="13" t="s">
        <v>3750</v>
      </c>
      <c r="P3277" s="19" t="n">
        <v>112500</v>
      </c>
      <c r="Q3277" s="47" t="s">
        <v>13573</v>
      </c>
      <c r="R3277" s="13" t="s">
        <v>255</v>
      </c>
      <c r="S3277" s="16" t="n">
        <v>34762</v>
      </c>
      <c r="T3277" s="28" t="s">
        <v>40</v>
      </c>
      <c r="U3277" s="13" t="s">
        <v>13574</v>
      </c>
      <c r="V3277" s="13" t="s">
        <v>42</v>
      </c>
      <c r="W3277" s="13" t="s">
        <v>54</v>
      </c>
      <c r="X3277" s="21" t="n">
        <v>85850852382</v>
      </c>
      <c r="Y3277" s="22" t="str">
        <f aca="false">O3277</f>
        <v>Produksi ( Painting )</v>
      </c>
      <c r="Z3277" s="13" t="str">
        <f aca="false">IFERROR(__xludf.dummyfunction("if(BJ3277="""","""",GOOGLETRANSLATE(BJ3277,""auto"",""en""))"),"Production (Painting)")</f>
        <v>Production (Painting)</v>
      </c>
      <c r="AA3277" s="23" t="str">
        <f aca="false">IF(C3277="","", CHOOSE(MONTH(C3277),"January","February","March","April","May","June","July","August","September","October","November","December")&amp;" "&amp;DAY(C3277)&amp;MID("thstndrdth",MIN(9,2*RIGHT(DAY(C3277))*(MOD(DAY(C3277)-11,100)&gt;2)+1),2)&amp;","&amp;TEXT(C3277," yyyy"))</f>
        <v>February 13th,2026</v>
      </c>
      <c r="AB3277" s="15" t="str">
        <f aca="true">IF(S3277="","",DATEDIF(S3277,TODAY(),"Y")&amp;" Tahun, "&amp;DATEDIF(S3277,TODAY(),"YM")&amp;" Bulan, "&amp;DATEDIF(S3277,TODAY(),"MD")&amp;" Hari")</f>
        <v>31 Tahun, 7 Bulan, 25 Hari</v>
      </c>
      <c r="AC3277" s="18" t="n">
        <v>46066</v>
      </c>
      <c r="AD3277" s="18" t="n">
        <f aca="false">EDATE(AC3277,3)-1</f>
        <v>46154</v>
      </c>
      <c r="AE3277" s="18" t="s">
        <v>44</v>
      </c>
    </row>
    <row r="3278" customFormat="false" ht="15" hidden="false" customHeight="true" outlineLevel="0" collapsed="false">
      <c r="A3278" s="12" t="n">
        <v>21879</v>
      </c>
      <c r="B3278" s="13" t="s">
        <v>13575</v>
      </c>
      <c r="C3278" s="16" t="n">
        <v>46065</v>
      </c>
      <c r="D3278" s="13" t="s">
        <v>2033</v>
      </c>
      <c r="E3278" s="15" t="s">
        <v>102</v>
      </c>
      <c r="F3278" s="24" t="s">
        <v>13576</v>
      </c>
      <c r="G3278" s="13" t="s">
        <v>1127</v>
      </c>
      <c r="H3278" s="13" t="s">
        <v>35</v>
      </c>
      <c r="I3278" s="13" t="str">
        <f aca="false">IF(C3278=J3278,"NEW KONTRAK","RE-KONTRAK")</f>
        <v>NEW KONTRAK</v>
      </c>
      <c r="J3278" s="16" t="n">
        <f aca="false" t="array" ref="J3278:J3278">IFERROR(INDEX(AC3278:AE3278,IF(COUNTA(AC3278:AE3278)=0,"",MAX((AC3278:AE3278&lt;&gt;"")*(COLUMN(AC3278:AE3278)-(COLUMN(AC3278)))))-1),"")</f>
        <v>46065</v>
      </c>
      <c r="K3278" s="16" t="n">
        <f aca="false" t="array" ref="K3278:K3278">IFERROR(INDEX(AC3278:AE3278,IF(COUNTA(AC3278:AE3278)=0,"",MAX((AC3278:AE3278&lt;&gt;"")*(COLUMN(AC3278:AE3278)-(COLUMN(AC3278)-1))))-1),"")</f>
        <v>46188</v>
      </c>
      <c r="L3278" s="17" t="str">
        <f aca="false" t="array" ref="L3278:L3278">IFERROR(INDEX(AC3278:AE3278,IF(COUNTA(AC3278:AE3278)=0,"",MAX((AC3278:AE3278&lt;&gt;"")*(COLUMN(AC3278:AE3278)-(COLUMN(AC3278)-2))))-1),"")</f>
        <v>ARCHIVED</v>
      </c>
      <c r="M3278" s="13" t="n">
        <f aca="true">K3278-TODAY()</f>
        <v>-136</v>
      </c>
      <c r="N3278" s="51" t="s">
        <v>8976</v>
      </c>
      <c r="O3278" s="13" t="s">
        <v>2037</v>
      </c>
      <c r="P3278" s="75" t="n">
        <v>3229957.7</v>
      </c>
      <c r="Q3278" s="47" t="s">
        <v>13577</v>
      </c>
      <c r="R3278" s="13" t="s">
        <v>11504</v>
      </c>
      <c r="S3278" s="16" t="n">
        <v>37085</v>
      </c>
      <c r="T3278" s="13" t="s">
        <v>108</v>
      </c>
      <c r="U3278" s="13" t="s">
        <v>13578</v>
      </c>
      <c r="V3278" s="13" t="s">
        <v>42</v>
      </c>
      <c r="W3278" s="13" t="s">
        <v>43</v>
      </c>
      <c r="X3278" s="13" t="s">
        <v>13579</v>
      </c>
      <c r="Y3278" s="22" t="str">
        <f aca="false">O3278</f>
        <v>SPG/BA</v>
      </c>
      <c r="Z3278" s="13" t="str">
        <f aca="false">IFERROR(__xludf.dummyfunction("if(BJ3278="""","""",GOOGLETRANSLATE(BJ3278,""auto"",""en""))"),"SPG/BA")</f>
        <v>SPG/BA</v>
      </c>
      <c r="AA3278" s="23" t="str">
        <f aca="false">IF(C3278="","", CHOOSE(MONTH(C3278),"January","February","March","April","May","June","July","August","September","October","November","December")&amp;" "&amp;DAY(C3278)&amp;MID("thstndrdth",MIN(9,2*RIGHT(DAY(C3278))*(MOD(DAY(C3278)-11,100)&gt;2)+1),2)&amp;","&amp;TEXT(C3278," yyyy"))</f>
        <v>February 12th,2026</v>
      </c>
      <c r="AB3278" s="15" t="str">
        <f aca="true">IF(S3278="","",DATEDIF(S3278,TODAY(),"Y")&amp;" Tahun, "&amp;DATEDIF(S3278,TODAY(),"YM")&amp;" Bulan, "&amp;DATEDIF(S3278,TODAY(),"MD")&amp;" Hari")</f>
        <v>25 Tahun, 3 Bulan, 16 Hari</v>
      </c>
      <c r="AC3278" s="18" t="n">
        <v>46065</v>
      </c>
      <c r="AD3278" s="18" t="n">
        <v>46188</v>
      </c>
      <c r="AE3278" s="13" t="s">
        <v>44</v>
      </c>
    </row>
    <row r="3279" customFormat="false" ht="15" hidden="false" customHeight="true" outlineLevel="0" collapsed="false">
      <c r="A3279" s="12" t="n">
        <v>21880</v>
      </c>
      <c r="B3279" s="13" t="s">
        <v>13580</v>
      </c>
      <c r="C3279" s="16" t="n">
        <v>46067</v>
      </c>
      <c r="D3279" s="13" t="s">
        <v>2033</v>
      </c>
      <c r="E3279" s="15" t="s">
        <v>102</v>
      </c>
      <c r="F3279" s="15" t="str">
        <f aca="false">IFERROR(__xludf.dummyfunction("XLOOKUP(AJ3279,IMPORTRANGE(""1XaInW9DU9nz21V0tYIfzFQ0He9kVQ_JF2mCXgZ3hqFA"",""REKAP ALL 2026 - Andika!G:G""),IMPORTRANGE(""1XaInW9DU9nz21V0tYIfzFQ0He9kVQ_JF2mCXgZ3hqFA"",""REKAP ALL 2026 - Andika!F:F""),"""",0)"),"26035115844")</f>
        <v>26035115844</v>
      </c>
      <c r="G3279" s="13" t="s">
        <v>1127</v>
      </c>
      <c r="H3279" s="13" t="s">
        <v>35</v>
      </c>
      <c r="I3279" s="13" t="str">
        <f aca="false">IF(C3279=J3279,"NEW KONTRAK","RE-KONTRAK")</f>
        <v>NEW KONTRAK</v>
      </c>
      <c r="J3279" s="16" t="n">
        <f aca="false" t="array" ref="J3279:J3279">IFERROR(INDEX(AC3279:AE3279,IF(COUNTA(AC3279:AE3279)=0,"",MAX((AC3279:AE3279&lt;&gt;"")*(COLUMN(AC3279:AE3279)-(COLUMN(AC3279)))))-1),"")</f>
        <v>46067</v>
      </c>
      <c r="K3279" s="16" t="n">
        <f aca="false" t="array" ref="K3279:K3279">IFERROR(INDEX(AC3279:AE3279,IF(COUNTA(AC3279:AE3279)=0,"",MAX((AC3279:AE3279&lt;&gt;"")*(COLUMN(AC3279:AE3279)-(COLUMN(AC3279)-1))))-1),"")</f>
        <v>46188</v>
      </c>
      <c r="L3279" s="17" t="str">
        <f aca="false" t="array" ref="L3279:L3279">IFERROR(INDEX(AC3279:AE3279,IF(COUNTA(AC3279:AE3279)=0,"",MAX((AC3279:AE3279&lt;&gt;"")*(COLUMN(AC3279:AE3279)-(COLUMN(AC3279)-2))))-1),"")</f>
        <v>ARCHIVED</v>
      </c>
      <c r="M3279" s="13" t="n">
        <f aca="true">K3279-TODAY()</f>
        <v>-136</v>
      </c>
      <c r="N3279" s="51" t="s">
        <v>5016</v>
      </c>
      <c r="O3279" s="13" t="s">
        <v>5017</v>
      </c>
      <c r="P3279" s="19" t="n">
        <v>3879520</v>
      </c>
      <c r="Q3279" s="47" t="s">
        <v>13581</v>
      </c>
      <c r="R3279" s="13" t="s">
        <v>5016</v>
      </c>
      <c r="S3279" s="16" t="n">
        <v>36929</v>
      </c>
      <c r="T3279" s="13" t="s">
        <v>108</v>
      </c>
      <c r="U3279" s="13" t="s">
        <v>13582</v>
      </c>
      <c r="V3279" s="13" t="s">
        <v>42</v>
      </c>
      <c r="W3279" s="13" t="s">
        <v>43</v>
      </c>
      <c r="X3279" s="13" t="s">
        <v>13583</v>
      </c>
      <c r="Y3279" s="22" t="str">
        <f aca="false">O3279</f>
        <v>Sales</v>
      </c>
      <c r="Z3279" s="13" t="str">
        <f aca="false">IFERROR(__xludf.dummyfunction("if(BJ3279="""","""",GOOGLETRANSLATE(BJ3279,""auto"",""en""))"),"Sales")</f>
        <v>Sales</v>
      </c>
      <c r="AA3279" s="23" t="str">
        <f aca="false">IF(C3279="","", CHOOSE(MONTH(C3279),"January","February","March","April","May","June","July","August","September","October","November","December")&amp;" "&amp;DAY(C3279)&amp;MID("thstndrdth",MIN(9,2*RIGHT(DAY(C3279))*(MOD(DAY(C3279)-11,100)&gt;2)+1),2)&amp;","&amp;TEXT(C3279," yyyy"))</f>
        <v>February 14th,2026</v>
      </c>
      <c r="AB3279" s="15" t="str">
        <f aca="true">IF(S3279="","",DATEDIF(S3279,TODAY(),"Y")&amp;" Tahun, "&amp;DATEDIF(S3279,TODAY(),"YM")&amp;" Bulan, "&amp;DATEDIF(S3279,TODAY(),"MD")&amp;" Hari")</f>
        <v>25 Tahun, 8 Bulan, 22 Hari</v>
      </c>
      <c r="AC3279" s="18" t="n">
        <v>46067</v>
      </c>
      <c r="AD3279" s="18" t="n">
        <v>46188</v>
      </c>
      <c r="AE3279" s="13" t="s">
        <v>44</v>
      </c>
    </row>
    <row r="3280" customFormat="false" ht="15" hidden="false" customHeight="true" outlineLevel="0" collapsed="false">
      <c r="A3280" s="12" t="n">
        <v>22121</v>
      </c>
      <c r="B3280" s="13" t="s">
        <v>13584</v>
      </c>
      <c r="C3280" s="16" t="n">
        <v>46113</v>
      </c>
      <c r="D3280" s="13" t="s">
        <v>2033</v>
      </c>
      <c r="E3280" s="15" t="s">
        <v>47</v>
      </c>
      <c r="F3280" s="15" t="str">
        <f aca="false">IFERROR(__xludf.dummyfunction("XLOOKUP(AJ3280,IMPORTRANGE(""1XaInW9DU9nz21V0tYIfzFQ0He9kVQ_JF2mCXgZ3hqFA"",""REKAP ALL 2026 - Andika!G:G""),IMPORTRANGE(""1XaInW9DU9nz21V0tYIfzFQ0He9kVQ_JF2mCXgZ3hqFA"",""REKAP ALL 2026 - Andika!F:F""),"""",0)"),"26062983932")</f>
        <v>26062983932</v>
      </c>
      <c r="G3280" s="13" t="s">
        <v>1127</v>
      </c>
      <c r="H3280" s="13" t="s">
        <v>35</v>
      </c>
      <c r="I3280" s="13" t="str">
        <f aca="false">IF(C3280=J3280,"NEW KONTRAK","RE-KONTRAK")</f>
        <v>NEW KONTRAK</v>
      </c>
      <c r="J3280" s="16" t="n">
        <f aca="false" t="array" ref="J3280:J3280">IFERROR(INDEX(AC3280:AE3280,IF(COUNTA(AC3280:AE3280)=0,"",MAX((AC3280:AE3280&lt;&gt;"")*(COLUMN(AC3280:AE3280)-(COLUMN(AC3280)))))-1),"")</f>
        <v>46113</v>
      </c>
      <c r="K3280" s="16" t="n">
        <f aca="false" t="array" ref="K3280:K3280">IFERROR(INDEX(AC3280:AE3280,IF(COUNTA(AC3280:AE3280)=0,"",MAX((AC3280:AE3280&lt;&gt;"")*(COLUMN(AC3280:AE3280)-(COLUMN(AC3280)-1))))-1),"")</f>
        <v>46188</v>
      </c>
      <c r="L3280" s="17" t="str">
        <f aca="false" t="array" ref="L3280:L3280">IFERROR(INDEX(AC3280:AE3280,IF(COUNTA(AC3280:AE3280)=0,"",MAX((AC3280:AE3280&lt;&gt;"")*(COLUMN(AC3280:AE3280)-(COLUMN(AC3280)-2))))-1),"")</f>
        <v>ARCHIVED</v>
      </c>
      <c r="M3280" s="13" t="n">
        <f aca="true">K3280-TODAY()</f>
        <v>-136</v>
      </c>
      <c r="N3280" s="18" t="s">
        <v>2587</v>
      </c>
      <c r="O3280" s="13" t="s">
        <v>2037</v>
      </c>
      <c r="P3280" s="19" t="n">
        <v>3855894</v>
      </c>
      <c r="Q3280" s="47" t="s">
        <v>13585</v>
      </c>
      <c r="R3280" s="13" t="s">
        <v>2587</v>
      </c>
      <c r="S3280" s="16" t="n">
        <v>38590</v>
      </c>
      <c r="T3280" s="13" t="s">
        <v>108</v>
      </c>
      <c r="U3280" s="13" t="s">
        <v>13586</v>
      </c>
      <c r="V3280" s="13" t="s">
        <v>42</v>
      </c>
      <c r="W3280" s="13" t="s">
        <v>43</v>
      </c>
      <c r="X3280" s="21" t="s">
        <v>13587</v>
      </c>
      <c r="Y3280" s="22" t="str">
        <f aca="false">O3280</f>
        <v>SPG/BA</v>
      </c>
      <c r="Z3280" s="13" t="str">
        <f aca="false">IFERROR(__xludf.dummyfunction("if(BJ3280="""","""",GOOGLETRANSLATE(BJ3280,""auto"",""en""))"),"SPG/BA")</f>
        <v>SPG/BA</v>
      </c>
      <c r="AA3280" s="23" t="str">
        <f aca="false">IF(C3280="","", CHOOSE(MONTH(C3280),"January","February","March","April","May","June","July","August","September","October","November","December")&amp;" "&amp;DAY(C3280)&amp;MID("thstndrdth",MIN(9,2*RIGHT(DAY(C3280))*(MOD(DAY(C3280)-11,100)&gt;2)+1),2)&amp;","&amp;TEXT(C3280," yyyy"))</f>
        <v>April 1st,2026</v>
      </c>
      <c r="AB3280" s="15" t="str">
        <f aca="true">IF(S3280="","",DATEDIF(S3280,TODAY(),"Y")&amp;" Tahun, "&amp;DATEDIF(S3280,TODAY(),"YM")&amp;" Bulan, "&amp;DATEDIF(S3280,TODAY(),"MD")&amp;" Hari")</f>
        <v>21 Tahun, 2 Bulan, 3 Hari</v>
      </c>
      <c r="AC3280" s="18" t="n">
        <v>46113</v>
      </c>
      <c r="AD3280" s="64" t="n">
        <v>46188</v>
      </c>
      <c r="AE3280" s="18" t="s">
        <v>44</v>
      </c>
    </row>
    <row r="3281" customFormat="false" ht="15" hidden="false" customHeight="true" outlineLevel="0" collapsed="false">
      <c r="A3281" s="12" t="n">
        <v>23005</v>
      </c>
      <c r="B3281" s="13" t="s">
        <v>13588</v>
      </c>
      <c r="C3281" s="14" t="n">
        <v>46281</v>
      </c>
      <c r="D3281" s="13" t="s">
        <v>2033</v>
      </c>
      <c r="E3281" s="13" t="s">
        <v>47</v>
      </c>
      <c r="F3281" s="24" t="s">
        <v>13589</v>
      </c>
      <c r="G3281" s="13" t="s">
        <v>1127</v>
      </c>
      <c r="H3281" s="13" t="s">
        <v>35</v>
      </c>
      <c r="I3281" s="13" t="str">
        <f aca="false">IF(C3281=J3281,"NEW KONTRAK","RE-KONTRAK")</f>
        <v>NEW KONTRAK</v>
      </c>
      <c r="J3281" s="16" t="n">
        <f aca="false" t="array" ref="J3281:J3281">IFERROR(INDEX(AC3281:AE3281,IF(COUNTA(AC3281:AE3281)=0,"",MAX((AC3281:AE3281&lt;&gt;"")*(COLUMN(AC3281:AE3281)-(COLUMN(AC3281)))))-1),"")</f>
        <v>46281</v>
      </c>
      <c r="K3281" s="16" t="n">
        <f aca="false" t="array" ref="K3281:K3281">IFERROR(INDEX(AC3281:AE3281,IF(COUNTA(AC3281:AE3281)=0,"",MAX((AC3281:AE3281&lt;&gt;"")*(COLUMN(AC3281:AE3281)-(COLUMN(AC3281)-1))))-1),"")</f>
        <v>46402</v>
      </c>
      <c r="L3281" s="17" t="str">
        <f aca="false" t="array" ref="L3281:L3281">IFERROR(INDEX(AC3281:AE3281,IF(COUNTA(AC3281:AE3281)=0,"",MAX((AC3281:AE3281&lt;&gt;"")*(COLUMN(AC3281:AE3281)-(COLUMN(AC3281)-2))))-1),"")</f>
        <v>DRAFTED ONLINE</v>
      </c>
      <c r="M3281" s="13" t="n">
        <f aca="true">K3281-TODAY()</f>
        <v>78</v>
      </c>
      <c r="N3281" s="13" t="s">
        <v>2587</v>
      </c>
      <c r="O3281" s="13" t="s">
        <v>2384</v>
      </c>
      <c r="P3281" s="26" t="n">
        <v>3855894</v>
      </c>
      <c r="Q3281" s="20" t="s">
        <v>13590</v>
      </c>
      <c r="R3281" s="13" t="s">
        <v>2587</v>
      </c>
      <c r="S3281" s="25" t="n">
        <v>38016</v>
      </c>
      <c r="T3281" s="13" t="s">
        <v>108</v>
      </c>
      <c r="U3281" s="13" t="s">
        <v>13591</v>
      </c>
      <c r="V3281" s="13" t="s">
        <v>42</v>
      </c>
      <c r="W3281" s="13" t="s">
        <v>43</v>
      </c>
      <c r="X3281" s="21" t="n">
        <v>83852268693</v>
      </c>
      <c r="Y3281" s="22" t="str">
        <f aca="false">O3281</f>
        <v>SPG</v>
      </c>
      <c r="Z3281" s="13" t="str">
        <f aca="false">IFERROR(__xludf.dummyfunction("if(BJ3281="""","""",GOOGLETRANSLATE(BJ3281,""auto"",""en""))"),"SPG")</f>
        <v>SPG</v>
      </c>
      <c r="AA3281" s="23" t="str">
        <f aca="false">IF(C3281="","", CHOOSE(MONTH(C3281),"January","February","March","April","May","June","July","August","September","October","November","December")&amp;" "&amp;DAY(C3281)&amp;MID("thstndrdth",MIN(9,2*RIGHT(DAY(C3281))*(MOD(DAY(C3281)-11,100)&gt;2)+1),2)&amp;","&amp;TEXT(C3281," yyyy"))</f>
        <v>September 16th,2026</v>
      </c>
      <c r="AB3281" s="15" t="str">
        <f aca="true">IF(S3281="","",DATEDIF(S3281,TODAY(),"Y")&amp;" Tahun, "&amp;DATEDIF(S3281,TODAY(),"YM")&amp;" Bulan, "&amp;DATEDIF(S3281,TODAY(),"MD")&amp;" Hari")</f>
        <v>22 Tahun, 8 Bulan, 29 Hari</v>
      </c>
      <c r="AC3281" s="14" t="n">
        <v>46281</v>
      </c>
      <c r="AD3281" s="18" t="n">
        <v>46402</v>
      </c>
      <c r="AE3281" s="13" t="s">
        <v>2424</v>
      </c>
    </row>
    <row r="3282" customFormat="false" ht="15" hidden="false" customHeight="true" outlineLevel="0" collapsed="false">
      <c r="A3282" s="12" t="n">
        <v>21889</v>
      </c>
      <c r="B3282" s="13" t="s">
        <v>13592</v>
      </c>
      <c r="C3282" s="16" t="n">
        <v>46054</v>
      </c>
      <c r="D3282" s="13" t="s">
        <v>5030</v>
      </c>
      <c r="E3282" s="15" t="s">
        <v>47</v>
      </c>
      <c r="F3282" s="15" t="str">
        <f aca="false">IFERROR(__xludf.dummyfunction("XLOOKUP(AJ3282,IMPORTRANGE(""1XaInW9DU9nz21V0tYIfzFQ0He9kVQ_JF2mCXgZ3hqFA"",""REKAP ALL 2026 - Andika!G:G""),IMPORTRANGE(""1XaInW9DU9nz21V0tYIfzFQ0He9kVQ_JF2mCXgZ3hqFA"",""REKAP ALL 2026 - Andika!F:F""),"""",0)"),"26035479604")</f>
        <v>26035479604</v>
      </c>
      <c r="G3282" s="13" t="s">
        <v>1127</v>
      </c>
      <c r="H3282" s="13" t="s">
        <v>35</v>
      </c>
      <c r="I3282" s="13" t="str">
        <f aca="false">IF(C3282=J3282,"NEW KONTRAK","RE-KONTRAK")</f>
        <v>NEW KONTRAK</v>
      </c>
      <c r="J3282" s="16" t="n">
        <f aca="false" t="array" ref="J3282:J3282">IFERROR(INDEX(AC3282:AE3282,IF(COUNTA(AC3282:AE3282)=0,"",MAX((AC3282:AE3282&lt;&gt;"")*(COLUMN(AC3282:AE3282)-(COLUMN(AC3282)))))-1),"")</f>
        <v>46054</v>
      </c>
      <c r="K3282" s="16" t="n">
        <f aca="false" t="array" ref="K3282:K3282">IFERROR(INDEX(AC3282:AE3282,IF(COUNTA(AC3282:AE3282)=0,"",MAX((AC3282:AE3282&lt;&gt;"")*(COLUMN(AC3282:AE3282)-(COLUMN(AC3282)-1))))-1),"")</f>
        <v>46234</v>
      </c>
      <c r="L3282" s="17" t="str">
        <f aca="false" t="array" ref="L3282:L3282">IFERROR(INDEX(AC3282:AE3282,IF(COUNTA(AC3282:AE3282)=0,"",MAX((AC3282:AE3282&lt;&gt;"")*(COLUMN(AC3282:AE3282)-(COLUMN(AC3282)-2))))-1),"")</f>
        <v>KEMBALI</v>
      </c>
      <c r="M3282" s="13" t="n">
        <f aca="true">K3282-TODAY()</f>
        <v>-90</v>
      </c>
      <c r="N3282" s="18" t="s">
        <v>728</v>
      </c>
      <c r="O3282" s="13" t="s">
        <v>5032</v>
      </c>
      <c r="P3282" s="27" t="n">
        <v>5195401</v>
      </c>
      <c r="Q3282" s="47" t="s">
        <v>13593</v>
      </c>
      <c r="R3282" s="13" t="s">
        <v>52</v>
      </c>
      <c r="S3282" s="16" t="n">
        <v>29226</v>
      </c>
      <c r="T3282" s="13" t="s">
        <v>40</v>
      </c>
      <c r="U3282" s="13" t="s">
        <v>13594</v>
      </c>
      <c r="V3282" s="13" t="s">
        <v>42</v>
      </c>
      <c r="W3282" s="13" t="s">
        <v>54</v>
      </c>
      <c r="X3282" s="21" t="n">
        <v>82264052318</v>
      </c>
      <c r="Y3282" s="22" t="str">
        <f aca="false">O3282</f>
        <v>Operator Genset</v>
      </c>
      <c r="Z3282" s="13" t="str">
        <f aca="false">IFERROR(__xludf.dummyfunction("if(BJ3282="""","""",GOOGLETRANSLATE(BJ3282,""auto"",""en""))"),"Generator Operator")</f>
        <v>Generator Operator</v>
      </c>
      <c r="AA3282" s="23" t="str">
        <f aca="false">IF(C3282="","", CHOOSE(MONTH(C3282),"January","February","March","April","May","June","July","August","September","October","November","December")&amp;" "&amp;DAY(C3282)&amp;MID("thstndrdth",MIN(9,2*RIGHT(DAY(C3282))*(MOD(DAY(C3282)-11,100)&gt;2)+1),2)&amp;","&amp;TEXT(C3282," yyyy"))</f>
        <v>February 1st,2026</v>
      </c>
      <c r="AB3282" s="15" t="str">
        <f aca="true">IF(S3282="","",DATEDIF(S3282,TODAY(),"Y")&amp;" Tahun, "&amp;DATEDIF(S3282,TODAY(),"YM")&amp;" Bulan, "&amp;DATEDIF(S3282,TODAY(),"MD")&amp;" Hari")</f>
        <v>46 Tahun, 9 Bulan, 23 Hari</v>
      </c>
      <c r="AC3282" s="18" t="n">
        <v>46054</v>
      </c>
      <c r="AD3282" s="18" t="n">
        <v>46234</v>
      </c>
      <c r="AE3282" s="13" t="s">
        <v>397</v>
      </c>
    </row>
    <row r="3283" customFormat="false" ht="15" hidden="false" customHeight="true" outlineLevel="0" collapsed="false">
      <c r="A3283" s="12" t="n">
        <v>21890</v>
      </c>
      <c r="B3283" s="13" t="s">
        <v>3593</v>
      </c>
      <c r="C3283" s="16" t="n">
        <v>46054</v>
      </c>
      <c r="D3283" s="13" t="s">
        <v>5030</v>
      </c>
      <c r="E3283" s="15" t="s">
        <v>47</v>
      </c>
      <c r="F3283" s="15" t="str">
        <f aca="false">IFERROR(__xludf.dummyfunction("XLOOKUP(AJ3283,IMPORTRANGE(""1XaInW9DU9nz21V0tYIfzFQ0He9kVQ_JF2mCXgZ3hqFA"",""REKAP ALL 2026 - Andika!G:G""),IMPORTRANGE(""1XaInW9DU9nz21V0tYIfzFQ0He9kVQ_JF2mCXgZ3hqFA"",""REKAP ALL 2026 - Andika!F:F""),"""",0)"),"26035479612")</f>
        <v>26035479612</v>
      </c>
      <c r="G3283" s="13" t="s">
        <v>1127</v>
      </c>
      <c r="H3283" s="13" t="s">
        <v>35</v>
      </c>
      <c r="I3283" s="13" t="str">
        <f aca="false">IF(C3283=J3283,"NEW KONTRAK","RE-KONTRAK")</f>
        <v>NEW KONTRAK</v>
      </c>
      <c r="J3283" s="16" t="n">
        <f aca="false" t="array" ref="J3283:J3283">IFERROR(INDEX(AC3283:AE3283,IF(COUNTA(AC3283:AE3283)=0,"",MAX((AC3283:AE3283&lt;&gt;"")*(COLUMN(AC3283:AE3283)-(COLUMN(AC3283)))))-1),"")</f>
        <v>46054</v>
      </c>
      <c r="K3283" s="16" t="n">
        <f aca="false" t="array" ref="K3283:K3283">IFERROR(INDEX(AC3283:AE3283,IF(COUNTA(AC3283:AE3283)=0,"",MAX((AC3283:AE3283&lt;&gt;"")*(COLUMN(AC3283:AE3283)-(COLUMN(AC3283)-1))))-1),"")</f>
        <v>46234</v>
      </c>
      <c r="L3283" s="17" t="str">
        <f aca="false" t="array" ref="L3283:L3283">IFERROR(INDEX(AC3283:AE3283,IF(COUNTA(AC3283:AE3283)=0,"",MAX((AC3283:AE3283&lt;&gt;"")*(COLUMN(AC3283:AE3283)-(COLUMN(AC3283)-2))))-1),"")</f>
        <v>KEMBALI</v>
      </c>
      <c r="M3283" s="13" t="n">
        <f aca="true">K3283-TODAY()</f>
        <v>-90</v>
      </c>
      <c r="N3283" s="18" t="s">
        <v>728</v>
      </c>
      <c r="O3283" s="13" t="s">
        <v>5032</v>
      </c>
      <c r="P3283" s="27" t="n">
        <v>5195401</v>
      </c>
      <c r="Q3283" s="47" t="s">
        <v>13595</v>
      </c>
      <c r="R3283" s="13" t="s">
        <v>52</v>
      </c>
      <c r="S3283" s="16" t="n">
        <v>35300</v>
      </c>
      <c r="T3283" s="13" t="s">
        <v>40</v>
      </c>
      <c r="U3283" s="13" t="s">
        <v>5113</v>
      </c>
      <c r="V3283" s="13" t="s">
        <v>42</v>
      </c>
      <c r="W3283" s="13" t="s">
        <v>43</v>
      </c>
      <c r="X3283" s="21" t="n">
        <v>83173423174</v>
      </c>
      <c r="Y3283" s="22" t="str">
        <f aca="false">O3283</f>
        <v>Operator Genset</v>
      </c>
      <c r="Z3283" s="13" t="str">
        <f aca="false">IFERROR(__xludf.dummyfunction("if(BJ3283="""","""",GOOGLETRANSLATE(BJ3283,""auto"",""en""))"),"Generator Operator")</f>
        <v>Generator Operator</v>
      </c>
      <c r="AA3283" s="23" t="str">
        <f aca="false">IF(C3283="","", CHOOSE(MONTH(C3283),"January","February","March","April","May","June","July","August","September","October","November","December")&amp;" "&amp;DAY(C3283)&amp;MID("thstndrdth",MIN(9,2*RIGHT(DAY(C3283))*(MOD(DAY(C3283)-11,100)&gt;2)+1),2)&amp;","&amp;TEXT(C3283," yyyy"))</f>
        <v>February 1st,2026</v>
      </c>
      <c r="AB3283" s="15" t="str">
        <f aca="true">IF(S3283="","",DATEDIF(S3283,TODAY(),"Y")&amp;" Tahun, "&amp;DATEDIF(S3283,TODAY(),"YM")&amp;" Bulan, "&amp;DATEDIF(S3283,TODAY(),"MD")&amp;" Hari")</f>
        <v>30 Tahun, 2 Bulan, 6 Hari</v>
      </c>
      <c r="AC3283" s="18" t="n">
        <v>46054</v>
      </c>
      <c r="AD3283" s="18" t="n">
        <v>46234</v>
      </c>
      <c r="AE3283" s="13" t="s">
        <v>397</v>
      </c>
    </row>
    <row r="3284" customFormat="false" ht="15" hidden="false" customHeight="true" outlineLevel="0" collapsed="false">
      <c r="A3284" s="12" t="n">
        <v>21891</v>
      </c>
      <c r="B3284" s="13" t="s">
        <v>13596</v>
      </c>
      <c r="C3284" s="16" t="n">
        <v>46055</v>
      </c>
      <c r="D3284" s="13" t="s">
        <v>5030</v>
      </c>
      <c r="E3284" s="15" t="s">
        <v>47</v>
      </c>
      <c r="F3284" s="15" t="str">
        <f aca="false">IFERROR(__xludf.dummyfunction("XLOOKUP(AJ3284,IMPORTRANGE(""1XaInW9DU9nz21V0tYIfzFQ0He9kVQ_JF2mCXgZ3hqFA"",""REKAP ALL 2026 - Andika!G:G""),IMPORTRANGE(""1XaInW9DU9nz21V0tYIfzFQ0He9kVQ_JF2mCXgZ3hqFA"",""REKAP ALL 2026 - Andika!F:F""),"""",0)"),"26035479638")</f>
        <v>26035479638</v>
      </c>
      <c r="G3284" s="13" t="s">
        <v>1127</v>
      </c>
      <c r="H3284" s="13" t="s">
        <v>35</v>
      </c>
      <c r="I3284" s="13" t="str">
        <f aca="false">IF(C3284=J3284,"NEW KONTRAK","RE-KONTRAK")</f>
        <v>NEW KONTRAK</v>
      </c>
      <c r="J3284" s="16" t="n">
        <f aca="false" t="array" ref="J3284:J3284">IFERROR(INDEX(AC3284:AE3284,IF(COUNTA(AC3284:AE3284)=0,"",MAX((AC3284:AE3284&lt;&gt;"")*(COLUMN(AC3284:AE3284)-(COLUMN(AC3284)))))-1),"")</f>
        <v>46055</v>
      </c>
      <c r="K3284" s="16" t="n">
        <f aca="false" t="array" ref="K3284:K3284">IFERROR(INDEX(AC3284:AE3284,IF(COUNTA(AC3284:AE3284)=0,"",MAX((AC3284:AE3284&lt;&gt;"")*(COLUMN(AC3284:AE3284)-(COLUMN(AC3284)-1))))-1),"")</f>
        <v>46234</v>
      </c>
      <c r="L3284" s="17" t="str">
        <f aca="false" t="array" ref="L3284:L3284">IFERROR(INDEX(AC3284:AE3284,IF(COUNTA(AC3284:AE3284)=0,"",MAX((AC3284:AE3284&lt;&gt;"")*(COLUMN(AC3284:AE3284)-(COLUMN(AC3284)-2))))-1),"")</f>
        <v>KEMBALI</v>
      </c>
      <c r="M3284" s="13" t="n">
        <f aca="true">K3284-TODAY()</f>
        <v>-90</v>
      </c>
      <c r="N3284" s="18" t="s">
        <v>728</v>
      </c>
      <c r="O3284" s="13" t="s">
        <v>5032</v>
      </c>
      <c r="P3284" s="27" t="n">
        <v>5195401</v>
      </c>
      <c r="Q3284" s="47" t="s">
        <v>13597</v>
      </c>
      <c r="R3284" s="13" t="s">
        <v>7622</v>
      </c>
      <c r="S3284" s="16" t="n">
        <v>31374</v>
      </c>
      <c r="T3284" s="13" t="s">
        <v>40</v>
      </c>
      <c r="U3284" s="13" t="s">
        <v>13598</v>
      </c>
      <c r="V3284" s="13" t="s">
        <v>42</v>
      </c>
      <c r="W3284" s="13" t="s">
        <v>43</v>
      </c>
      <c r="X3284" s="21" t="n">
        <v>81398408016</v>
      </c>
      <c r="Y3284" s="22" t="str">
        <f aca="false">O3284</f>
        <v>Operator Genset</v>
      </c>
      <c r="Z3284" s="13" t="str">
        <f aca="false">IFERROR(__xludf.dummyfunction("if(BJ3284="""","""",GOOGLETRANSLATE(BJ3284,""auto"",""en""))"),"Generator Operator")</f>
        <v>Generator Operator</v>
      </c>
      <c r="AA3284" s="23" t="str">
        <f aca="false">IF(C3284="","", CHOOSE(MONTH(C3284),"January","February","March","April","May","June","July","August","September","October","November","December")&amp;" "&amp;DAY(C3284)&amp;MID("thstndrdth",MIN(9,2*RIGHT(DAY(C3284))*(MOD(DAY(C3284)-11,100)&gt;2)+1),2)&amp;","&amp;TEXT(C3284," yyyy"))</f>
        <v>February 2nd,2026</v>
      </c>
      <c r="AB3284" s="15" t="str">
        <f aca="true">IF(S3284="","",DATEDIF(S3284,TODAY(),"Y")&amp;" Tahun, "&amp;DATEDIF(S3284,TODAY(),"YM")&amp;" Bulan, "&amp;DATEDIF(S3284,TODAY(),"MD")&amp;" Hari")</f>
        <v>40 Tahun, 11 Bulan, 6 Hari</v>
      </c>
      <c r="AC3284" s="18" t="n">
        <v>46055</v>
      </c>
      <c r="AD3284" s="18" t="n">
        <v>46234</v>
      </c>
      <c r="AE3284" s="13" t="s">
        <v>397</v>
      </c>
    </row>
    <row r="3285" customFormat="false" ht="15" hidden="false" customHeight="true" outlineLevel="0" collapsed="false">
      <c r="A3285" s="12" t="n">
        <v>21892</v>
      </c>
      <c r="B3285" s="13" t="s">
        <v>13599</v>
      </c>
      <c r="C3285" s="16" t="n">
        <v>46056</v>
      </c>
      <c r="D3285" s="13" t="s">
        <v>5030</v>
      </c>
      <c r="E3285" s="15" t="s">
        <v>47</v>
      </c>
      <c r="F3285" s="15" t="str">
        <f aca="false">IFERROR(__xludf.dummyfunction("XLOOKUP(AJ3285,IMPORTRANGE(""1XaInW9DU9nz21V0tYIfzFQ0He9kVQ_JF2mCXgZ3hqFA"",""REKAP ALL 2026 - Andika!G:G""),IMPORTRANGE(""1XaInW9DU9nz21V0tYIfzFQ0He9kVQ_JF2mCXgZ3hqFA"",""REKAP ALL 2026 - Andika!F:F""),"""",0)"),"26035479646")</f>
        <v>26035479646</v>
      </c>
      <c r="G3285" s="13" t="s">
        <v>1127</v>
      </c>
      <c r="H3285" s="13" t="s">
        <v>35</v>
      </c>
      <c r="I3285" s="13" t="str">
        <f aca="false">IF(C3285=J3285,"NEW KONTRAK","RE-KONTRAK")</f>
        <v>NEW KONTRAK</v>
      </c>
      <c r="J3285" s="16" t="n">
        <f aca="false" t="array" ref="J3285:J3285">IFERROR(INDEX(AC3285:AE3285,IF(COUNTA(AC3285:AE3285)=0,"",MAX((AC3285:AE3285&lt;&gt;"")*(COLUMN(AC3285:AE3285)-(COLUMN(AC3285)))))-1),"")</f>
        <v>46056</v>
      </c>
      <c r="K3285" s="16" t="n">
        <f aca="false" t="array" ref="K3285:K3285">IFERROR(INDEX(AC3285:AE3285,IF(COUNTA(AC3285:AE3285)=0,"",MAX((AC3285:AE3285&lt;&gt;"")*(COLUMN(AC3285:AE3285)-(COLUMN(AC3285)-1))))-1),"")</f>
        <v>46234</v>
      </c>
      <c r="L3285" s="17" t="str">
        <f aca="false" t="array" ref="L3285:L3285">IFERROR(INDEX(AC3285:AE3285,IF(COUNTA(AC3285:AE3285)=0,"",MAX((AC3285:AE3285&lt;&gt;"")*(COLUMN(AC3285:AE3285)-(COLUMN(AC3285)-2))))-1),"")</f>
        <v>KEMBALI</v>
      </c>
      <c r="M3285" s="13" t="n">
        <f aca="true">K3285-TODAY()</f>
        <v>-90</v>
      </c>
      <c r="N3285" s="18" t="s">
        <v>728</v>
      </c>
      <c r="O3285" s="13" t="s">
        <v>5032</v>
      </c>
      <c r="P3285" s="27" t="n">
        <v>5195401</v>
      </c>
      <c r="Q3285" s="47" t="s">
        <v>13600</v>
      </c>
      <c r="R3285" s="13" t="s">
        <v>39</v>
      </c>
      <c r="S3285" s="16" t="n">
        <v>34056</v>
      </c>
      <c r="T3285" s="13" t="s">
        <v>40</v>
      </c>
      <c r="U3285" s="13" t="s">
        <v>13601</v>
      </c>
      <c r="V3285" s="13" t="s">
        <v>42</v>
      </c>
      <c r="W3285" s="13" t="s">
        <v>54</v>
      </c>
      <c r="X3285" s="21" t="n">
        <v>81228899004</v>
      </c>
      <c r="Y3285" s="22" t="str">
        <f aca="false">O3285</f>
        <v>Operator Genset</v>
      </c>
      <c r="Z3285" s="13" t="str">
        <f aca="false">IFERROR(__xludf.dummyfunction("if(BJ3285="""","""",GOOGLETRANSLATE(BJ3285,""auto"",""en""))"),"Generator Operator")</f>
        <v>Generator Operator</v>
      </c>
      <c r="AA3285" s="23" t="str">
        <f aca="false">IF(C3285="","", CHOOSE(MONTH(C3285),"January","February","March","April","May","June","July","August","September","October","November","December")&amp;" "&amp;DAY(C3285)&amp;MID("thstndrdth",MIN(9,2*RIGHT(DAY(C3285))*(MOD(DAY(C3285)-11,100)&gt;2)+1),2)&amp;","&amp;TEXT(C3285," yyyy"))</f>
        <v>February 3rd,2026</v>
      </c>
      <c r="AB3285" s="15" t="str">
        <f aca="true">IF(S3285="","",DATEDIF(S3285,TODAY(),"Y")&amp;" Tahun, "&amp;DATEDIF(S3285,TODAY(),"YM")&amp;" Bulan, "&amp;DATEDIF(S3285,TODAY(),"MD")&amp;" Hari")</f>
        <v>33 Tahun, 7 Bulan, 1 Hari</v>
      </c>
      <c r="AC3285" s="18" t="n">
        <v>46056</v>
      </c>
      <c r="AD3285" s="18" t="n">
        <v>46234</v>
      </c>
      <c r="AE3285" s="13" t="s">
        <v>397</v>
      </c>
    </row>
    <row r="3286" customFormat="false" ht="15" hidden="false" customHeight="true" outlineLevel="0" collapsed="false">
      <c r="A3286" s="12" t="n">
        <v>21893</v>
      </c>
      <c r="B3286" s="13" t="s">
        <v>13602</v>
      </c>
      <c r="C3286" s="16" t="n">
        <v>46058</v>
      </c>
      <c r="D3286" s="13" t="s">
        <v>5030</v>
      </c>
      <c r="E3286" s="15" t="s">
        <v>47</v>
      </c>
      <c r="F3286" s="15" t="str">
        <f aca="false">IFERROR(__xludf.dummyfunction("XLOOKUP(AJ3286,IMPORTRANGE(""1XaInW9DU9nz21V0tYIfzFQ0He9kVQ_JF2mCXgZ3hqFA"",""REKAP ALL 2026 - Andika!G:G""),IMPORTRANGE(""1XaInW9DU9nz21V0tYIfzFQ0He9kVQ_JF2mCXgZ3hqFA"",""REKAP ALL 2026 - Andika!F:F""),"""",0)"),"26035479653")</f>
        <v>26035479653</v>
      </c>
      <c r="G3286" s="13" t="s">
        <v>1127</v>
      </c>
      <c r="H3286" s="13" t="s">
        <v>35</v>
      </c>
      <c r="I3286" s="13" t="str">
        <f aca="false">IF(C3286=J3286,"NEW KONTRAK","RE-KONTRAK")</f>
        <v>NEW KONTRAK</v>
      </c>
      <c r="J3286" s="16" t="n">
        <f aca="false" t="array" ref="J3286:J3286">IFERROR(INDEX(AC3286:AE3286,IF(COUNTA(AC3286:AE3286)=0,"",MAX((AC3286:AE3286&lt;&gt;"")*(COLUMN(AC3286:AE3286)-(COLUMN(AC3286)))))-1),"")</f>
        <v>46058</v>
      </c>
      <c r="K3286" s="16" t="n">
        <f aca="false" t="array" ref="K3286:K3286">IFERROR(INDEX(AC3286:AE3286,IF(COUNTA(AC3286:AE3286)=0,"",MAX((AC3286:AE3286&lt;&gt;"")*(COLUMN(AC3286:AE3286)-(COLUMN(AC3286)-1))))-1),"")</f>
        <v>46234</v>
      </c>
      <c r="L3286" s="17" t="str">
        <f aca="false" t="array" ref="L3286:L3286">IFERROR(INDEX(AC3286:AE3286,IF(COUNTA(AC3286:AE3286)=0,"",MAX((AC3286:AE3286&lt;&gt;"")*(COLUMN(AC3286:AE3286)-(COLUMN(AC3286)-2))))-1),"")</f>
        <v>KEMBALI</v>
      </c>
      <c r="M3286" s="13" t="n">
        <f aca="true">K3286-TODAY()</f>
        <v>-90</v>
      </c>
      <c r="N3286" s="18" t="s">
        <v>728</v>
      </c>
      <c r="O3286" s="13" t="s">
        <v>5032</v>
      </c>
      <c r="P3286" s="27" t="n">
        <v>5195401</v>
      </c>
      <c r="Q3286" s="47" t="s">
        <v>13603</v>
      </c>
      <c r="R3286" s="13" t="s">
        <v>52</v>
      </c>
      <c r="S3286" s="16" t="n">
        <v>31156</v>
      </c>
      <c r="T3286" s="13" t="s">
        <v>40</v>
      </c>
      <c r="U3286" s="13" t="s">
        <v>13604</v>
      </c>
      <c r="V3286" s="13" t="s">
        <v>42</v>
      </c>
      <c r="W3286" s="13" t="s">
        <v>54</v>
      </c>
      <c r="X3286" s="21" t="n">
        <v>81331302944</v>
      </c>
      <c r="Y3286" s="22" t="str">
        <f aca="false">O3286</f>
        <v>Operator Genset</v>
      </c>
      <c r="Z3286" s="13" t="str">
        <f aca="false">IFERROR(__xludf.dummyfunction("if(BJ3286="""","""",GOOGLETRANSLATE(BJ3286,""auto"",""en""))"),"Generator Operator")</f>
        <v>Generator Operator</v>
      </c>
      <c r="AA3286" s="23" t="str">
        <f aca="false">IF(C3286="","", CHOOSE(MONTH(C3286),"January","February","March","April","May","June","July","August","September","October","November","December")&amp;" "&amp;DAY(C3286)&amp;MID("thstndrdth",MIN(9,2*RIGHT(DAY(C3286))*(MOD(DAY(C3286)-11,100)&gt;2)+1),2)&amp;","&amp;TEXT(C3286," yyyy"))</f>
        <v>February 5th,2026</v>
      </c>
      <c r="AB3286" s="15" t="str">
        <f aca="true">IF(S3286="","",DATEDIF(S3286,TODAY(),"Y")&amp;" Tahun, "&amp;DATEDIF(S3286,TODAY(),"YM")&amp;" Bulan, "&amp;DATEDIF(S3286,TODAY(),"MD")&amp;" Hari")</f>
        <v>41 Tahun, 6 Bulan, 10 Hari</v>
      </c>
      <c r="AC3286" s="18" t="n">
        <v>46058</v>
      </c>
      <c r="AD3286" s="18" t="n">
        <v>46234</v>
      </c>
      <c r="AE3286" s="13" t="s">
        <v>397</v>
      </c>
    </row>
    <row r="3287" customFormat="false" ht="15" hidden="false" customHeight="true" outlineLevel="0" collapsed="false">
      <c r="A3287" s="12" t="n">
        <v>21894</v>
      </c>
      <c r="B3287" s="13" t="s">
        <v>13605</v>
      </c>
      <c r="C3287" s="16" t="n">
        <v>46066</v>
      </c>
      <c r="D3287" s="13" t="s">
        <v>5030</v>
      </c>
      <c r="E3287" s="15" t="s">
        <v>47</v>
      </c>
      <c r="F3287" s="15" t="str">
        <f aca="false">IFERROR(__xludf.dummyfunction("XLOOKUP(AJ3287,IMPORTRANGE(""1XaInW9DU9nz21V0tYIfzFQ0He9kVQ_JF2mCXgZ3hqFA"",""REKAP ALL 2026 - Andika!G:G""),IMPORTRANGE(""1XaInW9DU9nz21V0tYIfzFQ0He9kVQ_JF2mCXgZ3hqFA"",""REKAP ALL 2026 - Andika!F:F""),"""",0)"),"26035479661")</f>
        <v>26035479661</v>
      </c>
      <c r="G3287" s="13" t="s">
        <v>1127</v>
      </c>
      <c r="H3287" s="13" t="s">
        <v>35</v>
      </c>
      <c r="I3287" s="13" t="str">
        <f aca="false">IF(C3287=J3287,"NEW KONTRAK","RE-KONTRAK")</f>
        <v>NEW KONTRAK</v>
      </c>
      <c r="J3287" s="16" t="n">
        <f aca="false" t="array" ref="J3287:J3287">IFERROR(INDEX(AC3287:AE3287,IF(COUNTA(AC3287:AE3287)=0,"",MAX((AC3287:AE3287&lt;&gt;"")*(COLUMN(AC3287:AE3287)-(COLUMN(AC3287)))))-1),"")</f>
        <v>46066</v>
      </c>
      <c r="K3287" s="16" t="n">
        <f aca="false" t="array" ref="K3287:K3287">IFERROR(INDEX(AC3287:AE3287,IF(COUNTA(AC3287:AE3287)=0,"",MAX((AC3287:AE3287&lt;&gt;"")*(COLUMN(AC3287:AE3287)-(COLUMN(AC3287)-1))))-1),"")</f>
        <v>46234</v>
      </c>
      <c r="L3287" s="17" t="str">
        <f aca="false" t="array" ref="L3287:L3287">IFERROR(INDEX(AC3287:AE3287,IF(COUNTA(AC3287:AE3287)=0,"",MAX((AC3287:AE3287&lt;&gt;"")*(COLUMN(AC3287:AE3287)-(COLUMN(AC3287)-2))))-1),"")</f>
        <v>KEMBALI</v>
      </c>
      <c r="M3287" s="13" t="n">
        <f aca="true">K3287-TODAY()</f>
        <v>-90</v>
      </c>
      <c r="N3287" s="18" t="s">
        <v>728</v>
      </c>
      <c r="O3287" s="13" t="s">
        <v>5032</v>
      </c>
      <c r="P3287" s="27" t="n">
        <v>5195401</v>
      </c>
      <c r="Q3287" s="47" t="s">
        <v>13606</v>
      </c>
      <c r="R3287" s="13" t="s">
        <v>52</v>
      </c>
      <c r="S3287" s="16" t="n">
        <v>30023</v>
      </c>
      <c r="T3287" s="13" t="s">
        <v>40</v>
      </c>
      <c r="U3287" s="13" t="s">
        <v>13607</v>
      </c>
      <c r="V3287" s="13" t="s">
        <v>42</v>
      </c>
      <c r="W3287" s="13" t="s">
        <v>54</v>
      </c>
      <c r="X3287" s="21" t="n">
        <v>81997357498</v>
      </c>
      <c r="Y3287" s="22" t="str">
        <f aca="false">O3287</f>
        <v>Operator Genset</v>
      </c>
      <c r="Z3287" s="13" t="str">
        <f aca="false">IFERROR(__xludf.dummyfunction("if(BJ3287="""","""",GOOGLETRANSLATE(BJ3287,""auto"",""en""))"),"Generator Operator")</f>
        <v>Generator Operator</v>
      </c>
      <c r="AA3287" s="23" t="str">
        <f aca="false">IF(C3287="","", CHOOSE(MONTH(C3287),"January","February","March","April","May","June","July","August","September","October","November","December")&amp;" "&amp;DAY(C3287)&amp;MID("thstndrdth",MIN(9,2*RIGHT(DAY(C3287))*(MOD(DAY(C3287)-11,100)&gt;2)+1),2)&amp;","&amp;TEXT(C3287," yyyy"))</f>
        <v>February 13th,2026</v>
      </c>
      <c r="AB3287" s="15" t="str">
        <f aca="true">IF(S3287="","",DATEDIF(S3287,TODAY(),"Y")&amp;" Tahun, "&amp;DATEDIF(S3287,TODAY(),"YM")&amp;" Bulan, "&amp;DATEDIF(S3287,TODAY(),"MD")&amp;" Hari")</f>
        <v>44 Tahun, 7 Bulan, 16 Hari</v>
      </c>
      <c r="AC3287" s="18" t="n">
        <v>46066</v>
      </c>
      <c r="AD3287" s="18" t="n">
        <v>46234</v>
      </c>
      <c r="AE3287" s="13" t="s">
        <v>397</v>
      </c>
    </row>
    <row r="3288" customFormat="false" ht="15" hidden="false" customHeight="true" outlineLevel="0" collapsed="false">
      <c r="A3288" s="12" t="n">
        <v>21895</v>
      </c>
      <c r="B3288" s="13" t="s">
        <v>13608</v>
      </c>
      <c r="C3288" s="16" t="n">
        <v>46076</v>
      </c>
      <c r="D3288" s="13" t="s">
        <v>3022</v>
      </c>
      <c r="E3288" s="15" t="s">
        <v>789</v>
      </c>
      <c r="F3288" s="24" t="s">
        <v>13609</v>
      </c>
      <c r="G3288" s="13" t="s">
        <v>57</v>
      </c>
      <c r="H3288" s="13" t="s">
        <v>3024</v>
      </c>
      <c r="I3288" s="13" t="str">
        <f aca="false">IF(C3288=J3288,"NEW KONTRAK","RE-KONTRAK")</f>
        <v>NEW KONTRAK</v>
      </c>
      <c r="J3288" s="16" t="n">
        <f aca="false" t="array" ref="J3288:J3288">IFERROR(INDEX(AC3288:AE3288,IF(COUNTA(AC3288:AE3288)=0,"",MAX((AC3288:AE3288&lt;&gt;"")*(COLUMN(AC3288:AE3288)-(COLUMN(AC3288)))))-1),"")</f>
        <v>46076</v>
      </c>
      <c r="K3288" s="16" t="n">
        <f aca="false" t="array" ref="K3288:K3288">IFERROR(INDEX(AC3288:AE3288,IF(COUNTA(AC3288:AE3288)=0,"",MAX((AC3288:AE3288&lt;&gt;"")*(COLUMN(AC3288:AE3288)-(COLUMN(AC3288)-1))))-1),"")</f>
        <v>46164</v>
      </c>
      <c r="L3288" s="17" t="str">
        <f aca="false" t="array" ref="L3288:L3288">IFERROR(INDEX(AC3288:AE3288,IF(COUNTA(AC3288:AE3288)=0,"",MAX((AC3288:AE3288&lt;&gt;"")*(COLUMN(AC3288:AE3288)-(COLUMN(AC3288)-2))))-1),"")</f>
        <v>ARCHIVED</v>
      </c>
      <c r="M3288" s="13" t="n">
        <f aca="true">K3288-TODAY()</f>
        <v>-160</v>
      </c>
      <c r="N3288" s="18" t="s">
        <v>36</v>
      </c>
      <c r="O3288" s="13" t="s">
        <v>3030</v>
      </c>
      <c r="P3288" s="19" t="n">
        <v>112500</v>
      </c>
      <c r="Q3288" s="47" t="s">
        <v>13610</v>
      </c>
      <c r="R3288" s="13" t="s">
        <v>39</v>
      </c>
      <c r="S3288" s="16" t="n">
        <v>37773</v>
      </c>
      <c r="T3288" s="28" t="s">
        <v>40</v>
      </c>
      <c r="U3288" s="13" t="s">
        <v>13611</v>
      </c>
      <c r="V3288" s="13" t="s">
        <v>42</v>
      </c>
      <c r="W3288" s="13" t="s">
        <v>43</v>
      </c>
      <c r="X3288" s="21" t="n">
        <v>85804054018</v>
      </c>
      <c r="Y3288" s="22" t="str">
        <f aca="false">O3288</f>
        <v>Produksi ( Shearing )</v>
      </c>
      <c r="Z3288" s="13" t="str">
        <f aca="false">IFERROR(__xludf.dummyfunction("if(BJ3288="""","""",GOOGLETRANSLATE(BJ3288,""auto"",""en""))"),"Production (Shearing)")</f>
        <v>Production (Shearing)</v>
      </c>
      <c r="AA3288" s="23" t="str">
        <f aca="false">IF(C3288="","", CHOOSE(MONTH(C3288),"January","February","March","April","May","June","July","August","September","October","November","December")&amp;" "&amp;DAY(C3288)&amp;MID("thstndrdth",MIN(9,2*RIGHT(DAY(C3288))*(MOD(DAY(C3288)-11,100)&gt;2)+1),2)&amp;","&amp;TEXT(C3288," yyyy"))</f>
        <v>February 23rd,2026</v>
      </c>
      <c r="AB3288" s="15" t="str">
        <f aca="true">IF(S3288="","",DATEDIF(S3288,TODAY(),"Y")&amp;" Tahun, "&amp;DATEDIF(S3288,TODAY(),"YM")&amp;" Bulan, "&amp;DATEDIF(S3288,TODAY(),"MD")&amp;" Hari")</f>
        <v>23 Tahun, 4 Bulan, 28 Hari</v>
      </c>
      <c r="AC3288" s="18" t="n">
        <v>46076</v>
      </c>
      <c r="AD3288" s="18" t="n">
        <f aca="false">EDATE(AC3288,3)-1</f>
        <v>46164</v>
      </c>
      <c r="AE3288" s="13" t="s">
        <v>44</v>
      </c>
    </row>
    <row r="3289" customFormat="false" ht="15" hidden="false" customHeight="true" outlineLevel="0" collapsed="false">
      <c r="A3289" s="12" t="n">
        <v>21896</v>
      </c>
      <c r="B3289" s="13" t="s">
        <v>13612</v>
      </c>
      <c r="C3289" s="16" t="n">
        <v>46076</v>
      </c>
      <c r="D3289" s="13" t="s">
        <v>8227</v>
      </c>
      <c r="E3289" s="15" t="s">
        <v>47</v>
      </c>
      <c r="F3289" s="24" t="s">
        <v>13613</v>
      </c>
      <c r="G3289" s="13" t="s">
        <v>2809</v>
      </c>
      <c r="H3289" s="13" t="s">
        <v>35</v>
      </c>
      <c r="I3289" s="13" t="str">
        <f aca="false">IF(C3289=J3289,"NEW KONTRAK","RE-KONTRAK")</f>
        <v>NEW KONTRAK</v>
      </c>
      <c r="J3289" s="16" t="n">
        <f aca="false" t="array" ref="J3289:J3289">IFERROR(INDEX(AC3289:AE3289,IF(COUNTA(AC3289:AE3289)=0,"",MAX((AC3289:AE3289&lt;&gt;"")*(COLUMN(AC3289:AE3289)-(COLUMN(AC3289)))))-1),"")</f>
        <v>46076</v>
      </c>
      <c r="K3289" s="16" t="n">
        <f aca="false" t="array" ref="K3289:K3289">IFERROR(INDEX(AC3289:AE3289,IF(COUNTA(AC3289:AE3289)=0,"",MAX((AC3289:AE3289&lt;&gt;"")*(COLUMN(AC3289:AE3289)-(COLUMN(AC3289)-1))))-1),"")</f>
        <v>46164</v>
      </c>
      <c r="L3289" s="17" t="str">
        <f aca="false" t="array" ref="L3289:L3289">IFERROR(INDEX(AC3289:AE3289,IF(COUNTA(AC3289:AE3289)=0,"",MAX((AC3289:AE3289&lt;&gt;"")*(COLUMN(AC3289:AE3289)-(COLUMN(AC3289)-2))))-1),"")</f>
        <v>ARCHIVED</v>
      </c>
      <c r="M3289" s="13" t="n">
        <f aca="true">K3289-TODAY()</f>
        <v>-160</v>
      </c>
      <c r="N3289" s="18" t="s">
        <v>728</v>
      </c>
      <c r="O3289" s="13" t="s">
        <v>13464</v>
      </c>
      <c r="P3289" s="19" t="n">
        <v>2750000</v>
      </c>
      <c r="Q3289" s="47" t="s">
        <v>13614</v>
      </c>
      <c r="R3289" s="13" t="s">
        <v>52</v>
      </c>
      <c r="S3289" s="16" t="n">
        <v>36866</v>
      </c>
      <c r="T3289" s="28" t="s">
        <v>40</v>
      </c>
      <c r="U3289" s="13" t="s">
        <v>13615</v>
      </c>
      <c r="V3289" s="13" t="s">
        <v>42</v>
      </c>
      <c r="W3289" s="13" t="s">
        <v>43</v>
      </c>
      <c r="X3289" s="21" t="n">
        <v>89686780451</v>
      </c>
      <c r="Y3289" s="22" t="str">
        <f aca="false">O3289</f>
        <v>Tenaga Gudang</v>
      </c>
      <c r="Z3289" s="13" t="str">
        <f aca="false">IFERROR(__xludf.dummyfunction("if(BJ3289="""","""",GOOGLETRANSLATE(BJ3289,""auto"",""en""))"),"Warehouse Energy")</f>
        <v>Warehouse Energy</v>
      </c>
      <c r="AA3289" s="23" t="str">
        <f aca="false">IF(C3289="","", CHOOSE(MONTH(C3289),"January","February","March","April","May","June","July","August","September","October","November","December")&amp;" "&amp;DAY(C3289)&amp;MID("thstndrdth",MIN(9,2*RIGHT(DAY(C3289))*(MOD(DAY(C3289)-11,100)&gt;2)+1),2)&amp;","&amp;TEXT(C3289," yyyy"))</f>
        <v>February 23rd,2026</v>
      </c>
      <c r="AB3289" s="15" t="str">
        <f aca="true">IF(S3289="","",DATEDIF(S3289,TODAY(),"Y")&amp;" Tahun, "&amp;DATEDIF(S3289,TODAY(),"YM")&amp;" Bulan, "&amp;DATEDIF(S3289,TODAY(),"MD")&amp;" Hari")</f>
        <v>25 Tahun, 10 Bulan, 23 Hari</v>
      </c>
      <c r="AC3289" s="18" t="n">
        <v>46076</v>
      </c>
      <c r="AD3289" s="18" t="n">
        <f aca="false">EDATE(AC3289,3)-1</f>
        <v>46164</v>
      </c>
      <c r="AE3289" s="13" t="s">
        <v>44</v>
      </c>
    </row>
    <row r="3290" customFormat="false" ht="15" hidden="false" customHeight="true" outlineLevel="0" collapsed="false">
      <c r="A3290" s="12" t="n">
        <v>21897</v>
      </c>
      <c r="B3290" s="13" t="s">
        <v>13616</v>
      </c>
      <c r="C3290" s="16" t="n">
        <v>46079</v>
      </c>
      <c r="D3290" s="13" t="s">
        <v>7534</v>
      </c>
      <c r="E3290" s="15" t="s">
        <v>47</v>
      </c>
      <c r="F3290" s="15" t="str">
        <f aca="false">IFERROR(__xludf.dummyfunction("XLOOKUP(AJ3290,IMPORTRANGE(""1XaInW9DU9nz21V0tYIfzFQ0He9kVQ_JF2mCXgZ3hqFA"",""REKAP ALL 2026 - Andika!G:G""),IMPORTRANGE(""1XaInW9DU9nz21V0tYIfzFQ0He9kVQ_JF2mCXgZ3hqFA"",""REKAP ALL 2026 - Andika!F:F""),"""",0)"),"26035116206")</f>
        <v>26035116206</v>
      </c>
      <c r="G3290" s="13" t="s">
        <v>1127</v>
      </c>
      <c r="H3290" s="13" t="s">
        <v>35</v>
      </c>
      <c r="I3290" s="13" t="str">
        <f aca="false">IF(C3290=J3290,"NEW KONTRAK","RE-KONTRAK")</f>
        <v>NEW KONTRAK</v>
      </c>
      <c r="J3290" s="16" t="n">
        <f aca="false" t="array" ref="J3290:J3290">IFERROR(INDEX(AC3290:AE3290,IF(COUNTA(AC3290:AE3290)=0,"",MAX((AC3290:AE3290&lt;&gt;"")*(COLUMN(AC3290:AE3290)-(COLUMN(AC3290)))))-1),"")</f>
        <v>46079</v>
      </c>
      <c r="K3290" s="16" t="n">
        <f aca="false" t="array" ref="K3290:K3290">IFERROR(INDEX(AC3290:AE3290,IF(COUNTA(AC3290:AE3290)=0,"",MAX((AC3290:AE3290&lt;&gt;"")*(COLUMN(AC3290:AE3290)-(COLUMN(AC3290)-1))))-1),"")</f>
        <v>46259</v>
      </c>
      <c r="L3290" s="17" t="str">
        <f aca="false" t="array" ref="L3290:L3290">IFERROR(INDEX(AC3290:AE3290,IF(COUNTA(AC3290:AE3290)=0,"",MAX((AC3290:AE3290&lt;&gt;"")*(COLUMN(AC3290:AE3290)-(COLUMN(AC3290)-2))))-1),"")</f>
        <v>KEMBALI</v>
      </c>
      <c r="M3290" s="13" t="n">
        <f aca="true">K3290-TODAY()</f>
        <v>-65</v>
      </c>
      <c r="N3290" s="18" t="s">
        <v>4735</v>
      </c>
      <c r="O3290" s="13" t="s">
        <v>7536</v>
      </c>
      <c r="P3290" s="19" t="n">
        <v>3553530</v>
      </c>
      <c r="Q3290" s="47" t="s">
        <v>13617</v>
      </c>
      <c r="R3290" s="13" t="s">
        <v>826</v>
      </c>
      <c r="S3290" s="16" t="n">
        <v>37740</v>
      </c>
      <c r="T3290" s="13" t="s">
        <v>108</v>
      </c>
      <c r="U3290" s="13" t="s">
        <v>13618</v>
      </c>
      <c r="V3290" s="13" t="s">
        <v>42</v>
      </c>
      <c r="W3290" s="13" t="s">
        <v>43</v>
      </c>
      <c r="X3290" s="21" t="n">
        <v>85738786536</v>
      </c>
      <c r="Y3290" s="22" t="str">
        <f aca="false">O3290</f>
        <v>Host Live</v>
      </c>
      <c r="Z3290" s="13" t="str">
        <f aca="false">IFERROR(__xludf.dummyfunction("if(BJ3290="""","""",GOOGLETRANSLATE(BJ3290,""auto"",""en""))"),"Host Live")</f>
        <v>Host Live</v>
      </c>
      <c r="AA3290" s="23" t="str">
        <f aca="false">IF(C3290="","", CHOOSE(MONTH(C3290),"January","February","March","April","May","June","July","August","September","October","November","December")&amp;" "&amp;DAY(C3290)&amp;MID("thstndrdth",MIN(9,2*RIGHT(DAY(C3290))*(MOD(DAY(C3290)-11,100)&gt;2)+1),2)&amp;","&amp;TEXT(C3290," yyyy"))</f>
        <v>February 26th,2026</v>
      </c>
      <c r="AB3290" s="15" t="str">
        <f aca="true">IF(S3290="","",DATEDIF(S3290,TODAY(),"Y")&amp;" Tahun, "&amp;DATEDIF(S3290,TODAY(),"YM")&amp;" Bulan, "&amp;DATEDIF(S3290,TODAY(),"MD")&amp;" Hari")</f>
        <v>23 Tahun, 6 Bulan, 0 Hari</v>
      </c>
      <c r="AC3290" s="18" t="n">
        <v>46079</v>
      </c>
      <c r="AD3290" s="18" t="n">
        <f aca="false">EDATE(AC3290,6)-1</f>
        <v>46259</v>
      </c>
      <c r="AE3290" s="13" t="s">
        <v>397</v>
      </c>
    </row>
    <row r="3291" customFormat="false" ht="15" hidden="false" customHeight="true" outlineLevel="0" collapsed="false">
      <c r="A3291" s="12" t="n">
        <v>21898</v>
      </c>
      <c r="B3291" s="13" t="s">
        <v>13619</v>
      </c>
      <c r="C3291" s="16" t="n">
        <v>46079</v>
      </c>
      <c r="D3291" s="13" t="s">
        <v>7534</v>
      </c>
      <c r="E3291" s="15" t="s">
        <v>102</v>
      </c>
      <c r="F3291" s="15" t="str">
        <f aca="false">IFERROR(__xludf.dummyfunction("XLOOKUP(AJ3291,IMPORTRANGE(""1XaInW9DU9nz21V0tYIfzFQ0He9kVQ_JF2mCXgZ3hqFA"",""REKAP ALL 2026 - Andika!G:G""),IMPORTRANGE(""1XaInW9DU9nz21V0tYIfzFQ0He9kVQ_JF2mCXgZ3hqFA"",""REKAP ALL 2026 - Andika!F:F""),"""",0)"),"26035116198")</f>
        <v>26035116198</v>
      </c>
      <c r="G3291" s="13" t="s">
        <v>1127</v>
      </c>
      <c r="H3291" s="13" t="s">
        <v>35</v>
      </c>
      <c r="I3291" s="13" t="str">
        <f aca="false">IF(C3291=J3291,"NEW KONTRAK","RE-KONTRAK")</f>
        <v>NEW KONTRAK</v>
      </c>
      <c r="J3291" s="16" t="n">
        <f aca="false" t="array" ref="J3291:J3291">IFERROR(INDEX(AC3291:AE3291,IF(COUNTA(AC3291:AE3291)=0,"",MAX((AC3291:AE3291&lt;&gt;"")*(COLUMN(AC3291:AE3291)-(COLUMN(AC3291)))))-1),"")</f>
        <v>46079</v>
      </c>
      <c r="K3291" s="16" t="n">
        <f aca="false" t="array" ref="K3291:K3291">IFERROR(INDEX(AC3291:AE3291,IF(COUNTA(AC3291:AE3291)=0,"",MAX((AC3291:AE3291&lt;&gt;"")*(COLUMN(AC3291:AE3291)-(COLUMN(AC3291)-1))))-1),"")</f>
        <v>46259</v>
      </c>
      <c r="L3291" s="17" t="str">
        <f aca="false" t="array" ref="L3291:L3291">IFERROR(INDEX(AC3291:AE3291,IF(COUNTA(AC3291:AE3291)=0,"",MAX((AC3291:AE3291&lt;&gt;"")*(COLUMN(AC3291:AE3291)-(COLUMN(AC3291)-2))))-1),"")</f>
        <v>ARCHIVED</v>
      </c>
      <c r="M3291" s="13" t="n">
        <f aca="true">K3291-TODAY()</f>
        <v>-65</v>
      </c>
      <c r="N3291" s="18" t="s">
        <v>4735</v>
      </c>
      <c r="O3291" s="13" t="s">
        <v>7536</v>
      </c>
      <c r="P3291" s="19" t="n">
        <v>3553530</v>
      </c>
      <c r="Q3291" s="47" t="s">
        <v>13620</v>
      </c>
      <c r="R3291" s="13" t="s">
        <v>83</v>
      </c>
      <c r="S3291" s="16" t="n">
        <v>39034</v>
      </c>
      <c r="T3291" s="13" t="s">
        <v>108</v>
      </c>
      <c r="U3291" s="13" t="s">
        <v>13621</v>
      </c>
      <c r="V3291" s="13" t="s">
        <v>42</v>
      </c>
      <c r="W3291" s="13" t="s">
        <v>43</v>
      </c>
      <c r="X3291" s="13" t="n">
        <v>85746041005</v>
      </c>
      <c r="Y3291" s="22" t="str">
        <f aca="false">O3291</f>
        <v>Host Live</v>
      </c>
      <c r="Z3291" s="13" t="str">
        <f aca="false">IFERROR(__xludf.dummyfunction("if(BJ3291="""","""",GOOGLETRANSLATE(BJ3291,""auto"",""en""))"),"Host Live")</f>
        <v>Host Live</v>
      </c>
      <c r="AA3291" s="23" t="str">
        <f aca="false">IF(C3291="","", CHOOSE(MONTH(C3291),"January","February","March","April","May","June","July","August","September","October","November","December")&amp;" "&amp;DAY(C3291)&amp;MID("thstndrdth",MIN(9,2*RIGHT(DAY(C3291))*(MOD(DAY(C3291)-11,100)&gt;2)+1),2)&amp;","&amp;TEXT(C3291," yyyy"))</f>
        <v>February 26th,2026</v>
      </c>
      <c r="AB3291" s="15" t="str">
        <f aca="true">IF(S3291="","",DATEDIF(S3291,TODAY(),"Y")&amp;" Tahun, "&amp;DATEDIF(S3291,TODAY(),"YM")&amp;" Bulan, "&amp;DATEDIF(S3291,TODAY(),"MD")&amp;" Hari")</f>
        <v>19 Tahun, 11 Bulan, 16 Hari</v>
      </c>
      <c r="AC3291" s="18" t="n">
        <v>46079</v>
      </c>
      <c r="AD3291" s="18" t="n">
        <f aca="false">EDATE(AC3291,6)-1</f>
        <v>46259</v>
      </c>
      <c r="AE3291" s="13" t="s">
        <v>44</v>
      </c>
    </row>
    <row r="3292" customFormat="false" ht="15" hidden="false" customHeight="true" outlineLevel="0" collapsed="false">
      <c r="A3292" s="12" t="n">
        <v>21899</v>
      </c>
      <c r="B3292" s="13" t="s">
        <v>13622</v>
      </c>
      <c r="C3292" s="16" t="n">
        <v>46046</v>
      </c>
      <c r="D3292" s="13" t="s">
        <v>10058</v>
      </c>
      <c r="E3292" s="15" t="s">
        <v>102</v>
      </c>
      <c r="F3292" s="24" t="s">
        <v>13623</v>
      </c>
      <c r="G3292" s="13" t="s">
        <v>1127</v>
      </c>
      <c r="H3292" s="13" t="s">
        <v>3024</v>
      </c>
      <c r="I3292" s="13" t="str">
        <f aca="false">IF(C3292=J3292,"NEW KONTRAK","RE-KONTRAK")</f>
        <v>NEW KONTRAK</v>
      </c>
      <c r="J3292" s="16" t="n">
        <f aca="false" t="array" ref="J3292:J3292">IFERROR(INDEX(AC3292:AE3292,IF(COUNTA(AC3292:AE3292)=0,"",MAX((AC3292:AE3292&lt;&gt;"")*(COLUMN(AC3292:AE3292)-(COLUMN(AC3292)))))-1),"")</f>
        <v>46046</v>
      </c>
      <c r="K3292" s="16" t="n">
        <f aca="false" t="array" ref="K3292:K3292">IFERROR(INDEX(AC3292:AE3292,IF(COUNTA(AC3292:AE3292)=0,"",MAX((AC3292:AE3292&lt;&gt;"")*(COLUMN(AC3292:AE3292)-(COLUMN(AC3292)-1))))-1),"")</f>
        <v>46135</v>
      </c>
      <c r="L3292" s="17" t="str">
        <f aca="false" t="array" ref="L3292:L3292">IFERROR(INDEX(AC3292:AE3292,IF(COUNTA(AC3292:AE3292)=0,"",MAX((AC3292:AE3292&lt;&gt;"")*(COLUMN(AC3292:AE3292)-(COLUMN(AC3292)-2))))-1),"")</f>
        <v>ARCHIVED</v>
      </c>
      <c r="M3292" s="13" t="n">
        <f aca="true">K3292-TODAY()</f>
        <v>-189</v>
      </c>
      <c r="N3292" s="18" t="s">
        <v>105</v>
      </c>
      <c r="O3292" s="13" t="s">
        <v>10059</v>
      </c>
      <c r="P3292" s="19" t="n">
        <v>132300</v>
      </c>
      <c r="Q3292" s="47" t="s">
        <v>13624</v>
      </c>
      <c r="R3292" s="13" t="s">
        <v>39</v>
      </c>
      <c r="S3292" s="16" t="n">
        <v>37595</v>
      </c>
      <c r="T3292" s="28" t="s">
        <v>40</v>
      </c>
      <c r="U3292" s="13" t="s">
        <v>13625</v>
      </c>
      <c r="V3292" s="13" t="s">
        <v>42</v>
      </c>
      <c r="W3292" s="13" t="s">
        <v>43</v>
      </c>
      <c r="X3292" s="21" t="n">
        <v>81233867873</v>
      </c>
      <c r="Y3292" s="22" t="str">
        <f aca="false">O3292</f>
        <v>Harian Lepas E-Commerce</v>
      </c>
      <c r="Z3292" s="13" t="str">
        <f aca="false">IFERROR(__xludf.dummyfunction("if(BJ3292="""","""",GOOGLETRANSLATE(BJ3292,""auto"",""en""))"),"Daily Post E-Commerce")</f>
        <v>Daily Post E-Commerce</v>
      </c>
      <c r="AA3292" s="23" t="str">
        <f aca="false">IF(C3292="","", CHOOSE(MONTH(C3292),"January","February","March","April","May","June","July","August","September","October","November","December")&amp;" "&amp;DAY(C3292)&amp;MID("thstndrdth",MIN(9,2*RIGHT(DAY(C3292))*(MOD(DAY(C3292)-11,100)&gt;2)+1),2)&amp;","&amp;TEXT(C3292," yyyy"))</f>
        <v>January 24th,2026</v>
      </c>
      <c r="AB3292" s="15" t="str">
        <f aca="true">IF(S3292="","",DATEDIF(S3292,TODAY(),"Y")&amp;" Tahun, "&amp;DATEDIF(S3292,TODAY(),"YM")&amp;" Bulan, "&amp;DATEDIF(S3292,TODAY(),"MD")&amp;" Hari")</f>
        <v>23 Tahun, 10 Bulan, 24 Hari</v>
      </c>
      <c r="AC3292" s="18" t="n">
        <v>46046</v>
      </c>
      <c r="AD3292" s="18" t="n">
        <f aca="false">EDATE(AC3292,3)-1</f>
        <v>46135</v>
      </c>
      <c r="AE3292" s="13" t="s">
        <v>44</v>
      </c>
    </row>
    <row r="3293" customFormat="false" ht="15" hidden="false" customHeight="true" outlineLevel="0" collapsed="false">
      <c r="A3293" s="12" t="n">
        <v>21901</v>
      </c>
      <c r="B3293" s="13" t="s">
        <v>13626</v>
      </c>
      <c r="C3293" s="16" t="n">
        <v>46046</v>
      </c>
      <c r="D3293" s="13" t="s">
        <v>10058</v>
      </c>
      <c r="E3293" s="15" t="s">
        <v>102</v>
      </c>
      <c r="F3293" s="15" t="str">
        <f aca="false">IFERROR(__xludf.dummyfunction("XLOOKUP(AJ3293,IMPORTRANGE(""1XaInW9DU9nz21V0tYIfzFQ0He9kVQ_JF2mCXgZ3hqFA"",""REKAP ALL 2026 - Andika!G:G""),IMPORTRANGE(""1XaInW9DU9nz21V0tYIfzFQ0He9kVQ_JF2mCXgZ3hqFA"",""REKAP ALL 2026 - Andika!F:F""),"""",0)"),"26062985408")</f>
        <v>26062985408</v>
      </c>
      <c r="G3293" s="13" t="s">
        <v>1127</v>
      </c>
      <c r="H3293" s="13" t="s">
        <v>3024</v>
      </c>
      <c r="I3293" s="13" t="str">
        <f aca="false">IF(C3293=J3293,"NEW KONTRAK","RE-KONTRAK")</f>
        <v>NEW KONTRAK</v>
      </c>
      <c r="J3293" s="16" t="n">
        <f aca="false" t="array" ref="J3293:J3293">IFERROR(INDEX(AC3293:AE3293,IF(COUNTA(AC3293:AE3293)=0,"",MAX((AC3293:AE3293&lt;&gt;"")*(COLUMN(AC3293:AE3293)-(COLUMN(AC3293)))))-1),"")</f>
        <v>46046</v>
      </c>
      <c r="K3293" s="16" t="n">
        <f aca="false" t="array" ref="K3293:K3293">IFERROR(INDEX(AC3293:AE3293,IF(COUNTA(AC3293:AE3293)=0,"",MAX((AC3293:AE3293&lt;&gt;"")*(COLUMN(AC3293:AE3293)-(COLUMN(AC3293)-1))))-1),"")</f>
        <v>46135</v>
      </c>
      <c r="L3293" s="17" t="str">
        <f aca="false" t="array" ref="L3293:L3293">IFERROR(INDEX(AC3293:AE3293,IF(COUNTA(AC3293:AE3293)=0,"",MAX((AC3293:AE3293&lt;&gt;"")*(COLUMN(AC3293:AE3293)-(COLUMN(AC3293)-2))))-1),"")</f>
        <v>ARCHIVED</v>
      </c>
      <c r="M3293" s="13" t="n">
        <f aca="true">K3293-TODAY()</f>
        <v>-189</v>
      </c>
      <c r="N3293" s="18" t="s">
        <v>105</v>
      </c>
      <c r="O3293" s="13" t="s">
        <v>10059</v>
      </c>
      <c r="P3293" s="31" t="n">
        <v>138915</v>
      </c>
      <c r="Q3293" s="47" t="s">
        <v>13627</v>
      </c>
      <c r="R3293" s="13" t="s">
        <v>39</v>
      </c>
      <c r="S3293" s="16" t="n">
        <v>39065</v>
      </c>
      <c r="T3293" s="28" t="s">
        <v>40</v>
      </c>
      <c r="U3293" s="13" t="s">
        <v>13628</v>
      </c>
      <c r="V3293" s="13" t="s">
        <v>42</v>
      </c>
      <c r="W3293" s="13" t="s">
        <v>43</v>
      </c>
      <c r="X3293" s="21" t="n">
        <v>88989118517</v>
      </c>
      <c r="Y3293" s="22" t="str">
        <f aca="false">O3293</f>
        <v>Harian Lepas E-Commerce</v>
      </c>
      <c r="Z3293" s="13" t="str">
        <f aca="false">IFERROR(__xludf.dummyfunction("if(BJ3293="""","""",GOOGLETRANSLATE(BJ3293,""auto"",""en""))"),"Daily Post E-Commerce")</f>
        <v>Daily Post E-Commerce</v>
      </c>
      <c r="AA3293" s="23" t="str">
        <f aca="false">IF(C3293="","", CHOOSE(MONTH(C3293),"January","February","March","April","May","June","July","August","September","October","November","December")&amp;" "&amp;DAY(C3293)&amp;MID("thstndrdth",MIN(9,2*RIGHT(DAY(C3293))*(MOD(DAY(C3293)-11,100)&gt;2)+1),2)&amp;","&amp;TEXT(C3293," yyyy"))</f>
        <v>January 24th,2026</v>
      </c>
      <c r="AB3293" s="15" t="str">
        <f aca="true">IF(S3293="","",DATEDIF(S3293,TODAY(),"Y")&amp;" Tahun, "&amp;DATEDIF(S3293,TODAY(),"YM")&amp;" Bulan, "&amp;DATEDIF(S3293,TODAY(),"MD")&amp;" Hari")</f>
        <v>19 Tahun, 10 Bulan, 15 Hari</v>
      </c>
      <c r="AC3293" s="18" t="n">
        <v>46046</v>
      </c>
      <c r="AD3293" s="18" t="n">
        <f aca="false">EDATE(AC3293,3)-1</f>
        <v>46135</v>
      </c>
      <c r="AE3293" s="13" t="s">
        <v>44</v>
      </c>
    </row>
    <row r="3294" customFormat="false" ht="15" hidden="false" customHeight="true" outlineLevel="0" collapsed="false">
      <c r="A3294" s="12" t="n">
        <v>21902</v>
      </c>
      <c r="B3294" s="13" t="s">
        <v>13629</v>
      </c>
      <c r="C3294" s="16" t="n">
        <v>46056</v>
      </c>
      <c r="D3294" s="13" t="s">
        <v>10058</v>
      </c>
      <c r="E3294" s="15" t="s">
        <v>102</v>
      </c>
      <c r="F3294" s="24" t="s">
        <v>13630</v>
      </c>
      <c r="G3294" s="13" t="s">
        <v>1127</v>
      </c>
      <c r="H3294" s="13" t="s">
        <v>3024</v>
      </c>
      <c r="I3294" s="13" t="str">
        <f aca="false">IF(C3294=J3294,"NEW KONTRAK","RE-KONTRAK")</f>
        <v>NEW KONTRAK</v>
      </c>
      <c r="J3294" s="16" t="n">
        <f aca="false" t="array" ref="J3294:J3294">IFERROR(INDEX(AC3294:AE3294,IF(COUNTA(AC3294:AE3294)=0,"",MAX((AC3294:AE3294&lt;&gt;"")*(COLUMN(AC3294:AE3294)-(COLUMN(AC3294)))))-1),"")</f>
        <v>46056</v>
      </c>
      <c r="K3294" s="16" t="n">
        <f aca="false" t="array" ref="K3294:K3294">IFERROR(INDEX(AC3294:AE3294,IF(COUNTA(AC3294:AE3294)=0,"",MAX((AC3294:AE3294&lt;&gt;"")*(COLUMN(AC3294:AE3294)-(COLUMN(AC3294)-1))))-1),"")</f>
        <v>46144</v>
      </c>
      <c r="L3294" s="17" t="str">
        <f aca="false" t="array" ref="L3294:L3294">IFERROR(INDEX(AC3294:AE3294,IF(COUNTA(AC3294:AE3294)=0,"",MAX((AC3294:AE3294&lt;&gt;"")*(COLUMN(AC3294:AE3294)-(COLUMN(AC3294)-2))))-1),"")</f>
        <v>ARCHIVED</v>
      </c>
      <c r="M3294" s="13" t="n">
        <f aca="true">K3294-TODAY()</f>
        <v>-180</v>
      </c>
      <c r="N3294" s="18" t="s">
        <v>105</v>
      </c>
      <c r="O3294" s="13" t="s">
        <v>10059</v>
      </c>
      <c r="P3294" s="19" t="n">
        <v>132300</v>
      </c>
      <c r="Q3294" s="47" t="s">
        <v>13631</v>
      </c>
      <c r="R3294" s="13" t="s">
        <v>78</v>
      </c>
      <c r="S3294" s="16" t="n">
        <v>38443</v>
      </c>
      <c r="T3294" s="13" t="s">
        <v>108</v>
      </c>
      <c r="U3294" s="13" t="s">
        <v>13632</v>
      </c>
      <c r="V3294" s="13" t="s">
        <v>42</v>
      </c>
      <c r="W3294" s="13" t="s">
        <v>43</v>
      </c>
      <c r="X3294" s="21" t="n">
        <v>85708079313</v>
      </c>
      <c r="Y3294" s="22" t="str">
        <f aca="false">O3294</f>
        <v>Harian Lepas E-Commerce</v>
      </c>
      <c r="Z3294" s="13" t="str">
        <f aca="false">IFERROR(__xludf.dummyfunction("if(BJ3294="""","""",GOOGLETRANSLATE(BJ3294,""auto"",""en""))"),"Daily Post E-Commerce")</f>
        <v>Daily Post E-Commerce</v>
      </c>
      <c r="AA3294" s="23" t="str">
        <f aca="false">IF(C3294="","", CHOOSE(MONTH(C3294),"January","February","March","April","May","June","July","August","September","October","November","December")&amp;" "&amp;DAY(C3294)&amp;MID("thstndrdth",MIN(9,2*RIGHT(DAY(C3294))*(MOD(DAY(C3294)-11,100)&gt;2)+1),2)&amp;","&amp;TEXT(C3294," yyyy"))</f>
        <v>February 3rd,2026</v>
      </c>
      <c r="AB3294" s="15" t="str">
        <f aca="true">IF(S3294="","",DATEDIF(S3294,TODAY(),"Y")&amp;" Tahun, "&amp;DATEDIF(S3294,TODAY(),"YM")&amp;" Bulan, "&amp;DATEDIF(S3294,TODAY(),"MD")&amp;" Hari")</f>
        <v>21 Tahun, 6 Bulan, 28 Hari</v>
      </c>
      <c r="AC3294" s="18" t="n">
        <v>46056</v>
      </c>
      <c r="AD3294" s="18" t="n">
        <f aca="false">EDATE(AC3294,3)-1</f>
        <v>46144</v>
      </c>
      <c r="AE3294" s="13" t="s">
        <v>44</v>
      </c>
    </row>
    <row r="3295" customFormat="false" ht="15" hidden="false" customHeight="true" outlineLevel="0" collapsed="false">
      <c r="A3295" s="12" t="n">
        <v>21903</v>
      </c>
      <c r="B3295" s="13" t="s">
        <v>13633</v>
      </c>
      <c r="C3295" s="16" t="n">
        <v>46046</v>
      </c>
      <c r="D3295" s="13" t="s">
        <v>10058</v>
      </c>
      <c r="E3295" s="15" t="s">
        <v>102</v>
      </c>
      <c r="F3295" s="24" t="s">
        <v>13634</v>
      </c>
      <c r="G3295" s="13" t="s">
        <v>1127</v>
      </c>
      <c r="H3295" s="13" t="s">
        <v>3024</v>
      </c>
      <c r="I3295" s="13" t="str">
        <f aca="false">IF(C3295=J3295,"NEW KONTRAK","RE-KONTRAK")</f>
        <v>NEW KONTRAK</v>
      </c>
      <c r="J3295" s="16" t="n">
        <f aca="false" t="array" ref="J3295:J3295">IFERROR(INDEX(AC3295:AE3295,IF(COUNTA(AC3295:AE3295)=0,"",MAX((AC3295:AE3295&lt;&gt;"")*(COLUMN(AC3295:AE3295)-(COLUMN(AC3295)))))-1),"")</f>
        <v>46046</v>
      </c>
      <c r="K3295" s="16" t="n">
        <f aca="false" t="array" ref="K3295:K3295">IFERROR(INDEX(AC3295:AE3295,IF(COUNTA(AC3295:AE3295)=0,"",MAX((AC3295:AE3295&lt;&gt;"")*(COLUMN(AC3295:AE3295)-(COLUMN(AC3295)-1))))-1),"")</f>
        <v>46135</v>
      </c>
      <c r="L3295" s="17" t="str">
        <f aca="false" t="array" ref="L3295:L3295">IFERROR(INDEX(AC3295:AE3295,IF(COUNTA(AC3295:AE3295)=0,"",MAX((AC3295:AE3295&lt;&gt;"")*(COLUMN(AC3295:AE3295)-(COLUMN(AC3295)-2))))-1),"")</f>
        <v>ARCHIVED</v>
      </c>
      <c r="M3295" s="13" t="n">
        <f aca="true">K3295-TODAY()</f>
        <v>-189</v>
      </c>
      <c r="N3295" s="18" t="s">
        <v>105</v>
      </c>
      <c r="O3295" s="13" t="s">
        <v>10059</v>
      </c>
      <c r="P3295" s="19" t="n">
        <v>132300</v>
      </c>
      <c r="Q3295" s="47" t="s">
        <v>13635</v>
      </c>
      <c r="R3295" s="13" t="s">
        <v>39</v>
      </c>
      <c r="S3295" s="16" t="n">
        <v>38702</v>
      </c>
      <c r="T3295" s="13" t="s">
        <v>108</v>
      </c>
      <c r="U3295" s="13" t="s">
        <v>13636</v>
      </c>
      <c r="V3295" s="13" t="s">
        <v>42</v>
      </c>
      <c r="W3295" s="13" t="s">
        <v>43</v>
      </c>
      <c r="X3295" s="21" t="n">
        <v>881036826149</v>
      </c>
      <c r="Y3295" s="22" t="str">
        <f aca="false">O3295</f>
        <v>Harian Lepas E-Commerce</v>
      </c>
      <c r="Z3295" s="13" t="str">
        <f aca="false">IFERROR(__xludf.dummyfunction("if(BJ3295="""","""",GOOGLETRANSLATE(BJ3295,""auto"",""en""))"),"Daily Post E-Commerce")</f>
        <v>Daily Post E-Commerce</v>
      </c>
      <c r="AA3295" s="23" t="str">
        <f aca="false">IF(C3295="","", CHOOSE(MONTH(C3295),"January","February","March","April","May","June","July","August","September","October","November","December")&amp;" "&amp;DAY(C3295)&amp;MID("thstndrdth",MIN(9,2*RIGHT(DAY(C3295))*(MOD(DAY(C3295)-11,100)&gt;2)+1),2)&amp;","&amp;TEXT(C3295," yyyy"))</f>
        <v>January 24th,2026</v>
      </c>
      <c r="AB3295" s="15" t="str">
        <f aca="true">IF(S3295="","",DATEDIF(S3295,TODAY(),"Y")&amp;" Tahun, "&amp;DATEDIF(S3295,TODAY(),"YM")&amp;" Bulan, "&amp;DATEDIF(S3295,TODAY(),"MD")&amp;" Hari")</f>
        <v>20 Tahun, 10 Bulan, 13 Hari</v>
      </c>
      <c r="AC3295" s="18" t="n">
        <v>46046</v>
      </c>
      <c r="AD3295" s="18" t="n">
        <f aca="false">EDATE(AC3295,3)-1</f>
        <v>46135</v>
      </c>
      <c r="AE3295" s="13" t="s">
        <v>44</v>
      </c>
    </row>
    <row r="3296" customFormat="false" ht="15" hidden="false" customHeight="true" outlineLevel="0" collapsed="false">
      <c r="A3296" s="12" t="n">
        <v>21904</v>
      </c>
      <c r="B3296" s="13" t="s">
        <v>13637</v>
      </c>
      <c r="C3296" s="16" t="n">
        <v>46053</v>
      </c>
      <c r="D3296" s="13" t="s">
        <v>10058</v>
      </c>
      <c r="E3296" s="15" t="s">
        <v>102</v>
      </c>
      <c r="F3296" s="15" t="str">
        <f aca="false">IFERROR(__xludf.dummyfunction("XLOOKUP(AJ3296,IMPORTRANGE(""1XaInW9DU9nz21V0tYIfzFQ0He9kVQ_JF2mCXgZ3hqFA"",""REKAP ALL 2026 - Andika!G:G""),IMPORTRANGE(""1XaInW9DU9nz21V0tYIfzFQ0He9kVQ_JF2mCXgZ3hqFA"",""REKAP ALL 2026 - Andika!F:F""),"""",0)"),"26062983254")</f>
        <v>26062983254</v>
      </c>
      <c r="G3296" s="13" t="s">
        <v>1127</v>
      </c>
      <c r="H3296" s="13" t="s">
        <v>3024</v>
      </c>
      <c r="I3296" s="13" t="str">
        <f aca="false">IF(C3296=J3296,"NEW KONTRAK","RE-KONTRAK")</f>
        <v>NEW KONTRAK</v>
      </c>
      <c r="J3296" s="16" t="n">
        <f aca="false" t="array" ref="J3296:J3296">IFERROR(INDEX(AC3296:AE3296,IF(COUNTA(AC3296:AE3296)=0,"",MAX((AC3296:AE3296&lt;&gt;"")*(COLUMN(AC3296:AE3296)-(COLUMN(AC3296)))))-1),"")</f>
        <v>46053</v>
      </c>
      <c r="K3296" s="16" t="n">
        <f aca="false" t="array" ref="K3296:K3296">IFERROR(INDEX(AC3296:AE3296,IF(COUNTA(AC3296:AE3296)=0,"",MAX((AC3296:AE3296&lt;&gt;"")*(COLUMN(AC3296:AE3296)-(COLUMN(AC3296)-1))))-1),"")</f>
        <v>46141</v>
      </c>
      <c r="L3296" s="17" t="str">
        <f aca="false" t="array" ref="L3296:L3296">IFERROR(INDEX(AC3296:AE3296,IF(COUNTA(AC3296:AE3296)=0,"",MAX((AC3296:AE3296&lt;&gt;"")*(COLUMN(AC3296:AE3296)-(COLUMN(AC3296)-2))))-1),"")</f>
        <v>ARCHIVED</v>
      </c>
      <c r="M3296" s="13" t="n">
        <f aca="true">K3296-TODAY()</f>
        <v>-183</v>
      </c>
      <c r="N3296" s="18" t="s">
        <v>105</v>
      </c>
      <c r="O3296" s="13" t="s">
        <v>10059</v>
      </c>
      <c r="P3296" s="19" t="n">
        <v>132300</v>
      </c>
      <c r="Q3296" s="47" t="s">
        <v>13638</v>
      </c>
      <c r="R3296" s="13" t="s">
        <v>39</v>
      </c>
      <c r="S3296" s="16" t="n">
        <v>38000</v>
      </c>
      <c r="T3296" s="13" t="s">
        <v>108</v>
      </c>
      <c r="U3296" s="13" t="s">
        <v>13639</v>
      </c>
      <c r="V3296" s="13" t="s">
        <v>42</v>
      </c>
      <c r="W3296" s="13" t="s">
        <v>43</v>
      </c>
      <c r="X3296" s="21" t="n">
        <v>85730231744</v>
      </c>
      <c r="Y3296" s="22" t="str">
        <f aca="false">O3296</f>
        <v>Harian Lepas E-Commerce</v>
      </c>
      <c r="Z3296" s="13" t="str">
        <f aca="false">IFERROR(__xludf.dummyfunction("if(BJ3296="""","""",GOOGLETRANSLATE(BJ3296,""auto"",""en""))"),"Daily Post E-Commerce")</f>
        <v>Daily Post E-Commerce</v>
      </c>
      <c r="AA3296" s="23" t="str">
        <f aca="false">IF(C3296="","", CHOOSE(MONTH(C3296),"January","February","March","April","May","June","July","August","September","October","November","December")&amp;" "&amp;DAY(C3296)&amp;MID("thstndrdth",MIN(9,2*RIGHT(DAY(C3296))*(MOD(DAY(C3296)-11,100)&gt;2)+1),2)&amp;","&amp;TEXT(C3296," yyyy"))</f>
        <v>January 31st,2026</v>
      </c>
      <c r="AB3296" s="15" t="str">
        <f aca="true">IF(S3296="","",DATEDIF(S3296,TODAY(),"Y")&amp;" Tahun, "&amp;DATEDIF(S3296,TODAY(),"YM")&amp;" Bulan, "&amp;DATEDIF(S3296,TODAY(),"MD")&amp;" Hari")</f>
        <v>22 Tahun, 9 Bulan, 15 Hari</v>
      </c>
      <c r="AC3296" s="18" t="n">
        <v>46053</v>
      </c>
      <c r="AD3296" s="18" t="n">
        <f aca="false">EDATE(AC3296,3)-1</f>
        <v>46141</v>
      </c>
      <c r="AE3296" s="13" t="s">
        <v>44</v>
      </c>
    </row>
    <row r="3297" customFormat="false" ht="15" hidden="false" customHeight="true" outlineLevel="0" collapsed="false">
      <c r="A3297" s="12" t="n">
        <v>21905</v>
      </c>
      <c r="B3297" s="13" t="s">
        <v>13640</v>
      </c>
      <c r="C3297" s="16" t="n">
        <v>46039</v>
      </c>
      <c r="D3297" s="13" t="s">
        <v>10058</v>
      </c>
      <c r="E3297" s="15" t="s">
        <v>47</v>
      </c>
      <c r="F3297" s="15" t="str">
        <f aca="false">IFERROR(__xludf.dummyfunction("XLOOKUP(AJ3297,IMPORTRANGE(""1XaInW9DU9nz21V0tYIfzFQ0He9kVQ_JF2mCXgZ3hqFA"",""REKAP ALL 2026 - Andika!G:G""),IMPORTRANGE(""1XaInW9DU9nz21V0tYIfzFQ0He9kVQ_JF2mCXgZ3hqFA"",""REKAP ALL 2026 - Andika!F:F""),"""",0)"),"26062985200")</f>
        <v>26062985200</v>
      </c>
      <c r="G3297" s="13" t="s">
        <v>1127</v>
      </c>
      <c r="H3297" s="13" t="s">
        <v>3024</v>
      </c>
      <c r="I3297" s="13" t="str">
        <f aca="false">IF(C3297=J3297,"NEW KONTRAK","RE-KONTRAK")</f>
        <v>NEW KONTRAK</v>
      </c>
      <c r="J3297" s="16" t="n">
        <f aca="false" t="array" ref="J3297:J3297">IFERROR(INDEX(AC3297:AE3297,IF(COUNTA(AC3297:AE3297)=0,"",MAX((AC3297:AE3297&lt;&gt;"")*(COLUMN(AC3297:AE3297)-(COLUMN(AC3297)))))-1),"")</f>
        <v>46039</v>
      </c>
      <c r="K3297" s="16" t="n">
        <f aca="false" t="array" ref="K3297:K3297">IFERROR(INDEX(AC3297:AE3297,IF(COUNTA(AC3297:AE3297)=0,"",MAX((AC3297:AE3297&lt;&gt;"")*(COLUMN(AC3297:AE3297)-(COLUMN(AC3297)-1))))-1),"")</f>
        <v>46128</v>
      </c>
      <c r="L3297" s="17" t="str">
        <f aca="false" t="array" ref="L3297:L3297">IFERROR(INDEX(AC3297:AE3297,IF(COUNTA(AC3297:AE3297)=0,"",MAX((AC3297:AE3297&lt;&gt;"")*(COLUMN(AC3297:AE3297)-(COLUMN(AC3297)-2))))-1),"")</f>
        <v>ARCHIVED</v>
      </c>
      <c r="M3297" s="13" t="n">
        <f aca="true">K3297-TODAY()</f>
        <v>-196</v>
      </c>
      <c r="N3297" s="18" t="s">
        <v>105</v>
      </c>
      <c r="O3297" s="13" t="s">
        <v>10059</v>
      </c>
      <c r="P3297" s="31" t="n">
        <v>138915</v>
      </c>
      <c r="Q3297" s="47" t="s">
        <v>13641</v>
      </c>
      <c r="R3297" s="13" t="s">
        <v>52</v>
      </c>
      <c r="S3297" s="16" t="n">
        <v>38838</v>
      </c>
      <c r="T3297" s="13" t="s">
        <v>108</v>
      </c>
      <c r="U3297" s="13" t="s">
        <v>13642</v>
      </c>
      <c r="V3297" s="13" t="s">
        <v>42</v>
      </c>
      <c r="W3297" s="13" t="s">
        <v>43</v>
      </c>
      <c r="X3297" s="21" t="n">
        <v>881036001301</v>
      </c>
      <c r="Y3297" s="22" t="str">
        <f aca="false">O3297</f>
        <v>Harian Lepas E-Commerce</v>
      </c>
      <c r="Z3297" s="13" t="str">
        <f aca="false">IFERROR(__xludf.dummyfunction("if(BJ3297="""","""",GOOGLETRANSLATE(BJ3297,""auto"",""en""))"),"Daily Post E-Commerce")</f>
        <v>Daily Post E-Commerce</v>
      </c>
      <c r="AA3297" s="23" t="str">
        <f aca="false">IF(C3297="","", CHOOSE(MONTH(C3297),"January","February","March","April","May","June","July","August","September","October","November","December")&amp;" "&amp;DAY(C3297)&amp;MID("thstndrdth",MIN(9,2*RIGHT(DAY(C3297))*(MOD(DAY(C3297)-11,100)&gt;2)+1),2)&amp;","&amp;TEXT(C3297," yyyy"))</f>
        <v>January 17th,2026</v>
      </c>
      <c r="AB3297" s="15" t="str">
        <f aca="true">IF(S3297="","",DATEDIF(S3297,TODAY(),"Y")&amp;" Tahun, "&amp;DATEDIF(S3297,TODAY(),"YM")&amp;" Bulan, "&amp;DATEDIF(S3297,TODAY(),"MD")&amp;" Hari")</f>
        <v>20 Tahun, 5 Bulan, 28 Hari</v>
      </c>
      <c r="AC3297" s="18" t="n">
        <v>46039</v>
      </c>
      <c r="AD3297" s="18" t="n">
        <f aca="false">EDATE(AC3297,3)-1</f>
        <v>46128</v>
      </c>
      <c r="AE3297" s="13" t="s">
        <v>44</v>
      </c>
    </row>
    <row r="3298" customFormat="false" ht="15" hidden="false" customHeight="true" outlineLevel="0" collapsed="false">
      <c r="A3298" s="12" t="n">
        <v>21906</v>
      </c>
      <c r="B3298" s="13" t="s">
        <v>13643</v>
      </c>
      <c r="C3298" s="16" t="n">
        <v>46047</v>
      </c>
      <c r="D3298" s="13" t="s">
        <v>10058</v>
      </c>
      <c r="E3298" s="15" t="s">
        <v>102</v>
      </c>
      <c r="F3298" s="15" t="str">
        <f aca="false">IFERROR(__xludf.dummyfunction("XLOOKUP(AJ3298,IMPORTRANGE(""1XaInW9DU9nz21V0tYIfzFQ0He9kVQ_JF2mCXgZ3hqFA"",""REKAP ALL 2026 - Andika!G:G""),IMPORTRANGE(""1XaInW9DU9nz21V0tYIfzFQ0He9kVQ_JF2mCXgZ3hqFA"",""REKAP ALL 2026 - Andika!F:F""),"""",0)"),"26062985309")</f>
        <v>26062985309</v>
      </c>
      <c r="G3298" s="13" t="s">
        <v>1127</v>
      </c>
      <c r="H3298" s="13" t="s">
        <v>3024</v>
      </c>
      <c r="I3298" s="13" t="str">
        <f aca="false">IF(C3298=J3298,"NEW KONTRAK","RE-KONTRAK")</f>
        <v>NEW KONTRAK</v>
      </c>
      <c r="J3298" s="16" t="n">
        <f aca="false" t="array" ref="J3298:J3298">IFERROR(INDEX(AC3298:AE3298,IF(COUNTA(AC3298:AE3298)=0,"",MAX((AC3298:AE3298&lt;&gt;"")*(COLUMN(AC3298:AE3298)-(COLUMN(AC3298)))))-1),"")</f>
        <v>46047</v>
      </c>
      <c r="K3298" s="16" t="n">
        <f aca="false" t="array" ref="K3298:K3298">IFERROR(INDEX(AC3298:AE3298,IF(COUNTA(AC3298:AE3298)=0,"",MAX((AC3298:AE3298&lt;&gt;"")*(COLUMN(AC3298:AE3298)-(COLUMN(AC3298)-1))))-1),"")</f>
        <v>46136</v>
      </c>
      <c r="L3298" s="17" t="str">
        <f aca="false" t="array" ref="L3298:L3298">IFERROR(INDEX(AC3298:AE3298,IF(COUNTA(AC3298:AE3298)=0,"",MAX((AC3298:AE3298&lt;&gt;"")*(COLUMN(AC3298:AE3298)-(COLUMN(AC3298)-2))))-1),"")</f>
        <v>ARCHIVED</v>
      </c>
      <c r="M3298" s="13" t="n">
        <f aca="true">K3298-TODAY()</f>
        <v>-188</v>
      </c>
      <c r="N3298" s="18" t="s">
        <v>105</v>
      </c>
      <c r="O3298" s="13" t="s">
        <v>10059</v>
      </c>
      <c r="P3298" s="19" t="n">
        <v>132300</v>
      </c>
      <c r="Q3298" s="47" t="s">
        <v>13644</v>
      </c>
      <c r="R3298" s="13" t="s">
        <v>39</v>
      </c>
      <c r="S3298" s="16" t="n">
        <v>37860</v>
      </c>
      <c r="T3298" s="28" t="s">
        <v>40</v>
      </c>
      <c r="U3298" s="13" t="s">
        <v>13645</v>
      </c>
      <c r="V3298" s="13" t="s">
        <v>42</v>
      </c>
      <c r="W3298" s="13" t="s">
        <v>43</v>
      </c>
      <c r="X3298" s="21" t="n">
        <v>895398337200</v>
      </c>
      <c r="Y3298" s="22" t="str">
        <f aca="false">O3298</f>
        <v>Harian Lepas E-Commerce</v>
      </c>
      <c r="Z3298" s="13" t="str">
        <f aca="false">IFERROR(__xludf.dummyfunction("if(BJ3298="""","""",GOOGLETRANSLATE(BJ3298,""auto"",""en""))"),"Daily Post E-Commerce")</f>
        <v>Daily Post E-Commerce</v>
      </c>
      <c r="AA3298" s="23" t="str">
        <f aca="false">IF(C3298="","", CHOOSE(MONTH(C3298),"January","February","March","April","May","June","July","August","September","October","November","December")&amp;" "&amp;DAY(C3298)&amp;MID("thstndrdth",MIN(9,2*RIGHT(DAY(C3298))*(MOD(DAY(C3298)-11,100)&gt;2)+1),2)&amp;","&amp;TEXT(C3298," yyyy"))</f>
        <v>January 25th,2026</v>
      </c>
      <c r="AB3298" s="15" t="str">
        <f aca="true">IF(S3298="","",DATEDIF(S3298,TODAY(),"Y")&amp;" Tahun, "&amp;DATEDIF(S3298,TODAY(),"YM")&amp;" Bulan, "&amp;DATEDIF(S3298,TODAY(),"MD")&amp;" Hari")</f>
        <v>23 Tahun, 2 Bulan, 2 Hari</v>
      </c>
      <c r="AC3298" s="18" t="n">
        <v>46047</v>
      </c>
      <c r="AD3298" s="18" t="n">
        <f aca="false">EDATE(AC3298,3)-1</f>
        <v>46136</v>
      </c>
      <c r="AE3298" s="13" t="s">
        <v>44</v>
      </c>
    </row>
    <row r="3299" customFormat="false" ht="15" hidden="false" customHeight="true" outlineLevel="0" collapsed="false">
      <c r="A3299" s="12" t="n">
        <v>21907</v>
      </c>
      <c r="B3299" s="13" t="s">
        <v>13646</v>
      </c>
      <c r="C3299" s="16" t="n">
        <v>46068</v>
      </c>
      <c r="D3299" s="13" t="s">
        <v>10058</v>
      </c>
      <c r="E3299" s="15" t="s">
        <v>47</v>
      </c>
      <c r="F3299" s="15" t="str">
        <f aca="false">IFERROR(__xludf.dummyfunction("XLOOKUP(AJ3299,IMPORTRANGE(""1XaInW9DU9nz21V0tYIfzFQ0He9kVQ_JF2mCXgZ3hqFA"",""REKAP ALL 2026 - Andika!G:G""),IMPORTRANGE(""1XaInW9DU9nz21V0tYIfzFQ0He9kVQ_JF2mCXgZ3hqFA"",""REKAP ALL 2026 - Andika!F:F""),"""",0)"),"26062983270")</f>
        <v>26062983270</v>
      </c>
      <c r="G3299" s="13" t="s">
        <v>1127</v>
      </c>
      <c r="H3299" s="13" t="s">
        <v>3024</v>
      </c>
      <c r="I3299" s="13" t="str">
        <f aca="false">IF(C3299=J3299,"NEW KONTRAK","RE-KONTRAK")</f>
        <v>NEW KONTRAK</v>
      </c>
      <c r="J3299" s="16" t="n">
        <f aca="false" t="array" ref="J3299:J3299">IFERROR(INDEX(AC3299:AE3299,IF(COUNTA(AC3299:AE3299)=0,"",MAX((AC3299:AE3299&lt;&gt;"")*(COLUMN(AC3299:AE3299)-(COLUMN(AC3299)))))-1),"")</f>
        <v>46068</v>
      </c>
      <c r="K3299" s="16" t="n">
        <f aca="false" t="array" ref="K3299:K3299">IFERROR(INDEX(AC3299:AE3299,IF(COUNTA(AC3299:AE3299)=0,"",MAX((AC3299:AE3299&lt;&gt;"")*(COLUMN(AC3299:AE3299)-(COLUMN(AC3299)-1))))-1),"")</f>
        <v>46156</v>
      </c>
      <c r="L3299" s="17" t="str">
        <f aca="false" t="array" ref="L3299:L3299">IFERROR(INDEX(AC3299:AE3299,IF(COUNTA(AC3299:AE3299)=0,"",MAX((AC3299:AE3299&lt;&gt;"")*(COLUMN(AC3299:AE3299)-(COLUMN(AC3299)-2))))-1),"")</f>
        <v>ARCHIVED</v>
      </c>
      <c r="M3299" s="13" t="n">
        <f aca="true">K3299-TODAY()</f>
        <v>-168</v>
      </c>
      <c r="N3299" s="18" t="s">
        <v>105</v>
      </c>
      <c r="O3299" s="13" t="s">
        <v>10059</v>
      </c>
      <c r="P3299" s="31" t="n">
        <v>138915</v>
      </c>
      <c r="Q3299" s="47" t="s">
        <v>13647</v>
      </c>
      <c r="R3299" s="13" t="s">
        <v>241</v>
      </c>
      <c r="S3299" s="16" t="n">
        <v>39218</v>
      </c>
      <c r="T3299" s="13" t="s">
        <v>108</v>
      </c>
      <c r="U3299" s="13" t="s">
        <v>4663</v>
      </c>
      <c r="V3299" s="13" t="s">
        <v>42</v>
      </c>
      <c r="W3299" s="13" t="s">
        <v>43</v>
      </c>
      <c r="X3299" s="21" t="n">
        <v>85731552588</v>
      </c>
      <c r="Y3299" s="22" t="str">
        <f aca="false">O3299</f>
        <v>Harian Lepas E-Commerce</v>
      </c>
      <c r="Z3299" s="13" t="str">
        <f aca="false">IFERROR(__xludf.dummyfunction("if(BJ3299="""","""",GOOGLETRANSLATE(BJ3299,""auto"",""en""))"),"Daily Post E-Commerce")</f>
        <v>Daily Post E-Commerce</v>
      </c>
      <c r="AA3299" s="23" t="str">
        <f aca="false">IF(C3299="","", CHOOSE(MONTH(C3299),"January","February","March","April","May","June","July","August","September","October","November","December")&amp;" "&amp;DAY(C3299)&amp;MID("thstndrdth",MIN(9,2*RIGHT(DAY(C3299))*(MOD(DAY(C3299)-11,100)&gt;2)+1),2)&amp;","&amp;TEXT(C3299," yyyy"))</f>
        <v>February 15th,2026</v>
      </c>
      <c r="AB3299" s="15" t="str">
        <f aca="true">IF(S3299="","",DATEDIF(S3299,TODAY(),"Y")&amp;" Tahun, "&amp;DATEDIF(S3299,TODAY(),"YM")&amp;" Bulan, "&amp;DATEDIF(S3299,TODAY(),"MD")&amp;" Hari")</f>
        <v>19 Tahun, 5 Bulan, 13 Hari</v>
      </c>
      <c r="AC3299" s="18" t="n">
        <v>46068</v>
      </c>
      <c r="AD3299" s="18" t="n">
        <f aca="false">EDATE(AC3299,3)-1</f>
        <v>46156</v>
      </c>
      <c r="AE3299" s="13" t="s">
        <v>44</v>
      </c>
    </row>
    <row r="3300" customFormat="false" ht="15" hidden="false" customHeight="true" outlineLevel="0" collapsed="false">
      <c r="A3300" s="12" t="n">
        <v>21908</v>
      </c>
      <c r="B3300" s="13" t="s">
        <v>13648</v>
      </c>
      <c r="C3300" s="16" t="n">
        <v>46045</v>
      </c>
      <c r="D3300" s="13" t="s">
        <v>10058</v>
      </c>
      <c r="E3300" s="15" t="s">
        <v>47</v>
      </c>
      <c r="F3300" s="15" t="str">
        <f aca="false">IFERROR(__xludf.dummyfunction("XLOOKUP(AJ3300,IMPORTRANGE(""1XaInW9DU9nz21V0tYIfzFQ0He9kVQ_JF2mCXgZ3hqFA"",""REKAP ALL 2026 - Andika!G:G""),IMPORTRANGE(""1XaInW9DU9nz21V0tYIfzFQ0He9kVQ_JF2mCXgZ3hqFA"",""REKAP ALL 2026 - Andika!F:F""),"""",0)"),"26062984765")</f>
        <v>26062984765</v>
      </c>
      <c r="G3300" s="13" t="s">
        <v>1127</v>
      </c>
      <c r="H3300" s="13" t="s">
        <v>3024</v>
      </c>
      <c r="I3300" s="13" t="str">
        <f aca="false">IF(C3300=J3300,"NEW KONTRAK","RE-KONTRAK")</f>
        <v>NEW KONTRAK</v>
      </c>
      <c r="J3300" s="16" t="n">
        <f aca="false" t="array" ref="J3300:J3300">IFERROR(INDEX(AC3300:AE3300,IF(COUNTA(AC3300:AE3300)=0,"",MAX((AC3300:AE3300&lt;&gt;"")*(COLUMN(AC3300:AE3300)-(COLUMN(AC3300)))))-1),"")</f>
        <v>46045</v>
      </c>
      <c r="K3300" s="16" t="n">
        <f aca="false" t="array" ref="K3300:K3300">IFERROR(INDEX(AC3300:AE3300,IF(COUNTA(AC3300:AE3300)=0,"",MAX((AC3300:AE3300&lt;&gt;"")*(COLUMN(AC3300:AE3300)-(COLUMN(AC3300)-1))))-1),"")</f>
        <v>46134</v>
      </c>
      <c r="L3300" s="17" t="str">
        <f aca="false" t="array" ref="L3300:L3300">IFERROR(INDEX(AC3300:AE3300,IF(COUNTA(AC3300:AE3300)=0,"",MAX((AC3300:AE3300&lt;&gt;"")*(COLUMN(AC3300:AE3300)-(COLUMN(AC3300)-2))))-1),"")</f>
        <v>ARCHIVED</v>
      </c>
      <c r="M3300" s="13" t="n">
        <f aca="true">K3300-TODAY()</f>
        <v>-190</v>
      </c>
      <c r="N3300" s="18" t="s">
        <v>105</v>
      </c>
      <c r="O3300" s="13" t="s">
        <v>10059</v>
      </c>
      <c r="P3300" s="31" t="n">
        <v>138915</v>
      </c>
      <c r="Q3300" s="47" t="s">
        <v>13649</v>
      </c>
      <c r="R3300" s="13" t="s">
        <v>39</v>
      </c>
      <c r="S3300" s="16" t="n">
        <v>38221</v>
      </c>
      <c r="T3300" s="28" t="s">
        <v>40</v>
      </c>
      <c r="U3300" s="13" t="s">
        <v>13645</v>
      </c>
      <c r="V3300" s="13" t="s">
        <v>42</v>
      </c>
      <c r="W3300" s="13" t="s">
        <v>43</v>
      </c>
      <c r="X3300" s="21" t="n">
        <v>83119441316</v>
      </c>
      <c r="Y3300" s="22" t="str">
        <f aca="false">O3300</f>
        <v>Harian Lepas E-Commerce</v>
      </c>
      <c r="Z3300" s="13" t="str">
        <f aca="false">IFERROR(__xludf.dummyfunction("if(BJ3300="""","""",GOOGLETRANSLATE(BJ3300,""auto"",""en""))"),"Daily Post E-Commerce")</f>
        <v>Daily Post E-Commerce</v>
      </c>
      <c r="AA3300" s="23" t="str">
        <f aca="false">IF(C3300="","", CHOOSE(MONTH(C3300),"January","February","March","April","May","June","July","August","September","October","November","December")&amp;" "&amp;DAY(C3300)&amp;MID("thstndrdth",MIN(9,2*RIGHT(DAY(C3300))*(MOD(DAY(C3300)-11,100)&gt;2)+1),2)&amp;","&amp;TEXT(C3300," yyyy"))</f>
        <v>January 23rd,2026</v>
      </c>
      <c r="AB3300" s="15" t="str">
        <f aca="true">IF(S3300="","",DATEDIF(S3300,TODAY(),"Y")&amp;" Tahun, "&amp;DATEDIF(S3300,TODAY(),"YM")&amp;" Bulan, "&amp;DATEDIF(S3300,TODAY(),"MD")&amp;" Hari")</f>
        <v>22 Tahun, 2 Bulan, 7 Hari</v>
      </c>
      <c r="AC3300" s="18" t="n">
        <v>46045</v>
      </c>
      <c r="AD3300" s="18" t="n">
        <f aca="false">EDATE(AC3300,3)-1</f>
        <v>46134</v>
      </c>
      <c r="AE3300" s="13" t="s">
        <v>44</v>
      </c>
    </row>
    <row r="3301" customFormat="false" ht="15" hidden="false" customHeight="true" outlineLevel="0" collapsed="false">
      <c r="A3301" s="12" t="n">
        <v>21909</v>
      </c>
      <c r="B3301" s="13" t="s">
        <v>13650</v>
      </c>
      <c r="C3301" s="16" t="n">
        <v>46079</v>
      </c>
      <c r="D3301" s="13" t="s">
        <v>2294</v>
      </c>
      <c r="E3301" s="15" t="s">
        <v>47</v>
      </c>
      <c r="F3301" s="15" t="str">
        <f aca="false">IFERROR(__xludf.dummyfunction("XLOOKUP(AJ3301,IMPORTRANGE(""1XaInW9DU9nz21V0tYIfzFQ0He9kVQ_JF2mCXgZ3hqFA"",""REKAP ALL 2026 - Andika!G:G""),IMPORTRANGE(""1XaInW9DU9nz21V0tYIfzFQ0He9kVQ_JF2mCXgZ3hqFA"",""REKAP ALL 2026 - Andika!F:F""),"""",0)"),"26035116032")</f>
        <v>26035116032</v>
      </c>
      <c r="G3301" s="13" t="s">
        <v>57</v>
      </c>
      <c r="H3301" s="13" t="s">
        <v>3024</v>
      </c>
      <c r="I3301" s="13" t="str">
        <f aca="false">IF(C3301=J3301,"NEW KONTRAK","RE-KONTRAK")</f>
        <v>NEW KONTRAK</v>
      </c>
      <c r="J3301" s="16" t="n">
        <f aca="false" t="array" ref="J3301:J3301">IFERROR(INDEX(AC3301:AE3301,IF(COUNTA(AC3301:AE3301)=0,"",MAX((AC3301:AE3301&lt;&gt;"")*(COLUMN(AC3301:AE3301)-(COLUMN(AC3301)))))-1),"")</f>
        <v>46079</v>
      </c>
      <c r="K3301" s="16" t="n">
        <f aca="false" t="array" ref="K3301:K3301">IFERROR(INDEX(AC3301:AE3301,IF(COUNTA(AC3301:AE3301)=0,"",MAX((AC3301:AE3301&lt;&gt;"")*(COLUMN(AC3301:AE3301)-(COLUMN(AC3301)-1))))-1),"")</f>
        <v>46167</v>
      </c>
      <c r="L3301" s="17" t="str">
        <f aca="false" t="array" ref="L3301:L3301">IFERROR(INDEX(AC3301:AE3301,IF(COUNTA(AC3301:AE3301)=0,"",MAX((AC3301:AE3301&lt;&gt;"")*(COLUMN(AC3301:AE3301)-(COLUMN(AC3301)-2))))-1),"")</f>
        <v>ARCHIVED</v>
      </c>
      <c r="M3301" s="13" t="n">
        <f aca="true">K3301-TODAY()</f>
        <v>-157</v>
      </c>
      <c r="N3301" s="18" t="s">
        <v>615</v>
      </c>
      <c r="O3301" s="13" t="s">
        <v>11593</v>
      </c>
      <c r="P3301" s="27" t="n">
        <v>165635</v>
      </c>
      <c r="Q3301" s="47" t="s">
        <v>13651</v>
      </c>
      <c r="R3301" s="13" t="s">
        <v>232</v>
      </c>
      <c r="S3301" s="16" t="n">
        <v>30203</v>
      </c>
      <c r="T3301" s="28" t="s">
        <v>40</v>
      </c>
      <c r="U3301" s="13" t="s">
        <v>13652</v>
      </c>
      <c r="V3301" s="13" t="s">
        <v>42</v>
      </c>
      <c r="W3301" s="13" t="s">
        <v>54</v>
      </c>
      <c r="X3301" s="30" t="n">
        <v>85703317393</v>
      </c>
      <c r="Y3301" s="22" t="str">
        <f aca="false">O3301</f>
        <v>Borongan Muat</v>
      </c>
      <c r="Z3301" s="13" t="str">
        <f aca="false">IFERROR(__xludf.dummyfunction("if(BJ3301="""","""",GOOGLETRANSLATE(BJ3301,""auto"",""en""))"),"Bulk Loading")</f>
        <v>Bulk Loading</v>
      </c>
      <c r="AA3301" s="23" t="str">
        <f aca="false">IF(C3301="","", CHOOSE(MONTH(C3301),"January","February","March","April","May","June","July","August","September","October","November","December")&amp;" "&amp;DAY(C3301)&amp;MID("thstndrdth",MIN(9,2*RIGHT(DAY(C3301))*(MOD(DAY(C3301)-11,100)&gt;2)+1),2)&amp;","&amp;TEXT(C3301," yyyy"))</f>
        <v>February 26th,2026</v>
      </c>
      <c r="AB3301" s="15" t="str">
        <f aca="true">IF(S3301="","",DATEDIF(S3301,TODAY(),"Y")&amp;" Tahun, "&amp;DATEDIF(S3301,TODAY(),"YM")&amp;" Bulan, "&amp;DATEDIF(S3301,TODAY(),"MD")&amp;" Hari")</f>
        <v>44 Tahun, 1 Bulan, 20 Hari</v>
      </c>
      <c r="AC3301" s="18" t="n">
        <v>46079</v>
      </c>
      <c r="AD3301" s="18" t="n">
        <v>46167</v>
      </c>
      <c r="AE3301" s="13" t="s">
        <v>44</v>
      </c>
    </row>
    <row r="3302" customFormat="false" ht="15" hidden="false" customHeight="true" outlineLevel="0" collapsed="false">
      <c r="A3302" s="12" t="n">
        <v>21910</v>
      </c>
      <c r="B3302" s="13" t="s">
        <v>13653</v>
      </c>
      <c r="C3302" s="16" t="n">
        <v>46083</v>
      </c>
      <c r="D3302" s="13" t="s">
        <v>144</v>
      </c>
      <c r="E3302" s="15" t="s">
        <v>102</v>
      </c>
      <c r="F3302" s="15" t="str">
        <f aca="false">IFERROR(__xludf.dummyfunction("XLOOKUP(AJ3302,IMPORTRANGE(""1XaInW9DU9nz21V0tYIfzFQ0He9kVQ_JF2mCXgZ3hqFA"",""REKAP ALL 2026 - Andika!G:G""),IMPORTRANGE(""1XaInW9DU9nz21V0tYIfzFQ0He9kVQ_JF2mCXgZ3hqFA"",""REKAP ALL 2026 - Andika!F:F""),"""",0)"),"26046413501")</f>
        <v>26046413501</v>
      </c>
      <c r="G3302" s="13" t="s">
        <v>1127</v>
      </c>
      <c r="H3302" s="13" t="s">
        <v>35</v>
      </c>
      <c r="I3302" s="13" t="str">
        <f aca="false">IF(C3302=J3302,"NEW KONTRAK","RE-KONTRAK")</f>
        <v>NEW KONTRAK</v>
      </c>
      <c r="J3302" s="16" t="n">
        <f aca="false" t="array" ref="J3302:J3302">IFERROR(INDEX(AC3302:AE3302,IF(COUNTA(AC3302:AE3302)=0,"",MAX((AC3302:AE3302&lt;&gt;"")*(COLUMN(AC3302:AE3302)-(COLUMN(AC3302)))))-1),"")</f>
        <v>46083</v>
      </c>
      <c r="K3302" s="16" t="n">
        <f aca="false" t="array" ref="K3302:K3302">IFERROR(INDEX(AC3302:AE3302,IF(COUNTA(AC3302:AE3302)=0,"",MAX((AC3302:AE3302&lt;&gt;"")*(COLUMN(AC3302:AE3302)-(COLUMN(AC3302)-1))))-1),"")</f>
        <v>46174</v>
      </c>
      <c r="L3302" s="17" t="str">
        <f aca="false" t="array" ref="L3302:L3302">IFERROR(INDEX(AC3302:AE3302,IF(COUNTA(AC3302:AE3302)=0,"",MAX((AC3302:AE3302&lt;&gt;"")*(COLUMN(AC3302:AE3302)-(COLUMN(AC3302)-2))))-1),"")</f>
        <v>ARCHIVED</v>
      </c>
      <c r="M3302" s="13" t="n">
        <f aca="true">K3302-TODAY()</f>
        <v>-150</v>
      </c>
      <c r="N3302" s="18" t="s">
        <v>36</v>
      </c>
      <c r="O3302" s="13" t="s">
        <v>9304</v>
      </c>
      <c r="P3302" s="19" t="n">
        <v>5195401</v>
      </c>
      <c r="Q3302" s="47" t="s">
        <v>13654</v>
      </c>
      <c r="R3302" s="13" t="s">
        <v>13655</v>
      </c>
      <c r="S3302" s="16" t="n">
        <v>36552</v>
      </c>
      <c r="T3302" s="13" t="s">
        <v>108</v>
      </c>
      <c r="U3302" s="13" t="s">
        <v>13656</v>
      </c>
      <c r="V3302" s="13" t="s">
        <v>99</v>
      </c>
      <c r="W3302" s="13" t="s">
        <v>43</v>
      </c>
      <c r="X3302" s="30" t="n">
        <v>89538546785</v>
      </c>
      <c r="Y3302" s="22" t="str">
        <f aca="false">O3302</f>
        <v>Admin HRD</v>
      </c>
      <c r="Z3302" s="13" t="str">
        <f aca="false">IFERROR(__xludf.dummyfunction("if(BJ3302="""","""",GOOGLETRANSLATE(BJ3302,""auto"",""en""))"),"HR Admin")</f>
        <v>HR Admin</v>
      </c>
      <c r="AA3302" s="23" t="str">
        <f aca="false">IF(C3302="","", CHOOSE(MONTH(C3302),"January","February","March","April","May","June","July","August","September","October","November","December")&amp;" "&amp;DAY(C3302)&amp;MID("thstndrdth",MIN(9,2*RIGHT(DAY(C3302))*(MOD(DAY(C3302)-11,100)&gt;2)+1),2)&amp;","&amp;TEXT(C3302," yyyy"))</f>
        <v>March 2nd,2026</v>
      </c>
      <c r="AB3302" s="15" t="str">
        <f aca="true">IF(S3302="","",DATEDIF(S3302,TODAY(),"Y")&amp;" Tahun, "&amp;DATEDIF(S3302,TODAY(),"YM")&amp;" Bulan, "&amp;DATEDIF(S3302,TODAY(),"MD")&amp;" Hari")</f>
        <v>26 Tahun, 9 Bulan, 2 Hari</v>
      </c>
      <c r="AC3302" s="18" t="n">
        <v>46083</v>
      </c>
      <c r="AD3302" s="18" t="n">
        <f aca="false">EDATE(AC3302,3)-1</f>
        <v>46174</v>
      </c>
      <c r="AE3302" s="13" t="s">
        <v>44</v>
      </c>
    </row>
    <row r="3303" customFormat="false" ht="15" hidden="false" customHeight="true" outlineLevel="0" collapsed="false">
      <c r="A3303" s="12" t="n">
        <v>21911</v>
      </c>
      <c r="B3303" s="13" t="s">
        <v>13657</v>
      </c>
      <c r="C3303" s="16" t="n">
        <v>46080</v>
      </c>
      <c r="D3303" s="13" t="s">
        <v>5892</v>
      </c>
      <c r="E3303" s="15" t="s">
        <v>47</v>
      </c>
      <c r="F3303" s="15" t="str">
        <f aca="false">IFERROR(__xludf.dummyfunction("XLOOKUP(AJ3303,IMPORTRANGE(""1XaInW9DU9nz21V0tYIfzFQ0He9kVQ_JF2mCXgZ3hqFA"",""REKAP ALL 2026 - Andika!G:G""),IMPORTRANGE(""1XaInW9DU9nz21V0tYIfzFQ0He9kVQ_JF2mCXgZ3hqFA"",""REKAP ALL 2026 - Andika!F:F""),"""",0)"),"26035120497")</f>
        <v>26035120497</v>
      </c>
      <c r="G3303" s="13" t="s">
        <v>1127</v>
      </c>
      <c r="H3303" s="13" t="s">
        <v>35</v>
      </c>
      <c r="I3303" s="13" t="str">
        <f aca="false">IF(C3303=J3303,"NEW KONTRAK","RE-KONTRAK")</f>
        <v>NEW KONTRAK</v>
      </c>
      <c r="J3303" s="16" t="n">
        <f aca="false" t="array" ref="J3303:J3303">IFERROR(INDEX(AC3303:AE3303,IF(COUNTA(AC3303:AE3303)=0,"",MAX((AC3303:AE3303&lt;&gt;"")*(COLUMN(AC3303:AE3303)-(COLUMN(AC3303)))))-1),"")</f>
        <v>46080</v>
      </c>
      <c r="K3303" s="16" t="n">
        <f aca="false" t="array" ref="K3303:K3303">IFERROR(INDEX(AC3303:AE3303,IF(COUNTA(AC3303:AE3303)=0,"",MAX((AC3303:AE3303&lt;&gt;"")*(COLUMN(AC3303:AE3303)-(COLUMN(AC3303)-1))))-1),"")</f>
        <v>46168</v>
      </c>
      <c r="L3303" s="17" t="str">
        <f aca="false" t="array" ref="L3303:L3303">IFERROR(INDEX(AC3303:AE3303,IF(COUNTA(AC3303:AE3303)=0,"",MAX((AC3303:AE3303&lt;&gt;"")*(COLUMN(AC3303:AE3303)-(COLUMN(AC3303)-2))))-1),"")</f>
        <v>ARCHIVED</v>
      </c>
      <c r="M3303" s="13" t="n">
        <f aca="true">K3303-TODAY()</f>
        <v>-156</v>
      </c>
      <c r="N3303" s="18" t="s">
        <v>105</v>
      </c>
      <c r="O3303" s="13" t="s">
        <v>6877</v>
      </c>
      <c r="P3303" s="19" t="n">
        <v>4250000</v>
      </c>
      <c r="Q3303" s="47" t="s">
        <v>13658</v>
      </c>
      <c r="R3303" s="13" t="s">
        <v>65</v>
      </c>
      <c r="S3303" s="16" t="n">
        <v>36776</v>
      </c>
      <c r="T3303" s="13" t="s">
        <v>108</v>
      </c>
      <c r="U3303" s="13" t="s">
        <v>13659</v>
      </c>
      <c r="V3303" s="13" t="s">
        <v>42</v>
      </c>
      <c r="W3303" s="13" t="s">
        <v>43</v>
      </c>
      <c r="X3303" s="30" t="n">
        <v>85745877175</v>
      </c>
      <c r="Y3303" s="22" t="str">
        <f aca="false">O3303</f>
        <v>Staff Accounting</v>
      </c>
      <c r="Z3303" s="13" t="str">
        <f aca="false">IFERROR(__xludf.dummyfunction("if(BJ3303="""","""",GOOGLETRANSLATE(BJ3303,""auto"",""en""))"),"Staff Accounting")</f>
        <v>Staff Accounting</v>
      </c>
      <c r="AA3303" s="23" t="str">
        <f aca="false">IF(C3303="","", CHOOSE(MONTH(C3303),"January","February","March","April","May","June","July","August","September","October","November","December")&amp;" "&amp;DAY(C3303)&amp;MID("thstndrdth",MIN(9,2*RIGHT(DAY(C3303))*(MOD(DAY(C3303)-11,100)&gt;2)+1),2)&amp;","&amp;TEXT(C3303," yyyy"))</f>
        <v>February 27th,2026</v>
      </c>
      <c r="AB3303" s="15" t="str">
        <f aca="true">IF(S3303="","",DATEDIF(S3303,TODAY(),"Y")&amp;" Tahun, "&amp;DATEDIF(S3303,TODAY(),"YM")&amp;" Bulan, "&amp;DATEDIF(S3303,TODAY(),"MD")&amp;" Hari")</f>
        <v>26 Tahun, 1 Bulan, 22 Hari</v>
      </c>
      <c r="AC3303" s="18" t="n">
        <v>46080</v>
      </c>
      <c r="AD3303" s="18" t="n">
        <f aca="false">EDATE(AC3303,3)-1</f>
        <v>46168</v>
      </c>
      <c r="AE3303" s="13" t="s">
        <v>44</v>
      </c>
    </row>
    <row r="3304" customFormat="false" ht="15" hidden="false" customHeight="true" outlineLevel="0" collapsed="false">
      <c r="A3304" s="12" t="n">
        <v>21912</v>
      </c>
      <c r="B3304" s="13" t="s">
        <v>13660</v>
      </c>
      <c r="C3304" s="16" t="n">
        <v>46074</v>
      </c>
      <c r="D3304" s="13" t="s">
        <v>8980</v>
      </c>
      <c r="E3304" s="15" t="s">
        <v>102</v>
      </c>
      <c r="F3304" s="15" t="str">
        <f aca="false">IFERROR(__xludf.dummyfunction("XLOOKUP(AJ3304,IMPORTRANGE(""1XaInW9DU9nz21V0tYIfzFQ0He9kVQ_JF2mCXgZ3hqFA"",""REKAP ALL 2026 - Andika!G:G""),IMPORTRANGE(""1XaInW9DU9nz21V0tYIfzFQ0He9kVQ_JF2mCXgZ3hqFA"",""REKAP ALL 2026 - Andika!F:F""),"""",0)"),"26035119259")</f>
        <v>26035119259</v>
      </c>
      <c r="G3304" s="13" t="s">
        <v>1127</v>
      </c>
      <c r="H3304" s="13" t="s">
        <v>35</v>
      </c>
      <c r="I3304" s="13" t="str">
        <f aca="false">IF(C3304=J3304,"NEW KONTRAK","RE-KONTRAK")</f>
        <v>NEW KONTRAK</v>
      </c>
      <c r="J3304" s="16" t="n">
        <f aca="false" t="array" ref="J3304:J3304">IFERROR(INDEX(AC3304:AE3304,IF(COUNTA(AC3304:AE3304)=0,"",MAX((AC3304:AE3304&lt;&gt;"")*(COLUMN(AC3304:AE3304)-(COLUMN(AC3304)))))-1),"")</f>
        <v>46074</v>
      </c>
      <c r="K3304" s="16" t="n">
        <f aca="false" t="array" ref="K3304:K3304">IFERROR(INDEX(AC3304:AE3304,IF(COUNTA(AC3304:AE3304)=0,"",MAX((AC3304:AE3304&lt;&gt;"")*(COLUMN(AC3304:AE3304)-(COLUMN(AC3304)-1))))-1),"")</f>
        <v>46162</v>
      </c>
      <c r="L3304" s="17" t="str">
        <f aca="false" t="array" ref="L3304:L3304">IFERROR(INDEX(AC3304:AE3304,IF(COUNTA(AC3304:AE3304)=0,"",MAX((AC3304:AE3304&lt;&gt;"")*(COLUMN(AC3304:AE3304)-(COLUMN(AC3304)-2))))-1),"")</f>
        <v>ARCHIVED</v>
      </c>
      <c r="M3304" s="13" t="n">
        <f aca="true">K3304-TODAY()</f>
        <v>-162</v>
      </c>
      <c r="N3304" s="18" t="s">
        <v>8982</v>
      </c>
      <c r="O3304" s="13" t="s">
        <v>8983</v>
      </c>
      <c r="P3304" s="19" t="n">
        <v>2250000</v>
      </c>
      <c r="Q3304" s="47" t="s">
        <v>13661</v>
      </c>
      <c r="R3304" s="13" t="s">
        <v>826</v>
      </c>
      <c r="S3304" s="16" t="n">
        <v>37016</v>
      </c>
      <c r="T3304" s="13" t="s">
        <v>40</v>
      </c>
      <c r="U3304" s="13" t="s">
        <v>13662</v>
      </c>
      <c r="V3304" s="13" t="s">
        <v>42</v>
      </c>
      <c r="W3304" s="13" t="s">
        <v>43</v>
      </c>
      <c r="X3304" s="30" t="n">
        <v>85155609320</v>
      </c>
      <c r="Y3304" s="22" t="str">
        <f aca="false">O3304</f>
        <v>Operator SPBU</v>
      </c>
      <c r="Z3304" s="13" t="str">
        <f aca="false">IFERROR(__xludf.dummyfunction("if(BJ3304="""","""",GOOGLETRANSLATE(BJ3304,""auto"",""en""))"),"Gas Station Operator")</f>
        <v>Gas Station Operator</v>
      </c>
      <c r="AA3304" s="23" t="str">
        <f aca="false">IF(C3304="","", CHOOSE(MONTH(C3304),"January","February","March","April","May","June","July","August","September","October","November","December")&amp;" "&amp;DAY(C3304)&amp;MID("thstndrdth",MIN(9,2*RIGHT(DAY(C3304))*(MOD(DAY(C3304)-11,100)&gt;2)+1),2)&amp;","&amp;TEXT(C3304," yyyy"))</f>
        <v>February 21st,2026</v>
      </c>
      <c r="AB3304" s="15" t="str">
        <f aca="true">IF(S3304="","",DATEDIF(S3304,TODAY(),"Y")&amp;" Tahun, "&amp;DATEDIF(S3304,TODAY(),"YM")&amp;" Bulan, "&amp;DATEDIF(S3304,TODAY(),"MD")&amp;" Hari")</f>
        <v>25 Tahun, 5 Bulan, 24 Hari</v>
      </c>
      <c r="AC3304" s="18" t="n">
        <v>46074</v>
      </c>
      <c r="AD3304" s="18" t="n">
        <f aca="false">EDATE(AC3304,3)-1</f>
        <v>46162</v>
      </c>
      <c r="AE3304" s="13" t="s">
        <v>44</v>
      </c>
    </row>
    <row r="3305" customFormat="false" ht="15" hidden="false" customHeight="true" outlineLevel="0" collapsed="false">
      <c r="A3305" s="12" t="n">
        <v>21913</v>
      </c>
      <c r="B3305" s="13" t="s">
        <v>13663</v>
      </c>
      <c r="C3305" s="16" t="n">
        <v>46074</v>
      </c>
      <c r="D3305" s="13" t="s">
        <v>8980</v>
      </c>
      <c r="E3305" s="15" t="s">
        <v>47</v>
      </c>
      <c r="F3305" s="15" t="str">
        <f aca="false">IFERROR(__xludf.dummyfunction("XLOOKUP(AJ3305,IMPORTRANGE(""1XaInW9DU9nz21V0tYIfzFQ0He9kVQ_JF2mCXgZ3hqFA"",""REKAP ALL 2026 - Andika!G:G""),IMPORTRANGE(""1XaInW9DU9nz21V0tYIfzFQ0He9kVQ_JF2mCXgZ3hqFA"",""REKAP ALL 2026 - Andika!F:F""),"""",0)"),"26035119218")</f>
        <v>26035119218</v>
      </c>
      <c r="G3305" s="13" t="s">
        <v>1127</v>
      </c>
      <c r="H3305" s="13" t="s">
        <v>35</v>
      </c>
      <c r="I3305" s="13" t="str">
        <f aca="false">IF(C3305=J3305,"NEW KONTRAK","RE-KONTRAK")</f>
        <v>NEW KONTRAK</v>
      </c>
      <c r="J3305" s="16" t="n">
        <f aca="false" t="array" ref="J3305:J3305">IFERROR(INDEX(AC3305:AE3305,IF(COUNTA(AC3305:AE3305)=0,"",MAX((AC3305:AE3305&lt;&gt;"")*(COLUMN(AC3305:AE3305)-(COLUMN(AC3305)))))-1),"")</f>
        <v>46074</v>
      </c>
      <c r="K3305" s="16" t="n">
        <f aca="false" t="array" ref="K3305:K3305">IFERROR(INDEX(AC3305:AE3305,IF(COUNTA(AC3305:AE3305)=0,"",MAX((AC3305:AE3305&lt;&gt;"")*(COLUMN(AC3305:AE3305)-(COLUMN(AC3305)-1))))-1),"")</f>
        <v>46162</v>
      </c>
      <c r="L3305" s="17" t="str">
        <f aca="false" t="array" ref="L3305:L3305">IFERROR(INDEX(AC3305:AE3305,IF(COUNTA(AC3305:AE3305)=0,"",MAX((AC3305:AE3305&lt;&gt;"")*(COLUMN(AC3305:AE3305)-(COLUMN(AC3305)-2))))-1),"")</f>
        <v>ARCHIVED</v>
      </c>
      <c r="M3305" s="13" t="n">
        <f aca="true">K3305-TODAY()</f>
        <v>-162</v>
      </c>
      <c r="N3305" s="18" t="s">
        <v>8982</v>
      </c>
      <c r="O3305" s="13" t="s">
        <v>8983</v>
      </c>
      <c r="P3305" s="19" t="n">
        <v>2250000</v>
      </c>
      <c r="Q3305" s="47" t="s">
        <v>13664</v>
      </c>
      <c r="R3305" s="13" t="s">
        <v>826</v>
      </c>
      <c r="S3305" s="16" t="n">
        <v>38619</v>
      </c>
      <c r="T3305" s="13" t="s">
        <v>40</v>
      </c>
      <c r="U3305" s="13" t="s">
        <v>13665</v>
      </c>
      <c r="V3305" s="13" t="s">
        <v>42</v>
      </c>
      <c r="W3305" s="13" t="s">
        <v>43</v>
      </c>
      <c r="X3305" s="30" t="n">
        <v>85389964235</v>
      </c>
      <c r="Y3305" s="22" t="str">
        <f aca="false">O3305</f>
        <v>Operator SPBU</v>
      </c>
      <c r="Z3305" s="13" t="str">
        <f aca="false">IFERROR(__xludf.dummyfunction("if(BJ3305="""","""",GOOGLETRANSLATE(BJ3305,""auto"",""en""))"),"Gas Station Operator")</f>
        <v>Gas Station Operator</v>
      </c>
      <c r="AA3305" s="23" t="str">
        <f aca="false">IF(C3305="","", CHOOSE(MONTH(C3305),"January","February","March","April","May","June","July","August","September","October","November","December")&amp;" "&amp;DAY(C3305)&amp;MID("thstndrdth",MIN(9,2*RIGHT(DAY(C3305))*(MOD(DAY(C3305)-11,100)&gt;2)+1),2)&amp;","&amp;TEXT(C3305," yyyy"))</f>
        <v>February 21st,2026</v>
      </c>
      <c r="AB3305" s="15" t="str">
        <f aca="true">IF(S3305="","",DATEDIF(S3305,TODAY(),"Y")&amp;" Tahun, "&amp;DATEDIF(S3305,TODAY(),"YM")&amp;" Bulan, "&amp;DATEDIF(S3305,TODAY(),"MD")&amp;" Hari")</f>
        <v>21 Tahun, 1 Bulan, 5 Hari</v>
      </c>
      <c r="AC3305" s="18" t="n">
        <v>46074</v>
      </c>
      <c r="AD3305" s="18" t="n">
        <f aca="false">EDATE(AC3305,3)-1</f>
        <v>46162</v>
      </c>
      <c r="AE3305" s="13" t="s">
        <v>44</v>
      </c>
    </row>
    <row r="3306" customFormat="false" ht="15" hidden="false" customHeight="true" outlineLevel="0" collapsed="false">
      <c r="A3306" s="12" t="n">
        <v>21914</v>
      </c>
      <c r="B3306" s="13" t="s">
        <v>13666</v>
      </c>
      <c r="C3306" s="16" t="n">
        <v>46083</v>
      </c>
      <c r="D3306" s="13" t="s">
        <v>4252</v>
      </c>
      <c r="E3306" s="15" t="s">
        <v>102</v>
      </c>
      <c r="F3306" s="24" t="s">
        <v>13667</v>
      </c>
      <c r="G3306" s="13" t="s">
        <v>57</v>
      </c>
      <c r="H3306" s="13" t="s">
        <v>35</v>
      </c>
      <c r="I3306" s="13" t="str">
        <f aca="false">IF(C3306=J3306,"NEW KONTRAK","RE-KONTRAK")</f>
        <v>NEW KONTRAK</v>
      </c>
      <c r="J3306" s="16" t="n">
        <f aca="false" t="array" ref="J3306:J3306">IFERROR(INDEX(AC3306:AE3306,IF(COUNTA(AC3306:AE3306)=0,"",MAX((AC3306:AE3306&lt;&gt;"")*(COLUMN(AC3306:AE3306)-(COLUMN(AC3306)))))-1),"")</f>
        <v>46083</v>
      </c>
      <c r="K3306" s="16" t="n">
        <f aca="false" t="array" ref="K3306:K3306">IFERROR(INDEX(AC3306:AE3306,IF(COUNTA(AC3306:AE3306)=0,"",MAX((AC3306:AE3306&lt;&gt;"")*(COLUMN(AC3306:AE3306)-(COLUMN(AC3306)-1))))-1),"")</f>
        <v>46174</v>
      </c>
      <c r="L3306" s="17" t="str">
        <f aca="false" t="array" ref="L3306:L3306">IFERROR(INDEX(AC3306:AE3306,IF(COUNTA(AC3306:AE3306)=0,"",MAX((AC3306:AE3306&lt;&gt;"")*(COLUMN(AC3306:AE3306)-(COLUMN(AC3306)-2))))-1),"")</f>
        <v>ARCHIVED</v>
      </c>
      <c r="M3306" s="13" t="n">
        <f aca="true">K3306-TODAY()</f>
        <v>-150</v>
      </c>
      <c r="N3306" s="18" t="s">
        <v>36</v>
      </c>
      <c r="O3306" s="13" t="s">
        <v>13405</v>
      </c>
      <c r="P3306" s="27" t="n">
        <v>200000</v>
      </c>
      <c r="Q3306" s="47" t="s">
        <v>13668</v>
      </c>
      <c r="R3306" s="13" t="s">
        <v>826</v>
      </c>
      <c r="S3306" s="16" t="n">
        <v>37769</v>
      </c>
      <c r="T3306" s="13" t="s">
        <v>40</v>
      </c>
      <c r="U3306" s="13" t="s">
        <v>13669</v>
      </c>
      <c r="V3306" s="13" t="s">
        <v>42</v>
      </c>
      <c r="W3306" s="13" t="s">
        <v>43</v>
      </c>
      <c r="X3306" s="30" t="n">
        <v>85269378547</v>
      </c>
      <c r="Y3306" s="22" t="str">
        <f aca="false">O3306</f>
        <v>Helper Extruder</v>
      </c>
      <c r="Z3306" s="13" t="str">
        <f aca="false">IFERROR(__xludf.dummyfunction("if(BJ3306="""","""",GOOGLETRANSLATE(BJ3306,""auto"",""en""))"),"Helper Extruder")</f>
        <v>Helper Extruder</v>
      </c>
      <c r="AA3306" s="23" t="str">
        <f aca="false">IF(C3306="","", CHOOSE(MONTH(C3306),"January","February","March","April","May","June","July","August","September","October","November","December")&amp;" "&amp;DAY(C3306)&amp;MID("thstndrdth",MIN(9,2*RIGHT(DAY(C3306))*(MOD(DAY(C3306)-11,100)&gt;2)+1),2)&amp;","&amp;TEXT(C3306," yyyy"))</f>
        <v>March 2nd,2026</v>
      </c>
      <c r="AB3306" s="15" t="str">
        <f aca="true">IF(S3306="","",DATEDIF(S3306,TODAY(),"Y")&amp;" Tahun, "&amp;DATEDIF(S3306,TODAY(),"YM")&amp;" Bulan, "&amp;DATEDIF(S3306,TODAY(),"MD")&amp;" Hari")</f>
        <v>23 Tahun, 5 Bulan, 1 Hari</v>
      </c>
      <c r="AC3306" s="18" t="n">
        <v>46083</v>
      </c>
      <c r="AD3306" s="18" t="n">
        <v>46174</v>
      </c>
      <c r="AE3306" s="13" t="s">
        <v>44</v>
      </c>
    </row>
    <row r="3307" customFormat="false" ht="15" hidden="false" customHeight="true" outlineLevel="0" collapsed="false">
      <c r="A3307" s="12" t="n">
        <v>21915</v>
      </c>
      <c r="B3307" s="13" t="s">
        <v>13670</v>
      </c>
      <c r="C3307" s="16" t="n">
        <v>46083</v>
      </c>
      <c r="D3307" s="13" t="s">
        <v>10155</v>
      </c>
      <c r="E3307" s="15" t="s">
        <v>47</v>
      </c>
      <c r="F3307" s="15" t="str">
        <f aca="false">IFERROR(__xludf.dummyfunction("XLOOKUP(AJ3307,IMPORTRANGE(""1XaInW9DU9nz21V0tYIfzFQ0He9kVQ_JF2mCXgZ3hqFA"",""REKAP ALL 2026 - Andika!G:G""),IMPORTRANGE(""1XaInW9DU9nz21V0tYIfzFQ0He9kVQ_JF2mCXgZ3hqFA"",""REKAP ALL 2026 - Andika!F:F""),"""",0)"),"26046412461")</f>
        <v>26046412461</v>
      </c>
      <c r="G3307" s="13" t="s">
        <v>1127</v>
      </c>
      <c r="H3307" s="13" t="s">
        <v>35</v>
      </c>
      <c r="I3307" s="13" t="str">
        <f aca="false">IF(C3307=J3307,"NEW KONTRAK","RE-KONTRAK")</f>
        <v>NEW KONTRAK</v>
      </c>
      <c r="J3307" s="16" t="n">
        <f aca="false" t="array" ref="J3307:J3307">IFERROR(INDEX(AC3307:AE3307,IF(COUNTA(AC3307:AE3307)=0,"",MAX((AC3307:AE3307&lt;&gt;"")*(COLUMN(AC3307:AE3307)-(COLUMN(AC3307)))))-1),"")</f>
        <v>46083</v>
      </c>
      <c r="K3307" s="16" t="n">
        <f aca="false" t="array" ref="K3307:K3307">IFERROR(INDEX(AC3307:AE3307,IF(COUNTA(AC3307:AE3307)=0,"",MAX((AC3307:AE3307&lt;&gt;"")*(COLUMN(AC3307:AE3307)-(COLUMN(AC3307)-1))))-1),"")</f>
        <v>46099</v>
      </c>
      <c r="L3307" s="17" t="str">
        <f aca="false" t="array" ref="L3307:L3307">IFERROR(INDEX(AC3307:AE3307,IF(COUNTA(AC3307:AE3307)=0,"",MAX((AC3307:AE3307&lt;&gt;"")*(COLUMN(AC3307:AE3307)-(COLUMN(AC3307)-2))))-1),"")</f>
        <v>KEMBALI ONLINE</v>
      </c>
      <c r="M3307" s="13" t="n">
        <f aca="true">K3307-TODAY()</f>
        <v>-225</v>
      </c>
      <c r="N3307" s="18" t="s">
        <v>36</v>
      </c>
      <c r="O3307" s="13" t="s">
        <v>13671</v>
      </c>
      <c r="P3307" s="27" t="n">
        <v>5195401</v>
      </c>
      <c r="Q3307" s="47" t="s">
        <v>13672</v>
      </c>
      <c r="R3307" s="13" t="s">
        <v>65</v>
      </c>
      <c r="S3307" s="16" t="n">
        <v>37489</v>
      </c>
      <c r="T3307" s="13" t="s">
        <v>108</v>
      </c>
      <c r="U3307" s="13" t="s">
        <v>13673</v>
      </c>
      <c r="V3307" s="13" t="s">
        <v>42</v>
      </c>
      <c r="W3307" s="13" t="s">
        <v>43</v>
      </c>
      <c r="X3307" s="13" t="n">
        <v>85791492027</v>
      </c>
      <c r="Y3307" s="22" t="str">
        <f aca="false">O3307</f>
        <v>Admin Hot CS &amp; SB P3 Production</v>
      </c>
      <c r="Z3307" s="13" t="str">
        <f aca="false">IFERROR(__xludf.dummyfunction("if(BJ3307="""","""",GOOGLETRANSLATE(BJ3307,""auto"",""en""))"),"Admin Hot CS &amp; SB P3 Production")</f>
        <v>Admin Hot CS &amp; SB P3 Production</v>
      </c>
      <c r="AA3307" s="23" t="str">
        <f aca="false">IF(C3307="","", CHOOSE(MONTH(C3307),"January","February","March","April","May","June","July","August","September","October","November","December")&amp;" "&amp;DAY(C3307)&amp;MID("thstndrdth",MIN(9,2*RIGHT(DAY(C3307))*(MOD(DAY(C3307)-11,100)&gt;2)+1),2)&amp;","&amp;TEXT(C3307," yyyy"))</f>
        <v>March 2nd,2026</v>
      </c>
      <c r="AB3307" s="15" t="str">
        <f aca="true">IF(S3307="","",DATEDIF(S3307,TODAY(),"Y")&amp;" Tahun, "&amp;DATEDIF(S3307,TODAY(),"YM")&amp;" Bulan, "&amp;DATEDIF(S3307,TODAY(),"MD")&amp;" Hari")</f>
        <v>24 Tahun, 2 Bulan, 8 Hari</v>
      </c>
      <c r="AC3307" s="18" t="n">
        <v>46083</v>
      </c>
      <c r="AD3307" s="18" t="n">
        <v>46099</v>
      </c>
      <c r="AE3307" s="13" t="s">
        <v>2387</v>
      </c>
    </row>
    <row r="3308" customFormat="false" ht="15" hidden="false" customHeight="true" outlineLevel="0" collapsed="false">
      <c r="A3308" s="12" t="n">
        <v>21916</v>
      </c>
      <c r="B3308" s="106" t="s">
        <v>13674</v>
      </c>
      <c r="C3308" s="16" t="n">
        <v>46090</v>
      </c>
      <c r="D3308" s="13" t="s">
        <v>9387</v>
      </c>
      <c r="E3308" s="15" t="s">
        <v>102</v>
      </c>
      <c r="F3308" s="24" t="s">
        <v>13675</v>
      </c>
      <c r="G3308" s="13" t="s">
        <v>57</v>
      </c>
      <c r="H3308" s="13" t="s">
        <v>35</v>
      </c>
      <c r="I3308" s="13" t="str">
        <f aca="false">IF(C3308=J3308,"NEW KONTRAK","RE-KONTRAK")</f>
        <v>NEW KONTRAK</v>
      </c>
      <c r="J3308" s="16" t="n">
        <f aca="false" t="array" ref="J3308:J3308">IFERROR(INDEX(AC3308:AE3308,IF(COUNTA(AC3308:AE3308)=0,"",MAX((AC3308:AE3308&lt;&gt;"")*(COLUMN(AC3308:AE3308)-(COLUMN(AC3308)))))-1),"")</f>
        <v>46090</v>
      </c>
      <c r="K3308" s="16" t="n">
        <f aca="false" t="array" ref="K3308:K3308">IFERROR(INDEX(AC3308:AE3308,IF(COUNTA(AC3308:AE3308)=0,"",MAX((AC3308:AE3308&lt;&gt;"")*(COLUMN(AC3308:AE3308)-(COLUMN(AC3308)-1))))-1),"")</f>
        <v>46273</v>
      </c>
      <c r="L3308" s="17" t="str">
        <f aca="false" t="array" ref="L3308:L3308">IFERROR(INDEX(AC3308:AE3308,IF(COUNTA(AC3308:AE3308)=0,"",MAX((AC3308:AE3308&lt;&gt;"")*(COLUMN(AC3308:AE3308)-(COLUMN(AC3308)-2))))-1),"")</f>
        <v>ARCHIVED</v>
      </c>
      <c r="M3308" s="13" t="n">
        <f aca="true">K3308-TODAY()</f>
        <v>-51</v>
      </c>
      <c r="N3308" s="18" t="s">
        <v>615</v>
      </c>
      <c r="O3308" s="13" t="s">
        <v>9388</v>
      </c>
      <c r="P3308" s="27" t="n">
        <v>5176101</v>
      </c>
      <c r="Q3308" s="47" t="s">
        <v>13676</v>
      </c>
      <c r="R3308" s="13" t="s">
        <v>232</v>
      </c>
      <c r="S3308" s="16" t="n">
        <v>36352</v>
      </c>
      <c r="T3308" s="13" t="s">
        <v>40</v>
      </c>
      <c r="U3308" s="13" t="s">
        <v>13677</v>
      </c>
      <c r="V3308" s="13" t="s">
        <v>42</v>
      </c>
      <c r="W3308" s="13" t="s">
        <v>54</v>
      </c>
      <c r="X3308" s="30" t="n">
        <v>83172522872</v>
      </c>
      <c r="Y3308" s="22" t="str">
        <f aca="false">O3308</f>
        <v>Tenaga Kerja Bongkar Muat (TKBM)</v>
      </c>
      <c r="Z3308" s="13" t="str">
        <f aca="false">IFERROR(__xludf.dummyfunction("if(BJ3308="""","""",GOOGLETRANSLATE(BJ3308,""auto"",""en""))"),"Loading and Unloading Workers (TKBM)")</f>
        <v>Loading and Unloading Workers (TKBM)</v>
      </c>
      <c r="AA3308" s="23" t="str">
        <f aca="false">IF(C3308="","", CHOOSE(MONTH(C3308),"January","February","March","April","May","June","July","August","September","October","November","December")&amp;" "&amp;DAY(C3308)&amp;MID("thstndrdth",MIN(9,2*RIGHT(DAY(C3308))*(MOD(DAY(C3308)-11,100)&gt;2)+1),2)&amp;","&amp;TEXT(C3308," yyyy"))</f>
        <v>March 9th,2026</v>
      </c>
      <c r="AB3308" s="15" t="str">
        <f aca="true">IF(S3308="","",DATEDIF(S3308,TODAY(),"Y")&amp;" Tahun, "&amp;DATEDIF(S3308,TODAY(),"YM")&amp;" Bulan, "&amp;DATEDIF(S3308,TODAY(),"MD")&amp;" Hari")</f>
        <v>27 Tahun, 3 Bulan, 18 Hari</v>
      </c>
      <c r="AC3308" s="18" t="n">
        <v>46090</v>
      </c>
      <c r="AD3308" s="18" t="n">
        <f aca="false">EDATE(AC3308,6)-1</f>
        <v>46273</v>
      </c>
      <c r="AE3308" s="13" t="s">
        <v>44</v>
      </c>
    </row>
    <row r="3309" customFormat="false" ht="15" hidden="false" customHeight="true" outlineLevel="0" collapsed="false">
      <c r="A3309" s="12" t="n">
        <v>21917</v>
      </c>
      <c r="B3309" s="13" t="s">
        <v>13678</v>
      </c>
      <c r="C3309" s="16" t="n">
        <v>46090</v>
      </c>
      <c r="D3309" s="13" t="s">
        <v>9387</v>
      </c>
      <c r="E3309" s="15" t="s">
        <v>47</v>
      </c>
      <c r="F3309" s="15" t="str">
        <f aca="false">IFERROR(__xludf.dummyfunction("XLOOKUP(AJ3309,IMPORTRANGE(""1XaInW9DU9nz21V0tYIfzFQ0He9kVQ_JF2mCXgZ3hqFA"",""REKAP ALL 2026 - Andika!G:G""),IMPORTRANGE(""1XaInW9DU9nz21V0tYIfzFQ0He9kVQ_JF2mCXgZ3hqFA"",""REKAP ALL 2026 - Andika!F:F""),"""",0)"),"26030960855")</f>
        <v>26030960855</v>
      </c>
      <c r="G3309" s="13" t="s">
        <v>57</v>
      </c>
      <c r="H3309" s="13" t="s">
        <v>35</v>
      </c>
      <c r="I3309" s="13" t="str">
        <f aca="false">IF(C3309=J3309,"NEW KONTRAK","RE-KONTRAK")</f>
        <v>NEW KONTRAK</v>
      </c>
      <c r="J3309" s="16" t="n">
        <f aca="false" t="array" ref="J3309:J3309">IFERROR(INDEX(AC3309:AE3309,IF(COUNTA(AC3309:AE3309)=0,"",MAX((AC3309:AE3309&lt;&gt;"")*(COLUMN(AC3309:AE3309)-(COLUMN(AC3309)))))-1),"")</f>
        <v>46090</v>
      </c>
      <c r="K3309" s="16" t="n">
        <f aca="false" t="array" ref="K3309:K3309">IFERROR(INDEX(AC3309:AE3309,IF(COUNTA(AC3309:AE3309)=0,"",MAX((AC3309:AE3309&lt;&gt;"")*(COLUMN(AC3309:AE3309)-(COLUMN(AC3309)-1))))-1),"")</f>
        <v>46273</v>
      </c>
      <c r="L3309" s="17" t="str">
        <f aca="false" t="array" ref="L3309:L3309">IFERROR(INDEX(AC3309:AE3309,IF(COUNTA(AC3309:AE3309)=0,"",MAX((AC3309:AE3309&lt;&gt;"")*(COLUMN(AC3309:AE3309)-(COLUMN(AC3309)-2))))-1),"")</f>
        <v>ARCHIVED</v>
      </c>
      <c r="M3309" s="13" t="n">
        <f aca="true">K3309-TODAY()</f>
        <v>-51</v>
      </c>
      <c r="N3309" s="18" t="s">
        <v>615</v>
      </c>
      <c r="O3309" s="13" t="s">
        <v>9388</v>
      </c>
      <c r="P3309" s="27" t="n">
        <v>5176101</v>
      </c>
      <c r="Q3309" s="47" t="s">
        <v>13679</v>
      </c>
      <c r="R3309" s="13" t="s">
        <v>232</v>
      </c>
      <c r="S3309" s="16" t="n">
        <v>30160</v>
      </c>
      <c r="T3309" s="13" t="s">
        <v>40</v>
      </c>
      <c r="U3309" s="13" t="s">
        <v>9475</v>
      </c>
      <c r="V3309" s="13" t="s">
        <v>42</v>
      </c>
      <c r="W3309" s="13" t="s">
        <v>54</v>
      </c>
      <c r="X3309" s="30" t="n">
        <v>81280100623</v>
      </c>
      <c r="Y3309" s="22" t="str">
        <f aca="false">O3309</f>
        <v>Tenaga Kerja Bongkar Muat (TKBM)</v>
      </c>
      <c r="Z3309" s="13" t="str">
        <f aca="false">IFERROR(__xludf.dummyfunction("if(BJ3309="""","""",GOOGLETRANSLATE(BJ3309,""auto"",""en""))"),"Loading and Unloading Workers (TKBM)")</f>
        <v>Loading and Unloading Workers (TKBM)</v>
      </c>
      <c r="AA3309" s="23" t="str">
        <f aca="false">IF(C3309="","", CHOOSE(MONTH(C3309),"January","February","March","April","May","June","July","August","September","October","November","December")&amp;" "&amp;DAY(C3309)&amp;MID("thstndrdth",MIN(9,2*RIGHT(DAY(C3309))*(MOD(DAY(C3309)-11,100)&gt;2)+1),2)&amp;","&amp;TEXT(C3309," yyyy"))</f>
        <v>March 9th,2026</v>
      </c>
      <c r="AB3309" s="15" t="str">
        <f aca="true">IF(S3309="","",DATEDIF(S3309,TODAY(),"Y")&amp;" Tahun, "&amp;DATEDIF(S3309,TODAY(),"YM")&amp;" Bulan, "&amp;DATEDIF(S3309,TODAY(),"MD")&amp;" Hari")</f>
        <v>44 Tahun, 3 Bulan, 1 Hari</v>
      </c>
      <c r="AC3309" s="18" t="n">
        <v>46090</v>
      </c>
      <c r="AD3309" s="18" t="n">
        <f aca="false">EDATE(AC3309,6)-1</f>
        <v>46273</v>
      </c>
      <c r="AE3309" s="13" t="s">
        <v>44</v>
      </c>
    </row>
    <row r="3310" customFormat="false" ht="15" hidden="false" customHeight="true" outlineLevel="0" collapsed="false">
      <c r="A3310" s="12" t="n">
        <v>21918</v>
      </c>
      <c r="B3310" s="13" t="s">
        <v>13680</v>
      </c>
      <c r="C3310" s="16" t="n">
        <v>46090</v>
      </c>
      <c r="D3310" s="13" t="s">
        <v>2332</v>
      </c>
      <c r="E3310" s="15" t="s">
        <v>47</v>
      </c>
      <c r="F3310" s="15" t="str">
        <f aca="false">IFERROR(__xludf.dummyfunction("XLOOKUP(AJ3310,IMPORTRANGE(""1XaInW9DU9nz21V0tYIfzFQ0He9kVQ_JF2mCXgZ3hqFA"",""REKAP ALL 2026 - Andika!G:G""),IMPORTRANGE(""1XaInW9DU9nz21V0tYIfzFQ0He9kVQ_JF2mCXgZ3hqFA"",""REKAP ALL 2026 - Andika!F:F""),"""",0)"),"26046412040")</f>
        <v>26046412040</v>
      </c>
      <c r="G3310" s="13" t="s">
        <v>57</v>
      </c>
      <c r="H3310" s="13" t="s">
        <v>35</v>
      </c>
      <c r="I3310" s="13" t="str">
        <f aca="false">IF(C3310=J3310,"NEW KONTRAK","RE-KONTRAK")</f>
        <v>NEW KONTRAK</v>
      </c>
      <c r="J3310" s="16" t="n">
        <f aca="false" t="array" ref="J3310:J3310">IFERROR(INDEX(AC3310:AE3310,IF(COUNTA(AC3310:AE3310)=0,"",MAX((AC3310:AE3310&lt;&gt;"")*(COLUMN(AC3310:AE3310)-(COLUMN(AC3310)))))-1),"")</f>
        <v>46090</v>
      </c>
      <c r="K3310" s="16" t="n">
        <f aca="false" t="array" ref="K3310:K3310">IFERROR(INDEX(AC3310:AE3310,IF(COUNTA(AC3310:AE3310)=0,"",MAX((AC3310:AE3310&lt;&gt;"")*(COLUMN(AC3310:AE3310)-(COLUMN(AC3310)-1))))-1),"")</f>
        <v>46181</v>
      </c>
      <c r="L3310" s="17" t="str">
        <f aca="false" t="array" ref="L3310:L3310">IFERROR(INDEX(AC3310:AE3310,IF(COUNTA(AC3310:AE3310)=0,"",MAX((AC3310:AE3310&lt;&gt;"")*(COLUMN(AC3310:AE3310)-(COLUMN(AC3310)-2))))-1),"")</f>
        <v>KEMBALI ONLINE</v>
      </c>
      <c r="M3310" s="13" t="n">
        <f aca="true">K3310-TODAY()</f>
        <v>-143</v>
      </c>
      <c r="N3310" s="18" t="s">
        <v>615</v>
      </c>
      <c r="O3310" s="13" t="s">
        <v>7338</v>
      </c>
      <c r="P3310" s="19" t="n">
        <v>5176101</v>
      </c>
      <c r="Q3310" s="47" t="s">
        <v>13681</v>
      </c>
      <c r="R3310" s="13" t="s">
        <v>826</v>
      </c>
      <c r="S3310" s="16" t="n">
        <v>36281</v>
      </c>
      <c r="T3310" s="28" t="s">
        <v>40</v>
      </c>
      <c r="U3310" s="13" t="s">
        <v>13682</v>
      </c>
      <c r="V3310" s="13" t="s">
        <v>42</v>
      </c>
      <c r="W3310" s="13" t="s">
        <v>43</v>
      </c>
      <c r="X3310" s="30" t="n">
        <v>81320387509</v>
      </c>
      <c r="Y3310" s="22" t="str">
        <f aca="false">O3310</f>
        <v>Drafter</v>
      </c>
      <c r="Z3310" s="13" t="str">
        <f aca="false">IFERROR(__xludf.dummyfunction("if(BJ3310="""","""",GOOGLETRANSLATE(BJ3310,""auto"",""en""))"),"Drafter")</f>
        <v>Drafter</v>
      </c>
      <c r="AA3310" s="23" t="str">
        <f aca="false">IF(C3310="","", CHOOSE(MONTH(C3310),"January","February","March","April","May","June","July","August","September","October","November","December")&amp;" "&amp;DAY(C3310)&amp;MID("thstndrdth",MIN(9,2*RIGHT(DAY(C3310))*(MOD(DAY(C3310)-11,100)&gt;2)+1),2)&amp;","&amp;TEXT(C3310," yyyy"))</f>
        <v>March 9th,2026</v>
      </c>
      <c r="AB3310" s="15" t="str">
        <f aca="true">IF(S3310="","",DATEDIF(S3310,TODAY(),"Y")&amp;" Tahun, "&amp;DATEDIF(S3310,TODAY(),"YM")&amp;" Bulan, "&amp;DATEDIF(S3310,TODAY(),"MD")&amp;" Hari")</f>
        <v>27 Tahun, 5 Bulan, 28 Hari</v>
      </c>
      <c r="AC3310" s="18" t="n">
        <v>46090</v>
      </c>
      <c r="AD3310" s="18" t="n">
        <v>46181</v>
      </c>
      <c r="AE3310" s="13" t="s">
        <v>2387</v>
      </c>
    </row>
    <row r="3311" customFormat="false" ht="15" hidden="false" customHeight="true" outlineLevel="0" collapsed="false">
      <c r="A3311" s="12" t="n">
        <v>21919</v>
      </c>
      <c r="B3311" s="13" t="s">
        <v>13683</v>
      </c>
      <c r="C3311" s="16" t="n">
        <v>46357</v>
      </c>
      <c r="D3311" s="13" t="s">
        <v>2046</v>
      </c>
      <c r="E3311" s="15" t="s">
        <v>789</v>
      </c>
      <c r="F3311" s="24" t="s">
        <v>13684</v>
      </c>
      <c r="G3311" s="13" t="s">
        <v>1127</v>
      </c>
      <c r="H3311" s="13" t="s">
        <v>35</v>
      </c>
      <c r="I3311" s="13" t="str">
        <f aca="false">IF(C3311=J3311,"NEW KONTRAK","RE-KONTRAK")</f>
        <v>NEW KONTRAK</v>
      </c>
      <c r="J3311" s="16" t="n">
        <f aca="false" t="array" ref="J3311:J3311">IFERROR(INDEX(AC3311:AE3311,IF(COUNTA(AC3311:AE3311)=0,"",MAX((AC3311:AE3311&lt;&gt;"")*(COLUMN(AC3311:AE3311)-(COLUMN(AC3311)))))-1),"")</f>
        <v>46357</v>
      </c>
      <c r="K3311" s="16" t="n">
        <f aca="false" t="array" ref="K3311:K3311">IFERROR(INDEX(AC3311:AE3311,IF(COUNTA(AC3311:AE3311)=0,"",MAX((AC3311:AE3311&lt;&gt;"")*(COLUMN(AC3311:AE3311)-(COLUMN(AC3311)-1))))-1),"")</f>
        <v>46082</v>
      </c>
      <c r="L3311" s="17" t="str">
        <f aca="false" t="array" ref="L3311:L3311">IFERROR(INDEX(AC3311:AE3311,IF(COUNTA(AC3311:AE3311)=0,"",MAX((AC3311:AE3311&lt;&gt;"")*(COLUMN(AC3311:AE3311)-(COLUMN(AC3311)-2))))-1),"")</f>
        <v>ARCHIVED</v>
      </c>
      <c r="M3311" s="13" t="n">
        <f aca="true">K3311-TODAY()</f>
        <v>-242</v>
      </c>
      <c r="N3311" s="18" t="s">
        <v>36</v>
      </c>
      <c r="O3311" s="13" t="s">
        <v>11521</v>
      </c>
      <c r="P3311" s="19" t="n">
        <v>215000</v>
      </c>
      <c r="Q3311" s="47" t="s">
        <v>13685</v>
      </c>
      <c r="R3311" s="13" t="s">
        <v>65</v>
      </c>
      <c r="S3311" s="16" t="n">
        <v>36513</v>
      </c>
      <c r="T3311" s="13" t="s">
        <v>40</v>
      </c>
      <c r="U3311" s="13" t="s">
        <v>5886</v>
      </c>
      <c r="V3311" s="13" t="s">
        <v>42</v>
      </c>
      <c r="W3311" s="13" t="s">
        <v>43</v>
      </c>
      <c r="X3311" s="21" t="n">
        <v>81357569662</v>
      </c>
      <c r="Y3311" s="22" t="str">
        <f aca="false">O3311</f>
        <v>Produksi Assembly</v>
      </c>
      <c r="Z3311" s="13" t="str">
        <f aca="false">IFERROR(__xludf.dummyfunction("if(BJ3311="""","""",GOOGLETRANSLATE(BJ3311,""auto"",""en""))"),"Assembly Production")</f>
        <v>Assembly Production</v>
      </c>
      <c r="AA3311" s="23" t="str">
        <f aca="false">IF(C3311="","", CHOOSE(MONTH(C3311),"January","February","March","April","May","June","July","August","September","October","November","December")&amp;" "&amp;DAY(C3311)&amp;MID("thstndrdth",MIN(9,2*RIGHT(DAY(C3311))*(MOD(DAY(C3311)-11,100)&gt;2)+1),2)&amp;","&amp;TEXT(C3311," yyyy"))</f>
        <v>December 1st,2026</v>
      </c>
      <c r="AB3311" s="15" t="str">
        <f aca="true">IF(S3311="","",DATEDIF(S3311,TODAY(),"Y")&amp;" Tahun, "&amp;DATEDIF(S3311,TODAY(),"YM")&amp;" Bulan, "&amp;DATEDIF(S3311,TODAY(),"MD")&amp;" Hari")</f>
        <v>26 Tahun, 10 Bulan, 10 Hari</v>
      </c>
      <c r="AC3311" s="18" t="n">
        <v>46357</v>
      </c>
      <c r="AD3311" s="18" t="n">
        <v>46082</v>
      </c>
      <c r="AE3311" s="13" t="s">
        <v>44</v>
      </c>
    </row>
    <row r="3312" customFormat="false" ht="15" hidden="false" customHeight="true" outlineLevel="0" collapsed="false">
      <c r="A3312" s="12" t="n">
        <v>21920</v>
      </c>
      <c r="B3312" s="13" t="s">
        <v>13686</v>
      </c>
      <c r="C3312" s="16" t="n">
        <v>46090</v>
      </c>
      <c r="D3312" s="13" t="s">
        <v>10735</v>
      </c>
      <c r="E3312" s="15" t="s">
        <v>102</v>
      </c>
      <c r="F3312" s="15" t="str">
        <f aca="false">IFERROR(__xludf.dummyfunction("XLOOKUP(AJ3312,IMPORTRANGE(""1XaInW9DU9nz21V0tYIfzFQ0He9kVQ_JF2mCXgZ3hqFA"",""REKAP ALL 2026 - Andika!G:G""),IMPORTRANGE(""1XaInW9DU9nz21V0tYIfzFQ0He9kVQ_JF2mCXgZ3hqFA"",""REKAP ALL 2026 - Andika!F:F""),"""",0)"),"26046412727")</f>
        <v>26046412727</v>
      </c>
      <c r="G3312" s="13" t="s">
        <v>1127</v>
      </c>
      <c r="H3312" s="13" t="s">
        <v>35</v>
      </c>
      <c r="I3312" s="13" t="str">
        <f aca="false">IF(C3312=J3312,"NEW KONTRAK","RE-KONTRAK")</f>
        <v>NEW KONTRAK</v>
      </c>
      <c r="J3312" s="16" t="n">
        <f aca="false" t="array" ref="J3312:J3312">IFERROR(INDEX(AC3312:AE3312,IF(COUNTA(AC3312:AE3312)=0,"",MAX((AC3312:AE3312&lt;&gt;"")*(COLUMN(AC3312:AE3312)-(COLUMN(AC3312)))))-1),"")</f>
        <v>46090</v>
      </c>
      <c r="K3312" s="16" t="n">
        <f aca="false" t="array" ref="K3312:K3312">IFERROR(INDEX(AC3312:AE3312,IF(COUNTA(AC3312:AE3312)=0,"",MAX((AC3312:AE3312&lt;&gt;"")*(COLUMN(AC3312:AE3312)-(COLUMN(AC3312)-1))))-1),"")</f>
        <v>46181</v>
      </c>
      <c r="L3312" s="17" t="str">
        <f aca="false" t="array" ref="L3312:L3312">IFERROR(INDEX(AC3312:AE3312,IF(COUNTA(AC3312:AE3312)=0,"",MAX((AC3312:AE3312&lt;&gt;"")*(COLUMN(AC3312:AE3312)-(COLUMN(AC3312)-2))))-1),"")</f>
        <v>ARCHIVED</v>
      </c>
      <c r="M3312" s="13" t="n">
        <f aca="true">K3312-TODAY()</f>
        <v>-143</v>
      </c>
      <c r="N3312" s="18" t="s">
        <v>4735</v>
      </c>
      <c r="O3312" s="13" t="s">
        <v>13687</v>
      </c>
      <c r="P3312" s="19" t="n">
        <v>2507693</v>
      </c>
      <c r="Q3312" s="47" t="s">
        <v>13688</v>
      </c>
      <c r="R3312" s="13" t="s">
        <v>83</v>
      </c>
      <c r="S3312" s="16" t="n">
        <v>32277</v>
      </c>
      <c r="T3312" s="13" t="s">
        <v>108</v>
      </c>
      <c r="U3312" s="13" t="s">
        <v>13689</v>
      </c>
      <c r="V3312" s="13" t="s">
        <v>42</v>
      </c>
      <c r="W3312" s="13" t="s">
        <v>54</v>
      </c>
      <c r="X3312" s="21" t="n">
        <v>85853081788</v>
      </c>
      <c r="Y3312" s="22" t="str">
        <f aca="false">O3312</f>
        <v>SALES PROMOTION GIRL (SPG)</v>
      </c>
      <c r="Z3312" s="13" t="str">
        <f aca="false">IFERROR(__xludf.dummyfunction("if(BJ3312="""","""",GOOGLETRANSLATE(BJ3312,""auto"",""en""))"),"SALES PROMOTION GIRL (SPG)")</f>
        <v>SALES PROMOTION GIRL (SPG)</v>
      </c>
      <c r="AA3312" s="23" t="str">
        <f aca="false">IF(C3312="","", CHOOSE(MONTH(C3312),"January","February","March","April","May","June","July","August","September","October","November","December")&amp;" "&amp;DAY(C3312)&amp;MID("thstndrdth",MIN(9,2*RIGHT(DAY(C3312))*(MOD(DAY(C3312)-11,100)&gt;2)+1),2)&amp;","&amp;TEXT(C3312," yyyy"))</f>
        <v>March 9th,2026</v>
      </c>
      <c r="AB3312" s="15" t="str">
        <f aca="true">IF(S3312="","",DATEDIF(S3312,TODAY(),"Y")&amp;" Tahun, "&amp;DATEDIF(S3312,TODAY(),"YM")&amp;" Bulan, "&amp;DATEDIF(S3312,TODAY(),"MD")&amp;" Hari")</f>
        <v>38 Tahun, 5 Bulan, 15 Hari</v>
      </c>
      <c r="AC3312" s="18" t="n">
        <v>46090</v>
      </c>
      <c r="AD3312" s="18" t="n">
        <f aca="false">EDATE(AC3312,3)-1</f>
        <v>46181</v>
      </c>
      <c r="AE3312" s="13" t="s">
        <v>44</v>
      </c>
    </row>
    <row r="3313" customFormat="false" ht="15" hidden="false" customHeight="true" outlineLevel="0" collapsed="false">
      <c r="A3313" s="12" t="n">
        <v>21921</v>
      </c>
      <c r="B3313" s="13" t="s">
        <v>13690</v>
      </c>
      <c r="C3313" s="16" t="n">
        <v>46056</v>
      </c>
      <c r="D3313" s="13" t="s">
        <v>9387</v>
      </c>
      <c r="E3313" s="15" t="s">
        <v>102</v>
      </c>
      <c r="F3313" s="15" t="str">
        <f aca="false">IFERROR(__xludf.dummyfunction("XLOOKUP(AJ3313,IMPORTRANGE(""1XaInW9DU9nz21V0tYIfzFQ0He9kVQ_JF2mCXgZ3hqFA"",""REKAP ALL 2026 - Andika!G:G""),IMPORTRANGE(""1XaInW9DU9nz21V0tYIfzFQ0He9kVQ_JF2mCXgZ3hqFA"",""REKAP ALL 2026 - Andika!F:F""),"""",0)"),"26044419971")</f>
        <v>26044419971</v>
      </c>
      <c r="G3313" s="13" t="s">
        <v>57</v>
      </c>
      <c r="H3313" s="13" t="s">
        <v>35</v>
      </c>
      <c r="I3313" s="13" t="str">
        <f aca="false">IF(C3313=J3313,"NEW KONTRAK","RE-KONTRAK")</f>
        <v>NEW KONTRAK</v>
      </c>
      <c r="J3313" s="16" t="n">
        <f aca="false" t="array" ref="J3313:J3313">IFERROR(INDEX(AC3313:AE3313,IF(COUNTA(AC3313:AE3313)=0,"",MAX((AC3313:AE3313&lt;&gt;"")*(COLUMN(AC3313:AE3313)-(COLUMN(AC3313)))))-1),"")</f>
        <v>46056</v>
      </c>
      <c r="K3313" s="16" t="n">
        <f aca="false" t="array" ref="K3313:K3313">IFERROR(INDEX(AC3313:AE3313,IF(COUNTA(AC3313:AE3313)=0,"",MAX((AC3313:AE3313&lt;&gt;"")*(COLUMN(AC3313:AE3313)-(COLUMN(AC3313)-1))))-1),"")</f>
        <v>46236</v>
      </c>
      <c r="L3313" s="17" t="str">
        <f aca="false" t="array" ref="L3313:L3313">IFERROR(INDEX(AC3313:AE3313,IF(COUNTA(AC3313:AE3313)=0,"",MAX((AC3313:AE3313&lt;&gt;"")*(COLUMN(AC3313:AE3313)-(COLUMN(AC3313)-2))))-1),"")</f>
        <v>ARCHIVED</v>
      </c>
      <c r="M3313" s="13" t="n">
        <f aca="true">K3313-TODAY()</f>
        <v>-88</v>
      </c>
      <c r="N3313" s="18" t="s">
        <v>615</v>
      </c>
      <c r="O3313" s="13" t="s">
        <v>9388</v>
      </c>
      <c r="P3313" s="27" t="n">
        <v>5176101</v>
      </c>
      <c r="Q3313" s="47" t="s">
        <v>13691</v>
      </c>
      <c r="R3313" s="13" t="s">
        <v>232</v>
      </c>
      <c r="S3313" s="16" t="n">
        <v>30137</v>
      </c>
      <c r="T3313" s="13" t="s">
        <v>40</v>
      </c>
      <c r="U3313" s="13" t="s">
        <v>13692</v>
      </c>
      <c r="V3313" s="13" t="s">
        <v>42</v>
      </c>
      <c r="W3313" s="13" t="s">
        <v>54</v>
      </c>
      <c r="X3313" s="30" t="n">
        <v>83170088600</v>
      </c>
      <c r="Y3313" s="22" t="str">
        <f aca="false">O3313</f>
        <v>Tenaga Kerja Bongkar Muat (TKBM)</v>
      </c>
      <c r="Z3313" s="13" t="str">
        <f aca="false">IFERROR(__xludf.dummyfunction("if(BJ3313="""","""",GOOGLETRANSLATE(BJ3313,""auto"",""en""))"),"Loading and Unloading Workers (TKBM)")</f>
        <v>Loading and Unloading Workers (TKBM)</v>
      </c>
      <c r="AA3313" s="23" t="str">
        <f aca="false">IF(C3313="","", CHOOSE(MONTH(C3313),"January","February","March","April","May","June","July","August","September","October","November","December")&amp;" "&amp;DAY(C3313)&amp;MID("thstndrdth",MIN(9,2*RIGHT(DAY(C3313))*(MOD(DAY(C3313)-11,100)&gt;2)+1),2)&amp;","&amp;TEXT(C3313," yyyy"))</f>
        <v>February 3rd,2026</v>
      </c>
      <c r="AB3313" s="15" t="str">
        <f aca="true">IF(S3313="","",DATEDIF(S3313,TODAY(),"Y")&amp;" Tahun, "&amp;DATEDIF(S3313,TODAY(),"YM")&amp;" Bulan, "&amp;DATEDIF(S3313,TODAY(),"MD")&amp;" Hari")</f>
        <v>44 Tahun, 3 Bulan, 24 Hari</v>
      </c>
      <c r="AC3313" s="18" t="n">
        <v>46056</v>
      </c>
      <c r="AD3313" s="18" t="n">
        <f aca="false">EDATE(AC3313,6)-1</f>
        <v>46236</v>
      </c>
      <c r="AE3313" s="13" t="s">
        <v>44</v>
      </c>
    </row>
    <row r="3314" customFormat="false" ht="15" hidden="false" customHeight="true" outlineLevel="0" collapsed="false">
      <c r="A3314" s="12" t="n">
        <v>21922</v>
      </c>
      <c r="B3314" s="13" t="s">
        <v>13693</v>
      </c>
      <c r="C3314" s="16" t="n">
        <v>46041</v>
      </c>
      <c r="D3314" s="13" t="s">
        <v>144</v>
      </c>
      <c r="E3314" s="15" t="s">
        <v>789</v>
      </c>
      <c r="F3314" s="15" t="str">
        <f aca="false">IFERROR(__xludf.dummyfunction("XLOOKUP(AJ3314,IMPORTRANGE(""1XaInW9DU9nz21V0tYIfzFQ0He9kVQ_JF2mCXgZ3hqFA"",""REKAP ALL 2026 - Andika!G:G""),IMPORTRANGE(""1XaInW9DU9nz21V0tYIfzFQ0He9kVQ_JF2mCXgZ3hqFA"",""REKAP ALL 2026 - Andika!F:F""),"""",0)"),"26046413212")</f>
        <v>26046413212</v>
      </c>
      <c r="G3314" s="13" t="s">
        <v>1127</v>
      </c>
      <c r="H3314" s="13" t="s">
        <v>35</v>
      </c>
      <c r="I3314" s="13" t="str">
        <f aca="false">IF(C3314=J3314,"NEW KONTRAK","RE-KONTRAK")</f>
        <v>NEW KONTRAK</v>
      </c>
      <c r="J3314" s="16" t="n">
        <f aca="false" t="array" ref="J3314:J3314">IFERROR(INDEX(AC3314:AE3314,IF(COUNTA(AC3314:AE3314)=0,"",MAX((AC3314:AE3314&lt;&gt;"")*(COLUMN(AC3314:AE3314)-(COLUMN(AC3314)))))-1),"")</f>
        <v>46041</v>
      </c>
      <c r="K3314" s="16" t="n">
        <f aca="false" t="array" ref="K3314:K3314">IFERROR(INDEX(AC3314:AE3314,IF(COUNTA(AC3314:AE3314)=0,"",MAX((AC3314:AE3314&lt;&gt;"")*(COLUMN(AC3314:AE3314)-(COLUMN(AC3314)-1))))-1),"")</f>
        <v>46265</v>
      </c>
      <c r="L3314" s="17" t="str">
        <f aca="false" t="array" ref="L3314:L3314">IFERROR(INDEX(AC3314:AE3314,IF(COUNTA(AC3314:AE3314)=0,"",MAX((AC3314:AE3314&lt;&gt;"")*(COLUMN(AC3314:AE3314)-(COLUMN(AC3314)-2))))-1),"")</f>
        <v>ARCHIVED</v>
      </c>
      <c r="M3314" s="13" t="n">
        <f aca="true">K3314-TODAY()</f>
        <v>-59</v>
      </c>
      <c r="N3314" s="18" t="s">
        <v>36</v>
      </c>
      <c r="O3314" s="13" t="s">
        <v>211</v>
      </c>
      <c r="P3314" s="19" t="n">
        <v>5195401</v>
      </c>
      <c r="Q3314" s="47" t="s">
        <v>13694</v>
      </c>
      <c r="R3314" s="13" t="s">
        <v>52</v>
      </c>
      <c r="S3314" s="16" t="n">
        <v>33920</v>
      </c>
      <c r="T3314" s="28" t="s">
        <v>40</v>
      </c>
      <c r="U3314" s="13" t="s">
        <v>13695</v>
      </c>
      <c r="V3314" s="13" t="s">
        <v>42</v>
      </c>
      <c r="W3314" s="13" t="s">
        <v>43</v>
      </c>
      <c r="X3314" s="30" t="n">
        <v>87748408621</v>
      </c>
      <c r="Y3314" s="22" t="str">
        <f aca="false">O3314</f>
        <v>FG Store</v>
      </c>
      <c r="Z3314" s="13" t="str">
        <f aca="false">IFERROR(__xludf.dummyfunction("if(BJ3314="""","""",GOOGLETRANSLATE(BJ3314,""auto"",""en""))"),"FG Store")</f>
        <v>FG Store</v>
      </c>
      <c r="AA3314" s="23" t="str">
        <f aca="false">IF(C3314="","", CHOOSE(MONTH(C3314),"January","February","March","April","May","June","July","August","September","October","November","December")&amp;" "&amp;DAY(C3314)&amp;MID("thstndrdth",MIN(9,2*RIGHT(DAY(C3314))*(MOD(DAY(C3314)-11,100)&gt;2)+1),2)&amp;","&amp;TEXT(C3314," yyyy"))</f>
        <v>January 19th,2026</v>
      </c>
      <c r="AB3314" s="15" t="str">
        <f aca="true">IF(S3314="","",DATEDIF(S3314,TODAY(),"Y")&amp;" Tahun, "&amp;DATEDIF(S3314,TODAY(),"YM")&amp;" Bulan, "&amp;DATEDIF(S3314,TODAY(),"MD")&amp;" Hari")</f>
        <v>33 Tahun, 11 Bulan, 17 Hari</v>
      </c>
      <c r="AC3314" s="18" t="n">
        <v>46041</v>
      </c>
      <c r="AD3314" s="18" t="n">
        <v>46265</v>
      </c>
      <c r="AE3314" s="13" t="s">
        <v>44</v>
      </c>
    </row>
    <row r="3315" customFormat="false" ht="15" hidden="false" customHeight="true" outlineLevel="0" collapsed="false">
      <c r="A3315" s="12" t="n">
        <v>21923</v>
      </c>
      <c r="B3315" s="13" t="s">
        <v>13696</v>
      </c>
      <c r="C3315" s="16" t="n">
        <v>46041</v>
      </c>
      <c r="D3315" s="13" t="s">
        <v>144</v>
      </c>
      <c r="E3315" s="15" t="s">
        <v>789</v>
      </c>
      <c r="F3315" s="15" t="str">
        <f aca="false">IFERROR(__xludf.dummyfunction("XLOOKUP(AJ3315,IMPORTRANGE(""1XaInW9DU9nz21V0tYIfzFQ0He9kVQ_JF2mCXgZ3hqFA"",""REKAP ALL 2026 - Andika!G:G""),IMPORTRANGE(""1XaInW9DU9nz21V0tYIfzFQ0He9kVQ_JF2mCXgZ3hqFA"",""REKAP ALL 2026 - Andika!F:F""),"""",0)"),"26046413220")</f>
        <v>26046413220</v>
      </c>
      <c r="G3315" s="13" t="s">
        <v>1127</v>
      </c>
      <c r="H3315" s="13" t="s">
        <v>35</v>
      </c>
      <c r="I3315" s="13" t="str">
        <f aca="false">IF(C3315=J3315,"NEW KONTRAK","RE-KONTRAK")</f>
        <v>NEW KONTRAK</v>
      </c>
      <c r="J3315" s="16" t="n">
        <f aca="false" t="array" ref="J3315:J3315">IFERROR(INDEX(AC3315:AE3315,IF(COUNTA(AC3315:AE3315)=0,"",MAX((AC3315:AE3315&lt;&gt;"")*(COLUMN(AC3315:AE3315)-(COLUMN(AC3315)))))-1),"")</f>
        <v>46041</v>
      </c>
      <c r="K3315" s="16" t="n">
        <f aca="false" t="array" ref="K3315:K3315">IFERROR(INDEX(AC3315:AE3315,IF(COUNTA(AC3315:AE3315)=0,"",MAX((AC3315:AE3315&lt;&gt;"")*(COLUMN(AC3315:AE3315)-(COLUMN(AC3315)-1))))-1),"")</f>
        <v>46265</v>
      </c>
      <c r="L3315" s="17" t="str">
        <f aca="false" t="array" ref="L3315:L3315">IFERROR(INDEX(AC3315:AE3315,IF(COUNTA(AC3315:AE3315)=0,"",MAX((AC3315:AE3315&lt;&gt;"")*(COLUMN(AC3315:AE3315)-(COLUMN(AC3315)-2))))-1),"")</f>
        <v>ARCHIVED</v>
      </c>
      <c r="M3315" s="13" t="n">
        <f aca="true">K3315-TODAY()</f>
        <v>-59</v>
      </c>
      <c r="N3315" s="18" t="s">
        <v>36</v>
      </c>
      <c r="O3315" s="13" t="s">
        <v>211</v>
      </c>
      <c r="P3315" s="19" t="n">
        <v>5195401</v>
      </c>
      <c r="Q3315" s="47" t="s">
        <v>13697</v>
      </c>
      <c r="R3315" s="13" t="s">
        <v>65</v>
      </c>
      <c r="S3315" s="16" t="n">
        <v>36017</v>
      </c>
      <c r="T3315" s="28" t="s">
        <v>40</v>
      </c>
      <c r="U3315" s="13" t="s">
        <v>13698</v>
      </c>
      <c r="V3315" s="13" t="s">
        <v>42</v>
      </c>
      <c r="W3315" s="13" t="s">
        <v>43</v>
      </c>
      <c r="X3315" s="30" t="n">
        <v>82182339845</v>
      </c>
      <c r="Y3315" s="22" t="str">
        <f aca="false">O3315</f>
        <v>FG Store</v>
      </c>
      <c r="Z3315" s="13" t="str">
        <f aca="false">IFERROR(__xludf.dummyfunction("if(BJ3315="""","""",GOOGLETRANSLATE(BJ3315,""auto"",""en""))"),"FG Store")</f>
        <v>FG Store</v>
      </c>
      <c r="AA3315" s="23" t="str">
        <f aca="false">IF(C3315="","", CHOOSE(MONTH(C3315),"January","February","March","April","May","June","July","August","September","October","November","December")&amp;" "&amp;DAY(C3315)&amp;MID("thstndrdth",MIN(9,2*RIGHT(DAY(C3315))*(MOD(DAY(C3315)-11,100)&gt;2)+1),2)&amp;","&amp;TEXT(C3315," yyyy"))</f>
        <v>January 19th,2026</v>
      </c>
      <c r="AB3315" s="15" t="str">
        <f aca="true">IF(S3315="","",DATEDIF(S3315,TODAY(),"Y")&amp;" Tahun, "&amp;DATEDIF(S3315,TODAY(),"YM")&amp;" Bulan, "&amp;DATEDIF(S3315,TODAY(),"MD")&amp;" Hari")</f>
        <v>28 Tahun, 2 Bulan, 19 Hari</v>
      </c>
      <c r="AC3315" s="18" t="n">
        <v>46041</v>
      </c>
      <c r="AD3315" s="18" t="n">
        <v>46265</v>
      </c>
      <c r="AE3315" s="13" t="s">
        <v>44</v>
      </c>
    </row>
    <row r="3316" customFormat="false" ht="15" hidden="false" customHeight="true" outlineLevel="0" collapsed="false">
      <c r="A3316" s="12" t="n">
        <v>21924</v>
      </c>
      <c r="B3316" s="13" t="s">
        <v>13699</v>
      </c>
      <c r="C3316" s="16" t="n">
        <v>46057</v>
      </c>
      <c r="D3316" s="13" t="s">
        <v>144</v>
      </c>
      <c r="E3316" s="15" t="s">
        <v>47</v>
      </c>
      <c r="F3316" s="15" t="str">
        <f aca="false">IFERROR(__xludf.dummyfunction("XLOOKUP(AJ3316,IMPORTRANGE(""1XaInW9DU9nz21V0tYIfzFQ0He9kVQ_JF2mCXgZ3hqFA"",""REKAP ALL 2026 - Andika!G:G""),IMPORTRANGE(""1XaInW9DU9nz21V0tYIfzFQ0He9kVQ_JF2mCXgZ3hqFA"",""REKAP ALL 2026 - Andika!F:F""),"""",0)"),"21022886499")</f>
        <v>21022886499</v>
      </c>
      <c r="G3316" s="13" t="s">
        <v>1127</v>
      </c>
      <c r="H3316" s="13" t="s">
        <v>35</v>
      </c>
      <c r="I3316" s="13" t="str">
        <f aca="false">IF(C3316=J3316,"NEW KONTRAK","RE-KONTRAK")</f>
        <v>NEW KONTRAK</v>
      </c>
      <c r="J3316" s="16" t="n">
        <f aca="false" t="array" ref="J3316:J3316">IFERROR(INDEX(AC3316:AE3316,IF(COUNTA(AC3316:AE3316)=0,"",MAX((AC3316:AE3316&lt;&gt;"")*(COLUMN(AC3316:AE3316)-(COLUMN(AC3316)))))-1),"")</f>
        <v>46057</v>
      </c>
      <c r="K3316" s="16" t="n">
        <f aca="false" t="array" ref="K3316:K3316">IFERROR(INDEX(AC3316:AE3316,IF(COUNTA(AC3316:AE3316)=0,"",MAX((AC3316:AE3316&lt;&gt;"")*(COLUMN(AC3316:AE3316)-(COLUMN(AC3316)-1))))-1),"")</f>
        <v>46265</v>
      </c>
      <c r="L3316" s="17" t="str">
        <f aca="false" t="array" ref="L3316:L3316">IFERROR(INDEX(AC3316:AE3316,IF(COUNTA(AC3316:AE3316)=0,"",MAX((AC3316:AE3316&lt;&gt;"")*(COLUMN(AC3316:AE3316)-(COLUMN(AC3316)-2))))-1),"")</f>
        <v>ARCHIVED</v>
      </c>
      <c r="M3316" s="13" t="n">
        <f aca="true">K3316-TODAY()</f>
        <v>-59</v>
      </c>
      <c r="N3316" s="18" t="s">
        <v>36</v>
      </c>
      <c r="O3316" s="13" t="s">
        <v>12083</v>
      </c>
      <c r="P3316" s="19" t="n">
        <v>5195401</v>
      </c>
      <c r="Q3316" s="47" t="s">
        <v>13700</v>
      </c>
      <c r="R3316" s="13" t="s">
        <v>52</v>
      </c>
      <c r="S3316" s="16" t="n">
        <v>30154</v>
      </c>
      <c r="T3316" s="28" t="s">
        <v>40</v>
      </c>
      <c r="U3316" s="13" t="s">
        <v>13701</v>
      </c>
      <c r="V3316" s="13" t="s">
        <v>42</v>
      </c>
      <c r="W3316" s="13" t="s">
        <v>54</v>
      </c>
      <c r="X3316" s="30" t="n">
        <v>85361567933</v>
      </c>
      <c r="Y3316" s="22" t="str">
        <f aca="false">O3316</f>
        <v>Operator Reacktruck</v>
      </c>
      <c r="Z3316" s="13" t="str">
        <f aca="false">IFERROR(__xludf.dummyfunction("if(BJ3316="""","""",GOOGLETRANSLATE(BJ3316,""auto"",""en""))"),"Operator Reacktruck")</f>
        <v>Operator Reacktruck</v>
      </c>
      <c r="AA3316" s="23" t="str">
        <f aca="false">IF(C3316="","", CHOOSE(MONTH(C3316),"January","February","March","April","May","June","July","August","September","October","November","December")&amp;" "&amp;DAY(C3316)&amp;MID("thstndrdth",MIN(9,2*RIGHT(DAY(C3316))*(MOD(DAY(C3316)-11,100)&gt;2)+1),2)&amp;","&amp;TEXT(C3316," yyyy"))</f>
        <v>February 4th,2026</v>
      </c>
      <c r="AB3316" s="15" t="str">
        <f aca="true">IF(S3316="","",DATEDIF(S3316,TODAY(),"Y")&amp;" Tahun, "&amp;DATEDIF(S3316,TODAY(),"YM")&amp;" Bulan, "&amp;DATEDIF(S3316,TODAY(),"MD")&amp;" Hari")</f>
        <v>44 Tahun, 3 Bulan, 7 Hari</v>
      </c>
      <c r="AC3316" s="18" t="n">
        <v>46057</v>
      </c>
      <c r="AD3316" s="18" t="n">
        <v>46265</v>
      </c>
      <c r="AE3316" s="13" t="s">
        <v>44</v>
      </c>
    </row>
    <row r="3317" customFormat="false" ht="15" hidden="false" customHeight="true" outlineLevel="0" collapsed="false">
      <c r="A3317" s="12" t="n">
        <v>21925</v>
      </c>
      <c r="B3317" s="13" t="s">
        <v>13702</v>
      </c>
      <c r="C3317" s="16" t="n">
        <v>46065</v>
      </c>
      <c r="D3317" s="13" t="s">
        <v>144</v>
      </c>
      <c r="E3317" s="15" t="s">
        <v>102</v>
      </c>
      <c r="F3317" s="15" t="str">
        <f aca="false">IFERROR(__xludf.dummyfunction("XLOOKUP(AJ3317,IMPORTRANGE(""1XaInW9DU9nz21V0tYIfzFQ0He9kVQ_JF2mCXgZ3hqFA"",""REKAP ALL 2026 - Andika!G:G""),IMPORTRANGE(""1XaInW9DU9nz21V0tYIfzFQ0He9kVQ_JF2mCXgZ3hqFA"",""REKAP ALL 2026 - Andika!F:F""),"""",0)"),"26046413477")</f>
        <v>26046413477</v>
      </c>
      <c r="G3317" s="13" t="s">
        <v>1127</v>
      </c>
      <c r="H3317" s="13" t="s">
        <v>35</v>
      </c>
      <c r="I3317" s="13" t="str">
        <f aca="false">IF(C3317=J3317,"NEW KONTRAK","RE-KONTRAK")</f>
        <v>NEW KONTRAK</v>
      </c>
      <c r="J3317" s="16" t="n">
        <f aca="false" t="array" ref="J3317:J3317">IFERROR(INDEX(AC3317:AE3317,IF(COUNTA(AC3317:AE3317)=0,"",MAX((AC3317:AE3317&lt;&gt;"")*(COLUMN(AC3317:AE3317)-(COLUMN(AC3317)))))-1),"")</f>
        <v>46065</v>
      </c>
      <c r="K3317" s="16" t="n">
        <f aca="false" t="array" ref="K3317:K3317">IFERROR(INDEX(AC3317:AE3317,IF(COUNTA(AC3317:AE3317)=0,"",MAX((AC3317:AE3317&lt;&gt;"")*(COLUMN(AC3317:AE3317)-(COLUMN(AC3317)-1))))-1),"")</f>
        <v>46265</v>
      </c>
      <c r="L3317" s="17" t="str">
        <f aca="false" t="array" ref="L3317:L3317">IFERROR(INDEX(AC3317:AE3317,IF(COUNTA(AC3317:AE3317)=0,"",MAX((AC3317:AE3317&lt;&gt;"")*(COLUMN(AC3317:AE3317)-(COLUMN(AC3317)-2))))-1),"")</f>
        <v>ARCHIVED</v>
      </c>
      <c r="M3317" s="13" t="n">
        <f aca="true">K3317-TODAY()</f>
        <v>-59</v>
      </c>
      <c r="N3317" s="18" t="s">
        <v>36</v>
      </c>
      <c r="O3317" s="13" t="s">
        <v>12083</v>
      </c>
      <c r="P3317" s="19" t="n">
        <v>5195401</v>
      </c>
      <c r="Q3317" s="47" t="s">
        <v>13703</v>
      </c>
      <c r="R3317" s="13" t="s">
        <v>227</v>
      </c>
      <c r="S3317" s="16" t="n">
        <v>31234</v>
      </c>
      <c r="T3317" s="28" t="s">
        <v>40</v>
      </c>
      <c r="U3317" s="13" t="s">
        <v>13704</v>
      </c>
      <c r="V3317" s="13" t="s">
        <v>42</v>
      </c>
      <c r="W3317" s="13" t="s">
        <v>54</v>
      </c>
      <c r="X3317" s="30" t="n">
        <v>85710166687</v>
      </c>
      <c r="Y3317" s="22" t="str">
        <f aca="false">O3317</f>
        <v>Operator Reacktruck</v>
      </c>
      <c r="Z3317" s="13" t="str">
        <f aca="false">IFERROR(__xludf.dummyfunction("if(BJ3317="""","""",GOOGLETRANSLATE(BJ3317,""auto"",""en""))"),"Operator Reacktruck")</f>
        <v>Operator Reacktruck</v>
      </c>
      <c r="AA3317" s="23" t="str">
        <f aca="false">IF(C3317="","", CHOOSE(MONTH(C3317),"January","February","March","April","May","June","July","August","September","October","November","December")&amp;" "&amp;DAY(C3317)&amp;MID("thstndrdth",MIN(9,2*RIGHT(DAY(C3317))*(MOD(DAY(C3317)-11,100)&gt;2)+1),2)&amp;","&amp;TEXT(C3317," yyyy"))</f>
        <v>February 12th,2026</v>
      </c>
      <c r="AB3317" s="15" t="str">
        <f aca="true">IF(S3317="","",DATEDIF(S3317,TODAY(),"Y")&amp;" Tahun, "&amp;DATEDIF(S3317,TODAY(),"YM")&amp;" Bulan, "&amp;DATEDIF(S3317,TODAY(),"MD")&amp;" Hari")</f>
        <v>41 Tahun, 3 Bulan, 23 Hari</v>
      </c>
      <c r="AC3317" s="18" t="n">
        <v>46065</v>
      </c>
      <c r="AD3317" s="18" t="n">
        <v>46265</v>
      </c>
      <c r="AE3317" s="13" t="s">
        <v>44</v>
      </c>
    </row>
    <row r="3318" customFormat="false" ht="15" hidden="false" customHeight="true" outlineLevel="0" collapsed="false">
      <c r="A3318" s="12" t="n">
        <v>21926</v>
      </c>
      <c r="B3318" s="13" t="s">
        <v>13705</v>
      </c>
      <c r="C3318" s="16" t="n">
        <v>46065</v>
      </c>
      <c r="D3318" s="13" t="s">
        <v>144</v>
      </c>
      <c r="E3318" s="15" t="s">
        <v>102</v>
      </c>
      <c r="F3318" s="15" t="str">
        <f aca="false">IFERROR(__xludf.dummyfunction("XLOOKUP(AJ3318,IMPORTRANGE(""1XaInW9DU9nz21V0tYIfzFQ0He9kVQ_JF2mCXgZ3hqFA"",""REKAP ALL 2026 - Andika!G:G""),IMPORTRANGE(""1XaInW9DU9nz21V0tYIfzFQ0He9kVQ_JF2mCXgZ3hqFA"",""REKAP ALL 2026 - Andika!F:F""),"""",0)"),"26046413485")</f>
        <v>26046413485</v>
      </c>
      <c r="G3318" s="13" t="s">
        <v>1127</v>
      </c>
      <c r="H3318" s="13" t="s">
        <v>35</v>
      </c>
      <c r="I3318" s="13" t="str">
        <f aca="false">IF(C3318=J3318,"NEW KONTRAK","RE-KONTRAK")</f>
        <v>NEW KONTRAK</v>
      </c>
      <c r="J3318" s="16" t="n">
        <f aca="false" t="array" ref="J3318:J3318">IFERROR(INDEX(AC3318:AE3318,IF(COUNTA(AC3318:AE3318)=0,"",MAX((AC3318:AE3318&lt;&gt;"")*(COLUMN(AC3318:AE3318)-(COLUMN(AC3318)))))-1),"")</f>
        <v>46065</v>
      </c>
      <c r="K3318" s="16" t="n">
        <f aca="false" t="array" ref="K3318:K3318">IFERROR(INDEX(AC3318:AE3318,IF(COUNTA(AC3318:AE3318)=0,"",MAX((AC3318:AE3318&lt;&gt;"")*(COLUMN(AC3318:AE3318)-(COLUMN(AC3318)-1))))-1),"")</f>
        <v>46265</v>
      </c>
      <c r="L3318" s="17" t="str">
        <f aca="false" t="array" ref="L3318:L3318">IFERROR(INDEX(AC3318:AE3318,IF(COUNTA(AC3318:AE3318)=0,"",MAX((AC3318:AE3318&lt;&gt;"")*(COLUMN(AC3318:AE3318)-(COLUMN(AC3318)-2))))-1),"")</f>
        <v>ARCHIVED</v>
      </c>
      <c r="M3318" s="13" t="n">
        <f aca="true">K3318-TODAY()</f>
        <v>-59</v>
      </c>
      <c r="N3318" s="18" t="s">
        <v>36</v>
      </c>
      <c r="O3318" s="13" t="s">
        <v>211</v>
      </c>
      <c r="P3318" s="19" t="n">
        <v>5195401</v>
      </c>
      <c r="Q3318" s="47" t="s">
        <v>13706</v>
      </c>
      <c r="R3318" s="13" t="s">
        <v>246</v>
      </c>
      <c r="S3318" s="16" t="n">
        <v>36838</v>
      </c>
      <c r="T3318" s="28" t="s">
        <v>40</v>
      </c>
      <c r="U3318" s="13" t="s">
        <v>13707</v>
      </c>
      <c r="V3318" s="13" t="s">
        <v>42</v>
      </c>
      <c r="W3318" s="13" t="s">
        <v>43</v>
      </c>
      <c r="X3318" s="30" t="n">
        <v>81202176591</v>
      </c>
      <c r="Y3318" s="22" t="str">
        <f aca="false">O3318</f>
        <v>FG Store</v>
      </c>
      <c r="Z3318" s="13" t="str">
        <f aca="false">IFERROR(__xludf.dummyfunction("if(BJ3318="""","""",GOOGLETRANSLATE(BJ3318,""auto"",""en""))"),"FG Store")</f>
        <v>FG Store</v>
      </c>
      <c r="AA3318" s="23" t="str">
        <f aca="false">IF(C3318="","", CHOOSE(MONTH(C3318),"January","February","March","April","May","June","July","August","September","October","November","December")&amp;" "&amp;DAY(C3318)&amp;MID("thstndrdth",MIN(9,2*RIGHT(DAY(C3318))*(MOD(DAY(C3318)-11,100)&gt;2)+1),2)&amp;","&amp;TEXT(C3318," yyyy"))</f>
        <v>February 12th,2026</v>
      </c>
      <c r="AB3318" s="15" t="str">
        <f aca="true">IF(S3318="","",DATEDIF(S3318,TODAY(),"Y")&amp;" Tahun, "&amp;DATEDIF(S3318,TODAY(),"YM")&amp;" Bulan, "&amp;DATEDIF(S3318,TODAY(),"MD")&amp;" Hari")</f>
        <v>25 Tahun, 11 Bulan, 21 Hari</v>
      </c>
      <c r="AC3318" s="18" t="n">
        <v>46065</v>
      </c>
      <c r="AD3318" s="18" t="n">
        <v>46265</v>
      </c>
      <c r="AE3318" s="13" t="s">
        <v>44</v>
      </c>
    </row>
    <row r="3319" customFormat="false" ht="15" hidden="false" customHeight="true" outlineLevel="0" collapsed="false">
      <c r="A3319" s="12" t="n">
        <v>21927</v>
      </c>
      <c r="B3319" s="13" t="s">
        <v>13708</v>
      </c>
      <c r="C3319" s="16" t="n">
        <v>46059</v>
      </c>
      <c r="D3319" s="13" t="s">
        <v>144</v>
      </c>
      <c r="E3319" s="15" t="s">
        <v>47</v>
      </c>
      <c r="F3319" s="15" t="str">
        <f aca="false">IFERROR(__xludf.dummyfunction("XLOOKUP(AJ3319,IMPORTRANGE(""1XaInW9DU9nz21V0tYIfzFQ0He9kVQ_JF2mCXgZ3hqFA"",""REKAP ALL 2026 - Andika!G:G""),IMPORTRANGE(""1XaInW9DU9nz21V0tYIfzFQ0He9kVQ_JF2mCXgZ3hqFA"",""REKAP ALL 2026 - Andika!F:F""),"""",0)"),"26046413386")</f>
        <v>26046413386</v>
      </c>
      <c r="G3319" s="13" t="s">
        <v>1127</v>
      </c>
      <c r="H3319" s="13" t="s">
        <v>35</v>
      </c>
      <c r="I3319" s="13" t="str">
        <f aca="false">IF(C3319=J3319,"NEW KONTRAK","RE-KONTRAK")</f>
        <v>NEW KONTRAK</v>
      </c>
      <c r="J3319" s="16" t="n">
        <f aca="false" t="array" ref="J3319:J3319">IFERROR(INDEX(AC3319:AE3319,IF(COUNTA(AC3319:AE3319)=0,"",MAX((AC3319:AE3319&lt;&gt;"")*(COLUMN(AC3319:AE3319)-(COLUMN(AC3319)))))-1),"")</f>
        <v>46059</v>
      </c>
      <c r="K3319" s="16" t="n">
        <f aca="false" t="array" ref="K3319:K3319">IFERROR(INDEX(AC3319:AE3319,IF(COUNTA(AC3319:AE3319)=0,"",MAX((AC3319:AE3319&lt;&gt;"")*(COLUMN(AC3319:AE3319)-(COLUMN(AC3319)-1))))-1),"")</f>
        <v>46265</v>
      </c>
      <c r="L3319" s="17" t="str">
        <f aca="false" t="array" ref="L3319:L3319">IFERROR(INDEX(AC3319:AE3319,IF(COUNTA(AC3319:AE3319)=0,"",MAX((AC3319:AE3319&lt;&gt;"")*(COLUMN(AC3319:AE3319)-(COLUMN(AC3319)-2))))-1),"")</f>
        <v>ARCHIVED</v>
      </c>
      <c r="M3319" s="13" t="n">
        <f aca="true">K3319-TODAY()</f>
        <v>-59</v>
      </c>
      <c r="N3319" s="18" t="s">
        <v>36</v>
      </c>
      <c r="O3319" s="13" t="s">
        <v>156</v>
      </c>
      <c r="P3319" s="19" t="n">
        <v>5195401</v>
      </c>
      <c r="Q3319" s="47" t="s">
        <v>13709</v>
      </c>
      <c r="R3319" s="13" t="s">
        <v>826</v>
      </c>
      <c r="S3319" s="16" t="n">
        <v>36242</v>
      </c>
      <c r="T3319" s="28" t="s">
        <v>40</v>
      </c>
      <c r="U3319" s="13" t="s">
        <v>13710</v>
      </c>
      <c r="V3319" s="13" t="s">
        <v>42</v>
      </c>
      <c r="W3319" s="13" t="s">
        <v>43</v>
      </c>
      <c r="X3319" s="30" t="n">
        <v>87703397401</v>
      </c>
      <c r="Y3319" s="22" t="str">
        <f aca="false">O3319</f>
        <v>Emulsion</v>
      </c>
      <c r="Z3319" s="13" t="str">
        <f aca="false">IFERROR(__xludf.dummyfunction("if(BJ3319="""","""",GOOGLETRANSLATE(BJ3319,""auto"",""en""))"),"Emulsion")</f>
        <v>Emulsion</v>
      </c>
      <c r="AA3319" s="23" t="str">
        <f aca="false">IF(C3319="","", CHOOSE(MONTH(C3319),"January","February","March","April","May","June","July","August","September","October","November","December")&amp;" "&amp;DAY(C3319)&amp;MID("thstndrdth",MIN(9,2*RIGHT(DAY(C3319))*(MOD(DAY(C3319)-11,100)&gt;2)+1),2)&amp;","&amp;TEXT(C3319," yyyy"))</f>
        <v>February 6th,2026</v>
      </c>
      <c r="AB3319" s="15" t="str">
        <f aca="true">IF(S3319="","",DATEDIF(S3319,TODAY(),"Y")&amp;" Tahun, "&amp;DATEDIF(S3319,TODAY(),"YM")&amp;" Bulan, "&amp;DATEDIF(S3319,TODAY(),"MD")&amp;" Hari")</f>
        <v>27 Tahun, 7 Bulan, 6 Hari</v>
      </c>
      <c r="AC3319" s="18" t="n">
        <v>46059</v>
      </c>
      <c r="AD3319" s="18" t="n">
        <v>46265</v>
      </c>
      <c r="AE3319" s="13" t="s">
        <v>44</v>
      </c>
    </row>
    <row r="3320" customFormat="false" ht="15" hidden="false" customHeight="true" outlineLevel="0" collapsed="false">
      <c r="A3320" s="12" t="n">
        <v>21928</v>
      </c>
      <c r="B3320" s="13" t="s">
        <v>13711</v>
      </c>
      <c r="C3320" s="16" t="n">
        <v>46062</v>
      </c>
      <c r="D3320" s="13" t="s">
        <v>144</v>
      </c>
      <c r="E3320" s="15" t="s">
        <v>47</v>
      </c>
      <c r="F3320" s="15" t="str">
        <f aca="false">IFERROR(__xludf.dummyfunction("XLOOKUP(AJ3320,IMPORTRANGE(""1XaInW9DU9nz21V0tYIfzFQ0He9kVQ_JF2mCXgZ3hqFA"",""REKAP ALL 2026 - Andika!G:G""),IMPORTRANGE(""1XaInW9DU9nz21V0tYIfzFQ0He9kVQ_JF2mCXgZ3hqFA"",""REKAP ALL 2026 - Andika!F:F""),"""",0)"),"26046413410")</f>
        <v>26046413410</v>
      </c>
      <c r="G3320" s="13" t="s">
        <v>1127</v>
      </c>
      <c r="H3320" s="13" t="s">
        <v>35</v>
      </c>
      <c r="I3320" s="13" t="str">
        <f aca="false">IF(C3320=J3320,"NEW KONTRAK","RE-KONTRAK")</f>
        <v>NEW KONTRAK</v>
      </c>
      <c r="J3320" s="16" t="n">
        <f aca="false" t="array" ref="J3320:J3320">IFERROR(INDEX(AC3320:AE3320,IF(COUNTA(AC3320:AE3320)=0,"",MAX((AC3320:AE3320&lt;&gt;"")*(COLUMN(AC3320:AE3320)-(COLUMN(AC3320)))))-1),"")</f>
        <v>46062</v>
      </c>
      <c r="K3320" s="16" t="n">
        <f aca="false" t="array" ref="K3320:K3320">IFERROR(INDEX(AC3320:AE3320,IF(COUNTA(AC3320:AE3320)=0,"",MAX((AC3320:AE3320&lt;&gt;"")*(COLUMN(AC3320:AE3320)-(COLUMN(AC3320)-1))))-1),"")</f>
        <v>46265</v>
      </c>
      <c r="L3320" s="17" t="str">
        <f aca="false" t="array" ref="L3320:L3320">IFERROR(INDEX(AC3320:AE3320,IF(COUNTA(AC3320:AE3320)=0,"",MAX((AC3320:AE3320&lt;&gt;"")*(COLUMN(AC3320:AE3320)-(COLUMN(AC3320)-2))))-1),"")</f>
        <v>ARCHIVED</v>
      </c>
      <c r="M3320" s="13" t="n">
        <f aca="true">K3320-TODAY()</f>
        <v>-59</v>
      </c>
      <c r="N3320" s="18" t="s">
        <v>36</v>
      </c>
      <c r="O3320" s="13" t="s">
        <v>13712</v>
      </c>
      <c r="P3320" s="19" t="n">
        <v>5195401</v>
      </c>
      <c r="Q3320" s="47" t="s">
        <v>13713</v>
      </c>
      <c r="R3320" s="13" t="s">
        <v>83</v>
      </c>
      <c r="S3320" s="16" t="n">
        <v>37485</v>
      </c>
      <c r="T3320" s="28" t="s">
        <v>40</v>
      </c>
      <c r="U3320" s="13" t="s">
        <v>13714</v>
      </c>
      <c r="V3320" s="13" t="s">
        <v>42</v>
      </c>
      <c r="W3320" s="13" t="s">
        <v>43</v>
      </c>
      <c r="X3320" s="30" t="n">
        <v>85389025039</v>
      </c>
      <c r="Y3320" s="22" t="str">
        <f aca="false">O3320</f>
        <v>Admin Produksi Emulsion</v>
      </c>
      <c r="Z3320" s="13" t="str">
        <f aca="false">IFERROR(__xludf.dummyfunction("if(BJ3320="""","""",GOOGLETRANSLATE(BJ3320,""auto"",""en""))"),"Emulsion Production Admin")</f>
        <v>Emulsion Production Admin</v>
      </c>
      <c r="AA3320" s="23" t="str">
        <f aca="false">IF(C3320="","", CHOOSE(MONTH(C3320),"January","February","March","April","May","June","July","August","September","October","November","December")&amp;" "&amp;DAY(C3320)&amp;MID("thstndrdth",MIN(9,2*RIGHT(DAY(C3320))*(MOD(DAY(C3320)-11,100)&gt;2)+1),2)&amp;","&amp;TEXT(C3320," yyyy"))</f>
        <v>February 9th,2026</v>
      </c>
      <c r="AB3320" s="15" t="str">
        <f aca="true">IF(S3320="","",DATEDIF(S3320,TODAY(),"Y")&amp;" Tahun, "&amp;DATEDIF(S3320,TODAY(),"YM")&amp;" Bulan, "&amp;DATEDIF(S3320,TODAY(),"MD")&amp;" Hari")</f>
        <v>24 Tahun, 2 Bulan, 12 Hari</v>
      </c>
      <c r="AC3320" s="18" t="n">
        <v>46062</v>
      </c>
      <c r="AD3320" s="18" t="n">
        <v>46265</v>
      </c>
      <c r="AE3320" s="13" t="s">
        <v>44</v>
      </c>
    </row>
    <row r="3321" customFormat="false" ht="15" hidden="false" customHeight="true" outlineLevel="0" collapsed="false">
      <c r="A3321" s="12" t="n">
        <v>21929</v>
      </c>
      <c r="B3321" s="13" t="s">
        <v>13715</v>
      </c>
      <c r="C3321" s="16" t="n">
        <v>46062</v>
      </c>
      <c r="D3321" s="13" t="s">
        <v>144</v>
      </c>
      <c r="E3321" s="15" t="s">
        <v>789</v>
      </c>
      <c r="F3321" s="15" t="str">
        <f aca="false">IFERROR(__xludf.dummyfunction("XLOOKUP(AJ3321,IMPORTRANGE(""1XaInW9DU9nz21V0tYIfzFQ0He9kVQ_JF2mCXgZ3hqFA"",""REKAP ALL 2026 - Andika!G:G""),IMPORTRANGE(""1XaInW9DU9nz21V0tYIfzFQ0He9kVQ_JF2mCXgZ3hqFA"",""REKAP ALL 2026 - Andika!F:F""),"""",0)"),"26046413436")</f>
        <v>26046413436</v>
      </c>
      <c r="G3321" s="13" t="s">
        <v>1127</v>
      </c>
      <c r="H3321" s="13" t="s">
        <v>35</v>
      </c>
      <c r="I3321" s="13" t="str">
        <f aca="false">IF(C3321=J3321,"NEW KONTRAK","RE-KONTRAK")</f>
        <v>NEW KONTRAK</v>
      </c>
      <c r="J3321" s="16" t="n">
        <f aca="false" t="array" ref="J3321:J3321">IFERROR(INDEX(AC3321:AE3321,IF(COUNTA(AC3321:AE3321)=0,"",MAX((AC3321:AE3321&lt;&gt;"")*(COLUMN(AC3321:AE3321)-(COLUMN(AC3321)))))-1),"")</f>
        <v>46062</v>
      </c>
      <c r="K3321" s="16" t="n">
        <f aca="false" t="array" ref="K3321:K3321">IFERROR(INDEX(AC3321:AE3321,IF(COUNTA(AC3321:AE3321)=0,"",MAX((AC3321:AE3321&lt;&gt;"")*(COLUMN(AC3321:AE3321)-(COLUMN(AC3321)-1))))-1),"")</f>
        <v>46265</v>
      </c>
      <c r="L3321" s="17" t="str">
        <f aca="false" t="array" ref="L3321:L3321">IFERROR(INDEX(AC3321:AE3321,IF(COUNTA(AC3321:AE3321)=0,"",MAX((AC3321:AE3321&lt;&gt;"")*(COLUMN(AC3321:AE3321)-(COLUMN(AC3321)-2))))-1),"")</f>
        <v>ARCHIVED</v>
      </c>
      <c r="M3321" s="13" t="n">
        <f aca="true">K3321-TODAY()</f>
        <v>-59</v>
      </c>
      <c r="N3321" s="18" t="s">
        <v>36</v>
      </c>
      <c r="O3321" s="13" t="s">
        <v>156</v>
      </c>
      <c r="P3321" s="19" t="n">
        <v>5195401</v>
      </c>
      <c r="Q3321" s="47" t="s">
        <v>13716</v>
      </c>
      <c r="R3321" s="13" t="s">
        <v>73</v>
      </c>
      <c r="S3321" s="16" t="n">
        <v>38255</v>
      </c>
      <c r="T3321" s="28" t="s">
        <v>40</v>
      </c>
      <c r="U3321" s="13" t="s">
        <v>13717</v>
      </c>
      <c r="V3321" s="13" t="s">
        <v>42</v>
      </c>
      <c r="W3321" s="13" t="s">
        <v>43</v>
      </c>
      <c r="X3321" s="21" t="s">
        <v>13718</v>
      </c>
      <c r="Y3321" s="22" t="str">
        <f aca="false">O3321</f>
        <v>Emulsion</v>
      </c>
      <c r="Z3321" s="13" t="str">
        <f aca="false">IFERROR(__xludf.dummyfunction("if(BJ3321="""","""",GOOGLETRANSLATE(BJ3321,""auto"",""en""))"),"Emulsion")</f>
        <v>Emulsion</v>
      </c>
      <c r="AA3321" s="23" t="str">
        <f aca="false">IF(C3321="","", CHOOSE(MONTH(C3321),"January","February","March","April","May","June","July","August","September","October","November","December")&amp;" "&amp;DAY(C3321)&amp;MID("thstndrdth",MIN(9,2*RIGHT(DAY(C3321))*(MOD(DAY(C3321)-11,100)&gt;2)+1),2)&amp;","&amp;TEXT(C3321," yyyy"))</f>
        <v>February 9th,2026</v>
      </c>
      <c r="AB3321" s="15" t="str">
        <f aca="true">IF(S3321="","",DATEDIF(S3321,TODAY(),"Y")&amp;" Tahun, "&amp;DATEDIF(S3321,TODAY(),"YM")&amp;" Bulan, "&amp;DATEDIF(S3321,TODAY(),"MD")&amp;" Hari")</f>
        <v>22 Tahun, 1 Bulan, 4 Hari</v>
      </c>
      <c r="AC3321" s="18" t="n">
        <v>46062</v>
      </c>
      <c r="AD3321" s="18" t="n">
        <v>46265</v>
      </c>
      <c r="AE3321" s="13" t="s">
        <v>44</v>
      </c>
    </row>
    <row r="3322" customFormat="false" ht="15" hidden="false" customHeight="true" outlineLevel="0" collapsed="false">
      <c r="A3322" s="12" t="n">
        <v>21930</v>
      </c>
      <c r="B3322" s="13" t="s">
        <v>13719</v>
      </c>
      <c r="C3322" s="16" t="n">
        <v>46062</v>
      </c>
      <c r="D3322" s="13" t="s">
        <v>144</v>
      </c>
      <c r="E3322" s="15" t="s">
        <v>47</v>
      </c>
      <c r="F3322" s="15" t="str">
        <f aca="false">IFERROR(__xludf.dummyfunction("XLOOKUP(AJ3322,IMPORTRANGE(""1XaInW9DU9nz21V0tYIfzFQ0He9kVQ_JF2mCXgZ3hqFA"",""REKAP ALL 2026 - Andika!G:G""),IMPORTRANGE(""1XaInW9DU9nz21V0tYIfzFQ0He9kVQ_JF2mCXgZ3hqFA"",""REKAP ALL 2026 - Andika!F:F""),"""",0)"),"26046413451")</f>
        <v>26046413451</v>
      </c>
      <c r="G3322" s="13" t="s">
        <v>1127</v>
      </c>
      <c r="H3322" s="13" t="s">
        <v>35</v>
      </c>
      <c r="I3322" s="13" t="str">
        <f aca="false">IF(C3322=J3322,"NEW KONTRAK","RE-KONTRAK")</f>
        <v>NEW KONTRAK</v>
      </c>
      <c r="J3322" s="16" t="n">
        <f aca="false" t="array" ref="J3322:J3322">IFERROR(INDEX(AC3322:AE3322,IF(COUNTA(AC3322:AE3322)=0,"",MAX((AC3322:AE3322&lt;&gt;"")*(COLUMN(AC3322:AE3322)-(COLUMN(AC3322)))))-1),"")</f>
        <v>46062</v>
      </c>
      <c r="K3322" s="16" t="n">
        <f aca="false" t="array" ref="K3322:K3322">IFERROR(INDEX(AC3322:AE3322,IF(COUNTA(AC3322:AE3322)=0,"",MAX((AC3322:AE3322&lt;&gt;"")*(COLUMN(AC3322:AE3322)-(COLUMN(AC3322)-1))))-1),"")</f>
        <v>46265</v>
      </c>
      <c r="L3322" s="17" t="str">
        <f aca="false" t="array" ref="L3322:L3322">IFERROR(INDEX(AC3322:AE3322,IF(COUNTA(AC3322:AE3322)=0,"",MAX((AC3322:AE3322&lt;&gt;"")*(COLUMN(AC3322:AE3322)-(COLUMN(AC3322)-2))))-1),"")</f>
        <v>ARCHIVED</v>
      </c>
      <c r="M3322" s="13" t="n">
        <f aca="true">K3322-TODAY()</f>
        <v>-59</v>
      </c>
      <c r="N3322" s="18" t="s">
        <v>36</v>
      </c>
      <c r="O3322" s="13" t="s">
        <v>156</v>
      </c>
      <c r="P3322" s="19" t="n">
        <v>5195401</v>
      </c>
      <c r="Q3322" s="47" t="s">
        <v>13720</v>
      </c>
      <c r="R3322" s="13" t="s">
        <v>78</v>
      </c>
      <c r="S3322" s="16" t="n">
        <v>36877</v>
      </c>
      <c r="T3322" s="28" t="s">
        <v>40</v>
      </c>
      <c r="U3322" s="13" t="s">
        <v>13721</v>
      </c>
      <c r="V3322" s="13" t="s">
        <v>42</v>
      </c>
      <c r="W3322" s="13" t="s">
        <v>43</v>
      </c>
      <c r="X3322" s="30" t="n">
        <v>82261429396</v>
      </c>
      <c r="Y3322" s="22" t="str">
        <f aca="false">O3322</f>
        <v>Emulsion</v>
      </c>
      <c r="Z3322" s="13" t="str">
        <f aca="false">IFERROR(__xludf.dummyfunction("if(BJ3322="""","""",GOOGLETRANSLATE(BJ3322,""auto"",""en""))"),"Emulsion")</f>
        <v>Emulsion</v>
      </c>
      <c r="AA3322" s="23" t="str">
        <f aca="false">IF(C3322="","", CHOOSE(MONTH(C3322),"January","February","March","April","May","June","July","August","September","October","November","December")&amp;" "&amp;DAY(C3322)&amp;MID("thstndrdth",MIN(9,2*RIGHT(DAY(C3322))*(MOD(DAY(C3322)-11,100)&gt;2)+1),2)&amp;","&amp;TEXT(C3322," yyyy"))</f>
        <v>February 9th,2026</v>
      </c>
      <c r="AB3322" s="15" t="str">
        <f aca="true">IF(S3322="","",DATEDIF(S3322,TODAY(),"Y")&amp;" Tahun, "&amp;DATEDIF(S3322,TODAY(),"YM")&amp;" Bulan, "&amp;DATEDIF(S3322,TODAY(),"MD")&amp;" Hari")</f>
        <v>25 Tahun, 10 Bulan, 12 Hari</v>
      </c>
      <c r="AC3322" s="18" t="n">
        <v>46062</v>
      </c>
      <c r="AD3322" s="18" t="n">
        <v>46265</v>
      </c>
      <c r="AE3322" s="13" t="s">
        <v>44</v>
      </c>
    </row>
    <row r="3323" customFormat="false" ht="15" hidden="false" customHeight="true" outlineLevel="0" collapsed="false">
      <c r="A3323" s="12" t="n">
        <v>21931</v>
      </c>
      <c r="B3323" s="13" t="s">
        <v>584</v>
      </c>
      <c r="C3323" s="16" t="n">
        <v>46058</v>
      </c>
      <c r="D3323" s="13" t="s">
        <v>144</v>
      </c>
      <c r="E3323" s="15" t="s">
        <v>102</v>
      </c>
      <c r="F3323" s="15" t="str">
        <f aca="false">IFERROR(__xludf.dummyfunction("XLOOKUP(AJ3323,IMPORTRANGE(""1XaInW9DU9nz21V0tYIfzFQ0He9kVQ_JF2mCXgZ3hqFA"",""REKAP ALL 2026 - Andika!G:G""),IMPORTRANGE(""1XaInW9DU9nz21V0tYIfzFQ0He9kVQ_JF2mCXgZ3hqFA"",""REKAP ALL 2026 - Andika!F:F""),"""",0)"),"26046413345")</f>
        <v>26046413345</v>
      </c>
      <c r="G3323" s="13" t="s">
        <v>1127</v>
      </c>
      <c r="H3323" s="13" t="s">
        <v>35</v>
      </c>
      <c r="I3323" s="13" t="str">
        <f aca="false">IF(C3323=J3323,"NEW KONTRAK","RE-KONTRAK")</f>
        <v>NEW KONTRAK</v>
      </c>
      <c r="J3323" s="16" t="n">
        <f aca="false" t="array" ref="J3323:J3323">IFERROR(INDEX(AC3323:AE3323,IF(COUNTA(AC3323:AE3323)=0,"",MAX((AC3323:AE3323&lt;&gt;"")*(COLUMN(AC3323:AE3323)-(COLUMN(AC3323)))))-1),"")</f>
        <v>46058</v>
      </c>
      <c r="K3323" s="16" t="n">
        <f aca="false" t="array" ref="K3323:K3323">IFERROR(INDEX(AC3323:AE3323,IF(COUNTA(AC3323:AE3323)=0,"",MAX((AC3323:AE3323&lt;&gt;"")*(COLUMN(AC3323:AE3323)-(COLUMN(AC3323)-1))))-1),"")</f>
        <v>46265</v>
      </c>
      <c r="L3323" s="17" t="str">
        <f aca="false" t="array" ref="L3323:L3323">IFERROR(INDEX(AC3323:AE3323,IF(COUNTA(AC3323:AE3323)=0,"",MAX((AC3323:AE3323&lt;&gt;"")*(COLUMN(AC3323:AE3323)-(COLUMN(AC3323)-2))))-1),"")</f>
        <v>ARCHIVED</v>
      </c>
      <c r="M3323" s="13" t="n">
        <f aca="true">K3323-TODAY()</f>
        <v>-59</v>
      </c>
      <c r="N3323" s="18" t="s">
        <v>36</v>
      </c>
      <c r="O3323" s="13" t="s">
        <v>156</v>
      </c>
      <c r="P3323" s="19" t="n">
        <v>5195401</v>
      </c>
      <c r="Q3323" s="47" t="s">
        <v>13722</v>
      </c>
      <c r="R3323" s="13" t="s">
        <v>65</v>
      </c>
      <c r="S3323" s="16" t="n">
        <v>36770</v>
      </c>
      <c r="T3323" s="28" t="s">
        <v>40</v>
      </c>
      <c r="U3323" s="13" t="s">
        <v>13723</v>
      </c>
      <c r="V3323" s="13" t="s">
        <v>42</v>
      </c>
      <c r="W3323" s="13" t="s">
        <v>43</v>
      </c>
      <c r="X3323" s="30" t="n">
        <v>85862185016</v>
      </c>
      <c r="Y3323" s="22" t="str">
        <f aca="false">O3323</f>
        <v>Emulsion</v>
      </c>
      <c r="Z3323" s="13" t="str">
        <f aca="false">IFERROR(__xludf.dummyfunction("if(BJ3323="""","""",GOOGLETRANSLATE(BJ3323,""auto"",""en""))"),"Emulsion")</f>
        <v>Emulsion</v>
      </c>
      <c r="AA3323" s="23" t="str">
        <f aca="false">IF(C3323="","", CHOOSE(MONTH(C3323),"January","February","March","April","May","June","July","August","September","October","November","December")&amp;" "&amp;DAY(C3323)&amp;MID("thstndrdth",MIN(9,2*RIGHT(DAY(C3323))*(MOD(DAY(C3323)-11,100)&gt;2)+1),2)&amp;","&amp;TEXT(C3323," yyyy"))</f>
        <v>February 5th,2026</v>
      </c>
      <c r="AB3323" s="15" t="str">
        <f aca="true">IF(S3323="","",DATEDIF(S3323,TODAY(),"Y")&amp;" Tahun, "&amp;DATEDIF(S3323,TODAY(),"YM")&amp;" Bulan, "&amp;DATEDIF(S3323,TODAY(),"MD")&amp;" Hari")</f>
        <v>26 Tahun, 1 Bulan, 28 Hari</v>
      </c>
      <c r="AC3323" s="18" t="n">
        <v>46058</v>
      </c>
      <c r="AD3323" s="18" t="n">
        <v>46265</v>
      </c>
      <c r="AE3323" s="13" t="s">
        <v>44</v>
      </c>
    </row>
    <row r="3324" customFormat="false" ht="15" hidden="false" customHeight="true" outlineLevel="0" collapsed="false">
      <c r="A3324" s="12" t="n">
        <v>21932</v>
      </c>
      <c r="B3324" s="13" t="s">
        <v>13724</v>
      </c>
      <c r="C3324" s="16" t="n">
        <v>46058</v>
      </c>
      <c r="D3324" s="13" t="s">
        <v>144</v>
      </c>
      <c r="E3324" s="15" t="s">
        <v>33</v>
      </c>
      <c r="F3324" s="15" t="str">
        <f aca="false">IFERROR(__xludf.dummyfunction("XLOOKUP(AJ3324,IMPORTRANGE(""1XaInW9DU9nz21V0tYIfzFQ0He9kVQ_JF2mCXgZ3hqFA"",""REKAP ALL 2026 - Andika!G:G""),IMPORTRANGE(""1XaInW9DU9nz21V0tYIfzFQ0He9kVQ_JF2mCXgZ3hqFA"",""REKAP ALL 2026 - Andika!F:F""),"""",0)"),"26046413360")</f>
        <v>26046413360</v>
      </c>
      <c r="G3324" s="13" t="s">
        <v>1127</v>
      </c>
      <c r="H3324" s="13" t="s">
        <v>35</v>
      </c>
      <c r="I3324" s="13" t="str">
        <f aca="false">IF(C3324=J3324,"NEW KONTRAK","RE-KONTRAK")</f>
        <v>NEW KONTRAK</v>
      </c>
      <c r="J3324" s="16" t="n">
        <f aca="false" t="array" ref="J3324:J3324">IFERROR(INDEX(AC3324:AE3324,IF(COUNTA(AC3324:AE3324)=0,"",MAX((AC3324:AE3324&lt;&gt;"")*(COLUMN(AC3324:AE3324)-(COLUMN(AC3324)))))-1),"")</f>
        <v>46058</v>
      </c>
      <c r="K3324" s="16" t="n">
        <f aca="false" t="array" ref="K3324:K3324">IFERROR(INDEX(AC3324:AE3324,IF(COUNTA(AC3324:AE3324)=0,"",MAX((AC3324:AE3324&lt;&gt;"")*(COLUMN(AC3324:AE3324)-(COLUMN(AC3324)-1))))-1),"")</f>
        <v>46146</v>
      </c>
      <c r="L3324" s="17" t="str">
        <f aca="false" t="array" ref="L3324:L3324">IFERROR(INDEX(AC3324:AE3324,IF(COUNTA(AC3324:AE3324)=0,"",MAX((AC3324:AE3324&lt;&gt;"")*(COLUMN(AC3324:AE3324)-(COLUMN(AC3324)-2))))-1),"")</f>
        <v>ARCHIVED</v>
      </c>
      <c r="M3324" s="13" t="n">
        <f aca="true">K3324-TODAY()</f>
        <v>-178</v>
      </c>
      <c r="N3324" s="18" t="s">
        <v>36</v>
      </c>
      <c r="O3324" s="13" t="s">
        <v>156</v>
      </c>
      <c r="P3324" s="19" t="n">
        <v>5195401</v>
      </c>
      <c r="Q3324" s="47" t="s">
        <v>13725</v>
      </c>
      <c r="R3324" s="13" t="s">
        <v>65</v>
      </c>
      <c r="S3324" s="16" t="n">
        <v>34968</v>
      </c>
      <c r="T3324" s="28" t="s">
        <v>40</v>
      </c>
      <c r="U3324" s="13" t="s">
        <v>13726</v>
      </c>
      <c r="V3324" s="13" t="s">
        <v>42</v>
      </c>
      <c r="W3324" s="13" t="s">
        <v>43</v>
      </c>
      <c r="X3324" s="30" t="n">
        <v>85215999650</v>
      </c>
      <c r="Y3324" s="22" t="str">
        <f aca="false">O3324</f>
        <v>Emulsion</v>
      </c>
      <c r="Z3324" s="13" t="str">
        <f aca="false">IFERROR(__xludf.dummyfunction("if(BJ3324="""","""",GOOGLETRANSLATE(BJ3324,""auto"",""en""))"),"Emulsion")</f>
        <v>Emulsion</v>
      </c>
      <c r="AA3324" s="23" t="str">
        <f aca="false">IF(C3324="","", CHOOSE(MONTH(C3324),"January","February","March","April","May","June","July","August","September","October","November","December")&amp;" "&amp;DAY(C3324)&amp;MID("thstndrdth",MIN(9,2*RIGHT(DAY(C3324))*(MOD(DAY(C3324)-11,100)&gt;2)+1),2)&amp;","&amp;TEXT(C3324," yyyy"))</f>
        <v>February 5th,2026</v>
      </c>
      <c r="AB3324" s="15" t="str">
        <f aca="true">IF(S3324="","",DATEDIF(S3324,TODAY(),"Y")&amp;" Tahun, "&amp;DATEDIF(S3324,TODAY(),"YM")&amp;" Bulan, "&amp;DATEDIF(S3324,TODAY(),"MD")&amp;" Hari")</f>
        <v>31 Tahun, 1 Bulan, 3 Hari</v>
      </c>
      <c r="AC3324" s="18" t="n">
        <v>46058</v>
      </c>
      <c r="AD3324" s="18" t="n">
        <f aca="false">EDATE(AC3324,3)-1</f>
        <v>46146</v>
      </c>
      <c r="AE3324" s="13" t="s">
        <v>44</v>
      </c>
    </row>
    <row r="3325" customFormat="false" ht="15" hidden="false" customHeight="true" outlineLevel="0" collapsed="false">
      <c r="A3325" s="12" t="n">
        <v>21933</v>
      </c>
      <c r="B3325" s="13" t="s">
        <v>13727</v>
      </c>
      <c r="C3325" s="16" t="n">
        <v>46055</v>
      </c>
      <c r="D3325" s="13" t="s">
        <v>144</v>
      </c>
      <c r="E3325" s="15" t="s">
        <v>47</v>
      </c>
      <c r="F3325" s="15" t="str">
        <f aca="false">IFERROR(__xludf.dummyfunction("XLOOKUP(AJ3325,IMPORTRANGE(""1XaInW9DU9nz21V0tYIfzFQ0He9kVQ_JF2mCXgZ3hqFA"",""REKAP ALL 2026 - Andika!G:G""),IMPORTRANGE(""1XaInW9DU9nz21V0tYIfzFQ0He9kVQ_JF2mCXgZ3hqFA"",""REKAP ALL 2026 - Andika!F:F""),"""",0)"),"26046413238")</f>
        <v>26046413238</v>
      </c>
      <c r="G3325" s="13" t="s">
        <v>1127</v>
      </c>
      <c r="H3325" s="13" t="s">
        <v>35</v>
      </c>
      <c r="I3325" s="13" t="str">
        <f aca="false">IF(C3325=J3325,"NEW KONTRAK","RE-KONTRAK")</f>
        <v>NEW KONTRAK</v>
      </c>
      <c r="J3325" s="16" t="n">
        <f aca="false" t="array" ref="J3325:J3325">IFERROR(INDEX(AC3325:AE3325,IF(COUNTA(AC3325:AE3325)=0,"",MAX((AC3325:AE3325&lt;&gt;"")*(COLUMN(AC3325:AE3325)-(COLUMN(AC3325)))))-1),"")</f>
        <v>46055</v>
      </c>
      <c r="K3325" s="16" t="n">
        <f aca="false" t="array" ref="K3325:K3325">IFERROR(INDEX(AC3325:AE3325,IF(COUNTA(AC3325:AE3325)=0,"",MAX((AC3325:AE3325&lt;&gt;"")*(COLUMN(AC3325:AE3325)-(COLUMN(AC3325)-1))))-1),"")</f>
        <v>46265</v>
      </c>
      <c r="L3325" s="17" t="str">
        <f aca="false" t="array" ref="L3325:L3325">IFERROR(INDEX(AC3325:AE3325,IF(COUNTA(AC3325:AE3325)=0,"",MAX((AC3325:AE3325&lt;&gt;"")*(COLUMN(AC3325:AE3325)-(COLUMN(AC3325)-2))))-1),"")</f>
        <v>ARCHIVED</v>
      </c>
      <c r="M3325" s="13" t="n">
        <f aca="true">K3325-TODAY()</f>
        <v>-59</v>
      </c>
      <c r="N3325" s="18" t="s">
        <v>36</v>
      </c>
      <c r="O3325" s="13" t="s">
        <v>146</v>
      </c>
      <c r="P3325" s="19" t="n">
        <v>5195401</v>
      </c>
      <c r="Q3325" s="47" t="s">
        <v>13728</v>
      </c>
      <c r="R3325" s="13" t="s">
        <v>65</v>
      </c>
      <c r="S3325" s="16" t="n">
        <v>34500</v>
      </c>
      <c r="T3325" s="28" t="s">
        <v>40</v>
      </c>
      <c r="U3325" s="13" t="s">
        <v>13729</v>
      </c>
      <c r="V3325" s="13" t="s">
        <v>42</v>
      </c>
      <c r="W3325" s="13" t="s">
        <v>54</v>
      </c>
      <c r="X3325" s="30" t="n">
        <v>85377358662</v>
      </c>
      <c r="Y3325" s="22" t="str">
        <f aca="false">O3325</f>
        <v>Enamel</v>
      </c>
      <c r="Z3325" s="13" t="str">
        <f aca="false">IFERROR(__xludf.dummyfunction("if(BJ3325="""","""",GOOGLETRANSLATE(BJ3325,""auto"",""en""))"),"Enamel")</f>
        <v>Enamel</v>
      </c>
      <c r="AA3325" s="23" t="str">
        <f aca="false">IF(C3325="","", CHOOSE(MONTH(C3325),"January","February","March","April","May","June","July","August","September","October","November","December")&amp;" "&amp;DAY(C3325)&amp;MID("thstndrdth",MIN(9,2*RIGHT(DAY(C3325))*(MOD(DAY(C3325)-11,100)&gt;2)+1),2)&amp;","&amp;TEXT(C3325," yyyy"))</f>
        <v>February 2nd,2026</v>
      </c>
      <c r="AB3325" s="15" t="str">
        <f aca="true">IF(S3325="","",DATEDIF(S3325,TODAY(),"Y")&amp;" Tahun, "&amp;DATEDIF(S3325,TODAY(),"YM")&amp;" Bulan, "&amp;DATEDIF(S3325,TODAY(),"MD")&amp;" Hari")</f>
        <v>32 Tahun, 4 Bulan, 14 Hari</v>
      </c>
      <c r="AC3325" s="18" t="n">
        <v>46055</v>
      </c>
      <c r="AD3325" s="18" t="n">
        <v>46265</v>
      </c>
      <c r="AE3325" s="13" t="s">
        <v>44</v>
      </c>
    </row>
    <row r="3326" customFormat="false" ht="15" hidden="false" customHeight="true" outlineLevel="0" collapsed="false">
      <c r="A3326" s="12" t="n">
        <v>21934</v>
      </c>
      <c r="B3326" s="13" t="s">
        <v>13730</v>
      </c>
      <c r="C3326" s="16" t="n">
        <v>46055</v>
      </c>
      <c r="D3326" s="13" t="s">
        <v>144</v>
      </c>
      <c r="E3326" s="15" t="s">
        <v>33</v>
      </c>
      <c r="F3326" s="15" t="str">
        <f aca="false">IFERROR(__xludf.dummyfunction("XLOOKUP(AJ3326,IMPORTRANGE(""1XaInW9DU9nz21V0tYIfzFQ0He9kVQ_JF2mCXgZ3hqFA"",""REKAP ALL 2026 - Andika!G:G""),IMPORTRANGE(""1XaInW9DU9nz21V0tYIfzFQ0He9kVQ_JF2mCXgZ3hqFA"",""REKAP ALL 2026 - Andika!F:F""),"""",0)"),"26046413246")</f>
        <v>26046413246</v>
      </c>
      <c r="G3326" s="13" t="s">
        <v>1127</v>
      </c>
      <c r="H3326" s="13" t="s">
        <v>35</v>
      </c>
      <c r="I3326" s="13" t="str">
        <f aca="false">IF(C3326=J3326,"NEW KONTRAK","RE-KONTRAK")</f>
        <v>NEW KONTRAK</v>
      </c>
      <c r="J3326" s="16" t="n">
        <f aca="false" t="array" ref="J3326:J3326">IFERROR(INDEX(AC3326:AE3326,IF(COUNTA(AC3326:AE3326)=0,"",MAX((AC3326:AE3326&lt;&gt;"")*(COLUMN(AC3326:AE3326)-(COLUMN(AC3326)))))-1),"")</f>
        <v>46055</v>
      </c>
      <c r="K3326" s="16" t="n">
        <f aca="false" t="array" ref="K3326:K3326">IFERROR(INDEX(AC3326:AE3326,IF(COUNTA(AC3326:AE3326)=0,"",MAX((AC3326:AE3326&lt;&gt;"")*(COLUMN(AC3326:AE3326)-(COLUMN(AC3326)-1))))-1),"")</f>
        <v>46143</v>
      </c>
      <c r="L3326" s="17" t="str">
        <f aca="false" t="array" ref="L3326:L3326">IFERROR(INDEX(AC3326:AE3326,IF(COUNTA(AC3326:AE3326)=0,"",MAX((AC3326:AE3326&lt;&gt;"")*(COLUMN(AC3326:AE3326)-(COLUMN(AC3326)-2))))-1),"")</f>
        <v>ARCHIVED</v>
      </c>
      <c r="M3326" s="13" t="n">
        <f aca="true">K3326-TODAY()</f>
        <v>-181</v>
      </c>
      <c r="N3326" s="18" t="s">
        <v>36</v>
      </c>
      <c r="O3326" s="13" t="s">
        <v>146</v>
      </c>
      <c r="P3326" s="19" t="n">
        <v>5195401</v>
      </c>
      <c r="Q3326" s="47" t="s">
        <v>13731</v>
      </c>
      <c r="R3326" s="13" t="s">
        <v>78</v>
      </c>
      <c r="S3326" s="16" t="n">
        <v>36106</v>
      </c>
      <c r="T3326" s="28" t="s">
        <v>40</v>
      </c>
      <c r="U3326" s="13" t="s">
        <v>13732</v>
      </c>
      <c r="V3326" s="13" t="s">
        <v>42</v>
      </c>
      <c r="W3326" s="13" t="s">
        <v>43</v>
      </c>
      <c r="X3326" s="30" t="n">
        <v>89519431142</v>
      </c>
      <c r="Y3326" s="22" t="str">
        <f aca="false">O3326</f>
        <v>Enamel</v>
      </c>
      <c r="Z3326" s="13" t="str">
        <f aca="false">IFERROR(__xludf.dummyfunction("if(BJ3326="""","""",GOOGLETRANSLATE(BJ3326,""auto"",""en""))"),"Enamel")</f>
        <v>Enamel</v>
      </c>
      <c r="AA3326" s="23" t="str">
        <f aca="false">IF(C3326="","", CHOOSE(MONTH(C3326),"January","February","March","April","May","June","July","August","September","October","November","December")&amp;" "&amp;DAY(C3326)&amp;MID("thstndrdth",MIN(9,2*RIGHT(DAY(C3326))*(MOD(DAY(C3326)-11,100)&gt;2)+1),2)&amp;","&amp;TEXT(C3326," yyyy"))</f>
        <v>February 2nd,2026</v>
      </c>
      <c r="AB3326" s="15" t="str">
        <f aca="true">IF(S3326="","",DATEDIF(S3326,TODAY(),"Y")&amp;" Tahun, "&amp;DATEDIF(S3326,TODAY(),"YM")&amp;" Bulan, "&amp;DATEDIF(S3326,TODAY(),"MD")&amp;" Hari")</f>
        <v>27 Tahun, 11 Bulan, 22 Hari</v>
      </c>
      <c r="AC3326" s="18" t="n">
        <v>46055</v>
      </c>
      <c r="AD3326" s="18" t="n">
        <f aca="false">EDATE(AC3326,3)-1</f>
        <v>46143</v>
      </c>
      <c r="AE3326" s="13" t="s">
        <v>44</v>
      </c>
    </row>
    <row r="3327" customFormat="false" ht="15" hidden="false" customHeight="true" outlineLevel="0" collapsed="false">
      <c r="A3327" s="12" t="n">
        <v>21935</v>
      </c>
      <c r="B3327" s="13" t="s">
        <v>13733</v>
      </c>
      <c r="C3327" s="16" t="n">
        <v>46055</v>
      </c>
      <c r="D3327" s="13" t="s">
        <v>144</v>
      </c>
      <c r="E3327" s="15" t="s">
        <v>47</v>
      </c>
      <c r="F3327" s="15" t="str">
        <f aca="false">IFERROR(__xludf.dummyfunction("XLOOKUP(AJ3327,IMPORTRANGE(""1XaInW9DU9nz21V0tYIfzFQ0He9kVQ_JF2mCXgZ3hqFA"",""REKAP ALL 2026 - Andika!G:G""),IMPORTRANGE(""1XaInW9DU9nz21V0tYIfzFQ0He9kVQ_JF2mCXgZ3hqFA"",""REKAP ALL 2026 - Andika!F:F""),"""",0)"),"26046413253")</f>
        <v>26046413253</v>
      </c>
      <c r="G3327" s="13" t="s">
        <v>1127</v>
      </c>
      <c r="H3327" s="13" t="s">
        <v>35</v>
      </c>
      <c r="I3327" s="13" t="str">
        <f aca="false">IF(C3327=J3327,"NEW KONTRAK","RE-KONTRAK")</f>
        <v>NEW KONTRAK</v>
      </c>
      <c r="J3327" s="16" t="n">
        <f aca="false" t="array" ref="J3327:J3327">IFERROR(INDEX(AC3327:AE3327,IF(COUNTA(AC3327:AE3327)=0,"",MAX((AC3327:AE3327&lt;&gt;"")*(COLUMN(AC3327:AE3327)-(COLUMN(AC3327)))))-1),"")</f>
        <v>46055</v>
      </c>
      <c r="K3327" s="16" t="n">
        <f aca="false" t="array" ref="K3327:K3327">IFERROR(INDEX(AC3327:AE3327,IF(COUNTA(AC3327:AE3327)=0,"",MAX((AC3327:AE3327&lt;&gt;"")*(COLUMN(AC3327:AE3327)-(COLUMN(AC3327)-1))))-1),"")</f>
        <v>46265</v>
      </c>
      <c r="L3327" s="17" t="str">
        <f aca="false" t="array" ref="L3327:L3327">IFERROR(INDEX(AC3327:AE3327,IF(COUNTA(AC3327:AE3327)=0,"",MAX((AC3327:AE3327&lt;&gt;"")*(COLUMN(AC3327:AE3327)-(COLUMN(AC3327)-2))))-1),"")</f>
        <v>ARCHIVED</v>
      </c>
      <c r="M3327" s="13" t="n">
        <f aca="true">K3327-TODAY()</f>
        <v>-59</v>
      </c>
      <c r="N3327" s="18" t="s">
        <v>36</v>
      </c>
      <c r="O3327" s="13" t="s">
        <v>146</v>
      </c>
      <c r="P3327" s="19" t="n">
        <v>5195401</v>
      </c>
      <c r="Q3327" s="47" t="s">
        <v>13734</v>
      </c>
      <c r="R3327" s="13" t="s">
        <v>65</v>
      </c>
      <c r="S3327" s="16" t="n">
        <v>38277</v>
      </c>
      <c r="T3327" s="28" t="s">
        <v>40</v>
      </c>
      <c r="U3327" s="13" t="s">
        <v>13735</v>
      </c>
      <c r="V3327" s="13" t="s">
        <v>42</v>
      </c>
      <c r="W3327" s="13" t="s">
        <v>43</v>
      </c>
      <c r="X3327" s="30" t="n">
        <v>89526551104</v>
      </c>
      <c r="Y3327" s="22" t="str">
        <f aca="false">O3327</f>
        <v>Enamel</v>
      </c>
      <c r="Z3327" s="13" t="str">
        <f aca="false">IFERROR(__xludf.dummyfunction("if(BJ3327="""","""",GOOGLETRANSLATE(BJ3327,""auto"",""en""))"),"Enamel")</f>
        <v>Enamel</v>
      </c>
      <c r="AA3327" s="23" t="str">
        <f aca="false">IF(C3327="","", CHOOSE(MONTH(C3327),"January","February","March","April","May","June","July","August","September","October","November","December")&amp;" "&amp;DAY(C3327)&amp;MID("thstndrdth",MIN(9,2*RIGHT(DAY(C3327))*(MOD(DAY(C3327)-11,100)&gt;2)+1),2)&amp;","&amp;TEXT(C3327," yyyy"))</f>
        <v>February 2nd,2026</v>
      </c>
      <c r="AB3327" s="15" t="str">
        <f aca="true">IF(S3327="","",DATEDIF(S3327,TODAY(),"Y")&amp;" Tahun, "&amp;DATEDIF(S3327,TODAY(),"YM")&amp;" Bulan, "&amp;DATEDIF(S3327,TODAY(),"MD")&amp;" Hari")</f>
        <v>22 Tahun, 0 Bulan, 12 Hari</v>
      </c>
      <c r="AC3327" s="18" t="n">
        <v>46055</v>
      </c>
      <c r="AD3327" s="18" t="n">
        <v>46265</v>
      </c>
      <c r="AE3327" s="13" t="s">
        <v>44</v>
      </c>
    </row>
    <row r="3328" customFormat="false" ht="15" hidden="false" customHeight="true" outlineLevel="0" collapsed="false">
      <c r="A3328" s="12" t="n">
        <v>21936</v>
      </c>
      <c r="B3328" s="13" t="s">
        <v>13736</v>
      </c>
      <c r="C3328" s="16" t="n">
        <v>46055</v>
      </c>
      <c r="D3328" s="13" t="s">
        <v>144</v>
      </c>
      <c r="E3328" s="15" t="s">
        <v>102</v>
      </c>
      <c r="F3328" s="15" t="str">
        <f aca="false">IFERROR(__xludf.dummyfunction("XLOOKUP(AJ3328,IMPORTRANGE(""1XaInW9DU9nz21V0tYIfzFQ0He9kVQ_JF2mCXgZ3hqFA"",""REKAP ALL 2026 - Andika!G:G""),IMPORTRANGE(""1XaInW9DU9nz21V0tYIfzFQ0He9kVQ_JF2mCXgZ3hqFA"",""REKAP ALL 2026 - Andika!F:F""),"""",0)"),"26046413261")</f>
        <v>26046413261</v>
      </c>
      <c r="G3328" s="13" t="s">
        <v>1127</v>
      </c>
      <c r="H3328" s="13" t="s">
        <v>35</v>
      </c>
      <c r="I3328" s="13" t="str">
        <f aca="false">IF(C3328=J3328,"NEW KONTRAK","RE-KONTRAK")</f>
        <v>NEW KONTRAK</v>
      </c>
      <c r="J3328" s="16" t="n">
        <f aca="false" t="array" ref="J3328:J3328">IFERROR(INDEX(AC3328:AE3328,IF(COUNTA(AC3328:AE3328)=0,"",MAX((AC3328:AE3328&lt;&gt;"")*(COLUMN(AC3328:AE3328)-(COLUMN(AC3328)))))-1),"")</f>
        <v>46055</v>
      </c>
      <c r="K3328" s="16" t="n">
        <f aca="false" t="array" ref="K3328:K3328">IFERROR(INDEX(AC3328:AE3328,IF(COUNTA(AC3328:AE3328)=0,"",MAX((AC3328:AE3328&lt;&gt;"")*(COLUMN(AC3328:AE3328)-(COLUMN(AC3328)-1))))-1),"")</f>
        <v>46265</v>
      </c>
      <c r="L3328" s="17" t="str">
        <f aca="false" t="array" ref="L3328:L3328">IFERROR(INDEX(AC3328:AE3328,IF(COUNTA(AC3328:AE3328)=0,"",MAX((AC3328:AE3328&lt;&gt;"")*(COLUMN(AC3328:AE3328)-(COLUMN(AC3328)-2))))-1),"")</f>
        <v>ARCHIVED</v>
      </c>
      <c r="M3328" s="13" t="n">
        <f aca="true">K3328-TODAY()</f>
        <v>-59</v>
      </c>
      <c r="N3328" s="18" t="s">
        <v>36</v>
      </c>
      <c r="O3328" s="13" t="s">
        <v>146</v>
      </c>
      <c r="P3328" s="19" t="n">
        <v>5195401</v>
      </c>
      <c r="Q3328" s="47" t="s">
        <v>13737</v>
      </c>
      <c r="R3328" s="13" t="s">
        <v>65</v>
      </c>
      <c r="S3328" s="16" t="n">
        <v>38161</v>
      </c>
      <c r="T3328" s="28" t="s">
        <v>40</v>
      </c>
      <c r="U3328" s="13" t="s">
        <v>13738</v>
      </c>
      <c r="V3328" s="13" t="s">
        <v>42</v>
      </c>
      <c r="W3328" s="13" t="s">
        <v>43</v>
      </c>
      <c r="X3328" s="30" t="n">
        <v>89854121267</v>
      </c>
      <c r="Y3328" s="22" t="str">
        <f aca="false">O3328</f>
        <v>Enamel</v>
      </c>
      <c r="Z3328" s="13" t="str">
        <f aca="false">IFERROR(__xludf.dummyfunction("if(BJ3328="""","""",GOOGLETRANSLATE(BJ3328,""auto"",""en""))"),"Enamel")</f>
        <v>Enamel</v>
      </c>
      <c r="AA3328" s="23" t="str">
        <f aca="false">IF(C3328="","", CHOOSE(MONTH(C3328),"January","February","March","April","May","June","July","August","September","October","November","December")&amp;" "&amp;DAY(C3328)&amp;MID("thstndrdth",MIN(9,2*RIGHT(DAY(C3328))*(MOD(DAY(C3328)-11,100)&gt;2)+1),2)&amp;","&amp;TEXT(C3328," yyyy"))</f>
        <v>February 2nd,2026</v>
      </c>
      <c r="AB3328" s="15" t="str">
        <f aca="true">IF(S3328="","",DATEDIF(S3328,TODAY(),"Y")&amp;" Tahun, "&amp;DATEDIF(S3328,TODAY(),"YM")&amp;" Bulan, "&amp;DATEDIF(S3328,TODAY(),"MD")&amp;" Hari")</f>
        <v>22 Tahun, 4 Bulan, 6 Hari</v>
      </c>
      <c r="AC3328" s="18" t="n">
        <v>46055</v>
      </c>
      <c r="AD3328" s="18" t="n">
        <v>46265</v>
      </c>
      <c r="AE3328" s="13" t="s">
        <v>44</v>
      </c>
    </row>
    <row r="3329" customFormat="false" ht="15" hidden="false" customHeight="true" outlineLevel="0" collapsed="false">
      <c r="A3329" s="12" t="n">
        <v>21937</v>
      </c>
      <c r="B3329" s="13" t="s">
        <v>13739</v>
      </c>
      <c r="C3329" s="16" t="n">
        <v>46055</v>
      </c>
      <c r="D3329" s="13" t="s">
        <v>144</v>
      </c>
      <c r="E3329" s="13" t="s">
        <v>789</v>
      </c>
      <c r="F3329" s="15" t="str">
        <f aca="false">IFERROR(__xludf.dummyfunction("XLOOKUP(AJ3329,IMPORTRANGE(""1XaInW9DU9nz21V0tYIfzFQ0He9kVQ_JF2mCXgZ3hqFA"",""REKAP ALL 2026 - Andika!G:G""),IMPORTRANGE(""1XaInW9DU9nz21V0tYIfzFQ0He9kVQ_JF2mCXgZ3hqFA"",""REKAP ALL 2026 - Andika!F:F""),"""",0)"),"26046413279")</f>
        <v>26046413279</v>
      </c>
      <c r="G3329" s="13" t="s">
        <v>1127</v>
      </c>
      <c r="H3329" s="13" t="s">
        <v>35</v>
      </c>
      <c r="I3329" s="13" t="str">
        <f aca="false">IF(C3329=J3329,"NEW KONTRAK","RE-KONTRAK")</f>
        <v>NEW KONTRAK</v>
      </c>
      <c r="J3329" s="16" t="n">
        <f aca="false" t="array" ref="J3329:J3329">IFERROR(INDEX(AC3329:AE3329,IF(COUNTA(AC3329:AE3329)=0,"",MAX((AC3329:AE3329&lt;&gt;"")*(COLUMN(AC3329:AE3329)-(COLUMN(AC3329)))))-1),"")</f>
        <v>46055</v>
      </c>
      <c r="K3329" s="16" t="n">
        <f aca="false" t="array" ref="K3329:K3329">IFERROR(INDEX(AC3329:AE3329,IF(COUNTA(AC3329:AE3329)=0,"",MAX((AC3329:AE3329&lt;&gt;"")*(COLUMN(AC3329:AE3329)-(COLUMN(AC3329)-1))))-1),"")</f>
        <v>46265</v>
      </c>
      <c r="L3329" s="17" t="str">
        <f aca="false" t="array" ref="L3329:L3329">IFERROR(INDEX(AC3329:AE3329,IF(COUNTA(AC3329:AE3329)=0,"",MAX((AC3329:AE3329&lt;&gt;"")*(COLUMN(AC3329:AE3329)-(COLUMN(AC3329)-2))))-1),"")</f>
        <v>ARCHIVED</v>
      </c>
      <c r="M3329" s="13" t="n">
        <f aca="true">K3329-TODAY()</f>
        <v>-59</v>
      </c>
      <c r="N3329" s="18" t="s">
        <v>36</v>
      </c>
      <c r="O3329" s="13" t="s">
        <v>11801</v>
      </c>
      <c r="P3329" s="19" t="n">
        <v>5195401</v>
      </c>
      <c r="Q3329" s="47" t="s">
        <v>13740</v>
      </c>
      <c r="R3329" s="13" t="s">
        <v>60</v>
      </c>
      <c r="S3329" s="16" t="n">
        <v>34836</v>
      </c>
      <c r="T3329" s="28" t="s">
        <v>40</v>
      </c>
      <c r="U3329" s="13" t="s">
        <v>13741</v>
      </c>
      <c r="V3329" s="13" t="s">
        <v>42</v>
      </c>
      <c r="W3329" s="13" t="s">
        <v>54</v>
      </c>
      <c r="X3329" s="21" t="n">
        <v>85730650833</v>
      </c>
      <c r="Y3329" s="22" t="str">
        <f aca="false">O3329</f>
        <v>Produksi Enamel</v>
      </c>
      <c r="Z3329" s="13" t="str">
        <f aca="false">IFERROR(__xludf.dummyfunction("if(BJ3329="""","""",GOOGLETRANSLATE(BJ3329,""auto"",""en""))"),"Enamel Production")</f>
        <v>Enamel Production</v>
      </c>
      <c r="AA3329" s="23" t="str">
        <f aca="false">IF(C3329="","", CHOOSE(MONTH(C3329),"January","February","March","April","May","June","July","August","September","October","November","December")&amp;" "&amp;DAY(C3329)&amp;MID("thstndrdth",MIN(9,2*RIGHT(DAY(C3329))*(MOD(DAY(C3329)-11,100)&gt;2)+1),2)&amp;","&amp;TEXT(C3329," yyyy"))</f>
        <v>February 2nd,2026</v>
      </c>
      <c r="AB3329" s="15" t="str">
        <f aca="true">IF(S3329="","",DATEDIF(S3329,TODAY(),"Y")&amp;" Tahun, "&amp;DATEDIF(S3329,TODAY(),"YM")&amp;" Bulan, "&amp;DATEDIF(S3329,TODAY(),"MD")&amp;" Hari")</f>
        <v>31 Tahun, 5 Bulan, 12 Hari</v>
      </c>
      <c r="AC3329" s="18" t="n">
        <v>46055</v>
      </c>
      <c r="AD3329" s="18" t="n">
        <v>46265</v>
      </c>
      <c r="AE3329" s="13" t="s">
        <v>44</v>
      </c>
    </row>
    <row r="3330" customFormat="false" ht="15" hidden="false" customHeight="true" outlineLevel="0" collapsed="false">
      <c r="A3330" s="12" t="n">
        <v>21938</v>
      </c>
      <c r="B3330" s="13" t="s">
        <v>13742</v>
      </c>
      <c r="C3330" s="16" t="n">
        <v>46055</v>
      </c>
      <c r="D3330" s="13" t="s">
        <v>144</v>
      </c>
      <c r="E3330" s="15" t="s">
        <v>47</v>
      </c>
      <c r="F3330" s="15" t="str">
        <f aca="false">IFERROR(__xludf.dummyfunction("XLOOKUP(AJ3330,IMPORTRANGE(""1XaInW9DU9nz21V0tYIfzFQ0He9kVQ_JF2mCXgZ3hqFA"",""REKAP ALL 2026 - Andika!G:G""),IMPORTRANGE(""1XaInW9DU9nz21V0tYIfzFQ0He9kVQ_JF2mCXgZ3hqFA"",""REKAP ALL 2026 - Andika!F:F""),"""",0)"),"26046413287")</f>
        <v>26046413287</v>
      </c>
      <c r="G3330" s="13" t="s">
        <v>1127</v>
      </c>
      <c r="H3330" s="13" t="s">
        <v>35</v>
      </c>
      <c r="I3330" s="13" t="str">
        <f aca="false">IF(C3330=J3330,"NEW KONTRAK","RE-KONTRAK")</f>
        <v>NEW KONTRAK</v>
      </c>
      <c r="J3330" s="16" t="n">
        <f aca="false" t="array" ref="J3330:J3330">IFERROR(INDEX(AC3330:AE3330,IF(COUNTA(AC3330:AE3330)=0,"",MAX((AC3330:AE3330&lt;&gt;"")*(COLUMN(AC3330:AE3330)-(COLUMN(AC3330)))))-1),"")</f>
        <v>46055</v>
      </c>
      <c r="K3330" s="16" t="n">
        <f aca="false" t="array" ref="K3330:K3330">IFERROR(INDEX(AC3330:AE3330,IF(COUNTA(AC3330:AE3330)=0,"",MAX((AC3330:AE3330&lt;&gt;"")*(COLUMN(AC3330:AE3330)-(COLUMN(AC3330)-1))))-1),"")</f>
        <v>46265</v>
      </c>
      <c r="L3330" s="17" t="str">
        <f aca="false" t="array" ref="L3330:L3330">IFERROR(INDEX(AC3330:AE3330,IF(COUNTA(AC3330:AE3330)=0,"",MAX((AC3330:AE3330&lt;&gt;"")*(COLUMN(AC3330:AE3330)-(COLUMN(AC3330)-2))))-1),"")</f>
        <v>ARCHIVED</v>
      </c>
      <c r="M3330" s="13" t="n">
        <f aca="true">K3330-TODAY()</f>
        <v>-59</v>
      </c>
      <c r="N3330" s="18" t="s">
        <v>36</v>
      </c>
      <c r="O3330" s="13" t="s">
        <v>146</v>
      </c>
      <c r="P3330" s="19" t="n">
        <v>5195401</v>
      </c>
      <c r="Q3330" s="47" t="s">
        <v>13743</v>
      </c>
      <c r="R3330" s="13" t="s">
        <v>65</v>
      </c>
      <c r="S3330" s="16" t="n">
        <v>35876</v>
      </c>
      <c r="T3330" s="28" t="s">
        <v>40</v>
      </c>
      <c r="U3330" s="13" t="s">
        <v>13744</v>
      </c>
      <c r="V3330" s="13" t="s">
        <v>42</v>
      </c>
      <c r="W3330" s="13" t="s">
        <v>54</v>
      </c>
      <c r="X3330" s="30" t="n">
        <v>87761015819</v>
      </c>
      <c r="Y3330" s="22" t="str">
        <f aca="false">O3330</f>
        <v>Enamel</v>
      </c>
      <c r="Z3330" s="13" t="str">
        <f aca="false">IFERROR(__xludf.dummyfunction("if(BJ3330="""","""",GOOGLETRANSLATE(BJ3330,""auto"",""en""))"),"Enamel")</f>
        <v>Enamel</v>
      </c>
      <c r="AA3330" s="23" t="str">
        <f aca="false">IF(C3330="","", CHOOSE(MONTH(C3330),"January","February","March","April","May","June","July","August","September","October","November","December")&amp;" "&amp;DAY(C3330)&amp;MID("thstndrdth",MIN(9,2*RIGHT(DAY(C3330))*(MOD(DAY(C3330)-11,100)&gt;2)+1),2)&amp;","&amp;TEXT(C3330," yyyy"))</f>
        <v>February 2nd,2026</v>
      </c>
      <c r="AB3330" s="15" t="str">
        <f aca="true">IF(S3330="","",DATEDIF(S3330,TODAY(),"Y")&amp;" Tahun, "&amp;DATEDIF(S3330,TODAY(),"YM")&amp;" Bulan, "&amp;DATEDIF(S3330,TODAY(),"MD")&amp;" Hari")</f>
        <v>28 Tahun, 7 Bulan, 7 Hari</v>
      </c>
      <c r="AC3330" s="18" t="n">
        <v>46055</v>
      </c>
      <c r="AD3330" s="18" t="n">
        <v>46265</v>
      </c>
      <c r="AE3330" s="13" t="s">
        <v>44</v>
      </c>
    </row>
    <row r="3331" customFormat="false" ht="15" hidden="false" customHeight="true" outlineLevel="0" collapsed="false">
      <c r="A3331" s="12" t="n">
        <v>21939</v>
      </c>
      <c r="B3331" s="13" t="s">
        <v>13745</v>
      </c>
      <c r="C3331" s="16" t="n">
        <v>46056</v>
      </c>
      <c r="D3331" s="13" t="s">
        <v>144</v>
      </c>
      <c r="E3331" s="15" t="s">
        <v>102</v>
      </c>
      <c r="F3331" s="15" t="str">
        <f aca="false">IFERROR(__xludf.dummyfunction("XLOOKUP(AJ3331,IMPORTRANGE(""1XaInW9DU9nz21V0tYIfzFQ0He9kVQ_JF2mCXgZ3hqFA"",""REKAP ALL 2026 - Andika!G:G""),IMPORTRANGE(""1XaInW9DU9nz21V0tYIfzFQ0He9kVQ_JF2mCXgZ3hqFA"",""REKAP ALL 2026 - Andika!F:F""),"""",0)"),"26046413295")</f>
        <v>26046413295</v>
      </c>
      <c r="G3331" s="13" t="s">
        <v>1127</v>
      </c>
      <c r="H3331" s="13" t="s">
        <v>35</v>
      </c>
      <c r="I3331" s="13" t="str">
        <f aca="false">IF(C3331=J3331,"NEW KONTRAK","RE-KONTRAK")</f>
        <v>NEW KONTRAK</v>
      </c>
      <c r="J3331" s="16" t="n">
        <f aca="false" t="array" ref="J3331:J3331">IFERROR(INDEX(AC3331:AE3331,IF(COUNTA(AC3331:AE3331)=0,"",MAX((AC3331:AE3331&lt;&gt;"")*(COLUMN(AC3331:AE3331)-(COLUMN(AC3331)))))-1),"")</f>
        <v>46056</v>
      </c>
      <c r="K3331" s="16" t="n">
        <f aca="false" t="array" ref="K3331:K3331">IFERROR(INDEX(AC3331:AE3331,IF(COUNTA(AC3331:AE3331)=0,"",MAX((AC3331:AE3331&lt;&gt;"")*(COLUMN(AC3331:AE3331)-(COLUMN(AC3331)-1))))-1),"")</f>
        <v>46265</v>
      </c>
      <c r="L3331" s="17" t="str">
        <f aca="false" t="array" ref="L3331:L3331">IFERROR(INDEX(AC3331:AE3331,IF(COUNTA(AC3331:AE3331)=0,"",MAX((AC3331:AE3331&lt;&gt;"")*(COLUMN(AC3331:AE3331)-(COLUMN(AC3331)-2))))-1),"")</f>
        <v>ARCHIVED</v>
      </c>
      <c r="M3331" s="13" t="n">
        <f aca="true">K3331-TODAY()</f>
        <v>-59</v>
      </c>
      <c r="N3331" s="18" t="s">
        <v>36</v>
      </c>
      <c r="O3331" s="13" t="s">
        <v>146</v>
      </c>
      <c r="P3331" s="19" t="n">
        <v>5195401</v>
      </c>
      <c r="Q3331" s="47" t="s">
        <v>13746</v>
      </c>
      <c r="R3331" s="13" t="s">
        <v>65</v>
      </c>
      <c r="S3331" s="16" t="n">
        <v>37495</v>
      </c>
      <c r="T3331" s="28" t="s">
        <v>40</v>
      </c>
      <c r="U3331" s="13" t="s">
        <v>13747</v>
      </c>
      <c r="V3331" s="13" t="s">
        <v>42</v>
      </c>
      <c r="W3331" s="13" t="s">
        <v>43</v>
      </c>
      <c r="X3331" s="30" t="n">
        <v>85860466183</v>
      </c>
      <c r="Y3331" s="22" t="str">
        <f aca="false">O3331</f>
        <v>Enamel</v>
      </c>
      <c r="Z3331" s="13" t="str">
        <f aca="false">IFERROR(__xludf.dummyfunction("if(BJ3331="""","""",GOOGLETRANSLATE(BJ3331,""auto"",""en""))"),"Enamel")</f>
        <v>Enamel</v>
      </c>
      <c r="AA3331" s="23" t="str">
        <f aca="false">IF(C3331="","", CHOOSE(MONTH(C3331),"January","February","March","April","May","June","July","August","September","October","November","December")&amp;" "&amp;DAY(C3331)&amp;MID("thstndrdth",MIN(9,2*RIGHT(DAY(C3331))*(MOD(DAY(C3331)-11,100)&gt;2)+1),2)&amp;","&amp;TEXT(C3331," yyyy"))</f>
        <v>February 3rd,2026</v>
      </c>
      <c r="AB3331" s="15" t="str">
        <f aca="true">IF(S3331="","",DATEDIF(S3331,TODAY(),"Y")&amp;" Tahun, "&amp;DATEDIF(S3331,TODAY(),"YM")&amp;" Bulan, "&amp;DATEDIF(S3331,TODAY(),"MD")&amp;" Hari")</f>
        <v>24 Tahun, 2 Bulan, 2 Hari</v>
      </c>
      <c r="AC3331" s="18" t="n">
        <v>46056</v>
      </c>
      <c r="AD3331" s="18" t="n">
        <v>46265</v>
      </c>
      <c r="AE3331" s="13" t="s">
        <v>44</v>
      </c>
    </row>
    <row r="3332" customFormat="false" ht="15" hidden="false" customHeight="true" outlineLevel="0" collapsed="false">
      <c r="A3332" s="12" t="n">
        <v>21940</v>
      </c>
      <c r="B3332" s="13" t="s">
        <v>13748</v>
      </c>
      <c r="C3332" s="16" t="n">
        <v>46056</v>
      </c>
      <c r="D3332" s="13" t="s">
        <v>144</v>
      </c>
      <c r="E3332" s="15" t="s">
        <v>33</v>
      </c>
      <c r="F3332" s="15" t="str">
        <f aca="false">IFERROR(__xludf.dummyfunction("XLOOKUP(AJ3332,IMPORTRANGE(""1XaInW9DU9nz21V0tYIfzFQ0He9kVQ_JF2mCXgZ3hqFA"",""REKAP ALL 2026 - Andika!G:G""),IMPORTRANGE(""1XaInW9DU9nz21V0tYIfzFQ0He9kVQ_JF2mCXgZ3hqFA"",""REKAP ALL 2026 - Andika!F:F""),"""",0)"),"26046413311")</f>
        <v>26046413311</v>
      </c>
      <c r="G3332" s="13" t="s">
        <v>1127</v>
      </c>
      <c r="H3332" s="13" t="s">
        <v>35</v>
      </c>
      <c r="I3332" s="13" t="str">
        <f aca="false">IF(C3332=J3332,"NEW KONTRAK","RE-KONTRAK")</f>
        <v>NEW KONTRAK</v>
      </c>
      <c r="J3332" s="16" t="n">
        <f aca="false" t="array" ref="J3332:J3332">IFERROR(INDEX(AC3332:AE3332,IF(COUNTA(AC3332:AE3332)=0,"",MAX((AC3332:AE3332&lt;&gt;"")*(COLUMN(AC3332:AE3332)-(COLUMN(AC3332)))))-1),"")</f>
        <v>46056</v>
      </c>
      <c r="K3332" s="16" t="n">
        <f aca="false" t="array" ref="K3332:K3332">IFERROR(INDEX(AC3332:AE3332,IF(COUNTA(AC3332:AE3332)=0,"",MAX((AC3332:AE3332&lt;&gt;"")*(COLUMN(AC3332:AE3332)-(COLUMN(AC3332)-1))))-1),"")</f>
        <v>46144</v>
      </c>
      <c r="L3332" s="17" t="str">
        <f aca="false" t="array" ref="L3332:L3332">IFERROR(INDEX(AC3332:AE3332,IF(COUNTA(AC3332:AE3332)=0,"",MAX((AC3332:AE3332&lt;&gt;"")*(COLUMN(AC3332:AE3332)-(COLUMN(AC3332)-2))))-1),"")</f>
        <v>ARCHIVED</v>
      </c>
      <c r="M3332" s="13" t="n">
        <f aca="true">K3332-TODAY()</f>
        <v>-180</v>
      </c>
      <c r="N3332" s="18" t="s">
        <v>36</v>
      </c>
      <c r="O3332" s="13" t="s">
        <v>146</v>
      </c>
      <c r="P3332" s="19" t="n">
        <v>5195401</v>
      </c>
      <c r="Q3332" s="47" t="s">
        <v>13749</v>
      </c>
      <c r="R3332" s="13" t="s">
        <v>65</v>
      </c>
      <c r="S3332" s="16" t="n">
        <v>33036</v>
      </c>
      <c r="T3332" s="28" t="s">
        <v>40</v>
      </c>
      <c r="U3332" s="13" t="s">
        <v>13750</v>
      </c>
      <c r="V3332" s="13" t="s">
        <v>42</v>
      </c>
      <c r="W3332" s="13" t="s">
        <v>897</v>
      </c>
      <c r="X3332" s="30" t="n">
        <v>87726224447</v>
      </c>
      <c r="Y3332" s="22" t="str">
        <f aca="false">O3332</f>
        <v>Enamel</v>
      </c>
      <c r="Z3332" s="13" t="str">
        <f aca="false">IFERROR(__xludf.dummyfunction("if(BJ3332="""","""",GOOGLETRANSLATE(BJ3332,""auto"",""en""))"),"Enamel")</f>
        <v>Enamel</v>
      </c>
      <c r="AA3332" s="23" t="str">
        <f aca="false">IF(C3332="","", CHOOSE(MONTH(C3332),"January","February","March","April","May","June","July","August","September","October","November","December")&amp;" "&amp;DAY(C3332)&amp;MID("thstndrdth",MIN(9,2*RIGHT(DAY(C3332))*(MOD(DAY(C3332)-11,100)&gt;2)+1),2)&amp;","&amp;TEXT(C3332," yyyy"))</f>
        <v>February 3rd,2026</v>
      </c>
      <c r="AB3332" s="15" t="str">
        <f aca="true">IF(S3332="","",DATEDIF(S3332,TODAY(),"Y")&amp;" Tahun, "&amp;DATEDIF(S3332,TODAY(),"YM")&amp;" Bulan, "&amp;DATEDIF(S3332,TODAY(),"MD")&amp;" Hari")</f>
        <v>36 Tahun, 4 Bulan, 17 Hari</v>
      </c>
      <c r="AC3332" s="18" t="n">
        <v>46056</v>
      </c>
      <c r="AD3332" s="18" t="n">
        <f aca="false">EDATE(AC3332,3)-1</f>
        <v>46144</v>
      </c>
      <c r="AE3332" s="13" t="s">
        <v>44</v>
      </c>
    </row>
    <row r="3333" customFormat="false" ht="15" hidden="false" customHeight="true" outlineLevel="0" collapsed="false">
      <c r="A3333" s="12" t="n">
        <v>21941</v>
      </c>
      <c r="B3333" s="13" t="s">
        <v>13751</v>
      </c>
      <c r="C3333" s="16" t="n">
        <v>46059</v>
      </c>
      <c r="D3333" s="13" t="s">
        <v>144</v>
      </c>
      <c r="E3333" s="13" t="s">
        <v>789</v>
      </c>
      <c r="F3333" s="15" t="str">
        <f aca="false">IFERROR(__xludf.dummyfunction("XLOOKUP(AJ3333,IMPORTRANGE(""1XaInW9DU9nz21V0tYIfzFQ0He9kVQ_JF2mCXgZ3hqFA"",""REKAP ALL 2026 - Andika!G:G""),IMPORTRANGE(""1XaInW9DU9nz21V0tYIfzFQ0He9kVQ_JF2mCXgZ3hqFA"",""REKAP ALL 2026 - Andika!F:F""),"""",0)"),"26046413394")</f>
        <v>26046413394</v>
      </c>
      <c r="G3333" s="13" t="s">
        <v>1127</v>
      </c>
      <c r="H3333" s="13" t="s">
        <v>35</v>
      </c>
      <c r="I3333" s="13" t="str">
        <f aca="false">IF(C3333=J3333,"NEW KONTRAK","RE-KONTRAK")</f>
        <v>NEW KONTRAK</v>
      </c>
      <c r="J3333" s="16" t="n">
        <f aca="false" t="array" ref="J3333:J3333">IFERROR(INDEX(AC3333:AE3333,IF(COUNTA(AC3333:AE3333)=0,"",MAX((AC3333:AE3333&lt;&gt;"")*(COLUMN(AC3333:AE3333)-(COLUMN(AC3333)))))-1),"")</f>
        <v>46059</v>
      </c>
      <c r="K3333" s="16" t="n">
        <f aca="false" t="array" ref="K3333:K3333">IFERROR(INDEX(AC3333:AE3333,IF(COUNTA(AC3333:AE3333)=0,"",MAX((AC3333:AE3333&lt;&gt;"")*(COLUMN(AC3333:AE3333)-(COLUMN(AC3333)-1))))-1),"")</f>
        <v>46265</v>
      </c>
      <c r="L3333" s="17" t="str">
        <f aca="false" t="array" ref="L3333:L3333">IFERROR(INDEX(AC3333:AE3333,IF(COUNTA(AC3333:AE3333)=0,"",MAX((AC3333:AE3333&lt;&gt;"")*(COLUMN(AC3333:AE3333)-(COLUMN(AC3333)-2))))-1),"")</f>
        <v>ARCHIVED</v>
      </c>
      <c r="M3333" s="13" t="n">
        <f aca="true">K3333-TODAY()</f>
        <v>-59</v>
      </c>
      <c r="N3333" s="18" t="s">
        <v>36</v>
      </c>
      <c r="O3333" s="13" t="s">
        <v>11801</v>
      </c>
      <c r="P3333" s="19" t="n">
        <v>5195401</v>
      </c>
      <c r="Q3333" s="47" t="s">
        <v>13752</v>
      </c>
      <c r="R3333" s="13" t="s">
        <v>39</v>
      </c>
      <c r="S3333" s="16" t="n">
        <v>37825</v>
      </c>
      <c r="T3333" s="28" t="s">
        <v>40</v>
      </c>
      <c r="U3333" s="13" t="s">
        <v>13753</v>
      </c>
      <c r="V3333" s="13" t="s">
        <v>42</v>
      </c>
      <c r="W3333" s="13" t="s">
        <v>43</v>
      </c>
      <c r="X3333" s="13" t="n">
        <v>82245021330</v>
      </c>
      <c r="Y3333" s="22" t="str">
        <f aca="false">O3333</f>
        <v>Produksi Enamel</v>
      </c>
      <c r="Z3333" s="13" t="str">
        <f aca="false">IFERROR(__xludf.dummyfunction("if(BJ3333="""","""",GOOGLETRANSLATE(BJ3333,""auto"",""en""))"),"Enamel Production")</f>
        <v>Enamel Production</v>
      </c>
      <c r="AA3333" s="23" t="str">
        <f aca="false">IF(C3333="","", CHOOSE(MONTH(C3333),"January","February","March","April","May","June","July","August","September","October","November","December")&amp;" "&amp;DAY(C3333)&amp;MID("thstndrdth",MIN(9,2*RIGHT(DAY(C3333))*(MOD(DAY(C3333)-11,100)&gt;2)+1),2)&amp;","&amp;TEXT(C3333," yyyy"))</f>
        <v>February 6th,2026</v>
      </c>
      <c r="AB3333" s="15" t="str">
        <f aca="true">IF(S3333="","",DATEDIF(S3333,TODAY(),"Y")&amp;" Tahun, "&amp;DATEDIF(S3333,TODAY(),"YM")&amp;" Bulan, "&amp;DATEDIF(S3333,TODAY(),"MD")&amp;" Hari")</f>
        <v>23 Tahun, 3 Bulan, 6 Hari</v>
      </c>
      <c r="AC3333" s="18" t="n">
        <v>46059</v>
      </c>
      <c r="AD3333" s="18" t="n">
        <v>46265</v>
      </c>
      <c r="AE3333" s="13" t="s">
        <v>44</v>
      </c>
    </row>
    <row r="3334" customFormat="false" ht="15" hidden="false" customHeight="true" outlineLevel="0" collapsed="false">
      <c r="A3334" s="12" t="n">
        <v>21942</v>
      </c>
      <c r="B3334" s="13" t="s">
        <v>13754</v>
      </c>
      <c r="C3334" s="16" t="n">
        <v>46065</v>
      </c>
      <c r="D3334" s="13" t="s">
        <v>144</v>
      </c>
      <c r="E3334" s="15" t="s">
        <v>33</v>
      </c>
      <c r="F3334" s="15" t="str">
        <f aca="false">IFERROR(__xludf.dummyfunction("XLOOKUP(AJ3334,IMPORTRANGE(""1XaInW9DU9nz21V0tYIfzFQ0He9kVQ_JF2mCXgZ3hqFA"",""REKAP ALL 2026 - Andika!G:G""),IMPORTRANGE(""1XaInW9DU9nz21V0tYIfzFQ0He9kVQ_JF2mCXgZ3hqFA"",""REKAP ALL 2026 - Andika!F:F""),"""",0)"),"26046413154")</f>
        <v>26046413154</v>
      </c>
      <c r="G3334" s="13" t="s">
        <v>1127</v>
      </c>
      <c r="H3334" s="13" t="s">
        <v>35</v>
      </c>
      <c r="I3334" s="13" t="str">
        <f aca="false">IF(C3334=J3334,"NEW KONTRAK","RE-KONTRAK")</f>
        <v>NEW KONTRAK</v>
      </c>
      <c r="J3334" s="16" t="n">
        <f aca="false" t="array" ref="J3334:J3334">IFERROR(INDEX(AC3334:AE3334,IF(COUNTA(AC3334:AE3334)=0,"",MAX((AC3334:AE3334&lt;&gt;"")*(COLUMN(AC3334:AE3334)-(COLUMN(AC3334)))))-1),"")</f>
        <v>46065</v>
      </c>
      <c r="K3334" s="16" t="n">
        <f aca="false" t="array" ref="K3334:K3334">IFERROR(INDEX(AC3334:AE3334,IF(COUNTA(AC3334:AE3334)=0,"",MAX((AC3334:AE3334&lt;&gt;"")*(COLUMN(AC3334:AE3334)-(COLUMN(AC3334)-1))))-1),"")</f>
        <v>46153</v>
      </c>
      <c r="L3334" s="17" t="str">
        <f aca="false" t="array" ref="L3334:L3334">IFERROR(INDEX(AC3334:AE3334,IF(COUNTA(AC3334:AE3334)=0,"",MAX((AC3334:AE3334&lt;&gt;"")*(COLUMN(AC3334:AE3334)-(COLUMN(AC3334)-2))))-1),"")</f>
        <v>ARCHIVED</v>
      </c>
      <c r="M3334" s="13" t="n">
        <f aca="true">K3334-TODAY()</f>
        <v>-171</v>
      </c>
      <c r="N3334" s="18" t="s">
        <v>36</v>
      </c>
      <c r="O3334" s="13" t="s">
        <v>146</v>
      </c>
      <c r="P3334" s="19" t="n">
        <v>5195401</v>
      </c>
      <c r="Q3334" s="47" t="s">
        <v>13755</v>
      </c>
      <c r="R3334" s="13" t="s">
        <v>39</v>
      </c>
      <c r="S3334" s="16" t="n">
        <v>38133</v>
      </c>
      <c r="T3334" s="28" t="s">
        <v>40</v>
      </c>
      <c r="U3334" s="13" t="s">
        <v>13756</v>
      </c>
      <c r="V3334" s="13" t="s">
        <v>42</v>
      </c>
      <c r="W3334" s="13" t="s">
        <v>43</v>
      </c>
      <c r="X3334" s="30" t="n">
        <v>82212646471</v>
      </c>
      <c r="Y3334" s="22" t="str">
        <f aca="false">O3334</f>
        <v>Enamel</v>
      </c>
      <c r="Z3334" s="13" t="str">
        <f aca="false">IFERROR(__xludf.dummyfunction("if(BJ3334="""","""",GOOGLETRANSLATE(BJ3334,""auto"",""en""))"),"Enamel")</f>
        <v>Enamel</v>
      </c>
      <c r="AA3334" s="23" t="str">
        <f aca="false">IF(C3334="","", CHOOSE(MONTH(C3334),"January","February","March","April","May","June","July","August","September","October","November","December")&amp;" "&amp;DAY(C3334)&amp;MID("thstndrdth",MIN(9,2*RIGHT(DAY(C3334))*(MOD(DAY(C3334)-11,100)&gt;2)+1),2)&amp;","&amp;TEXT(C3334," yyyy"))</f>
        <v>February 12th,2026</v>
      </c>
      <c r="AB3334" s="15" t="str">
        <f aca="true">IF(S3334="","",DATEDIF(S3334,TODAY(),"Y")&amp;" Tahun, "&amp;DATEDIF(S3334,TODAY(),"YM")&amp;" Bulan, "&amp;DATEDIF(S3334,TODAY(),"MD")&amp;" Hari")</f>
        <v>22 Tahun, 5 Bulan, 3 Hari</v>
      </c>
      <c r="AC3334" s="18" t="n">
        <v>46065</v>
      </c>
      <c r="AD3334" s="18" t="n">
        <f aca="false">EDATE(AC3334,3)-1</f>
        <v>46153</v>
      </c>
      <c r="AE3334" s="13" t="s">
        <v>44</v>
      </c>
    </row>
    <row r="3335" customFormat="false" ht="15" hidden="false" customHeight="true" outlineLevel="0" collapsed="false">
      <c r="A3335" s="12" t="n">
        <v>21943</v>
      </c>
      <c r="B3335" s="13" t="s">
        <v>13757</v>
      </c>
      <c r="C3335" s="16" t="n">
        <v>46049</v>
      </c>
      <c r="D3335" s="13" t="s">
        <v>144</v>
      </c>
      <c r="E3335" s="15" t="s">
        <v>102</v>
      </c>
      <c r="F3335" s="24" t="s">
        <v>13758</v>
      </c>
      <c r="G3335" s="13" t="s">
        <v>1127</v>
      </c>
      <c r="H3335" s="13" t="s">
        <v>35</v>
      </c>
      <c r="I3335" s="13" t="str">
        <f aca="false">IF(C3335=J3335,"NEW KONTRAK","RE-KONTRAK")</f>
        <v>NEW KONTRAK</v>
      </c>
      <c r="J3335" s="16" t="n">
        <f aca="false" t="array" ref="J3335:J3335">IFERROR(INDEX(AC3335:AE3335,IF(COUNTA(AC3335:AE3335)=0,"",MAX((AC3335:AE3335&lt;&gt;"")*(COLUMN(AC3335:AE3335)-(COLUMN(AC3335)))))-1),"")</f>
        <v>46049</v>
      </c>
      <c r="K3335" s="16" t="n">
        <f aca="false" t="array" ref="K3335:K3335">IFERROR(INDEX(AC3335:AE3335,IF(COUNTA(AC3335:AE3335)=0,"",MAX((AC3335:AE3335&lt;&gt;"")*(COLUMN(AC3335:AE3335)-(COLUMN(AC3335)-1))))-1),"")</f>
        <v>46138</v>
      </c>
      <c r="L3335" s="17" t="str">
        <f aca="false" t="array" ref="L3335:L3335">IFERROR(INDEX(AC3335:AE3335,IF(COUNTA(AC3335:AE3335)=0,"",MAX((AC3335:AE3335&lt;&gt;"")*(COLUMN(AC3335:AE3335)-(COLUMN(AC3335)-2))))-1),"")</f>
        <v>ARCHIVED</v>
      </c>
      <c r="M3335" s="13" t="n">
        <f aca="true">K3335-TODAY()</f>
        <v>-186</v>
      </c>
      <c r="N3335" s="18" t="s">
        <v>36</v>
      </c>
      <c r="O3335" s="13" t="s">
        <v>13759</v>
      </c>
      <c r="P3335" s="19" t="n">
        <v>5195401</v>
      </c>
      <c r="Q3335" s="47" t="s">
        <v>13760</v>
      </c>
      <c r="R3335" s="13" t="s">
        <v>148</v>
      </c>
      <c r="S3335" s="16" t="n">
        <v>36291</v>
      </c>
      <c r="T3335" s="13" t="s">
        <v>108</v>
      </c>
      <c r="U3335" s="13" t="s">
        <v>13761</v>
      </c>
      <c r="V3335" s="13" t="s">
        <v>42</v>
      </c>
      <c r="W3335" s="13" t="s">
        <v>43</v>
      </c>
      <c r="X3335" s="30" t="n">
        <v>87843799371</v>
      </c>
      <c r="Y3335" s="22" t="str">
        <f aca="false">O3335</f>
        <v>Admin B2B</v>
      </c>
      <c r="Z3335" s="13" t="str">
        <f aca="false">IFERROR(__xludf.dummyfunction("if(BJ3335="""","""",GOOGLETRANSLATE(BJ3335,""auto"",""en""))"),"B2B Admin")</f>
        <v>B2B Admin</v>
      </c>
      <c r="AA3335" s="23" t="str">
        <f aca="false">IF(C3335="","", CHOOSE(MONTH(C3335),"January","February","March","April","May","June","July","August","September","October","November","December")&amp;" "&amp;DAY(C3335)&amp;MID("thstndrdth",MIN(9,2*RIGHT(DAY(C3335))*(MOD(DAY(C3335)-11,100)&gt;2)+1),2)&amp;","&amp;TEXT(C3335," yyyy"))</f>
        <v>January 27th,2026</v>
      </c>
      <c r="AB3335" s="15" t="str">
        <f aca="true">IF(S3335="","",DATEDIF(S3335,TODAY(),"Y")&amp;" Tahun, "&amp;DATEDIF(S3335,TODAY(),"YM")&amp;" Bulan, "&amp;DATEDIF(S3335,TODAY(),"MD")&amp;" Hari")</f>
        <v>27 Tahun, 5 Bulan, 18 Hari</v>
      </c>
      <c r="AC3335" s="18" t="n">
        <v>46049</v>
      </c>
      <c r="AD3335" s="18" t="n">
        <f aca="false">EDATE(AC3335,3)-1</f>
        <v>46138</v>
      </c>
      <c r="AE3335" s="13" t="s">
        <v>44</v>
      </c>
    </row>
    <row r="3336" customFormat="false" ht="15" hidden="false" customHeight="true" outlineLevel="0" collapsed="false">
      <c r="A3336" s="12" t="n">
        <v>21944</v>
      </c>
      <c r="B3336" s="13" t="s">
        <v>13762</v>
      </c>
      <c r="C3336" s="16" t="n">
        <v>46049</v>
      </c>
      <c r="D3336" s="13" t="s">
        <v>144</v>
      </c>
      <c r="E3336" s="15" t="s">
        <v>47</v>
      </c>
      <c r="F3336" s="15" t="str">
        <f aca="false">IFERROR(__xludf.dummyfunction("XLOOKUP(AJ3336,IMPORTRANGE(""1XaInW9DU9nz21V0tYIfzFQ0He9kVQ_JF2mCXgZ3hqFA"",""REKAP ALL 2026 - Andika!G:G""),IMPORTRANGE(""1XaInW9DU9nz21V0tYIfzFQ0He9kVQ_JF2mCXgZ3hqFA"",""REKAP ALL 2026 - Andika!F:F""),"""",0)"),"26035117063")</f>
        <v>26035117063</v>
      </c>
      <c r="G3336" s="13" t="s">
        <v>1127</v>
      </c>
      <c r="H3336" s="13" t="s">
        <v>35</v>
      </c>
      <c r="I3336" s="13" t="str">
        <f aca="false">IF(C3336=J3336,"NEW KONTRAK","RE-KONTRAK")</f>
        <v>NEW KONTRAK</v>
      </c>
      <c r="J3336" s="16" t="n">
        <f aca="false" t="array" ref="J3336:J3336">IFERROR(INDEX(AC3336:AE3336,IF(COUNTA(AC3336:AE3336)=0,"",MAX((AC3336:AE3336&lt;&gt;"")*(COLUMN(AC3336:AE3336)-(COLUMN(AC3336)))))-1),"")</f>
        <v>46049</v>
      </c>
      <c r="K3336" s="16" t="n">
        <f aca="false" t="array" ref="K3336:K3336">IFERROR(INDEX(AC3336:AE3336,IF(COUNTA(AC3336:AE3336)=0,"",MAX((AC3336:AE3336&lt;&gt;"")*(COLUMN(AC3336:AE3336)-(COLUMN(AC3336)-1))))-1),"")</f>
        <v>46265</v>
      </c>
      <c r="L3336" s="17" t="str">
        <f aca="false" t="array" ref="L3336:L3336">IFERROR(INDEX(AC3336:AE3336,IF(COUNTA(AC3336:AE3336)=0,"",MAX((AC3336:AE3336&lt;&gt;"")*(COLUMN(AC3336:AE3336)-(COLUMN(AC3336)-2))))-1),"")</f>
        <v>ARCHIVED</v>
      </c>
      <c r="M3336" s="13" t="n">
        <f aca="true">K3336-TODAY()</f>
        <v>-59</v>
      </c>
      <c r="N3336" s="18" t="s">
        <v>36</v>
      </c>
      <c r="O3336" s="13" t="s">
        <v>13763</v>
      </c>
      <c r="P3336" s="19" t="n">
        <v>5195401</v>
      </c>
      <c r="Q3336" s="47" t="s">
        <v>13764</v>
      </c>
      <c r="R3336" s="13" t="s">
        <v>78</v>
      </c>
      <c r="S3336" s="16" t="n">
        <v>35534</v>
      </c>
      <c r="T3336" s="13" t="s">
        <v>108</v>
      </c>
      <c r="U3336" s="13" t="s">
        <v>13765</v>
      </c>
      <c r="V3336" s="13" t="s">
        <v>42</v>
      </c>
      <c r="W3336" s="13" t="s">
        <v>54</v>
      </c>
      <c r="X3336" s="30" t="n">
        <v>82240659657</v>
      </c>
      <c r="Y3336" s="22" t="str">
        <f aca="false">O3336</f>
        <v>Admin Marine</v>
      </c>
      <c r="Z3336" s="13" t="str">
        <f aca="false">IFERROR(__xludf.dummyfunction("if(BJ3336="""","""",GOOGLETRANSLATE(BJ3336,""auto"",""en""))"),"Admin Marine")</f>
        <v>Admin Marine</v>
      </c>
      <c r="AA3336" s="23" t="str">
        <f aca="false">IF(C3336="","", CHOOSE(MONTH(C3336),"January","February","March","April","May","June","July","August","September","October","November","December")&amp;" "&amp;DAY(C3336)&amp;MID("thstndrdth",MIN(9,2*RIGHT(DAY(C3336))*(MOD(DAY(C3336)-11,100)&gt;2)+1),2)&amp;","&amp;TEXT(C3336," yyyy"))</f>
        <v>January 27th,2026</v>
      </c>
      <c r="AB3336" s="15" t="str">
        <f aca="true">IF(S3336="","",DATEDIF(S3336,TODAY(),"Y")&amp;" Tahun, "&amp;DATEDIF(S3336,TODAY(),"YM")&amp;" Bulan, "&amp;DATEDIF(S3336,TODAY(),"MD")&amp;" Hari")</f>
        <v>29 Tahun, 6 Bulan, 15 Hari</v>
      </c>
      <c r="AC3336" s="18" t="n">
        <v>46049</v>
      </c>
      <c r="AD3336" s="18" t="n">
        <v>46265</v>
      </c>
      <c r="AE3336" s="13" t="s">
        <v>44</v>
      </c>
    </row>
    <row r="3337" customFormat="false" ht="15" hidden="false" customHeight="true" outlineLevel="0" collapsed="false">
      <c r="A3337" s="12" t="n">
        <v>21945</v>
      </c>
      <c r="B3337" s="13" t="s">
        <v>13766</v>
      </c>
      <c r="C3337" s="16" t="n">
        <v>46083</v>
      </c>
      <c r="D3337" s="13" t="s">
        <v>144</v>
      </c>
      <c r="E3337" s="15" t="s">
        <v>33</v>
      </c>
      <c r="F3337" s="15" t="str">
        <f aca="false">IFERROR(__xludf.dummyfunction("XLOOKUP(AJ3337,IMPORTRANGE(""1XaInW9DU9nz21V0tYIfzFQ0He9kVQ_JF2mCXgZ3hqFA"",""REKAP ALL 2026 - Andika!G:G""),IMPORTRANGE(""1XaInW9DU9nz21V0tYIfzFQ0He9kVQ_JF2mCXgZ3hqFA"",""REKAP ALL 2026 - Andika!F:F""),"""",0)"),"26046413527")</f>
        <v>26046413527</v>
      </c>
      <c r="G3337" s="13" t="s">
        <v>1127</v>
      </c>
      <c r="H3337" s="13" t="s">
        <v>35</v>
      </c>
      <c r="I3337" s="13" t="str">
        <f aca="false">IF(C3337=J3337,"NEW KONTRAK","RE-KONTRAK")</f>
        <v>NEW KONTRAK</v>
      </c>
      <c r="J3337" s="16" t="n">
        <f aca="false" t="array" ref="J3337:J3337">IFERROR(INDEX(AC3337:AE3337,IF(COUNTA(AC3337:AE3337)=0,"",MAX((AC3337:AE3337&lt;&gt;"")*(COLUMN(AC3337:AE3337)-(COLUMN(AC3337)))))-1),"")</f>
        <v>46083</v>
      </c>
      <c r="K3337" s="16" t="n">
        <f aca="false" t="array" ref="K3337:K3337">IFERROR(INDEX(AC3337:AE3337,IF(COUNTA(AC3337:AE3337)=0,"",MAX((AC3337:AE3337&lt;&gt;"")*(COLUMN(AC3337:AE3337)-(COLUMN(AC3337)-1))))-1),"")</f>
        <v>46174</v>
      </c>
      <c r="L3337" s="17" t="str">
        <f aca="false" t="array" ref="L3337:L3337">IFERROR(INDEX(AC3337:AE3337,IF(COUNTA(AC3337:AE3337)=0,"",MAX((AC3337:AE3337&lt;&gt;"")*(COLUMN(AC3337:AE3337)-(COLUMN(AC3337)-2))))-1),"")</f>
        <v>ARCHIVED</v>
      </c>
      <c r="M3337" s="13" t="n">
        <f aca="true">K3337-TODAY()</f>
        <v>-150</v>
      </c>
      <c r="N3337" s="18" t="s">
        <v>36</v>
      </c>
      <c r="O3337" s="13" t="s">
        <v>146</v>
      </c>
      <c r="P3337" s="19" t="n">
        <v>5195401</v>
      </c>
      <c r="Q3337" s="47" t="s">
        <v>13767</v>
      </c>
      <c r="R3337" s="13" t="s">
        <v>65</v>
      </c>
      <c r="S3337" s="16" t="n">
        <v>35166</v>
      </c>
      <c r="T3337" s="28" t="s">
        <v>40</v>
      </c>
      <c r="U3337" s="13" t="s">
        <v>13768</v>
      </c>
      <c r="V3337" s="13" t="s">
        <v>99</v>
      </c>
      <c r="W3337" s="13" t="s">
        <v>43</v>
      </c>
      <c r="X3337" s="30" t="n">
        <v>85869245937</v>
      </c>
      <c r="Y3337" s="22" t="str">
        <f aca="false">O3337</f>
        <v>Enamel</v>
      </c>
      <c r="Z3337" s="13" t="str">
        <f aca="false">IFERROR(__xludf.dummyfunction("if(BJ3337="""","""",GOOGLETRANSLATE(BJ3337,""auto"",""en""))"),"Enamel")</f>
        <v>Enamel</v>
      </c>
      <c r="AA3337" s="23" t="str">
        <f aca="false">IF(C3337="","", CHOOSE(MONTH(C3337),"January","February","March","April","May","June","July","August","September","October","November","December")&amp;" "&amp;DAY(C3337)&amp;MID("thstndrdth",MIN(9,2*RIGHT(DAY(C3337))*(MOD(DAY(C3337)-11,100)&gt;2)+1),2)&amp;","&amp;TEXT(C3337," yyyy"))</f>
        <v>March 2nd,2026</v>
      </c>
      <c r="AB3337" s="15" t="str">
        <f aca="true">IF(S3337="","",DATEDIF(S3337,TODAY(),"Y")&amp;" Tahun, "&amp;DATEDIF(S3337,TODAY(),"YM")&amp;" Bulan, "&amp;DATEDIF(S3337,TODAY(),"MD")&amp;" Hari")</f>
        <v>30 Tahun, 6 Bulan, 18 Hari</v>
      </c>
      <c r="AC3337" s="18" t="n">
        <v>46083</v>
      </c>
      <c r="AD3337" s="18" t="n">
        <f aca="false">EDATE(AC3337,3)-1</f>
        <v>46174</v>
      </c>
      <c r="AE3337" s="13" t="s">
        <v>44</v>
      </c>
    </row>
    <row r="3338" customFormat="false" ht="15" hidden="false" customHeight="true" outlineLevel="0" collapsed="false">
      <c r="A3338" s="12" t="n">
        <v>21946</v>
      </c>
      <c r="B3338" s="13" t="s">
        <v>13769</v>
      </c>
      <c r="C3338" s="16" t="n">
        <v>46086</v>
      </c>
      <c r="D3338" s="13" t="s">
        <v>144</v>
      </c>
      <c r="E3338" s="15" t="s">
        <v>102</v>
      </c>
      <c r="F3338" s="15" t="str">
        <f aca="false">IFERROR(__xludf.dummyfunction("XLOOKUP(AJ3338,IMPORTRANGE(""1XaInW9DU9nz21V0tYIfzFQ0He9kVQ_JF2mCXgZ3hqFA"",""REKAP ALL 2026 - Andika!G:G""),IMPORTRANGE(""1XaInW9DU9nz21V0tYIfzFQ0He9kVQ_JF2mCXgZ3hqFA"",""REKAP ALL 2026 - Andika!F:F""),"""",0)"),"26046413543")</f>
        <v>26046413543</v>
      </c>
      <c r="G3338" s="13" t="s">
        <v>1127</v>
      </c>
      <c r="H3338" s="13" t="s">
        <v>35</v>
      </c>
      <c r="I3338" s="13" t="str">
        <f aca="false">IF(C3338=J3338,"NEW KONTRAK","RE-KONTRAK")</f>
        <v>NEW KONTRAK</v>
      </c>
      <c r="J3338" s="16" t="n">
        <f aca="false" t="array" ref="J3338:J3338">IFERROR(INDEX(AC3338:AE3338,IF(COUNTA(AC3338:AE3338)=0,"",MAX((AC3338:AE3338&lt;&gt;"")*(COLUMN(AC3338:AE3338)-(COLUMN(AC3338)))))-1),"")</f>
        <v>46086</v>
      </c>
      <c r="K3338" s="16" t="n">
        <f aca="false" t="array" ref="K3338:K3338">IFERROR(INDEX(AC3338:AE3338,IF(COUNTA(AC3338:AE3338)=0,"",MAX((AC3338:AE3338&lt;&gt;"")*(COLUMN(AC3338:AE3338)-(COLUMN(AC3338)-1))))-1),"")</f>
        <v>46265</v>
      </c>
      <c r="L3338" s="17" t="str">
        <f aca="false" t="array" ref="L3338:L3338">IFERROR(INDEX(AC3338:AE3338,IF(COUNTA(AC3338:AE3338)=0,"",MAX((AC3338:AE3338&lt;&gt;"")*(COLUMN(AC3338:AE3338)-(COLUMN(AC3338)-2))))-1),"")</f>
        <v>ARCHIVED</v>
      </c>
      <c r="M3338" s="13" t="n">
        <f aca="true">K3338-TODAY()</f>
        <v>-59</v>
      </c>
      <c r="N3338" s="18" t="s">
        <v>36</v>
      </c>
      <c r="O3338" s="13" t="s">
        <v>146</v>
      </c>
      <c r="P3338" s="19" t="n">
        <v>5195401</v>
      </c>
      <c r="Q3338" s="47" t="s">
        <v>13770</v>
      </c>
      <c r="R3338" s="13" t="s">
        <v>52</v>
      </c>
      <c r="S3338" s="16" t="n">
        <v>39272</v>
      </c>
      <c r="T3338" s="28" t="s">
        <v>40</v>
      </c>
      <c r="U3338" s="13" t="s">
        <v>13771</v>
      </c>
      <c r="V3338" s="13" t="s">
        <v>99</v>
      </c>
      <c r="W3338" s="13" t="s">
        <v>43</v>
      </c>
      <c r="X3338" s="30" t="n">
        <v>85826547935</v>
      </c>
      <c r="Y3338" s="22" t="str">
        <f aca="false">O3338</f>
        <v>Enamel</v>
      </c>
      <c r="Z3338" s="13" t="str">
        <f aca="false">IFERROR(__xludf.dummyfunction("if(BJ3338="""","""",GOOGLETRANSLATE(BJ3338,""auto"",""en""))"),"Enamel")</f>
        <v>Enamel</v>
      </c>
      <c r="AA3338" s="23" t="str">
        <f aca="false">IF(C3338="","", CHOOSE(MONTH(C3338),"January","February","March","April","May","June","July","August","September","October","November","December")&amp;" "&amp;DAY(C3338)&amp;MID("thstndrdth",MIN(9,2*RIGHT(DAY(C3338))*(MOD(DAY(C3338)-11,100)&gt;2)+1),2)&amp;","&amp;TEXT(C3338," yyyy"))</f>
        <v>March 5th,2026</v>
      </c>
      <c r="AB3338" s="15" t="str">
        <f aca="true">IF(S3338="","",DATEDIF(S3338,TODAY(),"Y")&amp;" Tahun, "&amp;DATEDIF(S3338,TODAY(),"YM")&amp;" Bulan, "&amp;DATEDIF(S3338,TODAY(),"MD")&amp;" Hari")</f>
        <v>19 Tahun, 3 Bulan, 20 Hari</v>
      </c>
      <c r="AC3338" s="18" t="n">
        <v>46086</v>
      </c>
      <c r="AD3338" s="18" t="n">
        <v>46265</v>
      </c>
      <c r="AE3338" s="13" t="s">
        <v>44</v>
      </c>
    </row>
    <row r="3339" customFormat="false" ht="15" hidden="false" customHeight="true" outlineLevel="0" collapsed="false">
      <c r="A3339" s="12" t="n">
        <v>21947</v>
      </c>
      <c r="B3339" s="13" t="s">
        <v>13772</v>
      </c>
      <c r="C3339" s="16" t="n">
        <v>46084</v>
      </c>
      <c r="D3339" s="13" t="s">
        <v>404</v>
      </c>
      <c r="E3339" s="15" t="s">
        <v>47</v>
      </c>
      <c r="F3339" s="15" t="str">
        <f aca="false">IFERROR(__xludf.dummyfunction("XLOOKUP(AJ3339,IMPORTRANGE(""1XaInW9DU9nz21V0tYIfzFQ0He9kVQ_JF2mCXgZ3hqFA"",""REKAP ALL 2026 - Andika!G:G""),IMPORTRANGE(""1XaInW9DU9nz21V0tYIfzFQ0He9kVQ_JF2mCXgZ3hqFA"",""REKAP ALL 2026 - Andika!F:F""),"""",0)"),"26046411604")</f>
        <v>26046411604</v>
      </c>
      <c r="G3339" s="13" t="s">
        <v>1127</v>
      </c>
      <c r="H3339" s="13" t="s">
        <v>35</v>
      </c>
      <c r="I3339" s="13" t="str">
        <f aca="false">IF(C3339=J3339,"NEW KONTRAK","RE-KONTRAK")</f>
        <v>NEW KONTRAK</v>
      </c>
      <c r="J3339" s="16" t="n">
        <f aca="false" t="array" ref="J3339:J3339">IFERROR(INDEX(AC3339:AE3339,IF(COUNTA(AC3339:AE3339)=0,"",MAX((AC3339:AE3339&lt;&gt;"")*(COLUMN(AC3339:AE3339)-(COLUMN(AC3339)))))-1),"")</f>
        <v>46084</v>
      </c>
      <c r="K3339" s="16" t="n">
        <f aca="false" t="array" ref="K3339:K3339">IFERROR(INDEX(AC3339:AE3339,IF(COUNTA(AC3339:AE3339)=0,"",MAX((AC3339:AE3339&lt;&gt;"")*(COLUMN(AC3339:AE3339)-(COLUMN(AC3339)-1))))-1),"")</f>
        <v>46387</v>
      </c>
      <c r="L3339" s="17" t="str">
        <f aca="false" t="array" ref="L3339:L3339">IFERROR(INDEX(AC3339:AE3339,IF(COUNTA(AC3339:AE3339)=0,"",MAX((AC3339:AE3339&lt;&gt;"")*(COLUMN(AC3339:AE3339)-(COLUMN(AC3339)-2))))-1),"")</f>
        <v>ARCHIVED</v>
      </c>
      <c r="M3339" s="13" t="n">
        <f aca="true">K3339-TODAY()</f>
        <v>63</v>
      </c>
      <c r="N3339" s="18" t="s">
        <v>36</v>
      </c>
      <c r="O3339" s="13" t="s">
        <v>13773</v>
      </c>
      <c r="P3339" s="26" t="n">
        <v>5195401</v>
      </c>
      <c r="Q3339" s="47" t="s">
        <v>13774</v>
      </c>
      <c r="R3339" s="13" t="s">
        <v>73</v>
      </c>
      <c r="S3339" s="16" t="n">
        <v>38156</v>
      </c>
      <c r="T3339" s="28" t="s">
        <v>40</v>
      </c>
      <c r="U3339" s="13" t="s">
        <v>13775</v>
      </c>
      <c r="V3339" s="13" t="s">
        <v>42</v>
      </c>
      <c r="W3339" s="13" t="s">
        <v>43</v>
      </c>
      <c r="X3339" s="30" t="n">
        <v>89546519398</v>
      </c>
      <c r="Y3339" s="22" t="str">
        <f aca="false">O3339</f>
        <v>Bongkaran</v>
      </c>
      <c r="Z3339" s="13" t="str">
        <f aca="false">IFERROR(__xludf.dummyfunction("if(BJ3339="""","""",GOOGLETRANSLATE(BJ3339,""auto"",""en""))"),"Dismantling")</f>
        <v>Dismantling</v>
      </c>
      <c r="AA3339" s="23" t="str">
        <f aca="false">IF(C3339="","", CHOOSE(MONTH(C3339),"January","February","March","April","May","June","July","August","September","October","November","December")&amp;" "&amp;DAY(C3339)&amp;MID("thstndrdth",MIN(9,2*RIGHT(DAY(C3339))*(MOD(DAY(C3339)-11,100)&gt;2)+1),2)&amp;","&amp;TEXT(C3339," yyyy"))</f>
        <v>March 3rd,2026</v>
      </c>
      <c r="AB3339" s="15" t="str">
        <f aca="true">IF(S3339="","",DATEDIF(S3339,TODAY(),"Y")&amp;" Tahun, "&amp;DATEDIF(S3339,TODAY(),"YM")&amp;" Bulan, "&amp;DATEDIF(S3339,TODAY(),"MD")&amp;" Hari")</f>
        <v>22 Tahun, 4 Bulan, 11 Hari</v>
      </c>
      <c r="AC3339" s="18" t="n">
        <v>46084</v>
      </c>
      <c r="AD3339" s="18" t="n">
        <v>46387</v>
      </c>
      <c r="AE3339" s="13" t="s">
        <v>44</v>
      </c>
    </row>
    <row r="3340" customFormat="false" ht="15" hidden="false" customHeight="true" outlineLevel="0" collapsed="false">
      <c r="A3340" s="12" t="n">
        <v>21948</v>
      </c>
      <c r="B3340" s="13" t="s">
        <v>13776</v>
      </c>
      <c r="C3340" s="14" t="n">
        <v>46107</v>
      </c>
      <c r="D3340" s="13" t="s">
        <v>961</v>
      </c>
      <c r="E3340" s="15" t="s">
        <v>47</v>
      </c>
      <c r="F3340" s="15" t="str">
        <f aca="false">IFERROR(__xludf.dummyfunction("XLOOKUP(AJ3340,IMPORTRANGE(""1XaInW9DU9nz21V0tYIfzFQ0He9kVQ_JF2mCXgZ3hqFA"",""REKAP ALL 2026 - Andika!G:G""),IMPORTRANGE(""1XaInW9DU9nz21V0tYIfzFQ0He9kVQ_JF2mCXgZ3hqFA"",""REKAP ALL 2026 - Andika!F:F""),"""",0)"),"25012462641")</f>
        <v>25012462641</v>
      </c>
      <c r="G3340" s="15" t="s">
        <v>13777</v>
      </c>
      <c r="H3340" s="13" t="s">
        <v>35</v>
      </c>
      <c r="I3340" s="13" t="str">
        <f aca="false">IF(C3340=J3340,"NEW KONTRAK","RE-KONTRAK")</f>
        <v>NEW KONTRAK</v>
      </c>
      <c r="J3340" s="16" t="n">
        <f aca="false" t="array" ref="J3340:J3340">IFERROR(INDEX(AC3340:AE3340,IF(COUNTA(AC3340:AE3340)=0,"",MAX((AC3340:AE3340&lt;&gt;"")*(COLUMN(AC3340:AE3340)-(COLUMN(AC3340)))))-1),"")</f>
        <v>46107</v>
      </c>
      <c r="K3340" s="16" t="n">
        <f aca="false" t="array" ref="K3340:K3340">IFERROR(INDEX(AC3340:AE3340,IF(COUNTA(AC3340:AE3340)=0,"",MAX((AC3340:AE3340&lt;&gt;"")*(COLUMN(AC3340:AE3340)-(COLUMN(AC3340)-1))))-1),"")</f>
        <v>46290</v>
      </c>
      <c r="L3340" s="17" t="str">
        <f aca="false" t="array" ref="L3340:L3340">IFERROR(INDEX(AC3340:AE3340,IF(COUNTA(AC3340:AE3340)=0,"",MAX((AC3340:AE3340&lt;&gt;"")*(COLUMN(AC3340:AE3340)-(COLUMN(AC3340)-2))))-1),"")</f>
        <v>KEMBALI ONLINE</v>
      </c>
      <c r="M3340" s="13" t="n">
        <f aca="true">K3340-TODAY()</f>
        <v>-34</v>
      </c>
      <c r="N3340" s="18" t="s">
        <v>728</v>
      </c>
      <c r="O3340" s="13" t="s">
        <v>3849</v>
      </c>
      <c r="P3340" s="19" t="n">
        <v>5288796</v>
      </c>
      <c r="Q3340" s="20" t="s">
        <v>13778</v>
      </c>
      <c r="R3340" s="13" t="s">
        <v>232</v>
      </c>
      <c r="S3340" s="14" t="n">
        <v>33911</v>
      </c>
      <c r="T3340" s="13" t="s">
        <v>40</v>
      </c>
      <c r="U3340" s="13" t="s">
        <v>13779</v>
      </c>
      <c r="V3340" s="13" t="s">
        <v>42</v>
      </c>
      <c r="W3340" s="13" t="s">
        <v>54</v>
      </c>
      <c r="X3340" s="21" t="n">
        <v>81357818737</v>
      </c>
      <c r="Y3340" s="22" t="str">
        <f aca="false">O3340</f>
        <v>Operator B3</v>
      </c>
      <c r="Z3340" s="13" t="str">
        <f aca="false">IFERROR(__xludf.dummyfunction("if(BJ3340="""","""",GOOGLETRANSLATE(BJ3340,""auto"",""en""))"),"Operator B3")</f>
        <v>Operator B3</v>
      </c>
      <c r="AA3340" s="23" t="str">
        <f aca="false">IF(C3340="","", CHOOSE(MONTH(C3340),"January","February","March","April","May","June","July","August","September","October","November","December")&amp;" "&amp;DAY(C3340)&amp;MID("thstndrdth",MIN(9,2*RIGHT(DAY(C3340))*(MOD(DAY(C3340)-11,100)&gt;2)+1),2)&amp;","&amp;TEXT(C3340," yyyy"))</f>
        <v>March 26th,2026</v>
      </c>
      <c r="AB3340" s="15" t="str">
        <f aca="true">IF(S3340="","",DATEDIF(S3340,TODAY(),"Y")&amp;" Tahun, "&amp;DATEDIF(S3340,TODAY(),"YM")&amp;" Bulan, "&amp;DATEDIF(S3340,TODAY(),"MD")&amp;" Hari")</f>
        <v>33 Tahun, 11 Bulan, 26 Hari</v>
      </c>
      <c r="AC3340" s="53" t="n">
        <v>46107</v>
      </c>
      <c r="AD3340" s="18" t="n">
        <f aca="false">EDATE(AC3340,6)-1</f>
        <v>46290</v>
      </c>
      <c r="AE3340" s="13" t="s">
        <v>2387</v>
      </c>
    </row>
    <row r="3341" customFormat="false" ht="15" hidden="false" customHeight="true" outlineLevel="0" collapsed="false">
      <c r="A3341" s="12" t="n">
        <v>21951</v>
      </c>
      <c r="B3341" s="13" t="s">
        <v>13780</v>
      </c>
      <c r="C3341" s="14" t="n">
        <v>46082</v>
      </c>
      <c r="D3341" s="13" t="s">
        <v>2046</v>
      </c>
      <c r="E3341" s="15" t="s">
        <v>102</v>
      </c>
      <c r="F3341" s="15" t="str">
        <f aca="false">IFERROR(__xludf.dummyfunction("XLOOKUP(AJ3341,IMPORTRANGE(""1XaInW9DU9nz21V0tYIfzFQ0He9kVQ_JF2mCXgZ3hqFA"",""REKAP ALL 2026 - Andika!G:G""),IMPORTRANGE(""1XaInW9DU9nz21V0tYIfzFQ0He9kVQ_JF2mCXgZ3hqFA"",""REKAP ALL 2026 - Andika!F:F""),"""",0)"),"26062995613")</f>
        <v>26062995613</v>
      </c>
      <c r="G3341" s="13" t="s">
        <v>1127</v>
      </c>
      <c r="H3341" s="13" t="s">
        <v>35</v>
      </c>
      <c r="I3341" s="13" t="str">
        <f aca="false">IF(C3341=J3341,"NEW KONTRAK","RE-KONTRAK")</f>
        <v>NEW KONTRAK</v>
      </c>
      <c r="J3341" s="16" t="n">
        <f aca="false" t="array" ref="J3341:J3341">IFERROR(INDEX(AC3341:AE3341,IF(COUNTA(AC3341:AE3341)=0,"",MAX((AC3341:AE3341&lt;&gt;"")*(COLUMN(AC3341:AE3341)-(COLUMN(AC3341)))))-1),"")</f>
        <v>46082</v>
      </c>
      <c r="K3341" s="16" t="n">
        <f aca="false" t="array" ref="K3341:K3341">IFERROR(INDEX(AC3341:AE3341,IF(COUNTA(AC3341:AE3341)=0,"",MAX((AC3341:AE3341&lt;&gt;"")*(COLUMN(AC3341:AE3341)-(COLUMN(AC3341)-1))))-1),"")</f>
        <v>46112</v>
      </c>
      <c r="L3341" s="17" t="str">
        <f aca="false" t="array" ref="L3341:L3341">IFERROR(INDEX(AC3341:AE3341,IF(COUNTA(AC3341:AE3341)=0,"",MAX((AC3341:AE3341&lt;&gt;"")*(COLUMN(AC3341:AE3341)-(COLUMN(AC3341)-2))))-1),"")</f>
        <v>KEMBALI</v>
      </c>
      <c r="M3341" s="13" t="n">
        <f aca="true">K3341-TODAY()</f>
        <v>-212</v>
      </c>
      <c r="N3341" s="18" t="s">
        <v>36</v>
      </c>
      <c r="O3341" s="13" t="s">
        <v>13781</v>
      </c>
      <c r="P3341" s="19" t="s">
        <v>2050</v>
      </c>
      <c r="Q3341" s="47" t="s">
        <v>13782</v>
      </c>
      <c r="R3341" s="13" t="s">
        <v>65</v>
      </c>
      <c r="S3341" s="14" t="n">
        <v>36741</v>
      </c>
      <c r="T3341" s="28" t="s">
        <v>40</v>
      </c>
      <c r="U3341" s="13" t="s">
        <v>13783</v>
      </c>
      <c r="V3341" s="13" t="s">
        <v>42</v>
      </c>
      <c r="W3341" s="13" t="s">
        <v>43</v>
      </c>
      <c r="X3341" s="21" t="n">
        <v>83130743533</v>
      </c>
      <c r="Y3341" s="22" t="str">
        <f aca="false">O3341</f>
        <v>Operator Extrude</v>
      </c>
      <c r="Z3341" s="13" t="str">
        <f aca="false">IFERROR(__xludf.dummyfunction("if(BJ3341="""","""",GOOGLETRANSLATE(BJ3341,""auto"",""en""))"),"Operator Extrude")</f>
        <v>Operator Extrude</v>
      </c>
      <c r="AA3341" s="23" t="str">
        <f aca="false">IF(C3341="","", CHOOSE(MONTH(C3341),"January","February","March","April","May","June","July","August","September","October","November","December")&amp;" "&amp;DAY(C3341)&amp;MID("thstndrdth",MIN(9,2*RIGHT(DAY(C3341))*(MOD(DAY(C3341)-11,100)&gt;2)+1),2)&amp;","&amp;TEXT(C3341," yyyy"))</f>
        <v>March 1st,2026</v>
      </c>
      <c r="AB3341" s="15" t="str">
        <f aca="true">IF(S3341="","",DATEDIF(S3341,TODAY(),"Y")&amp;" Tahun, "&amp;DATEDIF(S3341,TODAY(),"YM")&amp;" Bulan, "&amp;DATEDIF(S3341,TODAY(),"MD")&amp;" Hari")</f>
        <v>26 Tahun, 2 Bulan, 26 Hari</v>
      </c>
      <c r="AC3341" s="53" t="n">
        <v>46082</v>
      </c>
      <c r="AD3341" s="18" t="n">
        <f aca="false">EDATE(AC3341,1)-1</f>
        <v>46112</v>
      </c>
      <c r="AE3341" s="13" t="s">
        <v>397</v>
      </c>
    </row>
    <row r="3342" customFormat="false" ht="15" hidden="false" customHeight="true" outlineLevel="0" collapsed="false">
      <c r="A3342" s="12" t="n">
        <v>21952</v>
      </c>
      <c r="B3342" s="13" t="s">
        <v>13784</v>
      </c>
      <c r="C3342" s="16" t="n">
        <v>46087</v>
      </c>
      <c r="D3342" s="13" t="s">
        <v>3022</v>
      </c>
      <c r="E3342" s="15" t="s">
        <v>47</v>
      </c>
      <c r="F3342" s="15" t="str">
        <f aca="false">IFERROR(__xludf.dummyfunction("XLOOKUP(AJ3342,IMPORTRANGE(""1XaInW9DU9nz21V0tYIfzFQ0He9kVQ_JF2mCXgZ3hqFA"",""REKAP ALL 2026 - Andika!G:G""),IMPORTRANGE(""1XaInW9DU9nz21V0tYIfzFQ0He9kVQ_JF2mCXgZ3hqFA"",""REKAP ALL 2026 - Andika!F:F""),"""",0)"),"26046413188")</f>
        <v>26046413188</v>
      </c>
      <c r="G3342" s="13" t="s">
        <v>57</v>
      </c>
      <c r="H3342" s="13" t="s">
        <v>3024</v>
      </c>
      <c r="I3342" s="13" t="str">
        <f aca="false">IF(C3342=J3342,"NEW KONTRAK","RE-KONTRAK")</f>
        <v>NEW KONTRAK</v>
      </c>
      <c r="J3342" s="16" t="n">
        <f aca="false" t="array" ref="J3342:J3342">IFERROR(INDEX(AC3342:AE3342,IF(COUNTA(AC3342:AE3342)=0,"",MAX((AC3342:AE3342&lt;&gt;"")*(COLUMN(AC3342:AE3342)-(COLUMN(AC3342)))))-1),"")</f>
        <v>46087</v>
      </c>
      <c r="K3342" s="16" t="n">
        <f aca="false" t="array" ref="K3342:K3342">IFERROR(INDEX(AC3342:AE3342,IF(COUNTA(AC3342:AE3342)=0,"",MAX((AC3342:AE3342&lt;&gt;"")*(COLUMN(AC3342:AE3342)-(COLUMN(AC3342)-1))))-1),"")</f>
        <v>46178</v>
      </c>
      <c r="L3342" s="17" t="str">
        <f aca="false" t="array" ref="L3342:L3342">IFERROR(INDEX(AC3342:AE3342,IF(COUNTA(AC3342:AE3342)=0,"",MAX((AC3342:AE3342&lt;&gt;"")*(COLUMN(AC3342:AE3342)-(COLUMN(AC3342)-2))))-1),"")</f>
        <v>ARCHIVED</v>
      </c>
      <c r="M3342" s="13" t="n">
        <f aca="true">K3342-TODAY()</f>
        <v>-146</v>
      </c>
      <c r="N3342" s="18" t="s">
        <v>36</v>
      </c>
      <c r="O3342" s="13" t="s">
        <v>3750</v>
      </c>
      <c r="P3342" s="19" t="n">
        <v>112500</v>
      </c>
      <c r="Q3342" s="47" t="s">
        <v>13785</v>
      </c>
      <c r="R3342" s="13" t="s">
        <v>52</v>
      </c>
      <c r="S3342" s="16" t="n">
        <v>34030</v>
      </c>
      <c r="T3342" s="28" t="s">
        <v>40</v>
      </c>
      <c r="U3342" s="13" t="s">
        <v>13786</v>
      </c>
      <c r="V3342" s="13" t="s">
        <v>42</v>
      </c>
      <c r="W3342" s="13" t="s">
        <v>43</v>
      </c>
      <c r="X3342" s="21" t="n">
        <v>85704087435</v>
      </c>
      <c r="Y3342" s="22" t="str">
        <f aca="false">O3342</f>
        <v>Produksi ( Painting )</v>
      </c>
      <c r="Z3342" s="13" t="str">
        <f aca="false">IFERROR(__xludf.dummyfunction("if(BJ3342="""","""",GOOGLETRANSLATE(BJ3342,""auto"",""en""))"),"Production (Painting)")</f>
        <v>Production (Painting)</v>
      </c>
      <c r="AA3342" s="23" t="str">
        <f aca="false">IF(C3342="","", CHOOSE(MONTH(C3342),"January","February","March","April","May","June","July","August","September","October","November","December")&amp;" "&amp;DAY(C3342)&amp;MID("thstndrdth",MIN(9,2*RIGHT(DAY(C3342))*(MOD(DAY(C3342)-11,100)&gt;2)+1),2)&amp;","&amp;TEXT(C3342," yyyy"))</f>
        <v>March 6th,2026</v>
      </c>
      <c r="AB3342" s="15" t="str">
        <f aca="true">IF(S3342="","",DATEDIF(S3342,TODAY(),"Y")&amp;" Tahun, "&amp;DATEDIF(S3342,TODAY(),"YM")&amp;" Bulan, "&amp;DATEDIF(S3342,TODAY(),"MD")&amp;" Hari")</f>
        <v>33 Tahun, 7 Bulan, 27 Hari</v>
      </c>
      <c r="AC3342" s="18" t="n">
        <v>46087</v>
      </c>
      <c r="AD3342" s="18" t="n">
        <f aca="false">EDATE(AC3342,3)-1</f>
        <v>46178</v>
      </c>
      <c r="AE3342" s="18" t="s">
        <v>44</v>
      </c>
    </row>
    <row r="3343" customFormat="false" ht="15" hidden="false" customHeight="true" outlineLevel="0" collapsed="false">
      <c r="A3343" s="12" t="n">
        <v>21953</v>
      </c>
      <c r="B3343" s="13" t="s">
        <v>13787</v>
      </c>
      <c r="C3343" s="79" t="n">
        <v>46073</v>
      </c>
      <c r="D3343" s="13" t="s">
        <v>2033</v>
      </c>
      <c r="E3343" s="15" t="s">
        <v>102</v>
      </c>
      <c r="F3343" s="15" t="str">
        <f aca="false">IFERROR(__xludf.dummyfunction("XLOOKUP(AJ3343,IMPORTRANGE(""1XaInW9DU9nz21V0tYIfzFQ0He9kVQ_JF2mCXgZ3hqFA"",""REKAP ALL 2026 - Andika!G:G""),IMPORTRANGE(""1XaInW9DU9nz21V0tYIfzFQ0He9kVQ_JF2mCXgZ3hqFA"",""REKAP ALL 2026 - Andika!F:F""),"""",0)"),"26035115869")</f>
        <v>26035115869</v>
      </c>
      <c r="G3343" s="13" t="s">
        <v>1127</v>
      </c>
      <c r="H3343" s="13" t="s">
        <v>35</v>
      </c>
      <c r="I3343" s="13" t="str">
        <f aca="false">IF(C3343=J3343,"NEW KONTRAK","RE-KONTRAK")</f>
        <v>NEW KONTRAK</v>
      </c>
      <c r="J3343" s="16" t="n">
        <f aca="false" t="array" ref="J3343:J3343">IFERROR(INDEX(AC3343:AE3343,IF(COUNTA(AC3343:AE3343)=0,"",MAX((AC3343:AE3343&lt;&gt;"")*(COLUMN(AC3343:AE3343)-(COLUMN(AC3343)))))-1),"")</f>
        <v>46073</v>
      </c>
      <c r="K3343" s="16" t="n">
        <f aca="false" t="array" ref="K3343:K3343">IFERROR(INDEX(AC3343:AE3343,IF(COUNTA(AC3343:AE3343)=0,"",MAX((AC3343:AE3343&lt;&gt;"")*(COLUMN(AC3343:AE3343)-(COLUMN(AC3343)-1))))-1),"")</f>
        <v>46188</v>
      </c>
      <c r="L3343" s="17" t="str">
        <f aca="false" t="array" ref="L3343:L3343">IFERROR(INDEX(AC3343:AE3343,IF(COUNTA(AC3343:AE3343)=0,"",MAX((AC3343:AE3343&lt;&gt;"")*(COLUMN(AC3343:AE3343)-(COLUMN(AC3343)-2))))-1),"")</f>
        <v>ARCHIVED</v>
      </c>
      <c r="M3343" s="13" t="n">
        <f aca="true">K3343-TODAY()</f>
        <v>-136</v>
      </c>
      <c r="N3343" s="51" t="s">
        <v>3248</v>
      </c>
      <c r="O3343" s="13" t="s">
        <v>5017</v>
      </c>
      <c r="P3343" s="19" t="n">
        <v>5357982</v>
      </c>
      <c r="Q3343" s="47" t="s">
        <v>13788</v>
      </c>
      <c r="R3343" s="13" t="s">
        <v>3248</v>
      </c>
      <c r="S3343" s="16" t="n">
        <v>33547</v>
      </c>
      <c r="T3343" s="13" t="s">
        <v>108</v>
      </c>
      <c r="U3343" s="13" t="s">
        <v>13789</v>
      </c>
      <c r="V3343" s="13" t="s">
        <v>42</v>
      </c>
      <c r="W3343" s="13" t="s">
        <v>54</v>
      </c>
      <c r="X3343" s="21" t="n">
        <v>85766272377</v>
      </c>
      <c r="Y3343" s="22" t="str">
        <f aca="false">O3343</f>
        <v>Sales</v>
      </c>
      <c r="Z3343" s="13" t="str">
        <f aca="false">IFERROR(__xludf.dummyfunction("if(BJ3343="""","""",GOOGLETRANSLATE(BJ3343,""auto"",""en""))"),"Sales")</f>
        <v>Sales</v>
      </c>
      <c r="AA3343" s="23" t="str">
        <f aca="false">IF(C3343="","", CHOOSE(MONTH(C3343),"January","February","March","April","May","June","July","August","September","October","November","December")&amp;" "&amp;DAY(C3343)&amp;MID("thstndrdth",MIN(9,2*RIGHT(DAY(C3343))*(MOD(DAY(C3343)-11,100)&gt;2)+1),2)&amp;","&amp;TEXT(C3343," yyyy"))</f>
        <v>February 20th,2026</v>
      </c>
      <c r="AB3343" s="15" t="str">
        <f aca="true">IF(S3343="","",DATEDIF(S3343,TODAY(),"Y")&amp;" Tahun, "&amp;DATEDIF(S3343,TODAY(),"YM")&amp;" Bulan, "&amp;DATEDIF(S3343,TODAY(),"MD")&amp;" Hari")</f>
        <v>34 Tahun, 11 Bulan, 24 Hari</v>
      </c>
      <c r="AC3343" s="80" t="n">
        <v>46073</v>
      </c>
      <c r="AD3343" s="18" t="n">
        <v>46188</v>
      </c>
      <c r="AE3343" s="18" t="s">
        <v>44</v>
      </c>
    </row>
    <row r="3344" customFormat="false" ht="15" hidden="false" customHeight="true" outlineLevel="0" collapsed="false">
      <c r="A3344" s="12" t="n">
        <v>9524</v>
      </c>
      <c r="B3344" s="13" t="s">
        <v>13790</v>
      </c>
      <c r="C3344" s="14" t="n">
        <v>44059</v>
      </c>
      <c r="D3344" s="13" t="s">
        <v>2033</v>
      </c>
      <c r="E3344" s="15" t="s">
        <v>47</v>
      </c>
      <c r="F3344" s="15" t="str">
        <f aca="false">IFERROR(__xludf.dummyfunction("XLOOKUP(AJ3344,IMPORTRANGE(""1XaInW9DU9nz21V0tYIfzFQ0He9kVQ_JF2mCXgZ3hqFA"",""REKAP ALL 2026 - Andika!G:G""),IMPORTRANGE(""1XaInW9DU9nz21V0tYIfzFQ0He9kVQ_JF2mCXgZ3hqFA"",""REKAP ALL 2026 - Andika!F:F""),"""",0)"),"23006032538")</f>
        <v>23006032538</v>
      </c>
      <c r="G3344" s="13" t="s">
        <v>13791</v>
      </c>
      <c r="H3344" s="13" t="s">
        <v>2035</v>
      </c>
      <c r="I3344" s="13" t="str">
        <f aca="false">IF(C3344=J3344,"NEW KONTRAK","RE-KONTRAK")</f>
        <v>RE-KONTRAK</v>
      </c>
      <c r="J3344" s="16" t="n">
        <f aca="false" t="array" ref="J3344:J3344">IFERROR(INDEX(AC3344:AE3344,IF(COUNTA(AC3344:AE3344)=0,"",MAX((AC3344:AE3344&lt;&gt;"")*(COLUMN(AC3344:AE3344)-(COLUMN(AC3344)))))-1),"")</f>
        <v>45744</v>
      </c>
      <c r="K3344" s="16" t="n">
        <f aca="false" t="array" ref="K3344:K3344">IFERROR(INDEX(AC3344:AE3344,IF(COUNTA(AC3344:AE3344)=0,"",MAX((AC3344:AE3344&lt;&gt;"")*(COLUMN(AC3344:AE3344)-(COLUMN(AC3344)-1))))-1),"")</f>
        <v>45915</v>
      </c>
      <c r="L3344" s="17" t="str">
        <f aca="false" t="array" ref="L3344:L3344">IFERROR(INDEX(AC3344:AE3344,IF(COUNTA(AC3344:AE3344)=0,"",MAX((AC3344:AE3344&lt;&gt;"")*(COLUMN(AC3344:AE3344)-(COLUMN(AC3344)-2))))-1),"")</f>
        <v>ARCHIVED</v>
      </c>
      <c r="M3344" s="13" t="n">
        <f aca="true">K3344-TODAY()</f>
        <v>-409</v>
      </c>
      <c r="N3344" s="18" t="s">
        <v>2356</v>
      </c>
      <c r="O3344" s="13" t="s">
        <v>2037</v>
      </c>
      <c r="P3344" s="19" t="n">
        <v>4148179</v>
      </c>
      <c r="Q3344" s="20" t="s">
        <v>13792</v>
      </c>
      <c r="R3344" s="13" t="s">
        <v>2356</v>
      </c>
      <c r="S3344" s="14" t="n">
        <v>37201</v>
      </c>
      <c r="T3344" s="13" t="s">
        <v>108</v>
      </c>
      <c r="U3344" s="13" t="s">
        <v>13793</v>
      </c>
      <c r="V3344" s="13" t="s">
        <v>42</v>
      </c>
      <c r="W3344" s="13" t="s">
        <v>43</v>
      </c>
      <c r="X3344" s="21" t="n">
        <v>85696016090</v>
      </c>
      <c r="Y3344" s="22" t="str">
        <f aca="false">O3344</f>
        <v>SPG/BA</v>
      </c>
      <c r="Z3344" s="13" t="str">
        <f aca="false">IFERROR(__xludf.dummyfunction("if(BJ3344="""","""",GOOGLETRANSLATE(BJ3344,""auto"",""en""))"),"SPG/BA")</f>
        <v>SPG/BA</v>
      </c>
      <c r="AA3344" s="23" t="str">
        <f aca="false">IF(C3344="","", CHOOSE(MONTH(C3344),"January","February","March","April","May","June","July","August","September","October","November","December")&amp;" "&amp;DAY(C3344)&amp;MID("thstndrdth",MIN(9,2*RIGHT(DAY(C3344))*(MOD(DAY(C3344)-11,100)&gt;2)+1),2)&amp;","&amp;TEXT(C3344," yyyy"))</f>
        <v>August 16th,2020</v>
      </c>
      <c r="AB3344" s="15" t="str">
        <f aca="true">IF(S3344="","",DATEDIF(S3344,TODAY(),"Y")&amp;" Tahun, "&amp;DATEDIF(S3344,TODAY(),"YM")&amp;" Bulan, "&amp;DATEDIF(S3344,TODAY(),"MD")&amp;" Hari")</f>
        <v>24 Tahun, 11 Bulan, 23 Hari</v>
      </c>
      <c r="AC3344" s="18" t="n">
        <v>45744</v>
      </c>
      <c r="AD3344" s="18" t="n">
        <v>45915</v>
      </c>
      <c r="AE3344" s="18" t="s">
        <v>44</v>
      </c>
    </row>
    <row r="3345" customFormat="false" ht="15" hidden="false" customHeight="true" outlineLevel="0" collapsed="false">
      <c r="A3345" s="12" t="n">
        <v>21955</v>
      </c>
      <c r="B3345" s="69" t="s">
        <v>13794</v>
      </c>
      <c r="C3345" s="79" t="n">
        <v>46086</v>
      </c>
      <c r="D3345" s="13" t="s">
        <v>2033</v>
      </c>
      <c r="E3345" s="15" t="s">
        <v>12803</v>
      </c>
      <c r="F3345" s="24" t="s">
        <v>13795</v>
      </c>
      <c r="G3345" s="13" t="s">
        <v>1127</v>
      </c>
      <c r="H3345" s="13" t="s">
        <v>35</v>
      </c>
      <c r="I3345" s="13" t="str">
        <f aca="false">IF(C3345=J3345,"NEW KONTRAK","RE-KONTRAK")</f>
        <v>NEW KONTRAK</v>
      </c>
      <c r="J3345" s="16" t="n">
        <f aca="false" t="array" ref="J3345:J3345">IFERROR(INDEX(AC3345:AE3345,IF(COUNTA(AC3345:AE3345)=0,"",MAX((AC3345:AE3345&lt;&gt;"")*(COLUMN(AC3345:AE3345)-(COLUMN(AC3345)))))-1),"")</f>
        <v>46086</v>
      </c>
      <c r="K3345" s="16" t="n">
        <f aca="false" t="array" ref="K3345:K3345">IFERROR(INDEX(AC3345:AE3345,IF(COUNTA(AC3345:AE3345)=0,"",MAX((AC3345:AE3345&lt;&gt;"")*(COLUMN(AC3345:AE3345)-(COLUMN(AC3345)-1))))-1),"")</f>
        <v>46122</v>
      </c>
      <c r="L3345" s="17" t="str">
        <f aca="false" t="array" ref="L3345:L3345">IFERROR(INDEX(AC3345:AE3345,IF(COUNTA(AC3345:AE3345)=0,"",MAX((AC3345:AE3345&lt;&gt;"")*(COLUMN(AC3345:AE3345)-(COLUMN(AC3345)-2))))-1),"")</f>
        <v>ARCHIVED</v>
      </c>
      <c r="M3345" s="13" t="n">
        <f aca="true">K3345-TODAY()</f>
        <v>-202</v>
      </c>
      <c r="N3345" s="18" t="s">
        <v>4498</v>
      </c>
      <c r="O3345" s="13" t="s">
        <v>2037</v>
      </c>
      <c r="P3345" s="19" t="n">
        <v>2633700</v>
      </c>
      <c r="Q3345" s="47" t="s">
        <v>13796</v>
      </c>
      <c r="R3345" s="13" t="s">
        <v>4498</v>
      </c>
      <c r="S3345" s="16" t="n">
        <v>35088</v>
      </c>
      <c r="T3345" s="13" t="s">
        <v>108</v>
      </c>
      <c r="U3345" s="13" t="s">
        <v>13797</v>
      </c>
      <c r="V3345" s="13" t="s">
        <v>42</v>
      </c>
      <c r="W3345" s="13" t="s">
        <v>43</v>
      </c>
      <c r="X3345" s="13" t="n">
        <v>82329681213</v>
      </c>
      <c r="Y3345" s="22" t="str">
        <f aca="false">O3345</f>
        <v>SPG/BA</v>
      </c>
      <c r="Z3345" s="13" t="str">
        <f aca="false">IFERROR(__xludf.dummyfunction("if(BJ3345="""","""",GOOGLETRANSLATE(BJ3345,""auto"",""en""))"),"SPG/BA")</f>
        <v>SPG/BA</v>
      </c>
      <c r="AA3345" s="23" t="str">
        <f aca="false">IF(C3345="","", CHOOSE(MONTH(C3345),"January","February","March","April","May","June","July","August","September","October","November","December")&amp;" "&amp;DAY(C3345)&amp;MID("thstndrdth",MIN(9,2*RIGHT(DAY(C3345))*(MOD(DAY(C3345)-11,100)&gt;2)+1),2)&amp;","&amp;TEXT(C3345," yyyy"))</f>
        <v>March 5th,2026</v>
      </c>
      <c r="AB3345" s="15" t="str">
        <f aca="true">IF(S3345="","",DATEDIF(S3345,TODAY(),"Y")&amp;" Tahun, "&amp;DATEDIF(S3345,TODAY(),"YM")&amp;" Bulan, "&amp;DATEDIF(S3345,TODAY(),"MD")&amp;" Hari")</f>
        <v>30 Tahun, 9 Bulan, 5 Hari</v>
      </c>
      <c r="AC3345" s="80" t="n">
        <v>46086</v>
      </c>
      <c r="AD3345" s="18" t="n">
        <v>46122</v>
      </c>
      <c r="AE3345" s="18" t="s">
        <v>44</v>
      </c>
    </row>
    <row r="3346" customFormat="false" ht="15.75" hidden="false" customHeight="true" outlineLevel="0" collapsed="false">
      <c r="A3346" s="12" t="n">
        <v>21956</v>
      </c>
      <c r="B3346" s="69" t="s">
        <v>13798</v>
      </c>
      <c r="C3346" s="79" t="n">
        <v>46088</v>
      </c>
      <c r="D3346" s="13" t="s">
        <v>2033</v>
      </c>
      <c r="E3346" s="15" t="s">
        <v>102</v>
      </c>
      <c r="F3346" s="15" t="str">
        <f aca="false">IFERROR(__xludf.dummyfunction("XLOOKUP(AJ3346,IMPORTRANGE(""1XaInW9DU9nz21V0tYIfzFQ0He9kVQ_JF2mCXgZ3hqFA"",""REKAP ALL 2026 - Andika!G:G""),IMPORTRANGE(""1XaInW9DU9nz21V0tYIfzFQ0He9kVQ_JF2mCXgZ3hqFA"",""REKAP ALL 2026 - Andika!F:F""),"""",0)"),"26062983072")</f>
        <v>26062983072</v>
      </c>
      <c r="G3346" s="13" t="s">
        <v>1127</v>
      </c>
      <c r="H3346" s="13" t="s">
        <v>35</v>
      </c>
      <c r="I3346" s="13" t="str">
        <f aca="false">IF(C3346=J3346,"NEW KONTRAK","RE-KONTRAK")</f>
        <v>NEW KONTRAK</v>
      </c>
      <c r="J3346" s="16" t="n">
        <f aca="false" t="array" ref="J3346:J3346">IFERROR(INDEX(AC3346:AE3346,IF(COUNTA(AC3346:AE3346)=0,"",MAX((AC3346:AE3346&lt;&gt;"")*(COLUMN(AC3346:AE3346)-(COLUMN(AC3346)))))-1),"")</f>
        <v>46088</v>
      </c>
      <c r="K3346" s="16" t="n">
        <f aca="false" t="array" ref="K3346:K3346">IFERROR(INDEX(AC3346:AE3346,IF(COUNTA(AC3346:AE3346)=0,"",MAX((AC3346:AE3346&lt;&gt;"")*(COLUMN(AC3346:AE3346)-(COLUMN(AC3346)-1))))-1),"")</f>
        <v>46188</v>
      </c>
      <c r="L3346" s="17" t="str">
        <f aca="false" t="array" ref="L3346:L3346">IFERROR(INDEX(AC3346:AE3346,IF(COUNTA(AC3346:AE3346)=0,"",MAX((AC3346:AE3346&lt;&gt;"")*(COLUMN(AC3346:AE3346)-(COLUMN(AC3346)-2))))-1),"")</f>
        <v>KEMBALI</v>
      </c>
      <c r="M3346" s="13" t="n">
        <f aca="true">K3346-TODAY()</f>
        <v>-136</v>
      </c>
      <c r="N3346" s="18" t="s">
        <v>2373</v>
      </c>
      <c r="O3346" s="13" t="s">
        <v>2037</v>
      </c>
      <c r="P3346" s="19" t="n">
        <v>2570000</v>
      </c>
      <c r="Q3346" s="47" t="s">
        <v>13799</v>
      </c>
      <c r="R3346" s="13" t="s">
        <v>97</v>
      </c>
      <c r="S3346" s="16" t="n">
        <v>38113</v>
      </c>
      <c r="T3346" s="13" t="s">
        <v>108</v>
      </c>
      <c r="U3346" s="13" t="s">
        <v>13800</v>
      </c>
      <c r="V3346" s="13" t="s">
        <v>42</v>
      </c>
      <c r="W3346" s="13" t="s">
        <v>43</v>
      </c>
      <c r="X3346" s="76" t="s">
        <v>13801</v>
      </c>
      <c r="Y3346" s="22" t="str">
        <f aca="false">O3346</f>
        <v>SPG/BA</v>
      </c>
      <c r="Z3346" s="13" t="str">
        <f aca="false">IFERROR(__xludf.dummyfunction("if(BJ3346="""","""",GOOGLETRANSLATE(BJ3346,""auto"",""en""))"),"SPG/BA")</f>
        <v>SPG/BA</v>
      </c>
      <c r="AA3346" s="23" t="str">
        <f aca="false">IF(C3346="","", CHOOSE(MONTH(C3346),"January","February","March","April","May","June","July","August","September","October","November","December")&amp;" "&amp;DAY(C3346)&amp;MID("thstndrdth",MIN(9,2*RIGHT(DAY(C3346))*(MOD(DAY(C3346)-11,100)&gt;2)+1),2)&amp;","&amp;TEXT(C3346," yyyy"))</f>
        <v>March 7th,2026</v>
      </c>
      <c r="AB3346" s="15" t="str">
        <f aca="true">IF(S3346="","",DATEDIF(S3346,TODAY(),"Y")&amp;" Tahun, "&amp;DATEDIF(S3346,TODAY(),"YM")&amp;" Bulan, "&amp;DATEDIF(S3346,TODAY(),"MD")&amp;" Hari")</f>
        <v>22 Tahun, 5 Bulan, 23 Hari</v>
      </c>
      <c r="AC3346" s="80" t="n">
        <v>46088</v>
      </c>
      <c r="AD3346" s="18" t="n">
        <v>46188</v>
      </c>
      <c r="AE3346" s="13" t="s">
        <v>397</v>
      </c>
    </row>
    <row r="3347" customFormat="false" ht="15.75" hidden="false" customHeight="true" outlineLevel="0" collapsed="false">
      <c r="A3347" s="12" t="n">
        <v>19721</v>
      </c>
      <c r="B3347" s="13" t="s">
        <v>13802</v>
      </c>
      <c r="C3347" s="16" t="n">
        <v>45791</v>
      </c>
      <c r="D3347" s="13" t="s">
        <v>2033</v>
      </c>
      <c r="E3347" s="15" t="s">
        <v>47</v>
      </c>
      <c r="F3347" s="15" t="str">
        <f aca="false">IFERROR(__xludf.dummyfunction("XLOOKUP(AJ3347,IMPORTRANGE(""1XaInW9DU9nz21V0tYIfzFQ0He9kVQ_JF2mCXgZ3hqFA"",""REKAP ALL 2026 - Andika!G:G""),IMPORTRANGE(""1XaInW9DU9nz21V0tYIfzFQ0He9kVQ_JF2mCXgZ3hqFA"",""REKAP ALL 2026 - Andika!F:F""),"""",0)"),"25062536112")</f>
        <v>25062536112</v>
      </c>
      <c r="G3347" s="13" t="s">
        <v>1127</v>
      </c>
      <c r="H3347" s="13" t="s">
        <v>2035</v>
      </c>
      <c r="I3347" s="13" t="str">
        <f aca="false">IF(C3347=J3347,"NEW KONTRAK","RE-KONTRAK")</f>
        <v>NEW KONTRAK</v>
      </c>
      <c r="J3347" s="16" t="n">
        <f aca="false" t="array" ref="J3347:J3347">IFERROR(INDEX(AC3347:AE3347,IF(COUNTA(AC3347:AE3347)=0,"",MAX((AC3347:AE3347&lt;&gt;"")*(COLUMN(AC3347:AE3347)-(COLUMN(AC3347)))))-1),"")</f>
        <v>45791</v>
      </c>
      <c r="K3347" s="16" t="n">
        <f aca="false" t="array" ref="K3347:K3347">IFERROR(INDEX(AC3347:AE3347,IF(COUNTA(AC3347:AE3347)=0,"",MAX((AC3347:AE3347&lt;&gt;"")*(COLUMN(AC3347:AE3347)-(COLUMN(AC3347)-1))))-1),"")</f>
        <v>45915</v>
      </c>
      <c r="L3347" s="17" t="str">
        <f aca="false" t="array" ref="L3347:L3347">IFERROR(INDEX(AC3347:AE3347,IF(COUNTA(AC3347:AE3347)=0,"",MAX((AC3347:AE3347&lt;&gt;"")*(COLUMN(AC3347:AE3347)-(COLUMN(AC3347)-2))))-1),"")</f>
        <v>ARCHIVED</v>
      </c>
      <c r="M3347" s="13" t="n">
        <f aca="true">K3347-TODAY()</f>
        <v>-409</v>
      </c>
      <c r="N3347" s="18" t="s">
        <v>2356</v>
      </c>
      <c r="O3347" s="13" t="s">
        <v>2037</v>
      </c>
      <c r="P3347" s="19" t="n">
        <v>4148179</v>
      </c>
      <c r="Q3347" s="20" t="s">
        <v>13803</v>
      </c>
      <c r="R3347" s="13" t="s">
        <v>232</v>
      </c>
      <c r="S3347" s="16" t="n">
        <v>33902</v>
      </c>
      <c r="T3347" s="13" t="s">
        <v>108</v>
      </c>
      <c r="U3347" s="13" t="s">
        <v>13804</v>
      </c>
      <c r="V3347" s="13" t="s">
        <v>42</v>
      </c>
      <c r="W3347" s="13" t="s">
        <v>43</v>
      </c>
      <c r="X3347" s="21" t="n">
        <v>82318505123</v>
      </c>
      <c r="Y3347" s="22" t="str">
        <f aca="false">O3347</f>
        <v>SPG/BA</v>
      </c>
      <c r="Z3347" s="13" t="str">
        <f aca="false">IFERROR(__xludf.dummyfunction("if(BJ3347="""","""",GOOGLETRANSLATE(BJ3347,""auto"",""en""))"),"SPG/BA")</f>
        <v>SPG/BA</v>
      </c>
      <c r="AA3347" s="23" t="str">
        <f aca="false">IF(C3347="","", CHOOSE(MONTH(C3347),"January","February","March","April","May","June","July","August","September","October","November","December")&amp;" "&amp;DAY(C3347)&amp;MID("thstndrdth",MIN(9,2*RIGHT(DAY(C3347))*(MOD(DAY(C3347)-11,100)&gt;2)+1),2)&amp;","&amp;TEXT(C3347," yyyy"))</f>
        <v>May 14th,2025</v>
      </c>
      <c r="AB3347" s="15" t="str">
        <f aca="true">IF(S3347="","",DATEDIF(S3347,TODAY(),"Y")&amp;" Tahun, "&amp;DATEDIF(S3347,TODAY(),"YM")&amp;" Bulan, "&amp;DATEDIF(S3347,TODAY(),"MD")&amp;" Hari")</f>
        <v>34 Tahun, 0 Bulan, 4 Hari</v>
      </c>
      <c r="AC3347" s="18" t="n">
        <v>45791</v>
      </c>
      <c r="AD3347" s="18" t="n">
        <v>45915</v>
      </c>
      <c r="AE3347" s="18" t="s">
        <v>44</v>
      </c>
    </row>
    <row r="3348" customFormat="false" ht="15" hidden="false" customHeight="true" outlineLevel="0" collapsed="false">
      <c r="A3348" s="12" t="n">
        <v>21958</v>
      </c>
      <c r="B3348" s="13" t="s">
        <v>13805</v>
      </c>
      <c r="C3348" s="16" t="n">
        <v>46093</v>
      </c>
      <c r="D3348" s="13" t="s">
        <v>7948</v>
      </c>
      <c r="E3348" s="15" t="s">
        <v>7949</v>
      </c>
      <c r="F3348" s="15" t="str">
        <f aca="false">IFERROR(__xludf.dummyfunction("XLOOKUP(AJ3348,IMPORTRANGE(""1XaInW9DU9nz21V0tYIfzFQ0He9kVQ_JF2mCXgZ3hqFA"",""REKAP ALL 2026 - Andika!G:G""),IMPORTRANGE(""1XaInW9DU9nz21V0tYIfzFQ0He9kVQ_JF2mCXgZ3hqFA"",""REKAP ALL 2026 - Andika!F:F""),"""",0)"),"26046412057")</f>
        <v>26046412057</v>
      </c>
      <c r="G3348" s="13" t="s">
        <v>57</v>
      </c>
      <c r="H3348" s="13" t="s">
        <v>3024</v>
      </c>
      <c r="I3348" s="13" t="str">
        <f aca="false">IF(C3348=J3348,"NEW KONTRAK","RE-KONTRAK")</f>
        <v>NEW KONTRAK</v>
      </c>
      <c r="J3348" s="16" t="n">
        <f aca="false" t="array" ref="J3348:J3348">IFERROR(INDEX(AC3348:AE3348,IF(COUNTA(AC3348:AE3348)=0,"",MAX((AC3348:AE3348&lt;&gt;"")*(COLUMN(AC3348:AE3348)-(COLUMN(AC3348)))))-1),"")</f>
        <v>46093</v>
      </c>
      <c r="K3348" s="16" t="n">
        <f aca="false" t="array" ref="K3348:K3348">IFERROR(INDEX(AC3348:AE3348,IF(COUNTA(AC3348:AE3348)=0,"",MAX((AC3348:AE3348&lt;&gt;"")*(COLUMN(AC3348:AE3348)-(COLUMN(AC3348)-1))))-1),"")</f>
        <v>46184</v>
      </c>
      <c r="L3348" s="17" t="str">
        <f aca="false" t="array" ref="L3348:L3348">IFERROR(INDEX(AC3348:AE3348,IF(COUNTA(AC3348:AE3348)=0,"",MAX((AC3348:AE3348&lt;&gt;"")*(COLUMN(AC3348:AE3348)-(COLUMN(AC3348)-2))))-1),"")</f>
        <v>ARCHIVED</v>
      </c>
      <c r="M3348" s="13" t="n">
        <f aca="true">K3348-TODAY()</f>
        <v>-140</v>
      </c>
      <c r="N3348" s="18" t="s">
        <v>4051</v>
      </c>
      <c r="O3348" s="13" t="s">
        <v>7951</v>
      </c>
      <c r="P3348" s="19" t="n">
        <v>210000</v>
      </c>
      <c r="Q3348" s="107" t="s">
        <v>13806</v>
      </c>
      <c r="R3348" s="13" t="s">
        <v>232</v>
      </c>
      <c r="S3348" s="16" t="n">
        <v>32426</v>
      </c>
      <c r="T3348" s="28" t="s">
        <v>40</v>
      </c>
      <c r="U3348" s="13" t="s">
        <v>13807</v>
      </c>
      <c r="V3348" s="13" t="s">
        <v>42</v>
      </c>
      <c r="W3348" s="13" t="s">
        <v>54</v>
      </c>
      <c r="X3348" s="21" t="n">
        <v>85213663022</v>
      </c>
      <c r="Y3348" s="22" t="str">
        <f aca="false">O3348</f>
        <v>Mekanik Kiln</v>
      </c>
      <c r="Z3348" s="13" t="str">
        <f aca="false">IFERROR(__xludf.dummyfunction("if(BJ3348="""","""",GOOGLETRANSLATE(BJ3348,""auto"",""en""))"),"Kiln Mechanics")</f>
        <v>Kiln Mechanics</v>
      </c>
      <c r="AA3348" s="23" t="str">
        <f aca="false">IF(C3348="","", CHOOSE(MONTH(C3348),"January","February","March","April","May","June","July","August","September","October","November","December")&amp;" "&amp;DAY(C3348)&amp;MID("thstndrdth",MIN(9,2*RIGHT(DAY(C3348))*(MOD(DAY(C3348)-11,100)&gt;2)+1),2)&amp;","&amp;TEXT(C3348," yyyy"))</f>
        <v>March 12th,2026</v>
      </c>
      <c r="AB3348" s="15" t="str">
        <f aca="true">IF(S3348="","",DATEDIF(S3348,TODAY(),"Y")&amp;" Tahun, "&amp;DATEDIF(S3348,TODAY(),"YM")&amp;" Bulan, "&amp;DATEDIF(S3348,TODAY(),"MD")&amp;" Hari")</f>
        <v>38 Tahun, 0 Bulan, 19 Hari</v>
      </c>
      <c r="AC3348" s="18" t="n">
        <v>46093</v>
      </c>
      <c r="AD3348" s="18" t="n">
        <v>46184</v>
      </c>
      <c r="AE3348" s="18" t="s">
        <v>44</v>
      </c>
    </row>
    <row r="3349" customFormat="false" ht="15" hidden="false" customHeight="true" outlineLevel="0" collapsed="false">
      <c r="A3349" s="12" t="n">
        <v>21959</v>
      </c>
      <c r="B3349" s="13" t="s">
        <v>13808</v>
      </c>
      <c r="C3349" s="16" t="n">
        <v>46093</v>
      </c>
      <c r="D3349" s="13" t="s">
        <v>7948</v>
      </c>
      <c r="E3349" s="15" t="s">
        <v>102</v>
      </c>
      <c r="F3349" s="15" t="str">
        <f aca="false">IFERROR(__xludf.dummyfunction("XLOOKUP(AJ3349,IMPORTRANGE(""1XaInW9DU9nz21V0tYIfzFQ0He9kVQ_JF2mCXgZ3hqFA"",""REKAP ALL 2026 - Andika!G:G""),IMPORTRANGE(""1XaInW9DU9nz21V0tYIfzFQ0He9kVQ_JF2mCXgZ3hqFA"",""REKAP ALL 2026 - Andika!F:F""),"""",0)"),"26046412065")</f>
        <v>26046412065</v>
      </c>
      <c r="G3349" s="13" t="s">
        <v>57</v>
      </c>
      <c r="H3349" s="13" t="s">
        <v>3024</v>
      </c>
      <c r="I3349" s="13" t="str">
        <f aca="false">IF(C3349=J3349,"NEW KONTRAK","RE-KONTRAK")</f>
        <v>NEW KONTRAK</v>
      </c>
      <c r="J3349" s="16" t="n">
        <f aca="false" t="array" ref="J3349:J3349">IFERROR(INDEX(AC3349:AE3349,IF(COUNTA(AC3349:AE3349)=0,"",MAX((AC3349:AE3349&lt;&gt;"")*(COLUMN(AC3349:AE3349)-(COLUMN(AC3349)))))-1),"")</f>
        <v>46093</v>
      </c>
      <c r="K3349" s="16" t="n">
        <f aca="false" t="array" ref="K3349:K3349">IFERROR(INDEX(AC3349:AE3349,IF(COUNTA(AC3349:AE3349)=0,"",MAX((AC3349:AE3349&lt;&gt;"")*(COLUMN(AC3349:AE3349)-(COLUMN(AC3349)-1))))-1),"")</f>
        <v>46184</v>
      </c>
      <c r="L3349" s="17" t="str">
        <f aca="false" t="array" ref="L3349:L3349">IFERROR(INDEX(AC3349:AE3349,IF(COUNTA(AC3349:AE3349)=0,"",MAX((AC3349:AE3349&lt;&gt;"")*(COLUMN(AC3349:AE3349)-(COLUMN(AC3349)-2))))-1),"")</f>
        <v>ARCHIVED</v>
      </c>
      <c r="M3349" s="13" t="n">
        <f aca="true">K3349-TODAY()</f>
        <v>-140</v>
      </c>
      <c r="N3349" s="18" t="s">
        <v>4051</v>
      </c>
      <c r="O3349" s="13" t="s">
        <v>7951</v>
      </c>
      <c r="P3349" s="19" t="n">
        <v>210000</v>
      </c>
      <c r="Q3349" s="107" t="s">
        <v>13809</v>
      </c>
      <c r="R3349" s="13" t="s">
        <v>39</v>
      </c>
      <c r="S3349" s="16" t="n">
        <v>30420</v>
      </c>
      <c r="T3349" s="28" t="s">
        <v>40</v>
      </c>
      <c r="U3349" s="13" t="s">
        <v>13810</v>
      </c>
      <c r="V3349" s="13" t="s">
        <v>42</v>
      </c>
      <c r="W3349" s="13" t="s">
        <v>54</v>
      </c>
      <c r="X3349" s="30" t="n">
        <v>82380737416</v>
      </c>
      <c r="Y3349" s="22" t="str">
        <f aca="false">O3349</f>
        <v>Mekanik Kiln</v>
      </c>
      <c r="Z3349" s="13" t="str">
        <f aca="false">IFERROR(__xludf.dummyfunction("if(BJ3349="""","""",GOOGLETRANSLATE(BJ3349,""auto"",""en""))"),"Kiln Mechanics")</f>
        <v>Kiln Mechanics</v>
      </c>
      <c r="AA3349" s="23" t="str">
        <f aca="false">IF(C3349="","", CHOOSE(MONTH(C3349),"January","February","March","April","May","June","July","August","September","October","November","December")&amp;" "&amp;DAY(C3349)&amp;MID("thstndrdth",MIN(9,2*RIGHT(DAY(C3349))*(MOD(DAY(C3349)-11,100)&gt;2)+1),2)&amp;","&amp;TEXT(C3349," yyyy"))</f>
        <v>March 12th,2026</v>
      </c>
      <c r="AB3349" s="15" t="str">
        <f aca="true">IF(S3349="","",DATEDIF(S3349,TODAY(),"Y")&amp;" Tahun, "&amp;DATEDIF(S3349,TODAY(),"YM")&amp;" Bulan, "&amp;DATEDIF(S3349,TODAY(),"MD")&amp;" Hari")</f>
        <v>43 Tahun, 6 Bulan, 15 Hari</v>
      </c>
      <c r="AC3349" s="18" t="n">
        <v>46093</v>
      </c>
      <c r="AD3349" s="18" t="n">
        <v>46184</v>
      </c>
      <c r="AE3349" s="13" t="s">
        <v>44</v>
      </c>
    </row>
    <row r="3350" customFormat="false" ht="15" hidden="false" customHeight="true" outlineLevel="0" collapsed="false">
      <c r="A3350" s="12" t="n">
        <v>21961</v>
      </c>
      <c r="B3350" s="13" t="s">
        <v>13811</v>
      </c>
      <c r="C3350" s="16" t="n">
        <v>46093</v>
      </c>
      <c r="D3350" s="13" t="s">
        <v>7948</v>
      </c>
      <c r="E3350" s="15" t="s">
        <v>7949</v>
      </c>
      <c r="F3350" s="15" t="str">
        <f aca="false">IFERROR(__xludf.dummyfunction("XLOOKUP(AJ3350,IMPORTRANGE(""1XaInW9DU9nz21V0tYIfzFQ0He9kVQ_JF2mCXgZ3hqFA"",""REKAP ALL 2026 - Andika!G:G""),IMPORTRANGE(""1XaInW9DU9nz21V0tYIfzFQ0He9kVQ_JF2mCXgZ3hqFA"",""REKAP ALL 2026 - Andika!F:F""),"""",0)"),"26046412081")</f>
        <v>26046412081</v>
      </c>
      <c r="G3350" s="13" t="s">
        <v>57</v>
      </c>
      <c r="H3350" s="13" t="s">
        <v>3024</v>
      </c>
      <c r="I3350" s="13" t="str">
        <f aca="false">IF(C3350=J3350,"NEW KONTRAK","RE-KONTRAK")</f>
        <v>NEW KONTRAK</v>
      </c>
      <c r="J3350" s="16" t="n">
        <f aca="false" t="array" ref="J3350:J3350">IFERROR(INDEX(AC3350:AE3350,IF(COUNTA(AC3350:AE3350)=0,"",MAX((AC3350:AE3350&lt;&gt;"")*(COLUMN(AC3350:AE3350)-(COLUMN(AC3350)))))-1),"")</f>
        <v>46093</v>
      </c>
      <c r="K3350" s="16" t="n">
        <f aca="false" t="array" ref="K3350:K3350">IFERROR(INDEX(AC3350:AE3350,IF(COUNTA(AC3350:AE3350)=0,"",MAX((AC3350:AE3350&lt;&gt;"")*(COLUMN(AC3350:AE3350)-(COLUMN(AC3350)-1))))-1),"")</f>
        <v>46184</v>
      </c>
      <c r="L3350" s="17" t="str">
        <f aca="false" t="array" ref="L3350:L3350">IFERROR(INDEX(AC3350:AE3350,IF(COUNTA(AC3350:AE3350)=0,"",MAX((AC3350:AE3350&lt;&gt;"")*(COLUMN(AC3350:AE3350)-(COLUMN(AC3350)-2))))-1),"")</f>
        <v>ARCHIVED</v>
      </c>
      <c r="M3350" s="13" t="n">
        <f aca="true">K3350-TODAY()</f>
        <v>-140</v>
      </c>
      <c r="N3350" s="18" t="s">
        <v>4051</v>
      </c>
      <c r="O3350" s="13" t="s">
        <v>7951</v>
      </c>
      <c r="P3350" s="19" t="n">
        <v>210000</v>
      </c>
      <c r="Q3350" s="107" t="s">
        <v>13812</v>
      </c>
      <c r="R3350" s="13" t="s">
        <v>39</v>
      </c>
      <c r="S3350" s="16" t="n">
        <v>32733</v>
      </c>
      <c r="T3350" s="28" t="s">
        <v>40</v>
      </c>
      <c r="U3350" s="13" t="s">
        <v>13813</v>
      </c>
      <c r="V3350" s="13" t="s">
        <v>42</v>
      </c>
      <c r="W3350" s="13" t="s">
        <v>54</v>
      </c>
      <c r="X3350" s="21" t="n">
        <v>83112082379</v>
      </c>
      <c r="Y3350" s="22" t="str">
        <f aca="false">O3350</f>
        <v>Mekanik Kiln</v>
      </c>
      <c r="Z3350" s="13" t="str">
        <f aca="false">IFERROR(__xludf.dummyfunction("if(BJ3350="""","""",GOOGLETRANSLATE(BJ3350,""auto"",""en""))"),"Kiln Mechanics")</f>
        <v>Kiln Mechanics</v>
      </c>
      <c r="AA3350" s="23" t="str">
        <f aca="false">IF(C3350="","", CHOOSE(MONTH(C3350),"January","February","March","April","May","June","July","August","September","October","November","December")&amp;" "&amp;DAY(C3350)&amp;MID("thstndrdth",MIN(9,2*RIGHT(DAY(C3350))*(MOD(DAY(C3350)-11,100)&gt;2)+1),2)&amp;","&amp;TEXT(C3350," yyyy"))</f>
        <v>March 12th,2026</v>
      </c>
      <c r="AB3350" s="15" t="str">
        <f aca="true">IF(S3350="","",DATEDIF(S3350,TODAY(),"Y")&amp;" Tahun, "&amp;DATEDIF(S3350,TODAY(),"YM")&amp;" Bulan, "&amp;DATEDIF(S3350,TODAY(),"MD")&amp;" Hari")</f>
        <v>37 Tahun, 2 Bulan, 16 Hari</v>
      </c>
      <c r="AC3350" s="18" t="n">
        <v>46093</v>
      </c>
      <c r="AD3350" s="18" t="n">
        <v>46184</v>
      </c>
      <c r="AE3350" s="18" t="s">
        <v>44</v>
      </c>
    </row>
    <row r="3351" customFormat="false" ht="15" hidden="false" customHeight="true" outlineLevel="0" collapsed="false">
      <c r="A3351" s="12" t="n">
        <v>21962</v>
      </c>
      <c r="B3351" s="13" t="s">
        <v>13814</v>
      </c>
      <c r="C3351" s="16" t="n">
        <v>46093</v>
      </c>
      <c r="D3351" s="13" t="s">
        <v>7948</v>
      </c>
      <c r="E3351" s="15" t="s">
        <v>7949</v>
      </c>
      <c r="F3351" s="15" t="str">
        <f aca="false">IFERROR(__xludf.dummyfunction("XLOOKUP(AJ3351,IMPORTRANGE(""1XaInW9DU9nz21V0tYIfzFQ0He9kVQ_JF2mCXgZ3hqFA"",""REKAP ALL 2026 - Andika!G:G""),IMPORTRANGE(""1XaInW9DU9nz21V0tYIfzFQ0He9kVQ_JF2mCXgZ3hqFA"",""REKAP ALL 2026 - Andika!F:F""),"""",0)"),"26046412099")</f>
        <v>26046412099</v>
      </c>
      <c r="G3351" s="13" t="s">
        <v>57</v>
      </c>
      <c r="H3351" s="13" t="s">
        <v>3024</v>
      </c>
      <c r="I3351" s="13" t="str">
        <f aca="false">IF(C3351=J3351,"NEW KONTRAK","RE-KONTRAK")</f>
        <v>NEW KONTRAK</v>
      </c>
      <c r="J3351" s="16" t="n">
        <f aca="false" t="array" ref="J3351:J3351">IFERROR(INDEX(AC3351:AE3351,IF(COUNTA(AC3351:AE3351)=0,"",MAX((AC3351:AE3351&lt;&gt;"")*(COLUMN(AC3351:AE3351)-(COLUMN(AC3351)))))-1),"")</f>
        <v>46093</v>
      </c>
      <c r="K3351" s="16" t="n">
        <f aca="false" t="array" ref="K3351:K3351">IFERROR(INDEX(AC3351:AE3351,IF(COUNTA(AC3351:AE3351)=0,"",MAX((AC3351:AE3351&lt;&gt;"")*(COLUMN(AC3351:AE3351)-(COLUMN(AC3351)-1))))-1),"")</f>
        <v>46184</v>
      </c>
      <c r="L3351" s="17" t="str">
        <f aca="false" t="array" ref="L3351:L3351">IFERROR(INDEX(AC3351:AE3351,IF(COUNTA(AC3351:AE3351)=0,"",MAX((AC3351:AE3351&lt;&gt;"")*(COLUMN(AC3351:AE3351)-(COLUMN(AC3351)-2))))-1),"")</f>
        <v>ARCHIVED</v>
      </c>
      <c r="M3351" s="13" t="n">
        <f aca="true">K3351-TODAY()</f>
        <v>-140</v>
      </c>
      <c r="N3351" s="18" t="s">
        <v>4051</v>
      </c>
      <c r="O3351" s="13" t="s">
        <v>7951</v>
      </c>
      <c r="P3351" s="19" t="n">
        <v>210000</v>
      </c>
      <c r="Q3351" s="107" t="s">
        <v>13815</v>
      </c>
      <c r="R3351" s="13" t="s">
        <v>232</v>
      </c>
      <c r="S3351" s="16" t="n">
        <v>34197</v>
      </c>
      <c r="T3351" s="28" t="s">
        <v>40</v>
      </c>
      <c r="U3351" s="13" t="s">
        <v>13807</v>
      </c>
      <c r="V3351" s="13" t="s">
        <v>42</v>
      </c>
      <c r="W3351" s="13" t="s">
        <v>54</v>
      </c>
      <c r="X3351" s="21" t="n">
        <v>88991192979</v>
      </c>
      <c r="Y3351" s="22" t="str">
        <f aca="false">O3351</f>
        <v>Mekanik Kiln</v>
      </c>
      <c r="Z3351" s="13" t="str">
        <f aca="false">IFERROR(__xludf.dummyfunction("if(BJ3351="""","""",GOOGLETRANSLATE(BJ3351,""auto"",""en""))"),"Kiln Mechanics")</f>
        <v>Kiln Mechanics</v>
      </c>
      <c r="AA3351" s="23" t="str">
        <f aca="false">IF(C3351="","", CHOOSE(MONTH(C3351),"January","February","March","April","May","June","July","August","September","October","November","December")&amp;" "&amp;DAY(C3351)&amp;MID("thstndrdth",MIN(9,2*RIGHT(DAY(C3351))*(MOD(DAY(C3351)-11,100)&gt;2)+1),2)&amp;","&amp;TEXT(C3351," yyyy"))</f>
        <v>March 12th,2026</v>
      </c>
      <c r="AB3351" s="15" t="str">
        <f aca="true">IF(S3351="","",DATEDIF(S3351,TODAY(),"Y")&amp;" Tahun, "&amp;DATEDIF(S3351,TODAY(),"YM")&amp;" Bulan, "&amp;DATEDIF(S3351,TODAY(),"MD")&amp;" Hari")</f>
        <v>33 Tahun, 2 Bulan, 13 Hari</v>
      </c>
      <c r="AC3351" s="18" t="n">
        <v>46093</v>
      </c>
      <c r="AD3351" s="18" t="n">
        <v>46184</v>
      </c>
      <c r="AE3351" s="18" t="s">
        <v>44</v>
      </c>
    </row>
    <row r="3352" customFormat="false" ht="15" hidden="false" customHeight="true" outlineLevel="0" collapsed="false">
      <c r="A3352" s="12" t="n">
        <v>21963</v>
      </c>
      <c r="B3352" s="13" t="s">
        <v>13816</v>
      </c>
      <c r="C3352" s="16" t="n">
        <v>46093</v>
      </c>
      <c r="D3352" s="13" t="s">
        <v>7948</v>
      </c>
      <c r="E3352" s="15" t="s">
        <v>7949</v>
      </c>
      <c r="F3352" s="15" t="str">
        <f aca="false">IFERROR(__xludf.dummyfunction("XLOOKUP(AJ3352,IMPORTRANGE(""1XaInW9DU9nz21V0tYIfzFQ0He9kVQ_JF2mCXgZ3hqFA"",""REKAP ALL 2026 - Andika!G:G""),IMPORTRANGE(""1XaInW9DU9nz21V0tYIfzFQ0He9kVQ_JF2mCXgZ3hqFA"",""REKAP ALL 2026 - Andika!F:F""),"""",0)"),"26046412107")</f>
        <v>26046412107</v>
      </c>
      <c r="G3352" s="13" t="s">
        <v>57</v>
      </c>
      <c r="H3352" s="13" t="s">
        <v>3024</v>
      </c>
      <c r="I3352" s="13" t="str">
        <f aca="false">IF(C3352=J3352,"NEW KONTRAK","RE-KONTRAK")</f>
        <v>NEW KONTRAK</v>
      </c>
      <c r="J3352" s="16" t="n">
        <f aca="false" t="array" ref="J3352:J3352">IFERROR(INDEX(AC3352:AE3352,IF(COUNTA(AC3352:AE3352)=0,"",MAX((AC3352:AE3352&lt;&gt;"")*(COLUMN(AC3352:AE3352)-(COLUMN(AC3352)))))-1),"")</f>
        <v>46093</v>
      </c>
      <c r="K3352" s="16" t="n">
        <f aca="false" t="array" ref="K3352:K3352">IFERROR(INDEX(AC3352:AE3352,IF(COUNTA(AC3352:AE3352)=0,"",MAX((AC3352:AE3352&lt;&gt;"")*(COLUMN(AC3352:AE3352)-(COLUMN(AC3352)-1))))-1),"")</f>
        <v>46184</v>
      </c>
      <c r="L3352" s="17" t="str">
        <f aca="false" t="array" ref="L3352:L3352">IFERROR(INDEX(AC3352:AE3352,IF(COUNTA(AC3352:AE3352)=0,"",MAX((AC3352:AE3352&lt;&gt;"")*(COLUMN(AC3352:AE3352)-(COLUMN(AC3352)-2))))-1),"")</f>
        <v>ARCHIVED</v>
      </c>
      <c r="M3352" s="13" t="n">
        <f aca="true">K3352-TODAY()</f>
        <v>-140</v>
      </c>
      <c r="N3352" s="18" t="s">
        <v>4051</v>
      </c>
      <c r="O3352" s="13" t="s">
        <v>7951</v>
      </c>
      <c r="P3352" s="19" t="n">
        <v>210000</v>
      </c>
      <c r="Q3352" s="107" t="s">
        <v>13817</v>
      </c>
      <c r="R3352" s="13" t="s">
        <v>232</v>
      </c>
      <c r="S3352" s="16" t="n">
        <v>33978</v>
      </c>
      <c r="T3352" s="28" t="s">
        <v>40</v>
      </c>
      <c r="U3352" s="13" t="s">
        <v>13818</v>
      </c>
      <c r="V3352" s="13" t="s">
        <v>42</v>
      </c>
      <c r="W3352" s="13" t="s">
        <v>54</v>
      </c>
      <c r="X3352" s="21" t="n">
        <v>85811812795</v>
      </c>
      <c r="Y3352" s="22" t="str">
        <f aca="false">O3352</f>
        <v>Mekanik Kiln</v>
      </c>
      <c r="Z3352" s="13" t="str">
        <f aca="false">IFERROR(__xludf.dummyfunction("if(BJ3352="""","""",GOOGLETRANSLATE(BJ3352,""auto"",""en""))"),"Kiln Mechanics")</f>
        <v>Kiln Mechanics</v>
      </c>
      <c r="AA3352" s="23" t="str">
        <f aca="false">IF(C3352="","", CHOOSE(MONTH(C3352),"January","February","March","April","May","June","July","August","September","October","November","December")&amp;" "&amp;DAY(C3352)&amp;MID("thstndrdth",MIN(9,2*RIGHT(DAY(C3352))*(MOD(DAY(C3352)-11,100)&gt;2)+1),2)&amp;","&amp;TEXT(C3352," yyyy"))</f>
        <v>March 12th,2026</v>
      </c>
      <c r="AB3352" s="15" t="str">
        <f aca="true">IF(S3352="","",DATEDIF(S3352,TODAY(),"Y")&amp;" Tahun, "&amp;DATEDIF(S3352,TODAY(),"YM")&amp;" Bulan, "&amp;DATEDIF(S3352,TODAY(),"MD")&amp;" Hari")</f>
        <v>33 Tahun, 9 Bulan, 20 Hari</v>
      </c>
      <c r="AC3352" s="18" t="n">
        <v>46093</v>
      </c>
      <c r="AD3352" s="18" t="n">
        <v>46184</v>
      </c>
      <c r="AE3352" s="18" t="s">
        <v>44</v>
      </c>
    </row>
    <row r="3353" customFormat="false" ht="15" hidden="false" customHeight="true" outlineLevel="0" collapsed="false">
      <c r="A3353" s="12" t="n">
        <v>21964</v>
      </c>
      <c r="B3353" s="13" t="s">
        <v>13819</v>
      </c>
      <c r="C3353" s="16" t="n">
        <v>46078</v>
      </c>
      <c r="D3353" s="13" t="s">
        <v>3022</v>
      </c>
      <c r="E3353" s="15" t="s">
        <v>13820</v>
      </c>
      <c r="F3353" s="15" t="str">
        <f aca="false">IFERROR(__xludf.dummyfunction("XLOOKUP(AJ3353,IMPORTRANGE(""1XaInW9DU9nz21V0tYIfzFQ0He9kVQ_JF2mCXgZ3hqFA"",""REKAP ALL 2026 - Andika!G:G""),IMPORTRANGE(""1XaInW9DU9nz21V0tYIfzFQ0He9kVQ_JF2mCXgZ3hqFA"",""REKAP ALL 2026 - Andika!F:F""),"""",0)"),"26046413170")</f>
        <v>26046413170</v>
      </c>
      <c r="G3353" s="13" t="s">
        <v>57</v>
      </c>
      <c r="H3353" s="13" t="s">
        <v>3024</v>
      </c>
      <c r="I3353" s="13" t="str">
        <f aca="false">IF(C3353=J3353,"NEW KONTRAK","RE-KONTRAK")</f>
        <v>NEW KONTRAK</v>
      </c>
      <c r="J3353" s="16" t="n">
        <f aca="false" t="array" ref="J3353:J3353">IFERROR(INDEX(AC3353:AE3353,IF(COUNTA(AC3353:AE3353)=0,"",MAX((AC3353:AE3353&lt;&gt;"")*(COLUMN(AC3353:AE3353)-(COLUMN(AC3353)))))-1),"")</f>
        <v>46078</v>
      </c>
      <c r="K3353" s="16" t="n">
        <f aca="false" t="array" ref="K3353:K3353">IFERROR(INDEX(AC3353:AE3353,IF(COUNTA(AC3353:AE3353)=0,"",MAX((AC3353:AE3353&lt;&gt;"")*(COLUMN(AC3353:AE3353)-(COLUMN(AC3353)-1))))-1),"")</f>
        <v>46166</v>
      </c>
      <c r="L3353" s="17" t="str">
        <f aca="false" t="array" ref="L3353:L3353">IFERROR(INDEX(AC3353:AE3353,IF(COUNTA(AC3353:AE3353)=0,"",MAX((AC3353:AE3353&lt;&gt;"")*(COLUMN(AC3353:AE3353)-(COLUMN(AC3353)-2))))-1),"")</f>
        <v>ARCHIVED</v>
      </c>
      <c r="M3353" s="13" t="n">
        <f aca="true">K3353-TODAY()</f>
        <v>-158</v>
      </c>
      <c r="N3353" s="18" t="s">
        <v>36</v>
      </c>
      <c r="O3353" s="13" t="s">
        <v>3750</v>
      </c>
      <c r="P3353" s="19" t="n">
        <v>112500</v>
      </c>
      <c r="Q3353" s="47" t="s">
        <v>13821</v>
      </c>
      <c r="R3353" s="13" t="s">
        <v>324</v>
      </c>
      <c r="S3353" s="16" t="n">
        <v>34595</v>
      </c>
      <c r="T3353" s="28" t="s">
        <v>40</v>
      </c>
      <c r="U3353" s="13" t="s">
        <v>13822</v>
      </c>
      <c r="V3353" s="13" t="s">
        <v>42</v>
      </c>
      <c r="W3353" s="13" t="s">
        <v>43</v>
      </c>
      <c r="X3353" s="21" t="n">
        <v>89668048432</v>
      </c>
      <c r="Y3353" s="22" t="str">
        <f aca="false">O3353</f>
        <v>Produksi ( Painting )</v>
      </c>
      <c r="Z3353" s="13" t="str">
        <f aca="false">IFERROR(__xludf.dummyfunction("if(BJ3353="""","""",GOOGLETRANSLATE(BJ3353,""auto"",""en""))"),"Production (Painting)")</f>
        <v>Production (Painting)</v>
      </c>
      <c r="AA3353" s="23" t="str">
        <f aca="false">IF(C3353="","", CHOOSE(MONTH(C3353),"January","February","March","April","May","June","July","August","September","October","November","December")&amp;" "&amp;DAY(C3353)&amp;MID("thstndrdth",MIN(9,2*RIGHT(DAY(C3353))*(MOD(DAY(C3353)-11,100)&gt;2)+1),2)&amp;","&amp;TEXT(C3353," yyyy"))</f>
        <v>February 25th,2026</v>
      </c>
      <c r="AB3353" s="15" t="str">
        <f aca="true">IF(S3353="","",DATEDIF(S3353,TODAY(),"Y")&amp;" Tahun, "&amp;DATEDIF(S3353,TODAY(),"YM")&amp;" Bulan, "&amp;DATEDIF(S3353,TODAY(),"MD")&amp;" Hari")</f>
        <v>32 Tahun, 1 Bulan, 11 Hari</v>
      </c>
      <c r="AC3353" s="18" t="n">
        <v>46078</v>
      </c>
      <c r="AD3353" s="18" t="n">
        <f aca="false">EDATE(AC3353,3)-1</f>
        <v>46166</v>
      </c>
      <c r="AE3353" s="18" t="s">
        <v>44</v>
      </c>
    </row>
    <row r="3354" customFormat="false" ht="15" hidden="false" customHeight="true" outlineLevel="0" collapsed="false">
      <c r="A3354" s="12" t="n">
        <v>21965</v>
      </c>
      <c r="B3354" s="13" t="s">
        <v>13823</v>
      </c>
      <c r="C3354" s="16" t="n">
        <v>46078</v>
      </c>
      <c r="D3354" s="13" t="s">
        <v>3022</v>
      </c>
      <c r="E3354" s="15" t="s">
        <v>47</v>
      </c>
      <c r="F3354" s="15" t="str">
        <f aca="false">IFERROR(__xludf.dummyfunction("XLOOKUP(AJ3354,IMPORTRANGE(""1XaInW9DU9nz21V0tYIfzFQ0He9kVQ_JF2mCXgZ3hqFA"",""REKAP ALL 2026 - Andika!G:G""),IMPORTRANGE(""1XaInW9DU9nz21V0tYIfzFQ0He9kVQ_JF2mCXgZ3hqFA"",""REKAP ALL 2026 - Andika!F:F""),"""",0)"),"26046413204")</f>
        <v>26046413204</v>
      </c>
      <c r="G3354" s="13" t="s">
        <v>57</v>
      </c>
      <c r="H3354" s="13" t="s">
        <v>3024</v>
      </c>
      <c r="I3354" s="13" t="str">
        <f aca="false">IF(C3354=J3354,"NEW KONTRAK","RE-KONTRAK")</f>
        <v>NEW KONTRAK</v>
      </c>
      <c r="J3354" s="16" t="n">
        <f aca="false" t="array" ref="J3354:J3354">IFERROR(INDEX(AC3354:AE3354,IF(COUNTA(AC3354:AE3354)=0,"",MAX((AC3354:AE3354&lt;&gt;"")*(COLUMN(AC3354:AE3354)-(COLUMN(AC3354)))))-1),"")</f>
        <v>46078</v>
      </c>
      <c r="K3354" s="16" t="n">
        <f aca="false" t="array" ref="K3354:K3354">IFERROR(INDEX(AC3354:AE3354,IF(COUNTA(AC3354:AE3354)=0,"",MAX((AC3354:AE3354&lt;&gt;"")*(COLUMN(AC3354:AE3354)-(COLUMN(AC3354)-1))))-1),"")</f>
        <v>46166</v>
      </c>
      <c r="L3354" s="17" t="str">
        <f aca="false" t="array" ref="L3354:L3354">IFERROR(INDEX(AC3354:AE3354,IF(COUNTA(AC3354:AE3354)=0,"",MAX((AC3354:AE3354&lt;&gt;"")*(COLUMN(AC3354:AE3354)-(COLUMN(AC3354)-2))))-1),"")</f>
        <v>ARCHIVED</v>
      </c>
      <c r="M3354" s="13" t="n">
        <f aca="true">K3354-TODAY()</f>
        <v>-158</v>
      </c>
      <c r="N3354" s="18" t="s">
        <v>36</v>
      </c>
      <c r="O3354" s="13" t="s">
        <v>3750</v>
      </c>
      <c r="P3354" s="19" t="n">
        <v>112500</v>
      </c>
      <c r="Q3354" s="107" t="s">
        <v>13824</v>
      </c>
      <c r="R3354" s="13" t="s">
        <v>73</v>
      </c>
      <c r="S3354" s="16" t="n">
        <v>31986</v>
      </c>
      <c r="T3354" s="28" t="s">
        <v>40</v>
      </c>
      <c r="U3354" s="13" t="s">
        <v>13825</v>
      </c>
      <c r="V3354" s="13" t="s">
        <v>42</v>
      </c>
      <c r="W3354" s="13" t="s">
        <v>54</v>
      </c>
      <c r="X3354" s="21" t="n">
        <v>81331743487</v>
      </c>
      <c r="Y3354" s="22" t="str">
        <f aca="false">O3354</f>
        <v>Produksi ( Painting )</v>
      </c>
      <c r="Z3354" s="13" t="str">
        <f aca="false">IFERROR(__xludf.dummyfunction("if(BJ3354="""","""",GOOGLETRANSLATE(BJ3354,""auto"",""en""))"),"Production (Painting)")</f>
        <v>Production (Painting)</v>
      </c>
      <c r="AA3354" s="23" t="str">
        <f aca="false">IF(C3354="","", CHOOSE(MONTH(C3354),"January","February","March","April","May","June","July","August","September","October","November","December")&amp;" "&amp;DAY(C3354)&amp;MID("thstndrdth",MIN(9,2*RIGHT(DAY(C3354))*(MOD(DAY(C3354)-11,100)&gt;2)+1),2)&amp;","&amp;TEXT(C3354," yyyy"))</f>
        <v>February 25th,2026</v>
      </c>
      <c r="AB3354" s="15" t="str">
        <f aca="true">IF(S3354="","",DATEDIF(S3354,TODAY(),"Y")&amp;" Tahun, "&amp;DATEDIF(S3354,TODAY(),"YM")&amp;" Bulan, "&amp;DATEDIF(S3354,TODAY(),"MD")&amp;" Hari")</f>
        <v>39 Tahun, 3 Bulan, 1 Hari</v>
      </c>
      <c r="AC3354" s="18" t="n">
        <v>46078</v>
      </c>
      <c r="AD3354" s="18" t="n">
        <f aca="false">EDATE(AC3354,3)-1</f>
        <v>46166</v>
      </c>
      <c r="AE3354" s="18" t="s">
        <v>44</v>
      </c>
    </row>
    <row r="3355" customFormat="false" ht="15" hidden="false" customHeight="true" outlineLevel="0" collapsed="false">
      <c r="A3355" s="12" t="n">
        <v>21966</v>
      </c>
      <c r="B3355" s="13" t="s">
        <v>13826</v>
      </c>
      <c r="C3355" s="16" t="n">
        <v>46099</v>
      </c>
      <c r="D3355" s="13" t="s">
        <v>1338</v>
      </c>
      <c r="E3355" s="15" t="s">
        <v>102</v>
      </c>
      <c r="F3355" s="15" t="str">
        <f aca="false">IFERROR(__xludf.dummyfunction("XLOOKUP(AJ3355,IMPORTRANGE(""1XaInW9DU9nz21V0tYIfzFQ0He9kVQ_JF2mCXgZ3hqFA"",""REKAP ALL 2026 - Andika!G:G""),IMPORTRANGE(""1XaInW9DU9nz21V0tYIfzFQ0He9kVQ_JF2mCXgZ3hqFA"",""REKAP ALL 2026 - Andika!F:F""),"""",0)"),"26046412206")</f>
        <v>26046412206</v>
      </c>
      <c r="G3355" s="13" t="s">
        <v>57</v>
      </c>
      <c r="H3355" s="13" t="s">
        <v>35</v>
      </c>
      <c r="I3355" s="13" t="str">
        <f aca="false">IF(C3355=J3355,"NEW KONTRAK","RE-KONTRAK")</f>
        <v>NEW KONTRAK</v>
      </c>
      <c r="J3355" s="16" t="n">
        <f aca="false" t="array" ref="J3355:J3355">IFERROR(INDEX(AC3355:AE3355,IF(COUNTA(AC3355:AE3355)=0,"",MAX((AC3355:AE3355&lt;&gt;"")*(COLUMN(AC3355:AE3355)-(COLUMN(AC3355)))))-1),"")</f>
        <v>46099</v>
      </c>
      <c r="K3355" s="16" t="n">
        <f aca="false" t="array" ref="K3355:K3355">IFERROR(INDEX(AC3355:AE3355,IF(COUNTA(AC3355:AE3355)=0,"",MAX((AC3355:AE3355&lt;&gt;"")*(COLUMN(AC3355:AE3355)-(COLUMN(AC3355)-1))))-1),"")</f>
        <v>46190</v>
      </c>
      <c r="L3355" s="17" t="str">
        <f aca="false" t="array" ref="L3355:L3355">IFERROR(INDEX(AC3355:AE3355,IF(COUNTA(AC3355:AE3355)=0,"",MAX((AC3355:AE3355&lt;&gt;"")*(COLUMN(AC3355:AE3355)-(COLUMN(AC3355)-2))))-1),"")</f>
        <v>ARCHIVED</v>
      </c>
      <c r="M3355" s="13" t="n">
        <f aca="true">K3355-TODAY()</f>
        <v>-134</v>
      </c>
      <c r="N3355" s="18" t="s">
        <v>241</v>
      </c>
      <c r="O3355" s="13" t="s">
        <v>2384</v>
      </c>
      <c r="P3355" s="19" t="n">
        <v>2639518</v>
      </c>
      <c r="Q3355" s="47" t="s">
        <v>13827</v>
      </c>
      <c r="R3355" s="13" t="s">
        <v>241</v>
      </c>
      <c r="S3355" s="16" t="n">
        <v>39118</v>
      </c>
      <c r="T3355" s="13" t="s">
        <v>108</v>
      </c>
      <c r="U3355" s="13" t="s">
        <v>13828</v>
      </c>
      <c r="V3355" s="13" t="s">
        <v>42</v>
      </c>
      <c r="W3355" s="13" t="s">
        <v>43</v>
      </c>
      <c r="X3355" s="21" t="s">
        <v>13829</v>
      </c>
      <c r="Y3355" s="22" t="str">
        <f aca="false">O3355</f>
        <v>SPG</v>
      </c>
      <c r="Z3355" s="13" t="str">
        <f aca="false">IFERROR(__xludf.dummyfunction("if(BJ3355="""","""",GOOGLETRANSLATE(BJ3355,""auto"",""en""))"),"SPG")</f>
        <v>SPG</v>
      </c>
      <c r="AA3355" s="23" t="str">
        <f aca="false">IF(C3355="","", CHOOSE(MONTH(C3355),"January","February","March","April","May","June","July","August","September","October","November","December")&amp;" "&amp;DAY(C3355)&amp;MID("thstndrdth",MIN(9,2*RIGHT(DAY(C3355))*(MOD(DAY(C3355)-11,100)&gt;2)+1),2)&amp;","&amp;TEXT(C3355," yyyy"))</f>
        <v>March 18th,2026</v>
      </c>
      <c r="AB3355" s="15" t="str">
        <f aca="true">IF(S3355="","",DATEDIF(S3355,TODAY(),"Y")&amp;" Tahun, "&amp;DATEDIF(S3355,TODAY(),"YM")&amp;" Bulan, "&amp;DATEDIF(S3355,TODAY(),"MD")&amp;" Hari")</f>
        <v>19 Tahun, 8 Bulan, 24 Hari</v>
      </c>
      <c r="AC3355" s="18" t="n">
        <v>46099</v>
      </c>
      <c r="AD3355" s="18" t="n">
        <v>46190</v>
      </c>
      <c r="AE3355" s="13" t="s">
        <v>44</v>
      </c>
    </row>
    <row r="3356" customFormat="false" ht="15" hidden="false" customHeight="true" outlineLevel="0" collapsed="false">
      <c r="A3356" s="12" t="n">
        <v>21967</v>
      </c>
      <c r="B3356" s="13" t="s">
        <v>13830</v>
      </c>
      <c r="C3356" s="16" t="n">
        <v>46097</v>
      </c>
      <c r="D3356" s="13" t="s">
        <v>7948</v>
      </c>
      <c r="E3356" s="15" t="s">
        <v>7949</v>
      </c>
      <c r="F3356" s="15" t="str">
        <f aca="false">IFERROR(__xludf.dummyfunction("XLOOKUP(AJ3356,IMPORTRANGE(""1XaInW9DU9nz21V0tYIfzFQ0He9kVQ_JF2mCXgZ3hqFA"",""REKAP ALL 2026 - Andika!G:G""),IMPORTRANGE(""1XaInW9DU9nz21V0tYIfzFQ0He9kVQ_JF2mCXgZ3hqFA"",""REKAP ALL 2026 - Andika!F:F""),"""",0)"),"26046412131")</f>
        <v>26046412131</v>
      </c>
      <c r="G3356" s="13" t="s">
        <v>57</v>
      </c>
      <c r="H3356" s="13" t="s">
        <v>3024</v>
      </c>
      <c r="I3356" s="13" t="str">
        <f aca="false">IF(C3356=J3356,"NEW KONTRAK","RE-KONTRAK")</f>
        <v>NEW KONTRAK</v>
      </c>
      <c r="J3356" s="16" t="n">
        <f aca="false" t="array" ref="J3356:J3356">IFERROR(INDEX(AC3356:AE3356,IF(COUNTA(AC3356:AE3356)=0,"",MAX((AC3356:AE3356&lt;&gt;"")*(COLUMN(AC3356:AE3356)-(COLUMN(AC3356)))))-1),"")</f>
        <v>46097</v>
      </c>
      <c r="K3356" s="16" t="n">
        <f aca="false" t="array" ref="K3356:K3356">IFERROR(INDEX(AC3356:AE3356,IF(COUNTA(AC3356:AE3356)=0,"",MAX((AC3356:AE3356&lt;&gt;"")*(COLUMN(AC3356:AE3356)-(COLUMN(AC3356)-1))))-1),"")</f>
        <v>46188</v>
      </c>
      <c r="L3356" s="17" t="str">
        <f aca="false" t="array" ref="L3356:L3356">IFERROR(INDEX(AC3356:AE3356,IF(COUNTA(AC3356:AE3356)=0,"",MAX((AC3356:AE3356&lt;&gt;"")*(COLUMN(AC3356:AE3356)-(COLUMN(AC3356)-2))))-1),"")</f>
        <v>ARCHIVED</v>
      </c>
      <c r="M3356" s="13" t="n">
        <f aca="true">K3356-TODAY()</f>
        <v>-136</v>
      </c>
      <c r="N3356" s="18" t="s">
        <v>4051</v>
      </c>
      <c r="O3356" s="13" t="s">
        <v>7951</v>
      </c>
      <c r="P3356" s="19" t="n">
        <v>210000</v>
      </c>
      <c r="Q3356" s="47" t="s">
        <v>13831</v>
      </c>
      <c r="R3356" s="13" t="s">
        <v>232</v>
      </c>
      <c r="S3356" s="16" t="n">
        <v>30672</v>
      </c>
      <c r="T3356" s="28" t="s">
        <v>40</v>
      </c>
      <c r="U3356" s="13" t="s">
        <v>13832</v>
      </c>
      <c r="V3356" s="13" t="s">
        <v>42</v>
      </c>
      <c r="W3356" s="13" t="s">
        <v>54</v>
      </c>
      <c r="X3356" s="30" t="n">
        <v>83124342661</v>
      </c>
      <c r="Y3356" s="22" t="str">
        <f aca="false">O3356</f>
        <v>Mekanik Kiln</v>
      </c>
      <c r="Z3356" s="13" t="str">
        <f aca="false">IFERROR(__xludf.dummyfunction("if(BJ3356="""","""",GOOGLETRANSLATE(BJ3356,""auto"",""en""))"),"Kiln Mechanics")</f>
        <v>Kiln Mechanics</v>
      </c>
      <c r="AA3356" s="23" t="str">
        <f aca="false">IF(C3356="","", CHOOSE(MONTH(C3356),"January","February","March","April","May","June","July","August","September","October","November","December")&amp;" "&amp;DAY(C3356)&amp;MID("thstndrdth",MIN(9,2*RIGHT(DAY(C3356))*(MOD(DAY(C3356)-11,100)&gt;2)+1),2)&amp;","&amp;TEXT(C3356," yyyy"))</f>
        <v>March 16th,2026</v>
      </c>
      <c r="AB3356" s="15" t="str">
        <f aca="true">IF(S3356="","",DATEDIF(S3356,TODAY(),"Y")&amp;" Tahun, "&amp;DATEDIF(S3356,TODAY(),"YM")&amp;" Bulan, "&amp;DATEDIF(S3356,TODAY(),"MD")&amp;" Hari")</f>
        <v>42 Tahun, 10 Bulan, 7 Hari</v>
      </c>
      <c r="AC3356" s="18" t="n">
        <v>46097</v>
      </c>
      <c r="AD3356" s="18" t="n">
        <v>46188</v>
      </c>
      <c r="AE3356" s="18" t="s">
        <v>44</v>
      </c>
    </row>
    <row r="3357" customFormat="false" ht="15" hidden="false" customHeight="true" outlineLevel="0" collapsed="false">
      <c r="A3357" s="12" t="n">
        <v>21968</v>
      </c>
      <c r="B3357" s="13" t="s">
        <v>13833</v>
      </c>
      <c r="C3357" s="16" t="n">
        <v>46069</v>
      </c>
      <c r="D3357" s="13" t="s">
        <v>613</v>
      </c>
      <c r="E3357" s="15" t="s">
        <v>47</v>
      </c>
      <c r="F3357" s="15" t="str">
        <f aca="false">IFERROR(__xludf.dummyfunction("XLOOKUP(AJ3357,IMPORTRANGE(""1XaInW9DU9nz21V0tYIfzFQ0He9kVQ_JF2mCXgZ3hqFA"",""REKAP ALL 2026 - Andika!G:G""),IMPORTRANGE(""1XaInW9DU9nz21V0tYIfzFQ0He9kVQ_JF2mCXgZ3hqFA"",""REKAP ALL 2026 - Andika!F:F""),"""",0)"),"26046411653")</f>
        <v>26046411653</v>
      </c>
      <c r="G3357" s="13" t="s">
        <v>13834</v>
      </c>
      <c r="H3357" s="13" t="s">
        <v>35</v>
      </c>
      <c r="I3357" s="13" t="str">
        <f aca="false">IF(C3357=J3357,"NEW KONTRAK","RE-KONTRAK")</f>
        <v>NEW KONTRAK</v>
      </c>
      <c r="J3357" s="16" t="n">
        <f aca="false" t="array" ref="J3357:J3357">IFERROR(INDEX(AC3357:AE3357,IF(COUNTA(AC3357:AE3357)=0,"",MAX((AC3357:AE3357&lt;&gt;"")*(COLUMN(AC3357:AE3357)-(COLUMN(AC3357)))))-1),"")</f>
        <v>46069</v>
      </c>
      <c r="K3357" s="16" t="n">
        <f aca="false" t="array" ref="K3357:K3357">IFERROR(INDEX(AC3357:AE3357,IF(COUNTA(AC3357:AE3357)=0,"",MAX((AC3357:AE3357&lt;&gt;"")*(COLUMN(AC3357:AE3357)-(COLUMN(AC3357)-1))))-1),"")</f>
        <v>46249</v>
      </c>
      <c r="L3357" s="17" t="str">
        <f aca="false" t="array" ref="L3357:L3357">IFERROR(INDEX(AC3357:AE3357,IF(COUNTA(AC3357:AE3357)=0,"",MAX((AC3357:AE3357&lt;&gt;"")*(COLUMN(AC3357:AE3357)-(COLUMN(AC3357)-2))))-1),"")</f>
        <v>ARCHIVED</v>
      </c>
      <c r="M3357" s="13" t="n">
        <f aca="true">K3357-TODAY()</f>
        <v>-75</v>
      </c>
      <c r="N3357" s="18" t="s">
        <v>615</v>
      </c>
      <c r="O3357" s="13" t="s">
        <v>58</v>
      </c>
      <c r="P3357" s="19" t="n">
        <v>5176101</v>
      </c>
      <c r="Q3357" s="20" t="s">
        <v>13835</v>
      </c>
      <c r="R3357" s="13" t="s">
        <v>232</v>
      </c>
      <c r="S3357" s="14" t="n">
        <v>36872</v>
      </c>
      <c r="T3357" s="13" t="s">
        <v>40</v>
      </c>
      <c r="U3357" s="13" t="s">
        <v>13836</v>
      </c>
      <c r="V3357" s="13" t="s">
        <v>42</v>
      </c>
      <c r="W3357" s="13" t="s">
        <v>43</v>
      </c>
      <c r="X3357" s="21" t="n">
        <v>85655954847</v>
      </c>
      <c r="Y3357" s="22" t="str">
        <f aca="false">O3357</f>
        <v>Produksi</v>
      </c>
      <c r="Z3357" s="13" t="str">
        <f aca="false">IFERROR(__xludf.dummyfunction("if(BJ3357="""","""",GOOGLETRANSLATE(BJ3357,""auto"",""en""))"),"Production")</f>
        <v>Production</v>
      </c>
      <c r="AA3357" s="23" t="str">
        <f aca="false">IF(C3357="","", CHOOSE(MONTH(C3357),"January","February","March","April","May","June","July","August","September","October","November","December")&amp;" "&amp;DAY(C3357)&amp;MID("thstndrdth",MIN(9,2*RIGHT(DAY(C3357))*(MOD(DAY(C3357)-11,100)&gt;2)+1),2)&amp;","&amp;TEXT(C3357," yyyy"))</f>
        <v>February 16th,2026</v>
      </c>
      <c r="AB3357" s="15" t="str">
        <f aca="true">IF(S3357="","",DATEDIF(S3357,TODAY(),"Y")&amp;" Tahun, "&amp;DATEDIF(S3357,TODAY(),"YM")&amp;" Bulan, "&amp;DATEDIF(S3357,TODAY(),"MD")&amp;" Hari")</f>
        <v>25 Tahun, 10 Bulan, 17 Hari</v>
      </c>
      <c r="AC3357" s="18" t="n">
        <v>46069</v>
      </c>
      <c r="AD3357" s="18" t="n">
        <v>46249</v>
      </c>
      <c r="AE3357" s="13" t="s">
        <v>44</v>
      </c>
    </row>
    <row r="3358" customFormat="false" ht="15" hidden="false" customHeight="true" outlineLevel="0" collapsed="false">
      <c r="A3358" s="12" t="n">
        <v>21969</v>
      </c>
      <c r="B3358" s="13" t="s">
        <v>13837</v>
      </c>
      <c r="C3358" s="16" t="n">
        <v>46069</v>
      </c>
      <c r="D3358" s="13" t="s">
        <v>613</v>
      </c>
      <c r="E3358" s="15" t="s">
        <v>47</v>
      </c>
      <c r="F3358" s="15" t="str">
        <f aca="false">IFERROR(__xludf.dummyfunction("XLOOKUP(AJ3358,IMPORTRANGE(""1XaInW9DU9nz21V0tYIfzFQ0He9kVQ_JF2mCXgZ3hqFA"",""REKAP ALL 2026 - Andika!G:G""),IMPORTRANGE(""1XaInW9DU9nz21V0tYIfzFQ0He9kVQ_JF2mCXgZ3hqFA"",""REKAP ALL 2026 - Andika!F:F""),"""",0)"),"26046411661")</f>
        <v>26046411661</v>
      </c>
      <c r="G3358" s="13" t="s">
        <v>13838</v>
      </c>
      <c r="H3358" s="13" t="s">
        <v>35</v>
      </c>
      <c r="I3358" s="13" t="str">
        <f aca="false">IF(C3358=J3358,"NEW KONTRAK","RE-KONTRAK")</f>
        <v>NEW KONTRAK</v>
      </c>
      <c r="J3358" s="16" t="n">
        <f aca="false" t="array" ref="J3358:J3358">IFERROR(INDEX(AC3358:AE3358,IF(COUNTA(AC3358:AE3358)=0,"",MAX((AC3358:AE3358&lt;&gt;"")*(COLUMN(AC3358:AE3358)-(COLUMN(AC3358)))))-1),"")</f>
        <v>46069</v>
      </c>
      <c r="K3358" s="16" t="n">
        <f aca="false" t="array" ref="K3358:K3358">IFERROR(INDEX(AC3358:AE3358,IF(COUNTA(AC3358:AE3358)=0,"",MAX((AC3358:AE3358&lt;&gt;"")*(COLUMN(AC3358:AE3358)-(COLUMN(AC3358)-1))))-1),"")</f>
        <v>46249</v>
      </c>
      <c r="L3358" s="17" t="str">
        <f aca="false" t="array" ref="L3358:L3358">IFERROR(INDEX(AC3358:AE3358,IF(COUNTA(AC3358:AE3358)=0,"",MAX((AC3358:AE3358&lt;&gt;"")*(COLUMN(AC3358:AE3358)-(COLUMN(AC3358)-2))))-1),"")</f>
        <v>ARCHIVED</v>
      </c>
      <c r="M3358" s="13" t="n">
        <f aca="true">K3358-TODAY()</f>
        <v>-75</v>
      </c>
      <c r="N3358" s="18" t="s">
        <v>615</v>
      </c>
      <c r="O3358" s="13" t="s">
        <v>298</v>
      </c>
      <c r="P3358" s="19" t="n">
        <v>5176101</v>
      </c>
      <c r="Q3358" s="20" t="s">
        <v>13839</v>
      </c>
      <c r="R3358" s="13" t="s">
        <v>232</v>
      </c>
      <c r="S3358" s="14" t="n">
        <v>35847</v>
      </c>
      <c r="T3358" s="13" t="s">
        <v>40</v>
      </c>
      <c r="U3358" s="13" t="s">
        <v>13840</v>
      </c>
      <c r="V3358" s="13" t="s">
        <v>42</v>
      </c>
      <c r="W3358" s="13" t="s">
        <v>43</v>
      </c>
      <c r="X3358" s="21" t="n">
        <v>85815834752</v>
      </c>
      <c r="Y3358" s="22" t="str">
        <f aca="false">O3358</f>
        <v>Maintenance</v>
      </c>
      <c r="Z3358" s="13" t="str">
        <f aca="false">IFERROR(__xludf.dummyfunction("if(BJ3358="""","""",GOOGLETRANSLATE(BJ3358,""auto"",""en""))"),"Maintenance")</f>
        <v>Maintenance</v>
      </c>
      <c r="AA3358" s="23" t="str">
        <f aca="false">IF(C3358="","", CHOOSE(MONTH(C3358),"January","February","March","April","May","June","July","August","September","October","November","December")&amp;" "&amp;DAY(C3358)&amp;MID("thstndrdth",MIN(9,2*RIGHT(DAY(C3358))*(MOD(DAY(C3358)-11,100)&gt;2)+1),2)&amp;","&amp;TEXT(C3358," yyyy"))</f>
        <v>February 16th,2026</v>
      </c>
      <c r="AB3358" s="15" t="str">
        <f aca="true">IF(S3358="","",DATEDIF(S3358,TODAY(),"Y")&amp;" Tahun, "&amp;DATEDIF(S3358,TODAY(),"YM")&amp;" Bulan, "&amp;DATEDIF(S3358,TODAY(),"MD")&amp;" Hari")</f>
        <v>28 Tahun, 8 Bulan, 8 Hari</v>
      </c>
      <c r="AC3358" s="18" t="n">
        <v>46069</v>
      </c>
      <c r="AD3358" s="18" t="n">
        <v>46249</v>
      </c>
      <c r="AE3358" s="13" t="s">
        <v>44</v>
      </c>
    </row>
    <row r="3359" customFormat="false" ht="15" hidden="false" customHeight="true" outlineLevel="0" collapsed="false">
      <c r="A3359" s="12" t="n">
        <v>21970</v>
      </c>
      <c r="B3359" s="13" t="s">
        <v>13841</v>
      </c>
      <c r="C3359" s="16" t="n">
        <v>46111</v>
      </c>
      <c r="D3359" s="13" t="s">
        <v>5726</v>
      </c>
      <c r="E3359" s="15" t="s">
        <v>47</v>
      </c>
      <c r="F3359" s="15" t="str">
        <f aca="false">IFERROR(__xludf.dummyfunction("XLOOKUP(AJ3359,IMPORTRANGE(""1XaInW9DU9nz21V0tYIfzFQ0He9kVQ_JF2mCXgZ3hqFA"",""REKAP ALL 2026 - Andika!G:G""),IMPORTRANGE(""1XaInW9DU9nz21V0tYIfzFQ0He9kVQ_JF2mCXgZ3hqFA"",""REKAP ALL 2026 - Andika!F:F""),"""",0)"),"26046412396")</f>
        <v>26046412396</v>
      </c>
      <c r="G3359" s="13" t="s">
        <v>57</v>
      </c>
      <c r="H3359" s="13" t="s">
        <v>35</v>
      </c>
      <c r="I3359" s="13" t="str">
        <f aca="false">IF(C3359=J3359,"NEW KONTRAK","RE-KONTRAK")</f>
        <v>NEW KONTRAK</v>
      </c>
      <c r="J3359" s="16" t="n">
        <f aca="false" t="array" ref="J3359:J3359">IFERROR(INDEX(AC3359:AE3359,IF(COUNTA(AC3359:AE3359)=0,"",MAX((AC3359:AE3359&lt;&gt;"")*(COLUMN(AC3359:AE3359)-(COLUMN(AC3359)))))-1),"")</f>
        <v>46111</v>
      </c>
      <c r="K3359" s="16" t="n">
        <f aca="false" t="array" ref="K3359:K3359">IFERROR(INDEX(AC3359:AE3359,IF(COUNTA(AC3359:AE3359)=0,"",MAX((AC3359:AE3359&lt;&gt;"")*(COLUMN(AC3359:AE3359)-(COLUMN(AC3359)-1))))-1),"")</f>
        <v>46202</v>
      </c>
      <c r="L3359" s="17" t="str">
        <f aca="false" t="array" ref="L3359:L3359">IFERROR(INDEX(AC3359:AE3359,IF(COUNTA(AC3359:AE3359)=0,"",MAX((AC3359:AE3359&lt;&gt;"")*(COLUMN(AC3359:AE3359)-(COLUMN(AC3359)-2))))-1),"")</f>
        <v>KEMBALI</v>
      </c>
      <c r="M3359" s="13" t="n">
        <f aca="true">K3359-TODAY()</f>
        <v>-122</v>
      </c>
      <c r="N3359" s="18" t="s">
        <v>615</v>
      </c>
      <c r="O3359" s="13" t="s">
        <v>5783</v>
      </c>
      <c r="P3359" s="19" t="n">
        <v>5176101</v>
      </c>
      <c r="Q3359" s="47" t="s">
        <v>13842</v>
      </c>
      <c r="R3359" s="13" t="s">
        <v>39</v>
      </c>
      <c r="S3359" s="16" t="n">
        <v>36646</v>
      </c>
      <c r="T3359" s="13" t="s">
        <v>40</v>
      </c>
      <c r="U3359" s="13" t="s">
        <v>13843</v>
      </c>
      <c r="V3359" s="13" t="s">
        <v>42</v>
      </c>
      <c r="W3359" s="13" t="s">
        <v>43</v>
      </c>
      <c r="X3359" s="21" t="n">
        <v>85735304391</v>
      </c>
      <c r="Y3359" s="22" t="str">
        <f aca="false">O3359</f>
        <v>QC</v>
      </c>
      <c r="Z3359" s="13" t="str">
        <f aca="false">IFERROR(__xludf.dummyfunction("if(BJ3359="""","""",GOOGLETRANSLATE(BJ3359,""auto"",""en""))"),"QC")</f>
        <v>QC</v>
      </c>
      <c r="AA3359" s="23" t="str">
        <f aca="false">IF(C3359="","", CHOOSE(MONTH(C3359),"January","February","March","April","May","June","July","August","September","October","November","December")&amp;" "&amp;DAY(C3359)&amp;MID("thstndrdth",MIN(9,2*RIGHT(DAY(C3359))*(MOD(DAY(C3359)-11,100)&gt;2)+1),2)&amp;","&amp;TEXT(C3359," yyyy"))</f>
        <v>March 30th,2026</v>
      </c>
      <c r="AB3359" s="15" t="str">
        <f aca="true">IF(S3359="","",DATEDIF(S3359,TODAY(),"Y")&amp;" Tahun, "&amp;DATEDIF(S3359,TODAY(),"YM")&amp;" Bulan, "&amp;DATEDIF(S3359,TODAY(),"MD")&amp;" Hari")</f>
        <v>26 Tahun, 5 Bulan, 29 Hari</v>
      </c>
      <c r="AC3359" s="18" t="n">
        <v>46111</v>
      </c>
      <c r="AD3359" s="18" t="n">
        <f aca="false">EDATE(AC3359,3)-1</f>
        <v>46202</v>
      </c>
      <c r="AE3359" s="13" t="s">
        <v>397</v>
      </c>
    </row>
    <row r="3360" customFormat="false" ht="15" hidden="false" customHeight="true" outlineLevel="0" collapsed="false">
      <c r="A3360" s="12" t="n">
        <v>21971</v>
      </c>
      <c r="B3360" s="13" t="s">
        <v>13844</v>
      </c>
      <c r="C3360" s="16" t="n">
        <v>46111</v>
      </c>
      <c r="D3360" s="13" t="s">
        <v>5726</v>
      </c>
      <c r="E3360" s="15" t="s">
        <v>47</v>
      </c>
      <c r="F3360" s="15" t="str">
        <f aca="false">IFERROR(__xludf.dummyfunction("XLOOKUP(AJ3360,IMPORTRANGE(""1XaInW9DU9nz21V0tYIfzFQ0He9kVQ_JF2mCXgZ3hqFA"",""REKAP ALL 2026 - Andika!G:G""),IMPORTRANGE(""1XaInW9DU9nz21V0tYIfzFQ0He9kVQ_JF2mCXgZ3hqFA"",""REKAP ALL 2026 - Andika!F:F""),"""",0)"),"26046411737")</f>
        <v>26046411737</v>
      </c>
      <c r="G3360" s="13" t="s">
        <v>57</v>
      </c>
      <c r="H3360" s="13" t="s">
        <v>35</v>
      </c>
      <c r="I3360" s="13" t="str">
        <f aca="false">IF(C3360=J3360,"NEW KONTRAK","RE-KONTRAK")</f>
        <v>NEW KONTRAK</v>
      </c>
      <c r="J3360" s="16" t="n">
        <f aca="false" t="array" ref="J3360:J3360">IFERROR(INDEX(AC3360:AE3360,IF(COUNTA(AC3360:AE3360)=0,"",MAX((AC3360:AE3360&lt;&gt;"")*(COLUMN(AC3360:AE3360)-(COLUMN(AC3360)))))-1),"")</f>
        <v>46111</v>
      </c>
      <c r="K3360" s="16" t="n">
        <f aca="false" t="array" ref="K3360:K3360">IFERROR(INDEX(AC3360:AE3360,IF(COUNTA(AC3360:AE3360)=0,"",MAX((AC3360:AE3360&lt;&gt;"")*(COLUMN(AC3360:AE3360)-(COLUMN(AC3360)-1))))-1),"")</f>
        <v>46202</v>
      </c>
      <c r="L3360" s="17" t="str">
        <f aca="false" t="array" ref="L3360:L3360">IFERROR(INDEX(AC3360:AE3360,IF(COUNTA(AC3360:AE3360)=0,"",MAX((AC3360:AE3360&lt;&gt;"")*(COLUMN(AC3360:AE3360)-(COLUMN(AC3360)-2))))-1),"")</f>
        <v>KEMBALI</v>
      </c>
      <c r="M3360" s="13" t="n">
        <f aca="true">K3360-TODAY()</f>
        <v>-122</v>
      </c>
      <c r="N3360" s="18" t="s">
        <v>615</v>
      </c>
      <c r="O3360" s="13" t="s">
        <v>5783</v>
      </c>
      <c r="P3360" s="19" t="n">
        <v>5176101</v>
      </c>
      <c r="Q3360" s="47" t="s">
        <v>13845</v>
      </c>
      <c r="R3360" s="13" t="s">
        <v>232</v>
      </c>
      <c r="S3360" s="16" t="n">
        <v>37774</v>
      </c>
      <c r="T3360" s="13" t="s">
        <v>40</v>
      </c>
      <c r="U3360" s="13" t="s">
        <v>13846</v>
      </c>
      <c r="V3360" s="13" t="s">
        <v>42</v>
      </c>
      <c r="W3360" s="13" t="s">
        <v>43</v>
      </c>
      <c r="X3360" s="21" t="n">
        <v>895347675577</v>
      </c>
      <c r="Y3360" s="22" t="str">
        <f aca="false">O3360</f>
        <v>QC</v>
      </c>
      <c r="Z3360" s="13" t="str">
        <f aca="false">IFERROR(__xludf.dummyfunction("if(BJ3360="""","""",GOOGLETRANSLATE(BJ3360,""auto"",""en""))"),"QC")</f>
        <v>QC</v>
      </c>
      <c r="AA3360" s="23" t="str">
        <f aca="false">IF(C3360="","", CHOOSE(MONTH(C3360),"January","February","March","April","May","June","July","August","September","October","November","December")&amp;" "&amp;DAY(C3360)&amp;MID("thstndrdth",MIN(9,2*RIGHT(DAY(C3360))*(MOD(DAY(C3360)-11,100)&gt;2)+1),2)&amp;","&amp;TEXT(C3360," yyyy"))</f>
        <v>March 30th,2026</v>
      </c>
      <c r="AB3360" s="15" t="str">
        <f aca="true">IF(S3360="","",DATEDIF(S3360,TODAY(),"Y")&amp;" Tahun, "&amp;DATEDIF(S3360,TODAY(),"YM")&amp;" Bulan, "&amp;DATEDIF(S3360,TODAY(),"MD")&amp;" Hari")</f>
        <v>23 Tahun, 4 Bulan, 27 Hari</v>
      </c>
      <c r="AC3360" s="18" t="n">
        <v>46111</v>
      </c>
      <c r="AD3360" s="18" t="n">
        <f aca="false">EDATE(AC3360,3)-1</f>
        <v>46202</v>
      </c>
      <c r="AE3360" s="13" t="s">
        <v>397</v>
      </c>
    </row>
    <row r="3361" customFormat="false" ht="15" hidden="false" customHeight="true" outlineLevel="0" collapsed="false">
      <c r="A3361" s="12" t="n">
        <v>21972</v>
      </c>
      <c r="B3361" s="13" t="s">
        <v>13847</v>
      </c>
      <c r="C3361" s="16" t="n">
        <v>46083</v>
      </c>
      <c r="D3361" s="13" t="s">
        <v>101</v>
      </c>
      <c r="E3361" s="15" t="s">
        <v>102</v>
      </c>
      <c r="F3361" s="15" t="str">
        <f aca="false">IFERROR(__xludf.dummyfunction("XLOOKUP(AJ3361,IMPORTRANGE(""1XaInW9DU9nz21V0tYIfzFQ0He9kVQ_JF2mCXgZ3hqFA"",""REKAP ALL 2026 - Andika!G:G""),IMPORTRANGE(""1XaInW9DU9nz21V0tYIfzFQ0He9kVQ_JF2mCXgZ3hqFA"",""REKAP ALL 2026 - Andika!F:F""),"""",0)"),"26046412339")</f>
        <v>26046412339</v>
      </c>
      <c r="G3361" s="13" t="s">
        <v>1127</v>
      </c>
      <c r="H3361" s="13" t="s">
        <v>35</v>
      </c>
      <c r="I3361" s="13" t="str">
        <f aca="false">IF(C3361=J3361,"NEW KONTRAK","RE-KONTRAK")</f>
        <v>NEW KONTRAK</v>
      </c>
      <c r="J3361" s="16" t="n">
        <f aca="false" t="array" ref="J3361:J3361">IFERROR(INDEX(AC3361:AE3361,IF(COUNTA(AC3361:AE3361)=0,"",MAX((AC3361:AE3361&lt;&gt;"")*(COLUMN(AC3361:AE3361)-(COLUMN(AC3361)))))-1),"")</f>
        <v>46083</v>
      </c>
      <c r="K3361" s="16" t="n">
        <f aca="false" t="array" ref="K3361:K3361">IFERROR(INDEX(AC3361:AE3361,IF(COUNTA(AC3361:AE3361)=0,"",MAX((AC3361:AE3361&lt;&gt;"")*(COLUMN(AC3361:AE3361)-(COLUMN(AC3361)-1))))-1),"")</f>
        <v>46188</v>
      </c>
      <c r="L3361" s="17" t="str">
        <f aca="false" t="array" ref="L3361:L3361">IFERROR(INDEX(AC3361:AE3361,IF(COUNTA(AC3361:AE3361)=0,"",MAX((AC3361:AE3361&lt;&gt;"")*(COLUMN(AC3361:AE3361)-(COLUMN(AC3361)-2))))-1),"")</f>
        <v>ARCHIVED</v>
      </c>
      <c r="M3361" s="13" t="n">
        <f aca="true">K3361-TODAY()</f>
        <v>-136</v>
      </c>
      <c r="N3361" s="18" t="s">
        <v>105</v>
      </c>
      <c r="O3361" s="13" t="s">
        <v>1434</v>
      </c>
      <c r="P3361" s="31" t="n">
        <v>138915</v>
      </c>
      <c r="Q3361" s="47" t="s">
        <v>13848</v>
      </c>
      <c r="R3361" s="13" t="s">
        <v>39</v>
      </c>
      <c r="S3361" s="48" t="n">
        <v>36868</v>
      </c>
      <c r="T3361" s="13" t="s">
        <v>108</v>
      </c>
      <c r="U3361" s="13" t="s">
        <v>13849</v>
      </c>
      <c r="V3361" s="13" t="s">
        <v>42</v>
      </c>
      <c r="W3361" s="13" t="s">
        <v>43</v>
      </c>
      <c r="X3361" s="21" t="n">
        <v>89613957676</v>
      </c>
      <c r="Y3361" s="22" t="str">
        <f aca="false">O3361</f>
        <v>E-Commerce - Packer</v>
      </c>
      <c r="Z3361" s="13" t="str">
        <f aca="false">IFERROR(__xludf.dummyfunction("if(BJ3361="""","""",GOOGLETRANSLATE(BJ3361,""auto"",""en""))"),"E-Commerce - Packer")</f>
        <v>E-Commerce - Packer</v>
      </c>
      <c r="AA3361" s="23" t="str">
        <f aca="false">IF(C3361="","", CHOOSE(MONTH(C3361),"January","February","March","April","May","June","July","August","September","October","November","December")&amp;" "&amp;DAY(C3361)&amp;MID("thstndrdth",MIN(9,2*RIGHT(DAY(C3361))*(MOD(DAY(C3361)-11,100)&gt;2)+1),2)&amp;","&amp;TEXT(C3361," yyyy"))</f>
        <v>March 2nd,2026</v>
      </c>
      <c r="AB3361" s="15" t="str">
        <f aca="true">IF(S3361="","",DATEDIF(S3361,TODAY(),"Y")&amp;" Tahun, "&amp;DATEDIF(S3361,TODAY(),"YM")&amp;" Bulan, "&amp;DATEDIF(S3361,TODAY(),"MD")&amp;" Hari")</f>
        <v>25 Tahun, 10 Bulan, 21 Hari</v>
      </c>
      <c r="AC3361" s="18" t="n">
        <v>46083</v>
      </c>
      <c r="AD3361" s="18" t="n">
        <v>46188</v>
      </c>
      <c r="AE3361" s="13" t="s">
        <v>44</v>
      </c>
    </row>
    <row r="3362" customFormat="false" ht="15" hidden="false" customHeight="true" outlineLevel="0" collapsed="false">
      <c r="A3362" s="12" t="n">
        <v>21973</v>
      </c>
      <c r="B3362" s="13" t="s">
        <v>13850</v>
      </c>
      <c r="C3362" s="16" t="n">
        <v>46082</v>
      </c>
      <c r="D3362" s="13" t="s">
        <v>101</v>
      </c>
      <c r="E3362" s="15" t="s">
        <v>102</v>
      </c>
      <c r="F3362" s="15" t="str">
        <f aca="false">IFERROR(__xludf.dummyfunction("XLOOKUP(AJ3362,IMPORTRANGE(""1XaInW9DU9nz21V0tYIfzFQ0He9kVQ_JF2mCXgZ3hqFA"",""REKAP ALL 2026 - Andika!G:G""),IMPORTRANGE(""1XaInW9DU9nz21V0tYIfzFQ0He9kVQ_JF2mCXgZ3hqFA"",""REKAP ALL 2026 - Andika!F:F""),"""",0)"),"26046412305")</f>
        <v>26046412305</v>
      </c>
      <c r="G3362" s="13" t="s">
        <v>1127</v>
      </c>
      <c r="H3362" s="13" t="s">
        <v>35</v>
      </c>
      <c r="I3362" s="13" t="str">
        <f aca="false">IF(C3362=J3362,"NEW KONTRAK","RE-KONTRAK")</f>
        <v>NEW KONTRAK</v>
      </c>
      <c r="J3362" s="16" t="n">
        <f aca="false" t="array" ref="J3362:J3362">IFERROR(INDEX(AC3362:AE3362,IF(COUNTA(AC3362:AE3362)=0,"",MAX((AC3362:AE3362&lt;&gt;"")*(COLUMN(AC3362:AE3362)-(COLUMN(AC3362)))))-1),"")</f>
        <v>46082</v>
      </c>
      <c r="K3362" s="16" t="n">
        <f aca="false" t="array" ref="K3362:K3362">IFERROR(INDEX(AC3362:AE3362,IF(COUNTA(AC3362:AE3362)=0,"",MAX((AC3362:AE3362&lt;&gt;"")*(COLUMN(AC3362:AE3362)-(COLUMN(AC3362)-1))))-1),"")</f>
        <v>46188</v>
      </c>
      <c r="L3362" s="17" t="str">
        <f aca="false" t="array" ref="L3362:L3362">IFERROR(INDEX(AC3362:AE3362,IF(COUNTA(AC3362:AE3362)=0,"",MAX((AC3362:AE3362&lt;&gt;"")*(COLUMN(AC3362:AE3362)-(COLUMN(AC3362)-2))))-1),"")</f>
        <v>ARCHIVED</v>
      </c>
      <c r="M3362" s="13" t="n">
        <f aca="true">K3362-TODAY()</f>
        <v>-136</v>
      </c>
      <c r="N3362" s="18" t="s">
        <v>105</v>
      </c>
      <c r="O3362" s="13" t="s">
        <v>1434</v>
      </c>
      <c r="P3362" s="31" t="n">
        <v>138915</v>
      </c>
      <c r="Q3362" s="47" t="s">
        <v>13851</v>
      </c>
      <c r="R3362" s="13" t="s">
        <v>39</v>
      </c>
      <c r="S3362" s="48" t="n">
        <v>39033</v>
      </c>
      <c r="T3362" s="13" t="s">
        <v>108</v>
      </c>
      <c r="U3362" s="13" t="s">
        <v>13852</v>
      </c>
      <c r="V3362" s="13" t="s">
        <v>42</v>
      </c>
      <c r="W3362" s="13" t="s">
        <v>43</v>
      </c>
      <c r="X3362" s="21" t="n">
        <v>83893073086</v>
      </c>
      <c r="Y3362" s="22" t="str">
        <f aca="false">O3362</f>
        <v>E-Commerce - Packer</v>
      </c>
      <c r="Z3362" s="13" t="str">
        <f aca="false">IFERROR(__xludf.dummyfunction("if(BJ3362="""","""",GOOGLETRANSLATE(BJ3362,""auto"",""en""))"),"E-Commerce - Packer")</f>
        <v>E-Commerce - Packer</v>
      </c>
      <c r="AA3362" s="23" t="str">
        <f aca="false">IF(C3362="","", CHOOSE(MONTH(C3362),"January","February","March","April","May","June","July","August","September","October","November","December")&amp;" "&amp;DAY(C3362)&amp;MID("thstndrdth",MIN(9,2*RIGHT(DAY(C3362))*(MOD(DAY(C3362)-11,100)&gt;2)+1),2)&amp;","&amp;TEXT(C3362," yyyy"))</f>
        <v>March 1st,2026</v>
      </c>
      <c r="AB3362" s="15" t="str">
        <f aca="true">IF(S3362="","",DATEDIF(S3362,TODAY(),"Y")&amp;" Tahun, "&amp;DATEDIF(S3362,TODAY(),"YM")&amp;" Bulan, "&amp;DATEDIF(S3362,TODAY(),"MD")&amp;" Hari")</f>
        <v>19 Tahun, 11 Bulan, 17 Hari</v>
      </c>
      <c r="AC3362" s="18" t="n">
        <v>46082</v>
      </c>
      <c r="AD3362" s="18" t="n">
        <v>46188</v>
      </c>
      <c r="AE3362" s="13" t="s">
        <v>44</v>
      </c>
    </row>
    <row r="3363" customFormat="false" ht="15" hidden="false" customHeight="true" outlineLevel="0" collapsed="false">
      <c r="A3363" s="12" t="n">
        <v>21974</v>
      </c>
      <c r="B3363" s="13" t="s">
        <v>13853</v>
      </c>
      <c r="C3363" s="16" t="n">
        <v>46082</v>
      </c>
      <c r="D3363" s="13" t="s">
        <v>101</v>
      </c>
      <c r="E3363" s="15" t="s">
        <v>102</v>
      </c>
      <c r="F3363" s="15" t="str">
        <f aca="false">IFERROR(__xludf.dummyfunction("XLOOKUP(AJ3363,IMPORTRANGE(""1XaInW9DU9nz21V0tYIfzFQ0He9kVQ_JF2mCXgZ3hqFA"",""REKAP ALL 2026 - Andika!G:G""),IMPORTRANGE(""1XaInW9DU9nz21V0tYIfzFQ0He9kVQ_JF2mCXgZ3hqFA"",""REKAP ALL 2026 - Andika!F:F""),"""",0)"),"26046412321")</f>
        <v>26046412321</v>
      </c>
      <c r="G3363" s="13" t="s">
        <v>1127</v>
      </c>
      <c r="H3363" s="13" t="s">
        <v>35</v>
      </c>
      <c r="I3363" s="13" t="str">
        <f aca="false">IF(C3363=J3363,"NEW KONTRAK","RE-KONTRAK")</f>
        <v>NEW KONTRAK</v>
      </c>
      <c r="J3363" s="16" t="n">
        <f aca="false" t="array" ref="J3363:J3363">IFERROR(INDEX(AC3363:AE3363,IF(COUNTA(AC3363:AE3363)=0,"",MAX((AC3363:AE3363&lt;&gt;"")*(COLUMN(AC3363:AE3363)-(COLUMN(AC3363)))))-1),"")</f>
        <v>46082</v>
      </c>
      <c r="K3363" s="16" t="n">
        <f aca="false" t="array" ref="K3363:K3363">IFERROR(INDEX(AC3363:AE3363,IF(COUNTA(AC3363:AE3363)=0,"",MAX((AC3363:AE3363&lt;&gt;"")*(COLUMN(AC3363:AE3363)-(COLUMN(AC3363)-1))))-1),"")</f>
        <v>46188</v>
      </c>
      <c r="L3363" s="17" t="str">
        <f aca="false" t="array" ref="L3363:L3363">IFERROR(INDEX(AC3363:AE3363,IF(COUNTA(AC3363:AE3363)=0,"",MAX((AC3363:AE3363&lt;&gt;"")*(COLUMN(AC3363:AE3363)-(COLUMN(AC3363)-2))))-1),"")</f>
        <v>ARCHIVED</v>
      </c>
      <c r="M3363" s="13" t="n">
        <f aca="true">K3363-TODAY()</f>
        <v>-136</v>
      </c>
      <c r="N3363" s="18" t="s">
        <v>105</v>
      </c>
      <c r="O3363" s="13" t="s">
        <v>1434</v>
      </c>
      <c r="P3363" s="31" t="n">
        <v>138915</v>
      </c>
      <c r="Q3363" s="47" t="s">
        <v>13854</v>
      </c>
      <c r="R3363" s="13" t="s">
        <v>39</v>
      </c>
      <c r="S3363" s="48" t="n">
        <v>35751</v>
      </c>
      <c r="T3363" s="28" t="s">
        <v>40</v>
      </c>
      <c r="U3363" s="13" t="s">
        <v>13855</v>
      </c>
      <c r="V3363" s="13" t="s">
        <v>42</v>
      </c>
      <c r="W3363" s="13" t="s">
        <v>43</v>
      </c>
      <c r="X3363" s="21" t="n">
        <v>895363530405</v>
      </c>
      <c r="Y3363" s="22" t="str">
        <f aca="false">O3363</f>
        <v>E-Commerce - Packer</v>
      </c>
      <c r="Z3363" s="13" t="str">
        <f aca="false">IFERROR(__xludf.dummyfunction("if(BJ3363="""","""",GOOGLETRANSLATE(BJ3363,""auto"",""en""))"),"E-Commerce - Packer")</f>
        <v>E-Commerce - Packer</v>
      </c>
      <c r="AA3363" s="23" t="str">
        <f aca="false">IF(C3363="","", CHOOSE(MONTH(C3363),"January","February","March","April","May","June","July","August","September","October","November","December")&amp;" "&amp;DAY(C3363)&amp;MID("thstndrdth",MIN(9,2*RIGHT(DAY(C3363))*(MOD(DAY(C3363)-11,100)&gt;2)+1),2)&amp;","&amp;TEXT(C3363," yyyy"))</f>
        <v>March 1st,2026</v>
      </c>
      <c r="AB3363" s="15" t="str">
        <f aca="true">IF(S3363="","",DATEDIF(S3363,TODAY(),"Y")&amp;" Tahun, "&amp;DATEDIF(S3363,TODAY(),"YM")&amp;" Bulan, "&amp;DATEDIF(S3363,TODAY(),"MD")&amp;" Hari")</f>
        <v>28 Tahun, 11 Bulan, 12 Hari</v>
      </c>
      <c r="AC3363" s="18" t="n">
        <v>46082</v>
      </c>
      <c r="AD3363" s="18" t="n">
        <v>46188</v>
      </c>
      <c r="AE3363" s="13" t="s">
        <v>44</v>
      </c>
    </row>
    <row r="3364" customFormat="false" ht="15" hidden="false" customHeight="true" outlineLevel="0" collapsed="false">
      <c r="A3364" s="12" t="n">
        <v>21975</v>
      </c>
      <c r="B3364" s="13" t="s">
        <v>13856</v>
      </c>
      <c r="C3364" s="16" t="n">
        <v>46091</v>
      </c>
      <c r="D3364" s="13" t="s">
        <v>101</v>
      </c>
      <c r="E3364" s="15" t="s">
        <v>102</v>
      </c>
      <c r="F3364" s="15" t="str">
        <f aca="false">IFERROR(__xludf.dummyfunction("XLOOKUP(AJ3364,IMPORTRANGE(""1XaInW9DU9nz21V0tYIfzFQ0He9kVQ_JF2mCXgZ3hqFA"",""REKAP ALL 2026 - Andika!G:G""),IMPORTRANGE(""1XaInW9DU9nz21V0tYIfzFQ0He9kVQ_JF2mCXgZ3hqFA"",""REKAP ALL 2026 - Andika!F:F""),"""",0)"),"26046412347")</f>
        <v>26046412347</v>
      </c>
      <c r="G3364" s="13" t="s">
        <v>1127</v>
      </c>
      <c r="H3364" s="13" t="s">
        <v>35</v>
      </c>
      <c r="I3364" s="13" t="str">
        <f aca="false">IF(C3364=J3364,"NEW KONTRAK","RE-KONTRAK")</f>
        <v>NEW KONTRAK</v>
      </c>
      <c r="J3364" s="16" t="n">
        <f aca="false" t="array" ref="J3364:J3364">IFERROR(INDEX(AC3364:AE3364,IF(COUNTA(AC3364:AE3364)=0,"",MAX((AC3364:AE3364&lt;&gt;"")*(COLUMN(AC3364:AE3364)-(COLUMN(AC3364)))))-1),"")</f>
        <v>46091</v>
      </c>
      <c r="K3364" s="16" t="n">
        <f aca="false" t="array" ref="K3364:K3364">IFERROR(INDEX(AC3364:AE3364,IF(COUNTA(AC3364:AE3364)=0,"",MAX((AC3364:AE3364&lt;&gt;"")*(COLUMN(AC3364:AE3364)-(COLUMN(AC3364)-1))))-1),"")</f>
        <v>46188</v>
      </c>
      <c r="L3364" s="17" t="str">
        <f aca="false" t="array" ref="L3364:L3364">IFERROR(INDEX(AC3364:AE3364,IF(COUNTA(AC3364:AE3364)=0,"",MAX((AC3364:AE3364&lt;&gt;"")*(COLUMN(AC3364:AE3364)-(COLUMN(AC3364)-2))))-1),"")</f>
        <v>ARCHIVED</v>
      </c>
      <c r="M3364" s="13" t="n">
        <f aca="true">K3364-TODAY()</f>
        <v>-136</v>
      </c>
      <c r="N3364" s="18" t="s">
        <v>105</v>
      </c>
      <c r="O3364" s="13" t="s">
        <v>1434</v>
      </c>
      <c r="P3364" s="31" t="n">
        <v>138915</v>
      </c>
      <c r="Q3364" s="47" t="s">
        <v>13857</v>
      </c>
      <c r="R3364" s="13" t="s">
        <v>39</v>
      </c>
      <c r="S3364" s="48" t="n">
        <v>36990</v>
      </c>
      <c r="T3364" s="28" t="s">
        <v>40</v>
      </c>
      <c r="U3364" s="13" t="s">
        <v>13858</v>
      </c>
      <c r="V3364" s="13" t="s">
        <v>42</v>
      </c>
      <c r="W3364" s="13" t="s">
        <v>43</v>
      </c>
      <c r="X3364" s="21" t="n">
        <v>895363921937</v>
      </c>
      <c r="Y3364" s="22" t="str">
        <f aca="false">O3364</f>
        <v>E-Commerce - Packer</v>
      </c>
      <c r="Z3364" s="13" t="str">
        <f aca="false">IFERROR(__xludf.dummyfunction("if(BJ3364="""","""",GOOGLETRANSLATE(BJ3364,""auto"",""en""))"),"E-Commerce - Packer")</f>
        <v>E-Commerce - Packer</v>
      </c>
      <c r="AA3364" s="23" t="str">
        <f aca="false">IF(C3364="","", CHOOSE(MONTH(C3364),"January","February","March","April","May","June","July","August","September","October","November","December")&amp;" "&amp;DAY(C3364)&amp;MID("thstndrdth",MIN(9,2*RIGHT(DAY(C3364))*(MOD(DAY(C3364)-11,100)&gt;2)+1),2)&amp;","&amp;TEXT(C3364," yyyy"))</f>
        <v>March 10th,2026</v>
      </c>
      <c r="AB3364" s="15" t="str">
        <f aca="true">IF(S3364="","",DATEDIF(S3364,TODAY(),"Y")&amp;" Tahun, "&amp;DATEDIF(S3364,TODAY(),"YM")&amp;" Bulan, "&amp;DATEDIF(S3364,TODAY(),"MD")&amp;" Hari")</f>
        <v>25 Tahun, 6 Bulan, 20 Hari</v>
      </c>
      <c r="AC3364" s="18" t="n">
        <v>46091</v>
      </c>
      <c r="AD3364" s="18" t="n">
        <v>46188</v>
      </c>
      <c r="AE3364" s="13" t="s">
        <v>44</v>
      </c>
    </row>
    <row r="3365" customFormat="false" ht="15.75" hidden="false" customHeight="true" outlineLevel="0" collapsed="false">
      <c r="A3365" s="12" t="n">
        <v>21976</v>
      </c>
      <c r="B3365" s="13" t="s">
        <v>13859</v>
      </c>
      <c r="C3365" s="16" t="n">
        <v>46071</v>
      </c>
      <c r="D3365" s="13" t="s">
        <v>101</v>
      </c>
      <c r="E3365" s="15" t="s">
        <v>102</v>
      </c>
      <c r="F3365" s="15" t="str">
        <f aca="false">IFERROR(__xludf.dummyfunction("XLOOKUP(AJ3365,IMPORTRANGE(""1XaInW9DU9nz21V0tYIfzFQ0He9kVQ_JF2mCXgZ3hqFA"",""REKAP ALL 2026 - Andika!G:G""),IMPORTRANGE(""1XaInW9DU9nz21V0tYIfzFQ0He9kVQ_JF2mCXgZ3hqFA"",""REKAP ALL 2026 - Andika!F:F""),"""",0)"),"26046412271")</f>
        <v>26046412271</v>
      </c>
      <c r="G3365" s="13" t="s">
        <v>1127</v>
      </c>
      <c r="H3365" s="13" t="s">
        <v>35</v>
      </c>
      <c r="I3365" s="13" t="str">
        <f aca="false">IF(C3365=J3365,"NEW KONTRAK","RE-KONTRAK")</f>
        <v>NEW KONTRAK</v>
      </c>
      <c r="J3365" s="16" t="n">
        <f aca="false" t="array" ref="J3365:J3365">IFERROR(INDEX(AC3365:AE3365,IF(COUNTA(AC3365:AE3365)=0,"",MAX((AC3365:AE3365&lt;&gt;"")*(COLUMN(AC3365:AE3365)-(COLUMN(AC3365)))))-1),"")</f>
        <v>46071</v>
      </c>
      <c r="K3365" s="16" t="n">
        <f aca="false" t="array" ref="K3365:K3365">IFERROR(INDEX(AC3365:AE3365,IF(COUNTA(AC3365:AE3365)=0,"",MAX((AC3365:AE3365&lt;&gt;"")*(COLUMN(AC3365:AE3365)-(COLUMN(AC3365)-1))))-1),"")</f>
        <v>46188</v>
      </c>
      <c r="L3365" s="17" t="str">
        <f aca="false" t="array" ref="L3365:L3365">IFERROR(INDEX(AC3365:AE3365,IF(COUNTA(AC3365:AE3365)=0,"",MAX((AC3365:AE3365&lt;&gt;"")*(COLUMN(AC3365:AE3365)-(COLUMN(AC3365)-2))))-1),"")</f>
        <v>ARCHIVED</v>
      </c>
      <c r="M3365" s="13" t="n">
        <f aca="true">K3365-TODAY()</f>
        <v>-136</v>
      </c>
      <c r="N3365" s="18" t="s">
        <v>105</v>
      </c>
      <c r="O3365" s="13" t="s">
        <v>1434</v>
      </c>
      <c r="P3365" s="31" t="n">
        <v>138915</v>
      </c>
      <c r="Q3365" s="47" t="s">
        <v>13860</v>
      </c>
      <c r="R3365" s="13" t="s">
        <v>260</v>
      </c>
      <c r="S3365" s="48" t="n">
        <v>36837</v>
      </c>
      <c r="T3365" s="13" t="s">
        <v>108</v>
      </c>
      <c r="U3365" s="13" t="s">
        <v>13861</v>
      </c>
      <c r="V3365" s="13" t="s">
        <v>42</v>
      </c>
      <c r="W3365" s="13" t="s">
        <v>43</v>
      </c>
      <c r="X3365" s="21" t="n">
        <v>89699985972</v>
      </c>
      <c r="Y3365" s="22" t="str">
        <f aca="false">O3365</f>
        <v>E-Commerce - Packer</v>
      </c>
      <c r="Z3365" s="13" t="str">
        <f aca="false">IFERROR(__xludf.dummyfunction("if(BJ3365="""","""",GOOGLETRANSLATE(BJ3365,""auto"",""en""))"),"E-Commerce - Packer")</f>
        <v>E-Commerce - Packer</v>
      </c>
      <c r="AA3365" s="23" t="str">
        <f aca="false">IF(C3365="","", CHOOSE(MONTH(C3365),"January","February","March","April","May","June","July","August","September","October","November","December")&amp;" "&amp;DAY(C3365)&amp;MID("thstndrdth",MIN(9,2*RIGHT(DAY(C3365))*(MOD(DAY(C3365)-11,100)&gt;2)+1),2)&amp;","&amp;TEXT(C3365," yyyy"))</f>
        <v>February 18th,2026</v>
      </c>
      <c r="AB3365" s="15" t="str">
        <f aca="true">IF(S3365="","",DATEDIF(S3365,TODAY(),"Y")&amp;" Tahun, "&amp;DATEDIF(S3365,TODAY(),"YM")&amp;" Bulan, "&amp;DATEDIF(S3365,TODAY(),"MD")&amp;" Hari")</f>
        <v>25 Tahun, 11 Bulan, 22 Hari</v>
      </c>
      <c r="AC3365" s="18" t="n">
        <v>46071</v>
      </c>
      <c r="AD3365" s="18" t="n">
        <v>46188</v>
      </c>
      <c r="AE3365" s="13" t="s">
        <v>44</v>
      </c>
    </row>
    <row r="3366" customFormat="false" ht="15.75" hidden="false" customHeight="true" outlineLevel="0" collapsed="false">
      <c r="A3366" s="12" t="n">
        <v>21977</v>
      </c>
      <c r="B3366" s="13" t="s">
        <v>13862</v>
      </c>
      <c r="C3366" s="16" t="n">
        <v>46071</v>
      </c>
      <c r="D3366" s="13" t="s">
        <v>101</v>
      </c>
      <c r="E3366" s="15" t="s">
        <v>102</v>
      </c>
      <c r="F3366" s="15" t="str">
        <f aca="false">IFERROR(__xludf.dummyfunction("XLOOKUP(AJ3366,IMPORTRANGE(""1XaInW9DU9nz21V0tYIfzFQ0He9kVQ_JF2mCXgZ3hqFA"",""REKAP ALL 2026 - Andika!G:G""),IMPORTRANGE(""1XaInW9DU9nz21V0tYIfzFQ0He9kVQ_JF2mCXgZ3hqFA"",""REKAP ALL 2026 - Andika!F:F""),"""",0)"),"26046412289")</f>
        <v>26046412289</v>
      </c>
      <c r="G3366" s="13" t="s">
        <v>1127</v>
      </c>
      <c r="H3366" s="13" t="s">
        <v>35</v>
      </c>
      <c r="I3366" s="13" t="str">
        <f aca="false">IF(C3366=J3366,"NEW KONTRAK","RE-KONTRAK")</f>
        <v>NEW KONTRAK</v>
      </c>
      <c r="J3366" s="16" t="n">
        <f aca="false" t="array" ref="J3366:J3366">IFERROR(INDEX(AC3366:AE3366,IF(COUNTA(AC3366:AE3366)=0,"",MAX((AC3366:AE3366&lt;&gt;"")*(COLUMN(AC3366:AE3366)-(COLUMN(AC3366)))))-1),"")</f>
        <v>46071</v>
      </c>
      <c r="K3366" s="16" t="n">
        <f aca="false" t="array" ref="K3366:K3366">IFERROR(INDEX(AC3366:AE3366,IF(COUNTA(AC3366:AE3366)=0,"",MAX((AC3366:AE3366&lt;&gt;"")*(COLUMN(AC3366:AE3366)-(COLUMN(AC3366)-1))))-1),"")</f>
        <v>46188</v>
      </c>
      <c r="L3366" s="17" t="str">
        <f aca="false" t="array" ref="L3366:L3366">IFERROR(INDEX(AC3366:AE3366,IF(COUNTA(AC3366:AE3366)=0,"",MAX((AC3366:AE3366&lt;&gt;"")*(COLUMN(AC3366:AE3366)-(COLUMN(AC3366)-2))))-1),"")</f>
        <v>ARCHIVED</v>
      </c>
      <c r="M3366" s="13" t="n">
        <f aca="true">K3366-TODAY()</f>
        <v>-136</v>
      </c>
      <c r="N3366" s="18" t="s">
        <v>105</v>
      </c>
      <c r="O3366" s="13" t="s">
        <v>1434</v>
      </c>
      <c r="P3366" s="31" t="n">
        <v>138915</v>
      </c>
      <c r="Q3366" s="47" t="s">
        <v>13863</v>
      </c>
      <c r="R3366" s="13" t="s">
        <v>39</v>
      </c>
      <c r="S3366" s="48" t="n">
        <v>39076</v>
      </c>
      <c r="T3366" s="28" t="s">
        <v>40</v>
      </c>
      <c r="U3366" s="13" t="s">
        <v>13864</v>
      </c>
      <c r="V3366" s="13" t="s">
        <v>42</v>
      </c>
      <c r="W3366" s="13" t="s">
        <v>43</v>
      </c>
      <c r="X3366" s="21" t="n">
        <v>87863644643</v>
      </c>
      <c r="Y3366" s="22" t="str">
        <f aca="false">O3366</f>
        <v>E-Commerce - Packer</v>
      </c>
      <c r="Z3366" s="13" t="str">
        <f aca="false">IFERROR(__xludf.dummyfunction("if(BJ3366="""","""",GOOGLETRANSLATE(BJ3366,""auto"",""en""))"),"E-Commerce - Packer")</f>
        <v>E-Commerce - Packer</v>
      </c>
      <c r="AA3366" s="23" t="str">
        <f aca="false">IF(C3366="","", CHOOSE(MONTH(C3366),"January","February","March","April","May","June","July","August","September","October","November","December")&amp;" "&amp;DAY(C3366)&amp;MID("thstndrdth",MIN(9,2*RIGHT(DAY(C3366))*(MOD(DAY(C3366)-11,100)&gt;2)+1),2)&amp;","&amp;TEXT(C3366," yyyy"))</f>
        <v>February 18th,2026</v>
      </c>
      <c r="AB3366" s="15" t="str">
        <f aca="true">IF(S3366="","",DATEDIF(S3366,TODAY(),"Y")&amp;" Tahun, "&amp;DATEDIF(S3366,TODAY(),"YM")&amp;" Bulan, "&amp;DATEDIF(S3366,TODAY(),"MD")&amp;" Hari")</f>
        <v>19 Tahun, 10 Bulan, 4 Hari</v>
      </c>
      <c r="AC3366" s="18" t="n">
        <v>46071</v>
      </c>
      <c r="AD3366" s="18" t="n">
        <v>46188</v>
      </c>
      <c r="AE3366" s="13" t="s">
        <v>44</v>
      </c>
    </row>
    <row r="3367" customFormat="false" ht="15" hidden="false" customHeight="true" outlineLevel="0" collapsed="false">
      <c r="A3367" s="12" t="n">
        <v>21979</v>
      </c>
      <c r="B3367" s="13" t="s">
        <v>13865</v>
      </c>
      <c r="C3367" s="16" t="n">
        <v>46098</v>
      </c>
      <c r="D3367" s="13" t="s">
        <v>1338</v>
      </c>
      <c r="E3367" s="15" t="s">
        <v>12803</v>
      </c>
      <c r="F3367" s="24" t="s">
        <v>13866</v>
      </c>
      <c r="G3367" s="13" t="s">
        <v>57</v>
      </c>
      <c r="H3367" s="13" t="s">
        <v>3024</v>
      </c>
      <c r="I3367" s="13" t="str">
        <f aca="false">IF(C3367=J3367,"NEW KONTRAK","RE-KONTRAK")</f>
        <v>NEW KONTRAK</v>
      </c>
      <c r="J3367" s="16" t="n">
        <f aca="false" t="array" ref="J3367:J3367">IFERROR(INDEX(AC3367:AE3367,IF(COUNTA(AC3367:AE3367)=0,"",MAX((AC3367:AE3367&lt;&gt;"")*(COLUMN(AC3367:AE3367)-(COLUMN(AC3367)))))-1),"")</f>
        <v>46098</v>
      </c>
      <c r="K3367" s="16" t="n">
        <f aca="false" t="array" ref="K3367:K3367">IFERROR(INDEX(AC3367:AE3367,IF(COUNTA(AC3367:AE3367)=0,"",MAX((AC3367:AE3367&lt;&gt;"")*(COLUMN(AC3367:AE3367)-(COLUMN(AC3367)-1))))-1),"")</f>
        <v>46189</v>
      </c>
      <c r="L3367" s="17" t="str">
        <f aca="false" t="array" ref="L3367:L3367">IFERROR(INDEX(AC3367:AE3367,IF(COUNTA(AC3367:AE3367)=0,"",MAX((AC3367:AE3367&lt;&gt;"")*(COLUMN(AC3367:AE3367)-(COLUMN(AC3367)-2))))-1),"")</f>
        <v>ARCHIVED</v>
      </c>
      <c r="M3367" s="13" t="n">
        <f aca="true">K3367-TODAY()</f>
        <v>-135</v>
      </c>
      <c r="N3367" s="18" t="s">
        <v>615</v>
      </c>
      <c r="O3367" s="13" t="s">
        <v>2335</v>
      </c>
      <c r="P3367" s="19" t="n">
        <v>160000</v>
      </c>
      <c r="Q3367" s="47" t="s">
        <v>13867</v>
      </c>
      <c r="R3367" s="13" t="s">
        <v>232</v>
      </c>
      <c r="S3367" s="16" t="n">
        <v>38924</v>
      </c>
      <c r="T3367" s="28" t="s">
        <v>40</v>
      </c>
      <c r="U3367" s="13" t="s">
        <v>13868</v>
      </c>
      <c r="V3367" s="13" t="s">
        <v>42</v>
      </c>
      <c r="W3367" s="13" t="s">
        <v>43</v>
      </c>
      <c r="X3367" s="21" t="s">
        <v>13869</v>
      </c>
      <c r="Y3367" s="22" t="str">
        <f aca="false">O3367</f>
        <v>Project Management</v>
      </c>
      <c r="Z3367" s="13" t="str">
        <f aca="false">IFERROR(__xludf.dummyfunction("if(BJ3367="""","""",GOOGLETRANSLATE(BJ3367,""auto"",""en""))"),"Project Management")</f>
        <v>Project Management</v>
      </c>
      <c r="AA3367" s="23" t="str">
        <f aca="false">IF(C3367="","", CHOOSE(MONTH(C3367),"January","February","March","April","May","June","July","August","September","October","November","December")&amp;" "&amp;DAY(C3367)&amp;MID("thstndrdth",MIN(9,2*RIGHT(DAY(C3367))*(MOD(DAY(C3367)-11,100)&gt;2)+1),2)&amp;","&amp;TEXT(C3367," yyyy"))</f>
        <v>March 17th,2026</v>
      </c>
      <c r="AB3367" s="15" t="str">
        <f aca="true">IF(S3367="","",DATEDIF(S3367,TODAY(),"Y")&amp;" Tahun, "&amp;DATEDIF(S3367,TODAY(),"YM")&amp;" Bulan, "&amp;DATEDIF(S3367,TODAY(),"MD")&amp;" Hari")</f>
        <v>20 Tahun, 3 Bulan, 3 Hari</v>
      </c>
      <c r="AC3367" s="18" t="n">
        <v>46098</v>
      </c>
      <c r="AD3367" s="18" t="n">
        <v>46189</v>
      </c>
      <c r="AE3367" s="13" t="s">
        <v>44</v>
      </c>
    </row>
    <row r="3368" customFormat="false" ht="15" hidden="false" customHeight="true" outlineLevel="0" collapsed="false">
      <c r="A3368" s="12" t="n">
        <v>21980</v>
      </c>
      <c r="B3368" s="13" t="s">
        <v>13870</v>
      </c>
      <c r="C3368" s="16" t="n">
        <v>46098</v>
      </c>
      <c r="D3368" s="13" t="s">
        <v>1338</v>
      </c>
      <c r="E3368" s="15" t="s">
        <v>47</v>
      </c>
      <c r="F3368" s="15" t="str">
        <f aca="false">IFERROR(__xludf.dummyfunction("XLOOKUP(AJ3368,IMPORTRANGE(""1XaInW9DU9nz21V0tYIfzFQ0He9kVQ_JF2mCXgZ3hqFA"",""REKAP ALL 2026 - Andika!G:G""),IMPORTRANGE(""1XaInW9DU9nz21V0tYIfzFQ0He9kVQ_JF2mCXgZ3hqFA"",""REKAP ALL 2026 - Andika!F:F""),"""",0)"),"26046412164")</f>
        <v>26046412164</v>
      </c>
      <c r="G3368" s="13" t="s">
        <v>57</v>
      </c>
      <c r="H3368" s="13" t="s">
        <v>3024</v>
      </c>
      <c r="I3368" s="13" t="str">
        <f aca="false">IF(C3368=J3368,"NEW KONTRAK","RE-KONTRAK")</f>
        <v>NEW KONTRAK</v>
      </c>
      <c r="J3368" s="16" t="n">
        <f aca="false" t="array" ref="J3368:J3368">IFERROR(INDEX(AC3368:AE3368,IF(COUNTA(AC3368:AE3368)=0,"",MAX((AC3368:AE3368&lt;&gt;"")*(COLUMN(AC3368:AE3368)-(COLUMN(AC3368)))))-1),"")</f>
        <v>46098</v>
      </c>
      <c r="K3368" s="16" t="n">
        <f aca="false" t="array" ref="K3368:K3368">IFERROR(INDEX(AC3368:AE3368,IF(COUNTA(AC3368:AE3368)=0,"",MAX((AC3368:AE3368&lt;&gt;"")*(COLUMN(AC3368:AE3368)-(COLUMN(AC3368)-1))))-1),"")</f>
        <v>46189</v>
      </c>
      <c r="L3368" s="17" t="str">
        <f aca="false" t="array" ref="L3368:L3368">IFERROR(INDEX(AC3368:AE3368,IF(COUNTA(AC3368:AE3368)=0,"",MAX((AC3368:AE3368&lt;&gt;"")*(COLUMN(AC3368:AE3368)-(COLUMN(AC3368)-2))))-1),"")</f>
        <v>KEMBALI ONLINE</v>
      </c>
      <c r="M3368" s="13" t="n">
        <f aca="true">K3368-TODAY()</f>
        <v>-135</v>
      </c>
      <c r="N3368" s="18" t="s">
        <v>615</v>
      </c>
      <c r="O3368" s="13" t="s">
        <v>2335</v>
      </c>
      <c r="P3368" s="19" t="n">
        <v>160000</v>
      </c>
      <c r="Q3368" s="47" t="s">
        <v>13871</v>
      </c>
      <c r="R3368" s="13" t="s">
        <v>232</v>
      </c>
      <c r="S3368" s="16" t="n">
        <v>33810</v>
      </c>
      <c r="T3368" s="28" t="s">
        <v>40</v>
      </c>
      <c r="U3368" s="13" t="s">
        <v>13872</v>
      </c>
      <c r="V3368" s="13" t="s">
        <v>42</v>
      </c>
      <c r="W3368" s="13" t="s">
        <v>54</v>
      </c>
      <c r="X3368" s="21" t="s">
        <v>13873</v>
      </c>
      <c r="Y3368" s="22" t="str">
        <f aca="false">O3368</f>
        <v>Project Management</v>
      </c>
      <c r="Z3368" s="13" t="str">
        <f aca="false">IFERROR(__xludf.dummyfunction("if(BJ3368="""","""",GOOGLETRANSLATE(BJ3368,""auto"",""en""))"),"Project Management")</f>
        <v>Project Management</v>
      </c>
      <c r="AA3368" s="23" t="str">
        <f aca="false">IF(C3368="","", CHOOSE(MONTH(C3368),"January","February","March","April","May","June","July","August","September","October","November","December")&amp;" "&amp;DAY(C3368)&amp;MID("thstndrdth",MIN(9,2*RIGHT(DAY(C3368))*(MOD(DAY(C3368)-11,100)&gt;2)+1),2)&amp;","&amp;TEXT(C3368," yyyy"))</f>
        <v>March 17th,2026</v>
      </c>
      <c r="AB3368" s="15" t="str">
        <f aca="true">IF(S3368="","",DATEDIF(S3368,TODAY(),"Y")&amp;" Tahun, "&amp;DATEDIF(S3368,TODAY(),"YM")&amp;" Bulan, "&amp;DATEDIF(S3368,TODAY(),"MD")&amp;" Hari")</f>
        <v>34 Tahun, 3 Bulan, 4 Hari</v>
      </c>
      <c r="AC3368" s="18" t="n">
        <v>46098</v>
      </c>
      <c r="AD3368" s="18" t="n">
        <v>46189</v>
      </c>
      <c r="AE3368" s="13" t="s">
        <v>2387</v>
      </c>
    </row>
    <row r="3369" customFormat="false" ht="15" hidden="false" customHeight="true" outlineLevel="0" collapsed="false">
      <c r="A3369" s="12" t="n">
        <v>21984</v>
      </c>
      <c r="B3369" s="13" t="s">
        <v>13874</v>
      </c>
      <c r="C3369" s="16" t="n">
        <v>46098</v>
      </c>
      <c r="D3369" s="13" t="s">
        <v>1338</v>
      </c>
      <c r="E3369" s="15" t="s">
        <v>102</v>
      </c>
      <c r="F3369" s="15" t="str">
        <f aca="false">IFERROR(__xludf.dummyfunction("XLOOKUP(AJ3369,IMPORTRANGE(""1XaInW9DU9nz21V0tYIfzFQ0He9kVQ_JF2mCXgZ3hqFA"",""REKAP ALL 2026 - Andika!G:G""),IMPORTRANGE(""1XaInW9DU9nz21V0tYIfzFQ0He9kVQ_JF2mCXgZ3hqFA"",""REKAP ALL 2026 - Andika!F:F""),"""",0)"),"26046412198")</f>
        <v>26046412198</v>
      </c>
      <c r="G3369" s="13" t="s">
        <v>57</v>
      </c>
      <c r="H3369" s="13" t="s">
        <v>3024</v>
      </c>
      <c r="I3369" s="13" t="str">
        <f aca="false">IF(C3369=J3369,"NEW KONTRAK","RE-KONTRAK")</f>
        <v>NEW KONTRAK</v>
      </c>
      <c r="J3369" s="16" t="n">
        <f aca="false" t="array" ref="J3369:J3369">IFERROR(INDEX(AC3369:AE3369,IF(COUNTA(AC3369:AE3369)=0,"",MAX((AC3369:AE3369&lt;&gt;"")*(COLUMN(AC3369:AE3369)-(COLUMN(AC3369)))))-1),"")</f>
        <v>46098</v>
      </c>
      <c r="K3369" s="16" t="n">
        <f aca="false" t="array" ref="K3369:K3369">IFERROR(INDEX(AC3369:AE3369,IF(COUNTA(AC3369:AE3369)=0,"",MAX((AC3369:AE3369&lt;&gt;"")*(COLUMN(AC3369:AE3369)-(COLUMN(AC3369)-1))))-1),"")</f>
        <v>46189</v>
      </c>
      <c r="L3369" s="17" t="str">
        <f aca="false" t="array" ref="L3369:L3369">IFERROR(INDEX(AC3369:AE3369,IF(COUNTA(AC3369:AE3369)=0,"",MAX((AC3369:AE3369&lt;&gt;"")*(COLUMN(AC3369:AE3369)-(COLUMN(AC3369)-2))))-1),"")</f>
        <v>KEMBALI ONLINE</v>
      </c>
      <c r="M3369" s="13" t="n">
        <f aca="true">K3369-TODAY()</f>
        <v>-135</v>
      </c>
      <c r="N3369" s="18" t="s">
        <v>615</v>
      </c>
      <c r="O3369" s="13" t="s">
        <v>2335</v>
      </c>
      <c r="P3369" s="19" t="n">
        <v>160000</v>
      </c>
      <c r="Q3369" s="47" t="s">
        <v>13875</v>
      </c>
      <c r="R3369" s="13" t="s">
        <v>232</v>
      </c>
      <c r="S3369" s="16" t="n">
        <v>33979</v>
      </c>
      <c r="T3369" s="28" t="s">
        <v>40</v>
      </c>
      <c r="U3369" s="13" t="s">
        <v>13876</v>
      </c>
      <c r="V3369" s="13" t="s">
        <v>42</v>
      </c>
      <c r="W3369" s="13" t="s">
        <v>54</v>
      </c>
      <c r="X3369" s="21" t="s">
        <v>13877</v>
      </c>
      <c r="Y3369" s="22" t="str">
        <f aca="false">O3369</f>
        <v>Project Management</v>
      </c>
      <c r="Z3369" s="13" t="str">
        <f aca="false">IFERROR(__xludf.dummyfunction("if(BJ3369="""","""",GOOGLETRANSLATE(BJ3369,""auto"",""en""))"),"Project Management")</f>
        <v>Project Management</v>
      </c>
      <c r="AA3369" s="23" t="str">
        <f aca="false">IF(C3369="","", CHOOSE(MONTH(C3369),"January","February","March","April","May","June","July","August","September","October","November","December")&amp;" "&amp;DAY(C3369)&amp;MID("thstndrdth",MIN(9,2*RIGHT(DAY(C3369))*(MOD(DAY(C3369)-11,100)&gt;2)+1),2)&amp;","&amp;TEXT(C3369," yyyy"))</f>
        <v>March 17th,2026</v>
      </c>
      <c r="AB3369" s="15" t="str">
        <f aca="true">IF(S3369="","",DATEDIF(S3369,TODAY(),"Y")&amp;" Tahun, "&amp;DATEDIF(S3369,TODAY(),"YM")&amp;" Bulan, "&amp;DATEDIF(S3369,TODAY(),"MD")&amp;" Hari")</f>
        <v>33 Tahun, 9 Bulan, 19 Hari</v>
      </c>
      <c r="AC3369" s="18" t="n">
        <v>46098</v>
      </c>
      <c r="AD3369" s="18" t="n">
        <v>46189</v>
      </c>
      <c r="AE3369" s="13" t="s">
        <v>2387</v>
      </c>
    </row>
    <row r="3370" customFormat="false" ht="15" hidden="false" customHeight="true" outlineLevel="0" collapsed="false">
      <c r="A3370" s="12" t="n">
        <v>21985</v>
      </c>
      <c r="B3370" s="13" t="s">
        <v>13878</v>
      </c>
      <c r="C3370" s="16" t="n">
        <v>46098</v>
      </c>
      <c r="D3370" s="13" t="s">
        <v>8864</v>
      </c>
      <c r="E3370" s="15" t="s">
        <v>102</v>
      </c>
      <c r="F3370" s="24" t="s">
        <v>13879</v>
      </c>
      <c r="G3370" s="13" t="s">
        <v>57</v>
      </c>
      <c r="H3370" s="13" t="s">
        <v>35</v>
      </c>
      <c r="I3370" s="13" t="str">
        <f aca="false">IF(C3370=J3370,"NEW KONTRAK","RE-KONTRAK")</f>
        <v>NEW KONTRAK</v>
      </c>
      <c r="J3370" s="16" t="n">
        <f aca="false" t="array" ref="J3370:J3370">IFERROR(INDEX(AC3370:AE3370,IF(COUNTA(AC3370:AE3370)=0,"",MAX((AC3370:AE3370&lt;&gt;"")*(COLUMN(AC3370:AE3370)-(COLUMN(AC3370)))))-1),"")</f>
        <v>46098</v>
      </c>
      <c r="K3370" s="16" t="n">
        <f aca="false" t="array" ref="K3370:K3370">IFERROR(INDEX(AC3370:AE3370,IF(COUNTA(AC3370:AE3370)=0,"",MAX((AC3370:AE3370&lt;&gt;"")*(COLUMN(AC3370:AE3370)-(COLUMN(AC3370)-1))))-1),"")</f>
        <v>46189</v>
      </c>
      <c r="L3370" s="17" t="str">
        <f aca="false" t="array" ref="L3370:L3370">IFERROR(INDEX(AC3370:AE3370,IF(COUNTA(AC3370:AE3370)=0,"",MAX((AC3370:AE3370&lt;&gt;"")*(COLUMN(AC3370:AE3370)-(COLUMN(AC3370)-2))))-1),"")</f>
        <v>ARCHIVED</v>
      </c>
      <c r="M3370" s="13" t="n">
        <f aca="true">K3370-TODAY()</f>
        <v>-135</v>
      </c>
      <c r="N3370" s="18" t="s">
        <v>105</v>
      </c>
      <c r="O3370" s="13" t="s">
        <v>719</v>
      </c>
      <c r="P3370" s="19" t="n">
        <v>100000</v>
      </c>
      <c r="Q3370" s="47" t="s">
        <v>13880</v>
      </c>
      <c r="R3370" s="13" t="s">
        <v>39</v>
      </c>
      <c r="S3370" s="16" t="n">
        <v>38998</v>
      </c>
      <c r="T3370" s="28" t="s">
        <v>40</v>
      </c>
      <c r="U3370" s="13" t="s">
        <v>13881</v>
      </c>
      <c r="V3370" s="13" t="s">
        <v>42</v>
      </c>
      <c r="W3370" s="13" t="s">
        <v>43</v>
      </c>
      <c r="X3370" s="21" t="n">
        <v>89699661160</v>
      </c>
      <c r="Y3370" s="22" t="str">
        <f aca="false">O3370</f>
        <v>Cleaning Service</v>
      </c>
      <c r="Z3370" s="13" t="str">
        <f aca="false">IFERROR(__xludf.dummyfunction("if(BJ3370="""","""",GOOGLETRANSLATE(BJ3370,""auto"",""en""))"),"Cleaning Service")</f>
        <v>Cleaning Service</v>
      </c>
      <c r="AA3370" s="23" t="str">
        <f aca="false">IF(C3370="","", CHOOSE(MONTH(C3370),"January","February","March","April","May","June","July","August","September","October","November","December")&amp;" "&amp;DAY(C3370)&amp;MID("thstndrdth",MIN(9,2*RIGHT(DAY(C3370))*(MOD(DAY(C3370)-11,100)&gt;2)+1),2)&amp;","&amp;TEXT(C3370," yyyy"))</f>
        <v>March 17th,2026</v>
      </c>
      <c r="AB3370" s="15" t="str">
        <f aca="true">IF(S3370="","",DATEDIF(S3370,TODAY(),"Y")&amp;" Tahun, "&amp;DATEDIF(S3370,TODAY(),"YM")&amp;" Bulan, "&amp;DATEDIF(S3370,TODAY(),"MD")&amp;" Hari")</f>
        <v>20 Tahun, 0 Bulan, 21 Hari</v>
      </c>
      <c r="AC3370" s="18" t="n">
        <v>46098</v>
      </c>
      <c r="AD3370" s="18" t="n">
        <f aca="false">EDATE(AC3370,3)-1</f>
        <v>46189</v>
      </c>
      <c r="AE3370" s="13" t="s">
        <v>44</v>
      </c>
    </row>
    <row r="3371" customFormat="false" ht="15" hidden="false" customHeight="true" outlineLevel="0" collapsed="false">
      <c r="A3371" s="12" t="n">
        <v>21986</v>
      </c>
      <c r="B3371" s="13" t="s">
        <v>13882</v>
      </c>
      <c r="C3371" s="16" t="n">
        <v>46105</v>
      </c>
      <c r="D3371" s="13" t="s">
        <v>6487</v>
      </c>
      <c r="E3371" s="15" t="s">
        <v>102</v>
      </c>
      <c r="F3371" s="24" t="s">
        <v>13883</v>
      </c>
      <c r="G3371" s="28" t="s">
        <v>57</v>
      </c>
      <c r="H3371" s="13" t="s">
        <v>35</v>
      </c>
      <c r="I3371" s="13" t="str">
        <f aca="false">IF(C3371=J3371,"NEW KONTRAK","RE-KONTRAK")</f>
        <v>NEW KONTRAK</v>
      </c>
      <c r="J3371" s="16" t="n">
        <f aca="false" t="array" ref="J3371:J3371">IFERROR(INDEX(AC3371:AE3371,IF(COUNTA(AC3371:AE3371)=0,"",MAX((AC3371:AE3371&lt;&gt;"")*(COLUMN(AC3371:AE3371)-(COLUMN(AC3371)))))-1),"")</f>
        <v>46105</v>
      </c>
      <c r="K3371" s="16" t="n">
        <f aca="false" t="array" ref="K3371:K3371">IFERROR(INDEX(AC3371:AE3371,IF(COUNTA(AC3371:AE3371)=0,"",MAX((AC3371:AE3371&lt;&gt;"")*(COLUMN(AC3371:AE3371)-(COLUMN(AC3371)-1))))-1),"")</f>
        <v>46387</v>
      </c>
      <c r="L3371" s="17" t="str">
        <f aca="false" t="array" ref="L3371:L3371">IFERROR(INDEX(AC3371:AE3371,IF(COUNTA(AC3371:AE3371)=0,"",MAX((AC3371:AE3371&lt;&gt;"")*(COLUMN(AC3371:AE3371)-(COLUMN(AC3371)-2))))-1),"")</f>
        <v>KEMBALI</v>
      </c>
      <c r="M3371" s="13" t="n">
        <f aca="true">K3371-TODAY()</f>
        <v>63</v>
      </c>
      <c r="N3371" s="50" t="s">
        <v>4735</v>
      </c>
      <c r="O3371" s="13" t="s">
        <v>12799</v>
      </c>
      <c r="P3371" s="19" t="n">
        <v>132300</v>
      </c>
      <c r="Q3371" s="47" t="s">
        <v>13884</v>
      </c>
      <c r="R3371" s="13" t="s">
        <v>13885</v>
      </c>
      <c r="S3371" s="16" t="n">
        <v>32149</v>
      </c>
      <c r="T3371" s="28" t="s">
        <v>40</v>
      </c>
      <c r="U3371" s="13" t="s">
        <v>13886</v>
      </c>
      <c r="V3371" s="13" t="s">
        <v>42</v>
      </c>
      <c r="W3371" s="13" t="s">
        <v>54</v>
      </c>
      <c r="X3371" s="21" t="s">
        <v>13887</v>
      </c>
      <c r="Y3371" s="22" t="str">
        <f aca="false">O3371</f>
        <v>Helper Ekspedisi</v>
      </c>
      <c r="Z3371" s="13" t="str">
        <f aca="false">IFERROR(__xludf.dummyfunction("if(BJ3371="""","""",GOOGLETRANSLATE(BJ3371,""auto"",""en""))"),"Expedition Helper")</f>
        <v>Expedition Helper</v>
      </c>
      <c r="AA3371" s="23" t="str">
        <f aca="false">IF(C3371="","", CHOOSE(MONTH(C3371),"January","February","March","April","May","June","July","August","September","October","November","December")&amp;" "&amp;DAY(C3371)&amp;MID("thstndrdth",MIN(9,2*RIGHT(DAY(C3371))*(MOD(DAY(C3371)-11,100)&gt;2)+1),2)&amp;","&amp;TEXT(C3371," yyyy"))</f>
        <v>March 24th,2026</v>
      </c>
      <c r="AB3371" s="15" t="str">
        <f aca="true">IF(S3371="","",DATEDIF(S3371,TODAY(),"Y")&amp;" Tahun, "&amp;DATEDIF(S3371,TODAY(),"YM")&amp;" Bulan, "&amp;DATEDIF(S3371,TODAY(),"MD")&amp;" Hari")</f>
        <v>38 Tahun, 9 Bulan, 22 Hari</v>
      </c>
      <c r="AC3371" s="18" t="n">
        <v>46105</v>
      </c>
      <c r="AD3371" s="18" t="n">
        <v>46387</v>
      </c>
      <c r="AE3371" s="13" t="s">
        <v>397</v>
      </c>
    </row>
    <row r="3372" customFormat="false" ht="15" hidden="false" customHeight="true" outlineLevel="0" collapsed="false">
      <c r="A3372" s="12" t="n">
        <v>21987</v>
      </c>
      <c r="B3372" s="13" t="s">
        <v>13888</v>
      </c>
      <c r="C3372" s="16" t="n">
        <v>46095</v>
      </c>
      <c r="D3372" s="13" t="s">
        <v>9043</v>
      </c>
      <c r="E3372" s="15" t="s">
        <v>102</v>
      </c>
      <c r="F3372" s="15" t="str">
        <f aca="false">IFERROR(__xludf.dummyfunction("XLOOKUP(AJ3372,IMPORTRANGE(""1XaInW9DU9nz21V0tYIfzFQ0He9kVQ_JF2mCXgZ3hqFA"",""REKAP ALL 2026 - Andika!G:G""),IMPORTRANGE(""1XaInW9DU9nz21V0tYIfzFQ0He9kVQ_JF2mCXgZ3hqFA"",""REKAP ALL 2026 - Andika!F:F""),"""",0)"),"26046412685")</f>
        <v>26046412685</v>
      </c>
      <c r="G3372" s="28" t="s">
        <v>57</v>
      </c>
      <c r="H3372" s="13" t="s">
        <v>35</v>
      </c>
      <c r="I3372" s="13" t="str">
        <f aca="false">IF(C3372=J3372,"NEW KONTRAK","RE-KONTRAK")</f>
        <v>NEW KONTRAK</v>
      </c>
      <c r="J3372" s="16" t="n">
        <f aca="false" t="array" ref="J3372:J3372">IFERROR(INDEX(AC3372:AE3372,IF(COUNTA(AC3372:AE3372)=0,"",MAX((AC3372:AE3372&lt;&gt;"")*(COLUMN(AC3372:AE3372)-(COLUMN(AC3372)))))-1),"")</f>
        <v>46095</v>
      </c>
      <c r="K3372" s="16" t="n">
        <f aca="false" t="array" ref="K3372:K3372">IFERROR(INDEX(AC3372:AE3372,IF(COUNTA(AC3372:AE3372)=0,"",MAX((AC3372:AE3372&lt;&gt;"")*(COLUMN(AC3372:AE3372)-(COLUMN(AC3372)-1))))-1),"")</f>
        <v>46459</v>
      </c>
      <c r="L3372" s="17" t="str">
        <f aca="false" t="array" ref="L3372:L3372">IFERROR(INDEX(AC3372:AE3372,IF(COUNTA(AC3372:AE3372)=0,"",MAX((AC3372:AE3372&lt;&gt;"")*(COLUMN(AC3372:AE3372)-(COLUMN(AC3372)-2))))-1),"")</f>
        <v>KEMBALI</v>
      </c>
      <c r="M3372" s="13" t="n">
        <f aca="true">K3372-TODAY()</f>
        <v>135</v>
      </c>
      <c r="N3372" s="50" t="s">
        <v>728</v>
      </c>
      <c r="O3372" s="13" t="s">
        <v>6662</v>
      </c>
      <c r="P3372" s="19" t="n">
        <v>3950517</v>
      </c>
      <c r="Q3372" s="47" t="s">
        <v>13889</v>
      </c>
      <c r="R3372" s="13" t="s">
        <v>52</v>
      </c>
      <c r="S3372" s="16" t="n">
        <v>36680</v>
      </c>
      <c r="T3372" s="28" t="s">
        <v>40</v>
      </c>
      <c r="U3372" s="13" t="s">
        <v>13890</v>
      </c>
      <c r="V3372" s="13" t="s">
        <v>42</v>
      </c>
      <c r="W3372" s="13" t="s">
        <v>43</v>
      </c>
      <c r="X3372" s="21" t="n">
        <v>87753636740</v>
      </c>
      <c r="Y3372" s="22" t="str">
        <f aca="false">O3372</f>
        <v>Front Office</v>
      </c>
      <c r="Z3372" s="13" t="str">
        <f aca="false">IFERROR(__xludf.dummyfunction("if(BJ3372="""","""",GOOGLETRANSLATE(BJ3372,""auto"",""en""))"),"Front Office")</f>
        <v>Front Office</v>
      </c>
      <c r="AA3372" s="23" t="str">
        <f aca="false">IF(C3372="","", CHOOSE(MONTH(C3372),"January","February","March","April","May","June","July","August","September","October","November","December")&amp;" "&amp;DAY(C3372)&amp;MID("thstndrdth",MIN(9,2*RIGHT(DAY(C3372))*(MOD(DAY(C3372)-11,100)&gt;2)+1),2)&amp;","&amp;TEXT(C3372," yyyy"))</f>
        <v>March 14th,2026</v>
      </c>
      <c r="AB3372" s="15" t="str">
        <f aca="true">IF(S3372="","",DATEDIF(S3372,TODAY(),"Y")&amp;" Tahun, "&amp;DATEDIF(S3372,TODAY(),"YM")&amp;" Bulan, "&amp;DATEDIF(S3372,TODAY(),"MD")&amp;" Hari")</f>
        <v>26 Tahun, 4 Bulan, 26 Hari</v>
      </c>
      <c r="AC3372" s="18" t="n">
        <v>46095</v>
      </c>
      <c r="AD3372" s="18" t="n">
        <f aca="false">EDATE(AC3372,12)-1</f>
        <v>46459</v>
      </c>
      <c r="AE3372" s="13" t="s">
        <v>397</v>
      </c>
    </row>
    <row r="3373" customFormat="false" ht="15" hidden="false" customHeight="true" outlineLevel="0" collapsed="false">
      <c r="A3373" s="12" t="n">
        <v>21988</v>
      </c>
      <c r="B3373" s="13" t="s">
        <v>13891</v>
      </c>
      <c r="C3373" s="16" t="n">
        <v>46105</v>
      </c>
      <c r="D3373" s="13" t="s">
        <v>1338</v>
      </c>
      <c r="E3373" s="15" t="s">
        <v>102</v>
      </c>
      <c r="F3373" s="15" t="str">
        <f aca="false">IFERROR(__xludf.dummyfunction("XLOOKUP(AJ3373,IMPORTRANGE(""1XaInW9DU9nz21V0tYIfzFQ0He9kVQ_JF2mCXgZ3hqFA"",""REKAP ALL 2026 - Andika!G:G""),IMPORTRANGE(""1XaInW9DU9nz21V0tYIfzFQ0He9kVQ_JF2mCXgZ3hqFA"",""REKAP ALL 2026 - Andika!F:F""),"""",0)"),"26046412214")</f>
        <v>26046412214</v>
      </c>
      <c r="G3373" s="13" t="s">
        <v>57</v>
      </c>
      <c r="H3373" s="13" t="s">
        <v>3024</v>
      </c>
      <c r="I3373" s="13" t="str">
        <f aca="false">IF(C3373=J3373,"NEW KONTRAK","RE-KONTRAK")</f>
        <v>NEW KONTRAK</v>
      </c>
      <c r="J3373" s="16" t="n">
        <f aca="false" t="array" ref="J3373:J3373">IFERROR(INDEX(AC3373:AE3373,IF(COUNTA(AC3373:AE3373)=0,"",MAX((AC3373:AE3373&lt;&gt;"")*(COLUMN(AC3373:AE3373)-(COLUMN(AC3373)))))-1),"")</f>
        <v>46105</v>
      </c>
      <c r="K3373" s="16" t="n">
        <f aca="false" t="array" ref="K3373:K3373">IFERROR(INDEX(AC3373:AE3373,IF(COUNTA(AC3373:AE3373)=0,"",MAX((AC3373:AE3373&lt;&gt;"")*(COLUMN(AC3373:AE3373)-(COLUMN(AC3373)-1))))-1),"")</f>
        <v>46196</v>
      </c>
      <c r="L3373" s="17" t="str">
        <f aca="false" t="array" ref="L3373:L3373">IFERROR(INDEX(AC3373:AE3373,IF(COUNTA(AC3373:AE3373)=0,"",MAX((AC3373:AE3373&lt;&gt;"")*(COLUMN(AC3373:AE3373)-(COLUMN(AC3373)-2))))-1),"")</f>
        <v>ARCHIVED</v>
      </c>
      <c r="M3373" s="13" t="n">
        <f aca="true">K3373-TODAY()</f>
        <v>-128</v>
      </c>
      <c r="N3373" s="18" t="s">
        <v>615</v>
      </c>
      <c r="O3373" s="13" t="s">
        <v>2335</v>
      </c>
      <c r="P3373" s="19" t="n">
        <v>160000</v>
      </c>
      <c r="Q3373" s="47" t="s">
        <v>13892</v>
      </c>
      <c r="R3373" s="13" t="s">
        <v>232</v>
      </c>
      <c r="S3373" s="16" t="n">
        <v>36863</v>
      </c>
      <c r="T3373" s="28" t="s">
        <v>40</v>
      </c>
      <c r="U3373" s="13" t="s">
        <v>13893</v>
      </c>
      <c r="V3373" s="13" t="s">
        <v>42</v>
      </c>
      <c r="W3373" s="13" t="s">
        <v>43</v>
      </c>
      <c r="X3373" s="21" t="s">
        <v>13894</v>
      </c>
      <c r="Y3373" s="22" t="str">
        <f aca="false">O3373</f>
        <v>Project Management</v>
      </c>
      <c r="Z3373" s="13" t="str">
        <f aca="false">IFERROR(__xludf.dummyfunction("if(BJ3373="""","""",GOOGLETRANSLATE(BJ3373,""auto"",""en""))"),"Project Management")</f>
        <v>Project Management</v>
      </c>
      <c r="AA3373" s="23" t="str">
        <f aca="false">IF(C3373="","", CHOOSE(MONTH(C3373),"January","February","March","April","May","June","July","August","September","October","November","December")&amp;" "&amp;DAY(C3373)&amp;MID("thstndrdth",MIN(9,2*RIGHT(DAY(C3373))*(MOD(DAY(C3373)-11,100)&gt;2)+1),2)&amp;","&amp;TEXT(C3373," yyyy"))</f>
        <v>March 24th,2026</v>
      </c>
      <c r="AB3373" s="15" t="str">
        <f aca="true">IF(S3373="","",DATEDIF(S3373,TODAY(),"Y")&amp;" Tahun, "&amp;DATEDIF(S3373,TODAY(),"YM")&amp;" Bulan, "&amp;DATEDIF(S3373,TODAY(),"MD")&amp;" Hari")</f>
        <v>25 Tahun, 10 Bulan, 26 Hari</v>
      </c>
      <c r="AC3373" s="18" t="n">
        <v>46105</v>
      </c>
      <c r="AD3373" s="18" t="n">
        <v>46196</v>
      </c>
      <c r="AE3373" s="13" t="s">
        <v>44</v>
      </c>
    </row>
    <row r="3374" customFormat="false" ht="15" hidden="false" customHeight="true" outlineLevel="0" collapsed="false">
      <c r="A3374" s="12" t="n">
        <v>21989</v>
      </c>
      <c r="B3374" s="13" t="s">
        <v>13895</v>
      </c>
      <c r="C3374" s="16" t="n">
        <v>46105</v>
      </c>
      <c r="D3374" s="13" t="s">
        <v>1338</v>
      </c>
      <c r="E3374" s="15" t="s">
        <v>47</v>
      </c>
      <c r="F3374" s="15" t="str">
        <f aca="false">IFERROR(__xludf.dummyfunction("XLOOKUP(AJ3374,IMPORTRANGE(""1XaInW9DU9nz21V0tYIfzFQ0He9kVQ_JF2mCXgZ3hqFA"",""REKAP ALL 2026 - Andika!G:G""),IMPORTRANGE(""1XaInW9DU9nz21V0tYIfzFQ0He9kVQ_JF2mCXgZ3hqFA"",""REKAP ALL 2026 - Andika!F:F""),"""",0)"),"26046412222")</f>
        <v>26046412222</v>
      </c>
      <c r="G3374" s="13" t="s">
        <v>57</v>
      </c>
      <c r="H3374" s="13" t="s">
        <v>3024</v>
      </c>
      <c r="I3374" s="13" t="str">
        <f aca="false">IF(C3374=J3374,"NEW KONTRAK","RE-KONTRAK")</f>
        <v>NEW KONTRAK</v>
      </c>
      <c r="J3374" s="16" t="n">
        <f aca="false" t="array" ref="J3374:J3374">IFERROR(INDEX(AC3374:AE3374,IF(COUNTA(AC3374:AE3374)=0,"",MAX((AC3374:AE3374&lt;&gt;"")*(COLUMN(AC3374:AE3374)-(COLUMN(AC3374)))))-1),"")</f>
        <v>46105</v>
      </c>
      <c r="K3374" s="16" t="n">
        <f aca="false" t="array" ref="K3374:K3374">IFERROR(INDEX(AC3374:AE3374,IF(COUNTA(AC3374:AE3374)=0,"",MAX((AC3374:AE3374&lt;&gt;"")*(COLUMN(AC3374:AE3374)-(COLUMN(AC3374)-1))))-1),"")</f>
        <v>46196</v>
      </c>
      <c r="L3374" s="17" t="str">
        <f aca="false" t="array" ref="L3374:L3374">IFERROR(INDEX(AC3374:AE3374,IF(COUNTA(AC3374:AE3374)=0,"",MAX((AC3374:AE3374&lt;&gt;"")*(COLUMN(AC3374:AE3374)-(COLUMN(AC3374)-2))))-1),"")</f>
        <v>KEMBALI ONLINE</v>
      </c>
      <c r="M3374" s="13" t="n">
        <f aca="true">K3374-TODAY()</f>
        <v>-128</v>
      </c>
      <c r="N3374" s="18" t="s">
        <v>615</v>
      </c>
      <c r="O3374" s="13" t="s">
        <v>2335</v>
      </c>
      <c r="P3374" s="19" t="n">
        <v>160000</v>
      </c>
      <c r="Q3374" s="47" t="s">
        <v>13896</v>
      </c>
      <c r="R3374" s="13" t="s">
        <v>232</v>
      </c>
      <c r="S3374" s="16" t="n">
        <v>35130</v>
      </c>
      <c r="T3374" s="28" t="s">
        <v>40</v>
      </c>
      <c r="U3374" s="13" t="s">
        <v>13897</v>
      </c>
      <c r="V3374" s="13" t="s">
        <v>42</v>
      </c>
      <c r="W3374" s="13" t="s">
        <v>54</v>
      </c>
      <c r="X3374" s="21" t="s">
        <v>13898</v>
      </c>
      <c r="Y3374" s="22" t="str">
        <f aca="false">O3374</f>
        <v>Project Management</v>
      </c>
      <c r="Z3374" s="13" t="str">
        <f aca="false">IFERROR(__xludf.dummyfunction("if(BJ3374="""","""",GOOGLETRANSLATE(BJ3374,""auto"",""en""))"),"Project Management")</f>
        <v>Project Management</v>
      </c>
      <c r="AA3374" s="23" t="str">
        <f aca="false">IF(C3374="","", CHOOSE(MONTH(C3374),"January","February","March","April","May","June","July","August","September","October","November","December")&amp;" "&amp;DAY(C3374)&amp;MID("thstndrdth",MIN(9,2*RIGHT(DAY(C3374))*(MOD(DAY(C3374)-11,100)&gt;2)+1),2)&amp;","&amp;TEXT(C3374," yyyy"))</f>
        <v>March 24th,2026</v>
      </c>
      <c r="AB3374" s="15" t="str">
        <f aca="true">IF(S3374="","",DATEDIF(S3374,TODAY(),"Y")&amp;" Tahun, "&amp;DATEDIF(S3374,TODAY(),"YM")&amp;" Bulan, "&amp;DATEDIF(S3374,TODAY(),"MD")&amp;" Hari")</f>
        <v>30 Tahun, 7 Bulan, 23 Hari</v>
      </c>
      <c r="AC3374" s="18" t="n">
        <v>46105</v>
      </c>
      <c r="AD3374" s="18" t="n">
        <v>46196</v>
      </c>
      <c r="AE3374" s="13" t="s">
        <v>2387</v>
      </c>
    </row>
    <row r="3375" customFormat="false" ht="15" hidden="false" customHeight="true" outlineLevel="0" collapsed="false">
      <c r="A3375" s="12" t="n">
        <v>21990</v>
      </c>
      <c r="B3375" s="13" t="s">
        <v>13899</v>
      </c>
      <c r="C3375" s="16" t="n">
        <v>46105</v>
      </c>
      <c r="D3375" s="13" t="s">
        <v>1338</v>
      </c>
      <c r="E3375" s="15" t="s">
        <v>102</v>
      </c>
      <c r="F3375" s="15" t="str">
        <f aca="false">IFERROR(__xludf.dummyfunction("XLOOKUP(AJ3375,IMPORTRANGE(""1XaInW9DU9nz21V0tYIfzFQ0He9kVQ_JF2mCXgZ3hqFA"",""REKAP ALL 2026 - Andika!G:G""),IMPORTRANGE(""1XaInW9DU9nz21V0tYIfzFQ0He9kVQ_JF2mCXgZ3hqFA"",""REKAP ALL 2026 - Andika!F:F""),"""",0)"),"26046412230")</f>
        <v>26046412230</v>
      </c>
      <c r="G3375" s="13" t="s">
        <v>57</v>
      </c>
      <c r="H3375" s="13" t="s">
        <v>3024</v>
      </c>
      <c r="I3375" s="13" t="str">
        <f aca="false">IF(C3375=J3375,"NEW KONTRAK","RE-KONTRAK")</f>
        <v>NEW KONTRAK</v>
      </c>
      <c r="J3375" s="16" t="n">
        <f aca="false" t="array" ref="J3375:J3375">IFERROR(INDEX(AC3375:AE3375,IF(COUNTA(AC3375:AE3375)=0,"",MAX((AC3375:AE3375&lt;&gt;"")*(COLUMN(AC3375:AE3375)-(COLUMN(AC3375)))))-1),"")</f>
        <v>46105</v>
      </c>
      <c r="K3375" s="16" t="n">
        <f aca="false" t="array" ref="K3375:K3375">IFERROR(INDEX(AC3375:AE3375,IF(COUNTA(AC3375:AE3375)=0,"",MAX((AC3375:AE3375&lt;&gt;"")*(COLUMN(AC3375:AE3375)-(COLUMN(AC3375)-1))))-1),"")</f>
        <v>46196</v>
      </c>
      <c r="L3375" s="17" t="str">
        <f aca="false" t="array" ref="L3375:L3375">IFERROR(INDEX(AC3375:AE3375,IF(COUNTA(AC3375:AE3375)=0,"",MAX((AC3375:AE3375&lt;&gt;"")*(COLUMN(AC3375:AE3375)-(COLUMN(AC3375)-2))))-1),"")</f>
        <v>ARCHIVED</v>
      </c>
      <c r="M3375" s="13" t="n">
        <f aca="true">K3375-TODAY()</f>
        <v>-128</v>
      </c>
      <c r="N3375" s="18" t="s">
        <v>615</v>
      </c>
      <c r="O3375" s="13" t="s">
        <v>2335</v>
      </c>
      <c r="P3375" s="19" t="n">
        <v>160000</v>
      </c>
      <c r="Q3375" s="47" t="s">
        <v>13900</v>
      </c>
      <c r="R3375" s="13" t="s">
        <v>232</v>
      </c>
      <c r="S3375" s="16" t="n">
        <v>32910</v>
      </c>
      <c r="T3375" s="28" t="s">
        <v>40</v>
      </c>
      <c r="U3375" s="13" t="s">
        <v>13901</v>
      </c>
      <c r="V3375" s="13" t="s">
        <v>42</v>
      </c>
      <c r="W3375" s="13" t="s">
        <v>54</v>
      </c>
      <c r="X3375" s="21" t="s">
        <v>13902</v>
      </c>
      <c r="Y3375" s="22" t="str">
        <f aca="false">O3375</f>
        <v>Project Management</v>
      </c>
      <c r="Z3375" s="13" t="str">
        <f aca="false">IFERROR(__xludf.dummyfunction("if(BJ3375="""","""",GOOGLETRANSLATE(BJ3375,""auto"",""en""))"),"Project Management")</f>
        <v>Project Management</v>
      </c>
      <c r="AA3375" s="23" t="str">
        <f aca="false">IF(C3375="","", CHOOSE(MONTH(C3375),"January","February","March","April","May","June","July","August","September","October","November","December")&amp;" "&amp;DAY(C3375)&amp;MID("thstndrdth",MIN(9,2*RIGHT(DAY(C3375))*(MOD(DAY(C3375)-11,100)&gt;2)+1),2)&amp;","&amp;TEXT(C3375," yyyy"))</f>
        <v>March 24th,2026</v>
      </c>
      <c r="AB3375" s="15" t="str">
        <f aca="true">IF(S3375="","",DATEDIF(S3375,TODAY(),"Y")&amp;" Tahun, "&amp;DATEDIF(S3375,TODAY(),"YM")&amp;" Bulan, "&amp;DATEDIF(S3375,TODAY(),"MD")&amp;" Hari")</f>
        <v>36 Tahun, 8 Bulan, 23 Hari</v>
      </c>
      <c r="AC3375" s="18" t="n">
        <v>46105</v>
      </c>
      <c r="AD3375" s="18" t="n">
        <v>46196</v>
      </c>
      <c r="AE3375" s="13" t="s">
        <v>44</v>
      </c>
    </row>
    <row r="3376" customFormat="false" ht="15" hidden="false" customHeight="true" outlineLevel="0" collapsed="false">
      <c r="A3376" s="12" t="n">
        <v>21991</v>
      </c>
      <c r="B3376" s="13" t="s">
        <v>13903</v>
      </c>
      <c r="C3376" s="16" t="n">
        <v>46106</v>
      </c>
      <c r="D3376" s="13" t="s">
        <v>8005</v>
      </c>
      <c r="E3376" s="15" t="s">
        <v>47</v>
      </c>
      <c r="F3376" s="15" t="str">
        <f aca="false">IFERROR(__xludf.dummyfunction("XLOOKUP(AJ3376,IMPORTRANGE(""1XaInW9DU9nz21V0tYIfzFQ0He9kVQ_JF2mCXgZ3hqFA"",""REKAP ALL 2026 - Andika!G:G""),IMPORTRANGE(""1XaInW9DU9nz21V0tYIfzFQ0He9kVQ_JF2mCXgZ3hqFA"",""REKAP ALL 2026 - Andika!F:F""),"""",0)"),"26046426487")</f>
        <v>26046426487</v>
      </c>
      <c r="G3376" s="13" t="s">
        <v>1127</v>
      </c>
      <c r="H3376" s="13" t="s">
        <v>35</v>
      </c>
      <c r="I3376" s="13" t="str">
        <f aca="false">IF(C3376=J3376,"NEW KONTRAK","RE-KONTRAK")</f>
        <v>NEW KONTRAK</v>
      </c>
      <c r="J3376" s="16" t="n">
        <f aca="false" t="array" ref="J3376:J3376">IFERROR(INDEX(AC3376:AE3376,IF(COUNTA(AC3376:AE3376)=0,"",MAX((AC3376:AE3376&lt;&gt;"")*(COLUMN(AC3376:AE3376)-(COLUMN(AC3376)))))-1),"")</f>
        <v>46106</v>
      </c>
      <c r="K3376" s="16" t="n">
        <f aca="false" t="array" ref="K3376:K3376">IFERROR(INDEX(AC3376:AE3376,IF(COUNTA(AC3376:AE3376)=0,"",MAX((AC3376:AE3376&lt;&gt;"")*(COLUMN(AC3376:AE3376)-(COLUMN(AC3376)-1))))-1),"")</f>
        <v>46470</v>
      </c>
      <c r="L3376" s="17" t="str">
        <f aca="false" t="array" ref="L3376:L3376">IFERROR(INDEX(AC3376:AE3376,IF(COUNTA(AC3376:AE3376)=0,"",MAX((AC3376:AE3376&lt;&gt;"")*(COLUMN(AC3376:AE3376)-(COLUMN(AC3376)-2))))-1),"")</f>
        <v>ARCHIVED</v>
      </c>
      <c r="M3376" s="13" t="n">
        <f aca="true">K3376-TODAY()</f>
        <v>146</v>
      </c>
      <c r="N3376" s="50" t="s">
        <v>615</v>
      </c>
      <c r="O3376" s="13" t="s">
        <v>7419</v>
      </c>
      <c r="P3376" s="19" t="n">
        <v>132300</v>
      </c>
      <c r="Q3376" s="47" t="s">
        <v>13904</v>
      </c>
      <c r="R3376" s="13" t="s">
        <v>232</v>
      </c>
      <c r="S3376" s="16" t="n">
        <v>34652</v>
      </c>
      <c r="T3376" s="28" t="s">
        <v>40</v>
      </c>
      <c r="U3376" s="13" t="s">
        <v>13905</v>
      </c>
      <c r="V3376" s="13" t="s">
        <v>42</v>
      </c>
      <c r="W3376" s="13" t="s">
        <v>54</v>
      </c>
      <c r="X3376" s="21" t="n">
        <v>895339950504</v>
      </c>
      <c r="Y3376" s="22" t="str">
        <f aca="false">O3376</f>
        <v>TKBM</v>
      </c>
      <c r="Z3376" s="13" t="str">
        <f aca="false">IFERROR(__xludf.dummyfunction("if(BJ3376="""","""",GOOGLETRANSLATE(BJ3376,""auto"",""en""))"),"TKBM")</f>
        <v>TKBM</v>
      </c>
      <c r="AA3376" s="23" t="str">
        <f aca="false">IF(C3376="","", CHOOSE(MONTH(C3376),"January","February","March","April","May","June","July","August","September","October","November","December")&amp;" "&amp;DAY(C3376)&amp;MID("thstndrdth",MIN(9,2*RIGHT(DAY(C3376))*(MOD(DAY(C3376)-11,100)&gt;2)+1),2)&amp;","&amp;TEXT(C3376," yyyy"))</f>
        <v>March 25th,2026</v>
      </c>
      <c r="AB3376" s="15" t="str">
        <f aca="true">IF(S3376="","",DATEDIF(S3376,TODAY(),"Y")&amp;" Tahun, "&amp;DATEDIF(S3376,TODAY(),"YM")&amp;" Bulan, "&amp;DATEDIF(S3376,TODAY(),"MD")&amp;" Hari")</f>
        <v>31 Tahun, 11 Bulan, 15 Hari</v>
      </c>
      <c r="AC3376" s="18" t="n">
        <v>46106</v>
      </c>
      <c r="AD3376" s="18" t="n">
        <f aca="false">EDATE(AC3376,12)-1</f>
        <v>46470</v>
      </c>
      <c r="AE3376" s="18" t="s">
        <v>44</v>
      </c>
    </row>
    <row r="3377" customFormat="false" ht="15" hidden="false" customHeight="true" outlineLevel="0" collapsed="false">
      <c r="A3377" s="12" t="n">
        <v>21992</v>
      </c>
      <c r="B3377" s="13" t="s">
        <v>13906</v>
      </c>
      <c r="C3377" s="16" t="n">
        <v>46104</v>
      </c>
      <c r="D3377" s="13" t="s">
        <v>10714</v>
      </c>
      <c r="E3377" s="15" t="s">
        <v>47</v>
      </c>
      <c r="F3377" s="15" t="str">
        <f aca="false">IFERROR(__xludf.dummyfunction("XLOOKUP(AJ3377,IMPORTRANGE(""1XaInW9DU9nz21V0tYIfzFQ0He9kVQ_JF2mCXgZ3hqFA"",""REKAP ALL 2026 - Andika!G:G""),IMPORTRANGE(""1XaInW9DU9nz21V0tYIfzFQ0He9kVQ_JF2mCXgZ3hqFA"",""REKAP ALL 2026 - Andika!F:F""),"""",0)"),"26046412842")</f>
        <v>26046412842</v>
      </c>
      <c r="G3377" s="13" t="s">
        <v>1127</v>
      </c>
      <c r="H3377" s="13" t="s">
        <v>35</v>
      </c>
      <c r="I3377" s="13" t="str">
        <f aca="false">IF(C3377=J3377,"NEW KONTRAK","RE-KONTRAK")</f>
        <v>NEW KONTRAK</v>
      </c>
      <c r="J3377" s="16" t="n">
        <f aca="false" t="array" ref="J3377:J3377">IFERROR(INDEX(AC3377:AE3377,IF(COUNTA(AC3377:AE3377)=0,"",MAX((AC3377:AE3377&lt;&gt;"")*(COLUMN(AC3377:AE3377)-(COLUMN(AC3377)))))-1),"")</f>
        <v>46104</v>
      </c>
      <c r="K3377" s="16" t="n">
        <f aca="false" t="array" ref="K3377:K3377">IFERROR(INDEX(AC3377:AE3377,IF(COUNTA(AC3377:AE3377)=0,"",MAX((AC3377:AE3377&lt;&gt;"")*(COLUMN(AC3377:AE3377)-(COLUMN(AC3377)-1))))-1),"")</f>
        <v>46193</v>
      </c>
      <c r="L3377" s="17" t="str">
        <f aca="false" t="array" ref="L3377:L3377">IFERROR(INDEX(AC3377:AE3377,IF(COUNTA(AC3377:AE3377)=0,"",MAX((AC3377:AE3377&lt;&gt;"")*(COLUMN(AC3377:AE3377)-(COLUMN(AC3377)-2))))-1),"")</f>
        <v>KEMBALI</v>
      </c>
      <c r="M3377" s="13" t="n">
        <f aca="true">K3377-TODAY()</f>
        <v>-131</v>
      </c>
      <c r="N3377" s="18" t="s">
        <v>728</v>
      </c>
      <c r="O3377" s="13" t="s">
        <v>50</v>
      </c>
      <c r="P3377" s="19" t="n">
        <v>3500000</v>
      </c>
      <c r="Q3377" s="47" t="s">
        <v>13907</v>
      </c>
      <c r="R3377" s="13" t="s">
        <v>52</v>
      </c>
      <c r="S3377" s="16" t="n">
        <v>32709</v>
      </c>
      <c r="T3377" s="28" t="s">
        <v>40</v>
      </c>
      <c r="U3377" s="13" t="s">
        <v>13908</v>
      </c>
      <c r="V3377" s="13" t="s">
        <v>42</v>
      </c>
      <c r="W3377" s="13" t="s">
        <v>897</v>
      </c>
      <c r="X3377" s="21" t="n">
        <v>85926412092</v>
      </c>
      <c r="Y3377" s="22" t="str">
        <f aca="false">O3377</f>
        <v>Driver</v>
      </c>
      <c r="Z3377" s="13" t="str">
        <f aca="false">IFERROR(__xludf.dummyfunction("if(BJ3377="""","""",GOOGLETRANSLATE(BJ3377,""auto"",""en""))"),"Driver")</f>
        <v>Driver</v>
      </c>
      <c r="AA3377" s="23" t="str">
        <f aca="false">IF(C3377="","", CHOOSE(MONTH(C3377),"January","February","March","April","May","June","July","August","September","October","November","December")&amp;" "&amp;DAY(C3377)&amp;MID("thstndrdth",MIN(9,2*RIGHT(DAY(C3377))*(MOD(DAY(C3377)-11,100)&gt;2)+1),2)&amp;","&amp;TEXT(C3377," yyyy"))</f>
        <v>March 23rd,2026</v>
      </c>
      <c r="AB3377" s="15" t="str">
        <f aca="true">IF(S3377="","",DATEDIF(S3377,TODAY(),"Y")&amp;" Tahun, "&amp;DATEDIF(S3377,TODAY(),"YM")&amp;" Bulan, "&amp;DATEDIF(S3377,TODAY(),"MD")&amp;" Hari")</f>
        <v>37 Tahun, 3 Bulan, 9 Hari</v>
      </c>
      <c r="AC3377" s="18" t="n">
        <v>46104</v>
      </c>
      <c r="AD3377" s="105" t="n">
        <v>46193</v>
      </c>
      <c r="AE3377" s="13" t="s">
        <v>397</v>
      </c>
    </row>
    <row r="3378" customFormat="false" ht="15" hidden="false" customHeight="true" outlineLevel="0" collapsed="false">
      <c r="A3378" s="12" t="n">
        <v>21993</v>
      </c>
      <c r="B3378" s="13" t="s">
        <v>13909</v>
      </c>
      <c r="C3378" s="16" t="n">
        <v>46081</v>
      </c>
      <c r="D3378" s="13" t="s">
        <v>7310</v>
      </c>
      <c r="E3378" s="15" t="s">
        <v>47</v>
      </c>
      <c r="F3378" s="15" t="str">
        <f aca="false">IFERROR(__xludf.dummyfunction("XLOOKUP(AJ3378,IMPORTRANGE(""1XaInW9DU9nz21V0tYIfzFQ0He9kVQ_JF2mCXgZ3hqFA"",""REKAP ALL 2026 - Andika!G:G""),IMPORTRANGE(""1XaInW9DU9nz21V0tYIfzFQ0He9kVQ_JF2mCXgZ3hqFA"",""REKAP ALL 2026 - Andika!F:F""),"""",0)"),"26046412651")</f>
        <v>26046412651</v>
      </c>
      <c r="G3378" s="13" t="s">
        <v>1127</v>
      </c>
      <c r="H3378" s="13" t="s">
        <v>35</v>
      </c>
      <c r="I3378" s="13" t="str">
        <f aca="false">IF(C3378=J3378,"NEW KONTRAK","RE-KONTRAK")</f>
        <v>NEW KONTRAK</v>
      </c>
      <c r="J3378" s="16" t="n">
        <f aca="false" t="array" ref="J3378:J3378">IFERROR(INDEX(AC3378:AE3378,IF(COUNTA(AC3378:AE3378)=0,"",MAX((AC3378:AE3378&lt;&gt;"")*(COLUMN(AC3378:AE3378)-(COLUMN(AC3378)))))-1),"")</f>
        <v>46081</v>
      </c>
      <c r="K3378" s="16" t="n">
        <f aca="false" t="array" ref="K3378:K3378">IFERROR(INDEX(AC3378:AE3378,IF(COUNTA(AC3378:AE3378)=0,"",MAX((AC3378:AE3378&lt;&gt;"")*(COLUMN(AC3378:AE3378)-(COLUMN(AC3378)-1))))-1),"")</f>
        <v>46267</v>
      </c>
      <c r="L3378" s="17" t="str">
        <f aca="false" t="array" ref="L3378:L3378">IFERROR(INDEX(AC3378:AE3378,IF(COUNTA(AC3378:AE3378)=0,"",MAX((AC3378:AE3378&lt;&gt;"")*(COLUMN(AC3378:AE3378)-(COLUMN(AC3378)-2))))-1),"")</f>
        <v>ARCHIVED</v>
      </c>
      <c r="M3378" s="13" t="n">
        <f aca="true">K3378-TODAY()</f>
        <v>-57</v>
      </c>
      <c r="N3378" s="18" t="s">
        <v>7313</v>
      </c>
      <c r="O3378" s="13" t="s">
        <v>50</v>
      </c>
      <c r="P3378" s="19" t="n">
        <v>2550274</v>
      </c>
      <c r="Q3378" s="47" t="s">
        <v>13910</v>
      </c>
      <c r="R3378" s="13" t="s">
        <v>1695</v>
      </c>
      <c r="S3378" s="16" t="n">
        <v>34580</v>
      </c>
      <c r="T3378" s="28" t="s">
        <v>40</v>
      </c>
      <c r="U3378" s="13" t="s">
        <v>13911</v>
      </c>
      <c r="V3378" s="13" t="s">
        <v>42</v>
      </c>
      <c r="W3378" s="13" t="s">
        <v>54</v>
      </c>
      <c r="X3378" s="21" t="s">
        <v>13912</v>
      </c>
      <c r="Y3378" s="22" t="str">
        <f aca="false">O3378</f>
        <v>Driver</v>
      </c>
      <c r="Z3378" s="13" t="str">
        <f aca="false">IFERROR(__xludf.dummyfunction("if(BJ3378="""","""",GOOGLETRANSLATE(BJ3378,""auto"",""en""))"),"Driver")</f>
        <v>Driver</v>
      </c>
      <c r="AA3378" s="23" t="str">
        <f aca="false">IF(C3378="","", CHOOSE(MONTH(C3378),"January","February","March","April","May","June","July","August","September","October","November","December")&amp;" "&amp;DAY(C3378)&amp;MID("thstndrdth",MIN(9,2*RIGHT(DAY(C3378))*(MOD(DAY(C3378)-11,100)&gt;2)+1),2)&amp;","&amp;TEXT(C3378," yyyy"))</f>
        <v>February 28th,2026</v>
      </c>
      <c r="AB3378" s="15" t="str">
        <f aca="true">IF(S3378="","",DATEDIF(S3378,TODAY(),"Y")&amp;" Tahun, "&amp;DATEDIF(S3378,TODAY(),"YM")&amp;" Bulan, "&amp;DATEDIF(S3378,TODAY(),"MD")&amp;" Hari")</f>
        <v>32 Tahun, 1 Bulan, 26 Hari</v>
      </c>
      <c r="AC3378" s="18" t="n">
        <v>46081</v>
      </c>
      <c r="AD3378" s="18" t="n">
        <v>46267</v>
      </c>
      <c r="AE3378" s="18" t="s">
        <v>44</v>
      </c>
    </row>
    <row r="3379" customFormat="false" ht="15" hidden="false" customHeight="true" outlineLevel="0" collapsed="false">
      <c r="A3379" s="12" t="n">
        <v>21994</v>
      </c>
      <c r="B3379" s="13" t="s">
        <v>13913</v>
      </c>
      <c r="C3379" s="16" t="n">
        <v>46083</v>
      </c>
      <c r="D3379" s="13" t="s">
        <v>7310</v>
      </c>
      <c r="E3379" s="15" t="s">
        <v>47</v>
      </c>
      <c r="F3379" s="15" t="str">
        <f aca="false">IFERROR(__xludf.dummyfunction("XLOOKUP(AJ3379,IMPORTRANGE(""1XaInW9DU9nz21V0tYIfzFQ0He9kVQ_JF2mCXgZ3hqFA"",""REKAP ALL 2026 - Andika!G:G""),IMPORTRANGE(""1XaInW9DU9nz21V0tYIfzFQ0He9kVQ_JF2mCXgZ3hqFA"",""REKAP ALL 2026 - Andika!F:F""),"""",0)"),"26046412644")</f>
        <v>26046412644</v>
      </c>
      <c r="G3379" s="13" t="s">
        <v>1127</v>
      </c>
      <c r="H3379" s="13" t="s">
        <v>35</v>
      </c>
      <c r="I3379" s="13" t="str">
        <f aca="false">IF(C3379=J3379,"NEW KONTRAK","RE-KONTRAK")</f>
        <v>NEW KONTRAK</v>
      </c>
      <c r="J3379" s="16" t="n">
        <f aca="false" t="array" ref="J3379:J3379">IFERROR(INDEX(AC3379:AE3379,IF(COUNTA(AC3379:AE3379)=0,"",MAX((AC3379:AE3379&lt;&gt;"")*(COLUMN(AC3379:AE3379)-(COLUMN(AC3379)))))-1),"")</f>
        <v>46083</v>
      </c>
      <c r="K3379" s="16" t="n">
        <f aca="false" t="array" ref="K3379:K3379">IFERROR(INDEX(AC3379:AE3379,IF(COUNTA(AC3379:AE3379)=0,"",MAX((AC3379:AE3379&lt;&gt;"")*(COLUMN(AC3379:AE3379)-(COLUMN(AC3379)-1))))-1),"")</f>
        <v>46267</v>
      </c>
      <c r="L3379" s="17" t="str">
        <f aca="false" t="array" ref="L3379:L3379">IFERROR(INDEX(AC3379:AE3379,IF(COUNTA(AC3379:AE3379)=0,"",MAX((AC3379:AE3379&lt;&gt;"")*(COLUMN(AC3379:AE3379)-(COLUMN(AC3379)-2))))-1),"")</f>
        <v>ARCHIVED</v>
      </c>
      <c r="M3379" s="13" t="n">
        <f aca="true">K3379-TODAY()</f>
        <v>-57</v>
      </c>
      <c r="N3379" s="18" t="s">
        <v>7313</v>
      </c>
      <c r="O3379" s="13" t="s">
        <v>50</v>
      </c>
      <c r="P3379" s="19" t="n">
        <v>2550274</v>
      </c>
      <c r="Q3379" s="47" t="s">
        <v>13914</v>
      </c>
      <c r="R3379" s="13" t="s">
        <v>227</v>
      </c>
      <c r="S3379" s="16" t="n">
        <v>37776</v>
      </c>
      <c r="T3379" s="28" t="s">
        <v>40</v>
      </c>
      <c r="U3379" s="13" t="s">
        <v>11455</v>
      </c>
      <c r="V3379" s="13" t="s">
        <v>42</v>
      </c>
      <c r="W3379" s="13" t="s">
        <v>43</v>
      </c>
      <c r="X3379" s="21" t="s">
        <v>13915</v>
      </c>
      <c r="Y3379" s="22" t="str">
        <f aca="false">O3379</f>
        <v>Driver</v>
      </c>
      <c r="Z3379" s="13" t="str">
        <f aca="false">IFERROR(__xludf.dummyfunction("if(BJ3379="""","""",GOOGLETRANSLATE(BJ3379,""auto"",""en""))"),"Driver")</f>
        <v>Driver</v>
      </c>
      <c r="AA3379" s="23" t="str">
        <f aca="false">IF(C3379="","", CHOOSE(MONTH(C3379),"January","February","March","April","May","June","July","August","September","October","November","December")&amp;" "&amp;DAY(C3379)&amp;MID("thstndrdth",MIN(9,2*RIGHT(DAY(C3379))*(MOD(DAY(C3379)-11,100)&gt;2)+1),2)&amp;","&amp;TEXT(C3379," yyyy"))</f>
        <v>March 2nd,2026</v>
      </c>
      <c r="AB3379" s="15" t="str">
        <f aca="true">IF(S3379="","",DATEDIF(S3379,TODAY(),"Y")&amp;" Tahun, "&amp;DATEDIF(S3379,TODAY(),"YM")&amp;" Bulan, "&amp;DATEDIF(S3379,TODAY(),"MD")&amp;" Hari")</f>
        <v>23 Tahun, 4 Bulan, 25 Hari</v>
      </c>
      <c r="AC3379" s="18" t="n">
        <v>46083</v>
      </c>
      <c r="AD3379" s="18" t="n">
        <v>46267</v>
      </c>
      <c r="AE3379" s="18" t="s">
        <v>44</v>
      </c>
    </row>
    <row r="3380" customFormat="false" ht="15" hidden="false" customHeight="true" outlineLevel="0" collapsed="false">
      <c r="A3380" s="12" t="n">
        <v>21995</v>
      </c>
      <c r="B3380" s="13" t="s">
        <v>13916</v>
      </c>
      <c r="C3380" s="16" t="n">
        <v>46111</v>
      </c>
      <c r="D3380" s="13" t="s">
        <v>885</v>
      </c>
      <c r="E3380" s="15" t="s">
        <v>47</v>
      </c>
      <c r="F3380" s="15" t="str">
        <f aca="false">IFERROR(__xludf.dummyfunction("XLOOKUP(AJ3380,IMPORTRANGE(""1XaInW9DU9nz21V0tYIfzFQ0He9kVQ_JF2mCXgZ3hqFA"",""REKAP ALL 2026 - Andika!G:G""),IMPORTRANGE(""1XaInW9DU9nz21V0tYIfzFQ0He9kVQ_JF2mCXgZ3hqFA"",""REKAP ALL 2026 - Andika!F:F""),"""",0)"),"26046410853")</f>
        <v>26046410853</v>
      </c>
      <c r="G3380" s="28" t="s">
        <v>57</v>
      </c>
      <c r="H3380" s="13" t="s">
        <v>35</v>
      </c>
      <c r="I3380" s="13" t="str">
        <f aca="false">IF(C3380=J3380,"NEW KONTRAK","RE-KONTRAK")</f>
        <v>NEW KONTRAK</v>
      </c>
      <c r="J3380" s="16" t="n">
        <f aca="false" t="array" ref="J3380:J3380">IFERROR(INDEX(AC3380:AE3380,IF(COUNTA(AC3380:AE3380)=0,"",MAX((AC3380:AE3380&lt;&gt;"")*(COLUMN(AC3380:AE3380)-(COLUMN(AC3380)))))-1),"")</f>
        <v>46111</v>
      </c>
      <c r="K3380" s="16" t="n">
        <f aca="false" t="array" ref="K3380:K3380">IFERROR(INDEX(AC3380:AE3380,IF(COUNTA(AC3380:AE3380)=0,"",MAX((AC3380:AE3380&lt;&gt;"")*(COLUMN(AC3380:AE3380)-(COLUMN(AC3380)-1))))-1),"")</f>
        <v>46202</v>
      </c>
      <c r="L3380" s="17" t="str">
        <f aca="false" t="array" ref="L3380:L3380">IFERROR(INDEX(AC3380:AE3380,IF(COUNTA(AC3380:AE3380)=0,"",MAX((AC3380:AE3380&lt;&gt;"")*(COLUMN(AC3380:AE3380)-(COLUMN(AC3380)-2))))-1),"")</f>
        <v>KEMBALI</v>
      </c>
      <c r="M3380" s="13" t="n">
        <f aca="true">K3380-TODAY()</f>
        <v>-122</v>
      </c>
      <c r="N3380" s="18" t="s">
        <v>728</v>
      </c>
      <c r="O3380" s="13" t="s">
        <v>1453</v>
      </c>
      <c r="P3380" s="19" t="n">
        <v>132300</v>
      </c>
      <c r="Q3380" s="47" t="s">
        <v>13917</v>
      </c>
      <c r="R3380" s="13" t="s">
        <v>52</v>
      </c>
      <c r="S3380" s="16" t="n">
        <v>33445</v>
      </c>
      <c r="T3380" s="28" t="s">
        <v>40</v>
      </c>
      <c r="U3380" s="13" t="s">
        <v>13918</v>
      </c>
      <c r="V3380" s="13" t="s">
        <v>42</v>
      </c>
      <c r="W3380" s="13" t="s">
        <v>54</v>
      </c>
      <c r="X3380" s="30" t="n">
        <v>89897968868</v>
      </c>
      <c r="Y3380" s="22" t="str">
        <f aca="false">O3380</f>
        <v>Helper Produksi</v>
      </c>
      <c r="Z3380" s="13" t="str">
        <f aca="false">IFERROR(__xludf.dummyfunction("if(BJ3380="""","""",GOOGLETRANSLATE(BJ3380,""auto"",""en""))"),"Production Helper")</f>
        <v>Production Helper</v>
      </c>
      <c r="AA3380" s="23" t="str">
        <f aca="false">IF(C3380="","", CHOOSE(MONTH(C3380),"January","February","March","April","May","June","July","August","September","October","November","December")&amp;" "&amp;DAY(C3380)&amp;MID("thstndrdth",MIN(9,2*RIGHT(DAY(C3380))*(MOD(DAY(C3380)-11,100)&gt;2)+1),2)&amp;","&amp;TEXT(C3380," yyyy"))</f>
        <v>March 30th,2026</v>
      </c>
      <c r="AB3380" s="15" t="str">
        <f aca="true">IF(S3380="","",DATEDIF(S3380,TODAY(),"Y")&amp;" Tahun, "&amp;DATEDIF(S3380,TODAY(),"YM")&amp;" Bulan, "&amp;DATEDIF(S3380,TODAY(),"MD")&amp;" Hari")</f>
        <v>35 Tahun, 3 Bulan, 3 Hari</v>
      </c>
      <c r="AC3380" s="18" t="n">
        <v>46111</v>
      </c>
      <c r="AD3380" s="18" t="n">
        <f aca="false">EDATE(AC3380,3)-1</f>
        <v>46202</v>
      </c>
      <c r="AE3380" s="13" t="s">
        <v>397</v>
      </c>
    </row>
    <row r="3381" customFormat="false" ht="15" hidden="false" customHeight="true" outlineLevel="0" collapsed="false">
      <c r="A3381" s="12" t="n">
        <v>21996</v>
      </c>
      <c r="B3381" s="13" t="s">
        <v>13919</v>
      </c>
      <c r="C3381" s="16" t="n">
        <v>46111</v>
      </c>
      <c r="D3381" s="13" t="s">
        <v>885</v>
      </c>
      <c r="E3381" s="15" t="s">
        <v>102</v>
      </c>
      <c r="F3381" s="15" t="str">
        <f aca="false">IFERROR(__xludf.dummyfunction("XLOOKUP(AJ3381,IMPORTRANGE(""1XaInW9DU9nz21V0tYIfzFQ0He9kVQ_JF2mCXgZ3hqFA"",""REKAP ALL 2026 - Andika!G:G""),IMPORTRANGE(""1XaInW9DU9nz21V0tYIfzFQ0He9kVQ_JF2mCXgZ3hqFA"",""REKAP ALL 2026 - Andika!F:F""),"""",0)"),"26046410747")</f>
        <v>26046410747</v>
      </c>
      <c r="G3381" s="28" t="s">
        <v>57</v>
      </c>
      <c r="H3381" s="13" t="s">
        <v>35</v>
      </c>
      <c r="I3381" s="13" t="str">
        <f aca="false">IF(C3381=J3381,"NEW KONTRAK","RE-KONTRAK")</f>
        <v>NEW KONTRAK</v>
      </c>
      <c r="J3381" s="16" t="n">
        <f aca="false" t="array" ref="J3381:J3381">IFERROR(INDEX(AC3381:AE3381,IF(COUNTA(AC3381:AE3381)=0,"",MAX((AC3381:AE3381&lt;&gt;"")*(COLUMN(AC3381:AE3381)-(COLUMN(AC3381)))))-1),"")</f>
        <v>46111</v>
      </c>
      <c r="K3381" s="16" t="n">
        <f aca="false" t="array" ref="K3381:K3381">IFERROR(INDEX(AC3381:AE3381,IF(COUNTA(AC3381:AE3381)=0,"",MAX((AC3381:AE3381&lt;&gt;"")*(COLUMN(AC3381:AE3381)-(COLUMN(AC3381)-1))))-1),"")</f>
        <v>46202</v>
      </c>
      <c r="L3381" s="17" t="str">
        <f aca="false" t="array" ref="L3381:L3381">IFERROR(INDEX(AC3381:AE3381,IF(COUNTA(AC3381:AE3381)=0,"",MAX((AC3381:AE3381&lt;&gt;"")*(COLUMN(AC3381:AE3381)-(COLUMN(AC3381)-2))))-1),"")</f>
        <v>ARCHIVED</v>
      </c>
      <c r="M3381" s="13" t="n">
        <f aca="true">K3381-TODAY()</f>
        <v>-122</v>
      </c>
      <c r="N3381" s="18" t="s">
        <v>728</v>
      </c>
      <c r="O3381" s="13" t="s">
        <v>1453</v>
      </c>
      <c r="P3381" s="19" t="n">
        <v>132300</v>
      </c>
      <c r="Q3381" s="47" t="s">
        <v>13920</v>
      </c>
      <c r="R3381" s="13" t="s">
        <v>232</v>
      </c>
      <c r="S3381" s="16" t="n">
        <v>37672</v>
      </c>
      <c r="T3381" s="28" t="s">
        <v>40</v>
      </c>
      <c r="U3381" s="13" t="s">
        <v>13921</v>
      </c>
      <c r="V3381" s="13" t="s">
        <v>42</v>
      </c>
      <c r="W3381" s="13" t="s">
        <v>43</v>
      </c>
      <c r="X3381" s="30" t="n">
        <v>81258911352</v>
      </c>
      <c r="Y3381" s="22" t="str">
        <f aca="false">O3381</f>
        <v>Helper Produksi</v>
      </c>
      <c r="Z3381" s="13" t="str">
        <f aca="false">IFERROR(__xludf.dummyfunction("if(BJ3381="""","""",GOOGLETRANSLATE(BJ3381,""auto"",""en""))"),"Production Helper")</f>
        <v>Production Helper</v>
      </c>
      <c r="AA3381" s="23" t="str">
        <f aca="false">IF(C3381="","", CHOOSE(MONTH(C3381),"January","February","March","April","May","June","July","August","September","October","November","December")&amp;" "&amp;DAY(C3381)&amp;MID("thstndrdth",MIN(9,2*RIGHT(DAY(C3381))*(MOD(DAY(C3381)-11,100)&gt;2)+1),2)&amp;","&amp;TEXT(C3381," yyyy"))</f>
        <v>March 30th,2026</v>
      </c>
      <c r="AB3381" s="15" t="str">
        <f aca="true">IF(S3381="","",DATEDIF(S3381,TODAY(),"Y")&amp;" Tahun, "&amp;DATEDIF(S3381,TODAY(),"YM")&amp;" Bulan, "&amp;DATEDIF(S3381,TODAY(),"MD")&amp;" Hari")</f>
        <v>23 Tahun, 8 Bulan, 9 Hari</v>
      </c>
      <c r="AC3381" s="18" t="n">
        <v>46111</v>
      </c>
      <c r="AD3381" s="18" t="n">
        <f aca="false">EDATE(AC3381,3)-1</f>
        <v>46202</v>
      </c>
      <c r="AE3381" s="13" t="s">
        <v>44</v>
      </c>
    </row>
    <row r="3382" customFormat="false" ht="15" hidden="false" customHeight="true" outlineLevel="0" collapsed="false">
      <c r="A3382" s="12" t="n">
        <v>21997</v>
      </c>
      <c r="B3382" s="13" t="s">
        <v>13922</v>
      </c>
      <c r="C3382" s="16" t="n">
        <v>46111</v>
      </c>
      <c r="D3382" s="13" t="s">
        <v>885</v>
      </c>
      <c r="E3382" s="15" t="s">
        <v>102</v>
      </c>
      <c r="F3382" s="15" t="str">
        <f aca="false">IFERROR(__xludf.dummyfunction("XLOOKUP(AJ3382,IMPORTRANGE(""1XaInW9DU9nz21V0tYIfzFQ0He9kVQ_JF2mCXgZ3hqFA"",""REKAP ALL 2026 - Andika!G:G""),IMPORTRANGE(""1XaInW9DU9nz21V0tYIfzFQ0He9kVQ_JF2mCXgZ3hqFA"",""REKAP ALL 2026 - Andika!F:F""),"""",0)"),"26046410739")</f>
        <v>26046410739</v>
      </c>
      <c r="G3382" s="28" t="s">
        <v>57</v>
      </c>
      <c r="H3382" s="13" t="s">
        <v>35</v>
      </c>
      <c r="I3382" s="13" t="str">
        <f aca="false">IF(C3382=J3382,"NEW KONTRAK","RE-KONTRAK")</f>
        <v>NEW KONTRAK</v>
      </c>
      <c r="J3382" s="16" t="n">
        <f aca="false" t="array" ref="J3382:J3382">IFERROR(INDEX(AC3382:AE3382,IF(COUNTA(AC3382:AE3382)=0,"",MAX((AC3382:AE3382&lt;&gt;"")*(COLUMN(AC3382:AE3382)-(COLUMN(AC3382)))))-1),"")</f>
        <v>46111</v>
      </c>
      <c r="K3382" s="16" t="n">
        <f aca="false" t="array" ref="K3382:K3382">IFERROR(INDEX(AC3382:AE3382,IF(COUNTA(AC3382:AE3382)=0,"",MAX((AC3382:AE3382&lt;&gt;"")*(COLUMN(AC3382:AE3382)-(COLUMN(AC3382)-1))))-1),"")</f>
        <v>46202</v>
      </c>
      <c r="L3382" s="17" t="str">
        <f aca="false" t="array" ref="L3382:L3382">IFERROR(INDEX(AC3382:AE3382,IF(COUNTA(AC3382:AE3382)=0,"",MAX((AC3382:AE3382&lt;&gt;"")*(COLUMN(AC3382:AE3382)-(COLUMN(AC3382)-2))))-1),"")</f>
        <v>ARCHIVED</v>
      </c>
      <c r="M3382" s="13" t="n">
        <f aca="true">K3382-TODAY()</f>
        <v>-122</v>
      </c>
      <c r="N3382" s="18" t="s">
        <v>728</v>
      </c>
      <c r="O3382" s="13" t="s">
        <v>1453</v>
      </c>
      <c r="P3382" s="19" t="n">
        <v>132300</v>
      </c>
      <c r="Q3382" s="47" t="s">
        <v>13923</v>
      </c>
      <c r="R3382" s="13" t="s">
        <v>39</v>
      </c>
      <c r="S3382" s="16" t="n">
        <v>38183</v>
      </c>
      <c r="T3382" s="13" t="s">
        <v>40</v>
      </c>
      <c r="U3382" s="13" t="s">
        <v>12358</v>
      </c>
      <c r="V3382" s="13" t="s">
        <v>42</v>
      </c>
      <c r="W3382" s="13" t="s">
        <v>43</v>
      </c>
      <c r="X3382" s="30" t="n">
        <v>81296561014</v>
      </c>
      <c r="Y3382" s="22" t="str">
        <f aca="false">O3382</f>
        <v>Helper Produksi</v>
      </c>
      <c r="Z3382" s="13" t="str">
        <f aca="false">IFERROR(__xludf.dummyfunction("if(BJ3382="""","""",GOOGLETRANSLATE(BJ3382,""auto"",""en""))"),"Production Helper")</f>
        <v>Production Helper</v>
      </c>
      <c r="AA3382" s="23" t="str">
        <f aca="false">IF(C3382="","", CHOOSE(MONTH(C3382),"January","February","March","April","May","June","July","August","September","October","November","December")&amp;" "&amp;DAY(C3382)&amp;MID("thstndrdth",MIN(9,2*RIGHT(DAY(C3382))*(MOD(DAY(C3382)-11,100)&gt;2)+1),2)&amp;","&amp;TEXT(C3382," yyyy"))</f>
        <v>March 30th,2026</v>
      </c>
      <c r="AB3382" s="15" t="str">
        <f aca="true">IF(S3382="","",DATEDIF(S3382,TODAY(),"Y")&amp;" Tahun, "&amp;DATEDIF(S3382,TODAY(),"YM")&amp;" Bulan, "&amp;DATEDIF(S3382,TODAY(),"MD")&amp;" Hari")</f>
        <v>22 Tahun, 3 Bulan, 14 Hari</v>
      </c>
      <c r="AC3382" s="18" t="n">
        <v>46111</v>
      </c>
      <c r="AD3382" s="18" t="n">
        <f aca="false">EDATE(AC3382,3)-1</f>
        <v>46202</v>
      </c>
      <c r="AE3382" s="13" t="s">
        <v>44</v>
      </c>
    </row>
    <row r="3383" customFormat="false" ht="15" hidden="false" customHeight="true" outlineLevel="0" collapsed="false">
      <c r="A3383" s="12" t="n">
        <v>21998</v>
      </c>
      <c r="B3383" s="13" t="s">
        <v>13924</v>
      </c>
      <c r="C3383" s="16" t="n">
        <v>46111</v>
      </c>
      <c r="D3383" s="13" t="s">
        <v>885</v>
      </c>
      <c r="E3383" s="15" t="s">
        <v>47</v>
      </c>
      <c r="F3383" s="15" t="str">
        <f aca="false">IFERROR(__xludf.dummyfunction("XLOOKUP(AJ3383,IMPORTRANGE(""1XaInW9DU9nz21V0tYIfzFQ0He9kVQ_JF2mCXgZ3hqFA"",""REKAP ALL 2026 - Andika!G:G""),IMPORTRANGE(""1XaInW9DU9nz21V0tYIfzFQ0He9kVQ_JF2mCXgZ3hqFA"",""REKAP ALL 2026 - Andika!F:F""),"""",0)"),"26046410754")</f>
        <v>26046410754</v>
      </c>
      <c r="G3383" s="28" t="s">
        <v>57</v>
      </c>
      <c r="H3383" s="13" t="s">
        <v>35</v>
      </c>
      <c r="I3383" s="13" t="str">
        <f aca="false">IF(C3383=J3383,"NEW KONTRAK","RE-KONTRAK")</f>
        <v>NEW KONTRAK</v>
      </c>
      <c r="J3383" s="16" t="n">
        <f aca="false" t="array" ref="J3383:J3383">IFERROR(INDEX(AC3383:AE3383,IF(COUNTA(AC3383:AE3383)=0,"",MAX((AC3383:AE3383&lt;&gt;"")*(COLUMN(AC3383:AE3383)-(COLUMN(AC3383)))))-1),"")</f>
        <v>46111</v>
      </c>
      <c r="K3383" s="16" t="n">
        <f aca="false" t="array" ref="K3383:K3383">IFERROR(INDEX(AC3383:AE3383,IF(COUNTA(AC3383:AE3383)=0,"",MAX((AC3383:AE3383&lt;&gt;"")*(COLUMN(AC3383:AE3383)-(COLUMN(AC3383)-1))))-1),"")</f>
        <v>46202</v>
      </c>
      <c r="L3383" s="17" t="str">
        <f aca="false" t="array" ref="L3383:L3383">IFERROR(INDEX(AC3383:AE3383,IF(COUNTA(AC3383:AE3383)=0,"",MAX((AC3383:AE3383&lt;&gt;"")*(COLUMN(AC3383:AE3383)-(COLUMN(AC3383)-2))))-1),"")</f>
        <v>KEMBALI</v>
      </c>
      <c r="M3383" s="13" t="n">
        <f aca="true">K3383-TODAY()</f>
        <v>-122</v>
      </c>
      <c r="N3383" s="18" t="s">
        <v>728</v>
      </c>
      <c r="O3383" s="13" t="s">
        <v>1453</v>
      </c>
      <c r="P3383" s="19" t="n">
        <v>132300</v>
      </c>
      <c r="Q3383" s="47" t="s">
        <v>13925</v>
      </c>
      <c r="R3383" s="13" t="s">
        <v>52</v>
      </c>
      <c r="S3383" s="16" t="n">
        <v>36767</v>
      </c>
      <c r="T3383" s="13" t="s">
        <v>40</v>
      </c>
      <c r="U3383" s="13" t="s">
        <v>13926</v>
      </c>
      <c r="V3383" s="13" t="s">
        <v>42</v>
      </c>
      <c r="W3383" s="13" t="s">
        <v>43</v>
      </c>
      <c r="X3383" s="30" t="n">
        <v>85288899375</v>
      </c>
      <c r="Y3383" s="22" t="str">
        <f aca="false">O3383</f>
        <v>Helper Produksi</v>
      </c>
      <c r="Z3383" s="13" t="str">
        <f aca="false">IFERROR(__xludf.dummyfunction("if(BJ3383="""","""",GOOGLETRANSLATE(BJ3383,""auto"",""en""))"),"Production Helper")</f>
        <v>Production Helper</v>
      </c>
      <c r="AA3383" s="23" t="str">
        <f aca="false">IF(C3383="","", CHOOSE(MONTH(C3383),"January","February","March","April","May","June","July","August","September","October","November","December")&amp;" "&amp;DAY(C3383)&amp;MID("thstndrdth",MIN(9,2*RIGHT(DAY(C3383))*(MOD(DAY(C3383)-11,100)&gt;2)+1),2)&amp;","&amp;TEXT(C3383," yyyy"))</f>
        <v>March 30th,2026</v>
      </c>
      <c r="AB3383" s="15" t="str">
        <f aca="true">IF(S3383="","",DATEDIF(S3383,TODAY(),"Y")&amp;" Tahun, "&amp;DATEDIF(S3383,TODAY(),"YM")&amp;" Bulan, "&amp;DATEDIF(S3383,TODAY(),"MD")&amp;" Hari")</f>
        <v>26 Tahun, 2 Bulan, 0 Hari</v>
      </c>
      <c r="AC3383" s="18" t="n">
        <v>46111</v>
      </c>
      <c r="AD3383" s="18" t="n">
        <f aca="false">EDATE(AC3383,3)-1</f>
        <v>46202</v>
      </c>
      <c r="AE3383" s="13" t="s">
        <v>397</v>
      </c>
    </row>
    <row r="3384" customFormat="false" ht="15" hidden="false" customHeight="true" outlineLevel="0" collapsed="false">
      <c r="A3384" s="12" t="n">
        <v>21999</v>
      </c>
      <c r="B3384" s="13" t="s">
        <v>13927</v>
      </c>
      <c r="C3384" s="16" t="n">
        <v>46111</v>
      </c>
      <c r="D3384" s="13" t="s">
        <v>885</v>
      </c>
      <c r="E3384" s="15" t="s">
        <v>47</v>
      </c>
      <c r="F3384" s="15" t="str">
        <f aca="false">IFERROR(__xludf.dummyfunction("XLOOKUP(AJ3384,IMPORTRANGE(""1XaInW9DU9nz21V0tYIfzFQ0He9kVQ_JF2mCXgZ3hqFA"",""REKAP ALL 2026 - Andika!G:G""),IMPORTRANGE(""1XaInW9DU9nz21V0tYIfzFQ0He9kVQ_JF2mCXgZ3hqFA"",""REKAP ALL 2026 - Andika!F:F""),"""",0)"),"26046410697")</f>
        <v>26046410697</v>
      </c>
      <c r="G3384" s="28" t="s">
        <v>57</v>
      </c>
      <c r="H3384" s="13" t="s">
        <v>35</v>
      </c>
      <c r="I3384" s="13" t="str">
        <f aca="false">IF(C3384=J3384,"NEW KONTRAK","RE-KONTRAK")</f>
        <v>NEW KONTRAK</v>
      </c>
      <c r="J3384" s="16" t="n">
        <f aca="false" t="array" ref="J3384:J3384">IFERROR(INDEX(AC3384:AE3384,IF(COUNTA(AC3384:AE3384)=0,"",MAX((AC3384:AE3384&lt;&gt;"")*(COLUMN(AC3384:AE3384)-(COLUMN(AC3384)))))-1),"")</f>
        <v>46111</v>
      </c>
      <c r="K3384" s="16" t="n">
        <f aca="false" t="array" ref="K3384:K3384">IFERROR(INDEX(AC3384:AE3384,IF(COUNTA(AC3384:AE3384)=0,"",MAX((AC3384:AE3384&lt;&gt;"")*(COLUMN(AC3384:AE3384)-(COLUMN(AC3384)-1))))-1),"")</f>
        <v>46202</v>
      </c>
      <c r="L3384" s="17" t="str">
        <f aca="false" t="array" ref="L3384:L3384">IFERROR(INDEX(AC3384:AE3384,IF(COUNTA(AC3384:AE3384)=0,"",MAX((AC3384:AE3384&lt;&gt;"")*(COLUMN(AC3384:AE3384)-(COLUMN(AC3384)-2))))-1),"")</f>
        <v>KEMBALI</v>
      </c>
      <c r="M3384" s="13" t="n">
        <f aca="true">K3384-TODAY()</f>
        <v>-122</v>
      </c>
      <c r="N3384" s="18" t="s">
        <v>728</v>
      </c>
      <c r="O3384" s="13" t="s">
        <v>1453</v>
      </c>
      <c r="P3384" s="19" t="n">
        <v>132300</v>
      </c>
      <c r="Q3384" s="47" t="s">
        <v>13928</v>
      </c>
      <c r="R3384" s="13" t="s">
        <v>39</v>
      </c>
      <c r="S3384" s="16" t="n">
        <v>35977</v>
      </c>
      <c r="T3384" s="28" t="s">
        <v>40</v>
      </c>
      <c r="U3384" s="13" t="s">
        <v>13929</v>
      </c>
      <c r="V3384" s="13" t="s">
        <v>42</v>
      </c>
      <c r="W3384" s="13" t="s">
        <v>43</v>
      </c>
      <c r="X3384" s="30" t="n">
        <v>89579825071</v>
      </c>
      <c r="Y3384" s="22" t="str">
        <f aca="false">O3384</f>
        <v>Helper Produksi</v>
      </c>
      <c r="Z3384" s="13" t="str">
        <f aca="false">IFERROR(__xludf.dummyfunction("if(BJ3384="""","""",GOOGLETRANSLATE(BJ3384,""auto"",""en""))"),"Production Helper")</f>
        <v>Production Helper</v>
      </c>
      <c r="AA3384" s="23" t="str">
        <f aca="false">IF(C3384="","", CHOOSE(MONTH(C3384),"January","February","March","April","May","June","July","August","September","October","November","December")&amp;" "&amp;DAY(C3384)&amp;MID("thstndrdth",MIN(9,2*RIGHT(DAY(C3384))*(MOD(DAY(C3384)-11,100)&gt;2)+1),2)&amp;","&amp;TEXT(C3384," yyyy"))</f>
        <v>March 30th,2026</v>
      </c>
      <c r="AB3384" s="15" t="str">
        <f aca="true">IF(S3384="","",DATEDIF(S3384,TODAY(),"Y")&amp;" Tahun, "&amp;DATEDIF(S3384,TODAY(),"YM")&amp;" Bulan, "&amp;DATEDIF(S3384,TODAY(),"MD")&amp;" Hari")</f>
        <v>28 Tahun, 3 Bulan, 28 Hari</v>
      </c>
      <c r="AC3384" s="18" t="n">
        <v>46111</v>
      </c>
      <c r="AD3384" s="18" t="n">
        <f aca="false">EDATE(AC3384,3)-1</f>
        <v>46202</v>
      </c>
      <c r="AE3384" s="13" t="s">
        <v>397</v>
      </c>
    </row>
    <row r="3385" customFormat="false" ht="15" hidden="false" customHeight="true" outlineLevel="0" collapsed="false">
      <c r="A3385" s="12" t="n">
        <v>22000</v>
      </c>
      <c r="B3385" s="13" t="s">
        <v>13930</v>
      </c>
      <c r="C3385" s="16" t="n">
        <v>46111</v>
      </c>
      <c r="D3385" s="13" t="s">
        <v>885</v>
      </c>
      <c r="E3385" s="15" t="s">
        <v>47</v>
      </c>
      <c r="F3385" s="15" t="str">
        <f aca="false">IFERROR(__xludf.dummyfunction("XLOOKUP(AJ3385,IMPORTRANGE(""1XaInW9DU9nz21V0tYIfzFQ0He9kVQ_JF2mCXgZ3hqFA"",""REKAP ALL 2026 - Andika!G:G""),IMPORTRANGE(""1XaInW9DU9nz21V0tYIfzFQ0He9kVQ_JF2mCXgZ3hqFA"",""REKAP ALL 2026 - Andika!F:F""),"""",0)"),"26046410796")</f>
        <v>26046410796</v>
      </c>
      <c r="G3385" s="28" t="s">
        <v>57</v>
      </c>
      <c r="H3385" s="13" t="s">
        <v>35</v>
      </c>
      <c r="I3385" s="13" t="str">
        <f aca="false">IF(C3385=J3385,"NEW KONTRAK","RE-KONTRAK")</f>
        <v>NEW KONTRAK</v>
      </c>
      <c r="J3385" s="16" t="n">
        <f aca="false" t="array" ref="J3385:J3385">IFERROR(INDEX(AC3385:AE3385,IF(COUNTA(AC3385:AE3385)=0,"",MAX((AC3385:AE3385&lt;&gt;"")*(COLUMN(AC3385:AE3385)-(COLUMN(AC3385)))))-1),"")</f>
        <v>46111</v>
      </c>
      <c r="K3385" s="16" t="n">
        <f aca="false" t="array" ref="K3385:K3385">IFERROR(INDEX(AC3385:AE3385,IF(COUNTA(AC3385:AE3385)=0,"",MAX((AC3385:AE3385&lt;&gt;"")*(COLUMN(AC3385:AE3385)-(COLUMN(AC3385)-1))))-1),"")</f>
        <v>46202</v>
      </c>
      <c r="L3385" s="17" t="str">
        <f aca="false" t="array" ref="L3385:L3385">IFERROR(INDEX(AC3385:AE3385,IF(COUNTA(AC3385:AE3385)=0,"",MAX((AC3385:AE3385&lt;&gt;"")*(COLUMN(AC3385:AE3385)-(COLUMN(AC3385)-2))))-1),"")</f>
        <v>KEMBALI</v>
      </c>
      <c r="M3385" s="13" t="n">
        <f aca="true">K3385-TODAY()</f>
        <v>-122</v>
      </c>
      <c r="N3385" s="18" t="s">
        <v>728</v>
      </c>
      <c r="O3385" s="13" t="s">
        <v>1453</v>
      </c>
      <c r="P3385" s="19" t="n">
        <v>132300</v>
      </c>
      <c r="Q3385" s="47" t="s">
        <v>13931</v>
      </c>
      <c r="R3385" s="13" t="s">
        <v>52</v>
      </c>
      <c r="S3385" s="16" t="n">
        <v>38717</v>
      </c>
      <c r="T3385" s="13" t="s">
        <v>40</v>
      </c>
      <c r="U3385" s="13" t="s">
        <v>13932</v>
      </c>
      <c r="V3385" s="13" t="s">
        <v>42</v>
      </c>
      <c r="W3385" s="13" t="s">
        <v>43</v>
      </c>
      <c r="X3385" s="30" t="n">
        <v>85761125457</v>
      </c>
      <c r="Y3385" s="22" t="str">
        <f aca="false">O3385</f>
        <v>Helper Produksi</v>
      </c>
      <c r="Z3385" s="13" t="str">
        <f aca="false">IFERROR(__xludf.dummyfunction("if(BJ3385="""","""",GOOGLETRANSLATE(BJ3385,""auto"",""en""))"),"Production Helper")</f>
        <v>Production Helper</v>
      </c>
      <c r="AA3385" s="23" t="str">
        <f aca="false">IF(C3385="","", CHOOSE(MONTH(C3385),"January","February","March","April","May","June","July","August","September","October","November","December")&amp;" "&amp;DAY(C3385)&amp;MID("thstndrdth",MIN(9,2*RIGHT(DAY(C3385))*(MOD(DAY(C3385)-11,100)&gt;2)+1),2)&amp;","&amp;TEXT(C3385," yyyy"))</f>
        <v>March 30th,2026</v>
      </c>
      <c r="AB3385" s="15" t="str">
        <f aca="true">IF(S3385="","",DATEDIF(S3385,TODAY(),"Y")&amp;" Tahun, "&amp;DATEDIF(S3385,TODAY(),"YM")&amp;" Bulan, "&amp;DATEDIF(S3385,TODAY(),"MD")&amp;" Hari")</f>
        <v>20 Tahun, 9 Bulan, 28 Hari</v>
      </c>
      <c r="AC3385" s="18" t="n">
        <v>46111</v>
      </c>
      <c r="AD3385" s="18" t="n">
        <f aca="false">EDATE(AC3385,3)-1</f>
        <v>46202</v>
      </c>
      <c r="AE3385" s="13" t="s">
        <v>397</v>
      </c>
    </row>
    <row r="3386" customFormat="false" ht="15" hidden="false" customHeight="true" outlineLevel="0" collapsed="false">
      <c r="A3386" s="12" t="n">
        <v>22001</v>
      </c>
      <c r="B3386" s="13" t="s">
        <v>13933</v>
      </c>
      <c r="C3386" s="16" t="n">
        <v>46111</v>
      </c>
      <c r="D3386" s="13" t="s">
        <v>885</v>
      </c>
      <c r="E3386" s="15" t="s">
        <v>47</v>
      </c>
      <c r="F3386" s="15" t="str">
        <f aca="false">IFERROR(__xludf.dummyfunction("XLOOKUP(AJ3386,IMPORTRANGE(""1XaInW9DU9nz21V0tYIfzFQ0He9kVQ_JF2mCXgZ3hqFA"",""REKAP ALL 2026 - Andika!G:G""),IMPORTRANGE(""1XaInW9DU9nz21V0tYIfzFQ0He9kVQ_JF2mCXgZ3hqFA"",""REKAP ALL 2026 - Andika!F:F""),"""",0)"),"26046410838")</f>
        <v>26046410838</v>
      </c>
      <c r="G3386" s="28" t="s">
        <v>57</v>
      </c>
      <c r="H3386" s="13" t="s">
        <v>35</v>
      </c>
      <c r="I3386" s="13" t="str">
        <f aca="false">IF(C3386=J3386,"NEW KONTRAK","RE-KONTRAK")</f>
        <v>NEW KONTRAK</v>
      </c>
      <c r="J3386" s="16" t="n">
        <f aca="false" t="array" ref="J3386:J3386">IFERROR(INDEX(AC3386:AE3386,IF(COUNTA(AC3386:AE3386)=0,"",MAX((AC3386:AE3386&lt;&gt;"")*(COLUMN(AC3386:AE3386)-(COLUMN(AC3386)))))-1),"")</f>
        <v>46111</v>
      </c>
      <c r="K3386" s="16" t="n">
        <f aca="false" t="array" ref="K3386:K3386">IFERROR(INDEX(AC3386:AE3386,IF(COUNTA(AC3386:AE3386)=0,"",MAX((AC3386:AE3386&lt;&gt;"")*(COLUMN(AC3386:AE3386)-(COLUMN(AC3386)-1))))-1),"")</f>
        <v>46202</v>
      </c>
      <c r="L3386" s="17" t="str">
        <f aca="false" t="array" ref="L3386:L3386">IFERROR(INDEX(AC3386:AE3386,IF(COUNTA(AC3386:AE3386)=0,"",MAX((AC3386:AE3386&lt;&gt;"")*(COLUMN(AC3386:AE3386)-(COLUMN(AC3386)-2))))-1),"")</f>
        <v>ARCHIVED</v>
      </c>
      <c r="M3386" s="13" t="n">
        <f aca="true">K3386-TODAY()</f>
        <v>-122</v>
      </c>
      <c r="N3386" s="18" t="s">
        <v>728</v>
      </c>
      <c r="O3386" s="13" t="s">
        <v>1453</v>
      </c>
      <c r="P3386" s="19" t="n">
        <v>132300</v>
      </c>
      <c r="Q3386" s="47" t="s">
        <v>13934</v>
      </c>
      <c r="R3386" s="13" t="s">
        <v>52</v>
      </c>
      <c r="S3386" s="16" t="n">
        <v>32892</v>
      </c>
      <c r="T3386" s="13" t="s">
        <v>40</v>
      </c>
      <c r="U3386" s="13" t="s">
        <v>13935</v>
      </c>
      <c r="V3386" s="13" t="s">
        <v>42</v>
      </c>
      <c r="W3386" s="13" t="s">
        <v>43</v>
      </c>
      <c r="X3386" s="30" t="n">
        <v>85187571775</v>
      </c>
      <c r="Y3386" s="22" t="str">
        <f aca="false">O3386</f>
        <v>Helper Produksi</v>
      </c>
      <c r="Z3386" s="13" t="str">
        <f aca="false">IFERROR(__xludf.dummyfunction("if(BJ3386="""","""",GOOGLETRANSLATE(BJ3386,""auto"",""en""))"),"Production Helper")</f>
        <v>Production Helper</v>
      </c>
      <c r="AA3386" s="23" t="str">
        <f aca="false">IF(C3386="","", CHOOSE(MONTH(C3386),"January","February","March","April","May","June","July","August","September","October","November","December")&amp;" "&amp;DAY(C3386)&amp;MID("thstndrdth",MIN(9,2*RIGHT(DAY(C3386))*(MOD(DAY(C3386)-11,100)&gt;2)+1),2)&amp;","&amp;TEXT(C3386," yyyy"))</f>
        <v>March 30th,2026</v>
      </c>
      <c r="AB3386" s="15" t="str">
        <f aca="true">IF(S3386="","",DATEDIF(S3386,TODAY(),"Y")&amp;" Tahun, "&amp;DATEDIF(S3386,TODAY(),"YM")&amp;" Bulan, "&amp;DATEDIF(S3386,TODAY(),"MD")&amp;" Hari")</f>
        <v>36 Tahun, 9 Bulan, 10 Hari</v>
      </c>
      <c r="AC3386" s="18" t="n">
        <v>46111</v>
      </c>
      <c r="AD3386" s="18" t="n">
        <f aca="false">EDATE(AC3386,3)-1</f>
        <v>46202</v>
      </c>
      <c r="AE3386" s="69" t="s">
        <v>44</v>
      </c>
    </row>
    <row r="3387" customFormat="false" ht="15" hidden="false" customHeight="true" outlineLevel="0" collapsed="false">
      <c r="A3387" s="12" t="n">
        <v>22002</v>
      </c>
      <c r="B3387" s="13" t="s">
        <v>13936</v>
      </c>
      <c r="C3387" s="16" t="n">
        <v>46111</v>
      </c>
      <c r="D3387" s="13" t="s">
        <v>885</v>
      </c>
      <c r="E3387" s="15" t="s">
        <v>47</v>
      </c>
      <c r="F3387" s="15" t="str">
        <f aca="false">IFERROR(__xludf.dummyfunction("XLOOKUP(AJ3387,IMPORTRANGE(""1XaInW9DU9nz21V0tYIfzFQ0He9kVQ_JF2mCXgZ3hqFA"",""REKAP ALL 2026 - Andika!G:G""),IMPORTRANGE(""1XaInW9DU9nz21V0tYIfzFQ0He9kVQ_JF2mCXgZ3hqFA"",""REKAP ALL 2026 - Andika!F:F""),"""",0)"),"26046410671")</f>
        <v>26046410671</v>
      </c>
      <c r="G3387" s="28" t="s">
        <v>57</v>
      </c>
      <c r="H3387" s="13" t="s">
        <v>35</v>
      </c>
      <c r="I3387" s="13" t="str">
        <f aca="false">IF(C3387=J3387,"NEW KONTRAK","RE-KONTRAK")</f>
        <v>NEW KONTRAK</v>
      </c>
      <c r="J3387" s="16" t="n">
        <f aca="false" t="array" ref="J3387:J3387">IFERROR(INDEX(AC3387:AE3387,IF(COUNTA(AC3387:AE3387)=0,"",MAX((AC3387:AE3387&lt;&gt;"")*(COLUMN(AC3387:AE3387)-(COLUMN(AC3387)))))-1),"")</f>
        <v>46111</v>
      </c>
      <c r="K3387" s="16" t="n">
        <f aca="false" t="array" ref="K3387:K3387">IFERROR(INDEX(AC3387:AE3387,IF(COUNTA(AC3387:AE3387)=0,"",MAX((AC3387:AE3387&lt;&gt;"")*(COLUMN(AC3387:AE3387)-(COLUMN(AC3387)-1))))-1),"")</f>
        <v>46202</v>
      </c>
      <c r="L3387" s="17" t="str">
        <f aca="false" t="array" ref="L3387:L3387">IFERROR(INDEX(AC3387:AE3387,IF(COUNTA(AC3387:AE3387)=0,"",MAX((AC3387:AE3387&lt;&gt;"")*(COLUMN(AC3387:AE3387)-(COLUMN(AC3387)-2))))-1),"")</f>
        <v>KEMBALI</v>
      </c>
      <c r="M3387" s="13" t="n">
        <f aca="true">K3387-TODAY()</f>
        <v>-122</v>
      </c>
      <c r="N3387" s="18" t="s">
        <v>728</v>
      </c>
      <c r="O3387" s="13" t="s">
        <v>1453</v>
      </c>
      <c r="P3387" s="19" t="n">
        <v>132300</v>
      </c>
      <c r="Q3387" s="47" t="s">
        <v>13937</v>
      </c>
      <c r="R3387" s="13" t="s">
        <v>260</v>
      </c>
      <c r="S3387" s="16" t="n">
        <v>36699</v>
      </c>
      <c r="T3387" s="28" t="s">
        <v>40</v>
      </c>
      <c r="U3387" s="13" t="s">
        <v>13938</v>
      </c>
      <c r="V3387" s="13" t="s">
        <v>42</v>
      </c>
      <c r="W3387" s="13" t="s">
        <v>43</v>
      </c>
      <c r="X3387" s="30" t="n">
        <v>81340105123</v>
      </c>
      <c r="Y3387" s="22" t="str">
        <f aca="false">O3387</f>
        <v>Helper Produksi</v>
      </c>
      <c r="Z3387" s="13" t="str">
        <f aca="false">IFERROR(__xludf.dummyfunction("if(BJ3387="""","""",GOOGLETRANSLATE(BJ3387,""auto"",""en""))"),"Production Helper")</f>
        <v>Production Helper</v>
      </c>
      <c r="AA3387" s="23" t="str">
        <f aca="false">IF(C3387="","", CHOOSE(MONTH(C3387),"January","February","March","April","May","June","July","August","September","October","November","December")&amp;" "&amp;DAY(C3387)&amp;MID("thstndrdth",MIN(9,2*RIGHT(DAY(C3387))*(MOD(DAY(C3387)-11,100)&gt;2)+1),2)&amp;","&amp;TEXT(C3387," yyyy"))</f>
        <v>March 30th,2026</v>
      </c>
      <c r="AB3387" s="15" t="str">
        <f aca="true">IF(S3387="","",DATEDIF(S3387,TODAY(),"Y")&amp;" Tahun, "&amp;DATEDIF(S3387,TODAY(),"YM")&amp;" Bulan, "&amp;DATEDIF(S3387,TODAY(),"MD")&amp;" Hari")</f>
        <v>26 Tahun, 4 Bulan, 7 Hari</v>
      </c>
      <c r="AC3387" s="18" t="n">
        <v>46111</v>
      </c>
      <c r="AD3387" s="18" t="n">
        <f aca="false">EDATE(AC3387,3)-1</f>
        <v>46202</v>
      </c>
      <c r="AE3387" s="13" t="s">
        <v>397</v>
      </c>
    </row>
    <row r="3388" customFormat="false" ht="15" hidden="false" customHeight="true" outlineLevel="0" collapsed="false">
      <c r="A3388" s="12" t="n">
        <v>22003</v>
      </c>
      <c r="B3388" s="13" t="s">
        <v>13939</v>
      </c>
      <c r="C3388" s="16" t="n">
        <v>46111</v>
      </c>
      <c r="D3388" s="13" t="s">
        <v>885</v>
      </c>
      <c r="E3388" s="15" t="s">
        <v>102</v>
      </c>
      <c r="F3388" s="15" t="str">
        <f aca="false">IFERROR(__xludf.dummyfunction("XLOOKUP(AJ3388,IMPORTRANGE(""1XaInW9DU9nz21V0tYIfzFQ0He9kVQ_JF2mCXgZ3hqFA"",""REKAP ALL 2026 - Andika!G:G""),IMPORTRANGE(""1XaInW9DU9nz21V0tYIfzFQ0He9kVQ_JF2mCXgZ3hqFA"",""REKAP ALL 2026 - Andika!F:F""),"""",0)"),"26046410689")</f>
        <v>26046410689</v>
      </c>
      <c r="G3388" s="28" t="s">
        <v>57</v>
      </c>
      <c r="H3388" s="13" t="s">
        <v>35</v>
      </c>
      <c r="I3388" s="13" t="str">
        <f aca="false">IF(C3388=J3388,"NEW KONTRAK","RE-KONTRAK")</f>
        <v>NEW KONTRAK</v>
      </c>
      <c r="J3388" s="16" t="n">
        <f aca="false" t="array" ref="J3388:J3388">IFERROR(INDEX(AC3388:AE3388,IF(COUNTA(AC3388:AE3388)=0,"",MAX((AC3388:AE3388&lt;&gt;"")*(COLUMN(AC3388:AE3388)-(COLUMN(AC3388)))))-1),"")</f>
        <v>46111</v>
      </c>
      <c r="K3388" s="16" t="n">
        <f aca="false" t="array" ref="K3388:K3388">IFERROR(INDEX(AC3388:AE3388,IF(COUNTA(AC3388:AE3388)=0,"",MAX((AC3388:AE3388&lt;&gt;"")*(COLUMN(AC3388:AE3388)-(COLUMN(AC3388)-1))))-1),"")</f>
        <v>46202</v>
      </c>
      <c r="L3388" s="17" t="str">
        <f aca="false" t="array" ref="L3388:L3388">IFERROR(INDEX(AC3388:AE3388,IF(COUNTA(AC3388:AE3388)=0,"",MAX((AC3388:AE3388&lt;&gt;"")*(COLUMN(AC3388:AE3388)-(COLUMN(AC3388)-2))))-1),"")</f>
        <v>KEMBALI</v>
      </c>
      <c r="M3388" s="13" t="n">
        <f aca="true">K3388-TODAY()</f>
        <v>-122</v>
      </c>
      <c r="N3388" s="18" t="s">
        <v>728</v>
      </c>
      <c r="O3388" s="13" t="s">
        <v>1453</v>
      </c>
      <c r="P3388" s="19" t="n">
        <v>132300</v>
      </c>
      <c r="Q3388" s="47" t="s">
        <v>13940</v>
      </c>
      <c r="R3388" s="13" t="s">
        <v>39</v>
      </c>
      <c r="S3388" s="16" t="n">
        <v>36819</v>
      </c>
      <c r="T3388" s="28" t="s">
        <v>40</v>
      </c>
      <c r="U3388" s="13" t="s">
        <v>13941</v>
      </c>
      <c r="V3388" s="13" t="s">
        <v>42</v>
      </c>
      <c r="W3388" s="13" t="s">
        <v>43</v>
      </c>
      <c r="X3388" s="30" t="n">
        <v>87728258673</v>
      </c>
      <c r="Y3388" s="22" t="str">
        <f aca="false">O3388</f>
        <v>Helper Produksi</v>
      </c>
      <c r="Z3388" s="13" t="str">
        <f aca="false">IFERROR(__xludf.dummyfunction("if(BJ3388="""","""",GOOGLETRANSLATE(BJ3388,""auto"",""en""))"),"Production Helper")</f>
        <v>Production Helper</v>
      </c>
      <c r="AA3388" s="23" t="str">
        <f aca="false">IF(C3388="","", CHOOSE(MONTH(C3388),"January","February","March","April","May","June","July","August","September","October","November","December")&amp;" "&amp;DAY(C3388)&amp;MID("thstndrdth",MIN(9,2*RIGHT(DAY(C3388))*(MOD(DAY(C3388)-11,100)&gt;2)+1),2)&amp;","&amp;TEXT(C3388," yyyy"))</f>
        <v>March 30th,2026</v>
      </c>
      <c r="AB3388" s="15" t="str">
        <f aca="true">IF(S3388="","",DATEDIF(S3388,TODAY(),"Y")&amp;" Tahun, "&amp;DATEDIF(S3388,TODAY(),"YM")&amp;" Bulan, "&amp;DATEDIF(S3388,TODAY(),"MD")&amp;" Hari")</f>
        <v>26 Tahun, 0 Bulan, 9 Hari</v>
      </c>
      <c r="AC3388" s="18" t="n">
        <v>46111</v>
      </c>
      <c r="AD3388" s="18" t="n">
        <f aca="false">EDATE(AC3388,3)-1</f>
        <v>46202</v>
      </c>
      <c r="AE3388" s="13" t="s">
        <v>397</v>
      </c>
    </row>
    <row r="3389" customFormat="false" ht="15" hidden="false" customHeight="true" outlineLevel="0" collapsed="false">
      <c r="A3389" s="12" t="n">
        <v>22004</v>
      </c>
      <c r="B3389" s="13" t="s">
        <v>13942</v>
      </c>
      <c r="C3389" s="16" t="n">
        <v>46111</v>
      </c>
      <c r="D3389" s="13" t="s">
        <v>885</v>
      </c>
      <c r="E3389" s="15" t="s">
        <v>12803</v>
      </c>
      <c r="F3389" s="24" t="s">
        <v>13943</v>
      </c>
      <c r="G3389" s="28" t="s">
        <v>57</v>
      </c>
      <c r="H3389" s="13" t="s">
        <v>35</v>
      </c>
      <c r="I3389" s="13" t="str">
        <f aca="false">IF(C3389=J3389,"NEW KONTRAK","RE-KONTRAK")</f>
        <v>NEW KONTRAK</v>
      </c>
      <c r="J3389" s="16" t="n">
        <f aca="false" t="array" ref="J3389:J3389">IFERROR(INDEX(AC3389:AE3389,IF(COUNTA(AC3389:AE3389)=0,"",MAX((AC3389:AE3389&lt;&gt;"")*(COLUMN(AC3389:AE3389)-(COLUMN(AC3389)))))-1),"")</f>
        <v>46111</v>
      </c>
      <c r="K3389" s="16" t="n">
        <f aca="false" t="array" ref="K3389:K3389">IFERROR(INDEX(AC3389:AE3389,IF(COUNTA(AC3389:AE3389)=0,"",MAX((AC3389:AE3389&lt;&gt;"")*(COLUMN(AC3389:AE3389)-(COLUMN(AC3389)-1))))-1),"")</f>
        <v>46202</v>
      </c>
      <c r="L3389" s="17" t="str">
        <f aca="false" t="array" ref="L3389:L3389">IFERROR(INDEX(AC3389:AE3389,IF(COUNTA(AC3389:AE3389)=0,"",MAX((AC3389:AE3389&lt;&gt;"")*(COLUMN(AC3389:AE3389)-(COLUMN(AC3389)-2))))-1),"")</f>
        <v>ARCHIVED</v>
      </c>
      <c r="M3389" s="13" t="n">
        <f aca="true">K3389-TODAY()</f>
        <v>-122</v>
      </c>
      <c r="N3389" s="18" t="s">
        <v>728</v>
      </c>
      <c r="O3389" s="13" t="s">
        <v>1453</v>
      </c>
      <c r="P3389" s="19" t="n">
        <v>132300</v>
      </c>
      <c r="Q3389" s="47" t="s">
        <v>13944</v>
      </c>
      <c r="R3389" s="13" t="s">
        <v>39</v>
      </c>
      <c r="S3389" s="16" t="n">
        <v>36201</v>
      </c>
      <c r="T3389" s="28" t="s">
        <v>40</v>
      </c>
      <c r="U3389" s="13" t="s">
        <v>13945</v>
      </c>
      <c r="V3389" s="13" t="s">
        <v>42</v>
      </c>
      <c r="W3389" s="13" t="s">
        <v>54</v>
      </c>
      <c r="X3389" s="30" t="n">
        <v>89522660937</v>
      </c>
      <c r="Y3389" s="22" t="str">
        <f aca="false">O3389</f>
        <v>Helper Produksi</v>
      </c>
      <c r="Z3389" s="13" t="str">
        <f aca="false">IFERROR(__xludf.dummyfunction("if(BJ3389="""","""",GOOGLETRANSLATE(BJ3389,""auto"",""en""))"),"Production Helper")</f>
        <v>Production Helper</v>
      </c>
      <c r="AA3389" s="23" t="str">
        <f aca="false">IF(C3389="","", CHOOSE(MONTH(C3389),"January","February","March","April","May","June","July","August","September","October","November","December")&amp;" "&amp;DAY(C3389)&amp;MID("thstndrdth",MIN(9,2*RIGHT(DAY(C3389))*(MOD(DAY(C3389)-11,100)&gt;2)+1),2)&amp;","&amp;TEXT(C3389," yyyy"))</f>
        <v>March 30th,2026</v>
      </c>
      <c r="AB3389" s="15" t="str">
        <f aca="true">IF(S3389="","",DATEDIF(S3389,TODAY(),"Y")&amp;" Tahun, "&amp;DATEDIF(S3389,TODAY(),"YM")&amp;" Bulan, "&amp;DATEDIF(S3389,TODAY(),"MD")&amp;" Hari")</f>
        <v>27 Tahun, 8 Bulan, 19 Hari</v>
      </c>
      <c r="AC3389" s="18" t="n">
        <v>46111</v>
      </c>
      <c r="AD3389" s="18" t="n">
        <f aca="false">EDATE(AC3389,3)-1</f>
        <v>46202</v>
      </c>
      <c r="AE3389" s="13" t="s">
        <v>44</v>
      </c>
    </row>
    <row r="3390" customFormat="false" ht="15" hidden="false" customHeight="true" outlineLevel="0" collapsed="false">
      <c r="A3390" s="12" t="n">
        <v>22005</v>
      </c>
      <c r="B3390" s="13" t="s">
        <v>13946</v>
      </c>
      <c r="C3390" s="16" t="n">
        <v>46111</v>
      </c>
      <c r="D3390" s="13" t="s">
        <v>885</v>
      </c>
      <c r="E3390" s="15" t="s">
        <v>47</v>
      </c>
      <c r="F3390" s="15" t="str">
        <f aca="false">IFERROR(__xludf.dummyfunction("XLOOKUP(AJ3390,IMPORTRANGE(""1XaInW9DU9nz21V0tYIfzFQ0He9kVQ_JF2mCXgZ3hqFA"",""REKAP ALL 2026 - Andika!G:G""),IMPORTRANGE(""1XaInW9DU9nz21V0tYIfzFQ0He9kVQ_JF2mCXgZ3hqFA"",""REKAP ALL 2026 - Andika!F:F""),"""",0)"),"26046410770")</f>
        <v>26046410770</v>
      </c>
      <c r="G3390" s="28" t="s">
        <v>57</v>
      </c>
      <c r="H3390" s="13" t="s">
        <v>35</v>
      </c>
      <c r="I3390" s="13" t="str">
        <f aca="false">IF(C3390=J3390,"NEW KONTRAK","RE-KONTRAK")</f>
        <v>NEW KONTRAK</v>
      </c>
      <c r="J3390" s="16" t="n">
        <f aca="false" t="array" ref="J3390:J3390">IFERROR(INDEX(AC3390:AE3390,IF(COUNTA(AC3390:AE3390)=0,"",MAX((AC3390:AE3390&lt;&gt;"")*(COLUMN(AC3390:AE3390)-(COLUMN(AC3390)))))-1),"")</f>
        <v>46111</v>
      </c>
      <c r="K3390" s="16" t="n">
        <f aca="false" t="array" ref="K3390:K3390">IFERROR(INDEX(AC3390:AE3390,IF(COUNTA(AC3390:AE3390)=0,"",MAX((AC3390:AE3390&lt;&gt;"")*(COLUMN(AC3390:AE3390)-(COLUMN(AC3390)-1))))-1),"")</f>
        <v>46202</v>
      </c>
      <c r="L3390" s="17" t="str">
        <f aca="false" t="array" ref="L3390:L3390">IFERROR(INDEX(AC3390:AE3390,IF(COUNTA(AC3390:AE3390)=0,"",MAX((AC3390:AE3390&lt;&gt;"")*(COLUMN(AC3390:AE3390)-(COLUMN(AC3390)-2))))-1),"")</f>
        <v>KEMBALI</v>
      </c>
      <c r="M3390" s="13" t="n">
        <f aca="true">K3390-TODAY()</f>
        <v>-122</v>
      </c>
      <c r="N3390" s="18" t="s">
        <v>728</v>
      </c>
      <c r="O3390" s="13" t="s">
        <v>1453</v>
      </c>
      <c r="P3390" s="19" t="n">
        <v>132300</v>
      </c>
      <c r="Q3390" s="47" t="s">
        <v>13947</v>
      </c>
      <c r="R3390" s="13" t="s">
        <v>52</v>
      </c>
      <c r="S3390" s="16" t="n">
        <v>34349</v>
      </c>
      <c r="T3390" s="28" t="s">
        <v>40</v>
      </c>
      <c r="U3390" s="13" t="s">
        <v>13948</v>
      </c>
      <c r="V3390" s="13" t="s">
        <v>42</v>
      </c>
      <c r="W3390" s="13" t="s">
        <v>54</v>
      </c>
      <c r="X3390" s="30" t="n">
        <v>89660334191</v>
      </c>
      <c r="Y3390" s="22" t="str">
        <f aca="false">O3390</f>
        <v>Helper Produksi</v>
      </c>
      <c r="Z3390" s="13" t="str">
        <f aca="false">IFERROR(__xludf.dummyfunction("if(BJ3390="""","""",GOOGLETRANSLATE(BJ3390,""auto"",""en""))"),"Production Helper")</f>
        <v>Production Helper</v>
      </c>
      <c r="AA3390" s="23" t="str">
        <f aca="false">IF(C3390="","", CHOOSE(MONTH(C3390),"January","February","March","April","May","June","July","August","September","October","November","December")&amp;" "&amp;DAY(C3390)&amp;MID("thstndrdth",MIN(9,2*RIGHT(DAY(C3390))*(MOD(DAY(C3390)-11,100)&gt;2)+1),2)&amp;","&amp;TEXT(C3390," yyyy"))</f>
        <v>March 30th,2026</v>
      </c>
      <c r="AB3390" s="15" t="str">
        <f aca="true">IF(S3390="","",DATEDIF(S3390,TODAY(),"Y")&amp;" Tahun, "&amp;DATEDIF(S3390,TODAY(),"YM")&amp;" Bulan, "&amp;DATEDIF(S3390,TODAY(),"MD")&amp;" Hari")</f>
        <v>32 Tahun, 9 Bulan, 14 Hari</v>
      </c>
      <c r="AC3390" s="18" t="n">
        <v>46111</v>
      </c>
      <c r="AD3390" s="18" t="n">
        <f aca="false">EDATE(AC3390,3)-1</f>
        <v>46202</v>
      </c>
      <c r="AE3390" s="13" t="s">
        <v>397</v>
      </c>
    </row>
    <row r="3391" customFormat="false" ht="15" hidden="false" customHeight="true" outlineLevel="0" collapsed="false">
      <c r="A3391" s="12" t="n">
        <v>22006</v>
      </c>
      <c r="B3391" s="13" t="s">
        <v>13949</v>
      </c>
      <c r="C3391" s="16" t="n">
        <v>46111</v>
      </c>
      <c r="D3391" s="13" t="s">
        <v>885</v>
      </c>
      <c r="E3391" s="15" t="s">
        <v>33</v>
      </c>
      <c r="F3391" s="24" t="s">
        <v>13950</v>
      </c>
      <c r="G3391" s="28" t="s">
        <v>57</v>
      </c>
      <c r="H3391" s="13" t="s">
        <v>35</v>
      </c>
      <c r="I3391" s="13" t="str">
        <f aca="false">IF(C3391=J3391,"NEW KONTRAK","RE-KONTRAK")</f>
        <v>NEW KONTRAK</v>
      </c>
      <c r="J3391" s="16" t="n">
        <f aca="false" t="array" ref="J3391:J3391">IFERROR(INDEX(AC3391:AE3391,IF(COUNTA(AC3391:AE3391)=0,"",MAX((AC3391:AE3391&lt;&gt;"")*(COLUMN(AC3391:AE3391)-(COLUMN(AC3391)))))-1),"")</f>
        <v>46111</v>
      </c>
      <c r="K3391" s="16" t="n">
        <f aca="false" t="array" ref="K3391:K3391">IFERROR(INDEX(AC3391:AE3391,IF(COUNTA(AC3391:AE3391)=0,"",MAX((AC3391:AE3391&lt;&gt;"")*(COLUMN(AC3391:AE3391)-(COLUMN(AC3391)-1))))-1),"")</f>
        <v>46202</v>
      </c>
      <c r="L3391" s="17" t="str">
        <f aca="false" t="array" ref="L3391:L3391">IFERROR(INDEX(AC3391:AE3391,IF(COUNTA(AC3391:AE3391)=0,"",MAX((AC3391:AE3391&lt;&gt;"")*(COLUMN(AC3391:AE3391)-(COLUMN(AC3391)-2))))-1),"")</f>
        <v>ARCHIVED</v>
      </c>
      <c r="M3391" s="13" t="n">
        <f aca="true">K3391-TODAY()</f>
        <v>-122</v>
      </c>
      <c r="N3391" s="18" t="s">
        <v>728</v>
      </c>
      <c r="O3391" s="13" t="s">
        <v>1453</v>
      </c>
      <c r="P3391" s="19" t="n">
        <v>132300</v>
      </c>
      <c r="Q3391" s="47" t="s">
        <v>13951</v>
      </c>
      <c r="R3391" s="13" t="s">
        <v>52</v>
      </c>
      <c r="S3391" s="16" t="n">
        <v>36897</v>
      </c>
      <c r="T3391" s="13" t="s">
        <v>40</v>
      </c>
      <c r="U3391" s="13" t="s">
        <v>13952</v>
      </c>
      <c r="V3391" s="13" t="s">
        <v>42</v>
      </c>
      <c r="W3391" s="13" t="s">
        <v>43</v>
      </c>
      <c r="X3391" s="30" t="n">
        <v>82355371478</v>
      </c>
      <c r="Y3391" s="22" t="str">
        <f aca="false">O3391</f>
        <v>Helper Produksi</v>
      </c>
      <c r="Z3391" s="13" t="str">
        <f aca="false">IFERROR(__xludf.dummyfunction("if(BJ3391="""","""",GOOGLETRANSLATE(BJ3391,""auto"",""en""))"),"Production Helper")</f>
        <v>Production Helper</v>
      </c>
      <c r="AA3391" s="23" t="str">
        <f aca="false">IF(C3391="","", CHOOSE(MONTH(C3391),"January","February","March","April","May","June","July","August","September","October","November","December")&amp;" "&amp;DAY(C3391)&amp;MID("thstndrdth",MIN(9,2*RIGHT(DAY(C3391))*(MOD(DAY(C3391)-11,100)&gt;2)+1),2)&amp;","&amp;TEXT(C3391," yyyy"))</f>
        <v>March 30th,2026</v>
      </c>
      <c r="AB3391" s="15" t="str">
        <f aca="true">IF(S3391="","",DATEDIF(S3391,TODAY(),"Y")&amp;" Tahun, "&amp;DATEDIF(S3391,TODAY(),"YM")&amp;" Bulan, "&amp;DATEDIF(S3391,TODAY(),"MD")&amp;" Hari")</f>
        <v>25 Tahun, 9 Bulan, 23 Hari</v>
      </c>
      <c r="AC3391" s="18" t="n">
        <v>46111</v>
      </c>
      <c r="AD3391" s="18" t="n">
        <f aca="false">EDATE(AC3391,3)-1</f>
        <v>46202</v>
      </c>
      <c r="AE3391" s="13" t="s">
        <v>44</v>
      </c>
    </row>
    <row r="3392" customFormat="false" ht="15" hidden="false" customHeight="true" outlineLevel="0" collapsed="false">
      <c r="A3392" s="12" t="n">
        <v>22007</v>
      </c>
      <c r="B3392" s="13" t="s">
        <v>13953</v>
      </c>
      <c r="C3392" s="16" t="n">
        <v>46111</v>
      </c>
      <c r="D3392" s="13" t="s">
        <v>885</v>
      </c>
      <c r="E3392" s="15" t="s">
        <v>47</v>
      </c>
      <c r="F3392" s="15" t="str">
        <f aca="false">IFERROR(__xludf.dummyfunction("XLOOKUP(AJ3392,IMPORTRANGE(""1XaInW9DU9nz21V0tYIfzFQ0He9kVQ_JF2mCXgZ3hqFA"",""REKAP ALL 2026 - Andika!G:G""),IMPORTRANGE(""1XaInW9DU9nz21V0tYIfzFQ0He9kVQ_JF2mCXgZ3hqFA"",""REKAP ALL 2026 - Andika!F:F""),"""",0)"),"26046410721")</f>
        <v>26046410721</v>
      </c>
      <c r="G3392" s="28" t="s">
        <v>57</v>
      </c>
      <c r="H3392" s="13" t="s">
        <v>35</v>
      </c>
      <c r="I3392" s="13" t="str">
        <f aca="false">IF(C3392=J3392,"NEW KONTRAK","RE-KONTRAK")</f>
        <v>NEW KONTRAK</v>
      </c>
      <c r="J3392" s="16" t="n">
        <f aca="false" t="array" ref="J3392:J3392">IFERROR(INDEX(AC3392:AE3392,IF(COUNTA(AC3392:AE3392)=0,"",MAX((AC3392:AE3392&lt;&gt;"")*(COLUMN(AC3392:AE3392)-(COLUMN(AC3392)))))-1),"")</f>
        <v>46111</v>
      </c>
      <c r="K3392" s="16" t="n">
        <f aca="false" t="array" ref="K3392:K3392">IFERROR(INDEX(AC3392:AE3392,IF(COUNTA(AC3392:AE3392)=0,"",MAX((AC3392:AE3392&lt;&gt;"")*(COLUMN(AC3392:AE3392)-(COLUMN(AC3392)-1))))-1),"")</f>
        <v>46202</v>
      </c>
      <c r="L3392" s="17" t="str">
        <f aca="false" t="array" ref="L3392:L3392">IFERROR(INDEX(AC3392:AE3392,IF(COUNTA(AC3392:AE3392)=0,"",MAX((AC3392:AE3392&lt;&gt;"")*(COLUMN(AC3392:AE3392)-(COLUMN(AC3392)-2))))-1),"")</f>
        <v>KEMBALI</v>
      </c>
      <c r="M3392" s="13" t="n">
        <f aca="true">K3392-TODAY()</f>
        <v>-122</v>
      </c>
      <c r="N3392" s="18" t="s">
        <v>728</v>
      </c>
      <c r="O3392" s="13" t="s">
        <v>1453</v>
      </c>
      <c r="P3392" s="19" t="n">
        <v>132300</v>
      </c>
      <c r="Q3392" s="47" t="s">
        <v>13954</v>
      </c>
      <c r="R3392" s="13" t="s">
        <v>39</v>
      </c>
      <c r="S3392" s="16" t="n">
        <v>36265</v>
      </c>
      <c r="T3392" s="28" t="s">
        <v>40</v>
      </c>
      <c r="U3392" s="13" t="s">
        <v>13955</v>
      </c>
      <c r="V3392" s="13" t="s">
        <v>42</v>
      </c>
      <c r="W3392" s="13" t="s">
        <v>43</v>
      </c>
      <c r="X3392" s="30" t="n">
        <v>85896969155</v>
      </c>
      <c r="Y3392" s="22" t="str">
        <f aca="false">O3392</f>
        <v>Helper Produksi</v>
      </c>
      <c r="Z3392" s="13" t="str">
        <f aca="false">IFERROR(__xludf.dummyfunction("if(BJ3392="""","""",GOOGLETRANSLATE(BJ3392,""auto"",""en""))"),"Production Helper")</f>
        <v>Production Helper</v>
      </c>
      <c r="AA3392" s="23" t="str">
        <f aca="false">IF(C3392="","", CHOOSE(MONTH(C3392),"January","February","March","April","May","June","July","August","September","October","November","December")&amp;" "&amp;DAY(C3392)&amp;MID("thstndrdth",MIN(9,2*RIGHT(DAY(C3392))*(MOD(DAY(C3392)-11,100)&gt;2)+1),2)&amp;","&amp;TEXT(C3392," yyyy"))</f>
        <v>March 30th,2026</v>
      </c>
      <c r="AB3392" s="15" t="str">
        <f aca="true">IF(S3392="","",DATEDIF(S3392,TODAY(),"Y")&amp;" Tahun, "&amp;DATEDIF(S3392,TODAY(),"YM")&amp;" Bulan, "&amp;DATEDIF(S3392,TODAY(),"MD")&amp;" Hari")</f>
        <v>27 Tahun, 6 Bulan, 14 Hari</v>
      </c>
      <c r="AC3392" s="18" t="n">
        <v>46111</v>
      </c>
      <c r="AD3392" s="18" t="n">
        <f aca="false">EDATE(AC3392,3)-1</f>
        <v>46202</v>
      </c>
      <c r="AE3392" s="13" t="s">
        <v>397</v>
      </c>
    </row>
    <row r="3393" customFormat="false" ht="15" hidden="false" customHeight="true" outlineLevel="0" collapsed="false">
      <c r="A3393" s="12" t="n">
        <v>22008</v>
      </c>
      <c r="B3393" s="13" t="s">
        <v>13956</v>
      </c>
      <c r="C3393" s="16" t="n">
        <v>46111</v>
      </c>
      <c r="D3393" s="13" t="s">
        <v>885</v>
      </c>
      <c r="E3393" s="15" t="s">
        <v>47</v>
      </c>
      <c r="F3393" s="15" t="str">
        <f aca="false">IFERROR(__xludf.dummyfunction("XLOOKUP(AJ3393,IMPORTRANGE(""1XaInW9DU9nz21V0tYIfzFQ0He9kVQ_JF2mCXgZ3hqFA"",""REKAP ALL 2026 - Andika!G:G""),IMPORTRANGE(""1XaInW9DU9nz21V0tYIfzFQ0He9kVQ_JF2mCXgZ3hqFA"",""REKAP ALL 2026 - Andika!F:F""),"""",0)"),"26046410762")</f>
        <v>26046410762</v>
      </c>
      <c r="G3393" s="28" t="s">
        <v>57</v>
      </c>
      <c r="H3393" s="13" t="s">
        <v>35</v>
      </c>
      <c r="I3393" s="13" t="str">
        <f aca="false">IF(C3393=J3393,"NEW KONTRAK","RE-KONTRAK")</f>
        <v>NEW KONTRAK</v>
      </c>
      <c r="J3393" s="16" t="n">
        <f aca="false" t="array" ref="J3393:J3393">IFERROR(INDEX(AC3393:AE3393,IF(COUNTA(AC3393:AE3393)=0,"",MAX((AC3393:AE3393&lt;&gt;"")*(COLUMN(AC3393:AE3393)-(COLUMN(AC3393)))))-1),"")</f>
        <v>46111</v>
      </c>
      <c r="K3393" s="16" t="n">
        <f aca="false" t="array" ref="K3393:K3393">IFERROR(INDEX(AC3393:AE3393,IF(COUNTA(AC3393:AE3393)=0,"",MAX((AC3393:AE3393&lt;&gt;"")*(COLUMN(AC3393:AE3393)-(COLUMN(AC3393)-1))))-1),"")</f>
        <v>46202</v>
      </c>
      <c r="L3393" s="17" t="str">
        <f aca="false" t="array" ref="L3393:L3393">IFERROR(INDEX(AC3393:AE3393,IF(COUNTA(AC3393:AE3393)=0,"",MAX((AC3393:AE3393&lt;&gt;"")*(COLUMN(AC3393:AE3393)-(COLUMN(AC3393)-2))))-1),"")</f>
        <v>KEMBALI</v>
      </c>
      <c r="M3393" s="13" t="n">
        <f aca="true">K3393-TODAY()</f>
        <v>-122</v>
      </c>
      <c r="N3393" s="18" t="s">
        <v>728</v>
      </c>
      <c r="O3393" s="13" t="s">
        <v>1453</v>
      </c>
      <c r="P3393" s="19" t="n">
        <v>132300</v>
      </c>
      <c r="Q3393" s="47" t="s">
        <v>13957</v>
      </c>
      <c r="R3393" s="13" t="s">
        <v>168</v>
      </c>
      <c r="S3393" s="16" t="n">
        <v>39017</v>
      </c>
      <c r="T3393" s="28" t="s">
        <v>40</v>
      </c>
      <c r="U3393" s="13" t="s">
        <v>13958</v>
      </c>
      <c r="V3393" s="13" t="s">
        <v>42</v>
      </c>
      <c r="W3393" s="13" t="s">
        <v>43</v>
      </c>
      <c r="X3393" s="30" t="n">
        <v>89892499125</v>
      </c>
      <c r="Y3393" s="22" t="str">
        <f aca="false">O3393</f>
        <v>Helper Produksi</v>
      </c>
      <c r="Z3393" s="13" t="str">
        <f aca="false">IFERROR(__xludf.dummyfunction("if(BJ3393="""","""",GOOGLETRANSLATE(BJ3393,""auto"",""en""))"),"Production Helper")</f>
        <v>Production Helper</v>
      </c>
      <c r="AA3393" s="23" t="str">
        <f aca="false">IF(C3393="","", CHOOSE(MONTH(C3393),"January","February","March","April","May","June","July","August","September","October","November","December")&amp;" "&amp;DAY(C3393)&amp;MID("thstndrdth",MIN(9,2*RIGHT(DAY(C3393))*(MOD(DAY(C3393)-11,100)&gt;2)+1),2)&amp;","&amp;TEXT(C3393," yyyy"))</f>
        <v>March 30th,2026</v>
      </c>
      <c r="AB3393" s="15" t="str">
        <f aca="true">IF(S3393="","",DATEDIF(S3393,TODAY(),"Y")&amp;" Tahun, "&amp;DATEDIF(S3393,TODAY(),"YM")&amp;" Bulan, "&amp;DATEDIF(S3393,TODAY(),"MD")&amp;" Hari")</f>
        <v>20 Tahun, 0 Bulan, 2 Hari</v>
      </c>
      <c r="AC3393" s="18" t="n">
        <v>46111</v>
      </c>
      <c r="AD3393" s="18" t="n">
        <f aca="false">EDATE(AC3393,3)-1</f>
        <v>46202</v>
      </c>
      <c r="AE3393" s="13" t="s">
        <v>397</v>
      </c>
    </row>
    <row r="3394" customFormat="false" ht="15" hidden="false" customHeight="true" outlineLevel="0" collapsed="false">
      <c r="A3394" s="12" t="n">
        <v>22009</v>
      </c>
      <c r="B3394" s="13" t="s">
        <v>13959</v>
      </c>
      <c r="C3394" s="16" t="n">
        <v>46111</v>
      </c>
      <c r="D3394" s="13" t="s">
        <v>885</v>
      </c>
      <c r="E3394" s="15" t="s">
        <v>33</v>
      </c>
      <c r="F3394" s="24" t="s">
        <v>13960</v>
      </c>
      <c r="G3394" s="28" t="s">
        <v>57</v>
      </c>
      <c r="H3394" s="13" t="s">
        <v>35</v>
      </c>
      <c r="I3394" s="13" t="str">
        <f aca="false">IF(C3394=J3394,"NEW KONTRAK","RE-KONTRAK")</f>
        <v>NEW KONTRAK</v>
      </c>
      <c r="J3394" s="16" t="n">
        <f aca="false" t="array" ref="J3394:J3394">IFERROR(INDEX(AC3394:AE3394,IF(COUNTA(AC3394:AE3394)=0,"",MAX((AC3394:AE3394&lt;&gt;"")*(COLUMN(AC3394:AE3394)-(COLUMN(AC3394)))))-1),"")</f>
        <v>46111</v>
      </c>
      <c r="K3394" s="16" t="n">
        <f aca="false" t="array" ref="K3394:K3394">IFERROR(INDEX(AC3394:AE3394,IF(COUNTA(AC3394:AE3394)=0,"",MAX((AC3394:AE3394&lt;&gt;"")*(COLUMN(AC3394:AE3394)-(COLUMN(AC3394)-1))))-1),"")</f>
        <v>46202</v>
      </c>
      <c r="L3394" s="17" t="str">
        <f aca="false" t="array" ref="L3394:L3394">IFERROR(INDEX(AC3394:AE3394,IF(COUNTA(AC3394:AE3394)=0,"",MAX((AC3394:AE3394&lt;&gt;"")*(COLUMN(AC3394:AE3394)-(COLUMN(AC3394)-2))))-1),"")</f>
        <v>ARCHIVED</v>
      </c>
      <c r="M3394" s="13" t="n">
        <f aca="true">K3394-TODAY()</f>
        <v>-122</v>
      </c>
      <c r="N3394" s="18" t="s">
        <v>728</v>
      </c>
      <c r="O3394" s="13" t="s">
        <v>1453</v>
      </c>
      <c r="P3394" s="19" t="n">
        <v>132300</v>
      </c>
      <c r="Q3394" s="47" t="s">
        <v>13961</v>
      </c>
      <c r="R3394" s="13" t="s">
        <v>52</v>
      </c>
      <c r="S3394" s="16" t="n">
        <v>30040</v>
      </c>
      <c r="T3394" s="28" t="s">
        <v>40</v>
      </c>
      <c r="U3394" s="13" t="s">
        <v>13962</v>
      </c>
      <c r="V3394" s="13" t="s">
        <v>42</v>
      </c>
      <c r="W3394" s="13" t="s">
        <v>43</v>
      </c>
      <c r="X3394" s="30" t="n">
        <v>82134125286</v>
      </c>
      <c r="Y3394" s="22" t="str">
        <f aca="false">O3394</f>
        <v>Helper Produksi</v>
      </c>
      <c r="Z3394" s="13" t="str">
        <f aca="false">IFERROR(__xludf.dummyfunction("if(BJ3394="""","""",GOOGLETRANSLATE(BJ3394,""auto"",""en""))"),"Production Helper")</f>
        <v>Production Helper</v>
      </c>
      <c r="AA3394" s="23" t="str">
        <f aca="false">IF(C3394="","", CHOOSE(MONTH(C3394),"January","February","March","April","May","June","July","August","September","October","November","December")&amp;" "&amp;DAY(C3394)&amp;MID("thstndrdth",MIN(9,2*RIGHT(DAY(C3394))*(MOD(DAY(C3394)-11,100)&gt;2)+1),2)&amp;","&amp;TEXT(C3394," yyyy"))</f>
        <v>March 30th,2026</v>
      </c>
      <c r="AB3394" s="15" t="str">
        <f aca="true">IF(S3394="","",DATEDIF(S3394,TODAY(),"Y")&amp;" Tahun, "&amp;DATEDIF(S3394,TODAY(),"YM")&amp;" Bulan, "&amp;DATEDIF(S3394,TODAY(),"MD")&amp;" Hari")</f>
        <v>44 Tahun, 6 Bulan, 29 Hari</v>
      </c>
      <c r="AC3394" s="18" t="n">
        <v>46111</v>
      </c>
      <c r="AD3394" s="18" t="n">
        <f aca="false">EDATE(AC3394,3)-1</f>
        <v>46202</v>
      </c>
      <c r="AE3394" s="13" t="s">
        <v>44</v>
      </c>
    </row>
    <row r="3395" customFormat="false" ht="15" hidden="false" customHeight="true" outlineLevel="0" collapsed="false">
      <c r="A3395" s="12" t="n">
        <v>22010</v>
      </c>
      <c r="B3395" s="13" t="s">
        <v>13963</v>
      </c>
      <c r="C3395" s="16" t="n">
        <v>46111</v>
      </c>
      <c r="D3395" s="13" t="s">
        <v>885</v>
      </c>
      <c r="E3395" s="15" t="s">
        <v>102</v>
      </c>
      <c r="F3395" s="15" t="str">
        <f aca="false">IFERROR(__xludf.dummyfunction("XLOOKUP(AJ3395,IMPORTRANGE(""1XaInW9DU9nz21V0tYIfzFQ0He9kVQ_JF2mCXgZ3hqFA"",""REKAP ALL 2026 - Andika!G:G""),IMPORTRANGE(""1XaInW9DU9nz21V0tYIfzFQ0He9kVQ_JF2mCXgZ3hqFA"",""REKAP ALL 2026 - Andika!F:F""),"""",0)"),"26046410713")</f>
        <v>26046410713</v>
      </c>
      <c r="G3395" s="28" t="s">
        <v>57</v>
      </c>
      <c r="H3395" s="13" t="s">
        <v>35</v>
      </c>
      <c r="I3395" s="13" t="str">
        <f aca="false">IF(C3395=J3395,"NEW KONTRAK","RE-KONTRAK")</f>
        <v>NEW KONTRAK</v>
      </c>
      <c r="J3395" s="16" t="n">
        <f aca="false" t="array" ref="J3395:J3395">IFERROR(INDEX(AC3395:AE3395,IF(COUNTA(AC3395:AE3395)=0,"",MAX((AC3395:AE3395&lt;&gt;"")*(COLUMN(AC3395:AE3395)-(COLUMN(AC3395)))))-1),"")</f>
        <v>46111</v>
      </c>
      <c r="K3395" s="16" t="n">
        <f aca="false" t="array" ref="K3395:K3395">IFERROR(INDEX(AC3395:AE3395,IF(COUNTA(AC3395:AE3395)=0,"",MAX((AC3395:AE3395&lt;&gt;"")*(COLUMN(AC3395:AE3395)-(COLUMN(AC3395)-1))))-1),"")</f>
        <v>46202</v>
      </c>
      <c r="L3395" s="17" t="str">
        <f aca="false" t="array" ref="L3395:L3395">IFERROR(INDEX(AC3395:AE3395,IF(COUNTA(AC3395:AE3395)=0,"",MAX((AC3395:AE3395&lt;&gt;"")*(COLUMN(AC3395:AE3395)-(COLUMN(AC3395)-2))))-1),"")</f>
        <v>ARCHIVED</v>
      </c>
      <c r="M3395" s="13" t="n">
        <f aca="true">K3395-TODAY()</f>
        <v>-122</v>
      </c>
      <c r="N3395" s="18" t="s">
        <v>728</v>
      </c>
      <c r="O3395" s="13" t="s">
        <v>1453</v>
      </c>
      <c r="P3395" s="19" t="n">
        <v>132300</v>
      </c>
      <c r="Q3395" s="47" t="s">
        <v>13964</v>
      </c>
      <c r="R3395" s="13" t="s">
        <v>39</v>
      </c>
      <c r="S3395" s="16" t="n">
        <v>31256</v>
      </c>
      <c r="T3395" s="28" t="s">
        <v>40</v>
      </c>
      <c r="U3395" s="13" t="s">
        <v>7775</v>
      </c>
      <c r="V3395" s="13" t="s">
        <v>42</v>
      </c>
      <c r="W3395" s="13" t="s">
        <v>54</v>
      </c>
      <c r="X3395" s="30" t="n">
        <v>89692966278</v>
      </c>
      <c r="Y3395" s="22" t="str">
        <f aca="false">O3395</f>
        <v>Helper Produksi</v>
      </c>
      <c r="Z3395" s="13" t="str">
        <f aca="false">IFERROR(__xludf.dummyfunction("if(BJ3395="""","""",GOOGLETRANSLATE(BJ3395,""auto"",""en""))"),"Production Helper")</f>
        <v>Production Helper</v>
      </c>
      <c r="AA3395" s="23" t="str">
        <f aca="false">IF(C3395="","", CHOOSE(MONTH(C3395),"January","February","March","April","May","June","July","August","September","October","November","December")&amp;" "&amp;DAY(C3395)&amp;MID("thstndrdth",MIN(9,2*RIGHT(DAY(C3395))*(MOD(DAY(C3395)-11,100)&gt;2)+1),2)&amp;","&amp;TEXT(C3395," yyyy"))</f>
        <v>March 30th,2026</v>
      </c>
      <c r="AB3395" s="15" t="str">
        <f aca="true">IF(S3395="","",DATEDIF(S3395,TODAY(),"Y")&amp;" Tahun, "&amp;DATEDIF(S3395,TODAY(),"YM")&amp;" Bulan, "&amp;DATEDIF(S3395,TODAY(),"MD")&amp;" Hari")</f>
        <v>41 Tahun, 3 Bulan, 1 Hari</v>
      </c>
      <c r="AC3395" s="18" t="n">
        <v>46111</v>
      </c>
      <c r="AD3395" s="18" t="n">
        <f aca="false">EDATE(AC3395,3)-1</f>
        <v>46202</v>
      </c>
      <c r="AE3395" s="13" t="s">
        <v>44</v>
      </c>
    </row>
    <row r="3396" customFormat="false" ht="15" hidden="false" customHeight="true" outlineLevel="0" collapsed="false">
      <c r="A3396" s="12" t="n">
        <v>22011</v>
      </c>
      <c r="B3396" s="13" t="s">
        <v>13965</v>
      </c>
      <c r="C3396" s="16" t="n">
        <v>46111</v>
      </c>
      <c r="D3396" s="13" t="s">
        <v>885</v>
      </c>
      <c r="E3396" s="15" t="s">
        <v>102</v>
      </c>
      <c r="F3396" s="15" t="str">
        <f aca="false">IFERROR(__xludf.dummyfunction("XLOOKUP(AJ3396,IMPORTRANGE(""1XaInW9DU9nz21V0tYIfzFQ0He9kVQ_JF2mCXgZ3hqFA"",""REKAP ALL 2026 - Andika!G:G""),IMPORTRANGE(""1XaInW9DU9nz21V0tYIfzFQ0He9kVQ_JF2mCXgZ3hqFA"",""REKAP ALL 2026 - Andika!F:F""),"""",0)"),"26046410812")</f>
        <v>26046410812</v>
      </c>
      <c r="G3396" s="28" t="s">
        <v>57</v>
      </c>
      <c r="H3396" s="13" t="s">
        <v>35</v>
      </c>
      <c r="I3396" s="13" t="str">
        <f aca="false">IF(C3396=J3396,"NEW KONTRAK","RE-KONTRAK")</f>
        <v>NEW KONTRAK</v>
      </c>
      <c r="J3396" s="16" t="n">
        <f aca="false" t="array" ref="J3396:J3396">IFERROR(INDEX(AC3396:AE3396,IF(COUNTA(AC3396:AE3396)=0,"",MAX((AC3396:AE3396&lt;&gt;"")*(COLUMN(AC3396:AE3396)-(COLUMN(AC3396)))))-1),"")</f>
        <v>46111</v>
      </c>
      <c r="K3396" s="16" t="n">
        <f aca="false" t="array" ref="K3396:K3396">IFERROR(INDEX(AC3396:AE3396,IF(COUNTA(AC3396:AE3396)=0,"",MAX((AC3396:AE3396&lt;&gt;"")*(COLUMN(AC3396:AE3396)-(COLUMN(AC3396)-1))))-1),"")</f>
        <v>46202</v>
      </c>
      <c r="L3396" s="17" t="str">
        <f aca="false" t="array" ref="L3396:L3396">IFERROR(INDEX(AC3396:AE3396,IF(COUNTA(AC3396:AE3396)=0,"",MAX((AC3396:AE3396&lt;&gt;"")*(COLUMN(AC3396:AE3396)-(COLUMN(AC3396)-2))))-1),"")</f>
        <v>ARCHIVED</v>
      </c>
      <c r="M3396" s="13" t="n">
        <f aca="true">K3396-TODAY()</f>
        <v>-122</v>
      </c>
      <c r="N3396" s="18" t="s">
        <v>728</v>
      </c>
      <c r="O3396" s="13" t="s">
        <v>1453</v>
      </c>
      <c r="P3396" s="19" t="n">
        <v>132300</v>
      </c>
      <c r="Q3396" s="47" t="s">
        <v>13966</v>
      </c>
      <c r="R3396" s="13" t="s">
        <v>39</v>
      </c>
      <c r="S3396" s="16" t="n">
        <v>37238</v>
      </c>
      <c r="T3396" s="28" t="s">
        <v>40</v>
      </c>
      <c r="U3396" s="13" t="s">
        <v>13967</v>
      </c>
      <c r="V3396" s="13" t="s">
        <v>42</v>
      </c>
      <c r="W3396" s="13" t="s">
        <v>54</v>
      </c>
      <c r="X3396" s="30" t="n">
        <v>82382742257</v>
      </c>
      <c r="Y3396" s="22" t="str">
        <f aca="false">O3396</f>
        <v>Helper Produksi</v>
      </c>
      <c r="Z3396" s="13" t="str">
        <f aca="false">IFERROR(__xludf.dummyfunction("if(BJ3396="""","""",GOOGLETRANSLATE(BJ3396,""auto"",""en""))"),"Production Helper")</f>
        <v>Production Helper</v>
      </c>
      <c r="AA3396" s="23" t="str">
        <f aca="false">IF(C3396="","", CHOOSE(MONTH(C3396),"January","February","March","April","May","June","July","August","September","October","November","December")&amp;" "&amp;DAY(C3396)&amp;MID("thstndrdth",MIN(9,2*RIGHT(DAY(C3396))*(MOD(DAY(C3396)-11,100)&gt;2)+1),2)&amp;","&amp;TEXT(C3396," yyyy"))</f>
        <v>March 30th,2026</v>
      </c>
      <c r="AB3396" s="15" t="str">
        <f aca="true">IF(S3396="","",DATEDIF(S3396,TODAY(),"Y")&amp;" Tahun, "&amp;DATEDIF(S3396,TODAY(),"YM")&amp;" Bulan, "&amp;DATEDIF(S3396,TODAY(),"MD")&amp;" Hari")</f>
        <v>24 Tahun, 10 Bulan, 16 Hari</v>
      </c>
      <c r="AC3396" s="18" t="n">
        <v>46111</v>
      </c>
      <c r="AD3396" s="18" t="n">
        <f aca="false">EDATE(AC3396,3)-1</f>
        <v>46202</v>
      </c>
      <c r="AE3396" s="13" t="s">
        <v>44</v>
      </c>
    </row>
    <row r="3397" customFormat="false" ht="15" hidden="false" customHeight="true" outlineLevel="0" collapsed="false">
      <c r="A3397" s="12" t="n">
        <v>22012</v>
      </c>
      <c r="B3397" s="13" t="s">
        <v>13968</v>
      </c>
      <c r="C3397" s="16" t="n">
        <v>46111</v>
      </c>
      <c r="D3397" s="13" t="s">
        <v>885</v>
      </c>
      <c r="E3397" s="15" t="s">
        <v>47</v>
      </c>
      <c r="F3397" s="15" t="str">
        <f aca="false">IFERROR(__xludf.dummyfunction("XLOOKUP(AJ3397,IMPORTRANGE(""1XaInW9DU9nz21V0tYIfzFQ0He9kVQ_JF2mCXgZ3hqFA"",""REKAP ALL 2026 - Andika!G:G""),IMPORTRANGE(""1XaInW9DU9nz21V0tYIfzFQ0He9kVQ_JF2mCXgZ3hqFA"",""REKAP ALL 2026 - Andika!F:F""),"""",0)"),"26046410804")</f>
        <v>26046410804</v>
      </c>
      <c r="G3397" s="28" t="s">
        <v>57</v>
      </c>
      <c r="H3397" s="13" t="s">
        <v>35</v>
      </c>
      <c r="I3397" s="13" t="str">
        <f aca="false">IF(C3397=J3397,"NEW KONTRAK","RE-KONTRAK")</f>
        <v>NEW KONTRAK</v>
      </c>
      <c r="J3397" s="16" t="n">
        <f aca="false" t="array" ref="J3397:J3397">IFERROR(INDEX(AC3397:AE3397,IF(COUNTA(AC3397:AE3397)=0,"",MAX((AC3397:AE3397&lt;&gt;"")*(COLUMN(AC3397:AE3397)-(COLUMN(AC3397)))))-1),"")</f>
        <v>46111</v>
      </c>
      <c r="K3397" s="16" t="n">
        <f aca="false" t="array" ref="K3397:K3397">IFERROR(INDEX(AC3397:AE3397,IF(COUNTA(AC3397:AE3397)=0,"",MAX((AC3397:AE3397&lt;&gt;"")*(COLUMN(AC3397:AE3397)-(COLUMN(AC3397)-1))))-1),"")</f>
        <v>46202</v>
      </c>
      <c r="L3397" s="17" t="str">
        <f aca="false" t="array" ref="L3397:L3397">IFERROR(INDEX(AC3397:AE3397,IF(COUNTA(AC3397:AE3397)=0,"",MAX((AC3397:AE3397&lt;&gt;"")*(COLUMN(AC3397:AE3397)-(COLUMN(AC3397)-2))))-1),"")</f>
        <v>KEMBALI</v>
      </c>
      <c r="M3397" s="13" t="n">
        <f aca="true">K3397-TODAY()</f>
        <v>-122</v>
      </c>
      <c r="N3397" s="18" t="s">
        <v>728</v>
      </c>
      <c r="O3397" s="13" t="s">
        <v>1453</v>
      </c>
      <c r="P3397" s="19" t="n">
        <v>132300</v>
      </c>
      <c r="Q3397" s="47" t="s">
        <v>13969</v>
      </c>
      <c r="R3397" s="13" t="s">
        <v>52</v>
      </c>
      <c r="S3397" s="16" t="n">
        <v>31040</v>
      </c>
      <c r="T3397" s="28" t="s">
        <v>40</v>
      </c>
      <c r="U3397" s="13" t="s">
        <v>13970</v>
      </c>
      <c r="V3397" s="13" t="s">
        <v>42</v>
      </c>
      <c r="W3397" s="13" t="s">
        <v>43</v>
      </c>
      <c r="X3397" s="30" t="n">
        <v>81250723688</v>
      </c>
      <c r="Y3397" s="22" t="str">
        <f aca="false">O3397</f>
        <v>Helper Produksi</v>
      </c>
      <c r="Z3397" s="13" t="str">
        <f aca="false">IFERROR(__xludf.dummyfunction("if(BJ3397="""","""",GOOGLETRANSLATE(BJ3397,""auto"",""en""))"),"Production Helper")</f>
        <v>Production Helper</v>
      </c>
      <c r="AA3397" s="23" t="str">
        <f aca="false">IF(C3397="","", CHOOSE(MONTH(C3397),"January","February","March","April","May","June","July","August","September","October","November","December")&amp;" "&amp;DAY(C3397)&amp;MID("thstndrdth",MIN(9,2*RIGHT(DAY(C3397))*(MOD(DAY(C3397)-11,100)&gt;2)+1),2)&amp;","&amp;TEXT(C3397," yyyy"))</f>
        <v>March 30th,2026</v>
      </c>
      <c r="AB3397" s="15" t="str">
        <f aca="true">IF(S3397="","",DATEDIF(S3397,TODAY(),"Y")&amp;" Tahun, "&amp;DATEDIF(S3397,TODAY(),"YM")&amp;" Bulan, "&amp;DATEDIF(S3397,TODAY(),"MD")&amp;" Hari")</f>
        <v>41 Tahun, 10 Bulan, 5 Hari</v>
      </c>
      <c r="AC3397" s="18" t="n">
        <v>46111</v>
      </c>
      <c r="AD3397" s="18" t="n">
        <f aca="false">EDATE(AC3397,3)-1</f>
        <v>46202</v>
      </c>
      <c r="AE3397" s="13" t="s">
        <v>397</v>
      </c>
    </row>
    <row r="3398" customFormat="false" ht="15" hidden="false" customHeight="true" outlineLevel="0" collapsed="false">
      <c r="A3398" s="12" t="n">
        <v>22013</v>
      </c>
      <c r="B3398" s="13" t="s">
        <v>13971</v>
      </c>
      <c r="C3398" s="16" t="n">
        <v>46111</v>
      </c>
      <c r="D3398" s="13" t="s">
        <v>885</v>
      </c>
      <c r="E3398" s="15" t="s">
        <v>47</v>
      </c>
      <c r="F3398" s="15" t="str">
        <f aca="false">IFERROR(__xludf.dummyfunction("XLOOKUP(AJ3398,IMPORTRANGE(""1XaInW9DU9nz21V0tYIfzFQ0He9kVQ_JF2mCXgZ3hqFA"",""REKAP ALL 2026 - Andika!G:G""),IMPORTRANGE(""1XaInW9DU9nz21V0tYIfzFQ0He9kVQ_JF2mCXgZ3hqFA"",""REKAP ALL 2026 - Andika!F:F""),"""",0)"),"26046410788")</f>
        <v>26046410788</v>
      </c>
      <c r="G3398" s="28" t="s">
        <v>57</v>
      </c>
      <c r="H3398" s="13" t="s">
        <v>35</v>
      </c>
      <c r="I3398" s="13" t="str">
        <f aca="false">IF(C3398=J3398,"NEW KONTRAK","RE-KONTRAK")</f>
        <v>NEW KONTRAK</v>
      </c>
      <c r="J3398" s="16" t="n">
        <f aca="false" t="array" ref="J3398:J3398">IFERROR(INDEX(AC3398:AE3398,IF(COUNTA(AC3398:AE3398)=0,"",MAX((AC3398:AE3398&lt;&gt;"")*(COLUMN(AC3398:AE3398)-(COLUMN(AC3398)))))-1),"")</f>
        <v>46111</v>
      </c>
      <c r="K3398" s="16" t="n">
        <f aca="false" t="array" ref="K3398:K3398">IFERROR(INDEX(AC3398:AE3398,IF(COUNTA(AC3398:AE3398)=0,"",MAX((AC3398:AE3398&lt;&gt;"")*(COLUMN(AC3398:AE3398)-(COLUMN(AC3398)-1))))-1),"")</f>
        <v>46202</v>
      </c>
      <c r="L3398" s="17" t="str">
        <f aca="false" t="array" ref="L3398:L3398">IFERROR(INDEX(AC3398:AE3398,IF(COUNTA(AC3398:AE3398)=0,"",MAX((AC3398:AE3398&lt;&gt;"")*(COLUMN(AC3398:AE3398)-(COLUMN(AC3398)-2))))-1),"")</f>
        <v>KEMBALI</v>
      </c>
      <c r="M3398" s="13" t="n">
        <f aca="true">K3398-TODAY()</f>
        <v>-122</v>
      </c>
      <c r="N3398" s="18" t="s">
        <v>728</v>
      </c>
      <c r="O3398" s="13" t="s">
        <v>1453</v>
      </c>
      <c r="P3398" s="19" t="n">
        <v>132300</v>
      </c>
      <c r="Q3398" s="47" t="s">
        <v>13972</v>
      </c>
      <c r="R3398" s="13" t="s">
        <v>52</v>
      </c>
      <c r="S3398" s="16" t="n">
        <v>31005</v>
      </c>
      <c r="T3398" s="28" t="s">
        <v>40</v>
      </c>
      <c r="U3398" s="13" t="s">
        <v>13973</v>
      </c>
      <c r="V3398" s="13" t="s">
        <v>42</v>
      </c>
      <c r="W3398" s="13" t="s">
        <v>54</v>
      </c>
      <c r="X3398" s="30" t="n">
        <v>83167677219</v>
      </c>
      <c r="Y3398" s="22" t="str">
        <f aca="false">O3398</f>
        <v>Helper Produksi</v>
      </c>
      <c r="Z3398" s="13" t="str">
        <f aca="false">IFERROR(__xludf.dummyfunction("if(BJ3398="""","""",GOOGLETRANSLATE(BJ3398,""auto"",""en""))"),"Production Helper")</f>
        <v>Production Helper</v>
      </c>
      <c r="AA3398" s="23" t="str">
        <f aca="false">IF(C3398="","", CHOOSE(MONTH(C3398),"January","February","March","April","May","June","July","August","September","October","November","December")&amp;" "&amp;DAY(C3398)&amp;MID("thstndrdth",MIN(9,2*RIGHT(DAY(C3398))*(MOD(DAY(C3398)-11,100)&gt;2)+1),2)&amp;","&amp;TEXT(C3398," yyyy"))</f>
        <v>March 30th,2026</v>
      </c>
      <c r="AB3398" s="15" t="str">
        <f aca="true">IF(S3398="","",DATEDIF(S3398,TODAY(),"Y")&amp;" Tahun, "&amp;DATEDIF(S3398,TODAY(),"YM")&amp;" Bulan, "&amp;DATEDIF(S3398,TODAY(),"MD")&amp;" Hari")</f>
        <v>41 Tahun, 11 Bulan, 10 Hari</v>
      </c>
      <c r="AC3398" s="18" t="n">
        <v>46111</v>
      </c>
      <c r="AD3398" s="18" t="n">
        <f aca="false">EDATE(AC3398,3)-1</f>
        <v>46202</v>
      </c>
      <c r="AE3398" s="13" t="s">
        <v>397</v>
      </c>
    </row>
    <row r="3399" customFormat="false" ht="15" hidden="false" customHeight="true" outlineLevel="0" collapsed="false">
      <c r="A3399" s="12" t="n">
        <v>22014</v>
      </c>
      <c r="B3399" s="13" t="s">
        <v>13974</v>
      </c>
      <c r="C3399" s="16" t="n">
        <v>46111</v>
      </c>
      <c r="D3399" s="13" t="s">
        <v>885</v>
      </c>
      <c r="E3399" s="15" t="s">
        <v>47</v>
      </c>
      <c r="F3399" s="15" t="str">
        <f aca="false">IFERROR(__xludf.dummyfunction("XLOOKUP(AJ3399,IMPORTRANGE(""1XaInW9DU9nz21V0tYIfzFQ0He9kVQ_JF2mCXgZ3hqFA"",""REKAP ALL 2026 - Andika!G:G""),IMPORTRANGE(""1XaInW9DU9nz21V0tYIfzFQ0He9kVQ_JF2mCXgZ3hqFA"",""REKAP ALL 2026 - Andika!F:F""),"""",0)"),"26046410705")</f>
        <v>26046410705</v>
      </c>
      <c r="G3399" s="28" t="s">
        <v>57</v>
      </c>
      <c r="H3399" s="13" t="s">
        <v>35</v>
      </c>
      <c r="I3399" s="13" t="str">
        <f aca="false">IF(C3399=J3399,"NEW KONTRAK","RE-KONTRAK")</f>
        <v>NEW KONTRAK</v>
      </c>
      <c r="J3399" s="16" t="n">
        <f aca="false" t="array" ref="J3399:J3399">IFERROR(INDEX(AC3399:AE3399,IF(COUNTA(AC3399:AE3399)=0,"",MAX((AC3399:AE3399&lt;&gt;"")*(COLUMN(AC3399:AE3399)-(COLUMN(AC3399)))))-1),"")</f>
        <v>46111</v>
      </c>
      <c r="K3399" s="16" t="n">
        <f aca="false" t="array" ref="K3399:K3399">IFERROR(INDEX(AC3399:AE3399,IF(COUNTA(AC3399:AE3399)=0,"",MAX((AC3399:AE3399&lt;&gt;"")*(COLUMN(AC3399:AE3399)-(COLUMN(AC3399)-1))))-1),"")</f>
        <v>46202</v>
      </c>
      <c r="L3399" s="17" t="str">
        <f aca="false" t="array" ref="L3399:L3399">IFERROR(INDEX(AC3399:AE3399,IF(COUNTA(AC3399:AE3399)=0,"",MAX((AC3399:AE3399&lt;&gt;"")*(COLUMN(AC3399:AE3399)-(COLUMN(AC3399)-2))))-1),"")</f>
        <v>KEMBALI</v>
      </c>
      <c r="M3399" s="13" t="n">
        <f aca="true">K3399-TODAY()</f>
        <v>-122</v>
      </c>
      <c r="N3399" s="18" t="s">
        <v>728</v>
      </c>
      <c r="O3399" s="13" t="s">
        <v>1453</v>
      </c>
      <c r="P3399" s="19" t="n">
        <v>132300</v>
      </c>
      <c r="Q3399" s="47" t="s">
        <v>13975</v>
      </c>
      <c r="R3399" s="13" t="s">
        <v>39</v>
      </c>
      <c r="S3399" s="16" t="n">
        <v>37203</v>
      </c>
      <c r="T3399" s="13" t="s">
        <v>40</v>
      </c>
      <c r="U3399" s="13" t="s">
        <v>13976</v>
      </c>
      <c r="V3399" s="13" t="s">
        <v>42</v>
      </c>
      <c r="W3399" s="13" t="s">
        <v>43</v>
      </c>
      <c r="X3399" s="30" t="n">
        <v>81134043842</v>
      </c>
      <c r="Y3399" s="22" t="str">
        <f aca="false">O3399</f>
        <v>Helper Produksi</v>
      </c>
      <c r="Z3399" s="13" t="str">
        <f aca="false">IFERROR(__xludf.dummyfunction("if(BJ3399="""","""",GOOGLETRANSLATE(BJ3399,""auto"",""en""))"),"Production Helper")</f>
        <v>Production Helper</v>
      </c>
      <c r="AA3399" s="23" t="str">
        <f aca="false">IF(C3399="","", CHOOSE(MONTH(C3399),"January","February","March","April","May","June","July","August","September","October","November","December")&amp;" "&amp;DAY(C3399)&amp;MID("thstndrdth",MIN(9,2*RIGHT(DAY(C3399))*(MOD(DAY(C3399)-11,100)&gt;2)+1),2)&amp;","&amp;TEXT(C3399," yyyy"))</f>
        <v>March 30th,2026</v>
      </c>
      <c r="AB3399" s="15" t="str">
        <f aca="true">IF(S3399="","",DATEDIF(S3399,TODAY(),"Y")&amp;" Tahun, "&amp;DATEDIF(S3399,TODAY(),"YM")&amp;" Bulan, "&amp;DATEDIF(S3399,TODAY(),"MD")&amp;" Hari")</f>
        <v>24 Tahun, 11 Bulan, 21 Hari</v>
      </c>
      <c r="AC3399" s="18" t="n">
        <v>46111</v>
      </c>
      <c r="AD3399" s="18" t="n">
        <f aca="false">EDATE(AC3399,3)-1</f>
        <v>46202</v>
      </c>
      <c r="AE3399" s="13" t="s">
        <v>397</v>
      </c>
    </row>
    <row r="3400" customFormat="false" ht="15" hidden="false" customHeight="true" outlineLevel="0" collapsed="false">
      <c r="A3400" s="12" t="n">
        <v>22015</v>
      </c>
      <c r="B3400" s="13" t="s">
        <v>13977</v>
      </c>
      <c r="C3400" s="16" t="n">
        <v>46108</v>
      </c>
      <c r="D3400" s="13" t="s">
        <v>1338</v>
      </c>
      <c r="E3400" s="15" t="s">
        <v>47</v>
      </c>
      <c r="F3400" s="15" t="str">
        <f aca="false">IFERROR(__xludf.dummyfunction("XLOOKUP(AJ3400,IMPORTRANGE(""1XaInW9DU9nz21V0tYIfzFQ0He9kVQ_JF2mCXgZ3hqFA"",""REKAP ALL 2026 - Andika!G:G""),IMPORTRANGE(""1XaInW9DU9nz21V0tYIfzFQ0He9kVQ_JF2mCXgZ3hqFA"",""REKAP ALL 2026 - Andika!F:F""),"""",0)"),"26046412248")</f>
        <v>26046412248</v>
      </c>
      <c r="G3400" s="13" t="s">
        <v>57</v>
      </c>
      <c r="H3400" s="13" t="s">
        <v>3024</v>
      </c>
      <c r="I3400" s="13" t="str">
        <f aca="false">IF(C3400=J3400,"NEW KONTRAK","RE-KONTRAK")</f>
        <v>NEW KONTRAK</v>
      </c>
      <c r="J3400" s="16" t="n">
        <f aca="false" t="array" ref="J3400:J3400">IFERROR(INDEX(AC3400:AE3400,IF(COUNTA(AC3400:AE3400)=0,"",MAX((AC3400:AE3400&lt;&gt;"")*(COLUMN(AC3400:AE3400)-(COLUMN(AC3400)))))-1),"")</f>
        <v>46108</v>
      </c>
      <c r="K3400" s="16" t="n">
        <f aca="false" t="array" ref="K3400:K3400">IFERROR(INDEX(AC3400:AE3400,IF(COUNTA(AC3400:AE3400)=0,"",MAX((AC3400:AE3400&lt;&gt;"")*(COLUMN(AC3400:AE3400)-(COLUMN(AC3400)-1))))-1),"")</f>
        <v>46199</v>
      </c>
      <c r="L3400" s="17" t="str">
        <f aca="false" t="array" ref="L3400:L3400">IFERROR(INDEX(AC3400:AE3400,IF(COUNTA(AC3400:AE3400)=0,"",MAX((AC3400:AE3400&lt;&gt;"")*(COLUMN(AC3400:AE3400)-(COLUMN(AC3400)-2))))-1),"")</f>
        <v>KEMBALI</v>
      </c>
      <c r="M3400" s="13" t="n">
        <f aca="true">K3400-TODAY()</f>
        <v>-125</v>
      </c>
      <c r="N3400" s="18" t="s">
        <v>615</v>
      </c>
      <c r="O3400" s="13" t="s">
        <v>2335</v>
      </c>
      <c r="P3400" s="19" t="n">
        <v>160000</v>
      </c>
      <c r="Q3400" s="47" t="s">
        <v>13978</v>
      </c>
      <c r="R3400" s="13" t="s">
        <v>232</v>
      </c>
      <c r="S3400" s="16" t="n">
        <v>36869</v>
      </c>
      <c r="T3400" s="13" t="s">
        <v>40</v>
      </c>
      <c r="U3400" s="13" t="s">
        <v>13979</v>
      </c>
      <c r="V3400" s="13" t="s">
        <v>42</v>
      </c>
      <c r="W3400" s="13" t="s">
        <v>43</v>
      </c>
      <c r="X3400" s="21" t="n">
        <v>87788156010</v>
      </c>
      <c r="Y3400" s="22" t="str">
        <f aca="false">O3400</f>
        <v>Project Management</v>
      </c>
      <c r="Z3400" s="13" t="str">
        <f aca="false">IFERROR(__xludf.dummyfunction("if(BJ3400="""","""",GOOGLETRANSLATE(BJ3400,""auto"",""en""))"),"Project Management")</f>
        <v>Project Management</v>
      </c>
      <c r="AA3400" s="23" t="str">
        <f aca="false">IF(C3400="","", CHOOSE(MONTH(C3400),"January","February","March","April","May","June","July","August","September","October","November","December")&amp;" "&amp;DAY(C3400)&amp;MID("thstndrdth",MIN(9,2*RIGHT(DAY(C3400))*(MOD(DAY(C3400)-11,100)&gt;2)+1),2)&amp;","&amp;TEXT(C3400," yyyy"))</f>
        <v>March 27th,2026</v>
      </c>
      <c r="AB3400" s="15" t="str">
        <f aca="true">IF(S3400="","",DATEDIF(S3400,TODAY(),"Y")&amp;" Tahun, "&amp;DATEDIF(S3400,TODAY(),"YM")&amp;" Bulan, "&amp;DATEDIF(S3400,TODAY(),"MD")&amp;" Hari")</f>
        <v>25 Tahun, 10 Bulan, 20 Hari</v>
      </c>
      <c r="AC3400" s="18" t="n">
        <v>46108</v>
      </c>
      <c r="AD3400" s="18" t="n">
        <v>46199</v>
      </c>
      <c r="AE3400" s="13" t="s">
        <v>397</v>
      </c>
    </row>
    <row r="3401" customFormat="false" ht="15" hidden="false" customHeight="true" outlineLevel="0" collapsed="false">
      <c r="A3401" s="12" t="n">
        <v>22016</v>
      </c>
      <c r="B3401" s="13" t="s">
        <v>13980</v>
      </c>
      <c r="C3401" s="16" t="n">
        <v>46108</v>
      </c>
      <c r="D3401" s="13" t="s">
        <v>1338</v>
      </c>
      <c r="E3401" s="15" t="s">
        <v>102</v>
      </c>
      <c r="F3401" s="24" t="s">
        <v>13981</v>
      </c>
      <c r="G3401" s="13" t="s">
        <v>57</v>
      </c>
      <c r="H3401" s="13" t="s">
        <v>3024</v>
      </c>
      <c r="I3401" s="13" t="str">
        <f aca="false">IF(C3401=J3401,"NEW KONTRAK","RE-KONTRAK")</f>
        <v>NEW KONTRAK</v>
      </c>
      <c r="J3401" s="16" t="n">
        <f aca="false" t="array" ref="J3401:J3401">IFERROR(INDEX(AC3401:AE3401,IF(COUNTA(AC3401:AE3401)=0,"",MAX((AC3401:AE3401&lt;&gt;"")*(COLUMN(AC3401:AE3401)-(COLUMN(AC3401)))))-1),"")</f>
        <v>46108</v>
      </c>
      <c r="K3401" s="16" t="n">
        <f aca="false" t="array" ref="K3401:K3401">IFERROR(INDEX(AC3401:AE3401,IF(COUNTA(AC3401:AE3401)=0,"",MAX((AC3401:AE3401&lt;&gt;"")*(COLUMN(AC3401:AE3401)-(COLUMN(AC3401)-1))))-1),"")</f>
        <v>46199</v>
      </c>
      <c r="L3401" s="17" t="str">
        <f aca="false" t="array" ref="L3401:L3401">IFERROR(INDEX(AC3401:AE3401,IF(COUNTA(AC3401:AE3401)=0,"",MAX((AC3401:AE3401&lt;&gt;"")*(COLUMN(AC3401:AE3401)-(COLUMN(AC3401)-2))))-1),"")</f>
        <v>ARCHIVED</v>
      </c>
      <c r="M3401" s="13" t="n">
        <f aca="true">K3401-TODAY()</f>
        <v>-125</v>
      </c>
      <c r="N3401" s="18" t="s">
        <v>615</v>
      </c>
      <c r="O3401" s="13" t="s">
        <v>2335</v>
      </c>
      <c r="P3401" s="19" t="n">
        <v>160000</v>
      </c>
      <c r="Q3401" s="47" t="s">
        <v>13982</v>
      </c>
      <c r="R3401" s="13" t="s">
        <v>324</v>
      </c>
      <c r="S3401" s="16" t="n">
        <v>32910</v>
      </c>
      <c r="T3401" s="13" t="s">
        <v>40</v>
      </c>
      <c r="U3401" s="13" t="s">
        <v>13983</v>
      </c>
      <c r="V3401" s="13" t="s">
        <v>42</v>
      </c>
      <c r="W3401" s="13" t="s">
        <v>54</v>
      </c>
      <c r="X3401" s="21" t="n">
        <v>81529522346</v>
      </c>
      <c r="Y3401" s="22" t="str">
        <f aca="false">O3401</f>
        <v>Project Management</v>
      </c>
      <c r="Z3401" s="13" t="str">
        <f aca="false">IFERROR(__xludf.dummyfunction("if(BJ3401="""","""",GOOGLETRANSLATE(BJ3401,""auto"",""en""))"),"Project Management")</f>
        <v>Project Management</v>
      </c>
      <c r="AA3401" s="23" t="str">
        <f aca="false">IF(C3401="","", CHOOSE(MONTH(C3401),"January","February","March","April","May","June","July","August","September","October","November","December")&amp;" "&amp;DAY(C3401)&amp;MID("thstndrdth",MIN(9,2*RIGHT(DAY(C3401))*(MOD(DAY(C3401)-11,100)&gt;2)+1),2)&amp;","&amp;TEXT(C3401," yyyy"))</f>
        <v>March 27th,2026</v>
      </c>
      <c r="AB3401" s="15" t="str">
        <f aca="true">IF(S3401="","",DATEDIF(S3401,TODAY(),"Y")&amp;" Tahun, "&amp;DATEDIF(S3401,TODAY(),"YM")&amp;" Bulan, "&amp;DATEDIF(S3401,TODAY(),"MD")&amp;" Hari")</f>
        <v>36 Tahun, 8 Bulan, 23 Hari</v>
      </c>
      <c r="AC3401" s="18" t="n">
        <v>46108</v>
      </c>
      <c r="AD3401" s="18" t="n">
        <v>46199</v>
      </c>
      <c r="AE3401" s="13" t="s">
        <v>44</v>
      </c>
    </row>
    <row r="3402" customFormat="false" ht="15" hidden="false" customHeight="true" outlineLevel="0" collapsed="false">
      <c r="A3402" s="12" t="n">
        <v>22018</v>
      </c>
      <c r="B3402" s="13" t="s">
        <v>13984</v>
      </c>
      <c r="C3402" s="16" t="n">
        <v>46111</v>
      </c>
      <c r="D3402" s="13" t="s">
        <v>961</v>
      </c>
      <c r="E3402" s="15" t="s">
        <v>47</v>
      </c>
      <c r="F3402" s="15" t="str">
        <f aca="false">IFERROR(__xludf.dummyfunction("XLOOKUP(AJ3402,IMPORTRANGE(""1XaInW9DU9nz21V0tYIfzFQ0He9kVQ_JF2mCXgZ3hqFA"",""REKAP ALL 2026 - Andika!G:G""),IMPORTRANGE(""1XaInW9DU9nz21V0tYIfzFQ0He9kVQ_JF2mCXgZ3hqFA"",""REKAP ALL 2026 - Andika!F:F""),"""",0)"),"26046410861")</f>
        <v>26046410861</v>
      </c>
      <c r="G3402" s="28" t="s">
        <v>57</v>
      </c>
      <c r="H3402" s="13" t="s">
        <v>35</v>
      </c>
      <c r="I3402" s="13" t="str">
        <f aca="false">IF(C3402=J3402,"NEW KONTRAK","RE-KONTRAK")</f>
        <v>NEW KONTRAK</v>
      </c>
      <c r="J3402" s="16" t="n">
        <f aca="false" t="array" ref="J3402:J3402">IFERROR(INDEX(AC3402:AE3402,IF(COUNTA(AC3402:AE3402)=0,"",MAX((AC3402:AE3402&lt;&gt;"")*(COLUMN(AC3402:AE3402)-(COLUMN(AC3402)))))-1),"")</f>
        <v>46111</v>
      </c>
      <c r="K3402" s="16" t="n">
        <f aca="false" t="array" ref="K3402:K3402">IFERROR(INDEX(AC3402:AE3402,IF(COUNTA(AC3402:AE3402)=0,"",MAX((AC3402:AE3402&lt;&gt;"")*(COLUMN(AC3402:AE3402)-(COLUMN(AC3402)-1))))-1),"")</f>
        <v>46202</v>
      </c>
      <c r="L3402" s="17" t="str">
        <f aca="false" t="array" ref="L3402:L3402">IFERROR(INDEX(AC3402:AE3402,IF(COUNTA(AC3402:AE3402)=0,"",MAX((AC3402:AE3402&lt;&gt;"")*(COLUMN(AC3402:AE3402)-(COLUMN(AC3402)-2))))-1),"")</f>
        <v>ARCHIVED</v>
      </c>
      <c r="M3402" s="13" t="n">
        <f aca="true">K3402-TODAY()</f>
        <v>-122</v>
      </c>
      <c r="N3402" s="18" t="s">
        <v>728</v>
      </c>
      <c r="O3402" s="104" t="s">
        <v>5894</v>
      </c>
      <c r="P3402" s="19" t="n">
        <v>132300</v>
      </c>
      <c r="Q3402" s="47" t="s">
        <v>13985</v>
      </c>
      <c r="R3402" s="13" t="s">
        <v>39</v>
      </c>
      <c r="S3402" s="16" t="n">
        <v>30544</v>
      </c>
      <c r="T3402" s="13" t="s">
        <v>40</v>
      </c>
      <c r="U3402" s="13" t="s">
        <v>13986</v>
      </c>
      <c r="V3402" s="13" t="s">
        <v>42</v>
      </c>
      <c r="W3402" s="13" t="s">
        <v>54</v>
      </c>
      <c r="X3402" s="30" t="n">
        <v>89897881914</v>
      </c>
      <c r="Y3402" s="22" t="str">
        <f aca="false">O3402</f>
        <v>Checker</v>
      </c>
      <c r="Z3402" s="13" t="str">
        <f aca="false">IFERROR(__xludf.dummyfunction("if(BJ3402="""","""",GOOGLETRANSLATE(BJ3402,""auto"",""en""))"),"Checker")</f>
        <v>Checker</v>
      </c>
      <c r="AA3402" s="23" t="str">
        <f aca="false">IF(C3402="","", CHOOSE(MONTH(C3402),"January","February","March","April","May","June","July","August","September","October","November","December")&amp;" "&amp;DAY(C3402)&amp;MID("thstndrdth",MIN(9,2*RIGHT(DAY(C3402))*(MOD(DAY(C3402)-11,100)&gt;2)+1),2)&amp;","&amp;TEXT(C3402," yyyy"))</f>
        <v>March 30th,2026</v>
      </c>
      <c r="AB3402" s="15" t="str">
        <f aca="true">IF(S3402="","",DATEDIF(S3402,TODAY(),"Y")&amp;" Tahun, "&amp;DATEDIF(S3402,TODAY(),"YM")&amp;" Bulan, "&amp;DATEDIF(S3402,TODAY(),"MD")&amp;" Hari")</f>
        <v>43 Tahun, 2 Bulan, 13 Hari</v>
      </c>
      <c r="AC3402" s="18" t="n">
        <v>46111</v>
      </c>
      <c r="AD3402" s="18" t="n">
        <f aca="false">EDATE(AC3402,3)-1</f>
        <v>46202</v>
      </c>
      <c r="AE3402" s="69" t="s">
        <v>44</v>
      </c>
    </row>
    <row r="3403" customFormat="false" ht="15" hidden="false" customHeight="true" outlineLevel="0" collapsed="false">
      <c r="A3403" s="12" t="n">
        <v>22019</v>
      </c>
      <c r="B3403" s="13" t="s">
        <v>13987</v>
      </c>
      <c r="C3403" s="16" t="n">
        <v>46111</v>
      </c>
      <c r="D3403" s="13" t="s">
        <v>5726</v>
      </c>
      <c r="E3403" s="15" t="s">
        <v>47</v>
      </c>
      <c r="F3403" s="15" t="str">
        <f aca="false">IFERROR(__xludf.dummyfunction("XLOOKUP(AJ3403,IMPORTRANGE(""1XaInW9DU9nz21V0tYIfzFQ0He9kVQ_JF2mCXgZ3hqFA"",""REKAP ALL 2026 - Andika!G:G""),IMPORTRANGE(""1XaInW9DU9nz21V0tYIfzFQ0He9kVQ_JF2mCXgZ3hqFA"",""REKAP ALL 2026 - Andika!F:F""),"""",0)"),"26046412370")</f>
        <v>26046412370</v>
      </c>
      <c r="G3403" s="13" t="s">
        <v>57</v>
      </c>
      <c r="H3403" s="13" t="s">
        <v>35</v>
      </c>
      <c r="I3403" s="13" t="str">
        <f aca="false">IF(C3403=J3403,"NEW KONTRAK","RE-KONTRAK")</f>
        <v>NEW KONTRAK</v>
      </c>
      <c r="J3403" s="16" t="n">
        <f aca="false" t="array" ref="J3403:J3403">IFERROR(INDEX(AC3403:AE3403,IF(COUNTA(AC3403:AE3403)=0,"",MAX((AC3403:AE3403&lt;&gt;"")*(COLUMN(AC3403:AE3403)-(COLUMN(AC3403)))))-1),"")</f>
        <v>46111</v>
      </c>
      <c r="K3403" s="16" t="n">
        <f aca="false" t="array" ref="K3403:K3403">IFERROR(INDEX(AC3403:AE3403,IF(COUNTA(AC3403:AE3403)=0,"",MAX((AC3403:AE3403&lt;&gt;"")*(COLUMN(AC3403:AE3403)-(COLUMN(AC3403)-1))))-1),"")</f>
        <v>46202</v>
      </c>
      <c r="L3403" s="17" t="str">
        <f aca="false" t="array" ref="L3403:L3403">IFERROR(INDEX(AC3403:AE3403,IF(COUNTA(AC3403:AE3403)=0,"",MAX((AC3403:AE3403&lt;&gt;"")*(COLUMN(AC3403:AE3403)-(COLUMN(AC3403)-2))))-1),"")</f>
        <v>ARCHIVED</v>
      </c>
      <c r="M3403" s="13" t="n">
        <f aca="true">K3403-TODAY()</f>
        <v>-122</v>
      </c>
      <c r="N3403" s="18" t="s">
        <v>615</v>
      </c>
      <c r="O3403" s="13" t="s">
        <v>5783</v>
      </c>
      <c r="P3403" s="19" t="n">
        <v>5176101</v>
      </c>
      <c r="Q3403" s="47" t="s">
        <v>13988</v>
      </c>
      <c r="R3403" s="13" t="s">
        <v>83</v>
      </c>
      <c r="S3403" s="16" t="n">
        <v>36484</v>
      </c>
      <c r="T3403" s="28" t="s">
        <v>40</v>
      </c>
      <c r="U3403" s="13" t="s">
        <v>13989</v>
      </c>
      <c r="V3403" s="13" t="s">
        <v>42</v>
      </c>
      <c r="W3403" s="13" t="s">
        <v>43</v>
      </c>
      <c r="X3403" s="21" t="n">
        <v>89682705216</v>
      </c>
      <c r="Y3403" s="22" t="str">
        <f aca="false">O3403</f>
        <v>QC</v>
      </c>
      <c r="Z3403" s="13" t="str">
        <f aca="false">IFERROR(__xludf.dummyfunction("if(BJ3403="""","""",GOOGLETRANSLATE(BJ3403,""auto"",""en""))"),"QC")</f>
        <v>QC</v>
      </c>
      <c r="AA3403" s="23" t="str">
        <f aca="false">IF(C3403="","", CHOOSE(MONTH(C3403),"January","February","March","April","May","June","July","August","September","October","November","December")&amp;" "&amp;DAY(C3403)&amp;MID("thstndrdth",MIN(9,2*RIGHT(DAY(C3403))*(MOD(DAY(C3403)-11,100)&gt;2)+1),2)&amp;","&amp;TEXT(C3403," yyyy"))</f>
        <v>March 30th,2026</v>
      </c>
      <c r="AB3403" s="15" t="str">
        <f aca="true">IF(S3403="","",DATEDIF(S3403,TODAY(),"Y")&amp;" Tahun, "&amp;DATEDIF(S3403,TODAY(),"YM")&amp;" Bulan, "&amp;DATEDIF(S3403,TODAY(),"MD")&amp;" Hari")</f>
        <v>26 Tahun, 11 Bulan, 9 Hari</v>
      </c>
      <c r="AC3403" s="18" t="n">
        <v>46111</v>
      </c>
      <c r="AD3403" s="18" t="n">
        <f aca="false">EDATE(AC3403,3)-1</f>
        <v>46202</v>
      </c>
      <c r="AE3403" s="18" t="s">
        <v>44</v>
      </c>
    </row>
    <row r="3404" customFormat="false" ht="15" hidden="false" customHeight="true" outlineLevel="0" collapsed="false">
      <c r="A3404" s="12" t="n">
        <v>22020</v>
      </c>
      <c r="B3404" s="13" t="s">
        <v>13990</v>
      </c>
      <c r="C3404" s="16" t="n">
        <v>46106</v>
      </c>
      <c r="D3404" s="13" t="s">
        <v>393</v>
      </c>
      <c r="E3404" s="15" t="s">
        <v>102</v>
      </c>
      <c r="F3404" s="24" t="s">
        <v>13991</v>
      </c>
      <c r="G3404" s="28" t="s">
        <v>57</v>
      </c>
      <c r="H3404" s="13" t="s">
        <v>35</v>
      </c>
      <c r="I3404" s="13" t="str">
        <f aca="false">IF(C3404=J3404,"NEW KONTRAK","RE-KONTRAK")</f>
        <v>NEW KONTRAK</v>
      </c>
      <c r="J3404" s="16" t="n">
        <f aca="false" t="array" ref="J3404:J3404">IFERROR(INDEX(AC3404:AE3404,IF(COUNTA(AC3404:AE3404)=0,"",MAX((AC3404:AE3404&lt;&gt;"")*(COLUMN(AC3404:AE3404)-(COLUMN(AC3404)))))-1),"")</f>
        <v>46106</v>
      </c>
      <c r="K3404" s="16" t="n">
        <f aca="false" t="array" ref="K3404:K3404">IFERROR(INDEX(AC3404:AE3404,IF(COUNTA(AC3404:AE3404)=0,"",MAX((AC3404:AE3404&lt;&gt;"")*(COLUMN(AC3404:AE3404)-(COLUMN(AC3404)-1))))-1),"")</f>
        <v>46181</v>
      </c>
      <c r="L3404" s="17" t="str">
        <f aca="false" t="array" ref="L3404:L3404">IFERROR(INDEX(AC3404:AE3404,IF(COUNTA(AC3404:AE3404)=0,"",MAX((AC3404:AE3404&lt;&gt;"")*(COLUMN(AC3404:AE3404)-(COLUMN(AC3404)-2))))-1),"")</f>
        <v>ARCHIVED</v>
      </c>
      <c r="M3404" s="13" t="n">
        <f aca="true">K3404-TODAY()</f>
        <v>-143</v>
      </c>
      <c r="N3404" s="18" t="s">
        <v>105</v>
      </c>
      <c r="O3404" s="13" t="s">
        <v>58</v>
      </c>
      <c r="P3404" s="19" t="n">
        <v>5191541</v>
      </c>
      <c r="Q3404" s="47" t="s">
        <v>13992</v>
      </c>
      <c r="R3404" s="13" t="s">
        <v>39</v>
      </c>
      <c r="S3404" s="16" t="n">
        <v>37770</v>
      </c>
      <c r="T3404" s="13" t="s">
        <v>40</v>
      </c>
      <c r="U3404" s="13" t="s">
        <v>13993</v>
      </c>
      <c r="V3404" s="13" t="s">
        <v>42</v>
      </c>
      <c r="W3404" s="13" t="s">
        <v>43</v>
      </c>
      <c r="X3404" s="30" t="n">
        <v>87880783613</v>
      </c>
      <c r="Y3404" s="22" t="str">
        <f aca="false">O3404</f>
        <v>Produksi</v>
      </c>
      <c r="Z3404" s="13" t="str">
        <f aca="false">IFERROR(__xludf.dummyfunction("if(BJ3404="""","""",GOOGLETRANSLATE(BJ3404,""auto"",""en""))"),"Production")</f>
        <v>Production</v>
      </c>
      <c r="AA3404" s="23" t="str">
        <f aca="false">IF(C3404="","", CHOOSE(MONTH(C3404),"January","February","March","April","May","June","July","August","September","October","November","December")&amp;" "&amp;DAY(C3404)&amp;MID("thstndrdth",MIN(9,2*RIGHT(DAY(C3404))*(MOD(DAY(C3404)-11,100)&gt;2)+1),2)&amp;","&amp;TEXT(C3404," yyyy"))</f>
        <v>March 25th,2026</v>
      </c>
      <c r="AB3404" s="15" t="str">
        <f aca="true">IF(S3404="","",DATEDIF(S3404,TODAY(),"Y")&amp;" Tahun, "&amp;DATEDIF(S3404,TODAY(),"YM")&amp;" Bulan, "&amp;DATEDIF(S3404,TODAY(),"MD")&amp;" Hari")</f>
        <v>23 Tahun, 5 Bulan, 0 Hari</v>
      </c>
      <c r="AC3404" s="18" t="n">
        <v>46106</v>
      </c>
      <c r="AD3404" s="105" t="n">
        <v>46181</v>
      </c>
      <c r="AE3404" s="13" t="s">
        <v>44</v>
      </c>
    </row>
    <row r="3405" customFormat="false" ht="15" hidden="false" customHeight="true" outlineLevel="0" collapsed="false">
      <c r="A3405" s="12" t="n">
        <v>22021</v>
      </c>
      <c r="B3405" s="13" t="s">
        <v>13994</v>
      </c>
      <c r="C3405" s="16" t="n">
        <v>46111</v>
      </c>
      <c r="D3405" s="13" t="s">
        <v>6638</v>
      </c>
      <c r="E3405" s="15" t="s">
        <v>102</v>
      </c>
      <c r="F3405" s="24" t="s">
        <v>13995</v>
      </c>
      <c r="G3405" s="13" t="s">
        <v>1127</v>
      </c>
      <c r="H3405" s="13" t="s">
        <v>35</v>
      </c>
      <c r="I3405" s="13" t="str">
        <f aca="false">IF(C3405=J3405,"NEW KONTRAK","RE-KONTRAK")</f>
        <v>NEW KONTRAK</v>
      </c>
      <c r="J3405" s="16" t="n">
        <f aca="false" t="array" ref="J3405:J3405">IFERROR(INDEX(AC3405:AE3405,IF(COUNTA(AC3405:AE3405)=0,"",MAX((AC3405:AE3405&lt;&gt;"")*(COLUMN(AC3405:AE3405)-(COLUMN(AC3405)))))-1),"")</f>
        <v>46111</v>
      </c>
      <c r="K3405" s="16" t="n">
        <f aca="false" t="array" ref="K3405:K3405">IFERROR(INDEX(AC3405:AE3405,IF(COUNTA(AC3405:AE3405)=0,"",MAX((AC3405:AE3405&lt;&gt;"")*(COLUMN(AC3405:AE3405)-(COLUMN(AC3405)-1))))-1),"")</f>
        <v>46202</v>
      </c>
      <c r="L3405" s="17" t="str">
        <f aca="false" t="array" ref="L3405:L3405">IFERROR(INDEX(AC3405:AE3405,IF(COUNTA(AC3405:AE3405)=0,"",MAX((AC3405:AE3405&lt;&gt;"")*(COLUMN(AC3405:AE3405)-(COLUMN(AC3405)-2))))-1),"")</f>
        <v>ARCHIVED</v>
      </c>
      <c r="M3405" s="13" t="n">
        <f aca="true">K3405-TODAY()</f>
        <v>-122</v>
      </c>
      <c r="N3405" s="18" t="s">
        <v>4735</v>
      </c>
      <c r="O3405" s="13" t="s">
        <v>13996</v>
      </c>
      <c r="P3405" s="19" t="n">
        <v>132300</v>
      </c>
      <c r="Q3405" s="47" t="s">
        <v>13997</v>
      </c>
      <c r="R3405" s="13" t="s">
        <v>83</v>
      </c>
      <c r="S3405" s="16" t="n">
        <v>37199</v>
      </c>
      <c r="T3405" s="13" t="s">
        <v>40</v>
      </c>
      <c r="U3405" s="13" t="s">
        <v>13998</v>
      </c>
      <c r="V3405" s="13" t="s">
        <v>42</v>
      </c>
      <c r="W3405" s="13" t="s">
        <v>43</v>
      </c>
      <c r="X3405" s="13" t="s">
        <v>13999</v>
      </c>
      <c r="Y3405" s="22" t="str">
        <f aca="false">O3405</f>
        <v>Staff Incoming &amp; Return Product</v>
      </c>
      <c r="Z3405" s="13" t="str">
        <f aca="false">IFERROR(__xludf.dummyfunction("if(BJ3405="""","""",GOOGLETRANSLATE(BJ3405,""auto"",""en""))"),"Staff Incoming &amp; Return Product")</f>
        <v>Staff Incoming &amp; Return Product</v>
      </c>
      <c r="AA3405" s="23" t="str">
        <f aca="false">IF(C3405="","", CHOOSE(MONTH(C3405),"January","February","March","April","May","June","July","August","September","October","November","December")&amp;" "&amp;DAY(C3405)&amp;MID("thstndrdth",MIN(9,2*RIGHT(DAY(C3405))*(MOD(DAY(C3405)-11,100)&gt;2)+1),2)&amp;","&amp;TEXT(C3405," yyyy"))</f>
        <v>March 30th,2026</v>
      </c>
      <c r="AB3405" s="15" t="str">
        <f aca="true">IF(S3405="","",DATEDIF(S3405,TODAY(),"Y")&amp;" Tahun, "&amp;DATEDIF(S3405,TODAY(),"YM")&amp;" Bulan, "&amp;DATEDIF(S3405,TODAY(),"MD")&amp;" Hari")</f>
        <v>24 Tahun, 11 Bulan, 25 Hari</v>
      </c>
      <c r="AC3405" s="18" t="n">
        <v>46111</v>
      </c>
      <c r="AD3405" s="18" t="n">
        <f aca="false">EDATE(AC3405,3)-1</f>
        <v>46202</v>
      </c>
      <c r="AE3405" s="13" t="s">
        <v>44</v>
      </c>
    </row>
    <row r="3406" customFormat="false" ht="15" hidden="false" customHeight="true" outlineLevel="0" collapsed="false">
      <c r="A3406" s="12" t="n">
        <v>22022</v>
      </c>
      <c r="B3406" s="13" t="s">
        <v>14000</v>
      </c>
      <c r="C3406" s="16" t="n">
        <v>46106</v>
      </c>
      <c r="D3406" s="13" t="s">
        <v>10155</v>
      </c>
      <c r="E3406" s="15" t="s">
        <v>47</v>
      </c>
      <c r="F3406" s="15" t="str">
        <f aca="false">IFERROR(__xludf.dummyfunction("XLOOKUP(AJ3406,IMPORTRANGE(""1XaInW9DU9nz21V0tYIfzFQ0He9kVQ_JF2mCXgZ3hqFA"",""REKAP ALL 2026 - Andika!G:G""),IMPORTRANGE(""1XaInW9DU9nz21V0tYIfzFQ0He9kVQ_JF2mCXgZ3hqFA"",""REKAP ALL 2026 - Andika!F:F""),"""",0)"),"26046412420")</f>
        <v>26046412420</v>
      </c>
      <c r="G3406" s="13" t="s">
        <v>1127</v>
      </c>
      <c r="H3406" s="13" t="s">
        <v>35</v>
      </c>
      <c r="I3406" s="13" t="str">
        <f aca="false">IF(C3406=J3406,"NEW KONTRAK","RE-KONTRAK")</f>
        <v>NEW KONTRAK</v>
      </c>
      <c r="J3406" s="16" t="n">
        <f aca="false" t="array" ref="J3406:J3406">IFERROR(INDEX(AC3406:AE3406,IF(COUNTA(AC3406:AE3406)=0,"",MAX((AC3406:AE3406&lt;&gt;"")*(COLUMN(AC3406:AE3406)-(COLUMN(AC3406)))))-1),"")</f>
        <v>46106</v>
      </c>
      <c r="K3406" s="16" t="n">
        <f aca="false" t="array" ref="K3406:K3406">IFERROR(INDEX(AC3406:AE3406,IF(COUNTA(AC3406:AE3406)=0,"",MAX((AC3406:AE3406&lt;&gt;"")*(COLUMN(AC3406:AE3406)-(COLUMN(AC3406)-1))))-1),"")</f>
        <v>46203</v>
      </c>
      <c r="L3406" s="17" t="str">
        <f aca="false" t="array" ref="L3406:L3406">IFERROR(INDEX(AC3406:AE3406,IF(COUNTA(AC3406:AE3406)=0,"",MAX((AC3406:AE3406&lt;&gt;"")*(COLUMN(AC3406:AE3406)-(COLUMN(AC3406)-2))))-1),"")</f>
        <v>ARCHIVED</v>
      </c>
      <c r="M3406" s="13" t="n">
        <f aca="true">K3406-TODAY()</f>
        <v>-121</v>
      </c>
      <c r="N3406" s="18" t="s">
        <v>36</v>
      </c>
      <c r="O3406" s="97" t="s">
        <v>14001</v>
      </c>
      <c r="P3406" s="19" t="n">
        <v>132300</v>
      </c>
      <c r="Q3406" s="47" t="s">
        <v>14002</v>
      </c>
      <c r="R3406" s="13" t="s">
        <v>65</v>
      </c>
      <c r="S3406" s="16" t="n">
        <v>35744</v>
      </c>
      <c r="T3406" s="28" t="s">
        <v>40</v>
      </c>
      <c r="U3406" s="13" t="s">
        <v>14003</v>
      </c>
      <c r="V3406" s="13" t="s">
        <v>42</v>
      </c>
      <c r="W3406" s="13" t="s">
        <v>54</v>
      </c>
      <c r="X3406" s="21" t="n">
        <v>81335283353</v>
      </c>
      <c r="Y3406" s="22" t="str">
        <f aca="false">O3406</f>
        <v>HOT CS P1 Production</v>
      </c>
      <c r="Z3406" s="13" t="str">
        <f aca="false">IFERROR(__xludf.dummyfunction("if(BJ3406="""","""",GOOGLETRANSLATE(BJ3406,""auto"",""en""))"),"HOT CS P1 Production")</f>
        <v>HOT CS P1 Production</v>
      </c>
      <c r="AA3406" s="23" t="str">
        <f aca="false">IF(C3406="","", CHOOSE(MONTH(C3406),"January","February","March","April","May","June","July","August","September","October","November","December")&amp;" "&amp;DAY(C3406)&amp;MID("thstndrdth",MIN(9,2*RIGHT(DAY(C3406))*(MOD(DAY(C3406)-11,100)&gt;2)+1),2)&amp;","&amp;TEXT(C3406," yyyy"))</f>
        <v>March 25th,2026</v>
      </c>
      <c r="AB3406" s="15" t="str">
        <f aca="true">IF(S3406="","",DATEDIF(S3406,TODAY(),"Y")&amp;" Tahun, "&amp;DATEDIF(S3406,TODAY(),"YM")&amp;" Bulan, "&amp;DATEDIF(S3406,TODAY(),"MD")&amp;" Hari")</f>
        <v>28 Tahun, 11 Bulan, 19 Hari</v>
      </c>
      <c r="AC3406" s="18" t="n">
        <v>46106</v>
      </c>
      <c r="AD3406" s="18" t="n">
        <v>46203</v>
      </c>
      <c r="AE3406" s="13" t="s">
        <v>44</v>
      </c>
    </row>
    <row r="3407" customFormat="false" ht="15" hidden="false" customHeight="true" outlineLevel="0" collapsed="false">
      <c r="A3407" s="108" t="n">
        <v>22056</v>
      </c>
      <c r="B3407" s="13" t="s">
        <v>14004</v>
      </c>
      <c r="C3407" s="14" t="n">
        <v>46111</v>
      </c>
      <c r="D3407" s="13" t="s">
        <v>961</v>
      </c>
      <c r="E3407" s="15" t="s">
        <v>47</v>
      </c>
      <c r="F3407" s="15" t="str">
        <f aca="false">IFERROR(__xludf.dummyfunction("XLOOKUP(AJ3407,IMPORTRANGE(""1XaInW9DU9nz21V0tYIfzFQ0He9kVQ_JF2mCXgZ3hqFA"",""REKAP ALL 2026 - Andika!G:G""),IMPORTRANGE(""1XaInW9DU9nz21V0tYIfzFQ0He9kVQ_JF2mCXgZ3hqFA"",""REKAP ALL 2026 - Andika!F:F""),"""",0)"),"26046410663")</f>
        <v>26046410663</v>
      </c>
      <c r="G3407" s="28" t="s">
        <v>57</v>
      </c>
      <c r="H3407" s="13" t="s">
        <v>35</v>
      </c>
      <c r="I3407" s="13" t="str">
        <f aca="false">IF(C3407=J3407,"NEW KONTRAK","RE-KONTRAK")</f>
        <v>NEW KONTRAK</v>
      </c>
      <c r="J3407" s="16" t="n">
        <f aca="false" t="array" ref="J3407:J3407">IFERROR(INDEX(AC3407:AE3407,IF(COUNTA(AC3407:AE3407)=0,"",MAX((AC3407:AE3407&lt;&gt;"")*(COLUMN(AC3407:AE3407)-(COLUMN(AC3407)))))-1),"")</f>
        <v>46111</v>
      </c>
      <c r="K3407" s="16" t="n">
        <f aca="false" t="array" ref="K3407:K3407">IFERROR(INDEX(AC3407:AE3407,IF(COUNTA(AC3407:AE3407)=0,"",MAX((AC3407:AE3407&lt;&gt;"")*(COLUMN(AC3407:AE3407)-(COLUMN(AC3407)-1))))-1),"")</f>
        <v>46202</v>
      </c>
      <c r="L3407" s="17" t="str">
        <f aca="false" t="array" ref="L3407:L3407">IFERROR(INDEX(AC3407:AE3407,IF(COUNTA(AC3407:AE3407)=0,"",MAX((AC3407:AE3407&lt;&gt;"")*(COLUMN(AC3407:AE3407)-(COLUMN(AC3407)-2))))-1),"")</f>
        <v>ARCHIVED</v>
      </c>
      <c r="M3407" s="13" t="n">
        <f aca="true">K3407-TODAY()</f>
        <v>-122</v>
      </c>
      <c r="N3407" s="18" t="s">
        <v>728</v>
      </c>
      <c r="O3407" s="104" t="s">
        <v>5894</v>
      </c>
      <c r="P3407" s="19" t="n">
        <v>132300</v>
      </c>
      <c r="Q3407" s="20" t="s">
        <v>14005</v>
      </c>
      <c r="R3407" s="13" t="s">
        <v>14006</v>
      </c>
      <c r="S3407" s="16" t="n">
        <v>34460</v>
      </c>
      <c r="T3407" s="28" t="s">
        <v>40</v>
      </c>
      <c r="U3407" s="13" t="s">
        <v>14007</v>
      </c>
      <c r="V3407" s="13" t="s">
        <v>42</v>
      </c>
      <c r="W3407" s="13" t="s">
        <v>54</v>
      </c>
      <c r="X3407" s="30" t="n">
        <v>85707451713</v>
      </c>
      <c r="Y3407" s="22" t="str">
        <f aca="false">O3407</f>
        <v>Checker</v>
      </c>
      <c r="Z3407" s="13" t="str">
        <f aca="false">IFERROR(__xludf.dummyfunction("if(BJ3407="""","""",GOOGLETRANSLATE(BJ3407,""auto"",""en""))"),"Checker")</f>
        <v>Checker</v>
      </c>
      <c r="AA3407" s="23" t="str">
        <f aca="false">IF(C3407="","", CHOOSE(MONTH(C3407),"January","February","March","April","May","June","July","August","September","October","November","December")&amp;" "&amp;DAY(C3407)&amp;MID("thstndrdth",MIN(9,2*RIGHT(DAY(C3407))*(MOD(DAY(C3407)-11,100)&gt;2)+1),2)&amp;","&amp;TEXT(C3407," yyyy"))</f>
        <v>March 30th,2026</v>
      </c>
      <c r="AB3407" s="15" t="str">
        <f aca="true">IF(S3407="","",DATEDIF(S3407,TODAY(),"Y")&amp;" Tahun, "&amp;DATEDIF(S3407,TODAY(),"YM")&amp;" Bulan, "&amp;DATEDIF(S3407,TODAY(),"MD")&amp;" Hari")</f>
        <v>32 Tahun, 5 Bulan, 23 Hari</v>
      </c>
      <c r="AC3407" s="14" t="n">
        <v>46111</v>
      </c>
      <c r="AD3407" s="18" t="n">
        <f aca="false">EDATE(AC3407,3)-1</f>
        <v>46202</v>
      </c>
      <c r="AE3407" s="69" t="s">
        <v>44</v>
      </c>
    </row>
    <row r="3408" customFormat="false" ht="15" hidden="false" customHeight="true" outlineLevel="0" collapsed="false">
      <c r="A3408" s="12" t="n">
        <v>22023</v>
      </c>
      <c r="B3408" s="13" t="s">
        <v>14008</v>
      </c>
      <c r="C3408" s="16" t="n">
        <v>46106</v>
      </c>
      <c r="D3408" s="13" t="s">
        <v>10155</v>
      </c>
      <c r="E3408" s="15" t="s">
        <v>47</v>
      </c>
      <c r="F3408" s="15" t="str">
        <f aca="false">IFERROR(__xludf.dummyfunction("XLOOKUP(AJ3408,IMPORTRANGE(""1XaInW9DU9nz21V0tYIfzFQ0He9kVQ_JF2mCXgZ3hqFA"",""REKAP ALL 2026 - Andika!G:G""),IMPORTRANGE(""1XaInW9DU9nz21V0tYIfzFQ0He9kVQ_JF2mCXgZ3hqFA"",""REKAP ALL 2026 - Andika!F:F""),"""",0)"),"26046412438")</f>
        <v>26046412438</v>
      </c>
      <c r="G3408" s="13" t="s">
        <v>1127</v>
      </c>
      <c r="H3408" s="13" t="s">
        <v>35</v>
      </c>
      <c r="I3408" s="13" t="str">
        <f aca="false">IF(C3408=J3408,"NEW KONTRAK","RE-KONTRAK")</f>
        <v>NEW KONTRAK</v>
      </c>
      <c r="J3408" s="16" t="n">
        <f aca="false" t="array" ref="J3408:J3408">IFERROR(INDEX(AC3408:AE3408,IF(COUNTA(AC3408:AE3408)=0,"",MAX((AC3408:AE3408&lt;&gt;"")*(COLUMN(AC3408:AE3408)-(COLUMN(AC3408)))))-1),"")</f>
        <v>46106</v>
      </c>
      <c r="K3408" s="16" t="n">
        <f aca="false" t="array" ref="K3408:K3408">IFERROR(INDEX(AC3408:AE3408,IF(COUNTA(AC3408:AE3408)=0,"",MAX((AC3408:AE3408&lt;&gt;"")*(COLUMN(AC3408:AE3408)-(COLUMN(AC3408)-1))))-1),"")</f>
        <v>46203</v>
      </c>
      <c r="L3408" s="17" t="str">
        <f aca="false" t="array" ref="L3408:L3408">IFERROR(INDEX(AC3408:AE3408,IF(COUNTA(AC3408:AE3408)=0,"",MAX((AC3408:AE3408&lt;&gt;"")*(COLUMN(AC3408:AE3408)-(COLUMN(AC3408)-2))))-1),"")</f>
        <v>ARCHIVED</v>
      </c>
      <c r="M3408" s="13" t="n">
        <f aca="true">K3408-TODAY()</f>
        <v>-121</v>
      </c>
      <c r="N3408" s="18" t="s">
        <v>36</v>
      </c>
      <c r="O3408" s="13" t="s">
        <v>10157</v>
      </c>
      <c r="P3408" s="19" t="n">
        <v>132300</v>
      </c>
      <c r="Q3408" s="47" t="s">
        <v>14009</v>
      </c>
      <c r="R3408" s="13" t="s">
        <v>52</v>
      </c>
      <c r="S3408" s="16" t="n">
        <v>38344</v>
      </c>
      <c r="T3408" s="28" t="s">
        <v>40</v>
      </c>
      <c r="U3408" s="13" t="s">
        <v>14010</v>
      </c>
      <c r="V3408" s="13" t="s">
        <v>42</v>
      </c>
      <c r="W3408" s="13" t="s">
        <v>43</v>
      </c>
      <c r="X3408" s="21" t="n">
        <v>81358366200</v>
      </c>
      <c r="Y3408" s="22" t="str">
        <f aca="false">O3408</f>
        <v>Domestic After Market Sales</v>
      </c>
      <c r="Z3408" s="13" t="str">
        <f aca="false">IFERROR(__xludf.dummyfunction("if(BJ3408="""","""",GOOGLETRANSLATE(BJ3408,""auto"",""en""))"),"Domestic After Market Sales")</f>
        <v>Domestic After Market Sales</v>
      </c>
      <c r="AA3408" s="23" t="str">
        <f aca="false">IF(C3408="","", CHOOSE(MONTH(C3408),"January","February","March","April","May","June","July","August","September","October","November","December")&amp;" "&amp;DAY(C3408)&amp;MID("thstndrdth",MIN(9,2*RIGHT(DAY(C3408))*(MOD(DAY(C3408)-11,100)&gt;2)+1),2)&amp;","&amp;TEXT(C3408," yyyy"))</f>
        <v>March 25th,2026</v>
      </c>
      <c r="AB3408" s="15" t="str">
        <f aca="true">IF(S3408="","",DATEDIF(S3408,TODAY(),"Y")&amp;" Tahun, "&amp;DATEDIF(S3408,TODAY(),"YM")&amp;" Bulan, "&amp;DATEDIF(S3408,TODAY(),"MD")&amp;" Hari")</f>
        <v>21 Tahun, 10 Bulan, 6 Hari</v>
      </c>
      <c r="AC3408" s="18" t="n">
        <v>46106</v>
      </c>
      <c r="AD3408" s="18" t="n">
        <v>46203</v>
      </c>
      <c r="AE3408" s="13" t="s">
        <v>44</v>
      </c>
    </row>
    <row r="3409" customFormat="false" ht="15" hidden="false" customHeight="true" outlineLevel="0" collapsed="false">
      <c r="A3409" s="12" t="n">
        <v>22024</v>
      </c>
      <c r="B3409" s="13" t="s">
        <v>14011</v>
      </c>
      <c r="C3409" s="14" t="n">
        <v>46090</v>
      </c>
      <c r="D3409" s="13" t="s">
        <v>4755</v>
      </c>
      <c r="E3409" s="15" t="s">
        <v>47</v>
      </c>
      <c r="F3409" s="15" t="str">
        <f aca="false">IFERROR(__xludf.dummyfunction("XLOOKUP(AJ3409,IMPORTRANGE(""1XaInW9DU9nz21V0tYIfzFQ0He9kVQ_JF2mCXgZ3hqFA"",""REKAP ALL 2026 - Andika!G:G""),IMPORTRANGE(""1XaInW9DU9nz21V0tYIfzFQ0He9kVQ_JF2mCXgZ3hqFA"",""REKAP ALL 2026 - Andika!F:F""),"""",0)"),"26046411752")</f>
        <v>26046411752</v>
      </c>
      <c r="G3409" s="13" t="s">
        <v>57</v>
      </c>
      <c r="H3409" s="13" t="s">
        <v>3024</v>
      </c>
      <c r="I3409" s="13" t="str">
        <f aca="false">IF(C3409=J3409,"NEW KONTRAK","RE-KONTRAK")</f>
        <v>NEW KONTRAK</v>
      </c>
      <c r="J3409" s="16" t="n">
        <f aca="false" t="array" ref="J3409:J3409">IFERROR(INDEX(AC3409:AE3409,IF(COUNTA(AC3409:AE3409)=0,"",MAX((AC3409:AE3409&lt;&gt;"")*(COLUMN(AC3409:AE3409)-(COLUMN(AC3409)))))-1),"")</f>
        <v>46090</v>
      </c>
      <c r="K3409" s="16" t="n">
        <f aca="false" t="array" ref="K3409:K3409">IFERROR(INDEX(AC3409:AE3409,IF(COUNTA(AC3409:AE3409)=0,"",MAX((AC3409:AE3409&lt;&gt;"")*(COLUMN(AC3409:AE3409)-(COLUMN(AC3409)-1))))-1),"")</f>
        <v>46181</v>
      </c>
      <c r="L3409" s="17" t="str">
        <f aca="false" t="array" ref="L3409:L3409">IFERROR(INDEX(AC3409:AE3409,IF(COUNTA(AC3409:AE3409)=0,"",MAX((AC3409:AE3409&lt;&gt;"")*(COLUMN(AC3409:AE3409)-(COLUMN(AC3409)-2))))-1),"")</f>
        <v>ARCHIVED</v>
      </c>
      <c r="M3409" s="13" t="n">
        <f aca="true">K3409-TODAY()</f>
        <v>-143</v>
      </c>
      <c r="N3409" s="18" t="s">
        <v>615</v>
      </c>
      <c r="O3409" s="13" t="s">
        <v>1068</v>
      </c>
      <c r="P3409" s="19" t="n">
        <v>207044</v>
      </c>
      <c r="Q3409" s="20" t="s">
        <v>14012</v>
      </c>
      <c r="R3409" s="13" t="s">
        <v>39</v>
      </c>
      <c r="S3409" s="14" t="n">
        <v>34689</v>
      </c>
      <c r="T3409" s="13" t="s">
        <v>108</v>
      </c>
      <c r="U3409" s="13" t="s">
        <v>14013</v>
      </c>
      <c r="V3409" s="13" t="s">
        <v>42</v>
      </c>
      <c r="W3409" s="13" t="s">
        <v>54</v>
      </c>
      <c r="X3409" s="21" t="n">
        <v>85785908746</v>
      </c>
      <c r="Y3409" s="22" t="str">
        <f aca="false">O3409</f>
        <v>Production Packer</v>
      </c>
      <c r="Z3409" s="13" t="str">
        <f aca="false">IFERROR(__xludf.dummyfunction("if(BJ3409="""","""",GOOGLETRANSLATE(BJ3409,""auto"",""en""))"),"Production Packer")</f>
        <v>Production Packer</v>
      </c>
      <c r="AA3409" s="23" t="str">
        <f aca="false">IF(C3409="","", CHOOSE(MONTH(C3409),"January","February","March","April","May","June","July","August","September","October","November","December")&amp;" "&amp;DAY(C3409)&amp;MID("thstndrdth",MIN(9,2*RIGHT(DAY(C3409))*(MOD(DAY(C3409)-11,100)&gt;2)+1),2)&amp;","&amp;TEXT(C3409," yyyy"))</f>
        <v>March 9th,2026</v>
      </c>
      <c r="AB3409" s="15" t="str">
        <f aca="true">IF(S3409="","",DATEDIF(S3409,TODAY(),"Y")&amp;" Tahun, "&amp;DATEDIF(S3409,TODAY(),"YM")&amp;" Bulan, "&amp;DATEDIF(S3409,TODAY(),"MD")&amp;" Hari")</f>
        <v>31 Tahun, 10 Bulan, 8 Hari</v>
      </c>
      <c r="AC3409" s="109" t="n">
        <v>46090</v>
      </c>
      <c r="AD3409" s="18" t="n">
        <f aca="false">EDATE(AC3409,3)-1</f>
        <v>46181</v>
      </c>
      <c r="AE3409" s="18" t="s">
        <v>44</v>
      </c>
    </row>
    <row r="3410" customFormat="false" ht="15" hidden="false" customHeight="true" outlineLevel="0" collapsed="false">
      <c r="A3410" s="12" t="n">
        <v>22025</v>
      </c>
      <c r="B3410" s="13" t="s">
        <v>14014</v>
      </c>
      <c r="C3410" s="14" t="n">
        <v>46090</v>
      </c>
      <c r="D3410" s="13" t="s">
        <v>4755</v>
      </c>
      <c r="E3410" s="15" t="s">
        <v>47</v>
      </c>
      <c r="F3410" s="15" t="str">
        <f aca="false">IFERROR(__xludf.dummyfunction("XLOOKUP(AJ3410,IMPORTRANGE(""1XaInW9DU9nz21V0tYIfzFQ0He9kVQ_JF2mCXgZ3hqFA"",""REKAP ALL 2026 - Andika!G:G""),IMPORTRANGE(""1XaInW9DU9nz21V0tYIfzFQ0He9kVQ_JF2mCXgZ3hqFA"",""REKAP ALL 2026 - Andika!F:F""),"""",0)"),"26046411760")</f>
        <v>26046411760</v>
      </c>
      <c r="G3410" s="13" t="s">
        <v>57</v>
      </c>
      <c r="H3410" s="13" t="s">
        <v>3024</v>
      </c>
      <c r="I3410" s="13" t="str">
        <f aca="false">IF(C3410=J3410,"NEW KONTRAK","RE-KONTRAK")</f>
        <v>NEW KONTRAK</v>
      </c>
      <c r="J3410" s="16" t="n">
        <f aca="false" t="array" ref="J3410:J3410">IFERROR(INDEX(AC3410:AE3410,IF(COUNTA(AC3410:AE3410)=0,"",MAX((AC3410:AE3410&lt;&gt;"")*(COLUMN(AC3410:AE3410)-(COLUMN(AC3410)))))-1),"")</f>
        <v>46090</v>
      </c>
      <c r="K3410" s="16" t="n">
        <f aca="false" t="array" ref="K3410:K3410">IFERROR(INDEX(AC3410:AE3410,IF(COUNTA(AC3410:AE3410)=0,"",MAX((AC3410:AE3410&lt;&gt;"")*(COLUMN(AC3410:AE3410)-(COLUMN(AC3410)-1))))-1),"")</f>
        <v>46181</v>
      </c>
      <c r="L3410" s="17" t="str">
        <f aca="false" t="array" ref="L3410:L3410">IFERROR(INDEX(AC3410:AE3410,IF(COUNTA(AC3410:AE3410)=0,"",MAX((AC3410:AE3410&lt;&gt;"")*(COLUMN(AC3410:AE3410)-(COLUMN(AC3410)-2))))-1),"")</f>
        <v>ARCHIVED</v>
      </c>
      <c r="M3410" s="13" t="n">
        <f aca="true">K3410-TODAY()</f>
        <v>-143</v>
      </c>
      <c r="N3410" s="18" t="s">
        <v>615</v>
      </c>
      <c r="O3410" s="13" t="s">
        <v>14015</v>
      </c>
      <c r="P3410" s="19" t="n">
        <v>207044</v>
      </c>
      <c r="Q3410" s="47" t="s">
        <v>14016</v>
      </c>
      <c r="R3410" s="13" t="s">
        <v>232</v>
      </c>
      <c r="S3410" s="16" t="n">
        <v>39090</v>
      </c>
      <c r="T3410" s="28" t="s">
        <v>40</v>
      </c>
      <c r="U3410" s="13" t="s">
        <v>14017</v>
      </c>
      <c r="V3410" s="13" t="s">
        <v>42</v>
      </c>
      <c r="W3410" s="13" t="s">
        <v>43</v>
      </c>
      <c r="X3410" s="30" t="n">
        <v>85195962923</v>
      </c>
      <c r="Y3410" s="22" t="str">
        <f aca="false">O3410</f>
        <v>Production Packer (reliever)</v>
      </c>
      <c r="Z3410" s="13" t="str">
        <f aca="false">IFERROR(__xludf.dummyfunction("if(BJ3410="""","""",GOOGLETRANSLATE(BJ3410,""auto"",""en""))"),"Production Packer (reliever)")</f>
        <v>Production Packer (reliever)</v>
      </c>
      <c r="AA3410" s="23" t="str">
        <f aca="false">IF(C3410="","", CHOOSE(MONTH(C3410),"January","February","March","April","May","June","July","August","September","October","November","December")&amp;" "&amp;DAY(C3410)&amp;MID("thstndrdth",MIN(9,2*RIGHT(DAY(C3410))*(MOD(DAY(C3410)-11,100)&gt;2)+1),2)&amp;","&amp;TEXT(C3410," yyyy"))</f>
        <v>March 9th,2026</v>
      </c>
      <c r="AB3410" s="15" t="str">
        <f aca="true">IF(S3410="","",DATEDIF(S3410,TODAY(),"Y")&amp;" Tahun, "&amp;DATEDIF(S3410,TODAY(),"YM")&amp;" Bulan, "&amp;DATEDIF(S3410,TODAY(),"MD")&amp;" Hari")</f>
        <v>19 Tahun, 9 Bulan, 21 Hari</v>
      </c>
      <c r="AC3410" s="53" t="n">
        <v>46090</v>
      </c>
      <c r="AD3410" s="18" t="n">
        <f aca="false">EDATE(AC3410,3)-1</f>
        <v>46181</v>
      </c>
      <c r="AE3410" s="18" t="s">
        <v>44</v>
      </c>
    </row>
    <row r="3411" customFormat="false" ht="15" hidden="false" customHeight="true" outlineLevel="0" collapsed="false">
      <c r="A3411" s="12" t="n">
        <v>22026</v>
      </c>
      <c r="B3411" s="13" t="s">
        <v>14018</v>
      </c>
      <c r="C3411" s="14" t="n">
        <v>46090</v>
      </c>
      <c r="D3411" s="13" t="s">
        <v>4755</v>
      </c>
      <c r="E3411" s="15" t="s">
        <v>47</v>
      </c>
      <c r="F3411" s="15" t="str">
        <f aca="false">IFERROR(__xludf.dummyfunction("XLOOKUP(AJ3411,IMPORTRANGE(""1XaInW9DU9nz21V0tYIfzFQ0He9kVQ_JF2mCXgZ3hqFA"",""REKAP ALL 2026 - Andika!G:G""),IMPORTRANGE(""1XaInW9DU9nz21V0tYIfzFQ0He9kVQ_JF2mCXgZ3hqFA"",""REKAP ALL 2026 - Andika!F:F""),"""",0)"),"26046411778")</f>
        <v>26046411778</v>
      </c>
      <c r="G3411" s="13" t="s">
        <v>57</v>
      </c>
      <c r="H3411" s="13" t="s">
        <v>3024</v>
      </c>
      <c r="I3411" s="13" t="str">
        <f aca="false">IF(C3411=J3411,"NEW KONTRAK","RE-KONTRAK")</f>
        <v>NEW KONTRAK</v>
      </c>
      <c r="J3411" s="16" t="n">
        <f aca="false" t="array" ref="J3411:J3411">IFERROR(INDEX(AC3411:AE3411,IF(COUNTA(AC3411:AE3411)=0,"",MAX((AC3411:AE3411&lt;&gt;"")*(COLUMN(AC3411:AE3411)-(COLUMN(AC3411)))))-1),"")</f>
        <v>46090</v>
      </c>
      <c r="K3411" s="16" t="n">
        <f aca="false" t="array" ref="K3411:K3411">IFERROR(INDEX(AC3411:AE3411,IF(COUNTA(AC3411:AE3411)=0,"",MAX((AC3411:AE3411&lt;&gt;"")*(COLUMN(AC3411:AE3411)-(COLUMN(AC3411)-1))))-1),"")</f>
        <v>46181</v>
      </c>
      <c r="L3411" s="17" t="str">
        <f aca="false" t="array" ref="L3411:L3411">IFERROR(INDEX(AC3411:AE3411,IF(COUNTA(AC3411:AE3411)=0,"",MAX((AC3411:AE3411&lt;&gt;"")*(COLUMN(AC3411:AE3411)-(COLUMN(AC3411)-2))))-1),"")</f>
        <v>ARCHIVED</v>
      </c>
      <c r="M3411" s="13" t="n">
        <f aca="true">K3411-TODAY()</f>
        <v>-143</v>
      </c>
      <c r="N3411" s="18" t="s">
        <v>615</v>
      </c>
      <c r="O3411" s="13" t="s">
        <v>1068</v>
      </c>
      <c r="P3411" s="19" t="n">
        <v>207044</v>
      </c>
      <c r="Q3411" s="20" t="s">
        <v>14019</v>
      </c>
      <c r="R3411" s="13" t="s">
        <v>232</v>
      </c>
      <c r="S3411" s="14" t="n">
        <v>36892</v>
      </c>
      <c r="T3411" s="13" t="s">
        <v>108</v>
      </c>
      <c r="U3411" s="13" t="s">
        <v>14020</v>
      </c>
      <c r="V3411" s="13" t="s">
        <v>42</v>
      </c>
      <c r="W3411" s="13" t="s">
        <v>43</v>
      </c>
      <c r="X3411" s="21" t="n">
        <v>85732127358</v>
      </c>
      <c r="Y3411" s="22" t="str">
        <f aca="false">O3411</f>
        <v>Production Packer</v>
      </c>
      <c r="Z3411" s="13" t="str">
        <f aca="false">IFERROR(__xludf.dummyfunction("if(BJ3411="""","""",GOOGLETRANSLATE(BJ3411,""auto"",""en""))"),"Production Packer")</f>
        <v>Production Packer</v>
      </c>
      <c r="AA3411" s="23" t="str">
        <f aca="false">IF(C3411="","", CHOOSE(MONTH(C3411),"January","February","March","April","May","June","July","August","September","October","November","December")&amp;" "&amp;DAY(C3411)&amp;MID("thstndrdth",MIN(9,2*RIGHT(DAY(C3411))*(MOD(DAY(C3411)-11,100)&gt;2)+1),2)&amp;","&amp;TEXT(C3411," yyyy"))</f>
        <v>March 9th,2026</v>
      </c>
      <c r="AB3411" s="15" t="str">
        <f aca="true">IF(S3411="","",DATEDIF(S3411,TODAY(),"Y")&amp;" Tahun, "&amp;DATEDIF(S3411,TODAY(),"YM")&amp;" Bulan, "&amp;DATEDIF(S3411,TODAY(),"MD")&amp;" Hari")</f>
        <v>25 Tahun, 9 Bulan, 28 Hari</v>
      </c>
      <c r="AC3411" s="53" t="n">
        <v>46090</v>
      </c>
      <c r="AD3411" s="18" t="n">
        <f aca="false">EDATE(AC3411,3)-1</f>
        <v>46181</v>
      </c>
      <c r="AE3411" s="18" t="s">
        <v>44</v>
      </c>
    </row>
    <row r="3412" customFormat="false" ht="15" hidden="false" customHeight="true" outlineLevel="0" collapsed="false">
      <c r="A3412" s="12" t="n">
        <v>22027</v>
      </c>
      <c r="B3412" s="13" t="s">
        <v>14021</v>
      </c>
      <c r="C3412" s="14" t="n">
        <v>46090</v>
      </c>
      <c r="D3412" s="13" t="s">
        <v>4755</v>
      </c>
      <c r="E3412" s="15" t="s">
        <v>47</v>
      </c>
      <c r="F3412" s="15" t="str">
        <f aca="false">IFERROR(__xludf.dummyfunction("XLOOKUP(AJ3412,IMPORTRANGE(""1XaInW9DU9nz21V0tYIfzFQ0He9kVQ_JF2mCXgZ3hqFA"",""REKAP ALL 2026 - Andika!G:G""),IMPORTRANGE(""1XaInW9DU9nz21V0tYIfzFQ0He9kVQ_JF2mCXgZ3hqFA"",""REKAP ALL 2026 - Andika!F:F""),"""",0)"),"26046411786")</f>
        <v>26046411786</v>
      </c>
      <c r="G3412" s="13" t="s">
        <v>57</v>
      </c>
      <c r="H3412" s="13" t="s">
        <v>3024</v>
      </c>
      <c r="I3412" s="13" t="str">
        <f aca="false">IF(C3412=J3412,"NEW KONTRAK","RE-KONTRAK")</f>
        <v>NEW KONTRAK</v>
      </c>
      <c r="J3412" s="16" t="n">
        <f aca="false" t="array" ref="J3412:J3412">IFERROR(INDEX(AC3412:AE3412,IF(COUNTA(AC3412:AE3412)=0,"",MAX((AC3412:AE3412&lt;&gt;"")*(COLUMN(AC3412:AE3412)-(COLUMN(AC3412)))))-1),"")</f>
        <v>46090</v>
      </c>
      <c r="K3412" s="16" t="n">
        <f aca="false" t="array" ref="K3412:K3412">IFERROR(INDEX(AC3412:AE3412,IF(COUNTA(AC3412:AE3412)=0,"",MAX((AC3412:AE3412&lt;&gt;"")*(COLUMN(AC3412:AE3412)-(COLUMN(AC3412)-1))))-1),"")</f>
        <v>46181</v>
      </c>
      <c r="L3412" s="17" t="str">
        <f aca="false" t="array" ref="L3412:L3412">IFERROR(INDEX(AC3412:AE3412,IF(COUNTA(AC3412:AE3412)=0,"",MAX((AC3412:AE3412&lt;&gt;"")*(COLUMN(AC3412:AE3412)-(COLUMN(AC3412)-2))))-1),"")</f>
        <v>ARCHIVED</v>
      </c>
      <c r="M3412" s="13" t="n">
        <f aca="true">K3412-TODAY()</f>
        <v>-143</v>
      </c>
      <c r="N3412" s="18" t="s">
        <v>615</v>
      </c>
      <c r="O3412" s="13" t="s">
        <v>1068</v>
      </c>
      <c r="P3412" s="19" t="n">
        <v>207044</v>
      </c>
      <c r="Q3412" s="20" t="s">
        <v>14022</v>
      </c>
      <c r="R3412" s="13" t="s">
        <v>232</v>
      </c>
      <c r="S3412" s="14" t="n">
        <v>37062</v>
      </c>
      <c r="T3412" s="13" t="s">
        <v>108</v>
      </c>
      <c r="U3412" s="13" t="s">
        <v>1108</v>
      </c>
      <c r="V3412" s="13" t="s">
        <v>42</v>
      </c>
      <c r="W3412" s="13" t="s">
        <v>43</v>
      </c>
      <c r="X3412" s="21" t="n">
        <v>82245643144</v>
      </c>
      <c r="Y3412" s="22" t="str">
        <f aca="false">O3412</f>
        <v>Production Packer</v>
      </c>
      <c r="Z3412" s="13" t="str">
        <f aca="false">IFERROR(__xludf.dummyfunction("if(BJ3412="""","""",GOOGLETRANSLATE(BJ3412,""auto"",""en""))"),"Production Packer")</f>
        <v>Production Packer</v>
      </c>
      <c r="AA3412" s="23" t="str">
        <f aca="false">IF(C3412="","", CHOOSE(MONTH(C3412),"January","February","March","April","May","June","July","August","September","October","November","December")&amp;" "&amp;DAY(C3412)&amp;MID("thstndrdth",MIN(9,2*RIGHT(DAY(C3412))*(MOD(DAY(C3412)-11,100)&gt;2)+1),2)&amp;","&amp;TEXT(C3412," yyyy"))</f>
        <v>March 9th,2026</v>
      </c>
      <c r="AB3412" s="15" t="str">
        <f aca="true">IF(S3412="","",DATEDIF(S3412,TODAY(),"Y")&amp;" Tahun, "&amp;DATEDIF(S3412,TODAY(),"YM")&amp;" Bulan, "&amp;DATEDIF(S3412,TODAY(),"MD")&amp;" Hari")</f>
        <v>25 Tahun, 4 Bulan, 9 Hari</v>
      </c>
      <c r="AC3412" s="53" t="n">
        <v>46090</v>
      </c>
      <c r="AD3412" s="18" t="n">
        <f aca="false">EDATE(AC3412,3)-1</f>
        <v>46181</v>
      </c>
      <c r="AE3412" s="18" t="s">
        <v>44</v>
      </c>
    </row>
    <row r="3413" customFormat="false" ht="15" hidden="false" customHeight="true" outlineLevel="0" collapsed="false">
      <c r="A3413" s="12" t="n">
        <v>22028</v>
      </c>
      <c r="B3413" s="13" t="s">
        <v>14023</v>
      </c>
      <c r="C3413" s="14" t="n">
        <v>46090</v>
      </c>
      <c r="D3413" s="13" t="s">
        <v>4755</v>
      </c>
      <c r="E3413" s="15" t="s">
        <v>47</v>
      </c>
      <c r="F3413" s="15" t="str">
        <f aca="false">IFERROR(__xludf.dummyfunction("XLOOKUP(AJ3413,IMPORTRANGE(""1XaInW9DU9nz21V0tYIfzFQ0He9kVQ_JF2mCXgZ3hqFA"",""REKAP ALL 2026 - Andika!G:G""),IMPORTRANGE(""1XaInW9DU9nz21V0tYIfzFQ0He9kVQ_JF2mCXgZ3hqFA"",""REKAP ALL 2026 - Andika!F:F""),"""",0)"),"26046411794")</f>
        <v>26046411794</v>
      </c>
      <c r="G3413" s="13" t="s">
        <v>57</v>
      </c>
      <c r="H3413" s="13" t="s">
        <v>3024</v>
      </c>
      <c r="I3413" s="13" t="str">
        <f aca="false">IF(C3413=J3413,"NEW KONTRAK","RE-KONTRAK")</f>
        <v>NEW KONTRAK</v>
      </c>
      <c r="J3413" s="16" t="n">
        <f aca="false" t="array" ref="J3413:J3413">IFERROR(INDEX(AC3413:AE3413,IF(COUNTA(AC3413:AE3413)=0,"",MAX((AC3413:AE3413&lt;&gt;"")*(COLUMN(AC3413:AE3413)-(COLUMN(AC3413)))))-1),"")</f>
        <v>46090</v>
      </c>
      <c r="K3413" s="16" t="n">
        <f aca="false" t="array" ref="K3413:K3413">IFERROR(INDEX(AC3413:AE3413,IF(COUNTA(AC3413:AE3413)=0,"",MAX((AC3413:AE3413&lt;&gt;"")*(COLUMN(AC3413:AE3413)-(COLUMN(AC3413)-1))))-1),"")</f>
        <v>46181</v>
      </c>
      <c r="L3413" s="17" t="str">
        <f aca="false" t="array" ref="L3413:L3413">IFERROR(INDEX(AC3413:AE3413,IF(COUNTA(AC3413:AE3413)=0,"",MAX((AC3413:AE3413&lt;&gt;"")*(COLUMN(AC3413:AE3413)-(COLUMN(AC3413)-2))))-1),"")</f>
        <v>ARCHIVED</v>
      </c>
      <c r="M3413" s="13" t="n">
        <f aca="true">K3413-TODAY()</f>
        <v>-143</v>
      </c>
      <c r="N3413" s="18" t="s">
        <v>615</v>
      </c>
      <c r="O3413" s="13" t="s">
        <v>14015</v>
      </c>
      <c r="P3413" s="19" t="n">
        <v>207044</v>
      </c>
      <c r="Q3413" s="20" t="s">
        <v>14024</v>
      </c>
      <c r="R3413" s="13" t="s">
        <v>232</v>
      </c>
      <c r="S3413" s="16" t="n">
        <v>37820</v>
      </c>
      <c r="T3413" s="13" t="s">
        <v>40</v>
      </c>
      <c r="U3413" s="13" t="s">
        <v>14017</v>
      </c>
      <c r="V3413" s="13" t="s">
        <v>42</v>
      </c>
      <c r="W3413" s="13" t="s">
        <v>43</v>
      </c>
      <c r="X3413" s="21" t="n">
        <v>85815267707</v>
      </c>
      <c r="Y3413" s="22" t="str">
        <f aca="false">O3413</f>
        <v>Production Packer (reliever)</v>
      </c>
      <c r="Z3413" s="13" t="str">
        <f aca="false">IFERROR(__xludf.dummyfunction("if(BJ3413="""","""",GOOGLETRANSLATE(BJ3413,""auto"",""en""))"),"Production Packer (reliever)")</f>
        <v>Production Packer (reliever)</v>
      </c>
      <c r="AA3413" s="23" t="str">
        <f aca="false">IF(C3413="","", CHOOSE(MONTH(C3413),"January","February","March","April","May","June","July","August","September","October","November","December")&amp;" "&amp;DAY(C3413)&amp;MID("thstndrdth",MIN(9,2*RIGHT(DAY(C3413))*(MOD(DAY(C3413)-11,100)&gt;2)+1),2)&amp;","&amp;TEXT(C3413," yyyy"))</f>
        <v>March 9th,2026</v>
      </c>
      <c r="AB3413" s="15" t="str">
        <f aca="true">IF(S3413="","",DATEDIF(S3413,TODAY(),"Y")&amp;" Tahun, "&amp;DATEDIF(S3413,TODAY(),"YM")&amp;" Bulan, "&amp;DATEDIF(S3413,TODAY(),"MD")&amp;" Hari")</f>
        <v>23 Tahun, 3 Bulan, 11 Hari</v>
      </c>
      <c r="AC3413" s="53" t="n">
        <v>46090</v>
      </c>
      <c r="AD3413" s="18" t="n">
        <f aca="false">EDATE(AC3413,3)-1</f>
        <v>46181</v>
      </c>
      <c r="AE3413" s="18" t="s">
        <v>44</v>
      </c>
    </row>
    <row r="3414" customFormat="false" ht="15" hidden="false" customHeight="true" outlineLevel="0" collapsed="false">
      <c r="A3414" s="12" t="n">
        <v>22029</v>
      </c>
      <c r="B3414" s="13" t="s">
        <v>14025</v>
      </c>
      <c r="C3414" s="14" t="n">
        <v>46090</v>
      </c>
      <c r="D3414" s="13" t="s">
        <v>4755</v>
      </c>
      <c r="E3414" s="15" t="s">
        <v>47</v>
      </c>
      <c r="F3414" s="15" t="str">
        <f aca="false">IFERROR(__xludf.dummyfunction("XLOOKUP(AJ3414,IMPORTRANGE(""1XaInW9DU9nz21V0tYIfzFQ0He9kVQ_JF2mCXgZ3hqFA"",""REKAP ALL 2026 - Andika!G:G""),IMPORTRANGE(""1XaInW9DU9nz21V0tYIfzFQ0He9kVQ_JF2mCXgZ3hqFA"",""REKAP ALL 2026 - Andika!F:F""),"""",0)"),"26046411802")</f>
        <v>26046411802</v>
      </c>
      <c r="G3414" s="13" t="s">
        <v>57</v>
      </c>
      <c r="H3414" s="13" t="s">
        <v>3024</v>
      </c>
      <c r="I3414" s="13" t="str">
        <f aca="false">IF(C3414=J3414,"NEW KONTRAK","RE-KONTRAK")</f>
        <v>NEW KONTRAK</v>
      </c>
      <c r="J3414" s="16" t="n">
        <f aca="false" t="array" ref="J3414:J3414">IFERROR(INDEX(AC3414:AE3414,IF(COUNTA(AC3414:AE3414)=0,"",MAX((AC3414:AE3414&lt;&gt;"")*(COLUMN(AC3414:AE3414)-(COLUMN(AC3414)))))-1),"")</f>
        <v>46090</v>
      </c>
      <c r="K3414" s="16" t="n">
        <f aca="false" t="array" ref="K3414:K3414">IFERROR(INDEX(AC3414:AE3414,IF(COUNTA(AC3414:AE3414)=0,"",MAX((AC3414:AE3414&lt;&gt;"")*(COLUMN(AC3414:AE3414)-(COLUMN(AC3414)-1))))-1),"")</f>
        <v>46181</v>
      </c>
      <c r="L3414" s="17" t="str">
        <f aca="false" t="array" ref="L3414:L3414">IFERROR(INDEX(AC3414:AE3414,IF(COUNTA(AC3414:AE3414)=0,"",MAX((AC3414:AE3414&lt;&gt;"")*(COLUMN(AC3414:AE3414)-(COLUMN(AC3414)-2))))-1),"")</f>
        <v>ARCHIVED</v>
      </c>
      <c r="M3414" s="13" t="n">
        <f aca="true">K3414-TODAY()</f>
        <v>-143</v>
      </c>
      <c r="N3414" s="18" t="s">
        <v>615</v>
      </c>
      <c r="O3414" s="13" t="s">
        <v>14015</v>
      </c>
      <c r="P3414" s="19" t="n">
        <v>207044</v>
      </c>
      <c r="Q3414" s="20" t="s">
        <v>14026</v>
      </c>
      <c r="R3414" s="13" t="s">
        <v>232</v>
      </c>
      <c r="S3414" s="16" t="n">
        <v>38948</v>
      </c>
      <c r="T3414" s="13" t="s">
        <v>40</v>
      </c>
      <c r="U3414" s="13" t="s">
        <v>14017</v>
      </c>
      <c r="V3414" s="13" t="s">
        <v>42</v>
      </c>
      <c r="W3414" s="13" t="s">
        <v>43</v>
      </c>
      <c r="X3414" s="21" t="n">
        <v>85730508635</v>
      </c>
      <c r="Y3414" s="22" t="str">
        <f aca="false">O3414</f>
        <v>Production Packer (reliever)</v>
      </c>
      <c r="Z3414" s="13" t="str">
        <f aca="false">IFERROR(__xludf.dummyfunction("if(BJ3414="""","""",GOOGLETRANSLATE(BJ3414,""auto"",""en""))"),"Production Packer (reliever)")</f>
        <v>Production Packer (reliever)</v>
      </c>
      <c r="AA3414" s="23" t="str">
        <f aca="false">IF(C3414="","", CHOOSE(MONTH(C3414),"January","February","March","April","May","June","July","August","September","October","November","December")&amp;" "&amp;DAY(C3414)&amp;MID("thstndrdth",MIN(9,2*RIGHT(DAY(C3414))*(MOD(DAY(C3414)-11,100)&gt;2)+1),2)&amp;","&amp;TEXT(C3414," yyyy"))</f>
        <v>March 9th,2026</v>
      </c>
      <c r="AB3414" s="15" t="str">
        <f aca="true">IF(S3414="","",DATEDIF(S3414,TODAY(),"Y")&amp;" Tahun, "&amp;DATEDIF(S3414,TODAY(),"YM")&amp;" Bulan, "&amp;DATEDIF(S3414,TODAY(),"MD")&amp;" Hari")</f>
        <v>20 Tahun, 2 Bulan, 10 Hari</v>
      </c>
      <c r="AC3414" s="53" t="n">
        <v>46090</v>
      </c>
      <c r="AD3414" s="18" t="n">
        <f aca="false">EDATE(AC3414,3)-1</f>
        <v>46181</v>
      </c>
      <c r="AE3414" s="18" t="s">
        <v>44</v>
      </c>
    </row>
    <row r="3415" customFormat="false" ht="15" hidden="false" customHeight="true" outlineLevel="0" collapsed="false">
      <c r="A3415" s="12" t="n">
        <v>22030</v>
      </c>
      <c r="B3415" s="13" t="s">
        <v>14027</v>
      </c>
      <c r="C3415" s="14" t="n">
        <v>46090</v>
      </c>
      <c r="D3415" s="13" t="s">
        <v>4755</v>
      </c>
      <c r="E3415" s="15" t="s">
        <v>47</v>
      </c>
      <c r="F3415" s="15" t="str">
        <f aca="false">IFERROR(__xludf.dummyfunction("XLOOKUP(AJ3415,IMPORTRANGE(""1XaInW9DU9nz21V0tYIfzFQ0He9kVQ_JF2mCXgZ3hqFA"",""REKAP ALL 2026 - Andika!G:G""),IMPORTRANGE(""1XaInW9DU9nz21V0tYIfzFQ0He9kVQ_JF2mCXgZ3hqFA"",""REKAP ALL 2026 - Andika!F:F""),"""",0)"),"26046411810")</f>
        <v>26046411810</v>
      </c>
      <c r="G3415" s="13" t="s">
        <v>57</v>
      </c>
      <c r="H3415" s="13" t="s">
        <v>3024</v>
      </c>
      <c r="I3415" s="13" t="str">
        <f aca="false">IF(C3415=J3415,"NEW KONTRAK","RE-KONTRAK")</f>
        <v>NEW KONTRAK</v>
      </c>
      <c r="J3415" s="16" t="n">
        <f aca="false" t="array" ref="J3415:J3415">IFERROR(INDEX(AC3415:AE3415,IF(COUNTA(AC3415:AE3415)=0,"",MAX((AC3415:AE3415&lt;&gt;"")*(COLUMN(AC3415:AE3415)-(COLUMN(AC3415)))))-1),"")</f>
        <v>46090</v>
      </c>
      <c r="K3415" s="16" t="n">
        <f aca="false" t="array" ref="K3415:K3415">IFERROR(INDEX(AC3415:AE3415,IF(COUNTA(AC3415:AE3415)=0,"",MAX((AC3415:AE3415&lt;&gt;"")*(COLUMN(AC3415:AE3415)-(COLUMN(AC3415)-1))))-1),"")</f>
        <v>46181</v>
      </c>
      <c r="L3415" s="17" t="str">
        <f aca="false" t="array" ref="L3415:L3415">IFERROR(INDEX(AC3415:AE3415,IF(COUNTA(AC3415:AE3415)=0,"",MAX((AC3415:AE3415&lt;&gt;"")*(COLUMN(AC3415:AE3415)-(COLUMN(AC3415)-2))))-1),"")</f>
        <v>ARCHIVED</v>
      </c>
      <c r="M3415" s="13" t="n">
        <f aca="true">K3415-TODAY()</f>
        <v>-143</v>
      </c>
      <c r="N3415" s="18" t="s">
        <v>615</v>
      </c>
      <c r="O3415" s="13" t="s">
        <v>14015</v>
      </c>
      <c r="P3415" s="19" t="n">
        <v>207044</v>
      </c>
      <c r="Q3415" s="20" t="s">
        <v>14028</v>
      </c>
      <c r="R3415" s="13" t="s">
        <v>232</v>
      </c>
      <c r="S3415" s="14" t="n">
        <v>35863</v>
      </c>
      <c r="T3415" s="13" t="s">
        <v>40</v>
      </c>
      <c r="U3415" s="13" t="s">
        <v>14029</v>
      </c>
      <c r="V3415" s="13" t="s">
        <v>42</v>
      </c>
      <c r="W3415" s="13" t="s">
        <v>54</v>
      </c>
      <c r="X3415" s="21" t="n">
        <v>85885977368</v>
      </c>
      <c r="Y3415" s="22" t="str">
        <f aca="false">O3415</f>
        <v>Production Packer (reliever)</v>
      </c>
      <c r="Z3415" s="13" t="str">
        <f aca="false">IFERROR(__xludf.dummyfunction("if(BJ3415="""","""",GOOGLETRANSLATE(BJ3415,""auto"",""en""))"),"Production Packer (reliever)")</f>
        <v>Production Packer (reliever)</v>
      </c>
      <c r="AA3415" s="23" t="str">
        <f aca="false">IF(C3415="","", CHOOSE(MONTH(C3415),"January","February","March","April","May","June","July","August","September","October","November","December")&amp;" "&amp;DAY(C3415)&amp;MID("thstndrdth",MIN(9,2*RIGHT(DAY(C3415))*(MOD(DAY(C3415)-11,100)&gt;2)+1),2)&amp;","&amp;TEXT(C3415," yyyy"))</f>
        <v>March 9th,2026</v>
      </c>
      <c r="AB3415" s="15" t="str">
        <f aca="true">IF(S3415="","",DATEDIF(S3415,TODAY(),"Y")&amp;" Tahun, "&amp;DATEDIF(S3415,TODAY(),"YM")&amp;" Bulan, "&amp;DATEDIF(S3415,TODAY(),"MD")&amp;" Hari")</f>
        <v>28 Tahun, 7 Bulan, 20 Hari</v>
      </c>
      <c r="AC3415" s="53" t="n">
        <v>46090</v>
      </c>
      <c r="AD3415" s="18" t="n">
        <f aca="false">EDATE(AC3415,3)-1</f>
        <v>46181</v>
      </c>
      <c r="AE3415" s="18" t="s">
        <v>44</v>
      </c>
    </row>
    <row r="3416" customFormat="false" ht="15" hidden="false" customHeight="true" outlineLevel="0" collapsed="false">
      <c r="A3416" s="12" t="n">
        <v>22031</v>
      </c>
      <c r="B3416" s="13" t="s">
        <v>14030</v>
      </c>
      <c r="C3416" s="14" t="n">
        <v>46090</v>
      </c>
      <c r="D3416" s="13" t="s">
        <v>4755</v>
      </c>
      <c r="E3416" s="15" t="s">
        <v>47</v>
      </c>
      <c r="F3416" s="15" t="str">
        <f aca="false">IFERROR(__xludf.dummyfunction("XLOOKUP(AJ3416,IMPORTRANGE(""1XaInW9DU9nz21V0tYIfzFQ0He9kVQ_JF2mCXgZ3hqFA"",""REKAP ALL 2026 - Andika!G:G""),IMPORTRANGE(""1XaInW9DU9nz21V0tYIfzFQ0He9kVQ_JF2mCXgZ3hqFA"",""REKAP ALL 2026 - Andika!F:F""),"""",0)"),"26046411828")</f>
        <v>26046411828</v>
      </c>
      <c r="G3416" s="13" t="s">
        <v>57</v>
      </c>
      <c r="H3416" s="13" t="s">
        <v>3024</v>
      </c>
      <c r="I3416" s="13" t="str">
        <f aca="false">IF(C3416=J3416,"NEW KONTRAK","RE-KONTRAK")</f>
        <v>NEW KONTRAK</v>
      </c>
      <c r="J3416" s="16" t="n">
        <f aca="false" t="array" ref="J3416:J3416">IFERROR(INDEX(AC3416:AE3416,IF(COUNTA(AC3416:AE3416)=0,"",MAX((AC3416:AE3416&lt;&gt;"")*(COLUMN(AC3416:AE3416)-(COLUMN(AC3416)))))-1),"")</f>
        <v>46090</v>
      </c>
      <c r="K3416" s="16" t="n">
        <f aca="false" t="array" ref="K3416:K3416">IFERROR(INDEX(AC3416:AE3416,IF(COUNTA(AC3416:AE3416)=0,"",MAX((AC3416:AE3416&lt;&gt;"")*(COLUMN(AC3416:AE3416)-(COLUMN(AC3416)-1))))-1),"")</f>
        <v>46181</v>
      </c>
      <c r="L3416" s="17" t="str">
        <f aca="false" t="array" ref="L3416:L3416">IFERROR(INDEX(AC3416:AE3416,IF(COUNTA(AC3416:AE3416)=0,"",MAX((AC3416:AE3416&lt;&gt;"")*(COLUMN(AC3416:AE3416)-(COLUMN(AC3416)-2))))-1),"")</f>
        <v>ARCHIVED</v>
      </c>
      <c r="M3416" s="13" t="n">
        <f aca="true">K3416-TODAY()</f>
        <v>-143</v>
      </c>
      <c r="N3416" s="18" t="s">
        <v>615</v>
      </c>
      <c r="O3416" s="13" t="s">
        <v>14015</v>
      </c>
      <c r="P3416" s="19" t="n">
        <v>207044</v>
      </c>
      <c r="Q3416" s="20" t="s">
        <v>14031</v>
      </c>
      <c r="R3416" s="13" t="s">
        <v>232</v>
      </c>
      <c r="S3416" s="16" t="n">
        <v>38975</v>
      </c>
      <c r="T3416" s="13" t="s">
        <v>40</v>
      </c>
      <c r="U3416" s="13" t="s">
        <v>14032</v>
      </c>
      <c r="V3416" s="13" t="s">
        <v>42</v>
      </c>
      <c r="W3416" s="13" t="s">
        <v>43</v>
      </c>
      <c r="X3416" s="21" t="n">
        <v>87784500267</v>
      </c>
      <c r="Y3416" s="22" t="str">
        <f aca="false">O3416</f>
        <v>Production Packer (reliever)</v>
      </c>
      <c r="Z3416" s="13" t="str">
        <f aca="false">IFERROR(__xludf.dummyfunction("if(BJ3416="""","""",GOOGLETRANSLATE(BJ3416,""auto"",""en""))"),"Production Packer (reliever)")</f>
        <v>Production Packer (reliever)</v>
      </c>
      <c r="AA3416" s="23" t="str">
        <f aca="false">IF(C3416="","", CHOOSE(MONTH(C3416),"January","February","March","April","May","June","July","August","September","October","November","December")&amp;" "&amp;DAY(C3416)&amp;MID("thstndrdth",MIN(9,2*RIGHT(DAY(C3416))*(MOD(DAY(C3416)-11,100)&gt;2)+1),2)&amp;","&amp;TEXT(C3416," yyyy"))</f>
        <v>March 9th,2026</v>
      </c>
      <c r="AB3416" s="15" t="str">
        <f aca="true">IF(S3416="","",DATEDIF(S3416,TODAY(),"Y")&amp;" Tahun, "&amp;DATEDIF(S3416,TODAY(),"YM")&amp;" Bulan, "&amp;DATEDIF(S3416,TODAY(),"MD")&amp;" Hari")</f>
        <v>20 Tahun, 1 Bulan, 14 Hari</v>
      </c>
      <c r="AC3416" s="53" t="n">
        <v>46090</v>
      </c>
      <c r="AD3416" s="18" t="n">
        <f aca="false">EDATE(AC3416,3)-1</f>
        <v>46181</v>
      </c>
      <c r="AE3416" s="18" t="s">
        <v>44</v>
      </c>
    </row>
    <row r="3417" customFormat="false" ht="15" hidden="false" customHeight="true" outlineLevel="0" collapsed="false">
      <c r="A3417" s="12" t="n">
        <v>22032</v>
      </c>
      <c r="B3417" s="13" t="s">
        <v>14033</v>
      </c>
      <c r="C3417" s="14" t="n">
        <v>46090</v>
      </c>
      <c r="D3417" s="13" t="s">
        <v>4755</v>
      </c>
      <c r="E3417" s="15" t="s">
        <v>47</v>
      </c>
      <c r="F3417" s="15" t="str">
        <f aca="false">IFERROR(__xludf.dummyfunction("XLOOKUP(AJ3417,IMPORTRANGE(""1XaInW9DU9nz21V0tYIfzFQ0He9kVQ_JF2mCXgZ3hqFA"",""REKAP ALL 2026 - Andika!G:G""),IMPORTRANGE(""1XaInW9DU9nz21V0tYIfzFQ0He9kVQ_JF2mCXgZ3hqFA"",""REKAP ALL 2026 - Andika!F:F""),"""",0)"),"26046411844")</f>
        <v>26046411844</v>
      </c>
      <c r="G3417" s="13" t="s">
        <v>57</v>
      </c>
      <c r="H3417" s="13" t="s">
        <v>3024</v>
      </c>
      <c r="I3417" s="13" t="str">
        <f aca="false">IF(C3417=J3417,"NEW KONTRAK","RE-KONTRAK")</f>
        <v>NEW KONTRAK</v>
      </c>
      <c r="J3417" s="16" t="n">
        <f aca="false" t="array" ref="J3417:J3417">IFERROR(INDEX(AC3417:AE3417,IF(COUNTA(AC3417:AE3417)=0,"",MAX((AC3417:AE3417&lt;&gt;"")*(COLUMN(AC3417:AE3417)-(COLUMN(AC3417)))))-1),"")</f>
        <v>46090</v>
      </c>
      <c r="K3417" s="16" t="n">
        <f aca="false" t="array" ref="K3417:K3417">IFERROR(INDEX(AC3417:AE3417,IF(COUNTA(AC3417:AE3417)=0,"",MAX((AC3417:AE3417&lt;&gt;"")*(COLUMN(AC3417:AE3417)-(COLUMN(AC3417)-1))))-1),"")</f>
        <v>46181</v>
      </c>
      <c r="L3417" s="17" t="str">
        <f aca="false" t="array" ref="L3417:L3417">IFERROR(INDEX(AC3417:AE3417,IF(COUNTA(AC3417:AE3417)=0,"",MAX((AC3417:AE3417&lt;&gt;"")*(COLUMN(AC3417:AE3417)-(COLUMN(AC3417)-2))))-1),"")</f>
        <v>ARCHIVED</v>
      </c>
      <c r="M3417" s="13" t="n">
        <f aca="true">K3417-TODAY()</f>
        <v>-143</v>
      </c>
      <c r="N3417" s="18" t="s">
        <v>615</v>
      </c>
      <c r="O3417" s="13" t="s">
        <v>14015</v>
      </c>
      <c r="P3417" s="19" t="n">
        <v>207044</v>
      </c>
      <c r="Q3417" s="20" t="s">
        <v>14034</v>
      </c>
      <c r="R3417" s="13" t="s">
        <v>232</v>
      </c>
      <c r="S3417" s="16" t="n">
        <v>38869</v>
      </c>
      <c r="T3417" s="13" t="s">
        <v>40</v>
      </c>
      <c r="U3417" s="13" t="s">
        <v>10913</v>
      </c>
      <c r="V3417" s="13" t="s">
        <v>42</v>
      </c>
      <c r="W3417" s="13" t="s">
        <v>43</v>
      </c>
      <c r="X3417" s="21" t="n">
        <v>87888759668</v>
      </c>
      <c r="Y3417" s="22" t="str">
        <f aca="false">O3417</f>
        <v>Production Packer (reliever)</v>
      </c>
      <c r="Z3417" s="13" t="str">
        <f aca="false">IFERROR(__xludf.dummyfunction("if(BJ3417="""","""",GOOGLETRANSLATE(BJ3417,""auto"",""en""))"),"Production Packer (reliever)")</f>
        <v>Production Packer (reliever)</v>
      </c>
      <c r="AA3417" s="23" t="str">
        <f aca="false">IF(C3417="","", CHOOSE(MONTH(C3417),"January","February","March","April","May","June","July","August","September","October","November","December")&amp;" "&amp;DAY(C3417)&amp;MID("thstndrdth",MIN(9,2*RIGHT(DAY(C3417))*(MOD(DAY(C3417)-11,100)&gt;2)+1),2)&amp;","&amp;TEXT(C3417," yyyy"))</f>
        <v>March 9th,2026</v>
      </c>
      <c r="AB3417" s="15" t="str">
        <f aca="true">IF(S3417="","",DATEDIF(S3417,TODAY(),"Y")&amp;" Tahun, "&amp;DATEDIF(S3417,TODAY(),"YM")&amp;" Bulan, "&amp;DATEDIF(S3417,TODAY(),"MD")&amp;" Hari")</f>
        <v>20 Tahun, 4 Bulan, 28 Hari</v>
      </c>
      <c r="AC3417" s="53" t="n">
        <v>46090</v>
      </c>
      <c r="AD3417" s="18" t="n">
        <f aca="false">EDATE(AC3417,3)-1</f>
        <v>46181</v>
      </c>
      <c r="AE3417" s="18" t="s">
        <v>44</v>
      </c>
    </row>
    <row r="3418" customFormat="false" ht="15" hidden="false" customHeight="true" outlineLevel="0" collapsed="false">
      <c r="A3418" s="12" t="n">
        <v>22033</v>
      </c>
      <c r="B3418" s="13" t="s">
        <v>14035</v>
      </c>
      <c r="C3418" s="14" t="n">
        <v>46090</v>
      </c>
      <c r="D3418" s="13" t="s">
        <v>4755</v>
      </c>
      <c r="E3418" s="15" t="s">
        <v>47</v>
      </c>
      <c r="F3418" s="15" t="str">
        <f aca="false">IFERROR(__xludf.dummyfunction("XLOOKUP(AJ3418,IMPORTRANGE(""1XaInW9DU9nz21V0tYIfzFQ0He9kVQ_JF2mCXgZ3hqFA"",""REKAP ALL 2026 - Andika!G:G""),IMPORTRANGE(""1XaInW9DU9nz21V0tYIfzFQ0He9kVQ_JF2mCXgZ3hqFA"",""REKAP ALL 2026 - Andika!F:F""),"""",0)"),"26046411869")</f>
        <v>26046411869</v>
      </c>
      <c r="G3418" s="13" t="s">
        <v>57</v>
      </c>
      <c r="H3418" s="13" t="s">
        <v>3024</v>
      </c>
      <c r="I3418" s="13" t="str">
        <f aca="false">IF(C3418=J3418,"NEW KONTRAK","RE-KONTRAK")</f>
        <v>NEW KONTRAK</v>
      </c>
      <c r="J3418" s="16" t="n">
        <f aca="false" t="array" ref="J3418:J3418">IFERROR(INDEX(AC3418:AE3418,IF(COUNTA(AC3418:AE3418)=0,"",MAX((AC3418:AE3418&lt;&gt;"")*(COLUMN(AC3418:AE3418)-(COLUMN(AC3418)))))-1),"")</f>
        <v>46090</v>
      </c>
      <c r="K3418" s="16" t="n">
        <f aca="false" t="array" ref="K3418:K3418">IFERROR(INDEX(AC3418:AE3418,IF(COUNTA(AC3418:AE3418)=0,"",MAX((AC3418:AE3418&lt;&gt;"")*(COLUMN(AC3418:AE3418)-(COLUMN(AC3418)-1))))-1),"")</f>
        <v>46181</v>
      </c>
      <c r="L3418" s="17" t="str">
        <f aca="false" t="array" ref="L3418:L3418">IFERROR(INDEX(AC3418:AE3418,IF(COUNTA(AC3418:AE3418)=0,"",MAX((AC3418:AE3418&lt;&gt;"")*(COLUMN(AC3418:AE3418)-(COLUMN(AC3418)-2))))-1),"")</f>
        <v>ARCHIVED</v>
      </c>
      <c r="M3418" s="13" t="n">
        <f aca="true">K3418-TODAY()</f>
        <v>-143</v>
      </c>
      <c r="N3418" s="18" t="s">
        <v>615</v>
      </c>
      <c r="O3418" s="13" t="s">
        <v>14015</v>
      </c>
      <c r="P3418" s="19" t="n">
        <v>207044</v>
      </c>
      <c r="Q3418" s="20" t="s">
        <v>14036</v>
      </c>
      <c r="R3418" s="13" t="s">
        <v>232</v>
      </c>
      <c r="S3418" s="16" t="n">
        <v>37793</v>
      </c>
      <c r="T3418" s="28" t="s">
        <v>40</v>
      </c>
      <c r="U3418" s="13" t="s">
        <v>14037</v>
      </c>
      <c r="V3418" s="13" t="s">
        <v>42</v>
      </c>
      <c r="W3418" s="13" t="s">
        <v>43</v>
      </c>
      <c r="X3418" s="30" t="n">
        <v>85109584982</v>
      </c>
      <c r="Y3418" s="22" t="str">
        <f aca="false">O3418</f>
        <v>Production Packer (reliever)</v>
      </c>
      <c r="Z3418" s="13" t="str">
        <f aca="false">IFERROR(__xludf.dummyfunction("if(BJ3418="""","""",GOOGLETRANSLATE(BJ3418,""auto"",""en""))"),"Production Packer (reliever)")</f>
        <v>Production Packer (reliever)</v>
      </c>
      <c r="AA3418" s="23" t="str">
        <f aca="false">IF(C3418="","", CHOOSE(MONTH(C3418),"January","February","March","April","May","June","July","August","September","October","November","December")&amp;" "&amp;DAY(C3418)&amp;MID("thstndrdth",MIN(9,2*RIGHT(DAY(C3418))*(MOD(DAY(C3418)-11,100)&gt;2)+1),2)&amp;","&amp;TEXT(C3418," yyyy"))</f>
        <v>March 9th,2026</v>
      </c>
      <c r="AB3418" s="15" t="str">
        <f aca="true">IF(S3418="","",DATEDIF(S3418,TODAY(),"Y")&amp;" Tahun, "&amp;DATEDIF(S3418,TODAY(),"YM")&amp;" Bulan, "&amp;DATEDIF(S3418,TODAY(),"MD")&amp;" Hari")</f>
        <v>23 Tahun, 4 Bulan, 8 Hari</v>
      </c>
      <c r="AC3418" s="53" t="n">
        <v>46090</v>
      </c>
      <c r="AD3418" s="18" t="n">
        <f aca="false">EDATE(AC3418,3)-1</f>
        <v>46181</v>
      </c>
      <c r="AE3418" s="18" t="s">
        <v>44</v>
      </c>
    </row>
    <row r="3419" customFormat="false" ht="15" hidden="false" customHeight="true" outlineLevel="0" collapsed="false">
      <c r="A3419" s="12" t="n">
        <v>22034</v>
      </c>
      <c r="B3419" s="13" t="s">
        <v>14038</v>
      </c>
      <c r="C3419" s="14" t="n">
        <v>46090</v>
      </c>
      <c r="D3419" s="13" t="s">
        <v>4755</v>
      </c>
      <c r="E3419" s="15" t="s">
        <v>47</v>
      </c>
      <c r="F3419" s="15" t="str">
        <f aca="false">IFERROR(__xludf.dummyfunction("XLOOKUP(AJ3419,IMPORTRANGE(""1XaInW9DU9nz21V0tYIfzFQ0He9kVQ_JF2mCXgZ3hqFA"",""REKAP ALL 2026 - Andika!G:G""),IMPORTRANGE(""1XaInW9DU9nz21V0tYIfzFQ0He9kVQ_JF2mCXgZ3hqFA"",""REKAP ALL 2026 - Andika!F:F""),"""",0)"),"26046411877")</f>
        <v>26046411877</v>
      </c>
      <c r="G3419" s="13" t="s">
        <v>57</v>
      </c>
      <c r="H3419" s="13" t="s">
        <v>3024</v>
      </c>
      <c r="I3419" s="13" t="str">
        <f aca="false">IF(C3419=J3419,"NEW KONTRAK","RE-KONTRAK")</f>
        <v>NEW KONTRAK</v>
      </c>
      <c r="J3419" s="16" t="n">
        <f aca="false" t="array" ref="J3419:J3419">IFERROR(INDEX(AC3419:AE3419,IF(COUNTA(AC3419:AE3419)=0,"",MAX((AC3419:AE3419&lt;&gt;"")*(COLUMN(AC3419:AE3419)-(COLUMN(AC3419)))))-1),"")</f>
        <v>46090</v>
      </c>
      <c r="K3419" s="16" t="n">
        <f aca="false" t="array" ref="K3419:K3419">IFERROR(INDEX(AC3419:AE3419,IF(COUNTA(AC3419:AE3419)=0,"",MAX((AC3419:AE3419&lt;&gt;"")*(COLUMN(AC3419:AE3419)-(COLUMN(AC3419)-1))))-1),"")</f>
        <v>46181</v>
      </c>
      <c r="L3419" s="17" t="str">
        <f aca="false" t="array" ref="L3419:L3419">IFERROR(INDEX(AC3419:AE3419,IF(COUNTA(AC3419:AE3419)=0,"",MAX((AC3419:AE3419&lt;&gt;"")*(COLUMN(AC3419:AE3419)-(COLUMN(AC3419)-2))))-1),"")</f>
        <v>ARCHIVED</v>
      </c>
      <c r="M3419" s="13" t="n">
        <f aca="true">K3419-TODAY()</f>
        <v>-143</v>
      </c>
      <c r="N3419" s="18" t="s">
        <v>615</v>
      </c>
      <c r="O3419" s="13" t="s">
        <v>14015</v>
      </c>
      <c r="P3419" s="19" t="n">
        <v>207044</v>
      </c>
      <c r="Q3419" s="20" t="s">
        <v>14039</v>
      </c>
      <c r="R3419" s="13" t="s">
        <v>232</v>
      </c>
      <c r="S3419" s="16" t="n">
        <v>38738</v>
      </c>
      <c r="T3419" s="28" t="s">
        <v>40</v>
      </c>
      <c r="U3419" s="13" t="s">
        <v>14040</v>
      </c>
      <c r="V3419" s="13" t="s">
        <v>42</v>
      </c>
      <c r="W3419" s="13" t="s">
        <v>43</v>
      </c>
      <c r="X3419" s="30" t="n">
        <v>85844948126</v>
      </c>
      <c r="Y3419" s="22" t="str">
        <f aca="false">O3419</f>
        <v>Production Packer (reliever)</v>
      </c>
      <c r="Z3419" s="13" t="str">
        <f aca="false">IFERROR(__xludf.dummyfunction("if(BJ3419="""","""",GOOGLETRANSLATE(BJ3419,""auto"",""en""))"),"Production Packer (reliever)")</f>
        <v>Production Packer (reliever)</v>
      </c>
      <c r="AA3419" s="23" t="str">
        <f aca="false">IF(C3419="","", CHOOSE(MONTH(C3419),"January","February","March","April","May","June","July","August","September","October","November","December")&amp;" "&amp;DAY(C3419)&amp;MID("thstndrdth",MIN(9,2*RIGHT(DAY(C3419))*(MOD(DAY(C3419)-11,100)&gt;2)+1),2)&amp;","&amp;TEXT(C3419," yyyy"))</f>
        <v>March 9th,2026</v>
      </c>
      <c r="AB3419" s="15" t="str">
        <f aca="true">IF(S3419="","",DATEDIF(S3419,TODAY(),"Y")&amp;" Tahun, "&amp;DATEDIF(S3419,TODAY(),"YM")&amp;" Bulan, "&amp;DATEDIF(S3419,TODAY(),"MD")&amp;" Hari")</f>
        <v>20 Tahun, 9 Bulan, 8 Hari</v>
      </c>
      <c r="AC3419" s="53" t="n">
        <v>46090</v>
      </c>
      <c r="AD3419" s="18" t="n">
        <f aca="false">EDATE(AC3419,3)-1</f>
        <v>46181</v>
      </c>
      <c r="AE3419" s="18" t="s">
        <v>44</v>
      </c>
    </row>
    <row r="3420" customFormat="false" ht="15" hidden="false" customHeight="true" outlineLevel="0" collapsed="false">
      <c r="A3420" s="12" t="n">
        <v>22035</v>
      </c>
      <c r="B3420" s="13" t="s">
        <v>14041</v>
      </c>
      <c r="C3420" s="14" t="n">
        <v>46090</v>
      </c>
      <c r="D3420" s="13" t="s">
        <v>4755</v>
      </c>
      <c r="E3420" s="15" t="s">
        <v>47</v>
      </c>
      <c r="F3420" s="15" t="str">
        <f aca="false">IFERROR(__xludf.dummyfunction("XLOOKUP(AJ3420,IMPORTRANGE(""1XaInW9DU9nz21V0tYIfzFQ0He9kVQ_JF2mCXgZ3hqFA"",""REKAP ALL 2026 - Andika!G:G""),IMPORTRANGE(""1XaInW9DU9nz21V0tYIfzFQ0He9kVQ_JF2mCXgZ3hqFA"",""REKAP ALL 2026 - Andika!F:F""),"""",0)"),"26046411885")</f>
        <v>26046411885</v>
      </c>
      <c r="G3420" s="13" t="s">
        <v>57</v>
      </c>
      <c r="H3420" s="13" t="s">
        <v>3024</v>
      </c>
      <c r="I3420" s="13" t="str">
        <f aca="false">IF(C3420=J3420,"NEW KONTRAK","RE-KONTRAK")</f>
        <v>NEW KONTRAK</v>
      </c>
      <c r="J3420" s="16" t="n">
        <f aca="false" t="array" ref="J3420:J3420">IFERROR(INDEX(AC3420:AE3420,IF(COUNTA(AC3420:AE3420)=0,"",MAX((AC3420:AE3420&lt;&gt;"")*(COLUMN(AC3420:AE3420)-(COLUMN(AC3420)))))-1),"")</f>
        <v>46090</v>
      </c>
      <c r="K3420" s="16" t="n">
        <f aca="false" t="array" ref="K3420:K3420">IFERROR(INDEX(AC3420:AE3420,IF(COUNTA(AC3420:AE3420)=0,"",MAX((AC3420:AE3420&lt;&gt;"")*(COLUMN(AC3420:AE3420)-(COLUMN(AC3420)-1))))-1),"")</f>
        <v>46181</v>
      </c>
      <c r="L3420" s="17" t="str">
        <f aca="false" t="array" ref="L3420:L3420">IFERROR(INDEX(AC3420:AE3420,IF(COUNTA(AC3420:AE3420)=0,"",MAX((AC3420:AE3420&lt;&gt;"")*(COLUMN(AC3420:AE3420)-(COLUMN(AC3420)-2))))-1),"")</f>
        <v>ARCHIVED</v>
      </c>
      <c r="M3420" s="13" t="n">
        <f aca="true">K3420-TODAY()</f>
        <v>-143</v>
      </c>
      <c r="N3420" s="18" t="s">
        <v>615</v>
      </c>
      <c r="O3420" s="13" t="s">
        <v>14015</v>
      </c>
      <c r="P3420" s="19" t="n">
        <v>207044</v>
      </c>
      <c r="Q3420" s="20" t="s">
        <v>14042</v>
      </c>
      <c r="R3420" s="13" t="s">
        <v>232</v>
      </c>
      <c r="S3420" s="16" t="n">
        <v>36745</v>
      </c>
      <c r="T3420" s="28" t="s">
        <v>40</v>
      </c>
      <c r="U3420" s="13" t="s">
        <v>7161</v>
      </c>
      <c r="V3420" s="13" t="s">
        <v>42</v>
      </c>
      <c r="W3420" s="13" t="s">
        <v>43</v>
      </c>
      <c r="X3420" s="30" t="n">
        <v>81242232536</v>
      </c>
      <c r="Y3420" s="22" t="str">
        <f aca="false">O3420</f>
        <v>Production Packer (reliever)</v>
      </c>
      <c r="Z3420" s="13" t="str">
        <f aca="false">IFERROR(__xludf.dummyfunction("if(BJ3420="""","""",GOOGLETRANSLATE(BJ3420,""auto"",""en""))"),"Production Packer (reliever)")</f>
        <v>Production Packer (reliever)</v>
      </c>
      <c r="AA3420" s="23" t="str">
        <f aca="false">IF(C3420="","", CHOOSE(MONTH(C3420),"January","February","March","April","May","June","July","August","September","October","November","December")&amp;" "&amp;DAY(C3420)&amp;MID("thstndrdth",MIN(9,2*RIGHT(DAY(C3420))*(MOD(DAY(C3420)-11,100)&gt;2)+1),2)&amp;","&amp;TEXT(C3420," yyyy"))</f>
        <v>March 9th,2026</v>
      </c>
      <c r="AB3420" s="15" t="str">
        <f aca="true">IF(S3420="","",DATEDIF(S3420,TODAY(),"Y")&amp;" Tahun, "&amp;DATEDIF(S3420,TODAY(),"YM")&amp;" Bulan, "&amp;DATEDIF(S3420,TODAY(),"MD")&amp;" Hari")</f>
        <v>26 Tahun, 2 Bulan, 22 Hari</v>
      </c>
      <c r="AC3420" s="53" t="n">
        <v>46090</v>
      </c>
      <c r="AD3420" s="18" t="n">
        <f aca="false">EDATE(AC3420,3)-1</f>
        <v>46181</v>
      </c>
      <c r="AE3420" s="18" t="s">
        <v>44</v>
      </c>
    </row>
    <row r="3421" customFormat="false" ht="15" hidden="false" customHeight="true" outlineLevel="0" collapsed="false">
      <c r="A3421" s="12" t="n">
        <v>22036</v>
      </c>
      <c r="B3421" s="13" t="s">
        <v>14043</v>
      </c>
      <c r="C3421" s="14" t="n">
        <v>46090</v>
      </c>
      <c r="D3421" s="13" t="s">
        <v>4755</v>
      </c>
      <c r="E3421" s="15" t="s">
        <v>47</v>
      </c>
      <c r="F3421" s="15" t="str">
        <f aca="false">IFERROR(__xludf.dummyfunction("XLOOKUP(AJ3421,IMPORTRANGE(""1XaInW9DU9nz21V0tYIfzFQ0He9kVQ_JF2mCXgZ3hqFA"",""REKAP ALL 2026 - Andika!G:G""),IMPORTRANGE(""1XaInW9DU9nz21V0tYIfzFQ0He9kVQ_JF2mCXgZ3hqFA"",""REKAP ALL 2026 - Andika!F:F""),"""",0)"),"26046411893")</f>
        <v>26046411893</v>
      </c>
      <c r="G3421" s="13" t="s">
        <v>57</v>
      </c>
      <c r="H3421" s="13" t="s">
        <v>3024</v>
      </c>
      <c r="I3421" s="13" t="str">
        <f aca="false">IF(C3421=J3421,"NEW KONTRAK","RE-KONTRAK")</f>
        <v>NEW KONTRAK</v>
      </c>
      <c r="J3421" s="16" t="n">
        <f aca="false" t="array" ref="J3421:J3421">IFERROR(INDEX(AC3421:AE3421,IF(COUNTA(AC3421:AE3421)=0,"",MAX((AC3421:AE3421&lt;&gt;"")*(COLUMN(AC3421:AE3421)-(COLUMN(AC3421)))))-1),"")</f>
        <v>46090</v>
      </c>
      <c r="K3421" s="16" t="n">
        <f aca="false" t="array" ref="K3421:K3421">IFERROR(INDEX(AC3421:AE3421,IF(COUNTA(AC3421:AE3421)=0,"",MAX((AC3421:AE3421&lt;&gt;"")*(COLUMN(AC3421:AE3421)-(COLUMN(AC3421)-1))))-1),"")</f>
        <v>46181</v>
      </c>
      <c r="L3421" s="17" t="str">
        <f aca="false" t="array" ref="L3421:L3421">IFERROR(INDEX(AC3421:AE3421,IF(COUNTA(AC3421:AE3421)=0,"",MAX((AC3421:AE3421&lt;&gt;"")*(COLUMN(AC3421:AE3421)-(COLUMN(AC3421)-2))))-1),"")</f>
        <v>ARCHIVED</v>
      </c>
      <c r="M3421" s="13" t="n">
        <f aca="true">K3421-TODAY()</f>
        <v>-143</v>
      </c>
      <c r="N3421" s="18" t="s">
        <v>615</v>
      </c>
      <c r="O3421" s="13" t="s">
        <v>14015</v>
      </c>
      <c r="P3421" s="19" t="n">
        <v>207044</v>
      </c>
      <c r="Q3421" s="20" t="s">
        <v>14044</v>
      </c>
      <c r="R3421" s="13" t="s">
        <v>232</v>
      </c>
      <c r="S3421" s="16" t="n">
        <v>36344</v>
      </c>
      <c r="T3421" s="28" t="s">
        <v>40</v>
      </c>
      <c r="U3421" s="13" t="s">
        <v>14045</v>
      </c>
      <c r="V3421" s="13" t="s">
        <v>42</v>
      </c>
      <c r="W3421" s="13" t="s">
        <v>43</v>
      </c>
      <c r="X3421" s="30" t="n">
        <v>83129466711</v>
      </c>
      <c r="Y3421" s="22" t="str">
        <f aca="false">O3421</f>
        <v>Production Packer (reliever)</v>
      </c>
      <c r="Z3421" s="13" t="str">
        <f aca="false">IFERROR(__xludf.dummyfunction("if(BJ3421="""","""",GOOGLETRANSLATE(BJ3421,""auto"",""en""))"),"Production Packer (reliever)")</f>
        <v>Production Packer (reliever)</v>
      </c>
      <c r="AA3421" s="23" t="str">
        <f aca="false">IF(C3421="","", CHOOSE(MONTH(C3421),"January","February","March","April","May","June","July","August","September","October","November","December")&amp;" "&amp;DAY(C3421)&amp;MID("thstndrdth",MIN(9,2*RIGHT(DAY(C3421))*(MOD(DAY(C3421)-11,100)&gt;2)+1),2)&amp;","&amp;TEXT(C3421," yyyy"))</f>
        <v>March 9th,2026</v>
      </c>
      <c r="AB3421" s="15" t="str">
        <f aca="true">IF(S3421="","",DATEDIF(S3421,TODAY(),"Y")&amp;" Tahun, "&amp;DATEDIF(S3421,TODAY(),"YM")&amp;" Bulan, "&amp;DATEDIF(S3421,TODAY(),"MD")&amp;" Hari")</f>
        <v>27 Tahun, 3 Bulan, 26 Hari</v>
      </c>
      <c r="AC3421" s="53" t="n">
        <v>46090</v>
      </c>
      <c r="AD3421" s="18" t="n">
        <f aca="false">EDATE(AC3421,3)-1</f>
        <v>46181</v>
      </c>
      <c r="AE3421" s="18" t="s">
        <v>44</v>
      </c>
    </row>
    <row r="3422" customFormat="false" ht="15" hidden="false" customHeight="true" outlineLevel="0" collapsed="false">
      <c r="A3422" s="12" t="n">
        <v>22037</v>
      </c>
      <c r="B3422" s="13" t="s">
        <v>14046</v>
      </c>
      <c r="C3422" s="14" t="n">
        <v>46090</v>
      </c>
      <c r="D3422" s="13" t="s">
        <v>4755</v>
      </c>
      <c r="E3422" s="15" t="s">
        <v>47</v>
      </c>
      <c r="F3422" s="15" t="str">
        <f aca="false">IFERROR(__xludf.dummyfunction("XLOOKUP(AJ3422,IMPORTRANGE(""1XaInW9DU9nz21V0tYIfzFQ0He9kVQ_JF2mCXgZ3hqFA"",""REKAP ALL 2026 - Andika!G:G""),IMPORTRANGE(""1XaInW9DU9nz21V0tYIfzFQ0He9kVQ_JF2mCXgZ3hqFA"",""REKAP ALL 2026 - Andika!F:F""),"""",0)"),"26046411901")</f>
        <v>26046411901</v>
      </c>
      <c r="G3422" s="13" t="s">
        <v>57</v>
      </c>
      <c r="H3422" s="13" t="s">
        <v>3024</v>
      </c>
      <c r="I3422" s="13" t="str">
        <f aca="false">IF(C3422=J3422,"NEW KONTRAK","RE-KONTRAK")</f>
        <v>NEW KONTRAK</v>
      </c>
      <c r="J3422" s="16" t="n">
        <f aca="false" t="array" ref="J3422:J3422">IFERROR(INDEX(AC3422:AE3422,IF(COUNTA(AC3422:AE3422)=0,"",MAX((AC3422:AE3422&lt;&gt;"")*(COLUMN(AC3422:AE3422)-(COLUMN(AC3422)))))-1),"")</f>
        <v>46090</v>
      </c>
      <c r="K3422" s="16" t="n">
        <f aca="false" t="array" ref="K3422:K3422">IFERROR(INDEX(AC3422:AE3422,IF(COUNTA(AC3422:AE3422)=0,"",MAX((AC3422:AE3422&lt;&gt;"")*(COLUMN(AC3422:AE3422)-(COLUMN(AC3422)-1))))-1),"")</f>
        <v>46181</v>
      </c>
      <c r="L3422" s="17" t="str">
        <f aca="false" t="array" ref="L3422:L3422">IFERROR(INDEX(AC3422:AE3422,IF(COUNTA(AC3422:AE3422)=0,"",MAX((AC3422:AE3422&lt;&gt;"")*(COLUMN(AC3422:AE3422)-(COLUMN(AC3422)-2))))-1),"")</f>
        <v>ARCHIVED</v>
      </c>
      <c r="M3422" s="13" t="n">
        <f aca="true">K3422-TODAY()</f>
        <v>-143</v>
      </c>
      <c r="N3422" s="18" t="s">
        <v>615</v>
      </c>
      <c r="O3422" s="13" t="s">
        <v>14015</v>
      </c>
      <c r="P3422" s="19" t="n">
        <v>207044</v>
      </c>
      <c r="Q3422" s="20" t="s">
        <v>14047</v>
      </c>
      <c r="R3422" s="13" t="s">
        <v>232</v>
      </c>
      <c r="S3422" s="16" t="n">
        <v>38905</v>
      </c>
      <c r="T3422" s="28" t="s">
        <v>40</v>
      </c>
      <c r="U3422" s="13" t="s">
        <v>14048</v>
      </c>
      <c r="V3422" s="13" t="s">
        <v>42</v>
      </c>
      <c r="W3422" s="13" t="s">
        <v>43</v>
      </c>
      <c r="X3422" s="30" t="n">
        <v>89584577590</v>
      </c>
      <c r="Y3422" s="22" t="str">
        <f aca="false">O3422</f>
        <v>Production Packer (reliever)</v>
      </c>
      <c r="Z3422" s="13" t="str">
        <f aca="false">IFERROR(__xludf.dummyfunction("if(BJ3422="""","""",GOOGLETRANSLATE(BJ3422,""auto"",""en""))"),"Production Packer (reliever)")</f>
        <v>Production Packer (reliever)</v>
      </c>
      <c r="AA3422" s="23" t="str">
        <f aca="false">IF(C3422="","", CHOOSE(MONTH(C3422),"January","February","March","April","May","June","July","August","September","October","November","December")&amp;" "&amp;DAY(C3422)&amp;MID("thstndrdth",MIN(9,2*RIGHT(DAY(C3422))*(MOD(DAY(C3422)-11,100)&gt;2)+1),2)&amp;","&amp;TEXT(C3422," yyyy"))</f>
        <v>March 9th,2026</v>
      </c>
      <c r="AB3422" s="15" t="str">
        <f aca="true">IF(S3422="","",DATEDIF(S3422,TODAY(),"Y")&amp;" Tahun, "&amp;DATEDIF(S3422,TODAY(),"YM")&amp;" Bulan, "&amp;DATEDIF(S3422,TODAY(),"MD")&amp;" Hari")</f>
        <v>20 Tahun, 3 Bulan, 22 Hari</v>
      </c>
      <c r="AC3422" s="53" t="n">
        <v>46090</v>
      </c>
      <c r="AD3422" s="18" t="n">
        <f aca="false">EDATE(AC3422,3)-1</f>
        <v>46181</v>
      </c>
      <c r="AE3422" s="18" t="s">
        <v>44</v>
      </c>
    </row>
    <row r="3423" customFormat="false" ht="15" hidden="false" customHeight="true" outlineLevel="0" collapsed="false">
      <c r="A3423" s="12" t="n">
        <v>22038</v>
      </c>
      <c r="B3423" s="13" t="s">
        <v>14049</v>
      </c>
      <c r="C3423" s="14" t="n">
        <v>46090</v>
      </c>
      <c r="D3423" s="13" t="s">
        <v>4755</v>
      </c>
      <c r="E3423" s="15" t="s">
        <v>47</v>
      </c>
      <c r="F3423" s="15" t="str">
        <f aca="false">IFERROR(__xludf.dummyfunction("XLOOKUP(AJ3423,IMPORTRANGE(""1XaInW9DU9nz21V0tYIfzFQ0He9kVQ_JF2mCXgZ3hqFA"",""REKAP ALL 2026 - Andika!G:G""),IMPORTRANGE(""1XaInW9DU9nz21V0tYIfzFQ0He9kVQ_JF2mCXgZ3hqFA"",""REKAP ALL 2026 - Andika!F:F""),"""",0)"),"26046411919")</f>
        <v>26046411919</v>
      </c>
      <c r="G3423" s="13" t="s">
        <v>57</v>
      </c>
      <c r="H3423" s="13" t="s">
        <v>3024</v>
      </c>
      <c r="I3423" s="13" t="str">
        <f aca="false">IF(C3423=J3423,"NEW KONTRAK","RE-KONTRAK")</f>
        <v>NEW KONTRAK</v>
      </c>
      <c r="J3423" s="16" t="n">
        <f aca="false" t="array" ref="J3423:J3423">IFERROR(INDEX(AC3423:AE3423,IF(COUNTA(AC3423:AE3423)=0,"",MAX((AC3423:AE3423&lt;&gt;"")*(COLUMN(AC3423:AE3423)-(COLUMN(AC3423)))))-1),"")</f>
        <v>46090</v>
      </c>
      <c r="K3423" s="16" t="n">
        <f aca="false" t="array" ref="K3423:K3423">IFERROR(INDEX(AC3423:AE3423,IF(COUNTA(AC3423:AE3423)=0,"",MAX((AC3423:AE3423&lt;&gt;"")*(COLUMN(AC3423:AE3423)-(COLUMN(AC3423)-1))))-1),"")</f>
        <v>46181</v>
      </c>
      <c r="L3423" s="17" t="str">
        <f aca="false" t="array" ref="L3423:L3423">IFERROR(INDEX(AC3423:AE3423,IF(COUNTA(AC3423:AE3423)=0,"",MAX((AC3423:AE3423&lt;&gt;"")*(COLUMN(AC3423:AE3423)-(COLUMN(AC3423)-2))))-1),"")</f>
        <v>ARCHIVED</v>
      </c>
      <c r="M3423" s="13" t="n">
        <f aca="true">K3423-TODAY()</f>
        <v>-143</v>
      </c>
      <c r="N3423" s="18" t="s">
        <v>615</v>
      </c>
      <c r="O3423" s="13" t="s">
        <v>14015</v>
      </c>
      <c r="P3423" s="19" t="n">
        <v>207044</v>
      </c>
      <c r="Q3423" s="20" t="s">
        <v>14050</v>
      </c>
      <c r="R3423" s="13" t="s">
        <v>232</v>
      </c>
      <c r="S3423" s="16" t="n">
        <v>38974</v>
      </c>
      <c r="T3423" s="28" t="s">
        <v>40</v>
      </c>
      <c r="U3423" s="13" t="s">
        <v>14051</v>
      </c>
      <c r="V3423" s="13" t="s">
        <v>42</v>
      </c>
      <c r="W3423" s="13" t="s">
        <v>43</v>
      </c>
      <c r="X3423" s="30" t="n">
        <v>81375186363</v>
      </c>
      <c r="Y3423" s="22" t="str">
        <f aca="false">O3423</f>
        <v>Production Packer (reliever)</v>
      </c>
      <c r="Z3423" s="13" t="str">
        <f aca="false">IFERROR(__xludf.dummyfunction("if(BJ3423="""","""",GOOGLETRANSLATE(BJ3423,""auto"",""en""))"),"Production Packer (reliever)")</f>
        <v>Production Packer (reliever)</v>
      </c>
      <c r="AA3423" s="23" t="str">
        <f aca="false">IF(C3423="","", CHOOSE(MONTH(C3423),"January","February","March","April","May","June","July","August","September","October","November","December")&amp;" "&amp;DAY(C3423)&amp;MID("thstndrdth",MIN(9,2*RIGHT(DAY(C3423))*(MOD(DAY(C3423)-11,100)&gt;2)+1),2)&amp;","&amp;TEXT(C3423," yyyy"))</f>
        <v>March 9th,2026</v>
      </c>
      <c r="AB3423" s="15" t="str">
        <f aca="true">IF(S3423="","",DATEDIF(S3423,TODAY(),"Y")&amp;" Tahun, "&amp;DATEDIF(S3423,TODAY(),"YM")&amp;" Bulan, "&amp;DATEDIF(S3423,TODAY(),"MD")&amp;" Hari")</f>
        <v>20 Tahun, 1 Bulan, 15 Hari</v>
      </c>
      <c r="AC3423" s="53" t="n">
        <v>46090</v>
      </c>
      <c r="AD3423" s="18" t="n">
        <f aca="false">EDATE(AC3423,3)-1</f>
        <v>46181</v>
      </c>
      <c r="AE3423" s="18" t="s">
        <v>44</v>
      </c>
    </row>
    <row r="3424" customFormat="false" ht="15" hidden="false" customHeight="true" outlineLevel="0" collapsed="false">
      <c r="A3424" s="12" t="n">
        <v>22039</v>
      </c>
      <c r="B3424" s="13" t="s">
        <v>14052</v>
      </c>
      <c r="C3424" s="14" t="n">
        <v>46090</v>
      </c>
      <c r="D3424" s="13" t="s">
        <v>4755</v>
      </c>
      <c r="E3424" s="15" t="s">
        <v>47</v>
      </c>
      <c r="F3424" s="15" t="str">
        <f aca="false">IFERROR(__xludf.dummyfunction("XLOOKUP(AJ3424,IMPORTRANGE(""1XaInW9DU9nz21V0tYIfzFQ0He9kVQ_JF2mCXgZ3hqFA"",""REKAP ALL 2026 - Andika!G:G""),IMPORTRANGE(""1XaInW9DU9nz21V0tYIfzFQ0He9kVQ_JF2mCXgZ3hqFA"",""REKAP ALL 2026 - Andika!F:F""),"""",0)"),"26046411927")</f>
        <v>26046411927</v>
      </c>
      <c r="G3424" s="13" t="s">
        <v>57</v>
      </c>
      <c r="H3424" s="13" t="s">
        <v>3024</v>
      </c>
      <c r="I3424" s="13" t="str">
        <f aca="false">IF(C3424=J3424,"NEW KONTRAK","RE-KONTRAK")</f>
        <v>NEW KONTRAK</v>
      </c>
      <c r="J3424" s="16" t="n">
        <f aca="false" t="array" ref="J3424:J3424">IFERROR(INDEX(AC3424:AE3424,IF(COUNTA(AC3424:AE3424)=0,"",MAX((AC3424:AE3424&lt;&gt;"")*(COLUMN(AC3424:AE3424)-(COLUMN(AC3424)))))-1),"")</f>
        <v>46090</v>
      </c>
      <c r="K3424" s="16" t="n">
        <f aca="false" t="array" ref="K3424:K3424">IFERROR(INDEX(AC3424:AE3424,IF(COUNTA(AC3424:AE3424)=0,"",MAX((AC3424:AE3424&lt;&gt;"")*(COLUMN(AC3424:AE3424)-(COLUMN(AC3424)-1))))-1),"")</f>
        <v>46181</v>
      </c>
      <c r="L3424" s="17" t="str">
        <f aca="false" t="array" ref="L3424:L3424">IFERROR(INDEX(AC3424:AE3424,IF(COUNTA(AC3424:AE3424)=0,"",MAX((AC3424:AE3424&lt;&gt;"")*(COLUMN(AC3424:AE3424)-(COLUMN(AC3424)-2))))-1),"")</f>
        <v>ARCHIVED</v>
      </c>
      <c r="M3424" s="13" t="n">
        <f aca="true">K3424-TODAY()</f>
        <v>-143</v>
      </c>
      <c r="N3424" s="18" t="s">
        <v>615</v>
      </c>
      <c r="O3424" s="13" t="s">
        <v>14015</v>
      </c>
      <c r="P3424" s="19" t="n">
        <v>207044</v>
      </c>
      <c r="Q3424" s="20" t="s">
        <v>14053</v>
      </c>
      <c r="R3424" s="13" t="s">
        <v>763</v>
      </c>
      <c r="S3424" s="16" t="n">
        <v>38454</v>
      </c>
      <c r="T3424" s="28" t="s">
        <v>40</v>
      </c>
      <c r="U3424" s="13" t="s">
        <v>14054</v>
      </c>
      <c r="V3424" s="13" t="s">
        <v>42</v>
      </c>
      <c r="W3424" s="13" t="s">
        <v>43</v>
      </c>
      <c r="X3424" s="30" t="n">
        <v>83145458929</v>
      </c>
      <c r="Y3424" s="22" t="str">
        <f aca="false">O3424</f>
        <v>Production Packer (reliever)</v>
      </c>
      <c r="Z3424" s="13" t="str">
        <f aca="false">IFERROR(__xludf.dummyfunction("if(BJ3424="""","""",GOOGLETRANSLATE(BJ3424,""auto"",""en""))"),"Production Packer (reliever)")</f>
        <v>Production Packer (reliever)</v>
      </c>
      <c r="AA3424" s="23" t="str">
        <f aca="false">IF(C3424="","", CHOOSE(MONTH(C3424),"January","February","March","April","May","June","July","August","September","October","November","December")&amp;" "&amp;DAY(C3424)&amp;MID("thstndrdth",MIN(9,2*RIGHT(DAY(C3424))*(MOD(DAY(C3424)-11,100)&gt;2)+1),2)&amp;","&amp;TEXT(C3424," yyyy"))</f>
        <v>March 9th,2026</v>
      </c>
      <c r="AB3424" s="15" t="str">
        <f aca="true">IF(S3424="","",DATEDIF(S3424,TODAY(),"Y")&amp;" Tahun, "&amp;DATEDIF(S3424,TODAY(),"YM")&amp;" Bulan, "&amp;DATEDIF(S3424,TODAY(),"MD")&amp;" Hari")</f>
        <v>21 Tahun, 6 Bulan, 17 Hari</v>
      </c>
      <c r="AC3424" s="53" t="n">
        <v>46090</v>
      </c>
      <c r="AD3424" s="18" t="n">
        <f aca="false">EDATE(AC3424,3)-1</f>
        <v>46181</v>
      </c>
      <c r="AE3424" s="18" t="s">
        <v>44</v>
      </c>
    </row>
    <row r="3425" customFormat="false" ht="15" hidden="false" customHeight="true" outlineLevel="0" collapsed="false">
      <c r="A3425" s="12" t="n">
        <v>22040</v>
      </c>
      <c r="B3425" s="13" t="s">
        <v>14055</v>
      </c>
      <c r="C3425" s="14" t="n">
        <v>46090</v>
      </c>
      <c r="D3425" s="13" t="s">
        <v>4755</v>
      </c>
      <c r="E3425" s="15" t="s">
        <v>47</v>
      </c>
      <c r="F3425" s="15" t="str">
        <f aca="false">IFERROR(__xludf.dummyfunction("XLOOKUP(AJ3425,IMPORTRANGE(""1XaInW9DU9nz21V0tYIfzFQ0He9kVQ_JF2mCXgZ3hqFA"",""REKAP ALL 2026 - Andika!G:G""),IMPORTRANGE(""1XaInW9DU9nz21V0tYIfzFQ0He9kVQ_JF2mCXgZ3hqFA"",""REKAP ALL 2026 - Andika!F:F""),"""",0)"),"26046411935")</f>
        <v>26046411935</v>
      </c>
      <c r="G3425" s="13" t="s">
        <v>57</v>
      </c>
      <c r="H3425" s="13" t="s">
        <v>3024</v>
      </c>
      <c r="I3425" s="13" t="str">
        <f aca="false">IF(C3425=J3425,"NEW KONTRAK","RE-KONTRAK")</f>
        <v>NEW KONTRAK</v>
      </c>
      <c r="J3425" s="16" t="n">
        <f aca="false" t="array" ref="J3425:J3425">IFERROR(INDEX(AC3425:AE3425,IF(COUNTA(AC3425:AE3425)=0,"",MAX((AC3425:AE3425&lt;&gt;"")*(COLUMN(AC3425:AE3425)-(COLUMN(AC3425)))))-1),"")</f>
        <v>46090</v>
      </c>
      <c r="K3425" s="16" t="n">
        <f aca="false" t="array" ref="K3425:K3425">IFERROR(INDEX(AC3425:AE3425,IF(COUNTA(AC3425:AE3425)=0,"",MAX((AC3425:AE3425&lt;&gt;"")*(COLUMN(AC3425:AE3425)-(COLUMN(AC3425)-1))))-1),"")</f>
        <v>46181</v>
      </c>
      <c r="L3425" s="17" t="str">
        <f aca="false" t="array" ref="L3425:L3425">IFERROR(INDEX(AC3425:AE3425,IF(COUNTA(AC3425:AE3425)=0,"",MAX((AC3425:AE3425&lt;&gt;"")*(COLUMN(AC3425:AE3425)-(COLUMN(AC3425)-2))))-1),"")</f>
        <v>ARCHIVED</v>
      </c>
      <c r="M3425" s="13" t="n">
        <f aca="true">K3425-TODAY()</f>
        <v>-143</v>
      </c>
      <c r="N3425" s="18" t="s">
        <v>615</v>
      </c>
      <c r="O3425" s="13" t="s">
        <v>14015</v>
      </c>
      <c r="P3425" s="19" t="n">
        <v>207044</v>
      </c>
      <c r="Q3425" s="20" t="s">
        <v>14056</v>
      </c>
      <c r="R3425" s="13" t="s">
        <v>232</v>
      </c>
      <c r="S3425" s="14" t="n">
        <v>38925</v>
      </c>
      <c r="T3425" s="13" t="s">
        <v>40</v>
      </c>
      <c r="U3425" s="13" t="s">
        <v>14057</v>
      </c>
      <c r="V3425" s="13" t="s">
        <v>42</v>
      </c>
      <c r="W3425" s="13" t="s">
        <v>43</v>
      </c>
      <c r="X3425" s="21" t="n">
        <v>81999001021</v>
      </c>
      <c r="Y3425" s="22" t="str">
        <f aca="false">O3425</f>
        <v>Production Packer (reliever)</v>
      </c>
      <c r="Z3425" s="13" t="str">
        <f aca="false">IFERROR(__xludf.dummyfunction("if(BJ3425="""","""",GOOGLETRANSLATE(BJ3425,""auto"",""en""))"),"Production Packer (reliever)")</f>
        <v>Production Packer (reliever)</v>
      </c>
      <c r="AA3425" s="23" t="str">
        <f aca="false">IF(C3425="","", CHOOSE(MONTH(C3425),"January","February","March","April","May","June","July","August","September","October","November","December")&amp;" "&amp;DAY(C3425)&amp;MID("thstndrdth",MIN(9,2*RIGHT(DAY(C3425))*(MOD(DAY(C3425)-11,100)&gt;2)+1),2)&amp;","&amp;TEXT(C3425," yyyy"))</f>
        <v>March 9th,2026</v>
      </c>
      <c r="AB3425" s="15" t="str">
        <f aca="true">IF(S3425="","",DATEDIF(S3425,TODAY(),"Y")&amp;" Tahun, "&amp;DATEDIF(S3425,TODAY(),"YM")&amp;" Bulan, "&amp;DATEDIF(S3425,TODAY(),"MD")&amp;" Hari")</f>
        <v>20 Tahun, 3 Bulan, 2 Hari</v>
      </c>
      <c r="AC3425" s="53" t="n">
        <v>46090</v>
      </c>
      <c r="AD3425" s="18" t="n">
        <f aca="false">EDATE(AC3425,3)-1</f>
        <v>46181</v>
      </c>
      <c r="AE3425" s="18" t="s">
        <v>44</v>
      </c>
    </row>
    <row r="3426" customFormat="false" ht="15" hidden="false" customHeight="true" outlineLevel="0" collapsed="false">
      <c r="A3426" s="12" t="n">
        <v>22041</v>
      </c>
      <c r="B3426" s="13" t="s">
        <v>14058</v>
      </c>
      <c r="C3426" s="14" t="n">
        <v>46090</v>
      </c>
      <c r="D3426" s="13" t="s">
        <v>4755</v>
      </c>
      <c r="E3426" s="15" t="s">
        <v>47</v>
      </c>
      <c r="F3426" s="15" t="str">
        <f aca="false">IFERROR(__xludf.dummyfunction("XLOOKUP(AJ3426,IMPORTRANGE(""1XaInW9DU9nz21V0tYIfzFQ0He9kVQ_JF2mCXgZ3hqFA"",""REKAP ALL 2026 - Andika!G:G""),IMPORTRANGE(""1XaInW9DU9nz21V0tYIfzFQ0He9kVQ_JF2mCXgZ3hqFA"",""REKAP ALL 2026 - Andika!F:F""),"""",0)"),"26046411943")</f>
        <v>26046411943</v>
      </c>
      <c r="G3426" s="13" t="s">
        <v>57</v>
      </c>
      <c r="H3426" s="13" t="s">
        <v>3024</v>
      </c>
      <c r="I3426" s="13" t="str">
        <f aca="false">IF(C3426=J3426,"NEW KONTRAK","RE-KONTRAK")</f>
        <v>NEW KONTRAK</v>
      </c>
      <c r="J3426" s="16" t="n">
        <f aca="false" t="array" ref="J3426:J3426">IFERROR(INDEX(AC3426:AE3426,IF(COUNTA(AC3426:AE3426)=0,"",MAX((AC3426:AE3426&lt;&gt;"")*(COLUMN(AC3426:AE3426)-(COLUMN(AC3426)))))-1),"")</f>
        <v>46090</v>
      </c>
      <c r="K3426" s="16" t="n">
        <f aca="false" t="array" ref="K3426:K3426">IFERROR(INDEX(AC3426:AE3426,IF(COUNTA(AC3426:AE3426)=0,"",MAX((AC3426:AE3426&lt;&gt;"")*(COLUMN(AC3426:AE3426)-(COLUMN(AC3426)-1))))-1),"")</f>
        <v>46181</v>
      </c>
      <c r="L3426" s="17" t="str">
        <f aca="false" t="array" ref="L3426:L3426">IFERROR(INDEX(AC3426:AE3426,IF(COUNTA(AC3426:AE3426)=0,"",MAX((AC3426:AE3426&lt;&gt;"")*(COLUMN(AC3426:AE3426)-(COLUMN(AC3426)-2))))-1),"")</f>
        <v>ARCHIVED</v>
      </c>
      <c r="M3426" s="13" t="n">
        <f aca="true">K3426-TODAY()</f>
        <v>-143</v>
      </c>
      <c r="N3426" s="18" t="s">
        <v>615</v>
      </c>
      <c r="O3426" s="13" t="s">
        <v>14059</v>
      </c>
      <c r="P3426" s="19" t="n">
        <v>207044</v>
      </c>
      <c r="Q3426" s="20" t="s">
        <v>14060</v>
      </c>
      <c r="R3426" s="13" t="s">
        <v>232</v>
      </c>
      <c r="S3426" s="16" t="n">
        <v>36744</v>
      </c>
      <c r="T3426" s="28" t="s">
        <v>40</v>
      </c>
      <c r="U3426" s="13" t="s">
        <v>14045</v>
      </c>
      <c r="V3426" s="13" t="s">
        <v>42</v>
      </c>
      <c r="W3426" s="13" t="s">
        <v>43</v>
      </c>
      <c r="X3426" s="30" t="n">
        <v>83150017012</v>
      </c>
      <c r="Y3426" s="22" t="str">
        <f aca="false">O3426</f>
        <v>GBJ Helper (Reliever)</v>
      </c>
      <c r="Z3426" s="13" t="str">
        <f aca="false">IFERROR(__xludf.dummyfunction("if(BJ3426="""","""",GOOGLETRANSLATE(BJ3426,""auto"",""en""))"),"GBJ Helper (Reliever)")</f>
        <v>GBJ Helper (Reliever)</v>
      </c>
      <c r="AA3426" s="23" t="str">
        <f aca="false">IF(C3426="","", CHOOSE(MONTH(C3426),"January","February","March","April","May","June","July","August","September","October","November","December")&amp;" "&amp;DAY(C3426)&amp;MID("thstndrdth",MIN(9,2*RIGHT(DAY(C3426))*(MOD(DAY(C3426)-11,100)&gt;2)+1),2)&amp;","&amp;TEXT(C3426," yyyy"))</f>
        <v>March 9th,2026</v>
      </c>
      <c r="AB3426" s="15" t="str">
        <f aca="true">IF(S3426="","",DATEDIF(S3426,TODAY(),"Y")&amp;" Tahun, "&amp;DATEDIF(S3426,TODAY(),"YM")&amp;" Bulan, "&amp;DATEDIF(S3426,TODAY(),"MD")&amp;" Hari")</f>
        <v>26 Tahun, 2 Bulan, 23 Hari</v>
      </c>
      <c r="AC3426" s="53" t="n">
        <v>46090</v>
      </c>
      <c r="AD3426" s="18" t="n">
        <f aca="false">EDATE(AC3426,3)-1</f>
        <v>46181</v>
      </c>
      <c r="AE3426" s="18" t="s">
        <v>44</v>
      </c>
    </row>
    <row r="3427" customFormat="false" ht="15" hidden="false" customHeight="true" outlineLevel="0" collapsed="false">
      <c r="A3427" s="12" t="n">
        <v>22042</v>
      </c>
      <c r="B3427" s="13" t="s">
        <v>14061</v>
      </c>
      <c r="C3427" s="14" t="n">
        <v>46090</v>
      </c>
      <c r="D3427" s="13" t="s">
        <v>4755</v>
      </c>
      <c r="E3427" s="15" t="s">
        <v>47</v>
      </c>
      <c r="F3427" s="15" t="str">
        <f aca="false">IFERROR(__xludf.dummyfunction("XLOOKUP(AJ3427,IMPORTRANGE(""1XaInW9DU9nz21V0tYIfzFQ0He9kVQ_JF2mCXgZ3hqFA"",""REKAP ALL 2026 - Andika!G:G""),IMPORTRANGE(""1XaInW9DU9nz21V0tYIfzFQ0He9kVQ_JF2mCXgZ3hqFA"",""REKAP ALL 2026 - Andika!F:F""),"""",0)"),"26046411950")</f>
        <v>26046411950</v>
      </c>
      <c r="G3427" s="13" t="s">
        <v>57</v>
      </c>
      <c r="H3427" s="13" t="s">
        <v>3024</v>
      </c>
      <c r="I3427" s="13" t="str">
        <f aca="false">IF(C3427=J3427,"NEW KONTRAK","RE-KONTRAK")</f>
        <v>NEW KONTRAK</v>
      </c>
      <c r="J3427" s="16" t="n">
        <f aca="false" t="array" ref="J3427:J3427">IFERROR(INDEX(AC3427:AE3427,IF(COUNTA(AC3427:AE3427)=0,"",MAX((AC3427:AE3427&lt;&gt;"")*(COLUMN(AC3427:AE3427)-(COLUMN(AC3427)))))-1),"")</f>
        <v>46090</v>
      </c>
      <c r="K3427" s="16" t="n">
        <f aca="false" t="array" ref="K3427:K3427">IFERROR(INDEX(AC3427:AE3427,IF(COUNTA(AC3427:AE3427)=0,"",MAX((AC3427:AE3427&lt;&gt;"")*(COLUMN(AC3427:AE3427)-(COLUMN(AC3427)-1))))-1),"")</f>
        <v>46181</v>
      </c>
      <c r="L3427" s="17" t="str">
        <f aca="false" t="array" ref="L3427:L3427">IFERROR(INDEX(AC3427:AE3427,IF(COUNTA(AC3427:AE3427)=0,"",MAX((AC3427:AE3427&lt;&gt;"")*(COLUMN(AC3427:AE3427)-(COLUMN(AC3427)-2))))-1),"")</f>
        <v>ARCHIVED</v>
      </c>
      <c r="M3427" s="13" t="n">
        <f aca="true">K3427-TODAY()</f>
        <v>-143</v>
      </c>
      <c r="N3427" s="18" t="s">
        <v>615</v>
      </c>
      <c r="O3427" s="13" t="s">
        <v>14059</v>
      </c>
      <c r="P3427" s="19" t="n">
        <v>207044</v>
      </c>
      <c r="Q3427" s="20" t="s">
        <v>14062</v>
      </c>
      <c r="R3427" s="13" t="s">
        <v>65</v>
      </c>
      <c r="S3427" s="16" t="n">
        <v>37281</v>
      </c>
      <c r="T3427" s="28" t="s">
        <v>40</v>
      </c>
      <c r="U3427" s="13" t="s">
        <v>14063</v>
      </c>
      <c r="V3427" s="13" t="s">
        <v>42</v>
      </c>
      <c r="W3427" s="13" t="s">
        <v>43</v>
      </c>
      <c r="X3427" s="30" t="n">
        <v>89870632424</v>
      </c>
      <c r="Y3427" s="22" t="str">
        <f aca="false">O3427</f>
        <v>GBJ Helper (Reliever)</v>
      </c>
      <c r="Z3427" s="13" t="str">
        <f aca="false">IFERROR(__xludf.dummyfunction("if(BJ3427="""","""",GOOGLETRANSLATE(BJ3427,""auto"",""en""))"),"GBJ Helper (Reliever)")</f>
        <v>GBJ Helper (Reliever)</v>
      </c>
      <c r="AA3427" s="23" t="str">
        <f aca="false">IF(C3427="","", CHOOSE(MONTH(C3427),"January","February","March","April","May","June","July","August","September","October","November","December")&amp;" "&amp;DAY(C3427)&amp;MID("thstndrdth",MIN(9,2*RIGHT(DAY(C3427))*(MOD(DAY(C3427)-11,100)&gt;2)+1),2)&amp;","&amp;TEXT(C3427," yyyy"))</f>
        <v>March 9th,2026</v>
      </c>
      <c r="AB3427" s="15" t="str">
        <f aca="true">IF(S3427="","",DATEDIF(S3427,TODAY(),"Y")&amp;" Tahun, "&amp;DATEDIF(S3427,TODAY(),"YM")&amp;" Bulan, "&amp;DATEDIF(S3427,TODAY(),"MD")&amp;" Hari")</f>
        <v>24 Tahun, 9 Bulan, 4 Hari</v>
      </c>
      <c r="AC3427" s="53" t="n">
        <v>46090</v>
      </c>
      <c r="AD3427" s="18" t="n">
        <f aca="false">EDATE(AC3427,3)-1</f>
        <v>46181</v>
      </c>
      <c r="AE3427" s="18" t="s">
        <v>44</v>
      </c>
    </row>
    <row r="3428" customFormat="false" ht="15" hidden="false" customHeight="true" outlineLevel="0" collapsed="false">
      <c r="A3428" s="12" t="n">
        <v>22043</v>
      </c>
      <c r="B3428" s="13" t="s">
        <v>14064</v>
      </c>
      <c r="C3428" s="14" t="n">
        <v>46090</v>
      </c>
      <c r="D3428" s="13" t="s">
        <v>4755</v>
      </c>
      <c r="E3428" s="15" t="s">
        <v>47</v>
      </c>
      <c r="F3428" s="15" t="str">
        <f aca="false">IFERROR(__xludf.dummyfunction("XLOOKUP(AJ3428,IMPORTRANGE(""1XaInW9DU9nz21V0tYIfzFQ0He9kVQ_JF2mCXgZ3hqFA"",""REKAP ALL 2026 - Andika!G:G""),IMPORTRANGE(""1XaInW9DU9nz21V0tYIfzFQ0He9kVQ_JF2mCXgZ3hqFA"",""REKAP ALL 2026 - Andika!F:F""),"""",0)"),"26046411968")</f>
        <v>26046411968</v>
      </c>
      <c r="G3428" s="13" t="s">
        <v>57</v>
      </c>
      <c r="H3428" s="13" t="s">
        <v>3024</v>
      </c>
      <c r="I3428" s="13" t="str">
        <f aca="false">IF(C3428=J3428,"NEW KONTRAK","RE-KONTRAK")</f>
        <v>NEW KONTRAK</v>
      </c>
      <c r="J3428" s="16" t="n">
        <f aca="false" t="array" ref="J3428:J3428">IFERROR(INDEX(AC3428:AE3428,IF(COUNTA(AC3428:AE3428)=0,"",MAX((AC3428:AE3428&lt;&gt;"")*(COLUMN(AC3428:AE3428)-(COLUMN(AC3428)))))-1),"")</f>
        <v>46090</v>
      </c>
      <c r="K3428" s="16" t="n">
        <f aca="false" t="array" ref="K3428:K3428">IFERROR(INDEX(AC3428:AE3428,IF(COUNTA(AC3428:AE3428)=0,"",MAX((AC3428:AE3428&lt;&gt;"")*(COLUMN(AC3428:AE3428)-(COLUMN(AC3428)-1))))-1),"")</f>
        <v>46181</v>
      </c>
      <c r="L3428" s="17" t="str">
        <f aca="false" t="array" ref="L3428:L3428">IFERROR(INDEX(AC3428:AE3428,IF(COUNTA(AC3428:AE3428)=0,"",MAX((AC3428:AE3428&lt;&gt;"")*(COLUMN(AC3428:AE3428)-(COLUMN(AC3428)-2))))-1),"")</f>
        <v>ARCHIVED</v>
      </c>
      <c r="M3428" s="13" t="n">
        <f aca="true">K3428-TODAY()</f>
        <v>-143</v>
      </c>
      <c r="N3428" s="18" t="s">
        <v>615</v>
      </c>
      <c r="O3428" s="13" t="s">
        <v>14015</v>
      </c>
      <c r="P3428" s="19" t="n">
        <v>207044</v>
      </c>
      <c r="Q3428" s="20" t="s">
        <v>14065</v>
      </c>
      <c r="R3428" s="13" t="s">
        <v>232</v>
      </c>
      <c r="S3428" s="16" t="n">
        <v>38964</v>
      </c>
      <c r="T3428" s="28" t="s">
        <v>40</v>
      </c>
      <c r="U3428" s="13" t="s">
        <v>14066</v>
      </c>
      <c r="V3428" s="13" t="s">
        <v>42</v>
      </c>
      <c r="W3428" s="13" t="s">
        <v>43</v>
      </c>
      <c r="X3428" s="30" t="n">
        <v>81354152064</v>
      </c>
      <c r="Y3428" s="22" t="str">
        <f aca="false">O3428</f>
        <v>Production Packer (reliever)</v>
      </c>
      <c r="Z3428" s="13" t="str">
        <f aca="false">IFERROR(__xludf.dummyfunction("if(BJ3428="""","""",GOOGLETRANSLATE(BJ3428,""auto"",""en""))"),"Production Packer (reliever)")</f>
        <v>Production Packer (reliever)</v>
      </c>
      <c r="AA3428" s="23" t="str">
        <f aca="false">IF(C3428="","", CHOOSE(MONTH(C3428),"January","February","March","April","May","June","July","August","September","October","November","December")&amp;" "&amp;DAY(C3428)&amp;MID("thstndrdth",MIN(9,2*RIGHT(DAY(C3428))*(MOD(DAY(C3428)-11,100)&gt;2)+1),2)&amp;","&amp;TEXT(C3428," yyyy"))</f>
        <v>March 9th,2026</v>
      </c>
      <c r="AB3428" s="15" t="str">
        <f aca="true">IF(S3428="","",DATEDIF(S3428,TODAY(),"Y")&amp;" Tahun, "&amp;DATEDIF(S3428,TODAY(),"YM")&amp;" Bulan, "&amp;DATEDIF(S3428,TODAY(),"MD")&amp;" Hari")</f>
        <v>20 Tahun, 1 Bulan, 25 Hari</v>
      </c>
      <c r="AC3428" s="53" t="n">
        <v>46090</v>
      </c>
      <c r="AD3428" s="18" t="n">
        <f aca="false">EDATE(AC3428,3)-1</f>
        <v>46181</v>
      </c>
      <c r="AE3428" s="18" t="s">
        <v>44</v>
      </c>
    </row>
    <row r="3429" customFormat="false" ht="15" hidden="false" customHeight="true" outlineLevel="0" collapsed="false">
      <c r="A3429" s="12" t="n">
        <v>22044</v>
      </c>
      <c r="B3429" s="13" t="s">
        <v>14067</v>
      </c>
      <c r="C3429" s="14" t="n">
        <v>46090</v>
      </c>
      <c r="D3429" s="13" t="s">
        <v>4755</v>
      </c>
      <c r="E3429" s="15" t="s">
        <v>47</v>
      </c>
      <c r="F3429" s="15" t="str">
        <f aca="false">IFERROR(__xludf.dummyfunction("XLOOKUP(AJ3429,IMPORTRANGE(""1XaInW9DU9nz21V0tYIfzFQ0He9kVQ_JF2mCXgZ3hqFA"",""REKAP ALL 2026 - Andika!G:G""),IMPORTRANGE(""1XaInW9DU9nz21V0tYIfzFQ0He9kVQ_JF2mCXgZ3hqFA"",""REKAP ALL 2026 - Andika!F:F""),"""",0)"),"26046411976")</f>
        <v>26046411976</v>
      </c>
      <c r="G3429" s="13" t="s">
        <v>57</v>
      </c>
      <c r="H3429" s="13" t="s">
        <v>3024</v>
      </c>
      <c r="I3429" s="13" t="str">
        <f aca="false">IF(C3429=J3429,"NEW KONTRAK","RE-KONTRAK")</f>
        <v>NEW KONTRAK</v>
      </c>
      <c r="J3429" s="16" t="n">
        <f aca="false" t="array" ref="J3429:J3429">IFERROR(INDEX(AC3429:AE3429,IF(COUNTA(AC3429:AE3429)=0,"",MAX((AC3429:AE3429&lt;&gt;"")*(COLUMN(AC3429:AE3429)-(COLUMN(AC3429)))))-1),"")</f>
        <v>46090</v>
      </c>
      <c r="K3429" s="16" t="n">
        <f aca="false" t="array" ref="K3429:K3429">IFERROR(INDEX(AC3429:AE3429,IF(COUNTA(AC3429:AE3429)=0,"",MAX((AC3429:AE3429&lt;&gt;"")*(COLUMN(AC3429:AE3429)-(COLUMN(AC3429)-1))))-1),"")</f>
        <v>46181</v>
      </c>
      <c r="L3429" s="17" t="str">
        <f aca="false" t="array" ref="L3429:L3429">IFERROR(INDEX(AC3429:AE3429,IF(COUNTA(AC3429:AE3429)=0,"",MAX((AC3429:AE3429&lt;&gt;"")*(COLUMN(AC3429:AE3429)-(COLUMN(AC3429)-2))))-1),"")</f>
        <v>ARCHIVED</v>
      </c>
      <c r="M3429" s="13" t="n">
        <f aca="true">K3429-TODAY()</f>
        <v>-143</v>
      </c>
      <c r="N3429" s="18" t="s">
        <v>615</v>
      </c>
      <c r="O3429" s="13" t="s">
        <v>14015</v>
      </c>
      <c r="P3429" s="19" t="n">
        <v>207044</v>
      </c>
      <c r="Q3429" s="20" t="s">
        <v>14068</v>
      </c>
      <c r="R3429" s="13" t="s">
        <v>232</v>
      </c>
      <c r="S3429" s="16" t="n">
        <v>39426</v>
      </c>
      <c r="T3429" s="28" t="s">
        <v>40</v>
      </c>
      <c r="U3429" s="13" t="s">
        <v>14069</v>
      </c>
      <c r="V3429" s="13" t="s">
        <v>42</v>
      </c>
      <c r="W3429" s="13" t="s">
        <v>43</v>
      </c>
      <c r="X3429" s="30" t="n">
        <v>85261103712</v>
      </c>
      <c r="Y3429" s="22" t="str">
        <f aca="false">O3429</f>
        <v>Production Packer (reliever)</v>
      </c>
      <c r="Z3429" s="13" t="str">
        <f aca="false">IFERROR(__xludf.dummyfunction("if(BJ3429="""","""",GOOGLETRANSLATE(BJ3429,""auto"",""en""))"),"Production Packer (reliever)")</f>
        <v>Production Packer (reliever)</v>
      </c>
      <c r="AA3429" s="23" t="str">
        <f aca="false">IF(C3429="","", CHOOSE(MONTH(C3429),"January","February","March","April","May","June","July","August","September","October","November","December")&amp;" "&amp;DAY(C3429)&amp;MID("thstndrdth",MIN(9,2*RIGHT(DAY(C3429))*(MOD(DAY(C3429)-11,100)&gt;2)+1),2)&amp;","&amp;TEXT(C3429," yyyy"))</f>
        <v>March 9th,2026</v>
      </c>
      <c r="AB3429" s="15" t="str">
        <f aca="true">IF(S3429="","",DATEDIF(S3429,TODAY(),"Y")&amp;" Tahun, "&amp;DATEDIF(S3429,TODAY(),"YM")&amp;" Bulan, "&amp;DATEDIF(S3429,TODAY(),"MD")&amp;" Hari")</f>
        <v>18 Tahun, 10 Bulan, 19 Hari</v>
      </c>
      <c r="AC3429" s="53" t="n">
        <v>46090</v>
      </c>
      <c r="AD3429" s="18" t="n">
        <f aca="false">EDATE(AC3429,3)-1</f>
        <v>46181</v>
      </c>
      <c r="AE3429" s="18" t="s">
        <v>44</v>
      </c>
    </row>
    <row r="3430" customFormat="false" ht="15" hidden="false" customHeight="true" outlineLevel="0" collapsed="false">
      <c r="A3430" s="12" t="n">
        <v>22045</v>
      </c>
      <c r="B3430" s="13" t="s">
        <v>14070</v>
      </c>
      <c r="C3430" s="14" t="n">
        <v>46090</v>
      </c>
      <c r="D3430" s="13" t="s">
        <v>4755</v>
      </c>
      <c r="E3430" s="15" t="s">
        <v>102</v>
      </c>
      <c r="F3430" s="15" t="str">
        <f aca="false">IFERROR(__xludf.dummyfunction("XLOOKUP(AJ3430,IMPORTRANGE(""1XaInW9DU9nz21V0tYIfzFQ0He9kVQ_JF2mCXgZ3hqFA"",""REKAP ALL 2026 - Andika!G:G""),IMPORTRANGE(""1XaInW9DU9nz21V0tYIfzFQ0He9kVQ_JF2mCXgZ3hqFA"",""REKAP ALL 2026 - Andika!F:F""),"""",0)"),"26046411984")</f>
        <v>26046411984</v>
      </c>
      <c r="G3430" s="13" t="s">
        <v>57</v>
      </c>
      <c r="H3430" s="13" t="s">
        <v>3024</v>
      </c>
      <c r="I3430" s="13" t="str">
        <f aca="false">IF(C3430=J3430,"NEW KONTRAK","RE-KONTRAK")</f>
        <v>NEW KONTRAK</v>
      </c>
      <c r="J3430" s="16" t="n">
        <f aca="false" t="array" ref="J3430:J3430">IFERROR(INDEX(AC3430:AE3430,IF(COUNTA(AC3430:AE3430)=0,"",MAX((AC3430:AE3430&lt;&gt;"")*(COLUMN(AC3430:AE3430)-(COLUMN(AC3430)))))-1),"")</f>
        <v>46090</v>
      </c>
      <c r="K3430" s="16" t="n">
        <f aca="false" t="array" ref="K3430:K3430">IFERROR(INDEX(AC3430:AE3430,IF(COUNTA(AC3430:AE3430)=0,"",MAX((AC3430:AE3430&lt;&gt;"")*(COLUMN(AC3430:AE3430)-(COLUMN(AC3430)-1))))-1),"")</f>
        <v>46181</v>
      </c>
      <c r="L3430" s="17" t="str">
        <f aca="false" t="array" ref="L3430:L3430">IFERROR(INDEX(AC3430:AE3430,IF(COUNTA(AC3430:AE3430)=0,"",MAX((AC3430:AE3430&lt;&gt;"")*(COLUMN(AC3430:AE3430)-(COLUMN(AC3430)-2))))-1),"")</f>
        <v>ARCHIVED</v>
      </c>
      <c r="M3430" s="13" t="n">
        <f aca="true">K3430-TODAY()</f>
        <v>-143</v>
      </c>
      <c r="N3430" s="18" t="s">
        <v>615</v>
      </c>
      <c r="O3430" s="13" t="s">
        <v>14015</v>
      </c>
      <c r="P3430" s="19" t="n">
        <v>207044</v>
      </c>
      <c r="Q3430" s="47" t="s">
        <v>14071</v>
      </c>
      <c r="R3430" s="13" t="s">
        <v>232</v>
      </c>
      <c r="S3430" s="16" t="n">
        <v>36283</v>
      </c>
      <c r="T3430" s="13" t="s">
        <v>108</v>
      </c>
      <c r="U3430" s="13" t="s">
        <v>14072</v>
      </c>
      <c r="V3430" s="13" t="s">
        <v>42</v>
      </c>
      <c r="W3430" s="13" t="s">
        <v>54</v>
      </c>
      <c r="X3430" s="30" t="n">
        <v>85287005162</v>
      </c>
      <c r="Y3430" s="22" t="str">
        <f aca="false">O3430</f>
        <v>Production Packer (reliever)</v>
      </c>
      <c r="Z3430" s="13" t="str">
        <f aca="false">IFERROR(__xludf.dummyfunction("if(BJ3430="""","""",GOOGLETRANSLATE(BJ3430,""auto"",""en""))"),"Production Packer (reliever)")</f>
        <v>Production Packer (reliever)</v>
      </c>
      <c r="AA3430" s="23" t="str">
        <f aca="false">IF(C3430="","", CHOOSE(MONTH(C3430),"January","February","March","April","May","June","July","August","September","October","November","December")&amp;" "&amp;DAY(C3430)&amp;MID("thstndrdth",MIN(9,2*RIGHT(DAY(C3430))*(MOD(DAY(C3430)-11,100)&gt;2)+1),2)&amp;","&amp;TEXT(C3430," yyyy"))</f>
        <v>March 9th,2026</v>
      </c>
      <c r="AB3430" s="15" t="str">
        <f aca="true">IF(S3430="","",DATEDIF(S3430,TODAY(),"Y")&amp;" Tahun, "&amp;DATEDIF(S3430,TODAY(),"YM")&amp;" Bulan, "&amp;DATEDIF(S3430,TODAY(),"MD")&amp;" Hari")</f>
        <v>27 Tahun, 5 Bulan, 26 Hari</v>
      </c>
      <c r="AC3430" s="53" t="n">
        <v>46090</v>
      </c>
      <c r="AD3430" s="18" t="n">
        <f aca="false">EDATE(AC3430,3)-1</f>
        <v>46181</v>
      </c>
      <c r="AE3430" s="18" t="s">
        <v>44</v>
      </c>
    </row>
    <row r="3431" customFormat="false" ht="15" hidden="false" customHeight="true" outlineLevel="0" collapsed="false">
      <c r="A3431" s="12" t="n">
        <v>22046</v>
      </c>
      <c r="B3431" s="13" t="s">
        <v>14073</v>
      </c>
      <c r="C3431" s="16" t="n">
        <v>46104</v>
      </c>
      <c r="D3431" s="13" t="s">
        <v>101</v>
      </c>
      <c r="E3431" s="15" t="s">
        <v>102</v>
      </c>
      <c r="F3431" s="15" t="str">
        <f aca="false">IFERROR(__xludf.dummyfunction("XLOOKUP(AJ3431,IMPORTRANGE(""1XaInW9DU9nz21V0tYIfzFQ0He9kVQ_JF2mCXgZ3hqFA"",""REKAP ALL 2026 - Andika!G:G""),IMPORTRANGE(""1XaInW9DU9nz21V0tYIfzFQ0He9kVQ_JF2mCXgZ3hqFA"",""REKAP ALL 2026 - Andika!F:F""),"""",0)"),"26046412354")</f>
        <v>26046412354</v>
      </c>
      <c r="G3431" s="28" t="s">
        <v>57</v>
      </c>
      <c r="H3431" s="13" t="s">
        <v>35</v>
      </c>
      <c r="I3431" s="13" t="str">
        <f aca="false">IF(C3431=J3431,"NEW KONTRAK","RE-KONTRAK")</f>
        <v>NEW KONTRAK</v>
      </c>
      <c r="J3431" s="16" t="n">
        <f aca="false" t="array" ref="J3431:J3431">IFERROR(INDEX(AC3431:AE3431,IF(COUNTA(AC3431:AE3431)=0,"",MAX((AC3431:AE3431&lt;&gt;"")*(COLUMN(AC3431:AE3431)-(COLUMN(AC3431)))))-1),"")</f>
        <v>46104</v>
      </c>
      <c r="K3431" s="16" t="n">
        <f aca="false" t="array" ref="K3431:K3431">IFERROR(INDEX(AC3431:AE3431,IF(COUNTA(AC3431:AE3431)=0,"",MAX((AC3431:AE3431&lt;&gt;"")*(COLUMN(AC3431:AE3431)-(COLUMN(AC3431)-1))))-1),"")</f>
        <v>46188</v>
      </c>
      <c r="L3431" s="17" t="str">
        <f aca="false" t="array" ref="L3431:L3431">IFERROR(INDEX(AC3431:AE3431,IF(COUNTA(AC3431:AE3431)=0,"",MAX((AC3431:AE3431&lt;&gt;"")*(COLUMN(AC3431:AE3431)-(COLUMN(AC3431)-2))))-1),"")</f>
        <v>ARCHIVED</v>
      </c>
      <c r="M3431" s="13" t="n">
        <f aca="true">K3431-TODAY()</f>
        <v>-136</v>
      </c>
      <c r="N3431" s="18" t="s">
        <v>105</v>
      </c>
      <c r="O3431" s="13" t="s">
        <v>1434</v>
      </c>
      <c r="P3431" s="31" t="n">
        <v>138915</v>
      </c>
      <c r="Q3431" s="47" t="s">
        <v>14074</v>
      </c>
      <c r="R3431" s="13" t="s">
        <v>39</v>
      </c>
      <c r="S3431" s="48" t="n">
        <v>37426</v>
      </c>
      <c r="T3431" s="28" t="s">
        <v>40</v>
      </c>
      <c r="U3431" s="13" t="s">
        <v>14075</v>
      </c>
      <c r="V3431" s="13" t="s">
        <v>42</v>
      </c>
      <c r="W3431" s="13" t="s">
        <v>43</v>
      </c>
      <c r="X3431" s="21" t="n">
        <v>85707966022</v>
      </c>
      <c r="Y3431" s="22" t="str">
        <f aca="false">O3431</f>
        <v>E-Commerce - Packer</v>
      </c>
      <c r="Z3431" s="13" t="str">
        <f aca="false">IFERROR(__xludf.dummyfunction("if(BJ3431="""","""",GOOGLETRANSLATE(BJ3431,""auto"",""en""))"),"E-Commerce - Packer")</f>
        <v>E-Commerce - Packer</v>
      </c>
      <c r="AA3431" s="23" t="str">
        <f aca="false">IF(C3431="","", CHOOSE(MONTH(C3431),"January","February","March","April","May","June","July","August","September","October","November","December")&amp;" "&amp;DAY(C3431)&amp;MID("thstndrdth",MIN(9,2*RIGHT(DAY(C3431))*(MOD(DAY(C3431)-11,100)&gt;2)+1),2)&amp;","&amp;TEXT(C3431," yyyy"))</f>
        <v>March 23rd,2026</v>
      </c>
      <c r="AB3431" s="15" t="str">
        <f aca="true">IF(S3431="","",DATEDIF(S3431,TODAY(),"Y")&amp;" Tahun, "&amp;DATEDIF(S3431,TODAY(),"YM")&amp;" Bulan, "&amp;DATEDIF(S3431,TODAY(),"MD")&amp;" Hari")</f>
        <v>24 Tahun, 4 Bulan, 10 Hari</v>
      </c>
      <c r="AC3431" s="18" t="n">
        <v>46104</v>
      </c>
      <c r="AD3431" s="18" t="n">
        <v>46188</v>
      </c>
      <c r="AE3431" s="13" t="s">
        <v>44</v>
      </c>
    </row>
    <row r="3432" customFormat="false" ht="15" hidden="false" customHeight="true" outlineLevel="0" collapsed="false">
      <c r="A3432" s="12" t="n">
        <v>22047</v>
      </c>
      <c r="B3432" s="13" t="s">
        <v>14076</v>
      </c>
      <c r="C3432" s="16" t="n">
        <v>46105</v>
      </c>
      <c r="D3432" s="13" t="s">
        <v>10058</v>
      </c>
      <c r="E3432" s="110" t="s">
        <v>47</v>
      </c>
      <c r="F3432" s="15" t="str">
        <f aca="false">IFERROR(__xludf.dummyfunction("XLOOKUP(AJ3432,IMPORTRANGE(""1XaInW9DU9nz21V0tYIfzFQ0He9kVQ_JF2mCXgZ3hqFA"",""REKAP ALL 2026 - Andika!G:G""),IMPORTRANGE(""1XaInW9DU9nz21V0tYIfzFQ0He9kVQ_JF2mCXgZ3hqFA"",""REKAP ALL 2026 - Andika!F:F""),"""",0)"),"26046412362")</f>
        <v>26046412362</v>
      </c>
      <c r="G3432" s="28" t="s">
        <v>57</v>
      </c>
      <c r="H3432" s="13" t="s">
        <v>3024</v>
      </c>
      <c r="I3432" s="13" t="str">
        <f aca="false">IF(C3432=J3432,"NEW KONTRAK","RE-KONTRAK")</f>
        <v>NEW KONTRAK</v>
      </c>
      <c r="J3432" s="16" t="n">
        <f aca="false" t="array" ref="J3432:J3432">IFERROR(INDEX(AC3432:AE3432,IF(COUNTA(AC3432:AE3432)=0,"",MAX((AC3432:AE3432&lt;&gt;"")*(COLUMN(AC3432:AE3432)-(COLUMN(AC3432)))))-1),"")</f>
        <v>46105</v>
      </c>
      <c r="K3432" s="16" t="n">
        <f aca="false" t="array" ref="K3432:K3432">IFERROR(INDEX(AC3432:AE3432,IF(COUNTA(AC3432:AE3432)=0,"",MAX((AC3432:AE3432&lt;&gt;"")*(COLUMN(AC3432:AE3432)-(COLUMN(AC3432)-1))))-1),"")</f>
        <v>46188</v>
      </c>
      <c r="L3432" s="17" t="str">
        <f aca="false" t="array" ref="L3432:L3432">IFERROR(INDEX(AC3432:AE3432,IF(COUNTA(AC3432:AE3432)=0,"",MAX((AC3432:AE3432&lt;&gt;"")*(COLUMN(AC3432:AE3432)-(COLUMN(AC3432)-2))))-1),"")</f>
        <v>ARCHIVED</v>
      </c>
      <c r="M3432" s="13" t="n">
        <f aca="true">K3432-TODAY()</f>
        <v>-136</v>
      </c>
      <c r="N3432" s="18" t="s">
        <v>105</v>
      </c>
      <c r="O3432" s="13" t="s">
        <v>1434</v>
      </c>
      <c r="P3432" s="31" t="n">
        <v>138915</v>
      </c>
      <c r="Q3432" s="47" t="s">
        <v>14077</v>
      </c>
      <c r="R3432" s="13" t="s">
        <v>14078</v>
      </c>
      <c r="S3432" s="16" t="n">
        <v>36965</v>
      </c>
      <c r="T3432" s="28" t="s">
        <v>40</v>
      </c>
      <c r="U3432" s="13" t="s">
        <v>14079</v>
      </c>
      <c r="V3432" s="13" t="s">
        <v>42</v>
      </c>
      <c r="W3432" s="13" t="s">
        <v>43</v>
      </c>
      <c r="X3432" s="21" t="n">
        <v>87784200993</v>
      </c>
      <c r="Y3432" s="22" t="str">
        <f aca="false">O3432</f>
        <v>E-Commerce - Packer</v>
      </c>
      <c r="Z3432" s="13" t="str">
        <f aca="false">IFERROR(__xludf.dummyfunction("if(BJ3432="""","""",GOOGLETRANSLATE(BJ3432,""auto"",""en""))"),"E-Commerce - Packer")</f>
        <v>E-Commerce - Packer</v>
      </c>
      <c r="AA3432" s="23" t="str">
        <f aca="false">IF(C3432="","", CHOOSE(MONTH(C3432),"January","February","March","April","May","June","July","August","September","October","November","December")&amp;" "&amp;DAY(C3432)&amp;MID("thstndrdth",MIN(9,2*RIGHT(DAY(C3432))*(MOD(DAY(C3432)-11,100)&gt;2)+1),2)&amp;","&amp;TEXT(C3432," yyyy"))</f>
        <v>March 24th,2026</v>
      </c>
      <c r="AB3432" s="15" t="str">
        <f aca="true">IF(S3432="","",DATEDIF(S3432,TODAY(),"Y")&amp;" Tahun, "&amp;DATEDIF(S3432,TODAY(),"YM")&amp;" Bulan, "&amp;DATEDIF(S3432,TODAY(),"MD")&amp;" Hari")</f>
        <v>25 Tahun, 7 Bulan, 14 Hari</v>
      </c>
      <c r="AC3432" s="18" t="n">
        <v>46105</v>
      </c>
      <c r="AD3432" s="18" t="n">
        <v>46188</v>
      </c>
      <c r="AE3432" s="13" t="s">
        <v>44</v>
      </c>
    </row>
    <row r="3433" customFormat="false" ht="15" hidden="false" customHeight="true" outlineLevel="0" collapsed="false">
      <c r="A3433" s="12" t="n">
        <v>22048</v>
      </c>
      <c r="B3433" s="13" t="s">
        <v>14080</v>
      </c>
      <c r="C3433" s="16" t="n">
        <v>46113</v>
      </c>
      <c r="D3433" s="13" t="s">
        <v>8240</v>
      </c>
      <c r="E3433" s="15" t="s">
        <v>47</v>
      </c>
      <c r="F3433" s="15" t="str">
        <f aca="false">IFERROR(__xludf.dummyfunction("XLOOKUP(AJ3433,IMPORTRANGE(""1XaInW9DU9nz21V0tYIfzFQ0He9kVQ_JF2mCXgZ3hqFA"",""REKAP ALL 2026 - Andika!G:G""),IMPORTRANGE(""1XaInW9DU9nz21V0tYIfzFQ0He9kVQ_JF2mCXgZ3hqFA"",""REKAP ALL 2026 - Andika!F:F""),"""",0)"),"26062996967")</f>
        <v>26062996967</v>
      </c>
      <c r="G3433" s="13" t="s">
        <v>57</v>
      </c>
      <c r="H3433" s="13" t="s">
        <v>35</v>
      </c>
      <c r="I3433" s="13" t="str">
        <f aca="false">IF(C3433=J3433,"NEW KONTRAK","RE-KONTRAK")</f>
        <v>NEW KONTRAK</v>
      </c>
      <c r="J3433" s="16" t="n">
        <f aca="false" t="array" ref="J3433:J3433">IFERROR(INDEX(AC3433:AE3433,IF(COUNTA(AC3433:AE3433)=0,"",MAX((AC3433:AE3433&lt;&gt;"")*(COLUMN(AC3433:AE3433)-(COLUMN(AC3433)))))-1),"")</f>
        <v>46113</v>
      </c>
      <c r="K3433" s="16" t="n">
        <f aca="false" t="array" ref="K3433:K3433">IFERROR(INDEX(AC3433:AE3433,IF(COUNTA(AC3433:AE3433)=0,"",MAX((AC3433:AE3433&lt;&gt;"")*(COLUMN(AC3433:AE3433)-(COLUMN(AC3433)-1))))-1),"")</f>
        <v>46128</v>
      </c>
      <c r="L3433" s="17" t="str">
        <f aca="false" t="array" ref="L3433:L3433">IFERROR(INDEX(AC3433:AE3433,IF(COUNTA(AC3433:AE3433)=0,"",MAX((AC3433:AE3433&lt;&gt;"")*(COLUMN(AC3433:AE3433)-(COLUMN(AC3433)-2))))-1),"")</f>
        <v>KEMBALI</v>
      </c>
      <c r="M3433" s="13" t="n">
        <f aca="true">K3433-TODAY()</f>
        <v>-196</v>
      </c>
      <c r="N3433" s="18" t="s">
        <v>36</v>
      </c>
      <c r="O3433" s="13" t="s">
        <v>4280</v>
      </c>
      <c r="P3433" s="19" t="n">
        <v>60000</v>
      </c>
      <c r="Q3433" s="47" t="s">
        <v>14081</v>
      </c>
      <c r="R3433" s="13" t="s">
        <v>65</v>
      </c>
      <c r="S3433" s="16" t="n">
        <v>36510</v>
      </c>
      <c r="T3433" s="28" t="s">
        <v>40</v>
      </c>
      <c r="U3433" s="13" t="s">
        <v>14082</v>
      </c>
      <c r="V3433" s="13" t="s">
        <v>42</v>
      </c>
      <c r="W3433" s="13" t="s">
        <v>54</v>
      </c>
      <c r="X3433" s="30" t="n">
        <v>83113611155</v>
      </c>
      <c r="Y3433" s="22" t="str">
        <f aca="false">O3433</f>
        <v>Helper Cutting</v>
      </c>
      <c r="Z3433" s="13" t="str">
        <f aca="false">IFERROR(__xludf.dummyfunction("if(BJ3433="""","""",GOOGLETRANSLATE(BJ3433,""auto"",""en""))"),"Helper Cutting")</f>
        <v>Helper Cutting</v>
      </c>
      <c r="AA3433" s="23" t="str">
        <f aca="false">IF(C3433="","", CHOOSE(MONTH(C3433),"January","February","March","April","May","June","July","August","September","October","November","December")&amp;" "&amp;DAY(C3433)&amp;MID("thstndrdth",MIN(9,2*RIGHT(DAY(C3433))*(MOD(DAY(C3433)-11,100)&gt;2)+1),2)&amp;","&amp;TEXT(C3433," yyyy"))</f>
        <v>April 1st,2026</v>
      </c>
      <c r="AB3433" s="15" t="str">
        <f aca="true">IF(S3433="","",DATEDIF(S3433,TODAY(),"Y")&amp;" Tahun, "&amp;DATEDIF(S3433,TODAY(),"YM")&amp;" Bulan, "&amp;DATEDIF(S3433,TODAY(),"MD")&amp;" Hari")</f>
        <v>26 Tahun, 10 Bulan, 13 Hari</v>
      </c>
      <c r="AC3433" s="18" t="n">
        <v>46113</v>
      </c>
      <c r="AD3433" s="18" t="n">
        <v>46128</v>
      </c>
      <c r="AE3433" s="13" t="s">
        <v>397</v>
      </c>
    </row>
    <row r="3434" customFormat="false" ht="15" hidden="false" customHeight="true" outlineLevel="0" collapsed="false">
      <c r="A3434" s="12" t="n">
        <v>22049</v>
      </c>
      <c r="B3434" s="13" t="s">
        <v>14083</v>
      </c>
      <c r="C3434" s="16" t="n">
        <v>46114</v>
      </c>
      <c r="D3434" s="13" t="s">
        <v>7948</v>
      </c>
      <c r="E3434" s="15" t="s">
        <v>7949</v>
      </c>
      <c r="F3434" s="15" t="str">
        <f aca="false">IFERROR(__xludf.dummyfunction("XLOOKUP(AJ3434,IMPORTRANGE(""1XaInW9DU9nz21V0tYIfzFQ0He9kVQ_JF2mCXgZ3hqFA"",""REKAP ALL 2026 - Andika!G:G""),IMPORTRANGE(""1XaInW9DU9nz21V0tYIfzFQ0He9kVQ_JF2mCXgZ3hqFA"",""REKAP ALL 2026 - Andika!F:F""),"""",0)"),"26062983726")</f>
        <v>26062983726</v>
      </c>
      <c r="G3434" s="13" t="s">
        <v>57</v>
      </c>
      <c r="H3434" s="13" t="s">
        <v>3024</v>
      </c>
      <c r="I3434" s="13" t="str">
        <f aca="false">IF(C3434=J3434,"NEW KONTRAK","RE-KONTRAK")</f>
        <v>NEW KONTRAK</v>
      </c>
      <c r="J3434" s="16" t="n">
        <f aca="false" t="array" ref="J3434:J3434">IFERROR(INDEX(AC3434:AE3434,IF(COUNTA(AC3434:AE3434)=0,"",MAX((AC3434:AE3434&lt;&gt;"")*(COLUMN(AC3434:AE3434)-(COLUMN(AC3434)))))-1),"")</f>
        <v>46114</v>
      </c>
      <c r="K3434" s="16" t="n">
        <f aca="false" t="array" ref="K3434:K3434">IFERROR(INDEX(AC3434:AE3434,IF(COUNTA(AC3434:AE3434)=0,"",MAX((AC3434:AE3434&lt;&gt;"")*(COLUMN(AC3434:AE3434)-(COLUMN(AC3434)-1))))-1),"")</f>
        <v>46203</v>
      </c>
      <c r="L3434" s="17" t="str">
        <f aca="false" t="array" ref="L3434:L3434">IFERROR(INDEX(AC3434:AE3434,IF(COUNTA(AC3434:AE3434)=0,"",MAX((AC3434:AE3434&lt;&gt;"")*(COLUMN(AC3434:AE3434)-(COLUMN(AC3434)-2))))-1),"")</f>
        <v>ARCHIVED</v>
      </c>
      <c r="M3434" s="13" t="n">
        <f aca="true">K3434-TODAY()</f>
        <v>-121</v>
      </c>
      <c r="N3434" s="18" t="s">
        <v>4051</v>
      </c>
      <c r="O3434" s="13" t="s">
        <v>7951</v>
      </c>
      <c r="P3434" s="19" t="n">
        <v>210000</v>
      </c>
      <c r="Q3434" s="47" t="s">
        <v>14084</v>
      </c>
      <c r="R3434" s="13" t="s">
        <v>39</v>
      </c>
      <c r="S3434" s="16" t="n">
        <v>34608</v>
      </c>
      <c r="T3434" s="13" t="s">
        <v>40</v>
      </c>
      <c r="U3434" s="13" t="s">
        <v>14085</v>
      </c>
      <c r="V3434" s="13" t="s">
        <v>42</v>
      </c>
      <c r="W3434" s="13" t="s">
        <v>54</v>
      </c>
      <c r="X3434" s="30" t="n">
        <v>85726221890</v>
      </c>
      <c r="Y3434" s="22" t="str">
        <f aca="false">O3434</f>
        <v>Mekanik Kiln</v>
      </c>
      <c r="Z3434" s="13" t="str">
        <f aca="false">IFERROR(__xludf.dummyfunction("if(BJ3434="""","""",GOOGLETRANSLATE(BJ3434,""auto"",""en""))"),"Kiln Mechanics")</f>
        <v>Kiln Mechanics</v>
      </c>
      <c r="AA3434" s="23" t="str">
        <f aca="false">IF(C3434="","", CHOOSE(MONTH(C3434),"January","February","March","April","May","June","July","August","September","October","November","December")&amp;" "&amp;DAY(C3434)&amp;MID("thstndrdth",MIN(9,2*RIGHT(DAY(C3434))*(MOD(DAY(C3434)-11,100)&gt;2)+1),2)&amp;","&amp;TEXT(C3434," yyyy"))</f>
        <v>April 2nd,2026</v>
      </c>
      <c r="AB3434" s="15" t="str">
        <f aca="true">IF(S3434="","",DATEDIF(S3434,TODAY(),"Y")&amp;" Tahun, "&amp;DATEDIF(S3434,TODAY(),"YM")&amp;" Bulan, "&amp;DATEDIF(S3434,TODAY(),"MD")&amp;" Hari")</f>
        <v>32 Tahun, 0 Bulan, 28 Hari</v>
      </c>
      <c r="AC3434" s="18" t="n">
        <v>46114</v>
      </c>
      <c r="AD3434" s="18" t="n">
        <v>46203</v>
      </c>
      <c r="AE3434" s="18" t="s">
        <v>44</v>
      </c>
    </row>
    <row r="3435" customFormat="false" ht="15" hidden="false" customHeight="true" outlineLevel="0" collapsed="false">
      <c r="A3435" s="12" t="n">
        <v>22050</v>
      </c>
      <c r="B3435" s="13" t="s">
        <v>9542</v>
      </c>
      <c r="C3435" s="16" t="n">
        <v>46114</v>
      </c>
      <c r="D3435" s="13" t="s">
        <v>7948</v>
      </c>
      <c r="E3435" s="15" t="s">
        <v>7949</v>
      </c>
      <c r="F3435" s="15" t="str">
        <f aca="false">IFERROR(__xludf.dummyfunction("XLOOKUP(AJ3435,IMPORTRANGE(""1XaInW9DU9nz21V0tYIfzFQ0He9kVQ_JF2mCXgZ3hqFA"",""REKAP ALL 2026 - Andika!G:G""),IMPORTRANGE(""1XaInW9DU9nz21V0tYIfzFQ0He9kVQ_JF2mCXgZ3hqFA"",""REKAP ALL 2026 - Andika!F:F""),"""",0)"),"26062983742")</f>
        <v>26062983742</v>
      </c>
      <c r="G3435" s="13" t="s">
        <v>57</v>
      </c>
      <c r="H3435" s="13" t="s">
        <v>3024</v>
      </c>
      <c r="I3435" s="13" t="str">
        <f aca="false">IF(C3435=J3435,"NEW KONTRAK","RE-KONTRAK")</f>
        <v>NEW KONTRAK</v>
      </c>
      <c r="J3435" s="16" t="n">
        <f aca="false" t="array" ref="J3435:J3435">IFERROR(INDEX(AC3435:AE3435,IF(COUNTA(AC3435:AE3435)=0,"",MAX((AC3435:AE3435&lt;&gt;"")*(COLUMN(AC3435:AE3435)-(COLUMN(AC3435)))))-1),"")</f>
        <v>46114</v>
      </c>
      <c r="K3435" s="16" t="n">
        <f aca="false" t="array" ref="K3435:K3435">IFERROR(INDEX(AC3435:AE3435,IF(COUNTA(AC3435:AE3435)=0,"",MAX((AC3435:AE3435&lt;&gt;"")*(COLUMN(AC3435:AE3435)-(COLUMN(AC3435)-1))))-1),"")</f>
        <v>46203</v>
      </c>
      <c r="L3435" s="17" t="str">
        <f aca="false" t="array" ref="L3435:L3435">IFERROR(INDEX(AC3435:AE3435,IF(COUNTA(AC3435:AE3435)=0,"",MAX((AC3435:AE3435&lt;&gt;"")*(COLUMN(AC3435:AE3435)-(COLUMN(AC3435)-2))))-1),"")</f>
        <v>ARCHIVED</v>
      </c>
      <c r="M3435" s="13" t="n">
        <f aca="true">K3435-TODAY()</f>
        <v>-121</v>
      </c>
      <c r="N3435" s="18" t="s">
        <v>4051</v>
      </c>
      <c r="O3435" s="13" t="s">
        <v>7951</v>
      </c>
      <c r="P3435" s="19" t="n">
        <v>210000</v>
      </c>
      <c r="Q3435" s="47" t="s">
        <v>14086</v>
      </c>
      <c r="R3435" s="13" t="s">
        <v>232</v>
      </c>
      <c r="S3435" s="16" t="n">
        <v>26892</v>
      </c>
      <c r="T3435" s="13" t="s">
        <v>40</v>
      </c>
      <c r="U3435" s="13" t="s">
        <v>14087</v>
      </c>
      <c r="V3435" s="13" t="s">
        <v>42</v>
      </c>
      <c r="W3435" s="13" t="s">
        <v>54</v>
      </c>
      <c r="X3435" s="30" t="n">
        <v>82375326973</v>
      </c>
      <c r="Y3435" s="22" t="str">
        <f aca="false">O3435</f>
        <v>Mekanik Kiln</v>
      </c>
      <c r="Z3435" s="13" t="str">
        <f aca="false">IFERROR(__xludf.dummyfunction("if(BJ3435="""","""",GOOGLETRANSLATE(BJ3435,""auto"",""en""))"),"Kiln Mechanics")</f>
        <v>Kiln Mechanics</v>
      </c>
      <c r="AA3435" s="23" t="str">
        <f aca="false">IF(C3435="","", CHOOSE(MONTH(C3435),"January","February","March","April","May","June","July","August","September","October","November","December")&amp;" "&amp;DAY(C3435)&amp;MID("thstndrdth",MIN(9,2*RIGHT(DAY(C3435))*(MOD(DAY(C3435)-11,100)&gt;2)+1),2)&amp;","&amp;TEXT(C3435," yyyy"))</f>
        <v>April 2nd,2026</v>
      </c>
      <c r="AB3435" s="15" t="str">
        <f aca="true">IF(S3435="","",DATEDIF(S3435,TODAY(),"Y")&amp;" Tahun, "&amp;DATEDIF(S3435,TODAY(),"YM")&amp;" Bulan, "&amp;DATEDIF(S3435,TODAY(),"MD")&amp;" Hari")</f>
        <v>53 Tahun, 2 Bulan, 13 Hari</v>
      </c>
      <c r="AC3435" s="18" t="n">
        <v>46114</v>
      </c>
      <c r="AD3435" s="18" t="n">
        <v>46203</v>
      </c>
      <c r="AE3435" s="18" t="s">
        <v>44</v>
      </c>
    </row>
    <row r="3436" customFormat="false" ht="15" hidden="false" customHeight="true" outlineLevel="0" collapsed="false">
      <c r="A3436" s="12" t="n">
        <v>22051</v>
      </c>
      <c r="B3436" s="13" t="s">
        <v>14088</v>
      </c>
      <c r="C3436" s="16" t="n">
        <v>46114</v>
      </c>
      <c r="D3436" s="13" t="s">
        <v>7948</v>
      </c>
      <c r="E3436" s="15" t="s">
        <v>7949</v>
      </c>
      <c r="F3436" s="15" t="str">
        <f aca="false">IFERROR(__xludf.dummyfunction("XLOOKUP(AJ3436,IMPORTRANGE(""1XaInW9DU9nz21V0tYIfzFQ0He9kVQ_JF2mCXgZ3hqFA"",""REKAP ALL 2026 - Andika!G:G""),IMPORTRANGE(""1XaInW9DU9nz21V0tYIfzFQ0He9kVQ_JF2mCXgZ3hqFA"",""REKAP ALL 2026 - Andika!F:F""),"""",0)"),"26062983767")</f>
        <v>26062983767</v>
      </c>
      <c r="G3436" s="13" t="s">
        <v>57</v>
      </c>
      <c r="H3436" s="13" t="s">
        <v>3024</v>
      </c>
      <c r="I3436" s="13" t="str">
        <f aca="false">IF(C3436=J3436,"NEW KONTRAK","RE-KONTRAK")</f>
        <v>NEW KONTRAK</v>
      </c>
      <c r="J3436" s="16" t="n">
        <f aca="false" t="array" ref="J3436:J3436">IFERROR(INDEX(AC3436:AE3436,IF(COUNTA(AC3436:AE3436)=0,"",MAX((AC3436:AE3436&lt;&gt;"")*(COLUMN(AC3436:AE3436)-(COLUMN(AC3436)))))-1),"")</f>
        <v>46114</v>
      </c>
      <c r="K3436" s="16" t="n">
        <f aca="false" t="array" ref="K3436:K3436">IFERROR(INDEX(AC3436:AE3436,IF(COUNTA(AC3436:AE3436)=0,"",MAX((AC3436:AE3436&lt;&gt;"")*(COLUMN(AC3436:AE3436)-(COLUMN(AC3436)-1))))-1),"")</f>
        <v>46203</v>
      </c>
      <c r="L3436" s="17" t="str">
        <f aca="false" t="array" ref="L3436:L3436">IFERROR(INDEX(AC3436:AE3436,IF(COUNTA(AC3436:AE3436)=0,"",MAX((AC3436:AE3436&lt;&gt;"")*(COLUMN(AC3436:AE3436)-(COLUMN(AC3436)-2))))-1),"")</f>
        <v>ARCHIVED</v>
      </c>
      <c r="M3436" s="13" t="n">
        <f aca="true">K3436-TODAY()</f>
        <v>-121</v>
      </c>
      <c r="N3436" s="18" t="s">
        <v>4051</v>
      </c>
      <c r="O3436" s="13" t="s">
        <v>7951</v>
      </c>
      <c r="P3436" s="19" t="n">
        <v>210000</v>
      </c>
      <c r="Q3436" s="47" t="s">
        <v>14089</v>
      </c>
      <c r="R3436" s="13" t="s">
        <v>168</v>
      </c>
      <c r="S3436" s="16" t="n">
        <v>35856</v>
      </c>
      <c r="T3436" s="13" t="s">
        <v>40</v>
      </c>
      <c r="U3436" s="13" t="s">
        <v>14090</v>
      </c>
      <c r="V3436" s="13" t="s">
        <v>42</v>
      </c>
      <c r="W3436" s="13" t="s">
        <v>54</v>
      </c>
      <c r="X3436" s="21" t="s">
        <v>14091</v>
      </c>
      <c r="Y3436" s="22" t="str">
        <f aca="false">O3436</f>
        <v>Mekanik Kiln</v>
      </c>
      <c r="Z3436" s="13" t="str">
        <f aca="false">IFERROR(__xludf.dummyfunction("if(BJ3436="""","""",GOOGLETRANSLATE(BJ3436,""auto"",""en""))"),"Kiln Mechanics")</f>
        <v>Kiln Mechanics</v>
      </c>
      <c r="AA3436" s="23" t="str">
        <f aca="false">IF(C3436="","", CHOOSE(MONTH(C3436),"January","February","March","April","May","June","July","August","September","October","November","December")&amp;" "&amp;DAY(C3436)&amp;MID("thstndrdth",MIN(9,2*RIGHT(DAY(C3436))*(MOD(DAY(C3436)-11,100)&gt;2)+1),2)&amp;","&amp;TEXT(C3436," yyyy"))</f>
        <v>April 2nd,2026</v>
      </c>
      <c r="AB3436" s="15" t="str">
        <f aca="true">IF(S3436="","",DATEDIF(S3436,TODAY(),"Y")&amp;" Tahun, "&amp;DATEDIF(S3436,TODAY(),"YM")&amp;" Bulan, "&amp;DATEDIF(S3436,TODAY(),"MD")&amp;" Hari")</f>
        <v>28 Tahun, 7 Bulan, 27 Hari</v>
      </c>
      <c r="AC3436" s="18" t="n">
        <v>46114</v>
      </c>
      <c r="AD3436" s="18" t="n">
        <v>46203</v>
      </c>
      <c r="AE3436" s="18" t="s">
        <v>44</v>
      </c>
    </row>
    <row r="3437" customFormat="false" ht="15" hidden="false" customHeight="true" outlineLevel="0" collapsed="false">
      <c r="A3437" s="12" t="n">
        <v>22052</v>
      </c>
      <c r="B3437" s="13" t="s">
        <v>14092</v>
      </c>
      <c r="C3437" s="16" t="n">
        <v>46111</v>
      </c>
      <c r="D3437" s="13" t="s">
        <v>4112</v>
      </c>
      <c r="E3437" s="15" t="s">
        <v>102</v>
      </c>
      <c r="F3437" s="15" t="str">
        <f aca="false">IFERROR(__xludf.dummyfunction("XLOOKUP(AJ3437,IMPORTRANGE(""1XaInW9DU9nz21V0tYIfzFQ0He9kVQ_JF2mCXgZ3hqFA"",""REKAP ALL 2026 - Andika!G:G""),IMPORTRANGE(""1XaInW9DU9nz21V0tYIfzFQ0He9kVQ_JF2mCXgZ3hqFA"",""REKAP ALL 2026 - Andika!F:F""),"""",0)"),"26046424557")</f>
        <v>26046424557</v>
      </c>
      <c r="G3437" s="28" t="s">
        <v>57</v>
      </c>
      <c r="H3437" s="13" t="s">
        <v>35</v>
      </c>
      <c r="I3437" s="13" t="str">
        <f aca="false">IF(C3437=J3437,"NEW KONTRAK","RE-KONTRAK")</f>
        <v>NEW KONTRAK</v>
      </c>
      <c r="J3437" s="16" t="n">
        <f aca="false" t="array" ref="J3437:J3437">IFERROR(INDEX(AC3437:AE3437,IF(COUNTA(AC3437:AE3437)=0,"",MAX((AC3437:AE3437&lt;&gt;"")*(COLUMN(AC3437:AE3437)-(COLUMN(AC3437)))))-1),"")</f>
        <v>46111</v>
      </c>
      <c r="K3437" s="16" t="n">
        <f aca="false" t="array" ref="K3437:K3437">IFERROR(INDEX(AC3437:AE3437,IF(COUNTA(AC3437:AE3437)=0,"",MAX((AC3437:AE3437&lt;&gt;"")*(COLUMN(AC3437:AE3437)-(COLUMN(AC3437)-1))))-1),"")</f>
        <v>46202</v>
      </c>
      <c r="L3437" s="17" t="str">
        <f aca="false" t="array" ref="L3437:L3437">IFERROR(INDEX(AC3437:AE3437,IF(COUNTA(AC3437:AE3437)=0,"",MAX((AC3437:AE3437&lt;&gt;"")*(COLUMN(AC3437:AE3437)-(COLUMN(AC3437)-2))))-1),"")</f>
        <v>ARCHIVED</v>
      </c>
      <c r="M3437" s="13" t="n">
        <f aca="true">K3437-TODAY()</f>
        <v>-122</v>
      </c>
      <c r="N3437" s="18" t="s">
        <v>728</v>
      </c>
      <c r="O3437" s="13" t="s">
        <v>719</v>
      </c>
      <c r="P3437" s="19" t="n">
        <v>3000000</v>
      </c>
      <c r="Q3437" s="47" t="s">
        <v>14093</v>
      </c>
      <c r="R3437" s="13" t="s">
        <v>52</v>
      </c>
      <c r="S3437" s="16" t="n">
        <v>33262</v>
      </c>
      <c r="T3437" s="28" t="s">
        <v>40</v>
      </c>
      <c r="U3437" s="13" t="s">
        <v>14094</v>
      </c>
      <c r="V3437" s="13" t="s">
        <v>42</v>
      </c>
      <c r="W3437" s="13" t="s">
        <v>54</v>
      </c>
      <c r="X3437" s="30" t="n">
        <v>81312196565</v>
      </c>
      <c r="Y3437" s="22" t="str">
        <f aca="false">O3437</f>
        <v>Cleaning Service</v>
      </c>
      <c r="Z3437" s="13" t="str">
        <f aca="false">IFERROR(__xludf.dummyfunction("if(BJ3437="""","""",GOOGLETRANSLATE(BJ3437,""auto"",""en""))"),"Cleaning Service")</f>
        <v>Cleaning Service</v>
      </c>
      <c r="AA3437" s="23" t="str">
        <f aca="false">IF(C3437="","", CHOOSE(MONTH(C3437),"January","February","March","April","May","June","July","August","September","October","November","December")&amp;" "&amp;DAY(C3437)&amp;MID("thstndrdth",MIN(9,2*RIGHT(DAY(C3437))*(MOD(DAY(C3437)-11,100)&gt;2)+1),2)&amp;","&amp;TEXT(C3437," yyyy"))</f>
        <v>March 30th,2026</v>
      </c>
      <c r="AB3437" s="15" t="str">
        <f aca="true">IF(S3437="","",DATEDIF(S3437,TODAY(),"Y")&amp;" Tahun, "&amp;DATEDIF(S3437,TODAY(),"YM")&amp;" Bulan, "&amp;DATEDIF(S3437,TODAY(),"MD")&amp;" Hari")</f>
        <v>35 Tahun, 9 Bulan, 5 Hari</v>
      </c>
      <c r="AC3437" s="18" t="n">
        <v>46111</v>
      </c>
      <c r="AD3437" s="18" t="n">
        <f aca="false">EDATE(AC3437,3)-1</f>
        <v>46202</v>
      </c>
      <c r="AE3437" s="13" t="s">
        <v>44</v>
      </c>
    </row>
    <row r="3438" customFormat="false" ht="15" hidden="false" customHeight="true" outlineLevel="0" collapsed="false">
      <c r="A3438" s="12" t="n">
        <v>22053</v>
      </c>
      <c r="B3438" s="13" t="s">
        <v>14095</v>
      </c>
      <c r="C3438" s="16" t="n">
        <v>46101</v>
      </c>
      <c r="D3438" s="13" t="s">
        <v>12814</v>
      </c>
      <c r="E3438" s="15" t="s">
        <v>6819</v>
      </c>
      <c r="F3438" s="15" t="str">
        <f aca="false">IFERROR(__xludf.dummyfunction("XLOOKUP(AJ3438,IMPORTRANGE(""1XaInW9DU9nz21V0tYIfzFQ0He9kVQ_JF2mCXgZ3hqFA"",""REKAP ALL 2026 - Andika!G:G""),IMPORTRANGE(""1XaInW9DU9nz21V0tYIfzFQ0He9kVQ_JF2mCXgZ3hqFA"",""REKAP ALL 2026 - Andika!F:F""),"""",0)"),"26046412867")</f>
        <v>26046412867</v>
      </c>
      <c r="G3438" s="13" t="s">
        <v>1127</v>
      </c>
      <c r="H3438" s="13" t="s">
        <v>35</v>
      </c>
      <c r="I3438" s="13" t="str">
        <f aca="false">IF(C3438=J3438,"NEW KONTRAK","RE-KONTRAK")</f>
        <v>NEW KONTRAK</v>
      </c>
      <c r="J3438" s="16" t="n">
        <f aca="false" t="array" ref="J3438:J3438">IFERROR(INDEX(AC3438:AE3438,IF(COUNTA(AC3438:AE3438)=0,"",MAX((AC3438:AE3438&lt;&gt;"")*(COLUMN(AC3438:AE3438)-(COLUMN(AC3438)))))-1),"")</f>
        <v>46101</v>
      </c>
      <c r="K3438" s="16" t="n">
        <f aca="false" t="array" ref="K3438:K3438">IFERROR(INDEX(AC3438:AE3438,IF(COUNTA(AC3438:AE3438)=0,"",MAX((AC3438:AE3438&lt;&gt;"")*(COLUMN(AC3438:AE3438)-(COLUMN(AC3438)-1))))-1),"")</f>
        <v>46387</v>
      </c>
      <c r="L3438" s="17" t="str">
        <f aca="false" t="array" ref="L3438:L3438">IFERROR(INDEX(AC3438:AE3438,IF(COUNTA(AC3438:AE3438)=0,"",MAX((AC3438:AE3438&lt;&gt;"")*(COLUMN(AC3438:AE3438)-(COLUMN(AC3438)-2))))-1),"")</f>
        <v>ARCHIVED</v>
      </c>
      <c r="M3438" s="13" t="n">
        <f aca="true">K3438-TODAY()</f>
        <v>63</v>
      </c>
      <c r="N3438" s="18" t="s">
        <v>36</v>
      </c>
      <c r="O3438" s="13" t="s">
        <v>12815</v>
      </c>
      <c r="P3438" s="19" t="n">
        <v>5195401</v>
      </c>
      <c r="Q3438" s="47" t="s">
        <v>14096</v>
      </c>
      <c r="R3438" s="13" t="s">
        <v>52</v>
      </c>
      <c r="S3438" s="16" t="n">
        <v>34781</v>
      </c>
      <c r="T3438" s="28" t="s">
        <v>40</v>
      </c>
      <c r="U3438" s="13" t="s">
        <v>14097</v>
      </c>
      <c r="V3438" s="13" t="s">
        <v>42</v>
      </c>
      <c r="W3438" s="13" t="s">
        <v>54</v>
      </c>
      <c r="X3438" s="30" t="n">
        <v>82234138999</v>
      </c>
      <c r="Y3438" s="22" t="str">
        <f aca="false">O3438</f>
        <v>Cook Helper</v>
      </c>
      <c r="Z3438" s="13" t="str">
        <f aca="false">IFERROR(__xludf.dummyfunction("if(BJ3438="""","""",GOOGLETRANSLATE(BJ3438,""auto"",""en""))"),"Cook Helper")</f>
        <v>Cook Helper</v>
      </c>
      <c r="AA3438" s="23" t="str">
        <f aca="false">IF(C3438="","", CHOOSE(MONTH(C3438),"January","February","March","April","May","June","July","August","September","October","November","December")&amp;" "&amp;DAY(C3438)&amp;MID("thstndrdth",MIN(9,2*RIGHT(DAY(C3438))*(MOD(DAY(C3438)-11,100)&gt;2)+1),2)&amp;","&amp;TEXT(C3438," yyyy"))</f>
        <v>March 20th,2026</v>
      </c>
      <c r="AB3438" s="15" t="str">
        <f aca="true">IF(S3438="","",DATEDIF(S3438,TODAY(),"Y")&amp;" Tahun, "&amp;DATEDIF(S3438,TODAY(),"YM")&amp;" Bulan, "&amp;DATEDIF(S3438,TODAY(),"MD")&amp;" Hari")</f>
        <v>31 Tahun, 7 Bulan, 6 Hari</v>
      </c>
      <c r="AC3438" s="18" t="n">
        <v>46101</v>
      </c>
      <c r="AD3438" s="18" t="n">
        <v>46387</v>
      </c>
      <c r="AE3438" s="13" t="s">
        <v>44</v>
      </c>
    </row>
    <row r="3439" customFormat="false" ht="15" hidden="false" customHeight="true" outlineLevel="0" collapsed="false">
      <c r="A3439" s="12" t="n">
        <v>22054</v>
      </c>
      <c r="B3439" s="13" t="s">
        <v>14098</v>
      </c>
      <c r="C3439" s="16" t="n">
        <v>46101</v>
      </c>
      <c r="D3439" s="13" t="s">
        <v>12814</v>
      </c>
      <c r="E3439" s="15" t="s">
        <v>102</v>
      </c>
      <c r="F3439" s="15" t="str">
        <f aca="false">IFERROR(__xludf.dummyfunction("XLOOKUP(AJ3439,IMPORTRANGE(""1XaInW9DU9nz21V0tYIfzFQ0He9kVQ_JF2mCXgZ3hqFA"",""REKAP ALL 2026 - Andika!G:G""),IMPORTRANGE(""1XaInW9DU9nz21V0tYIfzFQ0He9kVQ_JF2mCXgZ3hqFA"",""REKAP ALL 2026 - Andika!F:F""),"""",0)"),"26046412883")</f>
        <v>26046412883</v>
      </c>
      <c r="G3439" s="13" t="s">
        <v>1127</v>
      </c>
      <c r="H3439" s="13" t="s">
        <v>35</v>
      </c>
      <c r="I3439" s="13" t="str">
        <f aca="false">IF(C3439=J3439,"NEW KONTRAK","RE-KONTRAK")</f>
        <v>NEW KONTRAK</v>
      </c>
      <c r="J3439" s="16" t="n">
        <f aca="false" t="array" ref="J3439:J3439">IFERROR(INDEX(AC3439:AE3439,IF(COUNTA(AC3439:AE3439)=0,"",MAX((AC3439:AE3439&lt;&gt;"")*(COLUMN(AC3439:AE3439)-(COLUMN(AC3439)))))-1),"")</f>
        <v>46101</v>
      </c>
      <c r="K3439" s="16" t="n">
        <f aca="false" t="array" ref="K3439:K3439">IFERROR(INDEX(AC3439:AE3439,IF(COUNTA(AC3439:AE3439)=0,"",MAX((AC3439:AE3439&lt;&gt;"")*(COLUMN(AC3439:AE3439)-(COLUMN(AC3439)-1))))-1),"")</f>
        <v>46387</v>
      </c>
      <c r="L3439" s="17" t="str">
        <f aca="false" t="array" ref="L3439:L3439">IFERROR(INDEX(AC3439:AE3439,IF(COUNTA(AC3439:AE3439)=0,"",MAX((AC3439:AE3439&lt;&gt;"")*(COLUMN(AC3439:AE3439)-(COLUMN(AC3439)-2))))-1),"")</f>
        <v>ARCHIVED</v>
      </c>
      <c r="M3439" s="13" t="n">
        <f aca="true">K3439-TODAY()</f>
        <v>63</v>
      </c>
      <c r="N3439" s="18" t="s">
        <v>36</v>
      </c>
      <c r="O3439" s="13" t="s">
        <v>12815</v>
      </c>
      <c r="P3439" s="19" t="n">
        <v>5195401</v>
      </c>
      <c r="Q3439" s="47" t="s">
        <v>14099</v>
      </c>
      <c r="R3439" s="13" t="s">
        <v>65</v>
      </c>
      <c r="S3439" s="16" t="n">
        <v>36610</v>
      </c>
      <c r="T3439" s="13" t="s">
        <v>108</v>
      </c>
      <c r="U3439" s="13" t="s">
        <v>14100</v>
      </c>
      <c r="V3439" s="13" t="s">
        <v>42</v>
      </c>
      <c r="W3439" s="13" t="s">
        <v>43</v>
      </c>
      <c r="X3439" s="30" t="n">
        <v>85704389836</v>
      </c>
      <c r="Y3439" s="22" t="str">
        <f aca="false">O3439</f>
        <v>Cook Helper</v>
      </c>
      <c r="Z3439" s="13" t="str">
        <f aca="false">IFERROR(__xludf.dummyfunction("if(BJ3439="""","""",GOOGLETRANSLATE(BJ3439,""auto"",""en""))"),"Cook Helper")</f>
        <v>Cook Helper</v>
      </c>
      <c r="AA3439" s="23" t="str">
        <f aca="false">IF(C3439="","", CHOOSE(MONTH(C3439),"January","February","March","April","May","June","July","August","September","October","November","December")&amp;" "&amp;DAY(C3439)&amp;MID("thstndrdth",MIN(9,2*RIGHT(DAY(C3439))*(MOD(DAY(C3439)-11,100)&gt;2)+1),2)&amp;","&amp;TEXT(C3439," yyyy"))</f>
        <v>March 20th,2026</v>
      </c>
      <c r="AB3439" s="15" t="str">
        <f aca="true">IF(S3439="","",DATEDIF(S3439,TODAY(),"Y")&amp;" Tahun, "&amp;DATEDIF(S3439,TODAY(),"YM")&amp;" Bulan, "&amp;DATEDIF(S3439,TODAY(),"MD")&amp;" Hari")</f>
        <v>26 Tahun, 7 Bulan, 4 Hari</v>
      </c>
      <c r="AC3439" s="18" t="n">
        <v>46101</v>
      </c>
      <c r="AD3439" s="18" t="n">
        <v>46387</v>
      </c>
      <c r="AE3439" s="13" t="s">
        <v>44</v>
      </c>
    </row>
    <row r="3440" customFormat="false" ht="15" hidden="false" customHeight="true" outlineLevel="0" collapsed="false">
      <c r="A3440" s="12" t="n">
        <v>22055</v>
      </c>
      <c r="B3440" s="13" t="s">
        <v>14101</v>
      </c>
      <c r="C3440" s="16" t="n">
        <v>46107</v>
      </c>
      <c r="D3440" s="13" t="s">
        <v>12814</v>
      </c>
      <c r="E3440" s="15" t="s">
        <v>47</v>
      </c>
      <c r="F3440" s="15" t="str">
        <f aca="false">IFERROR(__xludf.dummyfunction("XLOOKUP(AJ3440,IMPORTRANGE(""1XaInW9DU9nz21V0tYIfzFQ0He9kVQ_JF2mCXgZ3hqFA"",""REKAP ALL 2026 - Andika!G:G""),IMPORTRANGE(""1XaInW9DU9nz21V0tYIfzFQ0He9kVQ_JF2mCXgZ3hqFA"",""REKAP ALL 2026 - Andika!F:F""),"""",0)"),"26046412875")</f>
        <v>26046412875</v>
      </c>
      <c r="G3440" s="13" t="s">
        <v>1127</v>
      </c>
      <c r="H3440" s="13" t="s">
        <v>35</v>
      </c>
      <c r="I3440" s="13" t="str">
        <f aca="false">IF(C3440=J3440,"NEW KONTRAK","RE-KONTRAK")</f>
        <v>NEW KONTRAK</v>
      </c>
      <c r="J3440" s="16" t="n">
        <f aca="false" t="array" ref="J3440:J3440">IFERROR(INDEX(AC3440:AE3440,IF(COUNTA(AC3440:AE3440)=0,"",MAX((AC3440:AE3440&lt;&gt;"")*(COLUMN(AC3440:AE3440)-(COLUMN(AC3440)))))-1),"")</f>
        <v>46107</v>
      </c>
      <c r="K3440" s="16" t="n">
        <f aca="false" t="array" ref="K3440:K3440">IFERROR(INDEX(AC3440:AE3440,IF(COUNTA(AC3440:AE3440)=0,"",MAX((AC3440:AE3440&lt;&gt;"")*(COLUMN(AC3440:AE3440)-(COLUMN(AC3440)-1))))-1),"")</f>
        <v>46387</v>
      </c>
      <c r="L3440" s="17" t="str">
        <f aca="false" t="array" ref="L3440:L3440">IFERROR(INDEX(AC3440:AE3440,IF(COUNTA(AC3440:AE3440)=0,"",MAX((AC3440:AE3440&lt;&gt;"")*(COLUMN(AC3440:AE3440)-(COLUMN(AC3440)-2))))-1),"")</f>
        <v>ARCHIVED</v>
      </c>
      <c r="M3440" s="13" t="n">
        <f aca="true">K3440-TODAY()</f>
        <v>63</v>
      </c>
      <c r="N3440" s="18" t="s">
        <v>36</v>
      </c>
      <c r="O3440" s="13" t="s">
        <v>12815</v>
      </c>
      <c r="P3440" s="19" t="n">
        <v>5195401</v>
      </c>
      <c r="Q3440" s="47" t="s">
        <v>14102</v>
      </c>
      <c r="R3440" s="13" t="s">
        <v>65</v>
      </c>
      <c r="S3440" s="16" t="n">
        <v>36548</v>
      </c>
      <c r="T3440" s="13" t="s">
        <v>108</v>
      </c>
      <c r="U3440" s="13" t="s">
        <v>14103</v>
      </c>
      <c r="V3440" s="13" t="s">
        <v>42</v>
      </c>
      <c r="W3440" s="13" t="s">
        <v>54</v>
      </c>
      <c r="X3440" s="30" t="n">
        <v>85703761379</v>
      </c>
      <c r="Y3440" s="22" t="str">
        <f aca="false">O3440</f>
        <v>Cook Helper</v>
      </c>
      <c r="Z3440" s="13" t="str">
        <f aca="false">IFERROR(__xludf.dummyfunction("if(BJ3440="""","""",GOOGLETRANSLATE(BJ3440,""auto"",""en""))"),"Cook Helper")</f>
        <v>Cook Helper</v>
      </c>
      <c r="AA3440" s="23" t="str">
        <f aca="false">IF(C3440="","", CHOOSE(MONTH(C3440),"January","February","March","April","May","June","July","August","September","October","November","December")&amp;" "&amp;DAY(C3440)&amp;MID("thstndrdth",MIN(9,2*RIGHT(DAY(C3440))*(MOD(DAY(C3440)-11,100)&gt;2)+1),2)&amp;","&amp;TEXT(C3440," yyyy"))</f>
        <v>March 26th,2026</v>
      </c>
      <c r="AB3440" s="15" t="str">
        <f aca="true">IF(S3440="","",DATEDIF(S3440,TODAY(),"Y")&amp;" Tahun, "&amp;DATEDIF(S3440,TODAY(),"YM")&amp;" Bulan, "&amp;DATEDIF(S3440,TODAY(),"MD")&amp;" Hari")</f>
        <v>26 Tahun, 9 Bulan, 6 Hari</v>
      </c>
      <c r="AC3440" s="18" t="n">
        <v>46107</v>
      </c>
      <c r="AD3440" s="18" t="n">
        <v>46387</v>
      </c>
      <c r="AE3440" s="13" t="s">
        <v>44</v>
      </c>
    </row>
    <row r="3441" customFormat="false" ht="15" hidden="false" customHeight="true" outlineLevel="0" collapsed="false">
      <c r="A3441" s="12" t="n">
        <v>22057</v>
      </c>
      <c r="B3441" s="13" t="s">
        <v>14104</v>
      </c>
      <c r="C3441" s="16" t="n">
        <v>46113</v>
      </c>
      <c r="D3441" s="13" t="s">
        <v>774</v>
      </c>
      <c r="E3441" s="15" t="s">
        <v>47</v>
      </c>
      <c r="F3441" s="15" t="str">
        <f aca="false">IFERROR(__xludf.dummyfunction("XLOOKUP(AJ3441,IMPORTRANGE(""1XaInW9DU9nz21V0tYIfzFQ0He9kVQ_JF2mCXgZ3hqFA"",""REKAP ALL 2026 - Andika!G:G""),IMPORTRANGE(""1XaInW9DU9nz21V0tYIfzFQ0He9kVQ_JF2mCXgZ3hqFA"",""REKAP ALL 2026 - Andika!F:F""),"""",0)"),"26062993063")</f>
        <v>26062993063</v>
      </c>
      <c r="G3441" s="13" t="s">
        <v>1127</v>
      </c>
      <c r="H3441" s="13" t="s">
        <v>35</v>
      </c>
      <c r="I3441" s="13" t="str">
        <f aca="false">IF(C3441=J3441,"NEW KONTRAK","RE-KONTRAK")</f>
        <v>NEW KONTRAK</v>
      </c>
      <c r="J3441" s="16" t="n">
        <f aca="false" t="array" ref="J3441:J3441">IFERROR(INDEX(AC3441:AE3441,IF(COUNTA(AC3441:AE3441)=0,"",MAX((AC3441:AE3441&lt;&gt;"")*(COLUMN(AC3441:AE3441)-(COLUMN(AC3441)))))-1),"")</f>
        <v>46113</v>
      </c>
      <c r="K3441" s="16" t="n">
        <f aca="false" t="array" ref="K3441:K3441">IFERROR(INDEX(AC3441:AE3441,IF(COUNTA(AC3441:AE3441)=0,"",MAX((AC3441:AE3441&lt;&gt;"")*(COLUMN(AC3441:AE3441)-(COLUMN(AC3441)-1))))-1),"")</f>
        <v>46477</v>
      </c>
      <c r="L3441" s="17" t="str">
        <f aca="false" t="array" ref="L3441:L3441">IFERROR(INDEX(AC3441:AE3441,IF(COUNTA(AC3441:AE3441)=0,"",MAX((AC3441:AE3441&lt;&gt;"")*(COLUMN(AC3441:AE3441)-(COLUMN(AC3441)-2))))-1),"")</f>
        <v>KEMBALI</v>
      </c>
      <c r="M3441" s="13" t="n">
        <f aca="true">K3441-TODAY()</f>
        <v>153</v>
      </c>
      <c r="N3441" s="18" t="s">
        <v>36</v>
      </c>
      <c r="O3441" s="13" t="s">
        <v>6877</v>
      </c>
      <c r="P3441" s="19" t="n">
        <v>5195500</v>
      </c>
      <c r="Q3441" s="47" t="s">
        <v>14105</v>
      </c>
      <c r="R3441" s="13" t="s">
        <v>65</v>
      </c>
      <c r="S3441" s="16" t="n">
        <v>36883</v>
      </c>
      <c r="T3441" s="13" t="s">
        <v>108</v>
      </c>
      <c r="U3441" s="13" t="s">
        <v>14106</v>
      </c>
      <c r="V3441" s="13" t="s">
        <v>42</v>
      </c>
      <c r="W3441" s="13" t="s">
        <v>43</v>
      </c>
      <c r="X3441" s="21" t="n">
        <v>81238312648</v>
      </c>
      <c r="Y3441" s="22" t="str">
        <f aca="false">O3441</f>
        <v>Staff Accounting</v>
      </c>
      <c r="Z3441" s="13" t="str">
        <f aca="false">IFERROR(__xludf.dummyfunction("if(BJ3441="""","""",GOOGLETRANSLATE(BJ3441,""auto"",""en""))"),"Staff Accounting")</f>
        <v>Staff Accounting</v>
      </c>
      <c r="AA3441" s="23" t="str">
        <f aca="false">IF(C3441="","", CHOOSE(MONTH(C3441),"January","February","March","April","May","June","July","August","September","October","November","December")&amp;" "&amp;DAY(C3441)&amp;MID("thstndrdth",MIN(9,2*RIGHT(DAY(C3441))*(MOD(DAY(C3441)-11,100)&gt;2)+1),2)&amp;","&amp;TEXT(C3441," yyyy"))</f>
        <v>April 1st,2026</v>
      </c>
      <c r="AB3441" s="15" t="str">
        <f aca="true">IF(S3441="","",DATEDIF(S3441,TODAY(),"Y")&amp;" Tahun, "&amp;DATEDIF(S3441,TODAY(),"YM")&amp;" Bulan, "&amp;DATEDIF(S3441,TODAY(),"MD")&amp;" Hari")</f>
        <v>25 Tahun, 10 Bulan, 6 Hari</v>
      </c>
      <c r="AC3441" s="18" t="n">
        <v>46113</v>
      </c>
      <c r="AD3441" s="18" t="n">
        <f aca="false">EDATE(AC3441,12)-1</f>
        <v>46477</v>
      </c>
      <c r="AE3441" s="13" t="s">
        <v>397</v>
      </c>
    </row>
    <row r="3442" customFormat="false" ht="15" hidden="false" customHeight="true" outlineLevel="0" collapsed="false">
      <c r="A3442" s="12" t="n">
        <v>22058</v>
      </c>
      <c r="B3442" s="76" t="s">
        <v>14107</v>
      </c>
      <c r="C3442" s="16" t="n">
        <v>46113</v>
      </c>
      <c r="D3442" s="13" t="s">
        <v>5726</v>
      </c>
      <c r="E3442" s="15" t="s">
        <v>47</v>
      </c>
      <c r="F3442" s="15" t="str">
        <f aca="false">IFERROR(__xludf.dummyfunction("XLOOKUP(AJ3442,IMPORTRANGE(""1XaInW9DU9nz21V0tYIfzFQ0He9kVQ_JF2mCXgZ3hqFA"",""REKAP ALL 2026 - Andika!G:G""),IMPORTRANGE(""1XaInW9DU9nz21V0tYIfzFQ0He9kVQ_JF2mCXgZ3hqFA"",""REKAP ALL 2026 - Andika!F:F""),"""",0)"),"26062980342")</f>
        <v>26062980342</v>
      </c>
      <c r="G3442" s="13" t="s">
        <v>14108</v>
      </c>
      <c r="H3442" s="13" t="s">
        <v>35</v>
      </c>
      <c r="I3442" s="13" t="str">
        <f aca="false">IF(C3442=J3442,"NEW KONTRAK","RE-KONTRAK")</f>
        <v>NEW KONTRAK</v>
      </c>
      <c r="J3442" s="16" t="n">
        <f aca="false" t="array" ref="J3442:J3442">IFERROR(INDEX(AC3442:AE3442,IF(COUNTA(AC3442:AE3442)=0,"",MAX((AC3442:AE3442&lt;&gt;"")*(COLUMN(AC3442:AE3442)-(COLUMN(AC3442)))))-1),"")</f>
        <v>46113</v>
      </c>
      <c r="K3442" s="16" t="n">
        <f aca="false" t="array" ref="K3442:K3442">IFERROR(INDEX(AC3442:AE3442,IF(COUNTA(AC3442:AE3442)=0,"",MAX((AC3442:AE3442&lt;&gt;"")*(COLUMN(AC3442:AE3442)-(COLUMN(AC3442)-1))))-1),"")</f>
        <v>46173</v>
      </c>
      <c r="L3442" s="17" t="str">
        <f aca="false" t="array" ref="L3442:L3442">IFERROR(INDEX(AC3442:AE3442,IF(COUNTA(AC3442:AE3442)=0,"",MAX((AC3442:AE3442&lt;&gt;"")*(COLUMN(AC3442:AE3442)-(COLUMN(AC3442)-2))))-1),"")</f>
        <v>ARCHIVED</v>
      </c>
      <c r="M3442" s="13" t="n">
        <f aca="true">K3442-TODAY()</f>
        <v>-151</v>
      </c>
      <c r="N3442" s="18" t="s">
        <v>615</v>
      </c>
      <c r="O3442" s="13" t="s">
        <v>1531</v>
      </c>
      <c r="P3442" s="19" t="n">
        <v>5176101</v>
      </c>
      <c r="Q3442" s="77" t="s">
        <v>14109</v>
      </c>
      <c r="R3442" s="76" t="s">
        <v>39</v>
      </c>
      <c r="S3442" s="78" t="n">
        <v>36362</v>
      </c>
      <c r="T3442" s="76" t="s">
        <v>40</v>
      </c>
      <c r="U3442" s="76" t="s">
        <v>14110</v>
      </c>
      <c r="V3442" s="76" t="s">
        <v>42</v>
      </c>
      <c r="W3442" s="13" t="s">
        <v>54</v>
      </c>
      <c r="X3442" s="21" t="n">
        <v>89669165945</v>
      </c>
      <c r="Y3442" s="22" t="str">
        <f aca="false">O3442</f>
        <v>Packer</v>
      </c>
      <c r="Z3442" s="13" t="str">
        <f aca="false">IFERROR(__xludf.dummyfunction("if(BJ3442="""","""",GOOGLETRANSLATE(BJ3442,""auto"",""en""))"),"Packer")</f>
        <v>Packer</v>
      </c>
      <c r="AA3442" s="23" t="str">
        <f aca="false">IF(C3442="","", CHOOSE(MONTH(C3442),"January","February","March","April","May","June","July","August","September","October","November","December")&amp;" "&amp;DAY(C3442)&amp;MID("thstndrdth",MIN(9,2*RIGHT(DAY(C3442))*(MOD(DAY(C3442)-11,100)&gt;2)+1),2)&amp;","&amp;TEXT(C3442," yyyy"))</f>
        <v>April 1st,2026</v>
      </c>
      <c r="AB3442" s="15" t="str">
        <f aca="true">IF(S3442="","",DATEDIF(S3442,TODAY(),"Y")&amp;" Tahun, "&amp;DATEDIF(S3442,TODAY(),"YM")&amp;" Bulan, "&amp;DATEDIF(S3442,TODAY(),"MD")&amp;" Hari")</f>
        <v>27 Tahun, 3 Bulan, 8 Hari</v>
      </c>
      <c r="AC3442" s="18" t="n">
        <v>46113</v>
      </c>
      <c r="AD3442" s="18" t="n">
        <f aca="false">EDATE(AC3442,2)-1</f>
        <v>46173</v>
      </c>
      <c r="AE3442" s="18" t="s">
        <v>44</v>
      </c>
    </row>
    <row r="3443" customFormat="false" ht="15" hidden="false" customHeight="true" outlineLevel="0" collapsed="false">
      <c r="A3443" s="12" t="n">
        <v>22059</v>
      </c>
      <c r="B3443" s="76" t="s">
        <v>14111</v>
      </c>
      <c r="C3443" s="16" t="n">
        <v>46113</v>
      </c>
      <c r="D3443" s="13" t="s">
        <v>5726</v>
      </c>
      <c r="E3443" s="15" t="s">
        <v>47</v>
      </c>
      <c r="F3443" s="15" t="str">
        <f aca="false">IFERROR(__xludf.dummyfunction("XLOOKUP(AJ3443,IMPORTRANGE(""1XaInW9DU9nz21V0tYIfzFQ0He9kVQ_JF2mCXgZ3hqFA"",""REKAP ALL 2026 - Andika!G:G""),IMPORTRANGE(""1XaInW9DU9nz21V0tYIfzFQ0He9kVQ_JF2mCXgZ3hqFA"",""REKAP ALL 2026 - Andika!F:F""),"""",0)"),"26062980359")</f>
        <v>26062980359</v>
      </c>
      <c r="G3443" s="13" t="s">
        <v>14112</v>
      </c>
      <c r="H3443" s="13" t="s">
        <v>35</v>
      </c>
      <c r="I3443" s="13" t="str">
        <f aca="false">IF(C3443=J3443,"NEW KONTRAK","RE-KONTRAK")</f>
        <v>NEW KONTRAK</v>
      </c>
      <c r="J3443" s="16" t="n">
        <f aca="false" t="array" ref="J3443:J3443">IFERROR(INDEX(AC3443:AE3443,IF(COUNTA(AC3443:AE3443)=0,"",MAX((AC3443:AE3443&lt;&gt;"")*(COLUMN(AC3443:AE3443)-(COLUMN(AC3443)))))-1),"")</f>
        <v>46113</v>
      </c>
      <c r="K3443" s="16" t="n">
        <f aca="false" t="array" ref="K3443:K3443">IFERROR(INDEX(AC3443:AE3443,IF(COUNTA(AC3443:AE3443)=0,"",MAX((AC3443:AE3443&lt;&gt;"")*(COLUMN(AC3443:AE3443)-(COLUMN(AC3443)-1))))-1),"")</f>
        <v>46173</v>
      </c>
      <c r="L3443" s="17" t="str">
        <f aca="false" t="array" ref="L3443:L3443">IFERROR(INDEX(AC3443:AE3443,IF(COUNTA(AC3443:AE3443)=0,"",MAX((AC3443:AE3443&lt;&gt;"")*(COLUMN(AC3443:AE3443)-(COLUMN(AC3443)-2))))-1),"")</f>
        <v>ARCHIVED</v>
      </c>
      <c r="M3443" s="13" t="n">
        <f aca="true">K3443-TODAY()</f>
        <v>-151</v>
      </c>
      <c r="N3443" s="18" t="s">
        <v>615</v>
      </c>
      <c r="O3443" s="13" t="s">
        <v>1531</v>
      </c>
      <c r="P3443" s="19" t="n">
        <v>5176101</v>
      </c>
      <c r="Q3443" s="96" t="s">
        <v>14113</v>
      </c>
      <c r="R3443" s="76" t="s">
        <v>39</v>
      </c>
      <c r="S3443" s="78" t="n">
        <v>38391</v>
      </c>
      <c r="T3443" s="76" t="s">
        <v>40</v>
      </c>
      <c r="U3443" s="76" t="s">
        <v>14114</v>
      </c>
      <c r="V3443" s="76" t="s">
        <v>42</v>
      </c>
      <c r="W3443" s="13" t="s">
        <v>43</v>
      </c>
      <c r="X3443" s="21" t="n">
        <v>88805166683</v>
      </c>
      <c r="Y3443" s="22" t="str">
        <f aca="false">O3443</f>
        <v>Packer</v>
      </c>
      <c r="Z3443" s="13" t="str">
        <f aca="false">IFERROR(__xludf.dummyfunction("if(BJ3443="""","""",GOOGLETRANSLATE(BJ3443,""auto"",""en""))"),"Packer")</f>
        <v>Packer</v>
      </c>
      <c r="AA3443" s="23" t="str">
        <f aca="false">IF(C3443="","", CHOOSE(MONTH(C3443),"January","February","March","April","May","June","July","August","September","October","November","December")&amp;" "&amp;DAY(C3443)&amp;MID("thstndrdth",MIN(9,2*RIGHT(DAY(C3443))*(MOD(DAY(C3443)-11,100)&gt;2)+1),2)&amp;","&amp;TEXT(C3443," yyyy"))</f>
        <v>April 1st,2026</v>
      </c>
      <c r="AB3443" s="15" t="str">
        <f aca="true">IF(S3443="","",DATEDIF(S3443,TODAY(),"Y")&amp;" Tahun, "&amp;DATEDIF(S3443,TODAY(),"YM")&amp;" Bulan, "&amp;DATEDIF(S3443,TODAY(),"MD")&amp;" Hari")</f>
        <v>21 Tahun, 8 Bulan, 21 Hari</v>
      </c>
      <c r="AC3443" s="18" t="n">
        <v>46113</v>
      </c>
      <c r="AD3443" s="18" t="n">
        <f aca="false">EDATE(AC3443,2)-1</f>
        <v>46173</v>
      </c>
      <c r="AE3443" s="18" t="s">
        <v>44</v>
      </c>
    </row>
    <row r="3444" customFormat="false" ht="15" hidden="false" customHeight="true" outlineLevel="0" collapsed="false">
      <c r="A3444" s="12" t="n">
        <v>22060</v>
      </c>
      <c r="B3444" s="13" t="s">
        <v>14115</v>
      </c>
      <c r="C3444" s="16" t="n">
        <v>46113</v>
      </c>
      <c r="D3444" s="13" t="s">
        <v>5726</v>
      </c>
      <c r="E3444" s="15" t="s">
        <v>47</v>
      </c>
      <c r="F3444" s="15" t="str">
        <f aca="false">IFERROR(__xludf.dummyfunction("XLOOKUP(AJ3444,IMPORTRANGE(""1XaInW9DU9nz21V0tYIfzFQ0He9kVQ_JF2mCXgZ3hqFA"",""REKAP ALL 2026 - Andika!G:G""),IMPORTRANGE(""1XaInW9DU9nz21V0tYIfzFQ0He9kVQ_JF2mCXgZ3hqFA"",""REKAP ALL 2026 - Andika!F:F""),"""",0)"),"26062980375")</f>
        <v>26062980375</v>
      </c>
      <c r="G3444" s="15" t="s">
        <v>14116</v>
      </c>
      <c r="H3444" s="13" t="s">
        <v>35</v>
      </c>
      <c r="I3444" s="13" t="str">
        <f aca="false">IF(C3444=J3444,"NEW KONTRAK","RE-KONTRAK")</f>
        <v>NEW KONTRAK</v>
      </c>
      <c r="J3444" s="16" t="n">
        <f aca="false" t="array" ref="J3444:J3444">IFERROR(INDEX(AC3444:AE3444,IF(COUNTA(AC3444:AE3444)=0,"",MAX((AC3444:AE3444&lt;&gt;"")*(COLUMN(AC3444:AE3444)-(COLUMN(AC3444)))))-1),"")</f>
        <v>46113</v>
      </c>
      <c r="K3444" s="16" t="n">
        <f aca="false" t="array" ref="K3444:K3444">IFERROR(INDEX(AC3444:AE3444,IF(COUNTA(AC3444:AE3444)=0,"",MAX((AC3444:AE3444&lt;&gt;"")*(COLUMN(AC3444:AE3444)-(COLUMN(AC3444)-1))))-1),"")</f>
        <v>46173</v>
      </c>
      <c r="L3444" s="17" t="str">
        <f aca="false" t="array" ref="L3444:L3444">IFERROR(INDEX(AC3444:AE3444,IF(COUNTA(AC3444:AE3444)=0,"",MAX((AC3444:AE3444&lt;&gt;"")*(COLUMN(AC3444:AE3444)-(COLUMN(AC3444)-2))))-1),"")</f>
        <v>ARCHIVED</v>
      </c>
      <c r="M3444" s="13" t="n">
        <f aca="true">K3444-TODAY()</f>
        <v>-151</v>
      </c>
      <c r="N3444" s="18" t="s">
        <v>615</v>
      </c>
      <c r="O3444" s="15" t="s">
        <v>1531</v>
      </c>
      <c r="P3444" s="19" t="n">
        <v>5176101</v>
      </c>
      <c r="Q3444" s="20" t="s">
        <v>14117</v>
      </c>
      <c r="R3444" s="13" t="s">
        <v>39</v>
      </c>
      <c r="S3444" s="14" t="n">
        <v>36740</v>
      </c>
      <c r="T3444" s="13" t="s">
        <v>108</v>
      </c>
      <c r="U3444" s="13" t="s">
        <v>14118</v>
      </c>
      <c r="V3444" s="13" t="s">
        <v>42</v>
      </c>
      <c r="W3444" s="13" t="s">
        <v>54</v>
      </c>
      <c r="X3444" s="21" t="n">
        <v>881026767206</v>
      </c>
      <c r="Y3444" s="22" t="str">
        <f aca="false">O3444</f>
        <v>Packer</v>
      </c>
      <c r="Z3444" s="13" t="str">
        <f aca="false">IFERROR(__xludf.dummyfunction("if(BJ3444="""","""",GOOGLETRANSLATE(BJ3444,""auto"",""en""))"),"Packer")</f>
        <v>Packer</v>
      </c>
      <c r="AA3444" s="23" t="str">
        <f aca="false">IF(C3444="","", CHOOSE(MONTH(C3444),"January","February","March","April","May","June","July","August","September","October","November","December")&amp;" "&amp;DAY(C3444)&amp;MID("thstndrdth",MIN(9,2*RIGHT(DAY(C3444))*(MOD(DAY(C3444)-11,100)&gt;2)+1),2)&amp;","&amp;TEXT(C3444," yyyy"))</f>
        <v>April 1st,2026</v>
      </c>
      <c r="AB3444" s="15" t="str">
        <f aca="true">IF(S3444="","",DATEDIF(S3444,TODAY(),"Y")&amp;" Tahun, "&amp;DATEDIF(S3444,TODAY(),"YM")&amp;" Bulan, "&amp;DATEDIF(S3444,TODAY(),"MD")&amp;" Hari")</f>
        <v>26 Tahun, 2 Bulan, 27 Hari</v>
      </c>
      <c r="AC3444" s="18" t="n">
        <v>46113</v>
      </c>
      <c r="AD3444" s="18" t="n">
        <f aca="false">EDATE(AC3444,2)-1</f>
        <v>46173</v>
      </c>
      <c r="AE3444" s="18" t="s">
        <v>44</v>
      </c>
    </row>
    <row r="3445" customFormat="false" ht="15" hidden="false" customHeight="true" outlineLevel="0" collapsed="false">
      <c r="A3445" s="12" t="n">
        <v>22061</v>
      </c>
      <c r="B3445" s="13" t="s">
        <v>14119</v>
      </c>
      <c r="C3445" s="16" t="n">
        <v>46116</v>
      </c>
      <c r="D3445" s="13" t="s">
        <v>1338</v>
      </c>
      <c r="E3445" s="15" t="s">
        <v>47</v>
      </c>
      <c r="F3445" s="15" t="str">
        <f aca="false">IFERROR(__xludf.dummyfunction("XLOOKUP(AJ3445,IMPORTRANGE(""1XaInW9DU9nz21V0tYIfzFQ0He9kVQ_JF2mCXgZ3hqFA"",""REKAP ALL 2026 - Andika!G:G""),IMPORTRANGE(""1XaInW9DU9nz21V0tYIfzFQ0He9kVQ_JF2mCXgZ3hqFA"",""REKAP ALL 2026 - Andika!F:F""),"""",0)"),"26062983783")</f>
        <v>26062983783</v>
      </c>
      <c r="G3445" s="13" t="s">
        <v>57</v>
      </c>
      <c r="H3445" s="13" t="s">
        <v>3024</v>
      </c>
      <c r="I3445" s="13" t="str">
        <f aca="false">IF(C3445=J3445,"NEW KONTRAK","RE-KONTRAK")</f>
        <v>NEW KONTRAK</v>
      </c>
      <c r="J3445" s="16" t="n">
        <f aca="false" t="array" ref="J3445:J3445">IFERROR(INDEX(AC3445:AE3445,IF(COUNTA(AC3445:AE3445)=0,"",MAX((AC3445:AE3445&lt;&gt;"")*(COLUMN(AC3445:AE3445)-(COLUMN(AC3445)))))-1),"")</f>
        <v>46116</v>
      </c>
      <c r="K3445" s="16" t="n">
        <f aca="false" t="array" ref="K3445:K3445">IFERROR(INDEX(AC3445:AE3445,IF(COUNTA(AC3445:AE3445)=0,"",MAX((AC3445:AE3445&lt;&gt;"")*(COLUMN(AC3445:AE3445)-(COLUMN(AC3445)-1))))-1),"")</f>
        <v>46206</v>
      </c>
      <c r="L3445" s="17" t="str">
        <f aca="false" t="array" ref="L3445:L3445">IFERROR(INDEX(AC3445:AE3445,IF(COUNTA(AC3445:AE3445)=0,"",MAX((AC3445:AE3445&lt;&gt;"")*(COLUMN(AC3445:AE3445)-(COLUMN(AC3445)-2))))-1),"")</f>
        <v>KEMBALI</v>
      </c>
      <c r="M3445" s="13" t="n">
        <f aca="true">K3445-TODAY()</f>
        <v>-118</v>
      </c>
      <c r="N3445" s="18" t="s">
        <v>615</v>
      </c>
      <c r="O3445" s="13" t="s">
        <v>2335</v>
      </c>
      <c r="P3445" s="19" t="n">
        <v>160000</v>
      </c>
      <c r="Q3445" s="47" t="s">
        <v>14120</v>
      </c>
      <c r="R3445" s="13" t="s">
        <v>78</v>
      </c>
      <c r="S3445" s="16" t="n">
        <v>37032</v>
      </c>
      <c r="T3445" s="28" t="s">
        <v>40</v>
      </c>
      <c r="U3445" s="13" t="s">
        <v>14121</v>
      </c>
      <c r="V3445" s="13" t="s">
        <v>42</v>
      </c>
      <c r="W3445" s="13" t="s">
        <v>43</v>
      </c>
      <c r="X3445" s="21" t="n">
        <v>87776936227</v>
      </c>
      <c r="Y3445" s="22" t="str">
        <f aca="false">O3445</f>
        <v>Project Management</v>
      </c>
      <c r="Z3445" s="13" t="str">
        <f aca="false">IFERROR(__xludf.dummyfunction("if(BJ3445="""","""",GOOGLETRANSLATE(BJ3445,""auto"",""en""))"),"Project Management")</f>
        <v>Project Management</v>
      </c>
      <c r="AA3445" s="23" t="str">
        <f aca="false">IF(C3445="","", CHOOSE(MONTH(C3445),"January","February","March","April","May","June","July","August","September","October","November","December")&amp;" "&amp;DAY(C3445)&amp;MID("thstndrdth",MIN(9,2*RIGHT(DAY(C3445))*(MOD(DAY(C3445)-11,100)&gt;2)+1),2)&amp;","&amp;TEXT(C3445," yyyy"))</f>
        <v>April 4th,2026</v>
      </c>
      <c r="AB3445" s="15" t="str">
        <f aca="true">IF(S3445="","",DATEDIF(S3445,TODAY(),"Y")&amp;" Tahun, "&amp;DATEDIF(S3445,TODAY(),"YM")&amp;" Bulan, "&amp;DATEDIF(S3445,TODAY(),"MD")&amp;" Hari")</f>
        <v>25 Tahun, 5 Bulan, 8 Hari</v>
      </c>
      <c r="AC3445" s="18" t="n">
        <v>46116</v>
      </c>
      <c r="AD3445" s="18" t="n">
        <v>46206</v>
      </c>
      <c r="AE3445" s="13" t="s">
        <v>397</v>
      </c>
    </row>
    <row r="3446" customFormat="false" ht="15" hidden="false" customHeight="true" outlineLevel="0" collapsed="false">
      <c r="A3446" s="12" t="n">
        <v>22062</v>
      </c>
      <c r="B3446" s="13" t="s">
        <v>14122</v>
      </c>
      <c r="C3446" s="16" t="n">
        <v>46118</v>
      </c>
      <c r="D3446" s="13" t="s">
        <v>3022</v>
      </c>
      <c r="E3446" s="13" t="s">
        <v>14123</v>
      </c>
      <c r="F3446" s="15" t="str">
        <f aca="false">IFERROR(__xludf.dummyfunction("XLOOKUP(AJ3446,IMPORTRANGE(""1XaInW9DU9nz21V0tYIfzFQ0He9kVQ_JF2mCXgZ3hqFA"",""REKAP ALL 2026 - Andika!G:G""),IMPORTRANGE(""1XaInW9DU9nz21V0tYIfzFQ0He9kVQ_JF2mCXgZ3hqFA"",""REKAP ALL 2026 - Andika!F:F""),"""",0)"),"26062991059")</f>
        <v>26062991059</v>
      </c>
      <c r="G3446" s="13" t="s">
        <v>57</v>
      </c>
      <c r="H3446" s="13" t="s">
        <v>3024</v>
      </c>
      <c r="I3446" s="13" t="str">
        <f aca="false">IF(C3446=J3446,"NEW KONTRAK","RE-KONTRAK")</f>
        <v>NEW KONTRAK</v>
      </c>
      <c r="J3446" s="16" t="n">
        <f aca="false" t="array" ref="J3446:J3446">IFERROR(INDEX(AC3446:AE3446,IF(COUNTA(AC3446:AE3446)=0,"",MAX((AC3446:AE3446&lt;&gt;"")*(COLUMN(AC3446:AE3446)-(COLUMN(AC3446)))))-1),"")</f>
        <v>46118</v>
      </c>
      <c r="K3446" s="16" t="n">
        <f aca="false" t="array" ref="K3446:K3446">IFERROR(INDEX(AC3446:AE3446,IF(COUNTA(AC3446:AE3446)=0,"",MAX((AC3446:AE3446&lt;&gt;"")*(COLUMN(AC3446:AE3446)-(COLUMN(AC3446)-1))))-1),"")</f>
        <v>46208</v>
      </c>
      <c r="L3446" s="17" t="str">
        <f aca="false" t="array" ref="L3446:L3446">IFERROR(INDEX(AC3446:AE3446,IF(COUNTA(AC3446:AE3446)=0,"",MAX((AC3446:AE3446&lt;&gt;"")*(COLUMN(AC3446:AE3446)-(COLUMN(AC3446)-2))))-1),"")</f>
        <v>KEMBALI</v>
      </c>
      <c r="M3446" s="13" t="n">
        <f aca="true">K3446-TODAY()</f>
        <v>-116</v>
      </c>
      <c r="N3446" s="18" t="s">
        <v>36</v>
      </c>
      <c r="O3446" s="13" t="s">
        <v>1773</v>
      </c>
      <c r="P3446" s="19" t="n">
        <v>100000</v>
      </c>
      <c r="Q3446" s="47" t="s">
        <v>14124</v>
      </c>
      <c r="R3446" s="13" t="s">
        <v>65</v>
      </c>
      <c r="S3446" s="16" t="n">
        <v>39158</v>
      </c>
      <c r="T3446" s="28" t="s">
        <v>40</v>
      </c>
      <c r="U3446" s="13" t="s">
        <v>14125</v>
      </c>
      <c r="V3446" s="13" t="s">
        <v>42</v>
      </c>
      <c r="W3446" s="13" t="s">
        <v>43</v>
      </c>
      <c r="X3446" s="21" t="n">
        <v>8585961628</v>
      </c>
      <c r="Y3446" s="22" t="str">
        <f aca="false">O3446</f>
        <v>Warehouse</v>
      </c>
      <c r="Z3446" s="13" t="str">
        <f aca="false">IFERROR(__xludf.dummyfunction("if(BJ3446="""","""",GOOGLETRANSLATE(BJ3446,""auto"",""en""))"),"Warehouse")</f>
        <v>Warehouse</v>
      </c>
      <c r="AA3446" s="23" t="str">
        <f aca="false">IF(C3446="","", CHOOSE(MONTH(C3446),"January","February","March","April","May","June","July","August","September","October","November","December")&amp;" "&amp;DAY(C3446)&amp;MID("thstndrdth",MIN(9,2*RIGHT(DAY(C3446))*(MOD(DAY(C3446)-11,100)&gt;2)+1),2)&amp;","&amp;TEXT(C3446," yyyy"))</f>
        <v>April 6th,2026</v>
      </c>
      <c r="AB3446" s="15" t="str">
        <f aca="true">IF(S3446="","",DATEDIF(S3446,TODAY(),"Y")&amp;" Tahun, "&amp;DATEDIF(S3446,TODAY(),"YM")&amp;" Bulan, "&amp;DATEDIF(S3446,TODAY(),"MD")&amp;" Hari")</f>
        <v>19 Tahun, 7 Bulan, 12 Hari</v>
      </c>
      <c r="AC3446" s="18" t="n">
        <v>46118</v>
      </c>
      <c r="AD3446" s="18" t="n">
        <f aca="false">EDATE(AC3446,3)-1</f>
        <v>46208</v>
      </c>
      <c r="AE3446" s="13" t="s">
        <v>397</v>
      </c>
    </row>
    <row r="3447" customFormat="false" ht="15" hidden="false" customHeight="true" outlineLevel="0" collapsed="false">
      <c r="A3447" s="12" t="n">
        <v>22063</v>
      </c>
      <c r="B3447" s="13" t="s">
        <v>14126</v>
      </c>
      <c r="C3447" s="16" t="n">
        <v>46118</v>
      </c>
      <c r="D3447" s="13" t="s">
        <v>10058</v>
      </c>
      <c r="E3447" s="15" t="s">
        <v>102</v>
      </c>
      <c r="F3447" s="15" t="str">
        <f aca="false">IFERROR(__xludf.dummyfunction("XLOOKUP(AJ3447,IMPORTRANGE(""1XaInW9DU9nz21V0tYIfzFQ0He9kVQ_JF2mCXgZ3hqFA"",""REKAP ALL 2026 - Andika!G:G""),IMPORTRANGE(""1XaInW9DU9nz21V0tYIfzFQ0He9kVQ_JF2mCXgZ3hqFA"",""REKAP ALL 2026 - Andika!F:F""),"""",0)"),"26046412263")</f>
        <v>26046412263</v>
      </c>
      <c r="G3447" s="13" t="s">
        <v>1127</v>
      </c>
      <c r="H3447" s="13" t="s">
        <v>3024</v>
      </c>
      <c r="I3447" s="13" t="str">
        <f aca="false">IF(C3447=J3447,"NEW KONTRAK","RE-KONTRAK")</f>
        <v>NEW KONTRAK</v>
      </c>
      <c r="J3447" s="16" t="n">
        <f aca="false" t="array" ref="J3447:J3447">IFERROR(INDEX(AC3447:AE3447,IF(COUNTA(AC3447:AE3447)=0,"",MAX((AC3447:AE3447&lt;&gt;"")*(COLUMN(AC3447:AE3447)-(COLUMN(AC3447)))))-1),"")</f>
        <v>46118</v>
      </c>
      <c r="K3447" s="16" t="n">
        <f aca="false" t="array" ref="K3447:K3447">IFERROR(INDEX(AC3447:AE3447,IF(COUNTA(AC3447:AE3447)=0,"",MAX((AC3447:AE3447&lt;&gt;"")*(COLUMN(AC3447:AE3447)-(COLUMN(AC3447)-1))))-1),"")</f>
        <v>46121</v>
      </c>
      <c r="L3447" s="17" t="str">
        <f aca="false" t="array" ref="L3447:L3447">IFERROR(INDEX(AC3447:AE3447,IF(COUNTA(AC3447:AE3447)=0,"",MAX((AC3447:AE3447&lt;&gt;"")*(COLUMN(AC3447:AE3447)-(COLUMN(AC3447)-2))))-1),"")</f>
        <v>ARCHIVED</v>
      </c>
      <c r="M3447" s="13" t="n">
        <f aca="true">K3447-TODAY()</f>
        <v>-203</v>
      </c>
      <c r="N3447" s="18" t="s">
        <v>105</v>
      </c>
      <c r="O3447" s="13" t="s">
        <v>14127</v>
      </c>
      <c r="P3447" s="31" t="n">
        <v>138915</v>
      </c>
      <c r="Q3447" s="47" t="s">
        <v>14128</v>
      </c>
      <c r="R3447" s="13" t="s">
        <v>39</v>
      </c>
      <c r="S3447" s="16" t="n">
        <v>36633</v>
      </c>
      <c r="T3447" s="28" t="s">
        <v>40</v>
      </c>
      <c r="U3447" s="13" t="s">
        <v>14129</v>
      </c>
      <c r="V3447" s="13" t="s">
        <v>42</v>
      </c>
      <c r="W3447" s="13" t="s">
        <v>43</v>
      </c>
      <c r="X3447" s="30" t="n">
        <v>81380552696</v>
      </c>
      <c r="Y3447" s="22" t="str">
        <f aca="false">O3447</f>
        <v>Harian Lepas (Helper Gudang)</v>
      </c>
      <c r="Z3447" s="13" t="str">
        <f aca="false">IFERROR(__xludf.dummyfunction("if(BJ3447="""","""",GOOGLETRANSLATE(BJ3447,""auto"",""en""))"),"Daily (Warehouse Helper)")</f>
        <v>Daily (Warehouse Helper)</v>
      </c>
      <c r="AA3447" s="23" t="str">
        <f aca="false">IF(C3447="","", CHOOSE(MONTH(C3447),"January","February","March","April","May","June","July","August","September","October","November","December")&amp;" "&amp;DAY(C3447)&amp;MID("thstndrdth",MIN(9,2*RIGHT(DAY(C3447))*(MOD(DAY(C3447)-11,100)&gt;2)+1),2)&amp;","&amp;TEXT(C3447," yyyy"))</f>
        <v>April 6th,2026</v>
      </c>
      <c r="AB3447" s="15" t="str">
        <f aca="true">IF(S3447="","",DATEDIF(S3447,TODAY(),"Y")&amp;" Tahun, "&amp;DATEDIF(S3447,TODAY(),"YM")&amp;" Bulan, "&amp;DATEDIF(S3447,TODAY(),"MD")&amp;" Hari")</f>
        <v>26 Tahun, 6 Bulan, 12 Hari</v>
      </c>
      <c r="AC3447" s="18" t="n">
        <v>46118</v>
      </c>
      <c r="AD3447" s="18" t="n">
        <v>46121</v>
      </c>
      <c r="AE3447" s="13" t="s">
        <v>44</v>
      </c>
    </row>
    <row r="3448" customFormat="false" ht="15" hidden="false" customHeight="true" outlineLevel="0" collapsed="false">
      <c r="A3448" s="12" t="n">
        <v>22064</v>
      </c>
      <c r="B3448" s="13" t="s">
        <v>14130</v>
      </c>
      <c r="C3448" s="16" t="n">
        <v>46118</v>
      </c>
      <c r="D3448" s="13" t="s">
        <v>10058</v>
      </c>
      <c r="E3448" s="15" t="s">
        <v>47</v>
      </c>
      <c r="F3448" s="15" t="str">
        <f aca="false">IFERROR(__xludf.dummyfunction("XLOOKUP(AJ3448,IMPORTRANGE(""1XaInW9DU9nz21V0tYIfzFQ0He9kVQ_JF2mCXgZ3hqFA"",""REKAP ALL 2026 - Andika!G:G""),IMPORTRANGE(""1XaInW9DU9nz21V0tYIfzFQ0He9kVQ_JF2mCXgZ3hqFA"",""REKAP ALL 2026 - Andika!F:F""),"""",0)"),"26046411992")</f>
        <v>26046411992</v>
      </c>
      <c r="G3448" s="13" t="s">
        <v>1127</v>
      </c>
      <c r="H3448" s="13" t="s">
        <v>3024</v>
      </c>
      <c r="I3448" s="13" t="str">
        <f aca="false">IF(C3448=J3448,"NEW KONTRAK","RE-KONTRAK")</f>
        <v>NEW KONTRAK</v>
      </c>
      <c r="J3448" s="16" t="n">
        <f aca="false" t="array" ref="J3448:J3448">IFERROR(INDEX(AC3448:AE3448,IF(COUNTA(AC3448:AE3448)=0,"",MAX((AC3448:AE3448&lt;&gt;"")*(COLUMN(AC3448:AE3448)-(COLUMN(AC3448)))))-1),"")</f>
        <v>46118</v>
      </c>
      <c r="K3448" s="16" t="n">
        <f aca="false" t="array" ref="K3448:K3448">IFERROR(INDEX(AC3448:AE3448,IF(COUNTA(AC3448:AE3448)=0,"",MAX((AC3448:AE3448&lt;&gt;"")*(COLUMN(AC3448:AE3448)-(COLUMN(AC3448)-1))))-1),"")</f>
        <v>46121</v>
      </c>
      <c r="L3448" s="17" t="str">
        <f aca="false" t="array" ref="L3448:L3448">IFERROR(INDEX(AC3448:AE3448,IF(COUNTA(AC3448:AE3448)=0,"",MAX((AC3448:AE3448&lt;&gt;"")*(COLUMN(AC3448:AE3448)-(COLUMN(AC3448)-2))))-1),"")</f>
        <v>ARCHIVED</v>
      </c>
      <c r="M3448" s="13" t="n">
        <f aca="true">K3448-TODAY()</f>
        <v>-203</v>
      </c>
      <c r="N3448" s="18" t="s">
        <v>105</v>
      </c>
      <c r="O3448" s="13" t="s">
        <v>14127</v>
      </c>
      <c r="P3448" s="31" t="n">
        <v>138915</v>
      </c>
      <c r="Q3448" s="47" t="s">
        <v>14131</v>
      </c>
      <c r="R3448" s="13" t="s">
        <v>232</v>
      </c>
      <c r="S3448" s="16" t="n">
        <v>37335</v>
      </c>
      <c r="T3448" s="28" t="s">
        <v>40</v>
      </c>
      <c r="U3448" s="13" t="s">
        <v>14132</v>
      </c>
      <c r="V3448" s="13" t="s">
        <v>42</v>
      </c>
      <c r="W3448" s="13" t="s">
        <v>43</v>
      </c>
      <c r="X3448" s="30" t="n">
        <v>87882710910</v>
      </c>
      <c r="Y3448" s="22" t="str">
        <f aca="false">O3448</f>
        <v>Harian Lepas (Helper Gudang)</v>
      </c>
      <c r="Z3448" s="13" t="str">
        <f aca="false">IFERROR(__xludf.dummyfunction("if(BJ3448="""","""",GOOGLETRANSLATE(BJ3448,""auto"",""en""))"),"Daily (Warehouse Helper)")</f>
        <v>Daily (Warehouse Helper)</v>
      </c>
      <c r="AA3448" s="23" t="str">
        <f aca="false">IF(C3448="","", CHOOSE(MONTH(C3448),"January","February","March","April","May","June","July","August","September","October","November","December")&amp;" "&amp;DAY(C3448)&amp;MID("thstndrdth",MIN(9,2*RIGHT(DAY(C3448))*(MOD(DAY(C3448)-11,100)&gt;2)+1),2)&amp;","&amp;TEXT(C3448," yyyy"))</f>
        <v>April 6th,2026</v>
      </c>
      <c r="AB3448" s="15" t="str">
        <f aca="true">IF(S3448="","",DATEDIF(S3448,TODAY(),"Y")&amp;" Tahun, "&amp;DATEDIF(S3448,TODAY(),"YM")&amp;" Bulan, "&amp;DATEDIF(S3448,TODAY(),"MD")&amp;" Hari")</f>
        <v>24 Tahun, 7 Bulan, 9 Hari</v>
      </c>
      <c r="AC3448" s="18" t="n">
        <v>46118</v>
      </c>
      <c r="AD3448" s="18" t="n">
        <v>46121</v>
      </c>
      <c r="AE3448" s="13" t="s">
        <v>44</v>
      </c>
    </row>
    <row r="3449" customFormat="false" ht="15" hidden="false" customHeight="true" outlineLevel="0" collapsed="false">
      <c r="A3449" s="12" t="n">
        <v>22065</v>
      </c>
      <c r="B3449" s="13" t="s">
        <v>14133</v>
      </c>
      <c r="C3449" s="16" t="n">
        <v>46118</v>
      </c>
      <c r="D3449" s="13" t="s">
        <v>10058</v>
      </c>
      <c r="E3449" s="15" t="s">
        <v>102</v>
      </c>
      <c r="F3449" s="15" t="str">
        <f aca="false">IFERROR(__xludf.dummyfunction("XLOOKUP(AJ3449,IMPORTRANGE(""1XaInW9DU9nz21V0tYIfzFQ0He9kVQ_JF2mCXgZ3hqFA"",""REKAP ALL 2026 - Andika!G:G""),IMPORTRANGE(""1XaInW9DU9nz21V0tYIfzFQ0He9kVQ_JF2mCXgZ3hqFA"",""REKAP ALL 2026 - Andika!F:F""),"""",0)"),"26046412388")</f>
        <v>26046412388</v>
      </c>
      <c r="G3449" s="13" t="s">
        <v>1127</v>
      </c>
      <c r="H3449" s="13" t="s">
        <v>3024</v>
      </c>
      <c r="I3449" s="13" t="str">
        <f aca="false">IF(C3449=J3449,"NEW KONTRAK","RE-KONTRAK")</f>
        <v>NEW KONTRAK</v>
      </c>
      <c r="J3449" s="16" t="n">
        <f aca="false" t="array" ref="J3449:J3449">IFERROR(INDEX(AC3449:AE3449,IF(COUNTA(AC3449:AE3449)=0,"",MAX((AC3449:AE3449&lt;&gt;"")*(COLUMN(AC3449:AE3449)-(COLUMN(AC3449)))))-1),"")</f>
        <v>46118</v>
      </c>
      <c r="K3449" s="16" t="n">
        <f aca="false" t="array" ref="K3449:K3449">IFERROR(INDEX(AC3449:AE3449,IF(COUNTA(AC3449:AE3449)=0,"",MAX((AC3449:AE3449&lt;&gt;"")*(COLUMN(AC3449:AE3449)-(COLUMN(AC3449)-1))))-1),"")</f>
        <v>46121</v>
      </c>
      <c r="L3449" s="17" t="str">
        <f aca="false" t="array" ref="L3449:L3449">IFERROR(INDEX(AC3449:AE3449,IF(COUNTA(AC3449:AE3449)=0,"",MAX((AC3449:AE3449&lt;&gt;"")*(COLUMN(AC3449:AE3449)-(COLUMN(AC3449)-2))))-1),"")</f>
        <v>ARCHIVED</v>
      </c>
      <c r="M3449" s="13" t="n">
        <f aca="true">K3449-TODAY()</f>
        <v>-203</v>
      </c>
      <c r="N3449" s="18" t="s">
        <v>105</v>
      </c>
      <c r="O3449" s="13" t="s">
        <v>14127</v>
      </c>
      <c r="P3449" s="19" t="n">
        <v>132300</v>
      </c>
      <c r="Q3449" s="47" t="s">
        <v>14134</v>
      </c>
      <c r="R3449" s="13" t="s">
        <v>52</v>
      </c>
      <c r="S3449" s="16" t="n">
        <v>38286</v>
      </c>
      <c r="T3449" s="28" t="s">
        <v>40</v>
      </c>
      <c r="U3449" s="13" t="s">
        <v>14135</v>
      </c>
      <c r="V3449" s="13" t="s">
        <v>42</v>
      </c>
      <c r="W3449" s="13" t="s">
        <v>43</v>
      </c>
      <c r="X3449" s="30" t="n">
        <v>85330068486</v>
      </c>
      <c r="Y3449" s="22" t="str">
        <f aca="false">O3449</f>
        <v>Harian Lepas (Helper Gudang)</v>
      </c>
      <c r="Z3449" s="13" t="str">
        <f aca="false">IFERROR(__xludf.dummyfunction("if(BJ3449="""","""",GOOGLETRANSLATE(BJ3449,""auto"",""en""))"),"Daily (Warehouse Helper)")</f>
        <v>Daily (Warehouse Helper)</v>
      </c>
      <c r="AA3449" s="23" t="str">
        <f aca="false">IF(C3449="","", CHOOSE(MONTH(C3449),"January","February","March","April","May","June","July","August","September","October","November","December")&amp;" "&amp;DAY(C3449)&amp;MID("thstndrdth",MIN(9,2*RIGHT(DAY(C3449))*(MOD(DAY(C3449)-11,100)&gt;2)+1),2)&amp;","&amp;TEXT(C3449," yyyy"))</f>
        <v>April 6th,2026</v>
      </c>
      <c r="AB3449" s="15" t="str">
        <f aca="true">IF(S3449="","",DATEDIF(S3449,TODAY(),"Y")&amp;" Tahun, "&amp;DATEDIF(S3449,TODAY(),"YM")&amp;" Bulan, "&amp;DATEDIF(S3449,TODAY(),"MD")&amp;" Hari")</f>
        <v>22 Tahun, 0 Bulan, 3 Hari</v>
      </c>
      <c r="AC3449" s="18" t="n">
        <v>46118</v>
      </c>
      <c r="AD3449" s="18" t="n">
        <v>46121</v>
      </c>
      <c r="AE3449" s="13" t="s">
        <v>44</v>
      </c>
    </row>
    <row r="3450" customFormat="false" ht="15" hidden="false" customHeight="true" outlineLevel="0" collapsed="false">
      <c r="A3450" s="12" t="n">
        <v>22066</v>
      </c>
      <c r="B3450" s="13" t="s">
        <v>14136</v>
      </c>
      <c r="C3450" s="16" t="n">
        <v>46076</v>
      </c>
      <c r="D3450" s="13" t="s">
        <v>11620</v>
      </c>
      <c r="E3450" s="15" t="s">
        <v>47</v>
      </c>
      <c r="F3450" s="15" t="str">
        <f aca="false">IFERROR(__xludf.dummyfunction("XLOOKUP(AJ3450,IMPORTRANGE(""1XaInW9DU9nz21V0tYIfzFQ0He9kVQ_JF2mCXgZ3hqFA"",""REKAP ALL 2026 - Andika!G:G""),IMPORTRANGE(""1XaInW9DU9nz21V0tYIfzFQ0He9kVQ_JF2mCXgZ3hqFA"",""REKAP ALL 2026 - Andika!F:F""),"""",0)"),"26046412610")</f>
        <v>26046412610</v>
      </c>
      <c r="G3450" s="13" t="s">
        <v>1127</v>
      </c>
      <c r="H3450" s="13" t="s">
        <v>35</v>
      </c>
      <c r="I3450" s="13" t="str">
        <f aca="false">IF(C3450=J3450,"NEW KONTRAK","RE-KONTRAK")</f>
        <v>NEW KONTRAK</v>
      </c>
      <c r="J3450" s="16" t="n">
        <f aca="false" t="array" ref="J3450:J3450">IFERROR(INDEX(AC3450:AE3450,IF(COUNTA(AC3450:AE3450)=0,"",MAX((AC3450:AE3450&lt;&gt;"")*(COLUMN(AC3450:AE3450)-(COLUMN(AC3450)))))-1),"")</f>
        <v>46076</v>
      </c>
      <c r="K3450" s="16" t="n">
        <f aca="false" t="array" ref="K3450:K3450">IFERROR(INDEX(AC3450:AE3450,IF(COUNTA(AC3450:AE3450)=0,"",MAX((AC3450:AE3450&lt;&gt;"")*(COLUMN(AC3450:AE3450)-(COLUMN(AC3450)-1))))-1),"")</f>
        <v>46106</v>
      </c>
      <c r="L3450" s="17" t="str">
        <f aca="false" t="array" ref="L3450:L3450">IFERROR(INDEX(AC3450:AE3450,IF(COUNTA(AC3450:AE3450)=0,"",MAX((AC3450:AE3450&lt;&gt;"")*(COLUMN(AC3450:AE3450)-(COLUMN(AC3450)-2))))-1),"")</f>
        <v>ARCHIVED</v>
      </c>
      <c r="M3450" s="13" t="n">
        <f aca="true">K3450-TODAY()</f>
        <v>-218</v>
      </c>
      <c r="N3450" s="18" t="s">
        <v>36</v>
      </c>
      <c r="O3450" s="111" t="s">
        <v>624</v>
      </c>
      <c r="P3450" s="19" t="n">
        <v>199823</v>
      </c>
      <c r="Q3450" s="47" t="s">
        <v>14137</v>
      </c>
      <c r="R3450" s="13" t="s">
        <v>260</v>
      </c>
      <c r="S3450" s="16" t="n">
        <v>37220</v>
      </c>
      <c r="T3450" s="13" t="s">
        <v>40</v>
      </c>
      <c r="U3450" s="13" t="s">
        <v>14138</v>
      </c>
      <c r="V3450" s="13" t="s">
        <v>42</v>
      </c>
      <c r="W3450" s="13" t="s">
        <v>43</v>
      </c>
      <c r="X3450" s="30" t="n">
        <v>89661889241</v>
      </c>
      <c r="Y3450" s="22" t="str">
        <f aca="false">O3450</f>
        <v>Quality Control</v>
      </c>
      <c r="Z3450" s="13" t="str">
        <f aca="false">IFERROR(__xludf.dummyfunction("if(BJ3450="""","""",GOOGLETRANSLATE(BJ3450,""auto"",""en""))"),"Quality Control")</f>
        <v>Quality Control</v>
      </c>
      <c r="AA3450" s="23" t="str">
        <f aca="false">IF(C3450="","", CHOOSE(MONTH(C3450),"January","February","March","April","May","June","July","August","September","October","November","December")&amp;" "&amp;DAY(C3450)&amp;MID("thstndrdth",MIN(9,2*RIGHT(DAY(C3450))*(MOD(DAY(C3450)-11,100)&gt;2)+1),2)&amp;","&amp;TEXT(C3450," yyyy"))</f>
        <v>February 23rd,2026</v>
      </c>
      <c r="AB3450" s="15" t="str">
        <f aca="true">IF(S3450="","",DATEDIF(S3450,TODAY(),"Y")&amp;" Tahun, "&amp;DATEDIF(S3450,TODAY(),"YM")&amp;" Bulan, "&amp;DATEDIF(S3450,TODAY(),"MD")&amp;" Hari")</f>
        <v>24 Tahun, 11 Bulan, 4 Hari</v>
      </c>
      <c r="AC3450" s="18" t="n">
        <v>46076</v>
      </c>
      <c r="AD3450" s="18" t="n">
        <v>46106</v>
      </c>
      <c r="AE3450" s="13" t="s">
        <v>44</v>
      </c>
    </row>
    <row r="3451" customFormat="false" ht="15" hidden="false" customHeight="true" outlineLevel="0" collapsed="false">
      <c r="A3451" s="12" t="n">
        <v>22067</v>
      </c>
      <c r="B3451" s="13" t="s">
        <v>14139</v>
      </c>
      <c r="C3451" s="16" t="n">
        <v>46072</v>
      </c>
      <c r="D3451" s="13" t="s">
        <v>11620</v>
      </c>
      <c r="E3451" s="15" t="s">
        <v>47</v>
      </c>
      <c r="F3451" s="15" t="str">
        <f aca="false">IFERROR(__xludf.dummyfunction("XLOOKUP(AJ3451,IMPORTRANGE(""1XaInW9DU9nz21V0tYIfzFQ0He9kVQ_JF2mCXgZ3hqFA"",""REKAP ALL 2026 - Andika!G:G""),IMPORTRANGE(""1XaInW9DU9nz21V0tYIfzFQ0He9kVQ_JF2mCXgZ3hqFA"",""REKAP ALL 2026 - Andika!F:F""),"""",0)"),"26046412578")</f>
        <v>26046412578</v>
      </c>
      <c r="G3451" s="13" t="s">
        <v>1127</v>
      </c>
      <c r="H3451" s="13" t="s">
        <v>35</v>
      </c>
      <c r="I3451" s="13" t="str">
        <f aca="false">IF(C3451=J3451,"NEW KONTRAK","RE-KONTRAK")</f>
        <v>NEW KONTRAK</v>
      </c>
      <c r="J3451" s="16" t="n">
        <f aca="false" t="array" ref="J3451:J3451">IFERROR(INDEX(AC3451:AE3451,IF(COUNTA(AC3451:AE3451)=0,"",MAX((AC3451:AE3451&lt;&gt;"")*(COLUMN(AC3451:AE3451)-(COLUMN(AC3451)))))-1),"")</f>
        <v>46072</v>
      </c>
      <c r="K3451" s="16" t="n">
        <f aca="false" t="array" ref="K3451:K3451">IFERROR(INDEX(AC3451:AE3451,IF(COUNTA(AC3451:AE3451)=0,"",MAX((AC3451:AE3451&lt;&gt;"")*(COLUMN(AC3451:AE3451)-(COLUMN(AC3451)-1))))-1),"")</f>
        <v>46106</v>
      </c>
      <c r="L3451" s="17" t="str">
        <f aca="false" t="array" ref="L3451:L3451">IFERROR(INDEX(AC3451:AE3451,IF(COUNTA(AC3451:AE3451)=0,"",MAX((AC3451:AE3451&lt;&gt;"")*(COLUMN(AC3451:AE3451)-(COLUMN(AC3451)-2))))-1),"")</f>
        <v>ARCHIVED</v>
      </c>
      <c r="M3451" s="13" t="n">
        <f aca="true">K3451-TODAY()</f>
        <v>-218</v>
      </c>
      <c r="N3451" s="18" t="s">
        <v>36</v>
      </c>
      <c r="O3451" s="111" t="s">
        <v>624</v>
      </c>
      <c r="P3451" s="19" t="n">
        <v>199823</v>
      </c>
      <c r="Q3451" s="47" t="s">
        <v>14140</v>
      </c>
      <c r="R3451" s="13" t="s">
        <v>39</v>
      </c>
      <c r="S3451" s="16" t="n">
        <v>36153</v>
      </c>
      <c r="T3451" s="13" t="s">
        <v>40</v>
      </c>
      <c r="U3451" s="13" t="s">
        <v>14141</v>
      </c>
      <c r="V3451" s="13" t="s">
        <v>42</v>
      </c>
      <c r="W3451" s="13" t="s">
        <v>43</v>
      </c>
      <c r="X3451" s="30" t="n">
        <v>85718328569</v>
      </c>
      <c r="Y3451" s="22" t="str">
        <f aca="false">O3451</f>
        <v>Quality Control</v>
      </c>
      <c r="Z3451" s="13" t="str">
        <f aca="false">IFERROR(__xludf.dummyfunction("if(BJ3451="""","""",GOOGLETRANSLATE(BJ3451,""auto"",""en""))"),"Quality Control")</f>
        <v>Quality Control</v>
      </c>
      <c r="AA3451" s="23" t="str">
        <f aca="false">IF(C3451="","", CHOOSE(MONTH(C3451),"January","February","March","April","May","June","July","August","September","October","November","December")&amp;" "&amp;DAY(C3451)&amp;MID("thstndrdth",MIN(9,2*RIGHT(DAY(C3451))*(MOD(DAY(C3451)-11,100)&gt;2)+1),2)&amp;","&amp;TEXT(C3451," yyyy"))</f>
        <v>February 19th,2026</v>
      </c>
      <c r="AB3451" s="15" t="str">
        <f aca="true">IF(S3451="","",DATEDIF(S3451,TODAY(),"Y")&amp;" Tahun, "&amp;DATEDIF(S3451,TODAY(),"YM")&amp;" Bulan, "&amp;DATEDIF(S3451,TODAY(),"MD")&amp;" Hari")</f>
        <v>27 Tahun, 10 Bulan, 5 Hari</v>
      </c>
      <c r="AC3451" s="18" t="n">
        <v>46072</v>
      </c>
      <c r="AD3451" s="18" t="n">
        <v>46106</v>
      </c>
      <c r="AE3451" s="13" t="s">
        <v>44</v>
      </c>
    </row>
    <row r="3452" customFormat="false" ht="15" hidden="false" customHeight="true" outlineLevel="0" collapsed="false">
      <c r="A3452" s="12" t="n">
        <v>22068</v>
      </c>
      <c r="B3452" s="13" t="s">
        <v>14142</v>
      </c>
      <c r="C3452" s="16" t="n">
        <v>46065</v>
      </c>
      <c r="D3452" s="13" t="s">
        <v>11620</v>
      </c>
      <c r="E3452" s="15" t="s">
        <v>47</v>
      </c>
      <c r="F3452" s="15" t="str">
        <f aca="false">IFERROR(__xludf.dummyfunction("XLOOKUP(AJ3452,IMPORTRANGE(""1XaInW9DU9nz21V0tYIfzFQ0He9kVQ_JF2mCXgZ3hqFA"",""REKAP ALL 2026 - Andika!G:G""),IMPORTRANGE(""1XaInW9DU9nz21V0tYIfzFQ0He9kVQ_JF2mCXgZ3hqFA"",""REKAP ALL 2026 - Andika!F:F""),"""",0)"),"26046412586")</f>
        <v>26046412586</v>
      </c>
      <c r="G3452" s="13" t="s">
        <v>1127</v>
      </c>
      <c r="H3452" s="13" t="s">
        <v>35</v>
      </c>
      <c r="I3452" s="13" t="str">
        <f aca="false">IF(C3452=J3452,"NEW KONTRAK","RE-KONTRAK")</f>
        <v>NEW KONTRAK</v>
      </c>
      <c r="J3452" s="16" t="n">
        <f aca="false" t="array" ref="J3452:J3452">IFERROR(INDEX(AC3452:AE3452,IF(COUNTA(AC3452:AE3452)=0,"",MAX((AC3452:AE3452&lt;&gt;"")*(COLUMN(AC3452:AE3452)-(COLUMN(AC3452)))))-1),"")</f>
        <v>46065</v>
      </c>
      <c r="K3452" s="16" t="n">
        <f aca="false" t="array" ref="K3452:K3452">IFERROR(INDEX(AC3452:AE3452,IF(COUNTA(AC3452:AE3452)=0,"",MAX((AC3452:AE3452&lt;&gt;"")*(COLUMN(AC3452:AE3452)-(COLUMN(AC3452)-1))))-1),"")</f>
        <v>46106</v>
      </c>
      <c r="L3452" s="17" t="str">
        <f aca="false" t="array" ref="L3452:L3452">IFERROR(INDEX(AC3452:AE3452,IF(COUNTA(AC3452:AE3452)=0,"",MAX((AC3452:AE3452&lt;&gt;"")*(COLUMN(AC3452:AE3452)-(COLUMN(AC3452)-2))))-1),"")</f>
        <v>ARCHIVED</v>
      </c>
      <c r="M3452" s="13" t="n">
        <f aca="true">K3452-TODAY()</f>
        <v>-218</v>
      </c>
      <c r="N3452" s="18" t="s">
        <v>36</v>
      </c>
      <c r="O3452" s="111" t="s">
        <v>298</v>
      </c>
      <c r="P3452" s="19" t="n">
        <v>199823</v>
      </c>
      <c r="Q3452" s="47" t="s">
        <v>14143</v>
      </c>
      <c r="R3452" s="13" t="s">
        <v>260</v>
      </c>
      <c r="S3452" s="16" t="n">
        <v>31141</v>
      </c>
      <c r="T3452" s="13" t="s">
        <v>40</v>
      </c>
      <c r="U3452" s="13" t="s">
        <v>14144</v>
      </c>
      <c r="V3452" s="13" t="s">
        <v>42</v>
      </c>
      <c r="W3452" s="13" t="s">
        <v>54</v>
      </c>
      <c r="X3452" s="30" t="n">
        <v>81346303161</v>
      </c>
      <c r="Y3452" s="22" t="str">
        <f aca="false">O3452</f>
        <v>Maintenance</v>
      </c>
      <c r="Z3452" s="13" t="str">
        <f aca="false">IFERROR(__xludf.dummyfunction("if(BJ3452="""","""",GOOGLETRANSLATE(BJ3452,""auto"",""en""))"),"Maintenance")</f>
        <v>Maintenance</v>
      </c>
      <c r="AA3452" s="23" t="str">
        <f aca="false">IF(C3452="","", CHOOSE(MONTH(C3452),"January","February","March","April","May","June","July","August","September","October","November","December")&amp;" "&amp;DAY(C3452)&amp;MID("thstndrdth",MIN(9,2*RIGHT(DAY(C3452))*(MOD(DAY(C3452)-11,100)&gt;2)+1),2)&amp;","&amp;TEXT(C3452," yyyy"))</f>
        <v>February 12th,2026</v>
      </c>
      <c r="AB3452" s="15" t="str">
        <f aca="true">IF(S3452="","",DATEDIF(S3452,TODAY(),"Y")&amp;" Tahun, "&amp;DATEDIF(S3452,TODAY(),"YM")&amp;" Bulan, "&amp;DATEDIF(S3452,TODAY(),"MD")&amp;" Hari")</f>
        <v>41 Tahun, 6 Bulan, 25 Hari</v>
      </c>
      <c r="AC3452" s="18" t="n">
        <v>46065</v>
      </c>
      <c r="AD3452" s="18" t="n">
        <v>46106</v>
      </c>
      <c r="AE3452" s="13" t="s">
        <v>44</v>
      </c>
    </row>
    <row r="3453" customFormat="false" ht="15" hidden="false" customHeight="true" outlineLevel="0" collapsed="false">
      <c r="A3453" s="12" t="n">
        <v>22069</v>
      </c>
      <c r="B3453" s="13" t="s">
        <v>14145</v>
      </c>
      <c r="C3453" s="16" t="n">
        <v>46087</v>
      </c>
      <c r="D3453" s="13" t="s">
        <v>11620</v>
      </c>
      <c r="E3453" s="15" t="s">
        <v>102</v>
      </c>
      <c r="F3453" s="15" t="str">
        <f aca="false">IFERROR(__xludf.dummyfunction("XLOOKUP(AJ3453,IMPORTRANGE(""1XaInW9DU9nz21V0tYIfzFQ0He9kVQ_JF2mCXgZ3hqFA"",""REKAP ALL 2026 - Andika!G:G""),IMPORTRANGE(""1XaInW9DU9nz21V0tYIfzFQ0He9kVQ_JF2mCXgZ3hqFA"",""REKAP ALL 2026 - Andika!F:F""),"""",0)"),"26046412594")</f>
        <v>26046412594</v>
      </c>
      <c r="G3453" s="13" t="s">
        <v>1127</v>
      </c>
      <c r="H3453" s="13" t="s">
        <v>35</v>
      </c>
      <c r="I3453" s="13" t="str">
        <f aca="false">IF(C3453=J3453,"NEW KONTRAK","RE-KONTRAK")</f>
        <v>NEW KONTRAK</v>
      </c>
      <c r="J3453" s="16" t="n">
        <f aca="false" t="array" ref="J3453:J3453">IFERROR(INDEX(AC3453:AE3453,IF(COUNTA(AC3453:AE3453)=0,"",MAX((AC3453:AE3453&lt;&gt;"")*(COLUMN(AC3453:AE3453)-(COLUMN(AC3453)))))-1),"")</f>
        <v>46087</v>
      </c>
      <c r="K3453" s="16" t="n">
        <f aca="false" t="array" ref="K3453:K3453">IFERROR(INDEX(AC3453:AE3453,IF(COUNTA(AC3453:AE3453)=0,"",MAX((AC3453:AE3453&lt;&gt;"")*(COLUMN(AC3453:AE3453)-(COLUMN(AC3453)-1))))-1),"")</f>
        <v>46106</v>
      </c>
      <c r="L3453" s="17" t="str">
        <f aca="false" t="array" ref="L3453:L3453">IFERROR(INDEX(AC3453:AE3453,IF(COUNTA(AC3453:AE3453)=0,"",MAX((AC3453:AE3453&lt;&gt;"")*(COLUMN(AC3453:AE3453)-(COLUMN(AC3453)-2))))-1),"")</f>
        <v>ARCHIVED</v>
      </c>
      <c r="M3453" s="13" t="n">
        <f aca="true">K3453-TODAY()</f>
        <v>-218</v>
      </c>
      <c r="N3453" s="18" t="s">
        <v>36</v>
      </c>
      <c r="O3453" s="111" t="s">
        <v>624</v>
      </c>
      <c r="P3453" s="19" t="n">
        <v>199823</v>
      </c>
      <c r="Q3453" s="47" t="s">
        <v>14146</v>
      </c>
      <c r="R3453" s="13" t="s">
        <v>65</v>
      </c>
      <c r="S3453" s="16" t="n">
        <v>36013</v>
      </c>
      <c r="T3453" s="13" t="s">
        <v>40</v>
      </c>
      <c r="U3453" s="13" t="s">
        <v>14147</v>
      </c>
      <c r="V3453" s="13" t="s">
        <v>42</v>
      </c>
      <c r="W3453" s="13" t="s">
        <v>43</v>
      </c>
      <c r="X3453" s="30" t="n">
        <v>89899042102</v>
      </c>
      <c r="Y3453" s="22" t="str">
        <f aca="false">O3453</f>
        <v>Quality Control</v>
      </c>
      <c r="Z3453" s="13" t="str">
        <f aca="false">IFERROR(__xludf.dummyfunction("if(BJ3453="""","""",GOOGLETRANSLATE(BJ3453,""auto"",""en""))"),"Quality Control")</f>
        <v>Quality Control</v>
      </c>
      <c r="AA3453" s="23" t="str">
        <f aca="false">IF(C3453="","", CHOOSE(MONTH(C3453),"January","February","March","April","May","June","July","August","September","October","November","December")&amp;" "&amp;DAY(C3453)&amp;MID("thstndrdth",MIN(9,2*RIGHT(DAY(C3453))*(MOD(DAY(C3453)-11,100)&gt;2)+1),2)&amp;","&amp;TEXT(C3453," yyyy"))</f>
        <v>March 6th,2026</v>
      </c>
      <c r="AB3453" s="15" t="str">
        <f aca="true">IF(S3453="","",DATEDIF(S3453,TODAY(),"Y")&amp;" Tahun, "&amp;DATEDIF(S3453,TODAY(),"YM")&amp;" Bulan, "&amp;DATEDIF(S3453,TODAY(),"MD")&amp;" Hari")</f>
        <v>28 Tahun, 2 Bulan, 23 Hari</v>
      </c>
      <c r="AC3453" s="18" t="n">
        <v>46087</v>
      </c>
      <c r="AD3453" s="18" t="n">
        <v>46106</v>
      </c>
      <c r="AE3453" s="13" t="s">
        <v>44</v>
      </c>
    </row>
    <row r="3454" customFormat="false" ht="15" hidden="false" customHeight="true" outlineLevel="0" collapsed="false">
      <c r="A3454" s="12" t="n">
        <v>22070</v>
      </c>
      <c r="B3454" s="13" t="s">
        <v>14148</v>
      </c>
      <c r="C3454" s="16" t="n">
        <v>46079</v>
      </c>
      <c r="D3454" s="13" t="s">
        <v>11620</v>
      </c>
      <c r="E3454" s="15" t="s">
        <v>47</v>
      </c>
      <c r="F3454" s="15" t="str">
        <f aca="false">IFERROR(__xludf.dummyfunction("XLOOKUP(AJ3454,IMPORTRANGE(""1XaInW9DU9nz21V0tYIfzFQ0He9kVQ_JF2mCXgZ3hqFA"",""REKAP ALL 2026 - Andika!G:G""),IMPORTRANGE(""1XaInW9DU9nz21V0tYIfzFQ0He9kVQ_JF2mCXgZ3hqFA"",""REKAP ALL 2026 - Andika!F:F""),"""",0)"),"26046412602")</f>
        <v>26046412602</v>
      </c>
      <c r="G3454" s="13" t="s">
        <v>1127</v>
      </c>
      <c r="H3454" s="13" t="s">
        <v>35</v>
      </c>
      <c r="I3454" s="13" t="str">
        <f aca="false">IF(C3454=J3454,"NEW KONTRAK","RE-KONTRAK")</f>
        <v>NEW KONTRAK</v>
      </c>
      <c r="J3454" s="16" t="n">
        <f aca="false" t="array" ref="J3454:J3454">IFERROR(INDEX(AC3454:AE3454,IF(COUNTA(AC3454:AE3454)=0,"",MAX((AC3454:AE3454&lt;&gt;"")*(COLUMN(AC3454:AE3454)-(COLUMN(AC3454)))))-1),"")</f>
        <v>46079</v>
      </c>
      <c r="K3454" s="16" t="n">
        <f aca="false" t="array" ref="K3454:K3454">IFERROR(INDEX(AC3454:AE3454,IF(COUNTA(AC3454:AE3454)=0,"",MAX((AC3454:AE3454&lt;&gt;"")*(COLUMN(AC3454:AE3454)-(COLUMN(AC3454)-1))))-1),"")</f>
        <v>46106</v>
      </c>
      <c r="L3454" s="17" t="str">
        <f aca="false" t="array" ref="L3454:L3454">IFERROR(INDEX(AC3454:AE3454,IF(COUNTA(AC3454:AE3454)=0,"",MAX((AC3454:AE3454&lt;&gt;"")*(COLUMN(AC3454:AE3454)-(COLUMN(AC3454)-2))))-1),"")</f>
        <v>ARCHIVED</v>
      </c>
      <c r="M3454" s="13" t="n">
        <f aca="true">K3454-TODAY()</f>
        <v>-218</v>
      </c>
      <c r="N3454" s="18" t="s">
        <v>36</v>
      </c>
      <c r="O3454" s="111" t="s">
        <v>11629</v>
      </c>
      <c r="P3454" s="19" t="n">
        <v>199823</v>
      </c>
      <c r="Q3454" s="47" t="s">
        <v>14149</v>
      </c>
      <c r="R3454" s="13" t="s">
        <v>39</v>
      </c>
      <c r="S3454" s="16" t="n">
        <v>37198</v>
      </c>
      <c r="T3454" s="13" t="s">
        <v>40</v>
      </c>
      <c r="U3454" s="13" t="s">
        <v>11726</v>
      </c>
      <c r="V3454" s="13" t="s">
        <v>42</v>
      </c>
      <c r="W3454" s="13" t="s">
        <v>43</v>
      </c>
      <c r="X3454" s="30" t="n">
        <v>81127588425</v>
      </c>
      <c r="Y3454" s="22" t="str">
        <f aca="false">O3454</f>
        <v>Tubular</v>
      </c>
      <c r="Z3454" s="13" t="str">
        <f aca="false">IFERROR(__xludf.dummyfunction("if(BJ3454="""","""",GOOGLETRANSLATE(BJ3454,""auto"",""en""))"),"Tubular")</f>
        <v>Tubular</v>
      </c>
      <c r="AA3454" s="23" t="str">
        <f aca="false">IF(C3454="","", CHOOSE(MONTH(C3454),"January","February","March","April","May","June","July","August","September","October","November","December")&amp;" "&amp;DAY(C3454)&amp;MID("thstndrdth",MIN(9,2*RIGHT(DAY(C3454))*(MOD(DAY(C3454)-11,100)&gt;2)+1),2)&amp;","&amp;TEXT(C3454," yyyy"))</f>
        <v>February 26th,2026</v>
      </c>
      <c r="AB3454" s="15" t="str">
        <f aca="true">IF(S3454="","",DATEDIF(S3454,TODAY(),"Y")&amp;" Tahun, "&amp;DATEDIF(S3454,TODAY(),"YM")&amp;" Bulan, "&amp;DATEDIF(S3454,TODAY(),"MD")&amp;" Hari")</f>
        <v>24 Tahun, 11 Bulan, 26 Hari</v>
      </c>
      <c r="AC3454" s="18" t="n">
        <v>46079</v>
      </c>
      <c r="AD3454" s="18" t="n">
        <v>46106</v>
      </c>
      <c r="AE3454" s="13" t="s">
        <v>44</v>
      </c>
    </row>
    <row r="3455" customFormat="false" ht="15" hidden="false" customHeight="true" outlineLevel="0" collapsed="false">
      <c r="A3455" s="12" t="n">
        <v>22071</v>
      </c>
      <c r="B3455" s="13" t="s">
        <v>14150</v>
      </c>
      <c r="C3455" s="16" t="n">
        <v>46111</v>
      </c>
      <c r="D3455" s="13" t="s">
        <v>11620</v>
      </c>
      <c r="E3455" s="15" t="s">
        <v>102</v>
      </c>
      <c r="F3455" s="15" t="str">
        <f aca="false">IFERROR(__xludf.dummyfunction("XLOOKUP(AJ3455,IMPORTRANGE(""1XaInW9DU9nz21V0tYIfzFQ0He9kVQ_JF2mCXgZ3hqFA"",""REKAP ALL 2026 - Andika!G:G""),IMPORTRANGE(""1XaInW9DU9nz21V0tYIfzFQ0He9kVQ_JF2mCXgZ3hqFA"",""REKAP ALL 2026 - Andika!F:F""),"""",0)"),"26046412636")</f>
        <v>26046412636</v>
      </c>
      <c r="G3455" s="13" t="s">
        <v>1127</v>
      </c>
      <c r="H3455" s="13" t="s">
        <v>35</v>
      </c>
      <c r="I3455" s="13" t="str">
        <f aca="false">IF(C3455=J3455,"NEW KONTRAK","RE-KONTRAK")</f>
        <v>NEW KONTRAK</v>
      </c>
      <c r="J3455" s="16" t="n">
        <f aca="false" t="array" ref="J3455:J3455">IFERROR(INDEX(AC3455:AE3455,IF(COUNTA(AC3455:AE3455)=0,"",MAX((AC3455:AE3455&lt;&gt;"")*(COLUMN(AC3455:AE3455)-(COLUMN(AC3455)))))-1),"")</f>
        <v>46111</v>
      </c>
      <c r="K3455" s="16" t="n">
        <f aca="false" t="array" ref="K3455:K3455">IFERROR(INDEX(AC3455:AE3455,IF(COUNTA(AC3455:AE3455)=0,"",MAX((AC3455:AE3455&lt;&gt;"")*(COLUMN(AC3455:AE3455)-(COLUMN(AC3455)-1))))-1),"")</f>
        <v>46294</v>
      </c>
      <c r="L3455" s="17" t="str">
        <f aca="false" t="array" ref="L3455:L3455">IFERROR(INDEX(AC3455:AE3455,IF(COUNTA(AC3455:AE3455)=0,"",MAX((AC3455:AE3455&lt;&gt;"")*(COLUMN(AC3455:AE3455)-(COLUMN(AC3455)-2))))-1),"")</f>
        <v>ARCHIVED</v>
      </c>
      <c r="M3455" s="13" t="n">
        <f aca="true">K3455-TODAY()</f>
        <v>-30</v>
      </c>
      <c r="N3455" s="18" t="s">
        <v>36</v>
      </c>
      <c r="O3455" s="13" t="s">
        <v>14151</v>
      </c>
      <c r="P3455" s="19" t="n">
        <v>199823</v>
      </c>
      <c r="Q3455" s="47" t="s">
        <v>14152</v>
      </c>
      <c r="R3455" s="13" t="s">
        <v>39</v>
      </c>
      <c r="S3455" s="16" t="n">
        <v>35690</v>
      </c>
      <c r="T3455" s="28" t="s">
        <v>40</v>
      </c>
      <c r="U3455" s="13" t="s">
        <v>14153</v>
      </c>
      <c r="V3455" s="13" t="s">
        <v>42</v>
      </c>
      <c r="W3455" s="13" t="s">
        <v>43</v>
      </c>
      <c r="X3455" s="30" t="n">
        <v>82241056481</v>
      </c>
      <c r="Y3455" s="22" t="str">
        <f aca="false">O3455</f>
        <v>Admin PPIC</v>
      </c>
      <c r="Z3455" s="13" t="str">
        <f aca="false">IFERROR(__xludf.dummyfunction("if(BJ3455="""","""",GOOGLETRANSLATE(BJ3455,""auto"",""en""))"),"PPIC Admin")</f>
        <v>PPIC Admin</v>
      </c>
      <c r="AA3455" s="23" t="str">
        <f aca="false">IF(C3455="","", CHOOSE(MONTH(C3455),"January","February","March","April","May","June","July","August","September","October","November","December")&amp;" "&amp;DAY(C3455)&amp;MID("thstndrdth",MIN(9,2*RIGHT(DAY(C3455))*(MOD(DAY(C3455)-11,100)&gt;2)+1),2)&amp;","&amp;TEXT(C3455," yyyy"))</f>
        <v>March 30th,2026</v>
      </c>
      <c r="AB3455" s="15" t="str">
        <f aca="true">IF(S3455="","",DATEDIF(S3455,TODAY(),"Y")&amp;" Tahun, "&amp;DATEDIF(S3455,TODAY(),"YM")&amp;" Bulan, "&amp;DATEDIF(S3455,TODAY(),"MD")&amp;" Hari")</f>
        <v>29 Tahun, 1 Bulan, 12 Hari</v>
      </c>
      <c r="AC3455" s="16" t="n">
        <v>46111</v>
      </c>
      <c r="AD3455" s="18" t="n">
        <f aca="false">EDATE(AC3455,6)-1</f>
        <v>46294</v>
      </c>
      <c r="AE3455" s="13" t="s">
        <v>44</v>
      </c>
    </row>
    <row r="3456" customFormat="false" ht="15" hidden="false" customHeight="true" outlineLevel="0" collapsed="false">
      <c r="A3456" s="12" t="n">
        <v>22072</v>
      </c>
      <c r="B3456" s="13" t="s">
        <v>14154</v>
      </c>
      <c r="C3456" s="16" t="n">
        <v>46113</v>
      </c>
      <c r="D3456" s="13" t="s">
        <v>11620</v>
      </c>
      <c r="E3456" s="15" t="s">
        <v>47</v>
      </c>
      <c r="F3456" s="15" t="str">
        <f aca="false">IFERROR(__xludf.dummyfunction("XLOOKUP(AJ3456,IMPORTRANGE(""1XaInW9DU9nz21V0tYIfzFQ0He9kVQ_JF2mCXgZ3hqFA"",""REKAP ALL 2026 - Andika!G:G""),IMPORTRANGE(""1XaInW9DU9nz21V0tYIfzFQ0He9kVQ_JF2mCXgZ3hqFA"",""REKAP ALL 2026 - Andika!F:F""),"""",0)"),"26062989863")</f>
        <v>26062989863</v>
      </c>
      <c r="G3456" s="13" t="s">
        <v>1127</v>
      </c>
      <c r="H3456" s="13" t="s">
        <v>35</v>
      </c>
      <c r="I3456" s="13" t="str">
        <f aca="false">IF(C3456=J3456,"NEW KONTRAK","RE-KONTRAK")</f>
        <v>NEW KONTRAK</v>
      </c>
      <c r="J3456" s="16" t="n">
        <f aca="false" t="array" ref="J3456:J3456">IFERROR(INDEX(AC3456:AE3456,IF(COUNTA(AC3456:AE3456)=0,"",MAX((AC3456:AE3456&lt;&gt;"")*(COLUMN(AC3456:AE3456)-(COLUMN(AC3456)))))-1),"")</f>
        <v>46113</v>
      </c>
      <c r="K3456" s="16" t="n">
        <f aca="false" t="array" ref="K3456:K3456">IFERROR(INDEX(AC3456:AE3456,IF(COUNTA(AC3456:AE3456)=0,"",MAX((AC3456:AE3456&lt;&gt;"")*(COLUMN(AC3456:AE3456)-(COLUMN(AC3456)-1))))-1),"")</f>
        <v>46295</v>
      </c>
      <c r="L3456" s="17" t="str">
        <f aca="false" t="array" ref="L3456:L3456">IFERROR(INDEX(AC3456:AE3456,IF(COUNTA(AC3456:AE3456)=0,"",MAX((AC3456:AE3456&lt;&gt;"")*(COLUMN(AC3456:AE3456)-(COLUMN(AC3456)-2))))-1),"")</f>
        <v>KEMBALI</v>
      </c>
      <c r="M3456" s="13" t="n">
        <f aca="true">K3456-TODAY()</f>
        <v>-29</v>
      </c>
      <c r="N3456" s="18" t="s">
        <v>36</v>
      </c>
      <c r="O3456" s="13" t="s">
        <v>14155</v>
      </c>
      <c r="P3456" s="19" t="n">
        <v>199823</v>
      </c>
      <c r="Q3456" s="47" t="s">
        <v>14156</v>
      </c>
      <c r="R3456" s="13" t="s">
        <v>39</v>
      </c>
      <c r="S3456" s="16" t="n">
        <v>32837</v>
      </c>
      <c r="T3456" s="28" t="s">
        <v>40</v>
      </c>
      <c r="U3456" s="13" t="s">
        <v>14157</v>
      </c>
      <c r="V3456" s="13" t="s">
        <v>42</v>
      </c>
      <c r="W3456" s="13" t="s">
        <v>54</v>
      </c>
      <c r="X3456" s="30" t="n">
        <v>85391778507</v>
      </c>
      <c r="Y3456" s="22" t="str">
        <f aca="false">O3456</f>
        <v>QC Galvanis</v>
      </c>
      <c r="Z3456" s="13" t="str">
        <f aca="false">IFERROR(__xludf.dummyfunction("if(BJ3456="""","""",GOOGLETRANSLATE(BJ3456,""auto"",""en""))"),"QC Galvanis")</f>
        <v>QC Galvanis</v>
      </c>
      <c r="AA3456" s="23" t="str">
        <f aca="false">IF(C3456="","", CHOOSE(MONTH(C3456),"January","February","March","April","May","June","July","August","September","October","November","December")&amp;" "&amp;DAY(C3456)&amp;MID("thstndrdth",MIN(9,2*RIGHT(DAY(C3456))*(MOD(DAY(C3456)-11,100)&gt;2)+1),2)&amp;","&amp;TEXT(C3456," yyyy"))</f>
        <v>April 1st,2026</v>
      </c>
      <c r="AB3456" s="15" t="str">
        <f aca="true">IF(S3456="","",DATEDIF(S3456,TODAY(),"Y")&amp;" Tahun, "&amp;DATEDIF(S3456,TODAY(),"YM")&amp;" Bulan, "&amp;DATEDIF(S3456,TODAY(),"MD")&amp;" Hari")</f>
        <v>36 Tahun, 11 Bulan, 4 Hari</v>
      </c>
      <c r="AC3456" s="16" t="n">
        <v>46113</v>
      </c>
      <c r="AD3456" s="18" t="n">
        <f aca="false">EDATE(AC3456,6)-1</f>
        <v>46295</v>
      </c>
      <c r="AE3456" s="13" t="s">
        <v>397</v>
      </c>
    </row>
    <row r="3457" customFormat="false" ht="15" hidden="false" customHeight="true" outlineLevel="0" collapsed="false">
      <c r="A3457" s="12" t="n">
        <v>22073</v>
      </c>
      <c r="B3457" s="13" t="s">
        <v>14158</v>
      </c>
      <c r="C3457" s="16" t="n">
        <v>46113</v>
      </c>
      <c r="D3457" s="13" t="s">
        <v>11620</v>
      </c>
      <c r="E3457" s="15" t="s">
        <v>47</v>
      </c>
      <c r="F3457" s="15" t="str">
        <f aca="false">IFERROR(__xludf.dummyfunction("XLOOKUP(AJ3457,IMPORTRANGE(""1XaInW9DU9nz21V0tYIfzFQ0He9kVQ_JF2mCXgZ3hqFA"",""REKAP ALL 2026 - Andika!G:G""),IMPORTRANGE(""1XaInW9DU9nz21V0tYIfzFQ0He9kVQ_JF2mCXgZ3hqFA"",""REKAP ALL 2026 - Andika!F:F""),"""",0)"),"26062989921")</f>
        <v>26062989921</v>
      </c>
      <c r="G3457" s="13" t="s">
        <v>1127</v>
      </c>
      <c r="H3457" s="13" t="s">
        <v>35</v>
      </c>
      <c r="I3457" s="13" t="str">
        <f aca="false">IF(C3457=J3457,"NEW KONTRAK","RE-KONTRAK")</f>
        <v>NEW KONTRAK</v>
      </c>
      <c r="J3457" s="16" t="n">
        <f aca="false" t="array" ref="J3457:J3457">IFERROR(INDEX(AC3457:AE3457,IF(COUNTA(AC3457:AE3457)=0,"",MAX((AC3457:AE3457&lt;&gt;"")*(COLUMN(AC3457:AE3457)-(COLUMN(AC3457)))))-1),"")</f>
        <v>46113</v>
      </c>
      <c r="K3457" s="16" t="n">
        <f aca="false" t="array" ref="K3457:K3457">IFERROR(INDEX(AC3457:AE3457,IF(COUNTA(AC3457:AE3457)=0,"",MAX((AC3457:AE3457&lt;&gt;"")*(COLUMN(AC3457:AE3457)-(COLUMN(AC3457)-1))))-1),"")</f>
        <v>46295</v>
      </c>
      <c r="L3457" s="17" t="str">
        <f aca="false" t="array" ref="L3457:L3457">IFERROR(INDEX(AC3457:AE3457,IF(COUNTA(AC3457:AE3457)=0,"",MAX((AC3457:AE3457&lt;&gt;"")*(COLUMN(AC3457:AE3457)-(COLUMN(AC3457)-2))))-1),"")</f>
        <v>ARCHIVED</v>
      </c>
      <c r="M3457" s="13" t="n">
        <f aca="true">K3457-TODAY()</f>
        <v>-29</v>
      </c>
      <c r="N3457" s="18" t="s">
        <v>36</v>
      </c>
      <c r="O3457" s="13" t="s">
        <v>14155</v>
      </c>
      <c r="P3457" s="19" t="n">
        <v>199823</v>
      </c>
      <c r="Q3457" s="47" t="s">
        <v>14159</v>
      </c>
      <c r="R3457" s="13" t="s">
        <v>879</v>
      </c>
      <c r="S3457" s="16" t="n">
        <v>33830</v>
      </c>
      <c r="T3457" s="28" t="s">
        <v>40</v>
      </c>
      <c r="U3457" s="13" t="s">
        <v>14160</v>
      </c>
      <c r="V3457" s="13" t="s">
        <v>42</v>
      </c>
      <c r="W3457" s="13" t="s">
        <v>43</v>
      </c>
      <c r="X3457" s="30" t="n">
        <v>82352419138</v>
      </c>
      <c r="Y3457" s="22" t="str">
        <f aca="false">O3457</f>
        <v>QC Galvanis</v>
      </c>
      <c r="Z3457" s="13" t="str">
        <f aca="false">IFERROR(__xludf.dummyfunction("if(BJ3457="""","""",GOOGLETRANSLATE(BJ3457,""auto"",""en""))"),"QC Galvanis")</f>
        <v>QC Galvanis</v>
      </c>
      <c r="AA3457" s="23" t="str">
        <f aca="false">IF(C3457="","", CHOOSE(MONTH(C3457),"January","February","March","April","May","June","July","August","September","October","November","December")&amp;" "&amp;DAY(C3457)&amp;MID("thstndrdth",MIN(9,2*RIGHT(DAY(C3457))*(MOD(DAY(C3457)-11,100)&gt;2)+1),2)&amp;","&amp;TEXT(C3457," yyyy"))</f>
        <v>April 1st,2026</v>
      </c>
      <c r="AB3457" s="15" t="str">
        <f aca="true">IF(S3457="","",DATEDIF(S3457,TODAY(),"Y")&amp;" Tahun, "&amp;DATEDIF(S3457,TODAY(),"YM")&amp;" Bulan, "&amp;DATEDIF(S3457,TODAY(),"MD")&amp;" Hari")</f>
        <v>34 Tahun, 2 Bulan, 15 Hari</v>
      </c>
      <c r="AC3457" s="16" t="n">
        <v>46113</v>
      </c>
      <c r="AD3457" s="18" t="n">
        <f aca="false">EDATE(AC3457,6)-1</f>
        <v>46295</v>
      </c>
      <c r="AE3457" s="13" t="s">
        <v>44</v>
      </c>
    </row>
    <row r="3458" customFormat="false" ht="15" hidden="false" customHeight="true" outlineLevel="0" collapsed="false">
      <c r="A3458" s="12" t="n">
        <v>22074</v>
      </c>
      <c r="B3458" s="13" t="s">
        <v>14161</v>
      </c>
      <c r="C3458" s="14" t="n">
        <v>46091</v>
      </c>
      <c r="D3458" s="13" t="s">
        <v>5726</v>
      </c>
      <c r="E3458" s="15" t="s">
        <v>47</v>
      </c>
      <c r="F3458" s="15" t="str">
        <f aca="false">IFERROR(__xludf.dummyfunction("XLOOKUP(AJ3458,IMPORTRANGE(""1XaInW9DU9nz21V0tYIfzFQ0He9kVQ_JF2mCXgZ3hqFA"",""REKAP ALL 2026 - Andika!G:G""),IMPORTRANGE(""1XaInW9DU9nz21V0tYIfzFQ0He9kVQ_JF2mCXgZ3hqFA"",""REKAP ALL 2026 - Andika!F:F""),"""",0)"),"26046410630")</f>
        <v>26046410630</v>
      </c>
      <c r="G3458" s="15" t="s">
        <v>14162</v>
      </c>
      <c r="H3458" s="13" t="s">
        <v>35</v>
      </c>
      <c r="I3458" s="13" t="str">
        <f aca="false">IF(C3458=J3458,"NEW KONTRAK","RE-KONTRAK")</f>
        <v>NEW KONTRAK</v>
      </c>
      <c r="J3458" s="16" t="n">
        <f aca="false" t="array" ref="J3458:J3458">IFERROR(INDEX(AC3458:AE3458,IF(COUNTA(AC3458:AE3458)=0,"",MAX((AC3458:AE3458&lt;&gt;"")*(COLUMN(AC3458:AE3458)-(COLUMN(AC3458)))))-1),"")</f>
        <v>46091</v>
      </c>
      <c r="K3458" s="16" t="n">
        <f aca="false" t="array" ref="K3458:K3458">IFERROR(INDEX(AC3458:AE3458,IF(COUNTA(AC3458:AE3458)=0,"",MAX((AC3458:AE3458&lt;&gt;"")*(COLUMN(AC3458:AE3458)-(COLUMN(AC3458)-1))))-1),"")</f>
        <v>46182</v>
      </c>
      <c r="L3458" s="17" t="str">
        <f aca="false" t="array" ref="L3458:L3458">IFERROR(INDEX(AC3458:AE3458,IF(COUNTA(AC3458:AE3458)=0,"",MAX((AC3458:AE3458&lt;&gt;"")*(COLUMN(AC3458:AE3458)-(COLUMN(AC3458)-2))))-1),"")</f>
        <v>ARCHIVED</v>
      </c>
      <c r="M3458" s="13" t="n">
        <f aca="true">K3458-TODAY()</f>
        <v>-142</v>
      </c>
      <c r="N3458" s="18" t="s">
        <v>615</v>
      </c>
      <c r="O3458" s="13" t="s">
        <v>7088</v>
      </c>
      <c r="P3458" s="19" t="n">
        <v>5176101</v>
      </c>
      <c r="Q3458" s="20" t="s">
        <v>14163</v>
      </c>
      <c r="R3458" s="13" t="s">
        <v>260</v>
      </c>
      <c r="S3458" s="14" t="n">
        <v>35167</v>
      </c>
      <c r="T3458" s="13" t="s">
        <v>108</v>
      </c>
      <c r="U3458" s="13" t="s">
        <v>14164</v>
      </c>
      <c r="V3458" s="13" t="s">
        <v>42</v>
      </c>
      <c r="W3458" s="13" t="s">
        <v>54</v>
      </c>
      <c r="X3458" s="21" t="n">
        <v>85745733360</v>
      </c>
      <c r="Y3458" s="22" t="str">
        <f aca="false">O3458</f>
        <v>Quality Inspector</v>
      </c>
      <c r="Z3458" s="13" t="str">
        <f aca="false">IFERROR(__xludf.dummyfunction("if(BJ3458="""","""",GOOGLETRANSLATE(BJ3458,""auto"",""en""))"),"Quality Inspector")</f>
        <v>Quality Inspector</v>
      </c>
      <c r="AA3458" s="23" t="str">
        <f aca="false">IF(C3458="","", CHOOSE(MONTH(C3458),"January","February","March","April","May","June","July","August","September","October","November","December")&amp;" "&amp;DAY(C3458)&amp;MID("thstndrdth",MIN(9,2*RIGHT(DAY(C3458))*(MOD(DAY(C3458)-11,100)&gt;2)+1),2)&amp;","&amp;TEXT(C3458," yyyy"))</f>
        <v>March 10th,2026</v>
      </c>
      <c r="AB3458" s="15" t="str">
        <f aca="true">IF(S3458="","",DATEDIF(S3458,TODAY(),"Y")&amp;" Tahun, "&amp;DATEDIF(S3458,TODAY(),"YM")&amp;" Bulan, "&amp;DATEDIF(S3458,TODAY(),"MD")&amp;" Hari")</f>
        <v>30 Tahun, 6 Bulan, 17 Hari</v>
      </c>
      <c r="AC3458" s="53" t="n">
        <v>46091</v>
      </c>
      <c r="AD3458" s="18" t="n">
        <f aca="false">EDATE(AC3458,3)-1</f>
        <v>46182</v>
      </c>
      <c r="AE3458" s="18" t="s">
        <v>44</v>
      </c>
    </row>
    <row r="3459" customFormat="false" ht="15" hidden="false" customHeight="true" outlineLevel="0" collapsed="false">
      <c r="A3459" s="12" t="n">
        <v>22075</v>
      </c>
      <c r="B3459" s="13" t="s">
        <v>14165</v>
      </c>
      <c r="C3459" s="14" t="n">
        <v>46092</v>
      </c>
      <c r="D3459" s="13" t="s">
        <v>5726</v>
      </c>
      <c r="E3459" s="15" t="s">
        <v>47</v>
      </c>
      <c r="F3459" s="15" t="str">
        <f aca="false">IFERROR(__xludf.dummyfunction("XLOOKUP(AJ3459,IMPORTRANGE(""1XaInW9DU9nz21V0tYIfzFQ0He9kVQ_JF2mCXgZ3hqFA"",""REKAP ALL 2026 - Andika!G:G""),IMPORTRANGE(""1XaInW9DU9nz21V0tYIfzFQ0He9kVQ_JF2mCXgZ3hqFA"",""REKAP ALL 2026 - Andika!F:F""),"""",0)"),"26046410614")</f>
        <v>26046410614</v>
      </c>
      <c r="G3459" s="15" t="s">
        <v>14166</v>
      </c>
      <c r="H3459" s="13" t="s">
        <v>35</v>
      </c>
      <c r="I3459" s="13" t="str">
        <f aca="false">IF(C3459=J3459,"NEW KONTRAK","RE-KONTRAK")</f>
        <v>NEW KONTRAK</v>
      </c>
      <c r="J3459" s="16" t="n">
        <f aca="false" t="array" ref="J3459:J3459">IFERROR(INDEX(AC3459:AE3459,IF(COUNTA(AC3459:AE3459)=0,"",MAX((AC3459:AE3459&lt;&gt;"")*(COLUMN(AC3459:AE3459)-(COLUMN(AC3459)))))-1),"")</f>
        <v>46092</v>
      </c>
      <c r="K3459" s="16" t="n">
        <f aca="false" t="array" ref="K3459:K3459">IFERROR(INDEX(AC3459:AE3459,IF(COUNTA(AC3459:AE3459)=0,"",MAX((AC3459:AE3459&lt;&gt;"")*(COLUMN(AC3459:AE3459)-(COLUMN(AC3459)-1))))-1),"")</f>
        <v>46183</v>
      </c>
      <c r="L3459" s="17" t="str">
        <f aca="false" t="array" ref="L3459:L3459">IFERROR(INDEX(AC3459:AE3459,IF(COUNTA(AC3459:AE3459)=0,"",MAX((AC3459:AE3459&lt;&gt;"")*(COLUMN(AC3459:AE3459)-(COLUMN(AC3459)-2))))-1),"")</f>
        <v>ARCHIVED</v>
      </c>
      <c r="M3459" s="13" t="n">
        <f aca="true">K3459-TODAY()</f>
        <v>-141</v>
      </c>
      <c r="N3459" s="18" t="s">
        <v>615</v>
      </c>
      <c r="O3459" s="13" t="s">
        <v>5783</v>
      </c>
      <c r="P3459" s="19" t="n">
        <v>5176101</v>
      </c>
      <c r="Q3459" s="20" t="s">
        <v>14167</v>
      </c>
      <c r="R3459" s="13" t="s">
        <v>241</v>
      </c>
      <c r="S3459" s="14" t="n">
        <v>34978</v>
      </c>
      <c r="T3459" s="13" t="s">
        <v>108</v>
      </c>
      <c r="U3459" s="13" t="s">
        <v>14168</v>
      </c>
      <c r="V3459" s="13" t="s">
        <v>42</v>
      </c>
      <c r="W3459" s="13" t="s">
        <v>54</v>
      </c>
      <c r="X3459" s="21" t="n">
        <v>81332413806</v>
      </c>
      <c r="Y3459" s="22" t="str">
        <f aca="false">O3459</f>
        <v>QC</v>
      </c>
      <c r="Z3459" s="13" t="str">
        <f aca="false">IFERROR(__xludf.dummyfunction("if(BJ3459="""","""",GOOGLETRANSLATE(BJ3459,""auto"",""en""))"),"QC")</f>
        <v>QC</v>
      </c>
      <c r="AA3459" s="23" t="str">
        <f aca="false">IF(C3459="","", CHOOSE(MONTH(C3459),"January","February","March","April","May","June","July","August","September","October","November","December")&amp;" "&amp;DAY(C3459)&amp;MID("thstndrdth",MIN(9,2*RIGHT(DAY(C3459))*(MOD(DAY(C3459)-11,100)&gt;2)+1),2)&amp;","&amp;TEXT(C3459," yyyy"))</f>
        <v>March 11th,2026</v>
      </c>
      <c r="AB3459" s="15" t="str">
        <f aca="true">IF(S3459="","",DATEDIF(S3459,TODAY(),"Y")&amp;" Tahun, "&amp;DATEDIF(S3459,TODAY(),"YM")&amp;" Bulan, "&amp;DATEDIF(S3459,TODAY(),"MD")&amp;" Hari")</f>
        <v>31 Tahun, 0 Bulan, 23 Hari</v>
      </c>
      <c r="AC3459" s="53" t="n">
        <v>46092</v>
      </c>
      <c r="AD3459" s="18" t="n">
        <f aca="false">EDATE(AC3459,3)-1</f>
        <v>46183</v>
      </c>
      <c r="AE3459" s="18" t="s">
        <v>44</v>
      </c>
    </row>
    <row r="3460" customFormat="false" ht="15" hidden="false" customHeight="true" outlineLevel="0" collapsed="false">
      <c r="A3460" s="12" t="n">
        <v>22076</v>
      </c>
      <c r="B3460" s="13" t="s">
        <v>14169</v>
      </c>
      <c r="C3460" s="16" t="n">
        <v>46143</v>
      </c>
      <c r="D3460" s="13" t="s">
        <v>4045</v>
      </c>
      <c r="E3460" s="15" t="s">
        <v>47</v>
      </c>
      <c r="F3460" s="24" t="s">
        <v>14170</v>
      </c>
      <c r="G3460" s="13" t="s">
        <v>4046</v>
      </c>
      <c r="H3460" s="13" t="s">
        <v>35</v>
      </c>
      <c r="I3460" s="13" t="str">
        <f aca="false">IF(C3460=J3460,"NEW KONTRAK","RE-KONTRAK")</f>
        <v>NEW KONTRAK</v>
      </c>
      <c r="J3460" s="16" t="n">
        <f aca="false" t="array" ref="J3460:J3460">IFERROR(INDEX(AC3460:AE3460,IF(COUNTA(AC3460:AE3460)=0,"",MAX((AC3460:AE3460&lt;&gt;"")*(COLUMN(AC3460:AE3460)-(COLUMN(AC3460)))))-1),"")</f>
        <v>46143</v>
      </c>
      <c r="K3460" s="16" t="n">
        <f aca="false" t="array" ref="K3460:K3460">IFERROR(INDEX(AC3460:AE3460,IF(COUNTA(AC3460:AE3460)=0,"",MAX((AC3460:AE3460&lt;&gt;"")*(COLUMN(AC3460:AE3460)-(COLUMN(AC3460)-1))))-1),"")</f>
        <v>46326</v>
      </c>
      <c r="L3460" s="17" t="str">
        <f aca="false" t="array" ref="L3460:L3460">IFERROR(INDEX(AC3460:AE3460,IF(COUNTA(AC3460:AE3460)=0,"",MAX((AC3460:AE3460&lt;&gt;"")*(COLUMN(AC3460:AE3460)-(COLUMN(AC3460)-2))))-1),"")</f>
        <v>ARCHIVED</v>
      </c>
      <c r="M3460" s="13" t="n">
        <f aca="true">K3460-TODAY()</f>
        <v>2</v>
      </c>
      <c r="N3460" s="18" t="s">
        <v>615</v>
      </c>
      <c r="O3460" s="13" t="s">
        <v>14171</v>
      </c>
      <c r="P3460" s="19" t="n">
        <v>5750000</v>
      </c>
      <c r="Q3460" s="47" t="s">
        <v>14172</v>
      </c>
      <c r="R3460" s="13" t="s">
        <v>14173</v>
      </c>
      <c r="S3460" s="16" t="n">
        <v>36250</v>
      </c>
      <c r="T3460" s="28" t="s">
        <v>40</v>
      </c>
      <c r="U3460" s="13" t="s">
        <v>14174</v>
      </c>
      <c r="V3460" s="13" t="s">
        <v>42</v>
      </c>
      <c r="W3460" s="13" t="s">
        <v>43</v>
      </c>
      <c r="X3460" s="21" t="n">
        <v>83850751534</v>
      </c>
      <c r="Y3460" s="22" t="str">
        <f aca="false">O3460</f>
        <v>SAP Assistant</v>
      </c>
      <c r="Z3460" s="13" t="str">
        <f aca="false">IFERROR(__xludf.dummyfunction("if(BJ3460="""","""",GOOGLETRANSLATE(BJ3460,""auto"",""en""))"),"SAP Assistant")</f>
        <v>SAP Assistant</v>
      </c>
      <c r="AA3460" s="23" t="str">
        <f aca="false">IF(C3460="","", CHOOSE(MONTH(C3460),"January","February","March","April","May","June","July","August","September","October","November","December")&amp;" "&amp;DAY(C3460)&amp;MID("thstndrdth",MIN(9,2*RIGHT(DAY(C3460))*(MOD(DAY(C3460)-11,100)&gt;2)+1),2)&amp;","&amp;TEXT(C3460," yyyy"))</f>
        <v>May 1st,2026</v>
      </c>
      <c r="AB3460" s="15" t="str">
        <f aca="true">IF(S3460="","",DATEDIF(S3460,TODAY(),"Y")&amp;" Tahun, "&amp;DATEDIF(S3460,TODAY(),"YM")&amp;" Bulan, "&amp;DATEDIF(S3460,TODAY(),"MD")&amp;" Hari")</f>
        <v>27 Tahun, 6 Bulan, 28 Hari</v>
      </c>
      <c r="AC3460" s="18" t="n">
        <v>46143</v>
      </c>
      <c r="AD3460" s="18" t="n">
        <f aca="false">EDATE(AC3460,6)-1</f>
        <v>46326</v>
      </c>
      <c r="AE3460" s="13" t="s">
        <v>44</v>
      </c>
    </row>
    <row r="3461" customFormat="false" ht="15" hidden="false" customHeight="true" outlineLevel="0" collapsed="false">
      <c r="A3461" s="12" t="n">
        <v>22077</v>
      </c>
      <c r="B3461" s="13" t="s">
        <v>14175</v>
      </c>
      <c r="C3461" s="16" t="n">
        <v>46120</v>
      </c>
      <c r="D3461" s="13" t="s">
        <v>7948</v>
      </c>
      <c r="E3461" s="15" t="s">
        <v>7949</v>
      </c>
      <c r="F3461" s="15" t="str">
        <f aca="false">IFERROR(__xludf.dummyfunction("XLOOKUP(AJ3461,IMPORTRANGE(""1XaInW9DU9nz21V0tYIfzFQ0He9kVQ_JF2mCXgZ3hqFA"",""REKAP ALL 2026 - Andika!G:G""),IMPORTRANGE(""1XaInW9DU9nz21V0tYIfzFQ0He9kVQ_JF2mCXgZ3hqFA"",""REKAP ALL 2026 - Andika!F:F""),"""",0)"),"26062983809")</f>
        <v>26062983809</v>
      </c>
      <c r="G3461" s="13" t="s">
        <v>57</v>
      </c>
      <c r="H3461" s="13" t="s">
        <v>3024</v>
      </c>
      <c r="I3461" s="13" t="str">
        <f aca="false">IF(C3461=J3461,"NEW KONTRAK","RE-KONTRAK")</f>
        <v>NEW KONTRAK</v>
      </c>
      <c r="J3461" s="16" t="n">
        <f aca="false" t="array" ref="J3461:J3461">IFERROR(INDEX(AC3461:AE3461,IF(COUNTA(AC3461:AE3461)=0,"",MAX((AC3461:AE3461&lt;&gt;"")*(COLUMN(AC3461:AE3461)-(COLUMN(AC3461)))))-1),"")</f>
        <v>46120</v>
      </c>
      <c r="K3461" s="16" t="n">
        <f aca="false" t="array" ref="K3461:K3461">IFERROR(INDEX(AC3461:AE3461,IF(COUNTA(AC3461:AE3461)=0,"",MAX((AC3461:AE3461&lt;&gt;"")*(COLUMN(AC3461:AE3461)-(COLUMN(AC3461)-1))))-1),"")</f>
        <v>46210</v>
      </c>
      <c r="L3461" s="17" t="str">
        <f aca="false" t="array" ref="L3461:L3461">IFERROR(INDEX(AC3461:AE3461,IF(COUNTA(AC3461:AE3461)=0,"",MAX((AC3461:AE3461&lt;&gt;"")*(COLUMN(AC3461:AE3461)-(COLUMN(AC3461)-2))))-1),"")</f>
        <v>KEMBALI ONLINE</v>
      </c>
      <c r="M3461" s="13" t="n">
        <f aca="true">K3461-TODAY()</f>
        <v>-114</v>
      </c>
      <c r="N3461" s="18" t="s">
        <v>4051</v>
      </c>
      <c r="O3461" s="13" t="s">
        <v>7951</v>
      </c>
      <c r="P3461" s="19" t="n">
        <v>210000</v>
      </c>
      <c r="Q3461" s="47" t="s">
        <v>14176</v>
      </c>
      <c r="R3461" s="13" t="s">
        <v>232</v>
      </c>
      <c r="S3461" s="16" t="n">
        <v>34853</v>
      </c>
      <c r="T3461" s="28" t="s">
        <v>40</v>
      </c>
      <c r="U3461" s="13" t="s">
        <v>14177</v>
      </c>
      <c r="V3461" s="13" t="s">
        <v>42</v>
      </c>
      <c r="W3461" s="13" t="s">
        <v>54</v>
      </c>
      <c r="X3461" s="30" t="n">
        <v>81100307562</v>
      </c>
      <c r="Y3461" s="22" t="str">
        <f aca="false">O3461</f>
        <v>Mekanik Kiln</v>
      </c>
      <c r="Z3461" s="13" t="str">
        <f aca="false">IFERROR(__xludf.dummyfunction("if(BJ3461="""","""",GOOGLETRANSLATE(BJ3461,""auto"",""en""))"),"Kiln Mechanics")</f>
        <v>Kiln Mechanics</v>
      </c>
      <c r="AA3461" s="23" t="str">
        <f aca="false">IF(C3461="","", CHOOSE(MONTH(C3461),"January","February","March","April","May","June","July","August","September","October","November","December")&amp;" "&amp;DAY(C3461)&amp;MID("thstndrdth",MIN(9,2*RIGHT(DAY(C3461))*(MOD(DAY(C3461)-11,100)&gt;2)+1),2)&amp;","&amp;TEXT(C3461," yyyy"))</f>
        <v>April 8th,2026</v>
      </c>
      <c r="AB3461" s="15" t="str">
        <f aca="true">IF(S3461="","",DATEDIF(S3461,TODAY(),"Y")&amp;" Tahun, "&amp;DATEDIF(S3461,TODAY(),"YM")&amp;" Bulan, "&amp;DATEDIF(S3461,TODAY(),"MD")&amp;" Hari")</f>
        <v>31 Tahun, 4 Bulan, 26 Hari</v>
      </c>
      <c r="AC3461" s="18" t="n">
        <v>46120</v>
      </c>
      <c r="AD3461" s="18" t="n">
        <v>46210</v>
      </c>
      <c r="AE3461" s="13" t="s">
        <v>2387</v>
      </c>
    </row>
    <row r="3462" customFormat="false" ht="15" hidden="false" customHeight="true" outlineLevel="0" collapsed="false">
      <c r="A3462" s="12" t="n">
        <v>22078</v>
      </c>
      <c r="B3462" s="13" t="s">
        <v>14178</v>
      </c>
      <c r="C3462" s="16" t="n">
        <v>46120</v>
      </c>
      <c r="D3462" s="13" t="s">
        <v>7948</v>
      </c>
      <c r="E3462" s="15" t="s">
        <v>7949</v>
      </c>
      <c r="F3462" s="15" t="str">
        <f aca="false">IFERROR(__xludf.dummyfunction("XLOOKUP(AJ3462,IMPORTRANGE(""1XaInW9DU9nz21V0tYIfzFQ0He9kVQ_JF2mCXgZ3hqFA"",""REKAP ALL 2026 - Andika!G:G""),IMPORTRANGE(""1XaInW9DU9nz21V0tYIfzFQ0He9kVQ_JF2mCXgZ3hqFA"",""REKAP ALL 2026 - Andika!F:F""),"""",0)"),"26062983825")</f>
        <v>26062983825</v>
      </c>
      <c r="G3462" s="13" t="s">
        <v>57</v>
      </c>
      <c r="H3462" s="13" t="s">
        <v>3024</v>
      </c>
      <c r="I3462" s="13" t="str">
        <f aca="false">IF(C3462=J3462,"NEW KONTRAK","RE-KONTRAK")</f>
        <v>NEW KONTRAK</v>
      </c>
      <c r="J3462" s="16" t="n">
        <f aca="false" t="array" ref="J3462:J3462">IFERROR(INDEX(AC3462:AE3462,IF(COUNTA(AC3462:AE3462)=0,"",MAX((AC3462:AE3462&lt;&gt;"")*(COLUMN(AC3462:AE3462)-(COLUMN(AC3462)))))-1),"")</f>
        <v>46120</v>
      </c>
      <c r="K3462" s="16" t="n">
        <f aca="false" t="array" ref="K3462:K3462">IFERROR(INDEX(AC3462:AE3462,IF(COUNTA(AC3462:AE3462)=0,"",MAX((AC3462:AE3462&lt;&gt;"")*(COLUMN(AC3462:AE3462)-(COLUMN(AC3462)-1))))-1),"")</f>
        <v>46210</v>
      </c>
      <c r="L3462" s="17" t="str">
        <f aca="false" t="array" ref="L3462:L3462">IFERROR(INDEX(AC3462:AE3462,IF(COUNTA(AC3462:AE3462)=0,"",MAX((AC3462:AE3462&lt;&gt;"")*(COLUMN(AC3462:AE3462)-(COLUMN(AC3462)-2))))-1),"")</f>
        <v>KEMBALI ONLINE</v>
      </c>
      <c r="M3462" s="13" t="n">
        <f aca="true">K3462-TODAY()</f>
        <v>-114</v>
      </c>
      <c r="N3462" s="18" t="s">
        <v>4051</v>
      </c>
      <c r="O3462" s="13" t="s">
        <v>7951</v>
      </c>
      <c r="P3462" s="19" t="n">
        <v>210000</v>
      </c>
      <c r="Q3462" s="47" t="s">
        <v>14179</v>
      </c>
      <c r="R3462" s="13" t="s">
        <v>255</v>
      </c>
      <c r="S3462" s="16" t="n">
        <v>35392</v>
      </c>
      <c r="T3462" s="28" t="s">
        <v>40</v>
      </c>
      <c r="U3462" s="13" t="s">
        <v>14180</v>
      </c>
      <c r="V3462" s="13" t="s">
        <v>42</v>
      </c>
      <c r="W3462" s="13" t="s">
        <v>43</v>
      </c>
      <c r="X3462" s="30" t="n">
        <v>82308635365</v>
      </c>
      <c r="Y3462" s="22" t="str">
        <f aca="false">O3462</f>
        <v>Mekanik Kiln</v>
      </c>
      <c r="Z3462" s="13" t="str">
        <f aca="false">IFERROR(__xludf.dummyfunction("if(BJ3462="""","""",GOOGLETRANSLATE(BJ3462,""auto"",""en""))"),"Kiln Mechanics")</f>
        <v>Kiln Mechanics</v>
      </c>
      <c r="AA3462" s="23" t="str">
        <f aca="false">IF(C3462="","", CHOOSE(MONTH(C3462),"January","February","March","April","May","June","July","August","September","October","November","December")&amp;" "&amp;DAY(C3462)&amp;MID("thstndrdth",MIN(9,2*RIGHT(DAY(C3462))*(MOD(DAY(C3462)-11,100)&gt;2)+1),2)&amp;","&amp;TEXT(C3462," yyyy"))</f>
        <v>April 8th,2026</v>
      </c>
      <c r="AB3462" s="15" t="str">
        <f aca="true">IF(S3462="","",DATEDIF(S3462,TODAY(),"Y")&amp;" Tahun, "&amp;DATEDIF(S3462,TODAY(),"YM")&amp;" Bulan, "&amp;DATEDIF(S3462,TODAY(),"MD")&amp;" Hari")</f>
        <v>29 Tahun, 11 Bulan, 6 Hari</v>
      </c>
      <c r="AC3462" s="18" t="n">
        <v>46120</v>
      </c>
      <c r="AD3462" s="18" t="n">
        <v>46210</v>
      </c>
      <c r="AE3462" s="13" t="s">
        <v>2387</v>
      </c>
    </row>
    <row r="3463" customFormat="false" ht="15" hidden="false" customHeight="true" outlineLevel="0" collapsed="false">
      <c r="A3463" s="12" t="n">
        <v>22079</v>
      </c>
      <c r="B3463" s="13" t="s">
        <v>14181</v>
      </c>
      <c r="C3463" s="16" t="n">
        <v>46120</v>
      </c>
      <c r="D3463" s="13" t="s">
        <v>7948</v>
      </c>
      <c r="E3463" s="15" t="s">
        <v>7949</v>
      </c>
      <c r="F3463" s="15" t="str">
        <f aca="false">IFERROR(__xludf.dummyfunction("XLOOKUP(AJ3463,IMPORTRANGE(""1XaInW9DU9nz21V0tYIfzFQ0He9kVQ_JF2mCXgZ3hqFA"",""REKAP ALL 2026 - Andika!G:G""),IMPORTRANGE(""1XaInW9DU9nz21V0tYIfzFQ0He9kVQ_JF2mCXgZ3hqFA"",""REKAP ALL 2026 - Andika!F:F""),"""",0)"),"26062983841")</f>
        <v>26062983841</v>
      </c>
      <c r="G3463" s="13" t="s">
        <v>57</v>
      </c>
      <c r="H3463" s="13" t="s">
        <v>3024</v>
      </c>
      <c r="I3463" s="13" t="str">
        <f aca="false">IF(C3463=J3463,"NEW KONTRAK","RE-KONTRAK")</f>
        <v>NEW KONTRAK</v>
      </c>
      <c r="J3463" s="16" t="n">
        <f aca="false" t="array" ref="J3463:J3463">IFERROR(INDEX(AC3463:AE3463,IF(COUNTA(AC3463:AE3463)=0,"",MAX((AC3463:AE3463&lt;&gt;"")*(COLUMN(AC3463:AE3463)-(COLUMN(AC3463)))))-1),"")</f>
        <v>46120</v>
      </c>
      <c r="K3463" s="16" t="n">
        <f aca="false" t="array" ref="K3463:K3463">IFERROR(INDEX(AC3463:AE3463,IF(COUNTA(AC3463:AE3463)=0,"",MAX((AC3463:AE3463&lt;&gt;"")*(COLUMN(AC3463:AE3463)-(COLUMN(AC3463)-1))))-1),"")</f>
        <v>46210</v>
      </c>
      <c r="L3463" s="17" t="str">
        <f aca="false" t="array" ref="L3463:L3463">IFERROR(INDEX(AC3463:AE3463,IF(COUNTA(AC3463:AE3463)=0,"",MAX((AC3463:AE3463&lt;&gt;"")*(COLUMN(AC3463:AE3463)-(COLUMN(AC3463)-2))))-1),"")</f>
        <v>KEMBALI ONLINE</v>
      </c>
      <c r="M3463" s="13" t="n">
        <f aca="true">K3463-TODAY()</f>
        <v>-114</v>
      </c>
      <c r="N3463" s="18" t="s">
        <v>4051</v>
      </c>
      <c r="O3463" s="13" t="s">
        <v>7951</v>
      </c>
      <c r="P3463" s="19" t="n">
        <v>210000</v>
      </c>
      <c r="Q3463" s="47" t="s">
        <v>14182</v>
      </c>
      <c r="R3463" s="13" t="s">
        <v>73</v>
      </c>
      <c r="S3463" s="16" t="n">
        <v>37427</v>
      </c>
      <c r="T3463" s="28" t="s">
        <v>40</v>
      </c>
      <c r="U3463" s="13" t="s">
        <v>14183</v>
      </c>
      <c r="V3463" s="13" t="s">
        <v>42</v>
      </c>
      <c r="W3463" s="13" t="s">
        <v>43</v>
      </c>
      <c r="X3463" s="30" t="n">
        <v>85319518023</v>
      </c>
      <c r="Y3463" s="22" t="str">
        <f aca="false">O3463</f>
        <v>Mekanik Kiln</v>
      </c>
      <c r="Z3463" s="13" t="str">
        <f aca="false">IFERROR(__xludf.dummyfunction("if(BJ3463="""","""",GOOGLETRANSLATE(BJ3463,""auto"",""en""))"),"Kiln Mechanics")</f>
        <v>Kiln Mechanics</v>
      </c>
      <c r="AA3463" s="23" t="str">
        <f aca="false">IF(C3463="","", CHOOSE(MONTH(C3463),"January","February","March","April","May","June","July","August","September","October","November","December")&amp;" "&amp;DAY(C3463)&amp;MID("thstndrdth",MIN(9,2*RIGHT(DAY(C3463))*(MOD(DAY(C3463)-11,100)&gt;2)+1),2)&amp;","&amp;TEXT(C3463," yyyy"))</f>
        <v>April 8th,2026</v>
      </c>
      <c r="AB3463" s="15" t="str">
        <f aca="true">IF(S3463="","",DATEDIF(S3463,TODAY(),"Y")&amp;" Tahun, "&amp;DATEDIF(S3463,TODAY(),"YM")&amp;" Bulan, "&amp;DATEDIF(S3463,TODAY(),"MD")&amp;" Hari")</f>
        <v>24 Tahun, 4 Bulan, 9 Hari</v>
      </c>
      <c r="AC3463" s="18" t="n">
        <v>46120</v>
      </c>
      <c r="AD3463" s="18" t="n">
        <v>46210</v>
      </c>
      <c r="AE3463" s="13" t="s">
        <v>2387</v>
      </c>
    </row>
    <row r="3464" customFormat="false" ht="15" hidden="false" customHeight="true" outlineLevel="0" collapsed="false">
      <c r="A3464" s="12" t="n">
        <v>22080</v>
      </c>
      <c r="B3464" s="13" t="s">
        <v>14184</v>
      </c>
      <c r="C3464" s="16" t="n">
        <v>46120</v>
      </c>
      <c r="D3464" s="13" t="s">
        <v>14185</v>
      </c>
      <c r="E3464" s="15" t="s">
        <v>33</v>
      </c>
      <c r="F3464" s="15" t="str">
        <f aca="false">IFERROR(__xludf.dummyfunction("XLOOKUP(AJ3464,IMPORTRANGE(""1XaInW9DU9nz21V0tYIfzFQ0He9kVQ_JF2mCXgZ3hqFA"",""REKAP ALL 2026 - Andika!G:G""),IMPORTRANGE(""1XaInW9DU9nz21V0tYIfzFQ0He9kVQ_JF2mCXgZ3hqFA"",""REKAP ALL 2026 - Andika!F:F""),"""",0)"),"26062984732")</f>
        <v>26062984732</v>
      </c>
      <c r="G3464" s="28" t="s">
        <v>57</v>
      </c>
      <c r="H3464" s="13" t="s">
        <v>3024</v>
      </c>
      <c r="I3464" s="13" t="str">
        <f aca="false">IF(C3464=J3464,"NEW KONTRAK","RE-KONTRAK")</f>
        <v>NEW KONTRAK</v>
      </c>
      <c r="J3464" s="16" t="n">
        <f aca="false" t="array" ref="J3464:J3464">IFERROR(INDEX(AC3464:AE3464,IF(COUNTA(AC3464:AE3464)=0,"",MAX((AC3464:AE3464&lt;&gt;"")*(COLUMN(AC3464:AE3464)-(COLUMN(AC3464)))))-1),"")</f>
        <v>46120</v>
      </c>
      <c r="K3464" s="16" t="n">
        <f aca="false" t="array" ref="K3464:K3464">IFERROR(INDEX(AC3464:AE3464,IF(COUNTA(AC3464:AE3464)=0,"",MAX((AC3464:AE3464&lt;&gt;"")*(COLUMN(AC3464:AE3464)-(COLUMN(AC3464)-1))))-1),"")</f>
        <v>46210</v>
      </c>
      <c r="L3464" s="17" t="str">
        <f aca="false" t="array" ref="L3464:L3464">IFERROR(INDEX(AC3464:AE3464,IF(COUNTA(AC3464:AE3464)=0,"",MAX((AC3464:AE3464&lt;&gt;"")*(COLUMN(AC3464:AE3464)-(COLUMN(AC3464)-2))))-1),"")</f>
        <v>KEMBALI</v>
      </c>
      <c r="M3464" s="13" t="n">
        <f aca="true">K3464-TODAY()</f>
        <v>-114</v>
      </c>
      <c r="N3464" s="50" t="s">
        <v>728</v>
      </c>
      <c r="O3464" s="13" t="s">
        <v>11196</v>
      </c>
      <c r="P3464" s="19" t="n">
        <v>120000</v>
      </c>
      <c r="Q3464" s="47" t="s">
        <v>14186</v>
      </c>
      <c r="R3464" s="13" t="s">
        <v>232</v>
      </c>
      <c r="S3464" s="16" t="n">
        <v>37497</v>
      </c>
      <c r="T3464" s="28" t="s">
        <v>40</v>
      </c>
      <c r="U3464" s="13" t="s">
        <v>14187</v>
      </c>
      <c r="V3464" s="13" t="s">
        <v>42</v>
      </c>
      <c r="W3464" s="13" t="s">
        <v>43</v>
      </c>
      <c r="X3464" s="30" t="n">
        <v>87706174451</v>
      </c>
      <c r="Y3464" s="22" t="str">
        <f aca="false">O3464</f>
        <v>Helper Gudang</v>
      </c>
      <c r="Z3464" s="13" t="str">
        <f aca="false">IFERROR(__xludf.dummyfunction("if(BJ3464="""","""",GOOGLETRANSLATE(BJ3464,""auto"",""en""))"),"Helper Gudang")</f>
        <v>Helper Gudang</v>
      </c>
      <c r="AA3464" s="23" t="str">
        <f aca="false">IF(C3464="","", CHOOSE(MONTH(C3464),"January","February","March","April","May","June","July","August","September","October","November","December")&amp;" "&amp;DAY(C3464)&amp;MID("thstndrdth",MIN(9,2*RIGHT(DAY(C3464))*(MOD(DAY(C3464)-11,100)&gt;2)+1),2)&amp;","&amp;TEXT(C3464," yyyy"))</f>
        <v>April 8th,2026</v>
      </c>
      <c r="AB3464" s="15" t="str">
        <f aca="true">IF(S3464="","",DATEDIF(S3464,TODAY(),"Y")&amp;" Tahun, "&amp;DATEDIF(S3464,TODAY(),"YM")&amp;" Bulan, "&amp;DATEDIF(S3464,TODAY(),"MD")&amp;" Hari")</f>
        <v>24 Tahun, 2 Bulan, 0 Hari</v>
      </c>
      <c r="AC3464" s="18" t="n">
        <v>46120</v>
      </c>
      <c r="AD3464" s="18" t="n">
        <f aca="false">EDATE(AC3464,3)-1</f>
        <v>46210</v>
      </c>
      <c r="AE3464" s="13" t="s">
        <v>397</v>
      </c>
    </row>
    <row r="3465" customFormat="false" ht="15" hidden="false" customHeight="true" outlineLevel="0" collapsed="false">
      <c r="A3465" s="12" t="n">
        <v>22081</v>
      </c>
      <c r="B3465" s="13" t="s">
        <v>14188</v>
      </c>
      <c r="C3465" s="16" t="n">
        <v>46120</v>
      </c>
      <c r="D3465" s="13" t="s">
        <v>14185</v>
      </c>
      <c r="E3465" s="15" t="s">
        <v>33</v>
      </c>
      <c r="F3465" s="15" t="str">
        <f aca="false">IFERROR(__xludf.dummyfunction("XLOOKUP(AJ3465,IMPORTRANGE(""1XaInW9DU9nz21V0tYIfzFQ0He9kVQ_JF2mCXgZ3hqFA"",""REKAP ALL 2026 - Andika!G:G""),IMPORTRANGE(""1XaInW9DU9nz21V0tYIfzFQ0He9kVQ_JF2mCXgZ3hqFA"",""REKAP ALL 2026 - Andika!F:F""),"""",0)"),"26062983577")</f>
        <v>26062983577</v>
      </c>
      <c r="G3465" s="28" t="s">
        <v>57</v>
      </c>
      <c r="H3465" s="13" t="s">
        <v>3024</v>
      </c>
      <c r="I3465" s="13" t="str">
        <f aca="false">IF(C3465=J3465,"NEW KONTRAK","RE-KONTRAK")</f>
        <v>RE-KONTRAK</v>
      </c>
      <c r="J3465" s="16" t="n">
        <f aca="false" t="array" ref="J3465:J3465">IFERROR(INDEX(AC3465:AE3465,IF(COUNTA(AC3465:AE3465)=0,"",MAX((AC3465:AE3465&lt;&gt;"")*(COLUMN(AC3465:AE3465)-(COLUMN(AC3465)))))-1),"")</f>
        <v>46121</v>
      </c>
      <c r="K3465" s="16" t="n">
        <f aca="false" t="array" ref="K3465:K3465">IFERROR(INDEX(AC3465:AE3465,IF(COUNTA(AC3465:AE3465)=0,"",MAX((AC3465:AE3465&lt;&gt;"")*(COLUMN(AC3465:AE3465)-(COLUMN(AC3465)-1))))-1),"")</f>
        <v>46211</v>
      </c>
      <c r="L3465" s="17" t="str">
        <f aca="false" t="array" ref="L3465:L3465">IFERROR(INDEX(AC3465:AE3465,IF(COUNTA(AC3465:AE3465)=0,"",MAX((AC3465:AE3465&lt;&gt;"")*(COLUMN(AC3465:AE3465)-(COLUMN(AC3465)-2))))-1),"")</f>
        <v>KEMBALI</v>
      </c>
      <c r="M3465" s="13" t="n">
        <f aca="true">K3465-TODAY()</f>
        <v>-113</v>
      </c>
      <c r="N3465" s="50" t="s">
        <v>728</v>
      </c>
      <c r="O3465" s="13" t="s">
        <v>11196</v>
      </c>
      <c r="P3465" s="19" t="n">
        <v>120000</v>
      </c>
      <c r="Q3465" s="47" t="s">
        <v>14189</v>
      </c>
      <c r="R3465" s="13" t="s">
        <v>52</v>
      </c>
      <c r="S3465" s="16" t="n">
        <v>35731</v>
      </c>
      <c r="T3465" s="28" t="s">
        <v>40</v>
      </c>
      <c r="U3465" s="13" t="s">
        <v>14190</v>
      </c>
      <c r="V3465" s="13" t="s">
        <v>42</v>
      </c>
      <c r="W3465" s="13" t="s">
        <v>43</v>
      </c>
      <c r="X3465" s="30" t="n">
        <v>89805349493</v>
      </c>
      <c r="Y3465" s="22" t="str">
        <f aca="false">O3465</f>
        <v>Helper Gudang</v>
      </c>
      <c r="Z3465" s="13" t="str">
        <f aca="false">IFERROR(__xludf.dummyfunction("if(BJ3465="""","""",GOOGLETRANSLATE(BJ3465,""auto"",""en""))"),"Helper Gudang")</f>
        <v>Helper Gudang</v>
      </c>
      <c r="AA3465" s="23" t="str">
        <f aca="false">IF(C3465="","", CHOOSE(MONTH(C3465),"January","February","March","April","May","June","July","August","September","October","November","December")&amp;" "&amp;DAY(C3465)&amp;MID("thstndrdth",MIN(9,2*RIGHT(DAY(C3465))*(MOD(DAY(C3465)-11,100)&gt;2)+1),2)&amp;","&amp;TEXT(C3465," yyyy"))</f>
        <v>April 8th,2026</v>
      </c>
      <c r="AB3465" s="15" t="str">
        <f aca="true">IF(S3465="","",DATEDIF(S3465,TODAY(),"Y")&amp;" Tahun, "&amp;DATEDIF(S3465,TODAY(),"YM")&amp;" Bulan, "&amp;DATEDIF(S3465,TODAY(),"MD")&amp;" Hari")</f>
        <v>29 Tahun, 0 Bulan, 1 Hari</v>
      </c>
      <c r="AC3465" s="18" t="n">
        <v>46121</v>
      </c>
      <c r="AD3465" s="18" t="n">
        <f aca="false">EDATE(AC3465,3)-1</f>
        <v>46211</v>
      </c>
      <c r="AE3465" s="13" t="s">
        <v>397</v>
      </c>
    </row>
    <row r="3466" customFormat="false" ht="15" hidden="false" customHeight="true" outlineLevel="0" collapsed="false">
      <c r="A3466" s="12" t="n">
        <v>22082</v>
      </c>
      <c r="B3466" s="13" t="s">
        <v>14191</v>
      </c>
      <c r="C3466" s="16" t="n">
        <v>46120</v>
      </c>
      <c r="D3466" s="13" t="s">
        <v>14185</v>
      </c>
      <c r="E3466" s="15" t="s">
        <v>789</v>
      </c>
      <c r="F3466" s="15" t="str">
        <f aca="false">IFERROR(__xludf.dummyfunction("XLOOKUP(AJ3466,IMPORTRANGE(""1XaInW9DU9nz21V0tYIfzFQ0He9kVQ_JF2mCXgZ3hqFA"",""REKAP ALL 2026 - Andika!G:G""),IMPORTRANGE(""1XaInW9DU9nz21V0tYIfzFQ0He9kVQ_JF2mCXgZ3hqFA"",""REKAP ALL 2026 - Andika!F:F""),"""",0)"),"26062983593")</f>
        <v>26062983593</v>
      </c>
      <c r="G3466" s="28" t="s">
        <v>57</v>
      </c>
      <c r="H3466" s="13" t="s">
        <v>3024</v>
      </c>
      <c r="I3466" s="13" t="str">
        <f aca="false">IF(C3466=J3466,"NEW KONTRAK","RE-KONTRAK")</f>
        <v>RE-KONTRAK</v>
      </c>
      <c r="J3466" s="16" t="n">
        <f aca="false" t="array" ref="J3466:J3466">IFERROR(INDEX(AC3466:AE3466,IF(COUNTA(AC3466:AE3466)=0,"",MAX((AC3466:AE3466&lt;&gt;"")*(COLUMN(AC3466:AE3466)-(COLUMN(AC3466)))))-1),"")</f>
        <v>46121</v>
      </c>
      <c r="K3466" s="16" t="n">
        <f aca="false" t="array" ref="K3466:K3466">IFERROR(INDEX(AC3466:AE3466,IF(COUNTA(AC3466:AE3466)=0,"",MAX((AC3466:AE3466&lt;&gt;"")*(COLUMN(AC3466:AE3466)-(COLUMN(AC3466)-1))))-1),"")</f>
        <v>46211</v>
      </c>
      <c r="L3466" s="17" t="str">
        <f aca="false" t="array" ref="L3466:L3466">IFERROR(INDEX(AC3466:AE3466,IF(COUNTA(AC3466:AE3466)=0,"",MAX((AC3466:AE3466&lt;&gt;"")*(COLUMN(AC3466:AE3466)-(COLUMN(AC3466)-2))))-1),"")</f>
        <v>KEMBALI</v>
      </c>
      <c r="M3466" s="13" t="n">
        <f aca="true">K3466-TODAY()</f>
        <v>-113</v>
      </c>
      <c r="N3466" s="50" t="s">
        <v>728</v>
      </c>
      <c r="O3466" s="13" t="s">
        <v>11196</v>
      </c>
      <c r="P3466" s="19" t="n">
        <v>120000</v>
      </c>
      <c r="Q3466" s="47" t="s">
        <v>14192</v>
      </c>
      <c r="R3466" s="13" t="s">
        <v>52</v>
      </c>
      <c r="S3466" s="16" t="n">
        <v>36946</v>
      </c>
      <c r="T3466" s="28" t="s">
        <v>40</v>
      </c>
      <c r="U3466" s="13" t="s">
        <v>14193</v>
      </c>
      <c r="V3466" s="13" t="s">
        <v>42</v>
      </c>
      <c r="W3466" s="13" t="s">
        <v>43</v>
      </c>
      <c r="X3466" s="21" t="n">
        <v>81246807329</v>
      </c>
      <c r="Y3466" s="22" t="str">
        <f aca="false">O3466</f>
        <v>Helper Gudang</v>
      </c>
      <c r="Z3466" s="13" t="str">
        <f aca="false">IFERROR(__xludf.dummyfunction("if(BJ3466="""","""",GOOGLETRANSLATE(BJ3466,""auto"",""en""))"),"Helper Gudang")</f>
        <v>Helper Gudang</v>
      </c>
      <c r="AA3466" s="23" t="str">
        <f aca="false">IF(C3466="","", CHOOSE(MONTH(C3466),"January","February","March","April","May","June","July","August","September","October","November","December")&amp;" "&amp;DAY(C3466)&amp;MID("thstndrdth",MIN(9,2*RIGHT(DAY(C3466))*(MOD(DAY(C3466)-11,100)&gt;2)+1),2)&amp;","&amp;TEXT(C3466," yyyy"))</f>
        <v>April 8th,2026</v>
      </c>
      <c r="AB3466" s="15" t="str">
        <f aca="true">IF(S3466="","",DATEDIF(S3466,TODAY(),"Y")&amp;" Tahun, "&amp;DATEDIF(S3466,TODAY(),"YM")&amp;" Bulan, "&amp;DATEDIF(S3466,TODAY(),"MD")&amp;" Hari")</f>
        <v>25 Tahun, 8 Bulan, 5 Hari</v>
      </c>
      <c r="AC3466" s="18" t="n">
        <v>46121</v>
      </c>
      <c r="AD3466" s="18" t="n">
        <f aca="false">EDATE(AC3466,3)-1</f>
        <v>46211</v>
      </c>
      <c r="AE3466" s="13" t="s">
        <v>397</v>
      </c>
    </row>
    <row r="3467" customFormat="false" ht="15" hidden="false" customHeight="true" outlineLevel="0" collapsed="false">
      <c r="A3467" s="12" t="n">
        <v>22083</v>
      </c>
      <c r="B3467" s="13" t="s">
        <v>14194</v>
      </c>
      <c r="C3467" s="16" t="n">
        <v>46120</v>
      </c>
      <c r="D3467" s="13" t="s">
        <v>14185</v>
      </c>
      <c r="E3467" s="15" t="s">
        <v>47</v>
      </c>
      <c r="F3467" s="15" t="str">
        <f aca="false">IFERROR(__xludf.dummyfunction("XLOOKUP(AJ3467,IMPORTRANGE(""1XaInW9DU9nz21V0tYIfzFQ0He9kVQ_JF2mCXgZ3hqFA"",""REKAP ALL 2026 - Andika!G:G""),IMPORTRANGE(""1XaInW9DU9nz21V0tYIfzFQ0He9kVQ_JF2mCXgZ3hqFA"",""REKAP ALL 2026 - Andika!F:F""),"""",0)"),"26062983619")</f>
        <v>26062983619</v>
      </c>
      <c r="G3467" s="28" t="s">
        <v>57</v>
      </c>
      <c r="H3467" s="13" t="s">
        <v>3024</v>
      </c>
      <c r="I3467" s="13" t="str">
        <f aca="false">IF(C3467=J3467,"NEW KONTRAK","RE-KONTRAK")</f>
        <v>RE-KONTRAK</v>
      </c>
      <c r="J3467" s="16" t="n">
        <f aca="false" t="array" ref="J3467:J3467">IFERROR(INDEX(AC3467:AE3467,IF(COUNTA(AC3467:AE3467)=0,"",MAX((AC3467:AE3467&lt;&gt;"")*(COLUMN(AC3467:AE3467)-(COLUMN(AC3467)))))-1),"")</f>
        <v>46121</v>
      </c>
      <c r="K3467" s="16" t="n">
        <f aca="false" t="array" ref="K3467:K3467">IFERROR(INDEX(AC3467:AE3467,IF(COUNTA(AC3467:AE3467)=0,"",MAX((AC3467:AE3467&lt;&gt;"")*(COLUMN(AC3467:AE3467)-(COLUMN(AC3467)-1))))-1),"")</f>
        <v>46211</v>
      </c>
      <c r="L3467" s="17" t="str">
        <f aca="false" t="array" ref="L3467:L3467">IFERROR(INDEX(AC3467:AE3467,IF(COUNTA(AC3467:AE3467)=0,"",MAX((AC3467:AE3467&lt;&gt;"")*(COLUMN(AC3467:AE3467)-(COLUMN(AC3467)-2))))-1),"")</f>
        <v>KEMBALI</v>
      </c>
      <c r="M3467" s="13" t="n">
        <f aca="true">K3467-TODAY()</f>
        <v>-113</v>
      </c>
      <c r="N3467" s="50" t="s">
        <v>728</v>
      </c>
      <c r="O3467" s="13" t="s">
        <v>11196</v>
      </c>
      <c r="P3467" s="19" t="n">
        <v>120000</v>
      </c>
      <c r="Q3467" s="47" t="s">
        <v>14195</v>
      </c>
      <c r="R3467" s="13" t="s">
        <v>52</v>
      </c>
      <c r="S3467" s="16" t="n">
        <v>36926</v>
      </c>
      <c r="T3467" s="28" t="s">
        <v>40</v>
      </c>
      <c r="U3467" s="13" t="s">
        <v>14196</v>
      </c>
      <c r="V3467" s="13" t="s">
        <v>42</v>
      </c>
      <c r="W3467" s="13" t="s">
        <v>43</v>
      </c>
      <c r="X3467" s="21" t="n">
        <v>87838447216</v>
      </c>
      <c r="Y3467" s="22" t="str">
        <f aca="false">O3467</f>
        <v>Helper Gudang</v>
      </c>
      <c r="Z3467" s="13" t="str">
        <f aca="false">IFERROR(__xludf.dummyfunction("if(BJ3467="""","""",GOOGLETRANSLATE(BJ3467,""auto"",""en""))"),"Helper Gudang")</f>
        <v>Helper Gudang</v>
      </c>
      <c r="AA3467" s="23" t="str">
        <f aca="false">IF(C3467="","", CHOOSE(MONTH(C3467),"January","February","March","April","May","June","July","August","September","October","November","December")&amp;" "&amp;DAY(C3467)&amp;MID("thstndrdth",MIN(9,2*RIGHT(DAY(C3467))*(MOD(DAY(C3467)-11,100)&gt;2)+1),2)&amp;","&amp;TEXT(C3467," yyyy"))</f>
        <v>April 8th,2026</v>
      </c>
      <c r="AB3467" s="15" t="str">
        <f aca="true">IF(S3467="","",DATEDIF(S3467,TODAY(),"Y")&amp;" Tahun, "&amp;DATEDIF(S3467,TODAY(),"YM")&amp;" Bulan, "&amp;DATEDIF(S3467,TODAY(),"MD")&amp;" Hari")</f>
        <v>25 Tahun, 8 Bulan, 25 Hari</v>
      </c>
      <c r="AC3467" s="18" t="n">
        <v>46121</v>
      </c>
      <c r="AD3467" s="18" t="n">
        <f aca="false">EDATE(AC3467,3)-1</f>
        <v>46211</v>
      </c>
      <c r="AE3467" s="13" t="s">
        <v>397</v>
      </c>
    </row>
    <row r="3468" customFormat="false" ht="15" hidden="false" customHeight="true" outlineLevel="0" collapsed="false">
      <c r="A3468" s="12" t="n">
        <v>22084</v>
      </c>
      <c r="B3468" s="13" t="s">
        <v>14197</v>
      </c>
      <c r="C3468" s="16" t="n">
        <v>46120</v>
      </c>
      <c r="D3468" s="13" t="s">
        <v>14185</v>
      </c>
      <c r="E3468" s="15" t="s">
        <v>33</v>
      </c>
      <c r="F3468" s="15" t="str">
        <f aca="false">IFERROR(__xludf.dummyfunction("XLOOKUP(AJ3468,IMPORTRANGE(""1XaInW9DU9nz21V0tYIfzFQ0He9kVQ_JF2mCXgZ3hqFA"",""REKAP ALL 2026 - Andika!G:G""),IMPORTRANGE(""1XaInW9DU9nz21V0tYIfzFQ0He9kVQ_JF2mCXgZ3hqFA"",""REKAP ALL 2026 - Andika!F:F""),"""",0)"),"26062983536")</f>
        <v>26062983536</v>
      </c>
      <c r="G3468" s="28" t="s">
        <v>57</v>
      </c>
      <c r="H3468" s="13" t="s">
        <v>3024</v>
      </c>
      <c r="I3468" s="13" t="str">
        <f aca="false">IF(C3468=J3468,"NEW KONTRAK","RE-KONTRAK")</f>
        <v>NEW KONTRAK</v>
      </c>
      <c r="J3468" s="16" t="n">
        <f aca="false" t="array" ref="J3468:J3468">IFERROR(INDEX(AC3468:AE3468,IF(COUNTA(AC3468:AE3468)=0,"",MAX((AC3468:AE3468&lt;&gt;"")*(COLUMN(AC3468:AE3468)-(COLUMN(AC3468)))))-1),"")</f>
        <v>46120</v>
      </c>
      <c r="K3468" s="16" t="n">
        <f aca="false" t="array" ref="K3468:K3468">IFERROR(INDEX(AC3468:AE3468,IF(COUNTA(AC3468:AE3468)=0,"",MAX((AC3468:AE3468&lt;&gt;"")*(COLUMN(AC3468:AE3468)-(COLUMN(AC3468)-1))))-1),"")</f>
        <v>46210</v>
      </c>
      <c r="L3468" s="17" t="str">
        <f aca="false" t="array" ref="L3468:L3468">IFERROR(INDEX(AC3468:AE3468,IF(COUNTA(AC3468:AE3468)=0,"",MAX((AC3468:AE3468&lt;&gt;"")*(COLUMN(AC3468:AE3468)-(COLUMN(AC3468)-2))))-1),"")</f>
        <v>KEMBALI</v>
      </c>
      <c r="M3468" s="13" t="n">
        <f aca="true">K3468-TODAY()</f>
        <v>-114</v>
      </c>
      <c r="N3468" s="50" t="s">
        <v>728</v>
      </c>
      <c r="O3468" s="13" t="s">
        <v>11196</v>
      </c>
      <c r="P3468" s="19" t="n">
        <v>120000</v>
      </c>
      <c r="Q3468" s="47" t="s">
        <v>14198</v>
      </c>
      <c r="R3468" s="13" t="s">
        <v>52</v>
      </c>
      <c r="S3468" s="16" t="n">
        <v>35123</v>
      </c>
      <c r="T3468" s="28" t="s">
        <v>40</v>
      </c>
      <c r="U3468" s="13" t="s">
        <v>14199</v>
      </c>
      <c r="V3468" s="13" t="s">
        <v>42</v>
      </c>
      <c r="W3468" s="13" t="s">
        <v>43</v>
      </c>
      <c r="X3468" s="30" t="n">
        <v>89859738320</v>
      </c>
      <c r="Y3468" s="22" t="str">
        <f aca="false">O3468</f>
        <v>Helper Gudang</v>
      </c>
      <c r="Z3468" s="13" t="str">
        <f aca="false">IFERROR(__xludf.dummyfunction("if(BJ3468="""","""",GOOGLETRANSLATE(BJ3468,""auto"",""en""))"),"Helper Gudang")</f>
        <v>Helper Gudang</v>
      </c>
      <c r="AA3468" s="23" t="str">
        <f aca="false">IF(C3468="","", CHOOSE(MONTH(C3468),"January","February","March","April","May","June","July","August","September","October","November","December")&amp;" "&amp;DAY(C3468)&amp;MID("thstndrdth",MIN(9,2*RIGHT(DAY(C3468))*(MOD(DAY(C3468)-11,100)&gt;2)+1),2)&amp;","&amp;TEXT(C3468," yyyy"))</f>
        <v>April 8th,2026</v>
      </c>
      <c r="AB3468" s="15" t="str">
        <f aca="true">IF(S3468="","",DATEDIF(S3468,TODAY(),"Y")&amp;" Tahun, "&amp;DATEDIF(S3468,TODAY(),"YM")&amp;" Bulan, "&amp;DATEDIF(S3468,TODAY(),"MD")&amp;" Hari")</f>
        <v>30 Tahun, 8 Bulan, 1 Hari</v>
      </c>
      <c r="AC3468" s="18" t="n">
        <v>46120</v>
      </c>
      <c r="AD3468" s="18" t="n">
        <f aca="false">EDATE(AC3468,3)-1</f>
        <v>46210</v>
      </c>
      <c r="AE3468" s="13" t="s">
        <v>397</v>
      </c>
    </row>
    <row r="3469" customFormat="false" ht="15" hidden="false" customHeight="true" outlineLevel="0" collapsed="false">
      <c r="A3469" s="12" t="n">
        <v>22085</v>
      </c>
      <c r="B3469" s="13" t="s">
        <v>14200</v>
      </c>
      <c r="C3469" s="16" t="n">
        <v>46120</v>
      </c>
      <c r="D3469" s="13" t="s">
        <v>14185</v>
      </c>
      <c r="E3469" s="15" t="s">
        <v>33</v>
      </c>
      <c r="F3469" s="24" t="s">
        <v>14201</v>
      </c>
      <c r="G3469" s="28" t="s">
        <v>57</v>
      </c>
      <c r="H3469" s="13" t="s">
        <v>3024</v>
      </c>
      <c r="I3469" s="13" t="str">
        <f aca="false">IF(C3469=J3469,"NEW KONTRAK","RE-KONTRAK")</f>
        <v>NEW KONTRAK</v>
      </c>
      <c r="J3469" s="16" t="n">
        <f aca="false" t="array" ref="J3469:J3469">IFERROR(INDEX(AC3469:AE3469,IF(COUNTA(AC3469:AE3469)=0,"",MAX((AC3469:AE3469&lt;&gt;"")*(COLUMN(AC3469:AE3469)-(COLUMN(AC3469)))))-1),"")</f>
        <v>46120</v>
      </c>
      <c r="K3469" s="16" t="n">
        <f aca="false" t="array" ref="K3469:K3469">IFERROR(INDEX(AC3469:AE3469,IF(COUNTA(AC3469:AE3469)=0,"",MAX((AC3469:AE3469&lt;&gt;"")*(COLUMN(AC3469:AE3469)-(COLUMN(AC3469)-1))))-1),"")</f>
        <v>46210</v>
      </c>
      <c r="L3469" s="17" t="str">
        <f aca="false" t="array" ref="L3469:L3469">IFERROR(INDEX(AC3469:AE3469,IF(COUNTA(AC3469:AE3469)=0,"",MAX((AC3469:AE3469&lt;&gt;"")*(COLUMN(AC3469:AE3469)-(COLUMN(AC3469)-2))))-1),"")</f>
        <v>KEMBALI</v>
      </c>
      <c r="M3469" s="13" t="n">
        <f aca="true">K3469-TODAY()</f>
        <v>-114</v>
      </c>
      <c r="N3469" s="50" t="s">
        <v>728</v>
      </c>
      <c r="O3469" s="13" t="s">
        <v>11196</v>
      </c>
      <c r="P3469" s="19" t="n">
        <v>120000</v>
      </c>
      <c r="Q3469" s="47" t="s">
        <v>14202</v>
      </c>
      <c r="R3469" s="13" t="s">
        <v>83</v>
      </c>
      <c r="S3469" s="16" t="n">
        <v>33075</v>
      </c>
      <c r="T3469" s="28" t="s">
        <v>40</v>
      </c>
      <c r="U3469" s="13" t="s">
        <v>14203</v>
      </c>
      <c r="V3469" s="28" t="s">
        <v>1216</v>
      </c>
      <c r="W3469" s="13" t="s">
        <v>43</v>
      </c>
      <c r="X3469" s="30" t="n">
        <v>89603850506</v>
      </c>
      <c r="Y3469" s="22" t="str">
        <f aca="false">O3469</f>
        <v>Helper Gudang</v>
      </c>
      <c r="Z3469" s="13" t="str">
        <f aca="false">IFERROR(__xludf.dummyfunction("if(BJ3469="""","""",GOOGLETRANSLATE(BJ3469,""auto"",""en""))"),"Helper Gudang")</f>
        <v>Helper Gudang</v>
      </c>
      <c r="AA3469" s="23" t="str">
        <f aca="false">IF(C3469="","", CHOOSE(MONTH(C3469),"January","February","March","April","May","June","July","August","September","October","November","December")&amp;" "&amp;DAY(C3469)&amp;MID("thstndrdth",MIN(9,2*RIGHT(DAY(C3469))*(MOD(DAY(C3469)-11,100)&gt;2)+1),2)&amp;","&amp;TEXT(C3469," yyyy"))</f>
        <v>April 8th,2026</v>
      </c>
      <c r="AB3469" s="15" t="str">
        <f aca="true">IF(S3469="","",DATEDIF(S3469,TODAY(),"Y")&amp;" Tahun, "&amp;DATEDIF(S3469,TODAY(),"YM")&amp;" Bulan, "&amp;DATEDIF(S3469,TODAY(),"MD")&amp;" Hari")</f>
        <v>36 Tahun, 3 Bulan, 8 Hari</v>
      </c>
      <c r="AC3469" s="18" t="n">
        <v>46120</v>
      </c>
      <c r="AD3469" s="18" t="n">
        <f aca="false">EDATE(AC3469,3)-1</f>
        <v>46210</v>
      </c>
      <c r="AE3469" s="13" t="s">
        <v>397</v>
      </c>
    </row>
    <row r="3470" customFormat="false" ht="15" hidden="false" customHeight="true" outlineLevel="0" collapsed="false">
      <c r="A3470" s="12" t="n">
        <v>22086</v>
      </c>
      <c r="B3470" s="13" t="s">
        <v>14204</v>
      </c>
      <c r="C3470" s="16" t="n">
        <v>46120</v>
      </c>
      <c r="D3470" s="13" t="s">
        <v>14185</v>
      </c>
      <c r="E3470" s="15" t="s">
        <v>33</v>
      </c>
      <c r="F3470" s="15" t="str">
        <f aca="false">IFERROR(__xludf.dummyfunction("XLOOKUP(AJ3470,IMPORTRANGE(""1XaInW9DU9nz21V0tYIfzFQ0He9kVQ_JF2mCXgZ3hqFA"",""REKAP ALL 2026 - Andika!G:G""),IMPORTRANGE(""1XaInW9DU9nz21V0tYIfzFQ0He9kVQ_JF2mCXgZ3hqFA"",""REKAP ALL 2026 - Andika!F:F""),"""",0)"),"26062983635")</f>
        <v>26062983635</v>
      </c>
      <c r="G3470" s="28" t="s">
        <v>57</v>
      </c>
      <c r="H3470" s="13" t="s">
        <v>3024</v>
      </c>
      <c r="I3470" s="13" t="str">
        <f aca="false">IF(C3470=J3470,"NEW KONTRAK","RE-KONTRAK")</f>
        <v>RE-KONTRAK</v>
      </c>
      <c r="J3470" s="16" t="n">
        <f aca="false" t="array" ref="J3470:J3470">IFERROR(INDEX(AC3470:AE3470,IF(COUNTA(AC3470:AE3470)=0,"",MAX((AC3470:AE3470&lt;&gt;"")*(COLUMN(AC3470:AE3470)-(COLUMN(AC3470)))))-1),"")</f>
        <v>46121</v>
      </c>
      <c r="K3470" s="16" t="n">
        <f aca="false" t="array" ref="K3470:K3470">IFERROR(INDEX(AC3470:AE3470,IF(COUNTA(AC3470:AE3470)=0,"",MAX((AC3470:AE3470&lt;&gt;"")*(COLUMN(AC3470:AE3470)-(COLUMN(AC3470)-1))))-1),"")</f>
        <v>46211</v>
      </c>
      <c r="L3470" s="17" t="str">
        <f aca="false" t="array" ref="L3470:L3470">IFERROR(INDEX(AC3470:AE3470,IF(COUNTA(AC3470:AE3470)=0,"",MAX((AC3470:AE3470&lt;&gt;"")*(COLUMN(AC3470:AE3470)-(COLUMN(AC3470)-2))))-1),"")</f>
        <v>KEMBALI</v>
      </c>
      <c r="M3470" s="13" t="n">
        <f aca="true">K3470-TODAY()</f>
        <v>-113</v>
      </c>
      <c r="N3470" s="50" t="s">
        <v>728</v>
      </c>
      <c r="O3470" s="13" t="s">
        <v>11196</v>
      </c>
      <c r="P3470" s="19" t="n">
        <v>120000</v>
      </c>
      <c r="Q3470" s="47" t="s">
        <v>14205</v>
      </c>
      <c r="R3470" s="13" t="s">
        <v>826</v>
      </c>
      <c r="S3470" s="16" t="n">
        <v>32652</v>
      </c>
      <c r="T3470" s="28" t="s">
        <v>40</v>
      </c>
      <c r="U3470" s="13" t="s">
        <v>14206</v>
      </c>
      <c r="V3470" s="13" t="s">
        <v>42</v>
      </c>
      <c r="W3470" s="13" t="s">
        <v>54</v>
      </c>
      <c r="X3470" s="30" t="n">
        <v>85713836702</v>
      </c>
      <c r="Y3470" s="22" t="str">
        <f aca="false">O3470</f>
        <v>Helper Gudang</v>
      </c>
      <c r="Z3470" s="13" t="str">
        <f aca="false">IFERROR(__xludf.dummyfunction("if(BJ3470="""","""",GOOGLETRANSLATE(BJ3470,""auto"",""en""))"),"Helper Gudang")</f>
        <v>Helper Gudang</v>
      </c>
      <c r="AA3470" s="23" t="str">
        <f aca="false">IF(C3470="","", CHOOSE(MONTH(C3470),"January","February","March","April","May","June","July","August","September","October","November","December")&amp;" "&amp;DAY(C3470)&amp;MID("thstndrdth",MIN(9,2*RIGHT(DAY(C3470))*(MOD(DAY(C3470)-11,100)&gt;2)+1),2)&amp;","&amp;TEXT(C3470," yyyy"))</f>
        <v>April 8th,2026</v>
      </c>
      <c r="AB3470" s="15" t="str">
        <f aca="true">IF(S3470="","",DATEDIF(S3470,TODAY(),"Y")&amp;" Tahun, "&amp;DATEDIF(S3470,TODAY(),"YM")&amp;" Bulan, "&amp;DATEDIF(S3470,TODAY(),"MD")&amp;" Hari")</f>
        <v>37 Tahun, 5 Bulan, 5 Hari</v>
      </c>
      <c r="AC3470" s="18" t="n">
        <v>46121</v>
      </c>
      <c r="AD3470" s="18" t="n">
        <f aca="false">EDATE(AC3470,3)-1</f>
        <v>46211</v>
      </c>
      <c r="AE3470" s="13" t="s">
        <v>397</v>
      </c>
    </row>
    <row r="3471" customFormat="false" ht="15" hidden="false" customHeight="true" outlineLevel="0" collapsed="false">
      <c r="A3471" s="12" t="n">
        <v>22087</v>
      </c>
      <c r="B3471" s="13" t="s">
        <v>14207</v>
      </c>
      <c r="C3471" s="16" t="n">
        <v>46120</v>
      </c>
      <c r="D3471" s="13" t="s">
        <v>10735</v>
      </c>
      <c r="E3471" s="15" t="s">
        <v>13294</v>
      </c>
      <c r="F3471" s="15" t="str">
        <f aca="false">IFERROR(__xludf.dummyfunction("XLOOKUP(AJ3471,IMPORTRANGE(""1XaInW9DU9nz21V0tYIfzFQ0He9kVQ_JF2mCXgZ3hqFA"",""REKAP ALL 2026 - Andika!G:G""),IMPORTRANGE(""1XaInW9DU9nz21V0tYIfzFQ0He9kVQ_JF2mCXgZ3hqFA"",""REKAP ALL 2026 - Andika!F:F""),"""",0)"),"26062993030")</f>
        <v>26062993030</v>
      </c>
      <c r="G3471" s="13" t="s">
        <v>1127</v>
      </c>
      <c r="H3471" s="13" t="s">
        <v>35</v>
      </c>
      <c r="I3471" s="13" t="str">
        <f aca="false">IF(C3471=J3471,"NEW KONTRAK","RE-KONTRAK")</f>
        <v>RE-KONTRAK</v>
      </c>
      <c r="J3471" s="16" t="n">
        <f aca="false" t="array" ref="J3471:J3471">IFERROR(INDEX(AC3471:AE3471,IF(COUNTA(AC3471:AE3471)=0,"",MAX((AC3471:AE3471&lt;&gt;"")*(COLUMN(AC3471:AE3471)-(COLUMN(AC3471)))))-1),"")</f>
        <v>46121</v>
      </c>
      <c r="K3471" s="16" t="n">
        <f aca="false" t="array" ref="K3471:K3471">IFERROR(INDEX(AC3471:AE3471,IF(COUNTA(AC3471:AE3471)=0,"",MAX((AC3471:AE3471&lt;&gt;"")*(COLUMN(AC3471:AE3471)-(COLUMN(AC3471)-1))))-1),"")</f>
        <v>46211</v>
      </c>
      <c r="L3471" s="17" t="str">
        <f aca="false" t="array" ref="L3471:L3471">IFERROR(INDEX(AC3471:AE3471,IF(COUNTA(AC3471:AE3471)=0,"",MAX((AC3471:AE3471&lt;&gt;"")*(COLUMN(AC3471:AE3471)-(COLUMN(AC3471)-2))))-1),"")</f>
        <v>KEMBALI</v>
      </c>
      <c r="M3471" s="13" t="n">
        <f aca="true">K3471-TODAY()</f>
        <v>-113</v>
      </c>
      <c r="N3471" s="50" t="s">
        <v>728</v>
      </c>
      <c r="O3471" s="13" t="s">
        <v>10737</v>
      </c>
      <c r="P3471" s="19" t="n">
        <v>3961753</v>
      </c>
      <c r="Q3471" s="47" t="s">
        <v>14208</v>
      </c>
      <c r="R3471" s="13" t="s">
        <v>52</v>
      </c>
      <c r="S3471" s="16" t="n">
        <v>35453</v>
      </c>
      <c r="T3471" s="28" t="s">
        <v>40</v>
      </c>
      <c r="U3471" s="13" t="s">
        <v>14209</v>
      </c>
      <c r="V3471" s="13" t="s">
        <v>42</v>
      </c>
      <c r="W3471" s="13" t="s">
        <v>43</v>
      </c>
      <c r="X3471" s="21" t="n">
        <v>85133859551</v>
      </c>
      <c r="Y3471" s="22" t="str">
        <f aca="false">O3471</f>
        <v>Sales Taking Order</v>
      </c>
      <c r="Z3471" s="13" t="str">
        <f aca="false">IFERROR(__xludf.dummyfunction("if(BJ3471="""","""",GOOGLETRANSLATE(BJ3471,""auto"",""en""))"),"Sales Taking Order")</f>
        <v>Sales Taking Order</v>
      </c>
      <c r="AA3471" s="23" t="str">
        <f aca="false">IF(C3471="","", CHOOSE(MONTH(C3471),"January","February","March","April","May","June","July","August","September","October","November","December")&amp;" "&amp;DAY(C3471)&amp;MID("thstndrdth",MIN(9,2*RIGHT(DAY(C3471))*(MOD(DAY(C3471)-11,100)&gt;2)+1),2)&amp;","&amp;TEXT(C3471," yyyy"))</f>
        <v>April 8th,2026</v>
      </c>
      <c r="AB3471" s="15" t="str">
        <f aca="true">IF(S3471="","",DATEDIF(S3471,TODAY(),"Y")&amp;" Tahun, "&amp;DATEDIF(S3471,TODAY(),"YM")&amp;" Bulan, "&amp;DATEDIF(S3471,TODAY(),"MD")&amp;" Hari")</f>
        <v>29 Tahun, 9 Bulan, 6 Hari</v>
      </c>
      <c r="AC3471" s="18" t="n">
        <v>46121</v>
      </c>
      <c r="AD3471" s="18" t="n">
        <f aca="false">EDATE(AC3471,3)-1</f>
        <v>46211</v>
      </c>
      <c r="AE3471" s="13" t="s">
        <v>397</v>
      </c>
    </row>
    <row r="3472" customFormat="false" ht="15" hidden="false" customHeight="true" outlineLevel="0" collapsed="false">
      <c r="A3472" s="12" t="n">
        <v>22088</v>
      </c>
      <c r="B3472" s="13" t="s">
        <v>14210</v>
      </c>
      <c r="C3472" s="16" t="n">
        <v>46124</v>
      </c>
      <c r="D3472" s="13" t="s">
        <v>393</v>
      </c>
      <c r="E3472" s="15" t="s">
        <v>47</v>
      </c>
      <c r="F3472" s="15" t="str">
        <f aca="false">IFERROR(__xludf.dummyfunction("XLOOKUP(AJ3472,IMPORTRANGE(""1XaInW9DU9nz21V0tYIfzFQ0He9kVQ_JF2mCXgZ3hqFA"",""REKAP ALL 2026 - Andika!G:G""),IMPORTRANGE(""1XaInW9DU9nz21V0tYIfzFQ0He9kVQ_JF2mCXgZ3hqFA"",""REKAP ALL 2026 - Andika!F:F""),"""",0)"),"26062999979")</f>
        <v>26062999979</v>
      </c>
      <c r="G3472" s="28" t="s">
        <v>57</v>
      </c>
      <c r="H3472" s="13" t="s">
        <v>35</v>
      </c>
      <c r="I3472" s="13" t="str">
        <f aca="false">IF(C3472=J3472,"NEW KONTRAK","RE-KONTRAK")</f>
        <v>NEW KONTRAK</v>
      </c>
      <c r="J3472" s="16" t="n">
        <f aca="false" t="array" ref="J3472:J3472">IFERROR(INDEX(AC3472:AE3472,IF(COUNTA(AC3472:AE3472)=0,"",MAX((AC3472:AE3472&lt;&gt;"")*(COLUMN(AC3472:AE3472)-(COLUMN(AC3472)))))-1),"")</f>
        <v>46124</v>
      </c>
      <c r="K3472" s="16" t="n">
        <f aca="false" t="array" ref="K3472:K3472">IFERROR(INDEX(AC3472:AE3472,IF(COUNTA(AC3472:AE3472)=0,"",MAX((AC3472:AE3472&lt;&gt;"")*(COLUMN(AC3472:AE3472)-(COLUMN(AC3472)-1))))-1),"")</f>
        <v>46181</v>
      </c>
      <c r="L3472" s="17" t="str">
        <f aca="false" t="array" ref="L3472:L3472">IFERROR(INDEX(AC3472:AE3472,IF(COUNTA(AC3472:AE3472)=0,"",MAX((AC3472:AE3472&lt;&gt;"")*(COLUMN(AC3472:AE3472)-(COLUMN(AC3472)-2))))-1),"")</f>
        <v>ARCHIVED</v>
      </c>
      <c r="M3472" s="13" t="n">
        <f aca="true">K3472-TODAY()</f>
        <v>-143</v>
      </c>
      <c r="N3472" s="18" t="s">
        <v>105</v>
      </c>
      <c r="O3472" s="13" t="s">
        <v>58</v>
      </c>
      <c r="P3472" s="19" t="n">
        <v>5191541</v>
      </c>
      <c r="Q3472" s="47" t="s">
        <v>14211</v>
      </c>
      <c r="R3472" s="13" t="s">
        <v>39</v>
      </c>
      <c r="S3472" s="16" t="n">
        <v>28511</v>
      </c>
      <c r="T3472" s="28" t="s">
        <v>40</v>
      </c>
      <c r="U3472" s="13" t="s">
        <v>14212</v>
      </c>
      <c r="V3472" s="13" t="s">
        <v>42</v>
      </c>
      <c r="W3472" s="13" t="s">
        <v>54</v>
      </c>
      <c r="X3472" s="30" t="n">
        <v>85310386571</v>
      </c>
      <c r="Y3472" s="22" t="str">
        <f aca="false">O3472</f>
        <v>Produksi</v>
      </c>
      <c r="Z3472" s="13" t="str">
        <f aca="false">IFERROR(__xludf.dummyfunction("if(BJ3472="""","""",GOOGLETRANSLATE(BJ3472,""auto"",""en""))"),"Production")</f>
        <v>Production</v>
      </c>
      <c r="AA3472" s="23" t="str">
        <f aca="false">IF(C3472="","", CHOOSE(MONTH(C3472),"January","February","March","April","May","June","July","August","September","October","November","December")&amp;" "&amp;DAY(C3472)&amp;MID("thstndrdth",MIN(9,2*RIGHT(DAY(C3472))*(MOD(DAY(C3472)-11,100)&gt;2)+1),2)&amp;","&amp;TEXT(C3472," yyyy"))</f>
        <v>April 12th,2026</v>
      </c>
      <c r="AB3472" s="15" t="str">
        <f aca="true">IF(S3472="","",DATEDIF(S3472,TODAY(),"Y")&amp;" Tahun, "&amp;DATEDIF(S3472,TODAY(),"YM")&amp;" Bulan, "&amp;DATEDIF(S3472,TODAY(),"MD")&amp;" Hari")</f>
        <v>48 Tahun, 9 Bulan, 8 Hari</v>
      </c>
      <c r="AC3472" s="18" t="n">
        <v>46124</v>
      </c>
      <c r="AD3472" s="105" t="n">
        <v>46181</v>
      </c>
      <c r="AE3472" s="13" t="s">
        <v>44</v>
      </c>
    </row>
    <row r="3473" customFormat="false" ht="15" hidden="false" customHeight="true" outlineLevel="0" collapsed="false">
      <c r="A3473" s="12" t="n">
        <v>22089</v>
      </c>
      <c r="B3473" s="13" t="s">
        <v>14213</v>
      </c>
      <c r="C3473" s="16" t="n">
        <v>46120</v>
      </c>
      <c r="D3473" s="13" t="s">
        <v>393</v>
      </c>
      <c r="E3473" s="15" t="s">
        <v>47</v>
      </c>
      <c r="F3473" s="15" t="str">
        <f aca="false">IFERROR(__xludf.dummyfunction("XLOOKUP(AJ3473,IMPORTRANGE(""1XaInW9DU9nz21V0tYIfzFQ0He9kVQ_JF2mCXgZ3hqFA"",""REKAP ALL 2026 - Andika!G:G""),IMPORTRANGE(""1XaInW9DU9nz21V0tYIfzFQ0He9kVQ_JF2mCXgZ3hqFA"",""REKAP ALL 2026 - Andika!F:F""),"""",0)"),"26062999854")</f>
        <v>26062999854</v>
      </c>
      <c r="G3473" s="28" t="s">
        <v>57</v>
      </c>
      <c r="H3473" s="13" t="s">
        <v>35</v>
      </c>
      <c r="I3473" s="13" t="str">
        <f aca="false">IF(C3473=J3473,"NEW KONTRAK","RE-KONTRAK")</f>
        <v>NEW KONTRAK</v>
      </c>
      <c r="J3473" s="16" t="n">
        <f aca="false" t="array" ref="J3473:J3473">IFERROR(INDEX(AC3473:AE3473,IF(COUNTA(AC3473:AE3473)=0,"",MAX((AC3473:AE3473&lt;&gt;"")*(COLUMN(AC3473:AE3473)-(COLUMN(AC3473)))))-1),"")</f>
        <v>46120</v>
      </c>
      <c r="K3473" s="16" t="n">
        <f aca="false" t="array" ref="K3473:K3473">IFERROR(INDEX(AC3473:AE3473,IF(COUNTA(AC3473:AE3473)=0,"",MAX((AC3473:AE3473&lt;&gt;"")*(COLUMN(AC3473:AE3473)-(COLUMN(AC3473)-1))))-1),"")</f>
        <v>46181</v>
      </c>
      <c r="L3473" s="17" t="str">
        <f aca="false" t="array" ref="L3473:L3473">IFERROR(INDEX(AC3473:AE3473,IF(COUNTA(AC3473:AE3473)=0,"",MAX((AC3473:AE3473&lt;&gt;"")*(COLUMN(AC3473:AE3473)-(COLUMN(AC3473)-2))))-1),"")</f>
        <v>ARCHIVED</v>
      </c>
      <c r="M3473" s="13" t="n">
        <f aca="true">K3473-TODAY()</f>
        <v>-143</v>
      </c>
      <c r="N3473" s="18" t="s">
        <v>105</v>
      </c>
      <c r="O3473" s="13" t="s">
        <v>58</v>
      </c>
      <c r="P3473" s="19" t="n">
        <v>5191541</v>
      </c>
      <c r="Q3473" s="47" t="s">
        <v>14214</v>
      </c>
      <c r="R3473" s="13" t="s">
        <v>39</v>
      </c>
      <c r="S3473" s="16" t="n">
        <v>30956</v>
      </c>
      <c r="T3473" s="28" t="s">
        <v>40</v>
      </c>
      <c r="U3473" s="13" t="s">
        <v>14215</v>
      </c>
      <c r="V3473" s="13" t="s">
        <v>42</v>
      </c>
      <c r="W3473" s="13" t="s">
        <v>54</v>
      </c>
      <c r="X3473" s="30" t="n">
        <v>82182619906</v>
      </c>
      <c r="Y3473" s="22" t="str">
        <f aca="false">O3473</f>
        <v>Produksi</v>
      </c>
      <c r="Z3473" s="13" t="str">
        <f aca="false">IFERROR(__xludf.dummyfunction("if(BJ3473="""","""",GOOGLETRANSLATE(BJ3473,""auto"",""en""))"),"Production")</f>
        <v>Production</v>
      </c>
      <c r="AA3473" s="23" t="str">
        <f aca="false">IF(C3473="","", CHOOSE(MONTH(C3473),"January","February","March","April","May","June","July","August","September","October","November","December")&amp;" "&amp;DAY(C3473)&amp;MID("thstndrdth",MIN(9,2*RIGHT(DAY(C3473))*(MOD(DAY(C3473)-11,100)&gt;2)+1),2)&amp;","&amp;TEXT(C3473," yyyy"))</f>
        <v>April 8th,2026</v>
      </c>
      <c r="AB3473" s="15" t="str">
        <f aca="true">IF(S3473="","",DATEDIF(S3473,TODAY(),"Y")&amp;" Tahun, "&amp;DATEDIF(S3473,TODAY(),"YM")&amp;" Bulan, "&amp;DATEDIF(S3473,TODAY(),"MD")&amp;" Hari")</f>
        <v>42 Tahun, 0 Bulan, 28 Hari</v>
      </c>
      <c r="AC3473" s="18" t="n">
        <v>46120</v>
      </c>
      <c r="AD3473" s="105" t="n">
        <v>46181</v>
      </c>
      <c r="AE3473" s="13" t="s">
        <v>44</v>
      </c>
    </row>
    <row r="3474" customFormat="false" ht="15" hidden="false" customHeight="true" outlineLevel="0" collapsed="false">
      <c r="A3474" s="12" t="n">
        <v>22090</v>
      </c>
      <c r="B3474" s="13" t="s">
        <v>14216</v>
      </c>
      <c r="C3474" s="16" t="n">
        <v>46125</v>
      </c>
      <c r="D3474" s="13" t="s">
        <v>393</v>
      </c>
      <c r="E3474" s="15" t="s">
        <v>47</v>
      </c>
      <c r="F3474" s="15" t="str">
        <f aca="false">IFERROR(__xludf.dummyfunction("XLOOKUP(AJ3474,IMPORTRANGE(""1XaInW9DU9nz21V0tYIfzFQ0He9kVQ_JF2mCXgZ3hqFA"",""REKAP ALL 2026 - Andika!G:G""),IMPORTRANGE(""1XaInW9DU9nz21V0tYIfzFQ0He9kVQ_JF2mCXgZ3hqFA"",""REKAP ALL 2026 - Andika!F:F""),"""",0)"),"26063000017")</f>
        <v>26063000017</v>
      </c>
      <c r="G3474" s="28" t="s">
        <v>57</v>
      </c>
      <c r="H3474" s="13" t="s">
        <v>35</v>
      </c>
      <c r="I3474" s="13" t="str">
        <f aca="false">IF(C3474=J3474,"NEW KONTRAK","RE-KONTRAK")</f>
        <v>NEW KONTRAK</v>
      </c>
      <c r="J3474" s="16" t="n">
        <f aca="false" t="array" ref="J3474:J3474">IFERROR(INDEX(AC3474:AE3474,IF(COUNTA(AC3474:AE3474)=0,"",MAX((AC3474:AE3474&lt;&gt;"")*(COLUMN(AC3474:AE3474)-(COLUMN(AC3474)))))-1),"")</f>
        <v>46125</v>
      </c>
      <c r="K3474" s="16" t="n">
        <f aca="false" t="array" ref="K3474:K3474">IFERROR(INDEX(AC3474:AE3474,IF(COUNTA(AC3474:AE3474)=0,"",MAX((AC3474:AE3474&lt;&gt;"")*(COLUMN(AC3474:AE3474)-(COLUMN(AC3474)-1))))-1),"")</f>
        <v>46181</v>
      </c>
      <c r="L3474" s="17" t="str">
        <f aca="false" t="array" ref="L3474:L3474">IFERROR(INDEX(AC3474:AE3474,IF(COUNTA(AC3474:AE3474)=0,"",MAX((AC3474:AE3474&lt;&gt;"")*(COLUMN(AC3474:AE3474)-(COLUMN(AC3474)-2))))-1),"")</f>
        <v>ARCHIVED</v>
      </c>
      <c r="M3474" s="13" t="n">
        <f aca="true">K3474-TODAY()</f>
        <v>-143</v>
      </c>
      <c r="N3474" s="18" t="s">
        <v>105</v>
      </c>
      <c r="O3474" s="13" t="s">
        <v>58</v>
      </c>
      <c r="P3474" s="19" t="n">
        <v>5191541</v>
      </c>
      <c r="Q3474" s="47" t="s">
        <v>14217</v>
      </c>
      <c r="R3474" s="13" t="s">
        <v>52</v>
      </c>
      <c r="S3474" s="16" t="n">
        <v>33857</v>
      </c>
      <c r="T3474" s="28" t="s">
        <v>40</v>
      </c>
      <c r="U3474" s="13" t="s">
        <v>14218</v>
      </c>
      <c r="V3474" s="13" t="s">
        <v>42</v>
      </c>
      <c r="W3474" s="13" t="s">
        <v>54</v>
      </c>
      <c r="X3474" s="30" t="n">
        <v>82234456557</v>
      </c>
      <c r="Y3474" s="22" t="str">
        <f aca="false">O3474</f>
        <v>Produksi</v>
      </c>
      <c r="Z3474" s="13" t="str">
        <f aca="false">IFERROR(__xludf.dummyfunction("if(BJ3474="""","""",GOOGLETRANSLATE(BJ3474,""auto"",""en""))"),"Production")</f>
        <v>Production</v>
      </c>
      <c r="AA3474" s="23" t="str">
        <f aca="false">IF(C3474="","", CHOOSE(MONTH(C3474),"January","February","March","April","May","June","July","August","September","October","November","December")&amp;" "&amp;DAY(C3474)&amp;MID("thstndrdth",MIN(9,2*RIGHT(DAY(C3474))*(MOD(DAY(C3474)-11,100)&gt;2)+1),2)&amp;","&amp;TEXT(C3474," yyyy"))</f>
        <v>April 13th,2026</v>
      </c>
      <c r="AB3474" s="15" t="str">
        <f aca="true">IF(S3474="","",DATEDIF(S3474,TODAY(),"Y")&amp;" Tahun, "&amp;DATEDIF(S3474,TODAY(),"YM")&amp;" Bulan, "&amp;DATEDIF(S3474,TODAY(),"MD")&amp;" Hari")</f>
        <v>34 Tahun, 1 Bulan, 19 Hari</v>
      </c>
      <c r="AC3474" s="18" t="n">
        <v>46125</v>
      </c>
      <c r="AD3474" s="105" t="n">
        <v>46181</v>
      </c>
      <c r="AE3474" s="13" t="s">
        <v>44</v>
      </c>
    </row>
    <row r="3475" customFormat="false" ht="15" hidden="false" customHeight="true" outlineLevel="0" collapsed="false">
      <c r="A3475" s="12" t="n">
        <v>22091</v>
      </c>
      <c r="B3475" s="13" t="s">
        <v>14219</v>
      </c>
      <c r="C3475" s="16" t="n">
        <v>46121</v>
      </c>
      <c r="D3475" s="13" t="s">
        <v>393</v>
      </c>
      <c r="E3475" s="15" t="s">
        <v>102</v>
      </c>
      <c r="F3475" s="15" t="str">
        <f aca="false">IFERROR(__xludf.dummyfunction("XLOOKUP(AJ3475,IMPORTRANGE(""1XaInW9DU9nz21V0tYIfzFQ0He9kVQ_JF2mCXgZ3hqFA"",""REKAP ALL 2026 - Andika!G:G""),IMPORTRANGE(""1XaInW9DU9nz21V0tYIfzFQ0He9kVQ_JF2mCXgZ3hqFA"",""REKAP ALL 2026 - Andika!F:F""),"""",0)"),"26062999912")</f>
        <v>26062999912</v>
      </c>
      <c r="G3475" s="28" t="s">
        <v>57</v>
      </c>
      <c r="H3475" s="13" t="s">
        <v>35</v>
      </c>
      <c r="I3475" s="13" t="str">
        <f aca="false">IF(C3475=J3475,"NEW KONTRAK","RE-KONTRAK")</f>
        <v>NEW KONTRAK</v>
      </c>
      <c r="J3475" s="16" t="n">
        <f aca="false" t="array" ref="J3475:J3475">IFERROR(INDEX(AC3475:AE3475,IF(COUNTA(AC3475:AE3475)=0,"",MAX((AC3475:AE3475&lt;&gt;"")*(COLUMN(AC3475:AE3475)-(COLUMN(AC3475)))))-1),"")</f>
        <v>46121</v>
      </c>
      <c r="K3475" s="16" t="n">
        <f aca="false" t="array" ref="K3475:K3475">IFERROR(INDEX(AC3475:AE3475,IF(COUNTA(AC3475:AE3475)=0,"",MAX((AC3475:AE3475&lt;&gt;"")*(COLUMN(AC3475:AE3475)-(COLUMN(AC3475)-1))))-1),"")</f>
        <v>46181</v>
      </c>
      <c r="L3475" s="17" t="str">
        <f aca="false" t="array" ref="L3475:L3475">IFERROR(INDEX(AC3475:AE3475,IF(COUNTA(AC3475:AE3475)=0,"",MAX((AC3475:AE3475&lt;&gt;"")*(COLUMN(AC3475:AE3475)-(COLUMN(AC3475)-2))))-1),"")</f>
        <v>ARCHIVED</v>
      </c>
      <c r="M3475" s="13" t="n">
        <f aca="true">K3475-TODAY()</f>
        <v>-143</v>
      </c>
      <c r="N3475" s="18" t="s">
        <v>105</v>
      </c>
      <c r="O3475" s="13" t="s">
        <v>58</v>
      </c>
      <c r="P3475" s="19" t="n">
        <v>5191541</v>
      </c>
      <c r="Q3475" s="47" t="s">
        <v>14220</v>
      </c>
      <c r="R3475" s="13" t="s">
        <v>39</v>
      </c>
      <c r="S3475" s="16" t="n">
        <v>39065</v>
      </c>
      <c r="T3475" s="28" t="s">
        <v>40</v>
      </c>
      <c r="U3475" s="13" t="s">
        <v>14221</v>
      </c>
      <c r="V3475" s="13" t="s">
        <v>42</v>
      </c>
      <c r="W3475" s="13" t="s">
        <v>43</v>
      </c>
      <c r="X3475" s="30" t="n">
        <v>85331329121</v>
      </c>
      <c r="Y3475" s="22" t="str">
        <f aca="false">O3475</f>
        <v>Produksi</v>
      </c>
      <c r="Z3475" s="13" t="str">
        <f aca="false">IFERROR(__xludf.dummyfunction("if(BJ3475="""","""",GOOGLETRANSLATE(BJ3475,""auto"",""en""))"),"Production")</f>
        <v>Production</v>
      </c>
      <c r="AA3475" s="23" t="str">
        <f aca="false">IF(C3475="","", CHOOSE(MONTH(C3475),"January","February","March","April","May","June","July","August","September","October","November","December")&amp;" "&amp;DAY(C3475)&amp;MID("thstndrdth",MIN(9,2*RIGHT(DAY(C3475))*(MOD(DAY(C3475)-11,100)&gt;2)+1),2)&amp;","&amp;TEXT(C3475," yyyy"))</f>
        <v>April 9th,2026</v>
      </c>
      <c r="AB3475" s="15" t="str">
        <f aca="true">IF(S3475="","",DATEDIF(S3475,TODAY(),"Y")&amp;" Tahun, "&amp;DATEDIF(S3475,TODAY(),"YM")&amp;" Bulan, "&amp;DATEDIF(S3475,TODAY(),"MD")&amp;" Hari")</f>
        <v>19 Tahun, 10 Bulan, 15 Hari</v>
      </c>
      <c r="AC3475" s="18" t="n">
        <v>46121</v>
      </c>
      <c r="AD3475" s="105" t="n">
        <v>46181</v>
      </c>
      <c r="AE3475" s="13" t="s">
        <v>44</v>
      </c>
    </row>
    <row r="3476" customFormat="false" ht="15" hidden="false" customHeight="true" outlineLevel="0" collapsed="false">
      <c r="A3476" s="12" t="n">
        <v>22092</v>
      </c>
      <c r="B3476" s="13" t="s">
        <v>14222</v>
      </c>
      <c r="C3476" s="16" t="n">
        <v>46125</v>
      </c>
      <c r="D3476" s="13" t="s">
        <v>774</v>
      </c>
      <c r="E3476" s="15" t="s">
        <v>102</v>
      </c>
      <c r="F3476" s="15" t="str">
        <f aca="false">IFERROR(__xludf.dummyfunction("XLOOKUP(AJ3476,IMPORTRANGE(""1XaInW9DU9nz21V0tYIfzFQ0He9kVQ_JF2mCXgZ3hqFA"",""REKAP ALL 2026 - Andika!G:G""),IMPORTRANGE(""1XaInW9DU9nz21V0tYIfzFQ0He9kVQ_JF2mCXgZ3hqFA"",""REKAP ALL 2026 - Andika!F:F""),"""",0)"),"26062993253")</f>
        <v>26062993253</v>
      </c>
      <c r="G3476" s="13" t="s">
        <v>1127</v>
      </c>
      <c r="H3476" s="13" t="s">
        <v>35</v>
      </c>
      <c r="I3476" s="13" t="str">
        <f aca="false">IF(C3476=J3476,"NEW KONTRAK","RE-KONTRAK")</f>
        <v>NEW KONTRAK</v>
      </c>
      <c r="J3476" s="16" t="n">
        <f aca="false" t="array" ref="J3476:J3476">IFERROR(INDEX(AC3476:AE3476,IF(COUNTA(AC3476:AE3476)=0,"",MAX((AC3476:AE3476&lt;&gt;"")*(COLUMN(AC3476:AE3476)-(COLUMN(AC3476)))))-1),"")</f>
        <v>46125</v>
      </c>
      <c r="K3476" s="16" t="n">
        <f aca="false" t="array" ref="K3476:K3476">IFERROR(INDEX(AC3476:AE3476,IF(COUNTA(AC3476:AE3476)=0,"",MAX((AC3476:AE3476&lt;&gt;"")*(COLUMN(AC3476:AE3476)-(COLUMN(AC3476)-1))))-1),"")</f>
        <v>46295</v>
      </c>
      <c r="L3476" s="17" t="str">
        <f aca="false" t="array" ref="L3476:L3476">IFERROR(INDEX(AC3476:AE3476,IF(COUNTA(AC3476:AE3476)=0,"",MAX((AC3476:AE3476&lt;&gt;"")*(COLUMN(AC3476:AE3476)-(COLUMN(AC3476)-2))))-1),"")</f>
        <v>KEMBALI</v>
      </c>
      <c r="M3476" s="13" t="n">
        <f aca="true">K3476-TODAY()</f>
        <v>-29</v>
      </c>
      <c r="N3476" s="18" t="s">
        <v>36</v>
      </c>
      <c r="O3476" s="13" t="s">
        <v>298</v>
      </c>
      <c r="P3476" s="19" t="n">
        <v>4000000</v>
      </c>
      <c r="Q3476" s="47" t="s">
        <v>14223</v>
      </c>
      <c r="R3476" s="13" t="s">
        <v>39</v>
      </c>
      <c r="S3476" s="16" t="n">
        <v>35907</v>
      </c>
      <c r="T3476" s="28" t="s">
        <v>40</v>
      </c>
      <c r="U3476" s="13" t="s">
        <v>14224</v>
      </c>
      <c r="V3476" s="13" t="s">
        <v>42</v>
      </c>
      <c r="W3476" s="13" t="s">
        <v>54</v>
      </c>
      <c r="X3476" s="21" t="n">
        <v>85290108970</v>
      </c>
      <c r="Y3476" s="22" t="str">
        <f aca="false">O3476</f>
        <v>Maintenance</v>
      </c>
      <c r="Z3476" s="13" t="str">
        <f aca="false">IFERROR(__xludf.dummyfunction("if(BJ3476="""","""",GOOGLETRANSLATE(BJ3476,""auto"",""en""))"),"Maintenance")</f>
        <v>Maintenance</v>
      </c>
      <c r="AA3476" s="23" t="str">
        <f aca="false">IF(C3476="","", CHOOSE(MONTH(C3476),"January","February","March","April","May","June","July","August","September","October","November","December")&amp;" "&amp;DAY(C3476)&amp;MID("thstndrdth",MIN(9,2*RIGHT(DAY(C3476))*(MOD(DAY(C3476)-11,100)&gt;2)+1),2)&amp;","&amp;TEXT(C3476," yyyy"))</f>
        <v>April 13th,2026</v>
      </c>
      <c r="AB3476" s="15" t="str">
        <f aca="true">IF(S3476="","",DATEDIF(S3476,TODAY(),"Y")&amp;" Tahun, "&amp;DATEDIF(S3476,TODAY(),"YM")&amp;" Bulan, "&amp;DATEDIF(S3476,TODAY(),"MD")&amp;" Hari")</f>
        <v>28 Tahun, 6 Bulan, 7 Hari</v>
      </c>
      <c r="AC3476" s="18" t="n">
        <v>46125</v>
      </c>
      <c r="AD3476" s="18" t="n">
        <v>46295</v>
      </c>
      <c r="AE3476" s="13" t="s">
        <v>397</v>
      </c>
    </row>
    <row r="3477" customFormat="false" ht="15" hidden="false" customHeight="true" outlineLevel="0" collapsed="false">
      <c r="A3477" s="12" t="n">
        <v>22093</v>
      </c>
      <c r="B3477" s="13" t="s">
        <v>14225</v>
      </c>
      <c r="C3477" s="16" t="n">
        <v>46125</v>
      </c>
      <c r="D3477" s="13" t="s">
        <v>774</v>
      </c>
      <c r="E3477" s="15" t="s">
        <v>102</v>
      </c>
      <c r="F3477" s="15" t="str">
        <f aca="false">IFERROR(__xludf.dummyfunction("XLOOKUP(AJ3477,IMPORTRANGE(""1XaInW9DU9nz21V0tYIfzFQ0He9kVQ_JF2mCXgZ3hqFA"",""REKAP ALL 2026 - Andika!G:G""),IMPORTRANGE(""1XaInW9DU9nz21V0tYIfzFQ0He9kVQ_JF2mCXgZ3hqFA"",""REKAP ALL 2026 - Andika!F:F""),"""",0)"),"26062993287")</f>
        <v>26062993287</v>
      </c>
      <c r="G3477" s="13" t="s">
        <v>1127</v>
      </c>
      <c r="H3477" s="13" t="s">
        <v>35</v>
      </c>
      <c r="I3477" s="13" t="str">
        <f aca="false">IF(C3477=J3477,"NEW KONTRAK","RE-KONTRAK")</f>
        <v>NEW KONTRAK</v>
      </c>
      <c r="J3477" s="16" t="n">
        <f aca="false" t="array" ref="J3477:J3477">IFERROR(INDEX(AC3477:AE3477,IF(COUNTA(AC3477:AE3477)=0,"",MAX((AC3477:AE3477&lt;&gt;"")*(COLUMN(AC3477:AE3477)-(COLUMN(AC3477)))))-1),"")</f>
        <v>46125</v>
      </c>
      <c r="K3477" s="16" t="n">
        <f aca="false" t="array" ref="K3477:K3477">IFERROR(INDEX(AC3477:AE3477,IF(COUNTA(AC3477:AE3477)=0,"",MAX((AC3477:AE3477&lt;&gt;"")*(COLUMN(AC3477:AE3477)-(COLUMN(AC3477)-1))))-1),"")</f>
        <v>46295</v>
      </c>
      <c r="L3477" s="17" t="str">
        <f aca="false" t="array" ref="L3477:L3477">IFERROR(INDEX(AC3477:AE3477,IF(COUNTA(AC3477:AE3477)=0,"",MAX((AC3477:AE3477&lt;&gt;"")*(COLUMN(AC3477:AE3477)-(COLUMN(AC3477)-2))))-1),"")</f>
        <v>KEMBALI</v>
      </c>
      <c r="M3477" s="13" t="n">
        <f aca="true">K3477-TODAY()</f>
        <v>-29</v>
      </c>
      <c r="N3477" s="18" t="s">
        <v>36</v>
      </c>
      <c r="O3477" s="13" t="s">
        <v>14226</v>
      </c>
      <c r="P3477" s="19" t="n">
        <v>3500000</v>
      </c>
      <c r="Q3477" s="47" t="s">
        <v>14227</v>
      </c>
      <c r="R3477" s="13" t="s">
        <v>52</v>
      </c>
      <c r="S3477" s="16" t="n">
        <v>37028</v>
      </c>
      <c r="T3477" s="28" t="s">
        <v>40</v>
      </c>
      <c r="U3477" s="13" t="s">
        <v>14228</v>
      </c>
      <c r="V3477" s="13" t="s">
        <v>42</v>
      </c>
      <c r="W3477" s="13" t="s">
        <v>43</v>
      </c>
      <c r="X3477" s="21" t="n">
        <v>85931243656</v>
      </c>
      <c r="Y3477" s="22" t="str">
        <f aca="false">O3477</f>
        <v>Warehouse (Gudang)</v>
      </c>
      <c r="Z3477" s="13" t="str">
        <f aca="false">IFERROR(__xludf.dummyfunction("if(BJ3477="""","""",GOOGLETRANSLATE(BJ3477,""auto"",""en""))"),"Warehouse")</f>
        <v>Warehouse</v>
      </c>
      <c r="AA3477" s="23" t="str">
        <f aca="false">IF(C3477="","", CHOOSE(MONTH(C3477),"January","February","March","April","May","June","July","August","September","October","November","December")&amp;" "&amp;DAY(C3477)&amp;MID("thstndrdth",MIN(9,2*RIGHT(DAY(C3477))*(MOD(DAY(C3477)-11,100)&gt;2)+1),2)&amp;","&amp;TEXT(C3477," yyyy"))</f>
        <v>April 13th,2026</v>
      </c>
      <c r="AB3477" s="15" t="str">
        <f aca="true">IF(S3477="","",DATEDIF(S3477,TODAY(),"Y")&amp;" Tahun, "&amp;DATEDIF(S3477,TODAY(),"YM")&amp;" Bulan, "&amp;DATEDIF(S3477,TODAY(),"MD")&amp;" Hari")</f>
        <v>25 Tahun, 5 Bulan, 12 Hari</v>
      </c>
      <c r="AC3477" s="18" t="n">
        <v>46125</v>
      </c>
      <c r="AD3477" s="18" t="n">
        <v>46295</v>
      </c>
      <c r="AE3477" s="13" t="s">
        <v>397</v>
      </c>
    </row>
    <row r="3478" customFormat="false" ht="15" hidden="false" customHeight="true" outlineLevel="0" collapsed="false">
      <c r="A3478" s="12" t="n">
        <v>22094</v>
      </c>
      <c r="B3478" s="13" t="s">
        <v>14229</v>
      </c>
      <c r="C3478" s="16" t="n">
        <v>46121</v>
      </c>
      <c r="D3478" s="13" t="s">
        <v>6638</v>
      </c>
      <c r="E3478" s="15" t="s">
        <v>102</v>
      </c>
      <c r="F3478" s="24" t="s">
        <v>14230</v>
      </c>
      <c r="G3478" s="13" t="s">
        <v>1127</v>
      </c>
      <c r="H3478" s="13" t="s">
        <v>35</v>
      </c>
      <c r="I3478" s="13" t="str">
        <f aca="false">IF(C3478=J3478,"NEW KONTRAK","RE-KONTRAK")</f>
        <v>NEW KONTRAK</v>
      </c>
      <c r="J3478" s="16" t="n">
        <f aca="false" t="array" ref="J3478:J3478">IFERROR(INDEX(AC3478:AE3478,IF(COUNTA(AC3478:AE3478)=0,"",MAX((AC3478:AE3478&lt;&gt;"")*(COLUMN(AC3478:AE3478)-(COLUMN(AC3478)))))-1),"")</f>
        <v>46121</v>
      </c>
      <c r="K3478" s="16" t="n">
        <f aca="false" t="array" ref="K3478:K3478">IFERROR(INDEX(AC3478:AE3478,IF(COUNTA(AC3478:AE3478)=0,"",MAX((AC3478:AE3478&lt;&gt;"")*(COLUMN(AC3478:AE3478)-(COLUMN(AC3478)-1))))-1),"")</f>
        <v>46211</v>
      </c>
      <c r="L3478" s="17" t="str">
        <f aca="false" t="array" ref="L3478:L3478">IFERROR(INDEX(AC3478:AE3478,IF(COUNTA(AC3478:AE3478)=0,"",MAX((AC3478:AE3478&lt;&gt;"")*(COLUMN(AC3478:AE3478)-(COLUMN(AC3478)-2))))-1),"")</f>
        <v>KEMBALI</v>
      </c>
      <c r="M3478" s="13" t="n">
        <f aca="true">K3478-TODAY()</f>
        <v>-113</v>
      </c>
      <c r="N3478" s="18" t="s">
        <v>4735</v>
      </c>
      <c r="O3478" s="13" t="s">
        <v>6662</v>
      </c>
      <c r="P3478" s="19" t="n">
        <v>3160000</v>
      </c>
      <c r="Q3478" s="47" t="s">
        <v>14231</v>
      </c>
      <c r="R3478" s="13" t="s">
        <v>83</v>
      </c>
      <c r="S3478" s="16" t="n">
        <v>34620</v>
      </c>
      <c r="T3478" s="13" t="s">
        <v>108</v>
      </c>
      <c r="U3478" s="13" t="s">
        <v>14232</v>
      </c>
      <c r="V3478" s="13" t="s">
        <v>42</v>
      </c>
      <c r="W3478" s="13" t="s">
        <v>43</v>
      </c>
      <c r="X3478" s="21" t="n">
        <v>87758724956</v>
      </c>
      <c r="Y3478" s="22" t="str">
        <f aca="false">O3478</f>
        <v>Front Office</v>
      </c>
      <c r="Z3478" s="13" t="str">
        <f aca="false">IFERROR(__xludf.dummyfunction("if(BJ3478="""","""",GOOGLETRANSLATE(BJ3478,""auto"",""en""))"),"Front Office")</f>
        <v>Front Office</v>
      </c>
      <c r="AA3478" s="23" t="str">
        <f aca="false">IF(C3478="","", CHOOSE(MONTH(C3478),"January","February","March","April","May","June","July","August","September","October","November","December")&amp;" "&amp;DAY(C3478)&amp;MID("thstndrdth",MIN(9,2*RIGHT(DAY(C3478))*(MOD(DAY(C3478)-11,100)&gt;2)+1),2)&amp;","&amp;TEXT(C3478," yyyy"))</f>
        <v>April 9th,2026</v>
      </c>
      <c r="AB3478" s="15" t="str">
        <f aca="true">IF(S3478="","",DATEDIF(S3478,TODAY(),"Y")&amp;" Tahun, "&amp;DATEDIF(S3478,TODAY(),"YM")&amp;" Bulan, "&amp;DATEDIF(S3478,TODAY(),"MD")&amp;" Hari")</f>
        <v>32 Tahun, 0 Bulan, 16 Hari</v>
      </c>
      <c r="AC3478" s="18" t="n">
        <v>46121</v>
      </c>
      <c r="AD3478" s="18" t="n">
        <f aca="false">EDATE(AC3478,3)-1</f>
        <v>46211</v>
      </c>
      <c r="AE3478" s="13" t="s">
        <v>397</v>
      </c>
    </row>
    <row r="3479" customFormat="false" ht="15" hidden="false" customHeight="true" outlineLevel="0" collapsed="false">
      <c r="A3479" s="12" t="n">
        <v>22097</v>
      </c>
      <c r="B3479" s="13" t="s">
        <v>14233</v>
      </c>
      <c r="C3479" s="16" t="n">
        <v>46121</v>
      </c>
      <c r="D3479" s="13" t="s">
        <v>774</v>
      </c>
      <c r="E3479" s="15" t="s">
        <v>47</v>
      </c>
      <c r="F3479" s="15" t="str">
        <f aca="false">IFERROR(__xludf.dummyfunction("XLOOKUP(AJ3479,IMPORTRANGE(""1XaInW9DU9nz21V0tYIfzFQ0He9kVQ_JF2mCXgZ3hqFA"",""REKAP ALL 2026 - Andika!G:G""),IMPORTRANGE(""1XaInW9DU9nz21V0tYIfzFQ0He9kVQ_JF2mCXgZ3hqFA"",""REKAP ALL 2026 - Andika!F:F""),"""",0)"),"26062993121")</f>
        <v>26062993121</v>
      </c>
      <c r="G3479" s="13" t="s">
        <v>1127</v>
      </c>
      <c r="H3479" s="13" t="s">
        <v>35</v>
      </c>
      <c r="I3479" s="13" t="str">
        <f aca="false">IF(C3479=J3479,"NEW KONTRAK","RE-KONTRAK")</f>
        <v>NEW KONTRAK</v>
      </c>
      <c r="J3479" s="16" t="n">
        <f aca="false" t="array" ref="J3479:J3479">IFERROR(INDEX(AC3479:AE3479,IF(COUNTA(AC3479:AE3479)=0,"",MAX((AC3479:AE3479&lt;&gt;"")*(COLUMN(AC3479:AE3479)-(COLUMN(AC3479)))))-1),"")</f>
        <v>46121</v>
      </c>
      <c r="K3479" s="16" t="n">
        <f aca="false" t="array" ref="K3479:K3479">IFERROR(INDEX(AC3479:AE3479,IF(COUNTA(AC3479:AE3479)=0,"",MAX((AC3479:AE3479&lt;&gt;"")*(COLUMN(AC3479:AE3479)-(COLUMN(AC3479)-1))))-1),"")</f>
        <v>46295</v>
      </c>
      <c r="L3479" s="17" t="str">
        <f aca="false" t="array" ref="L3479:L3479">IFERROR(INDEX(AC3479:AE3479,IF(COUNTA(AC3479:AE3479)=0,"",MAX((AC3479:AE3479&lt;&gt;"")*(COLUMN(AC3479:AE3479)-(COLUMN(AC3479)-2))))-1),"")</f>
        <v>KEMBALI</v>
      </c>
      <c r="M3479" s="13" t="n">
        <f aca="true">K3479-TODAY()</f>
        <v>-29</v>
      </c>
      <c r="N3479" s="18" t="s">
        <v>36</v>
      </c>
      <c r="O3479" s="13" t="s">
        <v>3599</v>
      </c>
      <c r="P3479" s="19" t="n">
        <v>3500000</v>
      </c>
      <c r="Q3479" s="47" t="s">
        <v>14234</v>
      </c>
      <c r="R3479" s="13" t="s">
        <v>60</v>
      </c>
      <c r="S3479" s="16" t="n">
        <v>36265</v>
      </c>
      <c r="T3479" s="13" t="s">
        <v>108</v>
      </c>
      <c r="U3479" s="13" t="s">
        <v>14235</v>
      </c>
      <c r="V3479" s="13" t="s">
        <v>42</v>
      </c>
      <c r="W3479" s="13" t="s">
        <v>43</v>
      </c>
      <c r="X3479" s="21" t="n">
        <v>85889554493</v>
      </c>
      <c r="Y3479" s="22" t="str">
        <f aca="false">O3479</f>
        <v>Admin Gudang</v>
      </c>
      <c r="Z3479" s="13" t="str">
        <f aca="false">IFERROR(__xludf.dummyfunction("if(BJ3479="""","""",GOOGLETRANSLATE(BJ3479,""auto"",""en""))"),"Warehouse Admin")</f>
        <v>Warehouse Admin</v>
      </c>
      <c r="AA3479" s="23" t="str">
        <f aca="false">IF(C3479="","", CHOOSE(MONTH(C3479),"January","February","March","April","May","June","July","August","September","October","November","December")&amp;" "&amp;DAY(C3479)&amp;MID("thstndrdth",MIN(9,2*RIGHT(DAY(C3479))*(MOD(DAY(C3479)-11,100)&gt;2)+1),2)&amp;","&amp;TEXT(C3479," yyyy"))</f>
        <v>April 9th,2026</v>
      </c>
      <c r="AB3479" s="15" t="str">
        <f aca="true">IF(S3479="","",DATEDIF(S3479,TODAY(),"Y")&amp;" Tahun, "&amp;DATEDIF(S3479,TODAY(),"YM")&amp;" Bulan, "&amp;DATEDIF(S3479,TODAY(),"MD")&amp;" Hari")</f>
        <v>27 Tahun, 6 Bulan, 14 Hari</v>
      </c>
      <c r="AC3479" s="18" t="n">
        <v>46121</v>
      </c>
      <c r="AD3479" s="18" t="n">
        <v>46295</v>
      </c>
      <c r="AE3479" s="13" t="s">
        <v>397</v>
      </c>
    </row>
    <row r="3480" customFormat="false" ht="15" hidden="false" customHeight="true" outlineLevel="0" collapsed="false">
      <c r="A3480" s="12" t="n">
        <v>22098</v>
      </c>
      <c r="B3480" s="13" t="s">
        <v>14236</v>
      </c>
      <c r="C3480" s="16" t="n">
        <v>46121</v>
      </c>
      <c r="D3480" s="13" t="s">
        <v>774</v>
      </c>
      <c r="E3480" s="15" t="s">
        <v>102</v>
      </c>
      <c r="F3480" s="15" t="str">
        <f aca="false">IFERROR(__xludf.dummyfunction("XLOOKUP(AJ3480,IMPORTRANGE(""1XaInW9DU9nz21V0tYIfzFQ0He9kVQ_JF2mCXgZ3hqFA"",""REKAP ALL 2026 - Andika!G:G""),IMPORTRANGE(""1XaInW9DU9nz21V0tYIfzFQ0He9kVQ_JF2mCXgZ3hqFA"",""REKAP ALL 2026 - Andika!F:F""),"""",0)"),"26062993154")</f>
        <v>26062993154</v>
      </c>
      <c r="G3480" s="13" t="s">
        <v>1127</v>
      </c>
      <c r="H3480" s="13" t="s">
        <v>35</v>
      </c>
      <c r="I3480" s="13" t="str">
        <f aca="false">IF(C3480=J3480,"NEW KONTRAK","RE-KONTRAK")</f>
        <v>NEW KONTRAK</v>
      </c>
      <c r="J3480" s="16" t="n">
        <f aca="false" t="array" ref="J3480:J3480">IFERROR(INDEX(AC3480:AE3480,IF(COUNTA(AC3480:AE3480)=0,"",MAX((AC3480:AE3480&lt;&gt;"")*(COLUMN(AC3480:AE3480)-(COLUMN(AC3480)))))-1),"")</f>
        <v>46121</v>
      </c>
      <c r="K3480" s="16" t="n">
        <f aca="false" t="array" ref="K3480:K3480">IFERROR(INDEX(AC3480:AE3480,IF(COUNTA(AC3480:AE3480)=0,"",MAX((AC3480:AE3480&lt;&gt;"")*(COLUMN(AC3480:AE3480)-(COLUMN(AC3480)-1))))-1),"")</f>
        <v>46295</v>
      </c>
      <c r="L3480" s="17" t="str">
        <f aca="false" t="array" ref="L3480:L3480">IFERROR(INDEX(AC3480:AE3480,IF(COUNTA(AC3480:AE3480)=0,"",MAX((AC3480:AE3480&lt;&gt;"")*(COLUMN(AC3480:AE3480)-(COLUMN(AC3480)-2))))-1),"")</f>
        <v>KEMBALI</v>
      </c>
      <c r="M3480" s="13" t="n">
        <f aca="true">K3480-TODAY()</f>
        <v>-29</v>
      </c>
      <c r="N3480" s="18" t="s">
        <v>36</v>
      </c>
      <c r="O3480" s="13" t="s">
        <v>3599</v>
      </c>
      <c r="P3480" s="19" t="n">
        <v>3500000</v>
      </c>
      <c r="Q3480" s="47" t="s">
        <v>14237</v>
      </c>
      <c r="R3480" s="13" t="s">
        <v>39</v>
      </c>
      <c r="S3480" s="16" t="n">
        <v>36863</v>
      </c>
      <c r="T3480" s="13" t="s">
        <v>108</v>
      </c>
      <c r="U3480" s="13" t="s">
        <v>14238</v>
      </c>
      <c r="V3480" s="28" t="s">
        <v>1216</v>
      </c>
      <c r="W3480" s="13" t="s">
        <v>43</v>
      </c>
      <c r="X3480" s="21" t="n">
        <v>89523336432</v>
      </c>
      <c r="Y3480" s="22" t="str">
        <f aca="false">O3480</f>
        <v>Admin Gudang</v>
      </c>
      <c r="Z3480" s="13" t="str">
        <f aca="false">IFERROR(__xludf.dummyfunction("if(BJ3480="""","""",GOOGLETRANSLATE(BJ3480,""auto"",""en""))"),"Warehouse Admin")</f>
        <v>Warehouse Admin</v>
      </c>
      <c r="AA3480" s="23" t="str">
        <f aca="false">IF(C3480="","", CHOOSE(MONTH(C3480),"January","February","March","April","May","June","July","August","September","October","November","December")&amp;" "&amp;DAY(C3480)&amp;MID("thstndrdth",MIN(9,2*RIGHT(DAY(C3480))*(MOD(DAY(C3480)-11,100)&gt;2)+1),2)&amp;","&amp;TEXT(C3480," yyyy"))</f>
        <v>April 9th,2026</v>
      </c>
      <c r="AB3480" s="15" t="str">
        <f aca="true">IF(S3480="","",DATEDIF(S3480,TODAY(),"Y")&amp;" Tahun, "&amp;DATEDIF(S3480,TODAY(),"YM")&amp;" Bulan, "&amp;DATEDIF(S3480,TODAY(),"MD")&amp;" Hari")</f>
        <v>25 Tahun, 10 Bulan, 26 Hari</v>
      </c>
      <c r="AC3480" s="18" t="n">
        <v>46121</v>
      </c>
      <c r="AD3480" s="18" t="n">
        <v>46295</v>
      </c>
      <c r="AE3480" s="13" t="s">
        <v>397</v>
      </c>
    </row>
    <row r="3481" customFormat="false" ht="15" hidden="false" customHeight="true" outlineLevel="0" collapsed="false">
      <c r="A3481" s="12" t="n">
        <v>22099</v>
      </c>
      <c r="B3481" s="13" t="s">
        <v>14239</v>
      </c>
      <c r="C3481" s="16" t="n">
        <v>46125</v>
      </c>
      <c r="D3481" s="13" t="s">
        <v>3022</v>
      </c>
      <c r="E3481" s="15" t="s">
        <v>47</v>
      </c>
      <c r="F3481" s="15" t="str">
        <f aca="false">IFERROR(__xludf.dummyfunction("XLOOKUP(AJ3481,IMPORTRANGE(""1XaInW9DU9nz21V0tYIfzFQ0He9kVQ_JF2mCXgZ3hqFA"",""REKAP ALL 2026 - Andika!G:G""),IMPORTRANGE(""1XaInW9DU9nz21V0tYIfzFQ0He9kVQ_JF2mCXgZ3hqFA"",""REKAP ALL 2026 - Andika!F:F""),"""",0)"),"26062991109")</f>
        <v>26062991109</v>
      </c>
      <c r="G3481" s="13" t="s">
        <v>57</v>
      </c>
      <c r="H3481" s="13" t="s">
        <v>3024</v>
      </c>
      <c r="I3481" s="13" t="str">
        <f aca="false">IF(C3481=J3481,"NEW KONTRAK","RE-KONTRAK")</f>
        <v>NEW KONTRAK</v>
      </c>
      <c r="J3481" s="16" t="n">
        <f aca="false" t="array" ref="J3481:J3481">IFERROR(INDEX(AC3481:AE3481,IF(COUNTA(AC3481:AE3481)=0,"",MAX((AC3481:AE3481&lt;&gt;"")*(COLUMN(AC3481:AE3481)-(COLUMN(AC3481)))))-1),"")</f>
        <v>46125</v>
      </c>
      <c r="K3481" s="16" t="n">
        <f aca="false" t="array" ref="K3481:K3481">IFERROR(INDEX(AC3481:AE3481,IF(COUNTA(AC3481:AE3481)=0,"",MAX((AC3481:AE3481&lt;&gt;"")*(COLUMN(AC3481:AE3481)-(COLUMN(AC3481)-1))))-1),"")</f>
        <v>46215</v>
      </c>
      <c r="L3481" s="17" t="str">
        <f aca="false" t="array" ref="L3481:L3481">IFERROR(INDEX(AC3481:AE3481,IF(COUNTA(AC3481:AE3481)=0,"",MAX((AC3481:AE3481&lt;&gt;"")*(COLUMN(AC3481:AE3481)-(COLUMN(AC3481)-2))))-1),"")</f>
        <v>KEMBALI</v>
      </c>
      <c r="M3481" s="13" t="n">
        <f aca="true">K3481-TODAY()</f>
        <v>-109</v>
      </c>
      <c r="N3481" s="18" t="s">
        <v>36</v>
      </c>
      <c r="O3481" s="13" t="s">
        <v>3030</v>
      </c>
      <c r="P3481" s="19" t="n">
        <v>112500</v>
      </c>
      <c r="Q3481" s="47" t="s">
        <v>14240</v>
      </c>
      <c r="R3481" s="13" t="s">
        <v>52</v>
      </c>
      <c r="S3481" s="16" t="n">
        <v>38053</v>
      </c>
      <c r="T3481" s="13" t="s">
        <v>40</v>
      </c>
      <c r="U3481" s="13" t="s">
        <v>4762</v>
      </c>
      <c r="V3481" s="13" t="s">
        <v>42</v>
      </c>
      <c r="W3481" s="13" t="s">
        <v>43</v>
      </c>
      <c r="X3481" s="21" t="n">
        <v>88102750885</v>
      </c>
      <c r="Y3481" s="22" t="str">
        <f aca="false">O3481</f>
        <v>Produksi ( Shearing )</v>
      </c>
      <c r="Z3481" s="13" t="str">
        <f aca="false">IFERROR(__xludf.dummyfunction("if(BJ3481="""","""",GOOGLETRANSLATE(BJ3481,""auto"",""en""))"),"Production (Shearing)")</f>
        <v>Production (Shearing)</v>
      </c>
      <c r="AA3481" s="23" t="str">
        <f aca="false">IF(C3481="","", CHOOSE(MONTH(C3481),"January","February","March","April","May","June","July","August","September","October","November","December")&amp;" "&amp;DAY(C3481)&amp;MID("thstndrdth",MIN(9,2*RIGHT(DAY(C3481))*(MOD(DAY(C3481)-11,100)&gt;2)+1),2)&amp;","&amp;TEXT(C3481," yyyy"))</f>
        <v>April 13th,2026</v>
      </c>
      <c r="AB3481" s="15" t="str">
        <f aca="true">IF(S3481="","",DATEDIF(S3481,TODAY(),"Y")&amp;" Tahun, "&amp;DATEDIF(S3481,TODAY(),"YM")&amp;" Bulan, "&amp;DATEDIF(S3481,TODAY(),"MD")&amp;" Hari")</f>
        <v>22 Tahun, 7 Bulan, 22 Hari</v>
      </c>
      <c r="AC3481" s="18" t="n">
        <v>46125</v>
      </c>
      <c r="AD3481" s="18" t="n">
        <f aca="false">EDATE(AC3481,3)-1</f>
        <v>46215</v>
      </c>
      <c r="AE3481" s="13" t="s">
        <v>397</v>
      </c>
    </row>
    <row r="3482" customFormat="false" ht="15" hidden="false" customHeight="true" outlineLevel="0" collapsed="false">
      <c r="A3482" s="12" t="n">
        <v>22100</v>
      </c>
      <c r="B3482" s="13" t="s">
        <v>14241</v>
      </c>
      <c r="C3482" s="16" t="n">
        <v>46122</v>
      </c>
      <c r="D3482" s="13" t="s">
        <v>404</v>
      </c>
      <c r="E3482" s="15" t="s">
        <v>47</v>
      </c>
      <c r="F3482" s="15" t="str">
        <f aca="false">IFERROR(__xludf.dummyfunction("XLOOKUP(AJ3482,IMPORTRANGE(""1XaInW9DU9nz21V0tYIfzFQ0He9kVQ_JF2mCXgZ3hqFA"",""REKAP ALL 2026 - Andika!G:G""),IMPORTRANGE(""1XaInW9DU9nz21V0tYIfzFQ0He9kVQ_JF2mCXgZ3hqFA"",""REKAP ALL 2026 - Andika!F:F""),"""",0)"),"26062980482")</f>
        <v>26062980482</v>
      </c>
      <c r="G3482" s="13" t="s">
        <v>1127</v>
      </c>
      <c r="H3482" s="13" t="s">
        <v>35</v>
      </c>
      <c r="I3482" s="13" t="str">
        <f aca="false">IF(C3482=J3482,"NEW KONTRAK","RE-KONTRAK")</f>
        <v>NEW KONTRAK</v>
      </c>
      <c r="J3482" s="16" t="n">
        <f aca="false" t="array" ref="J3482:J3482">IFERROR(INDEX(AC3482:AE3482,IF(COUNTA(AC3482:AE3482)=0,"",MAX((AC3482:AE3482&lt;&gt;"")*(COLUMN(AC3482:AE3482)-(COLUMN(AC3482)))))-1),"")</f>
        <v>46122</v>
      </c>
      <c r="K3482" s="16" t="n">
        <f aca="false" t="array" ref="K3482:K3482">IFERROR(INDEX(AC3482:AE3482,IF(COUNTA(AC3482:AE3482)=0,"",MAX((AC3482:AE3482&lt;&gt;"")*(COLUMN(AC3482:AE3482)-(COLUMN(AC3482)-1))))-1),"")</f>
        <v>46387</v>
      </c>
      <c r="L3482" s="17" t="str">
        <f aca="false" t="array" ref="L3482:L3482">IFERROR(INDEX(AC3482:AE3482,IF(COUNTA(AC3482:AE3482)=0,"",MAX((AC3482:AE3482&lt;&gt;"")*(COLUMN(AC3482:AE3482)-(COLUMN(AC3482)-2))))-1),"")</f>
        <v>ARCHIVED</v>
      </c>
      <c r="M3482" s="13" t="n">
        <f aca="true">K3482-TODAY()</f>
        <v>63</v>
      </c>
      <c r="N3482" s="18" t="s">
        <v>36</v>
      </c>
      <c r="O3482" s="13" t="s">
        <v>3881</v>
      </c>
      <c r="P3482" s="26" t="n">
        <v>5195401</v>
      </c>
      <c r="Q3482" s="47" t="s">
        <v>14242</v>
      </c>
      <c r="R3482" s="13" t="s">
        <v>65</v>
      </c>
      <c r="S3482" s="16" t="n">
        <v>34420</v>
      </c>
      <c r="T3482" s="28" t="s">
        <v>40</v>
      </c>
      <c r="U3482" s="13" t="s">
        <v>14243</v>
      </c>
      <c r="V3482" s="13" t="s">
        <v>42</v>
      </c>
      <c r="W3482" s="13" t="s">
        <v>43</v>
      </c>
      <c r="X3482" s="30" t="n">
        <v>82377561853</v>
      </c>
      <c r="Y3482" s="22" t="str">
        <f aca="false">O3482</f>
        <v>IT Support</v>
      </c>
      <c r="Z3482" s="13" t="str">
        <f aca="false">IFERROR(__xludf.dummyfunction("if(BJ3482="""","""",GOOGLETRANSLATE(BJ3482,""auto"",""en""))"),"IT Support")</f>
        <v>IT Support</v>
      </c>
      <c r="AA3482" s="23" t="str">
        <f aca="false">IF(C3482="","", CHOOSE(MONTH(C3482),"January","February","March","April","May","June","July","August","September","October","November","December")&amp;" "&amp;DAY(C3482)&amp;MID("thstndrdth",MIN(9,2*RIGHT(DAY(C3482))*(MOD(DAY(C3482)-11,100)&gt;2)+1),2)&amp;","&amp;TEXT(C3482," yyyy"))</f>
        <v>April 10th,2026</v>
      </c>
      <c r="AB3482" s="15" t="str">
        <f aca="true">IF(S3482="","",DATEDIF(S3482,TODAY(),"Y")&amp;" Tahun, "&amp;DATEDIF(S3482,TODAY(),"YM")&amp;" Bulan, "&amp;DATEDIF(S3482,TODAY(),"MD")&amp;" Hari")</f>
        <v>32 Tahun, 7 Bulan, 2 Hari</v>
      </c>
      <c r="AC3482" s="18" t="n">
        <v>46122</v>
      </c>
      <c r="AD3482" s="18" t="n">
        <v>46387</v>
      </c>
      <c r="AE3482" s="13" t="s">
        <v>44</v>
      </c>
    </row>
    <row r="3483" customFormat="false" ht="15" hidden="false" customHeight="true" outlineLevel="0" collapsed="false">
      <c r="A3483" s="12" t="n">
        <v>22101</v>
      </c>
      <c r="B3483" s="13" t="s">
        <v>14244</v>
      </c>
      <c r="C3483" s="16" t="n">
        <v>46125</v>
      </c>
      <c r="D3483" s="13" t="s">
        <v>404</v>
      </c>
      <c r="E3483" s="15" t="s">
        <v>102</v>
      </c>
      <c r="F3483" s="15" t="str">
        <f aca="false">IFERROR(__xludf.dummyfunction("XLOOKUP(AJ3483,IMPORTRANGE(""1XaInW9DU9nz21V0tYIfzFQ0He9kVQ_JF2mCXgZ3hqFA"",""REKAP ALL 2026 - Andika!G:G""),IMPORTRANGE(""1XaInW9DU9nz21V0tYIfzFQ0He9kVQ_JF2mCXgZ3hqFA"",""REKAP ALL 2026 - Andika!F:F""),"""",0)"),"26062980508")</f>
        <v>26062980508</v>
      </c>
      <c r="G3483" s="13" t="s">
        <v>1127</v>
      </c>
      <c r="H3483" s="13" t="s">
        <v>35</v>
      </c>
      <c r="I3483" s="13" t="str">
        <f aca="false">IF(C3483=J3483,"NEW KONTRAK","RE-KONTRAK")</f>
        <v>NEW KONTRAK</v>
      </c>
      <c r="J3483" s="16" t="n">
        <f aca="false" t="array" ref="J3483:J3483">IFERROR(INDEX(AC3483:AE3483,IF(COUNTA(AC3483:AE3483)=0,"",MAX((AC3483:AE3483&lt;&gt;"")*(COLUMN(AC3483:AE3483)-(COLUMN(AC3483)))))-1),"")</f>
        <v>46125</v>
      </c>
      <c r="K3483" s="16" t="n">
        <f aca="false" t="array" ref="K3483:K3483">IFERROR(INDEX(AC3483:AE3483,IF(COUNTA(AC3483:AE3483)=0,"",MAX((AC3483:AE3483&lt;&gt;"")*(COLUMN(AC3483:AE3483)-(COLUMN(AC3483)-1))))-1),"")</f>
        <v>46387</v>
      </c>
      <c r="L3483" s="17" t="str">
        <f aca="false" t="array" ref="L3483:L3483">IFERROR(INDEX(AC3483:AE3483,IF(COUNTA(AC3483:AE3483)=0,"",MAX((AC3483:AE3483&lt;&gt;"")*(COLUMN(AC3483:AE3483)-(COLUMN(AC3483)-2))))-1),"")</f>
        <v>ARCHIVED</v>
      </c>
      <c r="M3483" s="13" t="n">
        <f aca="true">K3483-TODAY()</f>
        <v>63</v>
      </c>
      <c r="N3483" s="18" t="s">
        <v>36</v>
      </c>
      <c r="O3483" s="13" t="s">
        <v>8136</v>
      </c>
      <c r="P3483" s="27" t="n">
        <v>5195401</v>
      </c>
      <c r="Q3483" s="47" t="s">
        <v>14245</v>
      </c>
      <c r="R3483" s="13" t="s">
        <v>255</v>
      </c>
      <c r="S3483" s="16" t="n">
        <v>37382</v>
      </c>
      <c r="T3483" s="13" t="s">
        <v>40</v>
      </c>
      <c r="U3483" s="13" t="s">
        <v>14246</v>
      </c>
      <c r="V3483" s="13" t="s">
        <v>42</v>
      </c>
      <c r="W3483" s="13" t="s">
        <v>43</v>
      </c>
      <c r="X3483" s="30" t="n">
        <v>89847411249</v>
      </c>
      <c r="Y3483" s="22" t="str">
        <f aca="false">O3483</f>
        <v>Analis Lab</v>
      </c>
      <c r="Z3483" s="13" t="str">
        <f aca="false">IFERROR(__xludf.dummyfunction("if(BJ3483="""","""",GOOGLETRANSLATE(BJ3483,""auto"",""en""))"),"Lab Analyst")</f>
        <v>Lab Analyst</v>
      </c>
      <c r="AA3483" s="23" t="str">
        <f aca="false">IF(C3483="","", CHOOSE(MONTH(C3483),"January","February","March","April","May","June","July","August","September","October","November","December")&amp;" "&amp;DAY(C3483)&amp;MID("thstndrdth",MIN(9,2*RIGHT(DAY(C3483))*(MOD(DAY(C3483)-11,100)&gt;2)+1),2)&amp;","&amp;TEXT(C3483," yyyy"))</f>
        <v>April 13th,2026</v>
      </c>
      <c r="AB3483" s="15" t="str">
        <f aca="true">IF(S3483="","",DATEDIF(S3483,TODAY(),"Y")&amp;" Tahun, "&amp;DATEDIF(S3483,TODAY(),"YM")&amp;" Bulan, "&amp;DATEDIF(S3483,TODAY(),"MD")&amp;" Hari")</f>
        <v>24 Tahun, 5 Bulan, 23 Hari</v>
      </c>
      <c r="AC3483" s="18" t="n">
        <v>46125</v>
      </c>
      <c r="AD3483" s="18" t="n">
        <v>46387</v>
      </c>
      <c r="AE3483" s="13" t="s">
        <v>44</v>
      </c>
    </row>
    <row r="3484" customFormat="false" ht="15" hidden="false" customHeight="true" outlineLevel="0" collapsed="false">
      <c r="A3484" s="12" t="n">
        <v>22102</v>
      </c>
      <c r="B3484" s="13" t="s">
        <v>14247</v>
      </c>
      <c r="C3484" s="16" t="n">
        <v>46122</v>
      </c>
      <c r="D3484" s="13" t="s">
        <v>774</v>
      </c>
      <c r="E3484" s="15" t="s">
        <v>47</v>
      </c>
      <c r="F3484" s="15" t="str">
        <f aca="false">IFERROR(__xludf.dummyfunction("XLOOKUP(AJ3484,IMPORTRANGE(""1XaInW9DU9nz21V0tYIfzFQ0He9kVQ_JF2mCXgZ3hqFA"",""REKAP ALL 2026 - Andika!G:G""),IMPORTRANGE(""1XaInW9DU9nz21V0tYIfzFQ0He9kVQ_JF2mCXgZ3hqFA"",""REKAP ALL 2026 - Andika!F:F""),"""",0)"),"26062993188")</f>
        <v>26062993188</v>
      </c>
      <c r="G3484" s="13" t="s">
        <v>1127</v>
      </c>
      <c r="H3484" s="13" t="s">
        <v>35</v>
      </c>
      <c r="I3484" s="13" t="str">
        <f aca="false">IF(C3484=J3484,"NEW KONTRAK","RE-KONTRAK")</f>
        <v>NEW KONTRAK</v>
      </c>
      <c r="J3484" s="16" t="n">
        <f aca="false" t="array" ref="J3484:J3484">IFERROR(INDEX(AC3484:AE3484,IF(COUNTA(AC3484:AE3484)=0,"",MAX((AC3484:AE3484&lt;&gt;"")*(COLUMN(AC3484:AE3484)-(COLUMN(AC3484)))))-1),"")</f>
        <v>46122</v>
      </c>
      <c r="K3484" s="16" t="n">
        <f aca="false" t="array" ref="K3484:K3484">IFERROR(INDEX(AC3484:AE3484,IF(COUNTA(AC3484:AE3484)=0,"",MAX((AC3484:AE3484&lt;&gt;"")*(COLUMN(AC3484:AE3484)-(COLUMN(AC3484)-1))))-1),"")</f>
        <v>46295</v>
      </c>
      <c r="L3484" s="17" t="str">
        <f aca="false" t="array" ref="L3484:L3484">IFERROR(INDEX(AC3484:AE3484,IF(COUNTA(AC3484:AE3484)=0,"",MAX((AC3484:AE3484&lt;&gt;"")*(COLUMN(AC3484:AE3484)-(COLUMN(AC3484)-2))))-1),"")</f>
        <v>KEMBALI</v>
      </c>
      <c r="M3484" s="13" t="n">
        <f aca="true">K3484-TODAY()</f>
        <v>-29</v>
      </c>
      <c r="N3484" s="18" t="s">
        <v>36</v>
      </c>
      <c r="O3484" s="13" t="s">
        <v>14226</v>
      </c>
      <c r="P3484" s="19" t="n">
        <v>3500000</v>
      </c>
      <c r="Q3484" s="47" t="s">
        <v>14248</v>
      </c>
      <c r="R3484" s="13" t="s">
        <v>39</v>
      </c>
      <c r="S3484" s="16" t="n">
        <v>38479</v>
      </c>
      <c r="T3484" s="13" t="s">
        <v>40</v>
      </c>
      <c r="U3484" s="13" t="s">
        <v>10463</v>
      </c>
      <c r="V3484" s="13" t="s">
        <v>42</v>
      </c>
      <c r="W3484" s="13" t="s">
        <v>43</v>
      </c>
      <c r="X3484" s="30" t="n">
        <v>81235213568</v>
      </c>
      <c r="Y3484" s="22" t="str">
        <f aca="false">O3484</f>
        <v>Warehouse (Gudang)</v>
      </c>
      <c r="Z3484" s="13" t="str">
        <f aca="false">IFERROR(__xludf.dummyfunction("if(BJ3484="""","""",GOOGLETRANSLATE(BJ3484,""auto"",""en""))"),"Warehouse")</f>
        <v>Warehouse</v>
      </c>
      <c r="AA3484" s="23" t="str">
        <f aca="false">IF(C3484="","", CHOOSE(MONTH(C3484),"January","February","March","April","May","June","July","August","September","October","November","December")&amp;" "&amp;DAY(C3484)&amp;MID("thstndrdth",MIN(9,2*RIGHT(DAY(C3484))*(MOD(DAY(C3484)-11,100)&gt;2)+1),2)&amp;","&amp;TEXT(C3484," yyyy"))</f>
        <v>April 10th,2026</v>
      </c>
      <c r="AB3484" s="15" t="str">
        <f aca="true">IF(S3484="","",DATEDIF(S3484,TODAY(),"Y")&amp;" Tahun, "&amp;DATEDIF(S3484,TODAY(),"YM")&amp;" Bulan, "&amp;DATEDIF(S3484,TODAY(),"MD")&amp;" Hari")</f>
        <v>21 Tahun, 5 Bulan, 22 Hari</v>
      </c>
      <c r="AC3484" s="18" t="n">
        <v>46122</v>
      </c>
      <c r="AD3484" s="18" t="n">
        <v>46295</v>
      </c>
      <c r="AE3484" s="13" t="s">
        <v>397</v>
      </c>
    </row>
    <row r="3485" customFormat="false" ht="15" hidden="false" customHeight="true" outlineLevel="0" collapsed="false">
      <c r="A3485" s="12" t="n">
        <v>22103</v>
      </c>
      <c r="B3485" s="13" t="s">
        <v>14249</v>
      </c>
      <c r="C3485" s="16" t="n">
        <v>46083</v>
      </c>
      <c r="D3485" s="13" t="s">
        <v>14250</v>
      </c>
      <c r="E3485" s="15" t="s">
        <v>47</v>
      </c>
      <c r="F3485" s="15" t="str">
        <f aca="false">IFERROR(__xludf.dummyfunction("XLOOKUP(AJ3485,IMPORTRANGE(""1XaInW9DU9nz21V0tYIfzFQ0He9kVQ_JF2mCXgZ3hqFA"",""REKAP ALL 2026 - Andika!G:G""),IMPORTRANGE(""1XaInW9DU9nz21V0tYIfzFQ0He9kVQ_JF2mCXgZ3hqFA"",""REKAP ALL 2026 - Andika!F:F""),"""",0)"),"26062985598")</f>
        <v>26062985598</v>
      </c>
      <c r="G3485" s="13" t="s">
        <v>1127</v>
      </c>
      <c r="H3485" s="13" t="s">
        <v>35</v>
      </c>
      <c r="I3485" s="13" t="str">
        <f aca="false">IF(C3485=J3485,"NEW KONTRAK","RE-KONTRAK")</f>
        <v>NEW KONTRAK</v>
      </c>
      <c r="J3485" s="16" t="n">
        <f aca="false" t="array" ref="J3485:J3485">IFERROR(INDEX(AC3485:AE3485,IF(COUNTA(AC3485:AE3485)=0,"",MAX((AC3485:AE3485&lt;&gt;"")*(COLUMN(AC3485:AE3485)-(COLUMN(AC3485)))))-1),"")</f>
        <v>46083</v>
      </c>
      <c r="K3485" s="16" t="n">
        <f aca="false" t="array" ref="K3485:K3485">IFERROR(INDEX(AC3485:AE3485,IF(COUNTA(AC3485:AE3485)=0,"",MAX((AC3485:AE3485&lt;&gt;"")*(COLUMN(AC3485:AE3485)-(COLUMN(AC3485)-1))))-1),"")</f>
        <v>46174</v>
      </c>
      <c r="L3485" s="17" t="str">
        <f aca="false" t="array" ref="L3485:L3485">IFERROR(INDEX(AC3485:AE3485,IF(COUNTA(AC3485:AE3485)=0,"",MAX((AC3485:AE3485&lt;&gt;"")*(COLUMN(AC3485:AE3485)-(COLUMN(AC3485)-2))))-1),"")</f>
        <v>ARCHIVED</v>
      </c>
      <c r="M3485" s="13" t="n">
        <f aca="true">K3485-TODAY()</f>
        <v>-150</v>
      </c>
      <c r="N3485" s="18" t="s">
        <v>728</v>
      </c>
      <c r="O3485" s="28" t="s">
        <v>3271</v>
      </c>
      <c r="P3485" s="19" t="n">
        <v>140000</v>
      </c>
      <c r="Q3485" s="47" t="s">
        <v>14251</v>
      </c>
      <c r="R3485" s="13" t="s">
        <v>73</v>
      </c>
      <c r="S3485" s="16" t="n">
        <v>39232</v>
      </c>
      <c r="T3485" s="28" t="s">
        <v>40</v>
      </c>
      <c r="U3485" s="13" t="s">
        <v>14252</v>
      </c>
      <c r="V3485" s="13" t="s">
        <v>42</v>
      </c>
      <c r="W3485" s="13" t="s">
        <v>43</v>
      </c>
      <c r="X3485" s="21" t="s">
        <v>14253</v>
      </c>
      <c r="Y3485" s="22" t="str">
        <f aca="false">O3485</f>
        <v>Helper</v>
      </c>
      <c r="Z3485" s="28" t="s">
        <v>3271</v>
      </c>
      <c r="AA3485" s="23" t="str">
        <f aca="false">IF(C3485="","", CHOOSE(MONTH(C3485),"January","February","March","April","May","June","July","August","September","October","November","December")&amp;" "&amp;DAY(C3485)&amp;MID("thstndrdth",MIN(9,2*RIGHT(DAY(C3485))*(MOD(DAY(C3485)-11,100)&gt;2)+1),2)&amp;","&amp;TEXT(C3485," yyyy"))</f>
        <v>March 2nd,2026</v>
      </c>
      <c r="AB3485" s="15" t="str">
        <f aca="true">IF(S3485="","",DATEDIF(S3485,TODAY(),"Y")&amp;" Tahun, "&amp;DATEDIF(S3485,TODAY(),"YM")&amp;" Bulan, "&amp;DATEDIF(S3485,TODAY(),"MD")&amp;" Hari")</f>
        <v>19 Tahun, 4 Bulan, 29 Hari</v>
      </c>
      <c r="AC3485" s="70" t="n">
        <v>46083</v>
      </c>
      <c r="AD3485" s="70" t="n">
        <f aca="false">EDATE(AC3485,3)-1</f>
        <v>46174</v>
      </c>
      <c r="AE3485" s="112" t="s">
        <v>44</v>
      </c>
    </row>
    <row r="3486" customFormat="false" ht="15" hidden="false" customHeight="true" outlineLevel="0" collapsed="false">
      <c r="A3486" s="12" t="n">
        <v>22104</v>
      </c>
      <c r="B3486" s="13" t="s">
        <v>14254</v>
      </c>
      <c r="C3486" s="16" t="n">
        <v>46083</v>
      </c>
      <c r="D3486" s="13" t="s">
        <v>14250</v>
      </c>
      <c r="E3486" s="15" t="s">
        <v>47</v>
      </c>
      <c r="F3486" s="15" t="str">
        <f aca="false">IFERROR(__xludf.dummyfunction("XLOOKUP(AJ3486,IMPORTRANGE(""1XaInW9DU9nz21V0tYIfzFQ0He9kVQ_JF2mCXgZ3hqFA"",""REKAP ALL 2026 - Andika!G:G""),IMPORTRANGE(""1XaInW9DU9nz21V0tYIfzFQ0He9kVQ_JF2mCXgZ3hqFA"",""REKAP ALL 2026 - Andika!F:F""),"""",0)"),"26062983239")</f>
        <v>26062983239</v>
      </c>
      <c r="G3486" s="13" t="s">
        <v>1127</v>
      </c>
      <c r="H3486" s="13" t="s">
        <v>35</v>
      </c>
      <c r="I3486" s="13" t="str">
        <f aca="false">IF(C3486=J3486,"NEW KONTRAK","RE-KONTRAK")</f>
        <v>NEW KONTRAK</v>
      </c>
      <c r="J3486" s="16" t="n">
        <f aca="false" t="array" ref="J3486:J3486">IFERROR(INDEX(AC3486:AE3486,IF(COUNTA(AC3486:AE3486)=0,"",MAX((AC3486:AE3486&lt;&gt;"")*(COLUMN(AC3486:AE3486)-(COLUMN(AC3486)))))-1),"")</f>
        <v>46083</v>
      </c>
      <c r="K3486" s="16" t="n">
        <f aca="false" t="array" ref="K3486:K3486">IFERROR(INDEX(AC3486:AE3486,IF(COUNTA(AC3486:AE3486)=0,"",MAX((AC3486:AE3486&lt;&gt;"")*(COLUMN(AC3486:AE3486)-(COLUMN(AC3486)-1))))-1),"")</f>
        <v>46174</v>
      </c>
      <c r="L3486" s="17" t="str">
        <f aca="false" t="array" ref="L3486:L3486">IFERROR(INDEX(AC3486:AE3486,IF(COUNTA(AC3486:AE3486)=0,"",MAX((AC3486:AE3486&lt;&gt;"")*(COLUMN(AC3486:AE3486)-(COLUMN(AC3486)-2))))-1),"")</f>
        <v>ARCHIVED</v>
      </c>
      <c r="M3486" s="13" t="n">
        <f aca="true">K3486-TODAY()</f>
        <v>-150</v>
      </c>
      <c r="N3486" s="18" t="s">
        <v>728</v>
      </c>
      <c r="O3486" s="28" t="s">
        <v>3271</v>
      </c>
      <c r="P3486" s="19" t="n">
        <v>140000</v>
      </c>
      <c r="Q3486" s="47" t="s">
        <v>14255</v>
      </c>
      <c r="R3486" s="13" t="s">
        <v>52</v>
      </c>
      <c r="S3486" s="16" t="n">
        <v>38824</v>
      </c>
      <c r="T3486" s="28" t="s">
        <v>40</v>
      </c>
      <c r="U3486" s="13" t="s">
        <v>14256</v>
      </c>
      <c r="V3486" s="13" t="s">
        <v>42</v>
      </c>
      <c r="W3486" s="13" t="s">
        <v>43</v>
      </c>
      <c r="X3486" s="21" t="s">
        <v>14257</v>
      </c>
      <c r="Y3486" s="22" t="str">
        <f aca="false">O3486</f>
        <v>Helper</v>
      </c>
      <c r="Z3486" s="28" t="s">
        <v>3271</v>
      </c>
      <c r="AA3486" s="23" t="str">
        <f aca="false">IF(C3486="","", CHOOSE(MONTH(C3486),"January","February","March","April","May","June","July","August","September","October","November","December")&amp;" "&amp;DAY(C3486)&amp;MID("thstndrdth",MIN(9,2*RIGHT(DAY(C3486))*(MOD(DAY(C3486)-11,100)&gt;2)+1),2)&amp;","&amp;TEXT(C3486," yyyy"))</f>
        <v>March 2nd,2026</v>
      </c>
      <c r="AB3486" s="15" t="str">
        <f aca="true">IF(S3486="","",DATEDIF(S3486,TODAY(),"Y")&amp;" Tahun, "&amp;DATEDIF(S3486,TODAY(),"YM")&amp;" Bulan, "&amp;DATEDIF(S3486,TODAY(),"MD")&amp;" Hari")</f>
        <v>20 Tahun, 6 Bulan, 12 Hari</v>
      </c>
      <c r="AC3486" s="70" t="n">
        <v>46083</v>
      </c>
      <c r="AD3486" s="70" t="n">
        <f aca="false">EDATE(AC3486,3)-1</f>
        <v>46174</v>
      </c>
      <c r="AE3486" s="112" t="s">
        <v>44</v>
      </c>
    </row>
    <row r="3487" customFormat="false" ht="15" hidden="false" customHeight="true" outlineLevel="0" collapsed="false">
      <c r="A3487" s="12" t="n">
        <v>22105</v>
      </c>
      <c r="B3487" s="13" t="s">
        <v>14258</v>
      </c>
      <c r="C3487" s="16" t="n">
        <v>46125</v>
      </c>
      <c r="D3487" s="13" t="s">
        <v>1338</v>
      </c>
      <c r="E3487" s="15" t="s">
        <v>102</v>
      </c>
      <c r="F3487" s="15" t="str">
        <f aca="false">IFERROR(__xludf.dummyfunction("XLOOKUP(AJ3487,IMPORTRANGE(""1XaInW9DU9nz21V0tYIfzFQ0He9kVQ_JF2mCXgZ3hqFA"",""REKAP ALL 2026 - Andika!G:G""),IMPORTRANGE(""1XaInW9DU9nz21V0tYIfzFQ0He9kVQ_JF2mCXgZ3hqFA"",""REKAP ALL 2026 - Andika!F:F""),"""",0)"),"26062983858")</f>
        <v>26062983858</v>
      </c>
      <c r="G3487" s="13" t="s">
        <v>57</v>
      </c>
      <c r="H3487" s="13" t="s">
        <v>3024</v>
      </c>
      <c r="I3487" s="13" t="str">
        <f aca="false">IF(C3487=J3487,"NEW KONTRAK","RE-KONTRAK")</f>
        <v>NEW KONTRAK</v>
      </c>
      <c r="J3487" s="16" t="n">
        <f aca="false" t="array" ref="J3487:J3487">IFERROR(INDEX(AC3487:AE3487,IF(COUNTA(AC3487:AE3487)=0,"",MAX((AC3487:AE3487&lt;&gt;"")*(COLUMN(AC3487:AE3487)-(COLUMN(AC3487)))))-1),"")</f>
        <v>46125</v>
      </c>
      <c r="K3487" s="16" t="n">
        <f aca="false" t="array" ref="K3487:K3487">IFERROR(INDEX(AC3487:AE3487,IF(COUNTA(AC3487:AE3487)=0,"",MAX((AC3487:AE3487&lt;&gt;"")*(COLUMN(AC3487:AE3487)-(COLUMN(AC3487)-1))))-1),"")</f>
        <v>46215</v>
      </c>
      <c r="L3487" s="17" t="str">
        <f aca="false" t="array" ref="L3487:L3487">IFERROR(INDEX(AC3487:AE3487,IF(COUNTA(AC3487:AE3487)=0,"",MAX((AC3487:AE3487&lt;&gt;"")*(COLUMN(AC3487:AE3487)-(COLUMN(AC3487)-2))))-1),"")</f>
        <v>KEMBALI</v>
      </c>
      <c r="M3487" s="13" t="n">
        <f aca="true">K3487-TODAY()</f>
        <v>-109</v>
      </c>
      <c r="N3487" s="18" t="s">
        <v>615</v>
      </c>
      <c r="O3487" s="13" t="s">
        <v>2335</v>
      </c>
      <c r="P3487" s="19" t="n">
        <v>160000</v>
      </c>
      <c r="Q3487" s="47" t="s">
        <v>14259</v>
      </c>
      <c r="R3487" s="13" t="s">
        <v>73</v>
      </c>
      <c r="S3487" s="16" t="n">
        <v>33606</v>
      </c>
      <c r="T3487" s="28" t="s">
        <v>40</v>
      </c>
      <c r="U3487" s="13" t="s">
        <v>14260</v>
      </c>
      <c r="V3487" s="13" t="s">
        <v>99</v>
      </c>
      <c r="W3487" s="13" t="s">
        <v>54</v>
      </c>
      <c r="X3487" s="30" t="n">
        <v>81244206788</v>
      </c>
      <c r="Y3487" s="22" t="str">
        <f aca="false">O3487</f>
        <v>Project Management</v>
      </c>
      <c r="Z3487" s="13" t="str">
        <f aca="false">IFERROR(__xludf.dummyfunction("if(BJ3487="""","""",GOOGLETRANSLATE(BJ3487,""auto"",""en""))"),"Project Management")</f>
        <v>Project Management</v>
      </c>
      <c r="AA3487" s="23" t="str">
        <f aca="false">IF(C3487="","", CHOOSE(MONTH(C3487),"January","February","March","April","May","June","July","August","September","October","November","December")&amp;" "&amp;DAY(C3487)&amp;MID("thstndrdth",MIN(9,2*RIGHT(DAY(C3487))*(MOD(DAY(C3487)-11,100)&gt;2)+1),2)&amp;","&amp;TEXT(C3487," yyyy"))</f>
        <v>April 13th,2026</v>
      </c>
      <c r="AB3487" s="15" t="str">
        <f aca="true">IF(S3487="","",DATEDIF(S3487,TODAY(),"Y")&amp;" Tahun, "&amp;DATEDIF(S3487,TODAY(),"YM")&amp;" Bulan, "&amp;DATEDIF(S3487,TODAY(),"MD")&amp;" Hari")</f>
        <v>34 Tahun, 9 Bulan, 26 Hari</v>
      </c>
      <c r="AC3487" s="18" t="n">
        <v>46125</v>
      </c>
      <c r="AD3487" s="18" t="n">
        <v>46215</v>
      </c>
      <c r="AE3487" s="13" t="s">
        <v>397</v>
      </c>
    </row>
    <row r="3488" customFormat="false" ht="15" hidden="false" customHeight="true" outlineLevel="0" collapsed="false">
      <c r="A3488" s="12" t="n">
        <v>22106</v>
      </c>
      <c r="B3488" s="13" t="s">
        <v>14261</v>
      </c>
      <c r="C3488" s="16" t="n">
        <v>46125</v>
      </c>
      <c r="D3488" s="13" t="s">
        <v>1338</v>
      </c>
      <c r="E3488" s="15" t="s">
        <v>47</v>
      </c>
      <c r="F3488" s="15" t="str">
        <f aca="false">IFERROR(__xludf.dummyfunction("XLOOKUP(AJ3488,IMPORTRANGE(""1XaInW9DU9nz21V0tYIfzFQ0He9kVQ_JF2mCXgZ3hqFA"",""REKAP ALL 2026 - Andika!G:G""),IMPORTRANGE(""1XaInW9DU9nz21V0tYIfzFQ0He9kVQ_JF2mCXgZ3hqFA"",""REKAP ALL 2026 - Andika!F:F""),"""",0)"),"26062983874")</f>
        <v>26062983874</v>
      </c>
      <c r="G3488" s="13" t="s">
        <v>57</v>
      </c>
      <c r="H3488" s="13" t="s">
        <v>3024</v>
      </c>
      <c r="I3488" s="13" t="str">
        <f aca="false">IF(C3488=J3488,"NEW KONTRAK","RE-KONTRAK")</f>
        <v>NEW KONTRAK</v>
      </c>
      <c r="J3488" s="16" t="n">
        <f aca="false" t="array" ref="J3488:J3488">IFERROR(INDEX(AC3488:AE3488,IF(COUNTA(AC3488:AE3488)=0,"",MAX((AC3488:AE3488&lt;&gt;"")*(COLUMN(AC3488:AE3488)-(COLUMN(AC3488)))))-1),"")</f>
        <v>46125</v>
      </c>
      <c r="K3488" s="16" t="n">
        <f aca="false" t="array" ref="K3488:K3488">IFERROR(INDEX(AC3488:AE3488,IF(COUNTA(AC3488:AE3488)=0,"",MAX((AC3488:AE3488&lt;&gt;"")*(COLUMN(AC3488:AE3488)-(COLUMN(AC3488)-1))))-1),"")</f>
        <v>46215</v>
      </c>
      <c r="L3488" s="17" t="str">
        <f aca="false" t="array" ref="L3488:L3488">IFERROR(INDEX(AC3488:AE3488,IF(COUNTA(AC3488:AE3488)=0,"",MAX((AC3488:AE3488&lt;&gt;"")*(COLUMN(AC3488:AE3488)-(COLUMN(AC3488)-2))))-1),"")</f>
        <v>KEMBALI</v>
      </c>
      <c r="M3488" s="13" t="n">
        <f aca="true">K3488-TODAY()</f>
        <v>-109</v>
      </c>
      <c r="N3488" s="18" t="s">
        <v>615</v>
      </c>
      <c r="O3488" s="13" t="s">
        <v>2335</v>
      </c>
      <c r="P3488" s="19" t="n">
        <v>160000</v>
      </c>
      <c r="Q3488" s="47" t="s">
        <v>14262</v>
      </c>
      <c r="R3488" s="13" t="s">
        <v>232</v>
      </c>
      <c r="S3488" s="16" t="n">
        <v>39070</v>
      </c>
      <c r="T3488" s="28" t="s">
        <v>40</v>
      </c>
      <c r="U3488" s="13" t="s">
        <v>14263</v>
      </c>
      <c r="V3488" s="13" t="s">
        <v>42</v>
      </c>
      <c r="W3488" s="13" t="s">
        <v>43</v>
      </c>
      <c r="X3488" s="30" t="n">
        <v>85217121003</v>
      </c>
      <c r="Y3488" s="22" t="str">
        <f aca="false">O3488</f>
        <v>Project Management</v>
      </c>
      <c r="Z3488" s="13" t="str">
        <f aca="false">IFERROR(__xludf.dummyfunction("if(BJ3488="""","""",GOOGLETRANSLATE(BJ3488,""auto"",""en""))"),"Project Management")</f>
        <v>Project Management</v>
      </c>
      <c r="AA3488" s="23" t="str">
        <f aca="false">IF(C3488="","", CHOOSE(MONTH(C3488),"January","February","March","April","May","June","July","August","September","October","November","December")&amp;" "&amp;DAY(C3488)&amp;MID("thstndrdth",MIN(9,2*RIGHT(DAY(C3488))*(MOD(DAY(C3488)-11,100)&gt;2)+1),2)&amp;","&amp;TEXT(C3488," yyyy"))</f>
        <v>April 13th,2026</v>
      </c>
      <c r="AB3488" s="15" t="str">
        <f aca="true">IF(S3488="","",DATEDIF(S3488,TODAY(),"Y")&amp;" Tahun, "&amp;DATEDIF(S3488,TODAY(),"YM")&amp;" Bulan, "&amp;DATEDIF(S3488,TODAY(),"MD")&amp;" Hari")</f>
        <v>19 Tahun, 10 Bulan, 10 Hari</v>
      </c>
      <c r="AC3488" s="18" t="n">
        <v>46125</v>
      </c>
      <c r="AD3488" s="18" t="n">
        <v>46215</v>
      </c>
      <c r="AE3488" s="13" t="s">
        <v>397</v>
      </c>
    </row>
    <row r="3489" customFormat="false" ht="15" hidden="false" customHeight="true" outlineLevel="0" collapsed="false">
      <c r="A3489" s="12" t="n">
        <v>22107</v>
      </c>
      <c r="B3489" s="13" t="s">
        <v>14264</v>
      </c>
      <c r="C3489" s="16" t="n">
        <v>46128</v>
      </c>
      <c r="D3489" s="13" t="s">
        <v>7948</v>
      </c>
      <c r="E3489" s="15" t="s">
        <v>7949</v>
      </c>
      <c r="F3489" s="15" t="str">
        <f aca="false">IFERROR(__xludf.dummyfunction("XLOOKUP(AJ3489,IMPORTRANGE(""1XaInW9DU9nz21V0tYIfzFQ0He9kVQ_JF2mCXgZ3hqFA"",""REKAP ALL 2026 - Andika!G:G""),IMPORTRANGE(""1XaInW9DU9nz21V0tYIfzFQ0He9kVQ_JF2mCXgZ3hqFA"",""REKAP ALL 2026 - Andika!F:F""),"""",0)"),"26062983908")</f>
        <v>26062983908</v>
      </c>
      <c r="G3489" s="13" t="s">
        <v>57</v>
      </c>
      <c r="H3489" s="13" t="s">
        <v>3024</v>
      </c>
      <c r="I3489" s="13" t="str">
        <f aca="false">IF(C3489=J3489,"NEW KONTRAK","RE-KONTRAK")</f>
        <v>NEW KONTRAK</v>
      </c>
      <c r="J3489" s="16" t="n">
        <f aca="false" t="array" ref="J3489:J3489">IFERROR(INDEX(AC3489:AE3489,IF(COUNTA(AC3489:AE3489)=0,"",MAX((AC3489:AE3489&lt;&gt;"")*(COLUMN(AC3489:AE3489)-(COLUMN(AC3489)))))-1),"")</f>
        <v>46128</v>
      </c>
      <c r="K3489" s="16" t="n">
        <f aca="false" t="array" ref="K3489:K3489">IFERROR(INDEX(AC3489:AE3489,IF(COUNTA(AC3489:AE3489)=0,"",MAX((AC3489:AE3489&lt;&gt;"")*(COLUMN(AC3489:AE3489)-(COLUMN(AC3489)-1))))-1),"")</f>
        <v>46218</v>
      </c>
      <c r="L3489" s="17" t="str">
        <f aca="false" t="array" ref="L3489:L3489">IFERROR(INDEX(AC3489:AE3489,IF(COUNTA(AC3489:AE3489)=0,"",MAX((AC3489:AE3489&lt;&gt;"")*(COLUMN(AC3489:AE3489)-(COLUMN(AC3489)-2))))-1),"")</f>
        <v>KEMBALI ONLINE</v>
      </c>
      <c r="M3489" s="13" t="n">
        <f aca="true">K3489-TODAY()</f>
        <v>-106</v>
      </c>
      <c r="N3489" s="18" t="s">
        <v>4051</v>
      </c>
      <c r="O3489" s="13" t="s">
        <v>7951</v>
      </c>
      <c r="P3489" s="19" t="n">
        <v>210000</v>
      </c>
      <c r="Q3489" s="47" t="s">
        <v>14265</v>
      </c>
      <c r="R3489" s="13" t="s">
        <v>232</v>
      </c>
      <c r="S3489" s="16" t="n">
        <v>29212</v>
      </c>
      <c r="T3489" s="28" t="s">
        <v>40</v>
      </c>
      <c r="U3489" s="13" t="s">
        <v>14266</v>
      </c>
      <c r="V3489" s="13" t="s">
        <v>42</v>
      </c>
      <c r="W3489" s="13" t="s">
        <v>54</v>
      </c>
      <c r="X3489" s="21" t="s">
        <v>14267</v>
      </c>
      <c r="Y3489" s="22" t="str">
        <f aca="false">O3489</f>
        <v>Mekanik Kiln</v>
      </c>
      <c r="Z3489" s="13" t="str">
        <f aca="false">IFERROR(__xludf.dummyfunction("if(BJ3489="""","""",GOOGLETRANSLATE(BJ3489,""auto"",""en""))"),"Kiln Mechanics")</f>
        <v>Kiln Mechanics</v>
      </c>
      <c r="AA3489" s="23" t="str">
        <f aca="false">IF(C3489="","", CHOOSE(MONTH(C3489),"January","February","March","April","May","June","July","August","September","October","November","December")&amp;" "&amp;DAY(C3489)&amp;MID("thstndrdth",MIN(9,2*RIGHT(DAY(C3489))*(MOD(DAY(C3489)-11,100)&gt;2)+1),2)&amp;","&amp;TEXT(C3489," yyyy"))</f>
        <v>April 16th,2026</v>
      </c>
      <c r="AB3489" s="15" t="str">
        <f aca="true">IF(S3489="","",DATEDIF(S3489,TODAY(),"Y")&amp;" Tahun, "&amp;DATEDIF(S3489,TODAY(),"YM")&amp;" Bulan, "&amp;DATEDIF(S3489,TODAY(),"MD")&amp;" Hari")</f>
        <v>46 Tahun, 10 Bulan, 6 Hari</v>
      </c>
      <c r="AC3489" s="18" t="n">
        <v>46128</v>
      </c>
      <c r="AD3489" s="18" t="n">
        <v>46218</v>
      </c>
      <c r="AE3489" s="13" t="s">
        <v>2387</v>
      </c>
    </row>
    <row r="3490" customFormat="false" ht="15" hidden="false" customHeight="true" outlineLevel="0" collapsed="false">
      <c r="A3490" s="12" t="n">
        <v>22108</v>
      </c>
      <c r="B3490" s="13" t="s">
        <v>14268</v>
      </c>
      <c r="C3490" s="16" t="n">
        <v>46128</v>
      </c>
      <c r="D3490" s="13" t="s">
        <v>7948</v>
      </c>
      <c r="E3490" s="15" t="s">
        <v>7949</v>
      </c>
      <c r="F3490" s="15" t="str">
        <f aca="false">IFERROR(__xludf.dummyfunction("XLOOKUP(AJ3490,IMPORTRANGE(""1XaInW9DU9nz21V0tYIfzFQ0He9kVQ_JF2mCXgZ3hqFA"",""REKAP ALL 2026 - Andika!G:G""),IMPORTRANGE(""1XaInW9DU9nz21V0tYIfzFQ0He9kVQ_JF2mCXgZ3hqFA"",""REKAP ALL 2026 - Andika!F:F""),"""",0)"),"26062983916")</f>
        <v>26062983916</v>
      </c>
      <c r="G3490" s="13" t="s">
        <v>57</v>
      </c>
      <c r="H3490" s="13" t="s">
        <v>3024</v>
      </c>
      <c r="I3490" s="13" t="str">
        <f aca="false">IF(C3490=J3490,"NEW KONTRAK","RE-KONTRAK")</f>
        <v>NEW KONTRAK</v>
      </c>
      <c r="J3490" s="16" t="n">
        <f aca="false" t="array" ref="J3490:J3490">IFERROR(INDEX(AC3490:AE3490,IF(COUNTA(AC3490:AE3490)=0,"",MAX((AC3490:AE3490&lt;&gt;"")*(COLUMN(AC3490:AE3490)-(COLUMN(AC3490)))))-1),"")</f>
        <v>46128</v>
      </c>
      <c r="K3490" s="16" t="n">
        <f aca="false" t="array" ref="K3490:K3490">IFERROR(INDEX(AC3490:AE3490,IF(COUNTA(AC3490:AE3490)=0,"",MAX((AC3490:AE3490&lt;&gt;"")*(COLUMN(AC3490:AE3490)-(COLUMN(AC3490)-1))))-1),"")</f>
        <v>46218</v>
      </c>
      <c r="L3490" s="17" t="str">
        <f aca="false" t="array" ref="L3490:L3490">IFERROR(INDEX(AC3490:AE3490,IF(COUNTA(AC3490:AE3490)=0,"",MAX((AC3490:AE3490&lt;&gt;"")*(COLUMN(AC3490:AE3490)-(COLUMN(AC3490)-2))))-1),"")</f>
        <v>KEMBALI ONLINE</v>
      </c>
      <c r="M3490" s="13" t="n">
        <f aca="true">K3490-TODAY()</f>
        <v>-106</v>
      </c>
      <c r="N3490" s="18" t="s">
        <v>4051</v>
      </c>
      <c r="O3490" s="13" t="s">
        <v>7951</v>
      </c>
      <c r="P3490" s="19" t="n">
        <v>210000</v>
      </c>
      <c r="Q3490" s="47" t="s">
        <v>14269</v>
      </c>
      <c r="R3490" s="13" t="s">
        <v>232</v>
      </c>
      <c r="S3490" s="16" t="n">
        <v>29512</v>
      </c>
      <c r="T3490" s="28" t="s">
        <v>40</v>
      </c>
      <c r="U3490" s="13" t="s">
        <v>14270</v>
      </c>
      <c r="V3490" s="13" t="s">
        <v>42</v>
      </c>
      <c r="W3490" s="13" t="s">
        <v>54</v>
      </c>
      <c r="X3490" s="21" t="s">
        <v>14271</v>
      </c>
      <c r="Y3490" s="22" t="str">
        <f aca="false">O3490</f>
        <v>Mekanik Kiln</v>
      </c>
      <c r="Z3490" s="13" t="str">
        <f aca="false">IFERROR(__xludf.dummyfunction("if(BJ3490="""","""",GOOGLETRANSLATE(BJ3490,""auto"",""en""))"),"Kiln Mechanics")</f>
        <v>Kiln Mechanics</v>
      </c>
      <c r="AA3490" s="23" t="str">
        <f aca="false">IF(C3490="","", CHOOSE(MONTH(C3490),"January","February","March","April","May","June","July","August","September","October","November","December")&amp;" "&amp;DAY(C3490)&amp;MID("thstndrdth",MIN(9,2*RIGHT(DAY(C3490))*(MOD(DAY(C3490)-11,100)&gt;2)+1),2)&amp;","&amp;TEXT(C3490," yyyy"))</f>
        <v>April 16th,2026</v>
      </c>
      <c r="AB3490" s="15" t="str">
        <f aca="true">IF(S3490="","",DATEDIF(S3490,TODAY(),"Y")&amp;" Tahun, "&amp;DATEDIF(S3490,TODAY(),"YM")&amp;" Bulan, "&amp;DATEDIF(S3490,TODAY(),"MD")&amp;" Hari")</f>
        <v>46 Tahun, 0 Bulan, 11 Hari</v>
      </c>
      <c r="AC3490" s="18" t="n">
        <v>46128</v>
      </c>
      <c r="AD3490" s="18" t="n">
        <v>46218</v>
      </c>
      <c r="AE3490" s="13" t="s">
        <v>2387</v>
      </c>
    </row>
    <row r="3491" customFormat="false" ht="15" hidden="false" customHeight="true" outlineLevel="0" collapsed="false">
      <c r="A3491" s="12" t="n">
        <v>22109</v>
      </c>
      <c r="B3491" s="13" t="s">
        <v>14272</v>
      </c>
      <c r="C3491" s="16" t="n">
        <v>46128</v>
      </c>
      <c r="D3491" s="13" t="s">
        <v>7948</v>
      </c>
      <c r="E3491" s="15" t="s">
        <v>7949</v>
      </c>
      <c r="F3491" s="15" t="str">
        <f aca="false">IFERROR(__xludf.dummyfunction("XLOOKUP(AJ3491,IMPORTRANGE(""1XaInW9DU9nz21V0tYIfzFQ0He9kVQ_JF2mCXgZ3hqFA"",""REKAP ALL 2026 - Andika!G:G""),IMPORTRANGE(""1XaInW9DU9nz21V0tYIfzFQ0He9kVQ_JF2mCXgZ3hqFA"",""REKAP ALL 2026 - Andika!F:F""),"""",0)"),"26062983940")</f>
        <v>26062983940</v>
      </c>
      <c r="G3491" s="13" t="s">
        <v>57</v>
      </c>
      <c r="H3491" s="13" t="s">
        <v>3024</v>
      </c>
      <c r="I3491" s="13" t="str">
        <f aca="false">IF(C3491=J3491,"NEW KONTRAK","RE-KONTRAK")</f>
        <v>NEW KONTRAK</v>
      </c>
      <c r="J3491" s="16" t="n">
        <f aca="false" t="array" ref="J3491:J3491">IFERROR(INDEX(AC3491:AE3491,IF(COUNTA(AC3491:AE3491)=0,"",MAX((AC3491:AE3491&lt;&gt;"")*(COLUMN(AC3491:AE3491)-(COLUMN(AC3491)))))-1),"")</f>
        <v>46128</v>
      </c>
      <c r="K3491" s="16" t="n">
        <f aca="false" t="array" ref="K3491:K3491">IFERROR(INDEX(AC3491:AE3491,IF(COUNTA(AC3491:AE3491)=0,"",MAX((AC3491:AE3491&lt;&gt;"")*(COLUMN(AC3491:AE3491)-(COLUMN(AC3491)-1))))-1),"")</f>
        <v>46218</v>
      </c>
      <c r="L3491" s="17" t="str">
        <f aca="false" t="array" ref="L3491:L3491">IFERROR(INDEX(AC3491:AE3491,IF(COUNTA(AC3491:AE3491)=0,"",MAX((AC3491:AE3491&lt;&gt;"")*(COLUMN(AC3491:AE3491)-(COLUMN(AC3491)-2))))-1),"")</f>
        <v>KEMBALI ONLINE</v>
      </c>
      <c r="M3491" s="13" t="n">
        <f aca="true">K3491-TODAY()</f>
        <v>-106</v>
      </c>
      <c r="N3491" s="18" t="s">
        <v>4051</v>
      </c>
      <c r="O3491" s="13" t="s">
        <v>7951</v>
      </c>
      <c r="P3491" s="19" t="n">
        <v>210000</v>
      </c>
      <c r="Q3491" s="47" t="s">
        <v>14273</v>
      </c>
      <c r="R3491" s="13" t="s">
        <v>401</v>
      </c>
      <c r="S3491" s="16" t="n">
        <v>30517</v>
      </c>
      <c r="T3491" s="28" t="s">
        <v>40</v>
      </c>
      <c r="U3491" s="13" t="s">
        <v>14274</v>
      </c>
      <c r="V3491" s="13" t="s">
        <v>42</v>
      </c>
      <c r="W3491" s="13" t="s">
        <v>54</v>
      </c>
      <c r="X3491" s="21" t="s">
        <v>14275</v>
      </c>
      <c r="Y3491" s="22" t="str">
        <f aca="false">O3491</f>
        <v>Mekanik Kiln</v>
      </c>
      <c r="Z3491" s="13" t="str">
        <f aca="false">IFERROR(__xludf.dummyfunction("if(BJ3491="""","""",GOOGLETRANSLATE(BJ3491,""auto"",""en""))"),"Kiln Mechanics")</f>
        <v>Kiln Mechanics</v>
      </c>
      <c r="AA3491" s="23" t="str">
        <f aca="false">IF(C3491="","", CHOOSE(MONTH(C3491),"January","February","March","April","May","June","July","August","September","October","November","December")&amp;" "&amp;DAY(C3491)&amp;MID("thstndrdth",MIN(9,2*RIGHT(DAY(C3491))*(MOD(DAY(C3491)-11,100)&gt;2)+1),2)&amp;","&amp;TEXT(C3491," yyyy"))</f>
        <v>April 16th,2026</v>
      </c>
      <c r="AB3491" s="15" t="str">
        <f aca="true">IF(S3491="","",DATEDIF(S3491,TODAY(),"Y")&amp;" Tahun, "&amp;DATEDIF(S3491,TODAY(),"YM")&amp;" Bulan, "&amp;DATEDIF(S3491,TODAY(),"MD")&amp;" Hari")</f>
        <v>43 Tahun, 3 Bulan, 9 Hari</v>
      </c>
      <c r="AC3491" s="18" t="n">
        <v>46128</v>
      </c>
      <c r="AD3491" s="18" t="n">
        <v>46218</v>
      </c>
      <c r="AE3491" s="13" t="s">
        <v>2387</v>
      </c>
    </row>
    <row r="3492" customFormat="false" ht="15" hidden="false" customHeight="true" outlineLevel="0" collapsed="false">
      <c r="A3492" s="12" t="n">
        <v>22110</v>
      </c>
      <c r="B3492" s="13" t="s">
        <v>14276</v>
      </c>
      <c r="C3492" s="16" t="n">
        <v>46128</v>
      </c>
      <c r="D3492" s="13" t="s">
        <v>7948</v>
      </c>
      <c r="E3492" s="15" t="s">
        <v>7949</v>
      </c>
      <c r="F3492" s="15" t="str">
        <f aca="false">IFERROR(__xludf.dummyfunction("XLOOKUP(AJ3492,IMPORTRANGE(""1XaInW9DU9nz21V0tYIfzFQ0He9kVQ_JF2mCXgZ3hqFA"",""REKAP ALL 2026 - Andika!G:G""),IMPORTRANGE(""1XaInW9DU9nz21V0tYIfzFQ0He9kVQ_JF2mCXgZ3hqFA"",""REKAP ALL 2026 - Andika!F:F""),"""",0)"),"26062983965")</f>
        <v>26062983965</v>
      </c>
      <c r="G3492" s="13" t="s">
        <v>57</v>
      </c>
      <c r="H3492" s="13" t="s">
        <v>3024</v>
      </c>
      <c r="I3492" s="13" t="str">
        <f aca="false">IF(C3492=J3492,"NEW KONTRAK","RE-KONTRAK")</f>
        <v>NEW KONTRAK</v>
      </c>
      <c r="J3492" s="16" t="n">
        <f aca="false" t="array" ref="J3492:J3492">IFERROR(INDEX(AC3492:AE3492,IF(COUNTA(AC3492:AE3492)=0,"",MAX((AC3492:AE3492&lt;&gt;"")*(COLUMN(AC3492:AE3492)-(COLUMN(AC3492)))))-1),"")</f>
        <v>46128</v>
      </c>
      <c r="K3492" s="16" t="n">
        <f aca="false" t="array" ref="K3492:K3492">IFERROR(INDEX(AC3492:AE3492,IF(COUNTA(AC3492:AE3492)=0,"",MAX((AC3492:AE3492&lt;&gt;"")*(COLUMN(AC3492:AE3492)-(COLUMN(AC3492)-1))))-1),"")</f>
        <v>46218</v>
      </c>
      <c r="L3492" s="17" t="str">
        <f aca="false" t="array" ref="L3492:L3492">IFERROR(INDEX(AC3492:AE3492,IF(COUNTA(AC3492:AE3492)=0,"",MAX((AC3492:AE3492&lt;&gt;"")*(COLUMN(AC3492:AE3492)-(COLUMN(AC3492)-2))))-1),"")</f>
        <v>KEMBALI ONLINE</v>
      </c>
      <c r="M3492" s="13" t="n">
        <f aca="true">K3492-TODAY()</f>
        <v>-106</v>
      </c>
      <c r="N3492" s="18" t="s">
        <v>4051</v>
      </c>
      <c r="O3492" s="13" t="s">
        <v>7951</v>
      </c>
      <c r="P3492" s="19" t="n">
        <v>210000</v>
      </c>
      <c r="Q3492" s="47" t="s">
        <v>14277</v>
      </c>
      <c r="R3492" s="13" t="s">
        <v>260</v>
      </c>
      <c r="S3492" s="16" t="n">
        <v>36165</v>
      </c>
      <c r="T3492" s="28" t="s">
        <v>40</v>
      </c>
      <c r="U3492" s="13" t="s">
        <v>14278</v>
      </c>
      <c r="V3492" s="13" t="s">
        <v>42</v>
      </c>
      <c r="W3492" s="13" t="s">
        <v>54</v>
      </c>
      <c r="X3492" s="21" t="s">
        <v>14279</v>
      </c>
      <c r="Y3492" s="22" t="str">
        <f aca="false">O3492</f>
        <v>Mekanik Kiln</v>
      </c>
      <c r="Z3492" s="13" t="str">
        <f aca="false">IFERROR(__xludf.dummyfunction("if(BJ3492="""","""",GOOGLETRANSLATE(BJ3492,""auto"",""en""))"),"Kiln Mechanics")</f>
        <v>Kiln Mechanics</v>
      </c>
      <c r="AA3492" s="23" t="str">
        <f aca="false">IF(C3492="","", CHOOSE(MONTH(C3492),"January","February","March","April","May","June","July","August","September","October","November","December")&amp;" "&amp;DAY(C3492)&amp;MID("thstndrdth",MIN(9,2*RIGHT(DAY(C3492))*(MOD(DAY(C3492)-11,100)&gt;2)+1),2)&amp;","&amp;TEXT(C3492," yyyy"))</f>
        <v>April 16th,2026</v>
      </c>
      <c r="AB3492" s="15" t="str">
        <f aca="true">IF(S3492="","",DATEDIF(S3492,TODAY(),"Y")&amp;" Tahun, "&amp;DATEDIF(S3492,TODAY(),"YM")&amp;" Bulan, "&amp;DATEDIF(S3492,TODAY(),"MD")&amp;" Hari")</f>
        <v>27 Tahun, 9 Bulan, 24 Hari</v>
      </c>
      <c r="AC3492" s="18" t="n">
        <v>46128</v>
      </c>
      <c r="AD3492" s="18" t="n">
        <v>46218</v>
      </c>
      <c r="AE3492" s="13" t="s">
        <v>2387</v>
      </c>
    </row>
    <row r="3493" customFormat="false" ht="15" hidden="false" customHeight="true" outlineLevel="0" collapsed="false">
      <c r="A3493" s="12" t="n">
        <v>22111</v>
      </c>
      <c r="B3493" s="13" t="s">
        <v>14280</v>
      </c>
      <c r="C3493" s="16" t="n">
        <v>46128</v>
      </c>
      <c r="D3493" s="13" t="s">
        <v>7948</v>
      </c>
      <c r="E3493" s="15" t="s">
        <v>7949</v>
      </c>
      <c r="F3493" s="15" t="str">
        <f aca="false">IFERROR(__xludf.dummyfunction("XLOOKUP(AJ3493,IMPORTRANGE(""1XaInW9DU9nz21V0tYIfzFQ0He9kVQ_JF2mCXgZ3hqFA"",""REKAP ALL 2026 - Andika!G:G""),IMPORTRANGE(""1XaInW9DU9nz21V0tYIfzFQ0He9kVQ_JF2mCXgZ3hqFA"",""REKAP ALL 2026 - Andika!F:F""),"""",0)"),"26062984021")</f>
        <v>26062984021</v>
      </c>
      <c r="G3493" s="13" t="s">
        <v>57</v>
      </c>
      <c r="H3493" s="13" t="s">
        <v>3024</v>
      </c>
      <c r="I3493" s="13" t="str">
        <f aca="false">IF(C3493=J3493,"NEW KONTRAK","RE-KONTRAK")</f>
        <v>NEW KONTRAK</v>
      </c>
      <c r="J3493" s="16" t="n">
        <f aca="false" t="array" ref="J3493:J3493">IFERROR(INDEX(AC3493:AE3493,IF(COUNTA(AC3493:AE3493)=0,"",MAX((AC3493:AE3493&lt;&gt;"")*(COLUMN(AC3493:AE3493)-(COLUMN(AC3493)))))-1),"")</f>
        <v>46128</v>
      </c>
      <c r="K3493" s="16" t="n">
        <f aca="false" t="array" ref="K3493:K3493">IFERROR(INDEX(AC3493:AE3493,IF(COUNTA(AC3493:AE3493)=0,"",MAX((AC3493:AE3493&lt;&gt;"")*(COLUMN(AC3493:AE3493)-(COLUMN(AC3493)-1))))-1),"")</f>
        <v>46218</v>
      </c>
      <c r="L3493" s="17" t="str">
        <f aca="false" t="array" ref="L3493:L3493">IFERROR(INDEX(AC3493:AE3493,IF(COUNTA(AC3493:AE3493)=0,"",MAX((AC3493:AE3493&lt;&gt;"")*(COLUMN(AC3493:AE3493)-(COLUMN(AC3493)-2))))-1),"")</f>
        <v>KEMBALI ONLINE</v>
      </c>
      <c r="M3493" s="13" t="n">
        <f aca="true">K3493-TODAY()</f>
        <v>-106</v>
      </c>
      <c r="N3493" s="18" t="s">
        <v>4051</v>
      </c>
      <c r="O3493" s="13" t="s">
        <v>7951</v>
      </c>
      <c r="P3493" s="19" t="n">
        <v>210000</v>
      </c>
      <c r="Q3493" s="47" t="s">
        <v>14281</v>
      </c>
      <c r="R3493" s="13" t="s">
        <v>6180</v>
      </c>
      <c r="S3493" s="16" t="n">
        <v>30140</v>
      </c>
      <c r="T3493" s="28" t="s">
        <v>40</v>
      </c>
      <c r="U3493" s="13" t="s">
        <v>14282</v>
      </c>
      <c r="V3493" s="13" t="s">
        <v>42</v>
      </c>
      <c r="W3493" s="13" t="s">
        <v>54</v>
      </c>
      <c r="X3493" s="30" t="n">
        <v>82236519941</v>
      </c>
      <c r="Y3493" s="22" t="str">
        <f aca="false">O3493</f>
        <v>Mekanik Kiln</v>
      </c>
      <c r="Z3493" s="13" t="str">
        <f aca="false">IFERROR(__xludf.dummyfunction("if(BJ3493="""","""",GOOGLETRANSLATE(BJ3493,""auto"",""en""))"),"Kiln Mechanics")</f>
        <v>Kiln Mechanics</v>
      </c>
      <c r="AA3493" s="23" t="str">
        <f aca="false">IF(C3493="","", CHOOSE(MONTH(C3493),"January","February","March","April","May","June","July","August","September","October","November","December")&amp;" "&amp;DAY(C3493)&amp;MID("thstndrdth",MIN(9,2*RIGHT(DAY(C3493))*(MOD(DAY(C3493)-11,100)&gt;2)+1),2)&amp;","&amp;TEXT(C3493," yyyy"))</f>
        <v>April 16th,2026</v>
      </c>
      <c r="AB3493" s="15" t="str">
        <f aca="true">IF(S3493="","",DATEDIF(S3493,TODAY(),"Y")&amp;" Tahun, "&amp;DATEDIF(S3493,TODAY(),"YM")&amp;" Bulan, "&amp;DATEDIF(S3493,TODAY(),"MD")&amp;" Hari")</f>
        <v>44 Tahun, 3 Bulan, 21 Hari</v>
      </c>
      <c r="AC3493" s="18" t="n">
        <v>46128</v>
      </c>
      <c r="AD3493" s="18" t="n">
        <v>46218</v>
      </c>
      <c r="AE3493" s="13" t="s">
        <v>2387</v>
      </c>
    </row>
    <row r="3494" customFormat="false" ht="15" hidden="false" customHeight="true" outlineLevel="0" collapsed="false">
      <c r="A3494" s="12" t="n">
        <v>22112</v>
      </c>
      <c r="B3494" s="13" t="s">
        <v>14283</v>
      </c>
      <c r="C3494" s="16" t="n">
        <v>46128</v>
      </c>
      <c r="D3494" s="13" t="s">
        <v>7948</v>
      </c>
      <c r="E3494" s="15" t="s">
        <v>7949</v>
      </c>
      <c r="F3494" s="15" t="str">
        <f aca="false">IFERROR(__xludf.dummyfunction("XLOOKUP(AJ3494,IMPORTRANGE(""1XaInW9DU9nz21V0tYIfzFQ0He9kVQ_JF2mCXgZ3hqFA"",""REKAP ALL 2026 - Andika!G:G""),IMPORTRANGE(""1XaInW9DU9nz21V0tYIfzFQ0He9kVQ_JF2mCXgZ3hqFA"",""REKAP ALL 2026 - Andika!F:F""),"""",0)"),"26062984054")</f>
        <v>26062984054</v>
      </c>
      <c r="G3494" s="13" t="s">
        <v>57</v>
      </c>
      <c r="H3494" s="13" t="s">
        <v>3024</v>
      </c>
      <c r="I3494" s="13" t="str">
        <f aca="false">IF(C3494=J3494,"NEW KONTRAK","RE-KONTRAK")</f>
        <v>NEW KONTRAK</v>
      </c>
      <c r="J3494" s="16" t="n">
        <f aca="false" t="array" ref="J3494:J3494">IFERROR(INDEX(AC3494:AE3494,IF(COUNTA(AC3494:AE3494)=0,"",MAX((AC3494:AE3494&lt;&gt;"")*(COLUMN(AC3494:AE3494)-(COLUMN(AC3494)))))-1),"")</f>
        <v>46128</v>
      </c>
      <c r="K3494" s="16" t="n">
        <f aca="false" t="array" ref="K3494:K3494">IFERROR(INDEX(AC3494:AE3494,IF(COUNTA(AC3494:AE3494)=0,"",MAX((AC3494:AE3494&lt;&gt;"")*(COLUMN(AC3494:AE3494)-(COLUMN(AC3494)-1))))-1),"")</f>
        <v>46218</v>
      </c>
      <c r="L3494" s="17" t="str">
        <f aca="false" t="array" ref="L3494:L3494">IFERROR(INDEX(AC3494:AE3494,IF(COUNTA(AC3494:AE3494)=0,"",MAX((AC3494:AE3494&lt;&gt;"")*(COLUMN(AC3494:AE3494)-(COLUMN(AC3494)-2))))-1),"")</f>
        <v>KEMBALI ONLINE</v>
      </c>
      <c r="M3494" s="13" t="n">
        <f aca="true">K3494-TODAY()</f>
        <v>-106</v>
      </c>
      <c r="N3494" s="18" t="s">
        <v>4051</v>
      </c>
      <c r="O3494" s="13" t="s">
        <v>7951</v>
      </c>
      <c r="P3494" s="19" t="n">
        <v>210000</v>
      </c>
      <c r="Q3494" s="47" t="s">
        <v>14284</v>
      </c>
      <c r="R3494" s="13" t="s">
        <v>232</v>
      </c>
      <c r="S3494" s="16" t="n">
        <v>30331</v>
      </c>
      <c r="T3494" s="28" t="s">
        <v>40</v>
      </c>
      <c r="U3494" s="13" t="s">
        <v>14285</v>
      </c>
      <c r="V3494" s="13" t="s">
        <v>42</v>
      </c>
      <c r="W3494" s="13" t="s">
        <v>54</v>
      </c>
      <c r="X3494" s="21" t="s">
        <v>14286</v>
      </c>
      <c r="Y3494" s="22" t="str">
        <f aca="false">O3494</f>
        <v>Mekanik Kiln</v>
      </c>
      <c r="Z3494" s="13" t="str">
        <f aca="false">IFERROR(__xludf.dummyfunction("if(BJ3494="""","""",GOOGLETRANSLATE(BJ3494,""auto"",""en""))"),"Kiln Mechanics")</f>
        <v>Kiln Mechanics</v>
      </c>
      <c r="AA3494" s="23" t="str">
        <f aca="false">IF(C3494="","", CHOOSE(MONTH(C3494),"January","February","March","April","May","June","July","August","September","October","November","December")&amp;" "&amp;DAY(C3494)&amp;MID("thstndrdth",MIN(9,2*RIGHT(DAY(C3494))*(MOD(DAY(C3494)-11,100)&gt;2)+1),2)&amp;","&amp;TEXT(C3494," yyyy"))</f>
        <v>April 16th,2026</v>
      </c>
      <c r="AB3494" s="15" t="str">
        <f aca="true">IF(S3494="","",DATEDIF(S3494,TODAY(),"Y")&amp;" Tahun, "&amp;DATEDIF(S3494,TODAY(),"YM")&amp;" Bulan, "&amp;DATEDIF(S3494,TODAY(),"MD")&amp;" Hari")</f>
        <v>43 Tahun, 9 Bulan, 14 Hari</v>
      </c>
      <c r="AC3494" s="18" t="n">
        <v>46128</v>
      </c>
      <c r="AD3494" s="18" t="n">
        <v>46218</v>
      </c>
      <c r="AE3494" s="13" t="s">
        <v>2387</v>
      </c>
    </row>
    <row r="3495" customFormat="false" ht="15" hidden="false" customHeight="true" outlineLevel="0" collapsed="false">
      <c r="A3495" s="12" t="n">
        <v>22113</v>
      </c>
      <c r="B3495" s="13" t="s">
        <v>14287</v>
      </c>
      <c r="C3495" s="16" t="n">
        <v>46128</v>
      </c>
      <c r="D3495" s="13" t="s">
        <v>7948</v>
      </c>
      <c r="E3495" s="15" t="s">
        <v>7949</v>
      </c>
      <c r="F3495" s="15" t="str">
        <f aca="false">IFERROR(__xludf.dummyfunction("XLOOKUP(AJ3495,IMPORTRANGE(""1XaInW9DU9nz21V0tYIfzFQ0He9kVQ_JF2mCXgZ3hqFA"",""REKAP ALL 2026 - Andika!G:G""),IMPORTRANGE(""1XaInW9DU9nz21V0tYIfzFQ0He9kVQ_JF2mCXgZ3hqFA"",""REKAP ALL 2026 - Andika!F:F""),"""",0)"),"26062984088")</f>
        <v>26062984088</v>
      </c>
      <c r="G3495" s="13" t="s">
        <v>57</v>
      </c>
      <c r="H3495" s="13" t="s">
        <v>3024</v>
      </c>
      <c r="I3495" s="13" t="str">
        <f aca="false">IF(C3495=J3495,"NEW KONTRAK","RE-KONTRAK")</f>
        <v>NEW KONTRAK</v>
      </c>
      <c r="J3495" s="16" t="n">
        <f aca="false" t="array" ref="J3495:J3495">IFERROR(INDEX(AC3495:AE3495,IF(COUNTA(AC3495:AE3495)=0,"",MAX((AC3495:AE3495&lt;&gt;"")*(COLUMN(AC3495:AE3495)-(COLUMN(AC3495)))))-1),"")</f>
        <v>46128</v>
      </c>
      <c r="K3495" s="16" t="n">
        <f aca="false" t="array" ref="K3495:K3495">IFERROR(INDEX(AC3495:AE3495,IF(COUNTA(AC3495:AE3495)=0,"",MAX((AC3495:AE3495&lt;&gt;"")*(COLUMN(AC3495:AE3495)-(COLUMN(AC3495)-1))))-1),"")</f>
        <v>46218</v>
      </c>
      <c r="L3495" s="17" t="str">
        <f aca="false" t="array" ref="L3495:L3495">IFERROR(INDEX(AC3495:AE3495,IF(COUNTA(AC3495:AE3495)=0,"",MAX((AC3495:AE3495&lt;&gt;"")*(COLUMN(AC3495:AE3495)-(COLUMN(AC3495)-2))))-1),"")</f>
        <v>KEMBALI ONLINE</v>
      </c>
      <c r="M3495" s="13" t="n">
        <f aca="true">K3495-TODAY()</f>
        <v>-106</v>
      </c>
      <c r="N3495" s="18" t="s">
        <v>4051</v>
      </c>
      <c r="O3495" s="13" t="s">
        <v>7951</v>
      </c>
      <c r="P3495" s="19" t="n">
        <v>210000</v>
      </c>
      <c r="Q3495" s="47" t="s">
        <v>14288</v>
      </c>
      <c r="R3495" s="13" t="s">
        <v>232</v>
      </c>
      <c r="S3495" s="16" t="n">
        <v>28556</v>
      </c>
      <c r="T3495" s="28" t="s">
        <v>40</v>
      </c>
      <c r="U3495" s="13" t="s">
        <v>14289</v>
      </c>
      <c r="V3495" s="13" t="s">
        <v>42</v>
      </c>
      <c r="W3495" s="13" t="s">
        <v>54</v>
      </c>
      <c r="X3495" s="21" t="s">
        <v>14290</v>
      </c>
      <c r="Y3495" s="22" t="str">
        <f aca="false">O3495</f>
        <v>Mekanik Kiln</v>
      </c>
      <c r="Z3495" s="13" t="str">
        <f aca="false">IFERROR(__xludf.dummyfunction("if(BJ3495="""","""",GOOGLETRANSLATE(BJ3495,""auto"",""en""))"),"Kiln Mechanics")</f>
        <v>Kiln Mechanics</v>
      </c>
      <c r="AA3495" s="23" t="str">
        <f aca="false">IF(C3495="","", CHOOSE(MONTH(C3495),"January","February","March","April","May","June","July","August","September","October","November","December")&amp;" "&amp;DAY(C3495)&amp;MID("thstndrdth",MIN(9,2*RIGHT(DAY(C3495))*(MOD(DAY(C3495)-11,100)&gt;2)+1),2)&amp;","&amp;TEXT(C3495," yyyy"))</f>
        <v>April 16th,2026</v>
      </c>
      <c r="AB3495" s="15" t="str">
        <f aca="true">IF(S3495="","",DATEDIF(S3495,TODAY(),"Y")&amp;" Tahun, "&amp;DATEDIF(S3495,TODAY(),"YM")&amp;" Bulan, "&amp;DATEDIF(S3495,TODAY(),"MD")&amp;" Hari")</f>
        <v>48 Tahun, 7 Bulan, 22 Hari</v>
      </c>
      <c r="AC3495" s="18" t="n">
        <v>46128</v>
      </c>
      <c r="AD3495" s="18" t="n">
        <v>46218</v>
      </c>
      <c r="AE3495" s="13" t="s">
        <v>2387</v>
      </c>
    </row>
    <row r="3496" customFormat="false" ht="15" hidden="false" customHeight="true" outlineLevel="0" collapsed="false">
      <c r="A3496" s="12" t="n">
        <v>22114</v>
      </c>
      <c r="B3496" s="13" t="s">
        <v>14291</v>
      </c>
      <c r="C3496" s="16" t="n">
        <v>46128</v>
      </c>
      <c r="D3496" s="13" t="s">
        <v>7948</v>
      </c>
      <c r="E3496" s="15" t="s">
        <v>7949</v>
      </c>
      <c r="F3496" s="15" t="str">
        <f aca="false">IFERROR(__xludf.dummyfunction("XLOOKUP(AJ3496,IMPORTRANGE(""1XaInW9DU9nz21V0tYIfzFQ0He9kVQ_JF2mCXgZ3hqFA"",""REKAP ALL 2026 - Andika!G:G""),IMPORTRANGE(""1XaInW9DU9nz21V0tYIfzFQ0He9kVQ_JF2mCXgZ3hqFA"",""REKAP ALL 2026 - Andika!F:F""),"""",0)"),"26062984112")</f>
        <v>26062984112</v>
      </c>
      <c r="G3496" s="13" t="s">
        <v>57</v>
      </c>
      <c r="H3496" s="13" t="s">
        <v>3024</v>
      </c>
      <c r="I3496" s="13" t="str">
        <f aca="false">IF(C3496=J3496,"NEW KONTRAK","RE-KONTRAK")</f>
        <v>NEW KONTRAK</v>
      </c>
      <c r="J3496" s="16" t="n">
        <f aca="false" t="array" ref="J3496:J3496">IFERROR(INDEX(AC3496:AE3496,IF(COUNTA(AC3496:AE3496)=0,"",MAX((AC3496:AE3496&lt;&gt;"")*(COLUMN(AC3496:AE3496)-(COLUMN(AC3496)))))-1),"")</f>
        <v>46128</v>
      </c>
      <c r="K3496" s="16" t="n">
        <f aca="false" t="array" ref="K3496:K3496">IFERROR(INDEX(AC3496:AE3496,IF(COUNTA(AC3496:AE3496)=0,"",MAX((AC3496:AE3496&lt;&gt;"")*(COLUMN(AC3496:AE3496)-(COLUMN(AC3496)-1))))-1),"")</f>
        <v>46218</v>
      </c>
      <c r="L3496" s="17" t="str">
        <f aca="false" t="array" ref="L3496:L3496">IFERROR(INDEX(AC3496:AE3496,IF(COUNTA(AC3496:AE3496)=0,"",MAX((AC3496:AE3496&lt;&gt;"")*(COLUMN(AC3496:AE3496)-(COLUMN(AC3496)-2))))-1),"")</f>
        <v>KEMBALI ONLINE</v>
      </c>
      <c r="M3496" s="13" t="n">
        <f aca="true">K3496-TODAY()</f>
        <v>-106</v>
      </c>
      <c r="N3496" s="18" t="s">
        <v>4051</v>
      </c>
      <c r="O3496" s="13" t="s">
        <v>7951</v>
      </c>
      <c r="P3496" s="19" t="n">
        <v>210000</v>
      </c>
      <c r="Q3496" s="47" t="s">
        <v>14292</v>
      </c>
      <c r="R3496" s="13" t="s">
        <v>148</v>
      </c>
      <c r="S3496" s="16" t="n">
        <v>33416</v>
      </c>
      <c r="T3496" s="28" t="s">
        <v>40</v>
      </c>
      <c r="U3496" s="13" t="s">
        <v>14293</v>
      </c>
      <c r="V3496" s="13" t="s">
        <v>42</v>
      </c>
      <c r="W3496" s="13" t="s">
        <v>54</v>
      </c>
      <c r="X3496" s="21" t="s">
        <v>14294</v>
      </c>
      <c r="Y3496" s="22" t="str">
        <f aca="false">O3496</f>
        <v>Mekanik Kiln</v>
      </c>
      <c r="Z3496" s="13" t="str">
        <f aca="false">IFERROR(__xludf.dummyfunction("if(BJ3496="""","""",GOOGLETRANSLATE(BJ3496,""auto"",""en""))"),"Kiln Mechanics")</f>
        <v>Kiln Mechanics</v>
      </c>
      <c r="AA3496" s="23" t="str">
        <f aca="false">IF(C3496="","", CHOOSE(MONTH(C3496),"January","February","March","April","May","June","July","August","September","October","November","December")&amp;" "&amp;DAY(C3496)&amp;MID("thstndrdth",MIN(9,2*RIGHT(DAY(C3496))*(MOD(DAY(C3496)-11,100)&gt;2)+1),2)&amp;","&amp;TEXT(C3496," yyyy"))</f>
        <v>April 16th,2026</v>
      </c>
      <c r="AB3496" s="15" t="str">
        <f aca="true">IF(S3496="","",DATEDIF(S3496,TODAY(),"Y")&amp;" Tahun, "&amp;DATEDIF(S3496,TODAY(),"YM")&amp;" Bulan, "&amp;DATEDIF(S3496,TODAY(),"MD")&amp;" Hari")</f>
        <v>35 Tahun, 4 Bulan, 2 Hari</v>
      </c>
      <c r="AC3496" s="18" t="n">
        <v>46128</v>
      </c>
      <c r="AD3496" s="18" t="n">
        <v>46218</v>
      </c>
      <c r="AE3496" s="13" t="s">
        <v>2387</v>
      </c>
    </row>
    <row r="3497" customFormat="false" ht="15" hidden="false" customHeight="true" outlineLevel="0" collapsed="false">
      <c r="A3497" s="12" t="n">
        <v>22115</v>
      </c>
      <c r="B3497" s="13" t="s">
        <v>14295</v>
      </c>
      <c r="C3497" s="16" t="n">
        <v>46128</v>
      </c>
      <c r="D3497" s="13" t="s">
        <v>7948</v>
      </c>
      <c r="E3497" s="15" t="s">
        <v>7949</v>
      </c>
      <c r="F3497" s="15" t="str">
        <f aca="false">IFERROR(__xludf.dummyfunction("XLOOKUP(AJ3497,IMPORTRANGE(""1XaInW9DU9nz21V0tYIfzFQ0He9kVQ_JF2mCXgZ3hqFA"",""REKAP ALL 2026 - Andika!G:G""),IMPORTRANGE(""1XaInW9DU9nz21V0tYIfzFQ0He9kVQ_JF2mCXgZ3hqFA"",""REKAP ALL 2026 - Andika!F:F""),"""",0)"),"26062984153")</f>
        <v>26062984153</v>
      </c>
      <c r="G3497" s="13" t="s">
        <v>57</v>
      </c>
      <c r="H3497" s="13" t="s">
        <v>3024</v>
      </c>
      <c r="I3497" s="13" t="str">
        <f aca="false">IF(C3497=J3497,"NEW KONTRAK","RE-KONTRAK")</f>
        <v>NEW KONTRAK</v>
      </c>
      <c r="J3497" s="16" t="n">
        <f aca="false" t="array" ref="J3497:J3497">IFERROR(INDEX(AC3497:AE3497,IF(COUNTA(AC3497:AE3497)=0,"",MAX((AC3497:AE3497&lt;&gt;"")*(COLUMN(AC3497:AE3497)-(COLUMN(AC3497)))))-1),"")</f>
        <v>46128</v>
      </c>
      <c r="K3497" s="16" t="n">
        <f aca="false" t="array" ref="K3497:K3497">IFERROR(INDEX(AC3497:AE3497,IF(COUNTA(AC3497:AE3497)=0,"",MAX((AC3497:AE3497&lt;&gt;"")*(COLUMN(AC3497:AE3497)-(COLUMN(AC3497)-1))))-1),"")</f>
        <v>46218</v>
      </c>
      <c r="L3497" s="17" t="str">
        <f aca="false" t="array" ref="L3497:L3497">IFERROR(INDEX(AC3497:AE3497,IF(COUNTA(AC3497:AE3497)=0,"",MAX((AC3497:AE3497&lt;&gt;"")*(COLUMN(AC3497:AE3497)-(COLUMN(AC3497)-2))))-1),"")</f>
        <v>KEMBALI ONLINE</v>
      </c>
      <c r="M3497" s="13" t="n">
        <f aca="true">K3497-TODAY()</f>
        <v>-106</v>
      </c>
      <c r="N3497" s="18" t="s">
        <v>4051</v>
      </c>
      <c r="O3497" s="13" t="s">
        <v>7951</v>
      </c>
      <c r="P3497" s="19" t="n">
        <v>210000</v>
      </c>
      <c r="Q3497" s="47" t="s">
        <v>14296</v>
      </c>
      <c r="R3497" s="13" t="s">
        <v>232</v>
      </c>
      <c r="S3497" s="16" t="n">
        <v>28526</v>
      </c>
      <c r="T3497" s="28" t="s">
        <v>40</v>
      </c>
      <c r="U3497" s="13" t="s">
        <v>14297</v>
      </c>
      <c r="V3497" s="13" t="s">
        <v>42</v>
      </c>
      <c r="W3497" s="13" t="s">
        <v>54</v>
      </c>
      <c r="X3497" s="21" t="s">
        <v>14298</v>
      </c>
      <c r="Y3497" s="22" t="str">
        <f aca="false">O3497</f>
        <v>Mekanik Kiln</v>
      </c>
      <c r="Z3497" s="13" t="str">
        <f aca="false">IFERROR(__xludf.dummyfunction("if(BJ3497="""","""",GOOGLETRANSLATE(BJ3497,""auto"",""en""))"),"Kiln Mechanics")</f>
        <v>Kiln Mechanics</v>
      </c>
      <c r="AA3497" s="23" t="str">
        <f aca="false">IF(C3497="","", CHOOSE(MONTH(C3497),"January","February","March","April","May","June","July","August","September","October","November","December")&amp;" "&amp;DAY(C3497)&amp;MID("thstndrdth",MIN(9,2*RIGHT(DAY(C3497))*(MOD(DAY(C3497)-11,100)&gt;2)+1),2)&amp;","&amp;TEXT(C3497," yyyy"))</f>
        <v>April 16th,2026</v>
      </c>
      <c r="AB3497" s="15" t="str">
        <f aca="true">IF(S3497="","",DATEDIF(S3497,TODAY(),"Y")&amp;" Tahun, "&amp;DATEDIF(S3497,TODAY(),"YM")&amp;" Bulan, "&amp;DATEDIF(S3497,TODAY(),"MD")&amp;" Hari")</f>
        <v>48 Tahun, 8 Bulan, 24 Hari</v>
      </c>
      <c r="AC3497" s="18" t="n">
        <v>46128</v>
      </c>
      <c r="AD3497" s="18" t="n">
        <v>46218</v>
      </c>
      <c r="AE3497" s="13" t="s">
        <v>2387</v>
      </c>
    </row>
    <row r="3498" customFormat="false" ht="15" hidden="false" customHeight="true" outlineLevel="0" collapsed="false">
      <c r="A3498" s="12" t="n">
        <v>22116</v>
      </c>
      <c r="B3498" s="13" t="s">
        <v>14299</v>
      </c>
      <c r="C3498" s="16" t="n">
        <v>46128</v>
      </c>
      <c r="D3498" s="13" t="s">
        <v>7948</v>
      </c>
      <c r="E3498" s="15" t="s">
        <v>7949</v>
      </c>
      <c r="F3498" s="15" t="str">
        <f aca="false">IFERROR(__xludf.dummyfunction("XLOOKUP(AJ3498,IMPORTRANGE(""1XaInW9DU9nz21V0tYIfzFQ0He9kVQ_JF2mCXgZ3hqFA"",""REKAP ALL 2026 - Andika!G:G""),IMPORTRANGE(""1XaInW9DU9nz21V0tYIfzFQ0He9kVQ_JF2mCXgZ3hqFA"",""REKAP ALL 2026 - Andika!F:F""),"""",0)"),"26062984187")</f>
        <v>26062984187</v>
      </c>
      <c r="G3498" s="13" t="s">
        <v>57</v>
      </c>
      <c r="H3498" s="13" t="s">
        <v>3024</v>
      </c>
      <c r="I3498" s="13" t="str">
        <f aca="false">IF(C3498=J3498,"NEW KONTRAK","RE-KONTRAK")</f>
        <v>NEW KONTRAK</v>
      </c>
      <c r="J3498" s="16" t="n">
        <f aca="false" t="array" ref="J3498:J3498">IFERROR(INDEX(AC3498:AE3498,IF(COUNTA(AC3498:AE3498)=0,"",MAX((AC3498:AE3498&lt;&gt;"")*(COLUMN(AC3498:AE3498)-(COLUMN(AC3498)))))-1),"")</f>
        <v>46128</v>
      </c>
      <c r="K3498" s="16" t="n">
        <f aca="false" t="array" ref="K3498:K3498">IFERROR(INDEX(AC3498:AE3498,IF(COUNTA(AC3498:AE3498)=0,"",MAX((AC3498:AE3498&lt;&gt;"")*(COLUMN(AC3498:AE3498)-(COLUMN(AC3498)-1))))-1),"")</f>
        <v>46218</v>
      </c>
      <c r="L3498" s="17" t="str">
        <f aca="false" t="array" ref="L3498:L3498">IFERROR(INDEX(AC3498:AE3498,IF(COUNTA(AC3498:AE3498)=0,"",MAX((AC3498:AE3498&lt;&gt;"")*(COLUMN(AC3498:AE3498)-(COLUMN(AC3498)-2))))-1),"")</f>
        <v>KEMBALI ONLINE</v>
      </c>
      <c r="M3498" s="13" t="n">
        <f aca="true">K3498-TODAY()</f>
        <v>-106</v>
      </c>
      <c r="N3498" s="18" t="s">
        <v>4051</v>
      </c>
      <c r="O3498" s="13" t="s">
        <v>7951</v>
      </c>
      <c r="P3498" s="19" t="n">
        <v>210000</v>
      </c>
      <c r="Q3498" s="47" t="s">
        <v>14300</v>
      </c>
      <c r="R3498" s="13" t="s">
        <v>39</v>
      </c>
      <c r="S3498" s="16" t="n">
        <v>36574</v>
      </c>
      <c r="T3498" s="28" t="s">
        <v>40</v>
      </c>
      <c r="U3498" s="13" t="s">
        <v>14301</v>
      </c>
      <c r="V3498" s="13" t="s">
        <v>42</v>
      </c>
      <c r="W3498" s="13" t="s">
        <v>54</v>
      </c>
      <c r="X3498" s="21" t="s">
        <v>14302</v>
      </c>
      <c r="Y3498" s="22" t="str">
        <f aca="false">O3498</f>
        <v>Mekanik Kiln</v>
      </c>
      <c r="Z3498" s="13" t="str">
        <f aca="false">IFERROR(__xludf.dummyfunction("if(BJ3498="""","""",GOOGLETRANSLATE(BJ3498,""auto"",""en""))"),"Kiln Mechanics")</f>
        <v>Kiln Mechanics</v>
      </c>
      <c r="AA3498" s="23" t="str">
        <f aca="false">IF(C3498="","", CHOOSE(MONTH(C3498),"January","February","March","April","May","June","July","August","September","October","November","December")&amp;" "&amp;DAY(C3498)&amp;MID("thstndrdth",MIN(9,2*RIGHT(DAY(C3498))*(MOD(DAY(C3498)-11,100)&gt;2)+1),2)&amp;","&amp;TEXT(C3498," yyyy"))</f>
        <v>April 16th,2026</v>
      </c>
      <c r="AB3498" s="15" t="str">
        <f aca="true">IF(S3498="","",DATEDIF(S3498,TODAY(),"Y")&amp;" Tahun, "&amp;DATEDIF(S3498,TODAY(),"YM")&amp;" Bulan, "&amp;DATEDIF(S3498,TODAY(),"MD")&amp;" Hari")</f>
        <v>26 Tahun, 8 Bulan, 11 Hari</v>
      </c>
      <c r="AC3498" s="18" t="n">
        <v>46128</v>
      </c>
      <c r="AD3498" s="18" t="n">
        <v>46218</v>
      </c>
      <c r="AE3498" s="13" t="s">
        <v>2387</v>
      </c>
    </row>
    <row r="3499" customFormat="false" ht="15" hidden="false" customHeight="true" outlineLevel="0" collapsed="false">
      <c r="A3499" s="12" t="n">
        <v>22117</v>
      </c>
      <c r="B3499" s="13" t="s">
        <v>14303</v>
      </c>
      <c r="C3499" s="16" t="n">
        <v>46122</v>
      </c>
      <c r="D3499" s="13" t="s">
        <v>774</v>
      </c>
      <c r="E3499" s="15" t="s">
        <v>47</v>
      </c>
      <c r="F3499" s="15" t="str">
        <f aca="false">IFERROR(__xludf.dummyfunction("XLOOKUP(AJ3499,IMPORTRANGE(""1XaInW9DU9nz21V0tYIfzFQ0He9kVQ_JF2mCXgZ3hqFA"",""REKAP ALL 2026 - Andika!G:G""),IMPORTRANGE(""1XaInW9DU9nz21V0tYIfzFQ0He9kVQ_JF2mCXgZ3hqFA"",""REKAP ALL 2026 - Andika!F:F""),"""",0)"),"26062993212")</f>
        <v>26062993212</v>
      </c>
      <c r="G3499" s="13" t="s">
        <v>1127</v>
      </c>
      <c r="H3499" s="13" t="s">
        <v>35</v>
      </c>
      <c r="I3499" s="13" t="str">
        <f aca="false">IF(C3499=J3499,"NEW KONTRAK","RE-KONTRAK")</f>
        <v>NEW KONTRAK</v>
      </c>
      <c r="J3499" s="16" t="n">
        <f aca="false" t="array" ref="J3499:J3499">IFERROR(INDEX(AC3499:AE3499,IF(COUNTA(AC3499:AE3499)=0,"",MAX((AC3499:AE3499&lt;&gt;"")*(COLUMN(AC3499:AE3499)-(COLUMN(AC3499)))))-1),"")</f>
        <v>46122</v>
      </c>
      <c r="K3499" s="16" t="n">
        <f aca="false" t="array" ref="K3499:K3499">IFERROR(INDEX(AC3499:AE3499,IF(COUNTA(AC3499:AE3499)=0,"",MAX((AC3499:AE3499&lt;&gt;"")*(COLUMN(AC3499:AE3499)-(COLUMN(AC3499)-1))))-1),"")</f>
        <v>46295</v>
      </c>
      <c r="L3499" s="17" t="str">
        <f aca="false" t="array" ref="L3499:L3499">IFERROR(INDEX(AC3499:AE3499,IF(COUNTA(AC3499:AE3499)=0,"",MAX((AC3499:AE3499&lt;&gt;"")*(COLUMN(AC3499:AE3499)-(COLUMN(AC3499)-2))))-1),"")</f>
        <v>KEMBALI</v>
      </c>
      <c r="M3499" s="13" t="n">
        <f aca="true">K3499-TODAY()</f>
        <v>-29</v>
      </c>
      <c r="N3499" s="18" t="s">
        <v>36</v>
      </c>
      <c r="O3499" s="13" t="s">
        <v>14226</v>
      </c>
      <c r="P3499" s="19" t="n">
        <v>3500000</v>
      </c>
      <c r="Q3499" s="47" t="s">
        <v>14304</v>
      </c>
      <c r="R3499" s="13" t="s">
        <v>39</v>
      </c>
      <c r="S3499" s="16" t="n">
        <v>37026</v>
      </c>
      <c r="T3499" s="13" t="s">
        <v>40</v>
      </c>
      <c r="U3499" s="13" t="s">
        <v>14305</v>
      </c>
      <c r="V3499" s="13" t="s">
        <v>42</v>
      </c>
      <c r="W3499" s="13" t="s">
        <v>43</v>
      </c>
      <c r="X3499" s="21" t="n">
        <v>83853124698</v>
      </c>
      <c r="Y3499" s="22" t="str">
        <f aca="false">O3499</f>
        <v>Warehouse (Gudang)</v>
      </c>
      <c r="Z3499" s="13" t="str">
        <f aca="false">IFERROR(__xludf.dummyfunction("if(BJ3499="""","""",GOOGLETRANSLATE(BJ3499,""auto"",""en""))"),"Warehouse")</f>
        <v>Warehouse</v>
      </c>
      <c r="AA3499" s="23" t="str">
        <f aca="false">IF(C3499="","", CHOOSE(MONTH(C3499),"January","February","March","April","May","June","July","August","September","October","November","December")&amp;" "&amp;DAY(C3499)&amp;MID("thstndrdth",MIN(9,2*RIGHT(DAY(C3499))*(MOD(DAY(C3499)-11,100)&gt;2)+1),2)&amp;","&amp;TEXT(C3499," yyyy"))</f>
        <v>April 10th,2026</v>
      </c>
      <c r="AB3499" s="15" t="str">
        <f aca="true">IF(S3499="","",DATEDIF(S3499,TODAY(),"Y")&amp;" Tahun, "&amp;DATEDIF(S3499,TODAY(),"YM")&amp;" Bulan, "&amp;DATEDIF(S3499,TODAY(),"MD")&amp;" Hari")</f>
        <v>25 Tahun, 5 Bulan, 14 Hari</v>
      </c>
      <c r="AC3499" s="18" t="n">
        <v>46122</v>
      </c>
      <c r="AD3499" s="18" t="n">
        <v>46295</v>
      </c>
      <c r="AE3499" s="13" t="s">
        <v>397</v>
      </c>
    </row>
    <row r="3500" customFormat="false" ht="15" hidden="false" customHeight="true" outlineLevel="0" collapsed="false">
      <c r="A3500" s="12" t="n">
        <v>22118</v>
      </c>
      <c r="B3500" s="13" t="s">
        <v>14306</v>
      </c>
      <c r="C3500" s="16" t="n">
        <v>46123</v>
      </c>
      <c r="D3500" s="13" t="s">
        <v>8227</v>
      </c>
      <c r="E3500" s="15" t="s">
        <v>14123</v>
      </c>
      <c r="F3500" s="24" t="s">
        <v>14307</v>
      </c>
      <c r="G3500" s="15" t="s">
        <v>2809</v>
      </c>
      <c r="H3500" s="13" t="s">
        <v>35</v>
      </c>
      <c r="I3500" s="13" t="str">
        <f aca="false">IF(C3500=J3500,"NEW KONTRAK","RE-KONTRAK")</f>
        <v>NEW KONTRAK</v>
      </c>
      <c r="J3500" s="16" t="n">
        <f aca="false" t="array" ref="J3500:J3500">IFERROR(INDEX(AC3500:AE3500,IF(COUNTA(AC3500:AE3500)=0,"",MAX((AC3500:AE3500&lt;&gt;"")*(COLUMN(AC3500:AE3500)-(COLUMN(AC3500)))))-1),"")</f>
        <v>46123</v>
      </c>
      <c r="K3500" s="16" t="n">
        <f aca="false" t="array" ref="K3500:K3500">IFERROR(INDEX(AC3500:AE3500,IF(COUNTA(AC3500:AE3500)=0,"",MAX((AC3500:AE3500&lt;&gt;"")*(COLUMN(AC3500:AE3500)-(COLUMN(AC3500)-1))))-1),"")</f>
        <v>46213</v>
      </c>
      <c r="L3500" s="17" t="str">
        <f aca="false" t="array" ref="L3500:L3500">IFERROR(INDEX(AC3500:AE3500,IF(COUNTA(AC3500:AE3500)=0,"",MAX((AC3500:AE3500&lt;&gt;"")*(COLUMN(AC3500:AE3500)-(COLUMN(AC3500)-2))))-1),"")</f>
        <v>ARCHIVED</v>
      </c>
      <c r="M3500" s="13" t="n">
        <f aca="true">K3500-TODAY()</f>
        <v>-111</v>
      </c>
      <c r="N3500" s="18" t="s">
        <v>728</v>
      </c>
      <c r="O3500" s="13" t="s">
        <v>12894</v>
      </c>
      <c r="P3500" s="19" t="n">
        <v>2750000</v>
      </c>
      <c r="Q3500" s="47" t="s">
        <v>14308</v>
      </c>
      <c r="R3500" s="13" t="s">
        <v>52</v>
      </c>
      <c r="S3500" s="16" t="n">
        <v>36720</v>
      </c>
      <c r="T3500" s="13" t="s">
        <v>40</v>
      </c>
      <c r="U3500" s="13" t="s">
        <v>14309</v>
      </c>
      <c r="V3500" s="13" t="s">
        <v>42</v>
      </c>
      <c r="W3500" s="13" t="s">
        <v>43</v>
      </c>
      <c r="X3500" s="21" t="s">
        <v>14310</v>
      </c>
      <c r="Y3500" s="22" t="str">
        <f aca="false">O3500</f>
        <v>Handling/Tally</v>
      </c>
      <c r="Z3500" s="13" t="str">
        <f aca="false">IFERROR(__xludf.dummyfunction("if(BJ3500="""","""",GOOGLETRANSLATE(BJ3500,""auto"",""en""))"),"Handling/Tally")</f>
        <v>Handling/Tally</v>
      </c>
      <c r="AA3500" s="23" t="str">
        <f aca="false">IF(C3500="","", CHOOSE(MONTH(C3500),"January","February","March","April","May","June","July","August","September","October","November","December")&amp;" "&amp;DAY(C3500)&amp;MID("thstndrdth",MIN(9,2*RIGHT(DAY(C3500))*(MOD(DAY(C3500)-11,100)&gt;2)+1),2)&amp;","&amp;TEXT(C3500," yyyy"))</f>
        <v>April 11th,2026</v>
      </c>
      <c r="AB3500" s="15" t="str">
        <f aca="true">IF(S3500="","",DATEDIF(S3500,TODAY(),"Y")&amp;" Tahun, "&amp;DATEDIF(S3500,TODAY(),"YM")&amp;" Bulan, "&amp;DATEDIF(S3500,TODAY(),"MD")&amp;" Hari")</f>
        <v>26 Tahun, 3 Bulan, 16 Hari</v>
      </c>
      <c r="AC3500" s="18" t="n">
        <v>46123</v>
      </c>
      <c r="AD3500" s="18" t="n">
        <f aca="false">EDATE(AC3500,3)-1</f>
        <v>46213</v>
      </c>
      <c r="AE3500" s="13" t="s">
        <v>44</v>
      </c>
    </row>
    <row r="3501" customFormat="false" ht="15" hidden="false" customHeight="true" outlineLevel="0" collapsed="false">
      <c r="A3501" s="12" t="n">
        <v>22119</v>
      </c>
      <c r="B3501" s="13" t="s">
        <v>14311</v>
      </c>
      <c r="C3501" s="16" t="n">
        <v>46124</v>
      </c>
      <c r="D3501" s="13" t="s">
        <v>14185</v>
      </c>
      <c r="E3501" s="15" t="s">
        <v>33</v>
      </c>
      <c r="F3501" s="15" t="str">
        <f aca="false">IFERROR(__xludf.dummyfunction("XLOOKUP(AJ3501,IMPORTRANGE(""1XaInW9DU9nz21V0tYIfzFQ0He9kVQ_JF2mCXgZ3hqFA"",""REKAP ALL 2026 - Andika!G:G""),IMPORTRANGE(""1XaInW9DU9nz21V0tYIfzFQ0He9kVQ_JF2mCXgZ3hqFA"",""REKAP ALL 2026 - Andika!F:F""),"""",0)"),"26062983650")</f>
        <v>26062983650</v>
      </c>
      <c r="G3501" s="28" t="s">
        <v>57</v>
      </c>
      <c r="H3501" s="13" t="s">
        <v>3024</v>
      </c>
      <c r="I3501" s="13" t="str">
        <f aca="false">IF(C3501=J3501,"NEW KONTRAK","RE-KONTRAK")</f>
        <v>NEW KONTRAK</v>
      </c>
      <c r="J3501" s="16" t="n">
        <f aca="false" t="array" ref="J3501:J3501">IFERROR(INDEX(AC3501:AE3501,IF(COUNTA(AC3501:AE3501)=0,"",MAX((AC3501:AE3501&lt;&gt;"")*(COLUMN(AC3501:AE3501)-(COLUMN(AC3501)))))-1),"")</f>
        <v>46124</v>
      </c>
      <c r="K3501" s="16" t="n">
        <f aca="false" t="array" ref="K3501:K3501">IFERROR(INDEX(AC3501:AE3501,IF(COUNTA(AC3501:AE3501)=0,"",MAX((AC3501:AE3501&lt;&gt;"")*(COLUMN(AC3501:AE3501)-(COLUMN(AC3501)-1))))-1),"")</f>
        <v>46214</v>
      </c>
      <c r="L3501" s="17" t="str">
        <f aca="false" t="array" ref="L3501:L3501">IFERROR(INDEX(AC3501:AE3501,IF(COUNTA(AC3501:AE3501)=0,"",MAX((AC3501:AE3501&lt;&gt;"")*(COLUMN(AC3501:AE3501)-(COLUMN(AC3501)-2))))-1),"")</f>
        <v>ARCHIVED</v>
      </c>
      <c r="M3501" s="13" t="n">
        <f aca="true">K3501-TODAY()</f>
        <v>-110</v>
      </c>
      <c r="N3501" s="50" t="s">
        <v>728</v>
      </c>
      <c r="O3501" s="13" t="s">
        <v>11196</v>
      </c>
      <c r="P3501" s="19" t="n">
        <v>120000</v>
      </c>
      <c r="Q3501" s="47" t="s">
        <v>14312</v>
      </c>
      <c r="R3501" s="13" t="s">
        <v>2363</v>
      </c>
      <c r="S3501" s="16" t="n">
        <v>33319</v>
      </c>
      <c r="T3501" s="28" t="s">
        <v>40</v>
      </c>
      <c r="U3501" s="13" t="s">
        <v>14313</v>
      </c>
      <c r="V3501" s="13" t="s">
        <v>42</v>
      </c>
      <c r="W3501" s="13" t="s">
        <v>43</v>
      </c>
      <c r="X3501" s="21" t="n">
        <v>82336091816</v>
      </c>
      <c r="Y3501" s="22" t="str">
        <f aca="false">O3501</f>
        <v>Helper Gudang</v>
      </c>
      <c r="Z3501" s="13" t="str">
        <f aca="false">IFERROR(__xludf.dummyfunction("if(BJ3501="""","""",GOOGLETRANSLATE(BJ3501,""auto"",""en""))"),"Helper Gudang")</f>
        <v>Helper Gudang</v>
      </c>
      <c r="AA3501" s="23" t="str">
        <f aca="false">IF(C3501="","", CHOOSE(MONTH(C3501),"January","February","March","April","May","June","July","August","September","October","November","December")&amp;" "&amp;DAY(C3501)&amp;MID("thstndrdth",MIN(9,2*RIGHT(DAY(C3501))*(MOD(DAY(C3501)-11,100)&gt;2)+1),2)&amp;","&amp;TEXT(C3501," yyyy"))</f>
        <v>April 12th,2026</v>
      </c>
      <c r="AB3501" s="15" t="str">
        <f aca="true">IF(S3501="","",DATEDIF(S3501,TODAY(),"Y")&amp;" Tahun, "&amp;DATEDIF(S3501,TODAY(),"YM")&amp;" Bulan, "&amp;DATEDIF(S3501,TODAY(),"MD")&amp;" Hari")</f>
        <v>35 Tahun, 7 Bulan, 7 Hari</v>
      </c>
      <c r="AC3501" s="18" t="n">
        <v>46124</v>
      </c>
      <c r="AD3501" s="18" t="n">
        <f aca="false">EDATE(AC3501,3)-1</f>
        <v>46214</v>
      </c>
      <c r="AE3501" s="13" t="s">
        <v>44</v>
      </c>
    </row>
    <row r="3502" customFormat="false" ht="15" hidden="false" customHeight="true" outlineLevel="0" collapsed="false">
      <c r="A3502" s="12" t="n">
        <v>22120</v>
      </c>
      <c r="B3502" s="13" t="s">
        <v>14314</v>
      </c>
      <c r="C3502" s="16" t="n">
        <v>46124</v>
      </c>
      <c r="D3502" s="13" t="s">
        <v>14185</v>
      </c>
      <c r="E3502" s="15" t="s">
        <v>47</v>
      </c>
      <c r="F3502" s="15" t="str">
        <f aca="false">IFERROR(__xludf.dummyfunction("XLOOKUP(AJ3502,IMPORTRANGE(""1XaInW9DU9nz21V0tYIfzFQ0He9kVQ_JF2mCXgZ3hqFA"",""REKAP ALL 2026 - Andika!G:G""),IMPORTRANGE(""1XaInW9DU9nz21V0tYIfzFQ0He9kVQ_JF2mCXgZ3hqFA"",""REKAP ALL 2026 - Andika!F:F""),"""",0)"),"26005751701")</f>
        <v>26005751701</v>
      </c>
      <c r="G3502" s="28" t="s">
        <v>57</v>
      </c>
      <c r="H3502" s="13" t="s">
        <v>3024</v>
      </c>
      <c r="I3502" s="13" t="str">
        <f aca="false">IF(C3502=J3502,"NEW KONTRAK","RE-KONTRAK")</f>
        <v>NEW KONTRAK</v>
      </c>
      <c r="J3502" s="16" t="n">
        <f aca="false" t="array" ref="J3502:J3502">IFERROR(INDEX(AC3502:AE3502,IF(COUNTA(AC3502:AE3502)=0,"",MAX((AC3502:AE3502&lt;&gt;"")*(COLUMN(AC3502:AE3502)-(COLUMN(AC3502)))))-1),"")</f>
        <v>46124</v>
      </c>
      <c r="K3502" s="16" t="n">
        <f aca="false" t="array" ref="K3502:K3502">IFERROR(INDEX(AC3502:AE3502,IF(COUNTA(AC3502:AE3502)=0,"",MAX((AC3502:AE3502&lt;&gt;"")*(COLUMN(AC3502:AE3502)-(COLUMN(AC3502)-1))))-1),"")</f>
        <v>46214</v>
      </c>
      <c r="L3502" s="17" t="str">
        <f aca="false" t="array" ref="L3502:L3502">IFERROR(INDEX(AC3502:AE3502,IF(COUNTA(AC3502:AE3502)=0,"",MAX((AC3502:AE3502&lt;&gt;"")*(COLUMN(AC3502:AE3502)-(COLUMN(AC3502)-2))))-1),"")</f>
        <v>KEMBALI ONLINE</v>
      </c>
      <c r="M3502" s="13" t="n">
        <f aca="true">K3502-TODAY()</f>
        <v>-110</v>
      </c>
      <c r="N3502" s="50" t="s">
        <v>728</v>
      </c>
      <c r="O3502" s="13" t="s">
        <v>11196</v>
      </c>
      <c r="P3502" s="19" t="n">
        <v>120000</v>
      </c>
      <c r="Q3502" s="47" t="s">
        <v>14315</v>
      </c>
      <c r="R3502" s="13" t="s">
        <v>52</v>
      </c>
      <c r="S3502" s="16" t="n">
        <v>37896</v>
      </c>
      <c r="T3502" s="28" t="s">
        <v>40</v>
      </c>
      <c r="U3502" s="13" t="s">
        <v>14316</v>
      </c>
      <c r="V3502" s="13" t="s">
        <v>42</v>
      </c>
      <c r="W3502" s="13" t="s">
        <v>43</v>
      </c>
      <c r="X3502" s="21" t="s">
        <v>14317</v>
      </c>
      <c r="Y3502" s="22" t="str">
        <f aca="false">O3502</f>
        <v>Helper Gudang</v>
      </c>
      <c r="Z3502" s="13" t="str">
        <f aca="false">IFERROR(__xludf.dummyfunction("if(BJ3502="""","""",GOOGLETRANSLATE(BJ3502,""auto"",""en""))"),"Helper Gudang")</f>
        <v>Helper Gudang</v>
      </c>
      <c r="AA3502" s="23" t="str">
        <f aca="false">IF(C3502="","", CHOOSE(MONTH(C3502),"January","February","March","April","May","June","July","August","September","October","November","December")&amp;" "&amp;DAY(C3502)&amp;MID("thstndrdth",MIN(9,2*RIGHT(DAY(C3502))*(MOD(DAY(C3502)-11,100)&gt;2)+1),2)&amp;","&amp;TEXT(C3502," yyyy"))</f>
        <v>April 12th,2026</v>
      </c>
      <c r="AB3502" s="15" t="str">
        <f aca="true">IF(S3502="","",DATEDIF(S3502,TODAY(),"Y")&amp;" Tahun, "&amp;DATEDIF(S3502,TODAY(),"YM")&amp;" Bulan, "&amp;DATEDIF(S3502,TODAY(),"MD")&amp;" Hari")</f>
        <v>23 Tahun, 0 Bulan, 27 Hari</v>
      </c>
      <c r="AC3502" s="18" t="n">
        <v>46124</v>
      </c>
      <c r="AD3502" s="18" t="n">
        <f aca="false">EDATE(AC3502,3)-1</f>
        <v>46214</v>
      </c>
      <c r="AE3502" s="13" t="s">
        <v>2387</v>
      </c>
    </row>
    <row r="3503" customFormat="false" ht="15" hidden="false" customHeight="true" outlineLevel="0" collapsed="false">
      <c r="A3503" s="12" t="n">
        <v>23011</v>
      </c>
      <c r="B3503" s="13" t="s">
        <v>14318</v>
      </c>
      <c r="C3503" s="14" t="n">
        <v>46290</v>
      </c>
      <c r="D3503" s="13" t="s">
        <v>2033</v>
      </c>
      <c r="E3503" s="13" t="s">
        <v>47</v>
      </c>
      <c r="F3503" s="24" t="s">
        <v>14319</v>
      </c>
      <c r="G3503" s="13" t="s">
        <v>1127</v>
      </c>
      <c r="H3503" s="13" t="s">
        <v>35</v>
      </c>
      <c r="I3503" s="13" t="str">
        <f aca="false">IF(C3503=J3503,"NEW KONTRAK","RE-KONTRAK")</f>
        <v>NEW KONTRAK</v>
      </c>
      <c r="J3503" s="16" t="n">
        <f aca="false" t="array" ref="J3503:J3503">IFERROR(INDEX(AC3503:AE3503,IF(COUNTA(AC3503:AE3503)=0,"",MAX((AC3503:AE3503&lt;&gt;"")*(COLUMN(AC3503:AE3503)-(COLUMN(AC3503)))))-1),"")</f>
        <v>46290</v>
      </c>
      <c r="K3503" s="16" t="n">
        <f aca="false" t="array" ref="K3503:K3503">IFERROR(INDEX(AC3503:AE3503,IF(COUNTA(AC3503:AE3503)=0,"",MAX((AC3503:AE3503&lt;&gt;"")*(COLUMN(AC3503:AE3503)-(COLUMN(AC3503)-1))))-1),"")</f>
        <v>46402</v>
      </c>
      <c r="L3503" s="17" t="str">
        <f aca="false" t="array" ref="L3503:L3503">IFERROR(INDEX(AC3503:AE3503,IF(COUNTA(AC3503:AE3503)=0,"",MAX((AC3503:AE3503&lt;&gt;"")*(COLUMN(AC3503:AE3503)-(COLUMN(AC3503)-2))))-1),"")</f>
        <v>DRAFTED ONLINE</v>
      </c>
      <c r="M3503" s="13" t="n">
        <f aca="true">K3503-TODAY()</f>
        <v>78</v>
      </c>
      <c r="N3503" s="13" t="s">
        <v>2356</v>
      </c>
      <c r="O3503" s="13" t="s">
        <v>2384</v>
      </c>
      <c r="P3503" s="26" t="n">
        <v>3921000</v>
      </c>
      <c r="Q3503" s="20" t="s">
        <v>14320</v>
      </c>
      <c r="R3503" s="13" t="s">
        <v>14321</v>
      </c>
      <c r="S3503" s="25" t="n">
        <v>36892</v>
      </c>
      <c r="T3503" s="13" t="s">
        <v>108</v>
      </c>
      <c r="U3503" s="13" t="s">
        <v>14322</v>
      </c>
      <c r="V3503" s="13" t="s">
        <v>42</v>
      </c>
      <c r="W3503" s="13" t="s">
        <v>43</v>
      </c>
      <c r="X3503" s="21" t="n">
        <v>85255838813</v>
      </c>
      <c r="Y3503" s="22" t="str">
        <f aca="false">O3503</f>
        <v>SPG</v>
      </c>
      <c r="Z3503" s="13" t="str">
        <f aca="false">IFERROR(__xludf.dummyfunction("if(BJ3503="""","""",GOOGLETRANSLATE(BJ3503,""auto"",""en""))"),"SPG")</f>
        <v>SPG</v>
      </c>
      <c r="AA3503" s="23" t="str">
        <f aca="false">IF(C3503="","", CHOOSE(MONTH(C3503),"January","February","March","April","May","June","July","August","September","October","November","December")&amp;" "&amp;DAY(C3503)&amp;MID("thstndrdth",MIN(9,2*RIGHT(DAY(C3503))*(MOD(DAY(C3503)-11,100)&gt;2)+1),2)&amp;","&amp;TEXT(C3503," yyyy"))</f>
        <v>September 25th,2026</v>
      </c>
      <c r="AB3503" s="15" t="str">
        <f aca="true">IF(S3503="","",DATEDIF(S3503,TODAY(),"Y")&amp;" Tahun, "&amp;DATEDIF(S3503,TODAY(),"YM")&amp;" Bulan, "&amp;DATEDIF(S3503,TODAY(),"MD")&amp;" Hari")</f>
        <v>25 Tahun, 9 Bulan, 28 Hari</v>
      </c>
      <c r="AC3503" s="14" t="n">
        <v>46290</v>
      </c>
      <c r="AD3503" s="18" t="n">
        <v>46402</v>
      </c>
      <c r="AE3503" s="13" t="s">
        <v>2424</v>
      </c>
    </row>
    <row r="3504" customFormat="false" ht="15" hidden="false" customHeight="true" outlineLevel="0" collapsed="false">
      <c r="A3504" s="12" t="n">
        <v>22122</v>
      </c>
      <c r="B3504" s="13" t="s">
        <v>14323</v>
      </c>
      <c r="C3504" s="16" t="n">
        <v>46114</v>
      </c>
      <c r="D3504" s="13" t="s">
        <v>2033</v>
      </c>
      <c r="E3504" s="15" t="s">
        <v>102</v>
      </c>
      <c r="F3504" s="15" t="str">
        <f aca="false">IFERROR(__xludf.dummyfunction("XLOOKUP(AJ3504,IMPORTRANGE(""1XaInW9DU9nz21V0tYIfzFQ0He9kVQ_JF2mCXgZ3hqFA"",""REKAP ALL 2026 - Andika!G:G""),IMPORTRANGE(""1XaInW9DU9nz21V0tYIfzFQ0He9kVQ_JF2mCXgZ3hqFA"",""REKAP ALL 2026 - Andika!F:F""),"""",0)"),"26062983106")</f>
        <v>26062983106</v>
      </c>
      <c r="G3504" s="13" t="s">
        <v>1127</v>
      </c>
      <c r="H3504" s="13" t="s">
        <v>35</v>
      </c>
      <c r="I3504" s="13" t="str">
        <f aca="false">IF(C3504=J3504,"NEW KONTRAK","RE-KONTRAK")</f>
        <v>NEW KONTRAK</v>
      </c>
      <c r="J3504" s="16" t="n">
        <f aca="false" t="array" ref="J3504:J3504">IFERROR(INDEX(AC3504:AE3504,IF(COUNTA(AC3504:AE3504)=0,"",MAX((AC3504:AE3504&lt;&gt;"")*(COLUMN(AC3504:AE3504)-(COLUMN(AC3504)))))-1),"")</f>
        <v>46114</v>
      </c>
      <c r="K3504" s="16" t="n">
        <f aca="false" t="array" ref="K3504:K3504">IFERROR(INDEX(AC3504:AE3504,IF(COUNTA(AC3504:AE3504)=0,"",MAX((AC3504:AE3504&lt;&gt;"")*(COLUMN(AC3504:AE3504)-(COLUMN(AC3504)-1))))-1),"")</f>
        <v>46188</v>
      </c>
      <c r="L3504" s="17" t="str">
        <f aca="false" t="array" ref="L3504:L3504">IFERROR(INDEX(AC3504:AE3504,IF(COUNTA(AC3504:AE3504)=0,"",MAX((AC3504:AE3504&lt;&gt;"")*(COLUMN(AC3504:AE3504)-(COLUMN(AC3504)-2))))-1),"")</f>
        <v>ARCHIVED</v>
      </c>
      <c r="M3504" s="13" t="n">
        <f aca="true">K3504-TODAY()</f>
        <v>-136</v>
      </c>
      <c r="N3504" s="18" t="s">
        <v>4498</v>
      </c>
      <c r="O3504" s="13" t="s">
        <v>2037</v>
      </c>
      <c r="P3504" s="19" t="n">
        <v>2818585</v>
      </c>
      <c r="Q3504" s="47" t="s">
        <v>14324</v>
      </c>
      <c r="R3504" s="13" t="s">
        <v>4047</v>
      </c>
      <c r="S3504" s="16" t="n">
        <v>38848</v>
      </c>
      <c r="T3504" s="13" t="s">
        <v>108</v>
      </c>
      <c r="U3504" s="13" t="s">
        <v>14325</v>
      </c>
      <c r="V3504" s="13" t="s">
        <v>42</v>
      </c>
      <c r="W3504" s="13" t="s">
        <v>43</v>
      </c>
      <c r="X3504" s="21" t="s">
        <v>14326</v>
      </c>
      <c r="Y3504" s="22" t="str">
        <f aca="false">O3504</f>
        <v>SPG/BA</v>
      </c>
      <c r="Z3504" s="13" t="str">
        <f aca="false">IFERROR(__xludf.dummyfunction("if(BJ3504="""","""",GOOGLETRANSLATE(BJ3504,""auto"",""en""))"),"SPG/BA")</f>
        <v>SPG/BA</v>
      </c>
      <c r="AA3504" s="23" t="str">
        <f aca="false">IF(C3504="","", CHOOSE(MONTH(C3504),"January","February","March","April","May","June","July","August","September","October","November","December")&amp;" "&amp;DAY(C3504)&amp;MID("thstndrdth",MIN(9,2*RIGHT(DAY(C3504))*(MOD(DAY(C3504)-11,100)&gt;2)+1),2)&amp;","&amp;TEXT(C3504," yyyy"))</f>
        <v>April 2nd,2026</v>
      </c>
      <c r="AB3504" s="15" t="str">
        <f aca="true">IF(S3504="","",DATEDIF(S3504,TODAY(),"Y")&amp;" Tahun, "&amp;DATEDIF(S3504,TODAY(),"YM")&amp;" Bulan, "&amp;DATEDIF(S3504,TODAY(),"MD")&amp;" Hari")</f>
        <v>20 Tahun, 5 Bulan, 18 Hari</v>
      </c>
      <c r="AC3504" s="18" t="n">
        <v>46114</v>
      </c>
      <c r="AD3504" s="64" t="n">
        <v>46188</v>
      </c>
      <c r="AE3504" s="18" t="s">
        <v>44</v>
      </c>
    </row>
    <row r="3505" customFormat="false" ht="15" hidden="false" customHeight="true" outlineLevel="0" collapsed="false">
      <c r="A3505" s="12" t="n">
        <v>22123</v>
      </c>
      <c r="B3505" s="13" t="s">
        <v>14327</v>
      </c>
      <c r="C3505" s="16" t="n">
        <v>46128</v>
      </c>
      <c r="D3505" s="13" t="s">
        <v>6487</v>
      </c>
      <c r="E3505" s="15" t="s">
        <v>102</v>
      </c>
      <c r="F3505" s="15" t="str">
        <f aca="false">IFERROR(__xludf.dummyfunction("XLOOKUP(AJ3505,IMPORTRANGE(""1XaInW9DU9nz21V0tYIfzFQ0He9kVQ_JF2mCXgZ3hqFA"",""REKAP ALL 2026 - Andika!G:G""),IMPORTRANGE(""1XaInW9DU9nz21V0tYIfzFQ0He9kVQ_JF2mCXgZ3hqFA"",""REKAP ALL 2026 - Andika!F:F""),"""",0)"),"26062998450")</f>
        <v>26062998450</v>
      </c>
      <c r="G3505" s="28" t="s">
        <v>57</v>
      </c>
      <c r="H3505" s="13" t="s">
        <v>35</v>
      </c>
      <c r="I3505" s="13" t="str">
        <f aca="false">IF(C3505=J3505,"NEW KONTRAK","RE-KONTRAK")</f>
        <v>NEW KONTRAK</v>
      </c>
      <c r="J3505" s="16" t="n">
        <f aca="false" t="array" ref="J3505:J3505">IFERROR(INDEX(AC3505:AE3505,IF(COUNTA(AC3505:AE3505)=0,"",MAX((AC3505:AE3505&lt;&gt;"")*(COLUMN(AC3505:AE3505)-(COLUMN(AC3505)))))-1),"")</f>
        <v>46128</v>
      </c>
      <c r="K3505" s="16" t="n">
        <f aca="false" t="array" ref="K3505:K3505">IFERROR(INDEX(AC3505:AE3505,IF(COUNTA(AC3505:AE3505)=0,"",MAX((AC3505:AE3505&lt;&gt;"")*(COLUMN(AC3505:AE3505)-(COLUMN(AC3505)-1))))-1),"")</f>
        <v>46387</v>
      </c>
      <c r="L3505" s="17" t="str">
        <f aca="false" t="array" ref="L3505:L3505">IFERROR(INDEX(AC3505:AE3505,IF(COUNTA(AC3505:AE3505)=0,"",MAX((AC3505:AE3505&lt;&gt;"")*(COLUMN(AC3505:AE3505)-(COLUMN(AC3505)-2))))-1),"")</f>
        <v>KEMBALI</v>
      </c>
      <c r="M3505" s="13" t="n">
        <f aca="true">K3505-TODAY()</f>
        <v>63</v>
      </c>
      <c r="N3505" s="50" t="s">
        <v>4735</v>
      </c>
      <c r="O3505" s="13" t="s">
        <v>11196</v>
      </c>
      <c r="P3505" s="19" t="n">
        <v>3802862</v>
      </c>
      <c r="Q3505" s="47" t="s">
        <v>14328</v>
      </c>
      <c r="R3505" s="13" t="s">
        <v>83</v>
      </c>
      <c r="S3505" s="16" t="n">
        <v>33844</v>
      </c>
      <c r="T3505" s="28" t="s">
        <v>40</v>
      </c>
      <c r="U3505" s="13" t="s">
        <v>14329</v>
      </c>
      <c r="V3505" s="13" t="s">
        <v>42</v>
      </c>
      <c r="W3505" s="13" t="s">
        <v>43</v>
      </c>
      <c r="X3505" s="30" t="n">
        <v>81113721510</v>
      </c>
      <c r="Y3505" s="22" t="str">
        <f aca="false">O3505</f>
        <v>Helper Gudang</v>
      </c>
      <c r="Z3505" s="13" t="str">
        <f aca="false">IFERROR(__xludf.dummyfunction("if(BJ3505="""","""",GOOGLETRANSLATE(BJ3505,""auto"",""en""))"),"Helper Gudang")</f>
        <v>Helper Gudang</v>
      </c>
      <c r="AA3505" s="23" t="str">
        <f aca="false">IF(C3505="","", CHOOSE(MONTH(C3505),"January","February","March","April","May","June","July","August","September","October","November","December")&amp;" "&amp;DAY(C3505)&amp;MID("thstndrdth",MIN(9,2*RIGHT(DAY(C3505))*(MOD(DAY(C3505)-11,100)&gt;2)+1),2)&amp;","&amp;TEXT(C3505," yyyy"))</f>
        <v>April 16th,2026</v>
      </c>
      <c r="AB3505" s="15" t="str">
        <f aca="true">IF(S3505="","",DATEDIF(S3505,TODAY(),"Y")&amp;" Tahun, "&amp;DATEDIF(S3505,TODAY(),"YM")&amp;" Bulan, "&amp;DATEDIF(S3505,TODAY(),"MD")&amp;" Hari")</f>
        <v>34 Tahun, 2 Bulan, 1 Hari</v>
      </c>
      <c r="AC3505" s="18" t="n">
        <v>46128</v>
      </c>
      <c r="AD3505" s="18" t="n">
        <v>46387</v>
      </c>
      <c r="AE3505" s="13" t="s">
        <v>397</v>
      </c>
    </row>
    <row r="3506" customFormat="false" ht="15" hidden="false" customHeight="true" outlineLevel="0" collapsed="false">
      <c r="A3506" s="12" t="n">
        <v>22124</v>
      </c>
      <c r="B3506" s="13" t="s">
        <v>14330</v>
      </c>
      <c r="C3506" s="16" t="n">
        <v>46128</v>
      </c>
      <c r="D3506" s="13" t="s">
        <v>6487</v>
      </c>
      <c r="E3506" s="15" t="s">
        <v>47</v>
      </c>
      <c r="F3506" s="15" t="str">
        <f aca="false">IFERROR(__xludf.dummyfunction("XLOOKUP(AJ3506,IMPORTRANGE(""1XaInW9DU9nz21V0tYIfzFQ0He9kVQ_JF2mCXgZ3hqFA"",""REKAP ALL 2026 - Andika!G:G""),IMPORTRANGE(""1XaInW9DU9nz21V0tYIfzFQ0He9kVQ_JF2mCXgZ3hqFA"",""REKAP ALL 2026 - Andika!F:F""),"""",0)"),"26062998427")</f>
        <v>26062998427</v>
      </c>
      <c r="G3506" s="28" t="s">
        <v>57</v>
      </c>
      <c r="H3506" s="13" t="s">
        <v>35</v>
      </c>
      <c r="I3506" s="13" t="str">
        <f aca="false">IF(C3506=J3506,"NEW KONTRAK","RE-KONTRAK")</f>
        <v>NEW KONTRAK</v>
      </c>
      <c r="J3506" s="16" t="n">
        <f aca="false" t="array" ref="J3506:J3506">IFERROR(INDEX(AC3506:AE3506,IF(COUNTA(AC3506:AE3506)=0,"",MAX((AC3506:AE3506&lt;&gt;"")*(COLUMN(AC3506:AE3506)-(COLUMN(AC3506)))))-1),"")</f>
        <v>46128</v>
      </c>
      <c r="K3506" s="16" t="n">
        <f aca="false" t="array" ref="K3506:K3506">IFERROR(INDEX(AC3506:AE3506,IF(COUNTA(AC3506:AE3506)=0,"",MAX((AC3506:AE3506&lt;&gt;"")*(COLUMN(AC3506:AE3506)-(COLUMN(AC3506)-1))))-1),"")</f>
        <v>46387</v>
      </c>
      <c r="L3506" s="17" t="str">
        <f aca="false" t="array" ref="L3506:L3506">IFERROR(INDEX(AC3506:AE3506,IF(COUNTA(AC3506:AE3506)=0,"",MAX((AC3506:AE3506&lt;&gt;"")*(COLUMN(AC3506:AE3506)-(COLUMN(AC3506)-2))))-1),"")</f>
        <v>KEMBALI</v>
      </c>
      <c r="M3506" s="13" t="n">
        <f aca="true">K3506-TODAY()</f>
        <v>63</v>
      </c>
      <c r="N3506" s="18" t="s">
        <v>4735</v>
      </c>
      <c r="O3506" s="13" t="s">
        <v>12799</v>
      </c>
      <c r="P3506" s="19" t="n">
        <v>3802862</v>
      </c>
      <c r="Q3506" s="47" t="s">
        <v>14331</v>
      </c>
      <c r="R3506" s="13" t="s">
        <v>83</v>
      </c>
      <c r="S3506" s="16" t="n">
        <v>36452</v>
      </c>
      <c r="T3506" s="28" t="s">
        <v>40</v>
      </c>
      <c r="U3506" s="13" t="s">
        <v>14332</v>
      </c>
      <c r="V3506" s="13" t="s">
        <v>42</v>
      </c>
      <c r="W3506" s="13" t="s">
        <v>43</v>
      </c>
      <c r="X3506" s="30" t="n">
        <v>89802966706</v>
      </c>
      <c r="Y3506" s="22" t="str">
        <f aca="false">O3506</f>
        <v>Helper Ekspedisi</v>
      </c>
      <c r="Z3506" s="13" t="str">
        <f aca="false">IFERROR(__xludf.dummyfunction("if(BJ3506="""","""",GOOGLETRANSLATE(BJ3506,""auto"",""en""))"),"Expedition Helper")</f>
        <v>Expedition Helper</v>
      </c>
      <c r="AA3506" s="23" t="str">
        <f aca="false">IF(C3506="","", CHOOSE(MONTH(C3506),"January","February","March","April","May","June","July","August","September","October","November","December")&amp;" "&amp;DAY(C3506)&amp;MID("thstndrdth",MIN(9,2*RIGHT(DAY(C3506))*(MOD(DAY(C3506)-11,100)&gt;2)+1),2)&amp;","&amp;TEXT(C3506," yyyy"))</f>
        <v>April 16th,2026</v>
      </c>
      <c r="AB3506" s="15" t="str">
        <f aca="true">IF(S3506="","",DATEDIF(S3506,TODAY(),"Y")&amp;" Tahun, "&amp;DATEDIF(S3506,TODAY(),"YM")&amp;" Bulan, "&amp;DATEDIF(S3506,TODAY(),"MD")&amp;" Hari")</f>
        <v>27 Tahun, 0 Bulan, 10 Hari</v>
      </c>
      <c r="AC3506" s="18" t="n">
        <v>46128</v>
      </c>
      <c r="AD3506" s="18" t="n">
        <v>46387</v>
      </c>
      <c r="AE3506" s="13" t="s">
        <v>397</v>
      </c>
    </row>
    <row r="3507" customFormat="false" ht="15" hidden="false" customHeight="true" outlineLevel="0" collapsed="false">
      <c r="A3507" s="12" t="n">
        <v>22125</v>
      </c>
      <c r="B3507" s="13" t="s">
        <v>14333</v>
      </c>
      <c r="C3507" s="16" t="n">
        <v>46128</v>
      </c>
      <c r="D3507" s="13" t="s">
        <v>6487</v>
      </c>
      <c r="E3507" s="15" t="s">
        <v>47</v>
      </c>
      <c r="F3507" s="15" t="str">
        <f aca="false">IFERROR(__xludf.dummyfunction("XLOOKUP(AJ3507,IMPORTRANGE(""1XaInW9DU9nz21V0tYIfzFQ0He9kVQ_JF2mCXgZ3hqFA"",""REKAP ALL 2026 - Andika!G:G""),IMPORTRANGE(""1XaInW9DU9nz21V0tYIfzFQ0He9kVQ_JF2mCXgZ3hqFA"",""REKAP ALL 2026 - Andika!F:F""),"""",0)"),"26062998484")</f>
        <v>26062998484</v>
      </c>
      <c r="G3507" s="28" t="s">
        <v>57</v>
      </c>
      <c r="H3507" s="13" t="s">
        <v>35</v>
      </c>
      <c r="I3507" s="13" t="str">
        <f aca="false">IF(C3507=J3507,"NEW KONTRAK","RE-KONTRAK")</f>
        <v>NEW KONTRAK</v>
      </c>
      <c r="J3507" s="16" t="n">
        <f aca="false" t="array" ref="J3507:J3507">IFERROR(INDEX(AC3507:AE3507,IF(COUNTA(AC3507:AE3507)=0,"",MAX((AC3507:AE3507&lt;&gt;"")*(COLUMN(AC3507:AE3507)-(COLUMN(AC3507)))))-1),"")</f>
        <v>46128</v>
      </c>
      <c r="K3507" s="16" t="n">
        <f aca="false" t="array" ref="K3507:K3507">IFERROR(INDEX(AC3507:AE3507,IF(COUNTA(AC3507:AE3507)=0,"",MAX((AC3507:AE3507&lt;&gt;"")*(COLUMN(AC3507:AE3507)-(COLUMN(AC3507)-1))))-1),"")</f>
        <v>46387</v>
      </c>
      <c r="L3507" s="17" t="str">
        <f aca="false" t="array" ref="L3507:L3507">IFERROR(INDEX(AC3507:AE3507,IF(COUNTA(AC3507:AE3507)=0,"",MAX((AC3507:AE3507&lt;&gt;"")*(COLUMN(AC3507:AE3507)-(COLUMN(AC3507)-2))))-1),"")</f>
        <v>KEMBALI</v>
      </c>
      <c r="M3507" s="13" t="n">
        <f aca="true">K3507-TODAY()</f>
        <v>63</v>
      </c>
      <c r="N3507" s="18" t="s">
        <v>4735</v>
      </c>
      <c r="O3507" s="13" t="s">
        <v>12799</v>
      </c>
      <c r="P3507" s="19" t="n">
        <v>3802862</v>
      </c>
      <c r="Q3507" s="47" t="s">
        <v>14334</v>
      </c>
      <c r="R3507" s="13" t="s">
        <v>83</v>
      </c>
      <c r="S3507" s="16" t="n">
        <v>33050</v>
      </c>
      <c r="T3507" s="28" t="s">
        <v>40</v>
      </c>
      <c r="U3507" s="13" t="s">
        <v>14335</v>
      </c>
      <c r="V3507" s="13" t="s">
        <v>42</v>
      </c>
      <c r="W3507" s="13" t="s">
        <v>54</v>
      </c>
      <c r="X3507" s="30" t="n">
        <v>89625324472</v>
      </c>
      <c r="Y3507" s="22" t="str">
        <f aca="false">O3507</f>
        <v>Helper Ekspedisi</v>
      </c>
      <c r="Z3507" s="13" t="str">
        <f aca="false">IFERROR(__xludf.dummyfunction("if(BJ3507="""","""",GOOGLETRANSLATE(BJ3507,""auto"",""en""))"),"Expedition Helper")</f>
        <v>Expedition Helper</v>
      </c>
      <c r="AA3507" s="23" t="str">
        <f aca="false">IF(C3507="","", CHOOSE(MONTH(C3507),"January","February","March","April","May","June","July","August","September","October","November","December")&amp;" "&amp;DAY(C3507)&amp;MID("thstndrdth",MIN(9,2*RIGHT(DAY(C3507))*(MOD(DAY(C3507)-11,100)&gt;2)+1),2)&amp;","&amp;TEXT(C3507," yyyy"))</f>
        <v>April 16th,2026</v>
      </c>
      <c r="AB3507" s="15" t="str">
        <f aca="true">IF(S3507="","",DATEDIF(S3507,TODAY(),"Y")&amp;" Tahun, "&amp;DATEDIF(S3507,TODAY(),"YM")&amp;" Bulan, "&amp;DATEDIF(S3507,TODAY(),"MD")&amp;" Hari")</f>
        <v>36 Tahun, 4 Bulan, 3 Hari</v>
      </c>
      <c r="AC3507" s="18" t="n">
        <v>46128</v>
      </c>
      <c r="AD3507" s="18" t="n">
        <v>46387</v>
      </c>
      <c r="AE3507" s="13" t="s">
        <v>397</v>
      </c>
    </row>
    <row r="3508" customFormat="false" ht="15" hidden="false" customHeight="true" outlineLevel="0" collapsed="false">
      <c r="A3508" s="12" t="n">
        <v>22126</v>
      </c>
      <c r="B3508" s="13" t="s">
        <v>14336</v>
      </c>
      <c r="C3508" s="16" t="n">
        <v>46024</v>
      </c>
      <c r="D3508" s="13" t="s">
        <v>144</v>
      </c>
      <c r="E3508" s="13" t="s">
        <v>789</v>
      </c>
      <c r="F3508" s="15" t="str">
        <f aca="false">IFERROR(__xludf.dummyfunction("XLOOKUP(AJ3508,IMPORTRANGE(""1XaInW9DU9nz21V0tYIfzFQ0He9kVQ_JF2mCXgZ3hqFA"",""REKAP ALL 2026 - Andika!G:G""),IMPORTRANGE(""1XaInW9DU9nz21V0tYIfzFQ0He9kVQ_JF2mCXgZ3hqFA"",""REKAP ALL 2026 - Andika!F:F""),"""",0)"),"26046413196")</f>
        <v>26046413196</v>
      </c>
      <c r="G3508" s="13" t="s">
        <v>1127</v>
      </c>
      <c r="H3508" s="13" t="s">
        <v>35</v>
      </c>
      <c r="I3508" s="13" t="str">
        <f aca="false">IF(C3508=J3508,"NEW KONTRAK","RE-KONTRAK")</f>
        <v>NEW KONTRAK</v>
      </c>
      <c r="J3508" s="16" t="n">
        <f aca="false" t="array" ref="J3508:J3508">IFERROR(INDEX(AC3508:AE3508,IF(COUNTA(AC3508:AE3508)=0,"",MAX((AC3508:AE3508&lt;&gt;"")*(COLUMN(AC3508:AE3508)-(COLUMN(AC3508)))))-1),"")</f>
        <v>46024</v>
      </c>
      <c r="K3508" s="16" t="n">
        <f aca="false" t="array" ref="K3508:K3508">IFERROR(INDEX(AC3508:AE3508,IF(COUNTA(AC3508:AE3508)=0,"",MAX((AC3508:AE3508&lt;&gt;"")*(COLUMN(AC3508:AE3508)-(COLUMN(AC3508)-1))))-1),"")</f>
        <v>46265</v>
      </c>
      <c r="L3508" s="17" t="str">
        <f aca="false" t="array" ref="L3508:L3508">IFERROR(INDEX(AC3508:AE3508,IF(COUNTA(AC3508:AE3508)=0,"",MAX((AC3508:AE3508&lt;&gt;"")*(COLUMN(AC3508:AE3508)-(COLUMN(AC3508)-2))))-1),"")</f>
        <v>ARCHIVED</v>
      </c>
      <c r="M3508" s="13" t="n">
        <f aca="true">K3508-TODAY()</f>
        <v>-59</v>
      </c>
      <c r="N3508" s="18" t="s">
        <v>36</v>
      </c>
      <c r="O3508" s="13" t="s">
        <v>11801</v>
      </c>
      <c r="P3508" s="19" t="n">
        <v>5195401</v>
      </c>
      <c r="Q3508" s="47" t="s">
        <v>14337</v>
      </c>
      <c r="R3508" s="13" t="s">
        <v>241</v>
      </c>
      <c r="S3508" s="16" t="n">
        <v>25930</v>
      </c>
      <c r="T3508" s="13" t="s">
        <v>40</v>
      </c>
      <c r="U3508" s="13" t="s">
        <v>14338</v>
      </c>
      <c r="V3508" s="13" t="s">
        <v>42</v>
      </c>
      <c r="W3508" s="13" t="s">
        <v>54</v>
      </c>
      <c r="X3508" s="30" t="n">
        <v>81299934768</v>
      </c>
      <c r="Y3508" s="22" t="str">
        <f aca="false">O3508</f>
        <v>Produksi Enamel</v>
      </c>
      <c r="Z3508" s="13" t="str">
        <f aca="false">IFERROR(__xludf.dummyfunction("if(BJ3508="""","""",GOOGLETRANSLATE(BJ3508,""auto"",""en""))"),"Enamel Production")</f>
        <v>Enamel Production</v>
      </c>
      <c r="AA3508" s="23" t="str">
        <f aca="false">IF(C3508="","", CHOOSE(MONTH(C3508),"January","February","March","April","May","June","July","August","September","October","November","December")&amp;" "&amp;DAY(C3508)&amp;MID("thstndrdth",MIN(9,2*RIGHT(DAY(C3508))*(MOD(DAY(C3508)-11,100)&gt;2)+1),2)&amp;","&amp;TEXT(C3508," yyyy"))</f>
        <v>January 2nd,2026</v>
      </c>
      <c r="AB3508" s="15" t="str">
        <f aca="true">IF(S3508="","",DATEDIF(S3508,TODAY(),"Y")&amp;" Tahun, "&amp;DATEDIF(S3508,TODAY(),"YM")&amp;" Bulan, "&amp;DATEDIF(S3508,TODAY(),"MD")&amp;" Hari")</f>
        <v>55 Tahun, 10 Bulan, 1 Hari</v>
      </c>
      <c r="AC3508" s="18" t="n">
        <v>46024</v>
      </c>
      <c r="AD3508" s="18" t="n">
        <v>46265</v>
      </c>
      <c r="AE3508" s="13" t="s">
        <v>44</v>
      </c>
    </row>
    <row r="3509" customFormat="false" ht="15" hidden="false" customHeight="true" outlineLevel="0" collapsed="false">
      <c r="A3509" s="12" t="n">
        <v>22127</v>
      </c>
      <c r="B3509" s="13" t="s">
        <v>14339</v>
      </c>
      <c r="C3509" s="16" t="n">
        <v>45962</v>
      </c>
      <c r="D3509" s="13" t="s">
        <v>2046</v>
      </c>
      <c r="E3509" s="15" t="s">
        <v>789</v>
      </c>
      <c r="F3509" s="24" t="s">
        <v>14340</v>
      </c>
      <c r="G3509" s="28" t="s">
        <v>57</v>
      </c>
      <c r="H3509" s="28" t="s">
        <v>35</v>
      </c>
      <c r="I3509" s="13" t="str">
        <f aca="false">IF(C3509=J3509,"NEW KONTRAK","RE-KONTRAK")</f>
        <v>NEW KONTRAK</v>
      </c>
      <c r="J3509" s="16" t="n">
        <f aca="false" t="array" ref="J3509:J3509">IFERROR(INDEX(AC3509:AE3509,IF(COUNTA(AC3509:AE3509)=0,"",MAX((AC3509:AE3509&lt;&gt;"")*(COLUMN(AC3509:AE3509)-(COLUMN(AC3509)))))-1),"")</f>
        <v>45962</v>
      </c>
      <c r="K3509" s="16" t="n">
        <f aca="false" t="array" ref="K3509:K3509">IFERROR(INDEX(AC3509:AE3509,IF(COUNTA(AC3509:AE3509)=0,"",MAX((AC3509:AE3509&lt;&gt;"")*(COLUMN(AC3509:AE3509)-(COLUMN(AC3509)-1))))-1),"")</f>
        <v>46053</v>
      </c>
      <c r="L3509" s="17" t="str">
        <f aca="false" t="array" ref="L3509:L3509">IFERROR(INDEX(AC3509:AE3509,IF(COUNTA(AC3509:AE3509)=0,"",MAX((AC3509:AE3509&lt;&gt;"")*(COLUMN(AC3509:AE3509)-(COLUMN(AC3509)-2))))-1),"")</f>
        <v>ARCHIVED</v>
      </c>
      <c r="M3509" s="13" t="n">
        <f aca="true">K3509-TODAY()</f>
        <v>-271</v>
      </c>
      <c r="N3509" s="50" t="s">
        <v>36</v>
      </c>
      <c r="O3509" s="28" t="s">
        <v>2055</v>
      </c>
      <c r="P3509" s="27" t="n">
        <v>138915</v>
      </c>
      <c r="Q3509" s="47" t="s">
        <v>14341</v>
      </c>
      <c r="R3509" s="13" t="s">
        <v>168</v>
      </c>
      <c r="S3509" s="16" t="n">
        <v>34300</v>
      </c>
      <c r="T3509" s="13" t="s">
        <v>40</v>
      </c>
      <c r="U3509" s="13" t="s">
        <v>14342</v>
      </c>
      <c r="V3509" s="13" t="s">
        <v>42</v>
      </c>
      <c r="W3509" s="13" t="s">
        <v>54</v>
      </c>
      <c r="X3509" s="30" t="n">
        <v>83101462638</v>
      </c>
      <c r="Y3509" s="22" t="str">
        <f aca="false">O3509</f>
        <v>Assembly</v>
      </c>
      <c r="Z3509" s="28" t="s">
        <v>2055</v>
      </c>
      <c r="AA3509" s="23" t="str">
        <f aca="false">IF(C3509="","", CHOOSE(MONTH(C3509),"January","February","March","April","May","June","July","August","September","October","November","December")&amp;" "&amp;DAY(C3509)&amp;MID("thstndrdth",MIN(9,2*RIGHT(DAY(C3509))*(MOD(DAY(C3509)-11,100)&gt;2)+1),2)&amp;","&amp;TEXT(C3509," yyyy"))</f>
        <v>November 1st,2025</v>
      </c>
      <c r="AB3509" s="15" t="str">
        <f aca="true">IF(S3509="","",DATEDIF(S3509,TODAY(),"Y")&amp;" Tahun, "&amp;DATEDIF(S3509,TODAY(),"YM")&amp;" Bulan, "&amp;DATEDIF(S3509,TODAY(),"MD")&amp;" Hari")</f>
        <v>32 Tahun, 11 Bulan, 2 Hari</v>
      </c>
      <c r="AC3509" s="16" t="n">
        <v>45962</v>
      </c>
      <c r="AD3509" s="18" t="n">
        <f aca="false">EDATE(AC3509,3)-1</f>
        <v>46053</v>
      </c>
      <c r="AE3509" s="13" t="s">
        <v>44</v>
      </c>
    </row>
    <row r="3510" customFormat="false" ht="15" hidden="false" customHeight="true" outlineLevel="0" collapsed="false">
      <c r="A3510" s="12" t="n">
        <v>22128</v>
      </c>
      <c r="B3510" s="13" t="s">
        <v>14343</v>
      </c>
      <c r="C3510" s="16" t="n">
        <v>45962</v>
      </c>
      <c r="D3510" s="13" t="s">
        <v>2046</v>
      </c>
      <c r="E3510" s="15" t="s">
        <v>102</v>
      </c>
      <c r="F3510" s="15" t="str">
        <f aca="false">IFERROR(__xludf.dummyfunction("XLOOKUP(AJ3510,IMPORTRANGE(""1XaInW9DU9nz21V0tYIfzFQ0He9kVQ_JF2mCXgZ3hqFA"",""REKAP ALL 2026 - Andika!G:G""),IMPORTRANGE(""1XaInW9DU9nz21V0tYIfzFQ0He9kVQ_JF2mCXgZ3hqFA"",""REKAP ALL 2026 - Andika!F:F""),"""",0)"),"26046413972")</f>
        <v>26046413972</v>
      </c>
      <c r="G3510" s="28" t="s">
        <v>57</v>
      </c>
      <c r="H3510" s="28" t="s">
        <v>35</v>
      </c>
      <c r="I3510" s="13" t="str">
        <f aca="false">IF(C3510=J3510,"NEW KONTRAK","RE-KONTRAK")</f>
        <v>NEW KONTRAK</v>
      </c>
      <c r="J3510" s="16" t="n">
        <f aca="false" t="array" ref="J3510:J3510">IFERROR(INDEX(AC3510:AE3510,IF(COUNTA(AC3510:AE3510)=0,"",MAX((AC3510:AE3510&lt;&gt;"")*(COLUMN(AC3510:AE3510)-(COLUMN(AC3510)))))-1),"")</f>
        <v>45962</v>
      </c>
      <c r="K3510" s="16" t="n">
        <f aca="false" t="array" ref="K3510:K3510">IFERROR(INDEX(AC3510:AE3510,IF(COUNTA(AC3510:AE3510)=0,"",MAX((AC3510:AE3510&lt;&gt;"")*(COLUMN(AC3510:AE3510)-(COLUMN(AC3510)-1))))-1),"")</f>
        <v>46053</v>
      </c>
      <c r="L3510" s="17" t="str">
        <f aca="false" t="array" ref="L3510:L3510">IFERROR(INDEX(AC3510:AE3510,IF(COUNTA(AC3510:AE3510)=0,"",MAX((AC3510:AE3510&lt;&gt;"")*(COLUMN(AC3510:AE3510)-(COLUMN(AC3510)-2))))-1),"")</f>
        <v>ARCHIVED</v>
      </c>
      <c r="M3510" s="13" t="n">
        <f aca="true">K3510-TODAY()</f>
        <v>-271</v>
      </c>
      <c r="N3510" s="50" t="s">
        <v>615</v>
      </c>
      <c r="O3510" s="13" t="s">
        <v>58</v>
      </c>
      <c r="P3510" s="19" t="s">
        <v>2050</v>
      </c>
      <c r="Q3510" s="47" t="s">
        <v>14344</v>
      </c>
      <c r="R3510" s="13" t="s">
        <v>232</v>
      </c>
      <c r="S3510" s="16" t="n">
        <v>38037</v>
      </c>
      <c r="T3510" s="13" t="s">
        <v>40</v>
      </c>
      <c r="U3510" s="13" t="s">
        <v>14345</v>
      </c>
      <c r="V3510" s="13" t="s">
        <v>42</v>
      </c>
      <c r="W3510" s="13" t="s">
        <v>43</v>
      </c>
      <c r="X3510" s="30" t="n">
        <v>85280657875</v>
      </c>
      <c r="Y3510" s="22" t="str">
        <f aca="false">O3510</f>
        <v>Produksi</v>
      </c>
      <c r="Z3510" s="13" t="str">
        <f aca="false">IFERROR(__xludf.dummyfunction("if(BJ3510="""","""",GOOGLETRANSLATE(BJ3510,""auto"",""en""))"),"Production")</f>
        <v>Production</v>
      </c>
      <c r="AA3510" s="23" t="str">
        <f aca="false">IF(C3510="","", CHOOSE(MONTH(C3510),"January","February","March","April","May","June","July","August","September","October","November","December")&amp;" "&amp;DAY(C3510)&amp;MID("thstndrdth",MIN(9,2*RIGHT(DAY(C3510))*(MOD(DAY(C3510)-11,100)&gt;2)+1),2)&amp;","&amp;TEXT(C3510," yyyy"))</f>
        <v>November 1st,2025</v>
      </c>
      <c r="AB3510" s="15" t="str">
        <f aca="true">IF(S3510="","",DATEDIF(S3510,TODAY(),"Y")&amp;" Tahun, "&amp;DATEDIF(S3510,TODAY(),"YM")&amp;" Bulan, "&amp;DATEDIF(S3510,TODAY(),"MD")&amp;" Hari")</f>
        <v>22 Tahun, 8 Bulan, 9 Hari</v>
      </c>
      <c r="AC3510" s="16" t="n">
        <v>45962</v>
      </c>
      <c r="AD3510" s="18" t="n">
        <f aca="false">EDATE(AC3510,3)-1</f>
        <v>46053</v>
      </c>
      <c r="AE3510" s="13" t="s">
        <v>44</v>
      </c>
    </row>
    <row r="3511" customFormat="false" ht="15" hidden="false" customHeight="true" outlineLevel="0" collapsed="false">
      <c r="A3511" s="12" t="n">
        <v>22129</v>
      </c>
      <c r="B3511" s="13" t="s">
        <v>14346</v>
      </c>
      <c r="C3511" s="16" t="n">
        <v>45962</v>
      </c>
      <c r="D3511" s="13" t="s">
        <v>2046</v>
      </c>
      <c r="E3511" s="15" t="s">
        <v>102</v>
      </c>
      <c r="F3511" s="15" t="str">
        <f aca="false">IFERROR(__xludf.dummyfunction("XLOOKUP(AJ3511,IMPORTRANGE(""1XaInW9DU9nz21V0tYIfzFQ0He9kVQ_JF2mCXgZ3hqFA"",""REKAP ALL 2026 - Andika!G:G""),IMPORTRANGE(""1XaInW9DU9nz21V0tYIfzFQ0He9kVQ_JF2mCXgZ3hqFA"",""REKAP ALL 2026 - Andika!F:F""),"""",0)"),"26046413964")</f>
        <v>26046413964</v>
      </c>
      <c r="G3511" s="28" t="s">
        <v>57</v>
      </c>
      <c r="H3511" s="28" t="s">
        <v>35</v>
      </c>
      <c r="I3511" s="13" t="str">
        <f aca="false">IF(C3511=J3511,"NEW KONTRAK","RE-KONTRAK")</f>
        <v>NEW KONTRAK</v>
      </c>
      <c r="J3511" s="16" t="n">
        <f aca="false" t="array" ref="J3511:J3511">IFERROR(INDEX(AC3511:AE3511,IF(COUNTA(AC3511:AE3511)=0,"",MAX((AC3511:AE3511&lt;&gt;"")*(COLUMN(AC3511:AE3511)-(COLUMN(AC3511)))))-1),"")</f>
        <v>45962</v>
      </c>
      <c r="K3511" s="16" t="n">
        <f aca="false" t="array" ref="K3511:K3511">IFERROR(INDEX(AC3511:AE3511,IF(COUNTA(AC3511:AE3511)=0,"",MAX((AC3511:AE3511&lt;&gt;"")*(COLUMN(AC3511:AE3511)-(COLUMN(AC3511)-1))))-1),"")</f>
        <v>46053</v>
      </c>
      <c r="L3511" s="17" t="str">
        <f aca="false" t="array" ref="L3511:L3511">IFERROR(INDEX(AC3511:AE3511,IF(COUNTA(AC3511:AE3511)=0,"",MAX((AC3511:AE3511&lt;&gt;"")*(COLUMN(AC3511:AE3511)-(COLUMN(AC3511)-2))))-1),"")</f>
        <v>ARCHIVED</v>
      </c>
      <c r="M3511" s="13" t="n">
        <f aca="true">K3511-TODAY()</f>
        <v>-271</v>
      </c>
      <c r="N3511" s="50" t="s">
        <v>36</v>
      </c>
      <c r="O3511" s="13" t="s">
        <v>58</v>
      </c>
      <c r="P3511" s="19" t="s">
        <v>2050</v>
      </c>
      <c r="Q3511" s="47" t="s">
        <v>14347</v>
      </c>
      <c r="R3511" s="13" t="s">
        <v>65</v>
      </c>
      <c r="S3511" s="16" t="n">
        <v>37491</v>
      </c>
      <c r="T3511" s="13" t="s">
        <v>40</v>
      </c>
      <c r="U3511" s="13" t="s">
        <v>14348</v>
      </c>
      <c r="V3511" s="13" t="s">
        <v>42</v>
      </c>
      <c r="W3511" s="13" t="s">
        <v>43</v>
      </c>
      <c r="X3511" s="30" t="n">
        <v>87756420593</v>
      </c>
      <c r="Y3511" s="22" t="str">
        <f aca="false">O3511</f>
        <v>Produksi</v>
      </c>
      <c r="Z3511" s="13" t="str">
        <f aca="false">IFERROR(__xludf.dummyfunction("if(BJ3511="""","""",GOOGLETRANSLATE(BJ3511,""auto"",""en""))"),"Production")</f>
        <v>Production</v>
      </c>
      <c r="AA3511" s="23" t="str">
        <f aca="false">IF(C3511="","", CHOOSE(MONTH(C3511),"January","February","March","April","May","June","July","August","September","October","November","December")&amp;" "&amp;DAY(C3511)&amp;MID("thstndrdth",MIN(9,2*RIGHT(DAY(C3511))*(MOD(DAY(C3511)-11,100)&gt;2)+1),2)&amp;","&amp;TEXT(C3511," yyyy"))</f>
        <v>November 1st,2025</v>
      </c>
      <c r="AB3511" s="15" t="str">
        <f aca="true">IF(S3511="","",DATEDIF(S3511,TODAY(),"Y")&amp;" Tahun, "&amp;DATEDIF(S3511,TODAY(),"YM")&amp;" Bulan, "&amp;DATEDIF(S3511,TODAY(),"MD")&amp;" Hari")</f>
        <v>24 Tahun, 2 Bulan, 6 Hari</v>
      </c>
      <c r="AC3511" s="16" t="n">
        <v>45962</v>
      </c>
      <c r="AD3511" s="18" t="n">
        <f aca="false">EDATE(AC3511,3)-1</f>
        <v>46053</v>
      </c>
      <c r="AE3511" s="13" t="s">
        <v>44</v>
      </c>
    </row>
    <row r="3512" customFormat="false" ht="15" hidden="false" customHeight="true" outlineLevel="0" collapsed="false">
      <c r="A3512" s="12" t="n">
        <v>22130</v>
      </c>
      <c r="B3512" s="13" t="s">
        <v>14349</v>
      </c>
      <c r="C3512" s="16" t="n">
        <v>46127</v>
      </c>
      <c r="D3512" s="13" t="s">
        <v>393</v>
      </c>
      <c r="E3512" s="15" t="s">
        <v>47</v>
      </c>
      <c r="F3512" s="15" t="str">
        <f aca="false">IFERROR(__xludf.dummyfunction("XLOOKUP(AJ3512,IMPORTRANGE(""1XaInW9DU9nz21V0tYIfzFQ0He9kVQ_JF2mCXgZ3hqFA"",""REKAP ALL 2026 - Andika!G:G""),IMPORTRANGE(""1XaInW9DU9nz21V0tYIfzFQ0He9kVQ_JF2mCXgZ3hqFA"",""REKAP ALL 2026 - Andika!F:F""),"""",0)"),"26063000041")</f>
        <v>26063000041</v>
      </c>
      <c r="G3512" s="28" t="s">
        <v>57</v>
      </c>
      <c r="H3512" s="13" t="s">
        <v>35</v>
      </c>
      <c r="I3512" s="13" t="str">
        <f aca="false">IF(C3512=J3512,"NEW KONTRAK","RE-KONTRAK")</f>
        <v>NEW KONTRAK</v>
      </c>
      <c r="J3512" s="16" t="n">
        <f aca="false" t="array" ref="J3512:J3512">IFERROR(INDEX(AC3512:AE3512,IF(COUNTA(AC3512:AE3512)=0,"",MAX((AC3512:AE3512&lt;&gt;"")*(COLUMN(AC3512:AE3512)-(COLUMN(AC3512)))))-1),"")</f>
        <v>46127</v>
      </c>
      <c r="K3512" s="16" t="n">
        <f aca="false" t="array" ref="K3512:K3512">IFERROR(INDEX(AC3512:AE3512,IF(COUNTA(AC3512:AE3512)=0,"",MAX((AC3512:AE3512&lt;&gt;"")*(COLUMN(AC3512:AE3512)-(COLUMN(AC3512)-1))))-1),"")</f>
        <v>46181</v>
      </c>
      <c r="L3512" s="17" t="str">
        <f aca="false" t="array" ref="L3512:L3512">IFERROR(INDEX(AC3512:AE3512,IF(COUNTA(AC3512:AE3512)=0,"",MAX((AC3512:AE3512&lt;&gt;"")*(COLUMN(AC3512:AE3512)-(COLUMN(AC3512)-2))))-1),"")</f>
        <v>KEMBALI</v>
      </c>
      <c r="M3512" s="13" t="n">
        <f aca="true">K3512-TODAY()</f>
        <v>-143</v>
      </c>
      <c r="N3512" s="18" t="s">
        <v>105</v>
      </c>
      <c r="O3512" s="13" t="s">
        <v>58</v>
      </c>
      <c r="P3512" s="19" t="n">
        <v>5191541</v>
      </c>
      <c r="Q3512" s="47" t="s">
        <v>14350</v>
      </c>
      <c r="R3512" s="13" t="s">
        <v>401</v>
      </c>
      <c r="S3512" s="16" t="n">
        <v>35996</v>
      </c>
      <c r="T3512" s="13" t="s">
        <v>40</v>
      </c>
      <c r="U3512" s="13" t="s">
        <v>14351</v>
      </c>
      <c r="V3512" s="13" t="s">
        <v>42</v>
      </c>
      <c r="W3512" s="13" t="s">
        <v>43</v>
      </c>
      <c r="X3512" s="30" t="n">
        <v>81140785932</v>
      </c>
      <c r="Y3512" s="22" t="str">
        <f aca="false">O3512</f>
        <v>Produksi</v>
      </c>
      <c r="Z3512" s="13" t="str">
        <f aca="false">IFERROR(__xludf.dummyfunction("if(BJ3512="""","""",GOOGLETRANSLATE(BJ3512,""auto"",""en""))"),"Production")</f>
        <v>Production</v>
      </c>
      <c r="AA3512" s="23" t="str">
        <f aca="false">IF(C3512="","", CHOOSE(MONTH(C3512),"January","February","March","April","May","June","July","August","September","October","November","December")&amp;" "&amp;DAY(C3512)&amp;MID("thstndrdth",MIN(9,2*RIGHT(DAY(C3512))*(MOD(DAY(C3512)-11,100)&gt;2)+1),2)&amp;","&amp;TEXT(C3512," yyyy"))</f>
        <v>April 15th,2026</v>
      </c>
      <c r="AB3512" s="15" t="str">
        <f aca="true">IF(S3512="","",DATEDIF(S3512,TODAY(),"Y")&amp;" Tahun, "&amp;DATEDIF(S3512,TODAY(),"YM")&amp;" Bulan, "&amp;DATEDIF(S3512,TODAY(),"MD")&amp;" Hari")</f>
        <v>28 Tahun, 3 Bulan, 9 Hari</v>
      </c>
      <c r="AC3512" s="18" t="n">
        <v>46127</v>
      </c>
      <c r="AD3512" s="105" t="n">
        <v>46181</v>
      </c>
      <c r="AE3512" s="13" t="s">
        <v>397</v>
      </c>
    </row>
    <row r="3513" customFormat="false" ht="15" hidden="false" customHeight="true" outlineLevel="0" collapsed="false">
      <c r="A3513" s="12" t="n">
        <v>22131</v>
      </c>
      <c r="B3513" s="13" t="s">
        <v>14352</v>
      </c>
      <c r="C3513" s="16" t="n">
        <v>46116</v>
      </c>
      <c r="D3513" s="13" t="s">
        <v>10155</v>
      </c>
      <c r="E3513" s="15" t="s">
        <v>47</v>
      </c>
      <c r="F3513" s="15" t="str">
        <f aca="false">IFERROR(__xludf.dummyfunction("XLOOKUP(AJ3513,IMPORTRANGE(""1XaInW9DU9nz21V0tYIfzFQ0He9kVQ_JF2mCXgZ3hqFA"",""REKAP ALL 2026 - Andika!G:G""),IMPORTRANGE(""1XaInW9DU9nz21V0tYIfzFQ0He9kVQ_JF2mCXgZ3hqFA"",""REKAP ALL 2026 - Andika!F:F""),"""",0)"),"26062987792")</f>
        <v>26062987792</v>
      </c>
      <c r="G3513" s="13" t="s">
        <v>1127</v>
      </c>
      <c r="H3513" s="13" t="s">
        <v>35</v>
      </c>
      <c r="I3513" s="13" t="str">
        <f aca="false">IF(C3513=J3513,"NEW KONTRAK","RE-KONTRAK")</f>
        <v>NEW KONTRAK</v>
      </c>
      <c r="J3513" s="16" t="n">
        <f aca="false" t="array" ref="J3513:J3513">IFERROR(INDEX(AC3513:AE3513,IF(COUNTA(AC3513:AE3513)=0,"",MAX((AC3513:AE3513&lt;&gt;"")*(COLUMN(AC3513:AE3513)-(COLUMN(AC3513)))))-1),"")</f>
        <v>46116</v>
      </c>
      <c r="K3513" s="16" t="n">
        <f aca="false" t="array" ref="K3513:K3513">IFERROR(INDEX(AC3513:AE3513,IF(COUNTA(AC3513:AE3513)=0,"",MAX((AC3513:AE3513&lt;&gt;"")*(COLUMN(AC3513:AE3513)-(COLUMN(AC3513)-1))))-1),"")</f>
        <v>46203</v>
      </c>
      <c r="L3513" s="17" t="str">
        <f aca="false" t="array" ref="L3513:L3513">IFERROR(INDEX(AC3513:AE3513,IF(COUNTA(AC3513:AE3513)=0,"",MAX((AC3513:AE3513&lt;&gt;"")*(COLUMN(AC3513:AE3513)-(COLUMN(AC3513)-2))))-1),"")</f>
        <v>KEMBALI</v>
      </c>
      <c r="M3513" s="13" t="n">
        <f aca="true">K3513-TODAY()</f>
        <v>-121</v>
      </c>
      <c r="N3513" s="18" t="s">
        <v>36</v>
      </c>
      <c r="O3513" s="13" t="s">
        <v>14353</v>
      </c>
      <c r="P3513" s="27" t="n">
        <v>5195401</v>
      </c>
      <c r="Q3513" s="113" t="s">
        <v>14354</v>
      </c>
      <c r="R3513" s="13" t="s">
        <v>52</v>
      </c>
      <c r="S3513" s="78" t="n">
        <v>37837</v>
      </c>
      <c r="T3513" s="17" t="s">
        <v>40</v>
      </c>
      <c r="U3513" s="17" t="s">
        <v>14355</v>
      </c>
      <c r="V3513" s="17" t="s">
        <v>42</v>
      </c>
      <c r="W3513" s="17" t="s">
        <v>43</v>
      </c>
      <c r="X3513" s="30" t="n">
        <v>82133480396</v>
      </c>
      <c r="Y3513" s="22" t="str">
        <f aca="false">O3513</f>
        <v>COLD CS P1 PRODUCTION</v>
      </c>
      <c r="Z3513" s="13" t="str">
        <f aca="false">IFERROR(__xludf.dummyfunction("if(BJ3513="""","""",GOOGLETRANSLATE(BJ3513,""auto"",""en""))"),"COLD CS P1 PRODUCTION")</f>
        <v>COLD CS P1 PRODUCTION</v>
      </c>
      <c r="AA3513" s="23" t="str">
        <f aca="false">IF(C3513="","", CHOOSE(MONTH(C3513),"January","February","March","April","May","June","July","August","September","October","November","December")&amp;" "&amp;DAY(C3513)&amp;MID("thstndrdth",MIN(9,2*RIGHT(DAY(C3513))*(MOD(DAY(C3513)-11,100)&gt;2)+1),2)&amp;","&amp;TEXT(C3513," yyyy"))</f>
        <v>April 4th,2026</v>
      </c>
      <c r="AB3513" s="15" t="str">
        <f aca="true">IF(S3513="","",DATEDIF(S3513,TODAY(),"Y")&amp;" Tahun, "&amp;DATEDIF(S3513,TODAY(),"YM")&amp;" Bulan, "&amp;DATEDIF(S3513,TODAY(),"MD")&amp;" Hari")</f>
        <v>23 Tahun, 2 Bulan, 25 Hari</v>
      </c>
      <c r="AC3513" s="18" t="n">
        <v>46116</v>
      </c>
      <c r="AD3513" s="18" t="n">
        <v>46203</v>
      </c>
      <c r="AE3513" s="13" t="s">
        <v>397</v>
      </c>
    </row>
    <row r="3514" customFormat="false" ht="15" hidden="false" customHeight="true" outlineLevel="0" collapsed="false">
      <c r="A3514" s="12" t="n">
        <v>22132</v>
      </c>
      <c r="B3514" s="13" t="s">
        <v>14356</v>
      </c>
      <c r="C3514" s="16" t="n">
        <v>46116</v>
      </c>
      <c r="D3514" s="13" t="s">
        <v>10155</v>
      </c>
      <c r="E3514" s="15" t="s">
        <v>47</v>
      </c>
      <c r="F3514" s="15" t="str">
        <f aca="false">IFERROR(__xludf.dummyfunction("XLOOKUP(AJ3514,IMPORTRANGE(""1XaInW9DU9nz21V0tYIfzFQ0He9kVQ_JF2mCXgZ3hqFA"",""REKAP ALL 2026 - Andika!G:G""),IMPORTRANGE(""1XaInW9DU9nz21V0tYIfzFQ0He9kVQ_JF2mCXgZ3hqFA"",""REKAP ALL 2026 - Andika!F:F""),"""",0)"),"26062987883")</f>
        <v>26062987883</v>
      </c>
      <c r="G3514" s="13" t="s">
        <v>1127</v>
      </c>
      <c r="H3514" s="13" t="s">
        <v>35</v>
      </c>
      <c r="I3514" s="13" t="str">
        <f aca="false">IF(C3514=J3514,"NEW KONTRAK","RE-KONTRAK")</f>
        <v>NEW KONTRAK</v>
      </c>
      <c r="J3514" s="16" t="n">
        <f aca="false" t="array" ref="J3514:J3514">IFERROR(INDEX(AC3514:AE3514,IF(COUNTA(AC3514:AE3514)=0,"",MAX((AC3514:AE3514&lt;&gt;"")*(COLUMN(AC3514:AE3514)-(COLUMN(AC3514)))))-1),"")</f>
        <v>46116</v>
      </c>
      <c r="K3514" s="16" t="n">
        <f aca="false" t="array" ref="K3514:K3514">IFERROR(INDEX(AC3514:AE3514,IF(COUNTA(AC3514:AE3514)=0,"",MAX((AC3514:AE3514&lt;&gt;"")*(COLUMN(AC3514:AE3514)-(COLUMN(AC3514)-1))))-1),"")</f>
        <v>46203</v>
      </c>
      <c r="L3514" s="17" t="str">
        <f aca="false" t="array" ref="L3514:L3514">IFERROR(INDEX(AC3514:AE3514,IF(COUNTA(AC3514:AE3514)=0,"",MAX((AC3514:AE3514&lt;&gt;"")*(COLUMN(AC3514:AE3514)-(COLUMN(AC3514)-2))))-1),"")</f>
        <v>KEMBALI</v>
      </c>
      <c r="M3514" s="13" t="n">
        <f aca="true">K3514-TODAY()</f>
        <v>-121</v>
      </c>
      <c r="N3514" s="18" t="s">
        <v>36</v>
      </c>
      <c r="O3514" s="13" t="s">
        <v>14353</v>
      </c>
      <c r="P3514" s="27" t="n">
        <v>5195401</v>
      </c>
      <c r="Q3514" s="113" t="s">
        <v>14357</v>
      </c>
      <c r="R3514" s="13" t="s">
        <v>65</v>
      </c>
      <c r="S3514" s="78" t="n">
        <v>37354</v>
      </c>
      <c r="T3514" s="17" t="s">
        <v>40</v>
      </c>
      <c r="U3514" s="17" t="s">
        <v>14338</v>
      </c>
      <c r="V3514" s="17" t="s">
        <v>42</v>
      </c>
      <c r="W3514" s="17" t="s">
        <v>43</v>
      </c>
      <c r="X3514" s="30" t="n">
        <v>87822395590</v>
      </c>
      <c r="Y3514" s="22" t="str">
        <f aca="false">O3514</f>
        <v>COLD CS P1 PRODUCTION</v>
      </c>
      <c r="Z3514" s="13" t="str">
        <f aca="false">IFERROR(__xludf.dummyfunction("if(BJ3514="""","""",GOOGLETRANSLATE(BJ3514,""auto"",""en""))"),"COLD CS P1 PRODUCTION")</f>
        <v>COLD CS P1 PRODUCTION</v>
      </c>
      <c r="AA3514" s="23" t="str">
        <f aca="false">IF(C3514="","", CHOOSE(MONTH(C3514),"January","February","March","April","May","June","July","August","September","October","November","December")&amp;" "&amp;DAY(C3514)&amp;MID("thstndrdth",MIN(9,2*RIGHT(DAY(C3514))*(MOD(DAY(C3514)-11,100)&gt;2)+1),2)&amp;","&amp;TEXT(C3514," yyyy"))</f>
        <v>April 4th,2026</v>
      </c>
      <c r="AB3514" s="15" t="str">
        <f aca="true">IF(S3514="","",DATEDIF(S3514,TODAY(),"Y")&amp;" Tahun, "&amp;DATEDIF(S3514,TODAY(),"YM")&amp;" Bulan, "&amp;DATEDIF(S3514,TODAY(),"MD")&amp;" Hari")</f>
        <v>24 Tahun, 6 Bulan, 21 Hari</v>
      </c>
      <c r="AC3514" s="18" t="n">
        <v>46116</v>
      </c>
      <c r="AD3514" s="18" t="n">
        <v>46203</v>
      </c>
      <c r="AE3514" s="13" t="s">
        <v>397</v>
      </c>
    </row>
    <row r="3515" customFormat="false" ht="15" hidden="false" customHeight="true" outlineLevel="0" collapsed="false">
      <c r="A3515" s="12" t="n">
        <v>22133</v>
      </c>
      <c r="B3515" s="13" t="s">
        <v>14358</v>
      </c>
      <c r="C3515" s="16" t="n">
        <v>46116</v>
      </c>
      <c r="D3515" s="13" t="s">
        <v>10155</v>
      </c>
      <c r="E3515" s="15" t="s">
        <v>47</v>
      </c>
      <c r="F3515" s="15" t="str">
        <f aca="false">IFERROR(__xludf.dummyfunction("XLOOKUP(AJ3515,IMPORTRANGE(""1XaInW9DU9nz21V0tYIfzFQ0He9kVQ_JF2mCXgZ3hqFA"",""REKAP ALL 2026 - Andika!G:G""),IMPORTRANGE(""1XaInW9DU9nz21V0tYIfzFQ0He9kVQ_JF2mCXgZ3hqFA"",""REKAP ALL 2026 - Andika!F:F""),"""",0)"),"26062988014")</f>
        <v>26062988014</v>
      </c>
      <c r="G3515" s="13" t="s">
        <v>1127</v>
      </c>
      <c r="H3515" s="13" t="s">
        <v>35</v>
      </c>
      <c r="I3515" s="13" t="str">
        <f aca="false">IF(C3515=J3515,"NEW KONTRAK","RE-KONTRAK")</f>
        <v>NEW KONTRAK</v>
      </c>
      <c r="J3515" s="16" t="n">
        <f aca="false" t="array" ref="J3515:J3515">IFERROR(INDEX(AC3515:AE3515,IF(COUNTA(AC3515:AE3515)=0,"",MAX((AC3515:AE3515&lt;&gt;"")*(COLUMN(AC3515:AE3515)-(COLUMN(AC3515)))))-1),"")</f>
        <v>46116</v>
      </c>
      <c r="K3515" s="16" t="n">
        <f aca="false" t="array" ref="K3515:K3515">IFERROR(INDEX(AC3515:AE3515,IF(COUNTA(AC3515:AE3515)=0,"",MAX((AC3515:AE3515&lt;&gt;"")*(COLUMN(AC3515:AE3515)-(COLUMN(AC3515)-1))))-1),"")</f>
        <v>46203</v>
      </c>
      <c r="L3515" s="17" t="str">
        <f aca="false" t="array" ref="L3515:L3515">IFERROR(INDEX(AC3515:AE3515,IF(COUNTA(AC3515:AE3515)=0,"",MAX((AC3515:AE3515&lt;&gt;"")*(COLUMN(AC3515:AE3515)-(COLUMN(AC3515)-2))))-1),"")</f>
        <v>KEMBALI</v>
      </c>
      <c r="M3515" s="13" t="n">
        <f aca="true">K3515-TODAY()</f>
        <v>-121</v>
      </c>
      <c r="N3515" s="18" t="s">
        <v>36</v>
      </c>
      <c r="O3515" s="13" t="s">
        <v>14353</v>
      </c>
      <c r="P3515" s="27" t="n">
        <v>5195401</v>
      </c>
      <c r="Q3515" s="113" t="s">
        <v>14359</v>
      </c>
      <c r="R3515" s="13" t="s">
        <v>65</v>
      </c>
      <c r="S3515" s="78" t="n">
        <v>39065</v>
      </c>
      <c r="T3515" s="17" t="s">
        <v>40</v>
      </c>
      <c r="U3515" s="17" t="s">
        <v>14360</v>
      </c>
      <c r="V3515" s="17" t="s">
        <v>42</v>
      </c>
      <c r="W3515" s="17" t="s">
        <v>43</v>
      </c>
      <c r="X3515" s="30" t="n">
        <v>87899293784</v>
      </c>
      <c r="Y3515" s="22" t="str">
        <f aca="false">O3515</f>
        <v>COLD CS P1 PRODUCTION</v>
      </c>
      <c r="Z3515" s="13" t="str">
        <f aca="false">IFERROR(__xludf.dummyfunction("if(BJ3515="""","""",GOOGLETRANSLATE(BJ3515,""auto"",""en""))"),"COLD CS P1 PRODUCTION")</f>
        <v>COLD CS P1 PRODUCTION</v>
      </c>
      <c r="AA3515" s="23" t="str">
        <f aca="false">IF(C3515="","", CHOOSE(MONTH(C3515),"January","February","March","April","May","June","July","August","September","October","November","December")&amp;" "&amp;DAY(C3515)&amp;MID("thstndrdth",MIN(9,2*RIGHT(DAY(C3515))*(MOD(DAY(C3515)-11,100)&gt;2)+1),2)&amp;","&amp;TEXT(C3515," yyyy"))</f>
        <v>April 4th,2026</v>
      </c>
      <c r="AB3515" s="15" t="str">
        <f aca="true">IF(S3515="","",DATEDIF(S3515,TODAY(),"Y")&amp;" Tahun, "&amp;DATEDIF(S3515,TODAY(),"YM")&amp;" Bulan, "&amp;DATEDIF(S3515,TODAY(),"MD")&amp;" Hari")</f>
        <v>19 Tahun, 10 Bulan, 15 Hari</v>
      </c>
      <c r="AC3515" s="18" t="n">
        <v>46116</v>
      </c>
      <c r="AD3515" s="18" t="n">
        <v>46203</v>
      </c>
      <c r="AE3515" s="13" t="s">
        <v>397</v>
      </c>
    </row>
    <row r="3516" customFormat="false" ht="15" hidden="false" customHeight="true" outlineLevel="0" collapsed="false">
      <c r="A3516" s="12" t="n">
        <v>22134</v>
      </c>
      <c r="B3516" s="13" t="s">
        <v>14361</v>
      </c>
      <c r="C3516" s="16" t="n">
        <v>46116</v>
      </c>
      <c r="D3516" s="13" t="s">
        <v>10155</v>
      </c>
      <c r="E3516" s="15" t="s">
        <v>47</v>
      </c>
      <c r="F3516" s="15" t="str">
        <f aca="false">IFERROR(__xludf.dummyfunction("XLOOKUP(AJ3516,IMPORTRANGE(""1XaInW9DU9nz21V0tYIfzFQ0He9kVQ_JF2mCXgZ3hqFA"",""REKAP ALL 2026 - Andika!G:G""),IMPORTRANGE(""1XaInW9DU9nz21V0tYIfzFQ0He9kVQ_JF2mCXgZ3hqFA"",""REKAP ALL 2026 - Andika!F:F""),"""",0)"),"26062987578")</f>
        <v>26062987578</v>
      </c>
      <c r="G3516" s="13" t="s">
        <v>1127</v>
      </c>
      <c r="H3516" s="13" t="s">
        <v>35</v>
      </c>
      <c r="I3516" s="13" t="str">
        <f aca="false">IF(C3516=J3516,"NEW KONTRAK","RE-KONTRAK")</f>
        <v>NEW KONTRAK</v>
      </c>
      <c r="J3516" s="16" t="n">
        <f aca="false" t="array" ref="J3516:J3516">IFERROR(INDEX(AC3516:AE3516,IF(COUNTA(AC3516:AE3516)=0,"",MAX((AC3516:AE3516&lt;&gt;"")*(COLUMN(AC3516:AE3516)-(COLUMN(AC3516)))))-1),"")</f>
        <v>46116</v>
      </c>
      <c r="K3516" s="16" t="n">
        <f aca="false" t="array" ref="K3516:K3516">IFERROR(INDEX(AC3516:AE3516,IF(COUNTA(AC3516:AE3516)=0,"",MAX((AC3516:AE3516&lt;&gt;"")*(COLUMN(AC3516:AE3516)-(COLUMN(AC3516)-1))))-1),"")</f>
        <v>46203</v>
      </c>
      <c r="L3516" s="17" t="str">
        <f aca="false" t="array" ref="L3516:L3516">IFERROR(INDEX(AC3516:AE3516,IF(COUNTA(AC3516:AE3516)=0,"",MAX((AC3516:AE3516&lt;&gt;"")*(COLUMN(AC3516:AE3516)-(COLUMN(AC3516)-2))))-1),"")</f>
        <v>KEMBALI</v>
      </c>
      <c r="M3516" s="13" t="n">
        <f aca="true">K3516-TODAY()</f>
        <v>-121</v>
      </c>
      <c r="N3516" s="18" t="s">
        <v>36</v>
      </c>
      <c r="O3516" s="13" t="s">
        <v>14353</v>
      </c>
      <c r="P3516" s="27" t="n">
        <v>5195401</v>
      </c>
      <c r="Q3516" s="113" t="s">
        <v>14362</v>
      </c>
      <c r="R3516" s="13" t="s">
        <v>78</v>
      </c>
      <c r="S3516" s="78" t="n">
        <v>39238</v>
      </c>
      <c r="T3516" s="17" t="s">
        <v>40</v>
      </c>
      <c r="U3516" s="17" t="s">
        <v>14363</v>
      </c>
      <c r="V3516" s="17" t="s">
        <v>42</v>
      </c>
      <c r="W3516" s="17" t="s">
        <v>43</v>
      </c>
      <c r="X3516" s="30" t="n">
        <v>82370103930</v>
      </c>
      <c r="Y3516" s="22" t="str">
        <f aca="false">O3516</f>
        <v>COLD CS P1 PRODUCTION</v>
      </c>
      <c r="Z3516" s="13" t="str">
        <f aca="false">IFERROR(__xludf.dummyfunction("if(BJ3516="""","""",GOOGLETRANSLATE(BJ3516,""auto"",""en""))"),"COLD CS P1 PRODUCTION")</f>
        <v>COLD CS P1 PRODUCTION</v>
      </c>
      <c r="AA3516" s="23" t="str">
        <f aca="false">IF(C3516="","", CHOOSE(MONTH(C3516),"January","February","March","April","May","June","July","August","September","October","November","December")&amp;" "&amp;DAY(C3516)&amp;MID("thstndrdth",MIN(9,2*RIGHT(DAY(C3516))*(MOD(DAY(C3516)-11,100)&gt;2)+1),2)&amp;","&amp;TEXT(C3516," yyyy"))</f>
        <v>April 4th,2026</v>
      </c>
      <c r="AB3516" s="15" t="str">
        <f aca="true">IF(S3516="","",DATEDIF(S3516,TODAY(),"Y")&amp;" Tahun, "&amp;DATEDIF(S3516,TODAY(),"YM")&amp;" Bulan, "&amp;DATEDIF(S3516,TODAY(),"MD")&amp;" Hari")</f>
        <v>19 Tahun, 4 Bulan, 24 Hari</v>
      </c>
      <c r="AC3516" s="18" t="n">
        <v>46116</v>
      </c>
      <c r="AD3516" s="18" t="n">
        <v>46203</v>
      </c>
      <c r="AE3516" s="13" t="s">
        <v>397</v>
      </c>
    </row>
    <row r="3517" customFormat="false" ht="15" hidden="false" customHeight="true" outlineLevel="0" collapsed="false">
      <c r="A3517" s="12" t="n">
        <v>22135</v>
      </c>
      <c r="B3517" s="13" t="s">
        <v>14364</v>
      </c>
      <c r="C3517" s="16" t="n">
        <v>46116</v>
      </c>
      <c r="D3517" s="13" t="s">
        <v>10155</v>
      </c>
      <c r="E3517" s="15" t="s">
        <v>47</v>
      </c>
      <c r="F3517" s="15" t="str">
        <f aca="false">IFERROR(__xludf.dummyfunction("XLOOKUP(AJ3517,IMPORTRANGE(""1XaInW9DU9nz21V0tYIfzFQ0He9kVQ_JF2mCXgZ3hqFA"",""REKAP ALL 2026 - Andika!G:G""),IMPORTRANGE(""1XaInW9DU9nz21V0tYIfzFQ0He9kVQ_JF2mCXgZ3hqFA"",""REKAP ALL 2026 - Andika!F:F""),"""",0)"),"26062987990")</f>
        <v>26062987990</v>
      </c>
      <c r="G3517" s="13" t="s">
        <v>1127</v>
      </c>
      <c r="H3517" s="13" t="s">
        <v>35</v>
      </c>
      <c r="I3517" s="13" t="str">
        <f aca="false">IF(C3517=J3517,"NEW KONTRAK","RE-KONTRAK")</f>
        <v>NEW KONTRAK</v>
      </c>
      <c r="J3517" s="16" t="n">
        <f aca="false" t="array" ref="J3517:J3517">IFERROR(INDEX(AC3517:AE3517,IF(COUNTA(AC3517:AE3517)=0,"",MAX((AC3517:AE3517&lt;&gt;"")*(COLUMN(AC3517:AE3517)-(COLUMN(AC3517)))))-1),"")</f>
        <v>46116</v>
      </c>
      <c r="K3517" s="16" t="n">
        <f aca="false" t="array" ref="K3517:K3517">IFERROR(INDEX(AC3517:AE3517,IF(COUNTA(AC3517:AE3517)=0,"",MAX((AC3517:AE3517&lt;&gt;"")*(COLUMN(AC3517:AE3517)-(COLUMN(AC3517)-1))))-1),"")</f>
        <v>46203</v>
      </c>
      <c r="L3517" s="17" t="str">
        <f aca="false" t="array" ref="L3517:L3517">IFERROR(INDEX(AC3517:AE3517,IF(COUNTA(AC3517:AE3517)=0,"",MAX((AC3517:AE3517&lt;&gt;"")*(COLUMN(AC3517:AE3517)-(COLUMN(AC3517)-2))))-1),"")</f>
        <v>KEMBALI</v>
      </c>
      <c r="M3517" s="13" t="n">
        <f aca="true">K3517-TODAY()</f>
        <v>-121</v>
      </c>
      <c r="N3517" s="18" t="s">
        <v>36</v>
      </c>
      <c r="O3517" s="13" t="s">
        <v>14353</v>
      </c>
      <c r="P3517" s="27" t="n">
        <v>5195401</v>
      </c>
      <c r="Q3517" s="113" t="s">
        <v>14365</v>
      </c>
      <c r="R3517" s="13" t="s">
        <v>65</v>
      </c>
      <c r="S3517" s="78" t="n">
        <v>38973</v>
      </c>
      <c r="T3517" s="17" t="s">
        <v>40</v>
      </c>
      <c r="U3517" s="17" t="s">
        <v>14366</v>
      </c>
      <c r="V3517" s="17" t="s">
        <v>42</v>
      </c>
      <c r="W3517" s="17" t="s">
        <v>43</v>
      </c>
      <c r="X3517" s="30" t="n">
        <v>87770593252</v>
      </c>
      <c r="Y3517" s="22" t="str">
        <f aca="false">O3517</f>
        <v>COLD CS P1 PRODUCTION</v>
      </c>
      <c r="Z3517" s="13" t="str">
        <f aca="false">IFERROR(__xludf.dummyfunction("if(BJ3517="""","""",GOOGLETRANSLATE(BJ3517,""auto"",""en""))"),"COLD CS P1 PRODUCTION")</f>
        <v>COLD CS P1 PRODUCTION</v>
      </c>
      <c r="AA3517" s="23" t="str">
        <f aca="false">IF(C3517="","", CHOOSE(MONTH(C3517),"January","February","March","April","May","June","July","August","September","October","November","December")&amp;" "&amp;DAY(C3517)&amp;MID("thstndrdth",MIN(9,2*RIGHT(DAY(C3517))*(MOD(DAY(C3517)-11,100)&gt;2)+1),2)&amp;","&amp;TEXT(C3517," yyyy"))</f>
        <v>April 4th,2026</v>
      </c>
      <c r="AB3517" s="15" t="str">
        <f aca="true">IF(S3517="","",DATEDIF(S3517,TODAY(),"Y")&amp;" Tahun, "&amp;DATEDIF(S3517,TODAY(),"YM")&amp;" Bulan, "&amp;DATEDIF(S3517,TODAY(),"MD")&amp;" Hari")</f>
        <v>20 Tahun, 1 Bulan, 16 Hari</v>
      </c>
      <c r="AC3517" s="18" t="n">
        <v>46116</v>
      </c>
      <c r="AD3517" s="18" t="n">
        <v>46203</v>
      </c>
      <c r="AE3517" s="13" t="s">
        <v>397</v>
      </c>
    </row>
    <row r="3518" customFormat="false" ht="15" hidden="false" customHeight="true" outlineLevel="0" collapsed="false">
      <c r="A3518" s="12" t="n">
        <v>22136</v>
      </c>
      <c r="B3518" s="13" t="s">
        <v>14367</v>
      </c>
      <c r="C3518" s="16" t="n">
        <v>46116</v>
      </c>
      <c r="D3518" s="13" t="s">
        <v>10155</v>
      </c>
      <c r="E3518" s="15" t="s">
        <v>47</v>
      </c>
      <c r="F3518" s="15" t="str">
        <f aca="false">IFERROR(__xludf.dummyfunction("XLOOKUP(AJ3518,IMPORTRANGE(""1XaInW9DU9nz21V0tYIfzFQ0He9kVQ_JF2mCXgZ3hqFA"",""REKAP ALL 2026 - Andika!G:G""),IMPORTRANGE(""1XaInW9DU9nz21V0tYIfzFQ0He9kVQ_JF2mCXgZ3hqFA"",""REKAP ALL 2026 - Andika!F:F""),"""",0)"),"26062988030")</f>
        <v>26062988030</v>
      </c>
      <c r="G3518" s="13" t="s">
        <v>1127</v>
      </c>
      <c r="H3518" s="13" t="s">
        <v>35</v>
      </c>
      <c r="I3518" s="13" t="str">
        <f aca="false">IF(C3518=J3518,"NEW KONTRAK","RE-KONTRAK")</f>
        <v>NEW KONTRAK</v>
      </c>
      <c r="J3518" s="16" t="n">
        <f aca="false" t="array" ref="J3518:J3518">IFERROR(INDEX(AC3518:AE3518,IF(COUNTA(AC3518:AE3518)=0,"",MAX((AC3518:AE3518&lt;&gt;"")*(COLUMN(AC3518:AE3518)-(COLUMN(AC3518)))))-1),"")</f>
        <v>46116</v>
      </c>
      <c r="K3518" s="16" t="n">
        <f aca="false" t="array" ref="K3518:K3518">IFERROR(INDEX(AC3518:AE3518,IF(COUNTA(AC3518:AE3518)=0,"",MAX((AC3518:AE3518&lt;&gt;"")*(COLUMN(AC3518:AE3518)-(COLUMN(AC3518)-1))))-1),"")</f>
        <v>46203</v>
      </c>
      <c r="L3518" s="17" t="str">
        <f aca="false" t="array" ref="L3518:L3518">IFERROR(INDEX(AC3518:AE3518,IF(COUNTA(AC3518:AE3518)=0,"",MAX((AC3518:AE3518&lt;&gt;"")*(COLUMN(AC3518:AE3518)-(COLUMN(AC3518)-2))))-1),"")</f>
        <v>KEMBALI</v>
      </c>
      <c r="M3518" s="13" t="n">
        <f aca="true">K3518-TODAY()</f>
        <v>-121</v>
      </c>
      <c r="N3518" s="18" t="s">
        <v>36</v>
      </c>
      <c r="O3518" s="13" t="s">
        <v>14353</v>
      </c>
      <c r="P3518" s="27" t="n">
        <v>5195401</v>
      </c>
      <c r="Q3518" s="113" t="s">
        <v>14368</v>
      </c>
      <c r="R3518" s="13" t="s">
        <v>65</v>
      </c>
      <c r="S3518" s="78" t="n">
        <v>38886</v>
      </c>
      <c r="T3518" s="17" t="s">
        <v>40</v>
      </c>
      <c r="U3518" s="17" t="s">
        <v>14369</v>
      </c>
      <c r="V3518" s="17" t="s">
        <v>42</v>
      </c>
      <c r="W3518" s="17" t="s">
        <v>43</v>
      </c>
      <c r="X3518" s="30" t="n">
        <v>85800292185</v>
      </c>
      <c r="Y3518" s="22" t="str">
        <f aca="false">O3518</f>
        <v>COLD CS P1 PRODUCTION</v>
      </c>
      <c r="Z3518" s="13" t="str">
        <f aca="false">IFERROR(__xludf.dummyfunction("if(BJ3518="""","""",GOOGLETRANSLATE(BJ3518,""auto"",""en""))"),"COLD CS P1 PRODUCTION")</f>
        <v>COLD CS P1 PRODUCTION</v>
      </c>
      <c r="AA3518" s="23" t="str">
        <f aca="false">IF(C3518="","", CHOOSE(MONTH(C3518),"January","February","March","April","May","June","July","August","September","October","November","December")&amp;" "&amp;DAY(C3518)&amp;MID("thstndrdth",MIN(9,2*RIGHT(DAY(C3518))*(MOD(DAY(C3518)-11,100)&gt;2)+1),2)&amp;","&amp;TEXT(C3518," yyyy"))</f>
        <v>April 4th,2026</v>
      </c>
      <c r="AB3518" s="15" t="str">
        <f aca="true">IF(S3518="","",DATEDIF(S3518,TODAY(),"Y")&amp;" Tahun, "&amp;DATEDIF(S3518,TODAY(),"YM")&amp;" Bulan, "&amp;DATEDIF(S3518,TODAY(),"MD")&amp;" Hari")</f>
        <v>20 Tahun, 4 Bulan, 11 Hari</v>
      </c>
      <c r="AC3518" s="18" t="n">
        <v>46116</v>
      </c>
      <c r="AD3518" s="18" t="n">
        <v>46203</v>
      </c>
      <c r="AE3518" s="13" t="s">
        <v>397</v>
      </c>
    </row>
    <row r="3519" customFormat="false" ht="15" hidden="false" customHeight="true" outlineLevel="0" collapsed="false">
      <c r="A3519" s="12" t="n">
        <v>22137</v>
      </c>
      <c r="B3519" s="13" t="s">
        <v>14370</v>
      </c>
      <c r="C3519" s="16" t="n">
        <v>46116</v>
      </c>
      <c r="D3519" s="13" t="s">
        <v>10155</v>
      </c>
      <c r="E3519" s="15" t="s">
        <v>47</v>
      </c>
      <c r="F3519" s="15" t="str">
        <f aca="false">IFERROR(__xludf.dummyfunction("XLOOKUP(AJ3519,IMPORTRANGE(""1XaInW9DU9nz21V0tYIfzFQ0He9kVQ_JF2mCXgZ3hqFA"",""REKAP ALL 2026 - Andika!G:G""),IMPORTRANGE(""1XaInW9DU9nz21V0tYIfzFQ0He9kVQ_JF2mCXgZ3hqFA"",""REKAP ALL 2026 - Andika!F:F""),"""",0)"),"26062988055")</f>
        <v>26062988055</v>
      </c>
      <c r="G3519" s="13" t="s">
        <v>1127</v>
      </c>
      <c r="H3519" s="13" t="s">
        <v>35</v>
      </c>
      <c r="I3519" s="13" t="str">
        <f aca="false">IF(C3519=J3519,"NEW KONTRAK","RE-KONTRAK")</f>
        <v>NEW KONTRAK</v>
      </c>
      <c r="J3519" s="16" t="n">
        <f aca="false" t="array" ref="J3519:J3519">IFERROR(INDEX(AC3519:AE3519,IF(COUNTA(AC3519:AE3519)=0,"",MAX((AC3519:AE3519&lt;&gt;"")*(COLUMN(AC3519:AE3519)-(COLUMN(AC3519)))))-1),"")</f>
        <v>46116</v>
      </c>
      <c r="K3519" s="16" t="n">
        <f aca="false" t="array" ref="K3519:K3519">IFERROR(INDEX(AC3519:AE3519,IF(COUNTA(AC3519:AE3519)=0,"",MAX((AC3519:AE3519&lt;&gt;"")*(COLUMN(AC3519:AE3519)-(COLUMN(AC3519)-1))))-1),"")</f>
        <v>46203</v>
      </c>
      <c r="L3519" s="17" t="str">
        <f aca="false" t="array" ref="L3519:L3519">IFERROR(INDEX(AC3519:AE3519,IF(COUNTA(AC3519:AE3519)=0,"",MAX((AC3519:AE3519&lt;&gt;"")*(COLUMN(AC3519:AE3519)-(COLUMN(AC3519)-2))))-1),"")</f>
        <v>KEMBALI</v>
      </c>
      <c r="M3519" s="13" t="n">
        <f aca="true">K3519-TODAY()</f>
        <v>-121</v>
      </c>
      <c r="N3519" s="18" t="s">
        <v>36</v>
      </c>
      <c r="O3519" s="13" t="s">
        <v>14371</v>
      </c>
      <c r="P3519" s="27" t="n">
        <v>5195401</v>
      </c>
      <c r="Q3519" s="113" t="s">
        <v>14372</v>
      </c>
      <c r="R3519" s="76" t="s">
        <v>260</v>
      </c>
      <c r="S3519" s="78" t="n">
        <v>39051</v>
      </c>
      <c r="T3519" s="98" t="s">
        <v>40</v>
      </c>
      <c r="U3519" s="76" t="s">
        <v>14373</v>
      </c>
      <c r="V3519" s="76" t="s">
        <v>42</v>
      </c>
      <c r="W3519" s="76" t="s">
        <v>43</v>
      </c>
      <c r="X3519" s="30" t="n">
        <v>81356915452</v>
      </c>
      <c r="Y3519" s="22" t="str">
        <f aca="false">O3519</f>
        <v>LS P2 &amp; P5 - QUALITY CONTROL</v>
      </c>
      <c r="Z3519" s="13" t="str">
        <f aca="false">IFERROR(__xludf.dummyfunction("if(BJ3519="""","""",GOOGLETRANSLATE(BJ3519,""auto"",""en""))"),"LS P2 &amp; P5 - QUALITY CONTROL")</f>
        <v>LS P2 &amp; P5 - QUALITY CONTROL</v>
      </c>
      <c r="AA3519" s="23" t="str">
        <f aca="false">IF(C3519="","", CHOOSE(MONTH(C3519),"January","February","March","April","May","June","July","August","September","October","November","December")&amp;" "&amp;DAY(C3519)&amp;MID("thstndrdth",MIN(9,2*RIGHT(DAY(C3519))*(MOD(DAY(C3519)-11,100)&gt;2)+1),2)&amp;","&amp;TEXT(C3519," yyyy"))</f>
        <v>April 4th,2026</v>
      </c>
      <c r="AB3519" s="15" t="str">
        <f aca="true">IF(S3519="","",DATEDIF(S3519,TODAY(),"Y")&amp;" Tahun, "&amp;DATEDIF(S3519,TODAY(),"YM")&amp;" Bulan, "&amp;DATEDIF(S3519,TODAY(),"MD")&amp;" Hari")</f>
        <v>19 Tahun, 10 Bulan, 29 Hari</v>
      </c>
      <c r="AC3519" s="18" t="n">
        <v>46116</v>
      </c>
      <c r="AD3519" s="18" t="n">
        <v>46203</v>
      </c>
      <c r="AE3519" s="13" t="s">
        <v>397</v>
      </c>
    </row>
    <row r="3520" customFormat="false" ht="15" hidden="false" customHeight="true" outlineLevel="0" collapsed="false">
      <c r="A3520" s="12" t="n">
        <v>22138</v>
      </c>
      <c r="B3520" s="13" t="s">
        <v>14374</v>
      </c>
      <c r="C3520" s="16" t="n">
        <v>46123</v>
      </c>
      <c r="D3520" s="13" t="s">
        <v>10155</v>
      </c>
      <c r="E3520" s="15" t="s">
        <v>47</v>
      </c>
      <c r="F3520" s="15" t="str">
        <f aca="false">IFERROR(__xludf.dummyfunction("XLOOKUP(AJ3520,IMPORTRANGE(""1XaInW9DU9nz21V0tYIfzFQ0He9kVQ_JF2mCXgZ3hqFA"",""REKAP ALL 2026 - Andika!G:G""),IMPORTRANGE(""1XaInW9DU9nz21V0tYIfzFQ0He9kVQ_JF2mCXgZ3hqFA"",""REKAP ALL 2026 - Andika!F:F""),"""",0)"),"26062987966")</f>
        <v>26062987966</v>
      </c>
      <c r="G3520" s="13" t="s">
        <v>1127</v>
      </c>
      <c r="H3520" s="13" t="s">
        <v>35</v>
      </c>
      <c r="I3520" s="13" t="str">
        <f aca="false">IF(C3520=J3520,"NEW KONTRAK","RE-KONTRAK")</f>
        <v>NEW KONTRAK</v>
      </c>
      <c r="J3520" s="16" t="n">
        <f aca="false" t="array" ref="J3520:J3520">IFERROR(INDEX(AC3520:AE3520,IF(COUNTA(AC3520:AE3520)=0,"",MAX((AC3520:AE3520&lt;&gt;"")*(COLUMN(AC3520:AE3520)-(COLUMN(AC3520)))))-1),"")</f>
        <v>46123</v>
      </c>
      <c r="K3520" s="16" t="n">
        <f aca="false" t="array" ref="K3520:K3520">IFERROR(INDEX(AC3520:AE3520,IF(COUNTA(AC3520:AE3520)=0,"",MAX((AC3520:AE3520&lt;&gt;"")*(COLUMN(AC3520:AE3520)-(COLUMN(AC3520)-1))))-1),"")</f>
        <v>46203</v>
      </c>
      <c r="L3520" s="17" t="str">
        <f aca="false" t="array" ref="L3520:L3520">IFERROR(INDEX(AC3520:AE3520,IF(COUNTA(AC3520:AE3520)=0,"",MAX((AC3520:AE3520&lt;&gt;"")*(COLUMN(AC3520:AE3520)-(COLUMN(AC3520)-2))))-1),"")</f>
        <v>KEMBALI</v>
      </c>
      <c r="M3520" s="13" t="n">
        <f aca="true">K3520-TODAY()</f>
        <v>-121</v>
      </c>
      <c r="N3520" s="18" t="s">
        <v>36</v>
      </c>
      <c r="O3520" s="13" t="s">
        <v>14375</v>
      </c>
      <c r="P3520" s="27" t="n">
        <v>5195401</v>
      </c>
      <c r="Q3520" s="113" t="s">
        <v>14376</v>
      </c>
      <c r="R3520" s="13" t="s">
        <v>65</v>
      </c>
      <c r="S3520" s="78" t="n">
        <v>38496</v>
      </c>
      <c r="T3520" s="17" t="s">
        <v>40</v>
      </c>
      <c r="U3520" s="17" t="s">
        <v>14377</v>
      </c>
      <c r="V3520" s="17" t="s">
        <v>42</v>
      </c>
      <c r="W3520" s="17" t="s">
        <v>43</v>
      </c>
      <c r="X3520" s="30" t="n">
        <v>82367528953</v>
      </c>
      <c r="Y3520" s="22" t="str">
        <f aca="false">O3520</f>
        <v>P3 QC &amp; INCOMING</v>
      </c>
      <c r="Z3520" s="13" t="str">
        <f aca="false">IFERROR(__xludf.dummyfunction("if(BJ3520="""","""",GOOGLETRANSLATE(BJ3520,""auto"",""en""))"),"P3 QC &amp; INCOMING")</f>
        <v>P3 QC &amp; INCOMING</v>
      </c>
      <c r="AA3520" s="23" t="str">
        <f aca="false">IF(C3520="","", CHOOSE(MONTH(C3520),"January","February","March","April","May","June","July","August","September","October","November","December")&amp;" "&amp;DAY(C3520)&amp;MID("thstndrdth",MIN(9,2*RIGHT(DAY(C3520))*(MOD(DAY(C3520)-11,100)&gt;2)+1),2)&amp;","&amp;TEXT(C3520," yyyy"))</f>
        <v>April 11th,2026</v>
      </c>
      <c r="AB3520" s="15" t="str">
        <f aca="true">IF(S3520="","",DATEDIF(S3520,TODAY(),"Y")&amp;" Tahun, "&amp;DATEDIF(S3520,TODAY(),"YM")&amp;" Bulan, "&amp;DATEDIF(S3520,TODAY(),"MD")&amp;" Hari")</f>
        <v>21 Tahun, 5 Bulan, 5 Hari</v>
      </c>
      <c r="AC3520" s="18" t="n">
        <v>46123</v>
      </c>
      <c r="AD3520" s="18" t="n">
        <v>46203</v>
      </c>
      <c r="AE3520" s="13" t="s">
        <v>397</v>
      </c>
    </row>
    <row r="3521" customFormat="false" ht="15" hidden="false" customHeight="true" outlineLevel="0" collapsed="false">
      <c r="A3521" s="12" t="n">
        <v>22139</v>
      </c>
      <c r="B3521" s="13" t="s">
        <v>14378</v>
      </c>
      <c r="C3521" s="16" t="n">
        <v>46123</v>
      </c>
      <c r="D3521" s="13" t="s">
        <v>10155</v>
      </c>
      <c r="E3521" s="15" t="s">
        <v>47</v>
      </c>
      <c r="F3521" s="15" t="str">
        <f aca="false">IFERROR(__xludf.dummyfunction("XLOOKUP(AJ3521,IMPORTRANGE(""1XaInW9DU9nz21V0tYIfzFQ0He9kVQ_JF2mCXgZ3hqFA"",""REKAP ALL 2026 - Andika!G:G""),IMPORTRANGE(""1XaInW9DU9nz21V0tYIfzFQ0He9kVQ_JF2mCXgZ3hqFA"",""REKAP ALL 2026 - Andika!F:F""),"""",0)"),"26062987909")</f>
        <v>26062987909</v>
      </c>
      <c r="G3521" s="13" t="s">
        <v>1127</v>
      </c>
      <c r="H3521" s="13" t="s">
        <v>35</v>
      </c>
      <c r="I3521" s="13" t="str">
        <f aca="false">IF(C3521=J3521,"NEW KONTRAK","RE-KONTRAK")</f>
        <v>NEW KONTRAK</v>
      </c>
      <c r="J3521" s="16" t="n">
        <f aca="false" t="array" ref="J3521:J3521">IFERROR(INDEX(AC3521:AE3521,IF(COUNTA(AC3521:AE3521)=0,"",MAX((AC3521:AE3521&lt;&gt;"")*(COLUMN(AC3521:AE3521)-(COLUMN(AC3521)))))-1),"")</f>
        <v>46123</v>
      </c>
      <c r="K3521" s="16" t="n">
        <f aca="false" t="array" ref="K3521:K3521">IFERROR(INDEX(AC3521:AE3521,IF(COUNTA(AC3521:AE3521)=0,"",MAX((AC3521:AE3521&lt;&gt;"")*(COLUMN(AC3521:AE3521)-(COLUMN(AC3521)-1))))-1),"")</f>
        <v>46203</v>
      </c>
      <c r="L3521" s="17" t="str">
        <f aca="false" t="array" ref="L3521:L3521">IFERROR(INDEX(AC3521:AE3521,IF(COUNTA(AC3521:AE3521)=0,"",MAX((AC3521:AE3521&lt;&gt;"")*(COLUMN(AC3521:AE3521)-(COLUMN(AC3521)-2))))-1),"")</f>
        <v>KEMBALI</v>
      </c>
      <c r="M3521" s="13" t="n">
        <f aca="true">K3521-TODAY()</f>
        <v>-121</v>
      </c>
      <c r="N3521" s="18" t="s">
        <v>36</v>
      </c>
      <c r="O3521" s="13" t="s">
        <v>14353</v>
      </c>
      <c r="P3521" s="27" t="n">
        <v>5195401</v>
      </c>
      <c r="Q3521" s="113" t="s">
        <v>14379</v>
      </c>
      <c r="R3521" s="13" t="s">
        <v>65</v>
      </c>
      <c r="S3521" s="78" t="n">
        <v>37548</v>
      </c>
      <c r="T3521" s="17" t="s">
        <v>40</v>
      </c>
      <c r="U3521" s="17" t="s">
        <v>9126</v>
      </c>
      <c r="V3521" s="17" t="s">
        <v>42</v>
      </c>
      <c r="W3521" s="17" t="s">
        <v>43</v>
      </c>
      <c r="X3521" s="30" t="n">
        <v>82364422096</v>
      </c>
      <c r="Y3521" s="22" t="str">
        <f aca="false">O3521</f>
        <v>COLD CS P1 PRODUCTION</v>
      </c>
      <c r="Z3521" s="13" t="str">
        <f aca="false">IFERROR(__xludf.dummyfunction("if(BJ3521="""","""",GOOGLETRANSLATE(BJ3521,""auto"",""en""))"),"COLD CS P1 PRODUCTION")</f>
        <v>COLD CS P1 PRODUCTION</v>
      </c>
      <c r="AA3521" s="23" t="str">
        <f aca="false">IF(C3521="","", CHOOSE(MONTH(C3521),"January","February","March","April","May","June","July","August","September","October","November","December")&amp;" "&amp;DAY(C3521)&amp;MID("thstndrdth",MIN(9,2*RIGHT(DAY(C3521))*(MOD(DAY(C3521)-11,100)&gt;2)+1),2)&amp;","&amp;TEXT(C3521," yyyy"))</f>
        <v>April 11th,2026</v>
      </c>
      <c r="AB3521" s="15" t="str">
        <f aca="true">IF(S3521="","",DATEDIF(S3521,TODAY(),"Y")&amp;" Tahun, "&amp;DATEDIF(S3521,TODAY(),"YM")&amp;" Bulan, "&amp;DATEDIF(S3521,TODAY(),"MD")&amp;" Hari")</f>
        <v>24 Tahun, 0 Bulan, 10 Hari</v>
      </c>
      <c r="AC3521" s="18" t="n">
        <v>46123</v>
      </c>
      <c r="AD3521" s="18" t="n">
        <v>46203</v>
      </c>
      <c r="AE3521" s="13" t="s">
        <v>397</v>
      </c>
    </row>
    <row r="3522" customFormat="false" ht="15" hidden="false" customHeight="true" outlineLevel="0" collapsed="false">
      <c r="A3522" s="12" t="n">
        <v>22140</v>
      </c>
      <c r="B3522" s="13" t="s">
        <v>14380</v>
      </c>
      <c r="C3522" s="16" t="n">
        <v>46123</v>
      </c>
      <c r="D3522" s="13" t="s">
        <v>10155</v>
      </c>
      <c r="E3522" s="15" t="s">
        <v>47</v>
      </c>
      <c r="F3522" s="15" t="str">
        <f aca="false">IFERROR(__xludf.dummyfunction("XLOOKUP(AJ3522,IMPORTRANGE(""1XaInW9DU9nz21V0tYIfzFQ0He9kVQ_JF2mCXgZ3hqFA"",""REKAP ALL 2026 - Andika!G:G""),IMPORTRANGE(""1XaInW9DU9nz21V0tYIfzFQ0He9kVQ_JF2mCXgZ3hqFA"",""REKAP ALL 2026 - Andika!F:F""),"""",0)"),"26062987602")</f>
        <v>26062987602</v>
      </c>
      <c r="G3522" s="13" t="s">
        <v>1127</v>
      </c>
      <c r="H3522" s="13" t="s">
        <v>35</v>
      </c>
      <c r="I3522" s="13" t="str">
        <f aca="false">IF(C3522=J3522,"NEW KONTRAK","RE-KONTRAK")</f>
        <v>NEW KONTRAK</v>
      </c>
      <c r="J3522" s="16" t="n">
        <f aca="false" t="array" ref="J3522:J3522">IFERROR(INDEX(AC3522:AE3522,IF(COUNTA(AC3522:AE3522)=0,"",MAX((AC3522:AE3522&lt;&gt;"")*(COLUMN(AC3522:AE3522)-(COLUMN(AC3522)))))-1),"")</f>
        <v>46123</v>
      </c>
      <c r="K3522" s="16" t="n">
        <f aca="false" t="array" ref="K3522:K3522">IFERROR(INDEX(AC3522:AE3522,IF(COUNTA(AC3522:AE3522)=0,"",MAX((AC3522:AE3522&lt;&gt;"")*(COLUMN(AC3522:AE3522)-(COLUMN(AC3522)-1))))-1),"")</f>
        <v>46203</v>
      </c>
      <c r="L3522" s="17" t="str">
        <f aca="false" t="array" ref="L3522:L3522">IFERROR(INDEX(AC3522:AE3522,IF(COUNTA(AC3522:AE3522)=0,"",MAX((AC3522:AE3522&lt;&gt;"")*(COLUMN(AC3522:AE3522)-(COLUMN(AC3522)-2))))-1),"")</f>
        <v>KEMBALI</v>
      </c>
      <c r="M3522" s="13" t="n">
        <f aca="true">K3522-TODAY()</f>
        <v>-121</v>
      </c>
      <c r="N3522" s="18" t="s">
        <v>36</v>
      </c>
      <c r="O3522" s="13" t="s">
        <v>14353</v>
      </c>
      <c r="P3522" s="27" t="n">
        <v>5195401</v>
      </c>
      <c r="Q3522" s="113" t="s">
        <v>14381</v>
      </c>
      <c r="R3522" s="13" t="s">
        <v>65</v>
      </c>
      <c r="S3522" s="78" t="n">
        <v>38601</v>
      </c>
      <c r="T3522" s="17" t="s">
        <v>40</v>
      </c>
      <c r="U3522" s="17" t="s">
        <v>14382</v>
      </c>
      <c r="V3522" s="17" t="s">
        <v>42</v>
      </c>
      <c r="W3522" s="17" t="s">
        <v>43</v>
      </c>
      <c r="X3522" s="30" t="n">
        <v>81229593917</v>
      </c>
      <c r="Y3522" s="22" t="str">
        <f aca="false">O3522</f>
        <v>COLD CS P1 PRODUCTION</v>
      </c>
      <c r="Z3522" s="13" t="str">
        <f aca="false">IFERROR(__xludf.dummyfunction("if(BJ3522="""","""",GOOGLETRANSLATE(BJ3522,""auto"",""en""))"),"COLD CS P1 PRODUCTION")</f>
        <v>COLD CS P1 PRODUCTION</v>
      </c>
      <c r="AA3522" s="23" t="str">
        <f aca="false">IF(C3522="","", CHOOSE(MONTH(C3522),"January","February","March","April","May","June","July","August","September","October","November","December")&amp;" "&amp;DAY(C3522)&amp;MID("thstndrdth",MIN(9,2*RIGHT(DAY(C3522))*(MOD(DAY(C3522)-11,100)&gt;2)+1),2)&amp;","&amp;TEXT(C3522," yyyy"))</f>
        <v>April 11th,2026</v>
      </c>
      <c r="AB3522" s="15" t="str">
        <f aca="true">IF(S3522="","",DATEDIF(S3522,TODAY(),"Y")&amp;" Tahun, "&amp;DATEDIF(S3522,TODAY(),"YM")&amp;" Bulan, "&amp;DATEDIF(S3522,TODAY(),"MD")&amp;" Hari")</f>
        <v>21 Tahun, 1 Bulan, 23 Hari</v>
      </c>
      <c r="AC3522" s="18" t="n">
        <v>46123</v>
      </c>
      <c r="AD3522" s="18" t="n">
        <v>46203</v>
      </c>
      <c r="AE3522" s="13" t="s">
        <v>397</v>
      </c>
    </row>
    <row r="3523" customFormat="false" ht="15" hidden="false" customHeight="true" outlineLevel="0" collapsed="false">
      <c r="A3523" s="12" t="n">
        <v>22141</v>
      </c>
      <c r="B3523" s="13" t="s">
        <v>14383</v>
      </c>
      <c r="C3523" s="16" t="n">
        <v>46123</v>
      </c>
      <c r="D3523" s="13" t="s">
        <v>10155</v>
      </c>
      <c r="E3523" s="15" t="s">
        <v>47</v>
      </c>
      <c r="F3523" s="15" t="str">
        <f aca="false">IFERROR(__xludf.dummyfunction("XLOOKUP(AJ3523,IMPORTRANGE(""1XaInW9DU9nz21V0tYIfzFQ0He9kVQ_JF2mCXgZ3hqFA"",""REKAP ALL 2026 - Andika!G:G""),IMPORTRANGE(""1XaInW9DU9nz21V0tYIfzFQ0He9kVQ_JF2mCXgZ3hqFA"",""REKAP ALL 2026 - Andika!F:F""),"""",0)"),"26062987982")</f>
        <v>26062987982</v>
      </c>
      <c r="G3523" s="13" t="s">
        <v>1127</v>
      </c>
      <c r="H3523" s="13" t="s">
        <v>35</v>
      </c>
      <c r="I3523" s="13" t="str">
        <f aca="false">IF(C3523=J3523,"NEW KONTRAK","RE-KONTRAK")</f>
        <v>NEW KONTRAK</v>
      </c>
      <c r="J3523" s="16" t="n">
        <f aca="false" t="array" ref="J3523:J3523">IFERROR(INDEX(AC3523:AE3523,IF(COUNTA(AC3523:AE3523)=0,"",MAX((AC3523:AE3523&lt;&gt;"")*(COLUMN(AC3523:AE3523)-(COLUMN(AC3523)))))-1),"")</f>
        <v>46123</v>
      </c>
      <c r="K3523" s="16" t="n">
        <f aca="false" t="array" ref="K3523:K3523">IFERROR(INDEX(AC3523:AE3523,IF(COUNTA(AC3523:AE3523)=0,"",MAX((AC3523:AE3523&lt;&gt;"")*(COLUMN(AC3523:AE3523)-(COLUMN(AC3523)-1))))-1),"")</f>
        <v>46203</v>
      </c>
      <c r="L3523" s="17" t="str">
        <f aca="false" t="array" ref="L3523:L3523">IFERROR(INDEX(AC3523:AE3523,IF(COUNTA(AC3523:AE3523)=0,"",MAX((AC3523:AE3523&lt;&gt;"")*(COLUMN(AC3523:AE3523)-(COLUMN(AC3523)-2))))-1),"")</f>
        <v>KEMBALI</v>
      </c>
      <c r="M3523" s="13" t="n">
        <f aca="true">K3523-TODAY()</f>
        <v>-121</v>
      </c>
      <c r="N3523" s="18" t="s">
        <v>36</v>
      </c>
      <c r="O3523" s="13" t="s">
        <v>14375</v>
      </c>
      <c r="P3523" s="27" t="n">
        <v>5195401</v>
      </c>
      <c r="Q3523" s="113" t="s">
        <v>14384</v>
      </c>
      <c r="R3523" s="13" t="s">
        <v>65</v>
      </c>
      <c r="S3523" s="78" t="n">
        <v>37590</v>
      </c>
      <c r="T3523" s="17" t="s">
        <v>40</v>
      </c>
      <c r="U3523" s="17" t="s">
        <v>14385</v>
      </c>
      <c r="V3523" s="17" t="s">
        <v>42</v>
      </c>
      <c r="W3523" s="17" t="s">
        <v>43</v>
      </c>
      <c r="X3523" s="30" t="n">
        <v>82251355215</v>
      </c>
      <c r="Y3523" s="22" t="str">
        <f aca="false">O3523</f>
        <v>P3 QC &amp; INCOMING</v>
      </c>
      <c r="Z3523" s="13" t="str">
        <f aca="false">IFERROR(__xludf.dummyfunction("if(BJ3523="""","""",GOOGLETRANSLATE(BJ3523,""auto"",""en""))"),"P3 QC &amp; INCOMING")</f>
        <v>P3 QC &amp; INCOMING</v>
      </c>
      <c r="AA3523" s="23" t="str">
        <f aca="false">IF(C3523="","", CHOOSE(MONTH(C3523),"January","February","March","April","May","June","July","August","September","October","November","December")&amp;" "&amp;DAY(C3523)&amp;MID("thstndrdth",MIN(9,2*RIGHT(DAY(C3523))*(MOD(DAY(C3523)-11,100)&gt;2)+1),2)&amp;","&amp;TEXT(C3523," yyyy"))</f>
        <v>April 11th,2026</v>
      </c>
      <c r="AB3523" s="15" t="str">
        <f aca="true">IF(S3523="","",DATEDIF(S3523,TODAY(),"Y")&amp;" Tahun, "&amp;DATEDIF(S3523,TODAY(),"YM")&amp;" Bulan, "&amp;DATEDIF(S3523,TODAY(),"MD")&amp;" Hari")</f>
        <v>23 Tahun, 10 Bulan, 29 Hari</v>
      </c>
      <c r="AC3523" s="18" t="n">
        <v>46123</v>
      </c>
      <c r="AD3523" s="18" t="n">
        <v>46203</v>
      </c>
      <c r="AE3523" s="13" t="s">
        <v>397</v>
      </c>
    </row>
    <row r="3524" customFormat="false" ht="15" hidden="false" customHeight="true" outlineLevel="0" collapsed="false">
      <c r="A3524" s="12" t="n">
        <v>22142</v>
      </c>
      <c r="B3524" s="13" t="s">
        <v>14386</v>
      </c>
      <c r="C3524" s="16" t="n">
        <v>46123</v>
      </c>
      <c r="D3524" s="13" t="s">
        <v>10155</v>
      </c>
      <c r="E3524" s="15" t="s">
        <v>47</v>
      </c>
      <c r="F3524" s="15" t="str">
        <f aca="false">IFERROR(__xludf.dummyfunction("XLOOKUP(AJ3524,IMPORTRANGE(""1XaInW9DU9nz21V0tYIfzFQ0He9kVQ_JF2mCXgZ3hqFA"",""REKAP ALL 2026 - Andika!G:G""),IMPORTRANGE(""1XaInW9DU9nz21V0tYIfzFQ0He9kVQ_JF2mCXgZ3hqFA"",""REKAP ALL 2026 - Andika!F:F""),"""",0)"),"26062987941")</f>
        <v>26062987941</v>
      </c>
      <c r="G3524" s="13" t="s">
        <v>1127</v>
      </c>
      <c r="H3524" s="13" t="s">
        <v>35</v>
      </c>
      <c r="I3524" s="13" t="str">
        <f aca="false">IF(C3524=J3524,"NEW KONTRAK","RE-KONTRAK")</f>
        <v>NEW KONTRAK</v>
      </c>
      <c r="J3524" s="16" t="n">
        <f aca="false" t="array" ref="J3524:J3524">IFERROR(INDEX(AC3524:AE3524,IF(COUNTA(AC3524:AE3524)=0,"",MAX((AC3524:AE3524&lt;&gt;"")*(COLUMN(AC3524:AE3524)-(COLUMN(AC3524)))))-1),"")</f>
        <v>46123</v>
      </c>
      <c r="K3524" s="16" t="n">
        <f aca="false" t="array" ref="K3524:K3524">IFERROR(INDEX(AC3524:AE3524,IF(COUNTA(AC3524:AE3524)=0,"",MAX((AC3524:AE3524&lt;&gt;"")*(COLUMN(AC3524:AE3524)-(COLUMN(AC3524)-1))))-1),"")</f>
        <v>46203</v>
      </c>
      <c r="L3524" s="17" t="str">
        <f aca="false" t="array" ref="L3524:L3524">IFERROR(INDEX(AC3524:AE3524,IF(COUNTA(AC3524:AE3524)=0,"",MAX((AC3524:AE3524&lt;&gt;"")*(COLUMN(AC3524:AE3524)-(COLUMN(AC3524)-2))))-1),"")</f>
        <v>KEMBALI</v>
      </c>
      <c r="M3524" s="13" t="n">
        <f aca="true">K3524-TODAY()</f>
        <v>-121</v>
      </c>
      <c r="N3524" s="18" t="s">
        <v>36</v>
      </c>
      <c r="O3524" s="13" t="s">
        <v>14353</v>
      </c>
      <c r="P3524" s="27" t="n">
        <v>5195401</v>
      </c>
      <c r="Q3524" s="113" t="s">
        <v>14387</v>
      </c>
      <c r="R3524" s="13" t="s">
        <v>65</v>
      </c>
      <c r="S3524" s="78" t="n">
        <v>37095</v>
      </c>
      <c r="T3524" s="17" t="s">
        <v>40</v>
      </c>
      <c r="U3524" s="17" t="s">
        <v>14388</v>
      </c>
      <c r="V3524" s="17" t="s">
        <v>42</v>
      </c>
      <c r="W3524" s="17" t="s">
        <v>43</v>
      </c>
      <c r="X3524" s="30" t="n">
        <v>89804331541</v>
      </c>
      <c r="Y3524" s="22" t="str">
        <f aca="false">O3524</f>
        <v>COLD CS P1 PRODUCTION</v>
      </c>
      <c r="Z3524" s="13" t="str">
        <f aca="false">IFERROR(__xludf.dummyfunction("if(BJ3524="""","""",GOOGLETRANSLATE(BJ3524,""auto"",""en""))"),"COLD CS P1 PRODUCTION")</f>
        <v>COLD CS P1 PRODUCTION</v>
      </c>
      <c r="AA3524" s="23" t="str">
        <f aca="false">IF(C3524="","", CHOOSE(MONTH(C3524),"January","February","March","April","May","June","July","August","September","October","November","December")&amp;" "&amp;DAY(C3524)&amp;MID("thstndrdth",MIN(9,2*RIGHT(DAY(C3524))*(MOD(DAY(C3524)-11,100)&gt;2)+1),2)&amp;","&amp;TEXT(C3524," yyyy"))</f>
        <v>April 11th,2026</v>
      </c>
      <c r="AB3524" s="15" t="str">
        <f aca="true">IF(S3524="","",DATEDIF(S3524,TODAY(),"Y")&amp;" Tahun, "&amp;DATEDIF(S3524,TODAY(),"YM")&amp;" Bulan, "&amp;DATEDIF(S3524,TODAY(),"MD")&amp;" Hari")</f>
        <v>25 Tahun, 3 Bulan, 6 Hari</v>
      </c>
      <c r="AC3524" s="18" t="n">
        <v>46123</v>
      </c>
      <c r="AD3524" s="18" t="n">
        <v>46203</v>
      </c>
      <c r="AE3524" s="13" t="s">
        <v>397</v>
      </c>
    </row>
    <row r="3525" customFormat="false" ht="15" hidden="false" customHeight="true" outlineLevel="0" collapsed="false">
      <c r="A3525" s="12" t="n">
        <v>22143</v>
      </c>
      <c r="B3525" s="13" t="s">
        <v>14389</v>
      </c>
      <c r="C3525" s="16" t="n">
        <v>46123</v>
      </c>
      <c r="D3525" s="13" t="s">
        <v>10155</v>
      </c>
      <c r="E3525" s="15" t="s">
        <v>47</v>
      </c>
      <c r="F3525" s="15" t="str">
        <f aca="false">IFERROR(__xludf.dummyfunction("XLOOKUP(AJ3525,IMPORTRANGE(""1XaInW9DU9nz21V0tYIfzFQ0He9kVQ_JF2mCXgZ3hqFA"",""REKAP ALL 2026 - Andika!G:G""),IMPORTRANGE(""1XaInW9DU9nz21V0tYIfzFQ0He9kVQ_JF2mCXgZ3hqFA"",""REKAP ALL 2026 - Andika!F:F""),"""",0)"),"26062987644")</f>
        <v>26062987644</v>
      </c>
      <c r="G3525" s="13" t="s">
        <v>1127</v>
      </c>
      <c r="H3525" s="13" t="s">
        <v>35</v>
      </c>
      <c r="I3525" s="13" t="str">
        <f aca="false">IF(C3525=J3525,"NEW KONTRAK","RE-KONTRAK")</f>
        <v>NEW KONTRAK</v>
      </c>
      <c r="J3525" s="16" t="n">
        <f aca="false" t="array" ref="J3525:J3525">IFERROR(INDEX(AC3525:AE3525,IF(COUNTA(AC3525:AE3525)=0,"",MAX((AC3525:AE3525&lt;&gt;"")*(COLUMN(AC3525:AE3525)-(COLUMN(AC3525)))))-1),"")</f>
        <v>46123</v>
      </c>
      <c r="K3525" s="16" t="n">
        <f aca="false" t="array" ref="K3525:K3525">IFERROR(INDEX(AC3525:AE3525,IF(COUNTA(AC3525:AE3525)=0,"",MAX((AC3525:AE3525&lt;&gt;"")*(COLUMN(AC3525:AE3525)-(COLUMN(AC3525)-1))))-1),"")</f>
        <v>46203</v>
      </c>
      <c r="L3525" s="17" t="str">
        <f aca="false" t="array" ref="L3525:L3525">IFERROR(INDEX(AC3525:AE3525,IF(COUNTA(AC3525:AE3525)=0,"",MAX((AC3525:AE3525&lt;&gt;"")*(COLUMN(AC3525:AE3525)-(COLUMN(AC3525)-2))))-1),"")</f>
        <v>KEMBALI</v>
      </c>
      <c r="M3525" s="13" t="n">
        <f aca="true">K3525-TODAY()</f>
        <v>-121</v>
      </c>
      <c r="N3525" s="18" t="s">
        <v>36</v>
      </c>
      <c r="O3525" s="13" t="s">
        <v>14353</v>
      </c>
      <c r="P3525" s="27" t="n">
        <v>5195401</v>
      </c>
      <c r="Q3525" s="113" t="s">
        <v>14390</v>
      </c>
      <c r="R3525" s="13" t="s">
        <v>246</v>
      </c>
      <c r="S3525" s="78" t="n">
        <v>37378</v>
      </c>
      <c r="T3525" s="17" t="s">
        <v>40</v>
      </c>
      <c r="U3525" s="17" t="s">
        <v>14391</v>
      </c>
      <c r="V3525" s="17" t="s">
        <v>42</v>
      </c>
      <c r="W3525" s="17" t="s">
        <v>43</v>
      </c>
      <c r="X3525" s="30" t="n">
        <v>81106762676</v>
      </c>
      <c r="Y3525" s="22" t="str">
        <f aca="false">O3525</f>
        <v>COLD CS P1 PRODUCTION</v>
      </c>
      <c r="Z3525" s="13" t="str">
        <f aca="false">IFERROR(__xludf.dummyfunction("if(BJ3525="""","""",GOOGLETRANSLATE(BJ3525,""auto"",""en""))"),"COLD CS P1 PRODUCTION")</f>
        <v>COLD CS P1 PRODUCTION</v>
      </c>
      <c r="AA3525" s="23" t="str">
        <f aca="false">IF(C3525="","", CHOOSE(MONTH(C3525),"January","February","March","April","May","June","July","August","September","October","November","December")&amp;" "&amp;DAY(C3525)&amp;MID("thstndrdth",MIN(9,2*RIGHT(DAY(C3525))*(MOD(DAY(C3525)-11,100)&gt;2)+1),2)&amp;","&amp;TEXT(C3525," yyyy"))</f>
        <v>April 11th,2026</v>
      </c>
      <c r="AB3525" s="15" t="str">
        <f aca="true">IF(S3525="","",DATEDIF(S3525,TODAY(),"Y")&amp;" Tahun, "&amp;DATEDIF(S3525,TODAY(),"YM")&amp;" Bulan, "&amp;DATEDIF(S3525,TODAY(),"MD")&amp;" Hari")</f>
        <v>24 Tahun, 5 Bulan, 27 Hari</v>
      </c>
      <c r="AC3525" s="18" t="n">
        <v>46123</v>
      </c>
      <c r="AD3525" s="18" t="n">
        <v>46203</v>
      </c>
      <c r="AE3525" s="13" t="s">
        <v>397</v>
      </c>
    </row>
    <row r="3526" customFormat="false" ht="15" hidden="false" customHeight="true" outlineLevel="0" collapsed="false">
      <c r="A3526" s="12" t="n">
        <v>22144</v>
      </c>
      <c r="B3526" s="13" t="s">
        <v>14392</v>
      </c>
      <c r="C3526" s="16" t="n">
        <v>46123</v>
      </c>
      <c r="D3526" s="13" t="s">
        <v>10155</v>
      </c>
      <c r="E3526" s="15" t="s">
        <v>47</v>
      </c>
      <c r="F3526" s="15" t="str">
        <f aca="false">IFERROR(__xludf.dummyfunction("XLOOKUP(AJ3526,IMPORTRANGE(""1XaInW9DU9nz21V0tYIfzFQ0He9kVQ_JF2mCXgZ3hqFA"",""REKAP ALL 2026 - Andika!G:G""),IMPORTRANGE(""1XaInW9DU9nz21V0tYIfzFQ0He9kVQ_JF2mCXgZ3hqFA"",""REKAP ALL 2026 - Andika!F:F""),"""",0)"),"26062987834")</f>
        <v>26062987834</v>
      </c>
      <c r="G3526" s="13" t="s">
        <v>1127</v>
      </c>
      <c r="H3526" s="13" t="s">
        <v>35</v>
      </c>
      <c r="I3526" s="13" t="str">
        <f aca="false">IF(C3526=J3526,"NEW KONTRAK","RE-KONTRAK")</f>
        <v>NEW KONTRAK</v>
      </c>
      <c r="J3526" s="16" t="n">
        <f aca="false" t="array" ref="J3526:J3526">IFERROR(INDEX(AC3526:AE3526,IF(COUNTA(AC3526:AE3526)=0,"",MAX((AC3526:AE3526&lt;&gt;"")*(COLUMN(AC3526:AE3526)-(COLUMN(AC3526)))))-1),"")</f>
        <v>46123</v>
      </c>
      <c r="K3526" s="16" t="n">
        <f aca="false" t="array" ref="K3526:K3526">IFERROR(INDEX(AC3526:AE3526,IF(COUNTA(AC3526:AE3526)=0,"",MAX((AC3526:AE3526&lt;&gt;"")*(COLUMN(AC3526:AE3526)-(COLUMN(AC3526)-1))))-1),"")</f>
        <v>46203</v>
      </c>
      <c r="L3526" s="17" t="str">
        <f aca="false" t="array" ref="L3526:L3526">IFERROR(INDEX(AC3526:AE3526,IF(COUNTA(AC3526:AE3526)=0,"",MAX((AC3526:AE3526&lt;&gt;"")*(COLUMN(AC3526:AE3526)-(COLUMN(AC3526)-2))))-1),"")</f>
        <v>KEMBALI</v>
      </c>
      <c r="M3526" s="13" t="n">
        <f aca="true">K3526-TODAY()</f>
        <v>-121</v>
      </c>
      <c r="N3526" s="18" t="s">
        <v>36</v>
      </c>
      <c r="O3526" s="13" t="s">
        <v>14393</v>
      </c>
      <c r="P3526" s="27" t="n">
        <v>5195401</v>
      </c>
      <c r="Q3526" s="113" t="s">
        <v>14394</v>
      </c>
      <c r="R3526" s="13" t="s">
        <v>65</v>
      </c>
      <c r="S3526" s="78" t="n">
        <v>37304</v>
      </c>
      <c r="T3526" s="17" t="s">
        <v>40</v>
      </c>
      <c r="U3526" s="17" t="s">
        <v>14395</v>
      </c>
      <c r="V3526" s="17" t="s">
        <v>42</v>
      </c>
      <c r="W3526" s="17" t="s">
        <v>43</v>
      </c>
      <c r="X3526" s="30" t="n">
        <v>87886179327</v>
      </c>
      <c r="Y3526" s="22" t="str">
        <f aca="false">O3526</f>
        <v>HOT CS &amp; SB P3 MAINT. &amp; TOOLING</v>
      </c>
      <c r="Z3526" s="13" t="str">
        <f aca="false">IFERROR(__xludf.dummyfunction("if(BJ3526="""","""",GOOGLETRANSLATE(BJ3526,""auto"",""en""))"),"HOT CS &amp; SB P3 MAINT. &amp; TOOLING")</f>
        <v>HOT CS &amp; SB P3 MAINT. &amp; TOOLING</v>
      </c>
      <c r="AA3526" s="23" t="str">
        <f aca="false">IF(C3526="","", CHOOSE(MONTH(C3526),"January","February","March","April","May","June","July","August","September","October","November","December")&amp;" "&amp;DAY(C3526)&amp;MID("thstndrdth",MIN(9,2*RIGHT(DAY(C3526))*(MOD(DAY(C3526)-11,100)&gt;2)+1),2)&amp;","&amp;TEXT(C3526," yyyy"))</f>
        <v>April 11th,2026</v>
      </c>
      <c r="AB3526" s="15" t="str">
        <f aca="true">IF(S3526="","",DATEDIF(S3526,TODAY(),"Y")&amp;" Tahun, "&amp;DATEDIF(S3526,TODAY(),"YM")&amp;" Bulan, "&amp;DATEDIF(S3526,TODAY(),"MD")&amp;" Hari")</f>
        <v>24 Tahun, 8 Bulan, 12 Hari</v>
      </c>
      <c r="AC3526" s="18" t="n">
        <v>46123</v>
      </c>
      <c r="AD3526" s="18" t="n">
        <v>46203</v>
      </c>
      <c r="AE3526" s="13" t="s">
        <v>397</v>
      </c>
    </row>
    <row r="3527" customFormat="false" ht="15" hidden="false" customHeight="true" outlineLevel="0" collapsed="false">
      <c r="A3527" s="12" t="n">
        <v>22145</v>
      </c>
      <c r="B3527" s="13" t="s">
        <v>14396</v>
      </c>
      <c r="C3527" s="16" t="n">
        <v>46123</v>
      </c>
      <c r="D3527" s="13" t="s">
        <v>10155</v>
      </c>
      <c r="E3527" s="15" t="s">
        <v>47</v>
      </c>
      <c r="F3527" s="15" t="str">
        <f aca="false">IFERROR(__xludf.dummyfunction("XLOOKUP(AJ3527,IMPORTRANGE(""1XaInW9DU9nz21V0tYIfzFQ0He9kVQ_JF2mCXgZ3hqFA"",""REKAP ALL 2026 - Andika!G:G""),IMPORTRANGE(""1XaInW9DU9nz21V0tYIfzFQ0He9kVQ_JF2mCXgZ3hqFA"",""REKAP ALL 2026 - Andika!F:F""),"""",0)"),"26062987859")</f>
        <v>26062987859</v>
      </c>
      <c r="G3527" s="13" t="s">
        <v>1127</v>
      </c>
      <c r="H3527" s="13" t="s">
        <v>35</v>
      </c>
      <c r="I3527" s="13" t="str">
        <f aca="false">IF(C3527=J3527,"NEW KONTRAK","RE-KONTRAK")</f>
        <v>NEW KONTRAK</v>
      </c>
      <c r="J3527" s="16" t="n">
        <f aca="false" t="array" ref="J3527:J3527">IFERROR(INDEX(AC3527:AE3527,IF(COUNTA(AC3527:AE3527)=0,"",MAX((AC3527:AE3527&lt;&gt;"")*(COLUMN(AC3527:AE3527)-(COLUMN(AC3527)))))-1),"")</f>
        <v>46123</v>
      </c>
      <c r="K3527" s="16" t="n">
        <f aca="false" t="array" ref="K3527:K3527">IFERROR(INDEX(AC3527:AE3527,IF(COUNTA(AC3527:AE3527)=0,"",MAX((AC3527:AE3527&lt;&gt;"")*(COLUMN(AC3527:AE3527)-(COLUMN(AC3527)-1))))-1),"")</f>
        <v>46203</v>
      </c>
      <c r="L3527" s="17" t="str">
        <f aca="false" t="array" ref="L3527:L3527">IFERROR(INDEX(AC3527:AE3527,IF(COUNTA(AC3527:AE3527)=0,"",MAX((AC3527:AE3527&lt;&gt;"")*(COLUMN(AC3527:AE3527)-(COLUMN(AC3527)-2))))-1),"")</f>
        <v>KEMBALI</v>
      </c>
      <c r="M3527" s="13" t="n">
        <f aca="true">K3527-TODAY()</f>
        <v>-121</v>
      </c>
      <c r="N3527" s="18" t="s">
        <v>36</v>
      </c>
      <c r="O3527" s="13" t="s">
        <v>14393</v>
      </c>
      <c r="P3527" s="27" t="n">
        <v>5195401</v>
      </c>
      <c r="Q3527" s="113" t="s">
        <v>14397</v>
      </c>
      <c r="R3527" s="13" t="s">
        <v>65</v>
      </c>
      <c r="S3527" s="78" t="n">
        <v>37366</v>
      </c>
      <c r="T3527" s="17" t="s">
        <v>40</v>
      </c>
      <c r="U3527" s="17" t="s">
        <v>14398</v>
      </c>
      <c r="V3527" s="17" t="s">
        <v>42</v>
      </c>
      <c r="W3527" s="17" t="s">
        <v>43</v>
      </c>
      <c r="X3527" s="30" t="n">
        <v>81304054115</v>
      </c>
      <c r="Y3527" s="22" t="str">
        <f aca="false">O3527</f>
        <v>HOT CS &amp; SB P3 MAINT. &amp; TOOLING</v>
      </c>
      <c r="Z3527" s="13" t="str">
        <f aca="false">IFERROR(__xludf.dummyfunction("if(BJ3527="""","""",GOOGLETRANSLATE(BJ3527,""auto"",""en""))"),"HOT CS &amp; SB P3 MAINT. &amp; TOOLING")</f>
        <v>HOT CS &amp; SB P3 MAINT. &amp; TOOLING</v>
      </c>
      <c r="AA3527" s="23" t="str">
        <f aca="false">IF(C3527="","", CHOOSE(MONTH(C3527),"January","February","March","April","May","June","July","August","September","October","November","December")&amp;" "&amp;DAY(C3527)&amp;MID("thstndrdth",MIN(9,2*RIGHT(DAY(C3527))*(MOD(DAY(C3527)-11,100)&gt;2)+1),2)&amp;","&amp;TEXT(C3527," yyyy"))</f>
        <v>April 11th,2026</v>
      </c>
      <c r="AB3527" s="15" t="str">
        <f aca="true">IF(S3527="","",DATEDIF(S3527,TODAY(),"Y")&amp;" Tahun, "&amp;DATEDIF(S3527,TODAY(),"YM")&amp;" Bulan, "&amp;DATEDIF(S3527,TODAY(),"MD")&amp;" Hari")</f>
        <v>24 Tahun, 6 Bulan, 9 Hari</v>
      </c>
      <c r="AC3527" s="18" t="n">
        <v>46123</v>
      </c>
      <c r="AD3527" s="18" t="n">
        <v>46203</v>
      </c>
      <c r="AE3527" s="13" t="s">
        <v>397</v>
      </c>
    </row>
    <row r="3528" customFormat="false" ht="15" hidden="false" customHeight="true" outlineLevel="0" collapsed="false">
      <c r="A3528" s="12" t="n">
        <v>22146</v>
      </c>
      <c r="B3528" s="13" t="s">
        <v>14399</v>
      </c>
      <c r="C3528" s="16" t="n">
        <v>46123</v>
      </c>
      <c r="D3528" s="13" t="s">
        <v>10155</v>
      </c>
      <c r="E3528" s="15" t="s">
        <v>47</v>
      </c>
      <c r="F3528" s="15" t="str">
        <f aca="false">IFERROR(__xludf.dummyfunction("XLOOKUP(AJ3528,IMPORTRANGE(""1XaInW9DU9nz21V0tYIfzFQ0He9kVQ_JF2mCXgZ3hqFA"",""REKAP ALL 2026 - Andika!G:G""),IMPORTRANGE(""1XaInW9DU9nz21V0tYIfzFQ0He9kVQ_JF2mCXgZ3hqFA"",""REKAP ALL 2026 - Andika!F:F""),"""",0)"),"26062987818")</f>
        <v>26062987818</v>
      </c>
      <c r="G3528" s="13" t="s">
        <v>1127</v>
      </c>
      <c r="H3528" s="13" t="s">
        <v>35</v>
      </c>
      <c r="I3528" s="13" t="str">
        <f aca="false">IF(C3528=J3528,"NEW KONTRAK","RE-KONTRAK")</f>
        <v>NEW KONTRAK</v>
      </c>
      <c r="J3528" s="16" t="n">
        <f aca="false" t="array" ref="J3528:J3528">IFERROR(INDEX(AC3528:AE3528,IF(COUNTA(AC3528:AE3528)=0,"",MAX((AC3528:AE3528&lt;&gt;"")*(COLUMN(AC3528:AE3528)-(COLUMN(AC3528)))))-1),"")</f>
        <v>46123</v>
      </c>
      <c r="K3528" s="16" t="n">
        <f aca="false" t="array" ref="K3528:K3528">IFERROR(INDEX(AC3528:AE3528,IF(COUNTA(AC3528:AE3528)=0,"",MAX((AC3528:AE3528&lt;&gt;"")*(COLUMN(AC3528:AE3528)-(COLUMN(AC3528)-1))))-1),"")</f>
        <v>46203</v>
      </c>
      <c r="L3528" s="17" t="str">
        <f aca="false" t="array" ref="L3528:L3528">IFERROR(INDEX(AC3528:AE3528,IF(COUNTA(AC3528:AE3528)=0,"",MAX((AC3528:AE3528&lt;&gt;"")*(COLUMN(AC3528:AE3528)-(COLUMN(AC3528)-2))))-1),"")</f>
        <v>KEMBALI</v>
      </c>
      <c r="M3528" s="13" t="n">
        <f aca="true">K3528-TODAY()</f>
        <v>-121</v>
      </c>
      <c r="N3528" s="18" t="s">
        <v>36</v>
      </c>
      <c r="O3528" s="13" t="s">
        <v>14353</v>
      </c>
      <c r="P3528" s="27" t="n">
        <v>5195401</v>
      </c>
      <c r="Q3528" s="113" t="s">
        <v>14400</v>
      </c>
      <c r="R3528" s="13" t="s">
        <v>65</v>
      </c>
      <c r="S3528" s="78" t="n">
        <v>39025</v>
      </c>
      <c r="T3528" s="17" t="s">
        <v>40</v>
      </c>
      <c r="U3528" s="17" t="s">
        <v>14401</v>
      </c>
      <c r="V3528" s="17" t="s">
        <v>42</v>
      </c>
      <c r="W3528" s="17" t="s">
        <v>43</v>
      </c>
      <c r="X3528" s="30" t="n">
        <v>82362181599</v>
      </c>
      <c r="Y3528" s="22" t="str">
        <f aca="false">O3528</f>
        <v>COLD CS P1 PRODUCTION</v>
      </c>
      <c r="Z3528" s="13" t="str">
        <f aca="false">IFERROR(__xludf.dummyfunction("if(BJ3528="""","""",GOOGLETRANSLATE(BJ3528,""auto"",""en""))"),"COLD CS P1 PRODUCTION")</f>
        <v>COLD CS P1 PRODUCTION</v>
      </c>
      <c r="AA3528" s="23" t="str">
        <f aca="false">IF(C3528="","", CHOOSE(MONTH(C3528),"January","February","March","April","May","June","July","August","September","October","November","December")&amp;" "&amp;DAY(C3528)&amp;MID("thstndrdth",MIN(9,2*RIGHT(DAY(C3528))*(MOD(DAY(C3528)-11,100)&gt;2)+1),2)&amp;","&amp;TEXT(C3528," yyyy"))</f>
        <v>April 11th,2026</v>
      </c>
      <c r="AB3528" s="15" t="str">
        <f aca="true">IF(S3528="","",DATEDIF(S3528,TODAY(),"Y")&amp;" Tahun, "&amp;DATEDIF(S3528,TODAY(),"YM")&amp;" Bulan, "&amp;DATEDIF(S3528,TODAY(),"MD")&amp;" Hari")</f>
        <v>19 Tahun, 11 Bulan, 25 Hari</v>
      </c>
      <c r="AC3528" s="18" t="n">
        <v>46123</v>
      </c>
      <c r="AD3528" s="18" t="n">
        <v>46203</v>
      </c>
      <c r="AE3528" s="13" t="s">
        <v>397</v>
      </c>
    </row>
    <row r="3529" customFormat="false" ht="15" hidden="false" customHeight="true" outlineLevel="0" collapsed="false">
      <c r="A3529" s="12" t="n">
        <v>22147</v>
      </c>
      <c r="B3529" s="13" t="s">
        <v>14402</v>
      </c>
      <c r="C3529" s="16" t="n">
        <v>46130</v>
      </c>
      <c r="D3529" s="13" t="s">
        <v>10155</v>
      </c>
      <c r="E3529" s="15" t="s">
        <v>47</v>
      </c>
      <c r="F3529" s="15" t="str">
        <f aca="false">IFERROR(__xludf.dummyfunction("XLOOKUP(AJ3529,IMPORTRANGE(""1XaInW9DU9nz21V0tYIfzFQ0He9kVQ_JF2mCXgZ3hqFA"",""REKAP ALL 2026 - Andika!G:G""),IMPORTRANGE(""1XaInW9DU9nz21V0tYIfzFQ0He9kVQ_JF2mCXgZ3hqFA"",""REKAP ALL 2026 - Andika!F:F""),"""",0)"),"26062987628")</f>
        <v>26062987628</v>
      </c>
      <c r="G3529" s="13" t="s">
        <v>1127</v>
      </c>
      <c r="H3529" s="13" t="s">
        <v>35</v>
      </c>
      <c r="I3529" s="13" t="str">
        <f aca="false">IF(C3529=J3529,"NEW KONTRAK","RE-KONTRAK")</f>
        <v>NEW KONTRAK</v>
      </c>
      <c r="J3529" s="16" t="n">
        <f aca="false" t="array" ref="J3529:J3529">IFERROR(INDEX(AC3529:AE3529,IF(COUNTA(AC3529:AE3529)=0,"",MAX((AC3529:AE3529&lt;&gt;"")*(COLUMN(AC3529:AE3529)-(COLUMN(AC3529)))))-1),"")</f>
        <v>46130</v>
      </c>
      <c r="K3529" s="16" t="n">
        <f aca="false" t="array" ref="K3529:K3529">IFERROR(INDEX(AC3529:AE3529,IF(COUNTA(AC3529:AE3529)=0,"",MAX((AC3529:AE3529&lt;&gt;"")*(COLUMN(AC3529:AE3529)-(COLUMN(AC3529)-1))))-1),"")</f>
        <v>46203</v>
      </c>
      <c r="L3529" s="17" t="str">
        <f aca="false" t="array" ref="L3529:L3529">IFERROR(INDEX(AC3529:AE3529,IF(COUNTA(AC3529:AE3529)=0,"",MAX((AC3529:AE3529&lt;&gt;"")*(COLUMN(AC3529:AE3529)-(COLUMN(AC3529)-2))))-1),"")</f>
        <v>KEMBALI</v>
      </c>
      <c r="M3529" s="13" t="n">
        <f aca="true">K3529-TODAY()</f>
        <v>-121</v>
      </c>
      <c r="N3529" s="18" t="s">
        <v>36</v>
      </c>
      <c r="O3529" s="13" t="s">
        <v>14353</v>
      </c>
      <c r="P3529" s="27" t="n">
        <v>5195401</v>
      </c>
      <c r="Q3529" s="113" t="s">
        <v>14403</v>
      </c>
      <c r="R3529" s="13" t="s">
        <v>65</v>
      </c>
      <c r="S3529" s="78" t="n">
        <v>37595</v>
      </c>
      <c r="T3529" s="17" t="s">
        <v>40</v>
      </c>
      <c r="U3529" s="17" t="s">
        <v>14404</v>
      </c>
      <c r="V3529" s="17" t="s">
        <v>42</v>
      </c>
      <c r="W3529" s="17" t="s">
        <v>43</v>
      </c>
      <c r="X3529" s="30" t="n">
        <v>83106296201</v>
      </c>
      <c r="Y3529" s="22" t="str">
        <f aca="false">O3529</f>
        <v>COLD CS P1 PRODUCTION</v>
      </c>
      <c r="Z3529" s="13" t="str">
        <f aca="false">IFERROR(__xludf.dummyfunction("if(BJ3529="""","""",GOOGLETRANSLATE(BJ3529,""auto"",""en""))"),"COLD CS P1 PRODUCTION")</f>
        <v>COLD CS P1 PRODUCTION</v>
      </c>
      <c r="AA3529" s="23" t="str">
        <f aca="false">IF(C3529="","", CHOOSE(MONTH(C3529),"January","February","March","April","May","June","July","August","September","October","November","December")&amp;" "&amp;DAY(C3529)&amp;MID("thstndrdth",MIN(9,2*RIGHT(DAY(C3529))*(MOD(DAY(C3529)-11,100)&gt;2)+1),2)&amp;","&amp;TEXT(C3529," yyyy"))</f>
        <v>April 18th,2026</v>
      </c>
      <c r="AB3529" s="15" t="str">
        <f aca="true">IF(S3529="","",DATEDIF(S3529,TODAY(),"Y")&amp;" Tahun, "&amp;DATEDIF(S3529,TODAY(),"YM")&amp;" Bulan, "&amp;DATEDIF(S3529,TODAY(),"MD")&amp;" Hari")</f>
        <v>23 Tahun, 10 Bulan, 24 Hari</v>
      </c>
      <c r="AC3529" s="18" t="n">
        <v>46130</v>
      </c>
      <c r="AD3529" s="18" t="n">
        <v>46203</v>
      </c>
      <c r="AE3529" s="13" t="s">
        <v>397</v>
      </c>
    </row>
    <row r="3530" customFormat="false" ht="15" hidden="false" customHeight="true" outlineLevel="0" collapsed="false">
      <c r="A3530" s="12" t="n">
        <v>22148</v>
      </c>
      <c r="B3530" s="13" t="s">
        <v>14405</v>
      </c>
      <c r="C3530" s="16" t="n">
        <v>46130</v>
      </c>
      <c r="D3530" s="13" t="s">
        <v>10155</v>
      </c>
      <c r="E3530" s="15" t="s">
        <v>4614</v>
      </c>
      <c r="F3530" s="15" t="str">
        <f aca="false">IFERROR(__xludf.dummyfunction("XLOOKUP(AJ3530,IMPORTRANGE(""1XaInW9DU9nz21V0tYIfzFQ0He9kVQ_JF2mCXgZ3hqFA"",""REKAP ALL 2026 - Andika!G:G""),IMPORTRANGE(""1XaInW9DU9nz21V0tYIfzFQ0He9kVQ_JF2mCXgZ3hqFA"",""REKAP ALL 2026 - Andika!F:F""),"""",0)"),"26062988097")</f>
        <v>26062988097</v>
      </c>
      <c r="G3530" s="13" t="s">
        <v>1127</v>
      </c>
      <c r="H3530" s="13" t="s">
        <v>35</v>
      </c>
      <c r="I3530" s="13" t="str">
        <f aca="false">IF(C3530=J3530,"NEW KONTRAK","RE-KONTRAK")</f>
        <v>NEW KONTRAK</v>
      </c>
      <c r="J3530" s="16" t="n">
        <f aca="false" t="array" ref="J3530:J3530">IFERROR(INDEX(AC3530:AE3530,IF(COUNTA(AC3530:AE3530)=0,"",MAX((AC3530:AE3530&lt;&gt;"")*(COLUMN(AC3530:AE3530)-(COLUMN(AC3530)))))-1),"")</f>
        <v>46130</v>
      </c>
      <c r="K3530" s="16" t="n">
        <f aca="false" t="array" ref="K3530:K3530">IFERROR(INDEX(AC3530:AE3530,IF(COUNTA(AC3530:AE3530)=0,"",MAX((AC3530:AE3530&lt;&gt;"")*(COLUMN(AC3530:AE3530)-(COLUMN(AC3530)-1))))-1),"")</f>
        <v>46203</v>
      </c>
      <c r="L3530" s="17" t="str">
        <f aca="false" t="array" ref="L3530:L3530">IFERROR(INDEX(AC3530:AE3530,IF(COUNTA(AC3530:AE3530)=0,"",MAX((AC3530:AE3530&lt;&gt;"")*(COLUMN(AC3530:AE3530)-(COLUMN(AC3530)-2))))-1),"")</f>
        <v>ARCHIVED</v>
      </c>
      <c r="M3530" s="13" t="n">
        <f aca="true">K3530-TODAY()</f>
        <v>-121</v>
      </c>
      <c r="N3530" s="18" t="s">
        <v>36</v>
      </c>
      <c r="O3530" s="13" t="s">
        <v>14353</v>
      </c>
      <c r="P3530" s="27" t="n">
        <v>5195401</v>
      </c>
      <c r="Q3530" s="113" t="s">
        <v>14406</v>
      </c>
      <c r="R3530" s="13" t="s">
        <v>52</v>
      </c>
      <c r="S3530" s="78" t="n">
        <v>38129</v>
      </c>
      <c r="T3530" s="17" t="s">
        <v>40</v>
      </c>
      <c r="U3530" s="17" t="s">
        <v>14407</v>
      </c>
      <c r="V3530" s="17" t="s">
        <v>42</v>
      </c>
      <c r="W3530" s="17" t="s">
        <v>43</v>
      </c>
      <c r="X3530" s="30" t="n">
        <v>85833688444</v>
      </c>
      <c r="Y3530" s="22" t="str">
        <f aca="false">O3530</f>
        <v>COLD CS P1 PRODUCTION</v>
      </c>
      <c r="Z3530" s="13" t="str">
        <f aca="false">IFERROR(__xludf.dummyfunction("if(BJ3530="""","""",GOOGLETRANSLATE(BJ3530,""auto"",""en""))"),"COLD CS P1 PRODUCTION")</f>
        <v>COLD CS P1 PRODUCTION</v>
      </c>
      <c r="AA3530" s="23" t="str">
        <f aca="false">IF(C3530="","", CHOOSE(MONTH(C3530),"January","February","March","April","May","June","July","August","September","October","November","December")&amp;" "&amp;DAY(C3530)&amp;MID("thstndrdth",MIN(9,2*RIGHT(DAY(C3530))*(MOD(DAY(C3530)-11,100)&gt;2)+1),2)&amp;","&amp;TEXT(C3530," yyyy"))</f>
        <v>April 18th,2026</v>
      </c>
      <c r="AB3530" s="15" t="str">
        <f aca="true">IF(S3530="","",DATEDIF(S3530,TODAY(),"Y")&amp;" Tahun, "&amp;DATEDIF(S3530,TODAY(),"YM")&amp;" Bulan, "&amp;DATEDIF(S3530,TODAY(),"MD")&amp;" Hari")</f>
        <v>22 Tahun, 5 Bulan, 7 Hari</v>
      </c>
      <c r="AC3530" s="18" t="n">
        <v>46130</v>
      </c>
      <c r="AD3530" s="18" t="n">
        <v>46203</v>
      </c>
      <c r="AE3530" s="13" t="s">
        <v>44</v>
      </c>
    </row>
    <row r="3531" customFormat="false" ht="15" hidden="false" customHeight="true" outlineLevel="0" collapsed="false">
      <c r="A3531" s="12" t="n">
        <v>22149</v>
      </c>
      <c r="B3531" s="13" t="s">
        <v>14408</v>
      </c>
      <c r="C3531" s="16" t="n">
        <v>46130</v>
      </c>
      <c r="D3531" s="13" t="s">
        <v>10155</v>
      </c>
      <c r="E3531" s="15" t="s">
        <v>47</v>
      </c>
      <c r="F3531" s="15" t="str">
        <f aca="false">IFERROR(__xludf.dummyfunction("XLOOKUP(AJ3531,IMPORTRANGE(""1XaInW9DU9nz21V0tYIfzFQ0He9kVQ_JF2mCXgZ3hqFA"",""REKAP ALL 2026 - Andika!G:G""),IMPORTRANGE(""1XaInW9DU9nz21V0tYIfzFQ0He9kVQ_JF2mCXgZ3hqFA"",""REKAP ALL 2026 - Andika!F:F""),"""",0)"),"26062987867")</f>
        <v>26062987867</v>
      </c>
      <c r="G3531" s="13" t="s">
        <v>1127</v>
      </c>
      <c r="H3531" s="13" t="s">
        <v>35</v>
      </c>
      <c r="I3531" s="13" t="str">
        <f aca="false">IF(C3531=J3531,"NEW KONTRAK","RE-KONTRAK")</f>
        <v>NEW KONTRAK</v>
      </c>
      <c r="J3531" s="16" t="n">
        <f aca="false" t="array" ref="J3531:J3531">IFERROR(INDEX(AC3531:AE3531,IF(COUNTA(AC3531:AE3531)=0,"",MAX((AC3531:AE3531&lt;&gt;"")*(COLUMN(AC3531:AE3531)-(COLUMN(AC3531)))))-1),"")</f>
        <v>46130</v>
      </c>
      <c r="K3531" s="16" t="n">
        <f aca="false" t="array" ref="K3531:K3531">IFERROR(INDEX(AC3531:AE3531,IF(COUNTA(AC3531:AE3531)=0,"",MAX((AC3531:AE3531&lt;&gt;"")*(COLUMN(AC3531:AE3531)-(COLUMN(AC3531)-1))))-1),"")</f>
        <v>46203</v>
      </c>
      <c r="L3531" s="17" t="str">
        <f aca="false" t="array" ref="L3531:L3531">IFERROR(INDEX(AC3531:AE3531,IF(COUNTA(AC3531:AE3531)=0,"",MAX((AC3531:AE3531&lt;&gt;"")*(COLUMN(AC3531:AE3531)-(COLUMN(AC3531)-2))))-1),"")</f>
        <v>KEMBALI</v>
      </c>
      <c r="M3531" s="13" t="n">
        <f aca="true">K3531-TODAY()</f>
        <v>-121</v>
      </c>
      <c r="N3531" s="18" t="s">
        <v>36</v>
      </c>
      <c r="O3531" s="13" t="s">
        <v>14353</v>
      </c>
      <c r="P3531" s="27" t="n">
        <v>5195401</v>
      </c>
      <c r="Q3531" s="113" t="s">
        <v>14409</v>
      </c>
      <c r="R3531" s="13" t="s">
        <v>65</v>
      </c>
      <c r="S3531" s="78" t="n">
        <v>37825</v>
      </c>
      <c r="T3531" s="17" t="s">
        <v>40</v>
      </c>
      <c r="U3531" s="17" t="s">
        <v>14410</v>
      </c>
      <c r="V3531" s="17" t="s">
        <v>42</v>
      </c>
      <c r="W3531" s="17" t="s">
        <v>43</v>
      </c>
      <c r="X3531" s="30" t="n">
        <v>85210698720</v>
      </c>
      <c r="Y3531" s="22" t="str">
        <f aca="false">O3531</f>
        <v>COLD CS P1 PRODUCTION</v>
      </c>
      <c r="Z3531" s="13" t="str">
        <f aca="false">IFERROR(__xludf.dummyfunction("if(BJ3531="""","""",GOOGLETRANSLATE(BJ3531,""auto"",""en""))"),"COLD CS P1 PRODUCTION")</f>
        <v>COLD CS P1 PRODUCTION</v>
      </c>
      <c r="AA3531" s="23" t="str">
        <f aca="false">IF(C3531="","", CHOOSE(MONTH(C3531),"January","February","March","April","May","June","July","August","September","October","November","December")&amp;" "&amp;DAY(C3531)&amp;MID("thstndrdth",MIN(9,2*RIGHT(DAY(C3531))*(MOD(DAY(C3531)-11,100)&gt;2)+1),2)&amp;","&amp;TEXT(C3531," yyyy"))</f>
        <v>April 18th,2026</v>
      </c>
      <c r="AB3531" s="15" t="str">
        <f aca="true">IF(S3531="","",DATEDIF(S3531,TODAY(),"Y")&amp;" Tahun, "&amp;DATEDIF(S3531,TODAY(),"YM")&amp;" Bulan, "&amp;DATEDIF(S3531,TODAY(),"MD")&amp;" Hari")</f>
        <v>23 Tahun, 3 Bulan, 6 Hari</v>
      </c>
      <c r="AC3531" s="18" t="n">
        <v>46130</v>
      </c>
      <c r="AD3531" s="18" t="n">
        <v>46203</v>
      </c>
      <c r="AE3531" s="13" t="s">
        <v>397</v>
      </c>
    </row>
    <row r="3532" customFormat="false" ht="15" hidden="false" customHeight="true" outlineLevel="0" collapsed="false">
      <c r="A3532" s="12" t="n">
        <v>22150</v>
      </c>
      <c r="B3532" s="13" t="s">
        <v>14411</v>
      </c>
      <c r="C3532" s="16" t="n">
        <v>46130</v>
      </c>
      <c r="D3532" s="13" t="s">
        <v>10155</v>
      </c>
      <c r="E3532" s="15" t="s">
        <v>47</v>
      </c>
      <c r="F3532" s="15" t="str">
        <f aca="false">IFERROR(__xludf.dummyfunction("XLOOKUP(AJ3532,IMPORTRANGE(""1XaInW9DU9nz21V0tYIfzFQ0He9kVQ_JF2mCXgZ3hqFA"",""REKAP ALL 2026 - Andika!G:G""),IMPORTRANGE(""1XaInW9DU9nz21V0tYIfzFQ0He9kVQ_JF2mCXgZ3hqFA"",""REKAP ALL 2026 - Andika!F:F""),"""",0)"),"26062987925")</f>
        <v>26062987925</v>
      </c>
      <c r="G3532" s="13" t="s">
        <v>1127</v>
      </c>
      <c r="H3532" s="13" t="s">
        <v>35</v>
      </c>
      <c r="I3532" s="13" t="str">
        <f aca="false">IF(C3532=J3532,"NEW KONTRAK","RE-KONTRAK")</f>
        <v>NEW KONTRAK</v>
      </c>
      <c r="J3532" s="16" t="n">
        <f aca="false" t="array" ref="J3532:J3532">IFERROR(INDEX(AC3532:AE3532,IF(COUNTA(AC3532:AE3532)=0,"",MAX((AC3532:AE3532&lt;&gt;"")*(COLUMN(AC3532:AE3532)-(COLUMN(AC3532)))))-1),"")</f>
        <v>46130</v>
      </c>
      <c r="K3532" s="16" t="n">
        <f aca="false" t="array" ref="K3532:K3532">IFERROR(INDEX(AC3532:AE3532,IF(COUNTA(AC3532:AE3532)=0,"",MAX((AC3532:AE3532&lt;&gt;"")*(COLUMN(AC3532:AE3532)-(COLUMN(AC3532)-1))))-1),"")</f>
        <v>46203</v>
      </c>
      <c r="L3532" s="17" t="str">
        <f aca="false" t="array" ref="L3532:L3532">IFERROR(INDEX(AC3532:AE3532,IF(COUNTA(AC3532:AE3532)=0,"",MAX((AC3532:AE3532&lt;&gt;"")*(COLUMN(AC3532:AE3532)-(COLUMN(AC3532)-2))))-1),"")</f>
        <v>KEMBALI</v>
      </c>
      <c r="M3532" s="13" t="n">
        <f aca="true">K3532-TODAY()</f>
        <v>-121</v>
      </c>
      <c r="N3532" s="18" t="s">
        <v>36</v>
      </c>
      <c r="O3532" s="13" t="s">
        <v>14353</v>
      </c>
      <c r="P3532" s="27" t="n">
        <v>5195401</v>
      </c>
      <c r="Q3532" s="113" t="s">
        <v>14412</v>
      </c>
      <c r="R3532" s="13" t="s">
        <v>65</v>
      </c>
      <c r="S3532" s="78" t="n">
        <v>39268</v>
      </c>
      <c r="T3532" s="17" t="s">
        <v>40</v>
      </c>
      <c r="U3532" s="17" t="s">
        <v>14413</v>
      </c>
      <c r="V3532" s="17" t="s">
        <v>42</v>
      </c>
      <c r="W3532" s="17" t="s">
        <v>43</v>
      </c>
      <c r="X3532" s="30" t="n">
        <v>87806149731</v>
      </c>
      <c r="Y3532" s="22" t="str">
        <f aca="false">O3532</f>
        <v>COLD CS P1 PRODUCTION</v>
      </c>
      <c r="Z3532" s="13" t="str">
        <f aca="false">IFERROR(__xludf.dummyfunction("if(BJ3532="""","""",GOOGLETRANSLATE(BJ3532,""auto"",""en""))"),"COLD CS P1 PRODUCTION")</f>
        <v>COLD CS P1 PRODUCTION</v>
      </c>
      <c r="AA3532" s="23" t="str">
        <f aca="false">IF(C3532="","", CHOOSE(MONTH(C3532),"January","February","March","April","May","June","July","August","September","October","November","December")&amp;" "&amp;DAY(C3532)&amp;MID("thstndrdth",MIN(9,2*RIGHT(DAY(C3532))*(MOD(DAY(C3532)-11,100)&gt;2)+1),2)&amp;","&amp;TEXT(C3532," yyyy"))</f>
        <v>April 18th,2026</v>
      </c>
      <c r="AB3532" s="15" t="str">
        <f aca="true">IF(S3532="","",DATEDIF(S3532,TODAY(),"Y")&amp;" Tahun, "&amp;DATEDIF(S3532,TODAY(),"YM")&amp;" Bulan, "&amp;DATEDIF(S3532,TODAY(),"MD")&amp;" Hari")</f>
        <v>19 Tahun, 3 Bulan, 24 Hari</v>
      </c>
      <c r="AC3532" s="18" t="n">
        <v>46130</v>
      </c>
      <c r="AD3532" s="18" t="n">
        <v>46203</v>
      </c>
      <c r="AE3532" s="13" t="s">
        <v>397</v>
      </c>
    </row>
    <row r="3533" customFormat="false" ht="15" hidden="false" customHeight="true" outlineLevel="0" collapsed="false">
      <c r="A3533" s="12" t="n">
        <v>22151</v>
      </c>
      <c r="B3533" s="13" t="s">
        <v>14414</v>
      </c>
      <c r="C3533" s="16" t="n">
        <v>46130</v>
      </c>
      <c r="D3533" s="13" t="s">
        <v>10155</v>
      </c>
      <c r="E3533" s="15" t="s">
        <v>47</v>
      </c>
      <c r="F3533" s="15" t="str">
        <f aca="false">IFERROR(__xludf.dummyfunction("XLOOKUP(AJ3533,IMPORTRANGE(""1XaInW9DU9nz21V0tYIfzFQ0He9kVQ_JF2mCXgZ3hqFA"",""REKAP ALL 2026 - Andika!G:G""),IMPORTRANGE(""1XaInW9DU9nz21V0tYIfzFQ0He9kVQ_JF2mCXgZ3hqFA"",""REKAP ALL 2026 - Andika!F:F""),"""",0)"),"26062988071")</f>
        <v>26062988071</v>
      </c>
      <c r="G3533" s="13" t="s">
        <v>1127</v>
      </c>
      <c r="H3533" s="13" t="s">
        <v>35</v>
      </c>
      <c r="I3533" s="13" t="str">
        <f aca="false">IF(C3533=J3533,"NEW KONTRAK","RE-KONTRAK")</f>
        <v>NEW KONTRAK</v>
      </c>
      <c r="J3533" s="16" t="n">
        <f aca="false" t="array" ref="J3533:J3533">IFERROR(INDEX(AC3533:AE3533,IF(COUNTA(AC3533:AE3533)=0,"",MAX((AC3533:AE3533&lt;&gt;"")*(COLUMN(AC3533:AE3533)-(COLUMN(AC3533)))))-1),"")</f>
        <v>46130</v>
      </c>
      <c r="K3533" s="16" t="n">
        <f aca="false" t="array" ref="K3533:K3533">IFERROR(INDEX(AC3533:AE3533,IF(COUNTA(AC3533:AE3533)=0,"",MAX((AC3533:AE3533&lt;&gt;"")*(COLUMN(AC3533:AE3533)-(COLUMN(AC3533)-1))))-1),"")</f>
        <v>46203</v>
      </c>
      <c r="L3533" s="17" t="str">
        <f aca="false" t="array" ref="L3533:L3533">IFERROR(INDEX(AC3533:AE3533,IF(COUNTA(AC3533:AE3533)=0,"",MAX((AC3533:AE3533&lt;&gt;"")*(COLUMN(AC3533:AE3533)-(COLUMN(AC3533)-2))))-1),"")</f>
        <v>KEMBALI</v>
      </c>
      <c r="M3533" s="13" t="n">
        <f aca="true">K3533-TODAY()</f>
        <v>-121</v>
      </c>
      <c r="N3533" s="18" t="s">
        <v>36</v>
      </c>
      <c r="O3533" s="13" t="s">
        <v>14353</v>
      </c>
      <c r="P3533" s="27" t="n">
        <v>5195401</v>
      </c>
      <c r="Q3533" s="113" t="s">
        <v>14415</v>
      </c>
      <c r="R3533" s="13" t="s">
        <v>65</v>
      </c>
      <c r="S3533" s="78" t="n">
        <v>38798</v>
      </c>
      <c r="T3533" s="17" t="s">
        <v>40</v>
      </c>
      <c r="U3533" s="17" t="s">
        <v>14416</v>
      </c>
      <c r="V3533" s="17" t="s">
        <v>42</v>
      </c>
      <c r="W3533" s="17" t="s">
        <v>43</v>
      </c>
      <c r="X3533" s="30" t="n">
        <v>81132417146</v>
      </c>
      <c r="Y3533" s="22" t="str">
        <f aca="false">O3533</f>
        <v>COLD CS P1 PRODUCTION</v>
      </c>
      <c r="Z3533" s="13" t="str">
        <f aca="false">IFERROR(__xludf.dummyfunction("if(BJ3533="""","""",GOOGLETRANSLATE(BJ3533,""auto"",""en""))"),"COLD CS P1 PRODUCTION")</f>
        <v>COLD CS P1 PRODUCTION</v>
      </c>
      <c r="AA3533" s="23" t="str">
        <f aca="false">IF(C3533="","", CHOOSE(MONTH(C3533),"January","February","March","April","May","June","July","August","September","October","November","December")&amp;" "&amp;DAY(C3533)&amp;MID("thstndrdth",MIN(9,2*RIGHT(DAY(C3533))*(MOD(DAY(C3533)-11,100)&gt;2)+1),2)&amp;","&amp;TEXT(C3533," yyyy"))</f>
        <v>April 18th,2026</v>
      </c>
      <c r="AB3533" s="15" t="str">
        <f aca="true">IF(S3533="","",DATEDIF(S3533,TODAY(),"Y")&amp;" Tahun, "&amp;DATEDIF(S3533,TODAY(),"YM")&amp;" Bulan, "&amp;DATEDIF(S3533,TODAY(),"MD")&amp;" Hari")</f>
        <v>20 Tahun, 7 Bulan, 7 Hari</v>
      </c>
      <c r="AC3533" s="18" t="n">
        <v>46130</v>
      </c>
      <c r="AD3533" s="18" t="n">
        <v>46203</v>
      </c>
      <c r="AE3533" s="13" t="s">
        <v>397</v>
      </c>
    </row>
    <row r="3534" customFormat="false" ht="15" hidden="false" customHeight="true" outlineLevel="0" collapsed="false">
      <c r="A3534" s="12" t="n">
        <v>22152</v>
      </c>
      <c r="B3534" s="13" t="s">
        <v>14417</v>
      </c>
      <c r="C3534" s="16" t="n">
        <v>46130</v>
      </c>
      <c r="D3534" s="13" t="s">
        <v>10155</v>
      </c>
      <c r="E3534" s="15" t="s">
        <v>47</v>
      </c>
      <c r="F3534" s="15" t="str">
        <f aca="false">IFERROR(__xludf.dummyfunction("XLOOKUP(AJ3534,IMPORTRANGE(""1XaInW9DU9nz21V0tYIfzFQ0He9kVQ_JF2mCXgZ3hqFA"",""REKAP ALL 2026 - Andika!G:G""),IMPORTRANGE(""1XaInW9DU9nz21V0tYIfzFQ0He9kVQ_JF2mCXgZ3hqFA"",""REKAP ALL 2026 - Andika!F:F""),"""",0)"),"26062987768")</f>
        <v>26062987768</v>
      </c>
      <c r="G3534" s="13" t="s">
        <v>1127</v>
      </c>
      <c r="H3534" s="13" t="s">
        <v>35</v>
      </c>
      <c r="I3534" s="13" t="str">
        <f aca="false">IF(C3534=J3534,"NEW KONTRAK","RE-KONTRAK")</f>
        <v>NEW KONTRAK</v>
      </c>
      <c r="J3534" s="16" t="n">
        <f aca="false" t="array" ref="J3534:J3534">IFERROR(INDEX(AC3534:AE3534,IF(COUNTA(AC3534:AE3534)=0,"",MAX((AC3534:AE3534&lt;&gt;"")*(COLUMN(AC3534:AE3534)-(COLUMN(AC3534)))))-1),"")</f>
        <v>46130</v>
      </c>
      <c r="K3534" s="16" t="n">
        <f aca="false" t="array" ref="K3534:K3534">IFERROR(INDEX(AC3534:AE3534,IF(COUNTA(AC3534:AE3534)=0,"",MAX((AC3534:AE3534&lt;&gt;"")*(COLUMN(AC3534:AE3534)-(COLUMN(AC3534)-1))))-1),"")</f>
        <v>46203</v>
      </c>
      <c r="L3534" s="17" t="str">
        <f aca="false" t="array" ref="L3534:L3534">IFERROR(INDEX(AC3534:AE3534,IF(COUNTA(AC3534:AE3534)=0,"",MAX((AC3534:AE3534&lt;&gt;"")*(COLUMN(AC3534:AE3534)-(COLUMN(AC3534)-2))))-1),"")</f>
        <v>KEMBALI</v>
      </c>
      <c r="M3534" s="13" t="n">
        <f aca="true">K3534-TODAY()</f>
        <v>-121</v>
      </c>
      <c r="N3534" s="18" t="s">
        <v>36</v>
      </c>
      <c r="O3534" s="13" t="s">
        <v>14375</v>
      </c>
      <c r="P3534" s="27" t="n">
        <v>5195401</v>
      </c>
      <c r="Q3534" s="113" t="s">
        <v>14418</v>
      </c>
      <c r="R3534" s="13" t="s">
        <v>4407</v>
      </c>
      <c r="S3534" s="78" t="n">
        <v>36798</v>
      </c>
      <c r="T3534" s="17" t="s">
        <v>40</v>
      </c>
      <c r="U3534" s="17" t="s">
        <v>14419</v>
      </c>
      <c r="V3534" s="17" t="s">
        <v>42</v>
      </c>
      <c r="W3534" s="17" t="s">
        <v>54</v>
      </c>
      <c r="X3534" s="30" t="n">
        <v>83174186256</v>
      </c>
      <c r="Y3534" s="22" t="str">
        <f aca="false">O3534</f>
        <v>P3 QC &amp; INCOMING</v>
      </c>
      <c r="Z3534" s="13" t="str">
        <f aca="false">IFERROR(__xludf.dummyfunction("if(BJ3534="""","""",GOOGLETRANSLATE(BJ3534,""auto"",""en""))"),"P3 QC &amp; INCOMING")</f>
        <v>P3 QC &amp; INCOMING</v>
      </c>
      <c r="AA3534" s="23" t="str">
        <f aca="false">IF(C3534="","", CHOOSE(MONTH(C3534),"January","February","March","April","May","June","July","August","September","October","November","December")&amp;" "&amp;DAY(C3534)&amp;MID("thstndrdth",MIN(9,2*RIGHT(DAY(C3534))*(MOD(DAY(C3534)-11,100)&gt;2)+1),2)&amp;","&amp;TEXT(C3534," yyyy"))</f>
        <v>April 18th,2026</v>
      </c>
      <c r="AB3534" s="15" t="str">
        <f aca="true">IF(S3534="","",DATEDIF(S3534,TODAY(),"Y")&amp;" Tahun, "&amp;DATEDIF(S3534,TODAY(),"YM")&amp;" Bulan, "&amp;DATEDIF(S3534,TODAY(),"MD")&amp;" Hari")</f>
        <v>26 Tahun, 1 Bulan, 0 Hari</v>
      </c>
      <c r="AC3534" s="18" t="n">
        <v>46130</v>
      </c>
      <c r="AD3534" s="18" t="n">
        <v>46203</v>
      </c>
      <c r="AE3534" s="13" t="s">
        <v>397</v>
      </c>
    </row>
    <row r="3535" customFormat="false" ht="15" hidden="false" customHeight="true" outlineLevel="0" collapsed="false">
      <c r="A3535" s="12" t="n">
        <v>22153</v>
      </c>
      <c r="B3535" s="13" t="s">
        <v>14420</v>
      </c>
      <c r="C3535" s="16" t="n">
        <v>46125</v>
      </c>
      <c r="D3535" s="13" t="s">
        <v>6638</v>
      </c>
      <c r="E3535" s="15" t="s">
        <v>102</v>
      </c>
      <c r="F3535" s="15" t="str">
        <f aca="false">IFERROR(__xludf.dummyfunction("XLOOKUP(AJ3535,IMPORTRANGE(""1XaInW9DU9nz21V0tYIfzFQ0He9kVQ_JF2mCXgZ3hqFA"",""REKAP ALL 2026 - Andika!G:G""),IMPORTRANGE(""1XaInW9DU9nz21V0tYIfzFQ0He9kVQ_JF2mCXgZ3hqFA"",""REKAP ALL 2026 - Andika!F:F""),"""",0)"),"26062993089")</f>
        <v>26062993089</v>
      </c>
      <c r="G3535" s="13" t="s">
        <v>1127</v>
      </c>
      <c r="H3535" s="13" t="s">
        <v>35</v>
      </c>
      <c r="I3535" s="13" t="str">
        <f aca="false">IF(C3535=J3535,"NEW KONTRAK","RE-KONTRAK")</f>
        <v>NEW KONTRAK</v>
      </c>
      <c r="J3535" s="16" t="n">
        <f aca="false" t="array" ref="J3535:J3535">IFERROR(INDEX(AC3535:AE3535,IF(COUNTA(AC3535:AE3535)=0,"",MAX((AC3535:AE3535&lt;&gt;"")*(COLUMN(AC3535:AE3535)-(COLUMN(AC3535)))))-1),"")</f>
        <v>46125</v>
      </c>
      <c r="K3535" s="16" t="n">
        <f aca="false" t="array" ref="K3535:K3535">IFERROR(INDEX(AC3535:AE3535,IF(COUNTA(AC3535:AE3535)=0,"",MAX((AC3535:AE3535&lt;&gt;"")*(COLUMN(AC3535:AE3535)-(COLUMN(AC3535)-1))))-1),"")</f>
        <v>46215</v>
      </c>
      <c r="L3535" s="17" t="str">
        <f aca="false" t="array" ref="L3535:L3535">IFERROR(INDEX(AC3535:AE3535,IF(COUNTA(AC3535:AE3535)=0,"",MAX((AC3535:AE3535&lt;&gt;"")*(COLUMN(AC3535:AE3535)-(COLUMN(AC3535)-2))))-1),"")</f>
        <v>KEMBALI ONLINE</v>
      </c>
      <c r="M3535" s="13" t="n">
        <f aca="true">K3535-TODAY()</f>
        <v>-109</v>
      </c>
      <c r="N3535" s="18" t="s">
        <v>4735</v>
      </c>
      <c r="O3535" s="13" t="s">
        <v>14421</v>
      </c>
      <c r="P3535" s="19" t="n">
        <v>3113530</v>
      </c>
      <c r="Q3535" s="47" t="s">
        <v>14422</v>
      </c>
      <c r="R3535" s="13" t="s">
        <v>52</v>
      </c>
      <c r="S3535" s="16" t="n">
        <v>36707</v>
      </c>
      <c r="T3535" s="81" t="s">
        <v>40</v>
      </c>
      <c r="U3535" s="17" t="s">
        <v>14423</v>
      </c>
      <c r="V3535" s="17" t="s">
        <v>42</v>
      </c>
      <c r="W3535" s="17" t="s">
        <v>43</v>
      </c>
      <c r="X3535" s="21" t="n">
        <v>85895631453</v>
      </c>
      <c r="Y3535" s="22" t="str">
        <f aca="false">O3535</f>
        <v>Retained Sample Staff</v>
      </c>
      <c r="Z3535" s="13" t="str">
        <f aca="false">IFERROR(__xludf.dummyfunction("if(BJ3535="""","""",GOOGLETRANSLATE(BJ3535,""auto"",""en""))"),"Retained Sample Staff")</f>
        <v>Retained Sample Staff</v>
      </c>
      <c r="AA3535" s="23" t="str">
        <f aca="false">IF(C3535="","", CHOOSE(MONTH(C3535),"January","February","March","April","May","June","July","August","September","October","November","December")&amp;" "&amp;DAY(C3535)&amp;MID("thstndrdth",MIN(9,2*RIGHT(DAY(C3535))*(MOD(DAY(C3535)-11,100)&gt;2)+1),2)&amp;","&amp;TEXT(C3535," yyyy"))</f>
        <v>April 13th,2026</v>
      </c>
      <c r="AB3535" s="15" t="str">
        <f aca="true">IF(S3535="","",DATEDIF(S3535,TODAY(),"Y")&amp;" Tahun, "&amp;DATEDIF(S3535,TODAY(),"YM")&amp;" Bulan, "&amp;DATEDIF(S3535,TODAY(),"MD")&amp;" Hari")</f>
        <v>26 Tahun, 3 Bulan, 29 Hari</v>
      </c>
      <c r="AC3535" s="18" t="n">
        <v>46125</v>
      </c>
      <c r="AD3535" s="18" t="n">
        <f aca="false">EDATE(AC3535,3)-1</f>
        <v>46215</v>
      </c>
      <c r="AE3535" s="13" t="s">
        <v>2387</v>
      </c>
    </row>
    <row r="3536" customFormat="false" ht="15" hidden="false" customHeight="true" outlineLevel="0" collapsed="false">
      <c r="A3536" s="12" t="n">
        <v>22154</v>
      </c>
      <c r="B3536" s="13" t="s">
        <v>14424</v>
      </c>
      <c r="C3536" s="16" t="n">
        <v>46127</v>
      </c>
      <c r="D3536" s="13" t="s">
        <v>10735</v>
      </c>
      <c r="E3536" s="15" t="s">
        <v>102</v>
      </c>
      <c r="F3536" s="15" t="str">
        <f aca="false">IFERROR(__xludf.dummyfunction("XLOOKUP(AJ3536,IMPORTRANGE(""1XaInW9DU9nz21V0tYIfzFQ0He9kVQ_JF2mCXgZ3hqFA"",""REKAP ALL 2026 - Andika!G:G""),IMPORTRANGE(""1XaInW9DU9nz21V0tYIfzFQ0He9kVQ_JF2mCXgZ3hqFA"",""REKAP ALL 2026 - Andika!F:F""),"""",0)"),"26062993105")</f>
        <v>26062993105</v>
      </c>
      <c r="G3536" s="13" t="s">
        <v>1127</v>
      </c>
      <c r="H3536" s="13" t="s">
        <v>35</v>
      </c>
      <c r="I3536" s="13" t="str">
        <f aca="false">IF(C3536=J3536,"NEW KONTRAK","RE-KONTRAK")</f>
        <v>NEW KONTRAK</v>
      </c>
      <c r="J3536" s="16" t="n">
        <f aca="false" t="array" ref="J3536:J3536">IFERROR(INDEX(AC3536:AE3536,IF(COUNTA(AC3536:AE3536)=0,"",MAX((AC3536:AE3536&lt;&gt;"")*(COLUMN(AC3536:AE3536)-(COLUMN(AC3536)))))-1),"")</f>
        <v>46127</v>
      </c>
      <c r="K3536" s="16" t="n">
        <f aca="false" t="array" ref="K3536:K3536">IFERROR(INDEX(AC3536:AE3536,IF(COUNTA(AC3536:AE3536)=0,"",MAX((AC3536:AE3536&lt;&gt;"")*(COLUMN(AC3536:AE3536)-(COLUMN(AC3536)-1))))-1),"")</f>
        <v>46217</v>
      </c>
      <c r="L3536" s="17" t="str">
        <f aca="false" t="array" ref="L3536:L3536">IFERROR(INDEX(AC3536:AE3536,IF(COUNTA(AC3536:AE3536)=0,"",MAX((AC3536:AE3536&lt;&gt;"")*(COLUMN(AC3536:AE3536)-(COLUMN(AC3536)-2))))-1),"")</f>
        <v>ARCHIVED</v>
      </c>
      <c r="M3536" s="13" t="n">
        <f aca="true">K3536-TODAY()</f>
        <v>-107</v>
      </c>
      <c r="N3536" s="18" t="s">
        <v>4735</v>
      </c>
      <c r="O3536" s="13" t="s">
        <v>14425</v>
      </c>
      <c r="P3536" s="114" t="n">
        <v>2553530</v>
      </c>
      <c r="Q3536" s="47" t="s">
        <v>14426</v>
      </c>
      <c r="R3536" s="13" t="s">
        <v>241</v>
      </c>
      <c r="S3536" s="16" t="n">
        <v>31257</v>
      </c>
      <c r="T3536" s="13" t="s">
        <v>108</v>
      </c>
      <c r="U3536" s="13" t="s">
        <v>14427</v>
      </c>
      <c r="V3536" s="13" t="s">
        <v>99</v>
      </c>
      <c r="W3536" s="13" t="s">
        <v>54</v>
      </c>
      <c r="X3536" s="13" t="n">
        <v>85330510625</v>
      </c>
      <c r="Y3536" s="22" t="str">
        <f aca="false">O3536</f>
        <v>Sales Merchandiser</v>
      </c>
      <c r="Z3536" s="13" t="str">
        <f aca="false">IFERROR(__xludf.dummyfunction("if(BJ3536="""","""",GOOGLETRANSLATE(BJ3536,""auto"",""en""))"),"Sales Merchandiser")</f>
        <v>Sales Merchandiser</v>
      </c>
      <c r="AA3536" s="23" t="str">
        <f aca="false">IF(C3536="","", CHOOSE(MONTH(C3536),"January","February","March","April","May","June","July","August","September","October","November","December")&amp;" "&amp;DAY(C3536)&amp;MID("thstndrdth",MIN(9,2*RIGHT(DAY(C3536))*(MOD(DAY(C3536)-11,100)&gt;2)+1),2)&amp;","&amp;TEXT(C3536," yyyy"))</f>
        <v>April 15th,2026</v>
      </c>
      <c r="AB3536" s="15" t="str">
        <f aca="true">IF(S3536="","",DATEDIF(S3536,TODAY(),"Y")&amp;" Tahun, "&amp;DATEDIF(S3536,TODAY(),"YM")&amp;" Bulan, "&amp;DATEDIF(S3536,TODAY(),"MD")&amp;" Hari")</f>
        <v>41 Tahun, 3 Bulan, 0 Hari</v>
      </c>
      <c r="AC3536" s="18" t="n">
        <v>46127</v>
      </c>
      <c r="AD3536" s="18" t="n">
        <f aca="false">EDATE(AC3536,3)-1</f>
        <v>46217</v>
      </c>
      <c r="AE3536" s="13" t="s">
        <v>44</v>
      </c>
    </row>
    <row r="3537" customFormat="false" ht="15" hidden="false" customHeight="true" outlineLevel="0" collapsed="false">
      <c r="A3537" s="12" t="n">
        <v>22155</v>
      </c>
      <c r="B3537" s="13" t="s">
        <v>14428</v>
      </c>
      <c r="C3537" s="16" t="n">
        <v>46127</v>
      </c>
      <c r="D3537" s="13" t="s">
        <v>3022</v>
      </c>
      <c r="E3537" s="15" t="s">
        <v>47</v>
      </c>
      <c r="F3537" s="15" t="str">
        <f aca="false">IFERROR(__xludf.dummyfunction("XLOOKUP(AJ3537,IMPORTRANGE(""1XaInW9DU9nz21V0tYIfzFQ0He9kVQ_JF2mCXgZ3hqFA"",""REKAP ALL 2026 - Andika!G:G""),IMPORTRANGE(""1XaInW9DU9nz21V0tYIfzFQ0He9kVQ_JF2mCXgZ3hqFA"",""REKAP ALL 2026 - Andika!F:F""),"""",0)"),"26062991125")</f>
        <v>26062991125</v>
      </c>
      <c r="G3537" s="13" t="s">
        <v>57</v>
      </c>
      <c r="H3537" s="13" t="s">
        <v>3024</v>
      </c>
      <c r="I3537" s="13" t="str">
        <f aca="false">IF(C3537=J3537,"NEW KONTRAK","RE-KONTRAK")</f>
        <v>NEW KONTRAK</v>
      </c>
      <c r="J3537" s="16" t="n">
        <f aca="false" t="array" ref="J3537:J3537">IFERROR(INDEX(AC3537:AE3537,IF(COUNTA(AC3537:AE3537)=0,"",MAX((AC3537:AE3537&lt;&gt;"")*(COLUMN(AC3537:AE3537)-(COLUMN(AC3537)))))-1),"")</f>
        <v>46127</v>
      </c>
      <c r="K3537" s="16" t="n">
        <f aca="false" t="array" ref="K3537:K3537">IFERROR(INDEX(AC3537:AE3537,IF(COUNTA(AC3537:AE3537)=0,"",MAX((AC3537:AE3537&lt;&gt;"")*(COLUMN(AC3537:AE3537)-(COLUMN(AC3537)-1))))-1),"")</f>
        <v>46217</v>
      </c>
      <c r="L3537" s="17" t="str">
        <f aca="false" t="array" ref="L3537:L3537">IFERROR(INDEX(AC3537:AE3537,IF(COUNTA(AC3537:AE3537)=0,"",MAX((AC3537:AE3537&lt;&gt;"")*(COLUMN(AC3537:AE3537)-(COLUMN(AC3537)-2))))-1),"")</f>
        <v>ARCHIVED</v>
      </c>
      <c r="M3537" s="13" t="n">
        <f aca="true">K3537-TODAY()</f>
        <v>-107</v>
      </c>
      <c r="N3537" s="18" t="s">
        <v>36</v>
      </c>
      <c r="O3537" s="13" t="s">
        <v>3030</v>
      </c>
      <c r="P3537" s="19" t="n">
        <v>112500</v>
      </c>
      <c r="Q3537" s="47" t="s">
        <v>14429</v>
      </c>
      <c r="R3537" s="13" t="s">
        <v>232</v>
      </c>
      <c r="S3537" s="16" t="n">
        <v>34977</v>
      </c>
      <c r="T3537" s="28" t="s">
        <v>40</v>
      </c>
      <c r="U3537" s="13" t="s">
        <v>14430</v>
      </c>
      <c r="V3537" s="13" t="s">
        <v>42</v>
      </c>
      <c r="W3537" s="13" t="s">
        <v>54</v>
      </c>
      <c r="X3537" s="21" t="n">
        <v>882009081399</v>
      </c>
      <c r="Y3537" s="22" t="str">
        <f aca="false">O3537</f>
        <v>Produksi ( Shearing )</v>
      </c>
      <c r="Z3537" s="13" t="str">
        <f aca="false">IFERROR(__xludf.dummyfunction("if(BJ3537="""","""",GOOGLETRANSLATE(BJ3537,""auto"",""en""))"),"Production (Shearing)")</f>
        <v>Production (Shearing)</v>
      </c>
      <c r="AA3537" s="23" t="str">
        <f aca="false">IF(C3537="","", CHOOSE(MONTH(C3537),"January","February","March","April","May","June","July","August","September","October","November","December")&amp;" "&amp;DAY(C3537)&amp;MID("thstndrdth",MIN(9,2*RIGHT(DAY(C3537))*(MOD(DAY(C3537)-11,100)&gt;2)+1),2)&amp;","&amp;TEXT(C3537," yyyy"))</f>
        <v>April 15th,2026</v>
      </c>
      <c r="AB3537" s="15" t="str">
        <f aca="true">IF(S3537="","",DATEDIF(S3537,TODAY(),"Y")&amp;" Tahun, "&amp;DATEDIF(S3537,TODAY(),"YM")&amp;" Bulan, "&amp;DATEDIF(S3537,TODAY(),"MD")&amp;" Hari")</f>
        <v>31 Tahun, 0 Bulan, 24 Hari</v>
      </c>
      <c r="AC3537" s="18" t="n">
        <v>46127</v>
      </c>
      <c r="AD3537" s="18" t="n">
        <f aca="false">EDATE(AC3537,3)-1</f>
        <v>46217</v>
      </c>
      <c r="AE3537" s="18" t="s">
        <v>44</v>
      </c>
    </row>
    <row r="3538" customFormat="false" ht="15" hidden="false" customHeight="true" outlineLevel="0" collapsed="false">
      <c r="A3538" s="12" t="n">
        <v>22156</v>
      </c>
      <c r="B3538" s="13" t="s">
        <v>14431</v>
      </c>
      <c r="C3538" s="16" t="n">
        <v>46127</v>
      </c>
      <c r="D3538" s="13" t="s">
        <v>7310</v>
      </c>
      <c r="E3538" s="15" t="s">
        <v>102</v>
      </c>
      <c r="F3538" s="24" t="s">
        <v>14432</v>
      </c>
      <c r="G3538" s="13" t="s">
        <v>1127</v>
      </c>
      <c r="H3538" s="13" t="s">
        <v>35</v>
      </c>
      <c r="I3538" s="13" t="str">
        <f aca="false">IF(C3538=J3538,"NEW KONTRAK","RE-KONTRAK")</f>
        <v>NEW KONTRAK</v>
      </c>
      <c r="J3538" s="16" t="n">
        <f aca="false" t="array" ref="J3538:J3538">IFERROR(INDEX(AC3538:AE3538,IF(COUNTA(AC3538:AE3538)=0,"",MAX((AC3538:AE3538&lt;&gt;"")*(COLUMN(AC3538:AE3538)-(COLUMN(AC3538)))))-1),"")</f>
        <v>46127</v>
      </c>
      <c r="K3538" s="16" t="n">
        <f aca="false" t="array" ref="K3538:K3538">IFERROR(INDEX(AC3538:AE3538,IF(COUNTA(AC3538:AE3538)=0,"",MAX((AC3538:AE3538&lt;&gt;"")*(COLUMN(AC3538:AE3538)-(COLUMN(AC3538)-1))))-1),"")</f>
        <v>46267</v>
      </c>
      <c r="L3538" s="17" t="str">
        <f aca="false" t="array" ref="L3538:L3538">IFERROR(INDEX(AC3538:AE3538,IF(COUNTA(AC3538:AE3538)=0,"",MAX((AC3538:AE3538&lt;&gt;"")*(COLUMN(AC3538:AE3538)-(COLUMN(AC3538)-2))))-1),"")</f>
        <v>ARCHIVED</v>
      </c>
      <c r="M3538" s="13" t="n">
        <f aca="true">K3538-TODAY()</f>
        <v>-57</v>
      </c>
      <c r="N3538" s="18" t="s">
        <v>7313</v>
      </c>
      <c r="O3538" s="13" t="s">
        <v>50</v>
      </c>
      <c r="P3538" s="19" t="n">
        <v>2550274</v>
      </c>
      <c r="Q3538" s="47" t="s">
        <v>14433</v>
      </c>
      <c r="R3538" s="13" t="s">
        <v>227</v>
      </c>
      <c r="S3538" s="16" t="n">
        <v>36672</v>
      </c>
      <c r="T3538" s="28" t="s">
        <v>40</v>
      </c>
      <c r="U3538" s="13" t="s">
        <v>14434</v>
      </c>
      <c r="V3538" s="13" t="s">
        <v>42</v>
      </c>
      <c r="W3538" s="13" t="s">
        <v>54</v>
      </c>
      <c r="X3538" s="21" t="n">
        <v>81999525382</v>
      </c>
      <c r="Y3538" s="22" t="str">
        <f aca="false">O3538</f>
        <v>Driver</v>
      </c>
      <c r="Z3538" s="13" t="str">
        <f aca="false">IFERROR(__xludf.dummyfunction("if(BJ3538="""","""",GOOGLETRANSLATE(BJ3538,""auto"",""en""))"),"Driver")</f>
        <v>Driver</v>
      </c>
      <c r="AA3538" s="23" t="str">
        <f aca="false">IF(C3538="","", CHOOSE(MONTH(C3538),"January","February","March","April","May","June","July","August","September","October","November","December")&amp;" "&amp;DAY(C3538)&amp;MID("thstndrdth",MIN(9,2*RIGHT(DAY(C3538))*(MOD(DAY(C3538)-11,100)&gt;2)+1),2)&amp;","&amp;TEXT(C3538," yyyy"))</f>
        <v>April 15th,2026</v>
      </c>
      <c r="AB3538" s="15" t="str">
        <f aca="true">IF(S3538="","",DATEDIF(S3538,TODAY(),"Y")&amp;" Tahun, "&amp;DATEDIF(S3538,TODAY(),"YM")&amp;" Bulan, "&amp;DATEDIF(S3538,TODAY(),"MD")&amp;" Hari")</f>
        <v>26 Tahun, 5 Bulan, 3 Hari</v>
      </c>
      <c r="AC3538" s="18" t="n">
        <v>46127</v>
      </c>
      <c r="AD3538" s="18" t="n">
        <v>46267</v>
      </c>
      <c r="AE3538" s="18" t="s">
        <v>44</v>
      </c>
    </row>
    <row r="3539" customFormat="false" ht="15" hidden="false" customHeight="true" outlineLevel="0" collapsed="false">
      <c r="A3539" s="12" t="n">
        <v>22157</v>
      </c>
      <c r="B3539" s="13" t="s">
        <v>14435</v>
      </c>
      <c r="C3539" s="16" t="n">
        <v>46127</v>
      </c>
      <c r="D3539" s="13" t="s">
        <v>7310</v>
      </c>
      <c r="E3539" s="15" t="s">
        <v>47</v>
      </c>
      <c r="F3539" s="15" t="str">
        <f aca="false">IFERROR(__xludf.dummyfunction("XLOOKUP(AJ3539,IMPORTRANGE(""1XaInW9DU9nz21V0tYIfzFQ0He9kVQ_JF2mCXgZ3hqFA"",""REKAP ALL 2026 - Andika!G:G""),IMPORTRANGE(""1XaInW9DU9nz21V0tYIfzFQ0He9kVQ_JF2mCXgZ3hqFA"",""REKAP ALL 2026 - Andika!F:F""),"""",0)"),"26062988402")</f>
        <v>26062988402</v>
      </c>
      <c r="G3539" s="13" t="s">
        <v>1127</v>
      </c>
      <c r="H3539" s="13" t="s">
        <v>35</v>
      </c>
      <c r="I3539" s="13" t="str">
        <f aca="false">IF(C3539=J3539,"NEW KONTRAK","RE-KONTRAK")</f>
        <v>NEW KONTRAK</v>
      </c>
      <c r="J3539" s="16" t="n">
        <f aca="false" t="array" ref="J3539:J3539">IFERROR(INDEX(AC3539:AE3539,IF(COUNTA(AC3539:AE3539)=0,"",MAX((AC3539:AE3539&lt;&gt;"")*(COLUMN(AC3539:AE3539)-(COLUMN(AC3539)))))-1),"")</f>
        <v>46127</v>
      </c>
      <c r="K3539" s="16" t="n">
        <f aca="false" t="array" ref="K3539:K3539">IFERROR(INDEX(AC3539:AE3539,IF(COUNTA(AC3539:AE3539)=0,"",MAX((AC3539:AE3539&lt;&gt;"")*(COLUMN(AC3539:AE3539)-(COLUMN(AC3539)-1))))-1),"")</f>
        <v>46267</v>
      </c>
      <c r="L3539" s="17" t="str">
        <f aca="false" t="array" ref="L3539:L3539">IFERROR(INDEX(AC3539:AE3539,IF(COUNTA(AC3539:AE3539)=0,"",MAX((AC3539:AE3539&lt;&gt;"")*(COLUMN(AC3539:AE3539)-(COLUMN(AC3539)-2))))-1),"")</f>
        <v>ARCHIVED</v>
      </c>
      <c r="M3539" s="13" t="n">
        <f aca="true">K3539-TODAY()</f>
        <v>-57</v>
      </c>
      <c r="N3539" s="18" t="s">
        <v>7313</v>
      </c>
      <c r="O3539" s="13" t="s">
        <v>50</v>
      </c>
      <c r="P3539" s="19" t="n">
        <v>2550274</v>
      </c>
      <c r="Q3539" s="47" t="s">
        <v>14436</v>
      </c>
      <c r="R3539" s="13" t="s">
        <v>227</v>
      </c>
      <c r="S3539" s="16" t="n">
        <v>37509</v>
      </c>
      <c r="T3539" s="28" t="s">
        <v>40</v>
      </c>
      <c r="U3539" s="13" t="s">
        <v>14437</v>
      </c>
      <c r="V3539" s="13" t="s">
        <v>42</v>
      </c>
      <c r="W3539" s="13" t="s">
        <v>43</v>
      </c>
      <c r="X3539" s="21" t="n">
        <v>85890922897</v>
      </c>
      <c r="Y3539" s="22" t="str">
        <f aca="false">O3539</f>
        <v>Driver</v>
      </c>
      <c r="Z3539" s="13" t="str">
        <f aca="false">IFERROR(__xludf.dummyfunction("if(BJ3539="""","""",GOOGLETRANSLATE(BJ3539,""auto"",""en""))"),"Driver")</f>
        <v>Driver</v>
      </c>
      <c r="AA3539" s="23" t="str">
        <f aca="false">IF(C3539="","", CHOOSE(MONTH(C3539),"January","February","March","April","May","June","July","August","September","October","November","December")&amp;" "&amp;DAY(C3539)&amp;MID("thstndrdth",MIN(9,2*RIGHT(DAY(C3539))*(MOD(DAY(C3539)-11,100)&gt;2)+1),2)&amp;","&amp;TEXT(C3539," yyyy"))</f>
        <v>April 15th,2026</v>
      </c>
      <c r="AB3539" s="15" t="str">
        <f aca="true">IF(S3539="","",DATEDIF(S3539,TODAY(),"Y")&amp;" Tahun, "&amp;DATEDIF(S3539,TODAY(),"YM")&amp;" Bulan, "&amp;DATEDIF(S3539,TODAY(),"MD")&amp;" Hari")</f>
        <v>24 Tahun, 1 Bulan, 19 Hari</v>
      </c>
      <c r="AC3539" s="18" t="n">
        <v>46127</v>
      </c>
      <c r="AD3539" s="18" t="n">
        <v>46267</v>
      </c>
      <c r="AE3539" s="18" t="s">
        <v>44</v>
      </c>
    </row>
    <row r="3540" customFormat="false" ht="15" hidden="false" customHeight="true" outlineLevel="0" collapsed="false">
      <c r="A3540" s="12" t="n">
        <v>22158</v>
      </c>
      <c r="B3540" s="13" t="s">
        <v>14438</v>
      </c>
      <c r="C3540" s="16" t="n">
        <v>46127</v>
      </c>
      <c r="D3540" s="13" t="s">
        <v>3022</v>
      </c>
      <c r="E3540" s="15" t="s">
        <v>14439</v>
      </c>
      <c r="F3540" s="15" t="str">
        <f aca="false">IFERROR(__xludf.dummyfunction("XLOOKUP(AJ3540,IMPORTRANGE(""1XaInW9DU9nz21V0tYIfzFQ0He9kVQ_JF2mCXgZ3hqFA"",""REKAP ALL 2026 - Andika!G:G""),IMPORTRANGE(""1XaInW9DU9nz21V0tYIfzFQ0He9kVQ_JF2mCXgZ3hqFA"",""REKAP ALL 2026 - Andika!F:F""),"""",0)"),"26062991141")</f>
        <v>26062991141</v>
      </c>
      <c r="G3540" s="13" t="s">
        <v>57</v>
      </c>
      <c r="H3540" s="13" t="s">
        <v>3024</v>
      </c>
      <c r="I3540" s="13" t="str">
        <f aca="false">IF(C3540=J3540,"NEW KONTRAK","RE-KONTRAK")</f>
        <v>NEW KONTRAK</v>
      </c>
      <c r="J3540" s="16" t="n">
        <f aca="false" t="array" ref="J3540:J3540">IFERROR(INDEX(AC3540:AE3540,IF(COUNTA(AC3540:AE3540)=0,"",MAX((AC3540:AE3540&lt;&gt;"")*(COLUMN(AC3540:AE3540)-(COLUMN(AC3540)))))-1),"")</f>
        <v>46127</v>
      </c>
      <c r="K3540" s="16" t="n">
        <f aca="false" t="array" ref="K3540:K3540">IFERROR(INDEX(AC3540:AE3540,IF(COUNTA(AC3540:AE3540)=0,"",MAX((AC3540:AE3540&lt;&gt;"")*(COLUMN(AC3540:AE3540)-(COLUMN(AC3540)-1))))-1),"")</f>
        <v>46217</v>
      </c>
      <c r="L3540" s="17" t="str">
        <f aca="false" t="array" ref="L3540:L3540">IFERROR(INDEX(AC3540:AE3540,IF(COUNTA(AC3540:AE3540)=0,"",MAX((AC3540:AE3540&lt;&gt;"")*(COLUMN(AC3540:AE3540)-(COLUMN(AC3540)-2))))-1),"")</f>
        <v>ARCHIVED</v>
      </c>
      <c r="M3540" s="13" t="n">
        <f aca="true">K3540-TODAY()</f>
        <v>-107</v>
      </c>
      <c r="N3540" s="18" t="s">
        <v>36</v>
      </c>
      <c r="O3540" s="13" t="s">
        <v>13295</v>
      </c>
      <c r="P3540" s="19" t="n">
        <v>110000</v>
      </c>
      <c r="Q3540" s="47" t="s">
        <v>14440</v>
      </c>
      <c r="R3540" s="13" t="s">
        <v>39</v>
      </c>
      <c r="S3540" s="16" t="n">
        <v>33081</v>
      </c>
      <c r="T3540" s="13" t="s">
        <v>40</v>
      </c>
      <c r="U3540" s="13" t="s">
        <v>14441</v>
      </c>
      <c r="V3540" s="13" t="s">
        <v>42</v>
      </c>
      <c r="W3540" s="13" t="s">
        <v>43</v>
      </c>
      <c r="X3540" s="21" t="n">
        <v>89699003143</v>
      </c>
      <c r="Y3540" s="22" t="str">
        <f aca="false">O3540</f>
        <v>PU</v>
      </c>
      <c r="Z3540" s="13" t="str">
        <f aca="false">IFERROR(__xludf.dummyfunction("if(BJ3540="""","""",GOOGLETRANSLATE(BJ3540,""auto"",""en""))"),"COULD")</f>
        <v>COULD</v>
      </c>
      <c r="AA3540" s="23" t="str">
        <f aca="false">IF(C3540="","", CHOOSE(MONTH(C3540),"January","February","March","April","May","June","July","August","September","October","November","December")&amp;" "&amp;DAY(C3540)&amp;MID("thstndrdth",MIN(9,2*RIGHT(DAY(C3540))*(MOD(DAY(C3540)-11,100)&gt;2)+1),2)&amp;","&amp;TEXT(C3540," yyyy"))</f>
        <v>April 15th,2026</v>
      </c>
      <c r="AB3540" s="15" t="str">
        <f aca="true">IF(S3540="","",DATEDIF(S3540,TODAY(),"Y")&amp;" Tahun, "&amp;DATEDIF(S3540,TODAY(),"YM")&amp;" Bulan, "&amp;DATEDIF(S3540,TODAY(),"MD")&amp;" Hari")</f>
        <v>36 Tahun, 3 Bulan, 2 Hari</v>
      </c>
      <c r="AC3540" s="18" t="n">
        <v>46127</v>
      </c>
      <c r="AD3540" s="18" t="n">
        <f aca="false">EDATE(AC3540,3)-1</f>
        <v>46217</v>
      </c>
      <c r="AE3540" s="18" t="s">
        <v>44</v>
      </c>
    </row>
    <row r="3541" customFormat="false" ht="15" hidden="false" customHeight="true" outlineLevel="0" collapsed="false">
      <c r="A3541" s="12" t="n">
        <v>22159</v>
      </c>
      <c r="B3541" s="13" t="s">
        <v>14442</v>
      </c>
      <c r="C3541" s="16" t="n">
        <v>46132</v>
      </c>
      <c r="D3541" s="13" t="s">
        <v>404</v>
      </c>
      <c r="E3541" s="15" t="s">
        <v>47</v>
      </c>
      <c r="F3541" s="15" t="str">
        <f aca="false">IFERROR(__xludf.dummyfunction("XLOOKUP(AJ3541,IMPORTRANGE(""1XaInW9DU9nz21V0tYIfzFQ0He9kVQ_JF2mCXgZ3hqFA"",""REKAP ALL 2026 - Andika!G:G""),IMPORTRANGE(""1XaInW9DU9nz21V0tYIfzFQ0He9kVQ_JF2mCXgZ3hqFA"",""REKAP ALL 2026 - Andika!F:F""),"""",0)"),"26062980490")</f>
        <v>26062980490</v>
      </c>
      <c r="G3541" s="13" t="s">
        <v>1127</v>
      </c>
      <c r="H3541" s="13" t="s">
        <v>35</v>
      </c>
      <c r="I3541" s="13" t="str">
        <f aca="false">IF(C3541=J3541,"NEW KONTRAK","RE-KONTRAK")</f>
        <v>NEW KONTRAK</v>
      </c>
      <c r="J3541" s="16" t="n">
        <f aca="false" t="array" ref="J3541:J3541">IFERROR(INDEX(AC3541:AE3541,IF(COUNTA(AC3541:AE3541)=0,"",MAX((AC3541:AE3541&lt;&gt;"")*(COLUMN(AC3541:AE3541)-(COLUMN(AC3541)))))-1),"")</f>
        <v>46132</v>
      </c>
      <c r="K3541" s="16" t="n">
        <f aca="false" t="array" ref="K3541:K3541">IFERROR(INDEX(AC3541:AE3541,IF(COUNTA(AC3541:AE3541)=0,"",MAX((AC3541:AE3541&lt;&gt;"")*(COLUMN(AC3541:AE3541)-(COLUMN(AC3541)-1))))-1),"")</f>
        <v>46387</v>
      </c>
      <c r="L3541" s="17" t="str">
        <f aca="false" t="array" ref="L3541:L3541">IFERROR(INDEX(AC3541:AE3541,IF(COUNTA(AC3541:AE3541)=0,"",MAX((AC3541:AE3541&lt;&gt;"")*(COLUMN(AC3541:AE3541)-(COLUMN(AC3541)-2))))-1),"")</f>
        <v>KEMBALI</v>
      </c>
      <c r="M3541" s="13" t="n">
        <f aca="true">K3541-TODAY()</f>
        <v>63</v>
      </c>
      <c r="N3541" s="18" t="s">
        <v>36</v>
      </c>
      <c r="O3541" s="13" t="s">
        <v>8136</v>
      </c>
      <c r="P3541" s="26" t="n">
        <v>5195401</v>
      </c>
      <c r="Q3541" s="47" t="s">
        <v>14443</v>
      </c>
      <c r="R3541" s="13" t="s">
        <v>78</v>
      </c>
      <c r="S3541" s="16" t="n">
        <v>37769</v>
      </c>
      <c r="T3541" s="13" t="s">
        <v>40</v>
      </c>
      <c r="U3541" s="13" t="s">
        <v>14444</v>
      </c>
      <c r="V3541" s="13" t="s">
        <v>42</v>
      </c>
      <c r="W3541" s="13" t="s">
        <v>43</v>
      </c>
      <c r="X3541" s="30" t="n">
        <v>87827047743</v>
      </c>
      <c r="Y3541" s="22" t="str">
        <f aca="false">O3541</f>
        <v>Analis Lab</v>
      </c>
      <c r="Z3541" s="13" t="str">
        <f aca="false">IFERROR(__xludf.dummyfunction("if(BJ3541="""","""",GOOGLETRANSLATE(BJ3541,""auto"",""en""))"),"Lab Analyst")</f>
        <v>Lab Analyst</v>
      </c>
      <c r="AA3541" s="23" t="str">
        <f aca="false">IF(C3541="","", CHOOSE(MONTH(C3541),"January","February","March","April","May","June","July","August","September","October","November","December")&amp;" "&amp;DAY(C3541)&amp;MID("thstndrdth",MIN(9,2*RIGHT(DAY(C3541))*(MOD(DAY(C3541)-11,100)&gt;2)+1),2)&amp;","&amp;TEXT(C3541," yyyy"))</f>
        <v>April 20th,2026</v>
      </c>
      <c r="AB3541" s="15" t="str">
        <f aca="true">IF(S3541="","",DATEDIF(S3541,TODAY(),"Y")&amp;" Tahun, "&amp;DATEDIF(S3541,TODAY(),"YM")&amp;" Bulan, "&amp;DATEDIF(S3541,TODAY(),"MD")&amp;" Hari")</f>
        <v>23 Tahun, 5 Bulan, 1 Hari</v>
      </c>
      <c r="AC3541" s="18" t="n">
        <v>46132</v>
      </c>
      <c r="AD3541" s="18" t="n">
        <v>46387</v>
      </c>
      <c r="AE3541" s="13" t="s">
        <v>397</v>
      </c>
    </row>
    <row r="3542" customFormat="false" ht="15" hidden="false" customHeight="true" outlineLevel="0" collapsed="false">
      <c r="A3542" s="12" t="n">
        <v>22160</v>
      </c>
      <c r="B3542" s="13" t="s">
        <v>14445</v>
      </c>
      <c r="C3542" s="14" t="n">
        <v>46133</v>
      </c>
      <c r="D3542" s="13" t="s">
        <v>6638</v>
      </c>
      <c r="E3542" s="15" t="s">
        <v>47</v>
      </c>
      <c r="F3542" s="15" t="str">
        <f aca="false">IFERROR(__xludf.dummyfunction("XLOOKUP(AJ3542,IMPORTRANGE(""1XaInW9DU9nz21V0tYIfzFQ0He9kVQ_JF2mCXgZ3hqFA"",""REKAP ALL 2026 - Andika!G:G""),IMPORTRANGE(""1XaInW9DU9nz21V0tYIfzFQ0He9kVQ_JF2mCXgZ3hqFA"",""REKAP ALL 2026 - Andika!F:F""),"""",0)"),"26062993139")</f>
        <v>26062993139</v>
      </c>
      <c r="G3542" s="15" t="s">
        <v>14446</v>
      </c>
      <c r="H3542" s="13" t="s">
        <v>35</v>
      </c>
      <c r="I3542" s="13" t="str">
        <f aca="false">IF(C3542=J3542,"NEW KONTRAK","RE-KONTRAK")</f>
        <v>NEW KONTRAK</v>
      </c>
      <c r="J3542" s="16" t="n">
        <f aca="false" t="array" ref="J3542:J3542">IFERROR(INDEX(AC3542:AE3542,IF(COUNTA(AC3542:AE3542)=0,"",MAX((AC3542:AE3542&lt;&gt;"")*(COLUMN(AC3542:AE3542)-(COLUMN(AC3542)))))-1),"")</f>
        <v>46133</v>
      </c>
      <c r="K3542" s="16" t="n">
        <f aca="false" t="array" ref="K3542:K3542">IFERROR(INDEX(AC3542:AE3542,IF(COUNTA(AC3542:AE3542)=0,"",MAX((AC3542:AE3542&lt;&gt;"")*(COLUMN(AC3542:AE3542)-(COLUMN(AC3542)-1))))-1),"")</f>
        <v>46223</v>
      </c>
      <c r="L3542" s="17" t="str">
        <f aca="false" t="array" ref="L3542:L3542">IFERROR(INDEX(AC3542:AE3542,IF(COUNTA(AC3542:AE3542)=0,"",MAX((AC3542:AE3542&lt;&gt;"")*(COLUMN(AC3542:AE3542)-(COLUMN(AC3542)-2))))-1),"")</f>
        <v>KEMBALI</v>
      </c>
      <c r="M3542" s="13" t="n">
        <f aca="true">K3542-TODAY()</f>
        <v>-101</v>
      </c>
      <c r="N3542" s="18" t="s">
        <v>4735</v>
      </c>
      <c r="O3542" s="13" t="s">
        <v>14447</v>
      </c>
      <c r="P3542" s="19" t="n">
        <v>3113530</v>
      </c>
      <c r="Q3542" s="20" t="s">
        <v>14448</v>
      </c>
      <c r="R3542" s="13" t="s">
        <v>14449</v>
      </c>
      <c r="S3542" s="14" t="n">
        <v>37723</v>
      </c>
      <c r="T3542" s="13" t="s">
        <v>108</v>
      </c>
      <c r="U3542" s="13" t="s">
        <v>14450</v>
      </c>
      <c r="V3542" s="13" t="s">
        <v>42</v>
      </c>
      <c r="W3542" s="13" t="s">
        <v>43</v>
      </c>
      <c r="X3542" s="21" t="n">
        <v>82321841971</v>
      </c>
      <c r="Y3542" s="22" t="str">
        <f aca="false">O3542</f>
        <v>Customer Service E-Commerce</v>
      </c>
      <c r="Z3542" s="13" t="str">
        <f aca="false">IFERROR(__xludf.dummyfunction("if(BJ3542="""","""",GOOGLETRANSLATE(BJ3542,""auto"",""en""))"),"Customer Service E-Commerce")</f>
        <v>Customer Service E-Commerce</v>
      </c>
      <c r="AA3542" s="23" t="str">
        <f aca="false">IF(C3542="","", CHOOSE(MONTH(C3542),"January","February","March","April","May","June","July","August","September","October","November","December")&amp;" "&amp;DAY(C3542)&amp;MID("thstndrdth",MIN(9,2*RIGHT(DAY(C3542))*(MOD(DAY(C3542)-11,100)&gt;2)+1),2)&amp;","&amp;TEXT(C3542," yyyy"))</f>
        <v>April 21st,2026</v>
      </c>
      <c r="AB3542" s="15" t="str">
        <f aca="true">IF(S3542="","",DATEDIF(S3542,TODAY(),"Y")&amp;" Tahun, "&amp;DATEDIF(S3542,TODAY(),"YM")&amp;" Bulan, "&amp;DATEDIF(S3542,TODAY(),"MD")&amp;" Hari")</f>
        <v>23 Tahun, 6 Bulan, 17 Hari</v>
      </c>
      <c r="AC3542" s="53" t="n">
        <v>46133</v>
      </c>
      <c r="AD3542" s="18" t="n">
        <f aca="false">EDATE(AC3542,3)-1</f>
        <v>46223</v>
      </c>
      <c r="AE3542" s="13" t="s">
        <v>397</v>
      </c>
    </row>
    <row r="3543" customFormat="false" ht="15" hidden="false" customHeight="true" outlineLevel="0" collapsed="false">
      <c r="A3543" s="12" t="n">
        <v>22161</v>
      </c>
      <c r="B3543" s="13" t="s">
        <v>14451</v>
      </c>
      <c r="C3543" s="16" t="n">
        <v>46132</v>
      </c>
      <c r="D3543" s="13" t="s">
        <v>8864</v>
      </c>
      <c r="E3543" s="15" t="s">
        <v>47</v>
      </c>
      <c r="F3543" s="15" t="str">
        <f aca="false">IFERROR(__xludf.dummyfunction("XLOOKUP(AJ3543,IMPORTRANGE(""1XaInW9DU9nz21V0tYIfzFQ0He9kVQ_JF2mCXgZ3hqFA"",""REKAP ALL 2026 - Andika!G:G""),IMPORTRANGE(""1XaInW9DU9nz21V0tYIfzFQ0He9kVQ_JF2mCXgZ3hqFA"",""REKAP ALL 2026 - Andika!F:F""),"""",0)"),"26062983353")</f>
        <v>26062983353</v>
      </c>
      <c r="G3543" s="13" t="s">
        <v>57</v>
      </c>
      <c r="H3543" s="13" t="s">
        <v>35</v>
      </c>
      <c r="I3543" s="13" t="str">
        <f aca="false">IF(C3543=J3543,"NEW KONTRAK","RE-KONTRAK")</f>
        <v>NEW KONTRAK</v>
      </c>
      <c r="J3543" s="16" t="n">
        <f aca="false" t="array" ref="J3543:J3543">IFERROR(INDEX(AC3543:AE3543,IF(COUNTA(AC3543:AE3543)=0,"",MAX((AC3543:AE3543&lt;&gt;"")*(COLUMN(AC3543:AE3543)-(COLUMN(AC3543)))))-1),"")</f>
        <v>46132</v>
      </c>
      <c r="K3543" s="16" t="n">
        <f aca="false" t="array" ref="K3543:K3543">IFERROR(INDEX(AC3543:AE3543,IF(COUNTA(AC3543:AE3543)=0,"",MAX((AC3543:AE3543&lt;&gt;"")*(COLUMN(AC3543:AE3543)-(COLUMN(AC3543)-1))))-1),"")</f>
        <v>46222</v>
      </c>
      <c r="L3543" s="17" t="str">
        <f aca="false" t="array" ref="L3543:L3543">IFERROR(INDEX(AC3543:AE3543,IF(COUNTA(AC3543:AE3543)=0,"",MAX((AC3543:AE3543&lt;&gt;"")*(COLUMN(AC3543:AE3543)-(COLUMN(AC3543)-2))))-1),"")</f>
        <v>KEMBALI</v>
      </c>
      <c r="M3543" s="13" t="n">
        <f aca="true">K3543-TODAY()</f>
        <v>-102</v>
      </c>
      <c r="N3543" s="18" t="s">
        <v>105</v>
      </c>
      <c r="O3543" s="13" t="s">
        <v>719</v>
      </c>
      <c r="P3543" s="19" t="n">
        <v>100000</v>
      </c>
      <c r="Q3543" s="20" t="s">
        <v>14452</v>
      </c>
      <c r="R3543" s="13" t="s">
        <v>39</v>
      </c>
      <c r="S3543" s="14" t="n">
        <v>35509</v>
      </c>
      <c r="T3543" s="28" t="s">
        <v>40</v>
      </c>
      <c r="U3543" s="13" t="s">
        <v>14453</v>
      </c>
      <c r="V3543" s="13" t="s">
        <v>42</v>
      </c>
      <c r="W3543" s="13" t="s">
        <v>54</v>
      </c>
      <c r="X3543" s="115" t="n">
        <v>83146978026</v>
      </c>
      <c r="Y3543" s="22" t="str">
        <f aca="false">O3543</f>
        <v>Cleaning Service</v>
      </c>
      <c r="Z3543" s="13" t="str">
        <f aca="false">IFERROR(__xludf.dummyfunction("if(BJ3543="""","""",GOOGLETRANSLATE(BJ3543,""auto"",""en""))"),"Cleaning Service")</f>
        <v>Cleaning Service</v>
      </c>
      <c r="AA3543" s="23" t="str">
        <f aca="false">IF(C3543="","", CHOOSE(MONTH(C3543),"January","February","March","April","May","June","July","August","September","October","November","December")&amp;" "&amp;DAY(C3543)&amp;MID("thstndrdth",MIN(9,2*RIGHT(DAY(C3543))*(MOD(DAY(C3543)-11,100)&gt;2)+1),2)&amp;","&amp;TEXT(C3543," yyyy"))</f>
        <v>April 20th,2026</v>
      </c>
      <c r="AB3543" s="15" t="str">
        <f aca="true">IF(S3543="","",DATEDIF(S3543,TODAY(),"Y")&amp;" Tahun, "&amp;DATEDIF(S3543,TODAY(),"YM")&amp;" Bulan, "&amp;DATEDIF(S3543,TODAY(),"MD")&amp;" Hari")</f>
        <v>29 Tahun, 7 Bulan, 9 Hari</v>
      </c>
      <c r="AC3543" s="53" t="n">
        <v>46132</v>
      </c>
      <c r="AD3543" s="18" t="n">
        <f aca="false">EDATE(AC3543,3)-1</f>
        <v>46222</v>
      </c>
      <c r="AE3543" s="13" t="s">
        <v>397</v>
      </c>
    </row>
    <row r="3544" customFormat="false" ht="15" hidden="false" customHeight="true" outlineLevel="0" collapsed="false">
      <c r="A3544" s="12" t="n">
        <v>22162</v>
      </c>
      <c r="B3544" s="13" t="s">
        <v>14454</v>
      </c>
      <c r="C3544" s="14" t="n">
        <v>46126</v>
      </c>
      <c r="D3544" s="13" t="s">
        <v>144</v>
      </c>
      <c r="E3544" s="15" t="s">
        <v>47</v>
      </c>
      <c r="F3544" s="15" t="str">
        <f aca="false">IFERROR(__xludf.dummyfunction("XLOOKUP(AJ3544,IMPORTRANGE(""1XaInW9DU9nz21V0tYIfzFQ0He9kVQ_JF2mCXgZ3hqFA"",""REKAP ALL 2026 - Andika!G:G""),IMPORTRANGE(""1XaInW9DU9nz21V0tYIfzFQ0He9kVQ_JF2mCXgZ3hqFA"",""REKAP ALL 2026 - Andika!F:F""),"""",0)"),"26062993311")</f>
        <v>26062993311</v>
      </c>
      <c r="G3544" s="13" t="s">
        <v>1127</v>
      </c>
      <c r="H3544" s="13" t="s">
        <v>35</v>
      </c>
      <c r="I3544" s="13" t="str">
        <f aca="false">IF(C3544=J3544,"NEW KONTRAK","RE-KONTRAK")</f>
        <v>NEW KONTRAK</v>
      </c>
      <c r="J3544" s="16" t="n">
        <f aca="false" t="array" ref="J3544:J3544">IFERROR(INDEX(AC3544:AE3544,IF(COUNTA(AC3544:AE3544)=0,"",MAX((AC3544:AE3544&lt;&gt;"")*(COLUMN(AC3544:AE3544)-(COLUMN(AC3544)))))-1),"")</f>
        <v>46126</v>
      </c>
      <c r="K3544" s="16" t="n">
        <f aca="false" t="array" ref="K3544:K3544">IFERROR(INDEX(AC3544:AE3544,IF(COUNTA(AC3544:AE3544)=0,"",MAX((AC3544:AE3544&lt;&gt;"")*(COLUMN(AC3544:AE3544)-(COLUMN(AC3544)-1))))-1),"")</f>
        <v>46216</v>
      </c>
      <c r="L3544" s="17" t="str">
        <f aca="false" t="array" ref="L3544:L3544">IFERROR(INDEX(AC3544:AE3544,IF(COUNTA(AC3544:AE3544)=0,"",MAX((AC3544:AE3544&lt;&gt;"")*(COLUMN(AC3544:AE3544)-(COLUMN(AC3544)-2))))-1),"")</f>
        <v>KEMBALI ONLINE</v>
      </c>
      <c r="M3544" s="13" t="n">
        <f aca="true">K3544-TODAY()</f>
        <v>-108</v>
      </c>
      <c r="N3544" s="18" t="s">
        <v>36</v>
      </c>
      <c r="O3544" s="13" t="s">
        <v>58</v>
      </c>
      <c r="P3544" s="19" t="n">
        <v>5195401</v>
      </c>
      <c r="Q3544" s="20" t="s">
        <v>14455</v>
      </c>
      <c r="R3544" s="13" t="s">
        <v>78</v>
      </c>
      <c r="S3544" s="14" t="n">
        <v>36873</v>
      </c>
      <c r="T3544" s="28" t="s">
        <v>40</v>
      </c>
      <c r="U3544" s="13" t="s">
        <v>14456</v>
      </c>
      <c r="V3544" s="13" t="s">
        <v>42</v>
      </c>
      <c r="W3544" s="13" t="s">
        <v>43</v>
      </c>
      <c r="X3544" s="30" t="n">
        <v>85390211586</v>
      </c>
      <c r="Y3544" s="22" t="str">
        <f aca="false">O3544</f>
        <v>Produksi</v>
      </c>
      <c r="Z3544" s="13" t="str">
        <f aca="false">IFERROR(__xludf.dummyfunction("if(BJ3544="""","""",GOOGLETRANSLATE(BJ3544,""auto"",""en""))"),"Production")</f>
        <v>Production</v>
      </c>
      <c r="AA3544" s="23" t="str">
        <f aca="false">IF(C3544="","", CHOOSE(MONTH(C3544),"January","February","March","April","May","June","July","August","September","October","November","December")&amp;" "&amp;DAY(C3544)&amp;MID("thstndrdth",MIN(9,2*RIGHT(DAY(C3544))*(MOD(DAY(C3544)-11,100)&gt;2)+1),2)&amp;","&amp;TEXT(C3544," yyyy"))</f>
        <v>April 14th,2026</v>
      </c>
      <c r="AB3544" s="15" t="str">
        <f aca="true">IF(S3544="","",DATEDIF(S3544,TODAY(),"Y")&amp;" Tahun, "&amp;DATEDIF(S3544,TODAY(),"YM")&amp;" Bulan, "&amp;DATEDIF(S3544,TODAY(),"MD")&amp;" Hari")</f>
        <v>25 Tahun, 10 Bulan, 16 Hari</v>
      </c>
      <c r="AC3544" s="53" t="n">
        <v>46126</v>
      </c>
      <c r="AD3544" s="18" t="n">
        <v>46216</v>
      </c>
      <c r="AE3544" s="13" t="s">
        <v>2387</v>
      </c>
    </row>
    <row r="3545" customFormat="false" ht="15" hidden="false" customHeight="true" outlineLevel="0" collapsed="false">
      <c r="A3545" s="12" t="n">
        <v>22163</v>
      </c>
      <c r="B3545" s="13" t="s">
        <v>14457</v>
      </c>
      <c r="C3545" s="14" t="n">
        <v>46126</v>
      </c>
      <c r="D3545" s="13" t="s">
        <v>144</v>
      </c>
      <c r="E3545" s="15" t="s">
        <v>47</v>
      </c>
      <c r="F3545" s="15" t="str">
        <f aca="false">IFERROR(__xludf.dummyfunction("XLOOKUP(AJ3545,IMPORTRANGE(""1XaInW9DU9nz21V0tYIfzFQ0He9kVQ_JF2mCXgZ3hqFA"",""REKAP ALL 2026 - Andika!G:G""),IMPORTRANGE(""1XaInW9DU9nz21V0tYIfzFQ0He9kVQ_JF2mCXgZ3hqFA"",""REKAP ALL 2026 - Andika!F:F""),"""",0)"),"26062993386")</f>
        <v>26062993386</v>
      </c>
      <c r="G3545" s="13" t="s">
        <v>1127</v>
      </c>
      <c r="H3545" s="13" t="s">
        <v>35</v>
      </c>
      <c r="I3545" s="13" t="str">
        <f aca="false">IF(C3545=J3545,"NEW KONTRAK","RE-KONTRAK")</f>
        <v>NEW KONTRAK</v>
      </c>
      <c r="J3545" s="16" t="n">
        <f aca="false" t="array" ref="J3545:J3545">IFERROR(INDEX(AC3545:AE3545,IF(COUNTA(AC3545:AE3545)=0,"",MAX((AC3545:AE3545&lt;&gt;"")*(COLUMN(AC3545:AE3545)-(COLUMN(AC3545)))))-1),"")</f>
        <v>46126</v>
      </c>
      <c r="K3545" s="16" t="n">
        <f aca="false" t="array" ref="K3545:K3545">IFERROR(INDEX(AC3545:AE3545,IF(COUNTA(AC3545:AE3545)=0,"",MAX((AC3545:AE3545&lt;&gt;"")*(COLUMN(AC3545:AE3545)-(COLUMN(AC3545)-1))))-1),"")</f>
        <v>46216</v>
      </c>
      <c r="L3545" s="17" t="str">
        <f aca="false" t="array" ref="L3545:L3545">IFERROR(INDEX(AC3545:AE3545,IF(COUNTA(AC3545:AE3545)=0,"",MAX((AC3545:AE3545&lt;&gt;"")*(COLUMN(AC3545:AE3545)-(COLUMN(AC3545)-2))))-1),"")</f>
        <v>ARCHIVED</v>
      </c>
      <c r="M3545" s="13" t="n">
        <f aca="true">K3545-TODAY()</f>
        <v>-108</v>
      </c>
      <c r="N3545" s="18" t="s">
        <v>36</v>
      </c>
      <c r="O3545" s="13" t="s">
        <v>10648</v>
      </c>
      <c r="P3545" s="19" t="n">
        <v>5195401</v>
      </c>
      <c r="Q3545" s="20" t="s">
        <v>14458</v>
      </c>
      <c r="R3545" s="13" t="s">
        <v>14459</v>
      </c>
      <c r="S3545" s="14" t="n">
        <v>34292</v>
      </c>
      <c r="T3545" s="13" t="s">
        <v>108</v>
      </c>
      <c r="U3545" s="13" t="s">
        <v>14460</v>
      </c>
      <c r="V3545" s="13" t="s">
        <v>42</v>
      </c>
      <c r="W3545" s="13" t="s">
        <v>43</v>
      </c>
      <c r="X3545" s="30" t="n">
        <v>85280686879</v>
      </c>
      <c r="Y3545" s="22" t="str">
        <f aca="false">O3545</f>
        <v>Admin Sales</v>
      </c>
      <c r="Z3545" s="13" t="str">
        <f aca="false">IFERROR(__xludf.dummyfunction("if(BJ3545="""","""",GOOGLETRANSLATE(BJ3545,""auto"",""en""))"),"Admin Sales")</f>
        <v>Admin Sales</v>
      </c>
      <c r="AA3545" s="23" t="str">
        <f aca="false">IF(C3545="","", CHOOSE(MONTH(C3545),"January","February","March","April","May","June","July","August","September","October","November","December")&amp;" "&amp;DAY(C3545)&amp;MID("thstndrdth",MIN(9,2*RIGHT(DAY(C3545))*(MOD(DAY(C3545)-11,100)&gt;2)+1),2)&amp;","&amp;TEXT(C3545," yyyy"))</f>
        <v>April 14th,2026</v>
      </c>
      <c r="AB3545" s="15" t="str">
        <f aca="true">IF(S3545="","",DATEDIF(S3545,TODAY(),"Y")&amp;" Tahun, "&amp;DATEDIF(S3545,TODAY(),"YM")&amp;" Bulan, "&amp;DATEDIF(S3545,TODAY(),"MD")&amp;" Hari")</f>
        <v>32 Tahun, 11 Bulan, 10 Hari</v>
      </c>
      <c r="AC3545" s="53" t="n">
        <v>46126</v>
      </c>
      <c r="AD3545" s="18" t="n">
        <v>46216</v>
      </c>
      <c r="AE3545" s="18" t="s">
        <v>44</v>
      </c>
    </row>
    <row r="3546" customFormat="false" ht="15" hidden="false" customHeight="true" outlineLevel="0" collapsed="false">
      <c r="A3546" s="12" t="n">
        <v>22164</v>
      </c>
      <c r="B3546" s="13" t="s">
        <v>14461</v>
      </c>
      <c r="C3546" s="14" t="n">
        <v>46126</v>
      </c>
      <c r="D3546" s="13" t="s">
        <v>144</v>
      </c>
      <c r="E3546" s="15" t="s">
        <v>47</v>
      </c>
      <c r="F3546" s="15" t="str">
        <f aca="false">IFERROR(__xludf.dummyfunction("XLOOKUP(AJ3546,IMPORTRANGE(""1XaInW9DU9nz21V0tYIfzFQ0He9kVQ_JF2mCXgZ3hqFA"",""REKAP ALL 2026 - Andika!G:G""),IMPORTRANGE(""1XaInW9DU9nz21V0tYIfzFQ0He9kVQ_JF2mCXgZ3hqFA"",""REKAP ALL 2026 - Andika!F:F""),"""",0)"),"26062993006")</f>
        <v>26062993006</v>
      </c>
      <c r="G3546" s="13" t="s">
        <v>1127</v>
      </c>
      <c r="H3546" s="13" t="s">
        <v>35</v>
      </c>
      <c r="I3546" s="13" t="str">
        <f aca="false">IF(C3546=J3546,"NEW KONTRAK","RE-KONTRAK")</f>
        <v>NEW KONTRAK</v>
      </c>
      <c r="J3546" s="16" t="n">
        <f aca="false" t="array" ref="J3546:J3546">IFERROR(INDEX(AC3546:AE3546,IF(COUNTA(AC3546:AE3546)=0,"",MAX((AC3546:AE3546&lt;&gt;"")*(COLUMN(AC3546:AE3546)-(COLUMN(AC3546)))))-1),"")</f>
        <v>46126</v>
      </c>
      <c r="K3546" s="16" t="n">
        <f aca="false" t="array" ref="K3546:K3546">IFERROR(INDEX(AC3546:AE3546,IF(COUNTA(AC3546:AE3546)=0,"",MAX((AC3546:AE3546&lt;&gt;"")*(COLUMN(AC3546:AE3546)-(COLUMN(AC3546)-1))))-1),"")</f>
        <v>46216</v>
      </c>
      <c r="L3546" s="17" t="str">
        <f aca="false" t="array" ref="L3546:L3546">IFERROR(INDEX(AC3546:AE3546,IF(COUNTA(AC3546:AE3546)=0,"",MAX((AC3546:AE3546&lt;&gt;"")*(COLUMN(AC3546:AE3546)-(COLUMN(AC3546)-2))))-1),"")</f>
        <v>ARCHIVED</v>
      </c>
      <c r="M3546" s="13" t="n">
        <f aca="true">K3546-TODAY()</f>
        <v>-108</v>
      </c>
      <c r="N3546" s="18" t="s">
        <v>36</v>
      </c>
      <c r="O3546" s="13" t="s">
        <v>10497</v>
      </c>
      <c r="P3546" s="19" t="n">
        <v>5195401</v>
      </c>
      <c r="Q3546" s="20" t="s">
        <v>14462</v>
      </c>
      <c r="R3546" s="13" t="s">
        <v>232</v>
      </c>
      <c r="S3546" s="14" t="n">
        <v>37502</v>
      </c>
      <c r="T3546" s="13" t="s">
        <v>108</v>
      </c>
      <c r="U3546" s="13" t="s">
        <v>14463</v>
      </c>
      <c r="V3546" s="13" t="s">
        <v>42</v>
      </c>
      <c r="W3546" s="13" t="s">
        <v>43</v>
      </c>
      <c r="X3546" s="30" t="n">
        <v>85274160898</v>
      </c>
      <c r="Y3546" s="22" t="str">
        <f aca="false">O3546</f>
        <v>Finance</v>
      </c>
      <c r="Z3546" s="13" t="str">
        <f aca="false">IFERROR(__xludf.dummyfunction("if(BJ3546="""","""",GOOGLETRANSLATE(BJ3546,""auto"",""en""))"),"Finance")</f>
        <v>Finance</v>
      </c>
      <c r="AA3546" s="23" t="str">
        <f aca="false">IF(C3546="","", CHOOSE(MONTH(C3546),"January","February","March","April","May","June","July","August","September","October","November","December")&amp;" "&amp;DAY(C3546)&amp;MID("thstndrdth",MIN(9,2*RIGHT(DAY(C3546))*(MOD(DAY(C3546)-11,100)&gt;2)+1),2)&amp;","&amp;TEXT(C3546," yyyy"))</f>
        <v>April 14th,2026</v>
      </c>
      <c r="AB3546" s="15" t="str">
        <f aca="true">IF(S3546="","",DATEDIF(S3546,TODAY(),"Y")&amp;" Tahun, "&amp;DATEDIF(S3546,TODAY(),"YM")&amp;" Bulan, "&amp;DATEDIF(S3546,TODAY(),"MD")&amp;" Hari")</f>
        <v>24 Tahun, 1 Bulan, 26 Hari</v>
      </c>
      <c r="AC3546" s="53" t="n">
        <v>46126</v>
      </c>
      <c r="AD3546" s="18" t="n">
        <v>46216</v>
      </c>
      <c r="AE3546" s="18" t="s">
        <v>44</v>
      </c>
    </row>
    <row r="3547" customFormat="false" ht="15" hidden="false" customHeight="true" outlineLevel="0" collapsed="false">
      <c r="A3547" s="12" t="n">
        <v>22165</v>
      </c>
      <c r="B3547" s="13" t="s">
        <v>14464</v>
      </c>
      <c r="C3547" s="14" t="n">
        <v>46126</v>
      </c>
      <c r="D3547" s="13" t="s">
        <v>144</v>
      </c>
      <c r="E3547" s="15" t="s">
        <v>47</v>
      </c>
      <c r="F3547" s="15" t="str">
        <f aca="false">IFERROR(__xludf.dummyfunction("XLOOKUP(AJ3547,IMPORTRANGE(""1XaInW9DU9nz21V0tYIfzFQ0He9kVQ_JF2mCXgZ3hqFA"",""REKAP ALL 2026 - Andika!G:G""),IMPORTRANGE(""1XaInW9DU9nz21V0tYIfzFQ0He9kVQ_JF2mCXgZ3hqFA"",""REKAP ALL 2026 - Andika!F:F""),"""",0)"),"26062993428")</f>
        <v>26062993428</v>
      </c>
      <c r="G3547" s="13" t="s">
        <v>1127</v>
      </c>
      <c r="H3547" s="13" t="s">
        <v>35</v>
      </c>
      <c r="I3547" s="13" t="str">
        <f aca="false">IF(C3547=J3547,"NEW KONTRAK","RE-KONTRAK")</f>
        <v>NEW KONTRAK</v>
      </c>
      <c r="J3547" s="16" t="n">
        <f aca="false" t="array" ref="J3547:J3547">IFERROR(INDEX(AC3547:AE3547,IF(COUNTA(AC3547:AE3547)=0,"",MAX((AC3547:AE3547&lt;&gt;"")*(COLUMN(AC3547:AE3547)-(COLUMN(AC3547)))))-1),"")</f>
        <v>46126</v>
      </c>
      <c r="K3547" s="16" t="n">
        <f aca="false" t="array" ref="K3547:K3547">IFERROR(INDEX(AC3547:AE3547,IF(COUNTA(AC3547:AE3547)=0,"",MAX((AC3547:AE3547&lt;&gt;"")*(COLUMN(AC3547:AE3547)-(COLUMN(AC3547)-1))))-1),"")</f>
        <v>46216</v>
      </c>
      <c r="L3547" s="17" t="str">
        <f aca="false" t="array" ref="L3547:L3547">IFERROR(INDEX(AC3547:AE3547,IF(COUNTA(AC3547:AE3547)=0,"",MAX((AC3547:AE3547&lt;&gt;"")*(COLUMN(AC3547:AE3547)-(COLUMN(AC3547)-2))))-1),"")</f>
        <v>KEMBALI ONLINE</v>
      </c>
      <c r="M3547" s="13" t="n">
        <f aca="true">K3547-TODAY()</f>
        <v>-108</v>
      </c>
      <c r="N3547" s="18" t="s">
        <v>36</v>
      </c>
      <c r="O3547" s="13" t="s">
        <v>58</v>
      </c>
      <c r="P3547" s="19" t="n">
        <v>5195401</v>
      </c>
      <c r="Q3547" s="20" t="s">
        <v>14465</v>
      </c>
      <c r="R3547" s="13" t="s">
        <v>65</v>
      </c>
      <c r="S3547" s="14" t="n">
        <v>34916</v>
      </c>
      <c r="T3547" s="28" t="s">
        <v>40</v>
      </c>
      <c r="U3547" s="13" t="s">
        <v>14466</v>
      </c>
      <c r="V3547" s="13" t="s">
        <v>42</v>
      </c>
      <c r="W3547" s="13" t="s">
        <v>43</v>
      </c>
      <c r="X3547" s="30" t="n">
        <v>82217223320</v>
      </c>
      <c r="Y3547" s="22" t="str">
        <f aca="false">O3547</f>
        <v>Produksi</v>
      </c>
      <c r="Z3547" s="13" t="str">
        <f aca="false">IFERROR(__xludf.dummyfunction("if(BJ3547="""","""",GOOGLETRANSLATE(BJ3547,""auto"",""en""))"),"Production")</f>
        <v>Production</v>
      </c>
      <c r="AA3547" s="23" t="str">
        <f aca="false">IF(C3547="","", CHOOSE(MONTH(C3547),"January","February","March","April","May","June","July","August","September","October","November","December")&amp;" "&amp;DAY(C3547)&amp;MID("thstndrdth",MIN(9,2*RIGHT(DAY(C3547))*(MOD(DAY(C3547)-11,100)&gt;2)+1),2)&amp;","&amp;TEXT(C3547," yyyy"))</f>
        <v>April 14th,2026</v>
      </c>
      <c r="AB3547" s="15" t="str">
        <f aca="true">IF(S3547="","",DATEDIF(S3547,TODAY(),"Y")&amp;" Tahun, "&amp;DATEDIF(S3547,TODAY(),"YM")&amp;" Bulan, "&amp;DATEDIF(S3547,TODAY(),"MD")&amp;" Hari")</f>
        <v>31 Tahun, 2 Bulan, 24 Hari</v>
      </c>
      <c r="AC3547" s="53" t="n">
        <v>46126</v>
      </c>
      <c r="AD3547" s="18" t="n">
        <v>46216</v>
      </c>
      <c r="AE3547" s="13" t="s">
        <v>2387</v>
      </c>
    </row>
    <row r="3548" customFormat="false" ht="15" hidden="false" customHeight="true" outlineLevel="0" collapsed="false">
      <c r="A3548" s="12" t="n">
        <v>22166</v>
      </c>
      <c r="B3548" s="13" t="s">
        <v>14467</v>
      </c>
      <c r="C3548" s="14" t="n">
        <v>46126</v>
      </c>
      <c r="D3548" s="13" t="s">
        <v>144</v>
      </c>
      <c r="E3548" s="15" t="s">
        <v>47</v>
      </c>
      <c r="F3548" s="15" t="str">
        <f aca="false">IFERROR(__xludf.dummyfunction("XLOOKUP(AJ3548,IMPORTRANGE(""1XaInW9DU9nz21V0tYIfzFQ0He9kVQ_JF2mCXgZ3hqFA"",""REKAP ALL 2026 - Andika!G:G""),IMPORTRANGE(""1XaInW9DU9nz21V0tYIfzFQ0He9kVQ_JF2mCXgZ3hqFA"",""REKAP ALL 2026 - Andika!F:F""),"""",0)"),"26062993410")</f>
        <v>26062993410</v>
      </c>
      <c r="G3548" s="13" t="s">
        <v>1127</v>
      </c>
      <c r="H3548" s="13" t="s">
        <v>35</v>
      </c>
      <c r="I3548" s="13" t="str">
        <f aca="false">IF(C3548=J3548,"NEW KONTRAK","RE-KONTRAK")</f>
        <v>NEW KONTRAK</v>
      </c>
      <c r="J3548" s="16" t="n">
        <f aca="false" t="array" ref="J3548:J3548">IFERROR(INDEX(AC3548:AE3548,IF(COUNTA(AC3548:AE3548)=0,"",MAX((AC3548:AE3548&lt;&gt;"")*(COLUMN(AC3548:AE3548)-(COLUMN(AC3548)))))-1),"")</f>
        <v>46126</v>
      </c>
      <c r="K3548" s="16" t="n">
        <f aca="false" t="array" ref="K3548:K3548">IFERROR(INDEX(AC3548:AE3548,IF(COUNTA(AC3548:AE3548)=0,"",MAX((AC3548:AE3548&lt;&gt;"")*(COLUMN(AC3548:AE3548)-(COLUMN(AC3548)-1))))-1),"")</f>
        <v>46216</v>
      </c>
      <c r="L3548" s="17" t="str">
        <f aca="false" t="array" ref="L3548:L3548">IFERROR(INDEX(AC3548:AE3548,IF(COUNTA(AC3548:AE3548)=0,"",MAX((AC3548:AE3548&lt;&gt;"")*(COLUMN(AC3548:AE3548)-(COLUMN(AC3548)-2))))-1),"")</f>
        <v>KEMBALI ONLINE</v>
      </c>
      <c r="M3548" s="13" t="n">
        <f aca="true">K3548-TODAY()</f>
        <v>-108</v>
      </c>
      <c r="N3548" s="18" t="s">
        <v>36</v>
      </c>
      <c r="O3548" s="13" t="s">
        <v>58</v>
      </c>
      <c r="P3548" s="19" t="n">
        <v>5195401</v>
      </c>
      <c r="Q3548" s="20" t="s">
        <v>14468</v>
      </c>
      <c r="R3548" s="13" t="s">
        <v>65</v>
      </c>
      <c r="S3548" s="14" t="n">
        <v>38269</v>
      </c>
      <c r="T3548" s="28" t="s">
        <v>40</v>
      </c>
      <c r="U3548" s="13" t="s">
        <v>14469</v>
      </c>
      <c r="V3548" s="13" t="s">
        <v>42</v>
      </c>
      <c r="W3548" s="13" t="s">
        <v>43</v>
      </c>
      <c r="X3548" s="30" t="n">
        <v>89616329451</v>
      </c>
      <c r="Y3548" s="22" t="str">
        <f aca="false">O3548</f>
        <v>Produksi</v>
      </c>
      <c r="Z3548" s="13" t="str">
        <f aca="false">IFERROR(__xludf.dummyfunction("if(BJ3548="""","""",GOOGLETRANSLATE(BJ3548,""auto"",""en""))"),"Production")</f>
        <v>Production</v>
      </c>
      <c r="AA3548" s="23" t="str">
        <f aca="false">IF(C3548="","", CHOOSE(MONTH(C3548),"January","February","March","April","May","June","July","August","September","October","November","December")&amp;" "&amp;DAY(C3548)&amp;MID("thstndrdth",MIN(9,2*RIGHT(DAY(C3548))*(MOD(DAY(C3548)-11,100)&gt;2)+1),2)&amp;","&amp;TEXT(C3548," yyyy"))</f>
        <v>April 14th,2026</v>
      </c>
      <c r="AB3548" s="15" t="str">
        <f aca="true">IF(S3548="","",DATEDIF(S3548,TODAY(),"Y")&amp;" Tahun, "&amp;DATEDIF(S3548,TODAY(),"YM")&amp;" Bulan, "&amp;DATEDIF(S3548,TODAY(),"MD")&amp;" Hari")</f>
        <v>22 Tahun, 0 Bulan, 20 Hari</v>
      </c>
      <c r="AC3548" s="53" t="n">
        <v>46126</v>
      </c>
      <c r="AD3548" s="18" t="n">
        <v>46216</v>
      </c>
      <c r="AE3548" s="13" t="s">
        <v>2387</v>
      </c>
    </row>
    <row r="3549" customFormat="false" ht="15" hidden="false" customHeight="true" outlineLevel="0" collapsed="false">
      <c r="A3549" s="12" t="n">
        <v>22167</v>
      </c>
      <c r="B3549" s="13" t="s">
        <v>14470</v>
      </c>
      <c r="C3549" s="14" t="n">
        <v>46133</v>
      </c>
      <c r="D3549" s="13" t="s">
        <v>6487</v>
      </c>
      <c r="E3549" s="15" t="s">
        <v>47</v>
      </c>
      <c r="F3549" s="15" t="str">
        <f aca="false">IFERROR(__xludf.dummyfunction("XLOOKUP(AJ3549,IMPORTRANGE(""1XaInW9DU9nz21V0tYIfzFQ0He9kVQ_JF2mCXgZ3hqFA"",""REKAP ALL 2026 - Andika!G:G""),IMPORTRANGE(""1XaInW9DU9nz21V0tYIfzFQ0He9kVQ_JF2mCXgZ3hqFA"",""REKAP ALL 2026 - Andika!F:F""),"""",0)"),"26062998393")</f>
        <v>26062998393</v>
      </c>
      <c r="G3549" s="24" t="s">
        <v>57</v>
      </c>
      <c r="H3549" s="13" t="s">
        <v>35</v>
      </c>
      <c r="I3549" s="13" t="str">
        <f aca="false">IF(C3549=J3549,"NEW KONTRAK","RE-KONTRAK")</f>
        <v>NEW KONTRAK</v>
      </c>
      <c r="J3549" s="16" t="n">
        <f aca="false" t="array" ref="J3549:J3549">IFERROR(INDEX(AC3549:AE3549,IF(COUNTA(AC3549:AE3549)=0,"",MAX((AC3549:AE3549&lt;&gt;"")*(COLUMN(AC3549:AE3549)-(COLUMN(AC3549)))))-1),"")</f>
        <v>46133</v>
      </c>
      <c r="K3549" s="16" t="n">
        <f aca="false" t="array" ref="K3549:K3549">IFERROR(INDEX(AC3549:AE3549,IF(COUNTA(AC3549:AE3549)=0,"",MAX((AC3549:AE3549&lt;&gt;"")*(COLUMN(AC3549:AE3549)-(COLUMN(AC3549)-1))))-1),"")</f>
        <v>46387</v>
      </c>
      <c r="L3549" s="17" t="str">
        <f aca="false" t="array" ref="L3549:L3549">IFERROR(INDEX(AC3549:AE3549,IF(COUNTA(AC3549:AE3549)=0,"",MAX((AC3549:AE3549&lt;&gt;"")*(COLUMN(AC3549:AE3549)-(COLUMN(AC3549)-2))))-1),"")</f>
        <v>KEMBALI</v>
      </c>
      <c r="M3549" s="13" t="n">
        <f aca="true">K3549-TODAY()</f>
        <v>63</v>
      </c>
      <c r="N3549" s="18" t="s">
        <v>4735</v>
      </c>
      <c r="O3549" s="13" t="s">
        <v>11196</v>
      </c>
      <c r="P3549" s="19" t="n">
        <v>3802862</v>
      </c>
      <c r="Q3549" s="20" t="s">
        <v>14471</v>
      </c>
      <c r="R3549" s="13" t="s">
        <v>83</v>
      </c>
      <c r="S3549" s="14" t="n">
        <v>36464</v>
      </c>
      <c r="T3549" s="28" t="s">
        <v>40</v>
      </c>
      <c r="U3549" s="13" t="s">
        <v>14472</v>
      </c>
      <c r="V3549" s="13" t="s">
        <v>42</v>
      </c>
      <c r="W3549" s="13" t="s">
        <v>43</v>
      </c>
      <c r="X3549" s="30" t="n">
        <v>81368685487</v>
      </c>
      <c r="Y3549" s="22" t="str">
        <f aca="false">O3549</f>
        <v>Helper Gudang</v>
      </c>
      <c r="Z3549" s="13" t="str">
        <f aca="false">IFERROR(__xludf.dummyfunction("if(BJ3549="""","""",GOOGLETRANSLATE(BJ3549,""auto"",""en""))"),"Helper Gudang")</f>
        <v>Helper Gudang</v>
      </c>
      <c r="AA3549" s="23" t="str">
        <f aca="false">IF(C3549="","", CHOOSE(MONTH(C3549),"January","February","March","April","May","June","July","August","September","October","November","December")&amp;" "&amp;DAY(C3549)&amp;MID("thstndrdth",MIN(9,2*RIGHT(DAY(C3549))*(MOD(DAY(C3549)-11,100)&gt;2)+1),2)&amp;","&amp;TEXT(C3549," yyyy"))</f>
        <v>April 21st,2026</v>
      </c>
      <c r="AB3549" s="15" t="str">
        <f aca="true">IF(S3549="","",DATEDIF(S3549,TODAY(),"Y")&amp;" Tahun, "&amp;DATEDIF(S3549,TODAY(),"YM")&amp;" Bulan, "&amp;DATEDIF(S3549,TODAY(),"MD")&amp;" Hari")</f>
        <v>26 Tahun, 11 Bulan, 28 Hari</v>
      </c>
      <c r="AC3549" s="53" t="n">
        <v>46133</v>
      </c>
      <c r="AD3549" s="18" t="n">
        <v>46387</v>
      </c>
      <c r="AE3549" s="13" t="s">
        <v>397</v>
      </c>
    </row>
    <row r="3550" customFormat="false" ht="15" hidden="false" customHeight="true" outlineLevel="0" collapsed="false">
      <c r="A3550" s="12" t="n">
        <v>22168</v>
      </c>
      <c r="B3550" s="13" t="s">
        <v>14473</v>
      </c>
      <c r="C3550" s="14" t="n">
        <v>46132</v>
      </c>
      <c r="D3550" s="13" t="s">
        <v>7948</v>
      </c>
      <c r="E3550" s="15" t="s">
        <v>7949</v>
      </c>
      <c r="F3550" s="15" t="str">
        <f aca="false">IFERROR(__xludf.dummyfunction("XLOOKUP(AJ3550,IMPORTRANGE(""1XaInW9DU9nz21V0tYIfzFQ0He9kVQ_JF2mCXgZ3hqFA"",""REKAP ALL 2026 - Andika!G:G""),IMPORTRANGE(""1XaInW9DU9nz21V0tYIfzFQ0He9kVQ_JF2mCXgZ3hqFA"",""REKAP ALL 2026 - Andika!F:F""),"""",0)"),"26062984229")</f>
        <v>26062984229</v>
      </c>
      <c r="G3550" s="13" t="s">
        <v>57</v>
      </c>
      <c r="H3550" s="13" t="s">
        <v>3024</v>
      </c>
      <c r="I3550" s="13" t="str">
        <f aca="false">IF(C3550=J3550,"NEW KONTRAK","RE-KONTRAK")</f>
        <v>NEW KONTRAK</v>
      </c>
      <c r="J3550" s="16" t="n">
        <f aca="false" t="array" ref="J3550:J3550">IFERROR(INDEX(AC3550:AE3550,IF(COUNTA(AC3550:AE3550)=0,"",MAX((AC3550:AE3550&lt;&gt;"")*(COLUMN(AC3550:AE3550)-(COLUMN(AC3550)))))-1),"")</f>
        <v>46132</v>
      </c>
      <c r="K3550" s="16" t="n">
        <f aca="false" t="array" ref="K3550:K3550">IFERROR(INDEX(AC3550:AE3550,IF(COUNTA(AC3550:AE3550)=0,"",MAX((AC3550:AE3550&lt;&gt;"")*(COLUMN(AC3550:AE3550)-(COLUMN(AC3550)-1))))-1),"")</f>
        <v>46222</v>
      </c>
      <c r="L3550" s="17" t="str">
        <f aca="false" t="array" ref="L3550:L3550">IFERROR(INDEX(AC3550:AE3550,IF(COUNTA(AC3550:AE3550)=0,"",MAX((AC3550:AE3550&lt;&gt;"")*(COLUMN(AC3550:AE3550)-(COLUMN(AC3550)-2))))-1),"")</f>
        <v>KEMBALI ONLINE</v>
      </c>
      <c r="M3550" s="13" t="n">
        <f aca="true">K3550-TODAY()</f>
        <v>-102</v>
      </c>
      <c r="N3550" s="18" t="s">
        <v>4051</v>
      </c>
      <c r="O3550" s="13" t="s">
        <v>7951</v>
      </c>
      <c r="P3550" s="19" t="n">
        <v>210000</v>
      </c>
      <c r="Q3550" s="20" t="s">
        <v>14474</v>
      </c>
      <c r="R3550" s="13" t="s">
        <v>232</v>
      </c>
      <c r="S3550" s="14" t="n">
        <v>31277</v>
      </c>
      <c r="T3550" s="28" t="s">
        <v>40</v>
      </c>
      <c r="U3550" s="13" t="s">
        <v>14475</v>
      </c>
      <c r="V3550" s="13" t="s">
        <v>42</v>
      </c>
      <c r="W3550" s="13" t="s">
        <v>54</v>
      </c>
      <c r="X3550" s="21" t="n">
        <v>81333613100</v>
      </c>
      <c r="Y3550" s="22" t="str">
        <f aca="false">O3550</f>
        <v>Mekanik Kiln</v>
      </c>
      <c r="Z3550" s="13" t="str">
        <f aca="false">IFERROR(__xludf.dummyfunction("if(BJ3550="""","""",GOOGLETRANSLATE(BJ3550,""auto"",""en""))"),"Kiln Mechanics")</f>
        <v>Kiln Mechanics</v>
      </c>
      <c r="AA3550" s="23" t="str">
        <f aca="false">IF(C3550="","", CHOOSE(MONTH(C3550),"January","February","March","April","May","June","July","August","September","October","November","December")&amp;" "&amp;DAY(C3550)&amp;MID("thstndrdth",MIN(9,2*RIGHT(DAY(C3550))*(MOD(DAY(C3550)-11,100)&gt;2)+1),2)&amp;","&amp;TEXT(C3550," yyyy"))</f>
        <v>April 20th,2026</v>
      </c>
      <c r="AB3550" s="15" t="str">
        <f aca="true">IF(S3550="","",DATEDIF(S3550,TODAY(),"Y")&amp;" Tahun, "&amp;DATEDIF(S3550,TODAY(),"YM")&amp;" Bulan, "&amp;DATEDIF(S3550,TODAY(),"MD")&amp;" Hari")</f>
        <v>41 Tahun, 2 Bulan, 11 Hari</v>
      </c>
      <c r="AC3550" s="14" t="n">
        <v>46132</v>
      </c>
      <c r="AD3550" s="18" t="n">
        <v>46222</v>
      </c>
      <c r="AE3550" s="13" t="s">
        <v>2387</v>
      </c>
    </row>
    <row r="3551" customFormat="false" ht="15" hidden="false" customHeight="true" outlineLevel="0" collapsed="false">
      <c r="A3551" s="12" t="n">
        <v>22169</v>
      </c>
      <c r="B3551" s="13" t="s">
        <v>14476</v>
      </c>
      <c r="C3551" s="14" t="n">
        <v>46133</v>
      </c>
      <c r="D3551" s="13" t="s">
        <v>5726</v>
      </c>
      <c r="E3551" s="15" t="s">
        <v>47</v>
      </c>
      <c r="F3551" s="15" t="str">
        <f aca="false">IFERROR(__xludf.dummyfunction("XLOOKUP(AJ3551,IMPORTRANGE(""1XaInW9DU9nz21V0tYIfzFQ0He9kVQ_JF2mCXgZ3hqFA"",""REKAP ALL 2026 - Andika!G:G""),IMPORTRANGE(""1XaInW9DU9nz21V0tYIfzFQ0He9kVQ_JF2mCXgZ3hqFA"",""REKAP ALL 2026 - Andika!F:F""),"""",0)"),"26062980367")</f>
        <v>26062980367</v>
      </c>
      <c r="G3551" s="15" t="s">
        <v>14477</v>
      </c>
      <c r="H3551" s="13" t="s">
        <v>35</v>
      </c>
      <c r="I3551" s="13" t="str">
        <f aca="false">IF(C3551=J3551,"NEW KONTRAK","RE-KONTRAK")</f>
        <v>NEW KONTRAK</v>
      </c>
      <c r="J3551" s="16" t="n">
        <f aca="false" t="array" ref="J3551:J3551">IFERROR(INDEX(AC3551:AE3551,IF(COUNTA(AC3551:AE3551)=0,"",MAX((AC3551:AE3551&lt;&gt;"")*(COLUMN(AC3551:AE3551)-(COLUMN(AC3551)))))-1),"")</f>
        <v>46133</v>
      </c>
      <c r="K3551" s="16" t="n">
        <f aca="false" t="array" ref="K3551:K3551">IFERROR(INDEX(AC3551:AE3551,IF(COUNTA(AC3551:AE3551)=0,"",MAX((AC3551:AE3551&lt;&gt;"")*(COLUMN(AC3551:AE3551)-(COLUMN(AC3551)-1))))-1),"")</f>
        <v>46223</v>
      </c>
      <c r="L3551" s="17" t="str">
        <f aca="false" t="array" ref="L3551:L3551">IFERROR(INDEX(AC3551:AE3551,IF(COUNTA(AC3551:AE3551)=0,"",MAX((AC3551:AE3551&lt;&gt;"")*(COLUMN(AC3551:AE3551)-(COLUMN(AC3551)-2))))-1),"")</f>
        <v>KEMBALI ONLINE</v>
      </c>
      <c r="M3551" s="13" t="n">
        <f aca="true">K3551-TODAY()</f>
        <v>-101</v>
      </c>
      <c r="N3551" s="18" t="s">
        <v>615</v>
      </c>
      <c r="O3551" s="13" t="s">
        <v>8192</v>
      </c>
      <c r="P3551" s="19" t="n">
        <v>5176101</v>
      </c>
      <c r="Q3551" s="20" t="s">
        <v>14478</v>
      </c>
      <c r="R3551" s="13" t="s">
        <v>73</v>
      </c>
      <c r="S3551" s="14" t="n">
        <v>35025</v>
      </c>
      <c r="T3551" s="13" t="s">
        <v>108</v>
      </c>
      <c r="U3551" s="13" t="s">
        <v>14479</v>
      </c>
      <c r="V3551" s="13" t="s">
        <v>42</v>
      </c>
      <c r="W3551" s="13" t="s">
        <v>54</v>
      </c>
      <c r="X3551" s="30" t="n">
        <v>81199861622</v>
      </c>
      <c r="Y3551" s="22" t="str">
        <f aca="false">O3551</f>
        <v>Admin Produksi</v>
      </c>
      <c r="Z3551" s="13" t="str">
        <f aca="false">IFERROR(__xludf.dummyfunction("if(BJ3551="""","""",GOOGLETRANSLATE(BJ3551,""auto"",""en""))"),"Production Admin")</f>
        <v>Production Admin</v>
      </c>
      <c r="AA3551" s="23" t="str">
        <f aca="false">IF(C3551="","", CHOOSE(MONTH(C3551),"January","February","March","April","May","June","July","August","September","October","November","December")&amp;" "&amp;DAY(C3551)&amp;MID("thstndrdth",MIN(9,2*RIGHT(DAY(C3551))*(MOD(DAY(C3551)-11,100)&gt;2)+1),2)&amp;","&amp;TEXT(C3551," yyyy"))</f>
        <v>April 21st,2026</v>
      </c>
      <c r="AB3551" s="15" t="str">
        <f aca="true">IF(S3551="","",DATEDIF(S3551,TODAY(),"Y")&amp;" Tahun, "&amp;DATEDIF(S3551,TODAY(),"YM")&amp;" Bulan, "&amp;DATEDIF(S3551,TODAY(),"MD")&amp;" Hari")</f>
        <v>30 Tahun, 11 Bulan, 7 Hari</v>
      </c>
      <c r="AC3551" s="14" t="n">
        <v>46133</v>
      </c>
      <c r="AD3551" s="18" t="n">
        <f aca="false">EDATE(AC3551,3)-1</f>
        <v>46223</v>
      </c>
      <c r="AE3551" s="13" t="s">
        <v>2387</v>
      </c>
    </row>
    <row r="3552" customFormat="false" ht="15" hidden="false" customHeight="true" outlineLevel="0" collapsed="false">
      <c r="A3552" s="12" t="n">
        <v>22170</v>
      </c>
      <c r="B3552" s="13" t="s">
        <v>14480</v>
      </c>
      <c r="C3552" s="14" t="n">
        <v>46119</v>
      </c>
      <c r="D3552" s="13" t="s">
        <v>11620</v>
      </c>
      <c r="E3552" s="15" t="s">
        <v>47</v>
      </c>
      <c r="F3552" s="15" t="str">
        <f aca="false">IFERROR(__xludf.dummyfunction("XLOOKUP(AJ3552,IMPORTRANGE(""1XaInW9DU9nz21V0tYIfzFQ0He9kVQ_JF2mCXgZ3hqFA"",""REKAP ALL 2026 - Andika!G:G""),IMPORTRANGE(""1XaInW9DU9nz21V0tYIfzFQ0He9kVQ_JF2mCXgZ3hqFA"",""REKAP ALL 2026 - Andika!F:F""),"""",0)"),"26062990069")</f>
        <v>26062990069</v>
      </c>
      <c r="G3552" s="13" t="s">
        <v>1127</v>
      </c>
      <c r="H3552" s="13" t="s">
        <v>35</v>
      </c>
      <c r="I3552" s="13" t="str">
        <f aca="false">IF(C3552=J3552,"NEW KONTRAK","RE-KONTRAK")</f>
        <v>NEW KONTRAK</v>
      </c>
      <c r="J3552" s="16" t="n">
        <f aca="false" t="array" ref="J3552:J3552">IFERROR(INDEX(AC3552:AE3552,IF(COUNTA(AC3552:AE3552)=0,"",MAX((AC3552:AE3552&lt;&gt;"")*(COLUMN(AC3552:AE3552)-(COLUMN(AC3552)))))-1),"")</f>
        <v>46119</v>
      </c>
      <c r="K3552" s="16" t="n">
        <f aca="false" t="array" ref="K3552:K3552">IFERROR(INDEX(AC3552:AE3552,IF(COUNTA(AC3552:AE3552)=0,"",MAX((AC3552:AE3552&lt;&gt;"")*(COLUMN(AC3552:AE3552)-(COLUMN(AC3552)-1))))-1),"")</f>
        <v>46301</v>
      </c>
      <c r="L3552" s="17" t="str">
        <f aca="false" t="array" ref="L3552:L3552">IFERROR(INDEX(AC3552:AE3552,IF(COUNTA(AC3552:AE3552)=0,"",MAX((AC3552:AE3552&lt;&gt;"")*(COLUMN(AC3552:AE3552)-(COLUMN(AC3552)-2))))-1),"")</f>
        <v>ARCHIVED</v>
      </c>
      <c r="M3552" s="13" t="n">
        <f aca="true">K3552-TODAY()</f>
        <v>-23</v>
      </c>
      <c r="N3552" s="18" t="s">
        <v>36</v>
      </c>
      <c r="O3552" s="13" t="s">
        <v>298</v>
      </c>
      <c r="P3552" s="19" t="n">
        <v>199823</v>
      </c>
      <c r="Q3552" s="20" t="s">
        <v>14481</v>
      </c>
      <c r="R3552" s="13" t="s">
        <v>65</v>
      </c>
      <c r="S3552" s="14" t="n">
        <v>36666</v>
      </c>
      <c r="T3552" s="28" t="s">
        <v>40</v>
      </c>
      <c r="U3552" s="13" t="s">
        <v>4402</v>
      </c>
      <c r="V3552" s="13" t="s">
        <v>42</v>
      </c>
      <c r="W3552" s="13" t="s">
        <v>54</v>
      </c>
      <c r="X3552" s="21" t="n">
        <v>895414097090</v>
      </c>
      <c r="Y3552" s="22" t="str">
        <f aca="false">O3552</f>
        <v>Maintenance</v>
      </c>
      <c r="Z3552" s="13" t="str">
        <f aca="false">IFERROR(__xludf.dummyfunction("if(BJ3552="""","""",GOOGLETRANSLATE(BJ3552,""auto"",""en""))"),"Maintenance")</f>
        <v>Maintenance</v>
      </c>
      <c r="AA3552" s="23" t="str">
        <f aca="false">IF(C3552="","", CHOOSE(MONTH(C3552),"January","February","March","April","May","June","July","August","September","October","November","December")&amp;" "&amp;DAY(C3552)&amp;MID("thstndrdth",MIN(9,2*RIGHT(DAY(C3552))*(MOD(DAY(C3552)-11,100)&gt;2)+1),2)&amp;","&amp;TEXT(C3552," yyyy"))</f>
        <v>April 7th,2026</v>
      </c>
      <c r="AB3552" s="15" t="str">
        <f aca="true">IF(S3552="","",DATEDIF(S3552,TODAY(),"Y")&amp;" Tahun, "&amp;DATEDIF(S3552,TODAY(),"YM")&amp;" Bulan, "&amp;DATEDIF(S3552,TODAY(),"MD")&amp;" Hari")</f>
        <v>26 Tahun, 5 Bulan, 9 Hari</v>
      </c>
      <c r="AC3552" s="14" t="n">
        <v>46119</v>
      </c>
      <c r="AD3552" s="18" t="n">
        <f aca="false">EDATE(AC3552,6)-1</f>
        <v>46301</v>
      </c>
      <c r="AE3552" s="13" t="s">
        <v>44</v>
      </c>
    </row>
    <row r="3553" customFormat="false" ht="15" hidden="false" customHeight="true" outlineLevel="0" collapsed="false">
      <c r="A3553" s="12" t="n">
        <v>22171</v>
      </c>
      <c r="B3553" s="13" t="s">
        <v>14482</v>
      </c>
      <c r="C3553" s="14" t="n">
        <v>46133</v>
      </c>
      <c r="D3553" s="13" t="s">
        <v>774</v>
      </c>
      <c r="E3553" s="15" t="s">
        <v>14483</v>
      </c>
      <c r="F3553" s="24" t="s">
        <v>14484</v>
      </c>
      <c r="G3553" s="13" t="s">
        <v>57</v>
      </c>
      <c r="H3553" s="13" t="s">
        <v>35</v>
      </c>
      <c r="I3553" s="13" t="str">
        <f aca="false">IF(C3553=J3553,"NEW KONTRAK","RE-KONTRAK")</f>
        <v>NEW KONTRAK</v>
      </c>
      <c r="J3553" s="16" t="n">
        <f aca="false" t="array" ref="J3553:J3553">IFERROR(INDEX(AC3553:AE3553,IF(COUNTA(AC3553:AE3553)=0,"",MAX((AC3553:AE3553&lt;&gt;"")*(COLUMN(AC3553:AE3553)-(COLUMN(AC3553)))))-1),"")</f>
        <v>46133</v>
      </c>
      <c r="K3553" s="16" t="n">
        <f aca="false" t="array" ref="K3553:K3553">IFERROR(INDEX(AC3553:AE3553,IF(COUNTA(AC3553:AE3553)=0,"",MAX((AC3553:AE3553&lt;&gt;"")*(COLUMN(AC3553:AE3553)-(COLUMN(AC3553)-1))))-1),"")</f>
        <v>46295</v>
      </c>
      <c r="L3553" s="17" t="str">
        <f aca="false" t="array" ref="L3553:L3553">IFERROR(INDEX(AC3553:AE3553,IF(COUNTA(AC3553:AE3553)=0,"",MAX((AC3553:AE3553&lt;&gt;"")*(COLUMN(AC3553:AE3553)-(COLUMN(AC3553)-2))))-1),"")</f>
        <v>ARCHIVED</v>
      </c>
      <c r="M3553" s="13" t="n">
        <f aca="true">K3553-TODAY()</f>
        <v>-29</v>
      </c>
      <c r="N3553" s="18" t="s">
        <v>36</v>
      </c>
      <c r="O3553" s="13" t="s">
        <v>14485</v>
      </c>
      <c r="P3553" s="19" t="n">
        <v>5195500</v>
      </c>
      <c r="Q3553" s="20" t="s">
        <v>14486</v>
      </c>
      <c r="R3553" s="13" t="s">
        <v>246</v>
      </c>
      <c r="S3553" s="14" t="n">
        <v>34354</v>
      </c>
      <c r="T3553" s="13" t="s">
        <v>108</v>
      </c>
      <c r="U3553" s="13" t="s">
        <v>14487</v>
      </c>
      <c r="V3553" s="13" t="s">
        <v>42</v>
      </c>
      <c r="W3553" s="13" t="s">
        <v>54</v>
      </c>
      <c r="X3553" s="21" t="n">
        <v>895379002273</v>
      </c>
      <c r="Y3553" s="22" t="str">
        <f aca="false">O3553</f>
        <v>Staff Finance dan Accounting</v>
      </c>
      <c r="Z3553" s="13" t="str">
        <f aca="false">IFERROR(__xludf.dummyfunction("if(BJ3553="""","""",GOOGLETRANSLATE(BJ3553,""auto"",""en""))"),"Finance and Accounting Staff")</f>
        <v>Finance and Accounting Staff</v>
      </c>
      <c r="AA3553" s="23" t="str">
        <f aca="false">IF(C3553="","", CHOOSE(MONTH(C3553),"January","February","March","April","May","June","July","August","September","October","November","December")&amp;" "&amp;DAY(C3553)&amp;MID("thstndrdth",MIN(9,2*RIGHT(DAY(C3553))*(MOD(DAY(C3553)-11,100)&gt;2)+1),2)&amp;","&amp;TEXT(C3553," yyyy"))</f>
        <v>April 21st,2026</v>
      </c>
      <c r="AB3553" s="15" t="str">
        <f aca="true">IF(S3553="","",DATEDIF(S3553,TODAY(),"Y")&amp;" Tahun, "&amp;DATEDIF(S3553,TODAY(),"YM")&amp;" Bulan, "&amp;DATEDIF(S3553,TODAY(),"MD")&amp;" Hari")</f>
        <v>32 Tahun, 9 Bulan, 9 Hari</v>
      </c>
      <c r="AC3553" s="14" t="n">
        <v>46133</v>
      </c>
      <c r="AD3553" s="18" t="n">
        <v>46295</v>
      </c>
      <c r="AE3553" s="13" t="s">
        <v>44</v>
      </c>
    </row>
    <row r="3554" customFormat="false" ht="15" hidden="false" customHeight="true" outlineLevel="0" collapsed="false">
      <c r="A3554" s="12" t="n">
        <v>22172</v>
      </c>
      <c r="B3554" s="13" t="s">
        <v>14488</v>
      </c>
      <c r="C3554" s="16" t="n">
        <v>46144</v>
      </c>
      <c r="D3554" s="13" t="s">
        <v>6487</v>
      </c>
      <c r="E3554" s="15" t="s">
        <v>47</v>
      </c>
      <c r="F3554" s="24" t="s">
        <v>14489</v>
      </c>
      <c r="G3554" s="24" t="s">
        <v>57</v>
      </c>
      <c r="H3554" s="13" t="s">
        <v>35</v>
      </c>
      <c r="I3554" s="13" t="str">
        <f aca="false">IF(C3554=J3554,"NEW KONTRAK","RE-KONTRAK")</f>
        <v>NEW KONTRAK</v>
      </c>
      <c r="J3554" s="16" t="n">
        <f aca="false" t="array" ref="J3554:J3554">IFERROR(INDEX(AC3554:AE3554,IF(COUNTA(AC3554:AE3554)=0,"",MAX((AC3554:AE3554&lt;&gt;"")*(COLUMN(AC3554:AE3554)-(COLUMN(AC3554)))))-1),"")</f>
        <v>46144</v>
      </c>
      <c r="K3554" s="16" t="n">
        <f aca="false" t="array" ref="K3554:K3554">IFERROR(INDEX(AC3554:AE3554,IF(COUNTA(AC3554:AE3554)=0,"",MAX((AC3554:AE3554&lt;&gt;"")*(COLUMN(AC3554:AE3554)-(COLUMN(AC3554)-1))))-1),"")</f>
        <v>46387</v>
      </c>
      <c r="L3554" s="17" t="str">
        <f aca="false" t="array" ref="L3554:L3554">IFERROR(INDEX(AC3554:AE3554,IF(COUNTA(AC3554:AE3554)=0,"",MAX((AC3554:AE3554&lt;&gt;"")*(COLUMN(AC3554:AE3554)-(COLUMN(AC3554)-2))))-1),"")</f>
        <v>KEMBALI</v>
      </c>
      <c r="M3554" s="13" t="n">
        <f aca="true">K3554-TODAY()</f>
        <v>63</v>
      </c>
      <c r="N3554" s="18" t="s">
        <v>4735</v>
      </c>
      <c r="O3554" s="13" t="s">
        <v>12799</v>
      </c>
      <c r="P3554" s="19" t="n">
        <v>3802862</v>
      </c>
      <c r="Q3554" s="20" t="s">
        <v>14490</v>
      </c>
      <c r="R3554" s="13" t="s">
        <v>241</v>
      </c>
      <c r="S3554" s="14" t="n">
        <v>32560</v>
      </c>
      <c r="T3554" s="28" t="s">
        <v>40</v>
      </c>
      <c r="U3554" s="13" t="s">
        <v>14491</v>
      </c>
      <c r="V3554" s="13" t="s">
        <v>42</v>
      </c>
      <c r="W3554" s="13" t="s">
        <v>54</v>
      </c>
      <c r="X3554" s="30" t="n">
        <v>82119148564</v>
      </c>
      <c r="Y3554" s="22" t="str">
        <f aca="false">O3554</f>
        <v>Helper Ekspedisi</v>
      </c>
      <c r="Z3554" s="13" t="str">
        <f aca="false">IFERROR(__xludf.dummyfunction("if(BJ3554="""","""",GOOGLETRANSLATE(BJ3554,""auto"",""en""))"),"Expedition Helper")</f>
        <v>Expedition Helper</v>
      </c>
      <c r="AA3554" s="23" t="str">
        <f aca="false">IF(C3554="","", CHOOSE(MONTH(C3554),"January","February","March","April","May","June","July","August","September","October","November","December")&amp;" "&amp;DAY(C3554)&amp;MID("thstndrdth",MIN(9,2*RIGHT(DAY(C3554))*(MOD(DAY(C3554)-11,100)&gt;2)+1),2)&amp;","&amp;TEXT(C3554," yyyy"))</f>
        <v>May 2nd,2026</v>
      </c>
      <c r="AB3554" s="15" t="str">
        <f aca="true">IF(S3554="","",DATEDIF(S3554,TODAY(),"Y")&amp;" Tahun, "&amp;DATEDIF(S3554,TODAY(),"YM")&amp;" Bulan, "&amp;DATEDIF(S3554,TODAY(),"MD")&amp;" Hari")</f>
        <v>37 Tahun, 8 Bulan, 8 Hari</v>
      </c>
      <c r="AC3554" s="14" t="n">
        <v>46144</v>
      </c>
      <c r="AD3554" s="18" t="n">
        <v>46387</v>
      </c>
      <c r="AE3554" s="13" t="s">
        <v>397</v>
      </c>
    </row>
    <row r="3555" customFormat="false" ht="15" hidden="false" customHeight="true" outlineLevel="0" collapsed="false">
      <c r="A3555" s="12" t="n">
        <v>22173</v>
      </c>
      <c r="B3555" s="13" t="s">
        <v>14492</v>
      </c>
      <c r="C3555" s="14" t="n">
        <v>46138</v>
      </c>
      <c r="D3555" s="13" t="s">
        <v>7534</v>
      </c>
      <c r="E3555" s="15" t="s">
        <v>47</v>
      </c>
      <c r="F3555" s="15" t="str">
        <f aca="false">IFERROR(__xludf.dummyfunction("XLOOKUP(AJ3555,IMPORTRANGE(""1XaInW9DU9nz21V0tYIfzFQ0He9kVQ_JF2mCXgZ3hqFA"",""REKAP ALL 2026 - Andika!G:G""),IMPORTRANGE(""1XaInW9DU9nz21V0tYIfzFQ0He9kVQ_JF2mCXgZ3hqFA"",""REKAP ALL 2026 - Andika!F:F""),"""",0)"),"26062993196")</f>
        <v>26062993196</v>
      </c>
      <c r="G3555" s="24" t="s">
        <v>57</v>
      </c>
      <c r="H3555" s="13" t="s">
        <v>35</v>
      </c>
      <c r="I3555" s="13" t="str">
        <f aca="false">IF(C3555=J3555,"NEW KONTRAK","RE-KONTRAK")</f>
        <v>NEW KONTRAK</v>
      </c>
      <c r="J3555" s="16" t="n">
        <f aca="false" t="array" ref="J3555:J3555">IFERROR(INDEX(AC3555:AE3555,IF(COUNTA(AC3555:AE3555)=0,"",MAX((AC3555:AE3555&lt;&gt;"")*(COLUMN(AC3555:AE3555)-(COLUMN(AC3555)))))-1),"")</f>
        <v>46138</v>
      </c>
      <c r="K3555" s="16" t="n">
        <f aca="false" t="array" ref="K3555:K3555">IFERROR(INDEX(AC3555:AE3555,IF(COUNTA(AC3555:AE3555)=0,"",MAX((AC3555:AE3555&lt;&gt;"")*(COLUMN(AC3555:AE3555)-(COLUMN(AC3555)-1))))-1),"")</f>
        <v>46228</v>
      </c>
      <c r="L3555" s="17" t="str">
        <f aca="false" t="array" ref="L3555:L3555">IFERROR(INDEX(AC3555:AE3555,IF(COUNTA(AC3555:AE3555)=0,"",MAX((AC3555:AE3555&lt;&gt;"")*(COLUMN(AC3555:AE3555)-(COLUMN(AC3555)-2))))-1),"")</f>
        <v>KEMBALI</v>
      </c>
      <c r="M3555" s="13" t="n">
        <f aca="true">K3555-TODAY()</f>
        <v>-96</v>
      </c>
      <c r="N3555" s="18" t="s">
        <v>4735</v>
      </c>
      <c r="O3555" s="13" t="s">
        <v>7536</v>
      </c>
      <c r="P3555" s="19" t="n">
        <v>3553530</v>
      </c>
      <c r="Q3555" s="20" t="s">
        <v>14493</v>
      </c>
      <c r="R3555" s="13" t="s">
        <v>83</v>
      </c>
      <c r="S3555" s="14" t="n">
        <v>37196</v>
      </c>
      <c r="T3555" s="13" t="s">
        <v>108</v>
      </c>
      <c r="U3555" s="13" t="s">
        <v>14494</v>
      </c>
      <c r="V3555" s="13" t="s">
        <v>42</v>
      </c>
      <c r="W3555" s="13" t="s">
        <v>43</v>
      </c>
      <c r="X3555" s="30" t="n">
        <v>89579970246</v>
      </c>
      <c r="Y3555" s="22" t="str">
        <f aca="false">O3555</f>
        <v>Host Live</v>
      </c>
      <c r="Z3555" s="13" t="str">
        <f aca="false">IFERROR(__xludf.dummyfunction("if(BJ3555="""","""",GOOGLETRANSLATE(BJ3555,""auto"",""en""))"),"Host Live")</f>
        <v>Host Live</v>
      </c>
      <c r="AA3555" s="23" t="str">
        <f aca="false">IF(C3555="","", CHOOSE(MONTH(C3555),"January","February","March","April","May","June","July","August","September","October","November","December")&amp;" "&amp;DAY(C3555)&amp;MID("thstndrdth",MIN(9,2*RIGHT(DAY(C3555))*(MOD(DAY(C3555)-11,100)&gt;2)+1),2)&amp;","&amp;TEXT(C3555," yyyy"))</f>
        <v>April 26th,2026</v>
      </c>
      <c r="AB3555" s="15" t="str">
        <f aca="true">IF(S3555="","",DATEDIF(S3555,TODAY(),"Y")&amp;" Tahun, "&amp;DATEDIF(S3555,TODAY(),"YM")&amp;" Bulan, "&amp;DATEDIF(S3555,TODAY(),"MD")&amp;" Hari")</f>
        <v>24 Tahun, 11 Bulan, 28 Hari</v>
      </c>
      <c r="AC3555" s="14" t="n">
        <v>46138</v>
      </c>
      <c r="AD3555" s="18" t="n">
        <f aca="false">EDATE(AC3555,3)-1</f>
        <v>46228</v>
      </c>
      <c r="AE3555" s="13" t="s">
        <v>397</v>
      </c>
    </row>
    <row r="3556" customFormat="false" ht="15" hidden="false" customHeight="true" outlineLevel="0" collapsed="false">
      <c r="A3556" s="12" t="n">
        <v>22174</v>
      </c>
      <c r="B3556" s="13" t="s">
        <v>14495</v>
      </c>
      <c r="C3556" s="14" t="n">
        <v>46138</v>
      </c>
      <c r="D3556" s="13" t="s">
        <v>7534</v>
      </c>
      <c r="E3556" s="15" t="s">
        <v>47</v>
      </c>
      <c r="F3556" s="15" t="str">
        <f aca="false">IFERROR(__xludf.dummyfunction("XLOOKUP(AJ3556,IMPORTRANGE(""1XaInW9DU9nz21V0tYIfzFQ0He9kVQ_JF2mCXgZ3hqFA"",""REKAP ALL 2026 - Andika!G:G""),IMPORTRANGE(""1XaInW9DU9nz21V0tYIfzFQ0He9kVQ_JF2mCXgZ3hqFA"",""REKAP ALL 2026 - Andika!F:F""),"""",0)"),"26062993220")</f>
        <v>26062993220</v>
      </c>
      <c r="G3556" s="24" t="s">
        <v>57</v>
      </c>
      <c r="H3556" s="13" t="s">
        <v>35</v>
      </c>
      <c r="I3556" s="13" t="str">
        <f aca="false">IF(C3556=J3556,"NEW KONTRAK","RE-KONTRAK")</f>
        <v>NEW KONTRAK</v>
      </c>
      <c r="J3556" s="16" t="n">
        <f aca="false" t="array" ref="J3556:J3556">IFERROR(INDEX(AC3556:AE3556,IF(COUNTA(AC3556:AE3556)=0,"",MAX((AC3556:AE3556&lt;&gt;"")*(COLUMN(AC3556:AE3556)-(COLUMN(AC3556)))))-1),"")</f>
        <v>46138</v>
      </c>
      <c r="K3556" s="16" t="n">
        <f aca="false" t="array" ref="K3556:K3556">IFERROR(INDEX(AC3556:AE3556,IF(COUNTA(AC3556:AE3556)=0,"",MAX((AC3556:AE3556&lt;&gt;"")*(COLUMN(AC3556:AE3556)-(COLUMN(AC3556)-1))))-1),"")</f>
        <v>46228</v>
      </c>
      <c r="L3556" s="17" t="str">
        <f aca="false" t="array" ref="L3556:L3556">IFERROR(INDEX(AC3556:AE3556,IF(COUNTA(AC3556:AE3556)=0,"",MAX((AC3556:AE3556&lt;&gt;"")*(COLUMN(AC3556:AE3556)-(COLUMN(AC3556)-2))))-1),"")</f>
        <v>KEMBALI</v>
      </c>
      <c r="M3556" s="13" t="n">
        <f aca="true">K3556-TODAY()</f>
        <v>-96</v>
      </c>
      <c r="N3556" s="18" t="s">
        <v>4735</v>
      </c>
      <c r="O3556" s="13" t="s">
        <v>7536</v>
      </c>
      <c r="P3556" s="19" t="n">
        <v>3553530</v>
      </c>
      <c r="Q3556" s="20" t="s">
        <v>14496</v>
      </c>
      <c r="R3556" s="13" t="s">
        <v>83</v>
      </c>
      <c r="S3556" s="14" t="n">
        <v>39253</v>
      </c>
      <c r="T3556" s="13" t="s">
        <v>108</v>
      </c>
      <c r="U3556" s="13" t="s">
        <v>14497</v>
      </c>
      <c r="V3556" s="13" t="s">
        <v>42</v>
      </c>
      <c r="W3556" s="13" t="s">
        <v>43</v>
      </c>
      <c r="X3556" s="30" t="n">
        <v>82299606530</v>
      </c>
      <c r="Y3556" s="22" t="str">
        <f aca="false">O3556</f>
        <v>Host Live</v>
      </c>
      <c r="Z3556" s="13" t="str">
        <f aca="false">IFERROR(__xludf.dummyfunction("if(BJ3556="""","""",GOOGLETRANSLATE(BJ3556,""auto"",""en""))"),"Host Live")</f>
        <v>Host Live</v>
      </c>
      <c r="AA3556" s="23" t="str">
        <f aca="false">IF(C3556="","", CHOOSE(MONTH(C3556),"January","February","March","April","May","June","July","August","September","October","November","December")&amp;" "&amp;DAY(C3556)&amp;MID("thstndrdth",MIN(9,2*RIGHT(DAY(C3556))*(MOD(DAY(C3556)-11,100)&gt;2)+1),2)&amp;","&amp;TEXT(C3556," yyyy"))</f>
        <v>April 26th,2026</v>
      </c>
      <c r="AB3556" s="15" t="str">
        <f aca="true">IF(S3556="","",DATEDIF(S3556,TODAY(),"Y")&amp;" Tahun, "&amp;DATEDIF(S3556,TODAY(),"YM")&amp;" Bulan, "&amp;DATEDIF(S3556,TODAY(),"MD")&amp;" Hari")</f>
        <v>19 Tahun, 4 Bulan, 9 Hari</v>
      </c>
      <c r="AC3556" s="14" t="n">
        <v>46138</v>
      </c>
      <c r="AD3556" s="18" t="n">
        <f aca="false">EDATE(AC3556,3)-1</f>
        <v>46228</v>
      </c>
      <c r="AE3556" s="13" t="s">
        <v>397</v>
      </c>
    </row>
    <row r="3557" customFormat="false" ht="15" hidden="false" customHeight="true" outlineLevel="0" collapsed="false">
      <c r="A3557" s="12" t="n">
        <v>22175</v>
      </c>
      <c r="B3557" s="13" t="s">
        <v>14498</v>
      </c>
      <c r="C3557" s="14" t="n">
        <v>46139</v>
      </c>
      <c r="D3557" s="13" t="s">
        <v>6638</v>
      </c>
      <c r="E3557" s="15" t="s">
        <v>13294</v>
      </c>
      <c r="F3557" s="24" t="s">
        <v>14499</v>
      </c>
      <c r="G3557" s="24" t="s">
        <v>57</v>
      </c>
      <c r="H3557" s="13" t="s">
        <v>35</v>
      </c>
      <c r="I3557" s="13" t="str">
        <f aca="false">IF(C3557=J3557,"NEW KONTRAK","RE-KONTRAK")</f>
        <v>NEW KONTRAK</v>
      </c>
      <c r="J3557" s="16" t="n">
        <f aca="false" t="array" ref="J3557:J3557">IFERROR(INDEX(AC3557:AE3557,IF(COUNTA(AC3557:AE3557)=0,"",MAX((AC3557:AE3557&lt;&gt;"")*(COLUMN(AC3557:AE3557)-(COLUMN(AC3557)))))-1),"")</f>
        <v>46139</v>
      </c>
      <c r="K3557" s="16" t="n">
        <f aca="false" t="array" ref="K3557:K3557">IFERROR(INDEX(AC3557:AE3557,IF(COUNTA(AC3557:AE3557)=0,"",MAX((AC3557:AE3557&lt;&gt;"")*(COLUMN(AC3557:AE3557)-(COLUMN(AC3557)-1))))-1),"")</f>
        <v>46229</v>
      </c>
      <c r="L3557" s="17" t="str">
        <f aca="false" t="array" ref="L3557:L3557">IFERROR(INDEX(AC3557:AE3557,IF(COUNTA(AC3557:AE3557)=0,"",MAX((AC3557:AE3557&lt;&gt;"")*(COLUMN(AC3557:AE3557)-(COLUMN(AC3557)-2))))-1),"")</f>
        <v>ARCHIVED</v>
      </c>
      <c r="M3557" s="13" t="n">
        <f aca="true">K3557-TODAY()</f>
        <v>-95</v>
      </c>
      <c r="N3557" s="18" t="s">
        <v>4735</v>
      </c>
      <c r="O3557" s="13" t="s">
        <v>10570</v>
      </c>
      <c r="P3557" s="19" t="n">
        <v>3113530</v>
      </c>
      <c r="Q3557" s="20" t="s">
        <v>14500</v>
      </c>
      <c r="R3557" s="13" t="s">
        <v>1214</v>
      </c>
      <c r="S3557" s="14" t="n">
        <v>35475</v>
      </c>
      <c r="T3557" s="13" t="s">
        <v>108</v>
      </c>
      <c r="U3557" s="13" t="s">
        <v>14501</v>
      </c>
      <c r="V3557" s="13" t="s">
        <v>42</v>
      </c>
      <c r="W3557" s="13" t="s">
        <v>43</v>
      </c>
      <c r="X3557" s="30" t="n">
        <v>83145054447</v>
      </c>
      <c r="Y3557" s="22" t="str">
        <f aca="false">O3557</f>
        <v>KOL Specialist</v>
      </c>
      <c r="Z3557" s="13" t="str">
        <f aca="false">IFERROR(__xludf.dummyfunction("if(BJ3557="""","""",GOOGLETRANSLATE(BJ3557,""auto"",""en""))"),"KOL Specialist")</f>
        <v>KOL Specialist</v>
      </c>
      <c r="AA3557" s="23" t="str">
        <f aca="false">IF(C3557="","", CHOOSE(MONTH(C3557),"January","February","March","April","May","June","July","August","September","October","November","December")&amp;" "&amp;DAY(C3557)&amp;MID("thstndrdth",MIN(9,2*RIGHT(DAY(C3557))*(MOD(DAY(C3557)-11,100)&gt;2)+1),2)&amp;","&amp;TEXT(C3557," yyyy"))</f>
        <v>April 27th,2026</v>
      </c>
      <c r="AB3557" s="15" t="str">
        <f aca="true">IF(S3557="","",DATEDIF(S3557,TODAY(),"Y")&amp;" Tahun, "&amp;DATEDIF(S3557,TODAY(),"YM")&amp;" Bulan, "&amp;DATEDIF(S3557,TODAY(),"MD")&amp;" Hari")</f>
        <v>29 Tahun, 8 Bulan, 15 Hari</v>
      </c>
      <c r="AC3557" s="14" t="n">
        <v>46139</v>
      </c>
      <c r="AD3557" s="18" t="n">
        <f aca="false">EDATE(AC3557,3)-1</f>
        <v>46229</v>
      </c>
      <c r="AE3557" s="13" t="s">
        <v>44</v>
      </c>
    </row>
    <row r="3558" customFormat="false" ht="15" hidden="false" customHeight="true" outlineLevel="0" collapsed="false">
      <c r="A3558" s="12" t="n">
        <v>22176</v>
      </c>
      <c r="B3558" s="13" t="s">
        <v>14502</v>
      </c>
      <c r="C3558" s="14" t="n">
        <v>46138</v>
      </c>
      <c r="D3558" s="13" t="s">
        <v>7534</v>
      </c>
      <c r="E3558" s="15" t="s">
        <v>47</v>
      </c>
      <c r="F3558" s="15" t="str">
        <f aca="false">IFERROR(__xludf.dummyfunction("XLOOKUP(AJ3558,IMPORTRANGE(""1XaInW9DU9nz21V0tYIfzFQ0He9kVQ_JF2mCXgZ3hqFA"",""REKAP ALL 2026 - Andika!G:G""),IMPORTRANGE(""1XaInW9DU9nz21V0tYIfzFQ0He9kVQ_JF2mCXgZ3hqFA"",""REKAP ALL 2026 - Andika!F:F""),"""",0)"),"26062993246")</f>
        <v>26062993246</v>
      </c>
      <c r="G3558" s="24" t="s">
        <v>57</v>
      </c>
      <c r="H3558" s="13" t="s">
        <v>35</v>
      </c>
      <c r="I3558" s="13" t="str">
        <f aca="false">IF(C3558=J3558,"NEW KONTRAK","RE-KONTRAK")</f>
        <v>NEW KONTRAK</v>
      </c>
      <c r="J3558" s="16" t="n">
        <f aca="false" t="array" ref="J3558:J3558">IFERROR(INDEX(AC3558:AE3558,IF(COUNTA(AC3558:AE3558)=0,"",MAX((AC3558:AE3558&lt;&gt;"")*(COLUMN(AC3558:AE3558)-(COLUMN(AC3558)))))-1),"")</f>
        <v>46138</v>
      </c>
      <c r="K3558" s="16" t="n">
        <f aca="false" t="array" ref="K3558:K3558">IFERROR(INDEX(AC3558:AE3558,IF(COUNTA(AC3558:AE3558)=0,"",MAX((AC3558:AE3558&lt;&gt;"")*(COLUMN(AC3558:AE3558)-(COLUMN(AC3558)-1))))-1),"")</f>
        <v>46228</v>
      </c>
      <c r="L3558" s="17" t="str">
        <f aca="false" t="array" ref="L3558:L3558">IFERROR(INDEX(AC3558:AE3558,IF(COUNTA(AC3558:AE3558)=0,"",MAX((AC3558:AE3558&lt;&gt;"")*(COLUMN(AC3558:AE3558)-(COLUMN(AC3558)-2))))-1),"")</f>
        <v>KEMBALI</v>
      </c>
      <c r="M3558" s="13" t="n">
        <f aca="true">K3558-TODAY()</f>
        <v>-96</v>
      </c>
      <c r="N3558" s="18" t="s">
        <v>4735</v>
      </c>
      <c r="O3558" s="13" t="s">
        <v>7536</v>
      </c>
      <c r="P3558" s="19" t="n">
        <v>3553530</v>
      </c>
      <c r="Q3558" s="20" t="s">
        <v>14503</v>
      </c>
      <c r="R3558" s="13" t="s">
        <v>763</v>
      </c>
      <c r="S3558" s="14" t="n">
        <v>36189</v>
      </c>
      <c r="T3558" s="13" t="s">
        <v>108</v>
      </c>
      <c r="U3558" s="13" t="s">
        <v>14504</v>
      </c>
      <c r="V3558" s="13" t="s">
        <v>42</v>
      </c>
      <c r="W3558" s="13" t="s">
        <v>43</v>
      </c>
      <c r="X3558" s="30" t="n">
        <v>82132475469</v>
      </c>
      <c r="Y3558" s="22" t="str">
        <f aca="false">O3558</f>
        <v>Host Live</v>
      </c>
      <c r="Z3558" s="13" t="str">
        <f aca="false">IFERROR(__xludf.dummyfunction("if(BJ3558="""","""",GOOGLETRANSLATE(BJ3558,""auto"",""en""))"),"Host Live")</f>
        <v>Host Live</v>
      </c>
      <c r="AA3558" s="23" t="str">
        <f aca="false">IF(C3558="","", CHOOSE(MONTH(C3558),"January","February","March","April","May","June","July","August","September","October","November","December")&amp;" "&amp;DAY(C3558)&amp;MID("thstndrdth",MIN(9,2*RIGHT(DAY(C3558))*(MOD(DAY(C3558)-11,100)&gt;2)+1),2)&amp;","&amp;TEXT(C3558," yyyy"))</f>
        <v>April 26th,2026</v>
      </c>
      <c r="AB3558" s="15" t="str">
        <f aca="true">IF(S3558="","",DATEDIF(S3558,TODAY(),"Y")&amp;" Tahun, "&amp;DATEDIF(S3558,TODAY(),"YM")&amp;" Bulan, "&amp;DATEDIF(S3558,TODAY(),"MD")&amp;" Hari")</f>
        <v>27 Tahun, 9 Bulan, 0 Hari</v>
      </c>
      <c r="AC3558" s="14" t="n">
        <v>46138</v>
      </c>
      <c r="AD3558" s="18" t="n">
        <f aca="false">EDATE(AC3558,3)-1</f>
        <v>46228</v>
      </c>
      <c r="AE3558" s="13" t="s">
        <v>397</v>
      </c>
    </row>
    <row r="3559" customFormat="false" ht="15" hidden="false" customHeight="true" outlineLevel="0" collapsed="false">
      <c r="A3559" s="12" t="n">
        <v>22177</v>
      </c>
      <c r="B3559" s="13" t="s">
        <v>14505</v>
      </c>
      <c r="C3559" s="14" t="n">
        <v>46133</v>
      </c>
      <c r="D3559" s="13" t="s">
        <v>9043</v>
      </c>
      <c r="E3559" s="15" t="s">
        <v>102</v>
      </c>
      <c r="F3559" s="15" t="str">
        <f aca="false">IFERROR(__xludf.dummyfunction("XLOOKUP(AJ3559,IMPORTRANGE(""1XaInW9DU9nz21V0tYIfzFQ0He9kVQ_JF2mCXgZ3hqFA"",""REKAP ALL 2026 - Andika!G:G""),IMPORTRANGE(""1XaInW9DU9nz21V0tYIfzFQ0He9kVQ_JF2mCXgZ3hqFA"",""REKAP ALL 2026 - Andika!F:F""),"""",0)"),"26062989780")</f>
        <v>26062989780</v>
      </c>
      <c r="G3559" s="28" t="s">
        <v>57</v>
      </c>
      <c r="H3559" s="13" t="s">
        <v>35</v>
      </c>
      <c r="I3559" s="13" t="str">
        <f aca="false">IF(C3559=J3559,"NEW KONTRAK","RE-KONTRAK")</f>
        <v>NEW KONTRAK</v>
      </c>
      <c r="J3559" s="16" t="n">
        <f aca="false" t="array" ref="J3559:J3559">IFERROR(INDEX(AC3559:AE3559,IF(COUNTA(AC3559:AE3559)=0,"",MAX((AC3559:AE3559&lt;&gt;"")*(COLUMN(AC3559:AE3559)-(COLUMN(AC3559)))))-1),"")</f>
        <v>46133</v>
      </c>
      <c r="K3559" s="16" t="n">
        <f aca="false" t="array" ref="K3559:K3559">IFERROR(INDEX(AC3559:AE3559,IF(COUNTA(AC3559:AE3559)=0,"",MAX((AC3559:AE3559&lt;&gt;"")*(COLUMN(AC3559:AE3559)-(COLUMN(AC3559)-1))))-1),"")</f>
        <v>46223</v>
      </c>
      <c r="L3559" s="17" t="str">
        <f aca="false" t="array" ref="L3559:L3559">IFERROR(INDEX(AC3559:AE3559,IF(COUNTA(AC3559:AE3559)=0,"",MAX((AC3559:AE3559&lt;&gt;"")*(COLUMN(AC3559:AE3559)-(COLUMN(AC3559)-2))))-1),"")</f>
        <v>ARCHIVED</v>
      </c>
      <c r="M3559" s="13" t="n">
        <f aca="true">K3559-TODAY()</f>
        <v>-101</v>
      </c>
      <c r="N3559" s="50" t="s">
        <v>105</v>
      </c>
      <c r="O3559" s="13" t="s">
        <v>14506</v>
      </c>
      <c r="P3559" s="13" t="n">
        <v>3944496</v>
      </c>
      <c r="Q3559" s="20" t="s">
        <v>14507</v>
      </c>
      <c r="R3559" s="13" t="s">
        <v>52</v>
      </c>
      <c r="S3559" s="14" t="n">
        <v>34848</v>
      </c>
      <c r="T3559" s="28" t="s">
        <v>40</v>
      </c>
      <c r="U3559" s="13" t="s">
        <v>14508</v>
      </c>
      <c r="V3559" s="13" t="s">
        <v>42</v>
      </c>
      <c r="W3559" s="13" t="s">
        <v>43</v>
      </c>
      <c r="X3559" s="21" t="n">
        <v>82231653295</v>
      </c>
      <c r="Y3559" s="22" t="str">
        <f aca="false">O3559</f>
        <v>Sales Promotion</v>
      </c>
      <c r="Z3559" s="13" t="str">
        <f aca="false">IFERROR(__xludf.dummyfunction("if(BJ3559="""","""",GOOGLETRANSLATE(BJ3559,""auto"",""en""))"),"Sales Promotion")</f>
        <v>Sales Promotion</v>
      </c>
      <c r="AA3559" s="23" t="str">
        <f aca="false">IF(C3559="","", CHOOSE(MONTH(C3559),"January","February","March","April","May","June","July","August","September","October","November","December")&amp;" "&amp;DAY(C3559)&amp;MID("thstndrdth",MIN(9,2*RIGHT(DAY(C3559))*(MOD(DAY(C3559)-11,100)&gt;2)+1),2)&amp;","&amp;TEXT(C3559," yyyy"))</f>
        <v>April 21st,2026</v>
      </c>
      <c r="AB3559" s="15" t="str">
        <f aca="true">IF(S3559="","",DATEDIF(S3559,TODAY(),"Y")&amp;" Tahun, "&amp;DATEDIF(S3559,TODAY(),"YM")&amp;" Bulan, "&amp;DATEDIF(S3559,TODAY(),"MD")&amp;" Hari")</f>
        <v>31 Tahun, 5 Bulan, 0 Hari</v>
      </c>
      <c r="AC3559" s="14" t="n">
        <v>46133</v>
      </c>
      <c r="AD3559" s="18" t="n">
        <f aca="false">EDATE(AC3559,3)-1</f>
        <v>46223</v>
      </c>
      <c r="AE3559" s="13" t="s">
        <v>44</v>
      </c>
    </row>
    <row r="3560" customFormat="false" ht="15" hidden="false" customHeight="true" outlineLevel="0" collapsed="false">
      <c r="A3560" s="12" t="n">
        <v>22178</v>
      </c>
      <c r="B3560" s="13" t="s">
        <v>14509</v>
      </c>
      <c r="C3560" s="14" t="n">
        <v>46134</v>
      </c>
      <c r="D3560" s="13" t="s">
        <v>10735</v>
      </c>
      <c r="E3560" s="15" t="s">
        <v>13820</v>
      </c>
      <c r="F3560" s="15" t="str">
        <f aca="false">IFERROR(__xludf.dummyfunction("XLOOKUP(AJ3560,IMPORTRANGE(""1XaInW9DU9nz21V0tYIfzFQ0He9kVQ_JF2mCXgZ3hqFA"",""REKAP ALL 2026 - Andika!G:G""),IMPORTRANGE(""1XaInW9DU9nz21V0tYIfzFQ0He9kVQ_JF2mCXgZ3hqFA"",""REKAP ALL 2026 - Andika!F:F""),"""",0)"),"26062993162")</f>
        <v>26062993162</v>
      </c>
      <c r="G3560" s="24" t="s">
        <v>57</v>
      </c>
      <c r="H3560" s="13" t="s">
        <v>35</v>
      </c>
      <c r="I3560" s="13" t="str">
        <f aca="false">IF(C3560=J3560,"NEW KONTRAK","RE-KONTRAK")</f>
        <v>NEW KONTRAK</v>
      </c>
      <c r="J3560" s="16" t="n">
        <f aca="false" t="array" ref="J3560:J3560">IFERROR(INDEX(AC3560:AE3560,IF(COUNTA(AC3560:AE3560)=0,"",MAX((AC3560:AE3560&lt;&gt;"")*(COLUMN(AC3560:AE3560)-(COLUMN(AC3560)))))-1),"")</f>
        <v>46134</v>
      </c>
      <c r="K3560" s="16" t="n">
        <f aca="false" t="array" ref="K3560:K3560">IFERROR(INDEX(AC3560:AE3560,IF(COUNTA(AC3560:AE3560)=0,"",MAX((AC3560:AE3560&lt;&gt;"")*(COLUMN(AC3560:AE3560)-(COLUMN(AC3560)-1))))-1),"")</f>
        <v>46224</v>
      </c>
      <c r="L3560" s="17" t="str">
        <f aca="false" t="array" ref="L3560:L3560">IFERROR(INDEX(AC3560:AE3560,IF(COUNTA(AC3560:AE3560)=0,"",MAX((AC3560:AE3560&lt;&gt;"")*(COLUMN(AC3560:AE3560)-(COLUMN(AC3560)-2))))-1),"")</f>
        <v>ARCHIVED</v>
      </c>
      <c r="M3560" s="13" t="n">
        <f aca="true">K3560-TODAY()</f>
        <v>-100</v>
      </c>
      <c r="N3560" s="18" t="s">
        <v>4735</v>
      </c>
      <c r="O3560" s="13" t="s">
        <v>12429</v>
      </c>
      <c r="P3560" s="19" t="n">
        <v>2507693</v>
      </c>
      <c r="Q3560" s="20" t="s">
        <v>14510</v>
      </c>
      <c r="R3560" s="13" t="s">
        <v>78</v>
      </c>
      <c r="S3560" s="14" t="n">
        <v>33653</v>
      </c>
      <c r="T3560" s="28" t="s">
        <v>40</v>
      </c>
      <c r="U3560" s="13" t="s">
        <v>14511</v>
      </c>
      <c r="V3560" s="13" t="s">
        <v>42</v>
      </c>
      <c r="W3560" s="13" t="s">
        <v>43</v>
      </c>
      <c r="X3560" s="30" t="n">
        <v>81337367850</v>
      </c>
      <c r="Y3560" s="22" t="str">
        <f aca="false">O3560</f>
        <v>Beauty Advisor</v>
      </c>
      <c r="Z3560" s="13" t="str">
        <f aca="false">IFERROR(__xludf.dummyfunction("if(BJ3560="""","""",GOOGLETRANSLATE(BJ3560,""auto"",""en""))"),"Beauty Advisor")</f>
        <v>Beauty Advisor</v>
      </c>
      <c r="AA3560" s="23" t="str">
        <f aca="false">IF(C3560="","", CHOOSE(MONTH(C3560),"January","February","March","April","May","June","July","August","September","October","November","December")&amp;" "&amp;DAY(C3560)&amp;MID("thstndrdth",MIN(9,2*RIGHT(DAY(C3560))*(MOD(DAY(C3560)-11,100)&gt;2)+1),2)&amp;","&amp;TEXT(C3560," yyyy"))</f>
        <v>April 22nd,2026</v>
      </c>
      <c r="AB3560" s="15" t="str">
        <f aca="true">IF(S3560="","",DATEDIF(S3560,TODAY(),"Y")&amp;" Tahun, "&amp;DATEDIF(S3560,TODAY(),"YM")&amp;" Bulan, "&amp;DATEDIF(S3560,TODAY(),"MD")&amp;" Hari")</f>
        <v>34 Tahun, 8 Bulan, 10 Hari</v>
      </c>
      <c r="AC3560" s="14" t="n">
        <v>46134</v>
      </c>
      <c r="AD3560" s="18" t="n">
        <f aca="false">EDATE(AC3560,3)-1</f>
        <v>46224</v>
      </c>
      <c r="AE3560" s="13" t="s">
        <v>44</v>
      </c>
    </row>
    <row r="3561" customFormat="false" ht="15" hidden="false" customHeight="true" outlineLevel="0" collapsed="false">
      <c r="A3561" s="12" t="n">
        <v>22179</v>
      </c>
      <c r="B3561" s="13" t="s">
        <v>14512</v>
      </c>
      <c r="C3561" s="14" t="n">
        <v>46133</v>
      </c>
      <c r="D3561" s="13" t="s">
        <v>9043</v>
      </c>
      <c r="E3561" s="15" t="s">
        <v>47</v>
      </c>
      <c r="F3561" s="15" t="str">
        <f aca="false">IFERROR(__xludf.dummyfunction("XLOOKUP(AJ3561,IMPORTRANGE(""1XaInW9DU9nz21V0tYIfzFQ0He9kVQ_JF2mCXgZ3hqFA"",""REKAP ALL 2026 - Andika!G:G""),IMPORTRANGE(""1XaInW9DU9nz21V0tYIfzFQ0He9kVQ_JF2mCXgZ3hqFA"",""REKAP ALL 2026 - Andika!F:F""),"""",0)"),"26062990119")</f>
        <v>26062990119</v>
      </c>
      <c r="G3561" s="24" t="s">
        <v>57</v>
      </c>
      <c r="H3561" s="13" t="s">
        <v>35</v>
      </c>
      <c r="I3561" s="13" t="str">
        <f aca="false">IF(C3561=J3561,"NEW KONTRAK","RE-KONTRAK")</f>
        <v>NEW KONTRAK</v>
      </c>
      <c r="J3561" s="16" t="n">
        <f aca="false" t="array" ref="J3561:J3561">IFERROR(INDEX(AC3561:AE3561,IF(COUNTA(AC3561:AE3561)=0,"",MAX((AC3561:AE3561&lt;&gt;"")*(COLUMN(AC3561:AE3561)-(COLUMN(AC3561)))))-1),"")</f>
        <v>46133</v>
      </c>
      <c r="K3561" s="16" t="n">
        <f aca="false" t="array" ref="K3561:K3561">IFERROR(INDEX(AC3561:AE3561,IF(COUNTA(AC3561:AE3561)=0,"",MAX((AC3561:AE3561&lt;&gt;"")*(COLUMN(AC3561:AE3561)-(COLUMN(AC3561)-1))))-1),"")</f>
        <v>46497</v>
      </c>
      <c r="L3561" s="17" t="str">
        <f aca="false" t="array" ref="L3561:L3561">IFERROR(INDEX(AC3561:AE3561,IF(COUNTA(AC3561:AE3561)=0,"",MAX((AC3561:AE3561&lt;&gt;"")*(COLUMN(AC3561:AE3561)-(COLUMN(AC3561)-2))))-1),"")</f>
        <v>KEMBALI</v>
      </c>
      <c r="M3561" s="13" t="n">
        <f aca="true">K3561-TODAY()</f>
        <v>173</v>
      </c>
      <c r="N3561" s="18" t="s">
        <v>4735</v>
      </c>
      <c r="O3561" s="13" t="s">
        <v>14513</v>
      </c>
      <c r="P3561" s="27" t="n">
        <v>4200000</v>
      </c>
      <c r="Q3561" s="20" t="s">
        <v>14514</v>
      </c>
      <c r="R3561" s="13" t="s">
        <v>14515</v>
      </c>
      <c r="S3561" s="14" t="n">
        <v>37220</v>
      </c>
      <c r="T3561" s="28" t="s">
        <v>40</v>
      </c>
      <c r="U3561" s="13" t="s">
        <v>14516</v>
      </c>
      <c r="V3561" s="13" t="s">
        <v>42</v>
      </c>
      <c r="W3561" s="13" t="s">
        <v>43</v>
      </c>
      <c r="X3561" s="30" t="n">
        <v>87721486289</v>
      </c>
      <c r="Y3561" s="22" t="str">
        <f aca="false">O3561</f>
        <v>Finance &amp; Accounting Staff</v>
      </c>
      <c r="Z3561" s="13" t="str">
        <f aca="false">IFERROR(__xludf.dummyfunction("if(BJ3561="""","""",GOOGLETRANSLATE(BJ3561,""auto"",""en""))"),"Finance &amp; Accounting Staff")</f>
        <v>Finance &amp; Accounting Staff</v>
      </c>
      <c r="AA3561" s="23" t="str">
        <f aca="false">IF(C3561="","", CHOOSE(MONTH(C3561),"January","February","March","April","May","June","July","August","September","October","November","December")&amp;" "&amp;DAY(C3561)&amp;MID("thstndrdth",MIN(9,2*RIGHT(DAY(C3561))*(MOD(DAY(C3561)-11,100)&gt;2)+1),2)&amp;","&amp;TEXT(C3561," yyyy"))</f>
        <v>April 21st,2026</v>
      </c>
      <c r="AB3561" s="15" t="str">
        <f aca="true">IF(S3561="","",DATEDIF(S3561,TODAY(),"Y")&amp;" Tahun, "&amp;DATEDIF(S3561,TODAY(),"YM")&amp;" Bulan, "&amp;DATEDIF(S3561,TODAY(),"MD")&amp;" Hari")</f>
        <v>24 Tahun, 11 Bulan, 4 Hari</v>
      </c>
      <c r="AC3561" s="14" t="n">
        <v>46133</v>
      </c>
      <c r="AD3561" s="18" t="n">
        <f aca="false">EDATE(AC3561,12)-1</f>
        <v>46497</v>
      </c>
      <c r="AE3561" s="13" t="s">
        <v>397</v>
      </c>
    </row>
    <row r="3562" customFormat="false" ht="15" hidden="false" customHeight="true" outlineLevel="0" collapsed="false">
      <c r="A3562" s="12" t="n">
        <v>22180</v>
      </c>
      <c r="B3562" s="13" t="s">
        <v>14517</v>
      </c>
      <c r="C3562" s="14" t="n">
        <v>46133</v>
      </c>
      <c r="D3562" s="13" t="s">
        <v>9043</v>
      </c>
      <c r="E3562" s="15" t="s">
        <v>47</v>
      </c>
      <c r="F3562" s="15" t="str">
        <f aca="false">IFERROR(__xludf.dummyfunction("XLOOKUP(AJ3562,IMPORTRANGE(""1XaInW9DU9nz21V0tYIfzFQ0He9kVQ_JF2mCXgZ3hqFA"",""REKAP ALL 2026 - Andika!G:G""),IMPORTRANGE(""1XaInW9DU9nz21V0tYIfzFQ0He9kVQ_JF2mCXgZ3hqFA"",""REKAP ALL 2026 - Andika!F:F""),"""",0)"),"26062989806")</f>
        <v>26062989806</v>
      </c>
      <c r="G3562" s="24" t="s">
        <v>57</v>
      </c>
      <c r="H3562" s="13" t="s">
        <v>35</v>
      </c>
      <c r="I3562" s="13" t="str">
        <f aca="false">IF(C3562=J3562,"NEW KONTRAK","RE-KONTRAK")</f>
        <v>NEW KONTRAK</v>
      </c>
      <c r="J3562" s="16" t="n">
        <f aca="false" t="array" ref="J3562:J3562">IFERROR(INDEX(AC3562:AE3562,IF(COUNTA(AC3562:AE3562)=0,"",MAX((AC3562:AE3562&lt;&gt;"")*(COLUMN(AC3562:AE3562)-(COLUMN(AC3562)))))-1),"")</f>
        <v>46133</v>
      </c>
      <c r="K3562" s="16" t="n">
        <f aca="false" t="array" ref="K3562:K3562">IFERROR(INDEX(AC3562:AE3562,IF(COUNTA(AC3562:AE3562)=0,"",MAX((AC3562:AE3562&lt;&gt;"")*(COLUMN(AC3562:AE3562)-(COLUMN(AC3562)-1))))-1),"")</f>
        <v>46497</v>
      </c>
      <c r="L3562" s="17" t="str">
        <f aca="false" t="array" ref="L3562:L3562">IFERROR(INDEX(AC3562:AE3562,IF(COUNTA(AC3562:AE3562)=0,"",MAX((AC3562:AE3562&lt;&gt;"")*(COLUMN(AC3562:AE3562)-(COLUMN(AC3562)-2))))-1),"")</f>
        <v>KEMBALI</v>
      </c>
      <c r="M3562" s="13" t="n">
        <f aca="true">K3562-TODAY()</f>
        <v>173</v>
      </c>
      <c r="N3562" s="18" t="s">
        <v>4735</v>
      </c>
      <c r="O3562" s="13" t="s">
        <v>14513</v>
      </c>
      <c r="P3562" s="27" t="n">
        <v>3708275</v>
      </c>
      <c r="Q3562" s="20" t="s">
        <v>14518</v>
      </c>
      <c r="R3562" s="13" t="s">
        <v>83</v>
      </c>
      <c r="S3562" s="14" t="n">
        <v>36564</v>
      </c>
      <c r="T3562" s="13" t="s">
        <v>108</v>
      </c>
      <c r="U3562" s="13" t="s">
        <v>14519</v>
      </c>
      <c r="V3562" s="13" t="s">
        <v>99</v>
      </c>
      <c r="W3562" s="13" t="s">
        <v>43</v>
      </c>
      <c r="X3562" s="30" t="n">
        <v>81123303070</v>
      </c>
      <c r="Y3562" s="22" t="str">
        <f aca="false">O3562</f>
        <v>Finance &amp; Accounting Staff</v>
      </c>
      <c r="Z3562" s="13" t="str">
        <f aca="false">IFERROR(__xludf.dummyfunction("if(BJ3562="""","""",GOOGLETRANSLATE(BJ3562,""auto"",""en""))"),"Finance &amp; Accounting Staff")</f>
        <v>Finance &amp; Accounting Staff</v>
      </c>
      <c r="AA3562" s="23" t="str">
        <f aca="false">IF(C3562="","", CHOOSE(MONTH(C3562),"January","February","March","April","May","June","July","August","September","October","November","December")&amp;" "&amp;DAY(C3562)&amp;MID("thstndrdth",MIN(9,2*RIGHT(DAY(C3562))*(MOD(DAY(C3562)-11,100)&gt;2)+1),2)&amp;","&amp;TEXT(C3562," yyyy"))</f>
        <v>April 21st,2026</v>
      </c>
      <c r="AB3562" s="15" t="str">
        <f aca="true">IF(S3562="","",DATEDIF(S3562,TODAY(),"Y")&amp;" Tahun, "&amp;DATEDIF(S3562,TODAY(),"YM")&amp;" Bulan, "&amp;DATEDIF(S3562,TODAY(),"MD")&amp;" Hari")</f>
        <v>26 Tahun, 8 Bulan, 21 Hari</v>
      </c>
      <c r="AC3562" s="14" t="n">
        <v>46133</v>
      </c>
      <c r="AD3562" s="18" t="n">
        <f aca="false">EDATE(AC3562,12)-1</f>
        <v>46497</v>
      </c>
      <c r="AE3562" s="13" t="s">
        <v>397</v>
      </c>
    </row>
    <row r="3563" customFormat="false" ht="15" hidden="false" customHeight="true" outlineLevel="0" collapsed="false">
      <c r="A3563" s="12" t="n">
        <v>22181</v>
      </c>
      <c r="B3563" s="13" t="s">
        <v>14520</v>
      </c>
      <c r="C3563" s="14" t="n">
        <v>46133</v>
      </c>
      <c r="D3563" s="13" t="s">
        <v>9043</v>
      </c>
      <c r="E3563" s="15" t="s">
        <v>102</v>
      </c>
      <c r="F3563" s="15" t="str">
        <f aca="false">IFERROR(__xludf.dummyfunction("XLOOKUP(AJ3563,IMPORTRANGE(""1XaInW9DU9nz21V0tYIfzFQ0He9kVQ_JF2mCXgZ3hqFA"",""REKAP ALL 2026 - Andika!G:G""),IMPORTRANGE(""1XaInW9DU9nz21V0tYIfzFQ0He9kVQ_JF2mCXgZ3hqFA"",""REKAP ALL 2026 - Andika!F:F""),"""",0)"),"26062989830")</f>
        <v>26062989830</v>
      </c>
      <c r="G3563" s="24" t="s">
        <v>57</v>
      </c>
      <c r="H3563" s="13" t="s">
        <v>35</v>
      </c>
      <c r="I3563" s="13" t="str">
        <f aca="false">IF(C3563=J3563,"NEW KONTRAK","RE-KONTRAK")</f>
        <v>NEW KONTRAK</v>
      </c>
      <c r="J3563" s="16" t="n">
        <f aca="false" t="array" ref="J3563:J3563">IFERROR(INDEX(AC3563:AE3563,IF(COUNTA(AC3563:AE3563)=0,"",MAX((AC3563:AE3563&lt;&gt;"")*(COLUMN(AC3563:AE3563)-(COLUMN(AC3563)))))-1),"")</f>
        <v>46133</v>
      </c>
      <c r="K3563" s="16" t="n">
        <f aca="false" t="array" ref="K3563:K3563">IFERROR(INDEX(AC3563:AE3563,IF(COUNTA(AC3563:AE3563)=0,"",MAX((AC3563:AE3563&lt;&gt;"")*(COLUMN(AC3563:AE3563)-(COLUMN(AC3563)-1))))-1),"")</f>
        <v>46497</v>
      </c>
      <c r="L3563" s="17" t="str">
        <f aca="false" t="array" ref="L3563:L3563">IFERROR(INDEX(AC3563:AE3563,IF(COUNTA(AC3563:AE3563)=0,"",MAX((AC3563:AE3563&lt;&gt;"")*(COLUMN(AC3563:AE3563)-(COLUMN(AC3563)-2))))-1),"")</f>
        <v>KEMBALI</v>
      </c>
      <c r="M3563" s="13" t="n">
        <f aca="true">K3563-TODAY()</f>
        <v>173</v>
      </c>
      <c r="N3563" s="18" t="s">
        <v>4735</v>
      </c>
      <c r="O3563" s="13" t="s">
        <v>14521</v>
      </c>
      <c r="P3563" s="27" t="n">
        <v>5000000</v>
      </c>
      <c r="Q3563" s="20" t="s">
        <v>14522</v>
      </c>
      <c r="R3563" s="13" t="s">
        <v>83</v>
      </c>
      <c r="S3563" s="14" t="n">
        <v>36163</v>
      </c>
      <c r="T3563" s="28" t="s">
        <v>40</v>
      </c>
      <c r="U3563" s="13" t="s">
        <v>14523</v>
      </c>
      <c r="V3563" s="13" t="s">
        <v>42</v>
      </c>
      <c r="W3563" s="13" t="s">
        <v>54</v>
      </c>
      <c r="X3563" s="30" t="n">
        <v>87834578610</v>
      </c>
      <c r="Y3563" s="22" t="str">
        <f aca="false">O3563</f>
        <v>IT Web Development</v>
      </c>
      <c r="Z3563" s="13" t="str">
        <f aca="false">IFERROR(__xludf.dummyfunction("if(BJ3563="""","""",GOOGLETRANSLATE(BJ3563,""auto"",""en""))"),"IT Web Development")</f>
        <v>IT Web Development</v>
      </c>
      <c r="AA3563" s="23" t="str">
        <f aca="false">IF(C3563="","", CHOOSE(MONTH(C3563),"January","February","March","April","May","June","July","August","September","October","November","December")&amp;" "&amp;DAY(C3563)&amp;MID("thstndrdth",MIN(9,2*RIGHT(DAY(C3563))*(MOD(DAY(C3563)-11,100)&gt;2)+1),2)&amp;","&amp;TEXT(C3563," yyyy"))</f>
        <v>April 21st,2026</v>
      </c>
      <c r="AB3563" s="15" t="str">
        <f aca="true">IF(S3563="","",DATEDIF(S3563,TODAY(),"Y")&amp;" Tahun, "&amp;DATEDIF(S3563,TODAY(),"YM")&amp;" Bulan, "&amp;DATEDIF(S3563,TODAY(),"MD")&amp;" Hari")</f>
        <v>27 Tahun, 9 Bulan, 26 Hari</v>
      </c>
      <c r="AC3563" s="14" t="n">
        <v>46133</v>
      </c>
      <c r="AD3563" s="18" t="n">
        <f aca="false">EDATE(AC3563,12)-1</f>
        <v>46497</v>
      </c>
      <c r="AE3563" s="13" t="s">
        <v>397</v>
      </c>
    </row>
    <row r="3564" customFormat="false" ht="15" hidden="false" customHeight="true" outlineLevel="0" collapsed="false">
      <c r="A3564" s="12" t="n">
        <v>22182</v>
      </c>
      <c r="B3564" s="13" t="s">
        <v>14524</v>
      </c>
      <c r="C3564" s="14" t="n">
        <v>46133</v>
      </c>
      <c r="D3564" s="13" t="s">
        <v>9043</v>
      </c>
      <c r="E3564" s="15" t="s">
        <v>102</v>
      </c>
      <c r="F3564" s="15" t="str">
        <f aca="false">IFERROR(__xludf.dummyfunction("XLOOKUP(AJ3564,IMPORTRANGE(""1XaInW9DU9nz21V0tYIfzFQ0He9kVQ_JF2mCXgZ3hqFA"",""REKAP ALL 2026 - Andika!G:G""),IMPORTRANGE(""1XaInW9DU9nz21V0tYIfzFQ0He9kVQ_JF2mCXgZ3hqFA"",""REKAP ALL 2026 - Andika!F:F""),"""",0)"),"26062989855")</f>
        <v>26062989855</v>
      </c>
      <c r="G3564" s="24" t="s">
        <v>57</v>
      </c>
      <c r="H3564" s="13" t="s">
        <v>35</v>
      </c>
      <c r="I3564" s="13" t="str">
        <f aca="false">IF(C3564=J3564,"NEW KONTRAK","RE-KONTRAK")</f>
        <v>NEW KONTRAK</v>
      </c>
      <c r="J3564" s="16" t="n">
        <f aca="false" t="array" ref="J3564:J3564">IFERROR(INDEX(AC3564:AE3564,IF(COUNTA(AC3564:AE3564)=0,"",MAX((AC3564:AE3564&lt;&gt;"")*(COLUMN(AC3564:AE3564)-(COLUMN(AC3564)))))-1),"")</f>
        <v>46133</v>
      </c>
      <c r="K3564" s="16" t="n">
        <f aca="false" t="array" ref="K3564:K3564">IFERROR(INDEX(AC3564:AE3564,IF(COUNTA(AC3564:AE3564)=0,"",MAX((AC3564:AE3564&lt;&gt;"")*(COLUMN(AC3564:AE3564)-(COLUMN(AC3564)-1))))-1),"")</f>
        <v>46497</v>
      </c>
      <c r="L3564" s="17" t="str">
        <f aca="false" t="array" ref="L3564:L3564">IFERROR(INDEX(AC3564:AE3564,IF(COUNTA(AC3564:AE3564)=0,"",MAX((AC3564:AE3564&lt;&gt;"")*(COLUMN(AC3564:AE3564)-(COLUMN(AC3564)-2))))-1),"")</f>
        <v>KEMBALI</v>
      </c>
      <c r="M3564" s="13" t="n">
        <f aca="true">K3564-TODAY()</f>
        <v>173</v>
      </c>
      <c r="N3564" s="18" t="s">
        <v>14525</v>
      </c>
      <c r="O3564" s="13" t="s">
        <v>14526</v>
      </c>
      <c r="P3564" s="19" t="n">
        <v>5560000</v>
      </c>
      <c r="Q3564" s="20" t="s">
        <v>14527</v>
      </c>
      <c r="R3564" s="13" t="s">
        <v>14528</v>
      </c>
      <c r="S3564" s="14" t="n">
        <v>35119</v>
      </c>
      <c r="T3564" s="28" t="s">
        <v>40</v>
      </c>
      <c r="U3564" s="13" t="s">
        <v>14529</v>
      </c>
      <c r="V3564" s="13" t="s">
        <v>99</v>
      </c>
      <c r="W3564" s="13" t="s">
        <v>43</v>
      </c>
      <c r="X3564" s="21" t="n">
        <v>81370659760</v>
      </c>
      <c r="Y3564" s="22" t="str">
        <f aca="false">O3564</f>
        <v>Legal Staff</v>
      </c>
      <c r="Z3564" s="13" t="str">
        <f aca="false">IFERROR(__xludf.dummyfunction("if(BJ3564="""","""",GOOGLETRANSLATE(BJ3564,""auto"",""en""))"),"Legal Staff")</f>
        <v>Legal Staff</v>
      </c>
      <c r="AA3564" s="23" t="str">
        <f aca="false">IF(C3564="","", CHOOSE(MONTH(C3564),"January","February","March","April","May","June","July","August","September","October","November","December")&amp;" "&amp;DAY(C3564)&amp;MID("thstndrdth",MIN(9,2*RIGHT(DAY(C3564))*(MOD(DAY(C3564)-11,100)&gt;2)+1),2)&amp;","&amp;TEXT(C3564," yyyy"))</f>
        <v>April 21st,2026</v>
      </c>
      <c r="AB3564" s="15" t="str">
        <f aca="true">IF(S3564="","",DATEDIF(S3564,TODAY(),"Y")&amp;" Tahun, "&amp;DATEDIF(S3564,TODAY(),"YM")&amp;" Bulan, "&amp;DATEDIF(S3564,TODAY(),"MD")&amp;" Hari")</f>
        <v>30 Tahun, 8 Bulan, 5 Hari</v>
      </c>
      <c r="AC3564" s="14" t="n">
        <v>46133</v>
      </c>
      <c r="AD3564" s="18" t="n">
        <f aca="false">EDATE(AC3564,12)-1</f>
        <v>46497</v>
      </c>
      <c r="AE3564" s="13" t="s">
        <v>397</v>
      </c>
    </row>
    <row r="3565" customFormat="false" ht="15" hidden="false" customHeight="true" outlineLevel="0" collapsed="false">
      <c r="A3565" s="12" t="n">
        <v>22183</v>
      </c>
      <c r="B3565" s="13" t="s">
        <v>14530</v>
      </c>
      <c r="C3565" s="14" t="n">
        <v>46133</v>
      </c>
      <c r="D3565" s="13" t="s">
        <v>9043</v>
      </c>
      <c r="E3565" s="15" t="s">
        <v>47</v>
      </c>
      <c r="F3565" s="15" t="str">
        <f aca="false">IFERROR(__xludf.dummyfunction("XLOOKUP(AJ3565,IMPORTRANGE(""1XaInW9DU9nz21V0tYIfzFQ0He9kVQ_JF2mCXgZ3hqFA"",""REKAP ALL 2026 - Andika!G:G""),IMPORTRANGE(""1XaInW9DU9nz21V0tYIfzFQ0He9kVQ_JF2mCXgZ3hqFA"",""REKAP ALL 2026 - Andika!F:F""),"""",0)"),"26062989889")</f>
        <v>26062989889</v>
      </c>
      <c r="G3565" s="24" t="s">
        <v>57</v>
      </c>
      <c r="H3565" s="13" t="s">
        <v>35</v>
      </c>
      <c r="I3565" s="13" t="str">
        <f aca="false">IF(C3565=J3565,"NEW KONTRAK","RE-KONTRAK")</f>
        <v>NEW KONTRAK</v>
      </c>
      <c r="J3565" s="16" t="n">
        <f aca="false" t="array" ref="J3565:J3565">IFERROR(INDEX(AC3565:AE3565,IF(COUNTA(AC3565:AE3565)=0,"",MAX((AC3565:AE3565&lt;&gt;"")*(COLUMN(AC3565:AE3565)-(COLUMN(AC3565)))))-1),"")</f>
        <v>46133</v>
      </c>
      <c r="K3565" s="16" t="n">
        <f aca="false" t="array" ref="K3565:K3565">IFERROR(INDEX(AC3565:AE3565,IF(COUNTA(AC3565:AE3565)=0,"",MAX((AC3565:AE3565&lt;&gt;"")*(COLUMN(AC3565:AE3565)-(COLUMN(AC3565)-1))))-1),"")</f>
        <v>46497</v>
      </c>
      <c r="L3565" s="17" t="str">
        <f aca="false" t="array" ref="L3565:L3565">IFERROR(INDEX(AC3565:AE3565,IF(COUNTA(AC3565:AE3565)=0,"",MAX((AC3565:AE3565&lt;&gt;"")*(COLUMN(AC3565:AE3565)-(COLUMN(AC3565)-2))))-1),"")</f>
        <v>KEMBALI</v>
      </c>
      <c r="M3565" s="13" t="n">
        <f aca="true">K3565-TODAY()</f>
        <v>173</v>
      </c>
      <c r="N3565" s="18" t="s">
        <v>4735</v>
      </c>
      <c r="O3565" s="13" t="s">
        <v>14531</v>
      </c>
      <c r="P3565" s="19" t="n">
        <v>4560000</v>
      </c>
      <c r="Q3565" s="20" t="s">
        <v>14532</v>
      </c>
      <c r="R3565" s="13" t="s">
        <v>83</v>
      </c>
      <c r="S3565" s="14" t="n">
        <v>34751</v>
      </c>
      <c r="T3565" s="28" t="s">
        <v>40</v>
      </c>
      <c r="U3565" s="13" t="s">
        <v>14533</v>
      </c>
      <c r="V3565" s="13" t="s">
        <v>42</v>
      </c>
      <c r="W3565" s="13" t="s">
        <v>54</v>
      </c>
      <c r="X3565" s="116" t="n">
        <v>85257972798</v>
      </c>
      <c r="Y3565" s="22" t="str">
        <f aca="false">O3565</f>
        <v>IT Suport</v>
      </c>
      <c r="Z3565" s="13" t="str">
        <f aca="false">IFERROR(__xludf.dummyfunction("if(BJ3565="""","""",GOOGLETRANSLATE(BJ3565,""auto"",""en""))"),"IT Suport")</f>
        <v>IT Suport</v>
      </c>
      <c r="AA3565" s="23" t="str">
        <f aca="false">IF(C3565="","", CHOOSE(MONTH(C3565),"January","February","March","April","May","June","July","August","September","October","November","December")&amp;" "&amp;DAY(C3565)&amp;MID("thstndrdth",MIN(9,2*RIGHT(DAY(C3565))*(MOD(DAY(C3565)-11,100)&gt;2)+1),2)&amp;","&amp;TEXT(C3565," yyyy"))</f>
        <v>April 21st,2026</v>
      </c>
      <c r="AB3565" s="15" t="str">
        <f aca="true">IF(S3565="","",DATEDIF(S3565,TODAY(),"Y")&amp;" Tahun, "&amp;DATEDIF(S3565,TODAY(),"YM")&amp;" Bulan, "&amp;DATEDIF(S3565,TODAY(),"MD")&amp;" Hari")</f>
        <v>31 Tahun, 8 Bulan, 8 Hari</v>
      </c>
      <c r="AC3565" s="14" t="n">
        <v>46133</v>
      </c>
      <c r="AD3565" s="18" t="n">
        <f aca="false">EDATE(AC3565,12)-1</f>
        <v>46497</v>
      </c>
      <c r="AE3565" s="13" t="s">
        <v>397</v>
      </c>
    </row>
    <row r="3566" customFormat="false" ht="15" hidden="false" customHeight="true" outlineLevel="0" collapsed="false">
      <c r="A3566" s="12" t="n">
        <v>22184</v>
      </c>
      <c r="B3566" s="13" t="s">
        <v>14534</v>
      </c>
      <c r="C3566" s="14" t="n">
        <v>46139</v>
      </c>
      <c r="D3566" s="13" t="s">
        <v>5726</v>
      </c>
      <c r="E3566" s="15" t="s">
        <v>47</v>
      </c>
      <c r="F3566" s="15" t="str">
        <f aca="false">IFERROR(__xludf.dummyfunction("XLOOKUP(AJ3566,IMPORTRANGE(""1XaInW9DU9nz21V0tYIfzFQ0He9kVQ_JF2mCXgZ3hqFA"",""REKAP ALL 2026 - Andika!G:G""),IMPORTRANGE(""1XaInW9DU9nz21V0tYIfzFQ0He9kVQ_JF2mCXgZ3hqFA"",""REKAP ALL 2026 - Andika!F:F""),"""",0)"),"26062984625")</f>
        <v>26062984625</v>
      </c>
      <c r="G3566" s="13" t="s">
        <v>57</v>
      </c>
      <c r="H3566" s="13" t="s">
        <v>35</v>
      </c>
      <c r="I3566" s="13" t="str">
        <f aca="false">IF(C3566=J3566,"NEW KONTRAK","RE-KONTRAK")</f>
        <v>NEW KONTRAK</v>
      </c>
      <c r="J3566" s="16" t="n">
        <f aca="false" t="array" ref="J3566:J3566">IFERROR(INDEX(AC3566:AE3566,IF(COUNTA(AC3566:AE3566)=0,"",MAX((AC3566:AE3566&lt;&gt;"")*(COLUMN(AC3566:AE3566)-(COLUMN(AC3566)))))-1),"")</f>
        <v>46139</v>
      </c>
      <c r="K3566" s="16" t="n">
        <f aca="false" t="array" ref="K3566:K3566">IFERROR(INDEX(AC3566:AE3566,IF(COUNTA(AC3566:AE3566)=0,"",MAX((AC3566:AE3566&lt;&gt;"")*(COLUMN(AC3566:AE3566)-(COLUMN(AC3566)-1))))-1),"")</f>
        <v>46229</v>
      </c>
      <c r="L3566" s="17" t="str">
        <f aca="false" t="array" ref="L3566:L3566">IFERROR(INDEX(AC3566:AE3566,IF(COUNTA(AC3566:AE3566)=0,"",MAX((AC3566:AE3566&lt;&gt;"")*(COLUMN(AC3566:AE3566)-(COLUMN(AC3566)-2))))-1),"")</f>
        <v>ARCHIVED</v>
      </c>
      <c r="M3566" s="13" t="n">
        <f aca="true">K3566-TODAY()</f>
        <v>-95</v>
      </c>
      <c r="N3566" s="18" t="s">
        <v>615</v>
      </c>
      <c r="O3566" s="13" t="s">
        <v>1531</v>
      </c>
      <c r="P3566" s="19" t="n">
        <v>5176101</v>
      </c>
      <c r="Q3566" s="20" t="s">
        <v>14535</v>
      </c>
      <c r="R3566" s="13" t="s">
        <v>232</v>
      </c>
      <c r="S3566" s="14" t="n">
        <v>37125</v>
      </c>
      <c r="T3566" s="28" t="s">
        <v>40</v>
      </c>
      <c r="U3566" s="13" t="s">
        <v>14536</v>
      </c>
      <c r="V3566" s="13" t="s">
        <v>42</v>
      </c>
      <c r="W3566" s="13" t="s">
        <v>43</v>
      </c>
      <c r="X3566" s="30" t="n">
        <v>87852414060</v>
      </c>
      <c r="Y3566" s="22" t="str">
        <f aca="false">O3566</f>
        <v>Packer</v>
      </c>
      <c r="Z3566" s="13" t="str">
        <f aca="false">IFERROR(__xludf.dummyfunction("if(BJ3566="""","""",GOOGLETRANSLATE(BJ3566,""auto"",""en""))"),"Packer")</f>
        <v>Packer</v>
      </c>
      <c r="AA3566" s="23" t="str">
        <f aca="false">IF(C3566="","", CHOOSE(MONTH(C3566),"January","February","March","April","May","June","July","August","September","October","November","December")&amp;" "&amp;DAY(C3566)&amp;MID("thstndrdth",MIN(9,2*RIGHT(DAY(C3566))*(MOD(DAY(C3566)-11,100)&gt;2)+1),2)&amp;","&amp;TEXT(C3566," yyyy"))</f>
        <v>April 27th,2026</v>
      </c>
      <c r="AB3566" s="15" t="str">
        <f aca="true">IF(S3566="","",DATEDIF(S3566,TODAY(),"Y")&amp;" Tahun, "&amp;DATEDIF(S3566,TODAY(),"YM")&amp;" Bulan, "&amp;DATEDIF(S3566,TODAY(),"MD")&amp;" Hari")</f>
        <v>25 Tahun, 2 Bulan, 7 Hari</v>
      </c>
      <c r="AC3566" s="14" t="n">
        <v>46139</v>
      </c>
      <c r="AD3566" s="18" t="n">
        <f aca="false">EDATE(AC3566,3)-1</f>
        <v>46229</v>
      </c>
      <c r="AE3566" s="13" t="s">
        <v>44</v>
      </c>
    </row>
    <row r="3567" customFormat="false" ht="15" hidden="false" customHeight="true" outlineLevel="0" collapsed="false">
      <c r="A3567" s="12" t="n">
        <v>22185</v>
      </c>
      <c r="B3567" s="13" t="s">
        <v>14537</v>
      </c>
      <c r="C3567" s="14" t="n">
        <v>46139</v>
      </c>
      <c r="D3567" s="13" t="s">
        <v>5726</v>
      </c>
      <c r="E3567" s="15" t="s">
        <v>47</v>
      </c>
      <c r="F3567" s="15" t="str">
        <f aca="false">IFERROR(__xludf.dummyfunction("XLOOKUP(AJ3567,IMPORTRANGE(""1XaInW9DU9nz21V0tYIfzFQ0He9kVQ_JF2mCXgZ3hqFA"",""REKAP ALL 2026 - Andika!G:G""),IMPORTRANGE(""1XaInW9DU9nz21V0tYIfzFQ0He9kVQ_JF2mCXgZ3hqFA"",""REKAP ALL 2026 - Andika!F:F""),"""",0)"),"26062984658")</f>
        <v>26062984658</v>
      </c>
      <c r="G3567" s="13" t="s">
        <v>57</v>
      </c>
      <c r="H3567" s="13" t="s">
        <v>35</v>
      </c>
      <c r="I3567" s="13" t="str">
        <f aca="false">IF(C3567=J3567,"NEW KONTRAK","RE-KONTRAK")</f>
        <v>NEW KONTRAK</v>
      </c>
      <c r="J3567" s="16" t="n">
        <f aca="false" t="array" ref="J3567:J3567">IFERROR(INDEX(AC3567:AE3567,IF(COUNTA(AC3567:AE3567)=0,"",MAX((AC3567:AE3567&lt;&gt;"")*(COLUMN(AC3567:AE3567)-(COLUMN(AC3567)))))-1),"")</f>
        <v>46139</v>
      </c>
      <c r="K3567" s="16" t="n">
        <f aca="false" t="array" ref="K3567:K3567">IFERROR(INDEX(AC3567:AE3567,IF(COUNTA(AC3567:AE3567)=0,"",MAX((AC3567:AE3567&lt;&gt;"")*(COLUMN(AC3567:AE3567)-(COLUMN(AC3567)-1))))-1),"")</f>
        <v>46229</v>
      </c>
      <c r="L3567" s="17" t="str">
        <f aca="false" t="array" ref="L3567:L3567">IFERROR(INDEX(AC3567:AE3567,IF(COUNTA(AC3567:AE3567)=0,"",MAX((AC3567:AE3567&lt;&gt;"")*(COLUMN(AC3567:AE3567)-(COLUMN(AC3567)-2))))-1),"")</f>
        <v>ARCHIVED</v>
      </c>
      <c r="M3567" s="13" t="n">
        <f aca="true">K3567-TODAY()</f>
        <v>-95</v>
      </c>
      <c r="N3567" s="18" t="s">
        <v>615</v>
      </c>
      <c r="O3567" s="13" t="s">
        <v>1531</v>
      </c>
      <c r="P3567" s="19" t="n">
        <v>5176101</v>
      </c>
      <c r="Q3567" s="20" t="s">
        <v>14538</v>
      </c>
      <c r="R3567" s="13" t="s">
        <v>763</v>
      </c>
      <c r="S3567" s="14" t="n">
        <v>37598</v>
      </c>
      <c r="T3567" s="28" t="s">
        <v>40</v>
      </c>
      <c r="U3567" s="13" t="s">
        <v>14539</v>
      </c>
      <c r="V3567" s="13" t="s">
        <v>42</v>
      </c>
      <c r="W3567" s="13" t="s">
        <v>43</v>
      </c>
      <c r="X3567" s="30" t="n">
        <v>82393333468</v>
      </c>
      <c r="Y3567" s="22" t="str">
        <f aca="false">O3567</f>
        <v>Packer</v>
      </c>
      <c r="Z3567" s="13" t="str">
        <f aca="false">IFERROR(__xludf.dummyfunction("if(BJ3567="""","""",GOOGLETRANSLATE(BJ3567,""auto"",""en""))"),"Packer")</f>
        <v>Packer</v>
      </c>
      <c r="AA3567" s="23" t="str">
        <f aca="false">IF(C3567="","", CHOOSE(MONTH(C3567),"January","February","March","April","May","June","July","August","September","October","November","December")&amp;" "&amp;DAY(C3567)&amp;MID("thstndrdth",MIN(9,2*RIGHT(DAY(C3567))*(MOD(DAY(C3567)-11,100)&gt;2)+1),2)&amp;","&amp;TEXT(C3567," yyyy"))</f>
        <v>April 27th,2026</v>
      </c>
      <c r="AB3567" s="15" t="str">
        <f aca="true">IF(S3567="","",DATEDIF(S3567,TODAY(),"Y")&amp;" Tahun, "&amp;DATEDIF(S3567,TODAY(),"YM")&amp;" Bulan, "&amp;DATEDIF(S3567,TODAY(),"MD")&amp;" Hari")</f>
        <v>23 Tahun, 10 Bulan, 21 Hari</v>
      </c>
      <c r="AC3567" s="14" t="n">
        <v>46139</v>
      </c>
      <c r="AD3567" s="18" t="n">
        <f aca="false">EDATE(AC3567,3)-1</f>
        <v>46229</v>
      </c>
      <c r="AE3567" s="13" t="s">
        <v>44</v>
      </c>
    </row>
    <row r="3568" customFormat="false" ht="15.75" hidden="false" customHeight="true" outlineLevel="0" collapsed="false">
      <c r="A3568" s="12" t="n">
        <v>22186</v>
      </c>
      <c r="B3568" s="13" t="s">
        <v>14540</v>
      </c>
      <c r="C3568" s="14" t="n">
        <v>46139</v>
      </c>
      <c r="D3568" s="13" t="s">
        <v>5726</v>
      </c>
      <c r="E3568" s="15" t="s">
        <v>47</v>
      </c>
      <c r="F3568" s="15" t="str">
        <f aca="false">IFERROR(__xludf.dummyfunction("XLOOKUP(AJ3568,IMPORTRANGE(""1XaInW9DU9nz21V0tYIfzFQ0He9kVQ_JF2mCXgZ3hqFA"",""REKAP ALL 2026 - Andika!G:G""),IMPORTRANGE(""1XaInW9DU9nz21V0tYIfzFQ0He9kVQ_JF2mCXgZ3hqFA"",""REKAP ALL 2026 - Andika!F:F""),"""",0)"),"26062984674")</f>
        <v>26062984674</v>
      </c>
      <c r="G3568" s="13" t="s">
        <v>57</v>
      </c>
      <c r="H3568" s="13" t="s">
        <v>35</v>
      </c>
      <c r="I3568" s="13" t="str">
        <f aca="false">IF(C3568=J3568,"NEW KONTRAK","RE-KONTRAK")</f>
        <v>NEW KONTRAK</v>
      </c>
      <c r="J3568" s="16" t="n">
        <f aca="false" t="array" ref="J3568:J3568">IFERROR(INDEX(AC3568:AE3568,IF(COUNTA(AC3568:AE3568)=0,"",MAX((AC3568:AE3568&lt;&gt;"")*(COLUMN(AC3568:AE3568)-(COLUMN(AC3568)))))-1),"")</f>
        <v>46139</v>
      </c>
      <c r="K3568" s="16" t="n">
        <f aca="false" t="array" ref="K3568:K3568">IFERROR(INDEX(AC3568:AE3568,IF(COUNTA(AC3568:AE3568)=0,"",MAX((AC3568:AE3568&lt;&gt;"")*(COLUMN(AC3568:AE3568)-(COLUMN(AC3568)-1))))-1),"")</f>
        <v>46229</v>
      </c>
      <c r="L3568" s="17" t="str">
        <f aca="false" t="array" ref="L3568:L3568">IFERROR(INDEX(AC3568:AE3568,IF(COUNTA(AC3568:AE3568)=0,"",MAX((AC3568:AE3568&lt;&gt;"")*(COLUMN(AC3568:AE3568)-(COLUMN(AC3568)-2))))-1),"")</f>
        <v>ARCHIVED</v>
      </c>
      <c r="M3568" s="13" t="n">
        <f aca="true">K3568-TODAY()</f>
        <v>-95</v>
      </c>
      <c r="N3568" s="18" t="s">
        <v>615</v>
      </c>
      <c r="O3568" s="13" t="s">
        <v>1531</v>
      </c>
      <c r="P3568" s="19" t="n">
        <v>5176101</v>
      </c>
      <c r="Q3568" s="20" t="s">
        <v>14541</v>
      </c>
      <c r="R3568" s="13" t="s">
        <v>232</v>
      </c>
      <c r="S3568" s="14" t="n">
        <v>38283</v>
      </c>
      <c r="T3568" s="28" t="s">
        <v>40</v>
      </c>
      <c r="U3568" s="13" t="s">
        <v>14542</v>
      </c>
      <c r="V3568" s="13" t="s">
        <v>42</v>
      </c>
      <c r="W3568" s="13" t="s">
        <v>43</v>
      </c>
      <c r="X3568" s="30" t="n">
        <v>81107229034</v>
      </c>
      <c r="Y3568" s="22" t="str">
        <f aca="false">O3568</f>
        <v>Packer</v>
      </c>
      <c r="Z3568" s="13" t="str">
        <f aca="false">IFERROR(__xludf.dummyfunction("if(BJ3568="""","""",GOOGLETRANSLATE(BJ3568,""auto"",""en""))"),"Packer")</f>
        <v>Packer</v>
      </c>
      <c r="AA3568" s="23" t="str">
        <f aca="false">IF(C3568="","", CHOOSE(MONTH(C3568),"January","February","March","April","May","June","July","August","September","October","November","December")&amp;" "&amp;DAY(C3568)&amp;MID("thstndrdth",MIN(9,2*RIGHT(DAY(C3568))*(MOD(DAY(C3568)-11,100)&gt;2)+1),2)&amp;","&amp;TEXT(C3568," yyyy"))</f>
        <v>April 27th,2026</v>
      </c>
      <c r="AB3568" s="15" t="str">
        <f aca="true">IF(S3568="","",DATEDIF(S3568,TODAY(),"Y")&amp;" Tahun, "&amp;DATEDIF(S3568,TODAY(),"YM")&amp;" Bulan, "&amp;DATEDIF(S3568,TODAY(),"MD")&amp;" Hari")</f>
        <v>22 Tahun, 0 Bulan, 6 Hari</v>
      </c>
      <c r="AC3568" s="14" t="n">
        <v>46139</v>
      </c>
      <c r="AD3568" s="18" t="n">
        <f aca="false">EDATE(AC3568,3)-1</f>
        <v>46229</v>
      </c>
      <c r="AE3568" s="13" t="s">
        <v>44</v>
      </c>
    </row>
    <row r="3569" customFormat="false" ht="15" hidden="false" customHeight="true" outlineLevel="0" collapsed="false">
      <c r="A3569" s="12" t="n">
        <v>22187</v>
      </c>
      <c r="B3569" s="13" t="s">
        <v>14543</v>
      </c>
      <c r="C3569" s="14" t="n">
        <v>46139</v>
      </c>
      <c r="D3569" s="13" t="s">
        <v>5726</v>
      </c>
      <c r="E3569" s="15" t="s">
        <v>47</v>
      </c>
      <c r="F3569" s="15" t="str">
        <f aca="false">IFERROR(__xludf.dummyfunction("XLOOKUP(AJ3569,IMPORTRANGE(""1XaInW9DU9nz21V0tYIfzFQ0He9kVQ_JF2mCXgZ3hqFA"",""REKAP ALL 2026 - Andika!G:G""),IMPORTRANGE(""1XaInW9DU9nz21V0tYIfzFQ0He9kVQ_JF2mCXgZ3hqFA"",""REKAP ALL 2026 - Andika!F:F""),"""",0)"),"26062984716")</f>
        <v>26062984716</v>
      </c>
      <c r="G3569" s="13" t="s">
        <v>57</v>
      </c>
      <c r="H3569" s="13" t="s">
        <v>35</v>
      </c>
      <c r="I3569" s="13" t="str">
        <f aca="false">IF(C3569=J3569,"NEW KONTRAK","RE-KONTRAK")</f>
        <v>NEW KONTRAK</v>
      </c>
      <c r="J3569" s="16" t="n">
        <f aca="false" t="array" ref="J3569:J3569">IFERROR(INDEX(AC3569:AE3569,IF(COUNTA(AC3569:AE3569)=0,"",MAX((AC3569:AE3569&lt;&gt;"")*(COLUMN(AC3569:AE3569)-(COLUMN(AC3569)))))-1),"")</f>
        <v>46139</v>
      </c>
      <c r="K3569" s="16" t="n">
        <f aca="false" t="array" ref="K3569:K3569">IFERROR(INDEX(AC3569:AE3569,IF(COUNTA(AC3569:AE3569)=0,"",MAX((AC3569:AE3569&lt;&gt;"")*(COLUMN(AC3569:AE3569)-(COLUMN(AC3569)-1))))-1),"")</f>
        <v>46229</v>
      </c>
      <c r="L3569" s="17" t="str">
        <f aca="false" t="array" ref="L3569:L3569">IFERROR(INDEX(AC3569:AE3569,IF(COUNTA(AC3569:AE3569)=0,"",MAX((AC3569:AE3569&lt;&gt;"")*(COLUMN(AC3569:AE3569)-(COLUMN(AC3569)-2))))-1),"")</f>
        <v>ARCHIVED</v>
      </c>
      <c r="M3569" s="13" t="n">
        <f aca="true">K3569-TODAY()</f>
        <v>-95</v>
      </c>
      <c r="N3569" s="18" t="s">
        <v>615</v>
      </c>
      <c r="O3569" s="13" t="s">
        <v>1531</v>
      </c>
      <c r="P3569" s="19" t="n">
        <v>5176101</v>
      </c>
      <c r="Q3569" s="20" t="s">
        <v>14544</v>
      </c>
      <c r="R3569" s="13" t="s">
        <v>232</v>
      </c>
      <c r="S3569" s="14" t="n">
        <v>37342</v>
      </c>
      <c r="T3569" s="13" t="s">
        <v>108</v>
      </c>
      <c r="U3569" s="13" t="s">
        <v>14545</v>
      </c>
      <c r="V3569" s="13" t="s">
        <v>42</v>
      </c>
      <c r="W3569" s="13" t="s">
        <v>43</v>
      </c>
      <c r="X3569" s="30" t="n">
        <v>85746657437</v>
      </c>
      <c r="Y3569" s="22" t="str">
        <f aca="false">O3569</f>
        <v>Packer</v>
      </c>
      <c r="Z3569" s="13" t="str">
        <f aca="false">IFERROR(__xludf.dummyfunction("if(BJ3569="""","""",GOOGLETRANSLATE(BJ3569,""auto"",""en""))"),"Packer")</f>
        <v>Packer</v>
      </c>
      <c r="AA3569" s="23" t="str">
        <f aca="false">IF(C3569="","", CHOOSE(MONTH(C3569),"January","February","March","April","May","June","July","August","September","October","November","December")&amp;" "&amp;DAY(C3569)&amp;MID("thstndrdth",MIN(9,2*RIGHT(DAY(C3569))*(MOD(DAY(C3569)-11,100)&gt;2)+1),2)&amp;","&amp;TEXT(C3569," yyyy"))</f>
        <v>April 27th,2026</v>
      </c>
      <c r="AB3569" s="15" t="str">
        <f aca="true">IF(S3569="","",DATEDIF(S3569,TODAY(),"Y")&amp;" Tahun, "&amp;DATEDIF(S3569,TODAY(),"YM")&amp;" Bulan, "&amp;DATEDIF(S3569,TODAY(),"MD")&amp;" Hari")</f>
        <v>24 Tahun, 7 Bulan, 2 Hari</v>
      </c>
      <c r="AC3569" s="14" t="n">
        <v>46139</v>
      </c>
      <c r="AD3569" s="18" t="n">
        <f aca="false">EDATE(AC3569,3)-1</f>
        <v>46229</v>
      </c>
      <c r="AE3569" s="13" t="s">
        <v>44</v>
      </c>
    </row>
    <row r="3570" customFormat="false" ht="15" hidden="false" customHeight="true" outlineLevel="0" collapsed="false">
      <c r="A3570" s="12" t="n">
        <v>22188</v>
      </c>
      <c r="B3570" s="13" t="s">
        <v>14546</v>
      </c>
      <c r="C3570" s="14" t="n">
        <v>46135</v>
      </c>
      <c r="D3570" s="13" t="s">
        <v>3022</v>
      </c>
      <c r="E3570" s="15" t="s">
        <v>102</v>
      </c>
      <c r="F3570" s="24" t="s">
        <v>14547</v>
      </c>
      <c r="G3570" s="13" t="s">
        <v>57</v>
      </c>
      <c r="H3570" s="13" t="s">
        <v>3024</v>
      </c>
      <c r="I3570" s="13" t="str">
        <f aca="false">IF(C3570=J3570,"NEW KONTRAK","RE-KONTRAK")</f>
        <v>NEW KONTRAK</v>
      </c>
      <c r="J3570" s="16" t="n">
        <f aca="false" t="array" ref="J3570:J3570">IFERROR(INDEX(AC3570:AE3570,IF(COUNTA(AC3570:AE3570)=0,"",MAX((AC3570:AE3570&lt;&gt;"")*(COLUMN(AC3570:AE3570)-(COLUMN(AC3570)))))-1),"")</f>
        <v>46135</v>
      </c>
      <c r="K3570" s="16" t="n">
        <f aca="false" t="array" ref="K3570:K3570">IFERROR(INDEX(AC3570:AE3570,IF(COUNTA(AC3570:AE3570)=0,"",MAX((AC3570:AE3570&lt;&gt;"")*(COLUMN(AC3570:AE3570)-(COLUMN(AC3570)-1))))-1),"")</f>
        <v>46225</v>
      </c>
      <c r="L3570" s="17" t="str">
        <f aca="false" t="array" ref="L3570:L3570">IFERROR(INDEX(AC3570:AE3570,IF(COUNTA(AC3570:AE3570)=0,"",MAX((AC3570:AE3570&lt;&gt;"")*(COLUMN(AC3570:AE3570)-(COLUMN(AC3570)-2))))-1),"")</f>
        <v>ARCHIVED</v>
      </c>
      <c r="M3570" s="13" t="n">
        <f aca="true">K3570-TODAY()</f>
        <v>-99</v>
      </c>
      <c r="N3570" s="18" t="s">
        <v>36</v>
      </c>
      <c r="O3570" s="13" t="s">
        <v>13295</v>
      </c>
      <c r="P3570" s="19" t="n">
        <v>110000</v>
      </c>
      <c r="Q3570" s="20" t="s">
        <v>14548</v>
      </c>
      <c r="R3570" s="13" t="s">
        <v>39</v>
      </c>
      <c r="S3570" s="14" t="n">
        <v>39027</v>
      </c>
      <c r="T3570" s="28" t="s">
        <v>40</v>
      </c>
      <c r="U3570" s="13" t="s">
        <v>14549</v>
      </c>
      <c r="V3570" s="13" t="s">
        <v>42</v>
      </c>
      <c r="W3570" s="13" t="s">
        <v>43</v>
      </c>
      <c r="X3570" s="30" t="n">
        <v>85789691085</v>
      </c>
      <c r="Y3570" s="22" t="str">
        <f aca="false">O3570</f>
        <v>PU</v>
      </c>
      <c r="Z3570" s="13" t="str">
        <f aca="false">IFERROR(__xludf.dummyfunction("if(BJ3570="""","""",GOOGLETRANSLATE(BJ3570,""auto"",""en""))"),"COULD")</f>
        <v>COULD</v>
      </c>
      <c r="AA3570" s="23" t="str">
        <f aca="false">IF(C3570="","", CHOOSE(MONTH(C3570),"January","February","March","April","May","June","July","August","September","October","November","December")&amp;" "&amp;DAY(C3570)&amp;MID("thstndrdth",MIN(9,2*RIGHT(DAY(C3570))*(MOD(DAY(C3570)-11,100)&gt;2)+1),2)&amp;","&amp;TEXT(C3570," yyyy"))</f>
        <v>April 23rd,2026</v>
      </c>
      <c r="AB3570" s="15" t="str">
        <f aca="true">IF(S3570="","",DATEDIF(S3570,TODAY(),"Y")&amp;" Tahun, "&amp;DATEDIF(S3570,TODAY(),"YM")&amp;" Bulan, "&amp;DATEDIF(S3570,TODAY(),"MD")&amp;" Hari")</f>
        <v>19 Tahun, 11 Bulan, 23 Hari</v>
      </c>
      <c r="AC3570" s="14" t="n">
        <v>46135</v>
      </c>
      <c r="AD3570" s="18" t="n">
        <f aca="false">EDATE(AC3570,3)-1</f>
        <v>46225</v>
      </c>
      <c r="AE3570" s="13" t="s">
        <v>44</v>
      </c>
    </row>
    <row r="3571" customFormat="false" ht="15" hidden="false" customHeight="true" outlineLevel="0" collapsed="false">
      <c r="A3571" s="12" t="n">
        <v>22189</v>
      </c>
      <c r="B3571" s="13" t="s">
        <v>14550</v>
      </c>
      <c r="C3571" s="16" t="n">
        <v>46139</v>
      </c>
      <c r="D3571" s="13" t="s">
        <v>8071</v>
      </c>
      <c r="E3571" s="15" t="s">
        <v>102</v>
      </c>
      <c r="F3571" s="24" t="s">
        <v>14551</v>
      </c>
      <c r="G3571" s="24" t="s">
        <v>57</v>
      </c>
      <c r="H3571" s="13" t="s">
        <v>35</v>
      </c>
      <c r="I3571" s="13" t="str">
        <f aca="false">IF(C3571=J3571,"NEW KONTRAK","RE-KONTRAK")</f>
        <v>NEW KONTRAK</v>
      </c>
      <c r="J3571" s="16" t="n">
        <f aca="false" t="array" ref="J3571:J3571">IFERROR(INDEX(AC3571:AE3571,IF(COUNTA(AC3571:AE3571)=0,"",MAX((AC3571:AE3571&lt;&gt;"")*(COLUMN(AC3571:AE3571)-(COLUMN(AC3571)))))-1),"")</f>
        <v>46139</v>
      </c>
      <c r="K3571" s="16" t="n">
        <f aca="false" t="array" ref="K3571:K3571">IFERROR(INDEX(AC3571:AE3571,IF(COUNTA(AC3571:AE3571)=0,"",MAX((AC3571:AE3571&lt;&gt;"")*(COLUMN(AC3571:AE3571)-(COLUMN(AC3571)-1))))-1),"")</f>
        <v>46229</v>
      </c>
      <c r="L3571" s="17" t="str">
        <f aca="false" t="array" ref="L3571:L3571">IFERROR(INDEX(AC3571:AE3571,IF(COUNTA(AC3571:AE3571)=0,"",MAX((AC3571:AE3571&lt;&gt;"")*(COLUMN(AC3571:AE3571)-(COLUMN(AC3571)-2))))-1),"")</f>
        <v>ARCHIVED</v>
      </c>
      <c r="M3571" s="13" t="n">
        <f aca="true">K3571-TODAY()</f>
        <v>-95</v>
      </c>
      <c r="N3571" s="18" t="s">
        <v>105</v>
      </c>
      <c r="O3571" s="13" t="s">
        <v>9688</v>
      </c>
      <c r="P3571" s="19" t="n">
        <v>4250000</v>
      </c>
      <c r="Q3571" s="47" t="s">
        <v>14552</v>
      </c>
      <c r="R3571" s="13" t="s">
        <v>39</v>
      </c>
      <c r="S3571" s="16" t="n">
        <v>36429</v>
      </c>
      <c r="T3571" s="28" t="s">
        <v>40</v>
      </c>
      <c r="U3571" s="13" t="s">
        <v>14553</v>
      </c>
      <c r="V3571" s="13" t="s">
        <v>42</v>
      </c>
      <c r="W3571" s="13" t="s">
        <v>43</v>
      </c>
      <c r="X3571" s="30" t="n">
        <v>85741715454</v>
      </c>
      <c r="Y3571" s="22" t="str">
        <f aca="false">O3571</f>
        <v>Staff Purchasing</v>
      </c>
      <c r="Z3571" s="13" t="str">
        <f aca="false">IFERROR(__xludf.dummyfunction("if(BJ3571="""","""",GOOGLETRANSLATE(BJ3571,""auto"",""en""))"),"Staff Purchasing")</f>
        <v>Staff Purchasing</v>
      </c>
      <c r="AA3571" s="23" t="str">
        <f aca="false">IF(C3571="","", CHOOSE(MONTH(C3571),"January","February","March","April","May","June","July","August","September","October","November","December")&amp;" "&amp;DAY(C3571)&amp;MID("thstndrdth",MIN(9,2*RIGHT(DAY(C3571))*(MOD(DAY(C3571)-11,100)&gt;2)+1),2)&amp;","&amp;TEXT(C3571," yyyy"))</f>
        <v>April 27th,2026</v>
      </c>
      <c r="AB3571" s="15" t="str">
        <f aca="true">IF(S3571="","",DATEDIF(S3571,TODAY(),"Y")&amp;" Tahun, "&amp;DATEDIF(S3571,TODAY(),"YM")&amp;" Bulan, "&amp;DATEDIF(S3571,TODAY(),"MD")&amp;" Hari")</f>
        <v>27 Tahun, 1 Bulan, 3 Hari</v>
      </c>
      <c r="AC3571" s="14" t="n">
        <v>46139</v>
      </c>
      <c r="AD3571" s="18" t="n">
        <f aca="false">EDATE(AC3571,3)-1</f>
        <v>46229</v>
      </c>
      <c r="AE3571" s="13" t="s">
        <v>44</v>
      </c>
    </row>
    <row r="3572" customFormat="false" ht="15" hidden="false" customHeight="true" outlineLevel="0" collapsed="false">
      <c r="A3572" s="12" t="n">
        <v>22190</v>
      </c>
      <c r="B3572" s="13" t="s">
        <v>14554</v>
      </c>
      <c r="C3572" s="14" t="n">
        <v>46134</v>
      </c>
      <c r="D3572" s="13" t="s">
        <v>7310</v>
      </c>
      <c r="E3572" s="15" t="s">
        <v>47</v>
      </c>
      <c r="F3572" s="15" t="str">
        <f aca="false">IFERROR(__xludf.dummyfunction("XLOOKUP(AJ3572,IMPORTRANGE(""1XaInW9DU9nz21V0tYIfzFQ0He9kVQ_JF2mCXgZ3hqFA"",""REKAP ALL 2026 - Andika!G:G""),IMPORTRANGE(""1XaInW9DU9nz21V0tYIfzFQ0He9kVQ_JF2mCXgZ3hqFA"",""REKAP ALL 2026 - Andika!F:F""),"""",0)"),"26062988451")</f>
        <v>26062988451</v>
      </c>
      <c r="G3572" s="13" t="s">
        <v>1127</v>
      </c>
      <c r="H3572" s="13" t="s">
        <v>35</v>
      </c>
      <c r="I3572" s="13" t="str">
        <f aca="false">IF(C3572=J3572,"NEW KONTRAK","RE-KONTRAK")</f>
        <v>NEW KONTRAK</v>
      </c>
      <c r="J3572" s="16" t="n">
        <f aca="false" t="array" ref="J3572:J3572">IFERROR(INDEX(AC3572:AE3572,IF(COUNTA(AC3572:AE3572)=0,"",MAX((AC3572:AE3572&lt;&gt;"")*(COLUMN(AC3572:AE3572)-(COLUMN(AC3572)))))-1),"")</f>
        <v>46134</v>
      </c>
      <c r="K3572" s="16" t="n">
        <f aca="false" t="array" ref="K3572:K3572">IFERROR(INDEX(AC3572:AE3572,IF(COUNTA(AC3572:AE3572)=0,"",MAX((AC3572:AE3572&lt;&gt;"")*(COLUMN(AC3572:AE3572)-(COLUMN(AC3572)-1))))-1),"")</f>
        <v>46267</v>
      </c>
      <c r="L3572" s="17" t="str">
        <f aca="false" t="array" ref="L3572:L3572">IFERROR(INDEX(AC3572:AE3572,IF(COUNTA(AC3572:AE3572)=0,"",MAX((AC3572:AE3572&lt;&gt;"")*(COLUMN(AC3572:AE3572)-(COLUMN(AC3572)-2))))-1),"")</f>
        <v>ARCHIVED</v>
      </c>
      <c r="M3572" s="13" t="n">
        <f aca="true">K3572-TODAY()</f>
        <v>-57</v>
      </c>
      <c r="N3572" s="18" t="s">
        <v>7313</v>
      </c>
      <c r="O3572" s="13" t="s">
        <v>50</v>
      </c>
      <c r="P3572" s="19" t="n">
        <v>2550274</v>
      </c>
      <c r="Q3572" s="20" t="s">
        <v>14555</v>
      </c>
      <c r="R3572" s="13" t="s">
        <v>227</v>
      </c>
      <c r="S3572" s="14" t="n">
        <v>38733</v>
      </c>
      <c r="T3572" s="28" t="s">
        <v>40</v>
      </c>
      <c r="U3572" s="13" t="s">
        <v>14556</v>
      </c>
      <c r="V3572" s="13" t="s">
        <v>42</v>
      </c>
      <c r="W3572" s="13" t="s">
        <v>43</v>
      </c>
      <c r="X3572" s="30" t="n">
        <v>85343283096</v>
      </c>
      <c r="Y3572" s="22" t="str">
        <f aca="false">O3572</f>
        <v>Driver</v>
      </c>
      <c r="Z3572" s="13" t="str">
        <f aca="false">IFERROR(__xludf.dummyfunction("if(BJ3572="""","""",GOOGLETRANSLATE(BJ3572,""auto"",""en""))"),"Driver")</f>
        <v>Driver</v>
      </c>
      <c r="AA3572" s="23" t="str">
        <f aca="false">IF(C3572="","", CHOOSE(MONTH(C3572),"January","February","March","April","May","June","July","August","September","October","November","December")&amp;" "&amp;DAY(C3572)&amp;MID("thstndrdth",MIN(9,2*RIGHT(DAY(C3572))*(MOD(DAY(C3572)-11,100)&gt;2)+1),2)&amp;","&amp;TEXT(C3572," yyyy"))</f>
        <v>April 22nd,2026</v>
      </c>
      <c r="AB3572" s="15" t="str">
        <f aca="true">IF(S3572="","",DATEDIF(S3572,TODAY(),"Y")&amp;" Tahun, "&amp;DATEDIF(S3572,TODAY(),"YM")&amp;" Bulan, "&amp;DATEDIF(S3572,TODAY(),"MD")&amp;" Hari")</f>
        <v>20 Tahun, 9 Bulan, 13 Hari</v>
      </c>
      <c r="AC3572" s="14" t="n">
        <f aca="false">C3572</f>
        <v>46134</v>
      </c>
      <c r="AD3572" s="18" t="n">
        <v>46267</v>
      </c>
      <c r="AE3572" s="18" t="s">
        <v>44</v>
      </c>
    </row>
    <row r="3573" customFormat="false" ht="15" hidden="false" customHeight="true" outlineLevel="0" collapsed="false">
      <c r="A3573" s="12" t="n">
        <v>22191</v>
      </c>
      <c r="B3573" s="13" t="s">
        <v>14557</v>
      </c>
      <c r="C3573" s="14" t="n">
        <v>46134</v>
      </c>
      <c r="D3573" s="13" t="s">
        <v>3643</v>
      </c>
      <c r="E3573" s="15" t="s">
        <v>47</v>
      </c>
      <c r="F3573" s="24" t="s">
        <v>14558</v>
      </c>
      <c r="G3573" s="13" t="s">
        <v>2809</v>
      </c>
      <c r="H3573" s="13" t="s">
        <v>35</v>
      </c>
      <c r="I3573" s="13" t="str">
        <f aca="false">IF(C3573=J3573,"NEW KONTRAK","RE-KONTRAK")</f>
        <v>NEW KONTRAK</v>
      </c>
      <c r="J3573" s="16" t="n">
        <f aca="false" t="array" ref="J3573:J3573">IFERROR(INDEX(AC3573:AE3573,IF(COUNTA(AC3573:AE3573)=0,"",MAX((AC3573:AE3573&lt;&gt;"")*(COLUMN(AC3573:AE3573)-(COLUMN(AC3573)))))-1),"")</f>
        <v>46134</v>
      </c>
      <c r="K3573" s="16" t="n">
        <f aca="false" t="array" ref="K3573:K3573">IFERROR(INDEX(AC3573:AE3573,IF(COUNTA(AC3573:AE3573)=0,"",MAX((AC3573:AE3573&lt;&gt;"")*(COLUMN(AC3573:AE3573)-(COLUMN(AC3573)-1))))-1),"")</f>
        <v>46224</v>
      </c>
      <c r="L3573" s="17" t="str">
        <f aca="false" t="array" ref="L3573:L3573">IFERROR(INDEX(AC3573:AE3573,IF(COUNTA(AC3573:AE3573)=0,"",MAX((AC3573:AE3573&lt;&gt;"")*(COLUMN(AC3573:AE3573)-(COLUMN(AC3573)-2))))-1),"")</f>
        <v>ARCHIVED</v>
      </c>
      <c r="M3573" s="13" t="n">
        <f aca="true">K3573-TODAY()</f>
        <v>-100</v>
      </c>
      <c r="N3573" s="18" t="s">
        <v>728</v>
      </c>
      <c r="O3573" s="13" t="s">
        <v>9045</v>
      </c>
      <c r="P3573" s="19" t="n">
        <v>2750000</v>
      </c>
      <c r="Q3573" s="20" t="s">
        <v>14559</v>
      </c>
      <c r="R3573" s="13" t="s">
        <v>227</v>
      </c>
      <c r="S3573" s="14" t="n">
        <v>36765</v>
      </c>
      <c r="T3573" s="28" t="s">
        <v>40</v>
      </c>
      <c r="U3573" s="13" t="s">
        <v>14560</v>
      </c>
      <c r="V3573" s="13" t="s">
        <v>42</v>
      </c>
      <c r="W3573" s="13" t="s">
        <v>43</v>
      </c>
      <c r="X3573" s="30" t="n">
        <v>85820744666</v>
      </c>
      <c r="Y3573" s="22" t="str">
        <f aca="false">O3573</f>
        <v>Customer Service</v>
      </c>
      <c r="Z3573" s="13" t="str">
        <f aca="false">IFERROR(__xludf.dummyfunction("if(BJ3573="""","""",GOOGLETRANSLATE(BJ3573,""auto"",""en""))"),"Customer Service")</f>
        <v>Customer Service</v>
      </c>
      <c r="AA3573" s="23" t="str">
        <f aca="false">IF(C3573="","", CHOOSE(MONTH(C3573),"January","February","March","April","May","June","July","August","September","October","November","December")&amp;" "&amp;DAY(C3573)&amp;MID("thstndrdth",MIN(9,2*RIGHT(DAY(C3573))*(MOD(DAY(C3573)-11,100)&gt;2)+1),2)&amp;","&amp;TEXT(C3573," yyyy"))</f>
        <v>April 22nd,2026</v>
      </c>
      <c r="AB3573" s="15" t="str">
        <f aca="true">IF(S3573="","",DATEDIF(S3573,TODAY(),"Y")&amp;" Tahun, "&amp;DATEDIF(S3573,TODAY(),"YM")&amp;" Bulan, "&amp;DATEDIF(S3573,TODAY(),"MD")&amp;" Hari")</f>
        <v>26 Tahun, 2 Bulan, 2 Hari</v>
      </c>
      <c r="AC3573" s="14" t="n">
        <v>46134</v>
      </c>
      <c r="AD3573" s="18" t="n">
        <f aca="false">EDATE(AC3573,3)-1</f>
        <v>46224</v>
      </c>
      <c r="AE3573" s="13" t="s">
        <v>44</v>
      </c>
    </row>
    <row r="3574" customFormat="false" ht="15" hidden="false" customHeight="true" outlineLevel="0" collapsed="false">
      <c r="A3574" s="12" t="n">
        <v>22192</v>
      </c>
      <c r="B3574" s="13" t="s">
        <v>14561</v>
      </c>
      <c r="C3574" s="16" t="n">
        <v>46139</v>
      </c>
      <c r="D3574" s="13" t="s">
        <v>101</v>
      </c>
      <c r="E3574" s="15" t="s">
        <v>102</v>
      </c>
      <c r="F3574" s="24" t="s">
        <v>14562</v>
      </c>
      <c r="G3574" s="24" t="s">
        <v>57</v>
      </c>
      <c r="H3574" s="13" t="s">
        <v>35</v>
      </c>
      <c r="I3574" s="13" t="str">
        <f aca="false">IF(C3574=J3574,"NEW KONTRAK","RE-KONTRAK")</f>
        <v>NEW KONTRAK</v>
      </c>
      <c r="J3574" s="16" t="n">
        <f aca="false" t="array" ref="J3574:J3574">IFERROR(INDEX(AC3574:AE3574,IF(COUNTA(AC3574:AE3574)=0,"",MAX((AC3574:AE3574&lt;&gt;"")*(COLUMN(AC3574:AE3574)-(COLUMN(AC3574)))))-1),"")</f>
        <v>46139</v>
      </c>
      <c r="K3574" s="16" t="n">
        <f aca="false" t="array" ref="K3574:K3574">IFERROR(INDEX(AC3574:AE3574,IF(COUNTA(AC3574:AE3574)=0,"",MAX((AC3574:AE3574&lt;&gt;"")*(COLUMN(AC3574:AE3574)-(COLUMN(AC3574)-1))))-1),"")</f>
        <v>46188</v>
      </c>
      <c r="L3574" s="17" t="str">
        <f aca="false" t="array" ref="L3574:L3574">IFERROR(INDEX(AC3574:AE3574,IF(COUNTA(AC3574:AE3574)=0,"",MAX((AC3574:AE3574&lt;&gt;"")*(COLUMN(AC3574:AE3574)-(COLUMN(AC3574)-2))))-1),"")</f>
        <v>ARCHIVED</v>
      </c>
      <c r="M3574" s="13" t="n">
        <f aca="true">K3574-TODAY()</f>
        <v>-136</v>
      </c>
      <c r="N3574" s="50" t="s">
        <v>728</v>
      </c>
      <c r="O3574" s="13" t="s">
        <v>11246</v>
      </c>
      <c r="P3574" s="19" t="n">
        <v>247216.23</v>
      </c>
      <c r="Q3574" s="20" t="s">
        <v>14563</v>
      </c>
      <c r="R3574" s="13" t="s">
        <v>260</v>
      </c>
      <c r="S3574" s="25" t="n">
        <v>37115</v>
      </c>
      <c r="T3574" s="13" t="s">
        <v>108</v>
      </c>
      <c r="U3574" s="13" t="s">
        <v>14564</v>
      </c>
      <c r="V3574" s="13" t="s">
        <v>42</v>
      </c>
      <c r="W3574" s="13" t="s">
        <v>54</v>
      </c>
      <c r="X3574" s="21" t="n">
        <v>82117377295</v>
      </c>
      <c r="Y3574" s="22" t="str">
        <f aca="false">O3574</f>
        <v>Admin Purchasing</v>
      </c>
      <c r="Z3574" s="13" t="str">
        <f aca="false">IFERROR(__xludf.dummyfunction("if(BJ3574="""","""",GOOGLETRANSLATE(BJ3574,""auto"",""en""))"),"Admin Purchasing")</f>
        <v>Admin Purchasing</v>
      </c>
      <c r="AA3574" s="23" t="str">
        <f aca="false">IF(C3574="","", CHOOSE(MONTH(C3574),"January","February","March","April","May","June","July","August","September","October","November","December")&amp;" "&amp;DAY(C3574)&amp;MID("thstndrdth",MIN(9,2*RIGHT(DAY(C3574))*(MOD(DAY(C3574)-11,100)&gt;2)+1),2)&amp;","&amp;TEXT(C3574," yyyy"))</f>
        <v>April 27th,2026</v>
      </c>
      <c r="AB3574" s="15" t="str">
        <f aca="true">IF(S3574="","",DATEDIF(S3574,TODAY(),"Y")&amp;" Tahun, "&amp;DATEDIF(S3574,TODAY(),"YM")&amp;" Bulan, "&amp;DATEDIF(S3574,TODAY(),"MD")&amp;" Hari")</f>
        <v>25 Tahun, 2 Bulan, 17 Hari</v>
      </c>
      <c r="AC3574" s="14" t="n">
        <f aca="false">C3574</f>
        <v>46139</v>
      </c>
      <c r="AD3574" s="18" t="n">
        <v>46188</v>
      </c>
      <c r="AE3574" s="13" t="s">
        <v>44</v>
      </c>
    </row>
    <row r="3575" customFormat="false" ht="15" hidden="false" customHeight="true" outlineLevel="0" collapsed="false">
      <c r="A3575" s="12" t="n">
        <v>22193</v>
      </c>
      <c r="B3575" s="13" t="s">
        <v>14565</v>
      </c>
      <c r="C3575" s="14" t="n">
        <v>46055</v>
      </c>
      <c r="D3575" s="13" t="s">
        <v>1721</v>
      </c>
      <c r="E3575" s="15" t="s">
        <v>789</v>
      </c>
      <c r="F3575" s="15" t="str">
        <f aca="false">IFERROR(__xludf.dummyfunction("XLOOKUP(AJ3575,IMPORTRANGE(""1XaInW9DU9nz21V0tYIfzFQ0He9kVQ_JF2mCXgZ3hqFA"",""REKAP ALL 2026 - Andika!G:G""),IMPORTRANGE(""1XaInW9DU9nz21V0tYIfzFQ0He9kVQ_JF2mCXgZ3hqFA"",""REKAP ALL 2026 - Andika!F:F""),"""",0)"),"26062980607")</f>
        <v>26062980607</v>
      </c>
      <c r="G3575" s="24" t="s">
        <v>57</v>
      </c>
      <c r="H3575" s="13" t="s">
        <v>35</v>
      </c>
      <c r="I3575" s="13" t="str">
        <f aca="false">IF(C3575=J3575,"NEW KONTRAK","RE-KONTRAK")</f>
        <v>NEW KONTRAK</v>
      </c>
      <c r="J3575" s="16" t="n">
        <f aca="false" t="array" ref="J3575:J3575">IFERROR(INDEX(AC3575:AE3575,IF(COUNTA(AC3575:AE3575)=0,"",MAX((AC3575:AE3575&lt;&gt;"")*(COLUMN(AC3575:AE3575)-(COLUMN(AC3575)))))-1),"")</f>
        <v>46055</v>
      </c>
      <c r="K3575" s="16" t="n">
        <f aca="false" t="array" ref="K3575:K3575">IFERROR(INDEX(AC3575:AE3575,IF(COUNTA(AC3575:AE3575)=0,"",MAX((AC3575:AE3575&lt;&gt;"")*(COLUMN(AC3575:AE3575)-(COLUMN(AC3575)-1))))-1),"")</f>
        <v>46204</v>
      </c>
      <c r="L3575" s="17" t="str">
        <f aca="false" t="array" ref="L3575:L3575">IFERROR(INDEX(AC3575:AE3575,IF(COUNTA(AC3575:AE3575)=0,"",MAX((AC3575:AE3575&lt;&gt;"")*(COLUMN(AC3575:AE3575)-(COLUMN(AC3575)-2))))-1),"")</f>
        <v>ARCHIVED</v>
      </c>
      <c r="M3575" s="13" t="n">
        <f aca="true">K3575-TODAY()</f>
        <v>-120</v>
      </c>
      <c r="N3575" s="18" t="s">
        <v>728</v>
      </c>
      <c r="O3575" s="13" t="s">
        <v>1900</v>
      </c>
      <c r="P3575" s="19" t="n">
        <v>5444909</v>
      </c>
      <c r="Q3575" s="20" t="s">
        <v>14566</v>
      </c>
      <c r="R3575" s="13" t="s">
        <v>52</v>
      </c>
      <c r="S3575" s="14" t="n">
        <v>34878</v>
      </c>
      <c r="T3575" s="13" t="s">
        <v>108</v>
      </c>
      <c r="U3575" s="13" t="s">
        <v>14567</v>
      </c>
      <c r="V3575" s="13" t="s">
        <v>42</v>
      </c>
      <c r="W3575" s="13" t="s">
        <v>43</v>
      </c>
      <c r="X3575" s="30" t="n">
        <v>81299353875</v>
      </c>
      <c r="Y3575" s="22" t="str">
        <f aca="false">O3575</f>
        <v>Quality</v>
      </c>
      <c r="Z3575" s="13" t="str">
        <f aca="false">IFERROR(__xludf.dummyfunction("if(BJ3575="""","""",GOOGLETRANSLATE(BJ3575,""auto"",""en""))"),"Quality")</f>
        <v>Quality</v>
      </c>
      <c r="AA3575" s="23" t="str">
        <f aca="false">IF(C3575="","", CHOOSE(MONTH(C3575),"January","February","March","April","May","June","July","August","September","October","November","December")&amp;" "&amp;DAY(C3575)&amp;MID("thstndrdth",MIN(9,2*RIGHT(DAY(C3575))*(MOD(DAY(C3575)-11,100)&gt;2)+1),2)&amp;","&amp;TEXT(C3575," yyyy"))</f>
        <v>February 2nd,2026</v>
      </c>
      <c r="AB3575" s="15" t="str">
        <f aca="true">IF(S3575="","",DATEDIF(S3575,TODAY(),"Y")&amp;" Tahun, "&amp;DATEDIF(S3575,TODAY(),"YM")&amp;" Bulan, "&amp;DATEDIF(S3575,TODAY(),"MD")&amp;" Hari")</f>
        <v>31 Tahun, 4 Bulan, 1 Hari</v>
      </c>
      <c r="AC3575" s="14" t="n">
        <v>46055</v>
      </c>
      <c r="AD3575" s="18" t="n">
        <v>46204</v>
      </c>
      <c r="AE3575" s="13" t="s">
        <v>44</v>
      </c>
    </row>
    <row r="3576" customFormat="false" ht="15" hidden="false" customHeight="true" outlineLevel="0" collapsed="false">
      <c r="A3576" s="12" t="n">
        <v>22194</v>
      </c>
      <c r="B3576" s="13" t="s">
        <v>14568</v>
      </c>
      <c r="C3576" s="14" t="n">
        <v>46133</v>
      </c>
      <c r="D3576" s="13" t="s">
        <v>9387</v>
      </c>
      <c r="E3576" s="15" t="s">
        <v>33</v>
      </c>
      <c r="F3576" s="15" t="str">
        <f aca="false">IFERROR(__xludf.dummyfunction("XLOOKUP(AJ3576,IMPORTRANGE(""1XaInW9DU9nz21V0tYIfzFQ0He9kVQ_JF2mCXgZ3hqFA"",""REKAP ALL 2026 - Andika!G:G""),IMPORTRANGE(""1XaInW9DU9nz21V0tYIfzFQ0He9kVQ_JF2mCXgZ3hqFA"",""REKAP ALL 2026 - Andika!F:F""),"""",0)"),"26059519228")</f>
        <v>26059519228</v>
      </c>
      <c r="G3576" s="13" t="s">
        <v>57</v>
      </c>
      <c r="H3576" s="13" t="s">
        <v>35</v>
      </c>
      <c r="I3576" s="13" t="str">
        <f aca="false">IF(C3576=J3576,"NEW KONTRAK","RE-KONTRAK")</f>
        <v>NEW KONTRAK</v>
      </c>
      <c r="J3576" s="16" t="n">
        <f aca="false" t="array" ref="J3576:J3576">IFERROR(INDEX(AC3576:AE3576,IF(COUNTA(AC3576:AE3576)=0,"",MAX((AC3576:AE3576&lt;&gt;"")*(COLUMN(AC3576:AE3576)-(COLUMN(AC3576)))))-1),"")</f>
        <v>46133</v>
      </c>
      <c r="K3576" s="16" t="n">
        <f aca="false" t="array" ref="K3576:K3576">IFERROR(INDEX(AC3576:AE3576,IF(COUNTA(AC3576:AE3576)=0,"",MAX((AC3576:AE3576&lt;&gt;"")*(COLUMN(AC3576:AE3576)-(COLUMN(AC3576)-1))))-1),"")</f>
        <v>46315</v>
      </c>
      <c r="L3576" s="17" t="str">
        <f aca="false" t="array" ref="L3576:L3576">IFERROR(INDEX(AC3576:AE3576,IF(COUNTA(AC3576:AE3576)=0,"",MAX((AC3576:AE3576&lt;&gt;"")*(COLUMN(AC3576:AE3576)-(COLUMN(AC3576)-2))))-1),"")</f>
        <v>ARCHIVED</v>
      </c>
      <c r="M3576" s="13" t="n">
        <f aca="true">K3576-TODAY()</f>
        <v>-9</v>
      </c>
      <c r="N3576" s="18" t="s">
        <v>615</v>
      </c>
      <c r="O3576" s="13" t="s">
        <v>9388</v>
      </c>
      <c r="P3576" s="19" t="n">
        <v>5176101</v>
      </c>
      <c r="Q3576" s="20" t="s">
        <v>14569</v>
      </c>
      <c r="R3576" s="13" t="s">
        <v>232</v>
      </c>
      <c r="S3576" s="14" t="n">
        <v>35320</v>
      </c>
      <c r="T3576" s="28" t="s">
        <v>40</v>
      </c>
      <c r="U3576" s="13" t="s">
        <v>9410</v>
      </c>
      <c r="V3576" s="13" t="s">
        <v>42</v>
      </c>
      <c r="W3576" s="13" t="s">
        <v>43</v>
      </c>
      <c r="X3576" s="30" t="n">
        <v>87742824172</v>
      </c>
      <c r="Y3576" s="22" t="str">
        <f aca="false">O3576</f>
        <v>Tenaga Kerja Bongkar Muat (TKBM)</v>
      </c>
      <c r="Z3576" s="13" t="str">
        <f aca="false">IFERROR(__xludf.dummyfunction("if(BJ3576="""","""",GOOGLETRANSLATE(BJ3576,""auto"",""en""))"),"Loading and Unloading Workers (TKBM)")</f>
        <v>Loading and Unloading Workers (TKBM)</v>
      </c>
      <c r="AA3576" s="23" t="str">
        <f aca="false">IF(C3576="","", CHOOSE(MONTH(C3576),"January","February","March","April","May","June","July","August","September","October","November","December")&amp;" "&amp;DAY(C3576)&amp;MID("thstndrdth",MIN(9,2*RIGHT(DAY(C3576))*(MOD(DAY(C3576)-11,100)&gt;2)+1),2)&amp;","&amp;TEXT(C3576," yyyy"))</f>
        <v>April 21st,2026</v>
      </c>
      <c r="AB3576" s="15" t="str">
        <f aca="true">IF(S3576="","",DATEDIF(S3576,TODAY(),"Y")&amp;" Tahun, "&amp;DATEDIF(S3576,TODAY(),"YM")&amp;" Bulan, "&amp;DATEDIF(S3576,TODAY(),"MD")&amp;" Hari")</f>
        <v>30 Tahun, 1 Bulan, 17 Hari</v>
      </c>
      <c r="AC3576" s="14" t="n">
        <f aca="false">C3576</f>
        <v>46133</v>
      </c>
      <c r="AD3576" s="18" t="n">
        <f aca="false">EDATE(AC3576,6)-1</f>
        <v>46315</v>
      </c>
      <c r="AE3576" s="13" t="s">
        <v>44</v>
      </c>
    </row>
    <row r="3577" customFormat="false" ht="15" hidden="false" customHeight="true" outlineLevel="0" collapsed="false">
      <c r="A3577" s="12" t="n">
        <v>22195</v>
      </c>
      <c r="B3577" s="13" t="s">
        <v>14570</v>
      </c>
      <c r="C3577" s="16" t="n">
        <v>46139</v>
      </c>
      <c r="D3577" s="13" t="s">
        <v>1338</v>
      </c>
      <c r="E3577" s="15" t="s">
        <v>102</v>
      </c>
      <c r="F3577" s="15" t="str">
        <f aca="false">IFERROR(__xludf.dummyfunction("XLOOKUP(AJ3577,IMPORTRANGE(""1XaInW9DU9nz21V0tYIfzFQ0He9kVQ_JF2mCXgZ3hqFA"",""REKAP ALL 2026 - Andika!G:G""),IMPORTRANGE(""1XaInW9DU9nz21V0tYIfzFQ0He9kVQ_JF2mCXgZ3hqFA"",""REKAP ALL 2026 - Andika!F:F""),"""",0)"),"26062984252")</f>
        <v>26062984252</v>
      </c>
      <c r="G3577" s="13" t="s">
        <v>57</v>
      </c>
      <c r="H3577" s="13" t="s">
        <v>35</v>
      </c>
      <c r="I3577" s="13" t="str">
        <f aca="false">IF(C3577=J3577,"NEW KONTRAK","RE-KONTRAK")</f>
        <v>NEW KONTRAK</v>
      </c>
      <c r="J3577" s="16" t="n">
        <f aca="false" t="array" ref="J3577:J3577">IFERROR(INDEX(AC3577:AE3577,IF(COUNTA(AC3577:AE3577)=0,"",MAX((AC3577:AE3577&lt;&gt;"")*(COLUMN(AC3577:AE3577)-(COLUMN(AC3577)))))-1),"")</f>
        <v>46139</v>
      </c>
      <c r="K3577" s="16" t="n">
        <f aca="false" t="array" ref="K3577:K3577">IFERROR(INDEX(AC3577:AE3577,IF(COUNTA(AC3577:AE3577)=0,"",MAX((AC3577:AE3577&lt;&gt;"")*(COLUMN(AC3577:AE3577)-(COLUMN(AC3577)-1))))-1),"")</f>
        <v>46229</v>
      </c>
      <c r="L3577" s="17" t="str">
        <f aca="false" t="array" ref="L3577:L3577">IFERROR(INDEX(AC3577:AE3577,IF(COUNTA(AC3577:AE3577)=0,"",MAX((AC3577:AE3577&lt;&gt;"")*(COLUMN(AC3577:AE3577)-(COLUMN(AC3577)-2))))-1),"")</f>
        <v>ARCHIVED</v>
      </c>
      <c r="M3577" s="13" t="n">
        <f aca="true">K3577-TODAY()</f>
        <v>-95</v>
      </c>
      <c r="N3577" s="18" t="s">
        <v>14571</v>
      </c>
      <c r="O3577" s="13" t="s">
        <v>14572</v>
      </c>
      <c r="P3577" s="19" t="n">
        <v>3012197</v>
      </c>
      <c r="Q3577" s="20" t="s">
        <v>14573</v>
      </c>
      <c r="R3577" s="13" t="s">
        <v>735</v>
      </c>
      <c r="S3577" s="14" t="n">
        <v>35855</v>
      </c>
      <c r="T3577" s="28" t="s">
        <v>40</v>
      </c>
      <c r="U3577" s="13" t="s">
        <v>14574</v>
      </c>
      <c r="V3577" s="13" t="s">
        <v>42</v>
      </c>
      <c r="W3577" s="13" t="s">
        <v>54</v>
      </c>
      <c r="X3577" s="21" t="n">
        <v>85604807339</v>
      </c>
      <c r="Y3577" s="22" t="str">
        <f aca="false">O3577</f>
        <v>SPB Jember</v>
      </c>
      <c r="Z3577" s="13" t="str">
        <f aca="false">IFERROR(__xludf.dummyfunction("if(BJ3577="""","""",GOOGLETRANSLATE(BJ3577,""auto"",""en""))"),"Jember SPB")</f>
        <v>Jember SPB</v>
      </c>
      <c r="AA3577" s="23" t="str">
        <f aca="false">IF(C3577="","", CHOOSE(MONTH(C3577),"January","February","March","April","May","June","July","August","September","October","November","December")&amp;" "&amp;DAY(C3577)&amp;MID("thstndrdth",MIN(9,2*RIGHT(DAY(C3577))*(MOD(DAY(C3577)-11,100)&gt;2)+1),2)&amp;","&amp;TEXT(C3577," yyyy"))</f>
        <v>April 27th,2026</v>
      </c>
      <c r="AB3577" s="15" t="str">
        <f aca="true">IF(S3577="","",DATEDIF(S3577,TODAY(),"Y")&amp;" Tahun, "&amp;DATEDIF(S3577,TODAY(),"YM")&amp;" Bulan, "&amp;DATEDIF(S3577,TODAY(),"MD")&amp;" Hari")</f>
        <v>28 Tahun, 7 Bulan, 28 Hari</v>
      </c>
      <c r="AC3577" s="14" t="n">
        <f aca="false">C3577</f>
        <v>46139</v>
      </c>
      <c r="AD3577" s="18" t="n">
        <f aca="false">EDATE(AC3577,3)-1</f>
        <v>46229</v>
      </c>
      <c r="AE3577" s="13" t="s">
        <v>44</v>
      </c>
    </row>
    <row r="3578" customFormat="false" ht="15" hidden="false" customHeight="true" outlineLevel="0" collapsed="false">
      <c r="A3578" s="12" t="n">
        <v>22196</v>
      </c>
      <c r="B3578" s="13" t="s">
        <v>14575</v>
      </c>
      <c r="C3578" s="16" t="n">
        <v>46139</v>
      </c>
      <c r="D3578" s="13" t="s">
        <v>11620</v>
      </c>
      <c r="E3578" s="15" t="s">
        <v>47</v>
      </c>
      <c r="F3578" s="15" t="str">
        <f aca="false">IFERROR(__xludf.dummyfunction("XLOOKUP(AJ3578,IMPORTRANGE(""1XaInW9DU9nz21V0tYIfzFQ0He9kVQ_JF2mCXgZ3hqFA"",""REKAP ALL 2026 - Andika!G:G""),IMPORTRANGE(""1XaInW9DU9nz21V0tYIfzFQ0He9kVQ_JF2mCXgZ3hqFA"",""REKAP ALL 2026 - Andika!F:F""),"""",0)"),"26062990101")</f>
        <v>26062990101</v>
      </c>
      <c r="G3578" s="13" t="s">
        <v>1127</v>
      </c>
      <c r="H3578" s="13" t="s">
        <v>35</v>
      </c>
      <c r="I3578" s="13" t="str">
        <f aca="false">IF(C3578=J3578,"NEW KONTRAK","RE-KONTRAK")</f>
        <v>NEW KONTRAK</v>
      </c>
      <c r="J3578" s="16" t="n">
        <f aca="false" t="array" ref="J3578:J3578">IFERROR(INDEX(AC3578:AE3578,IF(COUNTA(AC3578:AE3578)=0,"",MAX((AC3578:AE3578&lt;&gt;"")*(COLUMN(AC3578:AE3578)-(COLUMN(AC3578)))))-1),"")</f>
        <v>46139</v>
      </c>
      <c r="K3578" s="16" t="n">
        <f aca="false" t="array" ref="K3578:K3578">IFERROR(INDEX(AC3578:AE3578,IF(COUNTA(AC3578:AE3578)=0,"",MAX((AC3578:AE3578&lt;&gt;"")*(COLUMN(AC3578:AE3578)-(COLUMN(AC3578)-1))))-1),"")</f>
        <v>46229</v>
      </c>
      <c r="L3578" s="17" t="str">
        <f aca="false" t="array" ref="L3578:L3578">IFERROR(INDEX(AC3578:AE3578,IF(COUNTA(AC3578:AE3578)=0,"",MAX((AC3578:AE3578&lt;&gt;"")*(COLUMN(AC3578:AE3578)-(COLUMN(AC3578)-2))))-1),"")</f>
        <v>ARCHIVED</v>
      </c>
      <c r="M3578" s="13" t="n">
        <f aca="true">K3578-TODAY()</f>
        <v>-95</v>
      </c>
      <c r="N3578" s="18" t="s">
        <v>36</v>
      </c>
      <c r="O3578" s="13" t="s">
        <v>11698</v>
      </c>
      <c r="P3578" s="19" t="n">
        <v>199823</v>
      </c>
      <c r="Q3578" s="47" t="s">
        <v>14576</v>
      </c>
      <c r="R3578" s="13" t="s">
        <v>73</v>
      </c>
      <c r="S3578" s="16" t="n">
        <v>31487</v>
      </c>
      <c r="T3578" s="28" t="s">
        <v>40</v>
      </c>
      <c r="U3578" s="13" t="s">
        <v>14577</v>
      </c>
      <c r="V3578" s="13" t="s">
        <v>42</v>
      </c>
      <c r="W3578" s="13" t="s">
        <v>54</v>
      </c>
      <c r="X3578" s="21" t="n">
        <v>85755767820</v>
      </c>
      <c r="Y3578" s="22" t="str">
        <f aca="false">O3578</f>
        <v>Pickling</v>
      </c>
      <c r="Z3578" s="13" t="str">
        <f aca="false">IFERROR(__xludf.dummyfunction("if(BJ3578="""","""",GOOGLETRANSLATE(BJ3578,""auto"",""en""))"),"Pickling")</f>
        <v>Pickling</v>
      </c>
      <c r="AA3578" s="23" t="str">
        <f aca="false">IF(C3578="","", CHOOSE(MONTH(C3578),"January","February","March","April","May","June","July","August","September","October","November","December")&amp;" "&amp;DAY(C3578)&amp;MID("thstndrdth",MIN(9,2*RIGHT(DAY(C3578))*(MOD(DAY(C3578)-11,100)&gt;2)+1),2)&amp;","&amp;TEXT(C3578," yyyy"))</f>
        <v>April 27th,2026</v>
      </c>
      <c r="AB3578" s="15" t="str">
        <f aca="true">IF(S3578="","",DATEDIF(S3578,TODAY(),"Y")&amp;" Tahun, "&amp;DATEDIF(S3578,TODAY(),"YM")&amp;" Bulan, "&amp;DATEDIF(S3578,TODAY(),"MD")&amp;" Hari")</f>
        <v>40 Tahun, 7 Bulan, 13 Hari</v>
      </c>
      <c r="AC3578" s="14" t="n">
        <f aca="false">C3578</f>
        <v>46139</v>
      </c>
      <c r="AD3578" s="18" t="n">
        <f aca="false">EDATE(AC3578,3)-1</f>
        <v>46229</v>
      </c>
      <c r="AE3578" s="13" t="s">
        <v>44</v>
      </c>
    </row>
    <row r="3579" customFormat="false" ht="15" hidden="false" customHeight="true" outlineLevel="0" collapsed="false">
      <c r="A3579" s="12" t="n">
        <v>22197</v>
      </c>
      <c r="B3579" s="13" t="s">
        <v>14578</v>
      </c>
      <c r="C3579" s="16" t="n">
        <v>46140.2916666667</v>
      </c>
      <c r="D3579" s="13" t="s">
        <v>774</v>
      </c>
      <c r="E3579" s="15" t="s">
        <v>47</v>
      </c>
      <c r="F3579" s="15" t="str">
        <f aca="false">IFERROR(__xludf.dummyfunction("XLOOKUP(AJ3579,IMPORTRANGE(""1XaInW9DU9nz21V0tYIfzFQ0He9kVQ_JF2mCXgZ3hqFA"",""REKAP ALL 2026 - Andika!G:G""),IMPORTRANGE(""1XaInW9DU9nz21V0tYIfzFQ0He9kVQ_JF2mCXgZ3hqFA"",""REKAP ALL 2026 - Andika!F:F""),"""",0)"),"26062993303")</f>
        <v>26062993303</v>
      </c>
      <c r="G3579" s="13" t="s">
        <v>1127</v>
      </c>
      <c r="H3579" s="13" t="s">
        <v>35</v>
      </c>
      <c r="I3579" s="13" t="str">
        <f aca="false">IF(C3579=J3579,"NEW KONTRAK","RE-KONTRAK")</f>
        <v>NEW KONTRAK</v>
      </c>
      <c r="J3579" s="16" t="n">
        <f aca="false" t="array" ref="J3579:J3579">IFERROR(INDEX(AC3579:AE3579,IF(COUNTA(AC3579:AE3579)=0,"",MAX((AC3579:AE3579&lt;&gt;"")*(COLUMN(AC3579:AE3579)-(COLUMN(AC3579)))))-1),"")</f>
        <v>46140.2916666667</v>
      </c>
      <c r="K3579" s="16" t="n">
        <f aca="false" t="array" ref="K3579:K3579">IFERROR(INDEX(AC3579:AE3579,IF(COUNTA(AC3579:AE3579)=0,"",MAX((AC3579:AE3579&lt;&gt;"")*(COLUMN(AC3579:AE3579)-(COLUMN(AC3579)-1))))-1),"")</f>
        <v>46292</v>
      </c>
      <c r="L3579" s="17" t="str">
        <f aca="false" t="array" ref="L3579:L3579">IFERROR(INDEX(AC3579:AE3579,IF(COUNTA(AC3579:AE3579)=0,"",MAX((AC3579:AE3579&lt;&gt;"")*(COLUMN(AC3579:AE3579)-(COLUMN(AC3579)-2))))-1),"")</f>
        <v>KEMBALI</v>
      </c>
      <c r="M3579" s="13" t="n">
        <f aca="true">K3579-TODAY()</f>
        <v>-32</v>
      </c>
      <c r="N3579" s="18" t="s">
        <v>36</v>
      </c>
      <c r="O3579" s="13" t="s">
        <v>6877</v>
      </c>
      <c r="P3579" s="117" t="n">
        <v>3500000</v>
      </c>
      <c r="Q3579" s="47" t="s">
        <v>14579</v>
      </c>
      <c r="R3579" s="13" t="s">
        <v>52</v>
      </c>
      <c r="S3579" s="16" t="n">
        <v>37566</v>
      </c>
      <c r="T3579" s="13" t="s">
        <v>108</v>
      </c>
      <c r="U3579" s="13" t="s">
        <v>14580</v>
      </c>
      <c r="V3579" s="13" t="s">
        <v>42</v>
      </c>
      <c r="W3579" s="13" t="s">
        <v>43</v>
      </c>
      <c r="X3579" s="21" t="n">
        <v>895414252023</v>
      </c>
      <c r="Y3579" s="22" t="str">
        <f aca="false">O3579</f>
        <v>Staff Accounting</v>
      </c>
      <c r="Z3579" s="13" t="str">
        <f aca="false">IFERROR(__xludf.dummyfunction("if(BJ3579="""","""",GOOGLETRANSLATE(BJ3579,""auto"",""en""))"),"Staff Accounting")</f>
        <v>Staff Accounting</v>
      </c>
      <c r="AA3579" s="23" t="str">
        <f aca="false">IF(C3579="","", CHOOSE(MONTH(C3579),"January","February","March","April","May","June","July","August","September","October","November","December")&amp;" "&amp;DAY(C3579)&amp;MID("thstndrdth",MIN(9,2*RIGHT(DAY(C3579))*(MOD(DAY(C3579)-11,100)&gt;2)+1),2)&amp;","&amp;TEXT(C3579," yyyy"))</f>
        <v>April 28th,2026</v>
      </c>
      <c r="AB3579" s="15" t="str">
        <f aca="true">IF(S3579="","",DATEDIF(S3579,TODAY(),"Y")&amp;" Tahun, "&amp;DATEDIF(S3579,TODAY(),"YM")&amp;" Bulan, "&amp;DATEDIF(S3579,TODAY(),"MD")&amp;" Hari")</f>
        <v>23 Tahun, 11 Bulan, 23 Hari</v>
      </c>
      <c r="AC3579" s="14" t="n">
        <f aca="false">C3579</f>
        <v>46140.2916666667</v>
      </c>
      <c r="AD3579" s="18" t="n">
        <f aca="false">EDATE(AC3579,5)-1</f>
        <v>46292</v>
      </c>
      <c r="AE3579" s="13" t="s">
        <v>397</v>
      </c>
    </row>
    <row r="3580" customFormat="false" ht="15" hidden="false" customHeight="true" outlineLevel="0" collapsed="false">
      <c r="A3580" s="12" t="n">
        <v>22198</v>
      </c>
      <c r="B3580" s="13" t="s">
        <v>14581</v>
      </c>
      <c r="C3580" s="16" t="n">
        <v>46141.2916666667</v>
      </c>
      <c r="D3580" s="13" t="s">
        <v>3022</v>
      </c>
      <c r="E3580" s="15" t="s">
        <v>47</v>
      </c>
      <c r="F3580" s="15" t="str">
        <f aca="false">IFERROR(__xludf.dummyfunction("XLOOKUP(AJ3580,IMPORTRANGE(""1XaInW9DU9nz21V0tYIfzFQ0He9kVQ_JF2mCXgZ3hqFA"",""REKAP ALL 2026 - Andika!G:G""),IMPORTRANGE(""1XaInW9DU9nz21V0tYIfzFQ0He9kVQ_JF2mCXgZ3hqFA"",""REKAP ALL 2026 - Andika!F:F""),"""",0)"),"26062991166")</f>
        <v>26062991166</v>
      </c>
      <c r="G3580" s="13" t="s">
        <v>57</v>
      </c>
      <c r="H3580" s="13" t="s">
        <v>35</v>
      </c>
      <c r="I3580" s="13" t="str">
        <f aca="false">IF(C3580=J3580,"NEW KONTRAK","RE-KONTRAK")</f>
        <v>NEW KONTRAK</v>
      </c>
      <c r="J3580" s="16" t="n">
        <f aca="false" t="array" ref="J3580:J3580">IFERROR(INDEX(AC3580:AE3580,IF(COUNTA(AC3580:AE3580)=0,"",MAX((AC3580:AE3580&lt;&gt;"")*(COLUMN(AC3580:AE3580)-(COLUMN(AC3580)))))-1),"")</f>
        <v>46141.2916666667</v>
      </c>
      <c r="K3580" s="16" t="n">
        <f aca="false" t="array" ref="K3580:K3580">IFERROR(INDEX(AC3580:AE3580,IF(COUNTA(AC3580:AE3580)=0,"",MAX((AC3580:AE3580&lt;&gt;"")*(COLUMN(AC3580:AE3580)-(COLUMN(AC3580)-1))))-1),"")</f>
        <v>46231</v>
      </c>
      <c r="L3580" s="17" t="str">
        <f aca="false" t="array" ref="L3580:L3580">IFERROR(INDEX(AC3580:AE3580,IF(COUNTA(AC3580:AE3580)=0,"",MAX((AC3580:AE3580&lt;&gt;"")*(COLUMN(AC3580:AE3580)-(COLUMN(AC3580)-2))))-1),"")</f>
        <v>KEMBALI</v>
      </c>
      <c r="M3580" s="13" t="n">
        <f aca="true">K3580-TODAY()</f>
        <v>-93</v>
      </c>
      <c r="N3580" s="18" t="s">
        <v>36</v>
      </c>
      <c r="O3580" s="13" t="s">
        <v>14582</v>
      </c>
      <c r="P3580" s="19" t="n">
        <v>110000</v>
      </c>
      <c r="Q3580" s="20" t="s">
        <v>14583</v>
      </c>
      <c r="R3580" s="13" t="s">
        <v>39</v>
      </c>
      <c r="S3580" s="16" t="n">
        <v>33099</v>
      </c>
      <c r="T3580" s="28" t="s">
        <v>40</v>
      </c>
      <c r="U3580" s="13" t="s">
        <v>14584</v>
      </c>
      <c r="V3580" s="13" t="s">
        <v>42</v>
      </c>
      <c r="W3580" s="13" t="s">
        <v>54</v>
      </c>
      <c r="X3580" s="21" t="n">
        <v>83856593826</v>
      </c>
      <c r="Y3580" s="22" t="str">
        <f aca="false">O3580</f>
        <v>PU Kebersihan</v>
      </c>
      <c r="Z3580" s="13" t="str">
        <f aca="false">IFERROR(__xludf.dummyfunction("if(BJ3580="""","""",GOOGLETRANSLATE(BJ3580,""auto"",""en""))"),"Public Works Department of Cleanliness")</f>
        <v>Public Works Department of Cleanliness</v>
      </c>
      <c r="AA3580" s="23" t="str">
        <f aca="false">IF(C3580="","", CHOOSE(MONTH(C3580),"January","February","March","April","May","June","July","August","September","October","November","December")&amp;" "&amp;DAY(C3580)&amp;MID("thstndrdth",MIN(9,2*RIGHT(DAY(C3580))*(MOD(DAY(C3580)-11,100)&gt;2)+1),2)&amp;","&amp;TEXT(C3580," yyyy"))</f>
        <v>April 29th,2026</v>
      </c>
      <c r="AB3580" s="15" t="str">
        <f aca="true">IF(S3580="","",DATEDIF(S3580,TODAY(),"Y")&amp;" Tahun, "&amp;DATEDIF(S3580,TODAY(),"YM")&amp;" Bulan, "&amp;DATEDIF(S3580,TODAY(),"MD")&amp;" Hari")</f>
        <v>36 Tahun, 2 Bulan, 15 Hari</v>
      </c>
      <c r="AC3580" s="14" t="n">
        <f aca="false">C3580</f>
        <v>46141.2916666667</v>
      </c>
      <c r="AD3580" s="18" t="n">
        <f aca="false">EDATE(AC3580,3)-1</f>
        <v>46231</v>
      </c>
      <c r="AE3580" s="13" t="s">
        <v>397</v>
      </c>
    </row>
    <row r="3581" customFormat="false" ht="15" hidden="false" customHeight="true" outlineLevel="0" collapsed="false">
      <c r="A3581" s="12" t="n">
        <v>22199</v>
      </c>
      <c r="B3581" s="13" t="s">
        <v>14585</v>
      </c>
      <c r="C3581" s="16" t="n">
        <v>46141.2916666667</v>
      </c>
      <c r="D3581" s="13" t="s">
        <v>3022</v>
      </c>
      <c r="E3581" s="15" t="s">
        <v>47</v>
      </c>
      <c r="F3581" s="15" t="str">
        <f aca="false">IFERROR(__xludf.dummyfunction("XLOOKUP(AJ3581,IMPORTRANGE(""1XaInW9DU9nz21V0tYIfzFQ0He9kVQ_JF2mCXgZ3hqFA"",""REKAP ALL 2026 - Andika!G:G""),IMPORTRANGE(""1XaInW9DU9nz21V0tYIfzFQ0He9kVQ_JF2mCXgZ3hqFA"",""REKAP ALL 2026 - Andika!F:F""),"""",0)"),"26062991182")</f>
        <v>26062991182</v>
      </c>
      <c r="G3581" s="13" t="s">
        <v>57</v>
      </c>
      <c r="H3581" s="13" t="s">
        <v>35</v>
      </c>
      <c r="I3581" s="13" t="str">
        <f aca="false">IF(C3581=J3581,"NEW KONTRAK","RE-KONTRAK")</f>
        <v>NEW KONTRAK</v>
      </c>
      <c r="J3581" s="16" t="n">
        <f aca="false" t="array" ref="J3581:J3581">IFERROR(INDEX(AC3581:AE3581,IF(COUNTA(AC3581:AE3581)=0,"",MAX((AC3581:AE3581&lt;&gt;"")*(COLUMN(AC3581:AE3581)-(COLUMN(AC3581)))))-1),"")</f>
        <v>46141.2916666667</v>
      </c>
      <c r="K3581" s="16" t="n">
        <f aca="false" t="array" ref="K3581:K3581">IFERROR(INDEX(AC3581:AE3581,IF(COUNTA(AC3581:AE3581)=0,"",MAX((AC3581:AE3581&lt;&gt;"")*(COLUMN(AC3581:AE3581)-(COLUMN(AC3581)-1))))-1),"")</f>
        <v>46231</v>
      </c>
      <c r="L3581" s="17" t="str">
        <f aca="false" t="array" ref="L3581:L3581">IFERROR(INDEX(AC3581:AE3581,IF(COUNTA(AC3581:AE3581)=0,"",MAX((AC3581:AE3581&lt;&gt;"")*(COLUMN(AC3581:AE3581)-(COLUMN(AC3581)-2))))-1),"")</f>
        <v>KEMBALI</v>
      </c>
      <c r="M3581" s="13" t="n">
        <f aca="true">K3581-TODAY()</f>
        <v>-93</v>
      </c>
      <c r="N3581" s="18" t="s">
        <v>36</v>
      </c>
      <c r="O3581" s="13" t="s">
        <v>58</v>
      </c>
      <c r="P3581" s="19" t="n">
        <v>112500</v>
      </c>
      <c r="Q3581" s="20" t="s">
        <v>14586</v>
      </c>
      <c r="R3581" s="13" t="s">
        <v>78</v>
      </c>
      <c r="S3581" s="16" t="n">
        <v>34652</v>
      </c>
      <c r="T3581" s="28" t="s">
        <v>40</v>
      </c>
      <c r="U3581" s="13" t="s">
        <v>14587</v>
      </c>
      <c r="V3581" s="13" t="s">
        <v>42</v>
      </c>
      <c r="W3581" s="13" t="s">
        <v>43</v>
      </c>
      <c r="X3581" s="21" t="n">
        <v>816533361</v>
      </c>
      <c r="Y3581" s="22" t="str">
        <f aca="false">O3581</f>
        <v>Produksi</v>
      </c>
      <c r="Z3581" s="13" t="str">
        <f aca="false">IFERROR(__xludf.dummyfunction("if(BJ3581="""","""",GOOGLETRANSLATE(BJ3581,""auto"",""en""))"),"Production")</f>
        <v>Production</v>
      </c>
      <c r="AA3581" s="23" t="str">
        <f aca="false">IF(C3581="","", CHOOSE(MONTH(C3581),"January","February","March","April","May","June","July","August","September","October","November","December")&amp;" "&amp;DAY(C3581)&amp;MID("thstndrdth",MIN(9,2*RIGHT(DAY(C3581))*(MOD(DAY(C3581)-11,100)&gt;2)+1),2)&amp;","&amp;TEXT(C3581," yyyy"))</f>
        <v>April 29th,2026</v>
      </c>
      <c r="AB3581" s="15" t="str">
        <f aca="true">IF(S3581="","",DATEDIF(S3581,TODAY(),"Y")&amp;" Tahun, "&amp;DATEDIF(S3581,TODAY(),"YM")&amp;" Bulan, "&amp;DATEDIF(S3581,TODAY(),"MD")&amp;" Hari")</f>
        <v>31 Tahun, 11 Bulan, 15 Hari</v>
      </c>
      <c r="AC3581" s="14" t="n">
        <f aca="false">C3581</f>
        <v>46141.2916666667</v>
      </c>
      <c r="AD3581" s="18" t="n">
        <f aca="false">EDATE(AC3581,3)-1</f>
        <v>46231</v>
      </c>
      <c r="AE3581" s="13" t="s">
        <v>397</v>
      </c>
    </row>
    <row r="3582" customFormat="false" ht="15" hidden="false" customHeight="true" outlineLevel="0" collapsed="false">
      <c r="A3582" s="12" t="n">
        <v>22200</v>
      </c>
      <c r="B3582" s="13" t="s">
        <v>14588</v>
      </c>
      <c r="C3582" s="16" t="n">
        <v>46127</v>
      </c>
      <c r="D3582" s="13" t="s">
        <v>10058</v>
      </c>
      <c r="E3582" s="15" t="s">
        <v>102</v>
      </c>
      <c r="F3582" s="24" t="s">
        <v>14589</v>
      </c>
      <c r="G3582" s="13" t="s">
        <v>1127</v>
      </c>
      <c r="H3582" s="13" t="s">
        <v>3024</v>
      </c>
      <c r="I3582" s="13" t="str">
        <f aca="false">IF(C3582=J3582,"NEW KONTRAK","RE-KONTRAK")</f>
        <v>NEW KONTRAK</v>
      </c>
      <c r="J3582" s="16" t="n">
        <f aca="false" t="array" ref="J3582:J3582">IFERROR(INDEX(AC3582:AE3582,IF(COUNTA(AC3582:AE3582)=0,"",MAX((AC3582:AE3582&lt;&gt;"")*(COLUMN(AC3582:AE3582)-(COLUMN(AC3582)))))-1),"")</f>
        <v>46127</v>
      </c>
      <c r="K3582" s="16" t="n">
        <f aca="false" t="array" ref="K3582:K3582">IFERROR(INDEX(AC3582:AE3582,IF(COUNTA(AC3582:AE3582)=0,"",MAX((AC3582:AE3582&lt;&gt;"")*(COLUMN(AC3582:AE3582)-(COLUMN(AC3582)-1))))-1),"")</f>
        <v>46188</v>
      </c>
      <c r="L3582" s="17" t="str">
        <f aca="false" t="array" ref="L3582:L3582">IFERROR(INDEX(AC3582:AE3582,IF(COUNTA(AC3582:AE3582)=0,"",MAX((AC3582:AE3582&lt;&gt;"")*(COLUMN(AC3582:AE3582)-(COLUMN(AC3582)-2))))-1),"")</f>
        <v>ARCHIVED</v>
      </c>
      <c r="M3582" s="13" t="n">
        <f aca="true">K3582-TODAY()</f>
        <v>-136</v>
      </c>
      <c r="N3582" s="18" t="s">
        <v>105</v>
      </c>
      <c r="O3582" s="28" t="s">
        <v>10059</v>
      </c>
      <c r="P3582" s="19" t="n">
        <v>138915</v>
      </c>
      <c r="Q3582" s="47" t="s">
        <v>14590</v>
      </c>
      <c r="R3582" s="13" t="s">
        <v>83</v>
      </c>
      <c r="S3582" s="16" t="n">
        <v>37742</v>
      </c>
      <c r="T3582" s="28" t="s">
        <v>40</v>
      </c>
      <c r="U3582" s="13" t="s">
        <v>14591</v>
      </c>
      <c r="V3582" s="13" t="s">
        <v>42</v>
      </c>
      <c r="W3582" s="13" t="s">
        <v>43</v>
      </c>
      <c r="X3582" s="30" t="n">
        <v>85382513534</v>
      </c>
      <c r="Y3582" s="22" t="str">
        <f aca="false">O3582</f>
        <v>Harian Lepas E-Commerce</v>
      </c>
      <c r="Z3582" s="28" t="s">
        <v>14592</v>
      </c>
      <c r="AA3582" s="23" t="str">
        <f aca="false">IF(C3582="","", CHOOSE(MONTH(C3582),"January","February","March","April","May","June","July","August","September","October","November","December")&amp;" "&amp;DAY(C3582)&amp;MID("thstndrdth",MIN(9,2*RIGHT(DAY(C3582))*(MOD(DAY(C3582)-11,100)&gt;2)+1),2)&amp;","&amp;TEXT(C3582," yyyy"))</f>
        <v>April 15th,2026</v>
      </c>
      <c r="AB3582" s="15" t="str">
        <f aca="true">IF(S3582="","",DATEDIF(S3582,TODAY(),"Y")&amp;" Tahun, "&amp;DATEDIF(S3582,TODAY(),"YM")&amp;" Bulan, "&amp;DATEDIF(S3582,TODAY(),"MD")&amp;" Hari")</f>
        <v>23 Tahun, 5 Bulan, 28 Hari</v>
      </c>
      <c r="AC3582" s="14" t="n">
        <f aca="false">C3582</f>
        <v>46127</v>
      </c>
      <c r="AD3582" s="18" t="n">
        <v>46188</v>
      </c>
      <c r="AE3582" s="13" t="s">
        <v>44</v>
      </c>
    </row>
    <row r="3583" customFormat="false" ht="15" hidden="false" customHeight="true" outlineLevel="0" collapsed="false">
      <c r="A3583" s="12" t="n">
        <v>22201</v>
      </c>
      <c r="B3583" s="13" t="s">
        <v>14593</v>
      </c>
      <c r="C3583" s="16" t="n">
        <v>46140.2916666667</v>
      </c>
      <c r="D3583" s="13" t="s">
        <v>10058</v>
      </c>
      <c r="E3583" s="15" t="s">
        <v>47</v>
      </c>
      <c r="F3583" s="15" t="str">
        <f aca="false">IFERROR(__xludf.dummyfunction("XLOOKUP(AJ3583,IMPORTRANGE(""1XaInW9DU9nz21V0tYIfzFQ0He9kVQ_JF2mCXgZ3hqFA"",""REKAP ALL 2026 - Andika!G:G""),IMPORTRANGE(""1XaInW9DU9nz21V0tYIfzFQ0He9kVQ_JF2mCXgZ3hqFA"",""REKAP ALL 2026 - Andika!F:F""),"""",0)"),"26062985507")</f>
        <v>26062985507</v>
      </c>
      <c r="G3583" s="13" t="s">
        <v>57</v>
      </c>
      <c r="H3583" s="13" t="s">
        <v>3024</v>
      </c>
      <c r="I3583" s="13" t="str">
        <f aca="false">IF(C3583=J3583,"NEW KONTRAK","RE-KONTRAK")</f>
        <v>NEW KONTRAK</v>
      </c>
      <c r="J3583" s="16" t="n">
        <f aca="false" t="array" ref="J3583:J3583">IFERROR(INDEX(AC3583:AE3583,IF(COUNTA(AC3583:AE3583)=0,"",MAX((AC3583:AE3583&lt;&gt;"")*(COLUMN(AC3583:AE3583)-(COLUMN(AC3583)))))-1),"")</f>
        <v>46140.2916666667</v>
      </c>
      <c r="K3583" s="16" t="n">
        <f aca="false" t="array" ref="K3583:K3583">IFERROR(INDEX(AC3583:AE3583,IF(COUNTA(AC3583:AE3583)=0,"",MAX((AC3583:AE3583&lt;&gt;"")*(COLUMN(AC3583:AE3583)-(COLUMN(AC3583)-1))))-1),"")</f>
        <v>46188</v>
      </c>
      <c r="L3583" s="17" t="str">
        <f aca="false" t="array" ref="L3583:L3583">IFERROR(INDEX(AC3583:AE3583,IF(COUNTA(AC3583:AE3583)=0,"",MAX((AC3583:AE3583&lt;&gt;"")*(COLUMN(AC3583:AE3583)-(COLUMN(AC3583)-2))))-1),"")</f>
        <v>ARCHIVED</v>
      </c>
      <c r="M3583" s="13" t="n">
        <f aca="true">K3583-TODAY()</f>
        <v>-136</v>
      </c>
      <c r="N3583" s="18" t="s">
        <v>105</v>
      </c>
      <c r="O3583" s="13" t="s">
        <v>14127</v>
      </c>
      <c r="P3583" s="31" t="n">
        <v>138915</v>
      </c>
      <c r="Q3583" s="47" t="s">
        <v>14594</v>
      </c>
      <c r="R3583" s="13" t="s">
        <v>39</v>
      </c>
      <c r="S3583" s="16" t="n">
        <v>38244</v>
      </c>
      <c r="T3583" s="28" t="s">
        <v>40</v>
      </c>
      <c r="U3583" s="13" t="s">
        <v>14595</v>
      </c>
      <c r="V3583" s="13" t="s">
        <v>42</v>
      </c>
      <c r="W3583" s="13" t="s">
        <v>43</v>
      </c>
      <c r="X3583" s="30" t="n">
        <v>89655494717</v>
      </c>
      <c r="Y3583" s="22" t="str">
        <f aca="false">O3583</f>
        <v>Harian Lepas (Helper Gudang)</v>
      </c>
      <c r="Z3583" s="13" t="str">
        <f aca="false">IFERROR(__xludf.dummyfunction("if(BJ3583="""","""",GOOGLETRANSLATE(BJ3583,""auto"",""en""))"),"Daily (Warehouse Helper)")</f>
        <v>Daily (Warehouse Helper)</v>
      </c>
      <c r="AA3583" s="23" t="str">
        <f aca="false">IF(C3583="","", CHOOSE(MONTH(C3583),"January","February","March","April","May","June","July","August","September","October","November","December")&amp;" "&amp;DAY(C3583)&amp;MID("thstndrdth",MIN(9,2*RIGHT(DAY(C3583))*(MOD(DAY(C3583)-11,100)&gt;2)+1),2)&amp;","&amp;TEXT(C3583," yyyy"))</f>
        <v>April 28th,2026</v>
      </c>
      <c r="AB3583" s="15" t="str">
        <f aca="true">IF(S3583="","",DATEDIF(S3583,TODAY(),"Y")&amp;" Tahun, "&amp;DATEDIF(S3583,TODAY(),"YM")&amp;" Bulan, "&amp;DATEDIF(S3583,TODAY(),"MD")&amp;" Hari")</f>
        <v>22 Tahun, 1 Bulan, 15 Hari</v>
      </c>
      <c r="AC3583" s="14" t="n">
        <f aca="false">C3583</f>
        <v>46140.2916666667</v>
      </c>
      <c r="AD3583" s="18" t="n">
        <v>46188</v>
      </c>
      <c r="AE3583" s="13" t="s">
        <v>44</v>
      </c>
    </row>
    <row r="3584" customFormat="false" ht="15" hidden="false" customHeight="true" outlineLevel="0" collapsed="false">
      <c r="A3584" s="12" t="n">
        <v>22202</v>
      </c>
      <c r="B3584" s="13" t="s">
        <v>14596</v>
      </c>
      <c r="C3584" s="16" t="n">
        <v>46112</v>
      </c>
      <c r="D3584" s="13" t="s">
        <v>10058</v>
      </c>
      <c r="E3584" s="15" t="s">
        <v>102</v>
      </c>
      <c r="F3584" s="24" t="s">
        <v>14597</v>
      </c>
      <c r="G3584" s="13" t="s">
        <v>1127</v>
      </c>
      <c r="H3584" s="13" t="s">
        <v>3024</v>
      </c>
      <c r="I3584" s="13" t="str">
        <f aca="false">IF(C3584=J3584,"NEW KONTRAK","RE-KONTRAK")</f>
        <v>NEW KONTRAK</v>
      </c>
      <c r="J3584" s="16" t="n">
        <f aca="false" t="array" ref="J3584:J3584">IFERROR(INDEX(AC3584:AE3584,IF(COUNTA(AC3584:AE3584)=0,"",MAX((AC3584:AE3584&lt;&gt;"")*(COLUMN(AC3584:AE3584)-(COLUMN(AC3584)))))-1),"")</f>
        <v>46112</v>
      </c>
      <c r="K3584" s="16" t="n">
        <f aca="false" t="array" ref="K3584:K3584">IFERROR(INDEX(AC3584:AE3584,IF(COUNTA(AC3584:AE3584)=0,"",MAX((AC3584:AE3584&lt;&gt;"")*(COLUMN(AC3584:AE3584)-(COLUMN(AC3584)-1))))-1),"")</f>
        <v>46188</v>
      </c>
      <c r="L3584" s="17" t="str">
        <f aca="false" t="array" ref="L3584:L3584">IFERROR(INDEX(AC3584:AE3584,IF(COUNTA(AC3584:AE3584)=0,"",MAX((AC3584:AE3584&lt;&gt;"")*(COLUMN(AC3584:AE3584)-(COLUMN(AC3584)-2))))-1),"")</f>
        <v>ARCHIVED</v>
      </c>
      <c r="M3584" s="13" t="n">
        <f aca="true">K3584-TODAY()</f>
        <v>-136</v>
      </c>
      <c r="N3584" s="18" t="s">
        <v>105</v>
      </c>
      <c r="O3584" s="13" t="s">
        <v>10059</v>
      </c>
      <c r="P3584" s="19" t="n">
        <v>138915</v>
      </c>
      <c r="Q3584" s="20" t="s">
        <v>14598</v>
      </c>
      <c r="R3584" s="13" t="s">
        <v>39</v>
      </c>
      <c r="S3584" s="16" t="n">
        <v>38237</v>
      </c>
      <c r="T3584" s="13" t="s">
        <v>108</v>
      </c>
      <c r="U3584" s="13" t="s">
        <v>14599</v>
      </c>
      <c r="V3584" s="13" t="s">
        <v>42</v>
      </c>
      <c r="W3584" s="13" t="s">
        <v>43</v>
      </c>
      <c r="X3584" s="30" t="n">
        <v>81299917381</v>
      </c>
      <c r="Y3584" s="22" t="str">
        <f aca="false">O3584</f>
        <v>Harian Lepas E-Commerce</v>
      </c>
      <c r="Z3584" s="13" t="str">
        <f aca="false">IFERROR(__xludf.dummyfunction("if(BJ3584="""","""",GOOGLETRANSLATE(BJ3584,""auto"",""en""))"),"Daily Post E-Commerce")</f>
        <v>Daily Post E-Commerce</v>
      </c>
      <c r="AA3584" s="23" t="str">
        <f aca="false">IF(C3584="","", CHOOSE(MONTH(C3584),"January","February","March","April","May","June","July","August","September","October","November","December")&amp;" "&amp;DAY(C3584)&amp;MID("thstndrdth",MIN(9,2*RIGHT(DAY(C3584))*(MOD(DAY(C3584)-11,100)&gt;2)+1),2)&amp;","&amp;TEXT(C3584," yyyy"))</f>
        <v>March 31st,2026</v>
      </c>
      <c r="AB3584" s="15" t="str">
        <f aca="true">IF(S3584="","",DATEDIF(S3584,TODAY(),"Y")&amp;" Tahun, "&amp;DATEDIF(S3584,TODAY(),"YM")&amp;" Bulan, "&amp;DATEDIF(S3584,TODAY(),"MD")&amp;" Hari")</f>
        <v>22 Tahun, 1 Bulan, 22 Hari</v>
      </c>
      <c r="AC3584" s="14" t="n">
        <f aca="false">C3584</f>
        <v>46112</v>
      </c>
      <c r="AD3584" s="18" t="n">
        <v>46188</v>
      </c>
      <c r="AE3584" s="18" t="s">
        <v>44</v>
      </c>
    </row>
    <row r="3585" customFormat="false" ht="15" hidden="false" customHeight="true" outlineLevel="0" collapsed="false">
      <c r="A3585" s="12" t="n">
        <v>22203</v>
      </c>
      <c r="B3585" s="13" t="s">
        <v>14600</v>
      </c>
      <c r="C3585" s="16" t="n">
        <v>46112</v>
      </c>
      <c r="D3585" s="13" t="s">
        <v>10058</v>
      </c>
      <c r="E3585" s="15" t="s">
        <v>102</v>
      </c>
      <c r="F3585" s="24" t="s">
        <v>14601</v>
      </c>
      <c r="G3585" s="13" t="s">
        <v>1127</v>
      </c>
      <c r="H3585" s="13" t="s">
        <v>3024</v>
      </c>
      <c r="I3585" s="13" t="str">
        <f aca="false">IF(C3585=J3585,"NEW KONTRAK","RE-KONTRAK")</f>
        <v>NEW KONTRAK</v>
      </c>
      <c r="J3585" s="16" t="n">
        <f aca="false" t="array" ref="J3585:J3585">IFERROR(INDEX(AC3585:AE3585,IF(COUNTA(AC3585:AE3585)=0,"",MAX((AC3585:AE3585&lt;&gt;"")*(COLUMN(AC3585:AE3585)-(COLUMN(AC3585)))))-1),"")</f>
        <v>46112</v>
      </c>
      <c r="K3585" s="16" t="n">
        <f aca="false" t="array" ref="K3585:K3585">IFERROR(INDEX(AC3585:AE3585,IF(COUNTA(AC3585:AE3585)=0,"",MAX((AC3585:AE3585&lt;&gt;"")*(COLUMN(AC3585:AE3585)-(COLUMN(AC3585)-1))))-1),"")</f>
        <v>46188</v>
      </c>
      <c r="L3585" s="17" t="str">
        <f aca="false" t="array" ref="L3585:L3585">IFERROR(INDEX(AC3585:AE3585,IF(COUNTA(AC3585:AE3585)=0,"",MAX((AC3585:AE3585&lt;&gt;"")*(COLUMN(AC3585:AE3585)-(COLUMN(AC3585)-2))))-1),"")</f>
        <v>ARCHIVED</v>
      </c>
      <c r="M3585" s="13" t="n">
        <f aca="true">K3585-TODAY()</f>
        <v>-136</v>
      </c>
      <c r="N3585" s="18" t="s">
        <v>105</v>
      </c>
      <c r="O3585" s="28" t="s">
        <v>10059</v>
      </c>
      <c r="P3585" s="19" t="n">
        <v>138915</v>
      </c>
      <c r="Q3585" s="20" t="s">
        <v>14602</v>
      </c>
      <c r="R3585" s="13" t="s">
        <v>39</v>
      </c>
      <c r="S3585" s="16" t="n">
        <v>38454</v>
      </c>
      <c r="T3585" s="13" t="s">
        <v>108</v>
      </c>
      <c r="U3585" s="13" t="s">
        <v>14603</v>
      </c>
      <c r="V3585" s="13" t="s">
        <v>42</v>
      </c>
      <c r="W3585" s="13" t="s">
        <v>43</v>
      </c>
      <c r="X3585" s="30" t="n">
        <v>89584602235</v>
      </c>
      <c r="Y3585" s="22" t="str">
        <f aca="false">O3585</f>
        <v>Harian Lepas E-Commerce</v>
      </c>
      <c r="Z3585" s="28" t="s">
        <v>14592</v>
      </c>
      <c r="AA3585" s="23" t="str">
        <f aca="false">IF(C3585="","", CHOOSE(MONTH(C3585),"January","February","March","April","May","June","July","August","September","October","November","December")&amp;" "&amp;DAY(C3585)&amp;MID("thstndrdth",MIN(9,2*RIGHT(DAY(C3585))*(MOD(DAY(C3585)-11,100)&gt;2)+1),2)&amp;","&amp;TEXT(C3585," yyyy"))</f>
        <v>March 31st,2026</v>
      </c>
      <c r="AB3585" s="15" t="str">
        <f aca="true">IF(S3585="","",DATEDIF(S3585,TODAY(),"Y")&amp;" Tahun, "&amp;DATEDIF(S3585,TODAY(),"YM")&amp;" Bulan, "&amp;DATEDIF(S3585,TODAY(),"MD")&amp;" Hari")</f>
        <v>21 Tahun, 6 Bulan, 17 Hari</v>
      </c>
      <c r="AC3585" s="14" t="n">
        <f aca="false">C3585</f>
        <v>46112</v>
      </c>
      <c r="AD3585" s="18" t="n">
        <v>46188</v>
      </c>
      <c r="AE3585" s="13" t="s">
        <v>44</v>
      </c>
    </row>
    <row r="3586" customFormat="false" ht="15" hidden="false" customHeight="true" outlineLevel="0" collapsed="false">
      <c r="A3586" s="12" t="n">
        <v>22204</v>
      </c>
      <c r="B3586" s="13" t="s">
        <v>14604</v>
      </c>
      <c r="C3586" s="16" t="n">
        <v>46126</v>
      </c>
      <c r="D3586" s="13" t="s">
        <v>10058</v>
      </c>
      <c r="E3586" s="15" t="s">
        <v>102</v>
      </c>
      <c r="F3586" s="24" t="s">
        <v>14605</v>
      </c>
      <c r="G3586" s="13" t="s">
        <v>1127</v>
      </c>
      <c r="H3586" s="13" t="s">
        <v>3024</v>
      </c>
      <c r="I3586" s="13" t="str">
        <f aca="false">IF(C3586=J3586,"NEW KONTRAK","RE-KONTRAK")</f>
        <v>NEW KONTRAK</v>
      </c>
      <c r="J3586" s="16" t="n">
        <f aca="false" t="array" ref="J3586:J3586">IFERROR(INDEX(AC3586:AE3586,IF(COUNTA(AC3586:AE3586)=0,"",MAX((AC3586:AE3586&lt;&gt;"")*(COLUMN(AC3586:AE3586)-(COLUMN(AC3586)))))-1),"")</f>
        <v>46126</v>
      </c>
      <c r="K3586" s="16" t="n">
        <f aca="false" t="array" ref="K3586:K3586">IFERROR(INDEX(AC3586:AE3586,IF(COUNTA(AC3586:AE3586)=0,"",MAX((AC3586:AE3586&lt;&gt;"")*(COLUMN(AC3586:AE3586)-(COLUMN(AC3586)-1))))-1),"")</f>
        <v>46188</v>
      </c>
      <c r="L3586" s="17" t="str">
        <f aca="false" t="array" ref="L3586:L3586">IFERROR(INDEX(AC3586:AE3586,IF(COUNTA(AC3586:AE3586)=0,"",MAX((AC3586:AE3586&lt;&gt;"")*(COLUMN(AC3586:AE3586)-(COLUMN(AC3586)-2))))-1),"")</f>
        <v>ARCHIVED</v>
      </c>
      <c r="M3586" s="13" t="n">
        <f aca="true">K3586-TODAY()</f>
        <v>-136</v>
      </c>
      <c r="N3586" s="18" t="s">
        <v>105</v>
      </c>
      <c r="O3586" s="28" t="s">
        <v>10059</v>
      </c>
      <c r="P3586" s="19" t="n">
        <v>138915</v>
      </c>
      <c r="Q3586" s="20" t="s">
        <v>14606</v>
      </c>
      <c r="R3586" s="13" t="s">
        <v>39</v>
      </c>
      <c r="S3586" s="16" t="n">
        <v>37066</v>
      </c>
      <c r="T3586" s="28" t="s">
        <v>40</v>
      </c>
      <c r="U3586" s="13" t="s">
        <v>14607</v>
      </c>
      <c r="V3586" s="13" t="s">
        <v>42</v>
      </c>
      <c r="W3586" s="13" t="s">
        <v>43</v>
      </c>
      <c r="X3586" s="30" t="n">
        <v>89697252175</v>
      </c>
      <c r="Y3586" s="22" t="str">
        <f aca="false">O3586</f>
        <v>Harian Lepas E-Commerce</v>
      </c>
      <c r="Z3586" s="28" t="s">
        <v>14592</v>
      </c>
      <c r="AA3586" s="23" t="str">
        <f aca="false">IF(C3586="","", CHOOSE(MONTH(C3586),"January","February","March","April","May","June","July","August","September","October","November","December")&amp;" "&amp;DAY(C3586)&amp;MID("thstndrdth",MIN(9,2*RIGHT(DAY(C3586))*(MOD(DAY(C3586)-11,100)&gt;2)+1),2)&amp;","&amp;TEXT(C3586," yyyy"))</f>
        <v>April 14th,2026</v>
      </c>
      <c r="AB3586" s="15" t="str">
        <f aca="true">IF(S3586="","",DATEDIF(S3586,TODAY(),"Y")&amp;" Tahun, "&amp;DATEDIF(S3586,TODAY(),"YM")&amp;" Bulan, "&amp;DATEDIF(S3586,TODAY(),"MD")&amp;" Hari")</f>
        <v>25 Tahun, 4 Bulan, 5 Hari</v>
      </c>
      <c r="AC3586" s="14" t="n">
        <f aca="false">C3586</f>
        <v>46126</v>
      </c>
      <c r="AD3586" s="18" t="n">
        <v>46188</v>
      </c>
      <c r="AE3586" s="13" t="s">
        <v>44</v>
      </c>
    </row>
    <row r="3587" customFormat="false" ht="15" hidden="false" customHeight="true" outlineLevel="0" collapsed="false">
      <c r="A3587" s="12" t="n">
        <v>22205</v>
      </c>
      <c r="B3587" s="13" t="s">
        <v>14608</v>
      </c>
      <c r="C3587" s="16" t="n">
        <v>46112</v>
      </c>
      <c r="D3587" s="13" t="s">
        <v>10058</v>
      </c>
      <c r="E3587" s="15" t="s">
        <v>102</v>
      </c>
      <c r="F3587" s="15" t="str">
        <f aca="false">IFERROR(__xludf.dummyfunction("XLOOKUP(AJ3587,IMPORTRANGE(""1XaInW9DU9nz21V0tYIfzFQ0He9kVQ_JF2mCXgZ3hqFA"",""REKAP ALL 2026 - Andika!G:G""),IMPORTRANGE(""1XaInW9DU9nz21V0tYIfzFQ0He9kVQ_JF2mCXgZ3hqFA"",""REKAP ALL 2026 - Andika!F:F""),"""",0)"),"26062984799")</f>
        <v>26062984799</v>
      </c>
      <c r="G3587" s="13" t="s">
        <v>1127</v>
      </c>
      <c r="H3587" s="13" t="s">
        <v>3024</v>
      </c>
      <c r="I3587" s="13" t="str">
        <f aca="false">IF(C3587=J3587,"NEW KONTRAK","RE-KONTRAK")</f>
        <v>NEW KONTRAK</v>
      </c>
      <c r="J3587" s="16" t="n">
        <f aca="false" t="array" ref="J3587:J3587">IFERROR(INDEX(AC3587:AE3587,IF(COUNTA(AC3587:AE3587)=0,"",MAX((AC3587:AE3587&lt;&gt;"")*(COLUMN(AC3587:AE3587)-(COLUMN(AC3587)))))-1),"")</f>
        <v>46112</v>
      </c>
      <c r="K3587" s="16" t="n">
        <f aca="false" t="array" ref="K3587:K3587">IFERROR(INDEX(AC3587:AE3587,IF(COUNTA(AC3587:AE3587)=0,"",MAX((AC3587:AE3587&lt;&gt;"")*(COLUMN(AC3587:AE3587)-(COLUMN(AC3587)-1))))-1),"")</f>
        <v>46188</v>
      </c>
      <c r="L3587" s="17" t="str">
        <f aca="false" t="array" ref="L3587:L3587">IFERROR(INDEX(AC3587:AE3587,IF(COUNTA(AC3587:AE3587)=0,"",MAX((AC3587:AE3587&lt;&gt;"")*(COLUMN(AC3587:AE3587)-(COLUMN(AC3587)-2))))-1),"")</f>
        <v>ARCHIVED</v>
      </c>
      <c r="M3587" s="13" t="n">
        <f aca="true">K3587-TODAY()</f>
        <v>-136</v>
      </c>
      <c r="N3587" s="18" t="s">
        <v>105</v>
      </c>
      <c r="O3587" s="13" t="s">
        <v>10059</v>
      </c>
      <c r="P3587" s="19" t="n">
        <v>138915</v>
      </c>
      <c r="Q3587" s="20" t="s">
        <v>14609</v>
      </c>
      <c r="R3587" s="13" t="s">
        <v>73</v>
      </c>
      <c r="S3587" s="16" t="n">
        <v>36919</v>
      </c>
      <c r="T3587" s="13" t="s">
        <v>108</v>
      </c>
      <c r="U3587" s="13" t="s">
        <v>14610</v>
      </c>
      <c r="V3587" s="13" t="s">
        <v>42</v>
      </c>
      <c r="W3587" s="13" t="s">
        <v>43</v>
      </c>
      <c r="X3587" s="30" t="n">
        <v>82350074329</v>
      </c>
      <c r="Y3587" s="22" t="str">
        <f aca="false">O3587</f>
        <v>Harian Lepas E-Commerce</v>
      </c>
      <c r="Z3587" s="13" t="str">
        <f aca="false">IFERROR(__xludf.dummyfunction("if(BJ3587="""","""",GOOGLETRANSLATE(BJ3587,""auto"",""en""))"),"Daily Post E-Commerce")</f>
        <v>Daily Post E-Commerce</v>
      </c>
      <c r="AA3587" s="23" t="str">
        <f aca="false">IF(C3587="","", CHOOSE(MONTH(C3587),"January","February","March","April","May","June","July","August","September","October","November","December")&amp;" "&amp;DAY(C3587)&amp;MID("thstndrdth",MIN(9,2*RIGHT(DAY(C3587))*(MOD(DAY(C3587)-11,100)&gt;2)+1),2)&amp;","&amp;TEXT(C3587," yyyy"))</f>
        <v>March 31st,2026</v>
      </c>
      <c r="AB3587" s="15" t="str">
        <f aca="true">IF(S3587="","",DATEDIF(S3587,TODAY(),"Y")&amp;" Tahun, "&amp;DATEDIF(S3587,TODAY(),"YM")&amp;" Bulan, "&amp;DATEDIF(S3587,TODAY(),"MD")&amp;" Hari")</f>
        <v>25 Tahun, 9 Bulan, 1 Hari</v>
      </c>
      <c r="AC3587" s="14" t="n">
        <f aca="false">C3587</f>
        <v>46112</v>
      </c>
      <c r="AD3587" s="18" t="n">
        <v>46188</v>
      </c>
      <c r="AE3587" s="18" t="s">
        <v>44</v>
      </c>
    </row>
    <row r="3588" customFormat="false" ht="15" hidden="false" customHeight="true" outlineLevel="0" collapsed="false">
      <c r="A3588" s="12" t="n">
        <v>22206</v>
      </c>
      <c r="B3588" s="13" t="s">
        <v>14611</v>
      </c>
      <c r="C3588" s="14" t="n">
        <v>46142</v>
      </c>
      <c r="D3588" s="13" t="s">
        <v>7310</v>
      </c>
      <c r="E3588" s="15" t="s">
        <v>102</v>
      </c>
      <c r="F3588" s="15" t="str">
        <f aca="false">IFERROR(__xludf.dummyfunction("XLOOKUP(AJ3588,IMPORTRANGE(""1XaInW9DU9nz21V0tYIfzFQ0He9kVQ_JF2mCXgZ3hqFA"",""REKAP ALL 2026 - Andika!G:G""),IMPORTRANGE(""1XaInW9DU9nz21V0tYIfzFQ0He9kVQ_JF2mCXgZ3hqFA"",""REKAP ALL 2026 - Andika!F:F""),"""",0)"),"26062988436")</f>
        <v>26062988436</v>
      </c>
      <c r="G3588" s="13" t="s">
        <v>1127</v>
      </c>
      <c r="H3588" s="13" t="s">
        <v>35</v>
      </c>
      <c r="I3588" s="13" t="str">
        <f aca="false">IF(C3588=J3588,"NEW KONTRAK","RE-KONTRAK")</f>
        <v>NEW KONTRAK</v>
      </c>
      <c r="J3588" s="16" t="n">
        <f aca="false" t="array" ref="J3588:J3588">IFERROR(INDEX(AC3588:AE3588,IF(COUNTA(AC3588:AE3588)=0,"",MAX((AC3588:AE3588&lt;&gt;"")*(COLUMN(AC3588:AE3588)-(COLUMN(AC3588)))))-1),"")</f>
        <v>46142</v>
      </c>
      <c r="K3588" s="16" t="n">
        <f aca="false" t="array" ref="K3588:K3588">IFERROR(INDEX(AC3588:AE3588,IF(COUNTA(AC3588:AE3588)=0,"",MAX((AC3588:AE3588&lt;&gt;"")*(COLUMN(AC3588:AE3588)-(COLUMN(AC3588)-1))))-1),"")</f>
        <v>46267</v>
      </c>
      <c r="L3588" s="17" t="str">
        <f aca="false" t="array" ref="L3588:L3588">IFERROR(INDEX(AC3588:AE3588,IF(COUNTA(AC3588:AE3588)=0,"",MAX((AC3588:AE3588&lt;&gt;"")*(COLUMN(AC3588:AE3588)-(COLUMN(AC3588)-2))))-1),"")</f>
        <v>ARCHIVED</v>
      </c>
      <c r="M3588" s="13" t="n">
        <f aca="true">K3588-TODAY()</f>
        <v>-57</v>
      </c>
      <c r="N3588" s="18" t="s">
        <v>7313</v>
      </c>
      <c r="O3588" s="13" t="s">
        <v>50</v>
      </c>
      <c r="P3588" s="19" t="n">
        <v>2550274</v>
      </c>
      <c r="Q3588" s="20" t="s">
        <v>14612</v>
      </c>
      <c r="R3588" s="13" t="s">
        <v>227</v>
      </c>
      <c r="S3588" s="16" t="n">
        <v>37324</v>
      </c>
      <c r="T3588" s="28" t="s">
        <v>40</v>
      </c>
      <c r="U3588" s="13" t="s">
        <v>14613</v>
      </c>
      <c r="V3588" s="13" t="s">
        <v>42</v>
      </c>
      <c r="W3588" s="13" t="s">
        <v>43</v>
      </c>
      <c r="X3588" s="30" t="n">
        <v>82371296666</v>
      </c>
      <c r="Y3588" s="22" t="str">
        <f aca="false">O3588</f>
        <v>Driver</v>
      </c>
      <c r="Z3588" s="13" t="str">
        <f aca="false">IFERROR(__xludf.dummyfunction("if(BJ3588="""","""",GOOGLETRANSLATE(BJ3588,""auto"",""en""))"),"Driver")</f>
        <v>Driver</v>
      </c>
      <c r="AA3588" s="23" t="str">
        <f aca="false">IF(C3588="","", CHOOSE(MONTH(C3588),"January","February","March","April","May","June","July","August","September","October","November","December")&amp;" "&amp;DAY(C3588)&amp;MID("thstndrdth",MIN(9,2*RIGHT(DAY(C3588))*(MOD(DAY(C3588)-11,100)&gt;2)+1),2)&amp;","&amp;TEXT(C3588," yyyy"))</f>
        <v>April 30th,2026</v>
      </c>
      <c r="AB3588" s="15" t="str">
        <f aca="true">IF(S3588="","",DATEDIF(S3588,TODAY(),"Y")&amp;" Tahun, "&amp;DATEDIF(S3588,TODAY(),"YM")&amp;" Bulan, "&amp;DATEDIF(S3588,TODAY(),"MD")&amp;" Hari")</f>
        <v>24 Tahun, 7 Bulan, 20 Hari</v>
      </c>
      <c r="AC3588" s="14" t="n">
        <f aca="false">C3588</f>
        <v>46142</v>
      </c>
      <c r="AD3588" s="18" t="n">
        <v>46267</v>
      </c>
      <c r="AE3588" s="18" t="s">
        <v>44</v>
      </c>
    </row>
    <row r="3589" customFormat="false" ht="15" hidden="false" customHeight="true" outlineLevel="0" collapsed="false">
      <c r="A3589" s="12" t="n">
        <v>22207</v>
      </c>
      <c r="B3589" s="13" t="s">
        <v>14614</v>
      </c>
      <c r="C3589" s="17" t="n">
        <v>46143</v>
      </c>
      <c r="D3589" s="13" t="s">
        <v>14615</v>
      </c>
      <c r="E3589" s="15" t="s">
        <v>14616</v>
      </c>
      <c r="F3589" s="24" t="s">
        <v>14617</v>
      </c>
      <c r="G3589" s="13" t="s">
        <v>1127</v>
      </c>
      <c r="H3589" s="13" t="s">
        <v>35</v>
      </c>
      <c r="I3589" s="13" t="str">
        <f aca="false">IF(C3589=J3589,"NEW KONTRAK","RE-KONTRAK")</f>
        <v>NEW KONTRAK</v>
      </c>
      <c r="J3589" s="16" t="n">
        <f aca="false" t="array" ref="J3589:J3589">IFERROR(INDEX(AC3589:AE3589,IF(COUNTA(AC3589:AE3589)=0,"",MAX((AC3589:AE3589&lt;&gt;"")*(COLUMN(AC3589:AE3589)-(COLUMN(AC3589)))))-1),"")</f>
        <v>46143</v>
      </c>
      <c r="K3589" s="16" t="n">
        <f aca="false" t="array" ref="K3589:K3589">IFERROR(INDEX(AC3589:AE3589,IF(COUNTA(AC3589:AE3589)=0,"",MAX((AC3589:AE3589&lt;&gt;"")*(COLUMN(AC3589:AE3589)-(COLUMN(AC3589)-1))))-1),"")</f>
        <v>46387</v>
      </c>
      <c r="L3589" s="17" t="str">
        <f aca="false" t="array" ref="L3589:L3589">IFERROR(INDEX(AC3589:AE3589,IF(COUNTA(AC3589:AE3589)=0,"",MAX((AC3589:AE3589&lt;&gt;"")*(COLUMN(AC3589:AE3589)-(COLUMN(AC3589)-2))))-1),"")</f>
        <v>ARCHIVED</v>
      </c>
      <c r="M3589" s="13" t="n">
        <f aca="true">K3589-TODAY()</f>
        <v>63</v>
      </c>
      <c r="N3589" s="18" t="s">
        <v>10550</v>
      </c>
      <c r="O3589" s="13" t="s">
        <v>6624</v>
      </c>
      <c r="P3589" s="19" t="n">
        <v>2532852</v>
      </c>
      <c r="Q3589" s="20" t="s">
        <v>14618</v>
      </c>
      <c r="R3589" s="13" t="s">
        <v>6556</v>
      </c>
      <c r="S3589" s="16" t="n">
        <v>34545</v>
      </c>
      <c r="T3589" s="13" t="s">
        <v>108</v>
      </c>
      <c r="U3589" s="13" t="s">
        <v>14619</v>
      </c>
      <c r="V3589" s="13" t="s">
        <v>99</v>
      </c>
      <c r="W3589" s="13" t="s">
        <v>43</v>
      </c>
      <c r="X3589" s="21" t="n">
        <v>81335305659</v>
      </c>
      <c r="Y3589" s="22" t="str">
        <f aca="false">O3589</f>
        <v>Admin Office</v>
      </c>
      <c r="Z3589" s="13" t="str">
        <f aca="false">IFERROR(__xludf.dummyfunction("if(BJ3589="""","""",GOOGLETRANSLATE(BJ3589,""auto"",""en""))"),"Admin Office")</f>
        <v>Admin Office</v>
      </c>
      <c r="AA3589" s="23" t="str">
        <f aca="false">IF(C3589="","", CHOOSE(MONTH(C3589),"January","February","March","April","May","June","July","August","September","October","November","December")&amp;" "&amp;DAY(C3589)&amp;MID("thstndrdth",MIN(9,2*RIGHT(DAY(C3589))*(MOD(DAY(C3589)-11,100)&gt;2)+1),2)&amp;","&amp;TEXT(C3589," yyyy"))</f>
        <v>May 1st,2026</v>
      </c>
      <c r="AB3589" s="15" t="str">
        <f aca="true">IF(S3589="","",DATEDIF(S3589,TODAY(),"Y")&amp;" Tahun, "&amp;DATEDIF(S3589,TODAY(),"YM")&amp;" Bulan, "&amp;DATEDIF(S3589,TODAY(),"MD")&amp;" Hari")</f>
        <v>32 Tahun, 2 Bulan, 29 Hari</v>
      </c>
      <c r="AC3589" s="14" t="n">
        <f aca="false">C3589</f>
        <v>46143</v>
      </c>
      <c r="AD3589" s="18" t="n">
        <v>46387</v>
      </c>
      <c r="AE3589" s="13" t="s">
        <v>44</v>
      </c>
    </row>
    <row r="3590" customFormat="false" ht="15" hidden="false" customHeight="true" outlineLevel="0" collapsed="false">
      <c r="A3590" s="12" t="n">
        <v>22208</v>
      </c>
      <c r="B3590" s="13" t="s">
        <v>14620</v>
      </c>
      <c r="C3590" s="16" t="n">
        <v>46143</v>
      </c>
      <c r="D3590" s="13" t="s">
        <v>10714</v>
      </c>
      <c r="E3590" s="15" t="s">
        <v>47</v>
      </c>
      <c r="F3590" s="24" t="s">
        <v>14621</v>
      </c>
      <c r="G3590" s="15" t="s">
        <v>1127</v>
      </c>
      <c r="H3590" s="13" t="s">
        <v>35</v>
      </c>
      <c r="I3590" s="13" t="str">
        <f aca="false">IF(C3590=J3590,"NEW KONTRAK","RE-KONTRAK")</f>
        <v>NEW KONTRAK</v>
      </c>
      <c r="J3590" s="16" t="n">
        <f aca="false" t="array" ref="J3590:J3590">IFERROR(INDEX(AC3590:AE3590,IF(COUNTA(AC3590:AE3590)=0,"",MAX((AC3590:AE3590&lt;&gt;"")*(COLUMN(AC3590:AE3590)-(COLUMN(AC3590)))))-1),"")</f>
        <v>46143</v>
      </c>
      <c r="K3590" s="16" t="n">
        <f aca="false" t="array" ref="K3590:K3590">IFERROR(INDEX(AC3590:AE3590,IF(COUNTA(AC3590:AE3590)=0,"",MAX((AC3590:AE3590&lt;&gt;"")*(COLUMN(AC3590:AE3590)-(COLUMN(AC3590)-1))))-1),"")</f>
        <v>46193</v>
      </c>
      <c r="L3590" s="17" t="str">
        <f aca="false" t="array" ref="L3590:L3590">IFERROR(INDEX(AC3590:AE3590,IF(COUNTA(AC3590:AE3590)=0,"",MAX((AC3590:AE3590&lt;&gt;"")*(COLUMN(AC3590:AE3590)-(COLUMN(AC3590)-2))))-1),"")</f>
        <v>ARCHIVED</v>
      </c>
      <c r="M3590" s="13" t="n">
        <f aca="true">K3590-TODAY()</f>
        <v>-131</v>
      </c>
      <c r="N3590" s="18" t="s">
        <v>728</v>
      </c>
      <c r="O3590" s="13" t="s">
        <v>1287</v>
      </c>
      <c r="P3590" s="19" t="n">
        <v>3550000</v>
      </c>
      <c r="Q3590" s="20" t="s">
        <v>14622</v>
      </c>
      <c r="R3590" s="13" t="s">
        <v>52</v>
      </c>
      <c r="S3590" s="14" t="n">
        <v>35973</v>
      </c>
      <c r="T3590" s="28" t="s">
        <v>40</v>
      </c>
      <c r="U3590" s="13" t="s">
        <v>14623</v>
      </c>
      <c r="V3590" s="13" t="s">
        <v>42</v>
      </c>
      <c r="W3590" s="13" t="s">
        <v>43</v>
      </c>
      <c r="X3590" s="21" t="n">
        <v>83830911172</v>
      </c>
      <c r="Y3590" s="22" t="str">
        <f aca="false">O3590</f>
        <v>Office Boy</v>
      </c>
      <c r="Z3590" s="13" t="str">
        <f aca="false">IFERROR(__xludf.dummyfunction("if(BJ3590="""","""",GOOGLETRANSLATE(BJ3590,""auto"",""en""))"),"Office Boy")</f>
        <v>Office Boy</v>
      </c>
      <c r="AA3590" s="23" t="str">
        <f aca="false">IF(C3590="","", CHOOSE(MONTH(C3590),"January","February","March","April","May","June","July","August","September","October","November","December")&amp;" "&amp;DAY(C3590)&amp;MID("thstndrdth",MIN(9,2*RIGHT(DAY(C3590))*(MOD(DAY(C3590)-11,100)&gt;2)+1),2)&amp;","&amp;TEXT(C3590," yyyy"))</f>
        <v>May 1st,2026</v>
      </c>
      <c r="AB3590" s="15" t="str">
        <f aca="true">IF(S3590="","",DATEDIF(S3590,TODAY(),"Y")&amp;" Tahun, "&amp;DATEDIF(S3590,TODAY(),"YM")&amp;" Bulan, "&amp;DATEDIF(S3590,TODAY(),"MD")&amp;" Hari")</f>
        <v>28 Tahun, 4 Bulan, 2 Hari</v>
      </c>
      <c r="AC3590" s="14" t="n">
        <f aca="false">C3590</f>
        <v>46143</v>
      </c>
      <c r="AD3590" s="18" t="n">
        <v>46193</v>
      </c>
      <c r="AE3590" s="13" t="s">
        <v>44</v>
      </c>
    </row>
    <row r="3591" customFormat="false" ht="15" hidden="false" customHeight="true" outlineLevel="0" collapsed="false">
      <c r="A3591" s="12" t="n">
        <v>22209</v>
      </c>
      <c r="B3591" s="13" t="s">
        <v>14624</v>
      </c>
      <c r="C3591" s="16" t="n">
        <v>46143</v>
      </c>
      <c r="D3591" s="13" t="s">
        <v>10714</v>
      </c>
      <c r="E3591" s="15" t="s">
        <v>47</v>
      </c>
      <c r="F3591" s="24" t="s">
        <v>14625</v>
      </c>
      <c r="G3591" s="15" t="s">
        <v>1127</v>
      </c>
      <c r="H3591" s="13" t="s">
        <v>35</v>
      </c>
      <c r="I3591" s="13" t="str">
        <f aca="false">IF(C3591=J3591,"NEW KONTRAK","RE-KONTRAK")</f>
        <v>NEW KONTRAK</v>
      </c>
      <c r="J3591" s="16" t="n">
        <f aca="false" t="array" ref="J3591:J3591">IFERROR(INDEX(AC3591:AE3591,IF(COUNTA(AC3591:AE3591)=0,"",MAX((AC3591:AE3591&lt;&gt;"")*(COLUMN(AC3591:AE3591)-(COLUMN(AC3591)))))-1),"")</f>
        <v>46143</v>
      </c>
      <c r="K3591" s="16" t="n">
        <f aca="false" t="array" ref="K3591:K3591">IFERROR(INDEX(AC3591:AE3591,IF(COUNTA(AC3591:AE3591)=0,"",MAX((AC3591:AE3591&lt;&gt;"")*(COLUMN(AC3591:AE3591)-(COLUMN(AC3591)-1))))-1),"")</f>
        <v>46193</v>
      </c>
      <c r="L3591" s="17" t="str">
        <f aca="false" t="array" ref="L3591:L3591">IFERROR(INDEX(AC3591:AE3591,IF(COUNTA(AC3591:AE3591)=0,"",MAX((AC3591:AE3591&lt;&gt;"")*(COLUMN(AC3591:AE3591)-(COLUMN(AC3591)-2))))-1),"")</f>
        <v>ARCHIVED</v>
      </c>
      <c r="M3591" s="13" t="n">
        <f aca="true">K3591-TODAY()</f>
        <v>-131</v>
      </c>
      <c r="N3591" s="18" t="s">
        <v>728</v>
      </c>
      <c r="O3591" s="13" t="s">
        <v>1287</v>
      </c>
      <c r="P3591" s="19" t="n">
        <v>3550000</v>
      </c>
      <c r="Q3591" s="47" t="s">
        <v>14626</v>
      </c>
      <c r="R3591" s="13" t="s">
        <v>39</v>
      </c>
      <c r="S3591" s="14" t="n">
        <v>37725</v>
      </c>
      <c r="T3591" s="28" t="s">
        <v>40</v>
      </c>
      <c r="U3591" s="13" t="s">
        <v>14627</v>
      </c>
      <c r="V3591" s="13" t="s">
        <v>42</v>
      </c>
      <c r="W3591" s="13" t="s">
        <v>43</v>
      </c>
      <c r="X3591" s="47" t="s">
        <v>14628</v>
      </c>
      <c r="Y3591" s="22" t="str">
        <f aca="false">O3591</f>
        <v>Office Boy</v>
      </c>
      <c r="Z3591" s="13" t="str">
        <f aca="false">IFERROR(__xludf.dummyfunction("if(BJ3591="""","""",GOOGLETRANSLATE(BJ3591,""auto"",""en""))"),"Office Boy")</f>
        <v>Office Boy</v>
      </c>
      <c r="AA3591" s="23" t="str">
        <f aca="false">IF(C3591="","", CHOOSE(MONTH(C3591),"January","February","March","April","May","June","July","August","September","October","November","December")&amp;" "&amp;DAY(C3591)&amp;MID("thstndrdth",MIN(9,2*RIGHT(DAY(C3591))*(MOD(DAY(C3591)-11,100)&gt;2)+1),2)&amp;","&amp;TEXT(C3591," yyyy"))</f>
        <v>May 1st,2026</v>
      </c>
      <c r="AB3591" s="15" t="str">
        <f aca="true">IF(S3591="","",DATEDIF(S3591,TODAY(),"Y")&amp;" Tahun, "&amp;DATEDIF(S3591,TODAY(),"YM")&amp;" Bulan, "&amp;DATEDIF(S3591,TODAY(),"MD")&amp;" Hari")</f>
        <v>23 Tahun, 6 Bulan, 15 Hari</v>
      </c>
      <c r="AC3591" s="14" t="n">
        <f aca="false">C3591</f>
        <v>46143</v>
      </c>
      <c r="AD3591" s="18" t="n">
        <v>46193</v>
      </c>
      <c r="AE3591" s="13" t="s">
        <v>44</v>
      </c>
    </row>
    <row r="3592" customFormat="false" ht="15" hidden="false" customHeight="true" outlineLevel="0" collapsed="false">
      <c r="A3592" s="12" t="n">
        <v>22210</v>
      </c>
      <c r="B3592" s="13" t="s">
        <v>14629</v>
      </c>
      <c r="C3592" s="16" t="n">
        <v>46146.2916666667</v>
      </c>
      <c r="D3592" s="13" t="s">
        <v>6473</v>
      </c>
      <c r="E3592" s="15" t="s">
        <v>47</v>
      </c>
      <c r="F3592" s="24" t="s">
        <v>14630</v>
      </c>
      <c r="G3592" s="15" t="s">
        <v>1452</v>
      </c>
      <c r="H3592" s="13" t="s">
        <v>35</v>
      </c>
      <c r="I3592" s="13" t="str">
        <f aca="false">IF(C3592=J3592,"NEW KONTRAK","RE-KONTRAK")</f>
        <v>NEW KONTRAK</v>
      </c>
      <c r="J3592" s="16" t="n">
        <f aca="false" t="array" ref="J3592:J3592">IFERROR(INDEX(AC3592:AE3592,IF(COUNTA(AC3592:AE3592)=0,"",MAX((AC3592:AE3592&lt;&gt;"")*(COLUMN(AC3592:AE3592)-(COLUMN(AC3592)))))-1),"")</f>
        <v>46146.2916666667</v>
      </c>
      <c r="K3592" s="16" t="n">
        <f aca="false" t="array" ref="K3592:K3592">IFERROR(INDEX(AC3592:AE3592,IF(COUNTA(AC3592:AE3592)=0,"",MAX((AC3592:AE3592&lt;&gt;"")*(COLUMN(AC3592:AE3592)-(COLUMN(AC3592)-1))))-1),"")</f>
        <v>46237</v>
      </c>
      <c r="L3592" s="17" t="str">
        <f aca="false" t="array" ref="L3592:L3592">IFERROR(INDEX(AC3592:AE3592,IF(COUNTA(AC3592:AE3592)=0,"",MAX((AC3592:AE3592&lt;&gt;"")*(COLUMN(AC3592:AE3592)-(COLUMN(AC3592)-2))))-1),"")</f>
        <v>ARCHIVED</v>
      </c>
      <c r="M3592" s="13" t="n">
        <f aca="true">K3592-TODAY()</f>
        <v>-87</v>
      </c>
      <c r="N3592" s="18" t="s">
        <v>728</v>
      </c>
      <c r="O3592" s="13" t="s">
        <v>50</v>
      </c>
      <c r="P3592" s="73" t="n">
        <v>180000</v>
      </c>
      <c r="Q3592" s="47" t="s">
        <v>14631</v>
      </c>
      <c r="R3592" s="13" t="s">
        <v>52</v>
      </c>
      <c r="S3592" s="16" t="n">
        <v>34548</v>
      </c>
      <c r="T3592" s="28" t="s">
        <v>40</v>
      </c>
      <c r="U3592" s="13" t="s">
        <v>14632</v>
      </c>
      <c r="V3592" s="13" t="s">
        <v>42</v>
      </c>
      <c r="W3592" s="13" t="s">
        <v>43</v>
      </c>
      <c r="X3592" s="118" t="s">
        <v>14633</v>
      </c>
      <c r="Y3592" s="22" t="str">
        <f aca="false">O3592</f>
        <v>Driver</v>
      </c>
      <c r="Z3592" s="13" t="str">
        <f aca="false">IFERROR(__xludf.dummyfunction("if(BJ3592="""","""",GOOGLETRANSLATE(BJ3592,""auto"",""en""))"),"Driver")</f>
        <v>Driver</v>
      </c>
      <c r="AA3592" s="23" t="str">
        <f aca="false">IF(C3592="","", CHOOSE(MONTH(C3592),"January","February","March","April","May","June","July","August","September","October","November","December")&amp;" "&amp;DAY(C3592)&amp;MID("thstndrdth",MIN(9,2*RIGHT(DAY(C3592))*(MOD(DAY(C3592)-11,100)&gt;2)+1),2)&amp;","&amp;TEXT(C3592," yyyy"))</f>
        <v>May 4th,2026</v>
      </c>
      <c r="AB3592" s="15" t="str">
        <f aca="true">IF(S3592="","",DATEDIF(S3592,TODAY(),"Y")&amp;" Tahun, "&amp;DATEDIF(S3592,TODAY(),"YM")&amp;" Bulan, "&amp;DATEDIF(S3592,TODAY(),"MD")&amp;" Hari")</f>
        <v>32 Tahun, 2 Bulan, 27 Hari</v>
      </c>
      <c r="AC3592" s="14" t="n">
        <f aca="false">C3592</f>
        <v>46146.2916666667</v>
      </c>
      <c r="AD3592" s="18" t="n">
        <f aca="false">EDATE(AC3592,3)-1</f>
        <v>46237</v>
      </c>
      <c r="AE3592" s="13" t="s">
        <v>44</v>
      </c>
    </row>
    <row r="3593" customFormat="false" ht="15" hidden="false" customHeight="true" outlineLevel="0" collapsed="false">
      <c r="A3593" s="12" t="n">
        <v>22211</v>
      </c>
      <c r="B3593" s="13" t="s">
        <v>14634</v>
      </c>
      <c r="C3593" s="16" t="n">
        <v>46127</v>
      </c>
      <c r="D3593" s="13" t="s">
        <v>14185</v>
      </c>
      <c r="E3593" s="15" t="s">
        <v>789</v>
      </c>
      <c r="F3593" s="15" t="str">
        <f aca="false">IFERROR(__xludf.dummyfunction("XLOOKUP(AJ3593,IMPORTRANGE(""1XaInW9DU9nz21V0tYIfzFQ0He9kVQ_JF2mCXgZ3hqFA"",""REKAP ALL 2026 - Andika!G:G""),IMPORTRANGE(""1XaInW9DU9nz21V0tYIfzFQ0He9kVQ_JF2mCXgZ3hqFA"",""REKAP ALL 2026 - Andika!F:F""),"""",0)"),"26062983668")</f>
        <v>26062983668</v>
      </c>
      <c r="G3593" s="13" t="s">
        <v>1127</v>
      </c>
      <c r="H3593" s="13" t="s">
        <v>3024</v>
      </c>
      <c r="I3593" s="13" t="str">
        <f aca="false">IF(C3593=J3593,"NEW KONTRAK","RE-KONTRAK")</f>
        <v>NEW KONTRAK</v>
      </c>
      <c r="J3593" s="16" t="n">
        <f aca="false" t="array" ref="J3593:J3593">IFERROR(INDEX(AC3593:AE3593,IF(COUNTA(AC3593:AE3593)=0,"",MAX((AC3593:AE3593&lt;&gt;"")*(COLUMN(AC3593:AE3593)-(COLUMN(AC3593)))))-1),"")</f>
        <v>46127</v>
      </c>
      <c r="K3593" s="16" t="n">
        <f aca="false" t="array" ref="K3593:K3593">IFERROR(INDEX(AC3593:AE3593,IF(COUNTA(AC3593:AE3593)=0,"",MAX((AC3593:AE3593&lt;&gt;"")*(COLUMN(AC3593:AE3593)-(COLUMN(AC3593)-1))))-1),"")</f>
        <v>46217</v>
      </c>
      <c r="L3593" s="17" t="str">
        <f aca="false" t="array" ref="L3593:L3593">IFERROR(INDEX(AC3593:AE3593,IF(COUNTA(AC3593:AE3593)=0,"",MAX((AC3593:AE3593&lt;&gt;"")*(COLUMN(AC3593:AE3593)-(COLUMN(AC3593)-2))))-1),"")</f>
        <v>ARCHIVED</v>
      </c>
      <c r="M3593" s="13" t="n">
        <f aca="true">K3593-TODAY()</f>
        <v>-107</v>
      </c>
      <c r="N3593" s="50" t="s">
        <v>728</v>
      </c>
      <c r="O3593" s="13" t="s">
        <v>11196</v>
      </c>
      <c r="P3593" s="19" t="n">
        <v>120000</v>
      </c>
      <c r="Q3593" s="47" t="s">
        <v>14635</v>
      </c>
      <c r="R3593" s="13" t="s">
        <v>52</v>
      </c>
      <c r="S3593" s="16" t="n">
        <v>38621</v>
      </c>
      <c r="T3593" s="13" t="s">
        <v>108</v>
      </c>
      <c r="U3593" s="13" t="s">
        <v>14636</v>
      </c>
      <c r="V3593" s="13" t="s">
        <v>42</v>
      </c>
      <c r="W3593" s="13" t="s">
        <v>43</v>
      </c>
      <c r="X3593" s="30" t="n">
        <v>83160083505</v>
      </c>
      <c r="Y3593" s="22" t="str">
        <f aca="false">O3593</f>
        <v>Helper Gudang</v>
      </c>
      <c r="Z3593" s="13" t="str">
        <f aca="false">IFERROR(__xludf.dummyfunction("if(BJ3593="""","""",GOOGLETRANSLATE(BJ3593,""auto"",""en""))"),"Helper Gudang")</f>
        <v>Helper Gudang</v>
      </c>
      <c r="AA3593" s="23" t="str">
        <f aca="false">IF(C3593="","", CHOOSE(MONTH(C3593),"January","February","March","April","May","June","July","August","September","October","November","December")&amp;" "&amp;DAY(C3593)&amp;MID("thstndrdth",MIN(9,2*RIGHT(DAY(C3593))*(MOD(DAY(C3593)-11,100)&gt;2)+1),2)&amp;","&amp;TEXT(C3593," yyyy"))</f>
        <v>April 15th,2026</v>
      </c>
      <c r="AB3593" s="15" t="str">
        <f aca="true">IF(S3593="","",DATEDIF(S3593,TODAY(),"Y")&amp;" Tahun, "&amp;DATEDIF(S3593,TODAY(),"YM")&amp;" Bulan, "&amp;DATEDIF(S3593,TODAY(),"MD")&amp;" Hari")</f>
        <v>21 Tahun, 1 Bulan, 3 Hari</v>
      </c>
      <c r="AC3593" s="14" t="n">
        <f aca="false">C3593</f>
        <v>46127</v>
      </c>
      <c r="AD3593" s="18" t="n">
        <f aca="false">EDATE(AC3593,3)-1</f>
        <v>46217</v>
      </c>
      <c r="AE3593" s="13" t="s">
        <v>44</v>
      </c>
    </row>
    <row r="3594" customFormat="false" ht="15" hidden="false" customHeight="true" outlineLevel="0" collapsed="false">
      <c r="A3594" s="12" t="n">
        <v>22212</v>
      </c>
      <c r="B3594" s="13" t="s">
        <v>14637</v>
      </c>
      <c r="C3594" s="16" t="n">
        <v>46128</v>
      </c>
      <c r="D3594" s="13" t="s">
        <v>14185</v>
      </c>
      <c r="E3594" s="15" t="s">
        <v>102</v>
      </c>
      <c r="F3594" s="15" t="str">
        <f aca="false">IFERROR(__xludf.dummyfunction("XLOOKUP(AJ3594,IMPORTRANGE(""1XaInW9DU9nz21V0tYIfzFQ0He9kVQ_JF2mCXgZ3hqFA"",""REKAP ALL 2026 - Andika!G:G""),IMPORTRANGE(""1XaInW9DU9nz21V0tYIfzFQ0He9kVQ_JF2mCXgZ3hqFA"",""REKAP ALL 2026 - Andika!F:F""),"""",0)"),"26062983684")</f>
        <v>26062983684</v>
      </c>
      <c r="G3594" s="13" t="s">
        <v>1127</v>
      </c>
      <c r="H3594" s="13" t="s">
        <v>3024</v>
      </c>
      <c r="I3594" s="13" t="str">
        <f aca="false">IF(C3594=J3594,"NEW KONTRAK","RE-KONTRAK")</f>
        <v>NEW KONTRAK</v>
      </c>
      <c r="J3594" s="16" t="n">
        <f aca="false" t="array" ref="J3594:J3594">IFERROR(INDEX(AC3594:AE3594,IF(COUNTA(AC3594:AE3594)=0,"",MAX((AC3594:AE3594&lt;&gt;"")*(COLUMN(AC3594:AE3594)-(COLUMN(AC3594)))))-1),"")</f>
        <v>46128</v>
      </c>
      <c r="K3594" s="16" t="n">
        <f aca="false" t="array" ref="K3594:K3594">IFERROR(INDEX(AC3594:AE3594,IF(COUNTA(AC3594:AE3594)=0,"",MAX((AC3594:AE3594&lt;&gt;"")*(COLUMN(AC3594:AE3594)-(COLUMN(AC3594)-1))))-1),"")</f>
        <v>46218</v>
      </c>
      <c r="L3594" s="17" t="str">
        <f aca="false" t="array" ref="L3594:L3594">IFERROR(INDEX(AC3594:AE3594,IF(COUNTA(AC3594:AE3594)=0,"",MAX((AC3594:AE3594&lt;&gt;"")*(COLUMN(AC3594:AE3594)-(COLUMN(AC3594)-2))))-1),"")</f>
        <v>ARCHIVED</v>
      </c>
      <c r="M3594" s="13" t="n">
        <f aca="true">K3594-TODAY()</f>
        <v>-106</v>
      </c>
      <c r="N3594" s="50" t="s">
        <v>728</v>
      </c>
      <c r="O3594" s="13" t="s">
        <v>11196</v>
      </c>
      <c r="P3594" s="19" t="n">
        <v>120000</v>
      </c>
      <c r="Q3594" s="20" t="s">
        <v>14638</v>
      </c>
      <c r="R3594" s="13" t="s">
        <v>52</v>
      </c>
      <c r="S3594" s="16" t="n">
        <v>37331</v>
      </c>
      <c r="T3594" s="13" t="s">
        <v>108</v>
      </c>
      <c r="U3594" s="13" t="s">
        <v>14639</v>
      </c>
      <c r="V3594" s="13" t="s">
        <v>42</v>
      </c>
      <c r="W3594" s="13" t="s">
        <v>43</v>
      </c>
      <c r="X3594" s="30" t="n">
        <v>87730033542</v>
      </c>
      <c r="Y3594" s="22" t="str">
        <f aca="false">O3594</f>
        <v>Helper Gudang</v>
      </c>
      <c r="Z3594" s="13" t="str">
        <f aca="false">IFERROR(__xludf.dummyfunction("if(BJ3594="""","""",GOOGLETRANSLATE(BJ3594,""auto"",""en""))"),"Helper Gudang")</f>
        <v>Helper Gudang</v>
      </c>
      <c r="AA3594" s="23" t="str">
        <f aca="false">IF(C3594="","", CHOOSE(MONTH(C3594),"January","February","March","April","May","June","July","August","September","October","November","December")&amp;" "&amp;DAY(C3594)&amp;MID("thstndrdth",MIN(9,2*RIGHT(DAY(C3594))*(MOD(DAY(C3594)-11,100)&gt;2)+1),2)&amp;","&amp;TEXT(C3594," yyyy"))</f>
        <v>April 16th,2026</v>
      </c>
      <c r="AB3594" s="15" t="str">
        <f aca="true">IF(S3594="","",DATEDIF(S3594,TODAY(),"Y")&amp;" Tahun, "&amp;DATEDIF(S3594,TODAY(),"YM")&amp;" Bulan, "&amp;DATEDIF(S3594,TODAY(),"MD")&amp;" Hari")</f>
        <v>24 Tahun, 7 Bulan, 13 Hari</v>
      </c>
      <c r="AC3594" s="14" t="n">
        <f aca="false">C3594</f>
        <v>46128</v>
      </c>
      <c r="AD3594" s="18" t="n">
        <f aca="false">EDATE(AC3594,3)-1</f>
        <v>46218</v>
      </c>
      <c r="AE3594" s="13" t="s">
        <v>44</v>
      </c>
    </row>
    <row r="3595" customFormat="false" ht="15" hidden="false" customHeight="true" outlineLevel="0" collapsed="false">
      <c r="A3595" s="12" t="n">
        <v>22213</v>
      </c>
      <c r="B3595" s="13" t="s">
        <v>14640</v>
      </c>
      <c r="C3595" s="16" t="n">
        <v>46134</v>
      </c>
      <c r="D3595" s="13" t="s">
        <v>14185</v>
      </c>
      <c r="E3595" s="15" t="s">
        <v>33</v>
      </c>
      <c r="F3595" s="24" t="s">
        <v>14641</v>
      </c>
      <c r="G3595" s="13" t="s">
        <v>1127</v>
      </c>
      <c r="H3595" s="13" t="s">
        <v>3024</v>
      </c>
      <c r="I3595" s="13" t="str">
        <f aca="false">IF(C3595=J3595,"NEW KONTRAK","RE-KONTRAK")</f>
        <v>NEW KONTRAK</v>
      </c>
      <c r="J3595" s="16" t="n">
        <f aca="false" t="array" ref="J3595:J3595">IFERROR(INDEX(AC3595:AE3595,IF(COUNTA(AC3595:AE3595)=0,"",MAX((AC3595:AE3595&lt;&gt;"")*(COLUMN(AC3595:AE3595)-(COLUMN(AC3595)))))-1),"")</f>
        <v>46134</v>
      </c>
      <c r="K3595" s="16" t="n">
        <f aca="false" t="array" ref="K3595:K3595">IFERROR(INDEX(AC3595:AE3595,IF(COUNTA(AC3595:AE3595)=0,"",MAX((AC3595:AE3595&lt;&gt;"")*(COLUMN(AC3595:AE3595)-(COLUMN(AC3595)-1))))-1),"")</f>
        <v>46224</v>
      </c>
      <c r="L3595" s="17" t="str">
        <f aca="false" t="array" ref="L3595:L3595">IFERROR(INDEX(AC3595:AE3595,IF(COUNTA(AC3595:AE3595)=0,"",MAX((AC3595:AE3595&lt;&gt;"")*(COLUMN(AC3595:AE3595)-(COLUMN(AC3595)-2))))-1),"")</f>
        <v>ARCHIVED</v>
      </c>
      <c r="M3595" s="13" t="n">
        <f aca="true">K3595-TODAY()</f>
        <v>-100</v>
      </c>
      <c r="N3595" s="50" t="s">
        <v>728</v>
      </c>
      <c r="O3595" s="13" t="s">
        <v>11196</v>
      </c>
      <c r="P3595" s="19" t="n">
        <v>120000</v>
      </c>
      <c r="Q3595" s="20" t="s">
        <v>14642</v>
      </c>
      <c r="R3595" s="13" t="s">
        <v>763</v>
      </c>
      <c r="S3595" s="14" t="n">
        <v>35237</v>
      </c>
      <c r="T3595" s="13" t="s">
        <v>108</v>
      </c>
      <c r="U3595" s="13" t="s">
        <v>14643</v>
      </c>
      <c r="V3595" s="13" t="s">
        <v>42</v>
      </c>
      <c r="W3595" s="13" t="s">
        <v>43</v>
      </c>
      <c r="X3595" s="30" t="n">
        <v>82168942104</v>
      </c>
      <c r="Y3595" s="22" t="str">
        <f aca="false">O3595</f>
        <v>Helper Gudang</v>
      </c>
      <c r="Z3595" s="13" t="str">
        <f aca="false">IFERROR(__xludf.dummyfunction("if(BJ3595="""","""",GOOGLETRANSLATE(BJ3595,""auto"",""en""))"),"Helper Gudang")</f>
        <v>Helper Gudang</v>
      </c>
      <c r="AA3595" s="23" t="str">
        <f aca="false">IF(C3595="","", CHOOSE(MONTH(C3595),"January","February","March","April","May","June","July","August","September","October","November","December")&amp;" "&amp;DAY(C3595)&amp;MID("thstndrdth",MIN(9,2*RIGHT(DAY(C3595))*(MOD(DAY(C3595)-11,100)&gt;2)+1),2)&amp;","&amp;TEXT(C3595," yyyy"))</f>
        <v>April 22nd,2026</v>
      </c>
      <c r="AB3595" s="15" t="str">
        <f aca="true">IF(S3595="","",DATEDIF(S3595,TODAY(),"Y")&amp;" Tahun, "&amp;DATEDIF(S3595,TODAY(),"YM")&amp;" Bulan, "&amp;DATEDIF(S3595,TODAY(),"MD")&amp;" Hari")</f>
        <v>30 Tahun, 4 Bulan, 8 Hari</v>
      </c>
      <c r="AC3595" s="14" t="n">
        <f aca="false">C3595</f>
        <v>46134</v>
      </c>
      <c r="AD3595" s="18" t="n">
        <f aca="false">EDATE(AC3595,3)-1</f>
        <v>46224</v>
      </c>
      <c r="AE3595" s="13" t="s">
        <v>44</v>
      </c>
    </row>
    <row r="3596" customFormat="false" ht="15" hidden="false" customHeight="true" outlineLevel="0" collapsed="false">
      <c r="A3596" s="12" t="n">
        <v>22214</v>
      </c>
      <c r="B3596" s="13" t="s">
        <v>1012</v>
      </c>
      <c r="C3596" s="16" t="n">
        <v>46133</v>
      </c>
      <c r="D3596" s="13" t="s">
        <v>14185</v>
      </c>
      <c r="E3596" s="15" t="s">
        <v>47</v>
      </c>
      <c r="F3596" s="24" t="s">
        <v>14644</v>
      </c>
      <c r="G3596" s="13" t="s">
        <v>1127</v>
      </c>
      <c r="H3596" s="13" t="s">
        <v>3024</v>
      </c>
      <c r="I3596" s="13" t="str">
        <f aca="false">IF(C3596=J3596,"NEW KONTRAK","RE-KONTRAK")</f>
        <v>NEW KONTRAK</v>
      </c>
      <c r="J3596" s="16" t="n">
        <f aca="false" t="array" ref="J3596:J3596">IFERROR(INDEX(AC3596:AE3596,IF(COUNTA(AC3596:AE3596)=0,"",MAX((AC3596:AE3596&lt;&gt;"")*(COLUMN(AC3596:AE3596)-(COLUMN(AC3596)))))-1),"")</f>
        <v>46133</v>
      </c>
      <c r="K3596" s="16" t="n">
        <f aca="false" t="array" ref="K3596:K3596">IFERROR(INDEX(AC3596:AE3596,IF(COUNTA(AC3596:AE3596)=0,"",MAX((AC3596:AE3596&lt;&gt;"")*(COLUMN(AC3596:AE3596)-(COLUMN(AC3596)-1))))-1),"")</f>
        <v>46223</v>
      </c>
      <c r="L3596" s="17" t="str">
        <f aca="false" t="array" ref="L3596:L3596">IFERROR(INDEX(AC3596:AE3596,IF(COUNTA(AC3596:AE3596)=0,"",MAX((AC3596:AE3596&lt;&gt;"")*(COLUMN(AC3596:AE3596)-(COLUMN(AC3596)-2))))-1),"")</f>
        <v>ARCHIVED</v>
      </c>
      <c r="M3596" s="13" t="n">
        <f aca="true">K3596-TODAY()</f>
        <v>-101</v>
      </c>
      <c r="N3596" s="50" t="s">
        <v>728</v>
      </c>
      <c r="O3596" s="13" t="s">
        <v>11196</v>
      </c>
      <c r="P3596" s="19" t="n">
        <v>120000</v>
      </c>
      <c r="Q3596" s="20" t="s">
        <v>14645</v>
      </c>
      <c r="R3596" s="13" t="s">
        <v>227</v>
      </c>
      <c r="S3596" s="14" t="n">
        <v>36742</v>
      </c>
      <c r="T3596" s="13" t="s">
        <v>108</v>
      </c>
      <c r="U3596" s="13" t="s">
        <v>14646</v>
      </c>
      <c r="V3596" s="13" t="s">
        <v>42</v>
      </c>
      <c r="W3596" s="13" t="s">
        <v>43</v>
      </c>
      <c r="X3596" s="21" t="n">
        <v>85233095753</v>
      </c>
      <c r="Y3596" s="22" t="str">
        <f aca="false">O3596</f>
        <v>Helper Gudang</v>
      </c>
      <c r="Z3596" s="13" t="str">
        <f aca="false">IFERROR(__xludf.dummyfunction("if(BJ3596="""","""",GOOGLETRANSLATE(BJ3596,""auto"",""en""))"),"Helper Gudang")</f>
        <v>Helper Gudang</v>
      </c>
      <c r="AA3596" s="23" t="str">
        <f aca="false">IF(C3596="","", CHOOSE(MONTH(C3596),"January","February","March","April","May","June","July","August","September","October","November","December")&amp;" "&amp;DAY(C3596)&amp;MID("thstndrdth",MIN(9,2*RIGHT(DAY(C3596))*(MOD(DAY(C3596)-11,100)&gt;2)+1),2)&amp;","&amp;TEXT(C3596," yyyy"))</f>
        <v>April 21st,2026</v>
      </c>
      <c r="AB3596" s="15" t="str">
        <f aca="true">IF(S3596="","",DATEDIF(S3596,TODAY(),"Y")&amp;" Tahun, "&amp;DATEDIF(S3596,TODAY(),"YM")&amp;" Bulan, "&amp;DATEDIF(S3596,TODAY(),"MD")&amp;" Hari")</f>
        <v>26 Tahun, 2 Bulan, 25 Hari</v>
      </c>
      <c r="AC3596" s="14" t="n">
        <f aca="false">C3596</f>
        <v>46133</v>
      </c>
      <c r="AD3596" s="18" t="n">
        <f aca="false">EDATE(AC3596,3)-1</f>
        <v>46223</v>
      </c>
      <c r="AE3596" s="13" t="s">
        <v>44</v>
      </c>
    </row>
    <row r="3597" customFormat="false" ht="15" hidden="false" customHeight="true" outlineLevel="0" collapsed="false">
      <c r="A3597" s="12" t="n">
        <v>22215</v>
      </c>
      <c r="B3597" s="13" t="s">
        <v>14647</v>
      </c>
      <c r="C3597" s="16" t="n">
        <v>46144</v>
      </c>
      <c r="D3597" s="13" t="s">
        <v>8864</v>
      </c>
      <c r="E3597" s="15" t="s">
        <v>47</v>
      </c>
      <c r="F3597" s="24" t="s">
        <v>14648</v>
      </c>
      <c r="G3597" s="13" t="s">
        <v>1127</v>
      </c>
      <c r="H3597" s="13" t="s">
        <v>35</v>
      </c>
      <c r="I3597" s="13" t="str">
        <f aca="false">IF(C3597=J3597,"NEW KONTRAK","RE-KONTRAK")</f>
        <v>NEW KONTRAK</v>
      </c>
      <c r="J3597" s="16" t="n">
        <f aca="false" t="array" ref="J3597:J3597">IFERROR(INDEX(AC3597:AE3597,IF(COUNTA(AC3597:AE3597)=0,"",MAX((AC3597:AE3597&lt;&gt;"")*(COLUMN(AC3597:AE3597)-(COLUMN(AC3597)))))-1),"")</f>
        <v>46144</v>
      </c>
      <c r="K3597" s="16" t="n">
        <f aca="false" t="array" ref="K3597:K3597">IFERROR(INDEX(AC3597:AE3597,IF(COUNTA(AC3597:AE3597)=0,"",MAX((AC3597:AE3597&lt;&gt;"")*(COLUMN(AC3597:AE3597)-(COLUMN(AC3597)-1))))-1),"")</f>
        <v>46235</v>
      </c>
      <c r="L3597" s="17" t="str">
        <f aca="false" t="array" ref="L3597:L3597">IFERROR(INDEX(AC3597:AE3597,IF(COUNTA(AC3597:AE3597)=0,"",MAX((AC3597:AE3597&lt;&gt;"")*(COLUMN(AC3597:AE3597)-(COLUMN(AC3597)-2))))-1),"")</f>
        <v>KEMBALI</v>
      </c>
      <c r="M3597" s="13" t="n">
        <f aca="true">K3597-TODAY()</f>
        <v>-89</v>
      </c>
      <c r="N3597" s="18" t="s">
        <v>105</v>
      </c>
      <c r="O3597" s="13" t="s">
        <v>719</v>
      </c>
      <c r="P3597" s="117" t="n">
        <v>2500000</v>
      </c>
      <c r="Q3597" s="47" t="s">
        <v>14649</v>
      </c>
      <c r="R3597" s="13" t="s">
        <v>39</v>
      </c>
      <c r="S3597" s="16" t="n">
        <v>35238</v>
      </c>
      <c r="T3597" s="28" t="s">
        <v>40</v>
      </c>
      <c r="U3597" s="13" t="s">
        <v>14650</v>
      </c>
      <c r="V3597" s="13" t="s">
        <v>42</v>
      </c>
      <c r="W3597" s="13" t="s">
        <v>54</v>
      </c>
      <c r="X3597" s="118" t="s">
        <v>14651</v>
      </c>
      <c r="Y3597" s="22" t="str">
        <f aca="false">O3597</f>
        <v>Cleaning Service</v>
      </c>
      <c r="Z3597" s="13" t="str">
        <f aca="false">IFERROR(__xludf.dummyfunction("if(BJ3597="""","""",GOOGLETRANSLATE(BJ3597,""auto"",""en""))"),"Cleaning Service")</f>
        <v>Cleaning Service</v>
      </c>
      <c r="AA3597" s="23" t="str">
        <f aca="false">IF(C3597="","", CHOOSE(MONTH(C3597),"January","February","March","April","May","June","July","August","September","October","November","December")&amp;" "&amp;DAY(C3597)&amp;MID("thstndrdth",MIN(9,2*RIGHT(DAY(C3597))*(MOD(DAY(C3597)-11,100)&gt;2)+1),2)&amp;","&amp;TEXT(C3597," yyyy"))</f>
        <v>May 2nd,2026</v>
      </c>
      <c r="AB3597" s="15" t="str">
        <f aca="true">IF(S3597="","",DATEDIF(S3597,TODAY(),"Y")&amp;" Tahun, "&amp;DATEDIF(S3597,TODAY(),"YM")&amp;" Bulan, "&amp;DATEDIF(S3597,TODAY(),"MD")&amp;" Hari")</f>
        <v>30 Tahun, 4 Bulan, 7 Hari</v>
      </c>
      <c r="AC3597" s="14" t="n">
        <f aca="false">C3597</f>
        <v>46144</v>
      </c>
      <c r="AD3597" s="18" t="n">
        <f aca="false">EDATE(AC3597,3)-1</f>
        <v>46235</v>
      </c>
      <c r="AE3597" s="13" t="s">
        <v>397</v>
      </c>
    </row>
    <row r="3598" customFormat="false" ht="15" hidden="false" customHeight="true" outlineLevel="0" collapsed="false">
      <c r="A3598" s="12" t="n">
        <v>22216</v>
      </c>
      <c r="B3598" s="13" t="s">
        <v>14652</v>
      </c>
      <c r="C3598" s="16" t="n">
        <v>46146</v>
      </c>
      <c r="D3598" s="13" t="s">
        <v>6638</v>
      </c>
      <c r="E3598" s="15" t="s">
        <v>47</v>
      </c>
      <c r="F3598" s="24" t="s">
        <v>14653</v>
      </c>
      <c r="G3598" s="13" t="s">
        <v>1127</v>
      </c>
      <c r="H3598" s="13" t="s">
        <v>35</v>
      </c>
      <c r="I3598" s="13" t="str">
        <f aca="false">IF(C3598=J3598,"NEW KONTRAK","RE-KONTRAK")</f>
        <v>NEW KONTRAK</v>
      </c>
      <c r="J3598" s="16" t="n">
        <f aca="false" t="array" ref="J3598:J3598">IFERROR(INDEX(AC3598:AE3598,IF(COUNTA(AC3598:AE3598)=0,"",MAX((AC3598:AE3598&lt;&gt;"")*(COLUMN(AC3598:AE3598)-(COLUMN(AC3598)))))-1),"")</f>
        <v>46146</v>
      </c>
      <c r="K3598" s="16" t="n">
        <f aca="false" t="array" ref="K3598:K3598">IFERROR(INDEX(AC3598:AE3598,IF(COUNTA(AC3598:AE3598)=0,"",MAX((AC3598:AE3598&lt;&gt;"")*(COLUMN(AC3598:AE3598)-(COLUMN(AC3598)-1))))-1),"")</f>
        <v>46237</v>
      </c>
      <c r="L3598" s="17" t="str">
        <f aca="false" t="array" ref="L3598:L3598">IFERROR(INDEX(AC3598:AE3598,IF(COUNTA(AC3598:AE3598)=0,"",MAX((AC3598:AE3598&lt;&gt;"")*(COLUMN(AC3598:AE3598)-(COLUMN(AC3598)-2))))-1),"")</f>
        <v>KEMBALI</v>
      </c>
      <c r="M3598" s="13" t="n">
        <f aca="true">K3598-TODAY()</f>
        <v>-87</v>
      </c>
      <c r="N3598" s="18" t="s">
        <v>4735</v>
      </c>
      <c r="O3598" s="13" t="s">
        <v>6662</v>
      </c>
      <c r="P3598" s="19" t="n">
        <v>3160000</v>
      </c>
      <c r="Q3598" s="20" t="s">
        <v>14654</v>
      </c>
      <c r="R3598" s="13" t="s">
        <v>241</v>
      </c>
      <c r="S3598" s="14" t="n">
        <v>36879</v>
      </c>
      <c r="T3598" s="13" t="s">
        <v>108</v>
      </c>
      <c r="U3598" s="13" t="s">
        <v>14655</v>
      </c>
      <c r="V3598" s="13" t="s">
        <v>42</v>
      </c>
      <c r="W3598" s="13" t="s">
        <v>43</v>
      </c>
      <c r="X3598" s="21" t="n">
        <v>85385250453</v>
      </c>
      <c r="Y3598" s="22" t="str">
        <f aca="false">O3598</f>
        <v>Front Office</v>
      </c>
      <c r="Z3598" s="13" t="str">
        <f aca="false">IFERROR(__xludf.dummyfunction("if(BJ3598="""","""",GOOGLETRANSLATE(BJ3598,""auto"",""en""))"),"Front Office")</f>
        <v>Front Office</v>
      </c>
      <c r="AA3598" s="23" t="str">
        <f aca="false">IF(C3598="","", CHOOSE(MONTH(C3598),"January","February","March","April","May","June","July","August","September","October","November","December")&amp;" "&amp;DAY(C3598)&amp;MID("thstndrdth",MIN(9,2*RIGHT(DAY(C3598))*(MOD(DAY(C3598)-11,100)&gt;2)+1),2)&amp;","&amp;TEXT(C3598," yyyy"))</f>
        <v>May 4th,2026</v>
      </c>
      <c r="AB3598" s="15" t="str">
        <f aca="true">IF(S3598="","",DATEDIF(S3598,TODAY(),"Y")&amp;" Tahun, "&amp;DATEDIF(S3598,TODAY(),"YM")&amp;" Bulan, "&amp;DATEDIF(S3598,TODAY(),"MD")&amp;" Hari")</f>
        <v>25 Tahun, 10 Bulan, 10 Hari</v>
      </c>
      <c r="AC3598" s="14" t="n">
        <f aca="false">C3598</f>
        <v>46146</v>
      </c>
      <c r="AD3598" s="18" t="n">
        <f aca="false">EDATE(AC3598,3)-1</f>
        <v>46237</v>
      </c>
      <c r="AE3598" s="13" t="s">
        <v>397</v>
      </c>
    </row>
    <row r="3599" customFormat="false" ht="15" hidden="false" customHeight="true" outlineLevel="0" collapsed="false">
      <c r="A3599" s="12" t="n">
        <v>3125</v>
      </c>
      <c r="B3599" s="13" t="s">
        <v>14656</v>
      </c>
      <c r="C3599" s="14" t="n">
        <v>44349</v>
      </c>
      <c r="D3599" s="13" t="s">
        <v>101</v>
      </c>
      <c r="E3599" s="15" t="s">
        <v>47</v>
      </c>
      <c r="F3599" s="15" t="str">
        <f aca="false">IFERROR(__xludf.dummyfunction("XLOOKUP(AJ3599,IMPORTRANGE(""1XaInW9DU9nz21V0tYIfzFQ0He9kVQ_JF2mCXgZ3hqFA"",""REKAP ALL 2026 - Andika!G:G""),IMPORTRANGE(""1XaInW9DU9nz21V0tYIfzFQ0He9kVQ_JF2mCXgZ3hqFA"",""REKAP ALL 2026 - Andika!F:F""),"""",0)"),"21031352608")</f>
        <v>21031352608</v>
      </c>
      <c r="G3599" s="13" t="s">
        <v>14657</v>
      </c>
      <c r="H3599" s="13" t="s">
        <v>35</v>
      </c>
      <c r="I3599" s="13" t="str">
        <f aca="false">IF(C3599=J3599,"NEW KONTRAK","RE-KONTRAK")</f>
        <v>RE-KONTRAK</v>
      </c>
      <c r="J3599" s="16" t="n">
        <f aca="false" t="array" ref="J3599:J3599">IFERROR(INDEX(AC3599:AE3599,IF(COUNTA(AC3599:AE3599)=0,"",MAX((AC3599:AE3599&lt;&gt;"")*(COLUMN(AC3599:AE3599)-(COLUMN(AC3599)))))-1),"")</f>
        <v>45672</v>
      </c>
      <c r="K3599" s="16" t="n">
        <f aca="false" t="array" ref="K3599:K3599">IFERROR(INDEX(AC3599:AE3599,IF(COUNTA(AC3599:AE3599)=0,"",MAX((AC3599:AE3599&lt;&gt;"")*(COLUMN(AC3599:AE3599)-(COLUMN(AC3599)-1))))-1),"")</f>
        <v>46036</v>
      </c>
      <c r="L3599" s="17" t="str">
        <f aca="false" t="array" ref="L3599:L3599">IFERROR(INDEX(AC3599:AE3599,IF(COUNTA(AC3599:AE3599)=0,"",MAX((AC3599:AE3599&lt;&gt;"")*(COLUMN(AC3599:AE3599)-(COLUMN(AC3599)-2))))-1),"")</f>
        <v>ARCHIVED</v>
      </c>
      <c r="M3599" s="13" t="n">
        <f aca="true">K3599-TODAY()</f>
        <v>-288</v>
      </c>
      <c r="N3599" s="18" t="s">
        <v>105</v>
      </c>
      <c r="O3599" s="13" t="s">
        <v>14658</v>
      </c>
      <c r="P3599" s="31" t="n">
        <v>162068</v>
      </c>
      <c r="Q3599" s="20" t="s">
        <v>14659</v>
      </c>
      <c r="R3599" s="13" t="s">
        <v>255</v>
      </c>
      <c r="S3599" s="25" t="n">
        <v>34897</v>
      </c>
      <c r="T3599" s="13" t="s">
        <v>40</v>
      </c>
      <c r="U3599" s="13" t="s">
        <v>4886</v>
      </c>
      <c r="V3599" s="28" t="s">
        <v>42</v>
      </c>
      <c r="W3599" s="13" t="s">
        <v>54</v>
      </c>
      <c r="X3599" s="21" t="n">
        <v>81333614709</v>
      </c>
      <c r="Y3599" s="22" t="str">
        <f aca="false">O3599</f>
        <v>Gudang Jadi - Driver Pengiriman</v>
      </c>
      <c r="Z3599" s="13" t="str">
        <f aca="false">IFERROR(__xludf.dummyfunction("if(BJ3599="""","""",GOOGLETRANSLATE(BJ3599,""auto"",""en""))"),"Warehouse Ready - Delivery Driver")</f>
        <v>Warehouse Ready - Delivery Driver</v>
      </c>
      <c r="AA3599" s="23" t="str">
        <f aca="false">IF(C3599="","", CHOOSE(MONTH(C3599),"January","February","March","April","May","June","July","August","September","October","November","December")&amp;" "&amp;DAY(C3599)&amp;MID("thstndrdth",MIN(9,2*RIGHT(DAY(C3599))*(MOD(DAY(C3599)-11,100)&gt;2)+1),2)&amp;","&amp;TEXT(C3599," yyyy"))</f>
        <v>June 2nd,2021</v>
      </c>
      <c r="AB3599" s="15" t="str">
        <f aca="true">IF(S3599="","",DATEDIF(S3599,TODAY(),"Y")&amp;" Tahun, "&amp;DATEDIF(S3599,TODAY(),"YM")&amp;" Bulan, "&amp;DATEDIF(S3599,TODAY(),"MD")&amp;" Hari")</f>
        <v>31 Tahun, 3 Bulan, 12 Hari</v>
      </c>
      <c r="AC3599" s="18" t="n">
        <v>45672</v>
      </c>
      <c r="AD3599" s="18" t="n">
        <v>46036</v>
      </c>
      <c r="AE3599" s="18" t="s">
        <v>44</v>
      </c>
    </row>
    <row r="3600" customFormat="false" ht="15" hidden="false" customHeight="true" outlineLevel="0" collapsed="false">
      <c r="A3600" s="12" t="n">
        <v>22218</v>
      </c>
      <c r="B3600" s="13" t="s">
        <v>14660</v>
      </c>
      <c r="C3600" s="16" t="n">
        <v>46113.2916666667</v>
      </c>
      <c r="D3600" s="13" t="s">
        <v>2033</v>
      </c>
      <c r="E3600" s="15" t="s">
        <v>13089</v>
      </c>
      <c r="F3600" s="15" t="str">
        <f aca="false">IFERROR(__xludf.dummyfunction("XLOOKUP(AJ3600,IMPORTRANGE(""1XaInW9DU9nz21V0tYIfzFQ0He9kVQ_JF2mCXgZ3hqFA"",""REKAP ALL 2026 - Andika!G:G""),IMPORTRANGE(""1XaInW9DU9nz21V0tYIfzFQ0He9kVQ_JF2mCXgZ3hqFA"",""REKAP ALL 2026 - Andika!F:F""),"""",0)"),"26062983973")</f>
        <v>26062983973</v>
      </c>
      <c r="G3600" s="13" t="s">
        <v>1127</v>
      </c>
      <c r="H3600" s="13" t="s">
        <v>35</v>
      </c>
      <c r="I3600" s="13" t="str">
        <f aca="false">IF(C3600=J3600,"NEW KONTRAK","RE-KONTRAK")</f>
        <v>NEW KONTRAK</v>
      </c>
      <c r="J3600" s="16" t="n">
        <f aca="false" t="array" ref="J3600:J3600">IFERROR(INDEX(AC3600:AE3600,IF(COUNTA(AC3600:AE3600)=0,"",MAX((AC3600:AE3600&lt;&gt;"")*(COLUMN(AC3600:AE3600)-(COLUMN(AC3600)))))-1),"")</f>
        <v>46113.2916666667</v>
      </c>
      <c r="K3600" s="16" t="n">
        <f aca="false" t="array" ref="K3600:K3600">IFERROR(INDEX(AC3600:AE3600,IF(COUNTA(AC3600:AE3600)=0,"",MAX((AC3600:AE3600&lt;&gt;"")*(COLUMN(AC3600:AE3600)-(COLUMN(AC3600)-1))))-1),"")</f>
        <v>46188</v>
      </c>
      <c r="L3600" s="17" t="str">
        <f aca="false" t="array" ref="L3600:L3600">IFERROR(INDEX(AC3600:AE3600,IF(COUNTA(AC3600:AE3600)=0,"",MAX((AC3600:AE3600&lt;&gt;"")*(COLUMN(AC3600:AE3600)-(COLUMN(AC3600)-2))))-1),"")</f>
        <v>KEMBALI</v>
      </c>
      <c r="M3600" s="13" t="n">
        <f aca="true">K3600-TODAY()</f>
        <v>-136</v>
      </c>
      <c r="N3600" s="18" t="s">
        <v>4779</v>
      </c>
      <c r="O3600" s="13" t="s">
        <v>2037</v>
      </c>
      <c r="P3600" s="19" t="n">
        <v>2818585</v>
      </c>
      <c r="Q3600" s="20" t="s">
        <v>14661</v>
      </c>
      <c r="R3600" s="13" t="s">
        <v>4779</v>
      </c>
      <c r="S3600" s="14" t="n">
        <v>38984</v>
      </c>
      <c r="T3600" s="13" t="s">
        <v>108</v>
      </c>
      <c r="U3600" s="13" t="s">
        <v>14662</v>
      </c>
      <c r="V3600" s="13" t="s">
        <v>42</v>
      </c>
      <c r="W3600" s="13" t="s">
        <v>43</v>
      </c>
      <c r="X3600" s="21" t="n">
        <v>895385121021</v>
      </c>
      <c r="Y3600" s="22" t="str">
        <f aca="false">O3600</f>
        <v>SPG/BA</v>
      </c>
      <c r="Z3600" s="13" t="str">
        <f aca="false">IFERROR(__xludf.dummyfunction("if(BJ3600="""","""",GOOGLETRANSLATE(BJ3600,""auto"",""en""))"),"SPG/BA")</f>
        <v>SPG/BA</v>
      </c>
      <c r="AA3600" s="23" t="str">
        <f aca="false">IF(C3600="","", CHOOSE(MONTH(C3600),"January","February","March","April","May","June","July","August","September","October","November","December")&amp;" "&amp;DAY(C3600)&amp;MID("thstndrdth",MIN(9,2*RIGHT(DAY(C3600))*(MOD(DAY(C3600)-11,100)&gt;2)+1),2)&amp;","&amp;TEXT(C3600," yyyy"))</f>
        <v>April 1st,2026</v>
      </c>
      <c r="AB3600" s="15" t="str">
        <f aca="true">IF(S3600="","",DATEDIF(S3600,TODAY(),"Y")&amp;" Tahun, "&amp;DATEDIF(S3600,TODAY(),"YM")&amp;" Bulan, "&amp;DATEDIF(S3600,TODAY(),"MD")&amp;" Hari")</f>
        <v>20 Tahun, 1 Bulan, 5 Hari</v>
      </c>
      <c r="AC3600" s="14" t="n">
        <f aca="false">C3600</f>
        <v>46113.2916666667</v>
      </c>
      <c r="AD3600" s="64" t="n">
        <v>46188</v>
      </c>
      <c r="AE3600" s="13" t="s">
        <v>397</v>
      </c>
    </row>
    <row r="3601" customFormat="false" ht="15" hidden="false" customHeight="true" outlineLevel="0" collapsed="false">
      <c r="A3601" s="12" t="n">
        <v>22742</v>
      </c>
      <c r="B3601" s="13" t="s">
        <v>14663</v>
      </c>
      <c r="C3601" s="14" t="n">
        <v>46222</v>
      </c>
      <c r="D3601" s="13" t="s">
        <v>2033</v>
      </c>
      <c r="E3601" s="13" t="s">
        <v>47</v>
      </c>
      <c r="F3601" s="24" t="s">
        <v>14664</v>
      </c>
      <c r="G3601" s="13" t="s">
        <v>1452</v>
      </c>
      <c r="H3601" s="13" t="s">
        <v>35</v>
      </c>
      <c r="I3601" s="13" t="str">
        <f aca="false">IF(C3601=J3601,"NEW KONTRAK","RE-KONTRAK")</f>
        <v>NEW KONTRAK</v>
      </c>
      <c r="J3601" s="16" t="n">
        <f aca="false" t="array" ref="J3601:J3601">IFERROR(INDEX(AC3601:AE3601,IF(COUNTA(AC3601:AE3601)=0,"",MAX((AC3601:AE3601&lt;&gt;"")*(COLUMN(AC3601:AE3601)-(COLUMN(AC3601)))))-1),"")</f>
        <v>46222</v>
      </c>
      <c r="K3601" s="16" t="n">
        <f aca="false" t="array" ref="K3601:K3601">IFERROR(INDEX(AC3601:AE3601,IF(COUNTA(AC3601:AE3601)=0,"",MAX((AC3601:AE3601&lt;&gt;"")*(COLUMN(AC3601:AE3601)-(COLUMN(AC3601)-1))))-1),"")</f>
        <v>46402</v>
      </c>
      <c r="L3601" s="17" t="str">
        <f aca="false" t="array" ref="L3601:L3601">IFERROR(INDEX(AC3601:AE3601,IF(COUNTA(AC3601:AE3601)=0,"",MAX((AC3601:AE3601&lt;&gt;"")*(COLUMN(AC3601:AE3601)-(COLUMN(AC3601)-2))))-1),"")</f>
        <v>KEMBALI</v>
      </c>
      <c r="M3601" s="13" t="n">
        <f aca="true">K3601-TODAY()</f>
        <v>78</v>
      </c>
      <c r="N3601" s="18" t="s">
        <v>2356</v>
      </c>
      <c r="O3601" s="13" t="s">
        <v>2384</v>
      </c>
      <c r="P3601" s="19" t="n">
        <v>4148179</v>
      </c>
      <c r="Q3601" s="20" t="s">
        <v>14665</v>
      </c>
      <c r="R3601" s="13" t="s">
        <v>2359</v>
      </c>
      <c r="S3601" s="25" t="n">
        <v>35027</v>
      </c>
      <c r="T3601" s="13" t="s">
        <v>108</v>
      </c>
      <c r="U3601" s="13" t="s">
        <v>14666</v>
      </c>
      <c r="V3601" s="13" t="s">
        <v>42</v>
      </c>
      <c r="W3601" s="13" t="s">
        <v>43</v>
      </c>
      <c r="X3601" s="21" t="n">
        <v>82188343097</v>
      </c>
      <c r="Y3601" s="22" t="str">
        <f aca="false">O3601</f>
        <v>SPG</v>
      </c>
      <c r="Z3601" s="13" t="str">
        <f aca="false">IFERROR(__xludf.dummyfunction("if(BJ3601="""","""",GOOGLETRANSLATE(BJ3601,""auto"",""en""))"),"SPG")</f>
        <v>SPG</v>
      </c>
      <c r="AA3601" s="23" t="str">
        <f aca="false">IF(C3601="","", CHOOSE(MONTH(C3601),"January","February","March","April","May","June","July","August","September","October","November","December")&amp;" "&amp;DAY(C3601)&amp;MID("thstndrdth",MIN(9,2*RIGHT(DAY(C3601))*(MOD(DAY(C3601)-11,100)&gt;2)+1),2)&amp;","&amp;TEXT(C3601," yyyy"))</f>
        <v>July 19th,2026</v>
      </c>
      <c r="AB3601" s="15" t="str">
        <f aca="true">IF(S3601="","",DATEDIF(S3601,TODAY(),"Y")&amp;" Tahun, "&amp;DATEDIF(S3601,TODAY(),"YM")&amp;" Bulan, "&amp;DATEDIF(S3601,TODAY(),"MD")&amp;" Hari")</f>
        <v>30 Tahun, 11 Bulan, 5 Hari</v>
      </c>
      <c r="AC3601" s="14" t="n">
        <v>46222</v>
      </c>
      <c r="AD3601" s="18" t="n">
        <v>46402</v>
      </c>
      <c r="AE3601" s="13" t="s">
        <v>397</v>
      </c>
    </row>
    <row r="3602" customFormat="false" ht="15" hidden="false" customHeight="true" outlineLevel="0" collapsed="false">
      <c r="A3602" s="12" t="n">
        <v>22406</v>
      </c>
      <c r="B3602" s="13" t="s">
        <v>14667</v>
      </c>
      <c r="C3602" s="14" t="n">
        <v>46175</v>
      </c>
      <c r="D3602" s="13" t="s">
        <v>2033</v>
      </c>
      <c r="E3602" s="15" t="s">
        <v>47</v>
      </c>
      <c r="F3602" s="24" t="s">
        <v>14668</v>
      </c>
      <c r="G3602" s="24" t="s">
        <v>57</v>
      </c>
      <c r="H3602" s="13" t="s">
        <v>35</v>
      </c>
      <c r="I3602" s="13" t="str">
        <f aca="false">IF(C3602=J3602,"NEW KONTRAK","RE-KONTRAK")</f>
        <v>NEW KONTRAK</v>
      </c>
      <c r="J3602" s="16" t="n">
        <f aca="false" t="array" ref="J3602:J3602">IFERROR(INDEX(AC3602:AE3602,IF(COUNTA(AC3602:AE3602)=0,"",MAX((AC3602:AE3602&lt;&gt;"")*(COLUMN(AC3602:AE3602)-(COLUMN(AC3602)))))-1),"")</f>
        <v>46175</v>
      </c>
      <c r="K3602" s="16" t="n">
        <f aca="false" t="array" ref="K3602:K3602">IFERROR(INDEX(AC3602:AE3602,IF(COUNTA(AC3602:AE3602)=0,"",MAX((AC3602:AE3602&lt;&gt;"")*(COLUMN(AC3602:AE3602)-(COLUMN(AC3602)-1))))-1),"")</f>
        <v>46266</v>
      </c>
      <c r="L3602" s="17" t="str">
        <f aca="false" t="array" ref="L3602:L3602">IFERROR(INDEX(AC3602:AE3602,IF(COUNTA(AC3602:AE3602)=0,"",MAX((AC3602:AE3602&lt;&gt;"")*(COLUMN(AC3602:AE3602)-(COLUMN(AC3602)-2))))-1),"")</f>
        <v>KEMBALI</v>
      </c>
      <c r="M3602" s="13" t="n">
        <f aca="true">K3602-TODAY()</f>
        <v>-58</v>
      </c>
      <c r="N3602" s="28" t="s">
        <v>2356</v>
      </c>
      <c r="O3602" s="13" t="s">
        <v>2037</v>
      </c>
      <c r="P3602" s="26" t="n">
        <v>4148179</v>
      </c>
      <c r="Q3602" s="47" t="s">
        <v>14669</v>
      </c>
      <c r="R3602" s="13" t="s">
        <v>14670</v>
      </c>
      <c r="S3602" s="16" t="n">
        <v>38865</v>
      </c>
      <c r="T3602" s="13" t="s">
        <v>108</v>
      </c>
      <c r="U3602" s="13" t="s">
        <v>14671</v>
      </c>
      <c r="V3602" s="28" t="s">
        <v>42</v>
      </c>
      <c r="W3602" s="28" t="s">
        <v>43</v>
      </c>
      <c r="X3602" s="21" t="n">
        <v>83847097978</v>
      </c>
      <c r="Y3602" s="22" t="str">
        <f aca="false">O3602</f>
        <v>SPG/BA</v>
      </c>
      <c r="Z3602" s="13" t="str">
        <f aca="false">IFERROR(__xludf.dummyfunction("if(BJ3602="""","""",GOOGLETRANSLATE(BJ3602,""auto"",""en""))"),"SPG/BA")</f>
        <v>SPG/BA</v>
      </c>
      <c r="AA3602" s="23" t="str">
        <f aca="false">IF(C3602="","", CHOOSE(MONTH(C3602),"January","February","March","April","May","June","July","August","September","October","November","December")&amp;" "&amp;DAY(C3602)&amp;MID("thstndrdth",MIN(9,2*RIGHT(DAY(C3602))*(MOD(DAY(C3602)-11,100)&gt;2)+1),2)&amp;","&amp;TEXT(C3602," yyyy"))</f>
        <v>June 2nd,2026</v>
      </c>
      <c r="AB3602" s="15" t="str">
        <f aca="true">IF(S3602="","",DATEDIF(S3602,TODAY(),"Y")&amp;" Tahun, "&amp;DATEDIF(S3602,TODAY(),"YM")&amp;" Bulan, "&amp;DATEDIF(S3602,TODAY(),"MD")&amp;" Hari")</f>
        <v>20 Tahun, 5 Bulan, 1 Hari</v>
      </c>
      <c r="AC3602" s="14" t="n">
        <v>46175</v>
      </c>
      <c r="AD3602" s="18" t="n">
        <f aca="false">EDATE(AC3602,3)-1</f>
        <v>46266</v>
      </c>
      <c r="AE3602" s="13" t="s">
        <v>397</v>
      </c>
    </row>
    <row r="3603" customFormat="false" ht="15" hidden="false" customHeight="true" outlineLevel="0" collapsed="false">
      <c r="A3603" s="12" t="n">
        <v>20792</v>
      </c>
      <c r="B3603" s="13" t="s">
        <v>14672</v>
      </c>
      <c r="C3603" s="16" t="n">
        <v>45885</v>
      </c>
      <c r="D3603" s="13" t="s">
        <v>2033</v>
      </c>
      <c r="E3603" s="15" t="s">
        <v>47</v>
      </c>
      <c r="F3603" s="15" t="str">
        <f aca="false">IFERROR(__xludf.dummyfunction("XLOOKUP(AJ3603,IMPORTRANGE(""1XaInW9DU9nz21V0tYIfzFQ0He9kVQ_JF2mCXgZ3hqFA"",""REKAP ALL 2026 - Andika!G:G""),IMPORTRANGE(""1XaInW9DU9nz21V0tYIfzFQ0He9kVQ_JF2mCXgZ3hqFA"",""REKAP ALL 2026 - Andika!F:F""),"""",0)"),"25133235223")</f>
        <v>25133235223</v>
      </c>
      <c r="G3603" s="13" t="s">
        <v>1127</v>
      </c>
      <c r="H3603" s="13" t="s">
        <v>2035</v>
      </c>
      <c r="I3603" s="13" t="str">
        <f aca="false">IF(C3603=J3603,"NEW KONTRAK","RE-KONTRAK")</f>
        <v>NEW KONTRAK</v>
      </c>
      <c r="J3603" s="16" t="n">
        <f aca="false" t="array" ref="J3603:J3603">IFERROR(INDEX(AC3603:AE3603,IF(COUNTA(AC3603:AE3603)=0,"",MAX((AC3603:AE3603&lt;&gt;"")*(COLUMN(AC3603:AE3603)-(COLUMN(AC3603)))))-1),"")</f>
        <v>45885</v>
      </c>
      <c r="K3603" s="16" t="n">
        <f aca="false" t="array" ref="K3603:K3603">IFERROR(INDEX(AC3603:AE3603,IF(COUNTA(AC3603:AE3603)=0,"",MAX((AC3603:AE3603&lt;&gt;"")*(COLUMN(AC3603:AE3603)-(COLUMN(AC3603)-1))))-1),"")</f>
        <v>45915</v>
      </c>
      <c r="L3603" s="17" t="str">
        <f aca="false" t="array" ref="L3603:L3603">IFERROR(INDEX(AC3603:AE3603,IF(COUNTA(AC3603:AE3603)=0,"",MAX((AC3603:AE3603&lt;&gt;"")*(COLUMN(AC3603:AE3603)-(COLUMN(AC3603)-2))))-1),"")</f>
        <v>ARCHIVED</v>
      </c>
      <c r="M3603" s="13" t="n">
        <f aca="true">K3603-TODAY()</f>
        <v>-409</v>
      </c>
      <c r="N3603" s="18" t="s">
        <v>3902</v>
      </c>
      <c r="O3603" s="13" t="s">
        <v>2037</v>
      </c>
      <c r="P3603" s="19" t="n">
        <v>3491889</v>
      </c>
      <c r="Q3603" s="47" t="s">
        <v>14673</v>
      </c>
      <c r="R3603" s="13" t="s">
        <v>8594</v>
      </c>
      <c r="S3603" s="16" t="n">
        <v>35730</v>
      </c>
      <c r="T3603" s="13" t="s">
        <v>108</v>
      </c>
      <c r="U3603" s="13" t="s">
        <v>14674</v>
      </c>
      <c r="V3603" s="13" t="s">
        <v>42</v>
      </c>
      <c r="W3603" s="13" t="s">
        <v>43</v>
      </c>
      <c r="X3603" s="21" t="n">
        <v>89525984027</v>
      </c>
      <c r="Y3603" s="22" t="str">
        <f aca="false">O3603</f>
        <v>SPG/BA</v>
      </c>
      <c r="Z3603" s="13" t="str">
        <f aca="false">IFERROR(__xludf.dummyfunction("if(BJ3603="""","""",GOOGLETRANSLATE(BJ3603,""auto"",""en""))"),"SPG/BA")</f>
        <v>SPG/BA</v>
      </c>
      <c r="AA3603" s="23" t="str">
        <f aca="false">IF(C3603="","", CHOOSE(MONTH(C3603),"January","February","March","April","May","June","July","August","September","October","November","December")&amp;" "&amp;DAY(C3603)&amp;MID("thstndrdth",MIN(9,2*RIGHT(DAY(C3603))*(MOD(DAY(C3603)-11,100)&gt;2)+1),2)&amp;","&amp;TEXT(C3603," yyyy"))</f>
        <v>August 16th,2025</v>
      </c>
      <c r="AB3603" s="15" t="str">
        <f aca="true">IF(S3603="","",DATEDIF(S3603,TODAY(),"Y")&amp;" Tahun, "&amp;DATEDIF(S3603,TODAY(),"YM")&amp;" Bulan, "&amp;DATEDIF(S3603,TODAY(),"MD")&amp;" Hari")</f>
        <v>29 Tahun, 0 Bulan, 2 Hari</v>
      </c>
      <c r="AC3603" s="18" t="n">
        <v>45885</v>
      </c>
      <c r="AD3603" s="18" t="n">
        <v>45915</v>
      </c>
      <c r="AE3603" s="18" t="s">
        <v>44</v>
      </c>
    </row>
    <row r="3604" customFormat="false" ht="15" hidden="false" customHeight="true" outlineLevel="0" collapsed="false">
      <c r="A3604" s="12" t="n">
        <v>22222</v>
      </c>
      <c r="B3604" s="13" t="s">
        <v>14675</v>
      </c>
      <c r="C3604" s="46" t="n">
        <v>46129.2916666667</v>
      </c>
      <c r="D3604" s="13" t="s">
        <v>2033</v>
      </c>
      <c r="E3604" s="15" t="s">
        <v>14439</v>
      </c>
      <c r="F3604" s="15" t="str">
        <f aca="false">IFERROR(__xludf.dummyfunction("XLOOKUP(AJ3604,IMPORTRANGE(""1XaInW9DU9nz21V0tYIfzFQ0He9kVQ_JF2mCXgZ3hqFA"",""REKAP ALL 2026 - Andika!G:G""),IMPORTRANGE(""1XaInW9DU9nz21V0tYIfzFQ0He9kVQ_JF2mCXgZ3hqFA"",""REKAP ALL 2026 - Andika!F:F""),"""",0)"),"26062984096")</f>
        <v>26062984096</v>
      </c>
      <c r="G3604" s="13" t="s">
        <v>1127</v>
      </c>
      <c r="H3604" s="13" t="s">
        <v>35</v>
      </c>
      <c r="I3604" s="13" t="str">
        <f aca="false">IF(C3604=J3604,"NEW KONTRAK","RE-KONTRAK")</f>
        <v>NEW KONTRAK</v>
      </c>
      <c r="J3604" s="16" t="n">
        <f aca="false" t="array" ref="J3604:J3604">IFERROR(INDEX(AC3604:AE3604,IF(COUNTA(AC3604:AE3604)=0,"",MAX((AC3604:AE3604&lt;&gt;"")*(COLUMN(AC3604:AE3604)-(COLUMN(AC3604)))))-1),"")</f>
        <v>46129.2916666667</v>
      </c>
      <c r="K3604" s="16" t="n">
        <f aca="false" t="array" ref="K3604:K3604">IFERROR(INDEX(AC3604:AE3604,IF(COUNTA(AC3604:AE3604)=0,"",MAX((AC3604:AE3604&lt;&gt;"")*(COLUMN(AC3604:AE3604)-(COLUMN(AC3604)-1))))-1),"")</f>
        <v>46188</v>
      </c>
      <c r="L3604" s="17" t="str">
        <f aca="false" t="array" ref="L3604:L3604">IFERROR(INDEX(AC3604:AE3604,IF(COUNTA(AC3604:AE3604)=0,"",MAX((AC3604:AE3604&lt;&gt;"")*(COLUMN(AC3604:AE3604)-(COLUMN(AC3604)-2))))-1),"")</f>
        <v>ARCHIVED</v>
      </c>
      <c r="M3604" s="13" t="n">
        <f aca="true">K3604-TODAY()</f>
        <v>-136</v>
      </c>
      <c r="N3604" s="18" t="s">
        <v>2390</v>
      </c>
      <c r="O3604" s="13" t="s">
        <v>2037</v>
      </c>
      <c r="P3604" s="19" t="n">
        <v>4192837</v>
      </c>
      <c r="Q3604" s="20" t="s">
        <v>14676</v>
      </c>
      <c r="R3604" s="13" t="s">
        <v>14677</v>
      </c>
      <c r="S3604" s="16" t="n">
        <v>39338</v>
      </c>
      <c r="T3604" s="13" t="s">
        <v>108</v>
      </c>
      <c r="U3604" s="13" t="s">
        <v>14678</v>
      </c>
      <c r="V3604" s="13" t="s">
        <v>42</v>
      </c>
      <c r="W3604" s="13" t="s">
        <v>43</v>
      </c>
      <c r="X3604" s="21" t="n">
        <v>88275147070</v>
      </c>
      <c r="Y3604" s="22" t="str">
        <f aca="false">O3604</f>
        <v>SPG/BA</v>
      </c>
      <c r="Z3604" s="13" t="str">
        <f aca="false">IFERROR(__xludf.dummyfunction("if(BJ3604="""","""",GOOGLETRANSLATE(BJ3604,""auto"",""en""))"),"SPG/BA")</f>
        <v>SPG/BA</v>
      </c>
      <c r="AA3604" s="23" t="str">
        <f aca="false">IF(C3604="","", CHOOSE(MONTH(C3604),"January","February","March","April","May","June","July","August","September","October","November","December")&amp;" "&amp;DAY(C3604)&amp;MID("thstndrdth",MIN(9,2*RIGHT(DAY(C3604))*(MOD(DAY(C3604)-11,100)&gt;2)+1),2)&amp;","&amp;TEXT(C3604," yyyy"))</f>
        <v>April 17th,2026</v>
      </c>
      <c r="AB3604" s="15" t="str">
        <f aca="true">IF(S3604="","",DATEDIF(S3604,TODAY(),"Y")&amp;" Tahun, "&amp;DATEDIF(S3604,TODAY(),"YM")&amp;" Bulan, "&amp;DATEDIF(S3604,TODAY(),"MD")&amp;" Hari")</f>
        <v>19 Tahun, 1 Bulan, 16 Hari</v>
      </c>
      <c r="AC3604" s="14" t="n">
        <f aca="false">C3604</f>
        <v>46129.2916666667</v>
      </c>
      <c r="AD3604" s="64" t="n">
        <v>46188</v>
      </c>
      <c r="AE3604" s="13" t="s">
        <v>44</v>
      </c>
    </row>
    <row r="3605" customFormat="false" ht="15" hidden="false" customHeight="true" outlineLevel="0" collapsed="false">
      <c r="A3605" s="12" t="n">
        <v>22598</v>
      </c>
      <c r="B3605" s="45" t="s">
        <v>14679</v>
      </c>
      <c r="C3605" s="14" t="n">
        <v>46202</v>
      </c>
      <c r="D3605" s="13" t="s">
        <v>2033</v>
      </c>
      <c r="E3605" s="13" t="s">
        <v>47</v>
      </c>
      <c r="F3605" s="24" t="s">
        <v>14680</v>
      </c>
      <c r="G3605" s="13" t="s">
        <v>1452</v>
      </c>
      <c r="H3605" s="13" t="s">
        <v>35</v>
      </c>
      <c r="I3605" s="13" t="str">
        <f aca="false">IF(C3605=J3605,"NEW KONTRAK","RE-KONTRAK")</f>
        <v>NEW KONTRAK</v>
      </c>
      <c r="J3605" s="16" t="n">
        <f aca="false" t="array" ref="J3605:J3605">IFERROR(INDEX(AC3605:AE3605,IF(COUNTA(AC3605:AE3605)=0,"",MAX((AC3605:AE3605&lt;&gt;"")*(COLUMN(AC3605:AE3605)-(COLUMN(AC3605)))))-1),"")</f>
        <v>46202</v>
      </c>
      <c r="K3605" s="16" t="n">
        <f aca="false" t="array" ref="K3605:K3605">IFERROR(INDEX(AC3605:AE3605,IF(COUNTA(AC3605:AE3605)=0,"",MAX((AC3605:AE3605&lt;&gt;"")*(COLUMN(AC3605:AE3605)-(COLUMN(AC3605)-1))))-1),"")</f>
        <v>46293</v>
      </c>
      <c r="L3605" s="17" t="str">
        <f aca="false" t="array" ref="L3605:L3605">IFERROR(INDEX(AC3605:AE3605,IF(COUNTA(AC3605:AE3605)=0,"",MAX((AC3605:AE3605&lt;&gt;"")*(COLUMN(AC3605:AE3605)-(COLUMN(AC3605)-2))))-1),"")</f>
        <v>KEMBALI ONLINE</v>
      </c>
      <c r="M3605" s="13" t="n">
        <f aca="true">K3605-TODAY()</f>
        <v>-31</v>
      </c>
      <c r="N3605" s="13" t="s">
        <v>2434</v>
      </c>
      <c r="O3605" s="13" t="s">
        <v>2384</v>
      </c>
      <c r="P3605" s="26" t="n">
        <v>2827593</v>
      </c>
      <c r="Q3605" s="20" t="s">
        <v>14681</v>
      </c>
      <c r="R3605" s="13" t="s">
        <v>2434</v>
      </c>
      <c r="S3605" s="25" t="n">
        <v>38564</v>
      </c>
      <c r="T3605" s="13" t="s">
        <v>108</v>
      </c>
      <c r="U3605" s="17" t="s">
        <v>14682</v>
      </c>
      <c r="V3605" s="13" t="s">
        <v>42</v>
      </c>
      <c r="W3605" s="13" t="s">
        <v>43</v>
      </c>
      <c r="X3605" s="21" t="n">
        <v>85875992045</v>
      </c>
      <c r="Y3605" s="22" t="str">
        <f aca="false">O3605</f>
        <v>SPG</v>
      </c>
      <c r="Z3605" s="13" t="str">
        <f aca="false">IFERROR(__xludf.dummyfunction("if(BJ3605="""","""",GOOGLETRANSLATE(BJ3605,""auto"",""en""))"),"SPG")</f>
        <v>SPG</v>
      </c>
      <c r="AA3605" s="23" t="str">
        <f aca="false">IF(C3605="","", CHOOSE(MONTH(C3605),"January","February","March","April","May","June","July","August","September","October","November","December")&amp;" "&amp;DAY(C3605)&amp;MID("thstndrdth",MIN(9,2*RIGHT(DAY(C3605))*(MOD(DAY(C3605)-11,100)&gt;2)+1),2)&amp;","&amp;TEXT(C3605," yyyy"))</f>
        <v>June 29th,2026</v>
      </c>
      <c r="AB3605" s="15" t="str">
        <f aca="true">IF(S3605="","",DATEDIF(S3605,TODAY(),"Y")&amp;" Tahun, "&amp;DATEDIF(S3605,TODAY(),"YM")&amp;" Bulan, "&amp;DATEDIF(S3605,TODAY(),"MD")&amp;" Hari")</f>
        <v>21 Tahun, 2 Bulan, 28 Hari</v>
      </c>
      <c r="AC3605" s="14" t="n">
        <v>46202</v>
      </c>
      <c r="AD3605" s="18" t="n">
        <f aca="false">EDATE(AC3605,3)-1</f>
        <v>46293</v>
      </c>
      <c r="AE3605" s="13" t="s">
        <v>2387</v>
      </c>
    </row>
    <row r="3606" customFormat="false" ht="15" hidden="false" customHeight="true" outlineLevel="0" collapsed="false">
      <c r="A3606" s="12" t="n">
        <v>22482</v>
      </c>
      <c r="B3606" s="13" t="s">
        <v>14683</v>
      </c>
      <c r="C3606" s="14" t="n">
        <v>46172</v>
      </c>
      <c r="D3606" s="13" t="s">
        <v>2033</v>
      </c>
      <c r="E3606" s="15" t="s">
        <v>47</v>
      </c>
      <c r="F3606" s="24" t="s">
        <v>14684</v>
      </c>
      <c r="G3606" s="15" t="s">
        <v>1127</v>
      </c>
      <c r="H3606" s="13" t="s">
        <v>35</v>
      </c>
      <c r="I3606" s="13" t="str">
        <f aca="false">IF(C3606=J3606,"NEW KONTRAK","RE-KONTRAK")</f>
        <v>NEW KONTRAK</v>
      </c>
      <c r="J3606" s="16" t="n">
        <f aca="false" t="array" ref="J3606:J3606">IFERROR(INDEX(AC3606:AE3606,IF(COUNTA(AC3606:AE3606)=0,"",MAX((AC3606:AE3606&lt;&gt;"")*(COLUMN(AC3606:AE3606)-(COLUMN(AC3606)))))-1),"")</f>
        <v>46172</v>
      </c>
      <c r="K3606" s="16" t="n">
        <f aca="false" t="array" ref="K3606:K3606">IFERROR(INDEX(AC3606:AE3606,IF(COUNTA(AC3606:AE3606)=0,"",MAX((AC3606:AE3606&lt;&gt;"")*(COLUMN(AC3606:AE3606)-(COLUMN(AC3606)-1))))-1),"")</f>
        <v>46263</v>
      </c>
      <c r="L3606" s="17" t="str">
        <f aca="false" t="array" ref="L3606:L3606">IFERROR(INDEX(AC3606:AE3606,IF(COUNTA(AC3606:AE3606)=0,"",MAX((AC3606:AE3606&lt;&gt;"")*(COLUMN(AC3606:AE3606)-(COLUMN(AC3606)-2))))-1),"")</f>
        <v>KEMBALI ONLINE</v>
      </c>
      <c r="M3606" s="13" t="n">
        <f aca="true">K3606-TODAY()</f>
        <v>-61</v>
      </c>
      <c r="N3606" s="13" t="s">
        <v>2373</v>
      </c>
      <c r="O3606" s="13" t="s">
        <v>2384</v>
      </c>
      <c r="P3606" s="19" t="n">
        <v>2570000</v>
      </c>
      <c r="Q3606" s="47" t="s">
        <v>14685</v>
      </c>
      <c r="R3606" s="13" t="s">
        <v>14686</v>
      </c>
      <c r="S3606" s="16" t="n">
        <v>37918</v>
      </c>
      <c r="T3606" s="13" t="s">
        <v>108</v>
      </c>
      <c r="U3606" s="13" t="s">
        <v>14687</v>
      </c>
      <c r="V3606" s="28" t="s">
        <v>42</v>
      </c>
      <c r="W3606" s="28" t="s">
        <v>54</v>
      </c>
      <c r="X3606" s="67" t="s">
        <v>14688</v>
      </c>
      <c r="Y3606" s="22" t="str">
        <f aca="false">O3606</f>
        <v>SPG</v>
      </c>
      <c r="Z3606" s="13" t="str">
        <f aca="false">IFERROR(__xludf.dummyfunction("if(BJ3606="""","""",GOOGLETRANSLATE(BJ3606,""auto"",""en""))"),"SPG")</f>
        <v>SPG</v>
      </c>
      <c r="AA3606" s="23" t="str">
        <f aca="false">IF(C3606="","", CHOOSE(MONTH(C3606),"January","February","March","April","May","June","July","August","September","October","November","December")&amp;" "&amp;DAY(C3606)&amp;MID("thstndrdth",MIN(9,2*RIGHT(DAY(C3606))*(MOD(DAY(C3606)-11,100)&gt;2)+1),2)&amp;","&amp;TEXT(C3606," yyyy"))</f>
        <v>May 30th,2026</v>
      </c>
      <c r="AB3606" s="15" t="str">
        <f aca="true">IF(S3606="","",DATEDIF(S3606,TODAY(),"Y")&amp;" Tahun, "&amp;DATEDIF(S3606,TODAY(),"YM")&amp;" Bulan, "&amp;DATEDIF(S3606,TODAY(),"MD")&amp;" Hari")</f>
        <v>23 Tahun, 0 Bulan, 5 Hari</v>
      </c>
      <c r="AC3606" s="14" t="n">
        <v>46172</v>
      </c>
      <c r="AD3606" s="18" t="n">
        <f aca="false">EDATE(AC3606,3)-1</f>
        <v>46263</v>
      </c>
      <c r="AE3606" s="13" t="s">
        <v>2387</v>
      </c>
    </row>
    <row r="3607" customFormat="false" ht="15" hidden="false" customHeight="true" outlineLevel="0" collapsed="false">
      <c r="A3607" s="12" t="n">
        <v>10222</v>
      </c>
      <c r="B3607" s="13" t="s">
        <v>14689</v>
      </c>
      <c r="C3607" s="14" t="n">
        <v>44996</v>
      </c>
      <c r="D3607" s="13" t="s">
        <v>2033</v>
      </c>
      <c r="E3607" s="15" t="s">
        <v>47</v>
      </c>
      <c r="F3607" s="15" t="str">
        <f aca="false">IFERROR(__xludf.dummyfunction("XLOOKUP(AJ3607,IMPORTRANGE(""1XaInW9DU9nz21V0tYIfzFQ0He9kVQ_JF2mCXgZ3hqFA"",""REKAP ALL 2026 - Andika!G:G""),IMPORTRANGE(""1XaInW9DU9nz21V0tYIfzFQ0He9kVQ_JF2mCXgZ3hqFA"",""REKAP ALL 2026 - Andika!F:F""),"""",0)"),"23031604038")</f>
        <v>23031604038</v>
      </c>
      <c r="G3607" s="13" t="s">
        <v>14690</v>
      </c>
      <c r="H3607" s="13" t="s">
        <v>2035</v>
      </c>
      <c r="I3607" s="13" t="str">
        <f aca="false">IF(C3607=J3607,"NEW KONTRAK","RE-KONTRAK")</f>
        <v>RE-KONTRAK</v>
      </c>
      <c r="J3607" s="16" t="n">
        <f aca="false" t="array" ref="J3607:J3607">IFERROR(INDEX(AC3607:AE3607,IF(COUNTA(AC3607:AE3607)=0,"",MAX((AC3607:AE3607&lt;&gt;"")*(COLUMN(AC3607:AE3607)-(COLUMN(AC3607)))))-1),"")</f>
        <v>45744</v>
      </c>
      <c r="K3607" s="16" t="n">
        <f aca="false" t="array" ref="K3607:K3607">IFERROR(INDEX(AC3607:AE3607,IF(COUNTA(AC3607:AE3607)=0,"",MAX((AC3607:AE3607&lt;&gt;"")*(COLUMN(AC3607:AE3607)-(COLUMN(AC3607)-1))))-1),"")</f>
        <v>45915</v>
      </c>
      <c r="L3607" s="17" t="str">
        <f aca="false" t="array" ref="L3607:L3607">IFERROR(INDEX(AC3607:AE3607,IF(COUNTA(AC3607:AE3607)=0,"",MAX((AC3607:AE3607&lt;&gt;"")*(COLUMN(AC3607:AE3607)-(COLUMN(AC3607)-2))))-1),"")</f>
        <v>ARCHIVED</v>
      </c>
      <c r="M3607" s="13" t="n">
        <f aca="true">K3607-TODAY()</f>
        <v>-409</v>
      </c>
      <c r="N3607" s="18" t="s">
        <v>2414</v>
      </c>
      <c r="O3607" s="13" t="s">
        <v>2037</v>
      </c>
      <c r="P3607" s="19" t="n">
        <v>2474599</v>
      </c>
      <c r="Q3607" s="20" t="s">
        <v>14691</v>
      </c>
      <c r="R3607" s="13" t="s">
        <v>7715</v>
      </c>
      <c r="S3607" s="14" t="n">
        <v>37467</v>
      </c>
      <c r="T3607" s="13" t="s">
        <v>108</v>
      </c>
      <c r="U3607" s="13" t="s">
        <v>14692</v>
      </c>
      <c r="V3607" s="13" t="s">
        <v>42</v>
      </c>
      <c r="W3607" s="13" t="s">
        <v>43</v>
      </c>
      <c r="X3607" s="21" t="n">
        <v>895378606424</v>
      </c>
      <c r="Y3607" s="22" t="str">
        <f aca="false">O3607</f>
        <v>SPG/BA</v>
      </c>
      <c r="Z3607" s="13" t="str">
        <f aca="false">IFERROR(__xludf.dummyfunction("if(BJ3607="""","""",GOOGLETRANSLATE(BJ3607,""auto"",""en""))"),"SPG/BA")</f>
        <v>SPG/BA</v>
      </c>
      <c r="AA3607" s="23" t="str">
        <f aca="false">IF(C3607="","", CHOOSE(MONTH(C3607),"January","February","March","April","May","June","July","August","September","October","November","December")&amp;" "&amp;DAY(C3607)&amp;MID("thstndrdth",MIN(9,2*RIGHT(DAY(C3607))*(MOD(DAY(C3607)-11,100)&gt;2)+1),2)&amp;","&amp;TEXT(C3607," yyyy"))</f>
        <v>March 11th,2023</v>
      </c>
      <c r="AB3607" s="15" t="str">
        <f aca="true">IF(S3607="","",DATEDIF(S3607,TODAY(),"Y")&amp;" Tahun, "&amp;DATEDIF(S3607,TODAY(),"YM")&amp;" Bulan, "&amp;DATEDIF(S3607,TODAY(),"MD")&amp;" Hari")</f>
        <v>24 Tahun, 2 Bulan, 29 Hari</v>
      </c>
      <c r="AC3607" s="18" t="n">
        <v>45744</v>
      </c>
      <c r="AD3607" s="18" t="n">
        <v>45915</v>
      </c>
      <c r="AE3607" s="18" t="s">
        <v>44</v>
      </c>
    </row>
    <row r="3608" customFormat="false" ht="15" hidden="false" customHeight="true" outlineLevel="0" collapsed="false">
      <c r="A3608" s="12" t="n">
        <v>23010</v>
      </c>
      <c r="B3608" s="13" t="s">
        <v>14693</v>
      </c>
      <c r="C3608" s="14" t="n">
        <v>46266</v>
      </c>
      <c r="D3608" s="13" t="s">
        <v>2033</v>
      </c>
      <c r="E3608" s="13" t="s">
        <v>47</v>
      </c>
      <c r="F3608" s="24" t="s">
        <v>14694</v>
      </c>
      <c r="G3608" s="13" t="s">
        <v>1127</v>
      </c>
      <c r="H3608" s="13" t="s">
        <v>35</v>
      </c>
      <c r="I3608" s="13" t="str">
        <f aca="false">IF(C3608=J3608,"NEW KONTRAK","RE-KONTRAK")</f>
        <v>NEW KONTRAK</v>
      </c>
      <c r="J3608" s="16" t="n">
        <f aca="false" t="array" ref="J3608:J3608">IFERROR(INDEX(AC3608:AE3608,IF(COUNTA(AC3608:AE3608)=0,"",MAX((AC3608:AE3608&lt;&gt;"")*(COLUMN(AC3608:AE3608)-(COLUMN(AC3608)))))-1),"")</f>
        <v>46266</v>
      </c>
      <c r="K3608" s="16" t="n">
        <f aca="false" t="array" ref="K3608:K3608">IFERROR(INDEX(AC3608:AE3608,IF(COUNTA(AC3608:AE3608)=0,"",MAX((AC3608:AE3608&lt;&gt;"")*(COLUMN(AC3608:AE3608)-(COLUMN(AC3608)-1))))-1),"")</f>
        <v>46402</v>
      </c>
      <c r="L3608" s="17" t="str">
        <f aca="false" t="array" ref="L3608:L3608">IFERROR(INDEX(AC3608:AE3608,IF(COUNTA(AC3608:AE3608)=0,"",MAX((AC3608:AE3608&lt;&gt;"")*(COLUMN(AC3608:AE3608)-(COLUMN(AC3608)-2))))-1),"")</f>
        <v>DRAFTED ONLINE</v>
      </c>
      <c r="M3608" s="13" t="n">
        <f aca="true">K3608-TODAY()</f>
        <v>78</v>
      </c>
      <c r="N3608" s="13" t="s">
        <v>10532</v>
      </c>
      <c r="O3608" s="13" t="s">
        <v>5017</v>
      </c>
      <c r="P3608" s="26" t="n">
        <v>3019015</v>
      </c>
      <c r="Q3608" s="20" t="s">
        <v>14695</v>
      </c>
      <c r="R3608" s="13" t="s">
        <v>5852</v>
      </c>
      <c r="S3608" s="25" t="n">
        <v>38647</v>
      </c>
      <c r="T3608" s="13" t="s">
        <v>40</v>
      </c>
      <c r="U3608" s="13" t="s">
        <v>14696</v>
      </c>
      <c r="V3608" s="13" t="s">
        <v>1310</v>
      </c>
      <c r="W3608" s="13" t="s">
        <v>43</v>
      </c>
      <c r="X3608" s="21" t="n">
        <v>82133446352</v>
      </c>
      <c r="Y3608" s="22" t="str">
        <f aca="false">O3608</f>
        <v>Sales</v>
      </c>
      <c r="Z3608" s="13" t="str">
        <f aca="false">IFERROR(__xludf.dummyfunction("if(BJ3608="""","""",GOOGLETRANSLATE(BJ3608,""auto"",""en""))"),"Sales")</f>
        <v>Sales</v>
      </c>
      <c r="AA3608" s="23" t="str">
        <f aca="false">IF(C3608="","", CHOOSE(MONTH(C3608),"January","February","March","April","May","June","July","August","September","October","November","December")&amp;" "&amp;DAY(C3608)&amp;MID("thstndrdth",MIN(9,2*RIGHT(DAY(C3608))*(MOD(DAY(C3608)-11,100)&gt;2)+1),2)&amp;","&amp;TEXT(C3608," yyyy"))</f>
        <v>September 1st,2026</v>
      </c>
      <c r="AB3608" s="15" t="str">
        <f aca="true">IF(S3608="","",DATEDIF(S3608,TODAY(),"Y")&amp;" Tahun, "&amp;DATEDIF(S3608,TODAY(),"YM")&amp;" Bulan, "&amp;DATEDIF(S3608,TODAY(),"MD")&amp;" Hari")</f>
        <v>21 Tahun, 0 Bulan, 7 Hari</v>
      </c>
      <c r="AC3608" s="14" t="n">
        <v>46266</v>
      </c>
      <c r="AD3608" s="18" t="n">
        <v>46402</v>
      </c>
      <c r="AE3608" s="13" t="s">
        <v>2424</v>
      </c>
    </row>
    <row r="3609" customFormat="false" ht="15" hidden="false" customHeight="true" outlineLevel="0" collapsed="false">
      <c r="A3609" s="12" t="n">
        <v>22737</v>
      </c>
      <c r="B3609" s="13" t="s">
        <v>14697</v>
      </c>
      <c r="C3609" s="14" t="n">
        <v>46218</v>
      </c>
      <c r="D3609" s="13" t="s">
        <v>2033</v>
      </c>
      <c r="E3609" s="13" t="s">
        <v>47</v>
      </c>
      <c r="F3609" s="24" t="s">
        <v>14698</v>
      </c>
      <c r="G3609" s="13" t="s">
        <v>1452</v>
      </c>
      <c r="H3609" s="13" t="s">
        <v>35</v>
      </c>
      <c r="I3609" s="13" t="str">
        <f aca="false">IF(C3609=J3609,"NEW KONTRAK","RE-KONTRAK")</f>
        <v>NEW KONTRAK</v>
      </c>
      <c r="J3609" s="16" t="n">
        <f aca="false" t="array" ref="J3609:J3609">IFERROR(INDEX(AC3609:AE3609,IF(COUNTA(AC3609:AE3609)=0,"",MAX((AC3609:AE3609&lt;&gt;"")*(COLUMN(AC3609:AE3609)-(COLUMN(AC3609)))))-1),"")</f>
        <v>46218</v>
      </c>
      <c r="K3609" s="16" t="n">
        <f aca="false" t="array" ref="K3609:K3609">IFERROR(INDEX(AC3609:AE3609,IF(COUNTA(AC3609:AE3609)=0,"",MAX((AC3609:AE3609&lt;&gt;"")*(COLUMN(AC3609:AE3609)-(COLUMN(AC3609)-1))))-1),"")</f>
        <v>46402</v>
      </c>
      <c r="L3609" s="17" t="str">
        <f aca="false" t="array" ref="L3609:L3609">IFERROR(INDEX(AC3609:AE3609,IF(COUNTA(AC3609:AE3609)=0,"",MAX((AC3609:AE3609&lt;&gt;"")*(COLUMN(AC3609:AE3609)-(COLUMN(AC3609)-2))))-1),"")</f>
        <v>KEMBALI ONLINE</v>
      </c>
      <c r="M3609" s="13" t="n">
        <f aca="true">K3609-TODAY()</f>
        <v>78</v>
      </c>
      <c r="N3609" s="18" t="s">
        <v>14699</v>
      </c>
      <c r="O3609" s="13" t="s">
        <v>2384</v>
      </c>
      <c r="P3609" s="19" t="n">
        <v>3900395</v>
      </c>
      <c r="Q3609" s="20" t="s">
        <v>14700</v>
      </c>
      <c r="R3609" s="13" t="s">
        <v>763</v>
      </c>
      <c r="S3609" s="25" t="n">
        <v>39447</v>
      </c>
      <c r="T3609" s="13" t="s">
        <v>108</v>
      </c>
      <c r="U3609" s="13" t="s">
        <v>14701</v>
      </c>
      <c r="V3609" s="13" t="s">
        <v>42</v>
      </c>
      <c r="W3609" s="13" t="s">
        <v>43</v>
      </c>
      <c r="X3609" s="21" t="n">
        <v>82286622520</v>
      </c>
      <c r="Y3609" s="22" t="str">
        <f aca="false">O3609</f>
        <v>SPG</v>
      </c>
      <c r="Z3609" s="13" t="str">
        <f aca="false">IFERROR(__xludf.dummyfunction("if(BJ3609="""","""",GOOGLETRANSLATE(BJ3609,""auto"",""en""))"),"SPG")</f>
        <v>SPG</v>
      </c>
      <c r="AA3609" s="23" t="str">
        <f aca="false">IF(C3609="","", CHOOSE(MONTH(C3609),"January","February","March","April","May","June","July","August","September","October","November","December")&amp;" "&amp;DAY(C3609)&amp;MID("thstndrdth",MIN(9,2*RIGHT(DAY(C3609))*(MOD(DAY(C3609)-11,100)&gt;2)+1),2)&amp;","&amp;TEXT(C3609," yyyy"))</f>
        <v>July 15th,2026</v>
      </c>
      <c r="AB3609" s="15" t="str">
        <f aca="true">IF(S3609="","",DATEDIF(S3609,TODAY(),"Y")&amp;" Tahun, "&amp;DATEDIF(S3609,TODAY(),"YM")&amp;" Bulan, "&amp;DATEDIF(S3609,TODAY(),"MD")&amp;" Hari")</f>
        <v>18 Tahun, 9 Bulan, 28 Hari</v>
      </c>
      <c r="AC3609" s="14" t="n">
        <v>46218</v>
      </c>
      <c r="AD3609" s="18" t="n">
        <v>46402</v>
      </c>
      <c r="AE3609" s="13" t="s">
        <v>2387</v>
      </c>
    </row>
    <row r="3610" customFormat="false" ht="15" hidden="false" customHeight="true" outlineLevel="0" collapsed="false">
      <c r="A3610" s="12" t="n">
        <v>22228</v>
      </c>
      <c r="B3610" s="13" t="s">
        <v>14702</v>
      </c>
      <c r="C3610" s="16" t="n">
        <v>46113</v>
      </c>
      <c r="D3610" s="13" t="s">
        <v>9387</v>
      </c>
      <c r="E3610" s="15" t="s">
        <v>47</v>
      </c>
      <c r="F3610" s="24" t="s">
        <v>14703</v>
      </c>
      <c r="G3610" s="13" t="s">
        <v>57</v>
      </c>
      <c r="H3610" s="13" t="s">
        <v>35</v>
      </c>
      <c r="I3610" s="13" t="str">
        <f aca="false">IF(C3610=J3610,"NEW KONTRAK","RE-KONTRAK")</f>
        <v>NEW KONTRAK</v>
      </c>
      <c r="J3610" s="16" t="n">
        <f aca="false" t="array" ref="J3610:J3610">IFERROR(INDEX(AC3610:AE3610,IF(COUNTA(AC3610:AE3610)=0,"",MAX((AC3610:AE3610&lt;&gt;"")*(COLUMN(AC3610:AE3610)-(COLUMN(AC3610)))))-1),"")</f>
        <v>46113</v>
      </c>
      <c r="K3610" s="16" t="n">
        <f aca="false" t="array" ref="K3610:K3610">IFERROR(INDEX(AC3610:AE3610,IF(COUNTA(AC3610:AE3610)=0,"",MAX((AC3610:AE3610&lt;&gt;"")*(COLUMN(AC3610:AE3610)-(COLUMN(AC3610)-1))))-1),"")</f>
        <v>46295</v>
      </c>
      <c r="L3610" s="17" t="str">
        <f aca="false" t="array" ref="L3610:L3610">IFERROR(INDEX(AC3610:AE3610,IF(COUNTA(AC3610:AE3610)=0,"",MAX((AC3610:AE3610&lt;&gt;"")*(COLUMN(AC3610:AE3610)-(COLUMN(AC3610)-2))))-1),"")</f>
        <v>ARCHIVED</v>
      </c>
      <c r="M3610" s="13" t="n">
        <f aca="true">K3610-TODAY()</f>
        <v>-29</v>
      </c>
      <c r="N3610" s="18" t="s">
        <v>615</v>
      </c>
      <c r="O3610" s="13" t="s">
        <v>9388</v>
      </c>
      <c r="P3610" s="19" t="n">
        <v>5176101</v>
      </c>
      <c r="Q3610" s="20" t="s">
        <v>14704</v>
      </c>
      <c r="R3610" s="13" t="s">
        <v>232</v>
      </c>
      <c r="S3610" s="14" t="n">
        <v>33090</v>
      </c>
      <c r="T3610" s="28" t="s">
        <v>40</v>
      </c>
      <c r="U3610" s="13" t="s">
        <v>14705</v>
      </c>
      <c r="V3610" s="13" t="s">
        <v>42</v>
      </c>
      <c r="W3610" s="13" t="s">
        <v>54</v>
      </c>
      <c r="X3610" s="30" t="n">
        <v>85778985625</v>
      </c>
      <c r="Y3610" s="22" t="str">
        <f aca="false">O3610</f>
        <v>Tenaga Kerja Bongkar Muat (TKBM)</v>
      </c>
      <c r="Z3610" s="13" t="str">
        <f aca="false">IFERROR(__xludf.dummyfunction("if(BJ3610="""","""",GOOGLETRANSLATE(BJ3610,""auto"",""en""))"),"Loading and Unloading Workers (TKBM)")</f>
        <v>Loading and Unloading Workers (TKBM)</v>
      </c>
      <c r="AA3610" s="23" t="str">
        <f aca="false">IF(C3610="","", CHOOSE(MONTH(C3610),"January","February","March","April","May","June","July","August","September","October","November","December")&amp;" "&amp;DAY(C3610)&amp;MID("thstndrdth",MIN(9,2*RIGHT(DAY(C3610))*(MOD(DAY(C3610)-11,100)&gt;2)+1),2)&amp;","&amp;TEXT(C3610," yyyy"))</f>
        <v>April 1st,2026</v>
      </c>
      <c r="AB3610" s="15" t="str">
        <f aca="true">IF(S3610="","",DATEDIF(S3610,TODAY(),"Y")&amp;" Tahun, "&amp;DATEDIF(S3610,TODAY(),"YM")&amp;" Bulan, "&amp;DATEDIF(S3610,TODAY(),"MD")&amp;" Hari")</f>
        <v>36 Tahun, 2 Bulan, 24 Hari</v>
      </c>
      <c r="AC3610" s="14" t="n">
        <f aca="false">C3610</f>
        <v>46113</v>
      </c>
      <c r="AD3610" s="18" t="n">
        <f aca="false">EDATE(AC3610,6)-1</f>
        <v>46295</v>
      </c>
      <c r="AE3610" s="13" t="s">
        <v>44</v>
      </c>
    </row>
    <row r="3611" customFormat="false" ht="15" hidden="false" customHeight="true" outlineLevel="0" collapsed="false">
      <c r="A3611" s="12" t="n">
        <v>22229</v>
      </c>
      <c r="B3611" s="13" t="s">
        <v>14706</v>
      </c>
      <c r="C3611" s="16" t="n">
        <v>46125</v>
      </c>
      <c r="D3611" s="13" t="s">
        <v>9387</v>
      </c>
      <c r="E3611" s="15" t="s">
        <v>47</v>
      </c>
      <c r="F3611" s="24" t="s">
        <v>14707</v>
      </c>
      <c r="G3611" s="13" t="s">
        <v>57</v>
      </c>
      <c r="H3611" s="13" t="s">
        <v>35</v>
      </c>
      <c r="I3611" s="13" t="str">
        <f aca="false">IF(C3611=J3611,"NEW KONTRAK","RE-KONTRAK")</f>
        <v>NEW KONTRAK</v>
      </c>
      <c r="J3611" s="16" t="n">
        <f aca="false" t="array" ref="J3611:J3611">IFERROR(INDEX(AC3611:AE3611,IF(COUNTA(AC3611:AE3611)=0,"",MAX((AC3611:AE3611&lt;&gt;"")*(COLUMN(AC3611:AE3611)-(COLUMN(AC3611)))))-1),"")</f>
        <v>46125</v>
      </c>
      <c r="K3611" s="16" t="n">
        <f aca="false" t="array" ref="K3611:K3611">IFERROR(INDEX(AC3611:AE3611,IF(COUNTA(AC3611:AE3611)=0,"",MAX((AC3611:AE3611&lt;&gt;"")*(COLUMN(AC3611:AE3611)-(COLUMN(AC3611)-1))))-1),"")</f>
        <v>46307</v>
      </c>
      <c r="L3611" s="17" t="str">
        <f aca="false" t="array" ref="L3611:L3611">IFERROR(INDEX(AC3611:AE3611,IF(COUNTA(AC3611:AE3611)=0,"",MAX((AC3611:AE3611&lt;&gt;"")*(COLUMN(AC3611:AE3611)-(COLUMN(AC3611)-2))))-1),"")</f>
        <v>ARCHIVED</v>
      </c>
      <c r="M3611" s="13" t="n">
        <f aca="true">K3611-TODAY()</f>
        <v>-17</v>
      </c>
      <c r="N3611" s="18" t="s">
        <v>615</v>
      </c>
      <c r="O3611" s="13" t="s">
        <v>9388</v>
      </c>
      <c r="P3611" s="19" t="n">
        <v>5176101</v>
      </c>
      <c r="Q3611" s="20" t="s">
        <v>14708</v>
      </c>
      <c r="R3611" s="13" t="s">
        <v>879</v>
      </c>
      <c r="S3611" s="14" t="n">
        <v>38475</v>
      </c>
      <c r="T3611" s="28" t="s">
        <v>40</v>
      </c>
      <c r="U3611" s="13" t="s">
        <v>14709</v>
      </c>
      <c r="V3611" s="13" t="s">
        <v>42</v>
      </c>
      <c r="W3611" s="13" t="s">
        <v>43</v>
      </c>
      <c r="X3611" s="30" t="n">
        <v>83153260332</v>
      </c>
      <c r="Y3611" s="22" t="str">
        <f aca="false">O3611</f>
        <v>Tenaga Kerja Bongkar Muat (TKBM)</v>
      </c>
      <c r="Z3611" s="13" t="str">
        <f aca="false">IFERROR(__xludf.dummyfunction("if(BJ3611="""","""",GOOGLETRANSLATE(BJ3611,""auto"",""en""))"),"Loading and Unloading Workers (TKBM)")</f>
        <v>Loading and Unloading Workers (TKBM)</v>
      </c>
      <c r="AA3611" s="23" t="str">
        <f aca="false">IF(C3611="","", CHOOSE(MONTH(C3611),"January","February","March","April","May","June","July","August","September","October","November","December")&amp;" "&amp;DAY(C3611)&amp;MID("thstndrdth",MIN(9,2*RIGHT(DAY(C3611))*(MOD(DAY(C3611)-11,100)&gt;2)+1),2)&amp;","&amp;TEXT(C3611," yyyy"))</f>
        <v>April 13th,2026</v>
      </c>
      <c r="AB3611" s="15" t="str">
        <f aca="true">IF(S3611="","",DATEDIF(S3611,TODAY(),"Y")&amp;" Tahun, "&amp;DATEDIF(S3611,TODAY(),"YM")&amp;" Bulan, "&amp;DATEDIF(S3611,TODAY(),"MD")&amp;" Hari")</f>
        <v>21 Tahun, 5 Bulan, 26 Hari</v>
      </c>
      <c r="AC3611" s="14" t="n">
        <f aca="false">C3611</f>
        <v>46125</v>
      </c>
      <c r="AD3611" s="18" t="n">
        <f aca="false">EDATE(AC3611,6)-1</f>
        <v>46307</v>
      </c>
      <c r="AE3611" s="13" t="s">
        <v>44</v>
      </c>
    </row>
    <row r="3612" customFormat="false" ht="15" hidden="false" customHeight="true" outlineLevel="0" collapsed="false">
      <c r="A3612" s="12" t="n">
        <v>1975</v>
      </c>
      <c r="B3612" s="13" t="s">
        <v>14710</v>
      </c>
      <c r="C3612" s="14" t="n">
        <v>44018</v>
      </c>
      <c r="D3612" s="13" t="s">
        <v>101</v>
      </c>
      <c r="E3612" s="15" t="s">
        <v>47</v>
      </c>
      <c r="F3612" s="15" t="str">
        <f aca="false">IFERROR(__xludf.dummyfunction("XLOOKUP(AJ3612,IMPORTRANGE(""1XaInW9DU9nz21V0tYIfzFQ0He9kVQ_JF2mCXgZ3hqFA"",""REKAP ALL 2026 - Andika!G:G""),IMPORTRANGE(""1XaInW9DU9nz21V0tYIfzFQ0He9kVQ_JF2mCXgZ3hqFA"",""REKAP ALL 2026 - Andika!F:F""),"""",0)"),"20056450396")</f>
        <v>20056450396</v>
      </c>
      <c r="G3612" s="13" t="s">
        <v>14711</v>
      </c>
      <c r="H3612" s="13" t="s">
        <v>35</v>
      </c>
      <c r="I3612" s="13" t="str">
        <f aca="false">IF(C3612=J3612,"NEW KONTRAK","RE-KONTRAK")</f>
        <v>RE-KONTRAK</v>
      </c>
      <c r="J3612" s="16" t="n">
        <f aca="false" t="array" ref="J3612:J3612">IFERROR(INDEX(AC3612:AE3612,IF(COUNTA(AC3612:AE3612)=0,"",MAX((AC3612:AE3612&lt;&gt;"")*(COLUMN(AC3612:AE3612)-(COLUMN(AC3612)))))-1),"")</f>
        <v>45672</v>
      </c>
      <c r="K3612" s="16" t="n">
        <f aca="false" t="array" ref="K3612:K3612">IFERROR(INDEX(AC3612:AE3612,IF(COUNTA(AC3612:AE3612)=0,"",MAX((AC3612:AE3612&lt;&gt;"")*(COLUMN(AC3612:AE3612)-(COLUMN(AC3612)-1))))-1),"")</f>
        <v>46036</v>
      </c>
      <c r="L3612" s="17" t="str">
        <f aca="false" t="array" ref="L3612:L3612">IFERROR(INDEX(AC3612:AE3612,IF(COUNTA(AC3612:AE3612)=0,"",MAX((AC3612:AE3612&lt;&gt;"")*(COLUMN(AC3612:AE3612)-(COLUMN(AC3612)-2))))-1),"")</f>
        <v>ARCHIVED</v>
      </c>
      <c r="M3612" s="13" t="n">
        <f aca="true">K3612-TODAY()</f>
        <v>-288</v>
      </c>
      <c r="N3612" s="18" t="s">
        <v>105</v>
      </c>
      <c r="O3612" s="13" t="s">
        <v>2175</v>
      </c>
      <c r="P3612" s="31" t="n">
        <v>176400</v>
      </c>
      <c r="Q3612" s="20" t="s">
        <v>14712</v>
      </c>
      <c r="R3612" s="13" t="s">
        <v>39</v>
      </c>
      <c r="S3612" s="25" t="n">
        <v>34045</v>
      </c>
      <c r="T3612" s="13" t="s">
        <v>40</v>
      </c>
      <c r="U3612" s="13" t="s">
        <v>14713</v>
      </c>
      <c r="V3612" s="13" t="s">
        <v>42</v>
      </c>
      <c r="W3612" s="13" t="s">
        <v>43</v>
      </c>
      <c r="X3612" s="21" t="n">
        <v>81252461095</v>
      </c>
      <c r="Y3612" s="22" t="str">
        <f aca="false">O3612</f>
        <v>Gudang RMPM - Operator Forklift</v>
      </c>
      <c r="Z3612" s="13" t="str">
        <f aca="false">IFERROR(__xludf.dummyfunction("if(BJ3612="""","""",GOOGLETRANSLATE(BJ3612,""auto"",""en""))"),"RMPM Warehouse - Forklift Operator")</f>
        <v>RMPM Warehouse - Forklift Operator</v>
      </c>
      <c r="AA3612" s="23" t="str">
        <f aca="false">IF(C3612="","", CHOOSE(MONTH(C3612),"January","February","March","April","May","June","July","August","September","October","November","December")&amp;" "&amp;DAY(C3612)&amp;MID("thstndrdth",MIN(9,2*RIGHT(DAY(C3612))*(MOD(DAY(C3612)-11,100)&gt;2)+1),2)&amp;","&amp;TEXT(C3612," yyyy"))</f>
        <v>July 6th,2020</v>
      </c>
      <c r="AB3612" s="15" t="str">
        <f aca="true">IF(S3612="","",DATEDIF(S3612,TODAY(),"Y")&amp;" Tahun, "&amp;DATEDIF(S3612,TODAY(),"YM")&amp;" Bulan, "&amp;DATEDIF(S3612,TODAY(),"MD")&amp;" Hari")</f>
        <v>33 Tahun, 7 Bulan, 12 Hari</v>
      </c>
      <c r="AC3612" s="18" t="n">
        <v>45672</v>
      </c>
      <c r="AD3612" s="18" t="n">
        <v>46036</v>
      </c>
      <c r="AE3612" s="18" t="s">
        <v>44</v>
      </c>
    </row>
    <row r="3613" customFormat="false" ht="15" hidden="false" customHeight="true" outlineLevel="0" collapsed="false">
      <c r="A3613" s="12" t="n">
        <v>22231</v>
      </c>
      <c r="B3613" s="13" t="s">
        <v>14714</v>
      </c>
      <c r="C3613" s="16" t="n">
        <v>46147</v>
      </c>
      <c r="D3613" s="13" t="s">
        <v>10058</v>
      </c>
      <c r="E3613" s="15" t="s">
        <v>102</v>
      </c>
      <c r="F3613" s="24" t="s">
        <v>14715</v>
      </c>
      <c r="G3613" s="13" t="s">
        <v>1127</v>
      </c>
      <c r="H3613" s="13" t="s">
        <v>3024</v>
      </c>
      <c r="I3613" s="13" t="str">
        <f aca="false">IF(C3613=J3613,"NEW KONTRAK","RE-KONTRAK")</f>
        <v>NEW KONTRAK</v>
      </c>
      <c r="J3613" s="16" t="n">
        <f aca="false" t="array" ref="J3613:J3613">IFERROR(INDEX(AC3613:AE3613,IF(COUNTA(AC3613:AE3613)=0,"",MAX((AC3613:AE3613&lt;&gt;"")*(COLUMN(AC3613:AE3613)-(COLUMN(AC3613)))))-1),"")</f>
        <v>46147</v>
      </c>
      <c r="K3613" s="16" t="n">
        <f aca="false" t="array" ref="K3613:K3613">IFERROR(INDEX(AC3613:AE3613,IF(COUNTA(AC3613:AE3613)=0,"",MAX((AC3613:AE3613&lt;&gt;"")*(COLUMN(AC3613:AE3613)-(COLUMN(AC3613)-1))))-1),"")</f>
        <v>46188</v>
      </c>
      <c r="L3613" s="17" t="str">
        <f aca="false" t="array" ref="L3613:L3613">IFERROR(INDEX(AC3613:AE3613,IF(COUNTA(AC3613:AE3613)=0,"",MAX((AC3613:AE3613&lt;&gt;"")*(COLUMN(AC3613:AE3613)-(COLUMN(AC3613)-2))))-1),"")</f>
        <v>ARCHIVED</v>
      </c>
      <c r="M3613" s="13" t="n">
        <f aca="true">K3613-TODAY()</f>
        <v>-136</v>
      </c>
      <c r="N3613" s="18" t="s">
        <v>105</v>
      </c>
      <c r="O3613" s="13" t="s">
        <v>11196</v>
      </c>
      <c r="P3613" s="19" t="n">
        <v>247216.23</v>
      </c>
      <c r="Q3613" s="20" t="s">
        <v>14716</v>
      </c>
      <c r="R3613" s="13" t="s">
        <v>83</v>
      </c>
      <c r="S3613" s="14" t="n">
        <v>36871</v>
      </c>
      <c r="T3613" s="28" t="s">
        <v>40</v>
      </c>
      <c r="U3613" s="13" t="s">
        <v>14717</v>
      </c>
      <c r="V3613" s="13" t="s">
        <v>42</v>
      </c>
      <c r="W3613" s="13" t="s">
        <v>43</v>
      </c>
      <c r="X3613" s="30" t="n">
        <v>85109821506</v>
      </c>
      <c r="Y3613" s="22" t="str">
        <f aca="false">O3613</f>
        <v>Helper Gudang</v>
      </c>
      <c r="Z3613" s="13" t="str">
        <f aca="false">IFERROR(__xludf.dummyfunction("if(BJ3613="""","""",GOOGLETRANSLATE(BJ3613,""auto"",""en""))"),"Helper Gudang")</f>
        <v>Helper Gudang</v>
      </c>
      <c r="AA3613" s="23" t="str">
        <f aca="false">IF(C3613="","", CHOOSE(MONTH(C3613),"January","February","March","April","May","June","July","August","September","October","November","December")&amp;" "&amp;DAY(C3613)&amp;MID("thstndrdth",MIN(9,2*RIGHT(DAY(C3613))*(MOD(DAY(C3613)-11,100)&gt;2)+1),2)&amp;","&amp;TEXT(C3613," yyyy"))</f>
        <v>May 5th,2026</v>
      </c>
      <c r="AB3613" s="15" t="str">
        <f aca="true">IF(S3613="","",DATEDIF(S3613,TODAY(),"Y")&amp;" Tahun, "&amp;DATEDIF(S3613,TODAY(),"YM")&amp;" Bulan, "&amp;DATEDIF(S3613,TODAY(),"MD")&amp;" Hari")</f>
        <v>25 Tahun, 10 Bulan, 18 Hari</v>
      </c>
      <c r="AC3613" s="14" t="n">
        <f aca="false">C3613</f>
        <v>46147</v>
      </c>
      <c r="AD3613" s="64" t="n">
        <v>46188</v>
      </c>
      <c r="AE3613" s="13" t="s">
        <v>44</v>
      </c>
    </row>
    <row r="3614" customFormat="false" ht="15" hidden="false" customHeight="true" outlineLevel="0" collapsed="false">
      <c r="A3614" s="12" t="n">
        <v>22232</v>
      </c>
      <c r="B3614" s="13" t="s">
        <v>14718</v>
      </c>
      <c r="C3614" s="16" t="n">
        <v>46144.2916666667</v>
      </c>
      <c r="D3614" s="13" t="s">
        <v>5892</v>
      </c>
      <c r="E3614" s="15" t="s">
        <v>102</v>
      </c>
      <c r="F3614" s="24" t="s">
        <v>14719</v>
      </c>
      <c r="G3614" s="13" t="s">
        <v>1127</v>
      </c>
      <c r="H3614" s="13" t="s">
        <v>35</v>
      </c>
      <c r="I3614" s="13" t="str">
        <f aca="false">IF(C3614=J3614,"NEW KONTRAK","RE-KONTRAK")</f>
        <v>NEW KONTRAK</v>
      </c>
      <c r="J3614" s="16" t="n">
        <f aca="false" t="array" ref="J3614:J3614">IFERROR(INDEX(AC3614:AE3614,IF(COUNTA(AC3614:AE3614)=0,"",MAX((AC3614:AE3614&lt;&gt;"")*(COLUMN(AC3614:AE3614)-(COLUMN(AC3614)))))-1),"")</f>
        <v>46144.2916666667</v>
      </c>
      <c r="K3614" s="16" t="n">
        <f aca="false" t="array" ref="K3614:K3614">IFERROR(INDEX(AC3614:AE3614,IF(COUNTA(AC3614:AE3614)=0,"",MAX((AC3614:AE3614&lt;&gt;"")*(COLUMN(AC3614:AE3614)-(COLUMN(AC3614)-1))))-1),"")</f>
        <v>46235</v>
      </c>
      <c r="L3614" s="17" t="str">
        <f aca="false" t="array" ref="L3614:L3614">IFERROR(INDEX(AC3614:AE3614,IF(COUNTA(AC3614:AE3614)=0,"",MAX((AC3614:AE3614&lt;&gt;"")*(COLUMN(AC3614:AE3614)-(COLUMN(AC3614)-2))))-1),"")</f>
        <v>KEMBALI</v>
      </c>
      <c r="M3614" s="13" t="n">
        <f aca="true">K3614-TODAY()</f>
        <v>-89</v>
      </c>
      <c r="N3614" s="18" t="s">
        <v>105</v>
      </c>
      <c r="O3614" s="13" t="s">
        <v>719</v>
      </c>
      <c r="P3614" s="117" t="n">
        <v>2500000</v>
      </c>
      <c r="Q3614" s="47" t="s">
        <v>14720</v>
      </c>
      <c r="R3614" s="13" t="s">
        <v>232</v>
      </c>
      <c r="S3614" s="14" t="n">
        <v>35362</v>
      </c>
      <c r="T3614" s="28" t="s">
        <v>40</v>
      </c>
      <c r="U3614" s="13" t="s">
        <v>14721</v>
      </c>
      <c r="V3614" s="13" t="s">
        <v>42</v>
      </c>
      <c r="W3614" s="13" t="s">
        <v>54</v>
      </c>
      <c r="X3614" s="47" t="s">
        <v>14722</v>
      </c>
      <c r="Y3614" s="22" t="str">
        <f aca="false">O3614</f>
        <v>Cleaning Service</v>
      </c>
      <c r="Z3614" s="13" t="str">
        <f aca="false">IFERROR(__xludf.dummyfunction("if(BJ3614="""","""",GOOGLETRANSLATE(BJ3614,""auto"",""en""))"),"Cleaning Service")</f>
        <v>Cleaning Service</v>
      </c>
      <c r="AA3614" s="23" t="str">
        <f aca="false">IF(C3614="","", CHOOSE(MONTH(C3614),"January","February","March","April","May","June","July","August","September","October","November","December")&amp;" "&amp;DAY(C3614)&amp;MID("thstndrdth",MIN(9,2*RIGHT(DAY(C3614))*(MOD(DAY(C3614)-11,100)&gt;2)+1),2)&amp;","&amp;TEXT(C3614," yyyy"))</f>
        <v>May 2nd,2026</v>
      </c>
      <c r="AB3614" s="15" t="str">
        <f aca="true">IF(S3614="","",DATEDIF(S3614,TODAY(),"Y")&amp;" Tahun, "&amp;DATEDIF(S3614,TODAY(),"YM")&amp;" Bulan, "&amp;DATEDIF(S3614,TODAY(),"MD")&amp;" Hari")</f>
        <v>30 Tahun, 0 Bulan, 5 Hari</v>
      </c>
      <c r="AC3614" s="14" t="n">
        <f aca="false">C3614</f>
        <v>46144.2916666667</v>
      </c>
      <c r="AD3614" s="18" t="n">
        <f aca="false">EDATE(AC3614,3)-1</f>
        <v>46235</v>
      </c>
      <c r="AE3614" s="13" t="s">
        <v>397</v>
      </c>
    </row>
    <row r="3615" customFormat="false" ht="15" hidden="false" customHeight="true" outlineLevel="0" collapsed="false">
      <c r="A3615" s="12" t="n">
        <v>22233</v>
      </c>
      <c r="B3615" s="13" t="s">
        <v>14723</v>
      </c>
      <c r="C3615" s="16" t="n">
        <v>46143.2916666667</v>
      </c>
      <c r="D3615" s="13" t="s">
        <v>9387</v>
      </c>
      <c r="E3615" s="15" t="s">
        <v>102</v>
      </c>
      <c r="F3615" s="24" t="s">
        <v>14724</v>
      </c>
      <c r="G3615" s="15" t="s">
        <v>1127</v>
      </c>
      <c r="H3615" s="13" t="s">
        <v>35</v>
      </c>
      <c r="I3615" s="13" t="str">
        <f aca="false">IF(C3615=J3615,"NEW KONTRAK","RE-KONTRAK")</f>
        <v>NEW KONTRAK</v>
      </c>
      <c r="J3615" s="16" t="n">
        <f aca="false" t="array" ref="J3615:J3615">IFERROR(INDEX(AC3615:AE3615,IF(COUNTA(AC3615:AE3615)=0,"",MAX((AC3615:AE3615&lt;&gt;"")*(COLUMN(AC3615:AE3615)-(COLUMN(AC3615)))))-1),"")</f>
        <v>46143.2916666667</v>
      </c>
      <c r="K3615" s="16" t="n">
        <f aca="false" t="array" ref="K3615:K3615">IFERROR(INDEX(AC3615:AE3615,IF(COUNTA(AC3615:AE3615)=0,"",MAX((AC3615:AE3615&lt;&gt;"")*(COLUMN(AC3615:AE3615)-(COLUMN(AC3615)-1))))-1),"")</f>
        <v>46326</v>
      </c>
      <c r="L3615" s="17" t="str">
        <f aca="false" t="array" ref="L3615:L3615">IFERROR(INDEX(AC3615:AE3615,IF(COUNTA(AC3615:AE3615)=0,"",MAX((AC3615:AE3615&lt;&gt;"")*(COLUMN(AC3615:AE3615)-(COLUMN(AC3615)-2))))-1),"")</f>
        <v>ARCHIVED</v>
      </c>
      <c r="M3615" s="13" t="n">
        <f aca="true">K3615-TODAY()</f>
        <v>2</v>
      </c>
      <c r="N3615" s="18" t="s">
        <v>615</v>
      </c>
      <c r="O3615" s="13" t="s">
        <v>9388</v>
      </c>
      <c r="P3615" s="19" t="n">
        <v>5176101</v>
      </c>
      <c r="Q3615" s="20" t="s">
        <v>14725</v>
      </c>
      <c r="R3615" s="13" t="s">
        <v>232</v>
      </c>
      <c r="S3615" s="14" t="n">
        <v>35709</v>
      </c>
      <c r="T3615" s="28" t="s">
        <v>40</v>
      </c>
      <c r="U3615" s="13" t="s">
        <v>14726</v>
      </c>
      <c r="V3615" s="13" t="s">
        <v>42</v>
      </c>
      <c r="W3615" s="13" t="s">
        <v>43</v>
      </c>
      <c r="X3615" s="30" t="n">
        <v>85389090100</v>
      </c>
      <c r="Y3615" s="22" t="str">
        <f aca="false">O3615</f>
        <v>Tenaga Kerja Bongkar Muat (TKBM)</v>
      </c>
      <c r="Z3615" s="13" t="str">
        <f aca="false">IFERROR(__xludf.dummyfunction("if(BJ3615="""","""",GOOGLETRANSLATE(BJ3615,""auto"",""en""))"),"Loading and Unloading Workers (TKBM)")</f>
        <v>Loading and Unloading Workers (TKBM)</v>
      </c>
      <c r="AA3615" s="23" t="str">
        <f aca="false">IF(C3615="","", CHOOSE(MONTH(C3615),"January","February","March","April","May","June","July","August","September","October","November","December")&amp;" "&amp;DAY(C3615)&amp;MID("thstndrdth",MIN(9,2*RIGHT(DAY(C3615))*(MOD(DAY(C3615)-11,100)&gt;2)+1),2)&amp;","&amp;TEXT(C3615," yyyy"))</f>
        <v>May 1st,2026</v>
      </c>
      <c r="AB3615" s="15" t="str">
        <f aca="true">IF(S3615="","",DATEDIF(S3615,TODAY(),"Y")&amp;" Tahun, "&amp;DATEDIF(S3615,TODAY(),"YM")&amp;" Bulan, "&amp;DATEDIF(S3615,TODAY(),"MD")&amp;" Hari")</f>
        <v>29 Tahun, 0 Bulan, 23 Hari</v>
      </c>
      <c r="AC3615" s="14" t="n">
        <f aca="false">C3615</f>
        <v>46143.2916666667</v>
      </c>
      <c r="AD3615" s="18" t="n">
        <f aca="false">EDATE(AC3615,6)-1</f>
        <v>46326</v>
      </c>
      <c r="AE3615" s="13" t="s">
        <v>44</v>
      </c>
    </row>
    <row r="3616" customFormat="false" ht="15" hidden="false" customHeight="true" outlineLevel="0" collapsed="false">
      <c r="A3616" s="12" t="n">
        <v>22234</v>
      </c>
      <c r="B3616" s="13" t="s">
        <v>14727</v>
      </c>
      <c r="C3616" s="16" t="n">
        <v>46147.2916666667</v>
      </c>
      <c r="D3616" s="13" t="s">
        <v>10155</v>
      </c>
      <c r="E3616" s="15" t="s">
        <v>47</v>
      </c>
      <c r="F3616" s="24" t="s">
        <v>14728</v>
      </c>
      <c r="G3616" s="15" t="s">
        <v>1127</v>
      </c>
      <c r="H3616" s="13" t="s">
        <v>35</v>
      </c>
      <c r="I3616" s="13" t="str">
        <f aca="false">IF(C3616=J3616,"NEW KONTRAK","RE-KONTRAK")</f>
        <v>NEW KONTRAK</v>
      </c>
      <c r="J3616" s="16" t="n">
        <f aca="false" t="array" ref="J3616:J3616">IFERROR(INDEX(AC3616:AE3616,IF(COUNTA(AC3616:AE3616)=0,"",MAX((AC3616:AE3616&lt;&gt;"")*(COLUMN(AC3616:AE3616)-(COLUMN(AC3616)))))-1),"")</f>
        <v>46147.2916666667</v>
      </c>
      <c r="K3616" s="16" t="n">
        <f aca="false" t="array" ref="K3616:K3616">IFERROR(INDEX(AC3616:AE3616,IF(COUNTA(AC3616:AE3616)=0,"",MAX((AC3616:AE3616&lt;&gt;"")*(COLUMN(AC3616:AE3616)-(COLUMN(AC3616)-1))))-1),"")</f>
        <v>46177</v>
      </c>
      <c r="L3616" s="17" t="str">
        <f aca="false" t="array" ref="L3616:L3616">IFERROR(INDEX(AC3616:AE3616,IF(COUNTA(AC3616:AE3616)=0,"",MAX((AC3616:AE3616&lt;&gt;"")*(COLUMN(AC3616:AE3616)-(COLUMN(AC3616)-2))))-1),"")</f>
        <v>KEMBALI</v>
      </c>
      <c r="M3616" s="13" t="n">
        <f aca="true">K3616-TODAY()</f>
        <v>-147</v>
      </c>
      <c r="N3616" s="18" t="s">
        <v>105</v>
      </c>
      <c r="O3616" s="13" t="s">
        <v>14729</v>
      </c>
      <c r="P3616" s="19" t="n">
        <v>5195401</v>
      </c>
      <c r="Q3616" s="20" t="s">
        <v>14730</v>
      </c>
      <c r="R3616" s="13" t="s">
        <v>65</v>
      </c>
      <c r="S3616" s="14" t="n">
        <v>37258</v>
      </c>
      <c r="T3616" s="13" t="s">
        <v>108</v>
      </c>
      <c r="U3616" s="13" t="s">
        <v>14731</v>
      </c>
      <c r="V3616" s="13" t="s">
        <v>42</v>
      </c>
      <c r="W3616" s="13" t="s">
        <v>43</v>
      </c>
      <c r="X3616" s="21" t="n">
        <v>85606681195</v>
      </c>
      <c r="Y3616" s="22" t="str">
        <f aca="false">O3616</f>
        <v>Administrasi Ls P2 &amp; P5 - Quality Control</v>
      </c>
      <c r="Z3616" s="13" t="str">
        <f aca="false">IFERROR(__xludf.dummyfunction("if(BJ3616="""","""",GOOGLETRANSLATE(BJ3616,""auto"",""en""))"),"Administration of Ls P2 &amp; P5 - Quality Control")</f>
        <v>Administration of Ls P2 &amp; P5 - Quality Control</v>
      </c>
      <c r="AA3616" s="23" t="str">
        <f aca="false">IF(C3616="","", CHOOSE(MONTH(C3616),"January","February","March","April","May","June","July","August","September","October","November","December")&amp;" "&amp;DAY(C3616)&amp;MID("thstndrdth",MIN(9,2*RIGHT(DAY(C3616))*(MOD(DAY(C3616)-11,100)&gt;2)+1),2)&amp;","&amp;TEXT(C3616," yyyy"))</f>
        <v>May 5th,2026</v>
      </c>
      <c r="AB3616" s="15" t="str">
        <f aca="true">IF(S3616="","",DATEDIF(S3616,TODAY(),"Y")&amp;" Tahun, "&amp;DATEDIF(S3616,TODAY(),"YM")&amp;" Bulan, "&amp;DATEDIF(S3616,TODAY(),"MD")&amp;" Hari")</f>
        <v>24 Tahun, 9 Bulan, 27 Hari</v>
      </c>
      <c r="AC3616" s="14" t="n">
        <f aca="false">C3616</f>
        <v>46147.2916666667</v>
      </c>
      <c r="AD3616" s="18" t="n">
        <f aca="false">EDATE(AC3616,1)-1</f>
        <v>46177</v>
      </c>
      <c r="AE3616" s="13" t="s">
        <v>397</v>
      </c>
    </row>
    <row r="3617" customFormat="false" ht="15" hidden="false" customHeight="true" outlineLevel="0" collapsed="false">
      <c r="A3617" s="12" t="n">
        <v>22235</v>
      </c>
      <c r="B3617" s="13" t="s">
        <v>14732</v>
      </c>
      <c r="C3617" s="16" t="n">
        <v>46149</v>
      </c>
      <c r="D3617" s="13" t="s">
        <v>7310</v>
      </c>
      <c r="E3617" s="15" t="s">
        <v>14439</v>
      </c>
      <c r="F3617" s="24" t="s">
        <v>14733</v>
      </c>
      <c r="G3617" s="13" t="s">
        <v>1127</v>
      </c>
      <c r="H3617" s="13" t="s">
        <v>35</v>
      </c>
      <c r="I3617" s="13" t="str">
        <f aca="false">IF(C3617=J3617,"NEW KONTRAK","RE-KONTRAK")</f>
        <v>NEW KONTRAK</v>
      </c>
      <c r="J3617" s="16" t="n">
        <f aca="false" t="array" ref="J3617:J3617">IFERROR(INDEX(AC3617:AE3617,IF(COUNTA(AC3617:AE3617)=0,"",MAX((AC3617:AE3617&lt;&gt;"")*(COLUMN(AC3617:AE3617)-(COLUMN(AC3617)))))-1),"")</f>
        <v>46149</v>
      </c>
      <c r="K3617" s="16" t="n">
        <f aca="false" t="array" ref="K3617:K3617">IFERROR(INDEX(AC3617:AE3617,IF(COUNTA(AC3617:AE3617)=0,"",MAX((AC3617:AE3617&lt;&gt;"")*(COLUMN(AC3617:AE3617)-(COLUMN(AC3617)-1))))-1),"")</f>
        <v>46267</v>
      </c>
      <c r="L3617" s="17" t="str">
        <f aca="false" t="array" ref="L3617:L3617">IFERROR(INDEX(AC3617:AE3617,IF(COUNTA(AC3617:AE3617)=0,"",MAX((AC3617:AE3617&lt;&gt;"")*(COLUMN(AC3617:AE3617)-(COLUMN(AC3617)-2))))-1),"")</f>
        <v>ARCHIVED</v>
      </c>
      <c r="M3617" s="13" t="n">
        <f aca="true">K3617-TODAY()</f>
        <v>-57</v>
      </c>
      <c r="N3617" s="18" t="s">
        <v>7313</v>
      </c>
      <c r="O3617" s="13" t="s">
        <v>50</v>
      </c>
      <c r="P3617" s="19" t="n">
        <v>2550274</v>
      </c>
      <c r="Q3617" s="20" t="s">
        <v>14734</v>
      </c>
      <c r="R3617" s="13" t="s">
        <v>227</v>
      </c>
      <c r="S3617" s="14" t="n">
        <v>35685</v>
      </c>
      <c r="T3617" s="28" t="s">
        <v>40</v>
      </c>
      <c r="U3617" s="13" t="s">
        <v>14735</v>
      </c>
      <c r="V3617" s="13" t="s">
        <v>42</v>
      </c>
      <c r="W3617" s="13" t="s">
        <v>43</v>
      </c>
      <c r="X3617" s="21" t="n">
        <v>81332495574</v>
      </c>
      <c r="Y3617" s="22" t="str">
        <f aca="false">O3617</f>
        <v>Driver</v>
      </c>
      <c r="Z3617" s="13" t="str">
        <f aca="false">IFERROR(__xludf.dummyfunction("if(BJ3617="""","""",GOOGLETRANSLATE(BJ3617,""auto"",""en""))"),"Driver")</f>
        <v>Driver</v>
      </c>
      <c r="AA3617" s="23" t="str">
        <f aca="false">IF(C3617="","", CHOOSE(MONTH(C3617),"January","February","March","April","May","June","July","August","September","October","November","December")&amp;" "&amp;DAY(C3617)&amp;MID("thstndrdth",MIN(9,2*RIGHT(DAY(C3617))*(MOD(DAY(C3617)-11,100)&gt;2)+1),2)&amp;","&amp;TEXT(C3617," yyyy"))</f>
        <v>May 7th,2026</v>
      </c>
      <c r="AB3617" s="15" t="str">
        <f aca="true">IF(S3617="","",DATEDIF(S3617,TODAY(),"Y")&amp;" Tahun, "&amp;DATEDIF(S3617,TODAY(),"YM")&amp;" Bulan, "&amp;DATEDIF(S3617,TODAY(),"MD")&amp;" Hari")</f>
        <v>29 Tahun, 1 Bulan, 17 Hari</v>
      </c>
      <c r="AC3617" s="14" t="n">
        <f aca="false">C3617</f>
        <v>46149</v>
      </c>
      <c r="AD3617" s="18" t="n">
        <v>46267</v>
      </c>
      <c r="AE3617" s="13" t="s">
        <v>44</v>
      </c>
    </row>
    <row r="3618" customFormat="false" ht="15" hidden="false" customHeight="true" outlineLevel="0" collapsed="false">
      <c r="A3618" s="12" t="n">
        <v>22236</v>
      </c>
      <c r="B3618" s="13" t="s">
        <v>14736</v>
      </c>
      <c r="C3618" s="16" t="n">
        <v>46147</v>
      </c>
      <c r="D3618" s="13" t="s">
        <v>7310</v>
      </c>
      <c r="E3618" s="15" t="s">
        <v>47</v>
      </c>
      <c r="F3618" s="24" t="s">
        <v>14737</v>
      </c>
      <c r="G3618" s="13" t="s">
        <v>1127</v>
      </c>
      <c r="H3618" s="13" t="s">
        <v>35</v>
      </c>
      <c r="I3618" s="13" t="str">
        <f aca="false">IF(C3618=J3618,"NEW KONTRAK","RE-KONTRAK")</f>
        <v>NEW KONTRAK</v>
      </c>
      <c r="J3618" s="16" t="n">
        <f aca="false" t="array" ref="J3618:J3618">IFERROR(INDEX(AC3618:AE3618,IF(COUNTA(AC3618:AE3618)=0,"",MAX((AC3618:AE3618&lt;&gt;"")*(COLUMN(AC3618:AE3618)-(COLUMN(AC3618)))))-1),"")</f>
        <v>46147</v>
      </c>
      <c r="K3618" s="16" t="n">
        <f aca="false" t="array" ref="K3618:K3618">IFERROR(INDEX(AC3618:AE3618,IF(COUNTA(AC3618:AE3618)=0,"",MAX((AC3618:AE3618&lt;&gt;"")*(COLUMN(AC3618:AE3618)-(COLUMN(AC3618)-1))))-1),"")</f>
        <v>46267</v>
      </c>
      <c r="L3618" s="17" t="str">
        <f aca="false" t="array" ref="L3618:L3618">IFERROR(INDEX(AC3618:AE3618,IF(COUNTA(AC3618:AE3618)=0,"",MAX((AC3618:AE3618&lt;&gt;"")*(COLUMN(AC3618:AE3618)-(COLUMN(AC3618)-2))))-1),"")</f>
        <v>ARCHIVED</v>
      </c>
      <c r="M3618" s="13" t="n">
        <f aca="true">K3618-TODAY()</f>
        <v>-57</v>
      </c>
      <c r="N3618" s="18" t="s">
        <v>7313</v>
      </c>
      <c r="O3618" s="13" t="s">
        <v>50</v>
      </c>
      <c r="P3618" s="19" t="n">
        <v>2550274</v>
      </c>
      <c r="Q3618" s="20" t="s">
        <v>14738</v>
      </c>
      <c r="R3618" s="13" t="s">
        <v>227</v>
      </c>
      <c r="S3618" s="14" t="n">
        <v>37672</v>
      </c>
      <c r="T3618" s="28" t="s">
        <v>40</v>
      </c>
      <c r="U3618" s="13" t="s">
        <v>14739</v>
      </c>
      <c r="V3618" s="13" t="s">
        <v>42</v>
      </c>
      <c r="W3618" s="13" t="s">
        <v>43</v>
      </c>
      <c r="X3618" s="30" t="n">
        <v>82167618472</v>
      </c>
      <c r="Y3618" s="22" t="str">
        <f aca="false">O3618</f>
        <v>Driver</v>
      </c>
      <c r="Z3618" s="13" t="str">
        <f aca="false">IFERROR(__xludf.dummyfunction("if(BJ3618="""","""",GOOGLETRANSLATE(BJ3618,""auto"",""en""))"),"Driver")</f>
        <v>Driver</v>
      </c>
      <c r="AA3618" s="23" t="str">
        <f aca="false">IF(C3618="","", CHOOSE(MONTH(C3618),"January","February","March","April","May","June","July","August","September","October","November","December")&amp;" "&amp;DAY(C3618)&amp;MID("thstndrdth",MIN(9,2*RIGHT(DAY(C3618))*(MOD(DAY(C3618)-11,100)&gt;2)+1),2)&amp;","&amp;TEXT(C3618," yyyy"))</f>
        <v>May 5th,2026</v>
      </c>
      <c r="AB3618" s="15" t="str">
        <f aca="true">IF(S3618="","",DATEDIF(S3618,TODAY(),"Y")&amp;" Tahun, "&amp;DATEDIF(S3618,TODAY(),"YM")&amp;" Bulan, "&amp;DATEDIF(S3618,TODAY(),"MD")&amp;" Hari")</f>
        <v>23 Tahun, 8 Bulan, 9 Hari</v>
      </c>
      <c r="AC3618" s="14" t="n">
        <f aca="false">C3618</f>
        <v>46147</v>
      </c>
      <c r="AD3618" s="18" t="n">
        <v>46267</v>
      </c>
      <c r="AE3618" s="18" t="s">
        <v>44</v>
      </c>
    </row>
    <row r="3619" customFormat="false" ht="15" hidden="false" customHeight="true" outlineLevel="0" collapsed="false">
      <c r="A3619" s="12" t="n">
        <v>22237</v>
      </c>
      <c r="B3619" s="13" t="s">
        <v>14740</v>
      </c>
      <c r="C3619" s="16" t="n">
        <v>46148</v>
      </c>
      <c r="D3619" s="13" t="s">
        <v>7310</v>
      </c>
      <c r="E3619" s="15" t="s">
        <v>47</v>
      </c>
      <c r="F3619" s="24" t="s">
        <v>14741</v>
      </c>
      <c r="G3619" s="13" t="s">
        <v>1127</v>
      </c>
      <c r="H3619" s="13" t="s">
        <v>35</v>
      </c>
      <c r="I3619" s="13" t="str">
        <f aca="false">IF(C3619=J3619,"NEW KONTRAK","RE-KONTRAK")</f>
        <v>NEW KONTRAK</v>
      </c>
      <c r="J3619" s="16" t="n">
        <f aca="false" t="array" ref="J3619:J3619">IFERROR(INDEX(AC3619:AE3619,IF(COUNTA(AC3619:AE3619)=0,"",MAX((AC3619:AE3619&lt;&gt;"")*(COLUMN(AC3619:AE3619)-(COLUMN(AC3619)))))-1),"")</f>
        <v>46148</v>
      </c>
      <c r="K3619" s="16" t="n">
        <f aca="false" t="array" ref="K3619:K3619">IFERROR(INDEX(AC3619:AE3619,IF(COUNTA(AC3619:AE3619)=0,"",MAX((AC3619:AE3619&lt;&gt;"")*(COLUMN(AC3619:AE3619)-(COLUMN(AC3619)-1))))-1),"")</f>
        <v>46267</v>
      </c>
      <c r="L3619" s="17" t="str">
        <f aca="false" t="array" ref="L3619:L3619">IFERROR(INDEX(AC3619:AE3619,IF(COUNTA(AC3619:AE3619)=0,"",MAX((AC3619:AE3619&lt;&gt;"")*(COLUMN(AC3619:AE3619)-(COLUMN(AC3619)-2))))-1),"")</f>
        <v>ARCHIVED</v>
      </c>
      <c r="M3619" s="13" t="n">
        <f aca="true">K3619-TODAY()</f>
        <v>-57</v>
      </c>
      <c r="N3619" s="18" t="s">
        <v>7313</v>
      </c>
      <c r="O3619" s="13" t="s">
        <v>50</v>
      </c>
      <c r="P3619" s="19" t="n">
        <v>2550274</v>
      </c>
      <c r="Q3619" s="20" t="s">
        <v>14742</v>
      </c>
      <c r="R3619" s="13" t="s">
        <v>227</v>
      </c>
      <c r="S3619" s="14" t="n">
        <v>35558</v>
      </c>
      <c r="T3619" s="28" t="s">
        <v>40</v>
      </c>
      <c r="U3619" s="13" t="s">
        <v>14743</v>
      </c>
      <c r="V3619" s="13" t="s">
        <v>42</v>
      </c>
      <c r="W3619" s="13" t="s">
        <v>54</v>
      </c>
      <c r="X3619" s="30" t="n">
        <v>85104618499</v>
      </c>
      <c r="Y3619" s="22" t="str">
        <f aca="false">O3619</f>
        <v>Driver</v>
      </c>
      <c r="Z3619" s="13" t="str">
        <f aca="false">IFERROR(__xludf.dummyfunction("if(BJ3619="""","""",GOOGLETRANSLATE(BJ3619,""auto"",""en""))"),"Driver")</f>
        <v>Driver</v>
      </c>
      <c r="AA3619" s="23" t="str">
        <f aca="false">IF(C3619="","", CHOOSE(MONTH(C3619),"January","February","March","April","May","June","July","August","September","October","November","December")&amp;" "&amp;DAY(C3619)&amp;MID("thstndrdth",MIN(9,2*RIGHT(DAY(C3619))*(MOD(DAY(C3619)-11,100)&gt;2)+1),2)&amp;","&amp;TEXT(C3619," yyyy"))</f>
        <v>May 6th,2026</v>
      </c>
      <c r="AB3619" s="15" t="str">
        <f aca="true">IF(S3619="","",DATEDIF(S3619,TODAY(),"Y")&amp;" Tahun, "&amp;DATEDIF(S3619,TODAY(),"YM")&amp;" Bulan, "&amp;DATEDIF(S3619,TODAY(),"MD")&amp;" Hari")</f>
        <v>29 Tahun, 5 Bulan, 21 Hari</v>
      </c>
      <c r="AC3619" s="14" t="n">
        <f aca="false">C3619</f>
        <v>46148</v>
      </c>
      <c r="AD3619" s="18" t="n">
        <v>46267</v>
      </c>
      <c r="AE3619" s="18" t="s">
        <v>44</v>
      </c>
    </row>
    <row r="3620" customFormat="false" ht="15" hidden="false" customHeight="true" outlineLevel="0" collapsed="false">
      <c r="A3620" s="12" t="n">
        <v>22238</v>
      </c>
      <c r="B3620" s="13" t="s">
        <v>14744</v>
      </c>
      <c r="C3620" s="16" t="n">
        <v>46150</v>
      </c>
      <c r="D3620" s="13" t="s">
        <v>11257</v>
      </c>
      <c r="E3620" s="15" t="s">
        <v>7556</v>
      </c>
      <c r="F3620" s="24" t="s">
        <v>14745</v>
      </c>
      <c r="G3620" s="15" t="s">
        <v>57</v>
      </c>
      <c r="H3620" s="13" t="s">
        <v>35</v>
      </c>
      <c r="I3620" s="13" t="str">
        <f aca="false">IF(C3620=J3620,"NEW KONTRAK","RE-KONTRAK")</f>
        <v>NEW KONTRAK</v>
      </c>
      <c r="J3620" s="16" t="n">
        <f aca="false" t="array" ref="J3620:J3620">IFERROR(INDEX(AC3620:AE3620,IF(COUNTA(AC3620:AE3620)=0,"",MAX((AC3620:AE3620&lt;&gt;"")*(COLUMN(AC3620:AE3620)-(COLUMN(AC3620)))))-1),"")</f>
        <v>46150</v>
      </c>
      <c r="K3620" s="16" t="n">
        <f aca="false" t="array" ref="K3620:K3620">IFERROR(INDEX(AC3620:AE3620,IF(COUNTA(AC3620:AE3620)=0,"",MAX((AC3620:AE3620&lt;&gt;"")*(COLUMN(AC3620:AE3620)-(COLUMN(AC3620)-1))))-1),"")</f>
        <v>46241</v>
      </c>
      <c r="L3620" s="17" t="str">
        <f aca="false" t="array" ref="L3620:L3620">IFERROR(INDEX(AC3620:AE3620,IF(COUNTA(AC3620:AE3620)=0,"",MAX((AC3620:AE3620&lt;&gt;"")*(COLUMN(AC3620:AE3620)-(COLUMN(AC3620)-2))))-1),"")</f>
        <v>KEMBALI</v>
      </c>
      <c r="M3620" s="13" t="n">
        <f aca="true">K3620-TODAY()</f>
        <v>-83</v>
      </c>
      <c r="N3620" s="18" t="s">
        <v>728</v>
      </c>
      <c r="O3620" s="19" t="s">
        <v>3271</v>
      </c>
      <c r="P3620" s="27" t="n">
        <v>211551</v>
      </c>
      <c r="Q3620" s="20" t="s">
        <v>14746</v>
      </c>
      <c r="R3620" s="13" t="s">
        <v>246</v>
      </c>
      <c r="S3620" s="14" t="n">
        <v>32111</v>
      </c>
      <c r="T3620" s="28" t="s">
        <v>40</v>
      </c>
      <c r="U3620" s="13" t="s">
        <v>14747</v>
      </c>
      <c r="V3620" s="13" t="s">
        <v>42</v>
      </c>
      <c r="W3620" s="13" t="s">
        <v>43</v>
      </c>
      <c r="X3620" s="30" t="n">
        <v>82261891411</v>
      </c>
      <c r="Y3620" s="22" t="str">
        <f aca="false">O3620</f>
        <v>Helper</v>
      </c>
      <c r="Z3620" s="13" t="str">
        <f aca="false">IFERROR(__xludf.dummyfunction("if(BJ3620="""","""",GOOGLETRANSLATE(BJ3620,""auto"",""en""))"),"Helper")</f>
        <v>Helper</v>
      </c>
      <c r="AA3620" s="23" t="str">
        <f aca="false">IF(C3620="","", CHOOSE(MONTH(C3620),"January","February","March","April","May","June","July","August","September","October","November","December")&amp;" "&amp;DAY(C3620)&amp;MID("thstndrdth",MIN(9,2*RIGHT(DAY(C3620))*(MOD(DAY(C3620)-11,100)&gt;2)+1),2)&amp;","&amp;TEXT(C3620," yyyy"))</f>
        <v>May 8th,2026</v>
      </c>
      <c r="AB3620" s="15" t="str">
        <f aca="true">IF(S3620="","",DATEDIF(S3620,TODAY(),"Y")&amp;" Tahun, "&amp;DATEDIF(S3620,TODAY(),"YM")&amp;" Bulan, "&amp;DATEDIF(S3620,TODAY(),"MD")&amp;" Hari")</f>
        <v>38 Tahun, 10 Bulan, 29 Hari</v>
      </c>
      <c r="AC3620" s="14" t="n">
        <f aca="false">C3620</f>
        <v>46150</v>
      </c>
      <c r="AD3620" s="18" t="n">
        <v>46241</v>
      </c>
      <c r="AE3620" s="13" t="s">
        <v>397</v>
      </c>
    </row>
    <row r="3621" customFormat="false" ht="15" hidden="false" customHeight="true" outlineLevel="0" collapsed="false">
      <c r="A3621" s="12" t="n">
        <v>22239</v>
      </c>
      <c r="B3621" s="13" t="s">
        <v>14748</v>
      </c>
      <c r="C3621" s="16" t="n">
        <v>46150</v>
      </c>
      <c r="D3621" s="13" t="s">
        <v>11257</v>
      </c>
      <c r="E3621" s="15" t="s">
        <v>7556</v>
      </c>
      <c r="F3621" s="24" t="s">
        <v>14749</v>
      </c>
      <c r="G3621" s="15" t="s">
        <v>57</v>
      </c>
      <c r="H3621" s="13" t="s">
        <v>35</v>
      </c>
      <c r="I3621" s="13" t="str">
        <f aca="false">IF(C3621=J3621,"NEW KONTRAK","RE-KONTRAK")</f>
        <v>NEW KONTRAK</v>
      </c>
      <c r="J3621" s="16" t="n">
        <f aca="false" t="array" ref="J3621:J3621">IFERROR(INDEX(AC3621:AE3621,IF(COUNTA(AC3621:AE3621)=0,"",MAX((AC3621:AE3621&lt;&gt;"")*(COLUMN(AC3621:AE3621)-(COLUMN(AC3621)))))-1),"")</f>
        <v>46150</v>
      </c>
      <c r="K3621" s="16" t="n">
        <f aca="false" t="array" ref="K3621:K3621">IFERROR(INDEX(AC3621:AE3621,IF(COUNTA(AC3621:AE3621)=0,"",MAX((AC3621:AE3621&lt;&gt;"")*(COLUMN(AC3621:AE3621)-(COLUMN(AC3621)-1))))-1),"")</f>
        <v>46241</v>
      </c>
      <c r="L3621" s="17" t="str">
        <f aca="false" t="array" ref="L3621:L3621">IFERROR(INDEX(AC3621:AE3621,IF(COUNTA(AC3621:AE3621)=0,"",MAX((AC3621:AE3621&lt;&gt;"")*(COLUMN(AC3621:AE3621)-(COLUMN(AC3621)-2))))-1),"")</f>
        <v>KEMBALI</v>
      </c>
      <c r="M3621" s="13" t="n">
        <f aca="true">K3621-TODAY()</f>
        <v>-83</v>
      </c>
      <c r="N3621" s="18" t="s">
        <v>728</v>
      </c>
      <c r="O3621" s="19" t="s">
        <v>3271</v>
      </c>
      <c r="P3621" s="27" t="n">
        <v>211551</v>
      </c>
      <c r="Q3621" s="20" t="s">
        <v>14750</v>
      </c>
      <c r="R3621" s="13" t="s">
        <v>73</v>
      </c>
      <c r="S3621" s="14" t="n">
        <v>35769</v>
      </c>
      <c r="T3621" s="28" t="s">
        <v>40</v>
      </c>
      <c r="U3621" s="13" t="s">
        <v>13217</v>
      </c>
      <c r="V3621" s="13" t="s">
        <v>42</v>
      </c>
      <c r="W3621" s="13" t="s">
        <v>43</v>
      </c>
      <c r="X3621" s="30" t="n">
        <v>83139348356</v>
      </c>
      <c r="Y3621" s="22" t="str">
        <f aca="false">O3621</f>
        <v>Helper</v>
      </c>
      <c r="Z3621" s="13" t="str">
        <f aca="false">IFERROR(__xludf.dummyfunction("if(BJ3621="""","""",GOOGLETRANSLATE(BJ3621,""auto"",""en""))"),"Helper")</f>
        <v>Helper</v>
      </c>
      <c r="AA3621" s="23" t="str">
        <f aca="false">IF(C3621="","", CHOOSE(MONTH(C3621),"January","February","March","April","May","June","July","August","September","October","November","December")&amp;" "&amp;DAY(C3621)&amp;MID("thstndrdth",MIN(9,2*RIGHT(DAY(C3621))*(MOD(DAY(C3621)-11,100)&gt;2)+1),2)&amp;","&amp;TEXT(C3621," yyyy"))</f>
        <v>May 8th,2026</v>
      </c>
      <c r="AB3621" s="15" t="str">
        <f aca="true">IF(S3621="","",DATEDIF(S3621,TODAY(),"Y")&amp;" Tahun, "&amp;DATEDIF(S3621,TODAY(),"YM")&amp;" Bulan, "&amp;DATEDIF(S3621,TODAY(),"MD")&amp;" Hari")</f>
        <v>28 Tahun, 10 Bulan, 24 Hari</v>
      </c>
      <c r="AC3621" s="14" t="n">
        <f aca="false">C3621</f>
        <v>46150</v>
      </c>
      <c r="AD3621" s="18" t="n">
        <v>46241</v>
      </c>
      <c r="AE3621" s="13" t="s">
        <v>397</v>
      </c>
    </row>
    <row r="3622" customFormat="false" ht="15" hidden="false" customHeight="true" outlineLevel="0" collapsed="false">
      <c r="A3622" s="12" t="n">
        <v>22240</v>
      </c>
      <c r="B3622" s="13" t="s">
        <v>14751</v>
      </c>
      <c r="C3622" s="16" t="n">
        <v>46233</v>
      </c>
      <c r="D3622" s="13" t="s">
        <v>11257</v>
      </c>
      <c r="E3622" s="15" t="s">
        <v>102</v>
      </c>
      <c r="F3622" s="24" t="s">
        <v>14752</v>
      </c>
      <c r="G3622" s="15" t="s">
        <v>57</v>
      </c>
      <c r="H3622" s="13" t="s">
        <v>35</v>
      </c>
      <c r="I3622" s="13" t="str">
        <f aca="false">IF(C3622=J3622,"NEW KONTRAK","RE-KONTRAK")</f>
        <v>NEW KONTRAK</v>
      </c>
      <c r="J3622" s="16" t="n">
        <f aca="false" t="array" ref="J3622:J3622">IFERROR(INDEX(AC3622:AE3622,IF(COUNTA(AC3622:AE3622)=0,"",MAX((AC3622:AE3622&lt;&gt;"")*(COLUMN(AC3622:AE3622)-(COLUMN(AC3622)))))-1),"")</f>
        <v>46233</v>
      </c>
      <c r="K3622" s="16" t="n">
        <f aca="false" t="array" ref="K3622:K3622">IFERROR(INDEX(AC3622:AE3622,IF(COUNTA(AC3622:AE3622)=0,"",MAX((AC3622:AE3622&lt;&gt;"")*(COLUMN(AC3622:AE3622)-(COLUMN(AC3622)-1))))-1),"")</f>
        <v>46241</v>
      </c>
      <c r="L3622" s="17" t="str">
        <f aca="false" t="array" ref="L3622:L3622">IFERROR(INDEX(AC3622:AE3622,IF(COUNTA(AC3622:AE3622)=0,"",MAX((AC3622:AE3622&lt;&gt;"")*(COLUMN(AC3622:AE3622)-(COLUMN(AC3622)-2))))-1),"")</f>
        <v>KEMBALI</v>
      </c>
      <c r="M3622" s="13" t="n">
        <f aca="true">K3622-TODAY()</f>
        <v>-83</v>
      </c>
      <c r="N3622" s="18" t="s">
        <v>728</v>
      </c>
      <c r="O3622" s="19" t="s">
        <v>3271</v>
      </c>
      <c r="P3622" s="19" t="n">
        <v>211551</v>
      </c>
      <c r="Q3622" s="20" t="s">
        <v>14753</v>
      </c>
      <c r="R3622" s="13" t="s">
        <v>39</v>
      </c>
      <c r="S3622" s="14" t="n">
        <v>37231</v>
      </c>
      <c r="T3622" s="28" t="s">
        <v>40</v>
      </c>
      <c r="U3622" s="13" t="s">
        <v>14754</v>
      </c>
      <c r="V3622" s="13" t="s">
        <v>42</v>
      </c>
      <c r="W3622" s="13" t="s">
        <v>43</v>
      </c>
      <c r="X3622" s="30" t="n">
        <v>85720873753</v>
      </c>
      <c r="Y3622" s="22" t="str">
        <f aca="false">O3622</f>
        <v>Helper</v>
      </c>
      <c r="Z3622" s="13" t="str">
        <f aca="false">IFERROR(__xludf.dummyfunction("if(BJ3622="""","""",GOOGLETRANSLATE(BJ3622,""auto"",""en""))"),"Helper")</f>
        <v>Helper</v>
      </c>
      <c r="AA3622" s="23" t="str">
        <f aca="false">IF(C3622="","", CHOOSE(MONTH(C3622),"January","February","March","April","May","June","July","August","September","October","November","December")&amp;" "&amp;DAY(C3622)&amp;MID("thstndrdth",MIN(9,2*RIGHT(DAY(C3622))*(MOD(DAY(C3622)-11,100)&gt;2)+1),2)&amp;","&amp;TEXT(C3622," yyyy"))</f>
        <v>July 30th,2026</v>
      </c>
      <c r="AB3622" s="15" t="str">
        <f aca="true">IF(S3622="","",DATEDIF(S3622,TODAY(),"Y")&amp;" Tahun, "&amp;DATEDIF(S3622,TODAY(),"YM")&amp;" Bulan, "&amp;DATEDIF(S3622,TODAY(),"MD")&amp;" Hari")</f>
        <v>24 Tahun, 10 Bulan, 23 Hari</v>
      </c>
      <c r="AC3622" s="14" t="n">
        <f aca="false">C3622</f>
        <v>46233</v>
      </c>
      <c r="AD3622" s="18" t="n">
        <v>46241</v>
      </c>
      <c r="AE3622" s="13" t="s">
        <v>397</v>
      </c>
    </row>
    <row r="3623" customFormat="false" ht="15" hidden="false" customHeight="true" outlineLevel="0" collapsed="false">
      <c r="A3623" s="12" t="n">
        <v>22241</v>
      </c>
      <c r="B3623" s="13" t="s">
        <v>14755</v>
      </c>
      <c r="C3623" s="16" t="n">
        <v>46150</v>
      </c>
      <c r="D3623" s="13" t="s">
        <v>11257</v>
      </c>
      <c r="E3623" s="15" t="s">
        <v>7556</v>
      </c>
      <c r="F3623" s="24" t="s">
        <v>14756</v>
      </c>
      <c r="G3623" s="15" t="s">
        <v>57</v>
      </c>
      <c r="H3623" s="13" t="s">
        <v>35</v>
      </c>
      <c r="I3623" s="13" t="str">
        <f aca="false">IF(C3623=J3623,"NEW KONTRAK","RE-KONTRAK")</f>
        <v>NEW KONTRAK</v>
      </c>
      <c r="J3623" s="16" t="n">
        <f aca="false" t="array" ref="J3623:J3623">IFERROR(INDEX(AC3623:AE3623,IF(COUNTA(AC3623:AE3623)=0,"",MAX((AC3623:AE3623&lt;&gt;"")*(COLUMN(AC3623:AE3623)-(COLUMN(AC3623)))))-1),"")</f>
        <v>46150</v>
      </c>
      <c r="K3623" s="16" t="n">
        <f aca="false" t="array" ref="K3623:K3623">IFERROR(INDEX(AC3623:AE3623,IF(COUNTA(AC3623:AE3623)=0,"",MAX((AC3623:AE3623&lt;&gt;"")*(COLUMN(AC3623:AE3623)-(COLUMN(AC3623)-1))))-1),"")</f>
        <v>46241</v>
      </c>
      <c r="L3623" s="17" t="str">
        <f aca="false" t="array" ref="L3623:L3623">IFERROR(INDEX(AC3623:AE3623,IF(COUNTA(AC3623:AE3623)=0,"",MAX((AC3623:AE3623&lt;&gt;"")*(COLUMN(AC3623:AE3623)-(COLUMN(AC3623)-2))))-1),"")</f>
        <v>KEMBALI</v>
      </c>
      <c r="M3623" s="13" t="n">
        <f aca="true">K3623-TODAY()</f>
        <v>-83</v>
      </c>
      <c r="N3623" s="18" t="s">
        <v>728</v>
      </c>
      <c r="O3623" s="19" t="s">
        <v>3271</v>
      </c>
      <c r="P3623" s="27" t="n">
        <v>211551</v>
      </c>
      <c r="Q3623" s="20" t="s">
        <v>14757</v>
      </c>
      <c r="R3623" s="13" t="s">
        <v>52</v>
      </c>
      <c r="S3623" s="14" t="n">
        <v>31471</v>
      </c>
      <c r="T3623" s="28" t="s">
        <v>40</v>
      </c>
      <c r="U3623" s="13" t="s">
        <v>14758</v>
      </c>
      <c r="V3623" s="13" t="s">
        <v>42</v>
      </c>
      <c r="W3623" s="13" t="s">
        <v>54</v>
      </c>
      <c r="X3623" s="30" t="n">
        <v>81101197218</v>
      </c>
      <c r="Y3623" s="22" t="str">
        <f aca="false">O3623</f>
        <v>Helper</v>
      </c>
      <c r="Z3623" s="13" t="str">
        <f aca="false">IFERROR(__xludf.dummyfunction("if(BJ3623="""","""",GOOGLETRANSLATE(BJ3623,""auto"",""en""))"),"Helper")</f>
        <v>Helper</v>
      </c>
      <c r="AA3623" s="23" t="str">
        <f aca="false">IF(C3623="","", CHOOSE(MONTH(C3623),"January","February","March","April","May","June","July","August","September","October","November","December")&amp;" "&amp;DAY(C3623)&amp;MID("thstndrdth",MIN(9,2*RIGHT(DAY(C3623))*(MOD(DAY(C3623)-11,100)&gt;2)+1),2)&amp;","&amp;TEXT(C3623," yyyy"))</f>
        <v>May 8th,2026</v>
      </c>
      <c r="AB3623" s="15" t="str">
        <f aca="true">IF(S3623="","",DATEDIF(S3623,TODAY(),"Y")&amp;" Tahun, "&amp;DATEDIF(S3623,TODAY(),"YM")&amp;" Bulan, "&amp;DATEDIF(S3623,TODAY(),"MD")&amp;" Hari")</f>
        <v>40 Tahun, 8 Bulan, 1 Hari</v>
      </c>
      <c r="AC3623" s="14" t="n">
        <f aca="false">C3623</f>
        <v>46150</v>
      </c>
      <c r="AD3623" s="18" t="n">
        <v>46241</v>
      </c>
      <c r="AE3623" s="13" t="s">
        <v>397</v>
      </c>
    </row>
    <row r="3624" customFormat="false" ht="15" hidden="false" customHeight="true" outlineLevel="0" collapsed="false">
      <c r="A3624" s="12" t="n">
        <v>22242</v>
      </c>
      <c r="B3624" s="13" t="s">
        <v>14759</v>
      </c>
      <c r="C3624" s="16" t="n">
        <v>46233</v>
      </c>
      <c r="D3624" s="13" t="s">
        <v>11257</v>
      </c>
      <c r="E3624" s="15" t="s">
        <v>102</v>
      </c>
      <c r="F3624" s="24" t="s">
        <v>14760</v>
      </c>
      <c r="G3624" s="15" t="s">
        <v>57</v>
      </c>
      <c r="H3624" s="13" t="s">
        <v>35</v>
      </c>
      <c r="I3624" s="13" t="str">
        <f aca="false">IF(C3624=J3624,"NEW KONTRAK","RE-KONTRAK")</f>
        <v>NEW KONTRAK</v>
      </c>
      <c r="J3624" s="16" t="n">
        <f aca="false" t="array" ref="J3624:J3624">IFERROR(INDEX(AC3624:AE3624,IF(COUNTA(AC3624:AE3624)=0,"",MAX((AC3624:AE3624&lt;&gt;"")*(COLUMN(AC3624:AE3624)-(COLUMN(AC3624)))))-1),"")</f>
        <v>46233</v>
      </c>
      <c r="K3624" s="16" t="n">
        <f aca="false" t="array" ref="K3624:K3624">IFERROR(INDEX(AC3624:AE3624,IF(COUNTA(AC3624:AE3624)=0,"",MAX((AC3624:AE3624&lt;&gt;"")*(COLUMN(AC3624:AE3624)-(COLUMN(AC3624)-1))))-1),"")</f>
        <v>46241</v>
      </c>
      <c r="L3624" s="17" t="str">
        <f aca="false" t="array" ref="L3624:L3624">IFERROR(INDEX(AC3624:AE3624,IF(COUNTA(AC3624:AE3624)=0,"",MAX((AC3624:AE3624&lt;&gt;"")*(COLUMN(AC3624:AE3624)-(COLUMN(AC3624)-2))))-1),"")</f>
        <v>KEMBALI</v>
      </c>
      <c r="M3624" s="13" t="n">
        <f aca="true">K3624-TODAY()</f>
        <v>-83</v>
      </c>
      <c r="N3624" s="18" t="s">
        <v>728</v>
      </c>
      <c r="O3624" s="19" t="s">
        <v>3271</v>
      </c>
      <c r="P3624" s="19" t="n">
        <v>211551</v>
      </c>
      <c r="Q3624" s="20" t="s">
        <v>14761</v>
      </c>
      <c r="R3624" s="13" t="s">
        <v>148</v>
      </c>
      <c r="S3624" s="14" t="n">
        <v>35488</v>
      </c>
      <c r="T3624" s="28" t="s">
        <v>40</v>
      </c>
      <c r="U3624" s="13" t="s">
        <v>14762</v>
      </c>
      <c r="V3624" s="13" t="s">
        <v>42</v>
      </c>
      <c r="W3624" s="13" t="s">
        <v>43</v>
      </c>
      <c r="X3624" s="30" t="n">
        <v>81314374470</v>
      </c>
      <c r="Y3624" s="22" t="str">
        <f aca="false">O3624</f>
        <v>Helper</v>
      </c>
      <c r="Z3624" s="13" t="str">
        <f aca="false">IFERROR(__xludf.dummyfunction("if(BJ3624="""","""",GOOGLETRANSLATE(BJ3624,""auto"",""en""))"),"Helper")</f>
        <v>Helper</v>
      </c>
      <c r="AA3624" s="23" t="str">
        <f aca="false">IF(C3624="","", CHOOSE(MONTH(C3624),"January","February","March","April","May","June","July","August","September","October","November","December")&amp;" "&amp;DAY(C3624)&amp;MID("thstndrdth",MIN(9,2*RIGHT(DAY(C3624))*(MOD(DAY(C3624)-11,100)&gt;2)+1),2)&amp;","&amp;TEXT(C3624," yyyy"))</f>
        <v>July 30th,2026</v>
      </c>
      <c r="AB3624" s="15" t="str">
        <f aca="true">IF(S3624="","",DATEDIF(S3624,TODAY(),"Y")&amp;" Tahun, "&amp;DATEDIF(S3624,TODAY(),"YM")&amp;" Bulan, "&amp;DATEDIF(S3624,TODAY(),"MD")&amp;" Hari")</f>
        <v>29 Tahun, 8 Bulan, 2 Hari</v>
      </c>
      <c r="AC3624" s="14" t="n">
        <f aca="false">C3624</f>
        <v>46233</v>
      </c>
      <c r="AD3624" s="18" t="n">
        <v>46241</v>
      </c>
      <c r="AE3624" s="13" t="s">
        <v>397</v>
      </c>
    </row>
    <row r="3625" customFormat="false" ht="15" hidden="false" customHeight="true" outlineLevel="0" collapsed="false">
      <c r="A3625" s="12" t="n">
        <v>22243</v>
      </c>
      <c r="B3625" s="13" t="s">
        <v>14763</v>
      </c>
      <c r="C3625" s="16" t="n">
        <v>46233</v>
      </c>
      <c r="D3625" s="13" t="s">
        <v>11257</v>
      </c>
      <c r="E3625" s="15" t="s">
        <v>102</v>
      </c>
      <c r="F3625" s="24" t="s">
        <v>14764</v>
      </c>
      <c r="G3625" s="15" t="s">
        <v>57</v>
      </c>
      <c r="H3625" s="13" t="s">
        <v>35</v>
      </c>
      <c r="I3625" s="13" t="str">
        <f aca="false">IF(C3625=J3625,"NEW KONTRAK","RE-KONTRAK")</f>
        <v>NEW KONTRAK</v>
      </c>
      <c r="J3625" s="16" t="n">
        <f aca="false" t="array" ref="J3625:J3625">IFERROR(INDEX(AC3625:AE3625,IF(COUNTA(AC3625:AE3625)=0,"",MAX((AC3625:AE3625&lt;&gt;"")*(COLUMN(AC3625:AE3625)-(COLUMN(AC3625)))))-1),"")</f>
        <v>46233</v>
      </c>
      <c r="K3625" s="16" t="n">
        <f aca="false" t="array" ref="K3625:K3625">IFERROR(INDEX(AC3625:AE3625,IF(COUNTA(AC3625:AE3625)=0,"",MAX((AC3625:AE3625&lt;&gt;"")*(COLUMN(AC3625:AE3625)-(COLUMN(AC3625)-1))))-1),"")</f>
        <v>46241</v>
      </c>
      <c r="L3625" s="17" t="str">
        <f aca="false" t="array" ref="L3625:L3625">IFERROR(INDEX(AC3625:AE3625,IF(COUNTA(AC3625:AE3625)=0,"",MAX((AC3625:AE3625&lt;&gt;"")*(COLUMN(AC3625:AE3625)-(COLUMN(AC3625)-2))))-1),"")</f>
        <v>KEMBALI</v>
      </c>
      <c r="M3625" s="13" t="n">
        <f aca="true">K3625-TODAY()</f>
        <v>-83</v>
      </c>
      <c r="N3625" s="18" t="s">
        <v>728</v>
      </c>
      <c r="O3625" s="19" t="s">
        <v>3271</v>
      </c>
      <c r="P3625" s="19" t="n">
        <v>211551</v>
      </c>
      <c r="Q3625" s="20" t="s">
        <v>14765</v>
      </c>
      <c r="R3625" s="13" t="s">
        <v>4500</v>
      </c>
      <c r="S3625" s="14" t="n">
        <v>38160</v>
      </c>
      <c r="T3625" s="28" t="s">
        <v>40</v>
      </c>
      <c r="U3625" s="67" t="s">
        <v>14766</v>
      </c>
      <c r="V3625" s="13" t="s">
        <v>42</v>
      </c>
      <c r="W3625" s="13" t="s">
        <v>43</v>
      </c>
      <c r="X3625" s="30" t="n">
        <v>82120455611</v>
      </c>
      <c r="Y3625" s="22" t="str">
        <f aca="false">O3625</f>
        <v>Helper</v>
      </c>
      <c r="Z3625" s="13" t="str">
        <f aca="false">IFERROR(__xludf.dummyfunction("if(BJ3625="""","""",GOOGLETRANSLATE(BJ3625,""auto"",""en""))"),"Helper")</f>
        <v>Helper</v>
      </c>
      <c r="AA3625" s="23" t="str">
        <f aca="false">IF(C3625="","", CHOOSE(MONTH(C3625),"January","February","March","April","May","June","July","August","September","October","November","December")&amp;" "&amp;DAY(C3625)&amp;MID("thstndrdth",MIN(9,2*RIGHT(DAY(C3625))*(MOD(DAY(C3625)-11,100)&gt;2)+1),2)&amp;","&amp;TEXT(C3625," yyyy"))</f>
        <v>July 30th,2026</v>
      </c>
      <c r="AB3625" s="15" t="str">
        <f aca="true">IF(S3625="","",DATEDIF(S3625,TODAY(),"Y")&amp;" Tahun, "&amp;DATEDIF(S3625,TODAY(),"YM")&amp;" Bulan, "&amp;DATEDIF(S3625,TODAY(),"MD")&amp;" Hari")</f>
        <v>22 Tahun, 4 Bulan, 7 Hari</v>
      </c>
      <c r="AC3625" s="14" t="n">
        <f aca="false">C3625</f>
        <v>46233</v>
      </c>
      <c r="AD3625" s="18" t="n">
        <v>46241</v>
      </c>
      <c r="AE3625" s="13" t="s">
        <v>397</v>
      </c>
    </row>
    <row r="3626" customFormat="false" ht="15" hidden="false" customHeight="true" outlineLevel="0" collapsed="false">
      <c r="A3626" s="12" t="n">
        <v>22244</v>
      </c>
      <c r="B3626" s="13" t="s">
        <v>14767</v>
      </c>
      <c r="C3626" s="16" t="n">
        <v>46150</v>
      </c>
      <c r="D3626" s="13" t="s">
        <v>11257</v>
      </c>
      <c r="E3626" s="15" t="s">
        <v>7556</v>
      </c>
      <c r="F3626" s="24" t="s">
        <v>14768</v>
      </c>
      <c r="G3626" s="15" t="s">
        <v>57</v>
      </c>
      <c r="H3626" s="13" t="s">
        <v>35</v>
      </c>
      <c r="I3626" s="13" t="str">
        <f aca="false">IF(C3626=J3626,"NEW KONTRAK","RE-KONTRAK")</f>
        <v>NEW KONTRAK</v>
      </c>
      <c r="J3626" s="16" t="n">
        <f aca="false" t="array" ref="J3626:J3626">IFERROR(INDEX(AC3626:AE3626,IF(COUNTA(AC3626:AE3626)=0,"",MAX((AC3626:AE3626&lt;&gt;"")*(COLUMN(AC3626:AE3626)-(COLUMN(AC3626)))))-1),"")</f>
        <v>46150</v>
      </c>
      <c r="K3626" s="16" t="n">
        <f aca="false" t="array" ref="K3626:K3626">IFERROR(INDEX(AC3626:AE3626,IF(COUNTA(AC3626:AE3626)=0,"",MAX((AC3626:AE3626&lt;&gt;"")*(COLUMN(AC3626:AE3626)-(COLUMN(AC3626)-1))))-1),"")</f>
        <v>46241</v>
      </c>
      <c r="L3626" s="17" t="str">
        <f aca="false" t="array" ref="L3626:L3626">IFERROR(INDEX(AC3626:AE3626,IF(COUNTA(AC3626:AE3626)=0,"",MAX((AC3626:AE3626&lt;&gt;"")*(COLUMN(AC3626:AE3626)-(COLUMN(AC3626)-2))))-1),"")</f>
        <v>KEMBALI</v>
      </c>
      <c r="M3626" s="13" t="n">
        <f aca="true">K3626-TODAY()</f>
        <v>-83</v>
      </c>
      <c r="N3626" s="18" t="s">
        <v>728</v>
      </c>
      <c r="O3626" s="19" t="s">
        <v>3271</v>
      </c>
      <c r="P3626" s="27" t="n">
        <v>211551</v>
      </c>
      <c r="Q3626" s="20" t="s">
        <v>14769</v>
      </c>
      <c r="R3626" s="13" t="s">
        <v>52</v>
      </c>
      <c r="S3626" s="14" t="n">
        <v>36281</v>
      </c>
      <c r="T3626" s="28" t="s">
        <v>40</v>
      </c>
      <c r="U3626" s="13" t="s">
        <v>14770</v>
      </c>
      <c r="V3626" s="13" t="s">
        <v>42</v>
      </c>
      <c r="W3626" s="13" t="s">
        <v>43</v>
      </c>
      <c r="X3626" s="30" t="n">
        <v>81202255794</v>
      </c>
      <c r="Y3626" s="22" t="str">
        <f aca="false">O3626</f>
        <v>Helper</v>
      </c>
      <c r="Z3626" s="13" t="str">
        <f aca="false">IFERROR(__xludf.dummyfunction("if(BJ3626="""","""",GOOGLETRANSLATE(BJ3626,""auto"",""en""))"),"Helper")</f>
        <v>Helper</v>
      </c>
      <c r="AA3626" s="23" t="str">
        <f aca="false">IF(C3626="","", CHOOSE(MONTH(C3626),"January","February","March","April","May","June","July","August","September","October","November","December")&amp;" "&amp;DAY(C3626)&amp;MID("thstndrdth",MIN(9,2*RIGHT(DAY(C3626))*(MOD(DAY(C3626)-11,100)&gt;2)+1),2)&amp;","&amp;TEXT(C3626," yyyy"))</f>
        <v>May 8th,2026</v>
      </c>
      <c r="AB3626" s="15" t="str">
        <f aca="true">IF(S3626="","",DATEDIF(S3626,TODAY(),"Y")&amp;" Tahun, "&amp;DATEDIF(S3626,TODAY(),"YM")&amp;" Bulan, "&amp;DATEDIF(S3626,TODAY(),"MD")&amp;" Hari")</f>
        <v>27 Tahun, 5 Bulan, 28 Hari</v>
      </c>
      <c r="AC3626" s="14" t="n">
        <f aca="false">C3626</f>
        <v>46150</v>
      </c>
      <c r="AD3626" s="18" t="n">
        <v>46241</v>
      </c>
      <c r="AE3626" s="13" t="s">
        <v>397</v>
      </c>
    </row>
    <row r="3627" customFormat="false" ht="15" hidden="false" customHeight="true" outlineLevel="0" collapsed="false">
      <c r="A3627" s="12" t="n">
        <v>22245</v>
      </c>
      <c r="B3627" s="13" t="s">
        <v>10359</v>
      </c>
      <c r="C3627" s="16" t="n">
        <v>46150</v>
      </c>
      <c r="D3627" s="13" t="s">
        <v>14771</v>
      </c>
      <c r="E3627" s="15" t="s">
        <v>7556</v>
      </c>
      <c r="F3627" s="24" t="s">
        <v>14772</v>
      </c>
      <c r="G3627" s="24" t="s">
        <v>57</v>
      </c>
      <c r="H3627" s="13" t="s">
        <v>35</v>
      </c>
      <c r="I3627" s="13" t="str">
        <f aca="false">IF(C3627=J3627,"NEW KONTRAK","RE-KONTRAK")</f>
        <v>NEW KONTRAK</v>
      </c>
      <c r="J3627" s="16" t="n">
        <f aca="false" t="array" ref="J3627:J3627">IFERROR(INDEX(AC3627:AE3627,IF(COUNTA(AC3627:AE3627)=0,"",MAX((AC3627:AE3627&lt;&gt;"")*(COLUMN(AC3627:AE3627)-(COLUMN(AC3627)))))-1),"")</f>
        <v>46150</v>
      </c>
      <c r="K3627" s="16" t="n">
        <f aca="false" t="array" ref="K3627:K3627">IFERROR(INDEX(AC3627:AE3627,IF(COUNTA(AC3627:AE3627)=0,"",MAX((AC3627:AE3627&lt;&gt;"")*(COLUMN(AC3627:AE3627)-(COLUMN(AC3627)-1))))-1),"")</f>
        <v>46333</v>
      </c>
      <c r="L3627" s="17" t="str">
        <f aca="false" t="array" ref="L3627:L3627">IFERROR(INDEX(AC3627:AE3627,IF(COUNTA(AC3627:AE3627)=0,"",MAX((AC3627:AE3627&lt;&gt;"")*(COLUMN(AC3627:AE3627)-(COLUMN(AC3627)-2))))-1),"")</f>
        <v>KEMBALI</v>
      </c>
      <c r="M3627" s="13" t="n">
        <f aca="true">K3627-TODAY()</f>
        <v>9</v>
      </c>
      <c r="N3627" s="18" t="s">
        <v>36</v>
      </c>
      <c r="O3627" s="13" t="s">
        <v>58</v>
      </c>
      <c r="P3627" s="19" t="n">
        <f aca="false">80%*5195401</f>
        <v>4156320.8</v>
      </c>
      <c r="Q3627" s="20" t="s">
        <v>14773</v>
      </c>
      <c r="R3627" s="15" t="s">
        <v>65</v>
      </c>
      <c r="S3627" s="119" t="n">
        <v>36706</v>
      </c>
      <c r="T3627" s="12" t="s">
        <v>40</v>
      </c>
      <c r="U3627" s="15" t="s">
        <v>14774</v>
      </c>
      <c r="V3627" s="12" t="s">
        <v>42</v>
      </c>
      <c r="W3627" s="12" t="s">
        <v>43</v>
      </c>
      <c r="X3627" s="30" t="n">
        <v>81355216674</v>
      </c>
      <c r="Y3627" s="22" t="str">
        <f aca="false">O3627</f>
        <v>Produksi</v>
      </c>
      <c r="Z3627" s="13" t="str">
        <f aca="false">IFERROR(__xludf.dummyfunction("if(BJ3627="""","""",GOOGLETRANSLATE(BJ3627,""auto"",""en""))"),"Production")</f>
        <v>Production</v>
      </c>
      <c r="AA3627" s="23" t="str">
        <f aca="false">IF(C3627="","", CHOOSE(MONTH(C3627),"January","February","March","April","May","June","July","August","September","October","November","December")&amp;" "&amp;DAY(C3627)&amp;MID("thstndrdth",MIN(9,2*RIGHT(DAY(C3627))*(MOD(DAY(C3627)-11,100)&gt;2)+1),2)&amp;","&amp;TEXT(C3627," yyyy"))</f>
        <v>May 8th,2026</v>
      </c>
      <c r="AB3627" s="15" t="str">
        <f aca="true">IF(S3627="","",DATEDIF(S3627,TODAY(),"Y")&amp;" Tahun, "&amp;DATEDIF(S3627,TODAY(),"YM")&amp;" Bulan, "&amp;DATEDIF(S3627,TODAY(),"MD")&amp;" Hari")</f>
        <v>26 Tahun, 4 Bulan, 0 Hari</v>
      </c>
      <c r="AC3627" s="14" t="n">
        <v>46150</v>
      </c>
      <c r="AD3627" s="18" t="n">
        <f aca="false">EDATE(AC3627,6)-1</f>
        <v>46333</v>
      </c>
      <c r="AE3627" s="13" t="s">
        <v>397</v>
      </c>
    </row>
    <row r="3628" customFormat="false" ht="15" hidden="false" customHeight="true" outlineLevel="0" collapsed="false">
      <c r="A3628" s="12" t="n">
        <v>22246</v>
      </c>
      <c r="B3628" s="13" t="s">
        <v>14775</v>
      </c>
      <c r="C3628" s="16" t="n">
        <v>46150</v>
      </c>
      <c r="D3628" s="13" t="s">
        <v>14771</v>
      </c>
      <c r="E3628" s="15" t="s">
        <v>7556</v>
      </c>
      <c r="F3628" s="24" t="s">
        <v>14776</v>
      </c>
      <c r="G3628" s="24" t="s">
        <v>57</v>
      </c>
      <c r="H3628" s="13" t="s">
        <v>35</v>
      </c>
      <c r="I3628" s="13" t="str">
        <f aca="false">IF(C3628=J3628,"NEW KONTRAK","RE-KONTRAK")</f>
        <v>NEW KONTRAK</v>
      </c>
      <c r="J3628" s="16" t="n">
        <f aca="false" t="array" ref="J3628:J3628">IFERROR(INDEX(AC3628:AE3628,IF(COUNTA(AC3628:AE3628)=0,"",MAX((AC3628:AE3628&lt;&gt;"")*(COLUMN(AC3628:AE3628)-(COLUMN(AC3628)))))-1),"")</f>
        <v>46150</v>
      </c>
      <c r="K3628" s="16" t="n">
        <f aca="false" t="array" ref="K3628:K3628">IFERROR(INDEX(AC3628:AE3628,IF(COUNTA(AC3628:AE3628)=0,"",MAX((AC3628:AE3628&lt;&gt;"")*(COLUMN(AC3628:AE3628)-(COLUMN(AC3628)-1))))-1),"")</f>
        <v>46333</v>
      </c>
      <c r="L3628" s="17" t="str">
        <f aca="false" t="array" ref="L3628:L3628">IFERROR(INDEX(AC3628:AE3628,IF(COUNTA(AC3628:AE3628)=0,"",MAX((AC3628:AE3628&lt;&gt;"")*(COLUMN(AC3628:AE3628)-(COLUMN(AC3628)-2))))-1),"")</f>
        <v>KEMBALI</v>
      </c>
      <c r="M3628" s="13" t="n">
        <f aca="true">K3628-TODAY()</f>
        <v>9</v>
      </c>
      <c r="N3628" s="18" t="s">
        <v>36</v>
      </c>
      <c r="O3628" s="13" t="s">
        <v>58</v>
      </c>
      <c r="P3628" s="19" t="n">
        <f aca="false">80%*5195401</f>
        <v>4156320.8</v>
      </c>
      <c r="Q3628" s="20" t="s">
        <v>14777</v>
      </c>
      <c r="R3628" s="15" t="s">
        <v>65</v>
      </c>
      <c r="S3628" s="119" t="n">
        <v>36916</v>
      </c>
      <c r="T3628" s="12" t="s">
        <v>40</v>
      </c>
      <c r="U3628" s="15" t="s">
        <v>14778</v>
      </c>
      <c r="V3628" s="12" t="s">
        <v>42</v>
      </c>
      <c r="W3628" s="12" t="s">
        <v>43</v>
      </c>
      <c r="X3628" s="30" t="n">
        <v>89576212021</v>
      </c>
      <c r="Y3628" s="22" t="str">
        <f aca="false">O3628</f>
        <v>Produksi</v>
      </c>
      <c r="Z3628" s="13" t="str">
        <f aca="false">IFERROR(__xludf.dummyfunction("if(BJ3628="""","""",GOOGLETRANSLATE(BJ3628,""auto"",""en""))"),"Production")</f>
        <v>Production</v>
      </c>
      <c r="AA3628" s="23" t="str">
        <f aca="false">IF(C3628="","", CHOOSE(MONTH(C3628),"January","February","March","April","May","June","July","August","September","October","November","December")&amp;" "&amp;DAY(C3628)&amp;MID("thstndrdth",MIN(9,2*RIGHT(DAY(C3628))*(MOD(DAY(C3628)-11,100)&gt;2)+1),2)&amp;","&amp;TEXT(C3628," yyyy"))</f>
        <v>May 8th,2026</v>
      </c>
      <c r="AB3628" s="15" t="str">
        <f aca="true">IF(S3628="","",DATEDIF(S3628,TODAY(),"Y")&amp;" Tahun, "&amp;DATEDIF(S3628,TODAY(),"YM")&amp;" Bulan, "&amp;DATEDIF(S3628,TODAY(),"MD")&amp;" Hari")</f>
        <v>25 Tahun, 9 Bulan, 4 Hari</v>
      </c>
      <c r="AC3628" s="14" t="n">
        <v>46150</v>
      </c>
      <c r="AD3628" s="18" t="n">
        <f aca="false">EDATE(AC3628,6)-1</f>
        <v>46333</v>
      </c>
      <c r="AE3628" s="13" t="s">
        <v>397</v>
      </c>
    </row>
    <row r="3629" customFormat="false" ht="15" hidden="false" customHeight="true" outlineLevel="0" collapsed="false">
      <c r="A3629" s="12" t="n">
        <v>22247</v>
      </c>
      <c r="B3629" s="13" t="s">
        <v>14779</v>
      </c>
      <c r="C3629" s="16" t="n">
        <v>46150</v>
      </c>
      <c r="D3629" s="13" t="s">
        <v>14771</v>
      </c>
      <c r="E3629" s="15" t="s">
        <v>102</v>
      </c>
      <c r="F3629" s="24" t="s">
        <v>14780</v>
      </c>
      <c r="G3629" s="24" t="s">
        <v>57</v>
      </c>
      <c r="H3629" s="13" t="s">
        <v>35</v>
      </c>
      <c r="I3629" s="13" t="str">
        <f aca="false">IF(C3629=J3629,"NEW KONTRAK","RE-KONTRAK")</f>
        <v>NEW KONTRAK</v>
      </c>
      <c r="J3629" s="16" t="n">
        <f aca="false" t="array" ref="J3629:J3629">IFERROR(INDEX(AC3629:AE3629,IF(COUNTA(AC3629:AE3629)=0,"",MAX((AC3629:AE3629&lt;&gt;"")*(COLUMN(AC3629:AE3629)-(COLUMN(AC3629)))))-1),"")</f>
        <v>46150</v>
      </c>
      <c r="K3629" s="16" t="n">
        <f aca="false" t="array" ref="K3629:K3629">IFERROR(INDEX(AC3629:AE3629,IF(COUNTA(AC3629:AE3629)=0,"",MAX((AC3629:AE3629&lt;&gt;"")*(COLUMN(AC3629:AE3629)-(COLUMN(AC3629)-1))))-1),"")</f>
        <v>46333</v>
      </c>
      <c r="L3629" s="17" t="str">
        <f aca="false" t="array" ref="L3629:L3629">IFERROR(INDEX(AC3629:AE3629,IF(COUNTA(AC3629:AE3629)=0,"",MAX((AC3629:AE3629&lt;&gt;"")*(COLUMN(AC3629:AE3629)-(COLUMN(AC3629)-2))))-1),"")</f>
        <v>KEMBALI</v>
      </c>
      <c r="M3629" s="13" t="n">
        <f aca="true">K3629-TODAY()</f>
        <v>9</v>
      </c>
      <c r="N3629" s="18" t="s">
        <v>36</v>
      </c>
      <c r="O3629" s="13" t="s">
        <v>58</v>
      </c>
      <c r="P3629" s="19" t="n">
        <f aca="false">80%*5195401</f>
        <v>4156320.8</v>
      </c>
      <c r="Q3629" s="20" t="s">
        <v>14781</v>
      </c>
      <c r="R3629" s="15" t="s">
        <v>65</v>
      </c>
      <c r="S3629" s="119" t="n">
        <v>37204</v>
      </c>
      <c r="T3629" s="12" t="s">
        <v>40</v>
      </c>
      <c r="U3629" s="15" t="s">
        <v>14782</v>
      </c>
      <c r="V3629" s="12" t="s">
        <v>42</v>
      </c>
      <c r="W3629" s="12" t="s">
        <v>43</v>
      </c>
      <c r="X3629" s="30" t="n">
        <v>89697972965</v>
      </c>
      <c r="Y3629" s="22" t="str">
        <f aca="false">O3629</f>
        <v>Produksi</v>
      </c>
      <c r="Z3629" s="13" t="str">
        <f aca="false">IFERROR(__xludf.dummyfunction("if(BJ3629="""","""",GOOGLETRANSLATE(BJ3629,""auto"",""en""))"),"Production")</f>
        <v>Production</v>
      </c>
      <c r="AA3629" s="23" t="str">
        <f aca="false">IF(C3629="","", CHOOSE(MONTH(C3629),"January","February","March","April","May","June","July","August","September","October","November","December")&amp;" "&amp;DAY(C3629)&amp;MID("thstndrdth",MIN(9,2*RIGHT(DAY(C3629))*(MOD(DAY(C3629)-11,100)&gt;2)+1),2)&amp;","&amp;TEXT(C3629," yyyy"))</f>
        <v>May 8th,2026</v>
      </c>
      <c r="AB3629" s="15" t="str">
        <f aca="true">IF(S3629="","",DATEDIF(S3629,TODAY(),"Y")&amp;" Tahun, "&amp;DATEDIF(S3629,TODAY(),"YM")&amp;" Bulan, "&amp;DATEDIF(S3629,TODAY(),"MD")&amp;" Hari")</f>
        <v>24 Tahun, 11 Bulan, 20 Hari</v>
      </c>
      <c r="AC3629" s="14" t="n">
        <v>46150</v>
      </c>
      <c r="AD3629" s="18" t="n">
        <f aca="false">EDATE(AC3629,6)-1</f>
        <v>46333</v>
      </c>
      <c r="AE3629" s="13" t="s">
        <v>397</v>
      </c>
    </row>
    <row r="3630" customFormat="false" ht="15" hidden="false" customHeight="true" outlineLevel="0" collapsed="false">
      <c r="A3630" s="12" t="n">
        <v>22248</v>
      </c>
      <c r="B3630" s="13" t="s">
        <v>14783</v>
      </c>
      <c r="C3630" s="16" t="n">
        <v>46150</v>
      </c>
      <c r="D3630" s="13" t="s">
        <v>14771</v>
      </c>
      <c r="E3630" s="15" t="s">
        <v>7556</v>
      </c>
      <c r="F3630" s="24" t="s">
        <v>14784</v>
      </c>
      <c r="G3630" s="24" t="s">
        <v>57</v>
      </c>
      <c r="H3630" s="13" t="s">
        <v>35</v>
      </c>
      <c r="I3630" s="13" t="str">
        <f aca="false">IF(C3630=J3630,"NEW KONTRAK","RE-KONTRAK")</f>
        <v>NEW KONTRAK</v>
      </c>
      <c r="J3630" s="16" t="n">
        <f aca="false" t="array" ref="J3630:J3630">IFERROR(INDEX(AC3630:AE3630,IF(COUNTA(AC3630:AE3630)=0,"",MAX((AC3630:AE3630&lt;&gt;"")*(COLUMN(AC3630:AE3630)-(COLUMN(AC3630)))))-1),"")</f>
        <v>46150</v>
      </c>
      <c r="K3630" s="16" t="n">
        <f aca="false" t="array" ref="K3630:K3630">IFERROR(INDEX(AC3630:AE3630,IF(COUNTA(AC3630:AE3630)=0,"",MAX((AC3630:AE3630&lt;&gt;"")*(COLUMN(AC3630:AE3630)-(COLUMN(AC3630)-1))))-1),"")</f>
        <v>46333</v>
      </c>
      <c r="L3630" s="17" t="str">
        <f aca="false" t="array" ref="L3630:L3630">IFERROR(INDEX(AC3630:AE3630,IF(COUNTA(AC3630:AE3630)=0,"",MAX((AC3630:AE3630&lt;&gt;"")*(COLUMN(AC3630:AE3630)-(COLUMN(AC3630)-2))))-1),"")</f>
        <v>KEMBALI</v>
      </c>
      <c r="M3630" s="13" t="n">
        <f aca="true">K3630-TODAY()</f>
        <v>9</v>
      </c>
      <c r="N3630" s="18" t="s">
        <v>36</v>
      </c>
      <c r="O3630" s="13" t="s">
        <v>58</v>
      </c>
      <c r="P3630" s="19" t="n">
        <f aca="false">80%*5195401</f>
        <v>4156320.8</v>
      </c>
      <c r="Q3630" s="20" t="s">
        <v>14785</v>
      </c>
      <c r="R3630" s="15" t="s">
        <v>65</v>
      </c>
      <c r="S3630" s="119" t="n">
        <v>29929</v>
      </c>
      <c r="T3630" s="12" t="s">
        <v>40</v>
      </c>
      <c r="U3630" s="15" t="s">
        <v>14786</v>
      </c>
      <c r="V3630" s="12" t="s">
        <v>42</v>
      </c>
      <c r="W3630" s="12" t="s">
        <v>54</v>
      </c>
      <c r="X3630" s="30" t="n">
        <v>81127716701</v>
      </c>
      <c r="Y3630" s="22" t="str">
        <f aca="false">O3630</f>
        <v>Produksi</v>
      </c>
      <c r="Z3630" s="13" t="str">
        <f aca="false">IFERROR(__xludf.dummyfunction("if(BJ3630="""","""",GOOGLETRANSLATE(BJ3630,""auto"",""en""))"),"Production")</f>
        <v>Production</v>
      </c>
      <c r="AA3630" s="23" t="str">
        <f aca="false">IF(C3630="","", CHOOSE(MONTH(C3630),"January","February","March","April","May","June","July","August","September","October","November","December")&amp;" "&amp;DAY(C3630)&amp;MID("thstndrdth",MIN(9,2*RIGHT(DAY(C3630))*(MOD(DAY(C3630)-11,100)&gt;2)+1),2)&amp;","&amp;TEXT(C3630," yyyy"))</f>
        <v>May 8th,2026</v>
      </c>
      <c r="AB3630" s="15" t="str">
        <f aca="true">IF(S3630="","",DATEDIF(S3630,TODAY(),"Y")&amp;" Tahun, "&amp;DATEDIF(S3630,TODAY(),"YM")&amp;" Bulan, "&amp;DATEDIF(S3630,TODAY(),"MD")&amp;" Hari")</f>
        <v>44 Tahun, 10 Bulan, 20 Hari</v>
      </c>
      <c r="AC3630" s="14" t="n">
        <v>46150</v>
      </c>
      <c r="AD3630" s="18" t="n">
        <f aca="false">EDATE(AC3630,6)-1</f>
        <v>46333</v>
      </c>
      <c r="AE3630" s="13" t="s">
        <v>397</v>
      </c>
    </row>
    <row r="3631" customFormat="false" ht="15" hidden="false" customHeight="true" outlineLevel="0" collapsed="false">
      <c r="A3631" s="12" t="n">
        <v>22249</v>
      </c>
      <c r="B3631" s="13" t="s">
        <v>14787</v>
      </c>
      <c r="C3631" s="16" t="n">
        <v>46150</v>
      </c>
      <c r="D3631" s="13" t="s">
        <v>14771</v>
      </c>
      <c r="E3631" s="15" t="s">
        <v>7556</v>
      </c>
      <c r="F3631" s="24" t="s">
        <v>14788</v>
      </c>
      <c r="G3631" s="24" t="s">
        <v>57</v>
      </c>
      <c r="H3631" s="13" t="s">
        <v>35</v>
      </c>
      <c r="I3631" s="13" t="str">
        <f aca="false">IF(C3631=J3631,"NEW KONTRAK","RE-KONTRAK")</f>
        <v>NEW KONTRAK</v>
      </c>
      <c r="J3631" s="16" t="n">
        <f aca="false" t="array" ref="J3631:J3631">IFERROR(INDEX(AC3631:AE3631,IF(COUNTA(AC3631:AE3631)=0,"",MAX((AC3631:AE3631&lt;&gt;"")*(COLUMN(AC3631:AE3631)-(COLUMN(AC3631)))))-1),"")</f>
        <v>46150</v>
      </c>
      <c r="K3631" s="16" t="n">
        <f aca="false" t="array" ref="K3631:K3631">IFERROR(INDEX(AC3631:AE3631,IF(COUNTA(AC3631:AE3631)=0,"",MAX((AC3631:AE3631&lt;&gt;"")*(COLUMN(AC3631:AE3631)-(COLUMN(AC3631)-1))))-1),"")</f>
        <v>46333</v>
      </c>
      <c r="L3631" s="17" t="str">
        <f aca="false" t="array" ref="L3631:L3631">IFERROR(INDEX(AC3631:AE3631,IF(COUNTA(AC3631:AE3631)=0,"",MAX((AC3631:AE3631&lt;&gt;"")*(COLUMN(AC3631:AE3631)-(COLUMN(AC3631)-2))))-1),"")</f>
        <v>KEMBALI</v>
      </c>
      <c r="M3631" s="13" t="n">
        <f aca="true">K3631-TODAY()</f>
        <v>9</v>
      </c>
      <c r="N3631" s="18" t="s">
        <v>36</v>
      </c>
      <c r="O3631" s="13" t="s">
        <v>58</v>
      </c>
      <c r="P3631" s="19" t="n">
        <f aca="false">80%*5195401</f>
        <v>4156320.8</v>
      </c>
      <c r="Q3631" s="20" t="s">
        <v>14789</v>
      </c>
      <c r="R3631" s="15" t="s">
        <v>65</v>
      </c>
      <c r="S3631" s="119" t="n">
        <v>37175</v>
      </c>
      <c r="T3631" s="12" t="s">
        <v>40</v>
      </c>
      <c r="U3631" s="15" t="s">
        <v>14790</v>
      </c>
      <c r="V3631" s="12" t="s">
        <v>42</v>
      </c>
      <c r="W3631" s="12" t="s">
        <v>43</v>
      </c>
      <c r="X3631" s="30" t="n">
        <v>85350899358</v>
      </c>
      <c r="Y3631" s="22" t="str">
        <f aca="false">O3631</f>
        <v>Produksi</v>
      </c>
      <c r="Z3631" s="13" t="str">
        <f aca="false">IFERROR(__xludf.dummyfunction("if(BJ3631="""","""",GOOGLETRANSLATE(BJ3631,""auto"",""en""))"),"Production")</f>
        <v>Production</v>
      </c>
      <c r="AA3631" s="23" t="str">
        <f aca="false">IF(C3631="","", CHOOSE(MONTH(C3631),"January","February","March","April","May","June","July","August","September","October","November","December")&amp;" "&amp;DAY(C3631)&amp;MID("thstndrdth",MIN(9,2*RIGHT(DAY(C3631))*(MOD(DAY(C3631)-11,100)&gt;2)+1),2)&amp;","&amp;TEXT(C3631," yyyy"))</f>
        <v>May 8th,2026</v>
      </c>
      <c r="AB3631" s="15" t="str">
        <f aca="true">IF(S3631="","",DATEDIF(S3631,TODAY(),"Y")&amp;" Tahun, "&amp;DATEDIF(S3631,TODAY(),"YM")&amp;" Bulan, "&amp;DATEDIF(S3631,TODAY(),"MD")&amp;" Hari")</f>
        <v>25 Tahun, 0 Bulan, 18 Hari</v>
      </c>
      <c r="AC3631" s="14" t="n">
        <v>46150</v>
      </c>
      <c r="AD3631" s="18" t="n">
        <f aca="false">EDATE(AC3631,6)-1</f>
        <v>46333</v>
      </c>
      <c r="AE3631" s="13" t="s">
        <v>397</v>
      </c>
    </row>
    <row r="3632" customFormat="false" ht="15" hidden="false" customHeight="true" outlineLevel="0" collapsed="false">
      <c r="A3632" s="12" t="n">
        <v>22250</v>
      </c>
      <c r="B3632" s="13" t="s">
        <v>14791</v>
      </c>
      <c r="C3632" s="16" t="n">
        <v>46150</v>
      </c>
      <c r="D3632" s="13" t="s">
        <v>14771</v>
      </c>
      <c r="E3632" s="15" t="s">
        <v>7556</v>
      </c>
      <c r="F3632" s="24" t="s">
        <v>14792</v>
      </c>
      <c r="G3632" s="24" t="s">
        <v>57</v>
      </c>
      <c r="H3632" s="13" t="s">
        <v>35</v>
      </c>
      <c r="I3632" s="13" t="str">
        <f aca="false">IF(C3632=J3632,"NEW KONTRAK","RE-KONTRAK")</f>
        <v>NEW KONTRAK</v>
      </c>
      <c r="J3632" s="16" t="n">
        <f aca="false" t="array" ref="J3632:J3632">IFERROR(INDEX(AC3632:AE3632,IF(COUNTA(AC3632:AE3632)=0,"",MAX((AC3632:AE3632&lt;&gt;"")*(COLUMN(AC3632:AE3632)-(COLUMN(AC3632)))))-1),"")</f>
        <v>46150</v>
      </c>
      <c r="K3632" s="16" t="n">
        <f aca="false" t="array" ref="K3632:K3632">IFERROR(INDEX(AC3632:AE3632,IF(COUNTA(AC3632:AE3632)=0,"",MAX((AC3632:AE3632&lt;&gt;"")*(COLUMN(AC3632:AE3632)-(COLUMN(AC3632)-1))))-1),"")</f>
        <v>46333</v>
      </c>
      <c r="L3632" s="17" t="str">
        <f aca="false" t="array" ref="L3632:L3632">IFERROR(INDEX(AC3632:AE3632,IF(COUNTA(AC3632:AE3632)=0,"",MAX((AC3632:AE3632&lt;&gt;"")*(COLUMN(AC3632:AE3632)-(COLUMN(AC3632)-2))))-1),"")</f>
        <v>KEMBALI</v>
      </c>
      <c r="M3632" s="13" t="n">
        <f aca="true">K3632-TODAY()</f>
        <v>9</v>
      </c>
      <c r="N3632" s="18" t="s">
        <v>36</v>
      </c>
      <c r="O3632" s="13" t="s">
        <v>58</v>
      </c>
      <c r="P3632" s="19" t="n">
        <f aca="false">80%*5195401</f>
        <v>4156320.8</v>
      </c>
      <c r="Q3632" s="20" t="s">
        <v>14793</v>
      </c>
      <c r="R3632" s="15" t="s">
        <v>78</v>
      </c>
      <c r="S3632" s="119" t="n">
        <v>37881</v>
      </c>
      <c r="T3632" s="12" t="s">
        <v>40</v>
      </c>
      <c r="U3632" s="15" t="s">
        <v>14794</v>
      </c>
      <c r="V3632" s="12" t="s">
        <v>42</v>
      </c>
      <c r="W3632" s="12" t="s">
        <v>43</v>
      </c>
      <c r="X3632" s="30" t="n">
        <v>87791637562</v>
      </c>
      <c r="Y3632" s="22" t="str">
        <f aca="false">O3632</f>
        <v>Produksi</v>
      </c>
      <c r="Z3632" s="13" t="str">
        <f aca="false">IFERROR(__xludf.dummyfunction("if(BJ3632="""","""",GOOGLETRANSLATE(BJ3632,""auto"",""en""))"),"Production")</f>
        <v>Production</v>
      </c>
      <c r="AA3632" s="23" t="str">
        <f aca="false">IF(C3632="","", CHOOSE(MONTH(C3632),"January","February","March","April","May","June","July","August","September","October","November","December")&amp;" "&amp;DAY(C3632)&amp;MID("thstndrdth",MIN(9,2*RIGHT(DAY(C3632))*(MOD(DAY(C3632)-11,100)&gt;2)+1),2)&amp;","&amp;TEXT(C3632," yyyy"))</f>
        <v>May 8th,2026</v>
      </c>
      <c r="AB3632" s="15" t="str">
        <f aca="true">IF(S3632="","",DATEDIF(S3632,TODAY(),"Y")&amp;" Tahun, "&amp;DATEDIF(S3632,TODAY(),"YM")&amp;" Bulan, "&amp;DATEDIF(S3632,TODAY(),"MD")&amp;" Hari")</f>
        <v>23 Tahun, 1 Bulan, 12 Hari</v>
      </c>
      <c r="AC3632" s="14" t="n">
        <v>46150</v>
      </c>
      <c r="AD3632" s="18" t="n">
        <f aca="false">EDATE(AC3632,6)-1</f>
        <v>46333</v>
      </c>
      <c r="AE3632" s="13" t="s">
        <v>397</v>
      </c>
    </row>
    <row r="3633" customFormat="false" ht="15" hidden="false" customHeight="true" outlineLevel="0" collapsed="false">
      <c r="A3633" s="12" t="n">
        <v>22251</v>
      </c>
      <c r="B3633" s="13" t="s">
        <v>14795</v>
      </c>
      <c r="C3633" s="16" t="n">
        <v>46150</v>
      </c>
      <c r="D3633" s="13" t="s">
        <v>14771</v>
      </c>
      <c r="E3633" s="15" t="s">
        <v>7556</v>
      </c>
      <c r="F3633" s="24" t="s">
        <v>14796</v>
      </c>
      <c r="G3633" s="24" t="s">
        <v>57</v>
      </c>
      <c r="H3633" s="13" t="s">
        <v>35</v>
      </c>
      <c r="I3633" s="13" t="str">
        <f aca="false">IF(C3633=J3633,"NEW KONTRAK","RE-KONTRAK")</f>
        <v>NEW KONTRAK</v>
      </c>
      <c r="J3633" s="16" t="n">
        <f aca="false" t="array" ref="J3633:J3633">IFERROR(INDEX(AC3633:AE3633,IF(COUNTA(AC3633:AE3633)=0,"",MAX((AC3633:AE3633&lt;&gt;"")*(COLUMN(AC3633:AE3633)-(COLUMN(AC3633)))))-1),"")</f>
        <v>46150</v>
      </c>
      <c r="K3633" s="16" t="n">
        <f aca="false" t="array" ref="K3633:K3633">IFERROR(INDEX(AC3633:AE3633,IF(COUNTA(AC3633:AE3633)=0,"",MAX((AC3633:AE3633&lt;&gt;"")*(COLUMN(AC3633:AE3633)-(COLUMN(AC3633)-1))))-1),"")</f>
        <v>46333</v>
      </c>
      <c r="L3633" s="17" t="str">
        <f aca="false" t="array" ref="L3633:L3633">IFERROR(INDEX(AC3633:AE3633,IF(COUNTA(AC3633:AE3633)=0,"",MAX((AC3633:AE3633&lt;&gt;"")*(COLUMN(AC3633:AE3633)-(COLUMN(AC3633)-2))))-1),"")</f>
        <v>KEMBALI</v>
      </c>
      <c r="M3633" s="13" t="n">
        <f aca="true">K3633-TODAY()</f>
        <v>9</v>
      </c>
      <c r="N3633" s="18" t="s">
        <v>36</v>
      </c>
      <c r="O3633" s="13" t="s">
        <v>58</v>
      </c>
      <c r="P3633" s="19" t="n">
        <f aca="false">80%*5195401</f>
        <v>4156320.8</v>
      </c>
      <c r="Q3633" s="20" t="s">
        <v>14797</v>
      </c>
      <c r="R3633" s="15" t="s">
        <v>65</v>
      </c>
      <c r="S3633" s="119" t="n">
        <v>38423</v>
      </c>
      <c r="T3633" s="12" t="s">
        <v>40</v>
      </c>
      <c r="U3633" s="15" t="s">
        <v>14798</v>
      </c>
      <c r="V3633" s="12" t="s">
        <v>42</v>
      </c>
      <c r="W3633" s="12" t="s">
        <v>43</v>
      </c>
      <c r="X3633" s="30" t="n">
        <v>81202877217</v>
      </c>
      <c r="Y3633" s="22" t="str">
        <f aca="false">O3633</f>
        <v>Produksi</v>
      </c>
      <c r="Z3633" s="13" t="str">
        <f aca="false">IFERROR(__xludf.dummyfunction("if(BJ3633="""","""",GOOGLETRANSLATE(BJ3633,""auto"",""en""))"),"Production")</f>
        <v>Production</v>
      </c>
      <c r="AA3633" s="23" t="str">
        <f aca="false">IF(C3633="","", CHOOSE(MONTH(C3633),"January","February","March","April","May","June","July","August","September","October","November","December")&amp;" "&amp;DAY(C3633)&amp;MID("thstndrdth",MIN(9,2*RIGHT(DAY(C3633))*(MOD(DAY(C3633)-11,100)&gt;2)+1),2)&amp;","&amp;TEXT(C3633," yyyy"))</f>
        <v>May 8th,2026</v>
      </c>
      <c r="AB3633" s="15" t="str">
        <f aca="true">IF(S3633="","",DATEDIF(S3633,TODAY(),"Y")&amp;" Tahun, "&amp;DATEDIF(S3633,TODAY(),"YM")&amp;" Bulan, "&amp;DATEDIF(S3633,TODAY(),"MD")&amp;" Hari")</f>
        <v>21 Tahun, 7 Bulan, 17 Hari</v>
      </c>
      <c r="AC3633" s="14" t="n">
        <v>46150</v>
      </c>
      <c r="AD3633" s="18" t="n">
        <f aca="false">EDATE(AC3633,6)-1</f>
        <v>46333</v>
      </c>
      <c r="AE3633" s="13" t="s">
        <v>397</v>
      </c>
    </row>
    <row r="3634" customFormat="false" ht="15" hidden="false" customHeight="true" outlineLevel="0" collapsed="false">
      <c r="A3634" s="12" t="n">
        <v>22252</v>
      </c>
      <c r="B3634" s="13" t="s">
        <v>14799</v>
      </c>
      <c r="C3634" s="16" t="n">
        <v>46150</v>
      </c>
      <c r="D3634" s="13" t="s">
        <v>14771</v>
      </c>
      <c r="E3634" s="15" t="s">
        <v>7556</v>
      </c>
      <c r="F3634" s="24" t="s">
        <v>14800</v>
      </c>
      <c r="G3634" s="24" t="s">
        <v>57</v>
      </c>
      <c r="H3634" s="13" t="s">
        <v>35</v>
      </c>
      <c r="I3634" s="13" t="str">
        <f aca="false">IF(C3634=J3634,"NEW KONTRAK","RE-KONTRAK")</f>
        <v>NEW KONTRAK</v>
      </c>
      <c r="J3634" s="16" t="n">
        <f aca="false" t="array" ref="J3634:J3634">IFERROR(INDEX(AC3634:AE3634,IF(COUNTA(AC3634:AE3634)=0,"",MAX((AC3634:AE3634&lt;&gt;"")*(COLUMN(AC3634:AE3634)-(COLUMN(AC3634)))))-1),"")</f>
        <v>46150</v>
      </c>
      <c r="K3634" s="16" t="n">
        <f aca="false" t="array" ref="K3634:K3634">IFERROR(INDEX(AC3634:AE3634,IF(COUNTA(AC3634:AE3634)=0,"",MAX((AC3634:AE3634&lt;&gt;"")*(COLUMN(AC3634:AE3634)-(COLUMN(AC3634)-1))))-1),"")</f>
        <v>46333</v>
      </c>
      <c r="L3634" s="17" t="str">
        <f aca="false" t="array" ref="L3634:L3634">IFERROR(INDEX(AC3634:AE3634,IF(COUNTA(AC3634:AE3634)=0,"",MAX((AC3634:AE3634&lt;&gt;"")*(COLUMN(AC3634:AE3634)-(COLUMN(AC3634)-2))))-1),"")</f>
        <v>KEMBALI</v>
      </c>
      <c r="M3634" s="13" t="n">
        <f aca="true">K3634-TODAY()</f>
        <v>9</v>
      </c>
      <c r="N3634" s="18" t="s">
        <v>36</v>
      </c>
      <c r="O3634" s="13" t="s">
        <v>58</v>
      </c>
      <c r="P3634" s="19" t="n">
        <f aca="false">80%*5195401</f>
        <v>4156320.8</v>
      </c>
      <c r="Q3634" s="20" t="s">
        <v>14801</v>
      </c>
      <c r="R3634" s="15" t="s">
        <v>65</v>
      </c>
      <c r="S3634" s="119" t="n">
        <v>37736</v>
      </c>
      <c r="T3634" s="12" t="s">
        <v>40</v>
      </c>
      <c r="U3634" s="15" t="s">
        <v>14802</v>
      </c>
      <c r="V3634" s="12" t="s">
        <v>42</v>
      </c>
      <c r="W3634" s="12" t="s">
        <v>43</v>
      </c>
      <c r="X3634" s="30" t="n">
        <v>85835408386</v>
      </c>
      <c r="Y3634" s="22" t="str">
        <f aca="false">O3634</f>
        <v>Produksi</v>
      </c>
      <c r="Z3634" s="13" t="str">
        <f aca="false">IFERROR(__xludf.dummyfunction("if(BJ3634="""","""",GOOGLETRANSLATE(BJ3634,""auto"",""en""))"),"Production")</f>
        <v>Production</v>
      </c>
      <c r="AA3634" s="23" t="str">
        <f aca="false">IF(C3634="","", CHOOSE(MONTH(C3634),"January","February","March","April","May","June","July","August","September","October","November","December")&amp;" "&amp;DAY(C3634)&amp;MID("thstndrdth",MIN(9,2*RIGHT(DAY(C3634))*(MOD(DAY(C3634)-11,100)&gt;2)+1),2)&amp;","&amp;TEXT(C3634," yyyy"))</f>
        <v>May 8th,2026</v>
      </c>
      <c r="AB3634" s="15" t="str">
        <f aca="true">IF(S3634="","",DATEDIF(S3634,TODAY(),"Y")&amp;" Tahun, "&amp;DATEDIF(S3634,TODAY(),"YM")&amp;" Bulan, "&amp;DATEDIF(S3634,TODAY(),"MD")&amp;" Hari")</f>
        <v>23 Tahun, 6 Bulan, 4 Hari</v>
      </c>
      <c r="AC3634" s="14" t="n">
        <v>46150</v>
      </c>
      <c r="AD3634" s="18" t="n">
        <f aca="false">EDATE(AC3634,6)-1</f>
        <v>46333</v>
      </c>
      <c r="AE3634" s="13" t="s">
        <v>397</v>
      </c>
    </row>
    <row r="3635" customFormat="false" ht="15" hidden="false" customHeight="true" outlineLevel="0" collapsed="false">
      <c r="A3635" s="12" t="n">
        <v>22253</v>
      </c>
      <c r="B3635" s="13" t="s">
        <v>14803</v>
      </c>
      <c r="C3635" s="16" t="n">
        <v>46150</v>
      </c>
      <c r="D3635" s="13" t="s">
        <v>14771</v>
      </c>
      <c r="E3635" s="15" t="s">
        <v>7556</v>
      </c>
      <c r="F3635" s="24" t="s">
        <v>14804</v>
      </c>
      <c r="G3635" s="24" t="s">
        <v>57</v>
      </c>
      <c r="H3635" s="13" t="s">
        <v>35</v>
      </c>
      <c r="I3635" s="13" t="str">
        <f aca="false">IF(C3635=J3635,"NEW KONTRAK","RE-KONTRAK")</f>
        <v>NEW KONTRAK</v>
      </c>
      <c r="J3635" s="16" t="n">
        <f aca="false" t="array" ref="J3635:J3635">IFERROR(INDEX(AC3635:AE3635,IF(COUNTA(AC3635:AE3635)=0,"",MAX((AC3635:AE3635&lt;&gt;"")*(COLUMN(AC3635:AE3635)-(COLUMN(AC3635)))))-1),"")</f>
        <v>46150</v>
      </c>
      <c r="K3635" s="16" t="n">
        <f aca="false" t="array" ref="K3635:K3635">IFERROR(INDEX(AC3635:AE3635,IF(COUNTA(AC3635:AE3635)=0,"",MAX((AC3635:AE3635&lt;&gt;"")*(COLUMN(AC3635:AE3635)-(COLUMN(AC3635)-1))))-1),"")</f>
        <v>46333</v>
      </c>
      <c r="L3635" s="17" t="str">
        <f aca="false" t="array" ref="L3635:L3635">IFERROR(INDEX(AC3635:AE3635,IF(COUNTA(AC3635:AE3635)=0,"",MAX((AC3635:AE3635&lt;&gt;"")*(COLUMN(AC3635:AE3635)-(COLUMN(AC3635)-2))))-1),"")</f>
        <v>KEMBALI</v>
      </c>
      <c r="M3635" s="13" t="n">
        <f aca="true">K3635-TODAY()</f>
        <v>9</v>
      </c>
      <c r="N3635" s="18" t="s">
        <v>36</v>
      </c>
      <c r="O3635" s="13" t="s">
        <v>58</v>
      </c>
      <c r="P3635" s="19" t="n">
        <f aca="false">80%*5195401</f>
        <v>4156320.8</v>
      </c>
      <c r="Q3635" s="20" t="s">
        <v>14805</v>
      </c>
      <c r="R3635" s="15" t="s">
        <v>148</v>
      </c>
      <c r="S3635" s="119" t="n">
        <v>36615</v>
      </c>
      <c r="T3635" s="12" t="s">
        <v>40</v>
      </c>
      <c r="U3635" s="15" t="s">
        <v>14806</v>
      </c>
      <c r="V3635" s="12" t="s">
        <v>42</v>
      </c>
      <c r="W3635" s="12" t="s">
        <v>43</v>
      </c>
      <c r="X3635" s="30" t="n">
        <v>89531779717</v>
      </c>
      <c r="Y3635" s="22" t="str">
        <f aca="false">O3635</f>
        <v>Produksi</v>
      </c>
      <c r="Z3635" s="13" t="str">
        <f aca="false">IFERROR(__xludf.dummyfunction("if(BJ3635="""","""",GOOGLETRANSLATE(BJ3635,""auto"",""en""))"),"Production")</f>
        <v>Production</v>
      </c>
      <c r="AA3635" s="23" t="str">
        <f aca="false">IF(C3635="","", CHOOSE(MONTH(C3635),"January","February","March","April","May","June","July","August","September","October","November","December")&amp;" "&amp;DAY(C3635)&amp;MID("thstndrdth",MIN(9,2*RIGHT(DAY(C3635))*(MOD(DAY(C3635)-11,100)&gt;2)+1),2)&amp;","&amp;TEXT(C3635," yyyy"))</f>
        <v>May 8th,2026</v>
      </c>
      <c r="AB3635" s="15" t="str">
        <f aca="true">IF(S3635="","",DATEDIF(S3635,TODAY(),"Y")&amp;" Tahun, "&amp;DATEDIF(S3635,TODAY(),"YM")&amp;" Bulan, "&amp;DATEDIF(S3635,TODAY(),"MD")&amp;" Hari")</f>
        <v>26 Tahun, 6 Bulan, 29 Hari</v>
      </c>
      <c r="AC3635" s="14" t="n">
        <v>46150</v>
      </c>
      <c r="AD3635" s="18" t="n">
        <f aca="false">EDATE(AC3635,6)-1</f>
        <v>46333</v>
      </c>
      <c r="AE3635" s="13" t="s">
        <v>397</v>
      </c>
    </row>
    <row r="3636" customFormat="false" ht="15" hidden="false" customHeight="true" outlineLevel="0" collapsed="false">
      <c r="A3636" s="12" t="n">
        <v>22254</v>
      </c>
      <c r="B3636" s="13" t="s">
        <v>14807</v>
      </c>
      <c r="C3636" s="16" t="n">
        <v>46150</v>
      </c>
      <c r="D3636" s="13" t="s">
        <v>14771</v>
      </c>
      <c r="E3636" s="15" t="s">
        <v>7556</v>
      </c>
      <c r="F3636" s="24" t="s">
        <v>14808</v>
      </c>
      <c r="G3636" s="24" t="s">
        <v>57</v>
      </c>
      <c r="H3636" s="13" t="s">
        <v>35</v>
      </c>
      <c r="I3636" s="13" t="str">
        <f aca="false">IF(C3636=J3636,"NEW KONTRAK","RE-KONTRAK")</f>
        <v>NEW KONTRAK</v>
      </c>
      <c r="J3636" s="16" t="n">
        <f aca="false" t="array" ref="J3636:J3636">IFERROR(INDEX(AC3636:AE3636,IF(COUNTA(AC3636:AE3636)=0,"",MAX((AC3636:AE3636&lt;&gt;"")*(COLUMN(AC3636:AE3636)-(COLUMN(AC3636)))))-1),"")</f>
        <v>46150</v>
      </c>
      <c r="K3636" s="16" t="n">
        <f aca="false" t="array" ref="K3636:K3636">IFERROR(INDEX(AC3636:AE3636,IF(COUNTA(AC3636:AE3636)=0,"",MAX((AC3636:AE3636&lt;&gt;"")*(COLUMN(AC3636:AE3636)-(COLUMN(AC3636)-1))))-1),"")</f>
        <v>46333</v>
      </c>
      <c r="L3636" s="17" t="str">
        <f aca="false" t="array" ref="L3636:L3636">IFERROR(INDEX(AC3636:AE3636,IF(COUNTA(AC3636:AE3636)=0,"",MAX((AC3636:AE3636&lt;&gt;"")*(COLUMN(AC3636:AE3636)-(COLUMN(AC3636)-2))))-1),"")</f>
        <v>KEMBALI</v>
      </c>
      <c r="M3636" s="13" t="n">
        <f aca="true">K3636-TODAY()</f>
        <v>9</v>
      </c>
      <c r="N3636" s="18" t="s">
        <v>36</v>
      </c>
      <c r="O3636" s="13" t="s">
        <v>58</v>
      </c>
      <c r="P3636" s="19" t="n">
        <f aca="false">80%*5195401</f>
        <v>4156320.8</v>
      </c>
      <c r="Q3636" s="20" t="s">
        <v>14809</v>
      </c>
      <c r="R3636" s="15" t="s">
        <v>232</v>
      </c>
      <c r="S3636" s="119" t="n">
        <v>37516</v>
      </c>
      <c r="T3636" s="12" t="s">
        <v>40</v>
      </c>
      <c r="U3636" s="15" t="s">
        <v>14810</v>
      </c>
      <c r="V3636" s="12" t="s">
        <v>42</v>
      </c>
      <c r="W3636" s="12" t="s">
        <v>43</v>
      </c>
      <c r="X3636" s="30" t="n">
        <v>89851701660</v>
      </c>
      <c r="Y3636" s="22" t="str">
        <f aca="false">O3636</f>
        <v>Produksi</v>
      </c>
      <c r="Z3636" s="13" t="str">
        <f aca="false">IFERROR(__xludf.dummyfunction("if(BJ3636="""","""",GOOGLETRANSLATE(BJ3636,""auto"",""en""))"),"Production")</f>
        <v>Production</v>
      </c>
      <c r="AA3636" s="23" t="str">
        <f aca="false">IF(C3636="","", CHOOSE(MONTH(C3636),"January","February","March","April","May","June","July","August","September","October","November","December")&amp;" "&amp;DAY(C3636)&amp;MID("thstndrdth",MIN(9,2*RIGHT(DAY(C3636))*(MOD(DAY(C3636)-11,100)&gt;2)+1),2)&amp;","&amp;TEXT(C3636," yyyy"))</f>
        <v>May 8th,2026</v>
      </c>
      <c r="AB3636" s="15" t="str">
        <f aca="true">IF(S3636="","",DATEDIF(S3636,TODAY(),"Y")&amp;" Tahun, "&amp;DATEDIF(S3636,TODAY(),"YM")&amp;" Bulan, "&amp;DATEDIF(S3636,TODAY(),"MD")&amp;" Hari")</f>
        <v>24 Tahun, 1 Bulan, 12 Hari</v>
      </c>
      <c r="AC3636" s="14" t="n">
        <v>46150</v>
      </c>
      <c r="AD3636" s="18" t="n">
        <f aca="false">EDATE(AC3636,6)-1</f>
        <v>46333</v>
      </c>
      <c r="AE3636" s="13" t="s">
        <v>397</v>
      </c>
    </row>
    <row r="3637" customFormat="false" ht="15" hidden="false" customHeight="true" outlineLevel="0" collapsed="false">
      <c r="A3637" s="12" t="n">
        <v>22255</v>
      </c>
      <c r="B3637" s="13" t="s">
        <v>14811</v>
      </c>
      <c r="C3637" s="16" t="n">
        <v>46150</v>
      </c>
      <c r="D3637" s="13" t="s">
        <v>14771</v>
      </c>
      <c r="E3637" s="15" t="s">
        <v>102</v>
      </c>
      <c r="F3637" s="24" t="s">
        <v>14812</v>
      </c>
      <c r="G3637" s="24" t="s">
        <v>57</v>
      </c>
      <c r="H3637" s="13" t="s">
        <v>35</v>
      </c>
      <c r="I3637" s="13" t="str">
        <f aca="false">IF(C3637=J3637,"NEW KONTRAK","RE-KONTRAK")</f>
        <v>NEW KONTRAK</v>
      </c>
      <c r="J3637" s="16" t="n">
        <f aca="false" t="array" ref="J3637:J3637">IFERROR(INDEX(AC3637:AE3637,IF(COUNTA(AC3637:AE3637)=0,"",MAX((AC3637:AE3637&lt;&gt;"")*(COLUMN(AC3637:AE3637)-(COLUMN(AC3637)))))-1),"")</f>
        <v>46150</v>
      </c>
      <c r="K3637" s="16" t="n">
        <f aca="false" t="array" ref="K3637:K3637">IFERROR(INDEX(AC3637:AE3637,IF(COUNTA(AC3637:AE3637)=0,"",MAX((AC3637:AE3637&lt;&gt;"")*(COLUMN(AC3637:AE3637)-(COLUMN(AC3637)-1))))-1),"")</f>
        <v>46333</v>
      </c>
      <c r="L3637" s="17" t="str">
        <f aca="false" t="array" ref="L3637:L3637">IFERROR(INDEX(AC3637:AE3637,IF(COUNTA(AC3637:AE3637)=0,"",MAX((AC3637:AE3637&lt;&gt;"")*(COLUMN(AC3637:AE3637)-(COLUMN(AC3637)-2))))-1),"")</f>
        <v>KEMBALI</v>
      </c>
      <c r="M3637" s="13" t="n">
        <f aca="true">K3637-TODAY()</f>
        <v>9</v>
      </c>
      <c r="N3637" s="18" t="s">
        <v>36</v>
      </c>
      <c r="O3637" s="13" t="s">
        <v>58</v>
      </c>
      <c r="P3637" s="19" t="n">
        <f aca="false">80%*5195401</f>
        <v>4156320.8</v>
      </c>
      <c r="Q3637" s="20" t="s">
        <v>14813</v>
      </c>
      <c r="R3637" s="15" t="s">
        <v>232</v>
      </c>
      <c r="S3637" s="119" t="n">
        <v>37553</v>
      </c>
      <c r="T3637" s="12" t="s">
        <v>40</v>
      </c>
      <c r="U3637" s="15" t="s">
        <v>14814</v>
      </c>
      <c r="V3637" s="12" t="s">
        <v>42</v>
      </c>
      <c r="W3637" s="12" t="s">
        <v>43</v>
      </c>
      <c r="X3637" s="30" t="n">
        <v>81119948837</v>
      </c>
      <c r="Y3637" s="22" t="str">
        <f aca="false">O3637</f>
        <v>Produksi</v>
      </c>
      <c r="Z3637" s="13" t="str">
        <f aca="false">IFERROR(__xludf.dummyfunction("if(BJ3637="""","""",GOOGLETRANSLATE(BJ3637,""auto"",""en""))"),"Production")</f>
        <v>Production</v>
      </c>
      <c r="AA3637" s="23" t="str">
        <f aca="false">IF(C3637="","", CHOOSE(MONTH(C3637),"January","February","March","April","May","June","July","August","September","October","November","December")&amp;" "&amp;DAY(C3637)&amp;MID("thstndrdth",MIN(9,2*RIGHT(DAY(C3637))*(MOD(DAY(C3637)-11,100)&gt;2)+1),2)&amp;","&amp;TEXT(C3637," yyyy"))</f>
        <v>May 8th,2026</v>
      </c>
      <c r="AB3637" s="15" t="str">
        <f aca="true">IF(S3637="","",DATEDIF(S3637,TODAY(),"Y")&amp;" Tahun, "&amp;DATEDIF(S3637,TODAY(),"YM")&amp;" Bulan, "&amp;DATEDIF(S3637,TODAY(),"MD")&amp;" Hari")</f>
        <v>24 Tahun, 0 Bulan, 5 Hari</v>
      </c>
      <c r="AC3637" s="14" t="n">
        <v>46150</v>
      </c>
      <c r="AD3637" s="18" t="n">
        <f aca="false">EDATE(AC3637,6)-1</f>
        <v>46333</v>
      </c>
      <c r="AE3637" s="13" t="s">
        <v>397</v>
      </c>
    </row>
    <row r="3638" customFormat="false" ht="15" hidden="false" customHeight="true" outlineLevel="0" collapsed="false">
      <c r="A3638" s="12" t="n">
        <v>22256</v>
      </c>
      <c r="B3638" s="13" t="s">
        <v>14815</v>
      </c>
      <c r="C3638" s="16" t="n">
        <v>46150</v>
      </c>
      <c r="D3638" s="13" t="s">
        <v>14771</v>
      </c>
      <c r="E3638" s="15" t="s">
        <v>7556</v>
      </c>
      <c r="F3638" s="24" t="s">
        <v>14816</v>
      </c>
      <c r="G3638" s="24" t="s">
        <v>57</v>
      </c>
      <c r="H3638" s="13" t="s">
        <v>35</v>
      </c>
      <c r="I3638" s="13" t="str">
        <f aca="false">IF(C3638=J3638,"NEW KONTRAK","RE-KONTRAK")</f>
        <v>NEW KONTRAK</v>
      </c>
      <c r="J3638" s="16" t="n">
        <f aca="false" t="array" ref="J3638:J3638">IFERROR(INDEX(AC3638:AE3638,IF(COUNTA(AC3638:AE3638)=0,"",MAX((AC3638:AE3638&lt;&gt;"")*(COLUMN(AC3638:AE3638)-(COLUMN(AC3638)))))-1),"")</f>
        <v>46150</v>
      </c>
      <c r="K3638" s="16" t="n">
        <f aca="false" t="array" ref="K3638:K3638">IFERROR(INDEX(AC3638:AE3638,IF(COUNTA(AC3638:AE3638)=0,"",MAX((AC3638:AE3638&lt;&gt;"")*(COLUMN(AC3638:AE3638)-(COLUMN(AC3638)-1))))-1),"")</f>
        <v>46333</v>
      </c>
      <c r="L3638" s="17" t="str">
        <f aca="false" t="array" ref="L3638:L3638">IFERROR(INDEX(AC3638:AE3638,IF(COUNTA(AC3638:AE3638)=0,"",MAX((AC3638:AE3638&lt;&gt;"")*(COLUMN(AC3638:AE3638)-(COLUMN(AC3638)-2))))-1),"")</f>
        <v>KEMBALI</v>
      </c>
      <c r="M3638" s="13" t="n">
        <f aca="true">K3638-TODAY()</f>
        <v>9</v>
      </c>
      <c r="N3638" s="18" t="s">
        <v>36</v>
      </c>
      <c r="O3638" s="13" t="s">
        <v>58</v>
      </c>
      <c r="P3638" s="19" t="n">
        <f aca="false">80%*5195401</f>
        <v>4156320.8</v>
      </c>
      <c r="Q3638" s="20" t="s">
        <v>14817</v>
      </c>
      <c r="R3638" s="15" t="s">
        <v>39</v>
      </c>
      <c r="S3638" s="119" t="n">
        <v>35295</v>
      </c>
      <c r="T3638" s="12" t="s">
        <v>40</v>
      </c>
      <c r="U3638" s="15" t="s">
        <v>14818</v>
      </c>
      <c r="V3638" s="12" t="s">
        <v>42</v>
      </c>
      <c r="W3638" s="12" t="s">
        <v>54</v>
      </c>
      <c r="X3638" s="30" t="n">
        <v>85850375899</v>
      </c>
      <c r="Y3638" s="22" t="str">
        <f aca="false">O3638</f>
        <v>Produksi</v>
      </c>
      <c r="Z3638" s="13" t="str">
        <f aca="false">IFERROR(__xludf.dummyfunction("if(BJ3638="""","""",GOOGLETRANSLATE(BJ3638,""auto"",""en""))"),"Production")</f>
        <v>Production</v>
      </c>
      <c r="AA3638" s="23" t="str">
        <f aca="false">IF(C3638="","", CHOOSE(MONTH(C3638),"January","February","March","April","May","June","July","August","September","October","November","December")&amp;" "&amp;DAY(C3638)&amp;MID("thstndrdth",MIN(9,2*RIGHT(DAY(C3638))*(MOD(DAY(C3638)-11,100)&gt;2)+1),2)&amp;","&amp;TEXT(C3638," yyyy"))</f>
        <v>May 8th,2026</v>
      </c>
      <c r="AB3638" s="15" t="str">
        <f aca="true">IF(S3638="","",DATEDIF(S3638,TODAY(),"Y")&amp;" Tahun, "&amp;DATEDIF(S3638,TODAY(),"YM")&amp;" Bulan, "&amp;DATEDIF(S3638,TODAY(),"MD")&amp;" Hari")</f>
        <v>30 Tahun, 2 Bulan, 11 Hari</v>
      </c>
      <c r="AC3638" s="14" t="n">
        <v>46150</v>
      </c>
      <c r="AD3638" s="18" t="n">
        <f aca="false">EDATE(AC3638,6)-1</f>
        <v>46333</v>
      </c>
      <c r="AE3638" s="13" t="s">
        <v>397</v>
      </c>
    </row>
    <row r="3639" customFormat="false" ht="15" hidden="false" customHeight="true" outlineLevel="0" collapsed="false">
      <c r="A3639" s="12" t="n">
        <v>22257</v>
      </c>
      <c r="B3639" s="13" t="s">
        <v>14819</v>
      </c>
      <c r="C3639" s="16" t="n">
        <v>46150</v>
      </c>
      <c r="D3639" s="13" t="s">
        <v>14771</v>
      </c>
      <c r="E3639" s="15" t="s">
        <v>14439</v>
      </c>
      <c r="F3639" s="24" t="s">
        <v>14820</v>
      </c>
      <c r="G3639" s="24" t="s">
        <v>57</v>
      </c>
      <c r="H3639" s="13" t="s">
        <v>35</v>
      </c>
      <c r="I3639" s="13" t="str">
        <f aca="false">IF(C3639=J3639,"NEW KONTRAK","RE-KONTRAK")</f>
        <v>NEW KONTRAK</v>
      </c>
      <c r="J3639" s="16" t="n">
        <f aca="false" t="array" ref="J3639:J3639">IFERROR(INDEX(AC3639:AE3639,IF(COUNTA(AC3639:AE3639)=0,"",MAX((AC3639:AE3639&lt;&gt;"")*(COLUMN(AC3639:AE3639)-(COLUMN(AC3639)))))-1),"")</f>
        <v>46150</v>
      </c>
      <c r="K3639" s="16" t="n">
        <f aca="false" t="array" ref="K3639:K3639">IFERROR(INDEX(AC3639:AE3639,IF(COUNTA(AC3639:AE3639)=0,"",MAX((AC3639:AE3639&lt;&gt;"")*(COLUMN(AC3639:AE3639)-(COLUMN(AC3639)-1))))-1),"")</f>
        <v>46333</v>
      </c>
      <c r="L3639" s="17" t="str">
        <f aca="false" t="array" ref="L3639:L3639">IFERROR(INDEX(AC3639:AE3639,IF(COUNTA(AC3639:AE3639)=0,"",MAX((AC3639:AE3639&lt;&gt;"")*(COLUMN(AC3639:AE3639)-(COLUMN(AC3639)-2))))-1),"")</f>
        <v>ARCHIVED</v>
      </c>
      <c r="M3639" s="13" t="n">
        <f aca="true">K3639-TODAY()</f>
        <v>9</v>
      </c>
      <c r="N3639" s="18" t="s">
        <v>36</v>
      </c>
      <c r="O3639" s="13" t="s">
        <v>76</v>
      </c>
      <c r="P3639" s="19" t="n">
        <v>5195401</v>
      </c>
      <c r="Q3639" s="20" t="s">
        <v>14821</v>
      </c>
      <c r="R3639" s="15" t="s">
        <v>39</v>
      </c>
      <c r="S3639" s="119" t="n">
        <v>30737</v>
      </c>
      <c r="T3639" s="12" t="s">
        <v>40</v>
      </c>
      <c r="U3639" s="15" t="s">
        <v>14822</v>
      </c>
      <c r="V3639" s="12" t="s">
        <v>42</v>
      </c>
      <c r="W3639" s="12" t="s">
        <v>54</v>
      </c>
      <c r="X3639" s="30" t="n">
        <v>83157113055</v>
      </c>
      <c r="Y3639" s="22" t="str">
        <f aca="false">O3639</f>
        <v>Operator Forklift</v>
      </c>
      <c r="Z3639" s="13" t="str">
        <f aca="false">IFERROR(__xludf.dummyfunction("if(BJ3639="""","""",GOOGLETRANSLATE(BJ3639,""auto"",""en""))"),"Operator Forklift")</f>
        <v>Operator Forklift</v>
      </c>
      <c r="AA3639" s="23" t="str">
        <f aca="false">IF(C3639="","", CHOOSE(MONTH(C3639),"January","February","March","April","May","June","July","August","September","October","November","December")&amp;" "&amp;DAY(C3639)&amp;MID("thstndrdth",MIN(9,2*RIGHT(DAY(C3639))*(MOD(DAY(C3639)-11,100)&gt;2)+1),2)&amp;","&amp;TEXT(C3639," yyyy"))</f>
        <v>May 8th,2026</v>
      </c>
      <c r="AB3639" s="15" t="str">
        <f aca="true">IF(S3639="","",DATEDIF(S3639,TODAY(),"Y")&amp;" Tahun, "&amp;DATEDIF(S3639,TODAY(),"YM")&amp;" Bulan, "&amp;DATEDIF(S3639,TODAY(),"MD")&amp;" Hari")</f>
        <v>42 Tahun, 8 Bulan, 4 Hari</v>
      </c>
      <c r="AC3639" s="14" t="n">
        <v>46150</v>
      </c>
      <c r="AD3639" s="18" t="n">
        <f aca="false">EDATE(AC3639,6)-1</f>
        <v>46333</v>
      </c>
      <c r="AE3639" s="13" t="s">
        <v>44</v>
      </c>
    </row>
    <row r="3640" customFormat="false" ht="15" hidden="false" customHeight="true" outlineLevel="0" collapsed="false">
      <c r="A3640" s="12" t="n">
        <v>22258</v>
      </c>
      <c r="B3640" s="13" t="s">
        <v>14823</v>
      </c>
      <c r="C3640" s="16" t="n">
        <v>46150</v>
      </c>
      <c r="D3640" s="13" t="s">
        <v>14771</v>
      </c>
      <c r="E3640" s="15" t="s">
        <v>102</v>
      </c>
      <c r="F3640" s="24" t="s">
        <v>14824</v>
      </c>
      <c r="G3640" s="24" t="s">
        <v>57</v>
      </c>
      <c r="H3640" s="13" t="s">
        <v>35</v>
      </c>
      <c r="I3640" s="13" t="str">
        <f aca="false">IF(C3640=J3640,"NEW KONTRAK","RE-KONTRAK")</f>
        <v>NEW KONTRAK</v>
      </c>
      <c r="J3640" s="16" t="n">
        <f aca="false" t="array" ref="J3640:J3640">IFERROR(INDEX(AC3640:AE3640,IF(COUNTA(AC3640:AE3640)=0,"",MAX((AC3640:AE3640&lt;&gt;"")*(COLUMN(AC3640:AE3640)-(COLUMN(AC3640)))))-1),"")</f>
        <v>46150</v>
      </c>
      <c r="K3640" s="16" t="n">
        <f aca="false" t="array" ref="K3640:K3640">IFERROR(INDEX(AC3640:AE3640,IF(COUNTA(AC3640:AE3640)=0,"",MAX((AC3640:AE3640&lt;&gt;"")*(COLUMN(AC3640:AE3640)-(COLUMN(AC3640)-1))))-1),"")</f>
        <v>46333</v>
      </c>
      <c r="L3640" s="17" t="str">
        <f aca="false" t="array" ref="L3640:L3640">IFERROR(INDEX(AC3640:AE3640,IF(COUNTA(AC3640:AE3640)=0,"",MAX((AC3640:AE3640&lt;&gt;"")*(COLUMN(AC3640:AE3640)-(COLUMN(AC3640)-2))))-1),"")</f>
        <v>KEMBALI</v>
      </c>
      <c r="M3640" s="13" t="n">
        <f aca="true">K3640-TODAY()</f>
        <v>9</v>
      </c>
      <c r="N3640" s="18" t="s">
        <v>36</v>
      </c>
      <c r="O3640" s="13" t="s">
        <v>76</v>
      </c>
      <c r="P3640" s="19" t="n">
        <v>5195401</v>
      </c>
      <c r="Q3640" s="20" t="s">
        <v>14825</v>
      </c>
      <c r="R3640" s="15" t="s">
        <v>52</v>
      </c>
      <c r="S3640" s="119" t="n">
        <v>36530</v>
      </c>
      <c r="T3640" s="12" t="s">
        <v>40</v>
      </c>
      <c r="U3640" s="15" t="s">
        <v>14826</v>
      </c>
      <c r="V3640" s="12" t="s">
        <v>42</v>
      </c>
      <c r="W3640" s="12" t="s">
        <v>43</v>
      </c>
      <c r="X3640" s="30" t="n">
        <v>85788510272</v>
      </c>
      <c r="Y3640" s="22" t="str">
        <f aca="false">O3640</f>
        <v>Operator Forklift</v>
      </c>
      <c r="Z3640" s="13" t="str">
        <f aca="false">IFERROR(__xludf.dummyfunction("if(BJ3640="""","""",GOOGLETRANSLATE(BJ3640,""auto"",""en""))"),"Operator Forklift")</f>
        <v>Operator Forklift</v>
      </c>
      <c r="AA3640" s="23" t="str">
        <f aca="false">IF(C3640="","", CHOOSE(MONTH(C3640),"January","February","March","April","May","June","July","August","September","October","November","December")&amp;" "&amp;DAY(C3640)&amp;MID("thstndrdth",MIN(9,2*RIGHT(DAY(C3640))*(MOD(DAY(C3640)-11,100)&gt;2)+1),2)&amp;","&amp;TEXT(C3640," yyyy"))</f>
        <v>May 8th,2026</v>
      </c>
      <c r="AB3640" s="15" t="str">
        <f aca="true">IF(S3640="","",DATEDIF(S3640,TODAY(),"Y")&amp;" Tahun, "&amp;DATEDIF(S3640,TODAY(),"YM")&amp;" Bulan, "&amp;DATEDIF(S3640,TODAY(),"MD")&amp;" Hari")</f>
        <v>26 Tahun, 9 Bulan, 24 Hari</v>
      </c>
      <c r="AC3640" s="14" t="n">
        <v>46150</v>
      </c>
      <c r="AD3640" s="18" t="n">
        <f aca="false">EDATE(AC3640,6)-1</f>
        <v>46333</v>
      </c>
      <c r="AE3640" s="13" t="s">
        <v>397</v>
      </c>
    </row>
    <row r="3641" customFormat="false" ht="15" hidden="false" customHeight="true" outlineLevel="0" collapsed="false">
      <c r="A3641" s="12" t="n">
        <v>22260</v>
      </c>
      <c r="B3641" s="13" t="s">
        <v>14827</v>
      </c>
      <c r="C3641" s="16" t="n">
        <v>46150</v>
      </c>
      <c r="D3641" s="13" t="s">
        <v>14771</v>
      </c>
      <c r="E3641" s="15" t="s">
        <v>14439</v>
      </c>
      <c r="F3641" s="24" t="s">
        <v>14828</v>
      </c>
      <c r="G3641" s="24" t="s">
        <v>57</v>
      </c>
      <c r="H3641" s="13" t="s">
        <v>35</v>
      </c>
      <c r="I3641" s="13" t="str">
        <f aca="false">IF(C3641=J3641,"NEW KONTRAK","RE-KONTRAK")</f>
        <v>NEW KONTRAK</v>
      </c>
      <c r="J3641" s="16" t="n">
        <f aca="false" t="array" ref="J3641:J3641">IFERROR(INDEX(AC3641:AE3641,IF(COUNTA(AC3641:AE3641)=0,"",MAX((AC3641:AE3641&lt;&gt;"")*(COLUMN(AC3641:AE3641)-(COLUMN(AC3641)))))-1),"")</f>
        <v>46150</v>
      </c>
      <c r="K3641" s="16" t="n">
        <f aca="false" t="array" ref="K3641:K3641">IFERROR(INDEX(AC3641:AE3641,IF(COUNTA(AC3641:AE3641)=0,"",MAX((AC3641:AE3641&lt;&gt;"")*(COLUMN(AC3641:AE3641)-(COLUMN(AC3641)-1))))-1),"")</f>
        <v>46333</v>
      </c>
      <c r="L3641" s="17" t="str">
        <f aca="false" t="array" ref="L3641:L3641">IFERROR(INDEX(AC3641:AE3641,IF(COUNTA(AC3641:AE3641)=0,"",MAX((AC3641:AE3641&lt;&gt;"")*(COLUMN(AC3641:AE3641)-(COLUMN(AC3641)-2))))-1),"")</f>
        <v>ARCHIVED</v>
      </c>
      <c r="M3641" s="13" t="n">
        <f aca="true">K3641-TODAY()</f>
        <v>9</v>
      </c>
      <c r="N3641" s="18" t="s">
        <v>36</v>
      </c>
      <c r="O3641" s="13" t="s">
        <v>14829</v>
      </c>
      <c r="P3641" s="19" t="n">
        <v>5195401</v>
      </c>
      <c r="Q3641" s="20" t="s">
        <v>14830</v>
      </c>
      <c r="R3641" s="15" t="s">
        <v>255</v>
      </c>
      <c r="S3641" s="119" t="n">
        <v>30886</v>
      </c>
      <c r="T3641" s="12" t="s">
        <v>40</v>
      </c>
      <c r="U3641" s="15" t="s">
        <v>14831</v>
      </c>
      <c r="V3641" s="12" t="s">
        <v>42</v>
      </c>
      <c r="W3641" s="12" t="s">
        <v>54</v>
      </c>
      <c r="X3641" s="30" t="n">
        <v>89614933163</v>
      </c>
      <c r="Y3641" s="22" t="str">
        <f aca="false">O3641</f>
        <v>Truck Driver</v>
      </c>
      <c r="Z3641" s="13" t="str">
        <f aca="false">IFERROR(__xludf.dummyfunction("if(BJ3641="""","""",GOOGLETRANSLATE(BJ3641,""auto"",""en""))"),"Truck Driver")</f>
        <v>Truck Driver</v>
      </c>
      <c r="AA3641" s="23" t="str">
        <f aca="false">IF(C3641="","", CHOOSE(MONTH(C3641),"January","February","March","April","May","June","July","August","September","October","November","December")&amp;" "&amp;DAY(C3641)&amp;MID("thstndrdth",MIN(9,2*RIGHT(DAY(C3641))*(MOD(DAY(C3641)-11,100)&gt;2)+1),2)&amp;","&amp;TEXT(C3641," yyyy"))</f>
        <v>May 8th,2026</v>
      </c>
      <c r="AB3641" s="15" t="str">
        <f aca="true">IF(S3641="","",DATEDIF(S3641,TODAY(),"Y")&amp;" Tahun, "&amp;DATEDIF(S3641,TODAY(),"YM")&amp;" Bulan, "&amp;DATEDIF(S3641,TODAY(),"MD")&amp;" Hari")</f>
        <v>42 Tahun, 3 Bulan, 6 Hari</v>
      </c>
      <c r="AC3641" s="14" t="n">
        <v>46150</v>
      </c>
      <c r="AD3641" s="18" t="n">
        <f aca="false">EDATE(AC3641,6)-1</f>
        <v>46333</v>
      </c>
      <c r="AE3641" s="13" t="s">
        <v>44</v>
      </c>
    </row>
    <row r="3642" customFormat="false" ht="15" hidden="false" customHeight="true" outlineLevel="0" collapsed="false">
      <c r="A3642" s="12" t="n">
        <v>22261</v>
      </c>
      <c r="B3642" s="13" t="s">
        <v>14832</v>
      </c>
      <c r="C3642" s="16" t="n">
        <v>46150</v>
      </c>
      <c r="D3642" s="13" t="s">
        <v>14771</v>
      </c>
      <c r="E3642" s="15" t="s">
        <v>7556</v>
      </c>
      <c r="F3642" s="24" t="s">
        <v>14833</v>
      </c>
      <c r="G3642" s="24" t="s">
        <v>57</v>
      </c>
      <c r="H3642" s="13" t="s">
        <v>35</v>
      </c>
      <c r="I3642" s="13" t="str">
        <f aca="false">IF(C3642=J3642,"NEW KONTRAK","RE-KONTRAK")</f>
        <v>NEW KONTRAK</v>
      </c>
      <c r="J3642" s="16" t="n">
        <f aca="false" t="array" ref="J3642:J3642">IFERROR(INDEX(AC3642:AE3642,IF(COUNTA(AC3642:AE3642)=0,"",MAX((AC3642:AE3642&lt;&gt;"")*(COLUMN(AC3642:AE3642)-(COLUMN(AC3642)))))-1),"")</f>
        <v>46150</v>
      </c>
      <c r="K3642" s="16" t="n">
        <f aca="false" t="array" ref="K3642:K3642">IFERROR(INDEX(AC3642:AE3642,IF(COUNTA(AC3642:AE3642)=0,"",MAX((AC3642:AE3642&lt;&gt;"")*(COLUMN(AC3642:AE3642)-(COLUMN(AC3642)-1))))-1),"")</f>
        <v>46333</v>
      </c>
      <c r="L3642" s="17" t="str">
        <f aca="false" t="array" ref="L3642:L3642">IFERROR(INDEX(AC3642:AE3642,IF(COUNTA(AC3642:AE3642)=0,"",MAX((AC3642:AE3642&lt;&gt;"")*(COLUMN(AC3642:AE3642)-(COLUMN(AC3642)-2))))-1),"")</f>
        <v>KEMBALI</v>
      </c>
      <c r="M3642" s="13" t="n">
        <f aca="true">K3642-TODAY()</f>
        <v>9</v>
      </c>
      <c r="N3642" s="18" t="s">
        <v>36</v>
      </c>
      <c r="O3642" s="13" t="s">
        <v>58</v>
      </c>
      <c r="P3642" s="19" t="n">
        <f aca="false">80%*5195401</f>
        <v>4156320.8</v>
      </c>
      <c r="Q3642" s="20" t="s">
        <v>14834</v>
      </c>
      <c r="R3642" s="15" t="s">
        <v>255</v>
      </c>
      <c r="S3642" s="119" t="n">
        <v>34037</v>
      </c>
      <c r="T3642" s="12" t="s">
        <v>40</v>
      </c>
      <c r="U3642" s="15" t="s">
        <v>14835</v>
      </c>
      <c r="V3642" s="12" t="s">
        <v>42</v>
      </c>
      <c r="W3642" s="12" t="s">
        <v>54</v>
      </c>
      <c r="X3642" s="30" t="n">
        <v>89835160917</v>
      </c>
      <c r="Y3642" s="22" t="str">
        <f aca="false">O3642</f>
        <v>Produksi</v>
      </c>
      <c r="Z3642" s="13" t="str">
        <f aca="false">IFERROR(__xludf.dummyfunction("if(BJ3642="""","""",GOOGLETRANSLATE(BJ3642,""auto"",""en""))"),"Production")</f>
        <v>Production</v>
      </c>
      <c r="AA3642" s="23" t="str">
        <f aca="false">IF(C3642="","", CHOOSE(MONTH(C3642),"January","February","March","April","May","June","July","August","September","October","November","December")&amp;" "&amp;DAY(C3642)&amp;MID("thstndrdth",MIN(9,2*RIGHT(DAY(C3642))*(MOD(DAY(C3642)-11,100)&gt;2)+1),2)&amp;","&amp;TEXT(C3642," yyyy"))</f>
        <v>May 8th,2026</v>
      </c>
      <c r="AB3642" s="15" t="str">
        <f aca="true">IF(S3642="","",DATEDIF(S3642,TODAY(),"Y")&amp;" Tahun, "&amp;DATEDIF(S3642,TODAY(),"YM")&amp;" Bulan, "&amp;DATEDIF(S3642,TODAY(),"MD")&amp;" Hari")</f>
        <v>33 Tahun, 7 Bulan, 20 Hari</v>
      </c>
      <c r="AC3642" s="14" t="n">
        <v>46150</v>
      </c>
      <c r="AD3642" s="18" t="n">
        <f aca="false">EDATE(AC3642,6)-1</f>
        <v>46333</v>
      </c>
      <c r="AE3642" s="13" t="s">
        <v>397</v>
      </c>
    </row>
    <row r="3643" customFormat="false" ht="15" hidden="false" customHeight="true" outlineLevel="0" collapsed="false">
      <c r="A3643" s="12" t="n">
        <v>22262</v>
      </c>
      <c r="B3643" s="13" t="s">
        <v>14836</v>
      </c>
      <c r="C3643" s="16" t="n">
        <v>46150</v>
      </c>
      <c r="D3643" s="13" t="s">
        <v>14771</v>
      </c>
      <c r="E3643" s="15" t="s">
        <v>7556</v>
      </c>
      <c r="F3643" s="24" t="s">
        <v>14837</v>
      </c>
      <c r="G3643" s="24" t="s">
        <v>57</v>
      </c>
      <c r="H3643" s="13" t="s">
        <v>35</v>
      </c>
      <c r="I3643" s="13" t="str">
        <f aca="false">IF(C3643=J3643,"NEW KONTRAK","RE-KONTRAK")</f>
        <v>NEW KONTRAK</v>
      </c>
      <c r="J3643" s="16" t="n">
        <f aca="false" t="array" ref="J3643:J3643">IFERROR(INDEX(AC3643:AE3643,IF(COUNTA(AC3643:AE3643)=0,"",MAX((AC3643:AE3643&lt;&gt;"")*(COLUMN(AC3643:AE3643)-(COLUMN(AC3643)))))-1),"")</f>
        <v>46150</v>
      </c>
      <c r="K3643" s="16" t="n">
        <f aca="false" t="array" ref="K3643:K3643">IFERROR(INDEX(AC3643:AE3643,IF(COUNTA(AC3643:AE3643)=0,"",MAX((AC3643:AE3643&lt;&gt;"")*(COLUMN(AC3643:AE3643)-(COLUMN(AC3643)-1))))-1),"")</f>
        <v>46333</v>
      </c>
      <c r="L3643" s="17" t="str">
        <f aca="false" t="array" ref="L3643:L3643">IFERROR(INDEX(AC3643:AE3643,IF(COUNTA(AC3643:AE3643)=0,"",MAX((AC3643:AE3643&lt;&gt;"")*(COLUMN(AC3643:AE3643)-(COLUMN(AC3643)-2))))-1),"")</f>
        <v>KEMBALI</v>
      </c>
      <c r="M3643" s="13" t="n">
        <f aca="true">K3643-TODAY()</f>
        <v>9</v>
      </c>
      <c r="N3643" s="18" t="s">
        <v>36</v>
      </c>
      <c r="O3643" s="13" t="s">
        <v>58</v>
      </c>
      <c r="P3643" s="19" t="n">
        <f aca="false">80%*5195401</f>
        <v>4156320.8</v>
      </c>
      <c r="Q3643" s="20" t="s">
        <v>14838</v>
      </c>
      <c r="R3643" s="15" t="s">
        <v>73</v>
      </c>
      <c r="S3643" s="119" t="n">
        <v>36862</v>
      </c>
      <c r="T3643" s="12" t="s">
        <v>40</v>
      </c>
      <c r="U3643" s="15" t="s">
        <v>14778</v>
      </c>
      <c r="V3643" s="12" t="s">
        <v>42</v>
      </c>
      <c r="W3643" s="12" t="s">
        <v>54</v>
      </c>
      <c r="X3643" s="30" t="n">
        <v>89898270808</v>
      </c>
      <c r="Y3643" s="22" t="str">
        <f aca="false">O3643</f>
        <v>Produksi</v>
      </c>
      <c r="Z3643" s="13" t="str">
        <f aca="false">IFERROR(__xludf.dummyfunction("if(BJ3643="""","""",GOOGLETRANSLATE(BJ3643,""auto"",""en""))"),"Production")</f>
        <v>Production</v>
      </c>
      <c r="AA3643" s="23" t="str">
        <f aca="false">IF(C3643="","", CHOOSE(MONTH(C3643),"January","February","March","April","May","June","July","August","September","October","November","December")&amp;" "&amp;DAY(C3643)&amp;MID("thstndrdth",MIN(9,2*RIGHT(DAY(C3643))*(MOD(DAY(C3643)-11,100)&gt;2)+1),2)&amp;","&amp;TEXT(C3643," yyyy"))</f>
        <v>May 8th,2026</v>
      </c>
      <c r="AB3643" s="15" t="str">
        <f aca="true">IF(S3643="","",DATEDIF(S3643,TODAY(),"Y")&amp;" Tahun, "&amp;DATEDIF(S3643,TODAY(),"YM")&amp;" Bulan, "&amp;DATEDIF(S3643,TODAY(),"MD")&amp;" Hari")</f>
        <v>25 Tahun, 10 Bulan, 27 Hari</v>
      </c>
      <c r="AC3643" s="14" t="n">
        <v>46150</v>
      </c>
      <c r="AD3643" s="18" t="n">
        <f aca="false">EDATE(AC3643,6)-1</f>
        <v>46333</v>
      </c>
      <c r="AE3643" s="13" t="s">
        <v>397</v>
      </c>
    </row>
    <row r="3644" customFormat="false" ht="15" hidden="false" customHeight="true" outlineLevel="0" collapsed="false">
      <c r="A3644" s="12" t="n">
        <v>22263</v>
      </c>
      <c r="B3644" s="13" t="s">
        <v>14839</v>
      </c>
      <c r="C3644" s="16" t="n">
        <v>46161</v>
      </c>
      <c r="D3644" s="13" t="s">
        <v>11961</v>
      </c>
      <c r="E3644" s="15" t="s">
        <v>47</v>
      </c>
      <c r="F3644" s="24" t="s">
        <v>14840</v>
      </c>
      <c r="G3644" s="24" t="s">
        <v>57</v>
      </c>
      <c r="H3644" s="13" t="s">
        <v>35</v>
      </c>
      <c r="I3644" s="13" t="str">
        <f aca="false">IF(C3644=J3644,"NEW KONTRAK","RE-KONTRAK")</f>
        <v>NEW KONTRAK</v>
      </c>
      <c r="J3644" s="16" t="n">
        <f aca="false" t="array" ref="J3644:J3644">IFERROR(INDEX(AC3644:AE3644,IF(COUNTA(AC3644:AE3644)=0,"",MAX((AC3644:AE3644&lt;&gt;"")*(COLUMN(AC3644:AE3644)-(COLUMN(AC3644)))))-1),"")</f>
        <v>46161</v>
      </c>
      <c r="K3644" s="16" t="n">
        <f aca="false" t="array" ref="K3644:K3644">IFERROR(INDEX(AC3644:AE3644,IF(COUNTA(AC3644:AE3644)=0,"",MAX((AC3644:AE3644&lt;&gt;"")*(COLUMN(AC3644:AE3644)-(COLUMN(AC3644)-1))))-1),"")</f>
        <v>46252</v>
      </c>
      <c r="L3644" s="17" t="str">
        <f aca="false" t="array" ref="L3644:L3644">IFERROR(INDEX(AC3644:AE3644,IF(COUNTA(AC3644:AE3644)=0,"",MAX((AC3644:AE3644&lt;&gt;"")*(COLUMN(AC3644:AE3644)-(COLUMN(AC3644)-2))))-1),"")</f>
        <v>ARCHIVED</v>
      </c>
      <c r="M3644" s="13" t="n">
        <f aca="true">K3644-TODAY()</f>
        <v>-72</v>
      </c>
      <c r="N3644" s="18" t="s">
        <v>615</v>
      </c>
      <c r="O3644" s="13" t="s">
        <v>14841</v>
      </c>
      <c r="P3644" s="19" t="n">
        <v>5176101</v>
      </c>
      <c r="Q3644" s="20" t="s">
        <v>14842</v>
      </c>
      <c r="R3644" s="13" t="s">
        <v>232</v>
      </c>
      <c r="S3644" s="16" t="n">
        <v>36730</v>
      </c>
      <c r="T3644" s="13" t="s">
        <v>108</v>
      </c>
      <c r="U3644" s="13" t="s">
        <v>14843</v>
      </c>
      <c r="V3644" s="13" t="s">
        <v>42</v>
      </c>
      <c r="W3644" s="13" t="s">
        <v>43</v>
      </c>
      <c r="X3644" s="21" t="n">
        <v>85786149400</v>
      </c>
      <c r="Y3644" s="22" t="str">
        <f aca="false">O3644</f>
        <v>Human Resources (HR)</v>
      </c>
      <c r="Z3644" s="13" t="str">
        <f aca="false">IFERROR(__xludf.dummyfunction("if(BJ3644="""","""",GOOGLETRANSLATE(BJ3644,""auto"",""en""))"),"Human Resources (HR)")</f>
        <v>Human Resources (HR)</v>
      </c>
      <c r="AA3644" s="23" t="str">
        <f aca="false">IF(C3644="","", CHOOSE(MONTH(C3644),"January","February","March","April","May","June","July","August","September","October","November","December")&amp;" "&amp;DAY(C3644)&amp;MID("thstndrdth",MIN(9,2*RIGHT(DAY(C3644))*(MOD(DAY(C3644)-11,100)&gt;2)+1),2)&amp;","&amp;TEXT(C3644," yyyy"))</f>
        <v>May 19th,2026</v>
      </c>
      <c r="AB3644" s="15" t="str">
        <f aca="true">IF(S3644="","",DATEDIF(S3644,TODAY(),"Y")&amp;" Tahun, "&amp;DATEDIF(S3644,TODAY(),"YM")&amp;" Bulan, "&amp;DATEDIF(S3644,TODAY(),"MD")&amp;" Hari")</f>
        <v>26 Tahun, 3 Bulan, 6 Hari</v>
      </c>
      <c r="AC3644" s="18" t="n">
        <f aca="false">C3644</f>
        <v>46161</v>
      </c>
      <c r="AD3644" s="18" t="n">
        <f aca="false">EDATE(AC3644,3)-1</f>
        <v>46252</v>
      </c>
      <c r="AE3644" s="13" t="s">
        <v>44</v>
      </c>
    </row>
    <row r="3645" customFormat="false" ht="15" hidden="false" customHeight="true" outlineLevel="0" collapsed="false">
      <c r="A3645" s="12" t="n">
        <v>22264</v>
      </c>
      <c r="B3645" s="13" t="s">
        <v>14844</v>
      </c>
      <c r="C3645" s="16" t="n">
        <v>46153</v>
      </c>
      <c r="D3645" s="13" t="s">
        <v>5726</v>
      </c>
      <c r="E3645" s="15" t="s">
        <v>47</v>
      </c>
      <c r="F3645" s="24" t="s">
        <v>14845</v>
      </c>
      <c r="G3645" s="15" t="s">
        <v>14846</v>
      </c>
      <c r="H3645" s="13" t="s">
        <v>35</v>
      </c>
      <c r="I3645" s="13" t="str">
        <f aca="false">IF(C3645=J3645,"NEW KONTRAK","RE-KONTRAK")</f>
        <v>NEW KONTRAK</v>
      </c>
      <c r="J3645" s="16" t="n">
        <f aca="false" t="array" ref="J3645:J3645">IFERROR(INDEX(AC3645:AE3645,IF(COUNTA(AC3645:AE3645)=0,"",MAX((AC3645:AE3645&lt;&gt;"")*(COLUMN(AC3645:AE3645)-(COLUMN(AC3645)))))-1),"")</f>
        <v>46153</v>
      </c>
      <c r="K3645" s="16" t="n">
        <f aca="false" t="array" ref="K3645:K3645">IFERROR(INDEX(AC3645:AE3645,IF(COUNTA(AC3645:AE3645)=0,"",MAX((AC3645:AE3645&lt;&gt;"")*(COLUMN(AC3645:AE3645)-(COLUMN(AC3645)-1))))-1),"")</f>
        <v>46244</v>
      </c>
      <c r="L3645" s="17" t="str">
        <f aca="false" t="array" ref="L3645:L3645">IFERROR(INDEX(AC3645:AE3645,IF(COUNTA(AC3645:AE3645)=0,"",MAX((AC3645:AE3645&lt;&gt;"")*(COLUMN(AC3645:AE3645)-(COLUMN(AC3645)-2))))-1),"")</f>
        <v>KEMBALI</v>
      </c>
      <c r="M3645" s="13" t="n">
        <f aca="true">K3645-TODAY()</f>
        <v>-80</v>
      </c>
      <c r="N3645" s="18" t="s">
        <v>615</v>
      </c>
      <c r="O3645" s="13" t="s">
        <v>14847</v>
      </c>
      <c r="P3645" s="19" t="n">
        <v>5176101</v>
      </c>
      <c r="Q3645" s="20" t="s">
        <v>14848</v>
      </c>
      <c r="R3645" s="13" t="s">
        <v>65</v>
      </c>
      <c r="S3645" s="14" t="n">
        <v>37771</v>
      </c>
      <c r="T3645" s="13" t="s">
        <v>108</v>
      </c>
      <c r="U3645" s="13" t="s">
        <v>14849</v>
      </c>
      <c r="V3645" s="13" t="s">
        <v>42</v>
      </c>
      <c r="W3645" s="13" t="s">
        <v>43</v>
      </c>
      <c r="X3645" s="21" t="n">
        <v>819802003</v>
      </c>
      <c r="Y3645" s="22" t="str">
        <f aca="false">O3645</f>
        <v>Staff Admin</v>
      </c>
      <c r="Z3645" s="13" t="str">
        <f aca="false">IFERROR(__xludf.dummyfunction("if(BJ3645="""","""",GOOGLETRANSLATE(BJ3645,""auto"",""en""))"),"Staff Admin")</f>
        <v>Staff Admin</v>
      </c>
      <c r="AA3645" s="23" t="str">
        <f aca="false">IF(C3645="","", CHOOSE(MONTH(C3645),"January","February","March","April","May","June","July","August","September","October","November","December")&amp;" "&amp;DAY(C3645)&amp;MID("thstndrdth",MIN(9,2*RIGHT(DAY(C3645))*(MOD(DAY(C3645)-11,100)&gt;2)+1),2)&amp;","&amp;TEXT(C3645," yyyy"))</f>
        <v>May 11th,2026</v>
      </c>
      <c r="AB3645" s="15" t="str">
        <f aca="true">IF(S3645="","",DATEDIF(S3645,TODAY(),"Y")&amp;" Tahun, "&amp;DATEDIF(S3645,TODAY(),"YM")&amp;" Bulan, "&amp;DATEDIF(S3645,TODAY(),"MD")&amp;" Hari")</f>
        <v>23 Tahun, 4 Bulan, 29 Hari</v>
      </c>
      <c r="AC3645" s="18" t="n">
        <f aca="false">C3645</f>
        <v>46153</v>
      </c>
      <c r="AD3645" s="18" t="n">
        <f aca="false">EDATE(AC3645,3)-1</f>
        <v>46244</v>
      </c>
      <c r="AE3645" s="13" t="s">
        <v>397</v>
      </c>
    </row>
    <row r="3646" customFormat="false" ht="15" hidden="false" customHeight="true" outlineLevel="0" collapsed="false">
      <c r="A3646" s="12" t="n">
        <v>22265</v>
      </c>
      <c r="B3646" s="13" t="s">
        <v>14850</v>
      </c>
      <c r="C3646" s="16" t="n">
        <v>46158</v>
      </c>
      <c r="D3646" s="13" t="s">
        <v>1338</v>
      </c>
      <c r="E3646" s="15" t="s">
        <v>102</v>
      </c>
      <c r="F3646" s="24" t="s">
        <v>14851</v>
      </c>
      <c r="G3646" s="13" t="s">
        <v>57</v>
      </c>
      <c r="H3646" s="13" t="s">
        <v>35</v>
      </c>
      <c r="I3646" s="13" t="str">
        <f aca="false">IF(C3646=J3646,"NEW KONTRAK","RE-KONTRAK")</f>
        <v>NEW KONTRAK</v>
      </c>
      <c r="J3646" s="16" t="n">
        <f aca="false" t="array" ref="J3646:J3646">IFERROR(INDEX(AC3646:AE3646,IF(COUNTA(AC3646:AE3646)=0,"",MAX((AC3646:AE3646&lt;&gt;"")*(COLUMN(AC3646:AE3646)-(COLUMN(AC3646)))))-1),"")</f>
        <v>46158</v>
      </c>
      <c r="K3646" s="16" t="n">
        <f aca="false" t="array" ref="K3646:K3646">IFERROR(INDEX(AC3646:AE3646,IF(COUNTA(AC3646:AE3646)=0,"",MAX((AC3646:AE3646&lt;&gt;"")*(COLUMN(AC3646:AE3646)-(COLUMN(AC3646)-1))))-1),"")</f>
        <v>46249</v>
      </c>
      <c r="L3646" s="17" t="str">
        <f aca="false" t="array" ref="L3646:L3646">IFERROR(INDEX(AC3646:AE3646,IF(COUNTA(AC3646:AE3646)=0,"",MAX((AC3646:AE3646&lt;&gt;"")*(COLUMN(AC3646:AE3646)-(COLUMN(AC3646)-2))))-1),"")</f>
        <v>ARCHIVED</v>
      </c>
      <c r="M3646" s="13" t="n">
        <f aca="true">K3646-TODAY()</f>
        <v>-75</v>
      </c>
      <c r="N3646" s="18" t="s">
        <v>14571</v>
      </c>
      <c r="O3646" s="13" t="s">
        <v>14572</v>
      </c>
      <c r="P3646" s="19" t="n">
        <v>3012197</v>
      </c>
      <c r="Q3646" s="20" t="s">
        <v>14852</v>
      </c>
      <c r="R3646" s="13" t="s">
        <v>735</v>
      </c>
      <c r="S3646" s="14" t="n">
        <v>37277</v>
      </c>
      <c r="T3646" s="13" t="s">
        <v>108</v>
      </c>
      <c r="U3646" s="13" t="s">
        <v>14853</v>
      </c>
      <c r="V3646" s="13" t="s">
        <v>42</v>
      </c>
      <c r="W3646" s="28" t="s">
        <v>43</v>
      </c>
      <c r="X3646" s="21" t="n">
        <v>85852006108</v>
      </c>
      <c r="Y3646" s="22" t="str">
        <f aca="false">O3646</f>
        <v>SPB Jember</v>
      </c>
      <c r="Z3646" s="13" t="str">
        <f aca="false">IFERROR(__xludf.dummyfunction("if(BJ3646="""","""",GOOGLETRANSLATE(BJ3646,""auto"",""en""))"),"Jember SPB")</f>
        <v>Jember SPB</v>
      </c>
      <c r="AA3646" s="23" t="str">
        <f aca="false">IF(C3646="","", CHOOSE(MONTH(C3646),"January","February","March","April","May","June","July","August","September","October","November","December")&amp;" "&amp;DAY(C3646)&amp;MID("thstndrdth",MIN(9,2*RIGHT(DAY(C3646))*(MOD(DAY(C3646)-11,100)&gt;2)+1),2)&amp;","&amp;TEXT(C3646," yyyy"))</f>
        <v>May 16th,2026</v>
      </c>
      <c r="AB3646" s="15" t="str">
        <f aca="true">IF(S3646="","",DATEDIF(S3646,TODAY(),"Y")&amp;" Tahun, "&amp;DATEDIF(S3646,TODAY(),"YM")&amp;" Bulan, "&amp;DATEDIF(S3646,TODAY(),"MD")&amp;" Hari")</f>
        <v>24 Tahun, 9 Bulan, 8 Hari</v>
      </c>
      <c r="AC3646" s="14" t="n">
        <f aca="false">C3646</f>
        <v>46158</v>
      </c>
      <c r="AD3646" s="18" t="n">
        <f aca="false">EDATE(AC3646,3)-1</f>
        <v>46249</v>
      </c>
      <c r="AE3646" s="13" t="s">
        <v>44</v>
      </c>
    </row>
    <row r="3647" customFormat="false" ht="15" hidden="false" customHeight="true" outlineLevel="0" collapsed="false">
      <c r="A3647" s="12" t="n">
        <v>22266</v>
      </c>
      <c r="B3647" s="13" t="s">
        <v>14854</v>
      </c>
      <c r="C3647" s="16" t="n">
        <v>46158</v>
      </c>
      <c r="D3647" s="13" t="s">
        <v>1338</v>
      </c>
      <c r="E3647" s="15" t="s">
        <v>102</v>
      </c>
      <c r="F3647" s="24" t="s">
        <v>14855</v>
      </c>
      <c r="G3647" s="13" t="s">
        <v>57</v>
      </c>
      <c r="H3647" s="13" t="s">
        <v>35</v>
      </c>
      <c r="I3647" s="13" t="str">
        <f aca="false">IF(C3647=J3647,"NEW KONTRAK","RE-KONTRAK")</f>
        <v>NEW KONTRAK</v>
      </c>
      <c r="J3647" s="16" t="n">
        <f aca="false" t="array" ref="J3647:J3647">IFERROR(INDEX(AC3647:AE3647,IF(COUNTA(AC3647:AE3647)=0,"",MAX((AC3647:AE3647&lt;&gt;"")*(COLUMN(AC3647:AE3647)-(COLUMN(AC3647)))))-1),"")</f>
        <v>46158</v>
      </c>
      <c r="K3647" s="16" t="n">
        <f aca="false" t="array" ref="K3647:K3647">IFERROR(INDEX(AC3647:AE3647,IF(COUNTA(AC3647:AE3647)=0,"",MAX((AC3647:AE3647&lt;&gt;"")*(COLUMN(AC3647:AE3647)-(COLUMN(AC3647)-1))))-1),"")</f>
        <v>46249</v>
      </c>
      <c r="L3647" s="17" t="str">
        <f aca="false" t="array" ref="L3647:L3647">IFERROR(INDEX(AC3647:AE3647,IF(COUNTA(AC3647:AE3647)=0,"",MAX((AC3647:AE3647&lt;&gt;"")*(COLUMN(AC3647:AE3647)-(COLUMN(AC3647)-2))))-1),"")</f>
        <v>ARCHIVED</v>
      </c>
      <c r="M3647" s="13" t="n">
        <f aca="true">K3647-TODAY()</f>
        <v>-75</v>
      </c>
      <c r="N3647" s="18" t="s">
        <v>2356</v>
      </c>
      <c r="O3647" s="13" t="s">
        <v>14856</v>
      </c>
      <c r="P3647" s="19" t="n">
        <v>3650000</v>
      </c>
      <c r="Q3647" s="20" t="s">
        <v>14857</v>
      </c>
      <c r="R3647" s="13" t="s">
        <v>14858</v>
      </c>
      <c r="S3647" s="14" t="n">
        <v>35952</v>
      </c>
      <c r="T3647" s="13" t="s">
        <v>40</v>
      </c>
      <c r="U3647" s="13" t="s">
        <v>14859</v>
      </c>
      <c r="V3647" s="13" t="s">
        <v>42</v>
      </c>
      <c r="W3647" s="28" t="s">
        <v>43</v>
      </c>
      <c r="X3647" s="21" t="n">
        <v>82293704904</v>
      </c>
      <c r="Y3647" s="22" t="str">
        <f aca="false">O3647</f>
        <v>SPB Makassar</v>
      </c>
      <c r="Z3647" s="13" t="str">
        <f aca="false">IFERROR(__xludf.dummyfunction("if(BJ3647="""","""",GOOGLETRANSLATE(BJ3647,""auto"",""en""))"),"SPB Makassar")</f>
        <v>SPB Makassar</v>
      </c>
      <c r="AA3647" s="23" t="str">
        <f aca="false">IF(C3647="","", CHOOSE(MONTH(C3647),"January","February","March","April","May","June","July","August","September","October","November","December")&amp;" "&amp;DAY(C3647)&amp;MID("thstndrdth",MIN(9,2*RIGHT(DAY(C3647))*(MOD(DAY(C3647)-11,100)&gt;2)+1),2)&amp;","&amp;TEXT(C3647," yyyy"))</f>
        <v>May 16th,2026</v>
      </c>
      <c r="AB3647" s="15" t="str">
        <f aca="true">IF(S3647="","",DATEDIF(S3647,TODAY(),"Y")&amp;" Tahun, "&amp;DATEDIF(S3647,TODAY(),"YM")&amp;" Bulan, "&amp;DATEDIF(S3647,TODAY(),"MD")&amp;" Hari")</f>
        <v>28 Tahun, 4 Bulan, 23 Hari</v>
      </c>
      <c r="AC3647" s="14" t="n">
        <f aca="false">C3647</f>
        <v>46158</v>
      </c>
      <c r="AD3647" s="18" t="n">
        <f aca="false">EDATE(AC3647,3)-1</f>
        <v>46249</v>
      </c>
      <c r="AE3647" s="13" t="s">
        <v>44</v>
      </c>
    </row>
    <row r="3648" customFormat="false" ht="15" hidden="false" customHeight="true" outlineLevel="0" collapsed="false">
      <c r="A3648" s="12" t="n">
        <v>22267</v>
      </c>
      <c r="B3648" s="13" t="s">
        <v>14860</v>
      </c>
      <c r="C3648" s="16" t="n">
        <v>46150</v>
      </c>
      <c r="D3648" s="13" t="s">
        <v>2148</v>
      </c>
      <c r="E3648" s="15" t="s">
        <v>102</v>
      </c>
      <c r="F3648" s="24" t="s">
        <v>14861</v>
      </c>
      <c r="G3648" s="13" t="s">
        <v>57</v>
      </c>
      <c r="H3648" s="13" t="s">
        <v>35</v>
      </c>
      <c r="I3648" s="13" t="str">
        <f aca="false">IF(C3648=J3648,"NEW KONTRAK","RE-KONTRAK")</f>
        <v>NEW KONTRAK</v>
      </c>
      <c r="J3648" s="16" t="n">
        <f aca="false" t="array" ref="J3648:J3648">IFERROR(INDEX(AC3648:AE3648,IF(COUNTA(AC3648:AE3648)=0,"",MAX((AC3648:AE3648&lt;&gt;"")*(COLUMN(AC3648:AE3648)-(COLUMN(AC3648)))))-1),"")</f>
        <v>46150</v>
      </c>
      <c r="K3648" s="16" t="n">
        <f aca="false" t="array" ref="K3648:K3648">IFERROR(INDEX(AC3648:AE3648,IF(COUNTA(AC3648:AE3648)=0,"",MAX((AC3648:AE3648&lt;&gt;"")*(COLUMN(AC3648:AE3648)-(COLUMN(AC3648)-1))))-1),"")</f>
        <v>46188</v>
      </c>
      <c r="L3648" s="17" t="str">
        <f aca="false" t="array" ref="L3648:L3648">IFERROR(INDEX(AC3648:AE3648,IF(COUNTA(AC3648:AE3648)=0,"",MAX((AC3648:AE3648&lt;&gt;"")*(COLUMN(AC3648:AE3648)-(COLUMN(AC3648)-2))))-1),"")</f>
        <v>KEMBALI</v>
      </c>
      <c r="M3648" s="13" t="n">
        <f aca="true">K3648-TODAY()</f>
        <v>-136</v>
      </c>
      <c r="N3648" s="18" t="s">
        <v>105</v>
      </c>
      <c r="O3648" s="13" t="s">
        <v>11246</v>
      </c>
      <c r="P3648" s="19" t="n">
        <v>247216</v>
      </c>
      <c r="Q3648" s="47" t="s">
        <v>14862</v>
      </c>
      <c r="R3648" s="13" t="s">
        <v>324</v>
      </c>
      <c r="S3648" s="25" t="n">
        <v>36849</v>
      </c>
      <c r="T3648" s="13" t="s">
        <v>108</v>
      </c>
      <c r="U3648" s="13" t="s">
        <v>14863</v>
      </c>
      <c r="V3648" s="13" t="s">
        <v>42</v>
      </c>
      <c r="W3648" s="13" t="s">
        <v>43</v>
      </c>
      <c r="X3648" s="21" t="s">
        <v>14864</v>
      </c>
      <c r="Y3648" s="22" t="str">
        <f aca="false">O3648</f>
        <v>Admin Purchasing</v>
      </c>
      <c r="Z3648" s="13" t="str">
        <f aca="false">IFERROR(__xludf.dummyfunction("if(BJ3648="""","""",GOOGLETRANSLATE(BJ3648,""auto"",""en""))"),"Admin Purchasing")</f>
        <v>Admin Purchasing</v>
      </c>
      <c r="AA3648" s="23" t="str">
        <f aca="false">IF(C3648="","", CHOOSE(MONTH(C3648),"January","February","March","April","May","June","July","August","September","October","November","December")&amp;" "&amp;DAY(C3648)&amp;MID("thstndrdth",MIN(9,2*RIGHT(DAY(C3648))*(MOD(DAY(C3648)-11,100)&gt;2)+1),2)&amp;","&amp;TEXT(C3648," yyyy"))</f>
        <v>May 8th,2026</v>
      </c>
      <c r="AB3648" s="15" t="str">
        <f aca="true">IF(S3648="","",DATEDIF(S3648,TODAY(),"Y")&amp;" Tahun, "&amp;DATEDIF(S3648,TODAY(),"YM")&amp;" Bulan, "&amp;DATEDIF(S3648,TODAY(),"MD")&amp;" Hari")</f>
        <v>25 Tahun, 11 Bulan, 10 Hari</v>
      </c>
      <c r="AC3648" s="14" t="n">
        <f aca="false">C3648</f>
        <v>46150</v>
      </c>
      <c r="AD3648" s="18" t="n">
        <v>46188</v>
      </c>
      <c r="AE3648" s="13" t="s">
        <v>397</v>
      </c>
    </row>
    <row r="3649" customFormat="false" ht="15" hidden="false" customHeight="true" outlineLevel="0" collapsed="false">
      <c r="A3649" s="12" t="n">
        <v>22268</v>
      </c>
      <c r="B3649" s="76" t="s">
        <v>14865</v>
      </c>
      <c r="C3649" s="16" t="n">
        <v>46160</v>
      </c>
      <c r="D3649" s="13" t="s">
        <v>404</v>
      </c>
      <c r="E3649" s="15" t="s">
        <v>47</v>
      </c>
      <c r="F3649" s="24" t="s">
        <v>14866</v>
      </c>
      <c r="G3649" s="24" t="s">
        <v>57</v>
      </c>
      <c r="H3649" s="13" t="s">
        <v>35</v>
      </c>
      <c r="I3649" s="13" t="str">
        <f aca="false">IF(C3649=J3649,"NEW KONTRAK","RE-KONTRAK")</f>
        <v>NEW KONTRAK</v>
      </c>
      <c r="J3649" s="16" t="n">
        <f aca="false" t="array" ref="J3649:J3649">IFERROR(INDEX(AC3649:AE3649,IF(COUNTA(AC3649:AE3649)=0,"",MAX((AC3649:AE3649&lt;&gt;"")*(COLUMN(AC3649:AE3649)-(COLUMN(AC3649)))))-1),"")</f>
        <v>46160</v>
      </c>
      <c r="K3649" s="16" t="n">
        <f aca="false" t="array" ref="K3649:K3649">IFERROR(INDEX(AC3649:AE3649,IF(COUNTA(AC3649:AE3649)=0,"",MAX((AC3649:AE3649&lt;&gt;"")*(COLUMN(AC3649:AE3649)-(COLUMN(AC3649)-1))))-1),"")</f>
        <v>46251</v>
      </c>
      <c r="L3649" s="17" t="str">
        <f aca="false" t="array" ref="L3649:L3649">IFERROR(INDEX(AC3649:AE3649,IF(COUNTA(AC3649:AE3649)=0,"",MAX((AC3649:AE3649&lt;&gt;"")*(COLUMN(AC3649:AE3649)-(COLUMN(AC3649)-2))))-1),"")</f>
        <v>ARCHIVED</v>
      </c>
      <c r="M3649" s="13" t="n">
        <f aca="true">K3649-TODAY()</f>
        <v>-73</v>
      </c>
      <c r="N3649" s="18" t="s">
        <v>36</v>
      </c>
      <c r="O3649" s="76" t="s">
        <v>450</v>
      </c>
      <c r="P3649" s="26" t="n">
        <v>5195401</v>
      </c>
      <c r="Q3649" s="113" t="s">
        <v>14867</v>
      </c>
      <c r="R3649" s="76" t="s">
        <v>52</v>
      </c>
      <c r="S3649" s="120" t="n">
        <v>37803</v>
      </c>
      <c r="T3649" s="76" t="s">
        <v>40</v>
      </c>
      <c r="U3649" s="76" t="s">
        <v>14868</v>
      </c>
      <c r="V3649" s="76" t="s">
        <v>42</v>
      </c>
      <c r="W3649" s="76" t="s">
        <v>43</v>
      </c>
      <c r="X3649" s="21" t="n">
        <v>82140986767</v>
      </c>
      <c r="Y3649" s="22" t="str">
        <f aca="false">O3649</f>
        <v>QC &amp; QA</v>
      </c>
      <c r="Z3649" s="13" t="str">
        <f aca="false">IFERROR(__xludf.dummyfunction("if(BJ3649="""","""",GOOGLETRANSLATE(BJ3649,""auto"",""en""))"),"QC &amp; QA")</f>
        <v>QC &amp; QA</v>
      </c>
      <c r="AA3649" s="23" t="str">
        <f aca="false">IF(C3649="","", CHOOSE(MONTH(C3649),"January","February","March","April","May","June","July","August","September","October","November","December")&amp;" "&amp;DAY(C3649)&amp;MID("thstndrdth",MIN(9,2*RIGHT(DAY(C3649))*(MOD(DAY(C3649)-11,100)&gt;2)+1),2)&amp;","&amp;TEXT(C3649," yyyy"))</f>
        <v>May 18th,2026</v>
      </c>
      <c r="AB3649" s="15" t="str">
        <f aca="true">IF(S3649="","",DATEDIF(S3649,TODAY(),"Y")&amp;" Tahun, "&amp;DATEDIF(S3649,TODAY(),"YM")&amp;" Bulan, "&amp;DATEDIF(S3649,TODAY(),"MD")&amp;" Hari")</f>
        <v>23 Tahun, 3 Bulan, 28 Hari</v>
      </c>
      <c r="AC3649" s="14" t="n">
        <v>46160</v>
      </c>
      <c r="AD3649" s="18" t="n">
        <f aca="false">EDATE(AC3649,3)-1</f>
        <v>46251</v>
      </c>
      <c r="AE3649" s="13" t="s">
        <v>44</v>
      </c>
    </row>
    <row r="3650" customFormat="false" ht="15" hidden="false" customHeight="true" outlineLevel="0" collapsed="false">
      <c r="A3650" s="12" t="n">
        <v>22269</v>
      </c>
      <c r="B3650" s="76" t="s">
        <v>14869</v>
      </c>
      <c r="C3650" s="16" t="n">
        <v>46158</v>
      </c>
      <c r="D3650" s="13" t="s">
        <v>10155</v>
      </c>
      <c r="E3650" s="15" t="s">
        <v>47</v>
      </c>
      <c r="F3650" s="24" t="s">
        <v>14870</v>
      </c>
      <c r="G3650" s="15" t="s">
        <v>1127</v>
      </c>
      <c r="H3650" s="13" t="s">
        <v>35</v>
      </c>
      <c r="I3650" s="13" t="str">
        <f aca="false">IF(C3650=J3650,"NEW KONTRAK","RE-KONTRAK")</f>
        <v>NEW KONTRAK</v>
      </c>
      <c r="J3650" s="16" t="n">
        <f aca="false" t="array" ref="J3650:J3650">IFERROR(INDEX(AC3650:AE3650,IF(COUNTA(AC3650:AE3650)=0,"",MAX((AC3650:AE3650&lt;&gt;"")*(COLUMN(AC3650:AE3650)-(COLUMN(AC3650)))))-1),"")</f>
        <v>46158</v>
      </c>
      <c r="K3650" s="16" t="n">
        <f aca="false" t="array" ref="K3650:K3650">IFERROR(INDEX(AC3650:AE3650,IF(COUNTA(AC3650:AE3650)=0,"",MAX((AC3650:AE3650&lt;&gt;"")*(COLUMN(AC3650:AE3650)-(COLUMN(AC3650)-1))))-1),"")</f>
        <v>46203</v>
      </c>
      <c r="L3650" s="17" t="str">
        <f aca="false" t="array" ref="L3650:L3650">IFERROR(INDEX(AC3650:AE3650,IF(COUNTA(AC3650:AE3650)=0,"",MAX((AC3650:AE3650&lt;&gt;"")*(COLUMN(AC3650:AE3650)-(COLUMN(AC3650)-2))))-1),"")</f>
        <v>KEMBALI</v>
      </c>
      <c r="M3650" s="13" t="n">
        <f aca="true">K3650-TODAY()</f>
        <v>-121</v>
      </c>
      <c r="N3650" s="18" t="s">
        <v>36</v>
      </c>
      <c r="O3650" s="76" t="s">
        <v>14871</v>
      </c>
      <c r="P3650" s="19" t="n">
        <v>5195401</v>
      </c>
      <c r="Q3650" s="20" t="s">
        <v>14872</v>
      </c>
      <c r="R3650" s="13" t="s">
        <v>65</v>
      </c>
      <c r="S3650" s="14" t="n">
        <v>37211</v>
      </c>
      <c r="T3650" s="13" t="s">
        <v>40</v>
      </c>
      <c r="U3650" s="13" t="s">
        <v>14873</v>
      </c>
      <c r="V3650" s="13" t="s">
        <v>42</v>
      </c>
      <c r="W3650" s="13" t="s">
        <v>43</v>
      </c>
      <c r="X3650" s="30" t="n">
        <v>89697829221</v>
      </c>
      <c r="Y3650" s="22" t="str">
        <f aca="false">O3650</f>
        <v>LS P2 &amp; P5 Quality Control</v>
      </c>
      <c r="Z3650" s="13" t="str">
        <f aca="false">IFERROR(__xludf.dummyfunction("if(BJ3650="""","""",GOOGLETRANSLATE(BJ3650,""auto"",""en""))"),"LS P2 &amp; P5 Quality Control")</f>
        <v>LS P2 &amp; P5 Quality Control</v>
      </c>
      <c r="AA3650" s="23" t="str">
        <f aca="false">IF(C3650="","", CHOOSE(MONTH(C3650),"January","February","March","April","May","June","July","August","September","October","November","December")&amp;" "&amp;DAY(C3650)&amp;MID("thstndrdth",MIN(9,2*RIGHT(DAY(C3650))*(MOD(DAY(C3650)-11,100)&gt;2)+1),2)&amp;","&amp;TEXT(C3650," yyyy"))</f>
        <v>May 16th,2026</v>
      </c>
      <c r="AB3650" s="15" t="str">
        <f aca="true">IF(S3650="","",DATEDIF(S3650,TODAY(),"Y")&amp;" Tahun, "&amp;DATEDIF(S3650,TODAY(),"YM")&amp;" Bulan, "&amp;DATEDIF(S3650,TODAY(),"MD")&amp;" Hari")</f>
        <v>24 Tahun, 11 Bulan, 13 Hari</v>
      </c>
      <c r="AC3650" s="14" t="n">
        <v>46158</v>
      </c>
      <c r="AD3650" s="18" t="n">
        <v>46203</v>
      </c>
      <c r="AE3650" s="13" t="s">
        <v>397</v>
      </c>
    </row>
    <row r="3651" customFormat="false" ht="15" hidden="false" customHeight="true" outlineLevel="0" collapsed="false">
      <c r="A3651" s="12" t="n">
        <v>22270</v>
      </c>
      <c r="B3651" s="76" t="s">
        <v>14874</v>
      </c>
      <c r="C3651" s="16" t="n">
        <v>46158</v>
      </c>
      <c r="D3651" s="13" t="s">
        <v>10155</v>
      </c>
      <c r="E3651" s="15" t="s">
        <v>47</v>
      </c>
      <c r="F3651" s="24" t="s">
        <v>14875</v>
      </c>
      <c r="G3651" s="15" t="s">
        <v>1127</v>
      </c>
      <c r="H3651" s="13" t="s">
        <v>35</v>
      </c>
      <c r="I3651" s="13" t="str">
        <f aca="false">IF(C3651=J3651,"NEW KONTRAK","RE-KONTRAK")</f>
        <v>NEW KONTRAK</v>
      </c>
      <c r="J3651" s="16" t="n">
        <f aca="false" t="array" ref="J3651:J3651">IFERROR(INDEX(AC3651:AE3651,IF(COUNTA(AC3651:AE3651)=0,"",MAX((AC3651:AE3651&lt;&gt;"")*(COLUMN(AC3651:AE3651)-(COLUMN(AC3651)))))-1),"")</f>
        <v>46158</v>
      </c>
      <c r="K3651" s="16" t="n">
        <f aca="false" t="array" ref="K3651:K3651">IFERROR(INDEX(AC3651:AE3651,IF(COUNTA(AC3651:AE3651)=0,"",MAX((AC3651:AE3651&lt;&gt;"")*(COLUMN(AC3651:AE3651)-(COLUMN(AC3651)-1))))-1),"")</f>
        <v>46203</v>
      </c>
      <c r="L3651" s="17" t="str">
        <f aca="false" t="array" ref="L3651:L3651">IFERROR(INDEX(AC3651:AE3651,IF(COUNTA(AC3651:AE3651)=0,"",MAX((AC3651:AE3651&lt;&gt;"")*(COLUMN(AC3651:AE3651)-(COLUMN(AC3651)-2))))-1),"")</f>
        <v>KEMBALI</v>
      </c>
      <c r="M3651" s="13" t="n">
        <f aca="true">K3651-TODAY()</f>
        <v>-121</v>
      </c>
      <c r="N3651" s="18" t="s">
        <v>36</v>
      </c>
      <c r="O3651" s="76" t="s">
        <v>10609</v>
      </c>
      <c r="P3651" s="19" t="n">
        <v>5195401</v>
      </c>
      <c r="Q3651" s="20" t="s">
        <v>14876</v>
      </c>
      <c r="R3651" s="13" t="s">
        <v>65</v>
      </c>
      <c r="S3651" s="14" t="n">
        <v>37455</v>
      </c>
      <c r="T3651" s="13" t="s">
        <v>40</v>
      </c>
      <c r="U3651" s="13" t="s">
        <v>14877</v>
      </c>
      <c r="V3651" s="13" t="s">
        <v>42</v>
      </c>
      <c r="W3651" s="13" t="s">
        <v>54</v>
      </c>
      <c r="X3651" s="30" t="n">
        <v>89599586693</v>
      </c>
      <c r="Y3651" s="22" t="str">
        <f aca="false">O3651</f>
        <v>Hot CS &amp; SB P3 Maintenance</v>
      </c>
      <c r="Z3651" s="13" t="str">
        <f aca="false">IFERROR(__xludf.dummyfunction("if(BJ3651="""","""",GOOGLETRANSLATE(BJ3651,""auto"",""en""))"),"Hot CS &amp; SB P3 Maintenance")</f>
        <v>Hot CS &amp; SB P3 Maintenance</v>
      </c>
      <c r="AA3651" s="23" t="str">
        <f aca="false">IF(C3651="","", CHOOSE(MONTH(C3651),"January","February","March","April","May","June","July","August","September","October","November","December")&amp;" "&amp;DAY(C3651)&amp;MID("thstndrdth",MIN(9,2*RIGHT(DAY(C3651))*(MOD(DAY(C3651)-11,100)&gt;2)+1),2)&amp;","&amp;TEXT(C3651," yyyy"))</f>
        <v>May 16th,2026</v>
      </c>
      <c r="AB3651" s="15" t="str">
        <f aca="true">IF(S3651="","",DATEDIF(S3651,TODAY(),"Y")&amp;" Tahun, "&amp;DATEDIF(S3651,TODAY(),"YM")&amp;" Bulan, "&amp;DATEDIF(S3651,TODAY(),"MD")&amp;" Hari")</f>
        <v>24 Tahun, 3 Bulan, 11 Hari</v>
      </c>
      <c r="AC3651" s="14" t="n">
        <v>46158</v>
      </c>
      <c r="AD3651" s="18" t="n">
        <v>46203</v>
      </c>
      <c r="AE3651" s="13" t="s">
        <v>397</v>
      </c>
    </row>
    <row r="3652" customFormat="false" ht="15" hidden="false" customHeight="true" outlineLevel="0" collapsed="false">
      <c r="A3652" s="12" t="n">
        <v>22271</v>
      </c>
      <c r="B3652" s="76" t="s">
        <v>14878</v>
      </c>
      <c r="C3652" s="16" t="n">
        <v>46158</v>
      </c>
      <c r="D3652" s="13" t="s">
        <v>10155</v>
      </c>
      <c r="E3652" s="15" t="s">
        <v>47</v>
      </c>
      <c r="F3652" s="24" t="s">
        <v>14879</v>
      </c>
      <c r="G3652" s="15" t="s">
        <v>1127</v>
      </c>
      <c r="H3652" s="13" t="s">
        <v>35</v>
      </c>
      <c r="I3652" s="13" t="str">
        <f aca="false">IF(C3652=J3652,"NEW KONTRAK","RE-KONTRAK")</f>
        <v>NEW KONTRAK</v>
      </c>
      <c r="J3652" s="16" t="n">
        <f aca="false" t="array" ref="J3652:J3652">IFERROR(INDEX(AC3652:AE3652,IF(COUNTA(AC3652:AE3652)=0,"",MAX((AC3652:AE3652&lt;&gt;"")*(COLUMN(AC3652:AE3652)-(COLUMN(AC3652)))))-1),"")</f>
        <v>46158</v>
      </c>
      <c r="K3652" s="16" t="n">
        <f aca="false" t="array" ref="K3652:K3652">IFERROR(INDEX(AC3652:AE3652,IF(COUNTA(AC3652:AE3652)=0,"",MAX((AC3652:AE3652&lt;&gt;"")*(COLUMN(AC3652:AE3652)-(COLUMN(AC3652)-1))))-1),"")</f>
        <v>46203</v>
      </c>
      <c r="L3652" s="17" t="str">
        <f aca="false" t="array" ref="L3652:L3652">IFERROR(INDEX(AC3652:AE3652,IF(COUNTA(AC3652:AE3652)=0,"",MAX((AC3652:AE3652&lt;&gt;"")*(COLUMN(AC3652:AE3652)-(COLUMN(AC3652)-2))))-1),"")</f>
        <v>KEMBALI</v>
      </c>
      <c r="M3652" s="13" t="n">
        <f aca="true">K3652-TODAY()</f>
        <v>-121</v>
      </c>
      <c r="N3652" s="18" t="s">
        <v>36</v>
      </c>
      <c r="O3652" s="76" t="s">
        <v>10609</v>
      </c>
      <c r="P3652" s="19" t="n">
        <v>5195401</v>
      </c>
      <c r="Q3652" s="20" t="s">
        <v>14880</v>
      </c>
      <c r="R3652" s="13" t="s">
        <v>65</v>
      </c>
      <c r="S3652" s="14" t="n">
        <v>39299</v>
      </c>
      <c r="T3652" s="13" t="s">
        <v>40</v>
      </c>
      <c r="U3652" s="13" t="s">
        <v>14881</v>
      </c>
      <c r="V3652" s="13" t="s">
        <v>42</v>
      </c>
      <c r="W3652" s="13" t="s">
        <v>43</v>
      </c>
      <c r="X3652" s="30" t="n">
        <v>85365472269</v>
      </c>
      <c r="Y3652" s="22" t="str">
        <f aca="false">O3652</f>
        <v>Hot CS &amp; SB P3 Maintenance</v>
      </c>
      <c r="Z3652" s="13" t="str">
        <f aca="false">IFERROR(__xludf.dummyfunction("if(BJ3652="""","""",GOOGLETRANSLATE(BJ3652,""auto"",""en""))"),"Hot CS &amp; SB P3 Maintenance")</f>
        <v>Hot CS &amp; SB P3 Maintenance</v>
      </c>
      <c r="AA3652" s="23" t="str">
        <f aca="false">IF(C3652="","", CHOOSE(MONTH(C3652),"January","February","March","April","May","June","July","August","September","October","November","December")&amp;" "&amp;DAY(C3652)&amp;MID("thstndrdth",MIN(9,2*RIGHT(DAY(C3652))*(MOD(DAY(C3652)-11,100)&gt;2)+1),2)&amp;","&amp;TEXT(C3652," yyyy"))</f>
        <v>May 16th,2026</v>
      </c>
      <c r="AB3652" s="15" t="str">
        <f aca="true">IF(S3652="","",DATEDIF(S3652,TODAY(),"Y")&amp;" Tahun, "&amp;DATEDIF(S3652,TODAY(),"YM")&amp;" Bulan, "&amp;DATEDIF(S3652,TODAY(),"MD")&amp;" Hari")</f>
        <v>19 Tahun, 2 Bulan, 24 Hari</v>
      </c>
      <c r="AC3652" s="14" t="n">
        <v>46158</v>
      </c>
      <c r="AD3652" s="18" t="n">
        <v>46203</v>
      </c>
      <c r="AE3652" s="13" t="s">
        <v>397</v>
      </c>
    </row>
    <row r="3653" customFormat="false" ht="15" hidden="false" customHeight="true" outlineLevel="0" collapsed="false">
      <c r="A3653" s="12" t="n">
        <v>22272</v>
      </c>
      <c r="B3653" s="13" t="s">
        <v>14882</v>
      </c>
      <c r="C3653" s="16" t="n">
        <v>46140</v>
      </c>
      <c r="D3653" s="13" t="s">
        <v>144</v>
      </c>
      <c r="E3653" s="15" t="s">
        <v>47</v>
      </c>
      <c r="F3653" s="24" t="s">
        <v>14883</v>
      </c>
      <c r="G3653" s="24" t="s">
        <v>57</v>
      </c>
      <c r="H3653" s="13" t="s">
        <v>35</v>
      </c>
      <c r="I3653" s="13" t="str">
        <f aca="false">IF(C3653=J3653,"NEW KONTRAK","RE-KONTRAK")</f>
        <v>NEW KONTRAK</v>
      </c>
      <c r="J3653" s="16" t="n">
        <f aca="false" t="array" ref="J3653:J3653">IFERROR(INDEX(AC3653:AE3653,IF(COUNTA(AC3653:AE3653)=0,"",MAX((AC3653:AE3653&lt;&gt;"")*(COLUMN(AC3653:AE3653)-(COLUMN(AC3653)))))-1),"")</f>
        <v>46140</v>
      </c>
      <c r="K3653" s="16" t="n">
        <f aca="false" t="array" ref="K3653:K3653">IFERROR(INDEX(AC3653:AE3653,IF(COUNTA(AC3653:AE3653)=0,"",MAX((AC3653:AE3653&lt;&gt;"")*(COLUMN(AC3653:AE3653)-(COLUMN(AC3653)-1))))-1),"")</f>
        <v>46265</v>
      </c>
      <c r="L3653" s="17" t="str">
        <f aca="false" t="array" ref="L3653:L3653">IFERROR(INDEX(AC3653:AE3653,IF(COUNTA(AC3653:AE3653)=0,"",MAX((AC3653:AE3653&lt;&gt;"")*(COLUMN(AC3653:AE3653)-(COLUMN(AC3653)-2))))-1),"")</f>
        <v>ARCHIVED</v>
      </c>
      <c r="M3653" s="13" t="n">
        <f aca="true">K3653-TODAY()</f>
        <v>-59</v>
      </c>
      <c r="N3653" s="18" t="s">
        <v>36</v>
      </c>
      <c r="O3653" s="13" t="s">
        <v>76</v>
      </c>
      <c r="P3653" s="19" t="n">
        <v>5195401</v>
      </c>
      <c r="Q3653" s="20" t="s">
        <v>14884</v>
      </c>
      <c r="R3653" s="15" t="s">
        <v>65</v>
      </c>
      <c r="S3653" s="119" t="n">
        <v>36435</v>
      </c>
      <c r="T3653" s="13" t="s">
        <v>40</v>
      </c>
      <c r="U3653" s="13" t="s">
        <v>14885</v>
      </c>
      <c r="V3653" s="12" t="s">
        <v>42</v>
      </c>
      <c r="W3653" s="13" t="s">
        <v>43</v>
      </c>
      <c r="X3653" s="21" t="n">
        <v>8983649819</v>
      </c>
      <c r="Y3653" s="22" t="str">
        <f aca="false">O3653</f>
        <v>Operator Forklift</v>
      </c>
      <c r="Z3653" s="13" t="str">
        <f aca="false">IFERROR(__xludf.dummyfunction("if(BJ3653="""","""",GOOGLETRANSLATE(BJ3653,""auto"",""en""))"),"Operator Forklift")</f>
        <v>Operator Forklift</v>
      </c>
      <c r="AA3653" s="23" t="str">
        <f aca="false">IF(C3653="","", CHOOSE(MONTH(C3653),"January","February","March","April","May","June","July","August","September","October","November","December")&amp;" "&amp;DAY(C3653)&amp;MID("thstndrdth",MIN(9,2*RIGHT(DAY(C3653))*(MOD(DAY(C3653)-11,100)&gt;2)+1),2)&amp;","&amp;TEXT(C3653," yyyy"))</f>
        <v>April 28th,2026</v>
      </c>
      <c r="AB3653" s="15" t="str">
        <f aca="true">IF(S3653="","",DATEDIF(S3653,TODAY(),"Y")&amp;" Tahun, "&amp;DATEDIF(S3653,TODAY(),"YM")&amp;" Bulan, "&amp;DATEDIF(S3653,TODAY(),"MD")&amp;" Hari")</f>
        <v>27 Tahun, 0 Bulan, 27 Hari</v>
      </c>
      <c r="AC3653" s="14" t="n">
        <f aca="false">C3653</f>
        <v>46140</v>
      </c>
      <c r="AD3653" s="18" t="n">
        <v>46265</v>
      </c>
      <c r="AE3653" s="13" t="s">
        <v>44</v>
      </c>
    </row>
    <row r="3654" customFormat="false" ht="15" hidden="false" customHeight="true" outlineLevel="0" collapsed="false">
      <c r="A3654" s="12" t="n">
        <v>22273</v>
      </c>
      <c r="B3654" s="13" t="s">
        <v>14886</v>
      </c>
      <c r="C3654" s="16" t="n">
        <v>46138</v>
      </c>
      <c r="D3654" s="13" t="s">
        <v>144</v>
      </c>
      <c r="E3654" s="15" t="s">
        <v>47</v>
      </c>
      <c r="F3654" s="24" t="s">
        <v>14887</v>
      </c>
      <c r="G3654" s="24" t="s">
        <v>57</v>
      </c>
      <c r="H3654" s="13" t="s">
        <v>35</v>
      </c>
      <c r="I3654" s="13" t="str">
        <f aca="false">IF(C3654=J3654,"NEW KONTRAK","RE-KONTRAK")</f>
        <v>NEW KONTRAK</v>
      </c>
      <c r="J3654" s="16" t="n">
        <f aca="false" t="array" ref="J3654:J3654">IFERROR(INDEX(AC3654:AE3654,IF(COUNTA(AC3654:AE3654)=0,"",MAX((AC3654:AE3654&lt;&gt;"")*(COLUMN(AC3654:AE3654)-(COLUMN(AC3654)))))-1),"")</f>
        <v>46138</v>
      </c>
      <c r="K3654" s="16" t="n">
        <f aca="false" t="array" ref="K3654:K3654">IFERROR(INDEX(AC3654:AE3654,IF(COUNTA(AC3654:AE3654)=0,"",MAX((AC3654:AE3654&lt;&gt;"")*(COLUMN(AC3654:AE3654)-(COLUMN(AC3654)-1))))-1),"")</f>
        <v>46265</v>
      </c>
      <c r="L3654" s="17" t="str">
        <f aca="false" t="array" ref="L3654:L3654">IFERROR(INDEX(AC3654:AE3654,IF(COUNTA(AC3654:AE3654)=0,"",MAX((AC3654:AE3654&lt;&gt;"")*(COLUMN(AC3654:AE3654)-(COLUMN(AC3654)-2))))-1),"")</f>
        <v>ARCHIVED</v>
      </c>
      <c r="M3654" s="13" t="n">
        <f aca="true">K3654-TODAY()</f>
        <v>-59</v>
      </c>
      <c r="N3654" s="18" t="s">
        <v>36</v>
      </c>
      <c r="O3654" s="13" t="s">
        <v>14888</v>
      </c>
      <c r="P3654" s="19" t="n">
        <v>5195401</v>
      </c>
      <c r="Q3654" s="20" t="s">
        <v>14889</v>
      </c>
      <c r="R3654" s="13" t="s">
        <v>78</v>
      </c>
      <c r="S3654" s="14" t="n">
        <v>31760</v>
      </c>
      <c r="T3654" s="28" t="s">
        <v>40</v>
      </c>
      <c r="U3654" s="13" t="s">
        <v>14890</v>
      </c>
      <c r="V3654" s="13" t="s">
        <v>42</v>
      </c>
      <c r="W3654" s="13" t="s">
        <v>54</v>
      </c>
      <c r="X3654" s="21" t="n">
        <v>85885552223</v>
      </c>
      <c r="Y3654" s="22" t="str">
        <f aca="false">O3654</f>
        <v>Forklift RM Store</v>
      </c>
      <c r="Z3654" s="13" t="str">
        <f aca="false">IFERROR(__xludf.dummyfunction("if(BJ3654="""","""",GOOGLETRANSLATE(BJ3654,""auto"",""en""))"),"Forklift RM Store")</f>
        <v>Forklift RM Store</v>
      </c>
      <c r="AA3654" s="23" t="str">
        <f aca="false">IF(C3654="","", CHOOSE(MONTH(C3654),"January","February","March","April","May","June","July","August","September","October","November","December")&amp;" "&amp;DAY(C3654)&amp;MID("thstndrdth",MIN(9,2*RIGHT(DAY(C3654))*(MOD(DAY(C3654)-11,100)&gt;2)+1),2)&amp;","&amp;TEXT(C3654," yyyy"))</f>
        <v>April 26th,2026</v>
      </c>
      <c r="AB3654" s="15" t="str">
        <f aca="true">IF(S3654="","",DATEDIF(S3654,TODAY(),"Y")&amp;" Tahun, "&amp;DATEDIF(S3654,TODAY(),"YM")&amp;" Bulan, "&amp;DATEDIF(S3654,TODAY(),"MD")&amp;" Hari")</f>
        <v>39 Tahun, 10 Bulan, 15 Hari</v>
      </c>
      <c r="AC3654" s="14" t="n">
        <f aca="false">C3654</f>
        <v>46138</v>
      </c>
      <c r="AD3654" s="18" t="n">
        <v>46265</v>
      </c>
      <c r="AE3654" s="13" t="s">
        <v>44</v>
      </c>
    </row>
    <row r="3655" customFormat="false" ht="15" hidden="false" customHeight="true" outlineLevel="0" collapsed="false">
      <c r="A3655" s="12" t="n">
        <v>22275</v>
      </c>
      <c r="B3655" s="13" t="s">
        <v>14891</v>
      </c>
      <c r="C3655" s="16" t="n">
        <v>46148</v>
      </c>
      <c r="D3655" s="13" t="s">
        <v>14892</v>
      </c>
      <c r="E3655" s="15" t="s">
        <v>102</v>
      </c>
      <c r="F3655" s="24" t="s">
        <v>14893</v>
      </c>
      <c r="G3655" s="15" t="s">
        <v>1127</v>
      </c>
      <c r="H3655" s="13" t="s">
        <v>35</v>
      </c>
      <c r="I3655" s="13" t="str">
        <f aca="false">IF(C3655=J3655,"NEW KONTRAK","RE-KONTRAK")</f>
        <v>NEW KONTRAK</v>
      </c>
      <c r="J3655" s="16" t="n">
        <f aca="false" t="array" ref="J3655:J3655">IFERROR(INDEX(AC3655:AE3655,IF(COUNTA(AC3655:AE3655)=0,"",MAX((AC3655:AE3655&lt;&gt;"")*(COLUMN(AC3655:AE3655)-(COLUMN(AC3655)))))-1),"")</f>
        <v>46148</v>
      </c>
      <c r="K3655" s="16" t="n">
        <f aca="false" t="array" ref="K3655:K3655">IFERROR(INDEX(AC3655:AE3655,IF(COUNTA(AC3655:AE3655)=0,"",MAX((AC3655:AE3655&lt;&gt;"")*(COLUMN(AC3655:AE3655)-(COLUMN(AC3655)-1))))-1),"")</f>
        <v>46331</v>
      </c>
      <c r="L3655" s="17" t="str">
        <f aca="false" t="array" ref="L3655:L3655">IFERROR(INDEX(AC3655:AE3655,IF(COUNTA(AC3655:AE3655)=0,"",MAX((AC3655:AE3655&lt;&gt;"")*(COLUMN(AC3655:AE3655)-(COLUMN(AC3655)-2))))-1),"")</f>
        <v>ARCHIVED</v>
      </c>
      <c r="M3655" s="13" t="n">
        <f aca="true">K3655-TODAY()</f>
        <v>7</v>
      </c>
      <c r="N3655" s="18" t="s">
        <v>615</v>
      </c>
      <c r="O3655" s="13" t="s">
        <v>14894</v>
      </c>
      <c r="P3655" s="19" t="n">
        <v>5176101</v>
      </c>
      <c r="Q3655" s="20" t="s">
        <v>14895</v>
      </c>
      <c r="R3655" s="13" t="s">
        <v>232</v>
      </c>
      <c r="S3655" s="14" t="n">
        <v>36658</v>
      </c>
      <c r="T3655" s="28" t="s">
        <v>40</v>
      </c>
      <c r="U3655" s="13" t="s">
        <v>14896</v>
      </c>
      <c r="V3655" s="13" t="s">
        <v>42</v>
      </c>
      <c r="W3655" s="13" t="s">
        <v>54</v>
      </c>
      <c r="X3655" s="30" t="n">
        <v>87748583339</v>
      </c>
      <c r="Y3655" s="22" t="str">
        <f aca="false">O3655</f>
        <v>Reliver Bongkar Muat</v>
      </c>
      <c r="Z3655" s="13" t="str">
        <f aca="false">IFERROR(__xludf.dummyfunction("if(BJ3655="""","""",GOOGLETRANSLATE(BJ3655,""auto"",""en""))"),"Unloading Reliver")</f>
        <v>Unloading Reliver</v>
      </c>
      <c r="AA3655" s="23" t="str">
        <f aca="false">IF(C3655="","", CHOOSE(MONTH(C3655),"January","February","March","April","May","June","July","August","September","October","November","December")&amp;" "&amp;DAY(C3655)&amp;MID("thstndrdth",MIN(9,2*RIGHT(DAY(C3655))*(MOD(DAY(C3655)-11,100)&gt;2)+1),2)&amp;","&amp;TEXT(C3655," yyyy"))</f>
        <v>May 6th,2026</v>
      </c>
      <c r="AB3655" s="15" t="str">
        <f aca="true">IF(S3655="","",DATEDIF(S3655,TODAY(),"Y")&amp;" Tahun, "&amp;DATEDIF(S3655,TODAY(),"YM")&amp;" Bulan, "&amp;DATEDIF(S3655,TODAY(),"MD")&amp;" Hari")</f>
        <v>26 Tahun, 5 Bulan, 17 Hari</v>
      </c>
      <c r="AC3655" s="14" t="n">
        <f aca="false">C3655</f>
        <v>46148</v>
      </c>
      <c r="AD3655" s="18" t="n">
        <f aca="false">EDATE(AC3655,6)-1</f>
        <v>46331</v>
      </c>
      <c r="AE3655" s="13" t="s">
        <v>44</v>
      </c>
    </row>
    <row r="3656" customFormat="false" ht="15" hidden="false" customHeight="true" outlineLevel="0" collapsed="false">
      <c r="A3656" s="12" t="n">
        <v>22276</v>
      </c>
      <c r="B3656" s="13" t="s">
        <v>14897</v>
      </c>
      <c r="C3656" s="16" t="n">
        <v>46153</v>
      </c>
      <c r="D3656" s="13" t="s">
        <v>14892</v>
      </c>
      <c r="E3656" s="15" t="s">
        <v>102</v>
      </c>
      <c r="F3656" s="24" t="s">
        <v>14898</v>
      </c>
      <c r="G3656" s="15" t="s">
        <v>1127</v>
      </c>
      <c r="H3656" s="13" t="s">
        <v>35</v>
      </c>
      <c r="I3656" s="13" t="str">
        <f aca="false">IF(C3656=J3656,"NEW KONTRAK","RE-KONTRAK")</f>
        <v>NEW KONTRAK</v>
      </c>
      <c r="J3656" s="16" t="n">
        <f aca="false" t="array" ref="J3656:J3656">IFERROR(INDEX(AC3656:AE3656,IF(COUNTA(AC3656:AE3656)=0,"",MAX((AC3656:AE3656&lt;&gt;"")*(COLUMN(AC3656:AE3656)-(COLUMN(AC3656)))))-1),"")</f>
        <v>46153</v>
      </c>
      <c r="K3656" s="16" t="n">
        <f aca="false" t="array" ref="K3656:K3656">IFERROR(INDEX(AC3656:AE3656,IF(COUNTA(AC3656:AE3656)=0,"",MAX((AC3656:AE3656&lt;&gt;"")*(COLUMN(AC3656:AE3656)-(COLUMN(AC3656)-1))))-1),"")</f>
        <v>46336</v>
      </c>
      <c r="L3656" s="17" t="str">
        <f aca="false" t="array" ref="L3656:L3656">IFERROR(INDEX(AC3656:AE3656,IF(COUNTA(AC3656:AE3656)=0,"",MAX((AC3656:AE3656&lt;&gt;"")*(COLUMN(AC3656:AE3656)-(COLUMN(AC3656)-2))))-1),"")</f>
        <v>ARCHIVED</v>
      </c>
      <c r="M3656" s="13" t="n">
        <f aca="true">K3656-TODAY()</f>
        <v>12</v>
      </c>
      <c r="N3656" s="18" t="s">
        <v>615</v>
      </c>
      <c r="O3656" s="13" t="s">
        <v>14894</v>
      </c>
      <c r="P3656" s="19" t="n">
        <v>5176101</v>
      </c>
      <c r="Q3656" s="20" t="s">
        <v>14899</v>
      </c>
      <c r="R3656" s="13" t="s">
        <v>232</v>
      </c>
      <c r="S3656" s="14" t="n">
        <v>33703</v>
      </c>
      <c r="T3656" s="28" t="s">
        <v>40</v>
      </c>
      <c r="U3656" s="13" t="s">
        <v>14900</v>
      </c>
      <c r="V3656" s="13" t="s">
        <v>42</v>
      </c>
      <c r="W3656" s="13" t="s">
        <v>54</v>
      </c>
      <c r="X3656" s="30" t="n">
        <v>85752288515</v>
      </c>
      <c r="Y3656" s="22" t="str">
        <f aca="false">O3656</f>
        <v>Reliver Bongkar Muat</v>
      </c>
      <c r="Z3656" s="13" t="str">
        <f aca="false">IFERROR(__xludf.dummyfunction("if(BJ3656="""","""",GOOGLETRANSLATE(BJ3656,""auto"",""en""))"),"Unloading Reliver")</f>
        <v>Unloading Reliver</v>
      </c>
      <c r="AA3656" s="23" t="str">
        <f aca="false">IF(C3656="","", CHOOSE(MONTH(C3656),"January","February","March","April","May","June","July","August","September","October","November","December")&amp;" "&amp;DAY(C3656)&amp;MID("thstndrdth",MIN(9,2*RIGHT(DAY(C3656))*(MOD(DAY(C3656)-11,100)&gt;2)+1),2)&amp;","&amp;TEXT(C3656," yyyy"))</f>
        <v>May 11th,2026</v>
      </c>
      <c r="AB3656" s="15" t="str">
        <f aca="true">IF(S3656="","",DATEDIF(S3656,TODAY(),"Y")&amp;" Tahun, "&amp;DATEDIF(S3656,TODAY(),"YM")&amp;" Bulan, "&amp;DATEDIF(S3656,TODAY(),"MD")&amp;" Hari")</f>
        <v>34 Tahun, 6 Bulan, 20 Hari</v>
      </c>
      <c r="AC3656" s="14" t="n">
        <f aca="false">C3656</f>
        <v>46153</v>
      </c>
      <c r="AD3656" s="18" t="n">
        <f aca="false">EDATE(AC3656,6)-1</f>
        <v>46336</v>
      </c>
      <c r="AE3656" s="13" t="s">
        <v>44</v>
      </c>
    </row>
    <row r="3657" customFormat="false" ht="15" hidden="false" customHeight="true" outlineLevel="0" collapsed="false">
      <c r="A3657" s="12" t="n">
        <v>22277</v>
      </c>
      <c r="B3657" s="13" t="s">
        <v>14901</v>
      </c>
      <c r="C3657" s="16" t="n">
        <v>46154</v>
      </c>
      <c r="D3657" s="13" t="s">
        <v>14892</v>
      </c>
      <c r="E3657" s="15" t="s">
        <v>14439</v>
      </c>
      <c r="F3657" s="24" t="s">
        <v>14902</v>
      </c>
      <c r="G3657" s="15" t="s">
        <v>1127</v>
      </c>
      <c r="H3657" s="13" t="s">
        <v>35</v>
      </c>
      <c r="I3657" s="13" t="str">
        <f aca="false">IF(C3657=J3657,"NEW KONTRAK","RE-KONTRAK")</f>
        <v>NEW KONTRAK</v>
      </c>
      <c r="J3657" s="16" t="n">
        <f aca="false" t="array" ref="J3657:J3657">IFERROR(INDEX(AC3657:AE3657,IF(COUNTA(AC3657:AE3657)=0,"",MAX((AC3657:AE3657&lt;&gt;"")*(COLUMN(AC3657:AE3657)-(COLUMN(AC3657)))))-1),"")</f>
        <v>46154</v>
      </c>
      <c r="K3657" s="16" t="n">
        <f aca="false" t="array" ref="K3657:K3657">IFERROR(INDEX(AC3657:AE3657,IF(COUNTA(AC3657:AE3657)=0,"",MAX((AC3657:AE3657&lt;&gt;"")*(COLUMN(AC3657:AE3657)-(COLUMN(AC3657)-1))))-1),"")</f>
        <v>46337</v>
      </c>
      <c r="L3657" s="17" t="str">
        <f aca="false" t="array" ref="L3657:L3657">IFERROR(INDEX(AC3657:AE3657,IF(COUNTA(AC3657:AE3657)=0,"",MAX((AC3657:AE3657&lt;&gt;"")*(COLUMN(AC3657:AE3657)-(COLUMN(AC3657)-2))))-1),"")</f>
        <v>ARCHIVED</v>
      </c>
      <c r="M3657" s="13" t="n">
        <f aca="true">K3657-TODAY()</f>
        <v>13</v>
      </c>
      <c r="N3657" s="18" t="s">
        <v>615</v>
      </c>
      <c r="O3657" s="13" t="s">
        <v>14894</v>
      </c>
      <c r="P3657" s="19" t="n">
        <v>5176101</v>
      </c>
      <c r="Q3657" s="20" t="s">
        <v>14903</v>
      </c>
      <c r="R3657" s="13" t="s">
        <v>232</v>
      </c>
      <c r="S3657" s="14" t="n">
        <v>34040</v>
      </c>
      <c r="T3657" s="28" t="s">
        <v>40</v>
      </c>
      <c r="U3657" s="13" t="s">
        <v>14904</v>
      </c>
      <c r="V3657" s="13" t="s">
        <v>42</v>
      </c>
      <c r="W3657" s="13" t="s">
        <v>54</v>
      </c>
      <c r="X3657" s="30" t="n">
        <v>83199684608</v>
      </c>
      <c r="Y3657" s="22" t="str">
        <f aca="false">O3657</f>
        <v>Reliver Bongkar Muat</v>
      </c>
      <c r="Z3657" s="13" t="str">
        <f aca="false">IFERROR(__xludf.dummyfunction("if(BJ3657="""","""",GOOGLETRANSLATE(BJ3657,""auto"",""en""))"),"Unloading Reliver")</f>
        <v>Unloading Reliver</v>
      </c>
      <c r="AA3657" s="23" t="str">
        <f aca="false">IF(C3657="","", CHOOSE(MONTH(C3657),"January","February","March","April","May","June","July","August","September","October","November","December")&amp;" "&amp;DAY(C3657)&amp;MID("thstndrdth",MIN(9,2*RIGHT(DAY(C3657))*(MOD(DAY(C3657)-11,100)&gt;2)+1),2)&amp;","&amp;TEXT(C3657," yyyy"))</f>
        <v>May 12th,2026</v>
      </c>
      <c r="AB3657" s="15" t="str">
        <f aca="true">IF(S3657="","",DATEDIF(S3657,TODAY(),"Y")&amp;" Tahun, "&amp;DATEDIF(S3657,TODAY(),"YM")&amp;" Bulan, "&amp;DATEDIF(S3657,TODAY(),"MD")&amp;" Hari")</f>
        <v>33 Tahun, 7 Bulan, 17 Hari</v>
      </c>
      <c r="AC3657" s="14" t="n">
        <f aca="false">C3657</f>
        <v>46154</v>
      </c>
      <c r="AD3657" s="18" t="n">
        <f aca="false">EDATE(AC3657,6)-1</f>
        <v>46337</v>
      </c>
      <c r="AE3657" s="13" t="s">
        <v>44</v>
      </c>
    </row>
    <row r="3658" customFormat="false" ht="15" hidden="false" customHeight="true" outlineLevel="0" collapsed="false">
      <c r="A3658" s="12" t="n">
        <v>22278</v>
      </c>
      <c r="B3658" s="13" t="s">
        <v>14905</v>
      </c>
      <c r="C3658" s="16" t="n">
        <v>46148</v>
      </c>
      <c r="D3658" s="13" t="s">
        <v>14892</v>
      </c>
      <c r="E3658" s="15" t="s">
        <v>102</v>
      </c>
      <c r="F3658" s="24" t="s">
        <v>14906</v>
      </c>
      <c r="G3658" s="15" t="s">
        <v>1127</v>
      </c>
      <c r="H3658" s="13" t="s">
        <v>35</v>
      </c>
      <c r="I3658" s="13" t="str">
        <f aca="false">IF(C3658=J3658,"NEW KONTRAK","RE-KONTRAK")</f>
        <v>NEW KONTRAK</v>
      </c>
      <c r="J3658" s="16" t="n">
        <f aca="false" t="array" ref="J3658:J3658">IFERROR(INDEX(AC3658:AE3658,IF(COUNTA(AC3658:AE3658)=0,"",MAX((AC3658:AE3658&lt;&gt;"")*(COLUMN(AC3658:AE3658)-(COLUMN(AC3658)))))-1),"")</f>
        <v>46148</v>
      </c>
      <c r="K3658" s="16" t="n">
        <f aca="false" t="array" ref="K3658:K3658">IFERROR(INDEX(AC3658:AE3658,IF(COUNTA(AC3658:AE3658)=0,"",MAX((AC3658:AE3658&lt;&gt;"")*(COLUMN(AC3658:AE3658)-(COLUMN(AC3658)-1))))-1),"")</f>
        <v>46331</v>
      </c>
      <c r="L3658" s="17" t="str">
        <f aca="false" t="array" ref="L3658:L3658">IFERROR(INDEX(AC3658:AE3658,IF(COUNTA(AC3658:AE3658)=0,"",MAX((AC3658:AE3658&lt;&gt;"")*(COLUMN(AC3658:AE3658)-(COLUMN(AC3658)-2))))-1),"")</f>
        <v>ARCHIVED</v>
      </c>
      <c r="M3658" s="13" t="n">
        <f aca="true">K3658-TODAY()</f>
        <v>7</v>
      </c>
      <c r="N3658" s="18" t="s">
        <v>615</v>
      </c>
      <c r="O3658" s="13" t="s">
        <v>14894</v>
      </c>
      <c r="P3658" s="19" t="n">
        <v>5176101</v>
      </c>
      <c r="Q3658" s="20" t="s">
        <v>14907</v>
      </c>
      <c r="R3658" s="13" t="s">
        <v>232</v>
      </c>
      <c r="S3658" s="14" t="n">
        <v>33202</v>
      </c>
      <c r="T3658" s="28" t="s">
        <v>40</v>
      </c>
      <c r="U3658" s="13" t="s">
        <v>14908</v>
      </c>
      <c r="V3658" s="13" t="s">
        <v>42</v>
      </c>
      <c r="W3658" s="13" t="s">
        <v>54</v>
      </c>
      <c r="X3658" s="30" t="n">
        <v>82106200342</v>
      </c>
      <c r="Y3658" s="22" t="str">
        <f aca="false">O3658</f>
        <v>Reliver Bongkar Muat</v>
      </c>
      <c r="Z3658" s="13" t="str">
        <f aca="false">IFERROR(__xludf.dummyfunction("if(BJ3658="""","""",GOOGLETRANSLATE(BJ3658,""auto"",""en""))"),"Unloading Reliver")</f>
        <v>Unloading Reliver</v>
      </c>
      <c r="AA3658" s="23" t="str">
        <f aca="false">IF(C3658="","", CHOOSE(MONTH(C3658),"January","February","March","April","May","June","July","August","September","October","November","December")&amp;" "&amp;DAY(C3658)&amp;MID("thstndrdth",MIN(9,2*RIGHT(DAY(C3658))*(MOD(DAY(C3658)-11,100)&gt;2)+1),2)&amp;","&amp;TEXT(C3658," yyyy"))</f>
        <v>May 6th,2026</v>
      </c>
      <c r="AB3658" s="15" t="str">
        <f aca="true">IF(S3658="","",DATEDIF(S3658,TODAY(),"Y")&amp;" Tahun, "&amp;DATEDIF(S3658,TODAY(),"YM")&amp;" Bulan, "&amp;DATEDIF(S3658,TODAY(),"MD")&amp;" Hari")</f>
        <v>35 Tahun, 11 Bulan, 4 Hari</v>
      </c>
      <c r="AC3658" s="14" t="n">
        <f aca="false">C3658</f>
        <v>46148</v>
      </c>
      <c r="AD3658" s="18" t="n">
        <f aca="false">EDATE(AC3658,6)-1</f>
        <v>46331</v>
      </c>
      <c r="AE3658" s="13" t="s">
        <v>44</v>
      </c>
    </row>
    <row r="3659" customFormat="false" ht="15" hidden="false" customHeight="true" outlineLevel="0" collapsed="false">
      <c r="A3659" s="12" t="n">
        <v>22279</v>
      </c>
      <c r="B3659" s="13" t="s">
        <v>14909</v>
      </c>
      <c r="C3659" s="16" t="n">
        <v>46148</v>
      </c>
      <c r="D3659" s="13" t="s">
        <v>14892</v>
      </c>
      <c r="E3659" s="15" t="s">
        <v>102</v>
      </c>
      <c r="F3659" s="24" t="s">
        <v>14910</v>
      </c>
      <c r="G3659" s="15" t="s">
        <v>1127</v>
      </c>
      <c r="H3659" s="13" t="s">
        <v>35</v>
      </c>
      <c r="I3659" s="13" t="str">
        <f aca="false">IF(C3659=J3659,"NEW KONTRAK","RE-KONTRAK")</f>
        <v>NEW KONTRAK</v>
      </c>
      <c r="J3659" s="16" t="n">
        <f aca="false" t="array" ref="J3659:J3659">IFERROR(INDEX(AC3659:AE3659,IF(COUNTA(AC3659:AE3659)=0,"",MAX((AC3659:AE3659&lt;&gt;"")*(COLUMN(AC3659:AE3659)-(COLUMN(AC3659)))))-1),"")</f>
        <v>46148</v>
      </c>
      <c r="K3659" s="16" t="n">
        <f aca="false" t="array" ref="K3659:K3659">IFERROR(INDEX(AC3659:AE3659,IF(COUNTA(AC3659:AE3659)=0,"",MAX((AC3659:AE3659&lt;&gt;"")*(COLUMN(AC3659:AE3659)-(COLUMN(AC3659)-1))))-1),"")</f>
        <v>46331</v>
      </c>
      <c r="L3659" s="17" t="str">
        <f aca="false" t="array" ref="L3659:L3659">IFERROR(INDEX(AC3659:AE3659,IF(COUNTA(AC3659:AE3659)=0,"",MAX((AC3659:AE3659&lt;&gt;"")*(COLUMN(AC3659:AE3659)-(COLUMN(AC3659)-2))))-1),"")</f>
        <v>ARCHIVED</v>
      </c>
      <c r="M3659" s="13" t="n">
        <f aca="true">K3659-TODAY()</f>
        <v>7</v>
      </c>
      <c r="N3659" s="18" t="s">
        <v>615</v>
      </c>
      <c r="O3659" s="13" t="s">
        <v>14894</v>
      </c>
      <c r="P3659" s="19" t="n">
        <v>5176101</v>
      </c>
      <c r="Q3659" s="20" t="s">
        <v>14911</v>
      </c>
      <c r="R3659" s="13" t="s">
        <v>232</v>
      </c>
      <c r="S3659" s="14" t="n">
        <v>38832</v>
      </c>
      <c r="T3659" s="28" t="s">
        <v>40</v>
      </c>
      <c r="U3659" s="13" t="s">
        <v>9404</v>
      </c>
      <c r="V3659" s="13" t="s">
        <v>42</v>
      </c>
      <c r="W3659" s="13" t="s">
        <v>43</v>
      </c>
      <c r="X3659" s="30" t="n">
        <v>85742043805</v>
      </c>
      <c r="Y3659" s="22" t="str">
        <f aca="false">O3659</f>
        <v>Reliver Bongkar Muat</v>
      </c>
      <c r="Z3659" s="13" t="str">
        <f aca="false">IFERROR(__xludf.dummyfunction("if(BJ3659="""","""",GOOGLETRANSLATE(BJ3659,""auto"",""en""))"),"Unloading Reliver")</f>
        <v>Unloading Reliver</v>
      </c>
      <c r="AA3659" s="23" t="str">
        <f aca="false">IF(C3659="","", CHOOSE(MONTH(C3659),"January","February","March","April","May","June","July","August","September","October","November","December")&amp;" "&amp;DAY(C3659)&amp;MID("thstndrdth",MIN(9,2*RIGHT(DAY(C3659))*(MOD(DAY(C3659)-11,100)&gt;2)+1),2)&amp;","&amp;TEXT(C3659," yyyy"))</f>
        <v>May 6th,2026</v>
      </c>
      <c r="AB3659" s="15" t="str">
        <f aca="true">IF(S3659="","",DATEDIF(S3659,TODAY(),"Y")&amp;" Tahun, "&amp;DATEDIF(S3659,TODAY(),"YM")&amp;" Bulan, "&amp;DATEDIF(S3659,TODAY(),"MD")&amp;" Hari")</f>
        <v>20 Tahun, 6 Bulan, 4 Hari</v>
      </c>
      <c r="AC3659" s="14" t="n">
        <f aca="false">C3659</f>
        <v>46148</v>
      </c>
      <c r="AD3659" s="18" t="n">
        <f aca="false">EDATE(AC3659,6)-1</f>
        <v>46331</v>
      </c>
      <c r="AE3659" s="13" t="s">
        <v>44</v>
      </c>
    </row>
    <row r="3660" customFormat="false" ht="15" hidden="false" customHeight="true" outlineLevel="0" collapsed="false">
      <c r="A3660" s="12" t="n">
        <v>22280</v>
      </c>
      <c r="B3660" s="13" t="s">
        <v>14912</v>
      </c>
      <c r="C3660" s="16" t="n">
        <v>46147</v>
      </c>
      <c r="D3660" s="13" t="s">
        <v>9387</v>
      </c>
      <c r="E3660" s="15" t="s">
        <v>102</v>
      </c>
      <c r="F3660" s="24" t="s">
        <v>14913</v>
      </c>
      <c r="G3660" s="15" t="s">
        <v>1127</v>
      </c>
      <c r="H3660" s="13" t="s">
        <v>35</v>
      </c>
      <c r="I3660" s="13" t="str">
        <f aca="false">IF(C3660=J3660,"NEW KONTRAK","RE-KONTRAK")</f>
        <v>NEW KONTRAK</v>
      </c>
      <c r="J3660" s="16" t="n">
        <f aca="false" t="array" ref="J3660:J3660">IFERROR(INDEX(AC3660:AE3660,IF(COUNTA(AC3660:AE3660)=0,"",MAX((AC3660:AE3660&lt;&gt;"")*(COLUMN(AC3660:AE3660)-(COLUMN(AC3660)))))-1),"")</f>
        <v>46147</v>
      </c>
      <c r="K3660" s="16" t="n">
        <f aca="false" t="array" ref="K3660:K3660">IFERROR(INDEX(AC3660:AE3660,IF(COUNTA(AC3660:AE3660)=0,"",MAX((AC3660:AE3660&lt;&gt;"")*(COLUMN(AC3660:AE3660)-(COLUMN(AC3660)-1))))-1),"")</f>
        <v>46330</v>
      </c>
      <c r="L3660" s="17" t="str">
        <f aca="false" t="array" ref="L3660:L3660">IFERROR(INDEX(AC3660:AE3660,IF(COUNTA(AC3660:AE3660)=0,"",MAX((AC3660:AE3660&lt;&gt;"")*(COLUMN(AC3660:AE3660)-(COLUMN(AC3660)-2))))-1),"")</f>
        <v>ARCHIVED</v>
      </c>
      <c r="M3660" s="13" t="n">
        <f aca="true">K3660-TODAY()</f>
        <v>6</v>
      </c>
      <c r="N3660" s="18" t="s">
        <v>615</v>
      </c>
      <c r="O3660" s="13" t="s">
        <v>9388</v>
      </c>
      <c r="P3660" s="19" t="n">
        <v>5176101</v>
      </c>
      <c r="Q3660" s="20" t="s">
        <v>14914</v>
      </c>
      <c r="R3660" s="13" t="s">
        <v>232</v>
      </c>
      <c r="S3660" s="14" t="n">
        <v>35979</v>
      </c>
      <c r="T3660" s="28" t="s">
        <v>40</v>
      </c>
      <c r="U3660" s="13" t="s">
        <v>14915</v>
      </c>
      <c r="V3660" s="13" t="s">
        <v>42</v>
      </c>
      <c r="W3660" s="13" t="s">
        <v>54</v>
      </c>
      <c r="X3660" s="30" t="n">
        <v>89819838638</v>
      </c>
      <c r="Y3660" s="22" t="str">
        <f aca="false">O3660</f>
        <v>Tenaga Kerja Bongkar Muat (TKBM)</v>
      </c>
      <c r="Z3660" s="13" t="str">
        <f aca="false">IFERROR(__xludf.dummyfunction("if(BJ3660="""","""",GOOGLETRANSLATE(BJ3660,""auto"",""en""))"),"Loading and Unloading Workers (TKBM)")</f>
        <v>Loading and Unloading Workers (TKBM)</v>
      </c>
      <c r="AA3660" s="23" t="str">
        <f aca="false">IF(C3660="","", CHOOSE(MONTH(C3660),"January","February","March","April","May","June","July","August","September","October","November","December")&amp;" "&amp;DAY(C3660)&amp;MID("thstndrdth",MIN(9,2*RIGHT(DAY(C3660))*(MOD(DAY(C3660)-11,100)&gt;2)+1),2)&amp;","&amp;TEXT(C3660," yyyy"))</f>
        <v>May 5th,2026</v>
      </c>
      <c r="AB3660" s="15" t="str">
        <f aca="true">IF(S3660="","",DATEDIF(S3660,TODAY(),"Y")&amp;" Tahun, "&amp;DATEDIF(S3660,TODAY(),"YM")&amp;" Bulan, "&amp;DATEDIF(S3660,TODAY(),"MD")&amp;" Hari")</f>
        <v>28 Tahun, 3 Bulan, 26 Hari</v>
      </c>
      <c r="AC3660" s="14" t="n">
        <f aca="false">C3660</f>
        <v>46147</v>
      </c>
      <c r="AD3660" s="18" t="n">
        <f aca="false">EDATE(AC3660,6)-1</f>
        <v>46330</v>
      </c>
      <c r="AE3660" s="13" t="s">
        <v>44</v>
      </c>
    </row>
    <row r="3661" customFormat="false" ht="15" hidden="false" customHeight="true" outlineLevel="0" collapsed="false">
      <c r="A3661" s="12" t="n">
        <v>22281</v>
      </c>
      <c r="B3661" s="13" t="s">
        <v>14916</v>
      </c>
      <c r="C3661" s="16" t="n">
        <v>46159</v>
      </c>
      <c r="D3661" s="13" t="s">
        <v>9387</v>
      </c>
      <c r="E3661" s="15" t="s">
        <v>47</v>
      </c>
      <c r="F3661" s="24" t="s">
        <v>14917</v>
      </c>
      <c r="G3661" s="13" t="s">
        <v>57</v>
      </c>
      <c r="H3661" s="13" t="s">
        <v>35</v>
      </c>
      <c r="I3661" s="13" t="str">
        <f aca="false">IF(C3661=J3661,"NEW KONTRAK","RE-KONTRAK")</f>
        <v>NEW KONTRAK</v>
      </c>
      <c r="J3661" s="16" t="n">
        <f aca="false" t="array" ref="J3661:J3661">IFERROR(INDEX(AC3661:AE3661,IF(COUNTA(AC3661:AE3661)=0,"",MAX((AC3661:AE3661&lt;&gt;"")*(COLUMN(AC3661:AE3661)-(COLUMN(AC3661)))))-1),"")</f>
        <v>46159</v>
      </c>
      <c r="K3661" s="16" t="n">
        <f aca="false" t="array" ref="K3661:K3661">IFERROR(INDEX(AC3661:AE3661,IF(COUNTA(AC3661:AE3661)=0,"",MAX((AC3661:AE3661&lt;&gt;"")*(COLUMN(AC3661:AE3661)-(COLUMN(AC3661)-1))))-1),"")</f>
        <v>46342</v>
      </c>
      <c r="L3661" s="17" t="str">
        <f aca="false" t="array" ref="L3661:L3661">IFERROR(INDEX(AC3661:AE3661,IF(COUNTA(AC3661:AE3661)=0,"",MAX((AC3661:AE3661&lt;&gt;"")*(COLUMN(AC3661:AE3661)-(COLUMN(AC3661)-2))))-1),"")</f>
        <v>ARCHIVED</v>
      </c>
      <c r="M3661" s="13" t="n">
        <f aca="true">K3661-TODAY()</f>
        <v>18</v>
      </c>
      <c r="N3661" s="18" t="s">
        <v>615</v>
      </c>
      <c r="O3661" s="13" t="s">
        <v>9388</v>
      </c>
      <c r="P3661" s="27" t="n">
        <v>5176101</v>
      </c>
      <c r="Q3661" s="20" t="s">
        <v>14918</v>
      </c>
      <c r="R3661" s="13" t="s">
        <v>232</v>
      </c>
      <c r="S3661" s="14" t="n">
        <v>33421</v>
      </c>
      <c r="T3661" s="28" t="s">
        <v>40</v>
      </c>
      <c r="U3661" s="13" t="s">
        <v>5720</v>
      </c>
      <c r="V3661" s="13" t="s">
        <v>42</v>
      </c>
      <c r="W3661" s="13" t="s">
        <v>54</v>
      </c>
      <c r="X3661" s="30" t="n">
        <v>85706665800</v>
      </c>
      <c r="Y3661" s="22" t="str">
        <f aca="false">O3661</f>
        <v>Tenaga Kerja Bongkar Muat (TKBM)</v>
      </c>
      <c r="Z3661" s="13" t="str">
        <f aca="false">IFERROR(__xludf.dummyfunction("if(BJ3661="""","""",GOOGLETRANSLATE(BJ3661,""auto"",""en""))"),"Loading and Unloading Workers (TKBM)")</f>
        <v>Loading and Unloading Workers (TKBM)</v>
      </c>
      <c r="AA3661" s="23" t="str">
        <f aca="false">IF(C3661="","", CHOOSE(MONTH(C3661),"January","February","March","April","May","June","July","August","September","October","November","December")&amp;" "&amp;DAY(C3661)&amp;MID("thstndrdth",MIN(9,2*RIGHT(DAY(C3661))*(MOD(DAY(C3661)-11,100)&gt;2)+1),2)&amp;","&amp;TEXT(C3661," yyyy"))</f>
        <v>May 17th,2026</v>
      </c>
      <c r="AB3661" s="15" t="str">
        <f aca="true">IF(S3661="","",DATEDIF(S3661,TODAY(),"Y")&amp;" Tahun, "&amp;DATEDIF(S3661,TODAY(),"YM")&amp;" Bulan, "&amp;DATEDIF(S3661,TODAY(),"MD")&amp;" Hari")</f>
        <v>35 Tahun, 3 Bulan, 27 Hari</v>
      </c>
      <c r="AC3661" s="14" t="n">
        <f aca="false">C3661</f>
        <v>46159</v>
      </c>
      <c r="AD3661" s="18" t="n">
        <f aca="false">EDATE(AC3661,6)-1</f>
        <v>46342</v>
      </c>
      <c r="AE3661" s="13" t="s">
        <v>44</v>
      </c>
    </row>
    <row r="3662" customFormat="false" ht="15" hidden="false" customHeight="true" outlineLevel="0" collapsed="false">
      <c r="A3662" s="12" t="n">
        <v>22282</v>
      </c>
      <c r="B3662" s="13" t="s">
        <v>14919</v>
      </c>
      <c r="C3662" s="16" t="n">
        <v>46174</v>
      </c>
      <c r="D3662" s="13" t="s">
        <v>9043</v>
      </c>
      <c r="E3662" s="15" t="s">
        <v>47</v>
      </c>
      <c r="F3662" s="24" t="s">
        <v>14920</v>
      </c>
      <c r="G3662" s="24" t="s">
        <v>57</v>
      </c>
      <c r="H3662" s="13" t="s">
        <v>35</v>
      </c>
      <c r="I3662" s="13" t="str">
        <f aca="false">IF(C3662=J3662,"NEW KONTRAK","RE-KONTRAK")</f>
        <v>NEW KONTRAK</v>
      </c>
      <c r="J3662" s="16" t="n">
        <f aca="false" t="array" ref="J3662:J3662">IFERROR(INDEX(AC3662:AE3662,IF(COUNTA(AC3662:AE3662)=0,"",MAX((AC3662:AE3662&lt;&gt;"")*(COLUMN(AC3662:AE3662)-(COLUMN(AC3662)))))-1),"")</f>
        <v>46174</v>
      </c>
      <c r="K3662" s="16" t="n">
        <f aca="false" t="array" ref="K3662:K3662">IFERROR(INDEX(AC3662:AE3662,IF(COUNTA(AC3662:AE3662)=0,"",MAX((AC3662:AE3662&lt;&gt;"")*(COLUMN(AC3662:AE3662)-(COLUMN(AC3662)-1))))-1),"")</f>
        <v>46497</v>
      </c>
      <c r="L3662" s="17" t="str">
        <f aca="false" t="array" ref="L3662:L3662">IFERROR(INDEX(AC3662:AE3662,IF(COUNTA(AC3662:AE3662)=0,"",MAX((AC3662:AE3662&lt;&gt;"")*(COLUMN(AC3662:AE3662)-(COLUMN(AC3662)-2))))-1),"")</f>
        <v>KEMBALI</v>
      </c>
      <c r="M3662" s="13" t="n">
        <f aca="true">K3662-TODAY()</f>
        <v>173</v>
      </c>
      <c r="N3662" s="18" t="s">
        <v>105</v>
      </c>
      <c r="O3662" s="13" t="s">
        <v>12341</v>
      </c>
      <c r="P3662" s="19" t="n">
        <v>3944496</v>
      </c>
      <c r="Q3662" s="20" t="s">
        <v>14921</v>
      </c>
      <c r="R3662" s="13" t="s">
        <v>14922</v>
      </c>
      <c r="S3662" s="14" t="n">
        <v>36094</v>
      </c>
      <c r="T3662" s="13" t="s">
        <v>40</v>
      </c>
      <c r="U3662" s="13" t="s">
        <v>14923</v>
      </c>
      <c r="V3662" s="13" t="s">
        <v>42</v>
      </c>
      <c r="W3662" s="13" t="s">
        <v>43</v>
      </c>
      <c r="X3662" s="21" t="n">
        <v>85649020137</v>
      </c>
      <c r="Y3662" s="22" t="str">
        <f aca="false">O3662</f>
        <v>Creative Staff</v>
      </c>
      <c r="Z3662" s="13" t="str">
        <f aca="false">IFERROR(__xludf.dummyfunction("if(BJ3662="""","""",GOOGLETRANSLATE(BJ3662,""auto"",""en""))"),"Creative Staff")</f>
        <v>Creative Staff</v>
      </c>
      <c r="AA3662" s="23" t="str">
        <f aca="false">IF(C3662="","", CHOOSE(MONTH(C3662),"January","February","March","April","May","June","July","August","September","October","November","December")&amp;" "&amp;DAY(C3662)&amp;MID("thstndrdth",MIN(9,2*RIGHT(DAY(C3662))*(MOD(DAY(C3662)-11,100)&gt;2)+1),2)&amp;","&amp;TEXT(C3662," yyyy"))</f>
        <v>June 1st,2026</v>
      </c>
      <c r="AB3662" s="15" t="str">
        <f aca="true">IF(S3662="","",DATEDIF(S3662,TODAY(),"Y")&amp;" Tahun, "&amp;DATEDIF(S3662,TODAY(),"YM")&amp;" Bulan, "&amp;DATEDIF(S3662,TODAY(),"MD")&amp;" Hari")</f>
        <v>28 Tahun, 0 Bulan, 3 Hari</v>
      </c>
      <c r="AC3662" s="14" t="n">
        <v>46174</v>
      </c>
      <c r="AD3662" s="18" t="n">
        <v>46497</v>
      </c>
      <c r="AE3662" s="13" t="s">
        <v>397</v>
      </c>
    </row>
    <row r="3663" customFormat="false" ht="15" hidden="false" customHeight="true" outlineLevel="0" collapsed="false">
      <c r="A3663" s="12" t="n">
        <v>22283</v>
      </c>
      <c r="B3663" s="13" t="s">
        <v>14924</v>
      </c>
      <c r="C3663" s="16" t="n">
        <v>46135</v>
      </c>
      <c r="D3663" s="13" t="s">
        <v>2033</v>
      </c>
      <c r="E3663" s="15" t="s">
        <v>102</v>
      </c>
      <c r="F3663" s="24" t="s">
        <v>14925</v>
      </c>
      <c r="G3663" s="24" t="s">
        <v>57</v>
      </c>
      <c r="H3663" s="13" t="s">
        <v>35</v>
      </c>
      <c r="I3663" s="13" t="str">
        <f aca="false">IF(C3663=J3663,"NEW KONTRAK","RE-KONTRAK")</f>
        <v>RE-KONTRAK</v>
      </c>
      <c r="J3663" s="16" t="n">
        <f aca="false" t="array" ref="J3663:J3663">IFERROR(INDEX(AC3663:AE3663,IF(COUNTA(AC3663:AE3663)=0,"",MAX((AC3663:AE3663&lt;&gt;"")*(COLUMN(AC3663:AE3663)-(COLUMN(AC3663)))))-1),"")</f>
        <v>46167</v>
      </c>
      <c r="K3663" s="16" t="n">
        <f aca="false" t="array" ref="K3663:K3663">IFERROR(INDEX(AC3663:AE3663,IF(COUNTA(AC3663:AE3663)=0,"",MAX((AC3663:AE3663&lt;&gt;"")*(COLUMN(AC3663:AE3663)-(COLUMN(AC3663)-1))))-1),"")</f>
        <v>46188</v>
      </c>
      <c r="L3663" s="17" t="str">
        <f aca="false" t="array" ref="L3663:L3663">IFERROR(INDEX(AC3663:AE3663,IF(COUNTA(AC3663:AE3663)=0,"",MAX((AC3663:AE3663&lt;&gt;"")*(COLUMN(AC3663:AE3663)-(COLUMN(AC3663)-2))))-1),"")</f>
        <v>ARCHIVED</v>
      </c>
      <c r="M3663" s="13" t="n">
        <f aca="true">K3663-TODAY()</f>
        <v>-136</v>
      </c>
      <c r="N3663" s="18" t="s">
        <v>3895</v>
      </c>
      <c r="O3663" s="13" t="s">
        <v>2037</v>
      </c>
      <c r="P3663" s="19" t="n">
        <v>3725000</v>
      </c>
      <c r="Q3663" s="20" t="s">
        <v>14926</v>
      </c>
      <c r="R3663" s="13" t="s">
        <v>14927</v>
      </c>
      <c r="S3663" s="14" t="n">
        <v>37001</v>
      </c>
      <c r="T3663" s="13" t="s">
        <v>108</v>
      </c>
      <c r="U3663" s="13" t="s">
        <v>14928</v>
      </c>
      <c r="V3663" s="13" t="s">
        <v>42</v>
      </c>
      <c r="W3663" s="13" t="s">
        <v>54</v>
      </c>
      <c r="X3663" s="30" t="n">
        <v>85339735989</v>
      </c>
      <c r="Y3663" s="22" t="str">
        <f aca="false">O3663</f>
        <v>SPG/BA</v>
      </c>
      <c r="Z3663" s="13" t="str">
        <f aca="false">IFERROR(__xludf.dummyfunction("if(BJ3663="""","""",GOOGLETRANSLATE(BJ3663,""auto"",""en""))"),"SPG/BA")</f>
        <v>SPG/BA</v>
      </c>
      <c r="AA3663" s="23" t="str">
        <f aca="false">IF(C3663="","", CHOOSE(MONTH(C3663),"January","February","March","April","May","June","July","August","September","October","November","December")&amp;" "&amp;DAY(C3663)&amp;MID("thstndrdth",MIN(9,2*RIGHT(DAY(C3663))*(MOD(DAY(C3663)-11,100)&gt;2)+1),2)&amp;","&amp;TEXT(C3663," yyyy"))</f>
        <v>April 23rd,2026</v>
      </c>
      <c r="AB3663" s="15" t="str">
        <f aca="true">IF(S3663="","",DATEDIF(S3663,TODAY(),"Y")&amp;" Tahun, "&amp;DATEDIF(S3663,TODAY(),"YM")&amp;" Bulan, "&amp;DATEDIF(S3663,TODAY(),"MD")&amp;" Hari")</f>
        <v>25 Tahun, 6 Bulan, 9 Hari</v>
      </c>
      <c r="AC3663" s="14" t="n">
        <v>46167</v>
      </c>
      <c r="AD3663" s="64" t="n">
        <v>46188</v>
      </c>
      <c r="AE3663" s="13" t="s">
        <v>44</v>
      </c>
    </row>
    <row r="3664" customFormat="false" ht="15" hidden="false" customHeight="true" outlineLevel="0" collapsed="false">
      <c r="A3664" s="12" t="n">
        <v>12910</v>
      </c>
      <c r="B3664" s="13" t="s">
        <v>14929</v>
      </c>
      <c r="C3664" s="14" t="n">
        <v>45185</v>
      </c>
      <c r="D3664" s="13" t="s">
        <v>2033</v>
      </c>
      <c r="E3664" s="15" t="s">
        <v>47</v>
      </c>
      <c r="F3664" s="15" t="str">
        <f aca="false">IFERROR(__xludf.dummyfunction("XLOOKUP(AJ3664,IMPORTRANGE(""1XaInW9DU9nz21V0tYIfzFQ0He9kVQ_JF2mCXgZ3hqFA"",""REKAP ALL 2026 - Andika!G:G""),IMPORTRANGE(""1XaInW9DU9nz21V0tYIfzFQ0He9kVQ_JF2mCXgZ3hqFA"",""REKAP ALL 2026 - Andika!F:F""),"""",0)"),"23151591981")</f>
        <v>23151591981</v>
      </c>
      <c r="G3664" s="13" t="s">
        <v>14930</v>
      </c>
      <c r="H3664" s="13" t="s">
        <v>2035</v>
      </c>
      <c r="I3664" s="13" t="str">
        <f aca="false">IF(C3664=J3664,"NEW KONTRAK","RE-KONTRAK")</f>
        <v>RE-KONTRAK</v>
      </c>
      <c r="J3664" s="16" t="n">
        <f aca="false" t="array" ref="J3664:J3664">IFERROR(INDEX(AC3664:AE3664,IF(COUNTA(AC3664:AE3664)=0,"",MAX((AC3664:AE3664&lt;&gt;"")*(COLUMN(AC3664:AE3664)-(COLUMN(AC3664)))))-1),"")</f>
        <v>45744</v>
      </c>
      <c r="K3664" s="16" t="n">
        <f aca="false" t="array" ref="K3664:K3664">IFERROR(INDEX(AC3664:AE3664,IF(COUNTA(AC3664:AE3664)=0,"",MAX((AC3664:AE3664&lt;&gt;"")*(COLUMN(AC3664:AE3664)-(COLUMN(AC3664)-1))))-1),"")</f>
        <v>45915</v>
      </c>
      <c r="L3664" s="17" t="str">
        <f aca="false" t="array" ref="L3664:L3664">IFERROR(INDEX(AC3664:AE3664,IF(COUNTA(AC3664:AE3664)=0,"",MAX((AC3664:AE3664&lt;&gt;"")*(COLUMN(AC3664:AE3664)-(COLUMN(AC3664)-2))))-1),"")</f>
        <v>ARCHIVED</v>
      </c>
      <c r="M3664" s="13" t="n">
        <f aca="true">K3664-TODAY()</f>
        <v>-409</v>
      </c>
      <c r="N3664" s="18" t="s">
        <v>2390</v>
      </c>
      <c r="O3664" s="13" t="s">
        <v>2037</v>
      </c>
      <c r="P3664" s="19" t="n">
        <v>4192837</v>
      </c>
      <c r="Q3664" s="20" t="s">
        <v>14931</v>
      </c>
      <c r="R3664" s="13" t="s">
        <v>7404</v>
      </c>
      <c r="S3664" s="14" t="n">
        <v>35078</v>
      </c>
      <c r="T3664" s="13" t="s">
        <v>108</v>
      </c>
      <c r="U3664" s="13" t="s">
        <v>14932</v>
      </c>
      <c r="V3664" s="13" t="s">
        <v>42</v>
      </c>
      <c r="W3664" s="13" t="s">
        <v>43</v>
      </c>
      <c r="X3664" s="21" t="n">
        <v>85669814409</v>
      </c>
      <c r="Y3664" s="22" t="str">
        <f aca="false">O3664</f>
        <v>SPG/BA</v>
      </c>
      <c r="Z3664" s="13" t="str">
        <f aca="false">IFERROR(__xludf.dummyfunction("if(BJ3664="""","""",GOOGLETRANSLATE(BJ3664,""auto"",""en""))"),"SPG/BA")</f>
        <v>SPG/BA</v>
      </c>
      <c r="AA3664" s="23" t="str">
        <f aca="false">IF(C3664="","", CHOOSE(MONTH(C3664),"January","February","March","April","May","June","July","August","September","October","November","December")&amp;" "&amp;DAY(C3664)&amp;MID("thstndrdth",MIN(9,2*RIGHT(DAY(C3664))*(MOD(DAY(C3664)-11,100)&gt;2)+1),2)&amp;","&amp;TEXT(C3664," yyyy"))</f>
        <v>September 16th,2023</v>
      </c>
      <c r="AB3664" s="15" t="str">
        <f aca="true">IF(S3664="","",DATEDIF(S3664,TODAY(),"Y")&amp;" Tahun, "&amp;DATEDIF(S3664,TODAY(),"YM")&amp;" Bulan, "&amp;DATEDIF(S3664,TODAY(),"MD")&amp;" Hari")</f>
        <v>30 Tahun, 9 Bulan, 15 Hari</v>
      </c>
      <c r="AC3664" s="18" t="n">
        <v>45744</v>
      </c>
      <c r="AD3664" s="18" t="n">
        <v>45915</v>
      </c>
      <c r="AE3664" s="18" t="s">
        <v>44</v>
      </c>
    </row>
    <row r="3665" customFormat="false" ht="15" hidden="false" customHeight="true" outlineLevel="0" collapsed="false">
      <c r="A3665" s="12" t="n">
        <v>22478</v>
      </c>
      <c r="B3665" s="13" t="s">
        <v>14933</v>
      </c>
      <c r="C3665" s="14" t="n">
        <v>46184</v>
      </c>
      <c r="D3665" s="13" t="s">
        <v>2033</v>
      </c>
      <c r="E3665" s="15" t="s">
        <v>47</v>
      </c>
      <c r="F3665" s="24" t="s">
        <v>14934</v>
      </c>
      <c r="G3665" s="15" t="s">
        <v>1127</v>
      </c>
      <c r="H3665" s="13" t="s">
        <v>35</v>
      </c>
      <c r="I3665" s="13" t="str">
        <f aca="false">IF(C3665=J3665,"NEW KONTRAK","RE-KONTRAK")</f>
        <v>NEW KONTRAK</v>
      </c>
      <c r="J3665" s="16" t="n">
        <f aca="false" t="array" ref="J3665:J3665">IFERROR(INDEX(AC3665:AE3665,IF(COUNTA(AC3665:AE3665)=0,"",MAX((AC3665:AE3665&lt;&gt;"")*(COLUMN(AC3665:AE3665)-(COLUMN(AC3665)))))-1),"")</f>
        <v>46184</v>
      </c>
      <c r="K3665" s="16" t="n">
        <f aca="false" t="array" ref="K3665:K3665">IFERROR(INDEX(AC3665:AE3665,IF(COUNTA(AC3665:AE3665)=0,"",MAX((AC3665:AE3665&lt;&gt;"")*(COLUMN(AC3665:AE3665)-(COLUMN(AC3665)-1))))-1),"")</f>
        <v>46275</v>
      </c>
      <c r="L3665" s="17" t="str">
        <f aca="false" t="array" ref="L3665:L3665">IFERROR(INDEX(AC3665:AE3665,IF(COUNTA(AC3665:AE3665)=0,"",MAX((AC3665:AE3665&lt;&gt;"")*(COLUMN(AC3665:AE3665)-(COLUMN(AC3665)-2))))-1),"")</f>
        <v>KEMBALI ONLINE</v>
      </c>
      <c r="M3665" s="13" t="n">
        <f aca="true">K3665-TODAY()</f>
        <v>-49</v>
      </c>
      <c r="N3665" s="13" t="s">
        <v>3497</v>
      </c>
      <c r="O3665" s="13" t="s">
        <v>2384</v>
      </c>
      <c r="P3665" s="19" t="n">
        <v>3491889</v>
      </c>
      <c r="Q3665" s="47" t="s">
        <v>14935</v>
      </c>
      <c r="R3665" s="13" t="s">
        <v>14936</v>
      </c>
      <c r="S3665" s="16" t="n">
        <v>36242</v>
      </c>
      <c r="T3665" s="13" t="s">
        <v>108</v>
      </c>
      <c r="U3665" s="13" t="s">
        <v>14937</v>
      </c>
      <c r="V3665" s="28" t="s">
        <v>42</v>
      </c>
      <c r="W3665" s="28" t="s">
        <v>43</v>
      </c>
      <c r="X3665" s="67" t="s">
        <v>14938</v>
      </c>
      <c r="Y3665" s="22" t="str">
        <f aca="false">O3665</f>
        <v>SPG</v>
      </c>
      <c r="Z3665" s="13" t="str">
        <f aca="false">IFERROR(__xludf.dummyfunction("if(BJ3665="""","""",GOOGLETRANSLATE(BJ3665,""auto"",""en""))"),"SPG")</f>
        <v>SPG</v>
      </c>
      <c r="AA3665" s="23" t="str">
        <f aca="false">IF(C3665="","", CHOOSE(MONTH(C3665),"January","February","March","April","May","June","July","August","September","October","November","December")&amp;" "&amp;DAY(C3665)&amp;MID("thstndrdth",MIN(9,2*RIGHT(DAY(C3665))*(MOD(DAY(C3665)-11,100)&gt;2)+1),2)&amp;","&amp;TEXT(C3665," yyyy"))</f>
        <v>June 11th,2026</v>
      </c>
      <c r="AB3665" s="15" t="str">
        <f aca="true">IF(S3665="","",DATEDIF(S3665,TODAY(),"Y")&amp;" Tahun, "&amp;DATEDIF(S3665,TODAY(),"YM")&amp;" Bulan, "&amp;DATEDIF(S3665,TODAY(),"MD")&amp;" Hari")</f>
        <v>27 Tahun, 7 Bulan, 6 Hari</v>
      </c>
      <c r="AC3665" s="14" t="n">
        <v>46184</v>
      </c>
      <c r="AD3665" s="18" t="n">
        <f aca="false">EDATE(AC3665,3)-1</f>
        <v>46275</v>
      </c>
      <c r="AE3665" s="13" t="s">
        <v>2387</v>
      </c>
    </row>
    <row r="3666" customFormat="false" ht="15" hidden="false" customHeight="true" outlineLevel="0" collapsed="false">
      <c r="A3666" s="12" t="n">
        <v>21818</v>
      </c>
      <c r="B3666" s="13" t="s">
        <v>14939</v>
      </c>
      <c r="C3666" s="16" t="n">
        <v>46036</v>
      </c>
      <c r="D3666" s="13" t="s">
        <v>2033</v>
      </c>
      <c r="E3666" s="15" t="s">
        <v>47</v>
      </c>
      <c r="F3666" s="15" t="str">
        <f aca="false">IFERROR(__xludf.dummyfunction("XLOOKUP(AJ3666,IMPORTRANGE(""1XaInW9DU9nz21V0tYIfzFQ0He9kVQ_JF2mCXgZ3hqFA"",""REKAP ALL 2026 - Andika!G:G""),IMPORTRANGE(""1XaInW9DU9nz21V0tYIfzFQ0He9kVQ_JF2mCXgZ3hqFA"",""REKAP ALL 2026 - Andika!F:F""),"""",0)"),"26020755265")</f>
        <v>26020755265</v>
      </c>
      <c r="G3666" s="13" t="s">
        <v>1127</v>
      </c>
      <c r="H3666" s="13" t="s">
        <v>35</v>
      </c>
      <c r="I3666" s="13" t="str">
        <f aca="false">IF(C3666=J3666,"NEW KONTRAK","RE-KONTRAK")</f>
        <v>RE-KONTRAK</v>
      </c>
      <c r="J3666" s="16" t="n">
        <f aca="false" t="array" ref="J3666:J3666">IFERROR(INDEX(AC3666:AE3666,IF(COUNTA(AC3666:AE3666)=0,"",MAX((AC3666:AE3666&lt;&gt;"")*(COLUMN(AC3666:AE3666)-(COLUMN(AC3666)))))-1),"")</f>
        <v>46037</v>
      </c>
      <c r="K3666" s="16" t="n">
        <f aca="false" t="array" ref="K3666:K3666">IFERROR(INDEX(AC3666:AE3666,IF(COUNTA(AC3666:AE3666)=0,"",MAX((AC3666:AE3666&lt;&gt;"")*(COLUMN(AC3666:AE3666)-(COLUMN(AC3666)-1))))-1),"")</f>
        <v>46127</v>
      </c>
      <c r="L3666" s="17" t="str">
        <f aca="false" t="array" ref="L3666:L3666">IFERROR(INDEX(AC3666:AE3666,IF(COUNTA(AC3666:AE3666)=0,"",MAX((AC3666:AE3666&lt;&gt;"")*(COLUMN(AC3666:AE3666)-(COLUMN(AC3666)-2))))-1),"")</f>
        <v>KEMBALI</v>
      </c>
      <c r="M3666" s="13" t="n">
        <f aca="true">K3666-TODAY()</f>
        <v>-197</v>
      </c>
      <c r="N3666" s="18" t="s">
        <v>5852</v>
      </c>
      <c r="O3666" s="13" t="s">
        <v>2037</v>
      </c>
      <c r="P3666" s="19" t="n">
        <v>3019015</v>
      </c>
      <c r="Q3666" s="47" t="s">
        <v>14940</v>
      </c>
      <c r="R3666" s="13" t="s">
        <v>14941</v>
      </c>
      <c r="S3666" s="16" t="n">
        <v>37744</v>
      </c>
      <c r="T3666" s="13" t="s">
        <v>108</v>
      </c>
      <c r="U3666" s="13" t="s">
        <v>14942</v>
      </c>
      <c r="V3666" s="28" t="s">
        <v>42</v>
      </c>
      <c r="W3666" s="13" t="s">
        <v>43</v>
      </c>
      <c r="X3666" s="21" t="s">
        <v>14943</v>
      </c>
      <c r="Y3666" s="22" t="str">
        <f aca="false">O3666</f>
        <v>SPG/BA</v>
      </c>
      <c r="Z3666" s="13" t="str">
        <f aca="false">IFERROR(__xludf.dummyfunction("if(BJ3666="""","""",GOOGLETRANSLATE(BJ3666,""auto"",""en""))"),"SPG/BA")</f>
        <v>SPG/BA</v>
      </c>
      <c r="AA3666" s="23" t="str">
        <f aca="false">IF(C3666="","", CHOOSE(MONTH(C3666),"January","February","March","April","May","June","July","August","September","October","November","December")&amp;" "&amp;DAY(C3666)&amp;MID("thstndrdth",MIN(9,2*RIGHT(DAY(C3666))*(MOD(DAY(C3666)-11,100)&gt;2)+1),2)&amp;","&amp;TEXT(C3666," yyyy"))</f>
        <v>January 14th,2026</v>
      </c>
      <c r="AB3666" s="15" t="str">
        <f aca="true">IF(S3666="","",DATEDIF(S3666,TODAY(),"Y")&amp;" Tahun, "&amp;DATEDIF(S3666,TODAY(),"YM")&amp;" Bulan, "&amp;DATEDIF(S3666,TODAY(),"MD")&amp;" Hari")</f>
        <v>23 Tahun, 5 Bulan, 26 Hari</v>
      </c>
      <c r="AC3666" s="18" t="n">
        <v>46037</v>
      </c>
      <c r="AD3666" s="18" t="n">
        <v>46127</v>
      </c>
      <c r="AE3666" s="13" t="s">
        <v>397</v>
      </c>
    </row>
    <row r="3667" customFormat="false" ht="15" hidden="false" customHeight="true" outlineLevel="0" collapsed="false">
      <c r="A3667" s="12" t="n">
        <v>22910</v>
      </c>
      <c r="B3667" s="13" t="s">
        <v>14944</v>
      </c>
      <c r="C3667" s="14" t="n">
        <v>46258</v>
      </c>
      <c r="D3667" s="13" t="s">
        <v>2033</v>
      </c>
      <c r="E3667" s="13" t="s">
        <v>47</v>
      </c>
      <c r="F3667" s="24" t="s">
        <v>14945</v>
      </c>
      <c r="G3667" s="13" t="s">
        <v>1452</v>
      </c>
      <c r="H3667" s="13" t="s">
        <v>35</v>
      </c>
      <c r="I3667" s="13" t="str">
        <f aca="false">IF(C3667=J3667,"NEW KONTRAK","RE-KONTRAK")</f>
        <v>NEW KONTRAK</v>
      </c>
      <c r="J3667" s="16" t="n">
        <f aca="false" t="array" ref="J3667:J3667">IFERROR(INDEX(AC3667:AE3667,IF(COUNTA(AC3667:AE3667)=0,"",MAX((AC3667:AE3667&lt;&gt;"")*(COLUMN(AC3667:AE3667)-(COLUMN(AC3667)))))-1),"")</f>
        <v>46258</v>
      </c>
      <c r="K3667" s="16" t="n">
        <f aca="false" t="array" ref="K3667:K3667">IFERROR(INDEX(AC3667:AE3667,IF(COUNTA(AC3667:AE3667)=0,"",MAX((AC3667:AE3667&lt;&gt;"")*(COLUMN(AC3667:AE3667)-(COLUMN(AC3667)-1))))-1),"")</f>
        <v>46402</v>
      </c>
      <c r="L3667" s="17" t="str">
        <f aca="false" t="array" ref="L3667:L3667">IFERROR(INDEX(AC3667:AE3667,IF(COUNTA(AC3667:AE3667)=0,"",MAX((AC3667:AE3667&lt;&gt;"")*(COLUMN(AC3667:AE3667)-(COLUMN(AC3667)-2))))-1),"")</f>
        <v>ARCHIVED</v>
      </c>
      <c r="M3667" s="13" t="n">
        <f aca="true">K3667-TODAY()</f>
        <v>78</v>
      </c>
      <c r="N3667" s="13" t="s">
        <v>2369</v>
      </c>
      <c r="O3667" s="13" t="s">
        <v>2384</v>
      </c>
      <c r="P3667" s="26" t="n">
        <v>3516070</v>
      </c>
      <c r="Q3667" s="20" t="s">
        <v>14946</v>
      </c>
      <c r="R3667" s="13" t="s">
        <v>14947</v>
      </c>
      <c r="S3667" s="25" t="n">
        <v>36716</v>
      </c>
      <c r="T3667" s="13" t="s">
        <v>108</v>
      </c>
      <c r="U3667" s="13" t="s">
        <v>14948</v>
      </c>
      <c r="V3667" s="13" t="s">
        <v>42</v>
      </c>
      <c r="W3667" s="13" t="s">
        <v>43</v>
      </c>
      <c r="X3667" s="21" t="n">
        <v>85236228339</v>
      </c>
      <c r="Y3667" s="22" t="str">
        <f aca="false">O3667</f>
        <v>SPG</v>
      </c>
      <c r="Z3667" s="13" t="str">
        <f aca="false">IFERROR(__xludf.dummyfunction("if(BJ3667="""","""",GOOGLETRANSLATE(BJ3667,""auto"",""en""))"),"SPG")</f>
        <v>SPG</v>
      </c>
      <c r="AA3667" s="23" t="str">
        <f aca="false">IF(C3667="","", CHOOSE(MONTH(C3667),"January","February","March","April","May","June","July","August","September","October","November","December")&amp;" "&amp;DAY(C3667)&amp;MID("thstndrdth",MIN(9,2*RIGHT(DAY(C3667))*(MOD(DAY(C3667)-11,100)&gt;2)+1),2)&amp;","&amp;TEXT(C3667," yyyy"))</f>
        <v>August 24th,2026</v>
      </c>
      <c r="AB3667" s="15" t="str">
        <f aca="true">IF(S3667="","",DATEDIF(S3667,TODAY(),"Y")&amp;" Tahun, "&amp;DATEDIF(S3667,TODAY(),"YM")&amp;" Bulan, "&amp;DATEDIF(S3667,TODAY(),"MD")&amp;" Hari")</f>
        <v>26 Tahun, 3 Bulan, 20 Hari</v>
      </c>
      <c r="AC3667" s="14" t="n">
        <v>46258</v>
      </c>
      <c r="AD3667" s="18" t="n">
        <v>46402</v>
      </c>
      <c r="AE3667" s="13" t="s">
        <v>44</v>
      </c>
    </row>
    <row r="3668" customFormat="false" ht="15" hidden="false" customHeight="true" outlineLevel="0" collapsed="false">
      <c r="A3668" s="12" t="n">
        <v>13976</v>
      </c>
      <c r="B3668" s="13" t="s">
        <v>14949</v>
      </c>
      <c r="C3668" s="14" t="n">
        <v>45288</v>
      </c>
      <c r="D3668" s="13" t="s">
        <v>2033</v>
      </c>
      <c r="E3668" s="15" t="s">
        <v>47</v>
      </c>
      <c r="F3668" s="15" t="str">
        <f aca="false">IFERROR(__xludf.dummyfunction("XLOOKUP(AJ3668,IMPORTRANGE(""1XaInW9DU9nz21V0tYIfzFQ0He9kVQ_JF2mCXgZ3hqFA"",""REKAP ALL 2026 - Andika!G:G""),IMPORTRANGE(""1XaInW9DU9nz21V0tYIfzFQ0He9kVQ_JF2mCXgZ3hqFA"",""REKAP ALL 2026 - Andika!F:F""),"""",0)"),"24007209687")</f>
        <v>24007209687</v>
      </c>
      <c r="G3668" s="13" t="s">
        <v>14950</v>
      </c>
      <c r="H3668" s="13" t="s">
        <v>2035</v>
      </c>
      <c r="I3668" s="13" t="str">
        <f aca="false">IF(C3668=J3668,"NEW KONTRAK","RE-KONTRAK")</f>
        <v>RE-KONTRAK</v>
      </c>
      <c r="J3668" s="16" t="n">
        <f aca="false" t="array" ref="J3668:J3668">IFERROR(INDEX(AC3668:AE3668,IF(COUNTA(AC3668:AE3668)=0,"",MAX((AC3668:AE3668&lt;&gt;"")*(COLUMN(AC3668:AE3668)-(COLUMN(AC3668)))))-1),"")</f>
        <v>45744</v>
      </c>
      <c r="K3668" s="16" t="n">
        <f aca="false" t="array" ref="K3668:K3668">IFERROR(INDEX(AC3668:AE3668,IF(COUNTA(AC3668:AE3668)=0,"",MAX((AC3668:AE3668&lt;&gt;"")*(COLUMN(AC3668:AE3668)-(COLUMN(AC3668)-1))))-1),"")</f>
        <v>45915</v>
      </c>
      <c r="L3668" s="17" t="str">
        <f aca="false" t="array" ref="L3668:L3668">IFERROR(INDEX(AC3668:AE3668,IF(COUNTA(AC3668:AE3668)=0,"",MAX((AC3668:AE3668&lt;&gt;"")*(COLUMN(AC3668:AE3668)-(COLUMN(AC3668)-2))))-1),"")</f>
        <v>ARCHIVED</v>
      </c>
      <c r="M3668" s="13" t="n">
        <f aca="true">K3668-TODAY()</f>
        <v>-409</v>
      </c>
      <c r="N3668" s="18" t="s">
        <v>3902</v>
      </c>
      <c r="O3668" s="13" t="s">
        <v>2037</v>
      </c>
      <c r="P3668" s="19" t="n">
        <v>3491889</v>
      </c>
      <c r="Q3668" s="20" t="s">
        <v>14951</v>
      </c>
      <c r="R3668" s="13" t="s">
        <v>14952</v>
      </c>
      <c r="S3668" s="14" t="n">
        <v>38158</v>
      </c>
      <c r="T3668" s="13" t="s">
        <v>108</v>
      </c>
      <c r="U3668" s="13" t="s">
        <v>14953</v>
      </c>
      <c r="V3668" s="13" t="s">
        <v>42</v>
      </c>
      <c r="W3668" s="13" t="s">
        <v>43</v>
      </c>
      <c r="X3668" s="21" t="n">
        <v>8990850404</v>
      </c>
      <c r="Y3668" s="22" t="str">
        <f aca="false">O3668</f>
        <v>SPG/BA</v>
      </c>
      <c r="Z3668" s="13" t="str">
        <f aca="false">IFERROR(__xludf.dummyfunction("if(BJ3668="""","""",GOOGLETRANSLATE(BJ3668,""auto"",""en""))"),"SPG/BA")</f>
        <v>SPG/BA</v>
      </c>
      <c r="AA3668" s="23" t="str">
        <f aca="false">IF(C3668="","", CHOOSE(MONTH(C3668),"January","February","March","April","May","June","July","August","September","October","November","December")&amp;" "&amp;DAY(C3668)&amp;MID("thstndrdth",MIN(9,2*RIGHT(DAY(C3668))*(MOD(DAY(C3668)-11,100)&gt;2)+1),2)&amp;","&amp;TEXT(C3668," yyyy"))</f>
        <v>December 28th,2023</v>
      </c>
      <c r="AB3668" s="15" t="str">
        <f aca="true">IF(S3668="","",DATEDIF(S3668,TODAY(),"Y")&amp;" Tahun, "&amp;DATEDIF(S3668,TODAY(),"YM")&amp;" Bulan, "&amp;DATEDIF(S3668,TODAY(),"MD")&amp;" Hari")</f>
        <v>22 Tahun, 4 Bulan, 9 Hari</v>
      </c>
      <c r="AC3668" s="18" t="n">
        <v>45744</v>
      </c>
      <c r="AD3668" s="18" t="n">
        <v>45915</v>
      </c>
      <c r="AE3668" s="18" t="s">
        <v>44</v>
      </c>
    </row>
    <row r="3669" customFormat="false" ht="15" hidden="false" customHeight="true" outlineLevel="0" collapsed="false">
      <c r="A3669" s="12" t="n">
        <v>22289</v>
      </c>
      <c r="B3669" s="13" t="s">
        <v>14954</v>
      </c>
      <c r="C3669" s="16" t="n">
        <v>46143</v>
      </c>
      <c r="D3669" s="13" t="s">
        <v>2033</v>
      </c>
      <c r="E3669" s="15" t="s">
        <v>102</v>
      </c>
      <c r="F3669" s="24" t="s">
        <v>14955</v>
      </c>
      <c r="G3669" s="24" t="s">
        <v>57</v>
      </c>
      <c r="H3669" s="13" t="s">
        <v>35</v>
      </c>
      <c r="I3669" s="13" t="str">
        <f aca="false">IF(C3669=J3669,"NEW KONTRAK","RE-KONTRAK")</f>
        <v>NEW KONTRAK</v>
      </c>
      <c r="J3669" s="16" t="n">
        <f aca="false" t="array" ref="J3669:J3669">IFERROR(INDEX(AC3669:AE3669,IF(COUNTA(AC3669:AE3669)=0,"",MAX((AC3669:AE3669&lt;&gt;"")*(COLUMN(AC3669:AE3669)-(COLUMN(AC3669)))))-1),"")</f>
        <v>46143</v>
      </c>
      <c r="K3669" s="16" t="n">
        <f aca="false" t="array" ref="K3669:K3669">IFERROR(INDEX(AC3669:AE3669,IF(COUNTA(AC3669:AE3669)=0,"",MAX((AC3669:AE3669&lt;&gt;"")*(COLUMN(AC3669:AE3669)-(COLUMN(AC3669)-1))))-1),"")</f>
        <v>46188</v>
      </c>
      <c r="L3669" s="17" t="str">
        <f aca="false" t="array" ref="L3669:L3669">IFERROR(INDEX(AC3669:AE3669,IF(COUNTA(AC3669:AE3669)=0,"",MAX((AC3669:AE3669&lt;&gt;"")*(COLUMN(AC3669:AE3669)-(COLUMN(AC3669)-2))))-1),"")</f>
        <v>KEMBALI</v>
      </c>
      <c r="M3669" s="13" t="n">
        <f aca="true">K3669-TODAY()</f>
        <v>-136</v>
      </c>
      <c r="N3669" s="18" t="s">
        <v>2587</v>
      </c>
      <c r="O3669" s="13" t="s">
        <v>2037</v>
      </c>
      <c r="P3669" s="19" t="n">
        <v>3855894</v>
      </c>
      <c r="Q3669" s="20" t="s">
        <v>14956</v>
      </c>
      <c r="R3669" s="13" t="s">
        <v>2587</v>
      </c>
      <c r="S3669" s="14" t="n">
        <v>38428</v>
      </c>
      <c r="T3669" s="13" t="s">
        <v>108</v>
      </c>
      <c r="U3669" s="13" t="s">
        <v>14957</v>
      </c>
      <c r="V3669" s="13" t="s">
        <v>42</v>
      </c>
      <c r="W3669" s="13" t="s">
        <v>43</v>
      </c>
      <c r="X3669" s="21" t="n">
        <v>85822350048</v>
      </c>
      <c r="Y3669" s="22" t="str">
        <f aca="false">O3669</f>
        <v>SPG/BA</v>
      </c>
      <c r="Z3669" s="13" t="str">
        <f aca="false">IFERROR(__xludf.dummyfunction("if(BJ3669="""","""",GOOGLETRANSLATE(BJ3669,""auto"",""en""))"),"SPG/BA")</f>
        <v>SPG/BA</v>
      </c>
      <c r="AA3669" s="23" t="str">
        <f aca="false">IF(C3669="","", CHOOSE(MONTH(C3669),"January","February","March","April","May","June","July","August","September","October","November","December")&amp;" "&amp;DAY(C3669)&amp;MID("thstndrdth",MIN(9,2*RIGHT(DAY(C3669))*(MOD(DAY(C3669)-11,100)&gt;2)+1),2)&amp;","&amp;TEXT(C3669," yyyy"))</f>
        <v>May 1st,2026</v>
      </c>
      <c r="AB3669" s="15" t="str">
        <f aca="true">IF(S3669="","",DATEDIF(S3669,TODAY(),"Y")&amp;" Tahun, "&amp;DATEDIF(S3669,TODAY(),"YM")&amp;" Bulan, "&amp;DATEDIF(S3669,TODAY(),"MD")&amp;" Hari")</f>
        <v>21 Tahun, 7 Bulan, 12 Hari</v>
      </c>
      <c r="AC3669" s="14" t="n">
        <v>46143</v>
      </c>
      <c r="AD3669" s="64" t="n">
        <v>46188</v>
      </c>
      <c r="AE3669" s="13" t="s">
        <v>397</v>
      </c>
    </row>
    <row r="3670" customFormat="false" ht="15" hidden="false" customHeight="true" outlineLevel="0" collapsed="false">
      <c r="A3670" s="12" t="n">
        <v>22290</v>
      </c>
      <c r="B3670" s="13" t="s">
        <v>14958</v>
      </c>
      <c r="C3670" s="14" t="n">
        <v>46143</v>
      </c>
      <c r="D3670" s="13" t="s">
        <v>2033</v>
      </c>
      <c r="E3670" s="15" t="s">
        <v>14439</v>
      </c>
      <c r="F3670" s="24" t="s">
        <v>14959</v>
      </c>
      <c r="G3670" s="24" t="s">
        <v>57</v>
      </c>
      <c r="H3670" s="13" t="s">
        <v>35</v>
      </c>
      <c r="I3670" s="13" t="str">
        <f aca="false">IF(C3670=J3670,"NEW KONTRAK","RE-KONTRAK")</f>
        <v>NEW KONTRAK</v>
      </c>
      <c r="J3670" s="16" t="n">
        <f aca="false" t="array" ref="J3670:J3670">IFERROR(INDEX(AC3670:AE3670,IF(COUNTA(AC3670:AE3670)=0,"",MAX((AC3670:AE3670&lt;&gt;"")*(COLUMN(AC3670:AE3670)-(COLUMN(AC3670)))))-1),"")</f>
        <v>46143</v>
      </c>
      <c r="K3670" s="16" t="n">
        <f aca="false" t="array" ref="K3670:K3670">IFERROR(INDEX(AC3670:AE3670,IF(COUNTA(AC3670:AE3670)=0,"",MAX((AC3670:AE3670&lt;&gt;"")*(COLUMN(AC3670:AE3670)-(COLUMN(AC3670)-1))))-1),"")</f>
        <v>46188</v>
      </c>
      <c r="L3670" s="17" t="str">
        <f aca="false" t="array" ref="L3670:L3670">IFERROR(INDEX(AC3670:AE3670,IF(COUNTA(AC3670:AE3670)=0,"",MAX((AC3670:AE3670&lt;&gt;"")*(COLUMN(AC3670:AE3670)-(COLUMN(AC3670)-2))))-1),"")</f>
        <v>ARCHIVED</v>
      </c>
      <c r="M3670" s="13" t="n">
        <f aca="true">K3670-TODAY()</f>
        <v>-136</v>
      </c>
      <c r="N3670" s="18" t="s">
        <v>3248</v>
      </c>
      <c r="O3670" s="13" t="s">
        <v>2037</v>
      </c>
      <c r="P3670" s="19" t="n">
        <v>5357982</v>
      </c>
      <c r="Q3670" s="20" t="s">
        <v>14960</v>
      </c>
      <c r="R3670" s="13" t="s">
        <v>14961</v>
      </c>
      <c r="S3670" s="14" t="n">
        <v>36392</v>
      </c>
      <c r="T3670" s="13" t="s">
        <v>108</v>
      </c>
      <c r="U3670" s="13" t="s">
        <v>14962</v>
      </c>
      <c r="V3670" s="13" t="s">
        <v>99</v>
      </c>
      <c r="W3670" s="13" t="s">
        <v>2402</v>
      </c>
      <c r="X3670" s="30" t="n">
        <v>85134721228</v>
      </c>
      <c r="Y3670" s="22" t="str">
        <f aca="false">O3670</f>
        <v>SPG/BA</v>
      </c>
      <c r="Z3670" s="13" t="str">
        <f aca="false">IFERROR(__xludf.dummyfunction("if(BJ3670="""","""",GOOGLETRANSLATE(BJ3670,""auto"",""en""))"),"SPG/BA")</f>
        <v>SPG/BA</v>
      </c>
      <c r="AA3670" s="23" t="str">
        <f aca="false">IF(C3670="","", CHOOSE(MONTH(C3670),"January","February","March","April","May","June","July","August","September","October","November","December")&amp;" "&amp;DAY(C3670)&amp;MID("thstndrdth",MIN(9,2*RIGHT(DAY(C3670))*(MOD(DAY(C3670)-11,100)&gt;2)+1),2)&amp;","&amp;TEXT(C3670," yyyy"))</f>
        <v>May 1st,2026</v>
      </c>
      <c r="AB3670" s="15" t="str">
        <f aca="true">IF(S3670="","",DATEDIF(S3670,TODAY(),"Y")&amp;" Tahun, "&amp;DATEDIF(S3670,TODAY(),"YM")&amp;" Bulan, "&amp;DATEDIF(S3670,TODAY(),"MD")&amp;" Hari")</f>
        <v>27 Tahun, 2 Bulan, 9 Hari</v>
      </c>
      <c r="AC3670" s="14" t="n">
        <v>46143</v>
      </c>
      <c r="AD3670" s="64" t="n">
        <v>46188</v>
      </c>
      <c r="AE3670" s="13" t="s">
        <v>44</v>
      </c>
    </row>
    <row r="3671" customFormat="false" ht="15" hidden="false" customHeight="true" outlineLevel="0" collapsed="false">
      <c r="A3671" s="12" t="n">
        <v>22291</v>
      </c>
      <c r="B3671" s="13" t="s">
        <v>14963</v>
      </c>
      <c r="C3671" s="14" t="n">
        <v>46160</v>
      </c>
      <c r="D3671" s="13" t="s">
        <v>8227</v>
      </c>
      <c r="E3671" s="15" t="s">
        <v>47</v>
      </c>
      <c r="F3671" s="24" t="s">
        <v>14964</v>
      </c>
      <c r="G3671" s="13" t="s">
        <v>2809</v>
      </c>
      <c r="H3671" s="13" t="s">
        <v>35</v>
      </c>
      <c r="I3671" s="13" t="str">
        <f aca="false">IF(C3671=J3671,"NEW KONTRAK","RE-KONTRAK")</f>
        <v>NEW KONTRAK</v>
      </c>
      <c r="J3671" s="16" t="n">
        <f aca="false" t="array" ref="J3671:J3671">IFERROR(INDEX(AC3671:AE3671,IF(COUNTA(AC3671:AE3671)=0,"",MAX((AC3671:AE3671&lt;&gt;"")*(COLUMN(AC3671:AE3671)-(COLUMN(AC3671)))))-1),"")</f>
        <v>46160</v>
      </c>
      <c r="K3671" s="16" t="n">
        <f aca="false" t="array" ref="K3671:K3671">IFERROR(INDEX(AC3671:AE3671,IF(COUNTA(AC3671:AE3671)=0,"",MAX((AC3671:AE3671&lt;&gt;"")*(COLUMN(AC3671:AE3671)-(COLUMN(AC3671)-1))))-1),"")</f>
        <v>46251</v>
      </c>
      <c r="L3671" s="17" t="str">
        <f aca="false" t="array" ref="L3671:L3671">IFERROR(INDEX(AC3671:AE3671,IF(COUNTA(AC3671:AE3671)=0,"",MAX((AC3671:AE3671&lt;&gt;"")*(COLUMN(AC3671:AE3671)-(COLUMN(AC3671)-2))))-1),"")</f>
        <v>ARCHIVED</v>
      </c>
      <c r="M3671" s="13" t="n">
        <f aca="true">K3671-TODAY()</f>
        <v>-73</v>
      </c>
      <c r="N3671" s="18" t="s">
        <v>728</v>
      </c>
      <c r="O3671" s="13" t="s">
        <v>14965</v>
      </c>
      <c r="P3671" s="19" t="n">
        <v>2750000</v>
      </c>
      <c r="Q3671" s="20" t="s">
        <v>14966</v>
      </c>
      <c r="R3671" s="13" t="s">
        <v>52</v>
      </c>
      <c r="S3671" s="14" t="n">
        <v>37102</v>
      </c>
      <c r="T3671" s="13" t="s">
        <v>40</v>
      </c>
      <c r="U3671" s="13" t="s">
        <v>14967</v>
      </c>
      <c r="V3671" s="13" t="s">
        <v>42</v>
      </c>
      <c r="W3671" s="13" t="s">
        <v>43</v>
      </c>
      <c r="X3671" s="21" t="n">
        <v>82229326711</v>
      </c>
      <c r="Y3671" s="22" t="str">
        <f aca="false">O3671</f>
        <v>Gudang (Handling)</v>
      </c>
      <c r="Z3671" s="13" t="str">
        <f aca="false">IFERROR(__xludf.dummyfunction("if(BJ3671="""","""",GOOGLETRANSLATE(BJ3671,""auto"",""en""))"),"Warehouse (Handling)")</f>
        <v>Warehouse (Handling)</v>
      </c>
      <c r="AA3671" s="23" t="str">
        <f aca="false">IF(C3671="","", CHOOSE(MONTH(C3671),"January","February","March","April","May","June","July","August","September","October","November","December")&amp;" "&amp;DAY(C3671)&amp;MID("thstndrdth",MIN(9,2*RIGHT(DAY(C3671))*(MOD(DAY(C3671)-11,100)&gt;2)+1),2)&amp;","&amp;TEXT(C3671," yyyy"))</f>
        <v>May 18th,2026</v>
      </c>
      <c r="AB3671" s="15" t="str">
        <f aca="true">IF(S3671="","",DATEDIF(S3671,TODAY(),"Y")&amp;" Tahun, "&amp;DATEDIF(S3671,TODAY(),"YM")&amp;" Bulan, "&amp;DATEDIF(S3671,TODAY(),"MD")&amp;" Hari")</f>
        <v>25 Tahun, 2 Bulan, 29 Hari</v>
      </c>
      <c r="AC3671" s="14" t="n">
        <v>46160</v>
      </c>
      <c r="AD3671" s="18" t="n">
        <f aca="false">EDATE(AC3671,3)-1</f>
        <v>46251</v>
      </c>
      <c r="AE3671" s="13" t="s">
        <v>44</v>
      </c>
    </row>
    <row r="3672" customFormat="false" ht="15" hidden="false" customHeight="true" outlineLevel="0" collapsed="false">
      <c r="A3672" s="12" t="n">
        <v>22292</v>
      </c>
      <c r="B3672" s="13" t="s">
        <v>14968</v>
      </c>
      <c r="C3672" s="16" t="n">
        <v>46160</v>
      </c>
      <c r="D3672" s="13" t="s">
        <v>3643</v>
      </c>
      <c r="E3672" s="15" t="s">
        <v>47</v>
      </c>
      <c r="F3672" s="24" t="s">
        <v>14969</v>
      </c>
      <c r="G3672" s="13" t="s">
        <v>2809</v>
      </c>
      <c r="H3672" s="13" t="s">
        <v>35</v>
      </c>
      <c r="I3672" s="13" t="str">
        <f aca="false">IF(C3672=J3672,"NEW KONTRAK","RE-KONTRAK")</f>
        <v>NEW KONTRAK</v>
      </c>
      <c r="J3672" s="16" t="n">
        <f aca="false" t="array" ref="J3672:J3672">IFERROR(INDEX(AC3672:AE3672,IF(COUNTA(AC3672:AE3672)=0,"",MAX((AC3672:AE3672&lt;&gt;"")*(COLUMN(AC3672:AE3672)-(COLUMN(AC3672)))))-1),"")</f>
        <v>46160</v>
      </c>
      <c r="K3672" s="16" t="n">
        <f aca="false" t="array" ref="K3672:K3672">IFERROR(INDEX(AC3672:AE3672,IF(COUNTA(AC3672:AE3672)=0,"",MAX((AC3672:AE3672&lt;&gt;"")*(COLUMN(AC3672:AE3672)-(COLUMN(AC3672)-1))))-1),"")</f>
        <v>46251</v>
      </c>
      <c r="L3672" s="17" t="str">
        <f aca="false" t="array" ref="L3672:L3672">IFERROR(INDEX(AC3672:AE3672,IF(COUNTA(AC3672:AE3672)=0,"",MAX((AC3672:AE3672&lt;&gt;"")*(COLUMN(AC3672:AE3672)-(COLUMN(AC3672)-2))))-1),"")</f>
        <v>ARCHIVED</v>
      </c>
      <c r="M3672" s="13" t="n">
        <f aca="true">K3672-TODAY()</f>
        <v>-73</v>
      </c>
      <c r="N3672" s="18" t="s">
        <v>728</v>
      </c>
      <c r="O3672" s="13" t="s">
        <v>14970</v>
      </c>
      <c r="P3672" s="19" t="n">
        <v>2750000</v>
      </c>
      <c r="Q3672" s="20" t="s">
        <v>14971</v>
      </c>
      <c r="R3672" s="13" t="s">
        <v>735</v>
      </c>
      <c r="S3672" s="14" t="n">
        <v>36909</v>
      </c>
      <c r="T3672" s="13" t="s">
        <v>40</v>
      </c>
      <c r="U3672" s="13" t="s">
        <v>14972</v>
      </c>
      <c r="V3672" s="13" t="s">
        <v>42</v>
      </c>
      <c r="W3672" s="13" t="s">
        <v>43</v>
      </c>
      <c r="X3672" s="21" t="n">
        <v>87885897453</v>
      </c>
      <c r="Y3672" s="22" t="str">
        <f aca="false">O3672</f>
        <v>Gudang (Driver/Handling)</v>
      </c>
      <c r="Z3672" s="13" t="str">
        <f aca="false">IFERROR(__xludf.dummyfunction("if(BJ3672="""","""",GOOGLETRANSLATE(BJ3672,""auto"",""en""))"),"Warehouse (Driver/Handling)")</f>
        <v>Warehouse (Driver/Handling)</v>
      </c>
      <c r="AA3672" s="23" t="str">
        <f aca="false">IF(C3672="","", CHOOSE(MONTH(C3672),"January","February","March","April","May","June","July","August","September","October","November","December")&amp;" "&amp;DAY(C3672)&amp;MID("thstndrdth",MIN(9,2*RIGHT(DAY(C3672))*(MOD(DAY(C3672)-11,100)&gt;2)+1),2)&amp;","&amp;TEXT(C3672," yyyy"))</f>
        <v>May 18th,2026</v>
      </c>
      <c r="AB3672" s="15" t="str">
        <f aca="true">IF(S3672="","",DATEDIF(S3672,TODAY(),"Y")&amp;" Tahun, "&amp;DATEDIF(S3672,TODAY(),"YM")&amp;" Bulan, "&amp;DATEDIF(S3672,TODAY(),"MD")&amp;" Hari")</f>
        <v>25 Tahun, 9 Bulan, 11 Hari</v>
      </c>
      <c r="AC3672" s="14" t="n">
        <v>46160</v>
      </c>
      <c r="AD3672" s="18" t="n">
        <f aca="false">EDATE(AC3672,3)-1</f>
        <v>46251</v>
      </c>
      <c r="AE3672" s="13" t="s">
        <v>44</v>
      </c>
    </row>
    <row r="3673" customFormat="false" ht="15" hidden="false" customHeight="true" outlineLevel="0" collapsed="false">
      <c r="A3673" s="12" t="n">
        <v>22293</v>
      </c>
      <c r="B3673" s="13" t="s">
        <v>14973</v>
      </c>
      <c r="C3673" s="16" t="n">
        <v>46174</v>
      </c>
      <c r="D3673" s="13" t="s">
        <v>3573</v>
      </c>
      <c r="E3673" s="15" t="s">
        <v>102</v>
      </c>
      <c r="F3673" s="24" t="s">
        <v>14974</v>
      </c>
      <c r="G3673" s="24" t="s">
        <v>57</v>
      </c>
      <c r="H3673" s="13" t="s">
        <v>35</v>
      </c>
      <c r="I3673" s="13" t="str">
        <f aca="false">IF(C3673=J3673,"NEW KONTRAK","RE-KONTRAK")</f>
        <v>NEW KONTRAK</v>
      </c>
      <c r="J3673" s="16" t="n">
        <f aca="false" t="array" ref="J3673:J3673">IFERROR(INDEX(AC3673:AE3673,IF(COUNTA(AC3673:AE3673)=0,"",MAX((AC3673:AE3673&lt;&gt;"")*(COLUMN(AC3673:AE3673)-(COLUMN(AC3673)))))-1),"")</f>
        <v>46174</v>
      </c>
      <c r="K3673" s="16" t="n">
        <f aca="false" t="array" ref="K3673:K3673">IFERROR(INDEX(AC3673:AE3673,IF(COUNTA(AC3673:AE3673)=0,"",MAX((AC3673:AE3673&lt;&gt;"")*(COLUMN(AC3673:AE3673)-(COLUMN(AC3673)-1))))-1),"")</f>
        <v>46234</v>
      </c>
      <c r="L3673" s="17" t="str">
        <f aca="false" t="array" ref="L3673:L3673">IFERROR(INDEX(AC3673:AE3673,IF(COUNTA(AC3673:AE3673)=0,"",MAX((AC3673:AE3673&lt;&gt;"")*(COLUMN(AC3673:AE3673)-(COLUMN(AC3673)-2))))-1),"")</f>
        <v>ARCHIVED</v>
      </c>
      <c r="M3673" s="13" t="n">
        <f aca="true">K3673-TODAY()</f>
        <v>-90</v>
      </c>
      <c r="N3673" s="18" t="s">
        <v>3576</v>
      </c>
      <c r="O3673" s="13" t="s">
        <v>14975</v>
      </c>
      <c r="P3673" s="19" t="n">
        <v>2651603</v>
      </c>
      <c r="Q3673" s="20" t="s">
        <v>14976</v>
      </c>
      <c r="R3673" s="13" t="s">
        <v>260</v>
      </c>
      <c r="S3673" s="14" t="n">
        <v>33628</v>
      </c>
      <c r="T3673" s="13" t="s">
        <v>108</v>
      </c>
      <c r="U3673" s="13" t="s">
        <v>14977</v>
      </c>
      <c r="V3673" s="13" t="s">
        <v>42</v>
      </c>
      <c r="W3673" s="13" t="s">
        <v>54</v>
      </c>
      <c r="X3673" s="21" t="n">
        <v>85741329004</v>
      </c>
      <c r="Y3673" s="22" t="str">
        <f aca="false">O3673</f>
        <v>PCC Gudang</v>
      </c>
      <c r="Z3673" s="13" t="str">
        <f aca="false">IFERROR(__xludf.dummyfunction("if(BJ3673="""","""",GOOGLETRANSLATE(BJ3673,""auto"",""en""))"),"PCC Warehouse")</f>
        <v>PCC Warehouse</v>
      </c>
      <c r="AA3673" s="23" t="str">
        <f aca="false">IF(C3673="","", CHOOSE(MONTH(C3673),"January","February","March","April","May","June","July","August","September","October","November","December")&amp;" "&amp;DAY(C3673)&amp;MID("thstndrdth",MIN(9,2*RIGHT(DAY(C3673))*(MOD(DAY(C3673)-11,100)&gt;2)+1),2)&amp;","&amp;TEXT(C3673," yyyy"))</f>
        <v>June 1st,2026</v>
      </c>
      <c r="AB3673" s="15" t="str">
        <f aca="true">IF(S3673="","",DATEDIF(S3673,TODAY(),"Y")&amp;" Tahun, "&amp;DATEDIF(S3673,TODAY(),"YM")&amp;" Bulan, "&amp;DATEDIF(S3673,TODAY(),"MD")&amp;" Hari")</f>
        <v>34 Tahun, 9 Bulan, 4 Hari</v>
      </c>
      <c r="AC3673" s="14" t="n">
        <v>46174</v>
      </c>
      <c r="AD3673" s="18" t="n">
        <f aca="false">EDATE(AC3673,2)-1</f>
        <v>46234</v>
      </c>
      <c r="AE3673" s="13" t="s">
        <v>44</v>
      </c>
    </row>
    <row r="3674" customFormat="false" ht="15" hidden="false" customHeight="true" outlineLevel="0" collapsed="false">
      <c r="A3674" s="12" t="n">
        <v>22294</v>
      </c>
      <c r="B3674" s="13" t="s">
        <v>14978</v>
      </c>
      <c r="C3674" s="16" t="n">
        <v>46167</v>
      </c>
      <c r="D3674" s="13" t="s">
        <v>6487</v>
      </c>
      <c r="E3674" s="15" t="s">
        <v>102</v>
      </c>
      <c r="F3674" s="24" t="s">
        <v>14979</v>
      </c>
      <c r="G3674" s="24" t="s">
        <v>57</v>
      </c>
      <c r="H3674" s="13" t="s">
        <v>35</v>
      </c>
      <c r="I3674" s="13" t="str">
        <f aca="false">IF(C3674=J3674,"NEW KONTRAK","RE-KONTRAK")</f>
        <v>NEW KONTRAK</v>
      </c>
      <c r="J3674" s="16" t="n">
        <f aca="false" t="array" ref="J3674:J3674">IFERROR(INDEX(AC3674:AE3674,IF(COUNTA(AC3674:AE3674)=0,"",MAX((AC3674:AE3674&lt;&gt;"")*(COLUMN(AC3674:AE3674)-(COLUMN(AC3674)))))-1),"")</f>
        <v>46167</v>
      </c>
      <c r="K3674" s="16" t="n">
        <f aca="false" t="array" ref="K3674:K3674">IFERROR(INDEX(AC3674:AE3674,IF(COUNTA(AC3674:AE3674)=0,"",MAX((AC3674:AE3674&lt;&gt;"")*(COLUMN(AC3674:AE3674)-(COLUMN(AC3674)-1))))-1),"")</f>
        <v>46387</v>
      </c>
      <c r="L3674" s="17" t="str">
        <f aca="false" t="array" ref="L3674:L3674">IFERROR(INDEX(AC3674:AE3674,IF(COUNTA(AC3674:AE3674)=0,"",MAX((AC3674:AE3674&lt;&gt;"")*(COLUMN(AC3674:AE3674)-(COLUMN(AC3674)-2))))-1),"")</f>
        <v>KEMBALI</v>
      </c>
      <c r="M3674" s="13" t="n">
        <f aca="true">K3674-TODAY()</f>
        <v>63</v>
      </c>
      <c r="N3674" s="18" t="s">
        <v>4735</v>
      </c>
      <c r="O3674" s="13" t="s">
        <v>14980</v>
      </c>
      <c r="P3674" s="19" t="n">
        <v>3800000</v>
      </c>
      <c r="Q3674" s="20" t="s">
        <v>14981</v>
      </c>
      <c r="R3674" s="13" t="s">
        <v>5852</v>
      </c>
      <c r="S3674" s="14" t="n">
        <v>36069</v>
      </c>
      <c r="T3674" s="13" t="s">
        <v>40</v>
      </c>
      <c r="U3674" s="13" t="s">
        <v>14982</v>
      </c>
      <c r="V3674" s="13" t="s">
        <v>42</v>
      </c>
      <c r="W3674" s="13" t="s">
        <v>54</v>
      </c>
      <c r="X3674" s="21" t="s">
        <v>14983</v>
      </c>
      <c r="Y3674" s="22" t="str">
        <f aca="false">O3674</f>
        <v>Driver Ekspedisi</v>
      </c>
      <c r="Z3674" s="13" t="str">
        <f aca="false">IFERROR(__xludf.dummyfunction("if(BJ3674="""","""",GOOGLETRANSLATE(BJ3674,""auto"",""en""))"),"Expedition Driver")</f>
        <v>Expedition Driver</v>
      </c>
      <c r="AA3674" s="23" t="str">
        <f aca="false">IF(C3674="","", CHOOSE(MONTH(C3674),"January","February","March","April","May","June","July","August","September","October","November","December")&amp;" "&amp;DAY(C3674)&amp;MID("thstndrdth",MIN(9,2*RIGHT(DAY(C3674))*(MOD(DAY(C3674)-11,100)&gt;2)+1),2)&amp;","&amp;TEXT(C3674," yyyy"))</f>
        <v>May 25th,2026</v>
      </c>
      <c r="AB3674" s="15" t="str">
        <f aca="true">IF(S3674="","",DATEDIF(S3674,TODAY(),"Y")&amp;" Tahun, "&amp;DATEDIF(S3674,TODAY(),"YM")&amp;" Bulan, "&amp;DATEDIF(S3674,TODAY(),"MD")&amp;" Hari")</f>
        <v>28 Tahun, 0 Bulan, 28 Hari</v>
      </c>
      <c r="AC3674" s="17" t="n">
        <v>46167</v>
      </c>
      <c r="AD3674" s="18" t="n">
        <v>46387</v>
      </c>
      <c r="AE3674" s="13" t="s">
        <v>397</v>
      </c>
    </row>
    <row r="3675" customFormat="false" ht="15" hidden="false" customHeight="true" outlineLevel="0" collapsed="false">
      <c r="A3675" s="12" t="n">
        <v>22295</v>
      </c>
      <c r="B3675" s="13" t="s">
        <v>14984</v>
      </c>
      <c r="C3675" s="16" t="n">
        <v>46174</v>
      </c>
      <c r="D3675" s="13" t="s">
        <v>3573</v>
      </c>
      <c r="E3675" s="15" t="s">
        <v>102</v>
      </c>
      <c r="F3675" s="24" t="s">
        <v>14985</v>
      </c>
      <c r="G3675" s="24" t="s">
        <v>57</v>
      </c>
      <c r="H3675" s="13" t="s">
        <v>35</v>
      </c>
      <c r="I3675" s="13" t="str">
        <f aca="false">IF(C3675=J3675,"NEW KONTRAK","RE-KONTRAK")</f>
        <v>NEW KONTRAK</v>
      </c>
      <c r="J3675" s="16" t="n">
        <f aca="false" t="array" ref="J3675:J3675">IFERROR(INDEX(AC3675:AE3675,IF(COUNTA(AC3675:AE3675)=0,"",MAX((AC3675:AE3675&lt;&gt;"")*(COLUMN(AC3675:AE3675)-(COLUMN(AC3675)))))-1),"")</f>
        <v>46174</v>
      </c>
      <c r="K3675" s="16" t="n">
        <f aca="false" t="array" ref="K3675:K3675">IFERROR(INDEX(AC3675:AE3675,IF(COUNTA(AC3675:AE3675)=0,"",MAX((AC3675:AE3675&lt;&gt;"")*(COLUMN(AC3675:AE3675)-(COLUMN(AC3675)-1))))-1),"")</f>
        <v>46234</v>
      </c>
      <c r="L3675" s="17" t="str">
        <f aca="false" t="array" ref="L3675:L3675">IFERROR(INDEX(AC3675:AE3675,IF(COUNTA(AC3675:AE3675)=0,"",MAX((AC3675:AE3675&lt;&gt;"")*(COLUMN(AC3675:AE3675)-(COLUMN(AC3675)-2))))-1),"")</f>
        <v>ARCHIVED</v>
      </c>
      <c r="M3675" s="13" t="n">
        <f aca="true">K3675-TODAY()</f>
        <v>-90</v>
      </c>
      <c r="N3675" s="18" t="s">
        <v>3576</v>
      </c>
      <c r="O3675" s="13" t="s">
        <v>14975</v>
      </c>
      <c r="P3675" s="19" t="n">
        <v>2651603</v>
      </c>
      <c r="Q3675" s="20" t="s">
        <v>14986</v>
      </c>
      <c r="R3675" s="13" t="s">
        <v>401</v>
      </c>
      <c r="S3675" s="14" t="n">
        <v>34946</v>
      </c>
      <c r="T3675" s="13" t="s">
        <v>108</v>
      </c>
      <c r="U3675" s="13" t="s">
        <v>14987</v>
      </c>
      <c r="V3675" s="13" t="s">
        <v>42</v>
      </c>
      <c r="W3675" s="13" t="s">
        <v>43</v>
      </c>
      <c r="X3675" s="21" t="n">
        <v>81556958454</v>
      </c>
      <c r="Y3675" s="22" t="str">
        <f aca="false">O3675</f>
        <v>PCC Gudang</v>
      </c>
      <c r="Z3675" s="13" t="str">
        <f aca="false">IFERROR(__xludf.dummyfunction("if(BJ3675="""","""",GOOGLETRANSLATE(BJ3675,""auto"",""en""))"),"PCC Warehouse")</f>
        <v>PCC Warehouse</v>
      </c>
      <c r="AA3675" s="23" t="str">
        <f aca="false">IF(C3675="","", CHOOSE(MONTH(C3675),"January","February","March","April","May","June","July","August","September","October","November","December")&amp;" "&amp;DAY(C3675)&amp;MID("thstndrdth",MIN(9,2*RIGHT(DAY(C3675))*(MOD(DAY(C3675)-11,100)&gt;2)+1),2)&amp;","&amp;TEXT(C3675," yyyy"))</f>
        <v>June 1st,2026</v>
      </c>
      <c r="AB3675" s="15" t="str">
        <f aca="true">IF(S3675="","",DATEDIF(S3675,TODAY(),"Y")&amp;" Tahun, "&amp;DATEDIF(S3675,TODAY(),"YM")&amp;" Bulan, "&amp;DATEDIF(S3675,TODAY(),"MD")&amp;" Hari")</f>
        <v>31 Tahun, 1 Bulan, 25 Hari</v>
      </c>
      <c r="AC3675" s="14" t="n">
        <v>46174</v>
      </c>
      <c r="AD3675" s="18" t="n">
        <f aca="false">EDATE(AC3675,2)-1</f>
        <v>46234</v>
      </c>
      <c r="AE3675" s="13" t="s">
        <v>44</v>
      </c>
    </row>
    <row r="3676" customFormat="false" ht="15" hidden="false" customHeight="true" outlineLevel="0" collapsed="false">
      <c r="A3676" s="12" t="n">
        <v>22296</v>
      </c>
      <c r="B3676" s="13" t="s">
        <v>14988</v>
      </c>
      <c r="C3676" s="16" t="n">
        <v>46133</v>
      </c>
      <c r="D3676" s="13" t="s">
        <v>10058</v>
      </c>
      <c r="E3676" s="15" t="s">
        <v>47</v>
      </c>
      <c r="F3676" s="24" t="s">
        <v>14989</v>
      </c>
      <c r="G3676" s="24" t="s">
        <v>57</v>
      </c>
      <c r="H3676" s="13" t="s">
        <v>35</v>
      </c>
      <c r="I3676" s="13" t="str">
        <f aca="false">IF(C3676=J3676,"NEW KONTRAK","RE-KONTRAK")</f>
        <v>NEW KONTRAK</v>
      </c>
      <c r="J3676" s="16" t="n">
        <f aca="false" t="array" ref="J3676:J3676">IFERROR(INDEX(AC3676:AE3676,IF(COUNTA(AC3676:AE3676)=0,"",MAX((AC3676:AE3676&lt;&gt;"")*(COLUMN(AC3676:AE3676)-(COLUMN(AC3676)))))-1),"")</f>
        <v>46133</v>
      </c>
      <c r="K3676" s="16" t="n">
        <f aca="false" t="array" ref="K3676:K3676">IFERROR(INDEX(AC3676:AE3676,IF(COUNTA(AC3676:AE3676)=0,"",MAX((AC3676:AE3676&lt;&gt;"")*(COLUMN(AC3676:AE3676)-(COLUMN(AC3676)-1))))-1),"")</f>
        <v>46188</v>
      </c>
      <c r="L3676" s="17" t="str">
        <f aca="false" t="array" ref="L3676:L3676">IFERROR(INDEX(AC3676:AE3676,IF(COUNTA(AC3676:AE3676)=0,"",MAX((AC3676:AE3676&lt;&gt;"")*(COLUMN(AC3676:AE3676)-(COLUMN(AC3676)-2))))-1),"")</f>
        <v>ARCHIVED</v>
      </c>
      <c r="M3676" s="13" t="n">
        <f aca="true">K3676-TODAY()</f>
        <v>-136</v>
      </c>
      <c r="N3676" s="18" t="s">
        <v>105</v>
      </c>
      <c r="O3676" s="13" t="s">
        <v>10059</v>
      </c>
      <c r="P3676" s="19" t="n">
        <v>138915</v>
      </c>
      <c r="Q3676" s="20" t="s">
        <v>14990</v>
      </c>
      <c r="R3676" s="13" t="s">
        <v>39</v>
      </c>
      <c r="S3676" s="14" t="n">
        <v>39083</v>
      </c>
      <c r="T3676" s="13" t="s">
        <v>108</v>
      </c>
      <c r="U3676" s="13" t="s">
        <v>14991</v>
      </c>
      <c r="V3676" s="13" t="s">
        <v>42</v>
      </c>
      <c r="W3676" s="13" t="s">
        <v>43</v>
      </c>
      <c r="X3676" s="21" t="n">
        <v>87891813578</v>
      </c>
      <c r="Y3676" s="22" t="str">
        <f aca="false">O3676</f>
        <v>Harian Lepas E-Commerce</v>
      </c>
      <c r="Z3676" s="13" t="str">
        <f aca="false">IFERROR(__xludf.dummyfunction("if(BJ3676="""","""",GOOGLETRANSLATE(BJ3676,""auto"",""en""))"),"Daily Post E-Commerce")</f>
        <v>Daily Post E-Commerce</v>
      </c>
      <c r="AA3676" s="23" t="str">
        <f aca="false">IF(C3676="","", CHOOSE(MONTH(C3676),"January","February","March","April","May","June","July","August","September","October","November","December")&amp;" "&amp;DAY(C3676)&amp;MID("thstndrdth",MIN(9,2*RIGHT(DAY(C3676))*(MOD(DAY(C3676)-11,100)&gt;2)+1),2)&amp;","&amp;TEXT(C3676," yyyy"))</f>
        <v>April 21st,2026</v>
      </c>
      <c r="AB3676" s="15" t="str">
        <f aca="true">IF(S3676="","",DATEDIF(S3676,TODAY(),"Y")&amp;" Tahun, "&amp;DATEDIF(S3676,TODAY(),"YM")&amp;" Bulan, "&amp;DATEDIF(S3676,TODAY(),"MD")&amp;" Hari")</f>
        <v>19 Tahun, 9 Bulan, 28 Hari</v>
      </c>
      <c r="AC3676" s="14" t="n">
        <v>46133</v>
      </c>
      <c r="AD3676" s="64" t="n">
        <v>46188</v>
      </c>
      <c r="AE3676" s="13" t="s">
        <v>44</v>
      </c>
    </row>
    <row r="3677" customFormat="false" ht="15" hidden="false" customHeight="true" outlineLevel="0" collapsed="false">
      <c r="A3677" s="12" t="n">
        <v>22297</v>
      </c>
      <c r="B3677" s="13" t="s">
        <v>14992</v>
      </c>
      <c r="C3677" s="16" t="n">
        <v>46142</v>
      </c>
      <c r="D3677" s="13" t="s">
        <v>10058</v>
      </c>
      <c r="E3677" s="15" t="s">
        <v>47</v>
      </c>
      <c r="F3677" s="24" t="s">
        <v>14993</v>
      </c>
      <c r="G3677" s="24" t="s">
        <v>57</v>
      </c>
      <c r="H3677" s="13" t="s">
        <v>35</v>
      </c>
      <c r="I3677" s="13" t="str">
        <f aca="false">IF(C3677=J3677,"NEW KONTRAK","RE-KONTRAK")</f>
        <v>NEW KONTRAK</v>
      </c>
      <c r="J3677" s="16" t="n">
        <f aca="false" t="array" ref="J3677:J3677">IFERROR(INDEX(AC3677:AE3677,IF(COUNTA(AC3677:AE3677)=0,"",MAX((AC3677:AE3677&lt;&gt;"")*(COLUMN(AC3677:AE3677)-(COLUMN(AC3677)))))-1),"")</f>
        <v>46142</v>
      </c>
      <c r="K3677" s="16" t="n">
        <f aca="false" t="array" ref="K3677:K3677">IFERROR(INDEX(AC3677:AE3677,IF(COUNTA(AC3677:AE3677)=0,"",MAX((AC3677:AE3677&lt;&gt;"")*(COLUMN(AC3677:AE3677)-(COLUMN(AC3677)-1))))-1),"")</f>
        <v>46188</v>
      </c>
      <c r="L3677" s="17" t="str">
        <f aca="false" t="array" ref="L3677:L3677">IFERROR(INDEX(AC3677:AE3677,IF(COUNTA(AC3677:AE3677)=0,"",MAX((AC3677:AE3677&lt;&gt;"")*(COLUMN(AC3677:AE3677)-(COLUMN(AC3677)-2))))-1),"")</f>
        <v>ARCHIVED</v>
      </c>
      <c r="M3677" s="13" t="n">
        <f aca="true">K3677-TODAY()</f>
        <v>-136</v>
      </c>
      <c r="N3677" s="18" t="s">
        <v>105</v>
      </c>
      <c r="O3677" s="13" t="s">
        <v>10059</v>
      </c>
      <c r="P3677" s="19" t="n">
        <v>138915</v>
      </c>
      <c r="Q3677" s="20" t="s">
        <v>14994</v>
      </c>
      <c r="R3677" s="13" t="s">
        <v>39</v>
      </c>
      <c r="S3677" s="14" t="n">
        <v>39127</v>
      </c>
      <c r="T3677" s="13" t="s">
        <v>108</v>
      </c>
      <c r="U3677" s="13" t="s">
        <v>14995</v>
      </c>
      <c r="V3677" s="13" t="s">
        <v>42</v>
      </c>
      <c r="W3677" s="13" t="s">
        <v>43</v>
      </c>
      <c r="X3677" s="21" t="n">
        <v>81995335156</v>
      </c>
      <c r="Y3677" s="22" t="str">
        <f aca="false">O3677</f>
        <v>Harian Lepas E-Commerce</v>
      </c>
      <c r="Z3677" s="13" t="str">
        <f aca="false">IFERROR(__xludf.dummyfunction("if(BJ3677="""","""",GOOGLETRANSLATE(BJ3677,""auto"",""en""))"),"Daily Post E-Commerce")</f>
        <v>Daily Post E-Commerce</v>
      </c>
      <c r="AA3677" s="23" t="str">
        <f aca="false">IF(C3677="","", CHOOSE(MONTH(C3677),"January","February","March","April","May","June","July","August","September","October","November","December")&amp;" "&amp;DAY(C3677)&amp;MID("thstndrdth",MIN(9,2*RIGHT(DAY(C3677))*(MOD(DAY(C3677)-11,100)&gt;2)+1),2)&amp;","&amp;TEXT(C3677," yyyy"))</f>
        <v>April 30th,2026</v>
      </c>
      <c r="AB3677" s="15" t="str">
        <f aca="true">IF(S3677="","",DATEDIF(S3677,TODAY(),"Y")&amp;" Tahun, "&amp;DATEDIF(S3677,TODAY(),"YM")&amp;" Bulan, "&amp;DATEDIF(S3677,TODAY(),"MD")&amp;" Hari")</f>
        <v>19 Tahun, 8 Bulan, 15 Hari</v>
      </c>
      <c r="AC3677" s="14" t="n">
        <v>46142</v>
      </c>
      <c r="AD3677" s="64" t="n">
        <v>46188</v>
      </c>
      <c r="AE3677" s="13" t="s">
        <v>44</v>
      </c>
    </row>
    <row r="3678" customFormat="false" ht="15" hidden="false" customHeight="true" outlineLevel="0" collapsed="false">
      <c r="A3678" s="12" t="n">
        <v>22298</v>
      </c>
      <c r="B3678" s="13" t="s">
        <v>14996</v>
      </c>
      <c r="C3678" s="16" t="n">
        <v>46157</v>
      </c>
      <c r="D3678" s="13" t="s">
        <v>10058</v>
      </c>
      <c r="E3678" s="15" t="s">
        <v>102</v>
      </c>
      <c r="F3678" s="24" t="s">
        <v>14997</v>
      </c>
      <c r="G3678" s="13" t="s">
        <v>1127</v>
      </c>
      <c r="H3678" s="13" t="s">
        <v>3024</v>
      </c>
      <c r="I3678" s="13" t="str">
        <f aca="false">IF(C3678=J3678,"NEW KONTRAK","RE-KONTRAK")</f>
        <v>NEW KONTRAK</v>
      </c>
      <c r="J3678" s="16" t="n">
        <f aca="false" t="array" ref="J3678:J3678">IFERROR(INDEX(AC3678:AE3678,IF(COUNTA(AC3678:AE3678)=0,"",MAX((AC3678:AE3678&lt;&gt;"")*(COLUMN(AC3678:AE3678)-(COLUMN(AC3678)))))-1),"")</f>
        <v>46157</v>
      </c>
      <c r="K3678" s="16" t="n">
        <f aca="false" t="array" ref="K3678:K3678">IFERROR(INDEX(AC3678:AE3678,IF(COUNTA(AC3678:AE3678)=0,"",MAX((AC3678:AE3678&lt;&gt;"")*(COLUMN(AC3678:AE3678)-(COLUMN(AC3678)-1))))-1),"")</f>
        <v>46188</v>
      </c>
      <c r="L3678" s="17" t="str">
        <f aca="false" t="array" ref="L3678:L3678">IFERROR(INDEX(AC3678:AE3678,IF(COUNTA(AC3678:AE3678)=0,"",MAX((AC3678:AE3678&lt;&gt;"")*(COLUMN(AC3678:AE3678)-(COLUMN(AC3678)-2))))-1),"")</f>
        <v>ARCHIVED</v>
      </c>
      <c r="M3678" s="13" t="n">
        <f aca="true">K3678-TODAY()</f>
        <v>-136</v>
      </c>
      <c r="N3678" s="18" t="s">
        <v>105</v>
      </c>
      <c r="O3678" s="13" t="s">
        <v>10059</v>
      </c>
      <c r="P3678" s="19" t="n">
        <v>138915</v>
      </c>
      <c r="Q3678" s="20" t="s">
        <v>14998</v>
      </c>
      <c r="R3678" s="13" t="s">
        <v>39</v>
      </c>
      <c r="S3678" s="14" t="n">
        <v>39100</v>
      </c>
      <c r="T3678" s="13" t="s">
        <v>108</v>
      </c>
      <c r="U3678" s="13" t="s">
        <v>14999</v>
      </c>
      <c r="V3678" s="13" t="s">
        <v>42</v>
      </c>
      <c r="W3678" s="13" t="s">
        <v>43</v>
      </c>
      <c r="X3678" s="21" t="n">
        <v>89656366800</v>
      </c>
      <c r="Y3678" s="22" t="str">
        <f aca="false">O3678</f>
        <v>Harian Lepas E-Commerce</v>
      </c>
      <c r="Z3678" s="13" t="str">
        <f aca="false">IFERROR(__xludf.dummyfunction("if(BJ3678="""","""",GOOGLETRANSLATE(BJ3678,""auto"",""en""))"),"Daily Post E-Commerce")</f>
        <v>Daily Post E-Commerce</v>
      </c>
      <c r="AA3678" s="23" t="str">
        <f aca="false">IF(C3678="","", CHOOSE(MONTH(C3678),"January","February","March","April","May","June","July","August","September","October","November","December")&amp;" "&amp;DAY(C3678)&amp;MID("thstndrdth",MIN(9,2*RIGHT(DAY(C3678))*(MOD(DAY(C3678)-11,100)&gt;2)+1),2)&amp;","&amp;TEXT(C3678," yyyy"))</f>
        <v>May 15th,2026</v>
      </c>
      <c r="AB3678" s="15" t="str">
        <f aca="true">IF(S3678="","",DATEDIF(S3678,TODAY(),"Y")&amp;" Tahun, "&amp;DATEDIF(S3678,TODAY(),"YM")&amp;" Bulan, "&amp;DATEDIF(S3678,TODAY(),"MD")&amp;" Hari")</f>
        <v>19 Tahun, 9 Bulan, 11 Hari</v>
      </c>
      <c r="AC3678" s="14" t="n">
        <v>46157</v>
      </c>
      <c r="AD3678" s="64" t="n">
        <v>46188</v>
      </c>
      <c r="AE3678" s="13" t="s">
        <v>44</v>
      </c>
    </row>
    <row r="3679" customFormat="false" ht="15" hidden="false" customHeight="true" outlineLevel="0" collapsed="false">
      <c r="A3679" s="12" t="n">
        <v>22299</v>
      </c>
      <c r="B3679" s="13" t="s">
        <v>15000</v>
      </c>
      <c r="C3679" s="16" t="n">
        <v>46146</v>
      </c>
      <c r="D3679" s="13" t="s">
        <v>9789</v>
      </c>
      <c r="E3679" s="15" t="s">
        <v>47</v>
      </c>
      <c r="F3679" s="24" t="s">
        <v>15001</v>
      </c>
      <c r="G3679" s="24" t="s">
        <v>57</v>
      </c>
      <c r="H3679" s="13" t="s">
        <v>35</v>
      </c>
      <c r="I3679" s="13" t="str">
        <f aca="false">IF(C3679=J3679,"NEW KONTRAK","RE-KONTRAK")</f>
        <v>NEW KONTRAK</v>
      </c>
      <c r="J3679" s="16" t="n">
        <f aca="false" t="array" ref="J3679:J3679">IFERROR(INDEX(AC3679:AE3679,IF(COUNTA(AC3679:AE3679)=0,"",MAX((AC3679:AE3679&lt;&gt;"")*(COLUMN(AC3679:AE3679)-(COLUMN(AC3679)))))-1),"")</f>
        <v>46146</v>
      </c>
      <c r="K3679" s="16" t="n">
        <f aca="false" t="array" ref="K3679:K3679">IFERROR(INDEX(AC3679:AE3679,IF(COUNTA(AC3679:AE3679)=0,"",MAX((AC3679:AE3679&lt;&gt;"")*(COLUMN(AC3679:AE3679)-(COLUMN(AC3679)-1))))-1),"")</f>
        <v>46237</v>
      </c>
      <c r="L3679" s="17" t="str">
        <f aca="false" t="array" ref="L3679:L3679">IFERROR(INDEX(AC3679:AE3679,IF(COUNTA(AC3679:AE3679)=0,"",MAX((AC3679:AE3679&lt;&gt;"")*(COLUMN(AC3679:AE3679)-(COLUMN(AC3679)-2))))-1),"")</f>
        <v>ARCHIVED</v>
      </c>
      <c r="M3679" s="13" t="n">
        <f aca="true">K3679-TODAY()</f>
        <v>-87</v>
      </c>
      <c r="N3679" s="18" t="s">
        <v>383</v>
      </c>
      <c r="O3679" s="13" t="s">
        <v>15002</v>
      </c>
      <c r="P3679" s="19" t="n">
        <v>3196328</v>
      </c>
      <c r="Q3679" s="20" t="s">
        <v>15003</v>
      </c>
      <c r="R3679" s="13" t="s">
        <v>65</v>
      </c>
      <c r="S3679" s="14" t="n">
        <v>37321</v>
      </c>
      <c r="T3679" s="13" t="s">
        <v>108</v>
      </c>
      <c r="U3679" s="13" t="s">
        <v>15004</v>
      </c>
      <c r="V3679" s="13" t="s">
        <v>42</v>
      </c>
      <c r="W3679" s="13" t="s">
        <v>43</v>
      </c>
      <c r="X3679" s="21" t="n">
        <v>85606337239</v>
      </c>
      <c r="Y3679" s="22" t="str">
        <f aca="false">O3679</f>
        <v>ADMIN GUDANG</v>
      </c>
      <c r="Z3679" s="13" t="str">
        <f aca="false">IFERROR(__xludf.dummyfunction("if(BJ3679="""","""",GOOGLETRANSLATE(BJ3679,""auto"",""en""))"),"WAREHOUSE ADMIN")</f>
        <v>WAREHOUSE ADMIN</v>
      </c>
      <c r="AA3679" s="23" t="str">
        <f aca="false">IF(C3679="","", CHOOSE(MONTH(C3679),"January","February","March","April","May","June","July","August","September","October","November","December")&amp;" "&amp;DAY(C3679)&amp;MID("thstndrdth",MIN(9,2*RIGHT(DAY(C3679))*(MOD(DAY(C3679)-11,100)&gt;2)+1),2)&amp;","&amp;TEXT(C3679," yyyy"))</f>
        <v>May 4th,2026</v>
      </c>
      <c r="AB3679" s="15" t="str">
        <f aca="true">IF(S3679="","",DATEDIF(S3679,TODAY(),"Y")&amp;" Tahun, "&amp;DATEDIF(S3679,TODAY(),"YM")&amp;" Bulan, "&amp;DATEDIF(S3679,TODAY(),"MD")&amp;" Hari")</f>
        <v>24 Tahun, 7 Bulan, 23 Hari</v>
      </c>
      <c r="AC3679" s="14" t="n">
        <v>46146</v>
      </c>
      <c r="AD3679" s="18" t="n">
        <f aca="false">EDATE(AC3679,3)-1</f>
        <v>46237</v>
      </c>
      <c r="AE3679" s="13" t="s">
        <v>44</v>
      </c>
    </row>
    <row r="3680" customFormat="false" ht="15" hidden="false" customHeight="true" outlineLevel="0" collapsed="false">
      <c r="A3680" s="12" t="n">
        <v>22300</v>
      </c>
      <c r="B3680" s="13" t="s">
        <v>15005</v>
      </c>
      <c r="C3680" s="16" t="n">
        <v>46160</v>
      </c>
      <c r="D3680" s="13" t="s">
        <v>8980</v>
      </c>
      <c r="E3680" s="15" t="s">
        <v>13294</v>
      </c>
      <c r="F3680" s="24" t="s">
        <v>15006</v>
      </c>
      <c r="G3680" s="13" t="s">
        <v>1127</v>
      </c>
      <c r="H3680" s="13" t="s">
        <v>35</v>
      </c>
      <c r="I3680" s="13" t="str">
        <f aca="false">IF(C3680=J3680,"NEW KONTRAK","RE-KONTRAK")</f>
        <v>NEW KONTRAK</v>
      </c>
      <c r="J3680" s="16" t="n">
        <f aca="false" t="array" ref="J3680:J3680">IFERROR(INDEX(AC3680:AE3680,IF(COUNTA(AC3680:AE3680)=0,"",MAX((AC3680:AE3680&lt;&gt;"")*(COLUMN(AC3680:AE3680)-(COLUMN(AC3680)))))-1),"")</f>
        <v>46160</v>
      </c>
      <c r="K3680" s="16" t="n">
        <f aca="false" t="array" ref="K3680:K3680">IFERROR(INDEX(AC3680:AE3680,IF(COUNTA(AC3680:AE3680)=0,"",MAX((AC3680:AE3680&lt;&gt;"")*(COLUMN(AC3680:AE3680)-(COLUMN(AC3680)-1))))-1),"")</f>
        <v>46343</v>
      </c>
      <c r="L3680" s="17" t="str">
        <f aca="false" t="array" ref="L3680:L3680">IFERROR(INDEX(AC3680:AE3680,IF(COUNTA(AC3680:AE3680)=0,"",MAX((AC3680:AE3680&lt;&gt;"")*(COLUMN(AC3680:AE3680)-(COLUMN(AC3680)-2))))-1),"")</f>
        <v>ARCHIVED</v>
      </c>
      <c r="M3680" s="13" t="n">
        <f aca="true">K3680-TODAY()</f>
        <v>19</v>
      </c>
      <c r="N3680" s="18" t="s">
        <v>8982</v>
      </c>
      <c r="O3680" s="13" t="s">
        <v>9796</v>
      </c>
      <c r="P3680" s="19" t="n">
        <v>4000000</v>
      </c>
      <c r="Q3680" s="20" t="s">
        <v>15007</v>
      </c>
      <c r="R3680" s="13" t="s">
        <v>232</v>
      </c>
      <c r="S3680" s="14" t="n">
        <v>33225</v>
      </c>
      <c r="T3680" s="13" t="s">
        <v>108</v>
      </c>
      <c r="U3680" s="13" t="s">
        <v>15008</v>
      </c>
      <c r="V3680" s="13" t="s">
        <v>42</v>
      </c>
      <c r="W3680" s="13" t="s">
        <v>54</v>
      </c>
      <c r="X3680" s="21" t="s">
        <v>15009</v>
      </c>
      <c r="Y3680" s="22" t="str">
        <f aca="false">O3680</f>
        <v>Kepala SPBU</v>
      </c>
      <c r="Z3680" s="13" t="str">
        <f aca="false">IFERROR(__xludf.dummyfunction("if(BJ3680="""","""",GOOGLETRANSLATE(BJ3680,""auto"",""en""))"),"Head of gas station")</f>
        <v>Head of gas station</v>
      </c>
      <c r="AA3680" s="23" t="str">
        <f aca="false">IF(C3680="","", CHOOSE(MONTH(C3680),"January","February","March","April","May","June","July","August","September","October","November","December")&amp;" "&amp;DAY(C3680)&amp;MID("thstndrdth",MIN(9,2*RIGHT(DAY(C3680))*(MOD(DAY(C3680)-11,100)&gt;2)+1),2)&amp;","&amp;TEXT(C3680," yyyy"))</f>
        <v>May 18th,2026</v>
      </c>
      <c r="AB3680" s="15" t="str">
        <f aca="true">IF(S3680="","",DATEDIF(S3680,TODAY(),"Y")&amp;" Tahun, "&amp;DATEDIF(S3680,TODAY(),"YM")&amp;" Bulan, "&amp;DATEDIF(S3680,TODAY(),"MD")&amp;" Hari")</f>
        <v>35 Tahun, 10 Bulan, 11 Hari</v>
      </c>
      <c r="AC3680" s="14" t="n">
        <v>46160</v>
      </c>
      <c r="AD3680" s="18" t="n">
        <f aca="false">EDATE(AC3680,6)-1</f>
        <v>46343</v>
      </c>
      <c r="AE3680" s="18" t="s">
        <v>44</v>
      </c>
    </row>
    <row r="3681" customFormat="false" ht="15" hidden="false" customHeight="true" outlineLevel="0" collapsed="false">
      <c r="A3681" s="12" t="n">
        <v>22301</v>
      </c>
      <c r="B3681" s="13" t="s">
        <v>15010</v>
      </c>
      <c r="C3681" s="16" t="n">
        <v>46158</v>
      </c>
      <c r="D3681" s="13" t="s">
        <v>14771</v>
      </c>
      <c r="E3681" s="15" t="s">
        <v>7556</v>
      </c>
      <c r="F3681" s="24" t="s">
        <v>15011</v>
      </c>
      <c r="G3681" s="24" t="s">
        <v>57</v>
      </c>
      <c r="H3681" s="13" t="s">
        <v>35</v>
      </c>
      <c r="I3681" s="13" t="str">
        <f aca="false">IF(C3681=J3681,"NEW KONTRAK","RE-KONTRAK")</f>
        <v>NEW KONTRAK</v>
      </c>
      <c r="J3681" s="16" t="n">
        <f aca="false" t="array" ref="J3681:J3681">IFERROR(INDEX(AC3681:AE3681,IF(COUNTA(AC3681:AE3681)=0,"",MAX((AC3681:AE3681&lt;&gt;"")*(COLUMN(AC3681:AE3681)-(COLUMN(AC3681)))))-1),"")</f>
        <v>46158</v>
      </c>
      <c r="K3681" s="16" t="n">
        <f aca="false" t="array" ref="K3681:K3681">IFERROR(INDEX(AC3681:AE3681,IF(COUNTA(AC3681:AE3681)=0,"",MAX((AC3681:AE3681&lt;&gt;"")*(COLUMN(AC3681:AE3681)-(COLUMN(AC3681)-1))))-1),"")</f>
        <v>46341</v>
      </c>
      <c r="L3681" s="17" t="str">
        <f aca="false" t="array" ref="L3681:L3681">IFERROR(INDEX(AC3681:AE3681,IF(COUNTA(AC3681:AE3681)=0,"",MAX((AC3681:AE3681&lt;&gt;"")*(COLUMN(AC3681:AE3681)-(COLUMN(AC3681)-2))))-1),"")</f>
        <v>ARCHIVED</v>
      </c>
      <c r="M3681" s="13" t="n">
        <f aca="true">K3681-TODAY()</f>
        <v>17</v>
      </c>
      <c r="N3681" s="18" t="s">
        <v>36</v>
      </c>
      <c r="O3681" s="13" t="s">
        <v>15012</v>
      </c>
      <c r="P3681" s="19" t="n">
        <v>4156320</v>
      </c>
      <c r="Q3681" s="20" t="s">
        <v>15013</v>
      </c>
      <c r="R3681" s="13" t="s">
        <v>15014</v>
      </c>
      <c r="S3681" s="14" t="n">
        <v>36369</v>
      </c>
      <c r="T3681" s="13" t="s">
        <v>40</v>
      </c>
      <c r="U3681" s="13" t="s">
        <v>15015</v>
      </c>
      <c r="V3681" s="13" t="s">
        <v>42</v>
      </c>
      <c r="W3681" s="13" t="s">
        <v>54</v>
      </c>
      <c r="X3681" s="21" t="n">
        <v>89629995868</v>
      </c>
      <c r="Y3681" s="22" t="str">
        <f aca="false">O3681</f>
        <v>General Worker</v>
      </c>
      <c r="Z3681" s="13" t="str">
        <f aca="false">IFERROR(__xludf.dummyfunction("if(BJ3681="""","""",GOOGLETRANSLATE(BJ3681,""auto"",""en""))"),"General Worker")</f>
        <v>General Worker</v>
      </c>
      <c r="AA3681" s="23" t="str">
        <f aca="false">IF(C3681="","", CHOOSE(MONTH(C3681),"January","February","March","April","May","June","July","August","September","October","November","December")&amp;" "&amp;DAY(C3681)&amp;MID("thstndrdth",MIN(9,2*RIGHT(DAY(C3681))*(MOD(DAY(C3681)-11,100)&gt;2)+1),2)&amp;","&amp;TEXT(C3681," yyyy"))</f>
        <v>May 16th,2026</v>
      </c>
      <c r="AB3681" s="15" t="str">
        <f aca="true">IF(S3681="","",DATEDIF(S3681,TODAY(),"Y")&amp;" Tahun, "&amp;DATEDIF(S3681,TODAY(),"YM")&amp;" Bulan, "&amp;DATEDIF(S3681,TODAY(),"MD")&amp;" Hari")</f>
        <v>27 Tahun, 3 Bulan, 1 Hari</v>
      </c>
      <c r="AC3681" s="14" t="n">
        <v>46158</v>
      </c>
      <c r="AD3681" s="18" t="n">
        <f aca="false">EDATE(AC3681,6)-1</f>
        <v>46341</v>
      </c>
      <c r="AE3681" s="13" t="s">
        <v>44</v>
      </c>
    </row>
    <row r="3682" customFormat="false" ht="15" hidden="false" customHeight="true" outlineLevel="0" collapsed="false">
      <c r="A3682" s="12" t="n">
        <v>22302</v>
      </c>
      <c r="B3682" s="13" t="s">
        <v>15016</v>
      </c>
      <c r="C3682" s="16" t="n">
        <v>46160</v>
      </c>
      <c r="D3682" s="13" t="s">
        <v>14771</v>
      </c>
      <c r="E3682" s="15" t="s">
        <v>102</v>
      </c>
      <c r="F3682" s="24" t="s">
        <v>15017</v>
      </c>
      <c r="G3682" s="24" t="s">
        <v>57</v>
      </c>
      <c r="H3682" s="13" t="s">
        <v>35</v>
      </c>
      <c r="I3682" s="13" t="str">
        <f aca="false">IF(C3682=J3682,"NEW KONTRAK","RE-KONTRAK")</f>
        <v>NEW KONTRAK</v>
      </c>
      <c r="J3682" s="16" t="n">
        <f aca="false" t="array" ref="J3682:J3682">IFERROR(INDEX(AC3682:AE3682,IF(COUNTA(AC3682:AE3682)=0,"",MAX((AC3682:AE3682&lt;&gt;"")*(COLUMN(AC3682:AE3682)-(COLUMN(AC3682)))))-1),"")</f>
        <v>46160</v>
      </c>
      <c r="K3682" s="16" t="n">
        <f aca="false" t="array" ref="K3682:K3682">IFERROR(INDEX(AC3682:AE3682,IF(COUNTA(AC3682:AE3682)=0,"",MAX((AC3682:AE3682&lt;&gt;"")*(COLUMN(AC3682:AE3682)-(COLUMN(AC3682)-1))))-1),"")</f>
        <v>46343</v>
      </c>
      <c r="L3682" s="17" t="str">
        <f aca="false" t="array" ref="L3682:L3682">IFERROR(INDEX(AC3682:AE3682,IF(COUNTA(AC3682:AE3682)=0,"",MAX((AC3682:AE3682&lt;&gt;"")*(COLUMN(AC3682:AE3682)-(COLUMN(AC3682)-2))))-1),"")</f>
        <v>KEMBALI</v>
      </c>
      <c r="M3682" s="13" t="n">
        <f aca="true">K3682-TODAY()</f>
        <v>19</v>
      </c>
      <c r="N3682" s="18" t="s">
        <v>36</v>
      </c>
      <c r="O3682" s="13" t="s">
        <v>76</v>
      </c>
      <c r="P3682" s="19" t="n">
        <v>5195401</v>
      </c>
      <c r="Q3682" s="20" t="s">
        <v>15018</v>
      </c>
      <c r="R3682" s="13" t="s">
        <v>148</v>
      </c>
      <c r="S3682" s="14" t="n">
        <v>37849</v>
      </c>
      <c r="T3682" s="13" t="s">
        <v>40</v>
      </c>
      <c r="U3682" s="13" t="s">
        <v>15019</v>
      </c>
      <c r="V3682" s="13" t="s">
        <v>42</v>
      </c>
      <c r="W3682" s="13" t="s">
        <v>54</v>
      </c>
      <c r="X3682" s="21" t="n">
        <v>82338712030</v>
      </c>
      <c r="Y3682" s="22" t="str">
        <f aca="false">O3682</f>
        <v>Operator Forklift</v>
      </c>
      <c r="Z3682" s="13" t="str">
        <f aca="false">IFERROR(__xludf.dummyfunction("if(BJ3682="""","""",GOOGLETRANSLATE(BJ3682,""auto"",""en""))"),"Operator Forklift")</f>
        <v>Operator Forklift</v>
      </c>
      <c r="AA3682" s="23" t="str">
        <f aca="false">IF(C3682="","", CHOOSE(MONTH(C3682),"January","February","March","April","May","June","July","August","September","October","November","December")&amp;" "&amp;DAY(C3682)&amp;MID("thstndrdth",MIN(9,2*RIGHT(DAY(C3682))*(MOD(DAY(C3682)-11,100)&gt;2)+1),2)&amp;","&amp;TEXT(C3682," yyyy"))</f>
        <v>May 18th,2026</v>
      </c>
      <c r="AB3682" s="15" t="str">
        <f aca="true">IF(S3682="","",DATEDIF(S3682,TODAY(),"Y")&amp;" Tahun, "&amp;DATEDIF(S3682,TODAY(),"YM")&amp;" Bulan, "&amp;DATEDIF(S3682,TODAY(),"MD")&amp;" Hari")</f>
        <v>23 Tahun, 2 Bulan, 13 Hari</v>
      </c>
      <c r="AC3682" s="14" t="n">
        <v>46160</v>
      </c>
      <c r="AD3682" s="18" t="n">
        <f aca="false">EDATE(AC3682,6)-1</f>
        <v>46343</v>
      </c>
      <c r="AE3682" s="13" t="s">
        <v>397</v>
      </c>
    </row>
    <row r="3683" customFormat="false" ht="15" hidden="false" customHeight="true" outlineLevel="0" collapsed="false">
      <c r="A3683" s="12" t="n">
        <v>22303</v>
      </c>
      <c r="B3683" s="13" t="s">
        <v>15020</v>
      </c>
      <c r="C3683" s="16" t="n">
        <v>46158</v>
      </c>
      <c r="D3683" s="13" t="s">
        <v>9387</v>
      </c>
      <c r="E3683" s="15" t="s">
        <v>47</v>
      </c>
      <c r="F3683" s="24" t="s">
        <v>15021</v>
      </c>
      <c r="G3683" s="24" t="s">
        <v>57</v>
      </c>
      <c r="H3683" s="13" t="s">
        <v>35</v>
      </c>
      <c r="I3683" s="13" t="str">
        <f aca="false">IF(C3683=J3683,"NEW KONTRAK","RE-KONTRAK")</f>
        <v>NEW KONTRAK</v>
      </c>
      <c r="J3683" s="16" t="n">
        <f aca="false" t="array" ref="J3683:J3683">IFERROR(INDEX(AC3683:AE3683,IF(COUNTA(AC3683:AE3683)=0,"",MAX((AC3683:AE3683&lt;&gt;"")*(COLUMN(AC3683:AE3683)-(COLUMN(AC3683)))))-1),"")</f>
        <v>46158</v>
      </c>
      <c r="K3683" s="16" t="n">
        <f aca="false" t="array" ref="K3683:K3683">IFERROR(INDEX(AC3683:AE3683,IF(COUNTA(AC3683:AE3683)=0,"",MAX((AC3683:AE3683&lt;&gt;"")*(COLUMN(AC3683:AE3683)-(COLUMN(AC3683)-1))))-1),"")</f>
        <v>46341</v>
      </c>
      <c r="L3683" s="17" t="str">
        <f aca="false" t="array" ref="L3683:L3683">IFERROR(INDEX(AC3683:AE3683,IF(COUNTA(AC3683:AE3683)=0,"",MAX((AC3683:AE3683&lt;&gt;"")*(COLUMN(AC3683:AE3683)-(COLUMN(AC3683)-2))))-1),"")</f>
        <v>ARCHIVED</v>
      </c>
      <c r="M3683" s="13" t="n">
        <f aca="true">K3683-TODAY()</f>
        <v>17</v>
      </c>
      <c r="N3683" s="18" t="s">
        <v>615</v>
      </c>
      <c r="O3683" s="13" t="s">
        <v>9388</v>
      </c>
      <c r="P3683" s="27" t="n">
        <v>5176101</v>
      </c>
      <c r="Q3683" s="20" t="s">
        <v>15022</v>
      </c>
      <c r="R3683" s="13" t="s">
        <v>232</v>
      </c>
      <c r="S3683" s="14" t="n">
        <v>37011</v>
      </c>
      <c r="T3683" s="13" t="s">
        <v>40</v>
      </c>
      <c r="U3683" s="13" t="s">
        <v>15023</v>
      </c>
      <c r="V3683" s="13" t="s">
        <v>42</v>
      </c>
      <c r="W3683" s="13" t="s">
        <v>43</v>
      </c>
      <c r="X3683" s="21" t="n">
        <v>87858167954</v>
      </c>
      <c r="Y3683" s="22" t="str">
        <f aca="false">O3683</f>
        <v>Tenaga Kerja Bongkar Muat (TKBM)</v>
      </c>
      <c r="Z3683" s="13" t="str">
        <f aca="false">IFERROR(__xludf.dummyfunction("if(BJ3683="""","""",GOOGLETRANSLATE(BJ3683,""auto"",""en""))"),"Loading and Unloading Workers (TKBM)")</f>
        <v>Loading and Unloading Workers (TKBM)</v>
      </c>
      <c r="AA3683" s="23" t="str">
        <f aca="false">IF(C3683="","", CHOOSE(MONTH(C3683),"January","February","March","April","May","June","July","August","September","October","November","December")&amp;" "&amp;DAY(C3683)&amp;MID("thstndrdth",MIN(9,2*RIGHT(DAY(C3683))*(MOD(DAY(C3683)-11,100)&gt;2)+1),2)&amp;","&amp;TEXT(C3683," yyyy"))</f>
        <v>May 16th,2026</v>
      </c>
      <c r="AB3683" s="15" t="str">
        <f aca="true">IF(S3683="","",DATEDIF(S3683,TODAY(),"Y")&amp;" Tahun, "&amp;DATEDIF(S3683,TODAY(),"YM")&amp;" Bulan, "&amp;DATEDIF(S3683,TODAY(),"MD")&amp;" Hari")</f>
        <v>25 Tahun, 5 Bulan, 29 Hari</v>
      </c>
      <c r="AC3683" s="14" t="n">
        <v>46158</v>
      </c>
      <c r="AD3683" s="18" t="n">
        <f aca="false">EDATE(AC3683,6)-1</f>
        <v>46341</v>
      </c>
      <c r="AE3683" s="13" t="s">
        <v>44</v>
      </c>
    </row>
    <row r="3684" customFormat="false" ht="15" hidden="false" customHeight="true" outlineLevel="0" collapsed="false">
      <c r="A3684" s="12" t="n">
        <v>22304</v>
      </c>
      <c r="B3684" s="13" t="s">
        <v>15024</v>
      </c>
      <c r="C3684" s="16" t="n">
        <v>46158</v>
      </c>
      <c r="D3684" s="13" t="s">
        <v>14892</v>
      </c>
      <c r="E3684" s="15" t="s">
        <v>102</v>
      </c>
      <c r="F3684" s="24" t="s">
        <v>15025</v>
      </c>
      <c r="G3684" s="24" t="s">
        <v>57</v>
      </c>
      <c r="H3684" s="13" t="s">
        <v>35</v>
      </c>
      <c r="I3684" s="13" t="str">
        <f aca="false">IF(C3684=J3684,"NEW KONTRAK","RE-KONTRAK")</f>
        <v>NEW KONTRAK</v>
      </c>
      <c r="J3684" s="16" t="n">
        <f aca="false" t="array" ref="J3684:J3684">IFERROR(INDEX(AC3684:AE3684,IF(COUNTA(AC3684:AE3684)=0,"",MAX((AC3684:AE3684&lt;&gt;"")*(COLUMN(AC3684:AE3684)-(COLUMN(AC3684)))))-1),"")</f>
        <v>46158</v>
      </c>
      <c r="K3684" s="16" t="n">
        <f aca="false" t="array" ref="K3684:K3684">IFERROR(INDEX(AC3684:AE3684,IF(COUNTA(AC3684:AE3684)=0,"",MAX((AC3684:AE3684&lt;&gt;"")*(COLUMN(AC3684:AE3684)-(COLUMN(AC3684)-1))))-1),"")</f>
        <v>46341</v>
      </c>
      <c r="L3684" s="17" t="str">
        <f aca="false" t="array" ref="L3684:L3684">IFERROR(INDEX(AC3684:AE3684,IF(COUNTA(AC3684:AE3684)=0,"",MAX((AC3684:AE3684&lt;&gt;"")*(COLUMN(AC3684:AE3684)-(COLUMN(AC3684)-2))))-1),"")</f>
        <v>ARCHIVED</v>
      </c>
      <c r="M3684" s="13" t="n">
        <f aca="true">K3684-TODAY()</f>
        <v>17</v>
      </c>
      <c r="N3684" s="18" t="s">
        <v>615</v>
      </c>
      <c r="O3684" s="13" t="s">
        <v>14894</v>
      </c>
      <c r="P3684" s="27" t="n">
        <v>5176101</v>
      </c>
      <c r="Q3684" s="20" t="s">
        <v>15026</v>
      </c>
      <c r="R3684" s="13" t="s">
        <v>232</v>
      </c>
      <c r="S3684" s="14" t="n">
        <v>34975</v>
      </c>
      <c r="T3684" s="13" t="s">
        <v>40</v>
      </c>
      <c r="U3684" s="13" t="s">
        <v>15027</v>
      </c>
      <c r="V3684" s="13" t="s">
        <v>42</v>
      </c>
      <c r="W3684" s="13" t="s">
        <v>43</v>
      </c>
      <c r="X3684" s="21" t="n">
        <v>85646370348</v>
      </c>
      <c r="Y3684" s="22" t="str">
        <f aca="false">O3684</f>
        <v>Reliver Bongkar Muat</v>
      </c>
      <c r="Z3684" s="13" t="str">
        <f aca="false">IFERROR(__xludf.dummyfunction("if(BJ3684="""","""",GOOGLETRANSLATE(BJ3684,""auto"",""en""))"),"Unloading Reliver")</f>
        <v>Unloading Reliver</v>
      </c>
      <c r="AA3684" s="23" t="str">
        <f aca="false">IF(C3684="","", CHOOSE(MONTH(C3684),"January","February","March","April","May","June","July","August","September","October","November","December")&amp;" "&amp;DAY(C3684)&amp;MID("thstndrdth",MIN(9,2*RIGHT(DAY(C3684))*(MOD(DAY(C3684)-11,100)&gt;2)+1),2)&amp;","&amp;TEXT(C3684," yyyy"))</f>
        <v>May 16th,2026</v>
      </c>
      <c r="AB3684" s="15" t="str">
        <f aca="true">IF(S3684="","",DATEDIF(S3684,TODAY(),"Y")&amp;" Tahun, "&amp;DATEDIF(S3684,TODAY(),"YM")&amp;" Bulan, "&amp;DATEDIF(S3684,TODAY(),"MD")&amp;" Hari")</f>
        <v>31 Tahun, 0 Bulan, 26 Hari</v>
      </c>
      <c r="AC3684" s="14" t="n">
        <v>46158</v>
      </c>
      <c r="AD3684" s="18" t="n">
        <f aca="false">EDATE(AC3684,6)-1</f>
        <v>46341</v>
      </c>
      <c r="AE3684" s="13" t="s">
        <v>44</v>
      </c>
    </row>
    <row r="3685" customFormat="false" ht="15" hidden="false" customHeight="true" outlineLevel="0" collapsed="false">
      <c r="A3685" s="12" t="n">
        <v>22305</v>
      </c>
      <c r="B3685" s="13" t="s">
        <v>15028</v>
      </c>
      <c r="C3685" s="16" t="n">
        <v>46161.2916666667</v>
      </c>
      <c r="D3685" s="13" t="s">
        <v>14892</v>
      </c>
      <c r="E3685" s="15" t="s">
        <v>47</v>
      </c>
      <c r="F3685" s="24" t="s">
        <v>15029</v>
      </c>
      <c r="G3685" s="13" t="s">
        <v>57</v>
      </c>
      <c r="H3685" s="13" t="s">
        <v>35</v>
      </c>
      <c r="I3685" s="13" t="str">
        <f aca="false">IF(C3685=J3685,"NEW KONTRAK","RE-KONTRAK")</f>
        <v>NEW KONTRAK</v>
      </c>
      <c r="J3685" s="16" t="n">
        <f aca="false" t="array" ref="J3685:J3685">IFERROR(INDEX(AC3685:AE3685,IF(COUNTA(AC3685:AE3685)=0,"",MAX((AC3685:AE3685&lt;&gt;"")*(COLUMN(AC3685:AE3685)-(COLUMN(AC3685)))))-1),"")</f>
        <v>46161.2916666667</v>
      </c>
      <c r="K3685" s="16" t="n">
        <f aca="false" t="array" ref="K3685:K3685">IFERROR(INDEX(AC3685:AE3685,IF(COUNTA(AC3685:AE3685)=0,"",MAX((AC3685:AE3685&lt;&gt;"")*(COLUMN(AC3685:AE3685)-(COLUMN(AC3685)-1))))-1),"")</f>
        <v>46344</v>
      </c>
      <c r="L3685" s="17" t="str">
        <f aca="false" t="array" ref="L3685:L3685">IFERROR(INDEX(AC3685:AE3685,IF(COUNTA(AC3685:AE3685)=0,"",MAX((AC3685:AE3685&lt;&gt;"")*(COLUMN(AC3685:AE3685)-(COLUMN(AC3685)-2))))-1),"")</f>
        <v>ARCHIVED</v>
      </c>
      <c r="M3685" s="13" t="n">
        <f aca="true">K3685-TODAY()</f>
        <v>20</v>
      </c>
      <c r="N3685" s="18" t="s">
        <v>615</v>
      </c>
      <c r="O3685" s="13" t="s">
        <v>14894</v>
      </c>
      <c r="P3685" s="27" t="n">
        <v>5176101</v>
      </c>
      <c r="Q3685" s="20" t="s">
        <v>15030</v>
      </c>
      <c r="R3685" s="13" t="s">
        <v>232</v>
      </c>
      <c r="S3685" s="14" t="n">
        <v>30484</v>
      </c>
      <c r="T3685" s="13" t="s">
        <v>40</v>
      </c>
      <c r="U3685" s="13" t="s">
        <v>15031</v>
      </c>
      <c r="V3685" s="13" t="s">
        <v>42</v>
      </c>
      <c r="W3685" s="13" t="s">
        <v>43</v>
      </c>
      <c r="X3685" s="21" t="s">
        <v>15032</v>
      </c>
      <c r="Y3685" s="22" t="str">
        <f aca="false">O3685</f>
        <v>Reliver Bongkar Muat</v>
      </c>
      <c r="Z3685" s="13" t="str">
        <f aca="false">IFERROR(__xludf.dummyfunction("if(BJ3685="""","""",GOOGLETRANSLATE(BJ3685,""auto"",""en""))"),"Unloading Reliver")</f>
        <v>Unloading Reliver</v>
      </c>
      <c r="AA3685" s="23" t="str">
        <f aca="false">IF(C3685="","", CHOOSE(MONTH(C3685),"January","February","March","April","May","June","July","August","September","October","November","December")&amp;" "&amp;DAY(C3685)&amp;MID("thstndrdth",MIN(9,2*RIGHT(DAY(C3685))*(MOD(DAY(C3685)-11,100)&gt;2)+1),2)&amp;","&amp;TEXT(C3685," yyyy"))</f>
        <v>May 19th,2026</v>
      </c>
      <c r="AB3685" s="15" t="str">
        <f aca="true">IF(S3685="","",DATEDIF(S3685,TODAY(),"Y")&amp;" Tahun, "&amp;DATEDIF(S3685,TODAY(),"YM")&amp;" Bulan, "&amp;DATEDIF(S3685,TODAY(),"MD")&amp;" Hari")</f>
        <v>43 Tahun, 4 Bulan, 12 Hari</v>
      </c>
      <c r="AC3685" s="14" t="n">
        <f aca="false">C3685</f>
        <v>46161.2916666667</v>
      </c>
      <c r="AD3685" s="18" t="n">
        <f aca="false">EDATE(AC3685,6)-1</f>
        <v>46344</v>
      </c>
      <c r="AE3685" s="13" t="s">
        <v>44</v>
      </c>
    </row>
    <row r="3686" customFormat="false" ht="15" hidden="false" customHeight="true" outlineLevel="0" collapsed="false">
      <c r="A3686" s="12" t="n">
        <v>22306</v>
      </c>
      <c r="B3686" s="13" t="s">
        <v>15033</v>
      </c>
      <c r="C3686" s="16" t="n">
        <v>46157</v>
      </c>
      <c r="D3686" s="13" t="s">
        <v>3022</v>
      </c>
      <c r="E3686" s="15" t="s">
        <v>47</v>
      </c>
      <c r="F3686" s="24" t="s">
        <v>15034</v>
      </c>
      <c r="G3686" s="24" t="s">
        <v>57</v>
      </c>
      <c r="H3686" s="13" t="s">
        <v>3024</v>
      </c>
      <c r="I3686" s="13" t="str">
        <f aca="false">IF(C3686=J3686,"NEW KONTRAK","RE-KONTRAK")</f>
        <v>NEW KONTRAK</v>
      </c>
      <c r="J3686" s="16" t="n">
        <f aca="false" t="array" ref="J3686:J3686">IFERROR(INDEX(AC3686:AE3686,IF(COUNTA(AC3686:AE3686)=0,"",MAX((AC3686:AE3686&lt;&gt;"")*(COLUMN(AC3686:AE3686)-(COLUMN(AC3686)))))-1),"")</f>
        <v>46157</v>
      </c>
      <c r="K3686" s="16" t="n">
        <f aca="false" t="array" ref="K3686:K3686">IFERROR(INDEX(AC3686:AE3686,IF(COUNTA(AC3686:AE3686)=0,"",MAX((AC3686:AE3686&lt;&gt;"")*(COLUMN(AC3686:AE3686)-(COLUMN(AC3686)-1))))-1),"")</f>
        <v>46248</v>
      </c>
      <c r="L3686" s="17" t="str">
        <f aca="false" t="array" ref="L3686:L3686">IFERROR(INDEX(AC3686:AE3686,IF(COUNTA(AC3686:AE3686)=0,"",MAX((AC3686:AE3686&lt;&gt;"")*(COLUMN(AC3686:AE3686)-(COLUMN(AC3686)-2))))-1),"")</f>
        <v>KEMBALI</v>
      </c>
      <c r="M3686" s="13" t="n">
        <f aca="true">K3686-TODAY()</f>
        <v>-76</v>
      </c>
      <c r="N3686" s="18" t="s">
        <v>36</v>
      </c>
      <c r="O3686" s="13" t="s">
        <v>13295</v>
      </c>
      <c r="P3686" s="19" t="n">
        <v>112500</v>
      </c>
      <c r="Q3686" s="20" t="s">
        <v>15035</v>
      </c>
      <c r="R3686" s="13" t="s">
        <v>39</v>
      </c>
      <c r="S3686" s="14" t="n">
        <v>39284</v>
      </c>
      <c r="T3686" s="13" t="s">
        <v>40</v>
      </c>
      <c r="U3686" s="13" t="s">
        <v>15036</v>
      </c>
      <c r="V3686" s="13" t="s">
        <v>42</v>
      </c>
      <c r="W3686" s="13" t="s">
        <v>43</v>
      </c>
      <c r="X3686" s="30" t="n">
        <v>82160648422</v>
      </c>
      <c r="Y3686" s="22" t="str">
        <f aca="false">O3686</f>
        <v>PU</v>
      </c>
      <c r="Z3686" s="13" t="str">
        <f aca="false">IFERROR(__xludf.dummyfunction("if(BJ3686="""","""",GOOGLETRANSLATE(BJ3686,""auto"",""en""))"),"COULD")</f>
        <v>COULD</v>
      </c>
      <c r="AA3686" s="23" t="str">
        <f aca="false">IF(C3686="","", CHOOSE(MONTH(C3686),"January","February","March","April","May","June","July","August","September","October","November","December")&amp;" "&amp;DAY(C3686)&amp;MID("thstndrdth",MIN(9,2*RIGHT(DAY(C3686))*(MOD(DAY(C3686)-11,100)&gt;2)+1),2)&amp;","&amp;TEXT(C3686," yyyy"))</f>
        <v>May 15th,2026</v>
      </c>
      <c r="AB3686" s="15" t="str">
        <f aca="true">IF(S3686="","",DATEDIF(S3686,TODAY(),"Y")&amp;" Tahun, "&amp;DATEDIF(S3686,TODAY(),"YM")&amp;" Bulan, "&amp;DATEDIF(S3686,TODAY(),"MD")&amp;" Hari")</f>
        <v>19 Tahun, 3 Bulan, 8 Hari</v>
      </c>
      <c r="AC3686" s="14" t="n">
        <v>46157</v>
      </c>
      <c r="AD3686" s="18" t="n">
        <f aca="false">EDATE(AC3686,3)-1</f>
        <v>46248</v>
      </c>
      <c r="AE3686" s="13" t="s">
        <v>397</v>
      </c>
    </row>
    <row r="3687" customFormat="false" ht="15" hidden="false" customHeight="true" outlineLevel="0" collapsed="false">
      <c r="A3687" s="12" t="n">
        <v>22307</v>
      </c>
      <c r="B3687" s="13" t="s">
        <v>15037</v>
      </c>
      <c r="C3687" s="16" t="n">
        <v>46167</v>
      </c>
      <c r="D3687" s="13" t="s">
        <v>9043</v>
      </c>
      <c r="E3687" s="15" t="s">
        <v>47</v>
      </c>
      <c r="F3687" s="24" t="s">
        <v>15038</v>
      </c>
      <c r="G3687" s="24" t="s">
        <v>57</v>
      </c>
      <c r="H3687" s="13" t="s">
        <v>35</v>
      </c>
      <c r="I3687" s="13" t="str">
        <f aca="false">IF(C3687=J3687,"NEW KONTRAK","RE-KONTRAK")</f>
        <v>NEW KONTRAK</v>
      </c>
      <c r="J3687" s="16" t="n">
        <f aca="false" t="array" ref="J3687:J3687">IFERROR(INDEX(AC3687:AE3687,IF(COUNTA(AC3687:AE3687)=0,"",MAX((AC3687:AE3687&lt;&gt;"")*(COLUMN(AC3687:AE3687)-(COLUMN(AC3687)))))-1),"")</f>
        <v>46167</v>
      </c>
      <c r="K3687" s="16" t="n">
        <f aca="false" t="array" ref="K3687:K3687">IFERROR(INDEX(AC3687:AE3687,IF(COUNTA(AC3687:AE3687)=0,"",MAX((AC3687:AE3687&lt;&gt;"")*(COLUMN(AC3687:AE3687)-(COLUMN(AC3687)-1))))-1),"")</f>
        <v>46350</v>
      </c>
      <c r="L3687" s="17" t="str">
        <f aca="false" t="array" ref="L3687:L3687">IFERROR(INDEX(AC3687:AE3687,IF(COUNTA(AC3687:AE3687)=0,"",MAX((AC3687:AE3687&lt;&gt;"")*(COLUMN(AC3687:AE3687)-(COLUMN(AC3687)-2))))-1),"")</f>
        <v>KEMBALI</v>
      </c>
      <c r="M3687" s="13" t="n">
        <f aca="true">K3687-TODAY()</f>
        <v>26</v>
      </c>
      <c r="N3687" s="18" t="s">
        <v>4735</v>
      </c>
      <c r="O3687" s="13" t="s">
        <v>15039</v>
      </c>
      <c r="P3687" s="19" t="n">
        <v>4300000</v>
      </c>
      <c r="Q3687" s="20" t="s">
        <v>15040</v>
      </c>
      <c r="R3687" s="13" t="s">
        <v>83</v>
      </c>
      <c r="S3687" s="14" t="n">
        <v>35885</v>
      </c>
      <c r="T3687" s="13" t="s">
        <v>40</v>
      </c>
      <c r="U3687" s="17" t="s">
        <v>15041</v>
      </c>
      <c r="V3687" s="13" t="s">
        <v>42</v>
      </c>
      <c r="W3687" s="13" t="s">
        <v>43</v>
      </c>
      <c r="X3687" s="30" t="n">
        <v>85305720259</v>
      </c>
      <c r="Y3687" s="22" t="str">
        <f aca="false">O3687</f>
        <v>Mobile App Developer</v>
      </c>
      <c r="Z3687" s="13" t="str">
        <f aca="false">IFERROR(__xludf.dummyfunction("if(BJ3687="""","""",GOOGLETRANSLATE(BJ3687,""auto"",""en""))"),"Mobile App Developer")</f>
        <v>Mobile App Developer</v>
      </c>
      <c r="AA3687" s="23" t="str">
        <f aca="false">IF(C3687="","", CHOOSE(MONTH(C3687),"January","February","March","April","May","June","July","August","September","October","November","December")&amp;" "&amp;DAY(C3687)&amp;MID("thstndrdth",MIN(9,2*RIGHT(DAY(C3687))*(MOD(DAY(C3687)-11,100)&gt;2)+1),2)&amp;","&amp;TEXT(C3687," yyyy"))</f>
        <v>May 25th,2026</v>
      </c>
      <c r="AB3687" s="15" t="str">
        <f aca="true">IF(S3687="","",DATEDIF(S3687,TODAY(),"Y")&amp;" Tahun, "&amp;DATEDIF(S3687,TODAY(),"YM")&amp;" Bulan, "&amp;DATEDIF(S3687,TODAY(),"MD")&amp;" Hari")</f>
        <v>28 Tahun, 6 Bulan, 28 Hari</v>
      </c>
      <c r="AC3687" s="14" t="n">
        <v>46167</v>
      </c>
      <c r="AD3687" s="14" t="n">
        <f aca="false">EDATE(AC3687,6)-1</f>
        <v>46350</v>
      </c>
      <c r="AE3687" s="13" t="s">
        <v>397</v>
      </c>
    </row>
    <row r="3688" customFormat="false" ht="15" hidden="false" customHeight="true" outlineLevel="0" collapsed="false">
      <c r="A3688" s="12" t="n">
        <v>22308</v>
      </c>
      <c r="B3688" s="13" t="s">
        <v>15042</v>
      </c>
      <c r="C3688" s="14" t="n">
        <v>46164</v>
      </c>
      <c r="D3688" s="13" t="s">
        <v>3022</v>
      </c>
      <c r="E3688" s="15" t="s">
        <v>14439</v>
      </c>
      <c r="F3688" s="24" t="s">
        <v>15043</v>
      </c>
      <c r="G3688" s="24" t="s">
        <v>57</v>
      </c>
      <c r="H3688" s="13" t="s">
        <v>35</v>
      </c>
      <c r="I3688" s="13" t="str">
        <f aca="false">IF(C3688=J3688,"NEW KONTRAK","RE-KONTRAK")</f>
        <v>NEW KONTRAK</v>
      </c>
      <c r="J3688" s="16" t="n">
        <f aca="false" t="array" ref="J3688:J3688">IFERROR(INDEX(AC3688:AE3688,IF(COUNTA(AC3688:AE3688)=0,"",MAX((AC3688:AE3688&lt;&gt;"")*(COLUMN(AC3688:AE3688)-(COLUMN(AC3688)))))-1),"")</f>
        <v>46164</v>
      </c>
      <c r="K3688" s="16" t="n">
        <f aca="false" t="array" ref="K3688:K3688">IFERROR(INDEX(AC3688:AE3688,IF(COUNTA(AC3688:AE3688)=0,"",MAX((AC3688:AE3688&lt;&gt;"")*(COLUMN(AC3688:AE3688)-(COLUMN(AC3688)-1))))-1),"")</f>
        <v>46255</v>
      </c>
      <c r="L3688" s="17" t="str">
        <f aca="false" t="array" ref="L3688:L3688">IFERROR(INDEX(AC3688:AE3688,IF(COUNTA(AC3688:AE3688)=0,"",MAX((AC3688:AE3688&lt;&gt;"")*(COLUMN(AC3688:AE3688)-(COLUMN(AC3688)-2))))-1),"")</f>
        <v>ARCHIVED</v>
      </c>
      <c r="M3688" s="13" t="n">
        <f aca="true">K3688-TODAY()</f>
        <v>-69</v>
      </c>
      <c r="N3688" s="18" t="s">
        <v>36</v>
      </c>
      <c r="O3688" s="13" t="s">
        <v>58</v>
      </c>
      <c r="P3688" s="19" t="n">
        <v>112500</v>
      </c>
      <c r="Q3688" s="20" t="s">
        <v>15044</v>
      </c>
      <c r="R3688" s="13" t="s">
        <v>52</v>
      </c>
      <c r="S3688" s="14" t="n">
        <v>38185</v>
      </c>
      <c r="T3688" s="13" t="s">
        <v>40</v>
      </c>
      <c r="U3688" s="13" t="s">
        <v>15045</v>
      </c>
      <c r="V3688" s="13" t="s">
        <v>42</v>
      </c>
      <c r="W3688" s="13" t="s">
        <v>43</v>
      </c>
      <c r="X3688" s="30" t="n">
        <v>81294798515</v>
      </c>
      <c r="Y3688" s="22" t="str">
        <f aca="false">O3688</f>
        <v>Produksi</v>
      </c>
      <c r="Z3688" s="13" t="str">
        <f aca="false">IFERROR(__xludf.dummyfunction("if(BJ3688="""","""",GOOGLETRANSLATE(BJ3688,""auto"",""en""))"),"Production")</f>
        <v>Production</v>
      </c>
      <c r="AA3688" s="23" t="str">
        <f aca="false">IF(C3688="","", CHOOSE(MONTH(C3688),"January","February","March","April","May","June","July","August","September","October","November","December")&amp;" "&amp;DAY(C3688)&amp;MID("thstndrdth",MIN(9,2*RIGHT(DAY(C3688))*(MOD(DAY(C3688)-11,100)&gt;2)+1),2)&amp;","&amp;TEXT(C3688," yyyy"))</f>
        <v>May 22nd,2026</v>
      </c>
      <c r="AB3688" s="15" t="str">
        <f aca="true">IF(S3688="","",DATEDIF(S3688,TODAY(),"Y")&amp;" Tahun, "&amp;DATEDIF(S3688,TODAY(),"YM")&amp;" Bulan, "&amp;DATEDIF(S3688,TODAY(),"MD")&amp;" Hari")</f>
        <v>22 Tahun, 3 Bulan, 12 Hari</v>
      </c>
      <c r="AC3688" s="14" t="n">
        <v>46164</v>
      </c>
      <c r="AD3688" s="14" t="n">
        <f aca="false">EDATE(AC3688,3)-1</f>
        <v>46255</v>
      </c>
      <c r="AE3688" s="13" t="s">
        <v>44</v>
      </c>
    </row>
    <row r="3689" customFormat="false" ht="15" hidden="false" customHeight="true" outlineLevel="0" collapsed="false">
      <c r="A3689" s="12" t="n">
        <v>22309</v>
      </c>
      <c r="B3689" s="13" t="s">
        <v>15046</v>
      </c>
      <c r="C3689" s="16" t="n">
        <v>46164</v>
      </c>
      <c r="D3689" s="13" t="s">
        <v>3022</v>
      </c>
      <c r="E3689" s="15" t="s">
        <v>47</v>
      </c>
      <c r="F3689" s="24" t="s">
        <v>15047</v>
      </c>
      <c r="G3689" s="24" t="s">
        <v>57</v>
      </c>
      <c r="H3689" s="13" t="s">
        <v>3024</v>
      </c>
      <c r="I3689" s="13" t="str">
        <f aca="false">IF(C3689=J3689,"NEW KONTRAK","RE-KONTRAK")</f>
        <v>NEW KONTRAK</v>
      </c>
      <c r="J3689" s="16" t="n">
        <f aca="false" t="array" ref="J3689:J3689">IFERROR(INDEX(AC3689:AE3689,IF(COUNTA(AC3689:AE3689)=0,"",MAX((AC3689:AE3689&lt;&gt;"")*(COLUMN(AC3689:AE3689)-(COLUMN(AC3689)))))-1),"")</f>
        <v>46164</v>
      </c>
      <c r="K3689" s="16" t="n">
        <f aca="false" t="array" ref="K3689:K3689">IFERROR(INDEX(AC3689:AE3689,IF(COUNTA(AC3689:AE3689)=0,"",MAX((AC3689:AE3689&lt;&gt;"")*(COLUMN(AC3689:AE3689)-(COLUMN(AC3689)-1))))-1),"")</f>
        <v>46255</v>
      </c>
      <c r="L3689" s="17" t="str">
        <f aca="false" t="array" ref="L3689:L3689">IFERROR(INDEX(AC3689:AE3689,IF(COUNTA(AC3689:AE3689)=0,"",MAX((AC3689:AE3689&lt;&gt;"")*(COLUMN(AC3689:AE3689)-(COLUMN(AC3689)-2))))-1),"")</f>
        <v>KEMBALI</v>
      </c>
      <c r="M3689" s="13" t="n">
        <f aca="true">K3689-TODAY()</f>
        <v>-69</v>
      </c>
      <c r="N3689" s="18" t="s">
        <v>36</v>
      </c>
      <c r="O3689" s="13" t="s">
        <v>14582</v>
      </c>
      <c r="P3689" s="19" t="n">
        <v>110000</v>
      </c>
      <c r="Q3689" s="20" t="s">
        <v>15048</v>
      </c>
      <c r="R3689" s="13" t="s">
        <v>246</v>
      </c>
      <c r="S3689" s="14" t="n">
        <v>32221</v>
      </c>
      <c r="T3689" s="13" t="s">
        <v>40</v>
      </c>
      <c r="U3689" s="13" t="s">
        <v>15049</v>
      </c>
      <c r="V3689" s="13" t="s">
        <v>42</v>
      </c>
      <c r="W3689" s="13" t="s">
        <v>54</v>
      </c>
      <c r="X3689" s="30" t="n">
        <v>87732818268</v>
      </c>
      <c r="Y3689" s="22" t="str">
        <f aca="false">O3689</f>
        <v>PU Kebersihan</v>
      </c>
      <c r="Z3689" s="13" t="str">
        <f aca="false">IFERROR(__xludf.dummyfunction("if(BJ3689="""","""",GOOGLETRANSLATE(BJ3689,""auto"",""en""))"),"Public Works Department of Cleanliness")</f>
        <v>Public Works Department of Cleanliness</v>
      </c>
      <c r="AA3689" s="23" t="str">
        <f aca="false">IF(C3689="","", CHOOSE(MONTH(C3689),"January","February","March","April","May","June","July","August","September","October","November","December")&amp;" "&amp;DAY(C3689)&amp;MID("thstndrdth",MIN(9,2*RIGHT(DAY(C3689))*(MOD(DAY(C3689)-11,100)&gt;2)+1),2)&amp;","&amp;TEXT(C3689," yyyy"))</f>
        <v>May 22nd,2026</v>
      </c>
      <c r="AB3689" s="15" t="str">
        <f aca="true">IF(S3689="","",DATEDIF(S3689,TODAY(),"Y")&amp;" Tahun, "&amp;DATEDIF(S3689,TODAY(),"YM")&amp;" Bulan, "&amp;DATEDIF(S3689,TODAY(),"MD")&amp;" Hari")</f>
        <v>38 Tahun, 7 Bulan, 10 Hari</v>
      </c>
      <c r="AC3689" s="14" t="n">
        <v>46164</v>
      </c>
      <c r="AD3689" s="14" t="n">
        <f aca="false">EDATE(AC3689,3)-1</f>
        <v>46255</v>
      </c>
      <c r="AE3689" s="13" t="s">
        <v>397</v>
      </c>
    </row>
    <row r="3690" customFormat="false" ht="15" hidden="false" customHeight="true" outlineLevel="0" collapsed="false">
      <c r="A3690" s="12" t="n">
        <v>22310</v>
      </c>
      <c r="B3690" s="13" t="s">
        <v>15050</v>
      </c>
      <c r="C3690" s="16" t="n">
        <v>46160</v>
      </c>
      <c r="D3690" s="13" t="s">
        <v>613</v>
      </c>
      <c r="E3690" s="15" t="s">
        <v>47</v>
      </c>
      <c r="F3690" s="24" t="s">
        <v>15051</v>
      </c>
      <c r="G3690" s="24" t="s">
        <v>57</v>
      </c>
      <c r="H3690" s="13" t="s">
        <v>35</v>
      </c>
      <c r="I3690" s="13" t="str">
        <f aca="false">IF(C3690=J3690,"NEW KONTRAK","RE-KONTRAK")</f>
        <v>NEW KONTRAK</v>
      </c>
      <c r="J3690" s="16" t="n">
        <f aca="false" t="array" ref="J3690:J3690">IFERROR(INDEX(AC3690:AE3690,IF(COUNTA(AC3690:AE3690)=0,"",MAX((AC3690:AE3690&lt;&gt;"")*(COLUMN(AC3690:AE3690)-(COLUMN(AC3690)))))-1),"")</f>
        <v>46160</v>
      </c>
      <c r="K3690" s="16" t="n">
        <f aca="false" t="array" ref="K3690:K3690">IFERROR(INDEX(AC3690:AE3690,IF(COUNTA(AC3690:AE3690)=0,"",MAX((AC3690:AE3690&lt;&gt;"")*(COLUMN(AC3690:AE3690)-(COLUMN(AC3690)-1))))-1),"")</f>
        <v>46251</v>
      </c>
      <c r="L3690" s="17" t="str">
        <f aca="false" t="array" ref="L3690:L3690">IFERROR(INDEX(AC3690:AE3690,IF(COUNTA(AC3690:AE3690)=0,"",MAX((AC3690:AE3690&lt;&gt;"")*(COLUMN(AC3690:AE3690)-(COLUMN(AC3690)-2))))-1),"")</f>
        <v>ARCHIVED</v>
      </c>
      <c r="M3690" s="13" t="n">
        <f aca="true">K3690-TODAY()</f>
        <v>-73</v>
      </c>
      <c r="N3690" s="18" t="s">
        <v>615</v>
      </c>
      <c r="O3690" s="13" t="s">
        <v>58</v>
      </c>
      <c r="P3690" s="19" t="n">
        <v>5176101</v>
      </c>
      <c r="Q3690" s="20" t="s">
        <v>15052</v>
      </c>
      <c r="R3690" s="13" t="s">
        <v>232</v>
      </c>
      <c r="S3690" s="14" t="n">
        <v>38435</v>
      </c>
      <c r="T3690" s="13" t="s">
        <v>40</v>
      </c>
      <c r="U3690" s="13" t="s">
        <v>15053</v>
      </c>
      <c r="V3690" s="13" t="s">
        <v>42</v>
      </c>
      <c r="W3690" s="13" t="s">
        <v>43</v>
      </c>
      <c r="X3690" s="30" t="n">
        <v>89515335554</v>
      </c>
      <c r="Y3690" s="22" t="str">
        <f aca="false">O3690</f>
        <v>Produksi</v>
      </c>
      <c r="Z3690" s="13" t="str">
        <f aca="false">IFERROR(__xludf.dummyfunction("if(BJ3690="""","""",GOOGLETRANSLATE(BJ3690,""auto"",""en""))"),"Production")</f>
        <v>Production</v>
      </c>
      <c r="AA3690" s="23" t="str">
        <f aca="false">IF(C3690="","", CHOOSE(MONTH(C3690),"January","February","March","April","May","June","July","August","September","October","November","December")&amp;" "&amp;DAY(C3690)&amp;MID("thstndrdth",MIN(9,2*RIGHT(DAY(C3690))*(MOD(DAY(C3690)-11,100)&gt;2)+1),2)&amp;","&amp;TEXT(C3690," yyyy"))</f>
        <v>May 18th,2026</v>
      </c>
      <c r="AB3690" s="15" t="str">
        <f aca="true">IF(S3690="","",DATEDIF(S3690,TODAY(),"Y")&amp;" Tahun, "&amp;DATEDIF(S3690,TODAY(),"YM")&amp;" Bulan, "&amp;DATEDIF(S3690,TODAY(),"MD")&amp;" Hari")</f>
        <v>21 Tahun, 7 Bulan, 5 Hari</v>
      </c>
      <c r="AC3690" s="14" t="n">
        <v>46160</v>
      </c>
      <c r="AD3690" s="14" t="n">
        <f aca="false">EDATE(AC3690,3)-1</f>
        <v>46251</v>
      </c>
      <c r="AE3690" s="13" t="s">
        <v>44</v>
      </c>
    </row>
    <row r="3691" customFormat="false" ht="15" hidden="false" customHeight="true" outlineLevel="0" collapsed="false">
      <c r="A3691" s="12" t="n">
        <v>22311</v>
      </c>
      <c r="B3691" s="13" t="s">
        <v>15054</v>
      </c>
      <c r="C3691" s="16" t="n">
        <v>46137</v>
      </c>
      <c r="D3691" s="13" t="s">
        <v>10058</v>
      </c>
      <c r="E3691" s="15" t="s">
        <v>102</v>
      </c>
      <c r="F3691" s="24" t="s">
        <v>15055</v>
      </c>
      <c r="G3691" s="24" t="s">
        <v>57</v>
      </c>
      <c r="H3691" s="13" t="s">
        <v>35</v>
      </c>
      <c r="I3691" s="13" t="str">
        <f aca="false">IF(C3691=J3691,"NEW KONTRAK","RE-KONTRAK")</f>
        <v>NEW KONTRAK</v>
      </c>
      <c r="J3691" s="16" t="n">
        <f aca="false" t="array" ref="J3691:J3691">IFERROR(INDEX(AC3691:AE3691,IF(COUNTA(AC3691:AE3691)=0,"",MAX((AC3691:AE3691&lt;&gt;"")*(COLUMN(AC3691:AE3691)-(COLUMN(AC3691)))))-1),"")</f>
        <v>46137</v>
      </c>
      <c r="K3691" s="16" t="n">
        <f aca="false" t="array" ref="K3691:K3691">IFERROR(INDEX(AC3691:AE3691,IF(COUNTA(AC3691:AE3691)=0,"",MAX((AC3691:AE3691&lt;&gt;"")*(COLUMN(AC3691:AE3691)-(COLUMN(AC3691)-1))))-1),"")</f>
        <v>46188</v>
      </c>
      <c r="L3691" s="17" t="str">
        <f aca="false" t="array" ref="L3691:L3691">IFERROR(INDEX(AC3691:AE3691,IF(COUNTA(AC3691:AE3691)=0,"",MAX((AC3691:AE3691&lt;&gt;"")*(COLUMN(AC3691:AE3691)-(COLUMN(AC3691)-2))))-1),"")</f>
        <v>ARCHIVED</v>
      </c>
      <c r="M3691" s="13" t="n">
        <f aca="true">K3691-TODAY()</f>
        <v>-136</v>
      </c>
      <c r="N3691" s="18" t="s">
        <v>105</v>
      </c>
      <c r="O3691" s="13" t="s">
        <v>14127</v>
      </c>
      <c r="P3691" s="19" t="n">
        <v>138915</v>
      </c>
      <c r="Q3691" s="20" t="s">
        <v>15056</v>
      </c>
      <c r="R3691" s="13" t="s">
        <v>39</v>
      </c>
      <c r="S3691" s="14" t="n">
        <v>37022</v>
      </c>
      <c r="T3691" s="13" t="s">
        <v>40</v>
      </c>
      <c r="U3691" s="13" t="s">
        <v>15057</v>
      </c>
      <c r="V3691" s="13" t="s">
        <v>42</v>
      </c>
      <c r="W3691" s="13" t="s">
        <v>43</v>
      </c>
      <c r="X3691" s="30" t="n">
        <v>85198780157</v>
      </c>
      <c r="Y3691" s="22" t="str">
        <f aca="false">O3691</f>
        <v>Harian Lepas (Helper Gudang)</v>
      </c>
      <c r="Z3691" s="13" t="str">
        <f aca="false">IFERROR(__xludf.dummyfunction("if(BJ3691="""","""",GOOGLETRANSLATE(BJ3691,""auto"",""en""))"),"Daily (Warehouse Helper)")</f>
        <v>Daily (Warehouse Helper)</v>
      </c>
      <c r="AA3691" s="23" t="str">
        <f aca="false">IF(C3691="","", CHOOSE(MONTH(C3691),"January","February","March","April","May","June","July","August","September","October","November","December")&amp;" "&amp;DAY(C3691)&amp;MID("thstndrdth",MIN(9,2*RIGHT(DAY(C3691))*(MOD(DAY(C3691)-11,100)&gt;2)+1),2)&amp;","&amp;TEXT(C3691," yyyy"))</f>
        <v>April 25th,2026</v>
      </c>
      <c r="AB3691" s="15" t="str">
        <f aca="true">IF(S3691="","",DATEDIF(S3691,TODAY(),"Y")&amp;" Tahun, "&amp;DATEDIF(S3691,TODAY(),"YM")&amp;" Bulan, "&amp;DATEDIF(S3691,TODAY(),"MD")&amp;" Hari")</f>
        <v>25 Tahun, 5 Bulan, 18 Hari</v>
      </c>
      <c r="AC3691" s="14" t="n">
        <v>46137</v>
      </c>
      <c r="AD3691" s="14" t="n">
        <v>46188</v>
      </c>
      <c r="AE3691" s="13" t="s">
        <v>44</v>
      </c>
    </row>
    <row r="3692" customFormat="false" ht="15" hidden="false" customHeight="true" outlineLevel="0" collapsed="false">
      <c r="A3692" s="12" t="n">
        <v>22312</v>
      </c>
      <c r="B3692" s="13" t="s">
        <v>15058</v>
      </c>
      <c r="C3692" s="16" t="n">
        <v>46163</v>
      </c>
      <c r="D3692" s="13" t="s">
        <v>10155</v>
      </c>
      <c r="E3692" s="15" t="s">
        <v>47</v>
      </c>
      <c r="F3692" s="24" t="s">
        <v>15059</v>
      </c>
      <c r="G3692" s="15" t="s">
        <v>1127</v>
      </c>
      <c r="H3692" s="13" t="s">
        <v>35</v>
      </c>
      <c r="I3692" s="13" t="str">
        <f aca="false">IF(C3692=J3692,"NEW KONTRAK","RE-KONTRAK")</f>
        <v>NEW KONTRAK</v>
      </c>
      <c r="J3692" s="16" t="n">
        <f aca="false" t="array" ref="J3692:J3692">IFERROR(INDEX(AC3692:AE3692,IF(COUNTA(AC3692:AE3692)=0,"",MAX((AC3692:AE3692&lt;&gt;"")*(COLUMN(AC3692:AE3692)-(COLUMN(AC3692)))))-1),"")</f>
        <v>46163</v>
      </c>
      <c r="K3692" s="16" t="n">
        <f aca="false" t="array" ref="K3692:K3692">IFERROR(INDEX(AC3692:AE3692,IF(COUNTA(AC3692:AE3692)=0,"",MAX((AC3692:AE3692&lt;&gt;"")*(COLUMN(AC3692:AE3692)-(COLUMN(AC3692)-1))))-1),"")</f>
        <v>46203</v>
      </c>
      <c r="L3692" s="17" t="str">
        <f aca="false" t="array" ref="L3692:L3692">IFERROR(INDEX(AC3692:AE3692,IF(COUNTA(AC3692:AE3692)=0,"",MAX((AC3692:AE3692&lt;&gt;"")*(COLUMN(AC3692:AE3692)-(COLUMN(AC3692)-2))))-1),"")</f>
        <v>ARCHIVED</v>
      </c>
      <c r="M3692" s="13" t="n">
        <f aca="true">K3692-TODAY()</f>
        <v>-121</v>
      </c>
      <c r="N3692" s="18" t="s">
        <v>36</v>
      </c>
      <c r="O3692" s="13" t="s">
        <v>15060</v>
      </c>
      <c r="P3692" s="19" t="n">
        <v>5195401</v>
      </c>
      <c r="Q3692" s="20" t="s">
        <v>15061</v>
      </c>
      <c r="R3692" s="13" t="s">
        <v>52</v>
      </c>
      <c r="S3692" s="14" t="n">
        <v>38668</v>
      </c>
      <c r="T3692" s="13" t="s">
        <v>40</v>
      </c>
      <c r="U3692" s="13" t="s">
        <v>15062</v>
      </c>
      <c r="V3692" s="13" t="s">
        <v>42</v>
      </c>
      <c r="W3692" s="13" t="s">
        <v>43</v>
      </c>
      <c r="X3692" s="30" t="n">
        <v>85299305616</v>
      </c>
      <c r="Y3692" s="22" t="str">
        <f aca="false">O3692</f>
        <v>Network &amp; Infrastructure Technical Support</v>
      </c>
      <c r="Z3692" s="13" t="str">
        <f aca="false">IFERROR(__xludf.dummyfunction("if(BJ3692="""","""",GOOGLETRANSLATE(BJ3692,""auto"",""en""))"),"Network &amp; Infrastructure Technical Support")</f>
        <v>Network &amp; Infrastructure Technical Support</v>
      </c>
      <c r="AA3692" s="23" t="str">
        <f aca="false">IF(C3692="","", CHOOSE(MONTH(C3692),"January","February","March","April","May","June","July","August","September","October","November","December")&amp;" "&amp;DAY(C3692)&amp;MID("thstndrdth",MIN(9,2*RIGHT(DAY(C3692))*(MOD(DAY(C3692)-11,100)&gt;2)+1),2)&amp;","&amp;TEXT(C3692," yyyy"))</f>
        <v>May 21st,2026</v>
      </c>
      <c r="AB3692" s="15" t="str">
        <f aca="true">IF(S3692="","",DATEDIF(S3692,TODAY(),"Y")&amp;" Tahun, "&amp;DATEDIF(S3692,TODAY(),"YM")&amp;" Bulan, "&amp;DATEDIF(S3692,TODAY(),"MD")&amp;" Hari")</f>
        <v>20 Tahun, 11 Bulan, 17 Hari</v>
      </c>
      <c r="AC3692" s="14" t="n">
        <v>46163</v>
      </c>
      <c r="AD3692" s="14" t="n">
        <v>46203</v>
      </c>
      <c r="AE3692" s="13" t="s">
        <v>44</v>
      </c>
    </row>
    <row r="3693" customFormat="false" ht="15" hidden="false" customHeight="true" outlineLevel="0" collapsed="false">
      <c r="A3693" s="12" t="n">
        <v>22313</v>
      </c>
      <c r="B3693" s="13" t="s">
        <v>15063</v>
      </c>
      <c r="C3693" s="16" t="n">
        <v>46164</v>
      </c>
      <c r="D3693" s="13" t="s">
        <v>10058</v>
      </c>
      <c r="E3693" s="15" t="s">
        <v>102</v>
      </c>
      <c r="F3693" s="24" t="s">
        <v>15064</v>
      </c>
      <c r="G3693" s="13" t="s">
        <v>1127</v>
      </c>
      <c r="H3693" s="13" t="s">
        <v>3024</v>
      </c>
      <c r="I3693" s="13" t="str">
        <f aca="false">IF(C3693=J3693,"NEW KONTRAK","RE-KONTRAK")</f>
        <v>NEW KONTRAK</v>
      </c>
      <c r="J3693" s="16" t="n">
        <f aca="false" t="array" ref="J3693:J3693">IFERROR(INDEX(AC3693:AE3693,IF(COUNTA(AC3693:AE3693)=0,"",MAX((AC3693:AE3693&lt;&gt;"")*(COLUMN(AC3693:AE3693)-(COLUMN(AC3693)))))-1),"")</f>
        <v>46164</v>
      </c>
      <c r="K3693" s="16" t="n">
        <f aca="false" t="array" ref="K3693:K3693">IFERROR(INDEX(AC3693:AE3693,IF(COUNTA(AC3693:AE3693)=0,"",MAX((AC3693:AE3693&lt;&gt;"")*(COLUMN(AC3693:AE3693)-(COLUMN(AC3693)-1))))-1),"")</f>
        <v>46188</v>
      </c>
      <c r="L3693" s="17" t="str">
        <f aca="false" t="array" ref="L3693:L3693">IFERROR(INDEX(AC3693:AE3693,IF(COUNTA(AC3693:AE3693)=0,"",MAX((AC3693:AE3693&lt;&gt;"")*(COLUMN(AC3693:AE3693)-(COLUMN(AC3693)-2))))-1),"")</f>
        <v>ARCHIVED</v>
      </c>
      <c r="M3693" s="13" t="n">
        <f aca="true">K3693-TODAY()</f>
        <v>-136</v>
      </c>
      <c r="N3693" s="18" t="s">
        <v>105</v>
      </c>
      <c r="O3693" s="13" t="s">
        <v>10059</v>
      </c>
      <c r="P3693" s="19" t="n">
        <v>138915</v>
      </c>
      <c r="Q3693" s="20" t="s">
        <v>15065</v>
      </c>
      <c r="R3693" s="13" t="s">
        <v>246</v>
      </c>
      <c r="S3693" s="14" t="n">
        <v>39118</v>
      </c>
      <c r="T3693" s="13" t="s">
        <v>108</v>
      </c>
      <c r="U3693" s="13" t="s">
        <v>15066</v>
      </c>
      <c r="V3693" s="13" t="s">
        <v>42</v>
      </c>
      <c r="W3693" s="13" t="s">
        <v>43</v>
      </c>
      <c r="X3693" s="30" t="n">
        <v>85384085887</v>
      </c>
      <c r="Y3693" s="22" t="str">
        <f aca="false">O3693</f>
        <v>Harian Lepas E-Commerce</v>
      </c>
      <c r="Z3693" s="13" t="str">
        <f aca="false">IFERROR(__xludf.dummyfunction("if(BJ3693="""","""",GOOGLETRANSLATE(BJ3693,""auto"",""en""))"),"Daily Post E-Commerce")</f>
        <v>Daily Post E-Commerce</v>
      </c>
      <c r="AA3693" s="23" t="str">
        <f aca="false">IF(C3693="","", CHOOSE(MONTH(C3693),"January","February","March","April","May","June","July","August","September","October","November","December")&amp;" "&amp;DAY(C3693)&amp;MID("thstndrdth",MIN(9,2*RIGHT(DAY(C3693))*(MOD(DAY(C3693)-11,100)&gt;2)+1),2)&amp;","&amp;TEXT(C3693," yyyy"))</f>
        <v>May 22nd,2026</v>
      </c>
      <c r="AB3693" s="15" t="str">
        <f aca="true">IF(S3693="","",DATEDIF(S3693,TODAY(),"Y")&amp;" Tahun, "&amp;DATEDIF(S3693,TODAY(),"YM")&amp;" Bulan, "&amp;DATEDIF(S3693,TODAY(),"MD")&amp;" Hari")</f>
        <v>19 Tahun, 8 Bulan, 24 Hari</v>
      </c>
      <c r="AC3693" s="14" t="n">
        <v>46164</v>
      </c>
      <c r="AD3693" s="14" t="n">
        <v>46188</v>
      </c>
      <c r="AE3693" s="13" t="s">
        <v>44</v>
      </c>
    </row>
    <row r="3694" customFormat="false" ht="15" hidden="false" customHeight="true" outlineLevel="0" collapsed="false">
      <c r="A3694" s="12" t="n">
        <v>2000</v>
      </c>
      <c r="B3694" s="13" t="s">
        <v>15067</v>
      </c>
      <c r="C3694" s="14" t="n">
        <v>43845</v>
      </c>
      <c r="D3694" s="13" t="s">
        <v>101</v>
      </c>
      <c r="E3694" s="15" t="s">
        <v>47</v>
      </c>
      <c r="F3694" s="15" t="str">
        <f aca="false">IFERROR(__xludf.dummyfunction("XLOOKUP(AJ3694,IMPORTRANGE(""1XaInW9DU9nz21V0tYIfzFQ0He9kVQ_JF2mCXgZ3hqFA"",""REKAP ALL 2026 - Andika!G:G""),IMPORTRANGE(""1XaInW9DU9nz21V0tYIfzFQ0He9kVQ_JF2mCXgZ3hqFA"",""REKAP ALL 2026 - Andika!F:F""),"""",0)"),"20021313992")</f>
        <v>20021313992</v>
      </c>
      <c r="G3694" s="13" t="s">
        <v>15068</v>
      </c>
      <c r="H3694" s="13" t="s">
        <v>35</v>
      </c>
      <c r="I3694" s="13" t="str">
        <f aca="false">IF(C3694=J3694,"NEW KONTRAK","RE-KONTRAK")</f>
        <v>RE-KONTRAK</v>
      </c>
      <c r="J3694" s="16" t="n">
        <f aca="false" t="array" ref="J3694:J3694">IFERROR(INDEX(AC3694:AE3694,IF(COUNTA(AC3694:AE3694)=0,"",MAX((AC3694:AE3694&lt;&gt;"")*(COLUMN(AC3694:AE3694)-(COLUMN(AC3694)))))-1),"")</f>
        <v>45672</v>
      </c>
      <c r="K3694" s="16" t="n">
        <f aca="false" t="array" ref="K3694:K3694">IFERROR(INDEX(AC3694:AE3694,IF(COUNTA(AC3694:AE3694)=0,"",MAX((AC3694:AE3694&lt;&gt;"")*(COLUMN(AC3694:AE3694)-(COLUMN(AC3694)-1))))-1),"")</f>
        <v>46036</v>
      </c>
      <c r="L3694" s="17" t="str">
        <f aca="false" t="array" ref="L3694:L3694">IFERROR(INDEX(AC3694:AE3694,IF(COUNTA(AC3694:AE3694)=0,"",MAX((AC3694:AE3694&lt;&gt;"")*(COLUMN(AC3694:AE3694)-(COLUMN(AC3694)-2))))-1),"")</f>
        <v>ARCHIVED</v>
      </c>
      <c r="M3694" s="13" t="n">
        <f aca="true">K3694-TODAY()</f>
        <v>-288</v>
      </c>
      <c r="N3694" s="18" t="s">
        <v>105</v>
      </c>
      <c r="O3694" s="13" t="s">
        <v>2175</v>
      </c>
      <c r="P3694" s="31" t="n">
        <v>176400</v>
      </c>
      <c r="Q3694" s="20" t="s">
        <v>15069</v>
      </c>
      <c r="R3694" s="13" t="s">
        <v>39</v>
      </c>
      <c r="S3694" s="25" t="n">
        <v>36277</v>
      </c>
      <c r="T3694" s="13" t="s">
        <v>40</v>
      </c>
      <c r="U3694" s="13" t="s">
        <v>15070</v>
      </c>
      <c r="V3694" s="13" t="s">
        <v>42</v>
      </c>
      <c r="W3694" s="13" t="s">
        <v>43</v>
      </c>
      <c r="X3694" s="21" t="n">
        <v>81252828410</v>
      </c>
      <c r="Y3694" s="22" t="str">
        <f aca="false">O3694</f>
        <v>Gudang RMPM - Operator Forklift</v>
      </c>
      <c r="Z3694" s="13" t="str">
        <f aca="false">IFERROR(__xludf.dummyfunction("if(BJ3694="""","""",GOOGLETRANSLATE(BJ3694,""auto"",""en""))"),"RMPM Warehouse - Forklift Operator")</f>
        <v>RMPM Warehouse - Forklift Operator</v>
      </c>
      <c r="AA3694" s="23" t="str">
        <f aca="false">IF(C3694="","", CHOOSE(MONTH(C3694),"January","February","March","April","May","June","July","August","September","October","November","December")&amp;" "&amp;DAY(C3694)&amp;MID("thstndrdth",MIN(9,2*RIGHT(DAY(C3694))*(MOD(DAY(C3694)-11,100)&gt;2)+1),2)&amp;","&amp;TEXT(C3694," yyyy"))</f>
        <v>January 15th,2020</v>
      </c>
      <c r="AB3694" s="15" t="str">
        <f aca="true">IF(S3694="","",DATEDIF(S3694,TODAY(),"Y")&amp;" Tahun, "&amp;DATEDIF(S3694,TODAY(),"YM")&amp;" Bulan, "&amp;DATEDIF(S3694,TODAY(),"MD")&amp;" Hari")</f>
        <v>27 Tahun, 6 Bulan, 2 Hari</v>
      </c>
      <c r="AC3694" s="18" t="n">
        <v>45672</v>
      </c>
      <c r="AD3694" s="18" t="n">
        <v>46036</v>
      </c>
      <c r="AE3694" s="18" t="s">
        <v>44</v>
      </c>
    </row>
    <row r="3695" customFormat="false" ht="15" hidden="false" customHeight="true" outlineLevel="0" collapsed="false">
      <c r="A3695" s="12" t="n">
        <v>2001</v>
      </c>
      <c r="B3695" s="13" t="s">
        <v>15071</v>
      </c>
      <c r="C3695" s="14" t="n">
        <v>43845</v>
      </c>
      <c r="D3695" s="13" t="s">
        <v>101</v>
      </c>
      <c r="E3695" s="15" t="s">
        <v>47</v>
      </c>
      <c r="F3695" s="15" t="str">
        <f aca="false">IFERROR(__xludf.dummyfunction("XLOOKUP(AJ3695,IMPORTRANGE(""1XaInW9DU9nz21V0tYIfzFQ0He9kVQ_JF2mCXgZ3hqFA"",""REKAP ALL 2026 - Andika!G:G""),IMPORTRANGE(""1XaInW9DU9nz21V0tYIfzFQ0He9kVQ_JF2mCXgZ3hqFA"",""REKAP ALL 2026 - Andika!F:F""),"""",0)"),"20021316318")</f>
        <v>20021316318</v>
      </c>
      <c r="G3695" s="13" t="s">
        <v>15072</v>
      </c>
      <c r="H3695" s="13" t="s">
        <v>35</v>
      </c>
      <c r="I3695" s="13" t="str">
        <f aca="false">IF(C3695=J3695,"NEW KONTRAK","RE-KONTRAK")</f>
        <v>RE-KONTRAK</v>
      </c>
      <c r="J3695" s="16" t="n">
        <f aca="false" t="array" ref="J3695:J3695">IFERROR(INDEX(AC3695:AE3695,IF(COUNTA(AC3695:AE3695)=0,"",MAX((AC3695:AE3695&lt;&gt;"")*(COLUMN(AC3695:AE3695)-(COLUMN(AC3695)))))-1),"")</f>
        <v>45672</v>
      </c>
      <c r="K3695" s="16" t="n">
        <f aca="false" t="array" ref="K3695:K3695">IFERROR(INDEX(AC3695:AE3695,IF(COUNTA(AC3695:AE3695)=0,"",MAX((AC3695:AE3695&lt;&gt;"")*(COLUMN(AC3695:AE3695)-(COLUMN(AC3695)-1))))-1),"")</f>
        <v>46036</v>
      </c>
      <c r="L3695" s="17" t="str">
        <f aca="false" t="array" ref="L3695:L3695">IFERROR(INDEX(AC3695:AE3695,IF(COUNTA(AC3695:AE3695)=0,"",MAX((AC3695:AE3695&lt;&gt;"")*(COLUMN(AC3695:AE3695)-(COLUMN(AC3695)-2))))-1),"")</f>
        <v>ARCHIVED</v>
      </c>
      <c r="M3695" s="13" t="n">
        <f aca="true">K3695-TODAY()</f>
        <v>-288</v>
      </c>
      <c r="N3695" s="18" t="s">
        <v>105</v>
      </c>
      <c r="O3695" s="13" t="s">
        <v>14658</v>
      </c>
      <c r="P3695" s="31" t="n">
        <v>162068</v>
      </c>
      <c r="Q3695" s="20" t="s">
        <v>15073</v>
      </c>
      <c r="R3695" s="13" t="s">
        <v>39</v>
      </c>
      <c r="S3695" s="25" t="n">
        <v>36678</v>
      </c>
      <c r="T3695" s="13" t="s">
        <v>40</v>
      </c>
      <c r="U3695" s="13" t="s">
        <v>15074</v>
      </c>
      <c r="V3695" s="13" t="s">
        <v>42</v>
      </c>
      <c r="W3695" s="13" t="s">
        <v>43</v>
      </c>
      <c r="X3695" s="21" t="n">
        <v>881036244621</v>
      </c>
      <c r="Y3695" s="22" t="str">
        <f aca="false">O3695</f>
        <v>Gudang Jadi - Driver Pengiriman</v>
      </c>
      <c r="Z3695" s="13" t="str">
        <f aca="false">IFERROR(__xludf.dummyfunction("if(BJ3695="""","""",GOOGLETRANSLATE(BJ3695,""auto"",""en""))"),"Warehouse Ready - Delivery Driver")</f>
        <v>Warehouse Ready - Delivery Driver</v>
      </c>
      <c r="AA3695" s="23" t="str">
        <f aca="false">IF(C3695="","", CHOOSE(MONTH(C3695),"January","February","March","April","May","June","July","August","September","October","November","December")&amp;" "&amp;DAY(C3695)&amp;MID("thstndrdth",MIN(9,2*RIGHT(DAY(C3695))*(MOD(DAY(C3695)-11,100)&gt;2)+1),2)&amp;","&amp;TEXT(C3695," yyyy"))</f>
        <v>January 15th,2020</v>
      </c>
      <c r="AB3695" s="15" t="str">
        <f aca="true">IF(S3695="","",DATEDIF(S3695,TODAY(),"Y")&amp;" Tahun, "&amp;DATEDIF(S3695,TODAY(),"YM")&amp;" Bulan, "&amp;DATEDIF(S3695,TODAY(),"MD")&amp;" Hari")</f>
        <v>26 Tahun, 4 Bulan, 28 Hari</v>
      </c>
      <c r="AC3695" s="18" t="n">
        <v>45672</v>
      </c>
      <c r="AD3695" s="18" t="n">
        <v>46036</v>
      </c>
      <c r="AE3695" s="18" t="s">
        <v>44</v>
      </c>
    </row>
    <row r="3696" customFormat="false" ht="15" hidden="false" customHeight="true" outlineLevel="0" collapsed="false">
      <c r="A3696" s="12" t="n">
        <v>3323</v>
      </c>
      <c r="B3696" s="13" t="s">
        <v>15075</v>
      </c>
      <c r="C3696" s="14" t="n">
        <v>44452</v>
      </c>
      <c r="D3696" s="13" t="s">
        <v>101</v>
      </c>
      <c r="E3696" s="15" t="s">
        <v>47</v>
      </c>
      <c r="F3696" s="15" t="str">
        <f aca="false">IFERROR(__xludf.dummyfunction("XLOOKUP(AJ3696,IMPORTRANGE(""1XaInW9DU9nz21V0tYIfzFQ0He9kVQ_JF2mCXgZ3hqFA"",""REKAP ALL 2026 - Andika!G:G""),IMPORTRANGE(""1XaInW9DU9nz21V0tYIfzFQ0He9kVQ_JF2mCXgZ3hqFA"",""REKAP ALL 2026 - Andika!F:F""),"""",0)"),"19011589827")</f>
        <v>19011589827</v>
      </c>
      <c r="G3696" s="13" t="s">
        <v>15076</v>
      </c>
      <c r="H3696" s="13" t="s">
        <v>35</v>
      </c>
      <c r="I3696" s="13" t="str">
        <f aca="false">IF(C3696=J3696,"NEW KONTRAK","RE-KONTRAK")</f>
        <v>RE-KONTRAK</v>
      </c>
      <c r="J3696" s="16" t="n">
        <f aca="false" t="array" ref="J3696:J3696">IFERROR(INDEX(AC3696:AE3696,IF(COUNTA(AC3696:AE3696)=0,"",MAX((AC3696:AE3696&lt;&gt;"")*(COLUMN(AC3696:AE3696)-(COLUMN(AC3696)))))-1),"")</f>
        <v>45672</v>
      </c>
      <c r="K3696" s="16" t="n">
        <f aca="false" t="array" ref="K3696:K3696">IFERROR(INDEX(AC3696:AE3696,IF(COUNTA(AC3696:AE3696)=0,"",MAX((AC3696:AE3696&lt;&gt;"")*(COLUMN(AC3696:AE3696)-(COLUMN(AC3696)-1))))-1),"")</f>
        <v>46036</v>
      </c>
      <c r="L3696" s="17" t="str">
        <f aca="false" t="array" ref="L3696:L3696">IFERROR(INDEX(AC3696:AE3696,IF(COUNTA(AC3696:AE3696)=0,"",MAX((AC3696:AE3696&lt;&gt;"")*(COLUMN(AC3696:AE3696)-(COLUMN(AC3696)-2))))-1),"")</f>
        <v>ARCHIVED</v>
      </c>
      <c r="M3696" s="13" t="n">
        <f aca="true">K3696-TODAY()</f>
        <v>-288</v>
      </c>
      <c r="N3696" s="18" t="s">
        <v>105</v>
      </c>
      <c r="O3696" s="13" t="s">
        <v>1401</v>
      </c>
      <c r="P3696" s="31" t="n">
        <v>138915</v>
      </c>
      <c r="Q3696" s="20" t="s">
        <v>15077</v>
      </c>
      <c r="R3696" s="13" t="s">
        <v>39</v>
      </c>
      <c r="S3696" s="25" t="n">
        <v>34614</v>
      </c>
      <c r="T3696" s="13" t="s">
        <v>40</v>
      </c>
      <c r="U3696" s="13" t="s">
        <v>15078</v>
      </c>
      <c r="V3696" s="13" t="s">
        <v>42</v>
      </c>
      <c r="W3696" s="13" t="s">
        <v>54</v>
      </c>
      <c r="X3696" s="21" t="n">
        <v>895397047726</v>
      </c>
      <c r="Y3696" s="22" t="str">
        <f aca="false">O3696</f>
        <v>Gudang Jadi - Helper</v>
      </c>
      <c r="Z3696" s="13" t="str">
        <f aca="false">IFERROR(__xludf.dummyfunction("if(BJ3696="""","""",GOOGLETRANSLATE(BJ3696,""auto"",""en""))"),"Ready-Made Warehouse - Helper")</f>
        <v>Ready-Made Warehouse - Helper</v>
      </c>
      <c r="AA3696" s="23" t="str">
        <f aca="false">IF(C3696="","", CHOOSE(MONTH(C3696),"January","February","March","April","May","June","July","August","September","October","November","December")&amp;" "&amp;DAY(C3696)&amp;MID("thstndrdth",MIN(9,2*RIGHT(DAY(C3696))*(MOD(DAY(C3696)-11,100)&gt;2)+1),2)&amp;","&amp;TEXT(C3696," yyyy"))</f>
        <v>September 13th,2021</v>
      </c>
      <c r="AB3696" s="15" t="str">
        <f aca="true">IF(S3696="","",DATEDIF(S3696,TODAY(),"Y")&amp;" Tahun, "&amp;DATEDIF(S3696,TODAY(),"YM")&amp;" Bulan, "&amp;DATEDIF(S3696,TODAY(),"MD")&amp;" Hari")</f>
        <v>32 Tahun, 0 Bulan, 22 Hari</v>
      </c>
      <c r="AC3696" s="18" t="n">
        <v>45672</v>
      </c>
      <c r="AD3696" s="18" t="n">
        <v>46036</v>
      </c>
      <c r="AE3696" s="18" t="s">
        <v>44</v>
      </c>
    </row>
    <row r="3697" customFormat="false" ht="15" hidden="false" customHeight="true" outlineLevel="0" collapsed="false">
      <c r="A3697" s="12" t="n">
        <v>22317</v>
      </c>
      <c r="B3697" s="13" t="s">
        <v>15079</v>
      </c>
      <c r="C3697" s="14" t="n">
        <v>46134</v>
      </c>
      <c r="D3697" s="13" t="s">
        <v>10058</v>
      </c>
      <c r="E3697" s="15" t="s">
        <v>47</v>
      </c>
      <c r="F3697" s="15" t="str">
        <f aca="false">IFERROR(__xludf.dummyfunction("XLOOKUP(AJ3697,IMPORTRANGE(""1XaInW9DU9nz21V0tYIfzFQ0He9kVQ_JF2mCXgZ3hqFA"",""REKAP ALL 2026 - Andika!G:G""),IMPORTRANGE(""1XaInW9DU9nz21V0tYIfzFQ0He9kVQ_JF2mCXgZ3hqFA"",""REKAP ALL 2026 - Andika!F:F""),"""",0)"),"26062985226")</f>
        <v>26062985226</v>
      </c>
      <c r="G3697" s="24" t="s">
        <v>57</v>
      </c>
      <c r="H3697" s="13" t="s">
        <v>3024</v>
      </c>
      <c r="I3697" s="13" t="str">
        <f aca="false">IF(C3697=J3697,"NEW KONTRAK","RE-KONTRAK")</f>
        <v>NEW KONTRAK</v>
      </c>
      <c r="J3697" s="16" t="n">
        <f aca="false" t="array" ref="J3697:J3697">IFERROR(INDEX(AC3697:AE3697,IF(COUNTA(AC3697:AE3697)=0,"",MAX((AC3697:AE3697&lt;&gt;"")*(COLUMN(AC3697:AE3697)-(COLUMN(AC3697)))))-1),"")</f>
        <v>46134</v>
      </c>
      <c r="K3697" s="16" t="n">
        <f aca="false" t="array" ref="K3697:K3697">IFERROR(INDEX(AC3697:AE3697,IF(COUNTA(AC3697:AE3697)=0,"",MAX((AC3697:AE3697&lt;&gt;"")*(COLUMN(AC3697:AE3697)-(COLUMN(AC3697)-1))))-1),"")</f>
        <v>46188</v>
      </c>
      <c r="L3697" s="17" t="str">
        <f aca="false" t="array" ref="L3697:L3697">IFERROR(INDEX(AC3697:AE3697,IF(COUNTA(AC3697:AE3697)=0,"",MAX((AC3697:AE3697&lt;&gt;"")*(COLUMN(AC3697:AE3697)-(COLUMN(AC3697)-2))))-1),"")</f>
        <v>ARCHIVED</v>
      </c>
      <c r="M3697" s="13" t="n">
        <f aca="true">K3697-TODAY()</f>
        <v>-136</v>
      </c>
      <c r="N3697" s="18" t="s">
        <v>105</v>
      </c>
      <c r="O3697" s="13" t="s">
        <v>10059</v>
      </c>
      <c r="P3697" s="19" t="n">
        <v>138915</v>
      </c>
      <c r="Q3697" s="20" t="s">
        <v>15080</v>
      </c>
      <c r="R3697" s="13" t="s">
        <v>52</v>
      </c>
      <c r="S3697" s="14" t="n">
        <v>38525</v>
      </c>
      <c r="T3697" s="13" t="s">
        <v>40</v>
      </c>
      <c r="U3697" s="13" t="s">
        <v>15081</v>
      </c>
      <c r="V3697" s="13" t="s">
        <v>42</v>
      </c>
      <c r="W3697" s="13" t="s">
        <v>43</v>
      </c>
      <c r="X3697" s="30" t="n">
        <v>83104358112</v>
      </c>
      <c r="Y3697" s="22" t="str">
        <f aca="false">O3697</f>
        <v>Harian Lepas E-Commerce</v>
      </c>
      <c r="Z3697" s="13" t="str">
        <f aca="false">IFERROR(__xludf.dummyfunction("if(BJ3697="""","""",GOOGLETRANSLATE(BJ3697,""auto"",""en""))"),"Daily Post E-Commerce")</f>
        <v>Daily Post E-Commerce</v>
      </c>
      <c r="AA3697" s="23" t="str">
        <f aca="false">IF(C3697="","", CHOOSE(MONTH(C3697),"January","February","March","April","May","June","July","August","September","October","November","December")&amp;" "&amp;DAY(C3697)&amp;MID("thstndrdth",MIN(9,2*RIGHT(DAY(C3697))*(MOD(DAY(C3697)-11,100)&gt;2)+1),2)&amp;","&amp;TEXT(C3697," yyyy"))</f>
        <v>April 22nd,2026</v>
      </c>
      <c r="AB3697" s="15" t="str">
        <f aca="true">IF(S3697="","",DATEDIF(S3697,TODAY(),"Y")&amp;" Tahun, "&amp;DATEDIF(S3697,TODAY(),"YM")&amp;" Bulan, "&amp;DATEDIF(S3697,TODAY(),"MD")&amp;" Hari")</f>
        <v>21 Tahun, 4 Bulan, 7 Hari</v>
      </c>
      <c r="AC3697" s="14" t="n">
        <v>46134</v>
      </c>
      <c r="AD3697" s="14" t="n">
        <v>46188</v>
      </c>
      <c r="AE3697" s="18" t="s">
        <v>44</v>
      </c>
    </row>
    <row r="3698" customFormat="false" ht="15" hidden="false" customHeight="true" outlineLevel="0" collapsed="false">
      <c r="A3698" s="12" t="n">
        <v>5039</v>
      </c>
      <c r="B3698" s="13" t="s">
        <v>15082</v>
      </c>
      <c r="C3698" s="14" t="n">
        <v>44599</v>
      </c>
      <c r="D3698" s="13" t="s">
        <v>101</v>
      </c>
      <c r="E3698" s="15" t="s">
        <v>47</v>
      </c>
      <c r="F3698" s="15" t="str">
        <f aca="false">IFERROR(__xludf.dummyfunction("XLOOKUP(AJ3698,IMPORTRANGE(""1XaInW9DU9nz21V0tYIfzFQ0He9kVQ_JF2mCXgZ3hqFA"",""REKAP ALL 2026 - Andika!G:G""),IMPORTRANGE(""1XaInW9DU9nz21V0tYIfzFQ0He9kVQ_JF2mCXgZ3hqFA"",""REKAP ALL 2026 - Andika!F:F""),"""",0)"),"22015025814")</f>
        <v>22015025814</v>
      </c>
      <c r="G3698" s="13" t="s">
        <v>15083</v>
      </c>
      <c r="H3698" s="13" t="s">
        <v>35</v>
      </c>
      <c r="I3698" s="13" t="str">
        <f aca="false">IF(C3698=J3698,"NEW KONTRAK","RE-KONTRAK")</f>
        <v>RE-KONTRAK</v>
      </c>
      <c r="J3698" s="16" t="n">
        <f aca="false" t="array" ref="J3698:J3698">IFERROR(INDEX(AC3698:AE3698,IF(COUNTA(AC3698:AE3698)=0,"",MAX((AC3698:AE3698&lt;&gt;"")*(COLUMN(AC3698:AE3698)-(COLUMN(AC3698)))))-1),"")</f>
        <v>45672</v>
      </c>
      <c r="K3698" s="16" t="n">
        <f aca="false" t="array" ref="K3698:K3698">IFERROR(INDEX(AC3698:AE3698,IF(COUNTA(AC3698:AE3698)=0,"",MAX((AC3698:AE3698&lt;&gt;"")*(COLUMN(AC3698:AE3698)-(COLUMN(AC3698)-1))))-1),"")</f>
        <v>46036</v>
      </c>
      <c r="L3698" s="17" t="str">
        <f aca="false" t="array" ref="L3698:L3698">IFERROR(INDEX(AC3698:AE3698,IF(COUNTA(AC3698:AE3698)=0,"",MAX((AC3698:AE3698&lt;&gt;"")*(COLUMN(AC3698:AE3698)-(COLUMN(AC3698)-2))))-1),"")</f>
        <v>ARCHIVED</v>
      </c>
      <c r="M3698" s="13" t="n">
        <f aca="true">K3698-TODAY()</f>
        <v>-288</v>
      </c>
      <c r="N3698" s="18" t="s">
        <v>105</v>
      </c>
      <c r="O3698" s="13" t="s">
        <v>1401</v>
      </c>
      <c r="P3698" s="31" t="n">
        <v>138915</v>
      </c>
      <c r="Q3698" s="20" t="s">
        <v>15084</v>
      </c>
      <c r="R3698" s="13" t="s">
        <v>39</v>
      </c>
      <c r="S3698" s="25" t="n">
        <v>36594</v>
      </c>
      <c r="T3698" s="13" t="s">
        <v>40</v>
      </c>
      <c r="U3698" s="13" t="s">
        <v>15085</v>
      </c>
      <c r="V3698" s="13" t="s">
        <v>42</v>
      </c>
      <c r="W3698" s="13" t="s">
        <v>43</v>
      </c>
      <c r="X3698" s="21" t="n">
        <v>8993311553</v>
      </c>
      <c r="Y3698" s="22" t="str">
        <f aca="false">O3698</f>
        <v>Gudang Jadi - Helper</v>
      </c>
      <c r="Z3698" s="13" t="str">
        <f aca="false">IFERROR(__xludf.dummyfunction("if(BJ3698="""","""",GOOGLETRANSLATE(BJ3698,""auto"",""en""))"),"Ready-Made Warehouse - Helper")</f>
        <v>Ready-Made Warehouse - Helper</v>
      </c>
      <c r="AA3698" s="23" t="str">
        <f aca="false">IF(C3698="","", CHOOSE(MONTH(C3698),"January","February","March","April","May","June","July","August","September","October","November","December")&amp;" "&amp;DAY(C3698)&amp;MID("thstndrdth",MIN(9,2*RIGHT(DAY(C3698))*(MOD(DAY(C3698)-11,100)&gt;2)+1),2)&amp;","&amp;TEXT(C3698," yyyy"))</f>
        <v>February 7th,2022</v>
      </c>
      <c r="AB3698" s="15" t="str">
        <f aca="true">IF(S3698="","",DATEDIF(S3698,TODAY(),"Y")&amp;" Tahun, "&amp;DATEDIF(S3698,TODAY(),"YM")&amp;" Bulan, "&amp;DATEDIF(S3698,TODAY(),"MD")&amp;" Hari")</f>
        <v>26 Tahun, 7 Bulan, 20 Hari</v>
      </c>
      <c r="AC3698" s="18" t="n">
        <v>45672</v>
      </c>
      <c r="AD3698" s="18" t="n">
        <v>46036</v>
      </c>
      <c r="AE3698" s="18" t="s">
        <v>44</v>
      </c>
    </row>
    <row r="3699" customFormat="false" ht="15" hidden="false" customHeight="true" outlineLevel="0" collapsed="false">
      <c r="A3699" s="12" t="n">
        <v>22319</v>
      </c>
      <c r="B3699" s="13" t="s">
        <v>15086</v>
      </c>
      <c r="C3699" s="16" t="n">
        <v>46168</v>
      </c>
      <c r="D3699" s="13" t="s">
        <v>1338</v>
      </c>
      <c r="E3699" s="15" t="s">
        <v>47</v>
      </c>
      <c r="F3699" s="24" t="s">
        <v>15087</v>
      </c>
      <c r="G3699" s="24" t="s">
        <v>57</v>
      </c>
      <c r="H3699" s="13" t="s">
        <v>35</v>
      </c>
      <c r="I3699" s="13" t="str">
        <f aca="false">IF(C3699=J3699,"NEW KONTRAK","RE-KONTRAK")</f>
        <v>NEW KONTRAK</v>
      </c>
      <c r="J3699" s="16" t="n">
        <f aca="false" t="array" ref="J3699:J3699">IFERROR(INDEX(AC3699:AE3699,IF(COUNTA(AC3699:AE3699)=0,"",MAX((AC3699:AE3699&lt;&gt;"")*(COLUMN(AC3699:AE3699)-(COLUMN(AC3699)))))-1),"")</f>
        <v>46168</v>
      </c>
      <c r="K3699" s="16" t="n">
        <f aca="false" t="array" ref="K3699:K3699">IFERROR(INDEX(AC3699:AE3699,IF(COUNTA(AC3699:AE3699)=0,"",MAX((AC3699:AE3699&lt;&gt;"")*(COLUMN(AC3699:AE3699)-(COLUMN(AC3699)-1))))-1),"")</f>
        <v>46259</v>
      </c>
      <c r="L3699" s="17" t="str">
        <f aca="false" t="array" ref="L3699:L3699">IFERROR(INDEX(AC3699:AE3699,IF(COUNTA(AC3699:AE3699)=0,"",MAX((AC3699:AE3699&lt;&gt;"")*(COLUMN(AC3699:AE3699)-(COLUMN(AC3699)-2))))-1),"")</f>
        <v>KEMBALI</v>
      </c>
      <c r="M3699" s="13" t="n">
        <f aca="true">K3699-TODAY()</f>
        <v>-65</v>
      </c>
      <c r="N3699" s="18" t="s">
        <v>615</v>
      </c>
      <c r="O3699" s="13" t="s">
        <v>2335</v>
      </c>
      <c r="P3699" s="19" t="n">
        <v>160000</v>
      </c>
      <c r="Q3699" s="47" t="s">
        <v>15088</v>
      </c>
      <c r="R3699" s="13" t="s">
        <v>73</v>
      </c>
      <c r="S3699" s="14" t="n">
        <v>34493</v>
      </c>
      <c r="T3699" s="28" t="s">
        <v>40</v>
      </c>
      <c r="U3699" s="13" t="s">
        <v>15089</v>
      </c>
      <c r="V3699" s="13" t="s">
        <v>42</v>
      </c>
      <c r="W3699" s="13" t="s">
        <v>54</v>
      </c>
      <c r="X3699" s="21" t="n">
        <v>85746484606</v>
      </c>
      <c r="Y3699" s="22" t="str">
        <f aca="false">O3699</f>
        <v>Project Management</v>
      </c>
      <c r="Z3699" s="13" t="str">
        <f aca="false">IFERROR(__xludf.dummyfunction("if(BJ3699="""","""",GOOGLETRANSLATE(BJ3699,""auto"",""en""))"),"Project Management")</f>
        <v>Project Management</v>
      </c>
      <c r="AA3699" s="23" t="str">
        <f aca="false">IF(C3699="","", CHOOSE(MONTH(C3699),"January","February","March","April","May","June","July","August","September","October","November","December")&amp;" "&amp;DAY(C3699)&amp;MID("thstndrdth",MIN(9,2*RIGHT(DAY(C3699))*(MOD(DAY(C3699)-11,100)&gt;2)+1),2)&amp;","&amp;TEXT(C3699," yyyy"))</f>
        <v>May 26th,2026</v>
      </c>
      <c r="AB3699" s="15" t="str">
        <f aca="true">IF(S3699="","",DATEDIF(S3699,TODAY(),"Y")&amp;" Tahun, "&amp;DATEDIF(S3699,TODAY(),"YM")&amp;" Bulan, "&amp;DATEDIF(S3699,TODAY(),"MD")&amp;" Hari")</f>
        <v>32 Tahun, 4 Bulan, 21 Hari</v>
      </c>
      <c r="AC3699" s="14" t="n">
        <v>46168</v>
      </c>
      <c r="AD3699" s="18" t="n">
        <f aca="false">EDATE(AC3699,3)-1</f>
        <v>46259</v>
      </c>
      <c r="AE3699" s="13" t="s">
        <v>397</v>
      </c>
    </row>
    <row r="3700" customFormat="false" ht="15" hidden="false" customHeight="true" outlineLevel="0" collapsed="false">
      <c r="A3700" s="12" t="n">
        <v>22320</v>
      </c>
      <c r="B3700" s="13" t="s">
        <v>15090</v>
      </c>
      <c r="C3700" s="16" t="n">
        <v>46166.2916666667</v>
      </c>
      <c r="D3700" s="13" t="s">
        <v>14185</v>
      </c>
      <c r="E3700" s="15" t="s">
        <v>102</v>
      </c>
      <c r="F3700" s="24" t="s">
        <v>15091</v>
      </c>
      <c r="G3700" s="13" t="s">
        <v>1127</v>
      </c>
      <c r="H3700" s="13" t="s">
        <v>3024</v>
      </c>
      <c r="I3700" s="13" t="str">
        <f aca="false">IF(C3700=J3700,"NEW KONTRAK","RE-KONTRAK")</f>
        <v>NEW KONTRAK</v>
      </c>
      <c r="J3700" s="16" t="n">
        <f aca="false" t="array" ref="J3700:J3700">IFERROR(INDEX(AC3700:AE3700,IF(COUNTA(AC3700:AE3700)=0,"",MAX((AC3700:AE3700&lt;&gt;"")*(COLUMN(AC3700:AE3700)-(COLUMN(AC3700)))))-1),"")</f>
        <v>46166.2916666667</v>
      </c>
      <c r="K3700" s="16" t="n">
        <f aca="false" t="array" ref="K3700:K3700">IFERROR(INDEX(AC3700:AE3700,IF(COUNTA(AC3700:AE3700)=0,"",MAX((AC3700:AE3700&lt;&gt;"")*(COLUMN(AC3700:AE3700)-(COLUMN(AC3700)-1))))-1),"")</f>
        <v>46257</v>
      </c>
      <c r="L3700" s="17" t="str">
        <f aca="false" t="array" ref="L3700:L3700">IFERROR(INDEX(AC3700:AE3700,IF(COUNTA(AC3700:AE3700)=0,"",MAX((AC3700:AE3700&lt;&gt;"")*(COLUMN(AC3700:AE3700)-(COLUMN(AC3700)-2))))-1),"")</f>
        <v>ARCHIVED</v>
      </c>
      <c r="M3700" s="13" t="n">
        <f aca="true">K3700-TODAY()</f>
        <v>-67</v>
      </c>
      <c r="N3700" s="50" t="s">
        <v>728</v>
      </c>
      <c r="O3700" s="13" t="s">
        <v>11196</v>
      </c>
      <c r="P3700" s="19" t="n">
        <v>120000</v>
      </c>
      <c r="Q3700" s="20" t="s">
        <v>15092</v>
      </c>
      <c r="R3700" s="13" t="s">
        <v>255</v>
      </c>
      <c r="S3700" s="14" t="n">
        <v>37629</v>
      </c>
      <c r="T3700" s="13" t="s">
        <v>40</v>
      </c>
      <c r="U3700" s="13" t="s">
        <v>15093</v>
      </c>
      <c r="V3700" s="13" t="s">
        <v>42</v>
      </c>
      <c r="W3700" s="13" t="s">
        <v>43</v>
      </c>
      <c r="X3700" s="21" t="n">
        <v>83142472107</v>
      </c>
      <c r="Y3700" s="22" t="str">
        <f aca="false">O3700</f>
        <v>Helper Gudang</v>
      </c>
      <c r="Z3700" s="13" t="str">
        <f aca="false">IFERROR(__xludf.dummyfunction("if(BJ3700="""","""",GOOGLETRANSLATE(BJ3700,""auto"",""en""))"),"Helper Gudang")</f>
        <v>Helper Gudang</v>
      </c>
      <c r="AA3700" s="23" t="str">
        <f aca="false">IF(C3700="","", CHOOSE(MONTH(C3700),"January","February","March","April","May","June","July","August","September","October","November","December")&amp;" "&amp;DAY(C3700)&amp;MID("thstndrdth",MIN(9,2*RIGHT(DAY(C3700))*(MOD(DAY(C3700)-11,100)&gt;2)+1),2)&amp;","&amp;TEXT(C3700," yyyy"))</f>
        <v>May 24th,2026</v>
      </c>
      <c r="AB3700" s="15" t="str">
        <f aca="true">IF(S3700="","",DATEDIF(S3700,TODAY(),"Y")&amp;" Tahun, "&amp;DATEDIF(S3700,TODAY(),"YM")&amp;" Bulan, "&amp;DATEDIF(S3700,TODAY(),"MD")&amp;" Hari")</f>
        <v>23 Tahun, 9 Bulan, 21 Hari</v>
      </c>
      <c r="AC3700" s="46" t="n">
        <v>46166.2916666667</v>
      </c>
      <c r="AD3700" s="18" t="n">
        <f aca="false">EDATE(AC3700,3)-1</f>
        <v>46257</v>
      </c>
      <c r="AE3700" s="13" t="s">
        <v>44</v>
      </c>
    </row>
    <row r="3701" customFormat="false" ht="15" hidden="false" customHeight="true" outlineLevel="0" collapsed="false">
      <c r="A3701" s="12" t="n">
        <v>22321</v>
      </c>
      <c r="B3701" s="13" t="s">
        <v>15094</v>
      </c>
      <c r="C3701" s="16" t="n">
        <v>46175.2916666667</v>
      </c>
      <c r="D3701" s="13" t="s">
        <v>7534</v>
      </c>
      <c r="E3701" s="15" t="s">
        <v>47</v>
      </c>
      <c r="F3701" s="24" t="s">
        <v>15095</v>
      </c>
      <c r="G3701" s="24" t="s">
        <v>57</v>
      </c>
      <c r="H3701" s="13" t="s">
        <v>35</v>
      </c>
      <c r="I3701" s="13" t="str">
        <f aca="false">IF(C3701=J3701,"NEW KONTRAK","RE-KONTRAK")</f>
        <v>NEW KONTRAK</v>
      </c>
      <c r="J3701" s="16" t="n">
        <f aca="false" t="array" ref="J3701:J3701">IFERROR(INDEX(AC3701:AE3701,IF(COUNTA(AC3701:AE3701)=0,"",MAX((AC3701:AE3701&lt;&gt;"")*(COLUMN(AC3701:AE3701)-(COLUMN(AC3701)))))-1),"")</f>
        <v>46175.2916666667</v>
      </c>
      <c r="K3701" s="16" t="n">
        <f aca="false" t="array" ref="K3701:K3701">IFERROR(INDEX(AC3701:AE3701,IF(COUNTA(AC3701:AE3701)=0,"",MAX((AC3701:AE3701&lt;&gt;"")*(COLUMN(AC3701:AE3701)-(COLUMN(AC3701)-1))))-1),"")</f>
        <v>46266</v>
      </c>
      <c r="L3701" s="17" t="str">
        <f aca="false" t="array" ref="L3701:L3701">IFERROR(INDEX(AC3701:AE3701,IF(COUNTA(AC3701:AE3701)=0,"",MAX((AC3701:AE3701&lt;&gt;"")*(COLUMN(AC3701:AE3701)-(COLUMN(AC3701)-2))))-1),"")</f>
        <v>KEMBALI</v>
      </c>
      <c r="M3701" s="13" t="n">
        <f aca="true">K3701-TODAY()</f>
        <v>-58</v>
      </c>
      <c r="N3701" s="18" t="s">
        <v>4735</v>
      </c>
      <c r="O3701" s="13" t="s">
        <v>7536</v>
      </c>
      <c r="P3701" s="19" t="n">
        <v>3553530</v>
      </c>
      <c r="Q3701" s="20" t="s">
        <v>15096</v>
      </c>
      <c r="R3701" s="13" t="s">
        <v>5038</v>
      </c>
      <c r="S3701" s="14" t="n">
        <v>37941</v>
      </c>
      <c r="T3701" s="13" t="s">
        <v>108</v>
      </c>
      <c r="U3701" s="13" t="s">
        <v>15097</v>
      </c>
      <c r="V3701" s="13" t="s">
        <v>42</v>
      </c>
      <c r="W3701" s="13" t="s">
        <v>43</v>
      </c>
      <c r="X3701" s="21" t="n">
        <v>85755501369</v>
      </c>
      <c r="Y3701" s="22" t="str">
        <f aca="false">O3701</f>
        <v>Host Live</v>
      </c>
      <c r="Z3701" s="13" t="str">
        <f aca="false">IFERROR(__xludf.dummyfunction("if(BJ3701="""","""",GOOGLETRANSLATE(BJ3701,""auto"",""en""))"),"Host Live")</f>
        <v>Host Live</v>
      </c>
      <c r="AA3701" s="23" t="str">
        <f aca="false">IF(C3701="","", CHOOSE(MONTH(C3701),"January","February","March","April","May","June","July","August","September","October","November","December")&amp;" "&amp;DAY(C3701)&amp;MID("thstndrdth",MIN(9,2*RIGHT(DAY(C3701))*(MOD(DAY(C3701)-11,100)&gt;2)+1),2)&amp;","&amp;TEXT(C3701," yyyy"))</f>
        <v>June 2nd,2026</v>
      </c>
      <c r="AB3701" s="15" t="str">
        <f aca="true">IF(S3701="","",DATEDIF(S3701,TODAY(),"Y")&amp;" Tahun, "&amp;DATEDIF(S3701,TODAY(),"YM")&amp;" Bulan, "&amp;DATEDIF(S3701,TODAY(),"MD")&amp;" Hari")</f>
        <v>22 Tahun, 11 Bulan, 13 Hari</v>
      </c>
      <c r="AC3701" s="46" t="n">
        <v>46175.2916666667</v>
      </c>
      <c r="AD3701" s="18" t="n">
        <f aca="false">EDATE(AC3701,3)-1</f>
        <v>46266</v>
      </c>
      <c r="AE3701" s="13" t="s">
        <v>397</v>
      </c>
    </row>
    <row r="3702" customFormat="false" ht="15" hidden="false" customHeight="true" outlineLevel="0" collapsed="false">
      <c r="A3702" s="12" t="n">
        <v>15650</v>
      </c>
      <c r="B3702" s="13" t="s">
        <v>15098</v>
      </c>
      <c r="C3702" s="14" t="n">
        <v>45446</v>
      </c>
      <c r="D3702" s="13" t="s">
        <v>1721</v>
      </c>
      <c r="E3702" s="15" t="s">
        <v>47</v>
      </c>
      <c r="F3702" s="15" t="str">
        <f aca="false">IFERROR(__xludf.dummyfunction("XLOOKUP(AJ3702,IMPORTRANGE(""1XaInW9DU9nz21V0tYIfzFQ0He9kVQ_JF2mCXgZ3hqFA"",""REKAP ALL 2026 - Andika!G:G""),IMPORTRANGE(""1XaInW9DU9nz21V0tYIfzFQ0He9kVQ_JF2mCXgZ3hqFA"",""REKAP ALL 2026 - Andika!F:F""),"""",0)"),"24091262766")</f>
        <v>24091262766</v>
      </c>
      <c r="G3702" s="15" t="s">
        <v>15099</v>
      </c>
      <c r="H3702" s="13" t="s">
        <v>35</v>
      </c>
      <c r="I3702" s="13" t="str">
        <f aca="false">IF(C3702=J3702,"NEW KONTRAK","RE-KONTRAK")</f>
        <v>RE-KONTRAK</v>
      </c>
      <c r="J3702" s="16" t="n">
        <f aca="false" t="array" ref="J3702:J3702">IFERROR(INDEX(AC3702:AE3702,IF(COUNTA(AC3702:AE3702)=0,"",MAX((AC3702:AE3702&lt;&gt;"")*(COLUMN(AC3702:AE3702)-(COLUMN(AC3702)))))-1),"")</f>
        <v>45659</v>
      </c>
      <c r="K3702" s="16" t="n">
        <f aca="false" t="array" ref="K3702:K3702">IFERROR(INDEX(AC3702:AE3702,IF(COUNTA(AC3702:AE3702)=0,"",MAX((AC3702:AE3702&lt;&gt;"")*(COLUMN(AC3702:AE3702)-(COLUMN(AC3702)-1))))-1),"")</f>
        <v>46015</v>
      </c>
      <c r="L3702" s="17" t="str">
        <f aca="false" t="array" ref="L3702:L3702">IFERROR(INDEX(AC3702:AE3702,IF(COUNTA(AC3702:AE3702)=0,"",MAX((AC3702:AE3702&lt;&gt;"")*(COLUMN(AC3702:AE3702)-(COLUMN(AC3702)-2))))-1),"")</f>
        <v>ARCHIVED</v>
      </c>
      <c r="M3702" s="13" t="n">
        <f aca="true">K3702-TODAY()</f>
        <v>-309</v>
      </c>
      <c r="N3702" s="18" t="s">
        <v>728</v>
      </c>
      <c r="O3702" s="13" t="s">
        <v>1914</v>
      </c>
      <c r="P3702" s="19" t="n">
        <v>5444909</v>
      </c>
      <c r="Q3702" s="20" t="s">
        <v>15100</v>
      </c>
      <c r="R3702" s="13" t="s">
        <v>52</v>
      </c>
      <c r="S3702" s="14" t="n">
        <v>36395</v>
      </c>
      <c r="T3702" s="13" t="s">
        <v>40</v>
      </c>
      <c r="U3702" s="13" t="s">
        <v>15101</v>
      </c>
      <c r="V3702" s="13" t="s">
        <v>42</v>
      </c>
      <c r="W3702" s="13" t="s">
        <v>43</v>
      </c>
      <c r="X3702" s="21" t="n">
        <v>81359915212</v>
      </c>
      <c r="Y3702" s="22" t="str">
        <f aca="false">O3702</f>
        <v>Im Operator</v>
      </c>
      <c r="Z3702" s="13" t="str">
        <f aca="false">IFERROR(__xludf.dummyfunction("if(BJ3702="""","""",GOOGLETRANSLATE(BJ3702,""auto"",""en""))"),"Im Operator")</f>
        <v>Im Operator</v>
      </c>
      <c r="AA3702" s="23" t="str">
        <f aca="false">IF(C3702="","", CHOOSE(MONTH(C3702),"January","February","March","April","May","June","July","August","September","October","November","December")&amp;" "&amp;DAY(C3702)&amp;MID("thstndrdth",MIN(9,2*RIGHT(DAY(C3702))*(MOD(DAY(C3702)-11,100)&gt;2)+1),2)&amp;","&amp;TEXT(C3702," yyyy"))</f>
        <v>June 3rd,2024</v>
      </c>
      <c r="AB3702" s="15" t="str">
        <f aca="true">IF(S3702="","",DATEDIF(S3702,TODAY(),"Y")&amp;" Tahun, "&amp;DATEDIF(S3702,TODAY(),"YM")&amp;" Bulan, "&amp;DATEDIF(S3702,TODAY(),"MD")&amp;" Hari")</f>
        <v>27 Tahun, 2 Bulan, 6 Hari</v>
      </c>
      <c r="AC3702" s="18" t="n">
        <v>45659</v>
      </c>
      <c r="AD3702" s="18" t="n">
        <v>46015</v>
      </c>
      <c r="AE3702" s="18" t="s">
        <v>44</v>
      </c>
    </row>
    <row r="3703" customFormat="false" ht="15" hidden="false" customHeight="true" outlineLevel="0" collapsed="false">
      <c r="A3703" s="12" t="n">
        <v>22323</v>
      </c>
      <c r="B3703" s="13" t="s">
        <v>15102</v>
      </c>
      <c r="C3703" s="16" t="n">
        <v>46167.2916666667</v>
      </c>
      <c r="D3703" s="13" t="s">
        <v>15103</v>
      </c>
      <c r="E3703" s="15" t="s">
        <v>13820</v>
      </c>
      <c r="F3703" s="24" t="s">
        <v>15104</v>
      </c>
      <c r="G3703" s="24" t="s">
        <v>57</v>
      </c>
      <c r="H3703" s="13" t="s">
        <v>3024</v>
      </c>
      <c r="I3703" s="13" t="str">
        <f aca="false">IF(C3703=J3703,"NEW KONTRAK","RE-KONTRAK")</f>
        <v>NEW KONTRAK</v>
      </c>
      <c r="J3703" s="16" t="n">
        <f aca="false" t="array" ref="J3703:J3703">IFERROR(INDEX(AC3703:AE3703,IF(COUNTA(AC3703:AE3703)=0,"",MAX((AC3703:AE3703&lt;&gt;"")*(COLUMN(AC3703:AE3703)-(COLUMN(AC3703)))))-1),"")</f>
        <v>46167.2916666667</v>
      </c>
      <c r="K3703" s="16" t="n">
        <f aca="false" t="array" ref="K3703:K3703">IFERROR(INDEX(AC3703:AE3703,IF(COUNTA(AC3703:AE3703)=0,"",MAX((AC3703:AE3703&lt;&gt;"")*(COLUMN(AC3703:AE3703)-(COLUMN(AC3703)-1))))-1),"")</f>
        <v>46258</v>
      </c>
      <c r="L3703" s="17" t="str">
        <f aca="false" t="array" ref="L3703:L3703">IFERROR(INDEX(AC3703:AE3703,IF(COUNTA(AC3703:AE3703)=0,"",MAX((AC3703:AE3703&lt;&gt;"")*(COLUMN(AC3703:AE3703)-(COLUMN(AC3703)-2))))-1),"")</f>
        <v>KEMBALI ONLINE</v>
      </c>
      <c r="M3703" s="13" t="n">
        <f aca="true">K3703-TODAY()</f>
        <v>-66</v>
      </c>
      <c r="N3703" s="18" t="s">
        <v>615</v>
      </c>
      <c r="O3703" s="13" t="s">
        <v>58</v>
      </c>
      <c r="P3703" s="19" t="n">
        <v>112500</v>
      </c>
      <c r="Q3703" s="20" t="s">
        <v>15105</v>
      </c>
      <c r="R3703" s="13" t="s">
        <v>52</v>
      </c>
      <c r="S3703" s="14" t="n">
        <v>35265</v>
      </c>
      <c r="T3703" s="13" t="s">
        <v>40</v>
      </c>
      <c r="U3703" s="13" t="s">
        <v>15106</v>
      </c>
      <c r="V3703" s="13" t="s">
        <v>42</v>
      </c>
      <c r="W3703" s="13" t="s">
        <v>43</v>
      </c>
      <c r="X3703" s="21" t="n">
        <v>85707777155</v>
      </c>
      <c r="Y3703" s="22" t="str">
        <f aca="false">O3703</f>
        <v>Produksi</v>
      </c>
      <c r="Z3703" s="13" t="str">
        <f aca="false">IFERROR(__xludf.dummyfunction("if(BJ3703="""","""",GOOGLETRANSLATE(BJ3703,""auto"",""en""))"),"Production")</f>
        <v>Production</v>
      </c>
      <c r="AA3703" s="23" t="str">
        <f aca="false">IF(C3703="","", CHOOSE(MONTH(C3703),"January","February","March","April","May","June","July","August","September","October","November","December")&amp;" "&amp;DAY(C3703)&amp;MID("thstndrdth",MIN(9,2*RIGHT(DAY(C3703))*(MOD(DAY(C3703)-11,100)&gt;2)+1),2)&amp;","&amp;TEXT(C3703," yyyy"))</f>
        <v>May 25th,2026</v>
      </c>
      <c r="AB3703" s="15" t="str">
        <f aca="true">IF(S3703="","",DATEDIF(S3703,TODAY(),"Y")&amp;" Tahun, "&amp;DATEDIF(S3703,TODAY(),"YM")&amp;" Bulan, "&amp;DATEDIF(S3703,TODAY(),"MD")&amp;" Hari")</f>
        <v>30 Tahun, 3 Bulan, 10 Hari</v>
      </c>
      <c r="AC3703" s="46" t="n">
        <v>46167.2916666667</v>
      </c>
      <c r="AD3703" s="14" t="n">
        <f aca="false">EDATE(AC3703,3)-1</f>
        <v>46258</v>
      </c>
      <c r="AE3703" s="13" t="s">
        <v>2387</v>
      </c>
    </row>
    <row r="3704" customFormat="false" ht="15" hidden="false" customHeight="true" outlineLevel="0" collapsed="false">
      <c r="A3704" s="12" t="n">
        <v>22324</v>
      </c>
      <c r="B3704" s="13" t="s">
        <v>15107</v>
      </c>
      <c r="C3704" s="16" t="n">
        <v>46178.2916666667</v>
      </c>
      <c r="D3704" s="13" t="s">
        <v>5892</v>
      </c>
      <c r="E3704" s="15" t="s">
        <v>47</v>
      </c>
      <c r="F3704" s="24" t="s">
        <v>15108</v>
      </c>
      <c r="G3704" s="24" t="s">
        <v>57</v>
      </c>
      <c r="H3704" s="13" t="s">
        <v>35</v>
      </c>
      <c r="I3704" s="13" t="str">
        <f aca="false">IF(C3704=J3704,"NEW KONTRAK","RE-KONTRAK")</f>
        <v>NEW KONTRAK</v>
      </c>
      <c r="J3704" s="16" t="n">
        <f aca="false" t="array" ref="J3704:J3704">IFERROR(INDEX(AC3704:AE3704,IF(COUNTA(AC3704:AE3704)=0,"",MAX((AC3704:AE3704&lt;&gt;"")*(COLUMN(AC3704:AE3704)-(COLUMN(AC3704)))))-1),"")</f>
        <v>46178.2916666667</v>
      </c>
      <c r="K3704" s="16" t="n">
        <f aca="false" t="array" ref="K3704:K3704">IFERROR(INDEX(AC3704:AE3704,IF(COUNTA(AC3704:AE3704)=0,"",MAX((AC3704:AE3704&lt;&gt;"")*(COLUMN(AC3704:AE3704)-(COLUMN(AC3704)-1))))-1),"")</f>
        <v>46304</v>
      </c>
      <c r="L3704" s="17" t="str">
        <f aca="false" t="array" ref="L3704:L3704">IFERROR(INDEX(AC3704:AE3704,IF(COUNTA(AC3704:AE3704)=0,"",MAX((AC3704:AE3704&lt;&gt;"")*(COLUMN(AC3704:AE3704)-(COLUMN(AC3704)-2))))-1),"")</f>
        <v>KEMBALI</v>
      </c>
      <c r="M3704" s="13" t="n">
        <f aca="true">K3704-TODAY()</f>
        <v>-20</v>
      </c>
      <c r="N3704" s="18" t="s">
        <v>105</v>
      </c>
      <c r="O3704" s="13" t="s">
        <v>8482</v>
      </c>
      <c r="P3704" s="121" t="n">
        <v>3500000</v>
      </c>
      <c r="Q3704" s="20" t="s">
        <v>15109</v>
      </c>
      <c r="R3704" s="13" t="s">
        <v>52</v>
      </c>
      <c r="S3704" s="14" t="n">
        <v>38843</v>
      </c>
      <c r="T3704" s="13" t="s">
        <v>108</v>
      </c>
      <c r="U3704" s="13" t="s">
        <v>15110</v>
      </c>
      <c r="V3704" s="13" t="s">
        <v>42</v>
      </c>
      <c r="W3704" s="13" t="s">
        <v>43</v>
      </c>
      <c r="X3704" s="21" t="n">
        <v>83134568023</v>
      </c>
      <c r="Y3704" s="22" t="str">
        <f aca="false">O3704</f>
        <v>Admin Staff</v>
      </c>
      <c r="Z3704" s="13" t="str">
        <f aca="false">IFERROR(__xludf.dummyfunction("if(BJ3704="""","""",GOOGLETRANSLATE(BJ3704,""auto"",""en""))"),"Admin Staff")</f>
        <v>Admin Staff</v>
      </c>
      <c r="AA3704" s="23" t="str">
        <f aca="false">IF(C3704="","", CHOOSE(MONTH(C3704),"January","February","March","April","May","June","July","August","September","October","November","December")&amp;" "&amp;DAY(C3704)&amp;MID("thstndrdth",MIN(9,2*RIGHT(DAY(C3704))*(MOD(DAY(C3704)-11,100)&gt;2)+1),2)&amp;","&amp;TEXT(C3704," yyyy"))</f>
        <v>June 5th,2026</v>
      </c>
      <c r="AB3704" s="15" t="str">
        <f aca="true">IF(S3704="","",DATEDIF(S3704,TODAY(),"Y")&amp;" Tahun, "&amp;DATEDIF(S3704,TODAY(),"YM")&amp;" Bulan, "&amp;DATEDIF(S3704,TODAY(),"MD")&amp;" Hari")</f>
        <v>20 Tahun, 5 Bulan, 23 Hari</v>
      </c>
      <c r="AC3704" s="46" t="n">
        <v>46178.2916666667</v>
      </c>
      <c r="AD3704" s="18" t="n">
        <v>46304</v>
      </c>
      <c r="AE3704" s="13" t="s">
        <v>397</v>
      </c>
    </row>
    <row r="3705" customFormat="false" ht="15" hidden="false" customHeight="true" outlineLevel="0" collapsed="false">
      <c r="A3705" s="12" t="n">
        <v>22325</v>
      </c>
      <c r="B3705" s="13" t="s">
        <v>15111</v>
      </c>
      <c r="C3705" s="16" t="n">
        <v>46155.2916666667</v>
      </c>
      <c r="D3705" s="13" t="s">
        <v>7310</v>
      </c>
      <c r="E3705" s="15" t="s">
        <v>4614</v>
      </c>
      <c r="F3705" s="24" t="s">
        <v>15112</v>
      </c>
      <c r="G3705" s="13" t="s">
        <v>1127</v>
      </c>
      <c r="H3705" s="13" t="s">
        <v>35</v>
      </c>
      <c r="I3705" s="13" t="str">
        <f aca="false">IF(C3705=J3705,"NEW KONTRAK","RE-KONTRAK")</f>
        <v>NEW KONTRAK</v>
      </c>
      <c r="J3705" s="16" t="n">
        <f aca="false" t="array" ref="J3705:J3705">IFERROR(INDEX(AC3705:AE3705,IF(COUNTA(AC3705:AE3705)=0,"",MAX((AC3705:AE3705&lt;&gt;"")*(COLUMN(AC3705:AE3705)-(COLUMN(AC3705)))))-1),"")</f>
        <v>46155.2916666667</v>
      </c>
      <c r="K3705" s="16" t="n">
        <f aca="false" t="array" ref="K3705:K3705">IFERROR(INDEX(AC3705:AE3705,IF(COUNTA(AC3705:AE3705)=0,"",MAX((AC3705:AE3705&lt;&gt;"")*(COLUMN(AC3705:AE3705)-(COLUMN(AC3705)-1))))-1),"")</f>
        <v>46267</v>
      </c>
      <c r="L3705" s="17" t="str">
        <f aca="false" t="array" ref="L3705:L3705">IFERROR(INDEX(AC3705:AE3705,IF(COUNTA(AC3705:AE3705)=0,"",MAX((AC3705:AE3705&lt;&gt;"")*(COLUMN(AC3705:AE3705)-(COLUMN(AC3705)-2))))-1),"")</f>
        <v>ARCHIVED</v>
      </c>
      <c r="M3705" s="13" t="n">
        <f aca="true">K3705-TODAY()</f>
        <v>-57</v>
      </c>
      <c r="N3705" s="18" t="s">
        <v>615</v>
      </c>
      <c r="O3705" s="13" t="s">
        <v>7611</v>
      </c>
      <c r="P3705" s="19" t="n">
        <v>2550274</v>
      </c>
      <c r="Q3705" s="20" t="s">
        <v>15113</v>
      </c>
      <c r="R3705" s="13" t="s">
        <v>227</v>
      </c>
      <c r="S3705" s="14" t="n">
        <v>39176</v>
      </c>
      <c r="T3705" s="13" t="s">
        <v>40</v>
      </c>
      <c r="U3705" s="13" t="s">
        <v>15114</v>
      </c>
      <c r="V3705" s="13" t="s">
        <v>42</v>
      </c>
      <c r="W3705" s="13" t="s">
        <v>43</v>
      </c>
      <c r="X3705" s="21" t="n">
        <v>895625438989</v>
      </c>
      <c r="Y3705" s="22" t="str">
        <f aca="false">O3705</f>
        <v>Helper Kernet</v>
      </c>
      <c r="Z3705" s="13" t="str">
        <f aca="false">IFERROR(__xludf.dummyfunction("if(BJ3705="""","""",GOOGLETRANSLATE(BJ3705,""auto"",""en""))"),"Helper Kernet")</f>
        <v>Helper Kernet</v>
      </c>
      <c r="AA3705" s="23" t="str">
        <f aca="false">IF(C3705="","", CHOOSE(MONTH(C3705),"January","February","March","April","May","June","July","August","September","October","November","December")&amp;" "&amp;DAY(C3705)&amp;MID("thstndrdth",MIN(9,2*RIGHT(DAY(C3705))*(MOD(DAY(C3705)-11,100)&gt;2)+1),2)&amp;","&amp;TEXT(C3705," yyyy"))</f>
        <v>May 13th,2026</v>
      </c>
      <c r="AB3705" s="15" t="str">
        <f aca="true">IF(S3705="","",DATEDIF(S3705,TODAY(),"Y")&amp;" Tahun, "&amp;DATEDIF(S3705,TODAY(),"YM")&amp;" Bulan, "&amp;DATEDIF(S3705,TODAY(),"MD")&amp;" Hari")</f>
        <v>19 Tahun, 6 Bulan, 25 Hari</v>
      </c>
      <c r="AC3705" s="46" t="n">
        <v>46155.2916666667</v>
      </c>
      <c r="AD3705" s="18" t="n">
        <v>46267</v>
      </c>
      <c r="AE3705" s="13" t="s">
        <v>44</v>
      </c>
    </row>
    <row r="3706" customFormat="false" ht="15" hidden="false" customHeight="true" outlineLevel="0" collapsed="false">
      <c r="A3706" s="12" t="n">
        <v>22326</v>
      </c>
      <c r="B3706" s="13" t="s">
        <v>15115</v>
      </c>
      <c r="C3706" s="16" t="n">
        <v>46155.2916666667</v>
      </c>
      <c r="D3706" s="13" t="s">
        <v>7310</v>
      </c>
      <c r="E3706" s="15" t="s">
        <v>4614</v>
      </c>
      <c r="F3706" s="24" t="s">
        <v>15116</v>
      </c>
      <c r="G3706" s="13" t="s">
        <v>1127</v>
      </c>
      <c r="H3706" s="13" t="s">
        <v>35</v>
      </c>
      <c r="I3706" s="13" t="str">
        <f aca="false">IF(C3706=J3706,"NEW KONTRAK","RE-KONTRAK")</f>
        <v>NEW KONTRAK</v>
      </c>
      <c r="J3706" s="16" t="n">
        <f aca="false" t="array" ref="J3706:J3706">IFERROR(INDEX(AC3706:AE3706,IF(COUNTA(AC3706:AE3706)=0,"",MAX((AC3706:AE3706&lt;&gt;"")*(COLUMN(AC3706:AE3706)-(COLUMN(AC3706)))))-1),"")</f>
        <v>46155.2916666667</v>
      </c>
      <c r="K3706" s="16" t="n">
        <f aca="false" t="array" ref="K3706:K3706">IFERROR(INDEX(AC3706:AE3706,IF(COUNTA(AC3706:AE3706)=0,"",MAX((AC3706:AE3706&lt;&gt;"")*(COLUMN(AC3706:AE3706)-(COLUMN(AC3706)-1))))-1),"")</f>
        <v>46267</v>
      </c>
      <c r="L3706" s="17" t="str">
        <f aca="false" t="array" ref="L3706:L3706">IFERROR(INDEX(AC3706:AE3706,IF(COUNTA(AC3706:AE3706)=0,"",MAX((AC3706:AE3706&lt;&gt;"")*(COLUMN(AC3706:AE3706)-(COLUMN(AC3706)-2))))-1),"")</f>
        <v>ARCHIVED</v>
      </c>
      <c r="M3706" s="13" t="n">
        <f aca="true">K3706-TODAY()</f>
        <v>-57</v>
      </c>
      <c r="N3706" s="18" t="s">
        <v>615</v>
      </c>
      <c r="O3706" s="13" t="s">
        <v>7611</v>
      </c>
      <c r="P3706" s="19" t="n">
        <v>2550274</v>
      </c>
      <c r="Q3706" s="20" t="s">
        <v>15117</v>
      </c>
      <c r="R3706" s="13" t="s">
        <v>5340</v>
      </c>
      <c r="S3706" s="14" t="n">
        <v>36935</v>
      </c>
      <c r="T3706" s="13" t="s">
        <v>40</v>
      </c>
      <c r="U3706" s="13" t="s">
        <v>15118</v>
      </c>
      <c r="V3706" s="13" t="s">
        <v>42</v>
      </c>
      <c r="W3706" s="13" t="s">
        <v>43</v>
      </c>
      <c r="X3706" s="67" t="s">
        <v>15119</v>
      </c>
      <c r="Y3706" s="22" t="str">
        <f aca="false">O3706</f>
        <v>Helper Kernet</v>
      </c>
      <c r="Z3706" s="13" t="str">
        <f aca="false">IFERROR(__xludf.dummyfunction("if(BJ3706="""","""",GOOGLETRANSLATE(BJ3706,""auto"",""en""))"),"Helper Kernet")</f>
        <v>Helper Kernet</v>
      </c>
      <c r="AA3706" s="23" t="str">
        <f aca="false">IF(C3706="","", CHOOSE(MONTH(C3706),"January","February","March","April","May","June","July","August","September","October","November","December")&amp;" "&amp;DAY(C3706)&amp;MID("thstndrdth",MIN(9,2*RIGHT(DAY(C3706))*(MOD(DAY(C3706)-11,100)&gt;2)+1),2)&amp;","&amp;TEXT(C3706," yyyy"))</f>
        <v>May 13th,2026</v>
      </c>
      <c r="AB3706" s="15" t="str">
        <f aca="true">IF(S3706="","",DATEDIF(S3706,TODAY(),"Y")&amp;" Tahun, "&amp;DATEDIF(S3706,TODAY(),"YM")&amp;" Bulan, "&amp;DATEDIF(S3706,TODAY(),"MD")&amp;" Hari")</f>
        <v>25 Tahun, 8 Bulan, 16 Hari</v>
      </c>
      <c r="AC3706" s="46" t="n">
        <v>46155.2916666667</v>
      </c>
      <c r="AD3706" s="18" t="n">
        <v>46267</v>
      </c>
      <c r="AE3706" s="13" t="s">
        <v>44</v>
      </c>
    </row>
    <row r="3707" customFormat="false" ht="15" hidden="false" customHeight="true" outlineLevel="0" collapsed="false">
      <c r="A3707" s="12" t="n">
        <v>22327</v>
      </c>
      <c r="B3707" s="13" t="s">
        <v>15120</v>
      </c>
      <c r="C3707" s="16" t="n">
        <v>46175</v>
      </c>
      <c r="D3707" s="13" t="s">
        <v>7534</v>
      </c>
      <c r="E3707" s="15" t="s">
        <v>47</v>
      </c>
      <c r="F3707" s="24" t="s">
        <v>15121</v>
      </c>
      <c r="G3707" s="24" t="s">
        <v>57</v>
      </c>
      <c r="H3707" s="13" t="s">
        <v>35</v>
      </c>
      <c r="I3707" s="13" t="str">
        <f aca="false">IF(C3707=J3707,"NEW KONTRAK","RE-KONTRAK")</f>
        <v>NEW KONTRAK</v>
      </c>
      <c r="J3707" s="16" t="n">
        <f aca="false" t="array" ref="J3707:J3707">IFERROR(INDEX(AC3707:AE3707,IF(COUNTA(AC3707:AE3707)=0,"",MAX((AC3707:AE3707&lt;&gt;"")*(COLUMN(AC3707:AE3707)-(COLUMN(AC3707)))))-1),"")</f>
        <v>46175</v>
      </c>
      <c r="K3707" s="16" t="n">
        <f aca="false" t="array" ref="K3707:K3707">IFERROR(INDEX(AC3707:AE3707,IF(COUNTA(AC3707:AE3707)=0,"",MAX((AC3707:AE3707&lt;&gt;"")*(COLUMN(AC3707:AE3707)-(COLUMN(AC3707)-1))))-1),"")</f>
        <v>46266</v>
      </c>
      <c r="L3707" s="17" t="str">
        <f aca="false" t="array" ref="L3707:L3707">IFERROR(INDEX(AC3707:AE3707,IF(COUNTA(AC3707:AE3707)=0,"",MAX((AC3707:AE3707&lt;&gt;"")*(COLUMN(AC3707:AE3707)-(COLUMN(AC3707)-2))))-1),"")</f>
        <v>KEMBALI</v>
      </c>
      <c r="M3707" s="13" t="n">
        <f aca="true">K3707-TODAY()</f>
        <v>-58</v>
      </c>
      <c r="N3707" s="18" t="s">
        <v>4735</v>
      </c>
      <c r="O3707" s="13" t="s">
        <v>7536</v>
      </c>
      <c r="P3707" s="19" t="n">
        <v>3553530</v>
      </c>
      <c r="Q3707" s="20" t="s">
        <v>15122</v>
      </c>
      <c r="R3707" s="13" t="s">
        <v>83</v>
      </c>
      <c r="S3707" s="14" t="n">
        <v>37437</v>
      </c>
      <c r="T3707" s="13" t="s">
        <v>108</v>
      </c>
      <c r="U3707" s="13" t="s">
        <v>15123</v>
      </c>
      <c r="V3707" s="13" t="s">
        <v>42</v>
      </c>
      <c r="W3707" s="13" t="s">
        <v>43</v>
      </c>
      <c r="X3707" s="21" t="n">
        <v>895395335043</v>
      </c>
      <c r="Y3707" s="22" t="str">
        <f aca="false">O3707</f>
        <v>Host Live</v>
      </c>
      <c r="Z3707" s="13" t="str">
        <f aca="false">IFERROR(__xludf.dummyfunction("if(BJ3707="""","""",GOOGLETRANSLATE(BJ3707,""auto"",""en""))"),"Host Live")</f>
        <v>Host Live</v>
      </c>
      <c r="AA3707" s="23" t="str">
        <f aca="false">IF(C3707="","", CHOOSE(MONTH(C3707),"January","February","March","April","May","June","July","August","September","October","November","December")&amp;" "&amp;DAY(C3707)&amp;MID("thstndrdth",MIN(9,2*RIGHT(DAY(C3707))*(MOD(DAY(C3707)-11,100)&gt;2)+1),2)&amp;","&amp;TEXT(C3707," yyyy"))</f>
        <v>June 2nd,2026</v>
      </c>
      <c r="AB3707" s="15" t="str">
        <f aca="true">IF(S3707="","",DATEDIF(S3707,TODAY(),"Y")&amp;" Tahun, "&amp;DATEDIF(S3707,TODAY(),"YM")&amp;" Bulan, "&amp;DATEDIF(S3707,TODAY(),"MD")&amp;" Hari")</f>
        <v>24 Tahun, 3 Bulan, 29 Hari</v>
      </c>
      <c r="AC3707" s="17" t="n">
        <v>46175</v>
      </c>
      <c r="AD3707" s="18" t="n">
        <f aca="false">EDATE(AC3707,3)-1</f>
        <v>46266</v>
      </c>
      <c r="AE3707" s="13" t="s">
        <v>397</v>
      </c>
    </row>
    <row r="3708" customFormat="false" ht="15" hidden="false" customHeight="true" outlineLevel="0" collapsed="false">
      <c r="A3708" s="12" t="n">
        <v>22328</v>
      </c>
      <c r="B3708" s="13" t="s">
        <v>15124</v>
      </c>
      <c r="C3708" s="16" t="n">
        <v>46233</v>
      </c>
      <c r="D3708" s="13" t="s">
        <v>11257</v>
      </c>
      <c r="E3708" s="15" t="s">
        <v>7949</v>
      </c>
      <c r="F3708" s="24" t="s">
        <v>15125</v>
      </c>
      <c r="G3708" s="24" t="s">
        <v>57</v>
      </c>
      <c r="H3708" s="13" t="s">
        <v>3024</v>
      </c>
      <c r="I3708" s="13" t="str">
        <f aca="false">IF(C3708=J3708,"NEW KONTRAK","RE-KONTRAK")</f>
        <v>RE-KONTRAK</v>
      </c>
      <c r="J3708" s="16" t="n">
        <f aca="false" t="array" ref="J3708:J3708">IFERROR(INDEX(AC3708:AE3708,IF(COUNTA(AC3708:AE3708)=0,"",MAX((AC3708:AE3708&lt;&gt;"")*(COLUMN(AC3708:AE3708)-(COLUMN(AC3708)))))-1),"")</f>
        <v>46144</v>
      </c>
      <c r="K3708" s="16" t="n">
        <f aca="false" t="array" ref="K3708:K3708">IFERROR(INDEX(AC3708:AE3708,IF(COUNTA(AC3708:AE3708)=0,"",MAX((AC3708:AE3708&lt;&gt;"")*(COLUMN(AC3708:AE3708)-(COLUMN(AC3708)-1))))-1),"")</f>
        <v>46204</v>
      </c>
      <c r="L3708" s="17" t="str">
        <f aca="false" t="array" ref="L3708:L3708">IFERROR(INDEX(AC3708:AE3708,IF(COUNTA(AC3708:AE3708)=0,"",MAX((AC3708:AE3708&lt;&gt;"")*(COLUMN(AC3708:AE3708)-(COLUMN(AC3708)-2))))-1),"")</f>
        <v>KEMBALI</v>
      </c>
      <c r="M3708" s="13" t="n">
        <f aca="true">K3708-TODAY()</f>
        <v>-120</v>
      </c>
      <c r="N3708" s="18" t="s">
        <v>728</v>
      </c>
      <c r="O3708" s="19" t="s">
        <v>3271</v>
      </c>
      <c r="P3708" s="19" t="n">
        <v>211551</v>
      </c>
      <c r="Q3708" s="20" t="s">
        <v>15126</v>
      </c>
      <c r="R3708" s="13" t="s">
        <v>232</v>
      </c>
      <c r="S3708" s="14" t="n">
        <v>37787</v>
      </c>
      <c r="T3708" s="28" t="s">
        <v>40</v>
      </c>
      <c r="U3708" s="13" t="s">
        <v>15127</v>
      </c>
      <c r="V3708" s="13" t="s">
        <v>42</v>
      </c>
      <c r="W3708" s="13" t="s">
        <v>43</v>
      </c>
      <c r="X3708" s="30" t="n">
        <v>81113361386</v>
      </c>
      <c r="Y3708" s="22" t="str">
        <f aca="false">O3708</f>
        <v>Helper</v>
      </c>
      <c r="Z3708" s="13" t="str">
        <f aca="false">IFERROR(__xludf.dummyfunction("if(BJ3708="""","""",GOOGLETRANSLATE(BJ3708,""auto"",""en""))"),"Helper")</f>
        <v>Helper</v>
      </c>
      <c r="AA3708" s="23" t="str">
        <f aca="false">IF(C3708="","", CHOOSE(MONTH(C3708),"January","February","March","April","May","June","July","August","September","October","November","December")&amp;" "&amp;DAY(C3708)&amp;MID("thstndrdth",MIN(9,2*RIGHT(DAY(C3708))*(MOD(DAY(C3708)-11,100)&gt;2)+1),2)&amp;","&amp;TEXT(C3708," yyyy"))</f>
        <v>July 30th,2026</v>
      </c>
      <c r="AB3708" s="15" t="str">
        <f aca="true">IF(S3708="","",DATEDIF(S3708,TODAY(),"Y")&amp;" Tahun, "&amp;DATEDIF(S3708,TODAY(),"YM")&amp;" Bulan, "&amp;DATEDIF(S3708,TODAY(),"MD")&amp;" Hari")</f>
        <v>23 Tahun, 4 Bulan, 14 Hari</v>
      </c>
      <c r="AC3708" s="17" t="n">
        <v>46144</v>
      </c>
      <c r="AD3708" s="18" t="n">
        <v>46204</v>
      </c>
      <c r="AE3708" s="13" t="s">
        <v>397</v>
      </c>
    </row>
    <row r="3709" customFormat="false" ht="15" hidden="false" customHeight="true" outlineLevel="0" collapsed="false">
      <c r="A3709" s="12" t="n">
        <v>22329</v>
      </c>
      <c r="B3709" s="13" t="s">
        <v>15128</v>
      </c>
      <c r="C3709" s="16" t="n">
        <v>46233</v>
      </c>
      <c r="D3709" s="13" t="s">
        <v>11257</v>
      </c>
      <c r="E3709" s="15" t="s">
        <v>102</v>
      </c>
      <c r="F3709" s="24" t="s">
        <v>15129</v>
      </c>
      <c r="G3709" s="24" t="s">
        <v>57</v>
      </c>
      <c r="H3709" s="13" t="s">
        <v>3024</v>
      </c>
      <c r="I3709" s="13" t="str">
        <f aca="false">IF(C3709=J3709,"NEW KONTRAK","RE-KONTRAK")</f>
        <v>RE-KONTRAK</v>
      </c>
      <c r="J3709" s="16" t="n">
        <f aca="false" t="array" ref="J3709:J3709">IFERROR(INDEX(AC3709:AE3709,IF(COUNTA(AC3709:AE3709)=0,"",MAX((AC3709:AE3709&lt;&gt;"")*(COLUMN(AC3709:AE3709)-(COLUMN(AC3709)))))-1),"")</f>
        <v>46144</v>
      </c>
      <c r="K3709" s="16" t="n">
        <f aca="false" t="array" ref="K3709:K3709">IFERROR(INDEX(AC3709:AE3709,IF(COUNTA(AC3709:AE3709)=0,"",MAX((AC3709:AE3709&lt;&gt;"")*(COLUMN(AC3709:AE3709)-(COLUMN(AC3709)-1))))-1),"")</f>
        <v>46204</v>
      </c>
      <c r="L3709" s="17" t="str">
        <f aca="false" t="array" ref="L3709:L3709">IFERROR(INDEX(AC3709:AE3709,IF(COUNTA(AC3709:AE3709)=0,"",MAX((AC3709:AE3709&lt;&gt;"")*(COLUMN(AC3709:AE3709)-(COLUMN(AC3709)-2))))-1),"")</f>
        <v>KEMBALI</v>
      </c>
      <c r="M3709" s="13" t="n">
        <f aca="true">K3709-TODAY()</f>
        <v>-120</v>
      </c>
      <c r="N3709" s="18" t="s">
        <v>728</v>
      </c>
      <c r="O3709" s="19" t="s">
        <v>3271</v>
      </c>
      <c r="P3709" s="19" t="n">
        <v>211551</v>
      </c>
      <c r="Q3709" s="20" t="s">
        <v>15130</v>
      </c>
      <c r="R3709" s="13" t="s">
        <v>60</v>
      </c>
      <c r="S3709" s="14" t="n">
        <v>39421</v>
      </c>
      <c r="T3709" s="28" t="s">
        <v>40</v>
      </c>
      <c r="U3709" s="13" t="s">
        <v>15131</v>
      </c>
      <c r="V3709" s="13" t="s">
        <v>42</v>
      </c>
      <c r="W3709" s="13" t="s">
        <v>43</v>
      </c>
      <c r="X3709" s="30" t="n">
        <v>81320750110</v>
      </c>
      <c r="Y3709" s="22" t="str">
        <f aca="false">O3709</f>
        <v>Helper</v>
      </c>
      <c r="Z3709" s="13" t="str">
        <f aca="false">IFERROR(__xludf.dummyfunction("if(BJ3709="""","""",GOOGLETRANSLATE(BJ3709,""auto"",""en""))"),"Helper")</f>
        <v>Helper</v>
      </c>
      <c r="AA3709" s="23" t="str">
        <f aca="false">IF(C3709="","", CHOOSE(MONTH(C3709),"January","February","March","April","May","June","July","August","September","October","November","December")&amp;" "&amp;DAY(C3709)&amp;MID("thstndrdth",MIN(9,2*RIGHT(DAY(C3709))*(MOD(DAY(C3709)-11,100)&gt;2)+1),2)&amp;","&amp;TEXT(C3709," yyyy"))</f>
        <v>July 30th,2026</v>
      </c>
      <c r="AB3709" s="15" t="str">
        <f aca="true">IF(S3709="","",DATEDIF(S3709,TODAY(),"Y")&amp;" Tahun, "&amp;DATEDIF(S3709,TODAY(),"YM")&amp;" Bulan, "&amp;DATEDIF(S3709,TODAY(),"MD")&amp;" Hari")</f>
        <v>18 Tahun, 10 Bulan, 24 Hari</v>
      </c>
      <c r="AC3709" s="17" t="n">
        <v>46144</v>
      </c>
      <c r="AD3709" s="18" t="n">
        <v>46204</v>
      </c>
      <c r="AE3709" s="13" t="s">
        <v>397</v>
      </c>
    </row>
    <row r="3710" customFormat="false" ht="15" hidden="false" customHeight="true" outlineLevel="0" collapsed="false">
      <c r="A3710" s="12" t="n">
        <v>22330</v>
      </c>
      <c r="B3710" s="13" t="s">
        <v>15132</v>
      </c>
      <c r="C3710" s="16" t="n">
        <v>46175</v>
      </c>
      <c r="D3710" s="13" t="s">
        <v>15133</v>
      </c>
      <c r="E3710" s="15" t="s">
        <v>102</v>
      </c>
      <c r="F3710" s="24" t="s">
        <v>15134</v>
      </c>
      <c r="G3710" s="24" t="s">
        <v>57</v>
      </c>
      <c r="H3710" s="13" t="s">
        <v>35</v>
      </c>
      <c r="I3710" s="13" t="str">
        <f aca="false">IF(C3710=J3710,"NEW KONTRAK","RE-KONTRAK")</f>
        <v>NEW KONTRAK</v>
      </c>
      <c r="J3710" s="16" t="n">
        <f aca="false" t="array" ref="J3710:J3710">IFERROR(INDEX(AC3710:AE3710,IF(COUNTA(AC3710:AE3710)=0,"",MAX((AC3710:AE3710&lt;&gt;"")*(COLUMN(AC3710:AE3710)-(COLUMN(AC3710)))))-1),"")</f>
        <v>46175</v>
      </c>
      <c r="K3710" s="16" t="n">
        <f aca="false" t="array" ref="K3710:K3710">IFERROR(INDEX(AC3710:AE3710,IF(COUNTA(AC3710:AE3710)=0,"",MAX((AC3710:AE3710&lt;&gt;"")*(COLUMN(AC3710:AE3710)-(COLUMN(AC3710)-1))))-1),"")</f>
        <v>46539</v>
      </c>
      <c r="L3710" s="17" t="str">
        <f aca="false" t="array" ref="L3710:L3710">IFERROR(INDEX(AC3710:AE3710,IF(COUNTA(AC3710:AE3710)=0,"",MAX((AC3710:AE3710&lt;&gt;"")*(COLUMN(AC3710:AE3710)-(COLUMN(AC3710)-2))))-1),"")</f>
        <v>KEMBALI</v>
      </c>
      <c r="M3710" s="13" t="n">
        <f aca="true">K3710-TODAY()</f>
        <v>215</v>
      </c>
      <c r="N3710" s="18" t="s">
        <v>105</v>
      </c>
      <c r="O3710" s="13" t="s">
        <v>15135</v>
      </c>
      <c r="P3710" s="19" t="n">
        <v>5191541</v>
      </c>
      <c r="Q3710" s="20" t="s">
        <v>15136</v>
      </c>
      <c r="R3710" s="13" t="s">
        <v>83</v>
      </c>
      <c r="S3710" s="14" t="n">
        <v>35612</v>
      </c>
      <c r="T3710" s="28" t="s">
        <v>40</v>
      </c>
      <c r="U3710" s="13" t="s">
        <v>15137</v>
      </c>
      <c r="V3710" s="13" t="s">
        <v>42</v>
      </c>
      <c r="W3710" s="13" t="s">
        <v>54</v>
      </c>
      <c r="X3710" s="21" t="n">
        <v>81233448970</v>
      </c>
      <c r="Y3710" s="22" t="str">
        <f aca="false">O3710</f>
        <v>Admin Gudang Teknik</v>
      </c>
      <c r="Z3710" s="13" t="str">
        <f aca="false">IFERROR(__xludf.dummyfunction("if(BJ3710="""","""",GOOGLETRANSLATE(BJ3710,""auto"",""en""))"),"Engineering Warehouse Admin")</f>
        <v>Engineering Warehouse Admin</v>
      </c>
      <c r="AA3710" s="23" t="str">
        <f aca="false">IF(C3710="","", CHOOSE(MONTH(C3710),"January","February","March","April","May","June","July","August","September","October","November","December")&amp;" "&amp;DAY(C3710)&amp;MID("thstndrdth",MIN(9,2*RIGHT(DAY(C3710))*(MOD(DAY(C3710)-11,100)&gt;2)+1),2)&amp;","&amp;TEXT(C3710," yyyy"))</f>
        <v>June 2nd,2026</v>
      </c>
      <c r="AB3710" s="15" t="str">
        <f aca="true">IF(S3710="","",DATEDIF(S3710,TODAY(),"Y")&amp;" Tahun, "&amp;DATEDIF(S3710,TODAY(),"YM")&amp;" Bulan, "&amp;DATEDIF(S3710,TODAY(),"MD")&amp;" Hari")</f>
        <v>29 Tahun, 3 Bulan, 28 Hari</v>
      </c>
      <c r="AC3710" s="17" t="n">
        <v>46175</v>
      </c>
      <c r="AD3710" s="18" t="n">
        <f aca="false">EDATE(AC3710,12)-1</f>
        <v>46539</v>
      </c>
      <c r="AE3710" s="13" t="s">
        <v>397</v>
      </c>
    </row>
    <row r="3711" customFormat="false" ht="15" hidden="false" customHeight="true" outlineLevel="0" collapsed="false">
      <c r="A3711" s="12" t="n">
        <v>22331</v>
      </c>
      <c r="B3711" s="13" t="s">
        <v>15138</v>
      </c>
      <c r="C3711" s="16" t="n">
        <v>46175</v>
      </c>
      <c r="D3711" s="13" t="s">
        <v>15133</v>
      </c>
      <c r="E3711" s="15" t="s">
        <v>102</v>
      </c>
      <c r="F3711" s="24" t="s">
        <v>15139</v>
      </c>
      <c r="G3711" s="24" t="s">
        <v>57</v>
      </c>
      <c r="H3711" s="13" t="s">
        <v>35</v>
      </c>
      <c r="I3711" s="13" t="str">
        <f aca="false">IF(C3711=J3711,"NEW KONTRAK","RE-KONTRAK")</f>
        <v>NEW KONTRAK</v>
      </c>
      <c r="J3711" s="16" t="n">
        <f aca="false" t="array" ref="J3711:J3711">IFERROR(INDEX(AC3711:AE3711,IF(COUNTA(AC3711:AE3711)=0,"",MAX((AC3711:AE3711&lt;&gt;"")*(COLUMN(AC3711:AE3711)-(COLUMN(AC3711)))))-1),"")</f>
        <v>46175</v>
      </c>
      <c r="K3711" s="16" t="n">
        <f aca="false" t="array" ref="K3711:K3711">IFERROR(INDEX(AC3711:AE3711,IF(COUNTA(AC3711:AE3711)=0,"",MAX((AC3711:AE3711&lt;&gt;"")*(COLUMN(AC3711:AE3711)-(COLUMN(AC3711)-1))))-1),"")</f>
        <v>46539</v>
      </c>
      <c r="L3711" s="17" t="str">
        <f aca="false" t="array" ref="L3711:L3711">IFERROR(INDEX(AC3711:AE3711,IF(COUNTA(AC3711:AE3711)=0,"",MAX((AC3711:AE3711&lt;&gt;"")*(COLUMN(AC3711:AE3711)-(COLUMN(AC3711)-2))))-1),"")</f>
        <v>KEMBALI</v>
      </c>
      <c r="M3711" s="13" t="n">
        <f aca="true">K3711-TODAY()</f>
        <v>215</v>
      </c>
      <c r="N3711" s="18" t="s">
        <v>105</v>
      </c>
      <c r="O3711" s="13" t="s">
        <v>15135</v>
      </c>
      <c r="P3711" s="19" t="n">
        <v>5191541</v>
      </c>
      <c r="Q3711" s="20" t="s">
        <v>15140</v>
      </c>
      <c r="R3711" s="13" t="s">
        <v>52</v>
      </c>
      <c r="S3711" s="14" t="n">
        <v>37111</v>
      </c>
      <c r="T3711" s="28" t="s">
        <v>40</v>
      </c>
      <c r="U3711" s="13" t="s">
        <v>15141</v>
      </c>
      <c r="V3711" s="13" t="s">
        <v>42</v>
      </c>
      <c r="W3711" s="13" t="s">
        <v>43</v>
      </c>
      <c r="X3711" s="21" t="n">
        <v>82340489653</v>
      </c>
      <c r="Y3711" s="22" t="str">
        <f aca="false">O3711</f>
        <v>Admin Gudang Teknik</v>
      </c>
      <c r="Z3711" s="13" t="str">
        <f aca="false">IFERROR(__xludf.dummyfunction("if(BJ3711="""","""",GOOGLETRANSLATE(BJ3711,""auto"",""en""))"),"Engineering Warehouse Admin")</f>
        <v>Engineering Warehouse Admin</v>
      </c>
      <c r="AA3711" s="23" t="str">
        <f aca="false">IF(C3711="","", CHOOSE(MONTH(C3711),"January","February","March","April","May","June","July","August","September","October","November","December")&amp;" "&amp;DAY(C3711)&amp;MID("thstndrdth",MIN(9,2*RIGHT(DAY(C3711))*(MOD(DAY(C3711)-11,100)&gt;2)+1),2)&amp;","&amp;TEXT(C3711," yyyy"))</f>
        <v>June 2nd,2026</v>
      </c>
      <c r="AB3711" s="15" t="str">
        <f aca="true">IF(S3711="","",DATEDIF(S3711,TODAY(),"Y")&amp;" Tahun, "&amp;DATEDIF(S3711,TODAY(),"YM")&amp;" Bulan, "&amp;DATEDIF(S3711,TODAY(),"MD")&amp;" Hari")</f>
        <v>25 Tahun, 2 Bulan, 21 Hari</v>
      </c>
      <c r="AC3711" s="17" t="n">
        <v>46175</v>
      </c>
      <c r="AD3711" s="18" t="n">
        <f aca="false">EDATE(AC3711,12)-1</f>
        <v>46539</v>
      </c>
      <c r="AE3711" s="13" t="s">
        <v>397</v>
      </c>
    </row>
    <row r="3712" customFormat="false" ht="15" hidden="false" customHeight="true" outlineLevel="0" collapsed="false">
      <c r="A3712" s="12" t="n">
        <v>22332</v>
      </c>
      <c r="B3712" s="13" t="s">
        <v>15142</v>
      </c>
      <c r="C3712" s="14" t="n">
        <v>46174</v>
      </c>
      <c r="D3712" s="13" t="s">
        <v>7948</v>
      </c>
      <c r="E3712" s="15" t="s">
        <v>7949</v>
      </c>
      <c r="F3712" s="24" t="s">
        <v>15143</v>
      </c>
      <c r="G3712" s="24" t="s">
        <v>57</v>
      </c>
      <c r="H3712" s="13" t="s">
        <v>3024</v>
      </c>
      <c r="I3712" s="13" t="str">
        <f aca="false">IF(C3712=J3712,"NEW KONTRAK","RE-KONTRAK")</f>
        <v>RE-KONTRAK</v>
      </c>
      <c r="J3712" s="16" t="n">
        <f aca="false" t="array" ref="J3712:J3712">IFERROR(INDEX(AC3712:AE3712,IF(COUNTA(AC3712:AE3712)=0,"",MAX((AC3712:AE3712&lt;&gt;"")*(COLUMN(AC3712:AE3712)-(COLUMN(AC3712)))))-1),"")</f>
        <v>46175</v>
      </c>
      <c r="K3712" s="16" t="n">
        <f aca="false" t="array" ref="K3712:K3712">IFERROR(INDEX(AC3712:AE3712,IF(COUNTA(AC3712:AE3712)=0,"",MAX((AC3712:AE3712&lt;&gt;"")*(COLUMN(AC3712:AE3712)-(COLUMN(AC3712)-1))))-1),"")</f>
        <v>46265</v>
      </c>
      <c r="L3712" s="17" t="str">
        <f aca="false" t="array" ref="L3712:L3712">IFERROR(INDEX(AC3712:AE3712,IF(COUNTA(AC3712:AE3712)=0,"",MAX((AC3712:AE3712&lt;&gt;"")*(COLUMN(AC3712:AE3712)-(COLUMN(AC3712)-2))))-1),"")</f>
        <v>ARCHIVED</v>
      </c>
      <c r="M3712" s="13" t="n">
        <f aca="true">K3712-TODAY()</f>
        <v>-59</v>
      </c>
      <c r="N3712" s="18" t="s">
        <v>4051</v>
      </c>
      <c r="O3712" s="13" t="s">
        <v>7951</v>
      </c>
      <c r="P3712" s="19" t="n">
        <v>210000</v>
      </c>
      <c r="Q3712" s="20" t="s">
        <v>15144</v>
      </c>
      <c r="R3712" s="13" t="s">
        <v>168</v>
      </c>
      <c r="S3712" s="14" t="n">
        <v>36884</v>
      </c>
      <c r="T3712" s="28" t="s">
        <v>40</v>
      </c>
      <c r="U3712" s="13" t="s">
        <v>15145</v>
      </c>
      <c r="V3712" s="13" t="s">
        <v>42</v>
      </c>
      <c r="W3712" s="13" t="s">
        <v>43</v>
      </c>
      <c r="X3712" s="21" t="n">
        <v>85850521196</v>
      </c>
      <c r="Y3712" s="22" t="str">
        <f aca="false">O3712</f>
        <v>Mekanik Kiln</v>
      </c>
      <c r="Z3712" s="13" t="str">
        <f aca="false">IFERROR(__xludf.dummyfunction("if(BJ3712="""","""",GOOGLETRANSLATE(BJ3712,""auto"",""en""))"),"Kiln Mechanics")</f>
        <v>Kiln Mechanics</v>
      </c>
      <c r="AA3712" s="23" t="str">
        <f aca="false">IF(C3712="","", CHOOSE(MONTH(C3712),"January","February","March","April","May","June","July","August","September","October","November","December")&amp;" "&amp;DAY(C3712)&amp;MID("thstndrdth",MIN(9,2*RIGHT(DAY(C3712))*(MOD(DAY(C3712)-11,100)&gt;2)+1),2)&amp;","&amp;TEXT(C3712," yyyy"))</f>
        <v>June 1st,2026</v>
      </c>
      <c r="AB3712" s="15" t="str">
        <f aca="true">IF(S3712="","",DATEDIF(S3712,TODAY(),"Y")&amp;" Tahun, "&amp;DATEDIF(S3712,TODAY(),"YM")&amp;" Bulan, "&amp;DATEDIF(S3712,TODAY(),"MD")&amp;" Hari")</f>
        <v>25 Tahun, 10 Bulan, 5 Hari</v>
      </c>
      <c r="AC3712" s="17" t="n">
        <v>46175</v>
      </c>
      <c r="AD3712" s="18" t="n">
        <v>46265</v>
      </c>
      <c r="AE3712" s="13" t="s">
        <v>44</v>
      </c>
    </row>
    <row r="3713" customFormat="false" ht="15" hidden="false" customHeight="true" outlineLevel="0" collapsed="false">
      <c r="A3713" s="12" t="n">
        <v>22333</v>
      </c>
      <c r="B3713" s="13" t="s">
        <v>15146</v>
      </c>
      <c r="C3713" s="14" t="n">
        <v>46175</v>
      </c>
      <c r="D3713" s="13" t="s">
        <v>7948</v>
      </c>
      <c r="E3713" s="15" t="s">
        <v>7949</v>
      </c>
      <c r="F3713" s="24" t="s">
        <v>15147</v>
      </c>
      <c r="G3713" s="24" t="s">
        <v>57</v>
      </c>
      <c r="H3713" s="13" t="s">
        <v>3024</v>
      </c>
      <c r="I3713" s="13" t="str">
        <f aca="false">IF(C3713=J3713,"NEW KONTRAK","RE-KONTRAK")</f>
        <v>NEW KONTRAK</v>
      </c>
      <c r="J3713" s="16" t="n">
        <f aca="false" t="array" ref="J3713:J3713">IFERROR(INDEX(AC3713:AE3713,IF(COUNTA(AC3713:AE3713)=0,"",MAX((AC3713:AE3713&lt;&gt;"")*(COLUMN(AC3713:AE3713)-(COLUMN(AC3713)))))-1),"")</f>
        <v>46175</v>
      </c>
      <c r="K3713" s="16" t="n">
        <f aca="false" t="array" ref="K3713:K3713">IFERROR(INDEX(AC3713:AE3713,IF(COUNTA(AC3713:AE3713)=0,"",MAX((AC3713:AE3713&lt;&gt;"")*(COLUMN(AC3713:AE3713)-(COLUMN(AC3713)-1))))-1),"")</f>
        <v>46265</v>
      </c>
      <c r="L3713" s="17" t="str">
        <f aca="false" t="array" ref="L3713:L3713">IFERROR(INDEX(AC3713:AE3713,IF(COUNTA(AC3713:AE3713)=0,"",MAX((AC3713:AE3713&lt;&gt;"")*(COLUMN(AC3713:AE3713)-(COLUMN(AC3713)-2))))-1),"")</f>
        <v>ARCHIVED</v>
      </c>
      <c r="M3713" s="13" t="n">
        <f aca="true">K3713-TODAY()</f>
        <v>-59</v>
      </c>
      <c r="N3713" s="18" t="s">
        <v>4051</v>
      </c>
      <c r="O3713" s="13" t="s">
        <v>7951</v>
      </c>
      <c r="P3713" s="19" t="n">
        <v>210000</v>
      </c>
      <c r="Q3713" s="20" t="s">
        <v>15148</v>
      </c>
      <c r="R3713" s="13" t="s">
        <v>168</v>
      </c>
      <c r="S3713" s="14" t="n">
        <v>33877</v>
      </c>
      <c r="T3713" s="28" t="s">
        <v>40</v>
      </c>
      <c r="U3713" s="13" t="s">
        <v>15149</v>
      </c>
      <c r="V3713" s="13" t="s">
        <v>42</v>
      </c>
      <c r="W3713" s="13" t="s">
        <v>54</v>
      </c>
      <c r="X3713" s="21" t="n">
        <v>81339405876</v>
      </c>
      <c r="Y3713" s="22" t="str">
        <f aca="false">O3713</f>
        <v>Mekanik Kiln</v>
      </c>
      <c r="Z3713" s="13" t="str">
        <f aca="false">IFERROR(__xludf.dummyfunction("if(BJ3713="""","""",GOOGLETRANSLATE(BJ3713,""auto"",""en""))"),"Kiln Mechanics")</f>
        <v>Kiln Mechanics</v>
      </c>
      <c r="AA3713" s="23" t="str">
        <f aca="false">IF(C3713="","", CHOOSE(MONTH(C3713),"January","February","March","April","May","June","July","August","September","October","November","December")&amp;" "&amp;DAY(C3713)&amp;MID("thstndrdth",MIN(9,2*RIGHT(DAY(C3713))*(MOD(DAY(C3713)-11,100)&gt;2)+1),2)&amp;","&amp;TEXT(C3713," yyyy"))</f>
        <v>June 2nd,2026</v>
      </c>
      <c r="AB3713" s="15" t="str">
        <f aca="true">IF(S3713="","",DATEDIF(S3713,TODAY(),"Y")&amp;" Tahun, "&amp;DATEDIF(S3713,TODAY(),"YM")&amp;" Bulan, "&amp;DATEDIF(S3713,TODAY(),"MD")&amp;" Hari")</f>
        <v>34 Tahun, 0 Bulan, 29 Hari</v>
      </c>
      <c r="AC3713" s="17" t="n">
        <v>46175</v>
      </c>
      <c r="AD3713" s="18" t="n">
        <v>46265</v>
      </c>
      <c r="AE3713" s="13" t="s">
        <v>44</v>
      </c>
    </row>
    <row r="3714" customFormat="false" ht="15" hidden="false" customHeight="true" outlineLevel="0" collapsed="false">
      <c r="A3714" s="12" t="n">
        <v>22334</v>
      </c>
      <c r="B3714" s="13" t="s">
        <v>15150</v>
      </c>
      <c r="C3714" s="14" t="n">
        <v>46174</v>
      </c>
      <c r="D3714" s="13" t="s">
        <v>7948</v>
      </c>
      <c r="E3714" s="15" t="s">
        <v>7949</v>
      </c>
      <c r="F3714" s="24" t="s">
        <v>15151</v>
      </c>
      <c r="G3714" s="24" t="s">
        <v>57</v>
      </c>
      <c r="H3714" s="13" t="s">
        <v>3024</v>
      </c>
      <c r="I3714" s="13" t="str">
        <f aca="false">IF(C3714=J3714,"NEW KONTRAK","RE-KONTRAK")</f>
        <v>RE-KONTRAK</v>
      </c>
      <c r="J3714" s="16" t="n">
        <f aca="false" t="array" ref="J3714:J3714">IFERROR(INDEX(AC3714:AE3714,IF(COUNTA(AC3714:AE3714)=0,"",MAX((AC3714:AE3714&lt;&gt;"")*(COLUMN(AC3714:AE3714)-(COLUMN(AC3714)))))-1),"")</f>
        <v>46175</v>
      </c>
      <c r="K3714" s="16" t="n">
        <f aca="false" t="array" ref="K3714:K3714">IFERROR(INDEX(AC3714:AE3714,IF(COUNTA(AC3714:AE3714)=0,"",MAX((AC3714:AE3714&lt;&gt;"")*(COLUMN(AC3714:AE3714)-(COLUMN(AC3714)-1))))-1),"")</f>
        <v>46265</v>
      </c>
      <c r="L3714" s="17" t="str">
        <f aca="false" t="array" ref="L3714:L3714">IFERROR(INDEX(AC3714:AE3714,IF(COUNTA(AC3714:AE3714)=0,"",MAX((AC3714:AE3714&lt;&gt;"")*(COLUMN(AC3714:AE3714)-(COLUMN(AC3714)-2))))-1),"")</f>
        <v>ARCHIVED</v>
      </c>
      <c r="M3714" s="13" t="n">
        <f aca="true">K3714-TODAY()</f>
        <v>-59</v>
      </c>
      <c r="N3714" s="18" t="s">
        <v>4051</v>
      </c>
      <c r="O3714" s="13" t="s">
        <v>7951</v>
      </c>
      <c r="P3714" s="19" t="n">
        <v>210000</v>
      </c>
      <c r="Q3714" s="20" t="s">
        <v>15152</v>
      </c>
      <c r="R3714" s="13" t="s">
        <v>232</v>
      </c>
      <c r="S3714" s="14" t="n">
        <v>29514</v>
      </c>
      <c r="T3714" s="28" t="s">
        <v>40</v>
      </c>
      <c r="U3714" s="13" t="s">
        <v>15153</v>
      </c>
      <c r="V3714" s="13" t="s">
        <v>42</v>
      </c>
      <c r="W3714" s="13" t="s">
        <v>54</v>
      </c>
      <c r="X3714" s="21" t="n">
        <v>85755877772</v>
      </c>
      <c r="Y3714" s="22" t="str">
        <f aca="false">O3714</f>
        <v>Mekanik Kiln</v>
      </c>
      <c r="Z3714" s="13" t="str">
        <f aca="false">IFERROR(__xludf.dummyfunction("if(BJ3714="""","""",GOOGLETRANSLATE(BJ3714,""auto"",""en""))"),"Kiln Mechanics")</f>
        <v>Kiln Mechanics</v>
      </c>
      <c r="AA3714" s="23" t="str">
        <f aca="false">IF(C3714="","", CHOOSE(MONTH(C3714),"January","February","March","April","May","June","July","August","September","October","November","December")&amp;" "&amp;DAY(C3714)&amp;MID("thstndrdth",MIN(9,2*RIGHT(DAY(C3714))*(MOD(DAY(C3714)-11,100)&gt;2)+1),2)&amp;","&amp;TEXT(C3714," yyyy"))</f>
        <v>June 1st,2026</v>
      </c>
      <c r="AB3714" s="15" t="str">
        <f aca="true">IF(S3714="","",DATEDIF(S3714,TODAY(),"Y")&amp;" Tahun, "&amp;DATEDIF(S3714,TODAY(),"YM")&amp;" Bulan, "&amp;DATEDIF(S3714,TODAY(),"MD")&amp;" Hari")</f>
        <v>46 Tahun, 0 Bulan, 9 Hari</v>
      </c>
      <c r="AC3714" s="17" t="n">
        <v>46175</v>
      </c>
      <c r="AD3714" s="18" t="n">
        <v>46265</v>
      </c>
      <c r="AE3714" s="13" t="s">
        <v>44</v>
      </c>
    </row>
    <row r="3715" customFormat="false" ht="15" hidden="false" customHeight="true" outlineLevel="0" collapsed="false">
      <c r="A3715" s="12" t="n">
        <v>22335</v>
      </c>
      <c r="B3715" s="13" t="s">
        <v>15154</v>
      </c>
      <c r="C3715" s="14" t="n">
        <v>46174</v>
      </c>
      <c r="D3715" s="13" t="s">
        <v>7948</v>
      </c>
      <c r="E3715" s="15" t="s">
        <v>7949</v>
      </c>
      <c r="F3715" s="24" t="s">
        <v>15155</v>
      </c>
      <c r="G3715" s="24" t="s">
        <v>57</v>
      </c>
      <c r="H3715" s="13" t="s">
        <v>3024</v>
      </c>
      <c r="I3715" s="13" t="str">
        <f aca="false">IF(C3715=J3715,"NEW KONTRAK","RE-KONTRAK")</f>
        <v>RE-KONTRAK</v>
      </c>
      <c r="J3715" s="16" t="n">
        <f aca="false" t="array" ref="J3715:J3715">IFERROR(INDEX(AC3715:AE3715,IF(COUNTA(AC3715:AE3715)=0,"",MAX((AC3715:AE3715&lt;&gt;"")*(COLUMN(AC3715:AE3715)-(COLUMN(AC3715)))))-1),"")</f>
        <v>46175</v>
      </c>
      <c r="K3715" s="16" t="n">
        <f aca="false" t="array" ref="K3715:K3715">IFERROR(INDEX(AC3715:AE3715,IF(COUNTA(AC3715:AE3715)=0,"",MAX((AC3715:AE3715&lt;&gt;"")*(COLUMN(AC3715:AE3715)-(COLUMN(AC3715)-1))))-1),"")</f>
        <v>46265</v>
      </c>
      <c r="L3715" s="17" t="str">
        <f aca="false" t="array" ref="L3715:L3715">IFERROR(INDEX(AC3715:AE3715,IF(COUNTA(AC3715:AE3715)=0,"",MAX((AC3715:AE3715&lt;&gt;"")*(COLUMN(AC3715:AE3715)-(COLUMN(AC3715)-2))))-1),"")</f>
        <v>ARCHIVED</v>
      </c>
      <c r="M3715" s="13" t="n">
        <f aca="true">K3715-TODAY()</f>
        <v>-59</v>
      </c>
      <c r="N3715" s="18" t="s">
        <v>4051</v>
      </c>
      <c r="O3715" s="13" t="s">
        <v>7951</v>
      </c>
      <c r="P3715" s="19" t="n">
        <v>210000</v>
      </c>
      <c r="Q3715" s="20" t="s">
        <v>15156</v>
      </c>
      <c r="R3715" s="13" t="s">
        <v>232</v>
      </c>
      <c r="S3715" s="14" t="n">
        <v>36043</v>
      </c>
      <c r="T3715" s="28" t="s">
        <v>40</v>
      </c>
      <c r="U3715" s="13" t="s">
        <v>15157</v>
      </c>
      <c r="V3715" s="13" t="s">
        <v>42</v>
      </c>
      <c r="W3715" s="13" t="s">
        <v>43</v>
      </c>
      <c r="X3715" s="21" t="n">
        <v>85748597205</v>
      </c>
      <c r="Y3715" s="22" t="str">
        <f aca="false">O3715</f>
        <v>Mekanik Kiln</v>
      </c>
      <c r="Z3715" s="13" t="str">
        <f aca="false">IFERROR(__xludf.dummyfunction("if(BJ3715="""","""",GOOGLETRANSLATE(BJ3715,""auto"",""en""))"),"Kiln Mechanics")</f>
        <v>Kiln Mechanics</v>
      </c>
      <c r="AA3715" s="23" t="str">
        <f aca="false">IF(C3715="","", CHOOSE(MONTH(C3715),"January","February","March","April","May","June","July","August","September","October","November","December")&amp;" "&amp;DAY(C3715)&amp;MID("thstndrdth",MIN(9,2*RIGHT(DAY(C3715))*(MOD(DAY(C3715)-11,100)&gt;2)+1),2)&amp;","&amp;TEXT(C3715," yyyy"))</f>
        <v>June 1st,2026</v>
      </c>
      <c r="AB3715" s="15" t="str">
        <f aca="true">IF(S3715="","",DATEDIF(S3715,TODAY(),"Y")&amp;" Tahun, "&amp;DATEDIF(S3715,TODAY(),"YM")&amp;" Bulan, "&amp;DATEDIF(S3715,TODAY(),"MD")&amp;" Hari")</f>
        <v>28 Tahun, 1 Bulan, 24 Hari</v>
      </c>
      <c r="AC3715" s="17" t="n">
        <v>46175</v>
      </c>
      <c r="AD3715" s="18" t="n">
        <v>46265</v>
      </c>
      <c r="AE3715" s="13" t="s">
        <v>44</v>
      </c>
    </row>
    <row r="3716" customFormat="false" ht="15" hidden="false" customHeight="true" outlineLevel="0" collapsed="false">
      <c r="A3716" s="12" t="n">
        <v>22336</v>
      </c>
      <c r="B3716" s="13" t="s">
        <v>15158</v>
      </c>
      <c r="C3716" s="14" t="n">
        <v>46174</v>
      </c>
      <c r="D3716" s="13" t="s">
        <v>7948</v>
      </c>
      <c r="E3716" s="15" t="s">
        <v>7949</v>
      </c>
      <c r="F3716" s="24" t="s">
        <v>15159</v>
      </c>
      <c r="G3716" s="24" t="s">
        <v>57</v>
      </c>
      <c r="H3716" s="13" t="s">
        <v>3024</v>
      </c>
      <c r="I3716" s="13" t="str">
        <f aca="false">IF(C3716=J3716,"NEW KONTRAK","RE-KONTRAK")</f>
        <v>RE-KONTRAK</v>
      </c>
      <c r="J3716" s="16" t="n">
        <f aca="false" t="array" ref="J3716:J3716">IFERROR(INDEX(AC3716:AE3716,IF(COUNTA(AC3716:AE3716)=0,"",MAX((AC3716:AE3716&lt;&gt;"")*(COLUMN(AC3716:AE3716)-(COLUMN(AC3716)))))-1),"")</f>
        <v>46175</v>
      </c>
      <c r="K3716" s="16" t="n">
        <f aca="false" t="array" ref="K3716:K3716">IFERROR(INDEX(AC3716:AE3716,IF(COUNTA(AC3716:AE3716)=0,"",MAX((AC3716:AE3716&lt;&gt;"")*(COLUMN(AC3716:AE3716)-(COLUMN(AC3716)-1))))-1),"")</f>
        <v>46265</v>
      </c>
      <c r="L3716" s="17" t="str">
        <f aca="false" t="array" ref="L3716:L3716">IFERROR(INDEX(AC3716:AE3716,IF(COUNTA(AC3716:AE3716)=0,"",MAX((AC3716:AE3716&lt;&gt;"")*(COLUMN(AC3716:AE3716)-(COLUMN(AC3716)-2))))-1),"")</f>
        <v>ARCHIVED</v>
      </c>
      <c r="M3716" s="13" t="n">
        <f aca="true">K3716-TODAY()</f>
        <v>-59</v>
      </c>
      <c r="N3716" s="18" t="s">
        <v>4051</v>
      </c>
      <c r="O3716" s="13" t="s">
        <v>7951</v>
      </c>
      <c r="P3716" s="19" t="n">
        <v>210000</v>
      </c>
      <c r="Q3716" s="20" t="s">
        <v>15160</v>
      </c>
      <c r="R3716" s="13" t="s">
        <v>73</v>
      </c>
      <c r="S3716" s="14" t="n">
        <v>29108</v>
      </c>
      <c r="T3716" s="28" t="s">
        <v>40</v>
      </c>
      <c r="U3716" s="13" t="s">
        <v>15161</v>
      </c>
      <c r="V3716" s="13" t="s">
        <v>42</v>
      </c>
      <c r="W3716" s="13" t="s">
        <v>2402</v>
      </c>
      <c r="X3716" s="21" t="n">
        <v>81455137090</v>
      </c>
      <c r="Y3716" s="22" t="str">
        <f aca="false">O3716</f>
        <v>Mekanik Kiln</v>
      </c>
      <c r="Z3716" s="13" t="str">
        <f aca="false">IFERROR(__xludf.dummyfunction("if(BJ3716="""","""",GOOGLETRANSLATE(BJ3716,""auto"",""en""))"),"Kiln Mechanics")</f>
        <v>Kiln Mechanics</v>
      </c>
      <c r="AA3716" s="23" t="str">
        <f aca="false">IF(C3716="","", CHOOSE(MONTH(C3716),"January","February","March","April","May","June","July","August","September","October","November","December")&amp;" "&amp;DAY(C3716)&amp;MID("thstndrdth",MIN(9,2*RIGHT(DAY(C3716))*(MOD(DAY(C3716)-11,100)&gt;2)+1),2)&amp;","&amp;TEXT(C3716," yyyy"))</f>
        <v>June 1st,2026</v>
      </c>
      <c r="AB3716" s="15" t="str">
        <f aca="true">IF(S3716="","",DATEDIF(S3716,TODAY(),"Y")&amp;" Tahun, "&amp;DATEDIF(S3716,TODAY(),"YM")&amp;" Bulan, "&amp;DATEDIF(S3716,TODAY(),"MD")&amp;" Hari")</f>
        <v>47 Tahun, 1 Bulan, 19 Hari</v>
      </c>
      <c r="AC3716" s="17" t="n">
        <v>46175</v>
      </c>
      <c r="AD3716" s="18" t="n">
        <v>46265</v>
      </c>
      <c r="AE3716" s="13" t="s">
        <v>44</v>
      </c>
    </row>
    <row r="3717" customFormat="false" ht="15" hidden="false" customHeight="true" outlineLevel="0" collapsed="false">
      <c r="A3717" s="12" t="n">
        <v>22337</v>
      </c>
      <c r="B3717" s="13" t="s">
        <v>15162</v>
      </c>
      <c r="C3717" s="14" t="n">
        <v>46174</v>
      </c>
      <c r="D3717" s="13" t="s">
        <v>7948</v>
      </c>
      <c r="E3717" s="15" t="s">
        <v>7949</v>
      </c>
      <c r="F3717" s="24" t="s">
        <v>15163</v>
      </c>
      <c r="G3717" s="24" t="s">
        <v>57</v>
      </c>
      <c r="H3717" s="13" t="s">
        <v>3024</v>
      </c>
      <c r="I3717" s="13" t="str">
        <f aca="false">IF(C3717=J3717,"NEW KONTRAK","RE-KONTRAK")</f>
        <v>RE-KONTRAK</v>
      </c>
      <c r="J3717" s="16" t="n">
        <f aca="false" t="array" ref="J3717:J3717">IFERROR(INDEX(AC3717:AE3717,IF(COUNTA(AC3717:AE3717)=0,"",MAX((AC3717:AE3717&lt;&gt;"")*(COLUMN(AC3717:AE3717)-(COLUMN(AC3717)))))-1),"")</f>
        <v>46175</v>
      </c>
      <c r="K3717" s="16" t="n">
        <f aca="false" t="array" ref="K3717:K3717">IFERROR(INDEX(AC3717:AE3717,IF(COUNTA(AC3717:AE3717)=0,"",MAX((AC3717:AE3717&lt;&gt;"")*(COLUMN(AC3717:AE3717)-(COLUMN(AC3717)-1))))-1),"")</f>
        <v>46265</v>
      </c>
      <c r="L3717" s="17" t="str">
        <f aca="false" t="array" ref="L3717:L3717">IFERROR(INDEX(AC3717:AE3717,IF(COUNTA(AC3717:AE3717)=0,"",MAX((AC3717:AE3717&lt;&gt;"")*(COLUMN(AC3717:AE3717)-(COLUMN(AC3717)-2))))-1),"")</f>
        <v>ARCHIVED</v>
      </c>
      <c r="M3717" s="13" t="n">
        <f aca="true">K3717-TODAY()</f>
        <v>-59</v>
      </c>
      <c r="N3717" s="18" t="s">
        <v>4051</v>
      </c>
      <c r="O3717" s="13" t="s">
        <v>7951</v>
      </c>
      <c r="P3717" s="19" t="n">
        <v>210000</v>
      </c>
      <c r="Q3717" s="20" t="s">
        <v>15164</v>
      </c>
      <c r="R3717" s="13" t="s">
        <v>232</v>
      </c>
      <c r="S3717" s="14" t="n">
        <v>32093</v>
      </c>
      <c r="T3717" s="28" t="s">
        <v>40</v>
      </c>
      <c r="U3717" s="13" t="s">
        <v>15165</v>
      </c>
      <c r="V3717" s="13" t="s">
        <v>42</v>
      </c>
      <c r="W3717" s="13" t="s">
        <v>54</v>
      </c>
      <c r="X3717" s="21" t="n">
        <v>85704564431</v>
      </c>
      <c r="Y3717" s="22" t="str">
        <f aca="false">O3717</f>
        <v>Mekanik Kiln</v>
      </c>
      <c r="Z3717" s="13" t="str">
        <f aca="false">IFERROR(__xludf.dummyfunction("if(BJ3717="""","""",GOOGLETRANSLATE(BJ3717,""auto"",""en""))"),"Kiln Mechanics")</f>
        <v>Kiln Mechanics</v>
      </c>
      <c r="AA3717" s="23" t="str">
        <f aca="false">IF(C3717="","", CHOOSE(MONTH(C3717),"January","February","March","April","May","June","July","August","September","October","November","December")&amp;" "&amp;DAY(C3717)&amp;MID("thstndrdth",MIN(9,2*RIGHT(DAY(C3717))*(MOD(DAY(C3717)-11,100)&gt;2)+1),2)&amp;","&amp;TEXT(C3717," yyyy"))</f>
        <v>June 1st,2026</v>
      </c>
      <c r="AB3717" s="15" t="str">
        <f aca="true">IF(S3717="","",DATEDIF(S3717,TODAY(),"Y")&amp;" Tahun, "&amp;DATEDIF(S3717,TODAY(),"YM")&amp;" Bulan, "&amp;DATEDIF(S3717,TODAY(),"MD")&amp;" Hari")</f>
        <v>38 Tahun, 11 Bulan, 17 Hari</v>
      </c>
      <c r="AC3717" s="17" t="n">
        <v>46175</v>
      </c>
      <c r="AD3717" s="18" t="n">
        <v>46265</v>
      </c>
      <c r="AE3717" s="13" t="s">
        <v>44</v>
      </c>
    </row>
    <row r="3718" customFormat="false" ht="15" hidden="false" customHeight="true" outlineLevel="0" collapsed="false">
      <c r="A3718" s="12" t="n">
        <v>22338</v>
      </c>
      <c r="B3718" s="13" t="s">
        <v>15166</v>
      </c>
      <c r="C3718" s="14" t="n">
        <v>46174</v>
      </c>
      <c r="D3718" s="13" t="s">
        <v>7948</v>
      </c>
      <c r="E3718" s="15" t="s">
        <v>7949</v>
      </c>
      <c r="F3718" s="24" t="s">
        <v>15167</v>
      </c>
      <c r="G3718" s="24" t="s">
        <v>57</v>
      </c>
      <c r="H3718" s="13" t="s">
        <v>3024</v>
      </c>
      <c r="I3718" s="13" t="str">
        <f aca="false">IF(C3718=J3718,"NEW KONTRAK","RE-KONTRAK")</f>
        <v>RE-KONTRAK</v>
      </c>
      <c r="J3718" s="16" t="n">
        <f aca="false" t="array" ref="J3718:J3718">IFERROR(INDEX(AC3718:AE3718,IF(COUNTA(AC3718:AE3718)=0,"",MAX((AC3718:AE3718&lt;&gt;"")*(COLUMN(AC3718:AE3718)-(COLUMN(AC3718)))))-1),"")</f>
        <v>46175</v>
      </c>
      <c r="K3718" s="16" t="n">
        <f aca="false" t="array" ref="K3718:K3718">IFERROR(INDEX(AC3718:AE3718,IF(COUNTA(AC3718:AE3718)=0,"",MAX((AC3718:AE3718&lt;&gt;"")*(COLUMN(AC3718:AE3718)-(COLUMN(AC3718)-1))))-1),"")</f>
        <v>46265</v>
      </c>
      <c r="L3718" s="17" t="str">
        <f aca="false" t="array" ref="L3718:L3718">IFERROR(INDEX(AC3718:AE3718,IF(COUNTA(AC3718:AE3718)=0,"",MAX((AC3718:AE3718&lt;&gt;"")*(COLUMN(AC3718:AE3718)-(COLUMN(AC3718)-2))))-1),"")</f>
        <v>ARCHIVED</v>
      </c>
      <c r="M3718" s="13" t="n">
        <f aca="true">K3718-TODAY()</f>
        <v>-59</v>
      </c>
      <c r="N3718" s="18" t="s">
        <v>4051</v>
      </c>
      <c r="O3718" s="13" t="s">
        <v>7951</v>
      </c>
      <c r="P3718" s="19" t="n">
        <v>210000</v>
      </c>
      <c r="Q3718" s="20" t="s">
        <v>15168</v>
      </c>
      <c r="R3718" s="13" t="s">
        <v>65</v>
      </c>
      <c r="S3718" s="14" t="n">
        <v>31584</v>
      </c>
      <c r="T3718" s="28" t="s">
        <v>40</v>
      </c>
      <c r="U3718" s="13" t="s">
        <v>15169</v>
      </c>
      <c r="V3718" s="13" t="s">
        <v>42</v>
      </c>
      <c r="W3718" s="13" t="s">
        <v>54</v>
      </c>
      <c r="X3718" s="21" t="n">
        <v>85794829858</v>
      </c>
      <c r="Y3718" s="22" t="str">
        <f aca="false">O3718</f>
        <v>Mekanik Kiln</v>
      </c>
      <c r="Z3718" s="13" t="str">
        <f aca="false">IFERROR(__xludf.dummyfunction("if(BJ3718="""","""",GOOGLETRANSLATE(BJ3718,""auto"",""en""))"),"Kiln Mechanics")</f>
        <v>Kiln Mechanics</v>
      </c>
      <c r="AA3718" s="23" t="str">
        <f aca="false">IF(C3718="","", CHOOSE(MONTH(C3718),"January","February","March","April","May","June","July","August","September","October","November","December")&amp;" "&amp;DAY(C3718)&amp;MID("thstndrdth",MIN(9,2*RIGHT(DAY(C3718))*(MOD(DAY(C3718)-11,100)&gt;2)+1),2)&amp;","&amp;TEXT(C3718," yyyy"))</f>
        <v>June 1st,2026</v>
      </c>
      <c r="AB3718" s="15" t="str">
        <f aca="true">IF(S3718="","",DATEDIF(S3718,TODAY(),"Y")&amp;" Tahun, "&amp;DATEDIF(S3718,TODAY(),"YM")&amp;" Bulan, "&amp;DATEDIF(S3718,TODAY(),"MD")&amp;" Hari")</f>
        <v>40 Tahun, 4 Bulan, 8 Hari</v>
      </c>
      <c r="AC3718" s="17" t="n">
        <v>46175</v>
      </c>
      <c r="AD3718" s="18" t="n">
        <v>46265</v>
      </c>
      <c r="AE3718" s="13" t="s">
        <v>44</v>
      </c>
    </row>
    <row r="3719" customFormat="false" ht="15" hidden="false" customHeight="true" outlineLevel="0" collapsed="false">
      <c r="A3719" s="12" t="n">
        <v>22339</v>
      </c>
      <c r="B3719" s="13" t="s">
        <v>15170</v>
      </c>
      <c r="C3719" s="14" t="n">
        <v>46174</v>
      </c>
      <c r="D3719" s="13" t="s">
        <v>7948</v>
      </c>
      <c r="E3719" s="15" t="s">
        <v>7949</v>
      </c>
      <c r="F3719" s="24" t="s">
        <v>15171</v>
      </c>
      <c r="G3719" s="24" t="s">
        <v>57</v>
      </c>
      <c r="H3719" s="13" t="s">
        <v>3024</v>
      </c>
      <c r="I3719" s="13" t="str">
        <f aca="false">IF(C3719=J3719,"NEW KONTRAK","RE-KONTRAK")</f>
        <v>RE-KONTRAK</v>
      </c>
      <c r="J3719" s="16" t="n">
        <f aca="false" t="array" ref="J3719:J3719">IFERROR(INDEX(AC3719:AE3719,IF(COUNTA(AC3719:AE3719)=0,"",MAX((AC3719:AE3719&lt;&gt;"")*(COLUMN(AC3719:AE3719)-(COLUMN(AC3719)))))-1),"")</f>
        <v>46175</v>
      </c>
      <c r="K3719" s="16" t="n">
        <f aca="false" t="array" ref="K3719:K3719">IFERROR(INDEX(AC3719:AE3719,IF(COUNTA(AC3719:AE3719)=0,"",MAX((AC3719:AE3719&lt;&gt;"")*(COLUMN(AC3719:AE3719)-(COLUMN(AC3719)-1))))-1),"")</f>
        <v>46265</v>
      </c>
      <c r="L3719" s="17" t="str">
        <f aca="false" t="array" ref="L3719:L3719">IFERROR(INDEX(AC3719:AE3719,IF(COUNTA(AC3719:AE3719)=0,"",MAX((AC3719:AE3719&lt;&gt;"")*(COLUMN(AC3719:AE3719)-(COLUMN(AC3719)-2))))-1),"")</f>
        <v>ARCHIVED</v>
      </c>
      <c r="M3719" s="13" t="n">
        <f aca="true">K3719-TODAY()</f>
        <v>-59</v>
      </c>
      <c r="N3719" s="18" t="s">
        <v>4051</v>
      </c>
      <c r="O3719" s="13" t="s">
        <v>7951</v>
      </c>
      <c r="P3719" s="19" t="n">
        <v>210000</v>
      </c>
      <c r="Q3719" s="20" t="s">
        <v>15172</v>
      </c>
      <c r="R3719" s="13" t="s">
        <v>39</v>
      </c>
      <c r="S3719" s="14" t="n">
        <v>28152</v>
      </c>
      <c r="T3719" s="28" t="s">
        <v>40</v>
      </c>
      <c r="U3719" s="13" t="s">
        <v>15173</v>
      </c>
      <c r="V3719" s="13" t="s">
        <v>42</v>
      </c>
      <c r="W3719" s="13" t="s">
        <v>54</v>
      </c>
      <c r="X3719" s="21" t="n">
        <v>87895273579</v>
      </c>
      <c r="Y3719" s="22" t="str">
        <f aca="false">O3719</f>
        <v>Mekanik Kiln</v>
      </c>
      <c r="Z3719" s="13" t="str">
        <f aca="false">IFERROR(__xludf.dummyfunction("if(BJ3719="""","""",GOOGLETRANSLATE(BJ3719,""auto"",""en""))"),"Kiln Mechanics")</f>
        <v>Kiln Mechanics</v>
      </c>
      <c r="AA3719" s="23" t="str">
        <f aca="false">IF(C3719="","", CHOOSE(MONTH(C3719),"January","February","March","April","May","June","July","August","September","October","November","December")&amp;" "&amp;DAY(C3719)&amp;MID("thstndrdth",MIN(9,2*RIGHT(DAY(C3719))*(MOD(DAY(C3719)-11,100)&gt;2)+1),2)&amp;","&amp;TEXT(C3719," yyyy"))</f>
        <v>June 1st,2026</v>
      </c>
      <c r="AB3719" s="15" t="str">
        <f aca="true">IF(S3719="","",DATEDIF(S3719,TODAY(),"Y")&amp;" Tahun, "&amp;DATEDIF(S3719,TODAY(),"YM")&amp;" Bulan, "&amp;DATEDIF(S3719,TODAY(),"MD")&amp;" Hari")</f>
        <v>49 Tahun, 9 Bulan, 2 Hari</v>
      </c>
      <c r="AC3719" s="17" t="n">
        <v>46175</v>
      </c>
      <c r="AD3719" s="18" t="n">
        <v>46265</v>
      </c>
      <c r="AE3719" s="13" t="s">
        <v>44</v>
      </c>
    </row>
    <row r="3720" customFormat="false" ht="15" hidden="false" customHeight="true" outlineLevel="0" collapsed="false">
      <c r="A3720" s="12" t="n">
        <v>22340</v>
      </c>
      <c r="B3720" s="13" t="s">
        <v>15174</v>
      </c>
      <c r="C3720" s="14" t="n">
        <v>46174</v>
      </c>
      <c r="D3720" s="13" t="s">
        <v>7948</v>
      </c>
      <c r="E3720" s="15" t="s">
        <v>7949</v>
      </c>
      <c r="F3720" s="24" t="s">
        <v>15175</v>
      </c>
      <c r="G3720" s="24" t="s">
        <v>57</v>
      </c>
      <c r="H3720" s="13" t="s">
        <v>3024</v>
      </c>
      <c r="I3720" s="13" t="str">
        <f aca="false">IF(C3720=J3720,"NEW KONTRAK","RE-KONTRAK")</f>
        <v>RE-KONTRAK</v>
      </c>
      <c r="J3720" s="16" t="n">
        <f aca="false" t="array" ref="J3720:J3720">IFERROR(INDEX(AC3720:AE3720,IF(COUNTA(AC3720:AE3720)=0,"",MAX((AC3720:AE3720&lt;&gt;"")*(COLUMN(AC3720:AE3720)-(COLUMN(AC3720)))))-1),"")</f>
        <v>46175</v>
      </c>
      <c r="K3720" s="16" t="n">
        <f aca="false" t="array" ref="K3720:K3720">IFERROR(INDEX(AC3720:AE3720,IF(COUNTA(AC3720:AE3720)=0,"",MAX((AC3720:AE3720&lt;&gt;"")*(COLUMN(AC3720:AE3720)-(COLUMN(AC3720)-1))))-1),"")</f>
        <v>46265</v>
      </c>
      <c r="L3720" s="17" t="str">
        <f aca="false" t="array" ref="L3720:L3720">IFERROR(INDEX(AC3720:AE3720,IF(COUNTA(AC3720:AE3720)=0,"",MAX((AC3720:AE3720&lt;&gt;"")*(COLUMN(AC3720:AE3720)-(COLUMN(AC3720)-2))))-1),"")</f>
        <v>ARCHIVED</v>
      </c>
      <c r="M3720" s="13" t="n">
        <f aca="true">K3720-TODAY()</f>
        <v>-59</v>
      </c>
      <c r="N3720" s="18" t="s">
        <v>4051</v>
      </c>
      <c r="O3720" s="13" t="s">
        <v>7951</v>
      </c>
      <c r="P3720" s="19" t="n">
        <v>210000</v>
      </c>
      <c r="Q3720" s="20" t="s">
        <v>15176</v>
      </c>
      <c r="R3720" s="13" t="s">
        <v>255</v>
      </c>
      <c r="S3720" s="14" t="n">
        <v>36294</v>
      </c>
      <c r="T3720" s="28" t="s">
        <v>40</v>
      </c>
      <c r="U3720" s="13" t="s">
        <v>15177</v>
      </c>
      <c r="V3720" s="13" t="s">
        <v>42</v>
      </c>
      <c r="W3720" s="13" t="s">
        <v>43</v>
      </c>
      <c r="X3720" s="21" t="n">
        <v>85712563247</v>
      </c>
      <c r="Y3720" s="22" t="str">
        <f aca="false">O3720</f>
        <v>Mekanik Kiln</v>
      </c>
      <c r="Z3720" s="13" t="str">
        <f aca="false">IFERROR(__xludf.dummyfunction("if(BJ3720="""","""",GOOGLETRANSLATE(BJ3720,""auto"",""en""))"),"Kiln Mechanics")</f>
        <v>Kiln Mechanics</v>
      </c>
      <c r="AA3720" s="23" t="str">
        <f aca="false">IF(C3720="","", CHOOSE(MONTH(C3720),"January","February","March","April","May","June","July","August","September","October","November","December")&amp;" "&amp;DAY(C3720)&amp;MID("thstndrdth",MIN(9,2*RIGHT(DAY(C3720))*(MOD(DAY(C3720)-11,100)&gt;2)+1),2)&amp;","&amp;TEXT(C3720," yyyy"))</f>
        <v>June 1st,2026</v>
      </c>
      <c r="AB3720" s="15" t="str">
        <f aca="true">IF(S3720="","",DATEDIF(S3720,TODAY(),"Y")&amp;" Tahun, "&amp;DATEDIF(S3720,TODAY(),"YM")&amp;" Bulan, "&amp;DATEDIF(S3720,TODAY(),"MD")&amp;" Hari")</f>
        <v>27 Tahun, 5 Bulan, 15 Hari</v>
      </c>
      <c r="AC3720" s="17" t="n">
        <v>46175</v>
      </c>
      <c r="AD3720" s="18" t="n">
        <v>46265</v>
      </c>
      <c r="AE3720" s="13" t="s">
        <v>44</v>
      </c>
    </row>
    <row r="3721" customFormat="false" ht="15" hidden="false" customHeight="true" outlineLevel="0" collapsed="false">
      <c r="A3721" s="12" t="n">
        <v>22341</v>
      </c>
      <c r="B3721" s="13" t="s">
        <v>15178</v>
      </c>
      <c r="C3721" s="14" t="n">
        <v>46174</v>
      </c>
      <c r="D3721" s="13" t="s">
        <v>7948</v>
      </c>
      <c r="E3721" s="15" t="s">
        <v>7949</v>
      </c>
      <c r="F3721" s="24" t="s">
        <v>15179</v>
      </c>
      <c r="G3721" s="24" t="s">
        <v>57</v>
      </c>
      <c r="H3721" s="13" t="s">
        <v>3024</v>
      </c>
      <c r="I3721" s="13" t="str">
        <f aca="false">IF(C3721=J3721,"NEW KONTRAK","RE-KONTRAK")</f>
        <v>RE-KONTRAK</v>
      </c>
      <c r="J3721" s="16" t="n">
        <f aca="false" t="array" ref="J3721:J3721">IFERROR(INDEX(AC3721:AE3721,IF(COUNTA(AC3721:AE3721)=0,"",MAX((AC3721:AE3721&lt;&gt;"")*(COLUMN(AC3721:AE3721)-(COLUMN(AC3721)))))-1),"")</f>
        <v>46175</v>
      </c>
      <c r="K3721" s="16" t="n">
        <f aca="false" t="array" ref="K3721:K3721">IFERROR(INDEX(AC3721:AE3721,IF(COUNTA(AC3721:AE3721)=0,"",MAX((AC3721:AE3721&lt;&gt;"")*(COLUMN(AC3721:AE3721)-(COLUMN(AC3721)-1))))-1),"")</f>
        <v>46265</v>
      </c>
      <c r="L3721" s="17" t="str">
        <f aca="false" t="array" ref="L3721:L3721">IFERROR(INDEX(AC3721:AE3721,IF(COUNTA(AC3721:AE3721)=0,"",MAX((AC3721:AE3721&lt;&gt;"")*(COLUMN(AC3721:AE3721)-(COLUMN(AC3721)-2))))-1),"")</f>
        <v>ARCHIVED</v>
      </c>
      <c r="M3721" s="13" t="n">
        <f aca="true">K3721-TODAY()</f>
        <v>-59</v>
      </c>
      <c r="N3721" s="18" t="s">
        <v>4051</v>
      </c>
      <c r="O3721" s="13" t="s">
        <v>7951</v>
      </c>
      <c r="P3721" s="19" t="n">
        <v>210000</v>
      </c>
      <c r="Q3721" s="20" t="s">
        <v>15180</v>
      </c>
      <c r="R3721" s="13" t="s">
        <v>255</v>
      </c>
      <c r="S3721" s="14" t="n">
        <v>34527</v>
      </c>
      <c r="T3721" s="28" t="s">
        <v>40</v>
      </c>
      <c r="U3721" s="13" t="s">
        <v>15181</v>
      </c>
      <c r="V3721" s="13" t="s">
        <v>42</v>
      </c>
      <c r="W3721" s="13" t="s">
        <v>54</v>
      </c>
      <c r="X3721" s="21" t="n">
        <v>85606060273</v>
      </c>
      <c r="Y3721" s="22" t="str">
        <f aca="false">O3721</f>
        <v>Mekanik Kiln</v>
      </c>
      <c r="Z3721" s="13" t="str">
        <f aca="false">IFERROR(__xludf.dummyfunction("if(BJ3721="""","""",GOOGLETRANSLATE(BJ3721,""auto"",""en""))"),"Kiln Mechanics")</f>
        <v>Kiln Mechanics</v>
      </c>
      <c r="AA3721" s="23" t="str">
        <f aca="false">IF(C3721="","", CHOOSE(MONTH(C3721),"January","February","March","April","May","June","July","August","September","October","November","December")&amp;" "&amp;DAY(C3721)&amp;MID("thstndrdth",MIN(9,2*RIGHT(DAY(C3721))*(MOD(DAY(C3721)-11,100)&gt;2)+1),2)&amp;","&amp;TEXT(C3721," yyyy"))</f>
        <v>June 1st,2026</v>
      </c>
      <c r="AB3721" s="15" t="str">
        <f aca="true">IF(S3721="","",DATEDIF(S3721,TODAY(),"Y")&amp;" Tahun, "&amp;DATEDIF(S3721,TODAY(),"YM")&amp;" Bulan, "&amp;DATEDIF(S3721,TODAY(),"MD")&amp;" Hari")</f>
        <v>32 Tahun, 3 Bulan, 17 Hari</v>
      </c>
      <c r="AC3721" s="17" t="n">
        <v>46175</v>
      </c>
      <c r="AD3721" s="18" t="n">
        <v>46265</v>
      </c>
      <c r="AE3721" s="13" t="s">
        <v>44</v>
      </c>
    </row>
    <row r="3722" customFormat="false" ht="15" hidden="false" customHeight="true" outlineLevel="0" collapsed="false">
      <c r="A3722" s="12" t="n">
        <v>22342</v>
      </c>
      <c r="B3722" s="13" t="s">
        <v>15182</v>
      </c>
      <c r="C3722" s="14" t="n">
        <v>46174</v>
      </c>
      <c r="D3722" s="13" t="s">
        <v>10155</v>
      </c>
      <c r="E3722" s="15" t="s">
        <v>47</v>
      </c>
      <c r="F3722" s="24" t="s">
        <v>15183</v>
      </c>
      <c r="G3722" s="15" t="s">
        <v>1127</v>
      </c>
      <c r="H3722" s="13" t="s">
        <v>35</v>
      </c>
      <c r="I3722" s="13" t="str">
        <f aca="false">IF(C3722=J3722,"NEW KONTRAK","RE-KONTRAK")</f>
        <v>NEW KONTRAK</v>
      </c>
      <c r="J3722" s="16" t="n">
        <f aca="false" t="array" ref="J3722:J3722">IFERROR(INDEX(AC3722:AE3722,IF(COUNTA(AC3722:AE3722)=0,"",MAX((AC3722:AE3722&lt;&gt;"")*(COLUMN(AC3722:AE3722)-(COLUMN(AC3722)))))-1),"")</f>
        <v>46174</v>
      </c>
      <c r="K3722" s="16" t="n">
        <f aca="false" t="array" ref="K3722:K3722">IFERROR(INDEX(AC3722:AE3722,IF(COUNTA(AC3722:AE3722)=0,"",MAX((AC3722:AE3722&lt;&gt;"")*(COLUMN(AC3722:AE3722)-(COLUMN(AC3722)-1))))-1),"")</f>
        <v>46203</v>
      </c>
      <c r="L3722" s="17" t="str">
        <f aca="false" t="array" ref="L3722:L3722">IFERROR(INDEX(AC3722:AE3722,IF(COUNTA(AC3722:AE3722)=0,"",MAX((AC3722:AE3722&lt;&gt;"")*(COLUMN(AC3722:AE3722)-(COLUMN(AC3722)-2))))-1),"")</f>
        <v>ARCHIVED</v>
      </c>
      <c r="M3722" s="13" t="n">
        <f aca="true">K3722-TODAY()</f>
        <v>-121</v>
      </c>
      <c r="N3722" s="18" t="s">
        <v>36</v>
      </c>
      <c r="O3722" s="13" t="s">
        <v>15184</v>
      </c>
      <c r="P3722" s="19" t="n">
        <v>5195401</v>
      </c>
      <c r="Q3722" s="20" t="s">
        <v>15185</v>
      </c>
      <c r="R3722" s="13" t="s">
        <v>52</v>
      </c>
      <c r="S3722" s="14" t="n">
        <v>38695</v>
      </c>
      <c r="T3722" s="13" t="s">
        <v>40</v>
      </c>
      <c r="U3722" s="13" t="s">
        <v>15186</v>
      </c>
      <c r="V3722" s="28" t="s">
        <v>1216</v>
      </c>
      <c r="W3722" s="13" t="s">
        <v>43</v>
      </c>
      <c r="X3722" s="21" t="n">
        <v>881036838177</v>
      </c>
      <c r="Y3722" s="22" t="str">
        <f aca="false">O3722</f>
        <v>Hot CS &amp; SB P3A Production</v>
      </c>
      <c r="Z3722" s="13" t="str">
        <f aca="false">IFERROR(__xludf.dummyfunction("if(BJ3722="""","""",GOOGLETRANSLATE(BJ3722,""auto"",""en""))"),"Hot CS &amp; SB P3A Production")</f>
        <v>Hot CS &amp; SB P3A Production</v>
      </c>
      <c r="AA3722" s="23" t="str">
        <f aca="false">IF(C3722="","", CHOOSE(MONTH(C3722),"January","February","March","April","May","June","July","August","September","October","November","December")&amp;" "&amp;DAY(C3722)&amp;MID("thstndrdth",MIN(9,2*RIGHT(DAY(C3722))*(MOD(DAY(C3722)-11,100)&gt;2)+1),2)&amp;","&amp;TEXT(C3722," yyyy"))</f>
        <v>June 1st,2026</v>
      </c>
      <c r="AB3722" s="15" t="str">
        <f aca="true">IF(S3722="","",DATEDIF(S3722,TODAY(),"Y")&amp;" Tahun, "&amp;DATEDIF(S3722,TODAY(),"YM")&amp;" Bulan, "&amp;DATEDIF(S3722,TODAY(),"MD")&amp;" Hari")</f>
        <v>20 Tahun, 10 Bulan, 20 Hari</v>
      </c>
      <c r="AC3722" s="14" t="n">
        <v>46174</v>
      </c>
      <c r="AD3722" s="14" t="n">
        <f aca="false">EDATE(AC3722,1)-1</f>
        <v>46203</v>
      </c>
      <c r="AE3722" s="13" t="s">
        <v>44</v>
      </c>
    </row>
    <row r="3723" customFormat="false" ht="15" hidden="false" customHeight="true" outlineLevel="0" collapsed="false">
      <c r="A3723" s="12" t="n">
        <v>22343</v>
      </c>
      <c r="B3723" s="13" t="s">
        <v>15187</v>
      </c>
      <c r="C3723" s="14" t="n">
        <v>46174</v>
      </c>
      <c r="D3723" s="13" t="s">
        <v>10155</v>
      </c>
      <c r="E3723" s="15" t="s">
        <v>47</v>
      </c>
      <c r="F3723" s="24" t="s">
        <v>15188</v>
      </c>
      <c r="G3723" s="15" t="s">
        <v>1127</v>
      </c>
      <c r="H3723" s="13" t="s">
        <v>35</v>
      </c>
      <c r="I3723" s="13" t="str">
        <f aca="false">IF(C3723=J3723,"NEW KONTRAK","RE-KONTRAK")</f>
        <v>NEW KONTRAK</v>
      </c>
      <c r="J3723" s="16" t="n">
        <f aca="false" t="array" ref="J3723:J3723">IFERROR(INDEX(AC3723:AE3723,IF(COUNTA(AC3723:AE3723)=0,"",MAX((AC3723:AE3723&lt;&gt;"")*(COLUMN(AC3723:AE3723)-(COLUMN(AC3723)))))-1),"")</f>
        <v>46174</v>
      </c>
      <c r="K3723" s="16" t="n">
        <f aca="false" t="array" ref="K3723:K3723">IFERROR(INDEX(AC3723:AE3723,IF(COUNTA(AC3723:AE3723)=0,"",MAX((AC3723:AE3723&lt;&gt;"")*(COLUMN(AC3723:AE3723)-(COLUMN(AC3723)-1))))-1),"")</f>
        <v>46203</v>
      </c>
      <c r="L3723" s="17" t="str">
        <f aca="false" t="array" ref="L3723:L3723">IFERROR(INDEX(AC3723:AE3723,IF(COUNTA(AC3723:AE3723)=0,"",MAX((AC3723:AE3723&lt;&gt;"")*(COLUMN(AC3723:AE3723)-(COLUMN(AC3723)-2))))-1),"")</f>
        <v>ARCHIVED</v>
      </c>
      <c r="M3723" s="13" t="n">
        <f aca="true">K3723-TODAY()</f>
        <v>-121</v>
      </c>
      <c r="N3723" s="18" t="s">
        <v>36</v>
      </c>
      <c r="O3723" s="13" t="s">
        <v>15189</v>
      </c>
      <c r="P3723" s="19" t="n">
        <v>5195401</v>
      </c>
      <c r="Q3723" s="20" t="s">
        <v>15190</v>
      </c>
      <c r="R3723" s="13" t="s">
        <v>65</v>
      </c>
      <c r="S3723" s="14" t="n">
        <v>36852</v>
      </c>
      <c r="T3723" s="13" t="s">
        <v>108</v>
      </c>
      <c r="U3723" s="13" t="s">
        <v>15191</v>
      </c>
      <c r="V3723" s="13" t="s">
        <v>42</v>
      </c>
      <c r="W3723" s="13" t="s">
        <v>43</v>
      </c>
      <c r="X3723" s="21" t="n">
        <v>85784267354</v>
      </c>
      <c r="Y3723" s="22" t="str">
        <f aca="false">O3723</f>
        <v>Laboratorium P2 Admin</v>
      </c>
      <c r="Z3723" s="13" t="str">
        <f aca="false">IFERROR(__xludf.dummyfunction("if(BJ3723="""","""",GOOGLETRANSLATE(BJ3723,""auto"",""en""))"),"P2 Admin Laboratory")</f>
        <v>P2 Admin Laboratory</v>
      </c>
      <c r="AA3723" s="23" t="str">
        <f aca="false">IF(C3723="","", CHOOSE(MONTH(C3723),"January","February","March","April","May","June","July","August","September","October","November","December")&amp;" "&amp;DAY(C3723)&amp;MID("thstndrdth",MIN(9,2*RIGHT(DAY(C3723))*(MOD(DAY(C3723)-11,100)&gt;2)+1),2)&amp;","&amp;TEXT(C3723," yyyy"))</f>
        <v>June 1st,2026</v>
      </c>
      <c r="AB3723" s="15" t="str">
        <f aca="true">IF(S3723="","",DATEDIF(S3723,TODAY(),"Y")&amp;" Tahun, "&amp;DATEDIF(S3723,TODAY(),"YM")&amp;" Bulan, "&amp;DATEDIF(S3723,TODAY(),"MD")&amp;" Hari")</f>
        <v>25 Tahun, 11 Bulan, 7 Hari</v>
      </c>
      <c r="AC3723" s="14" t="n">
        <v>46174</v>
      </c>
      <c r="AD3723" s="14" t="n">
        <f aca="false">EDATE(AC3723,1)-1</f>
        <v>46203</v>
      </c>
      <c r="AE3723" s="13" t="s">
        <v>44</v>
      </c>
    </row>
    <row r="3724" customFormat="false" ht="15" hidden="false" customHeight="true" outlineLevel="0" collapsed="false">
      <c r="A3724" s="12" t="n">
        <v>22344</v>
      </c>
      <c r="B3724" s="13" t="s">
        <v>15192</v>
      </c>
      <c r="C3724" s="14" t="n">
        <v>46176</v>
      </c>
      <c r="D3724" s="13" t="s">
        <v>3022</v>
      </c>
      <c r="E3724" s="15" t="s">
        <v>47</v>
      </c>
      <c r="F3724" s="24" t="s">
        <v>15193</v>
      </c>
      <c r="G3724" s="15" t="s">
        <v>1127</v>
      </c>
      <c r="H3724" s="13" t="s">
        <v>3024</v>
      </c>
      <c r="I3724" s="13" t="str">
        <f aca="false">IF(C3724=J3724,"NEW KONTRAK","RE-KONTRAK")</f>
        <v>NEW KONTRAK</v>
      </c>
      <c r="J3724" s="16" t="n">
        <f aca="false" t="array" ref="J3724:J3724">IFERROR(INDEX(AC3724:AE3724,IF(COUNTA(AC3724:AE3724)=0,"",MAX((AC3724:AE3724&lt;&gt;"")*(COLUMN(AC3724:AE3724)-(COLUMN(AC3724)))))-1),"")</f>
        <v>46176</v>
      </c>
      <c r="K3724" s="16" t="n">
        <f aca="false" t="array" ref="K3724:K3724">IFERROR(INDEX(AC3724:AE3724,IF(COUNTA(AC3724:AE3724)=0,"",MAX((AC3724:AE3724&lt;&gt;"")*(COLUMN(AC3724:AE3724)-(COLUMN(AC3724)-1))))-1),"")</f>
        <v>46267</v>
      </c>
      <c r="L3724" s="17" t="str">
        <f aca="false" t="array" ref="L3724:L3724">IFERROR(INDEX(AC3724:AE3724,IF(COUNTA(AC3724:AE3724)=0,"",MAX((AC3724:AE3724&lt;&gt;"")*(COLUMN(AC3724:AE3724)-(COLUMN(AC3724)-2))))-1),"")</f>
        <v>KEMBALI</v>
      </c>
      <c r="M3724" s="13" t="n">
        <f aca="true">K3724-TODAY()</f>
        <v>-57</v>
      </c>
      <c r="N3724" s="18" t="s">
        <v>36</v>
      </c>
      <c r="O3724" s="13" t="s">
        <v>10685</v>
      </c>
      <c r="P3724" s="122" t="n">
        <v>850000</v>
      </c>
      <c r="Q3724" s="20" t="s">
        <v>15194</v>
      </c>
      <c r="R3724" s="13" t="s">
        <v>52</v>
      </c>
      <c r="S3724" s="14" t="n">
        <v>29582</v>
      </c>
      <c r="T3724" s="13" t="s">
        <v>40</v>
      </c>
      <c r="U3724" s="13" t="s">
        <v>15195</v>
      </c>
      <c r="V3724" s="13" t="s">
        <v>42</v>
      </c>
      <c r="W3724" s="13" t="s">
        <v>54</v>
      </c>
      <c r="X3724" s="21" t="n">
        <v>83848738249</v>
      </c>
      <c r="Y3724" s="22" t="str">
        <f aca="false">O3724</f>
        <v>Driver Direksi</v>
      </c>
      <c r="Z3724" s="13" t="str">
        <f aca="false">IFERROR(__xludf.dummyfunction("if(BJ3724="""","""",GOOGLETRANSLATE(BJ3724,""auto"",""en""))"),"Director Driver")</f>
        <v>Director Driver</v>
      </c>
      <c r="AA3724" s="23" t="str">
        <f aca="false">IF(C3724="","", CHOOSE(MONTH(C3724),"January","February","March","April","May","June","July","August","September","October","November","December")&amp;" "&amp;DAY(C3724)&amp;MID("thstndrdth",MIN(9,2*RIGHT(DAY(C3724))*(MOD(DAY(C3724)-11,100)&gt;2)+1),2)&amp;","&amp;TEXT(C3724," yyyy"))</f>
        <v>June 3rd,2026</v>
      </c>
      <c r="AB3724" s="15" t="str">
        <f aca="true">IF(S3724="","",DATEDIF(S3724,TODAY(),"Y")&amp;" Tahun, "&amp;DATEDIF(S3724,TODAY(),"YM")&amp;" Bulan, "&amp;DATEDIF(S3724,TODAY(),"MD")&amp;" Hari")</f>
        <v>45 Tahun, 10 Bulan, 2 Hari</v>
      </c>
      <c r="AC3724" s="14" t="n">
        <v>46176</v>
      </c>
      <c r="AD3724" s="14" t="n">
        <f aca="false">EDATE(AC3724,3)-1</f>
        <v>46267</v>
      </c>
      <c r="AE3724" s="13" t="s">
        <v>397</v>
      </c>
    </row>
    <row r="3725" customFormat="false" ht="15" hidden="false" customHeight="true" outlineLevel="0" collapsed="false">
      <c r="A3725" s="12" t="n">
        <v>22345</v>
      </c>
      <c r="B3725" s="13" t="s">
        <v>15196</v>
      </c>
      <c r="C3725" s="14" t="n">
        <v>46167</v>
      </c>
      <c r="D3725" s="13" t="s">
        <v>5250</v>
      </c>
      <c r="E3725" s="15" t="s">
        <v>789</v>
      </c>
      <c r="F3725" s="24" t="s">
        <v>15197</v>
      </c>
      <c r="G3725" s="13" t="s">
        <v>2809</v>
      </c>
      <c r="H3725" s="13" t="s">
        <v>35</v>
      </c>
      <c r="I3725" s="13" t="str">
        <f aca="false">IF(C3725=J3725,"NEW KONTRAK","RE-KONTRAK")</f>
        <v>NEW KONTRAK</v>
      </c>
      <c r="J3725" s="16" t="n">
        <f aca="false" t="array" ref="J3725:J3725">IFERROR(INDEX(AC3725:AE3725,IF(COUNTA(AC3725:AE3725)=0,"",MAX((AC3725:AE3725&lt;&gt;"")*(COLUMN(AC3725:AE3725)-(COLUMN(AC3725)))))-1),"")</f>
        <v>46167</v>
      </c>
      <c r="K3725" s="16" t="n">
        <f aca="false" t="array" ref="K3725:K3725">IFERROR(INDEX(AC3725:AE3725,IF(COUNTA(AC3725:AE3725)=0,"",MAX((AC3725:AE3725&lt;&gt;"")*(COLUMN(AC3725:AE3725)-(COLUMN(AC3725)-1))))-1),"")</f>
        <v>46228</v>
      </c>
      <c r="L3725" s="17" t="str">
        <f aca="false" t="array" ref="L3725:L3725">IFERROR(INDEX(AC3725:AE3725,IF(COUNTA(AC3725:AE3725)=0,"",MAX((AC3725:AE3725&lt;&gt;"")*(COLUMN(AC3725:AE3725)-(COLUMN(AC3725)-2))))-1),"")</f>
        <v>KEMBALI</v>
      </c>
      <c r="M3725" s="13" t="n">
        <f aca="true">K3725-TODAY()</f>
        <v>-96</v>
      </c>
      <c r="N3725" s="18" t="s">
        <v>728</v>
      </c>
      <c r="O3725" s="13" t="s">
        <v>15198</v>
      </c>
      <c r="P3725" s="117" t="n">
        <v>2300000</v>
      </c>
      <c r="Q3725" s="20" t="s">
        <v>15199</v>
      </c>
      <c r="R3725" s="13" t="s">
        <v>255</v>
      </c>
      <c r="S3725" s="14" t="n">
        <v>38801</v>
      </c>
      <c r="T3725" s="13" t="s">
        <v>40</v>
      </c>
      <c r="U3725" s="13" t="s">
        <v>15200</v>
      </c>
      <c r="V3725" s="13" t="s">
        <v>42</v>
      </c>
      <c r="W3725" s="13" t="s">
        <v>43</v>
      </c>
      <c r="X3725" s="21" t="n">
        <v>88272876299</v>
      </c>
      <c r="Y3725" s="22" t="str">
        <f aca="false">O3725</f>
        <v>Helper Mesin Lem</v>
      </c>
      <c r="Z3725" s="13" t="str">
        <f aca="false">IFERROR(__xludf.dummyfunction("if(BJ3725="""","""",GOOGLETRANSLATE(BJ3725,""auto"",""en""))"),"Helper Mesin Lem")</f>
        <v>Helper Mesin Lem</v>
      </c>
      <c r="AA3725" s="23" t="str">
        <f aca="false">IF(C3725="","", CHOOSE(MONTH(C3725),"January","February","March","April","May","June","July","August","September","October","November","December")&amp;" "&amp;DAY(C3725)&amp;MID("thstndrdth",MIN(9,2*RIGHT(DAY(C3725))*(MOD(DAY(C3725)-11,100)&gt;2)+1),2)&amp;","&amp;TEXT(C3725," yyyy"))</f>
        <v>May 25th,2026</v>
      </c>
      <c r="AB3725" s="15" t="str">
        <f aca="true">IF(S3725="","",DATEDIF(S3725,TODAY(),"Y")&amp;" Tahun, "&amp;DATEDIF(S3725,TODAY(),"YM")&amp;" Bulan, "&amp;DATEDIF(S3725,TODAY(),"MD")&amp;" Hari")</f>
        <v>20 Tahun, 7 Bulan, 4 Hari</v>
      </c>
      <c r="AC3725" s="18" t="n">
        <v>46167</v>
      </c>
      <c r="AD3725" s="18" t="n">
        <v>46228</v>
      </c>
      <c r="AE3725" s="13" t="s">
        <v>397</v>
      </c>
    </row>
    <row r="3726" customFormat="false" ht="15" hidden="false" customHeight="true" outlineLevel="0" collapsed="false">
      <c r="A3726" s="12" t="n">
        <v>22346</v>
      </c>
      <c r="B3726" s="13" t="s">
        <v>15201</v>
      </c>
      <c r="C3726" s="16" t="n">
        <v>46175</v>
      </c>
      <c r="D3726" s="13" t="s">
        <v>393</v>
      </c>
      <c r="E3726" s="15" t="s">
        <v>47</v>
      </c>
      <c r="F3726" s="24" t="s">
        <v>15202</v>
      </c>
      <c r="G3726" s="24" t="s">
        <v>57</v>
      </c>
      <c r="H3726" s="13" t="s">
        <v>35</v>
      </c>
      <c r="I3726" s="13" t="str">
        <f aca="false">IF(C3726=J3726,"NEW KONTRAK","RE-KONTRAK")</f>
        <v>NEW KONTRAK</v>
      </c>
      <c r="J3726" s="16" t="n">
        <f aca="false" t="array" ref="J3726:J3726">IFERROR(INDEX(AC3726:AE3726,IF(COUNTA(AC3726:AE3726)=0,"",MAX((AC3726:AE3726&lt;&gt;"")*(COLUMN(AC3726:AE3726)-(COLUMN(AC3726)))))-1),"")</f>
        <v>46175</v>
      </c>
      <c r="K3726" s="16" t="n">
        <f aca="false" t="array" ref="K3726:K3726">IFERROR(INDEX(AC3726:AE3726,IF(COUNTA(AC3726:AE3726)=0,"",MAX((AC3726:AE3726&lt;&gt;"")*(COLUMN(AC3726:AE3726)-(COLUMN(AC3726)-1))))-1),"")</f>
        <v>46266</v>
      </c>
      <c r="L3726" s="17" t="str">
        <f aca="false" t="array" ref="L3726:L3726">IFERROR(INDEX(AC3726:AE3726,IF(COUNTA(AC3726:AE3726)=0,"",MAX((AC3726:AE3726&lt;&gt;"")*(COLUMN(AC3726:AE3726)-(COLUMN(AC3726)-2))))-1),"")</f>
        <v>KEMBALI</v>
      </c>
      <c r="M3726" s="13" t="n">
        <f aca="true">K3726-TODAY()</f>
        <v>-58</v>
      </c>
      <c r="N3726" s="18" t="s">
        <v>105</v>
      </c>
      <c r="O3726" s="13" t="s">
        <v>15203</v>
      </c>
      <c r="P3726" s="19" t="n">
        <v>5191541</v>
      </c>
      <c r="Q3726" s="20" t="s">
        <v>15204</v>
      </c>
      <c r="R3726" s="13" t="s">
        <v>255</v>
      </c>
      <c r="S3726" s="14" t="n">
        <v>35825</v>
      </c>
      <c r="T3726" s="13" t="s">
        <v>40</v>
      </c>
      <c r="U3726" s="13" t="s">
        <v>15205</v>
      </c>
      <c r="V3726" s="13" t="s">
        <v>42</v>
      </c>
      <c r="W3726" s="13" t="s">
        <v>43</v>
      </c>
      <c r="X3726" s="30" t="n">
        <v>82348193466</v>
      </c>
      <c r="Y3726" s="22" t="str">
        <f aca="false">O3726</f>
        <v>Produksi Furniture</v>
      </c>
      <c r="Z3726" s="13" t="str">
        <f aca="false">IFERROR(__xludf.dummyfunction("if(BJ3726="""","""",GOOGLETRANSLATE(BJ3726,""auto"",""en""))"),"Furniture Production")</f>
        <v>Furniture Production</v>
      </c>
      <c r="AA3726" s="23" t="str">
        <f aca="false">IF(C3726="","", CHOOSE(MONTH(C3726),"January","February","March","April","May","June","July","August","September","October","November","December")&amp;" "&amp;DAY(C3726)&amp;MID("thstndrdth",MIN(9,2*RIGHT(DAY(C3726))*(MOD(DAY(C3726)-11,100)&gt;2)+1),2)&amp;","&amp;TEXT(C3726," yyyy"))</f>
        <v>June 2nd,2026</v>
      </c>
      <c r="AB3726" s="15" t="str">
        <f aca="true">IF(S3726="","",DATEDIF(S3726,TODAY(),"Y")&amp;" Tahun, "&amp;DATEDIF(S3726,TODAY(),"YM")&amp;" Bulan, "&amp;DATEDIF(S3726,TODAY(),"MD")&amp;" Hari")</f>
        <v>28 Tahun, 8 Bulan, 29 Hari</v>
      </c>
      <c r="AC3726" s="17" t="n">
        <v>46175</v>
      </c>
      <c r="AD3726" s="18" t="n">
        <f aca="false">EDATE(AC3726,3)-1</f>
        <v>46266</v>
      </c>
      <c r="AE3726" s="13" t="s">
        <v>397</v>
      </c>
    </row>
    <row r="3727" customFormat="false" ht="15" hidden="false" customHeight="true" outlineLevel="0" collapsed="false">
      <c r="A3727" s="12" t="n">
        <v>22347</v>
      </c>
      <c r="B3727" s="13" t="s">
        <v>15206</v>
      </c>
      <c r="C3727" s="16" t="n">
        <v>46175</v>
      </c>
      <c r="D3727" s="13" t="s">
        <v>393</v>
      </c>
      <c r="E3727" s="15" t="s">
        <v>47</v>
      </c>
      <c r="F3727" s="24" t="s">
        <v>15207</v>
      </c>
      <c r="G3727" s="24" t="s">
        <v>57</v>
      </c>
      <c r="H3727" s="13" t="s">
        <v>35</v>
      </c>
      <c r="I3727" s="13" t="str">
        <f aca="false">IF(C3727=J3727,"NEW KONTRAK","RE-KONTRAK")</f>
        <v>NEW KONTRAK</v>
      </c>
      <c r="J3727" s="16" t="n">
        <f aca="false" t="array" ref="J3727:J3727">IFERROR(INDEX(AC3727:AE3727,IF(COUNTA(AC3727:AE3727)=0,"",MAX((AC3727:AE3727&lt;&gt;"")*(COLUMN(AC3727:AE3727)-(COLUMN(AC3727)))))-1),"")</f>
        <v>46175</v>
      </c>
      <c r="K3727" s="16" t="n">
        <f aca="false" t="array" ref="K3727:K3727">IFERROR(INDEX(AC3727:AE3727,IF(COUNTA(AC3727:AE3727)=0,"",MAX((AC3727:AE3727&lt;&gt;"")*(COLUMN(AC3727:AE3727)-(COLUMN(AC3727)-1))))-1),"")</f>
        <v>46266</v>
      </c>
      <c r="L3727" s="17" t="str">
        <f aca="false" t="array" ref="L3727:L3727">IFERROR(INDEX(AC3727:AE3727,IF(COUNTA(AC3727:AE3727)=0,"",MAX((AC3727:AE3727&lt;&gt;"")*(COLUMN(AC3727:AE3727)-(COLUMN(AC3727)-2))))-1),"")</f>
        <v>KEMBALI</v>
      </c>
      <c r="M3727" s="13" t="n">
        <f aca="true">K3727-TODAY()</f>
        <v>-58</v>
      </c>
      <c r="N3727" s="18" t="s">
        <v>105</v>
      </c>
      <c r="O3727" s="13" t="s">
        <v>15203</v>
      </c>
      <c r="P3727" s="19" t="n">
        <v>5191541</v>
      </c>
      <c r="Q3727" s="20" t="s">
        <v>15208</v>
      </c>
      <c r="R3727" s="13" t="s">
        <v>39</v>
      </c>
      <c r="S3727" s="14" t="n">
        <v>37573</v>
      </c>
      <c r="T3727" s="13" t="s">
        <v>40</v>
      </c>
      <c r="U3727" s="13" t="s">
        <v>15209</v>
      </c>
      <c r="V3727" s="13" t="s">
        <v>42</v>
      </c>
      <c r="W3727" s="13" t="s">
        <v>43</v>
      </c>
      <c r="X3727" s="30" t="n">
        <v>89866506180</v>
      </c>
      <c r="Y3727" s="22" t="str">
        <f aca="false">O3727</f>
        <v>Produksi Furniture</v>
      </c>
      <c r="Z3727" s="13" t="str">
        <f aca="false">IFERROR(__xludf.dummyfunction("if(BJ3727="""","""",GOOGLETRANSLATE(BJ3727,""auto"",""en""))"),"Furniture Production")</f>
        <v>Furniture Production</v>
      </c>
      <c r="AA3727" s="23" t="str">
        <f aca="false">IF(C3727="","", CHOOSE(MONTH(C3727),"January","February","March","April","May","June","July","August","September","October","November","December")&amp;" "&amp;DAY(C3727)&amp;MID("thstndrdth",MIN(9,2*RIGHT(DAY(C3727))*(MOD(DAY(C3727)-11,100)&gt;2)+1),2)&amp;","&amp;TEXT(C3727," yyyy"))</f>
        <v>June 2nd,2026</v>
      </c>
      <c r="AB3727" s="15" t="str">
        <f aca="true">IF(S3727="","",DATEDIF(S3727,TODAY(),"Y")&amp;" Tahun, "&amp;DATEDIF(S3727,TODAY(),"YM")&amp;" Bulan, "&amp;DATEDIF(S3727,TODAY(),"MD")&amp;" Hari")</f>
        <v>23 Tahun, 11 Bulan, 16 Hari</v>
      </c>
      <c r="AC3727" s="17" t="n">
        <v>46175</v>
      </c>
      <c r="AD3727" s="18" t="n">
        <f aca="false">EDATE(AC3727,3)-1</f>
        <v>46266</v>
      </c>
      <c r="AE3727" s="13" t="s">
        <v>397</v>
      </c>
    </row>
    <row r="3728" customFormat="false" ht="15" hidden="false" customHeight="true" outlineLevel="0" collapsed="false">
      <c r="A3728" s="12" t="n">
        <v>22348</v>
      </c>
      <c r="B3728" s="13" t="s">
        <v>15210</v>
      </c>
      <c r="C3728" s="16" t="n">
        <v>46175</v>
      </c>
      <c r="D3728" s="13" t="s">
        <v>393</v>
      </c>
      <c r="E3728" s="15" t="s">
        <v>47</v>
      </c>
      <c r="F3728" s="24" t="s">
        <v>15211</v>
      </c>
      <c r="G3728" s="24" t="s">
        <v>57</v>
      </c>
      <c r="H3728" s="13" t="s">
        <v>35</v>
      </c>
      <c r="I3728" s="13" t="str">
        <f aca="false">IF(C3728=J3728,"NEW KONTRAK","RE-KONTRAK")</f>
        <v>NEW KONTRAK</v>
      </c>
      <c r="J3728" s="16" t="n">
        <f aca="false" t="array" ref="J3728:J3728">IFERROR(INDEX(AC3728:AE3728,IF(COUNTA(AC3728:AE3728)=0,"",MAX((AC3728:AE3728&lt;&gt;"")*(COLUMN(AC3728:AE3728)-(COLUMN(AC3728)))))-1),"")</f>
        <v>46175</v>
      </c>
      <c r="K3728" s="16" t="n">
        <f aca="false" t="array" ref="K3728:K3728">IFERROR(INDEX(AC3728:AE3728,IF(COUNTA(AC3728:AE3728)=0,"",MAX((AC3728:AE3728&lt;&gt;"")*(COLUMN(AC3728:AE3728)-(COLUMN(AC3728)-1))))-1),"")</f>
        <v>46266</v>
      </c>
      <c r="L3728" s="17" t="str">
        <f aca="false" t="array" ref="L3728:L3728">IFERROR(INDEX(AC3728:AE3728,IF(COUNTA(AC3728:AE3728)=0,"",MAX((AC3728:AE3728&lt;&gt;"")*(COLUMN(AC3728:AE3728)-(COLUMN(AC3728)-2))))-1),"")</f>
        <v>KEMBALI</v>
      </c>
      <c r="M3728" s="13" t="n">
        <f aca="true">K3728-TODAY()</f>
        <v>-58</v>
      </c>
      <c r="N3728" s="18" t="s">
        <v>105</v>
      </c>
      <c r="O3728" s="13" t="s">
        <v>15203</v>
      </c>
      <c r="P3728" s="19" t="n">
        <v>5191541</v>
      </c>
      <c r="Q3728" s="20" t="s">
        <v>15212</v>
      </c>
      <c r="R3728" s="13" t="s">
        <v>39</v>
      </c>
      <c r="S3728" s="14" t="n">
        <v>35934</v>
      </c>
      <c r="T3728" s="13" t="s">
        <v>40</v>
      </c>
      <c r="U3728" s="13" t="s">
        <v>15213</v>
      </c>
      <c r="V3728" s="13" t="s">
        <v>42</v>
      </c>
      <c r="W3728" s="13" t="s">
        <v>43</v>
      </c>
      <c r="X3728" s="30" t="n">
        <v>81390158144</v>
      </c>
      <c r="Y3728" s="22" t="str">
        <f aca="false">O3728</f>
        <v>Produksi Furniture</v>
      </c>
      <c r="Z3728" s="13" t="str">
        <f aca="false">IFERROR(__xludf.dummyfunction("if(BJ3728="""","""",GOOGLETRANSLATE(BJ3728,""auto"",""en""))"),"Furniture Production")</f>
        <v>Furniture Production</v>
      </c>
      <c r="AA3728" s="23" t="str">
        <f aca="false">IF(C3728="","", CHOOSE(MONTH(C3728),"January","February","March","April","May","June","July","August","September","October","November","December")&amp;" "&amp;DAY(C3728)&amp;MID("thstndrdth",MIN(9,2*RIGHT(DAY(C3728))*(MOD(DAY(C3728)-11,100)&gt;2)+1),2)&amp;","&amp;TEXT(C3728," yyyy"))</f>
        <v>June 2nd,2026</v>
      </c>
      <c r="AB3728" s="15" t="str">
        <f aca="true">IF(S3728="","",DATEDIF(S3728,TODAY(),"Y")&amp;" Tahun, "&amp;DATEDIF(S3728,TODAY(),"YM")&amp;" Bulan, "&amp;DATEDIF(S3728,TODAY(),"MD")&amp;" Hari")</f>
        <v>28 Tahun, 5 Bulan, 10 Hari</v>
      </c>
      <c r="AC3728" s="17" t="n">
        <v>46175</v>
      </c>
      <c r="AD3728" s="18" t="n">
        <f aca="false">EDATE(AC3728,3)-1</f>
        <v>46266</v>
      </c>
      <c r="AE3728" s="13" t="s">
        <v>397</v>
      </c>
    </row>
    <row r="3729" customFormat="false" ht="15" hidden="false" customHeight="true" outlineLevel="0" collapsed="false">
      <c r="A3729" s="12" t="n">
        <v>22349</v>
      </c>
      <c r="B3729" s="13" t="s">
        <v>15214</v>
      </c>
      <c r="C3729" s="16" t="n">
        <v>46175</v>
      </c>
      <c r="D3729" s="13" t="s">
        <v>393</v>
      </c>
      <c r="E3729" s="15" t="s">
        <v>47</v>
      </c>
      <c r="F3729" s="24" t="s">
        <v>15215</v>
      </c>
      <c r="G3729" s="24" t="s">
        <v>57</v>
      </c>
      <c r="H3729" s="13" t="s">
        <v>35</v>
      </c>
      <c r="I3729" s="13" t="str">
        <f aca="false">IF(C3729=J3729,"NEW KONTRAK","RE-KONTRAK")</f>
        <v>NEW KONTRAK</v>
      </c>
      <c r="J3729" s="16" t="n">
        <f aca="false" t="array" ref="J3729:J3729">IFERROR(INDEX(AC3729:AE3729,IF(COUNTA(AC3729:AE3729)=0,"",MAX((AC3729:AE3729&lt;&gt;"")*(COLUMN(AC3729:AE3729)-(COLUMN(AC3729)))))-1),"")</f>
        <v>46175</v>
      </c>
      <c r="K3729" s="16" t="n">
        <f aca="false" t="array" ref="K3729:K3729">IFERROR(INDEX(AC3729:AE3729,IF(COUNTA(AC3729:AE3729)=0,"",MAX((AC3729:AE3729&lt;&gt;"")*(COLUMN(AC3729:AE3729)-(COLUMN(AC3729)-1))))-1),"")</f>
        <v>46266</v>
      </c>
      <c r="L3729" s="17" t="str">
        <f aca="false" t="array" ref="L3729:L3729">IFERROR(INDEX(AC3729:AE3729,IF(COUNTA(AC3729:AE3729)=0,"",MAX((AC3729:AE3729&lt;&gt;"")*(COLUMN(AC3729:AE3729)-(COLUMN(AC3729)-2))))-1),"")</f>
        <v>KEMBALI</v>
      </c>
      <c r="M3729" s="13" t="n">
        <f aca="true">K3729-TODAY()</f>
        <v>-58</v>
      </c>
      <c r="N3729" s="18" t="s">
        <v>105</v>
      </c>
      <c r="O3729" s="13" t="s">
        <v>15203</v>
      </c>
      <c r="P3729" s="19" t="n">
        <v>5191541</v>
      </c>
      <c r="Q3729" s="20" t="s">
        <v>15216</v>
      </c>
      <c r="R3729" s="13" t="s">
        <v>39</v>
      </c>
      <c r="S3729" s="14" t="n">
        <v>38867</v>
      </c>
      <c r="T3729" s="13" t="s">
        <v>40</v>
      </c>
      <c r="U3729" s="13" t="s">
        <v>15217</v>
      </c>
      <c r="V3729" s="13" t="s">
        <v>42</v>
      </c>
      <c r="W3729" s="13" t="s">
        <v>43</v>
      </c>
      <c r="X3729" s="30" t="n">
        <v>81347660728</v>
      </c>
      <c r="Y3729" s="22" t="str">
        <f aca="false">O3729</f>
        <v>Produksi Furniture</v>
      </c>
      <c r="Z3729" s="13" t="str">
        <f aca="false">IFERROR(__xludf.dummyfunction("if(BJ3729="""","""",GOOGLETRANSLATE(BJ3729,""auto"",""en""))"),"Furniture Production")</f>
        <v>Furniture Production</v>
      </c>
      <c r="AA3729" s="23" t="str">
        <f aca="false">IF(C3729="","", CHOOSE(MONTH(C3729),"January","February","March","April","May","June","July","August","September","October","November","December")&amp;" "&amp;DAY(C3729)&amp;MID("thstndrdth",MIN(9,2*RIGHT(DAY(C3729))*(MOD(DAY(C3729)-11,100)&gt;2)+1),2)&amp;","&amp;TEXT(C3729," yyyy"))</f>
        <v>June 2nd,2026</v>
      </c>
      <c r="AB3729" s="15" t="str">
        <f aca="true">IF(S3729="","",DATEDIF(S3729,TODAY(),"Y")&amp;" Tahun, "&amp;DATEDIF(S3729,TODAY(),"YM")&amp;" Bulan, "&amp;DATEDIF(S3729,TODAY(),"MD")&amp;" Hari")</f>
        <v>20 Tahun, 4 Bulan, 29 Hari</v>
      </c>
      <c r="AC3729" s="17" t="n">
        <v>46175</v>
      </c>
      <c r="AD3729" s="18" t="n">
        <f aca="false">EDATE(AC3729,3)-1</f>
        <v>46266</v>
      </c>
      <c r="AE3729" s="13" t="s">
        <v>397</v>
      </c>
    </row>
    <row r="3730" customFormat="false" ht="15" hidden="false" customHeight="true" outlineLevel="0" collapsed="false">
      <c r="A3730" s="12" t="n">
        <v>22350</v>
      </c>
      <c r="B3730" s="13" t="s">
        <v>15218</v>
      </c>
      <c r="C3730" s="16" t="n">
        <v>46175</v>
      </c>
      <c r="D3730" s="13" t="s">
        <v>5250</v>
      </c>
      <c r="E3730" s="15" t="s">
        <v>789</v>
      </c>
      <c r="F3730" s="24" t="s">
        <v>15219</v>
      </c>
      <c r="G3730" s="13" t="s">
        <v>2809</v>
      </c>
      <c r="H3730" s="13" t="s">
        <v>35</v>
      </c>
      <c r="I3730" s="13" t="str">
        <f aca="false">IF(C3730=J3730,"NEW KONTRAK","RE-KONTRAK")</f>
        <v>NEW KONTRAK</v>
      </c>
      <c r="J3730" s="16" t="n">
        <f aca="false" t="array" ref="J3730:J3730">IFERROR(INDEX(AC3730:AE3730,IF(COUNTA(AC3730:AE3730)=0,"",MAX((AC3730:AE3730&lt;&gt;"")*(COLUMN(AC3730:AE3730)-(COLUMN(AC3730)))))-1),"")</f>
        <v>46175</v>
      </c>
      <c r="K3730" s="16" t="n">
        <f aca="false" t="array" ref="K3730:K3730">IFERROR(INDEX(AC3730:AE3730,IF(COUNTA(AC3730:AE3730)=0,"",MAX((AC3730:AE3730&lt;&gt;"")*(COLUMN(AC3730:AE3730)-(COLUMN(AC3730)-1))))-1),"")</f>
        <v>46228</v>
      </c>
      <c r="L3730" s="17" t="str">
        <f aca="false" t="array" ref="L3730:L3730">IFERROR(INDEX(AC3730:AE3730,IF(COUNTA(AC3730:AE3730)=0,"",MAX((AC3730:AE3730&lt;&gt;"")*(COLUMN(AC3730:AE3730)-(COLUMN(AC3730)-2))))-1),"")</f>
        <v>KEMBALI</v>
      </c>
      <c r="M3730" s="13" t="n">
        <f aca="true">K3730-TODAY()</f>
        <v>-96</v>
      </c>
      <c r="N3730" s="18" t="s">
        <v>728</v>
      </c>
      <c r="O3730" s="13" t="s">
        <v>5406</v>
      </c>
      <c r="P3730" s="117" t="n">
        <v>2500000</v>
      </c>
      <c r="Q3730" s="20" t="s">
        <v>15220</v>
      </c>
      <c r="R3730" s="13" t="s">
        <v>1214</v>
      </c>
      <c r="S3730" s="14" t="n">
        <v>36764</v>
      </c>
      <c r="T3730" s="13" t="s">
        <v>40</v>
      </c>
      <c r="U3730" s="13" t="s">
        <v>15221</v>
      </c>
      <c r="V3730" s="13" t="s">
        <v>42</v>
      </c>
      <c r="W3730" s="13" t="s">
        <v>54</v>
      </c>
      <c r="X3730" s="30" t="n">
        <v>85226842450</v>
      </c>
      <c r="Y3730" s="22" t="str">
        <f aca="false">O3730</f>
        <v>Helper Mesin Cetak</v>
      </c>
      <c r="Z3730" s="13" t="str">
        <f aca="false">IFERROR(__xludf.dummyfunction("if(BJ3730="""","""",GOOGLETRANSLATE(BJ3730,""auto"",""en""))"),"Printing Machine Helper")</f>
        <v>Printing Machine Helper</v>
      </c>
      <c r="AA3730" s="23" t="str">
        <f aca="false">IF(C3730="","", CHOOSE(MONTH(C3730),"January","February","March","April","May","June","July","August","September","October","November","December")&amp;" "&amp;DAY(C3730)&amp;MID("thstndrdth",MIN(9,2*RIGHT(DAY(C3730))*(MOD(DAY(C3730)-11,100)&gt;2)+1),2)&amp;","&amp;TEXT(C3730," yyyy"))</f>
        <v>June 2nd,2026</v>
      </c>
      <c r="AB3730" s="15" t="str">
        <f aca="true">IF(S3730="","",DATEDIF(S3730,TODAY(),"Y")&amp;" Tahun, "&amp;DATEDIF(S3730,TODAY(),"YM")&amp;" Bulan, "&amp;DATEDIF(S3730,TODAY(),"MD")&amp;" Hari")</f>
        <v>26 Tahun, 2 Bulan, 3 Hari</v>
      </c>
      <c r="AC3730" s="53" t="n">
        <v>46175</v>
      </c>
      <c r="AD3730" s="18" t="n">
        <v>46228</v>
      </c>
      <c r="AE3730" s="13" t="s">
        <v>397</v>
      </c>
    </row>
    <row r="3731" customFormat="false" ht="15" hidden="false" customHeight="true" outlineLevel="0" collapsed="false">
      <c r="A3731" s="12" t="n">
        <v>22351</v>
      </c>
      <c r="B3731" s="13" t="s">
        <v>14568</v>
      </c>
      <c r="C3731" s="16" t="n">
        <v>46168</v>
      </c>
      <c r="D3731" s="13" t="s">
        <v>14185</v>
      </c>
      <c r="E3731" s="15" t="s">
        <v>102</v>
      </c>
      <c r="F3731" s="24" t="s">
        <v>15222</v>
      </c>
      <c r="G3731" s="24" t="s">
        <v>57</v>
      </c>
      <c r="H3731" s="13" t="s">
        <v>3024</v>
      </c>
      <c r="I3731" s="13" t="str">
        <f aca="false">IF(C3731=J3731,"NEW KONTRAK","RE-KONTRAK")</f>
        <v>NEW KONTRAK</v>
      </c>
      <c r="J3731" s="16" t="n">
        <f aca="false" t="array" ref="J3731:J3731">IFERROR(INDEX(AC3731:AE3731,IF(COUNTA(AC3731:AE3731)=0,"",MAX((AC3731:AE3731&lt;&gt;"")*(COLUMN(AC3731:AE3731)-(COLUMN(AC3731)))))-1),"")</f>
        <v>46168</v>
      </c>
      <c r="K3731" s="16" t="n">
        <f aca="false" t="array" ref="K3731:K3731">IFERROR(INDEX(AC3731:AE3731,IF(COUNTA(AC3731:AE3731)=0,"",MAX((AC3731:AE3731&lt;&gt;"")*(COLUMN(AC3731:AE3731)-(COLUMN(AC3731)-1))))-1),"")</f>
        <v>46259</v>
      </c>
      <c r="L3731" s="17" t="str">
        <f aca="false" t="array" ref="L3731:L3731">IFERROR(INDEX(AC3731:AE3731,IF(COUNTA(AC3731:AE3731)=0,"",MAX((AC3731:AE3731&lt;&gt;"")*(COLUMN(AC3731:AE3731)-(COLUMN(AC3731)-2))))-1),"")</f>
        <v>ARCHIVED</v>
      </c>
      <c r="M3731" s="13" t="n">
        <f aca="true">K3731-TODAY()</f>
        <v>-65</v>
      </c>
      <c r="N3731" s="50" t="s">
        <v>728</v>
      </c>
      <c r="O3731" s="13" t="s">
        <v>11196</v>
      </c>
      <c r="P3731" s="19" t="n">
        <v>120000</v>
      </c>
      <c r="Q3731" s="20" t="s">
        <v>15223</v>
      </c>
      <c r="R3731" s="13" t="s">
        <v>52</v>
      </c>
      <c r="S3731" s="14" t="n">
        <v>37132</v>
      </c>
      <c r="T3731" s="13" t="s">
        <v>40</v>
      </c>
      <c r="U3731" s="13" t="s">
        <v>15224</v>
      </c>
      <c r="V3731" s="13" t="s">
        <v>42</v>
      </c>
      <c r="W3731" s="13" t="s">
        <v>43</v>
      </c>
      <c r="X3731" s="30" t="n">
        <v>82210099688</v>
      </c>
      <c r="Y3731" s="22" t="str">
        <f aca="false">O3731</f>
        <v>Helper Gudang</v>
      </c>
      <c r="Z3731" s="13" t="str">
        <f aca="false">IFERROR(__xludf.dummyfunction("if(BJ3731="""","""",GOOGLETRANSLATE(BJ3731,""auto"",""en""))"),"Helper Gudang")</f>
        <v>Helper Gudang</v>
      </c>
      <c r="AA3731" s="23" t="str">
        <f aca="false">IF(C3731="","", CHOOSE(MONTH(C3731),"January","February","March","April","May","June","July","August","September","October","November","December")&amp;" "&amp;DAY(C3731)&amp;MID("thstndrdth",MIN(9,2*RIGHT(DAY(C3731))*(MOD(DAY(C3731)-11,100)&gt;2)+1),2)&amp;","&amp;TEXT(C3731," yyyy"))</f>
        <v>May 26th,2026</v>
      </c>
      <c r="AB3731" s="15" t="str">
        <f aca="true">IF(S3731="","",DATEDIF(S3731,TODAY(),"Y")&amp;" Tahun, "&amp;DATEDIF(S3731,TODAY(),"YM")&amp;" Bulan, "&amp;DATEDIF(S3731,TODAY(),"MD")&amp;" Hari")</f>
        <v>25 Tahun, 2 Bulan, 0 Hari</v>
      </c>
      <c r="AC3731" s="14" t="n">
        <v>46168</v>
      </c>
      <c r="AD3731" s="18" t="n">
        <f aca="false">EDATE(AC3731,3)-1</f>
        <v>46259</v>
      </c>
      <c r="AE3731" s="13" t="s">
        <v>44</v>
      </c>
    </row>
    <row r="3732" customFormat="false" ht="15" hidden="false" customHeight="true" outlineLevel="0" collapsed="false">
      <c r="A3732" s="12" t="n">
        <v>22352</v>
      </c>
      <c r="B3732" s="13" t="s">
        <v>15225</v>
      </c>
      <c r="C3732" s="16" t="n">
        <v>46170</v>
      </c>
      <c r="D3732" s="13" t="s">
        <v>14185</v>
      </c>
      <c r="E3732" s="15" t="s">
        <v>102</v>
      </c>
      <c r="F3732" s="24" t="s">
        <v>15226</v>
      </c>
      <c r="G3732" s="24" t="s">
        <v>57</v>
      </c>
      <c r="H3732" s="13" t="s">
        <v>3024</v>
      </c>
      <c r="I3732" s="13" t="str">
        <f aca="false">IF(C3732=J3732,"NEW KONTRAK","RE-KONTRAK")</f>
        <v>RE-KONTRAK</v>
      </c>
      <c r="J3732" s="16" t="n">
        <f aca="false" t="array" ref="J3732:J3732">IFERROR(INDEX(AC3732:AE3732,IF(COUNTA(AC3732:AE3732)=0,"",MAX((AC3732:AE3732&lt;&gt;"")*(COLUMN(AC3732:AE3732)-(COLUMN(AC3732)))))-1),"")</f>
        <v>46168</v>
      </c>
      <c r="K3732" s="16" t="n">
        <f aca="false" t="array" ref="K3732:K3732">IFERROR(INDEX(AC3732:AE3732,IF(COUNTA(AC3732:AE3732)=0,"",MAX((AC3732:AE3732&lt;&gt;"")*(COLUMN(AC3732:AE3732)-(COLUMN(AC3732)-1))))-1),"")</f>
        <v>46259</v>
      </c>
      <c r="L3732" s="17" t="str">
        <f aca="false" t="array" ref="L3732:L3732">IFERROR(INDEX(AC3732:AE3732,IF(COUNTA(AC3732:AE3732)=0,"",MAX((AC3732:AE3732&lt;&gt;"")*(COLUMN(AC3732:AE3732)-(COLUMN(AC3732)-2))))-1),"")</f>
        <v>ARCHIVED</v>
      </c>
      <c r="M3732" s="13" t="n">
        <f aca="true">K3732-TODAY()</f>
        <v>-65</v>
      </c>
      <c r="N3732" s="50" t="s">
        <v>728</v>
      </c>
      <c r="O3732" s="13" t="s">
        <v>11196</v>
      </c>
      <c r="P3732" s="19" t="n">
        <v>120000</v>
      </c>
      <c r="Q3732" s="20" t="s">
        <v>15227</v>
      </c>
      <c r="R3732" s="13" t="s">
        <v>52</v>
      </c>
      <c r="S3732" s="14" t="n">
        <v>37446</v>
      </c>
      <c r="T3732" s="13" t="s">
        <v>40</v>
      </c>
      <c r="U3732" s="13" t="s">
        <v>15228</v>
      </c>
      <c r="V3732" s="13" t="s">
        <v>42</v>
      </c>
      <c r="W3732" s="13" t="s">
        <v>43</v>
      </c>
      <c r="X3732" s="30" t="n">
        <v>81343536822</v>
      </c>
      <c r="Y3732" s="22" t="str">
        <f aca="false">O3732</f>
        <v>Helper Gudang</v>
      </c>
      <c r="Z3732" s="13" t="str">
        <f aca="false">IFERROR(__xludf.dummyfunction("if(BJ3732="""","""",GOOGLETRANSLATE(BJ3732,""auto"",""en""))"),"Helper Gudang")</f>
        <v>Helper Gudang</v>
      </c>
      <c r="AA3732" s="23" t="str">
        <f aca="false">IF(C3732="","", CHOOSE(MONTH(C3732),"January","February","March","April","May","June","July","August","September","October","November","December")&amp;" "&amp;DAY(C3732)&amp;MID("thstndrdth",MIN(9,2*RIGHT(DAY(C3732))*(MOD(DAY(C3732)-11,100)&gt;2)+1),2)&amp;","&amp;TEXT(C3732," yyyy"))</f>
        <v>May 28th,2026</v>
      </c>
      <c r="AB3732" s="15" t="str">
        <f aca="true">IF(S3732="","",DATEDIF(S3732,TODAY(),"Y")&amp;" Tahun, "&amp;DATEDIF(S3732,TODAY(),"YM")&amp;" Bulan, "&amp;DATEDIF(S3732,TODAY(),"MD")&amp;" Hari")</f>
        <v>24 Tahun, 3 Bulan, 20 Hari</v>
      </c>
      <c r="AC3732" s="14" t="n">
        <v>46168</v>
      </c>
      <c r="AD3732" s="18" t="n">
        <f aca="false">EDATE(AC3732,3)-1</f>
        <v>46259</v>
      </c>
      <c r="AE3732" s="13" t="s">
        <v>44</v>
      </c>
    </row>
    <row r="3733" customFormat="false" ht="15" hidden="false" customHeight="true" outlineLevel="0" collapsed="false">
      <c r="A3733" s="54" t="n">
        <v>22353</v>
      </c>
      <c r="B3733" s="45" t="s">
        <v>15229</v>
      </c>
      <c r="C3733" s="57" t="n">
        <v>46165</v>
      </c>
      <c r="D3733" s="45" t="s">
        <v>10058</v>
      </c>
      <c r="E3733" s="56" t="s">
        <v>102</v>
      </c>
      <c r="F3733" s="24" t="s">
        <v>15230</v>
      </c>
      <c r="G3733" s="24" t="s">
        <v>57</v>
      </c>
      <c r="H3733" s="45" t="s">
        <v>3024</v>
      </c>
      <c r="I3733" s="45" t="str">
        <f aca="false">IF(C3733=J3733,"NEW KONTRAK","RE-KONTRAK")</f>
        <v>NEW KONTRAK</v>
      </c>
      <c r="J3733" s="57" t="n">
        <f aca="false" t="array" ref="J3733:J3733">IFERROR(INDEX(AC3733:AE3733,IF(COUNTA(AC3733:AE3733)=0,"",MAX((AC3733:AE3733&lt;&gt;"")*(COLUMN(AC3733:AE3733)-(COLUMN(AC3733)))))-1),"")</f>
        <v>46165</v>
      </c>
      <c r="K3733" s="57" t="n">
        <f aca="false" t="array" ref="K3733:K3733">IFERROR(INDEX(AC3733:AE3733,IF(COUNTA(AC3733:AE3733)=0,"",MAX((AC3733:AE3733&lt;&gt;"")*(COLUMN(AC3733:AE3733)-(COLUMN(AC3733)-1))))-1),"")</f>
        <v>46188</v>
      </c>
      <c r="L3733" s="17" t="str">
        <f aca="false" t="array" ref="L3733:L3733">IFERROR(INDEX(AC3733:AE3733,IF(COUNTA(AC3733:AE3733)=0,"",MAX((AC3733:AE3733&lt;&gt;"")*(COLUMN(AC3733:AE3733)-(COLUMN(AC3733)-2))))-1),"")</f>
        <v>KEMBALI ONLINE</v>
      </c>
      <c r="M3733" s="45" t="n">
        <f aca="true">K3733-TODAY()</f>
        <v>-136</v>
      </c>
      <c r="N3733" s="58" t="s">
        <v>105</v>
      </c>
      <c r="O3733" s="45" t="s">
        <v>10059</v>
      </c>
      <c r="P3733" s="59" t="n">
        <v>138915</v>
      </c>
      <c r="Q3733" s="60" t="s">
        <v>15231</v>
      </c>
      <c r="R3733" s="45" t="s">
        <v>148</v>
      </c>
      <c r="S3733" s="55" t="n">
        <v>39191</v>
      </c>
      <c r="T3733" s="45" t="s">
        <v>108</v>
      </c>
      <c r="U3733" s="45" t="s">
        <v>15232</v>
      </c>
      <c r="V3733" s="45" t="s">
        <v>42</v>
      </c>
      <c r="W3733" s="45" t="s">
        <v>43</v>
      </c>
      <c r="X3733" s="30" t="n">
        <v>82339431290</v>
      </c>
      <c r="Y3733" s="62" t="str">
        <f aca="false">O3733</f>
        <v>Harian Lepas E-Commerce</v>
      </c>
      <c r="Z3733" s="45" t="str">
        <f aca="false">IFERROR(__xludf.dummyfunction("if(BJ3733="""","""",GOOGLETRANSLATE(BJ3733,""auto"",""en""))"),"Daily Post E-Commerce")</f>
        <v>Daily Post E-Commerce</v>
      </c>
      <c r="AA3733" s="63" t="str">
        <f aca="false">IF(C3733="","", CHOOSE(MONTH(C3733),"January","February","March","April","May","June","July","August","September","October","November","December")&amp;" "&amp;DAY(C3733)&amp;MID("thstndrdth",MIN(9,2*RIGHT(DAY(C3733))*(MOD(DAY(C3733)-11,100)&gt;2)+1),2)&amp;","&amp;TEXT(C3733," yyyy"))</f>
        <v>May 23rd,2026</v>
      </c>
      <c r="AB3733" s="56" t="str">
        <f aca="true">IF(S3733="","",DATEDIF(S3733,TODAY(),"Y")&amp;" Tahun, "&amp;DATEDIF(S3733,TODAY(),"YM")&amp;" Bulan, "&amp;DATEDIF(S3733,TODAY(),"MD")&amp;" Hari")</f>
        <v>19 Tahun, 6 Bulan, 10 Hari</v>
      </c>
      <c r="AC3733" s="55" t="n">
        <v>46165</v>
      </c>
      <c r="AD3733" s="55" t="n">
        <v>46188</v>
      </c>
      <c r="AE3733" s="45" t="s">
        <v>2387</v>
      </c>
    </row>
    <row r="3734" customFormat="false" ht="15" hidden="false" customHeight="true" outlineLevel="0" collapsed="false">
      <c r="A3734" s="12" t="n">
        <v>22354</v>
      </c>
      <c r="B3734" s="13" t="s">
        <v>15233</v>
      </c>
      <c r="C3734" s="16" t="n">
        <v>46170</v>
      </c>
      <c r="D3734" s="13" t="s">
        <v>10058</v>
      </c>
      <c r="E3734" s="15" t="s">
        <v>47</v>
      </c>
      <c r="F3734" s="24" t="s">
        <v>15234</v>
      </c>
      <c r="G3734" s="24" t="s">
        <v>57</v>
      </c>
      <c r="H3734" s="13" t="s">
        <v>3024</v>
      </c>
      <c r="I3734" s="13" t="str">
        <f aca="false">IF(C3734=J3734,"NEW KONTRAK","RE-KONTRAK")</f>
        <v>NEW KONTRAK</v>
      </c>
      <c r="J3734" s="16" t="n">
        <f aca="false" t="array" ref="J3734:J3734">IFERROR(INDEX(AC3734:AE3734,IF(COUNTA(AC3734:AE3734)=0,"",MAX((AC3734:AE3734&lt;&gt;"")*(COLUMN(AC3734:AE3734)-(COLUMN(AC3734)))))-1),"")</f>
        <v>46170</v>
      </c>
      <c r="K3734" s="16" t="n">
        <f aca="false" t="array" ref="K3734:K3734">IFERROR(INDEX(AC3734:AE3734,IF(COUNTA(AC3734:AE3734)=0,"",MAX((AC3734:AE3734&lt;&gt;"")*(COLUMN(AC3734:AE3734)-(COLUMN(AC3734)-1))))-1),"")</f>
        <v>46188</v>
      </c>
      <c r="L3734" s="17" t="str">
        <f aca="false" t="array" ref="L3734:L3734">IFERROR(INDEX(AC3734:AE3734,IF(COUNTA(AC3734:AE3734)=0,"",MAX((AC3734:AE3734&lt;&gt;"")*(COLUMN(AC3734:AE3734)-(COLUMN(AC3734)-2))))-1),"")</f>
        <v>KEMBALI ONLINE</v>
      </c>
      <c r="M3734" s="13" t="n">
        <f aca="true">K3734-TODAY()</f>
        <v>-136</v>
      </c>
      <c r="N3734" s="18" t="s">
        <v>105</v>
      </c>
      <c r="O3734" s="13" t="s">
        <v>10059</v>
      </c>
      <c r="P3734" s="31" t="n">
        <v>138915</v>
      </c>
      <c r="Q3734" s="20" t="s">
        <v>15235</v>
      </c>
      <c r="R3734" s="13" t="s">
        <v>1695</v>
      </c>
      <c r="S3734" s="14" t="n">
        <v>37992</v>
      </c>
      <c r="T3734" s="13" t="s">
        <v>108</v>
      </c>
      <c r="U3734" s="13" t="s">
        <v>15236</v>
      </c>
      <c r="V3734" s="13" t="s">
        <v>42</v>
      </c>
      <c r="W3734" s="13" t="s">
        <v>43</v>
      </c>
      <c r="X3734" s="30" t="n">
        <v>89881414139</v>
      </c>
      <c r="Y3734" s="22" t="str">
        <f aca="false">O3734</f>
        <v>Harian Lepas E-Commerce</v>
      </c>
      <c r="Z3734" s="13" t="str">
        <f aca="false">IFERROR(__xludf.dummyfunction("if(BJ3734="""","""",GOOGLETRANSLATE(BJ3734,""auto"",""en""))"),"Daily Post E-Commerce")</f>
        <v>Daily Post E-Commerce</v>
      </c>
      <c r="AA3734" s="23" t="str">
        <f aca="false">IF(C3734="","", CHOOSE(MONTH(C3734),"January","February","March","April","May","June","July","August","September","October","November","December")&amp;" "&amp;DAY(C3734)&amp;MID("thstndrdth",MIN(9,2*RIGHT(DAY(C3734))*(MOD(DAY(C3734)-11,100)&gt;2)+1),2)&amp;","&amp;TEXT(C3734," yyyy"))</f>
        <v>May 28th,2026</v>
      </c>
      <c r="AB3734" s="15" t="str">
        <f aca="true">IF(S3734="","",DATEDIF(S3734,TODAY(),"Y")&amp;" Tahun, "&amp;DATEDIF(S3734,TODAY(),"YM")&amp;" Bulan, "&amp;DATEDIF(S3734,TODAY(),"MD")&amp;" Hari")</f>
        <v>22 Tahun, 9 Bulan, 23 Hari</v>
      </c>
      <c r="AC3734" s="14" t="n">
        <v>46170</v>
      </c>
      <c r="AD3734" s="14" t="n">
        <v>46188</v>
      </c>
      <c r="AE3734" s="13" t="s">
        <v>2387</v>
      </c>
    </row>
    <row r="3735" customFormat="false" ht="15" hidden="false" customHeight="true" outlineLevel="0" collapsed="false">
      <c r="A3735" s="12" t="n">
        <v>22355</v>
      </c>
      <c r="B3735" s="13" t="s">
        <v>15237</v>
      </c>
      <c r="C3735" s="16" t="n">
        <v>46175</v>
      </c>
      <c r="D3735" s="13" t="s">
        <v>4743</v>
      </c>
      <c r="E3735" s="15" t="s">
        <v>47</v>
      </c>
      <c r="F3735" s="24" t="s">
        <v>15238</v>
      </c>
      <c r="G3735" s="13" t="s">
        <v>1127</v>
      </c>
      <c r="H3735" s="13" t="s">
        <v>35</v>
      </c>
      <c r="I3735" s="13" t="str">
        <f aca="false">IF(C3735=J3735,"NEW KONTRAK","RE-KONTRAK")</f>
        <v>NEW KONTRAK</v>
      </c>
      <c r="J3735" s="16" t="n">
        <f aca="false" t="array" ref="J3735:J3735">IFERROR(INDEX(AC3735:AE3735,IF(COUNTA(AC3735:AE3735)=0,"",MAX((AC3735:AE3735&lt;&gt;"")*(COLUMN(AC3735:AE3735)-(COLUMN(AC3735)))))-1),"")</f>
        <v>46175</v>
      </c>
      <c r="K3735" s="16" t="n">
        <f aca="false" t="array" ref="K3735:K3735">IFERROR(INDEX(AC3735:AE3735,IF(COUNTA(AC3735:AE3735)=0,"",MAX((AC3735:AE3735&lt;&gt;"")*(COLUMN(AC3735:AE3735)-(COLUMN(AC3735)-1))))-1),"")</f>
        <v>46266</v>
      </c>
      <c r="L3735" s="17" t="str">
        <f aca="false" t="array" ref="L3735:L3735">IFERROR(INDEX(AC3735:AE3735,IF(COUNTA(AC3735:AE3735)=0,"",MAX((AC3735:AE3735&lt;&gt;"")*(COLUMN(AC3735:AE3735)-(COLUMN(AC3735)-2))))-1),"")</f>
        <v>KEMBALI</v>
      </c>
      <c r="M3735" s="13" t="n">
        <f aca="true">K3735-TODAY()</f>
        <v>-58</v>
      </c>
      <c r="N3735" s="18" t="s">
        <v>728</v>
      </c>
      <c r="O3735" s="13" t="s">
        <v>10648</v>
      </c>
      <c r="P3735" s="19" t="n">
        <v>4368581</v>
      </c>
      <c r="Q3735" s="20" t="s">
        <v>15239</v>
      </c>
      <c r="R3735" s="13" t="s">
        <v>52</v>
      </c>
      <c r="S3735" s="14" t="n">
        <v>38437</v>
      </c>
      <c r="T3735" s="13" t="s">
        <v>108</v>
      </c>
      <c r="U3735" s="13" t="s">
        <v>15240</v>
      </c>
      <c r="V3735" s="13" t="s">
        <v>42</v>
      </c>
      <c r="W3735" s="13" t="s">
        <v>43</v>
      </c>
      <c r="X3735" s="21" t="n">
        <v>83115381209</v>
      </c>
      <c r="Y3735" s="22" t="str">
        <f aca="false">O3735</f>
        <v>Admin Sales</v>
      </c>
      <c r="Z3735" s="13" t="str">
        <f aca="false">IFERROR(__xludf.dummyfunction("if(BJ3735="""","""",GOOGLETRANSLATE(BJ3735,""auto"",""en""))"),"Admin Sales")</f>
        <v>Admin Sales</v>
      </c>
      <c r="AA3735" s="23" t="str">
        <f aca="false">IF(C3735="","", CHOOSE(MONTH(C3735),"January","February","March","April","May","June","July","August","September","October","November","December")&amp;" "&amp;DAY(C3735)&amp;MID("thstndrdth",MIN(9,2*RIGHT(DAY(C3735))*(MOD(DAY(C3735)-11,100)&gt;2)+1),2)&amp;","&amp;TEXT(C3735," yyyy"))</f>
        <v>June 2nd,2026</v>
      </c>
      <c r="AB3735" s="15" t="str">
        <f aca="true">IF(S3735="","",DATEDIF(S3735,TODAY(),"Y")&amp;" Tahun, "&amp;DATEDIF(S3735,TODAY(),"YM")&amp;" Bulan, "&amp;DATEDIF(S3735,TODAY(),"MD")&amp;" Hari")</f>
        <v>21 Tahun, 7 Bulan, 3 Hari</v>
      </c>
      <c r="AC3735" s="14" t="n">
        <v>46175</v>
      </c>
      <c r="AD3735" s="18" t="n">
        <f aca="false">EDATE(AC3735,3)-1</f>
        <v>46266</v>
      </c>
      <c r="AE3735" s="13" t="s">
        <v>397</v>
      </c>
    </row>
    <row r="3736" customFormat="false" ht="15" hidden="false" customHeight="true" outlineLevel="0" collapsed="false">
      <c r="A3736" s="12" t="n">
        <v>22356</v>
      </c>
      <c r="B3736" s="13" t="s">
        <v>15241</v>
      </c>
      <c r="C3736" s="16" t="n">
        <v>46160</v>
      </c>
      <c r="D3736" s="13" t="s">
        <v>747</v>
      </c>
      <c r="E3736" s="15" t="s">
        <v>47</v>
      </c>
      <c r="F3736" s="24" t="s">
        <v>15242</v>
      </c>
      <c r="G3736" s="13" t="s">
        <v>1127</v>
      </c>
      <c r="H3736" s="13" t="s">
        <v>35</v>
      </c>
      <c r="I3736" s="13" t="str">
        <f aca="false">IF(C3736=J3736,"NEW KONTRAK","RE-KONTRAK")</f>
        <v>RE-KONTRAK</v>
      </c>
      <c r="J3736" s="16" t="n">
        <f aca="false" t="array" ref="J3736:J3736">IFERROR(INDEX(AC3736:AE3736,IF(COUNTA(AC3736:AE3736)=0,"",MAX((AC3736:AE3736&lt;&gt;"")*(COLUMN(AC3736:AE3736)-(COLUMN(AC3736)))))-1),"")</f>
        <v>46204</v>
      </c>
      <c r="K3736" s="16" t="n">
        <f aca="false" t="array" ref="K3736:K3736">IFERROR(INDEX(AC3736:AE3736,IF(COUNTA(AC3736:AE3736)=0,"",MAX((AC3736:AE3736&lt;&gt;"")*(COLUMN(AC3736:AE3736)-(COLUMN(AC3736)-1))))-1),"")</f>
        <v>46387</v>
      </c>
      <c r="L3736" s="17" t="str">
        <f aca="false" t="array" ref="L3736:L3736">IFERROR(INDEX(AC3736:AE3736,IF(COUNTA(AC3736:AE3736)=0,"",MAX((AC3736:AE3736&lt;&gt;"")*(COLUMN(AC3736:AE3736)-(COLUMN(AC3736)-2))))-1),"")</f>
        <v>KEMBALI</v>
      </c>
      <c r="M3736" s="13" t="n">
        <f aca="true">K3736-TODAY()</f>
        <v>63</v>
      </c>
      <c r="N3736" s="18" t="s">
        <v>749</v>
      </c>
      <c r="O3736" s="13" t="s">
        <v>5017</v>
      </c>
      <c r="P3736" s="19" t="n">
        <v>3983881</v>
      </c>
      <c r="Q3736" s="20" t="s">
        <v>15243</v>
      </c>
      <c r="R3736" s="13" t="s">
        <v>752</v>
      </c>
      <c r="S3736" s="14" t="n">
        <v>39498</v>
      </c>
      <c r="T3736" s="13" t="s">
        <v>40</v>
      </c>
      <c r="U3736" s="13" t="s">
        <v>15244</v>
      </c>
      <c r="V3736" s="13" t="s">
        <v>42</v>
      </c>
      <c r="W3736" s="13" t="s">
        <v>43</v>
      </c>
      <c r="X3736" s="21" t="n">
        <v>82254999075</v>
      </c>
      <c r="Y3736" s="22" t="str">
        <f aca="false">O3736</f>
        <v>Sales</v>
      </c>
      <c r="Z3736" s="13" t="str">
        <f aca="false">IFERROR(__xludf.dummyfunction("if(BJ3736="""","""",GOOGLETRANSLATE(BJ3736,""auto"",""en""))"),"Sales")</f>
        <v>Sales</v>
      </c>
      <c r="AA3736" s="23" t="str">
        <f aca="false">IF(C3736="","", CHOOSE(MONTH(C3736),"January","February","March","April","May","June","July","August","September","October","November","December")&amp;" "&amp;DAY(C3736)&amp;MID("thstndrdth",MIN(9,2*RIGHT(DAY(C3736))*(MOD(DAY(C3736)-11,100)&gt;2)+1),2)&amp;","&amp;TEXT(C3736," yyyy"))</f>
        <v>May 18th,2026</v>
      </c>
      <c r="AB3736" s="15" t="str">
        <f aca="true">IF(S3736="","",DATEDIF(S3736,TODAY(),"Y")&amp;" Tahun, "&amp;DATEDIF(S3736,TODAY(),"YM")&amp;" Bulan, "&amp;DATEDIF(S3736,TODAY(),"MD")&amp;" Hari")</f>
        <v>18 Tahun, 8 Bulan, 9 Hari</v>
      </c>
      <c r="AC3736" s="18" t="n">
        <v>46204</v>
      </c>
      <c r="AD3736" s="18" t="n">
        <v>46387</v>
      </c>
      <c r="AE3736" s="13" t="s">
        <v>397</v>
      </c>
    </row>
    <row r="3737" customFormat="false" ht="15" hidden="false" customHeight="true" outlineLevel="0" collapsed="false">
      <c r="A3737" s="12" t="n">
        <v>22357</v>
      </c>
      <c r="B3737" s="13" t="s">
        <v>15245</v>
      </c>
      <c r="C3737" s="16" t="n">
        <v>46175</v>
      </c>
      <c r="D3737" s="13" t="s">
        <v>10058</v>
      </c>
      <c r="E3737" s="15" t="s">
        <v>47</v>
      </c>
      <c r="F3737" s="24" t="s">
        <v>15246</v>
      </c>
      <c r="G3737" s="24" t="s">
        <v>57</v>
      </c>
      <c r="H3737" s="13" t="s">
        <v>3024</v>
      </c>
      <c r="I3737" s="13" t="str">
        <f aca="false">IF(C3737=J3737,"NEW KONTRAK","RE-KONTRAK")</f>
        <v>NEW KONTRAK</v>
      </c>
      <c r="J3737" s="16" t="n">
        <f aca="false" t="array" ref="J3737:J3737">IFERROR(INDEX(AC3737:AE3737,IF(COUNTA(AC3737:AE3737)=0,"",MAX((AC3737:AE3737&lt;&gt;"")*(COLUMN(AC3737:AE3737)-(COLUMN(AC3737)))))-1),"")</f>
        <v>46175</v>
      </c>
      <c r="K3737" s="16" t="n">
        <f aca="false" t="array" ref="K3737:K3737">IFERROR(INDEX(AC3737:AE3737,IF(COUNTA(AC3737:AE3737)=0,"",MAX((AC3737:AE3737&lt;&gt;"")*(COLUMN(AC3737:AE3737)-(COLUMN(AC3737)-1))))-1),"")</f>
        <v>46188</v>
      </c>
      <c r="L3737" s="17" t="str">
        <f aca="false" t="array" ref="L3737:L3737">IFERROR(INDEX(AC3737:AE3737,IF(COUNTA(AC3737:AE3737)=0,"",MAX((AC3737:AE3737&lt;&gt;"")*(COLUMN(AC3737:AE3737)-(COLUMN(AC3737)-2))))-1),"")</f>
        <v>KEMBALI ONLINE</v>
      </c>
      <c r="M3737" s="13" t="n">
        <f aca="true">K3737-TODAY()</f>
        <v>-136</v>
      </c>
      <c r="N3737" s="18" t="s">
        <v>105</v>
      </c>
      <c r="O3737" s="13" t="s">
        <v>14127</v>
      </c>
      <c r="P3737" s="31" t="n">
        <v>138915</v>
      </c>
      <c r="Q3737" s="20" t="s">
        <v>15247</v>
      </c>
      <c r="R3737" s="13" t="s">
        <v>39</v>
      </c>
      <c r="S3737" s="14" t="n">
        <v>37099</v>
      </c>
      <c r="T3737" s="13" t="s">
        <v>108</v>
      </c>
      <c r="U3737" s="13" t="s">
        <v>15248</v>
      </c>
      <c r="V3737" s="13" t="s">
        <v>42</v>
      </c>
      <c r="W3737" s="13" t="s">
        <v>43</v>
      </c>
      <c r="X3737" s="30" t="n">
        <v>83155231491</v>
      </c>
      <c r="Y3737" s="22" t="str">
        <f aca="false">O3737</f>
        <v>Harian Lepas (Helper Gudang)</v>
      </c>
      <c r="Z3737" s="13" t="str">
        <f aca="false">IFERROR(__xludf.dummyfunction("if(BJ3737="""","""",GOOGLETRANSLATE(BJ3737,""auto"",""en""))"),"Daily (Warehouse Helper)")</f>
        <v>Daily (Warehouse Helper)</v>
      </c>
      <c r="AA3737" s="23" t="str">
        <f aca="false">IF(C3737="","", CHOOSE(MONTH(C3737),"January","February","March","April","May","June","July","August","September","October","November","December")&amp;" "&amp;DAY(C3737)&amp;MID("thstndrdth",MIN(9,2*RIGHT(DAY(C3737))*(MOD(DAY(C3737)-11,100)&gt;2)+1),2)&amp;","&amp;TEXT(C3737," yyyy"))</f>
        <v>June 2nd,2026</v>
      </c>
      <c r="AB3737" s="15" t="str">
        <f aca="true">IF(S3737="","",DATEDIF(S3737,TODAY(),"Y")&amp;" Tahun, "&amp;DATEDIF(S3737,TODAY(),"YM")&amp;" Bulan, "&amp;DATEDIF(S3737,TODAY(),"MD")&amp;" Hari")</f>
        <v>25 Tahun, 3 Bulan, 2 Hari</v>
      </c>
      <c r="AC3737" s="14" t="n">
        <v>46175</v>
      </c>
      <c r="AD3737" s="14" t="n">
        <v>46188</v>
      </c>
      <c r="AE3737" s="13" t="s">
        <v>2387</v>
      </c>
    </row>
    <row r="3738" customFormat="false" ht="15" hidden="false" customHeight="true" outlineLevel="0" collapsed="false">
      <c r="A3738" s="12" t="n">
        <v>22358</v>
      </c>
      <c r="B3738" s="13" t="s">
        <v>15249</v>
      </c>
      <c r="C3738" s="16" t="n">
        <v>46177</v>
      </c>
      <c r="D3738" s="13" t="s">
        <v>5892</v>
      </c>
      <c r="E3738" s="15" t="s">
        <v>102</v>
      </c>
      <c r="F3738" s="24" t="s">
        <v>15250</v>
      </c>
      <c r="G3738" s="24" t="s">
        <v>57</v>
      </c>
      <c r="H3738" s="13" t="s">
        <v>35</v>
      </c>
      <c r="I3738" s="13" t="str">
        <f aca="false">IF(C3738=J3738,"NEW KONTRAK","RE-KONTRAK")</f>
        <v>NEW KONTRAK</v>
      </c>
      <c r="J3738" s="16" t="n">
        <f aca="false" t="array" ref="J3738:J3738">IFERROR(INDEX(AC3738:AE3738,IF(COUNTA(AC3738:AE3738)=0,"",MAX((AC3738:AE3738&lt;&gt;"")*(COLUMN(AC3738:AE3738)-(COLUMN(AC3738)))))-1),"")</f>
        <v>46177</v>
      </c>
      <c r="K3738" s="16" t="n">
        <f aca="false" t="array" ref="K3738:K3738">IFERROR(INDEX(AC3738:AE3738,IF(COUNTA(AC3738:AE3738)=0,"",MAX((AC3738:AE3738&lt;&gt;"")*(COLUMN(AC3738:AE3738)-(COLUMN(AC3738)-1))))-1),"")</f>
        <v>46206</v>
      </c>
      <c r="L3738" s="17" t="str">
        <f aca="false" t="array" ref="L3738:L3738">IFERROR(INDEX(AC3738:AE3738,IF(COUNTA(AC3738:AE3738)=0,"",MAX((AC3738:AE3738&lt;&gt;"")*(COLUMN(AC3738:AE3738)-(COLUMN(AC3738)-2))))-1),"")</f>
        <v>ARCHIVED</v>
      </c>
      <c r="M3738" s="13" t="n">
        <f aca="true">K3738-TODAY()</f>
        <v>-118</v>
      </c>
      <c r="N3738" s="18" t="s">
        <v>105</v>
      </c>
      <c r="O3738" s="13" t="s">
        <v>15251</v>
      </c>
      <c r="P3738" s="19" t="n">
        <v>3000000</v>
      </c>
      <c r="Q3738" s="20" t="s">
        <v>15252</v>
      </c>
      <c r="R3738" s="13" t="s">
        <v>73</v>
      </c>
      <c r="S3738" s="14" t="n">
        <v>34629</v>
      </c>
      <c r="T3738" s="13" t="s">
        <v>40</v>
      </c>
      <c r="U3738" s="13" t="s">
        <v>15253</v>
      </c>
      <c r="V3738" s="13" t="s">
        <v>42</v>
      </c>
      <c r="W3738" s="13" t="s">
        <v>43</v>
      </c>
      <c r="X3738" s="21" t="n">
        <v>81251841927</v>
      </c>
      <c r="Y3738" s="22" t="str">
        <f aca="false">O3738</f>
        <v>ADMIN CHECKER GUDANG</v>
      </c>
      <c r="Z3738" s="13" t="str">
        <f aca="false">IFERROR(__xludf.dummyfunction("if(BJ3738="""","""",GOOGLETRANSLATE(BJ3738,""auto"",""en""))"),"WAREHOUSE CHECKER ADMIN")</f>
        <v>WAREHOUSE CHECKER ADMIN</v>
      </c>
      <c r="AA3738" s="23" t="str">
        <f aca="false">IF(C3738="","", CHOOSE(MONTH(C3738),"January","February","March","April","May","June","July","August","September","October","November","December")&amp;" "&amp;DAY(C3738)&amp;MID("thstndrdth",MIN(9,2*RIGHT(DAY(C3738))*(MOD(DAY(C3738)-11,100)&gt;2)+1),2)&amp;","&amp;TEXT(C3738," yyyy"))</f>
        <v>June 4th,2026</v>
      </c>
      <c r="AB3738" s="15" t="str">
        <f aca="true">IF(S3738="","",DATEDIF(S3738,TODAY(),"Y")&amp;" Tahun, "&amp;DATEDIF(S3738,TODAY(),"YM")&amp;" Bulan, "&amp;DATEDIF(S3738,TODAY(),"MD")&amp;" Hari")</f>
        <v>32 Tahun, 0 Bulan, 7 Hari</v>
      </c>
      <c r="AC3738" s="14" t="n">
        <v>46177</v>
      </c>
      <c r="AD3738" s="18" t="n">
        <f aca="false">EDATE(AC3738,1)-1</f>
        <v>46206</v>
      </c>
      <c r="AE3738" s="13" t="s">
        <v>44</v>
      </c>
    </row>
    <row r="3739" customFormat="false" ht="15" hidden="false" customHeight="true" outlineLevel="0" collapsed="false">
      <c r="A3739" s="12" t="n">
        <v>22359</v>
      </c>
      <c r="B3739" s="13" t="s">
        <v>15254</v>
      </c>
      <c r="C3739" s="16" t="n">
        <v>46177</v>
      </c>
      <c r="D3739" s="13" t="s">
        <v>1338</v>
      </c>
      <c r="E3739" s="15" t="s">
        <v>47</v>
      </c>
      <c r="F3739" s="24" t="s">
        <v>15255</v>
      </c>
      <c r="G3739" s="24" t="s">
        <v>57</v>
      </c>
      <c r="H3739" s="13" t="s">
        <v>3024</v>
      </c>
      <c r="I3739" s="13" t="str">
        <f aca="false">IF(C3739=J3739,"NEW KONTRAK","RE-KONTRAK")</f>
        <v>NEW KONTRAK</v>
      </c>
      <c r="J3739" s="16" t="n">
        <f aca="false" t="array" ref="J3739:J3739">IFERROR(INDEX(AC3739:AE3739,IF(COUNTA(AC3739:AE3739)=0,"",MAX((AC3739:AE3739&lt;&gt;"")*(COLUMN(AC3739:AE3739)-(COLUMN(AC3739)))))-1),"")</f>
        <v>46177</v>
      </c>
      <c r="K3739" s="16" t="n">
        <f aca="false" t="array" ref="K3739:K3739">IFERROR(INDEX(AC3739:AE3739,IF(COUNTA(AC3739:AE3739)=0,"",MAX((AC3739:AE3739&lt;&gt;"")*(COLUMN(AC3739:AE3739)-(COLUMN(AC3739)-1))))-1),"")</f>
        <v>46268</v>
      </c>
      <c r="L3739" s="17" t="str">
        <f aca="false" t="array" ref="L3739:L3739">IFERROR(INDEX(AC3739:AE3739,IF(COUNTA(AC3739:AE3739)=0,"",MAX((AC3739:AE3739&lt;&gt;"")*(COLUMN(AC3739:AE3739)-(COLUMN(AC3739)-2))))-1),"")</f>
        <v>KEMBALI ONLINE</v>
      </c>
      <c r="M3739" s="13" t="n">
        <f aca="true">K3739-TODAY()</f>
        <v>-56</v>
      </c>
      <c r="N3739" s="18" t="s">
        <v>615</v>
      </c>
      <c r="O3739" s="13" t="s">
        <v>2335</v>
      </c>
      <c r="P3739" s="19" t="n">
        <v>160000</v>
      </c>
      <c r="Q3739" s="20" t="s">
        <v>15256</v>
      </c>
      <c r="R3739" s="13" t="s">
        <v>232</v>
      </c>
      <c r="S3739" s="14" t="n">
        <v>32625</v>
      </c>
      <c r="T3739" s="28" t="s">
        <v>40</v>
      </c>
      <c r="U3739" s="13" t="s">
        <v>15257</v>
      </c>
      <c r="V3739" s="13" t="s">
        <v>42</v>
      </c>
      <c r="W3739" s="13" t="s">
        <v>54</v>
      </c>
      <c r="X3739" s="21" t="n">
        <v>81233164288</v>
      </c>
      <c r="Y3739" s="22" t="str">
        <f aca="false">O3739</f>
        <v>Project Management</v>
      </c>
      <c r="Z3739" s="13" t="str">
        <f aca="false">IFERROR(__xludf.dummyfunction("if(BJ3739="""","""",GOOGLETRANSLATE(BJ3739,""auto"",""en""))"),"Project Management")</f>
        <v>Project Management</v>
      </c>
      <c r="AA3739" s="23" t="str">
        <f aca="false">IF(C3739="","", CHOOSE(MONTH(C3739),"January","February","March","April","May","June","July","August","September","October","November","December")&amp;" "&amp;DAY(C3739)&amp;MID("thstndrdth",MIN(9,2*RIGHT(DAY(C3739))*(MOD(DAY(C3739)-11,100)&gt;2)+1),2)&amp;","&amp;TEXT(C3739," yyyy"))</f>
        <v>June 4th,2026</v>
      </c>
      <c r="AB3739" s="15" t="str">
        <f aca="true">IF(S3739="","",DATEDIF(S3739,TODAY(),"Y")&amp;" Tahun, "&amp;DATEDIF(S3739,TODAY(),"YM")&amp;" Bulan, "&amp;DATEDIF(S3739,TODAY(),"MD")&amp;" Hari")</f>
        <v>37 Tahun, 6 Bulan, 2 Hari</v>
      </c>
      <c r="AC3739" s="14" t="n">
        <v>46177</v>
      </c>
      <c r="AD3739" s="14" t="n">
        <f aca="false">EDATE(AC3739,3)-1</f>
        <v>46268</v>
      </c>
      <c r="AE3739" s="13" t="s">
        <v>2387</v>
      </c>
    </row>
    <row r="3740" customFormat="false" ht="15" hidden="false" customHeight="true" outlineLevel="0" collapsed="false">
      <c r="A3740" s="12" t="n">
        <v>22360</v>
      </c>
      <c r="B3740" s="13" t="s">
        <v>15258</v>
      </c>
      <c r="C3740" s="16" t="n">
        <v>46177</v>
      </c>
      <c r="D3740" s="13" t="s">
        <v>9387</v>
      </c>
      <c r="E3740" s="15" t="s">
        <v>33</v>
      </c>
      <c r="F3740" s="24" t="s">
        <v>15259</v>
      </c>
      <c r="G3740" s="15" t="s">
        <v>57</v>
      </c>
      <c r="H3740" s="13" t="s">
        <v>3024</v>
      </c>
      <c r="I3740" s="13" t="str">
        <f aca="false">IF(C3740=J3740,"NEW KONTRAK","RE-KONTRAK")</f>
        <v>NEW KONTRAK</v>
      </c>
      <c r="J3740" s="16" t="n">
        <f aca="false" t="array" ref="J3740:J3740">IFERROR(INDEX(AC3740:AE3740,IF(COUNTA(AC3740:AE3740)=0,"",MAX((AC3740:AE3740&lt;&gt;"")*(COLUMN(AC3740:AE3740)-(COLUMN(AC3740)))))-1),"")</f>
        <v>46177</v>
      </c>
      <c r="K3740" s="16" t="n">
        <f aca="false" t="array" ref="K3740:K3740">IFERROR(INDEX(AC3740:AE3740,IF(COUNTA(AC3740:AE3740)=0,"",MAX((AC3740:AE3740&lt;&gt;"")*(COLUMN(AC3740:AE3740)-(COLUMN(AC3740)-1))))-1),"")</f>
        <v>46206</v>
      </c>
      <c r="L3740" s="17" t="str">
        <f aca="false" t="array" ref="L3740:L3740">IFERROR(INDEX(AC3740:AE3740,IF(COUNTA(AC3740:AE3740)=0,"",MAX((AC3740:AE3740&lt;&gt;"")*(COLUMN(AC3740:AE3740)-(COLUMN(AC3740)-2))))-1),"")</f>
        <v>KEMBALI ONLINE</v>
      </c>
      <c r="M3740" s="13" t="n">
        <f aca="true">K3740-TODAY()</f>
        <v>-118</v>
      </c>
      <c r="N3740" s="18" t="s">
        <v>615</v>
      </c>
      <c r="O3740" s="13" t="s">
        <v>9388</v>
      </c>
      <c r="P3740" s="27" t="n">
        <v>5176101</v>
      </c>
      <c r="Q3740" s="20" t="s">
        <v>15260</v>
      </c>
      <c r="R3740" s="13" t="s">
        <v>15261</v>
      </c>
      <c r="S3740" s="14" t="n">
        <v>37749</v>
      </c>
      <c r="T3740" s="28" t="s">
        <v>40</v>
      </c>
      <c r="U3740" s="13" t="s">
        <v>15262</v>
      </c>
      <c r="V3740" s="13" t="s">
        <v>42</v>
      </c>
      <c r="W3740" s="13" t="s">
        <v>43</v>
      </c>
      <c r="X3740" s="30" t="n">
        <v>85157759492</v>
      </c>
      <c r="Y3740" s="22" t="str">
        <f aca="false">O3740</f>
        <v>Tenaga Kerja Bongkar Muat (TKBM)</v>
      </c>
      <c r="Z3740" s="13" t="str">
        <f aca="false">IFERROR(__xludf.dummyfunction("if(BJ3740="""","""",GOOGLETRANSLATE(BJ3740,""auto"",""en""))"),"Loading and Unloading Workers (TKBM)")</f>
        <v>Loading and Unloading Workers (TKBM)</v>
      </c>
      <c r="AA3740" s="23" t="str">
        <f aca="false">IF(C3740="","", CHOOSE(MONTH(C3740),"January","February","March","April","May","June","July","August","September","October","November","December")&amp;" "&amp;DAY(C3740)&amp;MID("thstndrdth",MIN(9,2*RIGHT(DAY(C3740))*(MOD(DAY(C3740)-11,100)&gt;2)+1),2)&amp;","&amp;TEXT(C3740," yyyy"))</f>
        <v>June 4th,2026</v>
      </c>
      <c r="AB3740" s="15" t="str">
        <f aca="true">IF(S3740="","",DATEDIF(S3740,TODAY(),"Y")&amp;" Tahun, "&amp;DATEDIF(S3740,TODAY(),"YM")&amp;" Bulan, "&amp;DATEDIF(S3740,TODAY(),"MD")&amp;" Hari")</f>
        <v>23 Tahun, 5 Bulan, 21 Hari</v>
      </c>
      <c r="AC3740" s="14" t="n">
        <v>46177</v>
      </c>
      <c r="AD3740" s="18" t="n">
        <f aca="false">EDATE(AC3740,1)-1</f>
        <v>46206</v>
      </c>
      <c r="AE3740" s="13" t="s">
        <v>2387</v>
      </c>
    </row>
    <row r="3741" customFormat="false" ht="15" hidden="false" customHeight="true" outlineLevel="0" collapsed="false">
      <c r="A3741" s="12" t="n">
        <v>22361</v>
      </c>
      <c r="B3741" s="13" t="s">
        <v>15263</v>
      </c>
      <c r="C3741" s="16" t="n">
        <v>46177</v>
      </c>
      <c r="D3741" s="13" t="s">
        <v>10058</v>
      </c>
      <c r="E3741" s="15" t="s">
        <v>47</v>
      </c>
      <c r="F3741" s="24" t="s">
        <v>15264</v>
      </c>
      <c r="G3741" s="24" t="s">
        <v>57</v>
      </c>
      <c r="H3741" s="13" t="s">
        <v>3024</v>
      </c>
      <c r="I3741" s="13" t="str">
        <f aca="false">IF(C3741=J3741,"NEW KONTRAK","RE-KONTRAK")</f>
        <v>NEW KONTRAK</v>
      </c>
      <c r="J3741" s="16" t="n">
        <f aca="false" t="array" ref="J3741:J3741">IFERROR(INDEX(AC3741:AE3741,IF(COUNTA(AC3741:AE3741)=0,"",MAX((AC3741:AE3741&lt;&gt;"")*(COLUMN(AC3741:AE3741)-(COLUMN(AC3741)))))-1),"")</f>
        <v>46177</v>
      </c>
      <c r="K3741" s="16" t="n">
        <f aca="false" t="array" ref="K3741:K3741">IFERROR(INDEX(AC3741:AE3741,IF(COUNTA(AC3741:AE3741)=0,"",MAX((AC3741:AE3741&lt;&gt;"")*(COLUMN(AC3741:AE3741)-(COLUMN(AC3741)-1))))-1),"")</f>
        <v>46188</v>
      </c>
      <c r="L3741" s="17" t="str">
        <f aca="false" t="array" ref="L3741:L3741">IFERROR(INDEX(AC3741:AE3741,IF(COUNTA(AC3741:AE3741)=0,"",MAX((AC3741:AE3741&lt;&gt;"")*(COLUMN(AC3741:AE3741)-(COLUMN(AC3741)-2))))-1),"")</f>
        <v>KEMBALI ONLINE</v>
      </c>
      <c r="M3741" s="13" t="n">
        <f aca="true">K3741-TODAY()</f>
        <v>-136</v>
      </c>
      <c r="N3741" s="18" t="s">
        <v>105</v>
      </c>
      <c r="O3741" s="13" t="s">
        <v>10059</v>
      </c>
      <c r="P3741" s="19" t="n">
        <v>138915</v>
      </c>
      <c r="Q3741" s="20" t="s">
        <v>15265</v>
      </c>
      <c r="R3741" s="13" t="s">
        <v>15261</v>
      </c>
      <c r="S3741" s="16" t="n">
        <v>39515</v>
      </c>
      <c r="T3741" s="13" t="s">
        <v>108</v>
      </c>
      <c r="U3741" s="13" t="s">
        <v>15266</v>
      </c>
      <c r="V3741" s="13" t="s">
        <v>42</v>
      </c>
      <c r="W3741" s="13" t="s">
        <v>43</v>
      </c>
      <c r="X3741" s="30" t="n">
        <v>87856205336</v>
      </c>
      <c r="Y3741" s="22" t="str">
        <f aca="false">O3741</f>
        <v>Harian Lepas E-Commerce</v>
      </c>
      <c r="Z3741" s="13" t="str">
        <f aca="false">IFERROR(__xludf.dummyfunction("if(BJ3741="""","""",GOOGLETRANSLATE(BJ3741,""auto"",""en""))"),"Daily Post E-Commerce")</f>
        <v>Daily Post E-Commerce</v>
      </c>
      <c r="AA3741" s="23" t="str">
        <f aca="false">IF(C3741="","", CHOOSE(MONTH(C3741),"January","February","March","April","May","June","July","August","September","October","November","December")&amp;" "&amp;DAY(C3741)&amp;MID("thstndrdth",MIN(9,2*RIGHT(DAY(C3741))*(MOD(DAY(C3741)-11,100)&gt;2)+1),2)&amp;","&amp;TEXT(C3741," yyyy"))</f>
        <v>June 4th,2026</v>
      </c>
      <c r="AB3741" s="15" t="str">
        <f aca="true">IF(S3741="","",DATEDIF(S3741,TODAY(),"Y")&amp;" Tahun, "&amp;DATEDIF(S3741,TODAY(),"YM")&amp;" Bulan, "&amp;DATEDIF(S3741,TODAY(),"MD")&amp;" Hari")</f>
        <v>18 Tahun, 7 Bulan, 21 Hari</v>
      </c>
      <c r="AC3741" s="14" t="n">
        <v>46177</v>
      </c>
      <c r="AD3741" s="14" t="n">
        <v>46188</v>
      </c>
      <c r="AE3741" s="13" t="s">
        <v>2387</v>
      </c>
    </row>
    <row r="3742" customFormat="false" ht="15" hidden="false" customHeight="true" outlineLevel="0" collapsed="false">
      <c r="A3742" s="82" t="n">
        <v>22362</v>
      </c>
      <c r="B3742" s="83" t="s">
        <v>15267</v>
      </c>
      <c r="C3742" s="86" t="n">
        <v>46177</v>
      </c>
      <c r="D3742" s="83" t="s">
        <v>10058</v>
      </c>
      <c r="E3742" s="85" t="s">
        <v>102</v>
      </c>
      <c r="F3742" s="24" t="s">
        <v>15268</v>
      </c>
      <c r="G3742" s="24" t="s">
        <v>57</v>
      </c>
      <c r="H3742" s="83" t="s">
        <v>3024</v>
      </c>
      <c r="I3742" s="83" t="str">
        <f aca="false">IF(C3742=J3742,"NEW KONTRAK","RE-KONTRAK")</f>
        <v>NEW KONTRAK</v>
      </c>
      <c r="J3742" s="86" t="n">
        <f aca="false" t="array" ref="J3742:J3742">IFERROR(INDEX(AC3742:AE3742,IF(COUNTA(AC3742:AE3742)=0,"",MAX((AC3742:AE3742&lt;&gt;"")*(COLUMN(AC3742:AE3742)-(COLUMN(AC3742)))))-1),"")</f>
        <v>46177</v>
      </c>
      <c r="K3742" s="86" t="n">
        <f aca="false" t="array" ref="K3742:K3742">IFERROR(INDEX(AC3742:AE3742,IF(COUNTA(AC3742:AE3742)=0,"",MAX((AC3742:AE3742&lt;&gt;"")*(COLUMN(AC3742:AE3742)-(COLUMN(AC3742)-1))))-1),"")</f>
        <v>46188</v>
      </c>
      <c r="L3742" s="87" t="str">
        <f aca="false" t="array" ref="L3742:L3742">IFERROR(INDEX(AC3742:AE3742,IF(COUNTA(AC3742:AE3742)=0,"",MAX((AC3742:AE3742&lt;&gt;"")*(COLUMN(AC3742:AE3742)-(COLUMN(AC3742)-2))))-1),"")</f>
        <v>KEMBALI ONLINE</v>
      </c>
      <c r="M3742" s="83" t="n">
        <f aca="true">K3742-TODAY()</f>
        <v>-136</v>
      </c>
      <c r="N3742" s="88" t="s">
        <v>105</v>
      </c>
      <c r="O3742" s="83" t="s">
        <v>10059</v>
      </c>
      <c r="P3742" s="89" t="n">
        <v>138915</v>
      </c>
      <c r="Q3742" s="52" t="s">
        <v>15269</v>
      </c>
      <c r="R3742" s="83" t="s">
        <v>14006</v>
      </c>
      <c r="S3742" s="86" t="n">
        <v>37518</v>
      </c>
      <c r="T3742" s="83" t="s">
        <v>108</v>
      </c>
      <c r="U3742" s="83" t="s">
        <v>15270</v>
      </c>
      <c r="V3742" s="83" t="s">
        <v>42</v>
      </c>
      <c r="W3742" s="83" t="s">
        <v>43</v>
      </c>
      <c r="X3742" s="30" t="n">
        <v>85352577754</v>
      </c>
      <c r="Y3742" s="91" t="str">
        <f aca="false">O3742</f>
        <v>Harian Lepas E-Commerce</v>
      </c>
      <c r="Z3742" s="83" t="str">
        <f aca="false">IFERROR(__xludf.dummyfunction("if(BJ3742="""","""",GOOGLETRANSLATE(BJ3742,""auto"",""en""))"),"Daily Post E-Commerce")</f>
        <v>Daily Post E-Commerce</v>
      </c>
      <c r="AA3742" s="92" t="str">
        <f aca="false">IF(C3742="","", CHOOSE(MONTH(C3742),"January","February","March","April","May","June","July","August","September","October","November","December")&amp;" "&amp;DAY(C3742)&amp;MID("thstndrdth",MIN(9,2*RIGHT(DAY(C3742))*(MOD(DAY(C3742)-11,100)&gt;2)+1),2)&amp;","&amp;TEXT(C3742," yyyy"))</f>
        <v>June 4th,2026</v>
      </c>
      <c r="AB3742" s="85" t="str">
        <f aca="true">IF(S3742="","",DATEDIF(S3742,TODAY(),"Y")&amp;" Tahun, "&amp;DATEDIF(S3742,TODAY(),"YM")&amp;" Bulan, "&amp;DATEDIF(S3742,TODAY(),"MD")&amp;" Hari")</f>
        <v>24 Tahun, 1 Bulan, 10 Hari</v>
      </c>
      <c r="AC3742" s="84" t="n">
        <v>46177</v>
      </c>
      <c r="AD3742" s="84" t="n">
        <v>46188</v>
      </c>
      <c r="AE3742" s="83" t="s">
        <v>2387</v>
      </c>
    </row>
    <row r="3743" customFormat="false" ht="15" hidden="false" customHeight="true" outlineLevel="0" collapsed="false">
      <c r="A3743" s="12" t="n">
        <v>22363</v>
      </c>
      <c r="B3743" s="13" t="s">
        <v>15271</v>
      </c>
      <c r="C3743" s="16" t="n">
        <v>46177</v>
      </c>
      <c r="D3743" s="13" t="s">
        <v>10058</v>
      </c>
      <c r="E3743" s="15" t="s">
        <v>102</v>
      </c>
      <c r="F3743" s="24" t="s">
        <v>15272</v>
      </c>
      <c r="G3743" s="24" t="s">
        <v>57</v>
      </c>
      <c r="H3743" s="13" t="s">
        <v>3024</v>
      </c>
      <c r="I3743" s="13" t="str">
        <f aca="false">IF(C3743=J3743,"NEW KONTRAK","RE-KONTRAK")</f>
        <v>NEW KONTRAK</v>
      </c>
      <c r="J3743" s="16" t="n">
        <f aca="false" t="array" ref="J3743:J3743">IFERROR(INDEX(AC3743:AE3743,IF(COUNTA(AC3743:AE3743)=0,"",MAX((AC3743:AE3743&lt;&gt;"")*(COLUMN(AC3743:AE3743)-(COLUMN(AC3743)))))-1),"")</f>
        <v>46177</v>
      </c>
      <c r="K3743" s="16" t="n">
        <f aca="false" t="array" ref="K3743:K3743">IFERROR(INDEX(AC3743:AE3743,IF(COUNTA(AC3743:AE3743)=0,"",MAX((AC3743:AE3743&lt;&gt;"")*(COLUMN(AC3743:AE3743)-(COLUMN(AC3743)-1))))-1),"")</f>
        <v>46188</v>
      </c>
      <c r="L3743" s="17" t="str">
        <f aca="false" t="array" ref="L3743:L3743">IFERROR(INDEX(AC3743:AE3743,IF(COUNTA(AC3743:AE3743)=0,"",MAX((AC3743:AE3743&lt;&gt;"")*(COLUMN(AC3743:AE3743)-(COLUMN(AC3743)-2))))-1),"")</f>
        <v>KEMBALI ONLINE</v>
      </c>
      <c r="M3743" s="13" t="n">
        <f aca="true">K3743-TODAY()</f>
        <v>-136</v>
      </c>
      <c r="N3743" s="18" t="s">
        <v>105</v>
      </c>
      <c r="O3743" s="13" t="s">
        <v>10059</v>
      </c>
      <c r="P3743" s="19" t="n">
        <v>138915</v>
      </c>
      <c r="Q3743" s="20" t="s">
        <v>15273</v>
      </c>
      <c r="R3743" s="13" t="s">
        <v>52</v>
      </c>
      <c r="S3743" s="16" t="n">
        <v>39159</v>
      </c>
      <c r="T3743" s="13" t="s">
        <v>108</v>
      </c>
      <c r="U3743" s="13" t="s">
        <v>15274</v>
      </c>
      <c r="V3743" s="13" t="s">
        <v>42</v>
      </c>
      <c r="W3743" s="13" t="s">
        <v>43</v>
      </c>
      <c r="X3743" s="30" t="n">
        <v>83181291428</v>
      </c>
      <c r="Y3743" s="22" t="str">
        <f aca="false">O3743</f>
        <v>Harian Lepas E-Commerce</v>
      </c>
      <c r="Z3743" s="13" t="str">
        <f aca="false">IFERROR(__xludf.dummyfunction("if(BJ3743="""","""",GOOGLETRANSLATE(BJ3743,""auto"",""en""))"),"Daily Post E-Commerce")</f>
        <v>Daily Post E-Commerce</v>
      </c>
      <c r="AA3743" s="23" t="str">
        <f aca="false">IF(C3743="","", CHOOSE(MONTH(C3743),"January","February","March","April","May","June","July","August","September","October","November","December")&amp;" "&amp;DAY(C3743)&amp;MID("thstndrdth",MIN(9,2*RIGHT(DAY(C3743))*(MOD(DAY(C3743)-11,100)&gt;2)+1),2)&amp;","&amp;TEXT(C3743," yyyy"))</f>
        <v>June 4th,2026</v>
      </c>
      <c r="AB3743" s="15" t="str">
        <f aca="true">IF(S3743="","",DATEDIF(S3743,TODAY(),"Y")&amp;" Tahun, "&amp;DATEDIF(S3743,TODAY(),"YM")&amp;" Bulan, "&amp;DATEDIF(S3743,TODAY(),"MD")&amp;" Hari")</f>
        <v>19 Tahun, 7 Bulan, 11 Hari</v>
      </c>
      <c r="AC3743" s="14" t="n">
        <v>46177</v>
      </c>
      <c r="AD3743" s="14" t="n">
        <v>46188</v>
      </c>
      <c r="AE3743" s="13" t="s">
        <v>2387</v>
      </c>
    </row>
    <row r="3744" customFormat="false" ht="15" hidden="false" customHeight="true" outlineLevel="0" collapsed="false">
      <c r="A3744" s="12" t="n">
        <v>22364</v>
      </c>
      <c r="B3744" s="13" t="s">
        <v>15275</v>
      </c>
      <c r="C3744" s="14" t="n">
        <v>46178</v>
      </c>
      <c r="D3744" s="13" t="s">
        <v>3022</v>
      </c>
      <c r="E3744" s="15" t="s">
        <v>47</v>
      </c>
      <c r="F3744" s="24" t="s">
        <v>15276</v>
      </c>
      <c r="G3744" s="15" t="s">
        <v>1127</v>
      </c>
      <c r="H3744" s="13" t="s">
        <v>3024</v>
      </c>
      <c r="I3744" s="13" t="str">
        <f aca="false">IF(C3744=J3744,"NEW KONTRAK","RE-KONTRAK")</f>
        <v>NEW KONTRAK</v>
      </c>
      <c r="J3744" s="16" t="n">
        <f aca="false" t="array" ref="J3744:J3744">IFERROR(INDEX(AC3744:AE3744,IF(COUNTA(AC3744:AE3744)=0,"",MAX((AC3744:AE3744&lt;&gt;"")*(COLUMN(AC3744:AE3744)-(COLUMN(AC3744)))))-1),"")</f>
        <v>46178</v>
      </c>
      <c r="K3744" s="16" t="n">
        <f aca="false" t="array" ref="K3744:K3744">IFERROR(INDEX(AC3744:AE3744,IF(COUNTA(AC3744:AE3744)=0,"",MAX((AC3744:AE3744&lt;&gt;"")*(COLUMN(AC3744:AE3744)-(COLUMN(AC3744)-1))))-1),"")</f>
        <v>46269</v>
      </c>
      <c r="L3744" s="17" t="str">
        <f aca="false" t="array" ref="L3744:L3744">IFERROR(INDEX(AC3744:AE3744,IF(COUNTA(AC3744:AE3744)=0,"",MAX((AC3744:AE3744&lt;&gt;"")*(COLUMN(AC3744:AE3744)-(COLUMN(AC3744)-2))))-1),"")</f>
        <v>KEMBALI</v>
      </c>
      <c r="M3744" s="13" t="n">
        <f aca="true">K3744-TODAY()</f>
        <v>-55</v>
      </c>
      <c r="N3744" s="18" t="s">
        <v>36</v>
      </c>
      <c r="O3744" s="13" t="s">
        <v>58</v>
      </c>
      <c r="P3744" s="19" t="n">
        <v>112500</v>
      </c>
      <c r="Q3744" s="20" t="s">
        <v>15277</v>
      </c>
      <c r="R3744" s="13" t="s">
        <v>52</v>
      </c>
      <c r="S3744" s="14" t="n">
        <v>39570</v>
      </c>
      <c r="T3744" s="13" t="s">
        <v>40</v>
      </c>
      <c r="U3744" s="13" t="s">
        <v>15278</v>
      </c>
      <c r="V3744" s="13" t="s">
        <v>42</v>
      </c>
      <c r="W3744" s="13" t="s">
        <v>43</v>
      </c>
      <c r="X3744" s="21" t="n">
        <v>81553586815</v>
      </c>
      <c r="Y3744" s="22" t="str">
        <f aca="false">O3744</f>
        <v>Produksi</v>
      </c>
      <c r="Z3744" s="13" t="str">
        <f aca="false">IFERROR(__xludf.dummyfunction("if(BJ3744="""","""",GOOGLETRANSLATE(BJ3744,""auto"",""en""))"),"Production")</f>
        <v>Production</v>
      </c>
      <c r="AA3744" s="23" t="str">
        <f aca="false">IF(C3744="","", CHOOSE(MONTH(C3744),"January","February","March","April","May","June","July","August","September","October","November","December")&amp;" "&amp;DAY(C3744)&amp;MID("thstndrdth",MIN(9,2*RIGHT(DAY(C3744))*(MOD(DAY(C3744)-11,100)&gt;2)+1),2)&amp;","&amp;TEXT(C3744," yyyy"))</f>
        <v>June 5th,2026</v>
      </c>
      <c r="AB3744" s="15" t="str">
        <f aca="true">IF(S3744="","",DATEDIF(S3744,TODAY(),"Y")&amp;" Tahun, "&amp;DATEDIF(S3744,TODAY(),"YM")&amp;" Bulan, "&amp;DATEDIF(S3744,TODAY(),"MD")&amp;" Hari")</f>
        <v>18 Tahun, 5 Bulan, 27 Hari</v>
      </c>
      <c r="AC3744" s="14" t="n">
        <v>46178</v>
      </c>
      <c r="AD3744" s="14" t="n">
        <f aca="false">EDATE(AC3744,3)-1</f>
        <v>46269</v>
      </c>
      <c r="AE3744" s="13" t="s">
        <v>397</v>
      </c>
    </row>
    <row r="3745" customFormat="false" ht="15" hidden="false" customHeight="true" outlineLevel="0" collapsed="false">
      <c r="A3745" s="12" t="n">
        <v>22365</v>
      </c>
      <c r="B3745" s="13" t="s">
        <v>15279</v>
      </c>
      <c r="C3745" s="14" t="n">
        <v>46181</v>
      </c>
      <c r="D3745" s="13" t="s">
        <v>5892</v>
      </c>
      <c r="E3745" s="15" t="s">
        <v>102</v>
      </c>
      <c r="F3745" s="24" t="s">
        <v>15280</v>
      </c>
      <c r="G3745" s="24" t="s">
        <v>57</v>
      </c>
      <c r="H3745" s="13" t="s">
        <v>35</v>
      </c>
      <c r="I3745" s="13" t="str">
        <f aca="false">IF(C3745=J3745,"NEW KONTRAK","RE-KONTRAK")</f>
        <v>NEW KONTRAK</v>
      </c>
      <c r="J3745" s="16" t="n">
        <f aca="false" t="array" ref="J3745:J3745">IFERROR(INDEX(AC3745:AE3745,IF(COUNTA(AC3745:AE3745)=0,"",MAX((AC3745:AE3745&lt;&gt;"")*(COLUMN(AC3745:AE3745)-(COLUMN(AC3745)))))-1),"")</f>
        <v>46181</v>
      </c>
      <c r="K3745" s="16" t="n">
        <f aca="false" t="array" ref="K3745:K3745">IFERROR(INDEX(AC3745:AE3745,IF(COUNTA(AC3745:AE3745)=0,"",MAX((AC3745:AE3745&lt;&gt;"")*(COLUMN(AC3745:AE3745)-(COLUMN(AC3745)-1))))-1),"")</f>
        <v>46210</v>
      </c>
      <c r="L3745" s="17" t="str">
        <f aca="false" t="array" ref="L3745:L3745">IFERROR(INDEX(AC3745:AE3745,IF(COUNTA(AC3745:AE3745)=0,"",MAX((AC3745:AE3745&lt;&gt;"")*(COLUMN(AC3745:AE3745)-(COLUMN(AC3745)-2))))-1),"")</f>
        <v>ARCHIVED</v>
      </c>
      <c r="M3745" s="13" t="n">
        <f aca="true">K3745-TODAY()</f>
        <v>-114</v>
      </c>
      <c r="N3745" s="18" t="s">
        <v>105</v>
      </c>
      <c r="O3745" s="13" t="s">
        <v>15251</v>
      </c>
      <c r="P3745" s="19" t="n">
        <v>3000000</v>
      </c>
      <c r="Q3745" s="47" t="s">
        <v>15281</v>
      </c>
      <c r="R3745" s="13" t="s">
        <v>52</v>
      </c>
      <c r="S3745" s="16" t="n">
        <v>36327</v>
      </c>
      <c r="T3745" s="13" t="s">
        <v>40</v>
      </c>
      <c r="U3745" s="13" t="s">
        <v>15282</v>
      </c>
      <c r="V3745" s="13" t="s">
        <v>42</v>
      </c>
      <c r="W3745" s="13" t="s">
        <v>43</v>
      </c>
      <c r="X3745" s="21" t="n">
        <v>85755651467</v>
      </c>
      <c r="Y3745" s="22" t="str">
        <f aca="false">O3745</f>
        <v>ADMIN CHECKER GUDANG</v>
      </c>
      <c r="Z3745" s="13" t="str">
        <f aca="false">IFERROR(__xludf.dummyfunction("if(BJ3745="""","""",GOOGLETRANSLATE(BJ3745,""auto"",""en""))"),"WAREHOUSE CHECKER ADMIN")</f>
        <v>WAREHOUSE CHECKER ADMIN</v>
      </c>
      <c r="AA3745" s="23" t="str">
        <f aca="false">IF(C3745="","", CHOOSE(MONTH(C3745),"January","February","March","April","May","June","July","August","September","October","November","December")&amp;" "&amp;DAY(C3745)&amp;MID("thstndrdth",MIN(9,2*RIGHT(DAY(C3745))*(MOD(DAY(C3745)-11,100)&gt;2)+1),2)&amp;","&amp;TEXT(C3745," yyyy"))</f>
        <v>June 8th,2026</v>
      </c>
      <c r="AB3745" s="15" t="str">
        <f aca="true">IF(S3745="","",DATEDIF(S3745,TODAY(),"Y")&amp;" Tahun, "&amp;DATEDIF(S3745,TODAY(),"YM")&amp;" Bulan, "&amp;DATEDIF(S3745,TODAY(),"MD")&amp;" Hari")</f>
        <v>27 Tahun, 4 Bulan, 13 Hari</v>
      </c>
      <c r="AC3745" s="14" t="n">
        <v>46181</v>
      </c>
      <c r="AD3745" s="18" t="n">
        <f aca="false">EDATE(AC3745,1)-1</f>
        <v>46210</v>
      </c>
      <c r="AE3745" s="13" t="s">
        <v>44</v>
      </c>
    </row>
    <row r="3746" customFormat="false" ht="15" hidden="false" customHeight="true" outlineLevel="0" collapsed="false">
      <c r="A3746" s="12" t="n">
        <v>22366</v>
      </c>
      <c r="B3746" s="13" t="s">
        <v>15283</v>
      </c>
      <c r="C3746" s="14" t="n">
        <v>46181</v>
      </c>
      <c r="D3746" s="13" t="s">
        <v>7948</v>
      </c>
      <c r="E3746" s="15" t="s">
        <v>7949</v>
      </c>
      <c r="F3746" s="24" t="s">
        <v>15284</v>
      </c>
      <c r="G3746" s="24" t="s">
        <v>57</v>
      </c>
      <c r="H3746" s="13" t="s">
        <v>3024</v>
      </c>
      <c r="I3746" s="13" t="str">
        <f aca="false">IF(C3746=J3746,"NEW KONTRAK","RE-KONTRAK")</f>
        <v>NEW KONTRAK</v>
      </c>
      <c r="J3746" s="16" t="n">
        <f aca="false" t="array" ref="J3746:J3746">IFERROR(INDEX(AC3746:AE3746,IF(COUNTA(AC3746:AE3746)=0,"",MAX((AC3746:AE3746&lt;&gt;"")*(COLUMN(AC3746:AE3746)-(COLUMN(AC3746)))))-1),"")</f>
        <v>46181</v>
      </c>
      <c r="K3746" s="16" t="n">
        <f aca="false" t="array" ref="K3746:K3746">IFERROR(INDEX(AC3746:AE3746,IF(COUNTA(AC3746:AE3746)=0,"",MAX((AC3746:AE3746&lt;&gt;"")*(COLUMN(AC3746:AE3746)-(COLUMN(AC3746)-1))))-1),"")</f>
        <v>46272</v>
      </c>
      <c r="L3746" s="17" t="str">
        <f aca="false" t="array" ref="L3746:L3746">IFERROR(INDEX(AC3746:AE3746,IF(COUNTA(AC3746:AE3746)=0,"",MAX((AC3746:AE3746&lt;&gt;"")*(COLUMN(AC3746:AE3746)-(COLUMN(AC3746)-2))))-1),"")</f>
        <v>KEMBALI ONLINE</v>
      </c>
      <c r="M3746" s="13" t="n">
        <f aca="true">K3746-TODAY()</f>
        <v>-52</v>
      </c>
      <c r="N3746" s="18" t="s">
        <v>4051</v>
      </c>
      <c r="O3746" s="13" t="s">
        <v>7951</v>
      </c>
      <c r="P3746" s="19" t="n">
        <v>210000</v>
      </c>
      <c r="Q3746" s="47" t="s">
        <v>15285</v>
      </c>
      <c r="R3746" s="13" t="s">
        <v>232</v>
      </c>
      <c r="S3746" s="16" t="n">
        <v>27256</v>
      </c>
      <c r="T3746" s="13" t="s">
        <v>40</v>
      </c>
      <c r="U3746" s="13" t="s">
        <v>15286</v>
      </c>
      <c r="V3746" s="13" t="s">
        <v>42</v>
      </c>
      <c r="W3746" s="13" t="s">
        <v>54</v>
      </c>
      <c r="X3746" s="21" t="n">
        <v>82140999239</v>
      </c>
      <c r="Y3746" s="22" t="str">
        <f aca="false">O3746</f>
        <v>Mekanik Kiln</v>
      </c>
      <c r="Z3746" s="13" t="str">
        <f aca="false">IFERROR(__xludf.dummyfunction("if(BJ3746="""","""",GOOGLETRANSLATE(BJ3746,""auto"",""en""))"),"Kiln Mechanics")</f>
        <v>Kiln Mechanics</v>
      </c>
      <c r="AA3746" s="23" t="str">
        <f aca="false">IF(C3746="","", CHOOSE(MONTH(C3746),"January","February","March","April","May","June","July","August","September","October","November","December")&amp;" "&amp;DAY(C3746)&amp;MID("thstndrdth",MIN(9,2*RIGHT(DAY(C3746))*(MOD(DAY(C3746)-11,100)&gt;2)+1),2)&amp;","&amp;TEXT(C3746," yyyy"))</f>
        <v>June 8th,2026</v>
      </c>
      <c r="AB3746" s="15" t="str">
        <f aca="true">IF(S3746="","",DATEDIF(S3746,TODAY(),"Y")&amp;" Tahun, "&amp;DATEDIF(S3746,TODAY(),"YM")&amp;" Bulan, "&amp;DATEDIF(S3746,TODAY(),"MD")&amp;" Hari")</f>
        <v>52 Tahun, 2 Bulan, 14 Hari</v>
      </c>
      <c r="AC3746" s="14" t="n">
        <v>46181</v>
      </c>
      <c r="AD3746" s="18" t="n">
        <f aca="false">EDATE(AC3746,3)-1</f>
        <v>46272</v>
      </c>
      <c r="AE3746" s="13" t="s">
        <v>2387</v>
      </c>
    </row>
    <row r="3747" customFormat="false" ht="15" hidden="false" customHeight="true" outlineLevel="0" collapsed="false">
      <c r="A3747" s="12" t="n">
        <v>22367</v>
      </c>
      <c r="B3747" s="13" t="s">
        <v>15287</v>
      </c>
      <c r="C3747" s="14" t="n">
        <v>46181</v>
      </c>
      <c r="D3747" s="13" t="s">
        <v>7948</v>
      </c>
      <c r="E3747" s="15" t="s">
        <v>7949</v>
      </c>
      <c r="F3747" s="24" t="s">
        <v>15288</v>
      </c>
      <c r="G3747" s="24" t="s">
        <v>57</v>
      </c>
      <c r="H3747" s="13" t="s">
        <v>3024</v>
      </c>
      <c r="I3747" s="13" t="str">
        <f aca="false">IF(C3747=J3747,"NEW KONTRAK","RE-KONTRAK")</f>
        <v>NEW KONTRAK</v>
      </c>
      <c r="J3747" s="16" t="n">
        <f aca="false" t="array" ref="J3747:J3747">IFERROR(INDEX(AC3747:AE3747,IF(COUNTA(AC3747:AE3747)=0,"",MAX((AC3747:AE3747&lt;&gt;"")*(COLUMN(AC3747:AE3747)-(COLUMN(AC3747)))))-1),"")</f>
        <v>46181</v>
      </c>
      <c r="K3747" s="16" t="n">
        <f aca="false" t="array" ref="K3747:K3747">IFERROR(INDEX(AC3747:AE3747,IF(COUNTA(AC3747:AE3747)=0,"",MAX((AC3747:AE3747&lt;&gt;"")*(COLUMN(AC3747:AE3747)-(COLUMN(AC3747)-1))))-1),"")</f>
        <v>46272</v>
      </c>
      <c r="L3747" s="17" t="str">
        <f aca="false" t="array" ref="L3747:L3747">IFERROR(INDEX(AC3747:AE3747,IF(COUNTA(AC3747:AE3747)=0,"",MAX((AC3747:AE3747&lt;&gt;"")*(COLUMN(AC3747:AE3747)-(COLUMN(AC3747)-2))))-1),"")</f>
        <v>KEMBALI ONLINE</v>
      </c>
      <c r="M3747" s="13" t="n">
        <f aca="true">K3747-TODAY()</f>
        <v>-52</v>
      </c>
      <c r="N3747" s="18" t="s">
        <v>4051</v>
      </c>
      <c r="O3747" s="13" t="s">
        <v>7951</v>
      </c>
      <c r="P3747" s="19" t="n">
        <v>210000</v>
      </c>
      <c r="Q3747" s="47" t="s">
        <v>15289</v>
      </c>
      <c r="R3747" s="13" t="s">
        <v>148</v>
      </c>
      <c r="S3747" s="16" t="n">
        <v>31876</v>
      </c>
      <c r="T3747" s="13" t="s">
        <v>40</v>
      </c>
      <c r="U3747" s="13" t="s">
        <v>15290</v>
      </c>
      <c r="V3747" s="13" t="s">
        <v>42</v>
      </c>
      <c r="W3747" s="13" t="s">
        <v>54</v>
      </c>
      <c r="X3747" s="21" t="n">
        <v>85731488202</v>
      </c>
      <c r="Y3747" s="22" t="str">
        <f aca="false">O3747</f>
        <v>Mekanik Kiln</v>
      </c>
      <c r="Z3747" s="13" t="str">
        <f aca="false">IFERROR(__xludf.dummyfunction("if(BJ3747="""","""",GOOGLETRANSLATE(BJ3747,""auto"",""en""))"),"Kiln Mechanics")</f>
        <v>Kiln Mechanics</v>
      </c>
      <c r="AA3747" s="23" t="str">
        <f aca="false">IF(C3747="","", CHOOSE(MONTH(C3747),"January","February","March","April","May","June","July","August","September","October","November","December")&amp;" "&amp;DAY(C3747)&amp;MID("thstndrdth",MIN(9,2*RIGHT(DAY(C3747))*(MOD(DAY(C3747)-11,100)&gt;2)+1),2)&amp;","&amp;TEXT(C3747," yyyy"))</f>
        <v>June 8th,2026</v>
      </c>
      <c r="AB3747" s="15" t="str">
        <f aca="true">IF(S3747="","",DATEDIF(S3747,TODAY(),"Y")&amp;" Tahun, "&amp;DATEDIF(S3747,TODAY(),"YM")&amp;" Bulan, "&amp;DATEDIF(S3747,TODAY(),"MD")&amp;" Hari")</f>
        <v>39 Tahun, 6 Bulan, 20 Hari</v>
      </c>
      <c r="AC3747" s="14" t="n">
        <v>46181</v>
      </c>
      <c r="AD3747" s="18" t="n">
        <f aca="false">EDATE(AC3747,3)-1</f>
        <v>46272</v>
      </c>
      <c r="AE3747" s="13" t="s">
        <v>2387</v>
      </c>
    </row>
    <row r="3748" customFormat="false" ht="15" hidden="false" customHeight="true" outlineLevel="0" collapsed="false">
      <c r="A3748" s="12" t="n">
        <v>22368</v>
      </c>
      <c r="B3748" s="13" t="s">
        <v>15291</v>
      </c>
      <c r="C3748" s="14" t="n">
        <v>46177</v>
      </c>
      <c r="D3748" s="13" t="s">
        <v>14771</v>
      </c>
      <c r="E3748" s="15" t="s">
        <v>7556</v>
      </c>
      <c r="F3748" s="24" t="s">
        <v>15292</v>
      </c>
      <c r="G3748" s="24" t="s">
        <v>57</v>
      </c>
      <c r="H3748" s="13" t="s">
        <v>35</v>
      </c>
      <c r="I3748" s="13" t="str">
        <f aca="false">IF(C3748=J3748,"NEW KONTRAK","RE-KONTRAK")</f>
        <v>NEW KONTRAK</v>
      </c>
      <c r="J3748" s="16" t="n">
        <f aca="false" t="array" ref="J3748:J3748">IFERROR(INDEX(AC3748:AE3748,IF(COUNTA(AC3748:AE3748)=0,"",MAX((AC3748:AE3748&lt;&gt;"")*(COLUMN(AC3748:AE3748)-(COLUMN(AC3748)))))-1),"")</f>
        <v>46177</v>
      </c>
      <c r="K3748" s="16" t="n">
        <f aca="false" t="array" ref="K3748:K3748">IFERROR(INDEX(AC3748:AE3748,IF(COUNTA(AC3748:AE3748)=0,"",MAX((AC3748:AE3748&lt;&gt;"")*(COLUMN(AC3748:AE3748)-(COLUMN(AC3748)-1))))-1),"")</f>
        <v>46359</v>
      </c>
      <c r="L3748" s="17" t="str">
        <f aca="false" t="array" ref="L3748:L3748">IFERROR(INDEX(AC3748:AE3748,IF(COUNTA(AC3748:AE3748)=0,"",MAX((AC3748:AE3748&lt;&gt;"")*(COLUMN(AC3748:AE3748)-(COLUMN(AC3748)-2))))-1),"")</f>
        <v>ARCHIVED</v>
      </c>
      <c r="M3748" s="13" t="n">
        <f aca="true">K3748-TODAY()</f>
        <v>35</v>
      </c>
      <c r="N3748" s="18" t="s">
        <v>36</v>
      </c>
      <c r="O3748" s="13" t="s">
        <v>15012</v>
      </c>
      <c r="P3748" s="19" t="n">
        <v>4156320</v>
      </c>
      <c r="Q3748" s="47" t="s">
        <v>15293</v>
      </c>
      <c r="R3748" s="13" t="s">
        <v>78</v>
      </c>
      <c r="S3748" s="16" t="n">
        <v>33704</v>
      </c>
      <c r="T3748" s="13" t="s">
        <v>40</v>
      </c>
      <c r="U3748" s="13" t="s">
        <v>15294</v>
      </c>
      <c r="V3748" s="13" t="s">
        <v>42</v>
      </c>
      <c r="W3748" s="13" t="s">
        <v>54</v>
      </c>
      <c r="X3748" s="47" t="s">
        <v>15295</v>
      </c>
      <c r="Y3748" s="22" t="str">
        <f aca="false">O3748</f>
        <v>General Worker</v>
      </c>
      <c r="Z3748" s="13" t="str">
        <f aca="false">IFERROR(__xludf.dummyfunction("if(BJ3748="""","""",GOOGLETRANSLATE(BJ3748,""auto"",""en""))"),"General Worker")</f>
        <v>General Worker</v>
      </c>
      <c r="AA3748" s="23" t="str">
        <f aca="false">IF(C3748="","", CHOOSE(MONTH(C3748),"January","February","March","April","May","June","July","August","September","October","November","December")&amp;" "&amp;DAY(C3748)&amp;MID("thstndrdth",MIN(9,2*RIGHT(DAY(C3748))*(MOD(DAY(C3748)-11,100)&gt;2)+1),2)&amp;","&amp;TEXT(C3748," yyyy"))</f>
        <v>June 4th,2026</v>
      </c>
      <c r="AB3748" s="15" t="str">
        <f aca="true">IF(S3748="","",DATEDIF(S3748,TODAY(),"Y")&amp;" Tahun, "&amp;DATEDIF(S3748,TODAY(),"YM")&amp;" Bulan, "&amp;DATEDIF(S3748,TODAY(),"MD")&amp;" Hari")</f>
        <v>34 Tahun, 6 Bulan, 19 Hari</v>
      </c>
      <c r="AC3748" s="17" t="n">
        <v>46177</v>
      </c>
      <c r="AD3748" s="18" t="n">
        <f aca="false">EDATE(AC3748,6)-1</f>
        <v>46359</v>
      </c>
      <c r="AE3748" s="65" t="s">
        <v>44</v>
      </c>
    </row>
    <row r="3749" customFormat="false" ht="15" hidden="false" customHeight="true" outlineLevel="0" collapsed="false">
      <c r="A3749" s="12" t="n">
        <v>22369</v>
      </c>
      <c r="B3749" s="13" t="s">
        <v>15296</v>
      </c>
      <c r="C3749" s="14" t="n">
        <v>46180</v>
      </c>
      <c r="D3749" s="13" t="s">
        <v>3022</v>
      </c>
      <c r="E3749" s="15" t="s">
        <v>47</v>
      </c>
      <c r="F3749" s="24" t="s">
        <v>15297</v>
      </c>
      <c r="G3749" s="15" t="s">
        <v>1127</v>
      </c>
      <c r="H3749" s="13" t="s">
        <v>3024</v>
      </c>
      <c r="I3749" s="13" t="str">
        <f aca="false">IF(C3749=J3749,"NEW KONTRAK","RE-KONTRAK")</f>
        <v>NEW KONTRAK</v>
      </c>
      <c r="J3749" s="16" t="n">
        <f aca="false" t="array" ref="J3749:J3749">IFERROR(INDEX(AC3749:AE3749,IF(COUNTA(AC3749:AE3749)=0,"",MAX((AC3749:AE3749&lt;&gt;"")*(COLUMN(AC3749:AE3749)-(COLUMN(AC3749)))))-1),"")</f>
        <v>46180</v>
      </c>
      <c r="K3749" s="16" t="n">
        <f aca="false" t="array" ref="K3749:K3749">IFERROR(INDEX(AC3749:AE3749,IF(COUNTA(AC3749:AE3749)=0,"",MAX((AC3749:AE3749&lt;&gt;"")*(COLUMN(AC3749:AE3749)-(COLUMN(AC3749)-1))))-1),"")</f>
        <v>46271</v>
      </c>
      <c r="L3749" s="17" t="str">
        <f aca="false" t="array" ref="L3749:L3749">IFERROR(INDEX(AC3749:AE3749,IF(COUNTA(AC3749:AE3749)=0,"",MAX((AC3749:AE3749&lt;&gt;"")*(COLUMN(AC3749:AE3749)-(COLUMN(AC3749)-2))))-1),"")</f>
        <v>KEMBALI</v>
      </c>
      <c r="M3749" s="13" t="n">
        <f aca="true">K3749-TODAY()</f>
        <v>-53</v>
      </c>
      <c r="N3749" s="18" t="s">
        <v>36</v>
      </c>
      <c r="O3749" s="13" t="s">
        <v>58</v>
      </c>
      <c r="P3749" s="19" t="n">
        <v>112500</v>
      </c>
      <c r="Q3749" s="20" t="s">
        <v>15298</v>
      </c>
      <c r="R3749" s="13" t="s">
        <v>232</v>
      </c>
      <c r="S3749" s="14" t="n">
        <v>39363</v>
      </c>
      <c r="T3749" s="13" t="s">
        <v>40</v>
      </c>
      <c r="U3749" s="13" t="s">
        <v>15299</v>
      </c>
      <c r="V3749" s="13" t="s">
        <v>42</v>
      </c>
      <c r="W3749" s="13" t="s">
        <v>43</v>
      </c>
      <c r="X3749" s="21" t="s">
        <v>15300</v>
      </c>
      <c r="Y3749" s="22" t="str">
        <f aca="false">O3749</f>
        <v>Produksi</v>
      </c>
      <c r="Z3749" s="13" t="str">
        <f aca="false">IFERROR(__xludf.dummyfunction("if(BJ3749="""","""",GOOGLETRANSLATE(BJ3749,""auto"",""en""))"),"Production")</f>
        <v>Production</v>
      </c>
      <c r="AA3749" s="23" t="str">
        <f aca="false">IF(C3749="","", CHOOSE(MONTH(C3749),"January","February","March","April","May","June","July","August","September","October","November","December")&amp;" "&amp;DAY(C3749)&amp;MID("thstndrdth",MIN(9,2*RIGHT(DAY(C3749))*(MOD(DAY(C3749)-11,100)&gt;2)+1),2)&amp;","&amp;TEXT(C3749," yyyy"))</f>
        <v>June 7th,2026</v>
      </c>
      <c r="AB3749" s="15" t="str">
        <f aca="true">IF(S3749="","",DATEDIF(S3749,TODAY(),"Y")&amp;" Tahun, "&amp;DATEDIF(S3749,TODAY(),"YM")&amp;" Bulan, "&amp;DATEDIF(S3749,TODAY(),"MD")&amp;" Hari")</f>
        <v>19 Tahun, 0 Bulan, 21 Hari</v>
      </c>
      <c r="AC3749" s="14" t="n">
        <v>46180</v>
      </c>
      <c r="AD3749" s="14" t="n">
        <f aca="false">EDATE(AC3749,3)-1</f>
        <v>46271</v>
      </c>
      <c r="AE3749" s="13" t="s">
        <v>397</v>
      </c>
    </row>
    <row r="3750" customFormat="false" ht="15" hidden="false" customHeight="true" outlineLevel="0" collapsed="false">
      <c r="A3750" s="12" t="n">
        <v>22370</v>
      </c>
      <c r="B3750" s="13" t="s">
        <v>15301</v>
      </c>
      <c r="C3750" s="14" t="n">
        <v>46180</v>
      </c>
      <c r="D3750" s="13" t="s">
        <v>15103</v>
      </c>
      <c r="E3750" s="15" t="s">
        <v>13820</v>
      </c>
      <c r="F3750" s="15" t="str">
        <f aca="false">IFERROR(__xludf.dummyfunction("XLOOKUP(AJ3750,IMPORTRANGE(""1XaInW9DU9nz21V0tYIfzFQ0He9kVQ_JF2mCXgZ3hqFA"",""REKAP ALL 2026 - Andika!G:G""),IMPORTRANGE(""1XaInW9DU9nz21V0tYIfzFQ0He9kVQ_JF2mCXgZ3hqFA"",""REKAP ALL 2026 - Andika!F:F""),"""",0)"),"26063007160")</f>
        <v>26063007160</v>
      </c>
      <c r="G3750" s="15" t="s">
        <v>1127</v>
      </c>
      <c r="H3750" s="13" t="s">
        <v>3024</v>
      </c>
      <c r="I3750" s="13" t="str">
        <f aca="false">IF(C3750=J3750,"NEW KONTRAK","RE-KONTRAK")</f>
        <v>NEW KONTRAK</v>
      </c>
      <c r="J3750" s="16" t="n">
        <f aca="false" t="array" ref="J3750:J3750">IFERROR(INDEX(AC3750:AE3750,IF(COUNTA(AC3750:AE3750)=0,"",MAX((AC3750:AE3750&lt;&gt;"")*(COLUMN(AC3750:AE3750)-(COLUMN(AC3750)))))-1),"")</f>
        <v>46180</v>
      </c>
      <c r="K3750" s="16" t="n">
        <f aca="false" t="array" ref="K3750:K3750">IFERROR(INDEX(AC3750:AE3750,IF(COUNTA(AC3750:AE3750)=0,"",MAX((AC3750:AE3750&lt;&gt;"")*(COLUMN(AC3750:AE3750)-(COLUMN(AC3750)-1))))-1),"")</f>
        <v>46271</v>
      </c>
      <c r="L3750" s="17" t="str">
        <f aca="false" t="array" ref="L3750:L3750">IFERROR(INDEX(AC3750:AE3750,IF(COUNTA(AC3750:AE3750)=0,"",MAX((AC3750:AE3750&lt;&gt;"")*(COLUMN(AC3750:AE3750)-(COLUMN(AC3750)-2))))-1),"")</f>
        <v>KEMBALI</v>
      </c>
      <c r="M3750" s="13" t="n">
        <f aca="true">K3750-TODAY()</f>
        <v>-53</v>
      </c>
      <c r="N3750" s="18" t="s">
        <v>36</v>
      </c>
      <c r="O3750" s="13" t="s">
        <v>58</v>
      </c>
      <c r="P3750" s="19" t="n">
        <v>112500</v>
      </c>
      <c r="Q3750" s="20" t="s">
        <v>15302</v>
      </c>
      <c r="R3750" s="13" t="s">
        <v>65</v>
      </c>
      <c r="S3750" s="14" t="n">
        <v>36861</v>
      </c>
      <c r="T3750" s="13" t="s">
        <v>40</v>
      </c>
      <c r="U3750" s="13" t="s">
        <v>15303</v>
      </c>
      <c r="V3750" s="13" t="s">
        <v>42</v>
      </c>
      <c r="W3750" s="13" t="s">
        <v>43</v>
      </c>
      <c r="X3750" s="21" t="s">
        <v>15304</v>
      </c>
      <c r="Y3750" s="22" t="str">
        <f aca="false">O3750</f>
        <v>Produksi</v>
      </c>
      <c r="Z3750" s="13" t="str">
        <f aca="false">IFERROR(__xludf.dummyfunction("if(BJ3750="""","""",GOOGLETRANSLATE(BJ3750,""auto"",""en""))"),"Production")</f>
        <v>Production</v>
      </c>
      <c r="AA3750" s="23" t="str">
        <f aca="false">IF(C3750="","", CHOOSE(MONTH(C3750),"January","February","March","April","May","June","July","August","September","October","November","December")&amp;" "&amp;DAY(C3750)&amp;MID("thstndrdth",MIN(9,2*RIGHT(DAY(C3750))*(MOD(DAY(C3750)-11,100)&gt;2)+1),2)&amp;","&amp;TEXT(C3750," yyyy"))</f>
        <v>June 7th,2026</v>
      </c>
      <c r="AB3750" s="15" t="str">
        <f aca="true">IF(S3750="","",DATEDIF(S3750,TODAY(),"Y")&amp;" Tahun, "&amp;DATEDIF(S3750,TODAY(),"YM")&amp;" Bulan, "&amp;DATEDIF(S3750,TODAY(),"MD")&amp;" Hari")</f>
        <v>25 Tahun, 10 Bulan, 28 Hari</v>
      </c>
      <c r="AC3750" s="14" t="n">
        <v>46180</v>
      </c>
      <c r="AD3750" s="14" t="n">
        <f aca="false">EDATE(AC3750,3)-1</f>
        <v>46271</v>
      </c>
      <c r="AE3750" s="13" t="s">
        <v>397</v>
      </c>
    </row>
    <row r="3751" customFormat="false" ht="15" hidden="false" customHeight="true" outlineLevel="0" collapsed="false">
      <c r="A3751" s="12" t="n">
        <v>22371</v>
      </c>
      <c r="B3751" s="13" t="s">
        <v>15305</v>
      </c>
      <c r="C3751" s="14" t="n">
        <v>46180</v>
      </c>
      <c r="D3751" s="13" t="s">
        <v>3022</v>
      </c>
      <c r="E3751" s="15" t="s">
        <v>47</v>
      </c>
      <c r="F3751" s="24" t="s">
        <v>15306</v>
      </c>
      <c r="G3751" s="15" t="s">
        <v>1127</v>
      </c>
      <c r="H3751" s="13" t="s">
        <v>3024</v>
      </c>
      <c r="I3751" s="13" t="str">
        <f aca="false">IF(C3751=J3751,"NEW KONTRAK","RE-KONTRAK")</f>
        <v>NEW KONTRAK</v>
      </c>
      <c r="J3751" s="16" t="n">
        <f aca="false" t="array" ref="J3751:J3751">IFERROR(INDEX(AC3751:AE3751,IF(COUNTA(AC3751:AE3751)=0,"",MAX((AC3751:AE3751&lt;&gt;"")*(COLUMN(AC3751:AE3751)-(COLUMN(AC3751)))))-1),"")</f>
        <v>46180</v>
      </c>
      <c r="K3751" s="16" t="n">
        <f aca="false" t="array" ref="K3751:K3751">IFERROR(INDEX(AC3751:AE3751,IF(COUNTA(AC3751:AE3751)=0,"",MAX((AC3751:AE3751&lt;&gt;"")*(COLUMN(AC3751:AE3751)-(COLUMN(AC3751)-1))))-1),"")</f>
        <v>46271</v>
      </c>
      <c r="L3751" s="17" t="str">
        <f aca="false" t="array" ref="L3751:L3751">IFERROR(INDEX(AC3751:AE3751,IF(COUNTA(AC3751:AE3751)=0,"",MAX((AC3751:AE3751&lt;&gt;"")*(COLUMN(AC3751:AE3751)-(COLUMN(AC3751)-2))))-1),"")</f>
        <v>KEMBALI</v>
      </c>
      <c r="M3751" s="13" t="n">
        <f aca="true">K3751-TODAY()</f>
        <v>-53</v>
      </c>
      <c r="N3751" s="18" t="s">
        <v>36</v>
      </c>
      <c r="O3751" s="13" t="s">
        <v>58</v>
      </c>
      <c r="P3751" s="19" t="n">
        <v>112500</v>
      </c>
      <c r="Q3751" s="20" t="s">
        <v>15307</v>
      </c>
      <c r="R3751" s="13" t="s">
        <v>52</v>
      </c>
      <c r="S3751" s="14" t="n">
        <v>38835</v>
      </c>
      <c r="T3751" s="13" t="s">
        <v>40</v>
      </c>
      <c r="U3751" s="13" t="s">
        <v>15308</v>
      </c>
      <c r="V3751" s="13" t="s">
        <v>42</v>
      </c>
      <c r="W3751" s="13" t="s">
        <v>43</v>
      </c>
      <c r="X3751" s="21" t="s">
        <v>15309</v>
      </c>
      <c r="Y3751" s="22" t="str">
        <f aca="false">O3751</f>
        <v>Produksi</v>
      </c>
      <c r="Z3751" s="13" t="str">
        <f aca="false">IFERROR(__xludf.dummyfunction("if(BJ3751="""","""",GOOGLETRANSLATE(BJ3751,""auto"",""en""))"),"Production")</f>
        <v>Production</v>
      </c>
      <c r="AA3751" s="23" t="str">
        <f aca="false">IF(C3751="","", CHOOSE(MONTH(C3751),"January","February","March","April","May","June","July","August","September","October","November","December")&amp;" "&amp;DAY(C3751)&amp;MID("thstndrdth",MIN(9,2*RIGHT(DAY(C3751))*(MOD(DAY(C3751)-11,100)&gt;2)+1),2)&amp;","&amp;TEXT(C3751," yyyy"))</f>
        <v>June 7th,2026</v>
      </c>
      <c r="AB3751" s="15" t="str">
        <f aca="true">IF(S3751="","",DATEDIF(S3751,TODAY(),"Y")&amp;" Tahun, "&amp;DATEDIF(S3751,TODAY(),"YM")&amp;" Bulan, "&amp;DATEDIF(S3751,TODAY(),"MD")&amp;" Hari")</f>
        <v>20 Tahun, 6 Bulan, 1 Hari</v>
      </c>
      <c r="AC3751" s="14" t="n">
        <v>46180</v>
      </c>
      <c r="AD3751" s="14" t="n">
        <f aca="false">EDATE(AC3751,3)-1</f>
        <v>46271</v>
      </c>
      <c r="AE3751" s="13" t="s">
        <v>397</v>
      </c>
    </row>
    <row r="3752" customFormat="false" ht="15" hidden="false" customHeight="true" outlineLevel="0" collapsed="false">
      <c r="A3752" s="12" t="n">
        <v>22372</v>
      </c>
      <c r="B3752" s="13" t="s">
        <v>15310</v>
      </c>
      <c r="C3752" s="14" t="n">
        <v>46180</v>
      </c>
      <c r="D3752" s="13" t="s">
        <v>15103</v>
      </c>
      <c r="E3752" s="15" t="s">
        <v>4614</v>
      </c>
      <c r="F3752" s="24" t="s">
        <v>15311</v>
      </c>
      <c r="G3752" s="15" t="s">
        <v>1127</v>
      </c>
      <c r="H3752" s="13" t="s">
        <v>3024</v>
      </c>
      <c r="I3752" s="13" t="str">
        <f aca="false">IF(C3752=J3752,"NEW KONTRAK","RE-KONTRAK")</f>
        <v>NEW KONTRAK</v>
      </c>
      <c r="J3752" s="16" t="n">
        <f aca="false" t="array" ref="J3752:J3752">IFERROR(INDEX(AC3752:AE3752,IF(COUNTA(AC3752:AE3752)=0,"",MAX((AC3752:AE3752&lt;&gt;"")*(COLUMN(AC3752:AE3752)-(COLUMN(AC3752)))))-1),"")</f>
        <v>46180</v>
      </c>
      <c r="K3752" s="16" t="n">
        <f aca="false" t="array" ref="K3752:K3752">IFERROR(INDEX(AC3752:AE3752,IF(COUNTA(AC3752:AE3752)=0,"",MAX((AC3752:AE3752&lt;&gt;"")*(COLUMN(AC3752:AE3752)-(COLUMN(AC3752)-1))))-1),"")</f>
        <v>46271</v>
      </c>
      <c r="L3752" s="17" t="str">
        <f aca="false" t="array" ref="L3752:L3752">IFERROR(INDEX(AC3752:AE3752,IF(COUNTA(AC3752:AE3752)=0,"",MAX((AC3752:AE3752&lt;&gt;"")*(COLUMN(AC3752:AE3752)-(COLUMN(AC3752)-2))))-1),"")</f>
        <v>KEMBALI</v>
      </c>
      <c r="M3752" s="13" t="n">
        <f aca="true">K3752-TODAY()</f>
        <v>-53</v>
      </c>
      <c r="N3752" s="18" t="s">
        <v>36</v>
      </c>
      <c r="O3752" s="13" t="s">
        <v>58</v>
      </c>
      <c r="P3752" s="19" t="n">
        <v>112500</v>
      </c>
      <c r="Q3752" s="20" t="s">
        <v>15312</v>
      </c>
      <c r="R3752" s="13" t="s">
        <v>39</v>
      </c>
      <c r="S3752" s="14" t="n">
        <v>35479</v>
      </c>
      <c r="T3752" s="13" t="s">
        <v>40</v>
      </c>
      <c r="U3752" s="13" t="s">
        <v>15036</v>
      </c>
      <c r="V3752" s="13" t="s">
        <v>42</v>
      </c>
      <c r="W3752" s="13" t="s">
        <v>43</v>
      </c>
      <c r="X3752" s="21" t="s">
        <v>15313</v>
      </c>
      <c r="Y3752" s="22" t="str">
        <f aca="false">O3752</f>
        <v>Produksi</v>
      </c>
      <c r="Z3752" s="13" t="str">
        <f aca="false">IFERROR(__xludf.dummyfunction("if(BJ3752="""","""",GOOGLETRANSLATE(BJ3752,""auto"",""en""))"),"Production")</f>
        <v>Production</v>
      </c>
      <c r="AA3752" s="23" t="str">
        <f aca="false">IF(C3752="","", CHOOSE(MONTH(C3752),"January","February","March","April","May","June","July","August","September","October","November","December")&amp;" "&amp;DAY(C3752)&amp;MID("thstndrdth",MIN(9,2*RIGHT(DAY(C3752))*(MOD(DAY(C3752)-11,100)&gt;2)+1),2)&amp;","&amp;TEXT(C3752," yyyy"))</f>
        <v>June 7th,2026</v>
      </c>
      <c r="AB3752" s="15" t="str">
        <f aca="true">IF(S3752="","",DATEDIF(S3752,TODAY(),"Y")&amp;" Tahun, "&amp;DATEDIF(S3752,TODAY(),"YM")&amp;" Bulan, "&amp;DATEDIF(S3752,TODAY(),"MD")&amp;" Hari")</f>
        <v>29 Tahun, 8 Bulan, 11 Hari</v>
      </c>
      <c r="AC3752" s="14" t="n">
        <v>46180</v>
      </c>
      <c r="AD3752" s="14" t="n">
        <f aca="false">EDATE(AC3752,3)-1</f>
        <v>46271</v>
      </c>
      <c r="AE3752" s="13" t="s">
        <v>397</v>
      </c>
    </row>
    <row r="3753" customFormat="false" ht="15" hidden="false" customHeight="true" outlineLevel="0" collapsed="false">
      <c r="A3753" s="12" t="n">
        <v>22373</v>
      </c>
      <c r="B3753" s="13" t="s">
        <v>15314</v>
      </c>
      <c r="C3753" s="14" t="n">
        <v>46180</v>
      </c>
      <c r="D3753" s="13" t="s">
        <v>3022</v>
      </c>
      <c r="E3753" s="15" t="s">
        <v>47</v>
      </c>
      <c r="F3753" s="24" t="s">
        <v>15315</v>
      </c>
      <c r="G3753" s="15" t="s">
        <v>1127</v>
      </c>
      <c r="H3753" s="13" t="s">
        <v>3024</v>
      </c>
      <c r="I3753" s="13" t="str">
        <f aca="false">IF(C3753=J3753,"NEW KONTRAK","RE-KONTRAK")</f>
        <v>NEW KONTRAK</v>
      </c>
      <c r="J3753" s="16" t="n">
        <f aca="false" t="array" ref="J3753:J3753">IFERROR(INDEX(AC3753:AE3753,IF(COUNTA(AC3753:AE3753)=0,"",MAX((AC3753:AE3753&lt;&gt;"")*(COLUMN(AC3753:AE3753)-(COLUMN(AC3753)))))-1),"")</f>
        <v>46180</v>
      </c>
      <c r="K3753" s="16" t="n">
        <f aca="false" t="array" ref="K3753:K3753">IFERROR(INDEX(AC3753:AE3753,IF(COUNTA(AC3753:AE3753)=0,"",MAX((AC3753:AE3753&lt;&gt;"")*(COLUMN(AC3753:AE3753)-(COLUMN(AC3753)-1))))-1),"")</f>
        <v>46271</v>
      </c>
      <c r="L3753" s="17" t="str">
        <f aca="false" t="array" ref="L3753:L3753">IFERROR(INDEX(AC3753:AE3753,IF(COUNTA(AC3753:AE3753)=0,"",MAX((AC3753:AE3753&lt;&gt;"")*(COLUMN(AC3753:AE3753)-(COLUMN(AC3753)-2))))-1),"")</f>
        <v>KEMBALI</v>
      </c>
      <c r="M3753" s="13" t="n">
        <f aca="true">K3753-TODAY()</f>
        <v>-53</v>
      </c>
      <c r="N3753" s="18" t="s">
        <v>36</v>
      </c>
      <c r="O3753" s="13" t="s">
        <v>58</v>
      </c>
      <c r="P3753" s="19" t="n">
        <v>112500</v>
      </c>
      <c r="Q3753" s="20" t="s">
        <v>15316</v>
      </c>
      <c r="R3753" s="13" t="s">
        <v>232</v>
      </c>
      <c r="S3753" s="14" t="n">
        <v>30505</v>
      </c>
      <c r="T3753" s="13" t="s">
        <v>40</v>
      </c>
      <c r="U3753" s="13" t="s">
        <v>15317</v>
      </c>
      <c r="V3753" s="13" t="s">
        <v>42</v>
      </c>
      <c r="W3753" s="13" t="s">
        <v>897</v>
      </c>
      <c r="X3753" s="21" t="s">
        <v>15318</v>
      </c>
      <c r="Y3753" s="22" t="str">
        <f aca="false">O3753</f>
        <v>Produksi</v>
      </c>
      <c r="Z3753" s="13" t="str">
        <f aca="false">IFERROR(__xludf.dummyfunction("if(BJ3753="""","""",GOOGLETRANSLATE(BJ3753,""auto"",""en""))"),"Production")</f>
        <v>Production</v>
      </c>
      <c r="AA3753" s="23" t="str">
        <f aca="false">IF(C3753="","", CHOOSE(MONTH(C3753),"January","February","March","April","May","June","July","August","September","October","November","December")&amp;" "&amp;DAY(C3753)&amp;MID("thstndrdth",MIN(9,2*RIGHT(DAY(C3753))*(MOD(DAY(C3753)-11,100)&gt;2)+1),2)&amp;","&amp;TEXT(C3753," yyyy"))</f>
        <v>June 7th,2026</v>
      </c>
      <c r="AB3753" s="15" t="str">
        <f aca="true">IF(S3753="","",DATEDIF(S3753,TODAY(),"Y")&amp;" Tahun, "&amp;DATEDIF(S3753,TODAY(),"YM")&amp;" Bulan, "&amp;DATEDIF(S3753,TODAY(),"MD")&amp;" Hari")</f>
        <v>43 Tahun, 3 Bulan, 21 Hari</v>
      </c>
      <c r="AC3753" s="14" t="n">
        <v>46180</v>
      </c>
      <c r="AD3753" s="14" t="n">
        <f aca="false">EDATE(AC3753,3)-1</f>
        <v>46271</v>
      </c>
      <c r="AE3753" s="13" t="s">
        <v>397</v>
      </c>
    </row>
    <row r="3754" customFormat="false" ht="15" hidden="false" customHeight="true" outlineLevel="0" collapsed="false">
      <c r="A3754" s="12" t="n">
        <v>22374</v>
      </c>
      <c r="B3754" s="13" t="s">
        <v>15319</v>
      </c>
      <c r="C3754" s="14" t="n">
        <v>46180</v>
      </c>
      <c r="D3754" s="13" t="s">
        <v>3022</v>
      </c>
      <c r="E3754" s="15" t="s">
        <v>47</v>
      </c>
      <c r="F3754" s="24" t="s">
        <v>15320</v>
      </c>
      <c r="G3754" s="15" t="s">
        <v>1127</v>
      </c>
      <c r="H3754" s="13" t="s">
        <v>3024</v>
      </c>
      <c r="I3754" s="13" t="str">
        <f aca="false">IF(C3754=J3754,"NEW KONTRAK","RE-KONTRAK")</f>
        <v>NEW KONTRAK</v>
      </c>
      <c r="J3754" s="16" t="n">
        <f aca="false" t="array" ref="J3754:J3754">IFERROR(INDEX(AC3754:AE3754,IF(COUNTA(AC3754:AE3754)=0,"",MAX((AC3754:AE3754&lt;&gt;"")*(COLUMN(AC3754:AE3754)-(COLUMN(AC3754)))))-1),"")</f>
        <v>46180</v>
      </c>
      <c r="K3754" s="16" t="n">
        <f aca="false" t="array" ref="K3754:K3754">IFERROR(INDEX(AC3754:AE3754,IF(COUNTA(AC3754:AE3754)=0,"",MAX((AC3754:AE3754&lt;&gt;"")*(COLUMN(AC3754:AE3754)-(COLUMN(AC3754)-1))))-1),"")</f>
        <v>46271</v>
      </c>
      <c r="L3754" s="17" t="str">
        <f aca="false" t="array" ref="L3754:L3754">IFERROR(INDEX(AC3754:AE3754,IF(COUNTA(AC3754:AE3754)=0,"",MAX((AC3754:AE3754&lt;&gt;"")*(COLUMN(AC3754:AE3754)-(COLUMN(AC3754)-2))))-1),"")</f>
        <v>KEMBALI</v>
      </c>
      <c r="M3754" s="13" t="n">
        <f aca="true">K3754-TODAY()</f>
        <v>-53</v>
      </c>
      <c r="N3754" s="18" t="s">
        <v>36</v>
      </c>
      <c r="O3754" s="13" t="s">
        <v>58</v>
      </c>
      <c r="P3754" s="19" t="n">
        <v>112500</v>
      </c>
      <c r="Q3754" s="20" t="s">
        <v>15321</v>
      </c>
      <c r="R3754" s="13" t="s">
        <v>65</v>
      </c>
      <c r="S3754" s="14" t="n">
        <v>38983</v>
      </c>
      <c r="T3754" s="13" t="s">
        <v>40</v>
      </c>
      <c r="U3754" s="13" t="s">
        <v>15322</v>
      </c>
      <c r="V3754" s="13" t="s">
        <v>42</v>
      </c>
      <c r="W3754" s="13" t="s">
        <v>43</v>
      </c>
      <c r="X3754" s="21" t="s">
        <v>15323</v>
      </c>
      <c r="Y3754" s="22" t="str">
        <f aca="false">O3754</f>
        <v>Produksi</v>
      </c>
      <c r="Z3754" s="13" t="str">
        <f aca="false">IFERROR(__xludf.dummyfunction("if(BJ3754="""","""",GOOGLETRANSLATE(BJ3754,""auto"",""en""))"),"Production")</f>
        <v>Production</v>
      </c>
      <c r="AA3754" s="23" t="str">
        <f aca="false">IF(C3754="","", CHOOSE(MONTH(C3754),"January","February","March","April","May","June","July","August","September","October","November","December")&amp;" "&amp;DAY(C3754)&amp;MID("thstndrdth",MIN(9,2*RIGHT(DAY(C3754))*(MOD(DAY(C3754)-11,100)&gt;2)+1),2)&amp;","&amp;TEXT(C3754," yyyy"))</f>
        <v>June 7th,2026</v>
      </c>
      <c r="AB3754" s="15" t="str">
        <f aca="true">IF(S3754="","",DATEDIF(S3754,TODAY(),"Y")&amp;" Tahun, "&amp;DATEDIF(S3754,TODAY(),"YM")&amp;" Bulan, "&amp;DATEDIF(S3754,TODAY(),"MD")&amp;" Hari")</f>
        <v>20 Tahun, 1 Bulan, 6 Hari</v>
      </c>
      <c r="AC3754" s="14" t="n">
        <v>46180</v>
      </c>
      <c r="AD3754" s="14" t="n">
        <f aca="false">EDATE(AC3754,3)-1</f>
        <v>46271</v>
      </c>
      <c r="AE3754" s="13" t="s">
        <v>397</v>
      </c>
    </row>
    <row r="3755" customFormat="false" ht="15" hidden="false" customHeight="true" outlineLevel="0" collapsed="false">
      <c r="A3755" s="12" t="n">
        <v>22375</v>
      </c>
      <c r="B3755" s="13" t="s">
        <v>15324</v>
      </c>
      <c r="C3755" s="14" t="n">
        <v>46180</v>
      </c>
      <c r="D3755" s="13" t="s">
        <v>3022</v>
      </c>
      <c r="E3755" s="15" t="s">
        <v>47</v>
      </c>
      <c r="F3755" s="24" t="s">
        <v>15325</v>
      </c>
      <c r="G3755" s="15" t="s">
        <v>1127</v>
      </c>
      <c r="H3755" s="13" t="s">
        <v>3024</v>
      </c>
      <c r="I3755" s="13" t="str">
        <f aca="false">IF(C3755=J3755,"NEW KONTRAK","RE-KONTRAK")</f>
        <v>NEW KONTRAK</v>
      </c>
      <c r="J3755" s="16" t="n">
        <f aca="false" t="array" ref="J3755:J3755">IFERROR(INDEX(AC3755:AE3755,IF(COUNTA(AC3755:AE3755)=0,"",MAX((AC3755:AE3755&lt;&gt;"")*(COLUMN(AC3755:AE3755)-(COLUMN(AC3755)))))-1),"")</f>
        <v>46180</v>
      </c>
      <c r="K3755" s="16" t="n">
        <f aca="false" t="array" ref="K3755:K3755">IFERROR(INDEX(AC3755:AE3755,IF(COUNTA(AC3755:AE3755)=0,"",MAX((AC3755:AE3755&lt;&gt;"")*(COLUMN(AC3755:AE3755)-(COLUMN(AC3755)-1))))-1),"")</f>
        <v>46271</v>
      </c>
      <c r="L3755" s="17" t="str">
        <f aca="false" t="array" ref="L3755:L3755">IFERROR(INDEX(AC3755:AE3755,IF(COUNTA(AC3755:AE3755)=0,"",MAX((AC3755:AE3755&lt;&gt;"")*(COLUMN(AC3755:AE3755)-(COLUMN(AC3755)-2))))-1),"")</f>
        <v>KEMBALI</v>
      </c>
      <c r="M3755" s="13" t="n">
        <f aca="true">K3755-TODAY()</f>
        <v>-53</v>
      </c>
      <c r="N3755" s="18" t="s">
        <v>36</v>
      </c>
      <c r="O3755" s="13" t="s">
        <v>58</v>
      </c>
      <c r="P3755" s="19" t="n">
        <v>112500</v>
      </c>
      <c r="Q3755" s="20" t="s">
        <v>15326</v>
      </c>
      <c r="R3755" s="13" t="s">
        <v>52</v>
      </c>
      <c r="S3755" s="14" t="n">
        <v>37967</v>
      </c>
      <c r="T3755" s="13" t="s">
        <v>40</v>
      </c>
      <c r="U3755" s="13" t="s">
        <v>15327</v>
      </c>
      <c r="V3755" s="13" t="s">
        <v>42</v>
      </c>
      <c r="W3755" s="13" t="s">
        <v>43</v>
      </c>
      <c r="X3755" s="21" t="s">
        <v>15328</v>
      </c>
      <c r="Y3755" s="22" t="str">
        <f aca="false">O3755</f>
        <v>Produksi</v>
      </c>
      <c r="Z3755" s="13" t="str">
        <f aca="false">IFERROR(__xludf.dummyfunction("if(BJ3755="""","""",GOOGLETRANSLATE(BJ3755,""auto"",""en""))"),"Production")</f>
        <v>Production</v>
      </c>
      <c r="AA3755" s="23" t="str">
        <f aca="false">IF(C3755="","", CHOOSE(MONTH(C3755),"January","February","March","April","May","June","July","August","September","October","November","December")&amp;" "&amp;DAY(C3755)&amp;MID("thstndrdth",MIN(9,2*RIGHT(DAY(C3755))*(MOD(DAY(C3755)-11,100)&gt;2)+1),2)&amp;","&amp;TEXT(C3755," yyyy"))</f>
        <v>June 7th,2026</v>
      </c>
      <c r="AB3755" s="15" t="str">
        <f aca="true">IF(S3755="","",DATEDIF(S3755,TODAY(),"Y")&amp;" Tahun, "&amp;DATEDIF(S3755,TODAY(),"YM")&amp;" Bulan, "&amp;DATEDIF(S3755,TODAY(),"MD")&amp;" Hari")</f>
        <v>22 Tahun, 10 Bulan, 17 Hari</v>
      </c>
      <c r="AC3755" s="14" t="n">
        <v>46180</v>
      </c>
      <c r="AD3755" s="14" t="n">
        <f aca="false">EDATE(AC3755,3)-1</f>
        <v>46271</v>
      </c>
      <c r="AE3755" s="13" t="s">
        <v>397</v>
      </c>
    </row>
    <row r="3756" customFormat="false" ht="15" hidden="false" customHeight="true" outlineLevel="0" collapsed="false">
      <c r="A3756" s="12" t="n">
        <v>22376</v>
      </c>
      <c r="B3756" s="13" t="s">
        <v>15329</v>
      </c>
      <c r="C3756" s="14" t="n">
        <v>46180</v>
      </c>
      <c r="D3756" s="13" t="s">
        <v>3022</v>
      </c>
      <c r="E3756" s="15" t="s">
        <v>102</v>
      </c>
      <c r="F3756" s="24" t="s">
        <v>15330</v>
      </c>
      <c r="G3756" s="15" t="s">
        <v>1127</v>
      </c>
      <c r="H3756" s="13" t="s">
        <v>3024</v>
      </c>
      <c r="I3756" s="13" t="str">
        <f aca="false">IF(C3756=J3756,"NEW KONTRAK","RE-KONTRAK")</f>
        <v>NEW KONTRAK</v>
      </c>
      <c r="J3756" s="16" t="n">
        <f aca="false" t="array" ref="J3756:J3756">IFERROR(INDEX(AC3756:AE3756,IF(COUNTA(AC3756:AE3756)=0,"",MAX((AC3756:AE3756&lt;&gt;"")*(COLUMN(AC3756:AE3756)-(COLUMN(AC3756)))))-1),"")</f>
        <v>46180</v>
      </c>
      <c r="K3756" s="16" t="n">
        <f aca="false" t="array" ref="K3756:K3756">IFERROR(INDEX(AC3756:AE3756,IF(COUNTA(AC3756:AE3756)=0,"",MAX((AC3756:AE3756&lt;&gt;"")*(COLUMN(AC3756:AE3756)-(COLUMN(AC3756)-1))))-1),"")</f>
        <v>46271</v>
      </c>
      <c r="L3756" s="17" t="str">
        <f aca="false" t="array" ref="L3756:L3756">IFERROR(INDEX(AC3756:AE3756,IF(COUNTA(AC3756:AE3756)=0,"",MAX((AC3756:AE3756&lt;&gt;"")*(COLUMN(AC3756:AE3756)-(COLUMN(AC3756)-2))))-1),"")</f>
        <v>KEMBALI</v>
      </c>
      <c r="M3756" s="13" t="n">
        <f aca="true">K3756-TODAY()</f>
        <v>-53</v>
      </c>
      <c r="N3756" s="18" t="s">
        <v>36</v>
      </c>
      <c r="O3756" s="13" t="s">
        <v>58</v>
      </c>
      <c r="P3756" s="19" t="n">
        <v>112500</v>
      </c>
      <c r="Q3756" s="20" t="s">
        <v>15331</v>
      </c>
      <c r="R3756" s="13" t="s">
        <v>65</v>
      </c>
      <c r="S3756" s="14" t="n">
        <v>36659</v>
      </c>
      <c r="T3756" s="13" t="s">
        <v>40</v>
      </c>
      <c r="U3756" s="13" t="s">
        <v>15332</v>
      </c>
      <c r="V3756" s="13" t="s">
        <v>42</v>
      </c>
      <c r="W3756" s="13" t="s">
        <v>43</v>
      </c>
      <c r="X3756" s="21" t="s">
        <v>15333</v>
      </c>
      <c r="Y3756" s="22" t="str">
        <f aca="false">O3756</f>
        <v>Produksi</v>
      </c>
      <c r="Z3756" s="13" t="str">
        <f aca="false">IFERROR(__xludf.dummyfunction("if(BJ3756="""","""",GOOGLETRANSLATE(BJ3756,""auto"",""en""))"),"Production")</f>
        <v>Production</v>
      </c>
      <c r="AA3756" s="23" t="str">
        <f aca="false">IF(C3756="","", CHOOSE(MONTH(C3756),"January","February","March","April","May","June","July","August","September","October","November","December")&amp;" "&amp;DAY(C3756)&amp;MID("thstndrdth",MIN(9,2*RIGHT(DAY(C3756))*(MOD(DAY(C3756)-11,100)&gt;2)+1),2)&amp;","&amp;TEXT(C3756," yyyy"))</f>
        <v>June 7th,2026</v>
      </c>
      <c r="AB3756" s="15" t="str">
        <f aca="true">IF(S3756="","",DATEDIF(S3756,TODAY(),"Y")&amp;" Tahun, "&amp;DATEDIF(S3756,TODAY(),"YM")&amp;" Bulan, "&amp;DATEDIF(S3756,TODAY(),"MD")&amp;" Hari")</f>
        <v>26 Tahun, 5 Bulan, 16 Hari</v>
      </c>
      <c r="AC3756" s="14" t="n">
        <v>46180</v>
      </c>
      <c r="AD3756" s="14" t="n">
        <f aca="false">EDATE(AC3756,3)-1</f>
        <v>46271</v>
      </c>
      <c r="AE3756" s="13" t="s">
        <v>397</v>
      </c>
    </row>
    <row r="3757" customFormat="false" ht="15" hidden="false" customHeight="true" outlineLevel="0" collapsed="false">
      <c r="A3757" s="12" t="n">
        <v>22377</v>
      </c>
      <c r="B3757" s="13" t="s">
        <v>15334</v>
      </c>
      <c r="C3757" s="14" t="n">
        <v>46180</v>
      </c>
      <c r="D3757" s="13" t="s">
        <v>15103</v>
      </c>
      <c r="E3757" s="15" t="s">
        <v>102</v>
      </c>
      <c r="F3757" s="24" t="s">
        <v>15335</v>
      </c>
      <c r="G3757" s="15" t="s">
        <v>1127</v>
      </c>
      <c r="H3757" s="13" t="s">
        <v>3024</v>
      </c>
      <c r="I3757" s="13" t="str">
        <f aca="false">IF(C3757=J3757,"NEW KONTRAK","RE-KONTRAK")</f>
        <v>NEW KONTRAK</v>
      </c>
      <c r="J3757" s="16" t="n">
        <f aca="false" t="array" ref="J3757:J3757">IFERROR(INDEX(AC3757:AE3757,IF(COUNTA(AC3757:AE3757)=0,"",MAX((AC3757:AE3757&lt;&gt;"")*(COLUMN(AC3757:AE3757)-(COLUMN(AC3757)))))-1),"")</f>
        <v>46180</v>
      </c>
      <c r="K3757" s="16" t="n">
        <f aca="false" t="array" ref="K3757:K3757">IFERROR(INDEX(AC3757:AE3757,IF(COUNTA(AC3757:AE3757)=0,"",MAX((AC3757:AE3757&lt;&gt;"")*(COLUMN(AC3757:AE3757)-(COLUMN(AC3757)-1))))-1),"")</f>
        <v>46271</v>
      </c>
      <c r="L3757" s="17" t="str">
        <f aca="false" t="array" ref="L3757:L3757">IFERROR(INDEX(AC3757:AE3757,IF(COUNTA(AC3757:AE3757)=0,"",MAX((AC3757:AE3757&lt;&gt;"")*(COLUMN(AC3757:AE3757)-(COLUMN(AC3757)-2))))-1),"")</f>
        <v>KEMBALI</v>
      </c>
      <c r="M3757" s="13" t="n">
        <f aca="true">K3757-TODAY()</f>
        <v>-53</v>
      </c>
      <c r="N3757" s="18" t="s">
        <v>36</v>
      </c>
      <c r="O3757" s="13" t="s">
        <v>58</v>
      </c>
      <c r="P3757" s="19" t="n">
        <v>112500</v>
      </c>
      <c r="Q3757" s="20" t="s">
        <v>15336</v>
      </c>
      <c r="R3757" s="13" t="s">
        <v>39</v>
      </c>
      <c r="S3757" s="14" t="n">
        <v>38860</v>
      </c>
      <c r="T3757" s="13" t="s">
        <v>40</v>
      </c>
      <c r="U3757" s="13" t="s">
        <v>15337</v>
      </c>
      <c r="V3757" s="13" t="s">
        <v>42</v>
      </c>
      <c r="W3757" s="13" t="s">
        <v>43</v>
      </c>
      <c r="X3757" s="21" t="s">
        <v>15338</v>
      </c>
      <c r="Y3757" s="22" t="str">
        <f aca="false">O3757</f>
        <v>Produksi</v>
      </c>
      <c r="Z3757" s="13" t="str">
        <f aca="false">IFERROR(__xludf.dummyfunction("if(BJ3757="""","""",GOOGLETRANSLATE(BJ3757,""auto"",""en""))"),"Production")</f>
        <v>Production</v>
      </c>
      <c r="AA3757" s="23" t="str">
        <f aca="false">IF(C3757="","", CHOOSE(MONTH(C3757),"January","February","March","April","May","June","July","August","September","October","November","December")&amp;" "&amp;DAY(C3757)&amp;MID("thstndrdth",MIN(9,2*RIGHT(DAY(C3757))*(MOD(DAY(C3757)-11,100)&gt;2)+1),2)&amp;","&amp;TEXT(C3757," yyyy"))</f>
        <v>June 7th,2026</v>
      </c>
      <c r="AB3757" s="15" t="str">
        <f aca="true">IF(S3757="","",DATEDIF(S3757,TODAY(),"Y")&amp;" Tahun, "&amp;DATEDIF(S3757,TODAY(),"YM")&amp;" Bulan, "&amp;DATEDIF(S3757,TODAY(),"MD")&amp;" Hari")</f>
        <v>20 Tahun, 5 Bulan, 6 Hari</v>
      </c>
      <c r="AC3757" s="14" t="n">
        <v>46180</v>
      </c>
      <c r="AD3757" s="14" t="n">
        <f aca="false">EDATE(AC3757,3)-1</f>
        <v>46271</v>
      </c>
      <c r="AE3757" s="13" t="s">
        <v>397</v>
      </c>
    </row>
    <row r="3758" customFormat="false" ht="15" hidden="false" customHeight="true" outlineLevel="0" collapsed="false">
      <c r="A3758" s="12" t="n">
        <v>22378</v>
      </c>
      <c r="B3758" s="13" t="s">
        <v>15339</v>
      </c>
      <c r="C3758" s="14" t="n">
        <v>46177</v>
      </c>
      <c r="D3758" s="13" t="s">
        <v>393</v>
      </c>
      <c r="E3758" s="15" t="s">
        <v>47</v>
      </c>
      <c r="F3758" s="24" t="s">
        <v>15340</v>
      </c>
      <c r="G3758" s="15" t="s">
        <v>1127</v>
      </c>
      <c r="H3758" s="13" t="s">
        <v>35</v>
      </c>
      <c r="I3758" s="13" t="str">
        <f aca="false">IF(C3758=J3758,"NEW KONTRAK","RE-KONTRAK")</f>
        <v>NEW KONTRAK</v>
      </c>
      <c r="J3758" s="16" t="n">
        <f aca="false" t="array" ref="J3758:J3758">IFERROR(INDEX(AC3758:AE3758,IF(COUNTA(AC3758:AE3758)=0,"",MAX((AC3758:AE3758&lt;&gt;"")*(COLUMN(AC3758:AE3758)-(COLUMN(AC3758)))))-1),"")</f>
        <v>46177</v>
      </c>
      <c r="K3758" s="16" t="n">
        <f aca="false" t="array" ref="K3758:K3758">IFERROR(INDEX(AC3758:AE3758,IF(COUNTA(AC3758:AE3758)=0,"",MAX((AC3758:AE3758&lt;&gt;"")*(COLUMN(AC3758:AE3758)-(COLUMN(AC3758)-1))))-1),"")</f>
        <v>46541</v>
      </c>
      <c r="L3758" s="17" t="str">
        <f aca="false" t="array" ref="L3758:L3758">IFERROR(INDEX(AC3758:AE3758,IF(COUNTA(AC3758:AE3758)=0,"",MAX((AC3758:AE3758&lt;&gt;"")*(COLUMN(AC3758:AE3758)-(COLUMN(AC3758)-2))))-1),"")</f>
        <v>ARCHIVED</v>
      </c>
      <c r="M3758" s="13" t="n">
        <f aca="true">K3758-TODAY()</f>
        <v>217</v>
      </c>
      <c r="N3758" s="18" t="s">
        <v>105</v>
      </c>
      <c r="O3758" s="13" t="s">
        <v>15203</v>
      </c>
      <c r="P3758" s="19" t="n">
        <v>5191541</v>
      </c>
      <c r="Q3758" s="47" t="s">
        <v>15341</v>
      </c>
      <c r="R3758" s="13" t="s">
        <v>52</v>
      </c>
      <c r="S3758" s="16" t="n">
        <v>35736</v>
      </c>
      <c r="T3758" s="28" t="s">
        <v>40</v>
      </c>
      <c r="U3758" s="13" t="s">
        <v>15342</v>
      </c>
      <c r="V3758" s="28" t="s">
        <v>42</v>
      </c>
      <c r="W3758" s="28" t="s">
        <v>54</v>
      </c>
      <c r="X3758" s="47" t="s">
        <v>15343</v>
      </c>
      <c r="Y3758" s="22" t="str">
        <f aca="false">O3758</f>
        <v>Produksi Furniture</v>
      </c>
      <c r="Z3758" s="13" t="str">
        <f aca="false">IFERROR(__xludf.dummyfunction("if(BJ3758="""","""",GOOGLETRANSLATE(BJ3758,""auto"",""en""))"),"Furniture Production")</f>
        <v>Furniture Production</v>
      </c>
      <c r="AA3758" s="23" t="str">
        <f aca="false">IF(C3758="","", CHOOSE(MONTH(C3758),"January","February","March","April","May","June","July","August","September","October","November","December")&amp;" "&amp;DAY(C3758)&amp;MID("thstndrdth",MIN(9,2*RIGHT(DAY(C3758))*(MOD(DAY(C3758)-11,100)&gt;2)+1),2)&amp;","&amp;TEXT(C3758," yyyy"))</f>
        <v>June 4th,2026</v>
      </c>
      <c r="AB3758" s="15" t="str">
        <f aca="true">IF(S3758="","",DATEDIF(S3758,TODAY(),"Y")&amp;" Tahun, "&amp;DATEDIF(S3758,TODAY(),"YM")&amp;" Bulan, "&amp;DATEDIF(S3758,TODAY(),"MD")&amp;" Hari")</f>
        <v>28 Tahun, 11 Bulan, 27 Hari</v>
      </c>
      <c r="AC3758" s="17" t="n">
        <v>46177</v>
      </c>
      <c r="AD3758" s="18" t="n">
        <f aca="false">EDATE(AC3758,12)-1</f>
        <v>46541</v>
      </c>
      <c r="AE3758" s="65" t="s">
        <v>44</v>
      </c>
    </row>
    <row r="3759" customFormat="false" ht="15" hidden="false" customHeight="true" outlineLevel="0" collapsed="false">
      <c r="A3759" s="12" t="n">
        <v>22379</v>
      </c>
      <c r="B3759" s="13" t="s">
        <v>15344</v>
      </c>
      <c r="C3759" s="14" t="n">
        <v>46181</v>
      </c>
      <c r="D3759" s="13" t="s">
        <v>3022</v>
      </c>
      <c r="E3759" s="15" t="s">
        <v>102</v>
      </c>
      <c r="F3759" s="24" t="s">
        <v>15345</v>
      </c>
      <c r="G3759" s="15" t="s">
        <v>1127</v>
      </c>
      <c r="H3759" s="13" t="s">
        <v>3024</v>
      </c>
      <c r="I3759" s="13" t="str">
        <f aca="false">IF(C3759=J3759,"NEW KONTRAK","RE-KONTRAK")</f>
        <v>NEW KONTRAK</v>
      </c>
      <c r="J3759" s="16" t="n">
        <f aca="false" t="array" ref="J3759:J3759">IFERROR(INDEX(AC3759:AE3759,IF(COUNTA(AC3759:AE3759)=0,"",MAX((AC3759:AE3759&lt;&gt;"")*(COLUMN(AC3759:AE3759)-(COLUMN(AC3759)))))-1),"")</f>
        <v>46181</v>
      </c>
      <c r="K3759" s="16" t="n">
        <f aca="false" t="array" ref="K3759:K3759">IFERROR(INDEX(AC3759:AE3759,IF(COUNTA(AC3759:AE3759)=0,"",MAX((AC3759:AE3759&lt;&gt;"")*(COLUMN(AC3759:AE3759)-(COLUMN(AC3759)-1))))-1),"")</f>
        <v>46272</v>
      </c>
      <c r="L3759" s="17" t="str">
        <f aca="false" t="array" ref="L3759:L3759">IFERROR(INDEX(AC3759:AE3759,IF(COUNTA(AC3759:AE3759)=0,"",MAX((AC3759:AE3759&lt;&gt;"")*(COLUMN(AC3759:AE3759)-(COLUMN(AC3759)-2))))-1),"")</f>
        <v>ARCHIVED</v>
      </c>
      <c r="M3759" s="13" t="n">
        <f aca="true">K3759-TODAY()</f>
        <v>-52</v>
      </c>
      <c r="N3759" s="18" t="s">
        <v>36</v>
      </c>
      <c r="O3759" s="13" t="s">
        <v>58</v>
      </c>
      <c r="P3759" s="19" t="n">
        <v>112500</v>
      </c>
      <c r="Q3759" s="20" t="s">
        <v>15346</v>
      </c>
      <c r="R3759" s="13" t="s">
        <v>65</v>
      </c>
      <c r="S3759" s="14" t="n">
        <v>38732</v>
      </c>
      <c r="T3759" s="28" t="s">
        <v>40</v>
      </c>
      <c r="U3759" s="13" t="s">
        <v>15347</v>
      </c>
      <c r="V3759" s="13" t="s">
        <v>42</v>
      </c>
      <c r="W3759" s="13" t="s">
        <v>43</v>
      </c>
      <c r="X3759" s="21" t="s">
        <v>15348</v>
      </c>
      <c r="Y3759" s="22" t="str">
        <f aca="false">O3759</f>
        <v>Produksi</v>
      </c>
      <c r="Z3759" s="13" t="str">
        <f aca="false">IFERROR(__xludf.dummyfunction("if(BJ3759="""","""",GOOGLETRANSLATE(BJ3759,""auto"",""en""))"),"Production")</f>
        <v>Production</v>
      </c>
      <c r="AA3759" s="23" t="str">
        <f aca="false">IF(C3759="","", CHOOSE(MONTH(C3759),"January","February","March","April","May","June","July","August","September","October","November","December")&amp;" "&amp;DAY(C3759)&amp;MID("thstndrdth",MIN(9,2*RIGHT(DAY(C3759))*(MOD(DAY(C3759)-11,100)&gt;2)+1),2)&amp;","&amp;TEXT(C3759," yyyy"))</f>
        <v>June 8th,2026</v>
      </c>
      <c r="AB3759" s="15" t="str">
        <f aca="true">IF(S3759="","",DATEDIF(S3759,TODAY(),"Y")&amp;" Tahun, "&amp;DATEDIF(S3759,TODAY(),"YM")&amp;" Bulan, "&amp;DATEDIF(S3759,TODAY(),"MD")&amp;" Hari")</f>
        <v>20 Tahun, 9 Bulan, 14 Hari</v>
      </c>
      <c r="AC3759" s="14" t="n">
        <v>46181</v>
      </c>
      <c r="AD3759" s="14" t="n">
        <f aca="false">EDATE(AC3759,3)-1</f>
        <v>46272</v>
      </c>
      <c r="AE3759" s="13" t="s">
        <v>44</v>
      </c>
    </row>
    <row r="3760" customFormat="false" ht="15" hidden="false" customHeight="true" outlineLevel="0" collapsed="false">
      <c r="A3760" s="12" t="n">
        <v>22381</v>
      </c>
      <c r="B3760" s="13" t="s">
        <v>15349</v>
      </c>
      <c r="C3760" s="14" t="n">
        <v>46181</v>
      </c>
      <c r="D3760" s="13" t="s">
        <v>3022</v>
      </c>
      <c r="E3760" s="15" t="s">
        <v>47</v>
      </c>
      <c r="F3760" s="24" t="s">
        <v>15350</v>
      </c>
      <c r="G3760" s="15" t="s">
        <v>1127</v>
      </c>
      <c r="H3760" s="13" t="s">
        <v>3024</v>
      </c>
      <c r="I3760" s="13" t="str">
        <f aca="false">IF(C3760=J3760,"NEW KONTRAK","RE-KONTRAK")</f>
        <v>NEW KONTRAK</v>
      </c>
      <c r="J3760" s="16" t="n">
        <f aca="false" t="array" ref="J3760:J3760">IFERROR(INDEX(AC3760:AE3760,IF(COUNTA(AC3760:AE3760)=0,"",MAX((AC3760:AE3760&lt;&gt;"")*(COLUMN(AC3760:AE3760)-(COLUMN(AC3760)))))-1),"")</f>
        <v>46181</v>
      </c>
      <c r="K3760" s="16" t="n">
        <f aca="false" t="array" ref="K3760:K3760">IFERROR(INDEX(AC3760:AE3760,IF(COUNTA(AC3760:AE3760)=0,"",MAX((AC3760:AE3760&lt;&gt;"")*(COLUMN(AC3760:AE3760)-(COLUMN(AC3760)-1))))-1),"")</f>
        <v>46272</v>
      </c>
      <c r="L3760" s="17" t="str">
        <f aca="false" t="array" ref="L3760:L3760">IFERROR(INDEX(AC3760:AE3760,IF(COUNTA(AC3760:AE3760)=0,"",MAX((AC3760:AE3760&lt;&gt;"")*(COLUMN(AC3760:AE3760)-(COLUMN(AC3760)-2))))-1),"")</f>
        <v>KEMBALI</v>
      </c>
      <c r="M3760" s="13" t="n">
        <f aca="true">K3760-TODAY()</f>
        <v>-52</v>
      </c>
      <c r="N3760" s="18" t="s">
        <v>36</v>
      </c>
      <c r="O3760" s="13" t="s">
        <v>58</v>
      </c>
      <c r="P3760" s="19" t="n">
        <v>112500</v>
      </c>
      <c r="Q3760" s="20" t="s">
        <v>15351</v>
      </c>
      <c r="R3760" s="13" t="s">
        <v>52</v>
      </c>
      <c r="S3760" s="14" t="n">
        <v>38499</v>
      </c>
      <c r="T3760" s="28" t="s">
        <v>40</v>
      </c>
      <c r="U3760" s="13" t="s">
        <v>15352</v>
      </c>
      <c r="V3760" s="13" t="s">
        <v>42</v>
      </c>
      <c r="W3760" s="13" t="s">
        <v>43</v>
      </c>
      <c r="X3760" s="21" t="s">
        <v>15353</v>
      </c>
      <c r="Y3760" s="22" t="str">
        <f aca="false">O3760</f>
        <v>Produksi</v>
      </c>
      <c r="Z3760" s="13" t="str">
        <f aca="false">IFERROR(__xludf.dummyfunction("if(BJ3760="""","""",GOOGLETRANSLATE(BJ3760,""auto"",""en""))"),"Production")</f>
        <v>Production</v>
      </c>
      <c r="AA3760" s="23" t="str">
        <f aca="false">IF(C3760="","", CHOOSE(MONTH(C3760),"January","February","March","April","May","June","July","August","September","October","November","December")&amp;" "&amp;DAY(C3760)&amp;MID("thstndrdth",MIN(9,2*RIGHT(DAY(C3760))*(MOD(DAY(C3760)-11,100)&gt;2)+1),2)&amp;","&amp;TEXT(C3760," yyyy"))</f>
        <v>June 8th,2026</v>
      </c>
      <c r="AB3760" s="15" t="str">
        <f aca="true">IF(S3760="","",DATEDIF(S3760,TODAY(),"Y")&amp;" Tahun, "&amp;DATEDIF(S3760,TODAY(),"YM")&amp;" Bulan, "&amp;DATEDIF(S3760,TODAY(),"MD")&amp;" Hari")</f>
        <v>21 Tahun, 5 Bulan, 2 Hari</v>
      </c>
      <c r="AC3760" s="14" t="n">
        <v>46181</v>
      </c>
      <c r="AD3760" s="14" t="n">
        <v>46272</v>
      </c>
      <c r="AE3760" s="13" t="s">
        <v>397</v>
      </c>
    </row>
    <row r="3761" customFormat="false" ht="15" hidden="false" customHeight="true" outlineLevel="0" collapsed="false">
      <c r="A3761" s="12" t="n">
        <v>22383</v>
      </c>
      <c r="B3761" s="13" t="s">
        <v>15354</v>
      </c>
      <c r="C3761" s="14" t="n">
        <v>46181</v>
      </c>
      <c r="D3761" s="13" t="s">
        <v>3022</v>
      </c>
      <c r="E3761" s="15" t="s">
        <v>47</v>
      </c>
      <c r="F3761" s="24" t="s">
        <v>15355</v>
      </c>
      <c r="G3761" s="15" t="s">
        <v>1127</v>
      </c>
      <c r="H3761" s="13" t="s">
        <v>3024</v>
      </c>
      <c r="I3761" s="13" t="str">
        <f aca="false">IF(C3761=J3761,"NEW KONTRAK","RE-KONTRAK")</f>
        <v>NEW KONTRAK</v>
      </c>
      <c r="J3761" s="16" t="n">
        <f aca="false" t="array" ref="J3761:J3761">IFERROR(INDEX(AC3761:AE3761,IF(COUNTA(AC3761:AE3761)=0,"",MAX((AC3761:AE3761&lt;&gt;"")*(COLUMN(AC3761:AE3761)-(COLUMN(AC3761)))))-1),"")</f>
        <v>46181</v>
      </c>
      <c r="K3761" s="16" t="n">
        <f aca="false" t="array" ref="K3761:K3761">IFERROR(INDEX(AC3761:AE3761,IF(COUNTA(AC3761:AE3761)=0,"",MAX((AC3761:AE3761&lt;&gt;"")*(COLUMN(AC3761:AE3761)-(COLUMN(AC3761)-1))))-1),"")</f>
        <v>46272</v>
      </c>
      <c r="L3761" s="17" t="str">
        <f aca="false" t="array" ref="L3761:L3761">IFERROR(INDEX(AC3761:AE3761,IF(COUNTA(AC3761:AE3761)=0,"",MAX((AC3761:AE3761&lt;&gt;"")*(COLUMN(AC3761:AE3761)-(COLUMN(AC3761)-2))))-1),"")</f>
        <v>KEMBALI</v>
      </c>
      <c r="M3761" s="13" t="n">
        <f aca="true">K3761-TODAY()</f>
        <v>-52</v>
      </c>
      <c r="N3761" s="18" t="s">
        <v>36</v>
      </c>
      <c r="O3761" s="13" t="s">
        <v>58</v>
      </c>
      <c r="P3761" s="19" t="n">
        <v>112500</v>
      </c>
      <c r="Q3761" s="20" t="s">
        <v>15356</v>
      </c>
      <c r="R3761" s="13" t="s">
        <v>232</v>
      </c>
      <c r="S3761" s="14" t="n">
        <v>39543</v>
      </c>
      <c r="T3761" s="28" t="s">
        <v>40</v>
      </c>
      <c r="U3761" s="13" t="s">
        <v>15357</v>
      </c>
      <c r="V3761" s="13" t="s">
        <v>42</v>
      </c>
      <c r="W3761" s="13" t="s">
        <v>43</v>
      </c>
      <c r="X3761" s="21" t="s">
        <v>15358</v>
      </c>
      <c r="Y3761" s="22" t="str">
        <f aca="false">O3761</f>
        <v>Produksi</v>
      </c>
      <c r="Z3761" s="13" t="str">
        <f aca="false">IFERROR(__xludf.dummyfunction("if(BJ3761="""","""",GOOGLETRANSLATE(BJ3761,""auto"",""en""))"),"Production")</f>
        <v>Production</v>
      </c>
      <c r="AA3761" s="23" t="str">
        <f aca="false">IF(C3761="","", CHOOSE(MONTH(C3761),"January","February","March","April","May","June","July","August","September","October","November","December")&amp;" "&amp;DAY(C3761)&amp;MID("thstndrdth",MIN(9,2*RIGHT(DAY(C3761))*(MOD(DAY(C3761)-11,100)&gt;2)+1),2)&amp;","&amp;TEXT(C3761," yyyy"))</f>
        <v>June 8th,2026</v>
      </c>
      <c r="AB3761" s="15" t="str">
        <f aca="true">IF(S3761="","",DATEDIF(S3761,TODAY(),"Y")&amp;" Tahun, "&amp;DATEDIF(S3761,TODAY(),"YM")&amp;" Bulan, "&amp;DATEDIF(S3761,TODAY(),"MD")&amp;" Hari")</f>
        <v>18 Tahun, 6 Bulan, 24 Hari</v>
      </c>
      <c r="AC3761" s="14" t="n">
        <v>46181</v>
      </c>
      <c r="AD3761" s="14" t="n">
        <v>46272</v>
      </c>
      <c r="AE3761" s="13" t="s">
        <v>397</v>
      </c>
    </row>
    <row r="3762" customFormat="false" ht="15" hidden="false" customHeight="true" outlineLevel="0" collapsed="false">
      <c r="A3762" s="12" t="n">
        <v>22384</v>
      </c>
      <c r="B3762" s="13" t="s">
        <v>15359</v>
      </c>
      <c r="C3762" s="14" t="n">
        <v>46182</v>
      </c>
      <c r="D3762" s="13" t="s">
        <v>8980</v>
      </c>
      <c r="E3762" s="15" t="s">
        <v>47</v>
      </c>
      <c r="F3762" s="24" t="s">
        <v>15360</v>
      </c>
      <c r="G3762" s="15" t="s">
        <v>1127</v>
      </c>
      <c r="H3762" s="13" t="s">
        <v>35</v>
      </c>
      <c r="I3762" s="13" t="str">
        <f aca="false">IF(C3762=J3762,"NEW KONTRAK","RE-KONTRAK")</f>
        <v>NEW KONTRAK</v>
      </c>
      <c r="J3762" s="16" t="n">
        <f aca="false" t="array" ref="J3762:J3762">IFERROR(INDEX(AC3762:AE3762,IF(COUNTA(AC3762:AE3762)=0,"",MAX((AC3762:AE3762&lt;&gt;"")*(COLUMN(AC3762:AE3762)-(COLUMN(AC3762)))))-1),"")</f>
        <v>46182</v>
      </c>
      <c r="K3762" s="16" t="n">
        <f aca="false" t="array" ref="K3762:K3762">IFERROR(INDEX(AC3762:AE3762,IF(COUNTA(AC3762:AE3762)=0,"",MAX((AC3762:AE3762&lt;&gt;"")*(COLUMN(AC3762:AE3762)-(COLUMN(AC3762)-1))))-1),"")</f>
        <v>46273</v>
      </c>
      <c r="L3762" s="17" t="str">
        <f aca="false" t="array" ref="L3762:L3762">IFERROR(INDEX(AC3762:AE3762,IF(COUNTA(AC3762:AE3762)=0,"",MAX((AC3762:AE3762&lt;&gt;"")*(COLUMN(AC3762:AE3762)-(COLUMN(AC3762)-2))))-1),"")</f>
        <v>KEMBALI ONLINE</v>
      </c>
      <c r="M3762" s="13" t="n">
        <f aca="true">K3762-TODAY()</f>
        <v>-51</v>
      </c>
      <c r="N3762" s="18" t="s">
        <v>8982</v>
      </c>
      <c r="O3762" s="13" t="s">
        <v>8983</v>
      </c>
      <c r="P3762" s="19" t="n">
        <v>2250000</v>
      </c>
      <c r="Q3762" s="20" t="s">
        <v>15361</v>
      </c>
      <c r="R3762" s="13" t="s">
        <v>826</v>
      </c>
      <c r="S3762" s="14" t="n">
        <v>38168</v>
      </c>
      <c r="T3762" s="28" t="s">
        <v>40</v>
      </c>
      <c r="U3762" s="13" t="s">
        <v>15362</v>
      </c>
      <c r="V3762" s="13" t="s">
        <v>42</v>
      </c>
      <c r="W3762" s="13" t="s">
        <v>43</v>
      </c>
      <c r="X3762" s="21" t="s">
        <v>15363</v>
      </c>
      <c r="Y3762" s="22" t="str">
        <f aca="false">O3762</f>
        <v>Operator SPBU</v>
      </c>
      <c r="Z3762" s="13" t="str">
        <f aca="false">IFERROR(__xludf.dummyfunction("if(BJ3762="""","""",GOOGLETRANSLATE(BJ3762,""auto"",""en""))"),"Gas Station Operator")</f>
        <v>Gas Station Operator</v>
      </c>
      <c r="AA3762" s="23" t="str">
        <f aca="false">IF(C3762="","", CHOOSE(MONTH(C3762),"January","February","March","April","May","June","July","August","September","October","November","December")&amp;" "&amp;DAY(C3762)&amp;MID("thstndrdth",MIN(9,2*RIGHT(DAY(C3762))*(MOD(DAY(C3762)-11,100)&gt;2)+1),2)&amp;","&amp;TEXT(C3762," yyyy"))</f>
        <v>June 9th,2026</v>
      </c>
      <c r="AB3762" s="15" t="str">
        <f aca="true">IF(S3762="","",DATEDIF(S3762,TODAY(),"Y")&amp;" Tahun, "&amp;DATEDIF(S3762,TODAY(),"YM")&amp;" Bulan, "&amp;DATEDIF(S3762,TODAY(),"MD")&amp;" Hari")</f>
        <v>22 Tahun, 3 Bulan, 29 Hari</v>
      </c>
      <c r="AC3762" s="14" t="n">
        <v>46182</v>
      </c>
      <c r="AD3762" s="14" t="n">
        <f aca="false">EDATE(AC3762,3)-1</f>
        <v>46273</v>
      </c>
      <c r="AE3762" s="13" t="s">
        <v>2387</v>
      </c>
    </row>
    <row r="3763" customFormat="false" ht="15" hidden="false" customHeight="true" outlineLevel="0" collapsed="false">
      <c r="A3763" s="12" t="n">
        <v>22385</v>
      </c>
      <c r="B3763" s="13" t="s">
        <v>15364</v>
      </c>
      <c r="C3763" s="14" t="n">
        <v>46182</v>
      </c>
      <c r="D3763" s="13" t="s">
        <v>8980</v>
      </c>
      <c r="E3763" s="15" t="s">
        <v>47</v>
      </c>
      <c r="F3763" s="24" t="s">
        <v>15365</v>
      </c>
      <c r="G3763" s="15" t="s">
        <v>1127</v>
      </c>
      <c r="H3763" s="13" t="s">
        <v>35</v>
      </c>
      <c r="I3763" s="13" t="str">
        <f aca="false">IF(C3763=J3763,"NEW KONTRAK","RE-KONTRAK")</f>
        <v>NEW KONTRAK</v>
      </c>
      <c r="J3763" s="16" t="n">
        <f aca="false" t="array" ref="J3763:J3763">IFERROR(INDEX(AC3763:AE3763,IF(COUNTA(AC3763:AE3763)=0,"",MAX((AC3763:AE3763&lt;&gt;"")*(COLUMN(AC3763:AE3763)-(COLUMN(AC3763)))))-1),"")</f>
        <v>46182</v>
      </c>
      <c r="K3763" s="16" t="n">
        <f aca="false" t="array" ref="K3763:K3763">IFERROR(INDEX(AC3763:AE3763,IF(COUNTA(AC3763:AE3763)=0,"",MAX((AC3763:AE3763&lt;&gt;"")*(COLUMN(AC3763:AE3763)-(COLUMN(AC3763)-1))))-1),"")</f>
        <v>46273</v>
      </c>
      <c r="L3763" s="17" t="str">
        <f aca="false" t="array" ref="L3763:L3763">IFERROR(INDEX(AC3763:AE3763,IF(COUNTA(AC3763:AE3763)=0,"",MAX((AC3763:AE3763&lt;&gt;"")*(COLUMN(AC3763:AE3763)-(COLUMN(AC3763)-2))))-1),"")</f>
        <v>KEMBALI ONLINE</v>
      </c>
      <c r="M3763" s="13" t="n">
        <f aca="true">K3763-TODAY()</f>
        <v>-51</v>
      </c>
      <c r="N3763" s="18" t="s">
        <v>8982</v>
      </c>
      <c r="O3763" s="13" t="s">
        <v>8983</v>
      </c>
      <c r="P3763" s="19" t="n">
        <v>2250000</v>
      </c>
      <c r="Q3763" s="20" t="s">
        <v>15366</v>
      </c>
      <c r="R3763" s="13" t="s">
        <v>826</v>
      </c>
      <c r="S3763" s="14" t="n">
        <v>39432</v>
      </c>
      <c r="T3763" s="28" t="s">
        <v>40</v>
      </c>
      <c r="U3763" s="13" t="s">
        <v>15367</v>
      </c>
      <c r="V3763" s="13" t="s">
        <v>42</v>
      </c>
      <c r="W3763" s="13" t="s">
        <v>43</v>
      </c>
      <c r="X3763" s="21" t="s">
        <v>15368</v>
      </c>
      <c r="Y3763" s="22" t="str">
        <f aca="false">O3763</f>
        <v>Operator SPBU</v>
      </c>
      <c r="Z3763" s="13" t="str">
        <f aca="false">IFERROR(__xludf.dummyfunction("if(BJ3763="""","""",GOOGLETRANSLATE(BJ3763,""auto"",""en""))"),"Gas Station Operator")</f>
        <v>Gas Station Operator</v>
      </c>
      <c r="AA3763" s="23" t="str">
        <f aca="false">IF(C3763="","", CHOOSE(MONTH(C3763),"January","February","March","April","May","June","July","August","September","October","November","December")&amp;" "&amp;DAY(C3763)&amp;MID("thstndrdth",MIN(9,2*RIGHT(DAY(C3763))*(MOD(DAY(C3763)-11,100)&gt;2)+1),2)&amp;","&amp;TEXT(C3763," yyyy"))</f>
        <v>June 9th,2026</v>
      </c>
      <c r="AB3763" s="15" t="str">
        <f aca="true">IF(S3763="","",DATEDIF(S3763,TODAY(),"Y")&amp;" Tahun, "&amp;DATEDIF(S3763,TODAY(),"YM")&amp;" Bulan, "&amp;DATEDIF(S3763,TODAY(),"MD")&amp;" Hari")</f>
        <v>18 Tahun, 10 Bulan, 13 Hari</v>
      </c>
      <c r="AC3763" s="14" t="n">
        <v>46182</v>
      </c>
      <c r="AD3763" s="14" t="n">
        <f aca="false">EDATE(AC3763,3)-1</f>
        <v>46273</v>
      </c>
      <c r="AE3763" s="13" t="s">
        <v>2387</v>
      </c>
    </row>
    <row r="3764" customFormat="false" ht="15" hidden="false" customHeight="true" outlineLevel="0" collapsed="false">
      <c r="A3764" s="12" t="n">
        <v>22386</v>
      </c>
      <c r="B3764" s="13" t="s">
        <v>15369</v>
      </c>
      <c r="C3764" s="14" t="n">
        <v>46182</v>
      </c>
      <c r="D3764" s="13" t="s">
        <v>3022</v>
      </c>
      <c r="E3764" s="15" t="s">
        <v>47</v>
      </c>
      <c r="F3764" s="24" t="s">
        <v>15370</v>
      </c>
      <c r="G3764" s="24" t="s">
        <v>57</v>
      </c>
      <c r="H3764" s="13" t="s">
        <v>3024</v>
      </c>
      <c r="I3764" s="13" t="str">
        <f aca="false">IF(C3764=J3764,"NEW KONTRAK","RE-KONTRAK")</f>
        <v>NEW KONTRAK</v>
      </c>
      <c r="J3764" s="16" t="n">
        <f aca="false" t="array" ref="J3764:J3764">IFERROR(INDEX(AC3764:AE3764,IF(COUNTA(AC3764:AE3764)=0,"",MAX((AC3764:AE3764&lt;&gt;"")*(COLUMN(AC3764:AE3764)-(COLUMN(AC3764)))))-1),"")</f>
        <v>46182</v>
      </c>
      <c r="K3764" s="16" t="n">
        <f aca="false" t="array" ref="K3764:K3764">IFERROR(INDEX(AC3764:AE3764,IF(COUNTA(AC3764:AE3764)=0,"",MAX((AC3764:AE3764&lt;&gt;"")*(COLUMN(AC3764:AE3764)-(COLUMN(AC3764)-1))))-1),"")</f>
        <v>46273</v>
      </c>
      <c r="L3764" s="17" t="str">
        <f aca="false" t="array" ref="L3764:L3764">IFERROR(INDEX(AC3764:AE3764,IF(COUNTA(AC3764:AE3764)=0,"",MAX((AC3764:AE3764&lt;&gt;"")*(COLUMN(AC3764:AE3764)-(COLUMN(AC3764)-2))))-1),"")</f>
        <v>KEMBALI</v>
      </c>
      <c r="M3764" s="13" t="n">
        <f aca="true">K3764-TODAY()</f>
        <v>-51</v>
      </c>
      <c r="N3764" s="18" t="s">
        <v>36</v>
      </c>
      <c r="O3764" s="13" t="s">
        <v>58</v>
      </c>
      <c r="P3764" s="19" t="n">
        <v>112500</v>
      </c>
      <c r="Q3764" s="20" t="s">
        <v>15371</v>
      </c>
      <c r="R3764" s="13" t="s">
        <v>39</v>
      </c>
      <c r="S3764" s="14" t="n">
        <v>38468</v>
      </c>
      <c r="T3764" s="28" t="s">
        <v>40</v>
      </c>
      <c r="U3764" s="13" t="s">
        <v>15372</v>
      </c>
      <c r="V3764" s="13" t="s">
        <v>42</v>
      </c>
      <c r="W3764" s="13" t="s">
        <v>43</v>
      </c>
      <c r="X3764" s="21" t="n">
        <v>8961654635</v>
      </c>
      <c r="Y3764" s="22" t="str">
        <f aca="false">O3764</f>
        <v>Produksi</v>
      </c>
      <c r="Z3764" s="13" t="str">
        <f aca="false">IFERROR(__xludf.dummyfunction("if(BJ3764="""","""",GOOGLETRANSLATE(BJ3764,""auto"",""en""))"),"Production")</f>
        <v>Production</v>
      </c>
      <c r="AA3764" s="23" t="str">
        <f aca="false">IF(C3764="","", CHOOSE(MONTH(C3764),"January","February","March","April","May","June","July","August","September","October","November","December")&amp;" "&amp;DAY(C3764)&amp;MID("thstndrdth",MIN(9,2*RIGHT(DAY(C3764))*(MOD(DAY(C3764)-11,100)&gt;2)+1),2)&amp;","&amp;TEXT(C3764," yyyy"))</f>
        <v>June 9th,2026</v>
      </c>
      <c r="AB3764" s="15" t="str">
        <f aca="true">IF(S3764="","",DATEDIF(S3764,TODAY(),"Y")&amp;" Tahun, "&amp;DATEDIF(S3764,TODAY(),"YM")&amp;" Bulan, "&amp;DATEDIF(S3764,TODAY(),"MD")&amp;" Hari")</f>
        <v>21 Tahun, 6 Bulan, 3 Hari</v>
      </c>
      <c r="AC3764" s="14" t="n">
        <v>46182</v>
      </c>
      <c r="AD3764" s="18" t="n">
        <f aca="false">EDATE(AC3764,3)-1</f>
        <v>46273</v>
      </c>
      <c r="AE3764" s="13" t="s">
        <v>397</v>
      </c>
    </row>
    <row r="3765" customFormat="false" ht="15" hidden="false" customHeight="true" outlineLevel="0" collapsed="false">
      <c r="A3765" s="12" t="n">
        <v>22387</v>
      </c>
      <c r="B3765" s="13" t="s">
        <v>15373</v>
      </c>
      <c r="C3765" s="14" t="n">
        <v>46182</v>
      </c>
      <c r="D3765" s="13" t="s">
        <v>3022</v>
      </c>
      <c r="E3765" s="15" t="s">
        <v>47</v>
      </c>
      <c r="F3765" s="24" t="s">
        <v>15374</v>
      </c>
      <c r="G3765" s="24" t="s">
        <v>57</v>
      </c>
      <c r="H3765" s="13" t="s">
        <v>3024</v>
      </c>
      <c r="I3765" s="13" t="str">
        <f aca="false">IF(C3765=J3765,"NEW KONTRAK","RE-KONTRAK")</f>
        <v>NEW KONTRAK</v>
      </c>
      <c r="J3765" s="16" t="n">
        <f aca="false" t="array" ref="J3765:J3765">IFERROR(INDEX(AC3765:AE3765,IF(COUNTA(AC3765:AE3765)=0,"",MAX((AC3765:AE3765&lt;&gt;"")*(COLUMN(AC3765:AE3765)-(COLUMN(AC3765)))))-1),"")</f>
        <v>46182</v>
      </c>
      <c r="K3765" s="16" t="n">
        <f aca="false" t="array" ref="K3765:K3765">IFERROR(INDEX(AC3765:AE3765,IF(COUNTA(AC3765:AE3765)=0,"",MAX((AC3765:AE3765&lt;&gt;"")*(COLUMN(AC3765:AE3765)-(COLUMN(AC3765)-1))))-1),"")</f>
        <v>46273</v>
      </c>
      <c r="L3765" s="17" t="str">
        <f aca="false" t="array" ref="L3765:L3765">IFERROR(INDEX(AC3765:AE3765,IF(COUNTA(AC3765:AE3765)=0,"",MAX((AC3765:AE3765&lt;&gt;"")*(COLUMN(AC3765:AE3765)-(COLUMN(AC3765)-2))))-1),"")</f>
        <v>KEMBALI</v>
      </c>
      <c r="M3765" s="13" t="n">
        <f aca="true">K3765-TODAY()</f>
        <v>-51</v>
      </c>
      <c r="N3765" s="18" t="s">
        <v>36</v>
      </c>
      <c r="O3765" s="13" t="s">
        <v>58</v>
      </c>
      <c r="P3765" s="19" t="n">
        <v>112500</v>
      </c>
      <c r="Q3765" s="20" t="s">
        <v>15375</v>
      </c>
      <c r="R3765" s="13" t="s">
        <v>65</v>
      </c>
      <c r="S3765" s="14" t="n">
        <v>34018</v>
      </c>
      <c r="T3765" s="28" t="s">
        <v>40</v>
      </c>
      <c r="U3765" s="13" t="s">
        <v>15376</v>
      </c>
      <c r="V3765" s="13" t="s">
        <v>42</v>
      </c>
      <c r="W3765" s="13" t="s">
        <v>43</v>
      </c>
      <c r="X3765" s="21" t="n">
        <v>89682363191</v>
      </c>
      <c r="Y3765" s="22" t="str">
        <f aca="false">O3765</f>
        <v>Produksi</v>
      </c>
      <c r="Z3765" s="13" t="str">
        <f aca="false">IFERROR(__xludf.dummyfunction("if(BJ3765="""","""",GOOGLETRANSLATE(BJ3765,""auto"",""en""))"),"Production")</f>
        <v>Production</v>
      </c>
      <c r="AA3765" s="23" t="str">
        <f aca="false">IF(C3765="","", CHOOSE(MONTH(C3765),"January","February","March","April","May","June","July","August","September","October","November","December")&amp;" "&amp;DAY(C3765)&amp;MID("thstndrdth",MIN(9,2*RIGHT(DAY(C3765))*(MOD(DAY(C3765)-11,100)&gt;2)+1),2)&amp;","&amp;TEXT(C3765," yyyy"))</f>
        <v>June 9th,2026</v>
      </c>
      <c r="AB3765" s="15" t="str">
        <f aca="true">IF(S3765="","",DATEDIF(S3765,TODAY(),"Y")&amp;" Tahun, "&amp;DATEDIF(S3765,TODAY(),"YM")&amp;" Bulan, "&amp;DATEDIF(S3765,TODAY(),"MD")&amp;" Hari")</f>
        <v>33 Tahun, 8 Bulan, 11 Hari</v>
      </c>
      <c r="AC3765" s="14" t="n">
        <v>46182</v>
      </c>
      <c r="AD3765" s="18" t="n">
        <f aca="false">EDATE(AC3765,3)-1</f>
        <v>46273</v>
      </c>
      <c r="AE3765" s="13" t="s">
        <v>397</v>
      </c>
    </row>
    <row r="3766" customFormat="false" ht="15" hidden="false" customHeight="true" outlineLevel="0" collapsed="false">
      <c r="A3766" s="12" t="n">
        <v>22388</v>
      </c>
      <c r="B3766" s="13" t="s">
        <v>15377</v>
      </c>
      <c r="C3766" s="14" t="n">
        <v>46182</v>
      </c>
      <c r="D3766" s="13" t="s">
        <v>3022</v>
      </c>
      <c r="E3766" s="15" t="s">
        <v>47</v>
      </c>
      <c r="F3766" s="24" t="s">
        <v>15378</v>
      </c>
      <c r="G3766" s="24" t="s">
        <v>57</v>
      </c>
      <c r="H3766" s="13" t="s">
        <v>3024</v>
      </c>
      <c r="I3766" s="13" t="str">
        <f aca="false">IF(C3766=J3766,"NEW KONTRAK","RE-KONTRAK")</f>
        <v>NEW KONTRAK</v>
      </c>
      <c r="J3766" s="16" t="n">
        <f aca="false" t="array" ref="J3766:J3766">IFERROR(INDEX(AC3766:AE3766,IF(COUNTA(AC3766:AE3766)=0,"",MAX((AC3766:AE3766&lt;&gt;"")*(COLUMN(AC3766:AE3766)-(COLUMN(AC3766)))))-1),"")</f>
        <v>46182</v>
      </c>
      <c r="K3766" s="16" t="n">
        <f aca="false" t="array" ref="K3766:K3766">IFERROR(INDEX(AC3766:AE3766,IF(COUNTA(AC3766:AE3766)=0,"",MAX((AC3766:AE3766&lt;&gt;"")*(COLUMN(AC3766:AE3766)-(COLUMN(AC3766)-1))))-1),"")</f>
        <v>46273</v>
      </c>
      <c r="L3766" s="17" t="str">
        <f aca="false" t="array" ref="L3766:L3766">IFERROR(INDEX(AC3766:AE3766,IF(COUNTA(AC3766:AE3766)=0,"",MAX((AC3766:AE3766&lt;&gt;"")*(COLUMN(AC3766:AE3766)-(COLUMN(AC3766)-2))))-1),"")</f>
        <v>KEMBALI</v>
      </c>
      <c r="M3766" s="13" t="n">
        <f aca="true">K3766-TODAY()</f>
        <v>-51</v>
      </c>
      <c r="N3766" s="18" t="s">
        <v>36</v>
      </c>
      <c r="O3766" s="13" t="s">
        <v>58</v>
      </c>
      <c r="P3766" s="19" t="n">
        <v>112500</v>
      </c>
      <c r="Q3766" s="20" t="s">
        <v>15379</v>
      </c>
      <c r="R3766" s="13" t="s">
        <v>39</v>
      </c>
      <c r="S3766" s="14" t="n">
        <v>39491</v>
      </c>
      <c r="T3766" s="28" t="s">
        <v>40</v>
      </c>
      <c r="U3766" s="13" t="s">
        <v>15380</v>
      </c>
      <c r="V3766" s="13" t="s">
        <v>42</v>
      </c>
      <c r="W3766" s="13" t="s">
        <v>43</v>
      </c>
      <c r="X3766" s="21" t="n">
        <v>882009467361</v>
      </c>
      <c r="Y3766" s="22" t="str">
        <f aca="false">O3766</f>
        <v>Produksi</v>
      </c>
      <c r="Z3766" s="13" t="str">
        <f aca="false">IFERROR(__xludf.dummyfunction("if(BJ3766="""","""",GOOGLETRANSLATE(BJ3766,""auto"",""en""))"),"Production")</f>
        <v>Production</v>
      </c>
      <c r="AA3766" s="23" t="str">
        <f aca="false">IF(C3766="","", CHOOSE(MONTH(C3766),"January","February","March","April","May","June","July","August","September","October","November","December")&amp;" "&amp;DAY(C3766)&amp;MID("thstndrdth",MIN(9,2*RIGHT(DAY(C3766))*(MOD(DAY(C3766)-11,100)&gt;2)+1),2)&amp;","&amp;TEXT(C3766," yyyy"))</f>
        <v>June 9th,2026</v>
      </c>
      <c r="AB3766" s="15" t="str">
        <f aca="true">IF(S3766="","",DATEDIF(S3766,TODAY(),"Y")&amp;" Tahun, "&amp;DATEDIF(S3766,TODAY(),"YM")&amp;" Bulan, "&amp;DATEDIF(S3766,TODAY(),"MD")&amp;" Hari")</f>
        <v>18 Tahun, 8 Bulan, 16 Hari</v>
      </c>
      <c r="AC3766" s="14" t="n">
        <v>46182</v>
      </c>
      <c r="AD3766" s="18" t="n">
        <f aca="false">EDATE(AC3766,3)-1</f>
        <v>46273</v>
      </c>
      <c r="AE3766" s="13" t="s">
        <v>397</v>
      </c>
    </row>
    <row r="3767" customFormat="false" ht="15" hidden="false" customHeight="true" outlineLevel="0" collapsed="false">
      <c r="A3767" s="12" t="n">
        <v>22389</v>
      </c>
      <c r="B3767" s="13" t="s">
        <v>15381</v>
      </c>
      <c r="C3767" s="14" t="n">
        <v>46182</v>
      </c>
      <c r="D3767" s="13" t="s">
        <v>3022</v>
      </c>
      <c r="E3767" s="15" t="s">
        <v>47</v>
      </c>
      <c r="F3767" s="24" t="s">
        <v>15382</v>
      </c>
      <c r="G3767" s="24" t="s">
        <v>57</v>
      </c>
      <c r="H3767" s="13" t="s">
        <v>3024</v>
      </c>
      <c r="I3767" s="13" t="str">
        <f aca="false">IF(C3767=J3767,"NEW KONTRAK","RE-KONTRAK")</f>
        <v>NEW KONTRAK</v>
      </c>
      <c r="J3767" s="16" t="n">
        <f aca="false" t="array" ref="J3767:J3767">IFERROR(INDEX(AC3767:AE3767,IF(COUNTA(AC3767:AE3767)=0,"",MAX((AC3767:AE3767&lt;&gt;"")*(COLUMN(AC3767:AE3767)-(COLUMN(AC3767)))))-1),"")</f>
        <v>46182</v>
      </c>
      <c r="K3767" s="16" t="n">
        <f aca="false" t="array" ref="K3767:K3767">IFERROR(INDEX(AC3767:AE3767,IF(COUNTA(AC3767:AE3767)=0,"",MAX((AC3767:AE3767&lt;&gt;"")*(COLUMN(AC3767:AE3767)-(COLUMN(AC3767)-1))))-1),"")</f>
        <v>46273</v>
      </c>
      <c r="L3767" s="17" t="str">
        <f aca="false" t="array" ref="L3767:L3767">IFERROR(INDEX(AC3767:AE3767,IF(COUNTA(AC3767:AE3767)=0,"",MAX((AC3767:AE3767&lt;&gt;"")*(COLUMN(AC3767:AE3767)-(COLUMN(AC3767)-2))))-1),"")</f>
        <v>KEMBALI</v>
      </c>
      <c r="M3767" s="13" t="n">
        <f aca="true">K3767-TODAY()</f>
        <v>-51</v>
      </c>
      <c r="N3767" s="18" t="s">
        <v>36</v>
      </c>
      <c r="O3767" s="13" t="s">
        <v>58</v>
      </c>
      <c r="P3767" s="19" t="n">
        <v>112500</v>
      </c>
      <c r="Q3767" s="20" t="s">
        <v>15383</v>
      </c>
      <c r="R3767" s="13" t="s">
        <v>232</v>
      </c>
      <c r="S3767" s="14" t="n">
        <v>39517</v>
      </c>
      <c r="T3767" s="28" t="s">
        <v>40</v>
      </c>
      <c r="U3767" s="13" t="s">
        <v>15357</v>
      </c>
      <c r="V3767" s="13" t="s">
        <v>42</v>
      </c>
      <c r="W3767" s="13" t="s">
        <v>43</v>
      </c>
      <c r="X3767" s="21" t="n">
        <v>85730311161</v>
      </c>
      <c r="Y3767" s="22" t="str">
        <f aca="false">O3767</f>
        <v>Produksi</v>
      </c>
      <c r="Z3767" s="13" t="str">
        <f aca="false">IFERROR(__xludf.dummyfunction("if(BJ3767="""","""",GOOGLETRANSLATE(BJ3767,""auto"",""en""))"),"Production")</f>
        <v>Production</v>
      </c>
      <c r="AA3767" s="23" t="str">
        <f aca="false">IF(C3767="","", CHOOSE(MONTH(C3767),"January","February","March","April","May","June","July","August","September","October","November","December")&amp;" "&amp;DAY(C3767)&amp;MID("thstndrdth",MIN(9,2*RIGHT(DAY(C3767))*(MOD(DAY(C3767)-11,100)&gt;2)+1),2)&amp;","&amp;TEXT(C3767," yyyy"))</f>
        <v>June 9th,2026</v>
      </c>
      <c r="AB3767" s="15" t="str">
        <f aca="true">IF(S3767="","",DATEDIF(S3767,TODAY(),"Y")&amp;" Tahun, "&amp;DATEDIF(S3767,TODAY(),"YM")&amp;" Bulan, "&amp;DATEDIF(S3767,TODAY(),"MD")&amp;" Hari")</f>
        <v>18 Tahun, 7 Bulan, 19 Hari</v>
      </c>
      <c r="AC3767" s="14" t="n">
        <v>46182</v>
      </c>
      <c r="AD3767" s="18" t="n">
        <f aca="false">EDATE(AC3767,3)-1</f>
        <v>46273</v>
      </c>
      <c r="AE3767" s="13" t="s">
        <v>397</v>
      </c>
    </row>
    <row r="3768" customFormat="false" ht="15" hidden="false" customHeight="true" outlineLevel="0" collapsed="false">
      <c r="A3768" s="12" t="n">
        <v>22390</v>
      </c>
      <c r="B3768" s="13" t="s">
        <v>15384</v>
      </c>
      <c r="C3768" s="14" t="n">
        <v>46177</v>
      </c>
      <c r="D3768" s="13" t="s">
        <v>5726</v>
      </c>
      <c r="E3768" s="15" t="s">
        <v>102</v>
      </c>
      <c r="F3768" s="24" t="s">
        <v>15385</v>
      </c>
      <c r="G3768" s="24" t="s">
        <v>57</v>
      </c>
      <c r="H3768" s="13" t="s">
        <v>35</v>
      </c>
      <c r="I3768" s="13" t="str">
        <f aca="false">IF(C3768=J3768,"NEW KONTRAK","RE-KONTRAK")</f>
        <v>NEW KONTRAK</v>
      </c>
      <c r="J3768" s="16" t="n">
        <f aca="false" t="array" ref="J3768:J3768">IFERROR(INDEX(AC3768:AE3768,IF(COUNTA(AC3768:AE3768)=0,"",MAX((AC3768:AE3768&lt;&gt;"")*(COLUMN(AC3768:AE3768)-(COLUMN(AC3768)))))-1),"")</f>
        <v>46177</v>
      </c>
      <c r="K3768" s="16" t="n">
        <f aca="false" t="array" ref="K3768:K3768">IFERROR(INDEX(AC3768:AE3768,IF(COUNTA(AC3768:AE3768)=0,"",MAX((AC3768:AE3768&lt;&gt;"")*(COLUMN(AC3768:AE3768)-(COLUMN(AC3768)-1))))-1),"")</f>
        <v>46268</v>
      </c>
      <c r="L3768" s="17" t="str">
        <f aca="false" t="array" ref="L3768:L3768">IFERROR(INDEX(AC3768:AE3768,IF(COUNTA(AC3768:AE3768)=0,"",MAX((AC3768:AE3768&lt;&gt;"")*(COLUMN(AC3768:AE3768)-(COLUMN(AC3768)-2))))-1),"")</f>
        <v>KEMBALI</v>
      </c>
      <c r="M3768" s="13" t="n">
        <f aca="true">K3768-TODAY()</f>
        <v>-56</v>
      </c>
      <c r="N3768" s="18" t="s">
        <v>615</v>
      </c>
      <c r="O3768" s="13" t="s">
        <v>15386</v>
      </c>
      <c r="P3768" s="19" t="n">
        <v>5176101</v>
      </c>
      <c r="Q3768" s="47" t="s">
        <v>15387</v>
      </c>
      <c r="R3768" s="13" t="s">
        <v>232</v>
      </c>
      <c r="S3768" s="16" t="n">
        <v>35818</v>
      </c>
      <c r="T3768" s="13" t="s">
        <v>40</v>
      </c>
      <c r="U3768" s="13" t="s">
        <v>15388</v>
      </c>
      <c r="V3768" s="13" t="s">
        <v>42</v>
      </c>
      <c r="W3768" s="13" t="s">
        <v>54</v>
      </c>
      <c r="X3768" s="21" t="n">
        <v>88989853463</v>
      </c>
      <c r="Y3768" s="22" t="str">
        <f aca="false">O3768</f>
        <v>ControlQuality</v>
      </c>
      <c r="Z3768" s="13" t="str">
        <f aca="false">IFERROR(__xludf.dummyfunction("if(BJ3768="""","""",GOOGLETRANSLATE(BJ3768,""auto"",""en""))"),"ControlQuality")</f>
        <v>ControlQuality</v>
      </c>
      <c r="AA3768" s="23" t="str">
        <f aca="false">IF(C3768="","", CHOOSE(MONTH(C3768),"January","February","March","April","May","June","July","August","September","October","November","December")&amp;" "&amp;DAY(C3768)&amp;MID("thstndrdth",MIN(9,2*RIGHT(DAY(C3768))*(MOD(DAY(C3768)-11,100)&gt;2)+1),2)&amp;","&amp;TEXT(C3768," yyyy"))</f>
        <v>June 4th,2026</v>
      </c>
      <c r="AB3768" s="15" t="str">
        <f aca="true">IF(S3768="","",DATEDIF(S3768,TODAY(),"Y")&amp;" Tahun, "&amp;DATEDIF(S3768,TODAY(),"YM")&amp;" Bulan, "&amp;DATEDIF(S3768,TODAY(),"MD")&amp;" Hari")</f>
        <v>28 Tahun, 9 Bulan, 6 Hari</v>
      </c>
      <c r="AC3768" s="14" t="n">
        <v>46177</v>
      </c>
      <c r="AD3768" s="18" t="n">
        <f aca="false">EDATE(AC3768,3)-1</f>
        <v>46268</v>
      </c>
      <c r="AE3768" s="13" t="s">
        <v>397</v>
      </c>
    </row>
    <row r="3769" customFormat="false" ht="15" hidden="false" customHeight="true" outlineLevel="0" collapsed="false">
      <c r="A3769" s="12" t="n">
        <v>22391</v>
      </c>
      <c r="B3769" s="13" t="s">
        <v>15389</v>
      </c>
      <c r="C3769" s="14" t="n">
        <v>46177</v>
      </c>
      <c r="D3769" s="13" t="s">
        <v>5726</v>
      </c>
      <c r="E3769" s="15" t="s">
        <v>47</v>
      </c>
      <c r="F3769" s="24" t="s">
        <v>15390</v>
      </c>
      <c r="G3769" s="24" t="s">
        <v>57</v>
      </c>
      <c r="H3769" s="13" t="s">
        <v>35</v>
      </c>
      <c r="I3769" s="13" t="str">
        <f aca="false">IF(C3769=J3769,"NEW KONTRAK","RE-KONTRAK")</f>
        <v>NEW KONTRAK</v>
      </c>
      <c r="J3769" s="16" t="n">
        <f aca="false" t="array" ref="J3769:J3769">IFERROR(INDEX(AC3769:AE3769,IF(COUNTA(AC3769:AE3769)=0,"",MAX((AC3769:AE3769&lt;&gt;"")*(COLUMN(AC3769:AE3769)-(COLUMN(AC3769)))))-1),"")</f>
        <v>46177</v>
      </c>
      <c r="K3769" s="16" t="n">
        <f aca="false" t="array" ref="K3769:K3769">IFERROR(INDEX(AC3769:AE3769,IF(COUNTA(AC3769:AE3769)=0,"",MAX((AC3769:AE3769&lt;&gt;"")*(COLUMN(AC3769:AE3769)-(COLUMN(AC3769)-1))))-1),"")</f>
        <v>46268</v>
      </c>
      <c r="L3769" s="17" t="str">
        <f aca="false" t="array" ref="L3769:L3769">IFERROR(INDEX(AC3769:AE3769,IF(COUNTA(AC3769:AE3769)=0,"",MAX((AC3769:AE3769&lt;&gt;"")*(COLUMN(AC3769:AE3769)-(COLUMN(AC3769)-2))))-1),"")</f>
        <v>KEMBALI</v>
      </c>
      <c r="M3769" s="13" t="n">
        <f aca="true">K3769-TODAY()</f>
        <v>-56</v>
      </c>
      <c r="N3769" s="18" t="s">
        <v>615</v>
      </c>
      <c r="O3769" s="13" t="s">
        <v>15386</v>
      </c>
      <c r="P3769" s="19" t="n">
        <v>5176101</v>
      </c>
      <c r="Q3769" s="47" t="s">
        <v>15391</v>
      </c>
      <c r="R3769" s="13" t="s">
        <v>232</v>
      </c>
      <c r="S3769" s="16" t="n">
        <v>35951</v>
      </c>
      <c r="T3769" s="28" t="s">
        <v>40</v>
      </c>
      <c r="U3769" s="13" t="s">
        <v>15392</v>
      </c>
      <c r="V3769" s="13" t="s">
        <v>42</v>
      </c>
      <c r="W3769" s="13" t="s">
        <v>43</v>
      </c>
      <c r="X3769" s="21" t="n">
        <v>85748225416</v>
      </c>
      <c r="Y3769" s="22" t="str">
        <f aca="false">O3769</f>
        <v>ControlQuality</v>
      </c>
      <c r="Z3769" s="13" t="str">
        <f aca="false">IFERROR(__xludf.dummyfunction("if(BJ3769="""","""",GOOGLETRANSLATE(BJ3769,""auto"",""en""))"),"ControlQuality")</f>
        <v>ControlQuality</v>
      </c>
      <c r="AA3769" s="23" t="str">
        <f aca="false">IF(C3769="","", CHOOSE(MONTH(C3769),"January","February","March","April","May","June","July","August","September","October","November","December")&amp;" "&amp;DAY(C3769)&amp;MID("thstndrdth",MIN(9,2*RIGHT(DAY(C3769))*(MOD(DAY(C3769)-11,100)&gt;2)+1),2)&amp;","&amp;TEXT(C3769," yyyy"))</f>
        <v>June 4th,2026</v>
      </c>
      <c r="AB3769" s="15" t="str">
        <f aca="true">IF(S3769="","",DATEDIF(S3769,TODAY(),"Y")&amp;" Tahun, "&amp;DATEDIF(S3769,TODAY(),"YM")&amp;" Bulan, "&amp;DATEDIF(S3769,TODAY(),"MD")&amp;" Hari")</f>
        <v>28 Tahun, 4 Bulan, 24 Hari</v>
      </c>
      <c r="AC3769" s="14" t="n">
        <v>46177</v>
      </c>
      <c r="AD3769" s="18" t="n">
        <f aca="false">EDATE(AC3769,3)-1</f>
        <v>46268</v>
      </c>
      <c r="AE3769" s="13" t="s">
        <v>397</v>
      </c>
    </row>
    <row r="3770" customFormat="false" ht="15" hidden="false" customHeight="true" outlineLevel="0" collapsed="false">
      <c r="A3770" s="12" t="n">
        <v>22392</v>
      </c>
      <c r="B3770" s="13" t="s">
        <v>15393</v>
      </c>
      <c r="C3770" s="14" t="n">
        <v>46181</v>
      </c>
      <c r="D3770" s="13" t="s">
        <v>5526</v>
      </c>
      <c r="E3770" s="15" t="s">
        <v>47</v>
      </c>
      <c r="F3770" s="24" t="s">
        <v>15394</v>
      </c>
      <c r="G3770" s="24" t="s">
        <v>57</v>
      </c>
      <c r="H3770" s="13" t="s">
        <v>35</v>
      </c>
      <c r="I3770" s="13" t="str">
        <f aca="false">IF(C3770=J3770,"NEW KONTRAK","RE-KONTRAK")</f>
        <v>NEW KONTRAK</v>
      </c>
      <c r="J3770" s="16" t="n">
        <f aca="false" t="array" ref="J3770:J3770">IFERROR(INDEX(AC3770:AE3770,IF(COUNTA(AC3770:AE3770)=0,"",MAX((AC3770:AE3770&lt;&gt;"")*(COLUMN(AC3770:AE3770)-(COLUMN(AC3770)))))-1),"")</f>
        <v>46181</v>
      </c>
      <c r="K3770" s="16" t="n">
        <f aca="false" t="array" ref="K3770:K3770">IFERROR(INDEX(AC3770:AE3770,IF(COUNTA(AC3770:AE3770)=0,"",MAX((AC3770:AE3770&lt;&gt;"")*(COLUMN(AC3770:AE3770)-(COLUMN(AC3770)-1))))-1),"")</f>
        <v>46210</v>
      </c>
      <c r="L3770" s="17" t="str">
        <f aca="false" t="array" ref="L3770:L3770">IFERROR(INDEX(AC3770:AE3770,IF(COUNTA(AC3770:AE3770)=0,"",MAX((AC3770:AE3770&lt;&gt;"")*(COLUMN(AC3770:AE3770)-(COLUMN(AC3770)-2))))-1),"")</f>
        <v>ARCHIVED</v>
      </c>
      <c r="M3770" s="13" t="n">
        <f aca="true">K3770-TODAY()</f>
        <v>-114</v>
      </c>
      <c r="N3770" s="18" t="s">
        <v>615</v>
      </c>
      <c r="O3770" s="13" t="s">
        <v>50</v>
      </c>
      <c r="P3770" s="19" t="n">
        <v>5176101</v>
      </c>
      <c r="Q3770" s="47" t="s">
        <v>15395</v>
      </c>
      <c r="R3770" s="13" t="s">
        <v>39</v>
      </c>
      <c r="S3770" s="16" t="n">
        <v>34638</v>
      </c>
      <c r="T3770" s="28" t="s">
        <v>40</v>
      </c>
      <c r="U3770" s="13" t="s">
        <v>15396</v>
      </c>
      <c r="V3770" s="13" t="s">
        <v>42</v>
      </c>
      <c r="W3770" s="13" t="s">
        <v>43</v>
      </c>
      <c r="X3770" s="21" t="n">
        <v>895623169201</v>
      </c>
      <c r="Y3770" s="22" t="str">
        <f aca="false">O3770</f>
        <v>Driver</v>
      </c>
      <c r="Z3770" s="13" t="str">
        <f aca="false">IFERROR(__xludf.dummyfunction("if(BJ3770="""","""",GOOGLETRANSLATE(BJ3770,""auto"",""en""))"),"Driver")</f>
        <v>Driver</v>
      </c>
      <c r="AA3770" s="23" t="str">
        <f aca="false">IF(C3770="","", CHOOSE(MONTH(C3770),"January","February","March","April","May","June","July","August","September","October","November","December")&amp;" "&amp;DAY(C3770)&amp;MID("thstndrdth",MIN(9,2*RIGHT(DAY(C3770))*(MOD(DAY(C3770)-11,100)&gt;2)+1),2)&amp;","&amp;TEXT(C3770," yyyy"))</f>
        <v>June 8th,2026</v>
      </c>
      <c r="AB3770" s="15" t="str">
        <f aca="true">IF(S3770="","",DATEDIF(S3770,TODAY(),"Y")&amp;" Tahun, "&amp;DATEDIF(S3770,TODAY(),"YM")&amp;" Bulan, "&amp;DATEDIF(S3770,TODAY(),"MD")&amp;" Hari")</f>
        <v>31 Tahun, 11 Bulan, 28 Hari</v>
      </c>
      <c r="AC3770" s="14" t="n">
        <v>46181</v>
      </c>
      <c r="AD3770" s="18" t="n">
        <f aca="false">EDATE(AC3770,1)-1</f>
        <v>46210</v>
      </c>
      <c r="AE3770" s="18" t="s">
        <v>44</v>
      </c>
    </row>
    <row r="3771" customFormat="false" ht="15" hidden="false" customHeight="true" outlineLevel="0" collapsed="false">
      <c r="A3771" s="12" t="n">
        <v>22393</v>
      </c>
      <c r="B3771" s="13" t="s">
        <v>15381</v>
      </c>
      <c r="C3771" s="14" t="n">
        <v>46182</v>
      </c>
      <c r="D3771" s="13" t="s">
        <v>7310</v>
      </c>
      <c r="E3771" s="15" t="s">
        <v>102</v>
      </c>
      <c r="F3771" s="24" t="s">
        <v>15397</v>
      </c>
      <c r="G3771" s="13" t="s">
        <v>1127</v>
      </c>
      <c r="H3771" s="13" t="s">
        <v>35</v>
      </c>
      <c r="I3771" s="13" t="str">
        <f aca="false">IF(C3771=J3771,"NEW KONTRAK","RE-KONTRAK")</f>
        <v>NEW KONTRAK</v>
      </c>
      <c r="J3771" s="16" t="n">
        <f aca="false" t="array" ref="J3771:J3771">IFERROR(INDEX(AC3771:AE3771,IF(COUNTA(AC3771:AE3771)=0,"",MAX((AC3771:AE3771&lt;&gt;"")*(COLUMN(AC3771:AE3771)-(COLUMN(AC3771)))))-1),"")</f>
        <v>46182</v>
      </c>
      <c r="K3771" s="16" t="n">
        <f aca="false" t="array" ref="K3771:K3771">IFERROR(INDEX(AC3771:AE3771,IF(COUNTA(AC3771:AE3771)=0,"",MAX((AC3771:AE3771&lt;&gt;"")*(COLUMN(AC3771:AE3771)-(COLUMN(AC3771)-1))))-1),"")</f>
        <v>46267</v>
      </c>
      <c r="L3771" s="17" t="str">
        <f aca="false" t="array" ref="L3771:L3771">IFERROR(INDEX(AC3771:AE3771,IF(COUNTA(AC3771:AE3771)=0,"",MAX((AC3771:AE3771&lt;&gt;"")*(COLUMN(AC3771:AE3771)-(COLUMN(AC3771)-2))))-1),"")</f>
        <v>KEMBALI</v>
      </c>
      <c r="M3771" s="13" t="n">
        <f aca="true">K3771-TODAY()</f>
        <v>-57</v>
      </c>
      <c r="N3771" s="18" t="s">
        <v>615</v>
      </c>
      <c r="O3771" s="13" t="s">
        <v>50</v>
      </c>
      <c r="P3771" s="19" t="n">
        <v>2550274</v>
      </c>
      <c r="Q3771" s="47" t="s">
        <v>15398</v>
      </c>
      <c r="R3771" s="13" t="s">
        <v>227</v>
      </c>
      <c r="S3771" s="16" t="n">
        <v>37803</v>
      </c>
      <c r="T3771" s="28" t="s">
        <v>40</v>
      </c>
      <c r="U3771" s="13" t="s">
        <v>15399</v>
      </c>
      <c r="V3771" s="13" t="s">
        <v>42</v>
      </c>
      <c r="W3771" s="13" t="s">
        <v>43</v>
      </c>
      <c r="X3771" s="21" t="n">
        <v>85748682659</v>
      </c>
      <c r="Y3771" s="22" t="str">
        <f aca="false">O3771</f>
        <v>Driver</v>
      </c>
      <c r="Z3771" s="13" t="str">
        <f aca="false">IFERROR(__xludf.dummyfunction("if(BJ3771="""","""",GOOGLETRANSLATE(BJ3771,""auto"",""en""))"),"Driver")</f>
        <v>Driver</v>
      </c>
      <c r="AA3771" s="23" t="str">
        <f aca="false">IF(C3771="","", CHOOSE(MONTH(C3771),"January","February","March","April","May","June","July","August","September","October","November","December")&amp;" "&amp;DAY(C3771)&amp;MID("thstndrdth",MIN(9,2*RIGHT(DAY(C3771))*(MOD(DAY(C3771)-11,100)&gt;2)+1),2)&amp;","&amp;TEXT(C3771," yyyy"))</f>
        <v>June 9th,2026</v>
      </c>
      <c r="AB3771" s="15" t="str">
        <f aca="true">IF(S3771="","",DATEDIF(S3771,TODAY(),"Y")&amp;" Tahun, "&amp;DATEDIF(S3771,TODAY(),"YM")&amp;" Bulan, "&amp;DATEDIF(S3771,TODAY(),"MD")&amp;" Hari")</f>
        <v>23 Tahun, 3 Bulan, 28 Hari</v>
      </c>
      <c r="AC3771" s="14" t="n">
        <v>46182</v>
      </c>
      <c r="AD3771" s="18" t="n">
        <v>46267</v>
      </c>
      <c r="AE3771" s="13" t="s">
        <v>397</v>
      </c>
    </row>
    <row r="3772" customFormat="false" ht="15" hidden="false" customHeight="true" outlineLevel="0" collapsed="false">
      <c r="A3772" s="12" t="n">
        <v>22394</v>
      </c>
      <c r="B3772" s="13" t="s">
        <v>15400</v>
      </c>
      <c r="C3772" s="14" t="n">
        <v>46181</v>
      </c>
      <c r="D3772" s="13" t="s">
        <v>8864</v>
      </c>
      <c r="E3772" s="15" t="s">
        <v>47</v>
      </c>
      <c r="F3772" s="24" t="s">
        <v>15401</v>
      </c>
      <c r="G3772" s="24" t="s">
        <v>57</v>
      </c>
      <c r="H3772" s="13" t="s">
        <v>35</v>
      </c>
      <c r="I3772" s="13" t="str">
        <f aca="false">IF(C3772=J3772,"NEW KONTRAK","RE-KONTRAK")</f>
        <v>NEW KONTRAK</v>
      </c>
      <c r="J3772" s="16" t="n">
        <f aca="false" t="array" ref="J3772:J3772">IFERROR(INDEX(AC3772:AE3772,IF(COUNTA(AC3772:AE3772)=0,"",MAX((AC3772:AE3772&lt;&gt;"")*(COLUMN(AC3772:AE3772)-(COLUMN(AC3772)))))-1),"")</f>
        <v>46181</v>
      </c>
      <c r="K3772" s="16" t="n">
        <f aca="false" t="array" ref="K3772:K3772">IFERROR(INDEX(AC3772:AE3772,IF(COUNTA(AC3772:AE3772)=0,"",MAX((AC3772:AE3772&lt;&gt;"")*(COLUMN(AC3772:AE3772)-(COLUMN(AC3772)-1))))-1),"")</f>
        <v>46272</v>
      </c>
      <c r="L3772" s="17" t="str">
        <f aca="false" t="array" ref="L3772:L3772">IFERROR(INDEX(AC3772:AE3772,IF(COUNTA(AC3772:AE3772)=0,"",MAX((AC3772:AE3772&lt;&gt;"")*(COLUMN(AC3772:AE3772)-(COLUMN(AC3772)-2))))-1),"")</f>
        <v>KEMBALI</v>
      </c>
      <c r="M3772" s="13" t="n">
        <f aca="true">K3772-TODAY()</f>
        <v>-52</v>
      </c>
      <c r="N3772" s="18" t="s">
        <v>105</v>
      </c>
      <c r="O3772" s="13" t="s">
        <v>719</v>
      </c>
      <c r="P3772" s="26" t="n">
        <v>100000</v>
      </c>
      <c r="Q3772" s="47" t="s">
        <v>15402</v>
      </c>
      <c r="R3772" s="13" t="s">
        <v>232</v>
      </c>
      <c r="S3772" s="16" t="n">
        <v>37850</v>
      </c>
      <c r="T3772" s="28" t="s">
        <v>40</v>
      </c>
      <c r="U3772" s="13" t="s">
        <v>15403</v>
      </c>
      <c r="V3772" s="13" t="s">
        <v>42</v>
      </c>
      <c r="W3772" s="13" t="s">
        <v>43</v>
      </c>
      <c r="X3772" s="21" t="n">
        <v>85608790409</v>
      </c>
      <c r="Y3772" s="22" t="str">
        <f aca="false">O3772</f>
        <v>Cleaning Service</v>
      </c>
      <c r="Z3772" s="13" t="str">
        <f aca="false">IFERROR(__xludf.dummyfunction("if(BJ3772="""","""",GOOGLETRANSLATE(BJ3772,""auto"",""en""))"),"Cleaning Service")</f>
        <v>Cleaning Service</v>
      </c>
      <c r="AA3772" s="23" t="str">
        <f aca="false">IF(C3772="","", CHOOSE(MONTH(C3772),"January","February","March","April","May","June","July","August","September","October","November","December")&amp;" "&amp;DAY(C3772)&amp;MID("thstndrdth",MIN(9,2*RIGHT(DAY(C3772))*(MOD(DAY(C3772)-11,100)&gt;2)+1),2)&amp;","&amp;TEXT(C3772," yyyy"))</f>
        <v>June 8th,2026</v>
      </c>
      <c r="AB3772" s="15" t="str">
        <f aca="true">IF(S3772="","",DATEDIF(S3772,TODAY(),"Y")&amp;" Tahun, "&amp;DATEDIF(S3772,TODAY(),"YM")&amp;" Bulan, "&amp;DATEDIF(S3772,TODAY(),"MD")&amp;" Hari")</f>
        <v>23 Tahun, 2 Bulan, 12 Hari</v>
      </c>
      <c r="AC3772" s="14" t="n">
        <v>46181</v>
      </c>
      <c r="AD3772" s="18" t="n">
        <f aca="false">EDATE(AC3772,3)-1</f>
        <v>46272</v>
      </c>
      <c r="AE3772" s="13" t="s">
        <v>397</v>
      </c>
    </row>
    <row r="3773" customFormat="false" ht="15" hidden="false" customHeight="true" outlineLevel="0" collapsed="false">
      <c r="A3773" s="12" t="n">
        <v>22395</v>
      </c>
      <c r="B3773" s="13" t="s">
        <v>15404</v>
      </c>
      <c r="C3773" s="14" t="n">
        <v>44747</v>
      </c>
      <c r="D3773" s="13" t="s">
        <v>613</v>
      </c>
      <c r="E3773" s="15" t="s">
        <v>102</v>
      </c>
      <c r="F3773" s="24" t="s">
        <v>15405</v>
      </c>
      <c r="G3773" s="13" t="s">
        <v>1127</v>
      </c>
      <c r="H3773" s="13" t="s">
        <v>35</v>
      </c>
      <c r="I3773" s="13" t="str">
        <f aca="false">IF(C3773=J3773,"NEW KONTRAK","RE-KONTRAK")</f>
        <v>RE-KONTRAK</v>
      </c>
      <c r="J3773" s="16" t="n">
        <f aca="false" t="array" ref="J3773:J3773">IFERROR(INDEX(AC3773:AE3773,IF(COUNTA(AC3773:AE3773)=0,"",MAX((AC3773:AE3773&lt;&gt;"")*(COLUMN(AC3773:AE3773)-(COLUMN(AC3773)))))-1),"")</f>
        <v>45885</v>
      </c>
      <c r="K3773" s="16" t="n">
        <f aca="false" t="array" ref="K3773:K3773">IFERROR(INDEX(AC3773:AE3773,IF(COUNTA(AC3773:AE3773)=0,"",MAX((AC3773:AE3773&lt;&gt;"")*(COLUMN(AC3773:AE3773)-(COLUMN(AC3773)-1))))-1),"")</f>
        <v>46068</v>
      </c>
      <c r="L3773" s="17" t="str">
        <f aca="false" t="array" ref="L3773:L3773">IFERROR(INDEX(AC3773:AE3773,IF(COUNTA(AC3773:AE3773)=0,"",MAX((AC3773:AE3773&lt;&gt;"")*(COLUMN(AC3773:AE3773)-(COLUMN(AC3773)-2))))-1),"")</f>
        <v>KEMBALI</v>
      </c>
      <c r="M3773" s="13" t="n">
        <f aca="true">K3773-TODAY()</f>
        <v>-256</v>
      </c>
      <c r="N3773" s="18" t="s">
        <v>615</v>
      </c>
      <c r="O3773" s="13" t="s">
        <v>298</v>
      </c>
      <c r="P3773" s="19" t="n">
        <v>5176101</v>
      </c>
      <c r="Q3773" s="20" t="s">
        <v>15406</v>
      </c>
      <c r="R3773" s="13" t="s">
        <v>15261</v>
      </c>
      <c r="S3773" s="16" t="n">
        <v>30256</v>
      </c>
      <c r="T3773" s="28" t="s">
        <v>40</v>
      </c>
      <c r="U3773" s="13" t="s">
        <v>15407</v>
      </c>
      <c r="V3773" s="28" t="s">
        <v>42</v>
      </c>
      <c r="W3773" s="28" t="s">
        <v>54</v>
      </c>
      <c r="X3773" s="30" t="n">
        <v>85141108099</v>
      </c>
      <c r="Y3773" s="22" t="str">
        <f aca="false">O3773</f>
        <v>Maintenance</v>
      </c>
      <c r="Z3773" s="13" t="str">
        <f aca="false">IFERROR(__xludf.dummyfunction("if(BJ3773="""","""",GOOGLETRANSLATE(BJ3773,""auto"",""en""))"),"Maintenance")</f>
        <v>Maintenance</v>
      </c>
      <c r="AA3773" s="23" t="str">
        <f aca="false">IF(C3773="","", CHOOSE(MONTH(C3773),"January","February","March","April","May","June","July","August","September","October","November","December")&amp;" "&amp;DAY(C3773)&amp;MID("thstndrdth",MIN(9,2*RIGHT(DAY(C3773))*(MOD(DAY(C3773)-11,100)&gt;2)+1),2)&amp;","&amp;TEXT(C3773," yyyy"))</f>
        <v>July 5th,2022</v>
      </c>
      <c r="AB3773" s="15" t="str">
        <f aca="true">IF(S3773="","",DATEDIF(S3773,TODAY(),"Y")&amp;" Tahun, "&amp;DATEDIF(S3773,TODAY(),"YM")&amp;" Bulan, "&amp;DATEDIF(S3773,TODAY(),"MD")&amp;" Hari")</f>
        <v>43 Tahun, 11 Bulan, 28 Hari</v>
      </c>
      <c r="AC3773" s="14" t="n">
        <v>45885</v>
      </c>
      <c r="AD3773" s="123" t="n">
        <v>46068</v>
      </c>
      <c r="AE3773" s="13" t="s">
        <v>397</v>
      </c>
    </row>
    <row r="3774" customFormat="false" ht="15" hidden="false" customHeight="true" outlineLevel="0" collapsed="false">
      <c r="A3774" s="12" t="n">
        <v>22396</v>
      </c>
      <c r="B3774" s="13" t="s">
        <v>15408</v>
      </c>
      <c r="C3774" s="14" t="n">
        <v>46188</v>
      </c>
      <c r="D3774" s="13" t="s">
        <v>2332</v>
      </c>
      <c r="E3774" s="15" t="s">
        <v>47</v>
      </c>
      <c r="F3774" s="24" t="s">
        <v>15409</v>
      </c>
      <c r="G3774" s="24" t="s">
        <v>57</v>
      </c>
      <c r="H3774" s="13" t="s">
        <v>35</v>
      </c>
      <c r="I3774" s="13" t="str">
        <f aca="false">IF(C3774=J3774,"NEW KONTRAK","RE-KONTRAK")</f>
        <v>NEW KONTRAK</v>
      </c>
      <c r="J3774" s="16" t="n">
        <f aca="false" t="array" ref="J3774:J3774">IFERROR(INDEX(AC3774:AE3774,IF(COUNTA(AC3774:AE3774)=0,"",MAX((AC3774:AE3774&lt;&gt;"")*(COLUMN(AC3774:AE3774)-(COLUMN(AC3774)))))-1),"")</f>
        <v>46188</v>
      </c>
      <c r="K3774" s="16" t="n">
        <f aca="false" t="array" ref="K3774:K3774">IFERROR(INDEX(AC3774:AE3774,IF(COUNTA(AC3774:AE3774)=0,"",MAX((AC3774:AE3774&lt;&gt;"")*(COLUMN(AC3774:AE3774)-(COLUMN(AC3774)-1))))-1),"")</f>
        <v>46279</v>
      </c>
      <c r="L3774" s="17" t="str">
        <f aca="false" t="array" ref="L3774:L3774">IFERROR(INDEX(AC3774:AE3774,IF(COUNTA(AC3774:AE3774)=0,"",MAX((AC3774:AE3774&lt;&gt;"")*(COLUMN(AC3774:AE3774)-(COLUMN(AC3774)-2))))-1),"")</f>
        <v>KEMBALI</v>
      </c>
      <c r="M3774" s="13" t="n">
        <f aca="true">K3774-TODAY()</f>
        <v>-45</v>
      </c>
      <c r="N3774" s="18" t="s">
        <v>615</v>
      </c>
      <c r="O3774" s="13" t="s">
        <v>15410</v>
      </c>
      <c r="P3774" s="19" t="n">
        <v>5176101</v>
      </c>
      <c r="Q3774" s="47" t="s">
        <v>15411</v>
      </c>
      <c r="R3774" s="13" t="s">
        <v>232</v>
      </c>
      <c r="S3774" s="16" t="n">
        <v>38061</v>
      </c>
      <c r="T3774" s="28" t="s">
        <v>40</v>
      </c>
      <c r="U3774" s="13" t="s">
        <v>15412</v>
      </c>
      <c r="V3774" s="13" t="s">
        <v>42</v>
      </c>
      <c r="W3774" s="13" t="s">
        <v>43</v>
      </c>
      <c r="X3774" s="30" t="n">
        <v>89593084887</v>
      </c>
      <c r="Y3774" s="22" t="str">
        <f aca="false">O3774</f>
        <v>Admin Project &amp; Sipil</v>
      </c>
      <c r="Z3774" s="13" t="str">
        <f aca="false">IFERROR(__xludf.dummyfunction("if(BJ3774="""","""",GOOGLETRANSLATE(BJ3774,""auto"",""en""))"),"Project Admin &amp; Civil")</f>
        <v>Project Admin &amp; Civil</v>
      </c>
      <c r="AA3774" s="23" t="str">
        <f aca="false">IF(C3774="","", CHOOSE(MONTH(C3774),"January","February","March","April","May","June","July","August","September","October","November","December")&amp;" "&amp;DAY(C3774)&amp;MID("thstndrdth",MIN(9,2*RIGHT(DAY(C3774))*(MOD(DAY(C3774)-11,100)&gt;2)+1),2)&amp;","&amp;TEXT(C3774," yyyy"))</f>
        <v>June 15th,2026</v>
      </c>
      <c r="AB3774" s="15" t="str">
        <f aca="true">IF(S3774="","",DATEDIF(S3774,TODAY(),"Y")&amp;" Tahun, "&amp;DATEDIF(S3774,TODAY(),"YM")&amp;" Bulan, "&amp;DATEDIF(S3774,TODAY(),"MD")&amp;" Hari")</f>
        <v>22 Tahun, 7 Bulan, 14 Hari</v>
      </c>
      <c r="AC3774" s="14" t="n">
        <v>46188</v>
      </c>
      <c r="AD3774" s="18" t="n">
        <f aca="false">EDATE(AC3774,3)-1</f>
        <v>46279</v>
      </c>
      <c r="AE3774" s="13" t="s">
        <v>397</v>
      </c>
    </row>
    <row r="3775" customFormat="false" ht="15" hidden="false" customHeight="true" outlineLevel="0" collapsed="false">
      <c r="A3775" s="12" t="n">
        <v>22397</v>
      </c>
      <c r="B3775" s="13" t="s">
        <v>15413</v>
      </c>
      <c r="C3775" s="14" t="n">
        <v>46188</v>
      </c>
      <c r="D3775" s="13" t="s">
        <v>5726</v>
      </c>
      <c r="E3775" s="15" t="s">
        <v>47</v>
      </c>
      <c r="F3775" s="24" t="s">
        <v>15414</v>
      </c>
      <c r="G3775" s="13" t="s">
        <v>57</v>
      </c>
      <c r="H3775" s="13" t="s">
        <v>35</v>
      </c>
      <c r="I3775" s="13" t="str">
        <f aca="false">IF(C3775=J3775,"NEW KONTRAK","RE-KONTRAK")</f>
        <v>NEW KONTRAK</v>
      </c>
      <c r="J3775" s="16" t="n">
        <f aca="false" t="array" ref="J3775:J3775">IFERROR(INDEX(AC3775:AE3775,IF(COUNTA(AC3775:AE3775)=0,"",MAX((AC3775:AE3775&lt;&gt;"")*(COLUMN(AC3775:AE3775)-(COLUMN(AC3775)))))-1),"")</f>
        <v>46188</v>
      </c>
      <c r="K3775" s="16" t="n">
        <f aca="false" t="array" ref="K3775:K3775">IFERROR(INDEX(AC3775:AE3775,IF(COUNTA(AC3775:AE3775)=0,"",MAX((AC3775:AE3775&lt;&gt;"")*(COLUMN(AC3775:AE3775)-(COLUMN(AC3775)-1))))-1),"")</f>
        <v>46279</v>
      </c>
      <c r="L3775" s="17" t="str">
        <f aca="false" t="array" ref="L3775:L3775">IFERROR(INDEX(AC3775:AE3775,IF(COUNTA(AC3775:AE3775)=0,"",MAX((AC3775:AE3775&lt;&gt;"")*(COLUMN(AC3775:AE3775)-(COLUMN(AC3775)-2))))-1),"")</f>
        <v>KEMBALI</v>
      </c>
      <c r="M3775" s="13" t="n">
        <f aca="true">K3775-TODAY()</f>
        <v>-45</v>
      </c>
      <c r="N3775" s="18" t="s">
        <v>615</v>
      </c>
      <c r="O3775" s="13" t="s">
        <v>1531</v>
      </c>
      <c r="P3775" s="19" t="n">
        <v>3105660.6</v>
      </c>
      <c r="Q3775" s="20" t="s">
        <v>15415</v>
      </c>
      <c r="R3775" s="13" t="s">
        <v>232</v>
      </c>
      <c r="S3775" s="14" t="n">
        <v>39436</v>
      </c>
      <c r="T3775" s="13" t="s">
        <v>108</v>
      </c>
      <c r="U3775" s="13" t="s">
        <v>15416</v>
      </c>
      <c r="V3775" s="13" t="s">
        <v>42</v>
      </c>
      <c r="W3775" s="13" t="s">
        <v>43</v>
      </c>
      <c r="X3775" s="21" t="n">
        <v>85606094502</v>
      </c>
      <c r="Y3775" s="22" t="str">
        <f aca="false">O3775</f>
        <v>Packer</v>
      </c>
      <c r="Z3775" s="13" t="str">
        <f aca="false">IFERROR(__xludf.dummyfunction("if(BJ3775="""","""",GOOGLETRANSLATE(BJ3775,""auto"",""en""))"),"Packer")</f>
        <v>Packer</v>
      </c>
      <c r="AA3775" s="23" t="str">
        <f aca="false">IF(C3775="","", CHOOSE(MONTH(C3775),"January","February","March","April","May","June","July","August","September","October","November","December")&amp;" "&amp;DAY(C3775)&amp;MID("thstndrdth",MIN(9,2*RIGHT(DAY(C3775))*(MOD(DAY(C3775)-11,100)&gt;2)+1),2)&amp;","&amp;TEXT(C3775," yyyy"))</f>
        <v>June 15th,2026</v>
      </c>
      <c r="AB3775" s="15" t="str">
        <f aca="true">IF(S3775="","",DATEDIF(S3775,TODAY(),"Y")&amp;" Tahun, "&amp;DATEDIF(S3775,TODAY(),"YM")&amp;" Bulan, "&amp;DATEDIF(S3775,TODAY(),"MD")&amp;" Hari")</f>
        <v>18 Tahun, 10 Bulan, 9 Hari</v>
      </c>
      <c r="AC3775" s="14" t="n">
        <v>46188</v>
      </c>
      <c r="AD3775" s="18" t="n">
        <f aca="false">EDATE(AC3775,3)-1</f>
        <v>46279</v>
      </c>
      <c r="AE3775" s="13" t="s">
        <v>397</v>
      </c>
    </row>
    <row r="3776" customFormat="false" ht="15" hidden="false" customHeight="true" outlineLevel="0" collapsed="false">
      <c r="A3776" s="12" t="n">
        <v>22398</v>
      </c>
      <c r="B3776" s="13" t="s">
        <v>15417</v>
      </c>
      <c r="C3776" s="14" t="n">
        <v>46188</v>
      </c>
      <c r="D3776" s="13" t="s">
        <v>5726</v>
      </c>
      <c r="E3776" s="15" t="s">
        <v>47</v>
      </c>
      <c r="F3776" s="24" t="s">
        <v>15418</v>
      </c>
      <c r="G3776" s="13" t="s">
        <v>57</v>
      </c>
      <c r="H3776" s="13" t="s">
        <v>35</v>
      </c>
      <c r="I3776" s="13" t="str">
        <f aca="false">IF(C3776=J3776,"NEW KONTRAK","RE-KONTRAK")</f>
        <v>NEW KONTRAK</v>
      </c>
      <c r="J3776" s="16" t="n">
        <f aca="false" t="array" ref="J3776:J3776">IFERROR(INDEX(AC3776:AE3776,IF(COUNTA(AC3776:AE3776)=0,"",MAX((AC3776:AE3776&lt;&gt;"")*(COLUMN(AC3776:AE3776)-(COLUMN(AC3776)))))-1),"")</f>
        <v>46188</v>
      </c>
      <c r="K3776" s="16" t="n">
        <f aca="false" t="array" ref="K3776:K3776">IFERROR(INDEX(AC3776:AE3776,IF(COUNTA(AC3776:AE3776)=0,"",MAX((AC3776:AE3776&lt;&gt;"")*(COLUMN(AC3776:AE3776)-(COLUMN(AC3776)-1))))-1),"")</f>
        <v>46279</v>
      </c>
      <c r="L3776" s="17" t="str">
        <f aca="false" t="array" ref="L3776:L3776">IFERROR(INDEX(AC3776:AE3776,IF(COUNTA(AC3776:AE3776)=0,"",MAX((AC3776:AE3776&lt;&gt;"")*(COLUMN(AC3776:AE3776)-(COLUMN(AC3776)-2))))-1),"")</f>
        <v>KEMBALI</v>
      </c>
      <c r="M3776" s="13" t="n">
        <f aca="true">K3776-TODAY()</f>
        <v>-45</v>
      </c>
      <c r="N3776" s="18" t="s">
        <v>615</v>
      </c>
      <c r="O3776" s="13" t="s">
        <v>1531</v>
      </c>
      <c r="P3776" s="19" t="n">
        <v>3105660.6</v>
      </c>
      <c r="Q3776" s="20" t="s">
        <v>15419</v>
      </c>
      <c r="R3776" s="13" t="s">
        <v>232</v>
      </c>
      <c r="S3776" s="14" t="n">
        <v>38831</v>
      </c>
      <c r="T3776" s="28" t="s">
        <v>40</v>
      </c>
      <c r="U3776" s="13" t="s">
        <v>15420</v>
      </c>
      <c r="V3776" s="13" t="s">
        <v>42</v>
      </c>
      <c r="W3776" s="13" t="s">
        <v>43</v>
      </c>
      <c r="X3776" s="21" t="n">
        <v>85859691587</v>
      </c>
      <c r="Y3776" s="22" t="str">
        <f aca="false">O3776</f>
        <v>Packer</v>
      </c>
      <c r="Z3776" s="13" t="str">
        <f aca="false">IFERROR(__xludf.dummyfunction("if(BJ3776="""","""",GOOGLETRANSLATE(BJ3776,""auto"",""en""))"),"Packer")</f>
        <v>Packer</v>
      </c>
      <c r="AA3776" s="23" t="str">
        <f aca="false">IF(C3776="","", CHOOSE(MONTH(C3776),"January","February","March","April","May","June","July","August","September","October","November","December")&amp;" "&amp;DAY(C3776)&amp;MID("thstndrdth",MIN(9,2*RIGHT(DAY(C3776))*(MOD(DAY(C3776)-11,100)&gt;2)+1),2)&amp;","&amp;TEXT(C3776," yyyy"))</f>
        <v>June 15th,2026</v>
      </c>
      <c r="AB3776" s="15" t="str">
        <f aca="true">IF(S3776="","",DATEDIF(S3776,TODAY(),"Y")&amp;" Tahun, "&amp;DATEDIF(S3776,TODAY(),"YM")&amp;" Bulan, "&amp;DATEDIF(S3776,TODAY(),"MD")&amp;" Hari")</f>
        <v>20 Tahun, 6 Bulan, 5 Hari</v>
      </c>
      <c r="AC3776" s="14" t="n">
        <v>46188</v>
      </c>
      <c r="AD3776" s="18" t="n">
        <f aca="false">EDATE(AC3776,3)-1</f>
        <v>46279</v>
      </c>
      <c r="AE3776" s="13" t="s">
        <v>397</v>
      </c>
    </row>
    <row r="3777" customFormat="false" ht="15" hidden="false" customHeight="true" outlineLevel="0" collapsed="false">
      <c r="A3777" s="12" t="n">
        <v>22399</v>
      </c>
      <c r="B3777" s="13" t="s">
        <v>15421</v>
      </c>
      <c r="C3777" s="14" t="n">
        <v>46188</v>
      </c>
      <c r="D3777" s="13" t="s">
        <v>5726</v>
      </c>
      <c r="E3777" s="15" t="s">
        <v>47</v>
      </c>
      <c r="F3777" s="24" t="s">
        <v>15422</v>
      </c>
      <c r="G3777" s="13" t="s">
        <v>57</v>
      </c>
      <c r="H3777" s="13" t="s">
        <v>35</v>
      </c>
      <c r="I3777" s="13" t="str">
        <f aca="false">IF(C3777=J3777,"NEW KONTRAK","RE-KONTRAK")</f>
        <v>NEW KONTRAK</v>
      </c>
      <c r="J3777" s="16" t="n">
        <f aca="false" t="array" ref="J3777:J3777">IFERROR(INDEX(AC3777:AE3777,IF(COUNTA(AC3777:AE3777)=0,"",MAX((AC3777:AE3777&lt;&gt;"")*(COLUMN(AC3777:AE3777)-(COLUMN(AC3777)))))-1),"")</f>
        <v>46188</v>
      </c>
      <c r="K3777" s="16" t="n">
        <f aca="false" t="array" ref="K3777:K3777">IFERROR(INDEX(AC3777:AE3777,IF(COUNTA(AC3777:AE3777)=0,"",MAX((AC3777:AE3777&lt;&gt;"")*(COLUMN(AC3777:AE3777)-(COLUMN(AC3777)-1))))-1),"")</f>
        <v>46279</v>
      </c>
      <c r="L3777" s="17" t="str">
        <f aca="false" t="array" ref="L3777:L3777">IFERROR(INDEX(AC3777:AE3777,IF(COUNTA(AC3777:AE3777)=0,"",MAX((AC3777:AE3777&lt;&gt;"")*(COLUMN(AC3777:AE3777)-(COLUMN(AC3777)-2))))-1),"")</f>
        <v>KEMBALI</v>
      </c>
      <c r="M3777" s="13" t="n">
        <f aca="true">K3777-TODAY()</f>
        <v>-45</v>
      </c>
      <c r="N3777" s="18" t="s">
        <v>615</v>
      </c>
      <c r="O3777" s="13" t="s">
        <v>1531</v>
      </c>
      <c r="P3777" s="19" t="n">
        <v>3105660.6</v>
      </c>
      <c r="Q3777" s="20" t="s">
        <v>15423</v>
      </c>
      <c r="R3777" s="13" t="s">
        <v>15424</v>
      </c>
      <c r="S3777" s="14" t="n">
        <v>38049</v>
      </c>
      <c r="T3777" s="28" t="s">
        <v>40</v>
      </c>
      <c r="U3777" s="13" t="s">
        <v>15425</v>
      </c>
      <c r="V3777" s="13" t="s">
        <v>42</v>
      </c>
      <c r="W3777" s="13" t="s">
        <v>43</v>
      </c>
      <c r="X3777" s="21" t="n">
        <v>83150669284</v>
      </c>
      <c r="Y3777" s="22" t="str">
        <f aca="false">O3777</f>
        <v>Packer</v>
      </c>
      <c r="Z3777" s="13" t="str">
        <f aca="false">IFERROR(__xludf.dummyfunction("if(BJ3777="""","""",GOOGLETRANSLATE(BJ3777,""auto"",""en""))"),"Packer")</f>
        <v>Packer</v>
      </c>
      <c r="AA3777" s="23" t="str">
        <f aca="false">IF(C3777="","", CHOOSE(MONTH(C3777),"January","February","March","April","May","June","July","August","September","October","November","December")&amp;" "&amp;DAY(C3777)&amp;MID("thstndrdth",MIN(9,2*RIGHT(DAY(C3777))*(MOD(DAY(C3777)-11,100)&gt;2)+1),2)&amp;","&amp;TEXT(C3777," yyyy"))</f>
        <v>June 15th,2026</v>
      </c>
      <c r="AB3777" s="15" t="str">
        <f aca="true">IF(S3777="","",DATEDIF(S3777,TODAY(),"Y")&amp;" Tahun, "&amp;DATEDIF(S3777,TODAY(),"YM")&amp;" Bulan, "&amp;DATEDIF(S3777,TODAY(),"MD")&amp;" Hari")</f>
        <v>22 Tahun, 7 Bulan, 26 Hari</v>
      </c>
      <c r="AC3777" s="14" t="n">
        <v>46188</v>
      </c>
      <c r="AD3777" s="18" t="n">
        <f aca="false">EDATE(AC3777,3)-1</f>
        <v>46279</v>
      </c>
      <c r="AE3777" s="13" t="s">
        <v>397</v>
      </c>
    </row>
    <row r="3778" customFormat="false" ht="15" hidden="false" customHeight="true" outlineLevel="0" collapsed="false">
      <c r="A3778" s="12" t="n">
        <v>22400</v>
      </c>
      <c r="B3778" s="13" t="s">
        <v>15426</v>
      </c>
      <c r="C3778" s="14" t="n">
        <v>46188</v>
      </c>
      <c r="D3778" s="13" t="s">
        <v>12111</v>
      </c>
      <c r="E3778" s="15" t="s">
        <v>12803</v>
      </c>
      <c r="F3778" s="24" t="s">
        <v>15427</v>
      </c>
      <c r="G3778" s="13" t="s">
        <v>57</v>
      </c>
      <c r="H3778" s="13" t="s">
        <v>35</v>
      </c>
      <c r="I3778" s="13" t="str">
        <f aca="false">IF(C3778=J3778,"NEW KONTRAK","RE-KONTRAK")</f>
        <v>NEW KONTRAK</v>
      </c>
      <c r="J3778" s="16" t="n">
        <f aca="false" t="array" ref="J3778:J3778">IFERROR(INDEX(AC3778:AE3778,IF(COUNTA(AC3778:AE3778)=0,"",MAX((AC3778:AE3778&lt;&gt;"")*(COLUMN(AC3778:AE3778)-(COLUMN(AC3778)))))-1),"")</f>
        <v>46188</v>
      </c>
      <c r="K3778" s="16" t="n">
        <f aca="false" t="array" ref="K3778:K3778">IFERROR(INDEX(AC3778:AE3778,IF(COUNTA(AC3778:AE3778)=0,"",MAX((AC3778:AE3778&lt;&gt;"")*(COLUMN(AC3778:AE3778)-(COLUMN(AC3778)-1))))-1),"")</f>
        <v>46279</v>
      </c>
      <c r="L3778" s="17" t="str">
        <f aca="false" t="array" ref="L3778:L3778">IFERROR(INDEX(AC3778:AE3778,IF(COUNTA(AC3778:AE3778)=0,"",MAX((AC3778:AE3778&lt;&gt;"")*(COLUMN(AC3778:AE3778)-(COLUMN(AC3778)-2))))-1),"")</f>
        <v>KEMBALI</v>
      </c>
      <c r="M3778" s="13" t="n">
        <f aca="true">K3778-TODAY()</f>
        <v>-45</v>
      </c>
      <c r="N3778" s="18" t="s">
        <v>615</v>
      </c>
      <c r="O3778" s="13" t="s">
        <v>1531</v>
      </c>
      <c r="P3778" s="19" t="n">
        <v>3105660.6</v>
      </c>
      <c r="Q3778" s="20" t="s">
        <v>15428</v>
      </c>
      <c r="R3778" s="13" t="s">
        <v>232</v>
      </c>
      <c r="S3778" s="14" t="n">
        <v>36897</v>
      </c>
      <c r="T3778" s="13" t="s">
        <v>108</v>
      </c>
      <c r="U3778" s="13" t="s">
        <v>15429</v>
      </c>
      <c r="V3778" s="13" t="s">
        <v>42</v>
      </c>
      <c r="W3778" s="13" t="s">
        <v>43</v>
      </c>
      <c r="X3778" s="30" t="n">
        <v>82256394278</v>
      </c>
      <c r="Y3778" s="22" t="str">
        <f aca="false">O3778</f>
        <v>Packer</v>
      </c>
      <c r="Z3778" s="13" t="str">
        <f aca="false">IFERROR(__xludf.dummyfunction("if(BJ3778="""","""",GOOGLETRANSLATE(BJ3778,""auto"",""en""))"),"Packer")</f>
        <v>Packer</v>
      </c>
      <c r="AA3778" s="23" t="str">
        <f aca="false">IF(C3778="","", CHOOSE(MONTH(C3778),"January","February","March","April","May","June","July","August","September","October","November","December")&amp;" "&amp;DAY(C3778)&amp;MID("thstndrdth",MIN(9,2*RIGHT(DAY(C3778))*(MOD(DAY(C3778)-11,100)&gt;2)+1),2)&amp;","&amp;TEXT(C3778," yyyy"))</f>
        <v>June 15th,2026</v>
      </c>
      <c r="AB3778" s="15" t="str">
        <f aca="true">IF(S3778="","",DATEDIF(S3778,TODAY(),"Y")&amp;" Tahun, "&amp;DATEDIF(S3778,TODAY(),"YM")&amp;" Bulan, "&amp;DATEDIF(S3778,TODAY(),"MD")&amp;" Hari")</f>
        <v>25 Tahun, 9 Bulan, 23 Hari</v>
      </c>
      <c r="AC3778" s="14" t="n">
        <v>46188</v>
      </c>
      <c r="AD3778" s="18" t="n">
        <f aca="false">EDATE(AC3778,3)-1</f>
        <v>46279</v>
      </c>
      <c r="AE3778" s="13" t="s">
        <v>397</v>
      </c>
    </row>
    <row r="3779" customFormat="false" ht="15" hidden="false" customHeight="true" outlineLevel="0" collapsed="false">
      <c r="A3779" s="12" t="n">
        <v>22401</v>
      </c>
      <c r="B3779" s="13" t="s">
        <v>15430</v>
      </c>
      <c r="C3779" s="14" t="n">
        <v>46188</v>
      </c>
      <c r="D3779" s="13" t="s">
        <v>5726</v>
      </c>
      <c r="E3779" s="15" t="s">
        <v>47</v>
      </c>
      <c r="F3779" s="24" t="s">
        <v>15431</v>
      </c>
      <c r="G3779" s="13" t="s">
        <v>57</v>
      </c>
      <c r="H3779" s="13" t="s">
        <v>35</v>
      </c>
      <c r="I3779" s="13" t="str">
        <f aca="false">IF(C3779=J3779,"NEW KONTRAK","RE-KONTRAK")</f>
        <v>NEW KONTRAK</v>
      </c>
      <c r="J3779" s="16" t="n">
        <f aca="false" t="array" ref="J3779:J3779">IFERROR(INDEX(AC3779:AE3779,IF(COUNTA(AC3779:AE3779)=0,"",MAX((AC3779:AE3779&lt;&gt;"")*(COLUMN(AC3779:AE3779)-(COLUMN(AC3779)))))-1),"")</f>
        <v>46188</v>
      </c>
      <c r="K3779" s="16" t="n">
        <f aca="false" t="array" ref="K3779:K3779">IFERROR(INDEX(AC3779:AE3779,IF(COUNTA(AC3779:AE3779)=0,"",MAX((AC3779:AE3779&lt;&gt;"")*(COLUMN(AC3779:AE3779)-(COLUMN(AC3779)-1))))-1),"")</f>
        <v>46279</v>
      </c>
      <c r="L3779" s="17" t="str">
        <f aca="false" t="array" ref="L3779:L3779">IFERROR(INDEX(AC3779:AE3779,IF(COUNTA(AC3779:AE3779)=0,"",MAX((AC3779:AE3779&lt;&gt;"")*(COLUMN(AC3779:AE3779)-(COLUMN(AC3779)-2))))-1),"")</f>
        <v>KEMBALI</v>
      </c>
      <c r="M3779" s="13" t="n">
        <f aca="true">K3779-TODAY()</f>
        <v>-45</v>
      </c>
      <c r="N3779" s="18" t="s">
        <v>615</v>
      </c>
      <c r="O3779" s="13" t="s">
        <v>1531</v>
      </c>
      <c r="P3779" s="19" t="n">
        <v>3105660.6</v>
      </c>
      <c r="Q3779" s="20" t="s">
        <v>15432</v>
      </c>
      <c r="R3779" s="13" t="s">
        <v>232</v>
      </c>
      <c r="S3779" s="14" t="n">
        <v>38806</v>
      </c>
      <c r="T3779" s="28" t="s">
        <v>40</v>
      </c>
      <c r="U3779" s="13" t="s">
        <v>15433</v>
      </c>
      <c r="V3779" s="13" t="s">
        <v>42</v>
      </c>
      <c r="W3779" s="13" t="s">
        <v>43</v>
      </c>
      <c r="X3779" s="21" t="n">
        <v>85856596400</v>
      </c>
      <c r="Y3779" s="22" t="str">
        <f aca="false">O3779</f>
        <v>Packer</v>
      </c>
      <c r="Z3779" s="13" t="str">
        <f aca="false">IFERROR(__xludf.dummyfunction("if(BJ3779="""","""",GOOGLETRANSLATE(BJ3779,""auto"",""en""))"),"Packer")</f>
        <v>Packer</v>
      </c>
      <c r="AA3779" s="23" t="str">
        <f aca="false">IF(C3779="","", CHOOSE(MONTH(C3779),"January","February","March","April","May","June","July","August","September","October","November","December")&amp;" "&amp;DAY(C3779)&amp;MID("thstndrdth",MIN(9,2*RIGHT(DAY(C3779))*(MOD(DAY(C3779)-11,100)&gt;2)+1),2)&amp;","&amp;TEXT(C3779," yyyy"))</f>
        <v>June 15th,2026</v>
      </c>
      <c r="AB3779" s="15" t="str">
        <f aca="true">IF(S3779="","",DATEDIF(S3779,TODAY(),"Y")&amp;" Tahun, "&amp;DATEDIF(S3779,TODAY(),"YM")&amp;" Bulan, "&amp;DATEDIF(S3779,TODAY(),"MD")&amp;" Hari")</f>
        <v>20 Tahun, 6 Bulan, 29 Hari</v>
      </c>
      <c r="AC3779" s="14" t="n">
        <v>46188</v>
      </c>
      <c r="AD3779" s="18" t="n">
        <f aca="false">EDATE(AC3779,3)-1</f>
        <v>46279</v>
      </c>
      <c r="AE3779" s="13" t="s">
        <v>397</v>
      </c>
    </row>
    <row r="3780" customFormat="false" ht="15" hidden="false" customHeight="true" outlineLevel="0" collapsed="false">
      <c r="A3780" s="12" t="n">
        <v>22402</v>
      </c>
      <c r="B3780" s="13" t="s">
        <v>15434</v>
      </c>
      <c r="C3780" s="14" t="n">
        <v>46157</v>
      </c>
      <c r="D3780" s="13" t="s">
        <v>2033</v>
      </c>
      <c r="E3780" s="15" t="s">
        <v>102</v>
      </c>
      <c r="F3780" s="24" t="s">
        <v>15435</v>
      </c>
      <c r="G3780" s="24" t="s">
        <v>57</v>
      </c>
      <c r="H3780" s="13" t="s">
        <v>35</v>
      </c>
      <c r="I3780" s="13" t="str">
        <f aca="false">IF(C3780=J3780,"NEW KONTRAK","RE-KONTRAK")</f>
        <v>NEW KONTRAK</v>
      </c>
      <c r="J3780" s="16" t="n">
        <f aca="false" t="array" ref="J3780:J3780">IFERROR(INDEX(AC3780:AE3780,IF(COUNTA(AC3780:AE3780)=0,"",MAX((AC3780:AE3780&lt;&gt;"")*(COLUMN(AC3780:AE3780)-(COLUMN(AC3780)))))-1),"")</f>
        <v>46157</v>
      </c>
      <c r="K3780" s="16" t="n">
        <f aca="false" t="array" ref="K3780:K3780">IFERROR(INDEX(AC3780:AE3780,IF(COUNTA(AC3780:AE3780)=0,"",MAX((AC3780:AE3780&lt;&gt;"")*(COLUMN(AC3780:AE3780)-(COLUMN(AC3780)-1))))-1),"")</f>
        <v>46248</v>
      </c>
      <c r="L3780" s="17" t="str">
        <f aca="false" t="array" ref="L3780:L3780">IFERROR(INDEX(AC3780:AE3780,IF(COUNTA(AC3780:AE3780)=0,"",MAX((AC3780:AE3780&lt;&gt;"")*(COLUMN(AC3780:AE3780)-(COLUMN(AC3780)-2))))-1),"")</f>
        <v>ARCHIVED</v>
      </c>
      <c r="M3780" s="13" t="n">
        <f aca="true">K3780-TODAY()</f>
        <v>-76</v>
      </c>
      <c r="N3780" s="28" t="s">
        <v>8976</v>
      </c>
      <c r="O3780" s="13" t="s">
        <v>2037</v>
      </c>
      <c r="P3780" s="26" t="n">
        <v>3229958</v>
      </c>
      <c r="Q3780" s="47" t="s">
        <v>15436</v>
      </c>
      <c r="R3780" s="13" t="s">
        <v>15437</v>
      </c>
      <c r="S3780" s="16" t="n">
        <v>38333</v>
      </c>
      <c r="T3780" s="28" t="s">
        <v>108</v>
      </c>
      <c r="U3780" s="13" t="s">
        <v>15438</v>
      </c>
      <c r="V3780" s="28" t="s">
        <v>42</v>
      </c>
      <c r="W3780" s="28" t="s">
        <v>43</v>
      </c>
      <c r="X3780" s="21" t="n">
        <v>83182836444</v>
      </c>
      <c r="Y3780" s="22" t="str">
        <f aca="false">O3780</f>
        <v>SPG/BA</v>
      </c>
      <c r="Z3780" s="13" t="str">
        <f aca="false">IFERROR(__xludf.dummyfunction("if(BJ3780="""","""",GOOGLETRANSLATE(BJ3780,""auto"",""en""))"),"SPG/BA")</f>
        <v>SPG/BA</v>
      </c>
      <c r="AA3780" s="23" t="str">
        <f aca="false">IF(C3780="","", CHOOSE(MONTH(C3780),"January","February","March","April","May","June","July","August","September","October","November","December")&amp;" "&amp;DAY(C3780)&amp;MID("thstndrdth",MIN(9,2*RIGHT(DAY(C3780))*(MOD(DAY(C3780)-11,100)&gt;2)+1),2)&amp;","&amp;TEXT(C3780," yyyy"))</f>
        <v>May 15th,2026</v>
      </c>
      <c r="AB3780" s="15" t="str">
        <f aca="true">IF(S3780="","",DATEDIF(S3780,TODAY(),"Y")&amp;" Tahun, "&amp;DATEDIF(S3780,TODAY(),"YM")&amp;" Bulan, "&amp;DATEDIF(S3780,TODAY(),"MD")&amp;" Hari")</f>
        <v>21 Tahun, 10 Bulan, 17 Hari</v>
      </c>
      <c r="AC3780" s="14" t="n">
        <v>46157</v>
      </c>
      <c r="AD3780" s="18" t="n">
        <f aca="false">EDATE(AC3780,3)-1</f>
        <v>46248</v>
      </c>
      <c r="AE3780" s="18" t="s">
        <v>44</v>
      </c>
    </row>
    <row r="3781" customFormat="false" ht="15" hidden="false" customHeight="true" outlineLevel="0" collapsed="false">
      <c r="A3781" s="12" t="n">
        <v>22740</v>
      </c>
      <c r="B3781" s="13" t="s">
        <v>15439</v>
      </c>
      <c r="C3781" s="14" t="n">
        <v>46236</v>
      </c>
      <c r="D3781" s="13" t="s">
        <v>2033</v>
      </c>
      <c r="E3781" s="13" t="s">
        <v>47</v>
      </c>
      <c r="F3781" s="24" t="s">
        <v>15440</v>
      </c>
      <c r="G3781" s="13" t="s">
        <v>1452</v>
      </c>
      <c r="H3781" s="13" t="s">
        <v>35</v>
      </c>
      <c r="I3781" s="13" t="str">
        <f aca="false">IF(C3781=J3781,"NEW KONTRAK","RE-KONTRAK")</f>
        <v>NEW KONTRAK</v>
      </c>
      <c r="J3781" s="16" t="n">
        <f aca="false" t="array" ref="J3781:J3781">IFERROR(INDEX(AC3781:AE3781,IF(COUNTA(AC3781:AE3781)=0,"",MAX((AC3781:AE3781&lt;&gt;"")*(COLUMN(AC3781:AE3781)-(COLUMN(AC3781)))))-1),"")</f>
        <v>46236</v>
      </c>
      <c r="K3781" s="16" t="n">
        <f aca="false" t="array" ref="K3781:K3781">IFERROR(INDEX(AC3781:AE3781,IF(COUNTA(AC3781:AE3781)=0,"",MAX((AC3781:AE3781&lt;&gt;"")*(COLUMN(AC3781:AE3781)-(COLUMN(AC3781)-1))))-1),"")</f>
        <v>46402</v>
      </c>
      <c r="L3781" s="17" t="str">
        <f aca="false" t="array" ref="L3781:L3781">IFERROR(INDEX(AC3781:AE3781,IF(COUNTA(AC3781:AE3781)=0,"",MAX((AC3781:AE3781&lt;&gt;"")*(COLUMN(AC3781:AE3781)-(COLUMN(AC3781)-2))))-1),"")</f>
        <v>KEMBALI</v>
      </c>
      <c r="M3781" s="13" t="n">
        <f aca="true">K3781-TODAY()</f>
        <v>78</v>
      </c>
      <c r="N3781" s="18" t="s">
        <v>9866</v>
      </c>
      <c r="O3781" s="13" t="s">
        <v>2384</v>
      </c>
      <c r="P3781" s="19" t="n">
        <v>2827593</v>
      </c>
      <c r="Q3781" s="20" t="s">
        <v>15441</v>
      </c>
      <c r="R3781" s="13" t="s">
        <v>9866</v>
      </c>
      <c r="S3781" s="25" t="n">
        <v>36676</v>
      </c>
      <c r="T3781" s="13" t="s">
        <v>108</v>
      </c>
      <c r="U3781" s="13" t="s">
        <v>15442</v>
      </c>
      <c r="V3781" s="13" t="s">
        <v>42</v>
      </c>
      <c r="W3781" s="13" t="s">
        <v>43</v>
      </c>
      <c r="X3781" s="21" t="n">
        <v>895363239537</v>
      </c>
      <c r="Y3781" s="22" t="str">
        <f aca="false">O3781</f>
        <v>SPG</v>
      </c>
      <c r="Z3781" s="13" t="str">
        <f aca="false">IFERROR(__xludf.dummyfunction("if(BJ3781="""","""",GOOGLETRANSLATE(BJ3781,""auto"",""en""))"),"SPG")</f>
        <v>SPG</v>
      </c>
      <c r="AA3781" s="23" t="str">
        <f aca="false">IF(C3781="","", CHOOSE(MONTH(C3781),"January","February","March","April","May","June","July","August","September","October","November","December")&amp;" "&amp;DAY(C3781)&amp;MID("thstndrdth",MIN(9,2*RIGHT(DAY(C3781))*(MOD(DAY(C3781)-11,100)&gt;2)+1),2)&amp;","&amp;TEXT(C3781," yyyy"))</f>
        <v>August 2nd,2026</v>
      </c>
      <c r="AB3781" s="15" t="str">
        <f aca="true">IF(S3781="","",DATEDIF(S3781,TODAY(),"Y")&amp;" Tahun, "&amp;DATEDIF(S3781,TODAY(),"YM")&amp;" Bulan, "&amp;DATEDIF(S3781,TODAY(),"MD")&amp;" Hari")</f>
        <v>26 Tahun, 4 Bulan, 29 Hari</v>
      </c>
      <c r="AC3781" s="14" t="n">
        <v>46236</v>
      </c>
      <c r="AD3781" s="18" t="n">
        <v>46402</v>
      </c>
      <c r="AE3781" s="13" t="s">
        <v>397</v>
      </c>
    </row>
    <row r="3782" customFormat="false" ht="15" hidden="false" customHeight="true" outlineLevel="0" collapsed="false">
      <c r="A3782" s="12" t="n">
        <v>16704</v>
      </c>
      <c r="B3782" s="13" t="s">
        <v>15443</v>
      </c>
      <c r="C3782" s="14" t="n">
        <v>45505</v>
      </c>
      <c r="D3782" s="13" t="s">
        <v>2033</v>
      </c>
      <c r="E3782" s="15" t="s">
        <v>47</v>
      </c>
      <c r="F3782" s="15" t="str">
        <f aca="false">IFERROR(__xludf.dummyfunction("XLOOKUP(AJ3782,IMPORTRANGE(""1XaInW9DU9nz21V0tYIfzFQ0He9kVQ_JF2mCXgZ3hqFA"",""REKAP ALL 2026 - Andika!G:G""),IMPORTRANGE(""1XaInW9DU9nz21V0tYIfzFQ0He9kVQ_JF2mCXgZ3hqFA"",""REKAP ALL 2026 - Andika!F:F""),"""",0)"),"24120186184")</f>
        <v>24120186184</v>
      </c>
      <c r="G3782" s="15" t="s">
        <v>15444</v>
      </c>
      <c r="H3782" s="13" t="s">
        <v>2035</v>
      </c>
      <c r="I3782" s="13" t="str">
        <f aca="false">IF(C3782=J3782,"NEW KONTRAK","RE-KONTRAK")</f>
        <v>RE-KONTRAK</v>
      </c>
      <c r="J3782" s="16" t="n">
        <f aca="false" t="array" ref="J3782:J3782">IFERROR(INDEX(AC3782:AE3782,IF(COUNTA(AC3782:AE3782)=0,"",MAX((AC3782:AE3782&lt;&gt;"")*(COLUMN(AC3782:AE3782)-(COLUMN(AC3782)))))-1),"")</f>
        <v>45744</v>
      </c>
      <c r="K3782" s="16" t="n">
        <f aca="false" t="array" ref="K3782:K3782">IFERROR(INDEX(AC3782:AE3782,IF(COUNTA(AC3782:AE3782)=0,"",MAX((AC3782:AE3782&lt;&gt;"")*(COLUMN(AC3782:AE3782)-(COLUMN(AC3782)-1))))-1),"")</f>
        <v>45915</v>
      </c>
      <c r="L3782" s="17" t="str">
        <f aca="false" t="array" ref="L3782:L3782">IFERROR(INDEX(AC3782:AE3782,IF(COUNTA(AC3782:AE3782)=0,"",MAX((AC3782:AE3782&lt;&gt;"")*(COLUMN(AC3782:AE3782)-(COLUMN(AC3782)-2))))-1),"")</f>
        <v>ARCHIVED</v>
      </c>
      <c r="M3782" s="13" t="n">
        <f aca="true">K3782-TODAY()</f>
        <v>-409</v>
      </c>
      <c r="N3782" s="18" t="s">
        <v>15445</v>
      </c>
      <c r="O3782" s="13" t="s">
        <v>2037</v>
      </c>
      <c r="P3782" s="19" t="n">
        <v>3187965</v>
      </c>
      <c r="Q3782" s="20" t="s">
        <v>15446</v>
      </c>
      <c r="R3782" s="13" t="s">
        <v>15447</v>
      </c>
      <c r="S3782" s="14" t="n">
        <v>37869</v>
      </c>
      <c r="T3782" s="13" t="s">
        <v>108</v>
      </c>
      <c r="U3782" s="13" t="s">
        <v>15448</v>
      </c>
      <c r="V3782" s="13" t="s">
        <v>42</v>
      </c>
      <c r="W3782" s="13" t="s">
        <v>43</v>
      </c>
      <c r="X3782" s="21" t="n">
        <v>81251090609</v>
      </c>
      <c r="Y3782" s="22" t="str">
        <f aca="false">O3782</f>
        <v>SPG/BA</v>
      </c>
      <c r="Z3782" s="13" t="str">
        <f aca="false">IFERROR(__xludf.dummyfunction("if(BJ3782="""","""",GOOGLETRANSLATE(BJ3782,""auto"",""en""))"),"SPG/BA")</f>
        <v>SPG/BA</v>
      </c>
      <c r="AA3782" s="23" t="str">
        <f aca="false">IF(C3782="","", CHOOSE(MONTH(C3782),"January","February","March","April","May","June","July","August","September","October","November","December")&amp;" "&amp;DAY(C3782)&amp;MID("thstndrdth",MIN(9,2*RIGHT(DAY(C3782))*(MOD(DAY(C3782)-11,100)&gt;2)+1),2)&amp;","&amp;TEXT(C3782," yyyy"))</f>
        <v>August 1st,2024</v>
      </c>
      <c r="AB3782" s="15" t="str">
        <f aca="true">IF(S3782="","",DATEDIF(S3782,TODAY(),"Y")&amp;" Tahun, "&amp;DATEDIF(S3782,TODAY(),"YM")&amp;" Bulan, "&amp;DATEDIF(S3782,TODAY(),"MD")&amp;" Hari")</f>
        <v>23 Tahun, 1 Bulan, 24 Hari</v>
      </c>
      <c r="AC3782" s="18" t="n">
        <v>45744</v>
      </c>
      <c r="AD3782" s="18" t="n">
        <v>45915</v>
      </c>
      <c r="AE3782" s="18" t="s">
        <v>44</v>
      </c>
    </row>
    <row r="3783" customFormat="false" ht="15" hidden="false" customHeight="true" outlineLevel="0" collapsed="false">
      <c r="A3783" s="12" t="n">
        <v>23009</v>
      </c>
      <c r="B3783" s="13" t="s">
        <v>15449</v>
      </c>
      <c r="C3783" s="14" t="n">
        <v>46284</v>
      </c>
      <c r="D3783" s="13" t="s">
        <v>2033</v>
      </c>
      <c r="E3783" s="13" t="s">
        <v>47</v>
      </c>
      <c r="F3783" s="24" t="s">
        <v>15450</v>
      </c>
      <c r="G3783" s="13" t="s">
        <v>1127</v>
      </c>
      <c r="H3783" s="13" t="s">
        <v>35</v>
      </c>
      <c r="I3783" s="13" t="str">
        <f aca="false">IF(C3783=J3783,"NEW KONTRAK","RE-KONTRAK")</f>
        <v>NEW KONTRAK</v>
      </c>
      <c r="J3783" s="16" t="n">
        <f aca="false" t="array" ref="J3783:J3783">IFERROR(INDEX(AC3783:AE3783,IF(COUNTA(AC3783:AE3783)=0,"",MAX((AC3783:AE3783&lt;&gt;"")*(COLUMN(AC3783:AE3783)-(COLUMN(AC3783)))))-1),"")</f>
        <v>46284</v>
      </c>
      <c r="K3783" s="16" t="n">
        <f aca="false" t="array" ref="K3783:K3783">IFERROR(INDEX(AC3783:AE3783,IF(COUNTA(AC3783:AE3783)=0,"",MAX((AC3783:AE3783&lt;&gt;"")*(COLUMN(AC3783:AE3783)-(COLUMN(AC3783)-1))))-1),"")</f>
        <v>46402</v>
      </c>
      <c r="L3783" s="17" t="str">
        <f aca="false" t="array" ref="L3783:L3783">IFERROR(INDEX(AC3783:AE3783,IF(COUNTA(AC3783:AE3783)=0,"",MAX((AC3783:AE3783&lt;&gt;"")*(COLUMN(AC3783:AE3783)-(COLUMN(AC3783)-2))))-1),"")</f>
        <v>DRAFTED ONLINE</v>
      </c>
      <c r="M3783" s="13" t="n">
        <f aca="true">K3783-TODAY()</f>
        <v>78</v>
      </c>
      <c r="N3783" s="13" t="s">
        <v>4779</v>
      </c>
      <c r="O3783" s="13" t="s">
        <v>2384</v>
      </c>
      <c r="P3783" s="26" t="n">
        <v>2818585</v>
      </c>
      <c r="Q3783" s="20" t="s">
        <v>15451</v>
      </c>
      <c r="R3783" s="13" t="s">
        <v>4779</v>
      </c>
      <c r="S3783" s="25" t="n">
        <v>38981</v>
      </c>
      <c r="T3783" s="13" t="s">
        <v>108</v>
      </c>
      <c r="U3783" s="13" t="s">
        <v>15452</v>
      </c>
      <c r="V3783" s="13" t="s">
        <v>42</v>
      </c>
      <c r="W3783" s="13" t="s">
        <v>43</v>
      </c>
      <c r="X3783" s="21" t="n">
        <v>82311676970</v>
      </c>
      <c r="Y3783" s="22" t="str">
        <f aca="false">O3783</f>
        <v>SPG</v>
      </c>
      <c r="Z3783" s="13" t="str">
        <f aca="false">IFERROR(__xludf.dummyfunction("if(BJ3783="""","""",GOOGLETRANSLATE(BJ3783,""auto"",""en""))"),"SPG")</f>
        <v>SPG</v>
      </c>
      <c r="AA3783" s="23" t="str">
        <f aca="false">IF(C3783="","", CHOOSE(MONTH(C3783),"January","February","March","April","May","June","July","August","September","October","November","December")&amp;" "&amp;DAY(C3783)&amp;MID("thstndrdth",MIN(9,2*RIGHT(DAY(C3783))*(MOD(DAY(C3783)-11,100)&gt;2)+1),2)&amp;","&amp;TEXT(C3783," yyyy"))</f>
        <v>September 19th,2026</v>
      </c>
      <c r="AB3783" s="15" t="str">
        <f aca="true">IF(S3783="","",DATEDIF(S3783,TODAY(),"Y")&amp;" Tahun, "&amp;DATEDIF(S3783,TODAY(),"YM")&amp;" Bulan, "&amp;DATEDIF(S3783,TODAY(),"MD")&amp;" Hari")</f>
        <v>20 Tahun, 1 Bulan, 8 Hari</v>
      </c>
      <c r="AC3783" s="14" t="n">
        <v>46284</v>
      </c>
      <c r="AD3783" s="18" t="n">
        <v>46402</v>
      </c>
      <c r="AE3783" s="13" t="s">
        <v>2424</v>
      </c>
    </row>
    <row r="3784" customFormat="false" ht="15" hidden="false" customHeight="true" outlineLevel="0" collapsed="false">
      <c r="A3784" s="12" t="n">
        <v>10919</v>
      </c>
      <c r="B3784" s="13" t="s">
        <v>15453</v>
      </c>
      <c r="C3784" s="14" t="n">
        <v>45081</v>
      </c>
      <c r="D3784" s="13" t="s">
        <v>2033</v>
      </c>
      <c r="E3784" s="15" t="s">
        <v>47</v>
      </c>
      <c r="F3784" s="15" t="str">
        <f aca="false">IFERROR(__xludf.dummyfunction("XLOOKUP(AJ3784,IMPORTRANGE(""1XaInW9DU9nz21V0tYIfzFQ0He9kVQ_JF2mCXgZ3hqFA"",""REKAP ALL 2026 - Andika!G:G""),IMPORTRANGE(""1XaInW9DU9nz21V0tYIfzFQ0He9kVQ_JF2mCXgZ3hqFA"",""REKAP ALL 2026 - Andika!F:F""),"""",0)"),"23076924622")</f>
        <v>23076924622</v>
      </c>
      <c r="G3784" s="13" t="s">
        <v>15454</v>
      </c>
      <c r="H3784" s="13" t="s">
        <v>2035</v>
      </c>
      <c r="I3784" s="13" t="str">
        <f aca="false">IF(C3784=J3784,"NEW KONTRAK","RE-KONTRAK")</f>
        <v>RE-KONTRAK</v>
      </c>
      <c r="J3784" s="16" t="n">
        <f aca="false" t="array" ref="J3784:J3784">IFERROR(INDEX(AC3784:AE3784,IF(COUNTA(AC3784:AE3784)=0,"",MAX((AC3784:AE3784&lt;&gt;"")*(COLUMN(AC3784:AE3784)-(COLUMN(AC3784)))))-1),"")</f>
        <v>45744</v>
      </c>
      <c r="K3784" s="16" t="n">
        <f aca="false" t="array" ref="K3784:K3784">IFERROR(INDEX(AC3784:AE3784,IF(COUNTA(AC3784:AE3784)=0,"",MAX((AC3784:AE3784&lt;&gt;"")*(COLUMN(AC3784:AE3784)-(COLUMN(AC3784)-1))))-1),"")</f>
        <v>45915</v>
      </c>
      <c r="L3784" s="17" t="str">
        <f aca="false" t="array" ref="L3784:L3784">IFERROR(INDEX(AC3784:AE3784,IF(COUNTA(AC3784:AE3784)=0,"",MAX((AC3784:AE3784&lt;&gt;"")*(COLUMN(AC3784:AE3784)-(COLUMN(AC3784)-2))))-1),"")</f>
        <v>ARCHIVED</v>
      </c>
      <c r="M3784" s="13" t="n">
        <f aca="true">K3784-TODAY()</f>
        <v>-409</v>
      </c>
      <c r="N3784" s="18" t="s">
        <v>3902</v>
      </c>
      <c r="O3784" s="13" t="s">
        <v>2037</v>
      </c>
      <c r="P3784" s="19" t="n">
        <v>3491889</v>
      </c>
      <c r="Q3784" s="20" t="s">
        <v>15455</v>
      </c>
      <c r="R3784" s="13" t="s">
        <v>3499</v>
      </c>
      <c r="S3784" s="14" t="n">
        <v>36084</v>
      </c>
      <c r="T3784" s="13" t="s">
        <v>108</v>
      </c>
      <c r="U3784" s="13" t="s">
        <v>15456</v>
      </c>
      <c r="V3784" s="13" t="s">
        <v>42</v>
      </c>
      <c r="W3784" s="13" t="s">
        <v>54</v>
      </c>
      <c r="X3784" s="21" t="n">
        <v>8978179685</v>
      </c>
      <c r="Y3784" s="22" t="str">
        <f aca="false">O3784</f>
        <v>SPG/BA</v>
      </c>
      <c r="Z3784" s="13" t="str">
        <f aca="false">IFERROR(__xludf.dummyfunction("if(BJ3784="""","""",GOOGLETRANSLATE(BJ3784,""auto"",""en""))"),"SPG/BA")</f>
        <v>SPG/BA</v>
      </c>
      <c r="AA3784" s="23" t="str">
        <f aca="false">IF(C3784="","", CHOOSE(MONTH(C3784),"January","February","March","April","May","June","July","August","September","October","November","December")&amp;" "&amp;DAY(C3784)&amp;MID("thstndrdth",MIN(9,2*RIGHT(DAY(C3784))*(MOD(DAY(C3784)-11,100)&gt;2)+1),2)&amp;","&amp;TEXT(C3784," yyyy"))</f>
        <v>June 4th,2023</v>
      </c>
      <c r="AB3784" s="15" t="str">
        <f aca="true">IF(S3784="","",DATEDIF(S3784,TODAY(),"Y")&amp;" Tahun, "&amp;DATEDIF(S3784,TODAY(),"YM")&amp;" Bulan, "&amp;DATEDIF(S3784,TODAY(),"MD")&amp;" Hari")</f>
        <v>28 Tahun, 0 Bulan, 13 Hari</v>
      </c>
      <c r="AC3784" s="18" t="n">
        <v>45744</v>
      </c>
      <c r="AD3784" s="18" t="n">
        <v>45915</v>
      </c>
      <c r="AE3784" s="18" t="s">
        <v>44</v>
      </c>
    </row>
    <row r="3785" customFormat="false" ht="15" hidden="false" customHeight="true" outlineLevel="0" collapsed="false">
      <c r="A3785" s="12" t="n">
        <v>22407</v>
      </c>
      <c r="B3785" s="13" t="s">
        <v>15457</v>
      </c>
      <c r="C3785" s="14" t="n">
        <v>46178</v>
      </c>
      <c r="D3785" s="13" t="s">
        <v>2033</v>
      </c>
      <c r="E3785" s="15" t="s">
        <v>15458</v>
      </c>
      <c r="F3785" s="24" t="s">
        <v>15459</v>
      </c>
      <c r="G3785" s="24" t="s">
        <v>57</v>
      </c>
      <c r="H3785" s="13" t="s">
        <v>35</v>
      </c>
      <c r="I3785" s="13" t="str">
        <f aca="false">IF(C3785=J3785,"NEW KONTRAK","RE-KONTRAK")</f>
        <v>NEW KONTRAK</v>
      </c>
      <c r="J3785" s="16" t="n">
        <f aca="false" t="array" ref="J3785:J3785">IFERROR(INDEX(AC3785:AE3785,IF(COUNTA(AC3785:AE3785)=0,"",MAX((AC3785:AE3785&lt;&gt;"")*(COLUMN(AC3785:AE3785)-(COLUMN(AC3785)))))-1),"")</f>
        <v>46178</v>
      </c>
      <c r="K3785" s="16" t="n">
        <f aca="false" t="array" ref="K3785:K3785">IFERROR(INDEX(AC3785:AE3785,IF(COUNTA(AC3785:AE3785)=0,"",MAX((AC3785:AE3785&lt;&gt;"")*(COLUMN(AC3785:AE3785)-(COLUMN(AC3785)-1))))-1),"")</f>
        <v>46269</v>
      </c>
      <c r="L3785" s="17" t="str">
        <f aca="false" t="array" ref="L3785:L3785">IFERROR(INDEX(AC3785:AE3785,IF(COUNTA(AC3785:AE3785)=0,"",MAX((AC3785:AE3785&lt;&gt;"")*(COLUMN(AC3785:AE3785)-(COLUMN(AC3785)-2))))-1),"")</f>
        <v>KEMBALI</v>
      </c>
      <c r="M3785" s="13" t="n">
        <f aca="true">K3785-TODAY()</f>
        <v>-55</v>
      </c>
      <c r="N3785" s="28" t="s">
        <v>9887</v>
      </c>
      <c r="O3785" s="13" t="s">
        <v>2037</v>
      </c>
      <c r="P3785" s="26" t="n">
        <v>4436283</v>
      </c>
      <c r="Q3785" s="47" t="s">
        <v>15460</v>
      </c>
      <c r="R3785" s="13" t="s">
        <v>15461</v>
      </c>
      <c r="S3785" s="16" t="n">
        <v>37716</v>
      </c>
      <c r="T3785" s="13" t="s">
        <v>108</v>
      </c>
      <c r="U3785" s="13" t="s">
        <v>15462</v>
      </c>
      <c r="V3785" s="28" t="s">
        <v>99</v>
      </c>
      <c r="W3785" s="13" t="s">
        <v>43</v>
      </c>
      <c r="X3785" s="21" t="n">
        <v>82193031582</v>
      </c>
      <c r="Y3785" s="22" t="str">
        <f aca="false">O3785</f>
        <v>SPG/BA</v>
      </c>
      <c r="Z3785" s="13" t="str">
        <f aca="false">IFERROR(__xludf.dummyfunction("if(BJ3785="""","""",GOOGLETRANSLATE(BJ3785,""auto"",""en""))"),"SPG/BA")</f>
        <v>SPG/BA</v>
      </c>
      <c r="AA3785" s="23" t="str">
        <f aca="false">IF(C3785="","", CHOOSE(MONTH(C3785),"January","February","March","April","May","June","July","August","September","October","November","December")&amp;" "&amp;DAY(C3785)&amp;MID("thstndrdth",MIN(9,2*RIGHT(DAY(C3785))*(MOD(DAY(C3785)-11,100)&gt;2)+1),2)&amp;","&amp;TEXT(C3785," yyyy"))</f>
        <v>June 5th,2026</v>
      </c>
      <c r="AB3785" s="15" t="str">
        <f aca="true">IF(S3785="","",DATEDIF(S3785,TODAY(),"Y")&amp;" Tahun, "&amp;DATEDIF(S3785,TODAY(),"YM")&amp;" Bulan, "&amp;DATEDIF(S3785,TODAY(),"MD")&amp;" Hari")</f>
        <v>23 Tahun, 6 Bulan, 24 Hari</v>
      </c>
      <c r="AC3785" s="14" t="n">
        <v>46178</v>
      </c>
      <c r="AD3785" s="18" t="n">
        <f aca="false">EDATE(AC3785,3)-1</f>
        <v>46269</v>
      </c>
      <c r="AE3785" s="13" t="s">
        <v>397</v>
      </c>
    </row>
    <row r="3786" customFormat="false" ht="15" hidden="false" customHeight="true" outlineLevel="0" collapsed="false">
      <c r="A3786" s="12" t="n">
        <v>22408</v>
      </c>
      <c r="B3786" s="76" t="s">
        <v>15463</v>
      </c>
      <c r="C3786" s="14" t="n">
        <v>46185</v>
      </c>
      <c r="D3786" s="13" t="s">
        <v>404</v>
      </c>
      <c r="E3786" s="15" t="s">
        <v>47</v>
      </c>
      <c r="F3786" s="24" t="s">
        <v>15464</v>
      </c>
      <c r="G3786" s="24" t="s">
        <v>57</v>
      </c>
      <c r="H3786" s="13" t="s">
        <v>35</v>
      </c>
      <c r="I3786" s="13" t="str">
        <f aca="false">IF(C3786=J3786,"NEW KONTRAK","RE-KONTRAK")</f>
        <v>NEW KONTRAK</v>
      </c>
      <c r="J3786" s="16" t="n">
        <f aca="false" t="array" ref="J3786:J3786">IFERROR(INDEX(AC3786:AE3786,IF(COUNTA(AC3786:AE3786)=0,"",MAX((AC3786:AE3786&lt;&gt;"")*(COLUMN(AC3786:AE3786)-(COLUMN(AC3786)))))-1),"")</f>
        <v>46185</v>
      </c>
      <c r="K3786" s="16" t="n">
        <f aca="false" t="array" ref="K3786:K3786">IFERROR(INDEX(AC3786:AE3786,IF(COUNTA(AC3786:AE3786)=0,"",MAX((AC3786:AE3786&lt;&gt;"")*(COLUMN(AC3786:AE3786)-(COLUMN(AC3786)-1))))-1),"")</f>
        <v>46276</v>
      </c>
      <c r="L3786" s="17" t="str">
        <f aca="false" t="array" ref="L3786:L3786">IFERROR(INDEX(AC3786:AE3786,IF(COUNTA(AC3786:AE3786)=0,"",MAX((AC3786:AE3786&lt;&gt;"")*(COLUMN(AC3786:AE3786)-(COLUMN(AC3786)-2))))-1),"")</f>
        <v>KEMBALI</v>
      </c>
      <c r="M3786" s="13" t="n">
        <f aca="true">K3786-TODAY()</f>
        <v>-48</v>
      </c>
      <c r="N3786" s="18" t="s">
        <v>36</v>
      </c>
      <c r="O3786" s="13" t="s">
        <v>479</v>
      </c>
      <c r="P3786" s="26" t="n">
        <v>5195401</v>
      </c>
      <c r="Q3786" s="20" t="s">
        <v>15465</v>
      </c>
      <c r="R3786" s="13" t="s">
        <v>65</v>
      </c>
      <c r="S3786" s="14" t="n">
        <v>39481</v>
      </c>
      <c r="T3786" s="28" t="s">
        <v>40</v>
      </c>
      <c r="U3786" s="13" t="s">
        <v>15466</v>
      </c>
      <c r="V3786" s="28" t="s">
        <v>42</v>
      </c>
      <c r="W3786" s="13" t="s">
        <v>43</v>
      </c>
      <c r="X3786" s="21" t="n">
        <v>82230253653</v>
      </c>
      <c r="Y3786" s="22" t="str">
        <f aca="false">O3786</f>
        <v>Bottling Rigid (BT2)</v>
      </c>
      <c r="Z3786" s="13" t="str">
        <f aca="false">IFERROR(__xludf.dummyfunction("if(BJ3786="""","""",GOOGLETRANSLATE(BJ3786,""auto"",""en""))"),"Bottling Rigid (BT2)")</f>
        <v>Bottling Rigid (BT2)</v>
      </c>
      <c r="AA3786" s="23" t="str">
        <f aca="false">IF(C3786="","", CHOOSE(MONTH(C3786),"January","February","March","April","May","June","July","August","September","October","November","December")&amp;" "&amp;DAY(C3786)&amp;MID("thstndrdth",MIN(9,2*RIGHT(DAY(C3786))*(MOD(DAY(C3786)-11,100)&gt;2)+1),2)&amp;","&amp;TEXT(C3786," yyyy"))</f>
        <v>June 12th,2026</v>
      </c>
      <c r="AB3786" s="15" t="str">
        <f aca="true">IF(S3786="","",DATEDIF(S3786,TODAY(),"Y")&amp;" Tahun, "&amp;DATEDIF(S3786,TODAY(),"YM")&amp;" Bulan, "&amp;DATEDIF(S3786,TODAY(),"MD")&amp;" Hari")</f>
        <v>18 Tahun, 8 Bulan, 26 Hari</v>
      </c>
      <c r="AC3786" s="14" t="n">
        <v>46185</v>
      </c>
      <c r="AD3786" s="18" t="n">
        <f aca="false">EDATE(AC3786,3)-1</f>
        <v>46276</v>
      </c>
      <c r="AE3786" s="13" t="s">
        <v>397</v>
      </c>
    </row>
    <row r="3787" customFormat="false" ht="15" hidden="false" customHeight="true" outlineLevel="0" collapsed="false">
      <c r="A3787" s="12" t="n">
        <v>22409</v>
      </c>
      <c r="B3787" s="13" t="s">
        <v>15467</v>
      </c>
      <c r="C3787" s="14" t="n">
        <v>46184</v>
      </c>
      <c r="D3787" s="13" t="s">
        <v>5892</v>
      </c>
      <c r="E3787" s="15" t="s">
        <v>47</v>
      </c>
      <c r="F3787" s="24" t="s">
        <v>15468</v>
      </c>
      <c r="G3787" s="24" t="s">
        <v>57</v>
      </c>
      <c r="H3787" s="13" t="s">
        <v>35</v>
      </c>
      <c r="I3787" s="13" t="str">
        <f aca="false">IF(C3787=J3787,"NEW KONTRAK","RE-KONTRAK")</f>
        <v>NEW KONTRAK</v>
      </c>
      <c r="J3787" s="16" t="n">
        <f aca="false" t="array" ref="J3787:J3787">IFERROR(INDEX(AC3787:AE3787,IF(COUNTA(AC3787:AE3787)=0,"",MAX((AC3787:AE3787&lt;&gt;"")*(COLUMN(AC3787:AE3787)-(COLUMN(AC3787)))))-1),"")</f>
        <v>46184</v>
      </c>
      <c r="K3787" s="16" t="n">
        <f aca="false" t="array" ref="K3787:K3787">IFERROR(INDEX(AC3787:AE3787,IF(COUNTA(AC3787:AE3787)=0,"",MAX((AC3787:AE3787&lt;&gt;"")*(COLUMN(AC3787:AE3787)-(COLUMN(AC3787)-1))))-1),"")</f>
        <v>46213</v>
      </c>
      <c r="L3787" s="17" t="str">
        <f aca="false" t="array" ref="L3787:L3787">IFERROR(INDEX(AC3787:AE3787,IF(COUNTA(AC3787:AE3787)=0,"",MAX((AC3787:AE3787&lt;&gt;"")*(COLUMN(AC3787:AE3787)-(COLUMN(AC3787)-2))))-1),"")</f>
        <v>KEMBALI</v>
      </c>
      <c r="M3787" s="13" t="n">
        <f aca="true">K3787-TODAY()</f>
        <v>-111</v>
      </c>
      <c r="N3787" s="18" t="s">
        <v>105</v>
      </c>
      <c r="O3787" s="13" t="s">
        <v>15469</v>
      </c>
      <c r="P3787" s="26" t="n">
        <v>3000000</v>
      </c>
      <c r="Q3787" s="47" t="s">
        <v>15470</v>
      </c>
      <c r="R3787" s="13" t="s">
        <v>15261</v>
      </c>
      <c r="S3787" s="16" t="n">
        <v>38479</v>
      </c>
      <c r="T3787" s="28" t="s">
        <v>40</v>
      </c>
      <c r="U3787" s="13" t="s">
        <v>15471</v>
      </c>
      <c r="V3787" s="28" t="s">
        <v>42</v>
      </c>
      <c r="W3787" s="28" t="s">
        <v>43</v>
      </c>
      <c r="X3787" s="30" t="n">
        <v>87716580392</v>
      </c>
      <c r="Y3787" s="22" t="str">
        <f aca="false">O3787</f>
        <v>Admin Checker Gudang</v>
      </c>
      <c r="Z3787" s="13" t="str">
        <f aca="false">IFERROR(__xludf.dummyfunction("if(BJ3787="""","""",GOOGLETRANSLATE(BJ3787,""auto"",""en""))"),"Warehouse Checker Admin")</f>
        <v>Warehouse Checker Admin</v>
      </c>
      <c r="AA3787" s="23" t="str">
        <f aca="false">IF(C3787="","", CHOOSE(MONTH(C3787),"January","February","March","April","May","June","July","August","September","October","November","December")&amp;" "&amp;DAY(C3787)&amp;MID("thstndrdth",MIN(9,2*RIGHT(DAY(C3787))*(MOD(DAY(C3787)-11,100)&gt;2)+1),2)&amp;","&amp;TEXT(C3787," yyyy"))</f>
        <v>June 11th,2026</v>
      </c>
      <c r="AB3787" s="15" t="str">
        <f aca="true">IF(S3787="","",DATEDIF(S3787,TODAY(),"Y")&amp;" Tahun, "&amp;DATEDIF(S3787,TODAY(),"YM")&amp;" Bulan, "&amp;DATEDIF(S3787,TODAY(),"MD")&amp;" Hari")</f>
        <v>21 Tahun, 5 Bulan, 22 Hari</v>
      </c>
      <c r="AC3787" s="14" t="n">
        <v>46184</v>
      </c>
      <c r="AD3787" s="18" t="n">
        <f aca="false">EDATE(AC3787,1)-1</f>
        <v>46213</v>
      </c>
      <c r="AE3787" s="13" t="s">
        <v>397</v>
      </c>
    </row>
    <row r="3788" customFormat="false" ht="15" hidden="false" customHeight="true" outlineLevel="0" collapsed="false">
      <c r="A3788" s="12" t="n">
        <v>22410</v>
      </c>
      <c r="B3788" s="13" t="s">
        <v>15472</v>
      </c>
      <c r="C3788" s="14" t="n">
        <v>46184</v>
      </c>
      <c r="D3788" s="13" t="s">
        <v>5892</v>
      </c>
      <c r="E3788" s="15" t="s">
        <v>6819</v>
      </c>
      <c r="F3788" s="24" t="s">
        <v>15473</v>
      </c>
      <c r="G3788" s="24" t="s">
        <v>57</v>
      </c>
      <c r="H3788" s="13" t="s">
        <v>35</v>
      </c>
      <c r="I3788" s="13" t="str">
        <f aca="false">IF(C3788=J3788,"NEW KONTRAK","RE-KONTRAK")</f>
        <v>NEW KONTRAK</v>
      </c>
      <c r="J3788" s="16" t="n">
        <f aca="false" t="array" ref="J3788:J3788">IFERROR(INDEX(AC3788:AE3788,IF(COUNTA(AC3788:AE3788)=0,"",MAX((AC3788:AE3788&lt;&gt;"")*(COLUMN(AC3788:AE3788)-(COLUMN(AC3788)))))-1),"")</f>
        <v>46184</v>
      </c>
      <c r="K3788" s="16" t="n">
        <f aca="false" t="array" ref="K3788:K3788">IFERROR(INDEX(AC3788:AE3788,IF(COUNTA(AC3788:AE3788)=0,"",MAX((AC3788:AE3788&lt;&gt;"")*(COLUMN(AC3788:AE3788)-(COLUMN(AC3788)-1))))-1),"")</f>
        <v>46213</v>
      </c>
      <c r="L3788" s="17" t="str">
        <f aca="false" t="array" ref="L3788:L3788">IFERROR(INDEX(AC3788:AE3788,IF(COUNTA(AC3788:AE3788)=0,"",MAX((AC3788:AE3788&lt;&gt;"")*(COLUMN(AC3788:AE3788)-(COLUMN(AC3788)-2))))-1),"")</f>
        <v>KEMBALI</v>
      </c>
      <c r="M3788" s="13" t="n">
        <f aca="true">K3788-TODAY()</f>
        <v>-111</v>
      </c>
      <c r="N3788" s="18" t="s">
        <v>105</v>
      </c>
      <c r="O3788" s="13" t="s">
        <v>15469</v>
      </c>
      <c r="P3788" s="26" t="n">
        <v>3000000</v>
      </c>
      <c r="Q3788" s="20" t="s">
        <v>15474</v>
      </c>
      <c r="R3788" s="13" t="s">
        <v>15261</v>
      </c>
      <c r="S3788" s="14" t="n">
        <v>37923</v>
      </c>
      <c r="T3788" s="28" t="s">
        <v>40</v>
      </c>
      <c r="U3788" s="13" t="s">
        <v>15475</v>
      </c>
      <c r="V3788" s="28" t="s">
        <v>42</v>
      </c>
      <c r="W3788" s="28" t="s">
        <v>43</v>
      </c>
      <c r="X3788" s="30" t="n">
        <v>87727229927</v>
      </c>
      <c r="Y3788" s="22" t="str">
        <f aca="false">O3788</f>
        <v>Admin Checker Gudang</v>
      </c>
      <c r="Z3788" s="13" t="str">
        <f aca="false">IFERROR(__xludf.dummyfunction("if(BJ3788="""","""",GOOGLETRANSLATE(BJ3788,""auto"",""en""))"),"Warehouse Checker Admin")</f>
        <v>Warehouse Checker Admin</v>
      </c>
      <c r="AA3788" s="23" t="str">
        <f aca="false">IF(C3788="","", CHOOSE(MONTH(C3788),"January","February","March","April","May","June","July","August","September","October","November","December")&amp;" "&amp;DAY(C3788)&amp;MID("thstndrdth",MIN(9,2*RIGHT(DAY(C3788))*(MOD(DAY(C3788)-11,100)&gt;2)+1),2)&amp;","&amp;TEXT(C3788," yyyy"))</f>
        <v>June 11th,2026</v>
      </c>
      <c r="AB3788" s="15" t="str">
        <f aca="true">IF(S3788="","",DATEDIF(S3788,TODAY(),"Y")&amp;" Tahun, "&amp;DATEDIF(S3788,TODAY(),"YM")&amp;" Bulan, "&amp;DATEDIF(S3788,TODAY(),"MD")&amp;" Hari")</f>
        <v>23 Tahun, 0 Bulan, 0 Hari</v>
      </c>
      <c r="AC3788" s="14" t="n">
        <v>46184</v>
      </c>
      <c r="AD3788" s="14" t="n">
        <f aca="false">EDATE(AC3788,1)-1</f>
        <v>46213</v>
      </c>
      <c r="AE3788" s="13" t="s">
        <v>397</v>
      </c>
    </row>
    <row r="3789" customFormat="false" ht="15" hidden="false" customHeight="true" outlineLevel="0" collapsed="false">
      <c r="A3789" s="12" t="n">
        <v>22411</v>
      </c>
      <c r="B3789" s="13" t="s">
        <v>15476</v>
      </c>
      <c r="C3789" s="14" t="n">
        <v>46158</v>
      </c>
      <c r="D3789" s="13" t="s">
        <v>5903</v>
      </c>
      <c r="E3789" s="15" t="s">
        <v>47</v>
      </c>
      <c r="F3789" s="24" t="s">
        <v>15477</v>
      </c>
      <c r="G3789" s="13" t="s">
        <v>1127</v>
      </c>
      <c r="H3789" s="13" t="s">
        <v>35</v>
      </c>
      <c r="I3789" s="13" t="str">
        <f aca="false">IF(C3789=J3789,"NEW KONTRAK","RE-KONTRAK")</f>
        <v>NEW KONTRAK</v>
      </c>
      <c r="J3789" s="16" t="n">
        <f aca="false" t="array" ref="J3789:J3789">IFERROR(INDEX(AC3789:AE3789,IF(COUNTA(AC3789:AE3789)=0,"",MAX((AC3789:AE3789&lt;&gt;"")*(COLUMN(AC3789:AE3789)-(COLUMN(AC3789)))))-1),"")</f>
        <v>46158</v>
      </c>
      <c r="K3789" s="16" t="n">
        <f aca="false" t="array" ref="K3789:K3789">IFERROR(INDEX(AC3789:AE3789,IF(COUNTA(AC3789:AE3789)=0,"",MAX((AC3789:AE3789&lt;&gt;"")*(COLUMN(AC3789:AE3789)-(COLUMN(AC3789)-1))))-1),"")</f>
        <v>46522</v>
      </c>
      <c r="L3789" s="17" t="str">
        <f aca="false" t="array" ref="L3789:L3789">IFERROR(INDEX(AC3789:AE3789,IF(COUNTA(AC3789:AE3789)=0,"",MAX((AC3789:AE3789&lt;&gt;"")*(COLUMN(AC3789:AE3789)-(COLUMN(AC3789)-2))))-1),"")</f>
        <v>ARCHIVED</v>
      </c>
      <c r="M3789" s="13" t="n">
        <f aca="true">K3789-TODAY()</f>
        <v>198</v>
      </c>
      <c r="N3789" s="50" t="s">
        <v>728</v>
      </c>
      <c r="O3789" s="13" t="s">
        <v>5919</v>
      </c>
      <c r="P3789" s="26" t="n">
        <v>2800000</v>
      </c>
      <c r="Q3789" s="47" t="s">
        <v>15478</v>
      </c>
      <c r="R3789" s="13" t="s">
        <v>52</v>
      </c>
      <c r="S3789" s="16" t="n">
        <v>37826</v>
      </c>
      <c r="T3789" s="28" t="s">
        <v>40</v>
      </c>
      <c r="U3789" s="13" t="s">
        <v>15479</v>
      </c>
      <c r="V3789" s="13" t="s">
        <v>42</v>
      </c>
      <c r="W3789" s="13" t="s">
        <v>43</v>
      </c>
      <c r="X3789" s="30" t="n">
        <v>87803731453</v>
      </c>
      <c r="Y3789" s="22" t="str">
        <f aca="false">O3789</f>
        <v>Teknisi Reefer Container</v>
      </c>
      <c r="Z3789" s="13" t="str">
        <f aca="false">IFERROR(__xludf.dummyfunction("if(BJ3789="""","""",GOOGLETRANSLATE(BJ3789,""auto"",""en""))"),"Reefer Container Technician")</f>
        <v>Reefer Container Technician</v>
      </c>
      <c r="AA3789" s="23" t="str">
        <f aca="false">IF(C3789="","", CHOOSE(MONTH(C3789),"January","February","March","April","May","June","July","August","September","October","November","December")&amp;" "&amp;DAY(C3789)&amp;MID("thstndrdth",MIN(9,2*RIGHT(DAY(C3789))*(MOD(DAY(C3789)-11,100)&gt;2)+1),2)&amp;","&amp;TEXT(C3789," yyyy"))</f>
        <v>May 16th,2026</v>
      </c>
      <c r="AB3789" s="15" t="str">
        <f aca="true">IF(S3789="","",DATEDIF(S3789,TODAY(),"Y")&amp;" Tahun, "&amp;DATEDIF(S3789,TODAY(),"YM")&amp;" Bulan, "&amp;DATEDIF(S3789,TODAY(),"MD")&amp;" Hari")</f>
        <v>23 Tahun, 3 Bulan, 5 Hari</v>
      </c>
      <c r="AC3789" s="14" t="n">
        <v>46158</v>
      </c>
      <c r="AD3789" s="18" t="n">
        <f aca="false">EDATE(AC3789,12)-1</f>
        <v>46522</v>
      </c>
      <c r="AE3789" s="13" t="s">
        <v>44</v>
      </c>
    </row>
    <row r="3790" customFormat="false" ht="15" hidden="false" customHeight="true" outlineLevel="0" collapsed="false">
      <c r="A3790" s="12" t="n">
        <v>22412</v>
      </c>
      <c r="B3790" s="13" t="s">
        <v>15480</v>
      </c>
      <c r="C3790" s="14" t="n">
        <v>46158</v>
      </c>
      <c r="D3790" s="13" t="s">
        <v>5903</v>
      </c>
      <c r="E3790" s="15" t="s">
        <v>47</v>
      </c>
      <c r="F3790" s="24" t="s">
        <v>15481</v>
      </c>
      <c r="G3790" s="13" t="s">
        <v>1127</v>
      </c>
      <c r="H3790" s="13" t="s">
        <v>35</v>
      </c>
      <c r="I3790" s="13" t="str">
        <f aca="false">IF(C3790=J3790,"NEW KONTRAK","RE-KONTRAK")</f>
        <v>NEW KONTRAK</v>
      </c>
      <c r="J3790" s="16" t="n">
        <f aca="false" t="array" ref="J3790:J3790">IFERROR(INDEX(AC3790:AE3790,IF(COUNTA(AC3790:AE3790)=0,"",MAX((AC3790:AE3790&lt;&gt;"")*(COLUMN(AC3790:AE3790)-(COLUMN(AC3790)))))-1),"")</f>
        <v>46158</v>
      </c>
      <c r="K3790" s="16" t="n">
        <f aca="false" t="array" ref="K3790:K3790">IFERROR(INDEX(AC3790:AE3790,IF(COUNTA(AC3790:AE3790)=0,"",MAX((AC3790:AE3790&lt;&gt;"")*(COLUMN(AC3790:AE3790)-(COLUMN(AC3790)-1))))-1),"")</f>
        <v>46522</v>
      </c>
      <c r="L3790" s="17" t="str">
        <f aca="false" t="array" ref="L3790:L3790">IFERROR(INDEX(AC3790:AE3790,IF(COUNTA(AC3790:AE3790)=0,"",MAX((AC3790:AE3790&lt;&gt;"")*(COLUMN(AC3790:AE3790)-(COLUMN(AC3790)-2))))-1),"")</f>
        <v>ARCHIVED</v>
      </c>
      <c r="M3790" s="13" t="n">
        <f aca="true">K3790-TODAY()</f>
        <v>198</v>
      </c>
      <c r="N3790" s="50" t="s">
        <v>728</v>
      </c>
      <c r="O3790" s="13" t="s">
        <v>5919</v>
      </c>
      <c r="P3790" s="26" t="n">
        <v>2800000</v>
      </c>
      <c r="Q3790" s="47" t="s">
        <v>15482</v>
      </c>
      <c r="R3790" s="13" t="s">
        <v>52</v>
      </c>
      <c r="S3790" s="16" t="n">
        <v>38904</v>
      </c>
      <c r="T3790" s="28" t="s">
        <v>40</v>
      </c>
      <c r="U3790" s="13" t="s">
        <v>15483</v>
      </c>
      <c r="V3790" s="13" t="s">
        <v>42</v>
      </c>
      <c r="W3790" s="13" t="s">
        <v>43</v>
      </c>
      <c r="X3790" s="30" t="n">
        <v>81238567700</v>
      </c>
      <c r="Y3790" s="22" t="str">
        <f aca="false">O3790</f>
        <v>Teknisi Reefer Container</v>
      </c>
      <c r="Z3790" s="13" t="str">
        <f aca="false">IFERROR(__xludf.dummyfunction("if(BJ3790="""","""",GOOGLETRANSLATE(BJ3790,""auto"",""en""))"),"Reefer Container Technician")</f>
        <v>Reefer Container Technician</v>
      </c>
      <c r="AA3790" s="23" t="str">
        <f aca="false">IF(C3790="","", CHOOSE(MONTH(C3790),"January","February","March","April","May","June","July","August","September","October","November","December")&amp;" "&amp;DAY(C3790)&amp;MID("thstndrdth",MIN(9,2*RIGHT(DAY(C3790))*(MOD(DAY(C3790)-11,100)&gt;2)+1),2)&amp;","&amp;TEXT(C3790," yyyy"))</f>
        <v>May 16th,2026</v>
      </c>
      <c r="AB3790" s="15" t="str">
        <f aca="true">IF(S3790="","",DATEDIF(S3790,TODAY(),"Y")&amp;" Tahun, "&amp;DATEDIF(S3790,TODAY(),"YM")&amp;" Bulan, "&amp;DATEDIF(S3790,TODAY(),"MD")&amp;" Hari")</f>
        <v>20 Tahun, 3 Bulan, 23 Hari</v>
      </c>
      <c r="AC3790" s="14" t="n">
        <v>46158</v>
      </c>
      <c r="AD3790" s="18" t="n">
        <f aca="false">EDATE(AC3790,12)-1</f>
        <v>46522</v>
      </c>
      <c r="AE3790" s="13" t="s">
        <v>44</v>
      </c>
    </row>
    <row r="3791" customFormat="false" ht="15" hidden="false" customHeight="true" outlineLevel="0" collapsed="false">
      <c r="A3791" s="12" t="n">
        <v>22419</v>
      </c>
      <c r="B3791" s="13" t="s">
        <v>15484</v>
      </c>
      <c r="C3791" s="14" t="n">
        <v>46182</v>
      </c>
      <c r="D3791" s="13" t="s">
        <v>14185</v>
      </c>
      <c r="E3791" s="15" t="s">
        <v>47</v>
      </c>
      <c r="F3791" s="24" t="s">
        <v>15485</v>
      </c>
      <c r="G3791" s="24" t="s">
        <v>57</v>
      </c>
      <c r="H3791" s="13" t="s">
        <v>35</v>
      </c>
      <c r="I3791" s="13" t="str">
        <f aca="false">IF(C3791=J3791,"NEW KONTRAK","RE-KONTRAK")</f>
        <v>NEW KONTRAK</v>
      </c>
      <c r="J3791" s="16" t="n">
        <f aca="false" t="array" ref="J3791:J3791">IFERROR(INDEX(AC3791:AE3791,IF(COUNTA(AC3791:AE3791)=0,"",MAX((AC3791:AE3791&lt;&gt;"")*(COLUMN(AC3791:AE3791)-(COLUMN(AC3791)))))-1),"")</f>
        <v>46182</v>
      </c>
      <c r="K3791" s="16" t="n">
        <f aca="false" t="array" ref="K3791:K3791">IFERROR(INDEX(AC3791:AE3791,IF(COUNTA(AC3791:AE3791)=0,"",MAX((AC3791:AE3791&lt;&gt;"")*(COLUMN(AC3791:AE3791)-(COLUMN(AC3791)-1))))-1),"")</f>
        <v>46273</v>
      </c>
      <c r="L3791" s="17" t="str">
        <f aca="false" t="array" ref="L3791:L3791">IFERROR(INDEX(AC3791:AE3791,IF(COUNTA(AC3791:AE3791)=0,"",MAX((AC3791:AE3791&lt;&gt;"")*(COLUMN(AC3791:AE3791)-(COLUMN(AC3791)-2))))-1),"")</f>
        <v>KEMBALI</v>
      </c>
      <c r="M3791" s="13" t="n">
        <f aca="true">K3791-TODAY()</f>
        <v>-51</v>
      </c>
      <c r="N3791" s="50" t="s">
        <v>728</v>
      </c>
      <c r="O3791" s="13" t="s">
        <v>11196</v>
      </c>
      <c r="P3791" s="19" t="n">
        <v>120000</v>
      </c>
      <c r="Q3791" s="20" t="s">
        <v>15486</v>
      </c>
      <c r="R3791" s="13" t="s">
        <v>1979</v>
      </c>
      <c r="S3791" s="16" t="n">
        <v>36778</v>
      </c>
      <c r="T3791" s="13" t="s">
        <v>40</v>
      </c>
      <c r="U3791" s="13" t="s">
        <v>15487</v>
      </c>
      <c r="V3791" s="13" t="s">
        <v>42</v>
      </c>
      <c r="W3791" s="13" t="s">
        <v>54</v>
      </c>
      <c r="X3791" s="21" t="s">
        <v>15488</v>
      </c>
      <c r="Y3791" s="22" t="str">
        <f aca="false">O3791</f>
        <v>Helper Gudang</v>
      </c>
      <c r="Z3791" s="13" t="str">
        <f aca="false">IFERROR(__xludf.dummyfunction("if(BJ3791="""","""",GOOGLETRANSLATE(BJ3791,""auto"",""en""))"),"Helper Gudang")</f>
        <v>Helper Gudang</v>
      </c>
      <c r="AA3791" s="23" t="str">
        <f aca="false">IF(C3791="","", CHOOSE(MONTH(C3791),"January","February","March","April","May","June","July","August","September","October","November","December")&amp;" "&amp;DAY(C3791)&amp;MID("thstndrdth",MIN(9,2*RIGHT(DAY(C3791))*(MOD(DAY(C3791)-11,100)&gt;2)+1),2)&amp;","&amp;TEXT(C3791," yyyy"))</f>
        <v>June 9th,2026</v>
      </c>
      <c r="AB3791" s="15" t="str">
        <f aca="true">IF(S3791="","",DATEDIF(S3791,TODAY(),"Y")&amp;" Tahun, "&amp;DATEDIF(S3791,TODAY(),"YM")&amp;" Bulan, "&amp;DATEDIF(S3791,TODAY(),"MD")&amp;" Hari")</f>
        <v>26 Tahun, 1 Bulan, 20 Hari</v>
      </c>
      <c r="AC3791" s="14" t="n">
        <v>46182</v>
      </c>
      <c r="AD3791" s="18" t="n">
        <f aca="false">EDATE(AC3791,3)-1</f>
        <v>46273</v>
      </c>
      <c r="AE3791" s="13" t="s">
        <v>397</v>
      </c>
    </row>
    <row r="3792" customFormat="false" ht="15" hidden="false" customHeight="true" outlineLevel="0" collapsed="false">
      <c r="A3792" s="12" t="n">
        <v>22420</v>
      </c>
      <c r="B3792" s="13" t="s">
        <v>15489</v>
      </c>
      <c r="C3792" s="14" t="n">
        <v>46182</v>
      </c>
      <c r="D3792" s="13" t="s">
        <v>14185</v>
      </c>
      <c r="E3792" s="15" t="s">
        <v>47</v>
      </c>
      <c r="F3792" s="24" t="s">
        <v>15490</v>
      </c>
      <c r="G3792" s="24" t="s">
        <v>57</v>
      </c>
      <c r="H3792" s="13" t="s">
        <v>35</v>
      </c>
      <c r="I3792" s="13" t="str">
        <f aca="false">IF(C3792=J3792,"NEW KONTRAK","RE-KONTRAK")</f>
        <v>NEW KONTRAK</v>
      </c>
      <c r="J3792" s="16" t="n">
        <f aca="false" t="array" ref="J3792:J3792">IFERROR(INDEX(AC3792:AE3792,IF(COUNTA(AC3792:AE3792)=0,"",MAX((AC3792:AE3792&lt;&gt;"")*(COLUMN(AC3792:AE3792)-(COLUMN(AC3792)))))-1),"")</f>
        <v>46182</v>
      </c>
      <c r="K3792" s="16" t="n">
        <f aca="false" t="array" ref="K3792:K3792">IFERROR(INDEX(AC3792:AE3792,IF(COUNTA(AC3792:AE3792)=0,"",MAX((AC3792:AE3792&lt;&gt;"")*(COLUMN(AC3792:AE3792)-(COLUMN(AC3792)-1))))-1),"")</f>
        <v>46273</v>
      </c>
      <c r="L3792" s="17" t="str">
        <f aca="false" t="array" ref="L3792:L3792">IFERROR(INDEX(AC3792:AE3792,IF(COUNTA(AC3792:AE3792)=0,"",MAX((AC3792:AE3792&lt;&gt;"")*(COLUMN(AC3792:AE3792)-(COLUMN(AC3792)-2))))-1),"")</f>
        <v>KEMBALI</v>
      </c>
      <c r="M3792" s="13" t="n">
        <f aca="true">K3792-TODAY()</f>
        <v>-51</v>
      </c>
      <c r="N3792" s="50" t="s">
        <v>728</v>
      </c>
      <c r="O3792" s="13" t="s">
        <v>11196</v>
      </c>
      <c r="P3792" s="19" t="n">
        <v>120000</v>
      </c>
      <c r="Q3792" s="20" t="s">
        <v>15491</v>
      </c>
      <c r="R3792" s="13" t="s">
        <v>227</v>
      </c>
      <c r="S3792" s="16" t="n">
        <v>34459</v>
      </c>
      <c r="T3792" s="13" t="s">
        <v>40</v>
      </c>
      <c r="U3792" s="13" t="s">
        <v>15492</v>
      </c>
      <c r="V3792" s="13" t="s">
        <v>42</v>
      </c>
      <c r="W3792" s="13" t="s">
        <v>43</v>
      </c>
      <c r="X3792" s="21" t="s">
        <v>15493</v>
      </c>
      <c r="Y3792" s="22" t="str">
        <f aca="false">O3792</f>
        <v>Helper Gudang</v>
      </c>
      <c r="Z3792" s="13" t="str">
        <f aca="false">IFERROR(__xludf.dummyfunction("if(BJ3792="""","""",GOOGLETRANSLATE(BJ3792,""auto"",""en""))"),"Helper Gudang")</f>
        <v>Helper Gudang</v>
      </c>
      <c r="AA3792" s="23" t="str">
        <f aca="false">IF(C3792="","", CHOOSE(MONTH(C3792),"January","February","March","April","May","June","July","August","September","October","November","December")&amp;" "&amp;DAY(C3792)&amp;MID("thstndrdth",MIN(9,2*RIGHT(DAY(C3792))*(MOD(DAY(C3792)-11,100)&gt;2)+1),2)&amp;","&amp;TEXT(C3792," yyyy"))</f>
        <v>June 9th,2026</v>
      </c>
      <c r="AB3792" s="15" t="str">
        <f aca="true">IF(S3792="","",DATEDIF(S3792,TODAY(),"Y")&amp;" Tahun, "&amp;DATEDIF(S3792,TODAY(),"YM")&amp;" Bulan, "&amp;DATEDIF(S3792,TODAY(),"MD")&amp;" Hari")</f>
        <v>32 Tahun, 5 Bulan, 24 Hari</v>
      </c>
      <c r="AC3792" s="14" t="n">
        <v>46182</v>
      </c>
      <c r="AD3792" s="18" t="n">
        <f aca="false">EDATE(AC3792,3)-1</f>
        <v>46273</v>
      </c>
      <c r="AE3792" s="13" t="s">
        <v>397</v>
      </c>
    </row>
    <row r="3793" customFormat="false" ht="15" hidden="false" customHeight="true" outlineLevel="0" collapsed="false">
      <c r="A3793" s="12" t="n">
        <v>22421</v>
      </c>
      <c r="B3793" s="13" t="s">
        <v>15494</v>
      </c>
      <c r="C3793" s="14" t="n">
        <v>46190</v>
      </c>
      <c r="D3793" s="13" t="s">
        <v>10735</v>
      </c>
      <c r="E3793" s="15" t="s">
        <v>47</v>
      </c>
      <c r="F3793" s="24" t="s">
        <v>15495</v>
      </c>
      <c r="G3793" s="24" t="s">
        <v>57</v>
      </c>
      <c r="H3793" s="13" t="s">
        <v>35</v>
      </c>
      <c r="I3793" s="13" t="str">
        <f aca="false">IF(C3793=J3793,"NEW KONTRAK","RE-KONTRAK")</f>
        <v>NEW KONTRAK</v>
      </c>
      <c r="J3793" s="16" t="n">
        <f aca="false" t="array" ref="J3793:J3793">IFERROR(INDEX(AC3793:AE3793,IF(COUNTA(AC3793:AE3793)=0,"",MAX((AC3793:AE3793&lt;&gt;"")*(COLUMN(AC3793:AE3793)-(COLUMN(AC3793)))))-1),"")</f>
        <v>46190</v>
      </c>
      <c r="K3793" s="16" t="n">
        <f aca="false" t="array" ref="K3793:K3793">IFERROR(INDEX(AC3793:AE3793,IF(COUNTA(AC3793:AE3793)=0,"",MAX((AC3793:AE3793&lt;&gt;"")*(COLUMN(AC3793:AE3793)-(COLUMN(AC3793)-1))))-1),"")</f>
        <v>46281</v>
      </c>
      <c r="L3793" s="17" t="str">
        <f aca="false" t="array" ref="L3793:L3793">IFERROR(INDEX(AC3793:AE3793,IF(COUNTA(AC3793:AE3793)=0,"",MAX((AC3793:AE3793&lt;&gt;"")*(COLUMN(AC3793:AE3793)-(COLUMN(AC3793)-2))))-1),"")</f>
        <v>KEMBALI ONLINE</v>
      </c>
      <c r="M3793" s="13" t="n">
        <f aca="true">K3793-TODAY()</f>
        <v>-43</v>
      </c>
      <c r="N3793" s="50" t="s">
        <v>728</v>
      </c>
      <c r="O3793" s="13" t="s">
        <v>15496</v>
      </c>
      <c r="P3793" s="26" t="n">
        <v>3800000</v>
      </c>
      <c r="Q3793" s="47" t="s">
        <v>15497</v>
      </c>
      <c r="R3793" s="13" t="s">
        <v>52</v>
      </c>
      <c r="S3793" s="16" t="n">
        <v>34245</v>
      </c>
      <c r="T3793" s="28" t="s">
        <v>40</v>
      </c>
      <c r="U3793" s="13" t="s">
        <v>15498</v>
      </c>
      <c r="V3793" s="13" t="s">
        <v>42</v>
      </c>
      <c r="W3793" s="13" t="s">
        <v>54</v>
      </c>
      <c r="X3793" s="30" t="n">
        <v>85818449892</v>
      </c>
      <c r="Y3793" s="22" t="str">
        <f aca="false">O3793</f>
        <v>Sales TO Surabaya</v>
      </c>
      <c r="Z3793" s="13" t="str">
        <f aca="false">IFERROR(__xludf.dummyfunction("if(BJ3793="""","""",GOOGLETRANSLATE(BJ3793,""auto"",""en""))"),"Sales TO Surabaya")</f>
        <v>Sales TO Surabaya</v>
      </c>
      <c r="AA3793" s="23" t="str">
        <f aca="false">IF(C3793="","", CHOOSE(MONTH(C3793),"January","February","March","April","May","June","July","August","September","October","November","December")&amp;" "&amp;DAY(C3793)&amp;MID("thstndrdth",MIN(9,2*RIGHT(DAY(C3793))*(MOD(DAY(C3793)-11,100)&gt;2)+1),2)&amp;","&amp;TEXT(C3793," yyyy"))</f>
        <v>June 17th,2026</v>
      </c>
      <c r="AB3793" s="15" t="str">
        <f aca="true">IF(S3793="","",DATEDIF(S3793,TODAY(),"Y")&amp;" Tahun, "&amp;DATEDIF(S3793,TODAY(),"YM")&amp;" Bulan, "&amp;DATEDIF(S3793,TODAY(),"MD")&amp;" Hari")</f>
        <v>33 Tahun, 0 Bulan, 26 Hari</v>
      </c>
      <c r="AC3793" s="14" t="n">
        <v>46190</v>
      </c>
      <c r="AD3793" s="18" t="n">
        <f aca="false">EDATE(AC3793,3)-1</f>
        <v>46281</v>
      </c>
      <c r="AE3793" s="13" t="s">
        <v>2387</v>
      </c>
    </row>
    <row r="3794" customFormat="false" ht="15" hidden="false" customHeight="true" outlineLevel="0" collapsed="false">
      <c r="A3794" s="108" t="n">
        <v>22517</v>
      </c>
      <c r="B3794" s="13" t="s">
        <v>15499</v>
      </c>
      <c r="C3794" s="14" t="n">
        <v>46190</v>
      </c>
      <c r="D3794" s="13" t="s">
        <v>6487</v>
      </c>
      <c r="E3794" s="15" t="s">
        <v>4614</v>
      </c>
      <c r="F3794" s="24" t="s">
        <v>15500</v>
      </c>
      <c r="G3794" s="24" t="s">
        <v>57</v>
      </c>
      <c r="H3794" s="13" t="s">
        <v>35</v>
      </c>
      <c r="I3794" s="13" t="str">
        <f aca="false">IF(C3794=J3794,"NEW KONTRAK","RE-KONTRAK")</f>
        <v>NEW KONTRAK</v>
      </c>
      <c r="J3794" s="16" t="n">
        <f aca="false" t="array" ref="J3794:J3794">IFERROR(INDEX(AC3794:AE3794,IF(COUNTA(AC3794:AE3794)=0,"",MAX((AC3794:AE3794&lt;&gt;"")*(COLUMN(AC3794:AE3794)-(COLUMN(AC3794)))))-1),"")</f>
        <v>46190</v>
      </c>
      <c r="K3794" s="16" t="n">
        <f aca="false" t="array" ref="K3794:K3794">IFERROR(INDEX(AC3794:AE3794,IF(COUNTA(AC3794:AE3794)=0,"",MAX((AC3794:AE3794&lt;&gt;"")*(COLUMN(AC3794:AE3794)-(COLUMN(AC3794)-1))))-1),"")</f>
        <v>46281</v>
      </c>
      <c r="L3794" s="17" t="str">
        <f aca="false" t="array" ref="L3794:L3794">IFERROR(INDEX(AC3794:AE3794,IF(COUNTA(AC3794:AE3794)=0,"",MAX((AC3794:AE3794&lt;&gt;"")*(COLUMN(AC3794:AE3794)-(COLUMN(AC3794)-2))))-1),"")</f>
        <v>ARCHIVED</v>
      </c>
      <c r="M3794" s="13" t="n">
        <f aca="true">K3794-TODAY()</f>
        <v>-43</v>
      </c>
      <c r="N3794" s="50" t="s">
        <v>4735</v>
      </c>
      <c r="O3794" s="13" t="s">
        <v>11196</v>
      </c>
      <c r="P3794" s="19" t="n">
        <v>3802862</v>
      </c>
      <c r="Q3794" s="20" t="s">
        <v>15501</v>
      </c>
      <c r="R3794" s="13" t="s">
        <v>83</v>
      </c>
      <c r="S3794" s="14" t="n">
        <v>37462</v>
      </c>
      <c r="T3794" s="13" t="s">
        <v>40</v>
      </c>
      <c r="U3794" s="13" t="s">
        <v>15502</v>
      </c>
      <c r="V3794" s="13" t="s">
        <v>42</v>
      </c>
      <c r="W3794" s="13" t="s">
        <v>43</v>
      </c>
      <c r="X3794" s="30" t="n">
        <v>89565918463</v>
      </c>
      <c r="Y3794" s="22" t="str">
        <f aca="false">O3794</f>
        <v>Helper Gudang</v>
      </c>
      <c r="Z3794" s="13" t="str">
        <f aca="false">IFERROR(__xludf.dummyfunction("if(BJ3794="""","""",GOOGLETRANSLATE(BJ3794,""auto"",""en""))"),"Helper Gudang")</f>
        <v>Helper Gudang</v>
      </c>
      <c r="AA3794" s="23" t="str">
        <f aca="false">IF(C3794="","", CHOOSE(MONTH(C3794),"January","February","March","April","May","June","July","August","September","October","November","December")&amp;" "&amp;DAY(C3794)&amp;MID("thstndrdth",MIN(9,2*RIGHT(DAY(C3794))*(MOD(DAY(C3794)-11,100)&gt;2)+1),2)&amp;","&amp;TEXT(C3794," yyyy"))</f>
        <v>June 17th,2026</v>
      </c>
      <c r="AB3794" s="15" t="str">
        <f aca="true">IF(S3794="","",DATEDIF(S3794,TODAY(),"Y")&amp;" Tahun, "&amp;DATEDIF(S3794,TODAY(),"YM")&amp;" Bulan, "&amp;DATEDIF(S3794,TODAY(),"MD")&amp;" Hari")</f>
        <v>24 Tahun, 3 Bulan, 4 Hari</v>
      </c>
      <c r="AC3794" s="124" t="n">
        <v>46190</v>
      </c>
      <c r="AD3794" s="18" t="n">
        <f aca="false">EDATE(AC3794,3)-1</f>
        <v>46281</v>
      </c>
      <c r="AE3794" s="13" t="s">
        <v>44</v>
      </c>
    </row>
    <row r="3795" customFormat="false" ht="15" hidden="false" customHeight="true" outlineLevel="0" collapsed="false">
      <c r="A3795" s="12" t="n">
        <v>22422</v>
      </c>
      <c r="B3795" s="13" t="s">
        <v>15503</v>
      </c>
      <c r="C3795" s="14" t="n">
        <v>46161</v>
      </c>
      <c r="D3795" s="13" t="s">
        <v>9789</v>
      </c>
      <c r="E3795" s="15" t="s">
        <v>47</v>
      </c>
      <c r="F3795" s="24" t="s">
        <v>15504</v>
      </c>
      <c r="G3795" s="24" t="s">
        <v>57</v>
      </c>
      <c r="H3795" s="13" t="s">
        <v>35</v>
      </c>
      <c r="I3795" s="13" t="str">
        <f aca="false">IF(C3795=J3795,"NEW KONTRAK","RE-KONTRAK")</f>
        <v>NEW KONTRAK</v>
      </c>
      <c r="J3795" s="16" t="n">
        <f aca="false" t="array" ref="J3795:J3795">IFERROR(INDEX(AC3795:AE3795,IF(COUNTA(AC3795:AE3795)=0,"",MAX((AC3795:AE3795&lt;&gt;"")*(COLUMN(AC3795:AE3795)-(COLUMN(AC3795)))))-1),"")</f>
        <v>46161</v>
      </c>
      <c r="K3795" s="16" t="n">
        <f aca="false" t="array" ref="K3795:K3795">IFERROR(INDEX(AC3795:AE3795,IF(COUNTA(AC3795:AE3795)=0,"",MAX((AC3795:AE3795&lt;&gt;"")*(COLUMN(AC3795:AE3795)-(COLUMN(AC3795)-1))))-1),"")</f>
        <v>46252</v>
      </c>
      <c r="L3795" s="17" t="str">
        <f aca="false" t="array" ref="L3795:L3795">IFERROR(INDEX(AC3795:AE3795,IF(COUNTA(AC3795:AE3795)=0,"",MAX((AC3795:AE3795&lt;&gt;"")*(COLUMN(AC3795:AE3795)-(COLUMN(AC3795)-2))))-1),"")</f>
        <v>ARCHIVED</v>
      </c>
      <c r="M3795" s="13" t="n">
        <f aca="true">K3795-TODAY()</f>
        <v>-72</v>
      </c>
      <c r="N3795" s="18" t="s">
        <v>383</v>
      </c>
      <c r="O3795" s="13" t="s">
        <v>15505</v>
      </c>
      <c r="P3795" s="26" t="n">
        <v>3196328</v>
      </c>
      <c r="Q3795" s="47" t="s">
        <v>15506</v>
      </c>
      <c r="R3795" s="13" t="s">
        <v>78</v>
      </c>
      <c r="S3795" s="16" t="n">
        <v>33661</v>
      </c>
      <c r="T3795" s="28" t="s">
        <v>40</v>
      </c>
      <c r="U3795" s="13" t="s">
        <v>15507</v>
      </c>
      <c r="V3795" s="13" t="s">
        <v>42</v>
      </c>
      <c r="W3795" s="13" t="s">
        <v>43</v>
      </c>
      <c r="X3795" s="21" t="n">
        <v>85785266625</v>
      </c>
      <c r="Y3795" s="22" t="str">
        <f aca="false">O3795</f>
        <v>ADMIN</v>
      </c>
      <c r="Z3795" s="13" t="str">
        <f aca="false">IFERROR(__xludf.dummyfunction("if(BJ3795="""","""",GOOGLETRANSLATE(BJ3795,""auto"",""en""))"),"ADMIN")</f>
        <v>ADMIN</v>
      </c>
      <c r="AA3795" s="23" t="str">
        <f aca="false">IF(C3795="","", CHOOSE(MONTH(C3795),"January","February","March","April","May","June","July","August","September","October","November","December")&amp;" "&amp;DAY(C3795)&amp;MID("thstndrdth",MIN(9,2*RIGHT(DAY(C3795))*(MOD(DAY(C3795)-11,100)&gt;2)+1),2)&amp;","&amp;TEXT(C3795," yyyy"))</f>
        <v>May 19th,2026</v>
      </c>
      <c r="AB3795" s="15" t="str">
        <f aca="true">IF(S3795="","",DATEDIF(S3795,TODAY(),"Y")&amp;" Tahun, "&amp;DATEDIF(S3795,TODAY(),"YM")&amp;" Bulan, "&amp;DATEDIF(S3795,TODAY(),"MD")&amp;" Hari")</f>
        <v>34 Tahun, 8 Bulan, 2 Hari</v>
      </c>
      <c r="AC3795" s="14" t="n">
        <v>46161</v>
      </c>
      <c r="AD3795" s="18" t="n">
        <f aca="false">EDATE(AC3795,3)-1</f>
        <v>46252</v>
      </c>
      <c r="AE3795" s="13" t="s">
        <v>44</v>
      </c>
    </row>
    <row r="3796" customFormat="false" ht="15" hidden="false" customHeight="true" outlineLevel="0" collapsed="false">
      <c r="A3796" s="12" t="n">
        <v>22423</v>
      </c>
      <c r="B3796" s="45" t="s">
        <v>15508</v>
      </c>
      <c r="C3796" s="14" t="n">
        <v>46175</v>
      </c>
      <c r="D3796" s="13" t="s">
        <v>144</v>
      </c>
      <c r="E3796" s="15" t="s">
        <v>47</v>
      </c>
      <c r="F3796" s="24" t="s">
        <v>15509</v>
      </c>
      <c r="G3796" s="24" t="s">
        <v>57</v>
      </c>
      <c r="H3796" s="13" t="s">
        <v>35</v>
      </c>
      <c r="I3796" s="13" t="str">
        <f aca="false">IF(C3796=J3796,"NEW KONTRAK","RE-KONTRAK")</f>
        <v>NEW KONTRAK</v>
      </c>
      <c r="J3796" s="16" t="n">
        <f aca="false" t="array" ref="J3796:J3796">IFERROR(INDEX(AC3796:AE3796,IF(COUNTA(AC3796:AE3796)=0,"",MAX((AC3796:AE3796&lt;&gt;"")*(COLUMN(AC3796:AE3796)-(COLUMN(AC3796)))))-1),"")</f>
        <v>46175</v>
      </c>
      <c r="K3796" s="16" t="n">
        <f aca="false" t="array" ref="K3796:K3796">IFERROR(INDEX(AC3796:AE3796,IF(COUNTA(AC3796:AE3796)=0,"",MAX((AC3796:AE3796&lt;&gt;"")*(COLUMN(AC3796:AE3796)-(COLUMN(AC3796)-1))))-1),"")</f>
        <v>46266</v>
      </c>
      <c r="L3796" s="17" t="str">
        <f aca="false" t="array" ref="L3796:L3796">IFERROR(INDEX(AC3796:AE3796,IF(COUNTA(AC3796:AE3796)=0,"",MAX((AC3796:AE3796&lt;&gt;"")*(COLUMN(AC3796:AE3796)-(COLUMN(AC3796)-2))))-1),"")</f>
        <v>KEMBALI</v>
      </c>
      <c r="M3796" s="13" t="n">
        <f aca="true">K3796-TODAY()</f>
        <v>-58</v>
      </c>
      <c r="N3796" s="18" t="s">
        <v>36</v>
      </c>
      <c r="O3796" s="13" t="s">
        <v>15510</v>
      </c>
      <c r="P3796" s="26" t="n">
        <v>5195401</v>
      </c>
      <c r="Q3796" s="47" t="s">
        <v>15511</v>
      </c>
      <c r="R3796" s="13" t="s">
        <v>65</v>
      </c>
      <c r="S3796" s="16" t="n">
        <v>35909</v>
      </c>
      <c r="T3796" s="28" t="s">
        <v>40</v>
      </c>
      <c r="U3796" s="13" t="s">
        <v>15512</v>
      </c>
      <c r="V3796" s="13" t="s">
        <v>42</v>
      </c>
      <c r="W3796" s="13" t="s">
        <v>43</v>
      </c>
      <c r="X3796" s="21" t="n">
        <v>81233561174</v>
      </c>
      <c r="Y3796" s="22" t="str">
        <f aca="false">O3796</f>
        <v>FORKLIFT RM STORE</v>
      </c>
      <c r="Z3796" s="13" t="str">
        <f aca="false">IFERROR(__xludf.dummyfunction("if(BJ3796="""","""",GOOGLETRANSLATE(BJ3796,""auto"",""en""))"),"FORKLIFT RM STORE")</f>
        <v>FORKLIFT RM STORE</v>
      </c>
      <c r="AA3796" s="23" t="str">
        <f aca="false">IF(C3796="","", CHOOSE(MONTH(C3796),"January","February","March","April","May","June","July","August","September","October","November","December")&amp;" "&amp;DAY(C3796)&amp;MID("thstndrdth",MIN(9,2*RIGHT(DAY(C3796))*(MOD(DAY(C3796)-11,100)&gt;2)+1),2)&amp;","&amp;TEXT(C3796," yyyy"))</f>
        <v>June 2nd,2026</v>
      </c>
      <c r="AB3796" s="15" t="str">
        <f aca="true">IF(S3796="","",DATEDIF(S3796,TODAY(),"Y")&amp;" Tahun, "&amp;DATEDIF(S3796,TODAY(),"YM")&amp;" Bulan, "&amp;DATEDIF(S3796,TODAY(),"MD")&amp;" Hari")</f>
        <v>28 Tahun, 6 Bulan, 5 Hari</v>
      </c>
      <c r="AC3796" s="14" t="n">
        <v>46175</v>
      </c>
      <c r="AD3796" s="18" t="n">
        <f aca="false">EDATE(AC3796,3)-1</f>
        <v>46266</v>
      </c>
      <c r="AE3796" s="13" t="s">
        <v>397</v>
      </c>
    </row>
    <row r="3797" customFormat="false" ht="15" hidden="false" customHeight="true" outlineLevel="0" collapsed="false">
      <c r="A3797" s="12" t="n">
        <v>21684</v>
      </c>
      <c r="B3797" s="13" t="s">
        <v>15513</v>
      </c>
      <c r="C3797" s="16" t="n">
        <v>46024</v>
      </c>
      <c r="D3797" s="13" t="s">
        <v>1721</v>
      </c>
      <c r="E3797" s="15" t="s">
        <v>47</v>
      </c>
      <c r="F3797" s="15" t="str">
        <f aca="false">IFERROR(__xludf.dummyfunction("XLOOKUP(AJ3797,IMPORTRANGE(""1XaInW9DU9nz21V0tYIfzFQ0He9kVQ_JF2mCXgZ3hqFA"",""REKAP ALL 2026 - Andika!G:G""),IMPORTRANGE(""1XaInW9DU9nz21V0tYIfzFQ0He9kVQ_JF2mCXgZ3hqFA"",""REKAP ALL 2026 - Andika!F:F""),"""",0)"),"26020754730")</f>
        <v>26020754730</v>
      </c>
      <c r="G3797" s="28" t="s">
        <v>57</v>
      </c>
      <c r="H3797" s="13" t="s">
        <v>35</v>
      </c>
      <c r="I3797" s="13" t="str">
        <f aca="false">IF(C3797=J3797,"NEW KONTRAK","RE-KONTRAK")</f>
        <v>NEW KONTRAK</v>
      </c>
      <c r="J3797" s="16" t="n">
        <f aca="false" t="array" ref="J3797:J3797">IFERROR(INDEX(AC3797:AE3797,IF(COUNTA(AC3797:AE3797)=0,"",MAX((AC3797:AE3797&lt;&gt;"")*(COLUMN(AC3797:AE3797)-(COLUMN(AC3797)))))-1),"")</f>
        <v>46024</v>
      </c>
      <c r="K3797" s="16" t="n">
        <f aca="false" t="array" ref="K3797:K3797">IFERROR(INDEX(AC3797:AE3797,IF(COUNTA(AC3797:AE3797)=0,"",MAX((AC3797:AE3797&lt;&gt;"")*(COLUMN(AC3797:AE3797)-(COLUMN(AC3797)-1))))-1),"")</f>
        <v>46113</v>
      </c>
      <c r="L3797" s="17" t="str">
        <f aca="false" t="array" ref="L3797:L3797">IFERROR(INDEX(AC3797:AE3797,IF(COUNTA(AC3797:AE3797)=0,"",MAX((AC3797:AE3797&lt;&gt;"")*(COLUMN(AC3797:AE3797)-(COLUMN(AC3797)-2))))-1),"")</f>
        <v>ARCHIVED</v>
      </c>
      <c r="M3797" s="13" t="n">
        <f aca="true">K3797-TODAY()</f>
        <v>-211</v>
      </c>
      <c r="N3797" s="18" t="s">
        <v>728</v>
      </c>
      <c r="O3797" s="13" t="s">
        <v>6317</v>
      </c>
      <c r="P3797" s="19" t="n">
        <v>5444909</v>
      </c>
      <c r="Q3797" s="47" t="s">
        <v>15514</v>
      </c>
      <c r="R3797" s="13" t="s">
        <v>255</v>
      </c>
      <c r="S3797" s="16" t="n">
        <v>37184</v>
      </c>
      <c r="T3797" s="28" t="s">
        <v>40</v>
      </c>
      <c r="U3797" s="13" t="s">
        <v>15515</v>
      </c>
      <c r="V3797" s="13" t="s">
        <v>42</v>
      </c>
      <c r="W3797" s="13" t="s">
        <v>43</v>
      </c>
      <c r="X3797" s="21" t="s">
        <v>15516</v>
      </c>
      <c r="Y3797" s="22" t="str">
        <f aca="false">O3797</f>
        <v>Im.Feeder</v>
      </c>
      <c r="Z3797" s="13" t="str">
        <f aca="false">IFERROR(__xludf.dummyfunction("if(BJ3797="""","""",GOOGLETRANSLATE(BJ3797,""auto"",""en""))"),"Im.Feeder")</f>
        <v>Im.Feeder</v>
      </c>
      <c r="AA3797" s="23" t="str">
        <f aca="false">IF(C3797="","", CHOOSE(MONTH(C3797),"January","February","March","April","May","June","July","August","September","October","November","December")&amp;" "&amp;DAY(C3797)&amp;MID("thstndrdth",MIN(9,2*RIGHT(DAY(C3797))*(MOD(DAY(C3797)-11,100)&gt;2)+1),2)&amp;","&amp;TEXT(C3797," yyyy"))</f>
        <v>January 2nd,2026</v>
      </c>
      <c r="AB3797" s="15" t="str">
        <f aca="true">IF(S3797="","",DATEDIF(S3797,TODAY(),"Y")&amp;" Tahun, "&amp;DATEDIF(S3797,TODAY(),"YM")&amp;" Bulan, "&amp;DATEDIF(S3797,TODAY(),"MD")&amp;" Hari")</f>
        <v>25 Tahun, 0 Bulan, 9 Hari</v>
      </c>
      <c r="AC3797" s="18" t="n">
        <v>46024</v>
      </c>
      <c r="AD3797" s="18" t="n">
        <f aca="false">EDATE(AC3797,3)-1</f>
        <v>46113</v>
      </c>
      <c r="AE3797" s="18" t="s">
        <v>44</v>
      </c>
    </row>
    <row r="3798" customFormat="false" ht="15" hidden="false" customHeight="true" outlineLevel="0" collapsed="false">
      <c r="A3798" s="12" t="n">
        <v>6036</v>
      </c>
      <c r="B3798" s="13" t="s">
        <v>15517</v>
      </c>
      <c r="C3798" s="14" t="n">
        <v>44658</v>
      </c>
      <c r="D3798" s="13" t="s">
        <v>1721</v>
      </c>
      <c r="E3798" s="15" t="s">
        <v>47</v>
      </c>
      <c r="F3798" s="15" t="str">
        <f aca="false">IFERROR(__xludf.dummyfunction("XLOOKUP(AJ3798,IMPORTRANGE(""1XaInW9DU9nz21V0tYIfzFQ0He9kVQ_JF2mCXgZ3hqFA"",""REKAP ALL 2026 - Andika!G:G""),IMPORTRANGE(""1XaInW9DU9nz21V0tYIfzFQ0He9kVQ_JF2mCXgZ3hqFA"",""REKAP ALL 2026 - Andika!F:F""),"""",0)"),"22037460676")</f>
        <v>22037460676</v>
      </c>
      <c r="G3798" s="13" t="s">
        <v>15518</v>
      </c>
      <c r="H3798" s="13" t="s">
        <v>35</v>
      </c>
      <c r="I3798" s="13" t="str">
        <f aca="false">IF(C3798=J3798,"NEW KONTRAK","RE-KONTRAK")</f>
        <v>RE-KONTRAK</v>
      </c>
      <c r="J3798" s="16" t="n">
        <f aca="false" t="array" ref="J3798:J3798">IFERROR(INDEX(AC3798:AE3798,IF(COUNTA(AC3798:AE3798)=0,"",MAX((AC3798:AE3798&lt;&gt;"")*(COLUMN(AC3798:AE3798)-(COLUMN(AC3798)))))-1),"")</f>
        <v>45659</v>
      </c>
      <c r="K3798" s="16" t="n">
        <f aca="false" t="array" ref="K3798:K3798">IFERROR(INDEX(AC3798:AE3798,IF(COUNTA(AC3798:AE3798)=0,"",MAX((AC3798:AE3798&lt;&gt;"")*(COLUMN(AC3798:AE3798)-(COLUMN(AC3798)-1))))-1),"")</f>
        <v>46015</v>
      </c>
      <c r="L3798" s="17" t="str">
        <f aca="false" t="array" ref="L3798:L3798">IFERROR(INDEX(AC3798:AE3798,IF(COUNTA(AC3798:AE3798)=0,"",MAX((AC3798:AE3798&lt;&gt;"")*(COLUMN(AC3798:AE3798)-(COLUMN(AC3798)-2))))-1),"")</f>
        <v>ARCHIVED</v>
      </c>
      <c r="M3798" s="13" t="n">
        <f aca="true">K3798-TODAY()</f>
        <v>-309</v>
      </c>
      <c r="N3798" s="18" t="s">
        <v>728</v>
      </c>
      <c r="O3798" s="13" t="s">
        <v>1744</v>
      </c>
      <c r="P3798" s="19" t="n">
        <v>5444909</v>
      </c>
      <c r="Q3798" s="20" t="s">
        <v>15519</v>
      </c>
      <c r="R3798" s="13" t="s">
        <v>78</v>
      </c>
      <c r="S3798" s="14" t="n">
        <v>33547</v>
      </c>
      <c r="T3798" s="13" t="s">
        <v>108</v>
      </c>
      <c r="U3798" s="13" t="s">
        <v>15520</v>
      </c>
      <c r="V3798" s="13" t="s">
        <v>42</v>
      </c>
      <c r="W3798" s="13" t="s">
        <v>54</v>
      </c>
      <c r="X3798" s="21" t="n">
        <v>8813209317</v>
      </c>
      <c r="Y3798" s="22" t="str">
        <f aca="false">O3798</f>
        <v>Print Operator</v>
      </c>
      <c r="Z3798" s="13" t="str">
        <f aca="false">IFERROR(__xludf.dummyfunction("if(BJ3798="""","""",GOOGLETRANSLATE(BJ3798,""auto"",""en""))"),"Print Operator")</f>
        <v>Print Operator</v>
      </c>
      <c r="AA3798" s="23" t="str">
        <f aca="false">IF(C3798="","", CHOOSE(MONTH(C3798),"January","February","March","April","May","June","July","August","September","October","November","December")&amp;" "&amp;DAY(C3798)&amp;MID("thstndrdth",MIN(9,2*RIGHT(DAY(C3798))*(MOD(DAY(C3798)-11,100)&gt;2)+1),2)&amp;","&amp;TEXT(C3798," yyyy"))</f>
        <v>April 7th,2022</v>
      </c>
      <c r="AB3798" s="15" t="str">
        <f aca="true">IF(S3798="","",DATEDIF(S3798,TODAY(),"Y")&amp;" Tahun, "&amp;DATEDIF(S3798,TODAY(),"YM")&amp;" Bulan, "&amp;DATEDIF(S3798,TODAY(),"MD")&amp;" Hari")</f>
        <v>34 Tahun, 11 Bulan, 24 Hari</v>
      </c>
      <c r="AC3798" s="18" t="n">
        <v>45659</v>
      </c>
      <c r="AD3798" s="18" t="n">
        <v>46015</v>
      </c>
      <c r="AE3798" s="18" t="s">
        <v>44</v>
      </c>
    </row>
    <row r="3799" customFormat="false" ht="15" hidden="false" customHeight="true" outlineLevel="0" collapsed="false">
      <c r="A3799" s="12" t="n">
        <v>22988</v>
      </c>
      <c r="B3799" s="13" t="s">
        <v>6750</v>
      </c>
      <c r="C3799" s="14" t="n">
        <v>46307</v>
      </c>
      <c r="D3799" s="13" t="s">
        <v>1721</v>
      </c>
      <c r="E3799" s="13" t="s">
        <v>47</v>
      </c>
      <c r="F3799" s="24" t="s">
        <v>15521</v>
      </c>
      <c r="G3799" s="13" t="s">
        <v>1127</v>
      </c>
      <c r="H3799" s="13" t="s">
        <v>35</v>
      </c>
      <c r="I3799" s="13" t="str">
        <f aca="false">IF(C3799=J3799,"NEW KONTRAK","RE-KONTRAK")</f>
        <v>NEW KONTRAK</v>
      </c>
      <c r="J3799" s="16" t="n">
        <f aca="false" t="array" ref="J3799:J3799">IFERROR(INDEX(AC3799:AE3799,IF(COUNTA(AC3799:AE3799)=0,"",MAX((AC3799:AE3799&lt;&gt;"")*(COLUMN(AC3799:AE3799)-(COLUMN(AC3799)))))-1),"")</f>
        <v>46307</v>
      </c>
      <c r="K3799" s="16" t="n">
        <f aca="false" t="array" ref="K3799:K3799">IFERROR(INDEX(AC3799:AE3799,IF(COUNTA(AC3799:AE3799)=0,"",MAX((AC3799:AE3799&lt;&gt;"")*(COLUMN(AC3799:AE3799)-(COLUMN(AC3799)-1))))-1),"")</f>
        <v>46386</v>
      </c>
      <c r="L3799" s="17" t="str">
        <f aca="false" t="array" ref="L3799:L3799">IFERROR(INDEX(AC3799:AE3799,IF(COUNTA(AC3799:AE3799)=0,"",MAX((AC3799:AE3799&lt;&gt;"")*(COLUMN(AC3799:AE3799)-(COLUMN(AC3799)-2))))-1),"")</f>
        <v>PRINTED</v>
      </c>
      <c r="M3799" s="13" t="n">
        <f aca="true">K3799-TODAY()</f>
        <v>62</v>
      </c>
      <c r="N3799" s="18" t="s">
        <v>728</v>
      </c>
      <c r="O3799" s="13" t="s">
        <v>1755</v>
      </c>
      <c r="P3799" s="26" t="n">
        <v>5444909</v>
      </c>
      <c r="Q3799" s="20" t="s">
        <v>6753</v>
      </c>
      <c r="R3799" s="13" t="s">
        <v>553</v>
      </c>
      <c r="S3799" s="25" t="n">
        <v>36290</v>
      </c>
      <c r="T3799" s="13" t="s">
        <v>108</v>
      </c>
      <c r="U3799" s="13" t="s">
        <v>15522</v>
      </c>
      <c r="V3799" s="13" t="s">
        <v>42</v>
      </c>
      <c r="W3799" s="13" t="s">
        <v>43</v>
      </c>
      <c r="X3799" s="21" t="n">
        <v>81918418201</v>
      </c>
      <c r="Y3799" s="22" t="str">
        <f aca="false">O3799</f>
        <v>Im.Operator</v>
      </c>
      <c r="Z3799" s="13" t="str">
        <f aca="false">IFERROR(__xludf.dummyfunction("if(BJ3799="""","""",GOOGLETRANSLATE(BJ3799,""auto"",""en""))"),"Im.Operator")</f>
        <v>Im.Operator</v>
      </c>
      <c r="AA3799" s="23" t="str">
        <f aca="false">IF(C3799="","", CHOOSE(MONTH(C3799),"January","February","March","April","May","June","July","August","September","October","November","December")&amp;" "&amp;DAY(C3799)&amp;MID("thstndrdth",MIN(9,2*RIGHT(DAY(C3799))*(MOD(DAY(C3799)-11,100)&gt;2)+1),2)&amp;","&amp;TEXT(C3799," yyyy"))</f>
        <v>October 12th,2026</v>
      </c>
      <c r="AB3799" s="15" t="str">
        <f aca="true">IF(S3799="","",DATEDIF(S3799,TODAY(),"Y")&amp;" Tahun, "&amp;DATEDIF(S3799,TODAY(),"YM")&amp;" Bulan, "&amp;DATEDIF(S3799,TODAY(),"MD")&amp;" Hari")</f>
        <v>27 Tahun, 5 Bulan, 19 Hari</v>
      </c>
      <c r="AC3799" s="14" t="n">
        <v>46307</v>
      </c>
      <c r="AD3799" s="18" t="n">
        <v>46386</v>
      </c>
      <c r="AE3799" s="13" t="s">
        <v>1752</v>
      </c>
    </row>
    <row r="3800" customFormat="false" ht="15" hidden="false" customHeight="true" outlineLevel="0" collapsed="false">
      <c r="A3800" s="12" t="n">
        <v>22427</v>
      </c>
      <c r="B3800" s="13" t="s">
        <v>15523</v>
      </c>
      <c r="C3800" s="14" t="n">
        <v>46191</v>
      </c>
      <c r="D3800" s="13" t="s">
        <v>6632</v>
      </c>
      <c r="E3800" s="15" t="s">
        <v>47</v>
      </c>
      <c r="F3800" s="24" t="s">
        <v>15524</v>
      </c>
      <c r="G3800" s="24" t="s">
        <v>57</v>
      </c>
      <c r="H3800" s="13" t="s">
        <v>35</v>
      </c>
      <c r="I3800" s="13" t="str">
        <f aca="false">IF(C3800=J3800,"NEW KONTRAK","RE-KONTRAK")</f>
        <v>NEW KONTRAK</v>
      </c>
      <c r="J3800" s="16" t="n">
        <f aca="false" t="array" ref="J3800:J3800">IFERROR(INDEX(AC3800:AE3800,IF(COUNTA(AC3800:AE3800)=0,"",MAX((AC3800:AE3800&lt;&gt;"")*(COLUMN(AC3800:AE3800)-(COLUMN(AC3800)))))-1),"")</f>
        <v>46191</v>
      </c>
      <c r="K3800" s="16" t="n">
        <f aca="false" t="array" ref="K3800:K3800">IFERROR(INDEX(AC3800:AE3800,IF(COUNTA(AC3800:AE3800)=0,"",MAX((AC3800:AE3800&lt;&gt;"")*(COLUMN(AC3800:AE3800)-(COLUMN(AC3800)-1))))-1),"")</f>
        <v>46373</v>
      </c>
      <c r="L3800" s="17" t="str">
        <f aca="false" t="array" ref="L3800:L3800">IFERROR(INDEX(AC3800:AE3800,IF(COUNTA(AC3800:AE3800)=0,"",MAX((AC3800:AE3800&lt;&gt;"")*(COLUMN(AC3800:AE3800)-(COLUMN(AC3800)-2))))-1),"")</f>
        <v>KEMBALI</v>
      </c>
      <c r="M3800" s="13" t="n">
        <f aca="true">K3800-TODAY()</f>
        <v>49</v>
      </c>
      <c r="N3800" s="18" t="s">
        <v>4735</v>
      </c>
      <c r="O3800" s="13" t="s">
        <v>15525</v>
      </c>
      <c r="P3800" s="26" t="n">
        <v>3368275</v>
      </c>
      <c r="Q3800" s="47" t="s">
        <v>15526</v>
      </c>
      <c r="R3800" s="13" t="s">
        <v>52</v>
      </c>
      <c r="S3800" s="16" t="n">
        <v>37327</v>
      </c>
      <c r="T3800" s="13" t="s">
        <v>108</v>
      </c>
      <c r="U3800" s="13" t="s">
        <v>15527</v>
      </c>
      <c r="V3800" s="13" t="s">
        <v>42</v>
      </c>
      <c r="W3800" s="13" t="s">
        <v>43</v>
      </c>
      <c r="X3800" s="30" t="n">
        <v>87765577908</v>
      </c>
      <c r="Y3800" s="22" t="str">
        <f aca="false">O3800</f>
        <v>Admin Foundation</v>
      </c>
      <c r="Z3800" s="13" t="str">
        <f aca="false">IFERROR(__xludf.dummyfunction("if(BJ3800="""","""",GOOGLETRANSLATE(BJ3800,""auto"",""en""))"),"Admin Foundation")</f>
        <v>Admin Foundation</v>
      </c>
      <c r="AA3800" s="23" t="str">
        <f aca="false">IF(C3800="","", CHOOSE(MONTH(C3800),"January","February","March","April","May","June","July","August","September","October","November","December")&amp;" "&amp;DAY(C3800)&amp;MID("thstndrdth",MIN(9,2*RIGHT(DAY(C3800))*(MOD(DAY(C3800)-11,100)&gt;2)+1),2)&amp;","&amp;TEXT(C3800," yyyy"))</f>
        <v>June 18th,2026</v>
      </c>
      <c r="AB3800" s="15" t="str">
        <f aca="true">IF(S3800="","",DATEDIF(S3800,TODAY(),"Y")&amp;" Tahun, "&amp;DATEDIF(S3800,TODAY(),"YM")&amp;" Bulan, "&amp;DATEDIF(S3800,TODAY(),"MD")&amp;" Hari")</f>
        <v>24 Tahun, 7 Bulan, 17 Hari</v>
      </c>
      <c r="AC3800" s="14" t="n">
        <v>46191</v>
      </c>
      <c r="AD3800" s="18" t="n">
        <f aca="false">EDATE(AC3800,6)-1</f>
        <v>46373</v>
      </c>
      <c r="AE3800" s="13" t="s">
        <v>397</v>
      </c>
    </row>
    <row r="3801" customFormat="false" ht="15" hidden="false" customHeight="true" outlineLevel="0" collapsed="false">
      <c r="A3801" s="12" t="n">
        <v>22428</v>
      </c>
      <c r="B3801" s="13" t="s">
        <v>15528</v>
      </c>
      <c r="C3801" s="14" t="n">
        <v>46191</v>
      </c>
      <c r="D3801" s="13" t="s">
        <v>5791</v>
      </c>
      <c r="E3801" s="15" t="s">
        <v>102</v>
      </c>
      <c r="F3801" s="24" t="s">
        <v>15529</v>
      </c>
      <c r="G3801" s="13" t="s">
        <v>1127</v>
      </c>
      <c r="H3801" s="13" t="s">
        <v>35</v>
      </c>
      <c r="I3801" s="13" t="str">
        <f aca="false">IF(C3801=J3801,"NEW KONTRAK","RE-KONTRAK")</f>
        <v>NEW KONTRAK</v>
      </c>
      <c r="J3801" s="16" t="n">
        <f aca="false" t="array" ref="J3801:J3801">IFERROR(INDEX(AC3801:AE3801,IF(COUNTA(AC3801:AE3801)=0,"",MAX((AC3801:AE3801&lt;&gt;"")*(COLUMN(AC3801:AE3801)-(COLUMN(AC3801)))))-1),"")</f>
        <v>46191</v>
      </c>
      <c r="K3801" s="16" t="n">
        <f aca="false" t="array" ref="K3801:K3801">IFERROR(INDEX(AC3801:AE3801,IF(COUNTA(AC3801:AE3801)=0,"",MAX((AC3801:AE3801&lt;&gt;"")*(COLUMN(AC3801:AE3801)-(COLUMN(AC3801)-1))))-1),"")</f>
        <v>46282</v>
      </c>
      <c r="L3801" s="17" t="str">
        <f aca="false" t="array" ref="L3801:L3801">IFERROR(INDEX(AC3801:AE3801,IF(COUNTA(AC3801:AE3801)=0,"",MAX((AC3801:AE3801&lt;&gt;"")*(COLUMN(AC3801:AE3801)-(COLUMN(AC3801)-2))))-1),"")</f>
        <v>KEMBALI ONLINE</v>
      </c>
      <c r="M3801" s="13" t="n">
        <f aca="true">K3801-TODAY()</f>
        <v>-42</v>
      </c>
      <c r="N3801" s="18" t="s">
        <v>728</v>
      </c>
      <c r="O3801" s="13" t="s">
        <v>15530</v>
      </c>
      <c r="P3801" s="26" t="n">
        <v>130000</v>
      </c>
      <c r="Q3801" s="20" t="s">
        <v>15531</v>
      </c>
      <c r="R3801" s="13" t="s">
        <v>52</v>
      </c>
      <c r="S3801" s="14" t="n">
        <v>31679</v>
      </c>
      <c r="T3801" s="13" t="s">
        <v>40</v>
      </c>
      <c r="U3801" s="13" t="s">
        <v>15532</v>
      </c>
      <c r="V3801" s="13" t="s">
        <v>42</v>
      </c>
      <c r="W3801" s="13" t="s">
        <v>54</v>
      </c>
      <c r="X3801" s="30" t="n">
        <v>82272318432</v>
      </c>
      <c r="Y3801" s="22" t="str">
        <f aca="false">O3801</f>
        <v>Gudang dan Forklift</v>
      </c>
      <c r="Z3801" s="13" t="str">
        <f aca="false">IFERROR(__xludf.dummyfunction("if(BJ3801="""","""",GOOGLETRANSLATE(BJ3801,""auto"",""en""))"),"Warehouse and Forklift")</f>
        <v>Warehouse and Forklift</v>
      </c>
      <c r="AA3801" s="23" t="str">
        <f aca="false">IF(C3801="","", CHOOSE(MONTH(C3801),"January","February","March","April","May","June","July","August","September","October","November","December")&amp;" "&amp;DAY(C3801)&amp;MID("thstndrdth",MIN(9,2*RIGHT(DAY(C3801))*(MOD(DAY(C3801)-11,100)&gt;2)+1),2)&amp;","&amp;TEXT(C3801," yyyy"))</f>
        <v>June 18th,2026</v>
      </c>
      <c r="AB3801" s="15" t="str">
        <f aca="true">IF(S3801="","",DATEDIF(S3801,TODAY(),"Y")&amp;" Tahun, "&amp;DATEDIF(S3801,TODAY(),"YM")&amp;" Bulan, "&amp;DATEDIF(S3801,TODAY(),"MD")&amp;" Hari")</f>
        <v>40 Tahun, 1 Bulan, 5 Hari</v>
      </c>
      <c r="AC3801" s="14" t="n">
        <v>46191</v>
      </c>
      <c r="AD3801" s="18" t="n">
        <f aca="false">EDATE(AC3801,3)-1</f>
        <v>46282</v>
      </c>
      <c r="AE3801" s="13" t="s">
        <v>2387</v>
      </c>
    </row>
    <row r="3802" customFormat="false" ht="15" hidden="false" customHeight="true" outlineLevel="0" collapsed="false">
      <c r="A3802" s="12" t="n">
        <v>22429</v>
      </c>
      <c r="B3802" s="13" t="s">
        <v>15533</v>
      </c>
      <c r="C3802" s="14" t="n">
        <v>46191</v>
      </c>
      <c r="D3802" s="13" t="s">
        <v>5892</v>
      </c>
      <c r="E3802" s="15" t="s">
        <v>102</v>
      </c>
      <c r="F3802" s="24" t="s">
        <v>15534</v>
      </c>
      <c r="G3802" s="13" t="s">
        <v>1127</v>
      </c>
      <c r="H3802" s="13" t="s">
        <v>35</v>
      </c>
      <c r="I3802" s="13" t="str">
        <f aca="false">IF(C3802=J3802,"NEW KONTRAK","RE-KONTRAK")</f>
        <v>NEW KONTRAK</v>
      </c>
      <c r="J3802" s="16" t="n">
        <f aca="false" t="array" ref="J3802:J3802">IFERROR(INDEX(AC3802:AE3802,IF(COUNTA(AC3802:AE3802)=0,"",MAX((AC3802:AE3802&lt;&gt;"")*(COLUMN(AC3802:AE3802)-(COLUMN(AC3802)))))-1),"")</f>
        <v>46191</v>
      </c>
      <c r="K3802" s="16" t="n">
        <f aca="false" t="array" ref="K3802:K3802">IFERROR(INDEX(AC3802:AE3802,IF(COUNTA(AC3802:AE3802)=0,"",MAX((AC3802:AE3802&lt;&gt;"")*(COLUMN(AC3802:AE3802)-(COLUMN(AC3802)-1))))-1),"")</f>
        <v>46220</v>
      </c>
      <c r="L3802" s="17" t="str">
        <f aca="false" t="array" ref="L3802:L3802">IFERROR(INDEX(AC3802:AE3802,IF(COUNTA(AC3802:AE3802)=0,"",MAX((AC3802:AE3802&lt;&gt;"")*(COLUMN(AC3802:AE3802)-(COLUMN(AC3802)-2))))-1),"")</f>
        <v>KEMBALI</v>
      </c>
      <c r="M3802" s="13" t="n">
        <f aca="true">K3802-TODAY()</f>
        <v>-104</v>
      </c>
      <c r="N3802" s="18" t="s">
        <v>105</v>
      </c>
      <c r="O3802" s="13" t="s">
        <v>15469</v>
      </c>
      <c r="P3802" s="26" t="n">
        <v>3000000</v>
      </c>
      <c r="Q3802" s="47" t="s">
        <v>15535</v>
      </c>
      <c r="R3802" s="13" t="s">
        <v>15261</v>
      </c>
      <c r="S3802" s="16" t="n">
        <v>36185</v>
      </c>
      <c r="T3802" s="28" t="s">
        <v>40</v>
      </c>
      <c r="U3802" s="13" t="s">
        <v>15536</v>
      </c>
      <c r="V3802" s="13" t="s">
        <v>42</v>
      </c>
      <c r="W3802" s="13" t="s">
        <v>54</v>
      </c>
      <c r="X3802" s="21" t="n">
        <v>85704223864</v>
      </c>
      <c r="Y3802" s="22" t="str">
        <f aca="false">O3802</f>
        <v>Admin Checker Gudang</v>
      </c>
      <c r="Z3802" s="13" t="str">
        <f aca="false">IFERROR(__xludf.dummyfunction("if(BJ3802="""","""",GOOGLETRANSLATE(BJ3802,""auto"",""en""))"),"Warehouse Checker Admin")</f>
        <v>Warehouse Checker Admin</v>
      </c>
      <c r="AA3802" s="23" t="str">
        <f aca="false">IF(C3802="","", CHOOSE(MONTH(C3802),"January","February","March","April","May","June","July","August","September","October","November","December")&amp;" "&amp;DAY(C3802)&amp;MID("thstndrdth",MIN(9,2*RIGHT(DAY(C3802))*(MOD(DAY(C3802)-11,100)&gt;2)+1),2)&amp;","&amp;TEXT(C3802," yyyy"))</f>
        <v>June 18th,2026</v>
      </c>
      <c r="AB3802" s="15" t="str">
        <f aca="true">IF(S3802="","",DATEDIF(S3802,TODAY(),"Y")&amp;" Tahun, "&amp;DATEDIF(S3802,TODAY(),"YM")&amp;" Bulan, "&amp;DATEDIF(S3802,TODAY(),"MD")&amp;" Hari")</f>
        <v>27 Tahun, 9 Bulan, 4 Hari</v>
      </c>
      <c r="AC3802" s="14" t="n">
        <v>46191</v>
      </c>
      <c r="AD3802" s="18" t="n">
        <f aca="false">EDATE(AC3802,1)-1</f>
        <v>46220</v>
      </c>
      <c r="AE3802" s="13" t="s">
        <v>397</v>
      </c>
    </row>
    <row r="3803" customFormat="false" ht="15" hidden="false" customHeight="true" outlineLevel="0" collapsed="false">
      <c r="A3803" s="12" t="n">
        <v>22430</v>
      </c>
      <c r="B3803" s="13" t="s">
        <v>15537</v>
      </c>
      <c r="C3803" s="14" t="n">
        <v>46191</v>
      </c>
      <c r="D3803" s="13" t="s">
        <v>3022</v>
      </c>
      <c r="E3803" s="15" t="s">
        <v>102</v>
      </c>
      <c r="F3803" s="24" t="s">
        <v>15538</v>
      </c>
      <c r="G3803" s="28" t="s">
        <v>57</v>
      </c>
      <c r="H3803" s="13" t="s">
        <v>3024</v>
      </c>
      <c r="I3803" s="13" t="str">
        <f aca="false">IF(C3803=J3803,"NEW KONTRAK","RE-KONTRAK")</f>
        <v>NEW KONTRAK</v>
      </c>
      <c r="J3803" s="16" t="n">
        <f aca="false" t="array" ref="J3803:J3803">IFERROR(INDEX(AC3803:AE3803,IF(COUNTA(AC3803:AE3803)=0,"",MAX((AC3803:AE3803&lt;&gt;"")*(COLUMN(AC3803:AE3803)-(COLUMN(AC3803)))))-1),"")</f>
        <v>46191</v>
      </c>
      <c r="K3803" s="16" t="n">
        <f aca="false" t="array" ref="K3803:K3803">IFERROR(INDEX(AC3803:AE3803,IF(COUNTA(AC3803:AE3803)=0,"",MAX((AC3803:AE3803&lt;&gt;"")*(COLUMN(AC3803:AE3803)-(COLUMN(AC3803)-1))))-1),"")</f>
        <v>46299</v>
      </c>
      <c r="L3803" s="17" t="str">
        <f aca="false" t="array" ref="L3803:L3803">IFERROR(INDEX(AC3803:AE3803,IF(COUNTA(AC3803:AE3803)=0,"",MAX((AC3803:AE3803&lt;&gt;"")*(COLUMN(AC3803:AE3803)-(COLUMN(AC3803)-2))))-1),"")</f>
        <v>ARCHIVED</v>
      </c>
      <c r="M3803" s="13" t="n">
        <f aca="true">K3803-TODAY()</f>
        <v>-25</v>
      </c>
      <c r="N3803" s="18" t="s">
        <v>36</v>
      </c>
      <c r="O3803" s="13" t="s">
        <v>58</v>
      </c>
      <c r="P3803" s="19" t="n">
        <v>112500</v>
      </c>
      <c r="Q3803" s="47" t="s">
        <v>15539</v>
      </c>
      <c r="R3803" s="13" t="s">
        <v>15540</v>
      </c>
      <c r="S3803" s="16" t="n">
        <v>38333</v>
      </c>
      <c r="T3803" s="28" t="s">
        <v>40</v>
      </c>
      <c r="U3803" s="13" t="s">
        <v>15541</v>
      </c>
      <c r="V3803" s="13" t="s">
        <v>42</v>
      </c>
      <c r="W3803" s="13" t="s">
        <v>43</v>
      </c>
      <c r="X3803" s="21" t="n">
        <v>87853879163</v>
      </c>
      <c r="Y3803" s="22" t="str">
        <f aca="false">O3803</f>
        <v>Produksi</v>
      </c>
      <c r="Z3803" s="13" t="str">
        <f aca="false">IFERROR(__xludf.dummyfunction("if(BJ3803="""","""",GOOGLETRANSLATE(BJ3803,""auto"",""en""))"),"Production")</f>
        <v>Production</v>
      </c>
      <c r="AA3803" s="23" t="str">
        <f aca="false">IF(C3803="","", CHOOSE(MONTH(C3803),"January","February","March","April","May","June","July","August","September","October","November","December")&amp;" "&amp;DAY(C3803)&amp;MID("thstndrdth",MIN(9,2*RIGHT(DAY(C3803))*(MOD(DAY(C3803)-11,100)&gt;2)+1),2)&amp;","&amp;TEXT(C3803," yyyy"))</f>
        <v>June 18th,2026</v>
      </c>
      <c r="AB3803" s="15" t="str">
        <f aca="true">IF(S3803="","",DATEDIF(S3803,TODAY(),"Y")&amp;" Tahun, "&amp;DATEDIF(S3803,TODAY(),"YM")&amp;" Bulan, "&amp;DATEDIF(S3803,TODAY(),"MD")&amp;" Hari")</f>
        <v>21 Tahun, 10 Bulan, 17 Hari</v>
      </c>
      <c r="AC3803" s="14" t="n">
        <v>46191</v>
      </c>
      <c r="AD3803" s="18" t="n">
        <v>46299</v>
      </c>
      <c r="AE3803" s="13" t="s">
        <v>44</v>
      </c>
    </row>
    <row r="3804" customFormat="false" ht="15" hidden="false" customHeight="true" outlineLevel="0" collapsed="false">
      <c r="A3804" s="12" t="n">
        <v>22431</v>
      </c>
      <c r="B3804" s="13" t="s">
        <v>15542</v>
      </c>
      <c r="C3804" s="14" t="n">
        <v>46191</v>
      </c>
      <c r="D3804" s="13" t="s">
        <v>774</v>
      </c>
      <c r="E3804" s="15" t="s">
        <v>47</v>
      </c>
      <c r="F3804" s="24" t="s">
        <v>15543</v>
      </c>
      <c r="G3804" s="13" t="s">
        <v>1127</v>
      </c>
      <c r="H3804" s="13" t="s">
        <v>35</v>
      </c>
      <c r="I3804" s="13" t="str">
        <f aca="false">IF(C3804=J3804,"NEW KONTRAK","RE-KONTRAK")</f>
        <v>NEW KONTRAK</v>
      </c>
      <c r="J3804" s="16" t="n">
        <f aca="false" t="array" ref="J3804:J3804">IFERROR(INDEX(AC3804:AE3804,IF(COUNTA(AC3804:AE3804)=0,"",MAX((AC3804:AE3804&lt;&gt;"")*(COLUMN(AC3804:AE3804)-(COLUMN(AC3804)))))-1),"")</f>
        <v>46191</v>
      </c>
      <c r="K3804" s="16" t="n">
        <f aca="false" t="array" ref="K3804:K3804">IFERROR(INDEX(AC3804:AE3804,IF(COUNTA(AC3804:AE3804)=0,"",MAX((AC3804:AE3804&lt;&gt;"")*(COLUMN(AC3804:AE3804)-(COLUMN(AC3804)-1))))-1),"")</f>
        <v>46555</v>
      </c>
      <c r="L3804" s="17" t="str">
        <f aca="false" t="array" ref="L3804:L3804">IFERROR(INDEX(AC3804:AE3804,IF(COUNTA(AC3804:AE3804)=0,"",MAX((AC3804:AE3804&lt;&gt;"")*(COLUMN(AC3804:AE3804)-(COLUMN(AC3804)-2))))-1),"")</f>
        <v>KEMBALI</v>
      </c>
      <c r="M3804" s="13" t="n">
        <f aca="true">K3804-TODAY()</f>
        <v>231</v>
      </c>
      <c r="N3804" s="18" t="s">
        <v>36</v>
      </c>
      <c r="O3804" s="13" t="s">
        <v>2916</v>
      </c>
      <c r="P3804" s="26" t="n">
        <v>3800000</v>
      </c>
      <c r="Q3804" s="47" t="s">
        <v>15544</v>
      </c>
      <c r="R3804" s="13" t="s">
        <v>15261</v>
      </c>
      <c r="S3804" s="16" t="n">
        <v>34796</v>
      </c>
      <c r="T3804" s="28" t="s">
        <v>40</v>
      </c>
      <c r="U3804" s="13" t="s">
        <v>15545</v>
      </c>
      <c r="V3804" s="13" t="s">
        <v>42</v>
      </c>
      <c r="W3804" s="13" t="s">
        <v>54</v>
      </c>
      <c r="X3804" s="21" t="n">
        <v>81515242755</v>
      </c>
      <c r="Y3804" s="22" t="str">
        <f aca="false">O3804</f>
        <v>Forklift</v>
      </c>
      <c r="Z3804" s="13" t="str">
        <f aca="false">IFERROR(__xludf.dummyfunction("if(BJ3804="""","""",GOOGLETRANSLATE(BJ3804,""auto"",""en""))"),"Forklift")</f>
        <v>Forklift</v>
      </c>
      <c r="AA3804" s="23" t="str">
        <f aca="false">IF(C3804="","", CHOOSE(MONTH(C3804),"January","February","March","April","May","June","July","August","September","October","November","December")&amp;" "&amp;DAY(C3804)&amp;MID("thstndrdth",MIN(9,2*RIGHT(DAY(C3804))*(MOD(DAY(C3804)-11,100)&gt;2)+1),2)&amp;","&amp;TEXT(C3804," yyyy"))</f>
        <v>June 18th,2026</v>
      </c>
      <c r="AB3804" s="15" t="str">
        <f aca="true">IF(S3804="","",DATEDIF(S3804,TODAY(),"Y")&amp;" Tahun, "&amp;DATEDIF(S3804,TODAY(),"YM")&amp;" Bulan, "&amp;DATEDIF(S3804,TODAY(),"MD")&amp;" Hari")</f>
        <v>31 Tahun, 6 Bulan, 22 Hari</v>
      </c>
      <c r="AC3804" s="14" t="n">
        <v>46191</v>
      </c>
      <c r="AD3804" s="18" t="n">
        <v>46555</v>
      </c>
      <c r="AE3804" s="13" t="s">
        <v>397</v>
      </c>
    </row>
    <row r="3805" customFormat="false" ht="15" hidden="false" customHeight="true" outlineLevel="0" collapsed="false">
      <c r="A3805" s="12" t="n">
        <v>22432</v>
      </c>
      <c r="B3805" s="13" t="s">
        <v>15546</v>
      </c>
      <c r="C3805" s="14" t="n">
        <v>46195</v>
      </c>
      <c r="D3805" s="13" t="s">
        <v>961</v>
      </c>
      <c r="E3805" s="15" t="s">
        <v>47</v>
      </c>
      <c r="F3805" s="24" t="s">
        <v>15547</v>
      </c>
      <c r="G3805" s="13" t="s">
        <v>1127</v>
      </c>
      <c r="H3805" s="13" t="s">
        <v>35</v>
      </c>
      <c r="I3805" s="13" t="str">
        <f aca="false">IF(C3805=J3805,"NEW KONTRAK","RE-KONTRAK")</f>
        <v>NEW KONTRAK</v>
      </c>
      <c r="J3805" s="16" t="n">
        <f aca="false" t="array" ref="J3805:J3805">IFERROR(INDEX(AC3805:AE3805,IF(COUNTA(AC3805:AE3805)=0,"",MAX((AC3805:AE3805&lt;&gt;"")*(COLUMN(AC3805:AE3805)-(COLUMN(AC3805)))))-1),"")</f>
        <v>46195</v>
      </c>
      <c r="K3805" s="16" t="n">
        <f aca="false" t="array" ref="K3805:K3805">IFERROR(INDEX(AC3805:AE3805,IF(COUNTA(AC3805:AE3805)=0,"",MAX((AC3805:AE3805&lt;&gt;"")*(COLUMN(AC3805:AE3805)-(COLUMN(AC3805)-1))))-1),"")</f>
        <v>46286</v>
      </c>
      <c r="L3805" s="17" t="str">
        <f aca="false" t="array" ref="L3805:L3805">IFERROR(INDEX(AC3805:AE3805,IF(COUNTA(AC3805:AE3805)=0,"",MAX((AC3805:AE3805&lt;&gt;"")*(COLUMN(AC3805:AE3805)-(COLUMN(AC3805)-2))))-1),"")</f>
        <v>KEMBALI</v>
      </c>
      <c r="M3805" s="13" t="n">
        <f aca="true">K3805-TODAY()</f>
        <v>-38</v>
      </c>
      <c r="N3805" s="18" t="s">
        <v>728</v>
      </c>
      <c r="O3805" s="13" t="s">
        <v>15548</v>
      </c>
      <c r="P3805" s="19" t="n">
        <v>5288796</v>
      </c>
      <c r="Q3805" s="47" t="s">
        <v>15549</v>
      </c>
      <c r="R3805" s="13" t="s">
        <v>15540</v>
      </c>
      <c r="S3805" s="16" t="n">
        <v>37621</v>
      </c>
      <c r="T3805" s="28" t="s">
        <v>40</v>
      </c>
      <c r="U3805" s="13" t="s">
        <v>15550</v>
      </c>
      <c r="V3805" s="13" t="s">
        <v>42</v>
      </c>
      <c r="W3805" s="13" t="s">
        <v>43</v>
      </c>
      <c r="X3805" s="30" t="n">
        <v>82325913651</v>
      </c>
      <c r="Y3805" s="22" t="str">
        <f aca="false">O3805</f>
        <v>Helper Teknisi</v>
      </c>
      <c r="Z3805" s="13" t="str">
        <f aca="false">IFERROR(__xludf.dummyfunction("if(BJ3805="""","""",GOOGLETRANSLATE(BJ3805,""auto"",""en""))"),"Technical Helper")</f>
        <v>Technical Helper</v>
      </c>
      <c r="AA3805" s="23" t="str">
        <f aca="false">IF(C3805="","", CHOOSE(MONTH(C3805),"January","February","March","April","May","June","July","August","September","October","November","December")&amp;" "&amp;DAY(C3805)&amp;MID("thstndrdth",MIN(9,2*RIGHT(DAY(C3805))*(MOD(DAY(C3805)-11,100)&gt;2)+1),2)&amp;","&amp;TEXT(C3805," yyyy"))</f>
        <v>June 22nd,2026</v>
      </c>
      <c r="AB3805" s="15" t="str">
        <f aca="true">IF(S3805="","",DATEDIF(S3805,TODAY(),"Y")&amp;" Tahun, "&amp;DATEDIF(S3805,TODAY(),"YM")&amp;" Bulan, "&amp;DATEDIF(S3805,TODAY(),"MD")&amp;" Hari")</f>
        <v>23 Tahun, 9 Bulan, 28 Hari</v>
      </c>
      <c r="AC3805" s="14" t="n">
        <v>46195</v>
      </c>
      <c r="AD3805" s="18" t="n">
        <f aca="false">EDATE(AC3805,3)-1</f>
        <v>46286</v>
      </c>
      <c r="AE3805" s="13" t="s">
        <v>397</v>
      </c>
    </row>
    <row r="3806" customFormat="false" ht="15" hidden="false" customHeight="true" outlineLevel="0" collapsed="false">
      <c r="A3806" s="12" t="n">
        <v>22433</v>
      </c>
      <c r="B3806" s="13" t="s">
        <v>15551</v>
      </c>
      <c r="C3806" s="14" t="n">
        <v>46184</v>
      </c>
      <c r="D3806" s="13" t="s">
        <v>12814</v>
      </c>
      <c r="E3806" s="15" t="s">
        <v>47</v>
      </c>
      <c r="F3806" s="24" t="s">
        <v>15552</v>
      </c>
      <c r="G3806" s="13" t="s">
        <v>1127</v>
      </c>
      <c r="H3806" s="13" t="s">
        <v>35</v>
      </c>
      <c r="I3806" s="13" t="str">
        <f aca="false">IF(C3806=J3806,"NEW KONTRAK","RE-KONTRAK")</f>
        <v>NEW KONTRAK</v>
      </c>
      <c r="J3806" s="16" t="n">
        <f aca="false" t="array" ref="J3806:J3806">IFERROR(INDEX(AC3806:AE3806,IF(COUNTA(AC3806:AE3806)=0,"",MAX((AC3806:AE3806&lt;&gt;"")*(COLUMN(AC3806:AE3806)-(COLUMN(AC3806)))))-1),"")</f>
        <v>46184</v>
      </c>
      <c r="K3806" s="16" t="n">
        <f aca="false" t="array" ref="K3806:K3806">IFERROR(INDEX(AC3806:AE3806,IF(COUNTA(AC3806:AE3806)=0,"",MAX((AC3806:AE3806&lt;&gt;"")*(COLUMN(AC3806:AE3806)-(COLUMN(AC3806)-1))))-1),"")</f>
        <v>46366</v>
      </c>
      <c r="L3806" s="17" t="str">
        <f aca="false" t="array" ref="L3806:L3806">IFERROR(INDEX(AC3806:AE3806,IF(COUNTA(AC3806:AE3806)=0,"",MAX((AC3806:AE3806&lt;&gt;"")*(COLUMN(AC3806:AE3806)-(COLUMN(AC3806)-2))))-1),"")</f>
        <v>KEMBALI</v>
      </c>
      <c r="M3806" s="13" t="n">
        <f aca="true">K3806-TODAY()</f>
        <v>42</v>
      </c>
      <c r="N3806" s="18" t="s">
        <v>36</v>
      </c>
      <c r="O3806" s="13" t="s">
        <v>15553</v>
      </c>
      <c r="P3806" s="19" t="n">
        <v>5195401</v>
      </c>
      <c r="Q3806" s="47" t="s">
        <v>15554</v>
      </c>
      <c r="R3806" s="13" t="s">
        <v>15540</v>
      </c>
      <c r="S3806" s="16" t="n">
        <v>37722</v>
      </c>
      <c r="T3806" s="13" t="s">
        <v>108</v>
      </c>
      <c r="U3806" s="13" t="s">
        <v>15555</v>
      </c>
      <c r="V3806" s="13" t="s">
        <v>42</v>
      </c>
      <c r="W3806" s="13" t="s">
        <v>43</v>
      </c>
      <c r="X3806" s="30" t="n">
        <v>83177392603</v>
      </c>
      <c r="Y3806" s="22" t="str">
        <f aca="false">O3806</f>
        <v>COOK HELPER</v>
      </c>
      <c r="Z3806" s="13" t="str">
        <f aca="false">IFERROR(__xludf.dummyfunction("if(BJ3806="""","""",GOOGLETRANSLATE(BJ3806,""auto"",""en""))"),"COOK HELPER")</f>
        <v>COOK HELPER</v>
      </c>
      <c r="AA3806" s="23" t="str">
        <f aca="false">IF(C3806="","", CHOOSE(MONTH(C3806),"January","February","March","April","May","June","July","August","September","October","November","December")&amp;" "&amp;DAY(C3806)&amp;MID("thstndrdth",MIN(9,2*RIGHT(DAY(C3806))*(MOD(DAY(C3806)-11,100)&gt;2)+1),2)&amp;","&amp;TEXT(C3806," yyyy"))</f>
        <v>June 11th,2026</v>
      </c>
      <c r="AB3806" s="15" t="str">
        <f aca="true">IF(S3806="","",DATEDIF(S3806,TODAY(),"Y")&amp;" Tahun, "&amp;DATEDIF(S3806,TODAY(),"YM")&amp;" Bulan, "&amp;DATEDIF(S3806,TODAY(),"MD")&amp;" Hari")</f>
        <v>23 Tahun, 6 Bulan, 18 Hari</v>
      </c>
      <c r="AC3806" s="14" t="n">
        <v>46184</v>
      </c>
      <c r="AD3806" s="18" t="n">
        <f aca="false">EDATE(AC3806,6)-1</f>
        <v>46366</v>
      </c>
      <c r="AE3806" s="13" t="s">
        <v>397</v>
      </c>
    </row>
    <row r="3807" customFormat="false" ht="15" hidden="false" customHeight="true" outlineLevel="0" collapsed="false">
      <c r="A3807" s="12" t="n">
        <v>22434</v>
      </c>
      <c r="B3807" s="13" t="s">
        <v>15556</v>
      </c>
      <c r="C3807" s="14" t="n">
        <v>46189</v>
      </c>
      <c r="D3807" s="13" t="s">
        <v>12814</v>
      </c>
      <c r="E3807" s="15" t="s">
        <v>47</v>
      </c>
      <c r="F3807" s="24" t="s">
        <v>15557</v>
      </c>
      <c r="G3807" s="13" t="s">
        <v>1127</v>
      </c>
      <c r="H3807" s="13" t="s">
        <v>35</v>
      </c>
      <c r="I3807" s="13" t="str">
        <f aca="false">IF(C3807=J3807,"NEW KONTRAK","RE-KONTRAK")</f>
        <v>NEW KONTRAK</v>
      </c>
      <c r="J3807" s="16" t="n">
        <f aca="false" t="array" ref="J3807:J3807">IFERROR(INDEX(AC3807:AE3807,IF(COUNTA(AC3807:AE3807)=0,"",MAX((AC3807:AE3807&lt;&gt;"")*(COLUMN(AC3807:AE3807)-(COLUMN(AC3807)))))-1),"")</f>
        <v>46189</v>
      </c>
      <c r="K3807" s="16" t="n">
        <f aca="false" t="array" ref="K3807:K3807">IFERROR(INDEX(AC3807:AE3807,IF(COUNTA(AC3807:AE3807)=0,"",MAX((AC3807:AE3807&lt;&gt;"")*(COLUMN(AC3807:AE3807)-(COLUMN(AC3807)-1))))-1),"")</f>
        <v>46371</v>
      </c>
      <c r="L3807" s="17" t="str">
        <f aca="false" t="array" ref="L3807:L3807">IFERROR(INDEX(AC3807:AE3807,IF(COUNTA(AC3807:AE3807)=0,"",MAX((AC3807:AE3807&lt;&gt;"")*(COLUMN(AC3807:AE3807)-(COLUMN(AC3807)-2))))-1),"")</f>
        <v>KEMBALI</v>
      </c>
      <c r="M3807" s="13" t="n">
        <f aca="true">K3807-TODAY()</f>
        <v>47</v>
      </c>
      <c r="N3807" s="18" t="s">
        <v>36</v>
      </c>
      <c r="O3807" s="13" t="s">
        <v>15553</v>
      </c>
      <c r="P3807" s="19" t="n">
        <v>5195401</v>
      </c>
      <c r="Q3807" s="47" t="s">
        <v>15558</v>
      </c>
      <c r="R3807" s="13" t="s">
        <v>15540</v>
      </c>
      <c r="S3807" s="16" t="n">
        <v>37685</v>
      </c>
      <c r="T3807" s="28" t="s">
        <v>40</v>
      </c>
      <c r="U3807" s="13" t="s">
        <v>15559</v>
      </c>
      <c r="V3807" s="13" t="s">
        <v>42</v>
      </c>
      <c r="W3807" s="13" t="s">
        <v>43</v>
      </c>
      <c r="X3807" s="30" t="n">
        <v>81229922809</v>
      </c>
      <c r="Y3807" s="22" t="str">
        <f aca="false">O3807</f>
        <v>COOK HELPER</v>
      </c>
      <c r="Z3807" s="13" t="str">
        <f aca="false">IFERROR(__xludf.dummyfunction("if(BJ3807="""","""",GOOGLETRANSLATE(BJ3807,""auto"",""en""))"),"COOK HELPER")</f>
        <v>COOK HELPER</v>
      </c>
      <c r="AA3807" s="23" t="str">
        <f aca="false">IF(C3807="","", CHOOSE(MONTH(C3807),"January","February","March","April","May","June","July","August","September","October","November","December")&amp;" "&amp;DAY(C3807)&amp;MID("thstndrdth",MIN(9,2*RIGHT(DAY(C3807))*(MOD(DAY(C3807)-11,100)&gt;2)+1),2)&amp;","&amp;TEXT(C3807," yyyy"))</f>
        <v>June 16th,2026</v>
      </c>
      <c r="AB3807" s="15" t="str">
        <f aca="true">IF(S3807="","",DATEDIF(S3807,TODAY(),"Y")&amp;" Tahun, "&amp;DATEDIF(S3807,TODAY(),"YM")&amp;" Bulan, "&amp;DATEDIF(S3807,TODAY(),"MD")&amp;" Hari")</f>
        <v>23 Tahun, 7 Bulan, 24 Hari</v>
      </c>
      <c r="AC3807" s="14" t="n">
        <v>46189</v>
      </c>
      <c r="AD3807" s="18" t="n">
        <f aca="false">EDATE(AC3807,6)-1</f>
        <v>46371</v>
      </c>
      <c r="AE3807" s="13" t="s">
        <v>397</v>
      </c>
    </row>
    <row r="3808" customFormat="false" ht="15" hidden="false" customHeight="true" outlineLevel="0" collapsed="false">
      <c r="A3808" s="12" t="n">
        <v>22435</v>
      </c>
      <c r="B3808" s="13" t="s">
        <v>15560</v>
      </c>
      <c r="C3808" s="14" t="n">
        <v>46173</v>
      </c>
      <c r="D3808" s="13" t="s">
        <v>3838</v>
      </c>
      <c r="E3808" s="15" t="s">
        <v>789</v>
      </c>
      <c r="F3808" s="24" t="s">
        <v>15561</v>
      </c>
      <c r="G3808" s="13" t="s">
        <v>1127</v>
      </c>
      <c r="H3808" s="13" t="s">
        <v>35</v>
      </c>
      <c r="I3808" s="13" t="str">
        <f aca="false">IF(C3808=J3808,"NEW KONTRAK","RE-KONTRAK")</f>
        <v>RE-KONTRAK</v>
      </c>
      <c r="J3808" s="16" t="n">
        <f aca="false" t="array" ref="J3808:J3808">IFERROR(INDEX(AC3808:AE3808,IF(COUNTA(AC3808:AE3808)=0,"",MAX((AC3808:AE3808&lt;&gt;"")*(COLUMN(AC3808:AE3808)-(COLUMN(AC3808)))))-1),"")</f>
        <v>46174</v>
      </c>
      <c r="K3808" s="16" t="n">
        <f aca="false" t="array" ref="K3808:K3808">IFERROR(INDEX(AC3808:AE3808,IF(COUNTA(AC3808:AE3808)=0,"",MAX((AC3808:AE3808&lt;&gt;"")*(COLUMN(AC3808:AE3808)-(COLUMN(AC3808)-1))))-1),"")</f>
        <v>46265</v>
      </c>
      <c r="L3808" s="17" t="str">
        <f aca="false" t="array" ref="L3808:L3808">IFERROR(INDEX(AC3808:AE3808,IF(COUNTA(AC3808:AE3808)=0,"",MAX((AC3808:AE3808&lt;&gt;"")*(COLUMN(AC3808:AE3808)-(COLUMN(AC3808)-2))))-1),"")</f>
        <v>KEMBALI</v>
      </c>
      <c r="M3808" s="13" t="n">
        <f aca="true">K3808-TODAY()</f>
        <v>-59</v>
      </c>
      <c r="N3808" s="18" t="s">
        <v>749</v>
      </c>
      <c r="O3808" s="13" t="s">
        <v>5017</v>
      </c>
      <c r="P3808" s="26" t="n">
        <v>3983882</v>
      </c>
      <c r="Q3808" s="20" t="s">
        <v>15562</v>
      </c>
      <c r="R3808" s="13" t="s">
        <v>15563</v>
      </c>
      <c r="S3808" s="14" t="n">
        <v>36411</v>
      </c>
      <c r="T3808" s="28" t="s">
        <v>108</v>
      </c>
      <c r="U3808" s="13" t="s">
        <v>15564</v>
      </c>
      <c r="V3808" s="28" t="s">
        <v>42</v>
      </c>
      <c r="W3808" s="28" t="s">
        <v>43</v>
      </c>
      <c r="X3808" s="21" t="n">
        <v>82279415844</v>
      </c>
      <c r="Y3808" s="22" t="str">
        <f aca="false">O3808</f>
        <v>Sales</v>
      </c>
      <c r="Z3808" s="13" t="str">
        <f aca="false">IFERROR(__xludf.dummyfunction("if(BJ3808="""","""",GOOGLETRANSLATE(BJ3808,""auto"",""en""))"),"Sales")</f>
        <v>Sales</v>
      </c>
      <c r="AA3808" s="23" t="str">
        <f aca="false">IF(C3808="","", CHOOSE(MONTH(C3808),"January","February","March","April","May","June","July","August","September","October","November","December")&amp;" "&amp;DAY(C3808)&amp;MID("thstndrdth",MIN(9,2*RIGHT(DAY(C3808))*(MOD(DAY(C3808)-11,100)&gt;2)+1),2)&amp;","&amp;TEXT(C3808," yyyy"))</f>
        <v>May 31st,2026</v>
      </c>
      <c r="AB3808" s="15" t="str">
        <f aca="true">IF(S3808="","",DATEDIF(S3808,TODAY(),"Y")&amp;" Tahun, "&amp;DATEDIF(S3808,TODAY(),"YM")&amp;" Bulan, "&amp;DATEDIF(S3808,TODAY(),"MD")&amp;" Hari")</f>
        <v>27 Tahun, 1 Bulan, 21 Hari</v>
      </c>
      <c r="AC3808" s="14" t="n">
        <v>46174</v>
      </c>
      <c r="AD3808" s="18" t="n">
        <f aca="false">EDATE(AC3808,3)-1</f>
        <v>46265</v>
      </c>
      <c r="AE3808" s="13" t="s">
        <v>397</v>
      </c>
    </row>
    <row r="3809" customFormat="false" ht="15" hidden="false" customHeight="true" outlineLevel="0" collapsed="false">
      <c r="A3809" s="12" t="n">
        <v>22436</v>
      </c>
      <c r="B3809" s="13" t="s">
        <v>15565</v>
      </c>
      <c r="C3809" s="14" t="n">
        <v>46173</v>
      </c>
      <c r="D3809" s="13" t="s">
        <v>3838</v>
      </c>
      <c r="E3809" s="15" t="s">
        <v>789</v>
      </c>
      <c r="F3809" s="24" t="s">
        <v>15566</v>
      </c>
      <c r="G3809" s="13" t="s">
        <v>1127</v>
      </c>
      <c r="H3809" s="13" t="s">
        <v>35</v>
      </c>
      <c r="I3809" s="13" t="str">
        <f aca="false">IF(C3809=J3809,"NEW KONTRAK","RE-KONTRAK")</f>
        <v>RE-KONTRAK</v>
      </c>
      <c r="J3809" s="16" t="n">
        <f aca="false" t="array" ref="J3809:J3809">IFERROR(INDEX(AC3809:AE3809,IF(COUNTA(AC3809:AE3809)=0,"",MAX((AC3809:AE3809&lt;&gt;"")*(COLUMN(AC3809:AE3809)-(COLUMN(AC3809)))))-1),"")</f>
        <v>46174</v>
      </c>
      <c r="K3809" s="16" t="n">
        <f aca="false" t="array" ref="K3809:K3809">IFERROR(INDEX(AC3809:AE3809,IF(COUNTA(AC3809:AE3809)=0,"",MAX((AC3809:AE3809&lt;&gt;"")*(COLUMN(AC3809:AE3809)-(COLUMN(AC3809)-1))))-1),"")</f>
        <v>46265</v>
      </c>
      <c r="L3809" s="17" t="str">
        <f aca="false" t="array" ref="L3809:L3809">IFERROR(INDEX(AC3809:AE3809,IF(COUNTA(AC3809:AE3809)=0,"",MAX((AC3809:AE3809&lt;&gt;"")*(COLUMN(AC3809:AE3809)-(COLUMN(AC3809)-2))))-1),"")</f>
        <v>KEMBALI</v>
      </c>
      <c r="M3809" s="13" t="n">
        <f aca="true">K3809-TODAY()</f>
        <v>-59</v>
      </c>
      <c r="N3809" s="18" t="s">
        <v>749</v>
      </c>
      <c r="O3809" s="13" t="s">
        <v>5017</v>
      </c>
      <c r="P3809" s="26" t="n">
        <v>3983882</v>
      </c>
      <c r="Q3809" s="20" t="s">
        <v>15567</v>
      </c>
      <c r="R3809" s="13" t="s">
        <v>15568</v>
      </c>
      <c r="S3809" s="14" t="n">
        <v>36188</v>
      </c>
      <c r="T3809" s="28" t="s">
        <v>108</v>
      </c>
      <c r="U3809" s="13" t="s">
        <v>15569</v>
      </c>
      <c r="V3809" s="28" t="s">
        <v>42</v>
      </c>
      <c r="W3809" s="28" t="s">
        <v>54</v>
      </c>
      <c r="X3809" s="21" t="n">
        <v>83863303160</v>
      </c>
      <c r="Y3809" s="22" t="str">
        <f aca="false">O3809</f>
        <v>Sales</v>
      </c>
      <c r="Z3809" s="13" t="str">
        <f aca="false">IFERROR(__xludf.dummyfunction("if(BJ3809="""","""",GOOGLETRANSLATE(BJ3809,""auto"",""en""))"),"Sales")</f>
        <v>Sales</v>
      </c>
      <c r="AA3809" s="23" t="str">
        <f aca="false">IF(C3809="","", CHOOSE(MONTH(C3809),"January","February","March","April","May","June","July","August","September","October","November","December")&amp;" "&amp;DAY(C3809)&amp;MID("thstndrdth",MIN(9,2*RIGHT(DAY(C3809))*(MOD(DAY(C3809)-11,100)&gt;2)+1),2)&amp;","&amp;TEXT(C3809," yyyy"))</f>
        <v>May 31st,2026</v>
      </c>
      <c r="AB3809" s="15" t="str">
        <f aca="true">IF(S3809="","",DATEDIF(S3809,TODAY(),"Y")&amp;" Tahun, "&amp;DATEDIF(S3809,TODAY(),"YM")&amp;" Bulan, "&amp;DATEDIF(S3809,TODAY(),"MD")&amp;" Hari")</f>
        <v>27 Tahun, 9 Bulan, 1 Hari</v>
      </c>
      <c r="AC3809" s="14" t="n">
        <v>46174</v>
      </c>
      <c r="AD3809" s="18" t="n">
        <f aca="false">EDATE(AC3809,3)-1</f>
        <v>46265</v>
      </c>
      <c r="AE3809" s="13" t="s">
        <v>397</v>
      </c>
    </row>
    <row r="3810" customFormat="false" ht="15" hidden="false" customHeight="true" outlineLevel="0" collapsed="false">
      <c r="A3810" s="12" t="n">
        <v>22437</v>
      </c>
      <c r="B3810" s="13" t="s">
        <v>15570</v>
      </c>
      <c r="C3810" s="14" t="n">
        <v>46173</v>
      </c>
      <c r="D3810" s="13" t="s">
        <v>3838</v>
      </c>
      <c r="E3810" s="15" t="s">
        <v>789</v>
      </c>
      <c r="F3810" s="24" t="s">
        <v>15571</v>
      </c>
      <c r="G3810" s="13" t="s">
        <v>1127</v>
      </c>
      <c r="H3810" s="13" t="s">
        <v>35</v>
      </c>
      <c r="I3810" s="13" t="str">
        <f aca="false">IF(C3810=J3810,"NEW KONTRAK","RE-KONTRAK")</f>
        <v>RE-KONTRAK</v>
      </c>
      <c r="J3810" s="16" t="n">
        <f aca="false" t="array" ref="J3810:J3810">IFERROR(INDEX(AC3810:AE3810,IF(COUNTA(AC3810:AE3810)=0,"",MAX((AC3810:AE3810&lt;&gt;"")*(COLUMN(AC3810:AE3810)-(COLUMN(AC3810)))))-1),"")</f>
        <v>46174</v>
      </c>
      <c r="K3810" s="16" t="n">
        <f aca="false" t="array" ref="K3810:K3810">IFERROR(INDEX(AC3810:AE3810,IF(COUNTA(AC3810:AE3810)=0,"",MAX((AC3810:AE3810&lt;&gt;"")*(COLUMN(AC3810:AE3810)-(COLUMN(AC3810)-1))))-1),"")</f>
        <v>46265</v>
      </c>
      <c r="L3810" s="17" t="str">
        <f aca="false" t="array" ref="L3810:L3810">IFERROR(INDEX(AC3810:AE3810,IF(COUNTA(AC3810:AE3810)=0,"",MAX((AC3810:AE3810&lt;&gt;"")*(COLUMN(AC3810:AE3810)-(COLUMN(AC3810)-2))))-1),"")</f>
        <v>KEMBALI</v>
      </c>
      <c r="M3810" s="13" t="n">
        <f aca="true">K3810-TODAY()</f>
        <v>-59</v>
      </c>
      <c r="N3810" s="18" t="s">
        <v>749</v>
      </c>
      <c r="O3810" s="13" t="s">
        <v>5017</v>
      </c>
      <c r="P3810" s="26" t="n">
        <v>3983882</v>
      </c>
      <c r="Q3810" s="20" t="s">
        <v>15572</v>
      </c>
      <c r="R3810" s="13" t="s">
        <v>15573</v>
      </c>
      <c r="S3810" s="14" t="n">
        <v>35692</v>
      </c>
      <c r="T3810" s="28" t="s">
        <v>108</v>
      </c>
      <c r="U3810" s="13" t="s">
        <v>15574</v>
      </c>
      <c r="V3810" s="28" t="s">
        <v>42</v>
      </c>
      <c r="W3810" s="28" t="s">
        <v>43</v>
      </c>
      <c r="X3810" s="21" t="n">
        <v>82351230677</v>
      </c>
      <c r="Y3810" s="22" t="str">
        <f aca="false">O3810</f>
        <v>Sales</v>
      </c>
      <c r="Z3810" s="13" t="str">
        <f aca="false">IFERROR(__xludf.dummyfunction("if(BJ3810="""","""",GOOGLETRANSLATE(BJ3810,""auto"",""en""))"),"Sales")</f>
        <v>Sales</v>
      </c>
      <c r="AA3810" s="23" t="str">
        <f aca="false">IF(C3810="","", CHOOSE(MONTH(C3810),"January","February","March","April","May","June","July","August","September","October","November","December")&amp;" "&amp;DAY(C3810)&amp;MID("thstndrdth",MIN(9,2*RIGHT(DAY(C3810))*(MOD(DAY(C3810)-11,100)&gt;2)+1),2)&amp;","&amp;TEXT(C3810," yyyy"))</f>
        <v>May 31st,2026</v>
      </c>
      <c r="AB3810" s="15" t="str">
        <f aca="true">IF(S3810="","",DATEDIF(S3810,TODAY(),"Y")&amp;" Tahun, "&amp;DATEDIF(S3810,TODAY(),"YM")&amp;" Bulan, "&amp;DATEDIF(S3810,TODAY(),"MD")&amp;" Hari")</f>
        <v>29 Tahun, 1 Bulan, 10 Hari</v>
      </c>
      <c r="AC3810" s="14" t="n">
        <v>46174</v>
      </c>
      <c r="AD3810" s="18" t="n">
        <f aca="false">EDATE(AC3810,3)-1</f>
        <v>46265</v>
      </c>
      <c r="AE3810" s="13" t="s">
        <v>397</v>
      </c>
    </row>
    <row r="3811" customFormat="false" ht="15" hidden="false" customHeight="true" outlineLevel="0" collapsed="false">
      <c r="A3811" s="12" t="n">
        <v>22438</v>
      </c>
      <c r="B3811" s="13" t="s">
        <v>15575</v>
      </c>
      <c r="C3811" s="14" t="n">
        <v>46173</v>
      </c>
      <c r="D3811" s="13" t="s">
        <v>3838</v>
      </c>
      <c r="E3811" s="15" t="s">
        <v>789</v>
      </c>
      <c r="F3811" s="24" t="s">
        <v>15576</v>
      </c>
      <c r="G3811" s="13" t="s">
        <v>1127</v>
      </c>
      <c r="H3811" s="13" t="s">
        <v>35</v>
      </c>
      <c r="I3811" s="13" t="str">
        <f aca="false">IF(C3811=J3811,"NEW KONTRAK","RE-KONTRAK")</f>
        <v>RE-KONTRAK</v>
      </c>
      <c r="J3811" s="16" t="n">
        <f aca="false" t="array" ref="J3811:J3811">IFERROR(INDEX(AC3811:AE3811,IF(COUNTA(AC3811:AE3811)=0,"",MAX((AC3811:AE3811&lt;&gt;"")*(COLUMN(AC3811:AE3811)-(COLUMN(AC3811)))))-1),"")</f>
        <v>46174</v>
      </c>
      <c r="K3811" s="16" t="n">
        <f aca="false" t="array" ref="K3811:K3811">IFERROR(INDEX(AC3811:AE3811,IF(COUNTA(AC3811:AE3811)=0,"",MAX((AC3811:AE3811&lt;&gt;"")*(COLUMN(AC3811:AE3811)-(COLUMN(AC3811)-1))))-1),"")</f>
        <v>46265</v>
      </c>
      <c r="L3811" s="17" t="str">
        <f aca="false" t="array" ref="L3811:L3811">IFERROR(INDEX(AC3811:AE3811,IF(COUNTA(AC3811:AE3811)=0,"",MAX((AC3811:AE3811&lt;&gt;"")*(COLUMN(AC3811:AE3811)-(COLUMN(AC3811)-2))))-1),"")</f>
        <v>KEMBALI ONLINE</v>
      </c>
      <c r="M3811" s="13" t="n">
        <f aca="true">K3811-TODAY()</f>
        <v>-59</v>
      </c>
      <c r="N3811" s="18" t="s">
        <v>749</v>
      </c>
      <c r="O3811" s="13" t="s">
        <v>5017</v>
      </c>
      <c r="P3811" s="26" t="n">
        <v>3983882</v>
      </c>
      <c r="Q3811" s="20" t="s">
        <v>15577</v>
      </c>
      <c r="R3811" s="13" t="s">
        <v>15578</v>
      </c>
      <c r="S3811" s="14" t="n">
        <v>35254</v>
      </c>
      <c r="T3811" s="28" t="s">
        <v>40</v>
      </c>
      <c r="U3811" s="13" t="s">
        <v>15579</v>
      </c>
      <c r="V3811" s="28" t="s">
        <v>42</v>
      </c>
      <c r="W3811" s="28" t="s">
        <v>43</v>
      </c>
      <c r="X3811" s="21" t="n">
        <v>83153933312</v>
      </c>
      <c r="Y3811" s="22" t="str">
        <f aca="false">O3811</f>
        <v>Sales</v>
      </c>
      <c r="Z3811" s="13" t="str">
        <f aca="false">IFERROR(__xludf.dummyfunction("if(BJ3811="""","""",GOOGLETRANSLATE(BJ3811,""auto"",""en""))"),"Sales")</f>
        <v>Sales</v>
      </c>
      <c r="AA3811" s="23" t="str">
        <f aca="false">IF(C3811="","", CHOOSE(MONTH(C3811),"January","February","March","April","May","June","July","August","September","October","November","December")&amp;" "&amp;DAY(C3811)&amp;MID("thstndrdth",MIN(9,2*RIGHT(DAY(C3811))*(MOD(DAY(C3811)-11,100)&gt;2)+1),2)&amp;","&amp;TEXT(C3811," yyyy"))</f>
        <v>May 31st,2026</v>
      </c>
      <c r="AB3811" s="15" t="str">
        <f aca="true">IF(S3811="","",DATEDIF(S3811,TODAY(),"Y")&amp;" Tahun, "&amp;DATEDIF(S3811,TODAY(),"YM")&amp;" Bulan, "&amp;DATEDIF(S3811,TODAY(),"MD")&amp;" Hari")</f>
        <v>30 Tahun, 3 Bulan, 21 Hari</v>
      </c>
      <c r="AC3811" s="14" t="n">
        <v>46174</v>
      </c>
      <c r="AD3811" s="18" t="n">
        <f aca="false">EDATE(AC3811,3)-1</f>
        <v>46265</v>
      </c>
      <c r="AE3811" s="13" t="s">
        <v>2387</v>
      </c>
    </row>
    <row r="3812" customFormat="false" ht="15" hidden="false" customHeight="true" outlineLevel="0" collapsed="false">
      <c r="A3812" s="12" t="n">
        <v>22439</v>
      </c>
      <c r="B3812" s="13" t="s">
        <v>15580</v>
      </c>
      <c r="C3812" s="14" t="n">
        <v>46173</v>
      </c>
      <c r="D3812" s="13" t="s">
        <v>3838</v>
      </c>
      <c r="E3812" s="15" t="s">
        <v>789</v>
      </c>
      <c r="F3812" s="24" t="s">
        <v>15581</v>
      </c>
      <c r="G3812" s="13" t="s">
        <v>1127</v>
      </c>
      <c r="H3812" s="13" t="s">
        <v>35</v>
      </c>
      <c r="I3812" s="13" t="str">
        <f aca="false">IF(C3812=J3812,"NEW KONTRAK","RE-KONTRAK")</f>
        <v>RE-KONTRAK</v>
      </c>
      <c r="J3812" s="16" t="n">
        <f aca="false" t="array" ref="J3812:J3812">IFERROR(INDEX(AC3812:AE3812,IF(COUNTA(AC3812:AE3812)=0,"",MAX((AC3812:AE3812&lt;&gt;"")*(COLUMN(AC3812:AE3812)-(COLUMN(AC3812)))))-1),"")</f>
        <v>46174</v>
      </c>
      <c r="K3812" s="16" t="n">
        <f aca="false" t="array" ref="K3812:K3812">IFERROR(INDEX(AC3812:AE3812,IF(COUNTA(AC3812:AE3812)=0,"",MAX((AC3812:AE3812&lt;&gt;"")*(COLUMN(AC3812:AE3812)-(COLUMN(AC3812)-1))))-1),"")</f>
        <v>46265</v>
      </c>
      <c r="L3812" s="17" t="str">
        <f aca="false" t="array" ref="L3812:L3812">IFERROR(INDEX(AC3812:AE3812,IF(COUNTA(AC3812:AE3812)=0,"",MAX((AC3812:AE3812&lt;&gt;"")*(COLUMN(AC3812:AE3812)-(COLUMN(AC3812)-2))))-1),"")</f>
        <v>KEMBALI</v>
      </c>
      <c r="M3812" s="13" t="n">
        <f aca="true">K3812-TODAY()</f>
        <v>-59</v>
      </c>
      <c r="N3812" s="18" t="s">
        <v>749</v>
      </c>
      <c r="O3812" s="13" t="s">
        <v>5017</v>
      </c>
      <c r="P3812" s="26" t="n">
        <v>3983882</v>
      </c>
      <c r="Q3812" s="20" t="s">
        <v>15582</v>
      </c>
      <c r="R3812" s="13" t="s">
        <v>15583</v>
      </c>
      <c r="S3812" s="14" t="n">
        <v>35751</v>
      </c>
      <c r="T3812" s="28" t="s">
        <v>108</v>
      </c>
      <c r="U3812" s="13" t="s">
        <v>15584</v>
      </c>
      <c r="V3812" s="28" t="s">
        <v>42</v>
      </c>
      <c r="W3812" s="28" t="s">
        <v>54</v>
      </c>
      <c r="X3812" s="21" t="n">
        <v>895399710837</v>
      </c>
      <c r="Y3812" s="22" t="str">
        <f aca="false">O3812</f>
        <v>Sales</v>
      </c>
      <c r="Z3812" s="13" t="str">
        <f aca="false">IFERROR(__xludf.dummyfunction("if(BJ3812="""","""",GOOGLETRANSLATE(BJ3812,""auto"",""en""))"),"Sales")</f>
        <v>Sales</v>
      </c>
      <c r="AA3812" s="23" t="str">
        <f aca="false">IF(C3812="","", CHOOSE(MONTH(C3812),"January","February","March","April","May","June","July","August","September","October","November","December")&amp;" "&amp;DAY(C3812)&amp;MID("thstndrdth",MIN(9,2*RIGHT(DAY(C3812))*(MOD(DAY(C3812)-11,100)&gt;2)+1),2)&amp;","&amp;TEXT(C3812," yyyy"))</f>
        <v>May 31st,2026</v>
      </c>
      <c r="AB3812" s="15" t="str">
        <f aca="true">IF(S3812="","",DATEDIF(S3812,TODAY(),"Y")&amp;" Tahun, "&amp;DATEDIF(S3812,TODAY(),"YM")&amp;" Bulan, "&amp;DATEDIF(S3812,TODAY(),"MD")&amp;" Hari")</f>
        <v>28 Tahun, 11 Bulan, 12 Hari</v>
      </c>
      <c r="AC3812" s="14" t="n">
        <v>46174</v>
      </c>
      <c r="AD3812" s="18" t="n">
        <f aca="false">EDATE(AC3812,3)-1</f>
        <v>46265</v>
      </c>
      <c r="AE3812" s="13" t="s">
        <v>397</v>
      </c>
    </row>
    <row r="3813" customFormat="false" ht="15" hidden="false" customHeight="true" outlineLevel="0" collapsed="false">
      <c r="A3813" s="12" t="n">
        <v>22440</v>
      </c>
      <c r="B3813" s="13" t="s">
        <v>15585</v>
      </c>
      <c r="C3813" s="14" t="n">
        <v>46173</v>
      </c>
      <c r="D3813" s="13" t="s">
        <v>3838</v>
      </c>
      <c r="E3813" s="15" t="s">
        <v>789</v>
      </c>
      <c r="F3813" s="24" t="s">
        <v>15586</v>
      </c>
      <c r="G3813" s="13" t="s">
        <v>1127</v>
      </c>
      <c r="H3813" s="13" t="s">
        <v>35</v>
      </c>
      <c r="I3813" s="13" t="str">
        <f aca="false">IF(C3813=J3813,"NEW KONTRAK","RE-KONTRAK")</f>
        <v>RE-KONTRAK</v>
      </c>
      <c r="J3813" s="16" t="n">
        <f aca="false" t="array" ref="J3813:J3813">IFERROR(INDEX(AC3813:AE3813,IF(COUNTA(AC3813:AE3813)=0,"",MAX((AC3813:AE3813&lt;&gt;"")*(COLUMN(AC3813:AE3813)-(COLUMN(AC3813)))))-1),"")</f>
        <v>46174</v>
      </c>
      <c r="K3813" s="16" t="n">
        <f aca="false" t="array" ref="K3813:K3813">IFERROR(INDEX(AC3813:AE3813,IF(COUNTA(AC3813:AE3813)=0,"",MAX((AC3813:AE3813&lt;&gt;"")*(COLUMN(AC3813:AE3813)-(COLUMN(AC3813)-1))))-1),"")</f>
        <v>46265</v>
      </c>
      <c r="L3813" s="17" t="str">
        <f aca="false" t="array" ref="L3813:L3813">IFERROR(INDEX(AC3813:AE3813,IF(COUNTA(AC3813:AE3813)=0,"",MAX((AC3813:AE3813&lt;&gt;"")*(COLUMN(AC3813:AE3813)-(COLUMN(AC3813)-2))))-1),"")</f>
        <v>KEMBALI</v>
      </c>
      <c r="M3813" s="13" t="n">
        <f aca="true">K3813-TODAY()</f>
        <v>-59</v>
      </c>
      <c r="N3813" s="18" t="s">
        <v>749</v>
      </c>
      <c r="O3813" s="13" t="s">
        <v>5017</v>
      </c>
      <c r="P3813" s="26" t="n">
        <v>3983882</v>
      </c>
      <c r="Q3813" s="20" t="s">
        <v>15587</v>
      </c>
      <c r="R3813" s="13" t="s">
        <v>15588</v>
      </c>
      <c r="S3813" s="14" t="n">
        <v>34292</v>
      </c>
      <c r="T3813" s="28" t="s">
        <v>108</v>
      </c>
      <c r="U3813" s="13" t="s">
        <v>15589</v>
      </c>
      <c r="V3813" s="28" t="s">
        <v>42</v>
      </c>
      <c r="W3813" s="28" t="s">
        <v>54</v>
      </c>
      <c r="X3813" s="21" t="n">
        <v>82154713395</v>
      </c>
      <c r="Y3813" s="22" t="str">
        <f aca="false">O3813</f>
        <v>Sales</v>
      </c>
      <c r="Z3813" s="13" t="str">
        <f aca="false">IFERROR(__xludf.dummyfunction("if(BJ3813="""","""",GOOGLETRANSLATE(BJ3813,""auto"",""en""))"),"Sales")</f>
        <v>Sales</v>
      </c>
      <c r="AA3813" s="23" t="str">
        <f aca="false">IF(C3813="","", CHOOSE(MONTH(C3813),"January","February","March","April","May","June","July","August","September","October","November","December")&amp;" "&amp;DAY(C3813)&amp;MID("thstndrdth",MIN(9,2*RIGHT(DAY(C3813))*(MOD(DAY(C3813)-11,100)&gt;2)+1),2)&amp;","&amp;TEXT(C3813," yyyy"))</f>
        <v>May 31st,2026</v>
      </c>
      <c r="AB3813" s="15" t="str">
        <f aca="true">IF(S3813="","",DATEDIF(S3813,TODAY(),"Y")&amp;" Tahun, "&amp;DATEDIF(S3813,TODAY(),"YM")&amp;" Bulan, "&amp;DATEDIF(S3813,TODAY(),"MD")&amp;" Hari")</f>
        <v>32 Tahun, 11 Bulan, 10 Hari</v>
      </c>
      <c r="AC3813" s="14" t="n">
        <v>46174</v>
      </c>
      <c r="AD3813" s="18" t="n">
        <f aca="false">EDATE(AC3813,3)-1</f>
        <v>46265</v>
      </c>
      <c r="AE3813" s="13" t="s">
        <v>397</v>
      </c>
    </row>
    <row r="3814" customFormat="false" ht="15" hidden="false" customHeight="true" outlineLevel="0" collapsed="false">
      <c r="A3814" s="12" t="n">
        <v>22441</v>
      </c>
      <c r="B3814" s="13" t="s">
        <v>15590</v>
      </c>
      <c r="C3814" s="14" t="n">
        <v>46173</v>
      </c>
      <c r="D3814" s="13" t="s">
        <v>3838</v>
      </c>
      <c r="E3814" s="15" t="s">
        <v>789</v>
      </c>
      <c r="F3814" s="24" t="s">
        <v>15591</v>
      </c>
      <c r="G3814" s="13" t="s">
        <v>1127</v>
      </c>
      <c r="H3814" s="13" t="s">
        <v>35</v>
      </c>
      <c r="I3814" s="13" t="str">
        <f aca="false">IF(C3814=J3814,"NEW KONTRAK","RE-KONTRAK")</f>
        <v>RE-KONTRAK</v>
      </c>
      <c r="J3814" s="16" t="n">
        <f aca="false" t="array" ref="J3814:J3814">IFERROR(INDEX(AC3814:AE3814,IF(COUNTA(AC3814:AE3814)=0,"",MAX((AC3814:AE3814&lt;&gt;"")*(COLUMN(AC3814:AE3814)-(COLUMN(AC3814)))))-1),"")</f>
        <v>46174</v>
      </c>
      <c r="K3814" s="16" t="n">
        <f aca="false" t="array" ref="K3814:K3814">IFERROR(INDEX(AC3814:AE3814,IF(COUNTA(AC3814:AE3814)=0,"",MAX((AC3814:AE3814&lt;&gt;"")*(COLUMN(AC3814:AE3814)-(COLUMN(AC3814)-1))))-1),"")</f>
        <v>46265</v>
      </c>
      <c r="L3814" s="17" t="str">
        <f aca="false" t="array" ref="L3814:L3814">IFERROR(INDEX(AC3814:AE3814,IF(COUNTA(AC3814:AE3814)=0,"",MAX((AC3814:AE3814&lt;&gt;"")*(COLUMN(AC3814:AE3814)-(COLUMN(AC3814)-2))))-1),"")</f>
        <v>KEMBALI</v>
      </c>
      <c r="M3814" s="13" t="n">
        <f aca="true">K3814-TODAY()</f>
        <v>-59</v>
      </c>
      <c r="N3814" s="18" t="s">
        <v>749</v>
      </c>
      <c r="O3814" s="13" t="s">
        <v>5017</v>
      </c>
      <c r="P3814" s="26" t="n">
        <v>3983882</v>
      </c>
      <c r="Q3814" s="20" t="s">
        <v>15592</v>
      </c>
      <c r="R3814" s="13" t="s">
        <v>15593</v>
      </c>
      <c r="S3814" s="14" t="n">
        <v>31566</v>
      </c>
      <c r="T3814" s="28" t="s">
        <v>108</v>
      </c>
      <c r="U3814" s="13" t="s">
        <v>15594</v>
      </c>
      <c r="V3814" s="28" t="s">
        <v>42</v>
      </c>
      <c r="W3814" s="28" t="s">
        <v>897</v>
      </c>
      <c r="X3814" s="21" t="n">
        <v>81347337252</v>
      </c>
      <c r="Y3814" s="22" t="str">
        <f aca="false">O3814</f>
        <v>Sales</v>
      </c>
      <c r="Z3814" s="13" t="str">
        <f aca="false">IFERROR(__xludf.dummyfunction("if(BJ3814="""","""",GOOGLETRANSLATE(BJ3814,""auto"",""en""))"),"Sales")</f>
        <v>Sales</v>
      </c>
      <c r="AA3814" s="23" t="str">
        <f aca="false">IF(C3814="","", CHOOSE(MONTH(C3814),"January","February","March","April","May","June","July","August","September","October","November","December")&amp;" "&amp;DAY(C3814)&amp;MID("thstndrdth",MIN(9,2*RIGHT(DAY(C3814))*(MOD(DAY(C3814)-11,100)&gt;2)+1),2)&amp;","&amp;TEXT(C3814," yyyy"))</f>
        <v>May 31st,2026</v>
      </c>
      <c r="AB3814" s="15" t="str">
        <f aca="true">IF(S3814="","",DATEDIF(S3814,TODAY(),"Y")&amp;" Tahun, "&amp;DATEDIF(S3814,TODAY(),"YM")&amp;" Bulan, "&amp;DATEDIF(S3814,TODAY(),"MD")&amp;" Hari")</f>
        <v>40 Tahun, 4 Bulan, 26 Hari</v>
      </c>
      <c r="AC3814" s="14" t="n">
        <v>46174</v>
      </c>
      <c r="AD3814" s="18" t="n">
        <f aca="false">EDATE(AC3814,3)-1</f>
        <v>46265</v>
      </c>
      <c r="AE3814" s="13" t="s">
        <v>397</v>
      </c>
    </row>
    <row r="3815" customFormat="false" ht="15" hidden="false" customHeight="true" outlineLevel="0" collapsed="false">
      <c r="A3815" s="12" t="n">
        <v>22442</v>
      </c>
      <c r="B3815" s="13" t="s">
        <v>15595</v>
      </c>
      <c r="C3815" s="14" t="n">
        <v>46195</v>
      </c>
      <c r="D3815" s="13" t="s">
        <v>15133</v>
      </c>
      <c r="E3815" s="15" t="s">
        <v>102</v>
      </c>
      <c r="F3815" s="24" t="s">
        <v>15596</v>
      </c>
      <c r="G3815" s="13" t="s">
        <v>1127</v>
      </c>
      <c r="H3815" s="13" t="s">
        <v>35</v>
      </c>
      <c r="I3815" s="13" t="str">
        <f aca="false">IF(C3815=J3815,"NEW KONTRAK","RE-KONTRAK")</f>
        <v>NEW KONTRAK</v>
      </c>
      <c r="J3815" s="16" t="n">
        <f aca="false" t="array" ref="J3815:J3815">IFERROR(INDEX(AC3815:AE3815,IF(COUNTA(AC3815:AE3815)=0,"",MAX((AC3815:AE3815&lt;&gt;"")*(COLUMN(AC3815:AE3815)-(COLUMN(AC3815)))))-1),"")</f>
        <v>46195</v>
      </c>
      <c r="K3815" s="16" t="n">
        <f aca="false" t="array" ref="K3815:K3815">IFERROR(INDEX(AC3815:AE3815,IF(COUNTA(AC3815:AE3815)=0,"",MAX((AC3815:AE3815&lt;&gt;"")*(COLUMN(AC3815:AE3815)-(COLUMN(AC3815)-1))))-1),"")</f>
        <v>46507</v>
      </c>
      <c r="L3815" s="17" t="str">
        <f aca="false" t="array" ref="L3815:L3815">IFERROR(INDEX(AC3815:AE3815,IF(COUNTA(AC3815:AE3815)=0,"",MAX((AC3815:AE3815&lt;&gt;"")*(COLUMN(AC3815:AE3815)-(COLUMN(AC3815)-2))))-1),"")</f>
        <v>KEMBALI</v>
      </c>
      <c r="M3815" s="13" t="n">
        <f aca="true">K3815-TODAY()</f>
        <v>183</v>
      </c>
      <c r="N3815" s="18" t="s">
        <v>105</v>
      </c>
      <c r="O3815" s="13" t="s">
        <v>15135</v>
      </c>
      <c r="P3815" s="19" t="n">
        <v>5191541</v>
      </c>
      <c r="Q3815" s="20" t="s">
        <v>15597</v>
      </c>
      <c r="R3815" s="13" t="s">
        <v>39</v>
      </c>
      <c r="S3815" s="14" t="n">
        <v>33401</v>
      </c>
      <c r="T3815" s="28" t="s">
        <v>40</v>
      </c>
      <c r="U3815" s="13" t="s">
        <v>15598</v>
      </c>
      <c r="V3815" s="13" t="s">
        <v>42</v>
      </c>
      <c r="W3815" s="28" t="s">
        <v>54</v>
      </c>
      <c r="X3815" s="21" t="n">
        <v>81216312967</v>
      </c>
      <c r="Y3815" s="22" t="str">
        <f aca="false">O3815</f>
        <v>Admin Gudang Teknik</v>
      </c>
      <c r="Z3815" s="13" t="str">
        <f aca="false">IFERROR(__xludf.dummyfunction("if(BJ3815="""","""",GOOGLETRANSLATE(BJ3815,""auto"",""en""))"),"Engineering Warehouse Admin")</f>
        <v>Engineering Warehouse Admin</v>
      </c>
      <c r="AA3815" s="23" t="str">
        <f aca="false">IF(C3815="","", CHOOSE(MONTH(C3815),"January","February","March","April","May","June","July","August","September","October","November","December")&amp;" "&amp;DAY(C3815)&amp;MID("thstndrdth",MIN(9,2*RIGHT(DAY(C3815))*(MOD(DAY(C3815)-11,100)&gt;2)+1),2)&amp;","&amp;TEXT(C3815," yyyy"))</f>
        <v>June 22nd,2026</v>
      </c>
      <c r="AB3815" s="15" t="str">
        <f aca="true">IF(S3815="","",DATEDIF(S3815,TODAY(),"Y")&amp;" Tahun, "&amp;DATEDIF(S3815,TODAY(),"YM")&amp;" Bulan, "&amp;DATEDIF(S3815,TODAY(),"MD")&amp;" Hari")</f>
        <v>35 Tahun, 4 Bulan, 17 Hari</v>
      </c>
      <c r="AC3815" s="17" t="n">
        <v>46195</v>
      </c>
      <c r="AD3815" s="18" t="n">
        <v>46507</v>
      </c>
      <c r="AE3815" s="13" t="s">
        <v>397</v>
      </c>
    </row>
    <row r="3816" customFormat="false" ht="15" hidden="false" customHeight="true" outlineLevel="0" collapsed="false">
      <c r="A3816" s="12" t="n">
        <v>22443</v>
      </c>
      <c r="B3816" s="13" t="s">
        <v>15599</v>
      </c>
      <c r="C3816" s="14" t="n">
        <v>46179</v>
      </c>
      <c r="D3816" s="13" t="s">
        <v>10058</v>
      </c>
      <c r="E3816" s="15" t="s">
        <v>47</v>
      </c>
      <c r="F3816" s="24" t="s">
        <v>15600</v>
      </c>
      <c r="G3816" s="28" t="s">
        <v>57</v>
      </c>
      <c r="H3816" s="13" t="s">
        <v>3024</v>
      </c>
      <c r="I3816" s="13" t="str">
        <f aca="false">IF(C3816=J3816,"NEW KONTRAK","RE-KONTRAK")</f>
        <v>NEW KONTRAK</v>
      </c>
      <c r="J3816" s="16" t="n">
        <f aca="false" t="array" ref="J3816:J3816">IFERROR(INDEX(AC3816:AE3816,IF(COUNTA(AC3816:AE3816)=0,"",MAX((AC3816:AE3816&lt;&gt;"")*(COLUMN(AC3816:AE3816)-(COLUMN(AC3816)))))-1),"")</f>
        <v>46179</v>
      </c>
      <c r="K3816" s="16" t="n">
        <f aca="false" t="array" ref="K3816:K3816">IFERROR(INDEX(AC3816:AE3816,IF(COUNTA(AC3816:AE3816)=0,"",MAX((AC3816:AE3816&lt;&gt;"")*(COLUMN(AC3816:AE3816)-(COLUMN(AC3816)-1))))-1),"")</f>
        <v>46402</v>
      </c>
      <c r="L3816" s="17" t="str">
        <f aca="false" t="array" ref="L3816:L3816">IFERROR(INDEX(AC3816:AE3816,IF(COUNTA(AC3816:AE3816)=0,"",MAX((AC3816:AE3816&lt;&gt;"")*(COLUMN(AC3816:AE3816)-(COLUMN(AC3816)-2))))-1),"")</f>
        <v>KEMBALI</v>
      </c>
      <c r="M3816" s="13" t="n">
        <f aca="true">K3816-TODAY()</f>
        <v>78</v>
      </c>
      <c r="N3816" s="18" t="s">
        <v>105</v>
      </c>
      <c r="O3816" s="13" t="s">
        <v>10059</v>
      </c>
      <c r="P3816" s="26" t="n">
        <v>138915</v>
      </c>
      <c r="Q3816" s="20" t="s">
        <v>15601</v>
      </c>
      <c r="R3816" s="13" t="s">
        <v>39</v>
      </c>
      <c r="S3816" s="14" t="n">
        <v>37426</v>
      </c>
      <c r="T3816" s="13" t="s">
        <v>108</v>
      </c>
      <c r="U3816" s="13" t="s">
        <v>15602</v>
      </c>
      <c r="V3816" s="13" t="s">
        <v>42</v>
      </c>
      <c r="W3816" s="13" t="s">
        <v>43</v>
      </c>
      <c r="X3816" s="21" t="n">
        <v>85850020321</v>
      </c>
      <c r="Y3816" s="22" t="str">
        <f aca="false">O3816</f>
        <v>Harian Lepas E-Commerce</v>
      </c>
      <c r="Z3816" s="13" t="str">
        <f aca="false">IFERROR(__xludf.dummyfunction("if(BJ3816="""","""",GOOGLETRANSLATE(BJ3816,""auto"",""en""))"),"Daily Post E-Commerce")</f>
        <v>Daily Post E-Commerce</v>
      </c>
      <c r="AA3816" s="23" t="str">
        <f aca="false">IF(C3816="","", CHOOSE(MONTH(C3816),"January","February","March","April","May","June","July","August","September","October","November","December")&amp;" "&amp;DAY(C3816)&amp;MID("thstndrdth",MIN(9,2*RIGHT(DAY(C3816))*(MOD(DAY(C3816)-11,100)&gt;2)+1),2)&amp;","&amp;TEXT(C3816," yyyy"))</f>
        <v>June 6th,2026</v>
      </c>
      <c r="AB3816" s="15" t="str">
        <f aca="true">IF(S3816="","",DATEDIF(S3816,TODAY(),"Y")&amp;" Tahun, "&amp;DATEDIF(S3816,TODAY(),"YM")&amp;" Bulan, "&amp;DATEDIF(S3816,TODAY(),"MD")&amp;" Hari")</f>
        <v>24 Tahun, 4 Bulan, 10 Hari</v>
      </c>
      <c r="AC3816" s="14" t="n">
        <v>46179</v>
      </c>
      <c r="AD3816" s="18" t="n">
        <v>46402</v>
      </c>
      <c r="AE3816" s="13" t="s">
        <v>397</v>
      </c>
    </row>
    <row r="3817" customFormat="false" ht="15" hidden="false" customHeight="true" outlineLevel="0" collapsed="false">
      <c r="A3817" s="12" t="n">
        <v>22444</v>
      </c>
      <c r="B3817" s="13" t="s">
        <v>15603</v>
      </c>
      <c r="C3817" s="14" t="n">
        <v>46188</v>
      </c>
      <c r="D3817" s="13" t="s">
        <v>10058</v>
      </c>
      <c r="E3817" s="15" t="s">
        <v>102</v>
      </c>
      <c r="F3817" s="24" t="s">
        <v>15604</v>
      </c>
      <c r="G3817" s="28" t="s">
        <v>57</v>
      </c>
      <c r="H3817" s="13" t="s">
        <v>3024</v>
      </c>
      <c r="I3817" s="13" t="str">
        <f aca="false">IF(C3817=J3817,"NEW KONTRAK","RE-KONTRAK")</f>
        <v>NEW KONTRAK</v>
      </c>
      <c r="J3817" s="16" t="n">
        <f aca="false" t="array" ref="J3817:J3817">IFERROR(INDEX(AC3817:AE3817,IF(COUNTA(AC3817:AE3817)=0,"",MAX((AC3817:AE3817&lt;&gt;"")*(COLUMN(AC3817:AE3817)-(COLUMN(AC3817)))))-1),"")</f>
        <v>46188</v>
      </c>
      <c r="K3817" s="16" t="n">
        <f aca="false" t="array" ref="K3817:K3817">IFERROR(INDEX(AC3817:AE3817,IF(COUNTA(AC3817:AE3817)=0,"",MAX((AC3817:AE3817&lt;&gt;"")*(COLUMN(AC3817:AE3817)-(COLUMN(AC3817)-1))))-1),"")</f>
        <v>46402</v>
      </c>
      <c r="L3817" s="17" t="str">
        <f aca="false" t="array" ref="L3817:L3817">IFERROR(INDEX(AC3817:AE3817,IF(COUNTA(AC3817:AE3817)=0,"",MAX((AC3817:AE3817&lt;&gt;"")*(COLUMN(AC3817:AE3817)-(COLUMN(AC3817)-2))))-1),"")</f>
        <v>KEMBALI</v>
      </c>
      <c r="M3817" s="13" t="n">
        <f aca="true">K3817-TODAY()</f>
        <v>78</v>
      </c>
      <c r="N3817" s="18" t="s">
        <v>105</v>
      </c>
      <c r="O3817" s="13" t="s">
        <v>10059</v>
      </c>
      <c r="P3817" s="26" t="n">
        <v>138915</v>
      </c>
      <c r="Q3817" s="20" t="s">
        <v>15605</v>
      </c>
      <c r="R3817" s="13" t="s">
        <v>39</v>
      </c>
      <c r="S3817" s="14" t="n">
        <v>39001</v>
      </c>
      <c r="T3817" s="13" t="s">
        <v>40</v>
      </c>
      <c r="U3817" s="13" t="s">
        <v>15606</v>
      </c>
      <c r="V3817" s="28" t="s">
        <v>1216</v>
      </c>
      <c r="W3817" s="13" t="s">
        <v>43</v>
      </c>
      <c r="X3817" s="21" t="n">
        <v>81217710059</v>
      </c>
      <c r="Y3817" s="22" t="str">
        <f aca="false">O3817</f>
        <v>Harian Lepas E-Commerce</v>
      </c>
      <c r="Z3817" s="13" t="str">
        <f aca="false">IFERROR(__xludf.dummyfunction("if(BJ3817="""","""",GOOGLETRANSLATE(BJ3817,""auto"",""en""))"),"Daily Post E-Commerce")</f>
        <v>Daily Post E-Commerce</v>
      </c>
      <c r="AA3817" s="23" t="str">
        <f aca="false">IF(C3817="","", CHOOSE(MONTH(C3817),"January","February","March","April","May","June","July","August","September","October","November","December")&amp;" "&amp;DAY(C3817)&amp;MID("thstndrdth",MIN(9,2*RIGHT(DAY(C3817))*(MOD(DAY(C3817)-11,100)&gt;2)+1),2)&amp;","&amp;TEXT(C3817," yyyy"))</f>
        <v>June 15th,2026</v>
      </c>
      <c r="AB3817" s="15" t="str">
        <f aca="true">IF(S3817="","",DATEDIF(S3817,TODAY(),"Y")&amp;" Tahun, "&amp;DATEDIF(S3817,TODAY(),"YM")&amp;" Bulan, "&amp;DATEDIF(S3817,TODAY(),"MD")&amp;" Hari")</f>
        <v>20 Tahun, 0 Bulan, 18 Hari</v>
      </c>
      <c r="AC3817" s="14" t="n">
        <v>46188</v>
      </c>
      <c r="AD3817" s="18" t="n">
        <v>46402</v>
      </c>
      <c r="AE3817" s="13" t="s">
        <v>397</v>
      </c>
    </row>
    <row r="3818" customFormat="false" ht="15" hidden="false" customHeight="true" outlineLevel="0" collapsed="false">
      <c r="A3818" s="12" t="n">
        <v>22445</v>
      </c>
      <c r="B3818" s="45" t="s">
        <v>15607</v>
      </c>
      <c r="C3818" s="14" t="n">
        <v>46190</v>
      </c>
      <c r="D3818" s="13" t="s">
        <v>10058</v>
      </c>
      <c r="E3818" s="15" t="s">
        <v>789</v>
      </c>
      <c r="F3818" s="24" t="s">
        <v>15608</v>
      </c>
      <c r="G3818" s="28" t="s">
        <v>57</v>
      </c>
      <c r="H3818" s="13" t="s">
        <v>3024</v>
      </c>
      <c r="I3818" s="13" t="str">
        <f aca="false">IF(C3818=J3818,"NEW KONTRAK","RE-KONTRAK")</f>
        <v>NEW KONTRAK</v>
      </c>
      <c r="J3818" s="16" t="n">
        <f aca="false" t="array" ref="J3818:J3818">IFERROR(INDEX(AC3818:AE3818,IF(COUNTA(AC3818:AE3818)=0,"",MAX((AC3818:AE3818&lt;&gt;"")*(COLUMN(AC3818:AE3818)-(COLUMN(AC3818)))))-1),"")</f>
        <v>46190</v>
      </c>
      <c r="K3818" s="16" t="n">
        <f aca="false" t="array" ref="K3818:K3818">IFERROR(INDEX(AC3818:AE3818,IF(COUNTA(AC3818:AE3818)=0,"",MAX((AC3818:AE3818&lt;&gt;"")*(COLUMN(AC3818:AE3818)-(COLUMN(AC3818)-1))))-1),"")</f>
        <v>46310</v>
      </c>
      <c r="L3818" s="17" t="str">
        <f aca="false" t="array" ref="L3818:L3818">IFERROR(INDEX(AC3818:AE3818,IF(COUNTA(AC3818:AE3818)=0,"",MAX((AC3818:AE3818&lt;&gt;"")*(COLUMN(AC3818:AE3818)-(COLUMN(AC3818)-2))))-1),"")</f>
        <v>KEMBALI</v>
      </c>
      <c r="M3818" s="13" t="n">
        <f aca="true">K3818-TODAY()</f>
        <v>-14</v>
      </c>
      <c r="N3818" s="18" t="s">
        <v>105</v>
      </c>
      <c r="O3818" s="13" t="s">
        <v>14127</v>
      </c>
      <c r="P3818" s="26" t="n">
        <v>138915</v>
      </c>
      <c r="Q3818" s="20" t="s">
        <v>15609</v>
      </c>
      <c r="R3818" s="13" t="s">
        <v>73</v>
      </c>
      <c r="S3818" s="14" t="n">
        <v>36301</v>
      </c>
      <c r="T3818" s="13" t="s">
        <v>40</v>
      </c>
      <c r="U3818" s="13" t="s">
        <v>15610</v>
      </c>
      <c r="V3818" s="13" t="s">
        <v>42</v>
      </c>
      <c r="W3818" s="13" t="s">
        <v>54</v>
      </c>
      <c r="X3818" s="21" t="n">
        <v>89653698408</v>
      </c>
      <c r="Y3818" s="22" t="str">
        <f aca="false">O3818</f>
        <v>Harian Lepas (Helper Gudang)</v>
      </c>
      <c r="Z3818" s="13" t="str">
        <f aca="false">IFERROR(__xludf.dummyfunction("if(BJ3818="""","""",GOOGLETRANSLATE(BJ3818,""auto"",""en""))"),"Daily (Warehouse Helper)")</f>
        <v>Daily (Warehouse Helper)</v>
      </c>
      <c r="AA3818" s="23" t="str">
        <f aca="false">IF(C3818="","", CHOOSE(MONTH(C3818),"January","February","March","April","May","June","July","August","September","October","November","December")&amp;" "&amp;DAY(C3818)&amp;MID("thstndrdth",MIN(9,2*RIGHT(DAY(C3818))*(MOD(DAY(C3818)-11,100)&gt;2)+1),2)&amp;","&amp;TEXT(C3818," yyyy"))</f>
        <v>June 17th,2026</v>
      </c>
      <c r="AB3818" s="15" t="str">
        <f aca="true">IF(S3818="","",DATEDIF(S3818,TODAY(),"Y")&amp;" Tahun, "&amp;DATEDIF(S3818,TODAY(),"YM")&amp;" Bulan, "&amp;DATEDIF(S3818,TODAY(),"MD")&amp;" Hari")</f>
        <v>27 Tahun, 5 Bulan, 8 Hari</v>
      </c>
      <c r="AC3818" s="14" t="n">
        <v>46190</v>
      </c>
      <c r="AD3818" s="18" t="n">
        <v>46310</v>
      </c>
      <c r="AE3818" s="13" t="s">
        <v>397</v>
      </c>
    </row>
    <row r="3819" customFormat="false" ht="15" hidden="false" customHeight="true" outlineLevel="0" collapsed="false">
      <c r="A3819" s="12" t="n">
        <v>22446</v>
      </c>
      <c r="B3819" s="45" t="s">
        <v>15611</v>
      </c>
      <c r="C3819" s="14" t="n">
        <v>46190</v>
      </c>
      <c r="D3819" s="13" t="s">
        <v>10058</v>
      </c>
      <c r="E3819" s="15" t="s">
        <v>789</v>
      </c>
      <c r="F3819" s="24" t="s">
        <v>15612</v>
      </c>
      <c r="G3819" s="28" t="s">
        <v>57</v>
      </c>
      <c r="H3819" s="13" t="s">
        <v>3024</v>
      </c>
      <c r="I3819" s="13" t="str">
        <f aca="false">IF(C3819=J3819,"NEW KONTRAK","RE-KONTRAK")</f>
        <v>NEW KONTRAK</v>
      </c>
      <c r="J3819" s="16" t="n">
        <f aca="false" t="array" ref="J3819:J3819">IFERROR(INDEX(AC3819:AE3819,IF(COUNTA(AC3819:AE3819)=0,"",MAX((AC3819:AE3819&lt;&gt;"")*(COLUMN(AC3819:AE3819)-(COLUMN(AC3819)))))-1),"")</f>
        <v>46190</v>
      </c>
      <c r="K3819" s="16" t="n">
        <f aca="false" t="array" ref="K3819:K3819">IFERROR(INDEX(AC3819:AE3819,IF(COUNTA(AC3819:AE3819)=0,"",MAX((AC3819:AE3819&lt;&gt;"")*(COLUMN(AC3819:AE3819)-(COLUMN(AC3819)-1))))-1),"")</f>
        <v>46310</v>
      </c>
      <c r="L3819" s="17" t="str">
        <f aca="false" t="array" ref="L3819:L3819">IFERROR(INDEX(AC3819:AE3819,IF(COUNTA(AC3819:AE3819)=0,"",MAX((AC3819:AE3819&lt;&gt;"")*(COLUMN(AC3819:AE3819)-(COLUMN(AC3819)-2))))-1),"")</f>
        <v>KEMBALI</v>
      </c>
      <c r="M3819" s="13" t="n">
        <f aca="true">K3819-TODAY()</f>
        <v>-14</v>
      </c>
      <c r="N3819" s="18" t="s">
        <v>105</v>
      </c>
      <c r="O3819" s="13" t="s">
        <v>14127</v>
      </c>
      <c r="P3819" s="26" t="n">
        <v>138915</v>
      </c>
      <c r="Q3819" s="20" t="s">
        <v>15613</v>
      </c>
      <c r="R3819" s="13" t="s">
        <v>39</v>
      </c>
      <c r="S3819" s="14" t="n">
        <v>36992</v>
      </c>
      <c r="T3819" s="13" t="s">
        <v>40</v>
      </c>
      <c r="U3819" s="13" t="s">
        <v>15614</v>
      </c>
      <c r="V3819" s="13" t="s">
        <v>42</v>
      </c>
      <c r="W3819" s="13" t="s">
        <v>43</v>
      </c>
      <c r="X3819" s="21" t="n">
        <v>895329168256</v>
      </c>
      <c r="Y3819" s="22" t="str">
        <f aca="false">O3819</f>
        <v>Harian Lepas (Helper Gudang)</v>
      </c>
      <c r="Z3819" s="13" t="str">
        <f aca="false">IFERROR(__xludf.dummyfunction("if(BJ3819="""","""",GOOGLETRANSLATE(BJ3819,""auto"",""en""))"),"Daily (Warehouse Helper)")</f>
        <v>Daily (Warehouse Helper)</v>
      </c>
      <c r="AA3819" s="23" t="str">
        <f aca="false">IF(C3819="","", CHOOSE(MONTH(C3819),"January","February","March","April","May","June","July","August","September","October","November","December")&amp;" "&amp;DAY(C3819)&amp;MID("thstndrdth",MIN(9,2*RIGHT(DAY(C3819))*(MOD(DAY(C3819)-11,100)&gt;2)+1),2)&amp;","&amp;TEXT(C3819," yyyy"))</f>
        <v>June 17th,2026</v>
      </c>
      <c r="AB3819" s="15" t="str">
        <f aca="true">IF(S3819="","",DATEDIF(S3819,TODAY(),"Y")&amp;" Tahun, "&amp;DATEDIF(S3819,TODAY(),"YM")&amp;" Bulan, "&amp;DATEDIF(S3819,TODAY(),"MD")&amp;" Hari")</f>
        <v>25 Tahun, 6 Bulan, 18 Hari</v>
      </c>
      <c r="AC3819" s="14" t="n">
        <v>46190</v>
      </c>
      <c r="AD3819" s="18" t="n">
        <v>46310</v>
      </c>
      <c r="AE3819" s="13" t="s">
        <v>397</v>
      </c>
    </row>
    <row r="3820" customFormat="false" ht="15" hidden="false" customHeight="true" outlineLevel="0" collapsed="false">
      <c r="A3820" s="12" t="n">
        <v>22447</v>
      </c>
      <c r="B3820" s="45" t="s">
        <v>15615</v>
      </c>
      <c r="C3820" s="14" t="n">
        <v>46195</v>
      </c>
      <c r="D3820" s="13" t="s">
        <v>9043</v>
      </c>
      <c r="E3820" s="15" t="s">
        <v>47</v>
      </c>
      <c r="F3820" s="24" t="s">
        <v>15616</v>
      </c>
      <c r="G3820" s="13" t="s">
        <v>1127</v>
      </c>
      <c r="H3820" s="13" t="s">
        <v>35</v>
      </c>
      <c r="I3820" s="13" t="str">
        <f aca="false">IF(C3820=J3820,"NEW KONTRAK","RE-KONTRAK")</f>
        <v>NEW KONTRAK</v>
      </c>
      <c r="J3820" s="16" t="n">
        <f aca="false" t="array" ref="J3820:J3820">IFERROR(INDEX(AC3820:AE3820,IF(COUNTA(AC3820:AE3820)=0,"",MAX((AC3820:AE3820&lt;&gt;"")*(COLUMN(AC3820:AE3820)-(COLUMN(AC3820)))))-1),"")</f>
        <v>46195</v>
      </c>
      <c r="K3820" s="16" t="n">
        <f aca="false" t="array" ref="K3820:K3820">IFERROR(INDEX(AC3820:AE3820,IF(COUNTA(AC3820:AE3820)=0,"",MAX((AC3820:AE3820&lt;&gt;"")*(COLUMN(AC3820:AE3820)-(COLUMN(AC3820)-1))))-1),"")</f>
        <v>46377</v>
      </c>
      <c r="L3820" s="17" t="str">
        <f aca="false" t="array" ref="L3820:L3820">IFERROR(INDEX(AC3820:AE3820,IF(COUNTA(AC3820:AE3820)=0,"",MAX((AC3820:AE3820&lt;&gt;"")*(COLUMN(AC3820:AE3820)-(COLUMN(AC3820)-2))))-1),"")</f>
        <v>KEMBALI</v>
      </c>
      <c r="M3820" s="13" t="n">
        <f aca="true">K3820-TODAY()</f>
        <v>53</v>
      </c>
      <c r="N3820" s="18" t="s">
        <v>4735</v>
      </c>
      <c r="O3820" s="13" t="s">
        <v>15617</v>
      </c>
      <c r="P3820" s="26" t="n">
        <v>4300000</v>
      </c>
      <c r="Q3820" s="20" t="s">
        <v>15618</v>
      </c>
      <c r="R3820" s="13" t="s">
        <v>958</v>
      </c>
      <c r="S3820" s="14" t="n">
        <v>36856</v>
      </c>
      <c r="T3820" s="13" t="s">
        <v>40</v>
      </c>
      <c r="U3820" s="13" t="s">
        <v>15619</v>
      </c>
      <c r="V3820" s="13" t="s">
        <v>42</v>
      </c>
      <c r="W3820" s="13" t="s">
        <v>43</v>
      </c>
      <c r="X3820" s="30" t="n">
        <v>82202428699</v>
      </c>
      <c r="Y3820" s="22" t="str">
        <f aca="false">O3820</f>
        <v>Full Stack Web Developer</v>
      </c>
      <c r="Z3820" s="13" t="str">
        <f aca="false">IFERROR(__xludf.dummyfunction("if(BJ3820="""","""",GOOGLETRANSLATE(BJ3820,""auto"",""en""))"),"Full Stack Web Developer")</f>
        <v>Full Stack Web Developer</v>
      </c>
      <c r="AA3820" s="23" t="str">
        <f aca="false">IF(C3820="","", CHOOSE(MONTH(C3820),"January","February","March","April","May","June","July","August","September","October","November","December")&amp;" "&amp;DAY(C3820)&amp;MID("thstndrdth",MIN(9,2*RIGHT(DAY(C3820))*(MOD(DAY(C3820)-11,100)&gt;2)+1),2)&amp;","&amp;TEXT(C3820," yyyy"))</f>
        <v>June 22nd,2026</v>
      </c>
      <c r="AB3820" s="15" t="str">
        <f aca="true">IF(S3820="","",DATEDIF(S3820,TODAY(),"Y")&amp;" Tahun, "&amp;DATEDIF(S3820,TODAY(),"YM")&amp;" Bulan, "&amp;DATEDIF(S3820,TODAY(),"MD")&amp;" Hari")</f>
        <v>25 Tahun, 11 Bulan, 3 Hari</v>
      </c>
      <c r="AC3820" s="14" t="n">
        <v>46195</v>
      </c>
      <c r="AD3820" s="18" t="n">
        <f aca="false">EDATE(AC3820,6)-1</f>
        <v>46377</v>
      </c>
      <c r="AE3820" s="13" t="s">
        <v>397</v>
      </c>
    </row>
    <row r="3821" customFormat="false" ht="15" hidden="false" customHeight="true" outlineLevel="0" collapsed="false">
      <c r="A3821" s="12" t="n">
        <v>22448</v>
      </c>
      <c r="B3821" s="13" t="s">
        <v>15620</v>
      </c>
      <c r="C3821" s="14" t="n">
        <v>46185</v>
      </c>
      <c r="D3821" s="13" t="s">
        <v>9043</v>
      </c>
      <c r="E3821" s="15" t="s">
        <v>47</v>
      </c>
      <c r="F3821" s="24" t="s">
        <v>15621</v>
      </c>
      <c r="G3821" s="13" t="s">
        <v>1127</v>
      </c>
      <c r="H3821" s="13" t="s">
        <v>35</v>
      </c>
      <c r="I3821" s="13" t="str">
        <f aca="false">IF(C3821=J3821,"NEW KONTRAK","RE-KONTRAK")</f>
        <v>NEW KONTRAK</v>
      </c>
      <c r="J3821" s="16" t="n">
        <f aca="false" t="array" ref="J3821:J3821">IFERROR(INDEX(AC3821:AE3821,IF(COUNTA(AC3821:AE3821)=0,"",MAX((AC3821:AE3821&lt;&gt;"")*(COLUMN(AC3821:AE3821)-(COLUMN(AC3821)))))-1),"")</f>
        <v>46185</v>
      </c>
      <c r="K3821" s="16" t="n">
        <f aca="false" t="array" ref="K3821:K3821">IFERROR(INDEX(AC3821:AE3821,IF(COUNTA(AC3821:AE3821)=0,"",MAX((AC3821:AE3821&lt;&gt;"")*(COLUMN(AC3821:AE3821)-(COLUMN(AC3821)-1))))-1),"")</f>
        <v>46276</v>
      </c>
      <c r="L3821" s="17" t="str">
        <f aca="false" t="array" ref="L3821:L3821">IFERROR(INDEX(AC3821:AE3821,IF(COUNTA(AC3821:AE3821)=0,"",MAX((AC3821:AE3821&lt;&gt;"")*(COLUMN(AC3821:AE3821)-(COLUMN(AC3821)-2))))-1),"")</f>
        <v>KEMBALI</v>
      </c>
      <c r="M3821" s="13" t="n">
        <f aca="true">K3821-TODAY()</f>
        <v>-48</v>
      </c>
      <c r="N3821" s="18" t="s">
        <v>4735</v>
      </c>
      <c r="O3821" s="13" t="s">
        <v>15622</v>
      </c>
      <c r="P3821" s="26" t="n">
        <v>5560000</v>
      </c>
      <c r="Q3821" s="66" t="s">
        <v>15623</v>
      </c>
      <c r="R3821" s="13" t="s">
        <v>241</v>
      </c>
      <c r="S3821" s="14" t="n">
        <v>35989</v>
      </c>
      <c r="T3821" s="13" t="s">
        <v>108</v>
      </c>
      <c r="U3821" s="13" t="s">
        <v>15624</v>
      </c>
      <c r="V3821" s="13" t="s">
        <v>42</v>
      </c>
      <c r="W3821" s="13" t="s">
        <v>43</v>
      </c>
      <c r="X3821" s="30" t="n">
        <v>81141379772</v>
      </c>
      <c r="Y3821" s="22" t="str">
        <f aca="false">O3821</f>
        <v>legal staff</v>
      </c>
      <c r="Z3821" s="13" t="str">
        <f aca="false">IFERROR(__xludf.dummyfunction("if(BJ3821="""","""",GOOGLETRANSLATE(BJ3821,""auto"",""en""))"),"legal staff")</f>
        <v>legal staff</v>
      </c>
      <c r="AA3821" s="23" t="str">
        <f aca="false">IF(C3821="","", CHOOSE(MONTH(C3821),"January","February","March","April","May","June","July","August","September","October","November","December")&amp;" "&amp;DAY(C3821)&amp;MID("thstndrdth",MIN(9,2*RIGHT(DAY(C3821))*(MOD(DAY(C3821)-11,100)&gt;2)+1),2)&amp;","&amp;TEXT(C3821," yyyy"))</f>
        <v>June 12th,2026</v>
      </c>
      <c r="AB3821" s="15" t="str">
        <f aca="true">IF(S3821="","",DATEDIF(S3821,TODAY(),"Y")&amp;" Tahun, "&amp;DATEDIF(S3821,TODAY(),"YM")&amp;" Bulan, "&amp;DATEDIF(S3821,TODAY(),"MD")&amp;" Hari")</f>
        <v>28 Tahun, 3 Bulan, 16 Hari</v>
      </c>
      <c r="AC3821" s="14" t="n">
        <v>46185</v>
      </c>
      <c r="AD3821" s="18" t="n">
        <f aca="false">EDATE(AC3821,3)-1</f>
        <v>46276</v>
      </c>
      <c r="AE3821" s="13" t="s">
        <v>397</v>
      </c>
    </row>
    <row r="3822" customFormat="false" ht="15" hidden="false" customHeight="true" outlineLevel="0" collapsed="false">
      <c r="A3822" s="12" t="n">
        <v>22449</v>
      </c>
      <c r="B3822" s="45" t="s">
        <v>15625</v>
      </c>
      <c r="C3822" s="14" t="n">
        <v>46195</v>
      </c>
      <c r="D3822" s="13" t="s">
        <v>10714</v>
      </c>
      <c r="E3822" s="15" t="s">
        <v>47</v>
      </c>
      <c r="F3822" s="24" t="s">
        <v>15626</v>
      </c>
      <c r="G3822" s="13" t="s">
        <v>1127</v>
      </c>
      <c r="H3822" s="13" t="s">
        <v>35</v>
      </c>
      <c r="I3822" s="13" t="str">
        <f aca="false">IF(C3822=J3822,"NEW KONTRAK","RE-KONTRAK")</f>
        <v>NEW KONTRAK</v>
      </c>
      <c r="J3822" s="16" t="n">
        <f aca="false" t="array" ref="J3822:J3822">IFERROR(INDEX(AC3822:AE3822,IF(COUNTA(AC3822:AE3822)=0,"",MAX((AC3822:AE3822&lt;&gt;"")*(COLUMN(AC3822:AE3822)-(COLUMN(AC3822)))))-1),"")</f>
        <v>46195</v>
      </c>
      <c r="K3822" s="16" t="n">
        <f aca="false" t="array" ref="K3822:K3822">IFERROR(INDEX(AC3822:AE3822,IF(COUNTA(AC3822:AE3822)=0,"",MAX((AC3822:AE3822&lt;&gt;"")*(COLUMN(AC3822:AE3822)-(COLUMN(AC3822)-1))))-1),"")</f>
        <v>46286</v>
      </c>
      <c r="L3822" s="17" t="str">
        <f aca="false" t="array" ref="L3822:L3822">IFERROR(INDEX(AC3822:AE3822,IF(COUNTA(AC3822:AE3822)=0,"",MAX((AC3822:AE3822&lt;&gt;"")*(COLUMN(AC3822:AE3822)-(COLUMN(AC3822)-2))))-1),"")</f>
        <v>KEMBALI ONLINE</v>
      </c>
      <c r="M3822" s="13" t="n">
        <f aca="true">K3822-TODAY()</f>
        <v>-38</v>
      </c>
      <c r="N3822" s="18" t="s">
        <v>728</v>
      </c>
      <c r="O3822" s="13" t="s">
        <v>11196</v>
      </c>
      <c r="P3822" s="26" t="n">
        <v>3250000</v>
      </c>
      <c r="Q3822" s="47" t="s">
        <v>15627</v>
      </c>
      <c r="R3822" s="13" t="s">
        <v>52</v>
      </c>
      <c r="S3822" s="16" t="n">
        <v>36825</v>
      </c>
      <c r="T3822" s="13" t="s">
        <v>40</v>
      </c>
      <c r="U3822" s="13" t="s">
        <v>15628</v>
      </c>
      <c r="V3822" s="13" t="s">
        <v>42</v>
      </c>
      <c r="W3822" s="13" t="s">
        <v>43</v>
      </c>
      <c r="X3822" s="21" t="n">
        <v>81389760995</v>
      </c>
      <c r="Y3822" s="22" t="str">
        <f aca="false">O3822</f>
        <v>Helper Gudang</v>
      </c>
      <c r="Z3822" s="13" t="str">
        <f aca="false">IFERROR(__xludf.dummyfunction("if(BJ3822="""","""",GOOGLETRANSLATE(BJ3822,""auto"",""en""))"),"Helper Gudang")</f>
        <v>Helper Gudang</v>
      </c>
      <c r="AA3822" s="23" t="str">
        <f aca="false">IF(C3822="","", CHOOSE(MONTH(C3822),"January","February","March","April","May","June","July","August","September","October","November","December")&amp;" "&amp;DAY(C3822)&amp;MID("thstndrdth",MIN(9,2*RIGHT(DAY(C3822))*(MOD(DAY(C3822)-11,100)&gt;2)+1),2)&amp;","&amp;TEXT(C3822," yyyy"))</f>
        <v>June 22nd,2026</v>
      </c>
      <c r="AB3822" s="15" t="str">
        <f aca="true">IF(S3822="","",DATEDIF(S3822,TODAY(),"Y")&amp;" Tahun, "&amp;DATEDIF(S3822,TODAY(),"YM")&amp;" Bulan, "&amp;DATEDIF(S3822,TODAY(),"MD")&amp;" Hari")</f>
        <v>26 Tahun, 0 Bulan, 3 Hari</v>
      </c>
      <c r="AC3822" s="14" t="n">
        <v>46195</v>
      </c>
      <c r="AD3822" s="17" t="n">
        <f aca="false">EDATE(AC3822,3)-1</f>
        <v>46286</v>
      </c>
      <c r="AE3822" s="13" t="s">
        <v>2387</v>
      </c>
    </row>
    <row r="3823" customFormat="false" ht="15" hidden="false" customHeight="true" outlineLevel="0" collapsed="false">
      <c r="A3823" s="12" t="n">
        <v>22450</v>
      </c>
      <c r="B3823" s="45" t="s">
        <v>15629</v>
      </c>
      <c r="C3823" s="14" t="n">
        <v>46195</v>
      </c>
      <c r="D3823" s="13" t="s">
        <v>10058</v>
      </c>
      <c r="E3823" s="15" t="s">
        <v>47</v>
      </c>
      <c r="F3823" s="24" t="s">
        <v>15630</v>
      </c>
      <c r="G3823" s="28" t="s">
        <v>57</v>
      </c>
      <c r="H3823" s="13" t="s">
        <v>3024</v>
      </c>
      <c r="I3823" s="13" t="str">
        <f aca="false">IF(C3823=J3823,"NEW KONTRAK","RE-KONTRAK")</f>
        <v>NEW KONTRAK</v>
      </c>
      <c r="J3823" s="16" t="n">
        <f aca="false" t="array" ref="J3823:J3823">IFERROR(INDEX(AC3823:AE3823,IF(COUNTA(AC3823:AE3823)=0,"",MAX((AC3823:AE3823&lt;&gt;"")*(COLUMN(AC3823:AE3823)-(COLUMN(AC3823)))))-1),"")</f>
        <v>46195</v>
      </c>
      <c r="K3823" s="16" t="n">
        <f aca="false" t="array" ref="K3823:K3823">IFERROR(INDEX(AC3823:AE3823,IF(COUNTA(AC3823:AE3823)=0,"",MAX((AC3823:AE3823&lt;&gt;"")*(COLUMN(AC3823:AE3823)-(COLUMN(AC3823)-1))))-1),"")</f>
        <v>46286</v>
      </c>
      <c r="L3823" s="17" t="str">
        <f aca="false" t="array" ref="L3823:L3823">IFERROR(INDEX(AC3823:AE3823,IF(COUNTA(AC3823:AE3823)=0,"",MAX((AC3823:AE3823&lt;&gt;"")*(COLUMN(AC3823:AE3823)-(COLUMN(AC3823)-2))))-1),"")</f>
        <v>KEMBALI</v>
      </c>
      <c r="M3823" s="13" t="n">
        <f aca="true">K3823-TODAY()</f>
        <v>-38</v>
      </c>
      <c r="N3823" s="18" t="s">
        <v>105</v>
      </c>
      <c r="O3823" s="13" t="s">
        <v>14127</v>
      </c>
      <c r="P3823" s="26" t="n">
        <v>138915</v>
      </c>
      <c r="Q3823" s="47" t="s">
        <v>15631</v>
      </c>
      <c r="R3823" s="13" t="s">
        <v>879</v>
      </c>
      <c r="S3823" s="14" t="n">
        <v>37448</v>
      </c>
      <c r="T3823" s="13" t="s">
        <v>108</v>
      </c>
      <c r="U3823" s="13" t="s">
        <v>15632</v>
      </c>
      <c r="V3823" s="13" t="s">
        <v>42</v>
      </c>
      <c r="W3823" s="13" t="s">
        <v>43</v>
      </c>
      <c r="X3823" s="21" t="n">
        <v>882009150335</v>
      </c>
      <c r="Y3823" s="22" t="str">
        <f aca="false">O3823</f>
        <v>Harian Lepas (Helper Gudang)</v>
      </c>
      <c r="Z3823" s="13" t="str">
        <f aca="false">IFERROR(__xludf.dummyfunction("if(BJ3823="""","""",GOOGLETRANSLATE(BJ3823,""auto"",""en""))"),"Daily (Warehouse Helper)")</f>
        <v>Daily (Warehouse Helper)</v>
      </c>
      <c r="AA3823" s="23" t="str">
        <f aca="false">IF(C3823="","", CHOOSE(MONTH(C3823),"January","February","March","April","May","June","July","August","September","October","November","December")&amp;" "&amp;DAY(C3823)&amp;MID("thstndrdth",MIN(9,2*RIGHT(DAY(C3823))*(MOD(DAY(C3823)-11,100)&gt;2)+1),2)&amp;","&amp;TEXT(C3823," yyyy"))</f>
        <v>June 22nd,2026</v>
      </c>
      <c r="AB3823" s="15" t="str">
        <f aca="true">IF(S3823="","",DATEDIF(S3823,TODAY(),"Y")&amp;" Tahun, "&amp;DATEDIF(S3823,TODAY(),"YM")&amp;" Bulan, "&amp;DATEDIF(S3823,TODAY(),"MD")&amp;" Hari")</f>
        <v>24 Tahun, 3 Bulan, 18 Hari</v>
      </c>
      <c r="AC3823" s="14" t="n">
        <v>46195</v>
      </c>
      <c r="AD3823" s="18" t="n">
        <f aca="false">EDATE(AC3823,3)-1</f>
        <v>46286</v>
      </c>
      <c r="AE3823" s="13" t="s">
        <v>397</v>
      </c>
    </row>
    <row r="3824" customFormat="false" ht="15" hidden="false" customHeight="true" outlineLevel="0" collapsed="false">
      <c r="A3824" s="12" t="n">
        <v>22451</v>
      </c>
      <c r="B3824" s="13" t="s">
        <v>15633</v>
      </c>
      <c r="C3824" s="14" t="n">
        <v>46195</v>
      </c>
      <c r="D3824" s="13" t="s">
        <v>10058</v>
      </c>
      <c r="E3824" s="15" t="s">
        <v>102</v>
      </c>
      <c r="F3824" s="24" t="s">
        <v>15634</v>
      </c>
      <c r="G3824" s="13" t="s">
        <v>1127</v>
      </c>
      <c r="H3824" s="13" t="s">
        <v>3024</v>
      </c>
      <c r="I3824" s="13" t="str">
        <f aca="false">IF(C3824=J3824,"NEW KONTRAK","RE-KONTRAK")</f>
        <v>NEW KONTRAK</v>
      </c>
      <c r="J3824" s="16" t="n">
        <f aca="false" t="array" ref="J3824:J3824">IFERROR(INDEX(AC3824:AE3824,IF(COUNTA(AC3824:AE3824)=0,"",MAX((AC3824:AE3824&lt;&gt;"")*(COLUMN(AC3824:AE3824)-(COLUMN(AC3824)))))-1),"")</f>
        <v>46195</v>
      </c>
      <c r="K3824" s="16" t="n">
        <f aca="false" t="array" ref="K3824:K3824">IFERROR(INDEX(AC3824:AE3824,IF(COUNTA(AC3824:AE3824)=0,"",MAX((AC3824:AE3824&lt;&gt;"")*(COLUMN(AC3824:AE3824)-(COLUMN(AC3824)-1))))-1),"")</f>
        <v>46286</v>
      </c>
      <c r="L3824" s="17" t="str">
        <f aca="false" t="array" ref="L3824:L3824">IFERROR(INDEX(AC3824:AE3824,IF(COUNTA(AC3824:AE3824)=0,"",MAX((AC3824:AE3824&lt;&gt;"")*(COLUMN(AC3824:AE3824)-(COLUMN(AC3824)-2))))-1),"")</f>
        <v>CANCEL</v>
      </c>
      <c r="M3824" s="13" t="n">
        <f aca="true">K3824-TODAY()</f>
        <v>-38</v>
      </c>
      <c r="N3824" s="18" t="s">
        <v>105</v>
      </c>
      <c r="O3824" s="13" t="s">
        <v>14127</v>
      </c>
      <c r="P3824" s="26" t="n">
        <v>138991</v>
      </c>
      <c r="Q3824" s="20" t="s">
        <v>15635</v>
      </c>
      <c r="R3824" s="13" t="s">
        <v>39</v>
      </c>
      <c r="S3824" s="14" t="n">
        <v>36032</v>
      </c>
      <c r="T3824" s="13" t="s">
        <v>108</v>
      </c>
      <c r="U3824" s="13" t="s">
        <v>15636</v>
      </c>
      <c r="V3824" s="13" t="s">
        <v>42</v>
      </c>
      <c r="W3824" s="13" t="s">
        <v>43</v>
      </c>
      <c r="X3824" s="21" t="n">
        <v>85934537781</v>
      </c>
      <c r="Y3824" s="22" t="str">
        <f aca="false">O3824</f>
        <v>Harian Lepas (Helper Gudang)</v>
      </c>
      <c r="Z3824" s="13" t="str">
        <f aca="false">IFERROR(__xludf.dummyfunction("if(BJ3824="""","""",GOOGLETRANSLATE(BJ3824,""auto"",""en""))"),"Daily (Warehouse Helper)")</f>
        <v>Daily (Warehouse Helper)</v>
      </c>
      <c r="AA3824" s="23" t="str">
        <f aca="false">IF(C3824="","", CHOOSE(MONTH(C3824),"January","February","March","April","May","June","July","August","September","October","November","December")&amp;" "&amp;DAY(C3824)&amp;MID("thstndrdth",MIN(9,2*RIGHT(DAY(C3824))*(MOD(DAY(C3824)-11,100)&gt;2)+1),2)&amp;","&amp;TEXT(C3824," yyyy"))</f>
        <v>June 22nd,2026</v>
      </c>
      <c r="AB3824" s="15" t="str">
        <f aca="true">IF(S3824="","",DATEDIF(S3824,TODAY(),"Y")&amp;" Tahun, "&amp;DATEDIF(S3824,TODAY(),"YM")&amp;" Bulan, "&amp;DATEDIF(S3824,TODAY(),"MD")&amp;" Hari")</f>
        <v>28 Tahun, 2 Bulan, 4 Hari</v>
      </c>
      <c r="AC3824" s="14" t="n">
        <v>46195</v>
      </c>
      <c r="AD3824" s="18" t="n">
        <f aca="false">EDATE(AC3824,3)-1</f>
        <v>46286</v>
      </c>
      <c r="AE3824" s="13" t="s">
        <v>15637</v>
      </c>
    </row>
    <row r="3825" customFormat="false" ht="15" hidden="false" customHeight="true" outlineLevel="0" collapsed="false">
      <c r="A3825" s="12" t="n">
        <v>22452</v>
      </c>
      <c r="B3825" s="45" t="s">
        <v>15638</v>
      </c>
      <c r="C3825" s="14" t="n">
        <v>46197</v>
      </c>
      <c r="D3825" s="13" t="s">
        <v>4112</v>
      </c>
      <c r="E3825" s="15" t="s">
        <v>102</v>
      </c>
      <c r="F3825" s="24" t="s">
        <v>15639</v>
      </c>
      <c r="G3825" s="13" t="s">
        <v>1127</v>
      </c>
      <c r="H3825" s="13" t="s">
        <v>35</v>
      </c>
      <c r="I3825" s="13" t="str">
        <f aca="false">IF(C3825=J3825,"NEW KONTRAK","RE-KONTRAK")</f>
        <v>NEW KONTRAK</v>
      </c>
      <c r="J3825" s="16" t="n">
        <f aca="false" t="array" ref="J3825:J3825">IFERROR(INDEX(AC3825:AE3825,IF(COUNTA(AC3825:AE3825)=0,"",MAX((AC3825:AE3825&lt;&gt;"")*(COLUMN(AC3825:AE3825)-(COLUMN(AC3825)))))-1),"")</f>
        <v>46197</v>
      </c>
      <c r="K3825" s="16" t="n">
        <f aca="false" t="array" ref="K3825:K3825">IFERROR(INDEX(AC3825:AE3825,IF(COUNTA(AC3825:AE3825)=0,"",MAX((AC3825:AE3825&lt;&gt;"")*(COLUMN(AC3825:AE3825)-(COLUMN(AC3825)-1))))-1),"")</f>
        <v>46288</v>
      </c>
      <c r="L3825" s="17" t="str">
        <f aca="false" t="array" ref="L3825:L3825">IFERROR(INDEX(AC3825:AE3825,IF(COUNTA(AC3825:AE3825)=0,"",MAX((AC3825:AE3825&lt;&gt;"")*(COLUMN(AC3825:AE3825)-(COLUMN(AC3825)-2))))-1),"")</f>
        <v>KEMBALI</v>
      </c>
      <c r="M3825" s="13" t="n">
        <f aca="true">K3825-TODAY()</f>
        <v>-36</v>
      </c>
      <c r="N3825" s="18" t="s">
        <v>728</v>
      </c>
      <c r="O3825" s="13" t="s">
        <v>719</v>
      </c>
      <c r="P3825" s="19" t="n">
        <v>3000000</v>
      </c>
      <c r="Q3825" s="103" t="s">
        <v>15640</v>
      </c>
      <c r="R3825" s="13" t="s">
        <v>227</v>
      </c>
      <c r="S3825" s="14" t="n">
        <v>33858</v>
      </c>
      <c r="T3825" s="13" t="s">
        <v>40</v>
      </c>
      <c r="U3825" s="13" t="s">
        <v>15641</v>
      </c>
      <c r="V3825" s="13" t="s">
        <v>42</v>
      </c>
      <c r="W3825" s="13" t="s">
        <v>54</v>
      </c>
      <c r="X3825" s="21" t="n">
        <v>81774986293</v>
      </c>
      <c r="Y3825" s="22" t="str">
        <f aca="false">O3825</f>
        <v>Cleaning Service</v>
      </c>
      <c r="Z3825" s="13" t="str">
        <f aca="false">IFERROR(__xludf.dummyfunction("if(BJ3825="""","""",GOOGLETRANSLATE(BJ3825,""auto"",""en""))"),"Cleaning Service")</f>
        <v>Cleaning Service</v>
      </c>
      <c r="AA3825" s="23" t="str">
        <f aca="false">IF(C3825="","", CHOOSE(MONTH(C3825),"January","February","March","April","May","June","July","August","September","October","November","December")&amp;" "&amp;DAY(C3825)&amp;MID("thstndrdth",MIN(9,2*RIGHT(DAY(C3825))*(MOD(DAY(C3825)-11,100)&gt;2)+1),2)&amp;","&amp;TEXT(C3825," yyyy"))</f>
        <v>June 24th,2026</v>
      </c>
      <c r="AB3825" s="15" t="str">
        <f aca="true">IF(S3825="","",DATEDIF(S3825,TODAY(),"Y")&amp;" Tahun, "&amp;DATEDIF(S3825,TODAY(),"YM")&amp;" Bulan, "&amp;DATEDIF(S3825,TODAY(),"MD")&amp;" Hari")</f>
        <v>34 Tahun, 1 Bulan, 18 Hari</v>
      </c>
      <c r="AC3825" s="14" t="n">
        <v>46197</v>
      </c>
      <c r="AD3825" s="18" t="n">
        <f aca="false">EDATE(AC3825,3)-1</f>
        <v>46288</v>
      </c>
      <c r="AE3825" s="13" t="s">
        <v>397</v>
      </c>
    </row>
    <row r="3826" customFormat="false" ht="15" hidden="false" customHeight="true" outlineLevel="0" collapsed="false">
      <c r="A3826" s="12" t="n">
        <v>22453</v>
      </c>
      <c r="B3826" s="13" t="s">
        <v>15642</v>
      </c>
      <c r="C3826" s="14" t="n">
        <v>46196</v>
      </c>
      <c r="D3826" s="13" t="s">
        <v>10058</v>
      </c>
      <c r="E3826" s="15" t="s">
        <v>102</v>
      </c>
      <c r="F3826" s="24" t="s">
        <v>15643</v>
      </c>
      <c r="G3826" s="28" t="s">
        <v>57</v>
      </c>
      <c r="H3826" s="13" t="s">
        <v>3024</v>
      </c>
      <c r="I3826" s="13" t="str">
        <f aca="false">IF(C3826=J3826,"NEW KONTRAK","RE-KONTRAK")</f>
        <v>NEW KONTRAK</v>
      </c>
      <c r="J3826" s="16" t="n">
        <f aca="false" t="array" ref="J3826:J3826">IFERROR(INDEX(AC3826:AE3826,IF(COUNTA(AC3826:AE3826)=0,"",MAX((AC3826:AE3826&lt;&gt;"")*(COLUMN(AC3826:AE3826)-(COLUMN(AC3826)))))-1),"")</f>
        <v>46196</v>
      </c>
      <c r="K3826" s="16" t="n">
        <f aca="false" t="array" ref="K3826:K3826">IFERROR(INDEX(AC3826:AE3826,IF(COUNTA(AC3826:AE3826)=0,"",MAX((AC3826:AE3826&lt;&gt;"")*(COLUMN(AC3826:AE3826)-(COLUMN(AC3826)-1))))-1),"")</f>
        <v>46287</v>
      </c>
      <c r="L3826" s="17" t="str">
        <f aca="false" t="array" ref="L3826:L3826">IFERROR(INDEX(AC3826:AE3826,IF(COUNTA(AC3826:AE3826)=0,"",MAX((AC3826:AE3826&lt;&gt;"")*(COLUMN(AC3826:AE3826)-(COLUMN(AC3826)-2))))-1),"")</f>
        <v>ARCHIVED</v>
      </c>
      <c r="M3826" s="13" t="n">
        <f aca="true">K3826-TODAY()</f>
        <v>-37</v>
      </c>
      <c r="N3826" s="18" t="s">
        <v>105</v>
      </c>
      <c r="O3826" s="13" t="s">
        <v>15644</v>
      </c>
      <c r="P3826" s="26" t="n">
        <v>138915</v>
      </c>
      <c r="Q3826" s="47" t="s">
        <v>15645</v>
      </c>
      <c r="R3826" s="13" t="s">
        <v>52</v>
      </c>
      <c r="S3826" s="16" t="n">
        <v>37720</v>
      </c>
      <c r="T3826" s="13" t="s">
        <v>108</v>
      </c>
      <c r="U3826" s="13" t="s">
        <v>15646</v>
      </c>
      <c r="V3826" s="13" t="s">
        <v>42</v>
      </c>
      <c r="W3826" s="13" t="s">
        <v>43</v>
      </c>
      <c r="X3826" s="21" t="n">
        <v>81357222910</v>
      </c>
      <c r="Y3826" s="22" t="str">
        <f aca="false">O3826</f>
        <v>Harian Lepas (Helper QC)</v>
      </c>
      <c r="Z3826" s="13" t="str">
        <f aca="false">IFERROR(__xludf.dummyfunction("if(BJ3826="""","""",GOOGLETRANSLATE(BJ3826,""auto"",""en""))"),"Daily (QC Helper)")</f>
        <v>Daily (QC Helper)</v>
      </c>
      <c r="AA3826" s="23" t="str">
        <f aca="false">IF(C3826="","", CHOOSE(MONTH(C3826),"January","February","March","April","May","June","July","August","September","October","November","December")&amp;" "&amp;DAY(C3826)&amp;MID("thstndrdth",MIN(9,2*RIGHT(DAY(C3826))*(MOD(DAY(C3826)-11,100)&gt;2)+1),2)&amp;","&amp;TEXT(C3826," yyyy"))</f>
        <v>June 23rd,2026</v>
      </c>
      <c r="AB3826" s="15" t="str">
        <f aca="true">IF(S3826="","",DATEDIF(S3826,TODAY(),"Y")&amp;" Tahun, "&amp;DATEDIF(S3826,TODAY(),"YM")&amp;" Bulan, "&amp;DATEDIF(S3826,TODAY(),"MD")&amp;" Hari")</f>
        <v>23 Tahun, 6 Bulan, 20 Hari</v>
      </c>
      <c r="AC3826" s="14" t="n">
        <v>46196</v>
      </c>
      <c r="AD3826" s="18" t="n">
        <f aca="false">EDATE(AC3826,3)-1</f>
        <v>46287</v>
      </c>
      <c r="AE3826" s="18" t="s">
        <v>44</v>
      </c>
    </row>
    <row r="3827" customFormat="false" ht="15" hidden="false" customHeight="true" outlineLevel="0" collapsed="false">
      <c r="A3827" s="12" t="n">
        <v>22454</v>
      </c>
      <c r="B3827" s="45" t="s">
        <v>15647</v>
      </c>
      <c r="C3827" s="14" t="n">
        <v>46196</v>
      </c>
      <c r="D3827" s="13" t="s">
        <v>10058</v>
      </c>
      <c r="E3827" s="15" t="s">
        <v>47</v>
      </c>
      <c r="F3827" s="24" t="s">
        <v>15648</v>
      </c>
      <c r="G3827" s="28" t="s">
        <v>57</v>
      </c>
      <c r="H3827" s="13" t="s">
        <v>3024</v>
      </c>
      <c r="I3827" s="13" t="str">
        <f aca="false">IF(C3827=J3827,"NEW KONTRAK","RE-KONTRAK")</f>
        <v>NEW KONTRAK</v>
      </c>
      <c r="J3827" s="16" t="n">
        <f aca="false" t="array" ref="J3827:J3827">IFERROR(INDEX(AC3827:AE3827,IF(COUNTA(AC3827:AE3827)=0,"",MAX((AC3827:AE3827&lt;&gt;"")*(COLUMN(AC3827:AE3827)-(COLUMN(AC3827)))))-1),"")</f>
        <v>46196</v>
      </c>
      <c r="K3827" s="16" t="n">
        <f aca="false" t="array" ref="K3827:K3827">IFERROR(INDEX(AC3827:AE3827,IF(COUNTA(AC3827:AE3827)=0,"",MAX((AC3827:AE3827&lt;&gt;"")*(COLUMN(AC3827:AE3827)-(COLUMN(AC3827)-1))))-1),"")</f>
        <v>46287</v>
      </c>
      <c r="L3827" s="17" t="str">
        <f aca="false" t="array" ref="L3827:L3827">IFERROR(INDEX(AC3827:AE3827,IF(COUNTA(AC3827:AE3827)=0,"",MAX((AC3827:AE3827&lt;&gt;"")*(COLUMN(AC3827:AE3827)-(COLUMN(AC3827)-2))))-1),"")</f>
        <v>KEMBALI</v>
      </c>
      <c r="M3827" s="13" t="n">
        <f aca="true">K3827-TODAY()</f>
        <v>-37</v>
      </c>
      <c r="N3827" s="18" t="s">
        <v>105</v>
      </c>
      <c r="O3827" s="13" t="s">
        <v>15644</v>
      </c>
      <c r="P3827" s="26" t="n">
        <v>138915</v>
      </c>
      <c r="Q3827" s="47" t="s">
        <v>15649</v>
      </c>
      <c r="R3827" s="13" t="s">
        <v>52</v>
      </c>
      <c r="S3827" s="16" t="n">
        <v>37908</v>
      </c>
      <c r="T3827" s="13" t="s">
        <v>108</v>
      </c>
      <c r="U3827" s="13" t="s">
        <v>15650</v>
      </c>
      <c r="V3827" s="13" t="s">
        <v>42</v>
      </c>
      <c r="W3827" s="13" t="s">
        <v>43</v>
      </c>
      <c r="X3827" s="21" t="n">
        <v>8563278986</v>
      </c>
      <c r="Y3827" s="22" t="str">
        <f aca="false">O3827</f>
        <v>Harian Lepas (Helper QC)</v>
      </c>
      <c r="Z3827" s="13" t="str">
        <f aca="false">IFERROR(__xludf.dummyfunction("if(BJ3827="""","""",GOOGLETRANSLATE(BJ3827,""auto"",""en""))"),"Daily (QC Helper)")</f>
        <v>Daily (QC Helper)</v>
      </c>
      <c r="AA3827" s="23" t="str">
        <f aca="false">IF(C3827="","", CHOOSE(MONTH(C3827),"January","February","March","April","May","June","July","August","September","October","November","December")&amp;" "&amp;DAY(C3827)&amp;MID("thstndrdth",MIN(9,2*RIGHT(DAY(C3827))*(MOD(DAY(C3827)-11,100)&gt;2)+1),2)&amp;","&amp;TEXT(C3827," yyyy"))</f>
        <v>June 23rd,2026</v>
      </c>
      <c r="AB3827" s="15" t="str">
        <f aca="true">IF(S3827="","",DATEDIF(S3827,TODAY(),"Y")&amp;" Tahun, "&amp;DATEDIF(S3827,TODAY(),"YM")&amp;" Bulan, "&amp;DATEDIF(S3827,TODAY(),"MD")&amp;" Hari")</f>
        <v>23 Tahun, 0 Bulan, 15 Hari</v>
      </c>
      <c r="AC3827" s="14" t="n">
        <v>46196</v>
      </c>
      <c r="AD3827" s="18" t="n">
        <f aca="false">EDATE(AC3827,3)-1</f>
        <v>46287</v>
      </c>
      <c r="AE3827" s="13" t="s">
        <v>397</v>
      </c>
    </row>
    <row r="3828" customFormat="false" ht="15" hidden="false" customHeight="true" outlineLevel="0" collapsed="false">
      <c r="A3828" s="12" t="n">
        <v>22455</v>
      </c>
      <c r="B3828" s="13" t="s">
        <v>15651</v>
      </c>
      <c r="C3828" s="14" t="n">
        <v>46176</v>
      </c>
      <c r="D3828" s="13" t="s">
        <v>12814</v>
      </c>
      <c r="E3828" s="15" t="s">
        <v>47</v>
      </c>
      <c r="F3828" s="24" t="s">
        <v>15652</v>
      </c>
      <c r="G3828" s="13" t="s">
        <v>1127</v>
      </c>
      <c r="H3828" s="13" t="s">
        <v>35</v>
      </c>
      <c r="I3828" s="13" t="str">
        <f aca="false">IF(C3828=J3828,"NEW KONTRAK","RE-KONTRAK")</f>
        <v>NEW KONTRAK</v>
      </c>
      <c r="J3828" s="16" t="n">
        <f aca="false" t="array" ref="J3828:J3828">IFERROR(INDEX(AC3828:AE3828,IF(COUNTA(AC3828:AE3828)=0,"",MAX((AC3828:AE3828&lt;&gt;"")*(COLUMN(AC3828:AE3828)-(COLUMN(AC3828)))))-1),"")</f>
        <v>46176</v>
      </c>
      <c r="K3828" s="16" t="n">
        <f aca="false" t="array" ref="K3828:K3828">IFERROR(INDEX(AC3828:AE3828,IF(COUNTA(AC3828:AE3828)=0,"",MAX((AC3828:AE3828&lt;&gt;"")*(COLUMN(AC3828:AE3828)-(COLUMN(AC3828)-1))))-1),"")</f>
        <v>46358</v>
      </c>
      <c r="L3828" s="17" t="str">
        <f aca="false" t="array" ref="L3828:L3828">IFERROR(INDEX(AC3828:AE3828,IF(COUNTA(AC3828:AE3828)=0,"",MAX((AC3828:AE3828&lt;&gt;"")*(COLUMN(AC3828:AE3828)-(COLUMN(AC3828)-2))))-1),"")</f>
        <v>KEMBALI</v>
      </c>
      <c r="M3828" s="13" t="n">
        <f aca="true">K3828-TODAY()</f>
        <v>34</v>
      </c>
      <c r="N3828" s="18" t="s">
        <v>36</v>
      </c>
      <c r="O3828" s="13" t="s">
        <v>1287</v>
      </c>
      <c r="P3828" s="19" t="n">
        <v>5195401</v>
      </c>
      <c r="Q3828" s="47" t="s">
        <v>15653</v>
      </c>
      <c r="R3828" s="13" t="s">
        <v>14006</v>
      </c>
      <c r="S3828" s="16" t="n">
        <v>33467</v>
      </c>
      <c r="T3828" s="28" t="s">
        <v>40</v>
      </c>
      <c r="U3828" s="13" t="s">
        <v>15654</v>
      </c>
      <c r="V3828" s="28" t="s">
        <v>42</v>
      </c>
      <c r="W3828" s="28" t="s">
        <v>43</v>
      </c>
      <c r="X3828" s="30" t="n">
        <v>85269292984</v>
      </c>
      <c r="Y3828" s="22" t="str">
        <f aca="false">O3828</f>
        <v>Office Boy</v>
      </c>
      <c r="Z3828" s="13" t="str">
        <f aca="false">IFERROR(__xludf.dummyfunction("if(BJ3828="""","""",GOOGLETRANSLATE(BJ3828,""auto"",""en""))"),"Office Boy")</f>
        <v>Office Boy</v>
      </c>
      <c r="AA3828" s="23" t="str">
        <f aca="false">IF(C3828="","", CHOOSE(MONTH(C3828),"January","February","March","April","May","June","July","August","September","October","November","December")&amp;" "&amp;DAY(C3828)&amp;MID("thstndrdth",MIN(9,2*RIGHT(DAY(C3828))*(MOD(DAY(C3828)-11,100)&gt;2)+1),2)&amp;","&amp;TEXT(C3828," yyyy"))</f>
        <v>June 3rd,2026</v>
      </c>
      <c r="AB3828" s="15" t="str">
        <f aca="true">IF(S3828="","",DATEDIF(S3828,TODAY(),"Y")&amp;" Tahun, "&amp;DATEDIF(S3828,TODAY(),"YM")&amp;" Bulan, "&amp;DATEDIF(S3828,TODAY(),"MD")&amp;" Hari")</f>
        <v>35 Tahun, 2 Bulan, 12 Hari</v>
      </c>
      <c r="AC3828" s="14" t="n">
        <v>46176</v>
      </c>
      <c r="AD3828" s="18" t="n">
        <f aca="false">EDATE(AC3828,6)-1</f>
        <v>46358</v>
      </c>
      <c r="AE3828" s="13" t="s">
        <v>397</v>
      </c>
    </row>
    <row r="3829" customFormat="false" ht="15" hidden="false" customHeight="true" outlineLevel="0" collapsed="false">
      <c r="A3829" s="12" t="n">
        <v>22456</v>
      </c>
      <c r="B3829" s="13" t="s">
        <v>15655</v>
      </c>
      <c r="C3829" s="14" t="n">
        <v>46184</v>
      </c>
      <c r="D3829" s="13" t="s">
        <v>12814</v>
      </c>
      <c r="E3829" s="15" t="s">
        <v>102</v>
      </c>
      <c r="F3829" s="24" t="s">
        <v>15656</v>
      </c>
      <c r="G3829" s="13" t="s">
        <v>1127</v>
      </c>
      <c r="H3829" s="13" t="s">
        <v>35</v>
      </c>
      <c r="I3829" s="13" t="str">
        <f aca="false">IF(C3829=J3829,"NEW KONTRAK","RE-KONTRAK")</f>
        <v>NEW KONTRAK</v>
      </c>
      <c r="J3829" s="16" t="n">
        <f aca="false" t="array" ref="J3829:J3829">IFERROR(INDEX(AC3829:AE3829,IF(COUNTA(AC3829:AE3829)=0,"",MAX((AC3829:AE3829&lt;&gt;"")*(COLUMN(AC3829:AE3829)-(COLUMN(AC3829)))))-1),"")</f>
        <v>46184</v>
      </c>
      <c r="K3829" s="16" t="n">
        <f aca="false" t="array" ref="K3829:K3829">IFERROR(INDEX(AC3829:AE3829,IF(COUNTA(AC3829:AE3829)=0,"",MAX((AC3829:AE3829&lt;&gt;"")*(COLUMN(AC3829:AE3829)-(COLUMN(AC3829)-1))))-1),"")</f>
        <v>46366</v>
      </c>
      <c r="L3829" s="17" t="str">
        <f aca="false" t="array" ref="L3829:L3829">IFERROR(INDEX(AC3829:AE3829,IF(COUNTA(AC3829:AE3829)=0,"",MAX((AC3829:AE3829&lt;&gt;"")*(COLUMN(AC3829:AE3829)-(COLUMN(AC3829)-2))))-1),"")</f>
        <v>ARCHIVED</v>
      </c>
      <c r="M3829" s="13" t="n">
        <f aca="true">K3829-TODAY()</f>
        <v>42</v>
      </c>
      <c r="N3829" s="18" t="s">
        <v>36</v>
      </c>
      <c r="O3829" s="13" t="s">
        <v>12815</v>
      </c>
      <c r="P3829" s="19" t="n">
        <v>5195401</v>
      </c>
      <c r="Q3829" s="47" t="s">
        <v>15657</v>
      </c>
      <c r="R3829" s="13" t="s">
        <v>15658</v>
      </c>
      <c r="S3829" s="16" t="n">
        <v>36697</v>
      </c>
      <c r="T3829" s="28" t="s">
        <v>108</v>
      </c>
      <c r="U3829" s="13" t="s">
        <v>15659</v>
      </c>
      <c r="V3829" s="28" t="s">
        <v>42</v>
      </c>
      <c r="W3829" s="28" t="s">
        <v>54</v>
      </c>
      <c r="X3829" s="30" t="n">
        <v>82357991366</v>
      </c>
      <c r="Y3829" s="22" t="str">
        <f aca="false">O3829</f>
        <v>Cook Helper</v>
      </c>
      <c r="Z3829" s="13" t="str">
        <f aca="false">IFERROR(__xludf.dummyfunction("if(BJ3829="""","""",GOOGLETRANSLATE(BJ3829,""auto"",""en""))"),"Cook Helper")</f>
        <v>Cook Helper</v>
      </c>
      <c r="AA3829" s="23" t="str">
        <f aca="false">IF(C3829="","", CHOOSE(MONTH(C3829),"January","February","March","April","May","June","July","August","September","October","November","December")&amp;" "&amp;DAY(C3829)&amp;MID("thstndrdth",MIN(9,2*RIGHT(DAY(C3829))*(MOD(DAY(C3829)-11,100)&gt;2)+1),2)&amp;","&amp;TEXT(C3829," yyyy"))</f>
        <v>June 11th,2026</v>
      </c>
      <c r="AB3829" s="15" t="str">
        <f aca="true">IF(S3829="","",DATEDIF(S3829,TODAY(),"Y")&amp;" Tahun, "&amp;DATEDIF(S3829,TODAY(),"YM")&amp;" Bulan, "&amp;DATEDIF(S3829,TODAY(),"MD")&amp;" Hari")</f>
        <v>26 Tahun, 4 Bulan, 9 Hari</v>
      </c>
      <c r="AC3829" s="14" t="n">
        <v>46184</v>
      </c>
      <c r="AD3829" s="18" t="n">
        <f aca="false">EDATE(AC3829,6)-1</f>
        <v>46366</v>
      </c>
      <c r="AE3829" s="13" t="s">
        <v>44</v>
      </c>
    </row>
    <row r="3830" customFormat="false" ht="15" hidden="false" customHeight="true" outlineLevel="0" collapsed="false">
      <c r="A3830" s="12" t="n">
        <v>22457</v>
      </c>
      <c r="B3830" s="45" t="s">
        <v>15660</v>
      </c>
      <c r="C3830" s="14" t="n">
        <v>46197</v>
      </c>
      <c r="D3830" s="13" t="s">
        <v>10058</v>
      </c>
      <c r="E3830" s="15" t="s">
        <v>47</v>
      </c>
      <c r="F3830" s="24" t="s">
        <v>15661</v>
      </c>
      <c r="G3830" s="28" t="s">
        <v>57</v>
      </c>
      <c r="H3830" s="13" t="s">
        <v>3024</v>
      </c>
      <c r="I3830" s="13" t="str">
        <f aca="false">IF(C3830=J3830,"NEW KONTRAK","RE-KONTRAK")</f>
        <v>NEW KONTRAK</v>
      </c>
      <c r="J3830" s="16" t="n">
        <f aca="false" t="array" ref="J3830:J3830">IFERROR(INDEX(AC3830:AE3830,IF(COUNTA(AC3830:AE3830)=0,"",MAX((AC3830:AE3830&lt;&gt;"")*(COLUMN(AC3830:AE3830)-(COLUMN(AC3830)))))-1),"")</f>
        <v>46197</v>
      </c>
      <c r="K3830" s="16" t="n">
        <f aca="false" t="array" ref="K3830:K3830">IFERROR(INDEX(AC3830:AE3830,IF(COUNTA(AC3830:AE3830)=0,"",MAX((AC3830:AE3830&lt;&gt;"")*(COLUMN(AC3830:AE3830)-(COLUMN(AC3830)-1))))-1),"")</f>
        <v>46288</v>
      </c>
      <c r="L3830" s="17" t="str">
        <f aca="false" t="array" ref="L3830:L3830">IFERROR(INDEX(AC3830:AE3830,IF(COUNTA(AC3830:AE3830)=0,"",MAX((AC3830:AE3830&lt;&gt;"")*(COLUMN(AC3830:AE3830)-(COLUMN(AC3830)-2))))-1),"")</f>
        <v>KEMBALI</v>
      </c>
      <c r="M3830" s="13" t="n">
        <f aca="true">K3830-TODAY()</f>
        <v>-36</v>
      </c>
      <c r="N3830" s="18" t="s">
        <v>105</v>
      </c>
      <c r="O3830" s="13" t="s">
        <v>14127</v>
      </c>
      <c r="P3830" s="26" t="n">
        <v>138915</v>
      </c>
      <c r="Q3830" s="47" t="s">
        <v>15662</v>
      </c>
      <c r="R3830" s="13" t="s">
        <v>15663</v>
      </c>
      <c r="S3830" s="16" t="n">
        <v>38014</v>
      </c>
      <c r="T3830" s="28" t="s">
        <v>108</v>
      </c>
      <c r="U3830" s="13" t="s">
        <v>15664</v>
      </c>
      <c r="V3830" s="28" t="s">
        <v>42</v>
      </c>
      <c r="W3830" s="28" t="s">
        <v>43</v>
      </c>
      <c r="X3830" s="21" t="n">
        <v>85706571006</v>
      </c>
      <c r="Y3830" s="22" t="str">
        <f aca="false">O3830</f>
        <v>Harian Lepas (Helper Gudang)</v>
      </c>
      <c r="Z3830" s="13" t="str">
        <f aca="false">IFERROR(__xludf.dummyfunction("if(BJ3830="""","""",GOOGLETRANSLATE(BJ3830,""auto"",""en""))"),"Daily (Warehouse Helper)")</f>
        <v>Daily (Warehouse Helper)</v>
      </c>
      <c r="AA3830" s="23" t="str">
        <f aca="false">IF(C3830="","", CHOOSE(MONTH(C3830),"January","February","March","April","May","June","July","August","September","October","November","December")&amp;" "&amp;DAY(C3830)&amp;MID("thstndrdth",MIN(9,2*RIGHT(DAY(C3830))*(MOD(DAY(C3830)-11,100)&gt;2)+1),2)&amp;","&amp;TEXT(C3830," yyyy"))</f>
        <v>June 24th,2026</v>
      </c>
      <c r="AB3830" s="15" t="str">
        <f aca="true">IF(S3830="","",DATEDIF(S3830,TODAY(),"Y")&amp;" Tahun, "&amp;DATEDIF(S3830,TODAY(),"YM")&amp;" Bulan, "&amp;DATEDIF(S3830,TODAY(),"MD")&amp;" Hari")</f>
        <v>22 Tahun, 9 Bulan, 1 Hari</v>
      </c>
      <c r="AC3830" s="14" t="n">
        <v>46197</v>
      </c>
      <c r="AD3830" s="18" t="n">
        <f aca="false">EDATE(AC3830,3)-1</f>
        <v>46288</v>
      </c>
      <c r="AE3830" s="13" t="s">
        <v>397</v>
      </c>
    </row>
    <row r="3831" customFormat="false" ht="15" hidden="false" customHeight="true" outlineLevel="0" collapsed="false">
      <c r="A3831" s="12" t="n">
        <v>22458</v>
      </c>
      <c r="B3831" s="13" t="s">
        <v>15665</v>
      </c>
      <c r="C3831" s="14" t="n">
        <v>46198</v>
      </c>
      <c r="D3831" s="13" t="s">
        <v>5892</v>
      </c>
      <c r="E3831" s="15" t="s">
        <v>47</v>
      </c>
      <c r="F3831" s="24" t="s">
        <v>15666</v>
      </c>
      <c r="G3831" s="13" t="s">
        <v>1127</v>
      </c>
      <c r="H3831" s="13" t="s">
        <v>35</v>
      </c>
      <c r="I3831" s="13" t="str">
        <f aca="false">IF(C3831=J3831,"NEW KONTRAK","RE-KONTRAK")</f>
        <v>NEW KONTRAK</v>
      </c>
      <c r="J3831" s="16" t="n">
        <f aca="false" t="array" ref="J3831:J3831">IFERROR(INDEX(AC3831:AE3831,IF(COUNTA(AC3831:AE3831)=0,"",MAX((AC3831:AE3831&lt;&gt;"")*(COLUMN(AC3831:AE3831)-(COLUMN(AC3831)))))-1),"")</f>
        <v>46198</v>
      </c>
      <c r="K3831" s="16" t="n">
        <f aca="false" t="array" ref="K3831:K3831">IFERROR(INDEX(AC3831:AE3831,IF(COUNTA(AC3831:AE3831)=0,"",MAX((AC3831:AE3831&lt;&gt;"")*(COLUMN(AC3831:AE3831)-(COLUMN(AC3831)-1))))-1),"")</f>
        <v>46289</v>
      </c>
      <c r="L3831" s="17" t="str">
        <f aca="false" t="array" ref="L3831:L3831">IFERROR(INDEX(AC3831:AE3831,IF(COUNTA(AC3831:AE3831)=0,"",MAX((AC3831:AE3831&lt;&gt;"")*(COLUMN(AC3831:AE3831)-(COLUMN(AC3831)-2))))-1),"")</f>
        <v>KEMBALI</v>
      </c>
      <c r="M3831" s="13" t="n">
        <f aca="true">K3831-TODAY()</f>
        <v>-35</v>
      </c>
      <c r="N3831" s="18" t="s">
        <v>105</v>
      </c>
      <c r="O3831" s="13" t="s">
        <v>15667</v>
      </c>
      <c r="P3831" s="26" t="n">
        <v>3500000</v>
      </c>
      <c r="Q3831" s="47" t="s">
        <v>15668</v>
      </c>
      <c r="R3831" s="13" t="s">
        <v>52</v>
      </c>
      <c r="S3831" s="16" t="n">
        <v>35956</v>
      </c>
      <c r="T3831" s="28" t="s">
        <v>40</v>
      </c>
      <c r="U3831" s="13" t="s">
        <v>15669</v>
      </c>
      <c r="V3831" s="28" t="s">
        <v>42</v>
      </c>
      <c r="W3831" s="28" t="s">
        <v>43</v>
      </c>
      <c r="X3831" s="21" t="n">
        <v>895630299444</v>
      </c>
      <c r="Y3831" s="22" t="str">
        <f aca="false">O3831</f>
        <v>Admin Planning, Dispatching, Monitoring</v>
      </c>
      <c r="Z3831" s="13" t="str">
        <f aca="false">IFERROR(__xludf.dummyfunction("if(BJ3831="""","""",GOOGLETRANSLATE(BJ3831,""auto"",""en""))"),"Admin Planning, Dispatching, Monitoring")</f>
        <v>Admin Planning, Dispatching, Monitoring</v>
      </c>
      <c r="AA3831" s="23" t="str">
        <f aca="false">IF(C3831="","", CHOOSE(MONTH(C3831),"January","February","March","April","May","June","July","August","September","October","November","December")&amp;" "&amp;DAY(C3831)&amp;MID("thstndrdth",MIN(9,2*RIGHT(DAY(C3831))*(MOD(DAY(C3831)-11,100)&gt;2)+1),2)&amp;","&amp;TEXT(C3831," yyyy"))</f>
        <v>June 25th,2026</v>
      </c>
      <c r="AB3831" s="15" t="str">
        <f aca="true">IF(S3831="","",DATEDIF(S3831,TODAY(),"Y")&amp;" Tahun, "&amp;DATEDIF(S3831,TODAY(),"YM")&amp;" Bulan, "&amp;DATEDIF(S3831,TODAY(),"MD")&amp;" Hari")</f>
        <v>28 Tahun, 4 Bulan, 19 Hari</v>
      </c>
      <c r="AC3831" s="14" t="n">
        <v>46198</v>
      </c>
      <c r="AD3831" s="18" t="n">
        <f aca="false">EDATE(AC3831,3)-1</f>
        <v>46289</v>
      </c>
      <c r="AE3831" s="13" t="s">
        <v>397</v>
      </c>
    </row>
    <row r="3832" customFormat="false" ht="15" hidden="false" customHeight="true" outlineLevel="0" collapsed="false">
      <c r="A3832" s="12" t="n">
        <v>22459</v>
      </c>
      <c r="B3832" s="13" t="s">
        <v>15670</v>
      </c>
      <c r="C3832" s="14" t="n">
        <v>46195</v>
      </c>
      <c r="D3832" s="13" t="s">
        <v>4743</v>
      </c>
      <c r="E3832" s="15" t="s">
        <v>47</v>
      </c>
      <c r="F3832" s="24" t="s">
        <v>15671</v>
      </c>
      <c r="G3832" s="13" t="s">
        <v>1127</v>
      </c>
      <c r="H3832" s="13" t="s">
        <v>35</v>
      </c>
      <c r="I3832" s="13" t="str">
        <f aca="false">IF(C3832=J3832,"NEW KONTRAK","RE-KONTRAK")</f>
        <v>NEW KONTRAK</v>
      </c>
      <c r="J3832" s="16" t="n">
        <f aca="false" t="array" ref="J3832:J3832">IFERROR(INDEX(AC3832:AE3832,IF(COUNTA(AC3832:AE3832)=0,"",MAX((AC3832:AE3832&lt;&gt;"")*(COLUMN(AC3832:AE3832)-(COLUMN(AC3832)))))-1),"")</f>
        <v>46195</v>
      </c>
      <c r="K3832" s="16" t="n">
        <f aca="false" t="array" ref="K3832:K3832">IFERROR(INDEX(AC3832:AE3832,IF(COUNTA(AC3832:AE3832)=0,"",MAX((AC3832:AE3832&lt;&gt;"")*(COLUMN(AC3832:AE3832)-(COLUMN(AC3832)-1))))-1),"")</f>
        <v>46286</v>
      </c>
      <c r="L3832" s="17" t="str">
        <f aca="false" t="array" ref="L3832:L3832">IFERROR(INDEX(AC3832:AE3832,IF(COUNTA(AC3832:AE3832)=0,"",MAX((AC3832:AE3832&lt;&gt;"")*(COLUMN(AC3832:AE3832)-(COLUMN(AC3832)-2))))-1),"")</f>
        <v>KEMBALI</v>
      </c>
      <c r="M3832" s="13" t="n">
        <f aca="true">K3832-TODAY()</f>
        <v>-38</v>
      </c>
      <c r="N3832" s="18" t="s">
        <v>728</v>
      </c>
      <c r="O3832" s="13" t="s">
        <v>5430</v>
      </c>
      <c r="P3832" s="26" t="n">
        <v>4525479</v>
      </c>
      <c r="Q3832" s="20" t="s">
        <v>15672</v>
      </c>
      <c r="R3832" s="13" t="s">
        <v>52</v>
      </c>
      <c r="S3832" s="125" t="n">
        <v>33403</v>
      </c>
      <c r="T3832" s="28" t="s">
        <v>108</v>
      </c>
      <c r="U3832" s="13" t="s">
        <v>15673</v>
      </c>
      <c r="V3832" s="28" t="s">
        <v>42</v>
      </c>
      <c r="W3832" s="28" t="s">
        <v>54</v>
      </c>
      <c r="X3832" s="21" t="n">
        <v>85748133220</v>
      </c>
      <c r="Y3832" s="22" t="str">
        <f aca="false">O3832</f>
        <v>Admin Finance dan Cashier</v>
      </c>
      <c r="Z3832" s="13" t="str">
        <f aca="false">IFERROR(__xludf.dummyfunction("if(BJ3832="""","""",GOOGLETRANSLATE(BJ3832,""auto"",""en""))"),"Finance Admin and Cashier")</f>
        <v>Finance Admin and Cashier</v>
      </c>
      <c r="AA3832" s="23" t="str">
        <f aca="false">IF(C3832="","", CHOOSE(MONTH(C3832),"January","February","March","April","May","June","July","August","September","October","November","December")&amp;" "&amp;DAY(C3832)&amp;MID("thstndrdth",MIN(9,2*RIGHT(DAY(C3832))*(MOD(DAY(C3832)-11,100)&gt;2)+1),2)&amp;","&amp;TEXT(C3832," yyyy"))</f>
        <v>June 22nd,2026</v>
      </c>
      <c r="AB3832" s="15" t="str">
        <f aca="true">IF(S3832="","",DATEDIF(S3832,TODAY(),"Y")&amp;" Tahun, "&amp;DATEDIF(S3832,TODAY(),"YM")&amp;" Bulan, "&amp;DATEDIF(S3832,TODAY(),"MD")&amp;" Hari")</f>
        <v>35 Tahun, 4 Bulan, 15 Hari</v>
      </c>
      <c r="AC3832" s="14" t="n">
        <v>46195</v>
      </c>
      <c r="AD3832" s="18" t="n">
        <f aca="false">EDATE(AC3832,3)-1</f>
        <v>46286</v>
      </c>
      <c r="AE3832" s="13" t="s">
        <v>397</v>
      </c>
    </row>
    <row r="3833" customFormat="false" ht="15" hidden="false" customHeight="true" outlineLevel="0" collapsed="false">
      <c r="A3833" s="12" t="n">
        <v>22460</v>
      </c>
      <c r="B3833" s="13" t="s">
        <v>15674</v>
      </c>
      <c r="C3833" s="14" t="n">
        <v>46204</v>
      </c>
      <c r="D3833" s="13" t="s">
        <v>3976</v>
      </c>
      <c r="E3833" s="13" t="s">
        <v>47</v>
      </c>
      <c r="F3833" s="24" t="s">
        <v>15675</v>
      </c>
      <c r="G3833" s="13" t="s">
        <v>1127</v>
      </c>
      <c r="H3833" s="13" t="s">
        <v>35</v>
      </c>
      <c r="I3833" s="13" t="str">
        <f aca="false">IF(C3833=J3833,"NEW KONTRAK","RE-KONTRAK")</f>
        <v>NEW KONTRAK</v>
      </c>
      <c r="J3833" s="16" t="n">
        <f aca="false" t="array" ref="J3833:J3833">IFERROR(INDEX(AC3833:AE3833,IF(COUNTA(AC3833:AE3833)=0,"",MAX((AC3833:AE3833&lt;&gt;"")*(COLUMN(AC3833:AE3833)-(COLUMN(AC3833)))))-1),"")</f>
        <v>46204</v>
      </c>
      <c r="K3833" s="16" t="n">
        <f aca="false" t="array" ref="K3833:K3833">IFERROR(INDEX(AC3833:AE3833,IF(COUNTA(AC3833:AE3833)=0,"",MAX((AC3833:AE3833&lt;&gt;"")*(COLUMN(AC3833:AE3833)-(COLUMN(AC3833)-1))))-1),"")</f>
        <v>46387</v>
      </c>
      <c r="L3833" s="17" t="str">
        <f aca="false" t="array" ref="L3833:L3833">IFERROR(INDEX(AC3833:AE3833,IF(COUNTA(AC3833:AE3833)=0,"",MAX((AC3833:AE3833&lt;&gt;"")*(COLUMN(AC3833:AE3833)-(COLUMN(AC3833)-2))))-1),"")</f>
        <v>ARCHIVED</v>
      </c>
      <c r="M3833" s="13" t="n">
        <f aca="true">K3833-TODAY()</f>
        <v>63</v>
      </c>
      <c r="N3833" s="18" t="s">
        <v>105</v>
      </c>
      <c r="O3833" s="13" t="s">
        <v>50</v>
      </c>
      <c r="P3833" s="19" t="n">
        <v>5191541</v>
      </c>
      <c r="Q3833" s="47" t="s">
        <v>15676</v>
      </c>
      <c r="R3833" s="13" t="s">
        <v>14006</v>
      </c>
      <c r="S3833" s="16" t="n">
        <v>33601</v>
      </c>
      <c r="T3833" s="28" t="s">
        <v>40</v>
      </c>
      <c r="U3833" s="13" t="s">
        <v>15677</v>
      </c>
      <c r="V3833" s="28" t="s">
        <v>42</v>
      </c>
      <c r="W3833" s="28" t="s">
        <v>54</v>
      </c>
      <c r="X3833" s="30" t="n">
        <v>82210388629</v>
      </c>
      <c r="Y3833" s="22" t="str">
        <f aca="false">O3833</f>
        <v>Driver</v>
      </c>
      <c r="Z3833" s="13" t="str">
        <f aca="false">IFERROR(__xludf.dummyfunction("if(BJ3833="""","""",GOOGLETRANSLATE(BJ3833,""auto"",""en""))"),"Driver")</f>
        <v>Driver</v>
      </c>
      <c r="AA3833" s="23" t="str">
        <f aca="false">IF(C3833="","", CHOOSE(MONTH(C3833),"January","February","March","April","May","June","July","August","September","October","November","December")&amp;" "&amp;DAY(C3833)&amp;MID("thstndrdth",MIN(9,2*RIGHT(DAY(C3833))*(MOD(DAY(C3833)-11,100)&gt;2)+1),2)&amp;","&amp;TEXT(C3833," yyyy"))</f>
        <v>July 1st,2026</v>
      </c>
      <c r="AB3833" s="15" t="str">
        <f aca="true">IF(S3833="","",DATEDIF(S3833,TODAY(),"Y")&amp;" Tahun, "&amp;DATEDIF(S3833,TODAY(),"YM")&amp;" Bulan, "&amp;DATEDIF(S3833,TODAY(),"MD")&amp;" Hari")</f>
        <v>34 Tahun, 10 Bulan, 0 Hari</v>
      </c>
      <c r="AC3833" s="14" t="n">
        <v>46204</v>
      </c>
      <c r="AD3833" s="18" t="n">
        <f aca="false">EDATE(AC3833,6)-1</f>
        <v>46387</v>
      </c>
      <c r="AE3833" s="65" t="s">
        <v>44</v>
      </c>
    </row>
    <row r="3834" customFormat="false" ht="15" hidden="false" customHeight="true" outlineLevel="0" collapsed="false">
      <c r="A3834" s="12" t="n">
        <v>22461</v>
      </c>
      <c r="B3834" s="45" t="s">
        <v>15678</v>
      </c>
      <c r="C3834" s="14" t="n">
        <v>46204</v>
      </c>
      <c r="D3834" s="13" t="s">
        <v>3573</v>
      </c>
      <c r="E3834" s="13" t="s">
        <v>789</v>
      </c>
      <c r="F3834" s="24" t="s">
        <v>15679</v>
      </c>
      <c r="G3834" s="13" t="s">
        <v>1127</v>
      </c>
      <c r="H3834" s="13" t="s">
        <v>35</v>
      </c>
      <c r="I3834" s="13" t="str">
        <f aca="false">IF(C3834=J3834,"NEW KONTRAK","RE-KONTRAK")</f>
        <v>NEW KONTRAK</v>
      </c>
      <c r="J3834" s="16" t="n">
        <f aca="false" t="array" ref="J3834:J3834">IFERROR(INDEX(AC3834:AE3834,IF(COUNTA(AC3834:AE3834)=0,"",MAX((AC3834:AE3834&lt;&gt;"")*(COLUMN(AC3834:AE3834)-(COLUMN(AC3834)))))-1),"")</f>
        <v>46204</v>
      </c>
      <c r="K3834" s="16" t="n">
        <f aca="false" t="array" ref="K3834:K3834">IFERROR(INDEX(AC3834:AE3834,IF(COUNTA(AC3834:AE3834)=0,"",MAX((AC3834:AE3834&lt;&gt;"")*(COLUMN(AC3834:AE3834)-(COLUMN(AC3834)-1))))-1),"")</f>
        <v>46295</v>
      </c>
      <c r="L3834" s="17" t="str">
        <f aca="false" t="array" ref="L3834:L3834">IFERROR(INDEX(AC3834:AE3834,IF(COUNTA(AC3834:AE3834)=0,"",MAX((AC3834:AE3834&lt;&gt;"")*(COLUMN(AC3834:AE3834)-(COLUMN(AC3834)-2))))-1),"")</f>
        <v>KEMBALI</v>
      </c>
      <c r="M3834" s="13" t="n">
        <f aca="true">K3834-TODAY()</f>
        <v>-29</v>
      </c>
      <c r="N3834" s="18" t="s">
        <v>3576</v>
      </c>
      <c r="O3834" s="13" t="s">
        <v>5017</v>
      </c>
      <c r="P3834" s="19" t="n">
        <v>2651603</v>
      </c>
      <c r="Q3834" s="47" t="s">
        <v>15680</v>
      </c>
      <c r="R3834" s="13" t="s">
        <v>15681</v>
      </c>
      <c r="S3834" s="16" t="n">
        <v>34395</v>
      </c>
      <c r="T3834" s="28" t="s">
        <v>108</v>
      </c>
      <c r="U3834" s="13" t="s">
        <v>15682</v>
      </c>
      <c r="V3834" s="28" t="s">
        <v>42</v>
      </c>
      <c r="W3834" s="28" t="s">
        <v>54</v>
      </c>
      <c r="X3834" s="21" t="n">
        <v>81336570495</v>
      </c>
      <c r="Y3834" s="22" t="str">
        <f aca="false">O3834</f>
        <v>Sales</v>
      </c>
      <c r="Z3834" s="13" t="str">
        <f aca="false">IFERROR(__xludf.dummyfunction("if(BJ3834="""","""",GOOGLETRANSLATE(BJ3834,""auto"",""en""))"),"Sales")</f>
        <v>Sales</v>
      </c>
      <c r="AA3834" s="23" t="str">
        <f aca="false">IF(C3834="","", CHOOSE(MONTH(C3834),"January","February","March","April","May","June","July","August","September","October","November","December")&amp;" "&amp;DAY(C3834)&amp;MID("thstndrdth",MIN(9,2*RIGHT(DAY(C3834))*(MOD(DAY(C3834)-11,100)&gt;2)+1),2)&amp;","&amp;TEXT(C3834," yyyy"))</f>
        <v>July 1st,2026</v>
      </c>
      <c r="AB3834" s="15" t="str">
        <f aca="true">IF(S3834="","",DATEDIF(S3834,TODAY(),"Y")&amp;" Tahun, "&amp;DATEDIF(S3834,TODAY(),"YM")&amp;" Bulan, "&amp;DATEDIF(S3834,TODAY(),"MD")&amp;" Hari")</f>
        <v>32 Tahun, 7 Bulan, 27 Hari</v>
      </c>
      <c r="AC3834" s="14" t="n">
        <v>46204</v>
      </c>
      <c r="AD3834" s="18" t="n">
        <f aca="false">EDATE(AC3834,3)-1</f>
        <v>46295</v>
      </c>
      <c r="AE3834" s="13" t="s">
        <v>397</v>
      </c>
    </row>
    <row r="3835" customFormat="false" ht="15" hidden="false" customHeight="true" outlineLevel="0" collapsed="false">
      <c r="A3835" s="12" t="n">
        <v>22462</v>
      </c>
      <c r="B3835" s="45" t="s">
        <v>15683</v>
      </c>
      <c r="C3835" s="14" t="n">
        <v>46204</v>
      </c>
      <c r="D3835" s="13" t="s">
        <v>3573</v>
      </c>
      <c r="E3835" s="13" t="s">
        <v>789</v>
      </c>
      <c r="F3835" s="24" t="s">
        <v>15684</v>
      </c>
      <c r="G3835" s="13" t="s">
        <v>1127</v>
      </c>
      <c r="H3835" s="13" t="s">
        <v>35</v>
      </c>
      <c r="I3835" s="13" t="str">
        <f aca="false">IF(C3835=J3835,"NEW KONTRAK","RE-KONTRAK")</f>
        <v>NEW KONTRAK</v>
      </c>
      <c r="J3835" s="16" t="n">
        <f aca="false" t="array" ref="J3835:J3835">IFERROR(INDEX(AC3835:AE3835,IF(COUNTA(AC3835:AE3835)=0,"",MAX((AC3835:AE3835&lt;&gt;"")*(COLUMN(AC3835:AE3835)-(COLUMN(AC3835)))))-1),"")</f>
        <v>46204</v>
      </c>
      <c r="K3835" s="16" t="n">
        <f aca="false" t="array" ref="K3835:K3835">IFERROR(INDEX(AC3835:AE3835,IF(COUNTA(AC3835:AE3835)=0,"",MAX((AC3835:AE3835&lt;&gt;"")*(COLUMN(AC3835:AE3835)-(COLUMN(AC3835)-1))))-1),"")</f>
        <v>46295</v>
      </c>
      <c r="L3835" s="17" t="str">
        <f aca="false" t="array" ref="L3835:L3835">IFERROR(INDEX(AC3835:AE3835,IF(COUNTA(AC3835:AE3835)=0,"",MAX((AC3835:AE3835&lt;&gt;"")*(COLUMN(AC3835:AE3835)-(COLUMN(AC3835)-2))))-1),"")</f>
        <v>KEMBALI</v>
      </c>
      <c r="M3835" s="13" t="n">
        <f aca="true">K3835-TODAY()</f>
        <v>-29</v>
      </c>
      <c r="N3835" s="18" t="s">
        <v>3576</v>
      </c>
      <c r="O3835" s="13" t="s">
        <v>5017</v>
      </c>
      <c r="P3835" s="19" t="n">
        <v>2651603</v>
      </c>
      <c r="Q3835" s="47" t="s">
        <v>15685</v>
      </c>
      <c r="R3835" s="13" t="s">
        <v>15686</v>
      </c>
      <c r="S3835" s="16" t="n">
        <v>35131</v>
      </c>
      <c r="T3835" s="28" t="s">
        <v>108</v>
      </c>
      <c r="U3835" s="13" t="s">
        <v>15687</v>
      </c>
      <c r="V3835" s="28" t="s">
        <v>42</v>
      </c>
      <c r="W3835" s="28" t="s">
        <v>43</v>
      </c>
      <c r="X3835" s="21" t="n">
        <v>81259961840</v>
      </c>
      <c r="Y3835" s="22" t="str">
        <f aca="false">O3835</f>
        <v>Sales</v>
      </c>
      <c r="Z3835" s="13" t="str">
        <f aca="false">IFERROR(__xludf.dummyfunction("if(BJ3835="""","""",GOOGLETRANSLATE(BJ3835,""auto"",""en""))"),"Sales")</f>
        <v>Sales</v>
      </c>
      <c r="AA3835" s="23" t="str">
        <f aca="false">IF(C3835="","", CHOOSE(MONTH(C3835),"January","February","March","April","May","June","July","August","September","October","November","December")&amp;" "&amp;DAY(C3835)&amp;MID("thstndrdth",MIN(9,2*RIGHT(DAY(C3835))*(MOD(DAY(C3835)-11,100)&gt;2)+1),2)&amp;","&amp;TEXT(C3835," yyyy"))</f>
        <v>July 1st,2026</v>
      </c>
      <c r="AB3835" s="15" t="str">
        <f aca="true">IF(S3835="","",DATEDIF(S3835,TODAY(),"Y")&amp;" Tahun, "&amp;DATEDIF(S3835,TODAY(),"YM")&amp;" Bulan, "&amp;DATEDIF(S3835,TODAY(),"MD")&amp;" Hari")</f>
        <v>30 Tahun, 7 Bulan, 22 Hari</v>
      </c>
      <c r="AC3835" s="14" t="n">
        <v>46204</v>
      </c>
      <c r="AD3835" s="18" t="n">
        <f aca="false">EDATE(AC3835,3)-1</f>
        <v>46295</v>
      </c>
      <c r="AE3835" s="13" t="s">
        <v>397</v>
      </c>
    </row>
    <row r="3836" customFormat="false" ht="15" hidden="false" customHeight="true" outlineLevel="0" collapsed="false">
      <c r="A3836" s="12" t="n">
        <v>22463</v>
      </c>
      <c r="B3836" s="45" t="s">
        <v>15688</v>
      </c>
      <c r="C3836" s="14" t="n">
        <v>46204</v>
      </c>
      <c r="D3836" s="13" t="s">
        <v>3573</v>
      </c>
      <c r="E3836" s="13" t="s">
        <v>789</v>
      </c>
      <c r="F3836" s="24" t="s">
        <v>15689</v>
      </c>
      <c r="G3836" s="13" t="s">
        <v>1127</v>
      </c>
      <c r="H3836" s="13" t="s">
        <v>35</v>
      </c>
      <c r="I3836" s="13" t="str">
        <f aca="false">IF(C3836=J3836,"NEW KONTRAK","RE-KONTRAK")</f>
        <v>NEW KONTRAK</v>
      </c>
      <c r="J3836" s="16" t="n">
        <f aca="false" t="array" ref="J3836:J3836">IFERROR(INDEX(AC3836:AE3836,IF(COUNTA(AC3836:AE3836)=0,"",MAX((AC3836:AE3836&lt;&gt;"")*(COLUMN(AC3836:AE3836)-(COLUMN(AC3836)))))-1),"")</f>
        <v>46204</v>
      </c>
      <c r="K3836" s="16" t="n">
        <f aca="false" t="array" ref="K3836:K3836">IFERROR(INDEX(AC3836:AE3836,IF(COUNTA(AC3836:AE3836)=0,"",MAX((AC3836:AE3836&lt;&gt;"")*(COLUMN(AC3836:AE3836)-(COLUMN(AC3836)-1))))-1),"")</f>
        <v>46295</v>
      </c>
      <c r="L3836" s="17" t="str">
        <f aca="false" t="array" ref="L3836:L3836">IFERROR(INDEX(AC3836:AE3836,IF(COUNTA(AC3836:AE3836)=0,"",MAX((AC3836:AE3836&lt;&gt;"")*(COLUMN(AC3836:AE3836)-(COLUMN(AC3836)-2))))-1),"")</f>
        <v>KEMBALI</v>
      </c>
      <c r="M3836" s="13" t="n">
        <f aca="true">K3836-TODAY()</f>
        <v>-29</v>
      </c>
      <c r="N3836" s="18" t="s">
        <v>3576</v>
      </c>
      <c r="O3836" s="13" t="s">
        <v>5017</v>
      </c>
      <c r="P3836" s="19" t="n">
        <v>2651603</v>
      </c>
      <c r="Q3836" s="47" t="s">
        <v>15690</v>
      </c>
      <c r="R3836" s="13" t="s">
        <v>15681</v>
      </c>
      <c r="S3836" s="16" t="n">
        <v>36282</v>
      </c>
      <c r="T3836" s="28" t="s">
        <v>108</v>
      </c>
      <c r="U3836" s="13" t="s">
        <v>15691</v>
      </c>
      <c r="V3836" s="28" t="s">
        <v>42</v>
      </c>
      <c r="W3836" s="28" t="s">
        <v>43</v>
      </c>
      <c r="X3836" s="21" t="n">
        <v>85745007565</v>
      </c>
      <c r="Y3836" s="22" t="str">
        <f aca="false">O3836</f>
        <v>Sales</v>
      </c>
      <c r="Z3836" s="13" t="str">
        <f aca="false">IFERROR(__xludf.dummyfunction("if(BJ3836="""","""",GOOGLETRANSLATE(BJ3836,""auto"",""en""))"),"Sales")</f>
        <v>Sales</v>
      </c>
      <c r="AA3836" s="23" t="str">
        <f aca="false">IF(C3836="","", CHOOSE(MONTH(C3836),"January","February","March","April","May","June","July","August","September","October","November","December")&amp;" "&amp;DAY(C3836)&amp;MID("thstndrdth",MIN(9,2*RIGHT(DAY(C3836))*(MOD(DAY(C3836)-11,100)&gt;2)+1),2)&amp;","&amp;TEXT(C3836," yyyy"))</f>
        <v>July 1st,2026</v>
      </c>
      <c r="AB3836" s="15" t="str">
        <f aca="true">IF(S3836="","",DATEDIF(S3836,TODAY(),"Y")&amp;" Tahun, "&amp;DATEDIF(S3836,TODAY(),"YM")&amp;" Bulan, "&amp;DATEDIF(S3836,TODAY(),"MD")&amp;" Hari")</f>
        <v>27 Tahun, 5 Bulan, 27 Hari</v>
      </c>
      <c r="AC3836" s="14" t="n">
        <v>46204</v>
      </c>
      <c r="AD3836" s="18" t="n">
        <f aca="false">EDATE(AC3836,3)-1</f>
        <v>46295</v>
      </c>
      <c r="AE3836" s="13" t="s">
        <v>397</v>
      </c>
    </row>
    <row r="3837" customFormat="false" ht="15" hidden="false" customHeight="true" outlineLevel="0" collapsed="false">
      <c r="A3837" s="12" t="n">
        <v>22464</v>
      </c>
      <c r="B3837" s="45" t="s">
        <v>15692</v>
      </c>
      <c r="C3837" s="14" t="n">
        <v>46204</v>
      </c>
      <c r="D3837" s="13" t="s">
        <v>3573</v>
      </c>
      <c r="E3837" s="13" t="s">
        <v>789</v>
      </c>
      <c r="F3837" s="24" t="s">
        <v>15693</v>
      </c>
      <c r="G3837" s="13" t="s">
        <v>1127</v>
      </c>
      <c r="H3837" s="13" t="s">
        <v>35</v>
      </c>
      <c r="I3837" s="13" t="str">
        <f aca="false">IF(C3837=J3837,"NEW KONTRAK","RE-KONTRAK")</f>
        <v>NEW KONTRAK</v>
      </c>
      <c r="J3837" s="16" t="n">
        <f aca="false" t="array" ref="J3837:J3837">IFERROR(INDEX(AC3837:AE3837,IF(COUNTA(AC3837:AE3837)=0,"",MAX((AC3837:AE3837&lt;&gt;"")*(COLUMN(AC3837:AE3837)-(COLUMN(AC3837)))))-1),"")</f>
        <v>46204</v>
      </c>
      <c r="K3837" s="16" t="n">
        <f aca="false" t="array" ref="K3837:K3837">IFERROR(INDEX(AC3837:AE3837,IF(COUNTA(AC3837:AE3837)=0,"",MAX((AC3837:AE3837&lt;&gt;"")*(COLUMN(AC3837:AE3837)-(COLUMN(AC3837)-1))))-1),"")</f>
        <v>46295</v>
      </c>
      <c r="L3837" s="17" t="str">
        <f aca="false" t="array" ref="L3837:L3837">IFERROR(INDEX(AC3837:AE3837,IF(COUNTA(AC3837:AE3837)=0,"",MAX((AC3837:AE3837&lt;&gt;"")*(COLUMN(AC3837:AE3837)-(COLUMN(AC3837)-2))))-1),"")</f>
        <v>KEMBALI</v>
      </c>
      <c r="M3837" s="13" t="n">
        <f aca="true">K3837-TODAY()</f>
        <v>-29</v>
      </c>
      <c r="N3837" s="18" t="s">
        <v>3576</v>
      </c>
      <c r="O3837" s="13" t="s">
        <v>5017</v>
      </c>
      <c r="P3837" s="19" t="n">
        <v>2651603</v>
      </c>
      <c r="Q3837" s="47" t="s">
        <v>15694</v>
      </c>
      <c r="R3837" s="13" t="s">
        <v>15686</v>
      </c>
      <c r="S3837" s="16" t="n">
        <v>37193</v>
      </c>
      <c r="T3837" s="28" t="s">
        <v>108</v>
      </c>
      <c r="U3837" s="13" t="s">
        <v>15695</v>
      </c>
      <c r="V3837" s="28" t="s">
        <v>42</v>
      </c>
      <c r="W3837" s="28" t="s">
        <v>43</v>
      </c>
      <c r="X3837" s="21" t="n">
        <v>82229150503</v>
      </c>
      <c r="Y3837" s="22" t="str">
        <f aca="false">O3837</f>
        <v>Sales</v>
      </c>
      <c r="Z3837" s="13" t="str">
        <f aca="false">IFERROR(__xludf.dummyfunction("if(BJ3837="""","""",GOOGLETRANSLATE(BJ3837,""auto"",""en""))"),"Sales")</f>
        <v>Sales</v>
      </c>
      <c r="AA3837" s="23" t="str">
        <f aca="false">IF(C3837="","", CHOOSE(MONTH(C3837),"January","February","March","April","May","June","July","August","September","October","November","December")&amp;" "&amp;DAY(C3837)&amp;MID("thstndrdth",MIN(9,2*RIGHT(DAY(C3837))*(MOD(DAY(C3837)-11,100)&gt;2)+1),2)&amp;","&amp;TEXT(C3837," yyyy"))</f>
        <v>July 1st,2026</v>
      </c>
      <c r="AB3837" s="15" t="str">
        <f aca="true">IF(S3837="","",DATEDIF(S3837,TODAY(),"Y")&amp;" Tahun, "&amp;DATEDIF(S3837,TODAY(),"YM")&amp;" Bulan, "&amp;DATEDIF(S3837,TODAY(),"MD")&amp;" Hari")</f>
        <v>25 Tahun, 0 Bulan, 0 Hari</v>
      </c>
      <c r="AC3837" s="14" t="n">
        <v>46204</v>
      </c>
      <c r="AD3837" s="18" t="n">
        <f aca="false">EDATE(AC3837,3)-1</f>
        <v>46295</v>
      </c>
      <c r="AE3837" s="13" t="s">
        <v>397</v>
      </c>
    </row>
    <row r="3838" customFormat="false" ht="15" hidden="false" customHeight="true" outlineLevel="0" collapsed="false">
      <c r="A3838" s="12" t="n">
        <v>22465</v>
      </c>
      <c r="B3838" s="45" t="s">
        <v>15696</v>
      </c>
      <c r="C3838" s="14" t="n">
        <v>46204</v>
      </c>
      <c r="D3838" s="13" t="s">
        <v>3573</v>
      </c>
      <c r="E3838" s="13" t="s">
        <v>789</v>
      </c>
      <c r="F3838" s="24" t="s">
        <v>15697</v>
      </c>
      <c r="G3838" s="13" t="s">
        <v>1127</v>
      </c>
      <c r="H3838" s="13" t="s">
        <v>35</v>
      </c>
      <c r="I3838" s="13" t="str">
        <f aca="false">IF(C3838=J3838,"NEW KONTRAK","RE-KONTRAK")</f>
        <v>NEW KONTRAK</v>
      </c>
      <c r="J3838" s="16" t="n">
        <f aca="false" t="array" ref="J3838:J3838">IFERROR(INDEX(AC3838:AE3838,IF(COUNTA(AC3838:AE3838)=0,"",MAX((AC3838:AE3838&lt;&gt;"")*(COLUMN(AC3838:AE3838)-(COLUMN(AC3838)))))-1),"")</f>
        <v>46204</v>
      </c>
      <c r="K3838" s="16" t="n">
        <f aca="false" t="array" ref="K3838:K3838">IFERROR(INDEX(AC3838:AE3838,IF(COUNTA(AC3838:AE3838)=0,"",MAX((AC3838:AE3838&lt;&gt;"")*(COLUMN(AC3838:AE3838)-(COLUMN(AC3838)-1))))-1),"")</f>
        <v>46295</v>
      </c>
      <c r="L3838" s="17" t="str">
        <f aca="false" t="array" ref="L3838:L3838">IFERROR(INDEX(AC3838:AE3838,IF(COUNTA(AC3838:AE3838)=0,"",MAX((AC3838:AE3838&lt;&gt;"")*(COLUMN(AC3838:AE3838)-(COLUMN(AC3838)-2))))-1),"")</f>
        <v>KEMBALI</v>
      </c>
      <c r="M3838" s="13" t="n">
        <f aca="true">K3838-TODAY()</f>
        <v>-29</v>
      </c>
      <c r="N3838" s="18" t="s">
        <v>3576</v>
      </c>
      <c r="O3838" s="13" t="s">
        <v>5017</v>
      </c>
      <c r="P3838" s="19" t="n">
        <v>2651603</v>
      </c>
      <c r="Q3838" s="47" t="s">
        <v>15698</v>
      </c>
      <c r="R3838" s="13" t="s">
        <v>15663</v>
      </c>
      <c r="S3838" s="16" t="n">
        <v>33014</v>
      </c>
      <c r="T3838" s="28" t="s">
        <v>108</v>
      </c>
      <c r="U3838" s="13" t="s">
        <v>15699</v>
      </c>
      <c r="V3838" s="28" t="s">
        <v>42</v>
      </c>
      <c r="W3838" s="28" t="s">
        <v>897</v>
      </c>
      <c r="X3838" s="21" t="n">
        <v>81514423744</v>
      </c>
      <c r="Y3838" s="22" t="str">
        <f aca="false">O3838</f>
        <v>Sales</v>
      </c>
      <c r="Z3838" s="13" t="str">
        <f aca="false">IFERROR(__xludf.dummyfunction("if(BJ3838="""","""",GOOGLETRANSLATE(BJ3838,""auto"",""en""))"),"Sales")</f>
        <v>Sales</v>
      </c>
      <c r="AA3838" s="23" t="str">
        <f aca="false">IF(C3838="","", CHOOSE(MONTH(C3838),"January","February","March","April","May","June","July","August","September","October","November","December")&amp;" "&amp;DAY(C3838)&amp;MID("thstndrdth",MIN(9,2*RIGHT(DAY(C3838))*(MOD(DAY(C3838)-11,100)&gt;2)+1),2)&amp;","&amp;TEXT(C3838," yyyy"))</f>
        <v>July 1st,2026</v>
      </c>
      <c r="AB3838" s="15" t="str">
        <f aca="true">IF(S3838="","",DATEDIF(S3838,TODAY(),"Y")&amp;" Tahun, "&amp;DATEDIF(S3838,TODAY(),"YM")&amp;" Bulan, "&amp;DATEDIF(S3838,TODAY(),"MD")&amp;" Hari")</f>
        <v>36 Tahun, 5 Bulan, 8 Hari</v>
      </c>
      <c r="AC3838" s="14" t="n">
        <v>46204</v>
      </c>
      <c r="AD3838" s="18" t="n">
        <f aca="false">EDATE(AC3838,3)-1</f>
        <v>46295</v>
      </c>
      <c r="AE3838" s="13" t="s">
        <v>397</v>
      </c>
    </row>
    <row r="3839" customFormat="false" ht="15" hidden="false" customHeight="true" outlineLevel="0" collapsed="false">
      <c r="A3839" s="12" t="n">
        <v>22466</v>
      </c>
      <c r="B3839" s="45" t="s">
        <v>15700</v>
      </c>
      <c r="C3839" s="14" t="n">
        <v>46204</v>
      </c>
      <c r="D3839" s="13" t="s">
        <v>3573</v>
      </c>
      <c r="E3839" s="13" t="s">
        <v>789</v>
      </c>
      <c r="F3839" s="24" t="s">
        <v>15701</v>
      </c>
      <c r="G3839" s="13" t="s">
        <v>1127</v>
      </c>
      <c r="H3839" s="13" t="s">
        <v>35</v>
      </c>
      <c r="I3839" s="13" t="str">
        <f aca="false">IF(C3839=J3839,"NEW KONTRAK","RE-KONTRAK")</f>
        <v>NEW KONTRAK</v>
      </c>
      <c r="J3839" s="16" t="n">
        <f aca="false" t="array" ref="J3839:J3839">IFERROR(INDEX(AC3839:AE3839,IF(COUNTA(AC3839:AE3839)=0,"",MAX((AC3839:AE3839&lt;&gt;"")*(COLUMN(AC3839:AE3839)-(COLUMN(AC3839)))))-1),"")</f>
        <v>46204</v>
      </c>
      <c r="K3839" s="16" t="n">
        <f aca="false" t="array" ref="K3839:K3839">IFERROR(INDEX(AC3839:AE3839,IF(COUNTA(AC3839:AE3839)=0,"",MAX((AC3839:AE3839&lt;&gt;"")*(COLUMN(AC3839:AE3839)-(COLUMN(AC3839)-1))))-1),"")</f>
        <v>46295</v>
      </c>
      <c r="L3839" s="17" t="str">
        <f aca="false" t="array" ref="L3839:L3839">IFERROR(INDEX(AC3839:AE3839,IF(COUNTA(AC3839:AE3839)=0,"",MAX((AC3839:AE3839&lt;&gt;"")*(COLUMN(AC3839:AE3839)-(COLUMN(AC3839)-2))))-1),"")</f>
        <v>KEMBALI</v>
      </c>
      <c r="M3839" s="13" t="n">
        <f aca="true">K3839-TODAY()</f>
        <v>-29</v>
      </c>
      <c r="N3839" s="18" t="s">
        <v>3576</v>
      </c>
      <c r="O3839" s="13" t="s">
        <v>5017</v>
      </c>
      <c r="P3839" s="19" t="n">
        <v>2651603</v>
      </c>
      <c r="Q3839" s="47" t="s">
        <v>15702</v>
      </c>
      <c r="R3839" s="13" t="s">
        <v>15663</v>
      </c>
      <c r="S3839" s="16" t="n">
        <v>35669</v>
      </c>
      <c r="T3839" s="28" t="s">
        <v>108</v>
      </c>
      <c r="U3839" s="13" t="s">
        <v>15703</v>
      </c>
      <c r="V3839" s="28" t="s">
        <v>42</v>
      </c>
      <c r="W3839" s="28" t="s">
        <v>54</v>
      </c>
      <c r="X3839" s="21" t="n">
        <v>85604425997</v>
      </c>
      <c r="Y3839" s="22" t="str">
        <f aca="false">O3839</f>
        <v>Sales</v>
      </c>
      <c r="Z3839" s="13" t="str">
        <f aca="false">IFERROR(__xludf.dummyfunction("if(BJ3839="""","""",GOOGLETRANSLATE(BJ3839,""auto"",""en""))"),"Sales")</f>
        <v>Sales</v>
      </c>
      <c r="AA3839" s="23" t="str">
        <f aca="false">IF(C3839="","", CHOOSE(MONTH(C3839),"January","February","March","April","May","June","July","August","September","October","November","December")&amp;" "&amp;DAY(C3839)&amp;MID("thstndrdth",MIN(9,2*RIGHT(DAY(C3839))*(MOD(DAY(C3839)-11,100)&gt;2)+1),2)&amp;","&amp;TEXT(C3839," yyyy"))</f>
        <v>July 1st,2026</v>
      </c>
      <c r="AB3839" s="15" t="str">
        <f aca="true">IF(S3839="","",DATEDIF(S3839,TODAY(),"Y")&amp;" Tahun, "&amp;DATEDIF(S3839,TODAY(),"YM")&amp;" Bulan, "&amp;DATEDIF(S3839,TODAY(),"MD")&amp;" Hari")</f>
        <v>29 Tahun, 2 Bulan, 2 Hari</v>
      </c>
      <c r="AC3839" s="14" t="n">
        <v>46204</v>
      </c>
      <c r="AD3839" s="18" t="n">
        <f aca="false">EDATE(AC3839,3)-1</f>
        <v>46295</v>
      </c>
      <c r="AE3839" s="13" t="s">
        <v>397</v>
      </c>
    </row>
    <row r="3840" customFormat="false" ht="15" hidden="false" customHeight="true" outlineLevel="0" collapsed="false">
      <c r="A3840" s="12" t="n">
        <v>22467</v>
      </c>
      <c r="B3840" s="45" t="s">
        <v>15704</v>
      </c>
      <c r="C3840" s="14" t="n">
        <v>46204</v>
      </c>
      <c r="D3840" s="13" t="s">
        <v>3573</v>
      </c>
      <c r="E3840" s="13" t="s">
        <v>789</v>
      </c>
      <c r="F3840" s="24" t="s">
        <v>15705</v>
      </c>
      <c r="G3840" s="13" t="s">
        <v>1127</v>
      </c>
      <c r="H3840" s="13" t="s">
        <v>35</v>
      </c>
      <c r="I3840" s="13" t="str">
        <f aca="false">IF(C3840=J3840,"NEW KONTRAK","RE-KONTRAK")</f>
        <v>NEW KONTRAK</v>
      </c>
      <c r="J3840" s="16" t="n">
        <f aca="false" t="array" ref="J3840:J3840">IFERROR(INDEX(AC3840:AE3840,IF(COUNTA(AC3840:AE3840)=0,"",MAX((AC3840:AE3840&lt;&gt;"")*(COLUMN(AC3840:AE3840)-(COLUMN(AC3840)))))-1),"")</f>
        <v>46204</v>
      </c>
      <c r="K3840" s="16" t="n">
        <f aca="false" t="array" ref="K3840:K3840">IFERROR(INDEX(AC3840:AE3840,IF(COUNTA(AC3840:AE3840)=0,"",MAX((AC3840:AE3840&lt;&gt;"")*(COLUMN(AC3840:AE3840)-(COLUMN(AC3840)-1))))-1),"")</f>
        <v>46295</v>
      </c>
      <c r="L3840" s="17" t="str">
        <f aca="false" t="array" ref="L3840:L3840">IFERROR(INDEX(AC3840:AE3840,IF(COUNTA(AC3840:AE3840)=0,"",MAX((AC3840:AE3840&lt;&gt;"")*(COLUMN(AC3840:AE3840)-(COLUMN(AC3840)-2))))-1),"")</f>
        <v>KEMBALI</v>
      </c>
      <c r="M3840" s="13" t="n">
        <f aca="true">K3840-TODAY()</f>
        <v>-29</v>
      </c>
      <c r="N3840" s="18" t="s">
        <v>3576</v>
      </c>
      <c r="O3840" s="13" t="s">
        <v>5017</v>
      </c>
      <c r="P3840" s="19" t="n">
        <v>2651603</v>
      </c>
      <c r="Q3840" s="47" t="s">
        <v>15706</v>
      </c>
      <c r="R3840" s="13" t="s">
        <v>15681</v>
      </c>
      <c r="S3840" s="16" t="n">
        <v>35934</v>
      </c>
      <c r="T3840" s="28" t="s">
        <v>40</v>
      </c>
      <c r="U3840" s="13" t="s">
        <v>15707</v>
      </c>
      <c r="V3840" s="28" t="s">
        <v>42</v>
      </c>
      <c r="W3840" s="28" t="s">
        <v>54</v>
      </c>
      <c r="X3840" s="21" t="n">
        <v>87865029773</v>
      </c>
      <c r="Y3840" s="22" t="str">
        <f aca="false">O3840</f>
        <v>Sales</v>
      </c>
      <c r="Z3840" s="13" t="str">
        <f aca="false">IFERROR(__xludf.dummyfunction("if(BJ3840="""","""",GOOGLETRANSLATE(BJ3840,""auto"",""en""))"),"Sales")</f>
        <v>Sales</v>
      </c>
      <c r="AA3840" s="23" t="str">
        <f aca="false">IF(C3840="","", CHOOSE(MONTH(C3840),"January","February","March","April","May","June","July","August","September","October","November","December")&amp;" "&amp;DAY(C3840)&amp;MID("thstndrdth",MIN(9,2*RIGHT(DAY(C3840))*(MOD(DAY(C3840)-11,100)&gt;2)+1),2)&amp;","&amp;TEXT(C3840," yyyy"))</f>
        <v>July 1st,2026</v>
      </c>
      <c r="AB3840" s="15" t="str">
        <f aca="true">IF(S3840="","",DATEDIF(S3840,TODAY(),"Y")&amp;" Tahun, "&amp;DATEDIF(S3840,TODAY(),"YM")&amp;" Bulan, "&amp;DATEDIF(S3840,TODAY(),"MD")&amp;" Hari")</f>
        <v>28 Tahun, 5 Bulan, 10 Hari</v>
      </c>
      <c r="AC3840" s="14" t="n">
        <v>46204</v>
      </c>
      <c r="AD3840" s="18" t="n">
        <f aca="false">EDATE(AC3840,3)-1</f>
        <v>46295</v>
      </c>
      <c r="AE3840" s="13" t="s">
        <v>397</v>
      </c>
    </row>
    <row r="3841" customFormat="false" ht="15" hidden="false" customHeight="true" outlineLevel="0" collapsed="false">
      <c r="A3841" s="12" t="n">
        <v>22468</v>
      </c>
      <c r="B3841" s="45" t="s">
        <v>15708</v>
      </c>
      <c r="C3841" s="14" t="n">
        <v>46204</v>
      </c>
      <c r="D3841" s="13" t="s">
        <v>3573</v>
      </c>
      <c r="E3841" s="13" t="s">
        <v>789</v>
      </c>
      <c r="F3841" s="24" t="s">
        <v>15709</v>
      </c>
      <c r="G3841" s="13" t="s">
        <v>1127</v>
      </c>
      <c r="H3841" s="13" t="s">
        <v>35</v>
      </c>
      <c r="I3841" s="13" t="str">
        <f aca="false">IF(C3841=J3841,"NEW KONTRAK","RE-KONTRAK")</f>
        <v>NEW KONTRAK</v>
      </c>
      <c r="J3841" s="16" t="n">
        <f aca="false" t="array" ref="J3841:J3841">IFERROR(INDEX(AC3841:AE3841,IF(COUNTA(AC3841:AE3841)=0,"",MAX((AC3841:AE3841&lt;&gt;"")*(COLUMN(AC3841:AE3841)-(COLUMN(AC3841)))))-1),"")</f>
        <v>46204</v>
      </c>
      <c r="K3841" s="16" t="n">
        <f aca="false" t="array" ref="K3841:K3841">IFERROR(INDEX(AC3841:AE3841,IF(COUNTA(AC3841:AE3841)=0,"",MAX((AC3841:AE3841&lt;&gt;"")*(COLUMN(AC3841:AE3841)-(COLUMN(AC3841)-1))))-1),"")</f>
        <v>46295</v>
      </c>
      <c r="L3841" s="17" t="str">
        <f aca="false" t="array" ref="L3841:L3841">IFERROR(INDEX(AC3841:AE3841,IF(COUNTA(AC3841:AE3841)=0,"",MAX((AC3841:AE3841&lt;&gt;"")*(COLUMN(AC3841:AE3841)-(COLUMN(AC3841)-2))))-1),"")</f>
        <v>KEMBALI</v>
      </c>
      <c r="M3841" s="13" t="n">
        <f aca="true">K3841-TODAY()</f>
        <v>-29</v>
      </c>
      <c r="N3841" s="18" t="s">
        <v>3576</v>
      </c>
      <c r="O3841" s="13" t="s">
        <v>5017</v>
      </c>
      <c r="P3841" s="19" t="n">
        <v>2651603</v>
      </c>
      <c r="Q3841" s="47" t="s">
        <v>15710</v>
      </c>
      <c r="R3841" s="13" t="s">
        <v>73</v>
      </c>
      <c r="S3841" s="16" t="n">
        <v>35505</v>
      </c>
      <c r="T3841" s="28" t="s">
        <v>108</v>
      </c>
      <c r="U3841" s="13" t="s">
        <v>15711</v>
      </c>
      <c r="V3841" s="28" t="s">
        <v>42</v>
      </c>
      <c r="W3841" s="28" t="s">
        <v>43</v>
      </c>
      <c r="X3841" s="21" t="n">
        <v>85732251243</v>
      </c>
      <c r="Y3841" s="22" t="str">
        <f aca="false">O3841</f>
        <v>Sales</v>
      </c>
      <c r="Z3841" s="13" t="str">
        <f aca="false">IFERROR(__xludf.dummyfunction("if(BJ3841="""","""",GOOGLETRANSLATE(BJ3841,""auto"",""en""))"),"Sales")</f>
        <v>Sales</v>
      </c>
      <c r="AA3841" s="23" t="str">
        <f aca="false">IF(C3841="","", CHOOSE(MONTH(C3841),"January","February","March","April","May","June","July","August","September","October","November","December")&amp;" "&amp;DAY(C3841)&amp;MID("thstndrdth",MIN(9,2*RIGHT(DAY(C3841))*(MOD(DAY(C3841)-11,100)&gt;2)+1),2)&amp;","&amp;TEXT(C3841," yyyy"))</f>
        <v>July 1st,2026</v>
      </c>
      <c r="AB3841" s="15" t="str">
        <f aca="true">IF(S3841="","",DATEDIF(S3841,TODAY(),"Y")&amp;" Tahun, "&amp;DATEDIF(S3841,TODAY(),"YM")&amp;" Bulan, "&amp;DATEDIF(S3841,TODAY(),"MD")&amp;" Hari")</f>
        <v>29 Tahun, 7 Bulan, 13 Hari</v>
      </c>
      <c r="AC3841" s="14" t="n">
        <v>46204</v>
      </c>
      <c r="AD3841" s="18" t="n">
        <f aca="false">EDATE(AC3841,3)-1</f>
        <v>46295</v>
      </c>
      <c r="AE3841" s="13" t="s">
        <v>397</v>
      </c>
    </row>
    <row r="3842" customFormat="false" ht="15" hidden="false" customHeight="true" outlineLevel="0" collapsed="false">
      <c r="A3842" s="12" t="n">
        <v>22469</v>
      </c>
      <c r="B3842" s="45" t="s">
        <v>15712</v>
      </c>
      <c r="C3842" s="14" t="n">
        <v>46204</v>
      </c>
      <c r="D3842" s="13" t="s">
        <v>3573</v>
      </c>
      <c r="E3842" s="13" t="s">
        <v>789</v>
      </c>
      <c r="F3842" s="24" t="s">
        <v>15713</v>
      </c>
      <c r="G3842" s="13" t="s">
        <v>1127</v>
      </c>
      <c r="H3842" s="13" t="s">
        <v>35</v>
      </c>
      <c r="I3842" s="13" t="str">
        <f aca="false">IF(C3842=J3842,"NEW KONTRAK","RE-KONTRAK")</f>
        <v>NEW KONTRAK</v>
      </c>
      <c r="J3842" s="16" t="n">
        <f aca="false" t="array" ref="J3842:J3842">IFERROR(INDEX(AC3842:AE3842,IF(COUNTA(AC3842:AE3842)=0,"",MAX((AC3842:AE3842&lt;&gt;"")*(COLUMN(AC3842:AE3842)-(COLUMN(AC3842)))))-1),"")</f>
        <v>46204</v>
      </c>
      <c r="K3842" s="16" t="n">
        <f aca="false" t="array" ref="K3842:K3842">IFERROR(INDEX(AC3842:AE3842,IF(COUNTA(AC3842:AE3842)=0,"",MAX((AC3842:AE3842&lt;&gt;"")*(COLUMN(AC3842:AE3842)-(COLUMN(AC3842)-1))))-1),"")</f>
        <v>46295</v>
      </c>
      <c r="L3842" s="17" t="str">
        <f aca="false" t="array" ref="L3842:L3842">IFERROR(INDEX(AC3842:AE3842,IF(COUNTA(AC3842:AE3842)=0,"",MAX((AC3842:AE3842&lt;&gt;"")*(COLUMN(AC3842:AE3842)-(COLUMN(AC3842)-2))))-1),"")</f>
        <v>KEMBALI</v>
      </c>
      <c r="M3842" s="13" t="n">
        <f aca="true">K3842-TODAY()</f>
        <v>-29</v>
      </c>
      <c r="N3842" s="18" t="s">
        <v>3576</v>
      </c>
      <c r="O3842" s="13" t="s">
        <v>5017</v>
      </c>
      <c r="P3842" s="19" t="n">
        <v>2651603</v>
      </c>
      <c r="Q3842" s="47" t="s">
        <v>15714</v>
      </c>
      <c r="R3842" s="13" t="s">
        <v>73</v>
      </c>
      <c r="S3842" s="16" t="n">
        <v>34361</v>
      </c>
      <c r="T3842" s="28" t="s">
        <v>40</v>
      </c>
      <c r="U3842" s="13" t="s">
        <v>15715</v>
      </c>
      <c r="V3842" s="28" t="s">
        <v>42</v>
      </c>
      <c r="W3842" s="28" t="s">
        <v>54</v>
      </c>
      <c r="X3842" s="21" t="n">
        <v>85732524206</v>
      </c>
      <c r="Y3842" s="22" t="str">
        <f aca="false">O3842</f>
        <v>Sales</v>
      </c>
      <c r="Z3842" s="13" t="str">
        <f aca="false">IFERROR(__xludf.dummyfunction("if(BJ3842="""","""",GOOGLETRANSLATE(BJ3842,""auto"",""en""))"),"Sales")</f>
        <v>Sales</v>
      </c>
      <c r="AA3842" s="23" t="str">
        <f aca="false">IF(C3842="","", CHOOSE(MONTH(C3842),"January","February","March","April","May","June","July","August","September","October","November","December")&amp;" "&amp;DAY(C3842)&amp;MID("thstndrdth",MIN(9,2*RIGHT(DAY(C3842))*(MOD(DAY(C3842)-11,100)&gt;2)+1),2)&amp;","&amp;TEXT(C3842," yyyy"))</f>
        <v>July 1st,2026</v>
      </c>
      <c r="AB3842" s="15" t="str">
        <f aca="true">IF(S3842="","",DATEDIF(S3842,TODAY(),"Y")&amp;" Tahun, "&amp;DATEDIF(S3842,TODAY(),"YM")&amp;" Bulan, "&amp;DATEDIF(S3842,TODAY(),"MD")&amp;" Hari")</f>
        <v>32 Tahun, 9 Bulan, 2 Hari</v>
      </c>
      <c r="AC3842" s="14" t="n">
        <v>46204</v>
      </c>
      <c r="AD3842" s="18" t="n">
        <f aca="false">EDATE(AC3842,3)-1</f>
        <v>46295</v>
      </c>
      <c r="AE3842" s="13" t="s">
        <v>397</v>
      </c>
    </row>
    <row r="3843" customFormat="false" ht="15" hidden="false" customHeight="true" outlineLevel="0" collapsed="false">
      <c r="A3843" s="12" t="n">
        <v>22470</v>
      </c>
      <c r="B3843" s="13" t="s">
        <v>15716</v>
      </c>
      <c r="C3843" s="14" t="n">
        <v>46195</v>
      </c>
      <c r="D3843" s="13" t="s">
        <v>15103</v>
      </c>
      <c r="E3843" s="15" t="s">
        <v>13820</v>
      </c>
      <c r="F3843" s="24" t="s">
        <v>15717</v>
      </c>
      <c r="G3843" s="13" t="s">
        <v>1127</v>
      </c>
      <c r="H3843" s="13" t="s">
        <v>3024</v>
      </c>
      <c r="I3843" s="13" t="str">
        <f aca="false">IF(C3843=J3843,"NEW KONTRAK","RE-KONTRAK")</f>
        <v>NEW KONTRAK</v>
      </c>
      <c r="J3843" s="16" t="n">
        <f aca="false" t="array" ref="J3843:J3843">IFERROR(INDEX(AC3843:AE3843,IF(COUNTA(AC3843:AE3843)=0,"",MAX((AC3843:AE3843&lt;&gt;"")*(COLUMN(AC3843:AE3843)-(COLUMN(AC3843)))))-1),"")</f>
        <v>46195</v>
      </c>
      <c r="K3843" s="16" t="n">
        <f aca="false" t="array" ref="K3843:K3843">IFERROR(INDEX(AC3843:AE3843,IF(COUNTA(AC3843:AE3843)=0,"",MAX((AC3843:AE3843&lt;&gt;"")*(COLUMN(AC3843:AE3843)-(COLUMN(AC3843)-1))))-1),"")</f>
        <v>46299</v>
      </c>
      <c r="L3843" s="17" t="str">
        <f aca="false" t="array" ref="L3843:L3843">IFERROR(INDEX(AC3843:AE3843,IF(COUNTA(AC3843:AE3843)=0,"",MAX((AC3843:AE3843&lt;&gt;"")*(COLUMN(AC3843:AE3843)-(COLUMN(AC3843)-2))))-1),"")</f>
        <v>KEMBALI</v>
      </c>
      <c r="M3843" s="13" t="n">
        <f aca="true">K3843-TODAY()</f>
        <v>-25</v>
      </c>
      <c r="N3843" s="18" t="s">
        <v>36</v>
      </c>
      <c r="O3843" s="13" t="s">
        <v>58</v>
      </c>
      <c r="P3843" s="26" t="n">
        <v>112500</v>
      </c>
      <c r="Q3843" s="20" t="s">
        <v>15718</v>
      </c>
      <c r="R3843" s="13" t="s">
        <v>39</v>
      </c>
      <c r="S3843" s="14" t="n">
        <v>38729</v>
      </c>
      <c r="T3843" s="28" t="s">
        <v>40</v>
      </c>
      <c r="U3843" s="13" t="s">
        <v>15719</v>
      </c>
      <c r="V3843" s="13" t="s">
        <v>42</v>
      </c>
      <c r="W3843" s="13" t="s">
        <v>43</v>
      </c>
      <c r="X3843" s="21" t="n">
        <v>85726142247</v>
      </c>
      <c r="Y3843" s="22" t="str">
        <f aca="false">O3843</f>
        <v>Produksi</v>
      </c>
      <c r="Z3843" s="13" t="str">
        <f aca="false">IFERROR(__xludf.dummyfunction("if(BJ3843="""","""",GOOGLETRANSLATE(BJ3843,""auto"",""en""))"),"Production")</f>
        <v>Production</v>
      </c>
      <c r="AA3843" s="23" t="str">
        <f aca="false">IF(C3843="","", CHOOSE(MONTH(C3843),"January","February","March","April","May","June","July","August","September","October","November","December")&amp;" "&amp;DAY(C3843)&amp;MID("thstndrdth",MIN(9,2*RIGHT(DAY(C3843))*(MOD(DAY(C3843)-11,100)&gt;2)+1),2)&amp;","&amp;TEXT(C3843," yyyy"))</f>
        <v>June 22nd,2026</v>
      </c>
      <c r="AB3843" s="15" t="str">
        <f aca="true">IF(S3843="","",DATEDIF(S3843,TODAY(),"Y")&amp;" Tahun, "&amp;DATEDIF(S3843,TODAY(),"YM")&amp;" Bulan, "&amp;DATEDIF(S3843,TODAY(),"MD")&amp;" Hari")</f>
        <v>20 Tahun, 9 Bulan, 17 Hari</v>
      </c>
      <c r="AC3843" s="14" t="n">
        <v>46195</v>
      </c>
      <c r="AD3843" s="18" t="n">
        <v>46299</v>
      </c>
      <c r="AE3843" s="13" t="s">
        <v>397</v>
      </c>
    </row>
    <row r="3844" customFormat="false" ht="15" hidden="false" customHeight="true" outlineLevel="0" collapsed="false">
      <c r="A3844" s="12" t="n">
        <v>22471</v>
      </c>
      <c r="B3844" s="45" t="s">
        <v>15720</v>
      </c>
      <c r="C3844" s="14" t="n">
        <v>46204</v>
      </c>
      <c r="D3844" s="13" t="s">
        <v>8071</v>
      </c>
      <c r="E3844" s="15" t="s">
        <v>4614</v>
      </c>
      <c r="F3844" s="24" t="s">
        <v>15721</v>
      </c>
      <c r="G3844" s="24" t="s">
        <v>57</v>
      </c>
      <c r="H3844" s="13" t="s">
        <v>35</v>
      </c>
      <c r="I3844" s="13" t="str">
        <f aca="false">IF(C3844=J3844,"NEW KONTRAK","RE-KONTRAK")</f>
        <v>NEW KONTRAK</v>
      </c>
      <c r="J3844" s="16" t="n">
        <f aca="false" t="array" ref="J3844:J3844">IFERROR(INDEX(AC3844:AE3844,IF(COUNTA(AC3844:AE3844)=0,"",MAX((AC3844:AE3844&lt;&gt;"")*(COLUMN(AC3844:AE3844)-(COLUMN(AC3844)))))-1),"")</f>
        <v>46204</v>
      </c>
      <c r="K3844" s="16" t="n">
        <f aca="false" t="array" ref="K3844:K3844">IFERROR(INDEX(AC3844:AE3844,IF(COUNTA(AC3844:AE3844)=0,"",MAX((AC3844:AE3844&lt;&gt;"")*(COLUMN(AC3844:AE3844)-(COLUMN(AC3844)-1))))-1),"")</f>
        <v>46295</v>
      </c>
      <c r="L3844" s="17" t="str">
        <f aca="false" t="array" ref="L3844:L3844">IFERROR(INDEX(AC3844:AE3844,IF(COUNTA(AC3844:AE3844)=0,"",MAX((AC3844:AE3844&lt;&gt;"")*(COLUMN(AC3844:AE3844)-(COLUMN(AC3844)-2))))-1),"")</f>
        <v>KEMBALI</v>
      </c>
      <c r="M3844" s="13" t="n">
        <f aca="true">K3844-TODAY()</f>
        <v>-29</v>
      </c>
      <c r="N3844" s="18" t="s">
        <v>105</v>
      </c>
      <c r="O3844" s="13" t="s">
        <v>9688</v>
      </c>
      <c r="P3844" s="19" t="n">
        <v>4250000</v>
      </c>
      <c r="Q3844" s="20" t="s">
        <v>15722</v>
      </c>
      <c r="R3844" s="13" t="s">
        <v>227</v>
      </c>
      <c r="S3844" s="14" t="n">
        <v>32793</v>
      </c>
      <c r="T3844" s="28" t="s">
        <v>40</v>
      </c>
      <c r="U3844" s="13" t="s">
        <v>15723</v>
      </c>
      <c r="V3844" s="13" t="s">
        <v>42</v>
      </c>
      <c r="W3844" s="28" t="s">
        <v>54</v>
      </c>
      <c r="X3844" s="21" t="n">
        <v>6285147861852</v>
      </c>
      <c r="Y3844" s="22" t="str">
        <f aca="false">O3844</f>
        <v>Staff Purchasing</v>
      </c>
      <c r="Z3844" s="13" t="str">
        <f aca="false">IFERROR(__xludf.dummyfunction("if(BJ3844="""","""",GOOGLETRANSLATE(BJ3844,""auto"",""en""))"),"Staff Purchasing")</f>
        <v>Staff Purchasing</v>
      </c>
      <c r="AA3844" s="23" t="str">
        <f aca="false">IF(C3844="","", CHOOSE(MONTH(C3844),"January","February","March","April","May","June","July","August","September","October","November","December")&amp;" "&amp;DAY(C3844)&amp;MID("thstndrdth",MIN(9,2*RIGHT(DAY(C3844))*(MOD(DAY(C3844)-11,100)&gt;2)+1),2)&amp;","&amp;TEXT(C3844," yyyy"))</f>
        <v>July 1st,2026</v>
      </c>
      <c r="AB3844" s="15" t="str">
        <f aca="true">IF(S3844="","",DATEDIF(S3844,TODAY(),"Y")&amp;" Tahun, "&amp;DATEDIF(S3844,TODAY(),"YM")&amp;" Bulan, "&amp;DATEDIF(S3844,TODAY(),"MD")&amp;" Hari")</f>
        <v>37 Tahun, 0 Bulan, 17 Hari</v>
      </c>
      <c r="AC3844" s="14" t="n">
        <v>46204</v>
      </c>
      <c r="AD3844" s="18" t="n">
        <f aca="false">EDATE(AC3844,3)-1</f>
        <v>46295</v>
      </c>
      <c r="AE3844" s="13" t="s">
        <v>397</v>
      </c>
    </row>
    <row r="3845" customFormat="false" ht="15" hidden="false" customHeight="true" outlineLevel="0" collapsed="false">
      <c r="A3845" s="12" t="n">
        <v>22472</v>
      </c>
      <c r="B3845" s="45" t="s">
        <v>15724</v>
      </c>
      <c r="C3845" s="14" t="n">
        <v>46198</v>
      </c>
      <c r="D3845" s="13" t="s">
        <v>10058</v>
      </c>
      <c r="E3845" s="15" t="s">
        <v>102</v>
      </c>
      <c r="F3845" s="24" t="s">
        <v>15725</v>
      </c>
      <c r="G3845" s="28" t="s">
        <v>57</v>
      </c>
      <c r="H3845" s="13" t="s">
        <v>3024</v>
      </c>
      <c r="I3845" s="13" t="str">
        <f aca="false">IF(C3845=J3845,"NEW KONTRAK","RE-KONTRAK")</f>
        <v>NEW KONTRAK</v>
      </c>
      <c r="J3845" s="16" t="n">
        <f aca="false" t="array" ref="J3845:J3845">IFERROR(INDEX(AC3845:AE3845,IF(COUNTA(AC3845:AE3845)=0,"",MAX((AC3845:AE3845&lt;&gt;"")*(COLUMN(AC3845:AE3845)-(COLUMN(AC3845)))))-1),"")</f>
        <v>46198</v>
      </c>
      <c r="K3845" s="16" t="n">
        <f aca="false" t="array" ref="K3845:K3845">IFERROR(INDEX(AC3845:AE3845,IF(COUNTA(AC3845:AE3845)=0,"",MAX((AC3845:AE3845&lt;&gt;"")*(COLUMN(AC3845:AE3845)-(COLUMN(AC3845)-1))))-1),"")</f>
        <v>46289</v>
      </c>
      <c r="L3845" s="17" t="str">
        <f aca="false" t="array" ref="L3845:L3845">IFERROR(INDEX(AC3845:AE3845,IF(COUNTA(AC3845:AE3845)=0,"",MAX((AC3845:AE3845&lt;&gt;"")*(COLUMN(AC3845:AE3845)-(COLUMN(AC3845)-2))))-1),"")</f>
        <v>KEMBALI</v>
      </c>
      <c r="M3845" s="13" t="n">
        <f aca="true">K3845-TODAY()</f>
        <v>-35</v>
      </c>
      <c r="N3845" s="18" t="s">
        <v>105</v>
      </c>
      <c r="O3845" s="13" t="s">
        <v>15644</v>
      </c>
      <c r="P3845" s="26" t="n">
        <v>138915</v>
      </c>
      <c r="Q3845" s="47" t="s">
        <v>15726</v>
      </c>
      <c r="R3845" s="13" t="s">
        <v>52</v>
      </c>
      <c r="S3845" s="16" t="n">
        <v>37658</v>
      </c>
      <c r="T3845" s="28" t="s">
        <v>108</v>
      </c>
      <c r="U3845" s="13" t="s">
        <v>15727</v>
      </c>
      <c r="V3845" s="28" t="s">
        <v>42</v>
      </c>
      <c r="W3845" s="28" t="s">
        <v>43</v>
      </c>
      <c r="X3845" s="21" t="n">
        <v>83876494077</v>
      </c>
      <c r="Y3845" s="22" t="str">
        <f aca="false">O3845</f>
        <v>Harian Lepas (Helper QC)</v>
      </c>
      <c r="Z3845" s="13" t="str">
        <f aca="false">IFERROR(__xludf.dummyfunction("if(BJ3845="""","""",GOOGLETRANSLATE(BJ3845,""auto"",""en""))"),"Daily (QC Helper)")</f>
        <v>Daily (QC Helper)</v>
      </c>
      <c r="AA3845" s="23" t="str">
        <f aca="false">IF(C3845="","", CHOOSE(MONTH(C3845),"January","February","March","April","May","June","July","August","September","October","November","December")&amp;" "&amp;DAY(C3845)&amp;MID("thstndrdth",MIN(9,2*RIGHT(DAY(C3845))*(MOD(DAY(C3845)-11,100)&gt;2)+1),2)&amp;","&amp;TEXT(C3845," yyyy"))</f>
        <v>June 25th,2026</v>
      </c>
      <c r="AB3845" s="15" t="str">
        <f aca="true">IF(S3845="","",DATEDIF(S3845,TODAY(),"Y")&amp;" Tahun, "&amp;DATEDIF(S3845,TODAY(),"YM")&amp;" Bulan, "&amp;DATEDIF(S3845,TODAY(),"MD")&amp;" Hari")</f>
        <v>23 Tahun, 8 Bulan, 23 Hari</v>
      </c>
      <c r="AC3845" s="14" t="n">
        <v>46198</v>
      </c>
      <c r="AD3845" s="18" t="n">
        <f aca="false">EDATE(AC3845,3)-1</f>
        <v>46289</v>
      </c>
      <c r="AE3845" s="13" t="s">
        <v>397</v>
      </c>
    </row>
    <row r="3846" customFormat="false" ht="15" hidden="false" customHeight="true" outlineLevel="0" collapsed="false">
      <c r="A3846" s="12" t="n">
        <v>22473</v>
      </c>
      <c r="B3846" s="45" t="s">
        <v>15728</v>
      </c>
      <c r="C3846" s="14" t="n">
        <v>46202</v>
      </c>
      <c r="D3846" s="13" t="s">
        <v>101</v>
      </c>
      <c r="E3846" s="15" t="s">
        <v>4614</v>
      </c>
      <c r="F3846" s="24" t="s">
        <v>15729</v>
      </c>
      <c r="G3846" s="13" t="s">
        <v>1127</v>
      </c>
      <c r="H3846" s="13" t="s">
        <v>35</v>
      </c>
      <c r="I3846" s="13" t="str">
        <f aca="false">IF(C3846=J3846,"NEW KONTRAK","RE-KONTRAK")</f>
        <v>NEW KONTRAK</v>
      </c>
      <c r="J3846" s="16" t="n">
        <f aca="false" t="array" ref="J3846:J3846">IFERROR(INDEX(AC3846:AE3846,IF(COUNTA(AC3846:AE3846)=0,"",MAX((AC3846:AE3846&lt;&gt;"")*(COLUMN(AC3846:AE3846)-(COLUMN(AC3846)))))-1),"")</f>
        <v>46202</v>
      </c>
      <c r="K3846" s="16" t="n">
        <f aca="false" t="array" ref="K3846:K3846">IFERROR(INDEX(AC3846:AE3846,IF(COUNTA(AC3846:AE3846)=0,"",MAX((AC3846:AE3846&lt;&gt;"")*(COLUMN(AC3846:AE3846)-(COLUMN(AC3846)-1))))-1),"")</f>
        <v>46293</v>
      </c>
      <c r="L3846" s="17" t="str">
        <f aca="false" t="array" ref="L3846:L3846">IFERROR(INDEX(AC3846:AE3846,IF(COUNTA(AC3846:AE3846)=0,"",MAX((AC3846:AE3846&lt;&gt;"")*(COLUMN(AC3846:AE3846)-(COLUMN(AC3846)-2))))-1),"")</f>
        <v>KEMBALI</v>
      </c>
      <c r="M3846" s="13" t="n">
        <f aca="true">K3846-TODAY()</f>
        <v>-31</v>
      </c>
      <c r="N3846" s="18" t="s">
        <v>105</v>
      </c>
      <c r="O3846" s="13" t="s">
        <v>15730</v>
      </c>
      <c r="P3846" s="26" t="n">
        <v>138915</v>
      </c>
      <c r="Q3846" s="47" t="s">
        <v>15731</v>
      </c>
      <c r="R3846" s="13" t="s">
        <v>52</v>
      </c>
      <c r="S3846" s="48" t="n">
        <v>35929</v>
      </c>
      <c r="T3846" s="28" t="s">
        <v>40</v>
      </c>
      <c r="U3846" s="13" t="s">
        <v>15732</v>
      </c>
      <c r="V3846" s="28" t="s">
        <v>42</v>
      </c>
      <c r="W3846" s="28" t="s">
        <v>43</v>
      </c>
      <c r="X3846" s="21" t="n">
        <v>81234316571</v>
      </c>
      <c r="Y3846" s="22" t="str">
        <f aca="false">O3846</f>
        <v>Helper Maintenance</v>
      </c>
      <c r="Z3846" s="13" t="str">
        <f aca="false">IFERROR(__xludf.dummyfunction("if(BJ3846="""","""",GOOGLETRANSLATE(BJ3846,""auto"",""en""))"),"Helper Maintenance")</f>
        <v>Helper Maintenance</v>
      </c>
      <c r="AA3846" s="23" t="str">
        <f aca="false">IF(C3846="","", CHOOSE(MONTH(C3846),"January","February","March","April","May","June","July","August","September","October","November","December")&amp;" "&amp;DAY(C3846)&amp;MID("thstndrdth",MIN(9,2*RIGHT(DAY(C3846))*(MOD(DAY(C3846)-11,100)&gt;2)+1),2)&amp;","&amp;TEXT(C3846," yyyy"))</f>
        <v>June 29th,2026</v>
      </c>
      <c r="AB3846" s="15" t="str">
        <f aca="true">IF(S3846="","",DATEDIF(S3846,TODAY(),"Y")&amp;" Tahun, "&amp;DATEDIF(S3846,TODAY(),"YM")&amp;" Bulan, "&amp;DATEDIF(S3846,TODAY(),"MD")&amp;" Hari")</f>
        <v>28 Tahun, 5 Bulan, 15 Hari</v>
      </c>
      <c r="AC3846" s="14" t="n">
        <v>46202</v>
      </c>
      <c r="AD3846" s="18" t="n">
        <f aca="false">EDATE(AC3846,3)-1</f>
        <v>46293</v>
      </c>
      <c r="AE3846" s="13" t="s">
        <v>397</v>
      </c>
    </row>
    <row r="3847" customFormat="false" ht="15" hidden="false" customHeight="true" outlineLevel="0" collapsed="false">
      <c r="A3847" s="12" t="n">
        <v>22474</v>
      </c>
      <c r="B3847" s="45" t="s">
        <v>15733</v>
      </c>
      <c r="C3847" s="14" t="n">
        <v>46202</v>
      </c>
      <c r="D3847" s="13" t="s">
        <v>10058</v>
      </c>
      <c r="E3847" s="15" t="s">
        <v>47</v>
      </c>
      <c r="F3847" s="24" t="s">
        <v>15734</v>
      </c>
      <c r="G3847" s="28" t="s">
        <v>57</v>
      </c>
      <c r="H3847" s="13" t="s">
        <v>3024</v>
      </c>
      <c r="I3847" s="13" t="str">
        <f aca="false">IF(C3847=J3847,"NEW KONTRAK","RE-KONTRAK")</f>
        <v>NEW KONTRAK</v>
      </c>
      <c r="J3847" s="16" t="n">
        <f aca="false" t="array" ref="J3847:J3847">IFERROR(INDEX(AC3847:AE3847,IF(COUNTA(AC3847:AE3847)=0,"",MAX((AC3847:AE3847&lt;&gt;"")*(COLUMN(AC3847:AE3847)-(COLUMN(AC3847)))))-1),"")</f>
        <v>46202</v>
      </c>
      <c r="K3847" s="16" t="n">
        <f aca="false" t="array" ref="K3847:K3847">IFERROR(INDEX(AC3847:AE3847,IF(COUNTA(AC3847:AE3847)=0,"",MAX((AC3847:AE3847&lt;&gt;"")*(COLUMN(AC3847:AE3847)-(COLUMN(AC3847)-1))))-1),"")</f>
        <v>46293</v>
      </c>
      <c r="L3847" s="17" t="str">
        <f aca="false" t="array" ref="L3847:L3847">IFERROR(INDEX(AC3847:AE3847,IF(COUNTA(AC3847:AE3847)=0,"",MAX((AC3847:AE3847&lt;&gt;"")*(COLUMN(AC3847:AE3847)-(COLUMN(AC3847)-2))))-1),"")</f>
        <v>KEMBALI</v>
      </c>
      <c r="M3847" s="13" t="n">
        <f aca="true">K3847-TODAY()</f>
        <v>-31</v>
      </c>
      <c r="N3847" s="18" t="s">
        <v>105</v>
      </c>
      <c r="O3847" s="13" t="s">
        <v>15644</v>
      </c>
      <c r="P3847" s="26" t="n">
        <v>138915</v>
      </c>
      <c r="Q3847" s="47" t="s">
        <v>15735</v>
      </c>
      <c r="R3847" s="13" t="s">
        <v>15736</v>
      </c>
      <c r="S3847" s="16" t="n">
        <v>37642</v>
      </c>
      <c r="T3847" s="28" t="s">
        <v>40</v>
      </c>
      <c r="U3847" s="13" t="s">
        <v>15737</v>
      </c>
      <c r="V3847" s="28" t="s">
        <v>42</v>
      </c>
      <c r="W3847" s="28" t="s">
        <v>43</v>
      </c>
      <c r="X3847" s="21" t="n">
        <v>85745271800</v>
      </c>
      <c r="Y3847" s="22" t="str">
        <f aca="false">O3847</f>
        <v>Harian Lepas (Helper QC)</v>
      </c>
      <c r="Z3847" s="13" t="str">
        <f aca="false">IFERROR(__xludf.dummyfunction("if(BJ3847="""","""",GOOGLETRANSLATE(BJ3847,""auto"",""en""))"),"Daily (QC Helper)")</f>
        <v>Daily (QC Helper)</v>
      </c>
      <c r="AA3847" s="23" t="str">
        <f aca="false">IF(C3847="","", CHOOSE(MONTH(C3847),"January","February","March","April","May","June","July","August","September","October","November","December")&amp;" "&amp;DAY(C3847)&amp;MID("thstndrdth",MIN(9,2*RIGHT(DAY(C3847))*(MOD(DAY(C3847)-11,100)&gt;2)+1),2)&amp;","&amp;TEXT(C3847," yyyy"))</f>
        <v>June 29th,2026</v>
      </c>
      <c r="AB3847" s="15" t="str">
        <f aca="true">IF(S3847="","",DATEDIF(S3847,TODAY(),"Y")&amp;" Tahun, "&amp;DATEDIF(S3847,TODAY(),"YM")&amp;" Bulan, "&amp;DATEDIF(S3847,TODAY(),"MD")&amp;" Hari")</f>
        <v>23 Tahun, 9 Bulan, 8 Hari</v>
      </c>
      <c r="AC3847" s="14" t="n">
        <v>46202</v>
      </c>
      <c r="AD3847" s="18" t="n">
        <f aca="false">EDATE(AC3847,3)-1</f>
        <v>46293</v>
      </c>
      <c r="AE3847" s="13" t="s">
        <v>397</v>
      </c>
    </row>
    <row r="3848" customFormat="false" ht="15" hidden="false" customHeight="true" outlineLevel="0" collapsed="false">
      <c r="A3848" s="12" t="n">
        <v>22559</v>
      </c>
      <c r="B3848" s="45" t="s">
        <v>15738</v>
      </c>
      <c r="C3848" s="14" t="n">
        <v>46219</v>
      </c>
      <c r="D3848" s="13" t="s">
        <v>101</v>
      </c>
      <c r="E3848" s="15" t="s">
        <v>47</v>
      </c>
      <c r="F3848" s="24" t="s">
        <v>15739</v>
      </c>
      <c r="G3848" s="28" t="s">
        <v>57</v>
      </c>
      <c r="H3848" s="13" t="s">
        <v>35</v>
      </c>
      <c r="I3848" s="13" t="str">
        <f aca="false">IF(C3848=J3848,"NEW KONTRAK","RE-KONTRAK")</f>
        <v>NEW KONTRAK</v>
      </c>
      <c r="J3848" s="16" t="n">
        <f aca="false" t="array" ref="J3848:J3848">IFERROR(INDEX(AC3848:AE3848,IF(COUNTA(AC3848:AE3848)=0,"",MAX((AC3848:AE3848&lt;&gt;"")*(COLUMN(AC3848:AE3848)-(COLUMN(AC3848)))))-1),"")</f>
        <v>46219</v>
      </c>
      <c r="K3848" s="16" t="n">
        <f aca="false" t="array" ref="K3848:K3848">IFERROR(INDEX(AC3848:AE3848,IF(COUNTA(AC3848:AE3848)=0,"",MAX((AC3848:AE3848&lt;&gt;"")*(COLUMN(AC3848:AE3848)-(COLUMN(AC3848)-1))))-1),"")</f>
        <v>46402</v>
      </c>
      <c r="L3848" s="17" t="str">
        <f aca="false" t="array" ref="L3848:L3848">IFERROR(INDEX(AC3848:AE3848,IF(COUNTA(AC3848:AE3848)=0,"",MAX((AC3848:AE3848&lt;&gt;"")*(COLUMN(AC3848:AE3848)-(COLUMN(AC3848)-2))))-1),"")</f>
        <v>KEMBALI</v>
      </c>
      <c r="M3848" s="13" t="n">
        <f aca="true">K3848-TODAY()</f>
        <v>78</v>
      </c>
      <c r="N3848" s="18" t="s">
        <v>105</v>
      </c>
      <c r="O3848" s="13" t="s">
        <v>1453</v>
      </c>
      <c r="P3848" s="26" t="n">
        <v>138915</v>
      </c>
      <c r="Q3848" s="20" t="s">
        <v>15740</v>
      </c>
      <c r="R3848" s="16" t="s">
        <v>39</v>
      </c>
      <c r="S3848" s="25" t="n">
        <v>34360</v>
      </c>
      <c r="T3848" s="28" t="s">
        <v>40</v>
      </c>
      <c r="U3848" s="17" t="s">
        <v>15741</v>
      </c>
      <c r="V3848" s="15" t="s">
        <v>42</v>
      </c>
      <c r="W3848" s="13" t="s">
        <v>43</v>
      </c>
      <c r="X3848" s="21" t="n">
        <v>82132225738</v>
      </c>
      <c r="Y3848" s="22" t="str">
        <f aca="false">O3848</f>
        <v>Helper Produksi</v>
      </c>
      <c r="Z3848" s="13" t="str">
        <f aca="false">IFERROR(__xludf.dummyfunction("if(BJ3848="""","""",GOOGLETRANSLATE(BJ3848,""auto"",""en""))"),"Production Helper")</f>
        <v>Production Helper</v>
      </c>
      <c r="AA3848" s="23" t="str">
        <f aca="false">IF(C3848="","", CHOOSE(MONTH(C3848),"January","February","March","April","May","June","July","August","September","October","November","December")&amp;" "&amp;DAY(C3848)&amp;MID("thstndrdth",MIN(9,2*RIGHT(DAY(C3848))*(MOD(DAY(C3848)-11,100)&gt;2)+1),2)&amp;","&amp;TEXT(C3848," yyyy"))</f>
        <v>July 16th,2026</v>
      </c>
      <c r="AB3848" s="15" t="str">
        <f aca="true">IF(S3848="","",DATEDIF(S3848,TODAY(),"Y")&amp;" Tahun, "&amp;DATEDIF(S3848,TODAY(),"YM")&amp;" Bulan, "&amp;DATEDIF(S3848,TODAY(),"MD")&amp;" Hari")</f>
        <v>32 Tahun, 9 Bulan, 3 Hari</v>
      </c>
      <c r="AC3848" s="14" t="n">
        <v>46219</v>
      </c>
      <c r="AD3848" s="18" t="n">
        <v>46402</v>
      </c>
      <c r="AE3848" s="13" t="s">
        <v>397</v>
      </c>
    </row>
    <row r="3849" customFormat="false" ht="15" hidden="false" customHeight="true" outlineLevel="0" collapsed="false">
      <c r="A3849" s="12" t="n">
        <v>22219</v>
      </c>
      <c r="B3849" s="13" t="s">
        <v>15742</v>
      </c>
      <c r="C3849" s="46" t="n">
        <v>46127.2916666667</v>
      </c>
      <c r="D3849" s="13" t="s">
        <v>2033</v>
      </c>
      <c r="E3849" s="15" t="s">
        <v>47</v>
      </c>
      <c r="F3849" s="15" t="str">
        <f aca="false">IFERROR(__xludf.dummyfunction("XLOOKUP(AJ3849,IMPORTRANGE(""1XaInW9DU9nz21V0tYIfzFQ0He9kVQ_JF2mCXgZ3hqFA"",""REKAP ALL 2026 - Andika!G:G""),IMPORTRANGE(""1XaInW9DU9nz21V0tYIfzFQ0He9kVQ_JF2mCXgZ3hqFA"",""REKAP ALL 2026 - Andika!F:F""),"""",0)"),"26062984237")</f>
        <v>26062984237</v>
      </c>
      <c r="G3849" s="13" t="s">
        <v>1127</v>
      </c>
      <c r="H3849" s="13" t="s">
        <v>35</v>
      </c>
      <c r="I3849" s="13" t="str">
        <f aca="false">IF(C3849=J3849,"NEW KONTRAK","RE-KONTRAK")</f>
        <v>NEW KONTRAK</v>
      </c>
      <c r="J3849" s="16" t="n">
        <f aca="false" t="array" ref="J3849:J3849">IFERROR(INDEX(AC3849:AE3849,IF(COUNTA(AC3849:AE3849)=0,"",MAX((AC3849:AE3849&lt;&gt;"")*(COLUMN(AC3849:AE3849)-(COLUMN(AC3849)))))-1),"")</f>
        <v>46127.2916666667</v>
      </c>
      <c r="K3849" s="16" t="n">
        <f aca="false" t="array" ref="K3849:K3849">IFERROR(INDEX(AC3849:AE3849,IF(COUNTA(AC3849:AE3849)=0,"",MAX((AC3849:AE3849&lt;&gt;"")*(COLUMN(AC3849:AE3849)-(COLUMN(AC3849)-1))))-1),"")</f>
        <v>46188</v>
      </c>
      <c r="L3849" s="17" t="str">
        <f aca="false" t="array" ref="L3849:L3849">IFERROR(INDEX(AC3849:AE3849,IF(COUNTA(AC3849:AE3849)=0,"",MAX((AC3849:AE3849&lt;&gt;"")*(COLUMN(AC3849:AE3849)-(COLUMN(AC3849)-2))))-1),"")</f>
        <v>KEMBALI</v>
      </c>
      <c r="M3849" s="13" t="n">
        <f aca="true">K3849-TODAY()</f>
        <v>-136</v>
      </c>
      <c r="N3849" s="18" t="s">
        <v>2587</v>
      </c>
      <c r="O3849" s="13" t="s">
        <v>2037</v>
      </c>
      <c r="P3849" s="19" t="n">
        <v>3855894</v>
      </c>
      <c r="Q3849" s="20" t="s">
        <v>15743</v>
      </c>
      <c r="R3849" s="13" t="s">
        <v>2587</v>
      </c>
      <c r="S3849" s="14" t="n">
        <v>38726</v>
      </c>
      <c r="T3849" s="13" t="s">
        <v>108</v>
      </c>
      <c r="U3849" s="13" t="s">
        <v>15744</v>
      </c>
      <c r="V3849" s="13" t="s">
        <v>42</v>
      </c>
      <c r="W3849" s="13" t="s">
        <v>43</v>
      </c>
      <c r="X3849" s="21" t="n">
        <v>89514716545</v>
      </c>
      <c r="Y3849" s="22" t="str">
        <f aca="false">O3849</f>
        <v>SPG/BA</v>
      </c>
      <c r="Z3849" s="13" t="str">
        <f aca="false">IFERROR(__xludf.dummyfunction("if(BJ3849="""","""",GOOGLETRANSLATE(BJ3849,""auto"",""en""))"),"SPG/BA")</f>
        <v>SPG/BA</v>
      </c>
      <c r="AA3849" s="23" t="str">
        <f aca="false">IF(C3849="","", CHOOSE(MONTH(C3849),"January","February","March","April","May","June","July","August","September","October","November","December")&amp;" "&amp;DAY(C3849)&amp;MID("thstndrdth",MIN(9,2*RIGHT(DAY(C3849))*(MOD(DAY(C3849)-11,100)&gt;2)+1),2)&amp;","&amp;TEXT(C3849," yyyy"))</f>
        <v>April 15th,2026</v>
      </c>
      <c r="AB3849" s="15" t="str">
        <f aca="true">IF(S3849="","",DATEDIF(S3849,TODAY(),"Y")&amp;" Tahun, "&amp;DATEDIF(S3849,TODAY(),"YM")&amp;" Bulan, "&amp;DATEDIF(S3849,TODAY(),"MD")&amp;" Hari")</f>
        <v>20 Tahun, 9 Bulan, 20 Hari</v>
      </c>
      <c r="AC3849" s="14" t="n">
        <f aca="false">C3849</f>
        <v>46127.2916666667</v>
      </c>
      <c r="AD3849" s="64" t="n">
        <v>46188</v>
      </c>
      <c r="AE3849" s="13" t="s">
        <v>397</v>
      </c>
    </row>
    <row r="3850" customFormat="false" ht="15" hidden="false" customHeight="true" outlineLevel="0" collapsed="false">
      <c r="A3850" s="12" t="n">
        <v>19679</v>
      </c>
      <c r="B3850" s="13" t="s">
        <v>15745</v>
      </c>
      <c r="C3850" s="16" t="n">
        <v>45786</v>
      </c>
      <c r="D3850" s="13" t="s">
        <v>2033</v>
      </c>
      <c r="E3850" s="15" t="s">
        <v>47</v>
      </c>
      <c r="F3850" s="15" t="str">
        <f aca="false">IFERROR(__xludf.dummyfunction("XLOOKUP(AJ3850,IMPORTRANGE(""1XaInW9DU9nz21V0tYIfzFQ0He9kVQ_JF2mCXgZ3hqFA"",""REKAP ALL 2026 - Andika!G:G""),IMPORTRANGE(""1XaInW9DU9nz21V0tYIfzFQ0He9kVQ_JF2mCXgZ3hqFA"",""REKAP ALL 2026 - Andika!F:F""),"""",0)"),"25062535924")</f>
        <v>25062535924</v>
      </c>
      <c r="G3850" s="13" t="s">
        <v>15746</v>
      </c>
      <c r="H3850" s="13" t="s">
        <v>2035</v>
      </c>
      <c r="I3850" s="13" t="str">
        <f aca="false">IF(C3850=J3850,"NEW KONTRAK","RE-KONTRAK")</f>
        <v>NEW KONTRAK</v>
      </c>
      <c r="J3850" s="16" t="n">
        <f aca="false" t="array" ref="J3850:J3850">IFERROR(INDEX(AC3850:AE3850,IF(COUNTA(AC3850:AE3850)=0,"",MAX((AC3850:AE3850&lt;&gt;"")*(COLUMN(AC3850:AE3850)-(COLUMN(AC3850)))))-1),"")</f>
        <v>45786</v>
      </c>
      <c r="K3850" s="16" t="n">
        <f aca="false" t="array" ref="K3850:K3850">IFERROR(INDEX(AC3850:AE3850,IF(COUNTA(AC3850:AE3850)=0,"",MAX((AC3850:AE3850&lt;&gt;"")*(COLUMN(AC3850:AE3850)-(COLUMN(AC3850)-1))))-1),"")</f>
        <v>45915</v>
      </c>
      <c r="L3850" s="17" t="str">
        <f aca="false" t="array" ref="L3850:L3850">IFERROR(INDEX(AC3850:AE3850,IF(COUNTA(AC3850:AE3850)=0,"",MAX((AC3850:AE3850&lt;&gt;"")*(COLUMN(AC3850:AE3850)-(COLUMN(AC3850)-2))))-1),"")</f>
        <v>ARCHIVED</v>
      </c>
      <c r="M3850" s="13" t="n">
        <f aca="true">K3850-TODAY()</f>
        <v>-409</v>
      </c>
      <c r="N3850" s="18" t="s">
        <v>3902</v>
      </c>
      <c r="O3850" s="13" t="s">
        <v>2037</v>
      </c>
      <c r="P3850" s="19" t="n">
        <v>3491889</v>
      </c>
      <c r="Q3850" s="20" t="s">
        <v>15747</v>
      </c>
      <c r="R3850" s="13" t="s">
        <v>15748</v>
      </c>
      <c r="S3850" s="16" t="n">
        <v>37864</v>
      </c>
      <c r="T3850" s="13" t="s">
        <v>108</v>
      </c>
      <c r="U3850" s="13" t="s">
        <v>15749</v>
      </c>
      <c r="V3850" s="13" t="s">
        <v>42</v>
      </c>
      <c r="W3850" s="13" t="s">
        <v>43</v>
      </c>
      <c r="X3850" s="21" t="n">
        <v>85380769398</v>
      </c>
      <c r="Y3850" s="22" t="str">
        <f aca="false">O3850</f>
        <v>SPG/BA</v>
      </c>
      <c r="Z3850" s="13" t="str">
        <f aca="false">IFERROR(__xludf.dummyfunction("if(BJ3850="""","""",GOOGLETRANSLATE(BJ3850,""auto"",""en""))"),"SPG/BA")</f>
        <v>SPG/BA</v>
      </c>
      <c r="AA3850" s="23" t="str">
        <f aca="false">IF(C3850="","", CHOOSE(MONTH(C3850),"January","February","March","April","May","June","July","August","September","October","November","December")&amp;" "&amp;DAY(C3850)&amp;MID("thstndrdth",MIN(9,2*RIGHT(DAY(C3850))*(MOD(DAY(C3850)-11,100)&gt;2)+1),2)&amp;","&amp;TEXT(C3850," yyyy"))</f>
        <v>May 9th,2025</v>
      </c>
      <c r="AB3850" s="15" t="str">
        <f aca="true">IF(S3850="","",DATEDIF(S3850,TODAY(),"Y")&amp;" Tahun, "&amp;DATEDIF(S3850,TODAY(),"YM")&amp;" Bulan, "&amp;DATEDIF(S3850,TODAY(),"MD")&amp;" Hari")</f>
        <v>23 Tahun, 1 Bulan, 28 Hari</v>
      </c>
      <c r="AC3850" s="18" t="n">
        <v>45786</v>
      </c>
      <c r="AD3850" s="18" t="n">
        <v>45915</v>
      </c>
      <c r="AE3850" s="18" t="s">
        <v>44</v>
      </c>
    </row>
    <row r="3851" customFormat="false" ht="15" hidden="false" customHeight="true" outlineLevel="0" collapsed="false">
      <c r="A3851" s="12" t="n">
        <v>13983</v>
      </c>
      <c r="B3851" s="13" t="s">
        <v>15750</v>
      </c>
      <c r="C3851" s="14" t="n">
        <v>45296</v>
      </c>
      <c r="D3851" s="13" t="s">
        <v>2033</v>
      </c>
      <c r="E3851" s="15" t="s">
        <v>47</v>
      </c>
      <c r="F3851" s="15" t="str">
        <f aca="false">IFERROR(__xludf.dummyfunction("XLOOKUP(AJ3851,IMPORTRANGE(""1XaInW9DU9nz21V0tYIfzFQ0He9kVQ_JF2mCXgZ3hqFA"",""REKAP ALL 2026 - Andika!G:G""),IMPORTRANGE(""1XaInW9DU9nz21V0tYIfzFQ0He9kVQ_JF2mCXgZ3hqFA"",""REKAP ALL 2026 - Andika!F:F""),"""",0)"),"24007209828")</f>
        <v>24007209828</v>
      </c>
      <c r="G3851" s="13" t="s">
        <v>15751</v>
      </c>
      <c r="H3851" s="13" t="s">
        <v>2035</v>
      </c>
      <c r="I3851" s="13" t="str">
        <f aca="false">IF(C3851=J3851,"NEW KONTRAK","RE-KONTRAK")</f>
        <v>RE-KONTRAK</v>
      </c>
      <c r="J3851" s="16" t="n">
        <f aca="false" t="array" ref="J3851:J3851">IFERROR(INDEX(AC3851:AE3851,IF(COUNTA(AC3851:AE3851)=0,"",MAX((AC3851:AE3851&lt;&gt;"")*(COLUMN(AC3851:AE3851)-(COLUMN(AC3851)))))-1),"")</f>
        <v>45744</v>
      </c>
      <c r="K3851" s="16" t="n">
        <f aca="false" t="array" ref="K3851:K3851">IFERROR(INDEX(AC3851:AE3851,IF(COUNTA(AC3851:AE3851)=0,"",MAX((AC3851:AE3851&lt;&gt;"")*(COLUMN(AC3851:AE3851)-(COLUMN(AC3851)-1))))-1),"")</f>
        <v>45915</v>
      </c>
      <c r="L3851" s="17" t="str">
        <f aca="false" t="array" ref="L3851:L3851">IFERROR(INDEX(AC3851:AE3851,IF(COUNTA(AC3851:AE3851)=0,"",MAX((AC3851:AE3851&lt;&gt;"")*(COLUMN(AC3851:AE3851)-(COLUMN(AC3851)-2))))-1),"")</f>
        <v>ARCHIVED</v>
      </c>
      <c r="M3851" s="13" t="n">
        <f aca="true">K3851-TODAY()</f>
        <v>-409</v>
      </c>
      <c r="N3851" s="50" t="s">
        <v>4557</v>
      </c>
      <c r="O3851" s="13" t="s">
        <v>2037</v>
      </c>
      <c r="P3851" s="19" t="n">
        <v>3701709</v>
      </c>
      <c r="Q3851" s="20" t="s">
        <v>15752</v>
      </c>
      <c r="R3851" s="13" t="s">
        <v>6291</v>
      </c>
      <c r="S3851" s="14" t="n">
        <v>38595</v>
      </c>
      <c r="T3851" s="13" t="s">
        <v>108</v>
      </c>
      <c r="U3851" s="13" t="s">
        <v>15753</v>
      </c>
      <c r="V3851" s="13" t="s">
        <v>42</v>
      </c>
      <c r="W3851" s="13" t="s">
        <v>43</v>
      </c>
      <c r="X3851" s="21" t="n">
        <v>87716274571</v>
      </c>
      <c r="Y3851" s="22" t="str">
        <f aca="false">O3851</f>
        <v>SPG/BA</v>
      </c>
      <c r="Z3851" s="13" t="str">
        <f aca="false">IFERROR(__xludf.dummyfunction("if(BJ3851="""","""",GOOGLETRANSLATE(BJ3851,""auto"",""en""))"),"SPG/BA")</f>
        <v>SPG/BA</v>
      </c>
      <c r="AA3851" s="23" t="str">
        <f aca="false">IF(C3851="","", CHOOSE(MONTH(C3851),"January","February","March","April","May","June","July","August","September","October","November","December")&amp;" "&amp;DAY(C3851)&amp;MID("thstndrdth",MIN(9,2*RIGHT(DAY(C3851))*(MOD(DAY(C3851)-11,100)&gt;2)+1),2)&amp;","&amp;TEXT(C3851," yyyy"))</f>
        <v>January 5th,2024</v>
      </c>
      <c r="AB3851" s="15" t="str">
        <f aca="true">IF(S3851="","",DATEDIF(S3851,TODAY(),"Y")&amp;" Tahun, "&amp;DATEDIF(S3851,TODAY(),"YM")&amp;" Bulan, "&amp;DATEDIF(S3851,TODAY(),"MD")&amp;" Hari")</f>
        <v>21 Tahun, 1 Bulan, 28 Hari</v>
      </c>
      <c r="AC3851" s="18" t="n">
        <v>45744</v>
      </c>
      <c r="AD3851" s="18" t="n">
        <v>45915</v>
      </c>
      <c r="AE3851" s="13" t="s">
        <v>44</v>
      </c>
    </row>
    <row r="3852" customFormat="false" ht="15" hidden="false" customHeight="true" outlineLevel="0" collapsed="false">
      <c r="A3852" s="12" t="n">
        <v>22479</v>
      </c>
      <c r="B3852" s="13" t="s">
        <v>15754</v>
      </c>
      <c r="C3852" s="14" t="n">
        <v>46184</v>
      </c>
      <c r="D3852" s="13" t="s">
        <v>2033</v>
      </c>
      <c r="E3852" s="15" t="s">
        <v>15458</v>
      </c>
      <c r="F3852" s="24" t="s">
        <v>15755</v>
      </c>
      <c r="G3852" s="15" t="s">
        <v>1127</v>
      </c>
      <c r="H3852" s="13" t="s">
        <v>35</v>
      </c>
      <c r="I3852" s="13" t="str">
        <f aca="false">IF(C3852=J3852,"NEW KONTRAK","RE-KONTRAK")</f>
        <v>NEW KONTRAK</v>
      </c>
      <c r="J3852" s="16" t="n">
        <f aca="false" t="array" ref="J3852:J3852">IFERROR(INDEX(AC3852:AE3852,IF(COUNTA(AC3852:AE3852)=0,"",MAX((AC3852:AE3852&lt;&gt;"")*(COLUMN(AC3852:AE3852)-(COLUMN(AC3852)))))-1),"")</f>
        <v>46184</v>
      </c>
      <c r="K3852" s="16" t="n">
        <f aca="false" t="array" ref="K3852:K3852">IFERROR(INDEX(AC3852:AE3852,IF(COUNTA(AC3852:AE3852)=0,"",MAX((AC3852:AE3852&lt;&gt;"")*(COLUMN(AC3852:AE3852)-(COLUMN(AC3852)-1))))-1),"")</f>
        <v>46275</v>
      </c>
      <c r="L3852" s="17" t="str">
        <f aca="false" t="array" ref="L3852:L3852">IFERROR(INDEX(AC3852:AE3852,IF(COUNTA(AC3852:AE3852)=0,"",MAX((AC3852:AE3852&lt;&gt;"")*(COLUMN(AC3852:AE3852)-(COLUMN(AC3852)-2))))-1),"")</f>
        <v>KEMBALI</v>
      </c>
      <c r="M3852" s="13" t="n">
        <f aca="true">K3852-TODAY()</f>
        <v>-49</v>
      </c>
      <c r="N3852" s="13" t="s">
        <v>2363</v>
      </c>
      <c r="O3852" s="13" t="s">
        <v>2384</v>
      </c>
      <c r="P3852" s="19" t="n">
        <v>4335198</v>
      </c>
      <c r="Q3852" s="47" t="s">
        <v>15756</v>
      </c>
      <c r="R3852" s="13" t="s">
        <v>15757</v>
      </c>
      <c r="S3852" s="16" t="n">
        <v>38448</v>
      </c>
      <c r="T3852" s="28" t="s">
        <v>108</v>
      </c>
      <c r="U3852" s="13" t="s">
        <v>15758</v>
      </c>
      <c r="V3852" s="28" t="s">
        <v>42</v>
      </c>
      <c r="W3852" s="28" t="s">
        <v>43</v>
      </c>
      <c r="X3852" s="67" t="s">
        <v>15759</v>
      </c>
      <c r="Y3852" s="22" t="str">
        <f aca="false">O3852</f>
        <v>SPG</v>
      </c>
      <c r="Z3852" s="13" t="str">
        <f aca="false">IFERROR(__xludf.dummyfunction("if(BJ3852="""","""",GOOGLETRANSLATE(BJ3852,""auto"",""en""))"),"SPG")</f>
        <v>SPG</v>
      </c>
      <c r="AA3852" s="23" t="str">
        <f aca="false">IF(C3852="","", CHOOSE(MONTH(C3852),"January","February","March","April","May","June","July","August","September","October","November","December")&amp;" "&amp;DAY(C3852)&amp;MID("thstndrdth",MIN(9,2*RIGHT(DAY(C3852))*(MOD(DAY(C3852)-11,100)&gt;2)+1),2)&amp;","&amp;TEXT(C3852," yyyy"))</f>
        <v>June 11th,2026</v>
      </c>
      <c r="AB3852" s="15" t="str">
        <f aca="true">IF(S3852="","",DATEDIF(S3852,TODAY(),"Y")&amp;" Tahun, "&amp;DATEDIF(S3852,TODAY(),"YM")&amp;" Bulan, "&amp;DATEDIF(S3852,TODAY(),"MD")&amp;" Hari")</f>
        <v>21 Tahun, 6 Bulan, 23 Hari</v>
      </c>
      <c r="AC3852" s="14" t="n">
        <v>46184</v>
      </c>
      <c r="AD3852" s="18" t="n">
        <f aca="false">EDATE(AC3852,3)-1</f>
        <v>46275</v>
      </c>
      <c r="AE3852" s="13" t="s">
        <v>397</v>
      </c>
    </row>
    <row r="3853" customFormat="false" ht="15" hidden="false" customHeight="true" outlineLevel="0" collapsed="false">
      <c r="A3853" s="12" t="n">
        <v>22898</v>
      </c>
      <c r="B3853" s="13" t="s">
        <v>15760</v>
      </c>
      <c r="C3853" s="14" t="n">
        <v>46266</v>
      </c>
      <c r="D3853" s="13" t="s">
        <v>2033</v>
      </c>
      <c r="E3853" s="13" t="s">
        <v>47</v>
      </c>
      <c r="F3853" s="24" t="s">
        <v>15761</v>
      </c>
      <c r="G3853" s="13" t="s">
        <v>1452</v>
      </c>
      <c r="H3853" s="13" t="s">
        <v>35</v>
      </c>
      <c r="I3853" s="13" t="str">
        <f aca="false">IF(C3853=J3853,"NEW KONTRAK","RE-KONTRAK")</f>
        <v>NEW KONTRAK</v>
      </c>
      <c r="J3853" s="16" t="n">
        <f aca="false" t="array" ref="J3853:J3853">IFERROR(INDEX(AC3853:AE3853,IF(COUNTA(AC3853:AE3853)=0,"",MAX((AC3853:AE3853&lt;&gt;"")*(COLUMN(AC3853:AE3853)-(COLUMN(AC3853)))))-1),"")</f>
        <v>46266</v>
      </c>
      <c r="K3853" s="16" t="n">
        <f aca="false" t="array" ref="K3853:K3853">IFERROR(INDEX(AC3853:AE3853,IF(COUNTA(AC3853:AE3853)=0,"",MAX((AC3853:AE3853&lt;&gt;"")*(COLUMN(AC3853:AE3853)-(COLUMN(AC3853)-1))))-1),"")</f>
        <v>46402</v>
      </c>
      <c r="L3853" s="17" t="str">
        <f aca="false" t="array" ref="L3853:L3853">IFERROR(INDEX(AC3853:AE3853,IF(COUNTA(AC3853:AE3853)=0,"",MAX((AC3853:AE3853&lt;&gt;"")*(COLUMN(AC3853:AE3853)-(COLUMN(AC3853)-2))))-1),"")</f>
        <v>KEMBALI ONLINE</v>
      </c>
      <c r="M3853" s="13" t="n">
        <f aca="true">K3853-TODAY()</f>
        <v>78</v>
      </c>
      <c r="N3853" s="13" t="s">
        <v>4498</v>
      </c>
      <c r="O3853" s="13" t="s">
        <v>2384</v>
      </c>
      <c r="P3853" s="26" t="n">
        <v>2818585</v>
      </c>
      <c r="Q3853" s="20" t="s">
        <v>15762</v>
      </c>
      <c r="R3853" s="13" t="s">
        <v>4779</v>
      </c>
      <c r="S3853" s="25" t="n">
        <v>38073</v>
      </c>
      <c r="T3853" s="13" t="s">
        <v>108</v>
      </c>
      <c r="U3853" s="13" t="s">
        <v>15763</v>
      </c>
      <c r="V3853" s="13" t="s">
        <v>42</v>
      </c>
      <c r="W3853" s="13" t="s">
        <v>43</v>
      </c>
      <c r="X3853" s="21" t="n">
        <v>85290527593</v>
      </c>
      <c r="Y3853" s="22" t="str">
        <f aca="false">O3853</f>
        <v>SPG</v>
      </c>
      <c r="Z3853" s="13" t="str">
        <f aca="false">IFERROR(__xludf.dummyfunction("if(BJ3853="""","""",GOOGLETRANSLATE(BJ3853,""auto"",""en""))"),"SPG")</f>
        <v>SPG</v>
      </c>
      <c r="AA3853" s="23" t="str">
        <f aca="false">IF(C3853="","", CHOOSE(MONTH(C3853),"January","February","March","April","May","June","July","August","September","October","November","December")&amp;" "&amp;DAY(C3853)&amp;MID("thstndrdth",MIN(9,2*RIGHT(DAY(C3853))*(MOD(DAY(C3853)-11,100)&gt;2)+1),2)&amp;","&amp;TEXT(C3853," yyyy"))</f>
        <v>September 1st,2026</v>
      </c>
      <c r="AB3853" s="15" t="str">
        <f aca="true">IF(S3853="","",DATEDIF(S3853,TODAY(),"Y")&amp;" Tahun, "&amp;DATEDIF(S3853,TODAY(),"YM")&amp;" Bulan, "&amp;DATEDIF(S3853,TODAY(),"MD")&amp;" Hari")</f>
        <v>22 Tahun, 7 Bulan, 2 Hari</v>
      </c>
      <c r="AC3853" s="14" t="n">
        <v>46266</v>
      </c>
      <c r="AD3853" s="18" t="n">
        <v>46402</v>
      </c>
      <c r="AE3853" s="13" t="s">
        <v>2387</v>
      </c>
    </row>
    <row r="3854" customFormat="false" ht="15" hidden="false" customHeight="true" outlineLevel="0" collapsed="false">
      <c r="A3854" s="12" t="n">
        <v>21322</v>
      </c>
      <c r="B3854" s="13" t="s">
        <v>15764</v>
      </c>
      <c r="C3854" s="16" t="n">
        <v>45967</v>
      </c>
      <c r="D3854" s="13" t="s">
        <v>2033</v>
      </c>
      <c r="E3854" s="15" t="s">
        <v>47</v>
      </c>
      <c r="F3854" s="15" t="str">
        <f aca="false">IFERROR(__xludf.dummyfunction("XLOOKUP(AJ3854,IMPORTRANGE(""1XaInW9DU9nz21V0tYIfzFQ0He9kVQ_JF2mCXgZ3hqFA"",""REKAP ALL 2026 - Andika!G:G""),IMPORTRANGE(""1XaInW9DU9nz21V0tYIfzFQ0He9kVQ_JF2mCXgZ3hqFA"",""REKAP ALL 2026 - Andika!F:F""),"""",0)"),"25180535541")</f>
        <v>25180535541</v>
      </c>
      <c r="G3854" s="13" t="s">
        <v>1127</v>
      </c>
      <c r="H3854" s="13" t="s">
        <v>35</v>
      </c>
      <c r="I3854" s="13" t="str">
        <f aca="false">IF(C3854=J3854,"NEW KONTRAK","RE-KONTRAK")</f>
        <v>NEW KONTRAK</v>
      </c>
      <c r="J3854" s="16" t="n">
        <f aca="false" t="array" ref="J3854:J3854">IFERROR(INDEX(AC3854:AE3854,IF(COUNTA(AC3854:AE3854)=0,"",MAX((AC3854:AE3854&lt;&gt;"")*(COLUMN(AC3854:AE3854)-(COLUMN(AC3854)))))-1),"")</f>
        <v>45967</v>
      </c>
      <c r="K3854" s="16" t="n">
        <f aca="false" t="array" ref="K3854:K3854">IFERROR(INDEX(AC3854:AE3854,IF(COUNTA(AC3854:AE3854)=0,"",MAX((AC3854:AE3854&lt;&gt;"")*(COLUMN(AC3854:AE3854)-(COLUMN(AC3854)-1))))-1),"")</f>
        <v>46037</v>
      </c>
      <c r="L3854" s="17" t="str">
        <f aca="false" t="array" ref="L3854:L3854">IFERROR(INDEX(AC3854:AE3854,IF(COUNTA(AC3854:AE3854)=0,"",MAX((AC3854:AE3854&lt;&gt;"")*(COLUMN(AC3854:AE3854)-(COLUMN(AC3854)-2))))-1),"")</f>
        <v>ARCHIVED</v>
      </c>
      <c r="M3854" s="13" t="n">
        <f aca="true">K3854-TODAY()</f>
        <v>-287</v>
      </c>
      <c r="N3854" s="18" t="s">
        <v>2369</v>
      </c>
      <c r="O3854" s="13" t="s">
        <v>2037</v>
      </c>
      <c r="P3854" s="19" t="n">
        <v>3516070</v>
      </c>
      <c r="Q3854" s="47" t="s">
        <v>15765</v>
      </c>
      <c r="R3854" s="13" t="s">
        <v>12338</v>
      </c>
      <c r="S3854" s="16" t="n">
        <v>36987</v>
      </c>
      <c r="T3854" s="13" t="s">
        <v>108</v>
      </c>
      <c r="U3854" s="13" t="s">
        <v>15766</v>
      </c>
      <c r="V3854" s="13" t="s">
        <v>42</v>
      </c>
      <c r="W3854" s="13" t="s">
        <v>43</v>
      </c>
      <c r="X3854" s="21" t="n">
        <v>87725992065</v>
      </c>
      <c r="Y3854" s="22" t="str">
        <f aca="false">O3854</f>
        <v>SPG/BA</v>
      </c>
      <c r="Z3854" s="13" t="str">
        <f aca="false">IFERROR(__xludf.dummyfunction("if(BJ3854="""","""",GOOGLETRANSLATE(BJ3854,""auto"",""en""))"),"SPG/BA")</f>
        <v>SPG/BA</v>
      </c>
      <c r="AA3854" s="23" t="str">
        <f aca="false">IF(C3854="","", CHOOSE(MONTH(C3854),"January","February","March","April","May","June","July","August","September","October","November","December")&amp;" "&amp;DAY(C3854)&amp;MID("thstndrdth",MIN(9,2*RIGHT(DAY(C3854))*(MOD(DAY(C3854)-11,100)&gt;2)+1),2)&amp;","&amp;TEXT(C3854," yyyy"))</f>
        <v>November 6th,2025</v>
      </c>
      <c r="AB3854" s="15" t="str">
        <f aca="true">IF(S3854="","",DATEDIF(S3854,TODAY(),"Y")&amp;" Tahun, "&amp;DATEDIF(S3854,TODAY(),"YM")&amp;" Bulan, "&amp;DATEDIF(S3854,TODAY(),"MD")&amp;" Hari")</f>
        <v>25 Tahun, 6 Bulan, 23 Hari</v>
      </c>
      <c r="AC3854" s="18" t="n">
        <v>45967</v>
      </c>
      <c r="AD3854" s="18" t="n">
        <v>46037</v>
      </c>
      <c r="AE3854" s="13" t="s">
        <v>44</v>
      </c>
    </row>
    <row r="3855" customFormat="false" ht="15" hidden="false" customHeight="true" outlineLevel="0" collapsed="false">
      <c r="A3855" s="12" t="n">
        <v>22741</v>
      </c>
      <c r="B3855" s="13" t="s">
        <v>15767</v>
      </c>
      <c r="C3855" s="14" t="n">
        <v>46238</v>
      </c>
      <c r="D3855" s="13" t="s">
        <v>2033</v>
      </c>
      <c r="E3855" s="13" t="s">
        <v>47</v>
      </c>
      <c r="F3855" s="24" t="s">
        <v>15768</v>
      </c>
      <c r="G3855" s="13" t="s">
        <v>1452</v>
      </c>
      <c r="H3855" s="13" t="s">
        <v>35</v>
      </c>
      <c r="I3855" s="13" t="str">
        <f aca="false">IF(C3855=J3855,"NEW KONTRAK","RE-KONTRAK")</f>
        <v>NEW KONTRAK</v>
      </c>
      <c r="J3855" s="16" t="n">
        <f aca="false" t="array" ref="J3855:J3855">IFERROR(INDEX(AC3855:AE3855,IF(COUNTA(AC3855:AE3855)=0,"",MAX((AC3855:AE3855&lt;&gt;"")*(COLUMN(AC3855:AE3855)-(COLUMN(AC3855)))))-1),"")</f>
        <v>46238</v>
      </c>
      <c r="K3855" s="16" t="n">
        <f aca="false" t="array" ref="K3855:K3855">IFERROR(INDEX(AC3855:AE3855,IF(COUNTA(AC3855:AE3855)=0,"",MAX((AC3855:AE3855&lt;&gt;"")*(COLUMN(AC3855:AE3855)-(COLUMN(AC3855)-1))))-1),"")</f>
        <v>46402</v>
      </c>
      <c r="L3855" s="17" t="str">
        <f aca="false" t="array" ref="L3855:L3855">IFERROR(INDEX(AC3855:AE3855,IF(COUNTA(AC3855:AE3855)=0,"",MAX((AC3855:AE3855&lt;&gt;"")*(COLUMN(AC3855:AE3855)-(COLUMN(AC3855)-2))))-1),"")</f>
        <v>KEMBALI ONLINE</v>
      </c>
      <c r="M3855" s="13" t="n">
        <f aca="true">K3855-TODAY()</f>
        <v>78</v>
      </c>
      <c r="N3855" s="50" t="s">
        <v>4557</v>
      </c>
      <c r="O3855" s="13" t="s">
        <v>2384</v>
      </c>
      <c r="P3855" s="19" t="n">
        <v>3701709</v>
      </c>
      <c r="Q3855" s="20" t="s">
        <v>15769</v>
      </c>
      <c r="R3855" s="13" t="s">
        <v>6452</v>
      </c>
      <c r="S3855" s="25" t="n">
        <v>37296</v>
      </c>
      <c r="T3855" s="13" t="s">
        <v>108</v>
      </c>
      <c r="U3855" s="13" t="s">
        <v>15770</v>
      </c>
      <c r="V3855" s="13" t="s">
        <v>42</v>
      </c>
      <c r="W3855" s="13" t="s">
        <v>43</v>
      </c>
      <c r="X3855" s="21" t="n">
        <v>882003414416</v>
      </c>
      <c r="Y3855" s="22" t="str">
        <f aca="false">O3855</f>
        <v>SPG</v>
      </c>
      <c r="Z3855" s="13" t="str">
        <f aca="false">IFERROR(__xludf.dummyfunction("if(BJ3855="""","""",GOOGLETRANSLATE(BJ3855,""auto"",""en""))"),"SPG")</f>
        <v>SPG</v>
      </c>
      <c r="AA3855" s="23" t="str">
        <f aca="false">IF(C3855="","", CHOOSE(MONTH(C3855),"January","February","March","April","May","June","July","August","September","October","November","December")&amp;" "&amp;DAY(C3855)&amp;MID("thstndrdth",MIN(9,2*RIGHT(DAY(C3855))*(MOD(DAY(C3855)-11,100)&gt;2)+1),2)&amp;","&amp;TEXT(C3855," yyyy"))</f>
        <v>August 4th,2026</v>
      </c>
      <c r="AB3855" s="15" t="str">
        <f aca="true">IF(S3855="","",DATEDIF(S3855,TODAY(),"Y")&amp;" Tahun, "&amp;DATEDIF(S3855,TODAY(),"YM")&amp;" Bulan, "&amp;DATEDIF(S3855,TODAY(),"MD")&amp;" Hari")</f>
        <v>24 Tahun, 8 Bulan, 20 Hari</v>
      </c>
      <c r="AC3855" s="14" t="n">
        <v>46238</v>
      </c>
      <c r="AD3855" s="18" t="n">
        <v>46402</v>
      </c>
      <c r="AE3855" s="13" t="s">
        <v>2387</v>
      </c>
    </row>
    <row r="3856" customFormat="false" ht="15" hidden="false" customHeight="true" outlineLevel="0" collapsed="false">
      <c r="A3856" s="12" t="n">
        <v>22483</v>
      </c>
      <c r="B3856" s="13" t="s">
        <v>15771</v>
      </c>
      <c r="C3856" s="14" t="n">
        <v>46121</v>
      </c>
      <c r="D3856" s="13" t="s">
        <v>2033</v>
      </c>
      <c r="E3856" s="15" t="s">
        <v>102</v>
      </c>
      <c r="F3856" s="24" t="s">
        <v>15772</v>
      </c>
      <c r="G3856" s="15" t="s">
        <v>1127</v>
      </c>
      <c r="H3856" s="13" t="s">
        <v>35</v>
      </c>
      <c r="I3856" s="13" t="str">
        <f aca="false">IF(C3856=J3856,"NEW KONTRAK","RE-KONTRAK")</f>
        <v>RE-KONTRAK</v>
      </c>
      <c r="J3856" s="16" t="n">
        <f aca="false" t="array" ref="J3856:J3856">IFERROR(INDEX(AC3856:AE3856,IF(COUNTA(AC3856:AE3856)=0,"",MAX((AC3856:AE3856&lt;&gt;"")*(COLUMN(AC3856:AE3856)-(COLUMN(AC3856)))))-1),"")</f>
        <v>46204</v>
      </c>
      <c r="K3856" s="16" t="n">
        <f aca="false" t="array" ref="K3856:K3856">IFERROR(INDEX(AC3856:AE3856,IF(COUNTA(AC3856:AE3856)=0,"",MAX((AC3856:AE3856&lt;&gt;"")*(COLUMN(AC3856:AE3856)-(COLUMN(AC3856)-1))))-1),"")</f>
        <v>46295</v>
      </c>
      <c r="L3856" s="17" t="str">
        <f aca="false" t="array" ref="L3856:L3856">IFERROR(INDEX(AC3856:AE3856,IF(COUNTA(AC3856:AE3856)=0,"",MAX((AC3856:AE3856&lt;&gt;"")*(COLUMN(AC3856:AE3856)-(COLUMN(AC3856)-2))))-1),"")</f>
        <v>KEMBALI</v>
      </c>
      <c r="M3856" s="13" t="n">
        <f aca="true">K3856-TODAY()</f>
        <v>-29</v>
      </c>
      <c r="N3856" s="13" t="s">
        <v>15773</v>
      </c>
      <c r="O3856" s="13" t="s">
        <v>3249</v>
      </c>
      <c r="P3856" s="19" t="n">
        <v>3019015</v>
      </c>
      <c r="Q3856" s="47" t="s">
        <v>15774</v>
      </c>
      <c r="R3856" s="13" t="s">
        <v>15775</v>
      </c>
      <c r="S3856" s="16" t="n">
        <v>38218</v>
      </c>
      <c r="T3856" s="13" t="s">
        <v>40</v>
      </c>
      <c r="U3856" s="13" t="s">
        <v>15776</v>
      </c>
      <c r="V3856" s="28" t="s">
        <v>1310</v>
      </c>
      <c r="W3856" s="13" t="s">
        <v>43</v>
      </c>
      <c r="X3856" s="67" t="s">
        <v>15777</v>
      </c>
      <c r="Y3856" s="22" t="str">
        <f aca="false">O3856</f>
        <v>Sales Exclusive</v>
      </c>
      <c r="Z3856" s="13" t="str">
        <f aca="false">IFERROR(__xludf.dummyfunction("if(BJ3856="""","""",GOOGLETRANSLATE(BJ3856,""auto"",""en""))"),"Sales Exclusive")</f>
        <v>Sales Exclusive</v>
      </c>
      <c r="AA3856" s="23" t="str">
        <f aca="false">IF(C3856="","", CHOOSE(MONTH(C3856),"January","February","March","April","May","June","July","August","September","October","November","December")&amp;" "&amp;DAY(C3856)&amp;MID("thstndrdth",MIN(9,2*RIGHT(DAY(C3856))*(MOD(DAY(C3856)-11,100)&gt;2)+1),2)&amp;","&amp;TEXT(C3856," yyyy"))</f>
        <v>April 9th,2026</v>
      </c>
      <c r="AB3856" s="15" t="str">
        <f aca="true">IF(S3856="","",DATEDIF(S3856,TODAY(),"Y")&amp;" Tahun, "&amp;DATEDIF(S3856,TODAY(),"YM")&amp;" Bulan, "&amp;DATEDIF(S3856,TODAY(),"MD")&amp;" Hari")</f>
        <v>22 Tahun, 2 Bulan, 10 Hari</v>
      </c>
      <c r="AC3856" s="14" t="n">
        <v>46204</v>
      </c>
      <c r="AD3856" s="18" t="n">
        <f aca="false">EDATE(AC3856,3)-1</f>
        <v>46295</v>
      </c>
      <c r="AE3856" s="13" t="s">
        <v>397</v>
      </c>
    </row>
    <row r="3857" customFormat="false" ht="15" hidden="false" customHeight="true" outlineLevel="0" collapsed="false">
      <c r="A3857" s="12" t="n">
        <v>22484</v>
      </c>
      <c r="B3857" s="45" t="s">
        <v>15778</v>
      </c>
      <c r="C3857" s="14" t="n">
        <v>46204</v>
      </c>
      <c r="D3857" s="13" t="s">
        <v>7948</v>
      </c>
      <c r="E3857" s="15" t="s">
        <v>7949</v>
      </c>
      <c r="F3857" s="24" t="s">
        <v>15779</v>
      </c>
      <c r="G3857" s="24" t="s">
        <v>57</v>
      </c>
      <c r="H3857" s="13" t="s">
        <v>3024</v>
      </c>
      <c r="I3857" s="13" t="str">
        <f aca="false">IF(C3857=J3857,"NEW KONTRAK","RE-KONTRAK")</f>
        <v>NEW KONTRAK</v>
      </c>
      <c r="J3857" s="16" t="n">
        <f aca="false" t="array" ref="J3857:J3857">IFERROR(INDEX(AC3857:AE3857,IF(COUNTA(AC3857:AE3857)=0,"",MAX((AC3857:AE3857&lt;&gt;"")*(COLUMN(AC3857:AE3857)-(COLUMN(AC3857)))))-1),"")</f>
        <v>46204</v>
      </c>
      <c r="K3857" s="16" t="n">
        <f aca="false" t="array" ref="K3857:K3857">IFERROR(INDEX(AC3857:AE3857,IF(COUNTA(AC3857:AE3857)=0,"",MAX((AC3857:AE3857&lt;&gt;"")*(COLUMN(AC3857:AE3857)-(COLUMN(AC3857)-1))))-1),"")</f>
        <v>46295</v>
      </c>
      <c r="L3857" s="17" t="str">
        <f aca="false" t="array" ref="L3857:L3857">IFERROR(INDEX(AC3857:AE3857,IF(COUNTA(AC3857:AE3857)=0,"",MAX((AC3857:AE3857&lt;&gt;"")*(COLUMN(AC3857:AE3857)-(COLUMN(AC3857)-2))))-1),"")</f>
        <v>KEMBALI ONLINE</v>
      </c>
      <c r="M3857" s="13" t="n">
        <f aca="true">K3857-TODAY()</f>
        <v>-29</v>
      </c>
      <c r="N3857" s="18" t="s">
        <v>4051</v>
      </c>
      <c r="O3857" s="13" t="s">
        <v>7951</v>
      </c>
      <c r="P3857" s="19" t="n">
        <v>210000</v>
      </c>
      <c r="Q3857" s="20" t="s">
        <v>15780</v>
      </c>
      <c r="R3857" s="13" t="s">
        <v>39</v>
      </c>
      <c r="S3857" s="14" t="n">
        <v>36823</v>
      </c>
      <c r="T3857" s="13" t="s">
        <v>40</v>
      </c>
      <c r="U3857" s="13" t="s">
        <v>15781</v>
      </c>
      <c r="V3857" s="13" t="s">
        <v>42</v>
      </c>
      <c r="W3857" s="28" t="s">
        <v>43</v>
      </c>
      <c r="X3857" s="21" t="n">
        <v>82338314484</v>
      </c>
      <c r="Y3857" s="22" t="str">
        <f aca="false">O3857</f>
        <v>Mekanik Kiln</v>
      </c>
      <c r="Z3857" s="13" t="str">
        <f aca="false">IFERROR(__xludf.dummyfunction("if(BJ3857="""","""",GOOGLETRANSLATE(BJ3857,""auto"",""en""))"),"Kiln Mechanics")</f>
        <v>Kiln Mechanics</v>
      </c>
      <c r="AA3857" s="23" t="str">
        <f aca="false">IF(C3857="","", CHOOSE(MONTH(C3857),"January","February","March","April","May","June","July","August","September","October","November","December")&amp;" "&amp;DAY(C3857)&amp;MID("thstndrdth",MIN(9,2*RIGHT(DAY(C3857))*(MOD(DAY(C3857)-11,100)&gt;2)+1),2)&amp;","&amp;TEXT(C3857," yyyy"))</f>
        <v>July 1st,2026</v>
      </c>
      <c r="AB3857" s="15" t="str">
        <f aca="true">IF(S3857="","",DATEDIF(S3857,TODAY(),"Y")&amp;" Tahun, "&amp;DATEDIF(S3857,TODAY(),"YM")&amp;" Bulan, "&amp;DATEDIF(S3857,TODAY(),"MD")&amp;" Hari")</f>
        <v>26 Tahun, 0 Bulan, 5 Hari</v>
      </c>
      <c r="AC3857" s="14" t="n">
        <v>46204</v>
      </c>
      <c r="AD3857" s="18" t="n">
        <f aca="false">EDATE(AC3857,3)-1</f>
        <v>46295</v>
      </c>
      <c r="AE3857" s="13" t="s">
        <v>2387</v>
      </c>
    </row>
    <row r="3858" customFormat="false" ht="15" hidden="false" customHeight="true" outlineLevel="0" collapsed="false">
      <c r="A3858" s="12" t="n">
        <v>22485</v>
      </c>
      <c r="B3858" s="45" t="s">
        <v>15782</v>
      </c>
      <c r="C3858" s="17" t="n">
        <v>46220.2916666667</v>
      </c>
      <c r="D3858" s="13" t="s">
        <v>7534</v>
      </c>
      <c r="E3858" s="15" t="s">
        <v>47</v>
      </c>
      <c r="F3858" s="24" t="s">
        <v>15783</v>
      </c>
      <c r="G3858" s="24" t="s">
        <v>57</v>
      </c>
      <c r="H3858" s="13" t="s">
        <v>35</v>
      </c>
      <c r="I3858" s="13" t="str">
        <f aca="false">IF(C3858=J3858,"NEW KONTRAK","RE-KONTRAK")</f>
        <v>RE-KONTRAK</v>
      </c>
      <c r="J3858" s="16" t="n">
        <f aca="false" t="array" ref="J3858:J3858">IFERROR(INDEX(AC3858:AE3858,IF(COUNTA(AC3858:AE3858)=0,"",MAX((AC3858:AE3858&lt;&gt;"")*(COLUMN(AC3858:AE3858)-(COLUMN(AC3858)))))-1),"")</f>
        <v>46220</v>
      </c>
      <c r="K3858" s="16" t="n">
        <f aca="false" t="array" ref="K3858:K3858">IFERROR(INDEX(AC3858:AE3858,IF(COUNTA(AC3858:AE3858)=0,"",MAX((AC3858:AE3858&lt;&gt;"")*(COLUMN(AC3858:AE3858)-(COLUMN(AC3858)-1))))-1),"")</f>
        <v>46265</v>
      </c>
      <c r="L3858" s="17" t="str">
        <f aca="false" t="array" ref="L3858:L3858">IFERROR(INDEX(AC3858:AE3858,IF(COUNTA(AC3858:AE3858)=0,"",MAX((AC3858:AE3858&lt;&gt;"")*(COLUMN(AC3858:AE3858)-(COLUMN(AC3858)-2))))-1),"")</f>
        <v>KEMBALI</v>
      </c>
      <c r="M3858" s="13" t="n">
        <f aca="true">K3858-TODAY()</f>
        <v>-59</v>
      </c>
      <c r="N3858" s="18" t="s">
        <v>4735</v>
      </c>
      <c r="O3858" s="13" t="s">
        <v>7536</v>
      </c>
      <c r="P3858" s="19" t="n">
        <v>3553530</v>
      </c>
      <c r="Q3858" s="47" t="s">
        <v>15784</v>
      </c>
      <c r="R3858" s="13" t="s">
        <v>83</v>
      </c>
      <c r="S3858" s="16" t="n">
        <v>38081</v>
      </c>
      <c r="T3858" s="28" t="s">
        <v>108</v>
      </c>
      <c r="U3858" s="13" t="s">
        <v>15785</v>
      </c>
      <c r="V3858" s="28" t="s">
        <v>42</v>
      </c>
      <c r="W3858" s="28" t="s">
        <v>43</v>
      </c>
      <c r="X3858" s="47" t="s">
        <v>15786</v>
      </c>
      <c r="Y3858" s="22" t="str">
        <f aca="false">O3858</f>
        <v>Host Live</v>
      </c>
      <c r="Z3858" s="13" t="str">
        <f aca="false">IFERROR(__xludf.dummyfunction("if(BJ3858="""","""",GOOGLETRANSLATE(BJ3858,""auto"",""en""))"),"Host Live")</f>
        <v>Host Live</v>
      </c>
      <c r="AA3858" s="23" t="str">
        <f aca="false">IF(C3858="","", CHOOSE(MONTH(C3858),"January","February","March","April","May","June","July","August","September","October","November","December")&amp;" "&amp;DAY(C3858)&amp;MID("thstndrdth",MIN(9,2*RIGHT(DAY(C3858))*(MOD(DAY(C3858)-11,100)&gt;2)+1),2)&amp;","&amp;TEXT(C3858," yyyy"))</f>
        <v>July 17th,2026</v>
      </c>
      <c r="AB3858" s="15" t="str">
        <f aca="true">IF(S3858="","",DATEDIF(S3858,TODAY(),"Y")&amp;" Tahun, "&amp;DATEDIF(S3858,TODAY(),"YM")&amp;" Bulan, "&amp;DATEDIF(S3858,TODAY(),"MD")&amp;" Hari")</f>
        <v>22 Tahun, 6 Bulan, 25 Hari</v>
      </c>
      <c r="AC3858" s="14" t="n">
        <v>46220</v>
      </c>
      <c r="AD3858" s="18" t="n">
        <v>46265</v>
      </c>
      <c r="AE3858" s="13" t="s">
        <v>397</v>
      </c>
    </row>
    <row r="3859" customFormat="false" ht="15" hidden="false" customHeight="true" outlineLevel="0" collapsed="false">
      <c r="A3859" s="12" t="n">
        <v>22486</v>
      </c>
      <c r="B3859" s="13" t="s">
        <v>15787</v>
      </c>
      <c r="C3859" s="17" t="n">
        <v>46199.2916666667</v>
      </c>
      <c r="D3859" s="13" t="s">
        <v>5791</v>
      </c>
      <c r="E3859" s="15" t="s">
        <v>102</v>
      </c>
      <c r="F3859" s="24" t="s">
        <v>15788</v>
      </c>
      <c r="G3859" s="24" t="s">
        <v>57</v>
      </c>
      <c r="H3859" s="13" t="s">
        <v>35</v>
      </c>
      <c r="I3859" s="13" t="str">
        <f aca="false">IF(C3859=J3859,"NEW KONTRAK","RE-KONTRAK")</f>
        <v>RE-KONTRAK</v>
      </c>
      <c r="J3859" s="16" t="n">
        <f aca="false" t="array" ref="J3859:J3859">IFERROR(INDEX(AC3859:AE3859,IF(COUNTA(AC3859:AE3859)=0,"",MAX((AC3859:AE3859&lt;&gt;"")*(COLUMN(AC3859:AE3859)-(COLUMN(AC3859)))))-1),"")</f>
        <v>46199</v>
      </c>
      <c r="K3859" s="16" t="n">
        <f aca="false" t="array" ref="K3859:K3859">IFERROR(INDEX(AC3859:AE3859,IF(COUNTA(AC3859:AE3859)=0,"",MAX((AC3859:AE3859&lt;&gt;"")*(COLUMN(AC3859:AE3859)-(COLUMN(AC3859)-1))))-1),"")</f>
        <v>46290</v>
      </c>
      <c r="L3859" s="17" t="str">
        <f aca="false" t="array" ref="L3859:L3859">IFERROR(INDEX(AC3859:AE3859,IF(COUNTA(AC3859:AE3859)=0,"",MAX((AC3859:AE3859&lt;&gt;"")*(COLUMN(AC3859:AE3859)-(COLUMN(AC3859)-2))))-1),"")</f>
        <v>RESIGN</v>
      </c>
      <c r="M3859" s="13" t="n">
        <f aca="true">K3859-TODAY()</f>
        <v>-34</v>
      </c>
      <c r="N3859" s="18" t="s">
        <v>728</v>
      </c>
      <c r="O3859" s="13" t="s">
        <v>15530</v>
      </c>
      <c r="P3859" s="19" t="n">
        <v>130000</v>
      </c>
      <c r="Q3859" s="47" t="s">
        <v>15789</v>
      </c>
      <c r="R3859" s="13" t="s">
        <v>52</v>
      </c>
      <c r="S3859" s="16" t="n">
        <v>34538</v>
      </c>
      <c r="T3859" s="28" t="s">
        <v>40</v>
      </c>
      <c r="U3859" s="13" t="s">
        <v>15790</v>
      </c>
      <c r="V3859" s="28" t="s">
        <v>42</v>
      </c>
      <c r="W3859" s="28" t="s">
        <v>54</v>
      </c>
      <c r="X3859" s="47" t="s">
        <v>15791</v>
      </c>
      <c r="Y3859" s="22" t="str">
        <f aca="false">O3859</f>
        <v>Gudang dan Forklift</v>
      </c>
      <c r="Z3859" s="13" t="str">
        <f aca="false">IFERROR(__xludf.dummyfunction("if(BJ3859="""","""",GOOGLETRANSLATE(BJ3859,""auto"",""en""))"),"Warehouse and Forklift")</f>
        <v>Warehouse and Forklift</v>
      </c>
      <c r="AA3859" s="23" t="str">
        <f aca="false">IF(C3859="","", CHOOSE(MONTH(C3859),"January","February","March","April","May","June","July","August","September","October","November","December")&amp;" "&amp;DAY(C3859)&amp;MID("thstndrdth",MIN(9,2*RIGHT(DAY(C3859))*(MOD(DAY(C3859)-11,100)&gt;2)+1),2)&amp;","&amp;TEXT(C3859," yyyy"))</f>
        <v>June 26th,2026</v>
      </c>
      <c r="AB3859" s="15" t="str">
        <f aca="true">IF(S3859="","",DATEDIF(S3859,TODAY(),"Y")&amp;" Tahun, "&amp;DATEDIF(S3859,TODAY(),"YM")&amp;" Bulan, "&amp;DATEDIF(S3859,TODAY(),"MD")&amp;" Hari")</f>
        <v>32 Tahun, 3 Bulan, 6 Hari</v>
      </c>
      <c r="AC3859" s="14" t="n">
        <v>46199</v>
      </c>
      <c r="AD3859" s="18" t="n">
        <f aca="false">EDATE(AC3859,3)-1</f>
        <v>46290</v>
      </c>
      <c r="AE3859" s="13" t="s">
        <v>102</v>
      </c>
    </row>
    <row r="3860" customFormat="false" ht="15" hidden="false" customHeight="true" outlineLevel="0" collapsed="false">
      <c r="A3860" s="12" t="n">
        <v>22487</v>
      </c>
      <c r="B3860" s="45" t="s">
        <v>15792</v>
      </c>
      <c r="C3860" s="14" t="n">
        <v>46202</v>
      </c>
      <c r="D3860" s="13" t="s">
        <v>7310</v>
      </c>
      <c r="E3860" s="15" t="s">
        <v>47</v>
      </c>
      <c r="F3860" s="24" t="s">
        <v>15793</v>
      </c>
      <c r="G3860" s="24" t="s">
        <v>57</v>
      </c>
      <c r="H3860" s="13" t="s">
        <v>35</v>
      </c>
      <c r="I3860" s="13" t="str">
        <f aca="false">IF(C3860=J3860,"NEW KONTRAK","RE-KONTRAK")</f>
        <v>NEW KONTRAK</v>
      </c>
      <c r="J3860" s="16" t="n">
        <f aca="false" t="array" ref="J3860:J3860">IFERROR(INDEX(AC3860:AE3860,IF(COUNTA(AC3860:AE3860)=0,"",MAX((AC3860:AE3860&lt;&gt;"")*(COLUMN(AC3860:AE3860)-(COLUMN(AC3860)))))-1),"")</f>
        <v>46202</v>
      </c>
      <c r="K3860" s="16" t="n">
        <f aca="false" t="array" ref="K3860:K3860">IFERROR(INDEX(AC3860:AE3860,IF(COUNTA(AC3860:AE3860)=0,"",MAX((AC3860:AE3860&lt;&gt;"")*(COLUMN(AC3860:AE3860)-(COLUMN(AC3860)-1))))-1),"")</f>
        <v>46267</v>
      </c>
      <c r="L3860" s="17" t="str">
        <f aca="false" t="array" ref="L3860:L3860">IFERROR(INDEX(AC3860:AE3860,IF(COUNTA(AC3860:AE3860)=0,"",MAX((AC3860:AE3860&lt;&gt;"")*(COLUMN(AC3860:AE3860)-(COLUMN(AC3860)-2))))-1),"")</f>
        <v>KEMBALI</v>
      </c>
      <c r="M3860" s="13" t="n">
        <f aca="true">K3860-TODAY()</f>
        <v>-57</v>
      </c>
      <c r="N3860" s="18" t="s">
        <v>7313</v>
      </c>
      <c r="O3860" s="13" t="s">
        <v>15794</v>
      </c>
      <c r="P3860" s="19" t="n">
        <v>2550274</v>
      </c>
      <c r="Q3860" s="47" t="s">
        <v>15795</v>
      </c>
      <c r="R3860" s="13" t="s">
        <v>15796</v>
      </c>
      <c r="S3860" s="16" t="n">
        <v>38845</v>
      </c>
      <c r="T3860" s="28" t="s">
        <v>40</v>
      </c>
      <c r="U3860" s="13" t="s">
        <v>15797</v>
      </c>
      <c r="V3860" s="28" t="s">
        <v>42</v>
      </c>
      <c r="W3860" s="28" t="s">
        <v>43</v>
      </c>
      <c r="X3860" s="21" t="n">
        <v>8136009815</v>
      </c>
      <c r="Y3860" s="22" t="str">
        <f aca="false">O3860</f>
        <v>Helper / Kernet</v>
      </c>
      <c r="Z3860" s="13" t="str">
        <f aca="false">IFERROR(__xludf.dummyfunction("if(BJ3860="""","""",GOOGLETRANSLATE(BJ3860,""auto"",""en""))"),"Helper / Assistant")</f>
        <v>Helper / Assistant</v>
      </c>
      <c r="AA3860" s="23" t="str">
        <f aca="false">IF(C3860="","", CHOOSE(MONTH(C3860),"January","February","March","April","May","June","July","August","September","October","November","December")&amp;" "&amp;DAY(C3860)&amp;MID("thstndrdth",MIN(9,2*RIGHT(DAY(C3860))*(MOD(DAY(C3860)-11,100)&gt;2)+1),2)&amp;","&amp;TEXT(C3860," yyyy"))</f>
        <v>June 29th,2026</v>
      </c>
      <c r="AB3860" s="15" t="str">
        <f aca="true">IF(S3860="","",DATEDIF(S3860,TODAY(),"Y")&amp;" Tahun, "&amp;DATEDIF(S3860,TODAY(),"YM")&amp;" Bulan, "&amp;DATEDIF(S3860,TODAY(),"MD")&amp;" Hari")</f>
        <v>20 Tahun, 5 Bulan, 21 Hari</v>
      </c>
      <c r="AC3860" s="14" t="n">
        <v>46202</v>
      </c>
      <c r="AD3860" s="18" t="n">
        <v>46267</v>
      </c>
      <c r="AE3860" s="13" t="s">
        <v>397</v>
      </c>
    </row>
    <row r="3861" customFormat="false" ht="15" hidden="false" customHeight="true" outlineLevel="0" collapsed="false">
      <c r="A3861" s="12" t="n">
        <v>22488</v>
      </c>
      <c r="B3861" s="45" t="s">
        <v>15798</v>
      </c>
      <c r="C3861" s="14" t="n">
        <v>46202</v>
      </c>
      <c r="D3861" s="13" t="s">
        <v>7310</v>
      </c>
      <c r="E3861" s="15" t="s">
        <v>47</v>
      </c>
      <c r="F3861" s="24" t="s">
        <v>15799</v>
      </c>
      <c r="G3861" s="24" t="s">
        <v>57</v>
      </c>
      <c r="H3861" s="13" t="s">
        <v>35</v>
      </c>
      <c r="I3861" s="13" t="str">
        <f aca="false">IF(C3861=J3861,"NEW KONTRAK","RE-KONTRAK")</f>
        <v>NEW KONTRAK</v>
      </c>
      <c r="J3861" s="16" t="n">
        <f aca="false" t="array" ref="J3861:J3861">IFERROR(INDEX(AC3861:AE3861,IF(COUNTA(AC3861:AE3861)=0,"",MAX((AC3861:AE3861&lt;&gt;"")*(COLUMN(AC3861:AE3861)-(COLUMN(AC3861)))))-1),"")</f>
        <v>46202</v>
      </c>
      <c r="K3861" s="16" t="n">
        <f aca="false" t="array" ref="K3861:K3861">IFERROR(INDEX(AC3861:AE3861,IF(COUNTA(AC3861:AE3861)=0,"",MAX((AC3861:AE3861&lt;&gt;"")*(COLUMN(AC3861:AE3861)-(COLUMN(AC3861)-1))))-1),"")</f>
        <v>46267</v>
      </c>
      <c r="L3861" s="17" t="str">
        <f aca="false" t="array" ref="L3861:L3861">IFERROR(INDEX(AC3861:AE3861,IF(COUNTA(AC3861:AE3861)=0,"",MAX((AC3861:AE3861&lt;&gt;"")*(COLUMN(AC3861:AE3861)-(COLUMN(AC3861)-2))))-1),"")</f>
        <v>KEMBALI</v>
      </c>
      <c r="M3861" s="13" t="n">
        <f aca="true">K3861-TODAY()</f>
        <v>-57</v>
      </c>
      <c r="N3861" s="18" t="s">
        <v>7313</v>
      </c>
      <c r="O3861" s="13" t="s">
        <v>15794</v>
      </c>
      <c r="P3861" s="19" t="n">
        <v>2550274</v>
      </c>
      <c r="Q3861" s="47" t="s">
        <v>15800</v>
      </c>
      <c r="R3861" s="13" t="s">
        <v>15796</v>
      </c>
      <c r="S3861" s="16" t="n">
        <v>39075</v>
      </c>
      <c r="T3861" s="28" t="s">
        <v>40</v>
      </c>
      <c r="U3861" s="13" t="s">
        <v>15801</v>
      </c>
      <c r="V3861" s="28" t="s">
        <v>42</v>
      </c>
      <c r="W3861" s="28" t="s">
        <v>43</v>
      </c>
      <c r="X3861" s="21" t="n">
        <v>882010107577</v>
      </c>
      <c r="Y3861" s="22" t="str">
        <f aca="false">O3861</f>
        <v>Helper / Kernet</v>
      </c>
      <c r="Z3861" s="13" t="str">
        <f aca="false">IFERROR(__xludf.dummyfunction("if(BJ3861="""","""",GOOGLETRANSLATE(BJ3861,""auto"",""en""))"),"Helper / Assistant")</f>
        <v>Helper / Assistant</v>
      </c>
      <c r="AA3861" s="23" t="str">
        <f aca="false">IF(C3861="","", CHOOSE(MONTH(C3861),"January","February","March","April","May","June","July","August","September","October","November","December")&amp;" "&amp;DAY(C3861)&amp;MID("thstndrdth",MIN(9,2*RIGHT(DAY(C3861))*(MOD(DAY(C3861)-11,100)&gt;2)+1),2)&amp;","&amp;TEXT(C3861," yyyy"))</f>
        <v>June 29th,2026</v>
      </c>
      <c r="AB3861" s="15" t="str">
        <f aca="true">IF(S3861="","",DATEDIF(S3861,TODAY(),"Y")&amp;" Tahun, "&amp;DATEDIF(S3861,TODAY(),"YM")&amp;" Bulan, "&amp;DATEDIF(S3861,TODAY(),"MD")&amp;" Hari")</f>
        <v>19 Tahun, 10 Bulan, 5 Hari</v>
      </c>
      <c r="AC3861" s="14" t="n">
        <v>46202</v>
      </c>
      <c r="AD3861" s="18" t="n">
        <v>46267</v>
      </c>
      <c r="AE3861" s="13" t="s">
        <v>397</v>
      </c>
    </row>
    <row r="3862" customFormat="false" ht="15" hidden="false" customHeight="true" outlineLevel="0" collapsed="false">
      <c r="A3862" s="12" t="n">
        <v>22489</v>
      </c>
      <c r="B3862" s="126" t="s">
        <v>15802</v>
      </c>
      <c r="C3862" s="14" t="n">
        <v>46202</v>
      </c>
      <c r="D3862" s="13" t="s">
        <v>404</v>
      </c>
      <c r="E3862" s="15" t="s">
        <v>47</v>
      </c>
      <c r="F3862" s="24" t="s">
        <v>15803</v>
      </c>
      <c r="G3862" s="24" t="s">
        <v>57</v>
      </c>
      <c r="H3862" s="13" t="s">
        <v>35</v>
      </c>
      <c r="I3862" s="13" t="str">
        <f aca="false">IF(C3862=J3862,"NEW KONTRAK","RE-KONTRAK")</f>
        <v>NEW KONTRAK</v>
      </c>
      <c r="J3862" s="16" t="n">
        <f aca="false" t="array" ref="J3862:J3862">IFERROR(INDEX(AC3862:AE3862,IF(COUNTA(AC3862:AE3862)=0,"",MAX((AC3862:AE3862&lt;&gt;"")*(COLUMN(AC3862:AE3862)-(COLUMN(AC3862)))))-1),"")</f>
        <v>46202</v>
      </c>
      <c r="K3862" s="16" t="n">
        <f aca="false" t="array" ref="K3862:K3862">IFERROR(INDEX(AC3862:AE3862,IF(COUNTA(AC3862:AE3862)=0,"",MAX((AC3862:AE3862&lt;&gt;"")*(COLUMN(AC3862:AE3862)-(COLUMN(AC3862)-1))))-1),"")</f>
        <v>46293</v>
      </c>
      <c r="L3862" s="17" t="str">
        <f aca="false" t="array" ref="L3862:L3862">IFERROR(INDEX(AC3862:AE3862,IF(COUNTA(AC3862:AE3862)=0,"",MAX((AC3862:AE3862&lt;&gt;"")*(COLUMN(AC3862:AE3862)-(COLUMN(AC3862)-2))))-1),"")</f>
        <v>KEMBALI</v>
      </c>
      <c r="M3862" s="13" t="n">
        <f aca="true">K3862-TODAY()</f>
        <v>-31</v>
      </c>
      <c r="N3862" s="18" t="s">
        <v>36</v>
      </c>
      <c r="O3862" s="13" t="s">
        <v>15804</v>
      </c>
      <c r="P3862" s="26" t="n">
        <v>5195401</v>
      </c>
      <c r="Q3862" s="47" t="s">
        <v>15805</v>
      </c>
      <c r="R3862" s="13" t="s">
        <v>15806</v>
      </c>
      <c r="S3862" s="16" t="n">
        <v>38000</v>
      </c>
      <c r="T3862" s="28" t="s">
        <v>40</v>
      </c>
      <c r="U3862" s="13" t="s">
        <v>15807</v>
      </c>
      <c r="V3862" s="28" t="s">
        <v>42</v>
      </c>
      <c r="W3862" s="28" t="s">
        <v>43</v>
      </c>
      <c r="X3862" s="21" t="n">
        <v>8131576619</v>
      </c>
      <c r="Y3862" s="22" t="str">
        <f aca="false">O3862</f>
        <v>ANALIS LAB</v>
      </c>
      <c r="Z3862" s="13" t="str">
        <f aca="false">IFERROR(__xludf.dummyfunction("if(BJ3862="""","""",GOOGLETRANSLATE(BJ3862,""auto"",""en""))"),"LAB ANALYST")</f>
        <v>LAB ANALYST</v>
      </c>
      <c r="AA3862" s="23" t="str">
        <f aca="false">IF(C3862="","", CHOOSE(MONTH(C3862),"January","February","March","April","May","June","July","August","September","October","November","December")&amp;" "&amp;DAY(C3862)&amp;MID("thstndrdth",MIN(9,2*RIGHT(DAY(C3862))*(MOD(DAY(C3862)-11,100)&gt;2)+1),2)&amp;","&amp;TEXT(C3862," yyyy"))</f>
        <v>June 29th,2026</v>
      </c>
      <c r="AB3862" s="15" t="str">
        <f aca="true">IF(S3862="","",DATEDIF(S3862,TODAY(),"Y")&amp;" Tahun, "&amp;DATEDIF(S3862,TODAY(),"YM")&amp;" Bulan, "&amp;DATEDIF(S3862,TODAY(),"MD")&amp;" Hari")</f>
        <v>22 Tahun, 9 Bulan, 15 Hari</v>
      </c>
      <c r="AC3862" s="14" t="n">
        <v>46202</v>
      </c>
      <c r="AD3862" s="18" t="n">
        <f aca="false">EDATE(AC3862,3)-1</f>
        <v>46293</v>
      </c>
      <c r="AE3862" s="13" t="s">
        <v>397</v>
      </c>
    </row>
    <row r="3863" customFormat="false" ht="15" hidden="false" customHeight="true" outlineLevel="0" collapsed="false">
      <c r="A3863" s="12" t="n">
        <v>22490</v>
      </c>
      <c r="B3863" s="126" t="s">
        <v>15808</v>
      </c>
      <c r="C3863" s="14" t="n">
        <v>46202</v>
      </c>
      <c r="D3863" s="13" t="s">
        <v>404</v>
      </c>
      <c r="E3863" s="15" t="s">
        <v>47</v>
      </c>
      <c r="F3863" s="24" t="s">
        <v>15809</v>
      </c>
      <c r="G3863" s="24" t="s">
        <v>57</v>
      </c>
      <c r="H3863" s="13" t="s">
        <v>35</v>
      </c>
      <c r="I3863" s="13" t="str">
        <f aca="false">IF(C3863=J3863,"NEW KONTRAK","RE-KONTRAK")</f>
        <v>NEW KONTRAK</v>
      </c>
      <c r="J3863" s="16" t="n">
        <f aca="false" t="array" ref="J3863:J3863">IFERROR(INDEX(AC3863:AE3863,IF(COUNTA(AC3863:AE3863)=0,"",MAX((AC3863:AE3863&lt;&gt;"")*(COLUMN(AC3863:AE3863)-(COLUMN(AC3863)))))-1),"")</f>
        <v>46202</v>
      </c>
      <c r="K3863" s="16" t="n">
        <f aca="false" t="array" ref="K3863:K3863">IFERROR(INDEX(AC3863:AE3863,IF(COUNTA(AC3863:AE3863)=0,"",MAX((AC3863:AE3863&lt;&gt;"")*(COLUMN(AC3863:AE3863)-(COLUMN(AC3863)-1))))-1),"")</f>
        <v>46293</v>
      </c>
      <c r="L3863" s="17" t="str">
        <f aca="false" t="array" ref="L3863:L3863">IFERROR(INDEX(AC3863:AE3863,IF(COUNTA(AC3863:AE3863)=0,"",MAX((AC3863:AE3863&lt;&gt;"")*(COLUMN(AC3863:AE3863)-(COLUMN(AC3863)-2))))-1),"")</f>
        <v>KEMBALI</v>
      </c>
      <c r="M3863" s="13" t="n">
        <f aca="true">K3863-TODAY()</f>
        <v>-31</v>
      </c>
      <c r="N3863" s="18" t="s">
        <v>36</v>
      </c>
      <c r="O3863" s="13" t="s">
        <v>15810</v>
      </c>
      <c r="P3863" s="26" t="n">
        <v>5195401</v>
      </c>
      <c r="Q3863" s="47" t="s">
        <v>15811</v>
      </c>
      <c r="R3863" s="13" t="s">
        <v>15812</v>
      </c>
      <c r="S3863" s="16" t="n">
        <v>39405</v>
      </c>
      <c r="T3863" s="28" t="s">
        <v>40</v>
      </c>
      <c r="U3863" s="13" t="s">
        <v>15813</v>
      </c>
      <c r="V3863" s="28" t="s">
        <v>42</v>
      </c>
      <c r="W3863" s="28" t="s">
        <v>43</v>
      </c>
      <c r="X3863" s="21" t="n">
        <v>85743123336</v>
      </c>
      <c r="Y3863" s="22" t="str">
        <f aca="false">O3863</f>
        <v>REFINERY</v>
      </c>
      <c r="Z3863" s="13" t="str">
        <f aca="false">IFERROR(__xludf.dummyfunction("if(BJ3863="""","""",GOOGLETRANSLATE(BJ3863,""auto"",""en""))"),"REFINERY")</f>
        <v>REFINERY</v>
      </c>
      <c r="AA3863" s="23" t="str">
        <f aca="false">IF(C3863="","", CHOOSE(MONTH(C3863),"January","February","March","April","May","June","July","August","September","October","November","December")&amp;" "&amp;DAY(C3863)&amp;MID("thstndrdth",MIN(9,2*RIGHT(DAY(C3863))*(MOD(DAY(C3863)-11,100)&gt;2)+1),2)&amp;","&amp;TEXT(C3863," yyyy"))</f>
        <v>June 29th,2026</v>
      </c>
      <c r="AB3863" s="15" t="str">
        <f aca="true">IF(S3863="","",DATEDIF(S3863,TODAY(),"Y")&amp;" Tahun, "&amp;DATEDIF(S3863,TODAY(),"YM")&amp;" Bulan, "&amp;DATEDIF(S3863,TODAY(),"MD")&amp;" Hari")</f>
        <v>18 Tahun, 11 Bulan, 10 Hari</v>
      </c>
      <c r="AC3863" s="14" t="n">
        <v>46202</v>
      </c>
      <c r="AD3863" s="18" t="n">
        <f aca="false">EDATE(AC3863,3)-1</f>
        <v>46293</v>
      </c>
      <c r="AE3863" s="13" t="s">
        <v>397</v>
      </c>
    </row>
    <row r="3864" customFormat="false" ht="15" hidden="false" customHeight="true" outlineLevel="0" collapsed="false">
      <c r="A3864" s="12" t="n">
        <v>22491</v>
      </c>
      <c r="B3864" s="45" t="s">
        <v>15814</v>
      </c>
      <c r="C3864" s="14" t="n">
        <v>46209</v>
      </c>
      <c r="D3864" s="13" t="s">
        <v>6487</v>
      </c>
      <c r="E3864" s="15" t="s">
        <v>47</v>
      </c>
      <c r="F3864" s="24" t="s">
        <v>15815</v>
      </c>
      <c r="G3864" s="28" t="s">
        <v>57</v>
      </c>
      <c r="H3864" s="13" t="s">
        <v>35</v>
      </c>
      <c r="I3864" s="13" t="str">
        <f aca="false">IF(C3864=J3864,"NEW KONTRAK","RE-KONTRAK")</f>
        <v>NEW KONTRAK</v>
      </c>
      <c r="J3864" s="16" t="n">
        <f aca="false" t="array" ref="J3864:J3864">IFERROR(INDEX(AC3864:AE3864,IF(COUNTA(AC3864:AE3864)=0,"",MAX((AC3864:AE3864&lt;&gt;"")*(COLUMN(AC3864:AE3864)-(COLUMN(AC3864)))))-1),"")</f>
        <v>46209</v>
      </c>
      <c r="K3864" s="16" t="n">
        <f aca="false" t="array" ref="K3864:K3864">IFERROR(INDEX(AC3864:AE3864,IF(COUNTA(AC3864:AE3864)=0,"",MAX((AC3864:AE3864&lt;&gt;"")*(COLUMN(AC3864:AE3864)-(COLUMN(AC3864)-1))))-1),"")</f>
        <v>46300</v>
      </c>
      <c r="L3864" s="17" t="str">
        <f aca="false" t="array" ref="L3864:L3864">IFERROR(INDEX(AC3864:AE3864,IF(COUNTA(AC3864:AE3864)=0,"",MAX((AC3864:AE3864&lt;&gt;"")*(COLUMN(AC3864:AE3864)-(COLUMN(AC3864)-2))))-1),"")</f>
        <v>KEMBALI</v>
      </c>
      <c r="M3864" s="13" t="n">
        <f aca="true">K3864-TODAY()</f>
        <v>-24</v>
      </c>
      <c r="N3864" s="18" t="s">
        <v>4735</v>
      </c>
      <c r="O3864" s="13" t="s">
        <v>11196</v>
      </c>
      <c r="P3864" s="19" t="n">
        <v>3802862</v>
      </c>
      <c r="Q3864" s="20" t="s">
        <v>15816</v>
      </c>
      <c r="R3864" s="13" t="s">
        <v>8106</v>
      </c>
      <c r="S3864" s="14" t="n">
        <v>36518</v>
      </c>
      <c r="T3864" s="28" t="s">
        <v>40</v>
      </c>
      <c r="U3864" s="13" t="s">
        <v>15817</v>
      </c>
      <c r="V3864" s="13" t="s">
        <v>42</v>
      </c>
      <c r="W3864" s="13" t="s">
        <v>43</v>
      </c>
      <c r="X3864" s="21" t="s">
        <v>15818</v>
      </c>
      <c r="Y3864" s="22" t="str">
        <f aca="false">O3864</f>
        <v>Helper Gudang</v>
      </c>
      <c r="Z3864" s="13" t="str">
        <f aca="false">IFERROR(__xludf.dummyfunction("if(BJ3864="""","""",GOOGLETRANSLATE(BJ3864,""auto"",""en""))"),"Helper Gudang")</f>
        <v>Helper Gudang</v>
      </c>
      <c r="AA3864" s="23" t="str">
        <f aca="false">IF(C3864="","", CHOOSE(MONTH(C3864),"January","February","March","April","May","June","July","August","September","October","November","December")&amp;" "&amp;DAY(C3864)&amp;MID("thstndrdth",MIN(9,2*RIGHT(DAY(C3864))*(MOD(DAY(C3864)-11,100)&gt;2)+1),2)&amp;","&amp;TEXT(C3864," yyyy"))</f>
        <v>July 6th,2026</v>
      </c>
      <c r="AB3864" s="15" t="str">
        <f aca="true">IF(S3864="","",DATEDIF(S3864,TODAY(),"Y")&amp;" Tahun, "&amp;DATEDIF(S3864,TODAY(),"YM")&amp;" Bulan, "&amp;DATEDIF(S3864,TODAY(),"MD")&amp;" Hari")</f>
        <v>26 Tahun, 10 Bulan, 5 Hari</v>
      </c>
      <c r="AC3864" s="14" t="n">
        <v>46209</v>
      </c>
      <c r="AD3864" s="18" t="n">
        <f aca="false">EDATE(AC3864,3)-1</f>
        <v>46300</v>
      </c>
      <c r="AE3864" s="13" t="s">
        <v>397</v>
      </c>
    </row>
    <row r="3865" customFormat="false" ht="15" hidden="false" customHeight="true" outlineLevel="0" collapsed="false">
      <c r="A3865" s="12" t="n">
        <v>22492</v>
      </c>
      <c r="B3865" s="45" t="s">
        <v>15819</v>
      </c>
      <c r="C3865" s="14" t="n">
        <v>46199</v>
      </c>
      <c r="D3865" s="13" t="s">
        <v>404</v>
      </c>
      <c r="E3865" s="15" t="s">
        <v>47</v>
      </c>
      <c r="F3865" s="24" t="s">
        <v>15820</v>
      </c>
      <c r="G3865" s="28" t="s">
        <v>57</v>
      </c>
      <c r="H3865" s="13" t="s">
        <v>35</v>
      </c>
      <c r="I3865" s="13" t="str">
        <f aca="false">IF(C3865=J3865,"NEW KONTRAK","RE-KONTRAK")</f>
        <v>NEW KONTRAK</v>
      </c>
      <c r="J3865" s="16" t="n">
        <f aca="false" t="array" ref="J3865:J3865">IFERROR(INDEX(AC3865:AE3865,IF(COUNTA(AC3865:AE3865)=0,"",MAX((AC3865:AE3865&lt;&gt;"")*(COLUMN(AC3865:AE3865)-(COLUMN(AC3865)))))-1),"")</f>
        <v>46199</v>
      </c>
      <c r="K3865" s="16" t="n">
        <f aca="false" t="array" ref="K3865:K3865">IFERROR(INDEX(AC3865:AE3865,IF(COUNTA(AC3865:AE3865)=0,"",MAX((AC3865:AE3865&lt;&gt;"")*(COLUMN(AC3865:AE3865)-(COLUMN(AC3865)-1))))-1),"")</f>
        <v>46290</v>
      </c>
      <c r="L3865" s="17" t="str">
        <f aca="false" t="array" ref="L3865:L3865">IFERROR(INDEX(AC3865:AE3865,IF(COUNTA(AC3865:AE3865)=0,"",MAX((AC3865:AE3865&lt;&gt;"")*(COLUMN(AC3865:AE3865)-(COLUMN(AC3865)-2))))-1),"")</f>
        <v>KEMBALI</v>
      </c>
      <c r="M3865" s="13" t="n">
        <f aca="true">K3865-TODAY()</f>
        <v>-34</v>
      </c>
      <c r="N3865" s="18" t="s">
        <v>36</v>
      </c>
      <c r="O3865" s="13" t="s">
        <v>8136</v>
      </c>
      <c r="P3865" s="26" t="n">
        <v>5195401</v>
      </c>
      <c r="Q3865" s="47" t="s">
        <v>15821</v>
      </c>
      <c r="R3865" s="13" t="s">
        <v>15822</v>
      </c>
      <c r="S3865" s="16" t="n">
        <v>38044</v>
      </c>
      <c r="T3865" s="28" t="s">
        <v>40</v>
      </c>
      <c r="U3865" s="13" t="s">
        <v>15823</v>
      </c>
      <c r="V3865" s="28" t="s">
        <v>42</v>
      </c>
      <c r="W3865" s="28" t="s">
        <v>43</v>
      </c>
      <c r="X3865" s="47" t="s">
        <v>15824</v>
      </c>
      <c r="Y3865" s="22" t="str">
        <f aca="false">O3865</f>
        <v>Analis Lab</v>
      </c>
      <c r="Z3865" s="13" t="str">
        <f aca="false">IFERROR(__xludf.dummyfunction("if(BJ3865="""","""",GOOGLETRANSLATE(BJ3865,""auto"",""en""))"),"Lab Analyst")</f>
        <v>Lab Analyst</v>
      </c>
      <c r="AA3865" s="23" t="str">
        <f aca="false">IF(C3865="","", CHOOSE(MONTH(C3865),"January","February","March","April","May","June","July","August","September","October","November","December")&amp;" "&amp;DAY(C3865)&amp;MID("thstndrdth",MIN(9,2*RIGHT(DAY(C3865))*(MOD(DAY(C3865)-11,100)&gt;2)+1),2)&amp;","&amp;TEXT(C3865," yyyy"))</f>
        <v>June 26th,2026</v>
      </c>
      <c r="AB3865" s="15" t="str">
        <f aca="true">IF(S3865="","",DATEDIF(S3865,TODAY(),"Y")&amp;" Tahun, "&amp;DATEDIF(S3865,TODAY(),"YM")&amp;" Bulan, "&amp;DATEDIF(S3865,TODAY(),"MD")&amp;" Hari")</f>
        <v>22 Tahun, 8 Bulan, 2 Hari</v>
      </c>
      <c r="AC3865" s="14" t="n">
        <v>46199</v>
      </c>
      <c r="AD3865" s="18" t="n">
        <f aca="false">EDATE(AC3865,3)-1</f>
        <v>46290</v>
      </c>
      <c r="AE3865" s="13" t="s">
        <v>397</v>
      </c>
    </row>
    <row r="3866" customFormat="false" ht="15" hidden="false" customHeight="true" outlineLevel="0" collapsed="false">
      <c r="A3866" s="12" t="n">
        <v>22493</v>
      </c>
      <c r="B3866" s="13" t="s">
        <v>15825</v>
      </c>
      <c r="C3866" s="14" t="n">
        <v>46196</v>
      </c>
      <c r="D3866" s="13" t="s">
        <v>8240</v>
      </c>
      <c r="E3866" s="15" t="s">
        <v>47</v>
      </c>
      <c r="F3866" s="24" t="s">
        <v>15826</v>
      </c>
      <c r="G3866" s="28" t="s">
        <v>57</v>
      </c>
      <c r="H3866" s="13" t="s">
        <v>35</v>
      </c>
      <c r="I3866" s="13" t="str">
        <f aca="false">IF(C3866=J3866,"NEW KONTRAK","RE-KONTRAK")</f>
        <v>NEW KONTRAK</v>
      </c>
      <c r="J3866" s="16" t="n">
        <f aca="false" t="array" ref="J3866:J3866">IFERROR(INDEX(AC3866:AE3866,IF(COUNTA(AC3866:AE3866)=0,"",MAX((AC3866:AE3866&lt;&gt;"")*(COLUMN(AC3866:AE3866)-(COLUMN(AC3866)))))-1),"")</f>
        <v>46196</v>
      </c>
      <c r="K3866" s="16" t="n">
        <f aca="false" t="array" ref="K3866:K3866">IFERROR(INDEX(AC3866:AE3866,IF(COUNTA(AC3866:AE3866)=0,"",MAX((AC3866:AE3866&lt;&gt;"")*(COLUMN(AC3866:AE3866)-(COLUMN(AC3866)-1))))-1),"")</f>
        <v>46287</v>
      </c>
      <c r="L3866" s="17" t="str">
        <f aca="false" t="array" ref="L3866:L3866">IFERROR(INDEX(AC3866:AE3866,IF(COUNTA(AC3866:AE3866)=0,"",MAX((AC3866:AE3866&lt;&gt;"")*(COLUMN(AC3866:AE3866)-(COLUMN(AC3866)-2))))-1),"")</f>
        <v>KEMBALI</v>
      </c>
      <c r="M3866" s="13" t="n">
        <f aca="true">K3866-TODAY()</f>
        <v>-37</v>
      </c>
      <c r="N3866" s="18" t="s">
        <v>36</v>
      </c>
      <c r="O3866" s="13" t="s">
        <v>4274</v>
      </c>
      <c r="P3866" s="117" t="n">
        <v>200000</v>
      </c>
      <c r="Q3866" s="20" t="s">
        <v>15827</v>
      </c>
      <c r="R3866" s="13" t="s">
        <v>78</v>
      </c>
      <c r="S3866" s="14" t="n">
        <v>31669</v>
      </c>
      <c r="T3866" s="13" t="s">
        <v>40</v>
      </c>
      <c r="U3866" s="13" t="s">
        <v>15828</v>
      </c>
      <c r="V3866" s="13" t="s">
        <v>42</v>
      </c>
      <c r="W3866" s="13" t="s">
        <v>54</v>
      </c>
      <c r="X3866" s="47" t="s">
        <v>15829</v>
      </c>
      <c r="Y3866" s="22" t="str">
        <f aca="false">O3866</f>
        <v>Operator Extruder</v>
      </c>
      <c r="Z3866" s="13" t="str">
        <f aca="false">IFERROR(__xludf.dummyfunction("if(BJ3866="""","""",GOOGLETRANSLATE(BJ3866,""auto"",""en""))"),"Operator Extruder")</f>
        <v>Operator Extruder</v>
      </c>
      <c r="AA3866" s="23" t="str">
        <f aca="false">IF(C3866="","", CHOOSE(MONTH(C3866),"January","February","March","April","May","June","July","August","September","October","November","December")&amp;" "&amp;DAY(C3866)&amp;MID("thstndrdth",MIN(9,2*RIGHT(DAY(C3866))*(MOD(DAY(C3866)-11,100)&gt;2)+1),2)&amp;","&amp;TEXT(C3866," yyyy"))</f>
        <v>June 23rd,2026</v>
      </c>
      <c r="AB3866" s="15" t="str">
        <f aca="true">IF(S3866="","",DATEDIF(S3866,TODAY(),"Y")&amp;" Tahun, "&amp;DATEDIF(S3866,TODAY(),"YM")&amp;" Bulan, "&amp;DATEDIF(S3866,TODAY(),"MD")&amp;" Hari")</f>
        <v>40 Tahun, 1 Bulan, 15 Hari</v>
      </c>
      <c r="AC3866" s="14" t="n">
        <v>46196</v>
      </c>
      <c r="AD3866" s="18" t="n">
        <f aca="false">EDATE(AC3866,3)-1</f>
        <v>46287</v>
      </c>
      <c r="AE3866" s="13" t="s">
        <v>397</v>
      </c>
    </row>
    <row r="3867" customFormat="false" ht="15" hidden="false" customHeight="true" outlineLevel="0" collapsed="false">
      <c r="A3867" s="12" t="n">
        <v>22494</v>
      </c>
      <c r="B3867" s="45" t="s">
        <v>15830</v>
      </c>
      <c r="C3867" s="14" t="n">
        <v>46196</v>
      </c>
      <c r="D3867" s="13" t="s">
        <v>10155</v>
      </c>
      <c r="E3867" s="15" t="s">
        <v>47</v>
      </c>
      <c r="F3867" s="24" t="s">
        <v>15831</v>
      </c>
      <c r="G3867" s="24" t="s">
        <v>57</v>
      </c>
      <c r="H3867" s="13" t="s">
        <v>35</v>
      </c>
      <c r="I3867" s="13" t="str">
        <f aca="false">IF(C3867=J3867,"NEW KONTRAK","RE-KONTRAK")</f>
        <v>NEW KONTRAK</v>
      </c>
      <c r="J3867" s="16" t="n">
        <f aca="false" t="array" ref="J3867:J3867">IFERROR(INDEX(AC3867:AE3867,IF(COUNTA(AC3867:AE3867)=0,"",MAX((AC3867:AE3867&lt;&gt;"")*(COLUMN(AC3867:AE3867)-(COLUMN(AC3867)))))-1),"")</f>
        <v>46196</v>
      </c>
      <c r="K3867" s="16" t="n">
        <f aca="false" t="array" ref="K3867:K3867">IFERROR(INDEX(AC3867:AE3867,IF(COUNTA(AC3867:AE3867)=0,"",MAX((AC3867:AE3867&lt;&gt;"")*(COLUMN(AC3867:AE3867)-(COLUMN(AC3867)-1))))-1),"")</f>
        <v>46287</v>
      </c>
      <c r="L3867" s="17" t="str">
        <f aca="false" t="array" ref="L3867:L3867">IFERROR(INDEX(AC3867:AE3867,IF(COUNTA(AC3867:AE3867)=0,"",MAX((AC3867:AE3867&lt;&gt;"")*(COLUMN(AC3867:AE3867)-(COLUMN(AC3867)-2))))-1),"")</f>
        <v>KEMBALI</v>
      </c>
      <c r="M3867" s="13" t="n">
        <f aca="true">K3867-TODAY()</f>
        <v>-37</v>
      </c>
      <c r="N3867" s="18" t="s">
        <v>36</v>
      </c>
      <c r="O3867" s="13" t="s">
        <v>10200</v>
      </c>
      <c r="P3867" s="26" t="n">
        <v>5195401</v>
      </c>
      <c r="Q3867" s="20" t="s">
        <v>15832</v>
      </c>
      <c r="R3867" s="13" t="s">
        <v>826</v>
      </c>
      <c r="S3867" s="14" t="n">
        <v>38056</v>
      </c>
      <c r="T3867" s="13" t="s">
        <v>108</v>
      </c>
      <c r="U3867" s="13" t="s">
        <v>15833</v>
      </c>
      <c r="V3867" s="13" t="s">
        <v>42</v>
      </c>
      <c r="W3867" s="13" t="s">
        <v>43</v>
      </c>
      <c r="X3867" s="21" t="n">
        <v>895396326690</v>
      </c>
      <c r="Y3867" s="22" t="str">
        <f aca="false">O3867</f>
        <v>Cold CS P1 Production Admin</v>
      </c>
      <c r="Z3867" s="13" t="str">
        <f aca="false">IFERROR(__xludf.dummyfunction("if(BJ3867="""","""",GOOGLETRANSLATE(BJ3867,""auto"",""en""))"),"Cold CS P1 Production Admin")</f>
        <v>Cold CS P1 Production Admin</v>
      </c>
      <c r="AA3867" s="23" t="str">
        <f aca="false">IF(C3867="","", CHOOSE(MONTH(C3867),"January","February","March","April","May","June","July","August","September","October","November","December")&amp;" "&amp;DAY(C3867)&amp;MID("thstndrdth",MIN(9,2*RIGHT(DAY(C3867))*(MOD(DAY(C3867)-11,100)&gt;2)+1),2)&amp;","&amp;TEXT(C3867," yyyy"))</f>
        <v>June 23rd,2026</v>
      </c>
      <c r="AB3867" s="15" t="str">
        <f aca="true">IF(S3867="","",DATEDIF(S3867,TODAY(),"Y")&amp;" Tahun, "&amp;DATEDIF(S3867,TODAY(),"YM")&amp;" Bulan, "&amp;DATEDIF(S3867,TODAY(),"MD")&amp;" Hari")</f>
        <v>22 Tahun, 7 Bulan, 19 Hari</v>
      </c>
      <c r="AC3867" s="14" t="n">
        <v>46196</v>
      </c>
      <c r="AD3867" s="18" t="n">
        <f aca="false">EDATE(AC3867,3)-1</f>
        <v>46287</v>
      </c>
      <c r="AE3867" s="13" t="s">
        <v>397</v>
      </c>
    </row>
    <row r="3868" customFormat="false" ht="15" hidden="false" customHeight="true" outlineLevel="0" collapsed="false">
      <c r="A3868" s="12" t="n">
        <v>22495</v>
      </c>
      <c r="B3868" s="45" t="s">
        <v>15834</v>
      </c>
      <c r="C3868" s="14" t="n">
        <v>46196</v>
      </c>
      <c r="D3868" s="13" t="s">
        <v>10155</v>
      </c>
      <c r="E3868" s="15" t="s">
        <v>47</v>
      </c>
      <c r="F3868" s="24" t="s">
        <v>15835</v>
      </c>
      <c r="G3868" s="24" t="s">
        <v>57</v>
      </c>
      <c r="H3868" s="13" t="s">
        <v>35</v>
      </c>
      <c r="I3868" s="13" t="str">
        <f aca="false">IF(C3868=J3868,"NEW KONTRAK","RE-KONTRAK")</f>
        <v>NEW KONTRAK</v>
      </c>
      <c r="J3868" s="16" t="n">
        <f aca="false" t="array" ref="J3868:J3868">IFERROR(INDEX(AC3868:AE3868,IF(COUNTA(AC3868:AE3868)=0,"",MAX((AC3868:AE3868&lt;&gt;"")*(COLUMN(AC3868:AE3868)-(COLUMN(AC3868)))))-1),"")</f>
        <v>46196</v>
      </c>
      <c r="K3868" s="16" t="n">
        <f aca="false" t="array" ref="K3868:K3868">IFERROR(INDEX(AC3868:AE3868,IF(COUNTA(AC3868:AE3868)=0,"",MAX((AC3868:AE3868&lt;&gt;"")*(COLUMN(AC3868:AE3868)-(COLUMN(AC3868)-1))))-1),"")</f>
        <v>46287</v>
      </c>
      <c r="L3868" s="17" t="str">
        <f aca="false" t="array" ref="L3868:L3868">IFERROR(INDEX(AC3868:AE3868,IF(COUNTA(AC3868:AE3868)=0,"",MAX((AC3868:AE3868&lt;&gt;"")*(COLUMN(AC3868:AE3868)-(COLUMN(AC3868)-2))))-1),"")</f>
        <v>KEMBALI</v>
      </c>
      <c r="M3868" s="13" t="n">
        <f aca="true">K3868-TODAY()</f>
        <v>-37</v>
      </c>
      <c r="N3868" s="18" t="s">
        <v>36</v>
      </c>
      <c r="O3868" s="13" t="s">
        <v>10191</v>
      </c>
      <c r="P3868" s="26" t="n">
        <v>5195401</v>
      </c>
      <c r="Q3868" s="20" t="s">
        <v>15836</v>
      </c>
      <c r="R3868" s="13" t="s">
        <v>65</v>
      </c>
      <c r="S3868" s="14" t="n">
        <v>37265</v>
      </c>
      <c r="T3868" s="13" t="s">
        <v>40</v>
      </c>
      <c r="U3868" s="13" t="s">
        <v>15837</v>
      </c>
      <c r="V3868" s="13" t="s">
        <v>42</v>
      </c>
      <c r="W3868" s="13" t="s">
        <v>43</v>
      </c>
      <c r="X3868" s="21" t="n">
        <v>82146380556</v>
      </c>
      <c r="Y3868" s="22" t="str">
        <f aca="false">O3868</f>
        <v>LS P1 - QC &amp; Incoming</v>
      </c>
      <c r="Z3868" s="13" t="str">
        <f aca="false">IFERROR(__xludf.dummyfunction("if(BJ3868="""","""",GOOGLETRANSLATE(BJ3868,""auto"",""en""))"),"LS P1 - QC &amp; Incoming")</f>
        <v>LS P1 - QC &amp; Incoming</v>
      </c>
      <c r="AA3868" s="23" t="str">
        <f aca="false">IF(C3868="","", CHOOSE(MONTH(C3868),"January","February","March","April","May","June","July","August","September","October","November","December")&amp;" "&amp;DAY(C3868)&amp;MID("thstndrdth",MIN(9,2*RIGHT(DAY(C3868))*(MOD(DAY(C3868)-11,100)&gt;2)+1),2)&amp;","&amp;TEXT(C3868," yyyy"))</f>
        <v>June 23rd,2026</v>
      </c>
      <c r="AB3868" s="15" t="str">
        <f aca="true">IF(S3868="","",DATEDIF(S3868,TODAY(),"Y")&amp;" Tahun, "&amp;DATEDIF(S3868,TODAY(),"YM")&amp;" Bulan, "&amp;DATEDIF(S3868,TODAY(),"MD")&amp;" Hari")</f>
        <v>24 Tahun, 9 Bulan, 20 Hari</v>
      </c>
      <c r="AC3868" s="14" t="n">
        <v>46196</v>
      </c>
      <c r="AD3868" s="18" t="n">
        <f aca="false">EDATE(AC3868,3)-1</f>
        <v>46287</v>
      </c>
      <c r="AE3868" s="13" t="s">
        <v>397</v>
      </c>
    </row>
    <row r="3869" customFormat="false" ht="15" hidden="false" customHeight="true" outlineLevel="0" collapsed="false">
      <c r="A3869" s="12" t="n">
        <v>22496</v>
      </c>
      <c r="B3869" s="45" t="s">
        <v>15838</v>
      </c>
      <c r="C3869" s="14" t="n">
        <v>46196</v>
      </c>
      <c r="D3869" s="13" t="s">
        <v>10155</v>
      </c>
      <c r="E3869" s="15" t="s">
        <v>47</v>
      </c>
      <c r="F3869" s="24" t="s">
        <v>15839</v>
      </c>
      <c r="G3869" s="24" t="s">
        <v>57</v>
      </c>
      <c r="H3869" s="13" t="s">
        <v>35</v>
      </c>
      <c r="I3869" s="13" t="str">
        <f aca="false">IF(C3869=J3869,"NEW KONTRAK","RE-KONTRAK")</f>
        <v>NEW KONTRAK</v>
      </c>
      <c r="J3869" s="16" t="n">
        <f aca="false" t="array" ref="J3869:J3869">IFERROR(INDEX(AC3869:AE3869,IF(COUNTA(AC3869:AE3869)=0,"",MAX((AC3869:AE3869&lt;&gt;"")*(COLUMN(AC3869:AE3869)-(COLUMN(AC3869)))))-1),"")</f>
        <v>46196</v>
      </c>
      <c r="K3869" s="16" t="n">
        <f aca="false" t="array" ref="K3869:K3869">IFERROR(INDEX(AC3869:AE3869,IF(COUNTA(AC3869:AE3869)=0,"",MAX((AC3869:AE3869&lt;&gt;"")*(COLUMN(AC3869:AE3869)-(COLUMN(AC3869)-1))))-1),"")</f>
        <v>46287</v>
      </c>
      <c r="L3869" s="17" t="str">
        <f aca="false" t="array" ref="L3869:L3869">IFERROR(INDEX(AC3869:AE3869,IF(COUNTA(AC3869:AE3869)=0,"",MAX((AC3869:AE3869&lt;&gt;"")*(COLUMN(AC3869:AE3869)-(COLUMN(AC3869)-2))))-1),"")</f>
        <v>KEMBALI</v>
      </c>
      <c r="M3869" s="13" t="n">
        <f aca="true">K3869-TODAY()</f>
        <v>-37</v>
      </c>
      <c r="N3869" s="18" t="s">
        <v>36</v>
      </c>
      <c r="O3869" s="13" t="s">
        <v>10219</v>
      </c>
      <c r="P3869" s="26" t="n">
        <v>5195401</v>
      </c>
      <c r="Q3869" s="20" t="s">
        <v>15840</v>
      </c>
      <c r="R3869" s="13" t="s">
        <v>65</v>
      </c>
      <c r="S3869" s="14" t="n">
        <v>38190</v>
      </c>
      <c r="T3869" s="13" t="s">
        <v>40</v>
      </c>
      <c r="U3869" s="13" t="s">
        <v>15841</v>
      </c>
      <c r="V3869" s="13" t="s">
        <v>42</v>
      </c>
      <c r="W3869" s="13" t="s">
        <v>43</v>
      </c>
      <c r="X3869" s="21" t="n">
        <v>81230818429</v>
      </c>
      <c r="Y3869" s="22" t="str">
        <f aca="false">O3869</f>
        <v>LS P2 &amp; P5 - Quality Control</v>
      </c>
      <c r="Z3869" s="13" t="str">
        <f aca="false">IFERROR(__xludf.dummyfunction("if(BJ3869="""","""",GOOGLETRANSLATE(BJ3869,""auto"",""en""))"),"LS P2 &amp; P5 - Quality Control")</f>
        <v>LS P2 &amp; P5 - Quality Control</v>
      </c>
      <c r="AA3869" s="23" t="str">
        <f aca="false">IF(C3869="","", CHOOSE(MONTH(C3869),"January","February","March","April","May","June","July","August","September","October","November","December")&amp;" "&amp;DAY(C3869)&amp;MID("thstndrdth",MIN(9,2*RIGHT(DAY(C3869))*(MOD(DAY(C3869)-11,100)&gt;2)+1),2)&amp;","&amp;TEXT(C3869," yyyy"))</f>
        <v>June 23rd,2026</v>
      </c>
      <c r="AB3869" s="15" t="str">
        <f aca="true">IF(S3869="","",DATEDIF(S3869,TODAY(),"Y")&amp;" Tahun, "&amp;DATEDIF(S3869,TODAY(),"YM")&amp;" Bulan, "&amp;DATEDIF(S3869,TODAY(),"MD")&amp;" Hari")</f>
        <v>22 Tahun, 3 Bulan, 7 Hari</v>
      </c>
      <c r="AC3869" s="14" t="n">
        <v>46196</v>
      </c>
      <c r="AD3869" s="18" t="n">
        <f aca="false">EDATE(AC3869,3)-1</f>
        <v>46287</v>
      </c>
      <c r="AE3869" s="13" t="s">
        <v>397</v>
      </c>
    </row>
    <row r="3870" customFormat="false" ht="15" hidden="false" customHeight="true" outlineLevel="0" collapsed="false">
      <c r="A3870" s="12" t="n">
        <v>22497</v>
      </c>
      <c r="B3870" s="45" t="s">
        <v>15842</v>
      </c>
      <c r="C3870" s="14" t="n">
        <v>46196</v>
      </c>
      <c r="D3870" s="13" t="s">
        <v>10155</v>
      </c>
      <c r="E3870" s="15" t="s">
        <v>47</v>
      </c>
      <c r="F3870" s="24" t="s">
        <v>15843</v>
      </c>
      <c r="G3870" s="24" t="s">
        <v>57</v>
      </c>
      <c r="H3870" s="13" t="s">
        <v>35</v>
      </c>
      <c r="I3870" s="13" t="str">
        <f aca="false">IF(C3870=J3870,"NEW KONTRAK","RE-KONTRAK")</f>
        <v>NEW KONTRAK</v>
      </c>
      <c r="J3870" s="16" t="n">
        <f aca="false" t="array" ref="J3870:J3870">IFERROR(INDEX(AC3870:AE3870,IF(COUNTA(AC3870:AE3870)=0,"",MAX((AC3870:AE3870&lt;&gt;"")*(COLUMN(AC3870:AE3870)-(COLUMN(AC3870)))))-1),"")</f>
        <v>46196</v>
      </c>
      <c r="K3870" s="16" t="n">
        <f aca="false" t="array" ref="K3870:K3870">IFERROR(INDEX(AC3870:AE3870,IF(COUNTA(AC3870:AE3870)=0,"",MAX((AC3870:AE3870&lt;&gt;"")*(COLUMN(AC3870:AE3870)-(COLUMN(AC3870)-1))))-1),"")</f>
        <v>46287</v>
      </c>
      <c r="L3870" s="17" t="str">
        <f aca="false" t="array" ref="L3870:L3870">IFERROR(INDEX(AC3870:AE3870,IF(COUNTA(AC3870:AE3870)=0,"",MAX((AC3870:AE3870&lt;&gt;"")*(COLUMN(AC3870:AE3870)-(COLUMN(AC3870)-2))))-1),"")</f>
        <v>KEMBALI</v>
      </c>
      <c r="M3870" s="13" t="n">
        <f aca="true">K3870-TODAY()</f>
        <v>-37</v>
      </c>
      <c r="N3870" s="18" t="s">
        <v>36</v>
      </c>
      <c r="O3870" s="13" t="s">
        <v>10219</v>
      </c>
      <c r="P3870" s="26" t="n">
        <v>5195401</v>
      </c>
      <c r="Q3870" s="20" t="s">
        <v>15844</v>
      </c>
      <c r="R3870" s="13" t="s">
        <v>78</v>
      </c>
      <c r="S3870" s="14" t="n">
        <v>36646</v>
      </c>
      <c r="T3870" s="13" t="s">
        <v>40</v>
      </c>
      <c r="U3870" s="13" t="s">
        <v>15845</v>
      </c>
      <c r="V3870" s="13" t="s">
        <v>42</v>
      </c>
      <c r="W3870" s="13" t="s">
        <v>43</v>
      </c>
      <c r="X3870" s="21" t="n">
        <v>85607375145</v>
      </c>
      <c r="Y3870" s="22" t="str">
        <f aca="false">O3870</f>
        <v>LS P2 &amp; P5 - Quality Control</v>
      </c>
      <c r="Z3870" s="13" t="str">
        <f aca="false">IFERROR(__xludf.dummyfunction("if(BJ3870="""","""",GOOGLETRANSLATE(BJ3870,""auto"",""en""))"),"LS P2 &amp; P5 - Quality Control")</f>
        <v>LS P2 &amp; P5 - Quality Control</v>
      </c>
      <c r="AA3870" s="23" t="str">
        <f aca="false">IF(C3870="","", CHOOSE(MONTH(C3870),"January","February","March","April","May","June","July","August","September","October","November","December")&amp;" "&amp;DAY(C3870)&amp;MID("thstndrdth",MIN(9,2*RIGHT(DAY(C3870))*(MOD(DAY(C3870)-11,100)&gt;2)+1),2)&amp;","&amp;TEXT(C3870," yyyy"))</f>
        <v>June 23rd,2026</v>
      </c>
      <c r="AB3870" s="15" t="str">
        <f aca="true">IF(S3870="","",DATEDIF(S3870,TODAY(),"Y")&amp;" Tahun, "&amp;DATEDIF(S3870,TODAY(),"YM")&amp;" Bulan, "&amp;DATEDIF(S3870,TODAY(),"MD")&amp;" Hari")</f>
        <v>26 Tahun, 5 Bulan, 29 Hari</v>
      </c>
      <c r="AC3870" s="14" t="n">
        <v>46196</v>
      </c>
      <c r="AD3870" s="18" t="n">
        <f aca="false">EDATE(AC3870,3)-1</f>
        <v>46287</v>
      </c>
      <c r="AE3870" s="13" t="s">
        <v>397</v>
      </c>
    </row>
    <row r="3871" customFormat="false" ht="15" hidden="false" customHeight="true" outlineLevel="0" collapsed="false">
      <c r="A3871" s="12" t="n">
        <v>22498</v>
      </c>
      <c r="B3871" s="45" t="s">
        <v>15846</v>
      </c>
      <c r="C3871" s="14" t="n">
        <v>46196</v>
      </c>
      <c r="D3871" s="13" t="s">
        <v>10155</v>
      </c>
      <c r="E3871" s="15" t="s">
        <v>47</v>
      </c>
      <c r="F3871" s="24" t="s">
        <v>15847</v>
      </c>
      <c r="G3871" s="24" t="s">
        <v>57</v>
      </c>
      <c r="H3871" s="13" t="s">
        <v>35</v>
      </c>
      <c r="I3871" s="13" t="str">
        <f aca="false">IF(C3871=J3871,"NEW KONTRAK","RE-KONTRAK")</f>
        <v>NEW KONTRAK</v>
      </c>
      <c r="J3871" s="16" t="n">
        <f aca="false" t="array" ref="J3871:J3871">IFERROR(INDEX(AC3871:AE3871,IF(COUNTA(AC3871:AE3871)=0,"",MAX((AC3871:AE3871&lt;&gt;"")*(COLUMN(AC3871:AE3871)-(COLUMN(AC3871)))))-1),"")</f>
        <v>46196</v>
      </c>
      <c r="K3871" s="16" t="n">
        <f aca="false" t="array" ref="K3871:K3871">IFERROR(INDEX(AC3871:AE3871,IF(COUNTA(AC3871:AE3871)=0,"",MAX((AC3871:AE3871&lt;&gt;"")*(COLUMN(AC3871:AE3871)-(COLUMN(AC3871)-1))))-1),"")</f>
        <v>46287</v>
      </c>
      <c r="L3871" s="17" t="str">
        <f aca="false" t="array" ref="L3871:L3871">IFERROR(INDEX(AC3871:AE3871,IF(COUNTA(AC3871:AE3871)=0,"",MAX((AC3871:AE3871&lt;&gt;"")*(COLUMN(AC3871:AE3871)-(COLUMN(AC3871)-2))))-1),"")</f>
        <v>KEMBALI</v>
      </c>
      <c r="M3871" s="13" t="n">
        <f aca="true">K3871-TODAY()</f>
        <v>-37</v>
      </c>
      <c r="N3871" s="18" t="s">
        <v>36</v>
      </c>
      <c r="O3871" s="13" t="s">
        <v>10200</v>
      </c>
      <c r="P3871" s="26" t="n">
        <v>5195401</v>
      </c>
      <c r="Q3871" s="20" t="s">
        <v>15848</v>
      </c>
      <c r="R3871" s="13" t="s">
        <v>73</v>
      </c>
      <c r="S3871" s="14" t="n">
        <v>36064</v>
      </c>
      <c r="T3871" s="13" t="s">
        <v>40</v>
      </c>
      <c r="U3871" s="13" t="s">
        <v>15849</v>
      </c>
      <c r="V3871" s="13" t="s">
        <v>42</v>
      </c>
      <c r="W3871" s="13" t="s">
        <v>43</v>
      </c>
      <c r="X3871" s="21" t="n">
        <v>85706829702</v>
      </c>
      <c r="Y3871" s="22" t="str">
        <f aca="false">O3871</f>
        <v>Cold CS P1 Production Admin</v>
      </c>
      <c r="Z3871" s="13" t="str">
        <f aca="false">IFERROR(__xludf.dummyfunction("if(BJ3871="""","""",GOOGLETRANSLATE(BJ3871,""auto"",""en""))"),"Cold CS P1 Production Admin")</f>
        <v>Cold CS P1 Production Admin</v>
      </c>
      <c r="AA3871" s="23" t="str">
        <f aca="false">IF(C3871="","", CHOOSE(MONTH(C3871),"January","February","March","April","May","June","July","August","September","October","November","December")&amp;" "&amp;DAY(C3871)&amp;MID("thstndrdth",MIN(9,2*RIGHT(DAY(C3871))*(MOD(DAY(C3871)-11,100)&gt;2)+1),2)&amp;","&amp;TEXT(C3871," yyyy"))</f>
        <v>June 23rd,2026</v>
      </c>
      <c r="AB3871" s="15" t="str">
        <f aca="true">IF(S3871="","",DATEDIF(S3871,TODAY(),"Y")&amp;" Tahun, "&amp;DATEDIF(S3871,TODAY(),"YM")&amp;" Bulan, "&amp;DATEDIF(S3871,TODAY(),"MD")&amp;" Hari")</f>
        <v>28 Tahun, 1 Bulan, 3 Hari</v>
      </c>
      <c r="AC3871" s="14" t="n">
        <v>46196</v>
      </c>
      <c r="AD3871" s="18" t="n">
        <f aca="false">EDATE(AC3871,3)-1</f>
        <v>46287</v>
      </c>
      <c r="AE3871" s="13" t="s">
        <v>397</v>
      </c>
    </row>
    <row r="3872" customFormat="false" ht="15" hidden="false" customHeight="true" outlineLevel="0" collapsed="false">
      <c r="A3872" s="12" t="n">
        <v>22499</v>
      </c>
      <c r="B3872" s="45" t="s">
        <v>15850</v>
      </c>
      <c r="C3872" s="14" t="n">
        <v>46211</v>
      </c>
      <c r="D3872" s="13" t="s">
        <v>6498</v>
      </c>
      <c r="E3872" s="15" t="s">
        <v>47</v>
      </c>
      <c r="F3872" s="24" t="s">
        <v>15851</v>
      </c>
      <c r="G3872" s="24" t="s">
        <v>57</v>
      </c>
      <c r="H3872" s="13" t="s">
        <v>35</v>
      </c>
      <c r="I3872" s="13" t="str">
        <f aca="false">IF(C3872=J3872,"NEW KONTRAK","RE-KONTRAK")</f>
        <v>NEW KONTRAK</v>
      </c>
      <c r="J3872" s="16" t="n">
        <f aca="false" t="array" ref="J3872:J3872">IFERROR(INDEX(AC3872:AE3872,IF(COUNTA(AC3872:AE3872)=0,"",MAX((AC3872:AE3872&lt;&gt;"")*(COLUMN(AC3872:AE3872)-(COLUMN(AC3872)))))-1),"")</f>
        <v>46211</v>
      </c>
      <c r="K3872" s="16" t="n">
        <f aca="false" t="array" ref="K3872:K3872">IFERROR(INDEX(AC3872:AE3872,IF(COUNTA(AC3872:AE3872)=0,"",MAX((AC3872:AE3872&lt;&gt;"")*(COLUMN(AC3872:AE3872)-(COLUMN(AC3872)-1))))-1),"")</f>
        <v>46302</v>
      </c>
      <c r="L3872" s="17" t="str">
        <f aca="false" t="array" ref="L3872:L3872">IFERROR(INDEX(AC3872:AE3872,IF(COUNTA(AC3872:AE3872)=0,"",MAX((AC3872:AE3872&lt;&gt;"")*(COLUMN(AC3872:AE3872)-(COLUMN(AC3872)-2))))-1),"")</f>
        <v>KEMBALI</v>
      </c>
      <c r="M3872" s="13" t="n">
        <f aca="true">K3872-TODAY()</f>
        <v>-22</v>
      </c>
      <c r="N3872" s="50" t="s">
        <v>728</v>
      </c>
      <c r="O3872" s="13" t="s">
        <v>15852</v>
      </c>
      <c r="P3872" s="19" t="n">
        <v>5288796</v>
      </c>
      <c r="Q3872" s="47" t="s">
        <v>15853</v>
      </c>
      <c r="R3872" s="127" t="s">
        <v>735</v>
      </c>
      <c r="S3872" s="128" t="n">
        <v>34729</v>
      </c>
      <c r="T3872" s="127" t="s">
        <v>40</v>
      </c>
      <c r="U3872" s="17" t="s">
        <v>15854</v>
      </c>
      <c r="V3872" s="127" t="s">
        <v>42</v>
      </c>
      <c r="W3872" s="127" t="s">
        <v>43</v>
      </c>
      <c r="X3872" s="47" t="s">
        <v>15855</v>
      </c>
      <c r="Y3872" s="22" t="str">
        <f aca="false">O3872</f>
        <v>Admin Transport</v>
      </c>
      <c r="Z3872" s="13" t="str">
        <f aca="false">IFERROR(__xludf.dummyfunction("if(BJ3872="""","""",GOOGLETRANSLATE(BJ3872,""auto"",""en""))"),"Admin Transport")</f>
        <v>Admin Transport</v>
      </c>
      <c r="AA3872" s="23" t="str">
        <f aca="false">IF(C3872="","", CHOOSE(MONTH(C3872),"January","February","March","April","May","June","July","August","September","October","November","December")&amp;" "&amp;DAY(C3872)&amp;MID("thstndrdth",MIN(9,2*RIGHT(DAY(C3872))*(MOD(DAY(C3872)-11,100)&gt;2)+1),2)&amp;","&amp;TEXT(C3872," yyyy"))</f>
        <v>July 8th,2026</v>
      </c>
      <c r="AB3872" s="24" t="str">
        <f aca="true">IF(S3872="","",DATEDIF(S3872,TODAY(),"Y")&amp;" Tahun, "&amp;DATEDIF(S3872,TODAY(),"YM")&amp;" Bulan, "&amp;DATEDIF(S3872,TODAY(),"MD")&amp;" Hari")</f>
        <v>31 Tahun, 8 Bulan, 29 Hari</v>
      </c>
      <c r="AC3872" s="14" t="n">
        <v>46211</v>
      </c>
      <c r="AD3872" s="18" t="n">
        <f aca="false">EDATE(AC3872,3)-1</f>
        <v>46302</v>
      </c>
      <c r="AE3872" s="13" t="s">
        <v>397</v>
      </c>
    </row>
    <row r="3873" customFormat="false" ht="15" hidden="false" customHeight="true" outlineLevel="0" collapsed="false">
      <c r="A3873" s="12" t="n">
        <v>22500</v>
      </c>
      <c r="B3873" s="45" t="s">
        <v>15856</v>
      </c>
      <c r="C3873" s="14" t="n">
        <v>46209</v>
      </c>
      <c r="D3873" s="13" t="s">
        <v>144</v>
      </c>
      <c r="E3873" s="15" t="s">
        <v>47</v>
      </c>
      <c r="F3873" s="24" t="s">
        <v>15857</v>
      </c>
      <c r="G3873" s="24" t="s">
        <v>57</v>
      </c>
      <c r="H3873" s="13" t="s">
        <v>35</v>
      </c>
      <c r="I3873" s="13" t="str">
        <f aca="false">IF(C3873=J3873,"NEW KONTRAK","RE-KONTRAK")</f>
        <v>NEW KONTRAK</v>
      </c>
      <c r="J3873" s="16" t="n">
        <f aca="false" t="array" ref="J3873:J3873">IFERROR(INDEX(AC3873:AE3873,IF(COUNTA(AC3873:AE3873)=0,"",MAX((AC3873:AE3873&lt;&gt;"")*(COLUMN(AC3873:AE3873)-(COLUMN(AC3873)))))-1),"")</f>
        <v>46209</v>
      </c>
      <c r="K3873" s="16" t="n">
        <f aca="false" t="array" ref="K3873:K3873">IFERROR(INDEX(AC3873:AE3873,IF(COUNTA(AC3873:AE3873)=0,"",MAX((AC3873:AE3873&lt;&gt;"")*(COLUMN(AC3873:AE3873)-(COLUMN(AC3873)-1))))-1),"")</f>
        <v>46300</v>
      </c>
      <c r="L3873" s="17" t="str">
        <f aca="false" t="array" ref="L3873:L3873">IFERROR(INDEX(AC3873:AE3873,IF(COUNTA(AC3873:AE3873)=0,"",MAX((AC3873:AE3873&lt;&gt;"")*(COLUMN(AC3873:AE3873)-(COLUMN(AC3873)-2))))-1),"")</f>
        <v>KEMBALI</v>
      </c>
      <c r="M3873" s="13" t="n">
        <f aca="true">K3873-TODAY()</f>
        <v>-24</v>
      </c>
      <c r="N3873" s="18" t="s">
        <v>36</v>
      </c>
      <c r="O3873" s="13" t="s">
        <v>15858</v>
      </c>
      <c r="P3873" s="26" t="n">
        <v>5195401</v>
      </c>
      <c r="Q3873" s="20" t="s">
        <v>15859</v>
      </c>
      <c r="R3873" s="127" t="s">
        <v>763</v>
      </c>
      <c r="S3873" s="128" t="n">
        <v>37332</v>
      </c>
      <c r="T3873" s="127" t="s">
        <v>108</v>
      </c>
      <c r="U3873" s="17" t="s">
        <v>15860</v>
      </c>
      <c r="V3873" s="127" t="s">
        <v>42</v>
      </c>
      <c r="W3873" s="127" t="s">
        <v>43</v>
      </c>
      <c r="X3873" s="21" t="n">
        <v>81230845983</v>
      </c>
      <c r="Y3873" s="22" t="str">
        <f aca="false">O3873</f>
        <v>Admin HR</v>
      </c>
      <c r="Z3873" s="13" t="str">
        <f aca="false">IFERROR(__xludf.dummyfunction("if(BJ3873="""","""",GOOGLETRANSLATE(BJ3873,""auto"",""en""))"),"Admin HR")</f>
        <v>Admin HR</v>
      </c>
      <c r="AA3873" s="23" t="str">
        <f aca="false">IF(C3873="","", CHOOSE(MONTH(C3873),"January","February","March","April","May","June","July","August","September","October","November","December")&amp;" "&amp;DAY(C3873)&amp;MID("thstndrdth",MIN(9,2*RIGHT(DAY(C3873))*(MOD(DAY(C3873)-11,100)&gt;2)+1),2)&amp;","&amp;TEXT(C3873," yyyy"))</f>
        <v>July 6th,2026</v>
      </c>
      <c r="AB3873" s="24" t="str">
        <f aca="true">IF(S3873="","",DATEDIF(S3873,TODAY(),"Y")&amp;" Tahun, "&amp;DATEDIF(S3873,TODAY(),"YM")&amp;" Bulan, "&amp;DATEDIF(S3873,TODAY(),"MD")&amp;" Hari")</f>
        <v>24 Tahun, 7 Bulan, 12 Hari</v>
      </c>
      <c r="AC3873" s="14" t="n">
        <v>46209</v>
      </c>
      <c r="AD3873" s="18" t="n">
        <f aca="false">EDATE(AC3873,3)-1</f>
        <v>46300</v>
      </c>
      <c r="AE3873" s="13" t="s">
        <v>397</v>
      </c>
    </row>
    <row r="3874" customFormat="false" ht="15" hidden="false" customHeight="true" outlineLevel="0" collapsed="false">
      <c r="A3874" s="12" t="n">
        <v>22501</v>
      </c>
      <c r="B3874" s="45" t="s">
        <v>15861</v>
      </c>
      <c r="C3874" s="14" t="n">
        <v>46204</v>
      </c>
      <c r="D3874" s="13" t="s">
        <v>8864</v>
      </c>
      <c r="E3874" s="15" t="s">
        <v>47</v>
      </c>
      <c r="F3874" s="24" t="s">
        <v>15862</v>
      </c>
      <c r="G3874" s="24" t="s">
        <v>57</v>
      </c>
      <c r="H3874" s="13" t="s">
        <v>35</v>
      </c>
      <c r="I3874" s="13" t="str">
        <f aca="false">IF(C3874=J3874,"NEW KONTRAK","RE-KONTRAK")</f>
        <v>NEW KONTRAK</v>
      </c>
      <c r="J3874" s="16" t="n">
        <f aca="false" t="array" ref="J3874:J3874">IFERROR(INDEX(AC3874:AE3874,IF(COUNTA(AC3874:AE3874)=0,"",MAX((AC3874:AE3874&lt;&gt;"")*(COLUMN(AC3874:AE3874)-(COLUMN(AC3874)))))-1),"")</f>
        <v>46204</v>
      </c>
      <c r="K3874" s="16" t="n">
        <f aca="false" t="array" ref="K3874:K3874">IFERROR(INDEX(AC3874:AE3874,IF(COUNTA(AC3874:AE3874)=0,"",MAX((AC3874:AE3874&lt;&gt;"")*(COLUMN(AC3874:AE3874)-(COLUMN(AC3874)-1))))-1),"")</f>
        <v>46295</v>
      </c>
      <c r="L3874" s="17" t="str">
        <f aca="false" t="array" ref="L3874:L3874">IFERROR(INDEX(AC3874:AE3874,IF(COUNTA(AC3874:AE3874)=0,"",MAX((AC3874:AE3874&lt;&gt;"")*(COLUMN(AC3874:AE3874)-(COLUMN(AC3874)-2))))-1),"")</f>
        <v>KEMBALI</v>
      </c>
      <c r="M3874" s="13" t="n">
        <f aca="true">K3874-TODAY()</f>
        <v>-29</v>
      </c>
      <c r="N3874" s="18" t="s">
        <v>105</v>
      </c>
      <c r="O3874" s="13" t="s">
        <v>719</v>
      </c>
      <c r="P3874" s="26" t="n">
        <v>100000</v>
      </c>
      <c r="Q3874" s="20" t="s">
        <v>15863</v>
      </c>
      <c r="R3874" s="13" t="s">
        <v>39</v>
      </c>
      <c r="S3874" s="14" t="n">
        <v>36550</v>
      </c>
      <c r="T3874" s="13" t="s">
        <v>40</v>
      </c>
      <c r="U3874" s="13" t="s">
        <v>15864</v>
      </c>
      <c r="V3874" s="13" t="s">
        <v>42</v>
      </c>
      <c r="W3874" s="13" t="s">
        <v>43</v>
      </c>
      <c r="X3874" s="21" t="n">
        <v>85856948582</v>
      </c>
      <c r="Y3874" s="22" t="str">
        <f aca="false">O3874</f>
        <v>Cleaning Service</v>
      </c>
      <c r="Z3874" s="13" t="str">
        <f aca="false">IFERROR(__xludf.dummyfunction("if(BJ3874="""","""",GOOGLETRANSLATE(BJ3874,""auto"",""en""))"),"Cleaning Service")</f>
        <v>Cleaning Service</v>
      </c>
      <c r="AA3874" s="23" t="str">
        <f aca="false">IF(C3874="","", CHOOSE(MONTH(C3874),"January","February","March","April","May","June","July","August","September","October","November","December")&amp;" "&amp;DAY(C3874)&amp;MID("thstndrdth",MIN(9,2*RIGHT(DAY(C3874))*(MOD(DAY(C3874)-11,100)&gt;2)+1),2)&amp;","&amp;TEXT(C3874," yyyy"))</f>
        <v>July 1st,2026</v>
      </c>
      <c r="AB3874" s="15" t="str">
        <f aca="true">IF(S3874="","",DATEDIF(S3874,TODAY(),"Y")&amp;" Tahun, "&amp;DATEDIF(S3874,TODAY(),"YM")&amp;" Bulan, "&amp;DATEDIF(S3874,TODAY(),"MD")&amp;" Hari")</f>
        <v>26 Tahun, 9 Bulan, 4 Hari</v>
      </c>
      <c r="AC3874" s="14" t="n">
        <v>46204</v>
      </c>
      <c r="AD3874" s="18" t="n">
        <f aca="false">EDATE(AC3874,3)-1</f>
        <v>46295</v>
      </c>
      <c r="AE3874" s="13" t="s">
        <v>397</v>
      </c>
    </row>
    <row r="3875" customFormat="false" ht="15" hidden="false" customHeight="true" outlineLevel="0" collapsed="false">
      <c r="A3875" s="12" t="n">
        <v>22502</v>
      </c>
      <c r="B3875" s="45" t="s">
        <v>15865</v>
      </c>
      <c r="C3875" s="14" t="n">
        <v>46202</v>
      </c>
      <c r="D3875" s="13" t="s">
        <v>8864</v>
      </c>
      <c r="E3875" s="15" t="s">
        <v>47</v>
      </c>
      <c r="F3875" s="24" t="s">
        <v>15866</v>
      </c>
      <c r="G3875" s="24" t="s">
        <v>57</v>
      </c>
      <c r="H3875" s="13" t="s">
        <v>35</v>
      </c>
      <c r="I3875" s="13" t="str">
        <f aca="false">IF(C3875=J3875,"NEW KONTRAK","RE-KONTRAK")</f>
        <v>NEW KONTRAK</v>
      </c>
      <c r="J3875" s="16" t="n">
        <f aca="false" t="array" ref="J3875:J3875">IFERROR(INDEX(AC3875:AE3875,IF(COUNTA(AC3875:AE3875)=0,"",MAX((AC3875:AE3875&lt;&gt;"")*(COLUMN(AC3875:AE3875)-(COLUMN(AC3875)))))-1),"")</f>
        <v>46202</v>
      </c>
      <c r="K3875" s="16" t="n">
        <f aca="false" t="array" ref="K3875:K3875">IFERROR(INDEX(AC3875:AE3875,IF(COUNTA(AC3875:AE3875)=0,"",MAX((AC3875:AE3875&lt;&gt;"")*(COLUMN(AC3875:AE3875)-(COLUMN(AC3875)-1))))-1),"")</f>
        <v>46293</v>
      </c>
      <c r="L3875" s="17" t="str">
        <f aca="false" t="array" ref="L3875:L3875">IFERROR(INDEX(AC3875:AE3875,IF(COUNTA(AC3875:AE3875)=0,"",MAX((AC3875:AE3875&lt;&gt;"")*(COLUMN(AC3875:AE3875)-(COLUMN(AC3875)-2))))-1),"")</f>
        <v>KEMBALI</v>
      </c>
      <c r="M3875" s="13" t="n">
        <f aca="true">K3875-TODAY()</f>
        <v>-31</v>
      </c>
      <c r="N3875" s="18" t="s">
        <v>105</v>
      </c>
      <c r="O3875" s="13" t="s">
        <v>719</v>
      </c>
      <c r="P3875" s="26" t="n">
        <v>100000</v>
      </c>
      <c r="Q3875" s="20" t="s">
        <v>15867</v>
      </c>
      <c r="R3875" s="13" t="s">
        <v>324</v>
      </c>
      <c r="S3875" s="14" t="n">
        <v>38240</v>
      </c>
      <c r="T3875" s="13" t="s">
        <v>40</v>
      </c>
      <c r="U3875" s="13" t="s">
        <v>15868</v>
      </c>
      <c r="V3875" s="13" t="s">
        <v>42</v>
      </c>
      <c r="W3875" s="13" t="s">
        <v>43</v>
      </c>
      <c r="X3875" s="21" t="n">
        <v>81703188774</v>
      </c>
      <c r="Y3875" s="22" t="str">
        <f aca="false">O3875</f>
        <v>Cleaning Service</v>
      </c>
      <c r="Z3875" s="13" t="str">
        <f aca="false">IFERROR(__xludf.dummyfunction("if(BJ3875="""","""",GOOGLETRANSLATE(BJ3875,""auto"",""en""))"),"Cleaning Service")</f>
        <v>Cleaning Service</v>
      </c>
      <c r="AA3875" s="23" t="str">
        <f aca="false">IF(C3875="","", CHOOSE(MONTH(C3875),"January","February","March","April","May","June","July","August","September","October","November","December")&amp;" "&amp;DAY(C3875)&amp;MID("thstndrdth",MIN(9,2*RIGHT(DAY(C3875))*(MOD(DAY(C3875)-11,100)&gt;2)+1),2)&amp;","&amp;TEXT(C3875," yyyy"))</f>
        <v>June 29th,2026</v>
      </c>
      <c r="AB3875" s="15" t="str">
        <f aca="true">IF(S3875="","",DATEDIF(S3875,TODAY(),"Y")&amp;" Tahun, "&amp;DATEDIF(S3875,TODAY(),"YM")&amp;" Bulan, "&amp;DATEDIF(S3875,TODAY(),"MD")&amp;" Hari")</f>
        <v>22 Tahun, 1 Bulan, 19 Hari</v>
      </c>
      <c r="AC3875" s="14" t="n">
        <v>46202</v>
      </c>
      <c r="AD3875" s="18" t="n">
        <f aca="false">EDATE(AC3875,3)-1</f>
        <v>46293</v>
      </c>
      <c r="AE3875" s="13" t="s">
        <v>397</v>
      </c>
    </row>
    <row r="3876" customFormat="false" ht="15" hidden="false" customHeight="true" outlineLevel="0" collapsed="false">
      <c r="A3876" s="12" t="n">
        <v>22503</v>
      </c>
      <c r="B3876" s="45" t="s">
        <v>15869</v>
      </c>
      <c r="C3876" s="14" t="n">
        <v>46205</v>
      </c>
      <c r="D3876" s="13" t="s">
        <v>8980</v>
      </c>
      <c r="E3876" s="15" t="s">
        <v>47</v>
      </c>
      <c r="F3876" s="24" t="s">
        <v>15870</v>
      </c>
      <c r="G3876" s="24" t="s">
        <v>57</v>
      </c>
      <c r="H3876" s="13" t="s">
        <v>35</v>
      </c>
      <c r="I3876" s="13" t="str">
        <f aca="false">IF(C3876=J3876,"NEW KONTRAK","RE-KONTRAK")</f>
        <v>NEW KONTRAK</v>
      </c>
      <c r="J3876" s="16" t="n">
        <f aca="false" t="array" ref="J3876:J3876">IFERROR(INDEX(AC3876:AE3876,IF(COUNTA(AC3876:AE3876)=0,"",MAX((AC3876:AE3876&lt;&gt;"")*(COLUMN(AC3876:AE3876)-(COLUMN(AC3876)))))-1),"")</f>
        <v>46205</v>
      </c>
      <c r="K3876" s="16" t="n">
        <f aca="false" t="array" ref="K3876:K3876">IFERROR(INDEX(AC3876:AE3876,IF(COUNTA(AC3876:AE3876)=0,"",MAX((AC3876:AE3876&lt;&gt;"")*(COLUMN(AC3876:AE3876)-(COLUMN(AC3876)-1))))-1),"")</f>
        <v>46388</v>
      </c>
      <c r="L3876" s="17" t="str">
        <f aca="false" t="array" ref="L3876:L3876">IFERROR(INDEX(AC3876:AE3876,IF(COUNTA(AC3876:AE3876)=0,"",MAX((AC3876:AE3876&lt;&gt;"")*(COLUMN(AC3876:AE3876)-(COLUMN(AC3876)-2))))-1),"")</f>
        <v>ARCHIVED</v>
      </c>
      <c r="M3876" s="13" t="n">
        <f aca="true">K3876-TODAY()</f>
        <v>64</v>
      </c>
      <c r="N3876" s="18" t="s">
        <v>8982</v>
      </c>
      <c r="O3876" s="13" t="s">
        <v>8983</v>
      </c>
      <c r="P3876" s="19" t="n">
        <v>2250000</v>
      </c>
      <c r="Q3876" s="47" t="s">
        <v>15871</v>
      </c>
      <c r="R3876" s="127" t="s">
        <v>826</v>
      </c>
      <c r="S3876" s="128" t="n">
        <v>39481</v>
      </c>
      <c r="T3876" s="127" t="s">
        <v>108</v>
      </c>
      <c r="U3876" s="17" t="s">
        <v>15872</v>
      </c>
      <c r="V3876" s="127" t="s">
        <v>42</v>
      </c>
      <c r="W3876" s="127" t="s">
        <v>43</v>
      </c>
      <c r="X3876" s="47" t="s">
        <v>15873</v>
      </c>
      <c r="Y3876" s="22" t="str">
        <f aca="false">O3876</f>
        <v>Operator SPBU</v>
      </c>
      <c r="Z3876" s="13" t="str">
        <f aca="false">IFERROR(__xludf.dummyfunction("if(BJ3876="""","""",GOOGLETRANSLATE(BJ3876,""auto"",""en""))"),"Gas Station Operator")</f>
        <v>Gas Station Operator</v>
      </c>
      <c r="AA3876" s="23" t="str">
        <f aca="false">IF(C3876="","", CHOOSE(MONTH(C3876),"January","February","March","April","May","June","July","August","September","October","November","December")&amp;" "&amp;DAY(C3876)&amp;MID("thstndrdth",MIN(9,2*RIGHT(DAY(C3876))*(MOD(DAY(C3876)-11,100)&gt;2)+1),2)&amp;","&amp;TEXT(C3876," yyyy"))</f>
        <v>July 2nd,2026</v>
      </c>
      <c r="AB3876" s="15" t="str">
        <f aca="true">IF(S3876="","",DATEDIF(S3876,TODAY(),"Y")&amp;" Tahun, "&amp;DATEDIF(S3876,TODAY(),"YM")&amp;" Bulan, "&amp;DATEDIF(S3876,TODAY(),"MD")&amp;" Hari")</f>
        <v>18 Tahun, 8 Bulan, 26 Hari</v>
      </c>
      <c r="AC3876" s="14" t="n">
        <v>46205</v>
      </c>
      <c r="AD3876" s="18" t="n">
        <f aca="false">EDATE(AC3876,6)-1</f>
        <v>46388</v>
      </c>
      <c r="AE3876" s="65" t="s">
        <v>44</v>
      </c>
    </row>
    <row r="3877" customFormat="false" ht="15" hidden="false" customHeight="true" outlineLevel="0" collapsed="false">
      <c r="A3877" s="12" t="n">
        <v>22504</v>
      </c>
      <c r="B3877" s="45" t="s">
        <v>15874</v>
      </c>
      <c r="C3877" s="14" t="n">
        <v>46204</v>
      </c>
      <c r="D3877" s="13" t="s">
        <v>8864</v>
      </c>
      <c r="E3877" s="15" t="s">
        <v>47</v>
      </c>
      <c r="F3877" s="24" t="s">
        <v>15875</v>
      </c>
      <c r="G3877" s="24" t="s">
        <v>57</v>
      </c>
      <c r="H3877" s="13" t="s">
        <v>35</v>
      </c>
      <c r="I3877" s="13" t="str">
        <f aca="false">IF(C3877=J3877,"NEW KONTRAK","RE-KONTRAK")</f>
        <v>NEW KONTRAK</v>
      </c>
      <c r="J3877" s="16" t="n">
        <f aca="false" t="array" ref="J3877:J3877">IFERROR(INDEX(AC3877:AE3877,IF(COUNTA(AC3877:AE3877)=0,"",MAX((AC3877:AE3877&lt;&gt;"")*(COLUMN(AC3877:AE3877)-(COLUMN(AC3877)))))-1),"")</f>
        <v>46204</v>
      </c>
      <c r="K3877" s="16" t="n">
        <f aca="false" t="array" ref="K3877:K3877">IFERROR(INDEX(AC3877:AE3877,IF(COUNTA(AC3877:AE3877)=0,"",MAX((AC3877:AE3877&lt;&gt;"")*(COLUMN(AC3877:AE3877)-(COLUMN(AC3877)-1))))-1),"")</f>
        <v>46295</v>
      </c>
      <c r="L3877" s="17" t="str">
        <f aca="false" t="array" ref="L3877:L3877">IFERROR(INDEX(AC3877:AE3877,IF(COUNTA(AC3877:AE3877)=0,"",MAX((AC3877:AE3877&lt;&gt;"")*(COLUMN(AC3877:AE3877)-(COLUMN(AC3877)-2))))-1),"")</f>
        <v>KEMBALI</v>
      </c>
      <c r="M3877" s="13" t="n">
        <f aca="true">K3877-TODAY()</f>
        <v>-29</v>
      </c>
      <c r="N3877" s="18" t="s">
        <v>105</v>
      </c>
      <c r="O3877" s="13" t="s">
        <v>719</v>
      </c>
      <c r="P3877" s="26" t="n">
        <v>100000</v>
      </c>
      <c r="Q3877" s="20" t="s">
        <v>15876</v>
      </c>
      <c r="R3877" s="13" t="s">
        <v>39</v>
      </c>
      <c r="S3877" s="14" t="n">
        <v>38387</v>
      </c>
      <c r="T3877" s="13" t="s">
        <v>40</v>
      </c>
      <c r="U3877" s="13" t="s">
        <v>15877</v>
      </c>
      <c r="V3877" s="13" t="s">
        <v>42</v>
      </c>
      <c r="W3877" s="13" t="s">
        <v>43</v>
      </c>
      <c r="X3877" s="30" t="n">
        <v>82127990881</v>
      </c>
      <c r="Y3877" s="22" t="str">
        <f aca="false">O3877</f>
        <v>Cleaning Service</v>
      </c>
      <c r="Z3877" s="13" t="str">
        <f aca="false">IFERROR(__xludf.dummyfunction("if(BJ3877="""","""",GOOGLETRANSLATE(BJ3877,""auto"",""en""))"),"Cleaning Service")</f>
        <v>Cleaning Service</v>
      </c>
      <c r="AA3877" s="23" t="str">
        <f aca="false">IF(C3877="","", CHOOSE(MONTH(C3877),"January","February","March","April","May","June","July","August","September","October","November","December")&amp;" "&amp;DAY(C3877)&amp;MID("thstndrdth",MIN(9,2*RIGHT(DAY(C3877))*(MOD(DAY(C3877)-11,100)&gt;2)+1),2)&amp;","&amp;TEXT(C3877," yyyy"))</f>
        <v>July 1st,2026</v>
      </c>
      <c r="AB3877" s="15" t="str">
        <f aca="true">IF(S3877="","",DATEDIF(S3877,TODAY(),"Y")&amp;" Tahun, "&amp;DATEDIF(S3877,TODAY(),"YM")&amp;" Bulan, "&amp;DATEDIF(S3877,TODAY(),"MD")&amp;" Hari")</f>
        <v>21 Tahun, 8 Bulan, 25 Hari</v>
      </c>
      <c r="AC3877" s="14" t="n">
        <v>46204</v>
      </c>
      <c r="AD3877" s="18" t="n">
        <f aca="false">EDATE(AC3877,3)-1</f>
        <v>46295</v>
      </c>
      <c r="AE3877" s="13" t="s">
        <v>397</v>
      </c>
    </row>
    <row r="3878" customFormat="false" ht="15" hidden="false" customHeight="true" outlineLevel="0" collapsed="false">
      <c r="A3878" s="12" t="n">
        <v>22505</v>
      </c>
      <c r="B3878" s="45" t="s">
        <v>15878</v>
      </c>
      <c r="C3878" s="14" t="n">
        <v>46300</v>
      </c>
      <c r="D3878" s="13" t="s">
        <v>15133</v>
      </c>
      <c r="E3878" s="15" t="s">
        <v>102</v>
      </c>
      <c r="F3878" s="24" t="s">
        <v>15879</v>
      </c>
      <c r="G3878" s="24" t="s">
        <v>57</v>
      </c>
      <c r="H3878" s="13" t="s">
        <v>35</v>
      </c>
      <c r="I3878" s="13" t="str">
        <f aca="false">IF(C3878=J3878,"NEW KONTRAK","RE-KONTRAK")</f>
        <v>NEW KONTRAK</v>
      </c>
      <c r="J3878" s="16" t="n">
        <f aca="false" t="array" ref="J3878:J3878">IFERROR(INDEX(AC3878:AE3878,IF(COUNTA(AC3878:AE3878)=0,"",MAX((AC3878:AE3878&lt;&gt;"")*(COLUMN(AC3878:AE3878)-(COLUMN(AC3878)))))-1),"")</f>
        <v>46300</v>
      </c>
      <c r="K3878" s="16" t="n">
        <f aca="false" t="array" ref="K3878:K3878">IFERROR(INDEX(AC3878:AE3878,IF(COUNTA(AC3878:AE3878)=0,"",MAX((AC3878:AE3878&lt;&gt;"")*(COLUMN(AC3878:AE3878)-(COLUMN(AC3878)-1))))-1),"")</f>
        <v>46507</v>
      </c>
      <c r="L3878" s="17" t="str">
        <f aca="false" t="array" ref="L3878:L3878">IFERROR(INDEX(AC3878:AE3878,IF(COUNTA(AC3878:AE3878)=0,"",MAX((AC3878:AE3878&lt;&gt;"")*(COLUMN(AC3878:AE3878)-(COLUMN(AC3878)-2))))-1),"")</f>
        <v>KEMBALI</v>
      </c>
      <c r="M3878" s="13" t="n">
        <f aca="true">K3878-TODAY()</f>
        <v>183</v>
      </c>
      <c r="N3878" s="18" t="s">
        <v>105</v>
      </c>
      <c r="O3878" s="13" t="s">
        <v>15135</v>
      </c>
      <c r="P3878" s="19" t="n">
        <v>5191541</v>
      </c>
      <c r="Q3878" s="20" t="s">
        <v>15880</v>
      </c>
      <c r="R3878" s="13" t="s">
        <v>39</v>
      </c>
      <c r="S3878" s="14" t="n">
        <v>34675</v>
      </c>
      <c r="T3878" s="28" t="s">
        <v>40</v>
      </c>
      <c r="U3878" s="17" t="s">
        <v>15881</v>
      </c>
      <c r="V3878" s="13" t="s">
        <v>42</v>
      </c>
      <c r="W3878" s="28" t="s">
        <v>54</v>
      </c>
      <c r="X3878" s="21" t="n">
        <v>85645140357</v>
      </c>
      <c r="Y3878" s="22" t="str">
        <f aca="false">O3878</f>
        <v>Admin Gudang Teknik</v>
      </c>
      <c r="Z3878" s="13" t="str">
        <f aca="false">IFERROR(__xludf.dummyfunction("if(BJ3878="""","""",GOOGLETRANSLATE(BJ3878,""auto"",""en""))"),"Engineering Warehouse Admin")</f>
        <v>Engineering Warehouse Admin</v>
      </c>
      <c r="AA3878" s="23" t="str">
        <f aca="false">IF(C3878="","", CHOOSE(MONTH(C3878),"January","February","March","April","May","June","July","August","September","October","November","December")&amp;" "&amp;DAY(C3878)&amp;MID("thstndrdth",MIN(9,2*RIGHT(DAY(C3878))*(MOD(DAY(C3878)-11,100)&gt;2)+1),2)&amp;","&amp;TEXT(C3878," yyyy"))</f>
        <v>October 5th,2026</v>
      </c>
      <c r="AB3878" s="15" t="str">
        <f aca="true">IF(S3878="","",DATEDIF(S3878,TODAY(),"Y")&amp;" Tahun, "&amp;DATEDIF(S3878,TODAY(),"YM")&amp;" Bulan, "&amp;DATEDIF(S3878,TODAY(),"MD")&amp;" Hari")</f>
        <v>31 Tahun, 10 Bulan, 22 Hari</v>
      </c>
      <c r="AC3878" s="14" t="n">
        <v>46300</v>
      </c>
      <c r="AD3878" s="18" t="n">
        <v>46507</v>
      </c>
      <c r="AE3878" s="13" t="s">
        <v>397</v>
      </c>
    </row>
    <row r="3879" customFormat="false" ht="15" hidden="false" customHeight="true" outlineLevel="0" collapsed="false">
      <c r="A3879" s="12" t="n">
        <v>22506</v>
      </c>
      <c r="B3879" s="45" t="s">
        <v>15882</v>
      </c>
      <c r="C3879" s="14" t="n">
        <v>46212</v>
      </c>
      <c r="D3879" s="13" t="s">
        <v>5791</v>
      </c>
      <c r="E3879" s="15" t="s">
        <v>102</v>
      </c>
      <c r="F3879" s="24" t="s">
        <v>15883</v>
      </c>
      <c r="G3879" s="24" t="s">
        <v>57</v>
      </c>
      <c r="H3879" s="13" t="s">
        <v>35</v>
      </c>
      <c r="I3879" s="13" t="str">
        <f aca="false">IF(C3879=J3879,"NEW KONTRAK","RE-KONTRAK")</f>
        <v>NEW KONTRAK</v>
      </c>
      <c r="J3879" s="16" t="n">
        <f aca="false" t="array" ref="J3879:J3879">IFERROR(INDEX(AC3879:AE3879,IF(COUNTA(AC3879:AE3879)=0,"",MAX((AC3879:AE3879&lt;&gt;"")*(COLUMN(AC3879:AE3879)-(COLUMN(AC3879)))))-1),"")</f>
        <v>46212</v>
      </c>
      <c r="K3879" s="16" t="n">
        <f aca="false" t="array" ref="K3879:K3879">IFERROR(INDEX(AC3879:AE3879,IF(COUNTA(AC3879:AE3879)=0,"",MAX((AC3879:AE3879&lt;&gt;"")*(COLUMN(AC3879:AE3879)-(COLUMN(AC3879)-1))))-1),"")</f>
        <v>46303</v>
      </c>
      <c r="L3879" s="17" t="str">
        <f aca="false" t="array" ref="L3879:L3879">IFERROR(INDEX(AC3879:AE3879,IF(COUNTA(AC3879:AE3879)=0,"",MAX((AC3879:AE3879&lt;&gt;"")*(COLUMN(AC3879:AE3879)-(COLUMN(AC3879)-2))))-1),"")</f>
        <v>KEMBALI ONLINE</v>
      </c>
      <c r="M3879" s="13" t="n">
        <f aca="true">K3879-TODAY()</f>
        <v>-21</v>
      </c>
      <c r="N3879" s="18" t="s">
        <v>728</v>
      </c>
      <c r="O3879" s="13" t="s">
        <v>5444</v>
      </c>
      <c r="P3879" s="19" t="n">
        <v>130000</v>
      </c>
      <c r="Q3879" s="20" t="s">
        <v>15884</v>
      </c>
      <c r="R3879" s="13" t="s">
        <v>52</v>
      </c>
      <c r="S3879" s="14" t="n">
        <v>38573</v>
      </c>
      <c r="T3879" s="13" t="s">
        <v>40</v>
      </c>
      <c r="U3879" s="17" t="s">
        <v>15885</v>
      </c>
      <c r="V3879" s="13" t="s">
        <v>42</v>
      </c>
      <c r="W3879" s="13" t="s">
        <v>43</v>
      </c>
      <c r="X3879" s="47" t="s">
        <v>15886</v>
      </c>
      <c r="Y3879" s="22" t="str">
        <f aca="false">O3879</f>
        <v>Operator Produksi</v>
      </c>
      <c r="Z3879" s="13" t="str">
        <f aca="false">IFERROR(__xludf.dummyfunction("if(BJ3879="""","""",GOOGLETRANSLATE(BJ3879,""auto"",""en""))"),"Production operator")</f>
        <v>Production operator</v>
      </c>
      <c r="AA3879" s="23" t="str">
        <f aca="false">IF(C3879="","", CHOOSE(MONTH(C3879),"January","February","March","April","May","June","July","August","September","October","November","December")&amp;" "&amp;DAY(C3879)&amp;MID("thstndrdth",MIN(9,2*RIGHT(DAY(C3879))*(MOD(DAY(C3879)-11,100)&gt;2)+1),2)&amp;","&amp;TEXT(C3879," yyyy"))</f>
        <v>July 9th,2026</v>
      </c>
      <c r="AB3879" s="15" t="str">
        <f aca="true">IF(S3879="","",DATEDIF(S3879,TODAY(),"Y")&amp;" Tahun, "&amp;DATEDIF(S3879,TODAY(),"YM")&amp;" Bulan, "&amp;DATEDIF(S3879,TODAY(),"MD")&amp;" Hari")</f>
        <v>21 Tahun, 2 Bulan, 20 Hari</v>
      </c>
      <c r="AC3879" s="14" t="n">
        <v>46212</v>
      </c>
      <c r="AD3879" s="18" t="n">
        <f aca="false">EDATE(AC3879,3)-1</f>
        <v>46303</v>
      </c>
      <c r="AE3879" s="13" t="s">
        <v>2387</v>
      </c>
    </row>
    <row r="3880" customFormat="false" ht="15" hidden="false" customHeight="true" outlineLevel="0" collapsed="false">
      <c r="A3880" s="12" t="n">
        <v>22507</v>
      </c>
      <c r="B3880" s="45" t="s">
        <v>15887</v>
      </c>
      <c r="C3880" s="14" t="n">
        <v>46216</v>
      </c>
      <c r="D3880" s="13" t="s">
        <v>7534</v>
      </c>
      <c r="E3880" s="15" t="s">
        <v>47</v>
      </c>
      <c r="F3880" s="24" t="s">
        <v>15888</v>
      </c>
      <c r="G3880" s="24" t="s">
        <v>57</v>
      </c>
      <c r="H3880" s="13" t="s">
        <v>35</v>
      </c>
      <c r="I3880" s="13" t="str">
        <f aca="false">IF(C3880=J3880,"NEW KONTRAK","RE-KONTRAK")</f>
        <v>NEW KONTRAK</v>
      </c>
      <c r="J3880" s="16" t="n">
        <f aca="false" t="array" ref="J3880:J3880">IFERROR(INDEX(AC3880:AE3880,IF(COUNTA(AC3880:AE3880)=0,"",MAX((AC3880:AE3880&lt;&gt;"")*(COLUMN(AC3880:AE3880)-(COLUMN(AC3880)))))-1),"")</f>
        <v>46216</v>
      </c>
      <c r="K3880" s="16" t="n">
        <f aca="false" t="array" ref="K3880:K3880">IFERROR(INDEX(AC3880:AE3880,IF(COUNTA(AC3880:AE3880)=0,"",MAX((AC3880:AE3880&lt;&gt;"")*(COLUMN(AC3880:AE3880)-(COLUMN(AC3880)-1))))-1),"")</f>
        <v>46265</v>
      </c>
      <c r="L3880" s="17" t="str">
        <f aca="false" t="array" ref="L3880:L3880">IFERROR(INDEX(AC3880:AE3880,IF(COUNTA(AC3880:AE3880)=0,"",MAX((AC3880:AE3880&lt;&gt;"")*(COLUMN(AC3880:AE3880)-(COLUMN(AC3880)-2))))-1),"")</f>
        <v>KEMBALI</v>
      </c>
      <c r="M3880" s="13" t="n">
        <f aca="true">K3880-TODAY()</f>
        <v>-59</v>
      </c>
      <c r="N3880" s="18" t="s">
        <v>4735</v>
      </c>
      <c r="O3880" s="13" t="s">
        <v>7536</v>
      </c>
      <c r="P3880" s="19" t="n">
        <v>3553530</v>
      </c>
      <c r="Q3880" s="20" t="s">
        <v>15889</v>
      </c>
      <c r="R3880" s="13" t="s">
        <v>83</v>
      </c>
      <c r="S3880" s="14" t="n">
        <v>38634</v>
      </c>
      <c r="T3880" s="13" t="s">
        <v>108</v>
      </c>
      <c r="U3880" s="13" t="s">
        <v>15890</v>
      </c>
      <c r="V3880" s="13" t="s">
        <v>42</v>
      </c>
      <c r="W3880" s="13" t="s">
        <v>43</v>
      </c>
      <c r="X3880" s="21" t="n">
        <v>85606316284</v>
      </c>
      <c r="Y3880" s="22" t="str">
        <f aca="false">O3880</f>
        <v>Host Live</v>
      </c>
      <c r="Z3880" s="13" t="str">
        <f aca="false">IFERROR(__xludf.dummyfunction("if(BJ3880="""","""",GOOGLETRANSLATE(BJ3880,""auto"",""en""))"),"Host Live")</f>
        <v>Host Live</v>
      </c>
      <c r="AA3880" s="23" t="str">
        <f aca="false">IF(C3880="","", CHOOSE(MONTH(C3880),"January","February","March","April","May","June","July","August","September","October","November","December")&amp;" "&amp;DAY(C3880)&amp;MID("thstndrdth",MIN(9,2*RIGHT(DAY(C3880))*(MOD(DAY(C3880)-11,100)&gt;2)+1),2)&amp;","&amp;TEXT(C3880," yyyy"))</f>
        <v>July 13th,2026</v>
      </c>
      <c r="AB3880" s="15" t="str">
        <f aca="true">IF(S3880="","",DATEDIF(S3880,TODAY(),"Y")&amp;" Tahun, "&amp;DATEDIF(S3880,TODAY(),"YM")&amp;" Bulan, "&amp;DATEDIF(S3880,TODAY(),"MD")&amp;" Hari")</f>
        <v>21 Tahun, 0 Bulan, 20 Hari</v>
      </c>
      <c r="AC3880" s="14" t="n">
        <v>46216</v>
      </c>
      <c r="AD3880" s="18" t="n">
        <v>46265</v>
      </c>
      <c r="AE3880" s="13" t="s">
        <v>397</v>
      </c>
    </row>
    <row r="3881" customFormat="false" ht="15" hidden="false" customHeight="true" outlineLevel="0" collapsed="false">
      <c r="A3881" s="12" t="n">
        <v>22508</v>
      </c>
      <c r="B3881" s="45" t="s">
        <v>15891</v>
      </c>
      <c r="C3881" s="14" t="n">
        <v>46209</v>
      </c>
      <c r="D3881" s="13" t="s">
        <v>10058</v>
      </c>
      <c r="E3881" s="15" t="s">
        <v>102</v>
      </c>
      <c r="F3881" s="24" t="s">
        <v>15892</v>
      </c>
      <c r="G3881" s="24" t="s">
        <v>57</v>
      </c>
      <c r="H3881" s="13" t="s">
        <v>3024</v>
      </c>
      <c r="I3881" s="13" t="str">
        <f aca="false">IF(C3881=J3881,"NEW KONTRAK","RE-KONTRAK")</f>
        <v>NEW KONTRAK</v>
      </c>
      <c r="J3881" s="16" t="n">
        <f aca="false" t="array" ref="J3881:J3881">IFERROR(INDEX(AC3881:AE3881,IF(COUNTA(AC3881:AE3881)=0,"",MAX((AC3881:AE3881&lt;&gt;"")*(COLUMN(AC3881:AE3881)-(COLUMN(AC3881)))))-1),"")</f>
        <v>46209</v>
      </c>
      <c r="K3881" s="16" t="n">
        <f aca="false" t="array" ref="K3881:K3881">IFERROR(INDEX(AC3881:AE3881,IF(COUNTA(AC3881:AE3881)=0,"",MAX((AC3881:AE3881&lt;&gt;"")*(COLUMN(AC3881:AE3881)-(COLUMN(AC3881)-1))))-1),"")</f>
        <v>46402</v>
      </c>
      <c r="L3881" s="17" t="str">
        <f aca="false" t="array" ref="L3881:L3881">IFERROR(INDEX(AC3881:AE3881,IF(COUNTA(AC3881:AE3881)=0,"",MAX((AC3881:AE3881&lt;&gt;"")*(COLUMN(AC3881:AE3881)-(COLUMN(AC3881)-2))))-1),"")</f>
        <v>ARCHIVED</v>
      </c>
      <c r="M3881" s="13" t="n">
        <f aca="true">K3881-TODAY()</f>
        <v>78</v>
      </c>
      <c r="N3881" s="18" t="s">
        <v>105</v>
      </c>
      <c r="O3881" s="13" t="s">
        <v>10059</v>
      </c>
      <c r="P3881" s="26" t="n">
        <v>138915</v>
      </c>
      <c r="Q3881" s="20" t="s">
        <v>15893</v>
      </c>
      <c r="R3881" s="13" t="s">
        <v>39</v>
      </c>
      <c r="S3881" s="14" t="n">
        <v>39088</v>
      </c>
      <c r="T3881" s="13" t="s">
        <v>108</v>
      </c>
      <c r="U3881" s="17" t="s">
        <v>15894</v>
      </c>
      <c r="V3881" s="13" t="s">
        <v>42</v>
      </c>
      <c r="W3881" s="13" t="s">
        <v>43</v>
      </c>
      <c r="X3881" s="47" t="s">
        <v>15895</v>
      </c>
      <c r="Y3881" s="22" t="str">
        <f aca="false">O3881</f>
        <v>Harian Lepas E-Commerce</v>
      </c>
      <c r="Z3881" s="13" t="str">
        <f aca="false">IFERROR(__xludf.dummyfunction("if(BJ3881="""","""",GOOGLETRANSLATE(BJ3881,""auto"",""en""))"),"Daily Post E-Commerce")</f>
        <v>Daily Post E-Commerce</v>
      </c>
      <c r="AA3881" s="23" t="str">
        <f aca="false">IF(C3881="","", CHOOSE(MONTH(C3881),"January","February","March","April","May","June","July","August","September","October","November","December")&amp;" "&amp;DAY(C3881)&amp;MID("thstndrdth",MIN(9,2*RIGHT(DAY(C3881))*(MOD(DAY(C3881)-11,100)&gt;2)+1),2)&amp;","&amp;TEXT(C3881," yyyy"))</f>
        <v>July 6th,2026</v>
      </c>
      <c r="AB3881" s="15" t="str">
        <f aca="true">IF(S3881="","",DATEDIF(S3881,TODAY(),"Y")&amp;" Tahun, "&amp;DATEDIF(S3881,TODAY(),"YM")&amp;" Bulan, "&amp;DATEDIF(S3881,TODAY(),"MD")&amp;" Hari")</f>
        <v>19 Tahun, 9 Bulan, 23 Hari</v>
      </c>
      <c r="AC3881" s="14" t="n">
        <v>46209</v>
      </c>
      <c r="AD3881" s="18" t="n">
        <v>46402</v>
      </c>
      <c r="AE3881" s="65" t="s">
        <v>44</v>
      </c>
    </row>
    <row r="3882" customFormat="false" ht="15" hidden="false" customHeight="true" outlineLevel="0" collapsed="false">
      <c r="A3882" s="12" t="n">
        <v>22509</v>
      </c>
      <c r="B3882" s="45" t="s">
        <v>15896</v>
      </c>
      <c r="C3882" s="14" t="n">
        <v>46213</v>
      </c>
      <c r="D3882" s="13" t="s">
        <v>11620</v>
      </c>
      <c r="E3882" s="15" t="s">
        <v>789</v>
      </c>
      <c r="F3882" s="24" t="s">
        <v>15897</v>
      </c>
      <c r="G3882" s="24" t="s">
        <v>57</v>
      </c>
      <c r="H3882" s="13" t="s">
        <v>35</v>
      </c>
      <c r="I3882" s="13" t="str">
        <f aca="false">IF(C3882=J3882,"NEW KONTRAK","RE-KONTRAK")</f>
        <v>NEW KONTRAK</v>
      </c>
      <c r="J3882" s="16" t="n">
        <f aca="false" t="array" ref="J3882:J3882">IFERROR(INDEX(AC3882:AE3882,IF(COUNTA(AC3882:AE3882)=0,"",MAX((AC3882:AE3882&lt;&gt;"")*(COLUMN(AC3882:AE3882)-(COLUMN(AC3882)))))-1),"")</f>
        <v>46213</v>
      </c>
      <c r="K3882" s="16" t="n">
        <f aca="false" t="array" ref="K3882:K3882">IFERROR(INDEX(AC3882:AE3882,IF(COUNTA(AC3882:AE3882)=0,"",MAX((AC3882:AE3882&lt;&gt;"")*(COLUMN(AC3882:AE3882)-(COLUMN(AC3882)-1))))-1),"")</f>
        <v>46290</v>
      </c>
      <c r="L3882" s="17" t="str">
        <f aca="false" t="array" ref="L3882:L3882">IFERROR(INDEX(AC3882:AE3882,IF(COUNTA(AC3882:AE3882)=0,"",MAX((AC3882:AE3882&lt;&gt;"")*(COLUMN(AC3882:AE3882)-(COLUMN(AC3882)-2))))-1),"")</f>
        <v>ARCHIVED</v>
      </c>
      <c r="M3882" s="13" t="n">
        <f aca="true">K3882-TODAY()</f>
        <v>-34</v>
      </c>
      <c r="N3882" s="18" t="s">
        <v>36</v>
      </c>
      <c r="O3882" s="13" t="s">
        <v>14151</v>
      </c>
      <c r="P3882" s="19" t="n">
        <v>199823</v>
      </c>
      <c r="Q3882" s="20" t="s">
        <v>15898</v>
      </c>
      <c r="R3882" s="13" t="s">
        <v>78</v>
      </c>
      <c r="S3882" s="14" t="n">
        <v>37259</v>
      </c>
      <c r="T3882" s="13" t="s">
        <v>40</v>
      </c>
      <c r="U3882" s="17" t="s">
        <v>15899</v>
      </c>
      <c r="V3882" s="13" t="s">
        <v>42</v>
      </c>
      <c r="W3882" s="13" t="s">
        <v>43</v>
      </c>
      <c r="X3882" s="21" t="s">
        <v>15900</v>
      </c>
      <c r="Y3882" s="22" t="str">
        <f aca="false">O3882</f>
        <v>Admin PPIC</v>
      </c>
      <c r="Z3882" s="13" t="str">
        <f aca="false">IFERROR(__xludf.dummyfunction("if(BJ3882="""","""",GOOGLETRANSLATE(BJ3882,""auto"",""en""))"),"PPIC Admin")</f>
        <v>PPIC Admin</v>
      </c>
      <c r="AA3882" s="23" t="str">
        <f aca="false">IF(C3882="","", CHOOSE(MONTH(C3882),"January","February","March","April","May","June","July","August","September","October","November","December")&amp;" "&amp;DAY(C3882)&amp;MID("thstndrdth",MIN(9,2*RIGHT(DAY(C3882))*(MOD(DAY(C3882)-11,100)&gt;2)+1),2)&amp;","&amp;TEXT(C3882," yyyy"))</f>
        <v>July 10th,2026</v>
      </c>
      <c r="AB3882" s="15" t="str">
        <f aca="true">IF(S3882="","",DATEDIF(S3882,TODAY(),"Y")&amp;" Tahun, "&amp;DATEDIF(S3882,TODAY(),"YM")&amp;" Bulan, "&amp;DATEDIF(S3882,TODAY(),"MD")&amp;" Hari")</f>
        <v>24 Tahun, 9 Bulan, 26 Hari</v>
      </c>
      <c r="AC3882" s="14" t="n">
        <v>46213</v>
      </c>
      <c r="AD3882" s="18" t="n">
        <v>46290</v>
      </c>
      <c r="AE3882" s="65" t="s">
        <v>44</v>
      </c>
    </row>
    <row r="3883" customFormat="false" ht="15" hidden="false" customHeight="true" outlineLevel="0" collapsed="false">
      <c r="A3883" s="12" t="n">
        <v>22510</v>
      </c>
      <c r="B3883" s="45" t="s">
        <v>15901</v>
      </c>
      <c r="C3883" s="14" t="n">
        <v>46205</v>
      </c>
      <c r="D3883" s="13" t="s">
        <v>7310</v>
      </c>
      <c r="E3883" s="15" t="s">
        <v>47</v>
      </c>
      <c r="F3883" s="24" t="s">
        <v>15902</v>
      </c>
      <c r="G3883" s="24" t="s">
        <v>57</v>
      </c>
      <c r="H3883" s="13" t="s">
        <v>35</v>
      </c>
      <c r="I3883" s="13" t="str">
        <f aca="false">IF(C3883=J3883,"NEW KONTRAK","RE-KONTRAK")</f>
        <v>NEW KONTRAK</v>
      </c>
      <c r="J3883" s="16" t="n">
        <f aca="false" t="array" ref="J3883:J3883">IFERROR(INDEX(AC3883:AE3883,IF(COUNTA(AC3883:AE3883)=0,"",MAX((AC3883:AE3883&lt;&gt;"")*(COLUMN(AC3883:AE3883)-(COLUMN(AC3883)))))-1),"")</f>
        <v>46205</v>
      </c>
      <c r="K3883" s="16" t="n">
        <f aca="false" t="array" ref="K3883:K3883">IFERROR(INDEX(AC3883:AE3883,IF(COUNTA(AC3883:AE3883)=0,"",MAX((AC3883:AE3883&lt;&gt;"")*(COLUMN(AC3883:AE3883)-(COLUMN(AC3883)-1))))-1),"")</f>
        <v>46267</v>
      </c>
      <c r="L3883" s="17" t="str">
        <f aca="false" t="array" ref="L3883:L3883">IFERROR(INDEX(AC3883:AE3883,IF(COUNTA(AC3883:AE3883)=0,"",MAX((AC3883:AE3883&lt;&gt;"")*(COLUMN(AC3883:AE3883)-(COLUMN(AC3883)-2))))-1),"")</f>
        <v>KEMBALI</v>
      </c>
      <c r="M3883" s="13" t="n">
        <f aca="true">K3883-TODAY()</f>
        <v>-57</v>
      </c>
      <c r="N3883" s="18" t="s">
        <v>7313</v>
      </c>
      <c r="O3883" s="13" t="s">
        <v>50</v>
      </c>
      <c r="P3883" s="19" t="n">
        <v>2550274</v>
      </c>
      <c r="Q3883" s="20" t="s">
        <v>15903</v>
      </c>
      <c r="R3883" s="13" t="s">
        <v>4903</v>
      </c>
      <c r="S3883" s="14" t="n">
        <v>36109</v>
      </c>
      <c r="T3883" s="13" t="s">
        <v>40</v>
      </c>
      <c r="U3883" s="17" t="s">
        <v>15904</v>
      </c>
      <c r="V3883" s="13" t="s">
        <v>42</v>
      </c>
      <c r="W3883" s="13" t="s">
        <v>54</v>
      </c>
      <c r="X3883" s="21" t="n">
        <v>83136126224</v>
      </c>
      <c r="Y3883" s="22" t="str">
        <f aca="false">O3883</f>
        <v>Driver</v>
      </c>
      <c r="Z3883" s="13" t="str">
        <f aca="false">IFERROR(__xludf.dummyfunction("if(BJ3883="""","""",GOOGLETRANSLATE(BJ3883,""auto"",""en""))"),"Driver")</f>
        <v>Driver</v>
      </c>
      <c r="AA3883" s="23" t="str">
        <f aca="false">IF(C3883="","", CHOOSE(MONTH(C3883),"January","February","March","April","May","June","July","August","September","October","November","December")&amp;" "&amp;DAY(C3883)&amp;MID("thstndrdth",MIN(9,2*RIGHT(DAY(C3883))*(MOD(DAY(C3883)-11,100)&gt;2)+1),2)&amp;","&amp;TEXT(C3883," yyyy"))</f>
        <v>July 2nd,2026</v>
      </c>
      <c r="AB3883" s="15" t="str">
        <f aca="true">IF(S3883="","",DATEDIF(S3883,TODAY(),"Y")&amp;" Tahun, "&amp;DATEDIF(S3883,TODAY(),"YM")&amp;" Bulan, "&amp;DATEDIF(S3883,TODAY(),"MD")&amp;" Hari")</f>
        <v>27 Tahun, 11 Bulan, 19 Hari</v>
      </c>
      <c r="AC3883" s="14" t="n">
        <v>46205</v>
      </c>
      <c r="AD3883" s="18" t="n">
        <v>46267</v>
      </c>
      <c r="AE3883" s="13" t="s">
        <v>397</v>
      </c>
    </row>
    <row r="3884" customFormat="false" ht="15" hidden="false" customHeight="true" outlineLevel="0" collapsed="false">
      <c r="A3884" s="12" t="n">
        <v>22511</v>
      </c>
      <c r="B3884" s="13" t="s">
        <v>15905</v>
      </c>
      <c r="C3884" s="14" t="n">
        <v>46211</v>
      </c>
      <c r="D3884" s="13" t="s">
        <v>7310</v>
      </c>
      <c r="E3884" s="15" t="s">
        <v>102</v>
      </c>
      <c r="F3884" s="24" t="s">
        <v>15906</v>
      </c>
      <c r="G3884" s="24" t="s">
        <v>57</v>
      </c>
      <c r="H3884" s="13" t="s">
        <v>35</v>
      </c>
      <c r="I3884" s="13" t="str">
        <f aca="false">IF(C3884=J3884,"NEW KONTRAK","RE-KONTRAK")</f>
        <v>NEW KONTRAK</v>
      </c>
      <c r="J3884" s="16" t="n">
        <f aca="false" t="array" ref="J3884:J3884">IFERROR(INDEX(AC3884:AE3884,IF(COUNTA(AC3884:AE3884)=0,"",MAX((AC3884:AE3884&lt;&gt;"")*(COLUMN(AC3884:AE3884)-(COLUMN(AC3884)))))-1),"")</f>
        <v>46211</v>
      </c>
      <c r="K3884" s="16" t="n">
        <f aca="false" t="array" ref="K3884:K3884">IFERROR(INDEX(AC3884:AE3884,IF(COUNTA(AC3884:AE3884)=0,"",MAX((AC3884:AE3884&lt;&gt;"")*(COLUMN(AC3884:AE3884)-(COLUMN(AC3884)-1))))-1),"")</f>
        <v>46267</v>
      </c>
      <c r="L3884" s="17" t="str">
        <f aca="false" t="array" ref="L3884:L3884">IFERROR(INDEX(AC3884:AE3884,IF(COUNTA(AC3884:AE3884)=0,"",MAX((AC3884:AE3884&lt;&gt;"")*(COLUMN(AC3884:AE3884)-(COLUMN(AC3884)-2))))-1),"")</f>
        <v>KEMBALI</v>
      </c>
      <c r="M3884" s="13" t="n">
        <f aca="true">K3884-TODAY()</f>
        <v>-57</v>
      </c>
      <c r="N3884" s="18" t="s">
        <v>7313</v>
      </c>
      <c r="O3884" s="13" t="s">
        <v>50</v>
      </c>
      <c r="P3884" s="19" t="n">
        <v>2550274</v>
      </c>
      <c r="Q3884" s="20" t="s">
        <v>15907</v>
      </c>
      <c r="R3884" s="13" t="s">
        <v>227</v>
      </c>
      <c r="S3884" s="14" t="n">
        <v>36952</v>
      </c>
      <c r="T3884" s="13" t="s">
        <v>40</v>
      </c>
      <c r="U3884" s="17" t="s">
        <v>15908</v>
      </c>
      <c r="V3884" s="13" t="s">
        <v>42</v>
      </c>
      <c r="W3884" s="13" t="s">
        <v>43</v>
      </c>
      <c r="X3884" s="21" t="n">
        <v>83136764181</v>
      </c>
      <c r="Y3884" s="22" t="str">
        <f aca="false">O3884</f>
        <v>Driver</v>
      </c>
      <c r="Z3884" s="13" t="str">
        <f aca="false">IFERROR(__xludf.dummyfunction("if(BJ3884="""","""",GOOGLETRANSLATE(BJ3884,""auto"",""en""))"),"Driver")</f>
        <v>Driver</v>
      </c>
      <c r="AA3884" s="23" t="str">
        <f aca="false">IF(C3884="","", CHOOSE(MONTH(C3884),"January","February","March","April","May","June","July","August","September","October","November","December")&amp;" "&amp;DAY(C3884)&amp;MID("thstndrdth",MIN(9,2*RIGHT(DAY(C3884))*(MOD(DAY(C3884)-11,100)&gt;2)+1),2)&amp;","&amp;TEXT(C3884," yyyy"))</f>
        <v>July 8th,2026</v>
      </c>
      <c r="AB3884" s="15" t="str">
        <f aca="true">IF(S3884="","",DATEDIF(S3884,TODAY(),"Y")&amp;" Tahun, "&amp;DATEDIF(S3884,TODAY(),"YM")&amp;" Bulan, "&amp;DATEDIF(S3884,TODAY(),"MD")&amp;" Hari")</f>
        <v>25 Tahun, 7 Bulan, 27 Hari</v>
      </c>
      <c r="AC3884" s="14" t="n">
        <v>46211</v>
      </c>
      <c r="AD3884" s="18" t="n">
        <v>46267</v>
      </c>
      <c r="AE3884" s="13" t="s">
        <v>397</v>
      </c>
    </row>
    <row r="3885" customFormat="false" ht="15" hidden="false" customHeight="true" outlineLevel="0" collapsed="false">
      <c r="A3885" s="12" t="n">
        <v>22512</v>
      </c>
      <c r="B3885" s="45" t="s">
        <v>15909</v>
      </c>
      <c r="C3885" s="14" t="n">
        <v>46203</v>
      </c>
      <c r="D3885" s="13" t="s">
        <v>7310</v>
      </c>
      <c r="E3885" s="15" t="s">
        <v>47</v>
      </c>
      <c r="F3885" s="24" t="s">
        <v>15910</v>
      </c>
      <c r="G3885" s="24" t="s">
        <v>57</v>
      </c>
      <c r="H3885" s="13" t="s">
        <v>35</v>
      </c>
      <c r="I3885" s="13" t="str">
        <f aca="false">IF(C3885=J3885,"NEW KONTRAK","RE-KONTRAK")</f>
        <v>NEW KONTRAK</v>
      </c>
      <c r="J3885" s="16" t="n">
        <f aca="false" t="array" ref="J3885:J3885">IFERROR(INDEX(AC3885:AE3885,IF(COUNTA(AC3885:AE3885)=0,"",MAX((AC3885:AE3885&lt;&gt;"")*(COLUMN(AC3885:AE3885)-(COLUMN(AC3885)))))-1),"")</f>
        <v>46203</v>
      </c>
      <c r="K3885" s="16" t="n">
        <f aca="false" t="array" ref="K3885:K3885">IFERROR(INDEX(AC3885:AE3885,IF(COUNTA(AC3885:AE3885)=0,"",MAX((AC3885:AE3885&lt;&gt;"")*(COLUMN(AC3885:AE3885)-(COLUMN(AC3885)-1))))-1),"")</f>
        <v>46267</v>
      </c>
      <c r="L3885" s="17" t="str">
        <f aca="false" t="array" ref="L3885:L3885">IFERROR(INDEX(AC3885:AE3885,IF(COUNTA(AC3885:AE3885)=0,"",MAX((AC3885:AE3885&lt;&gt;"")*(COLUMN(AC3885:AE3885)-(COLUMN(AC3885)-2))))-1),"")</f>
        <v>KEMBALI</v>
      </c>
      <c r="M3885" s="13" t="n">
        <f aca="true">K3885-TODAY()</f>
        <v>-57</v>
      </c>
      <c r="N3885" s="18" t="s">
        <v>7313</v>
      </c>
      <c r="O3885" s="13" t="s">
        <v>50</v>
      </c>
      <c r="P3885" s="19" t="n">
        <v>2550274</v>
      </c>
      <c r="Q3885" s="20" t="s">
        <v>15911</v>
      </c>
      <c r="R3885" s="13" t="s">
        <v>227</v>
      </c>
      <c r="S3885" s="14" t="n">
        <v>32967</v>
      </c>
      <c r="T3885" s="13" t="s">
        <v>40</v>
      </c>
      <c r="U3885" s="17" t="s">
        <v>15912</v>
      </c>
      <c r="V3885" s="13" t="s">
        <v>42</v>
      </c>
      <c r="W3885" s="13" t="s">
        <v>897</v>
      </c>
      <c r="X3885" s="21" t="n">
        <v>85211883670</v>
      </c>
      <c r="Y3885" s="22" t="str">
        <f aca="false">O3885</f>
        <v>Driver</v>
      </c>
      <c r="Z3885" s="13" t="str">
        <f aca="false">IFERROR(__xludf.dummyfunction("if(BJ3885="""","""",GOOGLETRANSLATE(BJ3885,""auto"",""en""))"),"Driver")</f>
        <v>Driver</v>
      </c>
      <c r="AA3885" s="23" t="str">
        <f aca="false">IF(C3885="","", CHOOSE(MONTH(C3885),"January","February","March","April","May","June","July","August","September","October","November","December")&amp;" "&amp;DAY(C3885)&amp;MID("thstndrdth",MIN(9,2*RIGHT(DAY(C3885))*(MOD(DAY(C3885)-11,100)&gt;2)+1),2)&amp;","&amp;TEXT(C3885," yyyy"))</f>
        <v>June 30th,2026</v>
      </c>
      <c r="AB3885" s="15" t="str">
        <f aca="true">IF(S3885="","",DATEDIF(S3885,TODAY(),"Y")&amp;" Tahun, "&amp;DATEDIF(S3885,TODAY(),"YM")&amp;" Bulan, "&amp;DATEDIF(S3885,TODAY(),"MD")&amp;" Hari")</f>
        <v>36 Tahun, 6 Bulan, 25 Hari</v>
      </c>
      <c r="AC3885" s="14" t="n">
        <v>46203</v>
      </c>
      <c r="AD3885" s="18" t="n">
        <v>46267</v>
      </c>
      <c r="AE3885" s="13" t="s">
        <v>397</v>
      </c>
    </row>
    <row r="3886" customFormat="false" ht="15" hidden="false" customHeight="true" outlineLevel="0" collapsed="false">
      <c r="A3886" s="12" t="n">
        <v>22513</v>
      </c>
      <c r="B3886" s="45" t="s">
        <v>15913</v>
      </c>
      <c r="C3886" s="14" t="n">
        <v>46213</v>
      </c>
      <c r="D3886" s="13" t="s">
        <v>393</v>
      </c>
      <c r="E3886" s="15" t="s">
        <v>47</v>
      </c>
      <c r="F3886" s="24" t="s">
        <v>15914</v>
      </c>
      <c r="G3886" s="24" t="s">
        <v>57</v>
      </c>
      <c r="H3886" s="13" t="s">
        <v>35</v>
      </c>
      <c r="I3886" s="13" t="str">
        <f aca="false">IF(C3886=J3886,"NEW KONTRAK","RE-KONTRAK")</f>
        <v>NEW KONTRAK</v>
      </c>
      <c r="J3886" s="16" t="n">
        <f aca="false" t="array" ref="J3886:J3886">IFERROR(INDEX(AC3886:AE3886,IF(COUNTA(AC3886:AE3886)=0,"",MAX((AC3886:AE3886&lt;&gt;"")*(COLUMN(AC3886:AE3886)-(COLUMN(AC3886)))))-1),"")</f>
        <v>46213</v>
      </c>
      <c r="K3886" s="16" t="n">
        <f aca="false" t="array" ref="K3886:K3886">IFERROR(INDEX(AC3886:AE3886,IF(COUNTA(AC3886:AE3886)=0,"",MAX((AC3886:AE3886&lt;&gt;"")*(COLUMN(AC3886:AE3886)-(COLUMN(AC3886)-1))))-1),"")</f>
        <v>46304</v>
      </c>
      <c r="L3886" s="17" t="str">
        <f aca="false" t="array" ref="L3886:L3886">IFERROR(INDEX(AC3886:AE3886,IF(COUNTA(AC3886:AE3886)=0,"",MAX((AC3886:AE3886&lt;&gt;"")*(COLUMN(AC3886:AE3886)-(COLUMN(AC3886)-2))))-1),"")</f>
        <v>KEMBALI</v>
      </c>
      <c r="M3886" s="13" t="n">
        <f aca="true">K3886-TODAY()</f>
        <v>-20</v>
      </c>
      <c r="N3886" s="18" t="s">
        <v>105</v>
      </c>
      <c r="O3886" s="13" t="s">
        <v>15203</v>
      </c>
      <c r="P3886" s="19" t="n">
        <v>5191541</v>
      </c>
      <c r="Q3886" s="20" t="s">
        <v>15915</v>
      </c>
      <c r="R3886" s="13" t="s">
        <v>274</v>
      </c>
      <c r="S3886" s="14" t="n">
        <v>34557</v>
      </c>
      <c r="T3886" s="13" t="s">
        <v>40</v>
      </c>
      <c r="U3886" s="17" t="s">
        <v>15916</v>
      </c>
      <c r="V3886" s="13" t="s">
        <v>42</v>
      </c>
      <c r="W3886" s="13" t="s">
        <v>54</v>
      </c>
      <c r="X3886" s="21" t="n">
        <v>82139623293</v>
      </c>
      <c r="Y3886" s="22" t="str">
        <f aca="false">O3886</f>
        <v>Produksi Furniture</v>
      </c>
      <c r="Z3886" s="13" t="str">
        <f aca="false">IFERROR(__xludf.dummyfunction("if(BJ3886="""","""",GOOGLETRANSLATE(BJ3886,""auto"",""en""))"),"Furniture Production")</f>
        <v>Furniture Production</v>
      </c>
      <c r="AA3886" s="23" t="str">
        <f aca="false">IF(C3886="","", CHOOSE(MONTH(C3886),"January","February","March","April","May","June","July","August","September","October","November","December")&amp;" "&amp;DAY(C3886)&amp;MID("thstndrdth",MIN(9,2*RIGHT(DAY(C3886))*(MOD(DAY(C3886)-11,100)&gt;2)+1),2)&amp;","&amp;TEXT(C3886," yyyy"))</f>
        <v>July 10th,2026</v>
      </c>
      <c r="AB3886" s="15" t="str">
        <f aca="true">IF(S3886="","",DATEDIF(S3886,TODAY(),"Y")&amp;" Tahun, "&amp;DATEDIF(S3886,TODAY(),"YM")&amp;" Bulan, "&amp;DATEDIF(S3886,TODAY(),"MD")&amp;" Hari")</f>
        <v>32 Tahun, 2 Bulan, 18 Hari</v>
      </c>
      <c r="AC3886" s="14" t="n">
        <v>46213</v>
      </c>
      <c r="AD3886" s="18" t="n">
        <f aca="false">EDATE(AC3886,3)-1</f>
        <v>46304</v>
      </c>
      <c r="AE3886" s="13" t="s">
        <v>397</v>
      </c>
    </row>
    <row r="3887" customFormat="false" ht="15" hidden="false" customHeight="true" outlineLevel="0" collapsed="false">
      <c r="A3887" s="12" t="n">
        <v>22514</v>
      </c>
      <c r="B3887" s="45" t="s">
        <v>15917</v>
      </c>
      <c r="C3887" s="14" t="n">
        <v>46213</v>
      </c>
      <c r="D3887" s="13" t="s">
        <v>393</v>
      </c>
      <c r="E3887" s="15" t="s">
        <v>47</v>
      </c>
      <c r="F3887" s="24" t="s">
        <v>15918</v>
      </c>
      <c r="G3887" s="24" t="s">
        <v>57</v>
      </c>
      <c r="H3887" s="13" t="s">
        <v>35</v>
      </c>
      <c r="I3887" s="13" t="str">
        <f aca="false">IF(C3887=J3887,"NEW KONTRAK","RE-KONTRAK")</f>
        <v>NEW KONTRAK</v>
      </c>
      <c r="J3887" s="16" t="n">
        <f aca="false" t="array" ref="J3887:J3887">IFERROR(INDEX(AC3887:AE3887,IF(COUNTA(AC3887:AE3887)=0,"",MAX((AC3887:AE3887&lt;&gt;"")*(COLUMN(AC3887:AE3887)-(COLUMN(AC3887)))))-1),"")</f>
        <v>46213</v>
      </c>
      <c r="K3887" s="16" t="n">
        <f aca="false" t="array" ref="K3887:K3887">IFERROR(INDEX(AC3887:AE3887,IF(COUNTA(AC3887:AE3887)=0,"",MAX((AC3887:AE3887&lt;&gt;"")*(COLUMN(AC3887:AE3887)-(COLUMN(AC3887)-1))))-1),"")</f>
        <v>46304</v>
      </c>
      <c r="L3887" s="17" t="str">
        <f aca="false" t="array" ref="L3887:L3887">IFERROR(INDEX(AC3887:AE3887,IF(COUNTA(AC3887:AE3887)=0,"",MAX((AC3887:AE3887&lt;&gt;"")*(COLUMN(AC3887:AE3887)-(COLUMN(AC3887)-2))))-1),"")</f>
        <v>KEMBALI</v>
      </c>
      <c r="M3887" s="13" t="n">
        <f aca="true">K3887-TODAY()</f>
        <v>-20</v>
      </c>
      <c r="N3887" s="18" t="s">
        <v>105</v>
      </c>
      <c r="O3887" s="13" t="s">
        <v>15203</v>
      </c>
      <c r="P3887" s="19" t="n">
        <v>5191541</v>
      </c>
      <c r="Q3887" s="20" t="s">
        <v>15919</v>
      </c>
      <c r="R3887" s="13" t="s">
        <v>2001</v>
      </c>
      <c r="S3887" s="14" t="n">
        <v>37688</v>
      </c>
      <c r="T3887" s="13" t="s">
        <v>40</v>
      </c>
      <c r="U3887" s="17" t="s">
        <v>15920</v>
      </c>
      <c r="V3887" s="13" t="s">
        <v>42</v>
      </c>
      <c r="W3887" s="13" t="s">
        <v>43</v>
      </c>
      <c r="X3887" s="21" t="n">
        <v>87826947027</v>
      </c>
      <c r="Y3887" s="22" t="str">
        <f aca="false">O3887</f>
        <v>Produksi Furniture</v>
      </c>
      <c r="Z3887" s="13" t="str">
        <f aca="false">IFERROR(__xludf.dummyfunction("if(BJ3887="""","""",GOOGLETRANSLATE(BJ3887,""auto"",""en""))"),"Furniture Production")</f>
        <v>Furniture Production</v>
      </c>
      <c r="AA3887" s="23" t="str">
        <f aca="false">IF(C3887="","", CHOOSE(MONTH(C3887),"January","February","March","April","May","June","July","August","September","October","November","December")&amp;" "&amp;DAY(C3887)&amp;MID("thstndrdth",MIN(9,2*RIGHT(DAY(C3887))*(MOD(DAY(C3887)-11,100)&gt;2)+1),2)&amp;","&amp;TEXT(C3887," yyyy"))</f>
        <v>July 10th,2026</v>
      </c>
      <c r="AB3887" s="15" t="str">
        <f aca="true">IF(S3887="","",DATEDIF(S3887,TODAY(),"Y")&amp;" Tahun, "&amp;DATEDIF(S3887,TODAY(),"YM")&amp;" Bulan, "&amp;DATEDIF(S3887,TODAY(),"MD")&amp;" Hari")</f>
        <v>23 Tahun, 7 Bulan, 21 Hari</v>
      </c>
      <c r="AC3887" s="14" t="n">
        <v>46213</v>
      </c>
      <c r="AD3887" s="18" t="n">
        <f aca="false">EDATE(AC3887,3)-1</f>
        <v>46304</v>
      </c>
      <c r="AE3887" s="13" t="s">
        <v>397</v>
      </c>
    </row>
    <row r="3888" customFormat="false" ht="15" hidden="false" customHeight="true" outlineLevel="0" collapsed="false">
      <c r="A3888" s="12" t="n">
        <v>22515</v>
      </c>
      <c r="B3888" s="45" t="s">
        <v>15921</v>
      </c>
      <c r="C3888" s="14" t="n">
        <v>46213</v>
      </c>
      <c r="D3888" s="13" t="s">
        <v>393</v>
      </c>
      <c r="E3888" s="15" t="s">
        <v>47</v>
      </c>
      <c r="F3888" s="24" t="s">
        <v>15922</v>
      </c>
      <c r="G3888" s="24" t="s">
        <v>57</v>
      </c>
      <c r="H3888" s="13" t="s">
        <v>35</v>
      </c>
      <c r="I3888" s="13" t="str">
        <f aca="false">IF(C3888=J3888,"NEW KONTRAK","RE-KONTRAK")</f>
        <v>NEW KONTRAK</v>
      </c>
      <c r="J3888" s="16" t="n">
        <f aca="false" t="array" ref="J3888:J3888">IFERROR(INDEX(AC3888:AE3888,IF(COUNTA(AC3888:AE3888)=0,"",MAX((AC3888:AE3888&lt;&gt;"")*(COLUMN(AC3888:AE3888)-(COLUMN(AC3888)))))-1),"")</f>
        <v>46213</v>
      </c>
      <c r="K3888" s="16" t="n">
        <f aca="false" t="array" ref="K3888:K3888">IFERROR(INDEX(AC3888:AE3888,IF(COUNTA(AC3888:AE3888)=0,"",MAX((AC3888:AE3888&lt;&gt;"")*(COLUMN(AC3888:AE3888)-(COLUMN(AC3888)-1))))-1),"")</f>
        <v>46304</v>
      </c>
      <c r="L3888" s="17" t="str">
        <f aca="false" t="array" ref="L3888:L3888">IFERROR(INDEX(AC3888:AE3888,IF(COUNTA(AC3888:AE3888)=0,"",MAX((AC3888:AE3888&lt;&gt;"")*(COLUMN(AC3888:AE3888)-(COLUMN(AC3888)-2))))-1),"")</f>
        <v>KEMBALI</v>
      </c>
      <c r="M3888" s="13" t="n">
        <f aca="true">K3888-TODAY()</f>
        <v>-20</v>
      </c>
      <c r="N3888" s="18" t="s">
        <v>105</v>
      </c>
      <c r="O3888" s="13" t="s">
        <v>15203</v>
      </c>
      <c r="P3888" s="19" t="n">
        <v>5191541</v>
      </c>
      <c r="Q3888" s="20" t="s">
        <v>15923</v>
      </c>
      <c r="R3888" s="13" t="s">
        <v>260</v>
      </c>
      <c r="S3888" s="14" t="n">
        <v>36879</v>
      </c>
      <c r="T3888" s="13" t="s">
        <v>40</v>
      </c>
      <c r="U3888" s="17" t="s">
        <v>15924</v>
      </c>
      <c r="V3888" s="13" t="s">
        <v>42</v>
      </c>
      <c r="W3888" s="13" t="s">
        <v>43</v>
      </c>
      <c r="X3888" s="21" t="n">
        <v>85725294044</v>
      </c>
      <c r="Y3888" s="22" t="str">
        <f aca="false">O3888</f>
        <v>Produksi Furniture</v>
      </c>
      <c r="Z3888" s="13" t="str">
        <f aca="false">IFERROR(__xludf.dummyfunction("if(BJ3888="""","""",GOOGLETRANSLATE(BJ3888,""auto"",""en""))"),"Furniture Production")</f>
        <v>Furniture Production</v>
      </c>
      <c r="AA3888" s="23" t="str">
        <f aca="false">IF(C3888="","", CHOOSE(MONTH(C3888),"January","February","March","April","May","June","July","August","September","October","November","December")&amp;" "&amp;DAY(C3888)&amp;MID("thstndrdth",MIN(9,2*RIGHT(DAY(C3888))*(MOD(DAY(C3888)-11,100)&gt;2)+1),2)&amp;","&amp;TEXT(C3888," yyyy"))</f>
        <v>July 10th,2026</v>
      </c>
      <c r="AB3888" s="15" t="str">
        <f aca="true">IF(S3888="","",DATEDIF(S3888,TODAY(),"Y")&amp;" Tahun, "&amp;DATEDIF(S3888,TODAY(),"YM")&amp;" Bulan, "&amp;DATEDIF(S3888,TODAY(),"MD")&amp;" Hari")</f>
        <v>25 Tahun, 10 Bulan, 10 Hari</v>
      </c>
      <c r="AC3888" s="14" t="n">
        <v>46213</v>
      </c>
      <c r="AD3888" s="18" t="n">
        <f aca="false">EDATE(AC3888,3)-1</f>
        <v>46304</v>
      </c>
      <c r="AE3888" s="13" t="s">
        <v>397</v>
      </c>
    </row>
    <row r="3889" customFormat="false" ht="15" hidden="false" customHeight="true" outlineLevel="0" collapsed="false">
      <c r="A3889" s="12" t="n">
        <v>22516</v>
      </c>
      <c r="B3889" s="45" t="s">
        <v>15925</v>
      </c>
      <c r="C3889" s="14" t="n">
        <v>46213</v>
      </c>
      <c r="D3889" s="13" t="s">
        <v>393</v>
      </c>
      <c r="E3889" s="15" t="s">
        <v>47</v>
      </c>
      <c r="F3889" s="24" t="s">
        <v>15926</v>
      </c>
      <c r="G3889" s="24" t="s">
        <v>57</v>
      </c>
      <c r="H3889" s="13" t="s">
        <v>35</v>
      </c>
      <c r="I3889" s="13" t="str">
        <f aca="false">IF(C3889=J3889,"NEW KONTRAK","RE-KONTRAK")</f>
        <v>NEW KONTRAK</v>
      </c>
      <c r="J3889" s="16" t="n">
        <f aca="false" t="array" ref="J3889:J3889">IFERROR(INDEX(AC3889:AE3889,IF(COUNTA(AC3889:AE3889)=0,"",MAX((AC3889:AE3889&lt;&gt;"")*(COLUMN(AC3889:AE3889)-(COLUMN(AC3889)))))-1),"")</f>
        <v>46213</v>
      </c>
      <c r="K3889" s="16" t="n">
        <f aca="false" t="array" ref="K3889:K3889">IFERROR(INDEX(AC3889:AE3889,IF(COUNTA(AC3889:AE3889)=0,"",MAX((AC3889:AE3889&lt;&gt;"")*(COLUMN(AC3889:AE3889)-(COLUMN(AC3889)-1))))-1),"")</f>
        <v>46304</v>
      </c>
      <c r="L3889" s="17" t="str">
        <f aca="false" t="array" ref="L3889:L3889">IFERROR(INDEX(AC3889:AE3889,IF(COUNTA(AC3889:AE3889)=0,"",MAX((AC3889:AE3889&lt;&gt;"")*(COLUMN(AC3889:AE3889)-(COLUMN(AC3889)-2))))-1),"")</f>
        <v>KEMBALI</v>
      </c>
      <c r="M3889" s="13" t="n">
        <f aca="true">K3889-TODAY()</f>
        <v>-20</v>
      </c>
      <c r="N3889" s="18" t="s">
        <v>105</v>
      </c>
      <c r="O3889" s="13" t="s">
        <v>15203</v>
      </c>
      <c r="P3889" s="19" t="n">
        <v>5191541</v>
      </c>
      <c r="Q3889" s="20" t="s">
        <v>15927</v>
      </c>
      <c r="R3889" s="13" t="s">
        <v>39</v>
      </c>
      <c r="S3889" s="14" t="n">
        <v>37113</v>
      </c>
      <c r="T3889" s="13" t="s">
        <v>40</v>
      </c>
      <c r="U3889" s="17" t="s">
        <v>15928</v>
      </c>
      <c r="V3889" s="13" t="s">
        <v>42</v>
      </c>
      <c r="W3889" s="13" t="s">
        <v>43</v>
      </c>
      <c r="X3889" s="21" t="n">
        <v>82245510700</v>
      </c>
      <c r="Y3889" s="22" t="str">
        <f aca="false">O3889</f>
        <v>Produksi Furniture</v>
      </c>
      <c r="Z3889" s="13" t="str">
        <f aca="false">IFERROR(__xludf.dummyfunction("if(BJ3889="""","""",GOOGLETRANSLATE(BJ3889,""auto"",""en""))"),"Furniture Production")</f>
        <v>Furniture Production</v>
      </c>
      <c r="AA3889" s="23" t="str">
        <f aca="false">IF(C3889="","", CHOOSE(MONTH(C3889),"January","February","March","April","May","June","July","August","September","October","November","December")&amp;" "&amp;DAY(C3889)&amp;MID("thstndrdth",MIN(9,2*RIGHT(DAY(C3889))*(MOD(DAY(C3889)-11,100)&gt;2)+1),2)&amp;","&amp;TEXT(C3889," yyyy"))</f>
        <v>July 10th,2026</v>
      </c>
      <c r="AB3889" s="15" t="str">
        <f aca="true">IF(S3889="","",DATEDIF(S3889,TODAY(),"Y")&amp;" Tahun, "&amp;DATEDIF(S3889,TODAY(),"YM")&amp;" Bulan, "&amp;DATEDIF(S3889,TODAY(),"MD")&amp;" Hari")</f>
        <v>25 Tahun, 2 Bulan, 19 Hari</v>
      </c>
      <c r="AC3889" s="14" t="n">
        <v>46213</v>
      </c>
      <c r="AD3889" s="18" t="n">
        <f aca="false">EDATE(AC3889,3)-1</f>
        <v>46304</v>
      </c>
      <c r="AE3889" s="13" t="s">
        <v>397</v>
      </c>
    </row>
    <row r="3890" customFormat="false" ht="15" hidden="false" customHeight="true" outlineLevel="0" collapsed="false">
      <c r="A3890" s="12" t="n">
        <v>22518</v>
      </c>
      <c r="B3890" s="45" t="s">
        <v>15929</v>
      </c>
      <c r="C3890" s="14" t="n">
        <v>46213</v>
      </c>
      <c r="D3890" s="13" t="s">
        <v>393</v>
      </c>
      <c r="E3890" s="15" t="s">
        <v>47</v>
      </c>
      <c r="F3890" s="24" t="s">
        <v>15930</v>
      </c>
      <c r="G3890" s="24" t="s">
        <v>57</v>
      </c>
      <c r="H3890" s="13" t="s">
        <v>35</v>
      </c>
      <c r="I3890" s="13" t="str">
        <f aca="false">IF(C3890=J3890,"NEW KONTRAK","RE-KONTRAK")</f>
        <v>NEW KONTRAK</v>
      </c>
      <c r="J3890" s="16" t="n">
        <f aca="false" t="array" ref="J3890:J3890">IFERROR(INDEX(AC3890:AE3890,IF(COUNTA(AC3890:AE3890)=0,"",MAX((AC3890:AE3890&lt;&gt;"")*(COLUMN(AC3890:AE3890)-(COLUMN(AC3890)))))-1),"")</f>
        <v>46213</v>
      </c>
      <c r="K3890" s="16" t="n">
        <f aca="false" t="array" ref="K3890:K3890">IFERROR(INDEX(AC3890:AE3890,IF(COUNTA(AC3890:AE3890)=0,"",MAX((AC3890:AE3890&lt;&gt;"")*(COLUMN(AC3890:AE3890)-(COLUMN(AC3890)-1))))-1),"")</f>
        <v>46304</v>
      </c>
      <c r="L3890" s="17" t="str">
        <f aca="false" t="array" ref="L3890:L3890">IFERROR(INDEX(AC3890:AE3890,IF(COUNTA(AC3890:AE3890)=0,"",MAX((AC3890:AE3890&lt;&gt;"")*(COLUMN(AC3890:AE3890)-(COLUMN(AC3890)-2))))-1),"")</f>
        <v>KEMBALI</v>
      </c>
      <c r="M3890" s="13" t="n">
        <f aca="true">K3890-TODAY()</f>
        <v>-20</v>
      </c>
      <c r="N3890" s="18" t="s">
        <v>105</v>
      </c>
      <c r="O3890" s="13" t="s">
        <v>15203</v>
      </c>
      <c r="P3890" s="19" t="n">
        <v>5191541</v>
      </c>
      <c r="Q3890" s="20" t="s">
        <v>15931</v>
      </c>
      <c r="R3890" s="13" t="s">
        <v>52</v>
      </c>
      <c r="S3890" s="14" t="n">
        <v>34817</v>
      </c>
      <c r="T3890" s="13" t="s">
        <v>40</v>
      </c>
      <c r="U3890" s="17" t="s">
        <v>15932</v>
      </c>
      <c r="V3890" s="13" t="s">
        <v>42</v>
      </c>
      <c r="W3890" s="13" t="s">
        <v>897</v>
      </c>
      <c r="X3890" s="21" t="n">
        <v>85895745360</v>
      </c>
      <c r="Y3890" s="22" t="str">
        <f aca="false">O3890</f>
        <v>Produksi Furniture</v>
      </c>
      <c r="Z3890" s="13" t="str">
        <f aca="false">IFERROR(__xludf.dummyfunction("if(BJ3890="""","""",GOOGLETRANSLATE(BJ3890,""auto"",""en""))"),"Furniture Production")</f>
        <v>Furniture Production</v>
      </c>
      <c r="AA3890" s="23" t="str">
        <f aca="false">IF(C3890="","", CHOOSE(MONTH(C3890),"January","February","March","April","May","June","July","August","September","October","November","December")&amp;" "&amp;DAY(C3890)&amp;MID("thstndrdth",MIN(9,2*RIGHT(DAY(C3890))*(MOD(DAY(C3890)-11,100)&gt;2)+1),2)&amp;","&amp;TEXT(C3890," yyyy"))</f>
        <v>July 10th,2026</v>
      </c>
      <c r="AB3890" s="15" t="str">
        <f aca="true">IF(S3890="","",DATEDIF(S3890,TODAY(),"Y")&amp;" Tahun, "&amp;DATEDIF(S3890,TODAY(),"YM")&amp;" Bulan, "&amp;DATEDIF(S3890,TODAY(),"MD")&amp;" Hari")</f>
        <v>31 Tahun, 6 Bulan, 1 Hari</v>
      </c>
      <c r="AC3890" s="14" t="n">
        <v>46213</v>
      </c>
      <c r="AD3890" s="18" t="n">
        <f aca="false">EDATE(AC3890,3)-1</f>
        <v>46304</v>
      </c>
      <c r="AE3890" s="13" t="s">
        <v>397</v>
      </c>
    </row>
    <row r="3891" customFormat="false" ht="15" hidden="false" customHeight="true" outlineLevel="0" collapsed="false">
      <c r="A3891" s="12" t="n">
        <v>22519</v>
      </c>
      <c r="B3891" s="13" t="s">
        <v>15933</v>
      </c>
      <c r="C3891" s="14" t="n">
        <v>46211</v>
      </c>
      <c r="D3891" s="13" t="s">
        <v>15103</v>
      </c>
      <c r="E3891" s="15" t="s">
        <v>6819</v>
      </c>
      <c r="F3891" s="24" t="s">
        <v>15934</v>
      </c>
      <c r="G3891" s="24" t="s">
        <v>57</v>
      </c>
      <c r="H3891" s="13" t="s">
        <v>3024</v>
      </c>
      <c r="I3891" s="13" t="str">
        <f aca="false">IF(C3891=J3891,"NEW KONTRAK","RE-KONTRAK")</f>
        <v>NEW KONTRAK</v>
      </c>
      <c r="J3891" s="16" t="n">
        <f aca="false" t="array" ref="J3891:J3891">IFERROR(INDEX(AC3891:AE3891,IF(COUNTA(AC3891:AE3891)=0,"",MAX((AC3891:AE3891&lt;&gt;"")*(COLUMN(AC3891:AE3891)-(COLUMN(AC3891)))))-1),"")</f>
        <v>46211</v>
      </c>
      <c r="K3891" s="16" t="n">
        <f aca="false" t="array" ref="K3891:K3891">IFERROR(INDEX(AC3891:AE3891,IF(COUNTA(AC3891:AE3891)=0,"",MAX((AC3891:AE3891&lt;&gt;"")*(COLUMN(AC3891:AE3891)-(COLUMN(AC3891)-1))))-1),"")</f>
        <v>46299</v>
      </c>
      <c r="L3891" s="17" t="str">
        <f aca="false" t="array" ref="L3891:L3891">IFERROR(INDEX(AC3891:AE3891,IF(COUNTA(AC3891:AE3891)=0,"",MAX((AC3891:AE3891&lt;&gt;"")*(COLUMN(AC3891:AE3891)-(COLUMN(AC3891)-2))))-1),"")</f>
        <v>ARCHIVED</v>
      </c>
      <c r="M3891" s="13" t="n">
        <f aca="true">K3891-TODAY()</f>
        <v>-25</v>
      </c>
      <c r="N3891" s="18" t="s">
        <v>36</v>
      </c>
      <c r="O3891" s="13" t="s">
        <v>15935</v>
      </c>
      <c r="P3891" s="26" t="n">
        <v>135000</v>
      </c>
      <c r="Q3891" s="20" t="s">
        <v>15936</v>
      </c>
      <c r="R3891" s="13" t="s">
        <v>39</v>
      </c>
      <c r="S3891" s="14" t="n">
        <v>35200</v>
      </c>
      <c r="T3891" s="13" t="s">
        <v>40</v>
      </c>
      <c r="U3891" s="17" t="s">
        <v>15937</v>
      </c>
      <c r="V3891" s="13" t="s">
        <v>42</v>
      </c>
      <c r="W3891" s="13" t="s">
        <v>43</v>
      </c>
      <c r="X3891" s="13" t="n">
        <v>89666578152</v>
      </c>
      <c r="Y3891" s="22" t="str">
        <f aca="false">O3891</f>
        <v>DRIVER PENGIRIMAN</v>
      </c>
      <c r="Z3891" s="13" t="str">
        <f aca="false">IFERROR(__xludf.dummyfunction("if(BJ3891="""","""",GOOGLETRANSLATE(BJ3891,""auto"",""en""))"),"DELIVERY DRIVER")</f>
        <v>DELIVERY DRIVER</v>
      </c>
      <c r="AA3891" s="23" t="str">
        <f aca="false">IF(C3891="","", CHOOSE(MONTH(C3891),"January","February","March","April","May","June","July","August","September","October","November","December")&amp;" "&amp;DAY(C3891)&amp;MID("thstndrdth",MIN(9,2*RIGHT(DAY(C3891))*(MOD(DAY(C3891)-11,100)&gt;2)+1),2)&amp;","&amp;TEXT(C3891," yyyy"))</f>
        <v>July 8th,2026</v>
      </c>
      <c r="AB3891" s="15" t="str">
        <f aca="true">IF(S3891="","",DATEDIF(S3891,TODAY(),"Y")&amp;" Tahun, "&amp;DATEDIF(S3891,TODAY(),"YM")&amp;" Bulan, "&amp;DATEDIF(S3891,TODAY(),"MD")&amp;" Hari")</f>
        <v>30 Tahun, 5 Bulan, 14 Hari</v>
      </c>
      <c r="AC3891" s="14" t="n">
        <v>46211</v>
      </c>
      <c r="AD3891" s="18" t="n">
        <v>46299</v>
      </c>
      <c r="AE3891" s="13" t="s">
        <v>44</v>
      </c>
    </row>
    <row r="3892" customFormat="false" ht="15" hidden="false" customHeight="true" outlineLevel="0" collapsed="false">
      <c r="A3892" s="12" t="n">
        <v>22520</v>
      </c>
      <c r="B3892" s="45" t="s">
        <v>15938</v>
      </c>
      <c r="C3892" s="14" t="n">
        <v>46210</v>
      </c>
      <c r="D3892" s="13" t="s">
        <v>774</v>
      </c>
      <c r="E3892" s="15" t="s">
        <v>47</v>
      </c>
      <c r="F3892" s="24" t="s">
        <v>15939</v>
      </c>
      <c r="G3892" s="24" t="s">
        <v>57</v>
      </c>
      <c r="H3892" s="13" t="s">
        <v>35</v>
      </c>
      <c r="I3892" s="13" t="str">
        <f aca="false">IF(C3892=J3892,"NEW KONTRAK","RE-KONTRAK")</f>
        <v>NEW KONTRAK</v>
      </c>
      <c r="J3892" s="16" t="n">
        <f aca="false" t="array" ref="J3892:J3892">IFERROR(INDEX(AC3892:AE3892,IF(COUNTA(AC3892:AE3892)=0,"",MAX((AC3892:AE3892&lt;&gt;"")*(COLUMN(AC3892:AE3892)-(COLUMN(AC3892)))))-1),"")</f>
        <v>46210</v>
      </c>
      <c r="K3892" s="16" t="n">
        <f aca="false" t="array" ref="K3892:K3892">IFERROR(INDEX(AC3892:AE3892,IF(COUNTA(AC3892:AE3892)=0,"",MAX((AC3892:AE3892&lt;&gt;"")*(COLUMN(AC3892:AE3892)-(COLUMN(AC3892)-1))))-1),"")</f>
        <v>46295</v>
      </c>
      <c r="L3892" s="17" t="str">
        <f aca="false" t="array" ref="L3892:L3892">IFERROR(INDEX(AC3892:AE3892,IF(COUNTA(AC3892:AE3892)=0,"",MAX((AC3892:AE3892&lt;&gt;"")*(COLUMN(AC3892:AE3892)-(COLUMN(AC3892)-2))))-1),"")</f>
        <v>KEMBALI</v>
      </c>
      <c r="M3892" s="13" t="n">
        <f aca="true">K3892-TODAY()</f>
        <v>-29</v>
      </c>
      <c r="N3892" s="18" t="s">
        <v>36</v>
      </c>
      <c r="O3892" s="13" t="s">
        <v>3599</v>
      </c>
      <c r="P3892" s="26" t="n">
        <v>3500000</v>
      </c>
      <c r="Q3892" s="20" t="s">
        <v>15940</v>
      </c>
      <c r="R3892" s="13" t="s">
        <v>52</v>
      </c>
      <c r="S3892" s="14" t="n">
        <v>37341</v>
      </c>
      <c r="T3892" s="13" t="s">
        <v>108</v>
      </c>
      <c r="U3892" s="17" t="s">
        <v>15941</v>
      </c>
      <c r="V3892" s="13" t="s">
        <v>42</v>
      </c>
      <c r="W3892" s="13" t="s">
        <v>43</v>
      </c>
      <c r="X3892" s="21" t="n">
        <v>82140633882</v>
      </c>
      <c r="Y3892" s="22" t="str">
        <f aca="false">O3892</f>
        <v>Admin Gudang</v>
      </c>
      <c r="Z3892" s="13" t="str">
        <f aca="false">IFERROR(__xludf.dummyfunction("if(BJ3892="""","""",GOOGLETRANSLATE(BJ3892,""auto"",""en""))"),"Warehouse Admin")</f>
        <v>Warehouse Admin</v>
      </c>
      <c r="AA3892" s="23" t="str">
        <f aca="false">IF(C3892="","", CHOOSE(MONTH(C3892),"January","February","March","April","May","June","July","August","September","October","November","December")&amp;" "&amp;DAY(C3892)&amp;MID("thstndrdth",MIN(9,2*RIGHT(DAY(C3892))*(MOD(DAY(C3892)-11,100)&gt;2)+1),2)&amp;","&amp;TEXT(C3892," yyyy"))</f>
        <v>July 7th,2026</v>
      </c>
      <c r="AB3892" s="15" t="str">
        <f aca="true">IF(S3892="","",DATEDIF(S3892,TODAY(),"Y")&amp;" Tahun, "&amp;DATEDIF(S3892,TODAY(),"YM")&amp;" Bulan, "&amp;DATEDIF(S3892,TODAY(),"MD")&amp;" Hari")</f>
        <v>24 Tahun, 7 Bulan, 3 Hari</v>
      </c>
      <c r="AC3892" s="14" t="n">
        <v>46210</v>
      </c>
      <c r="AD3892" s="18" t="n">
        <v>46295</v>
      </c>
      <c r="AE3892" s="13" t="s">
        <v>397</v>
      </c>
    </row>
    <row r="3893" customFormat="false" ht="15" hidden="false" customHeight="true" outlineLevel="0" collapsed="false">
      <c r="A3893" s="12" t="n">
        <v>22521</v>
      </c>
      <c r="B3893" s="45" t="s">
        <v>15942</v>
      </c>
      <c r="C3893" s="14" t="n">
        <v>46216</v>
      </c>
      <c r="D3893" s="13" t="s">
        <v>6638</v>
      </c>
      <c r="E3893" s="15" t="s">
        <v>102</v>
      </c>
      <c r="F3893" s="24" t="s">
        <v>15943</v>
      </c>
      <c r="G3893" s="24" t="s">
        <v>57</v>
      </c>
      <c r="H3893" s="13" t="s">
        <v>35</v>
      </c>
      <c r="I3893" s="13" t="str">
        <f aca="false">IF(C3893=J3893,"NEW KONTRAK","RE-KONTRAK")</f>
        <v>NEW KONTRAK</v>
      </c>
      <c r="J3893" s="16" t="n">
        <f aca="false" t="array" ref="J3893:J3893">IFERROR(INDEX(AC3893:AE3893,IF(COUNTA(AC3893:AE3893)=0,"",MAX((AC3893:AE3893&lt;&gt;"")*(COLUMN(AC3893:AE3893)-(COLUMN(AC3893)))))-1),"")</f>
        <v>46216</v>
      </c>
      <c r="K3893" s="16" t="n">
        <f aca="false" t="array" ref="K3893:K3893">IFERROR(INDEX(AC3893:AE3893,IF(COUNTA(AC3893:AE3893)=0,"",MAX((AC3893:AE3893&lt;&gt;"")*(COLUMN(AC3893:AE3893)-(COLUMN(AC3893)-1))))-1),"")</f>
        <v>46265</v>
      </c>
      <c r="L3893" s="17" t="str">
        <f aca="false" t="array" ref="L3893:L3893">IFERROR(INDEX(AC3893:AE3893,IF(COUNTA(AC3893:AE3893)=0,"",MAX((AC3893:AE3893&lt;&gt;"")*(COLUMN(AC3893:AE3893)-(COLUMN(AC3893)-2))))-1),"")</f>
        <v>KEMBALI</v>
      </c>
      <c r="M3893" s="13" t="n">
        <f aca="true">K3893-TODAY()</f>
        <v>-59</v>
      </c>
      <c r="N3893" s="18" t="s">
        <v>4735</v>
      </c>
      <c r="O3893" s="13" t="s">
        <v>15944</v>
      </c>
      <c r="P3893" s="26" t="n">
        <v>3113530</v>
      </c>
      <c r="Q3893" s="20" t="s">
        <v>15945</v>
      </c>
      <c r="R3893" s="13" t="s">
        <v>83</v>
      </c>
      <c r="S3893" s="14" t="n">
        <v>37798</v>
      </c>
      <c r="T3893" s="28" t="s">
        <v>40</v>
      </c>
      <c r="U3893" s="13" t="s">
        <v>15946</v>
      </c>
      <c r="V3893" s="13" t="s">
        <v>42</v>
      </c>
      <c r="W3893" s="13" t="s">
        <v>43</v>
      </c>
      <c r="X3893" s="21" t="n">
        <v>812356000356</v>
      </c>
      <c r="Y3893" s="22" t="str">
        <f aca="false">O3893</f>
        <v>Sosial media spesialist</v>
      </c>
      <c r="Z3893" s="13" t="str">
        <f aca="false">IFERROR(__xludf.dummyfunction("if(BJ3893="""","""",GOOGLETRANSLATE(BJ3893,""auto"",""en""))"),"Social media specialist")</f>
        <v>Social media specialist</v>
      </c>
      <c r="AA3893" s="23" t="str">
        <f aca="false">IF(C3893="","", CHOOSE(MONTH(C3893),"January","February","March","April","May","June","July","August","September","October","November","December")&amp;" "&amp;DAY(C3893)&amp;MID("thstndrdth",MIN(9,2*RIGHT(DAY(C3893))*(MOD(DAY(C3893)-11,100)&gt;2)+1),2)&amp;","&amp;TEXT(C3893," yyyy"))</f>
        <v>July 13th,2026</v>
      </c>
      <c r="AB3893" s="15" t="str">
        <f aca="true">IF(S3893="","",DATEDIF(S3893,TODAY(),"Y")&amp;" Tahun, "&amp;DATEDIF(S3893,TODAY(),"YM")&amp;" Bulan, "&amp;DATEDIF(S3893,TODAY(),"MD")&amp;" Hari")</f>
        <v>23 Tahun, 4 Bulan, 3 Hari</v>
      </c>
      <c r="AC3893" s="14" t="n">
        <v>46216</v>
      </c>
      <c r="AD3893" s="18" t="n">
        <v>46265</v>
      </c>
      <c r="AE3893" s="13" t="s">
        <v>397</v>
      </c>
    </row>
    <row r="3894" customFormat="false" ht="15" hidden="false" customHeight="true" outlineLevel="0" collapsed="false">
      <c r="A3894" s="12" t="n">
        <v>22522</v>
      </c>
      <c r="B3894" s="45" t="s">
        <v>15947</v>
      </c>
      <c r="C3894" s="14" t="n">
        <v>46219</v>
      </c>
      <c r="D3894" s="13" t="s">
        <v>404</v>
      </c>
      <c r="E3894" s="15" t="s">
        <v>47</v>
      </c>
      <c r="F3894" s="24" t="s">
        <v>15948</v>
      </c>
      <c r="G3894" s="24" t="s">
        <v>57</v>
      </c>
      <c r="H3894" s="13" t="s">
        <v>35</v>
      </c>
      <c r="I3894" s="13" t="str">
        <f aca="false">IF(C3894=J3894,"NEW KONTRAK","RE-KONTRAK")</f>
        <v>NEW KONTRAK</v>
      </c>
      <c r="J3894" s="16" t="n">
        <f aca="false" t="array" ref="J3894:J3894">IFERROR(INDEX(AC3894:AE3894,IF(COUNTA(AC3894:AE3894)=0,"",MAX((AC3894:AE3894&lt;&gt;"")*(COLUMN(AC3894:AE3894)-(COLUMN(AC3894)))))-1),"")</f>
        <v>46219</v>
      </c>
      <c r="K3894" s="16" t="n">
        <f aca="false" t="array" ref="K3894:K3894">IFERROR(INDEX(AC3894:AE3894,IF(COUNTA(AC3894:AE3894)=0,"",MAX((AC3894:AE3894&lt;&gt;"")*(COLUMN(AC3894:AE3894)-(COLUMN(AC3894)-1))))-1),"")</f>
        <v>46310</v>
      </c>
      <c r="L3894" s="17" t="str">
        <f aca="false" t="array" ref="L3894:L3894">IFERROR(INDEX(AC3894:AE3894,IF(COUNTA(AC3894:AE3894)=0,"",MAX((AC3894:AE3894&lt;&gt;"")*(COLUMN(AC3894:AE3894)-(COLUMN(AC3894)-2))))-1),"")</f>
        <v>KEMBALI</v>
      </c>
      <c r="M3894" s="13" t="n">
        <f aca="true">K3894-TODAY()</f>
        <v>-14</v>
      </c>
      <c r="N3894" s="18" t="s">
        <v>36</v>
      </c>
      <c r="O3894" s="13" t="s">
        <v>5695</v>
      </c>
      <c r="P3894" s="26" t="n">
        <v>5195401</v>
      </c>
      <c r="Q3894" s="20" t="s">
        <v>15949</v>
      </c>
      <c r="R3894" s="13" t="s">
        <v>65</v>
      </c>
      <c r="S3894" s="14" t="n">
        <v>37321</v>
      </c>
      <c r="T3894" s="13" t="s">
        <v>40</v>
      </c>
      <c r="U3894" s="17" t="s">
        <v>15950</v>
      </c>
      <c r="V3894" s="13" t="s">
        <v>42</v>
      </c>
      <c r="W3894" s="13" t="s">
        <v>43</v>
      </c>
      <c r="X3894" s="47" t="s">
        <v>15951</v>
      </c>
      <c r="Y3894" s="22" t="str">
        <f aca="false">O3894</f>
        <v>HSE</v>
      </c>
      <c r="Z3894" s="13" t="str">
        <f aca="false">IFERROR(__xludf.dummyfunction("if(BJ3894="""","""",GOOGLETRANSLATE(BJ3894,""auto"",""en""))"),"HSE")</f>
        <v>HSE</v>
      </c>
      <c r="AA3894" s="23" t="str">
        <f aca="false">IF(C3894="","", CHOOSE(MONTH(C3894),"January","February","March","April","May","June","July","August","September","October","November","December")&amp;" "&amp;DAY(C3894)&amp;MID("thstndrdth",MIN(9,2*RIGHT(DAY(C3894))*(MOD(DAY(C3894)-11,100)&gt;2)+1),2)&amp;","&amp;TEXT(C3894," yyyy"))</f>
        <v>July 16th,2026</v>
      </c>
      <c r="AB3894" s="15" t="str">
        <f aca="true">IF(S3894="","",DATEDIF(S3894,TODAY(),"Y")&amp;" Tahun, "&amp;DATEDIF(S3894,TODAY(),"YM")&amp;" Bulan, "&amp;DATEDIF(S3894,TODAY(),"MD")&amp;" Hari")</f>
        <v>24 Tahun, 7 Bulan, 23 Hari</v>
      </c>
      <c r="AC3894" s="14" t="n">
        <v>46219</v>
      </c>
      <c r="AD3894" s="18" t="n">
        <f aca="false">EDATE(AC3894,3)-1</f>
        <v>46310</v>
      </c>
      <c r="AE3894" s="13" t="s">
        <v>397</v>
      </c>
    </row>
    <row r="3895" customFormat="false" ht="15" hidden="false" customHeight="true" outlineLevel="0" collapsed="false">
      <c r="A3895" s="108" t="n">
        <v>22526</v>
      </c>
      <c r="B3895" s="45" t="s">
        <v>9397</v>
      </c>
      <c r="C3895" s="14" t="n">
        <v>46219</v>
      </c>
      <c r="D3895" s="13" t="s">
        <v>404</v>
      </c>
      <c r="E3895" s="15" t="s">
        <v>47</v>
      </c>
      <c r="F3895" s="24" t="s">
        <v>15952</v>
      </c>
      <c r="G3895" s="24" t="s">
        <v>57</v>
      </c>
      <c r="H3895" s="13" t="s">
        <v>35</v>
      </c>
      <c r="I3895" s="13" t="str">
        <f aca="false">IF(C3895=J3895,"NEW KONTRAK","RE-KONTRAK")</f>
        <v>NEW KONTRAK</v>
      </c>
      <c r="J3895" s="16" t="n">
        <f aca="false" t="array" ref="J3895:J3895">IFERROR(INDEX(AC3895:AE3895,IF(COUNTA(AC3895:AE3895)=0,"",MAX((AC3895:AE3895&lt;&gt;"")*(COLUMN(AC3895:AE3895)-(COLUMN(AC3895)))))-1),"")</f>
        <v>46219</v>
      </c>
      <c r="K3895" s="16" t="n">
        <f aca="false" t="array" ref="K3895:K3895">IFERROR(INDEX(AC3895:AE3895,IF(COUNTA(AC3895:AE3895)=0,"",MAX((AC3895:AE3895&lt;&gt;"")*(COLUMN(AC3895:AE3895)-(COLUMN(AC3895)-1))))-1),"")</f>
        <v>46310</v>
      </c>
      <c r="L3895" s="17" t="str">
        <f aca="false" t="array" ref="L3895:L3895">IFERROR(INDEX(AC3895:AE3895,IF(COUNTA(AC3895:AE3895)=0,"",MAX((AC3895:AE3895&lt;&gt;"")*(COLUMN(AC3895:AE3895)-(COLUMN(AC3895)-2))))-1),"")</f>
        <v>KEMBALI</v>
      </c>
      <c r="M3895" s="13" t="n">
        <f aca="true">K3895-TODAY()</f>
        <v>-14</v>
      </c>
      <c r="N3895" s="18" t="s">
        <v>36</v>
      </c>
      <c r="O3895" s="13" t="s">
        <v>15953</v>
      </c>
      <c r="P3895" s="26" t="n">
        <v>5195401</v>
      </c>
      <c r="Q3895" s="20" t="s">
        <v>15954</v>
      </c>
      <c r="R3895" s="13" t="s">
        <v>826</v>
      </c>
      <c r="S3895" s="14" t="n">
        <v>36795</v>
      </c>
      <c r="T3895" s="13" t="s">
        <v>40</v>
      </c>
      <c r="U3895" s="17" t="s">
        <v>15955</v>
      </c>
      <c r="V3895" s="13" t="s">
        <v>42</v>
      </c>
      <c r="W3895" s="13" t="s">
        <v>43</v>
      </c>
      <c r="X3895" s="21" t="n">
        <v>82334484828</v>
      </c>
      <c r="Y3895" s="22" t="str">
        <f aca="false">O3895</f>
        <v>QUALITY CONTROL</v>
      </c>
      <c r="Z3895" s="13" t="str">
        <f aca="false">IFERROR(__xludf.dummyfunction("if(BJ3895="""","""",GOOGLETRANSLATE(BJ3895,""auto"",""en""))"),"QUALITY CONTROL")</f>
        <v>QUALITY CONTROL</v>
      </c>
      <c r="AA3895" s="23" t="str">
        <f aca="false">IF(C3895="","", CHOOSE(MONTH(C3895),"January","February","March","April","May","June","July","August","September","October","November","December")&amp;" "&amp;DAY(C3895)&amp;MID("thstndrdth",MIN(9,2*RIGHT(DAY(C3895))*(MOD(DAY(C3895)-11,100)&gt;2)+1),2)&amp;","&amp;TEXT(C3895," yyyy"))</f>
        <v>July 16th,2026</v>
      </c>
      <c r="AB3895" s="15" t="str">
        <f aca="true">IF(S3895="","",DATEDIF(S3895,TODAY(),"Y")&amp;" Tahun, "&amp;DATEDIF(S3895,TODAY(),"YM")&amp;" Bulan, "&amp;DATEDIF(S3895,TODAY(),"MD")&amp;" Hari")</f>
        <v>26 Tahun, 1 Bulan, 3 Hari</v>
      </c>
      <c r="AC3895" s="14" t="n">
        <v>46219</v>
      </c>
      <c r="AD3895" s="18" t="n">
        <f aca="false">EDATE(AC3895,3)-1</f>
        <v>46310</v>
      </c>
      <c r="AE3895" s="13" t="s">
        <v>397</v>
      </c>
    </row>
    <row r="3896" customFormat="false" ht="15" hidden="false" customHeight="true" outlineLevel="0" collapsed="false">
      <c r="A3896" s="12" t="n">
        <v>22523</v>
      </c>
      <c r="B3896" s="13" t="s">
        <v>15956</v>
      </c>
      <c r="C3896" s="14" t="n">
        <v>46217</v>
      </c>
      <c r="D3896" s="13" t="s">
        <v>393</v>
      </c>
      <c r="E3896" s="15" t="s">
        <v>102</v>
      </c>
      <c r="F3896" s="24" t="s">
        <v>15957</v>
      </c>
      <c r="G3896" s="24" t="s">
        <v>57</v>
      </c>
      <c r="H3896" s="13" t="s">
        <v>35</v>
      </c>
      <c r="I3896" s="13" t="str">
        <f aca="false">IF(C3896=J3896,"NEW KONTRAK","RE-KONTRAK")</f>
        <v>NEW KONTRAK</v>
      </c>
      <c r="J3896" s="16" t="n">
        <f aca="false" t="array" ref="J3896:J3896">IFERROR(INDEX(AC3896:AE3896,IF(COUNTA(AC3896:AE3896)=0,"",MAX((AC3896:AE3896&lt;&gt;"")*(COLUMN(AC3896:AE3896)-(COLUMN(AC3896)))))-1),"")</f>
        <v>46217</v>
      </c>
      <c r="K3896" s="16" t="n">
        <f aca="false" t="array" ref="K3896:K3896">IFERROR(INDEX(AC3896:AE3896,IF(COUNTA(AC3896:AE3896)=0,"",MAX((AC3896:AE3896&lt;&gt;"")*(COLUMN(AC3896:AE3896)-(COLUMN(AC3896)-1))))-1),"")</f>
        <v>46308</v>
      </c>
      <c r="L3896" s="17" t="str">
        <f aca="false" t="array" ref="L3896:L3896">IFERROR(INDEX(AC3896:AE3896,IF(COUNTA(AC3896:AE3896)=0,"",MAX((AC3896:AE3896&lt;&gt;"")*(COLUMN(AC3896:AE3896)-(COLUMN(AC3896)-2))))-1),"")</f>
        <v>ARCHIVED</v>
      </c>
      <c r="M3896" s="13" t="n">
        <f aca="true">K3896-TODAY()</f>
        <v>-16</v>
      </c>
      <c r="N3896" s="18" t="s">
        <v>105</v>
      </c>
      <c r="O3896" s="13" t="s">
        <v>15203</v>
      </c>
      <c r="P3896" s="19" t="n">
        <v>5191541</v>
      </c>
      <c r="Q3896" s="20" t="s">
        <v>15958</v>
      </c>
      <c r="R3896" s="13" t="s">
        <v>39</v>
      </c>
      <c r="S3896" s="14" t="n">
        <v>37414</v>
      </c>
      <c r="T3896" s="13" t="s">
        <v>40</v>
      </c>
      <c r="U3896" s="17" t="s">
        <v>15959</v>
      </c>
      <c r="V3896" s="13" t="s">
        <v>42</v>
      </c>
      <c r="W3896" s="13" t="s">
        <v>43</v>
      </c>
      <c r="X3896" s="21" t="n">
        <v>881027759192</v>
      </c>
      <c r="Y3896" s="22" t="str">
        <f aca="false">O3896</f>
        <v>Produksi Furniture</v>
      </c>
      <c r="Z3896" s="13" t="str">
        <f aca="false">IFERROR(__xludf.dummyfunction("if(BJ3896="""","""",GOOGLETRANSLATE(BJ3896,""auto"",""en""))"),"Furniture Production")</f>
        <v>Furniture Production</v>
      </c>
      <c r="AA3896" s="23" t="str">
        <f aca="false">IF(C3896="","", CHOOSE(MONTH(C3896),"January","February","March","April","May","June","July","August","September","October","November","December")&amp;" "&amp;DAY(C3896)&amp;MID("thstndrdth",MIN(9,2*RIGHT(DAY(C3896))*(MOD(DAY(C3896)-11,100)&gt;2)+1),2)&amp;","&amp;TEXT(C3896," yyyy"))</f>
        <v>July 14th,2026</v>
      </c>
      <c r="AB3896" s="15" t="str">
        <f aca="true">IF(S3896="","",DATEDIF(S3896,TODAY(),"Y")&amp;" Tahun, "&amp;DATEDIF(S3896,TODAY(),"YM")&amp;" Bulan, "&amp;DATEDIF(S3896,TODAY(),"MD")&amp;" Hari")</f>
        <v>24 Tahun, 4 Bulan, 22 Hari</v>
      </c>
      <c r="AC3896" s="14" t="n">
        <v>46217</v>
      </c>
      <c r="AD3896" s="18" t="n">
        <f aca="false">EDATE(AC3896,3)-1</f>
        <v>46308</v>
      </c>
      <c r="AE3896" s="13" t="s">
        <v>44</v>
      </c>
    </row>
    <row r="3897" customFormat="false" ht="15" hidden="false" customHeight="true" outlineLevel="0" collapsed="false">
      <c r="A3897" s="12" t="n">
        <v>22524</v>
      </c>
      <c r="B3897" s="45" t="s">
        <v>15960</v>
      </c>
      <c r="C3897" s="14" t="n">
        <v>46217</v>
      </c>
      <c r="D3897" s="13" t="s">
        <v>393</v>
      </c>
      <c r="E3897" s="15" t="s">
        <v>47</v>
      </c>
      <c r="F3897" s="24" t="s">
        <v>15961</v>
      </c>
      <c r="G3897" s="24" t="s">
        <v>57</v>
      </c>
      <c r="H3897" s="13" t="s">
        <v>35</v>
      </c>
      <c r="I3897" s="13" t="str">
        <f aca="false">IF(C3897=J3897,"NEW KONTRAK","RE-KONTRAK")</f>
        <v>NEW KONTRAK</v>
      </c>
      <c r="J3897" s="16" t="n">
        <f aca="false" t="array" ref="J3897:J3897">IFERROR(INDEX(AC3897:AE3897,IF(COUNTA(AC3897:AE3897)=0,"",MAX((AC3897:AE3897&lt;&gt;"")*(COLUMN(AC3897:AE3897)-(COLUMN(AC3897)))))-1),"")</f>
        <v>46217</v>
      </c>
      <c r="K3897" s="16" t="n">
        <f aca="false" t="array" ref="K3897:K3897">IFERROR(INDEX(AC3897:AE3897,IF(COUNTA(AC3897:AE3897)=0,"",MAX((AC3897:AE3897&lt;&gt;"")*(COLUMN(AC3897:AE3897)-(COLUMN(AC3897)-1))))-1),"")</f>
        <v>46308</v>
      </c>
      <c r="L3897" s="17" t="str">
        <f aca="false" t="array" ref="L3897:L3897">IFERROR(INDEX(AC3897:AE3897,IF(COUNTA(AC3897:AE3897)=0,"",MAX((AC3897:AE3897&lt;&gt;"")*(COLUMN(AC3897:AE3897)-(COLUMN(AC3897)-2))))-1),"")</f>
        <v>KEMBALI</v>
      </c>
      <c r="M3897" s="13" t="n">
        <f aca="true">K3897-TODAY()</f>
        <v>-16</v>
      </c>
      <c r="N3897" s="18" t="s">
        <v>105</v>
      </c>
      <c r="O3897" s="13" t="s">
        <v>15203</v>
      </c>
      <c r="P3897" s="19" t="n">
        <v>5191541</v>
      </c>
      <c r="Q3897" s="20" t="s">
        <v>15962</v>
      </c>
      <c r="R3897" s="13" t="s">
        <v>826</v>
      </c>
      <c r="S3897" s="14" t="n">
        <v>35369</v>
      </c>
      <c r="T3897" s="13" t="s">
        <v>40</v>
      </c>
      <c r="U3897" s="17" t="s">
        <v>15963</v>
      </c>
      <c r="V3897" s="13" t="s">
        <v>42</v>
      </c>
      <c r="W3897" s="13" t="s">
        <v>43</v>
      </c>
      <c r="X3897" s="21" t="n">
        <v>85194591157</v>
      </c>
      <c r="Y3897" s="22" t="str">
        <f aca="false">O3897</f>
        <v>Produksi Furniture</v>
      </c>
      <c r="Z3897" s="13" t="str">
        <f aca="false">IFERROR(__xludf.dummyfunction("if(BJ3897="""","""",GOOGLETRANSLATE(BJ3897,""auto"",""en""))"),"Furniture Production")</f>
        <v>Furniture Production</v>
      </c>
      <c r="AA3897" s="23" t="str">
        <f aca="false">IF(C3897="","", CHOOSE(MONTH(C3897),"January","February","March","April","May","June","July","August","September","October","November","December")&amp;" "&amp;DAY(C3897)&amp;MID("thstndrdth",MIN(9,2*RIGHT(DAY(C3897))*(MOD(DAY(C3897)-11,100)&gt;2)+1),2)&amp;","&amp;TEXT(C3897," yyyy"))</f>
        <v>July 14th,2026</v>
      </c>
      <c r="AB3897" s="15" t="str">
        <f aca="true">IF(S3897="","",DATEDIF(S3897,TODAY(),"Y")&amp;" Tahun, "&amp;DATEDIF(S3897,TODAY(),"YM")&amp;" Bulan, "&amp;DATEDIF(S3897,TODAY(),"MD")&amp;" Hari")</f>
        <v>29 Tahun, 11 Bulan, 28 Hari</v>
      </c>
      <c r="AC3897" s="14" t="n">
        <v>46217</v>
      </c>
      <c r="AD3897" s="18" t="n">
        <f aca="false">EDATE(AC3897,3)-1</f>
        <v>46308</v>
      </c>
      <c r="AE3897" s="13" t="s">
        <v>397</v>
      </c>
    </row>
    <row r="3898" customFormat="false" ht="15" hidden="false" customHeight="true" outlineLevel="0" collapsed="false">
      <c r="A3898" s="12" t="n">
        <v>22525</v>
      </c>
      <c r="B3898" s="45" t="s">
        <v>15964</v>
      </c>
      <c r="C3898" s="14" t="n">
        <v>46221</v>
      </c>
      <c r="D3898" s="13" t="s">
        <v>144</v>
      </c>
      <c r="E3898" s="15" t="s">
        <v>47</v>
      </c>
      <c r="F3898" s="24" t="s">
        <v>15965</v>
      </c>
      <c r="G3898" s="24" t="s">
        <v>57</v>
      </c>
      <c r="H3898" s="13" t="s">
        <v>35</v>
      </c>
      <c r="I3898" s="13" t="str">
        <f aca="false">IF(C3898=J3898,"NEW KONTRAK","RE-KONTRAK")</f>
        <v>NEW KONTRAK</v>
      </c>
      <c r="J3898" s="16" t="n">
        <f aca="false" t="array" ref="J3898:J3898">IFERROR(INDEX(AC3898:AE3898,IF(COUNTA(AC3898:AE3898)=0,"",MAX((AC3898:AE3898&lt;&gt;"")*(COLUMN(AC3898:AE3898)-(COLUMN(AC3898)))))-1),"")</f>
        <v>46221</v>
      </c>
      <c r="K3898" s="16" t="n">
        <f aca="false" t="array" ref="K3898:K3898">IFERROR(INDEX(AC3898:AE3898,IF(COUNTA(AC3898:AE3898)=0,"",MAX((AC3898:AE3898&lt;&gt;"")*(COLUMN(AC3898:AE3898)-(COLUMN(AC3898)-1))))-1),"")</f>
        <v>46312</v>
      </c>
      <c r="L3898" s="17" t="str">
        <f aca="false" t="array" ref="L3898:L3898">IFERROR(INDEX(AC3898:AE3898,IF(COUNTA(AC3898:AE3898)=0,"",MAX((AC3898:AE3898&lt;&gt;"")*(COLUMN(AC3898:AE3898)-(COLUMN(AC3898)-2))))-1),"")</f>
        <v>KEMBALI</v>
      </c>
      <c r="M3898" s="13" t="n">
        <f aca="true">K3898-TODAY()</f>
        <v>-12</v>
      </c>
      <c r="N3898" s="18" t="s">
        <v>36</v>
      </c>
      <c r="O3898" s="13" t="s">
        <v>146</v>
      </c>
      <c r="P3898" s="26" t="n">
        <v>5195401</v>
      </c>
      <c r="Q3898" s="20" t="s">
        <v>15966</v>
      </c>
      <c r="R3898" s="13" t="s">
        <v>3703</v>
      </c>
      <c r="S3898" s="14" t="n">
        <v>26131</v>
      </c>
      <c r="T3898" s="13" t="s">
        <v>40</v>
      </c>
      <c r="U3898" s="17" t="s">
        <v>15967</v>
      </c>
      <c r="V3898" s="13" t="s">
        <v>42</v>
      </c>
      <c r="W3898" s="13" t="s">
        <v>54</v>
      </c>
      <c r="X3898" s="21" t="n">
        <v>81358329892</v>
      </c>
      <c r="Y3898" s="22" t="str">
        <f aca="false">O3898</f>
        <v>Enamel</v>
      </c>
      <c r="Z3898" s="13" t="str">
        <f aca="false">IFERROR(__xludf.dummyfunction("if(BJ3898="""","""",GOOGLETRANSLATE(BJ3898,""auto"",""en""))"),"Enamel")</f>
        <v>Enamel</v>
      </c>
      <c r="AA3898" s="23" t="str">
        <f aca="false">IF(C3898="","", CHOOSE(MONTH(C3898),"January","February","March","April","May","June","July","August","September","October","November","December")&amp;" "&amp;DAY(C3898)&amp;MID("thstndrdth",MIN(9,2*RIGHT(DAY(C3898))*(MOD(DAY(C3898)-11,100)&gt;2)+1),2)&amp;","&amp;TEXT(C3898," yyyy"))</f>
        <v>July 18th,2026</v>
      </c>
      <c r="AB3898" s="15" t="str">
        <f aca="true">IF(S3898="","",DATEDIF(S3898,TODAY(),"Y")&amp;" Tahun, "&amp;DATEDIF(S3898,TODAY(),"YM")&amp;" Bulan, "&amp;DATEDIF(S3898,TODAY(),"MD")&amp;" Hari")</f>
        <v>55 Tahun, 3 Bulan, 12 Hari</v>
      </c>
      <c r="AC3898" s="14" t="n">
        <v>46221</v>
      </c>
      <c r="AD3898" s="18" t="n">
        <f aca="false">EDATE(AC3898,3)-1</f>
        <v>46312</v>
      </c>
      <c r="AE3898" s="13" t="s">
        <v>397</v>
      </c>
    </row>
    <row r="3899" customFormat="false" ht="15" hidden="false" customHeight="true" outlineLevel="0" collapsed="false">
      <c r="A3899" s="12" t="n">
        <v>22527</v>
      </c>
      <c r="B3899" s="13" t="s">
        <v>15968</v>
      </c>
      <c r="C3899" s="14" t="n">
        <v>46164</v>
      </c>
      <c r="D3899" s="13" t="s">
        <v>14185</v>
      </c>
      <c r="E3899" s="15" t="s">
        <v>102</v>
      </c>
      <c r="F3899" s="24" t="s">
        <v>15969</v>
      </c>
      <c r="G3899" s="13" t="s">
        <v>1127</v>
      </c>
      <c r="H3899" s="13" t="s">
        <v>35</v>
      </c>
      <c r="I3899" s="13" t="str">
        <f aca="false">IF(C3899=J3899,"NEW KONTRAK","RE-KONTRAK")</f>
        <v>NEW KONTRAK</v>
      </c>
      <c r="J3899" s="16" t="n">
        <f aca="false" t="array" ref="J3899:J3899">IFERROR(INDEX(AC3899:AE3899,IF(COUNTA(AC3899:AE3899)=0,"",MAX((AC3899:AE3899&lt;&gt;"")*(COLUMN(AC3899:AE3899)-(COLUMN(AC3899)))))-1),"")</f>
        <v>46164</v>
      </c>
      <c r="K3899" s="16" t="n">
        <f aca="false" t="array" ref="K3899:K3899">IFERROR(INDEX(AC3899:AE3899,IF(COUNTA(AC3899:AE3899)=0,"",MAX((AC3899:AE3899&lt;&gt;"")*(COLUMN(AC3899:AE3899)-(COLUMN(AC3899)-1))))-1),"")</f>
        <v>46255</v>
      </c>
      <c r="L3899" s="17" t="str">
        <f aca="false" t="array" ref="L3899:L3899">IFERROR(INDEX(AC3899:AE3899,IF(COUNTA(AC3899:AE3899)=0,"",MAX((AC3899:AE3899&lt;&gt;"")*(COLUMN(AC3899:AE3899)-(COLUMN(AC3899)-2))))-1),"")</f>
        <v>ARCHIVED</v>
      </c>
      <c r="M3899" s="13" t="n">
        <f aca="true">K3899-TODAY()</f>
        <v>-69</v>
      </c>
      <c r="N3899" s="13" t="s">
        <v>15970</v>
      </c>
      <c r="O3899" s="13" t="s">
        <v>15971</v>
      </c>
      <c r="P3899" s="26" t="n">
        <v>120000</v>
      </c>
      <c r="Q3899" s="47" t="s">
        <v>15972</v>
      </c>
      <c r="R3899" s="13" t="s">
        <v>763</v>
      </c>
      <c r="S3899" s="16" t="n">
        <v>35621</v>
      </c>
      <c r="T3899" s="13" t="s">
        <v>40</v>
      </c>
      <c r="U3899" s="17" t="s">
        <v>15973</v>
      </c>
      <c r="V3899" s="13" t="s">
        <v>42</v>
      </c>
      <c r="W3899" s="13" t="s">
        <v>43</v>
      </c>
      <c r="X3899" s="21" t="n">
        <v>85946566969</v>
      </c>
      <c r="Y3899" s="22" t="str">
        <f aca="false">O3899</f>
        <v>HELPER GUDANG</v>
      </c>
      <c r="Z3899" s="13" t="str">
        <f aca="false">IFERROR(__xludf.dummyfunction("if(BJ3899="""","""",GOOGLETRANSLATE(BJ3899,""auto"",""en""))"),"HELPER GUDANG")</f>
        <v>HELPER GUDANG</v>
      </c>
      <c r="AA3899" s="23" t="str">
        <f aca="false">IF(C3899="","", CHOOSE(MONTH(C3899),"January","February","March","April","May","June","July","August","September","October","November","December")&amp;" "&amp;DAY(C3899)&amp;MID("thstndrdth",MIN(9,2*RIGHT(DAY(C3899))*(MOD(DAY(C3899)-11,100)&gt;2)+1),2)&amp;","&amp;TEXT(C3899," yyyy"))</f>
        <v>May 22nd,2026</v>
      </c>
      <c r="AB3899" s="15" t="str">
        <f aca="true">IF(S3899="","",DATEDIF(S3899,TODAY(),"Y")&amp;" Tahun, "&amp;DATEDIF(S3899,TODAY(),"YM")&amp;" Bulan, "&amp;DATEDIF(S3899,TODAY(),"MD")&amp;" Hari")</f>
        <v>29 Tahun, 3 Bulan, 19 Hari</v>
      </c>
      <c r="AC3899" s="14" t="n">
        <v>46164</v>
      </c>
      <c r="AD3899" s="18" t="n">
        <f aca="false">EDATE(AC3899,3)-1</f>
        <v>46255</v>
      </c>
      <c r="AE3899" s="13" t="s">
        <v>44</v>
      </c>
    </row>
    <row r="3900" customFormat="false" ht="15" hidden="false" customHeight="true" outlineLevel="0" collapsed="false">
      <c r="A3900" s="12" t="n">
        <v>22528</v>
      </c>
      <c r="B3900" s="13" t="s">
        <v>15974</v>
      </c>
      <c r="C3900" s="14" t="n">
        <v>46164</v>
      </c>
      <c r="D3900" s="13" t="s">
        <v>14185</v>
      </c>
      <c r="E3900" s="15" t="s">
        <v>47</v>
      </c>
      <c r="F3900" s="24" t="s">
        <v>15975</v>
      </c>
      <c r="G3900" s="13" t="s">
        <v>1127</v>
      </c>
      <c r="H3900" s="13" t="s">
        <v>35</v>
      </c>
      <c r="I3900" s="13" t="str">
        <f aca="false">IF(C3900=J3900,"NEW KONTRAK","RE-KONTRAK")</f>
        <v>NEW KONTRAK</v>
      </c>
      <c r="J3900" s="16" t="n">
        <f aca="false" t="array" ref="J3900:J3900">IFERROR(INDEX(AC3900:AE3900,IF(COUNTA(AC3900:AE3900)=0,"",MAX((AC3900:AE3900&lt;&gt;"")*(COLUMN(AC3900:AE3900)-(COLUMN(AC3900)))))-1),"")</f>
        <v>46164</v>
      </c>
      <c r="K3900" s="16" t="n">
        <f aca="false" t="array" ref="K3900:K3900">IFERROR(INDEX(AC3900:AE3900,IF(COUNTA(AC3900:AE3900)=0,"",MAX((AC3900:AE3900&lt;&gt;"")*(COLUMN(AC3900:AE3900)-(COLUMN(AC3900)-1))))-1),"")</f>
        <v>46255</v>
      </c>
      <c r="L3900" s="17" t="str">
        <f aca="false" t="array" ref="L3900:L3900">IFERROR(INDEX(AC3900:AE3900,IF(COUNTA(AC3900:AE3900)=0,"",MAX((AC3900:AE3900&lt;&gt;"")*(COLUMN(AC3900:AE3900)-(COLUMN(AC3900)-2))))-1),"")</f>
        <v>KEMBALI ONLINE</v>
      </c>
      <c r="M3900" s="13" t="n">
        <f aca="true">K3900-TODAY()</f>
        <v>-69</v>
      </c>
      <c r="N3900" s="13" t="s">
        <v>15970</v>
      </c>
      <c r="O3900" s="13" t="s">
        <v>15971</v>
      </c>
      <c r="P3900" s="26" t="n">
        <v>120000</v>
      </c>
      <c r="Q3900" s="20" t="s">
        <v>15976</v>
      </c>
      <c r="R3900" s="13" t="s">
        <v>763</v>
      </c>
      <c r="S3900" s="14" t="n">
        <v>37389</v>
      </c>
      <c r="T3900" s="13" t="s">
        <v>40</v>
      </c>
      <c r="U3900" s="17" t="s">
        <v>15977</v>
      </c>
      <c r="V3900" s="13" t="s">
        <v>42</v>
      </c>
      <c r="W3900" s="13" t="s">
        <v>43</v>
      </c>
      <c r="X3900" s="21" t="n">
        <v>81297117817</v>
      </c>
      <c r="Y3900" s="22" t="str">
        <f aca="false">O3900</f>
        <v>HELPER GUDANG</v>
      </c>
      <c r="Z3900" s="13" t="str">
        <f aca="false">IFERROR(__xludf.dummyfunction("if(BJ3900="""","""",GOOGLETRANSLATE(BJ3900,""auto"",""en""))"),"HELPER GUDANG")</f>
        <v>HELPER GUDANG</v>
      </c>
      <c r="AA3900" s="23" t="str">
        <f aca="false">IF(C3900="","", CHOOSE(MONTH(C3900),"January","February","March","April","May","June","July","August","September","October","November","December")&amp;" "&amp;DAY(C3900)&amp;MID("thstndrdth",MIN(9,2*RIGHT(DAY(C3900))*(MOD(DAY(C3900)-11,100)&gt;2)+1),2)&amp;","&amp;TEXT(C3900," yyyy"))</f>
        <v>May 22nd,2026</v>
      </c>
      <c r="AB3900" s="15" t="str">
        <f aca="true">IF(S3900="","",DATEDIF(S3900,TODAY(),"Y")&amp;" Tahun, "&amp;DATEDIF(S3900,TODAY(),"YM")&amp;" Bulan, "&amp;DATEDIF(S3900,TODAY(),"MD")&amp;" Hari")</f>
        <v>24 Tahun, 5 Bulan, 16 Hari</v>
      </c>
      <c r="AC3900" s="14" t="n">
        <v>46164</v>
      </c>
      <c r="AD3900" s="18" t="n">
        <f aca="false">EDATE(AC3900,3)-1</f>
        <v>46255</v>
      </c>
      <c r="AE3900" s="13" t="s">
        <v>2387</v>
      </c>
    </row>
    <row r="3901" customFormat="false" ht="15" hidden="false" customHeight="true" outlineLevel="0" collapsed="false">
      <c r="A3901" s="12" t="n">
        <v>22529</v>
      </c>
      <c r="B3901" s="13" t="s">
        <v>15978</v>
      </c>
      <c r="C3901" s="14" t="n">
        <v>46164</v>
      </c>
      <c r="D3901" s="13" t="s">
        <v>14185</v>
      </c>
      <c r="E3901" s="15" t="s">
        <v>102</v>
      </c>
      <c r="F3901" s="24" t="s">
        <v>15979</v>
      </c>
      <c r="G3901" s="13" t="s">
        <v>1127</v>
      </c>
      <c r="H3901" s="13" t="s">
        <v>35</v>
      </c>
      <c r="I3901" s="13" t="str">
        <f aca="false">IF(C3901=J3901,"NEW KONTRAK","RE-KONTRAK")</f>
        <v>NEW KONTRAK</v>
      </c>
      <c r="J3901" s="16" t="n">
        <f aca="false" t="array" ref="J3901:J3901">IFERROR(INDEX(AC3901:AE3901,IF(COUNTA(AC3901:AE3901)=0,"",MAX((AC3901:AE3901&lt;&gt;"")*(COLUMN(AC3901:AE3901)-(COLUMN(AC3901)))))-1),"")</f>
        <v>46164</v>
      </c>
      <c r="K3901" s="16" t="n">
        <f aca="false" t="array" ref="K3901:K3901">IFERROR(INDEX(AC3901:AE3901,IF(COUNTA(AC3901:AE3901)=0,"",MAX((AC3901:AE3901&lt;&gt;"")*(COLUMN(AC3901:AE3901)-(COLUMN(AC3901)-1))))-1),"")</f>
        <v>46255</v>
      </c>
      <c r="L3901" s="17" t="str">
        <f aca="false" t="array" ref="L3901:L3901">IFERROR(INDEX(AC3901:AE3901,IF(COUNTA(AC3901:AE3901)=0,"",MAX((AC3901:AE3901&lt;&gt;"")*(COLUMN(AC3901:AE3901)-(COLUMN(AC3901)-2))))-1),"")</f>
        <v>KEMBALI ONLINE</v>
      </c>
      <c r="M3901" s="13" t="n">
        <f aca="true">K3901-TODAY()</f>
        <v>-69</v>
      </c>
      <c r="N3901" s="13" t="s">
        <v>15970</v>
      </c>
      <c r="O3901" s="13" t="s">
        <v>15971</v>
      </c>
      <c r="P3901" s="26" t="n">
        <v>120000</v>
      </c>
      <c r="Q3901" s="20" t="s">
        <v>15980</v>
      </c>
      <c r="R3901" s="13" t="s">
        <v>763</v>
      </c>
      <c r="S3901" s="14" t="n">
        <v>37388</v>
      </c>
      <c r="T3901" s="13" t="s">
        <v>40</v>
      </c>
      <c r="U3901" s="17" t="s">
        <v>15981</v>
      </c>
      <c r="V3901" s="13" t="s">
        <v>42</v>
      </c>
      <c r="W3901" s="13" t="s">
        <v>43</v>
      </c>
      <c r="X3901" s="21" t="n">
        <v>82114331538</v>
      </c>
      <c r="Y3901" s="22" t="str">
        <f aca="false">O3901</f>
        <v>HELPER GUDANG</v>
      </c>
      <c r="Z3901" s="13" t="str">
        <f aca="false">IFERROR(__xludf.dummyfunction("if(BJ3901="""","""",GOOGLETRANSLATE(BJ3901,""auto"",""en""))"),"HELPER GUDANG")</f>
        <v>HELPER GUDANG</v>
      </c>
      <c r="AA3901" s="23" t="str">
        <f aca="false">IF(C3901="","", CHOOSE(MONTH(C3901),"January","February","March","April","May","June","July","August","September","October","November","December")&amp;" "&amp;DAY(C3901)&amp;MID("thstndrdth",MIN(9,2*RIGHT(DAY(C3901))*(MOD(DAY(C3901)-11,100)&gt;2)+1),2)&amp;","&amp;TEXT(C3901," yyyy"))</f>
        <v>May 22nd,2026</v>
      </c>
      <c r="AB3901" s="15" t="str">
        <f aca="true">IF(S3901="","",DATEDIF(S3901,TODAY(),"Y")&amp;" Tahun, "&amp;DATEDIF(S3901,TODAY(),"YM")&amp;" Bulan, "&amp;DATEDIF(S3901,TODAY(),"MD")&amp;" Hari")</f>
        <v>24 Tahun, 5 Bulan, 17 Hari</v>
      </c>
      <c r="AC3901" s="14" t="n">
        <v>46164</v>
      </c>
      <c r="AD3901" s="18" t="n">
        <f aca="false">EDATE(AC3901,3)-1</f>
        <v>46255</v>
      </c>
      <c r="AE3901" s="13" t="s">
        <v>2387</v>
      </c>
    </row>
    <row r="3902" customFormat="false" ht="15" hidden="false" customHeight="true" outlineLevel="0" collapsed="false">
      <c r="A3902" s="12" t="n">
        <v>22530</v>
      </c>
      <c r="B3902" s="13" t="s">
        <v>15982</v>
      </c>
      <c r="C3902" s="14" t="n">
        <v>46164</v>
      </c>
      <c r="D3902" s="13" t="s">
        <v>14185</v>
      </c>
      <c r="E3902" s="15" t="s">
        <v>47</v>
      </c>
      <c r="F3902" s="24" t="s">
        <v>15983</v>
      </c>
      <c r="G3902" s="13" t="s">
        <v>1127</v>
      </c>
      <c r="H3902" s="13" t="s">
        <v>35</v>
      </c>
      <c r="I3902" s="13" t="str">
        <f aca="false">IF(C3902=J3902,"NEW KONTRAK","RE-KONTRAK")</f>
        <v>NEW KONTRAK</v>
      </c>
      <c r="J3902" s="16" t="n">
        <f aca="false" t="array" ref="J3902:J3902">IFERROR(INDEX(AC3902:AE3902,IF(COUNTA(AC3902:AE3902)=0,"",MAX((AC3902:AE3902&lt;&gt;"")*(COLUMN(AC3902:AE3902)-(COLUMN(AC3902)))))-1),"")</f>
        <v>46164</v>
      </c>
      <c r="K3902" s="16" t="n">
        <f aca="false" t="array" ref="K3902:K3902">IFERROR(INDEX(AC3902:AE3902,IF(COUNTA(AC3902:AE3902)=0,"",MAX((AC3902:AE3902&lt;&gt;"")*(COLUMN(AC3902:AE3902)-(COLUMN(AC3902)-1))))-1),"")</f>
        <v>46255</v>
      </c>
      <c r="L3902" s="17" t="str">
        <f aca="false" t="array" ref="L3902:L3902">IFERROR(INDEX(AC3902:AE3902,IF(COUNTA(AC3902:AE3902)=0,"",MAX((AC3902:AE3902&lt;&gt;"")*(COLUMN(AC3902:AE3902)-(COLUMN(AC3902)-2))))-1),"")</f>
        <v>KEMBALI ONLINE</v>
      </c>
      <c r="M3902" s="13" t="n">
        <f aca="true">K3902-TODAY()</f>
        <v>-69</v>
      </c>
      <c r="N3902" s="13" t="s">
        <v>15970</v>
      </c>
      <c r="O3902" s="13" t="s">
        <v>15971</v>
      </c>
      <c r="P3902" s="26" t="n">
        <v>120000</v>
      </c>
      <c r="Q3902" s="20" t="s">
        <v>15984</v>
      </c>
      <c r="R3902" s="13" t="s">
        <v>763</v>
      </c>
      <c r="S3902" s="14" t="n">
        <v>37404</v>
      </c>
      <c r="T3902" s="13" t="s">
        <v>40</v>
      </c>
      <c r="U3902" s="17" t="s">
        <v>15985</v>
      </c>
      <c r="V3902" s="13" t="s">
        <v>42</v>
      </c>
      <c r="W3902" s="13" t="s">
        <v>43</v>
      </c>
      <c r="X3902" s="21" t="n">
        <v>8997499288</v>
      </c>
      <c r="Y3902" s="22" t="str">
        <f aca="false">O3902</f>
        <v>HELPER GUDANG</v>
      </c>
      <c r="Z3902" s="13" t="str">
        <f aca="false">IFERROR(__xludf.dummyfunction("if(BJ3902="""","""",GOOGLETRANSLATE(BJ3902,""auto"",""en""))"),"HELPER GUDANG")</f>
        <v>HELPER GUDANG</v>
      </c>
      <c r="AA3902" s="23" t="str">
        <f aca="false">IF(C3902="","", CHOOSE(MONTH(C3902),"January","February","March","April","May","June","July","August","September","October","November","December")&amp;" "&amp;DAY(C3902)&amp;MID("thstndrdth",MIN(9,2*RIGHT(DAY(C3902))*(MOD(DAY(C3902)-11,100)&gt;2)+1),2)&amp;","&amp;TEXT(C3902," yyyy"))</f>
        <v>May 22nd,2026</v>
      </c>
      <c r="AB3902" s="15" t="str">
        <f aca="true">IF(S3902="","",DATEDIF(S3902,TODAY(),"Y")&amp;" Tahun, "&amp;DATEDIF(S3902,TODAY(),"YM")&amp;" Bulan, "&amp;DATEDIF(S3902,TODAY(),"MD")&amp;" Hari")</f>
        <v>24 Tahun, 5 Bulan, 1 Hari</v>
      </c>
      <c r="AC3902" s="14" t="n">
        <v>46164</v>
      </c>
      <c r="AD3902" s="18" t="n">
        <f aca="false">EDATE(AC3902,3)-1</f>
        <v>46255</v>
      </c>
      <c r="AE3902" s="13" t="s">
        <v>2387</v>
      </c>
    </row>
    <row r="3903" customFormat="false" ht="15" hidden="false" customHeight="true" outlineLevel="0" collapsed="false">
      <c r="A3903" s="12" t="n">
        <v>22531</v>
      </c>
      <c r="B3903" s="13" t="s">
        <v>15986</v>
      </c>
      <c r="C3903" s="14" t="n">
        <v>46164</v>
      </c>
      <c r="D3903" s="13" t="s">
        <v>14185</v>
      </c>
      <c r="E3903" s="15" t="s">
        <v>102</v>
      </c>
      <c r="F3903" s="24" t="s">
        <v>15987</v>
      </c>
      <c r="G3903" s="13" t="s">
        <v>1127</v>
      </c>
      <c r="H3903" s="13" t="s">
        <v>35</v>
      </c>
      <c r="I3903" s="13" t="str">
        <f aca="false">IF(C3903=J3903,"NEW KONTRAK","RE-KONTRAK")</f>
        <v>NEW KONTRAK</v>
      </c>
      <c r="J3903" s="16" t="n">
        <f aca="false" t="array" ref="J3903:J3903">IFERROR(INDEX(AC3903:AE3903,IF(COUNTA(AC3903:AE3903)=0,"",MAX((AC3903:AE3903&lt;&gt;"")*(COLUMN(AC3903:AE3903)-(COLUMN(AC3903)))))-1),"")</f>
        <v>46164</v>
      </c>
      <c r="K3903" s="16" t="n">
        <f aca="false" t="array" ref="K3903:K3903">IFERROR(INDEX(AC3903:AE3903,IF(COUNTA(AC3903:AE3903)=0,"",MAX((AC3903:AE3903&lt;&gt;"")*(COLUMN(AC3903:AE3903)-(COLUMN(AC3903)-1))))-1),"")</f>
        <v>46255</v>
      </c>
      <c r="L3903" s="17" t="str">
        <f aca="false" t="array" ref="L3903:L3903">IFERROR(INDEX(AC3903:AE3903,IF(COUNTA(AC3903:AE3903)=0,"",MAX((AC3903:AE3903&lt;&gt;"")*(COLUMN(AC3903:AE3903)-(COLUMN(AC3903)-2))))-1),"")</f>
        <v>KEMBALI ONLINE</v>
      </c>
      <c r="M3903" s="13" t="n">
        <f aca="true">K3903-TODAY()</f>
        <v>-69</v>
      </c>
      <c r="N3903" s="13" t="s">
        <v>15970</v>
      </c>
      <c r="O3903" s="13" t="s">
        <v>15971</v>
      </c>
      <c r="P3903" s="26" t="n">
        <v>120000</v>
      </c>
      <c r="Q3903" s="20" t="s">
        <v>15988</v>
      </c>
      <c r="R3903" s="13" t="s">
        <v>763</v>
      </c>
      <c r="S3903" s="14" t="n">
        <v>39288</v>
      </c>
      <c r="T3903" s="13" t="s">
        <v>40</v>
      </c>
      <c r="U3903" s="17" t="s">
        <v>15989</v>
      </c>
      <c r="V3903" s="13" t="s">
        <v>99</v>
      </c>
      <c r="W3903" s="13" t="s">
        <v>43</v>
      </c>
      <c r="X3903" s="21" t="n">
        <v>89518615277</v>
      </c>
      <c r="Y3903" s="22" t="str">
        <f aca="false">O3903</f>
        <v>HELPER GUDANG</v>
      </c>
      <c r="Z3903" s="13" t="str">
        <f aca="false">IFERROR(__xludf.dummyfunction("if(BJ3903="""","""",GOOGLETRANSLATE(BJ3903,""auto"",""en""))"),"HELPER GUDANG")</f>
        <v>HELPER GUDANG</v>
      </c>
      <c r="AA3903" s="23" t="str">
        <f aca="false">IF(C3903="","", CHOOSE(MONTH(C3903),"January","February","March","April","May","June","July","August","September","October","November","December")&amp;" "&amp;DAY(C3903)&amp;MID("thstndrdth",MIN(9,2*RIGHT(DAY(C3903))*(MOD(DAY(C3903)-11,100)&gt;2)+1),2)&amp;","&amp;TEXT(C3903," yyyy"))</f>
        <v>May 22nd,2026</v>
      </c>
      <c r="AB3903" s="15" t="str">
        <f aca="true">IF(S3903="","",DATEDIF(S3903,TODAY(),"Y")&amp;" Tahun, "&amp;DATEDIF(S3903,TODAY(),"YM")&amp;" Bulan, "&amp;DATEDIF(S3903,TODAY(),"MD")&amp;" Hari")</f>
        <v>19 Tahun, 3 Bulan, 4 Hari</v>
      </c>
      <c r="AC3903" s="14" t="n">
        <v>46164</v>
      </c>
      <c r="AD3903" s="18" t="n">
        <f aca="false">EDATE(AC3903,3)-1</f>
        <v>46255</v>
      </c>
      <c r="AE3903" s="13" t="s">
        <v>2387</v>
      </c>
    </row>
    <row r="3904" customFormat="false" ht="15" hidden="false" customHeight="true" outlineLevel="0" collapsed="false">
      <c r="A3904" s="12" t="n">
        <v>22532</v>
      </c>
      <c r="B3904" s="13" t="s">
        <v>15990</v>
      </c>
      <c r="C3904" s="14" t="n">
        <v>46219</v>
      </c>
      <c r="D3904" s="13" t="s">
        <v>5726</v>
      </c>
      <c r="E3904" s="15" t="s">
        <v>47</v>
      </c>
      <c r="F3904" s="15" t="str">
        <f aca="false">IFERROR(__xludf.dummyfunction("XLOOKUP(AJ3904,IMPORTRANGE(""1XaInW9DU9nz21V0tYIfzFQ0He9kVQ_JF2mCXgZ3hqFA"",""REKAP ALL 2026 - Andika!G:G""),IMPORTRANGE(""1XaInW9DU9nz21V0tYIfzFQ0He9kVQ_JF2mCXgZ3hqFA"",""REKAP ALL 2026 - Andika!F:F""),"""",0)"),"24120209515")</f>
        <v>24120209515</v>
      </c>
      <c r="G3904" s="15" t="s">
        <v>7355</v>
      </c>
      <c r="H3904" s="13" t="s">
        <v>35</v>
      </c>
      <c r="I3904" s="13" t="str">
        <f aca="false">IF(C3904=J3904,"NEW KONTRAK","RE-KONTRAK")</f>
        <v>NEW KONTRAK</v>
      </c>
      <c r="J3904" s="16" t="n">
        <f aca="false" t="array" ref="J3904:J3904">IFERROR(INDEX(AC3904:AE3904,IF(COUNTA(AC3904:AE3904)=0,"",MAX((AC3904:AE3904&lt;&gt;"")*(COLUMN(AC3904:AE3904)-(COLUMN(AC3904)))))-1),"")</f>
        <v>46219</v>
      </c>
      <c r="K3904" s="16" t="n">
        <f aca="false" t="array" ref="K3904:K3904">IFERROR(INDEX(AC3904:AE3904,IF(COUNTA(AC3904:AE3904)=0,"",MAX((AC3904:AE3904&lt;&gt;"")*(COLUMN(AC3904:AE3904)-(COLUMN(AC3904)-1))))-1),"")</f>
        <v>46310</v>
      </c>
      <c r="L3904" s="17" t="str">
        <f aca="false" t="array" ref="L3904:L3904">IFERROR(INDEX(AC3904:AE3904,IF(COUNTA(AC3904:AE3904)=0,"",MAX((AC3904:AE3904&lt;&gt;"")*(COLUMN(AC3904:AE3904)-(COLUMN(AC3904)-2))))-1),"")</f>
        <v>KEMBALI</v>
      </c>
      <c r="M3904" s="13" t="n">
        <f aca="true">K3904-TODAY()</f>
        <v>-14</v>
      </c>
      <c r="N3904" s="18" t="s">
        <v>615</v>
      </c>
      <c r="O3904" s="13" t="s">
        <v>1531</v>
      </c>
      <c r="P3904" s="19" t="n">
        <v>5176101</v>
      </c>
      <c r="Q3904" s="77" t="s">
        <v>15991</v>
      </c>
      <c r="R3904" s="76" t="s">
        <v>39</v>
      </c>
      <c r="S3904" s="78" t="n">
        <v>38231</v>
      </c>
      <c r="T3904" s="76" t="s">
        <v>40</v>
      </c>
      <c r="U3904" s="17" t="s">
        <v>15992</v>
      </c>
      <c r="V3904" s="76" t="s">
        <v>42</v>
      </c>
      <c r="W3904" s="13" t="s">
        <v>43</v>
      </c>
      <c r="X3904" s="21" t="n">
        <v>895411956860</v>
      </c>
      <c r="Y3904" s="22" t="str">
        <f aca="false">O3904</f>
        <v>Packer</v>
      </c>
      <c r="Z3904" s="13" t="str">
        <f aca="false">IFERROR(__xludf.dummyfunction("if(BJ3904="""","""",GOOGLETRANSLATE(BJ3904,""auto"",""en""))"),"Packer")</f>
        <v>Packer</v>
      </c>
      <c r="AA3904" s="23" t="str">
        <f aca="false">IF(C3904="","", CHOOSE(MONTH(C3904),"January","February","March","April","May","June","July","August","September","October","November","December")&amp;" "&amp;DAY(C3904)&amp;MID("thstndrdth",MIN(9,2*RIGHT(DAY(C3904))*(MOD(DAY(C3904)-11,100)&gt;2)+1),2)&amp;","&amp;TEXT(C3904," yyyy"))</f>
        <v>July 16th,2026</v>
      </c>
      <c r="AB3904" s="15" t="str">
        <f aca="true">IF(S3904="","",DATEDIF(S3904,TODAY(),"Y")&amp;" Tahun, "&amp;DATEDIF(S3904,TODAY(),"YM")&amp;" Bulan, "&amp;DATEDIF(S3904,TODAY(),"MD")&amp;" Hari")</f>
        <v>22 Tahun, 1 Bulan, 28 Hari</v>
      </c>
      <c r="AC3904" s="14" t="n">
        <v>46219</v>
      </c>
      <c r="AD3904" s="18" t="n">
        <f aca="false">EDATE(AC3904,3)-1</f>
        <v>46310</v>
      </c>
      <c r="AE3904" s="13" t="s">
        <v>397</v>
      </c>
    </row>
    <row r="3905" customFormat="false" ht="15" hidden="false" customHeight="true" outlineLevel="0" collapsed="false">
      <c r="A3905" s="108" t="n">
        <v>22547</v>
      </c>
      <c r="B3905" s="45" t="s">
        <v>15993</v>
      </c>
      <c r="C3905" s="14" t="n">
        <v>46219</v>
      </c>
      <c r="D3905" s="13" t="s">
        <v>1338</v>
      </c>
      <c r="E3905" s="15" t="s">
        <v>47</v>
      </c>
      <c r="F3905" s="24" t="s">
        <v>15994</v>
      </c>
      <c r="G3905" s="13" t="s">
        <v>1127</v>
      </c>
      <c r="H3905" s="13" t="s">
        <v>35</v>
      </c>
      <c r="I3905" s="13" t="str">
        <f aca="false">IF(C3905=J3905,"NEW KONTRAK","RE-KONTRAK")</f>
        <v>NEW KONTRAK</v>
      </c>
      <c r="J3905" s="16" t="n">
        <f aca="false" t="array" ref="J3905:J3905">IFERROR(INDEX(AC3905:AE3905,IF(COUNTA(AC3905:AE3905)=0,"",MAX((AC3905:AE3905&lt;&gt;"")*(COLUMN(AC3905:AE3905)-(COLUMN(AC3905)))))-1),"")</f>
        <v>46219</v>
      </c>
      <c r="K3905" s="16" t="n">
        <f aca="false" t="array" ref="K3905:K3905">IFERROR(INDEX(AC3905:AE3905,IF(COUNTA(AC3905:AE3905)=0,"",MAX((AC3905:AE3905&lt;&gt;"")*(COLUMN(AC3905:AE3905)-(COLUMN(AC3905)-1))))-1),"")</f>
        <v>46310</v>
      </c>
      <c r="L3905" s="17" t="str">
        <f aca="false" t="array" ref="L3905:L3905">IFERROR(INDEX(AC3905:AE3905,IF(COUNTA(AC3905:AE3905)=0,"",MAX((AC3905:AE3905&lt;&gt;"")*(COLUMN(AC3905:AE3905)-(COLUMN(AC3905)-2))))-1),"")</f>
        <v>KEMBALI</v>
      </c>
      <c r="M3905" s="13" t="n">
        <f aca="true">K3905-TODAY()</f>
        <v>-14</v>
      </c>
      <c r="N3905" s="18" t="s">
        <v>615</v>
      </c>
      <c r="O3905" s="13" t="s">
        <v>2335</v>
      </c>
      <c r="P3905" s="26" t="n">
        <v>207044</v>
      </c>
      <c r="Q3905" s="20" t="s">
        <v>15995</v>
      </c>
      <c r="R3905" s="13" t="s">
        <v>232</v>
      </c>
      <c r="S3905" s="14" t="n">
        <v>36595</v>
      </c>
      <c r="T3905" s="28" t="s">
        <v>40</v>
      </c>
      <c r="U3905" s="17" t="s">
        <v>15996</v>
      </c>
      <c r="V3905" s="13" t="s">
        <v>42</v>
      </c>
      <c r="W3905" s="13" t="s">
        <v>54</v>
      </c>
      <c r="X3905" s="21" t="n">
        <v>85645214050</v>
      </c>
      <c r="Y3905" s="22" t="str">
        <f aca="false">O3905</f>
        <v>Project Management</v>
      </c>
      <c r="Z3905" s="13" t="str">
        <f aca="false">IFERROR(__xludf.dummyfunction("if(BJ3905="""","""",GOOGLETRANSLATE(BJ3905,""auto"",""en""))"),"Project Management")</f>
        <v>Project Management</v>
      </c>
      <c r="AA3905" s="23" t="str">
        <f aca="false">IF(C3905="","", CHOOSE(MONTH(C3905),"January","February","March","April","May","June","July","August","September","October","November","December")&amp;" "&amp;DAY(C3905)&amp;MID("thstndrdth",MIN(9,2*RIGHT(DAY(C3905))*(MOD(DAY(C3905)-11,100)&gt;2)+1),2)&amp;","&amp;TEXT(C3905," yyyy"))</f>
        <v>July 16th,2026</v>
      </c>
      <c r="AB3905" s="15" t="str">
        <f aca="true">IF(S3905="","",DATEDIF(S3905,TODAY(),"Y")&amp;" Tahun, "&amp;DATEDIF(S3905,TODAY(),"YM")&amp;" Bulan, "&amp;DATEDIF(S3905,TODAY(),"MD")&amp;" Hari")</f>
        <v>26 Tahun, 7 Bulan, 19 Hari</v>
      </c>
      <c r="AC3905" s="14" t="n">
        <v>46219</v>
      </c>
      <c r="AD3905" s="18" t="n">
        <f aca="false">EDATE(AC3905,3)-1</f>
        <v>46310</v>
      </c>
      <c r="AE3905" s="13" t="s">
        <v>397</v>
      </c>
    </row>
    <row r="3906" customFormat="false" ht="15" hidden="false" customHeight="true" outlineLevel="0" collapsed="false">
      <c r="A3906" s="12" t="n">
        <v>22533</v>
      </c>
      <c r="B3906" s="45" t="s">
        <v>15997</v>
      </c>
      <c r="C3906" s="14" t="n">
        <v>46219</v>
      </c>
      <c r="D3906" s="13" t="s">
        <v>7948</v>
      </c>
      <c r="E3906" s="15" t="s">
        <v>7949</v>
      </c>
      <c r="F3906" s="24" t="s">
        <v>15998</v>
      </c>
      <c r="G3906" s="13" t="s">
        <v>1127</v>
      </c>
      <c r="H3906" s="13" t="s">
        <v>35</v>
      </c>
      <c r="I3906" s="13" t="str">
        <f aca="false">IF(C3906=J3906,"NEW KONTRAK","RE-KONTRAK")</f>
        <v>NEW KONTRAK</v>
      </c>
      <c r="J3906" s="16" t="n">
        <f aca="false" t="array" ref="J3906:J3906">IFERROR(INDEX(AC3906:AE3906,IF(COUNTA(AC3906:AE3906)=0,"",MAX((AC3906:AE3906&lt;&gt;"")*(COLUMN(AC3906:AE3906)-(COLUMN(AC3906)))))-1),"")</f>
        <v>46219</v>
      </c>
      <c r="K3906" s="16" t="n">
        <f aca="false" t="array" ref="K3906:K3906">IFERROR(INDEX(AC3906:AE3906,IF(COUNTA(AC3906:AE3906)=0,"",MAX((AC3906:AE3906&lt;&gt;"")*(COLUMN(AC3906:AE3906)-(COLUMN(AC3906)-1))))-1),"")</f>
        <v>46310</v>
      </c>
      <c r="L3906" s="17" t="str">
        <f aca="false" t="array" ref="L3906:L3906">IFERROR(INDEX(AC3906:AE3906,IF(COUNTA(AC3906:AE3906)=0,"",MAX((AC3906:AE3906&lt;&gt;"")*(COLUMN(AC3906:AE3906)-(COLUMN(AC3906)-2))))-1),"")</f>
        <v>ARCHIVED</v>
      </c>
      <c r="M3906" s="13" t="n">
        <f aca="true">K3906-TODAY()</f>
        <v>-14</v>
      </c>
      <c r="N3906" s="18" t="s">
        <v>4051</v>
      </c>
      <c r="O3906" s="13" t="s">
        <v>7951</v>
      </c>
      <c r="P3906" s="19" t="n">
        <v>210000</v>
      </c>
      <c r="Q3906" s="20" t="s">
        <v>15999</v>
      </c>
      <c r="R3906" s="13" t="s">
        <v>148</v>
      </c>
      <c r="S3906" s="14" t="n">
        <v>36564</v>
      </c>
      <c r="T3906" s="28" t="s">
        <v>40</v>
      </c>
      <c r="U3906" s="17" t="s">
        <v>16000</v>
      </c>
      <c r="V3906" s="13" t="s">
        <v>42</v>
      </c>
      <c r="W3906" s="13" t="s">
        <v>54</v>
      </c>
      <c r="X3906" s="21" t="n">
        <v>82132517341</v>
      </c>
      <c r="Y3906" s="22" t="str">
        <f aca="false">O3906</f>
        <v>Mekanik Kiln</v>
      </c>
      <c r="Z3906" s="13" t="str">
        <f aca="false">IFERROR(__xludf.dummyfunction("if(BJ3906="""","""",GOOGLETRANSLATE(BJ3906,""auto"",""en""))"),"Kiln Mechanics")</f>
        <v>Kiln Mechanics</v>
      </c>
      <c r="AA3906" s="23" t="str">
        <f aca="false">IF(C3906="","", CHOOSE(MONTH(C3906),"January","February","March","April","May","June","July","August","September","October","November","December")&amp;" "&amp;DAY(C3906)&amp;MID("thstndrdth",MIN(9,2*RIGHT(DAY(C3906))*(MOD(DAY(C3906)-11,100)&gt;2)+1),2)&amp;","&amp;TEXT(C3906," yyyy"))</f>
        <v>July 16th,2026</v>
      </c>
      <c r="AB3906" s="15" t="str">
        <f aca="true">IF(S3906="","",DATEDIF(S3906,TODAY(),"Y")&amp;" Tahun, "&amp;DATEDIF(S3906,TODAY(),"YM")&amp;" Bulan, "&amp;DATEDIF(S3906,TODAY(),"MD")&amp;" Hari")</f>
        <v>26 Tahun, 8 Bulan, 21 Hari</v>
      </c>
      <c r="AC3906" s="14" t="n">
        <v>46219</v>
      </c>
      <c r="AD3906" s="18" t="n">
        <f aca="false">EDATE(AC3906,3)-1</f>
        <v>46310</v>
      </c>
      <c r="AE3906" s="18" t="s">
        <v>44</v>
      </c>
    </row>
    <row r="3907" customFormat="false" ht="15" hidden="false" customHeight="true" outlineLevel="0" collapsed="false">
      <c r="A3907" s="12" t="n">
        <v>22534</v>
      </c>
      <c r="B3907" s="13" t="s">
        <v>16001</v>
      </c>
      <c r="C3907" s="14" t="n">
        <v>46219</v>
      </c>
      <c r="D3907" s="13" t="s">
        <v>5726</v>
      </c>
      <c r="E3907" s="15" t="s">
        <v>47</v>
      </c>
      <c r="F3907" s="15" t="str">
        <f aca="false">IFERROR(__xludf.dummyfunction("XLOOKUP(AJ3907,IMPORTRANGE(""1XaInW9DU9nz21V0tYIfzFQ0He9kVQ_JF2mCXgZ3hqFA"",""REKAP ALL 2026 - Andika!G:G""),IMPORTRANGE(""1XaInW9DU9nz21V0tYIfzFQ0He9kVQ_JF2mCXgZ3hqFA"",""REKAP ALL 2026 - Andika!F:F""),"""",0)"),"24120209572")</f>
        <v>24120209572</v>
      </c>
      <c r="G3907" s="15" t="s">
        <v>7355</v>
      </c>
      <c r="H3907" s="13" t="s">
        <v>35</v>
      </c>
      <c r="I3907" s="13" t="str">
        <f aca="false">IF(C3907=J3907,"NEW KONTRAK","RE-KONTRAK")</f>
        <v>NEW KONTRAK</v>
      </c>
      <c r="J3907" s="16" t="n">
        <f aca="false" t="array" ref="J3907:J3907">IFERROR(INDEX(AC3907:AE3907,IF(COUNTA(AC3907:AE3907)=0,"",MAX((AC3907:AE3907&lt;&gt;"")*(COLUMN(AC3907:AE3907)-(COLUMN(AC3907)))))-1),"")</f>
        <v>46219</v>
      </c>
      <c r="K3907" s="16" t="n">
        <f aca="false" t="array" ref="K3907:K3907">IFERROR(INDEX(AC3907:AE3907,IF(COUNTA(AC3907:AE3907)=0,"",MAX((AC3907:AE3907&lt;&gt;"")*(COLUMN(AC3907:AE3907)-(COLUMN(AC3907)-1))))-1),"")</f>
        <v>46310</v>
      </c>
      <c r="L3907" s="17" t="str">
        <f aca="false" t="array" ref="L3907:L3907">IFERROR(INDEX(AC3907:AE3907,IF(COUNTA(AC3907:AE3907)=0,"",MAX((AC3907:AE3907&lt;&gt;"")*(COLUMN(AC3907:AE3907)-(COLUMN(AC3907)-2))))-1),"")</f>
        <v>KEMBALI</v>
      </c>
      <c r="M3907" s="13" t="n">
        <f aca="true">K3907-TODAY()</f>
        <v>-14</v>
      </c>
      <c r="N3907" s="18" t="s">
        <v>615</v>
      </c>
      <c r="O3907" s="13" t="s">
        <v>1531</v>
      </c>
      <c r="P3907" s="19" t="n">
        <v>5176101</v>
      </c>
      <c r="Q3907" s="77" t="s">
        <v>16002</v>
      </c>
      <c r="R3907" s="76" t="s">
        <v>232</v>
      </c>
      <c r="S3907" s="78" t="n">
        <v>38763</v>
      </c>
      <c r="T3907" s="76" t="s">
        <v>40</v>
      </c>
      <c r="U3907" s="17" t="s">
        <v>3686</v>
      </c>
      <c r="V3907" s="76" t="s">
        <v>42</v>
      </c>
      <c r="W3907" s="13" t="s">
        <v>43</v>
      </c>
      <c r="X3907" s="21" t="n">
        <v>89682051273</v>
      </c>
      <c r="Y3907" s="22" t="str">
        <f aca="false">O3907</f>
        <v>Packer</v>
      </c>
      <c r="Z3907" s="13" t="str">
        <f aca="false">IFERROR(__xludf.dummyfunction("if(BJ3907="""","""",GOOGLETRANSLATE(BJ3907,""auto"",""en""))"),"Packer")</f>
        <v>Packer</v>
      </c>
      <c r="AA3907" s="23" t="str">
        <f aca="false">IF(C3907="","", CHOOSE(MONTH(C3907),"January","February","March","April","May","June","July","August","September","October","November","December")&amp;" "&amp;DAY(C3907)&amp;MID("thstndrdth",MIN(9,2*RIGHT(DAY(C3907))*(MOD(DAY(C3907)-11,100)&gt;2)+1),2)&amp;","&amp;TEXT(C3907," yyyy"))</f>
        <v>July 16th,2026</v>
      </c>
      <c r="AB3907" s="15" t="str">
        <f aca="true">IF(S3907="","",DATEDIF(S3907,TODAY(),"Y")&amp;" Tahun, "&amp;DATEDIF(S3907,TODAY(),"YM")&amp;" Bulan, "&amp;DATEDIF(S3907,TODAY(),"MD")&amp;" Hari")</f>
        <v>20 Tahun, 8 Bulan, 14 Hari</v>
      </c>
      <c r="AC3907" s="14" t="n">
        <v>46219</v>
      </c>
      <c r="AD3907" s="18" t="n">
        <f aca="false">EDATE(AC3907,3)-1</f>
        <v>46310</v>
      </c>
      <c r="AE3907" s="13" t="s">
        <v>397</v>
      </c>
    </row>
    <row r="3908" customFormat="false" ht="15" hidden="false" customHeight="true" outlineLevel="0" collapsed="false">
      <c r="A3908" s="12" t="n">
        <v>22535</v>
      </c>
      <c r="B3908" s="13" t="s">
        <v>16003</v>
      </c>
      <c r="C3908" s="14" t="n">
        <v>46219</v>
      </c>
      <c r="D3908" s="13" t="s">
        <v>7948</v>
      </c>
      <c r="E3908" s="15" t="s">
        <v>12803</v>
      </c>
      <c r="F3908" s="24" t="s">
        <v>16004</v>
      </c>
      <c r="G3908" s="28" t="s">
        <v>57</v>
      </c>
      <c r="H3908" s="13" t="s">
        <v>3024</v>
      </c>
      <c r="I3908" s="13" t="str">
        <f aca="false">IF(C3908=J3908,"NEW KONTRAK","RE-KONTRAK")</f>
        <v>NEW KONTRAK</v>
      </c>
      <c r="J3908" s="16" t="n">
        <f aca="false" t="array" ref="J3908:J3908">IFERROR(INDEX(AC3908:AE3908,IF(COUNTA(AC3908:AE3908)=0,"",MAX((AC3908:AE3908&lt;&gt;"")*(COLUMN(AC3908:AE3908)-(COLUMN(AC3908)))))-1),"")</f>
        <v>46219</v>
      </c>
      <c r="K3908" s="16" t="n">
        <f aca="false" t="array" ref="K3908:K3908">IFERROR(INDEX(AC3908:AE3908,IF(COUNTA(AC3908:AE3908)=0,"",MAX((AC3908:AE3908&lt;&gt;"")*(COLUMN(AC3908:AE3908)-(COLUMN(AC3908)-1))))-1),"")</f>
        <v>46310</v>
      </c>
      <c r="L3908" s="17" t="str">
        <f aca="false" t="array" ref="L3908:L3908">IFERROR(INDEX(AC3908:AE3908,IF(COUNTA(AC3908:AE3908)=0,"",MAX((AC3908:AE3908&lt;&gt;"")*(COLUMN(AC3908:AE3908)-(COLUMN(AC3908)-2))))-1),"")</f>
        <v>ARCHIVED</v>
      </c>
      <c r="M3908" s="13" t="n">
        <f aca="true">K3908-TODAY()</f>
        <v>-14</v>
      </c>
      <c r="N3908" s="18" t="s">
        <v>4051</v>
      </c>
      <c r="O3908" s="13" t="s">
        <v>7951</v>
      </c>
      <c r="P3908" s="19" t="n">
        <v>210000</v>
      </c>
      <c r="Q3908" s="20" t="s">
        <v>16005</v>
      </c>
      <c r="R3908" s="13" t="s">
        <v>148</v>
      </c>
      <c r="S3908" s="14" t="n">
        <v>33775</v>
      </c>
      <c r="T3908" s="28" t="s">
        <v>40</v>
      </c>
      <c r="U3908" s="17" t="s">
        <v>16006</v>
      </c>
      <c r="V3908" s="13" t="s">
        <v>42</v>
      </c>
      <c r="W3908" s="13" t="s">
        <v>54</v>
      </c>
      <c r="X3908" s="21" t="n">
        <v>81359311860</v>
      </c>
      <c r="Y3908" s="22" t="str">
        <f aca="false">O3908</f>
        <v>Mekanik Kiln</v>
      </c>
      <c r="Z3908" s="13" t="str">
        <f aca="false">IFERROR(__xludf.dummyfunction("if(BJ3908="""","""",GOOGLETRANSLATE(BJ3908,""auto"",""en""))"),"Kiln Mechanics")</f>
        <v>Kiln Mechanics</v>
      </c>
      <c r="AA3908" s="23" t="str">
        <f aca="false">IF(C3908="","", CHOOSE(MONTH(C3908),"January","February","March","April","May","June","July","August","September","October","November","December")&amp;" "&amp;DAY(C3908)&amp;MID("thstndrdth",MIN(9,2*RIGHT(DAY(C3908))*(MOD(DAY(C3908)-11,100)&gt;2)+1),2)&amp;","&amp;TEXT(C3908," yyyy"))</f>
        <v>July 16th,2026</v>
      </c>
      <c r="AB3908" s="15" t="str">
        <f aca="true">IF(S3908="","",DATEDIF(S3908,TODAY(),"Y")&amp;" Tahun, "&amp;DATEDIF(S3908,TODAY(),"YM")&amp;" Bulan, "&amp;DATEDIF(S3908,TODAY(),"MD")&amp;" Hari")</f>
        <v>34 Tahun, 4 Bulan, 9 Hari</v>
      </c>
      <c r="AC3908" s="14" t="n">
        <v>46219</v>
      </c>
      <c r="AD3908" s="18" t="n">
        <f aca="false">EDATE(AC3908,3)-1</f>
        <v>46310</v>
      </c>
      <c r="AE3908" s="13" t="s">
        <v>44</v>
      </c>
    </row>
    <row r="3909" customFormat="false" ht="15" hidden="false" customHeight="true" outlineLevel="0" collapsed="false">
      <c r="A3909" s="12" t="n">
        <v>22536</v>
      </c>
      <c r="B3909" s="13" t="s">
        <v>16007</v>
      </c>
      <c r="C3909" s="14" t="n">
        <v>46219</v>
      </c>
      <c r="D3909" s="13" t="s">
        <v>7948</v>
      </c>
      <c r="E3909" s="15" t="s">
        <v>12803</v>
      </c>
      <c r="F3909" s="24" t="s">
        <v>16008</v>
      </c>
      <c r="G3909" s="13" t="s">
        <v>1127</v>
      </c>
      <c r="H3909" s="13" t="s">
        <v>35</v>
      </c>
      <c r="I3909" s="13" t="str">
        <f aca="false">IF(C3909=J3909,"NEW KONTRAK","RE-KONTRAK")</f>
        <v>NEW KONTRAK</v>
      </c>
      <c r="J3909" s="16" t="n">
        <f aca="false" t="array" ref="J3909:J3909">IFERROR(INDEX(AC3909:AE3909,IF(COUNTA(AC3909:AE3909)=0,"",MAX((AC3909:AE3909&lt;&gt;"")*(COLUMN(AC3909:AE3909)-(COLUMN(AC3909)))))-1),"")</f>
        <v>46219</v>
      </c>
      <c r="K3909" s="16" t="n">
        <f aca="false" t="array" ref="K3909:K3909">IFERROR(INDEX(AC3909:AE3909,IF(COUNTA(AC3909:AE3909)=0,"",MAX((AC3909:AE3909&lt;&gt;"")*(COLUMN(AC3909:AE3909)-(COLUMN(AC3909)-1))))-1),"")</f>
        <v>46310</v>
      </c>
      <c r="L3909" s="17" t="str">
        <f aca="false" t="array" ref="L3909:L3909">IFERROR(INDEX(AC3909:AE3909,IF(COUNTA(AC3909:AE3909)=0,"",MAX((AC3909:AE3909&lt;&gt;"")*(COLUMN(AC3909:AE3909)-(COLUMN(AC3909)-2))))-1),"")</f>
        <v>ARCHIVED</v>
      </c>
      <c r="M3909" s="13" t="n">
        <f aca="true">K3909-TODAY()</f>
        <v>-14</v>
      </c>
      <c r="N3909" s="18" t="s">
        <v>4051</v>
      </c>
      <c r="O3909" s="13" t="s">
        <v>7951</v>
      </c>
      <c r="P3909" s="19" t="n">
        <v>210000</v>
      </c>
      <c r="Q3909" s="20" t="s">
        <v>16009</v>
      </c>
      <c r="R3909" s="13" t="s">
        <v>260</v>
      </c>
      <c r="S3909" s="14" t="n">
        <v>31242</v>
      </c>
      <c r="T3909" s="28" t="s">
        <v>40</v>
      </c>
      <c r="U3909" s="17" t="s">
        <v>16010</v>
      </c>
      <c r="V3909" s="13" t="s">
        <v>42</v>
      </c>
      <c r="W3909" s="13" t="s">
        <v>54</v>
      </c>
      <c r="X3909" s="30" t="n">
        <v>81372980686</v>
      </c>
      <c r="Y3909" s="22" t="str">
        <f aca="false">O3909</f>
        <v>Mekanik Kiln</v>
      </c>
      <c r="Z3909" s="13" t="str">
        <f aca="false">IFERROR(__xludf.dummyfunction("if(BJ3909="""","""",GOOGLETRANSLATE(BJ3909,""auto"",""en""))"),"Kiln Mechanics")</f>
        <v>Kiln Mechanics</v>
      </c>
      <c r="AA3909" s="23" t="str">
        <f aca="false">IF(C3909="","", CHOOSE(MONTH(C3909),"January","February","March","April","May","June","July","August","September","October","November","December")&amp;" "&amp;DAY(C3909)&amp;MID("thstndrdth",MIN(9,2*RIGHT(DAY(C3909))*(MOD(DAY(C3909)-11,100)&gt;2)+1),2)&amp;","&amp;TEXT(C3909," yyyy"))</f>
        <v>July 16th,2026</v>
      </c>
      <c r="AB3909" s="15" t="str">
        <f aca="true">IF(S3909="","",DATEDIF(S3909,TODAY(),"Y")&amp;" Tahun, "&amp;DATEDIF(S3909,TODAY(),"YM")&amp;" Bulan, "&amp;DATEDIF(S3909,TODAY(),"MD")&amp;" Hari")</f>
        <v>41 Tahun, 3 Bulan, 15 Hari</v>
      </c>
      <c r="AC3909" s="14" t="n">
        <v>46219</v>
      </c>
      <c r="AD3909" s="18" t="n">
        <f aca="false">EDATE(AC3909,3)-1</f>
        <v>46310</v>
      </c>
      <c r="AE3909" s="13" t="s">
        <v>44</v>
      </c>
    </row>
    <row r="3910" customFormat="false" ht="15" hidden="false" customHeight="true" outlineLevel="0" collapsed="false">
      <c r="A3910" s="12" t="n">
        <v>22537</v>
      </c>
      <c r="B3910" s="45" t="s">
        <v>16011</v>
      </c>
      <c r="C3910" s="14" t="n">
        <v>46219</v>
      </c>
      <c r="D3910" s="13" t="s">
        <v>7948</v>
      </c>
      <c r="E3910" s="15" t="s">
        <v>7949</v>
      </c>
      <c r="F3910" s="24" t="s">
        <v>16012</v>
      </c>
      <c r="G3910" s="28" t="s">
        <v>57</v>
      </c>
      <c r="H3910" s="13" t="s">
        <v>3024</v>
      </c>
      <c r="I3910" s="13" t="str">
        <f aca="false">IF(C3910=J3910,"NEW KONTRAK","RE-KONTRAK")</f>
        <v>NEW KONTRAK</v>
      </c>
      <c r="J3910" s="16" t="n">
        <f aca="false" t="array" ref="J3910:J3910">IFERROR(INDEX(AC3910:AE3910,IF(COUNTA(AC3910:AE3910)=0,"",MAX((AC3910:AE3910&lt;&gt;"")*(COLUMN(AC3910:AE3910)-(COLUMN(AC3910)))))-1),"")</f>
        <v>46219</v>
      </c>
      <c r="K3910" s="16" t="n">
        <f aca="false" t="array" ref="K3910:K3910">IFERROR(INDEX(AC3910:AE3910,IF(COUNTA(AC3910:AE3910)=0,"",MAX((AC3910:AE3910&lt;&gt;"")*(COLUMN(AC3910:AE3910)-(COLUMN(AC3910)-1))))-1),"")</f>
        <v>46310</v>
      </c>
      <c r="L3910" s="17" t="str">
        <f aca="false" t="array" ref="L3910:L3910">IFERROR(INDEX(AC3910:AE3910,IF(COUNTA(AC3910:AE3910)=0,"",MAX((AC3910:AE3910&lt;&gt;"")*(COLUMN(AC3910:AE3910)-(COLUMN(AC3910)-2))))-1),"")</f>
        <v>ARCHIVED</v>
      </c>
      <c r="M3910" s="13" t="n">
        <f aca="true">K3910-TODAY()</f>
        <v>-14</v>
      </c>
      <c r="N3910" s="18" t="s">
        <v>4051</v>
      </c>
      <c r="O3910" s="13" t="s">
        <v>7951</v>
      </c>
      <c r="P3910" s="19" t="n">
        <v>210000</v>
      </c>
      <c r="Q3910" s="20" t="s">
        <v>16013</v>
      </c>
      <c r="R3910" s="13" t="s">
        <v>148</v>
      </c>
      <c r="S3910" s="14" t="n">
        <v>36028</v>
      </c>
      <c r="T3910" s="28" t="s">
        <v>40</v>
      </c>
      <c r="U3910" s="17" t="s">
        <v>16014</v>
      </c>
      <c r="V3910" s="13" t="s">
        <v>42</v>
      </c>
      <c r="W3910" s="13" t="s">
        <v>54</v>
      </c>
      <c r="X3910" s="21" t="n">
        <v>82143116288</v>
      </c>
      <c r="Y3910" s="22" t="str">
        <f aca="false">O3910</f>
        <v>Mekanik Kiln</v>
      </c>
      <c r="Z3910" s="13" t="str">
        <f aca="false">IFERROR(__xludf.dummyfunction("if(BJ3910="""","""",GOOGLETRANSLATE(BJ3910,""auto"",""en""))"),"Kiln Mechanics")</f>
        <v>Kiln Mechanics</v>
      </c>
      <c r="AA3910" s="23" t="str">
        <f aca="false">IF(C3910="","", CHOOSE(MONTH(C3910),"January","February","March","April","May","June","July","August","September","October","November","December")&amp;" "&amp;DAY(C3910)&amp;MID("thstndrdth",MIN(9,2*RIGHT(DAY(C3910))*(MOD(DAY(C3910)-11,100)&gt;2)+1),2)&amp;","&amp;TEXT(C3910," yyyy"))</f>
        <v>July 16th,2026</v>
      </c>
      <c r="AB3910" s="15" t="str">
        <f aca="true">IF(S3910="","",DATEDIF(S3910,TODAY(),"Y")&amp;" Tahun, "&amp;DATEDIF(S3910,TODAY(),"YM")&amp;" Bulan, "&amp;DATEDIF(S3910,TODAY(),"MD")&amp;" Hari")</f>
        <v>28 Tahun, 2 Bulan, 8 Hari</v>
      </c>
      <c r="AC3910" s="14" t="n">
        <v>46219</v>
      </c>
      <c r="AD3910" s="18" t="n">
        <f aca="false">EDATE(AC3910,3)-1</f>
        <v>46310</v>
      </c>
      <c r="AE3910" s="18" t="s">
        <v>44</v>
      </c>
    </row>
    <row r="3911" customFormat="false" ht="15" hidden="false" customHeight="true" outlineLevel="0" collapsed="false">
      <c r="A3911" s="12" t="n">
        <v>22696</v>
      </c>
      <c r="B3911" s="13" t="s">
        <v>16015</v>
      </c>
      <c r="C3911" s="14" t="n">
        <v>46251</v>
      </c>
      <c r="D3911" s="13" t="s">
        <v>1721</v>
      </c>
      <c r="E3911" s="13" t="s">
        <v>47</v>
      </c>
      <c r="F3911" s="24" t="s">
        <v>16016</v>
      </c>
      <c r="G3911" s="13" t="s">
        <v>1452</v>
      </c>
      <c r="H3911" s="13" t="s">
        <v>35</v>
      </c>
      <c r="I3911" s="13" t="str">
        <f aca="false">IF(C3911=J3911,"NEW KONTRAK","RE-KONTRAK")</f>
        <v>NEW KONTRAK</v>
      </c>
      <c r="J3911" s="16" t="n">
        <f aca="false" t="array" ref="J3911:J3911">IFERROR(INDEX(AC3911:AE3911,IF(COUNTA(AC3911:AE3911)=0,"",MAX((AC3911:AE3911&lt;&gt;"")*(COLUMN(AC3911:AE3911)-(COLUMN(AC3911)))))-1),"")</f>
        <v>46251</v>
      </c>
      <c r="K3911" s="16" t="n">
        <f aca="false" t="array" ref="K3911:K3911">IFERROR(INDEX(AC3911:AE3911,IF(COUNTA(AC3911:AE3911)=0,"",MAX((AC3911:AE3911&lt;&gt;"")*(COLUMN(AC3911:AE3911)-(COLUMN(AC3911)-1))))-1),"")</f>
        <v>46342</v>
      </c>
      <c r="L3911" s="17" t="str">
        <f aca="false" t="array" ref="L3911:L3911">IFERROR(INDEX(AC3911:AE3911,IF(COUNTA(AC3911:AE3911)=0,"",MAX((AC3911:AE3911&lt;&gt;"")*(COLUMN(AC3911:AE3911)-(COLUMN(AC3911)-2))))-1),"")</f>
        <v>KEMBALI</v>
      </c>
      <c r="M3911" s="13" t="n">
        <f aca="true">K3911-TODAY()</f>
        <v>18</v>
      </c>
      <c r="N3911" s="18" t="s">
        <v>728</v>
      </c>
      <c r="O3911" s="13" t="s">
        <v>1803</v>
      </c>
      <c r="P3911" s="26" t="n">
        <v>5444909</v>
      </c>
      <c r="Q3911" s="20" t="s">
        <v>16017</v>
      </c>
      <c r="R3911" s="13" t="s">
        <v>52</v>
      </c>
      <c r="S3911" s="129" t="n">
        <v>30690</v>
      </c>
      <c r="T3911" s="13" t="s">
        <v>108</v>
      </c>
      <c r="U3911" s="13" t="s">
        <v>16018</v>
      </c>
      <c r="V3911" s="13" t="s">
        <v>42</v>
      </c>
      <c r="W3911" s="13" t="s">
        <v>54</v>
      </c>
      <c r="X3911" s="67" t="s">
        <v>16019</v>
      </c>
      <c r="Y3911" s="22" t="str">
        <f aca="false">O3911</f>
        <v>Injectition Moulding</v>
      </c>
      <c r="Z3911" s="13" t="str">
        <f aca="false">IFERROR(__xludf.dummyfunction("if(BJ3911="""","""",GOOGLETRANSLATE(BJ3911,""auto"",""en""))"),"Injectition Moulding")</f>
        <v>Injectition Moulding</v>
      </c>
      <c r="AA3911" s="23" t="str">
        <f aca="false">IF(C3911="","", CHOOSE(MONTH(C3911),"January","February","March","April","May","June","July","August","September","October","November","December")&amp;" "&amp;DAY(C3911)&amp;MID("thstndrdth",MIN(9,2*RIGHT(DAY(C3911))*(MOD(DAY(C3911)-11,100)&gt;2)+1),2)&amp;","&amp;TEXT(C3911," yyyy"))</f>
        <v>August 17th,2026</v>
      </c>
      <c r="AB3911" s="15" t="str">
        <f aca="true">IF(S3911="","",DATEDIF(S3911,TODAY(),"Y")&amp;" Tahun, "&amp;DATEDIF(S3911,TODAY(),"YM")&amp;" Bulan, "&amp;DATEDIF(S3911,TODAY(),"MD")&amp;" Hari")</f>
        <v>42 Tahun, 9 Bulan, 20 Hari</v>
      </c>
      <c r="AC3911" s="14" t="n">
        <v>46251</v>
      </c>
      <c r="AD3911" s="18" t="n">
        <f aca="false">EDATE(AC3911,3)-1</f>
        <v>46342</v>
      </c>
      <c r="AE3911" s="13" t="s">
        <v>397</v>
      </c>
    </row>
    <row r="3912" customFormat="false" ht="15" hidden="false" customHeight="true" outlineLevel="0" collapsed="false">
      <c r="A3912" s="12" t="n">
        <v>22539</v>
      </c>
      <c r="B3912" s="13" t="s">
        <v>16020</v>
      </c>
      <c r="C3912" s="14" t="n">
        <v>46226</v>
      </c>
      <c r="D3912" s="13" t="s">
        <v>9043</v>
      </c>
      <c r="E3912" s="15" t="s">
        <v>47</v>
      </c>
      <c r="F3912" s="15" t="str">
        <f aca="false">IFERROR(__xludf.dummyfunction("XLOOKUP(AJ3912,IMPORTRANGE(""1XaInW9DU9nz21V0tYIfzFQ0He9kVQ_JF2mCXgZ3hqFA"",""REKAP ALL 2026 - Andika!G:G""),IMPORTRANGE(""1XaInW9DU9nz21V0tYIfzFQ0He9kVQ_JF2mCXgZ3hqFA"",""REKAP ALL 2026 - Andika!F:F""),"""",0)"),"25062536591")</f>
        <v>25062536591</v>
      </c>
      <c r="G3912" s="28" t="s">
        <v>57</v>
      </c>
      <c r="H3912" s="13" t="s">
        <v>35</v>
      </c>
      <c r="I3912" s="13" t="str">
        <f aca="false">IF(C3912=J3912,"NEW KONTRAK","RE-KONTRAK")</f>
        <v>NEW KONTRAK</v>
      </c>
      <c r="J3912" s="16" t="n">
        <f aca="false" t="array" ref="J3912:J3912">IFERROR(INDEX(AC3912:AE3912,IF(COUNTA(AC3912:AE3912)=0,"",MAX((AC3912:AE3912&lt;&gt;"")*(COLUMN(AC3912:AE3912)-(COLUMN(AC3912)))))-1),"")</f>
        <v>46226</v>
      </c>
      <c r="K3912" s="16" t="n">
        <f aca="false" t="array" ref="K3912:K3912">IFERROR(INDEX(AC3912:AE3912,IF(COUNTA(AC3912:AE3912)=0,"",MAX((AC3912:AE3912&lt;&gt;"")*(COLUMN(AC3912:AE3912)-(COLUMN(AC3912)-1))))-1),"")</f>
        <v>46497</v>
      </c>
      <c r="L3912" s="17" t="str">
        <f aca="false" t="array" ref="L3912:L3912">IFERROR(INDEX(AC3912:AE3912,IF(COUNTA(AC3912:AE3912)=0,"",MAX((AC3912:AE3912&lt;&gt;"")*(COLUMN(AC3912:AE3912)-(COLUMN(AC3912)-2))))-1),"")</f>
        <v>ARCHIVED</v>
      </c>
      <c r="M3912" s="13" t="n">
        <f aca="true">K3912-TODAY()</f>
        <v>173</v>
      </c>
      <c r="N3912" s="18" t="s">
        <v>4735</v>
      </c>
      <c r="O3912" s="13" t="s">
        <v>6662</v>
      </c>
      <c r="P3912" s="26" t="n">
        <v>3438481</v>
      </c>
      <c r="Q3912" s="20" t="s">
        <v>16021</v>
      </c>
      <c r="R3912" s="13" t="s">
        <v>14922</v>
      </c>
      <c r="S3912" s="14" t="n">
        <v>36515</v>
      </c>
      <c r="T3912" s="13" t="s">
        <v>108</v>
      </c>
      <c r="U3912" s="17" t="s">
        <v>16022</v>
      </c>
      <c r="V3912" s="13" t="s">
        <v>99</v>
      </c>
      <c r="W3912" s="13" t="s">
        <v>43</v>
      </c>
      <c r="X3912" s="30" t="n">
        <v>87808637659</v>
      </c>
      <c r="Y3912" s="22" t="str">
        <f aca="false">O3912</f>
        <v>Front Office</v>
      </c>
      <c r="Z3912" s="13" t="str">
        <f aca="false">IFERROR(__xludf.dummyfunction("if(BJ3912="""","""",GOOGLETRANSLATE(BJ3912,""auto"",""en""))"),"Front Office")</f>
        <v>Front Office</v>
      </c>
      <c r="AA3912" s="23" t="str">
        <f aca="false">IF(C3912="","", CHOOSE(MONTH(C3912),"January","February","March","April","May","June","July","August","September","October","November","December")&amp;" "&amp;DAY(C3912)&amp;MID("thstndrdth",MIN(9,2*RIGHT(DAY(C3912))*(MOD(DAY(C3912)-11,100)&gt;2)+1),2)&amp;","&amp;TEXT(C3912," yyyy"))</f>
        <v>July 23rd,2026</v>
      </c>
      <c r="AB3912" s="15" t="str">
        <f aca="true">IF(S3912="","",DATEDIF(S3912,TODAY(),"Y")&amp;" Tahun, "&amp;DATEDIF(S3912,TODAY(),"YM")&amp;" Bulan, "&amp;DATEDIF(S3912,TODAY(),"MD")&amp;" Hari")</f>
        <v>26 Tahun, 10 Bulan, 8 Hari</v>
      </c>
      <c r="AC3912" s="14" t="n">
        <v>46226</v>
      </c>
      <c r="AD3912" s="18" t="n">
        <v>46497</v>
      </c>
      <c r="AE3912" s="65" t="s">
        <v>44</v>
      </c>
    </row>
    <row r="3913" customFormat="false" ht="15" hidden="false" customHeight="true" outlineLevel="0" collapsed="false">
      <c r="A3913" s="12" t="n">
        <v>22540</v>
      </c>
      <c r="B3913" s="45" t="s">
        <v>16023</v>
      </c>
      <c r="C3913" s="14" t="n">
        <v>46219</v>
      </c>
      <c r="D3913" s="13" t="s">
        <v>7948</v>
      </c>
      <c r="E3913" s="15" t="s">
        <v>7949</v>
      </c>
      <c r="F3913" s="24" t="s">
        <v>16024</v>
      </c>
      <c r="G3913" s="28" t="s">
        <v>57</v>
      </c>
      <c r="H3913" s="13" t="s">
        <v>35</v>
      </c>
      <c r="I3913" s="13" t="str">
        <f aca="false">IF(C3913=J3913,"NEW KONTRAK","RE-KONTRAK")</f>
        <v>NEW KONTRAK</v>
      </c>
      <c r="J3913" s="16" t="n">
        <f aca="false" t="array" ref="J3913:J3913">IFERROR(INDEX(AC3913:AE3913,IF(COUNTA(AC3913:AE3913)=0,"",MAX((AC3913:AE3913&lt;&gt;"")*(COLUMN(AC3913:AE3913)-(COLUMN(AC3913)))))-1),"")</f>
        <v>46219</v>
      </c>
      <c r="K3913" s="16" t="n">
        <f aca="false" t="array" ref="K3913:K3913">IFERROR(INDEX(AC3913:AE3913,IF(COUNTA(AC3913:AE3913)=0,"",MAX((AC3913:AE3913&lt;&gt;"")*(COLUMN(AC3913:AE3913)-(COLUMN(AC3913)-1))))-1),"")</f>
        <v>46310</v>
      </c>
      <c r="L3913" s="17" t="str">
        <f aca="false" t="array" ref="L3913:L3913">IFERROR(INDEX(AC3913:AE3913,IF(COUNTA(AC3913:AE3913)=0,"",MAX((AC3913:AE3913&lt;&gt;"")*(COLUMN(AC3913:AE3913)-(COLUMN(AC3913)-2))))-1),"")</f>
        <v>KEMBALI</v>
      </c>
      <c r="M3913" s="13" t="n">
        <f aca="true">K3913-TODAY()</f>
        <v>-14</v>
      </c>
      <c r="N3913" s="18" t="s">
        <v>4051</v>
      </c>
      <c r="O3913" s="13" t="s">
        <v>7951</v>
      </c>
      <c r="P3913" s="19" t="n">
        <v>210000</v>
      </c>
      <c r="Q3913" s="20" t="s">
        <v>16025</v>
      </c>
      <c r="R3913" s="13" t="s">
        <v>232</v>
      </c>
      <c r="S3913" s="14" t="n">
        <v>30806</v>
      </c>
      <c r="T3913" s="28" t="s">
        <v>40</v>
      </c>
      <c r="U3913" s="17" t="s">
        <v>16026</v>
      </c>
      <c r="V3913" s="13" t="s">
        <v>42</v>
      </c>
      <c r="W3913" s="13" t="s">
        <v>54</v>
      </c>
      <c r="X3913" s="30" t="n">
        <v>82162473149</v>
      </c>
      <c r="Y3913" s="22" t="str">
        <f aca="false">O3913</f>
        <v>Mekanik Kiln</v>
      </c>
      <c r="Z3913" s="13" t="str">
        <f aca="false">IFERROR(__xludf.dummyfunction("if(BJ3913="""","""",GOOGLETRANSLATE(BJ3913,""auto"",""en""))"),"Kiln Mechanics")</f>
        <v>Kiln Mechanics</v>
      </c>
      <c r="AA3913" s="23" t="str">
        <f aca="false">IF(C3913="","", CHOOSE(MONTH(C3913),"January","February","March","April","May","June","July","August","September","October","November","December")&amp;" "&amp;DAY(C3913)&amp;MID("thstndrdth",MIN(9,2*RIGHT(DAY(C3913))*(MOD(DAY(C3913)-11,100)&gt;2)+1),2)&amp;","&amp;TEXT(C3913," yyyy"))</f>
        <v>July 16th,2026</v>
      </c>
      <c r="AB3913" s="15" t="str">
        <f aca="true">IF(S3913="","",DATEDIF(S3913,TODAY(),"Y")&amp;" Tahun, "&amp;DATEDIF(S3913,TODAY(),"YM")&amp;" Bulan, "&amp;DATEDIF(S3913,TODAY(),"MD")&amp;" Hari")</f>
        <v>42 Tahun, 5 Bulan, 25 Hari</v>
      </c>
      <c r="AC3913" s="14" t="n">
        <v>46219</v>
      </c>
      <c r="AD3913" s="18" t="n">
        <f aca="false">EDATE(AC3913,3)-1</f>
        <v>46310</v>
      </c>
      <c r="AE3913" s="13" t="s">
        <v>397</v>
      </c>
    </row>
    <row r="3914" customFormat="false" ht="15" hidden="false" customHeight="true" outlineLevel="0" collapsed="false">
      <c r="A3914" s="12" t="n">
        <v>22541</v>
      </c>
      <c r="B3914" s="45" t="s">
        <v>16027</v>
      </c>
      <c r="C3914" s="14" t="n">
        <v>46220</v>
      </c>
      <c r="D3914" s="13" t="s">
        <v>393</v>
      </c>
      <c r="E3914" s="15" t="s">
        <v>47</v>
      </c>
      <c r="F3914" s="24" t="s">
        <v>16028</v>
      </c>
      <c r="G3914" s="28" t="s">
        <v>57</v>
      </c>
      <c r="H3914" s="13" t="s">
        <v>35</v>
      </c>
      <c r="I3914" s="13" t="str">
        <f aca="false">IF(C3914=J3914,"NEW KONTRAK","RE-KONTRAK")</f>
        <v>NEW KONTRAK</v>
      </c>
      <c r="J3914" s="16" t="n">
        <f aca="false" t="array" ref="J3914:J3914">IFERROR(INDEX(AC3914:AE3914,IF(COUNTA(AC3914:AE3914)=0,"",MAX((AC3914:AE3914&lt;&gt;"")*(COLUMN(AC3914:AE3914)-(COLUMN(AC3914)))))-1),"")</f>
        <v>46220</v>
      </c>
      <c r="K3914" s="16" t="n">
        <f aca="false" t="array" ref="K3914:K3914">IFERROR(INDEX(AC3914:AE3914,IF(COUNTA(AC3914:AE3914)=0,"",MAX((AC3914:AE3914&lt;&gt;"")*(COLUMN(AC3914:AE3914)-(COLUMN(AC3914)-1))))-1),"")</f>
        <v>46311</v>
      </c>
      <c r="L3914" s="17" t="str">
        <f aca="false" t="array" ref="L3914:L3914">IFERROR(INDEX(AC3914:AE3914,IF(COUNTA(AC3914:AE3914)=0,"",MAX((AC3914:AE3914&lt;&gt;"")*(COLUMN(AC3914:AE3914)-(COLUMN(AC3914)-2))))-1),"")</f>
        <v>ARCHIVED</v>
      </c>
      <c r="M3914" s="13" t="n">
        <f aca="true">K3914-TODAY()</f>
        <v>-13</v>
      </c>
      <c r="N3914" s="18" t="s">
        <v>105</v>
      </c>
      <c r="O3914" s="13" t="s">
        <v>15203</v>
      </c>
      <c r="P3914" s="19" t="n">
        <v>5191541</v>
      </c>
      <c r="Q3914" s="20" t="s">
        <v>16029</v>
      </c>
      <c r="R3914" s="13" t="s">
        <v>274</v>
      </c>
      <c r="S3914" s="14" t="n">
        <v>34557</v>
      </c>
      <c r="T3914" s="13" t="s">
        <v>40</v>
      </c>
      <c r="U3914" s="17" t="s">
        <v>16030</v>
      </c>
      <c r="V3914" s="13" t="s">
        <v>42</v>
      </c>
      <c r="W3914" s="13" t="s">
        <v>54</v>
      </c>
      <c r="X3914" s="21" t="n">
        <v>85194591157</v>
      </c>
      <c r="Y3914" s="22" t="str">
        <f aca="false">O3914</f>
        <v>Produksi Furniture</v>
      </c>
      <c r="Z3914" s="13" t="str">
        <f aca="false">IFERROR(__xludf.dummyfunction("if(BJ3914="""","""",GOOGLETRANSLATE(BJ3914,""auto"",""en""))"),"Furniture Production")</f>
        <v>Furniture Production</v>
      </c>
      <c r="AA3914" s="23" t="str">
        <f aca="false">IF(C3914="","", CHOOSE(MONTH(C3914),"January","February","March","April","May","June","July","August","September","October","November","December")&amp;" "&amp;DAY(C3914)&amp;MID("thstndrdth",MIN(9,2*RIGHT(DAY(C3914))*(MOD(DAY(C3914)-11,100)&gt;2)+1),2)&amp;","&amp;TEXT(C3914," yyyy"))</f>
        <v>July 17th,2026</v>
      </c>
      <c r="AB3914" s="15" t="str">
        <f aca="true">IF(S3914="","",DATEDIF(S3914,TODAY(),"Y")&amp;" Tahun, "&amp;DATEDIF(S3914,TODAY(),"YM")&amp;" Bulan, "&amp;DATEDIF(S3914,TODAY(),"MD")&amp;" Hari")</f>
        <v>32 Tahun, 2 Bulan, 18 Hari</v>
      </c>
      <c r="AC3914" s="14" t="n">
        <v>46220</v>
      </c>
      <c r="AD3914" s="18" t="n">
        <f aca="false">EDATE(AC3914,3)-1</f>
        <v>46311</v>
      </c>
      <c r="AE3914" s="65" t="s">
        <v>44</v>
      </c>
    </row>
    <row r="3915" customFormat="false" ht="15" hidden="false" customHeight="true" outlineLevel="0" collapsed="false">
      <c r="A3915" s="12" t="n">
        <v>19920</v>
      </c>
      <c r="B3915" s="13" t="s">
        <v>16031</v>
      </c>
      <c r="C3915" s="16" t="n">
        <v>45793</v>
      </c>
      <c r="D3915" s="13" t="s">
        <v>101</v>
      </c>
      <c r="E3915" s="15" t="s">
        <v>47</v>
      </c>
      <c r="F3915" s="15" t="str">
        <f aca="false">IFERROR(__xludf.dummyfunction("XLOOKUP(AJ3915,IMPORTRANGE(""1XaInW9DU9nz21V0tYIfzFQ0He9kVQ_JF2mCXgZ3hqFA"",""REKAP ALL 2026 - Andika!G:G""),IMPORTRANGE(""1XaInW9DU9nz21V0tYIfzFQ0He9kVQ_JF2mCXgZ3hqFA"",""REKAP ALL 2026 - Andika!F:F""),"""",0)"),"25079805484")</f>
        <v>25079805484</v>
      </c>
      <c r="G3915" s="13" t="s">
        <v>16032</v>
      </c>
      <c r="H3915" s="13" t="s">
        <v>35</v>
      </c>
      <c r="I3915" s="13" t="str">
        <f aca="false">IF(C3915=J3915,"NEW KONTRAK","RE-KONTRAK")</f>
        <v>NEW KONTRAK</v>
      </c>
      <c r="J3915" s="16" t="n">
        <f aca="false" t="array" ref="J3915:J3915">IFERROR(INDEX(AC3915:AE3915,IF(COUNTA(AC3915:AE3915)=0,"",MAX((AC3915:AE3915&lt;&gt;"")*(COLUMN(AC3915:AE3915)-(COLUMN(AC3915)))))-1),"")</f>
        <v>45793</v>
      </c>
      <c r="K3915" s="16" t="n">
        <f aca="false" t="array" ref="K3915:K3915">IFERROR(INDEX(AC3915:AE3915,IF(COUNTA(AC3915:AE3915)=0,"",MAX((AC3915:AE3915&lt;&gt;"")*(COLUMN(AC3915:AE3915)-(COLUMN(AC3915)-1))))-1),"")</f>
        <v>46036</v>
      </c>
      <c r="L3915" s="17" t="str">
        <f aca="false" t="array" ref="L3915:L3915">IFERROR(INDEX(AC3915:AE3915,IF(COUNTA(AC3915:AE3915)=0,"",MAX((AC3915:AE3915&lt;&gt;"")*(COLUMN(AC3915:AE3915)-(COLUMN(AC3915)-2))))-1),"")</f>
        <v>ARCHIVED</v>
      </c>
      <c r="M3915" s="13" t="n">
        <f aca="true">K3915-TODAY()</f>
        <v>-288</v>
      </c>
      <c r="N3915" s="18" t="s">
        <v>105</v>
      </c>
      <c r="O3915" s="13" t="s">
        <v>1434</v>
      </c>
      <c r="P3915" s="19" t="n">
        <v>138915</v>
      </c>
      <c r="Q3915" s="20" t="s">
        <v>16033</v>
      </c>
      <c r="R3915" s="13" t="s">
        <v>241</v>
      </c>
      <c r="S3915" s="25" t="n">
        <v>38733</v>
      </c>
      <c r="T3915" s="13" t="s">
        <v>40</v>
      </c>
      <c r="U3915" s="13" t="s">
        <v>16034</v>
      </c>
      <c r="V3915" s="13" t="s">
        <v>42</v>
      </c>
      <c r="W3915" s="13" t="s">
        <v>43</v>
      </c>
      <c r="X3915" s="21" t="n">
        <v>81252595792</v>
      </c>
      <c r="Y3915" s="22" t="str">
        <f aca="false">O3915</f>
        <v>E-Commerce - Packer</v>
      </c>
      <c r="Z3915" s="13" t="str">
        <f aca="false">IFERROR(__xludf.dummyfunction("if(BJ3915="""","""",GOOGLETRANSLATE(BJ3915,""auto"",""en""))"),"E-Commerce - Packer")</f>
        <v>E-Commerce - Packer</v>
      </c>
      <c r="AA3915" s="23" t="str">
        <f aca="false">IF(C3915="","", CHOOSE(MONTH(C3915),"January","February","March","April","May","June","July","August","September","October","November","December")&amp;" "&amp;DAY(C3915)&amp;MID("thstndrdth",MIN(9,2*RIGHT(DAY(C3915))*(MOD(DAY(C3915)-11,100)&gt;2)+1),2)&amp;","&amp;TEXT(C3915," yyyy"))</f>
        <v>May 16th,2025</v>
      </c>
      <c r="AB3915" s="15" t="str">
        <f aca="true">IF(S3915="","",DATEDIF(S3915,TODAY(),"Y")&amp;" Tahun, "&amp;DATEDIF(S3915,TODAY(),"YM")&amp;" Bulan, "&amp;DATEDIF(S3915,TODAY(),"MD")&amp;" Hari")</f>
        <v>20 Tahun, 9 Bulan, 13 Hari</v>
      </c>
      <c r="AC3915" s="18" t="n">
        <v>45793</v>
      </c>
      <c r="AD3915" s="18" t="n">
        <v>46036</v>
      </c>
      <c r="AE3915" s="18" t="s">
        <v>44</v>
      </c>
    </row>
    <row r="3916" customFormat="false" ht="15" hidden="false" customHeight="true" outlineLevel="0" collapsed="false">
      <c r="A3916" s="12" t="n">
        <v>2462</v>
      </c>
      <c r="B3916" s="13" t="s">
        <v>16035</v>
      </c>
      <c r="C3916" s="14" t="n">
        <v>44407</v>
      </c>
      <c r="D3916" s="13" t="s">
        <v>2148</v>
      </c>
      <c r="E3916" s="15" t="s">
        <v>47</v>
      </c>
      <c r="F3916" s="15" t="str">
        <f aca="false">IFERROR(__xludf.dummyfunction("XLOOKUP(AJ3916,IMPORTRANGE(""1XaInW9DU9nz21V0tYIfzFQ0He9kVQ_JF2mCXgZ3hqFA"",""REKAP ALL 2026 - Andika!G:G""),IMPORTRANGE(""1XaInW9DU9nz21V0tYIfzFQ0He9kVQ_JF2mCXgZ3hqFA"",""REKAP ALL 2026 - Andika!F:F""),"""",0)"),"21068421037")</f>
        <v>21068421037</v>
      </c>
      <c r="G3916" s="13" t="s">
        <v>16036</v>
      </c>
      <c r="H3916" s="13" t="s">
        <v>35</v>
      </c>
      <c r="I3916" s="13" t="str">
        <f aca="false">IF(C3916=J3916,"NEW KONTRAK","RE-KONTRAK")</f>
        <v>RE-KONTRAK</v>
      </c>
      <c r="J3916" s="16" t="n">
        <f aca="false" t="array" ref="J3916:J3916">IFERROR(INDEX(AC3916:AE3916,IF(COUNTA(AC3916:AE3916)=0,"",MAX((AC3916:AE3916&lt;&gt;"")*(COLUMN(AC3916:AE3916)-(COLUMN(AC3916)))))-1),"")</f>
        <v>45672</v>
      </c>
      <c r="K3916" s="16" t="n">
        <f aca="false" t="array" ref="K3916:K3916">IFERROR(INDEX(AC3916:AE3916,IF(COUNTA(AC3916:AE3916)=0,"",MAX((AC3916:AE3916&lt;&gt;"")*(COLUMN(AC3916:AE3916)-(COLUMN(AC3916)-1))))-1),"")</f>
        <v>46036</v>
      </c>
      <c r="L3916" s="17" t="str">
        <f aca="false" t="array" ref="L3916:L3916">IFERROR(INDEX(AC3916:AE3916,IF(COUNTA(AC3916:AE3916)=0,"",MAX((AC3916:AE3916&lt;&gt;"")*(COLUMN(AC3916:AE3916)-(COLUMN(AC3916)-2))))-1),"")</f>
        <v>ARCHIVED</v>
      </c>
      <c r="M3916" s="13" t="n">
        <f aca="true">K3916-TODAY()</f>
        <v>-288</v>
      </c>
      <c r="N3916" s="18" t="s">
        <v>105</v>
      </c>
      <c r="O3916" s="13" t="s">
        <v>1401</v>
      </c>
      <c r="P3916" s="19" t="n">
        <v>194481</v>
      </c>
      <c r="Q3916" s="20" t="s">
        <v>16037</v>
      </c>
      <c r="R3916" s="13" t="s">
        <v>735</v>
      </c>
      <c r="S3916" s="25" t="n">
        <v>37317</v>
      </c>
      <c r="T3916" s="13" t="s">
        <v>108</v>
      </c>
      <c r="U3916" s="13" t="s">
        <v>16038</v>
      </c>
      <c r="V3916" s="13" t="s">
        <v>42</v>
      </c>
      <c r="W3916" s="13" t="s">
        <v>43</v>
      </c>
      <c r="X3916" s="21" t="n">
        <v>81234038159</v>
      </c>
      <c r="Y3916" s="22" t="str">
        <f aca="false">O3916</f>
        <v>Gudang Jadi - Helper</v>
      </c>
      <c r="Z3916" s="13" t="str">
        <f aca="false">IFERROR(__xludf.dummyfunction("if(BJ3916="""","""",GOOGLETRANSLATE(BJ3916,""auto"",""en""))"),"Ready-Made Warehouse - Helper")</f>
        <v>Ready-Made Warehouse - Helper</v>
      </c>
      <c r="AA3916" s="23" t="str">
        <f aca="false">IF(C3916="","", CHOOSE(MONTH(C3916),"January","February","March","April","May","June","July","August","September","October","November","December")&amp;" "&amp;DAY(C3916)&amp;MID("thstndrdth",MIN(9,2*RIGHT(DAY(C3916))*(MOD(DAY(C3916)-11,100)&gt;2)+1),2)&amp;","&amp;TEXT(C3916," yyyy"))</f>
        <v>July 30th,2021</v>
      </c>
      <c r="AB3916" s="15" t="str">
        <f aca="true">IF(S3916="","",DATEDIF(S3916,TODAY(),"Y")&amp;" Tahun, "&amp;DATEDIF(S3916,TODAY(),"YM")&amp;" Bulan, "&amp;DATEDIF(S3916,TODAY(),"MD")&amp;" Hari")</f>
        <v>24 Tahun, 7 Bulan, 27 Hari</v>
      </c>
      <c r="AC3916" s="18" t="n">
        <v>45672</v>
      </c>
      <c r="AD3916" s="18" t="n">
        <v>46036</v>
      </c>
      <c r="AE3916" s="18" t="s">
        <v>44</v>
      </c>
    </row>
    <row r="3917" customFormat="false" ht="15" hidden="false" customHeight="true" outlineLevel="0" collapsed="false">
      <c r="A3917" s="12" t="n">
        <v>18735</v>
      </c>
      <c r="B3917" s="13" t="s">
        <v>16039</v>
      </c>
      <c r="C3917" s="16" t="n">
        <v>45698</v>
      </c>
      <c r="D3917" s="13" t="s">
        <v>101</v>
      </c>
      <c r="E3917" s="15" t="s">
        <v>47</v>
      </c>
      <c r="F3917" s="15" t="str">
        <f aca="false">IFERROR(__xludf.dummyfunction("XLOOKUP(AJ3917,IMPORTRANGE(""1XaInW9DU9nz21V0tYIfzFQ0He9kVQ_JF2mCXgZ3hqFA"",""REKAP ALL 2026 - Andika!G:G""),IMPORTRANGE(""1XaInW9DU9nz21V0tYIfzFQ0He9kVQ_JF2mCXgZ3hqFA"",""REKAP ALL 2026 - Andika!F:F""),"""",0)"),"21057969517")</f>
        <v>21057969517</v>
      </c>
      <c r="G3917" s="13" t="s">
        <v>16040</v>
      </c>
      <c r="H3917" s="13" t="s">
        <v>2035</v>
      </c>
      <c r="I3917" s="13" t="str">
        <f aca="false">IF(C3917=J3917,"NEW KONTRAK","RE-KONTRAK")</f>
        <v>NEW KONTRAK</v>
      </c>
      <c r="J3917" s="16" t="n">
        <f aca="false" t="array" ref="J3917:J3917">IFERROR(INDEX(AC3917:AE3917,IF(COUNTA(AC3917:AE3917)=0,"",MAX((AC3917:AE3917&lt;&gt;"")*(COLUMN(AC3917:AE3917)-(COLUMN(AC3917)))))-1),"")</f>
        <v>45698</v>
      </c>
      <c r="K3917" s="16" t="n">
        <f aca="false" t="array" ref="K3917:K3917">IFERROR(INDEX(AC3917:AE3917,IF(COUNTA(AC3917:AE3917)=0,"",MAX((AC3917:AE3917&lt;&gt;"")*(COLUMN(AC3917:AE3917)-(COLUMN(AC3917)-1))))-1),"")</f>
        <v>46036</v>
      </c>
      <c r="L3917" s="17" t="str">
        <f aca="false" t="array" ref="L3917:L3917">IFERROR(INDEX(AC3917:AE3917,IF(COUNTA(AC3917:AE3917)=0,"",MAX((AC3917:AE3917&lt;&gt;"")*(COLUMN(AC3917:AE3917)-(COLUMN(AC3917)-2))))-1),"")</f>
        <v>ARCHIVED</v>
      </c>
      <c r="M3917" s="13" t="n">
        <f aca="true">K3917-TODAY()</f>
        <v>-288</v>
      </c>
      <c r="N3917" s="18" t="s">
        <v>105</v>
      </c>
      <c r="O3917" s="13" t="s">
        <v>1467</v>
      </c>
      <c r="P3917" s="31" t="n">
        <v>162068</v>
      </c>
      <c r="Q3917" s="20" t="s">
        <v>16041</v>
      </c>
      <c r="R3917" s="13" t="s">
        <v>39</v>
      </c>
      <c r="S3917" s="48" t="n">
        <v>35961</v>
      </c>
      <c r="T3917" s="28" t="s">
        <v>40</v>
      </c>
      <c r="U3917" s="13" t="s">
        <v>16042</v>
      </c>
      <c r="V3917" s="13" t="s">
        <v>42</v>
      </c>
      <c r="W3917" s="13" t="s">
        <v>54</v>
      </c>
      <c r="X3917" s="21" t="n">
        <v>83134522220</v>
      </c>
      <c r="Y3917" s="22" t="str">
        <f aca="false">O3917</f>
        <v>Maintenance - Leader</v>
      </c>
      <c r="Z3917" s="13" t="str">
        <f aca="false">IFERROR(__xludf.dummyfunction("if(BJ3917="""","""",GOOGLETRANSLATE(BJ3917,""auto"",""en""))"),"Maintenance - Leader")</f>
        <v>Maintenance - Leader</v>
      </c>
      <c r="AA3917" s="23" t="str">
        <f aca="false">IF(C3917="","", CHOOSE(MONTH(C3917),"January","February","March","April","May","June","July","August","September","October","November","December")&amp;" "&amp;DAY(C3917)&amp;MID("thstndrdth",MIN(9,2*RIGHT(DAY(C3917))*(MOD(DAY(C3917)-11,100)&gt;2)+1),2)&amp;","&amp;TEXT(C3917," yyyy"))</f>
        <v>February 10th,2025</v>
      </c>
      <c r="AB3917" s="15" t="str">
        <f aca="true">IF(S3917="","",DATEDIF(S3917,TODAY(),"Y")&amp;" Tahun, "&amp;DATEDIF(S3917,TODAY(),"YM")&amp;" Bulan, "&amp;DATEDIF(S3917,TODAY(),"MD")&amp;" Hari")</f>
        <v>28 Tahun, 4 Bulan, 14 Hari</v>
      </c>
      <c r="AC3917" s="18" t="n">
        <v>45698</v>
      </c>
      <c r="AD3917" s="18" t="n">
        <v>46036</v>
      </c>
      <c r="AE3917" s="18" t="s">
        <v>44</v>
      </c>
    </row>
    <row r="3918" customFormat="false" ht="15" hidden="false" customHeight="true" outlineLevel="0" collapsed="false">
      <c r="A3918" s="12" t="n">
        <v>2394</v>
      </c>
      <c r="B3918" s="13" t="s">
        <v>16043</v>
      </c>
      <c r="C3918" s="14" t="n">
        <v>44405</v>
      </c>
      <c r="D3918" s="13" t="s">
        <v>101</v>
      </c>
      <c r="E3918" s="15" t="s">
        <v>47</v>
      </c>
      <c r="F3918" s="15" t="str">
        <f aca="false">IFERROR(__xludf.dummyfunction("XLOOKUP(AJ3918,IMPORTRANGE(""1XaInW9DU9nz21V0tYIfzFQ0He9kVQ_JF2mCXgZ3hqFA"",""REKAP ALL 2026 - Andika!G:G""),IMPORTRANGE(""1XaInW9DU9nz21V0tYIfzFQ0He9kVQ_JF2mCXgZ3hqFA"",""REKAP ALL 2026 - Andika!F:F""),"""",0)"),"21068421458")</f>
        <v>21068421458</v>
      </c>
      <c r="G3918" s="13" t="s">
        <v>16044</v>
      </c>
      <c r="H3918" s="13" t="s">
        <v>35</v>
      </c>
      <c r="I3918" s="13" t="str">
        <f aca="false">IF(C3918=J3918,"NEW KONTRAK","RE-KONTRAK")</f>
        <v>RE-KONTRAK</v>
      </c>
      <c r="J3918" s="16" t="n">
        <f aca="false" t="array" ref="J3918:J3918">IFERROR(INDEX(AC3918:AE3918,IF(COUNTA(AC3918:AE3918)=0,"",MAX((AC3918:AE3918&lt;&gt;"")*(COLUMN(AC3918:AE3918)-(COLUMN(AC3918)))))-1),"")</f>
        <v>45672</v>
      </c>
      <c r="K3918" s="16" t="n">
        <f aca="false" t="array" ref="K3918:K3918">IFERROR(INDEX(AC3918:AE3918,IF(COUNTA(AC3918:AE3918)=0,"",MAX((AC3918:AE3918&lt;&gt;"")*(COLUMN(AC3918:AE3918)-(COLUMN(AC3918)-1))))-1),"")</f>
        <v>46036</v>
      </c>
      <c r="L3918" s="17" t="str">
        <f aca="false" t="array" ref="L3918:L3918">IFERROR(INDEX(AC3918:AE3918,IF(COUNTA(AC3918:AE3918)=0,"",MAX((AC3918:AE3918&lt;&gt;"")*(COLUMN(AC3918:AE3918)-(COLUMN(AC3918)-2))))-1),"")</f>
        <v>ARCHIVED</v>
      </c>
      <c r="M3918" s="13" t="n">
        <f aca="true">K3918-TODAY()</f>
        <v>-288</v>
      </c>
      <c r="N3918" s="18" t="s">
        <v>105</v>
      </c>
      <c r="O3918" s="13" t="s">
        <v>1434</v>
      </c>
      <c r="P3918" s="31" t="n">
        <v>138915</v>
      </c>
      <c r="Q3918" s="20" t="s">
        <v>16045</v>
      </c>
      <c r="R3918" s="13" t="s">
        <v>39</v>
      </c>
      <c r="S3918" s="25" t="n">
        <v>37532</v>
      </c>
      <c r="T3918" s="13" t="s">
        <v>108</v>
      </c>
      <c r="U3918" s="13" t="s">
        <v>16046</v>
      </c>
      <c r="V3918" s="13" t="s">
        <v>42</v>
      </c>
      <c r="W3918" s="13" t="s">
        <v>43</v>
      </c>
      <c r="X3918" s="21" t="n">
        <v>881026784889</v>
      </c>
      <c r="Y3918" s="22" t="str">
        <f aca="false">O3918</f>
        <v>E-Commerce - Packer</v>
      </c>
      <c r="Z3918" s="13" t="str">
        <f aca="false">IFERROR(__xludf.dummyfunction("if(BJ3918="""","""",GOOGLETRANSLATE(BJ3918,""auto"",""en""))"),"E-Commerce - Packer")</f>
        <v>E-Commerce - Packer</v>
      </c>
      <c r="AA3918" s="23" t="str">
        <f aca="false">IF(C3918="","", CHOOSE(MONTH(C3918),"January","February","March","April","May","June","July","August","September","October","November","December")&amp;" "&amp;DAY(C3918)&amp;MID("thstndrdth",MIN(9,2*RIGHT(DAY(C3918))*(MOD(DAY(C3918)-11,100)&gt;2)+1),2)&amp;","&amp;TEXT(C3918," yyyy"))</f>
        <v>July 28th,2021</v>
      </c>
      <c r="AB3918" s="15" t="str">
        <f aca="true">IF(S3918="","",DATEDIF(S3918,TODAY(),"Y")&amp;" Tahun, "&amp;DATEDIF(S3918,TODAY(),"YM")&amp;" Bulan, "&amp;DATEDIF(S3918,TODAY(),"MD")&amp;" Hari")</f>
        <v>24 Tahun, 0 Bulan, 26 Hari</v>
      </c>
      <c r="AC3918" s="18" t="n">
        <v>45672</v>
      </c>
      <c r="AD3918" s="18" t="n">
        <v>46036</v>
      </c>
      <c r="AE3918" s="18" t="s">
        <v>44</v>
      </c>
    </row>
    <row r="3919" customFormat="false" ht="15" hidden="false" customHeight="true" outlineLevel="0" collapsed="false">
      <c r="A3919" s="12" t="n">
        <v>22560</v>
      </c>
      <c r="B3919" s="13" t="s">
        <v>16047</v>
      </c>
      <c r="C3919" s="14" t="n">
        <v>46219</v>
      </c>
      <c r="D3919" s="13" t="s">
        <v>101</v>
      </c>
      <c r="E3919" s="15" t="s">
        <v>47</v>
      </c>
      <c r="F3919" s="15" t="str">
        <f aca="false">IFERROR(__xludf.dummyfunction("XLOOKUP(AJ3919,IMPORTRANGE(""1XaInW9DU9nz21V0tYIfzFQ0He9kVQ_JF2mCXgZ3hqFA"",""REKAP ALL 2026 - Andika!G:G""),IMPORTRANGE(""1XaInW9DU9nz21V0tYIfzFQ0He9kVQ_JF2mCXgZ3hqFA"",""REKAP ALL 2026 - Andika!F:F""),"""",0)"),"21068419320")</f>
        <v>21068419320</v>
      </c>
      <c r="G3919" s="28" t="s">
        <v>57</v>
      </c>
      <c r="H3919" s="13" t="s">
        <v>35</v>
      </c>
      <c r="I3919" s="13" t="str">
        <f aca="false">IF(C3919=J3919,"NEW KONTRAK","RE-KONTRAK")</f>
        <v>NEW KONTRAK</v>
      </c>
      <c r="J3919" s="16" t="n">
        <f aca="false" t="array" ref="J3919:J3919">IFERROR(INDEX(AC3919:AE3919,IF(COUNTA(AC3919:AE3919)=0,"",MAX((AC3919:AE3919&lt;&gt;"")*(COLUMN(AC3919:AE3919)-(COLUMN(AC3919)))))-1),"")</f>
        <v>46219</v>
      </c>
      <c r="K3919" s="16" t="n">
        <f aca="false" t="array" ref="K3919:K3919">IFERROR(INDEX(AC3919:AE3919,IF(COUNTA(AC3919:AE3919)=0,"",MAX((AC3919:AE3919&lt;&gt;"")*(COLUMN(AC3919:AE3919)-(COLUMN(AC3919)-1))))-1),"")</f>
        <v>46402</v>
      </c>
      <c r="L3919" s="17" t="str">
        <f aca="false" t="array" ref="L3919:L3919">IFERROR(INDEX(AC3919:AE3919,IF(COUNTA(AC3919:AE3919)=0,"",MAX((AC3919:AE3919&lt;&gt;"")*(COLUMN(AC3919:AE3919)-(COLUMN(AC3919)-2))))-1),"")</f>
        <v>KEMBALI</v>
      </c>
      <c r="M3919" s="13" t="n">
        <f aca="true">K3919-TODAY()</f>
        <v>78</v>
      </c>
      <c r="N3919" s="18" t="s">
        <v>105</v>
      </c>
      <c r="O3919" s="13" t="s">
        <v>1453</v>
      </c>
      <c r="P3919" s="26" t="n">
        <v>138915</v>
      </c>
      <c r="Q3919" s="20" t="s">
        <v>16048</v>
      </c>
      <c r="R3919" s="16" t="s">
        <v>324</v>
      </c>
      <c r="S3919" s="25" t="n">
        <v>37440</v>
      </c>
      <c r="T3919" s="13" t="s">
        <v>108</v>
      </c>
      <c r="U3919" s="17" t="s">
        <v>16049</v>
      </c>
      <c r="V3919" s="15" t="s">
        <v>42</v>
      </c>
      <c r="W3919" s="13" t="s">
        <v>43</v>
      </c>
      <c r="X3919" s="21" t="n">
        <v>88230268972</v>
      </c>
      <c r="Y3919" s="22" t="str">
        <f aca="false">O3919</f>
        <v>Helper Produksi</v>
      </c>
      <c r="Z3919" s="13" t="str">
        <f aca="false">IFERROR(__xludf.dummyfunction("if(BJ3919="""","""",GOOGLETRANSLATE(BJ3919,""auto"",""en""))"),"Production Helper")</f>
        <v>Production Helper</v>
      </c>
      <c r="AA3919" s="23" t="str">
        <f aca="false">IF(C3919="","", CHOOSE(MONTH(C3919),"January","February","March","April","May","June","July","August","September","October","November","December")&amp;" "&amp;DAY(C3919)&amp;MID("thstndrdth",MIN(9,2*RIGHT(DAY(C3919))*(MOD(DAY(C3919)-11,100)&gt;2)+1),2)&amp;","&amp;TEXT(C3919," yyyy"))</f>
        <v>July 16th,2026</v>
      </c>
      <c r="AB3919" s="15" t="str">
        <f aca="true">IF(S3919="","",DATEDIF(S3919,TODAY(),"Y")&amp;" Tahun, "&amp;DATEDIF(S3919,TODAY(),"YM")&amp;" Bulan, "&amp;DATEDIF(S3919,TODAY(),"MD")&amp;" Hari")</f>
        <v>24 Tahun, 3 Bulan, 26 Hari</v>
      </c>
      <c r="AC3919" s="14" t="n">
        <v>46219</v>
      </c>
      <c r="AD3919" s="18" t="n">
        <v>46402</v>
      </c>
      <c r="AE3919" s="13" t="s">
        <v>397</v>
      </c>
    </row>
    <row r="3920" customFormat="false" ht="15" hidden="false" customHeight="true" outlineLevel="0" collapsed="false">
      <c r="A3920" s="12" t="n">
        <v>22542</v>
      </c>
      <c r="B3920" s="45" t="s">
        <v>16050</v>
      </c>
      <c r="C3920" s="14" t="n">
        <v>46223</v>
      </c>
      <c r="D3920" s="13" t="s">
        <v>101</v>
      </c>
      <c r="E3920" s="15" t="s">
        <v>47</v>
      </c>
      <c r="F3920" s="24" t="s">
        <v>16051</v>
      </c>
      <c r="G3920" s="28" t="s">
        <v>57</v>
      </c>
      <c r="H3920" s="13" t="s">
        <v>35</v>
      </c>
      <c r="I3920" s="13" t="str">
        <f aca="false">IF(C3920=J3920,"NEW KONTRAK","RE-KONTRAK")</f>
        <v>NEW KONTRAK</v>
      </c>
      <c r="J3920" s="16" t="n">
        <f aca="false" t="array" ref="J3920:J3920">IFERROR(INDEX(AC3920:AE3920,IF(COUNTA(AC3920:AE3920)=0,"",MAX((AC3920:AE3920&lt;&gt;"")*(COLUMN(AC3920:AE3920)-(COLUMN(AC3920)))))-1),"")</f>
        <v>46223</v>
      </c>
      <c r="K3920" s="16" t="n">
        <f aca="false" t="array" ref="K3920:K3920">IFERROR(INDEX(AC3920:AE3920,IF(COUNTA(AC3920:AE3920)=0,"",MAX((AC3920:AE3920&lt;&gt;"")*(COLUMN(AC3920:AE3920)-(COLUMN(AC3920)-1))))-1),"")</f>
        <v>46402</v>
      </c>
      <c r="L3920" s="17" t="str">
        <f aca="false" t="array" ref="L3920:L3920">IFERROR(INDEX(AC3920:AE3920,IF(COUNTA(AC3920:AE3920)=0,"",MAX((AC3920:AE3920&lt;&gt;"")*(COLUMN(AC3920:AE3920)-(COLUMN(AC3920)-2))))-1),"")</f>
        <v>KEMBALI</v>
      </c>
      <c r="M3920" s="13" t="n">
        <f aca="true">K3920-TODAY()</f>
        <v>78</v>
      </c>
      <c r="N3920" s="18" t="s">
        <v>105</v>
      </c>
      <c r="O3920" s="13" t="s">
        <v>1453</v>
      </c>
      <c r="P3920" s="26" t="n">
        <v>138915</v>
      </c>
      <c r="Q3920" s="20" t="s">
        <v>16052</v>
      </c>
      <c r="R3920" s="13" t="s">
        <v>14321</v>
      </c>
      <c r="S3920" s="25" t="n">
        <v>38589</v>
      </c>
      <c r="T3920" s="13" t="s">
        <v>108</v>
      </c>
      <c r="U3920" s="17" t="s">
        <v>16053</v>
      </c>
      <c r="V3920" s="13" t="s">
        <v>42</v>
      </c>
      <c r="W3920" s="13" t="s">
        <v>43</v>
      </c>
      <c r="X3920" s="21" t="n">
        <v>81347703210</v>
      </c>
      <c r="Y3920" s="22" t="str">
        <f aca="false">O3920</f>
        <v>Helper Produksi</v>
      </c>
      <c r="Z3920" s="13" t="str">
        <f aca="false">IFERROR(__xludf.dummyfunction("if(BJ3920="""","""",GOOGLETRANSLATE(BJ3920,""auto"",""en""))"),"Production Helper")</f>
        <v>Production Helper</v>
      </c>
      <c r="AA3920" s="23" t="str">
        <f aca="false">IF(C3920="","", CHOOSE(MONTH(C3920),"January","February","March","April","May","June","July","August","September","October","November","December")&amp;" "&amp;DAY(C3920)&amp;MID("thstndrdth",MIN(9,2*RIGHT(DAY(C3920))*(MOD(DAY(C3920)-11,100)&gt;2)+1),2)&amp;","&amp;TEXT(C3920," yyyy"))</f>
        <v>July 20th,2026</v>
      </c>
      <c r="AB3920" s="15" t="str">
        <f aca="true">IF(S3920="","",DATEDIF(S3920,TODAY(),"Y")&amp;" Tahun, "&amp;DATEDIF(S3920,TODAY(),"YM")&amp;" Bulan, "&amp;DATEDIF(S3920,TODAY(),"MD")&amp;" Hari")</f>
        <v>21 Tahun, 2 Bulan, 4 Hari</v>
      </c>
      <c r="AC3920" s="14" t="n">
        <v>46223</v>
      </c>
      <c r="AD3920" s="18" t="n">
        <v>46402</v>
      </c>
      <c r="AE3920" s="13" t="s">
        <v>397</v>
      </c>
    </row>
    <row r="3921" customFormat="false" ht="15" hidden="false" customHeight="true" outlineLevel="0" collapsed="false">
      <c r="A3921" s="12" t="n">
        <v>2395</v>
      </c>
      <c r="B3921" s="13" t="s">
        <v>16054</v>
      </c>
      <c r="C3921" s="14" t="n">
        <v>44405</v>
      </c>
      <c r="D3921" s="13" t="s">
        <v>101</v>
      </c>
      <c r="E3921" s="15" t="s">
        <v>47</v>
      </c>
      <c r="F3921" s="15" t="str">
        <f aca="false">IFERROR(__xludf.dummyfunction("XLOOKUP(AJ3921,IMPORTRANGE(""1XaInW9DU9nz21V0tYIfzFQ0He9kVQ_JF2mCXgZ3hqFA"",""REKAP ALL 2026 - Andika!G:G""),IMPORTRANGE(""1XaInW9DU9nz21V0tYIfzFQ0He9kVQ_JF2mCXgZ3hqFA"",""REKAP ALL 2026 - Andika!F:F""),"""",0)"),"21068421409")</f>
        <v>21068421409</v>
      </c>
      <c r="G3921" s="13" t="s">
        <v>16055</v>
      </c>
      <c r="H3921" s="13" t="s">
        <v>35</v>
      </c>
      <c r="I3921" s="13" t="str">
        <f aca="false">IF(C3921=J3921,"NEW KONTRAK","RE-KONTRAK")</f>
        <v>RE-KONTRAK</v>
      </c>
      <c r="J3921" s="16" t="n">
        <f aca="false" t="array" ref="J3921:J3921">IFERROR(INDEX(AC3921:AE3921,IF(COUNTA(AC3921:AE3921)=0,"",MAX((AC3921:AE3921&lt;&gt;"")*(COLUMN(AC3921:AE3921)-(COLUMN(AC3921)))))-1),"")</f>
        <v>45672</v>
      </c>
      <c r="K3921" s="16" t="n">
        <f aca="false" t="array" ref="K3921:K3921">IFERROR(INDEX(AC3921:AE3921,IF(COUNTA(AC3921:AE3921)=0,"",MAX((AC3921:AE3921&lt;&gt;"")*(COLUMN(AC3921:AE3921)-(COLUMN(AC3921)-1))))-1),"")</f>
        <v>46036</v>
      </c>
      <c r="L3921" s="17" t="str">
        <f aca="false" t="array" ref="L3921:L3921">IFERROR(INDEX(AC3921:AE3921,IF(COUNTA(AC3921:AE3921)=0,"",MAX((AC3921:AE3921&lt;&gt;"")*(COLUMN(AC3921:AE3921)-(COLUMN(AC3921)-2))))-1),"")</f>
        <v>ARCHIVED</v>
      </c>
      <c r="M3921" s="13" t="n">
        <f aca="true">K3921-TODAY()</f>
        <v>-288</v>
      </c>
      <c r="N3921" s="18" t="s">
        <v>105</v>
      </c>
      <c r="O3921" s="13" t="s">
        <v>1434</v>
      </c>
      <c r="P3921" s="31" t="n">
        <v>138915</v>
      </c>
      <c r="Q3921" s="20" t="s">
        <v>16056</v>
      </c>
      <c r="R3921" s="13" t="s">
        <v>39</v>
      </c>
      <c r="S3921" s="25" t="n">
        <v>37001</v>
      </c>
      <c r="T3921" s="13" t="s">
        <v>108</v>
      </c>
      <c r="U3921" s="13" t="s">
        <v>16057</v>
      </c>
      <c r="V3921" s="13" t="s">
        <v>42</v>
      </c>
      <c r="W3921" s="13" t="s">
        <v>43</v>
      </c>
      <c r="X3921" s="21" t="n">
        <v>81252076192</v>
      </c>
      <c r="Y3921" s="22" t="str">
        <f aca="false">O3921</f>
        <v>E-Commerce - Packer</v>
      </c>
      <c r="Z3921" s="13" t="str">
        <f aca="false">IFERROR(__xludf.dummyfunction("if(BJ3921="""","""",GOOGLETRANSLATE(BJ3921,""auto"",""en""))"),"E-Commerce - Packer")</f>
        <v>E-Commerce - Packer</v>
      </c>
      <c r="AA3921" s="23" t="str">
        <f aca="false">IF(C3921="","", CHOOSE(MONTH(C3921),"January","February","March","April","May","June","July","August","September","October","November","December")&amp;" "&amp;DAY(C3921)&amp;MID("thstndrdth",MIN(9,2*RIGHT(DAY(C3921))*(MOD(DAY(C3921)-11,100)&gt;2)+1),2)&amp;","&amp;TEXT(C3921," yyyy"))</f>
        <v>July 28th,2021</v>
      </c>
      <c r="AB3921" s="15" t="str">
        <f aca="true">IF(S3921="","",DATEDIF(S3921,TODAY(),"Y")&amp;" Tahun, "&amp;DATEDIF(S3921,TODAY(),"YM")&amp;" Bulan, "&amp;DATEDIF(S3921,TODAY(),"MD")&amp;" Hari")</f>
        <v>25 Tahun, 6 Bulan, 9 Hari</v>
      </c>
      <c r="AC3921" s="18" t="n">
        <v>45672</v>
      </c>
      <c r="AD3921" s="18" t="n">
        <v>46036</v>
      </c>
      <c r="AE3921" s="18" t="s">
        <v>44</v>
      </c>
    </row>
    <row r="3922" customFormat="false" ht="15" hidden="false" customHeight="true" outlineLevel="0" collapsed="false">
      <c r="A3922" s="12" t="n">
        <v>22550</v>
      </c>
      <c r="B3922" s="45" t="s">
        <v>16058</v>
      </c>
      <c r="C3922" s="14" t="n">
        <v>46219</v>
      </c>
      <c r="D3922" s="13" t="s">
        <v>101</v>
      </c>
      <c r="E3922" s="15" t="s">
        <v>102</v>
      </c>
      <c r="F3922" s="24" t="s">
        <v>16059</v>
      </c>
      <c r="G3922" s="28" t="s">
        <v>57</v>
      </c>
      <c r="H3922" s="13" t="s">
        <v>35</v>
      </c>
      <c r="I3922" s="13" t="str">
        <f aca="false">IF(C3922=J3922,"NEW KONTRAK","RE-KONTRAK")</f>
        <v>NEW KONTRAK</v>
      </c>
      <c r="J3922" s="16" t="n">
        <f aca="false" t="array" ref="J3922:J3922">IFERROR(INDEX(AC3922:AE3922,IF(COUNTA(AC3922:AE3922)=0,"",MAX((AC3922:AE3922&lt;&gt;"")*(COLUMN(AC3922:AE3922)-(COLUMN(AC3922)))))-1),"")</f>
        <v>46219</v>
      </c>
      <c r="K3922" s="16" t="n">
        <f aca="false" t="array" ref="K3922:K3922">IFERROR(INDEX(AC3922:AE3922,IF(COUNTA(AC3922:AE3922)=0,"",MAX((AC3922:AE3922&lt;&gt;"")*(COLUMN(AC3922:AE3922)-(COLUMN(AC3922)-1))))-1),"")</f>
        <v>46402</v>
      </c>
      <c r="L3922" s="17" t="str">
        <f aca="false" t="array" ref="L3922:L3922">IFERROR(INDEX(AC3922:AE3922,IF(COUNTA(AC3922:AE3922)=0,"",MAX((AC3922:AE3922&lt;&gt;"")*(COLUMN(AC3922:AE3922)-(COLUMN(AC3922)-2))))-1),"")</f>
        <v>KEMBALI</v>
      </c>
      <c r="M3922" s="13" t="n">
        <f aca="true">K3922-TODAY()</f>
        <v>78</v>
      </c>
      <c r="N3922" s="18" t="s">
        <v>105</v>
      </c>
      <c r="O3922" s="13" t="s">
        <v>1453</v>
      </c>
      <c r="P3922" s="26" t="n">
        <v>138915</v>
      </c>
      <c r="Q3922" s="20" t="s">
        <v>16060</v>
      </c>
      <c r="R3922" s="16" t="s">
        <v>39</v>
      </c>
      <c r="S3922" s="25" t="n">
        <v>38349</v>
      </c>
      <c r="T3922" s="13" t="s">
        <v>108</v>
      </c>
      <c r="U3922" s="17" t="s">
        <v>16061</v>
      </c>
      <c r="V3922" s="15" t="s">
        <v>42</v>
      </c>
      <c r="W3922" s="13" t="s">
        <v>43</v>
      </c>
      <c r="X3922" s="21" t="n">
        <v>85857214390</v>
      </c>
      <c r="Y3922" s="22" t="str">
        <f aca="false">O3922</f>
        <v>Helper Produksi</v>
      </c>
      <c r="Z3922" s="13" t="str">
        <f aca="false">IFERROR(__xludf.dummyfunction("if(BJ3922="""","""",GOOGLETRANSLATE(BJ3922,""auto"",""en""))"),"Production Helper")</f>
        <v>Production Helper</v>
      </c>
      <c r="AA3922" s="23" t="str">
        <f aca="false">IF(C3922="","", CHOOSE(MONTH(C3922),"January","February","March","April","May","June","July","August","September","October","November","December")&amp;" "&amp;DAY(C3922)&amp;MID("thstndrdth",MIN(9,2*RIGHT(DAY(C3922))*(MOD(DAY(C3922)-11,100)&gt;2)+1),2)&amp;","&amp;TEXT(C3922," yyyy"))</f>
        <v>July 16th,2026</v>
      </c>
      <c r="AB3922" s="15" t="str">
        <f aca="true">IF(S3922="","",DATEDIF(S3922,TODAY(),"Y")&amp;" Tahun, "&amp;DATEDIF(S3922,TODAY(),"YM")&amp;" Bulan, "&amp;DATEDIF(S3922,TODAY(),"MD")&amp;" Hari")</f>
        <v>21 Tahun, 10 Bulan, 1 Hari</v>
      </c>
      <c r="AC3922" s="14" t="n">
        <v>46219</v>
      </c>
      <c r="AD3922" s="18" t="n">
        <v>46402</v>
      </c>
      <c r="AE3922" s="13" t="s">
        <v>397</v>
      </c>
    </row>
    <row r="3923" customFormat="false" ht="15" hidden="false" customHeight="true" outlineLevel="0" collapsed="false">
      <c r="A3923" s="12" t="n">
        <v>22561</v>
      </c>
      <c r="B3923" s="13" t="s">
        <v>16062</v>
      </c>
      <c r="C3923" s="14" t="n">
        <v>46219</v>
      </c>
      <c r="D3923" s="13" t="s">
        <v>101</v>
      </c>
      <c r="E3923" s="15" t="s">
        <v>47</v>
      </c>
      <c r="F3923" s="15" t="str">
        <f aca="false">IFERROR(__xludf.dummyfunction("XLOOKUP(AJ3923,IMPORTRANGE(""1XaInW9DU9nz21V0tYIfzFQ0He9kVQ_JF2mCXgZ3hqFA"",""REKAP ALL 2026 - Andika!G:G""),IMPORTRANGE(""1XaInW9DU9nz21V0tYIfzFQ0He9kVQ_JF2mCXgZ3hqFA"",""REKAP ALL 2026 - Andika!F:F""),"""",0)"),"23076924358")</f>
        <v>23076924358</v>
      </c>
      <c r="G3923" s="28" t="s">
        <v>57</v>
      </c>
      <c r="H3923" s="13" t="s">
        <v>35</v>
      </c>
      <c r="I3923" s="13" t="str">
        <f aca="false">IF(C3923=J3923,"NEW KONTRAK","RE-KONTRAK")</f>
        <v>NEW KONTRAK</v>
      </c>
      <c r="J3923" s="16" t="n">
        <f aca="false" t="array" ref="J3923:J3923">IFERROR(INDEX(AC3923:AE3923,IF(COUNTA(AC3923:AE3923)=0,"",MAX((AC3923:AE3923&lt;&gt;"")*(COLUMN(AC3923:AE3923)-(COLUMN(AC3923)))))-1),"")</f>
        <v>46219</v>
      </c>
      <c r="K3923" s="16" t="n">
        <f aca="false" t="array" ref="K3923:K3923">IFERROR(INDEX(AC3923:AE3923,IF(COUNTA(AC3923:AE3923)=0,"",MAX((AC3923:AE3923&lt;&gt;"")*(COLUMN(AC3923:AE3923)-(COLUMN(AC3923)-1))))-1),"")</f>
        <v>46402</v>
      </c>
      <c r="L3923" s="17" t="str">
        <f aca="false" t="array" ref="L3923:L3923">IFERROR(INDEX(AC3923:AE3923,IF(COUNTA(AC3923:AE3923)=0,"",MAX((AC3923:AE3923&lt;&gt;"")*(COLUMN(AC3923:AE3923)-(COLUMN(AC3923)-2))))-1),"")</f>
        <v>KEMBALI</v>
      </c>
      <c r="M3923" s="13" t="n">
        <f aca="true">K3923-TODAY()</f>
        <v>78</v>
      </c>
      <c r="N3923" s="18" t="s">
        <v>105</v>
      </c>
      <c r="O3923" s="13" t="s">
        <v>1453</v>
      </c>
      <c r="P3923" s="26" t="n">
        <v>138915</v>
      </c>
      <c r="Q3923" s="20" t="s">
        <v>16063</v>
      </c>
      <c r="R3923" s="16" t="s">
        <v>39</v>
      </c>
      <c r="S3923" s="25" t="n">
        <v>37413</v>
      </c>
      <c r="T3923" s="28" t="s">
        <v>40</v>
      </c>
      <c r="U3923" s="17" t="s">
        <v>16064</v>
      </c>
      <c r="V3923" s="15" t="s">
        <v>42</v>
      </c>
      <c r="W3923" s="13" t="s">
        <v>43</v>
      </c>
      <c r="X3923" s="21" t="n">
        <v>85733466110</v>
      </c>
      <c r="Y3923" s="22" t="str">
        <f aca="false">O3923</f>
        <v>Helper Produksi</v>
      </c>
      <c r="Z3923" s="13" t="str">
        <f aca="false">IFERROR(__xludf.dummyfunction("if(BJ3923="""","""",GOOGLETRANSLATE(BJ3923,""auto"",""en""))"),"Production Helper")</f>
        <v>Production Helper</v>
      </c>
      <c r="AA3923" s="23" t="str">
        <f aca="false">IF(C3923="","", CHOOSE(MONTH(C3923),"January","February","March","April","May","June","July","August","September","October","November","December")&amp;" "&amp;DAY(C3923)&amp;MID("thstndrdth",MIN(9,2*RIGHT(DAY(C3923))*(MOD(DAY(C3923)-11,100)&gt;2)+1),2)&amp;","&amp;TEXT(C3923," yyyy"))</f>
        <v>July 16th,2026</v>
      </c>
      <c r="AB3923" s="15" t="str">
        <f aca="true">IF(S3923="","",DATEDIF(S3923,TODAY(),"Y")&amp;" Tahun, "&amp;DATEDIF(S3923,TODAY(),"YM")&amp;" Bulan, "&amp;DATEDIF(S3923,TODAY(),"MD")&amp;" Hari")</f>
        <v>24 Tahun, 4 Bulan, 23 Hari</v>
      </c>
      <c r="AC3923" s="14" t="n">
        <v>46219</v>
      </c>
      <c r="AD3923" s="18" t="n">
        <v>46402</v>
      </c>
      <c r="AE3923" s="13" t="s">
        <v>397</v>
      </c>
    </row>
    <row r="3924" customFormat="false" ht="15" hidden="false" customHeight="true" outlineLevel="0" collapsed="false">
      <c r="A3924" s="12" t="n">
        <v>22658</v>
      </c>
      <c r="B3924" s="28" t="s">
        <v>16065</v>
      </c>
      <c r="C3924" s="14" t="n">
        <v>46244</v>
      </c>
      <c r="D3924" s="13" t="s">
        <v>101</v>
      </c>
      <c r="E3924" s="15" t="s">
        <v>47</v>
      </c>
      <c r="F3924" s="24" t="s">
        <v>16066</v>
      </c>
      <c r="G3924" s="13" t="s">
        <v>1452</v>
      </c>
      <c r="H3924" s="13" t="s">
        <v>35</v>
      </c>
      <c r="I3924" s="13" t="str">
        <f aca="false">IF(C3924=J3924,"NEW KONTRAK","RE-KONTRAK")</f>
        <v>NEW KONTRAK</v>
      </c>
      <c r="J3924" s="16" t="n">
        <f aca="false" t="array" ref="J3924:J3924">IFERROR(INDEX(AC3924:AE3924,IF(COUNTA(AC3924:AE3924)=0,"",MAX((AC3924:AE3924&lt;&gt;"")*(COLUMN(AC3924:AE3924)-(COLUMN(AC3924)))))-1),"")</f>
        <v>46244</v>
      </c>
      <c r="K3924" s="16" t="n">
        <f aca="false" t="array" ref="K3924:K3924">IFERROR(INDEX(AC3924:AE3924,IF(COUNTA(AC3924:AE3924)=0,"",MAX((AC3924:AE3924&lt;&gt;"")*(COLUMN(AC3924:AE3924)-(COLUMN(AC3924)-1))))-1),"")</f>
        <v>46402</v>
      </c>
      <c r="L3924" s="17" t="str">
        <f aca="false" t="array" ref="L3924:L3924">IFERROR(INDEX(AC3924:AE3924,IF(COUNTA(AC3924:AE3924)=0,"",MAX((AC3924:AE3924&lt;&gt;"")*(COLUMN(AC3924:AE3924)-(COLUMN(AC3924)-2))))-1),"")</f>
        <v>ARCHIVED</v>
      </c>
      <c r="M3924" s="13" t="n">
        <f aca="true">K3924-TODAY()</f>
        <v>78</v>
      </c>
      <c r="N3924" s="18" t="s">
        <v>105</v>
      </c>
      <c r="O3924" s="13" t="s">
        <v>1453</v>
      </c>
      <c r="P3924" s="26" t="n">
        <v>138915</v>
      </c>
      <c r="Q3924" s="20" t="s">
        <v>16067</v>
      </c>
      <c r="R3924" s="13" t="s">
        <v>39</v>
      </c>
      <c r="S3924" s="25" t="n">
        <v>38370</v>
      </c>
      <c r="T3924" s="13" t="s">
        <v>108</v>
      </c>
      <c r="U3924" s="13" t="s">
        <v>16068</v>
      </c>
      <c r="V3924" s="13" t="s">
        <v>42</v>
      </c>
      <c r="W3924" s="13" t="s">
        <v>43</v>
      </c>
      <c r="X3924" s="21" t="n">
        <v>89673790602</v>
      </c>
      <c r="Y3924" s="22" t="str">
        <f aca="false">O3924</f>
        <v>Helper Produksi</v>
      </c>
      <c r="Z3924" s="13" t="str">
        <f aca="false">IFERROR(__xludf.dummyfunction("if(BJ3924="""","""",GOOGLETRANSLATE(BJ3924,""auto"",""en""))"),"Production Helper")</f>
        <v>Production Helper</v>
      </c>
      <c r="AA3924" s="23" t="str">
        <f aca="false">IF(C3924="","", CHOOSE(MONTH(C3924),"January","February","March","April","May","June","July","August","September","October","November","December")&amp;" "&amp;DAY(C3924)&amp;MID("thstndrdth",MIN(9,2*RIGHT(DAY(C3924))*(MOD(DAY(C3924)-11,100)&gt;2)+1),2)&amp;","&amp;TEXT(C3924," yyyy"))</f>
        <v>August 10th,2026</v>
      </c>
      <c r="AB3924" s="15" t="str">
        <f aca="true">IF(S3924="","",DATEDIF(S3924,TODAY(),"Y")&amp;" Tahun, "&amp;DATEDIF(S3924,TODAY(),"YM")&amp;" Bulan, "&amp;DATEDIF(S3924,TODAY(),"MD")&amp;" Hari")</f>
        <v>21 Tahun, 9 Bulan, 11 Hari</v>
      </c>
      <c r="AC3924" s="14" t="n">
        <v>46244</v>
      </c>
      <c r="AD3924" s="18" t="n">
        <v>46402</v>
      </c>
      <c r="AE3924" s="45" t="s">
        <v>44</v>
      </c>
    </row>
    <row r="3925" customFormat="false" ht="15" hidden="false" customHeight="true" outlineLevel="0" collapsed="false">
      <c r="A3925" s="12" t="n">
        <v>22562</v>
      </c>
      <c r="B3925" s="13" t="s">
        <v>16069</v>
      </c>
      <c r="C3925" s="14" t="n">
        <v>46219</v>
      </c>
      <c r="D3925" s="13" t="s">
        <v>101</v>
      </c>
      <c r="E3925" s="15" t="s">
        <v>47</v>
      </c>
      <c r="F3925" s="15" t="str">
        <f aca="false">IFERROR(__xludf.dummyfunction("XLOOKUP(AJ3925,IMPORTRANGE(""1XaInW9DU9nz21V0tYIfzFQ0He9kVQ_JF2mCXgZ3hqFA"",""REKAP ALL 2026 - Andika!G:G""),IMPORTRANGE(""1XaInW9DU9nz21V0tYIfzFQ0He9kVQ_JF2mCXgZ3hqFA"",""REKAP ALL 2026 - Andika!F:F""),"""",0)"),"22015026028")</f>
        <v>22015026028</v>
      </c>
      <c r="G3925" s="28" t="s">
        <v>57</v>
      </c>
      <c r="H3925" s="13" t="s">
        <v>35</v>
      </c>
      <c r="I3925" s="13" t="str">
        <f aca="false">IF(C3925=J3925,"NEW KONTRAK","RE-KONTRAK")</f>
        <v>NEW KONTRAK</v>
      </c>
      <c r="J3925" s="16" t="n">
        <f aca="false" t="array" ref="J3925:J3925">IFERROR(INDEX(AC3925:AE3925,IF(COUNTA(AC3925:AE3925)=0,"",MAX((AC3925:AE3925&lt;&gt;"")*(COLUMN(AC3925:AE3925)-(COLUMN(AC3925)))))-1),"")</f>
        <v>46219</v>
      </c>
      <c r="K3925" s="16" t="n">
        <f aca="false" t="array" ref="K3925:K3925">IFERROR(INDEX(AC3925:AE3925,IF(COUNTA(AC3925:AE3925)=0,"",MAX((AC3925:AE3925&lt;&gt;"")*(COLUMN(AC3925:AE3925)-(COLUMN(AC3925)-1))))-1),"")</f>
        <v>46402</v>
      </c>
      <c r="L3925" s="17" t="str">
        <f aca="false" t="array" ref="L3925:L3925">IFERROR(INDEX(AC3925:AE3925,IF(COUNTA(AC3925:AE3925)=0,"",MAX((AC3925:AE3925&lt;&gt;"")*(COLUMN(AC3925:AE3925)-(COLUMN(AC3925)-2))))-1),"")</f>
        <v>KEMBALI</v>
      </c>
      <c r="M3925" s="13" t="n">
        <f aca="true">K3925-TODAY()</f>
        <v>78</v>
      </c>
      <c r="N3925" s="18" t="s">
        <v>105</v>
      </c>
      <c r="O3925" s="13" t="s">
        <v>1453</v>
      </c>
      <c r="P3925" s="26" t="n">
        <v>138915</v>
      </c>
      <c r="Q3925" s="20" t="s">
        <v>16070</v>
      </c>
      <c r="R3925" s="16" t="s">
        <v>39</v>
      </c>
      <c r="S3925" s="25" t="n">
        <v>36880</v>
      </c>
      <c r="T3925" s="13" t="s">
        <v>108</v>
      </c>
      <c r="U3925" s="17" t="s">
        <v>16071</v>
      </c>
      <c r="V3925" s="15" t="s">
        <v>42</v>
      </c>
      <c r="W3925" s="13" t="s">
        <v>43</v>
      </c>
      <c r="X3925" s="21" t="n">
        <v>83834366170</v>
      </c>
      <c r="Y3925" s="22" t="str">
        <f aca="false">O3925</f>
        <v>Helper Produksi</v>
      </c>
      <c r="Z3925" s="13" t="str">
        <f aca="false">IFERROR(__xludf.dummyfunction("if(BJ3925="""","""",GOOGLETRANSLATE(BJ3925,""auto"",""en""))"),"Production Helper")</f>
        <v>Production Helper</v>
      </c>
      <c r="AA3925" s="23" t="str">
        <f aca="false">IF(C3925="","", CHOOSE(MONTH(C3925),"January","February","March","April","May","June","July","August","September","October","November","December")&amp;" "&amp;DAY(C3925)&amp;MID("thstndrdth",MIN(9,2*RIGHT(DAY(C3925))*(MOD(DAY(C3925)-11,100)&gt;2)+1),2)&amp;","&amp;TEXT(C3925," yyyy"))</f>
        <v>July 16th,2026</v>
      </c>
      <c r="AB3925" s="15" t="str">
        <f aca="true">IF(S3925="","",DATEDIF(S3925,TODAY(),"Y")&amp;" Tahun, "&amp;DATEDIF(S3925,TODAY(),"YM")&amp;" Bulan, "&amp;DATEDIF(S3925,TODAY(),"MD")&amp;" Hari")</f>
        <v>25 Tahun, 10 Bulan, 9 Hari</v>
      </c>
      <c r="AC3925" s="14" t="n">
        <v>46219</v>
      </c>
      <c r="AD3925" s="18" t="n">
        <v>46402</v>
      </c>
      <c r="AE3925" s="13" t="s">
        <v>397</v>
      </c>
    </row>
    <row r="3926" customFormat="false" ht="15" hidden="false" customHeight="true" outlineLevel="0" collapsed="false">
      <c r="A3926" s="12" t="n">
        <v>22563</v>
      </c>
      <c r="B3926" s="13" t="s">
        <v>16072</v>
      </c>
      <c r="C3926" s="14" t="n">
        <v>46219</v>
      </c>
      <c r="D3926" s="13" t="s">
        <v>101</v>
      </c>
      <c r="E3926" s="15" t="s">
        <v>47</v>
      </c>
      <c r="F3926" s="15" t="str">
        <f aca="false">IFERROR(__xludf.dummyfunction("XLOOKUP(AJ3926,IMPORTRANGE(""1XaInW9DU9nz21V0tYIfzFQ0He9kVQ_JF2mCXgZ3hqFA"",""REKAP ALL 2026 - Andika!G:G""),IMPORTRANGE(""1XaInW9DU9nz21V0tYIfzFQ0He9kVQ_JF2mCXgZ3hqFA"",""REKAP ALL 2026 - Andika!F:F""),"""",0)"),"23113700746")</f>
        <v>23113700746</v>
      </c>
      <c r="G3926" s="28" t="s">
        <v>57</v>
      </c>
      <c r="H3926" s="13" t="s">
        <v>35</v>
      </c>
      <c r="I3926" s="13" t="str">
        <f aca="false">IF(C3926=J3926,"NEW KONTRAK","RE-KONTRAK")</f>
        <v>NEW KONTRAK</v>
      </c>
      <c r="J3926" s="16" t="n">
        <f aca="false" t="array" ref="J3926:J3926">IFERROR(INDEX(AC3926:AE3926,IF(COUNTA(AC3926:AE3926)=0,"",MAX((AC3926:AE3926&lt;&gt;"")*(COLUMN(AC3926:AE3926)-(COLUMN(AC3926)))))-1),"")</f>
        <v>46219</v>
      </c>
      <c r="K3926" s="16" t="n">
        <f aca="false" t="array" ref="K3926:K3926">IFERROR(INDEX(AC3926:AE3926,IF(COUNTA(AC3926:AE3926)=0,"",MAX((AC3926:AE3926&lt;&gt;"")*(COLUMN(AC3926:AE3926)-(COLUMN(AC3926)-1))))-1),"")</f>
        <v>46402</v>
      </c>
      <c r="L3926" s="17" t="str">
        <f aca="false" t="array" ref="L3926:L3926">IFERROR(INDEX(AC3926:AE3926,IF(COUNTA(AC3926:AE3926)=0,"",MAX((AC3926:AE3926&lt;&gt;"")*(COLUMN(AC3926:AE3926)-(COLUMN(AC3926)-2))))-1),"")</f>
        <v>KEMBALI</v>
      </c>
      <c r="M3926" s="13" t="n">
        <f aca="true">K3926-TODAY()</f>
        <v>78</v>
      </c>
      <c r="N3926" s="18" t="s">
        <v>105</v>
      </c>
      <c r="O3926" s="13" t="s">
        <v>1453</v>
      </c>
      <c r="P3926" s="26" t="n">
        <v>138915</v>
      </c>
      <c r="Q3926" s="20" t="s">
        <v>16073</v>
      </c>
      <c r="R3926" s="16" t="s">
        <v>39</v>
      </c>
      <c r="S3926" s="25" t="n">
        <v>35008</v>
      </c>
      <c r="T3926" s="13" t="s">
        <v>108</v>
      </c>
      <c r="U3926" s="17" t="s">
        <v>16074</v>
      </c>
      <c r="V3926" s="15" t="s">
        <v>42</v>
      </c>
      <c r="W3926" s="13" t="s">
        <v>43</v>
      </c>
      <c r="X3926" s="21" t="n">
        <v>8813549562</v>
      </c>
      <c r="Y3926" s="22" t="str">
        <f aca="false">O3926</f>
        <v>Helper Produksi</v>
      </c>
      <c r="Z3926" s="13" t="str">
        <f aca="false">IFERROR(__xludf.dummyfunction("if(BJ3926="""","""",GOOGLETRANSLATE(BJ3926,""auto"",""en""))"),"Production Helper")</f>
        <v>Production Helper</v>
      </c>
      <c r="AA3926" s="23" t="str">
        <f aca="false">IF(C3926="","", CHOOSE(MONTH(C3926),"January","February","March","April","May","June","July","August","September","October","November","December")&amp;" "&amp;DAY(C3926)&amp;MID("thstndrdth",MIN(9,2*RIGHT(DAY(C3926))*(MOD(DAY(C3926)-11,100)&gt;2)+1),2)&amp;","&amp;TEXT(C3926," yyyy"))</f>
        <v>July 16th,2026</v>
      </c>
      <c r="AB3926" s="15" t="str">
        <f aca="true">IF(S3926="","",DATEDIF(S3926,TODAY(),"Y")&amp;" Tahun, "&amp;DATEDIF(S3926,TODAY(),"YM")&amp;" Bulan, "&amp;DATEDIF(S3926,TODAY(),"MD")&amp;" Hari")</f>
        <v>30 Tahun, 11 Bulan, 24 Hari</v>
      </c>
      <c r="AC3926" s="14" t="n">
        <v>46219</v>
      </c>
      <c r="AD3926" s="18" t="n">
        <v>46402</v>
      </c>
      <c r="AE3926" s="13" t="s">
        <v>397</v>
      </c>
    </row>
    <row r="3927" customFormat="false" ht="15" hidden="false" customHeight="true" outlineLevel="0" collapsed="false">
      <c r="A3927" s="12" t="n">
        <v>22555</v>
      </c>
      <c r="B3927" s="45" t="s">
        <v>16075</v>
      </c>
      <c r="C3927" s="14" t="n">
        <v>46219</v>
      </c>
      <c r="D3927" s="13" t="s">
        <v>101</v>
      </c>
      <c r="E3927" s="15" t="s">
        <v>102</v>
      </c>
      <c r="F3927" s="24" t="s">
        <v>16076</v>
      </c>
      <c r="G3927" s="28" t="s">
        <v>57</v>
      </c>
      <c r="H3927" s="13" t="s">
        <v>35</v>
      </c>
      <c r="I3927" s="13" t="str">
        <f aca="false">IF(C3927=J3927,"NEW KONTRAK","RE-KONTRAK")</f>
        <v>NEW KONTRAK</v>
      </c>
      <c r="J3927" s="16" t="n">
        <f aca="false" t="array" ref="J3927:J3927">IFERROR(INDEX(AC3927:AE3927,IF(COUNTA(AC3927:AE3927)=0,"",MAX((AC3927:AE3927&lt;&gt;"")*(COLUMN(AC3927:AE3927)-(COLUMN(AC3927)))))-1),"")</f>
        <v>46219</v>
      </c>
      <c r="K3927" s="16" t="n">
        <f aca="false" t="array" ref="K3927:K3927">IFERROR(INDEX(AC3927:AE3927,IF(COUNTA(AC3927:AE3927)=0,"",MAX((AC3927:AE3927&lt;&gt;"")*(COLUMN(AC3927:AE3927)-(COLUMN(AC3927)-1))))-1),"")</f>
        <v>46402</v>
      </c>
      <c r="L3927" s="17" t="str">
        <f aca="false" t="array" ref="L3927:L3927">IFERROR(INDEX(AC3927:AE3927,IF(COUNTA(AC3927:AE3927)=0,"",MAX((AC3927:AE3927&lt;&gt;"")*(COLUMN(AC3927:AE3927)-(COLUMN(AC3927)-2))))-1),"")</f>
        <v>KEMBALI</v>
      </c>
      <c r="M3927" s="13" t="n">
        <f aca="true">K3927-TODAY()</f>
        <v>78</v>
      </c>
      <c r="N3927" s="18" t="s">
        <v>105</v>
      </c>
      <c r="O3927" s="13" t="s">
        <v>1453</v>
      </c>
      <c r="P3927" s="26" t="n">
        <v>138915</v>
      </c>
      <c r="Q3927" s="20" t="s">
        <v>16077</v>
      </c>
      <c r="R3927" s="16" t="s">
        <v>260</v>
      </c>
      <c r="S3927" s="25" t="n">
        <v>35847</v>
      </c>
      <c r="T3927" s="13" t="s">
        <v>108</v>
      </c>
      <c r="U3927" s="17" t="s">
        <v>16078</v>
      </c>
      <c r="V3927" s="15" t="s">
        <v>42</v>
      </c>
      <c r="W3927" s="13" t="s">
        <v>54</v>
      </c>
      <c r="X3927" s="21" t="n">
        <v>81559558837</v>
      </c>
      <c r="Y3927" s="22" t="str">
        <f aca="false">O3927</f>
        <v>Helper Produksi</v>
      </c>
      <c r="Z3927" s="13" t="str">
        <f aca="false">IFERROR(__xludf.dummyfunction("if(BJ3927="""","""",GOOGLETRANSLATE(BJ3927,""auto"",""en""))"),"Production Helper")</f>
        <v>Production Helper</v>
      </c>
      <c r="AA3927" s="23" t="str">
        <f aca="false">IF(C3927="","", CHOOSE(MONTH(C3927),"January","February","March","April","May","June","July","August","September","October","November","December")&amp;" "&amp;DAY(C3927)&amp;MID("thstndrdth",MIN(9,2*RIGHT(DAY(C3927))*(MOD(DAY(C3927)-11,100)&gt;2)+1),2)&amp;","&amp;TEXT(C3927," yyyy"))</f>
        <v>July 16th,2026</v>
      </c>
      <c r="AB3927" s="15" t="str">
        <f aca="true">IF(S3927="","",DATEDIF(S3927,TODAY(),"Y")&amp;" Tahun, "&amp;DATEDIF(S3927,TODAY(),"YM")&amp;" Bulan, "&amp;DATEDIF(S3927,TODAY(),"MD")&amp;" Hari")</f>
        <v>28 Tahun, 8 Bulan, 8 Hari</v>
      </c>
      <c r="AC3927" s="14" t="n">
        <v>46219</v>
      </c>
      <c r="AD3927" s="18" t="n">
        <v>46402</v>
      </c>
      <c r="AE3927" s="13" t="s">
        <v>397</v>
      </c>
    </row>
    <row r="3928" customFormat="false" ht="15" hidden="false" customHeight="true" outlineLevel="0" collapsed="false">
      <c r="A3928" s="12" t="n">
        <v>22564</v>
      </c>
      <c r="B3928" s="13" t="s">
        <v>16079</v>
      </c>
      <c r="C3928" s="14" t="n">
        <v>46219</v>
      </c>
      <c r="D3928" s="13" t="s">
        <v>101</v>
      </c>
      <c r="E3928" s="15" t="s">
        <v>47</v>
      </c>
      <c r="F3928" s="15" t="str">
        <f aca="false">IFERROR(__xludf.dummyfunction("XLOOKUP(AJ3928,IMPORTRANGE(""1XaInW9DU9nz21V0tYIfzFQ0He9kVQ_JF2mCXgZ3hqFA"",""REKAP ALL 2026 - Andika!G:G""),IMPORTRANGE(""1XaInW9DU9nz21V0tYIfzFQ0He9kVQ_JF2mCXgZ3hqFA"",""REKAP ALL 2026 - Andika!F:F""),"""",0)"),"21068419346")</f>
        <v>21068419346</v>
      </c>
      <c r="G3928" s="28" t="s">
        <v>57</v>
      </c>
      <c r="H3928" s="13" t="s">
        <v>35</v>
      </c>
      <c r="I3928" s="13" t="str">
        <f aca="false">IF(C3928=J3928,"NEW KONTRAK","RE-KONTRAK")</f>
        <v>NEW KONTRAK</v>
      </c>
      <c r="J3928" s="16" t="n">
        <f aca="false" t="array" ref="J3928:J3928">IFERROR(INDEX(AC3928:AE3928,IF(COUNTA(AC3928:AE3928)=0,"",MAX((AC3928:AE3928&lt;&gt;"")*(COLUMN(AC3928:AE3928)-(COLUMN(AC3928)))))-1),"")</f>
        <v>46219</v>
      </c>
      <c r="K3928" s="16" t="n">
        <f aca="false" t="array" ref="K3928:K3928">IFERROR(INDEX(AC3928:AE3928,IF(COUNTA(AC3928:AE3928)=0,"",MAX((AC3928:AE3928&lt;&gt;"")*(COLUMN(AC3928:AE3928)-(COLUMN(AC3928)-1))))-1),"")</f>
        <v>46402</v>
      </c>
      <c r="L3928" s="17" t="str">
        <f aca="false" t="array" ref="L3928:L3928">IFERROR(INDEX(AC3928:AE3928,IF(COUNTA(AC3928:AE3928)=0,"",MAX((AC3928:AE3928&lt;&gt;"")*(COLUMN(AC3928:AE3928)-(COLUMN(AC3928)-2))))-1),"")</f>
        <v>KEMBALI</v>
      </c>
      <c r="M3928" s="13" t="n">
        <f aca="true">K3928-TODAY()</f>
        <v>78</v>
      </c>
      <c r="N3928" s="18" t="s">
        <v>105</v>
      </c>
      <c r="O3928" s="13" t="s">
        <v>1453</v>
      </c>
      <c r="P3928" s="26" t="n">
        <v>138915</v>
      </c>
      <c r="Q3928" s="20" t="s">
        <v>16080</v>
      </c>
      <c r="R3928" s="13" t="s">
        <v>73</v>
      </c>
      <c r="S3928" s="25" t="n">
        <v>37830</v>
      </c>
      <c r="T3928" s="13" t="s">
        <v>108</v>
      </c>
      <c r="U3928" s="17" t="s">
        <v>16081</v>
      </c>
      <c r="V3928" s="15" t="s">
        <v>42</v>
      </c>
      <c r="W3928" s="13" t="s">
        <v>43</v>
      </c>
      <c r="X3928" s="21" t="n">
        <v>85648321731</v>
      </c>
      <c r="Y3928" s="22" t="str">
        <f aca="false">O3928</f>
        <v>Helper Produksi</v>
      </c>
      <c r="Z3928" s="13" t="str">
        <f aca="false">IFERROR(__xludf.dummyfunction("if(BJ3928="""","""",GOOGLETRANSLATE(BJ3928,""auto"",""en""))"),"Production Helper")</f>
        <v>Production Helper</v>
      </c>
      <c r="AA3928" s="23" t="str">
        <f aca="false">IF(C3928="","", CHOOSE(MONTH(C3928),"January","February","March","April","May","June","July","August","September","October","November","December")&amp;" "&amp;DAY(C3928)&amp;MID("thstndrdth",MIN(9,2*RIGHT(DAY(C3928))*(MOD(DAY(C3928)-11,100)&gt;2)+1),2)&amp;","&amp;TEXT(C3928," yyyy"))</f>
        <v>July 16th,2026</v>
      </c>
      <c r="AB3928" s="15" t="str">
        <f aca="true">IF(S3928="","",DATEDIF(S3928,TODAY(),"Y")&amp;" Tahun, "&amp;DATEDIF(S3928,TODAY(),"YM")&amp;" Bulan, "&amp;DATEDIF(S3928,TODAY(),"MD")&amp;" Hari")</f>
        <v>23 Tahun, 3 Bulan, 1 Hari</v>
      </c>
      <c r="AC3928" s="14" t="n">
        <v>46219</v>
      </c>
      <c r="AD3928" s="18" t="n">
        <v>46402</v>
      </c>
      <c r="AE3928" s="13" t="s">
        <v>397</v>
      </c>
    </row>
    <row r="3929" customFormat="false" ht="15" hidden="false" customHeight="true" outlineLevel="0" collapsed="false">
      <c r="A3929" s="12" t="n">
        <v>22565</v>
      </c>
      <c r="B3929" s="45" t="s">
        <v>16082</v>
      </c>
      <c r="C3929" s="14" t="n">
        <v>46219</v>
      </c>
      <c r="D3929" s="13" t="s">
        <v>101</v>
      </c>
      <c r="E3929" s="15" t="s">
        <v>47</v>
      </c>
      <c r="F3929" s="24" t="s">
        <v>16083</v>
      </c>
      <c r="G3929" s="28" t="s">
        <v>57</v>
      </c>
      <c r="H3929" s="13" t="s">
        <v>35</v>
      </c>
      <c r="I3929" s="13" t="str">
        <f aca="false">IF(C3929=J3929,"NEW KONTRAK","RE-KONTRAK")</f>
        <v>NEW KONTRAK</v>
      </c>
      <c r="J3929" s="16" t="n">
        <f aca="false" t="array" ref="J3929:J3929">IFERROR(INDEX(AC3929:AE3929,IF(COUNTA(AC3929:AE3929)=0,"",MAX((AC3929:AE3929&lt;&gt;"")*(COLUMN(AC3929:AE3929)-(COLUMN(AC3929)))))-1),"")</f>
        <v>46219</v>
      </c>
      <c r="K3929" s="16" t="n">
        <f aca="false" t="array" ref="K3929:K3929">IFERROR(INDEX(AC3929:AE3929,IF(COUNTA(AC3929:AE3929)=0,"",MAX((AC3929:AE3929&lt;&gt;"")*(COLUMN(AC3929:AE3929)-(COLUMN(AC3929)-1))))-1),"")</f>
        <v>46402</v>
      </c>
      <c r="L3929" s="17" t="str">
        <f aca="false" t="array" ref="L3929:L3929">IFERROR(INDEX(AC3929:AE3929,IF(COUNTA(AC3929:AE3929)=0,"",MAX((AC3929:AE3929&lt;&gt;"")*(COLUMN(AC3929:AE3929)-(COLUMN(AC3929)-2))))-1),"")</f>
        <v>KEMBALI</v>
      </c>
      <c r="M3929" s="13" t="n">
        <f aca="true">K3929-TODAY()</f>
        <v>78</v>
      </c>
      <c r="N3929" s="18" t="s">
        <v>105</v>
      </c>
      <c r="O3929" s="13" t="s">
        <v>1453</v>
      </c>
      <c r="P3929" s="26" t="n">
        <v>138915</v>
      </c>
      <c r="Q3929" s="20" t="s">
        <v>16084</v>
      </c>
      <c r="R3929" s="13" t="s">
        <v>83</v>
      </c>
      <c r="S3929" s="25" t="n">
        <v>36512</v>
      </c>
      <c r="T3929" s="13" t="s">
        <v>108</v>
      </c>
      <c r="U3929" s="17" t="s">
        <v>16085</v>
      </c>
      <c r="V3929" s="15" t="s">
        <v>42</v>
      </c>
      <c r="W3929" s="13" t="s">
        <v>43</v>
      </c>
      <c r="X3929" s="21" t="n">
        <v>85645759618</v>
      </c>
      <c r="Y3929" s="22" t="str">
        <f aca="false">O3929</f>
        <v>Helper Produksi</v>
      </c>
      <c r="Z3929" s="13" t="str">
        <f aca="false">IFERROR(__xludf.dummyfunction("if(BJ3929="""","""",GOOGLETRANSLATE(BJ3929,""auto"",""en""))"),"Production Helper")</f>
        <v>Production Helper</v>
      </c>
      <c r="AA3929" s="23" t="str">
        <f aca="false">IF(C3929="","", CHOOSE(MONTH(C3929),"January","February","March","April","May","June","July","August","September","October","November","December")&amp;" "&amp;DAY(C3929)&amp;MID("thstndrdth",MIN(9,2*RIGHT(DAY(C3929))*(MOD(DAY(C3929)-11,100)&gt;2)+1),2)&amp;","&amp;TEXT(C3929," yyyy"))</f>
        <v>July 16th,2026</v>
      </c>
      <c r="AB3929" s="15" t="str">
        <f aca="true">IF(S3929="","",DATEDIF(S3929,TODAY(),"Y")&amp;" Tahun, "&amp;DATEDIF(S3929,TODAY(),"YM")&amp;" Bulan, "&amp;DATEDIF(S3929,TODAY(),"MD")&amp;" Hari")</f>
        <v>26 Tahun, 10 Bulan, 11 Hari</v>
      </c>
      <c r="AC3929" s="14" t="n">
        <v>46219</v>
      </c>
      <c r="AD3929" s="18" t="n">
        <v>46402</v>
      </c>
      <c r="AE3929" s="13" t="s">
        <v>397</v>
      </c>
    </row>
    <row r="3930" customFormat="false" ht="15" hidden="false" customHeight="true" outlineLevel="0" collapsed="false">
      <c r="A3930" s="12" t="n">
        <v>22566</v>
      </c>
      <c r="B3930" s="13" t="s">
        <v>16086</v>
      </c>
      <c r="C3930" s="14" t="n">
        <v>46219</v>
      </c>
      <c r="D3930" s="13" t="s">
        <v>101</v>
      </c>
      <c r="E3930" s="15" t="s">
        <v>47</v>
      </c>
      <c r="F3930" s="15" t="str">
        <f aca="false">IFERROR(__xludf.dummyfunction("XLOOKUP(AJ3930,IMPORTRANGE(""1XaInW9DU9nz21V0tYIfzFQ0He9kVQ_JF2mCXgZ3hqFA"",""REKAP ALL 2026 - Andika!G:G""),IMPORTRANGE(""1XaInW9DU9nz21V0tYIfzFQ0He9kVQ_JF2mCXgZ3hqFA"",""REKAP ALL 2026 - Andika!F:F""),"""",0)"),"20056450198")</f>
        <v>20056450198</v>
      </c>
      <c r="G3930" s="28" t="s">
        <v>57</v>
      </c>
      <c r="H3930" s="13" t="s">
        <v>35</v>
      </c>
      <c r="I3930" s="13" t="str">
        <f aca="false">IF(C3930=J3930,"NEW KONTRAK","RE-KONTRAK")</f>
        <v>NEW KONTRAK</v>
      </c>
      <c r="J3930" s="16" t="n">
        <f aca="false" t="array" ref="J3930:J3930">IFERROR(INDEX(AC3930:AE3930,IF(COUNTA(AC3930:AE3930)=0,"",MAX((AC3930:AE3930&lt;&gt;"")*(COLUMN(AC3930:AE3930)-(COLUMN(AC3930)))))-1),"")</f>
        <v>46219</v>
      </c>
      <c r="K3930" s="16" t="n">
        <f aca="false" t="array" ref="K3930:K3930">IFERROR(INDEX(AC3930:AE3930,IF(COUNTA(AC3930:AE3930)=0,"",MAX((AC3930:AE3930&lt;&gt;"")*(COLUMN(AC3930:AE3930)-(COLUMN(AC3930)-1))))-1),"")</f>
        <v>46402</v>
      </c>
      <c r="L3930" s="17" t="str">
        <f aca="false" t="array" ref="L3930:L3930">IFERROR(INDEX(AC3930:AE3930,IF(COUNTA(AC3930:AE3930)=0,"",MAX((AC3930:AE3930&lt;&gt;"")*(COLUMN(AC3930:AE3930)-(COLUMN(AC3930)-2))))-1),"")</f>
        <v>KEMBALI</v>
      </c>
      <c r="M3930" s="13" t="n">
        <f aca="true">K3930-TODAY()</f>
        <v>78</v>
      </c>
      <c r="N3930" s="18" t="s">
        <v>105</v>
      </c>
      <c r="O3930" s="13" t="s">
        <v>1453</v>
      </c>
      <c r="P3930" s="26" t="n">
        <v>138915</v>
      </c>
      <c r="Q3930" s="20" t="s">
        <v>16087</v>
      </c>
      <c r="R3930" s="16" t="s">
        <v>39</v>
      </c>
      <c r="S3930" s="25" t="n">
        <v>34707</v>
      </c>
      <c r="T3930" s="13" t="s">
        <v>108</v>
      </c>
      <c r="U3930" s="17" t="s">
        <v>16088</v>
      </c>
      <c r="V3930" s="15" t="s">
        <v>42</v>
      </c>
      <c r="W3930" s="13" t="s">
        <v>54</v>
      </c>
      <c r="X3930" s="21" t="n">
        <v>85954422192</v>
      </c>
      <c r="Y3930" s="22" t="str">
        <f aca="false">O3930</f>
        <v>Helper Produksi</v>
      </c>
      <c r="Z3930" s="13" t="str">
        <f aca="false">IFERROR(__xludf.dummyfunction("if(BJ3930="""","""",GOOGLETRANSLATE(BJ3930,""auto"",""en""))"),"Production Helper")</f>
        <v>Production Helper</v>
      </c>
      <c r="AA3930" s="23" t="str">
        <f aca="false">IF(C3930="","", CHOOSE(MONTH(C3930),"January","February","March","April","May","June","July","August","September","October","November","December")&amp;" "&amp;DAY(C3930)&amp;MID("thstndrdth",MIN(9,2*RIGHT(DAY(C3930))*(MOD(DAY(C3930)-11,100)&gt;2)+1),2)&amp;","&amp;TEXT(C3930," yyyy"))</f>
        <v>July 16th,2026</v>
      </c>
      <c r="AB3930" s="15" t="str">
        <f aca="true">IF(S3930="","",DATEDIF(S3930,TODAY(),"Y")&amp;" Tahun, "&amp;DATEDIF(S3930,TODAY(),"YM")&amp;" Bulan, "&amp;DATEDIF(S3930,TODAY(),"MD")&amp;" Hari")</f>
        <v>31 Tahun, 9 Bulan, 21 Hari</v>
      </c>
      <c r="AC3930" s="14" t="n">
        <v>46219</v>
      </c>
      <c r="AD3930" s="18" t="n">
        <v>46402</v>
      </c>
      <c r="AE3930" s="13" t="s">
        <v>397</v>
      </c>
    </row>
    <row r="3931" customFormat="false" ht="15" hidden="false" customHeight="true" outlineLevel="0" collapsed="false">
      <c r="A3931" s="12" t="n">
        <v>22314</v>
      </c>
      <c r="B3931" s="13" t="s">
        <v>16089</v>
      </c>
      <c r="C3931" s="16" t="n">
        <v>46167.2916666667</v>
      </c>
      <c r="D3931" s="13" t="s">
        <v>101</v>
      </c>
      <c r="E3931" s="15" t="s">
        <v>47</v>
      </c>
      <c r="F3931" s="24" t="s">
        <v>16090</v>
      </c>
      <c r="G3931" s="24" t="s">
        <v>57</v>
      </c>
      <c r="H3931" s="13" t="s">
        <v>35</v>
      </c>
      <c r="I3931" s="13" t="str">
        <f aca="false">IF(C3931=J3931,"NEW KONTRAK","RE-KONTRAK")</f>
        <v>NEW KONTRAK</v>
      </c>
      <c r="J3931" s="16" t="n">
        <f aca="false" t="array" ref="J3931:J3931">IFERROR(INDEX(AC3931:AE3931,IF(COUNTA(AC3931:AE3931)=0,"",MAX((AC3931:AE3931&lt;&gt;"")*(COLUMN(AC3931:AE3931)-(COLUMN(AC3931)))))-1),"")</f>
        <v>46167.2916666667</v>
      </c>
      <c r="K3931" s="16" t="n">
        <f aca="false" t="array" ref="K3931:K3931">IFERROR(INDEX(AC3931:AE3931,IF(COUNTA(AC3931:AE3931)=0,"",MAX((AC3931:AE3931&lt;&gt;"")*(COLUMN(AC3931:AE3931)-(COLUMN(AC3931)-1))))-1),"")</f>
        <v>46188</v>
      </c>
      <c r="L3931" s="17" t="str">
        <f aca="false" t="array" ref="L3931:L3931">IFERROR(INDEX(AC3931:AE3931,IF(COUNTA(AC3931:AE3931)=0,"",MAX((AC3931:AE3931&lt;&gt;"")*(COLUMN(AC3931:AE3931)-(COLUMN(AC3931)-2))))-1),"")</f>
        <v>ARCHIVED</v>
      </c>
      <c r="M3931" s="13" t="n">
        <f aca="true">K3931-TODAY()</f>
        <v>-136</v>
      </c>
      <c r="N3931" s="18" t="s">
        <v>105</v>
      </c>
      <c r="O3931" s="13" t="s">
        <v>1434</v>
      </c>
      <c r="P3931" s="31" t="n">
        <v>138915</v>
      </c>
      <c r="Q3931" s="20" t="s">
        <v>16091</v>
      </c>
      <c r="R3931" s="13" t="s">
        <v>52</v>
      </c>
      <c r="S3931" s="25" t="n">
        <v>38649</v>
      </c>
      <c r="T3931" s="13" t="s">
        <v>108</v>
      </c>
      <c r="U3931" s="13" t="s">
        <v>16092</v>
      </c>
      <c r="V3931" s="13" t="s">
        <v>42</v>
      </c>
      <c r="W3931" s="13" t="s">
        <v>43</v>
      </c>
      <c r="X3931" s="30" t="n">
        <v>89643009818</v>
      </c>
      <c r="Y3931" s="22" t="str">
        <f aca="false">O3931</f>
        <v>E-Commerce - Packer</v>
      </c>
      <c r="Z3931" s="13" t="str">
        <f aca="false">IFERROR(__xludf.dummyfunction("if(BJ3931="""","""",GOOGLETRANSLATE(BJ3931,""auto"",""en""))"),"E-Commerce - Packer")</f>
        <v>E-Commerce - Packer</v>
      </c>
      <c r="AA3931" s="23" t="str">
        <f aca="false">IF(C3931="","", CHOOSE(MONTH(C3931),"January","February","March","April","May","June","July","August","September","October","November","December")&amp;" "&amp;DAY(C3931)&amp;MID("thstndrdth",MIN(9,2*RIGHT(DAY(C3931))*(MOD(DAY(C3931)-11,100)&gt;2)+1),2)&amp;","&amp;TEXT(C3931," yyyy"))</f>
        <v>May 25th,2026</v>
      </c>
      <c r="AB3931" s="15" t="str">
        <f aca="true">IF(S3931="","",DATEDIF(S3931,TODAY(),"Y")&amp;" Tahun, "&amp;DATEDIF(S3931,TODAY(),"YM")&amp;" Bulan, "&amp;DATEDIF(S3931,TODAY(),"MD")&amp;" Hari")</f>
        <v>21 Tahun, 0 Bulan, 5 Hari</v>
      </c>
      <c r="AC3931" s="14" t="n">
        <v>46167.2916666667</v>
      </c>
      <c r="AD3931" s="14" t="n">
        <v>46188</v>
      </c>
      <c r="AE3931" s="13" t="s">
        <v>44</v>
      </c>
    </row>
    <row r="3932" customFormat="false" ht="15" hidden="false" customHeight="true" outlineLevel="0" collapsed="false">
      <c r="A3932" s="12" t="n">
        <v>22722</v>
      </c>
      <c r="B3932" s="13" t="s">
        <v>16093</v>
      </c>
      <c r="C3932" s="14" t="n">
        <v>46254</v>
      </c>
      <c r="D3932" s="13" t="s">
        <v>101</v>
      </c>
      <c r="E3932" s="13" t="s">
        <v>47</v>
      </c>
      <c r="F3932" s="24" t="s">
        <v>16094</v>
      </c>
      <c r="G3932" s="13" t="s">
        <v>1452</v>
      </c>
      <c r="H3932" s="13" t="s">
        <v>35</v>
      </c>
      <c r="I3932" s="13" t="str">
        <f aca="false">IF(C3932=J3932,"NEW KONTRAK","RE-KONTRAK")</f>
        <v>NEW KONTRAK</v>
      </c>
      <c r="J3932" s="16" t="n">
        <f aca="false" t="array" ref="J3932:J3932">IFERROR(INDEX(AC3932:AE3932,IF(COUNTA(AC3932:AE3932)=0,"",MAX((AC3932:AE3932&lt;&gt;"")*(COLUMN(AC3932:AE3932)-(COLUMN(AC3932)))))-1),"")</f>
        <v>46254</v>
      </c>
      <c r="K3932" s="16" t="n">
        <f aca="false" t="array" ref="K3932:K3932">IFERROR(INDEX(AC3932:AE3932,IF(COUNTA(AC3932:AE3932)=0,"",MAX((AC3932:AE3932&lt;&gt;"")*(COLUMN(AC3932:AE3932)-(COLUMN(AC3932)-1))))-1),"")</f>
        <v>46402</v>
      </c>
      <c r="L3932" s="17" t="str">
        <f aca="false" t="array" ref="L3932:L3932">IFERROR(INDEX(AC3932:AE3932,IF(COUNTA(AC3932:AE3932)=0,"",MAX((AC3932:AE3932&lt;&gt;"")*(COLUMN(AC3932:AE3932)-(COLUMN(AC3932)-2))))-1),"")</f>
        <v>ARCHIVED</v>
      </c>
      <c r="M3932" s="13" t="n">
        <f aca="true">K3932-TODAY()</f>
        <v>78</v>
      </c>
      <c r="N3932" s="18" t="s">
        <v>105</v>
      </c>
      <c r="O3932" s="13" t="s">
        <v>1453</v>
      </c>
      <c r="P3932" s="26" t="n">
        <v>138915</v>
      </c>
      <c r="Q3932" s="20" t="s">
        <v>16095</v>
      </c>
      <c r="R3932" s="13" t="s">
        <v>39</v>
      </c>
      <c r="S3932" s="25" t="n">
        <v>38298</v>
      </c>
      <c r="T3932" s="13" t="s">
        <v>108</v>
      </c>
      <c r="U3932" s="13" t="s">
        <v>16096</v>
      </c>
      <c r="V3932" s="13" t="s">
        <v>42</v>
      </c>
      <c r="W3932" s="13" t="s">
        <v>43</v>
      </c>
      <c r="X3932" s="21" t="n">
        <v>85704101538</v>
      </c>
      <c r="Y3932" s="22" t="str">
        <f aca="false">O3932</f>
        <v>Helper Produksi</v>
      </c>
      <c r="Z3932" s="13" t="str">
        <f aca="false">IFERROR(__xludf.dummyfunction("if(BJ3932="""","""",GOOGLETRANSLATE(BJ3932,""auto"",""en""))"),"Production Helper")</f>
        <v>Production Helper</v>
      </c>
      <c r="AA3932" s="23" t="str">
        <f aca="false">IF(C3932="","", CHOOSE(MONTH(C3932),"January","February","March","April","May","June","July","August","September","October","November","December")&amp;" "&amp;DAY(C3932)&amp;MID("thstndrdth",MIN(9,2*RIGHT(DAY(C3932))*(MOD(DAY(C3932)-11,100)&gt;2)+1),2)&amp;","&amp;TEXT(C3932," yyyy"))</f>
        <v>August 20th,2026</v>
      </c>
      <c r="AB3932" s="15" t="str">
        <f aca="true">IF(S3932="","",DATEDIF(S3932,TODAY(),"Y")&amp;" Tahun, "&amp;DATEDIF(S3932,TODAY(),"YM")&amp;" Bulan, "&amp;DATEDIF(S3932,TODAY(),"MD")&amp;" Hari")</f>
        <v>21 Tahun, 11 Bulan, 22 Hari</v>
      </c>
      <c r="AC3932" s="14" t="n">
        <v>46254</v>
      </c>
      <c r="AD3932" s="18" t="n">
        <v>46402</v>
      </c>
      <c r="AE3932" s="45" t="s">
        <v>44</v>
      </c>
    </row>
    <row r="3933" customFormat="false" ht="15" hidden="false" customHeight="true" outlineLevel="0" collapsed="false">
      <c r="A3933" s="12" t="n">
        <v>22619</v>
      </c>
      <c r="B3933" s="45" t="s">
        <v>16097</v>
      </c>
      <c r="C3933" s="14" t="n">
        <v>46230</v>
      </c>
      <c r="D3933" s="13" t="s">
        <v>101</v>
      </c>
      <c r="E3933" s="13" t="s">
        <v>47</v>
      </c>
      <c r="F3933" s="24" t="s">
        <v>16098</v>
      </c>
      <c r="G3933" s="13" t="s">
        <v>1452</v>
      </c>
      <c r="H3933" s="13" t="s">
        <v>35</v>
      </c>
      <c r="I3933" s="13" t="str">
        <f aca="false">IF(C3933=J3933,"NEW KONTRAK","RE-KONTRAK")</f>
        <v>NEW KONTRAK</v>
      </c>
      <c r="J3933" s="16" t="n">
        <f aca="false" t="array" ref="J3933:J3933">IFERROR(INDEX(AC3933:AE3933,IF(COUNTA(AC3933:AE3933)=0,"",MAX((AC3933:AE3933&lt;&gt;"")*(COLUMN(AC3933:AE3933)-(COLUMN(AC3933)))))-1),"")</f>
        <v>46230</v>
      </c>
      <c r="K3933" s="16" t="n">
        <f aca="false" t="array" ref="K3933:K3933">IFERROR(INDEX(AC3933:AE3933,IF(COUNTA(AC3933:AE3933)=0,"",MAX((AC3933:AE3933&lt;&gt;"")*(COLUMN(AC3933:AE3933)-(COLUMN(AC3933)-1))))-1),"")</f>
        <v>46321</v>
      </c>
      <c r="L3933" s="17" t="str">
        <f aca="false" t="array" ref="L3933:L3933">IFERROR(INDEX(AC3933:AE3933,IF(COUNTA(AC3933:AE3933)=0,"",MAX((AC3933:AE3933&lt;&gt;"")*(COLUMN(AC3933:AE3933)-(COLUMN(AC3933)-2))))-1),"")</f>
        <v>KEMBALI</v>
      </c>
      <c r="M3933" s="13" t="n">
        <f aca="true">K3933-TODAY()</f>
        <v>-3</v>
      </c>
      <c r="N3933" s="18" t="s">
        <v>105</v>
      </c>
      <c r="O3933" s="13" t="s">
        <v>1453</v>
      </c>
      <c r="P3933" s="26" t="n">
        <v>138915</v>
      </c>
      <c r="Q3933" s="20" t="s">
        <v>16099</v>
      </c>
      <c r="R3933" s="13" t="s">
        <v>52</v>
      </c>
      <c r="S3933" s="25" t="n">
        <v>39306</v>
      </c>
      <c r="T3933" s="13" t="s">
        <v>108</v>
      </c>
      <c r="U3933" s="13" t="s">
        <v>16100</v>
      </c>
      <c r="V3933" s="13" t="s">
        <v>42</v>
      </c>
      <c r="W3933" s="13" t="s">
        <v>43</v>
      </c>
      <c r="X3933" s="21" t="n">
        <v>882009478405</v>
      </c>
      <c r="Y3933" s="22" t="str">
        <f aca="false">O3933</f>
        <v>Helper Produksi</v>
      </c>
      <c r="Z3933" s="13" t="str">
        <f aca="false">IFERROR(__xludf.dummyfunction("if(BJ3933="""","""",GOOGLETRANSLATE(BJ3933,""auto"",""en""))"),"Production Helper")</f>
        <v>Production Helper</v>
      </c>
      <c r="AA3933" s="23" t="str">
        <f aca="false">IF(C3933="","", CHOOSE(MONTH(C3933),"January","February","March","April","May","June","July","August","September","October","November","December")&amp;" "&amp;DAY(C3933)&amp;MID("thstndrdth",MIN(9,2*RIGHT(DAY(C3933))*(MOD(DAY(C3933)-11,100)&gt;2)+1),2)&amp;","&amp;TEXT(C3933," yyyy"))</f>
        <v>July 27th,2026</v>
      </c>
      <c r="AB3933" s="15" t="str">
        <f aca="true">IF(S3933="","",DATEDIF(S3933,TODAY(),"Y")&amp;" Tahun, "&amp;DATEDIF(S3933,TODAY(),"YM")&amp;" Bulan, "&amp;DATEDIF(S3933,TODAY(),"MD")&amp;" Hari")</f>
        <v>19 Tahun, 2 Bulan, 17 Hari</v>
      </c>
      <c r="AC3933" s="14" t="n">
        <v>46230</v>
      </c>
      <c r="AD3933" s="18" t="n">
        <f aca="false">EDATE(AC3933,3)-1</f>
        <v>46321</v>
      </c>
      <c r="AE3933" s="13" t="s">
        <v>397</v>
      </c>
    </row>
    <row r="3934" customFormat="false" ht="15" hidden="false" customHeight="true" outlineLevel="0" collapsed="false">
      <c r="A3934" s="12" t="n">
        <v>21281</v>
      </c>
      <c r="B3934" s="13" t="s">
        <v>16101</v>
      </c>
      <c r="C3934" s="16" t="n">
        <v>45951</v>
      </c>
      <c r="D3934" s="13" t="s">
        <v>101</v>
      </c>
      <c r="E3934" s="15" t="s">
        <v>47</v>
      </c>
      <c r="F3934" s="15" t="str">
        <f aca="false">IFERROR(__xludf.dummyfunction("XLOOKUP(AJ3934,IMPORTRANGE(""1XaInW9DU9nz21V0tYIfzFQ0He9kVQ_JF2mCXgZ3hqFA"",""REKAP ALL 2026 - Andika!G:G""),IMPORTRANGE(""1XaInW9DU9nz21V0tYIfzFQ0He9kVQ_JF2mCXgZ3hqFA"",""REKAP ALL 2026 - Andika!F:F""),"""",0)"),"25157577807")</f>
        <v>25157577807</v>
      </c>
      <c r="G3934" s="13" t="s">
        <v>1127</v>
      </c>
      <c r="H3934" s="13" t="s">
        <v>35</v>
      </c>
      <c r="I3934" s="13" t="str">
        <f aca="false">IF(C3934=J3934,"NEW KONTRAK","RE-KONTRAK")</f>
        <v>NEW KONTRAK</v>
      </c>
      <c r="J3934" s="16" t="n">
        <f aca="false" t="array" ref="J3934:J3934">IFERROR(INDEX(AC3934:AE3934,IF(COUNTA(AC3934:AE3934)=0,"",MAX((AC3934:AE3934&lt;&gt;"")*(COLUMN(AC3934:AE3934)-(COLUMN(AC3934)))))-1),"")</f>
        <v>45951</v>
      </c>
      <c r="K3934" s="16" t="n">
        <f aca="false" t="array" ref="K3934:K3934">IFERROR(INDEX(AC3934:AE3934,IF(COUNTA(AC3934:AE3934)=0,"",MAX((AC3934:AE3934&lt;&gt;"")*(COLUMN(AC3934:AE3934)-(COLUMN(AC3934)-1))))-1),"")</f>
        <v>46036</v>
      </c>
      <c r="L3934" s="17" t="str">
        <f aca="false" t="array" ref="L3934:L3934">IFERROR(INDEX(AC3934:AE3934,IF(COUNTA(AC3934:AE3934)=0,"",MAX((AC3934:AE3934&lt;&gt;"")*(COLUMN(AC3934:AE3934)-(COLUMN(AC3934)-2))))-1),"")</f>
        <v>ARCHIVED</v>
      </c>
      <c r="M3934" s="13" t="n">
        <f aca="true">K3934-TODAY()</f>
        <v>-288</v>
      </c>
      <c r="N3934" s="18" t="s">
        <v>105</v>
      </c>
      <c r="O3934" s="13" t="s">
        <v>1434</v>
      </c>
      <c r="P3934" s="31" t="n">
        <v>138915</v>
      </c>
      <c r="Q3934" s="20" t="s">
        <v>16102</v>
      </c>
      <c r="R3934" s="13" t="s">
        <v>39</v>
      </c>
      <c r="S3934" s="48" t="n">
        <v>38634</v>
      </c>
      <c r="T3934" s="13" t="s">
        <v>108</v>
      </c>
      <c r="U3934" s="13" t="s">
        <v>16103</v>
      </c>
      <c r="V3934" s="13" t="s">
        <v>42</v>
      </c>
      <c r="W3934" s="13" t="s">
        <v>43</v>
      </c>
      <c r="X3934" s="21" t="n">
        <v>8968220576</v>
      </c>
      <c r="Y3934" s="22" t="str">
        <f aca="false">O3934</f>
        <v>E-Commerce - Packer</v>
      </c>
      <c r="Z3934" s="13" t="str">
        <f aca="false">IFERROR(__xludf.dummyfunction("if(BJ3934="""","""",GOOGLETRANSLATE(BJ3934,""auto"",""en""))"),"E-Commerce - Packer")</f>
        <v>E-Commerce - Packer</v>
      </c>
      <c r="AA3934" s="23" t="str">
        <f aca="false">IF(C3934="","", CHOOSE(MONTH(C3934),"January","February","March","April","May","June","July","August","September","October","November","December")&amp;" "&amp;DAY(C3934)&amp;MID("thstndrdth",MIN(9,2*RIGHT(DAY(C3934))*(MOD(DAY(C3934)-11,100)&gt;2)+1),2)&amp;","&amp;TEXT(C3934," yyyy"))</f>
        <v>October 21st,2025</v>
      </c>
      <c r="AB3934" s="15" t="str">
        <f aca="true">IF(S3934="","",DATEDIF(S3934,TODAY(),"Y")&amp;" Tahun, "&amp;DATEDIF(S3934,TODAY(),"YM")&amp;" Bulan, "&amp;DATEDIF(S3934,TODAY(),"MD")&amp;" Hari")</f>
        <v>21 Tahun, 0 Bulan, 20 Hari</v>
      </c>
      <c r="AC3934" s="18" t="n">
        <v>45951</v>
      </c>
      <c r="AD3934" s="18" t="n">
        <v>46036</v>
      </c>
      <c r="AE3934" s="13" t="s">
        <v>44</v>
      </c>
    </row>
    <row r="3935" customFormat="false" ht="15" hidden="false" customHeight="true" outlineLevel="0" collapsed="false">
      <c r="A3935" s="12" t="n">
        <v>22567</v>
      </c>
      <c r="B3935" s="13" t="s">
        <v>16104</v>
      </c>
      <c r="C3935" s="14" t="n">
        <v>46219</v>
      </c>
      <c r="D3935" s="13" t="s">
        <v>101</v>
      </c>
      <c r="E3935" s="15" t="s">
        <v>47</v>
      </c>
      <c r="F3935" s="15" t="str">
        <f aca="false">IFERROR(__xludf.dummyfunction("XLOOKUP(AJ3935,IMPORTRANGE(""1XaInW9DU9nz21V0tYIfzFQ0He9kVQ_JF2mCXgZ3hqFA"",""REKAP ALL 2026 - Andika!G:G""),IMPORTRANGE(""1XaInW9DU9nz21V0tYIfzFQ0He9kVQ_JF2mCXgZ3hqFA"",""REKAP ALL 2026 - Andika!F:F""),"""",0)"),"20021316565")</f>
        <v>20021316565</v>
      </c>
      <c r="G3935" s="28" t="s">
        <v>57</v>
      </c>
      <c r="H3935" s="13" t="s">
        <v>35</v>
      </c>
      <c r="I3935" s="13" t="str">
        <f aca="false">IF(C3935=J3935,"NEW KONTRAK","RE-KONTRAK")</f>
        <v>NEW KONTRAK</v>
      </c>
      <c r="J3935" s="16" t="n">
        <f aca="false" t="array" ref="J3935:J3935">IFERROR(INDEX(AC3935:AE3935,IF(COUNTA(AC3935:AE3935)=0,"",MAX((AC3935:AE3935&lt;&gt;"")*(COLUMN(AC3935:AE3935)-(COLUMN(AC3935)))))-1),"")</f>
        <v>46219</v>
      </c>
      <c r="K3935" s="16" t="n">
        <f aca="false" t="array" ref="K3935:K3935">IFERROR(INDEX(AC3935:AE3935,IF(COUNTA(AC3935:AE3935)=0,"",MAX((AC3935:AE3935&lt;&gt;"")*(COLUMN(AC3935:AE3935)-(COLUMN(AC3935)-1))))-1),"")</f>
        <v>46402</v>
      </c>
      <c r="L3935" s="17" t="str">
        <f aca="false" t="array" ref="L3935:L3935">IFERROR(INDEX(AC3935:AE3935,IF(COUNTA(AC3935:AE3935)=0,"",MAX((AC3935:AE3935&lt;&gt;"")*(COLUMN(AC3935:AE3935)-(COLUMN(AC3935)-2))))-1),"")</f>
        <v>KEMBALI</v>
      </c>
      <c r="M3935" s="13" t="n">
        <f aca="true">K3935-TODAY()</f>
        <v>78</v>
      </c>
      <c r="N3935" s="18" t="s">
        <v>105</v>
      </c>
      <c r="O3935" s="13" t="s">
        <v>1453</v>
      </c>
      <c r="P3935" s="26" t="n">
        <v>138915</v>
      </c>
      <c r="Q3935" s="20" t="s">
        <v>16105</v>
      </c>
      <c r="R3935" s="16" t="s">
        <v>39</v>
      </c>
      <c r="S3935" s="25" t="n">
        <v>36506</v>
      </c>
      <c r="T3935" s="13" t="s">
        <v>108</v>
      </c>
      <c r="U3935" s="17" t="s">
        <v>16106</v>
      </c>
      <c r="V3935" s="15" t="s">
        <v>42</v>
      </c>
      <c r="W3935" s="13" t="s">
        <v>43</v>
      </c>
      <c r="X3935" s="21" t="n">
        <v>83856638407</v>
      </c>
      <c r="Y3935" s="22" t="str">
        <f aca="false">O3935</f>
        <v>Helper Produksi</v>
      </c>
      <c r="Z3935" s="13" t="str">
        <f aca="false">IFERROR(__xludf.dummyfunction("if(BJ3935="""","""",GOOGLETRANSLATE(BJ3935,""auto"",""en""))"),"Production Helper")</f>
        <v>Production Helper</v>
      </c>
      <c r="AA3935" s="23" t="str">
        <f aca="false">IF(C3935="","", CHOOSE(MONTH(C3935),"January","February","March","April","May","June","July","August","September","October","November","December")&amp;" "&amp;DAY(C3935)&amp;MID("thstndrdth",MIN(9,2*RIGHT(DAY(C3935))*(MOD(DAY(C3935)-11,100)&gt;2)+1),2)&amp;","&amp;TEXT(C3935," yyyy"))</f>
        <v>July 16th,2026</v>
      </c>
      <c r="AB3935" s="15" t="str">
        <f aca="true">IF(S3935="","",DATEDIF(S3935,TODAY(),"Y")&amp;" Tahun, "&amp;DATEDIF(S3935,TODAY(),"YM")&amp;" Bulan, "&amp;DATEDIF(S3935,TODAY(),"MD")&amp;" Hari")</f>
        <v>26 Tahun, 10 Bulan, 17 Hari</v>
      </c>
      <c r="AC3935" s="14" t="n">
        <v>46219</v>
      </c>
      <c r="AD3935" s="18" t="n">
        <v>46402</v>
      </c>
      <c r="AE3935" s="13" t="s">
        <v>397</v>
      </c>
    </row>
    <row r="3936" customFormat="false" ht="15" hidden="false" customHeight="true" outlineLevel="0" collapsed="false">
      <c r="A3936" s="12" t="n">
        <v>22568</v>
      </c>
      <c r="B3936" s="13" t="s">
        <v>16107</v>
      </c>
      <c r="C3936" s="14" t="n">
        <v>46219</v>
      </c>
      <c r="D3936" s="13" t="s">
        <v>101</v>
      </c>
      <c r="E3936" s="15" t="s">
        <v>47</v>
      </c>
      <c r="F3936" s="15" t="str">
        <f aca="false">IFERROR(__xludf.dummyfunction("XLOOKUP(AJ3936,IMPORTRANGE(""1XaInW9DU9nz21V0tYIfzFQ0He9kVQ_JF2mCXgZ3hqFA"",""REKAP ALL 2026 - Andika!G:G""),IMPORTRANGE(""1XaInW9DU9nz21V0tYIfzFQ0He9kVQ_JF2mCXgZ3hqFA"",""REKAP ALL 2026 - Andika!F:F""),"""",0)"),"20021314982")</f>
        <v>20021314982</v>
      </c>
      <c r="G3936" s="28" t="s">
        <v>57</v>
      </c>
      <c r="H3936" s="13" t="s">
        <v>35</v>
      </c>
      <c r="I3936" s="13" t="str">
        <f aca="false">IF(C3936=J3936,"NEW KONTRAK","RE-KONTRAK")</f>
        <v>NEW KONTRAK</v>
      </c>
      <c r="J3936" s="16" t="n">
        <f aca="false" t="array" ref="J3936:J3936">IFERROR(INDEX(AC3936:AE3936,IF(COUNTA(AC3936:AE3936)=0,"",MAX((AC3936:AE3936&lt;&gt;"")*(COLUMN(AC3936:AE3936)-(COLUMN(AC3936)))))-1),"")</f>
        <v>46219</v>
      </c>
      <c r="K3936" s="16" t="n">
        <f aca="false" t="array" ref="K3936:K3936">IFERROR(INDEX(AC3936:AE3936,IF(COUNTA(AC3936:AE3936)=0,"",MAX((AC3936:AE3936&lt;&gt;"")*(COLUMN(AC3936:AE3936)-(COLUMN(AC3936)-1))))-1),"")</f>
        <v>46402</v>
      </c>
      <c r="L3936" s="17" t="str">
        <f aca="false" t="array" ref="L3936:L3936">IFERROR(INDEX(AC3936:AE3936,IF(COUNTA(AC3936:AE3936)=0,"",MAX((AC3936:AE3936&lt;&gt;"")*(COLUMN(AC3936:AE3936)-(COLUMN(AC3936)-2))))-1),"")</f>
        <v>KEMBALI</v>
      </c>
      <c r="M3936" s="13" t="n">
        <f aca="true">K3936-TODAY()</f>
        <v>78</v>
      </c>
      <c r="N3936" s="18" t="s">
        <v>105</v>
      </c>
      <c r="O3936" s="13" t="s">
        <v>1453</v>
      </c>
      <c r="P3936" s="26" t="n">
        <v>138915</v>
      </c>
      <c r="Q3936" s="20" t="s">
        <v>16108</v>
      </c>
      <c r="R3936" s="16" t="s">
        <v>39</v>
      </c>
      <c r="S3936" s="25" t="n">
        <v>35756</v>
      </c>
      <c r="T3936" s="13" t="s">
        <v>108</v>
      </c>
      <c r="U3936" s="17" t="s">
        <v>16109</v>
      </c>
      <c r="V3936" s="15" t="s">
        <v>42</v>
      </c>
      <c r="W3936" s="13" t="s">
        <v>54</v>
      </c>
      <c r="X3936" s="21" t="n">
        <v>85230521995</v>
      </c>
      <c r="Y3936" s="22" t="str">
        <f aca="false">O3936</f>
        <v>Helper Produksi</v>
      </c>
      <c r="Z3936" s="13" t="str">
        <f aca="false">IFERROR(__xludf.dummyfunction("if(BJ3936="""","""",GOOGLETRANSLATE(BJ3936,""auto"",""en""))"),"Production Helper")</f>
        <v>Production Helper</v>
      </c>
      <c r="AA3936" s="23" t="str">
        <f aca="false">IF(C3936="","", CHOOSE(MONTH(C3936),"January","February","March","April","May","June","July","August","September","October","November","December")&amp;" "&amp;DAY(C3936)&amp;MID("thstndrdth",MIN(9,2*RIGHT(DAY(C3936))*(MOD(DAY(C3936)-11,100)&gt;2)+1),2)&amp;","&amp;TEXT(C3936," yyyy"))</f>
        <v>July 16th,2026</v>
      </c>
      <c r="AB3936" s="15" t="str">
        <f aca="true">IF(S3936="","",DATEDIF(S3936,TODAY(),"Y")&amp;" Tahun, "&amp;DATEDIF(S3936,TODAY(),"YM")&amp;" Bulan, "&amp;DATEDIF(S3936,TODAY(),"MD")&amp;" Hari")</f>
        <v>28 Tahun, 11 Bulan, 7 Hari</v>
      </c>
      <c r="AC3936" s="14" t="n">
        <v>46219</v>
      </c>
      <c r="AD3936" s="18" t="n">
        <v>46402</v>
      </c>
      <c r="AE3936" s="13" t="s">
        <v>397</v>
      </c>
    </row>
    <row r="3937" customFormat="false" ht="15" hidden="false" customHeight="true" outlineLevel="0" collapsed="false">
      <c r="A3937" s="12" t="n">
        <v>22569</v>
      </c>
      <c r="B3937" s="13" t="s">
        <v>16110</v>
      </c>
      <c r="C3937" s="14" t="n">
        <v>46219</v>
      </c>
      <c r="D3937" s="13" t="s">
        <v>101</v>
      </c>
      <c r="E3937" s="15" t="s">
        <v>47</v>
      </c>
      <c r="F3937" s="15" t="str">
        <f aca="false">IFERROR(__xludf.dummyfunction("XLOOKUP(AJ3937,IMPORTRANGE(""1XaInW9DU9nz21V0tYIfzFQ0He9kVQ_JF2mCXgZ3hqFA"",""REKAP ALL 2026 - Andika!G:G""),IMPORTRANGE(""1XaInW9DU9nz21V0tYIfzFQ0He9kVQ_JF2mCXgZ3hqFA"",""REKAP ALL 2026 - Andika!F:F""),"""",0)"),"20021316573")</f>
        <v>20021316573</v>
      </c>
      <c r="G3937" s="28" t="s">
        <v>57</v>
      </c>
      <c r="H3937" s="13" t="s">
        <v>35</v>
      </c>
      <c r="I3937" s="13" t="str">
        <f aca="false">IF(C3937=J3937,"NEW KONTRAK","RE-KONTRAK")</f>
        <v>NEW KONTRAK</v>
      </c>
      <c r="J3937" s="16" t="n">
        <f aca="false" t="array" ref="J3937:J3937">IFERROR(INDEX(AC3937:AE3937,IF(COUNTA(AC3937:AE3937)=0,"",MAX((AC3937:AE3937&lt;&gt;"")*(COLUMN(AC3937:AE3937)-(COLUMN(AC3937)))))-1),"")</f>
        <v>46219</v>
      </c>
      <c r="K3937" s="16" t="n">
        <f aca="false" t="array" ref="K3937:K3937">IFERROR(INDEX(AC3937:AE3937,IF(COUNTA(AC3937:AE3937)=0,"",MAX((AC3937:AE3937&lt;&gt;"")*(COLUMN(AC3937:AE3937)-(COLUMN(AC3937)-1))))-1),"")</f>
        <v>46402</v>
      </c>
      <c r="L3937" s="17" t="str">
        <f aca="false" t="array" ref="L3937:L3937">IFERROR(INDEX(AC3937:AE3937,IF(COUNTA(AC3937:AE3937)=0,"",MAX((AC3937:AE3937&lt;&gt;"")*(COLUMN(AC3937:AE3937)-(COLUMN(AC3937)-2))))-1),"")</f>
        <v>KEMBALI</v>
      </c>
      <c r="M3937" s="13" t="n">
        <f aca="true">K3937-TODAY()</f>
        <v>78</v>
      </c>
      <c r="N3937" s="18" t="s">
        <v>105</v>
      </c>
      <c r="O3937" s="13" t="s">
        <v>1453</v>
      </c>
      <c r="P3937" s="26" t="n">
        <v>138915</v>
      </c>
      <c r="Q3937" s="20" t="s">
        <v>16111</v>
      </c>
      <c r="R3937" s="16" t="s">
        <v>39</v>
      </c>
      <c r="S3937" s="25" t="n">
        <v>36718</v>
      </c>
      <c r="T3937" s="13" t="s">
        <v>108</v>
      </c>
      <c r="U3937" s="17" t="s">
        <v>16112</v>
      </c>
      <c r="V3937" s="15" t="s">
        <v>42</v>
      </c>
      <c r="W3937" s="13" t="s">
        <v>43</v>
      </c>
      <c r="X3937" s="21" t="n">
        <v>81229930538</v>
      </c>
      <c r="Y3937" s="22" t="str">
        <f aca="false">O3937</f>
        <v>Helper Produksi</v>
      </c>
      <c r="Z3937" s="13" t="str">
        <f aca="false">IFERROR(__xludf.dummyfunction("if(BJ3937="""","""",GOOGLETRANSLATE(BJ3937,""auto"",""en""))"),"Production Helper")</f>
        <v>Production Helper</v>
      </c>
      <c r="AA3937" s="23" t="str">
        <f aca="false">IF(C3937="","", CHOOSE(MONTH(C3937),"January","February","March","April","May","June","July","August","September","October","November","December")&amp;" "&amp;DAY(C3937)&amp;MID("thstndrdth",MIN(9,2*RIGHT(DAY(C3937))*(MOD(DAY(C3937)-11,100)&gt;2)+1),2)&amp;","&amp;TEXT(C3937," yyyy"))</f>
        <v>July 16th,2026</v>
      </c>
      <c r="AB3937" s="15" t="str">
        <f aca="true">IF(S3937="","",DATEDIF(S3937,TODAY(),"Y")&amp;" Tahun, "&amp;DATEDIF(S3937,TODAY(),"YM")&amp;" Bulan, "&amp;DATEDIF(S3937,TODAY(),"MD")&amp;" Hari")</f>
        <v>26 Tahun, 3 Bulan, 18 Hari</v>
      </c>
      <c r="AC3937" s="14" t="n">
        <v>46219</v>
      </c>
      <c r="AD3937" s="18" t="n">
        <v>46402</v>
      </c>
      <c r="AE3937" s="13" t="s">
        <v>397</v>
      </c>
    </row>
    <row r="3938" customFormat="false" ht="15" hidden="false" customHeight="true" outlineLevel="0" collapsed="false">
      <c r="A3938" s="12" t="n">
        <v>12414</v>
      </c>
      <c r="B3938" s="13" t="s">
        <v>16113</v>
      </c>
      <c r="C3938" s="14" t="n">
        <v>45108</v>
      </c>
      <c r="D3938" s="13" t="s">
        <v>2148</v>
      </c>
      <c r="E3938" s="15" t="s">
        <v>47</v>
      </c>
      <c r="F3938" s="15" t="str">
        <f aca="false">IFERROR(__xludf.dummyfunction("XLOOKUP(AJ3938,IMPORTRANGE(""1XaInW9DU9nz21V0tYIfzFQ0He9kVQ_JF2mCXgZ3hqFA"",""REKAP ALL 2026 - Andika!G:G""),IMPORTRANGE(""1XaInW9DU9nz21V0tYIfzFQ0He9kVQ_JF2mCXgZ3hqFA"",""REKAP ALL 2026 - Andika!F:F""),"""",0)"),"23113701033")</f>
        <v>23113701033</v>
      </c>
      <c r="G3938" s="13" t="s">
        <v>16114</v>
      </c>
      <c r="H3938" s="13" t="s">
        <v>35</v>
      </c>
      <c r="I3938" s="13" t="str">
        <f aca="false">IF(C3938=J3938,"NEW KONTRAK","RE-KONTRAK")</f>
        <v>RE-KONTRAK</v>
      </c>
      <c r="J3938" s="16" t="n">
        <f aca="false" t="array" ref="J3938:J3938">IFERROR(INDEX(AC3938:AE3938,IF(COUNTA(AC3938:AE3938)=0,"",MAX((AC3938:AE3938&lt;&gt;"")*(COLUMN(AC3938:AE3938)-(COLUMN(AC3938)))))-1),"")</f>
        <v>45672</v>
      </c>
      <c r="K3938" s="16" t="n">
        <f aca="false" t="array" ref="K3938:K3938">IFERROR(INDEX(AC3938:AE3938,IF(COUNTA(AC3938:AE3938)=0,"",MAX((AC3938:AE3938&lt;&gt;"")*(COLUMN(AC3938:AE3938)-(COLUMN(AC3938)-1))))-1),"")</f>
        <v>46036</v>
      </c>
      <c r="L3938" s="17" t="str">
        <f aca="false" t="array" ref="L3938:L3938">IFERROR(INDEX(AC3938:AE3938,IF(COUNTA(AC3938:AE3938)=0,"",MAX((AC3938:AE3938&lt;&gt;"")*(COLUMN(AC3938:AE3938)-(COLUMN(AC3938)-2))))-1),"")</f>
        <v>ARCHIVED</v>
      </c>
      <c r="M3938" s="13" t="n">
        <f aca="true">K3938-TODAY()</f>
        <v>-288</v>
      </c>
      <c r="N3938" s="18" t="s">
        <v>105</v>
      </c>
      <c r="O3938" s="13" t="s">
        <v>16115</v>
      </c>
      <c r="P3938" s="19" t="n">
        <v>198450</v>
      </c>
      <c r="Q3938" s="20" t="s">
        <v>16116</v>
      </c>
      <c r="R3938" s="13" t="s">
        <v>39</v>
      </c>
      <c r="S3938" s="25" t="n">
        <v>36369</v>
      </c>
      <c r="T3938" s="13" t="s">
        <v>108</v>
      </c>
      <c r="U3938" s="13" t="s">
        <v>16117</v>
      </c>
      <c r="V3938" s="13" t="s">
        <v>42</v>
      </c>
      <c r="W3938" s="13" t="s">
        <v>43</v>
      </c>
      <c r="X3938" s="21" t="n">
        <v>88216908663</v>
      </c>
      <c r="Y3938" s="22" t="str">
        <f aca="false">O3938</f>
        <v>FAA - Admin</v>
      </c>
      <c r="Z3938" s="13" t="str">
        <f aca="false">IFERROR(__xludf.dummyfunction("if(BJ3938="""","""",GOOGLETRANSLATE(BJ3938,""auto"",""en""))"),"FAA - Admin")</f>
        <v>FAA - Admin</v>
      </c>
      <c r="AA3938" s="23" t="str">
        <f aca="false">IF(C3938="","", CHOOSE(MONTH(C3938),"January","February","March","April","May","June","July","August","September","October","November","December")&amp;" "&amp;DAY(C3938)&amp;MID("thstndrdth",MIN(9,2*RIGHT(DAY(C3938))*(MOD(DAY(C3938)-11,100)&gt;2)+1),2)&amp;","&amp;TEXT(C3938," yyyy"))</f>
        <v>July 1st,2023</v>
      </c>
      <c r="AB3938" s="15" t="str">
        <f aca="true">IF(S3938="","",DATEDIF(S3938,TODAY(),"Y")&amp;" Tahun, "&amp;DATEDIF(S3938,TODAY(),"YM")&amp;" Bulan, "&amp;DATEDIF(S3938,TODAY(),"MD")&amp;" Hari")</f>
        <v>27 Tahun, 3 Bulan, 1 Hari</v>
      </c>
      <c r="AC3938" s="18" t="n">
        <v>45672</v>
      </c>
      <c r="AD3938" s="18" t="n">
        <v>46036</v>
      </c>
      <c r="AE3938" s="18" t="s">
        <v>44</v>
      </c>
    </row>
    <row r="3939" customFormat="false" ht="15" hidden="false" customHeight="true" outlineLevel="0" collapsed="false">
      <c r="A3939" s="12" t="n">
        <v>22570</v>
      </c>
      <c r="B3939" s="13" t="s">
        <v>16118</v>
      </c>
      <c r="C3939" s="14" t="n">
        <v>46219</v>
      </c>
      <c r="D3939" s="13" t="s">
        <v>101</v>
      </c>
      <c r="E3939" s="15" t="s">
        <v>47</v>
      </c>
      <c r="F3939" s="15" t="str">
        <f aca="false">IFERROR(__xludf.dummyfunction("XLOOKUP(AJ3939,IMPORTRANGE(""1XaInW9DU9nz21V0tYIfzFQ0He9kVQ_JF2mCXgZ3hqFA"",""REKAP ALL 2026 - Andika!G:G""),IMPORTRANGE(""1XaInW9DU9nz21V0tYIfzFQ0He9kVQ_JF2mCXgZ3hqFA"",""REKAP ALL 2026 - Andika!F:F""),"""",0)"),"21082692126")</f>
        <v>21082692126</v>
      </c>
      <c r="G3939" s="28" t="s">
        <v>57</v>
      </c>
      <c r="H3939" s="13" t="s">
        <v>35</v>
      </c>
      <c r="I3939" s="13" t="str">
        <f aca="false">IF(C3939=J3939,"NEW KONTRAK","RE-KONTRAK")</f>
        <v>NEW KONTRAK</v>
      </c>
      <c r="J3939" s="16" t="n">
        <f aca="false" t="array" ref="J3939:J3939">IFERROR(INDEX(AC3939:AE3939,IF(COUNTA(AC3939:AE3939)=0,"",MAX((AC3939:AE3939&lt;&gt;"")*(COLUMN(AC3939:AE3939)-(COLUMN(AC3939)))))-1),"")</f>
        <v>46219</v>
      </c>
      <c r="K3939" s="16" t="n">
        <f aca="false" t="array" ref="K3939:K3939">IFERROR(INDEX(AC3939:AE3939,IF(COUNTA(AC3939:AE3939)=0,"",MAX((AC3939:AE3939&lt;&gt;"")*(COLUMN(AC3939:AE3939)-(COLUMN(AC3939)-1))))-1),"")</f>
        <v>46402</v>
      </c>
      <c r="L3939" s="17" t="str">
        <f aca="false" t="array" ref="L3939:L3939">IFERROR(INDEX(AC3939:AE3939,IF(COUNTA(AC3939:AE3939)=0,"",MAX((AC3939:AE3939&lt;&gt;"")*(COLUMN(AC3939:AE3939)-(COLUMN(AC3939)-2))))-1),"")</f>
        <v>KEMBALI</v>
      </c>
      <c r="M3939" s="13" t="n">
        <f aca="true">K3939-TODAY()</f>
        <v>78</v>
      </c>
      <c r="N3939" s="18" t="s">
        <v>105</v>
      </c>
      <c r="O3939" s="13" t="s">
        <v>1453</v>
      </c>
      <c r="P3939" s="26" t="n">
        <v>138915</v>
      </c>
      <c r="Q3939" s="20" t="s">
        <v>16119</v>
      </c>
      <c r="R3939" s="16" t="s">
        <v>39</v>
      </c>
      <c r="S3939" s="25" t="n">
        <v>35066</v>
      </c>
      <c r="T3939" s="13" t="s">
        <v>108</v>
      </c>
      <c r="U3939" s="17" t="s">
        <v>16120</v>
      </c>
      <c r="V3939" s="15" t="s">
        <v>42</v>
      </c>
      <c r="W3939" s="13" t="s">
        <v>54</v>
      </c>
      <c r="X3939" s="21" t="n">
        <v>89614980280</v>
      </c>
      <c r="Y3939" s="22" t="str">
        <f aca="false">O3939</f>
        <v>Helper Produksi</v>
      </c>
      <c r="Z3939" s="13" t="str">
        <f aca="false">IFERROR(__xludf.dummyfunction("if(BJ3939="""","""",GOOGLETRANSLATE(BJ3939,""auto"",""en""))"),"Production Helper")</f>
        <v>Production Helper</v>
      </c>
      <c r="AA3939" s="23" t="str">
        <f aca="false">IF(C3939="","", CHOOSE(MONTH(C3939),"January","February","March","April","May","June","July","August","September","October","November","December")&amp;" "&amp;DAY(C3939)&amp;MID("thstndrdth",MIN(9,2*RIGHT(DAY(C3939))*(MOD(DAY(C3939)-11,100)&gt;2)+1),2)&amp;","&amp;TEXT(C3939," yyyy"))</f>
        <v>July 16th,2026</v>
      </c>
      <c r="AB3939" s="15" t="str">
        <f aca="true">IF(S3939="","",DATEDIF(S3939,TODAY(),"Y")&amp;" Tahun, "&amp;DATEDIF(S3939,TODAY(),"YM")&amp;" Bulan, "&amp;DATEDIF(S3939,TODAY(),"MD")&amp;" Hari")</f>
        <v>30 Tahun, 9 Bulan, 27 Hari</v>
      </c>
      <c r="AC3939" s="14" t="n">
        <v>46219</v>
      </c>
      <c r="AD3939" s="18" t="n">
        <v>46402</v>
      </c>
      <c r="AE3939" s="13" t="s">
        <v>397</v>
      </c>
    </row>
    <row r="3940" customFormat="false" ht="15" hidden="false" customHeight="true" outlineLevel="0" collapsed="false">
      <c r="A3940" s="12" t="n">
        <v>22217</v>
      </c>
      <c r="B3940" s="15" t="s">
        <v>16121</v>
      </c>
      <c r="C3940" s="16" t="n">
        <v>46147</v>
      </c>
      <c r="D3940" s="13" t="s">
        <v>101</v>
      </c>
      <c r="E3940" s="15" t="s">
        <v>47</v>
      </c>
      <c r="F3940" s="24" t="s">
        <v>16122</v>
      </c>
      <c r="G3940" s="28" t="s">
        <v>57</v>
      </c>
      <c r="H3940" s="13" t="s">
        <v>35</v>
      </c>
      <c r="I3940" s="13" t="str">
        <f aca="false">IF(C3940=J3940,"NEW KONTRAK","RE-KONTRAK")</f>
        <v>NEW KONTRAK</v>
      </c>
      <c r="J3940" s="16" t="n">
        <f aca="false" t="array" ref="J3940:J3940">IFERROR(INDEX(AC3940:AE3940,IF(COUNTA(AC3940:AE3940)=0,"",MAX((AC3940:AE3940&lt;&gt;"")*(COLUMN(AC3940:AE3940)-(COLUMN(AC3940)))))-1),"")</f>
        <v>46147</v>
      </c>
      <c r="K3940" s="16" t="n">
        <f aca="false" t="array" ref="K3940:K3940">IFERROR(INDEX(AC3940:AE3940,IF(COUNTA(AC3940:AE3940)=0,"",MAX((AC3940:AE3940&lt;&gt;"")*(COLUMN(AC3940:AE3940)-(COLUMN(AC3940)-1))))-1),"")</f>
        <v>46188</v>
      </c>
      <c r="L3940" s="17" t="str">
        <f aca="false" t="array" ref="L3940:L3940">IFERROR(INDEX(AC3940:AE3940,IF(COUNTA(AC3940:AE3940)=0,"",MAX((AC3940:AE3940&lt;&gt;"")*(COLUMN(AC3940:AE3940)-(COLUMN(AC3940)-2))))-1),"")</f>
        <v>ARCHIVED</v>
      </c>
      <c r="M3940" s="13" t="n">
        <f aca="true">K3940-TODAY()</f>
        <v>-136</v>
      </c>
      <c r="N3940" s="18" t="s">
        <v>105</v>
      </c>
      <c r="O3940" s="13" t="s">
        <v>12136</v>
      </c>
      <c r="P3940" s="19" t="n">
        <v>247216.23</v>
      </c>
      <c r="Q3940" s="20" t="s">
        <v>16123</v>
      </c>
      <c r="R3940" s="13" t="s">
        <v>39</v>
      </c>
      <c r="S3940" s="25" t="n">
        <v>37557</v>
      </c>
      <c r="T3940" s="13" t="s">
        <v>108</v>
      </c>
      <c r="U3940" s="13" t="s">
        <v>16124</v>
      </c>
      <c r="V3940" s="13" t="s">
        <v>42</v>
      </c>
      <c r="W3940" s="13" t="s">
        <v>43</v>
      </c>
      <c r="X3940" s="21" t="n">
        <v>87863388152</v>
      </c>
      <c r="Y3940" s="22" t="str">
        <f aca="false">O3940</f>
        <v>Helper Audit</v>
      </c>
      <c r="Z3940" s="13" t="str">
        <f aca="false">IFERROR(__xludf.dummyfunction("if(BJ3940="""","""",GOOGLETRANSLATE(BJ3940,""auto"",""en""))"),"Helper Audit")</f>
        <v>Helper Audit</v>
      </c>
      <c r="AA3940" s="23" t="str">
        <f aca="false">IF(C3940="","", CHOOSE(MONTH(C3940),"January","February","March","April","May","June","July","August","September","October","November","December")&amp;" "&amp;DAY(C3940)&amp;MID("thstndrdth",MIN(9,2*RIGHT(DAY(C3940))*(MOD(DAY(C3940)-11,100)&gt;2)+1),2)&amp;","&amp;TEXT(C3940," yyyy"))</f>
        <v>May 5th,2026</v>
      </c>
      <c r="AB3940" s="15" t="str">
        <f aca="true">IF(S3940="","",DATEDIF(S3940,TODAY(),"Y")&amp;" Tahun, "&amp;DATEDIF(S3940,TODAY(),"YM")&amp;" Bulan, "&amp;DATEDIF(S3940,TODAY(),"MD")&amp;" Hari")</f>
        <v>24 Tahun, 0 Bulan, 1 Hari</v>
      </c>
      <c r="AC3940" s="14" t="n">
        <f aca="false">C3940</f>
        <v>46147</v>
      </c>
      <c r="AD3940" s="64" t="n">
        <v>46188</v>
      </c>
      <c r="AE3940" s="13" t="s">
        <v>44</v>
      </c>
    </row>
    <row r="3941" customFormat="false" ht="15" hidden="false" customHeight="true" outlineLevel="0" collapsed="false">
      <c r="A3941" s="12" t="n">
        <v>22572</v>
      </c>
      <c r="B3941" s="13" t="s">
        <v>16125</v>
      </c>
      <c r="C3941" s="14" t="n">
        <v>46219</v>
      </c>
      <c r="D3941" s="13" t="s">
        <v>101</v>
      </c>
      <c r="E3941" s="15" t="s">
        <v>47</v>
      </c>
      <c r="F3941" s="15" t="str">
        <f aca="false">IFERROR(__xludf.dummyfunction("XLOOKUP(AJ3941,IMPORTRANGE(""1XaInW9DU9nz21V0tYIfzFQ0He9kVQ_JF2mCXgZ3hqFA"",""REKAP ALL 2026 - Andika!G:G""),IMPORTRANGE(""1XaInW9DU9nz21V0tYIfzFQ0He9kVQ_JF2mCXgZ3hqFA"",""REKAP ALL 2026 - Andika!F:F""),"""",0)"),"21082692167")</f>
        <v>21082692167</v>
      </c>
      <c r="G3941" s="28" t="s">
        <v>57</v>
      </c>
      <c r="H3941" s="13" t="s">
        <v>35</v>
      </c>
      <c r="I3941" s="13" t="str">
        <f aca="false">IF(C3941=J3941,"NEW KONTRAK","RE-KONTRAK")</f>
        <v>NEW KONTRAK</v>
      </c>
      <c r="J3941" s="16" t="n">
        <f aca="false" t="array" ref="J3941:J3941">IFERROR(INDEX(AC3941:AE3941,IF(COUNTA(AC3941:AE3941)=0,"",MAX((AC3941:AE3941&lt;&gt;"")*(COLUMN(AC3941:AE3941)-(COLUMN(AC3941)))))-1),"")</f>
        <v>46219</v>
      </c>
      <c r="K3941" s="16" t="n">
        <f aca="false" t="array" ref="K3941:K3941">IFERROR(INDEX(AC3941:AE3941,IF(COUNTA(AC3941:AE3941)=0,"",MAX((AC3941:AE3941&lt;&gt;"")*(COLUMN(AC3941:AE3941)-(COLUMN(AC3941)-1))))-1),"")</f>
        <v>46402</v>
      </c>
      <c r="L3941" s="17" t="str">
        <f aca="false" t="array" ref="L3941:L3941">IFERROR(INDEX(AC3941:AE3941,IF(COUNTA(AC3941:AE3941)=0,"",MAX((AC3941:AE3941&lt;&gt;"")*(COLUMN(AC3941:AE3941)-(COLUMN(AC3941)-2))))-1),"")</f>
        <v>KEMBALI</v>
      </c>
      <c r="M3941" s="13" t="n">
        <f aca="true">K3941-TODAY()</f>
        <v>78</v>
      </c>
      <c r="N3941" s="18" t="s">
        <v>105</v>
      </c>
      <c r="O3941" s="13" t="s">
        <v>1453</v>
      </c>
      <c r="P3941" s="26" t="n">
        <v>138915</v>
      </c>
      <c r="Q3941" s="20" t="s">
        <v>16126</v>
      </c>
      <c r="R3941" s="16" t="s">
        <v>39</v>
      </c>
      <c r="S3941" s="25" t="n">
        <v>36088</v>
      </c>
      <c r="T3941" s="28" t="s">
        <v>40</v>
      </c>
      <c r="U3941" s="17" t="s">
        <v>16127</v>
      </c>
      <c r="V3941" s="15" t="s">
        <v>42</v>
      </c>
      <c r="W3941" s="13" t="s">
        <v>54</v>
      </c>
      <c r="X3941" s="21" t="n">
        <v>89699729865</v>
      </c>
      <c r="Y3941" s="22" t="str">
        <f aca="false">O3941</f>
        <v>Helper Produksi</v>
      </c>
      <c r="Z3941" s="13" t="str">
        <f aca="false">IFERROR(__xludf.dummyfunction("if(BJ3941="""","""",GOOGLETRANSLATE(BJ3941,""auto"",""en""))"),"Production Helper")</f>
        <v>Production Helper</v>
      </c>
      <c r="AA3941" s="23" t="str">
        <f aca="false">IF(C3941="","", CHOOSE(MONTH(C3941),"January","February","March","April","May","June","July","August","September","October","November","December")&amp;" "&amp;DAY(C3941)&amp;MID("thstndrdth",MIN(9,2*RIGHT(DAY(C3941))*(MOD(DAY(C3941)-11,100)&gt;2)+1),2)&amp;","&amp;TEXT(C3941," yyyy"))</f>
        <v>July 16th,2026</v>
      </c>
      <c r="AB3941" s="15" t="str">
        <f aca="true">IF(S3941="","",DATEDIF(S3941,TODAY(),"Y")&amp;" Tahun, "&amp;DATEDIF(S3941,TODAY(),"YM")&amp;" Bulan, "&amp;DATEDIF(S3941,TODAY(),"MD")&amp;" Hari")</f>
        <v>28 Tahun, 0 Bulan, 9 Hari</v>
      </c>
      <c r="AC3941" s="14" t="n">
        <v>46219</v>
      </c>
      <c r="AD3941" s="18" t="n">
        <v>46402</v>
      </c>
      <c r="AE3941" s="13" t="s">
        <v>397</v>
      </c>
    </row>
    <row r="3942" customFormat="false" ht="15" hidden="false" customHeight="true" outlineLevel="0" collapsed="false">
      <c r="A3942" s="12" t="n">
        <v>22543</v>
      </c>
      <c r="B3942" s="45" t="s">
        <v>16128</v>
      </c>
      <c r="C3942" s="14" t="n">
        <v>46223</v>
      </c>
      <c r="D3942" s="13" t="s">
        <v>101</v>
      </c>
      <c r="E3942" s="15" t="s">
        <v>47</v>
      </c>
      <c r="F3942" s="24" t="s">
        <v>16129</v>
      </c>
      <c r="G3942" s="28" t="s">
        <v>57</v>
      </c>
      <c r="H3942" s="13" t="s">
        <v>35</v>
      </c>
      <c r="I3942" s="13" t="str">
        <f aca="false">IF(C3942=J3942,"NEW KONTRAK","RE-KONTRAK")</f>
        <v>NEW KONTRAK</v>
      </c>
      <c r="J3942" s="16" t="n">
        <f aca="false" t="array" ref="J3942:J3942">IFERROR(INDEX(AC3942:AE3942,IF(COUNTA(AC3942:AE3942)=0,"",MAX((AC3942:AE3942&lt;&gt;"")*(COLUMN(AC3942:AE3942)-(COLUMN(AC3942)))))-1),"")</f>
        <v>46223</v>
      </c>
      <c r="K3942" s="16" t="n">
        <f aca="false" t="array" ref="K3942:K3942">IFERROR(INDEX(AC3942:AE3942,IF(COUNTA(AC3942:AE3942)=0,"",MAX((AC3942:AE3942&lt;&gt;"")*(COLUMN(AC3942:AE3942)-(COLUMN(AC3942)-1))))-1),"")</f>
        <v>46402</v>
      </c>
      <c r="L3942" s="17" t="str">
        <f aca="false" t="array" ref="L3942:L3942">IFERROR(INDEX(AC3942:AE3942,IF(COUNTA(AC3942:AE3942)=0,"",MAX((AC3942:AE3942&lt;&gt;"")*(COLUMN(AC3942:AE3942)-(COLUMN(AC3942)-2))))-1),"")</f>
        <v>KEMBALI</v>
      </c>
      <c r="M3942" s="13" t="n">
        <f aca="true">K3942-TODAY()</f>
        <v>78</v>
      </c>
      <c r="N3942" s="18" t="s">
        <v>105</v>
      </c>
      <c r="O3942" s="13" t="s">
        <v>1453</v>
      </c>
      <c r="P3942" s="26" t="n">
        <v>138915</v>
      </c>
      <c r="Q3942" s="20" t="s">
        <v>16130</v>
      </c>
      <c r="R3942" s="13" t="s">
        <v>401</v>
      </c>
      <c r="S3942" s="25" t="n">
        <v>38992</v>
      </c>
      <c r="T3942" s="13" t="s">
        <v>108</v>
      </c>
      <c r="U3942" s="17" t="s">
        <v>16131</v>
      </c>
      <c r="V3942" s="13" t="s">
        <v>42</v>
      </c>
      <c r="W3942" s="13" t="s">
        <v>43</v>
      </c>
      <c r="X3942" s="21" t="n">
        <v>82231122095</v>
      </c>
      <c r="Y3942" s="22" t="str">
        <f aca="false">O3942</f>
        <v>Helper Produksi</v>
      </c>
      <c r="Z3942" s="13" t="str">
        <f aca="false">IFERROR(__xludf.dummyfunction("if(BJ3942="""","""",GOOGLETRANSLATE(BJ3942,""auto"",""en""))"),"Production Helper")</f>
        <v>Production Helper</v>
      </c>
      <c r="AA3942" s="23" t="str">
        <f aca="false">IF(C3942="","", CHOOSE(MONTH(C3942),"January","February","March","April","May","June","July","August","September","October","November","December")&amp;" "&amp;DAY(C3942)&amp;MID("thstndrdth",MIN(9,2*RIGHT(DAY(C3942))*(MOD(DAY(C3942)-11,100)&gt;2)+1),2)&amp;","&amp;TEXT(C3942," yyyy"))</f>
        <v>July 20th,2026</v>
      </c>
      <c r="AB3942" s="15" t="str">
        <f aca="true">IF(S3942="","",DATEDIF(S3942,TODAY(),"Y")&amp;" Tahun, "&amp;DATEDIF(S3942,TODAY(),"YM")&amp;" Bulan, "&amp;DATEDIF(S3942,TODAY(),"MD")&amp;" Hari")</f>
        <v>20 Tahun, 0 Bulan, 27 Hari</v>
      </c>
      <c r="AC3942" s="14" t="n">
        <v>46223</v>
      </c>
      <c r="AD3942" s="18" t="n">
        <v>46402</v>
      </c>
      <c r="AE3942" s="13" t="s">
        <v>397</v>
      </c>
    </row>
    <row r="3943" customFormat="false" ht="15" hidden="false" customHeight="true" outlineLevel="0" collapsed="false">
      <c r="A3943" s="12" t="n">
        <v>22571</v>
      </c>
      <c r="B3943" s="45" t="s">
        <v>16132</v>
      </c>
      <c r="C3943" s="14" t="n">
        <v>46219</v>
      </c>
      <c r="D3943" s="13" t="s">
        <v>101</v>
      </c>
      <c r="E3943" s="15" t="s">
        <v>102</v>
      </c>
      <c r="F3943" s="24" t="s">
        <v>16133</v>
      </c>
      <c r="G3943" s="28" t="s">
        <v>57</v>
      </c>
      <c r="H3943" s="13" t="s">
        <v>35</v>
      </c>
      <c r="I3943" s="13" t="str">
        <f aca="false">IF(C3943=J3943,"NEW KONTRAK","RE-KONTRAK")</f>
        <v>NEW KONTRAK</v>
      </c>
      <c r="J3943" s="16" t="n">
        <f aca="false" t="array" ref="J3943:J3943">IFERROR(INDEX(AC3943:AE3943,IF(COUNTA(AC3943:AE3943)=0,"",MAX((AC3943:AE3943&lt;&gt;"")*(COLUMN(AC3943:AE3943)-(COLUMN(AC3943)))))-1),"")</f>
        <v>46219</v>
      </c>
      <c r="K3943" s="16" t="n">
        <f aca="false" t="array" ref="K3943:K3943">IFERROR(INDEX(AC3943:AE3943,IF(COUNTA(AC3943:AE3943)=0,"",MAX((AC3943:AE3943&lt;&gt;"")*(COLUMN(AC3943:AE3943)-(COLUMN(AC3943)-1))))-1),"")</f>
        <v>46402</v>
      </c>
      <c r="L3943" s="17" t="str">
        <f aca="false" t="array" ref="L3943:L3943">IFERROR(INDEX(AC3943:AE3943,IF(COUNTA(AC3943:AE3943)=0,"",MAX((AC3943:AE3943&lt;&gt;"")*(COLUMN(AC3943:AE3943)-(COLUMN(AC3943)-2))))-1),"")</f>
        <v>KEMBALI</v>
      </c>
      <c r="M3943" s="13" t="n">
        <f aca="true">K3943-TODAY()</f>
        <v>78</v>
      </c>
      <c r="N3943" s="18" t="s">
        <v>105</v>
      </c>
      <c r="O3943" s="13" t="s">
        <v>1453</v>
      </c>
      <c r="P3943" s="26" t="n">
        <v>138915</v>
      </c>
      <c r="Q3943" s="20" t="s">
        <v>16134</v>
      </c>
      <c r="R3943" s="16" t="s">
        <v>826</v>
      </c>
      <c r="S3943" s="25" t="n">
        <v>36805</v>
      </c>
      <c r="T3943" s="13" t="s">
        <v>108</v>
      </c>
      <c r="U3943" s="17" t="s">
        <v>16135</v>
      </c>
      <c r="V3943" s="15" t="s">
        <v>42</v>
      </c>
      <c r="W3943" s="13" t="s">
        <v>54</v>
      </c>
      <c r="X3943" s="21" t="n">
        <v>85943738590</v>
      </c>
      <c r="Y3943" s="22" t="str">
        <f aca="false">O3943</f>
        <v>Helper Produksi</v>
      </c>
      <c r="Z3943" s="13" t="str">
        <f aca="false">IFERROR(__xludf.dummyfunction("if(BJ3943="""","""",GOOGLETRANSLATE(BJ3943,""auto"",""en""))"),"Production Helper")</f>
        <v>Production Helper</v>
      </c>
      <c r="AA3943" s="23" t="str">
        <f aca="false">IF(C3943="","", CHOOSE(MONTH(C3943),"January","February","March","April","May","June","July","August","September","October","November","December")&amp;" "&amp;DAY(C3943)&amp;MID("thstndrdth",MIN(9,2*RIGHT(DAY(C3943))*(MOD(DAY(C3943)-11,100)&gt;2)+1),2)&amp;","&amp;TEXT(C3943," yyyy"))</f>
        <v>July 16th,2026</v>
      </c>
      <c r="AB3943" s="15" t="str">
        <f aca="true">IF(S3943="","",DATEDIF(S3943,TODAY(),"Y")&amp;" Tahun, "&amp;DATEDIF(S3943,TODAY(),"YM")&amp;" Bulan, "&amp;DATEDIF(S3943,TODAY(),"MD")&amp;" Hari")</f>
        <v>26 Tahun, 0 Bulan, 23 Hari</v>
      </c>
      <c r="AC3943" s="14" t="n">
        <v>46219</v>
      </c>
      <c r="AD3943" s="18" t="n">
        <v>46402</v>
      </c>
      <c r="AE3943" s="13" t="s">
        <v>397</v>
      </c>
    </row>
    <row r="3944" customFormat="false" ht="15" hidden="false" customHeight="true" outlineLevel="0" collapsed="false">
      <c r="A3944" s="12" t="n">
        <v>22573</v>
      </c>
      <c r="B3944" s="13" t="s">
        <v>16136</v>
      </c>
      <c r="C3944" s="14" t="n">
        <v>46219</v>
      </c>
      <c r="D3944" s="13" t="s">
        <v>101</v>
      </c>
      <c r="E3944" s="15" t="s">
        <v>47</v>
      </c>
      <c r="F3944" s="15" t="str">
        <f aca="false">IFERROR(__xludf.dummyfunction("XLOOKUP(AJ3944,IMPORTRANGE(""1XaInW9DU9nz21V0tYIfzFQ0He9kVQ_JF2mCXgZ3hqFA"",""REKAP ALL 2026 - Andika!G:G""),IMPORTRANGE(""1XaInW9DU9nz21V0tYIfzFQ0He9kVQ_JF2mCXgZ3hqFA"",""REKAP ALL 2026 - Andika!F:F""),"""",0)"),"23019105800")</f>
        <v>23019105800</v>
      </c>
      <c r="G3944" s="28" t="s">
        <v>57</v>
      </c>
      <c r="H3944" s="13" t="s">
        <v>35</v>
      </c>
      <c r="I3944" s="13" t="str">
        <f aca="false">IF(C3944=J3944,"NEW KONTRAK","RE-KONTRAK")</f>
        <v>NEW KONTRAK</v>
      </c>
      <c r="J3944" s="16" t="n">
        <f aca="false" t="array" ref="J3944:J3944">IFERROR(INDEX(AC3944:AE3944,IF(COUNTA(AC3944:AE3944)=0,"",MAX((AC3944:AE3944&lt;&gt;"")*(COLUMN(AC3944:AE3944)-(COLUMN(AC3944)))))-1),"")</f>
        <v>46219</v>
      </c>
      <c r="K3944" s="16" t="n">
        <f aca="false" t="array" ref="K3944:K3944">IFERROR(INDEX(AC3944:AE3944,IF(COUNTA(AC3944:AE3944)=0,"",MAX((AC3944:AE3944&lt;&gt;"")*(COLUMN(AC3944:AE3944)-(COLUMN(AC3944)-1))))-1),"")</f>
        <v>46402</v>
      </c>
      <c r="L3944" s="17" t="str">
        <f aca="false" t="array" ref="L3944:L3944">IFERROR(INDEX(AC3944:AE3944,IF(COUNTA(AC3944:AE3944)=0,"",MAX((AC3944:AE3944&lt;&gt;"")*(COLUMN(AC3944:AE3944)-(COLUMN(AC3944)-2))))-1),"")</f>
        <v>KEMBALI</v>
      </c>
      <c r="M3944" s="13" t="n">
        <f aca="true">K3944-TODAY()</f>
        <v>78</v>
      </c>
      <c r="N3944" s="18" t="s">
        <v>105</v>
      </c>
      <c r="O3944" s="13" t="s">
        <v>1453</v>
      </c>
      <c r="P3944" s="26" t="n">
        <v>138915</v>
      </c>
      <c r="Q3944" s="20" t="s">
        <v>16137</v>
      </c>
      <c r="R3944" s="16" t="s">
        <v>39</v>
      </c>
      <c r="S3944" s="25" t="n">
        <v>37242</v>
      </c>
      <c r="T3944" s="28" t="s">
        <v>40</v>
      </c>
      <c r="U3944" s="17" t="s">
        <v>16138</v>
      </c>
      <c r="V3944" s="15" t="s">
        <v>42</v>
      </c>
      <c r="W3944" s="13" t="s">
        <v>43</v>
      </c>
      <c r="X3944" s="21" t="n">
        <v>8970360964</v>
      </c>
      <c r="Y3944" s="22" t="str">
        <f aca="false">O3944</f>
        <v>Helper Produksi</v>
      </c>
      <c r="Z3944" s="13" t="str">
        <f aca="false">IFERROR(__xludf.dummyfunction("if(BJ3944="""","""",GOOGLETRANSLATE(BJ3944,""auto"",""en""))"),"Production Helper")</f>
        <v>Production Helper</v>
      </c>
      <c r="AA3944" s="23" t="str">
        <f aca="false">IF(C3944="","", CHOOSE(MONTH(C3944),"January","February","March","April","May","June","July","August","September","October","November","December")&amp;" "&amp;DAY(C3944)&amp;MID("thstndrdth",MIN(9,2*RIGHT(DAY(C3944))*(MOD(DAY(C3944)-11,100)&gt;2)+1),2)&amp;","&amp;TEXT(C3944," yyyy"))</f>
        <v>July 16th,2026</v>
      </c>
      <c r="AB3944" s="15" t="str">
        <f aca="true">IF(S3944="","",DATEDIF(S3944,TODAY(),"Y")&amp;" Tahun, "&amp;DATEDIF(S3944,TODAY(),"YM")&amp;" Bulan, "&amp;DATEDIF(S3944,TODAY(),"MD")&amp;" Hari")</f>
        <v>24 Tahun, 10 Bulan, 12 Hari</v>
      </c>
      <c r="AC3944" s="14" t="n">
        <v>46219</v>
      </c>
      <c r="AD3944" s="18" t="n">
        <v>46402</v>
      </c>
      <c r="AE3944" s="13" t="s">
        <v>397</v>
      </c>
    </row>
    <row r="3945" customFormat="false" ht="15" hidden="false" customHeight="true" outlineLevel="0" collapsed="false">
      <c r="A3945" s="12" t="n">
        <v>22574</v>
      </c>
      <c r="B3945" s="13" t="s">
        <v>16139</v>
      </c>
      <c r="C3945" s="14" t="n">
        <v>46219</v>
      </c>
      <c r="D3945" s="13" t="s">
        <v>101</v>
      </c>
      <c r="E3945" s="15" t="s">
        <v>47</v>
      </c>
      <c r="F3945" s="15" t="str">
        <f aca="false">IFERROR(__xludf.dummyfunction("XLOOKUP(AJ3945,IMPORTRANGE(""1XaInW9DU9nz21V0tYIfzFQ0He9kVQ_JF2mCXgZ3hqFA"",""REKAP ALL 2026 - Andika!G:G""),IMPORTRANGE(""1XaInW9DU9nz21V0tYIfzFQ0He9kVQ_JF2mCXgZ3hqFA"",""REKAP ALL 2026 - Andika!F:F""),"""",0)"),"21082692670")</f>
        <v>21082692670</v>
      </c>
      <c r="G3945" s="28" t="s">
        <v>57</v>
      </c>
      <c r="H3945" s="13" t="s">
        <v>35</v>
      </c>
      <c r="I3945" s="13" t="str">
        <f aca="false">IF(C3945=J3945,"NEW KONTRAK","RE-KONTRAK")</f>
        <v>NEW KONTRAK</v>
      </c>
      <c r="J3945" s="16" t="n">
        <f aca="false" t="array" ref="J3945:J3945">IFERROR(INDEX(AC3945:AE3945,IF(COUNTA(AC3945:AE3945)=0,"",MAX((AC3945:AE3945&lt;&gt;"")*(COLUMN(AC3945:AE3945)-(COLUMN(AC3945)))))-1),"")</f>
        <v>46219</v>
      </c>
      <c r="K3945" s="16" t="n">
        <f aca="false" t="array" ref="K3945:K3945">IFERROR(INDEX(AC3945:AE3945,IF(COUNTA(AC3945:AE3945)=0,"",MAX((AC3945:AE3945&lt;&gt;"")*(COLUMN(AC3945:AE3945)-(COLUMN(AC3945)-1))))-1),"")</f>
        <v>46402</v>
      </c>
      <c r="L3945" s="17" t="str">
        <f aca="false" t="array" ref="L3945:L3945">IFERROR(INDEX(AC3945:AE3945,IF(COUNTA(AC3945:AE3945)=0,"",MAX((AC3945:AE3945&lt;&gt;"")*(COLUMN(AC3945:AE3945)-(COLUMN(AC3945)-2))))-1),"")</f>
        <v>KEMBALI</v>
      </c>
      <c r="M3945" s="13" t="n">
        <f aca="true">K3945-TODAY()</f>
        <v>78</v>
      </c>
      <c r="N3945" s="18" t="s">
        <v>105</v>
      </c>
      <c r="O3945" s="13" t="s">
        <v>1453</v>
      </c>
      <c r="P3945" s="26" t="n">
        <v>138915</v>
      </c>
      <c r="Q3945" s="20" t="s">
        <v>16140</v>
      </c>
      <c r="R3945" s="13" t="s">
        <v>73</v>
      </c>
      <c r="S3945" s="25" t="n">
        <v>37715</v>
      </c>
      <c r="T3945" s="13" t="s">
        <v>108</v>
      </c>
      <c r="U3945" s="17" t="s">
        <v>16141</v>
      </c>
      <c r="V3945" s="15" t="s">
        <v>42</v>
      </c>
      <c r="W3945" s="13" t="s">
        <v>43</v>
      </c>
      <c r="X3945" s="21" t="n">
        <v>85745632836</v>
      </c>
      <c r="Y3945" s="22" t="str">
        <f aca="false">O3945</f>
        <v>Helper Produksi</v>
      </c>
      <c r="Z3945" s="13" t="str">
        <f aca="false">IFERROR(__xludf.dummyfunction("if(BJ3945="""","""",GOOGLETRANSLATE(BJ3945,""auto"",""en""))"),"Production Helper")</f>
        <v>Production Helper</v>
      </c>
      <c r="AA3945" s="23" t="str">
        <f aca="false">IF(C3945="","", CHOOSE(MONTH(C3945),"January","February","March","April","May","June","July","August","September","October","November","December")&amp;" "&amp;DAY(C3945)&amp;MID("thstndrdth",MIN(9,2*RIGHT(DAY(C3945))*(MOD(DAY(C3945)-11,100)&gt;2)+1),2)&amp;","&amp;TEXT(C3945," yyyy"))</f>
        <v>July 16th,2026</v>
      </c>
      <c r="AB3945" s="15" t="str">
        <f aca="true">IF(S3945="","",DATEDIF(S3945,TODAY(),"Y")&amp;" Tahun, "&amp;DATEDIF(S3945,TODAY(),"YM")&amp;" Bulan, "&amp;DATEDIF(S3945,TODAY(),"MD")&amp;" Hari")</f>
        <v>23 Tahun, 6 Bulan, 25 Hari</v>
      </c>
      <c r="AC3945" s="14" t="n">
        <v>46219</v>
      </c>
      <c r="AD3945" s="18" t="n">
        <v>46402</v>
      </c>
      <c r="AE3945" s="13" t="s">
        <v>397</v>
      </c>
    </row>
    <row r="3946" customFormat="false" ht="15" hidden="false" customHeight="true" outlineLevel="0" collapsed="false">
      <c r="A3946" s="12" t="n">
        <v>22575</v>
      </c>
      <c r="B3946" s="13" t="s">
        <v>16142</v>
      </c>
      <c r="C3946" s="14" t="n">
        <v>46219</v>
      </c>
      <c r="D3946" s="13" t="s">
        <v>101</v>
      </c>
      <c r="E3946" s="15" t="s">
        <v>47</v>
      </c>
      <c r="F3946" s="15" t="str">
        <f aca="false">IFERROR(__xludf.dummyfunction("XLOOKUP(AJ3946,IMPORTRANGE(""1XaInW9DU9nz21V0tYIfzFQ0He9kVQ_JF2mCXgZ3hqFA"",""REKAP ALL 2026 - Andika!G:G""),IMPORTRANGE(""1XaInW9DU9nz21V0tYIfzFQ0He9kVQ_JF2mCXgZ3hqFA"",""REKAP ALL 2026 - Andika!F:F""),"""",0)"),"20021316086")</f>
        <v>20021316086</v>
      </c>
      <c r="G3946" s="28" t="s">
        <v>57</v>
      </c>
      <c r="H3946" s="13" t="s">
        <v>35</v>
      </c>
      <c r="I3946" s="13" t="str">
        <f aca="false">IF(C3946=J3946,"NEW KONTRAK","RE-KONTRAK")</f>
        <v>NEW KONTRAK</v>
      </c>
      <c r="J3946" s="16" t="n">
        <f aca="false" t="array" ref="J3946:J3946">IFERROR(INDEX(AC3946:AE3946,IF(COUNTA(AC3946:AE3946)=0,"",MAX((AC3946:AE3946&lt;&gt;"")*(COLUMN(AC3946:AE3946)-(COLUMN(AC3946)))))-1),"")</f>
        <v>46219</v>
      </c>
      <c r="K3946" s="16" t="n">
        <f aca="false" t="array" ref="K3946:K3946">IFERROR(INDEX(AC3946:AE3946,IF(COUNTA(AC3946:AE3946)=0,"",MAX((AC3946:AE3946&lt;&gt;"")*(COLUMN(AC3946:AE3946)-(COLUMN(AC3946)-1))))-1),"")</f>
        <v>46402</v>
      </c>
      <c r="L3946" s="17" t="str">
        <f aca="false" t="array" ref="L3946:L3946">IFERROR(INDEX(AC3946:AE3946,IF(COUNTA(AC3946:AE3946)=0,"",MAX((AC3946:AE3946&lt;&gt;"")*(COLUMN(AC3946:AE3946)-(COLUMN(AC3946)-2))))-1),"")</f>
        <v>KEMBALI</v>
      </c>
      <c r="M3946" s="13" t="n">
        <f aca="true">K3946-TODAY()</f>
        <v>78</v>
      </c>
      <c r="N3946" s="18" t="s">
        <v>105</v>
      </c>
      <c r="O3946" s="13" t="s">
        <v>1453</v>
      </c>
      <c r="P3946" s="26" t="n">
        <v>138915</v>
      </c>
      <c r="Q3946" s="20" t="s">
        <v>16143</v>
      </c>
      <c r="R3946" s="16" t="s">
        <v>260</v>
      </c>
      <c r="S3946" s="25" t="n">
        <v>33851</v>
      </c>
      <c r="T3946" s="13" t="s">
        <v>108</v>
      </c>
      <c r="U3946" s="17" t="s">
        <v>16144</v>
      </c>
      <c r="V3946" s="15" t="s">
        <v>42</v>
      </c>
      <c r="W3946" s="13" t="s">
        <v>43</v>
      </c>
      <c r="X3946" s="21" t="n">
        <v>85727579599</v>
      </c>
      <c r="Y3946" s="22" t="str">
        <f aca="false">O3946</f>
        <v>Helper Produksi</v>
      </c>
      <c r="Z3946" s="13" t="str">
        <f aca="false">IFERROR(__xludf.dummyfunction("if(BJ3946="""","""",GOOGLETRANSLATE(BJ3946,""auto"",""en""))"),"Production Helper")</f>
        <v>Production Helper</v>
      </c>
      <c r="AA3946" s="23" t="str">
        <f aca="false">IF(C3946="","", CHOOSE(MONTH(C3946),"January","February","March","April","May","June","July","August","September","October","November","December")&amp;" "&amp;DAY(C3946)&amp;MID("thstndrdth",MIN(9,2*RIGHT(DAY(C3946))*(MOD(DAY(C3946)-11,100)&gt;2)+1),2)&amp;","&amp;TEXT(C3946," yyyy"))</f>
        <v>July 16th,2026</v>
      </c>
      <c r="AB3946" s="15" t="str">
        <f aca="true">IF(S3946="","",DATEDIF(S3946,TODAY(),"Y")&amp;" Tahun, "&amp;DATEDIF(S3946,TODAY(),"YM")&amp;" Bulan, "&amp;DATEDIF(S3946,TODAY(),"MD")&amp;" Hari")</f>
        <v>34 Tahun, 1 Bulan, 25 Hari</v>
      </c>
      <c r="AC3946" s="14" t="n">
        <v>46219</v>
      </c>
      <c r="AD3946" s="18" t="n">
        <v>46402</v>
      </c>
      <c r="AE3946" s="13" t="s">
        <v>397</v>
      </c>
    </row>
    <row r="3947" customFormat="false" ht="15" hidden="false" customHeight="true" outlineLevel="0" collapsed="false">
      <c r="A3947" s="12" t="n">
        <v>2036</v>
      </c>
      <c r="B3947" s="13" t="s">
        <v>16145</v>
      </c>
      <c r="C3947" s="14" t="n">
        <v>43845</v>
      </c>
      <c r="D3947" s="13" t="s">
        <v>101</v>
      </c>
      <c r="E3947" s="15" t="s">
        <v>47</v>
      </c>
      <c r="F3947" s="15" t="str">
        <f aca="false">IFERROR(__xludf.dummyfunction("XLOOKUP(AJ3947,IMPORTRANGE(""1XaInW9DU9nz21V0tYIfzFQ0He9kVQ_JF2mCXgZ3hqFA"",""REKAP ALL 2026 - Andika!G:G""),IMPORTRANGE(""1XaInW9DU9nz21V0tYIfzFQ0He9kVQ_JF2mCXgZ3hqFA"",""REKAP ALL 2026 - Andika!F:F""),"""",0)"),"20021314677")</f>
        <v>20021314677</v>
      </c>
      <c r="G3947" s="13" t="s">
        <v>16146</v>
      </c>
      <c r="H3947" s="13" t="s">
        <v>35</v>
      </c>
      <c r="I3947" s="13" t="str">
        <f aca="false">IF(C3947=J3947,"NEW KONTRAK","RE-KONTRAK")</f>
        <v>RE-KONTRAK</v>
      </c>
      <c r="J3947" s="16" t="n">
        <f aca="false" t="array" ref="J3947:J3947">IFERROR(INDEX(AC3947:AE3947,IF(COUNTA(AC3947:AE3947)=0,"",MAX((AC3947:AE3947&lt;&gt;"")*(COLUMN(AC3947:AE3947)-(COLUMN(AC3947)))))-1),"")</f>
        <v>45672</v>
      </c>
      <c r="K3947" s="16" t="n">
        <f aca="false" t="array" ref="K3947:K3947">IFERROR(INDEX(AC3947:AE3947,IF(COUNTA(AC3947:AE3947)=0,"",MAX((AC3947:AE3947&lt;&gt;"")*(COLUMN(AC3947:AE3947)-(COLUMN(AC3947)-1))))-1),"")</f>
        <v>46036</v>
      </c>
      <c r="L3947" s="17" t="str">
        <f aca="false" t="array" ref="L3947:L3947">IFERROR(INDEX(AC3947:AE3947,IF(COUNTA(AC3947:AE3947)=0,"",MAX((AC3947:AE3947&lt;&gt;"")*(COLUMN(AC3947:AE3947)-(COLUMN(AC3947)-2))))-1),"")</f>
        <v>ARCHIVED</v>
      </c>
      <c r="M3947" s="13" t="n">
        <f aca="true">K3947-TODAY()</f>
        <v>-288</v>
      </c>
      <c r="N3947" s="18" t="s">
        <v>105</v>
      </c>
      <c r="O3947" s="13" t="s">
        <v>1401</v>
      </c>
      <c r="P3947" s="31" t="n">
        <v>138915</v>
      </c>
      <c r="Q3947" s="20" t="s">
        <v>16147</v>
      </c>
      <c r="R3947" s="13" t="s">
        <v>52</v>
      </c>
      <c r="S3947" s="25" t="n">
        <v>36386</v>
      </c>
      <c r="T3947" s="13" t="s">
        <v>40</v>
      </c>
      <c r="U3947" s="13" t="s">
        <v>16148</v>
      </c>
      <c r="V3947" s="13" t="s">
        <v>42</v>
      </c>
      <c r="W3947" s="13" t="s">
        <v>43</v>
      </c>
      <c r="X3947" s="21" t="n">
        <v>83119451683</v>
      </c>
      <c r="Y3947" s="22" t="str">
        <f aca="false">O3947</f>
        <v>Gudang Jadi - Helper</v>
      </c>
      <c r="Z3947" s="13" t="str">
        <f aca="false">IFERROR(__xludf.dummyfunction("if(BJ3947="""","""",GOOGLETRANSLATE(BJ3947,""auto"",""en""))"),"Ready-Made Warehouse - Helper")</f>
        <v>Ready-Made Warehouse - Helper</v>
      </c>
      <c r="AA3947" s="23" t="str">
        <f aca="false">IF(C3947="","", CHOOSE(MONTH(C3947),"January","February","March","April","May","June","July","August","September","October","November","December")&amp;" "&amp;DAY(C3947)&amp;MID("thstndrdth",MIN(9,2*RIGHT(DAY(C3947))*(MOD(DAY(C3947)-11,100)&gt;2)+1),2)&amp;","&amp;TEXT(C3947," yyyy"))</f>
        <v>January 15th,2020</v>
      </c>
      <c r="AB3947" s="15" t="str">
        <f aca="true">IF(S3947="","",DATEDIF(S3947,TODAY(),"Y")&amp;" Tahun, "&amp;DATEDIF(S3947,TODAY(),"YM")&amp;" Bulan, "&amp;DATEDIF(S3947,TODAY(),"MD")&amp;" Hari")</f>
        <v>27 Tahun, 2 Bulan, 15 Hari</v>
      </c>
      <c r="AC3947" s="18" t="n">
        <v>45672</v>
      </c>
      <c r="AD3947" s="18" t="n">
        <v>46036</v>
      </c>
      <c r="AE3947" s="18" t="s">
        <v>44</v>
      </c>
    </row>
    <row r="3948" customFormat="false" ht="15" hidden="false" customHeight="true" outlineLevel="0" collapsed="false">
      <c r="A3948" s="12" t="n">
        <v>22576</v>
      </c>
      <c r="B3948" s="45" t="s">
        <v>16149</v>
      </c>
      <c r="C3948" s="14" t="n">
        <v>46219</v>
      </c>
      <c r="D3948" s="13" t="s">
        <v>101</v>
      </c>
      <c r="E3948" s="15" t="s">
        <v>47</v>
      </c>
      <c r="F3948" s="24" t="s">
        <v>16150</v>
      </c>
      <c r="G3948" s="28" t="s">
        <v>57</v>
      </c>
      <c r="H3948" s="13" t="s">
        <v>35</v>
      </c>
      <c r="I3948" s="13" t="str">
        <f aca="false">IF(C3948=J3948,"NEW KONTRAK","RE-KONTRAK")</f>
        <v>NEW KONTRAK</v>
      </c>
      <c r="J3948" s="16" t="n">
        <f aca="false" t="array" ref="J3948:J3948">IFERROR(INDEX(AC3948:AE3948,IF(COUNTA(AC3948:AE3948)=0,"",MAX((AC3948:AE3948&lt;&gt;"")*(COLUMN(AC3948:AE3948)-(COLUMN(AC3948)))))-1),"")</f>
        <v>46219</v>
      </c>
      <c r="K3948" s="16" t="n">
        <f aca="false" t="array" ref="K3948:K3948">IFERROR(INDEX(AC3948:AE3948,IF(COUNTA(AC3948:AE3948)=0,"",MAX((AC3948:AE3948&lt;&gt;"")*(COLUMN(AC3948:AE3948)-(COLUMN(AC3948)-1))))-1),"")</f>
        <v>46402</v>
      </c>
      <c r="L3948" s="17" t="str">
        <f aca="false" t="array" ref="L3948:L3948">IFERROR(INDEX(AC3948:AE3948,IF(COUNTA(AC3948:AE3948)=0,"",MAX((AC3948:AE3948&lt;&gt;"")*(COLUMN(AC3948:AE3948)-(COLUMN(AC3948)-2))))-1),"")</f>
        <v>KEMBALI</v>
      </c>
      <c r="M3948" s="13" t="n">
        <f aca="true">K3948-TODAY()</f>
        <v>78</v>
      </c>
      <c r="N3948" s="18" t="s">
        <v>105</v>
      </c>
      <c r="O3948" s="13" t="s">
        <v>1453</v>
      </c>
      <c r="P3948" s="26" t="n">
        <v>138915</v>
      </c>
      <c r="Q3948" s="20" t="s">
        <v>16151</v>
      </c>
      <c r="R3948" s="13" t="s">
        <v>52</v>
      </c>
      <c r="S3948" s="25" t="n">
        <v>37374</v>
      </c>
      <c r="T3948" s="13" t="s">
        <v>108</v>
      </c>
      <c r="U3948" s="17" t="s">
        <v>16152</v>
      </c>
      <c r="V3948" s="15" t="s">
        <v>42</v>
      </c>
      <c r="W3948" s="13" t="s">
        <v>54</v>
      </c>
      <c r="X3948" s="21" t="n">
        <v>88991864395</v>
      </c>
      <c r="Y3948" s="22" t="str">
        <f aca="false">O3948</f>
        <v>Helper Produksi</v>
      </c>
      <c r="Z3948" s="13" t="str">
        <f aca="false">IFERROR(__xludf.dummyfunction("if(BJ3948="""","""",GOOGLETRANSLATE(BJ3948,""auto"",""en""))"),"Production Helper")</f>
        <v>Production Helper</v>
      </c>
      <c r="AA3948" s="23" t="str">
        <f aca="false">IF(C3948="","", CHOOSE(MONTH(C3948),"January","February","March","April","May","June","July","August","September","October","November","December")&amp;" "&amp;DAY(C3948)&amp;MID("thstndrdth",MIN(9,2*RIGHT(DAY(C3948))*(MOD(DAY(C3948)-11,100)&gt;2)+1),2)&amp;","&amp;TEXT(C3948," yyyy"))</f>
        <v>July 16th,2026</v>
      </c>
      <c r="AB3948" s="15" t="str">
        <f aca="true">IF(S3948="","",DATEDIF(S3948,TODAY(),"Y")&amp;" Tahun, "&amp;DATEDIF(S3948,TODAY(),"YM")&amp;" Bulan, "&amp;DATEDIF(S3948,TODAY(),"MD")&amp;" Hari")</f>
        <v>24 Tahun, 6 Bulan, 1 Hari</v>
      </c>
      <c r="AC3948" s="14" t="n">
        <v>46219</v>
      </c>
      <c r="AD3948" s="53" t="n">
        <v>46402</v>
      </c>
      <c r="AE3948" s="13" t="s">
        <v>397</v>
      </c>
    </row>
    <row r="3949" customFormat="false" ht="15" hidden="false" customHeight="true" outlineLevel="0" collapsed="false">
      <c r="A3949" s="12" t="n">
        <v>22577</v>
      </c>
      <c r="B3949" s="13" t="s">
        <v>16153</v>
      </c>
      <c r="C3949" s="14" t="n">
        <v>46219</v>
      </c>
      <c r="D3949" s="13" t="s">
        <v>101</v>
      </c>
      <c r="E3949" s="15" t="s">
        <v>47</v>
      </c>
      <c r="F3949" s="24" t="s">
        <v>16154</v>
      </c>
      <c r="G3949" s="28" t="s">
        <v>57</v>
      </c>
      <c r="H3949" s="13" t="s">
        <v>35</v>
      </c>
      <c r="I3949" s="13" t="str">
        <f aca="false">IF(C3949=J3949,"NEW KONTRAK","RE-KONTRAK")</f>
        <v>NEW KONTRAK</v>
      </c>
      <c r="J3949" s="16" t="n">
        <f aca="false" t="array" ref="J3949:J3949">IFERROR(INDEX(AC3949:AE3949,IF(COUNTA(AC3949:AE3949)=0,"",MAX((AC3949:AE3949&lt;&gt;"")*(COLUMN(AC3949:AE3949)-(COLUMN(AC3949)))))-1),"")</f>
        <v>46219</v>
      </c>
      <c r="K3949" s="16" t="n">
        <f aca="false" t="array" ref="K3949:K3949">IFERROR(INDEX(AC3949:AE3949,IF(COUNTA(AC3949:AE3949)=0,"",MAX((AC3949:AE3949&lt;&gt;"")*(COLUMN(AC3949:AE3949)-(COLUMN(AC3949)-1))))-1),"")</f>
        <v>46402</v>
      </c>
      <c r="L3949" s="17" t="str">
        <f aca="false" t="array" ref="L3949:L3949">IFERROR(INDEX(AC3949:AE3949,IF(COUNTA(AC3949:AE3949)=0,"",MAX((AC3949:AE3949&lt;&gt;"")*(COLUMN(AC3949:AE3949)-(COLUMN(AC3949)-2))))-1),"")</f>
        <v>KEMBALI</v>
      </c>
      <c r="M3949" s="13" t="n">
        <f aca="true">K3949-TODAY()</f>
        <v>78</v>
      </c>
      <c r="N3949" s="18" t="s">
        <v>105</v>
      </c>
      <c r="O3949" s="13" t="s">
        <v>1453</v>
      </c>
      <c r="P3949" s="26" t="n">
        <v>138915</v>
      </c>
      <c r="Q3949" s="20" t="s">
        <v>16155</v>
      </c>
      <c r="R3949" s="16" t="s">
        <v>39</v>
      </c>
      <c r="S3949" s="25" t="n">
        <v>36865</v>
      </c>
      <c r="T3949" s="13" t="s">
        <v>108</v>
      </c>
      <c r="U3949" s="17" t="s">
        <v>16156</v>
      </c>
      <c r="V3949" s="15" t="s">
        <v>42</v>
      </c>
      <c r="W3949" s="13" t="s">
        <v>43</v>
      </c>
      <c r="X3949" s="21" t="n">
        <v>87852146724</v>
      </c>
      <c r="Y3949" s="22" t="str">
        <f aca="false">O3949</f>
        <v>Helper Produksi</v>
      </c>
      <c r="Z3949" s="13" t="str">
        <f aca="false">IFERROR(__xludf.dummyfunction("if(BJ3949="""","""",GOOGLETRANSLATE(BJ3949,""auto"",""en""))"),"Production Helper")</f>
        <v>Production Helper</v>
      </c>
      <c r="AA3949" s="23" t="str">
        <f aca="false">IF(C3949="","", CHOOSE(MONTH(C3949),"January","February","March","April","May","June","July","August","September","October","November","December")&amp;" "&amp;DAY(C3949)&amp;MID("thstndrdth",MIN(9,2*RIGHT(DAY(C3949))*(MOD(DAY(C3949)-11,100)&gt;2)+1),2)&amp;","&amp;TEXT(C3949," yyyy"))</f>
        <v>July 16th,2026</v>
      </c>
      <c r="AB3949" s="15" t="str">
        <f aca="true">IF(S3949="","",DATEDIF(S3949,TODAY(),"Y")&amp;" Tahun, "&amp;DATEDIF(S3949,TODAY(),"YM")&amp;" Bulan, "&amp;DATEDIF(S3949,TODAY(),"MD")&amp;" Hari")</f>
        <v>25 Tahun, 10 Bulan, 24 Hari</v>
      </c>
      <c r="AC3949" s="14" t="n">
        <v>46219</v>
      </c>
      <c r="AD3949" s="18" t="n">
        <v>46402</v>
      </c>
      <c r="AE3949" s="13" t="s">
        <v>397</v>
      </c>
    </row>
    <row r="3950" customFormat="false" ht="15" hidden="false" customHeight="true" outlineLevel="0" collapsed="false">
      <c r="A3950" s="12" t="n">
        <v>22665</v>
      </c>
      <c r="B3950" s="45" t="s">
        <v>16157</v>
      </c>
      <c r="C3950" s="14" t="n">
        <v>46241</v>
      </c>
      <c r="D3950" s="13" t="s">
        <v>101</v>
      </c>
      <c r="E3950" s="13" t="s">
        <v>47</v>
      </c>
      <c r="F3950" s="24" t="s">
        <v>16158</v>
      </c>
      <c r="G3950" s="13" t="s">
        <v>1452</v>
      </c>
      <c r="H3950" s="13" t="s">
        <v>35</v>
      </c>
      <c r="I3950" s="13" t="str">
        <f aca="false">IF(C3950=J3950,"NEW KONTRAK","RE-KONTRAK")</f>
        <v>NEW KONTRAK</v>
      </c>
      <c r="J3950" s="16" t="n">
        <f aca="false" t="array" ref="J3950:J3950">IFERROR(INDEX(AC3950:AE3950,IF(COUNTA(AC3950:AE3950)=0,"",MAX((AC3950:AE3950&lt;&gt;"")*(COLUMN(AC3950:AE3950)-(COLUMN(AC3950)))))-1),"")</f>
        <v>46241</v>
      </c>
      <c r="K3950" s="16" t="n">
        <f aca="false" t="array" ref="K3950:K3950">IFERROR(INDEX(AC3950:AE3950,IF(COUNTA(AC3950:AE3950)=0,"",MAX((AC3950:AE3950&lt;&gt;"")*(COLUMN(AC3950:AE3950)-(COLUMN(AC3950)-1))))-1),"")</f>
        <v>46402</v>
      </c>
      <c r="L3950" s="17" t="str">
        <f aca="false" t="array" ref="L3950:L3950">IFERROR(INDEX(AC3950:AE3950,IF(COUNTA(AC3950:AE3950)=0,"",MAX((AC3950:AE3950&lt;&gt;"")*(COLUMN(AC3950:AE3950)-(COLUMN(AC3950)-2))))-1),"")</f>
        <v>ARCHIVED</v>
      </c>
      <c r="M3950" s="13" t="n">
        <f aca="true">K3950-TODAY()</f>
        <v>78</v>
      </c>
      <c r="N3950" s="18" t="s">
        <v>105</v>
      </c>
      <c r="O3950" s="13" t="s">
        <v>1453</v>
      </c>
      <c r="P3950" s="26" t="n">
        <v>138915</v>
      </c>
      <c r="Q3950" s="20" t="s">
        <v>16159</v>
      </c>
      <c r="R3950" s="13" t="s">
        <v>39</v>
      </c>
      <c r="S3950" s="25" t="n">
        <v>38311</v>
      </c>
      <c r="T3950" s="13" t="s">
        <v>108</v>
      </c>
      <c r="U3950" s="13" t="s">
        <v>16160</v>
      </c>
      <c r="V3950" s="13" t="s">
        <v>42</v>
      </c>
      <c r="W3950" s="13" t="s">
        <v>43</v>
      </c>
      <c r="X3950" s="21" t="n">
        <v>85706367774</v>
      </c>
      <c r="Y3950" s="22" t="str">
        <f aca="false">O3950</f>
        <v>Helper Produksi</v>
      </c>
      <c r="Z3950" s="13" t="str">
        <f aca="false">IFERROR(__xludf.dummyfunction("if(BJ3950="""","""",GOOGLETRANSLATE(BJ3950,""auto"",""en""))"),"Production Helper")</f>
        <v>Production Helper</v>
      </c>
      <c r="AA3950" s="23" t="str">
        <f aca="false">IF(C3950="","", CHOOSE(MONTH(C3950),"January","February","March","April","May","June","July","August","September","October","November","December")&amp;" "&amp;DAY(C3950)&amp;MID("thstndrdth",MIN(9,2*RIGHT(DAY(C3950))*(MOD(DAY(C3950)-11,100)&gt;2)+1),2)&amp;","&amp;TEXT(C3950," yyyy"))</f>
        <v>August 7th,2026</v>
      </c>
      <c r="AB3950" s="15" t="str">
        <f aca="true">IF(S3950="","",DATEDIF(S3950,TODAY(),"Y")&amp;" Tahun, "&amp;DATEDIF(S3950,TODAY(),"YM")&amp;" Bulan, "&amp;DATEDIF(S3950,TODAY(),"MD")&amp;" Hari")</f>
        <v>21 Tahun, 11 Bulan, 9 Hari</v>
      </c>
      <c r="AC3950" s="14" t="n">
        <v>46241</v>
      </c>
      <c r="AD3950" s="18" t="n">
        <v>46402</v>
      </c>
      <c r="AE3950" s="45" t="s">
        <v>44</v>
      </c>
    </row>
    <row r="3951" customFormat="false" ht="15" hidden="false" customHeight="true" outlineLevel="0" collapsed="false">
      <c r="A3951" s="12" t="n">
        <v>15382</v>
      </c>
      <c r="B3951" s="13" t="s">
        <v>16161</v>
      </c>
      <c r="C3951" s="14" t="n">
        <v>45418</v>
      </c>
      <c r="D3951" s="13" t="s">
        <v>2148</v>
      </c>
      <c r="E3951" s="15" t="s">
        <v>47</v>
      </c>
      <c r="F3951" s="15" t="str">
        <f aca="false">IFERROR(__xludf.dummyfunction("XLOOKUP(AJ3951,IMPORTRANGE(""1XaInW9DU9nz21V0tYIfzFQ0He9kVQ_JF2mCXgZ3hqFA"",""REKAP ALL 2026 - Andika!G:G""),IMPORTRANGE(""1XaInW9DU9nz21V0tYIfzFQ0He9kVQ_JF2mCXgZ3hqFA"",""REKAP ALL 2026 - Andika!F:F""),"""",0)"),"24075691345")</f>
        <v>24075691345</v>
      </c>
      <c r="G3951" s="15" t="s">
        <v>16162</v>
      </c>
      <c r="H3951" s="13" t="s">
        <v>35</v>
      </c>
      <c r="I3951" s="13" t="str">
        <f aca="false">IF(C3951=J3951,"NEW KONTRAK","RE-KONTRAK")</f>
        <v>RE-KONTRAK</v>
      </c>
      <c r="J3951" s="16" t="n">
        <f aca="false" t="array" ref="J3951:J3951">IFERROR(INDEX(AC3951:AE3951,IF(COUNTA(AC3951:AE3951)=0,"",MAX((AC3951:AE3951&lt;&gt;"")*(COLUMN(AC3951:AE3951)-(COLUMN(AC3951)))))-1),"")</f>
        <v>45783</v>
      </c>
      <c r="K3951" s="16" t="n">
        <f aca="false" t="array" ref="K3951:K3951">IFERROR(INDEX(AC3951:AE3951,IF(COUNTA(AC3951:AE3951)=0,"",MAX((AC3951:AE3951&lt;&gt;"")*(COLUMN(AC3951:AE3951)-(COLUMN(AC3951)-1))))-1),"")</f>
        <v>45966</v>
      </c>
      <c r="L3951" s="17" t="str">
        <f aca="false" t="array" ref="L3951:L3951">IFERROR(INDEX(AC3951:AE3951,IF(COUNTA(AC3951:AE3951)=0,"",MAX((AC3951:AE3951&lt;&gt;"")*(COLUMN(AC3951:AE3951)-(COLUMN(AC3951)-2))))-1),"")</f>
        <v>ARCHIVED</v>
      </c>
      <c r="M3951" s="13" t="n">
        <f aca="true">K3951-TODAY()</f>
        <v>-358</v>
      </c>
      <c r="N3951" s="50" t="s">
        <v>105</v>
      </c>
      <c r="O3951" s="13" t="s">
        <v>750</v>
      </c>
      <c r="P3951" s="19" t="n">
        <v>207662</v>
      </c>
      <c r="Q3951" s="20" t="s">
        <v>16163</v>
      </c>
      <c r="R3951" s="13" t="s">
        <v>52</v>
      </c>
      <c r="S3951" s="25" t="n">
        <v>36606</v>
      </c>
      <c r="T3951" s="13" t="s">
        <v>108</v>
      </c>
      <c r="U3951" s="13" t="s">
        <v>16164</v>
      </c>
      <c r="V3951" s="13" t="s">
        <v>42</v>
      </c>
      <c r="W3951" s="13" t="s">
        <v>43</v>
      </c>
      <c r="X3951" s="21" t="n">
        <v>87702083808</v>
      </c>
      <c r="Y3951" s="22" t="str">
        <f aca="false">O3951</f>
        <v>Admin</v>
      </c>
      <c r="Z3951" s="13" t="str">
        <f aca="false">IFERROR(__xludf.dummyfunction("if(BJ3951="""","""",GOOGLETRANSLATE(BJ3951,""auto"",""en""))"),"Admin")</f>
        <v>Admin</v>
      </c>
      <c r="AA3951" s="23" t="str">
        <f aca="false">IF(C3951="","", CHOOSE(MONTH(C3951),"January","February","March","April","May","June","July","August","September","October","November","December")&amp;" "&amp;DAY(C3951)&amp;MID("thstndrdth",MIN(9,2*RIGHT(DAY(C3951))*(MOD(DAY(C3951)-11,100)&gt;2)+1),2)&amp;","&amp;TEXT(C3951," yyyy"))</f>
        <v>May 6th,2024</v>
      </c>
      <c r="AB3951" s="15" t="str">
        <f aca="true">IF(S3951="","",DATEDIF(S3951,TODAY(),"Y")&amp;" Tahun, "&amp;DATEDIF(S3951,TODAY(),"YM")&amp;" Bulan, "&amp;DATEDIF(S3951,TODAY(),"MD")&amp;" Hari")</f>
        <v>26 Tahun, 7 Bulan, 8 Hari</v>
      </c>
      <c r="AC3951" s="18" t="n">
        <v>45783</v>
      </c>
      <c r="AD3951" s="18" t="n">
        <v>45966</v>
      </c>
      <c r="AE3951" s="18" t="s">
        <v>44</v>
      </c>
    </row>
    <row r="3952" customFormat="false" ht="15" hidden="false" customHeight="true" outlineLevel="0" collapsed="false">
      <c r="A3952" s="12" t="n">
        <v>22578</v>
      </c>
      <c r="B3952" s="13" t="s">
        <v>16165</v>
      </c>
      <c r="C3952" s="14" t="n">
        <v>46219</v>
      </c>
      <c r="D3952" s="13" t="s">
        <v>101</v>
      </c>
      <c r="E3952" s="15" t="s">
        <v>47</v>
      </c>
      <c r="F3952" s="24" t="s">
        <v>16166</v>
      </c>
      <c r="G3952" s="28" t="s">
        <v>57</v>
      </c>
      <c r="H3952" s="13" t="s">
        <v>35</v>
      </c>
      <c r="I3952" s="13" t="str">
        <f aca="false">IF(C3952=J3952,"NEW KONTRAK","RE-KONTRAK")</f>
        <v>NEW KONTRAK</v>
      </c>
      <c r="J3952" s="16" t="n">
        <f aca="false" t="array" ref="J3952:J3952">IFERROR(INDEX(AC3952:AE3952,IF(COUNTA(AC3952:AE3952)=0,"",MAX((AC3952:AE3952&lt;&gt;"")*(COLUMN(AC3952:AE3952)-(COLUMN(AC3952)))))-1),"")</f>
        <v>46219</v>
      </c>
      <c r="K3952" s="16" t="n">
        <f aca="false" t="array" ref="K3952:K3952">IFERROR(INDEX(AC3952:AE3952,IF(COUNTA(AC3952:AE3952)=0,"",MAX((AC3952:AE3952&lt;&gt;"")*(COLUMN(AC3952:AE3952)-(COLUMN(AC3952)-1))))-1),"")</f>
        <v>46402</v>
      </c>
      <c r="L3952" s="17" t="str">
        <f aca="false" t="array" ref="L3952:L3952">IFERROR(INDEX(AC3952:AE3952,IF(COUNTA(AC3952:AE3952)=0,"",MAX((AC3952:AE3952&lt;&gt;"")*(COLUMN(AC3952:AE3952)-(COLUMN(AC3952)-2))))-1),"")</f>
        <v>KEMBALI</v>
      </c>
      <c r="M3952" s="13" t="n">
        <f aca="true">K3952-TODAY()</f>
        <v>78</v>
      </c>
      <c r="N3952" s="18" t="s">
        <v>105</v>
      </c>
      <c r="O3952" s="13" t="s">
        <v>1453</v>
      </c>
      <c r="P3952" s="26" t="n">
        <v>138915</v>
      </c>
      <c r="Q3952" s="20" t="s">
        <v>16167</v>
      </c>
      <c r="R3952" s="16" t="s">
        <v>826</v>
      </c>
      <c r="S3952" s="25" t="n">
        <v>36540</v>
      </c>
      <c r="T3952" s="13" t="s">
        <v>108</v>
      </c>
      <c r="U3952" s="17" t="s">
        <v>16168</v>
      </c>
      <c r="V3952" s="15" t="s">
        <v>42</v>
      </c>
      <c r="W3952" s="13" t="s">
        <v>43</v>
      </c>
      <c r="X3952" s="21" t="n">
        <v>83116771184</v>
      </c>
      <c r="Y3952" s="22" t="str">
        <f aca="false">O3952</f>
        <v>Helper Produksi</v>
      </c>
      <c r="Z3952" s="13" t="str">
        <f aca="false">IFERROR(__xludf.dummyfunction("if(BJ3952="""","""",GOOGLETRANSLATE(BJ3952,""auto"",""en""))"),"Production Helper")</f>
        <v>Production Helper</v>
      </c>
      <c r="AA3952" s="23" t="str">
        <f aca="false">IF(C3952="","", CHOOSE(MONTH(C3952),"January","February","March","April","May","June","July","August","September","October","November","December")&amp;" "&amp;DAY(C3952)&amp;MID("thstndrdth",MIN(9,2*RIGHT(DAY(C3952))*(MOD(DAY(C3952)-11,100)&gt;2)+1),2)&amp;","&amp;TEXT(C3952," yyyy"))</f>
        <v>July 16th,2026</v>
      </c>
      <c r="AB3952" s="15" t="str">
        <f aca="true">IF(S3952="","",DATEDIF(S3952,TODAY(),"Y")&amp;" Tahun, "&amp;DATEDIF(S3952,TODAY(),"YM")&amp;" Bulan, "&amp;DATEDIF(S3952,TODAY(),"MD")&amp;" Hari")</f>
        <v>26 Tahun, 9 Bulan, 14 Hari</v>
      </c>
      <c r="AC3952" s="14" t="n">
        <v>46219</v>
      </c>
      <c r="AD3952" s="18" t="n">
        <v>46402</v>
      </c>
      <c r="AE3952" s="13" t="s">
        <v>397</v>
      </c>
    </row>
    <row r="3953" customFormat="false" ht="15" hidden="false" customHeight="true" outlineLevel="0" collapsed="false">
      <c r="A3953" s="12" t="n">
        <v>22579</v>
      </c>
      <c r="B3953" s="13" t="s">
        <v>16169</v>
      </c>
      <c r="C3953" s="14" t="n">
        <v>46219</v>
      </c>
      <c r="D3953" s="13" t="s">
        <v>101</v>
      </c>
      <c r="E3953" s="15" t="s">
        <v>47</v>
      </c>
      <c r="F3953" s="24" t="s">
        <v>16170</v>
      </c>
      <c r="G3953" s="28" t="s">
        <v>57</v>
      </c>
      <c r="H3953" s="13" t="s">
        <v>35</v>
      </c>
      <c r="I3953" s="13" t="str">
        <f aca="false">IF(C3953=J3953,"NEW KONTRAK","RE-KONTRAK")</f>
        <v>NEW KONTRAK</v>
      </c>
      <c r="J3953" s="16" t="n">
        <f aca="false" t="array" ref="J3953:J3953">IFERROR(INDEX(AC3953:AE3953,IF(COUNTA(AC3953:AE3953)=0,"",MAX((AC3953:AE3953&lt;&gt;"")*(COLUMN(AC3953:AE3953)-(COLUMN(AC3953)))))-1),"")</f>
        <v>46219</v>
      </c>
      <c r="K3953" s="16" t="n">
        <f aca="false" t="array" ref="K3953:K3953">IFERROR(INDEX(AC3953:AE3953,IF(COUNTA(AC3953:AE3953)=0,"",MAX((AC3953:AE3953&lt;&gt;"")*(COLUMN(AC3953:AE3953)-(COLUMN(AC3953)-1))))-1),"")</f>
        <v>46402</v>
      </c>
      <c r="L3953" s="17" t="str">
        <f aca="false" t="array" ref="L3953:L3953">IFERROR(INDEX(AC3953:AE3953,IF(COUNTA(AC3953:AE3953)=0,"",MAX((AC3953:AE3953&lt;&gt;"")*(COLUMN(AC3953:AE3953)-(COLUMN(AC3953)-2))))-1),"")</f>
        <v>KEMBALI</v>
      </c>
      <c r="M3953" s="13" t="n">
        <f aca="true">K3953-TODAY()</f>
        <v>78</v>
      </c>
      <c r="N3953" s="18" t="s">
        <v>105</v>
      </c>
      <c r="O3953" s="13" t="s">
        <v>1453</v>
      </c>
      <c r="P3953" s="26" t="n">
        <v>138915</v>
      </c>
      <c r="Q3953" s="20" t="s">
        <v>16171</v>
      </c>
      <c r="R3953" s="16" t="s">
        <v>148</v>
      </c>
      <c r="S3953" s="25" t="n">
        <v>35608</v>
      </c>
      <c r="T3953" s="13" t="s">
        <v>108</v>
      </c>
      <c r="U3953" s="17" t="s">
        <v>16172</v>
      </c>
      <c r="V3953" s="15" t="s">
        <v>42</v>
      </c>
      <c r="W3953" s="13" t="s">
        <v>43</v>
      </c>
      <c r="X3953" s="21" t="n">
        <v>85704835451</v>
      </c>
      <c r="Y3953" s="22" t="str">
        <f aca="false">O3953</f>
        <v>Helper Produksi</v>
      </c>
      <c r="Z3953" s="13" t="str">
        <f aca="false">IFERROR(__xludf.dummyfunction("if(BJ3953="""","""",GOOGLETRANSLATE(BJ3953,""auto"",""en""))"),"Production Helper")</f>
        <v>Production Helper</v>
      </c>
      <c r="AA3953" s="23" t="str">
        <f aca="false">IF(C3953="","", CHOOSE(MONTH(C3953),"January","February","March","April","May","June","July","August","September","October","November","December")&amp;" "&amp;DAY(C3953)&amp;MID("thstndrdth",MIN(9,2*RIGHT(DAY(C3953))*(MOD(DAY(C3953)-11,100)&gt;2)+1),2)&amp;","&amp;TEXT(C3953," yyyy"))</f>
        <v>July 16th,2026</v>
      </c>
      <c r="AB3953" s="15" t="str">
        <f aca="true">IF(S3953="","",DATEDIF(S3953,TODAY(),"Y")&amp;" Tahun, "&amp;DATEDIF(S3953,TODAY(),"YM")&amp;" Bulan, "&amp;DATEDIF(S3953,TODAY(),"MD")&amp;" Hari")</f>
        <v>29 Tahun, 4 Bulan, 2 Hari</v>
      </c>
      <c r="AC3953" s="14" t="n">
        <v>46219</v>
      </c>
      <c r="AD3953" s="18" t="n">
        <v>46402</v>
      </c>
      <c r="AE3953" s="13" t="s">
        <v>397</v>
      </c>
    </row>
    <row r="3954" customFormat="false" ht="15" hidden="false" customHeight="true" outlineLevel="0" collapsed="false">
      <c r="A3954" s="12" t="n">
        <v>22580</v>
      </c>
      <c r="B3954" s="13" t="s">
        <v>16173</v>
      </c>
      <c r="C3954" s="14" t="n">
        <v>46219</v>
      </c>
      <c r="D3954" s="13" t="s">
        <v>101</v>
      </c>
      <c r="E3954" s="15" t="s">
        <v>47</v>
      </c>
      <c r="F3954" s="24" t="s">
        <v>16174</v>
      </c>
      <c r="G3954" s="28" t="s">
        <v>57</v>
      </c>
      <c r="H3954" s="13" t="s">
        <v>35</v>
      </c>
      <c r="I3954" s="13" t="str">
        <f aca="false">IF(C3954=J3954,"NEW KONTRAK","RE-KONTRAK")</f>
        <v>NEW KONTRAK</v>
      </c>
      <c r="J3954" s="16" t="n">
        <f aca="false" t="array" ref="J3954:J3954">IFERROR(INDEX(AC3954:AE3954,IF(COUNTA(AC3954:AE3954)=0,"",MAX((AC3954:AE3954&lt;&gt;"")*(COLUMN(AC3954:AE3954)-(COLUMN(AC3954)))))-1),"")</f>
        <v>46219</v>
      </c>
      <c r="K3954" s="16" t="n">
        <f aca="false" t="array" ref="K3954:K3954">IFERROR(INDEX(AC3954:AE3954,IF(COUNTA(AC3954:AE3954)=0,"",MAX((AC3954:AE3954&lt;&gt;"")*(COLUMN(AC3954:AE3954)-(COLUMN(AC3954)-1))))-1),"")</f>
        <v>46402</v>
      </c>
      <c r="L3954" s="17" t="str">
        <f aca="false" t="array" ref="L3954:L3954">IFERROR(INDEX(AC3954:AE3954,IF(COUNTA(AC3954:AE3954)=0,"",MAX((AC3954:AE3954&lt;&gt;"")*(COLUMN(AC3954:AE3954)-(COLUMN(AC3954)-2))))-1),"")</f>
        <v>KEMBALI</v>
      </c>
      <c r="M3954" s="13" t="n">
        <f aca="true">K3954-TODAY()</f>
        <v>78</v>
      </c>
      <c r="N3954" s="18" t="s">
        <v>105</v>
      </c>
      <c r="O3954" s="13" t="s">
        <v>1453</v>
      </c>
      <c r="P3954" s="26" t="n">
        <v>138915</v>
      </c>
      <c r="Q3954" s="20" t="s">
        <v>16175</v>
      </c>
      <c r="R3954" s="13" t="s">
        <v>52</v>
      </c>
      <c r="S3954" s="25" t="n">
        <v>35521</v>
      </c>
      <c r="T3954" s="13" t="s">
        <v>108</v>
      </c>
      <c r="U3954" s="17" t="s">
        <v>16176</v>
      </c>
      <c r="V3954" s="15" t="s">
        <v>42</v>
      </c>
      <c r="W3954" s="13" t="s">
        <v>54</v>
      </c>
      <c r="X3954" s="21" t="n">
        <v>83115091766</v>
      </c>
      <c r="Y3954" s="22" t="str">
        <f aca="false">O3954</f>
        <v>Helper Produksi</v>
      </c>
      <c r="Z3954" s="13" t="str">
        <f aca="false">IFERROR(__xludf.dummyfunction("if(BJ3954="""","""",GOOGLETRANSLATE(BJ3954,""auto"",""en""))"),"Production Helper")</f>
        <v>Production Helper</v>
      </c>
      <c r="AA3954" s="23" t="str">
        <f aca="false">IF(C3954="","", CHOOSE(MONTH(C3954),"January","February","March","April","May","June","July","August","September","October","November","December")&amp;" "&amp;DAY(C3954)&amp;MID("thstndrdth",MIN(9,2*RIGHT(DAY(C3954))*(MOD(DAY(C3954)-11,100)&gt;2)+1),2)&amp;","&amp;TEXT(C3954," yyyy"))</f>
        <v>July 16th,2026</v>
      </c>
      <c r="AB3954" s="15" t="str">
        <f aca="true">IF(S3954="","",DATEDIF(S3954,TODAY(),"Y")&amp;" Tahun, "&amp;DATEDIF(S3954,TODAY(),"YM")&amp;" Bulan, "&amp;DATEDIF(S3954,TODAY(),"MD")&amp;" Hari")</f>
        <v>29 Tahun, 6 Bulan, 28 Hari</v>
      </c>
      <c r="AC3954" s="14" t="n">
        <v>46219</v>
      </c>
      <c r="AD3954" s="18" t="n">
        <v>46402</v>
      </c>
      <c r="AE3954" s="13" t="s">
        <v>397</v>
      </c>
    </row>
    <row r="3955" customFormat="false" ht="15" hidden="false" customHeight="true" outlineLevel="0" collapsed="false">
      <c r="A3955" s="12" t="n">
        <v>22581</v>
      </c>
      <c r="B3955" s="13" t="s">
        <v>16177</v>
      </c>
      <c r="C3955" s="14" t="n">
        <v>46219</v>
      </c>
      <c r="D3955" s="13" t="s">
        <v>101</v>
      </c>
      <c r="E3955" s="15" t="s">
        <v>47</v>
      </c>
      <c r="F3955" s="24" t="s">
        <v>16178</v>
      </c>
      <c r="G3955" s="28" t="s">
        <v>57</v>
      </c>
      <c r="H3955" s="13" t="s">
        <v>35</v>
      </c>
      <c r="I3955" s="13" t="str">
        <f aca="false">IF(C3955=J3955,"NEW KONTRAK","RE-KONTRAK")</f>
        <v>NEW KONTRAK</v>
      </c>
      <c r="J3955" s="16" t="n">
        <f aca="false" t="array" ref="J3955:J3955">IFERROR(INDEX(AC3955:AE3955,IF(COUNTA(AC3955:AE3955)=0,"",MAX((AC3955:AE3955&lt;&gt;"")*(COLUMN(AC3955:AE3955)-(COLUMN(AC3955)))))-1),"")</f>
        <v>46219</v>
      </c>
      <c r="K3955" s="16" t="n">
        <f aca="false" t="array" ref="K3955:K3955">IFERROR(INDEX(AC3955:AE3955,IF(COUNTA(AC3955:AE3955)=0,"",MAX((AC3955:AE3955&lt;&gt;"")*(COLUMN(AC3955:AE3955)-(COLUMN(AC3955)-1))))-1),"")</f>
        <v>46402</v>
      </c>
      <c r="L3955" s="17" t="str">
        <f aca="false" t="array" ref="L3955:L3955">IFERROR(INDEX(AC3955:AE3955,IF(COUNTA(AC3955:AE3955)=0,"",MAX((AC3955:AE3955&lt;&gt;"")*(COLUMN(AC3955:AE3955)-(COLUMN(AC3955)-2))))-1),"")</f>
        <v>KEMBALI</v>
      </c>
      <c r="M3955" s="13" t="n">
        <f aca="true">K3955-TODAY()</f>
        <v>78</v>
      </c>
      <c r="N3955" s="18" t="s">
        <v>105</v>
      </c>
      <c r="O3955" s="13" t="s">
        <v>1453</v>
      </c>
      <c r="P3955" s="26" t="n">
        <v>138915</v>
      </c>
      <c r="Q3955" s="20" t="s">
        <v>16179</v>
      </c>
      <c r="R3955" s="16" t="s">
        <v>255</v>
      </c>
      <c r="S3955" s="25" t="n">
        <v>37459</v>
      </c>
      <c r="T3955" s="13" t="s">
        <v>108</v>
      </c>
      <c r="U3955" s="17" t="s">
        <v>16180</v>
      </c>
      <c r="V3955" s="15" t="s">
        <v>42</v>
      </c>
      <c r="W3955" s="13" t="s">
        <v>43</v>
      </c>
      <c r="X3955" s="21" t="n">
        <v>85257834160</v>
      </c>
      <c r="Y3955" s="22" t="str">
        <f aca="false">O3955</f>
        <v>Helper Produksi</v>
      </c>
      <c r="Z3955" s="13" t="str">
        <f aca="false">IFERROR(__xludf.dummyfunction("if(BJ3955="""","""",GOOGLETRANSLATE(BJ3955,""auto"",""en""))"),"Production Helper")</f>
        <v>Production Helper</v>
      </c>
      <c r="AA3955" s="23" t="str">
        <f aca="false">IF(C3955="","", CHOOSE(MONTH(C3955),"January","February","March","April","May","June","July","August","September","October","November","December")&amp;" "&amp;DAY(C3955)&amp;MID("thstndrdth",MIN(9,2*RIGHT(DAY(C3955))*(MOD(DAY(C3955)-11,100)&gt;2)+1),2)&amp;","&amp;TEXT(C3955," yyyy"))</f>
        <v>July 16th,2026</v>
      </c>
      <c r="AB3955" s="15" t="str">
        <f aca="true">IF(S3955="","",DATEDIF(S3955,TODAY(),"Y")&amp;" Tahun, "&amp;DATEDIF(S3955,TODAY(),"YM")&amp;" Bulan, "&amp;DATEDIF(S3955,TODAY(),"MD")&amp;" Hari")</f>
        <v>24 Tahun, 3 Bulan, 7 Hari</v>
      </c>
      <c r="AC3955" s="14" t="n">
        <v>46219</v>
      </c>
      <c r="AD3955" s="18" t="n">
        <v>46402</v>
      </c>
      <c r="AE3955" s="13" t="s">
        <v>397</v>
      </c>
    </row>
    <row r="3956" customFormat="false" ht="15" hidden="false" customHeight="true" outlineLevel="0" collapsed="false">
      <c r="A3956" s="12" t="n">
        <v>22582</v>
      </c>
      <c r="B3956" s="13" t="s">
        <v>16181</v>
      </c>
      <c r="C3956" s="14" t="n">
        <v>46219</v>
      </c>
      <c r="D3956" s="13" t="s">
        <v>101</v>
      </c>
      <c r="E3956" s="15" t="s">
        <v>47</v>
      </c>
      <c r="F3956" s="24" t="s">
        <v>16182</v>
      </c>
      <c r="G3956" s="28" t="s">
        <v>57</v>
      </c>
      <c r="H3956" s="13" t="s">
        <v>35</v>
      </c>
      <c r="I3956" s="13" t="str">
        <f aca="false">IF(C3956=J3956,"NEW KONTRAK","RE-KONTRAK")</f>
        <v>NEW KONTRAK</v>
      </c>
      <c r="J3956" s="16" t="n">
        <f aca="false" t="array" ref="J3956:J3956">IFERROR(INDEX(AC3956:AE3956,IF(COUNTA(AC3956:AE3956)=0,"",MAX((AC3956:AE3956&lt;&gt;"")*(COLUMN(AC3956:AE3956)-(COLUMN(AC3956)))))-1),"")</f>
        <v>46219</v>
      </c>
      <c r="K3956" s="16" t="n">
        <f aca="false" t="array" ref="K3956:K3956">IFERROR(INDEX(AC3956:AE3956,IF(COUNTA(AC3956:AE3956)=0,"",MAX((AC3956:AE3956&lt;&gt;"")*(COLUMN(AC3956:AE3956)-(COLUMN(AC3956)-1))))-1),"")</f>
        <v>46402</v>
      </c>
      <c r="L3956" s="17" t="str">
        <f aca="false" t="array" ref="L3956:L3956">IFERROR(INDEX(AC3956:AE3956,IF(COUNTA(AC3956:AE3956)=0,"",MAX((AC3956:AE3956&lt;&gt;"")*(COLUMN(AC3956:AE3956)-(COLUMN(AC3956)-2))))-1),"")</f>
        <v>KEMBALI</v>
      </c>
      <c r="M3956" s="13" t="n">
        <f aca="true">K3956-TODAY()</f>
        <v>78</v>
      </c>
      <c r="N3956" s="18" t="s">
        <v>105</v>
      </c>
      <c r="O3956" s="13" t="s">
        <v>1453</v>
      </c>
      <c r="P3956" s="26" t="n">
        <v>138915</v>
      </c>
      <c r="Q3956" s="20" t="s">
        <v>16183</v>
      </c>
      <c r="R3956" s="16" t="s">
        <v>260</v>
      </c>
      <c r="S3956" s="25" t="n">
        <v>37578</v>
      </c>
      <c r="T3956" s="13" t="s">
        <v>108</v>
      </c>
      <c r="U3956" s="17" t="s">
        <v>16184</v>
      </c>
      <c r="V3956" s="24" t="s">
        <v>99</v>
      </c>
      <c r="W3956" s="13" t="s">
        <v>43</v>
      </c>
      <c r="X3956" s="21" t="n">
        <v>85235576478</v>
      </c>
      <c r="Y3956" s="22" t="str">
        <f aca="false">O3956</f>
        <v>Helper Produksi</v>
      </c>
      <c r="Z3956" s="13" t="str">
        <f aca="false">IFERROR(__xludf.dummyfunction("if(BJ3956="""","""",GOOGLETRANSLATE(BJ3956,""auto"",""en""))"),"Production Helper")</f>
        <v>Production Helper</v>
      </c>
      <c r="AA3956" s="23" t="str">
        <f aca="false">IF(C3956="","", CHOOSE(MONTH(C3956),"January","February","March","April","May","June","July","August","September","October","November","December")&amp;" "&amp;DAY(C3956)&amp;MID("thstndrdth",MIN(9,2*RIGHT(DAY(C3956))*(MOD(DAY(C3956)-11,100)&gt;2)+1),2)&amp;","&amp;TEXT(C3956," yyyy"))</f>
        <v>July 16th,2026</v>
      </c>
      <c r="AB3956" s="15" t="str">
        <f aca="true">IF(S3956="","",DATEDIF(S3956,TODAY(),"Y")&amp;" Tahun, "&amp;DATEDIF(S3956,TODAY(),"YM")&amp;" Bulan, "&amp;DATEDIF(S3956,TODAY(),"MD")&amp;" Hari")</f>
        <v>23 Tahun, 11 Bulan, 11 Hari</v>
      </c>
      <c r="AC3956" s="14" t="n">
        <v>46219</v>
      </c>
      <c r="AD3956" s="18" t="n">
        <v>46402</v>
      </c>
      <c r="AE3956" s="13" t="s">
        <v>397</v>
      </c>
    </row>
    <row r="3957" customFormat="false" ht="15" hidden="false" customHeight="true" outlineLevel="0" collapsed="false">
      <c r="A3957" s="12" t="n">
        <v>22583</v>
      </c>
      <c r="B3957" s="13" t="s">
        <v>16185</v>
      </c>
      <c r="C3957" s="14" t="n">
        <v>46219</v>
      </c>
      <c r="D3957" s="13" t="s">
        <v>101</v>
      </c>
      <c r="E3957" s="15" t="s">
        <v>47</v>
      </c>
      <c r="F3957" s="24" t="s">
        <v>16186</v>
      </c>
      <c r="G3957" s="28" t="s">
        <v>57</v>
      </c>
      <c r="H3957" s="13" t="s">
        <v>35</v>
      </c>
      <c r="I3957" s="13" t="str">
        <f aca="false">IF(C3957=J3957,"NEW KONTRAK","RE-KONTRAK")</f>
        <v>NEW KONTRAK</v>
      </c>
      <c r="J3957" s="16" t="n">
        <f aca="false" t="array" ref="J3957:J3957">IFERROR(INDEX(AC3957:AE3957,IF(COUNTA(AC3957:AE3957)=0,"",MAX((AC3957:AE3957&lt;&gt;"")*(COLUMN(AC3957:AE3957)-(COLUMN(AC3957)))))-1),"")</f>
        <v>46219</v>
      </c>
      <c r="K3957" s="16" t="n">
        <f aca="false" t="array" ref="K3957:K3957">IFERROR(INDEX(AC3957:AE3957,IF(COUNTA(AC3957:AE3957)=0,"",MAX((AC3957:AE3957&lt;&gt;"")*(COLUMN(AC3957:AE3957)-(COLUMN(AC3957)-1))))-1),"")</f>
        <v>46402</v>
      </c>
      <c r="L3957" s="17" t="str">
        <f aca="false" t="array" ref="L3957:L3957">IFERROR(INDEX(AC3957:AE3957,IF(COUNTA(AC3957:AE3957)=0,"",MAX((AC3957:AE3957&lt;&gt;"")*(COLUMN(AC3957:AE3957)-(COLUMN(AC3957)-2))))-1),"")</f>
        <v>KEMBALI</v>
      </c>
      <c r="M3957" s="13" t="n">
        <f aca="true">K3957-TODAY()</f>
        <v>78</v>
      </c>
      <c r="N3957" s="18" t="s">
        <v>105</v>
      </c>
      <c r="O3957" s="13" t="s">
        <v>1453</v>
      </c>
      <c r="P3957" s="26" t="n">
        <v>138915</v>
      </c>
      <c r="Q3957" s="20" t="s">
        <v>16187</v>
      </c>
      <c r="R3957" s="16" t="s">
        <v>39</v>
      </c>
      <c r="S3957" s="25" t="n">
        <v>35876</v>
      </c>
      <c r="T3957" s="13" t="s">
        <v>108</v>
      </c>
      <c r="U3957" s="17" t="s">
        <v>16188</v>
      </c>
      <c r="V3957" s="15" t="s">
        <v>42</v>
      </c>
      <c r="W3957" s="13" t="s">
        <v>43</v>
      </c>
      <c r="X3957" s="21" t="n">
        <v>83849078769</v>
      </c>
      <c r="Y3957" s="22" t="str">
        <f aca="false">O3957</f>
        <v>Helper Produksi</v>
      </c>
      <c r="Z3957" s="13" t="str">
        <f aca="false">IFERROR(__xludf.dummyfunction("if(BJ3957="""","""",GOOGLETRANSLATE(BJ3957,""auto"",""en""))"),"Production Helper")</f>
        <v>Production Helper</v>
      </c>
      <c r="AA3957" s="23" t="str">
        <f aca="false">IF(C3957="","", CHOOSE(MONTH(C3957),"January","February","March","April","May","June","July","August","September","October","November","December")&amp;" "&amp;DAY(C3957)&amp;MID("thstndrdth",MIN(9,2*RIGHT(DAY(C3957))*(MOD(DAY(C3957)-11,100)&gt;2)+1),2)&amp;","&amp;TEXT(C3957," yyyy"))</f>
        <v>July 16th,2026</v>
      </c>
      <c r="AB3957" s="15" t="str">
        <f aca="true">IF(S3957="","",DATEDIF(S3957,TODAY(),"Y")&amp;" Tahun, "&amp;DATEDIF(S3957,TODAY(),"YM")&amp;" Bulan, "&amp;DATEDIF(S3957,TODAY(),"MD")&amp;" Hari")</f>
        <v>28 Tahun, 7 Bulan, 7 Hari</v>
      </c>
      <c r="AC3957" s="14" t="n">
        <v>46219</v>
      </c>
      <c r="AD3957" s="18" t="n">
        <v>46402</v>
      </c>
      <c r="AE3957" s="13" t="s">
        <v>397</v>
      </c>
    </row>
    <row r="3958" customFormat="false" ht="15" hidden="false" customHeight="true" outlineLevel="0" collapsed="false">
      <c r="A3958" s="12" t="n">
        <v>22584</v>
      </c>
      <c r="B3958" s="13" t="s">
        <v>16189</v>
      </c>
      <c r="C3958" s="14" t="n">
        <v>46219</v>
      </c>
      <c r="D3958" s="13" t="s">
        <v>101</v>
      </c>
      <c r="E3958" s="15" t="s">
        <v>47</v>
      </c>
      <c r="F3958" s="24" t="s">
        <v>16190</v>
      </c>
      <c r="G3958" s="28" t="s">
        <v>57</v>
      </c>
      <c r="H3958" s="13" t="s">
        <v>35</v>
      </c>
      <c r="I3958" s="13" t="str">
        <f aca="false">IF(C3958=J3958,"NEW KONTRAK","RE-KONTRAK")</f>
        <v>NEW KONTRAK</v>
      </c>
      <c r="J3958" s="16" t="n">
        <f aca="false" t="array" ref="J3958:J3958">IFERROR(INDEX(AC3958:AE3958,IF(COUNTA(AC3958:AE3958)=0,"",MAX((AC3958:AE3958&lt;&gt;"")*(COLUMN(AC3958:AE3958)-(COLUMN(AC3958)))))-1),"")</f>
        <v>46219</v>
      </c>
      <c r="K3958" s="16" t="n">
        <f aca="false" t="array" ref="K3958:K3958">IFERROR(INDEX(AC3958:AE3958,IF(COUNTA(AC3958:AE3958)=0,"",MAX((AC3958:AE3958&lt;&gt;"")*(COLUMN(AC3958:AE3958)-(COLUMN(AC3958)-1))))-1),"")</f>
        <v>46402</v>
      </c>
      <c r="L3958" s="17" t="str">
        <f aca="false" t="array" ref="L3958:L3958">IFERROR(INDEX(AC3958:AE3958,IF(COUNTA(AC3958:AE3958)=0,"",MAX((AC3958:AE3958&lt;&gt;"")*(COLUMN(AC3958:AE3958)-(COLUMN(AC3958)-2))))-1),"")</f>
        <v>KEMBALI</v>
      </c>
      <c r="M3958" s="13" t="n">
        <f aca="true">K3958-TODAY()</f>
        <v>78</v>
      </c>
      <c r="N3958" s="18" t="s">
        <v>105</v>
      </c>
      <c r="O3958" s="13" t="s">
        <v>1453</v>
      </c>
      <c r="P3958" s="26" t="n">
        <v>138915</v>
      </c>
      <c r="Q3958" s="20" t="s">
        <v>16191</v>
      </c>
      <c r="R3958" s="16" t="s">
        <v>179</v>
      </c>
      <c r="S3958" s="25" t="n">
        <v>37118</v>
      </c>
      <c r="T3958" s="13" t="s">
        <v>108</v>
      </c>
      <c r="U3958" s="17" t="s">
        <v>16192</v>
      </c>
      <c r="V3958" s="15" t="s">
        <v>42</v>
      </c>
      <c r="W3958" s="13" t="s">
        <v>43</v>
      </c>
      <c r="X3958" s="21" t="n">
        <v>87859571201</v>
      </c>
      <c r="Y3958" s="22" t="str">
        <f aca="false">O3958</f>
        <v>Helper Produksi</v>
      </c>
      <c r="Z3958" s="13" t="str">
        <f aca="false">IFERROR(__xludf.dummyfunction("if(BJ3958="""","""",GOOGLETRANSLATE(BJ3958,""auto"",""en""))"),"Production Helper")</f>
        <v>Production Helper</v>
      </c>
      <c r="AA3958" s="23" t="str">
        <f aca="false">IF(C3958="","", CHOOSE(MONTH(C3958),"January","February","March","April","May","June","July","August","September","October","November","December")&amp;" "&amp;DAY(C3958)&amp;MID("thstndrdth",MIN(9,2*RIGHT(DAY(C3958))*(MOD(DAY(C3958)-11,100)&gt;2)+1),2)&amp;","&amp;TEXT(C3958," yyyy"))</f>
        <v>July 16th,2026</v>
      </c>
      <c r="AB3958" s="15" t="str">
        <f aca="true">IF(S3958="","",DATEDIF(S3958,TODAY(),"Y")&amp;" Tahun, "&amp;DATEDIF(S3958,TODAY(),"YM")&amp;" Bulan, "&amp;DATEDIF(S3958,TODAY(),"MD")&amp;" Hari")</f>
        <v>25 Tahun, 2 Bulan, 14 Hari</v>
      </c>
      <c r="AC3958" s="14" t="n">
        <v>46219</v>
      </c>
      <c r="AD3958" s="18" t="n">
        <v>46402</v>
      </c>
      <c r="AE3958" s="13" t="s">
        <v>397</v>
      </c>
    </row>
    <row r="3959" customFormat="false" ht="15" hidden="false" customHeight="true" outlineLevel="0" collapsed="false">
      <c r="A3959" s="12" t="n">
        <v>15381</v>
      </c>
      <c r="B3959" s="13" t="s">
        <v>16193</v>
      </c>
      <c r="C3959" s="14" t="n">
        <v>45418</v>
      </c>
      <c r="D3959" s="13" t="s">
        <v>101</v>
      </c>
      <c r="E3959" s="15" t="s">
        <v>47</v>
      </c>
      <c r="F3959" s="15" t="str">
        <f aca="false">IFERROR(__xludf.dummyfunction("XLOOKUP(AJ3959,IMPORTRANGE(""1XaInW9DU9nz21V0tYIfzFQ0He9kVQ_JF2mCXgZ3hqFA"",""REKAP ALL 2026 - Andika!G:G""),IMPORTRANGE(""1XaInW9DU9nz21V0tYIfzFQ0He9kVQ_JF2mCXgZ3hqFA"",""REKAP ALL 2026 - Andika!F:F""),"""",0)"),"24075691543")</f>
        <v>24075691543</v>
      </c>
      <c r="G3959" s="15" t="s">
        <v>16194</v>
      </c>
      <c r="H3959" s="13" t="s">
        <v>35</v>
      </c>
      <c r="I3959" s="13" t="str">
        <f aca="false">IF(C3959=J3959,"NEW KONTRAK","RE-KONTRAK")</f>
        <v>RE-KONTRAK</v>
      </c>
      <c r="J3959" s="16" t="n">
        <f aca="false" t="array" ref="J3959:J3959">IFERROR(INDEX(AC3959:AE3959,IF(COUNTA(AC3959:AE3959)=0,"",MAX((AC3959:AE3959&lt;&gt;"")*(COLUMN(AC3959:AE3959)-(COLUMN(AC3959)))))-1),"")</f>
        <v>45672</v>
      </c>
      <c r="K3959" s="16" t="n">
        <f aca="false" t="array" ref="K3959:K3959">IFERROR(INDEX(AC3959:AE3959,IF(COUNTA(AC3959:AE3959)=0,"",MAX((AC3959:AE3959&lt;&gt;"")*(COLUMN(AC3959:AE3959)-(COLUMN(AC3959)-1))))-1),"")</f>
        <v>46036</v>
      </c>
      <c r="L3959" s="17" t="str">
        <f aca="false" t="array" ref="L3959:L3959">IFERROR(INDEX(AC3959:AE3959,IF(COUNTA(AC3959:AE3959)=0,"",MAX((AC3959:AE3959&lt;&gt;"")*(COLUMN(AC3959:AE3959)-(COLUMN(AC3959)-2))))-1),"")</f>
        <v>ARCHIVED</v>
      </c>
      <c r="M3959" s="13" t="n">
        <f aca="true">K3959-TODAY()</f>
        <v>-288</v>
      </c>
      <c r="N3959" s="18" t="s">
        <v>105</v>
      </c>
      <c r="O3959" s="13" t="s">
        <v>1476</v>
      </c>
      <c r="P3959" s="31" t="n">
        <v>138915</v>
      </c>
      <c r="Q3959" s="20" t="s">
        <v>16195</v>
      </c>
      <c r="R3959" s="13" t="s">
        <v>52</v>
      </c>
      <c r="S3959" s="25" t="n">
        <v>38499</v>
      </c>
      <c r="T3959" s="13" t="s">
        <v>40</v>
      </c>
      <c r="U3959" s="13" t="s">
        <v>3550</v>
      </c>
      <c r="V3959" s="13" t="s">
        <v>42</v>
      </c>
      <c r="W3959" s="13" t="s">
        <v>43</v>
      </c>
      <c r="X3959" s="21" t="n">
        <v>89616746655</v>
      </c>
      <c r="Y3959" s="22" t="str">
        <f aca="false">O3959</f>
        <v>Gudang RMPM - Helper</v>
      </c>
      <c r="Z3959" s="13" t="str">
        <f aca="false">IFERROR(__xludf.dummyfunction("if(BJ3959="""","""",GOOGLETRANSLATE(BJ3959,""auto"",""en""))"),"RMPM Warehouse - Helper")</f>
        <v>RMPM Warehouse - Helper</v>
      </c>
      <c r="AA3959" s="23" t="str">
        <f aca="false">IF(C3959="","", CHOOSE(MONTH(C3959),"January","February","March","April","May","June","July","August","September","October","November","December")&amp;" "&amp;DAY(C3959)&amp;MID("thstndrdth",MIN(9,2*RIGHT(DAY(C3959))*(MOD(DAY(C3959)-11,100)&gt;2)+1),2)&amp;","&amp;TEXT(C3959," yyyy"))</f>
        <v>May 6th,2024</v>
      </c>
      <c r="AB3959" s="15" t="str">
        <f aca="true">IF(S3959="","",DATEDIF(S3959,TODAY(),"Y")&amp;" Tahun, "&amp;DATEDIF(S3959,TODAY(),"YM")&amp;" Bulan, "&amp;DATEDIF(S3959,TODAY(),"MD")&amp;" Hari")</f>
        <v>21 Tahun, 5 Bulan, 2 Hari</v>
      </c>
      <c r="AC3959" s="18" t="n">
        <v>45672</v>
      </c>
      <c r="AD3959" s="18" t="n">
        <v>46036</v>
      </c>
      <c r="AE3959" s="18" t="s">
        <v>44</v>
      </c>
    </row>
    <row r="3960" customFormat="false" ht="15" hidden="false" customHeight="true" outlineLevel="0" collapsed="false">
      <c r="A3960" s="12" t="n">
        <v>22654</v>
      </c>
      <c r="B3960" s="45" t="s">
        <v>16196</v>
      </c>
      <c r="C3960" s="14" t="n">
        <v>46244</v>
      </c>
      <c r="D3960" s="13" t="s">
        <v>101</v>
      </c>
      <c r="E3960" s="15" t="s">
        <v>47</v>
      </c>
      <c r="F3960" s="24" t="s">
        <v>16197</v>
      </c>
      <c r="G3960" s="13" t="s">
        <v>1452</v>
      </c>
      <c r="H3960" s="13" t="s">
        <v>35</v>
      </c>
      <c r="I3960" s="13" t="str">
        <f aca="false">IF(C3960=J3960,"NEW KONTRAK","RE-KONTRAK")</f>
        <v>NEW KONTRAK</v>
      </c>
      <c r="J3960" s="16" t="n">
        <f aca="false" t="array" ref="J3960:J3960">IFERROR(INDEX(AC3960:AE3960,IF(COUNTA(AC3960:AE3960)=0,"",MAX((AC3960:AE3960&lt;&gt;"")*(COLUMN(AC3960:AE3960)-(COLUMN(AC3960)))))-1),"")</f>
        <v>46244</v>
      </c>
      <c r="K3960" s="16" t="n">
        <f aca="false" t="array" ref="K3960:K3960">IFERROR(INDEX(AC3960:AE3960,IF(COUNTA(AC3960:AE3960)=0,"",MAX((AC3960:AE3960&lt;&gt;"")*(COLUMN(AC3960:AE3960)-(COLUMN(AC3960)-1))))-1),"")</f>
        <v>46402</v>
      </c>
      <c r="L3960" s="17" t="str">
        <f aca="false" t="array" ref="L3960:L3960">IFERROR(INDEX(AC3960:AE3960,IF(COUNTA(AC3960:AE3960)=0,"",MAX((AC3960:AE3960&lt;&gt;"")*(COLUMN(AC3960:AE3960)-(COLUMN(AC3960)-2))))-1),"")</f>
        <v>ARCHIVED</v>
      </c>
      <c r="M3960" s="13" t="n">
        <f aca="true">K3960-TODAY()</f>
        <v>78</v>
      </c>
      <c r="N3960" s="18" t="s">
        <v>105</v>
      </c>
      <c r="O3960" s="13" t="s">
        <v>1453</v>
      </c>
      <c r="P3960" s="26" t="n">
        <v>138915</v>
      </c>
      <c r="Q3960" s="20" t="s">
        <v>16198</v>
      </c>
      <c r="R3960" s="13" t="s">
        <v>39</v>
      </c>
      <c r="S3960" s="25" t="n">
        <v>36704</v>
      </c>
      <c r="T3960" s="13" t="s">
        <v>108</v>
      </c>
      <c r="U3960" s="13" t="s">
        <v>16199</v>
      </c>
      <c r="V3960" s="13" t="s">
        <v>42</v>
      </c>
      <c r="W3960" s="13" t="s">
        <v>43</v>
      </c>
      <c r="X3960" s="21" t="n">
        <v>81231859363</v>
      </c>
      <c r="Y3960" s="22" t="str">
        <f aca="false">O3960</f>
        <v>Helper Produksi</v>
      </c>
      <c r="Z3960" s="13" t="str">
        <f aca="false">IFERROR(__xludf.dummyfunction("if(BJ3960="""","""",GOOGLETRANSLATE(BJ3960,""auto"",""en""))"),"Production Helper")</f>
        <v>Production Helper</v>
      </c>
      <c r="AA3960" s="23" t="str">
        <f aca="false">IF(C3960="","", CHOOSE(MONTH(C3960),"January","February","March","April","May","June","July","August","September","October","November","December")&amp;" "&amp;DAY(C3960)&amp;MID("thstndrdth",MIN(9,2*RIGHT(DAY(C3960))*(MOD(DAY(C3960)-11,100)&gt;2)+1),2)&amp;","&amp;TEXT(C3960," yyyy"))</f>
        <v>August 10th,2026</v>
      </c>
      <c r="AB3960" s="15" t="str">
        <f aca="true">IF(S3960="","",DATEDIF(S3960,TODAY(),"Y")&amp;" Tahun, "&amp;DATEDIF(S3960,TODAY(),"YM")&amp;" Bulan, "&amp;DATEDIF(S3960,TODAY(),"MD")&amp;" Hari")</f>
        <v>26 Tahun, 4 Bulan, 2 Hari</v>
      </c>
      <c r="AC3960" s="14" t="n">
        <v>46244</v>
      </c>
      <c r="AD3960" s="18" t="n">
        <v>46402</v>
      </c>
      <c r="AE3960" s="45" t="s">
        <v>44</v>
      </c>
    </row>
    <row r="3961" customFormat="false" ht="15" hidden="false" customHeight="true" outlineLevel="0" collapsed="false">
      <c r="A3961" s="12" t="n">
        <v>22589</v>
      </c>
      <c r="B3961" s="45" t="s">
        <v>16200</v>
      </c>
      <c r="C3961" s="14" t="n">
        <v>46219</v>
      </c>
      <c r="D3961" s="13" t="s">
        <v>101</v>
      </c>
      <c r="E3961" s="15" t="s">
        <v>4614</v>
      </c>
      <c r="F3961" s="24" t="s">
        <v>16201</v>
      </c>
      <c r="G3961" s="28" t="s">
        <v>57</v>
      </c>
      <c r="H3961" s="13" t="s">
        <v>35</v>
      </c>
      <c r="I3961" s="13" t="str">
        <f aca="false">IF(C3961=J3961,"NEW KONTRAK","RE-KONTRAK")</f>
        <v>NEW KONTRAK</v>
      </c>
      <c r="J3961" s="16" t="n">
        <f aca="false" t="array" ref="J3961:J3961">IFERROR(INDEX(AC3961:AE3961,IF(COUNTA(AC3961:AE3961)=0,"",MAX((AC3961:AE3961&lt;&gt;"")*(COLUMN(AC3961:AE3961)-(COLUMN(AC3961)))))-1),"")</f>
        <v>46219</v>
      </c>
      <c r="K3961" s="16" t="n">
        <f aca="false" t="array" ref="K3961:K3961">IFERROR(INDEX(AC3961:AE3961,IF(COUNTA(AC3961:AE3961)=0,"",MAX((AC3961:AE3961&lt;&gt;"")*(COLUMN(AC3961:AE3961)-(COLUMN(AC3961)-1))))-1),"")</f>
        <v>46402</v>
      </c>
      <c r="L3961" s="17" t="str">
        <f aca="false" t="array" ref="L3961:L3961">IFERROR(INDEX(AC3961:AE3961,IF(COUNTA(AC3961:AE3961)=0,"",MAX((AC3961:AE3961&lt;&gt;"")*(COLUMN(AC3961:AE3961)-(COLUMN(AC3961)-2))))-1),"")</f>
        <v>ARCHIVED</v>
      </c>
      <c r="M3961" s="13" t="n">
        <f aca="true">K3961-TODAY()</f>
        <v>78</v>
      </c>
      <c r="N3961" s="18" t="s">
        <v>105</v>
      </c>
      <c r="O3961" s="13" t="s">
        <v>1453</v>
      </c>
      <c r="P3961" s="26" t="n">
        <v>138915</v>
      </c>
      <c r="Q3961" s="20" t="s">
        <v>16202</v>
      </c>
      <c r="R3961" s="16" t="s">
        <v>39</v>
      </c>
      <c r="S3961" s="25" t="n">
        <v>38414</v>
      </c>
      <c r="T3961" s="13" t="s">
        <v>108</v>
      </c>
      <c r="U3961" s="17" t="s">
        <v>16203</v>
      </c>
      <c r="V3961" s="130" t="s">
        <v>42</v>
      </c>
      <c r="W3961" s="13" t="s">
        <v>43</v>
      </c>
      <c r="X3961" s="21" t="n">
        <v>85731733518</v>
      </c>
      <c r="Y3961" s="22" t="str">
        <f aca="false">O3961</f>
        <v>Helper Produksi</v>
      </c>
      <c r="Z3961" s="13" t="str">
        <f aca="false">IFERROR(__xludf.dummyfunction("if(BJ3961="""","""",GOOGLETRANSLATE(BJ3961,""auto"",""en""))"),"Production Helper")</f>
        <v>Production Helper</v>
      </c>
      <c r="AA3961" s="23" t="str">
        <f aca="false">IF(C3961="","", CHOOSE(MONTH(C3961),"January","February","March","April","May","June","July","August","September","October","November","December")&amp;" "&amp;DAY(C3961)&amp;MID("thstndrdth",MIN(9,2*RIGHT(DAY(C3961))*(MOD(DAY(C3961)-11,100)&gt;2)+1),2)&amp;","&amp;TEXT(C3961," yyyy"))</f>
        <v>July 16th,2026</v>
      </c>
      <c r="AB3961" s="15" t="str">
        <f aca="true">IF(S3961="","",DATEDIF(S3961,TODAY(),"Y")&amp;" Tahun, "&amp;DATEDIF(S3961,TODAY(),"YM")&amp;" Bulan, "&amp;DATEDIF(S3961,TODAY(),"MD")&amp;" Hari")</f>
        <v>21 Tahun, 7 Bulan, 26 Hari</v>
      </c>
      <c r="AC3961" s="14" t="n">
        <v>46219</v>
      </c>
      <c r="AD3961" s="18" t="n">
        <v>46402</v>
      </c>
      <c r="AE3961" s="13" t="s">
        <v>44</v>
      </c>
    </row>
    <row r="3962" customFormat="false" ht="15" hidden="false" customHeight="true" outlineLevel="0" collapsed="false">
      <c r="A3962" s="12" t="n">
        <v>22590</v>
      </c>
      <c r="B3962" s="45" t="s">
        <v>16204</v>
      </c>
      <c r="C3962" s="14" t="n">
        <v>46226</v>
      </c>
      <c r="D3962" s="13" t="s">
        <v>404</v>
      </c>
      <c r="E3962" s="15" t="s">
        <v>4614</v>
      </c>
      <c r="F3962" s="24" t="s">
        <v>16205</v>
      </c>
      <c r="G3962" s="28" t="s">
        <v>57</v>
      </c>
      <c r="H3962" s="13" t="s">
        <v>35</v>
      </c>
      <c r="I3962" s="13" t="str">
        <f aca="false">IF(C3962=J3962,"NEW KONTRAK","RE-KONTRAK")</f>
        <v>NEW KONTRAK</v>
      </c>
      <c r="J3962" s="16" t="n">
        <f aca="false" t="array" ref="J3962:J3962">IFERROR(INDEX(AC3962:AE3962,IF(COUNTA(AC3962:AE3962)=0,"",MAX((AC3962:AE3962&lt;&gt;"")*(COLUMN(AC3962:AE3962)-(COLUMN(AC3962)))))-1),"")</f>
        <v>46226</v>
      </c>
      <c r="K3962" s="16" t="n">
        <f aca="false" t="array" ref="K3962:K3962">IFERROR(INDEX(AC3962:AE3962,IF(COUNTA(AC3962:AE3962)=0,"",MAX((AC3962:AE3962&lt;&gt;"")*(COLUMN(AC3962:AE3962)-(COLUMN(AC3962)-1))))-1),"")</f>
        <v>46317</v>
      </c>
      <c r="L3962" s="17" t="str">
        <f aca="false" t="array" ref="L3962:L3962">IFERROR(INDEX(AC3962:AE3962,IF(COUNTA(AC3962:AE3962)=0,"",MAX((AC3962:AE3962&lt;&gt;"")*(COLUMN(AC3962:AE3962)-(COLUMN(AC3962)-2))))-1),"")</f>
        <v>KEMBALI</v>
      </c>
      <c r="M3962" s="13" t="n">
        <f aca="true">K3962-TODAY()</f>
        <v>-7</v>
      </c>
      <c r="N3962" s="18" t="s">
        <v>36</v>
      </c>
      <c r="O3962" s="13" t="s">
        <v>15804</v>
      </c>
      <c r="P3962" s="26" t="n">
        <v>5195401</v>
      </c>
      <c r="Q3962" s="20" t="s">
        <v>16206</v>
      </c>
      <c r="R3962" s="13" t="s">
        <v>73</v>
      </c>
      <c r="S3962" s="25" t="n">
        <v>37496</v>
      </c>
      <c r="T3962" s="13" t="s">
        <v>40</v>
      </c>
      <c r="U3962" s="17" t="s">
        <v>16207</v>
      </c>
      <c r="V3962" s="13" t="s">
        <v>42</v>
      </c>
      <c r="W3962" s="13" t="s">
        <v>43</v>
      </c>
      <c r="X3962" s="47" t="s">
        <v>16208</v>
      </c>
      <c r="Y3962" s="22" t="str">
        <f aca="false">O3962</f>
        <v>ANALIS LAB</v>
      </c>
      <c r="Z3962" s="13" t="str">
        <f aca="false">IFERROR(__xludf.dummyfunction("if(BJ3962="""","""",GOOGLETRANSLATE(BJ3962,""auto"",""en""))"),"LAB ANALYST")</f>
        <v>LAB ANALYST</v>
      </c>
      <c r="AA3962" s="23" t="str">
        <f aca="false">IF(C3962="","", CHOOSE(MONTH(C3962),"January","February","March","April","May","June","July","August","September","October","November","December")&amp;" "&amp;DAY(C3962)&amp;MID("thstndrdth",MIN(9,2*RIGHT(DAY(C3962))*(MOD(DAY(C3962)-11,100)&gt;2)+1),2)&amp;","&amp;TEXT(C3962," yyyy"))</f>
        <v>July 23rd,2026</v>
      </c>
      <c r="AB3962" s="15" t="str">
        <f aca="true">IF(S3962="","",DATEDIF(S3962,TODAY(),"Y")&amp;" Tahun, "&amp;DATEDIF(S3962,TODAY(),"YM")&amp;" Bulan, "&amp;DATEDIF(S3962,TODAY(),"MD")&amp;" Hari")</f>
        <v>24 Tahun, 2 Bulan, 1 Hari</v>
      </c>
      <c r="AC3962" s="14" t="n">
        <v>46226</v>
      </c>
      <c r="AD3962" s="18" t="n">
        <f aca="false">EDATE(AC3962,3)-1</f>
        <v>46317</v>
      </c>
      <c r="AE3962" s="13" t="s">
        <v>397</v>
      </c>
    </row>
    <row r="3963" customFormat="false" ht="15" hidden="false" customHeight="true" outlineLevel="0" collapsed="false">
      <c r="A3963" s="12" t="n">
        <v>22591</v>
      </c>
      <c r="B3963" s="76" t="s">
        <v>16209</v>
      </c>
      <c r="C3963" s="14" t="n">
        <v>46223</v>
      </c>
      <c r="D3963" s="13" t="s">
        <v>5726</v>
      </c>
      <c r="E3963" s="13" t="s">
        <v>47</v>
      </c>
      <c r="F3963" s="15" t="str">
        <f aca="false">IFERROR(__xludf.dummyfunction("XLOOKUP(AJ3963,IMPORTRANGE(""1XaInW9DU9nz21V0tYIfzFQ0He9kVQ_JF2mCXgZ3hqFA"",""REKAP ALL 2026 - Andika!G:G""),IMPORTRANGE(""1XaInW9DU9nz21V0tYIfzFQ0He9kVQ_JF2mCXgZ3hqFA"",""REKAP ALL 2026 - Andika!F:F""),"""",0)"),"24105097711")</f>
        <v>24105097711</v>
      </c>
      <c r="G3963" s="13" t="s">
        <v>16210</v>
      </c>
      <c r="H3963" s="13" t="s">
        <v>35</v>
      </c>
      <c r="I3963" s="13" t="str">
        <f aca="false">IF(C3963=J3963,"NEW KONTRAK","RE-KONTRAK")</f>
        <v>NEW KONTRAK</v>
      </c>
      <c r="J3963" s="16" t="n">
        <f aca="false" t="array" ref="J3963:J3963">IFERROR(INDEX(AC3963:AE3963,IF(COUNTA(AC3963:AE3963)=0,"",MAX((AC3963:AE3963&lt;&gt;"")*(COLUMN(AC3963:AE3963)-(COLUMN(AC3963)))))-1),"")</f>
        <v>46223</v>
      </c>
      <c r="K3963" s="16" t="n">
        <f aca="false" t="array" ref="K3963:K3963">IFERROR(INDEX(AC3963:AE3963,IF(COUNTA(AC3963:AE3963)=0,"",MAX((AC3963:AE3963&lt;&gt;"")*(COLUMN(AC3963:AE3963)-(COLUMN(AC3963)-1))))-1),"")</f>
        <v>46314</v>
      </c>
      <c r="L3963" s="17" t="str">
        <f aca="false" t="array" ref="L3963:L3963">IFERROR(INDEX(AC3963:AE3963,IF(COUNTA(AC3963:AE3963)=0,"",MAX((AC3963:AE3963&lt;&gt;"")*(COLUMN(AC3963:AE3963)-(COLUMN(AC3963)-2))))-1),"")</f>
        <v>KEMBALI</v>
      </c>
      <c r="M3963" s="13" t="n">
        <f aca="true">K3963-TODAY()</f>
        <v>-10</v>
      </c>
      <c r="N3963" s="18" t="s">
        <v>615</v>
      </c>
      <c r="O3963" s="13" t="s">
        <v>1531</v>
      </c>
      <c r="P3963" s="19" t="n">
        <v>5176101</v>
      </c>
      <c r="Q3963" s="77" t="s">
        <v>16211</v>
      </c>
      <c r="R3963" s="76" t="s">
        <v>260</v>
      </c>
      <c r="S3963" s="78" t="n">
        <v>38229</v>
      </c>
      <c r="T3963" s="76" t="s">
        <v>108</v>
      </c>
      <c r="U3963" s="17" t="s">
        <v>16212</v>
      </c>
      <c r="V3963" s="76" t="s">
        <v>42</v>
      </c>
      <c r="W3963" s="13" t="s">
        <v>43</v>
      </c>
      <c r="X3963" s="21" t="n">
        <v>85604150295</v>
      </c>
      <c r="Y3963" s="22" t="str">
        <f aca="false">O3963</f>
        <v>Packer</v>
      </c>
      <c r="Z3963" s="13" t="str">
        <f aca="false">IFERROR(__xludf.dummyfunction("if(BJ3963="""","""",GOOGLETRANSLATE(BJ3963,""auto"",""en""))"),"Packer")</f>
        <v>Packer</v>
      </c>
      <c r="AA3963" s="23" t="str">
        <f aca="false">IF(C3963="","", CHOOSE(MONTH(C3963),"January","February","March","April","May","June","July","August","September","October","November","December")&amp;" "&amp;DAY(C3963)&amp;MID("thstndrdth",MIN(9,2*RIGHT(DAY(C3963))*(MOD(DAY(C3963)-11,100)&gt;2)+1),2)&amp;","&amp;TEXT(C3963," yyyy"))</f>
        <v>July 20th,2026</v>
      </c>
      <c r="AB3963" s="15" t="str">
        <f aca="true">IF(S3963="","",DATEDIF(S3963,TODAY(),"Y")&amp;" Tahun, "&amp;DATEDIF(S3963,TODAY(),"YM")&amp;" Bulan, "&amp;DATEDIF(S3963,TODAY(),"MD")&amp;" Hari")</f>
        <v>22 Tahun, 1 Bulan, 29 Hari</v>
      </c>
      <c r="AC3963" s="14" t="n">
        <v>46223</v>
      </c>
      <c r="AD3963" s="18" t="n">
        <f aca="false">EDATE(AC3963,3)-1</f>
        <v>46314</v>
      </c>
      <c r="AE3963" s="13" t="s">
        <v>397</v>
      </c>
    </row>
    <row r="3964" customFormat="false" ht="15" hidden="false" customHeight="true" outlineLevel="0" collapsed="false">
      <c r="A3964" s="12" t="n">
        <v>22592</v>
      </c>
      <c r="B3964" s="76" t="s">
        <v>16213</v>
      </c>
      <c r="C3964" s="14" t="n">
        <v>46223</v>
      </c>
      <c r="D3964" s="13" t="s">
        <v>5726</v>
      </c>
      <c r="E3964" s="13" t="s">
        <v>47</v>
      </c>
      <c r="F3964" s="15" t="str">
        <f aca="false">IFERROR(__xludf.dummyfunction("XLOOKUP(AJ3964,IMPORTRANGE(""1XaInW9DU9nz21V0tYIfzFQ0He9kVQ_JF2mCXgZ3hqFA"",""REKAP ALL 2026 - Andika!G:G""),IMPORTRANGE(""1XaInW9DU9nz21V0tYIfzFQ0He9kVQ_JF2mCXgZ3hqFA"",""REKAP ALL 2026 - Andika!F:F""),"""",0)"),"25047634198")</f>
        <v>25047634198</v>
      </c>
      <c r="G3964" s="13" t="s">
        <v>16214</v>
      </c>
      <c r="H3964" s="13" t="s">
        <v>35</v>
      </c>
      <c r="I3964" s="13" t="str">
        <f aca="false">IF(C3964=J3964,"NEW KONTRAK","RE-KONTRAK")</f>
        <v>NEW KONTRAK</v>
      </c>
      <c r="J3964" s="16" t="n">
        <f aca="false" t="array" ref="J3964:J3964">IFERROR(INDEX(AC3964:AE3964,IF(COUNTA(AC3964:AE3964)=0,"",MAX((AC3964:AE3964&lt;&gt;"")*(COLUMN(AC3964:AE3964)-(COLUMN(AC3964)))))-1),"")</f>
        <v>46223</v>
      </c>
      <c r="K3964" s="16" t="n">
        <f aca="false" t="array" ref="K3964:K3964">IFERROR(INDEX(AC3964:AE3964,IF(COUNTA(AC3964:AE3964)=0,"",MAX((AC3964:AE3964&lt;&gt;"")*(COLUMN(AC3964:AE3964)-(COLUMN(AC3964)-1))))-1),"")</f>
        <v>46314</v>
      </c>
      <c r="L3964" s="17" t="str">
        <f aca="false" t="array" ref="L3964:L3964">IFERROR(INDEX(AC3964:AE3964,IF(COUNTA(AC3964:AE3964)=0,"",MAX((AC3964:AE3964&lt;&gt;"")*(COLUMN(AC3964:AE3964)-(COLUMN(AC3964)-2))))-1),"")</f>
        <v>KEMBALI</v>
      </c>
      <c r="M3964" s="13" t="n">
        <f aca="true">K3964-TODAY()</f>
        <v>-10</v>
      </c>
      <c r="N3964" s="18" t="s">
        <v>615</v>
      </c>
      <c r="O3964" s="13" t="s">
        <v>1531</v>
      </c>
      <c r="P3964" s="19" t="n">
        <v>5176101</v>
      </c>
      <c r="Q3964" s="96" t="s">
        <v>16215</v>
      </c>
      <c r="R3964" s="76" t="s">
        <v>232</v>
      </c>
      <c r="S3964" s="78" t="n">
        <v>38671</v>
      </c>
      <c r="T3964" s="76" t="s">
        <v>108</v>
      </c>
      <c r="U3964" s="17" t="s">
        <v>16216</v>
      </c>
      <c r="V3964" s="76" t="s">
        <v>42</v>
      </c>
      <c r="W3964" s="13" t="s">
        <v>43</v>
      </c>
      <c r="X3964" s="21" t="n">
        <v>85808342055</v>
      </c>
      <c r="Y3964" s="22" t="str">
        <f aca="false">O3964</f>
        <v>Packer</v>
      </c>
      <c r="Z3964" s="13" t="str">
        <f aca="false">IFERROR(__xludf.dummyfunction("if(BJ3964="""","""",GOOGLETRANSLATE(BJ3964,""auto"",""en""))"),"Packer")</f>
        <v>Packer</v>
      </c>
      <c r="AA3964" s="23" t="str">
        <f aca="false">IF(C3964="","", CHOOSE(MONTH(C3964),"January","February","March","April","May","June","July","August","September","October","November","December")&amp;" "&amp;DAY(C3964)&amp;MID("thstndrdth",MIN(9,2*RIGHT(DAY(C3964))*(MOD(DAY(C3964)-11,100)&gt;2)+1),2)&amp;","&amp;TEXT(C3964," yyyy"))</f>
        <v>July 20th,2026</v>
      </c>
      <c r="AB3964" s="15" t="str">
        <f aca="true">IF(S3964="","",DATEDIF(S3964,TODAY(),"Y")&amp;" Tahun, "&amp;DATEDIF(S3964,TODAY(),"YM")&amp;" Bulan, "&amp;DATEDIF(S3964,TODAY(),"MD")&amp;" Hari")</f>
        <v>20 Tahun, 11 Bulan, 14 Hari</v>
      </c>
      <c r="AC3964" s="14" t="n">
        <v>46223</v>
      </c>
      <c r="AD3964" s="18" t="n">
        <f aca="false">EDATE(AC3964,3)-1</f>
        <v>46314</v>
      </c>
      <c r="AE3964" s="13" t="s">
        <v>397</v>
      </c>
    </row>
    <row r="3965" customFormat="false" ht="15" hidden="false" customHeight="true" outlineLevel="0" collapsed="false">
      <c r="A3965" s="12" t="n">
        <v>22594</v>
      </c>
      <c r="B3965" s="76" t="s">
        <v>16217</v>
      </c>
      <c r="C3965" s="14" t="n">
        <v>46223</v>
      </c>
      <c r="D3965" s="13" t="s">
        <v>5726</v>
      </c>
      <c r="E3965" s="13" t="s">
        <v>47</v>
      </c>
      <c r="F3965" s="15" t="str">
        <f aca="false">IFERROR(__xludf.dummyfunction("XLOOKUP(AJ3965,IMPORTRANGE(""1XaInW9DU9nz21V0tYIfzFQ0He9kVQ_JF2mCXgZ3hqFA"",""REKAP ALL 2026 - Andika!G:G""),IMPORTRANGE(""1XaInW9DU9nz21V0tYIfzFQ0He9kVQ_JF2mCXgZ3hqFA"",""REKAP ALL 2026 - Andika!F:F""),"""",0)"),"24120209549")</f>
        <v>24120209549</v>
      </c>
      <c r="G3965" s="13" t="s">
        <v>16218</v>
      </c>
      <c r="H3965" s="13" t="s">
        <v>35</v>
      </c>
      <c r="I3965" s="13" t="str">
        <f aca="false">IF(C3965=J3965,"NEW KONTRAK","RE-KONTRAK")</f>
        <v>NEW KONTRAK</v>
      </c>
      <c r="J3965" s="16" t="n">
        <f aca="false" t="array" ref="J3965:J3965">IFERROR(INDEX(AC3965:AE3965,IF(COUNTA(AC3965:AE3965)=0,"",MAX((AC3965:AE3965&lt;&gt;"")*(COLUMN(AC3965:AE3965)-(COLUMN(AC3965)))))-1),"")</f>
        <v>46223</v>
      </c>
      <c r="K3965" s="16" t="n">
        <f aca="false" t="array" ref="K3965:K3965">IFERROR(INDEX(AC3965:AE3965,IF(COUNTA(AC3965:AE3965)=0,"",MAX((AC3965:AE3965&lt;&gt;"")*(COLUMN(AC3965:AE3965)-(COLUMN(AC3965)-1))))-1),"")</f>
        <v>46314</v>
      </c>
      <c r="L3965" s="17" t="str">
        <f aca="false" t="array" ref="L3965:L3965">IFERROR(INDEX(AC3965:AE3965,IF(COUNTA(AC3965:AE3965)=0,"",MAX((AC3965:AE3965&lt;&gt;"")*(COLUMN(AC3965:AE3965)-(COLUMN(AC3965)-2))))-1),"")</f>
        <v>KEMBALI</v>
      </c>
      <c r="M3965" s="13" t="n">
        <f aca="true">K3965-TODAY()</f>
        <v>-10</v>
      </c>
      <c r="N3965" s="18" t="s">
        <v>615</v>
      </c>
      <c r="O3965" s="13" t="s">
        <v>1531</v>
      </c>
      <c r="P3965" s="19" t="n">
        <v>5176101</v>
      </c>
      <c r="Q3965" s="77" t="s">
        <v>16219</v>
      </c>
      <c r="R3965" s="76" t="s">
        <v>735</v>
      </c>
      <c r="S3965" s="78" t="n">
        <v>38176</v>
      </c>
      <c r="T3965" s="76" t="s">
        <v>108</v>
      </c>
      <c r="U3965" s="17" t="s">
        <v>16220</v>
      </c>
      <c r="V3965" s="76" t="s">
        <v>42</v>
      </c>
      <c r="W3965" s="13" t="s">
        <v>43</v>
      </c>
      <c r="X3965" s="21" t="n">
        <v>88228301653</v>
      </c>
      <c r="Y3965" s="22" t="str">
        <f aca="false">O3965</f>
        <v>Packer</v>
      </c>
      <c r="Z3965" s="13" t="str">
        <f aca="false">IFERROR(__xludf.dummyfunction("if(BJ3965="""","""",GOOGLETRANSLATE(BJ3965,""auto"",""en""))"),"Packer")</f>
        <v>Packer</v>
      </c>
      <c r="AA3965" s="23" t="str">
        <f aca="false">IF(C3965="","", CHOOSE(MONTH(C3965),"January","February","March","April","May","June","July","August","September","October","November","December")&amp;" "&amp;DAY(C3965)&amp;MID("thstndrdth",MIN(9,2*RIGHT(DAY(C3965))*(MOD(DAY(C3965)-11,100)&gt;2)+1),2)&amp;","&amp;TEXT(C3965," yyyy"))</f>
        <v>July 20th,2026</v>
      </c>
      <c r="AB3965" s="15" t="str">
        <f aca="true">IF(S3965="","",DATEDIF(S3965,TODAY(),"Y")&amp;" Tahun, "&amp;DATEDIF(S3965,TODAY(),"YM")&amp;" Bulan, "&amp;DATEDIF(S3965,TODAY(),"MD")&amp;" Hari")</f>
        <v>22 Tahun, 3 Bulan, 21 Hari</v>
      </c>
      <c r="AC3965" s="14" t="n">
        <v>46223</v>
      </c>
      <c r="AD3965" s="18" t="n">
        <f aca="false">EDATE(AC3965,3)-1</f>
        <v>46314</v>
      </c>
      <c r="AE3965" s="13" t="s">
        <v>397</v>
      </c>
    </row>
    <row r="3966" customFormat="false" ht="15" hidden="false" customHeight="true" outlineLevel="0" collapsed="false">
      <c r="A3966" s="12" t="n">
        <v>22593</v>
      </c>
      <c r="B3966" s="76" t="s">
        <v>16221</v>
      </c>
      <c r="C3966" s="14" t="n">
        <v>46223</v>
      </c>
      <c r="D3966" s="13" t="s">
        <v>5726</v>
      </c>
      <c r="E3966" s="13" t="s">
        <v>789</v>
      </c>
      <c r="F3966" s="15" t="str">
        <f aca="false">IFERROR(__xludf.dummyfunction("XLOOKUP(AJ3966,IMPORTRANGE(""1XaInW9DU9nz21V0tYIfzFQ0He9kVQ_JF2mCXgZ3hqFA"",""REKAP ALL 2026 - Andika!G:G""),IMPORTRANGE(""1XaInW9DU9nz21V0tYIfzFQ0He9kVQ_JF2mCXgZ3hqFA"",""REKAP ALL 2026 - Andika!F:F""),"""",0)"),"24105097810")</f>
        <v>24105097810</v>
      </c>
      <c r="G3966" s="13" t="s">
        <v>16222</v>
      </c>
      <c r="H3966" s="13" t="s">
        <v>35</v>
      </c>
      <c r="I3966" s="13" t="str">
        <f aca="false">IF(C3966=J3966,"NEW KONTRAK","RE-KONTRAK")</f>
        <v>NEW KONTRAK</v>
      </c>
      <c r="J3966" s="16" t="n">
        <f aca="false" t="array" ref="J3966:J3966">IFERROR(INDEX(AC3966:AE3966,IF(COUNTA(AC3966:AE3966)=0,"",MAX((AC3966:AE3966&lt;&gt;"")*(COLUMN(AC3966:AE3966)-(COLUMN(AC3966)))))-1),"")</f>
        <v>46223</v>
      </c>
      <c r="K3966" s="16" t="n">
        <f aca="false" t="array" ref="K3966:K3966">IFERROR(INDEX(AC3966:AE3966,IF(COUNTA(AC3966:AE3966)=0,"",MAX((AC3966:AE3966&lt;&gt;"")*(COLUMN(AC3966:AE3966)-(COLUMN(AC3966)-1))))-1),"")</f>
        <v>46314</v>
      </c>
      <c r="L3966" s="17" t="str">
        <f aca="false" t="array" ref="L3966:L3966">IFERROR(INDEX(AC3966:AE3966,IF(COUNTA(AC3966:AE3966)=0,"",MAX((AC3966:AE3966&lt;&gt;"")*(COLUMN(AC3966:AE3966)-(COLUMN(AC3966)-2))))-1),"")</f>
        <v>KEMBALI</v>
      </c>
      <c r="M3966" s="13" t="n">
        <f aca="true">K3966-TODAY()</f>
        <v>-10</v>
      </c>
      <c r="N3966" s="18" t="s">
        <v>615</v>
      </c>
      <c r="O3966" s="13" t="s">
        <v>1531</v>
      </c>
      <c r="P3966" s="19" t="n">
        <v>5176101</v>
      </c>
      <c r="Q3966" s="77" t="s">
        <v>16223</v>
      </c>
      <c r="R3966" s="76" t="s">
        <v>232</v>
      </c>
      <c r="S3966" s="78" t="n">
        <v>37557</v>
      </c>
      <c r="T3966" s="76" t="s">
        <v>40</v>
      </c>
      <c r="U3966" s="17" t="s">
        <v>16224</v>
      </c>
      <c r="V3966" s="76" t="s">
        <v>42</v>
      </c>
      <c r="W3966" s="13" t="s">
        <v>43</v>
      </c>
      <c r="X3966" s="21" t="n">
        <v>83846615338</v>
      </c>
      <c r="Y3966" s="22" t="str">
        <f aca="false">O3966</f>
        <v>Packer</v>
      </c>
      <c r="Z3966" s="13" t="str">
        <f aca="false">IFERROR(__xludf.dummyfunction("if(BJ3966="""","""",GOOGLETRANSLATE(BJ3966,""auto"",""en""))"),"Packer")</f>
        <v>Packer</v>
      </c>
      <c r="AA3966" s="23" t="str">
        <f aca="false">IF(C3966="","", CHOOSE(MONTH(C3966),"January","February","March","April","May","June","July","August","September","October","November","December")&amp;" "&amp;DAY(C3966)&amp;MID("thstndrdth",MIN(9,2*RIGHT(DAY(C3966))*(MOD(DAY(C3966)-11,100)&gt;2)+1),2)&amp;","&amp;TEXT(C3966," yyyy"))</f>
        <v>July 20th,2026</v>
      </c>
      <c r="AB3966" s="15" t="str">
        <f aca="true">IF(S3966="","",DATEDIF(S3966,TODAY(),"Y")&amp;" Tahun, "&amp;DATEDIF(S3966,TODAY(),"YM")&amp;" Bulan, "&amp;DATEDIF(S3966,TODAY(),"MD")&amp;" Hari")</f>
        <v>24 Tahun, 0 Bulan, 1 Hari</v>
      </c>
      <c r="AC3966" s="14" t="n">
        <v>46223</v>
      </c>
      <c r="AD3966" s="18" t="n">
        <f aca="false">EDATE(AC3966,3)-1</f>
        <v>46314</v>
      </c>
      <c r="AE3966" s="13" t="s">
        <v>397</v>
      </c>
    </row>
    <row r="3967" customFormat="false" ht="15" hidden="false" customHeight="true" outlineLevel="0" collapsed="false">
      <c r="A3967" s="12" t="n">
        <v>22480</v>
      </c>
      <c r="B3967" s="45" t="s">
        <v>16225</v>
      </c>
      <c r="C3967" s="14" t="n">
        <v>46191</v>
      </c>
      <c r="D3967" s="13" t="s">
        <v>2033</v>
      </c>
      <c r="E3967" s="15" t="s">
        <v>47</v>
      </c>
      <c r="F3967" s="24" t="s">
        <v>16226</v>
      </c>
      <c r="G3967" s="15" t="s">
        <v>1127</v>
      </c>
      <c r="H3967" s="13" t="s">
        <v>35</v>
      </c>
      <c r="I3967" s="13" t="str">
        <f aca="false">IF(C3967=J3967,"NEW KONTRAK","RE-KONTRAK")</f>
        <v>NEW KONTRAK</v>
      </c>
      <c r="J3967" s="16" t="n">
        <f aca="false" t="array" ref="J3967:J3967">IFERROR(INDEX(AC3967:AE3967,IF(COUNTA(AC3967:AE3967)=0,"",MAX((AC3967:AE3967&lt;&gt;"")*(COLUMN(AC3967:AE3967)-(COLUMN(AC3967)))))-1),"")</f>
        <v>46191</v>
      </c>
      <c r="K3967" s="16" t="n">
        <f aca="false" t="array" ref="K3967:K3967">IFERROR(INDEX(AC3967:AE3967,IF(COUNTA(AC3967:AE3967)=0,"",MAX((AC3967:AE3967&lt;&gt;"")*(COLUMN(AC3967:AE3967)-(COLUMN(AC3967)-1))))-1),"")</f>
        <v>46282</v>
      </c>
      <c r="L3967" s="17" t="str">
        <f aca="false" t="array" ref="L3967:L3967">IFERROR(INDEX(AC3967:AE3967,IF(COUNTA(AC3967:AE3967)=0,"",MAX((AC3967:AE3967&lt;&gt;"")*(COLUMN(AC3967:AE3967)-(COLUMN(AC3967)-2))))-1),"")</f>
        <v>KEMBALI</v>
      </c>
      <c r="M3967" s="13" t="n">
        <f aca="true">K3967-TODAY()</f>
        <v>-42</v>
      </c>
      <c r="N3967" s="13" t="s">
        <v>4784</v>
      </c>
      <c r="O3967" s="13" t="s">
        <v>2384</v>
      </c>
      <c r="P3967" s="19" t="n">
        <v>4022017</v>
      </c>
      <c r="Q3967" s="47" t="s">
        <v>16227</v>
      </c>
      <c r="R3967" s="13" t="s">
        <v>16228</v>
      </c>
      <c r="S3967" s="16" t="n">
        <v>38701</v>
      </c>
      <c r="T3967" s="13" t="s">
        <v>108</v>
      </c>
      <c r="U3967" s="13" t="s">
        <v>16229</v>
      </c>
      <c r="V3967" s="28" t="s">
        <v>42</v>
      </c>
      <c r="W3967" s="28" t="s">
        <v>43</v>
      </c>
      <c r="X3967" s="67" t="s">
        <v>16230</v>
      </c>
      <c r="Y3967" s="22" t="str">
        <f aca="false">O3967</f>
        <v>SPG</v>
      </c>
      <c r="Z3967" s="13" t="str">
        <f aca="false">IFERROR(__xludf.dummyfunction("if(BJ3967="""","""",GOOGLETRANSLATE(BJ3967,""auto"",""en""))"),"SPG")</f>
        <v>SPG</v>
      </c>
      <c r="AA3967" s="23" t="str">
        <f aca="false">IF(C3967="","", CHOOSE(MONTH(C3967),"January","February","March","April","May","June","July","August","September","October","November","December")&amp;" "&amp;DAY(C3967)&amp;MID("thstndrdth",MIN(9,2*RIGHT(DAY(C3967))*(MOD(DAY(C3967)-11,100)&gt;2)+1),2)&amp;","&amp;TEXT(C3967," yyyy"))</f>
        <v>June 18th,2026</v>
      </c>
      <c r="AB3967" s="15" t="str">
        <f aca="true">IF(S3967="","",DATEDIF(S3967,TODAY(),"Y")&amp;" Tahun, "&amp;DATEDIF(S3967,TODAY(),"YM")&amp;" Bulan, "&amp;DATEDIF(S3967,TODAY(),"MD")&amp;" Hari")</f>
        <v>20 Tahun, 10 Bulan, 14 Hari</v>
      </c>
      <c r="AC3967" s="14" t="n">
        <v>46191</v>
      </c>
      <c r="AD3967" s="18" t="n">
        <f aca="false">EDATE(AC3967,3)-1</f>
        <v>46282</v>
      </c>
      <c r="AE3967" s="13" t="s">
        <v>397</v>
      </c>
    </row>
    <row r="3968" customFormat="false" ht="15" hidden="false" customHeight="true" outlineLevel="0" collapsed="false">
      <c r="A3968" s="12" t="n">
        <v>3080</v>
      </c>
      <c r="B3968" s="13" t="s">
        <v>16231</v>
      </c>
      <c r="C3968" s="14" t="n">
        <v>44373</v>
      </c>
      <c r="D3968" s="13" t="s">
        <v>2033</v>
      </c>
      <c r="E3968" s="15" t="s">
        <v>47</v>
      </c>
      <c r="F3968" s="15" t="str">
        <f aca="false">IFERROR(__xludf.dummyfunction("XLOOKUP(AJ3968,IMPORTRANGE(""1XaInW9DU9nz21V0tYIfzFQ0He9kVQ_JF2mCXgZ3hqFA"",""REKAP ALL 2026 - Andika!G:G""),IMPORTRANGE(""1XaInW9DU9nz21V0tYIfzFQ0He9kVQ_JF2mCXgZ3hqFA"",""REKAP ALL 2026 - Andika!F:F""),"""",0)"),"21058220464")</f>
        <v>21058220464</v>
      </c>
      <c r="G3968" s="13" t="s">
        <v>16232</v>
      </c>
      <c r="H3968" s="13" t="s">
        <v>2035</v>
      </c>
      <c r="I3968" s="13" t="str">
        <f aca="false">IF(C3968=J3968,"NEW KONTRAK","RE-KONTRAK")</f>
        <v>RE-KONTRAK</v>
      </c>
      <c r="J3968" s="16" t="n">
        <f aca="false" t="array" ref="J3968:J3968">IFERROR(INDEX(AC3968:AE3968,IF(COUNTA(AC3968:AE3968)=0,"",MAX((AC3968:AE3968&lt;&gt;"")*(COLUMN(AC3968:AE3968)-(COLUMN(AC3968)))))-1),"")</f>
        <v>45744</v>
      </c>
      <c r="K3968" s="16" t="n">
        <f aca="false" t="array" ref="K3968:K3968">IFERROR(INDEX(AC3968:AE3968,IF(COUNTA(AC3968:AE3968)=0,"",MAX((AC3968:AE3968&lt;&gt;"")*(COLUMN(AC3968:AE3968)-(COLUMN(AC3968)-1))))-1),"")</f>
        <v>45915</v>
      </c>
      <c r="L3968" s="17" t="str">
        <f aca="false" t="array" ref="L3968:L3968">IFERROR(INDEX(AC3968:AE3968,IF(COUNTA(AC3968:AE3968)=0,"",MAX((AC3968:AE3968&lt;&gt;"")*(COLUMN(AC3968:AE3968)-(COLUMN(AC3968)-2))))-1),"")</f>
        <v>ARCHIVED</v>
      </c>
      <c r="M3968" s="13" t="n">
        <f aca="true">K3968-TODAY()</f>
        <v>-409</v>
      </c>
      <c r="N3968" s="18" t="s">
        <v>2373</v>
      </c>
      <c r="O3968" s="13" t="s">
        <v>2037</v>
      </c>
      <c r="P3968" s="19" t="n">
        <v>2570000</v>
      </c>
      <c r="Q3968" s="20" t="s">
        <v>16233</v>
      </c>
      <c r="R3968" s="13" t="s">
        <v>2001</v>
      </c>
      <c r="S3968" s="14" t="n">
        <v>32162</v>
      </c>
      <c r="T3968" s="13" t="s">
        <v>108</v>
      </c>
      <c r="U3968" s="13" t="s">
        <v>16234</v>
      </c>
      <c r="V3968" s="13" t="s">
        <v>99</v>
      </c>
      <c r="W3968" s="13" t="s">
        <v>54</v>
      </c>
      <c r="X3968" s="21" t="n">
        <v>8812906186</v>
      </c>
      <c r="Y3968" s="22" t="str">
        <f aca="false">O3968</f>
        <v>SPG/BA</v>
      </c>
      <c r="Z3968" s="13" t="str">
        <f aca="false">IFERROR(__xludf.dummyfunction("if(BJ3968="""","""",GOOGLETRANSLATE(BJ3968,""auto"",""en""))"),"SPG/BA")</f>
        <v>SPG/BA</v>
      </c>
      <c r="AA3968" s="23" t="str">
        <f aca="false">IF(C3968="","", CHOOSE(MONTH(C3968),"January","February","March","April","May","June","July","August","September","October","November","December")&amp;" "&amp;DAY(C3968)&amp;MID("thstndrdth",MIN(9,2*RIGHT(DAY(C3968))*(MOD(DAY(C3968)-11,100)&gt;2)+1),2)&amp;","&amp;TEXT(C3968," yyyy"))</f>
        <v>June 26th,2021</v>
      </c>
      <c r="AB3968" s="15" t="str">
        <f aca="true">IF(S3968="","",DATEDIF(S3968,TODAY(),"Y")&amp;" Tahun, "&amp;DATEDIF(S3968,TODAY(),"YM")&amp;" Bulan, "&amp;DATEDIF(S3968,TODAY(),"MD")&amp;" Hari")</f>
        <v>38 Tahun, 9 Bulan, 9 Hari</v>
      </c>
      <c r="AC3968" s="18" t="n">
        <v>45744</v>
      </c>
      <c r="AD3968" s="18" t="n">
        <v>45915</v>
      </c>
      <c r="AE3968" s="18" t="s">
        <v>44</v>
      </c>
    </row>
    <row r="3969" customFormat="false" ht="15" hidden="false" customHeight="true" outlineLevel="0" collapsed="false">
      <c r="A3969" s="12" t="n">
        <v>23013</v>
      </c>
      <c r="B3969" s="13" t="s">
        <v>16235</v>
      </c>
      <c r="C3969" s="14" t="n">
        <v>46308</v>
      </c>
      <c r="D3969" s="13" t="s">
        <v>2033</v>
      </c>
      <c r="E3969" s="13" t="s">
        <v>47</v>
      </c>
      <c r="F3969" s="24" t="s">
        <v>16236</v>
      </c>
      <c r="G3969" s="13" t="s">
        <v>1127</v>
      </c>
      <c r="H3969" s="13" t="s">
        <v>35</v>
      </c>
      <c r="I3969" s="13" t="str">
        <f aca="false">IF(C3969=J3969,"NEW KONTRAK","RE-KONTRAK")</f>
        <v>NEW KONTRAK</v>
      </c>
      <c r="J3969" s="16" t="n">
        <f aca="false" t="array" ref="J3969:J3969">IFERROR(INDEX(AC3969:AE3969,IF(COUNTA(AC3969:AE3969)=0,"",MAX((AC3969:AE3969&lt;&gt;"")*(COLUMN(AC3969:AE3969)-(COLUMN(AC3969)))))-1),"")</f>
        <v>46308</v>
      </c>
      <c r="K3969" s="16" t="n">
        <f aca="false" t="array" ref="K3969:K3969">IFERROR(INDEX(AC3969:AE3969,IF(COUNTA(AC3969:AE3969)=0,"",MAX((AC3969:AE3969&lt;&gt;"")*(COLUMN(AC3969:AE3969)-(COLUMN(AC3969)-1))))-1),"")</f>
        <v>46402</v>
      </c>
      <c r="L3969" s="17" t="str">
        <f aca="false" t="array" ref="L3969:L3969">IFERROR(INDEX(AC3969:AE3969,IF(COUNTA(AC3969:AE3969)=0,"",MAX((AC3969:AE3969&lt;&gt;"")*(COLUMN(AC3969:AE3969)-(COLUMN(AC3969)-2))))-1),"")</f>
        <v>DRAFTED ONLINE</v>
      </c>
      <c r="M3969" s="13" t="n">
        <f aca="true">K3969-TODAY()</f>
        <v>78</v>
      </c>
      <c r="N3969" s="13" t="s">
        <v>2383</v>
      </c>
      <c r="O3969" s="13" t="s">
        <v>2384</v>
      </c>
      <c r="P3969" s="26" t="n">
        <v>3998179</v>
      </c>
      <c r="Q3969" s="20" t="s">
        <v>16237</v>
      </c>
      <c r="R3969" s="13" t="s">
        <v>2383</v>
      </c>
      <c r="S3969" s="25" t="n">
        <v>37975</v>
      </c>
      <c r="T3969" s="13" t="s">
        <v>108</v>
      </c>
      <c r="U3969" s="13" t="s">
        <v>16238</v>
      </c>
      <c r="V3969" s="13" t="s">
        <v>42</v>
      </c>
      <c r="W3969" s="13" t="s">
        <v>43</v>
      </c>
      <c r="X3969" s="21" t="n">
        <v>83160389158</v>
      </c>
      <c r="Y3969" s="22" t="str">
        <f aca="false">O3969</f>
        <v>SPG</v>
      </c>
      <c r="Z3969" s="13" t="str">
        <f aca="false">IFERROR(__xludf.dummyfunction("if(BJ3969="""","""",GOOGLETRANSLATE(BJ3969,""auto"",""en""))"),"SPG")</f>
        <v>SPG</v>
      </c>
      <c r="AA3969" s="23" t="str">
        <f aca="false">IF(C3969="","", CHOOSE(MONTH(C3969),"January","February","March","April","May","June","July","August","September","October","November","December")&amp;" "&amp;DAY(C3969)&amp;MID("thstndrdth",MIN(9,2*RIGHT(DAY(C3969))*(MOD(DAY(C3969)-11,100)&gt;2)+1),2)&amp;","&amp;TEXT(C3969," yyyy"))</f>
        <v>October 13th,2026</v>
      </c>
      <c r="AB3969" s="15" t="str">
        <f aca="true">IF(S3969="","",DATEDIF(S3969,TODAY(),"Y")&amp;" Tahun, "&amp;DATEDIF(S3969,TODAY(),"YM")&amp;" Bulan, "&amp;DATEDIF(S3969,TODAY(),"MD")&amp;" Hari")</f>
        <v>22 Tahun, 10 Bulan, 9 Hari</v>
      </c>
      <c r="AC3969" s="14" t="n">
        <v>46308</v>
      </c>
      <c r="AD3969" s="18" t="n">
        <v>46402</v>
      </c>
      <c r="AE3969" s="13" t="s">
        <v>2424</v>
      </c>
    </row>
    <row r="3970" customFormat="false" ht="15" hidden="false" customHeight="true" outlineLevel="0" collapsed="false">
      <c r="A3970" s="12" t="n">
        <v>14567</v>
      </c>
      <c r="B3970" s="13" t="s">
        <v>16239</v>
      </c>
      <c r="C3970" s="14" t="n">
        <v>45314</v>
      </c>
      <c r="D3970" s="13" t="s">
        <v>2033</v>
      </c>
      <c r="E3970" s="15" t="s">
        <v>47</v>
      </c>
      <c r="F3970" s="15" t="str">
        <f aca="false">IFERROR(__xludf.dummyfunction("XLOOKUP(AJ3970,IMPORTRANGE(""1XaInW9DU9nz21V0tYIfzFQ0He9kVQ_JF2mCXgZ3hqFA"",""REKAP ALL 2026 - Andika!G:G""),IMPORTRANGE(""1XaInW9DU9nz21V0tYIfzFQ0He9kVQ_JF2mCXgZ3hqFA"",""REKAP ALL 2026 - Andika!F:F""),"""",0)"),"24049126709")</f>
        <v>24049126709</v>
      </c>
      <c r="G3970" s="13" t="s">
        <v>16240</v>
      </c>
      <c r="H3970" s="13" t="s">
        <v>2035</v>
      </c>
      <c r="I3970" s="13" t="str">
        <f aca="false">IF(C3970=J3970,"NEW KONTRAK","RE-KONTRAK")</f>
        <v>RE-KONTRAK</v>
      </c>
      <c r="J3970" s="16" t="n">
        <f aca="false" t="array" ref="J3970:J3970">IFERROR(INDEX(AC3970:AE3970,IF(COUNTA(AC3970:AE3970)=0,"",MAX((AC3970:AE3970&lt;&gt;"")*(COLUMN(AC3970:AE3970)-(COLUMN(AC3970)))))-1),"")</f>
        <v>45744</v>
      </c>
      <c r="K3970" s="16" t="n">
        <f aca="false" t="array" ref="K3970:K3970">IFERROR(INDEX(AC3970:AE3970,IF(COUNTA(AC3970:AE3970)=0,"",MAX((AC3970:AE3970&lt;&gt;"")*(COLUMN(AC3970:AE3970)-(COLUMN(AC3970)-1))))-1),"")</f>
        <v>45915</v>
      </c>
      <c r="L3970" s="17" t="str">
        <f aca="false" t="array" ref="L3970:L3970">IFERROR(INDEX(AC3970:AE3970,IF(COUNTA(AC3970:AE3970)=0,"",MAX((AC3970:AE3970&lt;&gt;"")*(COLUMN(AC3970:AE3970)-(COLUMN(AC3970)-2))))-1),"")</f>
        <v>ARCHIVED</v>
      </c>
      <c r="M3970" s="13" t="n">
        <f aca="true">K3970-TODAY()</f>
        <v>-409</v>
      </c>
      <c r="N3970" s="18" t="s">
        <v>2363</v>
      </c>
      <c r="O3970" s="13" t="s">
        <v>2037</v>
      </c>
      <c r="P3970" s="19" t="n">
        <v>4335198</v>
      </c>
      <c r="Q3970" s="20" t="s">
        <v>16241</v>
      </c>
      <c r="R3970" s="13" t="s">
        <v>2363</v>
      </c>
      <c r="S3970" s="14" t="n">
        <v>34579</v>
      </c>
      <c r="T3970" s="13" t="s">
        <v>108</v>
      </c>
      <c r="U3970" s="13" t="s">
        <v>16242</v>
      </c>
      <c r="V3970" s="13" t="s">
        <v>42</v>
      </c>
      <c r="W3970" s="13" t="s">
        <v>43</v>
      </c>
      <c r="X3970" s="21" t="n">
        <v>85835116831</v>
      </c>
      <c r="Y3970" s="22" t="str">
        <f aca="false">O3970</f>
        <v>SPG/BA</v>
      </c>
      <c r="Z3970" s="13" t="str">
        <f aca="false">IFERROR(__xludf.dummyfunction("if(BJ3970="""","""",GOOGLETRANSLATE(BJ3970,""auto"",""en""))"),"SPG/BA")</f>
        <v>SPG/BA</v>
      </c>
      <c r="AA3970" s="23" t="str">
        <f aca="false">IF(C3970="","", CHOOSE(MONTH(C3970),"January","February","March","April","May","June","July","August","September","October","November","December")&amp;" "&amp;DAY(C3970)&amp;MID("thstndrdth",MIN(9,2*RIGHT(DAY(C3970))*(MOD(DAY(C3970)-11,100)&gt;2)+1),2)&amp;","&amp;TEXT(C3970," yyyy"))</f>
        <v>January 23rd,2024</v>
      </c>
      <c r="AB3970" s="15" t="str">
        <f aca="true">IF(S3970="","",DATEDIF(S3970,TODAY(),"Y")&amp;" Tahun, "&amp;DATEDIF(S3970,TODAY(),"YM")&amp;" Bulan, "&amp;DATEDIF(S3970,TODAY(),"MD")&amp;" Hari")</f>
        <v>32 Tahun, 1 Bulan, 27 Hari</v>
      </c>
      <c r="AC3970" s="18" t="n">
        <v>45744</v>
      </c>
      <c r="AD3970" s="18" t="n">
        <v>45915</v>
      </c>
      <c r="AE3970" s="18" t="s">
        <v>44</v>
      </c>
    </row>
    <row r="3971" customFormat="false" ht="15" hidden="false" customHeight="true" outlineLevel="0" collapsed="false">
      <c r="A3971" s="12" t="n">
        <v>22599</v>
      </c>
      <c r="B3971" s="45" t="s">
        <v>16243</v>
      </c>
      <c r="C3971" s="14" t="n">
        <v>46211</v>
      </c>
      <c r="D3971" s="13" t="s">
        <v>2033</v>
      </c>
      <c r="E3971" s="15" t="s">
        <v>102</v>
      </c>
      <c r="F3971" s="24" t="s">
        <v>16244</v>
      </c>
      <c r="G3971" s="13" t="s">
        <v>1452</v>
      </c>
      <c r="H3971" s="13" t="s">
        <v>35</v>
      </c>
      <c r="I3971" s="13" t="str">
        <f aca="false">IF(C3971=J3971,"NEW KONTRAK","RE-KONTRAK")</f>
        <v>NEW KONTRAK</v>
      </c>
      <c r="J3971" s="16" t="n">
        <f aca="false" t="array" ref="J3971:J3971">IFERROR(INDEX(AC3971:AE3971,IF(COUNTA(AC3971:AE3971)=0,"",MAX((AC3971:AE3971&lt;&gt;"")*(COLUMN(AC3971:AE3971)-(COLUMN(AC3971)))))-1),"")</f>
        <v>46211</v>
      </c>
      <c r="K3971" s="16" t="n">
        <f aca="false" t="array" ref="K3971:K3971">IFERROR(INDEX(AC3971:AE3971,IF(COUNTA(AC3971:AE3971)=0,"",MAX((AC3971:AE3971&lt;&gt;"")*(COLUMN(AC3971:AE3971)-(COLUMN(AC3971)-1))))-1),"")</f>
        <v>46302</v>
      </c>
      <c r="L3971" s="17" t="str">
        <f aca="false" t="array" ref="L3971:L3971">IFERROR(INDEX(AC3971:AE3971,IF(COUNTA(AC3971:AE3971)=0,"",MAX((AC3971:AE3971&lt;&gt;"")*(COLUMN(AC3971:AE3971)-(COLUMN(AC3971)-2))))-1),"")</f>
        <v>ARCHIVED</v>
      </c>
      <c r="M3971" s="13" t="n">
        <f aca="true">K3971-TODAY()</f>
        <v>-22</v>
      </c>
      <c r="N3971" s="13" t="s">
        <v>2587</v>
      </c>
      <c r="O3971" s="13" t="s">
        <v>5017</v>
      </c>
      <c r="P3971" s="26" t="n">
        <v>4036000</v>
      </c>
      <c r="Q3971" s="20" t="s">
        <v>16245</v>
      </c>
      <c r="R3971" s="13" t="s">
        <v>16246</v>
      </c>
      <c r="S3971" s="25" t="n">
        <v>37293</v>
      </c>
      <c r="T3971" s="13" t="s">
        <v>108</v>
      </c>
      <c r="U3971" s="17" t="s">
        <v>16247</v>
      </c>
      <c r="V3971" s="13" t="s">
        <v>42</v>
      </c>
      <c r="W3971" s="13" t="s">
        <v>54</v>
      </c>
      <c r="X3971" s="21" t="n">
        <v>85820765120</v>
      </c>
      <c r="Y3971" s="22" t="str">
        <f aca="false">O3971</f>
        <v>Sales</v>
      </c>
      <c r="Z3971" s="13" t="str">
        <f aca="false">IFERROR(__xludf.dummyfunction("if(BJ3971="""","""",GOOGLETRANSLATE(BJ3971,""auto"",""en""))"),"Sales")</f>
        <v>Sales</v>
      </c>
      <c r="AA3971" s="23" t="str">
        <f aca="false">IF(C3971="","", CHOOSE(MONTH(C3971),"January","February","March","April","May","June","July","August","September","October","November","December")&amp;" "&amp;DAY(C3971)&amp;MID("thstndrdth",MIN(9,2*RIGHT(DAY(C3971))*(MOD(DAY(C3971)-11,100)&gt;2)+1),2)&amp;","&amp;TEXT(C3971," yyyy"))</f>
        <v>July 8th,2026</v>
      </c>
      <c r="AB3971" s="15" t="str">
        <f aca="true">IF(S3971="","",DATEDIF(S3971,TODAY(),"Y")&amp;" Tahun, "&amp;DATEDIF(S3971,TODAY(),"YM")&amp;" Bulan, "&amp;DATEDIF(S3971,TODAY(),"MD")&amp;" Hari")</f>
        <v>24 Tahun, 8 Bulan, 23 Hari</v>
      </c>
      <c r="AC3971" s="14" t="n">
        <v>46211</v>
      </c>
      <c r="AD3971" s="18" t="n">
        <f aca="false">EDATE(AC3971,3)-1</f>
        <v>46302</v>
      </c>
      <c r="AE3971" s="65" t="s">
        <v>44</v>
      </c>
    </row>
    <row r="3972" customFormat="false" ht="15" hidden="false" customHeight="true" outlineLevel="0" collapsed="false">
      <c r="A3972" s="12" t="n">
        <v>22600</v>
      </c>
      <c r="B3972" s="45" t="s">
        <v>16248</v>
      </c>
      <c r="C3972" s="14" t="n">
        <v>46210</v>
      </c>
      <c r="D3972" s="13" t="s">
        <v>2033</v>
      </c>
      <c r="E3972" s="15" t="s">
        <v>102</v>
      </c>
      <c r="F3972" s="24" t="s">
        <v>16249</v>
      </c>
      <c r="G3972" s="13" t="s">
        <v>1452</v>
      </c>
      <c r="H3972" s="13" t="s">
        <v>35</v>
      </c>
      <c r="I3972" s="13" t="str">
        <f aca="false">IF(C3972=J3972,"NEW KONTRAK","RE-KONTRAK")</f>
        <v>NEW KONTRAK</v>
      </c>
      <c r="J3972" s="16" t="n">
        <f aca="false" t="array" ref="J3972:J3972">IFERROR(INDEX(AC3972:AE3972,IF(COUNTA(AC3972:AE3972)=0,"",MAX((AC3972:AE3972&lt;&gt;"")*(COLUMN(AC3972:AE3972)-(COLUMN(AC3972)))))-1),"")</f>
        <v>46210</v>
      </c>
      <c r="K3972" s="16" t="n">
        <f aca="false" t="array" ref="K3972:K3972">IFERROR(INDEX(AC3972:AE3972,IF(COUNTA(AC3972:AE3972)=0,"",MAX((AC3972:AE3972&lt;&gt;"")*(COLUMN(AC3972:AE3972)-(COLUMN(AC3972)-1))))-1),"")</f>
        <v>46301</v>
      </c>
      <c r="L3972" s="17" t="str">
        <f aca="false" t="array" ref="L3972:L3972">IFERROR(INDEX(AC3972:AE3972,IF(COUNTA(AC3972:AE3972)=0,"",MAX((AC3972:AE3972&lt;&gt;"")*(COLUMN(AC3972:AE3972)-(COLUMN(AC3972)-2))))-1),"")</f>
        <v>ARCHIVED</v>
      </c>
      <c r="M3972" s="13" t="n">
        <f aca="true">K3972-TODAY()</f>
        <v>-23</v>
      </c>
      <c r="N3972" s="13" t="s">
        <v>3902</v>
      </c>
      <c r="O3972" s="13" t="s">
        <v>2384</v>
      </c>
      <c r="P3972" s="26" t="n">
        <v>3491889</v>
      </c>
      <c r="Q3972" s="20" t="s">
        <v>16250</v>
      </c>
      <c r="R3972" s="13" t="s">
        <v>3904</v>
      </c>
      <c r="S3972" s="25" t="n">
        <v>37538</v>
      </c>
      <c r="T3972" s="13" t="s">
        <v>108</v>
      </c>
      <c r="U3972" s="17" t="s">
        <v>16251</v>
      </c>
      <c r="V3972" s="13" t="s">
        <v>42</v>
      </c>
      <c r="W3972" s="13" t="s">
        <v>43</v>
      </c>
      <c r="X3972" s="21" t="n">
        <v>82176855605</v>
      </c>
      <c r="Y3972" s="22" t="str">
        <f aca="false">O3972</f>
        <v>SPG</v>
      </c>
      <c r="Z3972" s="13" t="str">
        <f aca="false">IFERROR(__xludf.dummyfunction("if(BJ3972="""","""",GOOGLETRANSLATE(BJ3972,""auto"",""en""))"),"SPG")</f>
        <v>SPG</v>
      </c>
      <c r="AA3972" s="23" t="str">
        <f aca="false">IF(C3972="","", CHOOSE(MONTH(C3972),"January","February","March","April","May","June","July","August","September","October","November","December")&amp;" "&amp;DAY(C3972)&amp;MID("thstndrdth",MIN(9,2*RIGHT(DAY(C3972))*(MOD(DAY(C3972)-11,100)&gt;2)+1),2)&amp;","&amp;TEXT(C3972," yyyy"))</f>
        <v>July 7th,2026</v>
      </c>
      <c r="AB3972" s="15" t="str">
        <f aca="true">IF(S3972="","",DATEDIF(S3972,TODAY(),"Y")&amp;" Tahun, "&amp;DATEDIF(S3972,TODAY(),"YM")&amp;" Bulan, "&amp;DATEDIF(S3972,TODAY(),"MD")&amp;" Hari")</f>
        <v>24 Tahun, 0 Bulan, 20 Hari</v>
      </c>
      <c r="AC3972" s="14" t="n">
        <v>46210</v>
      </c>
      <c r="AD3972" s="18" t="n">
        <f aca="false">EDATE(AC3972,3)-1</f>
        <v>46301</v>
      </c>
      <c r="AE3972" s="65" t="s">
        <v>44</v>
      </c>
    </row>
    <row r="3973" customFormat="false" ht="15" hidden="false" customHeight="true" outlineLevel="0" collapsed="false">
      <c r="A3973" s="12" t="n">
        <v>22601</v>
      </c>
      <c r="B3973" s="45" t="s">
        <v>16252</v>
      </c>
      <c r="C3973" s="14" t="n">
        <v>46224</v>
      </c>
      <c r="D3973" s="13" t="s">
        <v>9043</v>
      </c>
      <c r="E3973" s="13" t="s">
        <v>47</v>
      </c>
      <c r="F3973" s="24" t="s">
        <v>16253</v>
      </c>
      <c r="G3973" s="13" t="s">
        <v>1452</v>
      </c>
      <c r="H3973" s="13" t="s">
        <v>35</v>
      </c>
      <c r="I3973" s="13" t="str">
        <f aca="false">IF(C3973=J3973,"NEW KONTRAK","RE-KONTRAK")</f>
        <v>NEW KONTRAK</v>
      </c>
      <c r="J3973" s="16" t="n">
        <f aca="false" t="array" ref="J3973:J3973">IFERROR(INDEX(AC3973:AE3973,IF(COUNTA(AC3973:AE3973)=0,"",MAX((AC3973:AE3973&lt;&gt;"")*(COLUMN(AC3973:AE3973)-(COLUMN(AC3973)))))-1),"")</f>
        <v>46224</v>
      </c>
      <c r="K3973" s="16" t="n">
        <f aca="false" t="array" ref="K3973:K3973">IFERROR(INDEX(AC3973:AE3973,IF(COUNTA(AC3973:AE3973)=0,"",MAX((AC3973:AE3973&lt;&gt;"")*(COLUMN(AC3973:AE3973)-(COLUMN(AC3973)-1))))-1),"")</f>
        <v>46497</v>
      </c>
      <c r="L3973" s="17" t="str">
        <f aca="false" t="array" ref="L3973:L3973">IFERROR(INDEX(AC3973:AE3973,IF(COUNTA(AC3973:AE3973)=0,"",MAX((AC3973:AE3973&lt;&gt;"")*(COLUMN(AC3973:AE3973)-(COLUMN(AC3973)-2))))-1),"")</f>
        <v>ARCHIVED</v>
      </c>
      <c r="M3973" s="13" t="n">
        <f aca="true">K3973-TODAY()</f>
        <v>173</v>
      </c>
      <c r="N3973" s="18" t="s">
        <v>4735</v>
      </c>
      <c r="O3973" s="13" t="s">
        <v>16254</v>
      </c>
      <c r="P3973" s="26" t="n">
        <v>3368275</v>
      </c>
      <c r="Q3973" s="20" t="s">
        <v>16255</v>
      </c>
      <c r="R3973" s="13" t="s">
        <v>246</v>
      </c>
      <c r="S3973" s="25" t="n">
        <v>32760</v>
      </c>
      <c r="T3973" s="13" t="s">
        <v>40</v>
      </c>
      <c r="U3973" s="13" t="s">
        <v>16256</v>
      </c>
      <c r="V3973" s="13" t="s">
        <v>42</v>
      </c>
      <c r="W3973" s="13" t="s">
        <v>54</v>
      </c>
      <c r="X3973" s="21" t="n">
        <v>81232769002</v>
      </c>
      <c r="Y3973" s="22" t="str">
        <f aca="false">O3973</f>
        <v>Kepala Gudang</v>
      </c>
      <c r="Z3973" s="13" t="str">
        <f aca="false">IFERROR(__xludf.dummyfunction("if(BJ3973="""","""",GOOGLETRANSLATE(BJ3973,""auto"",""en""))"),"Head of Warehouse")</f>
        <v>Head of Warehouse</v>
      </c>
      <c r="AA3973" s="23" t="str">
        <f aca="false">IF(C3973="","", CHOOSE(MONTH(C3973),"January","February","March","April","May","June","July","August","September","October","November","December")&amp;" "&amp;DAY(C3973)&amp;MID("thstndrdth",MIN(9,2*RIGHT(DAY(C3973))*(MOD(DAY(C3973)-11,100)&gt;2)+1),2)&amp;","&amp;TEXT(C3973," yyyy"))</f>
        <v>July 21st,2026</v>
      </c>
      <c r="AB3973" s="15" t="str">
        <f aca="true">IF(S3973="","",DATEDIF(S3973,TODAY(),"Y")&amp;" Tahun, "&amp;DATEDIF(S3973,TODAY(),"YM")&amp;" Bulan, "&amp;DATEDIF(S3973,TODAY(),"MD")&amp;" Hari")</f>
        <v>37 Tahun, 1 Bulan, 20 Hari</v>
      </c>
      <c r="AC3973" s="14" t="n">
        <v>46224</v>
      </c>
      <c r="AD3973" s="18" t="n">
        <v>46497</v>
      </c>
      <c r="AE3973" s="65" t="s">
        <v>44</v>
      </c>
    </row>
    <row r="3974" customFormat="false" ht="15" hidden="false" customHeight="true" outlineLevel="0" collapsed="false">
      <c r="A3974" s="12" t="n">
        <v>22602</v>
      </c>
      <c r="B3974" s="13" t="s">
        <v>16257</v>
      </c>
      <c r="C3974" s="14" t="n">
        <v>46234</v>
      </c>
      <c r="D3974" s="13" t="s">
        <v>16258</v>
      </c>
      <c r="E3974" s="13" t="s">
        <v>16259</v>
      </c>
      <c r="F3974" s="24" t="s">
        <v>16260</v>
      </c>
      <c r="G3974" s="13" t="s">
        <v>1452</v>
      </c>
      <c r="H3974" s="13" t="s">
        <v>35</v>
      </c>
      <c r="I3974" s="13" t="str">
        <f aca="false">IF(C3974=J3974,"NEW KONTRAK","RE-KONTRAK")</f>
        <v>RE-KONTRAK</v>
      </c>
      <c r="J3974" s="16" t="n">
        <f aca="false" t="array" ref="J3974:J3974">IFERROR(INDEX(AC3974:AE3974,IF(COUNTA(AC3974:AE3974)=0,"",MAX((AC3974:AE3974&lt;&gt;"")*(COLUMN(AC3974:AE3974)-(COLUMN(AC3974)))))-1),"")</f>
        <v>46235</v>
      </c>
      <c r="K3974" s="16" t="n">
        <f aca="false" t="array" ref="K3974:K3974">IFERROR(INDEX(AC3974:AE3974,IF(COUNTA(AC3974:AE3974)=0,"",MAX((AC3974:AE3974&lt;&gt;"")*(COLUMN(AC3974:AE3974)-(COLUMN(AC3974)-1))))-1),"")</f>
        <v>46326</v>
      </c>
      <c r="L3974" s="17" t="str">
        <f aca="false" t="array" ref="L3974:L3974">IFERROR(INDEX(AC3974:AE3974,IF(COUNTA(AC3974:AE3974)=0,"",MAX((AC3974:AE3974&lt;&gt;"")*(COLUMN(AC3974:AE3974)-(COLUMN(AC3974)-2))))-1),"")</f>
        <v>PENDING</v>
      </c>
      <c r="M3974" s="13" t="n">
        <f aca="true">K3974-TODAY()</f>
        <v>2</v>
      </c>
      <c r="N3974" s="13" t="s">
        <v>16261</v>
      </c>
      <c r="O3974" s="13" t="s">
        <v>5017</v>
      </c>
      <c r="P3974" s="26" t="n">
        <v>3843037.66</v>
      </c>
      <c r="Q3974" s="20" t="s">
        <v>16262</v>
      </c>
      <c r="R3974" s="13" t="s">
        <v>16263</v>
      </c>
      <c r="S3974" s="25" t="n">
        <v>34569</v>
      </c>
      <c r="T3974" s="13" t="s">
        <v>40</v>
      </c>
      <c r="U3974" s="17" t="s">
        <v>16264</v>
      </c>
      <c r="V3974" s="13" t="s">
        <v>42</v>
      </c>
      <c r="W3974" s="13" t="s">
        <v>54</v>
      </c>
      <c r="X3974" s="21" t="n">
        <v>81348071875</v>
      </c>
      <c r="Y3974" s="22" t="str">
        <f aca="false">O3974</f>
        <v>Sales</v>
      </c>
      <c r="Z3974" s="13" t="str">
        <f aca="false">IFERROR(__xludf.dummyfunction("if(BJ3974="""","""",GOOGLETRANSLATE(BJ3974,""auto"",""en""))"),"Sales")</f>
        <v>Sales</v>
      </c>
      <c r="AA3974" s="23" t="str">
        <f aca="false">IF(C3974="","", CHOOSE(MONTH(C3974),"January","February","March","April","May","June","July","August","September","October","November","December")&amp;" "&amp;DAY(C3974)&amp;MID("thstndrdth",MIN(9,2*RIGHT(DAY(C3974))*(MOD(DAY(C3974)-11,100)&gt;2)+1),2)&amp;","&amp;TEXT(C3974," yyyy"))</f>
        <v>July 31st,2026</v>
      </c>
      <c r="AB3974" s="15" t="str">
        <f aca="true">IF(S3974="","",DATEDIF(S3974,TODAY(),"Y")&amp;" Tahun, "&amp;DATEDIF(S3974,TODAY(),"YM")&amp;" Bulan, "&amp;DATEDIF(S3974,TODAY(),"MD")&amp;" Hari")</f>
        <v>32 Tahun, 2 Bulan, 6 Hari</v>
      </c>
      <c r="AC3974" s="14" t="n">
        <v>46235</v>
      </c>
      <c r="AD3974" s="18" t="n">
        <f aca="false">EDATE(AC3974,3)-1</f>
        <v>46326</v>
      </c>
      <c r="AE3974" s="13" t="s">
        <v>16259</v>
      </c>
    </row>
    <row r="3975" customFormat="false" ht="15" hidden="false" customHeight="true" outlineLevel="0" collapsed="false">
      <c r="A3975" s="12" t="n">
        <v>22603</v>
      </c>
      <c r="B3975" s="13" t="s">
        <v>16265</v>
      </c>
      <c r="C3975" s="14" t="n">
        <v>46234</v>
      </c>
      <c r="D3975" s="13" t="s">
        <v>16258</v>
      </c>
      <c r="E3975" s="13" t="s">
        <v>16259</v>
      </c>
      <c r="F3975" s="24" t="s">
        <v>16266</v>
      </c>
      <c r="G3975" s="13" t="s">
        <v>1452</v>
      </c>
      <c r="H3975" s="13" t="s">
        <v>35</v>
      </c>
      <c r="I3975" s="13" t="str">
        <f aca="false">IF(C3975=J3975,"NEW KONTRAK","RE-KONTRAK")</f>
        <v>RE-KONTRAK</v>
      </c>
      <c r="J3975" s="16" t="n">
        <f aca="false" t="array" ref="J3975:J3975">IFERROR(INDEX(AC3975:AE3975,IF(COUNTA(AC3975:AE3975)=0,"",MAX((AC3975:AE3975&lt;&gt;"")*(COLUMN(AC3975:AE3975)-(COLUMN(AC3975)))))-1),"")</f>
        <v>46235</v>
      </c>
      <c r="K3975" s="16" t="n">
        <f aca="false" t="array" ref="K3975:K3975">IFERROR(INDEX(AC3975:AE3975,IF(COUNTA(AC3975:AE3975)=0,"",MAX((AC3975:AE3975&lt;&gt;"")*(COLUMN(AC3975:AE3975)-(COLUMN(AC3975)-1))))-1),"")</f>
        <v>46326</v>
      </c>
      <c r="L3975" s="17" t="str">
        <f aca="false" t="array" ref="L3975:L3975">IFERROR(INDEX(AC3975:AE3975,IF(COUNTA(AC3975:AE3975)=0,"",MAX((AC3975:AE3975&lt;&gt;"")*(COLUMN(AC3975:AE3975)-(COLUMN(AC3975)-2))))-1),"")</f>
        <v>PENDING</v>
      </c>
      <c r="M3975" s="13" t="n">
        <f aca="true">K3975-TODAY()</f>
        <v>2</v>
      </c>
      <c r="N3975" s="13" t="s">
        <v>16261</v>
      </c>
      <c r="O3975" s="13" t="s">
        <v>5017</v>
      </c>
      <c r="P3975" s="26" t="n">
        <v>3843037.66</v>
      </c>
      <c r="Q3975" s="20" t="s">
        <v>16267</v>
      </c>
      <c r="R3975" s="13" t="s">
        <v>2587</v>
      </c>
      <c r="S3975" s="25" t="n">
        <v>29777</v>
      </c>
      <c r="T3975" s="13" t="s">
        <v>40</v>
      </c>
      <c r="U3975" s="17" t="s">
        <v>16268</v>
      </c>
      <c r="V3975" s="13" t="s">
        <v>42</v>
      </c>
      <c r="W3975" s="13" t="s">
        <v>54</v>
      </c>
      <c r="X3975" s="21" t="n">
        <v>82159619345</v>
      </c>
      <c r="Y3975" s="22" t="str">
        <f aca="false">O3975</f>
        <v>Sales</v>
      </c>
      <c r="Z3975" s="13" t="str">
        <f aca="false">IFERROR(__xludf.dummyfunction("if(BJ3975="""","""",GOOGLETRANSLATE(BJ3975,""auto"",""en""))"),"Sales")</f>
        <v>Sales</v>
      </c>
      <c r="AA3975" s="23" t="str">
        <f aca="false">IF(C3975="","", CHOOSE(MONTH(C3975),"January","February","March","April","May","June","July","August","September","October","November","December")&amp;" "&amp;DAY(C3975)&amp;MID("thstndrdth",MIN(9,2*RIGHT(DAY(C3975))*(MOD(DAY(C3975)-11,100)&gt;2)+1),2)&amp;","&amp;TEXT(C3975," yyyy"))</f>
        <v>July 31st,2026</v>
      </c>
      <c r="AB3975" s="15" t="str">
        <f aca="true">IF(S3975="","",DATEDIF(S3975,TODAY(),"Y")&amp;" Tahun, "&amp;DATEDIF(S3975,TODAY(),"YM")&amp;" Bulan, "&amp;DATEDIF(S3975,TODAY(),"MD")&amp;" Hari")</f>
        <v>45 Tahun, 3 Bulan, 19 Hari</v>
      </c>
      <c r="AC3975" s="14" t="n">
        <v>46235</v>
      </c>
      <c r="AD3975" s="18" t="n">
        <f aca="false">EDATE(AC3975,3)-1</f>
        <v>46326</v>
      </c>
      <c r="AE3975" s="13" t="s">
        <v>16259</v>
      </c>
    </row>
    <row r="3976" customFormat="false" ht="15" hidden="false" customHeight="true" outlineLevel="0" collapsed="false">
      <c r="A3976" s="12" t="n">
        <v>22604</v>
      </c>
      <c r="B3976" s="13" t="s">
        <v>16269</v>
      </c>
      <c r="C3976" s="14" t="n">
        <v>46234</v>
      </c>
      <c r="D3976" s="13" t="s">
        <v>16258</v>
      </c>
      <c r="E3976" s="13" t="s">
        <v>47</v>
      </c>
      <c r="F3976" s="24" t="s">
        <v>16270</v>
      </c>
      <c r="G3976" s="13" t="s">
        <v>1452</v>
      </c>
      <c r="H3976" s="13" t="s">
        <v>35</v>
      </c>
      <c r="I3976" s="13" t="str">
        <f aca="false">IF(C3976=J3976,"NEW KONTRAK","RE-KONTRAK")</f>
        <v>RE-KONTRAK</v>
      </c>
      <c r="J3976" s="16" t="n">
        <f aca="false" t="array" ref="J3976:J3976">IFERROR(INDEX(AC3976:AE3976,IF(COUNTA(AC3976:AE3976)=0,"",MAX((AC3976:AE3976&lt;&gt;"")*(COLUMN(AC3976:AE3976)-(COLUMN(AC3976)))))-1),"")</f>
        <v>46235</v>
      </c>
      <c r="K3976" s="16" t="n">
        <f aca="false" t="array" ref="K3976:K3976">IFERROR(INDEX(AC3976:AE3976,IF(COUNTA(AC3976:AE3976)=0,"",MAX((AC3976:AE3976&lt;&gt;"")*(COLUMN(AC3976:AE3976)-(COLUMN(AC3976)-1))))-1),"")</f>
        <v>46326</v>
      </c>
      <c r="L3976" s="17" t="str">
        <f aca="false" t="array" ref="L3976:L3976">IFERROR(INDEX(AC3976:AE3976,IF(COUNTA(AC3976:AE3976)=0,"",MAX((AC3976:AE3976&lt;&gt;"")*(COLUMN(AC3976:AE3976)-(COLUMN(AC3976)-2))))-1),"")</f>
        <v>KEMBALI</v>
      </c>
      <c r="M3976" s="13" t="n">
        <f aca="true">K3976-TODAY()</f>
        <v>2</v>
      </c>
      <c r="N3976" s="13" t="s">
        <v>16261</v>
      </c>
      <c r="O3976" s="13" t="s">
        <v>5017</v>
      </c>
      <c r="P3976" s="26" t="n">
        <v>3843037.66</v>
      </c>
      <c r="Q3976" s="20" t="s">
        <v>16271</v>
      </c>
      <c r="R3976" s="13" t="s">
        <v>15424</v>
      </c>
      <c r="S3976" s="25" t="n">
        <v>34315</v>
      </c>
      <c r="T3976" s="13" t="s">
        <v>40</v>
      </c>
      <c r="U3976" s="17" t="s">
        <v>16272</v>
      </c>
      <c r="V3976" s="13" t="s">
        <v>42</v>
      </c>
      <c r="W3976" s="13" t="s">
        <v>54</v>
      </c>
      <c r="X3976" s="21" t="n">
        <v>85220442877</v>
      </c>
      <c r="Y3976" s="22" t="str">
        <f aca="false">O3976</f>
        <v>Sales</v>
      </c>
      <c r="Z3976" s="13" t="str">
        <f aca="false">IFERROR(__xludf.dummyfunction("if(BJ3976="""","""",GOOGLETRANSLATE(BJ3976,""auto"",""en""))"),"Sales")</f>
        <v>Sales</v>
      </c>
      <c r="AA3976" s="23" t="str">
        <f aca="false">IF(C3976="","", CHOOSE(MONTH(C3976),"January","February","March","April","May","June","July","August","September","October","November","December")&amp;" "&amp;DAY(C3976)&amp;MID("thstndrdth",MIN(9,2*RIGHT(DAY(C3976))*(MOD(DAY(C3976)-11,100)&gt;2)+1),2)&amp;","&amp;TEXT(C3976," yyyy"))</f>
        <v>July 31st,2026</v>
      </c>
      <c r="AB3976" s="15" t="str">
        <f aca="true">IF(S3976="","",DATEDIF(S3976,TODAY(),"Y")&amp;" Tahun, "&amp;DATEDIF(S3976,TODAY(),"YM")&amp;" Bulan, "&amp;DATEDIF(S3976,TODAY(),"MD")&amp;" Hari")</f>
        <v>32 Tahun, 10 Bulan, 17 Hari</v>
      </c>
      <c r="AC3976" s="14" t="n">
        <v>46235</v>
      </c>
      <c r="AD3976" s="18" t="n">
        <f aca="false">EDATE(AC3976,3)-1</f>
        <v>46326</v>
      </c>
      <c r="AE3976" s="13" t="s">
        <v>397</v>
      </c>
    </row>
    <row r="3977" customFormat="false" ht="15" hidden="false" customHeight="true" outlineLevel="0" collapsed="false">
      <c r="A3977" s="12" t="n">
        <v>22605</v>
      </c>
      <c r="B3977" s="45" t="s">
        <v>16273</v>
      </c>
      <c r="C3977" s="14" t="n">
        <v>46234</v>
      </c>
      <c r="D3977" s="13" t="s">
        <v>16258</v>
      </c>
      <c r="E3977" s="13" t="s">
        <v>47</v>
      </c>
      <c r="F3977" s="24" t="s">
        <v>16274</v>
      </c>
      <c r="G3977" s="13" t="s">
        <v>1452</v>
      </c>
      <c r="H3977" s="13" t="s">
        <v>35</v>
      </c>
      <c r="I3977" s="13" t="str">
        <f aca="false">IF(C3977=J3977,"NEW KONTRAK","RE-KONTRAK")</f>
        <v>RE-KONTRAK</v>
      </c>
      <c r="J3977" s="16" t="n">
        <f aca="false" t="array" ref="J3977:J3977">IFERROR(INDEX(AC3977:AE3977,IF(COUNTA(AC3977:AE3977)=0,"",MAX((AC3977:AE3977&lt;&gt;"")*(COLUMN(AC3977:AE3977)-(COLUMN(AC3977)))))-1),"")</f>
        <v>46235</v>
      </c>
      <c r="K3977" s="16" t="n">
        <f aca="false" t="array" ref="K3977:K3977">IFERROR(INDEX(AC3977:AE3977,IF(COUNTA(AC3977:AE3977)=0,"",MAX((AC3977:AE3977&lt;&gt;"")*(COLUMN(AC3977:AE3977)-(COLUMN(AC3977)-1))))-1),"")</f>
        <v>46326</v>
      </c>
      <c r="L3977" s="17" t="str">
        <f aca="false" t="array" ref="L3977:L3977">IFERROR(INDEX(AC3977:AE3977,IF(COUNTA(AC3977:AE3977)=0,"",MAX((AC3977:AE3977&lt;&gt;"")*(COLUMN(AC3977:AE3977)-(COLUMN(AC3977)-2))))-1),"")</f>
        <v>KEMBALI</v>
      </c>
      <c r="M3977" s="13" t="n">
        <f aca="true">K3977-TODAY()</f>
        <v>2</v>
      </c>
      <c r="N3977" s="13" t="s">
        <v>16261</v>
      </c>
      <c r="O3977" s="13" t="s">
        <v>5017</v>
      </c>
      <c r="P3977" s="26" t="n">
        <v>3843037.66</v>
      </c>
      <c r="Q3977" s="20" t="s">
        <v>16275</v>
      </c>
      <c r="R3977" s="13" t="s">
        <v>16276</v>
      </c>
      <c r="S3977" s="25" t="n">
        <v>33248</v>
      </c>
      <c r="T3977" s="13" t="s">
        <v>40</v>
      </c>
      <c r="U3977" s="17" t="s">
        <v>16277</v>
      </c>
      <c r="V3977" s="13" t="s">
        <v>42</v>
      </c>
      <c r="W3977" s="13" t="s">
        <v>54</v>
      </c>
      <c r="X3977" s="21" t="n">
        <v>85161027353</v>
      </c>
      <c r="Y3977" s="22" t="str">
        <f aca="false">O3977</f>
        <v>Sales</v>
      </c>
      <c r="Z3977" s="13" t="str">
        <f aca="false">IFERROR(__xludf.dummyfunction("if(BJ3977="""","""",GOOGLETRANSLATE(BJ3977,""auto"",""en""))"),"Sales")</f>
        <v>Sales</v>
      </c>
      <c r="AA3977" s="23" t="str">
        <f aca="false">IF(C3977="","", CHOOSE(MONTH(C3977),"January","February","March","April","May","June","July","August","September","October","November","December")&amp;" "&amp;DAY(C3977)&amp;MID("thstndrdth",MIN(9,2*RIGHT(DAY(C3977))*(MOD(DAY(C3977)-11,100)&gt;2)+1),2)&amp;","&amp;TEXT(C3977," yyyy"))</f>
        <v>July 31st,2026</v>
      </c>
      <c r="AB3977" s="15" t="str">
        <f aca="true">IF(S3977="","",DATEDIF(S3977,TODAY(),"Y")&amp;" Tahun, "&amp;DATEDIF(S3977,TODAY(),"YM")&amp;" Bulan, "&amp;DATEDIF(S3977,TODAY(),"MD")&amp;" Hari")</f>
        <v>35 Tahun, 9 Bulan, 19 Hari</v>
      </c>
      <c r="AC3977" s="14" t="n">
        <v>46235</v>
      </c>
      <c r="AD3977" s="18" t="n">
        <f aca="false">EDATE(AC3977,3)-1</f>
        <v>46326</v>
      </c>
      <c r="AE3977" s="13" t="s">
        <v>397</v>
      </c>
    </row>
    <row r="3978" customFormat="false" ht="15" hidden="false" customHeight="true" outlineLevel="0" collapsed="false">
      <c r="A3978" s="12" t="n">
        <v>22606</v>
      </c>
      <c r="B3978" s="45" t="s">
        <v>16278</v>
      </c>
      <c r="C3978" s="14" t="n">
        <v>46234</v>
      </c>
      <c r="D3978" s="13" t="s">
        <v>16258</v>
      </c>
      <c r="E3978" s="13" t="s">
        <v>47</v>
      </c>
      <c r="F3978" s="24" t="s">
        <v>16279</v>
      </c>
      <c r="G3978" s="13" t="s">
        <v>1452</v>
      </c>
      <c r="H3978" s="13" t="s">
        <v>35</v>
      </c>
      <c r="I3978" s="13" t="str">
        <f aca="false">IF(C3978=J3978,"NEW KONTRAK","RE-KONTRAK")</f>
        <v>RE-KONTRAK</v>
      </c>
      <c r="J3978" s="16" t="n">
        <f aca="false" t="array" ref="J3978:J3978">IFERROR(INDEX(AC3978:AE3978,IF(COUNTA(AC3978:AE3978)=0,"",MAX((AC3978:AE3978&lt;&gt;"")*(COLUMN(AC3978:AE3978)-(COLUMN(AC3978)))))-1),"")</f>
        <v>46235</v>
      </c>
      <c r="K3978" s="16" t="n">
        <f aca="false" t="array" ref="K3978:K3978">IFERROR(INDEX(AC3978:AE3978,IF(COUNTA(AC3978:AE3978)=0,"",MAX((AC3978:AE3978&lt;&gt;"")*(COLUMN(AC3978:AE3978)-(COLUMN(AC3978)-1))))-1),"")</f>
        <v>46326</v>
      </c>
      <c r="L3978" s="17" t="str">
        <f aca="false" t="array" ref="L3978:L3978">IFERROR(INDEX(AC3978:AE3978,IF(COUNTA(AC3978:AE3978)=0,"",MAX((AC3978:AE3978&lt;&gt;"")*(COLUMN(AC3978:AE3978)-(COLUMN(AC3978)-2))))-1),"")</f>
        <v>KEMBALI</v>
      </c>
      <c r="M3978" s="13" t="n">
        <f aca="true">K3978-TODAY()</f>
        <v>2</v>
      </c>
      <c r="N3978" s="13" t="s">
        <v>16261</v>
      </c>
      <c r="O3978" s="13" t="s">
        <v>5017</v>
      </c>
      <c r="P3978" s="26" t="n">
        <v>3843037.66</v>
      </c>
      <c r="Q3978" s="20" t="s">
        <v>16280</v>
      </c>
      <c r="R3978" s="13" t="s">
        <v>16281</v>
      </c>
      <c r="S3978" s="25" t="n">
        <v>26093</v>
      </c>
      <c r="T3978" s="13" t="s">
        <v>40</v>
      </c>
      <c r="U3978" s="17" t="s">
        <v>16282</v>
      </c>
      <c r="V3978" s="13" t="s">
        <v>42</v>
      </c>
      <c r="W3978" s="13" t="s">
        <v>54</v>
      </c>
      <c r="X3978" s="21" t="n">
        <v>85247746769</v>
      </c>
      <c r="Y3978" s="22" t="str">
        <f aca="false">O3978</f>
        <v>Sales</v>
      </c>
      <c r="Z3978" s="13" t="str">
        <f aca="false">IFERROR(__xludf.dummyfunction("if(BJ3978="""","""",GOOGLETRANSLATE(BJ3978,""auto"",""en""))"),"Sales")</f>
        <v>Sales</v>
      </c>
      <c r="AA3978" s="23" t="str">
        <f aca="false">IF(C3978="","", CHOOSE(MONTH(C3978),"January","February","March","April","May","June","July","August","September","October","November","December")&amp;" "&amp;DAY(C3978)&amp;MID("thstndrdth",MIN(9,2*RIGHT(DAY(C3978))*(MOD(DAY(C3978)-11,100)&gt;2)+1),2)&amp;","&amp;TEXT(C3978," yyyy"))</f>
        <v>July 31st,2026</v>
      </c>
      <c r="AB3978" s="15" t="str">
        <f aca="true">IF(S3978="","",DATEDIF(S3978,TODAY(),"Y")&amp;" Tahun, "&amp;DATEDIF(S3978,TODAY(),"YM")&amp;" Bulan, "&amp;DATEDIF(S3978,TODAY(),"MD")&amp;" Hari")</f>
        <v>55 Tahun, 4 Bulan, 20 Hari</v>
      </c>
      <c r="AC3978" s="14" t="n">
        <v>46235</v>
      </c>
      <c r="AD3978" s="18" t="n">
        <f aca="false">EDATE(AC3978,3)-1</f>
        <v>46326</v>
      </c>
      <c r="AE3978" s="13" t="s">
        <v>397</v>
      </c>
    </row>
    <row r="3979" customFormat="false" ht="15" hidden="false" customHeight="true" outlineLevel="0" collapsed="false">
      <c r="A3979" s="12" t="n">
        <v>22607</v>
      </c>
      <c r="B3979" s="45" t="s">
        <v>16283</v>
      </c>
      <c r="C3979" s="14" t="n">
        <v>46234</v>
      </c>
      <c r="D3979" s="13" t="s">
        <v>16258</v>
      </c>
      <c r="E3979" s="13" t="s">
        <v>47</v>
      </c>
      <c r="F3979" s="24" t="s">
        <v>16284</v>
      </c>
      <c r="G3979" s="13" t="s">
        <v>1452</v>
      </c>
      <c r="H3979" s="13" t="s">
        <v>35</v>
      </c>
      <c r="I3979" s="13" t="str">
        <f aca="false">IF(C3979=J3979,"NEW KONTRAK","RE-KONTRAK")</f>
        <v>RE-KONTRAK</v>
      </c>
      <c r="J3979" s="16" t="n">
        <f aca="false" t="array" ref="J3979:J3979">IFERROR(INDEX(AC3979:AE3979,IF(COUNTA(AC3979:AE3979)=0,"",MAX((AC3979:AE3979&lt;&gt;"")*(COLUMN(AC3979:AE3979)-(COLUMN(AC3979)))))-1),"")</f>
        <v>46235</v>
      </c>
      <c r="K3979" s="16" t="n">
        <f aca="false" t="array" ref="K3979:K3979">IFERROR(INDEX(AC3979:AE3979,IF(COUNTA(AC3979:AE3979)=0,"",MAX((AC3979:AE3979&lt;&gt;"")*(COLUMN(AC3979:AE3979)-(COLUMN(AC3979)-1))))-1),"")</f>
        <v>46326</v>
      </c>
      <c r="L3979" s="17" t="str">
        <f aca="false" t="array" ref="L3979:L3979">IFERROR(INDEX(AC3979:AE3979,IF(COUNTA(AC3979:AE3979)=0,"",MAX((AC3979:AE3979&lt;&gt;"")*(COLUMN(AC3979:AE3979)-(COLUMN(AC3979)-2))))-1),"")</f>
        <v>KEMBALI</v>
      </c>
      <c r="M3979" s="13" t="n">
        <f aca="true">K3979-TODAY()</f>
        <v>2</v>
      </c>
      <c r="N3979" s="13" t="s">
        <v>16261</v>
      </c>
      <c r="O3979" s="13" t="s">
        <v>5017</v>
      </c>
      <c r="P3979" s="26" t="n">
        <v>3843037.66</v>
      </c>
      <c r="Q3979" s="20" t="s">
        <v>16285</v>
      </c>
      <c r="R3979" s="13" t="s">
        <v>16286</v>
      </c>
      <c r="S3979" s="25" t="n">
        <v>34550</v>
      </c>
      <c r="T3979" s="13" t="s">
        <v>108</v>
      </c>
      <c r="U3979" s="17" t="s">
        <v>16287</v>
      </c>
      <c r="V3979" s="13" t="s">
        <v>42</v>
      </c>
      <c r="W3979" s="13" t="s">
        <v>54</v>
      </c>
      <c r="X3979" s="21" t="n">
        <v>82354833364</v>
      </c>
      <c r="Y3979" s="22" t="str">
        <f aca="false">O3979</f>
        <v>Sales</v>
      </c>
      <c r="Z3979" s="13" t="str">
        <f aca="false">IFERROR(__xludf.dummyfunction("if(BJ3979="""","""",GOOGLETRANSLATE(BJ3979,""auto"",""en""))"),"Sales")</f>
        <v>Sales</v>
      </c>
      <c r="AA3979" s="23" t="str">
        <f aca="false">IF(C3979="","", CHOOSE(MONTH(C3979),"January","February","March","April","May","June","July","August","September","October","November","December")&amp;" "&amp;DAY(C3979)&amp;MID("thstndrdth",MIN(9,2*RIGHT(DAY(C3979))*(MOD(DAY(C3979)-11,100)&gt;2)+1),2)&amp;","&amp;TEXT(C3979," yyyy"))</f>
        <v>July 31st,2026</v>
      </c>
      <c r="AB3979" s="15" t="str">
        <f aca="true">IF(S3979="","",DATEDIF(S3979,TODAY(),"Y")&amp;" Tahun, "&amp;DATEDIF(S3979,TODAY(),"YM")&amp;" Bulan, "&amp;DATEDIF(S3979,TODAY(),"MD")&amp;" Hari")</f>
        <v>32 Tahun, 2 Bulan, 25 Hari</v>
      </c>
      <c r="AC3979" s="14" t="n">
        <v>46235</v>
      </c>
      <c r="AD3979" s="18" t="n">
        <f aca="false">EDATE(AC3979,3)-1</f>
        <v>46326</v>
      </c>
      <c r="AE3979" s="13" t="s">
        <v>397</v>
      </c>
    </row>
    <row r="3980" customFormat="false" ht="15" hidden="false" customHeight="true" outlineLevel="0" collapsed="false">
      <c r="A3980" s="12" t="n">
        <v>22608</v>
      </c>
      <c r="B3980" s="45" t="s">
        <v>16288</v>
      </c>
      <c r="C3980" s="14" t="n">
        <v>46234</v>
      </c>
      <c r="D3980" s="13" t="s">
        <v>16258</v>
      </c>
      <c r="E3980" s="13" t="s">
        <v>47</v>
      </c>
      <c r="F3980" s="24" t="s">
        <v>16289</v>
      </c>
      <c r="G3980" s="13" t="s">
        <v>1452</v>
      </c>
      <c r="H3980" s="13" t="s">
        <v>35</v>
      </c>
      <c r="I3980" s="13" t="str">
        <f aca="false">IF(C3980=J3980,"NEW KONTRAK","RE-KONTRAK")</f>
        <v>RE-KONTRAK</v>
      </c>
      <c r="J3980" s="16" t="n">
        <f aca="false" t="array" ref="J3980:J3980">IFERROR(INDEX(AC3980:AE3980,IF(COUNTA(AC3980:AE3980)=0,"",MAX((AC3980:AE3980&lt;&gt;"")*(COLUMN(AC3980:AE3980)-(COLUMN(AC3980)))))-1),"")</f>
        <v>46235</v>
      </c>
      <c r="K3980" s="16" t="n">
        <f aca="false" t="array" ref="K3980:K3980">IFERROR(INDEX(AC3980:AE3980,IF(COUNTA(AC3980:AE3980)=0,"",MAX((AC3980:AE3980&lt;&gt;"")*(COLUMN(AC3980:AE3980)-(COLUMN(AC3980)-1))))-1),"")</f>
        <v>46326</v>
      </c>
      <c r="L3980" s="17" t="str">
        <f aca="false" t="array" ref="L3980:L3980">IFERROR(INDEX(AC3980:AE3980,IF(COUNTA(AC3980:AE3980)=0,"",MAX((AC3980:AE3980&lt;&gt;"")*(COLUMN(AC3980:AE3980)-(COLUMN(AC3980)-2))))-1),"")</f>
        <v>ARCHIVED</v>
      </c>
      <c r="M3980" s="13" t="n">
        <f aca="true">K3980-TODAY()</f>
        <v>2</v>
      </c>
      <c r="N3980" s="13" t="s">
        <v>16261</v>
      </c>
      <c r="O3980" s="13" t="s">
        <v>5017</v>
      </c>
      <c r="P3980" s="26" t="n">
        <v>3843037.66</v>
      </c>
      <c r="Q3980" s="20" t="s">
        <v>16290</v>
      </c>
      <c r="R3980" s="13" t="s">
        <v>2587</v>
      </c>
      <c r="S3980" s="25" t="n">
        <v>36858</v>
      </c>
      <c r="T3980" s="13" t="s">
        <v>40</v>
      </c>
      <c r="U3980" s="17" t="s">
        <v>16291</v>
      </c>
      <c r="V3980" s="13" t="s">
        <v>42</v>
      </c>
      <c r="W3980" s="13" t="s">
        <v>43</v>
      </c>
      <c r="X3980" s="21" t="n">
        <v>89693043368</v>
      </c>
      <c r="Y3980" s="22" t="str">
        <f aca="false">O3980</f>
        <v>Sales</v>
      </c>
      <c r="Z3980" s="13" t="str">
        <f aca="false">IFERROR(__xludf.dummyfunction("if(BJ3980="""","""",GOOGLETRANSLATE(BJ3980,""auto"",""en""))"),"Sales")</f>
        <v>Sales</v>
      </c>
      <c r="AA3980" s="23" t="str">
        <f aca="false">IF(C3980="","", CHOOSE(MONTH(C3980),"January","February","March","April","May","June","July","August","September","October","November","December")&amp;" "&amp;DAY(C3980)&amp;MID("thstndrdth",MIN(9,2*RIGHT(DAY(C3980))*(MOD(DAY(C3980)-11,100)&gt;2)+1),2)&amp;","&amp;TEXT(C3980," yyyy"))</f>
        <v>July 31st,2026</v>
      </c>
      <c r="AB3980" s="15" t="str">
        <f aca="true">IF(S3980="","",DATEDIF(S3980,TODAY(),"Y")&amp;" Tahun, "&amp;DATEDIF(S3980,TODAY(),"YM")&amp;" Bulan, "&amp;DATEDIF(S3980,TODAY(),"MD")&amp;" Hari")</f>
        <v>25 Tahun, 11 Bulan, 1 Hari</v>
      </c>
      <c r="AC3980" s="14" t="n">
        <v>46235</v>
      </c>
      <c r="AD3980" s="18" t="n">
        <f aca="false">EDATE(AC3980,3)-1</f>
        <v>46326</v>
      </c>
      <c r="AE3980" s="13" t="s">
        <v>44</v>
      </c>
    </row>
    <row r="3981" customFormat="false" ht="15" hidden="false" customHeight="true" outlineLevel="0" collapsed="false">
      <c r="A3981" s="12" t="n">
        <v>22609</v>
      </c>
      <c r="B3981" s="13" t="s">
        <v>16292</v>
      </c>
      <c r="C3981" s="14" t="n">
        <v>46234</v>
      </c>
      <c r="D3981" s="13" t="s">
        <v>16258</v>
      </c>
      <c r="E3981" s="13" t="s">
        <v>14439</v>
      </c>
      <c r="F3981" s="24" t="s">
        <v>16293</v>
      </c>
      <c r="G3981" s="13" t="s">
        <v>1452</v>
      </c>
      <c r="H3981" s="13" t="s">
        <v>35</v>
      </c>
      <c r="I3981" s="13" t="str">
        <f aca="false">IF(C3981=J3981,"NEW KONTRAK","RE-KONTRAK")</f>
        <v>RE-KONTRAK</v>
      </c>
      <c r="J3981" s="16" t="n">
        <f aca="false" t="array" ref="J3981:J3981">IFERROR(INDEX(AC3981:AE3981,IF(COUNTA(AC3981:AE3981)=0,"",MAX((AC3981:AE3981&lt;&gt;"")*(COLUMN(AC3981:AE3981)-(COLUMN(AC3981)))))-1),"")</f>
        <v>46235</v>
      </c>
      <c r="K3981" s="16" t="n">
        <f aca="false" t="array" ref="K3981:K3981">IFERROR(INDEX(AC3981:AE3981,IF(COUNTA(AC3981:AE3981)=0,"",MAX((AC3981:AE3981&lt;&gt;"")*(COLUMN(AC3981:AE3981)-(COLUMN(AC3981)-1))))-1),"")</f>
        <v>46326</v>
      </c>
      <c r="L3981" s="17" t="str">
        <f aca="false" t="array" ref="L3981:L3981">IFERROR(INDEX(AC3981:AE3981,IF(COUNTA(AC3981:AE3981)=0,"",MAX((AC3981:AE3981&lt;&gt;"")*(COLUMN(AC3981:AE3981)-(COLUMN(AC3981)-2))))-1),"")</f>
        <v>CANCEL</v>
      </c>
      <c r="M3981" s="13" t="n">
        <f aca="true">K3981-TODAY()</f>
        <v>2</v>
      </c>
      <c r="N3981" s="13" t="s">
        <v>16261</v>
      </c>
      <c r="O3981" s="13" t="s">
        <v>5017</v>
      </c>
      <c r="P3981" s="26" t="n">
        <v>3843037.66</v>
      </c>
      <c r="Q3981" s="20" t="s">
        <v>16294</v>
      </c>
      <c r="R3981" s="13" t="s">
        <v>16246</v>
      </c>
      <c r="S3981" s="25" t="n">
        <v>35005</v>
      </c>
      <c r="T3981" s="13" t="s">
        <v>108</v>
      </c>
      <c r="U3981" s="17" t="s">
        <v>16295</v>
      </c>
      <c r="V3981" s="13" t="s">
        <v>42</v>
      </c>
      <c r="W3981" s="13" t="s">
        <v>54</v>
      </c>
      <c r="X3981" s="21" t="n">
        <v>82241428501</v>
      </c>
      <c r="Y3981" s="22" t="str">
        <f aca="false">O3981</f>
        <v>Sales</v>
      </c>
      <c r="Z3981" s="13" t="str">
        <f aca="false">IFERROR(__xludf.dummyfunction("if(BJ3981="""","""",GOOGLETRANSLATE(BJ3981,""auto"",""en""))"),"Sales")</f>
        <v>Sales</v>
      </c>
      <c r="AA3981" s="23" t="str">
        <f aca="false">IF(C3981="","", CHOOSE(MONTH(C3981),"January","February","March","April","May","June","July","August","September","October","November","December")&amp;" "&amp;DAY(C3981)&amp;MID("thstndrdth",MIN(9,2*RIGHT(DAY(C3981))*(MOD(DAY(C3981)-11,100)&gt;2)+1),2)&amp;","&amp;TEXT(C3981," yyyy"))</f>
        <v>July 31st,2026</v>
      </c>
      <c r="AB3981" s="15" t="str">
        <f aca="true">IF(S3981="","",DATEDIF(S3981,TODAY(),"Y")&amp;" Tahun, "&amp;DATEDIF(S3981,TODAY(),"YM")&amp;" Bulan, "&amp;DATEDIF(S3981,TODAY(),"MD")&amp;" Hari")</f>
        <v>30 Tahun, 11 Bulan, 27 Hari</v>
      </c>
      <c r="AC3981" s="14" t="n">
        <v>46235</v>
      </c>
      <c r="AD3981" s="18" t="n">
        <f aca="false">EDATE(AC3981,3)-1</f>
        <v>46326</v>
      </c>
      <c r="AE3981" s="13" t="s">
        <v>15637</v>
      </c>
    </row>
    <row r="3982" customFormat="false" ht="15" hidden="false" customHeight="true" outlineLevel="0" collapsed="false">
      <c r="A3982" s="12" t="n">
        <v>22610</v>
      </c>
      <c r="B3982" s="13" t="s">
        <v>16296</v>
      </c>
      <c r="C3982" s="14" t="n">
        <v>46234</v>
      </c>
      <c r="D3982" s="13" t="s">
        <v>16258</v>
      </c>
      <c r="E3982" s="13" t="s">
        <v>47</v>
      </c>
      <c r="F3982" s="24" t="s">
        <v>16297</v>
      </c>
      <c r="G3982" s="13" t="s">
        <v>1452</v>
      </c>
      <c r="H3982" s="13" t="s">
        <v>35</v>
      </c>
      <c r="I3982" s="13" t="str">
        <f aca="false">IF(C3982=J3982,"NEW KONTRAK","RE-KONTRAK")</f>
        <v>RE-KONTRAK</v>
      </c>
      <c r="J3982" s="16" t="n">
        <f aca="false" t="array" ref="J3982:J3982">IFERROR(INDEX(AC3982:AE3982,IF(COUNTA(AC3982:AE3982)=0,"",MAX((AC3982:AE3982&lt;&gt;"")*(COLUMN(AC3982:AE3982)-(COLUMN(AC3982)))))-1),"")</f>
        <v>46235</v>
      </c>
      <c r="K3982" s="16" t="n">
        <f aca="false" t="array" ref="K3982:K3982">IFERROR(INDEX(AC3982:AE3982,IF(COUNTA(AC3982:AE3982)=0,"",MAX((AC3982:AE3982&lt;&gt;"")*(COLUMN(AC3982:AE3982)-(COLUMN(AC3982)-1))))-1),"")</f>
        <v>46326</v>
      </c>
      <c r="L3982" s="17" t="str">
        <f aca="false" t="array" ref="L3982:L3982">IFERROR(INDEX(AC3982:AE3982,IF(COUNTA(AC3982:AE3982)=0,"",MAX((AC3982:AE3982&lt;&gt;"")*(COLUMN(AC3982:AE3982)-(COLUMN(AC3982)-2))))-1),"")</f>
        <v>KEMBALI</v>
      </c>
      <c r="M3982" s="13" t="n">
        <f aca="true">K3982-TODAY()</f>
        <v>2</v>
      </c>
      <c r="N3982" s="13" t="s">
        <v>16261</v>
      </c>
      <c r="O3982" s="13" t="s">
        <v>5017</v>
      </c>
      <c r="P3982" s="26" t="n">
        <v>3843037.66</v>
      </c>
      <c r="Q3982" s="20" t="s">
        <v>16298</v>
      </c>
      <c r="R3982" s="13" t="s">
        <v>2587</v>
      </c>
      <c r="S3982" s="25" t="n">
        <v>37624</v>
      </c>
      <c r="T3982" s="13" t="s">
        <v>108</v>
      </c>
      <c r="U3982" s="17" t="s">
        <v>16299</v>
      </c>
      <c r="V3982" s="13" t="s">
        <v>99</v>
      </c>
      <c r="W3982" s="13" t="s">
        <v>43</v>
      </c>
      <c r="X3982" s="21" t="n">
        <v>81351316140</v>
      </c>
      <c r="Y3982" s="22" t="str">
        <f aca="false">O3982</f>
        <v>Sales</v>
      </c>
      <c r="Z3982" s="13" t="str">
        <f aca="false">IFERROR(__xludf.dummyfunction("if(BJ3982="""","""",GOOGLETRANSLATE(BJ3982,""auto"",""en""))"),"Sales")</f>
        <v>Sales</v>
      </c>
      <c r="AA3982" s="23" t="str">
        <f aca="false">IF(C3982="","", CHOOSE(MONTH(C3982),"January","February","March","April","May","June","July","August","September","October","November","December")&amp;" "&amp;DAY(C3982)&amp;MID("thstndrdth",MIN(9,2*RIGHT(DAY(C3982))*(MOD(DAY(C3982)-11,100)&gt;2)+1),2)&amp;","&amp;TEXT(C3982," yyyy"))</f>
        <v>July 31st,2026</v>
      </c>
      <c r="AB3982" s="15" t="str">
        <f aca="true">IF(S3982="","",DATEDIF(S3982,TODAY(),"Y")&amp;" Tahun, "&amp;DATEDIF(S3982,TODAY(),"YM")&amp;" Bulan, "&amp;DATEDIF(S3982,TODAY(),"MD")&amp;" Hari")</f>
        <v>23 Tahun, 9 Bulan, 26 Hari</v>
      </c>
      <c r="AC3982" s="14" t="n">
        <v>46235</v>
      </c>
      <c r="AD3982" s="18" t="n">
        <f aca="false">EDATE(AC3982,3)-1</f>
        <v>46326</v>
      </c>
      <c r="AE3982" s="13" t="s">
        <v>397</v>
      </c>
    </row>
    <row r="3983" customFormat="false" ht="15" hidden="false" customHeight="true" outlineLevel="0" collapsed="false">
      <c r="A3983" s="12" t="n">
        <v>22611</v>
      </c>
      <c r="B3983" s="45" t="s">
        <v>16300</v>
      </c>
      <c r="C3983" s="14" t="n">
        <v>46234</v>
      </c>
      <c r="D3983" s="13" t="s">
        <v>16258</v>
      </c>
      <c r="E3983" s="13" t="s">
        <v>47</v>
      </c>
      <c r="F3983" s="24" t="s">
        <v>16301</v>
      </c>
      <c r="G3983" s="13" t="s">
        <v>1452</v>
      </c>
      <c r="H3983" s="13" t="s">
        <v>35</v>
      </c>
      <c r="I3983" s="13" t="str">
        <f aca="false">IF(C3983=J3983,"NEW KONTRAK","RE-KONTRAK")</f>
        <v>RE-KONTRAK</v>
      </c>
      <c r="J3983" s="16" t="n">
        <f aca="false" t="array" ref="J3983:J3983">IFERROR(INDEX(AC3983:AE3983,IF(COUNTA(AC3983:AE3983)=0,"",MAX((AC3983:AE3983&lt;&gt;"")*(COLUMN(AC3983:AE3983)-(COLUMN(AC3983)))))-1),"")</f>
        <v>46235</v>
      </c>
      <c r="K3983" s="16" t="n">
        <f aca="false" t="array" ref="K3983:K3983">IFERROR(INDEX(AC3983:AE3983,IF(COUNTA(AC3983:AE3983)=0,"",MAX((AC3983:AE3983&lt;&gt;"")*(COLUMN(AC3983:AE3983)-(COLUMN(AC3983)-1))))-1),"")</f>
        <v>46326</v>
      </c>
      <c r="L3983" s="17" t="str">
        <f aca="false" t="array" ref="L3983:L3983">IFERROR(INDEX(AC3983:AE3983,IF(COUNTA(AC3983:AE3983)=0,"",MAX((AC3983:AE3983&lt;&gt;"")*(COLUMN(AC3983:AE3983)-(COLUMN(AC3983)-2))))-1),"")</f>
        <v>KEMBALI</v>
      </c>
      <c r="M3983" s="13" t="n">
        <f aca="true">K3983-TODAY()</f>
        <v>2</v>
      </c>
      <c r="N3983" s="13" t="s">
        <v>16261</v>
      </c>
      <c r="O3983" s="13" t="s">
        <v>5017</v>
      </c>
      <c r="P3983" s="26" t="n">
        <v>3843037.66</v>
      </c>
      <c r="Q3983" s="20" t="s">
        <v>16302</v>
      </c>
      <c r="R3983" s="13" t="s">
        <v>3897</v>
      </c>
      <c r="S3983" s="25" t="n">
        <v>35192</v>
      </c>
      <c r="T3983" s="13" t="s">
        <v>40</v>
      </c>
      <c r="U3983" s="17" t="s">
        <v>16303</v>
      </c>
      <c r="V3983" s="13" t="s">
        <v>42</v>
      </c>
      <c r="W3983" s="13" t="s">
        <v>54</v>
      </c>
      <c r="X3983" s="21" t="n">
        <v>83181686808</v>
      </c>
      <c r="Y3983" s="22" t="str">
        <f aca="false">O3983</f>
        <v>Sales</v>
      </c>
      <c r="Z3983" s="13" t="str">
        <f aca="false">IFERROR(__xludf.dummyfunction("if(BJ3983="""","""",GOOGLETRANSLATE(BJ3983,""auto"",""en""))"),"Sales")</f>
        <v>Sales</v>
      </c>
      <c r="AA3983" s="23" t="str">
        <f aca="false">IF(C3983="","", CHOOSE(MONTH(C3983),"January","February","March","April","May","June","July","August","September","October","November","December")&amp;" "&amp;DAY(C3983)&amp;MID("thstndrdth",MIN(9,2*RIGHT(DAY(C3983))*(MOD(DAY(C3983)-11,100)&gt;2)+1),2)&amp;","&amp;TEXT(C3983," yyyy"))</f>
        <v>July 31st,2026</v>
      </c>
      <c r="AB3983" s="15" t="str">
        <f aca="true">IF(S3983="","",DATEDIF(S3983,TODAY(),"Y")&amp;" Tahun, "&amp;DATEDIF(S3983,TODAY(),"YM")&amp;" Bulan, "&amp;DATEDIF(S3983,TODAY(),"MD")&amp;" Hari")</f>
        <v>30 Tahun, 5 Bulan, 22 Hari</v>
      </c>
      <c r="AC3983" s="14" t="n">
        <v>46235</v>
      </c>
      <c r="AD3983" s="18" t="n">
        <f aca="false">EDATE(AC3983,3)-1</f>
        <v>46326</v>
      </c>
      <c r="AE3983" s="13" t="s">
        <v>397</v>
      </c>
    </row>
    <row r="3984" customFormat="false" ht="15" hidden="false" customHeight="true" outlineLevel="0" collapsed="false">
      <c r="A3984" s="12" t="n">
        <v>22612</v>
      </c>
      <c r="B3984" s="13" t="s">
        <v>16304</v>
      </c>
      <c r="C3984" s="14" t="n">
        <v>46224</v>
      </c>
      <c r="D3984" s="13" t="s">
        <v>12814</v>
      </c>
      <c r="E3984" s="13" t="s">
        <v>102</v>
      </c>
      <c r="F3984" s="24" t="s">
        <v>16305</v>
      </c>
      <c r="G3984" s="13" t="s">
        <v>1452</v>
      </c>
      <c r="H3984" s="13" t="s">
        <v>35</v>
      </c>
      <c r="I3984" s="13" t="str">
        <f aca="false">IF(C3984=J3984,"NEW KONTRAK","RE-KONTRAK")</f>
        <v>NEW KONTRAK</v>
      </c>
      <c r="J3984" s="16" t="n">
        <f aca="false" t="array" ref="J3984:J3984">IFERROR(INDEX(AC3984:AE3984,IF(COUNTA(AC3984:AE3984)=0,"",MAX((AC3984:AE3984&lt;&gt;"")*(COLUMN(AC3984:AE3984)-(COLUMN(AC3984)))))-1),"")</f>
        <v>46224</v>
      </c>
      <c r="K3984" s="16" t="n">
        <f aca="false" t="array" ref="K3984:K3984">IFERROR(INDEX(AC3984:AE3984,IF(COUNTA(AC3984:AE3984)=0,"",MAX((AC3984:AE3984&lt;&gt;"")*(COLUMN(AC3984:AE3984)-(COLUMN(AC3984)-1))))-1),"")</f>
        <v>46315</v>
      </c>
      <c r="L3984" s="17" t="str">
        <f aca="false" t="array" ref="L3984:L3984">IFERROR(INDEX(AC3984:AE3984,IF(COUNTA(AC3984:AE3984)=0,"",MAX((AC3984:AE3984&lt;&gt;"")*(COLUMN(AC3984:AE3984)-(COLUMN(AC3984)-2))))-1),"")</f>
        <v>ARCHIVED</v>
      </c>
      <c r="M3984" s="13" t="n">
        <f aca="true">K3984-TODAY()</f>
        <v>-9</v>
      </c>
      <c r="N3984" s="18" t="s">
        <v>36</v>
      </c>
      <c r="O3984" s="13" t="s">
        <v>12815</v>
      </c>
      <c r="P3984" s="19" t="n">
        <v>5195401</v>
      </c>
      <c r="Q3984" s="20" t="s">
        <v>16306</v>
      </c>
      <c r="R3984" s="13" t="s">
        <v>65</v>
      </c>
      <c r="S3984" s="25" t="n">
        <v>36617</v>
      </c>
      <c r="T3984" s="15" t="s">
        <v>40</v>
      </c>
      <c r="U3984" s="17" t="s">
        <v>16307</v>
      </c>
      <c r="V3984" s="13" t="s">
        <v>42</v>
      </c>
      <c r="W3984" s="13" t="s">
        <v>43</v>
      </c>
      <c r="X3984" s="47" t="s">
        <v>16308</v>
      </c>
      <c r="Y3984" s="22" t="str">
        <f aca="false">O3984</f>
        <v>Cook Helper</v>
      </c>
      <c r="Z3984" s="13" t="str">
        <f aca="false">IFERROR(__xludf.dummyfunction("if(BJ3984="""","""",GOOGLETRANSLATE(BJ3984,""auto"",""en""))"),"Cook Helper")</f>
        <v>Cook Helper</v>
      </c>
      <c r="AA3984" s="23" t="str">
        <f aca="false">IF(C3984="","", CHOOSE(MONTH(C3984),"January","February","March","April","May","June","July","August","September","October","November","December")&amp;" "&amp;DAY(C3984)&amp;MID("thstndrdth",MIN(9,2*RIGHT(DAY(C3984))*(MOD(DAY(C3984)-11,100)&gt;2)+1),2)&amp;","&amp;TEXT(C3984," yyyy"))</f>
        <v>July 21st,2026</v>
      </c>
      <c r="AB3984" s="15" t="str">
        <f aca="true">IF(S3984="","",DATEDIF(S3984,TODAY(),"Y")&amp;" Tahun, "&amp;DATEDIF(S3984,TODAY(),"YM")&amp;" Bulan, "&amp;DATEDIF(S3984,TODAY(),"MD")&amp;" Hari")</f>
        <v>26 Tahun, 6 Bulan, 28 Hari</v>
      </c>
      <c r="AC3984" s="14" t="n">
        <v>46224</v>
      </c>
      <c r="AD3984" s="18" t="n">
        <f aca="false">EDATE(AC3984,3)-1</f>
        <v>46315</v>
      </c>
      <c r="AE3984" s="13" t="s">
        <v>44</v>
      </c>
    </row>
    <row r="3985" customFormat="false" ht="15" hidden="false" customHeight="true" outlineLevel="0" collapsed="false">
      <c r="A3985" s="12" t="n">
        <v>20280</v>
      </c>
      <c r="B3985" s="13" t="s">
        <v>16309</v>
      </c>
      <c r="C3985" s="16" t="n">
        <v>45839</v>
      </c>
      <c r="D3985" s="13" t="s">
        <v>2033</v>
      </c>
      <c r="E3985" s="15" t="s">
        <v>47</v>
      </c>
      <c r="F3985" s="15" t="str">
        <f aca="false">IFERROR(__xludf.dummyfunction("XLOOKUP(AJ3985,IMPORTRANGE(""1XaInW9DU9nz21V0tYIfzFQ0He9kVQ_JF2mCXgZ3hqFA"",""REKAP ALL 2026 - Andika!G:G""),IMPORTRANGE(""1XaInW9DU9nz21V0tYIfzFQ0He9kVQ_JF2mCXgZ3hqFA"",""REKAP ALL 2026 - Andika!F:F""),"""",0)"),"25115948041")</f>
        <v>25115948041</v>
      </c>
      <c r="G3985" s="13" t="s">
        <v>16310</v>
      </c>
      <c r="H3985" s="13" t="s">
        <v>2035</v>
      </c>
      <c r="I3985" s="13" t="str">
        <f aca="false">IF(C3985=J3985,"NEW KONTRAK","RE-KONTRAK")</f>
        <v>NEW KONTRAK</v>
      </c>
      <c r="J3985" s="16" t="n">
        <f aca="false" t="array" ref="J3985:J3985">IFERROR(INDEX(AC3985:AE3985,IF(COUNTA(AC3985:AE3985)=0,"",MAX((AC3985:AE3985&lt;&gt;"")*(COLUMN(AC3985:AE3985)-(COLUMN(AC3985)))))-1),"")</f>
        <v>45839</v>
      </c>
      <c r="K3985" s="16" t="n">
        <f aca="false" t="array" ref="K3985:K3985">IFERROR(INDEX(AC3985:AE3985,IF(COUNTA(AC3985:AE3985)=0,"",MAX((AC3985:AE3985&lt;&gt;"")*(COLUMN(AC3985:AE3985)-(COLUMN(AC3985)-1))))-1),"")</f>
        <v>45914</v>
      </c>
      <c r="L3985" s="17" t="str">
        <f aca="false" t="array" ref="L3985:L3985">IFERROR(INDEX(AC3985:AE3985,IF(COUNTA(AC3985:AE3985)=0,"",MAX((AC3985:AE3985&lt;&gt;"")*(COLUMN(AC3985:AE3985)-(COLUMN(AC3985)-2))))-1),"")</f>
        <v>ARCHIVED</v>
      </c>
      <c r="M3985" s="13" t="n">
        <f aca="true">K3985-TODAY()</f>
        <v>-410</v>
      </c>
      <c r="N3985" s="68" t="s">
        <v>3520</v>
      </c>
      <c r="O3985" s="13" t="s">
        <v>2037</v>
      </c>
      <c r="P3985" s="19" t="n">
        <v>3856694</v>
      </c>
      <c r="Q3985" s="20" t="s">
        <v>16311</v>
      </c>
      <c r="R3985" s="13" t="s">
        <v>3520</v>
      </c>
      <c r="S3985" s="16" t="n">
        <v>38328</v>
      </c>
      <c r="T3985" s="13" t="s">
        <v>108</v>
      </c>
      <c r="U3985" s="13" t="s">
        <v>16312</v>
      </c>
      <c r="V3985" s="13" t="s">
        <v>42</v>
      </c>
      <c r="W3985" s="13" t="s">
        <v>43</v>
      </c>
      <c r="X3985" s="21" t="n">
        <v>85299992452</v>
      </c>
      <c r="Y3985" s="22" t="str">
        <f aca="false">O3985</f>
        <v>SPG/BA</v>
      </c>
      <c r="Z3985" s="13" t="str">
        <f aca="false">IFERROR(__xludf.dummyfunction("if(BJ3985="""","""",GOOGLETRANSLATE(BJ3985,""auto"",""en""))"),"SPG/BA")</f>
        <v>SPG/BA</v>
      </c>
      <c r="AA3985" s="23" t="str">
        <f aca="false">IF(C3985="","", CHOOSE(MONTH(C3985),"January","February","March","April","May","June","July","August","September","October","November","December")&amp;" "&amp;DAY(C3985)&amp;MID("thstndrdth",MIN(9,2*RIGHT(DAY(C3985))*(MOD(DAY(C3985)-11,100)&gt;2)+1),2)&amp;","&amp;TEXT(C3985," yyyy"))</f>
        <v>July 1st,2025</v>
      </c>
      <c r="AB3985" s="15" t="str">
        <f aca="true">IF(S3985="","",DATEDIF(S3985,TODAY(),"Y")&amp;" Tahun, "&amp;DATEDIF(S3985,TODAY(),"YM")&amp;" Bulan, "&amp;DATEDIF(S3985,TODAY(),"MD")&amp;" Hari")</f>
        <v>21 Tahun, 10 Bulan, 22 Hari</v>
      </c>
      <c r="AC3985" s="18" t="n">
        <v>45839</v>
      </c>
      <c r="AD3985" s="18" t="n">
        <v>45914</v>
      </c>
      <c r="AE3985" s="18" t="s">
        <v>44</v>
      </c>
    </row>
    <row r="3986" customFormat="false" ht="15" hidden="false" customHeight="true" outlineLevel="0" collapsed="false">
      <c r="A3986" s="12" t="n">
        <v>5170</v>
      </c>
      <c r="B3986" s="13" t="s">
        <v>16313</v>
      </c>
      <c r="C3986" s="14" t="n">
        <v>44586</v>
      </c>
      <c r="D3986" s="13" t="s">
        <v>1721</v>
      </c>
      <c r="E3986" s="15" t="s">
        <v>47</v>
      </c>
      <c r="F3986" s="15" t="str">
        <f aca="false">IFERROR(__xludf.dummyfunction("XLOOKUP(AJ3986,IMPORTRANGE(""1XaInW9DU9nz21V0tYIfzFQ0He9kVQ_JF2mCXgZ3hqFA"",""REKAP ALL 2026 - Andika!G:G""),IMPORTRANGE(""1XaInW9DU9nz21V0tYIfzFQ0He9kVQ_JF2mCXgZ3hqFA"",""REKAP ALL 2026 - Andika!F:F""),"""",0)"),"22024900718")</f>
        <v>22024900718</v>
      </c>
      <c r="G3986" s="13" t="s">
        <v>16314</v>
      </c>
      <c r="H3986" s="13" t="s">
        <v>35</v>
      </c>
      <c r="I3986" s="13" t="str">
        <f aca="false">IF(C3986=J3986,"NEW KONTRAK","RE-KONTRAK")</f>
        <v>RE-KONTRAK</v>
      </c>
      <c r="J3986" s="16" t="n">
        <f aca="false" t="array" ref="J3986:J3986">IFERROR(INDEX(AC3986:AE3986,IF(COUNTA(AC3986:AE3986)=0,"",MAX((AC3986:AE3986&lt;&gt;"")*(COLUMN(AC3986:AE3986)-(COLUMN(AC3986)))))-1),"")</f>
        <v>45659</v>
      </c>
      <c r="K3986" s="16" t="n">
        <f aca="false" t="array" ref="K3986:K3986">IFERROR(INDEX(AC3986:AE3986,IF(COUNTA(AC3986:AE3986)=0,"",MAX((AC3986:AE3986&lt;&gt;"")*(COLUMN(AC3986:AE3986)-(COLUMN(AC3986)-1))))-1),"")</f>
        <v>46015</v>
      </c>
      <c r="L3986" s="17" t="str">
        <f aca="false" t="array" ref="L3986:L3986">IFERROR(INDEX(AC3986:AE3986,IF(COUNTA(AC3986:AE3986)=0,"",MAX((AC3986:AE3986&lt;&gt;"")*(COLUMN(AC3986:AE3986)-(COLUMN(AC3986)-2))))-1),"")</f>
        <v>ARCHIVED</v>
      </c>
      <c r="M3986" s="13" t="n">
        <f aca="true">K3986-TODAY()</f>
        <v>-309</v>
      </c>
      <c r="N3986" s="18" t="s">
        <v>728</v>
      </c>
      <c r="O3986" s="13" t="s">
        <v>1914</v>
      </c>
      <c r="P3986" s="19" t="n">
        <v>5444909</v>
      </c>
      <c r="Q3986" s="20" t="s">
        <v>16315</v>
      </c>
      <c r="R3986" s="13" t="s">
        <v>83</v>
      </c>
      <c r="S3986" s="14" t="n">
        <v>37750</v>
      </c>
      <c r="T3986" s="13" t="s">
        <v>108</v>
      </c>
      <c r="U3986" s="13" t="s">
        <v>16316</v>
      </c>
      <c r="V3986" s="13" t="s">
        <v>42</v>
      </c>
      <c r="W3986" s="28" t="s">
        <v>43</v>
      </c>
      <c r="X3986" s="21" t="n">
        <v>83856368322</v>
      </c>
      <c r="Y3986" s="22" t="str">
        <f aca="false">O3986</f>
        <v>Im Operator</v>
      </c>
      <c r="Z3986" s="13" t="str">
        <f aca="false">IFERROR(__xludf.dummyfunction("if(BJ3986="""","""",GOOGLETRANSLATE(BJ3986,""auto"",""en""))"),"Im Operator")</f>
        <v>Im Operator</v>
      </c>
      <c r="AA3986" s="23" t="str">
        <f aca="false">IF(C3986="","", CHOOSE(MONTH(C3986),"January","February","March","April","May","June","July","August","September","October","November","December")&amp;" "&amp;DAY(C3986)&amp;MID("thstndrdth",MIN(9,2*RIGHT(DAY(C3986))*(MOD(DAY(C3986)-11,100)&gt;2)+1),2)&amp;","&amp;TEXT(C3986," yyyy"))</f>
        <v>January 25th,2022</v>
      </c>
      <c r="AB3986" s="15" t="str">
        <f aca="true">IF(S3986="","",DATEDIF(S3986,TODAY(),"Y")&amp;" Tahun, "&amp;DATEDIF(S3986,TODAY(),"YM")&amp;" Bulan, "&amp;DATEDIF(S3986,TODAY(),"MD")&amp;" Hari")</f>
        <v>23 Tahun, 5 Bulan, 20 Hari</v>
      </c>
      <c r="AC3986" s="18" t="n">
        <v>45659</v>
      </c>
      <c r="AD3986" s="18" t="n">
        <v>46015</v>
      </c>
      <c r="AE3986" s="18" t="s">
        <v>44</v>
      </c>
    </row>
    <row r="3987" customFormat="false" ht="15" hidden="false" customHeight="true" outlineLevel="0" collapsed="false">
      <c r="A3987" s="12" t="n">
        <v>22615</v>
      </c>
      <c r="B3987" s="45" t="s">
        <v>16317</v>
      </c>
      <c r="C3987" s="14" t="n">
        <v>46230</v>
      </c>
      <c r="D3987" s="13" t="s">
        <v>144</v>
      </c>
      <c r="E3987" s="13" t="s">
        <v>47</v>
      </c>
      <c r="F3987" s="24" t="s">
        <v>16318</v>
      </c>
      <c r="G3987" s="13" t="s">
        <v>1452</v>
      </c>
      <c r="H3987" s="13" t="s">
        <v>35</v>
      </c>
      <c r="I3987" s="13" t="str">
        <f aca="false">IF(C3987=J3987,"NEW KONTRAK","RE-KONTRAK")</f>
        <v>NEW KONTRAK</v>
      </c>
      <c r="J3987" s="16" t="n">
        <f aca="false" t="array" ref="J3987:J3987">IFERROR(INDEX(AC3987:AE3987,IF(COUNTA(AC3987:AE3987)=0,"",MAX((AC3987:AE3987&lt;&gt;"")*(COLUMN(AC3987:AE3987)-(COLUMN(AC3987)))))-1),"")</f>
        <v>46230</v>
      </c>
      <c r="K3987" s="16" t="n">
        <f aca="false" t="array" ref="K3987:K3987">IFERROR(INDEX(AC3987:AE3987,IF(COUNTA(AC3987:AE3987)=0,"",MAX((AC3987:AE3987&lt;&gt;"")*(COLUMN(AC3987:AE3987)-(COLUMN(AC3987)-1))))-1),"")</f>
        <v>46321</v>
      </c>
      <c r="L3987" s="17" t="str">
        <f aca="false" t="array" ref="L3987:L3987">IFERROR(INDEX(AC3987:AE3987,IF(COUNTA(AC3987:AE3987)=0,"",MAX((AC3987:AE3987&lt;&gt;"")*(COLUMN(AC3987:AE3987)-(COLUMN(AC3987)-2))))-1),"")</f>
        <v>KEMBALI</v>
      </c>
      <c r="M3987" s="13" t="n">
        <f aca="true">K3987-TODAY()</f>
        <v>-3</v>
      </c>
      <c r="N3987" s="18" t="s">
        <v>36</v>
      </c>
      <c r="O3987" s="13" t="s">
        <v>16319</v>
      </c>
      <c r="P3987" s="26" t="n">
        <v>5195401</v>
      </c>
      <c r="Q3987" s="20" t="s">
        <v>16320</v>
      </c>
      <c r="R3987" s="13" t="s">
        <v>52</v>
      </c>
      <c r="S3987" s="25" t="n">
        <v>37758</v>
      </c>
      <c r="T3987" s="13" t="s">
        <v>108</v>
      </c>
      <c r="U3987" s="13" t="s">
        <v>16321</v>
      </c>
      <c r="V3987" s="13" t="s">
        <v>42</v>
      </c>
      <c r="W3987" s="13" t="s">
        <v>43</v>
      </c>
      <c r="X3987" s="47" t="s">
        <v>16322</v>
      </c>
      <c r="Y3987" s="22" t="str">
        <f aca="false">O3987</f>
        <v>ADMIN HSE</v>
      </c>
      <c r="Z3987" s="13" t="str">
        <f aca="false">IFERROR(__xludf.dummyfunction("if(BJ3987="""","""",GOOGLETRANSLATE(BJ3987,""auto"",""en""))"),"ADMIN HSE")</f>
        <v>ADMIN HSE</v>
      </c>
      <c r="AA3987" s="23" t="str">
        <f aca="false">IF(C3987="","", CHOOSE(MONTH(C3987),"January","February","March","April","May","June","July","August","September","October","November","December")&amp;" "&amp;DAY(C3987)&amp;MID("thstndrdth",MIN(9,2*RIGHT(DAY(C3987))*(MOD(DAY(C3987)-11,100)&gt;2)+1),2)&amp;","&amp;TEXT(C3987," yyyy"))</f>
        <v>July 27th,2026</v>
      </c>
      <c r="AB3987" s="15" t="str">
        <f aca="true">IF(S3987="","",DATEDIF(S3987,TODAY(),"Y")&amp;" Tahun, "&amp;DATEDIF(S3987,TODAY(),"YM")&amp;" Bulan, "&amp;DATEDIF(S3987,TODAY(),"MD")&amp;" Hari")</f>
        <v>23 Tahun, 5 Bulan, 12 Hari</v>
      </c>
      <c r="AC3987" s="14" t="n">
        <v>46230</v>
      </c>
      <c r="AD3987" s="18" t="n">
        <f aca="false">EDATE(AC3987,3)-1</f>
        <v>46321</v>
      </c>
      <c r="AE3987" s="13" t="s">
        <v>397</v>
      </c>
    </row>
    <row r="3988" customFormat="false" ht="15" hidden="false" customHeight="true" outlineLevel="0" collapsed="false">
      <c r="A3988" s="12" t="n">
        <v>22616</v>
      </c>
      <c r="B3988" s="45" t="s">
        <v>16323</v>
      </c>
      <c r="C3988" s="14" t="n">
        <v>46230</v>
      </c>
      <c r="D3988" s="13" t="s">
        <v>6638</v>
      </c>
      <c r="E3988" s="13" t="s">
        <v>1742</v>
      </c>
      <c r="F3988" s="24" t="s">
        <v>16324</v>
      </c>
      <c r="G3988" s="13" t="s">
        <v>1452</v>
      </c>
      <c r="H3988" s="13" t="s">
        <v>35</v>
      </c>
      <c r="I3988" s="13" t="str">
        <f aca="false">IF(C3988=J3988,"NEW KONTRAK","RE-KONTRAK")</f>
        <v>NEW KONTRAK</v>
      </c>
      <c r="J3988" s="16" t="n">
        <f aca="false" t="array" ref="J3988:J3988">IFERROR(INDEX(AC3988:AE3988,IF(COUNTA(AC3988:AE3988)=0,"",MAX((AC3988:AE3988&lt;&gt;"")*(COLUMN(AC3988:AE3988)-(COLUMN(AC3988)))))-1),"")</f>
        <v>46230</v>
      </c>
      <c r="K3988" s="16" t="n">
        <f aca="false" t="array" ref="K3988:K3988">IFERROR(INDEX(AC3988:AE3988,IF(COUNTA(AC3988:AE3988)=0,"",MAX((AC3988:AE3988&lt;&gt;"")*(COLUMN(AC3988:AE3988)-(COLUMN(AC3988)-1))))-1),"")</f>
        <v>46321</v>
      </c>
      <c r="L3988" s="17" t="str">
        <f aca="false" t="array" ref="L3988:L3988">IFERROR(INDEX(AC3988:AE3988,IF(COUNTA(AC3988:AE3988)=0,"",MAX((AC3988:AE3988&lt;&gt;"")*(COLUMN(AC3988:AE3988)-(COLUMN(AC3988)-2))))-1),"")</f>
        <v>ARCHIVED</v>
      </c>
      <c r="M3988" s="13" t="n">
        <f aca="true">K3988-TODAY()</f>
        <v>-3</v>
      </c>
      <c r="N3988" s="50" t="s">
        <v>728</v>
      </c>
      <c r="O3988" s="13" t="s">
        <v>12429</v>
      </c>
      <c r="P3988" s="26" t="n">
        <v>3961753</v>
      </c>
      <c r="Q3988" s="20" t="s">
        <v>16325</v>
      </c>
      <c r="R3988" s="13" t="s">
        <v>52</v>
      </c>
      <c r="S3988" s="25" t="n">
        <v>36721</v>
      </c>
      <c r="T3988" s="13" t="s">
        <v>108</v>
      </c>
      <c r="U3988" s="13" t="s">
        <v>16326</v>
      </c>
      <c r="V3988" s="13" t="s">
        <v>42</v>
      </c>
      <c r="W3988" s="13" t="s">
        <v>43</v>
      </c>
      <c r="X3988" s="47" t="s">
        <v>16327</v>
      </c>
      <c r="Y3988" s="22" t="str">
        <f aca="false">O3988</f>
        <v>Beauty Advisor</v>
      </c>
      <c r="Z3988" s="13" t="str">
        <f aca="false">IFERROR(__xludf.dummyfunction("if(BJ3988="""","""",GOOGLETRANSLATE(BJ3988,""auto"",""en""))"),"Beauty Advisor")</f>
        <v>Beauty Advisor</v>
      </c>
      <c r="AA3988" s="23" t="str">
        <f aca="false">IF(C3988="","", CHOOSE(MONTH(C3988),"January","February","March","April","May","June","July","August","September","October","November","December")&amp;" "&amp;DAY(C3988)&amp;MID("thstndrdth",MIN(9,2*RIGHT(DAY(C3988))*(MOD(DAY(C3988)-11,100)&gt;2)+1),2)&amp;","&amp;TEXT(C3988," yyyy"))</f>
        <v>July 27th,2026</v>
      </c>
      <c r="AB3988" s="15" t="str">
        <f aca="true">IF(S3988="","",DATEDIF(S3988,TODAY(),"Y")&amp;" Tahun, "&amp;DATEDIF(S3988,TODAY(),"YM")&amp;" Bulan, "&amp;DATEDIF(S3988,TODAY(),"MD")&amp;" Hari")</f>
        <v>26 Tahun, 3 Bulan, 15 Hari</v>
      </c>
      <c r="AC3988" s="14" t="n">
        <v>46230</v>
      </c>
      <c r="AD3988" s="18" t="n">
        <f aca="false">EDATE(AC3988,3)-1</f>
        <v>46321</v>
      </c>
      <c r="AE3988" s="13" t="s">
        <v>44</v>
      </c>
    </row>
    <row r="3989" customFormat="false" ht="15" hidden="false" customHeight="true" outlineLevel="0" collapsed="false">
      <c r="A3989" s="12" t="n">
        <v>22585</v>
      </c>
      <c r="B3989" s="13" t="s">
        <v>16328</v>
      </c>
      <c r="C3989" s="14" t="n">
        <v>46219</v>
      </c>
      <c r="D3989" s="13" t="s">
        <v>101</v>
      </c>
      <c r="E3989" s="15" t="s">
        <v>47</v>
      </c>
      <c r="F3989" s="24" t="s">
        <v>16329</v>
      </c>
      <c r="G3989" s="28" t="s">
        <v>57</v>
      </c>
      <c r="H3989" s="13" t="s">
        <v>35</v>
      </c>
      <c r="I3989" s="13" t="str">
        <f aca="false">IF(C3989=J3989,"NEW KONTRAK","RE-KONTRAK")</f>
        <v>NEW KONTRAK</v>
      </c>
      <c r="J3989" s="16" t="n">
        <f aca="false" t="array" ref="J3989:J3989">IFERROR(INDEX(AC3989:AE3989,IF(COUNTA(AC3989:AE3989)=0,"",MAX((AC3989:AE3989&lt;&gt;"")*(COLUMN(AC3989:AE3989)-(COLUMN(AC3989)))))-1),"")</f>
        <v>46219</v>
      </c>
      <c r="K3989" s="16" t="n">
        <f aca="false" t="array" ref="K3989:K3989">IFERROR(INDEX(AC3989:AE3989,IF(COUNTA(AC3989:AE3989)=0,"",MAX((AC3989:AE3989&lt;&gt;"")*(COLUMN(AC3989:AE3989)-(COLUMN(AC3989)-1))))-1),"")</f>
        <v>46402</v>
      </c>
      <c r="L3989" s="17" t="str">
        <f aca="false" t="array" ref="L3989:L3989">IFERROR(INDEX(AC3989:AE3989,IF(COUNTA(AC3989:AE3989)=0,"",MAX((AC3989:AE3989&lt;&gt;"")*(COLUMN(AC3989:AE3989)-(COLUMN(AC3989)-2))))-1),"")</f>
        <v>KEMBALI</v>
      </c>
      <c r="M3989" s="13" t="n">
        <f aca="true">K3989-TODAY()</f>
        <v>78</v>
      </c>
      <c r="N3989" s="18" t="s">
        <v>105</v>
      </c>
      <c r="O3989" s="13" t="s">
        <v>1453</v>
      </c>
      <c r="P3989" s="26" t="n">
        <v>138915</v>
      </c>
      <c r="Q3989" s="20" t="s">
        <v>16330</v>
      </c>
      <c r="R3989" s="13" t="s">
        <v>73</v>
      </c>
      <c r="S3989" s="25" t="n">
        <v>36547</v>
      </c>
      <c r="T3989" s="13" t="s">
        <v>108</v>
      </c>
      <c r="U3989" s="17" t="s">
        <v>16331</v>
      </c>
      <c r="V3989" s="15" t="s">
        <v>42</v>
      </c>
      <c r="W3989" s="13" t="s">
        <v>54</v>
      </c>
      <c r="X3989" s="21" t="n">
        <v>85746202827</v>
      </c>
      <c r="Y3989" s="22" t="str">
        <f aca="false">O3989</f>
        <v>Helper Produksi</v>
      </c>
      <c r="Z3989" s="13" t="str">
        <f aca="false">IFERROR(__xludf.dummyfunction("if(BJ3989="""","""",GOOGLETRANSLATE(BJ3989,""auto"",""en""))"),"Production Helper")</f>
        <v>Production Helper</v>
      </c>
      <c r="AA3989" s="23" t="str">
        <f aca="false">IF(C3989="","", CHOOSE(MONTH(C3989),"January","February","March","April","May","June","July","August","September","October","November","December")&amp;" "&amp;DAY(C3989)&amp;MID("thstndrdth",MIN(9,2*RIGHT(DAY(C3989))*(MOD(DAY(C3989)-11,100)&gt;2)+1),2)&amp;","&amp;TEXT(C3989," yyyy"))</f>
        <v>July 16th,2026</v>
      </c>
      <c r="AB3989" s="15" t="str">
        <f aca="true">IF(S3989="","",DATEDIF(S3989,TODAY(),"Y")&amp;" Tahun, "&amp;DATEDIF(S3989,TODAY(),"YM")&amp;" Bulan, "&amp;DATEDIF(S3989,TODAY(),"MD")&amp;" Hari")</f>
        <v>26 Tahun, 9 Bulan, 7 Hari</v>
      </c>
      <c r="AC3989" s="14" t="n">
        <v>46219</v>
      </c>
      <c r="AD3989" s="18" t="n">
        <v>46402</v>
      </c>
      <c r="AE3989" s="13" t="s">
        <v>397</v>
      </c>
    </row>
    <row r="3990" customFormat="false" ht="15" hidden="false" customHeight="true" outlineLevel="0" collapsed="false">
      <c r="A3990" s="12" t="n">
        <v>22586</v>
      </c>
      <c r="B3990" s="13" t="s">
        <v>16332</v>
      </c>
      <c r="C3990" s="14" t="n">
        <v>46219</v>
      </c>
      <c r="D3990" s="13" t="s">
        <v>101</v>
      </c>
      <c r="E3990" s="15" t="s">
        <v>47</v>
      </c>
      <c r="F3990" s="24" t="s">
        <v>16333</v>
      </c>
      <c r="G3990" s="28" t="s">
        <v>57</v>
      </c>
      <c r="H3990" s="13" t="s">
        <v>35</v>
      </c>
      <c r="I3990" s="13" t="str">
        <f aca="false">IF(C3990=J3990,"NEW KONTRAK","RE-KONTRAK")</f>
        <v>NEW KONTRAK</v>
      </c>
      <c r="J3990" s="16" t="n">
        <f aca="false" t="array" ref="J3990:J3990">IFERROR(INDEX(AC3990:AE3990,IF(COUNTA(AC3990:AE3990)=0,"",MAX((AC3990:AE3990&lt;&gt;"")*(COLUMN(AC3990:AE3990)-(COLUMN(AC3990)))))-1),"")</f>
        <v>46219</v>
      </c>
      <c r="K3990" s="16" t="n">
        <f aca="false" t="array" ref="K3990:K3990">IFERROR(INDEX(AC3990:AE3990,IF(COUNTA(AC3990:AE3990)=0,"",MAX((AC3990:AE3990&lt;&gt;"")*(COLUMN(AC3990:AE3990)-(COLUMN(AC3990)-1))))-1),"")</f>
        <v>46402</v>
      </c>
      <c r="L3990" s="17" t="str">
        <f aca="false" t="array" ref="L3990:L3990">IFERROR(INDEX(AC3990:AE3990,IF(COUNTA(AC3990:AE3990)=0,"",MAX((AC3990:AE3990&lt;&gt;"")*(COLUMN(AC3990:AE3990)-(COLUMN(AC3990)-2))))-1),"")</f>
        <v>KEMBALI</v>
      </c>
      <c r="M3990" s="13" t="n">
        <f aca="true">K3990-TODAY()</f>
        <v>78</v>
      </c>
      <c r="N3990" s="18" t="s">
        <v>105</v>
      </c>
      <c r="O3990" s="13" t="s">
        <v>1453</v>
      </c>
      <c r="P3990" s="26" t="n">
        <v>138915</v>
      </c>
      <c r="Q3990" s="20" t="s">
        <v>16334</v>
      </c>
      <c r="R3990" s="16" t="s">
        <v>763</v>
      </c>
      <c r="S3990" s="25" t="n">
        <v>37369</v>
      </c>
      <c r="T3990" s="13" t="s">
        <v>108</v>
      </c>
      <c r="U3990" s="17" t="s">
        <v>16335</v>
      </c>
      <c r="V3990" s="15" t="s">
        <v>42</v>
      </c>
      <c r="W3990" s="13" t="s">
        <v>43</v>
      </c>
      <c r="X3990" s="21" t="n">
        <v>87730269224</v>
      </c>
      <c r="Y3990" s="22" t="str">
        <f aca="false">O3990</f>
        <v>Helper Produksi</v>
      </c>
      <c r="Z3990" s="13" t="str">
        <f aca="false">IFERROR(__xludf.dummyfunction("if(BJ3990="""","""",GOOGLETRANSLATE(BJ3990,""auto"",""en""))"),"Production Helper")</f>
        <v>Production Helper</v>
      </c>
      <c r="AA3990" s="23" t="str">
        <f aca="false">IF(C3990="","", CHOOSE(MONTH(C3990),"January","February","March","April","May","June","July","August","September","October","November","December")&amp;" "&amp;DAY(C3990)&amp;MID("thstndrdth",MIN(9,2*RIGHT(DAY(C3990))*(MOD(DAY(C3990)-11,100)&gt;2)+1),2)&amp;","&amp;TEXT(C3990," yyyy"))</f>
        <v>July 16th,2026</v>
      </c>
      <c r="AB3990" s="15" t="str">
        <f aca="true">IF(S3990="","",DATEDIF(S3990,TODAY(),"Y")&amp;" Tahun, "&amp;DATEDIF(S3990,TODAY(),"YM")&amp;" Bulan, "&amp;DATEDIF(S3990,TODAY(),"MD")&amp;" Hari")</f>
        <v>24 Tahun, 6 Bulan, 6 Hari</v>
      </c>
      <c r="AC3990" s="14" t="n">
        <v>46219</v>
      </c>
      <c r="AD3990" s="18" t="n">
        <v>46402</v>
      </c>
      <c r="AE3990" s="13" t="s">
        <v>397</v>
      </c>
    </row>
    <row r="3991" customFormat="false" ht="15" hidden="false" customHeight="true" outlineLevel="0" collapsed="false">
      <c r="A3991" s="12" t="n">
        <v>2601</v>
      </c>
      <c r="B3991" s="13" t="s">
        <v>16336</v>
      </c>
      <c r="C3991" s="14" t="n">
        <v>44413</v>
      </c>
      <c r="D3991" s="13" t="s">
        <v>101</v>
      </c>
      <c r="E3991" s="15" t="s">
        <v>47</v>
      </c>
      <c r="F3991" s="15" t="str">
        <f aca="false">IFERROR(__xludf.dummyfunction("XLOOKUP(AJ3991,IMPORTRANGE(""1XaInW9DU9nz21V0tYIfzFQ0He9kVQ_JF2mCXgZ3hqFA"",""REKAP ALL 2026 - Andika!G:G""),IMPORTRANGE(""1XaInW9DU9nz21V0tYIfzFQ0He9kVQ_JF2mCXgZ3hqFA"",""REKAP ALL 2026 - Andika!F:F""),"""",0)"),"21068419494")</f>
        <v>21068419494</v>
      </c>
      <c r="G3991" s="13" t="s">
        <v>16337</v>
      </c>
      <c r="H3991" s="13" t="s">
        <v>35</v>
      </c>
      <c r="I3991" s="13" t="str">
        <f aca="false">IF(C3991=J3991,"NEW KONTRAK","RE-KONTRAK")</f>
        <v>RE-KONTRAK</v>
      </c>
      <c r="J3991" s="16" t="n">
        <f aca="false" t="array" ref="J3991:J3991">IFERROR(INDEX(AC3991:AE3991,IF(COUNTA(AC3991:AE3991)=0,"",MAX((AC3991:AE3991&lt;&gt;"")*(COLUMN(AC3991:AE3991)-(COLUMN(AC3991)))))-1),"")</f>
        <v>45672</v>
      </c>
      <c r="K3991" s="16" t="n">
        <f aca="false" t="array" ref="K3991:K3991">IFERROR(INDEX(AC3991:AE3991,IF(COUNTA(AC3991:AE3991)=0,"",MAX((AC3991:AE3991&lt;&gt;"")*(COLUMN(AC3991:AE3991)-(COLUMN(AC3991)-1))))-1),"")</f>
        <v>46036</v>
      </c>
      <c r="L3991" s="17" t="str">
        <f aca="false" t="array" ref="L3991:L3991">IFERROR(INDEX(AC3991:AE3991,IF(COUNTA(AC3991:AE3991)=0,"",MAX((AC3991:AE3991&lt;&gt;"")*(COLUMN(AC3991:AE3991)-(COLUMN(AC3991)-2))))-1),"")</f>
        <v>ARCHIVED</v>
      </c>
      <c r="M3991" s="13" t="n">
        <f aca="true">K3991-TODAY()</f>
        <v>-288</v>
      </c>
      <c r="N3991" s="18" t="s">
        <v>105</v>
      </c>
      <c r="O3991" s="13" t="s">
        <v>1401</v>
      </c>
      <c r="P3991" s="31" t="n">
        <v>138915</v>
      </c>
      <c r="Q3991" s="20" t="s">
        <v>16338</v>
      </c>
      <c r="R3991" s="13" t="s">
        <v>255</v>
      </c>
      <c r="S3991" s="25" t="n">
        <v>34878</v>
      </c>
      <c r="T3991" s="13" t="s">
        <v>108</v>
      </c>
      <c r="U3991" s="13" t="s">
        <v>16339</v>
      </c>
      <c r="V3991" s="13" t="s">
        <v>42</v>
      </c>
      <c r="W3991" s="13" t="s">
        <v>54</v>
      </c>
      <c r="X3991" s="21" t="n">
        <v>81219960810</v>
      </c>
      <c r="Y3991" s="22" t="str">
        <f aca="false">O3991</f>
        <v>Gudang Jadi - Helper</v>
      </c>
      <c r="Z3991" s="13" t="str">
        <f aca="false">IFERROR(__xludf.dummyfunction("if(BJ3991="""","""",GOOGLETRANSLATE(BJ3991,""auto"",""en""))"),"Ready-Made Warehouse - Helper")</f>
        <v>Ready-Made Warehouse - Helper</v>
      </c>
      <c r="AA3991" s="23" t="str">
        <f aca="false">IF(C3991="","", CHOOSE(MONTH(C3991),"January","February","March","April","May","June","July","August","September","October","November","December")&amp;" "&amp;DAY(C3991)&amp;MID("thstndrdth",MIN(9,2*RIGHT(DAY(C3991))*(MOD(DAY(C3991)-11,100)&gt;2)+1),2)&amp;","&amp;TEXT(C3991," yyyy"))</f>
        <v>August 5th,2021</v>
      </c>
      <c r="AB3991" s="15" t="str">
        <f aca="true">IF(S3991="","",DATEDIF(S3991,TODAY(),"Y")&amp;" Tahun, "&amp;DATEDIF(S3991,TODAY(),"YM")&amp;" Bulan, "&amp;DATEDIF(S3991,TODAY(),"MD")&amp;" Hari")</f>
        <v>31 Tahun, 4 Bulan, 1 Hari</v>
      </c>
      <c r="AC3991" s="18" t="n">
        <v>45672</v>
      </c>
      <c r="AD3991" s="18" t="n">
        <v>46036</v>
      </c>
      <c r="AE3991" s="18" t="s">
        <v>44</v>
      </c>
    </row>
    <row r="3992" customFormat="false" ht="15" hidden="false" customHeight="true" outlineLevel="0" collapsed="false">
      <c r="A3992" s="12" t="n">
        <v>22587</v>
      </c>
      <c r="B3992" s="13" t="s">
        <v>16340</v>
      </c>
      <c r="C3992" s="14" t="n">
        <v>46219</v>
      </c>
      <c r="D3992" s="13" t="s">
        <v>101</v>
      </c>
      <c r="E3992" s="15" t="s">
        <v>47</v>
      </c>
      <c r="F3992" s="24" t="s">
        <v>16341</v>
      </c>
      <c r="G3992" s="28" t="s">
        <v>57</v>
      </c>
      <c r="H3992" s="13" t="s">
        <v>35</v>
      </c>
      <c r="I3992" s="13" t="str">
        <f aca="false">IF(C3992=J3992,"NEW KONTRAK","RE-KONTRAK")</f>
        <v>NEW KONTRAK</v>
      </c>
      <c r="J3992" s="16" t="n">
        <f aca="false" t="array" ref="J3992:J3992">IFERROR(INDEX(AC3992:AE3992,IF(COUNTA(AC3992:AE3992)=0,"",MAX((AC3992:AE3992&lt;&gt;"")*(COLUMN(AC3992:AE3992)-(COLUMN(AC3992)))))-1),"")</f>
        <v>46219</v>
      </c>
      <c r="K3992" s="16" t="n">
        <f aca="false" t="array" ref="K3992:K3992">IFERROR(INDEX(AC3992:AE3992,IF(COUNTA(AC3992:AE3992)=0,"",MAX((AC3992:AE3992&lt;&gt;"")*(COLUMN(AC3992:AE3992)-(COLUMN(AC3992)-1))))-1),"")</f>
        <v>46402</v>
      </c>
      <c r="L3992" s="17" t="str">
        <f aca="false" t="array" ref="L3992:L3992">IFERROR(INDEX(AC3992:AE3992,IF(COUNTA(AC3992:AE3992)=0,"",MAX((AC3992:AE3992&lt;&gt;"")*(COLUMN(AC3992:AE3992)-(COLUMN(AC3992)-2))))-1),"")</f>
        <v>KEMBALI</v>
      </c>
      <c r="M3992" s="13" t="n">
        <f aca="true">K3992-TODAY()</f>
        <v>78</v>
      </c>
      <c r="N3992" s="18" t="s">
        <v>105</v>
      </c>
      <c r="O3992" s="13" t="s">
        <v>1453</v>
      </c>
      <c r="P3992" s="26" t="n">
        <v>138915</v>
      </c>
      <c r="Q3992" s="20" t="s">
        <v>16342</v>
      </c>
      <c r="R3992" s="16" t="s">
        <v>39</v>
      </c>
      <c r="S3992" s="25" t="n">
        <v>36406</v>
      </c>
      <c r="T3992" s="13" t="s">
        <v>108</v>
      </c>
      <c r="U3992" s="17" t="s">
        <v>16343</v>
      </c>
      <c r="V3992" s="15" t="s">
        <v>42</v>
      </c>
      <c r="W3992" s="13" t="s">
        <v>43</v>
      </c>
      <c r="X3992" s="21" t="n">
        <v>89612140312</v>
      </c>
      <c r="Y3992" s="22" t="str">
        <f aca="false">O3992</f>
        <v>Helper Produksi</v>
      </c>
      <c r="Z3992" s="13" t="str">
        <f aca="false">IFERROR(__xludf.dummyfunction("if(BJ3992="""","""",GOOGLETRANSLATE(BJ3992,""auto"",""en""))"),"Production Helper")</f>
        <v>Production Helper</v>
      </c>
      <c r="AA3992" s="23" t="str">
        <f aca="false">IF(C3992="","", CHOOSE(MONTH(C3992),"January","February","March","April","May","June","July","August","September","October","November","December")&amp;" "&amp;DAY(C3992)&amp;MID("thstndrdth",MIN(9,2*RIGHT(DAY(C3992))*(MOD(DAY(C3992)-11,100)&gt;2)+1),2)&amp;","&amp;TEXT(C3992," yyyy"))</f>
        <v>July 16th,2026</v>
      </c>
      <c r="AB3992" s="15" t="str">
        <f aca="true">IF(S3992="","",DATEDIF(S3992,TODAY(),"Y")&amp;" Tahun, "&amp;DATEDIF(S3992,TODAY(),"YM")&amp;" Bulan, "&amp;DATEDIF(S3992,TODAY(),"MD")&amp;" Hari")</f>
        <v>27 Tahun, 1 Bulan, 26 Hari</v>
      </c>
      <c r="AC3992" s="14" t="n">
        <v>46219</v>
      </c>
      <c r="AD3992" s="18" t="n">
        <v>46402</v>
      </c>
      <c r="AE3992" s="13" t="s">
        <v>397</v>
      </c>
    </row>
    <row r="3993" customFormat="false" ht="15" hidden="false" customHeight="true" outlineLevel="0" collapsed="false">
      <c r="A3993" s="12" t="n">
        <v>22621</v>
      </c>
      <c r="B3993" s="45" t="s">
        <v>16344</v>
      </c>
      <c r="C3993" s="14" t="n">
        <v>46230</v>
      </c>
      <c r="D3993" s="13" t="s">
        <v>101</v>
      </c>
      <c r="E3993" s="15" t="s">
        <v>102</v>
      </c>
      <c r="F3993" s="24" t="s">
        <v>16345</v>
      </c>
      <c r="G3993" s="13" t="s">
        <v>1452</v>
      </c>
      <c r="H3993" s="13" t="s">
        <v>35</v>
      </c>
      <c r="I3993" s="13" t="str">
        <f aca="false">IF(C3993=J3993,"NEW KONTRAK","RE-KONTRAK")</f>
        <v>NEW KONTRAK</v>
      </c>
      <c r="J3993" s="16" t="n">
        <f aca="false" t="array" ref="J3993:J3993">IFERROR(INDEX(AC3993:AE3993,IF(COUNTA(AC3993:AE3993)=0,"",MAX((AC3993:AE3993&lt;&gt;"")*(COLUMN(AC3993:AE3993)-(COLUMN(AC3993)))))-1),"")</f>
        <v>46230</v>
      </c>
      <c r="K3993" s="16" t="n">
        <f aca="false" t="array" ref="K3993:K3993">IFERROR(INDEX(AC3993:AE3993,IF(COUNTA(AC3993:AE3993)=0,"",MAX((AC3993:AE3993&lt;&gt;"")*(COLUMN(AC3993:AE3993)-(COLUMN(AC3993)-1))))-1),"")</f>
        <v>46321</v>
      </c>
      <c r="L3993" s="17" t="str">
        <f aca="false" t="array" ref="L3993:L3993">IFERROR(INDEX(AC3993:AE3993,IF(COUNTA(AC3993:AE3993)=0,"",MAX((AC3993:AE3993&lt;&gt;"")*(COLUMN(AC3993:AE3993)-(COLUMN(AC3993)-2))))-1),"")</f>
        <v>ARCHIVED</v>
      </c>
      <c r="M3993" s="13" t="n">
        <f aca="true">K3993-TODAY()</f>
        <v>-3</v>
      </c>
      <c r="N3993" s="18" t="s">
        <v>105</v>
      </c>
      <c r="O3993" s="13" t="s">
        <v>1453</v>
      </c>
      <c r="P3993" s="26" t="n">
        <v>138915</v>
      </c>
      <c r="Q3993" s="20" t="s">
        <v>16346</v>
      </c>
      <c r="R3993" s="13" t="s">
        <v>6452</v>
      </c>
      <c r="S3993" s="25" t="n">
        <v>39146</v>
      </c>
      <c r="T3993" s="13" t="s">
        <v>40</v>
      </c>
      <c r="U3993" s="13" t="s">
        <v>16347</v>
      </c>
      <c r="V3993" s="13" t="s">
        <v>42</v>
      </c>
      <c r="W3993" s="13" t="s">
        <v>43</v>
      </c>
      <c r="X3993" s="21" t="n">
        <v>83108636869</v>
      </c>
      <c r="Y3993" s="22" t="str">
        <f aca="false">O3993</f>
        <v>Helper Produksi</v>
      </c>
      <c r="Z3993" s="13" t="str">
        <f aca="false">IFERROR(__xludf.dummyfunction("if(BJ3993="""","""",GOOGLETRANSLATE(BJ3993,""auto"",""en""))"),"Production Helper")</f>
        <v>Production Helper</v>
      </c>
      <c r="AA3993" s="23" t="str">
        <f aca="false">IF(C3993="","", CHOOSE(MONTH(C3993),"January","February","March","April","May","June","July","August","September","October","November","December")&amp;" "&amp;DAY(C3993)&amp;MID("thstndrdth",MIN(9,2*RIGHT(DAY(C3993))*(MOD(DAY(C3993)-11,100)&gt;2)+1),2)&amp;","&amp;TEXT(C3993," yyyy"))</f>
        <v>July 27th,2026</v>
      </c>
      <c r="AB3993" s="15" t="str">
        <f aca="true">IF(S3993="","",DATEDIF(S3993,TODAY(),"Y")&amp;" Tahun, "&amp;DATEDIF(S3993,TODAY(),"YM")&amp;" Bulan, "&amp;DATEDIF(S3993,TODAY(),"MD")&amp;" Hari")</f>
        <v>19 Tahun, 7 Bulan, 24 Hari</v>
      </c>
      <c r="AC3993" s="14" t="n">
        <v>46230</v>
      </c>
      <c r="AD3993" s="18" t="n">
        <f aca="false">EDATE(AC3993,3)-1</f>
        <v>46321</v>
      </c>
      <c r="AE3993" s="13" t="s">
        <v>44</v>
      </c>
    </row>
    <row r="3994" customFormat="false" ht="15" hidden="false" customHeight="true" outlineLevel="0" collapsed="false">
      <c r="A3994" s="12" t="n">
        <v>22622</v>
      </c>
      <c r="B3994" s="45" t="s">
        <v>16348</v>
      </c>
      <c r="C3994" s="14" t="n">
        <v>46230</v>
      </c>
      <c r="D3994" s="13" t="s">
        <v>101</v>
      </c>
      <c r="E3994" s="15" t="s">
        <v>102</v>
      </c>
      <c r="F3994" s="24" t="s">
        <v>16349</v>
      </c>
      <c r="G3994" s="13" t="s">
        <v>1452</v>
      </c>
      <c r="H3994" s="13" t="s">
        <v>35</v>
      </c>
      <c r="I3994" s="13" t="str">
        <f aca="false">IF(C3994=J3994,"NEW KONTRAK","RE-KONTRAK")</f>
        <v>NEW KONTRAK</v>
      </c>
      <c r="J3994" s="16" t="n">
        <f aca="false" t="array" ref="J3994:J3994">IFERROR(INDEX(AC3994:AE3994,IF(COUNTA(AC3994:AE3994)=0,"",MAX((AC3994:AE3994&lt;&gt;"")*(COLUMN(AC3994:AE3994)-(COLUMN(AC3994)))))-1),"")</f>
        <v>46230</v>
      </c>
      <c r="K3994" s="16" t="n">
        <f aca="false" t="array" ref="K3994:K3994">IFERROR(INDEX(AC3994:AE3994,IF(COUNTA(AC3994:AE3994)=0,"",MAX((AC3994:AE3994&lt;&gt;"")*(COLUMN(AC3994:AE3994)-(COLUMN(AC3994)-1))))-1),"")</f>
        <v>46321</v>
      </c>
      <c r="L3994" s="17" t="str">
        <f aca="false" t="array" ref="L3994:L3994">IFERROR(INDEX(AC3994:AE3994,IF(COUNTA(AC3994:AE3994)=0,"",MAX((AC3994:AE3994&lt;&gt;"")*(COLUMN(AC3994:AE3994)-(COLUMN(AC3994)-2))))-1),"")</f>
        <v>ARCHIVED</v>
      </c>
      <c r="M3994" s="13" t="n">
        <f aca="true">K3994-TODAY()</f>
        <v>-3</v>
      </c>
      <c r="N3994" s="18" t="s">
        <v>105</v>
      </c>
      <c r="O3994" s="13" t="s">
        <v>1453</v>
      </c>
      <c r="P3994" s="26" t="n">
        <v>138915</v>
      </c>
      <c r="Q3994" s="20" t="s">
        <v>16350</v>
      </c>
      <c r="R3994" s="13" t="s">
        <v>52</v>
      </c>
      <c r="S3994" s="25" t="n">
        <v>37334</v>
      </c>
      <c r="T3994" s="13" t="s">
        <v>108</v>
      </c>
      <c r="U3994" s="13" t="s">
        <v>16351</v>
      </c>
      <c r="V3994" s="13" t="s">
        <v>42</v>
      </c>
      <c r="W3994" s="13" t="s">
        <v>43</v>
      </c>
      <c r="X3994" s="21" t="n">
        <v>83827189446</v>
      </c>
      <c r="Y3994" s="22" t="str">
        <f aca="false">O3994</f>
        <v>Helper Produksi</v>
      </c>
      <c r="Z3994" s="13" t="str">
        <f aca="false">IFERROR(__xludf.dummyfunction("if(BJ3994="""","""",GOOGLETRANSLATE(BJ3994,""auto"",""en""))"),"Production Helper")</f>
        <v>Production Helper</v>
      </c>
      <c r="AA3994" s="23" t="str">
        <f aca="false">IF(C3994="","", CHOOSE(MONTH(C3994),"January","February","March","April","May","June","July","August","September","October","November","December")&amp;" "&amp;DAY(C3994)&amp;MID("thstndrdth",MIN(9,2*RIGHT(DAY(C3994))*(MOD(DAY(C3994)-11,100)&gt;2)+1),2)&amp;","&amp;TEXT(C3994," yyyy"))</f>
        <v>July 27th,2026</v>
      </c>
      <c r="AB3994" s="15" t="str">
        <f aca="true">IF(S3994="","",DATEDIF(S3994,TODAY(),"Y")&amp;" Tahun, "&amp;DATEDIF(S3994,TODAY(),"YM")&amp;" Bulan, "&amp;DATEDIF(S3994,TODAY(),"MD")&amp;" Hari")</f>
        <v>24 Tahun, 7 Bulan, 10 Hari</v>
      </c>
      <c r="AC3994" s="14" t="n">
        <v>46230</v>
      </c>
      <c r="AD3994" s="18" t="n">
        <f aca="false">EDATE(AC3994,3)-1</f>
        <v>46321</v>
      </c>
      <c r="AE3994" s="13" t="s">
        <v>44</v>
      </c>
    </row>
    <row r="3995" customFormat="false" ht="15" hidden="false" customHeight="true" outlineLevel="0" collapsed="false">
      <c r="A3995" s="12" t="n">
        <v>22623</v>
      </c>
      <c r="B3995" s="45" t="s">
        <v>16352</v>
      </c>
      <c r="C3995" s="14" t="n">
        <v>46230</v>
      </c>
      <c r="D3995" s="13" t="s">
        <v>10735</v>
      </c>
      <c r="E3995" s="13" t="s">
        <v>102</v>
      </c>
      <c r="F3995" s="24" t="s">
        <v>16353</v>
      </c>
      <c r="G3995" s="13" t="s">
        <v>1452</v>
      </c>
      <c r="H3995" s="13" t="s">
        <v>35</v>
      </c>
      <c r="I3995" s="13" t="str">
        <f aca="false">IF(C3995=J3995,"NEW KONTRAK","RE-KONTRAK")</f>
        <v>NEW KONTRAK</v>
      </c>
      <c r="J3995" s="16" t="n">
        <f aca="false" t="array" ref="J3995:J3995">IFERROR(INDEX(AC3995:AE3995,IF(COUNTA(AC3995:AE3995)=0,"",MAX((AC3995:AE3995&lt;&gt;"")*(COLUMN(AC3995:AE3995)-(COLUMN(AC3995)))))-1),"")</f>
        <v>46230</v>
      </c>
      <c r="K3995" s="16" t="n">
        <f aca="false" t="array" ref="K3995:K3995">IFERROR(INDEX(AC3995:AE3995,IF(COUNTA(AC3995:AE3995)=0,"",MAX((AC3995:AE3995&lt;&gt;"")*(COLUMN(AC3995:AE3995)-(COLUMN(AC3995)-1))))-1),"")</f>
        <v>46321</v>
      </c>
      <c r="L3995" s="17" t="str">
        <f aca="false" t="array" ref="L3995:L3995">IFERROR(INDEX(AC3995:AE3995,IF(COUNTA(AC3995:AE3995)=0,"",MAX((AC3995:AE3995&lt;&gt;"")*(COLUMN(AC3995:AE3995)-(COLUMN(AC3995)-2))))-1),"")</f>
        <v>KEMBALI ONLINE</v>
      </c>
      <c r="M3995" s="13" t="n">
        <f aca="true">K3995-TODAY()</f>
        <v>-3</v>
      </c>
      <c r="N3995" s="28" t="s">
        <v>3576</v>
      </c>
      <c r="O3995" s="13" t="s">
        <v>12429</v>
      </c>
      <c r="P3995" s="26" t="n">
        <v>2553530</v>
      </c>
      <c r="Q3995" s="20" t="s">
        <v>16354</v>
      </c>
      <c r="R3995" s="13" t="s">
        <v>255</v>
      </c>
      <c r="S3995" s="25" t="n">
        <v>37087</v>
      </c>
      <c r="T3995" s="13" t="s">
        <v>108</v>
      </c>
      <c r="U3995" s="13" t="s">
        <v>16355</v>
      </c>
      <c r="V3995" s="13" t="s">
        <v>42</v>
      </c>
      <c r="W3995" s="13" t="s">
        <v>43</v>
      </c>
      <c r="X3995" s="21" t="n">
        <v>82333240195</v>
      </c>
      <c r="Y3995" s="22" t="str">
        <f aca="false">O3995</f>
        <v>Beauty Advisor</v>
      </c>
      <c r="Z3995" s="13" t="str">
        <f aca="false">IFERROR(__xludf.dummyfunction("if(BJ3995="""","""",GOOGLETRANSLATE(BJ3995,""auto"",""en""))"),"Beauty Advisor")</f>
        <v>Beauty Advisor</v>
      </c>
      <c r="AA3995" s="23" t="str">
        <f aca="false">IF(C3995="","", CHOOSE(MONTH(C3995),"January","February","March","April","May","June","July","August","September","October","November","December")&amp;" "&amp;DAY(C3995)&amp;MID("thstndrdth",MIN(9,2*RIGHT(DAY(C3995))*(MOD(DAY(C3995)-11,100)&gt;2)+1),2)&amp;","&amp;TEXT(C3995," yyyy"))</f>
        <v>July 27th,2026</v>
      </c>
      <c r="AB3995" s="15" t="str">
        <f aca="true">IF(S3995="","",DATEDIF(S3995,TODAY(),"Y")&amp;" Tahun, "&amp;DATEDIF(S3995,TODAY(),"YM")&amp;" Bulan, "&amp;DATEDIF(S3995,TODAY(),"MD")&amp;" Hari")</f>
        <v>25 Tahun, 3 Bulan, 14 Hari</v>
      </c>
      <c r="AC3995" s="14" t="n">
        <v>46230</v>
      </c>
      <c r="AD3995" s="18" t="n">
        <f aca="false">EDATE(AC3995,3)-1</f>
        <v>46321</v>
      </c>
      <c r="AE3995" s="13" t="s">
        <v>2387</v>
      </c>
    </row>
    <row r="3996" customFormat="false" ht="15" hidden="false" customHeight="true" outlineLevel="0" collapsed="false">
      <c r="A3996" s="12" t="n">
        <v>22624</v>
      </c>
      <c r="B3996" s="45" t="s">
        <v>16356</v>
      </c>
      <c r="C3996" s="14" t="n">
        <v>46233</v>
      </c>
      <c r="D3996" s="13" t="s">
        <v>5791</v>
      </c>
      <c r="E3996" s="15" t="s">
        <v>102</v>
      </c>
      <c r="F3996" s="24" t="s">
        <v>16357</v>
      </c>
      <c r="G3996" s="13" t="s">
        <v>1452</v>
      </c>
      <c r="H3996" s="13" t="s">
        <v>35</v>
      </c>
      <c r="I3996" s="13" t="str">
        <f aca="false">IF(C3996=J3996,"NEW KONTRAK","RE-KONTRAK")</f>
        <v>NEW KONTRAK</v>
      </c>
      <c r="J3996" s="16" t="n">
        <f aca="false" t="array" ref="J3996:J3996">IFERROR(INDEX(AC3996:AE3996,IF(COUNTA(AC3996:AE3996)=0,"",MAX((AC3996:AE3996&lt;&gt;"")*(COLUMN(AC3996:AE3996)-(COLUMN(AC3996)))))-1),"")</f>
        <v>46233</v>
      </c>
      <c r="K3996" s="16" t="n">
        <f aca="false" t="array" ref="K3996:K3996">IFERROR(INDEX(AC3996:AE3996,IF(COUNTA(AC3996:AE3996)=0,"",MAX((AC3996:AE3996&lt;&gt;"")*(COLUMN(AC3996:AE3996)-(COLUMN(AC3996)-1))))-1),"")</f>
        <v>46324</v>
      </c>
      <c r="L3996" s="17" t="str">
        <f aca="false" t="array" ref="L3996:L3996">IFERROR(INDEX(AC3996:AE3996,IF(COUNTA(AC3996:AE3996)=0,"",MAX((AC3996:AE3996&lt;&gt;"")*(COLUMN(AC3996:AE3996)-(COLUMN(AC3996)-2))))-1),"")</f>
        <v>KEMBALI ONLINE</v>
      </c>
      <c r="M3996" s="13" t="n">
        <f aca="true">K3996-TODAY()</f>
        <v>0</v>
      </c>
      <c r="N3996" s="18" t="s">
        <v>728</v>
      </c>
      <c r="O3996" s="13" t="s">
        <v>11196</v>
      </c>
      <c r="P3996" s="19" t="n">
        <v>130000</v>
      </c>
      <c r="Q3996" s="20" t="s">
        <v>16358</v>
      </c>
      <c r="R3996" s="13" t="s">
        <v>52</v>
      </c>
      <c r="S3996" s="25" t="n">
        <v>38536</v>
      </c>
      <c r="T3996" s="13" t="s">
        <v>40</v>
      </c>
      <c r="U3996" s="13" t="s">
        <v>16359</v>
      </c>
      <c r="V3996" s="13" t="s">
        <v>42</v>
      </c>
      <c r="W3996" s="13" t="s">
        <v>43</v>
      </c>
      <c r="X3996" s="21" t="s">
        <v>16360</v>
      </c>
      <c r="Y3996" s="22" t="str">
        <f aca="false">O3996</f>
        <v>Helper Gudang</v>
      </c>
      <c r="Z3996" s="13" t="str">
        <f aca="false">IFERROR(__xludf.dummyfunction("if(BJ3996="""","""",GOOGLETRANSLATE(BJ3996,""auto"",""en""))"),"Helper Gudang")</f>
        <v>Helper Gudang</v>
      </c>
      <c r="AA3996" s="23" t="str">
        <f aca="false">IF(C3996="","", CHOOSE(MONTH(C3996),"January","February","March","April","May","June","July","August","September","October","November","December")&amp;" "&amp;DAY(C3996)&amp;MID("thstndrdth",MIN(9,2*RIGHT(DAY(C3996))*(MOD(DAY(C3996)-11,100)&gt;2)+1),2)&amp;","&amp;TEXT(C3996," yyyy"))</f>
        <v>July 30th,2026</v>
      </c>
      <c r="AB3996" s="15" t="str">
        <f aca="true">IF(S3996="","",DATEDIF(S3996,TODAY(),"Y")&amp;" Tahun, "&amp;DATEDIF(S3996,TODAY(),"YM")&amp;" Bulan, "&amp;DATEDIF(S3996,TODAY(),"MD")&amp;" Hari")</f>
        <v>21 Tahun, 3 Bulan, 26 Hari</v>
      </c>
      <c r="AC3996" s="14" t="n">
        <v>46233</v>
      </c>
      <c r="AD3996" s="18" t="n">
        <f aca="false">EDATE(AC3996,3)-1</f>
        <v>46324</v>
      </c>
      <c r="AE3996" s="13" t="s">
        <v>2387</v>
      </c>
    </row>
    <row r="3997" customFormat="false" ht="15" hidden="false" customHeight="true" outlineLevel="0" collapsed="false">
      <c r="A3997" s="12" t="n">
        <v>22625</v>
      </c>
      <c r="B3997" s="45" t="s">
        <v>16361</v>
      </c>
      <c r="C3997" s="14" t="n">
        <v>46233</v>
      </c>
      <c r="D3997" s="13" t="s">
        <v>5791</v>
      </c>
      <c r="E3997" s="15" t="s">
        <v>102</v>
      </c>
      <c r="F3997" s="24" t="s">
        <v>16362</v>
      </c>
      <c r="G3997" s="13" t="s">
        <v>1452</v>
      </c>
      <c r="H3997" s="13" t="s">
        <v>35</v>
      </c>
      <c r="I3997" s="13" t="str">
        <f aca="false">IF(C3997=J3997,"NEW KONTRAK","RE-KONTRAK")</f>
        <v>NEW KONTRAK</v>
      </c>
      <c r="J3997" s="16" t="n">
        <f aca="false" t="array" ref="J3997:J3997">IFERROR(INDEX(AC3997:AE3997,IF(COUNTA(AC3997:AE3997)=0,"",MAX((AC3997:AE3997&lt;&gt;"")*(COLUMN(AC3997:AE3997)-(COLUMN(AC3997)))))-1),"")</f>
        <v>46233</v>
      </c>
      <c r="K3997" s="16" t="n">
        <f aca="false" t="array" ref="K3997:K3997">IFERROR(INDEX(AC3997:AE3997,IF(COUNTA(AC3997:AE3997)=0,"",MAX((AC3997:AE3997&lt;&gt;"")*(COLUMN(AC3997:AE3997)-(COLUMN(AC3997)-1))))-1),"")</f>
        <v>46324</v>
      </c>
      <c r="L3997" s="17" t="str">
        <f aca="false" t="array" ref="L3997:L3997">IFERROR(INDEX(AC3997:AE3997,IF(COUNTA(AC3997:AE3997)=0,"",MAX((AC3997:AE3997&lt;&gt;"")*(COLUMN(AC3997:AE3997)-(COLUMN(AC3997)-2))))-1),"")</f>
        <v>KEMBALI ONLINE</v>
      </c>
      <c r="M3997" s="13" t="n">
        <f aca="true">K3997-TODAY()</f>
        <v>0</v>
      </c>
      <c r="N3997" s="18" t="s">
        <v>728</v>
      </c>
      <c r="O3997" s="13" t="s">
        <v>11196</v>
      </c>
      <c r="P3997" s="19" t="n">
        <v>130000</v>
      </c>
      <c r="Q3997" s="20" t="s">
        <v>16363</v>
      </c>
      <c r="R3997" s="13" t="s">
        <v>52</v>
      </c>
      <c r="S3997" s="25" t="n">
        <v>36736</v>
      </c>
      <c r="T3997" s="13" t="s">
        <v>40</v>
      </c>
      <c r="U3997" s="13" t="s">
        <v>16364</v>
      </c>
      <c r="V3997" s="13" t="s">
        <v>42</v>
      </c>
      <c r="W3997" s="13" t="s">
        <v>54</v>
      </c>
      <c r="X3997" s="21" t="s">
        <v>16365</v>
      </c>
      <c r="Y3997" s="22" t="str">
        <f aca="false">O3997</f>
        <v>Helper Gudang</v>
      </c>
      <c r="Z3997" s="13" t="str">
        <f aca="false">IFERROR(__xludf.dummyfunction("if(BJ3997="""","""",GOOGLETRANSLATE(BJ3997,""auto"",""en""))"),"Helper Gudang")</f>
        <v>Helper Gudang</v>
      </c>
      <c r="AA3997" s="23" t="str">
        <f aca="false">IF(C3997="","", CHOOSE(MONTH(C3997),"January","February","March","April","May","June","July","August","September","October","November","December")&amp;" "&amp;DAY(C3997)&amp;MID("thstndrdth",MIN(9,2*RIGHT(DAY(C3997))*(MOD(DAY(C3997)-11,100)&gt;2)+1),2)&amp;","&amp;TEXT(C3997," yyyy"))</f>
        <v>July 30th,2026</v>
      </c>
      <c r="AB3997" s="15" t="str">
        <f aca="true">IF(S3997="","",DATEDIF(S3997,TODAY(),"Y")&amp;" Tahun, "&amp;DATEDIF(S3997,TODAY(),"YM")&amp;" Bulan, "&amp;DATEDIF(S3997,TODAY(),"MD")&amp;" Hari")</f>
        <v>26 Tahun, 3 Bulan, 0 Hari</v>
      </c>
      <c r="AC3997" s="14" t="n">
        <v>46233</v>
      </c>
      <c r="AD3997" s="18" t="n">
        <f aca="false">EDATE(AC3997,3)-1</f>
        <v>46324</v>
      </c>
      <c r="AE3997" s="13" t="s">
        <v>2387</v>
      </c>
    </row>
    <row r="3998" customFormat="false" ht="15" hidden="false" customHeight="true" outlineLevel="0" collapsed="false">
      <c r="A3998" s="12" t="n">
        <v>22626</v>
      </c>
      <c r="B3998" s="45" t="s">
        <v>16366</v>
      </c>
      <c r="C3998" s="14" t="n">
        <v>46232</v>
      </c>
      <c r="D3998" s="13" t="s">
        <v>3022</v>
      </c>
      <c r="E3998" s="13" t="s">
        <v>47</v>
      </c>
      <c r="F3998" s="24" t="s">
        <v>16367</v>
      </c>
      <c r="G3998" s="13" t="s">
        <v>1452</v>
      </c>
      <c r="H3998" s="13" t="s">
        <v>3024</v>
      </c>
      <c r="I3998" s="13" t="str">
        <f aca="false">IF(C3998=J3998,"NEW KONTRAK","RE-KONTRAK")</f>
        <v>NEW KONTRAK</v>
      </c>
      <c r="J3998" s="16" t="n">
        <f aca="false" t="array" ref="J3998:J3998">IFERROR(INDEX(AC3998:AE3998,IF(COUNTA(AC3998:AE3998)=0,"",MAX((AC3998:AE3998&lt;&gt;"")*(COLUMN(AC3998:AE3998)-(COLUMN(AC3998)))))-1),"")</f>
        <v>46232</v>
      </c>
      <c r="K3998" s="16" t="n">
        <f aca="false" t="array" ref="K3998:K3998">IFERROR(INDEX(AC3998:AE3998,IF(COUNTA(AC3998:AE3998)=0,"",MAX((AC3998:AE3998&lt;&gt;"")*(COLUMN(AC3998:AE3998)-(COLUMN(AC3998)-1))))-1),"")</f>
        <v>46299</v>
      </c>
      <c r="L3998" s="17" t="str">
        <f aca="false" t="array" ref="L3998:L3998">IFERROR(INDEX(AC3998:AE3998,IF(COUNTA(AC3998:AE3998)=0,"",MAX((AC3998:AE3998&lt;&gt;"")*(COLUMN(AC3998:AE3998)-(COLUMN(AC3998)-2))))-1),"")</f>
        <v>KEMBALI</v>
      </c>
      <c r="M3998" s="13" t="n">
        <f aca="true">K3998-TODAY()</f>
        <v>-25</v>
      </c>
      <c r="N3998" s="18" t="s">
        <v>36</v>
      </c>
      <c r="O3998" s="13" t="s">
        <v>3750</v>
      </c>
      <c r="P3998" s="26" t="n">
        <v>112500</v>
      </c>
      <c r="Q3998" s="20" t="s">
        <v>16368</v>
      </c>
      <c r="R3998" s="13" t="s">
        <v>39</v>
      </c>
      <c r="S3998" s="25" t="n">
        <v>37666</v>
      </c>
      <c r="T3998" s="13" t="s">
        <v>40</v>
      </c>
      <c r="U3998" s="13" t="s">
        <v>16369</v>
      </c>
      <c r="V3998" s="13" t="s">
        <v>42</v>
      </c>
      <c r="W3998" s="13" t="s">
        <v>43</v>
      </c>
      <c r="X3998" s="21" t="n">
        <v>87885635695</v>
      </c>
      <c r="Y3998" s="22" t="str">
        <f aca="false">O3998</f>
        <v>Produksi ( Painting )</v>
      </c>
      <c r="Z3998" s="13" t="str">
        <f aca="false">IFERROR(__xludf.dummyfunction("if(BJ3998="""","""",GOOGLETRANSLATE(BJ3998,""auto"",""en""))"),"Production (Painting)")</f>
        <v>Production (Painting)</v>
      </c>
      <c r="AA3998" s="23" t="str">
        <f aca="false">IF(C3998="","", CHOOSE(MONTH(C3998),"January","February","March","April","May","June","July","August","September","October","November","December")&amp;" "&amp;DAY(C3998)&amp;MID("thstndrdth",MIN(9,2*RIGHT(DAY(C3998))*(MOD(DAY(C3998)-11,100)&gt;2)+1),2)&amp;","&amp;TEXT(C3998," yyyy"))</f>
        <v>July 29th,2026</v>
      </c>
      <c r="AB3998" s="15" t="str">
        <f aca="true">IF(S3998="","",DATEDIF(S3998,TODAY(),"Y")&amp;" Tahun, "&amp;DATEDIF(S3998,TODAY(),"YM")&amp;" Bulan, "&amp;DATEDIF(S3998,TODAY(),"MD")&amp;" Hari")</f>
        <v>23 Tahun, 8 Bulan, 15 Hari</v>
      </c>
      <c r="AC3998" s="14" t="n">
        <v>46232</v>
      </c>
      <c r="AD3998" s="18" t="n">
        <v>46299</v>
      </c>
      <c r="AE3998" s="13" t="s">
        <v>397</v>
      </c>
    </row>
    <row r="3999" customFormat="false" ht="15" hidden="false" customHeight="true" outlineLevel="0" collapsed="false">
      <c r="A3999" s="12" t="n">
        <v>14063</v>
      </c>
      <c r="B3999" s="13" t="s">
        <v>16370</v>
      </c>
      <c r="C3999" s="14" t="n">
        <v>45308</v>
      </c>
      <c r="D3999" s="13" t="s">
        <v>2148</v>
      </c>
      <c r="E3999" s="15" t="s">
        <v>47</v>
      </c>
      <c r="F3999" s="15" t="str">
        <f aca="false">IFERROR(__xludf.dummyfunction("XLOOKUP(AJ3999,IMPORTRANGE(""1XaInW9DU9nz21V0tYIfzFQ0He9kVQ_JF2mCXgZ3hqFA"",""REKAP ALL 2026 - Andika!G:G""),IMPORTRANGE(""1XaInW9DU9nz21V0tYIfzFQ0He9kVQ_JF2mCXgZ3hqFA"",""REKAP ALL 2026 - Andika!F:F""),"""",0)"),"24033238098")</f>
        <v>24033238098</v>
      </c>
      <c r="G3999" s="15" t="s">
        <v>16371</v>
      </c>
      <c r="H3999" s="13" t="s">
        <v>49</v>
      </c>
      <c r="I3999" s="13" t="str">
        <f aca="false">IF(C3999=J3999,"NEW KONTRAK","RE-KONTRAK")</f>
        <v>RE-KONTRAK</v>
      </c>
      <c r="J3999" s="16" t="n">
        <f aca="false" t="array" ref="J3999:J3999">IFERROR(INDEX(AC3999:AE3999,IF(COUNTA(AC3999:AE3999)=0,"",MAX((AC3999:AE3999&lt;&gt;"")*(COLUMN(AC3999:AE3999)-(COLUMN(AC3999)))))-1),"")</f>
        <v>45672</v>
      </c>
      <c r="K3999" s="16" t="n">
        <f aca="false" t="array" ref="K3999:K3999">IFERROR(INDEX(AC3999:AE3999,IF(COUNTA(AC3999:AE3999)=0,"",MAX((AC3999:AE3999&lt;&gt;"")*(COLUMN(AC3999:AE3999)-(COLUMN(AC3999)-1))))-1),"")</f>
        <v>46036</v>
      </c>
      <c r="L3999" s="17" t="str">
        <f aca="false" t="array" ref="L3999:L3999">IFERROR(INDEX(AC3999:AE3999,IF(COUNTA(AC3999:AE3999)=0,"",MAX((AC3999:AE3999&lt;&gt;"")*(COLUMN(AC3999:AE3999)-(COLUMN(AC3999)-2))))-1),"")</f>
        <v>ARCHIVED</v>
      </c>
      <c r="M3999" s="13" t="n">
        <f aca="true">K3999-TODAY()</f>
        <v>-288</v>
      </c>
      <c r="N3999" s="50" t="s">
        <v>105</v>
      </c>
      <c r="O3999" s="13" t="s">
        <v>16372</v>
      </c>
      <c r="P3999" s="19" t="n">
        <v>194481</v>
      </c>
      <c r="Q3999" s="20" t="s">
        <v>16373</v>
      </c>
      <c r="R3999" s="13" t="s">
        <v>879</v>
      </c>
      <c r="S3999" s="25" t="n">
        <v>34812</v>
      </c>
      <c r="T3999" s="13" t="s">
        <v>40</v>
      </c>
      <c r="U3999" s="13" t="s">
        <v>16374</v>
      </c>
      <c r="V3999" s="13" t="s">
        <v>42</v>
      </c>
      <c r="W3999" s="13" t="s">
        <v>43</v>
      </c>
      <c r="X3999" s="21" t="n">
        <v>82301985796</v>
      </c>
      <c r="Y3999" s="22" t="str">
        <f aca="false">O3999</f>
        <v>Gudang Jadi - Admin Stocker</v>
      </c>
      <c r="Z3999" s="13" t="str">
        <f aca="false">IFERROR(__xludf.dummyfunction("if(BJ3999="""","""",GOOGLETRANSLATE(BJ3999,""auto"",""en""))"),"Finished Warehouse - Admin Stocker")</f>
        <v>Finished Warehouse - Admin Stocker</v>
      </c>
      <c r="AA3999" s="23" t="str">
        <f aca="false">IF(C3999="","", CHOOSE(MONTH(C3999),"January","February","March","April","May","June","July","August","September","October","November","December")&amp;" "&amp;DAY(C3999)&amp;MID("thstndrdth",MIN(9,2*RIGHT(DAY(C3999))*(MOD(DAY(C3999)-11,100)&gt;2)+1),2)&amp;","&amp;TEXT(C3999," yyyy"))</f>
        <v>January 17th,2024</v>
      </c>
      <c r="AB3999" s="15" t="str">
        <f aca="true">IF(S3999="","",DATEDIF(S3999,TODAY(),"Y")&amp;" Tahun, "&amp;DATEDIF(S3999,TODAY(),"YM")&amp;" Bulan, "&amp;DATEDIF(S3999,TODAY(),"MD")&amp;" Hari")</f>
        <v>31 Tahun, 6 Bulan, 6 Hari</v>
      </c>
      <c r="AC3999" s="18" t="n">
        <v>45672</v>
      </c>
      <c r="AD3999" s="18" t="n">
        <v>46036</v>
      </c>
      <c r="AE3999" s="18" t="s">
        <v>44</v>
      </c>
    </row>
    <row r="4000" customFormat="false" ht="15" hidden="false" customHeight="true" outlineLevel="0" collapsed="false">
      <c r="A4000" s="12" t="n">
        <v>22628</v>
      </c>
      <c r="B4000" s="45" t="s">
        <v>16375</v>
      </c>
      <c r="C4000" s="14" t="n">
        <v>46232</v>
      </c>
      <c r="D4000" s="13" t="s">
        <v>5892</v>
      </c>
      <c r="E4000" s="13" t="s">
        <v>47</v>
      </c>
      <c r="F4000" s="24" t="s">
        <v>16376</v>
      </c>
      <c r="G4000" s="13" t="s">
        <v>1452</v>
      </c>
      <c r="H4000" s="13" t="s">
        <v>35</v>
      </c>
      <c r="I4000" s="13" t="str">
        <f aca="false">IF(C4000=J4000,"NEW KONTRAK","RE-KONTRAK")</f>
        <v>NEW KONTRAK</v>
      </c>
      <c r="J4000" s="16" t="n">
        <f aca="false" t="array" ref="J4000:J4000">IFERROR(INDEX(AC4000:AE4000,IF(COUNTA(AC4000:AE4000)=0,"",MAX((AC4000:AE4000&lt;&gt;"")*(COLUMN(AC4000:AE4000)-(COLUMN(AC4000)))))-1),"")</f>
        <v>46232</v>
      </c>
      <c r="K4000" s="16" t="n">
        <f aca="false" t="array" ref="K4000:K4000">IFERROR(INDEX(AC4000:AE4000,IF(COUNTA(AC4000:AE4000)=0,"",MAX((AC4000:AE4000&lt;&gt;"")*(COLUMN(AC4000:AE4000)-(COLUMN(AC4000)-1))))-1),"")</f>
        <v>46304</v>
      </c>
      <c r="L4000" s="17" t="str">
        <f aca="false" t="array" ref="L4000:L4000">IFERROR(INDEX(AC4000:AE4000,IF(COUNTA(AC4000:AE4000)=0,"",MAX((AC4000:AE4000&lt;&gt;"")*(COLUMN(AC4000:AE4000)-(COLUMN(AC4000)-2))))-1),"")</f>
        <v>KEMBALI</v>
      </c>
      <c r="M4000" s="13" t="n">
        <f aca="true">K4000-TODAY()</f>
        <v>-20</v>
      </c>
      <c r="N4000" s="18" t="s">
        <v>105</v>
      </c>
      <c r="O4000" s="13" t="s">
        <v>16377</v>
      </c>
      <c r="P4000" s="117" t="n">
        <v>3707662</v>
      </c>
      <c r="Q4000" s="20" t="s">
        <v>16378</v>
      </c>
      <c r="R4000" s="13" t="s">
        <v>73</v>
      </c>
      <c r="S4000" s="25" t="n">
        <v>35720</v>
      </c>
      <c r="T4000" s="13" t="s">
        <v>108</v>
      </c>
      <c r="U4000" s="13" t="s">
        <v>16379</v>
      </c>
      <c r="V4000" s="13" t="s">
        <v>42</v>
      </c>
      <c r="W4000" s="13" t="s">
        <v>54</v>
      </c>
      <c r="X4000" s="21" t="n">
        <v>81553680313</v>
      </c>
      <c r="Y4000" s="22" t="str">
        <f aca="false">O4000</f>
        <v>Fleet &amp; Operasional Admin</v>
      </c>
      <c r="Z4000" s="13" t="str">
        <f aca="false">IFERROR(__xludf.dummyfunction("if(BJ4000="""","""",GOOGLETRANSLATE(BJ4000,""auto"",""en""))"),"Fleet &amp; Operations Admin")</f>
        <v>Fleet &amp; Operations Admin</v>
      </c>
      <c r="AA4000" s="23" t="str">
        <f aca="false">IF(C4000="","", CHOOSE(MONTH(C4000),"January","February","March","April","May","June","July","August","September","October","November","December")&amp;" "&amp;DAY(C4000)&amp;MID("thstndrdth",MIN(9,2*RIGHT(DAY(C4000))*(MOD(DAY(C4000)-11,100)&gt;2)+1),2)&amp;","&amp;TEXT(C4000," yyyy"))</f>
        <v>July 29th,2026</v>
      </c>
      <c r="AB4000" s="15" t="str">
        <f aca="true">IF(S4000="","",DATEDIF(S4000,TODAY(),"Y")&amp;" Tahun, "&amp;DATEDIF(S4000,TODAY(),"YM")&amp;" Bulan, "&amp;DATEDIF(S4000,TODAY(),"MD")&amp;" Hari")</f>
        <v>29 Tahun, 0 Bulan, 12 Hari</v>
      </c>
      <c r="AC4000" s="14" t="n">
        <v>46232</v>
      </c>
      <c r="AD4000" s="18" t="n">
        <v>46304</v>
      </c>
      <c r="AE4000" s="13" t="s">
        <v>397</v>
      </c>
    </row>
    <row r="4001" customFormat="false" ht="15" hidden="false" customHeight="true" outlineLevel="0" collapsed="false">
      <c r="A4001" s="12" t="n">
        <v>22588</v>
      </c>
      <c r="B4001" s="45" t="s">
        <v>16380</v>
      </c>
      <c r="C4001" s="14" t="n">
        <v>46219</v>
      </c>
      <c r="D4001" s="13" t="s">
        <v>101</v>
      </c>
      <c r="E4001" s="15" t="s">
        <v>47</v>
      </c>
      <c r="F4001" s="24" t="s">
        <v>16381</v>
      </c>
      <c r="G4001" s="28" t="s">
        <v>57</v>
      </c>
      <c r="H4001" s="13" t="s">
        <v>35</v>
      </c>
      <c r="I4001" s="13" t="str">
        <f aca="false">IF(C4001=J4001,"NEW KONTRAK","RE-KONTRAK")</f>
        <v>NEW KONTRAK</v>
      </c>
      <c r="J4001" s="16" t="n">
        <f aca="false" t="array" ref="J4001:J4001">IFERROR(INDEX(AC4001:AE4001,IF(COUNTA(AC4001:AE4001)=0,"",MAX((AC4001:AE4001&lt;&gt;"")*(COLUMN(AC4001:AE4001)-(COLUMN(AC4001)))))-1),"")</f>
        <v>46219</v>
      </c>
      <c r="K4001" s="16" t="n">
        <f aca="false" t="array" ref="K4001:K4001">IFERROR(INDEX(AC4001:AE4001,IF(COUNTA(AC4001:AE4001)=0,"",MAX((AC4001:AE4001&lt;&gt;"")*(COLUMN(AC4001:AE4001)-(COLUMN(AC4001)-1))))-1),"")</f>
        <v>46402</v>
      </c>
      <c r="L4001" s="17" t="str">
        <f aca="false" t="array" ref="L4001:L4001">IFERROR(INDEX(AC4001:AE4001,IF(COUNTA(AC4001:AE4001)=0,"",MAX((AC4001:AE4001&lt;&gt;"")*(COLUMN(AC4001:AE4001)-(COLUMN(AC4001)-2))))-1),"")</f>
        <v>KEMBALI</v>
      </c>
      <c r="M4001" s="13" t="n">
        <f aca="true">K4001-TODAY()</f>
        <v>78</v>
      </c>
      <c r="N4001" s="18" t="s">
        <v>105</v>
      </c>
      <c r="O4001" s="13" t="s">
        <v>1453</v>
      </c>
      <c r="P4001" s="26" t="n">
        <v>138915</v>
      </c>
      <c r="Q4001" s="20" t="s">
        <v>16382</v>
      </c>
      <c r="R4001" s="13" t="s">
        <v>52</v>
      </c>
      <c r="S4001" s="25" t="n">
        <v>38522</v>
      </c>
      <c r="T4001" s="13" t="s">
        <v>108</v>
      </c>
      <c r="U4001" s="17" t="s">
        <v>16383</v>
      </c>
      <c r="V4001" s="15" t="s">
        <v>42</v>
      </c>
      <c r="W4001" s="13" t="s">
        <v>43</v>
      </c>
      <c r="X4001" s="21" t="n">
        <v>82334192965</v>
      </c>
      <c r="Y4001" s="22" t="str">
        <f aca="false">O4001</f>
        <v>Helper Produksi</v>
      </c>
      <c r="Z4001" s="13" t="str">
        <f aca="false">IFERROR(__xludf.dummyfunction("if(BJ4001="""","""",GOOGLETRANSLATE(BJ4001,""auto"",""en""))"),"Production Helper")</f>
        <v>Production Helper</v>
      </c>
      <c r="AA4001" s="23" t="str">
        <f aca="false">IF(C4001="","", CHOOSE(MONTH(C4001),"January","February","March","April","May","June","July","August","September","October","November","December")&amp;" "&amp;DAY(C4001)&amp;MID("thstndrdth",MIN(9,2*RIGHT(DAY(C4001))*(MOD(DAY(C4001)-11,100)&gt;2)+1),2)&amp;","&amp;TEXT(C4001," yyyy"))</f>
        <v>July 16th,2026</v>
      </c>
      <c r="AB4001" s="15" t="str">
        <f aca="true">IF(S4001="","",DATEDIF(S4001,TODAY(),"Y")&amp;" Tahun, "&amp;DATEDIF(S4001,TODAY(),"YM")&amp;" Bulan, "&amp;DATEDIF(S4001,TODAY(),"MD")&amp;" Hari")</f>
        <v>21 Tahun, 4 Bulan, 10 Hari</v>
      </c>
      <c r="AC4001" s="14" t="n">
        <v>46219</v>
      </c>
      <c r="AD4001" s="18" t="n">
        <v>46402</v>
      </c>
      <c r="AE4001" s="13" t="s">
        <v>397</v>
      </c>
    </row>
    <row r="4002" customFormat="false" ht="15" hidden="false" customHeight="true" outlineLevel="0" collapsed="false">
      <c r="A4002" s="12" t="n">
        <v>22630</v>
      </c>
      <c r="B4002" s="45" t="s">
        <v>16384</v>
      </c>
      <c r="C4002" s="14" t="n">
        <v>46233</v>
      </c>
      <c r="D4002" s="13" t="s">
        <v>10058</v>
      </c>
      <c r="E4002" s="13" t="s">
        <v>47</v>
      </c>
      <c r="F4002" s="24" t="s">
        <v>16385</v>
      </c>
      <c r="G4002" s="28" t="s">
        <v>57</v>
      </c>
      <c r="H4002" s="13" t="s">
        <v>3024</v>
      </c>
      <c r="I4002" s="13" t="str">
        <f aca="false">IF(C4002=J4002,"NEW KONTRAK","RE-KONTRAK")</f>
        <v>NEW KONTRAK</v>
      </c>
      <c r="J4002" s="16" t="n">
        <f aca="false" t="array" ref="J4002:J4002">IFERROR(INDEX(AC4002:AE4002,IF(COUNTA(AC4002:AE4002)=0,"",MAX((AC4002:AE4002&lt;&gt;"")*(COLUMN(AC4002:AE4002)-(COLUMN(AC4002)))))-1),"")</f>
        <v>46233</v>
      </c>
      <c r="K4002" s="16" t="n">
        <f aca="false" t="array" ref="K4002:K4002">IFERROR(INDEX(AC4002:AE4002,IF(COUNTA(AC4002:AE4002)=0,"",MAX((AC4002:AE4002&lt;&gt;"")*(COLUMN(AC4002:AE4002)-(COLUMN(AC4002)-1))))-1),"")</f>
        <v>46294</v>
      </c>
      <c r="L4002" s="17" t="str">
        <f aca="false" t="array" ref="L4002:L4002">IFERROR(INDEX(AC4002:AE4002,IF(COUNTA(AC4002:AE4002)=0,"",MAX((AC4002:AE4002&lt;&gt;"")*(COLUMN(AC4002:AE4002)-(COLUMN(AC4002)-2))))-1),"")</f>
        <v>KEMBALI</v>
      </c>
      <c r="M4002" s="13" t="n">
        <f aca="true">K4002-TODAY()</f>
        <v>-30</v>
      </c>
      <c r="N4002" s="18" t="s">
        <v>105</v>
      </c>
      <c r="O4002" s="13" t="s">
        <v>15644</v>
      </c>
      <c r="P4002" s="26" t="n">
        <v>138915</v>
      </c>
      <c r="Q4002" s="20" t="s">
        <v>16386</v>
      </c>
      <c r="R4002" s="13" t="s">
        <v>260</v>
      </c>
      <c r="S4002" s="25" t="n">
        <v>36484</v>
      </c>
      <c r="T4002" s="13" t="s">
        <v>108</v>
      </c>
      <c r="U4002" s="13" t="s">
        <v>16387</v>
      </c>
      <c r="V4002" s="13" t="s">
        <v>42</v>
      </c>
      <c r="W4002" s="13" t="s">
        <v>43</v>
      </c>
      <c r="X4002" s="21" t="n">
        <v>89529634421</v>
      </c>
      <c r="Y4002" s="22" t="str">
        <f aca="false">O4002</f>
        <v>Harian Lepas (Helper QC)</v>
      </c>
      <c r="Z4002" s="13" t="str">
        <f aca="false">IFERROR(__xludf.dummyfunction("if(BJ4002="""","""",GOOGLETRANSLATE(BJ4002,""auto"",""en""))"),"Daily (QC Helper)")</f>
        <v>Daily (QC Helper)</v>
      </c>
      <c r="AA4002" s="23" t="str">
        <f aca="false">IF(C4002="","", CHOOSE(MONTH(C4002),"January","February","March","April","May","June","July","August","September","October","November","December")&amp;" "&amp;DAY(C4002)&amp;MID("thstndrdth",MIN(9,2*RIGHT(DAY(C4002))*(MOD(DAY(C4002)-11,100)&gt;2)+1),2)&amp;","&amp;TEXT(C4002," yyyy"))</f>
        <v>July 30th,2026</v>
      </c>
      <c r="AB4002" s="15" t="str">
        <f aca="true">IF(S4002="","",DATEDIF(S4002,TODAY(),"Y")&amp;" Tahun, "&amp;DATEDIF(S4002,TODAY(),"YM")&amp;" Bulan, "&amp;DATEDIF(S4002,TODAY(),"MD")&amp;" Hari")</f>
        <v>26 Tahun, 11 Bulan, 9 Hari</v>
      </c>
      <c r="AC4002" s="14" t="n">
        <v>46233</v>
      </c>
      <c r="AD4002" s="18" t="n">
        <f aca="false">EDATE(AC4002,2)-1</f>
        <v>46294</v>
      </c>
      <c r="AE4002" s="13" t="s">
        <v>397</v>
      </c>
    </row>
    <row r="4003" customFormat="false" ht="15" hidden="false" customHeight="true" outlineLevel="0" collapsed="false">
      <c r="A4003" s="12" t="n">
        <v>22631</v>
      </c>
      <c r="B4003" s="45" t="s">
        <v>16388</v>
      </c>
      <c r="C4003" s="14" t="n">
        <v>46237</v>
      </c>
      <c r="D4003" s="13" t="s">
        <v>3022</v>
      </c>
      <c r="E4003" s="13" t="s">
        <v>47</v>
      </c>
      <c r="F4003" s="24" t="s">
        <v>16389</v>
      </c>
      <c r="G4003" s="13" t="s">
        <v>1452</v>
      </c>
      <c r="H4003" s="13" t="s">
        <v>3024</v>
      </c>
      <c r="I4003" s="13" t="str">
        <f aca="false">IF(C4003=J4003,"NEW KONTRAK","RE-KONTRAK")</f>
        <v>NEW KONTRAK</v>
      </c>
      <c r="J4003" s="16" t="n">
        <f aca="false" t="array" ref="J4003:J4003">IFERROR(INDEX(AC4003:AE4003,IF(COUNTA(AC4003:AE4003)=0,"",MAX((AC4003:AE4003&lt;&gt;"")*(COLUMN(AC4003:AE4003)-(COLUMN(AC4003)))))-1),"")</f>
        <v>46237</v>
      </c>
      <c r="K4003" s="16" t="n">
        <f aca="false" t="array" ref="K4003:K4003">IFERROR(INDEX(AC4003:AE4003,IF(COUNTA(AC4003:AE4003)=0,"",MAX((AC4003:AE4003&lt;&gt;"")*(COLUMN(AC4003:AE4003)-(COLUMN(AC4003)-1))))-1),"")</f>
        <v>46299</v>
      </c>
      <c r="L4003" s="17" t="str">
        <f aca="false" t="array" ref="L4003:L4003">IFERROR(INDEX(AC4003:AE4003,IF(COUNTA(AC4003:AE4003)=0,"",MAX((AC4003:AE4003&lt;&gt;"")*(COLUMN(AC4003:AE4003)-(COLUMN(AC4003)-2))))-1),"")</f>
        <v>ARCHIVED</v>
      </c>
      <c r="M4003" s="13" t="n">
        <f aca="true">K4003-TODAY()</f>
        <v>-25</v>
      </c>
      <c r="N4003" s="18" t="s">
        <v>36</v>
      </c>
      <c r="O4003" s="13" t="s">
        <v>16390</v>
      </c>
      <c r="P4003" s="26" t="n">
        <v>112500</v>
      </c>
      <c r="Q4003" s="20" t="s">
        <v>16391</v>
      </c>
      <c r="R4003" s="13" t="s">
        <v>65</v>
      </c>
      <c r="S4003" s="25" t="n">
        <v>39513</v>
      </c>
      <c r="T4003" s="13" t="s">
        <v>40</v>
      </c>
      <c r="U4003" s="13" t="s">
        <v>16392</v>
      </c>
      <c r="V4003" s="13" t="s">
        <v>42</v>
      </c>
      <c r="W4003" s="13" t="s">
        <v>43</v>
      </c>
      <c r="X4003" s="21" t="n">
        <v>85234704049</v>
      </c>
      <c r="Y4003" s="22" t="str">
        <f aca="false">O4003</f>
        <v>Operator Heating</v>
      </c>
      <c r="Z4003" s="13" t="str">
        <f aca="false">IFERROR(__xludf.dummyfunction("if(BJ4003="""","""",GOOGLETRANSLATE(BJ4003,""auto"",""en""))"),"Operator Heating")</f>
        <v>Operator Heating</v>
      </c>
      <c r="AA4003" s="23" t="str">
        <f aca="false">IF(C4003="","", CHOOSE(MONTH(C4003),"January","February","March","April","May","June","July","August","September","October","November","December")&amp;" "&amp;DAY(C4003)&amp;MID("thstndrdth",MIN(9,2*RIGHT(DAY(C4003))*(MOD(DAY(C4003)-11,100)&gt;2)+1),2)&amp;","&amp;TEXT(C4003," yyyy"))</f>
        <v>August 3rd,2026</v>
      </c>
      <c r="AB4003" s="15" t="str">
        <f aca="true">IF(S4003="","",DATEDIF(S4003,TODAY(),"Y")&amp;" Tahun, "&amp;DATEDIF(S4003,TODAY(),"YM")&amp;" Bulan, "&amp;DATEDIF(S4003,TODAY(),"MD")&amp;" Hari")</f>
        <v>18 Tahun, 7 Bulan, 23 Hari</v>
      </c>
      <c r="AC4003" s="14" t="n">
        <v>46237</v>
      </c>
      <c r="AD4003" s="18" t="n">
        <v>46299</v>
      </c>
      <c r="AE4003" s="13" t="s">
        <v>44</v>
      </c>
    </row>
    <row r="4004" customFormat="false" ht="15" hidden="false" customHeight="true" outlineLevel="0" collapsed="false">
      <c r="A4004" s="12" t="n">
        <v>22632</v>
      </c>
      <c r="B4004" s="13" t="s">
        <v>16393</v>
      </c>
      <c r="C4004" s="14" t="n">
        <v>46237</v>
      </c>
      <c r="D4004" s="13" t="s">
        <v>15103</v>
      </c>
      <c r="E4004" s="13" t="s">
        <v>14439</v>
      </c>
      <c r="F4004" s="24" t="s">
        <v>16394</v>
      </c>
      <c r="G4004" s="13" t="s">
        <v>1452</v>
      </c>
      <c r="H4004" s="13" t="s">
        <v>3024</v>
      </c>
      <c r="I4004" s="13" t="str">
        <f aca="false">IF(C4004=J4004,"NEW KONTRAK","RE-KONTRAK")</f>
        <v>NEW KONTRAK</v>
      </c>
      <c r="J4004" s="16" t="n">
        <f aca="false" t="array" ref="J4004:J4004">IFERROR(INDEX(AC4004:AE4004,IF(COUNTA(AC4004:AE4004)=0,"",MAX((AC4004:AE4004&lt;&gt;"")*(COLUMN(AC4004:AE4004)-(COLUMN(AC4004)))))-1),"")</f>
        <v>46237</v>
      </c>
      <c r="K4004" s="16" t="n">
        <f aca="false" t="array" ref="K4004:K4004">IFERROR(INDEX(AC4004:AE4004,IF(COUNTA(AC4004:AE4004)=0,"",MAX((AC4004:AE4004&lt;&gt;"")*(COLUMN(AC4004:AE4004)-(COLUMN(AC4004)-1))))-1),"")</f>
        <v>46299</v>
      </c>
      <c r="L4004" s="17" t="str">
        <f aca="false" t="array" ref="L4004:L4004">IFERROR(INDEX(AC4004:AE4004,IF(COUNTA(AC4004:AE4004)=0,"",MAX((AC4004:AE4004&lt;&gt;"")*(COLUMN(AC4004:AE4004)-(COLUMN(AC4004)-2))))-1),"")</f>
        <v>ARCHIVED</v>
      </c>
      <c r="M4004" s="13" t="n">
        <f aca="true">K4004-TODAY()</f>
        <v>-25</v>
      </c>
      <c r="N4004" s="18" t="s">
        <v>36</v>
      </c>
      <c r="O4004" s="13" t="s">
        <v>16395</v>
      </c>
      <c r="P4004" s="26" t="n">
        <v>112500</v>
      </c>
      <c r="Q4004" s="20" t="s">
        <v>16396</v>
      </c>
      <c r="R4004" s="13" t="s">
        <v>83</v>
      </c>
      <c r="S4004" s="25" t="n">
        <v>32145</v>
      </c>
      <c r="T4004" s="13" t="s">
        <v>40</v>
      </c>
      <c r="U4004" s="13" t="s">
        <v>16397</v>
      </c>
      <c r="V4004" s="13" t="s">
        <v>42</v>
      </c>
      <c r="W4004" s="13" t="s">
        <v>54</v>
      </c>
      <c r="X4004" s="21" t="n">
        <v>82234148803</v>
      </c>
      <c r="Y4004" s="22" t="str">
        <f aca="false">O4004</f>
        <v>Operator Shearing</v>
      </c>
      <c r="Z4004" s="13" t="str">
        <f aca="false">IFERROR(__xludf.dummyfunction("if(BJ4004="""","""",GOOGLETRANSLATE(BJ4004,""auto"",""en""))"),"Operator Shearing")</f>
        <v>Operator Shearing</v>
      </c>
      <c r="AA4004" s="23" t="str">
        <f aca="false">IF(C4004="","", CHOOSE(MONTH(C4004),"January","February","March","April","May","June","July","August","September","October","November","December")&amp;" "&amp;DAY(C4004)&amp;MID("thstndrdth",MIN(9,2*RIGHT(DAY(C4004))*(MOD(DAY(C4004)-11,100)&gt;2)+1),2)&amp;","&amp;TEXT(C4004," yyyy"))</f>
        <v>August 3rd,2026</v>
      </c>
      <c r="AB4004" s="15" t="str">
        <f aca="true">IF(S4004="","",DATEDIF(S4004,TODAY(),"Y")&amp;" Tahun, "&amp;DATEDIF(S4004,TODAY(),"YM")&amp;" Bulan, "&amp;DATEDIF(S4004,TODAY(),"MD")&amp;" Hari")</f>
        <v>38 Tahun, 9 Bulan, 26 Hari</v>
      </c>
      <c r="AC4004" s="14" t="n">
        <v>46237</v>
      </c>
      <c r="AD4004" s="18" t="n">
        <v>46299</v>
      </c>
      <c r="AE4004" s="13" t="s">
        <v>44</v>
      </c>
    </row>
    <row r="4005" customFormat="false" ht="15" hidden="false" customHeight="true" outlineLevel="0" collapsed="false">
      <c r="A4005" s="12" t="n">
        <v>22633</v>
      </c>
      <c r="B4005" s="45" t="s">
        <v>16398</v>
      </c>
      <c r="C4005" s="14" t="n">
        <v>46235</v>
      </c>
      <c r="D4005" s="13" t="s">
        <v>9043</v>
      </c>
      <c r="E4005" s="13" t="s">
        <v>47</v>
      </c>
      <c r="F4005" s="24" t="s">
        <v>16399</v>
      </c>
      <c r="G4005" s="13" t="s">
        <v>1452</v>
      </c>
      <c r="H4005" s="13" t="s">
        <v>35</v>
      </c>
      <c r="I4005" s="13" t="str">
        <f aca="false">IF(C4005=J4005,"NEW KONTRAK","RE-KONTRAK")</f>
        <v>NEW KONTRAK</v>
      </c>
      <c r="J4005" s="16" t="n">
        <f aca="false" t="array" ref="J4005:J4005">IFERROR(INDEX(AC4005:AE4005,IF(COUNTA(AC4005:AE4005)=0,"",MAX((AC4005:AE4005&lt;&gt;"")*(COLUMN(AC4005:AE4005)-(COLUMN(AC4005)))))-1),"")</f>
        <v>46235</v>
      </c>
      <c r="K4005" s="16" t="n">
        <f aca="false" t="array" ref="K4005:K4005">IFERROR(INDEX(AC4005:AE4005,IF(COUNTA(AC4005:AE4005)=0,"",MAX((AC4005:AE4005&lt;&gt;"")*(COLUMN(AC4005:AE4005)-(COLUMN(AC4005)-1))))-1),"")</f>
        <v>46497</v>
      </c>
      <c r="L4005" s="17" t="str">
        <f aca="false" t="array" ref="L4005:L4005">IFERROR(INDEX(AC4005:AE4005,IF(COUNTA(AC4005:AE4005)=0,"",MAX((AC4005:AE4005&lt;&gt;"")*(COLUMN(AC4005:AE4005)-(COLUMN(AC4005)-2))))-1),"")</f>
        <v>ARCHIVED</v>
      </c>
      <c r="M4005" s="13" t="n">
        <f aca="true">K4005-TODAY()</f>
        <v>173</v>
      </c>
      <c r="N4005" s="18" t="s">
        <v>4735</v>
      </c>
      <c r="O4005" s="13" t="s">
        <v>16400</v>
      </c>
      <c r="P4005" s="26" t="n">
        <v>2700000</v>
      </c>
      <c r="Q4005" s="20" t="s">
        <v>16401</v>
      </c>
      <c r="R4005" s="13" t="s">
        <v>83</v>
      </c>
      <c r="S4005" s="25" t="n">
        <v>35489</v>
      </c>
      <c r="T4005" s="13" t="s">
        <v>40</v>
      </c>
      <c r="U4005" s="13" t="s">
        <v>16402</v>
      </c>
      <c r="V4005" s="13" t="s">
        <v>42</v>
      </c>
      <c r="W4005" s="13" t="s">
        <v>54</v>
      </c>
      <c r="X4005" s="21" t="n">
        <v>85792789066</v>
      </c>
      <c r="Y4005" s="22" t="str">
        <f aca="false">O4005</f>
        <v>Petugas Gudang</v>
      </c>
      <c r="Z4005" s="13" t="str">
        <f aca="false">IFERROR(__xludf.dummyfunction("if(BJ4005="""","""",GOOGLETRANSLATE(BJ4005,""auto"",""en""))"),"Warehouse Officer")</f>
        <v>Warehouse Officer</v>
      </c>
      <c r="AA4005" s="23" t="str">
        <f aca="false">IF(C4005="","", CHOOSE(MONTH(C4005),"January","February","March","April","May","June","July","August","September","October","November","December")&amp;" "&amp;DAY(C4005)&amp;MID("thstndrdth",MIN(9,2*RIGHT(DAY(C4005))*(MOD(DAY(C4005)-11,100)&gt;2)+1),2)&amp;","&amp;TEXT(C4005," yyyy"))</f>
        <v>August 1st,2026</v>
      </c>
      <c r="AB4005" s="15" t="str">
        <f aca="true">IF(S4005="","",DATEDIF(S4005,TODAY(),"Y")&amp;" Tahun, "&amp;DATEDIF(S4005,TODAY(),"YM")&amp;" Bulan, "&amp;DATEDIF(S4005,TODAY(),"MD")&amp;" Hari")</f>
        <v>29 Tahun, 8 Bulan, 1 Hari</v>
      </c>
      <c r="AC4005" s="14" t="n">
        <v>46235</v>
      </c>
      <c r="AD4005" s="18" t="n">
        <v>46497</v>
      </c>
      <c r="AE4005" s="45" t="s">
        <v>44</v>
      </c>
    </row>
    <row r="4006" customFormat="false" ht="15" hidden="false" customHeight="true" outlineLevel="0" collapsed="false">
      <c r="A4006" s="12" t="n">
        <v>22634</v>
      </c>
      <c r="B4006" s="45" t="s">
        <v>16403</v>
      </c>
      <c r="C4006" s="14" t="n">
        <v>46235</v>
      </c>
      <c r="D4006" s="13" t="s">
        <v>9043</v>
      </c>
      <c r="E4006" s="13" t="s">
        <v>47</v>
      </c>
      <c r="F4006" s="24" t="s">
        <v>16404</v>
      </c>
      <c r="G4006" s="13" t="s">
        <v>1452</v>
      </c>
      <c r="H4006" s="13" t="s">
        <v>35</v>
      </c>
      <c r="I4006" s="13" t="str">
        <f aca="false">IF(C4006=J4006,"NEW KONTRAK","RE-KONTRAK")</f>
        <v>NEW KONTRAK</v>
      </c>
      <c r="J4006" s="16" t="n">
        <f aca="false" t="array" ref="J4006:J4006">IFERROR(INDEX(AC4006:AE4006,IF(COUNTA(AC4006:AE4006)=0,"",MAX((AC4006:AE4006&lt;&gt;"")*(COLUMN(AC4006:AE4006)-(COLUMN(AC4006)))))-1),"")</f>
        <v>46235</v>
      </c>
      <c r="K4006" s="16" t="n">
        <f aca="false" t="array" ref="K4006:K4006">IFERROR(INDEX(AC4006:AE4006,IF(COUNTA(AC4006:AE4006)=0,"",MAX((AC4006:AE4006&lt;&gt;"")*(COLUMN(AC4006:AE4006)-(COLUMN(AC4006)-1))))-1),"")</f>
        <v>46497</v>
      </c>
      <c r="L4006" s="17" t="str">
        <f aca="false" t="array" ref="L4006:L4006">IFERROR(INDEX(AC4006:AE4006,IF(COUNTA(AC4006:AE4006)=0,"",MAX((AC4006:AE4006&lt;&gt;"")*(COLUMN(AC4006:AE4006)-(COLUMN(AC4006)-2))))-1),"")</f>
        <v>ARCHIVED</v>
      </c>
      <c r="M4006" s="13" t="n">
        <f aca="true">K4006-TODAY()</f>
        <v>173</v>
      </c>
      <c r="N4006" s="18" t="s">
        <v>4735</v>
      </c>
      <c r="O4006" s="13" t="s">
        <v>16400</v>
      </c>
      <c r="P4006" s="26" t="n">
        <v>2700000</v>
      </c>
      <c r="Q4006" s="20" t="s">
        <v>16405</v>
      </c>
      <c r="R4006" s="13" t="s">
        <v>83</v>
      </c>
      <c r="S4006" s="25" t="n">
        <v>36509</v>
      </c>
      <c r="T4006" s="13" t="s">
        <v>40</v>
      </c>
      <c r="U4006" s="13" t="s">
        <v>16406</v>
      </c>
      <c r="V4006" s="13" t="s">
        <v>42</v>
      </c>
      <c r="W4006" s="13" t="s">
        <v>43</v>
      </c>
      <c r="X4006" s="21" t="n">
        <v>895366966821</v>
      </c>
      <c r="Y4006" s="22" t="str">
        <f aca="false">O4006</f>
        <v>Petugas Gudang</v>
      </c>
      <c r="Z4006" s="13" t="str">
        <f aca="false">IFERROR(__xludf.dummyfunction("if(BJ4006="""","""",GOOGLETRANSLATE(BJ4006,""auto"",""en""))"),"Warehouse Officer")</f>
        <v>Warehouse Officer</v>
      </c>
      <c r="AA4006" s="23" t="str">
        <f aca="false">IF(C4006="","", CHOOSE(MONTH(C4006),"January","February","March","April","May","June","July","August","September","October","November","December")&amp;" "&amp;DAY(C4006)&amp;MID("thstndrdth",MIN(9,2*RIGHT(DAY(C4006))*(MOD(DAY(C4006)-11,100)&gt;2)+1),2)&amp;","&amp;TEXT(C4006," yyyy"))</f>
        <v>August 1st,2026</v>
      </c>
      <c r="AB4006" s="15" t="str">
        <f aca="true">IF(S4006="","",DATEDIF(S4006,TODAY(),"Y")&amp;" Tahun, "&amp;DATEDIF(S4006,TODAY(),"YM")&amp;" Bulan, "&amp;DATEDIF(S4006,TODAY(),"MD")&amp;" Hari")</f>
        <v>26 Tahun, 10 Bulan, 14 Hari</v>
      </c>
      <c r="AC4006" s="14" t="n">
        <v>46235</v>
      </c>
      <c r="AD4006" s="18" t="n">
        <v>46497</v>
      </c>
      <c r="AE4006" s="45" t="s">
        <v>44</v>
      </c>
    </row>
    <row r="4007" customFormat="false" ht="15" hidden="false" customHeight="true" outlineLevel="0" collapsed="false">
      <c r="A4007" s="12" t="n">
        <v>22635</v>
      </c>
      <c r="B4007" s="45" t="s">
        <v>16407</v>
      </c>
      <c r="C4007" s="14" t="n">
        <v>46235</v>
      </c>
      <c r="D4007" s="13" t="s">
        <v>9043</v>
      </c>
      <c r="E4007" s="13" t="s">
        <v>47</v>
      </c>
      <c r="F4007" s="24" t="s">
        <v>16408</v>
      </c>
      <c r="G4007" s="13" t="s">
        <v>1452</v>
      </c>
      <c r="H4007" s="13" t="s">
        <v>35</v>
      </c>
      <c r="I4007" s="13" t="str">
        <f aca="false">IF(C4007=J4007,"NEW KONTRAK","RE-KONTRAK")</f>
        <v>NEW KONTRAK</v>
      </c>
      <c r="J4007" s="16" t="n">
        <f aca="false" t="array" ref="J4007:J4007">IFERROR(INDEX(AC4007:AE4007,IF(COUNTA(AC4007:AE4007)=0,"",MAX((AC4007:AE4007&lt;&gt;"")*(COLUMN(AC4007:AE4007)-(COLUMN(AC4007)))))-1),"")</f>
        <v>46235</v>
      </c>
      <c r="K4007" s="16" t="n">
        <f aca="false" t="array" ref="K4007:K4007">IFERROR(INDEX(AC4007:AE4007,IF(COUNTA(AC4007:AE4007)=0,"",MAX((AC4007:AE4007&lt;&gt;"")*(COLUMN(AC4007:AE4007)-(COLUMN(AC4007)-1))))-1),"")</f>
        <v>46497</v>
      </c>
      <c r="L4007" s="17" t="str">
        <f aca="false" t="array" ref="L4007:L4007">IFERROR(INDEX(AC4007:AE4007,IF(COUNTA(AC4007:AE4007)=0,"",MAX((AC4007:AE4007&lt;&gt;"")*(COLUMN(AC4007:AE4007)-(COLUMN(AC4007)-2))))-1),"")</f>
        <v>ARCHIVED</v>
      </c>
      <c r="M4007" s="13" t="n">
        <f aca="true">K4007-TODAY()</f>
        <v>173</v>
      </c>
      <c r="N4007" s="18" t="s">
        <v>4735</v>
      </c>
      <c r="O4007" s="13" t="s">
        <v>16400</v>
      </c>
      <c r="P4007" s="26" t="n">
        <v>2700000</v>
      </c>
      <c r="Q4007" s="20" t="s">
        <v>16409</v>
      </c>
      <c r="R4007" s="13" t="s">
        <v>83</v>
      </c>
      <c r="S4007" s="25" t="n">
        <v>37055</v>
      </c>
      <c r="T4007" s="13" t="s">
        <v>40</v>
      </c>
      <c r="U4007" s="13" t="s">
        <v>16410</v>
      </c>
      <c r="V4007" s="13" t="s">
        <v>42</v>
      </c>
      <c r="W4007" s="13" t="s">
        <v>43</v>
      </c>
      <c r="X4007" s="21" t="n">
        <v>82318392231</v>
      </c>
      <c r="Y4007" s="22" t="str">
        <f aca="false">O4007</f>
        <v>Petugas Gudang</v>
      </c>
      <c r="Z4007" s="13" t="str">
        <f aca="false">IFERROR(__xludf.dummyfunction("if(BJ4007="""","""",GOOGLETRANSLATE(BJ4007,""auto"",""en""))"),"Warehouse Officer")</f>
        <v>Warehouse Officer</v>
      </c>
      <c r="AA4007" s="23" t="str">
        <f aca="false">IF(C4007="","", CHOOSE(MONTH(C4007),"January","February","March","April","May","June","July","August","September","October","November","December")&amp;" "&amp;DAY(C4007)&amp;MID("thstndrdth",MIN(9,2*RIGHT(DAY(C4007))*(MOD(DAY(C4007)-11,100)&gt;2)+1),2)&amp;","&amp;TEXT(C4007," yyyy"))</f>
        <v>August 1st,2026</v>
      </c>
      <c r="AB4007" s="15" t="str">
        <f aca="true">IF(S4007="","",DATEDIF(S4007,TODAY(),"Y")&amp;" Tahun, "&amp;DATEDIF(S4007,TODAY(),"YM")&amp;" Bulan, "&amp;DATEDIF(S4007,TODAY(),"MD")&amp;" Hari")</f>
        <v>25 Tahun, 4 Bulan, 16 Hari</v>
      </c>
      <c r="AC4007" s="14" t="n">
        <v>46235</v>
      </c>
      <c r="AD4007" s="18" t="n">
        <v>46497</v>
      </c>
      <c r="AE4007" s="45" t="s">
        <v>44</v>
      </c>
    </row>
    <row r="4008" customFormat="false" ht="15" hidden="false" customHeight="true" outlineLevel="0" collapsed="false">
      <c r="A4008" s="12" t="n">
        <v>22636</v>
      </c>
      <c r="B4008" s="45" t="s">
        <v>16411</v>
      </c>
      <c r="C4008" s="14" t="n">
        <v>46233</v>
      </c>
      <c r="D4008" s="13" t="s">
        <v>5791</v>
      </c>
      <c r="E4008" s="15" t="s">
        <v>102</v>
      </c>
      <c r="F4008" s="24" t="s">
        <v>16412</v>
      </c>
      <c r="G4008" s="13" t="s">
        <v>1452</v>
      </c>
      <c r="H4008" s="13" t="s">
        <v>35</v>
      </c>
      <c r="I4008" s="13" t="str">
        <f aca="false">IF(C4008=J4008,"NEW KONTRAK","RE-KONTRAK")</f>
        <v>NEW KONTRAK</v>
      </c>
      <c r="J4008" s="16" t="n">
        <f aca="false" t="array" ref="J4008:J4008">IFERROR(INDEX(AC4008:AE4008,IF(COUNTA(AC4008:AE4008)=0,"",MAX((AC4008:AE4008&lt;&gt;"")*(COLUMN(AC4008:AE4008)-(COLUMN(AC4008)))))-1),"")</f>
        <v>46233</v>
      </c>
      <c r="K4008" s="16" t="n">
        <f aca="false" t="array" ref="K4008:K4008">IFERROR(INDEX(AC4008:AE4008,IF(COUNTA(AC4008:AE4008)=0,"",MAX((AC4008:AE4008&lt;&gt;"")*(COLUMN(AC4008:AE4008)-(COLUMN(AC4008)-1))))-1),"")</f>
        <v>46324</v>
      </c>
      <c r="L4008" s="17" t="str">
        <f aca="false" t="array" ref="L4008:L4008">IFERROR(INDEX(AC4008:AE4008,IF(COUNTA(AC4008:AE4008)=0,"",MAX((AC4008:AE4008&lt;&gt;"")*(COLUMN(AC4008:AE4008)-(COLUMN(AC4008)-2))))-1),"")</f>
        <v>KEMBALI ONLINE</v>
      </c>
      <c r="M4008" s="13" t="n">
        <f aca="true">K4008-TODAY()</f>
        <v>0</v>
      </c>
      <c r="N4008" s="18" t="s">
        <v>728</v>
      </c>
      <c r="O4008" s="13" t="s">
        <v>11196</v>
      </c>
      <c r="P4008" s="19" t="n">
        <v>130000</v>
      </c>
      <c r="Q4008" s="20" t="s">
        <v>16413</v>
      </c>
      <c r="R4008" s="13" t="s">
        <v>83</v>
      </c>
      <c r="S4008" s="25" t="n">
        <v>36385</v>
      </c>
      <c r="T4008" s="13" t="s">
        <v>40</v>
      </c>
      <c r="U4008" s="13" t="s">
        <v>16414</v>
      </c>
      <c r="V4008" s="13" t="s">
        <v>42</v>
      </c>
      <c r="W4008" s="13" t="s">
        <v>43</v>
      </c>
      <c r="X4008" s="21" t="n">
        <v>881026164096</v>
      </c>
      <c r="Y4008" s="22" t="str">
        <f aca="false">O4008</f>
        <v>Helper Gudang</v>
      </c>
      <c r="Z4008" s="13" t="str">
        <f aca="false">IFERROR(__xludf.dummyfunction("if(BJ4008="""","""",GOOGLETRANSLATE(BJ4008,""auto"",""en""))"),"Helper Gudang")</f>
        <v>Helper Gudang</v>
      </c>
      <c r="AA4008" s="23" t="str">
        <f aca="false">IF(C4008="","", CHOOSE(MONTH(C4008),"January","February","March","April","May","June","July","August","September","October","November","December")&amp;" "&amp;DAY(C4008)&amp;MID("thstndrdth",MIN(9,2*RIGHT(DAY(C4008))*(MOD(DAY(C4008)-11,100)&gt;2)+1),2)&amp;","&amp;TEXT(C4008," yyyy"))</f>
        <v>July 30th,2026</v>
      </c>
      <c r="AB4008" s="15" t="str">
        <f aca="true">IF(S4008="","",DATEDIF(S4008,TODAY(),"Y")&amp;" Tahun, "&amp;DATEDIF(S4008,TODAY(),"YM")&amp;" Bulan, "&amp;DATEDIF(S4008,TODAY(),"MD")&amp;" Hari")</f>
        <v>27 Tahun, 2 Bulan, 16 Hari</v>
      </c>
      <c r="AC4008" s="14" t="n">
        <v>46233</v>
      </c>
      <c r="AD4008" s="18" t="n">
        <f aca="false">EDATE(AC4008,3)-1</f>
        <v>46324</v>
      </c>
      <c r="AE4008" s="13" t="s">
        <v>2387</v>
      </c>
    </row>
    <row r="4009" customFormat="false" ht="15" hidden="false" customHeight="true" outlineLevel="0" collapsed="false">
      <c r="A4009" s="12" t="n">
        <v>22637</v>
      </c>
      <c r="B4009" s="45" t="s">
        <v>16415</v>
      </c>
      <c r="C4009" s="14" t="n">
        <v>46238</v>
      </c>
      <c r="D4009" s="13" t="s">
        <v>6487</v>
      </c>
      <c r="E4009" s="13" t="s">
        <v>47</v>
      </c>
      <c r="F4009" s="24" t="s">
        <v>16416</v>
      </c>
      <c r="G4009" s="13" t="s">
        <v>1452</v>
      </c>
      <c r="H4009" s="13" t="s">
        <v>35</v>
      </c>
      <c r="I4009" s="13" t="str">
        <f aca="false">IF(C4009=J4009,"NEW KONTRAK","RE-KONTRAK")</f>
        <v>NEW KONTRAK</v>
      </c>
      <c r="J4009" s="16" t="n">
        <f aca="false" t="array" ref="J4009:J4009">IFERROR(INDEX(AC4009:AE4009,IF(COUNTA(AC4009:AE4009)=0,"",MAX((AC4009:AE4009&lt;&gt;"")*(COLUMN(AC4009:AE4009)-(COLUMN(AC4009)))))-1),"")</f>
        <v>46238</v>
      </c>
      <c r="K4009" s="16" t="n">
        <f aca="false" t="array" ref="K4009:K4009">IFERROR(INDEX(AC4009:AE4009,IF(COUNTA(AC4009:AE4009)=0,"",MAX((AC4009:AE4009&lt;&gt;"")*(COLUMN(AC4009:AE4009)-(COLUMN(AC4009)-1))))-1),"")</f>
        <v>46387</v>
      </c>
      <c r="L4009" s="17" t="str">
        <f aca="false" t="array" ref="L4009:L4009">IFERROR(INDEX(AC4009:AE4009,IF(COUNTA(AC4009:AE4009)=0,"",MAX((AC4009:AE4009&lt;&gt;"")*(COLUMN(AC4009:AE4009)-(COLUMN(AC4009)-2))))-1),"")</f>
        <v>KEMBALI</v>
      </c>
      <c r="M4009" s="13" t="n">
        <f aca="true">K4009-TODAY()</f>
        <v>63</v>
      </c>
      <c r="N4009" s="18" t="s">
        <v>4735</v>
      </c>
      <c r="O4009" s="13" t="s">
        <v>5894</v>
      </c>
      <c r="P4009" s="19" t="n">
        <v>3802862</v>
      </c>
      <c r="Q4009" s="20" t="s">
        <v>16417</v>
      </c>
      <c r="R4009" s="13" t="s">
        <v>1611</v>
      </c>
      <c r="S4009" s="25" t="n">
        <v>34343</v>
      </c>
      <c r="T4009" s="13" t="s">
        <v>40</v>
      </c>
      <c r="U4009" s="13" t="s">
        <v>16418</v>
      </c>
      <c r="V4009" s="13" t="s">
        <v>42</v>
      </c>
      <c r="W4009" s="13" t="s">
        <v>54</v>
      </c>
      <c r="X4009" s="21" t="n">
        <v>81319203994</v>
      </c>
      <c r="Y4009" s="22" t="str">
        <f aca="false">O4009</f>
        <v>Checker</v>
      </c>
      <c r="Z4009" s="13" t="str">
        <f aca="false">IFERROR(__xludf.dummyfunction("if(BJ4009="""","""",GOOGLETRANSLATE(BJ4009,""auto"",""en""))"),"Checker")</f>
        <v>Checker</v>
      </c>
      <c r="AA4009" s="23" t="str">
        <f aca="false">IF(C4009="","", CHOOSE(MONTH(C4009),"January","February","March","April","May","June","July","August","September","October","November","December")&amp;" "&amp;DAY(C4009)&amp;MID("thstndrdth",MIN(9,2*RIGHT(DAY(C4009))*(MOD(DAY(C4009)-11,100)&gt;2)+1),2)&amp;","&amp;TEXT(C4009," yyyy"))</f>
        <v>August 4th,2026</v>
      </c>
      <c r="AB4009" s="15" t="str">
        <f aca="true">IF(S4009="","",DATEDIF(S4009,TODAY(),"Y")&amp;" Tahun, "&amp;DATEDIF(S4009,TODAY(),"YM")&amp;" Bulan, "&amp;DATEDIF(S4009,TODAY(),"MD")&amp;" Hari")</f>
        <v>32 Tahun, 9 Bulan, 20 Hari</v>
      </c>
      <c r="AC4009" s="14" t="n">
        <v>46238</v>
      </c>
      <c r="AD4009" s="18" t="n">
        <v>46387</v>
      </c>
      <c r="AE4009" s="13" t="s">
        <v>397</v>
      </c>
    </row>
    <row r="4010" customFormat="false" ht="15" hidden="false" customHeight="true" outlineLevel="0" collapsed="false">
      <c r="A4010" s="12" t="n">
        <v>22638</v>
      </c>
      <c r="B4010" s="13" t="s">
        <v>16419</v>
      </c>
      <c r="C4010" s="14" t="n">
        <v>46233</v>
      </c>
      <c r="D4010" s="13" t="s">
        <v>5892</v>
      </c>
      <c r="E4010" s="13" t="s">
        <v>102</v>
      </c>
      <c r="F4010" s="24" t="s">
        <v>16420</v>
      </c>
      <c r="G4010" s="13" t="s">
        <v>1452</v>
      </c>
      <c r="H4010" s="13" t="s">
        <v>35</v>
      </c>
      <c r="I4010" s="13" t="str">
        <f aca="false">IF(C4010=J4010,"NEW KONTRAK","RE-KONTRAK")</f>
        <v>NEW KONTRAK</v>
      </c>
      <c r="J4010" s="16" t="n">
        <f aca="false" t="array" ref="J4010:J4010">IFERROR(INDEX(AC4010:AE4010,IF(COUNTA(AC4010:AE4010)=0,"",MAX((AC4010:AE4010&lt;&gt;"")*(COLUMN(AC4010:AE4010)-(COLUMN(AC4010)))))-1),"")</f>
        <v>46233</v>
      </c>
      <c r="K4010" s="16" t="n">
        <f aca="false" t="array" ref="K4010:K4010">IFERROR(INDEX(AC4010:AE4010,IF(COUNTA(AC4010:AE4010)=0,"",MAX((AC4010:AE4010&lt;&gt;"")*(COLUMN(AC4010:AE4010)-(COLUMN(AC4010)-1))))-1),"")</f>
        <v>46304</v>
      </c>
      <c r="L4010" s="17" t="str">
        <f aca="false" t="array" ref="L4010:L4010">IFERROR(INDEX(AC4010:AE4010,IF(COUNTA(AC4010:AE4010)=0,"",MAX((AC4010:AE4010&lt;&gt;"")*(COLUMN(AC4010:AE4010)-(COLUMN(AC4010)-2))))-1),"")</f>
        <v>CANCEL</v>
      </c>
      <c r="M4010" s="13" t="n">
        <f aca="true">K4010-TODAY()</f>
        <v>-20</v>
      </c>
      <c r="N4010" s="18" t="s">
        <v>105</v>
      </c>
      <c r="O4010" s="13" t="s">
        <v>16421</v>
      </c>
      <c r="P4010" s="26" t="n">
        <v>4000000</v>
      </c>
      <c r="Q4010" s="20" t="s">
        <v>16422</v>
      </c>
      <c r="R4010" s="13" t="s">
        <v>39</v>
      </c>
      <c r="S4010" s="25" t="n">
        <v>32315</v>
      </c>
      <c r="T4010" s="13" t="s">
        <v>40</v>
      </c>
      <c r="U4010" s="13" t="s">
        <v>16423</v>
      </c>
      <c r="V4010" s="13" t="s">
        <v>42</v>
      </c>
      <c r="W4010" s="13" t="s">
        <v>54</v>
      </c>
      <c r="X4010" s="21" t="s">
        <v>16424</v>
      </c>
      <c r="Y4010" s="22" t="str">
        <f aca="false">O4010</f>
        <v>Planning Dispatching Monitoring Staff</v>
      </c>
      <c r="Z4010" s="13" t="str">
        <f aca="false">IFERROR(__xludf.dummyfunction("if(BJ4010="""","""",GOOGLETRANSLATE(BJ4010,""auto"",""en""))"),"Planning Dispatching Monitoring Staff")</f>
        <v>Planning Dispatching Monitoring Staff</v>
      </c>
      <c r="AA4010" s="23" t="str">
        <f aca="false">IF(C4010="","", CHOOSE(MONTH(C4010),"January","February","March","April","May","June","July","August","September","October","November","December")&amp;" "&amp;DAY(C4010)&amp;MID("thstndrdth",MIN(9,2*RIGHT(DAY(C4010))*(MOD(DAY(C4010)-11,100)&gt;2)+1),2)&amp;","&amp;TEXT(C4010," yyyy"))</f>
        <v>July 30th,2026</v>
      </c>
      <c r="AB4010" s="15" t="str">
        <f aca="true">IF(S4010="","",DATEDIF(S4010,TODAY(),"Y")&amp;" Tahun, "&amp;DATEDIF(S4010,TODAY(),"YM")&amp;" Bulan, "&amp;DATEDIF(S4010,TODAY(),"MD")&amp;" Hari")</f>
        <v>38 Tahun, 4 Bulan, 8 Hari</v>
      </c>
      <c r="AC4010" s="14" t="n">
        <v>46233</v>
      </c>
      <c r="AD4010" s="18" t="n">
        <v>46304</v>
      </c>
      <c r="AE4010" s="13" t="s">
        <v>15637</v>
      </c>
    </row>
    <row r="4011" customFormat="false" ht="15" hidden="false" customHeight="true" outlineLevel="0" collapsed="false">
      <c r="A4011" s="12" t="n">
        <v>22639</v>
      </c>
      <c r="B4011" s="45" t="s">
        <v>16425</v>
      </c>
      <c r="C4011" s="14" t="n">
        <v>46245</v>
      </c>
      <c r="D4011" s="13" t="s">
        <v>6487</v>
      </c>
      <c r="E4011" s="15" t="s">
        <v>47</v>
      </c>
      <c r="F4011" s="24" t="s">
        <v>16426</v>
      </c>
      <c r="G4011" s="13" t="s">
        <v>1452</v>
      </c>
      <c r="H4011" s="13" t="s">
        <v>35</v>
      </c>
      <c r="I4011" s="13" t="str">
        <f aca="false">IF(C4011=J4011,"NEW KONTRAK","RE-KONTRAK")</f>
        <v>NEW KONTRAK</v>
      </c>
      <c r="J4011" s="16" t="n">
        <f aca="false" t="array" ref="J4011:J4011">IFERROR(INDEX(AC4011:AE4011,IF(COUNTA(AC4011:AE4011)=0,"",MAX((AC4011:AE4011&lt;&gt;"")*(COLUMN(AC4011:AE4011)-(COLUMN(AC4011)))))-1),"")</f>
        <v>46245</v>
      </c>
      <c r="K4011" s="16" t="n">
        <f aca="false" t="array" ref="K4011:K4011">IFERROR(INDEX(AC4011:AE4011,IF(COUNTA(AC4011:AE4011)=0,"",MAX((AC4011:AE4011&lt;&gt;"")*(COLUMN(AC4011:AE4011)-(COLUMN(AC4011)-1))))-1),"")</f>
        <v>46387</v>
      </c>
      <c r="L4011" s="17" t="str">
        <f aca="false" t="array" ref="L4011:L4011">IFERROR(INDEX(AC4011:AE4011,IF(COUNTA(AC4011:AE4011)=0,"",MAX((AC4011:AE4011&lt;&gt;"")*(COLUMN(AC4011:AE4011)-(COLUMN(AC4011)-2))))-1),"")</f>
        <v>KEMBALI</v>
      </c>
      <c r="M4011" s="13" t="n">
        <f aca="true">K4011-TODAY()</f>
        <v>63</v>
      </c>
      <c r="N4011" s="18" t="s">
        <v>4735</v>
      </c>
      <c r="O4011" s="13" t="s">
        <v>11196</v>
      </c>
      <c r="P4011" s="19" t="n">
        <v>3802862</v>
      </c>
      <c r="Q4011" s="20" t="s">
        <v>16427</v>
      </c>
      <c r="R4011" s="13" t="s">
        <v>78</v>
      </c>
      <c r="S4011" s="25" t="n">
        <v>32911</v>
      </c>
      <c r="T4011" s="13" t="s">
        <v>40</v>
      </c>
      <c r="U4011" s="13" t="s">
        <v>16428</v>
      </c>
      <c r="V4011" s="13" t="s">
        <v>42</v>
      </c>
      <c r="W4011" s="13" t="s">
        <v>54</v>
      </c>
      <c r="X4011" s="21" t="n">
        <v>85648479960</v>
      </c>
      <c r="Y4011" s="22" t="str">
        <f aca="false">O4011</f>
        <v>Helper Gudang</v>
      </c>
      <c r="Z4011" s="13" t="str">
        <f aca="false">IFERROR(__xludf.dummyfunction("if(BJ4011="""","""",GOOGLETRANSLATE(BJ4011,""auto"",""en""))"),"Helper Gudang")</f>
        <v>Helper Gudang</v>
      </c>
      <c r="AA4011" s="23" t="str">
        <f aca="false">IF(C4011="","", CHOOSE(MONTH(C4011),"January","February","March","April","May","June","July","August","September","October","November","December")&amp;" "&amp;DAY(C4011)&amp;MID("thstndrdth",MIN(9,2*RIGHT(DAY(C4011))*(MOD(DAY(C4011)-11,100)&gt;2)+1),2)&amp;","&amp;TEXT(C4011," yyyy"))</f>
        <v>August 11th,2026</v>
      </c>
      <c r="AB4011" s="15" t="str">
        <f aca="true">IF(S4011="","",DATEDIF(S4011,TODAY(),"Y")&amp;" Tahun, "&amp;DATEDIF(S4011,TODAY(),"YM")&amp;" Bulan, "&amp;DATEDIF(S4011,TODAY(),"MD")&amp;" Hari")</f>
        <v>36 Tahun, 8 Bulan, 22 Hari</v>
      </c>
      <c r="AC4011" s="14" t="n">
        <v>46245</v>
      </c>
      <c r="AD4011" s="18" t="n">
        <v>46387</v>
      </c>
      <c r="AE4011" s="13" t="s">
        <v>397</v>
      </c>
    </row>
    <row r="4012" customFormat="false" ht="15" hidden="false" customHeight="true" outlineLevel="0" collapsed="false">
      <c r="A4012" s="12" t="n">
        <v>22640</v>
      </c>
      <c r="B4012" s="45" t="s">
        <v>16429</v>
      </c>
      <c r="C4012" s="14" t="n">
        <v>46232</v>
      </c>
      <c r="D4012" s="13" t="s">
        <v>12814</v>
      </c>
      <c r="E4012" s="15" t="s">
        <v>47</v>
      </c>
      <c r="F4012" s="24" t="s">
        <v>16430</v>
      </c>
      <c r="G4012" s="13" t="s">
        <v>1452</v>
      </c>
      <c r="H4012" s="13" t="s">
        <v>35</v>
      </c>
      <c r="I4012" s="13" t="str">
        <f aca="false">IF(C4012=J4012,"NEW KONTRAK","RE-KONTRAK")</f>
        <v>NEW KONTRAK</v>
      </c>
      <c r="J4012" s="16" t="n">
        <f aca="false" t="array" ref="J4012:J4012">IFERROR(INDEX(AC4012:AE4012,IF(COUNTA(AC4012:AE4012)=0,"",MAX((AC4012:AE4012&lt;&gt;"")*(COLUMN(AC4012:AE4012)-(COLUMN(AC4012)))))-1),"")</f>
        <v>46232</v>
      </c>
      <c r="K4012" s="16" t="n">
        <f aca="false" t="array" ref="K4012:K4012">IFERROR(INDEX(AC4012:AE4012,IF(COUNTA(AC4012:AE4012)=0,"",MAX((AC4012:AE4012&lt;&gt;"")*(COLUMN(AC4012:AE4012)-(COLUMN(AC4012)-1))))-1),"")</f>
        <v>46323</v>
      </c>
      <c r="L4012" s="17" t="str">
        <f aca="false" t="array" ref="L4012:L4012">IFERROR(INDEX(AC4012:AE4012,IF(COUNTA(AC4012:AE4012)=0,"",MAX((AC4012:AE4012&lt;&gt;"")*(COLUMN(AC4012:AE4012)-(COLUMN(AC4012)-2))))-1),"")</f>
        <v>ARCHIVED</v>
      </c>
      <c r="M4012" s="13" t="n">
        <f aca="true">K4012-TODAY()</f>
        <v>-1</v>
      </c>
      <c r="N4012" s="18" t="s">
        <v>36</v>
      </c>
      <c r="O4012" s="13" t="s">
        <v>12815</v>
      </c>
      <c r="P4012" s="19" t="n">
        <v>5195401</v>
      </c>
      <c r="Q4012" s="20" t="s">
        <v>16431</v>
      </c>
      <c r="R4012" s="13" t="s">
        <v>52</v>
      </c>
      <c r="S4012" s="25" t="n">
        <v>39008</v>
      </c>
      <c r="T4012" s="13" t="s">
        <v>40</v>
      </c>
      <c r="U4012" s="13" t="s">
        <v>16432</v>
      </c>
      <c r="V4012" s="13" t="s">
        <v>42</v>
      </c>
      <c r="W4012" s="13" t="s">
        <v>43</v>
      </c>
      <c r="X4012" s="21" t="n">
        <v>88103664423</v>
      </c>
      <c r="Y4012" s="22" t="str">
        <f aca="false">O4012</f>
        <v>Cook Helper</v>
      </c>
      <c r="Z4012" s="13" t="str">
        <f aca="false">IFERROR(__xludf.dummyfunction("if(BJ4012="""","""",GOOGLETRANSLATE(BJ4012,""auto"",""en""))"),"Cook Helper")</f>
        <v>Cook Helper</v>
      </c>
      <c r="AA4012" s="23" t="str">
        <f aca="false">IF(C4012="","", CHOOSE(MONTH(C4012),"January","February","March","April","May","June","July","August","September","October","November","December")&amp;" "&amp;DAY(C4012)&amp;MID("thstndrdth",MIN(9,2*RIGHT(DAY(C4012))*(MOD(DAY(C4012)-11,100)&gt;2)+1),2)&amp;","&amp;TEXT(C4012," yyyy"))</f>
        <v>July 29th,2026</v>
      </c>
      <c r="AB4012" s="15" t="str">
        <f aca="true">IF(S4012="","",DATEDIF(S4012,TODAY(),"Y")&amp;" Tahun, "&amp;DATEDIF(S4012,TODAY(),"YM")&amp;" Bulan, "&amp;DATEDIF(S4012,TODAY(),"MD")&amp;" Hari")</f>
        <v>20 Tahun, 0 Bulan, 11 Hari</v>
      </c>
      <c r="AC4012" s="14" t="n">
        <v>46232</v>
      </c>
      <c r="AD4012" s="18" t="n">
        <f aca="false">EDATE(AC4012,3)-1</f>
        <v>46323</v>
      </c>
      <c r="AE4012" s="65" t="s">
        <v>44</v>
      </c>
    </row>
    <row r="4013" customFormat="false" ht="15" hidden="false" customHeight="true" outlineLevel="0" collapsed="false">
      <c r="A4013" s="12" t="n">
        <v>22641</v>
      </c>
      <c r="B4013" s="45" t="s">
        <v>16433</v>
      </c>
      <c r="C4013" s="14" t="n">
        <v>46237</v>
      </c>
      <c r="D4013" s="13" t="s">
        <v>5892</v>
      </c>
      <c r="E4013" s="15" t="s">
        <v>47</v>
      </c>
      <c r="F4013" s="24" t="s">
        <v>16434</v>
      </c>
      <c r="G4013" s="13" t="s">
        <v>1452</v>
      </c>
      <c r="H4013" s="13" t="s">
        <v>35</v>
      </c>
      <c r="I4013" s="13" t="str">
        <f aca="false">IF(C4013=J4013,"NEW KONTRAK","RE-KONTRAK")</f>
        <v>NEW KONTRAK</v>
      </c>
      <c r="J4013" s="16" t="n">
        <f aca="false" t="array" ref="J4013:J4013">IFERROR(INDEX(AC4013:AE4013,IF(COUNTA(AC4013:AE4013)=0,"",MAX((AC4013:AE4013&lt;&gt;"")*(COLUMN(AC4013:AE4013)-(COLUMN(AC4013)))))-1),"")</f>
        <v>46237</v>
      </c>
      <c r="K4013" s="16" t="n">
        <f aca="false" t="array" ref="K4013:K4013">IFERROR(INDEX(AC4013:AE4013,IF(COUNTA(AC4013:AE4013)=0,"",MAX((AC4013:AE4013&lt;&gt;"")*(COLUMN(AC4013:AE4013)-(COLUMN(AC4013)-1))))-1),"")</f>
        <v>46304</v>
      </c>
      <c r="L4013" s="17" t="str">
        <f aca="false" t="array" ref="L4013:L4013">IFERROR(INDEX(AC4013:AE4013,IF(COUNTA(AC4013:AE4013)=0,"",MAX((AC4013:AE4013&lt;&gt;"")*(COLUMN(AC4013:AE4013)-(COLUMN(AC4013)-2))))-1),"")</f>
        <v>KEMBALI</v>
      </c>
      <c r="M4013" s="13" t="n">
        <f aca="true">K4013-TODAY()</f>
        <v>-20</v>
      </c>
      <c r="N4013" s="18" t="s">
        <v>105</v>
      </c>
      <c r="O4013" s="13" t="s">
        <v>16435</v>
      </c>
      <c r="P4013" s="26" t="n">
        <v>3000000</v>
      </c>
      <c r="Q4013" s="20" t="s">
        <v>16436</v>
      </c>
      <c r="R4013" s="13" t="s">
        <v>39</v>
      </c>
      <c r="S4013" s="25" t="n">
        <v>36897</v>
      </c>
      <c r="T4013" s="13" t="s">
        <v>40</v>
      </c>
      <c r="U4013" s="13" t="s">
        <v>16437</v>
      </c>
      <c r="V4013" s="13" t="s">
        <v>42</v>
      </c>
      <c r="W4013" s="13" t="s">
        <v>43</v>
      </c>
      <c r="X4013" s="21" t="n">
        <v>81296712438</v>
      </c>
      <c r="Y4013" s="22" t="str">
        <f aca="false">O4013</f>
        <v>Admin Planner Transport</v>
      </c>
      <c r="Z4013" s="13" t="str">
        <f aca="false">IFERROR(__xludf.dummyfunction("if(BJ4013="""","""",GOOGLETRANSLATE(BJ4013,""auto"",""en""))"),"Admin Planner Transport")</f>
        <v>Admin Planner Transport</v>
      </c>
      <c r="AA4013" s="23" t="str">
        <f aca="false">IF(C4013="","", CHOOSE(MONTH(C4013),"January","February","March","April","May","June","July","August","September","October","November","December")&amp;" "&amp;DAY(C4013)&amp;MID("thstndrdth",MIN(9,2*RIGHT(DAY(C4013))*(MOD(DAY(C4013)-11,100)&gt;2)+1),2)&amp;","&amp;TEXT(C4013," yyyy"))</f>
        <v>August 3rd,2026</v>
      </c>
      <c r="AB4013" s="15" t="str">
        <f aca="true">IF(S4013="","",DATEDIF(S4013,TODAY(),"Y")&amp;" Tahun, "&amp;DATEDIF(S4013,TODAY(),"YM")&amp;" Bulan, "&amp;DATEDIF(S4013,TODAY(),"MD")&amp;" Hari")</f>
        <v>25 Tahun, 9 Bulan, 23 Hari</v>
      </c>
      <c r="AC4013" s="14" t="n">
        <v>46237</v>
      </c>
      <c r="AD4013" s="18" t="n">
        <v>46304</v>
      </c>
      <c r="AE4013" s="13" t="s">
        <v>397</v>
      </c>
    </row>
    <row r="4014" customFormat="false" ht="15" hidden="false" customHeight="true" outlineLevel="0" collapsed="false">
      <c r="A4014" s="12" t="n">
        <v>22642</v>
      </c>
      <c r="B4014" s="13" t="s">
        <v>16438</v>
      </c>
      <c r="C4014" s="14" t="n">
        <v>46244</v>
      </c>
      <c r="D4014" s="13" t="s">
        <v>6473</v>
      </c>
      <c r="E4014" s="15" t="s">
        <v>47</v>
      </c>
      <c r="F4014" s="24" t="s">
        <v>16439</v>
      </c>
      <c r="G4014" s="13" t="s">
        <v>1452</v>
      </c>
      <c r="H4014" s="13" t="s">
        <v>35</v>
      </c>
      <c r="I4014" s="13" t="str">
        <f aca="false">IF(C4014=J4014,"NEW KONTRAK","RE-KONTRAK")</f>
        <v>NEW KONTRAK</v>
      </c>
      <c r="J4014" s="16" t="n">
        <f aca="false" t="array" ref="J4014:J4014">IFERROR(INDEX(AC4014:AE4014,IF(COUNTA(AC4014:AE4014)=0,"",MAX((AC4014:AE4014&lt;&gt;"")*(COLUMN(AC4014:AE4014)-(COLUMN(AC4014)))))-1),"")</f>
        <v>46244</v>
      </c>
      <c r="K4014" s="16" t="n">
        <f aca="false" t="array" ref="K4014:K4014">IFERROR(INDEX(AC4014:AE4014,IF(COUNTA(AC4014:AE4014)=0,"",MAX((AC4014:AE4014&lt;&gt;"")*(COLUMN(AC4014:AE4014)-(COLUMN(AC4014)-1))))-1),"")</f>
        <v>46335</v>
      </c>
      <c r="L4014" s="17" t="str">
        <f aca="false" t="array" ref="L4014:L4014">IFERROR(INDEX(AC4014:AE4014,IF(COUNTA(AC4014:AE4014)=0,"",MAX((AC4014:AE4014&lt;&gt;"")*(COLUMN(AC4014:AE4014)-(COLUMN(AC4014)-2))))-1),"")</f>
        <v>KEMBALI</v>
      </c>
      <c r="M4014" s="13" t="n">
        <f aca="true">K4014-TODAY()</f>
        <v>11</v>
      </c>
      <c r="N4014" s="18" t="s">
        <v>728</v>
      </c>
      <c r="O4014" s="13" t="s">
        <v>11196</v>
      </c>
      <c r="P4014" s="26" t="n">
        <v>150000</v>
      </c>
      <c r="Q4014" s="20" t="s">
        <v>16440</v>
      </c>
      <c r="R4014" s="13" t="s">
        <v>39</v>
      </c>
      <c r="S4014" s="25" t="n">
        <v>37075</v>
      </c>
      <c r="T4014" s="13" t="s">
        <v>40</v>
      </c>
      <c r="U4014" s="13" t="s">
        <v>16441</v>
      </c>
      <c r="V4014" s="13" t="s">
        <v>42</v>
      </c>
      <c r="W4014" s="13" t="s">
        <v>43</v>
      </c>
      <c r="X4014" s="21" t="n">
        <v>8993742605</v>
      </c>
      <c r="Y4014" s="22" t="str">
        <f aca="false">O4014</f>
        <v>Helper Gudang</v>
      </c>
      <c r="Z4014" s="13" t="str">
        <f aca="false">IFERROR(__xludf.dummyfunction("if(BJ4014="""","""",GOOGLETRANSLATE(BJ4014,""auto"",""en""))"),"Helper Gudang")</f>
        <v>Helper Gudang</v>
      </c>
      <c r="AA4014" s="23" t="str">
        <f aca="false">IF(C4014="","", CHOOSE(MONTH(C4014),"January","February","March","April","May","June","July","August","September","October","November","December")&amp;" "&amp;DAY(C4014)&amp;MID("thstndrdth",MIN(9,2*RIGHT(DAY(C4014))*(MOD(DAY(C4014)-11,100)&gt;2)+1),2)&amp;","&amp;TEXT(C4014," yyyy"))</f>
        <v>August 10th,2026</v>
      </c>
      <c r="AB4014" s="15" t="str">
        <f aca="true">IF(S4014="","",DATEDIF(S4014,TODAY(),"Y")&amp;" Tahun, "&amp;DATEDIF(S4014,TODAY(),"YM")&amp;" Bulan, "&amp;DATEDIF(S4014,TODAY(),"MD")&amp;" Hari")</f>
        <v>25 Tahun, 3 Bulan, 26 Hari</v>
      </c>
      <c r="AC4014" s="14" t="n">
        <v>46244</v>
      </c>
      <c r="AD4014" s="18" t="n">
        <f aca="false">EDATE(AC4014,3)-1</f>
        <v>46335</v>
      </c>
      <c r="AE4014" s="13" t="s">
        <v>397</v>
      </c>
    </row>
    <row r="4015" customFormat="false" ht="15" hidden="false" customHeight="true" outlineLevel="0" collapsed="false">
      <c r="A4015" s="12" t="n">
        <v>22644</v>
      </c>
      <c r="B4015" s="45" t="s">
        <v>16442</v>
      </c>
      <c r="C4015" s="14" t="n">
        <v>46242</v>
      </c>
      <c r="D4015" s="13" t="s">
        <v>10735</v>
      </c>
      <c r="E4015" s="15" t="s">
        <v>47</v>
      </c>
      <c r="F4015" s="24" t="s">
        <v>16443</v>
      </c>
      <c r="G4015" s="13" t="s">
        <v>1452</v>
      </c>
      <c r="H4015" s="13" t="s">
        <v>35</v>
      </c>
      <c r="I4015" s="13" t="str">
        <f aca="false">IF(C4015=J4015,"NEW KONTRAK","RE-KONTRAK")</f>
        <v>NEW KONTRAK</v>
      </c>
      <c r="J4015" s="16" t="n">
        <f aca="false" t="array" ref="J4015:J4015">IFERROR(INDEX(AC4015:AE4015,IF(COUNTA(AC4015:AE4015)=0,"",MAX((AC4015:AE4015&lt;&gt;"")*(COLUMN(AC4015:AE4015)-(COLUMN(AC4015)))))-1),"")</f>
        <v>46242</v>
      </c>
      <c r="K4015" s="16" t="n">
        <f aca="false" t="array" ref="K4015:K4015">IFERROR(INDEX(AC4015:AE4015,IF(COUNTA(AC4015:AE4015)=0,"",MAX((AC4015:AE4015&lt;&gt;"")*(COLUMN(AC4015:AE4015)-(COLUMN(AC4015)-1))))-1),"")</f>
        <v>46333</v>
      </c>
      <c r="L4015" s="17" t="str">
        <f aca="false" t="array" ref="L4015:L4015">IFERROR(INDEX(AC4015:AE4015,IF(COUNTA(AC4015:AE4015)=0,"",MAX((AC4015:AE4015&lt;&gt;"")*(COLUMN(AC4015:AE4015)-(COLUMN(AC4015)-2))))-1),"")</f>
        <v>ARCHIVED</v>
      </c>
      <c r="M4015" s="13" t="n">
        <f aca="true">K4015-TODAY()</f>
        <v>9</v>
      </c>
      <c r="N4015" s="18" t="s">
        <v>4735</v>
      </c>
      <c r="O4015" s="13" t="s">
        <v>12429</v>
      </c>
      <c r="P4015" s="26" t="n">
        <v>2500000</v>
      </c>
      <c r="Q4015" s="20" t="s">
        <v>16444</v>
      </c>
      <c r="R4015" s="13" t="s">
        <v>83</v>
      </c>
      <c r="S4015" s="25" t="n">
        <v>29281</v>
      </c>
      <c r="T4015" s="13" t="s">
        <v>108</v>
      </c>
      <c r="U4015" s="13" t="s">
        <v>16445</v>
      </c>
      <c r="V4015" s="13" t="s">
        <v>42</v>
      </c>
      <c r="W4015" s="13" t="s">
        <v>54</v>
      </c>
      <c r="X4015" s="21" t="s">
        <v>16446</v>
      </c>
      <c r="Y4015" s="22" t="str">
        <f aca="false">O4015</f>
        <v>Beauty Advisor</v>
      </c>
      <c r="Z4015" s="13" t="str">
        <f aca="false">IFERROR(__xludf.dummyfunction("if(BJ4015="""","""",GOOGLETRANSLATE(BJ4015,""auto"",""en""))"),"Beauty Advisor")</f>
        <v>Beauty Advisor</v>
      </c>
      <c r="AA4015" s="23" t="str">
        <f aca="false">IF(C4015="","", CHOOSE(MONTH(C4015),"January","February","March","April","May","June","July","August","September","October","November","December")&amp;" "&amp;DAY(C4015)&amp;MID("thstndrdth",MIN(9,2*RIGHT(DAY(C4015))*(MOD(DAY(C4015)-11,100)&gt;2)+1),2)&amp;","&amp;TEXT(C4015," yyyy"))</f>
        <v>August 8th,2026</v>
      </c>
      <c r="AB4015" s="15" t="str">
        <f aca="true">IF(S4015="","",DATEDIF(S4015,TODAY(),"Y")&amp;" Tahun, "&amp;DATEDIF(S4015,TODAY(),"YM")&amp;" Bulan, "&amp;DATEDIF(S4015,TODAY(),"MD")&amp;" Hari")</f>
        <v>46 Tahun, 7 Bulan, 28 Hari</v>
      </c>
      <c r="AC4015" s="14" t="n">
        <v>46242</v>
      </c>
      <c r="AD4015" s="18" t="n">
        <f aca="false">EDATE(AC4015,3)-1</f>
        <v>46333</v>
      </c>
      <c r="AE4015" s="45" t="s">
        <v>44</v>
      </c>
    </row>
    <row r="4016" customFormat="false" ht="15" hidden="false" customHeight="true" outlineLevel="0" collapsed="false">
      <c r="A4016" s="12" t="n">
        <v>22645</v>
      </c>
      <c r="B4016" s="45" t="s">
        <v>16447</v>
      </c>
      <c r="C4016" s="14" t="n">
        <v>46235</v>
      </c>
      <c r="D4016" s="13" t="s">
        <v>3573</v>
      </c>
      <c r="E4016" s="15" t="s">
        <v>47</v>
      </c>
      <c r="F4016" s="24" t="s">
        <v>16448</v>
      </c>
      <c r="G4016" s="15" t="n">
        <v>1706776525</v>
      </c>
      <c r="H4016" s="13" t="s">
        <v>35</v>
      </c>
      <c r="I4016" s="13" t="str">
        <f aca="false">IF(C4016=J4016,"NEW KONTRAK","RE-KONTRAK")</f>
        <v>NEW KONTRAK</v>
      </c>
      <c r="J4016" s="16" t="n">
        <f aca="false" t="array" ref="J4016:J4016">IFERROR(INDEX(AC4016:AE4016,IF(COUNTA(AC4016:AE4016)=0,"",MAX((AC4016:AE4016&lt;&gt;"")*(COLUMN(AC4016:AE4016)-(COLUMN(AC4016)))))-1),"")</f>
        <v>46235</v>
      </c>
      <c r="K4016" s="16" t="n">
        <f aca="false" t="array" ref="K4016:K4016">IFERROR(INDEX(AC4016:AE4016,IF(COUNTA(AC4016:AE4016)=0,"",MAX((AC4016:AE4016&lt;&gt;"")*(COLUMN(AC4016:AE4016)-(COLUMN(AC4016)-1))))-1),"")</f>
        <v>46326</v>
      </c>
      <c r="L4016" s="17" t="str">
        <f aca="false" t="array" ref="L4016:L4016">IFERROR(INDEX(AC4016:AE4016,IF(COUNTA(AC4016:AE4016)=0,"",MAX((AC4016:AE4016&lt;&gt;"")*(COLUMN(AC4016:AE4016)-(COLUMN(AC4016)-2))))-1),"")</f>
        <v>KEMBALI</v>
      </c>
      <c r="M4016" s="13" t="n">
        <f aca="true">K4016-TODAY()</f>
        <v>2</v>
      </c>
      <c r="N4016" s="18" t="s">
        <v>3576</v>
      </c>
      <c r="O4016" s="13" t="s">
        <v>16449</v>
      </c>
      <c r="P4016" s="26" t="n">
        <v>2500000</v>
      </c>
      <c r="Q4016" s="20" t="s">
        <v>16450</v>
      </c>
      <c r="R4016" s="13" t="s">
        <v>232</v>
      </c>
      <c r="S4016" s="25" t="n">
        <v>33218</v>
      </c>
      <c r="T4016" s="13" t="s">
        <v>108</v>
      </c>
      <c r="U4016" s="13" t="s">
        <v>16451</v>
      </c>
      <c r="V4016" s="13" t="s">
        <v>42</v>
      </c>
      <c r="W4016" s="13" t="s">
        <v>2402</v>
      </c>
      <c r="X4016" s="21" t="n">
        <v>8819037986</v>
      </c>
      <c r="Y4016" s="22" t="str">
        <f aca="false">O4016</f>
        <v>Product Colour Consultan</v>
      </c>
      <c r="Z4016" s="13" t="str">
        <f aca="false">IFERROR(__xludf.dummyfunction("if(BJ4016="""","""",GOOGLETRANSLATE(BJ4016,""auto"",""en""))"),"Product Colour Consultan")</f>
        <v>Product Colour Consultan</v>
      </c>
      <c r="AA4016" s="23" t="str">
        <f aca="false">IF(C4016="","", CHOOSE(MONTH(C4016),"January","February","March","April","May","June","July","August","September","October","November","December")&amp;" "&amp;DAY(C4016)&amp;MID("thstndrdth",MIN(9,2*RIGHT(DAY(C4016))*(MOD(DAY(C4016)-11,100)&gt;2)+1),2)&amp;","&amp;TEXT(C4016," yyyy"))</f>
        <v>August 1st,2026</v>
      </c>
      <c r="AB4016" s="15" t="str">
        <f aca="true">IF(S4016="","",DATEDIF(S4016,TODAY(),"Y")&amp;" Tahun, "&amp;DATEDIF(S4016,TODAY(),"YM")&amp;" Bulan, "&amp;DATEDIF(S4016,TODAY(),"MD")&amp;" Hari")</f>
        <v>35 Tahun, 10 Bulan, 18 Hari</v>
      </c>
      <c r="AC4016" s="14" t="n">
        <v>46235</v>
      </c>
      <c r="AD4016" s="18" t="n">
        <f aca="false">EDATE(AC4016,3)-1</f>
        <v>46326</v>
      </c>
      <c r="AE4016" s="13" t="s">
        <v>397</v>
      </c>
    </row>
    <row r="4017" customFormat="false" ht="15" hidden="false" customHeight="true" outlineLevel="0" collapsed="false">
      <c r="A4017" s="12" t="n">
        <v>22646</v>
      </c>
      <c r="B4017" s="45" t="s">
        <v>16452</v>
      </c>
      <c r="C4017" s="14" t="n">
        <v>46235</v>
      </c>
      <c r="D4017" s="13" t="s">
        <v>3573</v>
      </c>
      <c r="E4017" s="15" t="s">
        <v>789</v>
      </c>
      <c r="F4017" s="24" t="s">
        <v>16453</v>
      </c>
      <c r="G4017" s="15" t="n">
        <v>740012905</v>
      </c>
      <c r="H4017" s="13" t="s">
        <v>35</v>
      </c>
      <c r="I4017" s="13" t="str">
        <f aca="false">IF(C4017=J4017,"NEW KONTRAK","RE-KONTRAK")</f>
        <v>NEW KONTRAK</v>
      </c>
      <c r="J4017" s="16" t="n">
        <f aca="false" t="array" ref="J4017:J4017">IFERROR(INDEX(AC4017:AE4017,IF(COUNTA(AC4017:AE4017)=0,"",MAX((AC4017:AE4017&lt;&gt;"")*(COLUMN(AC4017:AE4017)-(COLUMN(AC4017)))))-1),"")</f>
        <v>46235</v>
      </c>
      <c r="K4017" s="16" t="n">
        <f aca="false" t="array" ref="K4017:K4017">IFERROR(INDEX(AC4017:AE4017,IF(COUNTA(AC4017:AE4017)=0,"",MAX((AC4017:AE4017&lt;&gt;"")*(COLUMN(AC4017:AE4017)-(COLUMN(AC4017)-1))))-1),"")</f>
        <v>46326</v>
      </c>
      <c r="L4017" s="17" t="str">
        <f aca="false" t="array" ref="L4017:L4017">IFERROR(INDEX(AC4017:AE4017,IF(COUNTA(AC4017:AE4017)=0,"",MAX((AC4017:AE4017&lt;&gt;"")*(COLUMN(AC4017:AE4017)-(COLUMN(AC4017)-2))))-1),"")</f>
        <v>KEMBALI</v>
      </c>
      <c r="M4017" s="13" t="n">
        <f aca="true">K4017-TODAY()</f>
        <v>2</v>
      </c>
      <c r="N4017" s="18" t="s">
        <v>3576</v>
      </c>
      <c r="O4017" s="13" t="s">
        <v>16449</v>
      </c>
      <c r="P4017" s="26" t="n">
        <v>2500000</v>
      </c>
      <c r="Q4017" s="20" t="s">
        <v>16454</v>
      </c>
      <c r="R4017" s="13" t="s">
        <v>274</v>
      </c>
      <c r="S4017" s="25" t="n">
        <v>35498</v>
      </c>
      <c r="T4017" s="13" t="s">
        <v>108</v>
      </c>
      <c r="U4017" s="13" t="s">
        <v>16455</v>
      </c>
      <c r="V4017" s="13" t="s">
        <v>42</v>
      </c>
      <c r="W4017" s="13" t="s">
        <v>43</v>
      </c>
      <c r="X4017" s="21" t="n">
        <v>8983613046</v>
      </c>
      <c r="Y4017" s="22" t="str">
        <f aca="false">O4017</f>
        <v>Product Colour Consultan</v>
      </c>
      <c r="Z4017" s="13" t="str">
        <f aca="false">IFERROR(__xludf.dummyfunction("if(BJ4017="""","""",GOOGLETRANSLATE(BJ4017,""auto"",""en""))"),"Product Colour Consultan")</f>
        <v>Product Colour Consultan</v>
      </c>
      <c r="AA4017" s="23" t="str">
        <f aca="false">IF(C4017="","", CHOOSE(MONTH(C4017),"January","February","March","April","May","June","July","August","September","October","November","December")&amp;" "&amp;DAY(C4017)&amp;MID("thstndrdth",MIN(9,2*RIGHT(DAY(C4017))*(MOD(DAY(C4017)-11,100)&gt;2)+1),2)&amp;","&amp;TEXT(C4017," yyyy"))</f>
        <v>August 1st,2026</v>
      </c>
      <c r="AB4017" s="15" t="str">
        <f aca="true">IF(S4017="","",DATEDIF(S4017,TODAY(),"Y")&amp;" Tahun, "&amp;DATEDIF(S4017,TODAY(),"YM")&amp;" Bulan, "&amp;DATEDIF(S4017,TODAY(),"MD")&amp;" Hari")</f>
        <v>29 Tahun, 7 Bulan, 20 Hari</v>
      </c>
      <c r="AC4017" s="14" t="n">
        <v>46235</v>
      </c>
      <c r="AD4017" s="18" t="n">
        <f aca="false">EDATE(AC4017,3)-1</f>
        <v>46326</v>
      </c>
      <c r="AE4017" s="13" t="s">
        <v>397</v>
      </c>
    </row>
    <row r="4018" customFormat="false" ht="15" hidden="false" customHeight="true" outlineLevel="0" collapsed="false">
      <c r="A4018" s="12" t="n">
        <v>22647</v>
      </c>
      <c r="B4018" s="45" t="s">
        <v>16456</v>
      </c>
      <c r="C4018" s="14" t="n">
        <v>46235</v>
      </c>
      <c r="D4018" s="13" t="s">
        <v>3573</v>
      </c>
      <c r="E4018" s="15" t="s">
        <v>47</v>
      </c>
      <c r="F4018" s="24" t="s">
        <v>16457</v>
      </c>
      <c r="G4018" s="15" t="n">
        <v>2175735644</v>
      </c>
      <c r="H4018" s="13" t="s">
        <v>35</v>
      </c>
      <c r="I4018" s="13" t="str">
        <f aca="false">IF(C4018=J4018,"NEW KONTRAK","RE-KONTRAK")</f>
        <v>NEW KONTRAK</v>
      </c>
      <c r="J4018" s="16" t="n">
        <f aca="false" t="array" ref="J4018:J4018">IFERROR(INDEX(AC4018:AE4018,IF(COUNTA(AC4018:AE4018)=0,"",MAX((AC4018:AE4018&lt;&gt;"")*(COLUMN(AC4018:AE4018)-(COLUMN(AC4018)))))-1),"")</f>
        <v>46235</v>
      </c>
      <c r="K4018" s="16" t="n">
        <f aca="false" t="array" ref="K4018:K4018">IFERROR(INDEX(AC4018:AE4018,IF(COUNTA(AC4018:AE4018)=0,"",MAX((AC4018:AE4018&lt;&gt;"")*(COLUMN(AC4018:AE4018)-(COLUMN(AC4018)-1))))-1),"")</f>
        <v>46326</v>
      </c>
      <c r="L4018" s="17" t="str">
        <f aca="false" t="array" ref="L4018:L4018">IFERROR(INDEX(AC4018:AE4018,IF(COUNTA(AC4018:AE4018)=0,"",MAX((AC4018:AE4018&lt;&gt;"")*(COLUMN(AC4018:AE4018)-(COLUMN(AC4018)-2))))-1),"")</f>
        <v>KEMBALI</v>
      </c>
      <c r="M4018" s="13" t="n">
        <f aca="true">K4018-TODAY()</f>
        <v>2</v>
      </c>
      <c r="N4018" s="18" t="s">
        <v>3576</v>
      </c>
      <c r="O4018" s="13" t="s">
        <v>16449</v>
      </c>
      <c r="P4018" s="26" t="n">
        <v>2500000</v>
      </c>
      <c r="Q4018" s="20" t="s">
        <v>16458</v>
      </c>
      <c r="R4018" s="13" t="s">
        <v>260</v>
      </c>
      <c r="S4018" s="25" t="n">
        <v>35975</v>
      </c>
      <c r="T4018" s="13" t="s">
        <v>108</v>
      </c>
      <c r="U4018" s="13" t="s">
        <v>16459</v>
      </c>
      <c r="V4018" s="13" t="s">
        <v>42</v>
      </c>
      <c r="W4018" s="13" t="s">
        <v>54</v>
      </c>
      <c r="X4018" s="21" t="n">
        <v>81555326630</v>
      </c>
      <c r="Y4018" s="22" t="str">
        <f aca="false">O4018</f>
        <v>Product Colour Consultan</v>
      </c>
      <c r="Z4018" s="13" t="str">
        <f aca="false">IFERROR(__xludf.dummyfunction("if(BJ4018="""","""",GOOGLETRANSLATE(BJ4018,""auto"",""en""))"),"Product Colour Consultan")</f>
        <v>Product Colour Consultan</v>
      </c>
      <c r="AA4018" s="23" t="str">
        <f aca="false">IF(C4018="","", CHOOSE(MONTH(C4018),"January","February","March","April","May","June","July","August","September","October","November","December")&amp;" "&amp;DAY(C4018)&amp;MID("thstndrdth",MIN(9,2*RIGHT(DAY(C4018))*(MOD(DAY(C4018)-11,100)&gt;2)+1),2)&amp;","&amp;TEXT(C4018," yyyy"))</f>
        <v>August 1st,2026</v>
      </c>
      <c r="AB4018" s="15" t="str">
        <f aca="true">IF(S4018="","",DATEDIF(S4018,TODAY(),"Y")&amp;" Tahun, "&amp;DATEDIF(S4018,TODAY(),"YM")&amp;" Bulan, "&amp;DATEDIF(S4018,TODAY(),"MD")&amp;" Hari")</f>
        <v>28 Tahun, 4 Bulan, 0 Hari</v>
      </c>
      <c r="AC4018" s="14" t="n">
        <v>46235</v>
      </c>
      <c r="AD4018" s="18" t="n">
        <f aca="false">EDATE(AC4018,3)-1</f>
        <v>46326</v>
      </c>
      <c r="AE4018" s="13" t="s">
        <v>397</v>
      </c>
    </row>
    <row r="4019" customFormat="false" ht="15" hidden="false" customHeight="true" outlineLevel="0" collapsed="false">
      <c r="A4019" s="12" t="n">
        <v>22648</v>
      </c>
      <c r="B4019" s="45" t="s">
        <v>16460</v>
      </c>
      <c r="C4019" s="14" t="n">
        <v>46235</v>
      </c>
      <c r="D4019" s="13" t="s">
        <v>3573</v>
      </c>
      <c r="E4019" s="15" t="s">
        <v>47</v>
      </c>
      <c r="F4019" s="24" t="s">
        <v>16461</v>
      </c>
      <c r="G4019" s="15" t="n">
        <v>1544392315</v>
      </c>
      <c r="H4019" s="13" t="s">
        <v>35</v>
      </c>
      <c r="I4019" s="13" t="str">
        <f aca="false">IF(C4019=J4019,"NEW KONTRAK","RE-KONTRAK")</f>
        <v>NEW KONTRAK</v>
      </c>
      <c r="J4019" s="16" t="n">
        <f aca="false" t="array" ref="J4019:J4019">IFERROR(INDEX(AC4019:AE4019,IF(COUNTA(AC4019:AE4019)=0,"",MAX((AC4019:AE4019&lt;&gt;"")*(COLUMN(AC4019:AE4019)-(COLUMN(AC4019)))))-1),"")</f>
        <v>46235</v>
      </c>
      <c r="K4019" s="16" t="n">
        <f aca="false" t="array" ref="K4019:K4019">IFERROR(INDEX(AC4019:AE4019,IF(COUNTA(AC4019:AE4019)=0,"",MAX((AC4019:AE4019&lt;&gt;"")*(COLUMN(AC4019:AE4019)-(COLUMN(AC4019)-1))))-1),"")</f>
        <v>46326</v>
      </c>
      <c r="L4019" s="17" t="str">
        <f aca="false" t="array" ref="L4019:L4019">IFERROR(INDEX(AC4019:AE4019,IF(COUNTA(AC4019:AE4019)=0,"",MAX((AC4019:AE4019&lt;&gt;"")*(COLUMN(AC4019:AE4019)-(COLUMN(AC4019)-2))))-1),"")</f>
        <v>KEMBALI</v>
      </c>
      <c r="M4019" s="13" t="n">
        <f aca="true">K4019-TODAY()</f>
        <v>2</v>
      </c>
      <c r="N4019" s="18" t="s">
        <v>3576</v>
      </c>
      <c r="O4019" s="13" t="s">
        <v>16449</v>
      </c>
      <c r="P4019" s="26" t="n">
        <v>2500000</v>
      </c>
      <c r="Q4019" s="20" t="s">
        <v>16462</v>
      </c>
      <c r="R4019" s="13" t="s">
        <v>260</v>
      </c>
      <c r="S4019" s="25" t="n">
        <v>33886</v>
      </c>
      <c r="T4019" s="13" t="s">
        <v>108</v>
      </c>
      <c r="U4019" s="13" t="s">
        <v>16463</v>
      </c>
      <c r="V4019" s="13" t="s">
        <v>42</v>
      </c>
      <c r="W4019" s="13" t="s">
        <v>54</v>
      </c>
      <c r="X4019" s="21" t="n">
        <v>85606979200</v>
      </c>
      <c r="Y4019" s="22" t="str">
        <f aca="false">O4019</f>
        <v>Product Colour Consultan</v>
      </c>
      <c r="Z4019" s="13" t="str">
        <f aca="false">IFERROR(__xludf.dummyfunction("if(BJ4019="""","""",GOOGLETRANSLATE(BJ4019,""auto"",""en""))"),"Product Colour Consultan")</f>
        <v>Product Colour Consultan</v>
      </c>
      <c r="AA4019" s="23" t="str">
        <f aca="false">IF(C4019="","", CHOOSE(MONTH(C4019),"January","February","March","April","May","June","July","August","September","October","November","December")&amp;" "&amp;DAY(C4019)&amp;MID("thstndrdth",MIN(9,2*RIGHT(DAY(C4019))*(MOD(DAY(C4019)-11,100)&gt;2)+1),2)&amp;","&amp;TEXT(C4019," yyyy"))</f>
        <v>August 1st,2026</v>
      </c>
      <c r="AB4019" s="15" t="str">
        <f aca="true">IF(S4019="","",DATEDIF(S4019,TODAY(),"Y")&amp;" Tahun, "&amp;DATEDIF(S4019,TODAY(),"YM")&amp;" Bulan, "&amp;DATEDIF(S4019,TODAY(),"MD")&amp;" Hari")</f>
        <v>34 Tahun, 0 Bulan, 20 Hari</v>
      </c>
      <c r="AC4019" s="14" t="n">
        <v>46235</v>
      </c>
      <c r="AD4019" s="18" t="n">
        <f aca="false">EDATE(AC4019,3)-1</f>
        <v>46326</v>
      </c>
      <c r="AE4019" s="13" t="s">
        <v>397</v>
      </c>
    </row>
    <row r="4020" customFormat="false" ht="15" hidden="false" customHeight="true" outlineLevel="0" collapsed="false">
      <c r="A4020" s="12" t="n">
        <v>22649</v>
      </c>
      <c r="B4020" s="45" t="s">
        <v>16464</v>
      </c>
      <c r="C4020" s="14" t="n">
        <v>46235</v>
      </c>
      <c r="D4020" s="13" t="s">
        <v>3573</v>
      </c>
      <c r="E4020" s="15" t="s">
        <v>47</v>
      </c>
      <c r="F4020" s="24" t="s">
        <v>16465</v>
      </c>
      <c r="G4020" s="15" t="n">
        <v>1152571623</v>
      </c>
      <c r="H4020" s="13" t="s">
        <v>35</v>
      </c>
      <c r="I4020" s="13" t="str">
        <f aca="false">IF(C4020=J4020,"NEW KONTRAK","RE-KONTRAK")</f>
        <v>NEW KONTRAK</v>
      </c>
      <c r="J4020" s="16" t="n">
        <f aca="false" t="array" ref="J4020:J4020">IFERROR(INDEX(AC4020:AE4020,IF(COUNTA(AC4020:AE4020)=0,"",MAX((AC4020:AE4020&lt;&gt;"")*(COLUMN(AC4020:AE4020)-(COLUMN(AC4020)))))-1),"")</f>
        <v>46235</v>
      </c>
      <c r="K4020" s="16" t="n">
        <f aca="false" t="array" ref="K4020:K4020">IFERROR(INDEX(AC4020:AE4020,IF(COUNTA(AC4020:AE4020)=0,"",MAX((AC4020:AE4020&lt;&gt;"")*(COLUMN(AC4020:AE4020)-(COLUMN(AC4020)-1))))-1),"")</f>
        <v>46326</v>
      </c>
      <c r="L4020" s="17" t="str">
        <f aca="false" t="array" ref="L4020:L4020">IFERROR(INDEX(AC4020:AE4020,IF(COUNTA(AC4020:AE4020)=0,"",MAX((AC4020:AE4020&lt;&gt;"")*(COLUMN(AC4020:AE4020)-(COLUMN(AC4020)-2))))-1),"")</f>
        <v>KEMBALI</v>
      </c>
      <c r="M4020" s="13" t="n">
        <f aca="true">K4020-TODAY()</f>
        <v>2</v>
      </c>
      <c r="N4020" s="18" t="s">
        <v>3576</v>
      </c>
      <c r="O4020" s="13" t="s">
        <v>16449</v>
      </c>
      <c r="P4020" s="26" t="n">
        <v>2500000</v>
      </c>
      <c r="Q4020" s="20" t="s">
        <v>16466</v>
      </c>
      <c r="R4020" s="13" t="s">
        <v>260</v>
      </c>
      <c r="S4020" s="25" t="n">
        <v>34422</v>
      </c>
      <c r="T4020" s="13" t="s">
        <v>40</v>
      </c>
      <c r="U4020" s="13" t="s">
        <v>16467</v>
      </c>
      <c r="V4020" s="13" t="s">
        <v>42</v>
      </c>
      <c r="W4020" s="13" t="s">
        <v>43</v>
      </c>
      <c r="X4020" s="21" t="n">
        <v>81917318094</v>
      </c>
      <c r="Y4020" s="22" t="str">
        <f aca="false">O4020</f>
        <v>Product Colour Consultan</v>
      </c>
      <c r="Z4020" s="13" t="str">
        <f aca="false">IFERROR(__xludf.dummyfunction("if(BJ4020="""","""",GOOGLETRANSLATE(BJ4020,""auto"",""en""))"),"Product Colour Consultan")</f>
        <v>Product Colour Consultan</v>
      </c>
      <c r="AA4020" s="23" t="str">
        <f aca="false">IF(C4020="","", CHOOSE(MONTH(C4020),"January","February","March","April","May","June","July","August","September","October","November","December")&amp;" "&amp;DAY(C4020)&amp;MID("thstndrdth",MIN(9,2*RIGHT(DAY(C4020))*(MOD(DAY(C4020)-11,100)&gt;2)+1),2)&amp;","&amp;TEXT(C4020," yyyy"))</f>
        <v>August 1st,2026</v>
      </c>
      <c r="AB4020" s="15" t="str">
        <f aca="true">IF(S4020="","",DATEDIF(S4020,TODAY(),"Y")&amp;" Tahun, "&amp;DATEDIF(S4020,TODAY(),"YM")&amp;" Bulan, "&amp;DATEDIF(S4020,TODAY(),"MD")&amp;" Hari")</f>
        <v>32 Tahun, 7 Bulan, 0 Hari</v>
      </c>
      <c r="AC4020" s="14" t="n">
        <v>46235</v>
      </c>
      <c r="AD4020" s="18" t="n">
        <f aca="false">EDATE(AC4020,3)-1</f>
        <v>46326</v>
      </c>
      <c r="AE4020" s="13" t="s">
        <v>397</v>
      </c>
    </row>
    <row r="4021" customFormat="false" ht="15" hidden="false" customHeight="true" outlineLevel="0" collapsed="false">
      <c r="A4021" s="12" t="n">
        <v>22650</v>
      </c>
      <c r="B4021" s="45" t="s">
        <v>16468</v>
      </c>
      <c r="C4021" s="14" t="n">
        <v>46235</v>
      </c>
      <c r="D4021" s="13" t="s">
        <v>3573</v>
      </c>
      <c r="E4021" s="15" t="s">
        <v>47</v>
      </c>
      <c r="F4021" s="24" t="s">
        <v>16469</v>
      </c>
      <c r="G4021" s="15" t="n">
        <v>2463980005</v>
      </c>
      <c r="H4021" s="13" t="s">
        <v>35</v>
      </c>
      <c r="I4021" s="13" t="str">
        <f aca="false">IF(C4021=J4021,"NEW KONTRAK","RE-KONTRAK")</f>
        <v>NEW KONTRAK</v>
      </c>
      <c r="J4021" s="16" t="n">
        <f aca="false" t="array" ref="J4021:J4021">IFERROR(INDEX(AC4021:AE4021,IF(COUNTA(AC4021:AE4021)=0,"",MAX((AC4021:AE4021&lt;&gt;"")*(COLUMN(AC4021:AE4021)-(COLUMN(AC4021)))))-1),"")</f>
        <v>46235</v>
      </c>
      <c r="K4021" s="16" t="n">
        <f aca="false" t="array" ref="K4021:K4021">IFERROR(INDEX(AC4021:AE4021,IF(COUNTA(AC4021:AE4021)=0,"",MAX((AC4021:AE4021&lt;&gt;"")*(COLUMN(AC4021:AE4021)-(COLUMN(AC4021)-1))))-1),"")</f>
        <v>46326</v>
      </c>
      <c r="L4021" s="17" t="str">
        <f aca="false" t="array" ref="L4021:L4021">IFERROR(INDEX(AC4021:AE4021,IF(COUNTA(AC4021:AE4021)=0,"",MAX((AC4021:AE4021&lt;&gt;"")*(COLUMN(AC4021:AE4021)-(COLUMN(AC4021)-2))))-1),"")</f>
        <v>KEMBALI</v>
      </c>
      <c r="M4021" s="13" t="n">
        <f aca="true">K4021-TODAY()</f>
        <v>2</v>
      </c>
      <c r="N4021" s="18" t="s">
        <v>3576</v>
      </c>
      <c r="O4021" s="13" t="s">
        <v>16449</v>
      </c>
      <c r="P4021" s="26" t="n">
        <v>2500000</v>
      </c>
      <c r="Q4021" s="20" t="s">
        <v>16470</v>
      </c>
      <c r="R4021" s="13" t="s">
        <v>401</v>
      </c>
      <c r="S4021" s="25" t="n">
        <v>33044</v>
      </c>
      <c r="T4021" s="13" t="s">
        <v>40</v>
      </c>
      <c r="U4021" s="13" t="s">
        <v>16471</v>
      </c>
      <c r="V4021" s="13" t="s">
        <v>42</v>
      </c>
      <c r="W4021" s="13" t="s">
        <v>54</v>
      </c>
      <c r="X4021" s="21" t="n">
        <v>82233629677</v>
      </c>
      <c r="Y4021" s="22" t="str">
        <f aca="false">O4021</f>
        <v>Product Colour Consultan</v>
      </c>
      <c r="Z4021" s="13" t="str">
        <f aca="false">IFERROR(__xludf.dummyfunction("if(BJ4021="""","""",GOOGLETRANSLATE(BJ4021,""auto"",""en""))"),"Product Colour Consultan")</f>
        <v>Product Colour Consultan</v>
      </c>
      <c r="AA4021" s="23" t="str">
        <f aca="false">IF(C4021="","", CHOOSE(MONTH(C4021),"January","February","March","April","May","June","July","August","September","October","November","December")&amp;" "&amp;DAY(C4021)&amp;MID("thstndrdth",MIN(9,2*RIGHT(DAY(C4021))*(MOD(DAY(C4021)-11,100)&gt;2)+1),2)&amp;","&amp;TEXT(C4021," yyyy"))</f>
        <v>August 1st,2026</v>
      </c>
      <c r="AB4021" s="15" t="str">
        <f aca="true">IF(S4021="","",DATEDIF(S4021,TODAY(),"Y")&amp;" Tahun, "&amp;DATEDIF(S4021,TODAY(),"YM")&amp;" Bulan, "&amp;DATEDIF(S4021,TODAY(),"MD")&amp;" Hari")</f>
        <v>36 Tahun, 4 Bulan, 9 Hari</v>
      </c>
      <c r="AC4021" s="14" t="n">
        <v>46235</v>
      </c>
      <c r="AD4021" s="18" t="n">
        <f aca="false">EDATE(AC4021,3)-1</f>
        <v>46326</v>
      </c>
      <c r="AE4021" s="13" t="s">
        <v>397</v>
      </c>
    </row>
    <row r="4022" customFormat="false" ht="15" hidden="false" customHeight="true" outlineLevel="0" collapsed="false">
      <c r="A4022" s="12" t="n">
        <v>22666</v>
      </c>
      <c r="B4022" s="45" t="s">
        <v>16472</v>
      </c>
      <c r="C4022" s="14" t="n">
        <v>46241</v>
      </c>
      <c r="D4022" s="13" t="s">
        <v>101</v>
      </c>
      <c r="E4022" s="13" t="s">
        <v>47</v>
      </c>
      <c r="F4022" s="24" t="s">
        <v>16473</v>
      </c>
      <c r="G4022" s="13" t="s">
        <v>1452</v>
      </c>
      <c r="H4022" s="13" t="s">
        <v>35</v>
      </c>
      <c r="I4022" s="13" t="str">
        <f aca="false">IF(C4022=J4022,"NEW KONTRAK","RE-KONTRAK")</f>
        <v>NEW KONTRAK</v>
      </c>
      <c r="J4022" s="16" t="n">
        <f aca="false" t="array" ref="J4022:J4022">IFERROR(INDEX(AC4022:AE4022,IF(COUNTA(AC4022:AE4022)=0,"",MAX((AC4022:AE4022&lt;&gt;"")*(COLUMN(AC4022:AE4022)-(COLUMN(AC4022)))))-1),"")</f>
        <v>46241</v>
      </c>
      <c r="K4022" s="16" t="n">
        <f aca="false" t="array" ref="K4022:K4022">IFERROR(INDEX(AC4022:AE4022,IF(COUNTA(AC4022:AE4022)=0,"",MAX((AC4022:AE4022&lt;&gt;"")*(COLUMN(AC4022:AE4022)-(COLUMN(AC4022)-1))))-1),"")</f>
        <v>46402</v>
      </c>
      <c r="L4022" s="17" t="str">
        <f aca="false" t="array" ref="L4022:L4022">IFERROR(INDEX(AC4022:AE4022,IF(COUNTA(AC4022:AE4022)=0,"",MAX((AC4022:AE4022&lt;&gt;"")*(COLUMN(AC4022:AE4022)-(COLUMN(AC4022)-2))))-1),"")</f>
        <v>ARCHIVED</v>
      </c>
      <c r="M4022" s="13" t="n">
        <f aca="true">K4022-TODAY()</f>
        <v>78</v>
      </c>
      <c r="N4022" s="18" t="s">
        <v>105</v>
      </c>
      <c r="O4022" s="13" t="s">
        <v>1453</v>
      </c>
      <c r="P4022" s="26" t="n">
        <v>138915</v>
      </c>
      <c r="Q4022" s="20" t="s">
        <v>16474</v>
      </c>
      <c r="R4022" s="13" t="s">
        <v>39</v>
      </c>
      <c r="S4022" s="25" t="n">
        <v>39392</v>
      </c>
      <c r="T4022" s="13" t="s">
        <v>108</v>
      </c>
      <c r="U4022" s="13" t="s">
        <v>16475</v>
      </c>
      <c r="V4022" s="13" t="s">
        <v>42</v>
      </c>
      <c r="W4022" s="13" t="s">
        <v>43</v>
      </c>
      <c r="X4022" s="21" t="n">
        <v>85731564182</v>
      </c>
      <c r="Y4022" s="22" t="str">
        <f aca="false">O4022</f>
        <v>Helper Produksi</v>
      </c>
      <c r="Z4022" s="13" t="str">
        <f aca="false">IFERROR(__xludf.dummyfunction("if(BJ4022="""","""",GOOGLETRANSLATE(BJ4022,""auto"",""en""))"),"Production Helper")</f>
        <v>Production Helper</v>
      </c>
      <c r="AA4022" s="23" t="str">
        <f aca="false">IF(C4022="","", CHOOSE(MONTH(C4022),"January","February","March","April","May","June","July","August","September","October","November","December")&amp;" "&amp;DAY(C4022)&amp;MID("thstndrdth",MIN(9,2*RIGHT(DAY(C4022))*(MOD(DAY(C4022)-11,100)&gt;2)+1),2)&amp;","&amp;TEXT(C4022," yyyy"))</f>
        <v>August 7th,2026</v>
      </c>
      <c r="AB4022" s="15" t="str">
        <f aca="true">IF(S4022="","",DATEDIF(S4022,TODAY(),"Y")&amp;" Tahun, "&amp;DATEDIF(S4022,TODAY(),"YM")&amp;" Bulan, "&amp;DATEDIF(S4022,TODAY(),"MD")&amp;" Hari")</f>
        <v>18 Tahun, 11 Bulan, 23 Hari</v>
      </c>
      <c r="AC4022" s="14" t="n">
        <v>46241</v>
      </c>
      <c r="AD4022" s="18" t="n">
        <v>46402</v>
      </c>
      <c r="AE4022" s="45" t="s">
        <v>44</v>
      </c>
    </row>
    <row r="4023" customFormat="false" ht="15" hidden="false" customHeight="true" outlineLevel="0" collapsed="false">
      <c r="A4023" s="12" t="n">
        <v>2073</v>
      </c>
      <c r="B4023" s="13" t="s">
        <v>16476</v>
      </c>
      <c r="C4023" s="14" t="n">
        <v>43844</v>
      </c>
      <c r="D4023" s="13" t="s">
        <v>101</v>
      </c>
      <c r="E4023" s="15" t="s">
        <v>47</v>
      </c>
      <c r="F4023" s="15" t="str">
        <f aca="false">IFERROR(__xludf.dummyfunction("XLOOKUP(AJ4023,IMPORTRANGE(""1XaInW9DU9nz21V0tYIfzFQ0He9kVQ_JF2mCXgZ3hqFA"",""REKAP ALL 2026 - Andika!G:G""),IMPORTRANGE(""1XaInW9DU9nz21V0tYIfzFQ0He9kVQ_JF2mCXgZ3hqFA"",""REKAP ALL 2026 - Andika!F:F""),"""",0)"),"20021314776")</f>
        <v>20021314776</v>
      </c>
      <c r="G4023" s="13" t="s">
        <v>16477</v>
      </c>
      <c r="H4023" s="13" t="s">
        <v>35</v>
      </c>
      <c r="I4023" s="13" t="str">
        <f aca="false">IF(C4023=J4023,"NEW KONTRAK","RE-KONTRAK")</f>
        <v>RE-KONTRAK</v>
      </c>
      <c r="J4023" s="16" t="n">
        <f aca="false" t="array" ref="J4023:J4023">IFERROR(INDEX(AC4023:AE4023,IF(COUNTA(AC4023:AE4023)=0,"",MAX((AC4023:AE4023&lt;&gt;"")*(COLUMN(AC4023:AE4023)-(COLUMN(AC4023)))))-1),"")</f>
        <v>45672</v>
      </c>
      <c r="K4023" s="16" t="n">
        <f aca="false" t="array" ref="K4023:K4023">IFERROR(INDEX(AC4023:AE4023,IF(COUNTA(AC4023:AE4023)=0,"",MAX((AC4023:AE4023&lt;&gt;"")*(COLUMN(AC4023:AE4023)-(COLUMN(AC4023)-1))))-1),"")</f>
        <v>46036</v>
      </c>
      <c r="L4023" s="17" t="str">
        <f aca="false" t="array" ref="L4023:L4023">IFERROR(INDEX(AC4023:AE4023,IF(COUNTA(AC4023:AE4023)=0,"",MAX((AC4023:AE4023&lt;&gt;"")*(COLUMN(AC4023:AE4023)-(COLUMN(AC4023)-2))))-1),"")</f>
        <v>ARCHIVED</v>
      </c>
      <c r="M4023" s="13" t="n">
        <f aca="true">K4023-TODAY()</f>
        <v>-288</v>
      </c>
      <c r="N4023" s="18" t="s">
        <v>105</v>
      </c>
      <c r="O4023" s="13" t="s">
        <v>16478</v>
      </c>
      <c r="P4023" s="31" t="n">
        <v>138915</v>
      </c>
      <c r="Q4023" s="20" t="s">
        <v>16479</v>
      </c>
      <c r="R4023" s="13" t="s">
        <v>246</v>
      </c>
      <c r="S4023" s="25" t="n">
        <v>35370</v>
      </c>
      <c r="T4023" s="13" t="s">
        <v>108</v>
      </c>
      <c r="U4023" s="13" t="s">
        <v>16480</v>
      </c>
      <c r="V4023" s="13" t="s">
        <v>42</v>
      </c>
      <c r="W4023" s="13" t="s">
        <v>43</v>
      </c>
      <c r="X4023" s="21" t="n">
        <v>895333208098</v>
      </c>
      <c r="Y4023" s="22" t="str">
        <f aca="false">O4023</f>
        <v>Maintenance - Admin</v>
      </c>
      <c r="Z4023" s="13" t="str">
        <f aca="false">IFERROR(__xludf.dummyfunction("if(BJ4023="""","""",GOOGLETRANSLATE(BJ4023,""auto"",""en""))"),"Maintenance - Admin")</f>
        <v>Maintenance - Admin</v>
      </c>
      <c r="AA4023" s="23" t="str">
        <f aca="false">IF(C4023="","", CHOOSE(MONTH(C4023),"January","February","March","April","May","June","July","August","September","October","November","December")&amp;" "&amp;DAY(C4023)&amp;MID("thstndrdth",MIN(9,2*RIGHT(DAY(C4023))*(MOD(DAY(C4023)-11,100)&gt;2)+1),2)&amp;","&amp;TEXT(C4023," yyyy"))</f>
        <v>January 14th,2020</v>
      </c>
      <c r="AB4023" s="15" t="str">
        <f aca="true">IF(S4023="","",DATEDIF(S4023,TODAY(),"Y")&amp;" Tahun, "&amp;DATEDIF(S4023,TODAY(),"YM")&amp;" Bulan, "&amp;DATEDIF(S4023,TODAY(),"MD")&amp;" Hari")</f>
        <v>29 Tahun, 11 Bulan, 28 Hari</v>
      </c>
      <c r="AC4023" s="18" t="n">
        <v>45672</v>
      </c>
      <c r="AD4023" s="18" t="n">
        <v>46036</v>
      </c>
      <c r="AE4023" s="18" t="s">
        <v>44</v>
      </c>
    </row>
    <row r="4024" customFormat="false" ht="15" hidden="false" customHeight="true" outlineLevel="0" collapsed="false">
      <c r="A4024" s="12" t="n">
        <v>22316</v>
      </c>
      <c r="B4024" s="13" t="s">
        <v>16481</v>
      </c>
      <c r="C4024" s="14" t="n">
        <v>46158.2916666667</v>
      </c>
      <c r="D4024" s="13" t="s">
        <v>101</v>
      </c>
      <c r="E4024" s="15" t="s">
        <v>47</v>
      </c>
      <c r="F4024" s="15" t="str">
        <f aca="false">IFERROR(__xludf.dummyfunction("XLOOKUP(AJ4024,IMPORTRANGE(""1XaInW9DU9nz21V0tYIfzFQ0He9kVQ_JF2mCXgZ3hqFA"",""REKAP ALL 2026 - Andika!G:G""),IMPORTRANGE(""1XaInW9DU9nz21V0tYIfzFQ0He9kVQ_JF2mCXgZ3hqFA"",""REKAP ALL 2026 - Andika!F:F""),"""",0)"),"26062985325")</f>
        <v>26062985325</v>
      </c>
      <c r="G4024" s="24" t="s">
        <v>57</v>
      </c>
      <c r="H4024" s="13" t="s">
        <v>35</v>
      </c>
      <c r="I4024" s="13" t="str">
        <f aca="false">IF(C4024=J4024,"NEW KONTRAK","RE-KONTRAK")</f>
        <v>NEW KONTRAK</v>
      </c>
      <c r="J4024" s="16" t="n">
        <f aca="false" t="array" ref="J4024:J4024">IFERROR(INDEX(AC4024:AE4024,IF(COUNTA(AC4024:AE4024)=0,"",MAX((AC4024:AE4024&lt;&gt;"")*(COLUMN(AC4024:AE4024)-(COLUMN(AC4024)))))-1),"")</f>
        <v>46158.2916666667</v>
      </c>
      <c r="K4024" s="16" t="n">
        <f aca="false" t="array" ref="K4024:K4024">IFERROR(INDEX(AC4024:AE4024,IF(COUNTA(AC4024:AE4024)=0,"",MAX((AC4024:AE4024&lt;&gt;"")*(COLUMN(AC4024:AE4024)-(COLUMN(AC4024)-1))))-1),"")</f>
        <v>46188</v>
      </c>
      <c r="L4024" s="17" t="str">
        <f aca="false" t="array" ref="L4024:L4024">IFERROR(INDEX(AC4024:AE4024,IF(COUNTA(AC4024:AE4024)=0,"",MAX((AC4024:AE4024&lt;&gt;"")*(COLUMN(AC4024:AE4024)-(COLUMN(AC4024)-2))))-1),"")</f>
        <v>ARCHIVED</v>
      </c>
      <c r="M4024" s="13" t="n">
        <f aca="true">K4024-TODAY()</f>
        <v>-136</v>
      </c>
      <c r="N4024" s="18" t="s">
        <v>105</v>
      </c>
      <c r="O4024" s="13" t="s">
        <v>16482</v>
      </c>
      <c r="P4024" s="31" t="n">
        <v>138915</v>
      </c>
      <c r="Q4024" s="47" t="s">
        <v>16483</v>
      </c>
      <c r="R4024" s="13" t="s">
        <v>78</v>
      </c>
      <c r="S4024" s="48" t="n">
        <v>39063</v>
      </c>
      <c r="T4024" s="13" t="s">
        <v>108</v>
      </c>
      <c r="U4024" s="13" t="s">
        <v>16484</v>
      </c>
      <c r="V4024" s="13" t="s">
        <v>42</v>
      </c>
      <c r="W4024" s="13" t="s">
        <v>43</v>
      </c>
      <c r="X4024" s="30" t="n">
        <v>81163565126</v>
      </c>
      <c r="Y4024" s="22" t="str">
        <f aca="false">O4024</f>
        <v>Marketing - Packer</v>
      </c>
      <c r="Z4024" s="13" t="str">
        <f aca="false">IFERROR(__xludf.dummyfunction("if(BJ4024="""","""",GOOGLETRANSLATE(BJ4024,""auto"",""en""))"),"Marketing - Packer")</f>
        <v>Marketing - Packer</v>
      </c>
      <c r="AA4024" s="23" t="str">
        <f aca="false">IF(C4024="","", CHOOSE(MONTH(C4024),"January","February","March","April","May","June","July","August","September","October","November","December")&amp;" "&amp;DAY(C4024)&amp;MID("thstndrdth",MIN(9,2*RIGHT(DAY(C4024))*(MOD(DAY(C4024)-11,100)&gt;2)+1),2)&amp;","&amp;TEXT(C4024," yyyy"))</f>
        <v>May 16th,2026</v>
      </c>
      <c r="AB4024" s="15" t="str">
        <f aca="true">IF(S4024="","",DATEDIF(S4024,TODAY(),"Y")&amp;" Tahun, "&amp;DATEDIF(S4024,TODAY(),"YM")&amp;" Bulan, "&amp;DATEDIF(S4024,TODAY(),"MD")&amp;" Hari")</f>
        <v>19 Tahun, 10 Bulan, 17 Hari</v>
      </c>
      <c r="AC4024" s="14" t="n">
        <v>46158.2916666667</v>
      </c>
      <c r="AD4024" s="14" t="n">
        <v>46188</v>
      </c>
      <c r="AE4024" s="13" t="s">
        <v>44</v>
      </c>
    </row>
    <row r="4025" customFormat="false" ht="15" hidden="false" customHeight="true" outlineLevel="0" collapsed="false">
      <c r="A4025" s="12" t="n">
        <v>22653</v>
      </c>
      <c r="B4025" s="45" t="s">
        <v>16485</v>
      </c>
      <c r="C4025" s="14" t="n">
        <v>46244</v>
      </c>
      <c r="D4025" s="13" t="s">
        <v>101</v>
      </c>
      <c r="E4025" s="15" t="s">
        <v>47</v>
      </c>
      <c r="F4025" s="24" t="s">
        <v>16486</v>
      </c>
      <c r="G4025" s="13" t="s">
        <v>1452</v>
      </c>
      <c r="H4025" s="13" t="s">
        <v>35</v>
      </c>
      <c r="I4025" s="13" t="str">
        <f aca="false">IF(C4025=J4025,"NEW KONTRAK","RE-KONTRAK")</f>
        <v>NEW KONTRAK</v>
      </c>
      <c r="J4025" s="16" t="n">
        <f aca="false" t="array" ref="J4025:J4025">IFERROR(INDEX(AC4025:AE4025,IF(COUNTA(AC4025:AE4025)=0,"",MAX((AC4025:AE4025&lt;&gt;"")*(COLUMN(AC4025:AE4025)-(COLUMN(AC4025)))))-1),"")</f>
        <v>46244</v>
      </c>
      <c r="K4025" s="16" t="n">
        <f aca="false" t="array" ref="K4025:K4025">IFERROR(INDEX(AC4025:AE4025,IF(COUNTA(AC4025:AE4025)=0,"",MAX((AC4025:AE4025&lt;&gt;"")*(COLUMN(AC4025:AE4025)-(COLUMN(AC4025)-1))))-1),"")</f>
        <v>46402</v>
      </c>
      <c r="L4025" s="17" t="str">
        <f aca="false" t="array" ref="L4025:L4025">IFERROR(INDEX(AC4025:AE4025,IF(COUNTA(AC4025:AE4025)=0,"",MAX((AC4025:AE4025&lt;&gt;"")*(COLUMN(AC4025:AE4025)-(COLUMN(AC4025)-2))))-1),"")</f>
        <v>ARCHIVED</v>
      </c>
      <c r="M4025" s="13" t="n">
        <f aca="true">K4025-TODAY()</f>
        <v>78</v>
      </c>
      <c r="N4025" s="18" t="s">
        <v>105</v>
      </c>
      <c r="O4025" s="13" t="s">
        <v>1453</v>
      </c>
      <c r="P4025" s="26" t="n">
        <v>138915</v>
      </c>
      <c r="Q4025" s="20" t="s">
        <v>16487</v>
      </c>
      <c r="R4025" s="13" t="s">
        <v>255</v>
      </c>
      <c r="S4025" s="25" t="n">
        <v>36279</v>
      </c>
      <c r="T4025" s="13" t="s">
        <v>108</v>
      </c>
      <c r="U4025" s="13" t="s">
        <v>16488</v>
      </c>
      <c r="V4025" s="13" t="s">
        <v>42</v>
      </c>
      <c r="W4025" s="13" t="s">
        <v>54</v>
      </c>
      <c r="X4025" s="21" t="n">
        <v>85850090520</v>
      </c>
      <c r="Y4025" s="22" t="str">
        <f aca="false">O4025</f>
        <v>Helper Produksi</v>
      </c>
      <c r="Z4025" s="13" t="str">
        <f aca="false">IFERROR(__xludf.dummyfunction("if(BJ4025="""","""",GOOGLETRANSLATE(BJ4025,""auto"",""en""))"),"Production Helper")</f>
        <v>Production Helper</v>
      </c>
      <c r="AA4025" s="23" t="str">
        <f aca="false">IF(C4025="","", CHOOSE(MONTH(C4025),"January","February","March","April","May","June","July","August","September","October","November","December")&amp;" "&amp;DAY(C4025)&amp;MID("thstndrdth",MIN(9,2*RIGHT(DAY(C4025))*(MOD(DAY(C4025)-11,100)&gt;2)+1),2)&amp;","&amp;TEXT(C4025," yyyy"))</f>
        <v>August 10th,2026</v>
      </c>
      <c r="AB4025" s="15" t="str">
        <f aca="true">IF(S4025="","",DATEDIF(S4025,TODAY(),"Y")&amp;" Tahun, "&amp;DATEDIF(S4025,TODAY(),"YM")&amp;" Bulan, "&amp;DATEDIF(S4025,TODAY(),"MD")&amp;" Hari")</f>
        <v>27 Tahun, 6 Bulan, 0 Hari</v>
      </c>
      <c r="AC4025" s="14" t="n">
        <v>46244</v>
      </c>
      <c r="AD4025" s="18" t="n">
        <v>46402</v>
      </c>
      <c r="AE4025" s="45" t="s">
        <v>44</v>
      </c>
    </row>
    <row r="4026" customFormat="false" ht="15" hidden="false" customHeight="true" outlineLevel="0" collapsed="false">
      <c r="A4026" s="12" t="n">
        <v>19921</v>
      </c>
      <c r="B4026" s="13" t="s">
        <v>16489</v>
      </c>
      <c r="C4026" s="16" t="n">
        <v>45793</v>
      </c>
      <c r="D4026" s="13" t="s">
        <v>101</v>
      </c>
      <c r="E4026" s="15" t="s">
        <v>47</v>
      </c>
      <c r="F4026" s="15" t="str">
        <f aca="false">IFERROR(__xludf.dummyfunction("XLOOKUP(AJ4026,IMPORTRANGE(""1XaInW9DU9nz21V0tYIfzFQ0He9kVQ_JF2mCXgZ3hqFA"",""REKAP ALL 2026 - Andika!G:G""),IMPORTRANGE(""1XaInW9DU9nz21V0tYIfzFQ0He9kVQ_JF2mCXgZ3hqFA"",""REKAP ALL 2026 - Andika!F:F""),"""",0)"),"25079805492")</f>
        <v>25079805492</v>
      </c>
      <c r="G4026" s="13" t="s">
        <v>16490</v>
      </c>
      <c r="H4026" s="13" t="s">
        <v>35</v>
      </c>
      <c r="I4026" s="13" t="str">
        <f aca="false">IF(C4026=J4026,"NEW KONTRAK","RE-KONTRAK")</f>
        <v>NEW KONTRAK</v>
      </c>
      <c r="J4026" s="16" t="n">
        <f aca="false" t="array" ref="J4026:J4026">IFERROR(INDEX(AC4026:AE4026,IF(COUNTA(AC4026:AE4026)=0,"",MAX((AC4026:AE4026&lt;&gt;"")*(COLUMN(AC4026:AE4026)-(COLUMN(AC4026)))))-1),"")</f>
        <v>45793</v>
      </c>
      <c r="K4026" s="16" t="n">
        <f aca="false" t="array" ref="K4026:K4026">IFERROR(INDEX(AC4026:AE4026,IF(COUNTA(AC4026:AE4026)=0,"",MAX((AC4026:AE4026&lt;&gt;"")*(COLUMN(AC4026:AE4026)-(COLUMN(AC4026)-1))))-1),"")</f>
        <v>46036</v>
      </c>
      <c r="L4026" s="17" t="str">
        <f aca="false" t="array" ref="L4026:L4026">IFERROR(INDEX(AC4026:AE4026,IF(COUNTA(AC4026:AE4026)=0,"",MAX((AC4026:AE4026&lt;&gt;"")*(COLUMN(AC4026:AE4026)-(COLUMN(AC4026)-2))))-1),"")</f>
        <v>ARCHIVED</v>
      </c>
      <c r="M4026" s="13" t="n">
        <f aca="true">K4026-TODAY()</f>
        <v>-288</v>
      </c>
      <c r="N4026" s="18" t="s">
        <v>105</v>
      </c>
      <c r="O4026" s="13" t="s">
        <v>1434</v>
      </c>
      <c r="P4026" s="31" t="n">
        <v>138915</v>
      </c>
      <c r="Q4026" s="20" t="s">
        <v>16491</v>
      </c>
      <c r="R4026" s="13" t="s">
        <v>255</v>
      </c>
      <c r="S4026" s="25" t="n">
        <v>37967</v>
      </c>
      <c r="T4026" s="13" t="s">
        <v>108</v>
      </c>
      <c r="U4026" s="13" t="s">
        <v>16492</v>
      </c>
      <c r="V4026" s="13" t="s">
        <v>42</v>
      </c>
      <c r="W4026" s="13" t="s">
        <v>43</v>
      </c>
      <c r="X4026" s="21" t="n">
        <v>85236469660</v>
      </c>
      <c r="Y4026" s="22" t="str">
        <f aca="false">O4026</f>
        <v>E-Commerce - Packer</v>
      </c>
      <c r="Z4026" s="13" t="str">
        <f aca="false">IFERROR(__xludf.dummyfunction("if(BJ4026="""","""",GOOGLETRANSLATE(BJ4026,""auto"",""en""))"),"E-Commerce - Packer")</f>
        <v>E-Commerce - Packer</v>
      </c>
      <c r="AA4026" s="23" t="str">
        <f aca="false">IF(C4026="","", CHOOSE(MONTH(C4026),"January","February","March","April","May","June","July","August","September","October","November","December")&amp;" "&amp;DAY(C4026)&amp;MID("thstndrdth",MIN(9,2*RIGHT(DAY(C4026))*(MOD(DAY(C4026)-11,100)&gt;2)+1),2)&amp;","&amp;TEXT(C4026," yyyy"))</f>
        <v>May 16th,2025</v>
      </c>
      <c r="AB4026" s="15" t="str">
        <f aca="true">IF(S4026="","",DATEDIF(S4026,TODAY(),"Y")&amp;" Tahun, "&amp;DATEDIF(S4026,TODAY(),"YM")&amp;" Bulan, "&amp;DATEDIF(S4026,TODAY(),"MD")&amp;" Hari")</f>
        <v>22 Tahun, 10 Bulan, 17 Hari</v>
      </c>
      <c r="AC4026" s="18" t="n">
        <v>45793</v>
      </c>
      <c r="AD4026" s="18" t="n">
        <v>46036</v>
      </c>
      <c r="AE4026" s="18" t="s">
        <v>44</v>
      </c>
    </row>
    <row r="4027" customFormat="false" ht="15" hidden="false" customHeight="true" outlineLevel="0" collapsed="false">
      <c r="A4027" s="12" t="n">
        <v>22656</v>
      </c>
      <c r="B4027" s="45" t="s">
        <v>16493</v>
      </c>
      <c r="C4027" s="14" t="n">
        <v>46244</v>
      </c>
      <c r="D4027" s="13" t="s">
        <v>101</v>
      </c>
      <c r="E4027" s="15" t="s">
        <v>102</v>
      </c>
      <c r="F4027" s="24" t="s">
        <v>16494</v>
      </c>
      <c r="G4027" s="13" t="s">
        <v>1452</v>
      </c>
      <c r="H4027" s="13" t="s">
        <v>35</v>
      </c>
      <c r="I4027" s="13" t="str">
        <f aca="false">IF(C4027=J4027,"NEW KONTRAK","RE-KONTRAK")</f>
        <v>NEW KONTRAK</v>
      </c>
      <c r="J4027" s="16" t="n">
        <f aca="false" t="array" ref="J4027:J4027">IFERROR(INDEX(AC4027:AE4027,IF(COUNTA(AC4027:AE4027)=0,"",MAX((AC4027:AE4027&lt;&gt;"")*(COLUMN(AC4027:AE4027)-(COLUMN(AC4027)))))-1),"")</f>
        <v>46244</v>
      </c>
      <c r="K4027" s="16" t="n">
        <f aca="false" t="array" ref="K4027:K4027">IFERROR(INDEX(AC4027:AE4027,IF(COUNTA(AC4027:AE4027)=0,"",MAX((AC4027:AE4027&lt;&gt;"")*(COLUMN(AC4027:AE4027)-(COLUMN(AC4027)-1))))-1),"")</f>
        <v>46402</v>
      </c>
      <c r="L4027" s="17" t="str">
        <f aca="false" t="array" ref="L4027:L4027">IFERROR(INDEX(AC4027:AE4027,IF(COUNTA(AC4027:AE4027)=0,"",MAX((AC4027:AE4027&lt;&gt;"")*(COLUMN(AC4027:AE4027)-(COLUMN(AC4027)-2))))-1),"")</f>
        <v>ARCHIVED</v>
      </c>
      <c r="M4027" s="13" t="n">
        <f aca="true">K4027-TODAY()</f>
        <v>78</v>
      </c>
      <c r="N4027" s="18" t="s">
        <v>105</v>
      </c>
      <c r="O4027" s="13" t="s">
        <v>1453</v>
      </c>
      <c r="P4027" s="26" t="n">
        <v>138915</v>
      </c>
      <c r="Q4027" s="20" t="s">
        <v>16495</v>
      </c>
      <c r="R4027" s="13" t="s">
        <v>763</v>
      </c>
      <c r="S4027" s="25" t="n">
        <v>37106</v>
      </c>
      <c r="T4027" s="13" t="s">
        <v>108</v>
      </c>
      <c r="U4027" s="13" t="s">
        <v>16496</v>
      </c>
      <c r="V4027" s="13" t="s">
        <v>42</v>
      </c>
      <c r="W4027" s="13" t="s">
        <v>54</v>
      </c>
      <c r="X4027" s="21" t="n">
        <v>83845822772</v>
      </c>
      <c r="Y4027" s="22" t="str">
        <f aca="false">O4027</f>
        <v>Helper Produksi</v>
      </c>
      <c r="Z4027" s="13" t="str">
        <f aca="false">IFERROR(__xludf.dummyfunction("if(BJ4027="""","""",GOOGLETRANSLATE(BJ4027,""auto"",""en""))"),"Production Helper")</f>
        <v>Production Helper</v>
      </c>
      <c r="AA4027" s="23" t="str">
        <f aca="false">IF(C4027="","", CHOOSE(MONTH(C4027),"January","February","March","April","May","June","July","August","September","October","November","December")&amp;" "&amp;DAY(C4027)&amp;MID("thstndrdth",MIN(9,2*RIGHT(DAY(C4027))*(MOD(DAY(C4027)-11,100)&gt;2)+1),2)&amp;","&amp;TEXT(C4027," yyyy"))</f>
        <v>August 10th,2026</v>
      </c>
      <c r="AB4027" s="15" t="str">
        <f aca="true">IF(S4027="","",DATEDIF(S4027,TODAY(),"Y")&amp;" Tahun, "&amp;DATEDIF(S4027,TODAY(),"YM")&amp;" Bulan, "&amp;DATEDIF(S4027,TODAY(),"MD")&amp;" Hari")</f>
        <v>25 Tahun, 2 Bulan, 26 Hari</v>
      </c>
      <c r="AC4027" s="14" t="n">
        <v>46244</v>
      </c>
      <c r="AD4027" s="18" t="n">
        <v>46402</v>
      </c>
      <c r="AE4027" s="13" t="s">
        <v>44</v>
      </c>
    </row>
    <row r="4028" customFormat="false" ht="15" hidden="false" customHeight="true" outlineLevel="0" collapsed="false">
      <c r="A4028" s="12" t="n">
        <v>22629</v>
      </c>
      <c r="B4028" s="45" t="s">
        <v>16497</v>
      </c>
      <c r="C4028" s="14" t="n">
        <v>46233</v>
      </c>
      <c r="D4028" s="13" t="s">
        <v>2148</v>
      </c>
      <c r="E4028" s="13" t="s">
        <v>47</v>
      </c>
      <c r="F4028" s="24" t="s">
        <v>16498</v>
      </c>
      <c r="G4028" s="13" t="s">
        <v>1452</v>
      </c>
      <c r="H4028" s="13" t="s">
        <v>35</v>
      </c>
      <c r="I4028" s="13" t="str">
        <f aca="false">IF(C4028=J4028,"NEW KONTRAK","RE-KONTRAK")</f>
        <v>NEW KONTRAK</v>
      </c>
      <c r="J4028" s="16" t="n">
        <f aca="false" t="array" ref="J4028:J4028">IFERROR(INDEX(AC4028:AE4028,IF(COUNTA(AC4028:AE4028)=0,"",MAX((AC4028:AE4028&lt;&gt;"")*(COLUMN(AC4028:AE4028)-(COLUMN(AC4028)))))-1),"")</f>
        <v>46233</v>
      </c>
      <c r="K4028" s="16" t="n">
        <f aca="false" t="array" ref="K4028:K4028">IFERROR(INDEX(AC4028:AE4028,IF(COUNTA(AC4028:AE4028)=0,"",MAX((AC4028:AE4028&lt;&gt;"")*(COLUMN(AC4028:AE4028)-(COLUMN(AC4028)-1))))-1),"")</f>
        <v>46402</v>
      </c>
      <c r="L4028" s="17" t="str">
        <f aca="false" t="array" ref="L4028:L4028">IFERROR(INDEX(AC4028:AE4028,IF(COUNTA(AC4028:AE4028)=0,"",MAX((AC4028:AE4028&lt;&gt;"")*(COLUMN(AC4028:AE4028)-(COLUMN(AC4028)-2))))-1),"")</f>
        <v>KEMBALI</v>
      </c>
      <c r="M4028" s="13" t="n">
        <f aca="true">K4028-TODAY()</f>
        <v>78</v>
      </c>
      <c r="N4028" s="18" t="s">
        <v>105</v>
      </c>
      <c r="O4028" s="13" t="s">
        <v>12650</v>
      </c>
      <c r="P4028" s="26" t="n">
        <v>180000</v>
      </c>
      <c r="Q4028" s="20" t="s">
        <v>16499</v>
      </c>
      <c r="R4028" s="13" t="s">
        <v>83</v>
      </c>
      <c r="S4028" s="25" t="n">
        <v>35796</v>
      </c>
      <c r="T4028" s="13" t="s">
        <v>108</v>
      </c>
      <c r="U4028" s="13" t="s">
        <v>16500</v>
      </c>
      <c r="V4028" s="13" t="s">
        <v>42</v>
      </c>
      <c r="W4028" s="13" t="s">
        <v>43</v>
      </c>
      <c r="X4028" s="21" t="n">
        <v>895632333191</v>
      </c>
      <c r="Y4028" s="22" t="str">
        <f aca="false">O4028</f>
        <v>Resepsionis</v>
      </c>
      <c r="Z4028" s="13" t="str">
        <f aca="false">IFERROR(__xludf.dummyfunction("if(BJ4028="""","""",GOOGLETRANSLATE(BJ4028,""auto"",""en""))"),"Receptionist")</f>
        <v>Receptionist</v>
      </c>
      <c r="AA4028" s="23" t="str">
        <f aca="false">IF(C4028="","", CHOOSE(MONTH(C4028),"January","February","March","April","May","June","July","August","September","October","November","December")&amp;" "&amp;DAY(C4028)&amp;MID("thstndrdth",MIN(9,2*RIGHT(DAY(C4028))*(MOD(DAY(C4028)-11,100)&gt;2)+1),2)&amp;","&amp;TEXT(C4028," yyyy"))</f>
        <v>July 30th,2026</v>
      </c>
      <c r="AB4028" s="15" t="str">
        <f aca="true">IF(S4028="","",DATEDIF(S4028,TODAY(),"Y")&amp;" Tahun, "&amp;DATEDIF(S4028,TODAY(),"YM")&amp;" Bulan, "&amp;DATEDIF(S4028,TODAY(),"MD")&amp;" Hari")</f>
        <v>28 Tahun, 9 Bulan, 28 Hari</v>
      </c>
      <c r="AC4028" s="14" t="n">
        <v>46233</v>
      </c>
      <c r="AD4028" s="18" t="n">
        <v>46402</v>
      </c>
      <c r="AE4028" s="13" t="s">
        <v>397</v>
      </c>
    </row>
    <row r="4029" customFormat="false" ht="15" hidden="false" customHeight="true" outlineLevel="0" collapsed="false">
      <c r="A4029" s="12" t="n">
        <v>22315</v>
      </c>
      <c r="B4029" s="13" t="s">
        <v>16501</v>
      </c>
      <c r="C4029" s="14" t="n">
        <v>46167.2916666667</v>
      </c>
      <c r="D4029" s="13" t="s">
        <v>101</v>
      </c>
      <c r="E4029" s="15" t="s">
        <v>47</v>
      </c>
      <c r="F4029" s="15" t="str">
        <f aca="false">IFERROR(__xludf.dummyfunction("XLOOKUP(AJ4029,IMPORTRANGE(""1XaInW9DU9nz21V0tYIfzFQ0He9kVQ_JF2mCXgZ3hqFA"",""REKAP ALL 2026 - Andika!G:G""),IMPORTRANGE(""1XaInW9DU9nz21V0tYIfzFQ0He9kVQ_JF2mCXgZ3hqFA"",""REKAP ALL 2026 - Andika!F:F""),"""",0)"),"26062983312")</f>
        <v>26062983312</v>
      </c>
      <c r="G4029" s="24" t="s">
        <v>57</v>
      </c>
      <c r="H4029" s="13" t="s">
        <v>35</v>
      </c>
      <c r="I4029" s="13" t="str">
        <f aca="false">IF(C4029=J4029,"NEW KONTRAK","RE-KONTRAK")</f>
        <v>NEW KONTRAK</v>
      </c>
      <c r="J4029" s="16" t="n">
        <f aca="false" t="array" ref="J4029:J4029">IFERROR(INDEX(AC4029:AE4029,IF(COUNTA(AC4029:AE4029)=0,"",MAX((AC4029:AE4029&lt;&gt;"")*(COLUMN(AC4029:AE4029)-(COLUMN(AC4029)))))-1),"")</f>
        <v>46167.2916666667</v>
      </c>
      <c r="K4029" s="16" t="n">
        <f aca="false" t="array" ref="K4029:K4029">IFERROR(INDEX(AC4029:AE4029,IF(COUNTA(AC4029:AE4029)=0,"",MAX((AC4029:AE4029&lt;&gt;"")*(COLUMN(AC4029:AE4029)-(COLUMN(AC4029)-1))))-1),"")</f>
        <v>46188</v>
      </c>
      <c r="L4029" s="17" t="str">
        <f aca="false" t="array" ref="L4029:L4029">IFERROR(INDEX(AC4029:AE4029,IF(COUNTA(AC4029:AE4029)=0,"",MAX((AC4029:AE4029&lt;&gt;"")*(COLUMN(AC4029:AE4029)-(COLUMN(AC4029)-2))))-1),"")</f>
        <v>ARCHIVED</v>
      </c>
      <c r="M4029" s="13" t="n">
        <f aca="true">K4029-TODAY()</f>
        <v>-136</v>
      </c>
      <c r="N4029" s="18" t="s">
        <v>105</v>
      </c>
      <c r="O4029" s="13" t="s">
        <v>1434</v>
      </c>
      <c r="P4029" s="31" t="n">
        <v>138915</v>
      </c>
      <c r="Q4029" s="20" t="s">
        <v>16502</v>
      </c>
      <c r="R4029" s="13" t="s">
        <v>52</v>
      </c>
      <c r="S4029" s="25" t="n">
        <v>36793</v>
      </c>
      <c r="T4029" s="13" t="s">
        <v>108</v>
      </c>
      <c r="U4029" s="13" t="s">
        <v>16503</v>
      </c>
      <c r="V4029" s="13" t="s">
        <v>42</v>
      </c>
      <c r="W4029" s="13" t="s">
        <v>54</v>
      </c>
      <c r="X4029" s="30" t="n">
        <v>85348695946</v>
      </c>
      <c r="Y4029" s="22" t="str">
        <f aca="false">O4029</f>
        <v>E-Commerce - Packer</v>
      </c>
      <c r="Z4029" s="13" t="str">
        <f aca="false">IFERROR(__xludf.dummyfunction("if(BJ4029="""","""",GOOGLETRANSLATE(BJ4029,""auto"",""en""))"),"E-Commerce - Packer")</f>
        <v>E-Commerce - Packer</v>
      </c>
      <c r="AA4029" s="23" t="str">
        <f aca="false">IF(C4029="","", CHOOSE(MONTH(C4029),"January","February","March","April","May","June","July","August","September","October","November","December")&amp;" "&amp;DAY(C4029)&amp;MID("thstndrdth",MIN(9,2*RIGHT(DAY(C4029))*(MOD(DAY(C4029)-11,100)&gt;2)+1),2)&amp;","&amp;TEXT(C4029," yyyy"))</f>
        <v>May 25th,2026</v>
      </c>
      <c r="AB4029" s="15" t="str">
        <f aca="true">IF(S4029="","",DATEDIF(S4029,TODAY(),"Y")&amp;" Tahun, "&amp;DATEDIF(S4029,TODAY(),"YM")&amp;" Bulan, "&amp;DATEDIF(S4029,TODAY(),"MD")&amp;" Hari")</f>
        <v>26 Tahun, 1 Bulan, 5 Hari</v>
      </c>
      <c r="AC4029" s="14" t="n">
        <v>46167.2916666667</v>
      </c>
      <c r="AD4029" s="14" t="n">
        <v>46188</v>
      </c>
      <c r="AE4029" s="13" t="s">
        <v>44</v>
      </c>
    </row>
    <row r="4030" customFormat="false" ht="15" hidden="false" customHeight="true" outlineLevel="0" collapsed="false">
      <c r="A4030" s="12" t="n">
        <v>22651</v>
      </c>
      <c r="B4030" s="45" t="s">
        <v>16504</v>
      </c>
      <c r="C4030" s="14" t="n">
        <v>46244</v>
      </c>
      <c r="D4030" s="13" t="s">
        <v>101</v>
      </c>
      <c r="E4030" s="15" t="s">
        <v>47</v>
      </c>
      <c r="F4030" s="24" t="s">
        <v>16505</v>
      </c>
      <c r="G4030" s="13" t="s">
        <v>1452</v>
      </c>
      <c r="H4030" s="13" t="s">
        <v>35</v>
      </c>
      <c r="I4030" s="13" t="str">
        <f aca="false">IF(C4030=J4030,"NEW KONTRAK","RE-KONTRAK")</f>
        <v>NEW KONTRAK</v>
      </c>
      <c r="J4030" s="16" t="n">
        <f aca="false" t="array" ref="J4030:J4030">IFERROR(INDEX(AC4030:AE4030,IF(COUNTA(AC4030:AE4030)=0,"",MAX((AC4030:AE4030&lt;&gt;"")*(COLUMN(AC4030:AE4030)-(COLUMN(AC4030)))))-1),"")</f>
        <v>46244</v>
      </c>
      <c r="K4030" s="16" t="n">
        <f aca="false" t="array" ref="K4030:K4030">IFERROR(INDEX(AC4030:AE4030,IF(COUNTA(AC4030:AE4030)=0,"",MAX((AC4030:AE4030&lt;&gt;"")*(COLUMN(AC4030:AE4030)-(COLUMN(AC4030)-1))))-1),"")</f>
        <v>46402</v>
      </c>
      <c r="L4030" s="17" t="str">
        <f aca="false" t="array" ref="L4030:L4030">IFERROR(INDEX(AC4030:AE4030,IF(COUNTA(AC4030:AE4030)=0,"",MAX((AC4030:AE4030&lt;&gt;"")*(COLUMN(AC4030:AE4030)-(COLUMN(AC4030)-2))))-1),"")</f>
        <v>ARCHIVED</v>
      </c>
      <c r="M4030" s="13" t="n">
        <f aca="true">K4030-TODAY()</f>
        <v>78</v>
      </c>
      <c r="N4030" s="18" t="s">
        <v>105</v>
      </c>
      <c r="O4030" s="13" t="s">
        <v>1453</v>
      </c>
      <c r="P4030" s="26" t="n">
        <v>138915</v>
      </c>
      <c r="Q4030" s="20" t="s">
        <v>16506</v>
      </c>
      <c r="R4030" s="13" t="s">
        <v>39</v>
      </c>
      <c r="S4030" s="25" t="n">
        <v>35488</v>
      </c>
      <c r="T4030" s="13" t="s">
        <v>108</v>
      </c>
      <c r="U4030" s="13" t="s">
        <v>16507</v>
      </c>
      <c r="V4030" s="13" t="s">
        <v>42</v>
      </c>
      <c r="W4030" s="13" t="s">
        <v>43</v>
      </c>
      <c r="X4030" s="21" t="n">
        <v>89525250700</v>
      </c>
      <c r="Y4030" s="22" t="str">
        <f aca="false">O4030</f>
        <v>Helper Produksi</v>
      </c>
      <c r="Z4030" s="13" t="str">
        <f aca="false">IFERROR(__xludf.dummyfunction("if(BJ4030="""","""",GOOGLETRANSLATE(BJ4030,""auto"",""en""))"),"Production Helper")</f>
        <v>Production Helper</v>
      </c>
      <c r="AA4030" s="23" t="str">
        <f aca="false">IF(C4030="","", CHOOSE(MONTH(C4030),"January","February","March","April","May","June","July","August","September","October","November","December")&amp;" "&amp;DAY(C4030)&amp;MID("thstndrdth",MIN(9,2*RIGHT(DAY(C4030))*(MOD(DAY(C4030)-11,100)&gt;2)+1),2)&amp;","&amp;TEXT(C4030," yyyy"))</f>
        <v>August 10th,2026</v>
      </c>
      <c r="AB4030" s="15" t="str">
        <f aca="true">IF(S4030="","",DATEDIF(S4030,TODAY(),"Y")&amp;" Tahun, "&amp;DATEDIF(S4030,TODAY(),"YM")&amp;" Bulan, "&amp;DATEDIF(S4030,TODAY(),"MD")&amp;" Hari")</f>
        <v>29 Tahun, 8 Bulan, 2 Hari</v>
      </c>
      <c r="AC4030" s="14" t="n">
        <v>46244</v>
      </c>
      <c r="AD4030" s="18" t="n">
        <v>46402</v>
      </c>
      <c r="AE4030" s="45" t="s">
        <v>44</v>
      </c>
    </row>
    <row r="4031" customFormat="false" ht="15" hidden="false" customHeight="true" outlineLevel="0" collapsed="false">
      <c r="A4031" s="12" t="n">
        <v>2099</v>
      </c>
      <c r="B4031" s="13" t="s">
        <v>16508</v>
      </c>
      <c r="C4031" s="14" t="n">
        <v>43845</v>
      </c>
      <c r="D4031" s="13" t="s">
        <v>101</v>
      </c>
      <c r="E4031" s="15" t="s">
        <v>47</v>
      </c>
      <c r="F4031" s="15" t="str">
        <f aca="false">IFERROR(__xludf.dummyfunction("XLOOKUP(AJ4031,IMPORTRANGE(""1XaInW9DU9nz21V0tYIfzFQ0He9kVQ_JF2mCXgZ3hqFA"",""REKAP ALL 2026 - Andika!G:G""),IMPORTRANGE(""1XaInW9DU9nz21V0tYIfzFQ0He9kVQ_JF2mCXgZ3hqFA"",""REKAP ALL 2026 - Andika!F:F""),"""",0)"),"20021315450")</f>
        <v>20021315450</v>
      </c>
      <c r="G4031" s="13" t="s">
        <v>16509</v>
      </c>
      <c r="H4031" s="13" t="s">
        <v>35</v>
      </c>
      <c r="I4031" s="13" t="str">
        <f aca="false">IF(C4031=J4031,"NEW KONTRAK","RE-KONTRAK")</f>
        <v>RE-KONTRAK</v>
      </c>
      <c r="J4031" s="16" t="n">
        <f aca="false" t="array" ref="J4031:J4031">IFERROR(INDEX(AC4031:AE4031,IF(COUNTA(AC4031:AE4031)=0,"",MAX((AC4031:AE4031&lt;&gt;"")*(COLUMN(AC4031:AE4031)-(COLUMN(AC4031)))))-1),"")</f>
        <v>45672</v>
      </c>
      <c r="K4031" s="16" t="n">
        <f aca="false" t="array" ref="K4031:K4031">IFERROR(INDEX(AC4031:AE4031,IF(COUNTA(AC4031:AE4031)=0,"",MAX((AC4031:AE4031&lt;&gt;"")*(COLUMN(AC4031:AE4031)-(COLUMN(AC4031)-1))))-1),"")</f>
        <v>46036</v>
      </c>
      <c r="L4031" s="17" t="str">
        <f aca="false" t="array" ref="L4031:L4031">IFERROR(INDEX(AC4031:AE4031,IF(COUNTA(AC4031:AE4031)=0,"",MAX((AC4031:AE4031&lt;&gt;"")*(COLUMN(AC4031:AE4031)-(COLUMN(AC4031)-2))))-1),"")</f>
        <v>ARCHIVED</v>
      </c>
      <c r="M4031" s="13" t="n">
        <f aca="true">K4031-TODAY()</f>
        <v>-288</v>
      </c>
      <c r="N4031" s="18" t="s">
        <v>105</v>
      </c>
      <c r="O4031" s="13" t="s">
        <v>3535</v>
      </c>
      <c r="P4031" s="31" t="n">
        <v>138915</v>
      </c>
      <c r="Q4031" s="20" t="s">
        <v>16510</v>
      </c>
      <c r="R4031" s="13" t="s">
        <v>73</v>
      </c>
      <c r="S4031" s="25" t="n">
        <v>33066</v>
      </c>
      <c r="T4031" s="13" t="s">
        <v>40</v>
      </c>
      <c r="U4031" s="13" t="s">
        <v>16511</v>
      </c>
      <c r="V4031" s="13" t="s">
        <v>42</v>
      </c>
      <c r="W4031" s="13" t="s">
        <v>43</v>
      </c>
      <c r="X4031" s="21" t="n">
        <v>89676471400</v>
      </c>
      <c r="Y4031" s="22" t="str">
        <f aca="false">O4031</f>
        <v>Maintenance - Teknisi</v>
      </c>
      <c r="Z4031" s="13" t="str">
        <f aca="false">IFERROR(__xludf.dummyfunction("if(BJ4031="""","""",GOOGLETRANSLATE(BJ4031,""auto"",""en""))"),"Maintenance - Technician")</f>
        <v>Maintenance - Technician</v>
      </c>
      <c r="AA4031" s="23" t="str">
        <f aca="false">IF(C4031="","", CHOOSE(MONTH(C4031),"January","February","March","April","May","June","July","August","September","October","November","December")&amp;" "&amp;DAY(C4031)&amp;MID("thstndrdth",MIN(9,2*RIGHT(DAY(C4031))*(MOD(DAY(C4031)-11,100)&gt;2)+1),2)&amp;","&amp;TEXT(C4031," yyyy"))</f>
        <v>January 15th,2020</v>
      </c>
      <c r="AB4031" s="15" t="str">
        <f aca="true">IF(S4031="","",DATEDIF(S4031,TODAY(),"Y")&amp;" Tahun, "&amp;DATEDIF(S4031,TODAY(),"YM")&amp;" Bulan, "&amp;DATEDIF(S4031,TODAY(),"MD")&amp;" Hari")</f>
        <v>36 Tahun, 3 Bulan, 17 Hari</v>
      </c>
      <c r="AC4031" s="18" t="n">
        <v>45672</v>
      </c>
      <c r="AD4031" s="18" t="n">
        <v>46036</v>
      </c>
      <c r="AE4031" s="18" t="s">
        <v>44</v>
      </c>
    </row>
    <row r="4032" customFormat="false" ht="15" hidden="false" customHeight="true" outlineLevel="0" collapsed="false">
      <c r="A4032" s="12" t="n">
        <v>22545</v>
      </c>
      <c r="B4032" s="45" t="s">
        <v>16512</v>
      </c>
      <c r="C4032" s="14" t="n">
        <v>46223</v>
      </c>
      <c r="D4032" s="13" t="s">
        <v>101</v>
      </c>
      <c r="E4032" s="15" t="s">
        <v>47</v>
      </c>
      <c r="F4032" s="24" t="s">
        <v>16513</v>
      </c>
      <c r="G4032" s="28" t="s">
        <v>57</v>
      </c>
      <c r="H4032" s="13" t="s">
        <v>35</v>
      </c>
      <c r="I4032" s="13" t="str">
        <f aca="false">IF(C4032=J4032,"NEW KONTRAK","RE-KONTRAK")</f>
        <v>NEW KONTRAK</v>
      </c>
      <c r="J4032" s="16" t="n">
        <f aca="false" t="array" ref="J4032:J4032">IFERROR(INDEX(AC4032:AE4032,IF(COUNTA(AC4032:AE4032)=0,"",MAX((AC4032:AE4032&lt;&gt;"")*(COLUMN(AC4032:AE4032)-(COLUMN(AC4032)))))-1),"")</f>
        <v>46223</v>
      </c>
      <c r="K4032" s="16" t="n">
        <f aca="false" t="array" ref="K4032:K4032">IFERROR(INDEX(AC4032:AE4032,IF(COUNTA(AC4032:AE4032)=0,"",MAX((AC4032:AE4032&lt;&gt;"")*(COLUMN(AC4032:AE4032)-(COLUMN(AC4032)-1))))-1),"")</f>
        <v>46402</v>
      </c>
      <c r="L4032" s="17" t="str">
        <f aca="false" t="array" ref="L4032:L4032">IFERROR(INDEX(AC4032:AE4032,IF(COUNTA(AC4032:AE4032)=0,"",MAX((AC4032:AE4032&lt;&gt;"")*(COLUMN(AC4032:AE4032)-(COLUMN(AC4032)-2))))-1),"")</f>
        <v>KEMBALI</v>
      </c>
      <c r="M4032" s="13" t="n">
        <f aca="true">K4032-TODAY()</f>
        <v>78</v>
      </c>
      <c r="N4032" s="18" t="s">
        <v>105</v>
      </c>
      <c r="O4032" s="13" t="s">
        <v>1453</v>
      </c>
      <c r="P4032" s="26" t="n">
        <v>138915</v>
      </c>
      <c r="Q4032" s="20" t="s">
        <v>16514</v>
      </c>
      <c r="R4032" s="13" t="s">
        <v>401</v>
      </c>
      <c r="S4032" s="25" t="n">
        <v>38992</v>
      </c>
      <c r="T4032" s="13" t="s">
        <v>108</v>
      </c>
      <c r="U4032" s="17" t="s">
        <v>16131</v>
      </c>
      <c r="V4032" s="13" t="s">
        <v>42</v>
      </c>
      <c r="W4032" s="13" t="s">
        <v>43</v>
      </c>
      <c r="X4032" s="21" t="n">
        <v>82257869421</v>
      </c>
      <c r="Y4032" s="22" t="str">
        <f aca="false">O4032</f>
        <v>Helper Produksi</v>
      </c>
      <c r="Z4032" s="13" t="str">
        <f aca="false">IFERROR(__xludf.dummyfunction("if(BJ4032="""","""",GOOGLETRANSLATE(BJ4032,""auto"",""en""))"),"Production Helper")</f>
        <v>Production Helper</v>
      </c>
      <c r="AA4032" s="23" t="str">
        <f aca="false">IF(C4032="","", CHOOSE(MONTH(C4032),"January","February","March","April","May","June","July","August","September","October","November","December")&amp;" "&amp;DAY(C4032)&amp;MID("thstndrdth",MIN(9,2*RIGHT(DAY(C4032))*(MOD(DAY(C4032)-11,100)&gt;2)+1),2)&amp;","&amp;TEXT(C4032," yyyy"))</f>
        <v>July 20th,2026</v>
      </c>
      <c r="AB4032" s="15" t="str">
        <f aca="true">IF(S4032="","",DATEDIF(S4032,TODAY(),"Y")&amp;" Tahun, "&amp;DATEDIF(S4032,TODAY(),"YM")&amp;" Bulan, "&amp;DATEDIF(S4032,TODAY(),"MD")&amp;" Hari")</f>
        <v>20 Tahun, 0 Bulan, 27 Hari</v>
      </c>
      <c r="AC4032" s="14" t="n">
        <v>46223</v>
      </c>
      <c r="AD4032" s="18" t="n">
        <v>46402</v>
      </c>
      <c r="AE4032" s="13" t="s">
        <v>397</v>
      </c>
    </row>
    <row r="4033" customFormat="false" ht="15" hidden="false" customHeight="true" outlineLevel="0" collapsed="false">
      <c r="A4033" s="12" t="n">
        <v>2101</v>
      </c>
      <c r="B4033" s="13" t="s">
        <v>16515</v>
      </c>
      <c r="C4033" s="14" t="n">
        <v>43994</v>
      </c>
      <c r="D4033" s="13" t="s">
        <v>101</v>
      </c>
      <c r="E4033" s="15" t="s">
        <v>47</v>
      </c>
      <c r="F4033" s="15" t="str">
        <f aca="false">IFERROR(__xludf.dummyfunction("XLOOKUP(AJ4033,IMPORTRANGE(""1XaInW9DU9nz21V0tYIfzFQ0He9kVQ_JF2mCXgZ3hqFA"",""REKAP ALL 2026 - Andika!G:G""),IMPORTRANGE(""1XaInW9DU9nz21V0tYIfzFQ0He9kVQ_JF2mCXgZ3hqFA"",""REKAP ALL 2026 - Andika!F:F""),"""",0)"),"20043782406")</f>
        <v>20043782406</v>
      </c>
      <c r="G4033" s="13" t="s">
        <v>16516</v>
      </c>
      <c r="H4033" s="13" t="s">
        <v>35</v>
      </c>
      <c r="I4033" s="13" t="str">
        <f aca="false">IF(C4033=J4033,"NEW KONTRAK","RE-KONTRAK")</f>
        <v>RE-KONTRAK</v>
      </c>
      <c r="J4033" s="16" t="n">
        <f aca="false" t="array" ref="J4033:J4033">IFERROR(INDEX(AC4033:AE4033,IF(COUNTA(AC4033:AE4033)=0,"",MAX((AC4033:AE4033&lt;&gt;"")*(COLUMN(AC4033:AE4033)-(COLUMN(AC4033)))))-1),"")</f>
        <v>45672</v>
      </c>
      <c r="K4033" s="16" t="n">
        <f aca="false" t="array" ref="K4033:K4033">IFERROR(INDEX(AC4033:AE4033,IF(COUNTA(AC4033:AE4033)=0,"",MAX((AC4033:AE4033&lt;&gt;"")*(COLUMN(AC4033:AE4033)-(COLUMN(AC4033)-1))))-1),"")</f>
        <v>46036</v>
      </c>
      <c r="L4033" s="17" t="str">
        <f aca="false" t="array" ref="L4033:L4033">IFERROR(INDEX(AC4033:AE4033,IF(COUNTA(AC4033:AE4033)=0,"",MAX((AC4033:AE4033&lt;&gt;"")*(COLUMN(AC4033:AE4033)-(COLUMN(AC4033)-2))))-1),"")</f>
        <v>ARCHIVED</v>
      </c>
      <c r="M4033" s="13" t="n">
        <f aca="true">K4033-TODAY()</f>
        <v>-288</v>
      </c>
      <c r="N4033" s="18" t="s">
        <v>105</v>
      </c>
      <c r="O4033" s="13" t="s">
        <v>16517</v>
      </c>
      <c r="P4033" s="31" t="n">
        <v>162068</v>
      </c>
      <c r="Q4033" s="20" t="s">
        <v>16518</v>
      </c>
      <c r="R4033" s="13" t="s">
        <v>39</v>
      </c>
      <c r="S4033" s="25" t="n">
        <v>34819</v>
      </c>
      <c r="T4033" s="13" t="s">
        <v>40</v>
      </c>
      <c r="U4033" s="13" t="s">
        <v>16519</v>
      </c>
      <c r="V4033" s="13" t="s">
        <v>42</v>
      </c>
      <c r="W4033" s="13" t="s">
        <v>43</v>
      </c>
      <c r="X4033" s="21" t="n">
        <v>85852062068</v>
      </c>
      <c r="Y4033" s="22" t="str">
        <f aca="false">O4033</f>
        <v>Gudang Jadi - Leader</v>
      </c>
      <c r="Z4033" s="13" t="str">
        <f aca="false">IFERROR(__xludf.dummyfunction("if(BJ4033="""","""",GOOGLETRANSLATE(BJ4033,""auto"",""en""))"),"Warehouse So - Leader")</f>
        <v>Warehouse So - Leader</v>
      </c>
      <c r="AA4033" s="23" t="str">
        <f aca="false">IF(C4033="","", CHOOSE(MONTH(C4033),"January","February","March","April","May","June","July","August","September","October","November","December")&amp;" "&amp;DAY(C4033)&amp;MID("thstndrdth",MIN(9,2*RIGHT(DAY(C4033))*(MOD(DAY(C4033)-11,100)&gt;2)+1),2)&amp;","&amp;TEXT(C4033," yyyy"))</f>
        <v>June 12th,2020</v>
      </c>
      <c r="AB4033" s="15" t="str">
        <f aca="true">IF(S4033="","",DATEDIF(S4033,TODAY(),"Y")&amp;" Tahun, "&amp;DATEDIF(S4033,TODAY(),"YM")&amp;" Bulan, "&amp;DATEDIF(S4033,TODAY(),"MD")&amp;" Hari")</f>
        <v>31 Tahun, 5 Bulan, 29 Hari</v>
      </c>
      <c r="AC4033" s="18" t="n">
        <v>45672</v>
      </c>
      <c r="AD4033" s="18" t="n">
        <v>46036</v>
      </c>
      <c r="AE4033" s="18" t="s">
        <v>44</v>
      </c>
    </row>
    <row r="4034" customFormat="false" ht="15" hidden="false" customHeight="true" outlineLevel="0" collapsed="false">
      <c r="A4034" s="12" t="n">
        <v>22663</v>
      </c>
      <c r="B4034" s="45" t="s">
        <v>16520</v>
      </c>
      <c r="C4034" s="14" t="n">
        <v>46249</v>
      </c>
      <c r="D4034" s="13" t="s">
        <v>9043</v>
      </c>
      <c r="E4034" s="13" t="s">
        <v>102</v>
      </c>
      <c r="F4034" s="24" t="s">
        <v>16521</v>
      </c>
      <c r="G4034" s="13" t="s">
        <v>1452</v>
      </c>
      <c r="H4034" s="13" t="s">
        <v>35</v>
      </c>
      <c r="I4034" s="13" t="str">
        <f aca="false">IF(C4034=J4034,"NEW KONTRAK","RE-KONTRAK")</f>
        <v>NEW KONTRAK</v>
      </c>
      <c r="J4034" s="16" t="n">
        <f aca="false" t="array" ref="J4034:J4034">IFERROR(INDEX(AC4034:AE4034,IF(COUNTA(AC4034:AE4034)=0,"",MAX((AC4034:AE4034&lt;&gt;"")*(COLUMN(AC4034:AE4034)-(COLUMN(AC4034)))))-1),"")</f>
        <v>46249</v>
      </c>
      <c r="K4034" s="16" t="n">
        <f aca="false" t="array" ref="K4034:K4034">IFERROR(INDEX(AC4034:AE4034,IF(COUNTA(AC4034:AE4034)=0,"",MAX((AC4034:AE4034&lt;&gt;"")*(COLUMN(AC4034:AE4034)-(COLUMN(AC4034)-1))))-1),"")</f>
        <v>46340</v>
      </c>
      <c r="L4034" s="17" t="str">
        <f aca="false" t="array" ref="L4034:L4034">IFERROR(INDEX(AC4034:AE4034,IF(COUNTA(AC4034:AE4034)=0,"",MAX((AC4034:AE4034&lt;&gt;"")*(COLUMN(AC4034:AE4034)-(COLUMN(AC4034)-2))))-1),"")</f>
        <v>KEMBALI</v>
      </c>
      <c r="M4034" s="13" t="n">
        <f aca="true">K4034-TODAY()</f>
        <v>16</v>
      </c>
      <c r="N4034" s="50" t="s">
        <v>728</v>
      </c>
      <c r="O4034" s="13" t="s">
        <v>16522</v>
      </c>
      <c r="P4034" s="26" t="n">
        <v>4661243</v>
      </c>
      <c r="Q4034" s="20" t="s">
        <v>16523</v>
      </c>
      <c r="R4034" s="13" t="s">
        <v>83</v>
      </c>
      <c r="S4034" s="25" t="n">
        <v>32836</v>
      </c>
      <c r="T4034" s="13" t="s">
        <v>40</v>
      </c>
      <c r="U4034" s="13" t="s">
        <v>16524</v>
      </c>
      <c r="V4034" s="13" t="s">
        <v>42</v>
      </c>
      <c r="W4034" s="13" t="s">
        <v>54</v>
      </c>
      <c r="X4034" s="21" t="n">
        <v>85157722489</v>
      </c>
      <c r="Y4034" s="22" t="str">
        <f aca="false">O4034</f>
        <v>Sales Promotion Klinik</v>
      </c>
      <c r="Z4034" s="13" t="str">
        <f aca="false">IFERROR(__xludf.dummyfunction("if(BJ4034="""","""",GOOGLETRANSLATE(BJ4034,""auto"",""en""))"),"Clinic Sales Promotion")</f>
        <v>Clinic Sales Promotion</v>
      </c>
      <c r="AA4034" s="23" t="str">
        <f aca="false">IF(C4034="","", CHOOSE(MONTH(C4034),"January","February","March","April","May","June","July","August","September","October","November","December")&amp;" "&amp;DAY(C4034)&amp;MID("thstndrdth",MIN(9,2*RIGHT(DAY(C4034))*(MOD(DAY(C4034)-11,100)&gt;2)+1),2)&amp;","&amp;TEXT(C4034," yyyy"))</f>
        <v>August 15th,2026</v>
      </c>
      <c r="AB4034" s="15" t="str">
        <f aca="true">IF(S4034="","",DATEDIF(S4034,TODAY(),"Y")&amp;" Tahun, "&amp;DATEDIF(S4034,TODAY(),"YM")&amp;" Bulan, "&amp;DATEDIF(S4034,TODAY(),"MD")&amp;" Hari")</f>
        <v>36 Tahun, 11 Bulan, 5 Hari</v>
      </c>
      <c r="AC4034" s="14" t="n">
        <v>46249</v>
      </c>
      <c r="AD4034" s="18" t="n">
        <f aca="false">EDATE(AC4034,3)-1</f>
        <v>46340</v>
      </c>
      <c r="AE4034" s="13" t="s">
        <v>397</v>
      </c>
    </row>
    <row r="4035" customFormat="false" ht="15" hidden="false" customHeight="true" outlineLevel="0" collapsed="false">
      <c r="A4035" s="12" t="n">
        <v>22664</v>
      </c>
      <c r="B4035" s="45" t="s">
        <v>16525</v>
      </c>
      <c r="C4035" s="14" t="n">
        <v>46237</v>
      </c>
      <c r="D4035" s="13" t="s">
        <v>4743</v>
      </c>
      <c r="E4035" s="13" t="s">
        <v>47</v>
      </c>
      <c r="F4035" s="24" t="s">
        <v>16526</v>
      </c>
      <c r="G4035" s="13" t="s">
        <v>1452</v>
      </c>
      <c r="H4035" s="13" t="s">
        <v>35</v>
      </c>
      <c r="I4035" s="13" t="str">
        <f aca="false">IF(C4035=J4035,"NEW KONTRAK","RE-KONTRAK")</f>
        <v>NEW KONTRAK</v>
      </c>
      <c r="J4035" s="16" t="n">
        <f aca="false" t="array" ref="J4035:J4035">IFERROR(INDEX(AC4035:AE4035,IF(COUNTA(AC4035:AE4035)=0,"",MAX((AC4035:AE4035&lt;&gt;"")*(COLUMN(AC4035:AE4035)-(COLUMN(AC4035)))))-1),"")</f>
        <v>46237</v>
      </c>
      <c r="K4035" s="16" t="n">
        <f aca="false" t="array" ref="K4035:K4035">IFERROR(INDEX(AC4035:AE4035,IF(COUNTA(AC4035:AE4035)=0,"",MAX((AC4035:AE4035&lt;&gt;"")*(COLUMN(AC4035:AE4035)-(COLUMN(AC4035)-1))))-1),"")</f>
        <v>46328</v>
      </c>
      <c r="L4035" s="17" t="str">
        <f aca="false" t="array" ref="L4035:L4035">IFERROR(INDEX(AC4035:AE4035,IF(COUNTA(AC4035:AE4035)=0,"",MAX((AC4035:AE4035&lt;&gt;"")*(COLUMN(AC4035:AE4035)-(COLUMN(AC4035)-2))))-1),"")</f>
        <v>KEMBALI</v>
      </c>
      <c r="M4035" s="13" t="n">
        <f aca="true">K4035-TODAY()</f>
        <v>4</v>
      </c>
      <c r="N4035" s="18" t="s">
        <v>728</v>
      </c>
      <c r="O4035" s="13" t="s">
        <v>16527</v>
      </c>
      <c r="P4035" s="26" t="n">
        <v>3500000</v>
      </c>
      <c r="Q4035" s="20" t="s">
        <v>16528</v>
      </c>
      <c r="R4035" s="13" t="s">
        <v>241</v>
      </c>
      <c r="S4035" s="25" t="n">
        <v>35987</v>
      </c>
      <c r="T4035" s="13" t="s">
        <v>40</v>
      </c>
      <c r="U4035" s="13" t="s">
        <v>16529</v>
      </c>
      <c r="V4035" s="13" t="s">
        <v>42</v>
      </c>
      <c r="W4035" s="13" t="s">
        <v>43</v>
      </c>
      <c r="X4035" s="21" t="n">
        <v>85179573822</v>
      </c>
      <c r="Y4035" s="22" t="str">
        <f aca="false">O4035</f>
        <v>Digital Marketing</v>
      </c>
      <c r="Z4035" s="13" t="str">
        <f aca="false">IFERROR(__xludf.dummyfunction("if(BJ4035="""","""",GOOGLETRANSLATE(BJ4035,""auto"",""en""))"),"Digital Marketing")</f>
        <v>Digital Marketing</v>
      </c>
      <c r="AA4035" s="23" t="str">
        <f aca="false">IF(C4035="","", CHOOSE(MONTH(C4035),"January","February","March","April","May","June","July","August","September","October","November","December")&amp;" "&amp;DAY(C4035)&amp;MID("thstndrdth",MIN(9,2*RIGHT(DAY(C4035))*(MOD(DAY(C4035)-11,100)&gt;2)+1),2)&amp;","&amp;TEXT(C4035," yyyy"))</f>
        <v>August 3rd,2026</v>
      </c>
      <c r="AB4035" s="15" t="str">
        <f aca="true">IF(S4035="","",DATEDIF(S4035,TODAY(),"Y")&amp;" Tahun, "&amp;DATEDIF(S4035,TODAY(),"YM")&amp;" Bulan, "&amp;DATEDIF(S4035,TODAY(),"MD")&amp;" Hari")</f>
        <v>28 Tahun, 3 Bulan, 18 Hari</v>
      </c>
      <c r="AC4035" s="14" t="n">
        <v>46237</v>
      </c>
      <c r="AD4035" s="18" t="n">
        <f aca="false">EDATE(AC4035,3)-1</f>
        <v>46328</v>
      </c>
      <c r="AE4035" s="13" t="s">
        <v>397</v>
      </c>
    </row>
    <row r="4036" customFormat="false" ht="15" hidden="false" customHeight="true" outlineLevel="0" collapsed="false">
      <c r="A4036" s="12" t="n">
        <v>22655</v>
      </c>
      <c r="B4036" s="45" t="s">
        <v>16530</v>
      </c>
      <c r="C4036" s="14" t="n">
        <v>46244</v>
      </c>
      <c r="D4036" s="13" t="s">
        <v>101</v>
      </c>
      <c r="E4036" s="15" t="s">
        <v>47</v>
      </c>
      <c r="F4036" s="24" t="s">
        <v>16531</v>
      </c>
      <c r="G4036" s="13" t="s">
        <v>1452</v>
      </c>
      <c r="H4036" s="13" t="s">
        <v>35</v>
      </c>
      <c r="I4036" s="13" t="str">
        <f aca="false">IF(C4036=J4036,"NEW KONTRAK","RE-KONTRAK")</f>
        <v>NEW KONTRAK</v>
      </c>
      <c r="J4036" s="16" t="n">
        <f aca="false" t="array" ref="J4036:J4036">IFERROR(INDEX(AC4036:AE4036,IF(COUNTA(AC4036:AE4036)=0,"",MAX((AC4036:AE4036&lt;&gt;"")*(COLUMN(AC4036:AE4036)-(COLUMN(AC4036)))))-1),"")</f>
        <v>46244</v>
      </c>
      <c r="K4036" s="16" t="n">
        <f aca="false" t="array" ref="K4036:K4036">IFERROR(INDEX(AC4036:AE4036,IF(COUNTA(AC4036:AE4036)=0,"",MAX((AC4036:AE4036&lt;&gt;"")*(COLUMN(AC4036:AE4036)-(COLUMN(AC4036)-1))))-1),"")</f>
        <v>46402</v>
      </c>
      <c r="L4036" s="17" t="str">
        <f aca="false" t="array" ref="L4036:L4036">IFERROR(INDEX(AC4036:AE4036,IF(COUNTA(AC4036:AE4036)=0,"",MAX((AC4036:AE4036&lt;&gt;"")*(COLUMN(AC4036:AE4036)-(COLUMN(AC4036)-2))))-1),"")</f>
        <v>ARCHIVED</v>
      </c>
      <c r="M4036" s="13" t="n">
        <f aca="true">K4036-TODAY()</f>
        <v>78</v>
      </c>
      <c r="N4036" s="18" t="s">
        <v>105</v>
      </c>
      <c r="O4036" s="13" t="s">
        <v>1453</v>
      </c>
      <c r="P4036" s="26" t="n">
        <v>138915</v>
      </c>
      <c r="Q4036" s="20" t="s">
        <v>16532</v>
      </c>
      <c r="R4036" s="13" t="s">
        <v>39</v>
      </c>
      <c r="S4036" s="25" t="n">
        <v>39655</v>
      </c>
      <c r="T4036" s="13" t="s">
        <v>108</v>
      </c>
      <c r="U4036" s="13" t="s">
        <v>16533</v>
      </c>
      <c r="V4036" s="13" t="s">
        <v>42</v>
      </c>
      <c r="W4036" s="13" t="s">
        <v>43</v>
      </c>
      <c r="X4036" s="21" t="n">
        <v>88989394362</v>
      </c>
      <c r="Y4036" s="22" t="str">
        <f aca="false">O4036</f>
        <v>Helper Produksi</v>
      </c>
      <c r="Z4036" s="13" t="str">
        <f aca="false">IFERROR(__xludf.dummyfunction("if(BJ4036="""","""",GOOGLETRANSLATE(BJ4036,""auto"",""en""))"),"Production Helper")</f>
        <v>Production Helper</v>
      </c>
      <c r="AA4036" s="23" t="str">
        <f aca="false">IF(C4036="","", CHOOSE(MONTH(C4036),"January","February","March","April","May","June","July","August","September","October","November","December")&amp;" "&amp;DAY(C4036)&amp;MID("thstndrdth",MIN(9,2*RIGHT(DAY(C4036))*(MOD(DAY(C4036)-11,100)&gt;2)+1),2)&amp;","&amp;TEXT(C4036," yyyy"))</f>
        <v>August 10th,2026</v>
      </c>
      <c r="AB4036" s="15" t="str">
        <f aca="true">IF(S4036="","",DATEDIF(S4036,TODAY(),"Y")&amp;" Tahun, "&amp;DATEDIF(S4036,TODAY(),"YM")&amp;" Bulan, "&amp;DATEDIF(S4036,TODAY(),"MD")&amp;" Hari")</f>
        <v>18 Tahun, 3 Bulan, 3 Hari</v>
      </c>
      <c r="AC4036" s="14" t="n">
        <v>46244</v>
      </c>
      <c r="AD4036" s="18" t="n">
        <v>46402</v>
      </c>
      <c r="AE4036" s="45" t="s">
        <v>44</v>
      </c>
    </row>
    <row r="4037" customFormat="false" ht="15" hidden="false" customHeight="true" outlineLevel="0" collapsed="false">
      <c r="A4037" s="12" t="n">
        <v>2114</v>
      </c>
      <c r="B4037" s="13" t="s">
        <v>16534</v>
      </c>
      <c r="C4037" s="14" t="n">
        <v>43845</v>
      </c>
      <c r="D4037" s="13" t="s">
        <v>101</v>
      </c>
      <c r="E4037" s="15" t="s">
        <v>47</v>
      </c>
      <c r="F4037" s="15" t="str">
        <f aca="false">IFERROR(__xludf.dummyfunction("XLOOKUP(AJ4037,IMPORTRANGE(""1XaInW9DU9nz21V0tYIfzFQ0He9kVQ_JF2mCXgZ3hqFA"",""REKAP ALL 2026 - Andika!G:G""),IMPORTRANGE(""1XaInW9DU9nz21V0tYIfzFQ0He9kVQ_JF2mCXgZ3hqFA"",""REKAP ALL 2026 - Andika!F:F""),"""",0)"),"20021314461")</f>
        <v>20021314461</v>
      </c>
      <c r="G4037" s="13" t="s">
        <v>16535</v>
      </c>
      <c r="H4037" s="13" t="s">
        <v>35</v>
      </c>
      <c r="I4037" s="13" t="str">
        <f aca="false">IF(C4037=J4037,"NEW KONTRAK","RE-KONTRAK")</f>
        <v>RE-KONTRAK</v>
      </c>
      <c r="J4037" s="16" t="n">
        <f aca="false" t="array" ref="J4037:J4037">IFERROR(INDEX(AC4037:AE4037,IF(COUNTA(AC4037:AE4037)=0,"",MAX((AC4037:AE4037&lt;&gt;"")*(COLUMN(AC4037:AE4037)-(COLUMN(AC4037)))))-1),"")</f>
        <v>45672</v>
      </c>
      <c r="K4037" s="16" t="n">
        <f aca="false" t="array" ref="K4037:K4037">IFERROR(INDEX(AC4037:AE4037,IF(COUNTA(AC4037:AE4037)=0,"",MAX((AC4037:AE4037&lt;&gt;"")*(COLUMN(AC4037:AE4037)-(COLUMN(AC4037)-1))))-1),"")</f>
        <v>46036</v>
      </c>
      <c r="L4037" s="17" t="str">
        <f aca="false" t="array" ref="L4037:L4037">IFERROR(INDEX(AC4037:AE4037,IF(COUNTA(AC4037:AE4037)=0,"",MAX((AC4037:AE4037&lt;&gt;"")*(COLUMN(AC4037:AE4037)-(COLUMN(AC4037)-2))))-1),"")</f>
        <v>ARCHIVED</v>
      </c>
      <c r="M4037" s="13" t="n">
        <f aca="true">K4037-TODAY()</f>
        <v>-288</v>
      </c>
      <c r="N4037" s="18" t="s">
        <v>105</v>
      </c>
      <c r="O4037" s="13" t="s">
        <v>1434</v>
      </c>
      <c r="P4037" s="31" t="n">
        <v>138915</v>
      </c>
      <c r="Q4037" s="20" t="s">
        <v>16536</v>
      </c>
      <c r="R4037" s="13" t="s">
        <v>39</v>
      </c>
      <c r="S4037" s="25" t="n">
        <v>36989</v>
      </c>
      <c r="T4037" s="13" t="s">
        <v>108</v>
      </c>
      <c r="U4037" s="13" t="s">
        <v>16537</v>
      </c>
      <c r="V4037" s="13" t="s">
        <v>42</v>
      </c>
      <c r="W4037" s="13" t="s">
        <v>43</v>
      </c>
      <c r="X4037" s="21" t="n">
        <v>8997541843</v>
      </c>
      <c r="Y4037" s="22" t="str">
        <f aca="false">O4037</f>
        <v>E-Commerce - Packer</v>
      </c>
      <c r="Z4037" s="13" t="str">
        <f aca="false">IFERROR(__xludf.dummyfunction("if(BJ4037="""","""",GOOGLETRANSLATE(BJ4037,""auto"",""en""))"),"E-Commerce - Packer")</f>
        <v>E-Commerce - Packer</v>
      </c>
      <c r="AA4037" s="23" t="str">
        <f aca="false">IF(C4037="","", CHOOSE(MONTH(C4037),"January","February","March","April","May","June","July","August","September","October","November","December")&amp;" "&amp;DAY(C4037)&amp;MID("thstndrdth",MIN(9,2*RIGHT(DAY(C4037))*(MOD(DAY(C4037)-11,100)&gt;2)+1),2)&amp;","&amp;TEXT(C4037," yyyy"))</f>
        <v>January 15th,2020</v>
      </c>
      <c r="AB4037" s="15" t="str">
        <f aca="true">IF(S4037="","",DATEDIF(S4037,TODAY(),"Y")&amp;" Tahun, "&amp;DATEDIF(S4037,TODAY(),"YM")&amp;" Bulan, "&amp;DATEDIF(S4037,TODAY(),"MD")&amp;" Hari")</f>
        <v>25 Tahun, 6 Bulan, 21 Hari</v>
      </c>
      <c r="AC4037" s="18" t="n">
        <v>45672</v>
      </c>
      <c r="AD4037" s="18" t="n">
        <v>46036</v>
      </c>
      <c r="AE4037" s="18" t="s">
        <v>44</v>
      </c>
    </row>
    <row r="4038" customFormat="false" ht="15" hidden="false" customHeight="true" outlineLevel="0" collapsed="false">
      <c r="A4038" s="12" t="n">
        <v>22620</v>
      </c>
      <c r="B4038" s="45" t="s">
        <v>16538</v>
      </c>
      <c r="C4038" s="14" t="n">
        <v>46230</v>
      </c>
      <c r="D4038" s="13" t="s">
        <v>101</v>
      </c>
      <c r="E4038" s="13" t="s">
        <v>47</v>
      </c>
      <c r="F4038" s="24" t="s">
        <v>16539</v>
      </c>
      <c r="G4038" s="13" t="s">
        <v>1452</v>
      </c>
      <c r="H4038" s="13" t="s">
        <v>35</v>
      </c>
      <c r="I4038" s="13" t="str">
        <f aca="false">IF(C4038=J4038,"NEW KONTRAK","RE-KONTRAK")</f>
        <v>NEW KONTRAK</v>
      </c>
      <c r="J4038" s="16" t="n">
        <f aca="false" t="array" ref="J4038:J4038">IFERROR(INDEX(AC4038:AE4038,IF(COUNTA(AC4038:AE4038)=0,"",MAX((AC4038:AE4038&lt;&gt;"")*(COLUMN(AC4038:AE4038)-(COLUMN(AC4038)))))-1),"")</f>
        <v>46230</v>
      </c>
      <c r="K4038" s="16" t="n">
        <f aca="false" t="array" ref="K4038:K4038">IFERROR(INDEX(AC4038:AE4038,IF(COUNTA(AC4038:AE4038)=0,"",MAX((AC4038:AE4038&lt;&gt;"")*(COLUMN(AC4038:AE4038)-(COLUMN(AC4038)-1))))-1),"")</f>
        <v>46321</v>
      </c>
      <c r="L4038" s="17" t="str">
        <f aca="false" t="array" ref="L4038:L4038">IFERROR(INDEX(AC4038:AE4038,IF(COUNTA(AC4038:AE4038)=0,"",MAX((AC4038:AE4038&lt;&gt;"")*(COLUMN(AC4038:AE4038)-(COLUMN(AC4038)-2))))-1),"")</f>
        <v>KEMBALI</v>
      </c>
      <c r="M4038" s="13" t="n">
        <f aca="true">K4038-TODAY()</f>
        <v>-3</v>
      </c>
      <c r="N4038" s="18" t="s">
        <v>105</v>
      </c>
      <c r="O4038" s="13" t="s">
        <v>1453</v>
      </c>
      <c r="P4038" s="26" t="n">
        <v>138915</v>
      </c>
      <c r="Q4038" s="20" t="s">
        <v>16540</v>
      </c>
      <c r="R4038" s="13" t="s">
        <v>39</v>
      </c>
      <c r="S4038" s="25" t="n">
        <v>39107</v>
      </c>
      <c r="T4038" s="13" t="s">
        <v>108</v>
      </c>
      <c r="U4038" s="13" t="s">
        <v>16541</v>
      </c>
      <c r="V4038" s="13" t="s">
        <v>42</v>
      </c>
      <c r="W4038" s="13" t="s">
        <v>43</v>
      </c>
      <c r="X4038" s="21" t="n">
        <v>88991687484</v>
      </c>
      <c r="Y4038" s="22" t="str">
        <f aca="false">O4038</f>
        <v>Helper Produksi</v>
      </c>
      <c r="Z4038" s="13" t="str">
        <f aca="false">IFERROR(__xludf.dummyfunction("if(BJ4038="""","""",GOOGLETRANSLATE(BJ4038,""auto"",""en""))"),"Production Helper")</f>
        <v>Production Helper</v>
      </c>
      <c r="AA4038" s="23" t="str">
        <f aca="false">IF(C4038="","", CHOOSE(MONTH(C4038),"January","February","March","April","May","June","July","August","September","October","November","December")&amp;" "&amp;DAY(C4038)&amp;MID("thstndrdth",MIN(9,2*RIGHT(DAY(C4038))*(MOD(DAY(C4038)-11,100)&gt;2)+1),2)&amp;","&amp;TEXT(C4038," yyyy"))</f>
        <v>July 27th,2026</v>
      </c>
      <c r="AB4038" s="15" t="str">
        <f aca="true">IF(S4038="","",DATEDIF(S4038,TODAY(),"Y")&amp;" Tahun, "&amp;DATEDIF(S4038,TODAY(),"YM")&amp;" Bulan, "&amp;DATEDIF(S4038,TODAY(),"MD")&amp;" Hari")</f>
        <v>19 Tahun, 9 Bulan, 4 Hari</v>
      </c>
      <c r="AC4038" s="14" t="n">
        <v>46230</v>
      </c>
      <c r="AD4038" s="18" t="n">
        <f aca="false">EDATE(AC4038,3)-1</f>
        <v>46321</v>
      </c>
      <c r="AE4038" s="13" t="s">
        <v>397</v>
      </c>
    </row>
    <row r="4039" customFormat="false" ht="15" hidden="false" customHeight="true" outlineLevel="0" collapsed="false">
      <c r="A4039" s="12" t="n">
        <v>22627</v>
      </c>
      <c r="B4039" s="45" t="s">
        <v>16542</v>
      </c>
      <c r="C4039" s="14" t="n">
        <v>46232</v>
      </c>
      <c r="D4039" s="13" t="s">
        <v>101</v>
      </c>
      <c r="E4039" s="13" t="s">
        <v>47</v>
      </c>
      <c r="F4039" s="24" t="s">
        <v>16543</v>
      </c>
      <c r="G4039" s="13" t="s">
        <v>1452</v>
      </c>
      <c r="H4039" s="13" t="s">
        <v>35</v>
      </c>
      <c r="I4039" s="13" t="str">
        <f aca="false">IF(C4039=J4039,"NEW KONTRAK","RE-KONTRAK")</f>
        <v>NEW KONTRAK</v>
      </c>
      <c r="J4039" s="16" t="n">
        <f aca="false" t="array" ref="J4039:J4039">IFERROR(INDEX(AC4039:AE4039,IF(COUNTA(AC4039:AE4039)=0,"",MAX((AC4039:AE4039&lt;&gt;"")*(COLUMN(AC4039:AE4039)-(COLUMN(AC4039)))))-1),"")</f>
        <v>46232</v>
      </c>
      <c r="K4039" s="16" t="n">
        <f aca="false" t="array" ref="K4039:K4039">IFERROR(INDEX(AC4039:AE4039,IF(COUNTA(AC4039:AE4039)=0,"",MAX((AC4039:AE4039&lt;&gt;"")*(COLUMN(AC4039:AE4039)-(COLUMN(AC4039)-1))))-1),"")</f>
        <v>46402</v>
      </c>
      <c r="L4039" s="17" t="str">
        <f aca="false" t="array" ref="L4039:L4039">IFERROR(INDEX(AC4039:AE4039,IF(COUNTA(AC4039:AE4039)=0,"",MAX((AC4039:AE4039&lt;&gt;"")*(COLUMN(AC4039:AE4039)-(COLUMN(AC4039)-2))))-1),"")</f>
        <v>KEMBALI</v>
      </c>
      <c r="M4039" s="13" t="n">
        <f aca="true">K4039-TODAY()</f>
        <v>78</v>
      </c>
      <c r="N4039" s="18" t="s">
        <v>105</v>
      </c>
      <c r="O4039" s="13" t="s">
        <v>1453</v>
      </c>
      <c r="P4039" s="26" t="n">
        <v>138915</v>
      </c>
      <c r="Q4039" s="20" t="s">
        <v>16544</v>
      </c>
      <c r="R4039" s="13" t="s">
        <v>39</v>
      </c>
      <c r="S4039" s="25" t="n">
        <v>39276</v>
      </c>
      <c r="T4039" s="13" t="s">
        <v>40</v>
      </c>
      <c r="U4039" s="13" t="s">
        <v>16545</v>
      </c>
      <c r="V4039" s="13" t="s">
        <v>42</v>
      </c>
      <c r="W4039" s="13" t="s">
        <v>43</v>
      </c>
      <c r="X4039" s="21" t="n">
        <v>85713652341</v>
      </c>
      <c r="Y4039" s="22" t="str">
        <f aca="false">O4039</f>
        <v>Helper Produksi</v>
      </c>
      <c r="Z4039" s="13" t="str">
        <f aca="false">IFERROR(__xludf.dummyfunction("if(BJ4039="""","""",GOOGLETRANSLATE(BJ4039,""auto"",""en""))"),"Production Helper")</f>
        <v>Production Helper</v>
      </c>
      <c r="AA4039" s="23" t="str">
        <f aca="false">IF(C4039="","", CHOOSE(MONTH(C4039),"January","February","March","April","May","June","July","August","September","October","November","December")&amp;" "&amp;DAY(C4039)&amp;MID("thstndrdth",MIN(9,2*RIGHT(DAY(C4039))*(MOD(DAY(C4039)-11,100)&gt;2)+1),2)&amp;","&amp;TEXT(C4039," yyyy"))</f>
        <v>July 29th,2026</v>
      </c>
      <c r="AB4039" s="15" t="str">
        <f aca="true">IF(S4039="","",DATEDIF(S4039,TODAY(),"Y")&amp;" Tahun, "&amp;DATEDIF(S4039,TODAY(),"YM")&amp;" Bulan, "&amp;DATEDIF(S4039,TODAY(),"MD")&amp;" Hari")</f>
        <v>19 Tahun, 3 Bulan, 16 Hari</v>
      </c>
      <c r="AC4039" s="14" t="n">
        <v>46232</v>
      </c>
      <c r="AD4039" s="18" t="n">
        <v>46402</v>
      </c>
      <c r="AE4039" s="13" t="s">
        <v>397</v>
      </c>
    </row>
    <row r="4040" customFormat="false" ht="15" hidden="false" customHeight="true" outlineLevel="0" collapsed="false">
      <c r="A4040" s="12" t="n">
        <v>22667</v>
      </c>
      <c r="B4040" s="45" t="s">
        <v>16546</v>
      </c>
      <c r="C4040" s="14" t="n">
        <v>46241</v>
      </c>
      <c r="D4040" s="13" t="s">
        <v>101</v>
      </c>
      <c r="E4040" s="13" t="s">
        <v>47</v>
      </c>
      <c r="F4040" s="24" t="s">
        <v>16547</v>
      </c>
      <c r="G4040" s="13" t="s">
        <v>1452</v>
      </c>
      <c r="H4040" s="13" t="s">
        <v>35</v>
      </c>
      <c r="I4040" s="13" t="str">
        <f aca="false">IF(C4040=J4040,"NEW KONTRAK","RE-KONTRAK")</f>
        <v>NEW KONTRAK</v>
      </c>
      <c r="J4040" s="16" t="n">
        <f aca="false" t="array" ref="J4040:J4040">IFERROR(INDEX(AC4040:AE4040,IF(COUNTA(AC4040:AE4040)=0,"",MAX((AC4040:AE4040&lt;&gt;"")*(COLUMN(AC4040:AE4040)-(COLUMN(AC4040)))))-1),"")</f>
        <v>46241</v>
      </c>
      <c r="K4040" s="16" t="n">
        <f aca="false" t="array" ref="K4040:K4040">IFERROR(INDEX(AC4040:AE4040,IF(COUNTA(AC4040:AE4040)=0,"",MAX((AC4040:AE4040&lt;&gt;"")*(COLUMN(AC4040:AE4040)-(COLUMN(AC4040)-1))))-1),"")</f>
        <v>46402</v>
      </c>
      <c r="L4040" s="17" t="str">
        <f aca="false" t="array" ref="L4040:L4040">IFERROR(INDEX(AC4040:AE4040,IF(COUNTA(AC4040:AE4040)=0,"",MAX((AC4040:AE4040&lt;&gt;"")*(COLUMN(AC4040:AE4040)-(COLUMN(AC4040)-2))))-1),"")</f>
        <v>ARCHIVED</v>
      </c>
      <c r="M4040" s="13" t="n">
        <f aca="true">K4040-TODAY()</f>
        <v>78</v>
      </c>
      <c r="N4040" s="18" t="s">
        <v>105</v>
      </c>
      <c r="O4040" s="13" t="s">
        <v>1453</v>
      </c>
      <c r="P4040" s="26" t="n">
        <v>138915</v>
      </c>
      <c r="Q4040" s="20" t="s">
        <v>16548</v>
      </c>
      <c r="R4040" s="13" t="s">
        <v>39</v>
      </c>
      <c r="S4040" s="25" t="n">
        <v>36079</v>
      </c>
      <c r="T4040" s="13" t="s">
        <v>40</v>
      </c>
      <c r="U4040" s="13" t="s">
        <v>16549</v>
      </c>
      <c r="V4040" s="13" t="s">
        <v>42</v>
      </c>
      <c r="W4040" s="13" t="s">
        <v>43</v>
      </c>
      <c r="X4040" s="21" t="n">
        <v>85185407991</v>
      </c>
      <c r="Y4040" s="22" t="str">
        <f aca="false">O4040</f>
        <v>Helper Produksi</v>
      </c>
      <c r="Z4040" s="13" t="str">
        <f aca="false">IFERROR(__xludf.dummyfunction("if(BJ4040="""","""",GOOGLETRANSLATE(BJ4040,""auto"",""en""))"),"Production Helper")</f>
        <v>Production Helper</v>
      </c>
      <c r="AA4040" s="23" t="str">
        <f aca="false">IF(C4040="","", CHOOSE(MONTH(C4040),"January","February","March","April","May","June","July","August","September","October","November","December")&amp;" "&amp;DAY(C4040)&amp;MID("thstndrdth",MIN(9,2*RIGHT(DAY(C4040))*(MOD(DAY(C4040)-11,100)&gt;2)+1),2)&amp;","&amp;TEXT(C4040," yyyy"))</f>
        <v>August 7th,2026</v>
      </c>
      <c r="AB4040" s="15" t="str">
        <f aca="true">IF(S4040="","",DATEDIF(S4040,TODAY(),"Y")&amp;" Tahun, "&amp;DATEDIF(S4040,TODAY(),"YM")&amp;" Bulan, "&amp;DATEDIF(S4040,TODAY(),"MD")&amp;" Hari")</f>
        <v>28 Tahun, 0 Bulan, 18 Hari</v>
      </c>
      <c r="AC4040" s="14" t="n">
        <v>46241</v>
      </c>
      <c r="AD4040" s="18" t="n">
        <v>46402</v>
      </c>
      <c r="AE4040" s="45" t="s">
        <v>44</v>
      </c>
    </row>
    <row r="4041" customFormat="false" ht="15" hidden="false" customHeight="true" outlineLevel="0" collapsed="false">
      <c r="A4041" s="12" t="n">
        <v>22670</v>
      </c>
      <c r="B4041" s="45" t="s">
        <v>16550</v>
      </c>
      <c r="C4041" s="14" t="n">
        <v>46241</v>
      </c>
      <c r="D4041" s="13" t="s">
        <v>101</v>
      </c>
      <c r="E4041" s="15" t="s">
        <v>102</v>
      </c>
      <c r="F4041" s="24" t="s">
        <v>16551</v>
      </c>
      <c r="G4041" s="13" t="s">
        <v>1452</v>
      </c>
      <c r="H4041" s="13" t="s">
        <v>35</v>
      </c>
      <c r="I4041" s="13" t="str">
        <f aca="false">IF(C4041=J4041,"NEW KONTRAK","RE-KONTRAK")</f>
        <v>NEW KONTRAK</v>
      </c>
      <c r="J4041" s="16" t="n">
        <f aca="false" t="array" ref="J4041:J4041">IFERROR(INDEX(AC4041:AE4041,IF(COUNTA(AC4041:AE4041)=0,"",MAX((AC4041:AE4041&lt;&gt;"")*(COLUMN(AC4041:AE4041)-(COLUMN(AC4041)))))-1),"")</f>
        <v>46241</v>
      </c>
      <c r="K4041" s="16" t="n">
        <f aca="false" t="array" ref="K4041:K4041">IFERROR(INDEX(AC4041:AE4041,IF(COUNTA(AC4041:AE4041)=0,"",MAX((AC4041:AE4041&lt;&gt;"")*(COLUMN(AC4041:AE4041)-(COLUMN(AC4041)-1))))-1),"")</f>
        <v>46402</v>
      </c>
      <c r="L4041" s="17" t="str">
        <f aca="false" t="array" ref="L4041:L4041">IFERROR(INDEX(AC4041:AE4041,IF(COUNTA(AC4041:AE4041)=0,"",MAX((AC4041:AE4041&lt;&gt;"")*(COLUMN(AC4041:AE4041)-(COLUMN(AC4041)-2))))-1),"")</f>
        <v>ARCHIVED</v>
      </c>
      <c r="M4041" s="13" t="n">
        <f aca="true">K4041-TODAY()</f>
        <v>78</v>
      </c>
      <c r="N4041" s="18" t="s">
        <v>105</v>
      </c>
      <c r="O4041" s="13" t="s">
        <v>1453</v>
      </c>
      <c r="P4041" s="26" t="n">
        <v>138915</v>
      </c>
      <c r="Q4041" s="20" t="s">
        <v>16552</v>
      </c>
      <c r="R4041" s="13" t="s">
        <v>39</v>
      </c>
      <c r="S4041" s="25" t="n">
        <v>35241</v>
      </c>
      <c r="T4041" s="13" t="s">
        <v>108</v>
      </c>
      <c r="U4041" s="13" t="s">
        <v>16553</v>
      </c>
      <c r="V4041" s="13" t="s">
        <v>42</v>
      </c>
      <c r="W4041" s="13" t="s">
        <v>54</v>
      </c>
      <c r="X4041" s="21" t="n">
        <v>895702810400</v>
      </c>
      <c r="Y4041" s="22" t="str">
        <f aca="false">O4041</f>
        <v>Helper Produksi</v>
      </c>
      <c r="Z4041" s="13" t="str">
        <f aca="false">IFERROR(__xludf.dummyfunction("if(BJ4041="""","""",GOOGLETRANSLATE(BJ4041,""auto"",""en""))"),"Production Helper")</f>
        <v>Production Helper</v>
      </c>
      <c r="AA4041" s="23" t="str">
        <f aca="false">IF(C4041="","", CHOOSE(MONTH(C4041),"January","February","March","April","May","June","July","August","September","October","November","December")&amp;" "&amp;DAY(C4041)&amp;MID("thstndrdth",MIN(9,2*RIGHT(DAY(C4041))*(MOD(DAY(C4041)-11,100)&gt;2)+1),2)&amp;","&amp;TEXT(C4041," yyyy"))</f>
        <v>August 7th,2026</v>
      </c>
      <c r="AB4041" s="15" t="str">
        <f aca="true">IF(S4041="","",DATEDIF(S4041,TODAY(),"Y")&amp;" Tahun, "&amp;DATEDIF(S4041,TODAY(),"YM")&amp;" Bulan, "&amp;DATEDIF(S4041,TODAY(),"MD")&amp;" Hari")</f>
        <v>30 Tahun, 4 Bulan, 4 Hari</v>
      </c>
      <c r="AC4041" s="14" t="n">
        <v>46241</v>
      </c>
      <c r="AD4041" s="18" t="n">
        <v>46402</v>
      </c>
      <c r="AE4041" s="45" t="s">
        <v>44</v>
      </c>
    </row>
    <row r="4042" customFormat="false" ht="15" hidden="false" customHeight="true" outlineLevel="0" collapsed="false">
      <c r="A4042" s="12" t="n">
        <v>22671</v>
      </c>
      <c r="B4042" s="45" t="s">
        <v>16554</v>
      </c>
      <c r="C4042" s="14" t="n">
        <v>46248</v>
      </c>
      <c r="D4042" s="13" t="s">
        <v>3022</v>
      </c>
      <c r="E4042" s="13" t="s">
        <v>47</v>
      </c>
      <c r="F4042" s="24" t="s">
        <v>16555</v>
      </c>
      <c r="G4042" s="13" t="s">
        <v>16556</v>
      </c>
      <c r="H4042" s="13" t="s">
        <v>3024</v>
      </c>
      <c r="I4042" s="13" t="str">
        <f aca="false">IF(C4042=J4042,"NEW KONTRAK","RE-KONTRAK")</f>
        <v>NEW KONTRAK</v>
      </c>
      <c r="J4042" s="16" t="n">
        <f aca="false" t="array" ref="J4042:J4042">IFERROR(INDEX(AC4042:AE4042,IF(COUNTA(AC4042:AE4042)=0,"",MAX((AC4042:AE4042&lt;&gt;"")*(COLUMN(AC4042:AE4042)-(COLUMN(AC4042)))))-1),"")</f>
        <v>46248</v>
      </c>
      <c r="K4042" s="16" t="n">
        <f aca="false" t="array" ref="K4042:K4042">IFERROR(INDEX(AC4042:AE4042,IF(COUNTA(AC4042:AE4042)=0,"",MAX((AC4042:AE4042&lt;&gt;"")*(COLUMN(AC4042:AE4042)-(COLUMN(AC4042)-1))))-1),"")</f>
        <v>46299</v>
      </c>
      <c r="L4042" s="17" t="str">
        <f aca="false" t="array" ref="L4042:L4042">IFERROR(INDEX(AC4042:AE4042,IF(COUNTA(AC4042:AE4042)=0,"",MAX((AC4042:AE4042&lt;&gt;"")*(COLUMN(AC4042:AE4042)-(COLUMN(AC4042)-2))))-1),"")</f>
        <v>KEMBALI</v>
      </c>
      <c r="M4042" s="13" t="n">
        <f aca="true">K4042-TODAY()</f>
        <v>-25</v>
      </c>
      <c r="N4042" s="18" t="s">
        <v>36</v>
      </c>
      <c r="O4042" s="13" t="s">
        <v>50</v>
      </c>
      <c r="P4042" s="26" t="n">
        <v>135000</v>
      </c>
      <c r="Q4042" s="20" t="s">
        <v>16557</v>
      </c>
      <c r="R4042" s="13" t="s">
        <v>52</v>
      </c>
      <c r="S4042" s="25" t="n">
        <v>33366</v>
      </c>
      <c r="T4042" s="13" t="s">
        <v>40</v>
      </c>
      <c r="U4042" s="13" t="s">
        <v>16558</v>
      </c>
      <c r="V4042" s="13" t="s">
        <v>42</v>
      </c>
      <c r="W4042" s="13" t="s">
        <v>54</v>
      </c>
      <c r="X4042" s="21" t="n">
        <v>81231740149</v>
      </c>
      <c r="Y4042" s="22" t="str">
        <f aca="false">O4042</f>
        <v>Driver</v>
      </c>
      <c r="Z4042" s="13" t="str">
        <f aca="false">IFERROR(__xludf.dummyfunction("if(BJ4042="""","""",GOOGLETRANSLATE(BJ4042,""auto"",""en""))"),"Driver")</f>
        <v>Driver</v>
      </c>
      <c r="AA4042" s="23" t="str">
        <f aca="false">IF(C4042="","", CHOOSE(MONTH(C4042),"January","February","March","April","May","June","July","August","September","October","November","December")&amp;" "&amp;DAY(C4042)&amp;MID("thstndrdth",MIN(9,2*RIGHT(DAY(C4042))*(MOD(DAY(C4042)-11,100)&gt;2)+1),2)&amp;","&amp;TEXT(C4042," yyyy"))</f>
        <v>August 14th,2026</v>
      </c>
      <c r="AB4042" s="15" t="str">
        <f aca="true">IF(S4042="","",DATEDIF(S4042,TODAY(),"Y")&amp;" Tahun, "&amp;DATEDIF(S4042,TODAY(),"YM")&amp;" Bulan, "&amp;DATEDIF(S4042,TODAY(),"MD")&amp;" Hari")</f>
        <v>35 Tahun, 5 Bulan, 21 Hari</v>
      </c>
      <c r="AC4042" s="14" t="n">
        <v>46248</v>
      </c>
      <c r="AD4042" s="18" t="n">
        <v>46299</v>
      </c>
      <c r="AE4042" s="13" t="s">
        <v>397</v>
      </c>
    </row>
    <row r="4043" customFormat="false" ht="15" hidden="false" customHeight="true" outlineLevel="0" collapsed="false">
      <c r="A4043" s="12" t="n">
        <v>22672</v>
      </c>
      <c r="B4043" s="45" t="s">
        <v>16559</v>
      </c>
      <c r="C4043" s="14" t="n">
        <v>46272</v>
      </c>
      <c r="D4043" s="13" t="s">
        <v>9043</v>
      </c>
      <c r="E4043" s="13" t="s">
        <v>47</v>
      </c>
      <c r="F4043" s="24" t="s">
        <v>16560</v>
      </c>
      <c r="G4043" s="13" t="s">
        <v>1452</v>
      </c>
      <c r="H4043" s="13" t="s">
        <v>35</v>
      </c>
      <c r="I4043" s="13" t="str">
        <f aca="false">IF(C4043=J4043,"NEW KONTRAK","RE-KONTRAK")</f>
        <v>NEW KONTRAK</v>
      </c>
      <c r="J4043" s="16" t="n">
        <f aca="false" t="array" ref="J4043:J4043">IFERROR(INDEX(AC4043:AE4043,IF(COUNTA(AC4043:AE4043)=0,"",MAX((AC4043:AE4043&lt;&gt;"")*(COLUMN(AC4043:AE4043)-(COLUMN(AC4043)))))-1),"")</f>
        <v>46272</v>
      </c>
      <c r="K4043" s="16" t="n">
        <f aca="false" t="array" ref="K4043:K4043">IFERROR(INDEX(AC4043:AE4043,IF(COUNTA(AC4043:AE4043)=0,"",MAX((AC4043:AE4043&lt;&gt;"")*(COLUMN(AC4043:AE4043)-(COLUMN(AC4043)-1))))-1),"")</f>
        <v>46452</v>
      </c>
      <c r="L4043" s="17" t="str">
        <f aca="false" t="array" ref="L4043:L4043">IFERROR(INDEX(AC4043:AE4043,IF(COUNTA(AC4043:AE4043)=0,"",MAX((AC4043:AE4043&lt;&gt;"")*(COLUMN(AC4043:AE4043)-(COLUMN(AC4043)-2))))-1),"")</f>
        <v>ARCHIVED</v>
      </c>
      <c r="M4043" s="13" t="n">
        <f aca="true">K4043-TODAY()</f>
        <v>128</v>
      </c>
      <c r="N4043" s="18" t="s">
        <v>4735</v>
      </c>
      <c r="O4043" s="13" t="s">
        <v>16561</v>
      </c>
      <c r="P4043" s="26" t="n">
        <v>3418278</v>
      </c>
      <c r="Q4043" s="20" t="s">
        <v>16562</v>
      </c>
      <c r="R4043" s="13" t="s">
        <v>83</v>
      </c>
      <c r="S4043" s="25" t="n">
        <v>35603</v>
      </c>
      <c r="T4043" s="13" t="s">
        <v>108</v>
      </c>
      <c r="U4043" s="13" t="s">
        <v>16563</v>
      </c>
      <c r="V4043" s="13" t="s">
        <v>42</v>
      </c>
      <c r="W4043" s="13" t="s">
        <v>43</v>
      </c>
      <c r="X4043" s="21" t="n">
        <v>8973095679</v>
      </c>
      <c r="Y4043" s="22" t="str">
        <f aca="false">O4043</f>
        <v>Lead Sales Promotion Pusat</v>
      </c>
      <c r="Z4043" s="13" t="str">
        <f aca="false">IFERROR(__xludf.dummyfunction("if(BJ4043="""","""",GOOGLETRANSLATE(BJ4043,""auto"",""en""))"),"Lead Sales Promotion Center")</f>
        <v>Lead Sales Promotion Center</v>
      </c>
      <c r="AA4043" s="23" t="str">
        <f aca="false">IF(C4043="","", CHOOSE(MONTH(C4043),"January","February","March","April","May","June","July","August","September","October","November","December")&amp;" "&amp;DAY(C4043)&amp;MID("thstndrdth",MIN(9,2*RIGHT(DAY(C4043))*(MOD(DAY(C4043)-11,100)&gt;2)+1),2)&amp;","&amp;TEXT(C4043," yyyy"))</f>
        <v>September 7th,2026</v>
      </c>
      <c r="AB4043" s="15" t="str">
        <f aca="true">IF(S4043="","",DATEDIF(S4043,TODAY(),"Y")&amp;" Tahun, "&amp;DATEDIF(S4043,TODAY(),"YM")&amp;" Bulan, "&amp;DATEDIF(S4043,TODAY(),"MD")&amp;" Hari")</f>
        <v>29 Tahun, 4 Bulan, 7 Hari</v>
      </c>
      <c r="AC4043" s="14" t="n">
        <v>46272</v>
      </c>
      <c r="AD4043" s="16" t="n">
        <f aca="false">EDATE(AC4043,6)-1</f>
        <v>46452</v>
      </c>
      <c r="AE4043" s="58" t="s">
        <v>44</v>
      </c>
    </row>
    <row r="4044" customFormat="false" ht="15" hidden="false" customHeight="true" outlineLevel="0" collapsed="false">
      <c r="A4044" s="12" t="n">
        <v>22673</v>
      </c>
      <c r="B4044" s="13" t="s">
        <v>16564</v>
      </c>
      <c r="C4044" s="14" t="n">
        <v>46240</v>
      </c>
      <c r="D4044" s="13" t="s">
        <v>4252</v>
      </c>
      <c r="E4044" s="13" t="s">
        <v>4614</v>
      </c>
      <c r="F4044" s="24" t="s">
        <v>16565</v>
      </c>
      <c r="G4044" s="28" t="s">
        <v>57</v>
      </c>
      <c r="H4044" s="13" t="s">
        <v>3024</v>
      </c>
      <c r="I4044" s="13" t="str">
        <f aca="false">IF(C4044=J4044,"NEW KONTRAK","RE-KONTRAK")</f>
        <v>NEW KONTRAK</v>
      </c>
      <c r="J4044" s="16" t="n">
        <f aca="false" t="array" ref="J4044:J4044">IFERROR(INDEX(AC4044:AE4044,IF(COUNTA(AC4044:AE4044)=0,"",MAX((AC4044:AE4044&lt;&gt;"")*(COLUMN(AC4044:AE4044)-(COLUMN(AC4044)))))-1),"")</f>
        <v>46240</v>
      </c>
      <c r="K4044" s="16" t="n">
        <f aca="false" t="array" ref="K4044:K4044">IFERROR(INDEX(AC4044:AE4044,IF(COUNTA(AC4044:AE4044)=0,"",MAX((AC4044:AE4044&lt;&gt;"")*(COLUMN(AC4044:AE4044)-(COLUMN(AC4044)-1))))-1),"")</f>
        <v>46331</v>
      </c>
      <c r="L4044" s="17" t="str">
        <f aca="false" t="array" ref="L4044:L4044">IFERROR(INDEX(AC4044:AE4044,IF(COUNTA(AC4044:AE4044)=0,"",MAX((AC4044:AE4044&lt;&gt;"")*(COLUMN(AC4044:AE4044)-(COLUMN(AC4044)-2))))-1),"")</f>
        <v>ARCHIVED</v>
      </c>
      <c r="M4044" s="13" t="n">
        <f aca="true">K4044-TODAY()</f>
        <v>7</v>
      </c>
      <c r="N4044" s="18" t="s">
        <v>36</v>
      </c>
      <c r="O4044" s="13" t="s">
        <v>4274</v>
      </c>
      <c r="P4044" s="117" t="n">
        <v>200000</v>
      </c>
      <c r="Q4044" s="20" t="s">
        <v>16566</v>
      </c>
      <c r="R4044" s="13" t="s">
        <v>39</v>
      </c>
      <c r="S4044" s="25" t="n">
        <v>38595</v>
      </c>
      <c r="T4044" s="13" t="s">
        <v>40</v>
      </c>
      <c r="U4044" s="13" t="s">
        <v>16567</v>
      </c>
      <c r="V4044" s="13" t="s">
        <v>42</v>
      </c>
      <c r="W4044" s="13" t="s">
        <v>43</v>
      </c>
      <c r="X4044" s="21" t="n">
        <v>8819846454</v>
      </c>
      <c r="Y4044" s="22" t="str">
        <f aca="false">O4044</f>
        <v>Operator Extruder</v>
      </c>
      <c r="Z4044" s="13" t="str">
        <f aca="false">IFERROR(__xludf.dummyfunction("if(BJ4044="""","""",GOOGLETRANSLATE(BJ4044,""auto"",""en""))"),"Operator Extruder")</f>
        <v>Operator Extruder</v>
      </c>
      <c r="AA4044" s="23" t="str">
        <f aca="false">IF(C4044="","", CHOOSE(MONTH(C4044),"January","February","March","April","May","June","July","August","September","October","November","December")&amp;" "&amp;DAY(C4044)&amp;MID("thstndrdth",MIN(9,2*RIGHT(DAY(C4044))*(MOD(DAY(C4044)-11,100)&gt;2)+1),2)&amp;","&amp;TEXT(C4044," yyyy"))</f>
        <v>August 6th,2026</v>
      </c>
      <c r="AB4044" s="15" t="str">
        <f aca="true">IF(S4044="","",DATEDIF(S4044,TODAY(),"Y")&amp;" Tahun, "&amp;DATEDIF(S4044,TODAY(),"YM")&amp;" Bulan, "&amp;DATEDIF(S4044,TODAY(),"MD")&amp;" Hari")</f>
        <v>21 Tahun, 1 Bulan, 28 Hari</v>
      </c>
      <c r="AC4044" s="14" t="n">
        <v>46240</v>
      </c>
      <c r="AD4044" s="18" t="n">
        <f aca="false">EDATE(AC4044,3)-1</f>
        <v>46331</v>
      </c>
      <c r="AE4044" s="13" t="s">
        <v>44</v>
      </c>
    </row>
    <row r="4045" customFormat="false" ht="15" hidden="false" customHeight="true" outlineLevel="0" collapsed="false">
      <c r="A4045" s="12" t="n">
        <v>22674</v>
      </c>
      <c r="B4045" s="13" t="s">
        <v>16568</v>
      </c>
      <c r="C4045" s="14" t="n">
        <v>46245</v>
      </c>
      <c r="D4045" s="13" t="s">
        <v>8240</v>
      </c>
      <c r="E4045" s="13" t="s">
        <v>47</v>
      </c>
      <c r="F4045" s="24" t="s">
        <v>16569</v>
      </c>
      <c r="G4045" s="28" t="s">
        <v>57</v>
      </c>
      <c r="H4045" s="13" t="s">
        <v>35</v>
      </c>
      <c r="I4045" s="13" t="str">
        <f aca="false">IF(C4045=J4045,"NEW KONTRAK","RE-KONTRAK")</f>
        <v>NEW KONTRAK</v>
      </c>
      <c r="J4045" s="16" t="n">
        <f aca="false" t="array" ref="J4045:J4045">IFERROR(INDEX(AC4045:AE4045,IF(COUNTA(AC4045:AE4045)=0,"",MAX((AC4045:AE4045&lt;&gt;"")*(COLUMN(AC4045:AE4045)-(COLUMN(AC4045)))))-1),"")</f>
        <v>46245</v>
      </c>
      <c r="K4045" s="16" t="n">
        <f aca="false" t="array" ref="K4045:K4045">IFERROR(INDEX(AC4045:AE4045,IF(COUNTA(AC4045:AE4045)=0,"",MAX((AC4045:AE4045&lt;&gt;"")*(COLUMN(AC4045:AE4045)-(COLUMN(AC4045)-1))))-1),"")</f>
        <v>46336</v>
      </c>
      <c r="L4045" s="17" t="str">
        <f aca="false" t="array" ref="L4045:L4045">IFERROR(INDEX(AC4045:AE4045,IF(COUNTA(AC4045:AE4045)=0,"",MAX((AC4045:AE4045&lt;&gt;"")*(COLUMN(AC4045:AE4045)-(COLUMN(AC4045)-2))))-1),"")</f>
        <v>ARCHIVED</v>
      </c>
      <c r="M4045" s="13" t="n">
        <f aca="true">K4045-TODAY()</f>
        <v>12</v>
      </c>
      <c r="N4045" s="18" t="s">
        <v>36</v>
      </c>
      <c r="O4045" s="13" t="s">
        <v>4274</v>
      </c>
      <c r="P4045" s="117" t="n">
        <v>200000</v>
      </c>
      <c r="Q4045" s="20" t="s">
        <v>16570</v>
      </c>
      <c r="R4045" s="13" t="s">
        <v>13655</v>
      </c>
      <c r="S4045" s="25" t="n">
        <v>38724</v>
      </c>
      <c r="T4045" s="13" t="s">
        <v>40</v>
      </c>
      <c r="U4045" s="13" t="s">
        <v>16571</v>
      </c>
      <c r="V4045" s="13" t="s">
        <v>42</v>
      </c>
      <c r="W4045" s="13" t="s">
        <v>43</v>
      </c>
      <c r="X4045" s="21" t="n">
        <v>88217735547</v>
      </c>
      <c r="Y4045" s="22" t="str">
        <f aca="false">O4045</f>
        <v>Operator Extruder</v>
      </c>
      <c r="Z4045" s="13" t="str">
        <f aca="false">IFERROR(__xludf.dummyfunction("if(BJ4045="""","""",GOOGLETRANSLATE(BJ4045,""auto"",""en""))"),"Operator Extruder")</f>
        <v>Operator Extruder</v>
      </c>
      <c r="AA4045" s="23" t="str">
        <f aca="false">IF(C4045="","", CHOOSE(MONTH(C4045),"January","February","March","April","May","June","July","August","September","October","November","December")&amp;" "&amp;DAY(C4045)&amp;MID("thstndrdth",MIN(9,2*RIGHT(DAY(C4045))*(MOD(DAY(C4045)-11,100)&gt;2)+1),2)&amp;","&amp;TEXT(C4045," yyyy"))</f>
        <v>August 11th,2026</v>
      </c>
      <c r="AB4045" s="15" t="str">
        <f aca="true">IF(S4045="","",DATEDIF(S4045,TODAY(),"Y")&amp;" Tahun, "&amp;DATEDIF(S4045,TODAY(),"YM")&amp;" Bulan, "&amp;DATEDIF(S4045,TODAY(),"MD")&amp;" Hari")</f>
        <v>20 Tahun, 9 Bulan, 22 Hari</v>
      </c>
      <c r="AC4045" s="14" t="n">
        <v>46245</v>
      </c>
      <c r="AD4045" s="18" t="n">
        <f aca="false">EDATE(AC4045,3)-1</f>
        <v>46336</v>
      </c>
      <c r="AE4045" s="45" t="s">
        <v>44</v>
      </c>
    </row>
    <row r="4046" customFormat="false" ht="15" hidden="false" customHeight="true" outlineLevel="0" collapsed="false">
      <c r="A4046" s="12" t="n">
        <v>2121</v>
      </c>
      <c r="B4046" s="13" t="s">
        <v>16572</v>
      </c>
      <c r="C4046" s="14" t="n">
        <v>43845</v>
      </c>
      <c r="D4046" s="13" t="s">
        <v>101</v>
      </c>
      <c r="E4046" s="15" t="s">
        <v>47</v>
      </c>
      <c r="F4046" s="15" t="str">
        <f aca="false">IFERROR(__xludf.dummyfunction("XLOOKUP(AJ4046,IMPORTRANGE(""1XaInW9DU9nz21V0tYIfzFQ0He9kVQ_JF2mCXgZ3hqFA"",""REKAP ALL 2026 - Andika!G:G""),IMPORTRANGE(""1XaInW9DU9nz21V0tYIfzFQ0He9kVQ_JF2mCXgZ3hqFA"",""REKAP ALL 2026 - Andika!F:F""),"""",0)"),"20021315906")</f>
        <v>20021315906</v>
      </c>
      <c r="G4046" s="13" t="s">
        <v>16573</v>
      </c>
      <c r="H4046" s="13" t="s">
        <v>35</v>
      </c>
      <c r="I4046" s="13" t="str">
        <f aca="false">IF(C4046=J4046,"NEW KONTRAK","RE-KONTRAK")</f>
        <v>RE-KONTRAK</v>
      </c>
      <c r="J4046" s="16" t="n">
        <f aca="false" t="array" ref="J4046:J4046">IFERROR(INDEX(AC4046:AE4046,IF(COUNTA(AC4046:AE4046)=0,"",MAX((AC4046:AE4046&lt;&gt;"")*(COLUMN(AC4046:AE4046)-(COLUMN(AC4046)))))-1),"")</f>
        <v>45672</v>
      </c>
      <c r="K4046" s="16" t="n">
        <f aca="false" t="array" ref="K4046:K4046">IFERROR(INDEX(AC4046:AE4046,IF(COUNTA(AC4046:AE4046)=0,"",MAX((AC4046:AE4046&lt;&gt;"")*(COLUMN(AC4046:AE4046)-(COLUMN(AC4046)-1))))-1),"")</f>
        <v>46036</v>
      </c>
      <c r="L4046" s="17" t="str">
        <f aca="false" t="array" ref="L4046:L4046">IFERROR(INDEX(AC4046:AE4046,IF(COUNTA(AC4046:AE4046)=0,"",MAX((AC4046:AE4046&lt;&gt;"")*(COLUMN(AC4046:AE4046)-(COLUMN(AC4046)-2))))-1),"")</f>
        <v>ARCHIVED</v>
      </c>
      <c r="M4046" s="13" t="n">
        <f aca="true">K4046-TODAY()</f>
        <v>-288</v>
      </c>
      <c r="N4046" s="18" t="s">
        <v>105</v>
      </c>
      <c r="O4046" s="13" t="s">
        <v>14658</v>
      </c>
      <c r="P4046" s="31" t="n">
        <v>162068</v>
      </c>
      <c r="Q4046" s="20" t="s">
        <v>16574</v>
      </c>
      <c r="R4046" s="13" t="s">
        <v>83</v>
      </c>
      <c r="S4046" s="25" t="n">
        <v>34503</v>
      </c>
      <c r="T4046" s="13" t="s">
        <v>40</v>
      </c>
      <c r="U4046" s="13" t="s">
        <v>16575</v>
      </c>
      <c r="V4046" s="13" t="s">
        <v>42</v>
      </c>
      <c r="W4046" s="13" t="s">
        <v>43</v>
      </c>
      <c r="X4046" s="21" t="n">
        <v>82139123093</v>
      </c>
      <c r="Y4046" s="22" t="str">
        <f aca="false">O4046</f>
        <v>Gudang Jadi - Driver Pengiriman</v>
      </c>
      <c r="Z4046" s="13" t="str">
        <f aca="false">IFERROR(__xludf.dummyfunction("if(BJ4046="""","""",GOOGLETRANSLATE(BJ4046,""auto"",""en""))"),"Warehouse Ready - Delivery Driver")</f>
        <v>Warehouse Ready - Delivery Driver</v>
      </c>
      <c r="AA4046" s="23" t="str">
        <f aca="false">IF(C4046="","", CHOOSE(MONTH(C4046),"January","February","March","April","May","June","July","August","September","October","November","December")&amp;" "&amp;DAY(C4046)&amp;MID("thstndrdth",MIN(9,2*RIGHT(DAY(C4046))*(MOD(DAY(C4046)-11,100)&gt;2)+1),2)&amp;","&amp;TEXT(C4046," yyyy"))</f>
        <v>January 15th,2020</v>
      </c>
      <c r="AB4046" s="15" t="str">
        <f aca="true">IF(S4046="","",DATEDIF(S4046,TODAY(),"Y")&amp;" Tahun, "&amp;DATEDIF(S4046,TODAY(),"YM")&amp;" Bulan, "&amp;DATEDIF(S4046,TODAY(),"MD")&amp;" Hari")</f>
        <v>32 Tahun, 4 Bulan, 11 Hari</v>
      </c>
      <c r="AC4046" s="18" t="n">
        <v>45672</v>
      </c>
      <c r="AD4046" s="18" t="n">
        <v>46036</v>
      </c>
      <c r="AE4046" s="18" t="s">
        <v>44</v>
      </c>
    </row>
    <row r="4047" customFormat="false" ht="15" hidden="false" customHeight="true" outlineLevel="0" collapsed="false">
      <c r="A4047" s="12" t="n">
        <v>22676</v>
      </c>
      <c r="B4047" s="45" t="s">
        <v>16576</v>
      </c>
      <c r="C4047" s="14" t="n">
        <v>46248</v>
      </c>
      <c r="D4047" s="13" t="s">
        <v>5791</v>
      </c>
      <c r="E4047" s="15" t="s">
        <v>102</v>
      </c>
      <c r="F4047" s="24" t="s">
        <v>16577</v>
      </c>
      <c r="G4047" s="13" t="s">
        <v>1452</v>
      </c>
      <c r="H4047" s="13" t="s">
        <v>35</v>
      </c>
      <c r="I4047" s="13" t="str">
        <f aca="false">IF(C4047=J4047,"NEW KONTRAK","RE-KONTRAK")</f>
        <v>NEW KONTRAK</v>
      </c>
      <c r="J4047" s="16" t="n">
        <f aca="false" t="array" ref="J4047:J4047">IFERROR(INDEX(AC4047:AE4047,IF(COUNTA(AC4047:AE4047)=0,"",MAX((AC4047:AE4047&lt;&gt;"")*(COLUMN(AC4047:AE4047)-(COLUMN(AC4047)))))-1),"")</f>
        <v>46248</v>
      </c>
      <c r="K4047" s="16" t="n">
        <f aca="false" t="array" ref="K4047:K4047">IFERROR(INDEX(AC4047:AE4047,IF(COUNTA(AC4047:AE4047)=0,"",MAX((AC4047:AE4047&lt;&gt;"")*(COLUMN(AC4047:AE4047)-(COLUMN(AC4047)-1))))-1),"")</f>
        <v>46339</v>
      </c>
      <c r="L4047" s="17" t="str">
        <f aca="false" t="array" ref="L4047:L4047">IFERROR(INDEX(AC4047:AE4047,IF(COUNTA(AC4047:AE4047)=0,"",MAX((AC4047:AE4047&lt;&gt;"")*(COLUMN(AC4047:AE4047)-(COLUMN(AC4047)-2))))-1),"")</f>
        <v>KEMBALI ONLINE</v>
      </c>
      <c r="M4047" s="13" t="n">
        <f aca="true">K4047-TODAY()</f>
        <v>15</v>
      </c>
      <c r="N4047" s="18" t="s">
        <v>728</v>
      </c>
      <c r="O4047" s="13" t="s">
        <v>11196</v>
      </c>
      <c r="P4047" s="19" t="n">
        <v>130000</v>
      </c>
      <c r="Q4047" s="20" t="s">
        <v>16578</v>
      </c>
      <c r="R4047" s="13" t="s">
        <v>52</v>
      </c>
      <c r="S4047" s="25" t="n">
        <v>38295</v>
      </c>
      <c r="T4047" s="13" t="s">
        <v>40</v>
      </c>
      <c r="U4047" s="13" t="s">
        <v>16579</v>
      </c>
      <c r="V4047" s="13" t="s">
        <v>42</v>
      </c>
      <c r="W4047" s="13" t="s">
        <v>43</v>
      </c>
      <c r="X4047" s="21" t="n">
        <v>83866295670</v>
      </c>
      <c r="Y4047" s="22" t="str">
        <f aca="false">O4047</f>
        <v>Helper Gudang</v>
      </c>
      <c r="Z4047" s="13" t="str">
        <f aca="false">IFERROR(__xludf.dummyfunction("if(BJ4047="""","""",GOOGLETRANSLATE(BJ4047,""auto"",""en""))"),"Helper Gudang")</f>
        <v>Helper Gudang</v>
      </c>
      <c r="AA4047" s="23" t="str">
        <f aca="false">IF(C4047="","", CHOOSE(MONTH(C4047),"January","February","March","April","May","June","July","August","September","October","November","December")&amp;" "&amp;DAY(C4047)&amp;MID("thstndrdth",MIN(9,2*RIGHT(DAY(C4047))*(MOD(DAY(C4047)-11,100)&gt;2)+1),2)&amp;","&amp;TEXT(C4047," yyyy"))</f>
        <v>August 14th,2026</v>
      </c>
      <c r="AB4047" s="15" t="str">
        <f aca="true">IF(S4047="","",DATEDIF(S4047,TODAY(),"Y")&amp;" Tahun, "&amp;DATEDIF(S4047,TODAY(),"YM")&amp;" Bulan, "&amp;DATEDIF(S4047,TODAY(),"MD")&amp;" Hari")</f>
        <v>21 Tahun, 11 Bulan, 25 Hari</v>
      </c>
      <c r="AC4047" s="14" t="n">
        <v>46248</v>
      </c>
      <c r="AD4047" s="18" t="n">
        <f aca="false">EDATE(AC4047,3)-1</f>
        <v>46339</v>
      </c>
      <c r="AE4047" s="13" t="s">
        <v>2387</v>
      </c>
    </row>
    <row r="4048" customFormat="false" ht="15" hidden="false" customHeight="true" outlineLevel="0" collapsed="false">
      <c r="A4048" s="12" t="n">
        <v>22677</v>
      </c>
      <c r="B4048" s="45" t="s">
        <v>16580</v>
      </c>
      <c r="C4048" s="14" t="n">
        <v>46252</v>
      </c>
      <c r="D4048" s="13" t="s">
        <v>12111</v>
      </c>
      <c r="E4048" s="13" t="s">
        <v>47</v>
      </c>
      <c r="F4048" s="24" t="s">
        <v>16581</v>
      </c>
      <c r="G4048" s="13" t="s">
        <v>1452</v>
      </c>
      <c r="H4048" s="13" t="s">
        <v>35</v>
      </c>
      <c r="I4048" s="13" t="str">
        <f aca="false">IF(C4048=J4048,"NEW KONTRAK","RE-KONTRAK")</f>
        <v>NEW KONTRAK</v>
      </c>
      <c r="J4048" s="16" t="n">
        <f aca="false" t="array" ref="J4048:J4048">IFERROR(INDEX(AC4048:AE4048,IF(COUNTA(AC4048:AE4048)=0,"",MAX((AC4048:AE4048&lt;&gt;"")*(COLUMN(AC4048:AE4048)-(COLUMN(AC4048)))))-1),"")</f>
        <v>46252</v>
      </c>
      <c r="K4048" s="16" t="n">
        <f aca="false" t="array" ref="K4048:K4048">IFERROR(INDEX(AC4048:AE4048,IF(COUNTA(AC4048:AE4048)=0,"",MAX((AC4048:AE4048&lt;&gt;"")*(COLUMN(AC4048:AE4048)-(COLUMN(AC4048)-1))))-1),"")</f>
        <v>46343</v>
      </c>
      <c r="L4048" s="17" t="str">
        <f aca="false" t="array" ref="L4048:L4048">IFERROR(INDEX(AC4048:AE4048,IF(COUNTA(AC4048:AE4048)=0,"",MAX((AC4048:AE4048&lt;&gt;"")*(COLUMN(AC4048:AE4048)-(COLUMN(AC4048)-2))))-1),"")</f>
        <v>KEMBALI</v>
      </c>
      <c r="M4048" s="13" t="n">
        <f aca="true">K4048-TODAY()</f>
        <v>19</v>
      </c>
      <c r="N4048" s="18" t="s">
        <v>615</v>
      </c>
      <c r="O4048" s="13" t="s">
        <v>1531</v>
      </c>
      <c r="P4048" s="19" t="n">
        <v>3105660.6</v>
      </c>
      <c r="Q4048" s="20" t="s">
        <v>16582</v>
      </c>
      <c r="R4048" s="13" t="s">
        <v>232</v>
      </c>
      <c r="S4048" s="25" t="n">
        <v>38418</v>
      </c>
      <c r="T4048" s="13" t="s">
        <v>40</v>
      </c>
      <c r="U4048" s="13" t="s">
        <v>16583</v>
      </c>
      <c r="V4048" s="13" t="s">
        <v>42</v>
      </c>
      <c r="W4048" s="13" t="s">
        <v>43</v>
      </c>
      <c r="X4048" s="21" t="n">
        <v>85808482834</v>
      </c>
      <c r="Y4048" s="22" t="str">
        <f aca="false">O4048</f>
        <v>Packer</v>
      </c>
      <c r="Z4048" s="13" t="str">
        <f aca="false">IFERROR(__xludf.dummyfunction("if(BJ4048="""","""",GOOGLETRANSLATE(BJ4048,""auto"",""en""))"),"Packer")</f>
        <v>Packer</v>
      </c>
      <c r="AA4048" s="23" t="str">
        <f aca="false">IF(C4048="","", CHOOSE(MONTH(C4048),"January","February","March","April","May","June","July","August","September","October","November","December")&amp;" "&amp;DAY(C4048)&amp;MID("thstndrdth",MIN(9,2*RIGHT(DAY(C4048))*(MOD(DAY(C4048)-11,100)&gt;2)+1),2)&amp;","&amp;TEXT(C4048," yyyy"))</f>
        <v>August 18th,2026</v>
      </c>
      <c r="AB4048" s="15" t="str">
        <f aca="true">IF(S4048="","",DATEDIF(S4048,TODAY(),"Y")&amp;" Tahun, "&amp;DATEDIF(S4048,TODAY(),"YM")&amp;" Bulan, "&amp;DATEDIF(S4048,TODAY(),"MD")&amp;" Hari")</f>
        <v>21 Tahun, 7 Bulan, 22 Hari</v>
      </c>
      <c r="AC4048" s="14" t="n">
        <v>46252</v>
      </c>
      <c r="AD4048" s="18" t="n">
        <f aca="false">EDATE(AC4048,3)-1</f>
        <v>46343</v>
      </c>
      <c r="AE4048" s="13" t="s">
        <v>397</v>
      </c>
    </row>
    <row r="4049" customFormat="false" ht="15" hidden="false" customHeight="true" outlineLevel="0" collapsed="false">
      <c r="A4049" s="12" t="n">
        <v>22678</v>
      </c>
      <c r="B4049" s="13" t="s">
        <v>16584</v>
      </c>
      <c r="C4049" s="14" t="n">
        <v>46248</v>
      </c>
      <c r="D4049" s="13" t="s">
        <v>5726</v>
      </c>
      <c r="E4049" s="13" t="s">
        <v>47</v>
      </c>
      <c r="F4049" s="15" t="str">
        <f aca="false">IFERROR(__xludf.dummyfunction("XLOOKUP(AJ4049,IMPORTRANGE(""1XaInW9DU9nz21V0tYIfzFQ0He9kVQ_JF2mCXgZ3hqFA"",""REKAP ALL 2026 - Andika!G:G""),IMPORTRANGE(""1XaInW9DU9nz21V0tYIfzFQ0He9kVQ_JF2mCXgZ3hqFA"",""REKAP ALL 2026 - Andika!F:F""),"""",0)"),"25012462260")</f>
        <v>25012462260</v>
      </c>
      <c r="G4049" s="13" t="s">
        <v>16585</v>
      </c>
      <c r="H4049" s="13" t="s">
        <v>35</v>
      </c>
      <c r="I4049" s="13" t="str">
        <f aca="false">IF(C4049=J4049,"NEW KONTRAK","RE-KONTRAK")</f>
        <v>NEW KONTRAK</v>
      </c>
      <c r="J4049" s="16" t="n">
        <f aca="false" t="array" ref="J4049:J4049">IFERROR(INDEX(AC4049:AE4049,IF(COUNTA(AC4049:AE4049)=0,"",MAX((AC4049:AE4049&lt;&gt;"")*(COLUMN(AC4049:AE4049)-(COLUMN(AC4049)))))-1),"")</f>
        <v>46248</v>
      </c>
      <c r="K4049" s="16" t="n">
        <f aca="false" t="array" ref="K4049:K4049">IFERROR(INDEX(AC4049:AE4049,IF(COUNTA(AC4049:AE4049)=0,"",MAX((AC4049:AE4049&lt;&gt;"")*(COLUMN(AC4049:AE4049)-(COLUMN(AC4049)-1))))-1),"")</f>
        <v>46339</v>
      </c>
      <c r="L4049" s="17" t="str">
        <f aca="false" t="array" ref="L4049:L4049">IFERROR(INDEX(AC4049:AE4049,IF(COUNTA(AC4049:AE4049)=0,"",MAX((AC4049:AE4049&lt;&gt;"")*(COLUMN(AC4049:AE4049)-(COLUMN(AC4049)-2))))-1),"")</f>
        <v>KEMBALI</v>
      </c>
      <c r="M4049" s="13" t="n">
        <f aca="true">K4049-TODAY()</f>
        <v>15</v>
      </c>
      <c r="N4049" s="18" t="s">
        <v>615</v>
      </c>
      <c r="O4049" s="13" t="s">
        <v>1531</v>
      </c>
      <c r="P4049" s="19" t="n">
        <v>5176101</v>
      </c>
      <c r="Q4049" s="20" t="s">
        <v>16586</v>
      </c>
      <c r="R4049" s="13" t="s">
        <v>324</v>
      </c>
      <c r="S4049" s="14" t="n">
        <v>35696</v>
      </c>
      <c r="T4049" s="13" t="s">
        <v>40</v>
      </c>
      <c r="U4049" s="13" t="s">
        <v>16587</v>
      </c>
      <c r="V4049" s="13" t="s">
        <v>42</v>
      </c>
      <c r="W4049" s="13" t="s">
        <v>54</v>
      </c>
      <c r="X4049" s="21" t="n">
        <v>82229875401</v>
      </c>
      <c r="Y4049" s="22" t="str">
        <f aca="false">O4049</f>
        <v>Packer</v>
      </c>
      <c r="Z4049" s="13" t="str">
        <f aca="false">IFERROR(__xludf.dummyfunction("if(BJ4049="""","""",GOOGLETRANSLATE(BJ4049,""auto"",""en""))"),"Packer")</f>
        <v>Packer</v>
      </c>
      <c r="AA4049" s="23" t="str">
        <f aca="false">IF(C4049="","", CHOOSE(MONTH(C4049),"January","February","March","April","May","June","July","August","September","October","November","December")&amp;" "&amp;DAY(C4049)&amp;MID("thstndrdth",MIN(9,2*RIGHT(DAY(C4049))*(MOD(DAY(C4049)-11,100)&gt;2)+1),2)&amp;","&amp;TEXT(C4049," yyyy"))</f>
        <v>August 14th,2026</v>
      </c>
      <c r="AB4049" s="15" t="str">
        <f aca="true">IF(S4049="","",DATEDIF(S4049,TODAY(),"Y")&amp;" Tahun, "&amp;DATEDIF(S4049,TODAY(),"YM")&amp;" Bulan, "&amp;DATEDIF(S4049,TODAY(),"MD")&amp;" Hari")</f>
        <v>29 Tahun, 1 Bulan, 6 Hari</v>
      </c>
      <c r="AC4049" s="46" t="n">
        <v>46248</v>
      </c>
      <c r="AD4049" s="18" t="n">
        <f aca="false">EDATE(AC4049,3)-1</f>
        <v>46339</v>
      </c>
      <c r="AE4049" s="13" t="s">
        <v>397</v>
      </c>
    </row>
    <row r="4050" customFormat="false" ht="15" hidden="false" customHeight="true" outlineLevel="0" collapsed="false">
      <c r="A4050" s="12" t="n">
        <v>22679</v>
      </c>
      <c r="B4050" s="13" t="s">
        <v>16588</v>
      </c>
      <c r="C4050" s="14" t="n">
        <v>46247</v>
      </c>
      <c r="D4050" s="13" t="s">
        <v>5726</v>
      </c>
      <c r="E4050" s="13" t="s">
        <v>47</v>
      </c>
      <c r="F4050" s="15" t="str">
        <f aca="false">IFERROR(__xludf.dummyfunction("XLOOKUP(AJ4050,IMPORTRANGE(""1XaInW9DU9nz21V0tYIfzFQ0He9kVQ_JF2mCXgZ3hqFA"",""REKAP ALL 2026 - Andika!G:G""),IMPORTRANGE(""1XaInW9DU9nz21V0tYIfzFQ0He9kVQ_JF2mCXgZ3hqFA"",""REKAP ALL 2026 - Andika!F:F""),"""",0)"),"25157578623")</f>
        <v>25157578623</v>
      </c>
      <c r="G4050" s="13" t="s">
        <v>16589</v>
      </c>
      <c r="H4050" s="13" t="s">
        <v>35</v>
      </c>
      <c r="I4050" s="13" t="str">
        <f aca="false">IF(C4050=J4050,"NEW KONTRAK","RE-KONTRAK")</f>
        <v>NEW KONTRAK</v>
      </c>
      <c r="J4050" s="16" t="n">
        <f aca="false" t="array" ref="J4050:J4050">IFERROR(INDEX(AC4050:AE4050,IF(COUNTA(AC4050:AE4050)=0,"",MAX((AC4050:AE4050&lt;&gt;"")*(COLUMN(AC4050:AE4050)-(COLUMN(AC4050)))))-1),"")</f>
        <v>46247</v>
      </c>
      <c r="K4050" s="16" t="n">
        <f aca="false" t="array" ref="K4050:K4050">IFERROR(INDEX(AC4050:AE4050,IF(COUNTA(AC4050:AE4050)=0,"",MAX((AC4050:AE4050&lt;&gt;"")*(COLUMN(AC4050:AE4050)-(COLUMN(AC4050)-1))))-1),"")</f>
        <v>46338</v>
      </c>
      <c r="L4050" s="17" t="str">
        <f aca="false" t="array" ref="L4050:L4050">IFERROR(INDEX(AC4050:AE4050,IF(COUNTA(AC4050:AE4050)=0,"",MAX((AC4050:AE4050&lt;&gt;"")*(COLUMN(AC4050:AE4050)-(COLUMN(AC4050)-2))))-1),"")</f>
        <v>KEMBALI</v>
      </c>
      <c r="M4050" s="13" t="n">
        <f aca="true">K4050-TODAY()</f>
        <v>14</v>
      </c>
      <c r="N4050" s="18" t="s">
        <v>615</v>
      </c>
      <c r="O4050" s="13" t="s">
        <v>1531</v>
      </c>
      <c r="P4050" s="19" t="n">
        <v>5176101</v>
      </c>
      <c r="Q4050" s="20" t="s">
        <v>16590</v>
      </c>
      <c r="R4050" s="13" t="s">
        <v>232</v>
      </c>
      <c r="S4050" s="14" t="n">
        <v>35214</v>
      </c>
      <c r="T4050" s="13" t="s">
        <v>108</v>
      </c>
      <c r="U4050" s="13" t="s">
        <v>16591</v>
      </c>
      <c r="V4050" s="13" t="s">
        <v>42</v>
      </c>
      <c r="W4050" s="13" t="s">
        <v>43</v>
      </c>
      <c r="X4050" s="21" t="n">
        <v>85755060197</v>
      </c>
      <c r="Y4050" s="22" t="str">
        <f aca="false">O4050</f>
        <v>Packer</v>
      </c>
      <c r="Z4050" s="13" t="str">
        <f aca="false">IFERROR(__xludf.dummyfunction("if(BJ4050="""","""",GOOGLETRANSLATE(BJ4050,""auto"",""en""))"),"Packer")</f>
        <v>Packer</v>
      </c>
      <c r="AA4050" s="23" t="str">
        <f aca="false">IF(C4050="","", CHOOSE(MONTH(C4050),"January","February","March","April","May","June","July","August","September","October","November","December")&amp;" "&amp;DAY(C4050)&amp;MID("thstndrdth",MIN(9,2*RIGHT(DAY(C4050))*(MOD(DAY(C4050)-11,100)&gt;2)+1),2)&amp;","&amp;TEXT(C4050," yyyy"))</f>
        <v>August 13th,2026</v>
      </c>
      <c r="AB4050" s="15" t="str">
        <f aca="true">IF(S4050="","",DATEDIF(S4050,TODAY(),"Y")&amp;" Tahun, "&amp;DATEDIF(S4050,TODAY(),"YM")&amp;" Bulan, "&amp;DATEDIF(S4050,TODAY(),"MD")&amp;" Hari")</f>
        <v>30 Tahun, 5 Bulan, 0 Hari</v>
      </c>
      <c r="AC4050" s="14" t="n">
        <v>46247</v>
      </c>
      <c r="AD4050" s="18" t="n">
        <f aca="false">EDATE(AC4050,3)-1</f>
        <v>46338</v>
      </c>
      <c r="AE4050" s="13" t="s">
        <v>397</v>
      </c>
    </row>
    <row r="4051" customFormat="false" ht="15" hidden="false" customHeight="true" outlineLevel="0" collapsed="false">
      <c r="A4051" s="12" t="n">
        <v>22680</v>
      </c>
      <c r="B4051" s="13" t="s">
        <v>16592</v>
      </c>
      <c r="C4051" s="14" t="n">
        <v>46247</v>
      </c>
      <c r="D4051" s="13" t="s">
        <v>5726</v>
      </c>
      <c r="E4051" s="13" t="s">
        <v>47</v>
      </c>
      <c r="F4051" s="15" t="str">
        <f aca="false">IFERROR(__xludf.dummyfunction("XLOOKUP(AJ4051,IMPORTRANGE(""1XaInW9DU9nz21V0tYIfzFQ0He9kVQ_JF2mCXgZ3hqFA"",""REKAP ALL 2026 - Andika!G:G""),IMPORTRANGE(""1XaInW9DU9nz21V0tYIfzFQ0He9kVQ_JF2mCXgZ3hqFA"",""REKAP ALL 2026 - Andika!F:F""),"""",0)"),"26020754953")</f>
        <v>26020754953</v>
      </c>
      <c r="G4051" s="15" t="s">
        <v>16593</v>
      </c>
      <c r="H4051" s="13" t="s">
        <v>35</v>
      </c>
      <c r="I4051" s="13" t="str">
        <f aca="false">IF(C4051=J4051,"NEW KONTRAK","RE-KONTRAK")</f>
        <v>NEW KONTRAK</v>
      </c>
      <c r="J4051" s="16" t="n">
        <f aca="false" t="array" ref="J4051:J4051">IFERROR(INDEX(AC4051:AE4051,IF(COUNTA(AC4051:AE4051)=0,"",MAX((AC4051:AE4051&lt;&gt;"")*(COLUMN(AC4051:AE4051)-(COLUMN(AC4051)))))-1),"")</f>
        <v>46247</v>
      </c>
      <c r="K4051" s="16" t="n">
        <f aca="false" t="array" ref="K4051:K4051">IFERROR(INDEX(AC4051:AE4051,IF(COUNTA(AC4051:AE4051)=0,"",MAX((AC4051:AE4051&lt;&gt;"")*(COLUMN(AC4051:AE4051)-(COLUMN(AC4051)-1))))-1),"")</f>
        <v>46338</v>
      </c>
      <c r="L4051" s="17" t="str">
        <f aca="false" t="array" ref="L4051:L4051">IFERROR(INDEX(AC4051:AE4051,IF(COUNTA(AC4051:AE4051)=0,"",MAX((AC4051:AE4051&lt;&gt;"")*(COLUMN(AC4051:AE4051)-(COLUMN(AC4051)-2))))-1),"")</f>
        <v>KEMBALI</v>
      </c>
      <c r="M4051" s="13" t="n">
        <f aca="true">K4051-TODAY()</f>
        <v>14</v>
      </c>
      <c r="N4051" s="18" t="s">
        <v>615</v>
      </c>
      <c r="O4051" s="13" t="s">
        <v>1531</v>
      </c>
      <c r="P4051" s="19" t="n">
        <v>5176101</v>
      </c>
      <c r="Q4051" s="20" t="s">
        <v>16594</v>
      </c>
      <c r="R4051" s="13" t="s">
        <v>232</v>
      </c>
      <c r="S4051" s="14" t="n">
        <v>32363</v>
      </c>
      <c r="T4051" s="13" t="s">
        <v>40</v>
      </c>
      <c r="U4051" s="13" t="s">
        <v>16595</v>
      </c>
      <c r="V4051" s="13" t="s">
        <v>42</v>
      </c>
      <c r="W4051" s="13" t="s">
        <v>43</v>
      </c>
      <c r="X4051" s="21" t="n">
        <v>85748996788</v>
      </c>
      <c r="Y4051" s="22" t="str">
        <f aca="false">O4051</f>
        <v>Packer</v>
      </c>
      <c r="Z4051" s="13" t="str">
        <f aca="false">IFERROR(__xludf.dummyfunction("if(BJ4051="""","""",GOOGLETRANSLATE(BJ4051,""auto"",""en""))"),"Packer")</f>
        <v>Packer</v>
      </c>
      <c r="AA4051" s="23" t="str">
        <f aca="false">IF(C4051="","", CHOOSE(MONTH(C4051),"January","February","March","April","May","June","July","August","September","October","November","December")&amp;" "&amp;DAY(C4051)&amp;MID("thstndrdth",MIN(9,2*RIGHT(DAY(C4051))*(MOD(DAY(C4051)-11,100)&gt;2)+1),2)&amp;","&amp;TEXT(C4051," yyyy"))</f>
        <v>August 13th,2026</v>
      </c>
      <c r="AB4051" s="15" t="str">
        <f aca="true">IF(S4051="","",DATEDIF(S4051,TODAY(),"Y")&amp;" Tahun, "&amp;DATEDIF(S4051,TODAY(),"YM")&amp;" Bulan, "&amp;DATEDIF(S4051,TODAY(),"MD")&amp;" Hari")</f>
        <v>38 Tahun, 2 Bulan, 21 Hari</v>
      </c>
      <c r="AC4051" s="14" t="n">
        <v>46247</v>
      </c>
      <c r="AD4051" s="18" t="n">
        <f aca="false">EDATE(AC4051,3)-1</f>
        <v>46338</v>
      </c>
      <c r="AE4051" s="13" t="s">
        <v>397</v>
      </c>
    </row>
    <row r="4052" customFormat="false" ht="15" hidden="false" customHeight="true" outlineLevel="0" collapsed="false">
      <c r="A4052" s="12" t="n">
        <v>22681</v>
      </c>
      <c r="B4052" s="13" t="s">
        <v>16596</v>
      </c>
      <c r="C4052" s="14" t="n">
        <v>46247</v>
      </c>
      <c r="D4052" s="13" t="s">
        <v>5726</v>
      </c>
      <c r="E4052" s="13" t="s">
        <v>47</v>
      </c>
      <c r="F4052" s="15" t="str">
        <f aca="false">IFERROR(__xludf.dummyfunction("XLOOKUP(AJ4052,IMPORTRANGE(""1XaInW9DU9nz21V0tYIfzFQ0He9kVQ_JF2mCXgZ3hqFA"",""REKAP ALL 2026 - Andika!G:G""),IMPORTRANGE(""1XaInW9DU9nz21V0tYIfzFQ0He9kVQ_JF2mCXgZ3hqFA"",""REKAP ALL 2026 - Andika!F:F""),"""",0)"),"26020754946")</f>
        <v>26020754946</v>
      </c>
      <c r="G4052" s="13" t="s">
        <v>16597</v>
      </c>
      <c r="H4052" s="13" t="s">
        <v>35</v>
      </c>
      <c r="I4052" s="13" t="str">
        <f aca="false">IF(C4052=J4052,"NEW KONTRAK","RE-KONTRAK")</f>
        <v>NEW KONTRAK</v>
      </c>
      <c r="J4052" s="16" t="n">
        <f aca="false" t="array" ref="J4052:J4052">IFERROR(INDEX(AC4052:AE4052,IF(COUNTA(AC4052:AE4052)=0,"",MAX((AC4052:AE4052&lt;&gt;"")*(COLUMN(AC4052:AE4052)-(COLUMN(AC4052)))))-1),"")</f>
        <v>46247</v>
      </c>
      <c r="K4052" s="16" t="n">
        <f aca="false" t="array" ref="K4052:K4052">IFERROR(INDEX(AC4052:AE4052,IF(COUNTA(AC4052:AE4052)=0,"",MAX((AC4052:AE4052&lt;&gt;"")*(COLUMN(AC4052:AE4052)-(COLUMN(AC4052)-1))))-1),"")</f>
        <v>46338</v>
      </c>
      <c r="L4052" s="17" t="str">
        <f aca="false" t="array" ref="L4052:L4052">IFERROR(INDEX(AC4052:AE4052,IF(COUNTA(AC4052:AE4052)=0,"",MAX((AC4052:AE4052&lt;&gt;"")*(COLUMN(AC4052:AE4052)-(COLUMN(AC4052)-2))))-1),"")</f>
        <v>KEMBALI</v>
      </c>
      <c r="M4052" s="13" t="n">
        <f aca="true">K4052-TODAY()</f>
        <v>14</v>
      </c>
      <c r="N4052" s="18" t="s">
        <v>615</v>
      </c>
      <c r="O4052" s="13" t="s">
        <v>1531</v>
      </c>
      <c r="P4052" s="19" t="n">
        <v>5176101</v>
      </c>
      <c r="Q4052" s="20" t="s">
        <v>16598</v>
      </c>
      <c r="R4052" s="13" t="s">
        <v>232</v>
      </c>
      <c r="S4052" s="14" t="n">
        <v>34473</v>
      </c>
      <c r="T4052" s="28" t="s">
        <v>40</v>
      </c>
      <c r="U4052" s="13" t="s">
        <v>16599</v>
      </c>
      <c r="V4052" s="13" t="s">
        <v>42</v>
      </c>
      <c r="W4052" s="13" t="s">
        <v>54</v>
      </c>
      <c r="X4052" s="21" t="n">
        <v>85731597167</v>
      </c>
      <c r="Y4052" s="22" t="str">
        <f aca="false">O4052</f>
        <v>Packer</v>
      </c>
      <c r="Z4052" s="13" t="str">
        <f aca="false">IFERROR(__xludf.dummyfunction("if(BJ4052="""","""",GOOGLETRANSLATE(BJ4052,""auto"",""en""))"),"Packer")</f>
        <v>Packer</v>
      </c>
      <c r="AA4052" s="23" t="str">
        <f aca="false">IF(C4052="","", CHOOSE(MONTH(C4052),"January","February","March","April","May","June","July","August","September","October","November","December")&amp;" "&amp;DAY(C4052)&amp;MID("thstndrdth",MIN(9,2*RIGHT(DAY(C4052))*(MOD(DAY(C4052)-11,100)&gt;2)+1),2)&amp;","&amp;TEXT(C4052," yyyy"))</f>
        <v>August 13th,2026</v>
      </c>
      <c r="AB4052" s="15" t="str">
        <f aca="true">IF(S4052="","",DATEDIF(S4052,TODAY(),"Y")&amp;" Tahun, "&amp;DATEDIF(S4052,TODAY(),"YM")&amp;" Bulan, "&amp;DATEDIF(S4052,TODAY(),"MD")&amp;" Hari")</f>
        <v>32 Tahun, 5 Bulan, 10 Hari</v>
      </c>
      <c r="AC4052" s="14" t="n">
        <v>46247</v>
      </c>
      <c r="AD4052" s="18" t="n">
        <f aca="false">EDATE(AC4052,3)-1</f>
        <v>46338</v>
      </c>
      <c r="AE4052" s="13" t="s">
        <v>397</v>
      </c>
    </row>
    <row r="4053" customFormat="false" ht="15" hidden="false" customHeight="true" outlineLevel="0" collapsed="false">
      <c r="A4053" s="12" t="n">
        <v>22682</v>
      </c>
      <c r="B4053" s="13" t="s">
        <v>16600</v>
      </c>
      <c r="C4053" s="14" t="n">
        <v>46254</v>
      </c>
      <c r="D4053" s="13" t="s">
        <v>9043</v>
      </c>
      <c r="E4053" s="13" t="s">
        <v>47</v>
      </c>
      <c r="F4053" s="24" t="s">
        <v>16601</v>
      </c>
      <c r="G4053" s="13" t="s">
        <v>1452</v>
      </c>
      <c r="H4053" s="13" t="s">
        <v>35</v>
      </c>
      <c r="I4053" s="13" t="str">
        <f aca="false">IF(C4053=J4053,"NEW KONTRAK","RE-KONTRAK")</f>
        <v>NEW KONTRAK</v>
      </c>
      <c r="J4053" s="16" t="n">
        <f aca="false" t="array" ref="J4053:J4053">IFERROR(INDEX(AC4053:AE4053,IF(COUNTA(AC4053:AE4053)=0,"",MAX((AC4053:AE4053&lt;&gt;"")*(COLUMN(AC4053:AE4053)-(COLUMN(AC4053)))))-1),"")</f>
        <v>46254</v>
      </c>
      <c r="K4053" s="16" t="n">
        <f aca="false" t="array" ref="K4053:K4053">IFERROR(INDEX(AC4053:AE4053,IF(COUNTA(AC4053:AE4053)=0,"",MAX((AC4053:AE4053&lt;&gt;"")*(COLUMN(AC4053:AE4053)-(COLUMN(AC4053)-1))))-1),"")</f>
        <v>46437</v>
      </c>
      <c r="L4053" s="17" t="str">
        <f aca="false" t="array" ref="L4053:L4053">IFERROR(INDEX(AC4053:AE4053,IF(COUNTA(AC4053:AE4053)=0,"",MAX((AC4053:AE4053&lt;&gt;"")*(COLUMN(AC4053:AE4053)-(COLUMN(AC4053)-2))))-1),"")</f>
        <v>ARCHIVED</v>
      </c>
      <c r="M4053" s="13" t="n">
        <f aca="true">K4053-TODAY()</f>
        <v>113</v>
      </c>
      <c r="N4053" s="28" t="s">
        <v>4735</v>
      </c>
      <c r="O4053" s="13" t="s">
        <v>9059</v>
      </c>
      <c r="P4053" s="26" t="n">
        <v>4300000</v>
      </c>
      <c r="Q4053" s="20" t="s">
        <v>16602</v>
      </c>
      <c r="R4053" s="13" t="s">
        <v>227</v>
      </c>
      <c r="S4053" s="25" t="n">
        <v>37538</v>
      </c>
      <c r="T4053" s="13" t="s">
        <v>40</v>
      </c>
      <c r="U4053" s="13" t="s">
        <v>16603</v>
      </c>
      <c r="V4053" s="13" t="s">
        <v>42</v>
      </c>
      <c r="W4053" s="13" t="s">
        <v>43</v>
      </c>
      <c r="X4053" s="21" t="n">
        <v>82334405057</v>
      </c>
      <c r="Y4053" s="22" t="str">
        <f aca="false">O4053</f>
        <v>Data Analyst</v>
      </c>
      <c r="Z4053" s="13" t="str">
        <f aca="false">IFERROR(__xludf.dummyfunction("if(BJ4053="""","""",GOOGLETRANSLATE(BJ4053,""auto"",""en""))"),"Data Analyst")</f>
        <v>Data Analyst</v>
      </c>
      <c r="AA4053" s="23" t="str">
        <f aca="false">IF(C4053="","", CHOOSE(MONTH(C4053),"January","February","March","April","May","June","July","August","September","October","November","December")&amp;" "&amp;DAY(C4053)&amp;MID("thstndrdth",MIN(9,2*RIGHT(DAY(C4053))*(MOD(DAY(C4053)-11,100)&gt;2)+1),2)&amp;","&amp;TEXT(C4053," yyyy"))</f>
        <v>August 20th,2026</v>
      </c>
      <c r="AB4053" s="15" t="str">
        <f aca="true">IF(S4053="","",DATEDIF(S4053,TODAY(),"Y")&amp;" Tahun, "&amp;DATEDIF(S4053,TODAY(),"YM")&amp;" Bulan, "&amp;DATEDIF(S4053,TODAY(),"MD")&amp;" Hari")</f>
        <v>24 Tahun, 0 Bulan, 20 Hari</v>
      </c>
      <c r="AC4053" s="14" t="n">
        <v>46254</v>
      </c>
      <c r="AD4053" s="18" t="n">
        <f aca="false">EDATE(AC4053,6)-1</f>
        <v>46437</v>
      </c>
      <c r="AE4053" s="45" t="s">
        <v>44</v>
      </c>
    </row>
    <row r="4054" customFormat="false" ht="15" hidden="false" customHeight="true" outlineLevel="0" collapsed="false">
      <c r="A4054" s="12" t="n">
        <v>22683</v>
      </c>
      <c r="B4054" s="13" t="s">
        <v>16604</v>
      </c>
      <c r="C4054" s="14" t="n">
        <v>46252</v>
      </c>
      <c r="D4054" s="13" t="s">
        <v>9043</v>
      </c>
      <c r="E4054" s="13" t="s">
        <v>47</v>
      </c>
      <c r="F4054" s="24" t="s">
        <v>16605</v>
      </c>
      <c r="G4054" s="13" t="s">
        <v>1452</v>
      </c>
      <c r="H4054" s="13" t="s">
        <v>35</v>
      </c>
      <c r="I4054" s="13" t="str">
        <f aca="false">IF(C4054=J4054,"NEW KONTRAK","RE-KONTRAK")</f>
        <v>NEW KONTRAK</v>
      </c>
      <c r="J4054" s="16" t="n">
        <f aca="false" t="array" ref="J4054:J4054">IFERROR(INDEX(AC4054:AE4054,IF(COUNTA(AC4054:AE4054)=0,"",MAX((AC4054:AE4054&lt;&gt;"")*(COLUMN(AC4054:AE4054)-(COLUMN(AC4054)))))-1),"")</f>
        <v>46252</v>
      </c>
      <c r="K4054" s="16" t="n">
        <f aca="false" t="array" ref="K4054:K4054">IFERROR(INDEX(AC4054:AE4054,IF(COUNTA(AC4054:AE4054)=0,"",MAX((AC4054:AE4054&lt;&gt;"")*(COLUMN(AC4054:AE4054)-(COLUMN(AC4054)-1))))-1),"")</f>
        <v>46435</v>
      </c>
      <c r="L4054" s="17" t="str">
        <f aca="false" t="array" ref="L4054:L4054">IFERROR(INDEX(AC4054:AE4054,IF(COUNTA(AC4054:AE4054)=0,"",MAX((AC4054:AE4054&lt;&gt;"")*(COLUMN(AC4054:AE4054)-(COLUMN(AC4054)-2))))-1),"")</f>
        <v>KEMBALI</v>
      </c>
      <c r="M4054" s="13" t="n">
        <f aca="true">K4054-TODAY()</f>
        <v>111</v>
      </c>
      <c r="N4054" s="28" t="s">
        <v>4735</v>
      </c>
      <c r="O4054" s="13" t="s">
        <v>6662</v>
      </c>
      <c r="P4054" s="26" t="n">
        <v>3438481</v>
      </c>
      <c r="Q4054" s="20" t="s">
        <v>16606</v>
      </c>
      <c r="R4054" s="13" t="s">
        <v>260</v>
      </c>
      <c r="S4054" s="25" t="n">
        <v>37638</v>
      </c>
      <c r="T4054" s="13" t="s">
        <v>40</v>
      </c>
      <c r="U4054" s="13" t="s">
        <v>16607</v>
      </c>
      <c r="V4054" s="13" t="s">
        <v>42</v>
      </c>
      <c r="W4054" s="13" t="s">
        <v>43</v>
      </c>
      <c r="X4054" s="21" t="n">
        <v>895405756940</v>
      </c>
      <c r="Y4054" s="22" t="str">
        <f aca="false">O4054</f>
        <v>Front Office</v>
      </c>
      <c r="Z4054" s="13" t="str">
        <f aca="false">IFERROR(__xludf.dummyfunction("if(BJ4054="""","""",GOOGLETRANSLATE(BJ4054,""auto"",""en""))"),"Front Office")</f>
        <v>Front Office</v>
      </c>
      <c r="AA4054" s="23" t="str">
        <f aca="false">IF(C4054="","", CHOOSE(MONTH(C4054),"January","February","March","April","May","June","July","August","September","October","November","December")&amp;" "&amp;DAY(C4054)&amp;MID("thstndrdth",MIN(9,2*RIGHT(DAY(C4054))*(MOD(DAY(C4054)-11,100)&gt;2)+1),2)&amp;","&amp;TEXT(C4054," yyyy"))</f>
        <v>August 18th,2026</v>
      </c>
      <c r="AB4054" s="15" t="str">
        <f aca="true">IF(S4054="","",DATEDIF(S4054,TODAY(),"Y")&amp;" Tahun, "&amp;DATEDIF(S4054,TODAY(),"YM")&amp;" Bulan, "&amp;DATEDIF(S4054,TODAY(),"MD")&amp;" Hari")</f>
        <v>23 Tahun, 9 Bulan, 12 Hari</v>
      </c>
      <c r="AC4054" s="14" t="n">
        <v>46252</v>
      </c>
      <c r="AD4054" s="18" t="n">
        <f aca="false">EDATE(AC4054,6)-1</f>
        <v>46435</v>
      </c>
      <c r="AE4054" s="13" t="s">
        <v>397</v>
      </c>
    </row>
    <row r="4055" customFormat="false" ht="15" hidden="false" customHeight="true" outlineLevel="0" collapsed="false">
      <c r="A4055" s="12" t="n">
        <v>22684</v>
      </c>
      <c r="B4055" s="13" t="s">
        <v>16608</v>
      </c>
      <c r="C4055" s="14" t="n">
        <v>46254</v>
      </c>
      <c r="D4055" s="13" t="s">
        <v>613</v>
      </c>
      <c r="E4055" s="13" t="s">
        <v>47</v>
      </c>
      <c r="F4055" s="24" t="s">
        <v>16609</v>
      </c>
      <c r="G4055" s="13" t="s">
        <v>1452</v>
      </c>
      <c r="H4055" s="13" t="s">
        <v>35</v>
      </c>
      <c r="I4055" s="13" t="str">
        <f aca="false">IF(C4055=J4055,"NEW KONTRAK","RE-KONTRAK")</f>
        <v>NEW KONTRAK</v>
      </c>
      <c r="J4055" s="16" t="n">
        <f aca="false" t="array" ref="J4055:J4055">IFERROR(INDEX(AC4055:AE4055,IF(COUNTA(AC4055:AE4055)=0,"",MAX((AC4055:AE4055&lt;&gt;"")*(COLUMN(AC4055:AE4055)-(COLUMN(AC4055)))))-1),"")</f>
        <v>46254</v>
      </c>
      <c r="K4055" s="16" t="n">
        <f aca="false" t="array" ref="K4055:K4055">IFERROR(INDEX(AC4055:AE4055,IF(COUNTA(AC4055:AE4055)=0,"",MAX((AC4055:AE4055&lt;&gt;"")*(COLUMN(AC4055:AE4055)-(COLUMN(AC4055)-1))))-1),"")</f>
        <v>46345</v>
      </c>
      <c r="L4055" s="17" t="str">
        <f aca="false" t="array" ref="L4055:L4055">IFERROR(INDEX(AC4055:AE4055,IF(COUNTA(AC4055:AE4055)=0,"",MAX((AC4055:AE4055&lt;&gt;"")*(COLUMN(AC4055:AE4055)-(COLUMN(AC4055)-2))))-1),"")</f>
        <v>KEMBALI</v>
      </c>
      <c r="M4055" s="13" t="n">
        <f aca="true">K4055-TODAY()</f>
        <v>21</v>
      </c>
      <c r="N4055" s="18" t="s">
        <v>615</v>
      </c>
      <c r="O4055" s="13" t="s">
        <v>58</v>
      </c>
      <c r="P4055" s="19" t="n">
        <v>5176101</v>
      </c>
      <c r="Q4055" s="20" t="s">
        <v>16610</v>
      </c>
      <c r="R4055" s="13" t="s">
        <v>232</v>
      </c>
      <c r="S4055" s="25" t="n">
        <v>39495</v>
      </c>
      <c r="T4055" s="13" t="s">
        <v>40</v>
      </c>
      <c r="U4055" s="13" t="s">
        <v>16611</v>
      </c>
      <c r="V4055" s="13" t="s">
        <v>42</v>
      </c>
      <c r="W4055" s="13" t="s">
        <v>43</v>
      </c>
      <c r="X4055" s="21" t="n">
        <v>85607140285</v>
      </c>
      <c r="Y4055" s="22" t="str">
        <f aca="false">O4055</f>
        <v>Produksi</v>
      </c>
      <c r="Z4055" s="13" t="str">
        <f aca="false">IFERROR(__xludf.dummyfunction("if(BJ4055="""","""",GOOGLETRANSLATE(BJ4055,""auto"",""en""))"),"Production")</f>
        <v>Production</v>
      </c>
      <c r="AA4055" s="23" t="str">
        <f aca="false">IF(C4055="","", CHOOSE(MONTH(C4055),"January","February","March","April","May","June","July","August","September","October","November","December")&amp;" "&amp;DAY(C4055)&amp;MID("thstndrdth",MIN(9,2*RIGHT(DAY(C4055))*(MOD(DAY(C4055)-11,100)&gt;2)+1),2)&amp;","&amp;TEXT(C4055," yyyy"))</f>
        <v>August 20th,2026</v>
      </c>
      <c r="AB4055" s="15" t="str">
        <f aca="true">IF(S4055="","",DATEDIF(S4055,TODAY(),"Y")&amp;" Tahun, "&amp;DATEDIF(S4055,TODAY(),"YM")&amp;" Bulan, "&amp;DATEDIF(S4055,TODAY(),"MD")&amp;" Hari")</f>
        <v>18 Tahun, 8 Bulan, 12 Hari</v>
      </c>
      <c r="AC4055" s="14" t="n">
        <v>46254</v>
      </c>
      <c r="AD4055" s="18" t="n">
        <f aca="false">EDATE(AC4055,3)-1</f>
        <v>46345</v>
      </c>
      <c r="AE4055" s="13" t="s">
        <v>397</v>
      </c>
    </row>
    <row r="4056" customFormat="false" ht="15" hidden="false" customHeight="true" outlineLevel="0" collapsed="false">
      <c r="A4056" s="12" t="n">
        <v>2211</v>
      </c>
      <c r="B4056" s="13" t="s">
        <v>16612</v>
      </c>
      <c r="C4056" s="14" t="n">
        <v>44563</v>
      </c>
      <c r="D4056" s="13" t="s">
        <v>1721</v>
      </c>
      <c r="E4056" s="15" t="s">
        <v>47</v>
      </c>
      <c r="F4056" s="15" t="str">
        <f aca="false">IFERROR(__xludf.dummyfunction("XLOOKUP(AJ4056,IMPORTRANGE(""1XaInW9DU9nz21V0tYIfzFQ0He9kVQ_JF2mCXgZ3hqFA"",""REKAP ALL 2026 - Andika!G:G""),IMPORTRANGE(""1XaInW9DU9nz21V0tYIfzFQ0He9kVQ_JF2mCXgZ3hqFA"",""REKAP ALL 2026 - Andika!F:F""),"""",0)"),"18113406344")</f>
        <v>18113406344</v>
      </c>
      <c r="G4056" s="13" t="s">
        <v>16613</v>
      </c>
      <c r="H4056" s="13" t="s">
        <v>35</v>
      </c>
      <c r="I4056" s="13" t="str">
        <f aca="false">IF(C4056=J4056,"NEW KONTRAK","RE-KONTRAK")</f>
        <v>RE-KONTRAK</v>
      </c>
      <c r="J4056" s="16" t="n">
        <f aca="false" t="array" ref="J4056:J4056">IFERROR(INDEX(AC4056:AE4056,IF(COUNTA(AC4056:AE4056)=0,"",MAX((AC4056:AE4056&lt;&gt;"")*(COLUMN(AC4056:AE4056)-(COLUMN(AC4056)))))-1),"")</f>
        <v>45659</v>
      </c>
      <c r="K4056" s="16" t="n">
        <f aca="false" t="array" ref="K4056:K4056">IFERROR(INDEX(AC4056:AE4056,IF(COUNTA(AC4056:AE4056)=0,"",MAX((AC4056:AE4056&lt;&gt;"")*(COLUMN(AC4056:AE4056)-(COLUMN(AC4056)-1))))-1),"")</f>
        <v>46015</v>
      </c>
      <c r="L4056" s="17" t="str">
        <f aca="false" t="array" ref="L4056:L4056">IFERROR(INDEX(AC4056:AE4056,IF(COUNTA(AC4056:AE4056)=0,"",MAX((AC4056:AE4056&lt;&gt;"")*(COLUMN(AC4056:AE4056)-(COLUMN(AC4056)-2))))-1),"")</f>
        <v>ARCHIVED</v>
      </c>
      <c r="M4056" s="13" t="n">
        <f aca="true">K4056-TODAY()</f>
        <v>-309</v>
      </c>
      <c r="N4056" s="18" t="s">
        <v>728</v>
      </c>
      <c r="O4056" s="13" t="s">
        <v>1744</v>
      </c>
      <c r="P4056" s="19" t="n">
        <v>5444909</v>
      </c>
      <c r="Q4056" s="20" t="s">
        <v>16614</v>
      </c>
      <c r="R4056" s="13" t="s">
        <v>879</v>
      </c>
      <c r="S4056" s="14" t="n">
        <v>28653</v>
      </c>
      <c r="T4056" s="13" t="s">
        <v>108</v>
      </c>
      <c r="U4056" s="13" t="s">
        <v>16615</v>
      </c>
      <c r="V4056" s="13" t="s">
        <v>42</v>
      </c>
      <c r="W4056" s="13" t="s">
        <v>54</v>
      </c>
      <c r="X4056" s="21" t="n">
        <v>822338593195</v>
      </c>
      <c r="Y4056" s="22" t="str">
        <f aca="false">O4056</f>
        <v>Print Operator</v>
      </c>
      <c r="Z4056" s="13" t="str">
        <f aca="false">IFERROR(__xludf.dummyfunction("if(BJ4056="""","""",GOOGLETRANSLATE(BJ4056,""auto"",""en""))"),"Print Operator")</f>
        <v>Print Operator</v>
      </c>
      <c r="AA4056" s="23" t="str">
        <f aca="false">IF(C4056="","", CHOOSE(MONTH(C4056),"January","February","March","April","May","June","July","August","September","October","November","December")&amp;" "&amp;DAY(C4056)&amp;MID("thstndrdth",MIN(9,2*RIGHT(DAY(C4056))*(MOD(DAY(C4056)-11,100)&gt;2)+1),2)&amp;","&amp;TEXT(C4056," yyyy"))</f>
        <v>January 2nd,2022</v>
      </c>
      <c r="AB4056" s="15" t="str">
        <f aca="true">IF(S4056="","",DATEDIF(S4056,TODAY(),"Y")&amp;" Tahun, "&amp;DATEDIF(S4056,TODAY(),"YM")&amp;" Bulan, "&amp;DATEDIF(S4056,TODAY(),"MD")&amp;" Hari")</f>
        <v>48 Tahun, 4 Bulan, 17 Hari</v>
      </c>
      <c r="AC4056" s="18" t="n">
        <v>45659</v>
      </c>
      <c r="AD4056" s="18" t="n">
        <v>46015</v>
      </c>
      <c r="AE4056" s="18" t="s">
        <v>44</v>
      </c>
    </row>
    <row r="4057" customFormat="false" ht="15" hidden="false" customHeight="true" outlineLevel="0" collapsed="false">
      <c r="A4057" s="12" t="n">
        <v>16380</v>
      </c>
      <c r="B4057" s="13" t="s">
        <v>16616</v>
      </c>
      <c r="C4057" s="14" t="n">
        <v>45488</v>
      </c>
      <c r="D4057" s="13" t="s">
        <v>1721</v>
      </c>
      <c r="E4057" s="15" t="s">
        <v>47</v>
      </c>
      <c r="F4057" s="15" t="str">
        <f aca="false">IFERROR(__xludf.dummyfunction("XLOOKUP(AJ4057,IMPORTRANGE(""1XaInW9DU9nz21V0tYIfzFQ0He9kVQ_JF2mCXgZ3hqFA"",""REKAP ALL 2026 - Andika!G:G""),IMPORTRANGE(""1XaInW9DU9nz21V0tYIfzFQ0He9kVQ_JF2mCXgZ3hqFA"",""REKAP ALL 2026 - Andika!F:F""),"""",0)"),"24105107783")</f>
        <v>24105107783</v>
      </c>
      <c r="G4057" s="15" t="s">
        <v>16617</v>
      </c>
      <c r="H4057" s="13" t="s">
        <v>35</v>
      </c>
      <c r="I4057" s="13" t="str">
        <f aca="false">IF(C4057=J4057,"NEW KONTRAK","RE-KONTRAK")</f>
        <v>RE-KONTRAK</v>
      </c>
      <c r="J4057" s="16" t="n">
        <f aca="false" t="array" ref="J4057:J4057">IFERROR(INDEX(AC4057:AE4057,IF(COUNTA(AC4057:AE4057)=0,"",MAX((AC4057:AE4057&lt;&gt;"")*(COLUMN(AC4057:AE4057)-(COLUMN(AC4057)))))-1),"")</f>
        <v>45659</v>
      </c>
      <c r="K4057" s="16" t="n">
        <f aca="false" t="array" ref="K4057:K4057">IFERROR(INDEX(AC4057:AE4057,IF(COUNTA(AC4057:AE4057)=0,"",MAX((AC4057:AE4057&lt;&gt;"")*(COLUMN(AC4057:AE4057)-(COLUMN(AC4057)-1))))-1),"")</f>
        <v>46015</v>
      </c>
      <c r="L4057" s="17" t="str">
        <f aca="false" t="array" ref="L4057:L4057">IFERROR(INDEX(AC4057:AE4057,IF(COUNTA(AC4057:AE4057)=0,"",MAX((AC4057:AE4057&lt;&gt;"")*(COLUMN(AC4057:AE4057)-(COLUMN(AC4057)-2))))-1),"")</f>
        <v>ARCHIVED</v>
      </c>
      <c r="M4057" s="13" t="n">
        <f aca="true">K4057-TODAY()</f>
        <v>-309</v>
      </c>
      <c r="N4057" s="18" t="s">
        <v>728</v>
      </c>
      <c r="O4057" s="13" t="s">
        <v>1827</v>
      </c>
      <c r="P4057" s="19" t="n">
        <v>5444909</v>
      </c>
      <c r="Q4057" s="49" t="s">
        <v>16618</v>
      </c>
      <c r="R4057" s="13" t="s">
        <v>73</v>
      </c>
      <c r="S4057" s="14" t="n">
        <v>32164</v>
      </c>
      <c r="T4057" s="13" t="s">
        <v>108</v>
      </c>
      <c r="U4057" s="13" t="s">
        <v>16619</v>
      </c>
      <c r="V4057" s="13" t="s">
        <v>42</v>
      </c>
      <c r="W4057" s="13" t="s">
        <v>54</v>
      </c>
      <c r="X4057" s="21" t="n">
        <v>89649906383</v>
      </c>
      <c r="Y4057" s="22" t="str">
        <f aca="false">O4057</f>
        <v>Printing Operator</v>
      </c>
      <c r="Z4057" s="13" t="str">
        <f aca="false">IFERROR(__xludf.dummyfunction("if(BJ4057="""","""",GOOGLETRANSLATE(BJ4057,""auto"",""en""))"),"Printing Operator")</f>
        <v>Printing Operator</v>
      </c>
      <c r="AA4057" s="23" t="str">
        <f aca="false">IF(C4057="","", CHOOSE(MONTH(C4057),"January","February","March","April","May","June","July","August","September","October","November","December")&amp;" "&amp;DAY(C4057)&amp;MID("thstndrdth",MIN(9,2*RIGHT(DAY(C4057))*(MOD(DAY(C4057)-11,100)&gt;2)+1),2)&amp;","&amp;TEXT(C4057," yyyy"))</f>
        <v>July 15th,2024</v>
      </c>
      <c r="AB4057" s="15" t="str">
        <f aca="true">IF(S4057="","",DATEDIF(S4057,TODAY(),"Y")&amp;" Tahun, "&amp;DATEDIF(S4057,TODAY(),"YM")&amp;" Bulan, "&amp;DATEDIF(S4057,TODAY(),"MD")&amp;" Hari")</f>
        <v>38 Tahun, 9 Bulan, 7 Hari</v>
      </c>
      <c r="AC4057" s="18" t="n">
        <v>45659</v>
      </c>
      <c r="AD4057" s="18" t="n">
        <v>46015</v>
      </c>
      <c r="AE4057" s="18" t="s">
        <v>44</v>
      </c>
    </row>
    <row r="4058" customFormat="false" ht="15" hidden="false" customHeight="true" outlineLevel="0" collapsed="false">
      <c r="A4058" s="12" t="n">
        <v>22841</v>
      </c>
      <c r="B4058" s="13" t="s">
        <v>16620</v>
      </c>
      <c r="C4058" s="14" t="n">
        <v>46279</v>
      </c>
      <c r="D4058" s="13" t="s">
        <v>1721</v>
      </c>
      <c r="E4058" s="13" t="s">
        <v>47</v>
      </c>
      <c r="F4058" s="24" t="s">
        <v>16621</v>
      </c>
      <c r="G4058" s="13" t="s">
        <v>1452</v>
      </c>
      <c r="H4058" s="13" t="s">
        <v>35</v>
      </c>
      <c r="I4058" s="13" t="str">
        <f aca="false">IF(C4058=J4058,"NEW KONTRAK","RE-KONTRAK")</f>
        <v>NEW KONTRAK</v>
      </c>
      <c r="J4058" s="16" t="n">
        <f aca="false" t="array" ref="J4058:J4058">IFERROR(INDEX(AC4058:AE4058,IF(COUNTA(AC4058:AE4058)=0,"",MAX((AC4058:AE4058&lt;&gt;"")*(COLUMN(AC4058:AE4058)-(COLUMN(AC4058)))))-1),"")</f>
        <v>46279</v>
      </c>
      <c r="K4058" s="16" t="n">
        <f aca="false" t="array" ref="K4058:K4058">IFERROR(INDEX(AC4058:AE4058,IF(COUNTA(AC4058:AE4058)=0,"",MAX((AC4058:AE4058&lt;&gt;"")*(COLUMN(AC4058:AE4058)-(COLUMN(AC4058)-1))))-1),"")</f>
        <v>46386</v>
      </c>
      <c r="L4058" s="17" t="str">
        <f aca="false" t="array" ref="L4058:L4058">IFERROR(INDEX(AC4058:AE4058,IF(COUNTA(AC4058:AE4058)=0,"",MAX((AC4058:AE4058&lt;&gt;"")*(COLUMN(AC4058:AE4058)-(COLUMN(AC4058)-2))))-1),"")</f>
        <v>ARCHIVED</v>
      </c>
      <c r="M4058" s="13" t="n">
        <f aca="true">K4058-TODAY()</f>
        <v>62</v>
      </c>
      <c r="N4058" s="18" t="s">
        <v>728</v>
      </c>
      <c r="O4058" s="13" t="s">
        <v>1755</v>
      </c>
      <c r="P4058" s="26" t="n">
        <v>5444909</v>
      </c>
      <c r="Q4058" s="20" t="s">
        <v>16622</v>
      </c>
      <c r="R4058" s="48" t="s">
        <v>52</v>
      </c>
      <c r="S4058" s="25" t="n">
        <v>36250</v>
      </c>
      <c r="T4058" s="13" t="s">
        <v>108</v>
      </c>
      <c r="U4058" s="13" t="s">
        <v>16623</v>
      </c>
      <c r="V4058" s="13" t="s">
        <v>42</v>
      </c>
      <c r="W4058" s="28" t="s">
        <v>54</v>
      </c>
      <c r="X4058" s="21" t="n">
        <v>85850894839</v>
      </c>
      <c r="Y4058" s="22" t="str">
        <f aca="false">O4058</f>
        <v>Im.Operator</v>
      </c>
      <c r="Z4058" s="13" t="str">
        <f aca="false">IFERROR(__xludf.dummyfunction("if(BJ4058="""","""",GOOGLETRANSLATE(BJ4058,""auto"",""en""))"),"Im.Operator")</f>
        <v>Im.Operator</v>
      </c>
      <c r="AA4058" s="23" t="str">
        <f aca="false">IF(C4058="","", CHOOSE(MONTH(C4058),"January","February","March","April","May","June","July","August","September","October","November","December")&amp;" "&amp;DAY(C4058)&amp;MID("thstndrdth",MIN(9,2*RIGHT(DAY(C4058))*(MOD(DAY(C4058)-11,100)&gt;2)+1),2)&amp;","&amp;TEXT(C4058," yyyy"))</f>
        <v>September 14th,2026</v>
      </c>
      <c r="AB4058" s="15" t="str">
        <f aca="true">IF(S4058="","",DATEDIF(S4058,TODAY(),"Y")&amp;" Tahun, "&amp;DATEDIF(S4058,TODAY(),"YM")&amp;" Bulan, "&amp;DATEDIF(S4058,TODAY(),"MD")&amp;" Hari")</f>
        <v>27 Tahun, 6 Bulan, 28 Hari</v>
      </c>
      <c r="AC4058" s="14" t="n">
        <v>46279</v>
      </c>
      <c r="AD4058" s="18" t="n">
        <v>46386</v>
      </c>
      <c r="AE4058" s="13" t="s">
        <v>44</v>
      </c>
    </row>
    <row r="4059" customFormat="false" ht="15" hidden="false" customHeight="true" outlineLevel="0" collapsed="false">
      <c r="A4059" s="12" t="n">
        <v>2215</v>
      </c>
      <c r="B4059" s="13" t="s">
        <v>16624</v>
      </c>
      <c r="C4059" s="14" t="n">
        <v>44563</v>
      </c>
      <c r="D4059" s="13" t="s">
        <v>1721</v>
      </c>
      <c r="E4059" s="15" t="s">
        <v>47</v>
      </c>
      <c r="F4059" s="15" t="str">
        <f aca="false">IFERROR(__xludf.dummyfunction("XLOOKUP(AJ4059,IMPORTRANGE(""1XaInW9DU9nz21V0tYIfzFQ0He9kVQ_JF2mCXgZ3hqFA"",""REKAP ALL 2026 - Andika!G:G""),IMPORTRANGE(""1XaInW9DU9nz21V0tYIfzFQ0He9kVQ_JF2mCXgZ3hqFA"",""REKAP ALL 2026 - Andika!F:F""),"""",0)"),"18062233731")</f>
        <v>18062233731</v>
      </c>
      <c r="G4059" s="13" t="s">
        <v>16625</v>
      </c>
      <c r="H4059" s="13" t="s">
        <v>35</v>
      </c>
      <c r="I4059" s="13" t="str">
        <f aca="false">IF(C4059=J4059,"NEW KONTRAK","RE-KONTRAK")</f>
        <v>RE-KONTRAK</v>
      </c>
      <c r="J4059" s="16" t="n">
        <f aca="false" t="array" ref="J4059:J4059">IFERROR(INDEX(AC4059:AE4059,IF(COUNTA(AC4059:AE4059)=0,"",MAX((AC4059:AE4059&lt;&gt;"")*(COLUMN(AC4059:AE4059)-(COLUMN(AC4059)))))-1),"")</f>
        <v>45659</v>
      </c>
      <c r="K4059" s="16" t="n">
        <f aca="false" t="array" ref="K4059:K4059">IFERROR(INDEX(AC4059:AE4059,IF(COUNTA(AC4059:AE4059)=0,"",MAX((AC4059:AE4059&lt;&gt;"")*(COLUMN(AC4059:AE4059)-(COLUMN(AC4059)-1))))-1),"")</f>
        <v>46015</v>
      </c>
      <c r="L4059" s="17" t="str">
        <f aca="false" t="array" ref="L4059:L4059">IFERROR(INDEX(AC4059:AE4059,IF(COUNTA(AC4059:AE4059)=0,"",MAX((AC4059:AE4059&lt;&gt;"")*(COLUMN(AC4059:AE4059)-(COLUMN(AC4059)-2))))-1),"")</f>
        <v>ARCHIVED</v>
      </c>
      <c r="M4059" s="13" t="n">
        <f aca="true">K4059-TODAY()</f>
        <v>-309</v>
      </c>
      <c r="N4059" s="18" t="s">
        <v>728</v>
      </c>
      <c r="O4059" s="13" t="s">
        <v>1744</v>
      </c>
      <c r="P4059" s="19" t="n">
        <v>5444909</v>
      </c>
      <c r="Q4059" s="20" t="s">
        <v>16626</v>
      </c>
      <c r="R4059" s="13" t="s">
        <v>52</v>
      </c>
      <c r="S4059" s="14" t="n">
        <v>36648</v>
      </c>
      <c r="T4059" s="13" t="s">
        <v>40</v>
      </c>
      <c r="U4059" s="13" t="s">
        <v>16627</v>
      </c>
      <c r="V4059" s="13" t="s">
        <v>42</v>
      </c>
      <c r="W4059" s="13" t="s">
        <v>43</v>
      </c>
      <c r="X4059" s="21" t="n">
        <v>89677274141</v>
      </c>
      <c r="Y4059" s="22" t="str">
        <f aca="false">O4059</f>
        <v>Print Operator</v>
      </c>
      <c r="Z4059" s="13" t="str">
        <f aca="false">IFERROR(__xludf.dummyfunction("if(BJ4059="""","""",GOOGLETRANSLATE(BJ4059,""auto"",""en""))"),"Print Operator")</f>
        <v>Print Operator</v>
      </c>
      <c r="AA4059" s="23" t="str">
        <f aca="false">IF(C4059="","", CHOOSE(MONTH(C4059),"January","February","March","April","May","June","July","August","September","October","November","December")&amp;" "&amp;DAY(C4059)&amp;MID("thstndrdth",MIN(9,2*RIGHT(DAY(C4059))*(MOD(DAY(C4059)-11,100)&gt;2)+1),2)&amp;","&amp;TEXT(C4059," yyyy"))</f>
        <v>January 2nd,2022</v>
      </c>
      <c r="AB4059" s="15" t="str">
        <f aca="true">IF(S4059="","",DATEDIF(S4059,TODAY(),"Y")&amp;" Tahun, "&amp;DATEDIF(S4059,TODAY(),"YM")&amp;" Bulan, "&amp;DATEDIF(S4059,TODAY(),"MD")&amp;" Hari")</f>
        <v>26 Tahun, 5 Bulan, 27 Hari</v>
      </c>
      <c r="AC4059" s="18" t="n">
        <v>45659</v>
      </c>
      <c r="AD4059" s="18" t="n">
        <v>46015</v>
      </c>
      <c r="AE4059" s="18" t="s">
        <v>44</v>
      </c>
    </row>
    <row r="4060" customFormat="false" ht="15" hidden="false" customHeight="true" outlineLevel="0" collapsed="false">
      <c r="A4060" s="12" t="n">
        <v>22711</v>
      </c>
      <c r="B4060" s="13" t="s">
        <v>16628</v>
      </c>
      <c r="C4060" s="14" t="n">
        <v>46251</v>
      </c>
      <c r="D4060" s="13" t="s">
        <v>1721</v>
      </c>
      <c r="E4060" s="13" t="s">
        <v>47</v>
      </c>
      <c r="F4060" s="24" t="s">
        <v>16629</v>
      </c>
      <c r="G4060" s="13" t="s">
        <v>1452</v>
      </c>
      <c r="H4060" s="13" t="s">
        <v>35</v>
      </c>
      <c r="I4060" s="13" t="str">
        <f aca="false">IF(C4060=J4060,"NEW KONTRAK","RE-KONTRAK")</f>
        <v>NEW KONTRAK</v>
      </c>
      <c r="J4060" s="16" t="n">
        <f aca="false" t="array" ref="J4060:J4060">IFERROR(INDEX(AC4060:AE4060,IF(COUNTA(AC4060:AE4060)=0,"",MAX((AC4060:AE4060&lt;&gt;"")*(COLUMN(AC4060:AE4060)-(COLUMN(AC4060)))))-1),"")</f>
        <v>46251</v>
      </c>
      <c r="K4060" s="16" t="n">
        <f aca="false" t="array" ref="K4060:K4060">IFERROR(INDEX(AC4060:AE4060,IF(COUNTA(AC4060:AE4060)=0,"",MAX((AC4060:AE4060&lt;&gt;"")*(COLUMN(AC4060:AE4060)-(COLUMN(AC4060)-1))))-1),"")</f>
        <v>46342</v>
      </c>
      <c r="L4060" s="17" t="str">
        <f aca="false" t="array" ref="L4060:L4060">IFERROR(INDEX(AC4060:AE4060,IF(COUNTA(AC4060:AE4060)=0,"",MAX((AC4060:AE4060&lt;&gt;"")*(COLUMN(AC4060:AE4060)-(COLUMN(AC4060)-2))))-1),"")</f>
        <v>KEMBALI</v>
      </c>
      <c r="M4060" s="13" t="n">
        <f aca="true">K4060-TODAY()</f>
        <v>18</v>
      </c>
      <c r="N4060" s="18" t="s">
        <v>728</v>
      </c>
      <c r="O4060" s="13" t="s">
        <v>1932</v>
      </c>
      <c r="P4060" s="26" t="n">
        <v>5444909</v>
      </c>
      <c r="Q4060" s="20" t="s">
        <v>16630</v>
      </c>
      <c r="R4060" s="13" t="s">
        <v>52</v>
      </c>
      <c r="S4060" s="25" t="n">
        <v>31499</v>
      </c>
      <c r="T4060" s="13" t="s">
        <v>108</v>
      </c>
      <c r="U4060" s="13" t="s">
        <v>16631</v>
      </c>
      <c r="V4060" s="13" t="s">
        <v>42</v>
      </c>
      <c r="W4060" s="13" t="s">
        <v>54</v>
      </c>
      <c r="X4060" s="21" t="n">
        <v>88235941969</v>
      </c>
      <c r="Y4060" s="22" t="str">
        <f aca="false">O4060</f>
        <v>Blow Moulding</v>
      </c>
      <c r="Z4060" s="13" t="str">
        <f aca="false">IFERROR(__xludf.dummyfunction("if(BJ4060="""","""",GOOGLETRANSLATE(BJ4060,""auto"",""en""))"),"Blow Moulding")</f>
        <v>Blow Moulding</v>
      </c>
      <c r="AA4060" s="23" t="str">
        <f aca="false">IF(C4060="","", CHOOSE(MONTH(C4060),"January","February","March","April","May","June","July","August","September","October","November","December")&amp;" "&amp;DAY(C4060)&amp;MID("thstndrdth",MIN(9,2*RIGHT(DAY(C4060))*(MOD(DAY(C4060)-11,100)&gt;2)+1),2)&amp;","&amp;TEXT(C4060," yyyy"))</f>
        <v>August 17th,2026</v>
      </c>
      <c r="AB4060" s="15" t="str">
        <f aca="true">IF(S4060="","",DATEDIF(S4060,TODAY(),"Y")&amp;" Tahun, "&amp;DATEDIF(S4060,TODAY(),"YM")&amp;" Bulan, "&amp;DATEDIF(S4060,TODAY(),"MD")&amp;" Hari")</f>
        <v>40 Tahun, 7 Bulan, 1 Hari</v>
      </c>
      <c r="AC4060" s="14" t="n">
        <v>46251</v>
      </c>
      <c r="AD4060" s="18" t="n">
        <f aca="false">EDATE(AC4060,3)-1</f>
        <v>46342</v>
      </c>
      <c r="AE4060" s="13" t="s">
        <v>397</v>
      </c>
    </row>
    <row r="4061" customFormat="false" ht="15" hidden="false" customHeight="true" outlineLevel="0" collapsed="false">
      <c r="A4061" s="12" t="n">
        <v>22848</v>
      </c>
      <c r="B4061" s="13" t="s">
        <v>16632</v>
      </c>
      <c r="C4061" s="14" t="n">
        <v>46279</v>
      </c>
      <c r="D4061" s="13" t="s">
        <v>1721</v>
      </c>
      <c r="E4061" s="13" t="s">
        <v>47</v>
      </c>
      <c r="F4061" s="24" t="s">
        <v>16633</v>
      </c>
      <c r="G4061" s="13" t="s">
        <v>1452</v>
      </c>
      <c r="H4061" s="13" t="s">
        <v>35</v>
      </c>
      <c r="I4061" s="13" t="str">
        <f aca="false">IF(C4061=J4061,"NEW KONTRAK","RE-KONTRAK")</f>
        <v>NEW KONTRAK</v>
      </c>
      <c r="J4061" s="16" t="n">
        <f aca="false" t="array" ref="J4061:J4061">IFERROR(INDEX(AC4061:AE4061,IF(COUNTA(AC4061:AE4061)=0,"",MAX((AC4061:AE4061&lt;&gt;"")*(COLUMN(AC4061:AE4061)-(COLUMN(AC4061)))))-1),"")</f>
        <v>46279</v>
      </c>
      <c r="K4061" s="16" t="n">
        <f aca="false" t="array" ref="K4061:K4061">IFERROR(INDEX(AC4061:AE4061,IF(COUNTA(AC4061:AE4061)=0,"",MAX((AC4061:AE4061&lt;&gt;"")*(COLUMN(AC4061:AE4061)-(COLUMN(AC4061)-1))))-1),"")</f>
        <v>46386</v>
      </c>
      <c r="L4061" s="17" t="str">
        <f aca="false" t="array" ref="L4061:L4061">IFERROR(INDEX(AC4061:AE4061,IF(COUNTA(AC4061:AE4061)=0,"",MAX((AC4061:AE4061&lt;&gt;"")*(COLUMN(AC4061:AE4061)-(COLUMN(AC4061)-2))))-1),"")</f>
        <v>ARCHIVED</v>
      </c>
      <c r="M4061" s="13" t="n">
        <f aca="true">K4061-TODAY()</f>
        <v>62</v>
      </c>
      <c r="N4061" s="18" t="s">
        <v>728</v>
      </c>
      <c r="O4061" s="13" t="s">
        <v>1755</v>
      </c>
      <c r="P4061" s="26" t="n">
        <v>5444909</v>
      </c>
      <c r="Q4061" s="20" t="s">
        <v>16634</v>
      </c>
      <c r="R4061" s="48" t="s">
        <v>227</v>
      </c>
      <c r="S4061" s="25" t="n">
        <v>39107</v>
      </c>
      <c r="T4061" s="13" t="s">
        <v>108</v>
      </c>
      <c r="U4061" s="13" t="s">
        <v>16635</v>
      </c>
      <c r="V4061" s="13" t="s">
        <v>42</v>
      </c>
      <c r="W4061" s="28" t="s">
        <v>43</v>
      </c>
      <c r="X4061" s="21" t="n">
        <v>89696786239</v>
      </c>
      <c r="Y4061" s="22" t="str">
        <f aca="false">O4061</f>
        <v>Im.Operator</v>
      </c>
      <c r="Z4061" s="13" t="str">
        <f aca="false">IFERROR(__xludf.dummyfunction("if(BJ4061="""","""",GOOGLETRANSLATE(BJ4061,""auto"",""en""))"),"Im.Operator")</f>
        <v>Im.Operator</v>
      </c>
      <c r="AA4061" s="23" t="str">
        <f aca="false">IF(C4061="","", CHOOSE(MONTH(C4061),"January","February","March","April","May","June","July","August","September","October","November","December")&amp;" "&amp;DAY(C4061)&amp;MID("thstndrdth",MIN(9,2*RIGHT(DAY(C4061))*(MOD(DAY(C4061)-11,100)&gt;2)+1),2)&amp;","&amp;TEXT(C4061," yyyy"))</f>
        <v>September 14th,2026</v>
      </c>
      <c r="AB4061" s="15" t="str">
        <f aca="true">IF(S4061="","",DATEDIF(S4061,TODAY(),"Y")&amp;" Tahun, "&amp;DATEDIF(S4061,TODAY(),"YM")&amp;" Bulan, "&amp;DATEDIF(S4061,TODAY(),"MD")&amp;" Hari")</f>
        <v>19 Tahun, 9 Bulan, 4 Hari</v>
      </c>
      <c r="AC4061" s="14" t="n">
        <v>46279</v>
      </c>
      <c r="AD4061" s="18" t="n">
        <v>46386</v>
      </c>
      <c r="AE4061" s="13" t="s">
        <v>44</v>
      </c>
    </row>
    <row r="4062" customFormat="false" ht="15" hidden="false" customHeight="true" outlineLevel="0" collapsed="false">
      <c r="A4062" s="12" t="n">
        <v>22425</v>
      </c>
      <c r="B4062" s="13" t="s">
        <v>16636</v>
      </c>
      <c r="C4062" s="14" t="n">
        <v>46188</v>
      </c>
      <c r="D4062" s="13" t="s">
        <v>1721</v>
      </c>
      <c r="E4062" s="15" t="s">
        <v>47</v>
      </c>
      <c r="F4062" s="24" t="s">
        <v>16637</v>
      </c>
      <c r="G4062" s="24" t="s">
        <v>57</v>
      </c>
      <c r="H4062" s="13" t="s">
        <v>35</v>
      </c>
      <c r="I4062" s="13" t="str">
        <f aca="false">IF(C4062=J4062,"NEW KONTRAK","RE-KONTRAK")</f>
        <v>NEW KONTRAK</v>
      </c>
      <c r="J4062" s="16" t="n">
        <f aca="false" t="array" ref="J4062:J4062">IFERROR(INDEX(AC4062:AE4062,IF(COUNTA(AC4062:AE4062)=0,"",MAX((AC4062:AE4062&lt;&gt;"")*(COLUMN(AC4062:AE4062)-(COLUMN(AC4062)))))-1),"")</f>
        <v>46188</v>
      </c>
      <c r="K4062" s="16" t="n">
        <f aca="false" t="array" ref="K4062:K4062">IFERROR(INDEX(AC4062:AE4062,IF(COUNTA(AC4062:AE4062)=0,"",MAX((AC4062:AE4062&lt;&gt;"")*(COLUMN(AC4062:AE4062)-(COLUMN(AC4062)-1))))-1),"")</f>
        <v>46279</v>
      </c>
      <c r="L4062" s="17" t="str">
        <f aca="false" t="array" ref="L4062:L4062">IFERROR(INDEX(AC4062:AE4062,IF(COUNTA(AC4062:AE4062)=0,"",MAX((AC4062:AE4062&lt;&gt;"")*(COLUMN(AC4062:AE4062)-(COLUMN(AC4062)-2))))-1),"")</f>
        <v>KEMBALI</v>
      </c>
      <c r="M4062" s="13" t="n">
        <f aca="true">K4062-TODAY()</f>
        <v>-45</v>
      </c>
      <c r="N4062" s="18" t="s">
        <v>728</v>
      </c>
      <c r="O4062" s="13" t="s">
        <v>624</v>
      </c>
      <c r="P4062" s="19" t="n">
        <v>5288796</v>
      </c>
      <c r="Q4062" s="47" t="s">
        <v>16638</v>
      </c>
      <c r="R4062" s="13" t="s">
        <v>78</v>
      </c>
      <c r="S4062" s="16" t="n">
        <v>37777</v>
      </c>
      <c r="T4062" s="13" t="s">
        <v>108</v>
      </c>
      <c r="U4062" s="13" t="s">
        <v>16639</v>
      </c>
      <c r="V4062" s="13" t="s">
        <v>42</v>
      </c>
      <c r="W4062" s="13" t="s">
        <v>43</v>
      </c>
      <c r="X4062" s="30" t="n">
        <v>85168872588</v>
      </c>
      <c r="Y4062" s="22" t="str">
        <f aca="false">O4062</f>
        <v>Quality Control</v>
      </c>
      <c r="Z4062" s="13" t="str">
        <f aca="false">IFERROR(__xludf.dummyfunction("if(BJ4062="""","""",GOOGLETRANSLATE(BJ4062,""auto"",""en""))"),"Quality Control")</f>
        <v>Quality Control</v>
      </c>
      <c r="AA4062" s="23" t="str">
        <f aca="false">IF(C4062="","", CHOOSE(MONTH(C4062),"January","February","March","April","May","June","July","August","September","October","November","December")&amp;" "&amp;DAY(C4062)&amp;MID("thstndrdth",MIN(9,2*RIGHT(DAY(C4062))*(MOD(DAY(C4062)-11,100)&gt;2)+1),2)&amp;","&amp;TEXT(C4062," yyyy"))</f>
        <v>June 15th,2026</v>
      </c>
      <c r="AB4062" s="15" t="str">
        <f aca="true">IF(S4062="","",DATEDIF(S4062,TODAY(),"Y")&amp;" Tahun, "&amp;DATEDIF(S4062,TODAY(),"YM")&amp;" Bulan, "&amp;DATEDIF(S4062,TODAY(),"MD")&amp;" Hari")</f>
        <v>23 Tahun, 4 Bulan, 24 Hari</v>
      </c>
      <c r="AC4062" s="14" t="n">
        <v>46188</v>
      </c>
      <c r="AD4062" s="18" t="n">
        <f aca="false">EDATE(AC4062,3)-1</f>
        <v>46279</v>
      </c>
      <c r="AE4062" s="13" t="s">
        <v>397</v>
      </c>
    </row>
    <row r="4063" customFormat="false" ht="15" hidden="false" customHeight="true" outlineLevel="0" collapsed="false">
      <c r="A4063" s="12" t="n">
        <v>22700</v>
      </c>
      <c r="B4063" s="13" t="s">
        <v>16640</v>
      </c>
      <c r="C4063" s="14" t="n">
        <v>46251</v>
      </c>
      <c r="D4063" s="13" t="s">
        <v>1721</v>
      </c>
      <c r="E4063" s="13" t="s">
        <v>47</v>
      </c>
      <c r="F4063" s="24" t="s">
        <v>16641</v>
      </c>
      <c r="G4063" s="13" t="s">
        <v>1452</v>
      </c>
      <c r="H4063" s="13" t="s">
        <v>35</v>
      </c>
      <c r="I4063" s="13" t="str">
        <f aca="false">IF(C4063=J4063,"NEW KONTRAK","RE-KONTRAK")</f>
        <v>NEW KONTRAK</v>
      </c>
      <c r="J4063" s="16" t="n">
        <f aca="false" t="array" ref="J4063:J4063">IFERROR(INDEX(AC4063:AE4063,IF(COUNTA(AC4063:AE4063)=0,"",MAX((AC4063:AE4063&lt;&gt;"")*(COLUMN(AC4063:AE4063)-(COLUMN(AC4063)))))-1),"")</f>
        <v>46251</v>
      </c>
      <c r="K4063" s="16" t="n">
        <f aca="false" t="array" ref="K4063:K4063">IFERROR(INDEX(AC4063:AE4063,IF(COUNTA(AC4063:AE4063)=0,"",MAX((AC4063:AE4063&lt;&gt;"")*(COLUMN(AC4063:AE4063)-(COLUMN(AC4063)-1))))-1),"")</f>
        <v>46342</v>
      </c>
      <c r="L4063" s="17" t="str">
        <f aca="false" t="array" ref="L4063:L4063">IFERROR(INDEX(AC4063:AE4063,IF(COUNTA(AC4063:AE4063)=0,"",MAX((AC4063:AE4063&lt;&gt;"")*(COLUMN(AC4063:AE4063)-(COLUMN(AC4063)-2))))-1),"")</f>
        <v>KEMBALI</v>
      </c>
      <c r="M4063" s="13" t="n">
        <f aca="true">K4063-TODAY()</f>
        <v>18</v>
      </c>
      <c r="N4063" s="18" t="s">
        <v>728</v>
      </c>
      <c r="O4063" s="13" t="s">
        <v>1803</v>
      </c>
      <c r="P4063" s="26" t="n">
        <v>5444909</v>
      </c>
      <c r="Q4063" s="20" t="s">
        <v>16642</v>
      </c>
      <c r="R4063" s="13" t="s">
        <v>39</v>
      </c>
      <c r="S4063" s="25" t="n">
        <v>37574</v>
      </c>
      <c r="T4063" s="13" t="s">
        <v>108</v>
      </c>
      <c r="U4063" s="13" t="s">
        <v>16643</v>
      </c>
      <c r="V4063" s="13" t="s">
        <v>42</v>
      </c>
      <c r="W4063" s="13" t="s">
        <v>54</v>
      </c>
      <c r="X4063" s="21" t="n">
        <v>89682043697</v>
      </c>
      <c r="Y4063" s="22" t="str">
        <f aca="false">O4063</f>
        <v>Injectition Moulding</v>
      </c>
      <c r="Z4063" s="13" t="str">
        <f aca="false">IFERROR(__xludf.dummyfunction("if(BJ4063="""","""",GOOGLETRANSLATE(BJ4063,""auto"",""en""))"),"Injectition Moulding")</f>
        <v>Injectition Moulding</v>
      </c>
      <c r="AA4063" s="23" t="str">
        <f aca="false">IF(C4063="","", CHOOSE(MONTH(C4063),"January","February","March","April","May","June","July","August","September","October","November","December")&amp;" "&amp;DAY(C4063)&amp;MID("thstndrdth",MIN(9,2*RIGHT(DAY(C4063))*(MOD(DAY(C4063)-11,100)&gt;2)+1),2)&amp;","&amp;TEXT(C4063," yyyy"))</f>
        <v>August 17th,2026</v>
      </c>
      <c r="AB4063" s="15" t="str">
        <f aca="true">IF(S4063="","",DATEDIF(S4063,TODAY(),"Y")&amp;" Tahun, "&amp;DATEDIF(S4063,TODAY(),"YM")&amp;" Bulan, "&amp;DATEDIF(S4063,TODAY(),"MD")&amp;" Hari")</f>
        <v>23 Tahun, 11 Bulan, 15 Hari</v>
      </c>
      <c r="AC4063" s="14" t="n">
        <v>46251</v>
      </c>
      <c r="AD4063" s="18" t="n">
        <f aca="false">EDATE(AC4063,3)-1</f>
        <v>46342</v>
      </c>
      <c r="AE4063" s="13" t="s">
        <v>397</v>
      </c>
    </row>
    <row r="4064" customFormat="false" ht="15" hidden="false" customHeight="true" outlineLevel="0" collapsed="false">
      <c r="A4064" s="12" t="n">
        <v>22989</v>
      </c>
      <c r="B4064" s="13" t="s">
        <v>16644</v>
      </c>
      <c r="C4064" s="14" t="n">
        <v>46307</v>
      </c>
      <c r="D4064" s="13" t="s">
        <v>1721</v>
      </c>
      <c r="E4064" s="13" t="s">
        <v>47</v>
      </c>
      <c r="F4064" s="24" t="s">
        <v>16645</v>
      </c>
      <c r="G4064" s="13" t="s">
        <v>1127</v>
      </c>
      <c r="H4064" s="13" t="s">
        <v>35</v>
      </c>
      <c r="I4064" s="13" t="str">
        <f aca="false">IF(C4064=J4064,"NEW KONTRAK","RE-KONTRAK")</f>
        <v>NEW KONTRAK</v>
      </c>
      <c r="J4064" s="16" t="n">
        <f aca="false" t="array" ref="J4064:J4064">IFERROR(INDEX(AC4064:AE4064,IF(COUNTA(AC4064:AE4064)=0,"",MAX((AC4064:AE4064&lt;&gt;"")*(COLUMN(AC4064:AE4064)-(COLUMN(AC4064)))))-1),"")</f>
        <v>46307</v>
      </c>
      <c r="K4064" s="16" t="n">
        <f aca="false" t="array" ref="K4064:K4064">IFERROR(INDEX(AC4064:AE4064,IF(COUNTA(AC4064:AE4064)=0,"",MAX((AC4064:AE4064&lt;&gt;"")*(COLUMN(AC4064:AE4064)-(COLUMN(AC4064)-1))))-1),"")</f>
        <v>46386</v>
      </c>
      <c r="L4064" s="17" t="str">
        <f aca="false" t="array" ref="L4064:L4064">IFERROR(INDEX(AC4064:AE4064,IF(COUNTA(AC4064:AE4064)=0,"",MAX((AC4064:AE4064&lt;&gt;"")*(COLUMN(AC4064:AE4064)-(COLUMN(AC4064)-2))))-1),"")</f>
        <v>PRINTED</v>
      </c>
      <c r="M4064" s="13" t="n">
        <f aca="true">K4064-TODAY()</f>
        <v>62</v>
      </c>
      <c r="N4064" s="18" t="s">
        <v>728</v>
      </c>
      <c r="O4064" s="13" t="s">
        <v>1755</v>
      </c>
      <c r="P4064" s="26" t="n">
        <v>5444909</v>
      </c>
      <c r="Q4064" s="20" t="s">
        <v>16646</v>
      </c>
      <c r="R4064" s="13" t="s">
        <v>52</v>
      </c>
      <c r="S4064" s="25" t="n">
        <v>37516</v>
      </c>
      <c r="T4064" s="13" t="s">
        <v>108</v>
      </c>
      <c r="U4064" s="13" t="s">
        <v>16647</v>
      </c>
      <c r="V4064" s="13" t="s">
        <v>42</v>
      </c>
      <c r="W4064" s="13" t="s">
        <v>43</v>
      </c>
      <c r="X4064" s="21" t="n">
        <v>82131036654</v>
      </c>
      <c r="Y4064" s="22" t="str">
        <f aca="false">O4064</f>
        <v>Im.Operator</v>
      </c>
      <c r="Z4064" s="13" t="str">
        <f aca="false">IFERROR(__xludf.dummyfunction("if(BJ4064="""","""",GOOGLETRANSLATE(BJ4064,""auto"",""en""))"),"Im.Operator")</f>
        <v>Im.Operator</v>
      </c>
      <c r="AA4064" s="23" t="str">
        <f aca="false">IF(C4064="","", CHOOSE(MONTH(C4064),"January","February","March","April","May","June","July","August","September","October","November","December")&amp;" "&amp;DAY(C4064)&amp;MID("thstndrdth",MIN(9,2*RIGHT(DAY(C4064))*(MOD(DAY(C4064)-11,100)&gt;2)+1),2)&amp;","&amp;TEXT(C4064," yyyy"))</f>
        <v>October 12th,2026</v>
      </c>
      <c r="AB4064" s="15" t="str">
        <f aca="true">IF(S4064="","",DATEDIF(S4064,TODAY(),"Y")&amp;" Tahun, "&amp;DATEDIF(S4064,TODAY(),"YM")&amp;" Bulan, "&amp;DATEDIF(S4064,TODAY(),"MD")&amp;" Hari")</f>
        <v>24 Tahun, 1 Bulan, 12 Hari</v>
      </c>
      <c r="AC4064" s="14" t="n">
        <v>46307</v>
      </c>
      <c r="AD4064" s="18" t="n">
        <v>46386</v>
      </c>
      <c r="AE4064" s="13" t="s">
        <v>1752</v>
      </c>
    </row>
    <row r="4065" customFormat="false" ht="15" hidden="false" customHeight="true" outlineLevel="0" collapsed="false">
      <c r="A4065" s="12" t="n">
        <v>22990</v>
      </c>
      <c r="B4065" s="13" t="s">
        <v>16648</v>
      </c>
      <c r="C4065" s="14" t="n">
        <v>46307</v>
      </c>
      <c r="D4065" s="13" t="s">
        <v>1721</v>
      </c>
      <c r="E4065" s="13" t="s">
        <v>47</v>
      </c>
      <c r="F4065" s="24" t="s">
        <v>16649</v>
      </c>
      <c r="G4065" s="13" t="s">
        <v>1127</v>
      </c>
      <c r="H4065" s="13" t="s">
        <v>35</v>
      </c>
      <c r="I4065" s="13" t="str">
        <f aca="false">IF(C4065=J4065,"NEW KONTRAK","RE-KONTRAK")</f>
        <v>NEW KONTRAK</v>
      </c>
      <c r="J4065" s="16" t="n">
        <f aca="false" t="array" ref="J4065:J4065">IFERROR(INDEX(AC4065:AE4065,IF(COUNTA(AC4065:AE4065)=0,"",MAX((AC4065:AE4065&lt;&gt;"")*(COLUMN(AC4065:AE4065)-(COLUMN(AC4065)))))-1),"")</f>
        <v>46307</v>
      </c>
      <c r="K4065" s="16" t="n">
        <f aca="false" t="array" ref="K4065:K4065">IFERROR(INDEX(AC4065:AE4065,IF(COUNTA(AC4065:AE4065)=0,"",MAX((AC4065:AE4065&lt;&gt;"")*(COLUMN(AC4065:AE4065)-(COLUMN(AC4065)-1))))-1),"")</f>
        <v>46386</v>
      </c>
      <c r="L4065" s="17" t="str">
        <f aca="false" t="array" ref="L4065:L4065">IFERROR(INDEX(AC4065:AE4065,IF(COUNTA(AC4065:AE4065)=0,"",MAX((AC4065:AE4065&lt;&gt;"")*(COLUMN(AC4065:AE4065)-(COLUMN(AC4065)-2))))-1),"")</f>
        <v>PRINTED</v>
      </c>
      <c r="M4065" s="13" t="n">
        <f aca="true">K4065-TODAY()</f>
        <v>62</v>
      </c>
      <c r="N4065" s="18" t="s">
        <v>728</v>
      </c>
      <c r="O4065" s="13" t="s">
        <v>1738</v>
      </c>
      <c r="P4065" s="26" t="n">
        <v>5444909</v>
      </c>
      <c r="Q4065" s="20" t="s">
        <v>16650</v>
      </c>
      <c r="R4065" s="13" t="s">
        <v>241</v>
      </c>
      <c r="S4065" s="25" t="n">
        <v>37022</v>
      </c>
      <c r="T4065" s="13" t="s">
        <v>108</v>
      </c>
      <c r="U4065" s="13" t="s">
        <v>16651</v>
      </c>
      <c r="V4065" s="13" t="s">
        <v>42</v>
      </c>
      <c r="W4065" s="13" t="s">
        <v>43</v>
      </c>
      <c r="X4065" s="21" t="n">
        <v>85808682831</v>
      </c>
      <c r="Y4065" s="22" t="str">
        <f aca="false">O4065</f>
        <v>IM Operator</v>
      </c>
      <c r="Z4065" s="13" t="str">
        <f aca="false">IFERROR(__xludf.dummyfunction("if(BJ4065="""","""",GOOGLETRANSLATE(BJ4065,""auto"",""en""))"),"IM Operator")</f>
        <v>IM Operator</v>
      </c>
      <c r="AA4065" s="23" t="str">
        <f aca="false">IF(C4065="","", CHOOSE(MONTH(C4065),"January","February","March","April","May","June","July","August","September","October","November","December")&amp;" "&amp;DAY(C4065)&amp;MID("thstndrdth",MIN(9,2*RIGHT(DAY(C4065))*(MOD(DAY(C4065)-11,100)&gt;2)+1),2)&amp;","&amp;TEXT(C4065," yyyy"))</f>
        <v>October 12th,2026</v>
      </c>
      <c r="AB4065" s="15" t="str">
        <f aca="true">IF(S4065="","",DATEDIF(S4065,TODAY(),"Y")&amp;" Tahun, "&amp;DATEDIF(S4065,TODAY(),"YM")&amp;" Bulan, "&amp;DATEDIF(S4065,TODAY(),"MD")&amp;" Hari")</f>
        <v>25 Tahun, 5 Bulan, 18 Hari</v>
      </c>
      <c r="AC4065" s="14" t="n">
        <v>46307</v>
      </c>
      <c r="AD4065" s="18" t="n">
        <v>46386</v>
      </c>
      <c r="AE4065" s="13" t="s">
        <v>1752</v>
      </c>
    </row>
    <row r="4066" customFormat="false" ht="15" hidden="false" customHeight="true" outlineLevel="0" collapsed="false">
      <c r="A4066" s="12" t="n">
        <v>22706</v>
      </c>
      <c r="B4066" s="13" t="s">
        <v>16652</v>
      </c>
      <c r="C4066" s="14" t="n">
        <v>46251</v>
      </c>
      <c r="D4066" s="13" t="s">
        <v>1721</v>
      </c>
      <c r="E4066" s="13" t="s">
        <v>47</v>
      </c>
      <c r="F4066" s="24" t="s">
        <v>16653</v>
      </c>
      <c r="G4066" s="13" t="s">
        <v>1452</v>
      </c>
      <c r="H4066" s="13" t="s">
        <v>35</v>
      </c>
      <c r="I4066" s="13" t="str">
        <f aca="false">IF(C4066=J4066,"NEW KONTRAK","RE-KONTRAK")</f>
        <v>NEW KONTRAK</v>
      </c>
      <c r="J4066" s="16" t="n">
        <f aca="false" t="array" ref="J4066:J4066">IFERROR(INDEX(AC4066:AE4066,IF(COUNTA(AC4066:AE4066)=0,"",MAX((AC4066:AE4066&lt;&gt;"")*(COLUMN(AC4066:AE4066)-(COLUMN(AC4066)))))-1),"")</f>
        <v>46251</v>
      </c>
      <c r="K4066" s="16" t="n">
        <f aca="false" t="array" ref="K4066:K4066">IFERROR(INDEX(AC4066:AE4066,IF(COUNTA(AC4066:AE4066)=0,"",MAX((AC4066:AE4066&lt;&gt;"")*(COLUMN(AC4066:AE4066)-(COLUMN(AC4066)-1))))-1),"")</f>
        <v>46342</v>
      </c>
      <c r="L4066" s="17" t="str">
        <f aca="false" t="array" ref="L4066:L4066">IFERROR(INDEX(AC4066:AE4066,IF(COUNTA(AC4066:AE4066)=0,"",MAX((AC4066:AE4066&lt;&gt;"")*(COLUMN(AC4066:AE4066)-(COLUMN(AC4066)-2))))-1),"")</f>
        <v>KEMBALI</v>
      </c>
      <c r="M4066" s="13" t="n">
        <f aca="true">K4066-TODAY()</f>
        <v>18</v>
      </c>
      <c r="N4066" s="18" t="s">
        <v>728</v>
      </c>
      <c r="O4066" s="13" t="s">
        <v>1822</v>
      </c>
      <c r="P4066" s="26" t="n">
        <v>5444909</v>
      </c>
      <c r="Q4066" s="20" t="s">
        <v>16654</v>
      </c>
      <c r="R4066" s="13" t="s">
        <v>148</v>
      </c>
      <c r="S4066" s="25" t="n">
        <v>37288</v>
      </c>
      <c r="T4066" s="13" t="s">
        <v>108</v>
      </c>
      <c r="U4066" s="13" t="s">
        <v>16655</v>
      </c>
      <c r="V4066" s="13" t="s">
        <v>42</v>
      </c>
      <c r="W4066" s="13" t="s">
        <v>54</v>
      </c>
      <c r="X4066" s="21" t="n">
        <v>81328408321</v>
      </c>
      <c r="Y4066" s="22" t="str">
        <f aca="false">O4066</f>
        <v>Assembling</v>
      </c>
      <c r="Z4066" s="13" t="str">
        <f aca="false">IFERROR(__xludf.dummyfunction("if(BJ4066="""","""",GOOGLETRANSLATE(BJ4066,""auto"",""en""))"),"Assembling")</f>
        <v>Assembling</v>
      </c>
      <c r="AA4066" s="23" t="str">
        <f aca="false">IF(C4066="","", CHOOSE(MONTH(C4066),"January","February","March","April","May","June","July","August","September","October","November","December")&amp;" "&amp;DAY(C4066)&amp;MID("thstndrdth",MIN(9,2*RIGHT(DAY(C4066))*(MOD(DAY(C4066)-11,100)&gt;2)+1),2)&amp;","&amp;TEXT(C4066," yyyy"))</f>
        <v>August 17th,2026</v>
      </c>
      <c r="AB4066" s="15" t="str">
        <f aca="true">IF(S4066="","",DATEDIF(S4066,TODAY(),"Y")&amp;" Tahun, "&amp;DATEDIF(S4066,TODAY(),"YM")&amp;" Bulan, "&amp;DATEDIF(S4066,TODAY(),"MD")&amp;" Hari")</f>
        <v>24 Tahun, 8 Bulan, 28 Hari</v>
      </c>
      <c r="AC4066" s="14" t="n">
        <v>46251</v>
      </c>
      <c r="AD4066" s="18" t="n">
        <f aca="false">EDATE(AC4066,3)-1</f>
        <v>46342</v>
      </c>
      <c r="AE4066" s="13" t="s">
        <v>397</v>
      </c>
    </row>
    <row r="4067" customFormat="false" ht="15" hidden="false" customHeight="true" outlineLevel="0" collapsed="false">
      <c r="A4067" s="12" t="n">
        <v>2221</v>
      </c>
      <c r="B4067" s="13" t="s">
        <v>16656</v>
      </c>
      <c r="C4067" s="14" t="n">
        <v>44563</v>
      </c>
      <c r="D4067" s="13" t="s">
        <v>1721</v>
      </c>
      <c r="E4067" s="15" t="s">
        <v>47</v>
      </c>
      <c r="F4067" s="15" t="str">
        <f aca="false">IFERROR(__xludf.dummyfunction("XLOOKUP(AJ4067,IMPORTRANGE(""1XaInW9DU9nz21V0tYIfzFQ0He9kVQ_JF2mCXgZ3hqFA"",""REKAP ALL 2026 - Andika!G:G""),IMPORTRANGE(""1XaInW9DU9nz21V0tYIfzFQ0He9kVQ_JF2mCXgZ3hqFA"",""REKAP ALL 2026 - Andika!F:F""),"""",0)"),"12043712400")</f>
        <v>12043712400</v>
      </c>
      <c r="G4067" s="13" t="s">
        <v>16657</v>
      </c>
      <c r="H4067" s="13" t="s">
        <v>35</v>
      </c>
      <c r="I4067" s="13" t="str">
        <f aca="false">IF(C4067=J4067,"NEW KONTRAK","RE-KONTRAK")</f>
        <v>RE-KONTRAK</v>
      </c>
      <c r="J4067" s="16" t="n">
        <f aca="false" t="array" ref="J4067:J4067">IFERROR(INDEX(AC4067:AE4067,IF(COUNTA(AC4067:AE4067)=0,"",MAX((AC4067:AE4067&lt;&gt;"")*(COLUMN(AC4067:AE4067)-(COLUMN(AC4067)))))-1),"")</f>
        <v>45659</v>
      </c>
      <c r="K4067" s="16" t="n">
        <f aca="false" t="array" ref="K4067:K4067">IFERROR(INDEX(AC4067:AE4067,IF(COUNTA(AC4067:AE4067)=0,"",MAX((AC4067:AE4067&lt;&gt;"")*(COLUMN(AC4067:AE4067)-(COLUMN(AC4067)-1))))-1),"")</f>
        <v>46015</v>
      </c>
      <c r="L4067" s="17" t="str">
        <f aca="false" t="array" ref="L4067:L4067">IFERROR(INDEX(AC4067:AE4067,IF(COUNTA(AC4067:AE4067)=0,"",MAX((AC4067:AE4067&lt;&gt;"")*(COLUMN(AC4067:AE4067)-(COLUMN(AC4067)-2))))-1),"")</f>
        <v>ARCHIVED</v>
      </c>
      <c r="M4067" s="13" t="n">
        <f aca="true">K4067-TODAY()</f>
        <v>-309</v>
      </c>
      <c r="N4067" s="18" t="s">
        <v>728</v>
      </c>
      <c r="O4067" s="13" t="s">
        <v>1765</v>
      </c>
      <c r="P4067" s="19" t="n">
        <v>5444909</v>
      </c>
      <c r="Q4067" s="20" t="s">
        <v>16658</v>
      </c>
      <c r="R4067" s="13" t="s">
        <v>78</v>
      </c>
      <c r="S4067" s="14" t="n">
        <v>33911</v>
      </c>
      <c r="T4067" s="13" t="s">
        <v>108</v>
      </c>
      <c r="U4067" s="13" t="s">
        <v>16659</v>
      </c>
      <c r="V4067" s="13" t="s">
        <v>42</v>
      </c>
      <c r="W4067" s="13" t="s">
        <v>43</v>
      </c>
      <c r="X4067" s="21" t="n">
        <v>85706476650</v>
      </c>
      <c r="Y4067" s="22" t="str">
        <f aca="false">O4067</f>
        <v>Assy Operator</v>
      </c>
      <c r="Z4067" s="13" t="str">
        <f aca="false">IFERROR(__xludf.dummyfunction("if(BJ4067="""","""",GOOGLETRANSLATE(BJ4067,""auto"",""en""))"),"Assy Operator")</f>
        <v>Assy Operator</v>
      </c>
      <c r="AA4067" s="23" t="str">
        <f aca="false">IF(C4067="","", CHOOSE(MONTH(C4067),"January","February","March","April","May","June","July","August","September","October","November","December")&amp;" "&amp;DAY(C4067)&amp;MID("thstndrdth",MIN(9,2*RIGHT(DAY(C4067))*(MOD(DAY(C4067)-11,100)&gt;2)+1),2)&amp;","&amp;TEXT(C4067," yyyy"))</f>
        <v>January 2nd,2022</v>
      </c>
      <c r="AB4067" s="15" t="str">
        <f aca="true">IF(S4067="","",DATEDIF(S4067,TODAY(),"Y")&amp;" Tahun, "&amp;DATEDIF(S4067,TODAY(),"YM")&amp;" Bulan, "&amp;DATEDIF(S4067,TODAY(),"MD")&amp;" Hari")</f>
        <v>33 Tahun, 11 Bulan, 26 Hari</v>
      </c>
      <c r="AC4067" s="18" t="n">
        <v>45659</v>
      </c>
      <c r="AD4067" s="18" t="n">
        <v>46015</v>
      </c>
      <c r="AE4067" s="18" t="s">
        <v>44</v>
      </c>
    </row>
    <row r="4068" customFormat="false" ht="15" hidden="false" customHeight="true" outlineLevel="0" collapsed="false">
      <c r="A4068" s="12" t="n">
        <v>21686</v>
      </c>
      <c r="B4068" s="13" t="s">
        <v>16660</v>
      </c>
      <c r="C4068" s="16" t="n">
        <v>46024</v>
      </c>
      <c r="D4068" s="13" t="s">
        <v>1721</v>
      </c>
      <c r="E4068" s="15" t="s">
        <v>47</v>
      </c>
      <c r="F4068" s="15" t="str">
        <f aca="false">IFERROR(__xludf.dummyfunction("XLOOKUP(AJ4068,IMPORTRANGE(""1XaInW9DU9nz21V0tYIfzFQ0He9kVQ_JF2mCXgZ3hqFA"",""REKAP ALL 2026 - Andika!G:G""),IMPORTRANGE(""1XaInW9DU9nz21V0tYIfzFQ0He9kVQ_JF2mCXgZ3hqFA"",""REKAP ALL 2026 - Andika!F:F""),"""",0)"),"26020754573")</f>
        <v>26020754573</v>
      </c>
      <c r="G4068" s="28" t="s">
        <v>57</v>
      </c>
      <c r="H4068" s="13" t="s">
        <v>35</v>
      </c>
      <c r="I4068" s="13" t="str">
        <f aca="false">IF(C4068=J4068,"NEW KONTRAK","RE-KONTRAK")</f>
        <v>NEW KONTRAK</v>
      </c>
      <c r="J4068" s="16" t="n">
        <f aca="false" t="array" ref="J4068:J4068">IFERROR(INDEX(AC4068:AE4068,IF(COUNTA(AC4068:AE4068)=0,"",MAX((AC4068:AE4068&lt;&gt;"")*(COLUMN(AC4068:AE4068)-(COLUMN(AC4068)))))-1),"")</f>
        <v>46024</v>
      </c>
      <c r="K4068" s="16" t="n">
        <f aca="false" t="array" ref="K4068:K4068">IFERROR(INDEX(AC4068:AE4068,IF(COUNTA(AC4068:AE4068)=0,"",MAX((AC4068:AE4068&lt;&gt;"")*(COLUMN(AC4068:AE4068)-(COLUMN(AC4068)-1))))-1),"")</f>
        <v>46113</v>
      </c>
      <c r="L4068" s="17" t="str">
        <f aca="false" t="array" ref="L4068:L4068">IFERROR(INDEX(AC4068:AE4068,IF(COUNTA(AC4068:AE4068)=0,"",MAX((AC4068:AE4068&lt;&gt;"")*(COLUMN(AC4068:AE4068)-(COLUMN(AC4068)-2))))-1),"")</f>
        <v>ARCHIVED</v>
      </c>
      <c r="M4068" s="13" t="n">
        <f aca="true">K4068-TODAY()</f>
        <v>-211</v>
      </c>
      <c r="N4068" s="18" t="s">
        <v>728</v>
      </c>
      <c r="O4068" s="13" t="s">
        <v>1755</v>
      </c>
      <c r="P4068" s="19" t="n">
        <v>5444909</v>
      </c>
      <c r="Q4068" s="47" t="s">
        <v>16661</v>
      </c>
      <c r="R4068" s="13" t="s">
        <v>39</v>
      </c>
      <c r="S4068" s="16" t="n">
        <v>37969</v>
      </c>
      <c r="T4068" s="13" t="s">
        <v>108</v>
      </c>
      <c r="U4068" s="13" t="s">
        <v>16662</v>
      </c>
      <c r="V4068" s="13" t="s">
        <v>42</v>
      </c>
      <c r="W4068" s="13" t="s">
        <v>43</v>
      </c>
      <c r="X4068" s="21" t="s">
        <v>16663</v>
      </c>
      <c r="Y4068" s="22" t="str">
        <f aca="false">O4068</f>
        <v>Im.Operator</v>
      </c>
      <c r="Z4068" s="13" t="str">
        <f aca="false">IFERROR(__xludf.dummyfunction("if(BJ4068="""","""",GOOGLETRANSLATE(BJ4068,""auto"",""en""))"),"Im.Operator")</f>
        <v>Im.Operator</v>
      </c>
      <c r="AA4068" s="23" t="str">
        <f aca="false">IF(C4068="","", CHOOSE(MONTH(C4068),"January","February","March","April","May","June","July","August","September","October","November","December")&amp;" "&amp;DAY(C4068)&amp;MID("thstndrdth",MIN(9,2*RIGHT(DAY(C4068))*(MOD(DAY(C4068)-11,100)&gt;2)+1),2)&amp;","&amp;TEXT(C4068," yyyy"))</f>
        <v>January 2nd,2026</v>
      </c>
      <c r="AB4068" s="15" t="str">
        <f aca="true">IF(S4068="","",DATEDIF(S4068,TODAY(),"Y")&amp;" Tahun, "&amp;DATEDIF(S4068,TODAY(),"YM")&amp;" Bulan, "&amp;DATEDIF(S4068,TODAY(),"MD")&amp;" Hari")</f>
        <v>22 Tahun, 10 Bulan, 15 Hari</v>
      </c>
      <c r="AC4068" s="18" t="n">
        <v>46024</v>
      </c>
      <c r="AD4068" s="18" t="n">
        <f aca="false">EDATE(AC4068,3)-1</f>
        <v>46113</v>
      </c>
      <c r="AE4068" s="18" t="s">
        <v>44</v>
      </c>
    </row>
    <row r="4069" customFormat="false" ht="15" hidden="false" customHeight="true" outlineLevel="0" collapsed="false">
      <c r="A4069" s="12" t="n">
        <v>2223</v>
      </c>
      <c r="B4069" s="13" t="s">
        <v>16664</v>
      </c>
      <c r="C4069" s="14" t="n">
        <v>43145</v>
      </c>
      <c r="D4069" s="13" t="s">
        <v>1721</v>
      </c>
      <c r="E4069" s="15" t="s">
        <v>47</v>
      </c>
      <c r="F4069" s="15" t="str">
        <f aca="false">IFERROR(__xludf.dummyfunction("XLOOKUP(AJ4069,IMPORTRANGE(""1XaInW9DU9nz21V0tYIfzFQ0He9kVQ_JF2mCXgZ3hqFA"",""REKAP ALL 2026 - Andika!G:G""),IMPORTRANGE(""1XaInW9DU9nz21V0tYIfzFQ0He9kVQ_JF2mCXgZ3hqFA"",""REKAP ALL 2026 - Andika!F:F""),"""",0)"),"21046022881")</f>
        <v>21046022881</v>
      </c>
      <c r="G4069" s="13" t="s">
        <v>16665</v>
      </c>
      <c r="H4069" s="13" t="s">
        <v>35</v>
      </c>
      <c r="I4069" s="13" t="str">
        <f aca="false">IF(C4069=J4069,"NEW KONTRAK","RE-KONTRAK")</f>
        <v>RE-KONTRAK</v>
      </c>
      <c r="J4069" s="16" t="n">
        <f aca="false" t="array" ref="J4069:J4069">IFERROR(INDEX(AC4069:AE4069,IF(COUNTA(AC4069:AE4069)=0,"",MAX((AC4069:AE4069&lt;&gt;"")*(COLUMN(AC4069:AE4069)-(COLUMN(AC4069)))))-1),"")</f>
        <v>45659</v>
      </c>
      <c r="K4069" s="16" t="n">
        <f aca="false" t="array" ref="K4069:K4069">IFERROR(INDEX(AC4069:AE4069,IF(COUNTA(AC4069:AE4069)=0,"",MAX((AC4069:AE4069&lt;&gt;"")*(COLUMN(AC4069:AE4069)-(COLUMN(AC4069)-1))))-1),"")</f>
        <v>46015</v>
      </c>
      <c r="L4069" s="17" t="str">
        <f aca="false" t="array" ref="L4069:L4069">IFERROR(INDEX(AC4069:AE4069,IF(COUNTA(AC4069:AE4069)=0,"",MAX((AC4069:AE4069&lt;&gt;"")*(COLUMN(AC4069:AE4069)-(COLUMN(AC4069)-2))))-1),"")</f>
        <v>ARCHIVED</v>
      </c>
      <c r="M4069" s="13" t="n">
        <f aca="true">K4069-TODAY()</f>
        <v>-309</v>
      </c>
      <c r="N4069" s="18" t="s">
        <v>728</v>
      </c>
      <c r="O4069" s="13" t="s">
        <v>1914</v>
      </c>
      <c r="P4069" s="19" t="n">
        <v>5444909</v>
      </c>
      <c r="Q4069" s="20" t="s">
        <v>16666</v>
      </c>
      <c r="R4069" s="13" t="s">
        <v>241</v>
      </c>
      <c r="S4069" s="14" t="n">
        <v>33751</v>
      </c>
      <c r="T4069" s="13" t="s">
        <v>108</v>
      </c>
      <c r="U4069" s="13" t="s">
        <v>16667</v>
      </c>
      <c r="V4069" s="13" t="s">
        <v>42</v>
      </c>
      <c r="W4069" s="13" t="s">
        <v>897</v>
      </c>
      <c r="X4069" s="21" t="n">
        <v>87701995475</v>
      </c>
      <c r="Y4069" s="22" t="str">
        <f aca="false">O4069</f>
        <v>Im Operator</v>
      </c>
      <c r="Z4069" s="13" t="str">
        <f aca="false">IFERROR(__xludf.dummyfunction("if(BJ4069="""","""",GOOGLETRANSLATE(BJ4069,""auto"",""en""))"),"Im Operator")</f>
        <v>Im Operator</v>
      </c>
      <c r="AA4069" s="23" t="str">
        <f aca="false">IF(C4069="","", CHOOSE(MONTH(C4069),"January","February","March","April","May","June","July","August","September","October","November","December")&amp;" "&amp;DAY(C4069)&amp;MID("thstndrdth",MIN(9,2*RIGHT(DAY(C4069))*(MOD(DAY(C4069)-11,100)&gt;2)+1),2)&amp;","&amp;TEXT(C4069," yyyy"))</f>
        <v>February 14th,2018</v>
      </c>
      <c r="AB4069" s="15" t="str">
        <f aca="true">IF(S4069="","",DATEDIF(S4069,TODAY(),"Y")&amp;" Tahun, "&amp;DATEDIF(S4069,TODAY(),"YM")&amp;" Bulan, "&amp;DATEDIF(S4069,TODAY(),"MD")&amp;" Hari")</f>
        <v>34 Tahun, 5 Bulan, 2 Hari</v>
      </c>
      <c r="AC4069" s="18" t="n">
        <v>45659</v>
      </c>
      <c r="AD4069" s="18" t="n">
        <v>46015</v>
      </c>
      <c r="AE4069" s="18" t="s">
        <v>44</v>
      </c>
    </row>
    <row r="4070" customFormat="false" ht="15" hidden="false" customHeight="true" outlineLevel="0" collapsed="false">
      <c r="A4070" s="12" t="n">
        <v>22991</v>
      </c>
      <c r="B4070" s="13" t="s">
        <v>16668</v>
      </c>
      <c r="C4070" s="14" t="n">
        <v>46307</v>
      </c>
      <c r="D4070" s="13" t="s">
        <v>1721</v>
      </c>
      <c r="E4070" s="13" t="s">
        <v>47</v>
      </c>
      <c r="F4070" s="24" t="s">
        <v>16669</v>
      </c>
      <c r="G4070" s="13" t="s">
        <v>1127</v>
      </c>
      <c r="H4070" s="13" t="s">
        <v>35</v>
      </c>
      <c r="I4070" s="13" t="str">
        <f aca="false">IF(C4070=J4070,"NEW KONTRAK","RE-KONTRAK")</f>
        <v>NEW KONTRAK</v>
      </c>
      <c r="J4070" s="16" t="n">
        <f aca="false" t="array" ref="J4070:J4070">IFERROR(INDEX(AC4070:AE4070,IF(COUNTA(AC4070:AE4070)=0,"",MAX((AC4070:AE4070&lt;&gt;"")*(COLUMN(AC4070:AE4070)-(COLUMN(AC4070)))))-1),"")</f>
        <v>46307</v>
      </c>
      <c r="K4070" s="16" t="n">
        <f aca="false" t="array" ref="K4070:K4070">IFERROR(INDEX(AC4070:AE4070,IF(COUNTA(AC4070:AE4070)=0,"",MAX((AC4070:AE4070&lt;&gt;"")*(COLUMN(AC4070:AE4070)-(COLUMN(AC4070)-1))))-1),"")</f>
        <v>46386</v>
      </c>
      <c r="L4070" s="17" t="str">
        <f aca="false" t="array" ref="L4070:L4070">IFERROR(INDEX(AC4070:AE4070,IF(COUNTA(AC4070:AE4070)=0,"",MAX((AC4070:AE4070&lt;&gt;"")*(COLUMN(AC4070:AE4070)-(COLUMN(AC4070)-2))))-1),"")</f>
        <v>PRINTED</v>
      </c>
      <c r="M4070" s="13" t="n">
        <f aca="true">K4070-TODAY()</f>
        <v>62</v>
      </c>
      <c r="N4070" s="18" t="s">
        <v>728</v>
      </c>
      <c r="O4070" s="13" t="s">
        <v>1738</v>
      </c>
      <c r="P4070" s="26" t="n">
        <v>5444909</v>
      </c>
      <c r="Q4070" s="20" t="s">
        <v>16670</v>
      </c>
      <c r="R4070" s="13" t="s">
        <v>52</v>
      </c>
      <c r="S4070" s="25" t="n">
        <v>36827</v>
      </c>
      <c r="T4070" s="13" t="s">
        <v>108</v>
      </c>
      <c r="U4070" s="13" t="s">
        <v>16671</v>
      </c>
      <c r="V4070" s="13" t="s">
        <v>42</v>
      </c>
      <c r="W4070" s="13" t="s">
        <v>43</v>
      </c>
      <c r="X4070" s="21" t="n">
        <v>81333690790</v>
      </c>
      <c r="Y4070" s="22" t="str">
        <f aca="false">O4070</f>
        <v>IM Operator</v>
      </c>
      <c r="Z4070" s="13" t="str">
        <f aca="false">IFERROR(__xludf.dummyfunction("if(BJ4070="""","""",GOOGLETRANSLATE(BJ4070,""auto"",""en""))"),"IM Operator")</f>
        <v>IM Operator</v>
      </c>
      <c r="AA4070" s="23" t="str">
        <f aca="false">IF(C4070="","", CHOOSE(MONTH(C4070),"January","February","March","April","May","June","July","August","September","October","November","December")&amp;" "&amp;DAY(C4070)&amp;MID("thstndrdth",MIN(9,2*RIGHT(DAY(C4070))*(MOD(DAY(C4070)-11,100)&gt;2)+1),2)&amp;","&amp;TEXT(C4070," yyyy"))</f>
        <v>October 12th,2026</v>
      </c>
      <c r="AB4070" s="15" t="str">
        <f aca="true">IF(S4070="","",DATEDIF(S4070,TODAY(),"Y")&amp;" Tahun, "&amp;DATEDIF(S4070,TODAY(),"YM")&amp;" Bulan, "&amp;DATEDIF(S4070,TODAY(),"MD")&amp;" Hari")</f>
        <v>26 Tahun, 0 Bulan, 1 Hari</v>
      </c>
      <c r="AC4070" s="14" t="n">
        <v>46307</v>
      </c>
      <c r="AD4070" s="18" t="n">
        <v>46386</v>
      </c>
      <c r="AE4070" s="13" t="s">
        <v>1752</v>
      </c>
    </row>
    <row r="4071" customFormat="false" ht="15" hidden="false" customHeight="true" outlineLevel="0" collapsed="false">
      <c r="A4071" s="12" t="n">
        <v>22718</v>
      </c>
      <c r="B4071" s="13" t="s">
        <v>16672</v>
      </c>
      <c r="C4071" s="14" t="n">
        <v>46251</v>
      </c>
      <c r="D4071" s="13" t="s">
        <v>1721</v>
      </c>
      <c r="E4071" s="13" t="s">
        <v>47</v>
      </c>
      <c r="F4071" s="24" t="s">
        <v>16673</v>
      </c>
      <c r="G4071" s="13" t="s">
        <v>1452</v>
      </c>
      <c r="H4071" s="13" t="s">
        <v>35</v>
      </c>
      <c r="I4071" s="13" t="str">
        <f aca="false">IF(C4071=J4071,"NEW KONTRAK","RE-KONTRAK")</f>
        <v>NEW KONTRAK</v>
      </c>
      <c r="J4071" s="16" t="n">
        <f aca="false" t="array" ref="J4071:J4071">IFERROR(INDEX(AC4071:AE4071,IF(COUNTA(AC4071:AE4071)=0,"",MAX((AC4071:AE4071&lt;&gt;"")*(COLUMN(AC4071:AE4071)-(COLUMN(AC4071)))))-1),"")</f>
        <v>46251</v>
      </c>
      <c r="K4071" s="16" t="n">
        <f aca="false" t="array" ref="K4071:K4071">IFERROR(INDEX(AC4071:AE4071,IF(COUNTA(AC4071:AE4071)=0,"",MAX((AC4071:AE4071&lt;&gt;"")*(COLUMN(AC4071:AE4071)-(COLUMN(AC4071)-1))))-1),"")</f>
        <v>46342</v>
      </c>
      <c r="L4071" s="17" t="str">
        <f aca="false" t="array" ref="L4071:L4071">IFERROR(INDEX(AC4071:AE4071,IF(COUNTA(AC4071:AE4071)=0,"",MAX((AC4071:AE4071&lt;&gt;"")*(COLUMN(AC4071:AE4071)-(COLUMN(AC4071)-2))))-1),"")</f>
        <v>KEMBALI</v>
      </c>
      <c r="M4071" s="13" t="n">
        <f aca="true">K4071-TODAY()</f>
        <v>18</v>
      </c>
      <c r="N4071" s="18" t="s">
        <v>728</v>
      </c>
      <c r="O4071" s="13" t="s">
        <v>1905</v>
      </c>
      <c r="P4071" s="26" t="n">
        <v>5444909</v>
      </c>
      <c r="Q4071" s="20" t="s">
        <v>16674</v>
      </c>
      <c r="R4071" s="13" t="s">
        <v>260</v>
      </c>
      <c r="S4071" s="25" t="n">
        <v>36558</v>
      </c>
      <c r="T4071" s="13" t="s">
        <v>40</v>
      </c>
      <c r="U4071" s="13" t="s">
        <v>16675</v>
      </c>
      <c r="V4071" s="13" t="s">
        <v>42</v>
      </c>
      <c r="W4071" s="13" t="s">
        <v>54</v>
      </c>
      <c r="X4071" s="21" t="n">
        <v>85791244352</v>
      </c>
      <c r="Y4071" s="22" t="str">
        <f aca="false">O4071</f>
        <v>Mpc</v>
      </c>
      <c r="Z4071" s="13" t="str">
        <f aca="false">IFERROR(__xludf.dummyfunction("if(BJ4071="""","""",GOOGLETRANSLATE(BJ4071,""auto"",""en""))"),"Mpc")</f>
        <v>Mpc</v>
      </c>
      <c r="AA4071" s="23" t="str">
        <f aca="false">IF(C4071="","", CHOOSE(MONTH(C4071),"January","February","March","April","May","June","July","August","September","October","November","December")&amp;" "&amp;DAY(C4071)&amp;MID("thstndrdth",MIN(9,2*RIGHT(DAY(C4071))*(MOD(DAY(C4071)-11,100)&gt;2)+1),2)&amp;","&amp;TEXT(C4071," yyyy"))</f>
        <v>August 17th,2026</v>
      </c>
      <c r="AB4071" s="15" t="str">
        <f aca="true">IF(S4071="","",DATEDIF(S4071,TODAY(),"Y")&amp;" Tahun, "&amp;DATEDIF(S4071,TODAY(),"YM")&amp;" Bulan, "&amp;DATEDIF(S4071,TODAY(),"MD")&amp;" Hari")</f>
        <v>26 Tahun, 8 Bulan, 27 Hari</v>
      </c>
      <c r="AC4071" s="14" t="n">
        <v>46251</v>
      </c>
      <c r="AD4071" s="18" t="n">
        <f aca="false">EDATE(AC4071,3)-1</f>
        <v>46342</v>
      </c>
      <c r="AE4071" s="13" t="s">
        <v>397</v>
      </c>
    </row>
    <row r="4072" customFormat="false" ht="15" hidden="false" customHeight="true" outlineLevel="0" collapsed="false">
      <c r="A4072" s="12" t="n">
        <v>15635</v>
      </c>
      <c r="B4072" s="13" t="s">
        <v>16676</v>
      </c>
      <c r="C4072" s="14" t="n">
        <v>45446</v>
      </c>
      <c r="D4072" s="13" t="s">
        <v>1721</v>
      </c>
      <c r="E4072" s="15" t="s">
        <v>47</v>
      </c>
      <c r="F4072" s="15" t="str">
        <f aca="false">IFERROR(__xludf.dummyfunction("XLOOKUP(AJ4072,IMPORTRANGE(""1XaInW9DU9nz21V0tYIfzFQ0He9kVQ_JF2mCXgZ3hqFA"",""REKAP ALL 2026 - Andika!G:G""),IMPORTRANGE(""1XaInW9DU9nz21V0tYIfzFQ0He9kVQ_JF2mCXgZ3hqFA"",""REKAP ALL 2026 - Andika!F:F""),"""",0)"),"24091262337")</f>
        <v>24091262337</v>
      </c>
      <c r="G4072" s="15" t="s">
        <v>16677</v>
      </c>
      <c r="H4072" s="13" t="s">
        <v>35</v>
      </c>
      <c r="I4072" s="13" t="str">
        <f aca="false">IF(C4072=J4072,"NEW KONTRAK","RE-KONTRAK")</f>
        <v>RE-KONTRAK</v>
      </c>
      <c r="J4072" s="16" t="n">
        <f aca="false" t="array" ref="J4072:J4072">IFERROR(INDEX(AC4072:AE4072,IF(COUNTA(AC4072:AE4072)=0,"",MAX((AC4072:AE4072&lt;&gt;"")*(COLUMN(AC4072:AE4072)-(COLUMN(AC4072)))))-1),"")</f>
        <v>45659</v>
      </c>
      <c r="K4072" s="16" t="n">
        <f aca="false" t="array" ref="K4072:K4072">IFERROR(INDEX(AC4072:AE4072,IF(COUNTA(AC4072:AE4072)=0,"",MAX((AC4072:AE4072&lt;&gt;"")*(COLUMN(AC4072:AE4072)-(COLUMN(AC4072)-1))))-1),"")</f>
        <v>46015</v>
      </c>
      <c r="L4072" s="17" t="str">
        <f aca="false" t="array" ref="L4072:L4072">IFERROR(INDEX(AC4072:AE4072,IF(COUNTA(AC4072:AE4072)=0,"",MAX((AC4072:AE4072&lt;&gt;"")*(COLUMN(AC4072:AE4072)-(COLUMN(AC4072)-2))))-1),"")</f>
        <v>ARCHIVED</v>
      </c>
      <c r="M4072" s="13" t="n">
        <f aca="true">K4072-TODAY()</f>
        <v>-309</v>
      </c>
      <c r="N4072" s="18" t="s">
        <v>728</v>
      </c>
      <c r="O4072" s="13" t="s">
        <v>1870</v>
      </c>
      <c r="P4072" s="19" t="n">
        <v>5444909</v>
      </c>
      <c r="Q4072" s="20" t="s">
        <v>16678</v>
      </c>
      <c r="R4072" s="13" t="s">
        <v>39</v>
      </c>
      <c r="S4072" s="14" t="n">
        <v>36162</v>
      </c>
      <c r="T4072" s="13" t="s">
        <v>108</v>
      </c>
      <c r="U4072" s="13" t="s">
        <v>16679</v>
      </c>
      <c r="V4072" s="13" t="s">
        <v>42</v>
      </c>
      <c r="W4072" s="13" t="s">
        <v>43</v>
      </c>
      <c r="X4072" s="21" t="n">
        <v>89676801320</v>
      </c>
      <c r="Y4072" s="22" t="str">
        <f aca="false">O4072</f>
        <v>Bm Operator</v>
      </c>
      <c r="Z4072" s="13" t="str">
        <f aca="false">IFERROR(__xludf.dummyfunction("if(BJ4072="""","""",GOOGLETRANSLATE(BJ4072,""auto"",""en""))"),"Bm Operator")</f>
        <v>Bm Operator</v>
      </c>
      <c r="AA4072" s="23" t="str">
        <f aca="false">IF(C4072="","", CHOOSE(MONTH(C4072),"January","February","March","April","May","June","July","August","September","October","November","December")&amp;" "&amp;DAY(C4072)&amp;MID("thstndrdth",MIN(9,2*RIGHT(DAY(C4072))*(MOD(DAY(C4072)-11,100)&gt;2)+1),2)&amp;","&amp;TEXT(C4072," yyyy"))</f>
        <v>June 3rd,2024</v>
      </c>
      <c r="AB4072" s="15" t="str">
        <f aca="true">IF(S4072="","",DATEDIF(S4072,TODAY(),"Y")&amp;" Tahun, "&amp;DATEDIF(S4072,TODAY(),"YM")&amp;" Bulan, "&amp;DATEDIF(S4072,TODAY(),"MD")&amp;" Hari")</f>
        <v>27 Tahun, 9 Bulan, 27 Hari</v>
      </c>
      <c r="AC4072" s="18" t="n">
        <v>45659</v>
      </c>
      <c r="AD4072" s="18" t="n">
        <v>46015</v>
      </c>
      <c r="AE4072" s="18" t="s">
        <v>44</v>
      </c>
    </row>
    <row r="4073" customFormat="false" ht="15" hidden="false" customHeight="true" outlineLevel="0" collapsed="false">
      <c r="A4073" s="12" t="n">
        <v>22837</v>
      </c>
      <c r="B4073" s="13" t="s">
        <v>16680</v>
      </c>
      <c r="C4073" s="14" t="n">
        <v>46279</v>
      </c>
      <c r="D4073" s="13" t="s">
        <v>1721</v>
      </c>
      <c r="E4073" s="13" t="s">
        <v>47</v>
      </c>
      <c r="F4073" s="24" t="s">
        <v>16681</v>
      </c>
      <c r="G4073" s="13" t="s">
        <v>1452</v>
      </c>
      <c r="H4073" s="13" t="s">
        <v>35</v>
      </c>
      <c r="I4073" s="13" t="str">
        <f aca="false">IF(C4073=J4073,"NEW KONTRAK","RE-KONTRAK")</f>
        <v>NEW KONTRAK</v>
      </c>
      <c r="J4073" s="16" t="n">
        <f aca="false" t="array" ref="J4073:J4073">IFERROR(INDEX(AC4073:AE4073,IF(COUNTA(AC4073:AE4073)=0,"",MAX((AC4073:AE4073&lt;&gt;"")*(COLUMN(AC4073:AE4073)-(COLUMN(AC4073)))))-1),"")</f>
        <v>46279</v>
      </c>
      <c r="K4073" s="16" t="n">
        <f aca="false" t="array" ref="K4073:K4073">IFERROR(INDEX(AC4073:AE4073,IF(COUNTA(AC4073:AE4073)=0,"",MAX((AC4073:AE4073&lt;&gt;"")*(COLUMN(AC4073:AE4073)-(COLUMN(AC4073)-1))))-1),"")</f>
        <v>46386</v>
      </c>
      <c r="L4073" s="17" t="str">
        <f aca="false" t="array" ref="L4073:L4073">IFERROR(INDEX(AC4073:AE4073,IF(COUNTA(AC4073:AE4073)=0,"",MAX((AC4073:AE4073&lt;&gt;"")*(COLUMN(AC4073:AE4073)-(COLUMN(AC4073)-2))))-1),"")</f>
        <v>ARCHIVED</v>
      </c>
      <c r="M4073" s="13" t="n">
        <f aca="true">K4073-TODAY()</f>
        <v>62</v>
      </c>
      <c r="N4073" s="18" t="s">
        <v>728</v>
      </c>
      <c r="O4073" s="13" t="s">
        <v>1755</v>
      </c>
      <c r="P4073" s="26" t="n">
        <v>5444909</v>
      </c>
      <c r="Q4073" s="20" t="s">
        <v>16682</v>
      </c>
      <c r="R4073" s="48" t="s">
        <v>255</v>
      </c>
      <c r="S4073" s="25" t="n">
        <v>33239</v>
      </c>
      <c r="T4073" s="13" t="s">
        <v>108</v>
      </c>
      <c r="U4073" s="13" t="s">
        <v>16683</v>
      </c>
      <c r="V4073" s="13" t="s">
        <v>42</v>
      </c>
      <c r="W4073" s="28" t="s">
        <v>54</v>
      </c>
      <c r="X4073" s="21" t="n">
        <v>8978268877</v>
      </c>
      <c r="Y4073" s="22" t="str">
        <f aca="false">O4073</f>
        <v>Im.Operator</v>
      </c>
      <c r="Z4073" s="13" t="str">
        <f aca="false">IFERROR(__xludf.dummyfunction("if(BJ4073="""","""",GOOGLETRANSLATE(BJ4073,""auto"",""en""))"),"Im.Operator")</f>
        <v>Im.Operator</v>
      </c>
      <c r="AA4073" s="23" t="str">
        <f aca="false">IF(C4073="","", CHOOSE(MONTH(C4073),"January","February","March","April","May","June","July","August","September","October","November","December")&amp;" "&amp;DAY(C4073)&amp;MID("thstndrdth",MIN(9,2*RIGHT(DAY(C4073))*(MOD(DAY(C4073)-11,100)&gt;2)+1),2)&amp;","&amp;TEXT(C4073," yyyy"))</f>
        <v>September 14th,2026</v>
      </c>
      <c r="AB4073" s="15" t="str">
        <f aca="true">IF(S4073="","",DATEDIF(S4073,TODAY(),"Y")&amp;" Tahun, "&amp;DATEDIF(S4073,TODAY(),"YM")&amp;" Bulan, "&amp;DATEDIF(S4073,TODAY(),"MD")&amp;" Hari")</f>
        <v>35 Tahun, 9 Bulan, 28 Hari</v>
      </c>
      <c r="AC4073" s="14" t="n">
        <v>46279</v>
      </c>
      <c r="AD4073" s="18" t="n">
        <v>46386</v>
      </c>
      <c r="AE4073" s="13" t="s">
        <v>44</v>
      </c>
    </row>
    <row r="4074" customFormat="false" ht="15" hidden="false" customHeight="true" outlineLevel="0" collapsed="false">
      <c r="A4074" s="12" t="n">
        <v>2226</v>
      </c>
      <c r="B4074" s="13" t="s">
        <v>16684</v>
      </c>
      <c r="C4074" s="14" t="n">
        <v>42961</v>
      </c>
      <c r="D4074" s="13" t="s">
        <v>1721</v>
      </c>
      <c r="E4074" s="15" t="s">
        <v>47</v>
      </c>
      <c r="F4074" s="15" t="str">
        <f aca="false">IFERROR(__xludf.dummyfunction("XLOOKUP(AJ4074,IMPORTRANGE(""1XaInW9DU9nz21V0tYIfzFQ0He9kVQ_JF2mCXgZ3hqFA"",""REKAP ALL 2026 - Andika!G:G""),IMPORTRANGE(""1XaInW9DU9nz21V0tYIfzFQ0He9kVQ_JF2mCXgZ3hqFA"",""REKAP ALL 2026 - Andika!F:F""),"""",0)"),"13008825393")</f>
        <v>13008825393</v>
      </c>
      <c r="G4074" s="13" t="s">
        <v>16685</v>
      </c>
      <c r="H4074" s="13" t="s">
        <v>35</v>
      </c>
      <c r="I4074" s="13" t="str">
        <f aca="false">IF(C4074=J4074,"NEW KONTRAK","RE-KONTRAK")</f>
        <v>RE-KONTRAK</v>
      </c>
      <c r="J4074" s="16" t="n">
        <f aca="false" t="array" ref="J4074:J4074">IFERROR(INDEX(AC4074:AE4074,IF(COUNTA(AC4074:AE4074)=0,"",MAX((AC4074:AE4074&lt;&gt;"")*(COLUMN(AC4074:AE4074)-(COLUMN(AC4074)))))-1),"")</f>
        <v>45659</v>
      </c>
      <c r="K4074" s="16" t="n">
        <f aca="false" t="array" ref="K4074:K4074">IFERROR(INDEX(AC4074:AE4074,IF(COUNTA(AC4074:AE4074)=0,"",MAX((AC4074:AE4074&lt;&gt;"")*(COLUMN(AC4074:AE4074)-(COLUMN(AC4074)-1))))-1),"")</f>
        <v>46015</v>
      </c>
      <c r="L4074" s="17" t="str">
        <f aca="false" t="array" ref="L4074:L4074">IFERROR(INDEX(AC4074:AE4074,IF(COUNTA(AC4074:AE4074)=0,"",MAX((AC4074:AE4074&lt;&gt;"")*(COLUMN(AC4074:AE4074)-(COLUMN(AC4074)-2))))-1),"")</f>
        <v>ARCHIVED</v>
      </c>
      <c r="M4074" s="13" t="n">
        <f aca="true">K4074-TODAY()</f>
        <v>-309</v>
      </c>
      <c r="N4074" s="18" t="s">
        <v>728</v>
      </c>
      <c r="O4074" s="13" t="s">
        <v>1765</v>
      </c>
      <c r="P4074" s="19" t="n">
        <v>5444909</v>
      </c>
      <c r="Q4074" s="20" t="s">
        <v>16686</v>
      </c>
      <c r="R4074" s="13" t="s">
        <v>52</v>
      </c>
      <c r="S4074" s="14" t="n">
        <v>34379</v>
      </c>
      <c r="T4074" s="13" t="s">
        <v>108</v>
      </c>
      <c r="U4074" s="13" t="s">
        <v>16687</v>
      </c>
      <c r="V4074" s="13" t="s">
        <v>42</v>
      </c>
      <c r="W4074" s="13" t="s">
        <v>43</v>
      </c>
      <c r="X4074" s="21" t="n">
        <v>81232650065</v>
      </c>
      <c r="Y4074" s="22" t="str">
        <f aca="false">O4074</f>
        <v>Assy Operator</v>
      </c>
      <c r="Z4074" s="13" t="str">
        <f aca="false">IFERROR(__xludf.dummyfunction("if(BJ4074="""","""",GOOGLETRANSLATE(BJ4074,""auto"",""en""))"),"Assy Operator")</f>
        <v>Assy Operator</v>
      </c>
      <c r="AA4074" s="23" t="str">
        <f aca="false">IF(C4074="","", CHOOSE(MONTH(C4074),"January","February","March","April","May","June","July","August","September","October","November","December")&amp;" "&amp;DAY(C4074)&amp;MID("thstndrdth",MIN(9,2*RIGHT(DAY(C4074))*(MOD(DAY(C4074)-11,100)&gt;2)+1),2)&amp;","&amp;TEXT(C4074," yyyy"))</f>
        <v>August 14th,2017</v>
      </c>
      <c r="AB4074" s="15" t="str">
        <f aca="true">IF(S4074="","",DATEDIF(S4074,TODAY(),"Y")&amp;" Tahun, "&amp;DATEDIF(S4074,TODAY(),"YM")&amp;" Bulan, "&amp;DATEDIF(S4074,TODAY(),"MD")&amp;" Hari")</f>
        <v>32 Tahun, 8 Bulan, 15 Hari</v>
      </c>
      <c r="AC4074" s="18" t="n">
        <v>45659</v>
      </c>
      <c r="AD4074" s="18" t="n">
        <v>46015</v>
      </c>
      <c r="AE4074" s="18" t="s">
        <v>44</v>
      </c>
    </row>
    <row r="4075" customFormat="false" ht="15" hidden="false" customHeight="true" outlineLevel="0" collapsed="false">
      <c r="A4075" s="12" t="n">
        <v>22853</v>
      </c>
      <c r="B4075" s="13" t="s">
        <v>16688</v>
      </c>
      <c r="C4075" s="14" t="n">
        <v>46279</v>
      </c>
      <c r="D4075" s="13" t="s">
        <v>1721</v>
      </c>
      <c r="E4075" s="13" t="s">
        <v>47</v>
      </c>
      <c r="F4075" s="24" t="s">
        <v>16689</v>
      </c>
      <c r="G4075" s="13" t="s">
        <v>1452</v>
      </c>
      <c r="H4075" s="13" t="s">
        <v>35</v>
      </c>
      <c r="I4075" s="13" t="str">
        <f aca="false">IF(C4075=J4075,"NEW KONTRAK","RE-KONTRAK")</f>
        <v>NEW KONTRAK</v>
      </c>
      <c r="J4075" s="16" t="n">
        <f aca="false" t="array" ref="J4075:J4075">IFERROR(INDEX(AC4075:AE4075,IF(COUNTA(AC4075:AE4075)=0,"",MAX((AC4075:AE4075&lt;&gt;"")*(COLUMN(AC4075:AE4075)-(COLUMN(AC4075)))))-1),"")</f>
        <v>46279</v>
      </c>
      <c r="K4075" s="16" t="n">
        <f aca="false" t="array" ref="K4075:K4075">IFERROR(INDEX(AC4075:AE4075,IF(COUNTA(AC4075:AE4075)=0,"",MAX((AC4075:AE4075&lt;&gt;"")*(COLUMN(AC4075:AE4075)-(COLUMN(AC4075)-1))))-1),"")</f>
        <v>46386</v>
      </c>
      <c r="L4075" s="17" t="str">
        <f aca="false" t="array" ref="L4075:L4075">IFERROR(INDEX(AC4075:AE4075,IF(COUNTA(AC4075:AE4075)=0,"",MAX((AC4075:AE4075&lt;&gt;"")*(COLUMN(AC4075:AE4075)-(COLUMN(AC4075)-2))))-1),"")</f>
        <v>ARCHIVED</v>
      </c>
      <c r="M4075" s="13" t="n">
        <f aca="true">K4075-TODAY()</f>
        <v>62</v>
      </c>
      <c r="N4075" s="18" t="s">
        <v>728</v>
      </c>
      <c r="O4075" s="13" t="s">
        <v>1755</v>
      </c>
      <c r="P4075" s="26" t="n">
        <v>5444909</v>
      </c>
      <c r="Q4075" s="20" t="s">
        <v>16690</v>
      </c>
      <c r="R4075" s="13" t="s">
        <v>735</v>
      </c>
      <c r="S4075" s="25" t="n">
        <v>31565</v>
      </c>
      <c r="T4075" s="13" t="s">
        <v>108</v>
      </c>
      <c r="U4075" s="13" t="s">
        <v>16691</v>
      </c>
      <c r="V4075" s="13" t="s">
        <v>42</v>
      </c>
      <c r="W4075" s="13" t="s">
        <v>54</v>
      </c>
      <c r="X4075" s="30" t="n">
        <v>83144956213</v>
      </c>
      <c r="Y4075" s="22" t="str">
        <f aca="false">O4075</f>
        <v>Im.Operator</v>
      </c>
      <c r="Z4075" s="13" t="str">
        <f aca="false">IFERROR(__xludf.dummyfunction("if(BJ4075="""","""",GOOGLETRANSLATE(BJ4075,""auto"",""en""))"),"Im.Operator")</f>
        <v>Im.Operator</v>
      </c>
      <c r="AA4075" s="23" t="str">
        <f aca="false">IF(C4075="","", CHOOSE(MONTH(C4075),"January","February","March","April","May","June","July","August","September","October","November","December")&amp;" "&amp;DAY(C4075)&amp;MID("thstndrdth",MIN(9,2*RIGHT(DAY(C4075))*(MOD(DAY(C4075)-11,100)&gt;2)+1),2)&amp;","&amp;TEXT(C4075," yyyy"))</f>
        <v>September 14th,2026</v>
      </c>
      <c r="AB4075" s="15" t="str">
        <f aca="true">IF(S4075="","",DATEDIF(S4075,TODAY(),"Y")&amp;" Tahun, "&amp;DATEDIF(S4075,TODAY(),"YM")&amp;" Bulan, "&amp;DATEDIF(S4075,TODAY(),"MD")&amp;" Hari")</f>
        <v>40 Tahun, 4 Bulan, 27 Hari</v>
      </c>
      <c r="AC4075" s="14" t="n">
        <v>46279</v>
      </c>
      <c r="AD4075" s="18" t="n">
        <v>46386</v>
      </c>
      <c r="AE4075" s="13" t="s">
        <v>44</v>
      </c>
    </row>
    <row r="4076" customFormat="false" ht="15" hidden="false" customHeight="true" outlineLevel="0" collapsed="false">
      <c r="A4076" s="12" t="n">
        <v>22992</v>
      </c>
      <c r="B4076" s="13" t="s">
        <v>16692</v>
      </c>
      <c r="C4076" s="14" t="n">
        <v>46307</v>
      </c>
      <c r="D4076" s="13" t="s">
        <v>1721</v>
      </c>
      <c r="E4076" s="13" t="s">
        <v>47</v>
      </c>
      <c r="F4076" s="24" t="s">
        <v>16693</v>
      </c>
      <c r="G4076" s="13" t="s">
        <v>1127</v>
      </c>
      <c r="H4076" s="13" t="s">
        <v>35</v>
      </c>
      <c r="I4076" s="13" t="str">
        <f aca="false">IF(C4076=J4076,"NEW KONTRAK","RE-KONTRAK")</f>
        <v>NEW KONTRAK</v>
      </c>
      <c r="J4076" s="16" t="n">
        <f aca="false" t="array" ref="J4076:J4076">IFERROR(INDEX(AC4076:AE4076,IF(COUNTA(AC4076:AE4076)=0,"",MAX((AC4076:AE4076&lt;&gt;"")*(COLUMN(AC4076:AE4076)-(COLUMN(AC4076)))))-1),"")</f>
        <v>46307</v>
      </c>
      <c r="K4076" s="16" t="n">
        <f aca="false" t="array" ref="K4076:K4076">IFERROR(INDEX(AC4076:AE4076,IF(COUNTA(AC4076:AE4076)=0,"",MAX((AC4076:AE4076&lt;&gt;"")*(COLUMN(AC4076:AE4076)-(COLUMN(AC4076)-1))))-1),"")</f>
        <v>46386</v>
      </c>
      <c r="L4076" s="17" t="str">
        <f aca="false" t="array" ref="L4076:L4076">IFERROR(INDEX(AC4076:AE4076,IF(COUNTA(AC4076:AE4076)=0,"",MAX((AC4076:AE4076&lt;&gt;"")*(COLUMN(AC4076:AE4076)-(COLUMN(AC4076)-2))))-1),"")</f>
        <v>PRINTED</v>
      </c>
      <c r="M4076" s="13" t="n">
        <f aca="true">K4076-TODAY()</f>
        <v>62</v>
      </c>
      <c r="N4076" s="18" t="s">
        <v>728</v>
      </c>
      <c r="O4076" s="13" t="s">
        <v>1732</v>
      </c>
      <c r="P4076" s="26" t="n">
        <v>5444909</v>
      </c>
      <c r="Q4076" s="20" t="s">
        <v>16694</v>
      </c>
      <c r="R4076" s="13" t="s">
        <v>735</v>
      </c>
      <c r="S4076" s="25" t="n">
        <v>35464</v>
      </c>
      <c r="T4076" s="13" t="s">
        <v>108</v>
      </c>
      <c r="U4076" s="13" t="s">
        <v>16695</v>
      </c>
      <c r="V4076" s="13" t="s">
        <v>42</v>
      </c>
      <c r="W4076" s="13" t="s">
        <v>54</v>
      </c>
      <c r="X4076" s="21" t="n">
        <v>82302576359</v>
      </c>
      <c r="Y4076" s="22" t="str">
        <f aca="false">O4076</f>
        <v>Bm.Operator</v>
      </c>
      <c r="Z4076" s="13" t="str">
        <f aca="false">IFERROR(__xludf.dummyfunction("if(BJ4076="""","""",GOOGLETRANSLATE(BJ4076,""auto"",""en""))"),"Bm.Operator")</f>
        <v>Bm.Operator</v>
      </c>
      <c r="AA4076" s="23" t="str">
        <f aca="false">IF(C4076="","", CHOOSE(MONTH(C4076),"January","February","March","April","May","June","July","August","September","October","November","December")&amp;" "&amp;DAY(C4076)&amp;MID("thstndrdth",MIN(9,2*RIGHT(DAY(C4076))*(MOD(DAY(C4076)-11,100)&gt;2)+1),2)&amp;","&amp;TEXT(C4076," yyyy"))</f>
        <v>October 12th,2026</v>
      </c>
      <c r="AB4076" s="15" t="str">
        <f aca="true">IF(S4076="","",DATEDIF(S4076,TODAY(),"Y")&amp;" Tahun, "&amp;DATEDIF(S4076,TODAY(),"YM")&amp;" Bulan, "&amp;DATEDIF(S4076,TODAY(),"MD")&amp;" Hari")</f>
        <v>29 Tahun, 8 Bulan, 26 Hari</v>
      </c>
      <c r="AC4076" s="14" t="n">
        <v>46307</v>
      </c>
      <c r="AD4076" s="18" t="n">
        <v>46386</v>
      </c>
      <c r="AE4076" s="13" t="s">
        <v>1752</v>
      </c>
    </row>
    <row r="4077" customFormat="false" ht="15" hidden="false" customHeight="true" outlineLevel="0" collapsed="false">
      <c r="A4077" s="12" t="n">
        <v>15637</v>
      </c>
      <c r="B4077" s="13" t="s">
        <v>16696</v>
      </c>
      <c r="C4077" s="14" t="n">
        <v>45446</v>
      </c>
      <c r="D4077" s="13" t="s">
        <v>1721</v>
      </c>
      <c r="E4077" s="15" t="s">
        <v>47</v>
      </c>
      <c r="F4077" s="15" t="str">
        <f aca="false">IFERROR(__xludf.dummyfunction("XLOOKUP(AJ4077,IMPORTRANGE(""1XaInW9DU9nz21V0tYIfzFQ0He9kVQ_JF2mCXgZ3hqFA"",""REKAP ALL 2026 - Andika!G:G""),IMPORTRANGE(""1XaInW9DU9nz21V0tYIfzFQ0He9kVQ_JF2mCXgZ3hqFA"",""REKAP ALL 2026 - Andika!F:F""),"""",0)"),"24091262725")</f>
        <v>24091262725</v>
      </c>
      <c r="G4077" s="15" t="s">
        <v>16697</v>
      </c>
      <c r="H4077" s="13" t="s">
        <v>35</v>
      </c>
      <c r="I4077" s="13" t="str">
        <f aca="false">IF(C4077=J4077,"NEW KONTRAK","RE-KONTRAK")</f>
        <v>RE-KONTRAK</v>
      </c>
      <c r="J4077" s="16" t="n">
        <f aca="false" t="array" ref="J4077:J4077">IFERROR(INDEX(AC4077:AE4077,IF(COUNTA(AC4077:AE4077)=0,"",MAX((AC4077:AE4077&lt;&gt;"")*(COLUMN(AC4077:AE4077)-(COLUMN(AC4077)))))-1),"")</f>
        <v>45659</v>
      </c>
      <c r="K4077" s="16" t="n">
        <f aca="false" t="array" ref="K4077:K4077">IFERROR(INDEX(AC4077:AE4077,IF(COUNTA(AC4077:AE4077)=0,"",MAX((AC4077:AE4077&lt;&gt;"")*(COLUMN(AC4077:AE4077)-(COLUMN(AC4077)-1))))-1),"")</f>
        <v>46015</v>
      </c>
      <c r="L4077" s="17" t="str">
        <f aca="false" t="array" ref="L4077:L4077">IFERROR(INDEX(AC4077:AE4077,IF(COUNTA(AC4077:AE4077)=0,"",MAX((AC4077:AE4077&lt;&gt;"")*(COLUMN(AC4077:AE4077)-(COLUMN(AC4077)-2))))-1),"")</f>
        <v>ARCHIVED</v>
      </c>
      <c r="M4077" s="13" t="n">
        <f aca="true">K4077-TODAY()</f>
        <v>-309</v>
      </c>
      <c r="N4077" s="18" t="s">
        <v>728</v>
      </c>
      <c r="O4077" s="13" t="s">
        <v>1870</v>
      </c>
      <c r="P4077" s="19" t="n">
        <v>5444909</v>
      </c>
      <c r="Q4077" s="20" t="s">
        <v>16698</v>
      </c>
      <c r="R4077" s="13" t="s">
        <v>73</v>
      </c>
      <c r="S4077" s="14" t="n">
        <v>32516</v>
      </c>
      <c r="T4077" s="13" t="s">
        <v>108</v>
      </c>
      <c r="U4077" s="13" t="s">
        <v>16699</v>
      </c>
      <c r="V4077" s="13" t="s">
        <v>42</v>
      </c>
      <c r="W4077" s="13" t="s">
        <v>54</v>
      </c>
      <c r="X4077" s="21" t="n">
        <v>85746029331</v>
      </c>
      <c r="Y4077" s="22" t="str">
        <f aca="false">O4077</f>
        <v>Bm Operator</v>
      </c>
      <c r="Z4077" s="13" t="str">
        <f aca="false">IFERROR(__xludf.dummyfunction("if(BJ4077="""","""",GOOGLETRANSLATE(BJ4077,""auto"",""en""))"),"Bm Operator")</f>
        <v>Bm Operator</v>
      </c>
      <c r="AA4077" s="23" t="str">
        <f aca="false">IF(C4077="","", CHOOSE(MONTH(C4077),"January","February","March","April","May","June","July","August","September","October","November","December")&amp;" "&amp;DAY(C4077)&amp;MID("thstndrdth",MIN(9,2*RIGHT(DAY(C4077))*(MOD(DAY(C4077)-11,100)&gt;2)+1),2)&amp;","&amp;TEXT(C4077," yyyy"))</f>
        <v>June 3rd,2024</v>
      </c>
      <c r="AB4077" s="15" t="str">
        <f aca="true">IF(S4077="","",DATEDIF(S4077,TODAY(),"Y")&amp;" Tahun, "&amp;DATEDIF(S4077,TODAY(),"YM")&amp;" Bulan, "&amp;DATEDIF(S4077,TODAY(),"MD")&amp;" Hari")</f>
        <v>37 Tahun, 9 Bulan, 21 Hari</v>
      </c>
      <c r="AC4077" s="18" t="n">
        <v>45659</v>
      </c>
      <c r="AD4077" s="18" t="n">
        <v>46015</v>
      </c>
      <c r="AE4077" s="18" t="s">
        <v>44</v>
      </c>
    </row>
    <row r="4078" customFormat="false" ht="15" hidden="false" customHeight="true" outlineLevel="0" collapsed="false">
      <c r="A4078" s="12" t="n">
        <v>22851</v>
      </c>
      <c r="B4078" s="13" t="s">
        <v>16700</v>
      </c>
      <c r="C4078" s="14" t="n">
        <v>46279</v>
      </c>
      <c r="D4078" s="13" t="s">
        <v>1721</v>
      </c>
      <c r="E4078" s="13" t="s">
        <v>47</v>
      </c>
      <c r="F4078" s="24" t="s">
        <v>16701</v>
      </c>
      <c r="G4078" s="13" t="s">
        <v>1452</v>
      </c>
      <c r="H4078" s="13" t="s">
        <v>35</v>
      </c>
      <c r="I4078" s="13" t="str">
        <f aca="false">IF(C4078=J4078,"NEW KONTRAK","RE-KONTRAK")</f>
        <v>NEW KONTRAK</v>
      </c>
      <c r="J4078" s="16" t="n">
        <f aca="false" t="array" ref="J4078:J4078">IFERROR(INDEX(AC4078:AE4078,IF(COUNTA(AC4078:AE4078)=0,"",MAX((AC4078:AE4078&lt;&gt;"")*(COLUMN(AC4078:AE4078)-(COLUMN(AC4078)))))-1),"")</f>
        <v>46279</v>
      </c>
      <c r="K4078" s="16" t="n">
        <f aca="false" t="array" ref="K4078:K4078">IFERROR(INDEX(AC4078:AE4078,IF(COUNTA(AC4078:AE4078)=0,"",MAX((AC4078:AE4078&lt;&gt;"")*(COLUMN(AC4078:AE4078)-(COLUMN(AC4078)-1))))-1),"")</f>
        <v>46386</v>
      </c>
      <c r="L4078" s="17" t="str">
        <f aca="false" t="array" ref="L4078:L4078">IFERROR(INDEX(AC4078:AE4078,IF(COUNTA(AC4078:AE4078)=0,"",MAX((AC4078:AE4078&lt;&gt;"")*(COLUMN(AC4078:AE4078)-(COLUMN(AC4078)-2))))-1),"")</f>
        <v>ARCHIVED</v>
      </c>
      <c r="M4078" s="13" t="n">
        <f aca="true">K4078-TODAY()</f>
        <v>62</v>
      </c>
      <c r="N4078" s="18" t="s">
        <v>728</v>
      </c>
      <c r="O4078" s="13" t="s">
        <v>1755</v>
      </c>
      <c r="P4078" s="26" t="n">
        <v>5444909</v>
      </c>
      <c r="Q4078" s="20" t="s">
        <v>16702</v>
      </c>
      <c r="R4078" s="48" t="s">
        <v>324</v>
      </c>
      <c r="S4078" s="25" t="n">
        <v>39130</v>
      </c>
      <c r="T4078" s="13" t="s">
        <v>108</v>
      </c>
      <c r="U4078" s="13" t="s">
        <v>16703</v>
      </c>
      <c r="V4078" s="13" t="s">
        <v>42</v>
      </c>
      <c r="W4078" s="28" t="s">
        <v>43</v>
      </c>
      <c r="X4078" s="21" t="n">
        <v>83848943547</v>
      </c>
      <c r="Y4078" s="22" t="str">
        <f aca="false">O4078</f>
        <v>Im.Operator</v>
      </c>
      <c r="Z4078" s="13" t="str">
        <f aca="false">IFERROR(__xludf.dummyfunction("if(BJ4078="""","""",GOOGLETRANSLATE(BJ4078,""auto"",""en""))"),"Im.Operator")</f>
        <v>Im.Operator</v>
      </c>
      <c r="AA4078" s="23" t="str">
        <f aca="false">IF(C4078="","", CHOOSE(MONTH(C4078),"January","February","March","April","May","June","July","August","September","October","November","December")&amp;" "&amp;DAY(C4078)&amp;MID("thstndrdth",MIN(9,2*RIGHT(DAY(C4078))*(MOD(DAY(C4078)-11,100)&gt;2)+1),2)&amp;","&amp;TEXT(C4078," yyyy"))</f>
        <v>September 14th,2026</v>
      </c>
      <c r="AB4078" s="15" t="str">
        <f aca="true">IF(S4078="","",DATEDIF(S4078,TODAY(),"Y")&amp;" Tahun, "&amp;DATEDIF(S4078,TODAY(),"YM")&amp;" Bulan, "&amp;DATEDIF(S4078,TODAY(),"MD")&amp;" Hari")</f>
        <v>19 Tahun, 8 Bulan, 12 Hari</v>
      </c>
      <c r="AC4078" s="14" t="n">
        <v>46279</v>
      </c>
      <c r="AD4078" s="18" t="n">
        <v>46386</v>
      </c>
      <c r="AE4078" s="13" t="s">
        <v>44</v>
      </c>
    </row>
    <row r="4079" customFormat="false" ht="15" hidden="false" customHeight="true" outlineLevel="0" collapsed="false">
      <c r="A4079" s="12" t="n">
        <v>15639</v>
      </c>
      <c r="B4079" s="13" t="s">
        <v>16704</v>
      </c>
      <c r="C4079" s="14" t="n">
        <v>45446</v>
      </c>
      <c r="D4079" s="13" t="s">
        <v>1721</v>
      </c>
      <c r="E4079" s="15" t="s">
        <v>47</v>
      </c>
      <c r="F4079" s="15" t="str">
        <f aca="false">IFERROR(__xludf.dummyfunction("XLOOKUP(AJ4079,IMPORTRANGE(""1XaInW9DU9nz21V0tYIfzFQ0He9kVQ_JF2mCXgZ3hqFA"",""REKAP ALL 2026 - Andika!G:G""),IMPORTRANGE(""1XaInW9DU9nz21V0tYIfzFQ0He9kVQ_JF2mCXgZ3hqFA"",""REKAP ALL 2026 - Andika!F:F""),"""",0)"),"24091262113")</f>
        <v>24091262113</v>
      </c>
      <c r="G4079" s="15" t="s">
        <v>16705</v>
      </c>
      <c r="H4079" s="13" t="s">
        <v>35</v>
      </c>
      <c r="I4079" s="13" t="str">
        <f aca="false">IF(C4079=J4079,"NEW KONTRAK","RE-KONTRAK")</f>
        <v>RE-KONTRAK</v>
      </c>
      <c r="J4079" s="16" t="n">
        <f aca="false" t="array" ref="J4079:J4079">IFERROR(INDEX(AC4079:AE4079,IF(COUNTA(AC4079:AE4079)=0,"",MAX((AC4079:AE4079&lt;&gt;"")*(COLUMN(AC4079:AE4079)-(COLUMN(AC4079)))))-1),"")</f>
        <v>45659</v>
      </c>
      <c r="K4079" s="16" t="n">
        <f aca="false" t="array" ref="K4079:K4079">IFERROR(INDEX(AC4079:AE4079,IF(COUNTA(AC4079:AE4079)=0,"",MAX((AC4079:AE4079&lt;&gt;"")*(COLUMN(AC4079:AE4079)-(COLUMN(AC4079)-1))))-1),"")</f>
        <v>46021</v>
      </c>
      <c r="L4079" s="17" t="str">
        <f aca="false" t="array" ref="L4079:L4079">IFERROR(INDEX(AC4079:AE4079,IF(COUNTA(AC4079:AE4079)=0,"",MAX((AC4079:AE4079&lt;&gt;"")*(COLUMN(AC4079:AE4079)-(COLUMN(AC4079)-2))))-1),"")</f>
        <v>KEMBALI</v>
      </c>
      <c r="M4079" s="13" t="n">
        <f aca="true">K4079-TODAY()</f>
        <v>-303</v>
      </c>
      <c r="N4079" s="18" t="s">
        <v>728</v>
      </c>
      <c r="O4079" s="13" t="s">
        <v>1870</v>
      </c>
      <c r="P4079" s="19" t="n">
        <v>5444909</v>
      </c>
      <c r="Q4079" s="20" t="s">
        <v>16706</v>
      </c>
      <c r="R4079" s="13" t="s">
        <v>255</v>
      </c>
      <c r="S4079" s="14" t="n">
        <v>37192</v>
      </c>
      <c r="T4079" s="13" t="s">
        <v>108</v>
      </c>
      <c r="U4079" s="13" t="s">
        <v>16707</v>
      </c>
      <c r="V4079" s="13" t="s">
        <v>42</v>
      </c>
      <c r="W4079" s="13" t="s">
        <v>43</v>
      </c>
      <c r="X4079" s="21" t="n">
        <v>85776704926</v>
      </c>
      <c r="Y4079" s="22" t="str">
        <f aca="false">O4079</f>
        <v>Bm Operator</v>
      </c>
      <c r="Z4079" s="13" t="str">
        <f aca="false">IFERROR(__xludf.dummyfunction("if(BJ4079="""","""",GOOGLETRANSLATE(BJ4079,""auto"",""en""))"),"Bm Operator")</f>
        <v>Bm Operator</v>
      </c>
      <c r="AA4079" s="23" t="str">
        <f aca="false">IF(C4079="","", CHOOSE(MONTH(C4079),"January","February","March","April","May","June","July","August","September","October","November","December")&amp;" "&amp;DAY(C4079)&amp;MID("thstndrdth",MIN(9,2*RIGHT(DAY(C4079))*(MOD(DAY(C4079)-11,100)&gt;2)+1),2)&amp;","&amp;TEXT(C4079," yyyy"))</f>
        <v>June 3rd,2024</v>
      </c>
      <c r="AB4079" s="15" t="str">
        <f aca="true">IF(S4079="","",DATEDIF(S4079,TODAY(),"Y")&amp;" Tahun, "&amp;DATEDIF(S4079,TODAY(),"YM")&amp;" Bulan, "&amp;DATEDIF(S4079,TODAY(),"MD")&amp;" Hari")</f>
        <v>25 Tahun, 0 Bulan, 1 Hari</v>
      </c>
      <c r="AC4079" s="18" t="n">
        <v>45659</v>
      </c>
      <c r="AD4079" s="18" t="n">
        <v>46021</v>
      </c>
      <c r="AE4079" s="13" t="s">
        <v>397</v>
      </c>
    </row>
    <row r="4080" customFormat="false" ht="15" hidden="false" customHeight="true" outlineLevel="0" collapsed="false">
      <c r="A4080" s="12" t="n">
        <v>22424</v>
      </c>
      <c r="B4080" s="13" t="s">
        <v>16708</v>
      </c>
      <c r="C4080" s="14" t="n">
        <v>46188</v>
      </c>
      <c r="D4080" s="13" t="s">
        <v>1721</v>
      </c>
      <c r="E4080" s="15" t="s">
        <v>47</v>
      </c>
      <c r="F4080" s="24" t="s">
        <v>16709</v>
      </c>
      <c r="G4080" s="24" t="s">
        <v>57</v>
      </c>
      <c r="H4080" s="13" t="s">
        <v>35</v>
      </c>
      <c r="I4080" s="13" t="str">
        <f aca="false">IF(C4080=J4080,"NEW KONTRAK","RE-KONTRAK")</f>
        <v>NEW KONTRAK</v>
      </c>
      <c r="J4080" s="16" t="n">
        <f aca="false" t="array" ref="J4080:J4080">IFERROR(INDEX(AC4080:AE4080,IF(COUNTA(AC4080:AE4080)=0,"",MAX((AC4080:AE4080&lt;&gt;"")*(COLUMN(AC4080:AE4080)-(COLUMN(AC4080)))))-1),"")</f>
        <v>46188</v>
      </c>
      <c r="K4080" s="16" t="n">
        <f aca="false" t="array" ref="K4080:K4080">IFERROR(INDEX(AC4080:AE4080,IF(COUNTA(AC4080:AE4080)=0,"",MAX((AC4080:AE4080&lt;&gt;"")*(COLUMN(AC4080:AE4080)-(COLUMN(AC4080)-1))))-1),"")</f>
        <v>46279</v>
      </c>
      <c r="L4080" s="17" t="str">
        <f aca="false" t="array" ref="L4080:L4080">IFERROR(INDEX(AC4080:AE4080,IF(COUNTA(AC4080:AE4080)=0,"",MAX((AC4080:AE4080&lt;&gt;"")*(COLUMN(AC4080:AE4080)-(COLUMN(AC4080)-2))))-1),"")</f>
        <v>KEMBALI</v>
      </c>
      <c r="M4080" s="13" t="n">
        <f aca="true">K4080-TODAY()</f>
        <v>-45</v>
      </c>
      <c r="N4080" s="18" t="s">
        <v>728</v>
      </c>
      <c r="O4080" s="13" t="s">
        <v>624</v>
      </c>
      <c r="P4080" s="19" t="n">
        <v>5288796</v>
      </c>
      <c r="Q4080" s="47" t="s">
        <v>16710</v>
      </c>
      <c r="R4080" s="13" t="s">
        <v>52</v>
      </c>
      <c r="S4080" s="16" t="n">
        <v>37473</v>
      </c>
      <c r="T4080" s="28" t="s">
        <v>40</v>
      </c>
      <c r="U4080" s="13" t="s">
        <v>16711</v>
      </c>
      <c r="V4080" s="13" t="s">
        <v>42</v>
      </c>
      <c r="W4080" s="13" t="s">
        <v>43</v>
      </c>
      <c r="X4080" s="30" t="n">
        <v>89821386589</v>
      </c>
      <c r="Y4080" s="22" t="str">
        <f aca="false">O4080</f>
        <v>Quality Control</v>
      </c>
      <c r="Z4080" s="13" t="str">
        <f aca="false">IFERROR(__xludf.dummyfunction("if(BJ4080="""","""",GOOGLETRANSLATE(BJ4080,""auto"",""en""))"),"Quality Control")</f>
        <v>Quality Control</v>
      </c>
      <c r="AA4080" s="23" t="str">
        <f aca="false">IF(C4080="","", CHOOSE(MONTH(C4080),"January","February","March","April","May","June","July","August","September","October","November","December")&amp;" "&amp;DAY(C4080)&amp;MID("thstndrdth",MIN(9,2*RIGHT(DAY(C4080))*(MOD(DAY(C4080)-11,100)&gt;2)+1),2)&amp;","&amp;TEXT(C4080," yyyy"))</f>
        <v>June 15th,2026</v>
      </c>
      <c r="AB4080" s="15" t="str">
        <f aca="true">IF(S4080="","",DATEDIF(S4080,TODAY(),"Y")&amp;" Tahun, "&amp;DATEDIF(S4080,TODAY(),"YM")&amp;" Bulan, "&amp;DATEDIF(S4080,TODAY(),"MD")&amp;" Hari")</f>
        <v>24 Tahun, 2 Bulan, 24 Hari</v>
      </c>
      <c r="AC4080" s="14" t="n">
        <v>46188</v>
      </c>
      <c r="AD4080" s="18" t="n">
        <f aca="false">EDATE(AC4080,3)-1</f>
        <v>46279</v>
      </c>
      <c r="AE4080" s="13" t="s">
        <v>397</v>
      </c>
    </row>
    <row r="4081" customFormat="false" ht="15" hidden="false" customHeight="true" outlineLevel="0" collapsed="false">
      <c r="A4081" s="12" t="n">
        <v>2230</v>
      </c>
      <c r="B4081" s="13" t="s">
        <v>16712</v>
      </c>
      <c r="C4081" s="14" t="n">
        <v>43145</v>
      </c>
      <c r="D4081" s="13" t="s">
        <v>1721</v>
      </c>
      <c r="E4081" s="15" t="s">
        <v>47</v>
      </c>
      <c r="F4081" s="15" t="str">
        <f aca="false">IFERROR(__xludf.dummyfunction("XLOOKUP(AJ4081,IMPORTRANGE(""1XaInW9DU9nz21V0tYIfzFQ0He9kVQ_JF2mCXgZ3hqFA"",""REKAP ALL 2026 - Andika!G:G""),IMPORTRANGE(""1XaInW9DU9nz21V0tYIfzFQ0He9kVQ_JF2mCXgZ3hqFA"",""REKAP ALL 2026 - Andika!F:F""),"""",0)"),"18003495688")</f>
        <v>18003495688</v>
      </c>
      <c r="G4081" s="13" t="s">
        <v>16713</v>
      </c>
      <c r="H4081" s="13" t="s">
        <v>35</v>
      </c>
      <c r="I4081" s="13" t="str">
        <f aca="false">IF(C4081=J4081,"NEW KONTRAK","RE-KONTRAK")</f>
        <v>RE-KONTRAK</v>
      </c>
      <c r="J4081" s="16" t="n">
        <f aca="false" t="array" ref="J4081:J4081">IFERROR(INDEX(AC4081:AE4081,IF(COUNTA(AC4081:AE4081)=0,"",MAX((AC4081:AE4081&lt;&gt;"")*(COLUMN(AC4081:AE4081)-(COLUMN(AC4081)))))-1),"")</f>
        <v>45659</v>
      </c>
      <c r="K4081" s="16" t="n">
        <f aca="false" t="array" ref="K4081:K4081">IFERROR(INDEX(AC4081:AE4081,IF(COUNTA(AC4081:AE4081)=0,"",MAX((AC4081:AE4081&lt;&gt;"")*(COLUMN(AC4081:AE4081)-(COLUMN(AC4081)-1))))-1),"")</f>
        <v>46015</v>
      </c>
      <c r="L4081" s="17" t="str">
        <f aca="false" t="array" ref="L4081:L4081">IFERROR(INDEX(AC4081:AE4081,IF(COUNTA(AC4081:AE4081)=0,"",MAX((AC4081:AE4081&lt;&gt;"")*(COLUMN(AC4081:AE4081)-(COLUMN(AC4081)-2))))-1),"")</f>
        <v>ARCHIVED</v>
      </c>
      <c r="M4081" s="13" t="n">
        <f aca="true">K4081-TODAY()</f>
        <v>-309</v>
      </c>
      <c r="N4081" s="18" t="s">
        <v>728</v>
      </c>
      <c r="O4081" s="13" t="s">
        <v>16714</v>
      </c>
      <c r="P4081" s="19" t="n">
        <v>5444909</v>
      </c>
      <c r="Q4081" s="20" t="s">
        <v>16715</v>
      </c>
      <c r="R4081" s="13" t="s">
        <v>168</v>
      </c>
      <c r="S4081" s="14" t="n">
        <v>35341</v>
      </c>
      <c r="T4081" s="13" t="s">
        <v>40</v>
      </c>
      <c r="U4081" s="13" t="s">
        <v>16716</v>
      </c>
      <c r="V4081" s="13" t="s">
        <v>42</v>
      </c>
      <c r="W4081" s="13" t="s">
        <v>54</v>
      </c>
      <c r="X4081" s="21" t="n">
        <v>81213680490</v>
      </c>
      <c r="Y4081" s="22" t="str">
        <f aca="false">O4081</f>
        <v>Warehouse Pengiriman</v>
      </c>
      <c r="Z4081" s="13" t="str">
        <f aca="false">IFERROR(__xludf.dummyfunction("if(BJ4081="""","""",GOOGLETRANSLATE(BJ4081,""auto"",""en""))"),"Shipping Warehouse")</f>
        <v>Shipping Warehouse</v>
      </c>
      <c r="AA4081" s="23" t="str">
        <f aca="false">IF(C4081="","", CHOOSE(MONTH(C4081),"January","February","March","April","May","June","July","August","September","October","November","December")&amp;" "&amp;DAY(C4081)&amp;MID("thstndrdth",MIN(9,2*RIGHT(DAY(C4081))*(MOD(DAY(C4081)-11,100)&gt;2)+1),2)&amp;","&amp;TEXT(C4081," yyyy"))</f>
        <v>February 14th,2018</v>
      </c>
      <c r="AB4081" s="15" t="str">
        <f aca="true">IF(S4081="","",DATEDIF(S4081,TODAY(),"Y")&amp;" Tahun, "&amp;DATEDIF(S4081,TODAY(),"YM")&amp;" Bulan, "&amp;DATEDIF(S4081,TODAY(),"MD")&amp;" Hari")</f>
        <v>30 Tahun, 0 Bulan, 26 Hari</v>
      </c>
      <c r="AC4081" s="18" t="n">
        <v>45659</v>
      </c>
      <c r="AD4081" s="18" t="n">
        <v>46015</v>
      </c>
      <c r="AE4081" s="18" t="s">
        <v>44</v>
      </c>
    </row>
    <row r="4082" customFormat="false" ht="15" hidden="false" customHeight="true" outlineLevel="0" collapsed="false">
      <c r="A4082" s="12" t="n">
        <v>15661</v>
      </c>
      <c r="B4082" s="13" t="s">
        <v>16717</v>
      </c>
      <c r="C4082" s="14" t="n">
        <v>45446</v>
      </c>
      <c r="D4082" s="13" t="s">
        <v>1721</v>
      </c>
      <c r="E4082" s="15" t="s">
        <v>47</v>
      </c>
      <c r="F4082" s="15" t="str">
        <f aca="false">IFERROR(__xludf.dummyfunction("XLOOKUP(AJ4082,IMPORTRANGE(""1XaInW9DU9nz21V0tYIfzFQ0He9kVQ_JF2mCXgZ3hqFA"",""REKAP ALL 2026 - Andika!G:G""),IMPORTRANGE(""1XaInW9DU9nz21V0tYIfzFQ0He9kVQ_JF2mCXgZ3hqFA"",""REKAP ALL 2026 - Andika!F:F""),"""",0)"),"24091262477")</f>
        <v>24091262477</v>
      </c>
      <c r="G4082" s="15" t="s">
        <v>16718</v>
      </c>
      <c r="H4082" s="13" t="s">
        <v>35</v>
      </c>
      <c r="I4082" s="13" t="str">
        <f aca="false">IF(C4082=J4082,"NEW KONTRAK","RE-KONTRAK")</f>
        <v>RE-KONTRAK</v>
      </c>
      <c r="J4082" s="16" t="n">
        <f aca="false" t="array" ref="J4082:J4082">IFERROR(INDEX(AC4082:AE4082,IF(COUNTA(AC4082:AE4082)=0,"",MAX((AC4082:AE4082&lt;&gt;"")*(COLUMN(AC4082:AE4082)-(COLUMN(AC4082)))))-1),"")</f>
        <v>45659</v>
      </c>
      <c r="K4082" s="16" t="n">
        <f aca="false" t="array" ref="K4082:K4082">IFERROR(INDEX(AC4082:AE4082,IF(COUNTA(AC4082:AE4082)=0,"",MAX((AC4082:AE4082&lt;&gt;"")*(COLUMN(AC4082:AE4082)-(COLUMN(AC4082)-1))))-1),"")</f>
        <v>46015</v>
      </c>
      <c r="L4082" s="17" t="str">
        <f aca="false" t="array" ref="L4082:L4082">IFERROR(INDEX(AC4082:AE4082,IF(COUNTA(AC4082:AE4082)=0,"",MAX((AC4082:AE4082&lt;&gt;"")*(COLUMN(AC4082:AE4082)-(COLUMN(AC4082)-2))))-1),"")</f>
        <v>ARCHIVED</v>
      </c>
      <c r="M4082" s="13" t="n">
        <f aca="true">K4082-TODAY()</f>
        <v>-309</v>
      </c>
      <c r="N4082" s="18" t="s">
        <v>728</v>
      </c>
      <c r="O4082" s="13" t="s">
        <v>1827</v>
      </c>
      <c r="P4082" s="19" t="n">
        <v>5444909</v>
      </c>
      <c r="Q4082" s="20" t="s">
        <v>16719</v>
      </c>
      <c r="R4082" s="13" t="s">
        <v>52</v>
      </c>
      <c r="S4082" s="14" t="n">
        <v>37192</v>
      </c>
      <c r="T4082" s="13" t="s">
        <v>108</v>
      </c>
      <c r="U4082" s="13" t="s">
        <v>16720</v>
      </c>
      <c r="V4082" s="13" t="s">
        <v>42</v>
      </c>
      <c r="W4082" s="13" t="s">
        <v>43</v>
      </c>
      <c r="X4082" s="21" t="n">
        <v>895397098780</v>
      </c>
      <c r="Y4082" s="22" t="str">
        <f aca="false">O4082</f>
        <v>Printing Operator</v>
      </c>
      <c r="Z4082" s="13" t="str">
        <f aca="false">IFERROR(__xludf.dummyfunction("if(BJ4082="""","""",GOOGLETRANSLATE(BJ4082,""auto"",""en""))"),"Printing Operator")</f>
        <v>Printing Operator</v>
      </c>
      <c r="AA4082" s="23" t="str">
        <f aca="false">IF(C4082="","", CHOOSE(MONTH(C4082),"January","February","March","April","May","June","July","August","September","October","November","December")&amp;" "&amp;DAY(C4082)&amp;MID("thstndrdth",MIN(9,2*RIGHT(DAY(C4082))*(MOD(DAY(C4082)-11,100)&gt;2)+1),2)&amp;","&amp;TEXT(C4082," yyyy"))</f>
        <v>June 3rd,2024</v>
      </c>
      <c r="AB4082" s="15" t="str">
        <f aca="true">IF(S4082="","",DATEDIF(S4082,TODAY(),"Y")&amp;" Tahun, "&amp;DATEDIF(S4082,TODAY(),"YM")&amp;" Bulan, "&amp;DATEDIF(S4082,TODAY(),"MD")&amp;" Hari")</f>
        <v>25 Tahun, 0 Bulan, 1 Hari</v>
      </c>
      <c r="AC4082" s="18" t="n">
        <v>45659</v>
      </c>
      <c r="AD4082" s="18" t="n">
        <v>46015</v>
      </c>
      <c r="AE4082" s="18" t="s">
        <v>44</v>
      </c>
    </row>
    <row r="4083" customFormat="false" ht="15" hidden="false" customHeight="true" outlineLevel="0" collapsed="false">
      <c r="A4083" s="12" t="n">
        <v>22850</v>
      </c>
      <c r="B4083" s="13" t="s">
        <v>16721</v>
      </c>
      <c r="C4083" s="14" t="n">
        <v>46279</v>
      </c>
      <c r="D4083" s="13" t="s">
        <v>1721</v>
      </c>
      <c r="E4083" s="13" t="s">
        <v>47</v>
      </c>
      <c r="F4083" s="24" t="s">
        <v>16722</v>
      </c>
      <c r="G4083" s="13" t="s">
        <v>1452</v>
      </c>
      <c r="H4083" s="13" t="s">
        <v>35</v>
      </c>
      <c r="I4083" s="13" t="str">
        <f aca="false">IF(C4083=J4083,"NEW KONTRAK","RE-KONTRAK")</f>
        <v>NEW KONTRAK</v>
      </c>
      <c r="J4083" s="16" t="n">
        <f aca="false" t="array" ref="J4083:J4083">IFERROR(INDEX(AC4083:AE4083,IF(COUNTA(AC4083:AE4083)=0,"",MAX((AC4083:AE4083&lt;&gt;"")*(COLUMN(AC4083:AE4083)-(COLUMN(AC4083)))))-1),"")</f>
        <v>46279</v>
      </c>
      <c r="K4083" s="16" t="n">
        <f aca="false" t="array" ref="K4083:K4083">IFERROR(INDEX(AC4083:AE4083,IF(COUNTA(AC4083:AE4083)=0,"",MAX((AC4083:AE4083&lt;&gt;"")*(COLUMN(AC4083:AE4083)-(COLUMN(AC4083)-1))))-1),"")</f>
        <v>46386</v>
      </c>
      <c r="L4083" s="17" t="str">
        <f aca="false" t="array" ref="L4083:L4083">IFERROR(INDEX(AC4083:AE4083,IF(COUNTA(AC4083:AE4083)=0,"",MAX((AC4083:AE4083&lt;&gt;"")*(COLUMN(AC4083:AE4083)-(COLUMN(AC4083)-2))))-1),"")</f>
        <v>ARCHIVED</v>
      </c>
      <c r="M4083" s="13" t="n">
        <f aca="true">K4083-TODAY()</f>
        <v>62</v>
      </c>
      <c r="N4083" s="18" t="s">
        <v>728</v>
      </c>
      <c r="O4083" s="13" t="s">
        <v>1755</v>
      </c>
      <c r="P4083" s="26" t="n">
        <v>5444909</v>
      </c>
      <c r="Q4083" s="20" t="s">
        <v>16723</v>
      </c>
      <c r="R4083" s="13" t="s">
        <v>260</v>
      </c>
      <c r="S4083" s="25" t="n">
        <v>38534</v>
      </c>
      <c r="T4083" s="13" t="s">
        <v>108</v>
      </c>
      <c r="U4083" s="13" t="s">
        <v>16724</v>
      </c>
      <c r="V4083" s="13" t="s">
        <v>42</v>
      </c>
      <c r="W4083" s="13" t="s">
        <v>43</v>
      </c>
      <c r="X4083" s="30" t="n">
        <v>81226012796</v>
      </c>
      <c r="Y4083" s="22" t="str">
        <f aca="false">O4083</f>
        <v>Im.Operator</v>
      </c>
      <c r="Z4083" s="13" t="str">
        <f aca="false">IFERROR(__xludf.dummyfunction("if(BJ4083="""","""",GOOGLETRANSLATE(BJ4083,""auto"",""en""))"),"Im.Operator")</f>
        <v>Im.Operator</v>
      </c>
      <c r="AA4083" s="23" t="str">
        <f aca="false">IF(C4083="","", CHOOSE(MONTH(C4083),"January","February","March","April","May","June","July","August","September","October","November","December")&amp;" "&amp;DAY(C4083)&amp;MID("thstndrdth",MIN(9,2*RIGHT(DAY(C4083))*(MOD(DAY(C4083)-11,100)&gt;2)+1),2)&amp;","&amp;TEXT(C4083," yyyy"))</f>
        <v>September 14th,2026</v>
      </c>
      <c r="AB4083" s="15" t="str">
        <f aca="true">IF(S4083="","",DATEDIF(S4083,TODAY(),"Y")&amp;" Tahun, "&amp;DATEDIF(S4083,TODAY(),"YM")&amp;" Bulan, "&amp;DATEDIF(S4083,TODAY(),"MD")&amp;" Hari")</f>
        <v>21 Tahun, 3 Bulan, 28 Hari</v>
      </c>
      <c r="AC4083" s="14" t="n">
        <v>46279</v>
      </c>
      <c r="AD4083" s="18" t="n">
        <v>46386</v>
      </c>
      <c r="AE4083" s="13" t="s">
        <v>44</v>
      </c>
    </row>
    <row r="4084" customFormat="false" ht="15" hidden="false" customHeight="true" outlineLevel="0" collapsed="false">
      <c r="A4084" s="12" t="n">
        <v>2231</v>
      </c>
      <c r="B4084" s="13" t="s">
        <v>16725</v>
      </c>
      <c r="C4084" s="14" t="n">
        <v>42377</v>
      </c>
      <c r="D4084" s="13" t="s">
        <v>1721</v>
      </c>
      <c r="E4084" s="15" t="s">
        <v>47</v>
      </c>
      <c r="F4084" s="15" t="str">
        <f aca="false">IFERROR(__xludf.dummyfunction("XLOOKUP(AJ4084,IMPORTRANGE(""1XaInW9DU9nz21V0tYIfzFQ0He9kVQ_JF2mCXgZ3hqFA"",""REKAP ALL 2026 - Andika!G:G""),IMPORTRANGE(""1XaInW9DU9nz21V0tYIfzFQ0He9kVQ_JF2mCXgZ3hqFA"",""REKAP ALL 2026 - Andika!F:F""),"""",0)"),"21024147262")</f>
        <v>21024147262</v>
      </c>
      <c r="G4084" s="13" t="s">
        <v>16726</v>
      </c>
      <c r="H4084" s="13" t="s">
        <v>35</v>
      </c>
      <c r="I4084" s="13" t="str">
        <f aca="false">IF(C4084=J4084,"NEW KONTRAK","RE-KONTRAK")</f>
        <v>RE-KONTRAK</v>
      </c>
      <c r="J4084" s="16" t="n">
        <f aca="false" t="array" ref="J4084:J4084">IFERROR(INDEX(AC4084:AE4084,IF(COUNTA(AC4084:AE4084)=0,"",MAX((AC4084:AE4084&lt;&gt;"")*(COLUMN(AC4084:AE4084)-(COLUMN(AC4084)))))-1),"")</f>
        <v>45659</v>
      </c>
      <c r="K4084" s="16" t="n">
        <f aca="false" t="array" ref="K4084:K4084">IFERROR(INDEX(AC4084:AE4084,IF(COUNTA(AC4084:AE4084)=0,"",MAX((AC4084:AE4084&lt;&gt;"")*(COLUMN(AC4084:AE4084)-(COLUMN(AC4084)-1))))-1),"")</f>
        <v>46015</v>
      </c>
      <c r="L4084" s="17" t="str">
        <f aca="false" t="array" ref="L4084:L4084">IFERROR(INDEX(AC4084:AE4084,IF(COUNTA(AC4084:AE4084)=0,"",MAX((AC4084:AE4084&lt;&gt;"")*(COLUMN(AC4084:AE4084)-(COLUMN(AC4084)-2))))-1),"")</f>
        <v>ARCHIVED</v>
      </c>
      <c r="M4084" s="13" t="n">
        <f aca="true">K4084-TODAY()</f>
        <v>-309</v>
      </c>
      <c r="N4084" s="18" t="s">
        <v>728</v>
      </c>
      <c r="O4084" s="13" t="s">
        <v>1914</v>
      </c>
      <c r="P4084" s="19" t="n">
        <v>5444909</v>
      </c>
      <c r="Q4084" s="20" t="s">
        <v>16727</v>
      </c>
      <c r="R4084" s="13" t="s">
        <v>246</v>
      </c>
      <c r="S4084" s="14" t="n">
        <v>33115</v>
      </c>
      <c r="T4084" s="13" t="s">
        <v>108</v>
      </c>
      <c r="U4084" s="13" t="s">
        <v>16728</v>
      </c>
      <c r="V4084" s="13" t="s">
        <v>42</v>
      </c>
      <c r="W4084" s="13" t="s">
        <v>54</v>
      </c>
      <c r="X4084" s="21" t="n">
        <v>82322476643</v>
      </c>
      <c r="Y4084" s="22" t="str">
        <f aca="false">O4084</f>
        <v>Im Operator</v>
      </c>
      <c r="Z4084" s="13" t="str">
        <f aca="false">IFERROR(__xludf.dummyfunction("if(BJ4084="""","""",GOOGLETRANSLATE(BJ4084,""auto"",""en""))"),"Im Operator")</f>
        <v>Im Operator</v>
      </c>
      <c r="AA4084" s="23" t="str">
        <f aca="false">IF(C4084="","", CHOOSE(MONTH(C4084),"January","February","March","April","May","June","July","August","September","October","November","December")&amp;" "&amp;DAY(C4084)&amp;MID("thstndrdth",MIN(9,2*RIGHT(DAY(C4084))*(MOD(DAY(C4084)-11,100)&gt;2)+1),2)&amp;","&amp;TEXT(C4084," yyyy"))</f>
        <v>January 8th,2016</v>
      </c>
      <c r="AB4084" s="15" t="str">
        <f aca="true">IF(S4084="","",DATEDIF(S4084,TODAY(),"Y")&amp;" Tahun, "&amp;DATEDIF(S4084,TODAY(),"YM")&amp;" Bulan, "&amp;DATEDIF(S4084,TODAY(),"MD")&amp;" Hari")</f>
        <v>36 Tahun, 1 Bulan, 29 Hari</v>
      </c>
      <c r="AC4084" s="18" t="n">
        <v>45659</v>
      </c>
      <c r="AD4084" s="18" t="n">
        <v>46015</v>
      </c>
      <c r="AE4084" s="18" t="s">
        <v>44</v>
      </c>
    </row>
    <row r="4085" customFormat="false" ht="15" hidden="false" customHeight="true" outlineLevel="0" collapsed="false">
      <c r="A4085" s="12" t="n">
        <v>22993</v>
      </c>
      <c r="B4085" s="13" t="s">
        <v>6741</v>
      </c>
      <c r="C4085" s="14" t="n">
        <v>46307</v>
      </c>
      <c r="D4085" s="13" t="s">
        <v>1721</v>
      </c>
      <c r="E4085" s="13" t="s">
        <v>47</v>
      </c>
      <c r="F4085" s="24" t="s">
        <v>16729</v>
      </c>
      <c r="G4085" s="13" t="s">
        <v>1127</v>
      </c>
      <c r="H4085" s="13" t="s">
        <v>35</v>
      </c>
      <c r="I4085" s="13" t="str">
        <f aca="false">IF(C4085=J4085,"NEW KONTRAK","RE-KONTRAK")</f>
        <v>NEW KONTRAK</v>
      </c>
      <c r="J4085" s="16" t="n">
        <f aca="false" t="array" ref="J4085:J4085">IFERROR(INDEX(AC4085:AE4085,IF(COUNTA(AC4085:AE4085)=0,"",MAX((AC4085:AE4085&lt;&gt;"")*(COLUMN(AC4085:AE4085)-(COLUMN(AC4085)))))-1),"")</f>
        <v>46307</v>
      </c>
      <c r="K4085" s="16" t="n">
        <f aca="false" t="array" ref="K4085:K4085">IFERROR(INDEX(AC4085:AE4085,IF(COUNTA(AC4085:AE4085)=0,"",MAX((AC4085:AE4085&lt;&gt;"")*(COLUMN(AC4085:AE4085)-(COLUMN(AC4085)-1))))-1),"")</f>
        <v>46386</v>
      </c>
      <c r="L4085" s="17" t="str">
        <f aca="false" t="array" ref="L4085:L4085">IFERROR(INDEX(AC4085:AE4085,IF(COUNTA(AC4085:AE4085)=0,"",MAX((AC4085:AE4085&lt;&gt;"")*(COLUMN(AC4085:AE4085)-(COLUMN(AC4085)-2))))-1),"")</f>
        <v>PRINTED</v>
      </c>
      <c r="M4085" s="13" t="n">
        <f aca="true">K4085-TODAY()</f>
        <v>62</v>
      </c>
      <c r="N4085" s="18" t="s">
        <v>728</v>
      </c>
      <c r="O4085" s="13" t="s">
        <v>1749</v>
      </c>
      <c r="P4085" s="26" t="n">
        <v>5444909</v>
      </c>
      <c r="Q4085" s="20" t="s">
        <v>6744</v>
      </c>
      <c r="R4085" s="13" t="s">
        <v>52</v>
      </c>
      <c r="S4085" s="25" t="n">
        <v>32783</v>
      </c>
      <c r="T4085" s="13" t="s">
        <v>108</v>
      </c>
      <c r="U4085" s="13" t="s">
        <v>16730</v>
      </c>
      <c r="V4085" s="13" t="s">
        <v>42</v>
      </c>
      <c r="W4085" s="13" t="s">
        <v>54</v>
      </c>
      <c r="X4085" s="21" t="n">
        <v>85707178645</v>
      </c>
      <c r="Y4085" s="22" t="str">
        <f aca="false">O4085</f>
        <v>BM Operator</v>
      </c>
      <c r="Z4085" s="13" t="str">
        <f aca="false">IFERROR(__xludf.dummyfunction("if(BJ4085="""","""",GOOGLETRANSLATE(BJ4085,""auto"",""en""))"),"BM Operator")</f>
        <v>BM Operator</v>
      </c>
      <c r="AA4085" s="23" t="str">
        <f aca="false">IF(C4085="","", CHOOSE(MONTH(C4085),"January","February","March","April","May","June","July","August","September","October","November","December")&amp;" "&amp;DAY(C4085)&amp;MID("thstndrdth",MIN(9,2*RIGHT(DAY(C4085))*(MOD(DAY(C4085)-11,100)&gt;2)+1),2)&amp;","&amp;TEXT(C4085," yyyy"))</f>
        <v>October 12th,2026</v>
      </c>
      <c r="AB4085" s="15" t="str">
        <f aca="true">IF(S4085="","",DATEDIF(S4085,TODAY(),"Y")&amp;" Tahun, "&amp;DATEDIF(S4085,TODAY(),"YM")&amp;" Bulan, "&amp;DATEDIF(S4085,TODAY(),"MD")&amp;" Hari")</f>
        <v>37 Tahun, 0 Bulan, 27 Hari</v>
      </c>
      <c r="AC4085" s="14" t="n">
        <v>46307</v>
      </c>
      <c r="AD4085" s="18" t="n">
        <v>46386</v>
      </c>
      <c r="AE4085" s="13" t="s">
        <v>1752</v>
      </c>
    </row>
    <row r="4086" customFormat="false" ht="15" hidden="false" customHeight="true" outlineLevel="0" collapsed="false">
      <c r="A4086" s="12" t="n">
        <v>22717</v>
      </c>
      <c r="B4086" s="13" t="s">
        <v>16731</v>
      </c>
      <c r="C4086" s="14" t="n">
        <v>46251</v>
      </c>
      <c r="D4086" s="13" t="s">
        <v>1721</v>
      </c>
      <c r="E4086" s="13" t="s">
        <v>47</v>
      </c>
      <c r="F4086" s="24" t="s">
        <v>16732</v>
      </c>
      <c r="G4086" s="13" t="s">
        <v>1452</v>
      </c>
      <c r="H4086" s="13" t="s">
        <v>35</v>
      </c>
      <c r="I4086" s="13" t="str">
        <f aca="false">IF(C4086=J4086,"NEW KONTRAK","RE-KONTRAK")</f>
        <v>NEW KONTRAK</v>
      </c>
      <c r="J4086" s="16" t="n">
        <f aca="false" t="array" ref="J4086:J4086">IFERROR(INDEX(AC4086:AE4086,IF(COUNTA(AC4086:AE4086)=0,"",MAX((AC4086:AE4086&lt;&gt;"")*(COLUMN(AC4086:AE4086)-(COLUMN(AC4086)))))-1),"")</f>
        <v>46251</v>
      </c>
      <c r="K4086" s="16" t="n">
        <f aca="false" t="array" ref="K4086:K4086">IFERROR(INDEX(AC4086:AE4086,IF(COUNTA(AC4086:AE4086)=0,"",MAX((AC4086:AE4086&lt;&gt;"")*(COLUMN(AC4086:AE4086)-(COLUMN(AC4086)-1))))-1),"")</f>
        <v>46342</v>
      </c>
      <c r="L4086" s="17" t="str">
        <f aca="false" t="array" ref="L4086:L4086">IFERROR(INDEX(AC4086:AE4086,IF(COUNTA(AC4086:AE4086)=0,"",MAX((AC4086:AE4086&lt;&gt;"")*(COLUMN(AC4086:AE4086)-(COLUMN(AC4086)-2))))-1),"")</f>
        <v>KEMBALI</v>
      </c>
      <c r="M4086" s="13" t="n">
        <f aca="true">K4086-TODAY()</f>
        <v>18</v>
      </c>
      <c r="N4086" s="18" t="s">
        <v>728</v>
      </c>
      <c r="O4086" s="13" t="s">
        <v>1722</v>
      </c>
      <c r="P4086" s="26" t="n">
        <v>5444909</v>
      </c>
      <c r="Q4086" s="20" t="s">
        <v>16733</v>
      </c>
      <c r="R4086" s="13" t="s">
        <v>2001</v>
      </c>
      <c r="S4086" s="25" t="n">
        <v>38672</v>
      </c>
      <c r="T4086" s="13" t="s">
        <v>40</v>
      </c>
      <c r="U4086" s="13" t="s">
        <v>16734</v>
      </c>
      <c r="V4086" s="13" t="s">
        <v>42</v>
      </c>
      <c r="W4086" s="13" t="s">
        <v>54</v>
      </c>
      <c r="X4086" s="21" t="n">
        <v>895328786484</v>
      </c>
      <c r="Y4086" s="22" t="str">
        <f aca="false">O4086</f>
        <v>Printing</v>
      </c>
      <c r="Z4086" s="13" t="str">
        <f aca="false">IFERROR(__xludf.dummyfunction("if(BJ4086="""","""",GOOGLETRANSLATE(BJ4086,""auto"",""en""))"),"Printing")</f>
        <v>Printing</v>
      </c>
      <c r="AA4086" s="23" t="str">
        <f aca="false">IF(C4086="","", CHOOSE(MONTH(C4086),"January","February","March","April","May","June","July","August","September","October","November","December")&amp;" "&amp;DAY(C4086)&amp;MID("thstndrdth",MIN(9,2*RIGHT(DAY(C4086))*(MOD(DAY(C4086)-11,100)&gt;2)+1),2)&amp;","&amp;TEXT(C4086," yyyy"))</f>
        <v>August 17th,2026</v>
      </c>
      <c r="AB4086" s="15" t="str">
        <f aca="true">IF(S4086="","",DATEDIF(S4086,TODAY(),"Y")&amp;" Tahun, "&amp;DATEDIF(S4086,TODAY(),"YM")&amp;" Bulan, "&amp;DATEDIF(S4086,TODAY(),"MD")&amp;" Hari")</f>
        <v>20 Tahun, 11 Bulan, 13 Hari</v>
      </c>
      <c r="AC4086" s="14" t="n">
        <v>46251</v>
      </c>
      <c r="AD4086" s="18" t="n">
        <f aca="false">EDATE(AC4086,3)-1</f>
        <v>46342</v>
      </c>
      <c r="AE4086" s="13" t="s">
        <v>397</v>
      </c>
    </row>
    <row r="4087" customFormat="false" ht="15" hidden="false" customHeight="true" outlineLevel="0" collapsed="false">
      <c r="A4087" s="12" t="n">
        <v>6035</v>
      </c>
      <c r="B4087" s="13" t="s">
        <v>16735</v>
      </c>
      <c r="C4087" s="14" t="n">
        <v>44658</v>
      </c>
      <c r="D4087" s="13" t="s">
        <v>1721</v>
      </c>
      <c r="E4087" s="15" t="s">
        <v>47</v>
      </c>
      <c r="F4087" s="15" t="str">
        <f aca="false">IFERROR(__xludf.dummyfunction("XLOOKUP(AJ4087,IMPORTRANGE(""1XaInW9DU9nz21V0tYIfzFQ0He9kVQ_JF2mCXgZ3hqFA"",""REKAP ALL 2026 - Andika!G:G""),IMPORTRANGE(""1XaInW9DU9nz21V0tYIfzFQ0He9kVQ_JF2mCXgZ3hqFA"",""REKAP ALL 2026 - Andika!F:F""),"""",0)"),"22037460619")</f>
        <v>22037460619</v>
      </c>
      <c r="G4087" s="13" t="s">
        <v>16736</v>
      </c>
      <c r="H4087" s="13" t="s">
        <v>35</v>
      </c>
      <c r="I4087" s="13" t="str">
        <f aca="false">IF(C4087=J4087,"NEW KONTRAK","RE-KONTRAK")</f>
        <v>RE-KONTRAK</v>
      </c>
      <c r="J4087" s="16" t="n">
        <f aca="false" t="array" ref="J4087:J4087">IFERROR(INDEX(AC4087:AE4087,IF(COUNTA(AC4087:AE4087)=0,"",MAX((AC4087:AE4087&lt;&gt;"")*(COLUMN(AC4087:AE4087)-(COLUMN(AC4087)))))-1),"")</f>
        <v>45659</v>
      </c>
      <c r="K4087" s="16" t="n">
        <f aca="false" t="array" ref="K4087:K4087">IFERROR(INDEX(AC4087:AE4087,IF(COUNTA(AC4087:AE4087)=0,"",MAX((AC4087:AE4087&lt;&gt;"")*(COLUMN(AC4087:AE4087)-(COLUMN(AC4087)-1))))-1),"")</f>
        <v>46015</v>
      </c>
      <c r="L4087" s="17" t="str">
        <f aca="false" t="array" ref="L4087:L4087">IFERROR(INDEX(AC4087:AE4087,IF(COUNTA(AC4087:AE4087)=0,"",MAX((AC4087:AE4087&lt;&gt;"")*(COLUMN(AC4087:AE4087)-(COLUMN(AC4087)-2))))-1),"")</f>
        <v>ARCHIVED</v>
      </c>
      <c r="M4087" s="13" t="n">
        <f aca="true">K4087-TODAY()</f>
        <v>-309</v>
      </c>
      <c r="N4087" s="18" t="s">
        <v>728</v>
      </c>
      <c r="O4087" s="13" t="s">
        <v>1744</v>
      </c>
      <c r="P4087" s="19" t="n">
        <v>5444909</v>
      </c>
      <c r="Q4087" s="20" t="s">
        <v>16737</v>
      </c>
      <c r="R4087" s="13" t="s">
        <v>255</v>
      </c>
      <c r="S4087" s="14" t="n">
        <v>37320</v>
      </c>
      <c r="T4087" s="13" t="s">
        <v>40</v>
      </c>
      <c r="U4087" s="13" t="s">
        <v>16738</v>
      </c>
      <c r="V4087" s="13" t="s">
        <v>42</v>
      </c>
      <c r="W4087" s="13" t="s">
        <v>43</v>
      </c>
      <c r="X4087" s="21" t="n">
        <v>81259847463</v>
      </c>
      <c r="Y4087" s="22" t="str">
        <f aca="false">O4087</f>
        <v>Print Operator</v>
      </c>
      <c r="Z4087" s="13" t="str">
        <f aca="false">IFERROR(__xludf.dummyfunction("if(BJ4087="""","""",GOOGLETRANSLATE(BJ4087,""auto"",""en""))"),"Print Operator")</f>
        <v>Print Operator</v>
      </c>
      <c r="AA4087" s="23" t="str">
        <f aca="false">IF(C4087="","", CHOOSE(MONTH(C4087),"January","February","March","April","May","June","July","August","September","October","November","December")&amp;" "&amp;DAY(C4087)&amp;MID("thstndrdth",MIN(9,2*RIGHT(DAY(C4087))*(MOD(DAY(C4087)-11,100)&gt;2)+1),2)&amp;","&amp;TEXT(C4087," yyyy"))</f>
        <v>April 7th,2022</v>
      </c>
      <c r="AB4087" s="15" t="str">
        <f aca="true">IF(S4087="","",DATEDIF(S4087,TODAY(),"Y")&amp;" Tahun, "&amp;DATEDIF(S4087,TODAY(),"YM")&amp;" Bulan, "&amp;DATEDIF(S4087,TODAY(),"MD")&amp;" Hari")</f>
        <v>24 Tahun, 7 Bulan, 24 Hari</v>
      </c>
      <c r="AC4087" s="18" t="n">
        <v>45659</v>
      </c>
      <c r="AD4087" s="18" t="n">
        <v>46015</v>
      </c>
      <c r="AE4087" s="18" t="s">
        <v>44</v>
      </c>
    </row>
    <row r="4088" customFormat="false" ht="15" hidden="false" customHeight="true" outlineLevel="0" collapsed="false">
      <c r="A4088" s="12" t="n">
        <v>22994</v>
      </c>
      <c r="B4088" s="13" t="s">
        <v>16739</v>
      </c>
      <c r="C4088" s="14" t="n">
        <v>46307</v>
      </c>
      <c r="D4088" s="13" t="s">
        <v>1721</v>
      </c>
      <c r="E4088" s="13" t="s">
        <v>47</v>
      </c>
      <c r="F4088" s="24" t="s">
        <v>16740</v>
      </c>
      <c r="G4088" s="13" t="s">
        <v>1127</v>
      </c>
      <c r="H4088" s="13" t="s">
        <v>35</v>
      </c>
      <c r="I4088" s="13" t="str">
        <f aca="false">IF(C4088=J4088,"NEW KONTRAK","RE-KONTRAK")</f>
        <v>NEW KONTRAK</v>
      </c>
      <c r="J4088" s="16" t="n">
        <f aca="false" t="array" ref="J4088:J4088">IFERROR(INDEX(AC4088:AE4088,IF(COUNTA(AC4088:AE4088)=0,"",MAX((AC4088:AE4088&lt;&gt;"")*(COLUMN(AC4088:AE4088)-(COLUMN(AC4088)))))-1),"")</f>
        <v>46307</v>
      </c>
      <c r="K4088" s="16" t="n">
        <f aca="false" t="array" ref="K4088:K4088">IFERROR(INDEX(AC4088:AE4088,IF(COUNTA(AC4088:AE4088)=0,"",MAX((AC4088:AE4088&lt;&gt;"")*(COLUMN(AC4088:AE4088)-(COLUMN(AC4088)-1))))-1),"")</f>
        <v>46386</v>
      </c>
      <c r="L4088" s="17" t="str">
        <f aca="false" t="array" ref="L4088:L4088">IFERROR(INDEX(AC4088:AE4088,IF(COUNTA(AC4088:AE4088)=0,"",MAX((AC4088:AE4088&lt;&gt;"")*(COLUMN(AC4088:AE4088)-(COLUMN(AC4088)-2))))-1),"")</f>
        <v>PRINTED</v>
      </c>
      <c r="M4088" s="13" t="n">
        <f aca="true">K4088-TODAY()</f>
        <v>62</v>
      </c>
      <c r="N4088" s="18" t="s">
        <v>728</v>
      </c>
      <c r="O4088" s="13" t="s">
        <v>1738</v>
      </c>
      <c r="P4088" s="26" t="n">
        <v>5444909</v>
      </c>
      <c r="Q4088" s="20" t="s">
        <v>16741</v>
      </c>
      <c r="R4088" s="13" t="s">
        <v>401</v>
      </c>
      <c r="S4088" s="25" t="n">
        <v>38077</v>
      </c>
      <c r="T4088" s="13" t="s">
        <v>108</v>
      </c>
      <c r="U4088" s="13" t="s">
        <v>16742</v>
      </c>
      <c r="V4088" s="13" t="s">
        <v>42</v>
      </c>
      <c r="W4088" s="13" t="s">
        <v>43</v>
      </c>
      <c r="X4088" s="21" t="n">
        <v>81334236467</v>
      </c>
      <c r="Y4088" s="22" t="str">
        <f aca="false">O4088</f>
        <v>IM Operator</v>
      </c>
      <c r="Z4088" s="13" t="str">
        <f aca="false">IFERROR(__xludf.dummyfunction("if(BJ4088="""","""",GOOGLETRANSLATE(BJ4088,""auto"",""en""))"),"IM Operator")</f>
        <v>IM Operator</v>
      </c>
      <c r="AA4088" s="23" t="str">
        <f aca="false">IF(C4088="","", CHOOSE(MONTH(C4088),"January","February","March","April","May","June","July","August","September","October","November","December")&amp;" "&amp;DAY(C4088)&amp;MID("thstndrdth",MIN(9,2*RIGHT(DAY(C4088))*(MOD(DAY(C4088)-11,100)&gt;2)+1),2)&amp;","&amp;TEXT(C4088," yyyy"))</f>
        <v>October 12th,2026</v>
      </c>
      <c r="AB4088" s="15" t="str">
        <f aca="true">IF(S4088="","",DATEDIF(S4088,TODAY(),"Y")&amp;" Tahun, "&amp;DATEDIF(S4088,TODAY(),"YM")&amp;" Bulan, "&amp;DATEDIF(S4088,TODAY(),"MD")&amp;" Hari")</f>
        <v>22 Tahun, 6 Bulan, 28 Hari</v>
      </c>
      <c r="AC4088" s="14" t="n">
        <v>46307</v>
      </c>
      <c r="AD4088" s="18" t="n">
        <v>46386</v>
      </c>
      <c r="AE4088" s="13" t="s">
        <v>1752</v>
      </c>
    </row>
    <row r="4089" customFormat="false" ht="15" hidden="false" customHeight="true" outlineLevel="0" collapsed="false">
      <c r="A4089" s="12" t="n">
        <v>6040</v>
      </c>
      <c r="B4089" s="13" t="s">
        <v>16743</v>
      </c>
      <c r="C4089" s="14" t="n">
        <v>44658</v>
      </c>
      <c r="D4089" s="13" t="s">
        <v>1721</v>
      </c>
      <c r="E4089" s="15" t="s">
        <v>47</v>
      </c>
      <c r="F4089" s="15" t="str">
        <f aca="false">IFERROR(__xludf.dummyfunction("XLOOKUP(AJ4089,IMPORTRANGE(""1XaInW9DU9nz21V0tYIfzFQ0He9kVQ_JF2mCXgZ3hqFA"",""REKAP ALL 2026 - Andika!G:G""),IMPORTRANGE(""1XaInW9DU9nz21V0tYIfzFQ0He9kVQ_JF2mCXgZ3hqFA"",""REKAP ALL 2026 - Andika!F:F""),"""",0)"),"22037460684")</f>
        <v>22037460684</v>
      </c>
      <c r="G4089" s="13" t="s">
        <v>16744</v>
      </c>
      <c r="H4089" s="13" t="s">
        <v>35</v>
      </c>
      <c r="I4089" s="13" t="str">
        <f aca="false">IF(C4089=J4089,"NEW KONTRAK","RE-KONTRAK")</f>
        <v>RE-KONTRAK</v>
      </c>
      <c r="J4089" s="16" t="n">
        <f aca="false" t="array" ref="J4089:J4089">IFERROR(INDEX(AC4089:AE4089,IF(COUNTA(AC4089:AE4089)=0,"",MAX((AC4089:AE4089&lt;&gt;"")*(COLUMN(AC4089:AE4089)-(COLUMN(AC4089)))))-1),"")</f>
        <v>45659</v>
      </c>
      <c r="K4089" s="16" t="n">
        <f aca="false" t="array" ref="K4089:K4089">IFERROR(INDEX(AC4089:AE4089,IF(COUNTA(AC4089:AE4089)=0,"",MAX((AC4089:AE4089&lt;&gt;"")*(COLUMN(AC4089:AE4089)-(COLUMN(AC4089)-1))))-1),"")</f>
        <v>46015</v>
      </c>
      <c r="L4089" s="17" t="str">
        <f aca="false" t="array" ref="L4089:L4089">IFERROR(INDEX(AC4089:AE4089,IF(COUNTA(AC4089:AE4089)=0,"",MAX((AC4089:AE4089&lt;&gt;"")*(COLUMN(AC4089:AE4089)-(COLUMN(AC4089)-2))))-1),"")</f>
        <v>ARCHIVED</v>
      </c>
      <c r="M4089" s="13" t="n">
        <f aca="true">K4089-TODAY()</f>
        <v>-309</v>
      </c>
      <c r="N4089" s="18" t="s">
        <v>728</v>
      </c>
      <c r="O4089" s="13" t="s">
        <v>1765</v>
      </c>
      <c r="P4089" s="19" t="n">
        <v>5444909</v>
      </c>
      <c r="Q4089" s="20" t="s">
        <v>16745</v>
      </c>
      <c r="R4089" s="13" t="s">
        <v>148</v>
      </c>
      <c r="S4089" s="14" t="n">
        <v>33075</v>
      </c>
      <c r="T4089" s="13" t="s">
        <v>108</v>
      </c>
      <c r="U4089" s="13" t="s">
        <v>16746</v>
      </c>
      <c r="V4089" s="13" t="s">
        <v>42</v>
      </c>
      <c r="W4089" s="13" t="s">
        <v>43</v>
      </c>
      <c r="X4089" s="21" t="n">
        <v>85733118791</v>
      </c>
      <c r="Y4089" s="22" t="str">
        <f aca="false">O4089</f>
        <v>Assy Operator</v>
      </c>
      <c r="Z4089" s="13" t="str">
        <f aca="false">IFERROR(__xludf.dummyfunction("if(BJ4089="""","""",GOOGLETRANSLATE(BJ4089,""auto"",""en""))"),"Assy Operator")</f>
        <v>Assy Operator</v>
      </c>
      <c r="AA4089" s="23" t="str">
        <f aca="false">IF(C4089="","", CHOOSE(MONTH(C4089),"January","February","March","April","May","June","July","August","September","October","November","December")&amp;" "&amp;DAY(C4089)&amp;MID("thstndrdth",MIN(9,2*RIGHT(DAY(C4089))*(MOD(DAY(C4089)-11,100)&gt;2)+1),2)&amp;","&amp;TEXT(C4089," yyyy"))</f>
        <v>April 7th,2022</v>
      </c>
      <c r="AB4089" s="15" t="str">
        <f aca="true">IF(S4089="","",DATEDIF(S4089,TODAY(),"Y")&amp;" Tahun, "&amp;DATEDIF(S4089,TODAY(),"YM")&amp;" Bulan, "&amp;DATEDIF(S4089,TODAY(),"MD")&amp;" Hari")</f>
        <v>36 Tahun, 3 Bulan, 8 Hari</v>
      </c>
      <c r="AC4089" s="18" t="n">
        <v>45659</v>
      </c>
      <c r="AD4089" s="18" t="n">
        <v>46015</v>
      </c>
      <c r="AE4089" s="18" t="s">
        <v>44</v>
      </c>
    </row>
    <row r="4090" customFormat="false" ht="15" hidden="false" customHeight="true" outlineLevel="0" collapsed="false">
      <c r="A4090" s="12" t="n">
        <v>22707</v>
      </c>
      <c r="B4090" s="13" t="s">
        <v>16747</v>
      </c>
      <c r="C4090" s="14" t="n">
        <v>46251</v>
      </c>
      <c r="D4090" s="13" t="s">
        <v>1721</v>
      </c>
      <c r="E4090" s="13" t="s">
        <v>47</v>
      </c>
      <c r="F4090" s="24" t="s">
        <v>16748</v>
      </c>
      <c r="G4090" s="13" t="s">
        <v>1452</v>
      </c>
      <c r="H4090" s="13" t="s">
        <v>35</v>
      </c>
      <c r="I4090" s="13" t="str">
        <f aca="false">IF(C4090=J4090,"NEW KONTRAK","RE-KONTRAK")</f>
        <v>NEW KONTRAK</v>
      </c>
      <c r="J4090" s="16" t="n">
        <f aca="false" t="array" ref="J4090:J4090">IFERROR(INDEX(AC4090:AE4090,IF(COUNTA(AC4090:AE4090)=0,"",MAX((AC4090:AE4090&lt;&gt;"")*(COLUMN(AC4090:AE4090)-(COLUMN(AC4090)))))-1),"")</f>
        <v>46251</v>
      </c>
      <c r="K4090" s="16" t="n">
        <f aca="false" t="array" ref="K4090:K4090">IFERROR(INDEX(AC4090:AE4090,IF(COUNTA(AC4090:AE4090)=0,"",MAX((AC4090:AE4090&lt;&gt;"")*(COLUMN(AC4090:AE4090)-(COLUMN(AC4090)-1))))-1),"")</f>
        <v>46342</v>
      </c>
      <c r="L4090" s="17" t="str">
        <f aca="false" t="array" ref="L4090:L4090">IFERROR(INDEX(AC4090:AE4090,IF(COUNTA(AC4090:AE4090)=0,"",MAX((AC4090:AE4090&lt;&gt;"")*(COLUMN(AC4090:AE4090)-(COLUMN(AC4090)-2))))-1),"")</f>
        <v>KEMBALI</v>
      </c>
      <c r="M4090" s="13" t="n">
        <f aca="true">K4090-TODAY()</f>
        <v>18</v>
      </c>
      <c r="N4090" s="18" t="s">
        <v>728</v>
      </c>
      <c r="O4090" s="13" t="s">
        <v>1822</v>
      </c>
      <c r="P4090" s="26" t="n">
        <v>5444909</v>
      </c>
      <c r="Q4090" s="20" t="s">
        <v>16749</v>
      </c>
      <c r="R4090" s="13" t="s">
        <v>78</v>
      </c>
      <c r="S4090" s="25" t="n">
        <v>39200</v>
      </c>
      <c r="T4090" s="13" t="s">
        <v>40</v>
      </c>
      <c r="U4090" s="13" t="s">
        <v>16750</v>
      </c>
      <c r="V4090" s="13" t="s">
        <v>42</v>
      </c>
      <c r="W4090" s="13" t="s">
        <v>54</v>
      </c>
      <c r="X4090" s="21" t="n">
        <v>85137119132</v>
      </c>
      <c r="Y4090" s="22" t="str">
        <f aca="false">O4090</f>
        <v>Assembling</v>
      </c>
      <c r="Z4090" s="13" t="str">
        <f aca="false">IFERROR(__xludf.dummyfunction("if(BJ4090="""","""",GOOGLETRANSLATE(BJ4090,""auto"",""en""))"),"Assembling")</f>
        <v>Assembling</v>
      </c>
      <c r="AA4090" s="23" t="str">
        <f aca="false">IF(C4090="","", CHOOSE(MONTH(C4090),"January","February","March","April","May","June","July","August","September","October","November","December")&amp;" "&amp;DAY(C4090)&amp;MID("thstndrdth",MIN(9,2*RIGHT(DAY(C4090))*(MOD(DAY(C4090)-11,100)&gt;2)+1),2)&amp;","&amp;TEXT(C4090," yyyy"))</f>
        <v>August 17th,2026</v>
      </c>
      <c r="AB4090" s="15" t="str">
        <f aca="true">IF(S4090="","",DATEDIF(S4090,TODAY(),"Y")&amp;" Tahun, "&amp;DATEDIF(S4090,TODAY(),"YM")&amp;" Bulan, "&amp;DATEDIF(S4090,TODAY(),"MD")&amp;" Hari")</f>
        <v>19 Tahun, 6 Bulan, 1 Hari</v>
      </c>
      <c r="AC4090" s="14" t="n">
        <v>46251</v>
      </c>
      <c r="AD4090" s="18" t="n">
        <f aca="false">EDATE(AC4090,3)-1</f>
        <v>46342</v>
      </c>
      <c r="AE4090" s="13" t="s">
        <v>397</v>
      </c>
    </row>
    <row r="4091" customFormat="false" ht="15" hidden="false" customHeight="true" outlineLevel="0" collapsed="false">
      <c r="A4091" s="12" t="n">
        <v>22720</v>
      </c>
      <c r="B4091" s="13" t="s">
        <v>16751</v>
      </c>
      <c r="C4091" s="14" t="n">
        <v>46241</v>
      </c>
      <c r="D4091" s="131" t="s">
        <v>12814</v>
      </c>
      <c r="E4091" s="13" t="s">
        <v>47</v>
      </c>
      <c r="F4091" s="24" t="s">
        <v>16752</v>
      </c>
      <c r="G4091" s="13" t="s">
        <v>1452</v>
      </c>
      <c r="H4091" s="13" t="s">
        <v>35</v>
      </c>
      <c r="I4091" s="13" t="str">
        <f aca="false">IF(C4091=J4091,"NEW KONTRAK","RE-KONTRAK")</f>
        <v>NEW KONTRAK</v>
      </c>
      <c r="J4091" s="16" t="n">
        <f aca="false" t="array" ref="J4091:J4091">IFERROR(INDEX(AC4091:AE4091,IF(COUNTA(AC4091:AE4091)=0,"",MAX((AC4091:AE4091&lt;&gt;"")*(COLUMN(AC4091:AE4091)-(COLUMN(AC4091)))))-1),"")</f>
        <v>46241</v>
      </c>
      <c r="K4091" s="16" t="n">
        <f aca="false" t="array" ref="K4091:K4091">IFERROR(INDEX(AC4091:AE4091,IF(COUNTA(AC4091:AE4091)=0,"",MAX((AC4091:AE4091&lt;&gt;"")*(COLUMN(AC4091:AE4091)-(COLUMN(AC4091)-1))))-1),"")</f>
        <v>46332</v>
      </c>
      <c r="L4091" s="17" t="str">
        <f aca="false" t="array" ref="L4091:L4091">IFERROR(INDEX(AC4091:AE4091,IF(COUNTA(AC4091:AE4091)=0,"",MAX((AC4091:AE4091&lt;&gt;"")*(COLUMN(AC4091:AE4091)-(COLUMN(AC4091)-2))))-1),"")</f>
        <v>KEMBALI</v>
      </c>
      <c r="M4091" s="13" t="n">
        <f aca="true">K4091-TODAY()</f>
        <v>8</v>
      </c>
      <c r="N4091" s="18" t="s">
        <v>36</v>
      </c>
      <c r="O4091" s="13" t="s">
        <v>12815</v>
      </c>
      <c r="P4091" s="19" t="n">
        <v>5195401</v>
      </c>
      <c r="Q4091" s="20" t="s">
        <v>16753</v>
      </c>
      <c r="R4091" s="13" t="s">
        <v>65</v>
      </c>
      <c r="S4091" s="25" t="n">
        <v>38894</v>
      </c>
      <c r="T4091" s="13" t="s">
        <v>108</v>
      </c>
      <c r="U4091" s="13" t="s">
        <v>16754</v>
      </c>
      <c r="V4091" s="13" t="s">
        <v>42</v>
      </c>
      <c r="W4091" s="13" t="s">
        <v>43</v>
      </c>
      <c r="X4091" s="21" t="n">
        <v>895429590637</v>
      </c>
      <c r="Y4091" s="22" t="str">
        <f aca="false">O4091</f>
        <v>Cook Helper</v>
      </c>
      <c r="Z4091" s="13" t="str">
        <f aca="false">IFERROR(__xludf.dummyfunction("if(BJ4091="""","""",GOOGLETRANSLATE(BJ4091,""auto"",""en""))"),"Cook Helper")</f>
        <v>Cook Helper</v>
      </c>
      <c r="AA4091" s="23" t="str">
        <f aca="false">IF(C4091="","", CHOOSE(MONTH(C4091),"January","February","March","April","May","June","July","August","September","October","November","December")&amp;" "&amp;DAY(C4091)&amp;MID("thstndrdth",MIN(9,2*RIGHT(DAY(C4091))*(MOD(DAY(C4091)-11,100)&gt;2)+1),2)&amp;","&amp;TEXT(C4091," yyyy"))</f>
        <v>August 7th,2026</v>
      </c>
      <c r="AB4091" s="15" t="str">
        <f aca="true">IF(S4091="","",DATEDIF(S4091,TODAY(),"Y")&amp;" Tahun, "&amp;DATEDIF(S4091,TODAY(),"YM")&amp;" Bulan, "&amp;DATEDIF(S4091,TODAY(),"MD")&amp;" Hari")</f>
        <v>20 Tahun, 4 Bulan, 3 Hari</v>
      </c>
      <c r="AC4091" s="14" t="n">
        <v>46241</v>
      </c>
      <c r="AD4091" s="18" t="n">
        <f aca="false">EDATE(AC4091,3)-1</f>
        <v>46332</v>
      </c>
      <c r="AE4091" s="13" t="s">
        <v>397</v>
      </c>
    </row>
    <row r="4092" customFormat="false" ht="15" hidden="false" customHeight="true" outlineLevel="0" collapsed="false">
      <c r="A4092" s="12" t="n">
        <v>22721</v>
      </c>
      <c r="B4092" s="13" t="s">
        <v>16755</v>
      </c>
      <c r="C4092" s="14" t="n">
        <v>46254</v>
      </c>
      <c r="D4092" s="13" t="s">
        <v>5892</v>
      </c>
      <c r="E4092" s="13" t="s">
        <v>47</v>
      </c>
      <c r="F4092" s="24" t="s">
        <v>16756</v>
      </c>
      <c r="G4092" s="13" t="s">
        <v>1452</v>
      </c>
      <c r="H4092" s="13" t="s">
        <v>35</v>
      </c>
      <c r="I4092" s="13" t="str">
        <f aca="false">IF(C4092=J4092,"NEW KONTRAK","RE-KONTRAK")</f>
        <v>NEW KONTRAK</v>
      </c>
      <c r="J4092" s="16" t="n">
        <f aca="false" t="array" ref="J4092:J4092">IFERROR(INDEX(AC4092:AE4092,IF(COUNTA(AC4092:AE4092)=0,"",MAX((AC4092:AE4092&lt;&gt;"")*(COLUMN(AC4092:AE4092)-(COLUMN(AC4092)))))-1),"")</f>
        <v>46254</v>
      </c>
      <c r="K4092" s="16" t="n">
        <f aca="false" t="array" ref="K4092:K4092">IFERROR(INDEX(AC4092:AE4092,IF(COUNTA(AC4092:AE4092)=0,"",MAX((AC4092:AE4092&lt;&gt;"")*(COLUMN(AC4092:AE4092)-(COLUMN(AC4092)-1))))-1),"")</f>
        <v>46304</v>
      </c>
      <c r="L4092" s="17" t="str">
        <f aca="false" t="array" ref="L4092:L4092">IFERROR(INDEX(AC4092:AE4092,IF(COUNTA(AC4092:AE4092)=0,"",MAX((AC4092:AE4092&lt;&gt;"")*(COLUMN(AC4092:AE4092)-(COLUMN(AC4092)-2))))-1),"")</f>
        <v>KEMBALI</v>
      </c>
      <c r="M4092" s="13" t="n">
        <f aca="true">K4092-TODAY()</f>
        <v>-20</v>
      </c>
      <c r="N4092" s="18" t="s">
        <v>105</v>
      </c>
      <c r="O4092" s="13" t="s">
        <v>6285</v>
      </c>
      <c r="P4092" s="26" t="n">
        <v>4250000</v>
      </c>
      <c r="Q4092" s="20" t="s">
        <v>16757</v>
      </c>
      <c r="R4092" s="13" t="s">
        <v>232</v>
      </c>
      <c r="S4092" s="25" t="n">
        <v>32881</v>
      </c>
      <c r="T4092" s="13" t="s">
        <v>40</v>
      </c>
      <c r="U4092" s="13" t="s">
        <v>16758</v>
      </c>
      <c r="V4092" s="13" t="s">
        <v>42</v>
      </c>
      <c r="W4092" s="13" t="s">
        <v>54</v>
      </c>
      <c r="X4092" s="21" t="n">
        <v>82131215676</v>
      </c>
      <c r="Y4092" s="22" t="str">
        <f aca="false">O4092</f>
        <v>Operator Reach Truck</v>
      </c>
      <c r="Z4092" s="13" t="str">
        <f aca="false">IFERROR(__xludf.dummyfunction("if(BJ4092="""","""",GOOGLETRANSLATE(BJ4092,""auto"",""en""))"),"Operator Reach Truck")</f>
        <v>Operator Reach Truck</v>
      </c>
      <c r="AA4092" s="23" t="str">
        <f aca="false">IF(C4092="","", CHOOSE(MONTH(C4092),"January","February","March","April","May","June","July","August","September","October","November","December")&amp;" "&amp;DAY(C4092)&amp;MID("thstndrdth",MIN(9,2*RIGHT(DAY(C4092))*(MOD(DAY(C4092)-11,100)&gt;2)+1),2)&amp;","&amp;TEXT(C4092," yyyy"))</f>
        <v>August 20th,2026</v>
      </c>
      <c r="AB4092" s="15" t="str">
        <f aca="true">IF(S4092="","",DATEDIF(S4092,TODAY(),"Y")&amp;" Tahun, "&amp;DATEDIF(S4092,TODAY(),"YM")&amp;" Bulan, "&amp;DATEDIF(S4092,TODAY(),"MD")&amp;" Hari")</f>
        <v>36 Tahun, 9 Bulan, 21 Hari</v>
      </c>
      <c r="AC4092" s="14" t="n">
        <v>46254</v>
      </c>
      <c r="AD4092" s="18" t="n">
        <v>46304</v>
      </c>
      <c r="AE4092" s="13" t="s">
        <v>397</v>
      </c>
    </row>
    <row r="4093" customFormat="false" ht="15" hidden="false" customHeight="true" outlineLevel="0" collapsed="false">
      <c r="A4093" s="12" t="n">
        <v>2122</v>
      </c>
      <c r="B4093" s="13" t="s">
        <v>16759</v>
      </c>
      <c r="C4093" s="14" t="n">
        <v>44349</v>
      </c>
      <c r="D4093" s="13" t="s">
        <v>101</v>
      </c>
      <c r="E4093" s="15" t="s">
        <v>47</v>
      </c>
      <c r="F4093" s="15" t="str">
        <f aca="false">IFERROR(__xludf.dummyfunction("XLOOKUP(AJ4093,IMPORTRANGE(""1XaInW9DU9nz21V0tYIfzFQ0He9kVQ_JF2mCXgZ3hqFA"",""REKAP ALL 2026 - Andika!G:G""),IMPORTRANGE(""1XaInW9DU9nz21V0tYIfzFQ0He9kVQ_JF2mCXgZ3hqFA"",""REKAP ALL 2026 - Andika!F:F""),"""",0)"),"21050459128")</f>
        <v>21050459128</v>
      </c>
      <c r="G4093" s="13" t="s">
        <v>16760</v>
      </c>
      <c r="H4093" s="13" t="s">
        <v>35</v>
      </c>
      <c r="I4093" s="13" t="str">
        <f aca="false">IF(C4093=J4093,"NEW KONTRAK","RE-KONTRAK")</f>
        <v>RE-KONTRAK</v>
      </c>
      <c r="J4093" s="16" t="n">
        <f aca="false" t="array" ref="J4093:J4093">IFERROR(INDEX(AC4093:AE4093,IF(COUNTA(AC4093:AE4093)=0,"",MAX((AC4093:AE4093&lt;&gt;"")*(COLUMN(AC4093:AE4093)-(COLUMN(AC4093)))))-1),"")</f>
        <v>45672</v>
      </c>
      <c r="K4093" s="16" t="n">
        <f aca="false" t="array" ref="K4093:K4093">IFERROR(INDEX(AC4093:AE4093,IF(COUNTA(AC4093:AE4093)=0,"",MAX((AC4093:AE4093&lt;&gt;"")*(COLUMN(AC4093:AE4093)-(COLUMN(AC4093)-1))))-1),"")</f>
        <v>46036</v>
      </c>
      <c r="L4093" s="17" t="str">
        <f aca="false" t="array" ref="L4093:L4093">IFERROR(INDEX(AC4093:AE4093,IF(COUNTA(AC4093:AE4093)=0,"",MAX((AC4093:AE4093&lt;&gt;"")*(COLUMN(AC4093:AE4093)-(COLUMN(AC4093)-2))))-1),"")</f>
        <v>ARCHIVED</v>
      </c>
      <c r="M4093" s="13" t="n">
        <f aca="true">K4093-TODAY()</f>
        <v>-288</v>
      </c>
      <c r="N4093" s="18" t="s">
        <v>105</v>
      </c>
      <c r="O4093" s="13" t="s">
        <v>1476</v>
      </c>
      <c r="P4093" s="31" t="n">
        <v>138915</v>
      </c>
      <c r="Q4093" s="20" t="s">
        <v>16761</v>
      </c>
      <c r="R4093" s="13" t="s">
        <v>39</v>
      </c>
      <c r="S4093" s="25" t="n">
        <v>35304</v>
      </c>
      <c r="T4093" s="13" t="s">
        <v>40</v>
      </c>
      <c r="U4093" s="13" t="s">
        <v>16762</v>
      </c>
      <c r="V4093" s="13" t="s">
        <v>42</v>
      </c>
      <c r="W4093" s="13" t="s">
        <v>43</v>
      </c>
      <c r="X4093" s="21" t="n">
        <v>82140521009</v>
      </c>
      <c r="Y4093" s="22" t="str">
        <f aca="false">O4093</f>
        <v>Gudang RMPM - Helper</v>
      </c>
      <c r="Z4093" s="13" t="str">
        <f aca="false">IFERROR(__xludf.dummyfunction("if(BJ4093="""","""",GOOGLETRANSLATE(BJ4093,""auto"",""en""))"),"RMPM Warehouse - Helper")</f>
        <v>RMPM Warehouse - Helper</v>
      </c>
      <c r="AA4093" s="23" t="str">
        <f aca="false">IF(C4093="","", CHOOSE(MONTH(C4093),"January","February","March","April","May","June","July","August","September","October","November","December")&amp;" "&amp;DAY(C4093)&amp;MID("thstndrdth",MIN(9,2*RIGHT(DAY(C4093))*(MOD(DAY(C4093)-11,100)&gt;2)+1),2)&amp;","&amp;TEXT(C4093," yyyy"))</f>
        <v>June 2nd,2021</v>
      </c>
      <c r="AB4093" s="15" t="str">
        <f aca="true">IF(S4093="","",DATEDIF(S4093,TODAY(),"Y")&amp;" Tahun, "&amp;DATEDIF(S4093,TODAY(),"YM")&amp;" Bulan, "&amp;DATEDIF(S4093,TODAY(),"MD")&amp;" Hari")</f>
        <v>30 Tahun, 2 Bulan, 2 Hari</v>
      </c>
      <c r="AC4093" s="18" t="n">
        <v>45672</v>
      </c>
      <c r="AD4093" s="18" t="n">
        <v>46036</v>
      </c>
      <c r="AE4093" s="18" t="s">
        <v>44</v>
      </c>
    </row>
    <row r="4094" customFormat="false" ht="15" hidden="false" customHeight="true" outlineLevel="0" collapsed="false">
      <c r="A4094" s="12" t="n">
        <v>22902</v>
      </c>
      <c r="B4094" s="13" t="s">
        <v>16763</v>
      </c>
      <c r="C4094" s="14" t="n">
        <v>46250</v>
      </c>
      <c r="D4094" s="13" t="s">
        <v>2033</v>
      </c>
      <c r="E4094" s="13" t="s">
        <v>47</v>
      </c>
      <c r="F4094" s="24" t="s">
        <v>16764</v>
      </c>
      <c r="G4094" s="13" t="s">
        <v>1452</v>
      </c>
      <c r="H4094" s="13" t="s">
        <v>35</v>
      </c>
      <c r="I4094" s="13" t="str">
        <f aca="false">IF(C4094=J4094,"NEW KONTRAK","RE-KONTRAK")</f>
        <v>NEW KONTRAK</v>
      </c>
      <c r="J4094" s="16" t="n">
        <f aca="false" t="array" ref="J4094:J4094">IFERROR(INDEX(AC4094:AE4094,IF(COUNTA(AC4094:AE4094)=0,"",MAX((AC4094:AE4094&lt;&gt;"")*(COLUMN(AC4094:AE4094)-(COLUMN(AC4094)))))-1),"")</f>
        <v>46250</v>
      </c>
      <c r="K4094" s="16" t="n">
        <f aca="false" t="array" ref="K4094:K4094">IFERROR(INDEX(AC4094:AE4094,IF(COUNTA(AC4094:AE4094)=0,"",MAX((AC4094:AE4094&lt;&gt;"")*(COLUMN(AC4094:AE4094)-(COLUMN(AC4094)-1))))-1),"")</f>
        <v>46402</v>
      </c>
      <c r="L4094" s="17" t="str">
        <f aca="false" t="array" ref="L4094:L4094">IFERROR(INDEX(AC4094:AE4094,IF(COUNTA(AC4094:AE4094)=0,"",MAX((AC4094:AE4094&lt;&gt;"")*(COLUMN(AC4094:AE4094)-(COLUMN(AC4094)-2))))-1),"")</f>
        <v>KEMBALI ONLINE</v>
      </c>
      <c r="M4094" s="13" t="n">
        <f aca="true">K4094-TODAY()</f>
        <v>78</v>
      </c>
      <c r="N4094" s="28" t="s">
        <v>8976</v>
      </c>
      <c r="O4094" s="13" t="s">
        <v>2384</v>
      </c>
      <c r="P4094" s="26" t="n">
        <v>3229958</v>
      </c>
      <c r="Q4094" s="20" t="s">
        <v>16765</v>
      </c>
      <c r="R4094" s="13" t="s">
        <v>2363</v>
      </c>
      <c r="S4094" s="25" t="n">
        <v>36302</v>
      </c>
      <c r="T4094" s="13" t="s">
        <v>108</v>
      </c>
      <c r="U4094" s="13" t="s">
        <v>16766</v>
      </c>
      <c r="V4094" s="13" t="s">
        <v>42</v>
      </c>
      <c r="W4094" s="13" t="s">
        <v>43</v>
      </c>
      <c r="X4094" s="21" t="n">
        <v>81264312720</v>
      </c>
      <c r="Y4094" s="22" t="str">
        <f aca="false">O4094</f>
        <v>SPG</v>
      </c>
      <c r="Z4094" s="13" t="str">
        <f aca="false">IFERROR(__xludf.dummyfunction("if(BJ4094="""","""",GOOGLETRANSLATE(BJ4094,""auto"",""en""))"),"SPG")</f>
        <v>SPG</v>
      </c>
      <c r="AA4094" s="23" t="str">
        <f aca="false">IF(C4094="","", CHOOSE(MONTH(C4094),"January","February","March","April","May","June","July","August","September","October","November","December")&amp;" "&amp;DAY(C4094)&amp;MID("thstndrdth",MIN(9,2*RIGHT(DAY(C4094))*(MOD(DAY(C4094)-11,100)&gt;2)+1),2)&amp;","&amp;TEXT(C4094," yyyy"))</f>
        <v>August 16th,2026</v>
      </c>
      <c r="AB4094" s="15" t="str">
        <f aca="true">IF(S4094="","",DATEDIF(S4094,TODAY(),"Y")&amp;" Tahun, "&amp;DATEDIF(S4094,TODAY(),"YM")&amp;" Bulan, "&amp;DATEDIF(S4094,TODAY(),"MD")&amp;" Hari")</f>
        <v>27 Tahun, 5 Bulan, 7 Hari</v>
      </c>
      <c r="AC4094" s="14" t="n">
        <v>46250</v>
      </c>
      <c r="AD4094" s="18" t="n">
        <v>46402</v>
      </c>
      <c r="AE4094" s="13" t="s">
        <v>2387</v>
      </c>
    </row>
    <row r="4095" customFormat="false" ht="15" hidden="false" customHeight="true" outlineLevel="0" collapsed="false">
      <c r="A4095" s="12" t="n">
        <v>23012</v>
      </c>
      <c r="B4095" s="13" t="s">
        <v>3691</v>
      </c>
      <c r="C4095" s="14" t="n">
        <v>46302</v>
      </c>
      <c r="D4095" s="13" t="s">
        <v>2033</v>
      </c>
      <c r="E4095" s="13" t="s">
        <v>47</v>
      </c>
      <c r="F4095" s="24" t="s">
        <v>16767</v>
      </c>
      <c r="G4095" s="13" t="s">
        <v>1127</v>
      </c>
      <c r="H4095" s="13" t="s">
        <v>35</v>
      </c>
      <c r="I4095" s="13" t="str">
        <f aca="false">IF(C4095=J4095,"NEW KONTRAK","RE-KONTRAK")</f>
        <v>NEW KONTRAK</v>
      </c>
      <c r="J4095" s="16" t="n">
        <f aca="false" t="array" ref="J4095:J4095">IFERROR(INDEX(AC4095:AE4095,IF(COUNTA(AC4095:AE4095)=0,"",MAX((AC4095:AE4095&lt;&gt;"")*(COLUMN(AC4095:AE4095)-(COLUMN(AC4095)))))-1),"")</f>
        <v>46302</v>
      </c>
      <c r="K4095" s="16" t="n">
        <f aca="false" t="array" ref="K4095:K4095">IFERROR(INDEX(AC4095:AE4095,IF(COUNTA(AC4095:AE4095)=0,"",MAX((AC4095:AE4095&lt;&gt;"")*(COLUMN(AC4095:AE4095)-(COLUMN(AC4095)-1))))-1),"")</f>
        <v>46402</v>
      </c>
      <c r="L4095" s="17" t="str">
        <f aca="false" t="array" ref="L4095:L4095">IFERROR(INDEX(AC4095:AE4095,IF(COUNTA(AC4095:AE4095)=0,"",MAX((AC4095:AE4095&lt;&gt;"")*(COLUMN(AC4095:AE4095)-(COLUMN(AC4095)-2))))-1),"")</f>
        <v>DRAFTED ONLINE</v>
      </c>
      <c r="M4095" s="13" t="n">
        <f aca="true">K4095-TODAY()</f>
        <v>78</v>
      </c>
      <c r="N4095" s="13" t="s">
        <v>2363</v>
      </c>
      <c r="O4095" s="13" t="s">
        <v>2384</v>
      </c>
      <c r="P4095" s="26" t="n">
        <v>4335198</v>
      </c>
      <c r="Q4095" s="20" t="s">
        <v>16768</v>
      </c>
      <c r="R4095" s="13" t="s">
        <v>2363</v>
      </c>
      <c r="S4095" s="25" t="n">
        <v>36901</v>
      </c>
      <c r="T4095" s="13" t="s">
        <v>108</v>
      </c>
      <c r="U4095" s="13" t="s">
        <v>16769</v>
      </c>
      <c r="V4095" s="13" t="s">
        <v>42</v>
      </c>
      <c r="W4095" s="13" t="s">
        <v>43</v>
      </c>
      <c r="X4095" s="21" t="n">
        <v>83891902659</v>
      </c>
      <c r="Y4095" s="22" t="str">
        <f aca="false">O4095</f>
        <v>SPG</v>
      </c>
      <c r="Z4095" s="13" t="str">
        <f aca="false">IFERROR(__xludf.dummyfunction("if(BJ4095="""","""",GOOGLETRANSLATE(BJ4095,""auto"",""en""))"),"SPG")</f>
        <v>SPG</v>
      </c>
      <c r="AA4095" s="23" t="str">
        <f aca="false">IF(C4095="","", CHOOSE(MONTH(C4095),"January","February","March","April","May","June","July","August","September","October","November","December")&amp;" "&amp;DAY(C4095)&amp;MID("thstndrdth",MIN(9,2*RIGHT(DAY(C4095))*(MOD(DAY(C4095)-11,100)&gt;2)+1),2)&amp;","&amp;TEXT(C4095," yyyy"))</f>
        <v>October 7th,2026</v>
      </c>
      <c r="AB4095" s="15" t="str">
        <f aca="true">IF(S4095="","",DATEDIF(S4095,TODAY(),"Y")&amp;" Tahun, "&amp;DATEDIF(S4095,TODAY(),"YM")&amp;" Bulan, "&amp;DATEDIF(S4095,TODAY(),"MD")&amp;" Hari")</f>
        <v>25 Tahun, 9 Bulan, 19 Hari</v>
      </c>
      <c r="AC4095" s="14" t="n">
        <v>46302</v>
      </c>
      <c r="AD4095" s="18" t="n">
        <v>46402</v>
      </c>
      <c r="AE4095" s="13" t="s">
        <v>2424</v>
      </c>
    </row>
    <row r="4096" customFormat="false" ht="15" hidden="false" customHeight="true" outlineLevel="0" collapsed="false">
      <c r="A4096" s="12" t="n">
        <v>22725</v>
      </c>
      <c r="B4096" s="13" t="s">
        <v>16770</v>
      </c>
      <c r="C4096" s="14" t="n">
        <v>46255</v>
      </c>
      <c r="D4096" s="13" t="s">
        <v>5726</v>
      </c>
      <c r="E4096" s="13" t="s">
        <v>47</v>
      </c>
      <c r="F4096" s="24" t="s">
        <v>16771</v>
      </c>
      <c r="G4096" s="13" t="s">
        <v>1452</v>
      </c>
      <c r="H4096" s="13" t="s">
        <v>35</v>
      </c>
      <c r="I4096" s="13" t="str">
        <f aca="false">IF(C4096=J4096,"NEW KONTRAK","RE-KONTRAK")</f>
        <v>NEW KONTRAK</v>
      </c>
      <c r="J4096" s="16" t="n">
        <f aca="false" t="array" ref="J4096:J4096">IFERROR(INDEX(AC4096:AE4096,IF(COUNTA(AC4096:AE4096)=0,"",MAX((AC4096:AE4096&lt;&gt;"")*(COLUMN(AC4096:AE4096)-(COLUMN(AC4096)))))-1),"")</f>
        <v>46255</v>
      </c>
      <c r="K4096" s="16" t="n">
        <f aca="false" t="array" ref="K4096:K4096">IFERROR(INDEX(AC4096:AE4096,IF(COUNTA(AC4096:AE4096)=0,"",MAX((AC4096:AE4096&lt;&gt;"")*(COLUMN(AC4096:AE4096)-(COLUMN(AC4096)-1))))-1),"")</f>
        <v>46346</v>
      </c>
      <c r="L4096" s="17" t="str">
        <f aca="false" t="array" ref="L4096:L4096">IFERROR(INDEX(AC4096:AE4096,IF(COUNTA(AC4096:AE4096)=0,"",MAX((AC4096:AE4096&lt;&gt;"")*(COLUMN(AC4096:AE4096)-(COLUMN(AC4096)-2))))-1),"")</f>
        <v>KEMBALI</v>
      </c>
      <c r="M4096" s="13" t="n">
        <f aca="true">K4096-TODAY()</f>
        <v>22</v>
      </c>
      <c r="N4096" s="18" t="s">
        <v>615</v>
      </c>
      <c r="O4096" s="13" t="s">
        <v>1531</v>
      </c>
      <c r="P4096" s="19" t="n">
        <v>5176101</v>
      </c>
      <c r="Q4096" s="20" t="s">
        <v>16772</v>
      </c>
      <c r="R4096" s="13" t="s">
        <v>232</v>
      </c>
      <c r="S4096" s="25" t="n">
        <v>34982</v>
      </c>
      <c r="T4096" s="13" t="s">
        <v>40</v>
      </c>
      <c r="U4096" s="13" t="s">
        <v>16773</v>
      </c>
      <c r="V4096" s="13" t="s">
        <v>42</v>
      </c>
      <c r="W4096" s="13" t="s">
        <v>54</v>
      </c>
      <c r="X4096" s="21" t="n">
        <v>85234172461</v>
      </c>
      <c r="Y4096" s="22" t="str">
        <f aca="false">O4096</f>
        <v>Packer</v>
      </c>
      <c r="Z4096" s="13" t="str">
        <f aca="false">IFERROR(__xludf.dummyfunction("if(BJ4096="""","""",GOOGLETRANSLATE(BJ4096,""auto"",""en""))"),"Packer")</f>
        <v>Packer</v>
      </c>
      <c r="AA4096" s="23" t="str">
        <f aca="false">IF(C4096="","", CHOOSE(MONTH(C4096),"January","February","March","April","May","June","July","August","September","October","November","December")&amp;" "&amp;DAY(C4096)&amp;MID("thstndrdth",MIN(9,2*RIGHT(DAY(C4096))*(MOD(DAY(C4096)-11,100)&gt;2)+1),2)&amp;","&amp;TEXT(C4096," yyyy"))</f>
        <v>August 21st,2026</v>
      </c>
      <c r="AB4096" s="15" t="str">
        <f aca="true">IF(S4096="","",DATEDIF(S4096,TODAY(),"Y")&amp;" Tahun, "&amp;DATEDIF(S4096,TODAY(),"YM")&amp;" Bulan, "&amp;DATEDIF(S4096,TODAY(),"MD")&amp;" Hari")</f>
        <v>31 Tahun, 0 Bulan, 19 Hari</v>
      </c>
      <c r="AC4096" s="14" t="n">
        <v>46255</v>
      </c>
      <c r="AD4096" s="18" t="n">
        <f aca="false">EDATE(AC4096,3)-1</f>
        <v>46346</v>
      </c>
      <c r="AE4096" s="13" t="s">
        <v>397</v>
      </c>
    </row>
    <row r="4097" customFormat="false" ht="15" hidden="false" customHeight="true" outlineLevel="0" collapsed="false">
      <c r="A4097" s="12" t="n">
        <v>22726</v>
      </c>
      <c r="B4097" s="13" t="s">
        <v>16774</v>
      </c>
      <c r="C4097" s="14" t="n">
        <v>46255</v>
      </c>
      <c r="D4097" s="13" t="s">
        <v>5726</v>
      </c>
      <c r="E4097" s="13" t="s">
        <v>47</v>
      </c>
      <c r="F4097" s="24" t="s">
        <v>16775</v>
      </c>
      <c r="G4097" s="13" t="s">
        <v>1452</v>
      </c>
      <c r="H4097" s="13" t="s">
        <v>35</v>
      </c>
      <c r="I4097" s="13" t="str">
        <f aca="false">IF(C4097=J4097,"NEW KONTRAK","RE-KONTRAK")</f>
        <v>NEW KONTRAK</v>
      </c>
      <c r="J4097" s="16" t="n">
        <f aca="false" t="array" ref="J4097:J4097">IFERROR(INDEX(AC4097:AE4097,IF(COUNTA(AC4097:AE4097)=0,"",MAX((AC4097:AE4097&lt;&gt;"")*(COLUMN(AC4097:AE4097)-(COLUMN(AC4097)))))-1),"")</f>
        <v>46255</v>
      </c>
      <c r="K4097" s="16" t="n">
        <f aca="false" t="array" ref="K4097:K4097">IFERROR(INDEX(AC4097:AE4097,IF(COUNTA(AC4097:AE4097)=0,"",MAX((AC4097:AE4097&lt;&gt;"")*(COLUMN(AC4097:AE4097)-(COLUMN(AC4097)-1))))-1),"")</f>
        <v>46346</v>
      </c>
      <c r="L4097" s="17" t="str">
        <f aca="false" t="array" ref="L4097:L4097">IFERROR(INDEX(AC4097:AE4097,IF(COUNTA(AC4097:AE4097)=0,"",MAX((AC4097:AE4097&lt;&gt;"")*(COLUMN(AC4097:AE4097)-(COLUMN(AC4097)-2))))-1),"")</f>
        <v>KEMBALI</v>
      </c>
      <c r="M4097" s="13" t="n">
        <f aca="true">K4097-TODAY()</f>
        <v>22</v>
      </c>
      <c r="N4097" s="18" t="s">
        <v>615</v>
      </c>
      <c r="O4097" s="13" t="s">
        <v>1531</v>
      </c>
      <c r="P4097" s="19" t="n">
        <v>5176101</v>
      </c>
      <c r="Q4097" s="20" t="s">
        <v>16776</v>
      </c>
      <c r="R4097" s="13" t="s">
        <v>324</v>
      </c>
      <c r="S4097" s="25" t="n">
        <v>37983</v>
      </c>
      <c r="T4097" s="13" t="s">
        <v>108</v>
      </c>
      <c r="U4097" s="13" t="s">
        <v>16777</v>
      </c>
      <c r="V4097" s="13" t="s">
        <v>42</v>
      </c>
      <c r="W4097" s="13" t="s">
        <v>43</v>
      </c>
      <c r="X4097" s="21" t="n">
        <v>81334681567</v>
      </c>
      <c r="Y4097" s="22" t="str">
        <f aca="false">O4097</f>
        <v>Packer</v>
      </c>
      <c r="Z4097" s="13" t="str">
        <f aca="false">IFERROR(__xludf.dummyfunction("if(BJ4097="""","""",GOOGLETRANSLATE(BJ4097,""auto"",""en""))"),"Packer")</f>
        <v>Packer</v>
      </c>
      <c r="AA4097" s="23" t="str">
        <f aca="false">IF(C4097="","", CHOOSE(MONTH(C4097),"January","February","March","April","May","June","July","August","September","October","November","December")&amp;" "&amp;DAY(C4097)&amp;MID("thstndrdth",MIN(9,2*RIGHT(DAY(C4097))*(MOD(DAY(C4097)-11,100)&gt;2)+1),2)&amp;","&amp;TEXT(C4097," yyyy"))</f>
        <v>August 21st,2026</v>
      </c>
      <c r="AB4097" s="15" t="str">
        <f aca="true">IF(S4097="","",DATEDIF(S4097,TODAY(),"Y")&amp;" Tahun, "&amp;DATEDIF(S4097,TODAY(),"YM")&amp;" Bulan, "&amp;DATEDIF(S4097,TODAY(),"MD")&amp;" Hari")</f>
        <v>22 Tahun, 10 Bulan, 1 Hari</v>
      </c>
      <c r="AC4097" s="14" t="n">
        <v>46255</v>
      </c>
      <c r="AD4097" s="18" t="n">
        <f aca="false">EDATE(AC4097,3)-1</f>
        <v>46346</v>
      </c>
      <c r="AE4097" s="13" t="s">
        <v>397</v>
      </c>
    </row>
    <row r="4098" customFormat="false" ht="15" hidden="false" customHeight="true" outlineLevel="0" collapsed="false">
      <c r="A4098" s="12" t="n">
        <v>22727</v>
      </c>
      <c r="B4098" s="13" t="s">
        <v>16778</v>
      </c>
      <c r="C4098" s="14" t="n">
        <v>46255</v>
      </c>
      <c r="D4098" s="13" t="s">
        <v>5726</v>
      </c>
      <c r="E4098" s="13" t="s">
        <v>47</v>
      </c>
      <c r="F4098" s="24" t="s">
        <v>16779</v>
      </c>
      <c r="G4098" s="13" t="s">
        <v>1452</v>
      </c>
      <c r="H4098" s="13" t="s">
        <v>35</v>
      </c>
      <c r="I4098" s="13" t="str">
        <f aca="false">IF(C4098=J4098,"NEW KONTRAK","RE-KONTRAK")</f>
        <v>NEW KONTRAK</v>
      </c>
      <c r="J4098" s="16" t="n">
        <f aca="false" t="array" ref="J4098:J4098">IFERROR(INDEX(AC4098:AE4098,IF(COUNTA(AC4098:AE4098)=0,"",MAX((AC4098:AE4098&lt;&gt;"")*(COLUMN(AC4098:AE4098)-(COLUMN(AC4098)))))-1),"")</f>
        <v>46255</v>
      </c>
      <c r="K4098" s="16" t="n">
        <f aca="false" t="array" ref="K4098:K4098">IFERROR(INDEX(AC4098:AE4098,IF(COUNTA(AC4098:AE4098)=0,"",MAX((AC4098:AE4098&lt;&gt;"")*(COLUMN(AC4098:AE4098)-(COLUMN(AC4098)-1))))-1),"")</f>
        <v>46346</v>
      </c>
      <c r="L4098" s="17" t="str">
        <f aca="false" t="array" ref="L4098:L4098">IFERROR(INDEX(AC4098:AE4098,IF(COUNTA(AC4098:AE4098)=0,"",MAX((AC4098:AE4098&lt;&gt;"")*(COLUMN(AC4098:AE4098)-(COLUMN(AC4098)-2))))-1),"")</f>
        <v>KEMBALI</v>
      </c>
      <c r="M4098" s="13" t="n">
        <f aca="true">K4098-TODAY()</f>
        <v>22</v>
      </c>
      <c r="N4098" s="18" t="s">
        <v>615</v>
      </c>
      <c r="O4098" s="13" t="s">
        <v>1531</v>
      </c>
      <c r="P4098" s="19" t="n">
        <v>5176101</v>
      </c>
      <c r="Q4098" s="20" t="s">
        <v>16780</v>
      </c>
      <c r="R4098" s="13" t="s">
        <v>232</v>
      </c>
      <c r="S4098" s="25" t="n">
        <v>36969</v>
      </c>
      <c r="T4098" s="13" t="s">
        <v>108</v>
      </c>
      <c r="U4098" s="13" t="s">
        <v>16781</v>
      </c>
      <c r="V4098" s="13" t="s">
        <v>42</v>
      </c>
      <c r="W4098" s="13" t="s">
        <v>43</v>
      </c>
      <c r="X4098" s="21" t="n">
        <v>85732660930</v>
      </c>
      <c r="Y4098" s="22" t="str">
        <f aca="false">O4098</f>
        <v>Packer</v>
      </c>
      <c r="Z4098" s="13" t="str">
        <f aca="false">IFERROR(__xludf.dummyfunction("if(BJ4098="""","""",GOOGLETRANSLATE(BJ4098,""auto"",""en""))"),"Packer")</f>
        <v>Packer</v>
      </c>
      <c r="AA4098" s="23" t="str">
        <f aca="false">IF(C4098="","", CHOOSE(MONTH(C4098),"January","February","March","April","May","June","July","August","September","October","November","December")&amp;" "&amp;DAY(C4098)&amp;MID("thstndrdth",MIN(9,2*RIGHT(DAY(C4098))*(MOD(DAY(C4098)-11,100)&gt;2)+1),2)&amp;","&amp;TEXT(C4098," yyyy"))</f>
        <v>August 21st,2026</v>
      </c>
      <c r="AB4098" s="15" t="str">
        <f aca="true">IF(S4098="","",DATEDIF(S4098,TODAY(),"Y")&amp;" Tahun, "&amp;DATEDIF(S4098,TODAY(),"YM")&amp;" Bulan, "&amp;DATEDIF(S4098,TODAY(),"MD")&amp;" Hari")</f>
        <v>25 Tahun, 7 Bulan, 10 Hari</v>
      </c>
      <c r="AC4098" s="14" t="n">
        <v>46255</v>
      </c>
      <c r="AD4098" s="18" t="n">
        <f aca="false">EDATE(AC4098,3)-1</f>
        <v>46346</v>
      </c>
      <c r="AE4098" s="13" t="s">
        <v>397</v>
      </c>
    </row>
    <row r="4099" customFormat="false" ht="15" hidden="false" customHeight="true" outlineLevel="0" collapsed="false">
      <c r="A4099" s="12" t="n">
        <v>22728</v>
      </c>
      <c r="B4099" s="13" t="s">
        <v>16782</v>
      </c>
      <c r="C4099" s="14" t="n">
        <v>46255</v>
      </c>
      <c r="D4099" s="13" t="s">
        <v>5726</v>
      </c>
      <c r="E4099" s="13" t="s">
        <v>47</v>
      </c>
      <c r="F4099" s="24" t="s">
        <v>16783</v>
      </c>
      <c r="G4099" s="13" t="s">
        <v>1452</v>
      </c>
      <c r="H4099" s="13" t="s">
        <v>35</v>
      </c>
      <c r="I4099" s="13" t="str">
        <f aca="false">IF(C4099=J4099,"NEW KONTRAK","RE-KONTRAK")</f>
        <v>NEW KONTRAK</v>
      </c>
      <c r="J4099" s="16" t="n">
        <f aca="false" t="array" ref="J4099:J4099">IFERROR(INDEX(AC4099:AE4099,IF(COUNTA(AC4099:AE4099)=0,"",MAX((AC4099:AE4099&lt;&gt;"")*(COLUMN(AC4099:AE4099)-(COLUMN(AC4099)))))-1),"")</f>
        <v>46255</v>
      </c>
      <c r="K4099" s="16" t="n">
        <f aca="false" t="array" ref="K4099:K4099">IFERROR(INDEX(AC4099:AE4099,IF(COUNTA(AC4099:AE4099)=0,"",MAX((AC4099:AE4099&lt;&gt;"")*(COLUMN(AC4099:AE4099)-(COLUMN(AC4099)-1))))-1),"")</f>
        <v>46346</v>
      </c>
      <c r="L4099" s="17" t="str">
        <f aca="false" t="array" ref="L4099:L4099">IFERROR(INDEX(AC4099:AE4099,IF(COUNTA(AC4099:AE4099)=0,"",MAX((AC4099:AE4099&lt;&gt;"")*(COLUMN(AC4099:AE4099)-(COLUMN(AC4099)-2))))-1),"")</f>
        <v>KEMBALI</v>
      </c>
      <c r="M4099" s="13" t="n">
        <f aca="true">K4099-TODAY()</f>
        <v>22</v>
      </c>
      <c r="N4099" s="18" t="s">
        <v>615</v>
      </c>
      <c r="O4099" s="13" t="s">
        <v>1531</v>
      </c>
      <c r="P4099" s="19" t="n">
        <v>5176101</v>
      </c>
      <c r="Q4099" s="20" t="s">
        <v>16784</v>
      </c>
      <c r="R4099" s="13" t="s">
        <v>39</v>
      </c>
      <c r="S4099" s="25" t="n">
        <v>37161</v>
      </c>
      <c r="T4099" s="13" t="s">
        <v>108</v>
      </c>
      <c r="U4099" s="13" t="s">
        <v>16785</v>
      </c>
      <c r="V4099" s="13" t="s">
        <v>42</v>
      </c>
      <c r="W4099" s="13" t="s">
        <v>43</v>
      </c>
      <c r="X4099" s="21" t="n">
        <v>8973685171</v>
      </c>
      <c r="Y4099" s="22" t="str">
        <f aca="false">O4099</f>
        <v>Packer</v>
      </c>
      <c r="Z4099" s="13" t="str">
        <f aca="false">IFERROR(__xludf.dummyfunction("if(BJ4099="""","""",GOOGLETRANSLATE(BJ4099,""auto"",""en""))"),"Packer")</f>
        <v>Packer</v>
      </c>
      <c r="AA4099" s="23" t="str">
        <f aca="false">IF(C4099="","", CHOOSE(MONTH(C4099),"January","February","March","April","May","June","July","August","September","October","November","December")&amp;" "&amp;DAY(C4099)&amp;MID("thstndrdth",MIN(9,2*RIGHT(DAY(C4099))*(MOD(DAY(C4099)-11,100)&gt;2)+1),2)&amp;","&amp;TEXT(C4099," yyyy"))</f>
        <v>August 21st,2026</v>
      </c>
      <c r="AB4099" s="15" t="str">
        <f aca="true">IF(S4099="","",DATEDIF(S4099,TODAY(),"Y")&amp;" Tahun, "&amp;DATEDIF(S4099,TODAY(),"YM")&amp;" Bulan, "&amp;DATEDIF(S4099,TODAY(),"MD")&amp;" Hari")</f>
        <v>25 Tahun, 1 Bulan, 2 Hari</v>
      </c>
      <c r="AC4099" s="14" t="n">
        <v>46255</v>
      </c>
      <c r="AD4099" s="18" t="n">
        <f aca="false">EDATE(AC4099,3)-1</f>
        <v>46346</v>
      </c>
      <c r="AE4099" s="13" t="s">
        <v>397</v>
      </c>
    </row>
    <row r="4100" customFormat="false" ht="15" hidden="false" customHeight="true" outlineLevel="0" collapsed="false">
      <c r="A4100" s="12" t="n">
        <v>22729</v>
      </c>
      <c r="B4100" s="13" t="s">
        <v>16786</v>
      </c>
      <c r="C4100" s="14" t="n">
        <v>46255</v>
      </c>
      <c r="D4100" s="13" t="s">
        <v>5726</v>
      </c>
      <c r="E4100" s="13" t="s">
        <v>47</v>
      </c>
      <c r="F4100" s="24" t="s">
        <v>16787</v>
      </c>
      <c r="G4100" s="13" t="s">
        <v>1452</v>
      </c>
      <c r="H4100" s="13" t="s">
        <v>35</v>
      </c>
      <c r="I4100" s="13" t="str">
        <f aca="false">IF(C4100=J4100,"NEW KONTRAK","RE-KONTRAK")</f>
        <v>NEW KONTRAK</v>
      </c>
      <c r="J4100" s="16" t="n">
        <f aca="false" t="array" ref="J4100:J4100">IFERROR(INDEX(AC4100:AE4100,IF(COUNTA(AC4100:AE4100)=0,"",MAX((AC4100:AE4100&lt;&gt;"")*(COLUMN(AC4100:AE4100)-(COLUMN(AC4100)))))-1),"")</f>
        <v>46255</v>
      </c>
      <c r="K4100" s="16" t="n">
        <f aca="false" t="array" ref="K4100:K4100">IFERROR(INDEX(AC4100:AE4100,IF(COUNTA(AC4100:AE4100)=0,"",MAX((AC4100:AE4100&lt;&gt;"")*(COLUMN(AC4100:AE4100)-(COLUMN(AC4100)-1))))-1),"")</f>
        <v>46346</v>
      </c>
      <c r="L4100" s="17" t="str">
        <f aca="false" t="array" ref="L4100:L4100">IFERROR(INDEX(AC4100:AE4100,IF(COUNTA(AC4100:AE4100)=0,"",MAX((AC4100:AE4100&lt;&gt;"")*(COLUMN(AC4100:AE4100)-(COLUMN(AC4100)-2))))-1),"")</f>
        <v>KEMBALI</v>
      </c>
      <c r="M4100" s="13" t="n">
        <f aca="true">K4100-TODAY()</f>
        <v>22</v>
      </c>
      <c r="N4100" s="18" t="s">
        <v>615</v>
      </c>
      <c r="O4100" s="13" t="s">
        <v>1531</v>
      </c>
      <c r="P4100" s="19" t="n">
        <v>5176101</v>
      </c>
      <c r="Q4100" s="20" t="s">
        <v>16788</v>
      </c>
      <c r="R4100" s="13" t="s">
        <v>232</v>
      </c>
      <c r="S4100" s="25" t="n">
        <v>36607</v>
      </c>
      <c r="T4100" s="13" t="s">
        <v>40</v>
      </c>
      <c r="U4100" s="13" t="s">
        <v>16789</v>
      </c>
      <c r="V4100" s="13" t="s">
        <v>42</v>
      </c>
      <c r="W4100" s="13" t="s">
        <v>54</v>
      </c>
      <c r="X4100" s="21" t="n">
        <v>895603432703</v>
      </c>
      <c r="Y4100" s="22" t="str">
        <f aca="false">O4100</f>
        <v>Packer</v>
      </c>
      <c r="Z4100" s="13" t="str">
        <f aca="false">IFERROR(__xludf.dummyfunction("if(BJ4100="""","""",GOOGLETRANSLATE(BJ4100,""auto"",""en""))"),"Packer")</f>
        <v>Packer</v>
      </c>
      <c r="AA4100" s="23" t="str">
        <f aca="false">IF(C4100="","", CHOOSE(MONTH(C4100),"January","February","March","April","May","June","July","August","September","October","November","December")&amp;" "&amp;DAY(C4100)&amp;MID("thstndrdth",MIN(9,2*RIGHT(DAY(C4100))*(MOD(DAY(C4100)-11,100)&gt;2)+1),2)&amp;","&amp;TEXT(C4100," yyyy"))</f>
        <v>August 21st,2026</v>
      </c>
      <c r="AB4100" s="15" t="str">
        <f aca="true">IF(S4100="","",DATEDIF(S4100,TODAY(),"Y")&amp;" Tahun, "&amp;DATEDIF(S4100,TODAY(),"YM")&amp;" Bulan, "&amp;DATEDIF(S4100,TODAY(),"MD")&amp;" Hari")</f>
        <v>26 Tahun, 7 Bulan, 7 Hari</v>
      </c>
      <c r="AC4100" s="14" t="n">
        <v>46255</v>
      </c>
      <c r="AD4100" s="18" t="n">
        <f aca="false">EDATE(AC4100,3)-1</f>
        <v>46346</v>
      </c>
      <c r="AE4100" s="13" t="s">
        <v>397</v>
      </c>
    </row>
    <row r="4101" customFormat="false" ht="15" hidden="false" customHeight="true" outlineLevel="0" collapsed="false">
      <c r="A4101" s="12" t="n">
        <v>22730</v>
      </c>
      <c r="B4101" s="13" t="s">
        <v>16790</v>
      </c>
      <c r="C4101" s="14" t="n">
        <v>46255</v>
      </c>
      <c r="D4101" s="13" t="s">
        <v>5726</v>
      </c>
      <c r="E4101" s="13" t="s">
        <v>47</v>
      </c>
      <c r="F4101" s="24" t="s">
        <v>16791</v>
      </c>
      <c r="G4101" s="13" t="s">
        <v>1452</v>
      </c>
      <c r="H4101" s="13" t="s">
        <v>35</v>
      </c>
      <c r="I4101" s="13" t="str">
        <f aca="false">IF(C4101=J4101,"NEW KONTRAK","RE-KONTRAK")</f>
        <v>NEW KONTRAK</v>
      </c>
      <c r="J4101" s="16" t="n">
        <f aca="false" t="array" ref="J4101:J4101">IFERROR(INDEX(AC4101:AE4101,IF(COUNTA(AC4101:AE4101)=0,"",MAX((AC4101:AE4101&lt;&gt;"")*(COLUMN(AC4101:AE4101)-(COLUMN(AC4101)))))-1),"")</f>
        <v>46255</v>
      </c>
      <c r="K4101" s="16" t="n">
        <f aca="false" t="array" ref="K4101:K4101">IFERROR(INDEX(AC4101:AE4101,IF(COUNTA(AC4101:AE4101)=0,"",MAX((AC4101:AE4101&lt;&gt;"")*(COLUMN(AC4101:AE4101)-(COLUMN(AC4101)-1))))-1),"")</f>
        <v>46346</v>
      </c>
      <c r="L4101" s="17" t="str">
        <f aca="false" t="array" ref="L4101:L4101">IFERROR(INDEX(AC4101:AE4101,IF(COUNTA(AC4101:AE4101)=0,"",MAX((AC4101:AE4101&lt;&gt;"")*(COLUMN(AC4101:AE4101)-(COLUMN(AC4101)-2))))-1),"")</f>
        <v>KEMBALI</v>
      </c>
      <c r="M4101" s="13" t="n">
        <f aca="true">K4101-TODAY()</f>
        <v>22</v>
      </c>
      <c r="N4101" s="18" t="s">
        <v>615</v>
      </c>
      <c r="O4101" s="13" t="s">
        <v>1531</v>
      </c>
      <c r="P4101" s="19" t="n">
        <v>5176101</v>
      </c>
      <c r="Q4101" s="20" t="s">
        <v>16792</v>
      </c>
      <c r="R4101" s="13" t="s">
        <v>232</v>
      </c>
      <c r="S4101" s="25" t="n">
        <v>34528</v>
      </c>
      <c r="T4101" s="13" t="s">
        <v>40</v>
      </c>
      <c r="U4101" s="13" t="s">
        <v>16793</v>
      </c>
      <c r="V4101" s="13" t="s">
        <v>42</v>
      </c>
      <c r="W4101" s="13" t="s">
        <v>43</v>
      </c>
      <c r="X4101" s="21" t="n">
        <v>87819592946</v>
      </c>
      <c r="Y4101" s="22" t="str">
        <f aca="false">O4101</f>
        <v>Packer</v>
      </c>
      <c r="Z4101" s="13" t="str">
        <f aca="false">IFERROR(__xludf.dummyfunction("if(BJ4101="""","""",GOOGLETRANSLATE(BJ4101,""auto"",""en""))"),"Packer")</f>
        <v>Packer</v>
      </c>
      <c r="AA4101" s="23" t="str">
        <f aca="false">IF(C4101="","", CHOOSE(MONTH(C4101),"January","February","March","April","May","June","July","August","September","October","November","December")&amp;" "&amp;DAY(C4101)&amp;MID("thstndrdth",MIN(9,2*RIGHT(DAY(C4101))*(MOD(DAY(C4101)-11,100)&gt;2)+1),2)&amp;","&amp;TEXT(C4101," yyyy"))</f>
        <v>August 21st,2026</v>
      </c>
      <c r="AB4101" s="15" t="str">
        <f aca="true">IF(S4101="","",DATEDIF(S4101,TODAY(),"Y")&amp;" Tahun, "&amp;DATEDIF(S4101,TODAY(),"YM")&amp;" Bulan, "&amp;DATEDIF(S4101,TODAY(),"MD")&amp;" Hari")</f>
        <v>32 Tahun, 3 Bulan, 16 Hari</v>
      </c>
      <c r="AC4101" s="14" t="n">
        <v>46255</v>
      </c>
      <c r="AD4101" s="18" t="n">
        <f aca="false">EDATE(AC4101,3)-1</f>
        <v>46346</v>
      </c>
      <c r="AE4101" s="13" t="s">
        <v>397</v>
      </c>
    </row>
    <row r="4102" customFormat="false" ht="15" hidden="false" customHeight="true" outlineLevel="0" collapsed="false">
      <c r="A4102" s="12" t="n">
        <v>22731</v>
      </c>
      <c r="B4102" s="13" t="s">
        <v>16794</v>
      </c>
      <c r="C4102" s="14" t="n">
        <v>46255</v>
      </c>
      <c r="D4102" s="13" t="s">
        <v>5726</v>
      </c>
      <c r="E4102" s="13" t="s">
        <v>47</v>
      </c>
      <c r="F4102" s="24" t="s">
        <v>16795</v>
      </c>
      <c r="G4102" s="13" t="s">
        <v>1452</v>
      </c>
      <c r="H4102" s="13" t="s">
        <v>35</v>
      </c>
      <c r="I4102" s="13" t="str">
        <f aca="false">IF(C4102=J4102,"NEW KONTRAK","RE-KONTRAK")</f>
        <v>NEW KONTRAK</v>
      </c>
      <c r="J4102" s="16" t="n">
        <f aca="false" t="array" ref="J4102:J4102">IFERROR(INDEX(AC4102:AE4102,IF(COUNTA(AC4102:AE4102)=0,"",MAX((AC4102:AE4102&lt;&gt;"")*(COLUMN(AC4102:AE4102)-(COLUMN(AC4102)))))-1),"")</f>
        <v>46255</v>
      </c>
      <c r="K4102" s="16" t="n">
        <f aca="false" t="array" ref="K4102:K4102">IFERROR(INDEX(AC4102:AE4102,IF(COUNTA(AC4102:AE4102)=0,"",MAX((AC4102:AE4102&lt;&gt;"")*(COLUMN(AC4102:AE4102)-(COLUMN(AC4102)-1))))-1),"")</f>
        <v>46346</v>
      </c>
      <c r="L4102" s="17" t="str">
        <f aca="false" t="array" ref="L4102:L4102">IFERROR(INDEX(AC4102:AE4102,IF(COUNTA(AC4102:AE4102)=0,"",MAX((AC4102:AE4102&lt;&gt;"")*(COLUMN(AC4102:AE4102)-(COLUMN(AC4102)-2))))-1),"")</f>
        <v>KEMBALI</v>
      </c>
      <c r="M4102" s="13" t="n">
        <f aca="true">K4102-TODAY()</f>
        <v>22</v>
      </c>
      <c r="N4102" s="18" t="s">
        <v>615</v>
      </c>
      <c r="O4102" s="13" t="s">
        <v>1531</v>
      </c>
      <c r="P4102" s="19" t="n">
        <v>5176101</v>
      </c>
      <c r="Q4102" s="20" t="s">
        <v>16796</v>
      </c>
      <c r="R4102" s="13" t="s">
        <v>232</v>
      </c>
      <c r="S4102" s="25" t="n">
        <v>36163</v>
      </c>
      <c r="T4102" s="13" t="s">
        <v>108</v>
      </c>
      <c r="U4102" s="13" t="s">
        <v>16797</v>
      </c>
      <c r="V4102" s="13" t="s">
        <v>42</v>
      </c>
      <c r="W4102" s="13" t="s">
        <v>43</v>
      </c>
      <c r="X4102" s="21" t="n">
        <v>85847613965</v>
      </c>
      <c r="Y4102" s="22" t="str">
        <f aca="false">O4102</f>
        <v>Packer</v>
      </c>
      <c r="Z4102" s="13" t="str">
        <f aca="false">IFERROR(__xludf.dummyfunction("if(BJ4102="""","""",GOOGLETRANSLATE(BJ4102,""auto"",""en""))"),"Packer")</f>
        <v>Packer</v>
      </c>
      <c r="AA4102" s="23" t="str">
        <f aca="false">IF(C4102="","", CHOOSE(MONTH(C4102),"January","February","March","April","May","June","July","August","September","October","November","December")&amp;" "&amp;DAY(C4102)&amp;MID("thstndrdth",MIN(9,2*RIGHT(DAY(C4102))*(MOD(DAY(C4102)-11,100)&gt;2)+1),2)&amp;","&amp;TEXT(C4102," yyyy"))</f>
        <v>August 21st,2026</v>
      </c>
      <c r="AB4102" s="15" t="str">
        <f aca="true">IF(S4102="","",DATEDIF(S4102,TODAY(),"Y")&amp;" Tahun, "&amp;DATEDIF(S4102,TODAY(),"YM")&amp;" Bulan, "&amp;DATEDIF(S4102,TODAY(),"MD")&amp;" Hari")</f>
        <v>27 Tahun, 9 Bulan, 26 Hari</v>
      </c>
      <c r="AC4102" s="14" t="n">
        <v>46255</v>
      </c>
      <c r="AD4102" s="18" t="n">
        <f aca="false">EDATE(AC4102,3)-1</f>
        <v>46346</v>
      </c>
      <c r="AE4102" s="13" t="s">
        <v>397</v>
      </c>
    </row>
    <row r="4103" customFormat="false" ht="15" hidden="false" customHeight="true" outlineLevel="0" collapsed="false">
      <c r="A4103" s="12" t="n">
        <v>22732</v>
      </c>
      <c r="B4103" s="13" t="s">
        <v>16798</v>
      </c>
      <c r="C4103" s="14" t="n">
        <v>46255</v>
      </c>
      <c r="D4103" s="13" t="s">
        <v>5726</v>
      </c>
      <c r="E4103" s="13" t="s">
        <v>47</v>
      </c>
      <c r="F4103" s="24" t="s">
        <v>16799</v>
      </c>
      <c r="G4103" s="13" t="s">
        <v>1452</v>
      </c>
      <c r="H4103" s="13" t="s">
        <v>35</v>
      </c>
      <c r="I4103" s="13" t="str">
        <f aca="false">IF(C4103=J4103,"NEW KONTRAK","RE-KONTRAK")</f>
        <v>NEW KONTRAK</v>
      </c>
      <c r="J4103" s="16" t="n">
        <f aca="false" t="array" ref="J4103:J4103">IFERROR(INDEX(AC4103:AE4103,IF(COUNTA(AC4103:AE4103)=0,"",MAX((AC4103:AE4103&lt;&gt;"")*(COLUMN(AC4103:AE4103)-(COLUMN(AC4103)))))-1),"")</f>
        <v>46255</v>
      </c>
      <c r="K4103" s="16" t="n">
        <f aca="false" t="array" ref="K4103:K4103">IFERROR(INDEX(AC4103:AE4103,IF(COUNTA(AC4103:AE4103)=0,"",MAX((AC4103:AE4103&lt;&gt;"")*(COLUMN(AC4103:AE4103)-(COLUMN(AC4103)-1))))-1),"")</f>
        <v>46346</v>
      </c>
      <c r="L4103" s="17" t="str">
        <f aca="false" t="array" ref="L4103:L4103">IFERROR(INDEX(AC4103:AE4103,IF(COUNTA(AC4103:AE4103)=0,"",MAX((AC4103:AE4103&lt;&gt;"")*(COLUMN(AC4103:AE4103)-(COLUMN(AC4103)-2))))-1),"")</f>
        <v>KEMBALI</v>
      </c>
      <c r="M4103" s="13" t="n">
        <f aca="true">K4103-TODAY()</f>
        <v>22</v>
      </c>
      <c r="N4103" s="18" t="s">
        <v>615</v>
      </c>
      <c r="O4103" s="13" t="s">
        <v>1531</v>
      </c>
      <c r="P4103" s="19" t="n">
        <v>5176101</v>
      </c>
      <c r="Q4103" s="20" t="s">
        <v>16800</v>
      </c>
      <c r="R4103" s="13" t="s">
        <v>232</v>
      </c>
      <c r="S4103" s="25" t="n">
        <v>35474</v>
      </c>
      <c r="T4103" s="13" t="s">
        <v>40</v>
      </c>
      <c r="U4103" s="13" t="s">
        <v>16801</v>
      </c>
      <c r="V4103" s="13" t="s">
        <v>42</v>
      </c>
      <c r="W4103" s="13" t="s">
        <v>43</v>
      </c>
      <c r="X4103" s="21" t="n">
        <v>82285343458</v>
      </c>
      <c r="Y4103" s="22" t="str">
        <f aca="false">O4103</f>
        <v>Packer</v>
      </c>
      <c r="Z4103" s="13" t="str">
        <f aca="false">IFERROR(__xludf.dummyfunction("if(BJ4103="""","""",GOOGLETRANSLATE(BJ4103,""auto"",""en""))"),"Packer")</f>
        <v>Packer</v>
      </c>
      <c r="AA4103" s="23" t="str">
        <f aca="false">IF(C4103="","", CHOOSE(MONTH(C4103),"January","February","March","April","May","June","July","August","September","October","November","December")&amp;" "&amp;DAY(C4103)&amp;MID("thstndrdth",MIN(9,2*RIGHT(DAY(C4103))*(MOD(DAY(C4103)-11,100)&gt;2)+1),2)&amp;","&amp;TEXT(C4103," yyyy"))</f>
        <v>August 21st,2026</v>
      </c>
      <c r="AB4103" s="15" t="str">
        <f aca="true">IF(S4103="","",DATEDIF(S4103,TODAY(),"Y")&amp;" Tahun, "&amp;DATEDIF(S4103,TODAY(),"YM")&amp;" Bulan, "&amp;DATEDIF(S4103,TODAY(),"MD")&amp;" Hari")</f>
        <v>29 Tahun, 8 Bulan, 16 Hari</v>
      </c>
      <c r="AC4103" s="14" t="n">
        <v>46255</v>
      </c>
      <c r="AD4103" s="18" t="n">
        <f aca="false">EDATE(AC4103,3)-1</f>
        <v>46346</v>
      </c>
      <c r="AE4103" s="13" t="s">
        <v>397</v>
      </c>
    </row>
    <row r="4104" customFormat="false" ht="15" hidden="false" customHeight="true" outlineLevel="0" collapsed="false">
      <c r="A4104" s="12" t="n">
        <v>23024</v>
      </c>
      <c r="B4104" s="13" t="s">
        <v>3691</v>
      </c>
      <c r="C4104" s="14" t="n">
        <v>46302</v>
      </c>
      <c r="D4104" s="13" t="s">
        <v>2033</v>
      </c>
      <c r="E4104" s="13" t="s">
        <v>47</v>
      </c>
      <c r="F4104" s="24" t="s">
        <v>16802</v>
      </c>
      <c r="G4104" s="13" t="s">
        <v>1127</v>
      </c>
      <c r="H4104" s="13" t="s">
        <v>35</v>
      </c>
      <c r="I4104" s="13" t="str">
        <f aca="false">IF(C4104=J4104,"NEW KONTRAK","RE-KONTRAK")</f>
        <v>NEW KONTRAK</v>
      </c>
      <c r="J4104" s="16" t="n">
        <f aca="false" t="array" ref="J4104:J4104">IFERROR(INDEX(AC4104:AE4104,IF(COUNTA(AC4104:AE4104)=0,"",MAX((AC4104:AE4104&lt;&gt;"")*(COLUMN(AC4104:AE4104)-(COLUMN(AC4104)))))-1),"")</f>
        <v>46302</v>
      </c>
      <c r="K4104" s="16" t="n">
        <f aca="false" t="array" ref="K4104:K4104">IFERROR(INDEX(AC4104:AE4104,IF(COUNTA(AC4104:AE4104)=0,"",MAX((AC4104:AE4104&lt;&gt;"")*(COLUMN(AC4104:AE4104)-(COLUMN(AC4104)-1))))-1),"")</f>
        <v>46402</v>
      </c>
      <c r="L4104" s="17" t="str">
        <f aca="false" t="array" ref="L4104:L4104">IFERROR(INDEX(AC4104:AE4104,IF(COUNTA(AC4104:AE4104)=0,"",MAX((AC4104:AE4104&lt;&gt;"")*(COLUMN(AC4104:AE4104)-(COLUMN(AC4104)-2))))-1),"")</f>
        <v>DRAFTED ONLINE</v>
      </c>
      <c r="M4104" s="13" t="n">
        <f aca="true">K4104-TODAY()</f>
        <v>78</v>
      </c>
      <c r="N4104" s="13" t="s">
        <v>2363</v>
      </c>
      <c r="O4104" s="13" t="s">
        <v>2384</v>
      </c>
      <c r="P4104" s="26" t="n">
        <v>4335198</v>
      </c>
      <c r="Q4104" s="20" t="s">
        <v>16768</v>
      </c>
      <c r="R4104" s="13" t="s">
        <v>2363</v>
      </c>
      <c r="S4104" s="25" t="n">
        <v>36901</v>
      </c>
      <c r="T4104" s="13" t="s">
        <v>108</v>
      </c>
      <c r="U4104" s="13" t="s">
        <v>16769</v>
      </c>
      <c r="V4104" s="13" t="s">
        <v>42</v>
      </c>
      <c r="W4104" s="13" t="s">
        <v>43</v>
      </c>
      <c r="X4104" s="21" t="n">
        <v>83891902659</v>
      </c>
      <c r="Y4104" s="22" t="str">
        <f aca="false">O4104</f>
        <v>SPG</v>
      </c>
      <c r="Z4104" s="13" t="str">
        <f aca="false">IFERROR(__xludf.dummyfunction("if(BJ4104="""","""",GOOGLETRANSLATE(BJ4104,""auto"",""en""))"),"SPG")</f>
        <v>SPG</v>
      </c>
      <c r="AA4104" s="23" t="str">
        <f aca="false">IF(C4104="","", CHOOSE(MONTH(C4104),"January","February","March","April","May","June","July","August","September","October","November","December")&amp;" "&amp;DAY(C4104)&amp;MID("thstndrdth",MIN(9,2*RIGHT(DAY(C4104))*(MOD(DAY(C4104)-11,100)&gt;2)+1),2)&amp;","&amp;TEXT(C4104," yyyy"))</f>
        <v>October 7th,2026</v>
      </c>
      <c r="AB4104" s="15" t="str">
        <f aca="true">IF(S4104="","",DATEDIF(S4104,TODAY(),"Y")&amp;" Tahun, "&amp;DATEDIF(S4104,TODAY(),"YM")&amp;" Bulan, "&amp;DATEDIF(S4104,TODAY(),"MD")&amp;" Hari")</f>
        <v>25 Tahun, 9 Bulan, 19 Hari</v>
      </c>
      <c r="AC4104" s="14" t="n">
        <v>46302</v>
      </c>
      <c r="AD4104" s="18" t="n">
        <v>46402</v>
      </c>
      <c r="AE4104" s="13" t="s">
        <v>2424</v>
      </c>
    </row>
    <row r="4105" customFormat="false" ht="15" hidden="false" customHeight="true" outlineLevel="0" collapsed="false">
      <c r="A4105" s="12" t="n">
        <v>12465</v>
      </c>
      <c r="B4105" s="13" t="s">
        <v>16803</v>
      </c>
      <c r="C4105" s="14" t="n">
        <v>45139</v>
      </c>
      <c r="D4105" s="13" t="s">
        <v>2033</v>
      </c>
      <c r="E4105" s="15" t="s">
        <v>47</v>
      </c>
      <c r="F4105" s="15" t="str">
        <f aca="false">IFERROR(__xludf.dummyfunction("XLOOKUP(AJ4105,IMPORTRANGE(""1XaInW9DU9nz21V0tYIfzFQ0He9kVQ_JF2mCXgZ3hqFA"",""REKAP ALL 2026 - Andika!G:G""),IMPORTRANGE(""1XaInW9DU9nz21V0tYIfzFQ0He9kVQ_JF2mCXgZ3hqFA"",""REKAP ALL 2026 - Andika!F:F""),"""",0)"),"23113699401")</f>
        <v>23113699401</v>
      </c>
      <c r="G4105" s="13" t="s">
        <v>16804</v>
      </c>
      <c r="H4105" s="13" t="s">
        <v>2035</v>
      </c>
      <c r="I4105" s="13" t="str">
        <f aca="false">IF(C4105=J4105,"NEW KONTRAK","RE-KONTRAK")</f>
        <v>RE-KONTRAK</v>
      </c>
      <c r="J4105" s="16" t="n">
        <f aca="false" t="array" ref="J4105:J4105">IFERROR(INDEX(AC4105:AE4105,IF(COUNTA(AC4105:AE4105)=0,"",MAX((AC4105:AE4105&lt;&gt;"")*(COLUMN(AC4105:AE4105)-(COLUMN(AC4105)))))-1),"")</f>
        <v>45744</v>
      </c>
      <c r="K4105" s="16" t="n">
        <f aca="false" t="array" ref="K4105:K4105">IFERROR(INDEX(AC4105:AE4105,IF(COUNTA(AC4105:AE4105)=0,"",MAX((AC4105:AE4105&lt;&gt;"")*(COLUMN(AC4105:AE4105)-(COLUMN(AC4105)-1))))-1),"")</f>
        <v>45915</v>
      </c>
      <c r="L4105" s="17" t="str">
        <f aca="false" t="array" ref="L4105:L4105">IFERROR(INDEX(AC4105:AE4105,IF(COUNTA(AC4105:AE4105)=0,"",MAX((AC4105:AE4105&lt;&gt;"")*(COLUMN(AC4105:AE4105)-(COLUMN(AC4105)-2))))-1),"")</f>
        <v>ARCHIVED</v>
      </c>
      <c r="M4105" s="13" t="n">
        <f aca="true">K4105-TODAY()</f>
        <v>-409</v>
      </c>
      <c r="N4105" s="18" t="s">
        <v>2001</v>
      </c>
      <c r="O4105" s="13" t="s">
        <v>2037</v>
      </c>
      <c r="P4105" s="19" t="n">
        <v>2345695</v>
      </c>
      <c r="Q4105" s="20" t="s">
        <v>16805</v>
      </c>
      <c r="R4105" s="13" t="s">
        <v>4407</v>
      </c>
      <c r="S4105" s="14" t="n">
        <v>36752</v>
      </c>
      <c r="T4105" s="13" t="s">
        <v>108</v>
      </c>
      <c r="U4105" s="13" t="s">
        <v>16806</v>
      </c>
      <c r="V4105" s="13" t="s">
        <v>42</v>
      </c>
      <c r="W4105" s="13" t="s">
        <v>43</v>
      </c>
      <c r="X4105" s="21" t="n">
        <v>82142895437</v>
      </c>
      <c r="Y4105" s="22" t="str">
        <f aca="false">O4105</f>
        <v>SPG/BA</v>
      </c>
      <c r="Z4105" s="13" t="str">
        <f aca="false">IFERROR(__xludf.dummyfunction("if(BJ4105="""","""",GOOGLETRANSLATE(BJ4105,""auto"",""en""))"),"SPG/BA")</f>
        <v>SPG/BA</v>
      </c>
      <c r="AA4105" s="23" t="str">
        <f aca="false">IF(C4105="","", CHOOSE(MONTH(C4105),"January","February","March","April","May","June","July","August","September","October","November","December")&amp;" "&amp;DAY(C4105)&amp;MID("thstndrdth",MIN(9,2*RIGHT(DAY(C4105))*(MOD(DAY(C4105)-11,100)&gt;2)+1),2)&amp;","&amp;TEXT(C4105," yyyy"))</f>
        <v>August 1st,2023</v>
      </c>
      <c r="AB4105" s="15" t="str">
        <f aca="true">IF(S4105="","",DATEDIF(S4105,TODAY(),"Y")&amp;" Tahun, "&amp;DATEDIF(S4105,TODAY(),"YM")&amp;" Bulan, "&amp;DATEDIF(S4105,TODAY(),"MD")&amp;" Hari")</f>
        <v>26 Tahun, 2 Bulan, 15 Hari</v>
      </c>
      <c r="AC4105" s="18" t="n">
        <v>45744</v>
      </c>
      <c r="AD4105" s="18" t="n">
        <v>45915</v>
      </c>
      <c r="AE4105" s="18" t="s">
        <v>44</v>
      </c>
    </row>
    <row r="4106" customFormat="false" ht="15" hidden="false" customHeight="true" outlineLevel="0" collapsed="false">
      <c r="A4106" s="12" t="n">
        <v>17941</v>
      </c>
      <c r="B4106" s="69" t="s">
        <v>16807</v>
      </c>
      <c r="C4106" s="14" t="n">
        <v>45621</v>
      </c>
      <c r="D4106" s="13" t="s">
        <v>2033</v>
      </c>
      <c r="E4106" s="15" t="s">
        <v>47</v>
      </c>
      <c r="F4106" s="15" t="str">
        <f aca="false">IFERROR(__xludf.dummyfunction("XLOOKUP(AJ4106,IMPORTRANGE(""1XaInW9DU9nz21V0tYIfzFQ0He9kVQ_JF2mCXgZ3hqFA"",""REKAP ALL 2026 - Andika!G:G""),IMPORTRANGE(""1XaInW9DU9nz21V0tYIfzFQ0He9kVQ_JF2mCXgZ3hqFA"",""REKAP ALL 2026 - Andika!F:F""),"""",0)"),"25062536187")</f>
        <v>25062536187</v>
      </c>
      <c r="G4106" s="15" t="s">
        <v>16808</v>
      </c>
      <c r="H4106" s="13" t="s">
        <v>2035</v>
      </c>
      <c r="I4106" s="13" t="str">
        <f aca="false">IF(C4106=J4106,"NEW KONTRAK","RE-KONTRAK")</f>
        <v>RE-KONTRAK</v>
      </c>
      <c r="J4106" s="16" t="n">
        <f aca="false" t="array" ref="J4106:J4106">IFERROR(INDEX(AC4106:AE4106,IF(COUNTA(AC4106:AE4106)=0,"",MAX((AC4106:AE4106&lt;&gt;"")*(COLUMN(AC4106:AE4106)-(COLUMN(AC4106)))))-1),"")</f>
        <v>45744</v>
      </c>
      <c r="K4106" s="16" t="n">
        <f aca="false" t="array" ref="K4106:K4106">IFERROR(INDEX(AC4106:AE4106,IF(COUNTA(AC4106:AE4106)=0,"",MAX((AC4106:AE4106&lt;&gt;"")*(COLUMN(AC4106:AE4106)-(COLUMN(AC4106)-1))))-1),"")</f>
        <v>45915</v>
      </c>
      <c r="L4106" s="17" t="str">
        <f aca="false" t="array" ref="L4106:L4106">IFERROR(INDEX(AC4106:AE4106,IF(COUNTA(AC4106:AE4106)=0,"",MAX((AC4106:AE4106&lt;&gt;"")*(COLUMN(AC4106:AE4106)-(COLUMN(AC4106)-2))))-1),"")</f>
        <v>ARCHIVED</v>
      </c>
      <c r="M4106" s="13" t="n">
        <f aca="true">K4106-TODAY()</f>
        <v>-409</v>
      </c>
      <c r="N4106" s="51" t="s">
        <v>2587</v>
      </c>
      <c r="O4106" s="13" t="s">
        <v>2037</v>
      </c>
      <c r="P4106" s="19" t="n">
        <v>3855894</v>
      </c>
      <c r="Q4106" s="20" t="s">
        <v>16809</v>
      </c>
      <c r="R4106" s="13" t="s">
        <v>16810</v>
      </c>
      <c r="S4106" s="14" t="n">
        <v>37347</v>
      </c>
      <c r="T4106" s="13" t="s">
        <v>108</v>
      </c>
      <c r="U4106" s="13" t="s">
        <v>16811</v>
      </c>
      <c r="V4106" s="13" t="s">
        <v>42</v>
      </c>
      <c r="W4106" s="13" t="s">
        <v>43</v>
      </c>
      <c r="X4106" s="21" t="n">
        <v>85654842214</v>
      </c>
      <c r="Y4106" s="22" t="str">
        <f aca="false">O4106</f>
        <v>SPG/BA</v>
      </c>
      <c r="Z4106" s="13" t="str">
        <f aca="false">IFERROR(__xludf.dummyfunction("if(BJ4106="""","""",GOOGLETRANSLATE(BJ4106,""auto"",""en""))"),"SPG/BA")</f>
        <v>SPG/BA</v>
      </c>
      <c r="AA4106" s="23" t="str">
        <f aca="false">IF(C4106="","", CHOOSE(MONTH(C4106),"January","February","March","April","May","June","July","August","September","October","November","December")&amp;" "&amp;DAY(C4106)&amp;MID("thstndrdth",MIN(9,2*RIGHT(DAY(C4106))*(MOD(DAY(C4106)-11,100)&gt;2)+1),2)&amp;","&amp;TEXT(C4106," yyyy"))</f>
        <v>November 25th,2024</v>
      </c>
      <c r="AB4106" s="15" t="str">
        <f aca="true">IF(S4106="","",DATEDIF(S4106,TODAY(),"Y")&amp;" Tahun, "&amp;DATEDIF(S4106,TODAY(),"YM")&amp;" Bulan, "&amp;DATEDIF(S4106,TODAY(),"MD")&amp;" Hari")</f>
        <v>24 Tahun, 6 Bulan, 28 Hari</v>
      </c>
      <c r="AC4106" s="18" t="n">
        <v>45744</v>
      </c>
      <c r="AD4106" s="18" t="n">
        <v>45915</v>
      </c>
      <c r="AE4106" s="18" t="s">
        <v>44</v>
      </c>
    </row>
    <row r="4107" customFormat="false" ht="15" hidden="false" customHeight="true" outlineLevel="0" collapsed="false">
      <c r="A4107" s="12" t="n">
        <v>22736</v>
      </c>
      <c r="B4107" s="13" t="s">
        <v>16812</v>
      </c>
      <c r="C4107" s="14" t="n">
        <v>46218</v>
      </c>
      <c r="D4107" s="13" t="s">
        <v>2033</v>
      </c>
      <c r="E4107" s="15" t="s">
        <v>102</v>
      </c>
      <c r="F4107" s="24" t="s">
        <v>16813</v>
      </c>
      <c r="G4107" s="13" t="s">
        <v>1452</v>
      </c>
      <c r="H4107" s="13" t="s">
        <v>35</v>
      </c>
      <c r="I4107" s="13" t="str">
        <f aca="false">IF(C4107=J4107,"NEW KONTRAK","RE-KONTRAK")</f>
        <v>NEW KONTRAK</v>
      </c>
      <c r="J4107" s="16" t="n">
        <f aca="false" t="array" ref="J4107:J4107">IFERROR(INDEX(AC4107:AE4107,IF(COUNTA(AC4107:AE4107)=0,"",MAX((AC4107:AE4107&lt;&gt;"")*(COLUMN(AC4107:AE4107)-(COLUMN(AC4107)))))-1),"")</f>
        <v>46218</v>
      </c>
      <c r="K4107" s="16" t="n">
        <f aca="false" t="array" ref="K4107:K4107">IFERROR(INDEX(AC4107:AE4107,IF(COUNTA(AC4107:AE4107)=0,"",MAX((AC4107:AE4107&lt;&gt;"")*(COLUMN(AC4107:AE4107)-(COLUMN(AC4107)-1))))-1),"")</f>
        <v>46402</v>
      </c>
      <c r="L4107" s="17" t="str">
        <f aca="false" t="array" ref="L4107:L4107">IFERROR(INDEX(AC4107:AE4107,IF(COUNTA(AC4107:AE4107)=0,"",MAX((AC4107:AE4107&lt;&gt;"")*(COLUMN(AC4107:AE4107)-(COLUMN(AC4107)-2))))-1),"")</f>
        <v>KEMBALI</v>
      </c>
      <c r="M4107" s="13" t="n">
        <f aca="true">K4107-TODAY()</f>
        <v>78</v>
      </c>
      <c r="N4107" s="18" t="s">
        <v>3248</v>
      </c>
      <c r="O4107" s="13" t="s">
        <v>2384</v>
      </c>
      <c r="P4107" s="19" t="n">
        <v>5357982</v>
      </c>
      <c r="Q4107" s="20" t="s">
        <v>16814</v>
      </c>
      <c r="R4107" s="13" t="s">
        <v>16815</v>
      </c>
      <c r="S4107" s="25" t="n">
        <v>38263</v>
      </c>
      <c r="T4107" s="13" t="s">
        <v>108</v>
      </c>
      <c r="U4107" s="13" t="s">
        <v>16816</v>
      </c>
      <c r="V4107" s="13" t="s">
        <v>42</v>
      </c>
      <c r="W4107" s="13" t="s">
        <v>43</v>
      </c>
      <c r="X4107" s="21" t="n">
        <v>82258882317</v>
      </c>
      <c r="Y4107" s="22" t="str">
        <f aca="false">O4107</f>
        <v>SPG</v>
      </c>
      <c r="Z4107" s="13" t="str">
        <f aca="false">IFERROR(__xludf.dummyfunction("if(BJ4107="""","""",GOOGLETRANSLATE(BJ4107,""auto"",""en""))"),"SPG")</f>
        <v>SPG</v>
      </c>
      <c r="AA4107" s="23" t="str">
        <f aca="false">IF(C4107="","", CHOOSE(MONTH(C4107),"January","February","March","April","May","June","July","August","September","October","November","December")&amp;" "&amp;DAY(C4107)&amp;MID("thstndrdth",MIN(9,2*RIGHT(DAY(C4107))*(MOD(DAY(C4107)-11,100)&gt;2)+1),2)&amp;","&amp;TEXT(C4107," yyyy"))</f>
        <v>July 15th,2026</v>
      </c>
      <c r="AB4107" s="15" t="str">
        <f aca="true">IF(S4107="","",DATEDIF(S4107,TODAY(),"Y")&amp;" Tahun, "&amp;DATEDIF(S4107,TODAY(),"YM")&amp;" Bulan, "&amp;DATEDIF(S4107,TODAY(),"MD")&amp;" Hari")</f>
        <v>22 Tahun, 0 Bulan, 26 Hari</v>
      </c>
      <c r="AC4107" s="14" t="n">
        <v>46218</v>
      </c>
      <c r="AD4107" s="18" t="n">
        <v>46402</v>
      </c>
      <c r="AE4107" s="13" t="s">
        <v>397</v>
      </c>
    </row>
    <row r="4108" customFormat="false" ht="15" hidden="false" customHeight="true" outlineLevel="0" collapsed="false">
      <c r="A4108" s="12" t="n">
        <v>22733</v>
      </c>
      <c r="B4108" s="13" t="s">
        <v>16817</v>
      </c>
      <c r="C4108" s="14" t="n">
        <v>46228</v>
      </c>
      <c r="D4108" s="13" t="s">
        <v>2033</v>
      </c>
      <c r="E4108" s="13" t="s">
        <v>47</v>
      </c>
      <c r="F4108" s="24" t="s">
        <v>16818</v>
      </c>
      <c r="G4108" s="13" t="s">
        <v>1452</v>
      </c>
      <c r="H4108" s="13" t="s">
        <v>35</v>
      </c>
      <c r="I4108" s="13" t="str">
        <f aca="false">IF(C4108=J4108,"NEW KONTRAK","RE-KONTRAK")</f>
        <v>NEW KONTRAK</v>
      </c>
      <c r="J4108" s="16" t="n">
        <f aca="false" t="array" ref="J4108:J4108">IFERROR(INDEX(AC4108:AE4108,IF(COUNTA(AC4108:AE4108)=0,"",MAX((AC4108:AE4108&lt;&gt;"")*(COLUMN(AC4108:AE4108)-(COLUMN(AC4108)))))-1),"")</f>
        <v>46228</v>
      </c>
      <c r="K4108" s="16" t="n">
        <f aca="false" t="array" ref="K4108:K4108">IFERROR(INDEX(AC4108:AE4108,IF(COUNTA(AC4108:AE4108)=0,"",MAX((AC4108:AE4108&lt;&gt;"")*(COLUMN(AC4108:AE4108)-(COLUMN(AC4108)-1))))-1),"")</f>
        <v>46402</v>
      </c>
      <c r="L4108" s="17" t="str">
        <f aca="false" t="array" ref="L4108:L4108">IFERROR(INDEX(AC4108:AE4108,IF(COUNTA(AC4108:AE4108)=0,"",MAX((AC4108:AE4108&lt;&gt;"")*(COLUMN(AC4108:AE4108)-(COLUMN(AC4108)-2))))-1),"")</f>
        <v>KEMBALI</v>
      </c>
      <c r="M4108" s="13" t="n">
        <f aca="true">K4108-TODAY()</f>
        <v>78</v>
      </c>
      <c r="N4108" s="18" t="s">
        <v>10100</v>
      </c>
      <c r="O4108" s="13" t="s">
        <v>2384</v>
      </c>
      <c r="P4108" s="19" t="n">
        <v>3381225</v>
      </c>
      <c r="Q4108" s="20" t="s">
        <v>16819</v>
      </c>
      <c r="R4108" s="13" t="s">
        <v>10100</v>
      </c>
      <c r="S4108" s="25" t="n">
        <v>36588</v>
      </c>
      <c r="T4108" s="13" t="s">
        <v>108</v>
      </c>
      <c r="U4108" s="13" t="s">
        <v>16820</v>
      </c>
      <c r="V4108" s="13" t="s">
        <v>99</v>
      </c>
      <c r="W4108" s="13" t="s">
        <v>43</v>
      </c>
      <c r="X4108" s="21" t="n">
        <v>82267108924</v>
      </c>
      <c r="Y4108" s="22" t="str">
        <f aca="false">O4108</f>
        <v>SPG</v>
      </c>
      <c r="Z4108" s="13" t="str">
        <f aca="false">IFERROR(__xludf.dummyfunction("if(BJ4108="""","""",GOOGLETRANSLATE(BJ4108,""auto"",""en""))"),"SPG")</f>
        <v>SPG</v>
      </c>
      <c r="AA4108" s="23" t="str">
        <f aca="false">IF(C4108="","", CHOOSE(MONTH(C4108),"January","February","March","April","May","June","July","August","September","October","November","December")&amp;" "&amp;DAY(C4108)&amp;MID("thstndrdth",MIN(9,2*RIGHT(DAY(C4108))*(MOD(DAY(C4108)-11,100)&gt;2)+1),2)&amp;","&amp;TEXT(C4108," yyyy"))</f>
        <v>July 25th,2026</v>
      </c>
      <c r="AB4108" s="15" t="str">
        <f aca="true">IF(S4108="","",DATEDIF(S4108,TODAY(),"Y")&amp;" Tahun, "&amp;DATEDIF(S4108,TODAY(),"YM")&amp;" Bulan, "&amp;DATEDIF(S4108,TODAY(),"MD")&amp;" Hari")</f>
        <v>26 Tahun, 7 Bulan, 26 Hari</v>
      </c>
      <c r="AC4108" s="14" t="n">
        <v>46228</v>
      </c>
      <c r="AD4108" s="18" t="n">
        <v>46402</v>
      </c>
      <c r="AE4108" s="13" t="s">
        <v>397</v>
      </c>
    </row>
    <row r="4109" customFormat="false" ht="15" hidden="false" customHeight="true" outlineLevel="0" collapsed="false">
      <c r="A4109" s="12" t="n">
        <v>22908</v>
      </c>
      <c r="B4109" s="13" t="s">
        <v>16821</v>
      </c>
      <c r="C4109" s="14" t="n">
        <v>46250</v>
      </c>
      <c r="D4109" s="13" t="s">
        <v>2033</v>
      </c>
      <c r="E4109" s="13" t="s">
        <v>47</v>
      </c>
      <c r="F4109" s="24" t="s">
        <v>16822</v>
      </c>
      <c r="G4109" s="13" t="s">
        <v>1452</v>
      </c>
      <c r="H4109" s="13" t="s">
        <v>35</v>
      </c>
      <c r="I4109" s="13" t="str">
        <f aca="false">IF(C4109=J4109,"NEW KONTRAK","RE-KONTRAK")</f>
        <v>NEW KONTRAK</v>
      </c>
      <c r="J4109" s="16" t="n">
        <f aca="false" t="array" ref="J4109:J4109">IFERROR(INDEX(AC4109:AE4109,IF(COUNTA(AC4109:AE4109)=0,"",MAX((AC4109:AE4109&lt;&gt;"")*(COLUMN(AC4109:AE4109)-(COLUMN(AC4109)))))-1),"")</f>
        <v>46250</v>
      </c>
      <c r="K4109" s="16" t="n">
        <f aca="false" t="array" ref="K4109:K4109">IFERROR(INDEX(AC4109:AE4109,IF(COUNTA(AC4109:AE4109)=0,"",MAX((AC4109:AE4109&lt;&gt;"")*(COLUMN(AC4109:AE4109)-(COLUMN(AC4109)-1))))-1),"")</f>
        <v>46402</v>
      </c>
      <c r="L4109" s="17" t="str">
        <f aca="false" t="array" ref="L4109:L4109">IFERROR(INDEX(AC4109:AE4109,IF(COUNTA(AC4109:AE4109)=0,"",MAX((AC4109:AE4109&lt;&gt;"")*(COLUMN(AC4109:AE4109)-(COLUMN(AC4109)-2))))-1),"")</f>
        <v>KEMBALI ONLINE</v>
      </c>
      <c r="M4109" s="13" t="n">
        <f aca="true">K4109-TODAY()</f>
        <v>78</v>
      </c>
      <c r="N4109" s="13" t="s">
        <v>2587</v>
      </c>
      <c r="O4109" s="13" t="s">
        <v>2384</v>
      </c>
      <c r="P4109" s="26" t="n">
        <v>3855894</v>
      </c>
      <c r="Q4109" s="20" t="s">
        <v>16823</v>
      </c>
      <c r="R4109" s="13" t="s">
        <v>16824</v>
      </c>
      <c r="S4109" s="25" t="n">
        <v>35195</v>
      </c>
      <c r="T4109" s="13" t="s">
        <v>108</v>
      </c>
      <c r="U4109" s="13" t="s">
        <v>16825</v>
      </c>
      <c r="V4109" s="13" t="s">
        <v>42</v>
      </c>
      <c r="W4109" s="13" t="s">
        <v>43</v>
      </c>
      <c r="X4109" s="21" t="n">
        <v>895605542631</v>
      </c>
      <c r="Y4109" s="22" t="str">
        <f aca="false">O4109</f>
        <v>SPG</v>
      </c>
      <c r="Z4109" s="13" t="str">
        <f aca="false">IFERROR(__xludf.dummyfunction("if(BJ4109="""","""",GOOGLETRANSLATE(BJ4109,""auto"",""en""))"),"SPG")</f>
        <v>SPG</v>
      </c>
      <c r="AA4109" s="23" t="str">
        <f aca="false">IF(C4109="","", CHOOSE(MONTH(C4109),"January","February","March","April","May","June","July","August","September","October","November","December")&amp;" "&amp;DAY(C4109)&amp;MID("thstndrdth",MIN(9,2*RIGHT(DAY(C4109))*(MOD(DAY(C4109)-11,100)&gt;2)+1),2)&amp;","&amp;TEXT(C4109," yyyy"))</f>
        <v>August 16th,2026</v>
      </c>
      <c r="AB4109" s="15" t="str">
        <f aca="true">IF(S4109="","",DATEDIF(S4109,TODAY(),"Y")&amp;" Tahun, "&amp;DATEDIF(S4109,TODAY(),"YM")&amp;" Bulan, "&amp;DATEDIF(S4109,TODAY(),"MD")&amp;" Hari")</f>
        <v>30 Tahun, 5 Bulan, 19 Hari</v>
      </c>
      <c r="AC4109" s="14" t="n">
        <v>46250</v>
      </c>
      <c r="AD4109" s="18" t="n">
        <v>46402</v>
      </c>
      <c r="AE4109" s="13" t="s">
        <v>2387</v>
      </c>
    </row>
    <row r="4110" customFormat="false" ht="15" hidden="false" customHeight="true" outlineLevel="0" collapsed="false">
      <c r="A4110" s="12" t="n">
        <v>21870</v>
      </c>
      <c r="B4110" s="69" t="s">
        <v>16826</v>
      </c>
      <c r="C4110" s="16" t="n">
        <v>46055</v>
      </c>
      <c r="D4110" s="13" t="s">
        <v>2033</v>
      </c>
      <c r="E4110" s="15" t="s">
        <v>47</v>
      </c>
      <c r="F4110" s="15" t="str">
        <f aca="false">IFERROR(__xludf.dummyfunction("XLOOKUP(AJ4110,IMPORTRANGE(""1XaInW9DU9nz21V0tYIfzFQ0He9kVQ_JF2mCXgZ3hqFA"",""REKAP ALL 2026 - Andika!G:G""),IMPORTRANGE(""1XaInW9DU9nz21V0tYIfzFQ0He9kVQ_JF2mCXgZ3hqFA"",""REKAP ALL 2026 - Andika!F:F""),"""",0)"),"26035115943")</f>
        <v>26035115943</v>
      </c>
      <c r="G4110" s="13" t="s">
        <v>1127</v>
      </c>
      <c r="H4110" s="13" t="s">
        <v>35</v>
      </c>
      <c r="I4110" s="13" t="str">
        <f aca="false">IF(C4110=J4110,"NEW KONTRAK","RE-KONTRAK")</f>
        <v>NEW KONTRAK</v>
      </c>
      <c r="J4110" s="16" t="n">
        <f aca="false" t="array" ref="J4110:J4110">IFERROR(INDEX(AC4110:AE4110,IF(COUNTA(AC4110:AE4110)=0,"",MAX((AC4110:AE4110&lt;&gt;"")*(COLUMN(AC4110:AE4110)-(COLUMN(AC4110)))))-1),"")</f>
        <v>46055</v>
      </c>
      <c r="K4110" s="16" t="n">
        <f aca="false" t="array" ref="K4110:K4110">IFERROR(INDEX(AC4110:AE4110,IF(COUNTA(AC4110:AE4110)=0,"",MAX((AC4110:AE4110&lt;&gt;"")*(COLUMN(AC4110:AE4110)-(COLUMN(AC4110)-1))))-1),"")</f>
        <v>46188</v>
      </c>
      <c r="L4110" s="17" t="str">
        <f aca="false" t="array" ref="L4110:L4110">IFERROR(INDEX(AC4110:AE4110,IF(COUNTA(AC4110:AE4110)=0,"",MAX((AC4110:AE4110&lt;&gt;"")*(COLUMN(AC4110:AE4110)-(COLUMN(AC4110)-2))))-1),"")</f>
        <v>KEMBALI</v>
      </c>
      <c r="M4110" s="13" t="n">
        <f aca="true">K4110-TODAY()</f>
        <v>-136</v>
      </c>
      <c r="N4110" s="18" t="s">
        <v>3897</v>
      </c>
      <c r="O4110" s="13" t="s">
        <v>2037</v>
      </c>
      <c r="P4110" s="19" t="n">
        <v>3725000</v>
      </c>
      <c r="Q4110" s="47" t="s">
        <v>16827</v>
      </c>
      <c r="R4110" s="13" t="s">
        <v>3897</v>
      </c>
      <c r="S4110" s="16" t="n">
        <v>37152</v>
      </c>
      <c r="T4110" s="13" t="s">
        <v>108</v>
      </c>
      <c r="U4110" s="13" t="s">
        <v>16828</v>
      </c>
      <c r="V4110" s="13" t="s">
        <v>42</v>
      </c>
      <c r="W4110" s="13" t="s">
        <v>54</v>
      </c>
      <c r="X4110" s="13" t="s">
        <v>16829</v>
      </c>
      <c r="Y4110" s="22" t="str">
        <f aca="false">O4110</f>
        <v>SPG/BA</v>
      </c>
      <c r="Z4110" s="13" t="str">
        <f aca="false">IFERROR(__xludf.dummyfunction("if(BJ4110="""","""",GOOGLETRANSLATE(BJ4110,""auto"",""en""))"),"SPG/BA")</f>
        <v>SPG/BA</v>
      </c>
      <c r="AA4110" s="23" t="str">
        <f aca="false">IF(C4110="","", CHOOSE(MONTH(C4110),"January","February","March","April","May","June","July","August","September","October","November","December")&amp;" "&amp;DAY(C4110)&amp;MID("thstndrdth",MIN(9,2*RIGHT(DAY(C4110))*(MOD(DAY(C4110)-11,100)&gt;2)+1),2)&amp;","&amp;TEXT(C4110," yyyy"))</f>
        <v>February 2nd,2026</v>
      </c>
      <c r="AB4110" s="15" t="str">
        <f aca="true">IF(S4110="","",DATEDIF(S4110,TODAY(),"Y")&amp;" Tahun, "&amp;DATEDIF(S4110,TODAY(),"YM")&amp;" Bulan, "&amp;DATEDIF(S4110,TODAY(),"MD")&amp;" Hari")</f>
        <v>25 Tahun, 1 Bulan, 11 Hari</v>
      </c>
      <c r="AC4110" s="18" t="n">
        <v>46055</v>
      </c>
      <c r="AD4110" s="18" t="n">
        <v>46188</v>
      </c>
      <c r="AE4110" s="13" t="s">
        <v>397</v>
      </c>
    </row>
    <row r="4111" customFormat="false" ht="15" hidden="false" customHeight="true" outlineLevel="0" collapsed="false">
      <c r="A4111" s="12" t="n">
        <v>12831</v>
      </c>
      <c r="B4111" s="13" t="s">
        <v>16830</v>
      </c>
      <c r="C4111" s="14" t="n">
        <v>45170</v>
      </c>
      <c r="D4111" s="13" t="s">
        <v>2033</v>
      </c>
      <c r="E4111" s="15" t="s">
        <v>47</v>
      </c>
      <c r="F4111" s="15" t="str">
        <f aca="false">IFERROR(__xludf.dummyfunction("XLOOKUP(AJ4111,IMPORTRANGE(""1XaInW9DU9nz21V0tYIfzFQ0He9kVQ_JF2mCXgZ3hqFA"",""REKAP ALL 2026 - Andika!G:G""),IMPORTRANGE(""1XaInW9DU9nz21V0tYIfzFQ0He9kVQ_JF2mCXgZ3hqFA"",""REKAP ALL 2026 - Andika!F:F""),"""",0)"),"23132324296")</f>
        <v>23132324296</v>
      </c>
      <c r="G4111" s="13" t="s">
        <v>16831</v>
      </c>
      <c r="H4111" s="13" t="s">
        <v>2035</v>
      </c>
      <c r="I4111" s="13" t="str">
        <f aca="false">IF(C4111=J4111,"NEW KONTRAK","RE-KONTRAK")</f>
        <v>RE-KONTRAK</v>
      </c>
      <c r="J4111" s="16" t="n">
        <f aca="false" t="array" ref="J4111:J4111">IFERROR(INDEX(AC4111:AE4111,IF(COUNTA(AC4111:AE4111)=0,"",MAX((AC4111:AE4111&lt;&gt;"")*(COLUMN(AC4111:AE4111)-(COLUMN(AC4111)))))-1),"")</f>
        <v>45744</v>
      </c>
      <c r="K4111" s="16" t="n">
        <f aca="false" t="array" ref="K4111:K4111">IFERROR(INDEX(AC4111:AE4111,IF(COUNTA(AC4111:AE4111)=0,"",MAX((AC4111:AE4111&lt;&gt;"")*(COLUMN(AC4111:AE4111)-(COLUMN(AC4111)-1))))-1),"")</f>
        <v>45915</v>
      </c>
      <c r="L4111" s="17" t="str">
        <f aca="false" t="array" ref="L4111:L4111">IFERROR(INDEX(AC4111:AE4111,IF(COUNTA(AC4111:AE4111)=0,"",MAX((AC4111:AE4111&lt;&gt;"")*(COLUMN(AC4111:AE4111)-(COLUMN(AC4111)-2))))-1),"")</f>
        <v>ARCHIVED</v>
      </c>
      <c r="M4111" s="13" t="n">
        <f aca="true">K4111-TODAY()</f>
        <v>-409</v>
      </c>
      <c r="N4111" s="18" t="s">
        <v>4227</v>
      </c>
      <c r="O4111" s="13" t="s">
        <v>2037</v>
      </c>
      <c r="P4111" s="19" t="n">
        <v>3089219</v>
      </c>
      <c r="Q4111" s="20" t="s">
        <v>16832</v>
      </c>
      <c r="R4111" s="13" t="s">
        <v>16833</v>
      </c>
      <c r="S4111" s="14" t="n">
        <v>33979</v>
      </c>
      <c r="T4111" s="13" t="s">
        <v>108</v>
      </c>
      <c r="U4111" s="13" t="s">
        <v>16834</v>
      </c>
      <c r="V4111" s="13" t="s">
        <v>42</v>
      </c>
      <c r="W4111" s="13" t="s">
        <v>54</v>
      </c>
      <c r="X4111" s="21" t="n">
        <v>82371335978</v>
      </c>
      <c r="Y4111" s="22" t="str">
        <f aca="false">O4111</f>
        <v>SPG/BA</v>
      </c>
      <c r="Z4111" s="13" t="str">
        <f aca="false">IFERROR(__xludf.dummyfunction("if(BJ4111="""","""",GOOGLETRANSLATE(BJ4111,""auto"",""en""))"),"SPG/BA")</f>
        <v>SPG/BA</v>
      </c>
      <c r="AA4111" s="23" t="str">
        <f aca="false">IF(C4111="","", CHOOSE(MONTH(C4111),"January","February","March","April","May","June","July","August","September","October","November","December")&amp;" "&amp;DAY(C4111)&amp;MID("thstndrdth",MIN(9,2*RIGHT(DAY(C4111))*(MOD(DAY(C4111)-11,100)&gt;2)+1),2)&amp;","&amp;TEXT(C4111," yyyy"))</f>
        <v>September 1st,2023</v>
      </c>
      <c r="AB4111" s="15" t="str">
        <f aca="true">IF(S4111="","",DATEDIF(S4111,TODAY(),"Y")&amp;" Tahun, "&amp;DATEDIF(S4111,TODAY(),"YM")&amp;" Bulan, "&amp;DATEDIF(S4111,TODAY(),"MD")&amp;" Hari")</f>
        <v>33 Tahun, 9 Bulan, 19 Hari</v>
      </c>
      <c r="AC4111" s="18" t="n">
        <v>45744</v>
      </c>
      <c r="AD4111" s="18" t="n">
        <v>45915</v>
      </c>
      <c r="AE4111" s="18" t="s">
        <v>44</v>
      </c>
    </row>
    <row r="4112" customFormat="false" ht="15" hidden="false" customHeight="true" outlineLevel="0" collapsed="false">
      <c r="A4112" s="12" t="n">
        <v>21042</v>
      </c>
      <c r="B4112" s="13" t="s">
        <v>16835</v>
      </c>
      <c r="C4112" s="16" t="n">
        <v>45931</v>
      </c>
      <c r="D4112" s="13" t="s">
        <v>2033</v>
      </c>
      <c r="E4112" s="15" t="s">
        <v>47</v>
      </c>
      <c r="F4112" s="15" t="str">
        <f aca="false">IFERROR(__xludf.dummyfunction("XLOOKUP(AJ4112,IMPORTRANGE(""1XaInW9DU9nz21V0tYIfzFQ0He9kVQ_JF2mCXgZ3hqFA"",""REKAP ALL 2026 - Andika!G:G""),IMPORTRANGE(""1XaInW9DU9nz21V0tYIfzFQ0He9kVQ_JF2mCXgZ3hqFA"",""REKAP ALL 2026 - Andika!F:F""),"""",0)"),"25157577716")</f>
        <v>25157577716</v>
      </c>
      <c r="G4112" s="13" t="s">
        <v>1127</v>
      </c>
      <c r="H4112" s="13" t="s">
        <v>35</v>
      </c>
      <c r="I4112" s="13" t="str">
        <f aca="false">IF(C4112=J4112,"NEW KONTRAK","RE-KONTRAK")</f>
        <v>NEW KONTRAK</v>
      </c>
      <c r="J4112" s="16" t="n">
        <f aca="false" t="array" ref="J4112:J4112">IFERROR(INDEX(AC4112:AE4112,IF(COUNTA(AC4112:AE4112)=0,"",MAX((AC4112:AE4112&lt;&gt;"")*(COLUMN(AC4112:AE4112)-(COLUMN(AC4112)))))-1),"")</f>
        <v>45931</v>
      </c>
      <c r="K4112" s="16" t="n">
        <f aca="false" t="array" ref="K4112:K4112">IFERROR(INDEX(AC4112:AE4112,IF(COUNTA(AC4112:AE4112)=0,"",MAX((AC4112:AE4112&lt;&gt;"")*(COLUMN(AC4112:AE4112)-(COLUMN(AC4112)-1))))-1),"")</f>
        <v>46037</v>
      </c>
      <c r="L4112" s="17" t="str">
        <f aca="false" t="array" ref="L4112:L4112">IFERROR(INDEX(AC4112:AE4112,IF(COUNTA(AC4112:AE4112)=0,"",MAX((AC4112:AE4112&lt;&gt;"")*(COLUMN(AC4112:AE4112)-(COLUMN(AC4112)-2))))-1),"")</f>
        <v>ARCHIVED</v>
      </c>
      <c r="M4112" s="13" t="n">
        <f aca="true">K4112-TODAY()</f>
        <v>-287</v>
      </c>
      <c r="N4112" s="50" t="s">
        <v>749</v>
      </c>
      <c r="O4112" s="13" t="s">
        <v>2037</v>
      </c>
      <c r="P4112" s="19" t="n">
        <v>3983882</v>
      </c>
      <c r="Q4112" s="47" t="s">
        <v>16836</v>
      </c>
      <c r="R4112" s="13" t="s">
        <v>752</v>
      </c>
      <c r="S4112" s="14" t="n">
        <v>36307</v>
      </c>
      <c r="T4112" s="13" t="s">
        <v>108</v>
      </c>
      <c r="U4112" s="13" t="s">
        <v>16837</v>
      </c>
      <c r="V4112" s="13" t="s">
        <v>42</v>
      </c>
      <c r="W4112" s="13" t="s">
        <v>43</v>
      </c>
      <c r="X4112" s="21" t="s">
        <v>16838</v>
      </c>
      <c r="Y4112" s="22" t="str">
        <f aca="false">O4112</f>
        <v>SPG/BA</v>
      </c>
      <c r="Z4112" s="13" t="str">
        <f aca="false">IFERROR(__xludf.dummyfunction("if(BJ4112="""","""",GOOGLETRANSLATE(BJ4112,""auto"",""en""))"),"SPG/BA")</f>
        <v>SPG/BA</v>
      </c>
      <c r="AA4112" s="23" t="str">
        <f aca="false">IF(C4112="","", CHOOSE(MONTH(C4112),"January","February","March","April","May","June","July","August","September","October","November","December")&amp;" "&amp;DAY(C4112)&amp;MID("thstndrdth",MIN(9,2*RIGHT(DAY(C4112))*(MOD(DAY(C4112)-11,100)&gt;2)+1),2)&amp;","&amp;TEXT(C4112," yyyy"))</f>
        <v>October 1st,2025</v>
      </c>
      <c r="AB4112" s="15" t="str">
        <f aca="true">IF(S4112="","",DATEDIF(S4112,TODAY(),"Y")&amp;" Tahun, "&amp;DATEDIF(S4112,TODAY(),"YM")&amp;" Bulan, "&amp;DATEDIF(S4112,TODAY(),"MD")&amp;" Hari")</f>
        <v>27 Tahun, 5 Bulan, 2 Hari</v>
      </c>
      <c r="AC4112" s="18" t="n">
        <v>45931</v>
      </c>
      <c r="AD4112" s="18" t="n">
        <v>46037</v>
      </c>
      <c r="AE4112" s="18" t="s">
        <v>44</v>
      </c>
    </row>
    <row r="4113" customFormat="false" ht="15" hidden="false" customHeight="true" outlineLevel="0" collapsed="false">
      <c r="A4113" s="12" t="n">
        <v>21315</v>
      </c>
      <c r="B4113" s="13" t="s">
        <v>16839</v>
      </c>
      <c r="C4113" s="16" t="n">
        <v>45962</v>
      </c>
      <c r="D4113" s="13" t="s">
        <v>2033</v>
      </c>
      <c r="E4113" s="15" t="s">
        <v>47</v>
      </c>
      <c r="F4113" s="15" t="str">
        <f aca="false">IFERROR(__xludf.dummyfunction("XLOOKUP(AJ4113,IMPORTRANGE(""1XaInW9DU9nz21V0tYIfzFQ0He9kVQ_JF2mCXgZ3hqFA"",""REKAP ALL 2026 - Andika!G:G""),IMPORTRANGE(""1XaInW9DU9nz21V0tYIfzFQ0He9kVQ_JF2mCXgZ3hqFA"",""REKAP ALL 2026 - Andika!F:F""),"""",0)"),"25180535004")</f>
        <v>25180535004</v>
      </c>
      <c r="G4113" s="13" t="s">
        <v>1127</v>
      </c>
      <c r="H4113" s="13" t="s">
        <v>35</v>
      </c>
      <c r="I4113" s="13" t="str">
        <f aca="false">IF(C4113=J4113,"NEW KONTRAK","RE-KONTRAK")</f>
        <v>NEW KONTRAK</v>
      </c>
      <c r="J4113" s="16" t="n">
        <f aca="false" t="array" ref="J4113:J4113">IFERROR(INDEX(AC4113:AE4113,IF(COUNTA(AC4113:AE4113)=0,"",MAX((AC4113:AE4113&lt;&gt;"")*(COLUMN(AC4113:AE4113)-(COLUMN(AC4113)))))-1),"")</f>
        <v>45962</v>
      </c>
      <c r="K4113" s="16" t="n">
        <f aca="false" t="array" ref="K4113:K4113">IFERROR(INDEX(AC4113:AE4113,IF(COUNTA(AC4113:AE4113)=0,"",MAX((AC4113:AE4113&lt;&gt;"")*(COLUMN(AC4113:AE4113)-(COLUMN(AC4113)-1))))-1),"")</f>
        <v>46037</v>
      </c>
      <c r="L4113" s="17" t="str">
        <f aca="false" t="array" ref="L4113:L4113">IFERROR(INDEX(AC4113:AE4113,IF(COUNTA(AC4113:AE4113)=0,"",MAX((AC4113:AE4113&lt;&gt;"")*(COLUMN(AC4113:AE4113)-(COLUMN(AC4113)-2))))-1),"")</f>
        <v>ARCHIVED</v>
      </c>
      <c r="M4113" s="13" t="n">
        <f aca="true">K4113-TODAY()</f>
        <v>-287</v>
      </c>
      <c r="N4113" s="18" t="s">
        <v>4903</v>
      </c>
      <c r="O4113" s="13" t="s">
        <v>2037</v>
      </c>
      <c r="P4113" s="19" t="n">
        <v>3205220</v>
      </c>
      <c r="Q4113" s="47" t="s">
        <v>16840</v>
      </c>
      <c r="R4113" s="13" t="s">
        <v>4903</v>
      </c>
      <c r="S4113" s="16" t="n">
        <v>37362</v>
      </c>
      <c r="T4113" s="13" t="s">
        <v>108</v>
      </c>
      <c r="U4113" s="13" t="s">
        <v>16841</v>
      </c>
      <c r="V4113" s="13" t="s">
        <v>42</v>
      </c>
      <c r="W4113" s="13" t="s">
        <v>43</v>
      </c>
      <c r="X4113" s="21" t="n">
        <v>85820327559</v>
      </c>
      <c r="Y4113" s="22" t="str">
        <f aca="false">O4113</f>
        <v>SPG/BA</v>
      </c>
      <c r="Z4113" s="13" t="str">
        <f aca="false">IFERROR(__xludf.dummyfunction("if(BJ4113="""","""",GOOGLETRANSLATE(BJ4113,""auto"",""en""))"),"SPG/BA")</f>
        <v>SPG/BA</v>
      </c>
      <c r="AA4113" s="23" t="str">
        <f aca="false">IF(C4113="","", CHOOSE(MONTH(C4113),"January","February","March","April","May","June","July","August","September","October","November","December")&amp;" "&amp;DAY(C4113)&amp;MID("thstndrdth",MIN(9,2*RIGHT(DAY(C4113))*(MOD(DAY(C4113)-11,100)&gt;2)+1),2)&amp;","&amp;TEXT(C4113," yyyy"))</f>
        <v>November 1st,2025</v>
      </c>
      <c r="AB4113" s="15" t="str">
        <f aca="true">IF(S4113="","",DATEDIF(S4113,TODAY(),"Y")&amp;" Tahun, "&amp;DATEDIF(S4113,TODAY(),"YM")&amp;" Bulan, "&amp;DATEDIF(S4113,TODAY(),"MD")&amp;" Hari")</f>
        <v>24 Tahun, 6 Bulan, 13 Hari</v>
      </c>
      <c r="AC4113" s="18" t="n">
        <v>45962</v>
      </c>
      <c r="AD4113" s="18" t="n">
        <v>46037</v>
      </c>
      <c r="AE4113" s="13" t="s">
        <v>44</v>
      </c>
    </row>
    <row r="4114" customFormat="false" ht="15" hidden="false" customHeight="true" outlineLevel="0" collapsed="false">
      <c r="A4114" s="12" t="n">
        <v>22743</v>
      </c>
      <c r="B4114" s="13" t="s">
        <v>16842</v>
      </c>
      <c r="C4114" s="14" t="n">
        <v>46243</v>
      </c>
      <c r="D4114" s="13" t="s">
        <v>2033</v>
      </c>
      <c r="E4114" s="15" t="s">
        <v>102</v>
      </c>
      <c r="F4114" s="24" t="s">
        <v>16843</v>
      </c>
      <c r="G4114" s="13" t="s">
        <v>1452</v>
      </c>
      <c r="H4114" s="13" t="s">
        <v>35</v>
      </c>
      <c r="I4114" s="13" t="str">
        <f aca="false">IF(C4114=J4114,"NEW KONTRAK","RE-KONTRAK")</f>
        <v>NEW KONTRAK</v>
      </c>
      <c r="J4114" s="16" t="n">
        <f aca="false" t="array" ref="J4114:J4114">IFERROR(INDEX(AC4114:AE4114,IF(COUNTA(AC4114:AE4114)=0,"",MAX((AC4114:AE4114&lt;&gt;"")*(COLUMN(AC4114:AE4114)-(COLUMN(AC4114)))))-1),"")</f>
        <v>46243</v>
      </c>
      <c r="K4114" s="16" t="n">
        <f aca="false" t="array" ref="K4114:K4114">IFERROR(INDEX(AC4114:AE4114,IF(COUNTA(AC4114:AE4114)=0,"",MAX((AC4114:AE4114&lt;&gt;"")*(COLUMN(AC4114:AE4114)-(COLUMN(AC4114)-1))))-1),"")</f>
        <v>46402</v>
      </c>
      <c r="L4114" s="13" t="s">
        <v>397</v>
      </c>
      <c r="M4114" s="13" t="n">
        <f aca="true">K4114-TODAY()</f>
        <v>78</v>
      </c>
      <c r="N4114" s="18" t="s">
        <v>2383</v>
      </c>
      <c r="O4114" s="13" t="s">
        <v>2384</v>
      </c>
      <c r="P4114" s="19" t="n">
        <v>3998179.46</v>
      </c>
      <c r="Q4114" s="20" t="s">
        <v>16844</v>
      </c>
      <c r="R4114" s="13" t="s">
        <v>10842</v>
      </c>
      <c r="S4114" s="25" t="n">
        <v>35458</v>
      </c>
      <c r="T4114" s="13" t="s">
        <v>108</v>
      </c>
      <c r="U4114" s="13" t="s">
        <v>16845</v>
      </c>
      <c r="V4114" s="13" t="s">
        <v>42</v>
      </c>
      <c r="W4114" s="13" t="s">
        <v>54</v>
      </c>
      <c r="X4114" s="21" t="n">
        <v>82149794079</v>
      </c>
      <c r="Y4114" s="22" t="str">
        <f aca="false">O4114</f>
        <v>SPG</v>
      </c>
      <c r="Z4114" s="13" t="str">
        <f aca="false">IFERROR(__xludf.dummyfunction("if(BJ4114="""","""",GOOGLETRANSLATE(BJ4114,""auto"",""en""))"),"SPG")</f>
        <v>SPG</v>
      </c>
      <c r="AA4114" s="23" t="str">
        <f aca="false">IF(C4114="","", CHOOSE(MONTH(C4114),"January","February","March","April","May","June","July","August","September","October","November","December")&amp;" "&amp;DAY(C4114)&amp;MID("thstndrdth",MIN(9,2*RIGHT(DAY(C4114))*(MOD(DAY(C4114)-11,100)&gt;2)+1),2)&amp;","&amp;TEXT(C4114," yyyy"))</f>
        <v>August 9th,2026</v>
      </c>
      <c r="AB4114" s="15" t="str">
        <f aca="true">IF(S4114="","",DATEDIF(S4114,TODAY(),"Y")&amp;" Tahun, "&amp;DATEDIF(S4114,TODAY(),"YM")&amp;" Bulan, "&amp;DATEDIF(S4114,TODAY(),"MD")&amp;" Hari")</f>
        <v>29 Tahun, 9 Bulan, 1 Hari</v>
      </c>
      <c r="AC4114" s="14" t="n">
        <v>46243</v>
      </c>
      <c r="AD4114" s="18" t="n">
        <v>46402</v>
      </c>
      <c r="AE4114" s="45" t="s">
        <v>44</v>
      </c>
    </row>
    <row r="4115" customFormat="false" ht="15" hidden="false" customHeight="true" outlineLevel="0" collapsed="false">
      <c r="A4115" s="12" t="n">
        <v>17600</v>
      </c>
      <c r="B4115" s="13" t="s">
        <v>16846</v>
      </c>
      <c r="C4115" s="14" t="n">
        <v>45561</v>
      </c>
      <c r="D4115" s="13" t="s">
        <v>2033</v>
      </c>
      <c r="E4115" s="15" t="s">
        <v>47</v>
      </c>
      <c r="F4115" s="15" t="str">
        <f aca="false">IFERROR(__xludf.dummyfunction("XLOOKUP(AJ4115,IMPORTRANGE(""1XaInW9DU9nz21V0tYIfzFQ0He9kVQ_JF2mCXgZ3hqFA"",""REKAP ALL 2026 - Andika!G:G""),IMPORTRANGE(""1XaInW9DU9nz21V0tYIfzFQ0He9kVQ_JF2mCXgZ3hqFA"",""REKAP ALL 2026 - Andika!F:F""),"""",0)"),"24154920797")</f>
        <v>24154920797</v>
      </c>
      <c r="G4115" s="15" t="s">
        <v>16847</v>
      </c>
      <c r="H4115" s="13" t="s">
        <v>2035</v>
      </c>
      <c r="I4115" s="13" t="str">
        <f aca="false">IF(C4115=J4115,"NEW KONTRAK","RE-KONTRAK")</f>
        <v>RE-KONTRAK</v>
      </c>
      <c r="J4115" s="16" t="n">
        <f aca="false" t="array" ref="J4115:J4115">IFERROR(INDEX(AC4115:AE4115,IF(COUNTA(AC4115:AE4115)=0,"",MAX((AC4115:AE4115&lt;&gt;"")*(COLUMN(AC4115:AE4115)-(COLUMN(AC4115)))))-1),"")</f>
        <v>45744</v>
      </c>
      <c r="K4115" s="16" t="n">
        <f aca="false" t="array" ref="K4115:K4115">IFERROR(INDEX(AC4115:AE4115,IF(COUNTA(AC4115:AE4115)=0,"",MAX((AC4115:AE4115&lt;&gt;"")*(COLUMN(AC4115:AE4115)-(COLUMN(AC4115)-1))))-1),"")</f>
        <v>45915</v>
      </c>
      <c r="L4115" s="17" t="str">
        <f aca="false" t="array" ref="L4115:L4115">IFERROR(INDEX(AC4115:AE4115,IF(COUNTA(AC4115:AE4115)=0,"",MAX((AC4115:AE4115&lt;&gt;"")*(COLUMN(AC4115:AE4115)-(COLUMN(AC4115)-2))))-1),"")</f>
        <v>ARCHIVED</v>
      </c>
      <c r="M4115" s="13" t="n">
        <f aca="true">K4115-TODAY()</f>
        <v>-409</v>
      </c>
      <c r="N4115" s="18" t="s">
        <v>4903</v>
      </c>
      <c r="O4115" s="13" t="s">
        <v>2037</v>
      </c>
      <c r="P4115" s="19" t="n">
        <v>3205220</v>
      </c>
      <c r="Q4115" s="20" t="s">
        <v>16848</v>
      </c>
      <c r="R4115" s="13" t="s">
        <v>4903</v>
      </c>
      <c r="S4115" s="14" t="n">
        <v>38592</v>
      </c>
      <c r="T4115" s="13" t="s">
        <v>108</v>
      </c>
      <c r="U4115" s="13" t="s">
        <v>16849</v>
      </c>
      <c r="V4115" s="13" t="s">
        <v>42</v>
      </c>
      <c r="W4115" s="13" t="s">
        <v>43</v>
      </c>
      <c r="X4115" s="21" t="n">
        <v>81253667462</v>
      </c>
      <c r="Y4115" s="22" t="str">
        <f aca="false">O4115</f>
        <v>SPG/BA</v>
      </c>
      <c r="Z4115" s="13" t="str">
        <f aca="false">IFERROR(__xludf.dummyfunction("if(BJ4115="""","""",GOOGLETRANSLATE(BJ4115,""auto"",""en""))"),"SPG/BA")</f>
        <v>SPG/BA</v>
      </c>
      <c r="AA4115" s="23" t="str">
        <f aca="false">IF(C4115="","", CHOOSE(MONTH(C4115),"January","February","March","April","May","June","July","August","September","October","November","December")&amp;" "&amp;DAY(C4115)&amp;MID("thstndrdth",MIN(9,2*RIGHT(DAY(C4115))*(MOD(DAY(C4115)-11,100)&gt;2)+1),2)&amp;","&amp;TEXT(C4115," yyyy"))</f>
        <v>September 26th,2024</v>
      </c>
      <c r="AB4115" s="15" t="str">
        <f aca="true">IF(S4115="","",DATEDIF(S4115,TODAY(),"Y")&amp;" Tahun, "&amp;DATEDIF(S4115,TODAY(),"YM")&amp;" Bulan, "&amp;DATEDIF(S4115,TODAY(),"MD")&amp;" Hari")</f>
        <v>21 Tahun, 2 Bulan, 1 Hari</v>
      </c>
      <c r="AC4115" s="18" t="n">
        <v>45744</v>
      </c>
      <c r="AD4115" s="18" t="n">
        <v>45915</v>
      </c>
      <c r="AE4115" s="18" t="s">
        <v>44</v>
      </c>
    </row>
    <row r="4116" customFormat="false" ht="15" hidden="false" customHeight="true" outlineLevel="0" collapsed="false">
      <c r="A4116" s="12" t="n">
        <v>21867</v>
      </c>
      <c r="B4116" s="69" t="s">
        <v>16850</v>
      </c>
      <c r="C4116" s="16" t="n">
        <v>46045</v>
      </c>
      <c r="D4116" s="13" t="s">
        <v>2033</v>
      </c>
      <c r="E4116" s="15" t="s">
        <v>47</v>
      </c>
      <c r="F4116" s="15" t="str">
        <f aca="false">IFERROR(__xludf.dummyfunction("XLOOKUP(AJ4116,IMPORTRANGE(""1XaInW9DU9nz21V0tYIfzFQ0He9kVQ_JF2mCXgZ3hqFA"",""REKAP ALL 2026 - Andika!G:G""),IMPORTRANGE(""1XaInW9DU9nz21V0tYIfzFQ0He9kVQ_JF2mCXgZ3hqFA"",""REKAP ALL 2026 - Andika!F:F""),"""",0)"),"26035115919")</f>
        <v>26035115919</v>
      </c>
      <c r="G4116" s="13" t="s">
        <v>1127</v>
      </c>
      <c r="H4116" s="13" t="s">
        <v>35</v>
      </c>
      <c r="I4116" s="13" t="str">
        <f aca="false">IF(C4116=J4116,"NEW KONTRAK","RE-KONTRAK")</f>
        <v>NEW KONTRAK</v>
      </c>
      <c r="J4116" s="16" t="n">
        <f aca="false" t="array" ref="J4116:J4116">IFERROR(INDEX(AC4116:AE4116,IF(COUNTA(AC4116:AE4116)=0,"",MAX((AC4116:AE4116&lt;&gt;"")*(COLUMN(AC4116:AE4116)-(COLUMN(AC4116)))))-1),"")</f>
        <v>46045</v>
      </c>
      <c r="K4116" s="16" t="n">
        <f aca="false" t="array" ref="K4116:K4116">IFERROR(INDEX(AC4116:AE4116,IF(COUNTA(AC4116:AE4116)=0,"",MAX((AC4116:AE4116&lt;&gt;"")*(COLUMN(AC4116:AE4116)-(COLUMN(AC4116)-1))))-1),"")</f>
        <v>46188</v>
      </c>
      <c r="L4116" s="17" t="str">
        <f aca="false" t="array" ref="L4116:L4116">IFERROR(INDEX(AC4116:AE4116,IF(COUNTA(AC4116:AE4116)=0,"",MAX((AC4116:AE4116&lt;&gt;"")*(COLUMN(AC4116:AE4116)-(COLUMN(AC4116)-2))))-1),"")</f>
        <v>ARCHIVED</v>
      </c>
      <c r="M4116" s="13" t="n">
        <f aca="true">K4116-TODAY()</f>
        <v>-136</v>
      </c>
      <c r="N4116" s="50" t="s">
        <v>10550</v>
      </c>
      <c r="O4116" s="13" t="s">
        <v>2037</v>
      </c>
      <c r="P4116" s="19" t="n">
        <v>2532852</v>
      </c>
      <c r="Q4116" s="47" t="s">
        <v>16851</v>
      </c>
      <c r="R4116" s="13" t="s">
        <v>16852</v>
      </c>
      <c r="S4116" s="16" t="n">
        <v>35593</v>
      </c>
      <c r="T4116" s="13" t="s">
        <v>108</v>
      </c>
      <c r="U4116" s="13" t="s">
        <v>16853</v>
      </c>
      <c r="V4116" s="13" t="s">
        <v>99</v>
      </c>
      <c r="W4116" s="13" t="s">
        <v>43</v>
      </c>
      <c r="X4116" s="13" t="n">
        <v>82157777694</v>
      </c>
      <c r="Y4116" s="22" t="str">
        <f aca="false">O4116</f>
        <v>SPG/BA</v>
      </c>
      <c r="Z4116" s="13" t="str">
        <f aca="false">IFERROR(__xludf.dummyfunction("if(BJ4116="""","""",GOOGLETRANSLATE(BJ4116,""auto"",""en""))"),"SPG/BA")</f>
        <v>SPG/BA</v>
      </c>
      <c r="AA4116" s="23" t="str">
        <f aca="false">IF(C4116="","", CHOOSE(MONTH(C4116),"January","February","March","April","May","June","July","August","September","October","November","December")&amp;" "&amp;DAY(C4116)&amp;MID("thstndrdth",MIN(9,2*RIGHT(DAY(C4116))*(MOD(DAY(C4116)-11,100)&gt;2)+1),2)&amp;","&amp;TEXT(C4116," yyyy"))</f>
        <v>January 23rd,2026</v>
      </c>
      <c r="AB4116" s="15" t="str">
        <f aca="true">IF(S4116="","",DATEDIF(S4116,TODAY(),"Y")&amp;" Tahun, "&amp;DATEDIF(S4116,TODAY(),"YM")&amp;" Bulan, "&amp;DATEDIF(S4116,TODAY(),"MD")&amp;" Hari")</f>
        <v>29 Tahun, 4 Bulan, 17 Hari</v>
      </c>
      <c r="AC4116" s="18" t="n">
        <v>46045</v>
      </c>
      <c r="AD4116" s="18" t="n">
        <v>46188</v>
      </c>
      <c r="AE4116" s="13" t="s">
        <v>44</v>
      </c>
    </row>
    <row r="4117" customFormat="false" ht="15" hidden="false" customHeight="true" outlineLevel="0" collapsed="false">
      <c r="A4117" s="12" t="n">
        <v>22746</v>
      </c>
      <c r="B4117" s="13" t="s">
        <v>16854</v>
      </c>
      <c r="C4117" s="14" t="n">
        <v>46260</v>
      </c>
      <c r="D4117" s="13" t="s">
        <v>11620</v>
      </c>
      <c r="E4117" s="13" t="s">
        <v>47</v>
      </c>
      <c r="F4117" s="24" t="s">
        <v>16855</v>
      </c>
      <c r="G4117" s="13" t="s">
        <v>1452</v>
      </c>
      <c r="H4117" s="13" t="s">
        <v>35</v>
      </c>
      <c r="I4117" s="13" t="str">
        <f aca="false">IF(C4117=J4117,"NEW KONTRAK","RE-KONTRAK")</f>
        <v>NEW KONTRAK</v>
      </c>
      <c r="J4117" s="16" t="n">
        <f aca="false" t="array" ref="J4117:J4117">IFERROR(INDEX(AC4117:AE4117,IF(COUNTA(AC4117:AE4117)=0,"",MAX((AC4117:AE4117&lt;&gt;"")*(COLUMN(AC4117:AE4117)-(COLUMN(AC4117)))))-1),"")</f>
        <v>46260</v>
      </c>
      <c r="K4117" s="16" t="n">
        <f aca="false" t="array" ref="K4117:K4117">IFERROR(INDEX(AC4117:AE4117,IF(COUNTA(AC4117:AE4117)=0,"",MAX((AC4117:AE4117&lt;&gt;"")*(COLUMN(AC4117:AE4117)-(COLUMN(AC4117)-1))))-1),"")</f>
        <v>46351</v>
      </c>
      <c r="L4117" s="17" t="str">
        <f aca="false" t="array" ref="L4117:L4117">IFERROR(INDEX(AC4117:AE4117,IF(COUNTA(AC4117:AE4117)=0,"",MAX((AC4117:AE4117&lt;&gt;"")*(COLUMN(AC4117:AE4117)-(COLUMN(AC4117)-2))))-1),"")</f>
        <v>KEMBALI</v>
      </c>
      <c r="M4117" s="13" t="n">
        <f aca="true">K4117-TODAY()</f>
        <v>27</v>
      </c>
      <c r="N4117" s="18" t="s">
        <v>36</v>
      </c>
      <c r="O4117" s="13" t="s">
        <v>16856</v>
      </c>
      <c r="P4117" s="26" t="n">
        <v>199823</v>
      </c>
      <c r="Q4117" s="20" t="s">
        <v>16857</v>
      </c>
      <c r="R4117" s="13" t="s">
        <v>52</v>
      </c>
      <c r="S4117" s="25" t="n">
        <v>34081</v>
      </c>
      <c r="T4117" s="13" t="s">
        <v>40</v>
      </c>
      <c r="U4117" s="13" t="s">
        <v>16858</v>
      </c>
      <c r="V4117" s="13" t="s">
        <v>42</v>
      </c>
      <c r="W4117" s="13" t="s">
        <v>43</v>
      </c>
      <c r="X4117" s="21" t="n">
        <v>81929756700</v>
      </c>
      <c r="Y4117" s="22" t="str">
        <f aca="false">O4117</f>
        <v>Analis kimia</v>
      </c>
      <c r="Z4117" s="13" t="str">
        <f aca="false">IFERROR(__xludf.dummyfunction("if(BJ4117="""","""",GOOGLETRANSLATE(BJ4117,""auto"",""en""))"),"Chemical analyst")</f>
        <v>Chemical analyst</v>
      </c>
      <c r="AA4117" s="23" t="str">
        <f aca="false">IF(C4117="","", CHOOSE(MONTH(C4117),"January","February","March","April","May","June","July","August","September","October","November","December")&amp;" "&amp;DAY(C4117)&amp;MID("thstndrdth",MIN(9,2*RIGHT(DAY(C4117))*(MOD(DAY(C4117)-11,100)&gt;2)+1),2)&amp;","&amp;TEXT(C4117," yyyy"))</f>
        <v>August 26th,2026</v>
      </c>
      <c r="AB4117" s="15" t="str">
        <f aca="true">IF(S4117="","",DATEDIF(S4117,TODAY(),"Y")&amp;" Tahun, "&amp;DATEDIF(S4117,TODAY(),"YM")&amp;" Bulan, "&amp;DATEDIF(S4117,TODAY(),"MD")&amp;" Hari")</f>
        <v>33 Tahun, 6 Bulan, 7 Hari</v>
      </c>
      <c r="AC4117" s="14" t="n">
        <v>46260</v>
      </c>
      <c r="AD4117" s="18" t="n">
        <f aca="false">EDATE(AC4117,3)-1</f>
        <v>46351</v>
      </c>
      <c r="AE4117" s="13" t="s">
        <v>397</v>
      </c>
    </row>
    <row r="4118" customFormat="false" ht="15" hidden="false" customHeight="true" outlineLevel="0" collapsed="false">
      <c r="A4118" s="12" t="n">
        <v>22747</v>
      </c>
      <c r="B4118" s="131" t="s">
        <v>16859</v>
      </c>
      <c r="C4118" s="14" t="n">
        <v>46260</v>
      </c>
      <c r="D4118" s="13" t="s">
        <v>11620</v>
      </c>
      <c r="E4118" s="13" t="s">
        <v>47</v>
      </c>
      <c r="F4118" s="24" t="s">
        <v>16860</v>
      </c>
      <c r="G4118" s="13" t="s">
        <v>1452</v>
      </c>
      <c r="H4118" s="13" t="s">
        <v>35</v>
      </c>
      <c r="I4118" s="13" t="str">
        <f aca="false">IF(C4118=J4118,"NEW KONTRAK","RE-KONTRAK")</f>
        <v>NEW KONTRAK</v>
      </c>
      <c r="J4118" s="16" t="n">
        <f aca="false" t="array" ref="J4118:J4118">IFERROR(INDEX(AC4118:AE4118,IF(COUNTA(AC4118:AE4118)=0,"",MAX((AC4118:AE4118&lt;&gt;"")*(COLUMN(AC4118:AE4118)-(COLUMN(AC4118)))))-1),"")</f>
        <v>46260</v>
      </c>
      <c r="K4118" s="16" t="n">
        <f aca="false" t="array" ref="K4118:K4118">IFERROR(INDEX(AC4118:AE4118,IF(COUNTA(AC4118:AE4118)=0,"",MAX((AC4118:AE4118&lt;&gt;"")*(COLUMN(AC4118:AE4118)-(COLUMN(AC4118)-1))))-1),"")</f>
        <v>46351</v>
      </c>
      <c r="L4118" s="17" t="str">
        <f aca="false" t="array" ref="L4118:L4118">IFERROR(INDEX(AC4118:AE4118,IF(COUNTA(AC4118:AE4118)=0,"",MAX((AC4118:AE4118&lt;&gt;"")*(COLUMN(AC4118:AE4118)-(COLUMN(AC4118)-2))))-1),"")</f>
        <v>KEMBALI</v>
      </c>
      <c r="M4118" s="13" t="n">
        <f aca="true">K4118-TODAY()</f>
        <v>27</v>
      </c>
      <c r="N4118" s="18" t="s">
        <v>36</v>
      </c>
      <c r="O4118" s="13" t="s">
        <v>11629</v>
      </c>
      <c r="P4118" s="26" t="n">
        <v>199823</v>
      </c>
      <c r="Q4118" s="20" t="s">
        <v>16861</v>
      </c>
      <c r="R4118" s="13" t="s">
        <v>65</v>
      </c>
      <c r="S4118" s="25" t="n">
        <v>31713</v>
      </c>
      <c r="T4118" s="13" t="s">
        <v>40</v>
      </c>
      <c r="U4118" s="13" t="s">
        <v>16862</v>
      </c>
      <c r="V4118" s="13" t="s">
        <v>42</v>
      </c>
      <c r="W4118" s="13" t="s">
        <v>54</v>
      </c>
      <c r="X4118" s="21" t="n">
        <v>81357818884</v>
      </c>
      <c r="Y4118" s="22" t="str">
        <f aca="false">O4118</f>
        <v>Tubular</v>
      </c>
      <c r="Z4118" s="13" t="str">
        <f aca="false">IFERROR(__xludf.dummyfunction("if(BJ4118="""","""",GOOGLETRANSLATE(BJ4118,""auto"",""en""))"),"Tubular")</f>
        <v>Tubular</v>
      </c>
      <c r="AA4118" s="23" t="str">
        <f aca="false">IF(C4118="","", CHOOSE(MONTH(C4118),"January","February","March","April","May","June","July","August","September","October","November","December")&amp;" "&amp;DAY(C4118)&amp;MID("thstndrdth",MIN(9,2*RIGHT(DAY(C4118))*(MOD(DAY(C4118)-11,100)&gt;2)+1),2)&amp;","&amp;TEXT(C4118," yyyy"))</f>
        <v>August 26th,2026</v>
      </c>
      <c r="AB4118" s="15" t="str">
        <f aca="true">IF(S4118="","",DATEDIF(S4118,TODAY(),"Y")&amp;" Tahun, "&amp;DATEDIF(S4118,TODAY(),"YM")&amp;" Bulan, "&amp;DATEDIF(S4118,TODAY(),"MD")&amp;" Hari")</f>
        <v>40 Tahun, 0 Bulan, 1 Hari</v>
      </c>
      <c r="AC4118" s="14" t="n">
        <v>46260</v>
      </c>
      <c r="AD4118" s="18" t="n">
        <f aca="false">EDATE(AC4118,3)-1</f>
        <v>46351</v>
      </c>
      <c r="AE4118" s="13" t="s">
        <v>397</v>
      </c>
    </row>
    <row r="4119" customFormat="false" ht="15" hidden="false" customHeight="true" outlineLevel="0" collapsed="false">
      <c r="A4119" s="12" t="n">
        <v>22748</v>
      </c>
      <c r="B4119" s="13" t="s">
        <v>16863</v>
      </c>
      <c r="C4119" s="14" t="n">
        <v>46252</v>
      </c>
      <c r="D4119" s="13" t="s">
        <v>144</v>
      </c>
      <c r="E4119" s="13" t="s">
        <v>47</v>
      </c>
      <c r="F4119" s="24" t="s">
        <v>16864</v>
      </c>
      <c r="G4119" s="13" t="s">
        <v>1452</v>
      </c>
      <c r="H4119" s="13" t="s">
        <v>35</v>
      </c>
      <c r="I4119" s="13" t="str">
        <f aca="false">IF(C4119=J4119,"NEW KONTRAK","RE-KONTRAK")</f>
        <v>NEW KONTRAK</v>
      </c>
      <c r="J4119" s="16" t="n">
        <f aca="false" t="array" ref="J4119:J4119">IFERROR(INDEX(AC4119:AE4119,IF(COUNTA(AC4119:AE4119)=0,"",MAX((AC4119:AE4119&lt;&gt;"")*(COLUMN(AC4119:AE4119)-(COLUMN(AC4119)))))-1),"")</f>
        <v>46252</v>
      </c>
      <c r="K4119" s="16" t="n">
        <f aca="false" t="array" ref="K4119:K4119">IFERROR(INDEX(AC4119:AE4119,IF(COUNTA(AC4119:AE4119)=0,"",MAX((AC4119:AE4119&lt;&gt;"")*(COLUMN(AC4119:AE4119)-(COLUMN(AC4119)-1))))-1),"")</f>
        <v>46343</v>
      </c>
      <c r="L4119" s="17" t="str">
        <f aca="false" t="array" ref="L4119:L4119">IFERROR(INDEX(AC4119:AE4119,IF(COUNTA(AC4119:AE4119)=0,"",MAX((AC4119:AE4119&lt;&gt;"")*(COLUMN(AC4119:AE4119)-(COLUMN(AC4119)-2))))-1),"")</f>
        <v>KEMBALI</v>
      </c>
      <c r="M4119" s="13" t="n">
        <f aca="true">K4119-TODAY()</f>
        <v>19</v>
      </c>
      <c r="N4119" s="18" t="s">
        <v>36</v>
      </c>
      <c r="O4119" s="13" t="s">
        <v>6285</v>
      </c>
      <c r="P4119" s="26" t="n">
        <v>5195401</v>
      </c>
      <c r="Q4119" s="20" t="s">
        <v>16865</v>
      </c>
      <c r="R4119" s="13" t="s">
        <v>78</v>
      </c>
      <c r="S4119" s="25" t="n">
        <v>36635</v>
      </c>
      <c r="T4119" s="13" t="s">
        <v>40</v>
      </c>
      <c r="U4119" s="13" t="s">
        <v>16866</v>
      </c>
      <c r="V4119" s="13" t="s">
        <v>42</v>
      </c>
      <c r="W4119" s="13" t="s">
        <v>43</v>
      </c>
      <c r="X4119" s="21" t="n">
        <v>85748007477</v>
      </c>
      <c r="Y4119" s="22" t="str">
        <f aca="false">O4119</f>
        <v>Operator Reach Truck</v>
      </c>
      <c r="Z4119" s="13" t="str">
        <f aca="false">IFERROR(__xludf.dummyfunction("if(BJ4119="""","""",GOOGLETRANSLATE(BJ4119,""auto"",""en""))"),"Operator Reach Truck")</f>
        <v>Operator Reach Truck</v>
      </c>
      <c r="AA4119" s="23" t="str">
        <f aca="false">IF(C4119="","", CHOOSE(MONTH(C4119),"January","February","March","April","May","June","July","August","September","October","November","December")&amp;" "&amp;DAY(C4119)&amp;MID("thstndrdth",MIN(9,2*RIGHT(DAY(C4119))*(MOD(DAY(C4119)-11,100)&gt;2)+1),2)&amp;","&amp;TEXT(C4119," yyyy"))</f>
        <v>August 18th,2026</v>
      </c>
      <c r="AB4119" s="15" t="str">
        <f aca="true">IF(S4119="","",DATEDIF(S4119,TODAY(),"Y")&amp;" Tahun, "&amp;DATEDIF(S4119,TODAY(),"YM")&amp;" Bulan, "&amp;DATEDIF(S4119,TODAY(),"MD")&amp;" Hari")</f>
        <v>26 Tahun, 6 Bulan, 10 Hari</v>
      </c>
      <c r="AC4119" s="14" t="n">
        <v>46252</v>
      </c>
      <c r="AD4119" s="18" t="n">
        <f aca="false">EDATE(AC4119,3)-1</f>
        <v>46343</v>
      </c>
      <c r="AE4119" s="13" t="s">
        <v>397</v>
      </c>
    </row>
    <row r="4120" customFormat="false" ht="15" hidden="false" customHeight="true" outlineLevel="0" collapsed="false">
      <c r="A4120" s="12" t="n">
        <v>22749</v>
      </c>
      <c r="B4120" s="13" t="s">
        <v>16867</v>
      </c>
      <c r="C4120" s="14" t="n">
        <v>46244</v>
      </c>
      <c r="D4120" s="13" t="s">
        <v>7310</v>
      </c>
      <c r="E4120" s="13" t="s">
        <v>47</v>
      </c>
      <c r="F4120" s="24" t="s">
        <v>16868</v>
      </c>
      <c r="G4120" s="13" t="s">
        <v>1452</v>
      </c>
      <c r="H4120" s="13" t="s">
        <v>35</v>
      </c>
      <c r="I4120" s="13" t="str">
        <f aca="false">IF(C4120=J4120,"NEW KONTRAK","RE-KONTRAK")</f>
        <v>NEW KONTRAK</v>
      </c>
      <c r="J4120" s="16" t="n">
        <f aca="false" t="array" ref="J4120:J4120">IFERROR(INDEX(AC4120:AE4120,IF(COUNTA(AC4120:AE4120)=0,"",MAX((AC4120:AE4120&lt;&gt;"")*(COLUMN(AC4120:AE4120)-(COLUMN(AC4120)))))-1),"")</f>
        <v>46244</v>
      </c>
      <c r="K4120" s="16" t="n">
        <f aca="false" t="array" ref="K4120:K4120">IFERROR(INDEX(AC4120:AE4120,IF(COUNTA(AC4120:AE4120)=0,"",MAX((AC4120:AE4120&lt;&gt;"")*(COLUMN(AC4120:AE4120)-(COLUMN(AC4120)-1))))-1),"")</f>
        <v>46632</v>
      </c>
      <c r="L4120" s="17" t="str">
        <f aca="false" t="array" ref="L4120:L4120">IFERROR(INDEX(AC4120:AE4120,IF(COUNTA(AC4120:AE4120)=0,"",MAX((AC4120:AE4120&lt;&gt;"")*(COLUMN(AC4120:AE4120)-(COLUMN(AC4120)-2))))-1),"")</f>
        <v>KEMBALI</v>
      </c>
      <c r="M4120" s="13" t="n">
        <f aca="true">K4120-TODAY()</f>
        <v>308</v>
      </c>
      <c r="N4120" s="18" t="s">
        <v>7313</v>
      </c>
      <c r="O4120" s="13" t="s">
        <v>15794</v>
      </c>
      <c r="P4120" s="19" t="n">
        <v>2550274</v>
      </c>
      <c r="Q4120" s="20" t="s">
        <v>16869</v>
      </c>
      <c r="R4120" s="13" t="s">
        <v>227</v>
      </c>
      <c r="S4120" s="25" t="n">
        <v>39436</v>
      </c>
      <c r="T4120" s="13" t="s">
        <v>40</v>
      </c>
      <c r="U4120" s="13" t="s">
        <v>16870</v>
      </c>
      <c r="V4120" s="13" t="s">
        <v>42</v>
      </c>
      <c r="W4120" s="13" t="s">
        <v>43</v>
      </c>
      <c r="X4120" s="21" t="s">
        <v>16871</v>
      </c>
      <c r="Y4120" s="22" t="str">
        <f aca="false">O4120</f>
        <v>Helper / Kernet</v>
      </c>
      <c r="Z4120" s="13" t="str">
        <f aca="false">IFERROR(__xludf.dummyfunction("if(BJ4120="""","""",GOOGLETRANSLATE(BJ4120,""auto"",""en""))"),"Helper / Assistant")</f>
        <v>Helper / Assistant</v>
      </c>
      <c r="AA4120" s="23" t="str">
        <f aca="false">IF(C4120="","", CHOOSE(MONTH(C4120),"January","February","March","April","May","June","July","August","September","October","November","December")&amp;" "&amp;DAY(C4120)&amp;MID("thstndrdth",MIN(9,2*RIGHT(DAY(C4120))*(MOD(DAY(C4120)-11,100)&gt;2)+1),2)&amp;","&amp;TEXT(C4120," yyyy"))</f>
        <v>August 10th,2026</v>
      </c>
      <c r="AB4120" s="15" t="str">
        <f aca="true">IF(S4120="","",DATEDIF(S4120,TODAY(),"Y")&amp;" Tahun, "&amp;DATEDIF(S4120,TODAY(),"YM")&amp;" Bulan, "&amp;DATEDIF(S4120,TODAY(),"MD")&amp;" Hari")</f>
        <v>18 Tahun, 10 Bulan, 9 Hari</v>
      </c>
      <c r="AC4120" s="14" t="n">
        <v>46244</v>
      </c>
      <c r="AD4120" s="18" t="n">
        <v>46632</v>
      </c>
      <c r="AE4120" s="13" t="s">
        <v>397</v>
      </c>
    </row>
    <row r="4121" customFormat="false" ht="15" hidden="false" customHeight="true" outlineLevel="0" collapsed="false">
      <c r="A4121" s="12" t="n">
        <v>22750</v>
      </c>
      <c r="B4121" s="13" t="s">
        <v>16872</v>
      </c>
      <c r="C4121" s="14" t="n">
        <v>46244</v>
      </c>
      <c r="D4121" s="13" t="s">
        <v>7310</v>
      </c>
      <c r="E4121" s="13" t="s">
        <v>47</v>
      </c>
      <c r="F4121" s="24" t="s">
        <v>16873</v>
      </c>
      <c r="G4121" s="13" t="s">
        <v>1452</v>
      </c>
      <c r="H4121" s="13" t="s">
        <v>35</v>
      </c>
      <c r="I4121" s="13" t="str">
        <f aca="false">IF(C4121=J4121,"NEW KONTRAK","RE-KONTRAK")</f>
        <v>NEW KONTRAK</v>
      </c>
      <c r="J4121" s="16" t="n">
        <f aca="false" t="array" ref="J4121:J4121">IFERROR(INDEX(AC4121:AE4121,IF(COUNTA(AC4121:AE4121)=0,"",MAX((AC4121:AE4121&lt;&gt;"")*(COLUMN(AC4121:AE4121)-(COLUMN(AC4121)))))-1),"")</f>
        <v>46244</v>
      </c>
      <c r="K4121" s="16" t="n">
        <f aca="false" t="array" ref="K4121:K4121">IFERROR(INDEX(AC4121:AE4121,IF(COUNTA(AC4121:AE4121)=0,"",MAX((AC4121:AE4121&lt;&gt;"")*(COLUMN(AC4121:AE4121)-(COLUMN(AC4121)-1))))-1),"")</f>
        <v>46632</v>
      </c>
      <c r="L4121" s="17" t="str">
        <f aca="false" t="array" ref="L4121:L4121">IFERROR(INDEX(AC4121:AE4121,IF(COUNTA(AC4121:AE4121)=0,"",MAX((AC4121:AE4121&lt;&gt;"")*(COLUMN(AC4121:AE4121)-(COLUMN(AC4121)-2))))-1),"")</f>
        <v>KEMBALI</v>
      </c>
      <c r="M4121" s="13" t="n">
        <f aca="true">K4121-TODAY()</f>
        <v>308</v>
      </c>
      <c r="N4121" s="18" t="s">
        <v>7313</v>
      </c>
      <c r="O4121" s="13" t="s">
        <v>15794</v>
      </c>
      <c r="P4121" s="19" t="n">
        <v>2550274</v>
      </c>
      <c r="Q4121" s="20" t="s">
        <v>16874</v>
      </c>
      <c r="R4121" s="13" t="s">
        <v>7622</v>
      </c>
      <c r="S4121" s="25" t="n">
        <v>37994</v>
      </c>
      <c r="T4121" s="13" t="s">
        <v>40</v>
      </c>
      <c r="U4121" s="13" t="s">
        <v>16875</v>
      </c>
      <c r="V4121" s="13" t="s">
        <v>42</v>
      </c>
      <c r="W4121" s="13" t="s">
        <v>43</v>
      </c>
      <c r="X4121" s="21" t="s">
        <v>16876</v>
      </c>
      <c r="Y4121" s="22" t="str">
        <f aca="false">O4121</f>
        <v>Helper / Kernet</v>
      </c>
      <c r="Z4121" s="13" t="str">
        <f aca="false">IFERROR(__xludf.dummyfunction("if(BJ4121="""","""",GOOGLETRANSLATE(BJ4121,""auto"",""en""))"),"Helper / Assistant")</f>
        <v>Helper / Assistant</v>
      </c>
      <c r="AA4121" s="23" t="str">
        <f aca="false">IF(C4121="","", CHOOSE(MONTH(C4121),"January","February","March","April","May","June","July","August","September","October","November","December")&amp;" "&amp;DAY(C4121)&amp;MID("thstndrdth",MIN(9,2*RIGHT(DAY(C4121))*(MOD(DAY(C4121)-11,100)&gt;2)+1),2)&amp;","&amp;TEXT(C4121," yyyy"))</f>
        <v>August 10th,2026</v>
      </c>
      <c r="AB4121" s="15" t="str">
        <f aca="true">IF(S4121="","",DATEDIF(S4121,TODAY(),"Y")&amp;" Tahun, "&amp;DATEDIF(S4121,TODAY(),"YM")&amp;" Bulan, "&amp;DATEDIF(S4121,TODAY(),"MD")&amp;" Hari")</f>
        <v>22 Tahun, 9 Bulan, 21 Hari</v>
      </c>
      <c r="AC4121" s="14" t="n">
        <v>46244</v>
      </c>
      <c r="AD4121" s="18" t="n">
        <v>46632</v>
      </c>
      <c r="AE4121" s="13" t="s">
        <v>397</v>
      </c>
    </row>
    <row r="4122" customFormat="false" ht="15" hidden="false" customHeight="true" outlineLevel="0" collapsed="false">
      <c r="A4122" s="12" t="n">
        <v>22755</v>
      </c>
      <c r="B4122" s="13" t="s">
        <v>16877</v>
      </c>
      <c r="C4122" s="14" t="n">
        <v>46262</v>
      </c>
      <c r="D4122" s="13" t="s">
        <v>5791</v>
      </c>
      <c r="E4122" s="13" t="s">
        <v>47</v>
      </c>
      <c r="F4122" s="24" t="s">
        <v>16878</v>
      </c>
      <c r="G4122" s="13" t="s">
        <v>1452</v>
      </c>
      <c r="H4122" s="13" t="s">
        <v>35</v>
      </c>
      <c r="I4122" s="13" t="str">
        <f aca="false">IF(C4122=J4122,"NEW KONTRAK","RE-KONTRAK")</f>
        <v>NEW KONTRAK</v>
      </c>
      <c r="J4122" s="16" t="n">
        <f aca="false" t="array" ref="J4122:J4122">IFERROR(INDEX(AC4122:AE4122,IF(COUNTA(AC4122:AE4122)=0,"",MAX((AC4122:AE4122&lt;&gt;"")*(COLUMN(AC4122:AE4122)-(COLUMN(AC4122)))))-1),"")</f>
        <v>46262</v>
      </c>
      <c r="K4122" s="16" t="n">
        <f aca="false" t="array" ref="K4122:K4122">IFERROR(INDEX(AC4122:AE4122,IF(COUNTA(AC4122:AE4122)=0,"",MAX((AC4122:AE4122&lt;&gt;"")*(COLUMN(AC4122:AE4122)-(COLUMN(AC4122)-1))))-1),"")</f>
        <v>46353</v>
      </c>
      <c r="L4122" s="17" t="str">
        <f aca="false" t="array" ref="L4122:L4122">IFERROR(INDEX(AC4122:AE4122,IF(COUNTA(AC4122:AE4122)=0,"",MAX((AC4122:AE4122&lt;&gt;"")*(COLUMN(AC4122:AE4122)-(COLUMN(AC4122)-2))))-1),"")</f>
        <v>ARCHIVED</v>
      </c>
      <c r="M4122" s="13" t="n">
        <f aca="true">K4122-TODAY()</f>
        <v>29</v>
      </c>
      <c r="N4122" s="18" t="s">
        <v>728</v>
      </c>
      <c r="O4122" s="13" t="s">
        <v>11196</v>
      </c>
      <c r="P4122" s="19" t="n">
        <v>130000</v>
      </c>
      <c r="Q4122" s="20" t="s">
        <v>16879</v>
      </c>
      <c r="R4122" s="13" t="s">
        <v>52</v>
      </c>
      <c r="S4122" s="25" t="n">
        <v>34511</v>
      </c>
      <c r="T4122" s="13" t="s">
        <v>40</v>
      </c>
      <c r="U4122" s="13" t="s">
        <v>16880</v>
      </c>
      <c r="V4122" s="13" t="s">
        <v>42</v>
      </c>
      <c r="W4122" s="13" t="s">
        <v>54</v>
      </c>
      <c r="X4122" s="21" t="n">
        <v>87840127754</v>
      </c>
      <c r="Y4122" s="22" t="str">
        <f aca="false">O4122</f>
        <v>Helper Gudang</v>
      </c>
      <c r="Z4122" s="13" t="str">
        <f aca="false">IFERROR(__xludf.dummyfunction("if(BJ4122="""","""",GOOGLETRANSLATE(BJ4122,""auto"",""en""))"),"Helper Gudang")</f>
        <v>Helper Gudang</v>
      </c>
      <c r="AA4122" s="23" t="str">
        <f aca="false">IF(C4122="","", CHOOSE(MONTH(C4122),"January","February","March","April","May","June","July","August","September","October","November","December")&amp;" "&amp;DAY(C4122)&amp;MID("thstndrdth",MIN(9,2*RIGHT(DAY(C4122))*(MOD(DAY(C4122)-11,100)&gt;2)+1),2)&amp;","&amp;TEXT(C4122," yyyy"))</f>
        <v>August 28th,2026</v>
      </c>
      <c r="AB4122" s="15" t="str">
        <f aca="true">IF(S4122="","",DATEDIF(S4122,TODAY(),"Y")&amp;" Tahun, "&amp;DATEDIF(S4122,TODAY(),"YM")&amp;" Bulan, "&amp;DATEDIF(S4122,TODAY(),"MD")&amp;" Hari")</f>
        <v>32 Tahun, 4 Bulan, 3 Hari</v>
      </c>
      <c r="AC4122" s="14" t="n">
        <v>46262</v>
      </c>
      <c r="AD4122" s="18" t="n">
        <f aca="false">EDATE(AC4122,3)-1</f>
        <v>46353</v>
      </c>
      <c r="AE4122" s="45" t="s">
        <v>44</v>
      </c>
    </row>
    <row r="4123" customFormat="false" ht="15" hidden="false" customHeight="true" outlineLevel="0" collapsed="false">
      <c r="A4123" s="12" t="n">
        <v>22756</v>
      </c>
      <c r="B4123" s="13" t="s">
        <v>16881</v>
      </c>
      <c r="C4123" s="14" t="n">
        <v>46262</v>
      </c>
      <c r="D4123" s="13" t="s">
        <v>5791</v>
      </c>
      <c r="E4123" s="15" t="s">
        <v>102</v>
      </c>
      <c r="F4123" s="24" t="s">
        <v>16882</v>
      </c>
      <c r="G4123" s="13" t="s">
        <v>1452</v>
      </c>
      <c r="H4123" s="13" t="s">
        <v>35</v>
      </c>
      <c r="I4123" s="13" t="str">
        <f aca="false">IF(C4123=J4123,"NEW KONTRAK","RE-KONTRAK")</f>
        <v>NEW KONTRAK</v>
      </c>
      <c r="J4123" s="16" t="n">
        <f aca="false" t="array" ref="J4123:J4123">IFERROR(INDEX(AC4123:AE4123,IF(COUNTA(AC4123:AE4123)=0,"",MAX((AC4123:AE4123&lt;&gt;"")*(COLUMN(AC4123:AE4123)-(COLUMN(AC4123)))))-1),"")</f>
        <v>46262</v>
      </c>
      <c r="K4123" s="16" t="n">
        <f aca="false" t="array" ref="K4123:K4123">IFERROR(INDEX(AC4123:AE4123,IF(COUNTA(AC4123:AE4123)=0,"",MAX((AC4123:AE4123&lt;&gt;"")*(COLUMN(AC4123:AE4123)-(COLUMN(AC4123)-1))))-1),"")</f>
        <v>46353</v>
      </c>
      <c r="L4123" s="17" t="str">
        <f aca="false" t="array" ref="L4123:L4123">IFERROR(INDEX(AC4123:AE4123,IF(COUNTA(AC4123:AE4123)=0,"",MAX((AC4123:AE4123&lt;&gt;"")*(COLUMN(AC4123:AE4123)-(COLUMN(AC4123)-2))))-1),"")</f>
        <v>ARCHIVED</v>
      </c>
      <c r="M4123" s="13" t="n">
        <f aca="true">K4123-TODAY()</f>
        <v>29</v>
      </c>
      <c r="N4123" s="18" t="s">
        <v>728</v>
      </c>
      <c r="O4123" s="13" t="s">
        <v>11196</v>
      </c>
      <c r="P4123" s="19" t="n">
        <v>130000</v>
      </c>
      <c r="Q4123" s="20" t="s">
        <v>16883</v>
      </c>
      <c r="R4123" s="13" t="s">
        <v>52</v>
      </c>
      <c r="S4123" s="25" t="n">
        <v>37082</v>
      </c>
      <c r="T4123" s="13" t="s">
        <v>40</v>
      </c>
      <c r="U4123" s="13" t="s">
        <v>16884</v>
      </c>
      <c r="V4123" s="13" t="s">
        <v>42</v>
      </c>
      <c r="W4123" s="13" t="s">
        <v>43</v>
      </c>
      <c r="X4123" s="21" t="n">
        <v>85604041407</v>
      </c>
      <c r="Y4123" s="22" t="str">
        <f aca="false">O4123</f>
        <v>Helper Gudang</v>
      </c>
      <c r="Z4123" s="13" t="str">
        <f aca="false">IFERROR(__xludf.dummyfunction("if(BJ4123="""","""",GOOGLETRANSLATE(BJ4123,""auto"",""en""))"),"Helper Gudang")</f>
        <v>Helper Gudang</v>
      </c>
      <c r="AA4123" s="23" t="str">
        <f aca="false">IF(C4123="","", CHOOSE(MONTH(C4123),"January","February","March","April","May","June","July","August","September","October","November","December")&amp;" "&amp;DAY(C4123)&amp;MID("thstndrdth",MIN(9,2*RIGHT(DAY(C4123))*(MOD(DAY(C4123)-11,100)&gt;2)+1),2)&amp;","&amp;TEXT(C4123," yyyy"))</f>
        <v>August 28th,2026</v>
      </c>
      <c r="AB4123" s="15" t="str">
        <f aca="true">IF(S4123="","",DATEDIF(S4123,TODAY(),"Y")&amp;" Tahun, "&amp;DATEDIF(S4123,TODAY(),"YM")&amp;" Bulan, "&amp;DATEDIF(S4123,TODAY(),"MD")&amp;" Hari")</f>
        <v>25 Tahun, 3 Bulan, 19 Hari</v>
      </c>
      <c r="AC4123" s="14" t="n">
        <v>46262</v>
      </c>
      <c r="AD4123" s="18" t="n">
        <f aca="false">EDATE(AC4123,3)-1</f>
        <v>46353</v>
      </c>
      <c r="AE4123" s="45" t="s">
        <v>44</v>
      </c>
    </row>
    <row r="4124" customFormat="false" ht="15" hidden="false" customHeight="true" outlineLevel="0" collapsed="false">
      <c r="A4124" s="12" t="n">
        <v>22757</v>
      </c>
      <c r="B4124" s="13" t="s">
        <v>16885</v>
      </c>
      <c r="C4124" s="14" t="n">
        <v>46265</v>
      </c>
      <c r="D4124" s="13" t="s">
        <v>6487</v>
      </c>
      <c r="E4124" s="13" t="s">
        <v>1742</v>
      </c>
      <c r="F4124" s="24" t="s">
        <v>16886</v>
      </c>
      <c r="G4124" s="13" t="s">
        <v>1452</v>
      </c>
      <c r="H4124" s="13" t="s">
        <v>35</v>
      </c>
      <c r="I4124" s="13" t="str">
        <f aca="false">IF(C4124=J4124,"NEW KONTRAK","RE-KONTRAK")</f>
        <v>NEW KONTRAK</v>
      </c>
      <c r="J4124" s="16" t="n">
        <f aca="false" t="array" ref="J4124:J4124">IFERROR(INDEX(AC4124:AE4124,IF(COUNTA(AC4124:AE4124)=0,"",MAX((AC4124:AE4124&lt;&gt;"")*(COLUMN(AC4124:AE4124)-(COLUMN(AC4124)))))-1),"")</f>
        <v>46265</v>
      </c>
      <c r="K4124" s="16" t="n">
        <f aca="false" t="array" ref="K4124:K4124">IFERROR(INDEX(AC4124:AE4124,IF(COUNTA(AC4124:AE4124)=0,"",MAX((AC4124:AE4124&lt;&gt;"")*(COLUMN(AC4124:AE4124)-(COLUMN(AC4124)-1))))-1),"")</f>
        <v>46387</v>
      </c>
      <c r="L4124" s="17" t="str">
        <f aca="false" t="array" ref="L4124:L4124">IFERROR(INDEX(AC4124:AE4124,IF(COUNTA(AC4124:AE4124)=0,"",MAX((AC4124:AE4124&lt;&gt;"")*(COLUMN(AC4124:AE4124)-(COLUMN(AC4124)-2))))-1),"")</f>
        <v>KEMBALI</v>
      </c>
      <c r="M4124" s="13" t="n">
        <f aca="true">K4124-TODAY()</f>
        <v>63</v>
      </c>
      <c r="N4124" s="18" t="s">
        <v>4735</v>
      </c>
      <c r="O4124" s="13" t="s">
        <v>16887</v>
      </c>
      <c r="P4124" s="26" t="n">
        <v>4000000</v>
      </c>
      <c r="Q4124" s="20" t="s">
        <v>16888</v>
      </c>
      <c r="R4124" s="13" t="s">
        <v>83</v>
      </c>
      <c r="S4124" s="25" t="n">
        <v>36336</v>
      </c>
      <c r="T4124" s="13" t="s">
        <v>40</v>
      </c>
      <c r="U4124" s="13" t="s">
        <v>16889</v>
      </c>
      <c r="V4124" s="13" t="s">
        <v>42</v>
      </c>
      <c r="W4124" s="13" t="s">
        <v>43</v>
      </c>
      <c r="X4124" s="21" t="n">
        <v>85962311334</v>
      </c>
      <c r="Y4124" s="22" t="str">
        <f aca="false">O4124</f>
        <v>Operasional Staff</v>
      </c>
      <c r="Z4124" s="13" t="str">
        <f aca="false">IFERROR(__xludf.dummyfunction("if(BJ4124="""","""",GOOGLETRANSLATE(BJ4124,""auto"",""en""))"),"Operational Staff")</f>
        <v>Operational Staff</v>
      </c>
      <c r="AA4124" s="23" t="str">
        <f aca="false">IF(C4124="","", CHOOSE(MONTH(C4124),"January","February","March","April","May","June","July","August","September","October","November","December")&amp;" "&amp;DAY(C4124)&amp;MID("thstndrdth",MIN(9,2*RIGHT(DAY(C4124))*(MOD(DAY(C4124)-11,100)&gt;2)+1),2)&amp;","&amp;TEXT(C4124," yyyy"))</f>
        <v>August 31st,2026</v>
      </c>
      <c r="AB4124" s="15" t="str">
        <f aca="true">IF(S4124="","",DATEDIF(S4124,TODAY(),"Y")&amp;" Tahun, "&amp;DATEDIF(S4124,TODAY(),"YM")&amp;" Bulan, "&amp;DATEDIF(S4124,TODAY(),"MD")&amp;" Hari")</f>
        <v>27 Tahun, 4 Bulan, 4 Hari</v>
      </c>
      <c r="AC4124" s="14" t="n">
        <v>46265</v>
      </c>
      <c r="AD4124" s="18" t="n">
        <v>46387</v>
      </c>
      <c r="AE4124" s="13" t="s">
        <v>397</v>
      </c>
    </row>
    <row r="4125" customFormat="false" ht="15" hidden="false" customHeight="true" outlineLevel="0" collapsed="false">
      <c r="A4125" s="12" t="n">
        <v>22758</v>
      </c>
      <c r="B4125" s="13" t="s">
        <v>16890</v>
      </c>
      <c r="C4125" s="14" t="n">
        <v>46261</v>
      </c>
      <c r="D4125" s="13" t="s">
        <v>5892</v>
      </c>
      <c r="E4125" s="13" t="s">
        <v>47</v>
      </c>
      <c r="F4125" s="24" t="s">
        <v>16891</v>
      </c>
      <c r="G4125" s="13" t="s">
        <v>1452</v>
      </c>
      <c r="H4125" s="13" t="s">
        <v>35</v>
      </c>
      <c r="I4125" s="13" t="str">
        <f aca="false">IF(C4125=J4125,"NEW KONTRAK","RE-KONTRAK")</f>
        <v>NEW KONTRAK</v>
      </c>
      <c r="J4125" s="16" t="n">
        <f aca="false" t="array" ref="J4125:J4125">IFERROR(INDEX(AC4125:AE4125,IF(COUNTA(AC4125:AE4125)=0,"",MAX((AC4125:AE4125&lt;&gt;"")*(COLUMN(AC4125:AE4125)-(COLUMN(AC4125)))))-1),"")</f>
        <v>46261</v>
      </c>
      <c r="K4125" s="16" t="n">
        <f aca="false" t="array" ref="K4125:K4125">IFERROR(INDEX(AC4125:AE4125,IF(COUNTA(AC4125:AE4125)=0,"",MAX((AC4125:AE4125&lt;&gt;"")*(COLUMN(AC4125:AE4125)-(COLUMN(AC4125)-1))))-1),"")</f>
        <v>46304</v>
      </c>
      <c r="L4125" s="17" t="str">
        <f aca="false" t="array" ref="L4125:L4125">IFERROR(INDEX(AC4125:AE4125,IF(COUNTA(AC4125:AE4125)=0,"",MAX((AC4125:AE4125&lt;&gt;"")*(COLUMN(AC4125:AE4125)-(COLUMN(AC4125)-2))))-1),"")</f>
        <v>KEMBALI</v>
      </c>
      <c r="M4125" s="13" t="n">
        <f aca="true">K4125-TODAY()</f>
        <v>-20</v>
      </c>
      <c r="N4125" s="18" t="s">
        <v>105</v>
      </c>
      <c r="O4125" s="13" t="s">
        <v>6285</v>
      </c>
      <c r="P4125" s="26" t="n">
        <v>4250000</v>
      </c>
      <c r="Q4125" s="20" t="s">
        <v>16892</v>
      </c>
      <c r="R4125" s="13" t="s">
        <v>65</v>
      </c>
      <c r="S4125" s="25" t="n">
        <v>37735</v>
      </c>
      <c r="T4125" s="13" t="s">
        <v>40</v>
      </c>
      <c r="U4125" s="13" t="s">
        <v>16893</v>
      </c>
      <c r="V4125" s="13" t="s">
        <v>42</v>
      </c>
      <c r="W4125" s="13" t="s">
        <v>43</v>
      </c>
      <c r="X4125" s="21" t="n">
        <v>89637487867</v>
      </c>
      <c r="Y4125" s="22" t="str">
        <f aca="false">O4125</f>
        <v>Operator Reach Truck</v>
      </c>
      <c r="Z4125" s="13" t="str">
        <f aca="false">IFERROR(__xludf.dummyfunction("if(BJ4125="""","""",GOOGLETRANSLATE(BJ4125,""auto"",""en""))"),"Operator Reach Truck")</f>
        <v>Operator Reach Truck</v>
      </c>
      <c r="AA4125" s="23" t="str">
        <f aca="false">IF(C4125="","", CHOOSE(MONTH(C4125),"January","February","March","April","May","June","July","August","September","October","November","December")&amp;" "&amp;DAY(C4125)&amp;MID("thstndrdth",MIN(9,2*RIGHT(DAY(C4125))*(MOD(DAY(C4125)-11,100)&gt;2)+1),2)&amp;","&amp;TEXT(C4125," yyyy"))</f>
        <v>August 27th,2026</v>
      </c>
      <c r="AB4125" s="15" t="str">
        <f aca="true">IF(S4125="","",DATEDIF(S4125,TODAY(),"Y")&amp;" Tahun, "&amp;DATEDIF(S4125,TODAY(),"YM")&amp;" Bulan, "&amp;DATEDIF(S4125,TODAY(),"MD")&amp;" Hari")</f>
        <v>23 Tahun, 6 Bulan, 5 Hari</v>
      </c>
      <c r="AC4125" s="14" t="n">
        <v>46261</v>
      </c>
      <c r="AD4125" s="18" t="n">
        <v>46304</v>
      </c>
      <c r="AE4125" s="13" t="s">
        <v>397</v>
      </c>
    </row>
    <row r="4126" customFormat="false" ht="15" hidden="false" customHeight="true" outlineLevel="0" collapsed="false">
      <c r="A4126" s="12" t="n">
        <v>22759</v>
      </c>
      <c r="B4126" s="13" t="s">
        <v>16894</v>
      </c>
      <c r="C4126" s="14" t="n">
        <v>46266</v>
      </c>
      <c r="D4126" s="13" t="s">
        <v>16258</v>
      </c>
      <c r="E4126" s="13" t="s">
        <v>47</v>
      </c>
      <c r="F4126" s="24" t="s">
        <v>16895</v>
      </c>
      <c r="G4126" s="13" t="s">
        <v>1452</v>
      </c>
      <c r="H4126" s="13" t="s">
        <v>35</v>
      </c>
      <c r="I4126" s="13" t="str">
        <f aca="false">IF(C4126=J4126,"NEW KONTRAK","RE-KONTRAK")</f>
        <v>NEW KONTRAK</v>
      </c>
      <c r="J4126" s="16" t="n">
        <f aca="false" t="array" ref="J4126:J4126">IFERROR(INDEX(AC4126:AE4126,IF(COUNTA(AC4126:AE4126)=0,"",MAX((AC4126:AE4126&lt;&gt;"")*(COLUMN(AC4126:AE4126)-(COLUMN(AC4126)))))-1),"")</f>
        <v>46266</v>
      </c>
      <c r="K4126" s="16" t="n">
        <f aca="false" t="array" ref="K4126:K4126">IFERROR(INDEX(AC4126:AE4126,IF(COUNTA(AC4126:AE4126)=0,"",MAX((AC4126:AE4126&lt;&gt;"")*(COLUMN(AC4126:AE4126)-(COLUMN(AC4126)-1))))-1),"")</f>
        <v>46356</v>
      </c>
      <c r="L4126" s="17" t="str">
        <f aca="false" t="array" ref="L4126:L4126">IFERROR(INDEX(AC4126:AE4126,IF(COUNTA(AC4126:AE4126)=0,"",MAX((AC4126:AE4126&lt;&gt;"")*(COLUMN(AC4126:AE4126)-(COLUMN(AC4126)-2))))-1),"")</f>
        <v>KEMBALI</v>
      </c>
      <c r="M4126" s="13" t="n">
        <f aca="true">K4126-TODAY()</f>
        <v>32</v>
      </c>
      <c r="N4126" s="13" t="s">
        <v>16261</v>
      </c>
      <c r="O4126" s="13" t="s">
        <v>2384</v>
      </c>
      <c r="P4126" s="26" t="n">
        <v>3843037.66</v>
      </c>
      <c r="Q4126" s="20" t="s">
        <v>16896</v>
      </c>
      <c r="R4126" s="13" t="s">
        <v>2587</v>
      </c>
      <c r="S4126" s="25" t="n">
        <v>34612</v>
      </c>
      <c r="T4126" s="13" t="s">
        <v>108</v>
      </c>
      <c r="U4126" s="13" t="s">
        <v>16897</v>
      </c>
      <c r="V4126" s="13" t="s">
        <v>42</v>
      </c>
      <c r="W4126" s="13" t="s">
        <v>43</v>
      </c>
      <c r="X4126" s="21" t="n">
        <v>895392303674</v>
      </c>
      <c r="Y4126" s="22" t="str">
        <f aca="false">O4126</f>
        <v>SPG</v>
      </c>
      <c r="Z4126" s="13" t="str">
        <f aca="false">IFERROR(__xludf.dummyfunction("if(BJ4126="""","""",GOOGLETRANSLATE(BJ4126,""auto"",""en""))"),"SPG")</f>
        <v>SPG</v>
      </c>
      <c r="AA4126" s="23" t="str">
        <f aca="false">IF(C4126="","", CHOOSE(MONTH(C4126),"January","February","March","April","May","June","July","August","September","October","November","December")&amp;" "&amp;DAY(C4126)&amp;MID("thstndrdth",MIN(9,2*RIGHT(DAY(C4126))*(MOD(DAY(C4126)-11,100)&gt;2)+1),2)&amp;","&amp;TEXT(C4126," yyyy"))</f>
        <v>September 1st,2026</v>
      </c>
      <c r="AB4126" s="15" t="str">
        <f aca="true">IF(S4126="","",DATEDIF(S4126,TODAY(),"Y")&amp;" Tahun, "&amp;DATEDIF(S4126,TODAY(),"YM")&amp;" Bulan, "&amp;DATEDIF(S4126,TODAY(),"MD")&amp;" Hari")</f>
        <v>32 Tahun, 0 Bulan, 24 Hari</v>
      </c>
      <c r="AC4126" s="14" t="n">
        <v>46266</v>
      </c>
      <c r="AD4126" s="18" t="n">
        <f aca="false">EDATE(AC4126,3)-1</f>
        <v>46356</v>
      </c>
      <c r="AE4126" s="13" t="s">
        <v>397</v>
      </c>
    </row>
    <row r="4127" customFormat="false" ht="15" hidden="false" customHeight="true" outlineLevel="0" collapsed="false">
      <c r="A4127" s="12" t="n">
        <v>22760</v>
      </c>
      <c r="B4127" s="13" t="s">
        <v>16898</v>
      </c>
      <c r="C4127" s="14" t="n">
        <v>46266</v>
      </c>
      <c r="D4127" s="13" t="s">
        <v>6498</v>
      </c>
      <c r="E4127" s="13" t="s">
        <v>47</v>
      </c>
      <c r="F4127" s="24" t="s">
        <v>16899</v>
      </c>
      <c r="G4127" s="13" t="s">
        <v>1452</v>
      </c>
      <c r="H4127" s="13" t="s">
        <v>35</v>
      </c>
      <c r="I4127" s="13" t="str">
        <f aca="false">IF(C4127=J4127,"NEW KONTRAK","RE-KONTRAK")</f>
        <v>NEW KONTRAK</v>
      </c>
      <c r="J4127" s="16" t="n">
        <f aca="false" t="array" ref="J4127:J4127">IFERROR(INDEX(AC4127:AE4127,IF(COUNTA(AC4127:AE4127)=0,"",MAX((AC4127:AE4127&lt;&gt;"")*(COLUMN(AC4127:AE4127)-(COLUMN(AC4127)))))-1),"")</f>
        <v>46266</v>
      </c>
      <c r="K4127" s="16" t="n">
        <f aca="false" t="array" ref="K4127:K4127">IFERROR(INDEX(AC4127:AE4127,IF(COUNTA(AC4127:AE4127)=0,"",MAX((AC4127:AE4127&lt;&gt;"")*(COLUMN(AC4127:AE4127)-(COLUMN(AC4127)-1))))-1),"")</f>
        <v>46356</v>
      </c>
      <c r="L4127" s="17" t="str">
        <f aca="false" t="array" ref="L4127:L4127">IFERROR(INDEX(AC4127:AE4127,IF(COUNTA(AC4127:AE4127)=0,"",MAX((AC4127:AE4127&lt;&gt;"")*(COLUMN(AC4127:AE4127)-(COLUMN(AC4127)-2))))-1),"")</f>
        <v>KEMBALI</v>
      </c>
      <c r="M4127" s="13" t="n">
        <f aca="true">K4127-TODAY()</f>
        <v>32</v>
      </c>
      <c r="N4127" s="50" t="s">
        <v>728</v>
      </c>
      <c r="O4127" s="13" t="s">
        <v>12799</v>
      </c>
      <c r="P4127" s="19" t="n">
        <v>5288796</v>
      </c>
      <c r="Q4127" s="20" t="s">
        <v>16900</v>
      </c>
      <c r="R4127" s="13" t="s">
        <v>78</v>
      </c>
      <c r="S4127" s="25" t="n">
        <v>30807</v>
      </c>
      <c r="T4127" s="13" t="s">
        <v>40</v>
      </c>
      <c r="U4127" s="13" t="s">
        <v>16901</v>
      </c>
      <c r="V4127" s="13" t="s">
        <v>42</v>
      </c>
      <c r="W4127" s="13" t="s">
        <v>54</v>
      </c>
      <c r="X4127" s="21" t="s">
        <v>16902</v>
      </c>
      <c r="Y4127" s="22" t="str">
        <f aca="false">O4127</f>
        <v>Helper Ekspedisi</v>
      </c>
      <c r="Z4127" s="13" t="str">
        <f aca="false">IFERROR(__xludf.dummyfunction("if(BJ4127="""","""",GOOGLETRANSLATE(BJ4127,""auto"",""en""))"),"Expedition Helper")</f>
        <v>Expedition Helper</v>
      </c>
      <c r="AA4127" s="23" t="str">
        <f aca="false">IF(C4127="","", CHOOSE(MONTH(C4127),"January","February","March","April","May","June","July","August","September","October","November","December")&amp;" "&amp;DAY(C4127)&amp;MID("thstndrdth",MIN(9,2*RIGHT(DAY(C4127))*(MOD(DAY(C4127)-11,100)&gt;2)+1),2)&amp;","&amp;TEXT(C4127," yyyy"))</f>
        <v>September 1st,2026</v>
      </c>
      <c r="AB4127" s="15" t="str">
        <f aca="true">IF(S4127="","",DATEDIF(S4127,TODAY(),"Y")&amp;" Tahun, "&amp;DATEDIF(S4127,TODAY(),"YM")&amp;" Bulan, "&amp;DATEDIF(S4127,TODAY(),"MD")&amp;" Hari")</f>
        <v>42 Tahun, 5 Bulan, 24 Hari</v>
      </c>
      <c r="AC4127" s="14" t="n">
        <v>46266</v>
      </c>
      <c r="AD4127" s="18" t="n">
        <f aca="false">EDATE(AC4127,3)-1</f>
        <v>46356</v>
      </c>
      <c r="AE4127" s="13" t="s">
        <v>397</v>
      </c>
    </row>
    <row r="4128" customFormat="false" ht="15" hidden="false" customHeight="true" outlineLevel="0" collapsed="false">
      <c r="A4128" s="12" t="n">
        <v>22761</v>
      </c>
      <c r="B4128" s="13" t="s">
        <v>16903</v>
      </c>
      <c r="C4128" s="14" t="n">
        <v>46241</v>
      </c>
      <c r="D4128" s="13" t="s">
        <v>747</v>
      </c>
      <c r="E4128" s="13" t="s">
        <v>47</v>
      </c>
      <c r="F4128" s="24" t="s">
        <v>16904</v>
      </c>
      <c r="G4128" s="13" t="s">
        <v>1452</v>
      </c>
      <c r="H4128" s="13" t="s">
        <v>35</v>
      </c>
      <c r="I4128" s="13" t="str">
        <f aca="false">IF(C4128=J4128,"NEW KONTRAK","RE-KONTRAK")</f>
        <v>NEW KONTRAK</v>
      </c>
      <c r="J4128" s="16" t="n">
        <f aca="false" t="array" ref="J4128:J4128">IFERROR(INDEX(AC4128:AE4128,IF(COUNTA(AC4128:AE4128)=0,"",MAX((AC4128:AE4128&lt;&gt;"")*(COLUMN(AC4128:AE4128)-(COLUMN(AC4128)))))-1),"")</f>
        <v>46241</v>
      </c>
      <c r="K4128" s="16" t="n">
        <f aca="false" t="array" ref="K4128:K4128">IFERROR(INDEX(AC4128:AE4128,IF(COUNTA(AC4128:AE4128)=0,"",MAX((AC4128:AE4128&lt;&gt;"")*(COLUMN(AC4128:AE4128)-(COLUMN(AC4128)-1))))-1),"")</f>
        <v>46332</v>
      </c>
      <c r="L4128" s="17" t="str">
        <f aca="false" t="array" ref="L4128:L4128">IFERROR(INDEX(AC4128:AE4128,IF(COUNTA(AC4128:AE4128)=0,"",MAX((AC4128:AE4128&lt;&gt;"")*(COLUMN(AC4128:AE4128)-(COLUMN(AC4128)-2))))-1),"")</f>
        <v>KEMBALI</v>
      </c>
      <c r="M4128" s="13" t="n">
        <f aca="true">K4128-TODAY()</f>
        <v>8</v>
      </c>
      <c r="N4128" s="18" t="s">
        <v>749</v>
      </c>
      <c r="O4128" s="13" t="s">
        <v>3271</v>
      </c>
      <c r="P4128" s="26" t="n">
        <v>3983881</v>
      </c>
      <c r="Q4128" s="20" t="s">
        <v>16905</v>
      </c>
      <c r="R4128" s="13" t="s">
        <v>16906</v>
      </c>
      <c r="S4128" s="25" t="n">
        <v>36169</v>
      </c>
      <c r="T4128" s="13" t="s">
        <v>40</v>
      </c>
      <c r="U4128" s="13" t="s">
        <v>16907</v>
      </c>
      <c r="V4128" s="13" t="s">
        <v>42</v>
      </c>
      <c r="W4128" s="13" t="s">
        <v>43</v>
      </c>
      <c r="X4128" s="21" t="n">
        <v>81347020369</v>
      </c>
      <c r="Y4128" s="22" t="str">
        <f aca="false">O4128</f>
        <v>Helper</v>
      </c>
      <c r="Z4128" s="13" t="str">
        <f aca="false">IFERROR(__xludf.dummyfunction("if(BJ4128="""","""",GOOGLETRANSLATE(BJ4128,""auto"",""en""))"),"Helper")</f>
        <v>Helper</v>
      </c>
      <c r="AA4128" s="23" t="str">
        <f aca="false">IF(C4128="","", CHOOSE(MONTH(C4128),"January","February","March","April","May","June","July","August","September","October","November","December")&amp;" "&amp;DAY(C4128)&amp;MID("thstndrdth",MIN(9,2*RIGHT(DAY(C4128))*(MOD(DAY(C4128)-11,100)&gt;2)+1),2)&amp;","&amp;TEXT(C4128," yyyy"))</f>
        <v>August 7th,2026</v>
      </c>
      <c r="AB4128" s="15" t="str">
        <f aca="true">IF(S4128="","",DATEDIF(S4128,TODAY(),"Y")&amp;" Tahun, "&amp;DATEDIF(S4128,TODAY(),"YM")&amp;" Bulan, "&amp;DATEDIF(S4128,TODAY(),"MD")&amp;" Hari")</f>
        <v>27 Tahun, 9 Bulan, 20 Hari</v>
      </c>
      <c r="AC4128" s="14" t="n">
        <v>46241</v>
      </c>
      <c r="AD4128" s="18" t="n">
        <f aca="false">EDATE(AC4128,3)-1</f>
        <v>46332</v>
      </c>
      <c r="AE4128" s="13" t="s">
        <v>397</v>
      </c>
    </row>
    <row r="4129" customFormat="false" ht="15" hidden="false" customHeight="true" outlineLevel="0" collapsed="false">
      <c r="A4129" s="12" t="n">
        <v>22762</v>
      </c>
      <c r="B4129" s="13" t="s">
        <v>16908</v>
      </c>
      <c r="C4129" s="14" t="n">
        <v>46266</v>
      </c>
      <c r="D4129" s="13" t="s">
        <v>16909</v>
      </c>
      <c r="E4129" s="13" t="s">
        <v>47</v>
      </c>
      <c r="F4129" s="24" t="s">
        <v>16910</v>
      </c>
      <c r="G4129" s="13" t="s">
        <v>1452</v>
      </c>
      <c r="H4129" s="13" t="s">
        <v>35</v>
      </c>
      <c r="I4129" s="13" t="str">
        <f aca="false">IF(C4129=J4129,"NEW KONTRAK","RE-KONTRAK")</f>
        <v>NEW KONTRAK</v>
      </c>
      <c r="J4129" s="16" t="n">
        <f aca="false" t="array" ref="J4129:J4129">IFERROR(INDEX(AC4129:AE4129,IF(COUNTA(AC4129:AE4129)=0,"",MAX((AC4129:AE4129&lt;&gt;"")*(COLUMN(AC4129:AE4129)-(COLUMN(AC4129)))))-1),"")</f>
        <v>46266</v>
      </c>
      <c r="K4129" s="16" t="n">
        <f aca="false" t="array" ref="K4129:K4129">IFERROR(INDEX(AC4129:AE4129,IF(COUNTA(AC4129:AE4129)=0,"",MAX((AC4129:AE4129&lt;&gt;"")*(COLUMN(AC4129:AE4129)-(COLUMN(AC4129)-1))))-1),"")</f>
        <v>46356</v>
      </c>
      <c r="L4129" s="17" t="str">
        <f aca="false" t="array" ref="L4129:L4129">IFERROR(INDEX(AC4129:AE4129,IF(COUNTA(AC4129:AE4129)=0,"",MAX((AC4129:AE4129&lt;&gt;"")*(COLUMN(AC4129:AE4129)-(COLUMN(AC4129)-2))))-1),"")</f>
        <v>KEMBALI</v>
      </c>
      <c r="M4129" s="13" t="n">
        <f aca="true">K4129-TODAY()</f>
        <v>32</v>
      </c>
      <c r="N4129" s="13" t="s">
        <v>7525</v>
      </c>
      <c r="O4129" s="13" t="s">
        <v>2384</v>
      </c>
      <c r="P4129" s="26" t="n">
        <v>3724677.99</v>
      </c>
      <c r="Q4129" s="20" t="s">
        <v>16911</v>
      </c>
      <c r="R4129" s="13" t="s">
        <v>2587</v>
      </c>
      <c r="S4129" s="25" t="n">
        <v>35539</v>
      </c>
      <c r="T4129" s="13" t="s">
        <v>40</v>
      </c>
      <c r="U4129" s="13" t="s">
        <v>16912</v>
      </c>
      <c r="V4129" s="13" t="s">
        <v>42</v>
      </c>
      <c r="W4129" s="13" t="s">
        <v>54</v>
      </c>
      <c r="X4129" s="21" t="n">
        <v>895700409145</v>
      </c>
      <c r="Y4129" s="22" t="str">
        <f aca="false">O4129</f>
        <v>SPG</v>
      </c>
      <c r="Z4129" s="13" t="str">
        <f aca="false">IFERROR(__xludf.dummyfunction("if(BJ4129="""","""",GOOGLETRANSLATE(BJ4129,""auto"",""en""))"),"SPG")</f>
        <v>SPG</v>
      </c>
      <c r="AA4129" s="23" t="str">
        <f aca="false">IF(C4129="","", CHOOSE(MONTH(C4129),"January","February","March","April","May","June","July","August","September","October","November","December")&amp;" "&amp;DAY(C4129)&amp;MID("thstndrdth",MIN(9,2*RIGHT(DAY(C4129))*(MOD(DAY(C4129)-11,100)&gt;2)+1),2)&amp;","&amp;TEXT(C4129," yyyy"))</f>
        <v>September 1st,2026</v>
      </c>
      <c r="AB4129" s="15" t="str">
        <f aca="true">IF(S4129="","",DATEDIF(S4129,TODAY(),"Y")&amp;" Tahun, "&amp;DATEDIF(S4129,TODAY(),"YM")&amp;" Bulan, "&amp;DATEDIF(S4129,TODAY(),"MD")&amp;" Hari")</f>
        <v>29 Tahun, 6 Bulan, 10 Hari</v>
      </c>
      <c r="AC4129" s="14" t="n">
        <v>46266</v>
      </c>
      <c r="AD4129" s="18" t="n">
        <f aca="false">EDATE(AC4129,3)-1</f>
        <v>46356</v>
      </c>
      <c r="AE4129" s="13" t="s">
        <v>397</v>
      </c>
    </row>
    <row r="4130" customFormat="false" ht="15" hidden="false" customHeight="true" outlineLevel="0" collapsed="false">
      <c r="A4130" s="12" t="n">
        <v>22763</v>
      </c>
      <c r="B4130" s="13" t="s">
        <v>16913</v>
      </c>
      <c r="C4130" s="14" t="n">
        <v>46266</v>
      </c>
      <c r="D4130" s="13" t="s">
        <v>16909</v>
      </c>
      <c r="E4130" s="13" t="s">
        <v>47</v>
      </c>
      <c r="F4130" s="24" t="s">
        <v>16914</v>
      </c>
      <c r="G4130" s="13" t="s">
        <v>1452</v>
      </c>
      <c r="H4130" s="13" t="s">
        <v>35</v>
      </c>
      <c r="I4130" s="13" t="str">
        <f aca="false">IF(C4130=J4130,"NEW KONTRAK","RE-KONTRAK")</f>
        <v>NEW KONTRAK</v>
      </c>
      <c r="J4130" s="16" t="n">
        <f aca="false" t="array" ref="J4130:J4130">IFERROR(INDEX(AC4130:AE4130,IF(COUNTA(AC4130:AE4130)=0,"",MAX((AC4130:AE4130&lt;&gt;"")*(COLUMN(AC4130:AE4130)-(COLUMN(AC4130)))))-1),"")</f>
        <v>46266</v>
      </c>
      <c r="K4130" s="16" t="n">
        <f aca="false" t="array" ref="K4130:K4130">IFERROR(INDEX(AC4130:AE4130,IF(COUNTA(AC4130:AE4130)=0,"",MAX((AC4130:AE4130&lt;&gt;"")*(COLUMN(AC4130:AE4130)-(COLUMN(AC4130)-1))))-1),"")</f>
        <v>46356</v>
      </c>
      <c r="L4130" s="17" t="str">
        <f aca="false" t="array" ref="L4130:L4130">IFERROR(INDEX(AC4130:AE4130,IF(COUNTA(AC4130:AE4130)=0,"",MAX((AC4130:AE4130&lt;&gt;"")*(COLUMN(AC4130:AE4130)-(COLUMN(AC4130)-2))))-1),"")</f>
        <v>KEMBALI</v>
      </c>
      <c r="M4130" s="13" t="n">
        <f aca="true">K4130-TODAY()</f>
        <v>32</v>
      </c>
      <c r="N4130" s="13" t="s">
        <v>7525</v>
      </c>
      <c r="O4130" s="13" t="s">
        <v>2384</v>
      </c>
      <c r="P4130" s="26" t="n">
        <v>3724677.99</v>
      </c>
      <c r="Q4130" s="20" t="s">
        <v>16915</v>
      </c>
      <c r="R4130" s="13" t="s">
        <v>16916</v>
      </c>
      <c r="S4130" s="25" t="n">
        <v>34159</v>
      </c>
      <c r="T4130" s="13" t="s">
        <v>108</v>
      </c>
      <c r="U4130" s="13" t="s">
        <v>16917</v>
      </c>
      <c r="V4130" s="13" t="s">
        <v>42</v>
      </c>
      <c r="W4130" s="13" t="s">
        <v>54</v>
      </c>
      <c r="X4130" s="21" t="s">
        <v>16918</v>
      </c>
      <c r="Y4130" s="22" t="str">
        <f aca="false">O4130</f>
        <v>SPG</v>
      </c>
      <c r="Z4130" s="13" t="str">
        <f aca="false">IFERROR(__xludf.dummyfunction("if(BJ4130="""","""",GOOGLETRANSLATE(BJ4130,""auto"",""en""))"),"SPG")</f>
        <v>SPG</v>
      </c>
      <c r="AA4130" s="23" t="str">
        <f aca="false">IF(C4130="","", CHOOSE(MONTH(C4130),"January","February","March","April","May","June","July","August","September","October","November","December")&amp;" "&amp;DAY(C4130)&amp;MID("thstndrdth",MIN(9,2*RIGHT(DAY(C4130))*(MOD(DAY(C4130)-11,100)&gt;2)+1),2)&amp;","&amp;TEXT(C4130," yyyy"))</f>
        <v>September 1st,2026</v>
      </c>
      <c r="AB4130" s="15" t="str">
        <f aca="true">IF(S4130="","",DATEDIF(S4130,TODAY(),"Y")&amp;" Tahun, "&amp;DATEDIF(S4130,TODAY(),"YM")&amp;" Bulan, "&amp;DATEDIF(S4130,TODAY(),"MD")&amp;" Hari")</f>
        <v>33 Tahun, 3 Bulan, 20 Hari</v>
      </c>
      <c r="AC4130" s="14" t="n">
        <v>46266</v>
      </c>
      <c r="AD4130" s="18" t="n">
        <f aca="false">EDATE(AC4130,3)-1</f>
        <v>46356</v>
      </c>
      <c r="AE4130" s="13" t="s">
        <v>397</v>
      </c>
    </row>
    <row r="4131" customFormat="false" ht="15" hidden="false" customHeight="true" outlineLevel="0" collapsed="false">
      <c r="A4131" s="12" t="n">
        <v>22764</v>
      </c>
      <c r="B4131" s="13" t="s">
        <v>16919</v>
      </c>
      <c r="C4131" s="14" t="n">
        <v>46266</v>
      </c>
      <c r="D4131" s="13" t="s">
        <v>16909</v>
      </c>
      <c r="E4131" s="13" t="s">
        <v>47</v>
      </c>
      <c r="F4131" s="24" t="s">
        <v>16920</v>
      </c>
      <c r="G4131" s="13" t="s">
        <v>1452</v>
      </c>
      <c r="H4131" s="13" t="s">
        <v>35</v>
      </c>
      <c r="I4131" s="13" t="str">
        <f aca="false">IF(C4131=J4131,"NEW KONTRAK","RE-KONTRAK")</f>
        <v>NEW KONTRAK</v>
      </c>
      <c r="J4131" s="16" t="n">
        <f aca="false" t="array" ref="J4131:J4131">IFERROR(INDEX(AC4131:AE4131,IF(COUNTA(AC4131:AE4131)=0,"",MAX((AC4131:AE4131&lt;&gt;"")*(COLUMN(AC4131:AE4131)-(COLUMN(AC4131)))))-1),"")</f>
        <v>46266</v>
      </c>
      <c r="K4131" s="16" t="n">
        <f aca="false" t="array" ref="K4131:K4131">IFERROR(INDEX(AC4131:AE4131,IF(COUNTA(AC4131:AE4131)=0,"",MAX((AC4131:AE4131&lt;&gt;"")*(COLUMN(AC4131:AE4131)-(COLUMN(AC4131)-1))))-1),"")</f>
        <v>46356</v>
      </c>
      <c r="L4131" s="17" t="str">
        <f aca="false" t="array" ref="L4131:L4131">IFERROR(INDEX(AC4131:AE4131,IF(COUNTA(AC4131:AE4131)=0,"",MAX((AC4131:AE4131&lt;&gt;"")*(COLUMN(AC4131:AE4131)-(COLUMN(AC4131)-2))))-1),"")</f>
        <v>KEMBALI</v>
      </c>
      <c r="M4131" s="13" t="n">
        <f aca="true">K4131-TODAY()</f>
        <v>32</v>
      </c>
      <c r="N4131" s="13" t="s">
        <v>7525</v>
      </c>
      <c r="O4131" s="13" t="s">
        <v>16921</v>
      </c>
      <c r="P4131" s="26" t="n">
        <v>3724677.99</v>
      </c>
      <c r="Q4131" s="20" t="s">
        <v>16922</v>
      </c>
      <c r="R4131" s="13" t="s">
        <v>16923</v>
      </c>
      <c r="S4131" s="25" t="n">
        <v>33665</v>
      </c>
      <c r="T4131" s="13" t="s">
        <v>108</v>
      </c>
      <c r="U4131" s="13" t="s">
        <v>16924</v>
      </c>
      <c r="V4131" s="13" t="s">
        <v>42</v>
      </c>
      <c r="W4131" s="13" t="s">
        <v>897</v>
      </c>
      <c r="X4131" s="21" t="n">
        <v>81254597584</v>
      </c>
      <c r="Y4131" s="22" t="str">
        <f aca="false">O4131</f>
        <v>Head Trainer</v>
      </c>
      <c r="Z4131" s="13" t="str">
        <f aca="false">IFERROR(__xludf.dummyfunction("if(BJ4131="""","""",GOOGLETRANSLATE(BJ4131,""auto"",""en""))"),"Head Trainer")</f>
        <v>Head Trainer</v>
      </c>
      <c r="AA4131" s="23" t="str">
        <f aca="false">IF(C4131="","", CHOOSE(MONTH(C4131),"January","February","March","April","May","June","July","August","September","October","November","December")&amp;" "&amp;DAY(C4131)&amp;MID("thstndrdth",MIN(9,2*RIGHT(DAY(C4131))*(MOD(DAY(C4131)-11,100)&gt;2)+1),2)&amp;","&amp;TEXT(C4131," yyyy"))</f>
        <v>September 1st,2026</v>
      </c>
      <c r="AB4131" s="15" t="str">
        <f aca="true">IF(S4131="","",DATEDIF(S4131,TODAY(),"Y")&amp;" Tahun, "&amp;DATEDIF(S4131,TODAY(),"YM")&amp;" Bulan, "&amp;DATEDIF(S4131,TODAY(),"MD")&amp;" Hari")</f>
        <v>34 Tahun, 7 Bulan, 27 Hari</v>
      </c>
      <c r="AC4131" s="14" t="n">
        <v>46266</v>
      </c>
      <c r="AD4131" s="18" t="n">
        <f aca="false">EDATE(AC4131,3)-1</f>
        <v>46356</v>
      </c>
      <c r="AE4131" s="13" t="s">
        <v>397</v>
      </c>
    </row>
    <row r="4132" customFormat="false" ht="15" hidden="false" customHeight="true" outlineLevel="0" collapsed="false">
      <c r="A4132" s="12" t="n">
        <v>22765</v>
      </c>
      <c r="B4132" s="13" t="s">
        <v>16925</v>
      </c>
      <c r="C4132" s="14" t="n">
        <v>46266</v>
      </c>
      <c r="D4132" s="13" t="s">
        <v>1338</v>
      </c>
      <c r="E4132" s="13" t="s">
        <v>47</v>
      </c>
      <c r="F4132" s="24" t="s">
        <v>16926</v>
      </c>
      <c r="G4132" s="13" t="s">
        <v>1452</v>
      </c>
      <c r="H4132" s="13" t="s">
        <v>35</v>
      </c>
      <c r="I4132" s="13" t="str">
        <f aca="false">IF(C4132=J4132,"NEW KONTRAK","RE-KONTRAK")</f>
        <v>NEW KONTRAK</v>
      </c>
      <c r="J4132" s="16" t="n">
        <f aca="false" t="array" ref="J4132:J4132">IFERROR(INDEX(AC4132:AE4132,IF(COUNTA(AC4132:AE4132)=0,"",MAX((AC4132:AE4132&lt;&gt;"")*(COLUMN(AC4132:AE4132)-(COLUMN(AC4132)))))-1),"")</f>
        <v>46266</v>
      </c>
      <c r="K4132" s="16" t="n">
        <f aca="false" t="array" ref="K4132:K4132">IFERROR(INDEX(AC4132:AE4132,IF(COUNTA(AC4132:AE4132)=0,"",MAX((AC4132:AE4132&lt;&gt;"")*(COLUMN(AC4132:AE4132)-(COLUMN(AC4132)-1))))-1),"")</f>
        <v>46356</v>
      </c>
      <c r="L4132" s="17" t="str">
        <f aca="false" t="array" ref="L4132:L4132">IFERROR(INDEX(AC4132:AE4132,IF(COUNTA(AC4132:AE4132)=0,"",MAX((AC4132:AE4132&lt;&gt;"")*(COLUMN(AC4132:AE4132)-(COLUMN(AC4132)-2))))-1),"")</f>
        <v>KEMBALI</v>
      </c>
      <c r="M4132" s="13" t="n">
        <f aca="true">K4132-TODAY()</f>
        <v>32</v>
      </c>
      <c r="N4132" s="18" t="s">
        <v>615</v>
      </c>
      <c r="O4132" s="13" t="s">
        <v>2335</v>
      </c>
      <c r="P4132" s="26" t="n">
        <v>160000</v>
      </c>
      <c r="Q4132" s="20" t="s">
        <v>16927</v>
      </c>
      <c r="R4132" s="13" t="s">
        <v>232</v>
      </c>
      <c r="S4132" s="18" t="n">
        <v>39158</v>
      </c>
      <c r="T4132" s="28" t="s">
        <v>40</v>
      </c>
      <c r="U4132" s="13" t="s">
        <v>16928</v>
      </c>
      <c r="V4132" s="13" t="s">
        <v>42</v>
      </c>
      <c r="W4132" s="13" t="s">
        <v>43</v>
      </c>
      <c r="X4132" s="21" t="n">
        <v>82131490410</v>
      </c>
      <c r="Y4132" s="22" t="str">
        <f aca="false">O4132</f>
        <v>Project Management</v>
      </c>
      <c r="Z4132" s="13" t="str">
        <f aca="false">IFERROR(__xludf.dummyfunction("if(BJ4132="""","""",GOOGLETRANSLATE(BJ4132,""auto"",""en""))"),"Project Management")</f>
        <v>Project Management</v>
      </c>
      <c r="AA4132" s="23" t="str">
        <f aca="false">IF(C4132="","", CHOOSE(MONTH(C4132),"January","February","March","April","May","June","July","August","September","October","November","December")&amp;" "&amp;DAY(C4132)&amp;MID("thstndrdth",MIN(9,2*RIGHT(DAY(C4132))*(MOD(DAY(C4132)-11,100)&gt;2)+1),2)&amp;","&amp;TEXT(C4132," yyyy"))</f>
        <v>September 1st,2026</v>
      </c>
      <c r="AB4132" s="15" t="str">
        <f aca="true">IF(S4132="","",DATEDIF(S4132,TODAY(),"Y")&amp;" Tahun, "&amp;DATEDIF(S4132,TODAY(),"YM")&amp;" Bulan, "&amp;DATEDIF(S4132,TODAY(),"MD")&amp;" Hari")</f>
        <v>19 Tahun, 7 Bulan, 12 Hari</v>
      </c>
      <c r="AC4132" s="14" t="n">
        <v>46266</v>
      </c>
      <c r="AD4132" s="18" t="n">
        <f aca="false">EDATE(AC4132,3)-1</f>
        <v>46356</v>
      </c>
      <c r="AE4132" s="13" t="s">
        <v>397</v>
      </c>
    </row>
    <row r="4133" customFormat="false" ht="15" hidden="false" customHeight="true" outlineLevel="0" collapsed="false">
      <c r="A4133" s="12" t="n">
        <v>22766</v>
      </c>
      <c r="B4133" s="13" t="s">
        <v>16929</v>
      </c>
      <c r="C4133" s="14" t="n">
        <v>46266</v>
      </c>
      <c r="D4133" s="13" t="s">
        <v>1338</v>
      </c>
      <c r="E4133" s="13" t="s">
        <v>47</v>
      </c>
      <c r="F4133" s="24" t="s">
        <v>16930</v>
      </c>
      <c r="G4133" s="13" t="s">
        <v>1452</v>
      </c>
      <c r="H4133" s="13" t="s">
        <v>35</v>
      </c>
      <c r="I4133" s="13" t="str">
        <f aca="false">IF(C4133=J4133,"NEW KONTRAK","RE-KONTRAK")</f>
        <v>NEW KONTRAK</v>
      </c>
      <c r="J4133" s="16" t="n">
        <f aca="false" t="array" ref="J4133:J4133">IFERROR(INDEX(AC4133:AE4133,IF(COUNTA(AC4133:AE4133)=0,"",MAX((AC4133:AE4133&lt;&gt;"")*(COLUMN(AC4133:AE4133)-(COLUMN(AC4133)))))-1),"")</f>
        <v>46266</v>
      </c>
      <c r="K4133" s="16" t="n">
        <f aca="false" t="array" ref="K4133:K4133">IFERROR(INDEX(AC4133:AE4133,IF(COUNTA(AC4133:AE4133)=0,"",MAX((AC4133:AE4133&lt;&gt;"")*(COLUMN(AC4133:AE4133)-(COLUMN(AC4133)-1))))-1),"")</f>
        <v>46356</v>
      </c>
      <c r="L4133" s="17" t="str">
        <f aca="false" t="array" ref="L4133:L4133">IFERROR(INDEX(AC4133:AE4133,IF(COUNTA(AC4133:AE4133)=0,"",MAX((AC4133:AE4133&lt;&gt;"")*(COLUMN(AC4133:AE4133)-(COLUMN(AC4133)-2))))-1),"")</f>
        <v>KEMBALI</v>
      </c>
      <c r="M4133" s="13" t="n">
        <f aca="true">K4133-TODAY()</f>
        <v>32</v>
      </c>
      <c r="N4133" s="18" t="s">
        <v>615</v>
      </c>
      <c r="O4133" s="13" t="s">
        <v>2335</v>
      </c>
      <c r="P4133" s="26" t="n">
        <v>160000</v>
      </c>
      <c r="Q4133" s="20" t="s">
        <v>16931</v>
      </c>
      <c r="R4133" s="13" t="s">
        <v>232</v>
      </c>
      <c r="S4133" s="53" t="n">
        <v>34365</v>
      </c>
      <c r="T4133" s="28" t="s">
        <v>40</v>
      </c>
      <c r="U4133" s="13" t="s">
        <v>16932</v>
      </c>
      <c r="V4133" s="13" t="s">
        <v>42</v>
      </c>
      <c r="W4133" s="13" t="s">
        <v>43</v>
      </c>
      <c r="X4133" s="21" t="n">
        <v>85604236735</v>
      </c>
      <c r="Y4133" s="22" t="str">
        <f aca="false">O4133</f>
        <v>Project Management</v>
      </c>
      <c r="Z4133" s="13" t="str">
        <f aca="false">IFERROR(__xludf.dummyfunction("if(BJ4133="""","""",GOOGLETRANSLATE(BJ4133,""auto"",""en""))"),"Project Management")</f>
        <v>Project Management</v>
      </c>
      <c r="AA4133" s="23" t="str">
        <f aca="false">IF(C4133="","", CHOOSE(MONTH(C4133),"January","February","March","April","May","June","July","August","September","October","November","December")&amp;" "&amp;DAY(C4133)&amp;MID("thstndrdth",MIN(9,2*RIGHT(DAY(C4133))*(MOD(DAY(C4133)-11,100)&gt;2)+1),2)&amp;","&amp;TEXT(C4133," yyyy"))</f>
        <v>September 1st,2026</v>
      </c>
      <c r="AB4133" s="15" t="str">
        <f aca="true">IF(S4133="","",DATEDIF(S4133,TODAY(),"Y")&amp;" Tahun, "&amp;DATEDIF(S4133,TODAY(),"YM")&amp;" Bulan, "&amp;DATEDIF(S4133,TODAY(),"MD")&amp;" Hari")</f>
        <v>32 Tahun, 8 Bulan, 28 Hari</v>
      </c>
      <c r="AC4133" s="14" t="n">
        <v>46266</v>
      </c>
      <c r="AD4133" s="18" t="n">
        <f aca="false">EDATE(AC4133,3)-1</f>
        <v>46356</v>
      </c>
      <c r="AE4133" s="13" t="s">
        <v>397</v>
      </c>
    </row>
    <row r="4134" customFormat="false" ht="15" hidden="false" customHeight="true" outlineLevel="0" collapsed="false">
      <c r="A4134" s="12" t="n">
        <v>22767</v>
      </c>
      <c r="B4134" s="13" t="s">
        <v>16933</v>
      </c>
      <c r="C4134" s="14" t="n">
        <v>46266</v>
      </c>
      <c r="D4134" s="13" t="s">
        <v>1338</v>
      </c>
      <c r="E4134" s="13" t="s">
        <v>47</v>
      </c>
      <c r="F4134" s="24" t="s">
        <v>16934</v>
      </c>
      <c r="G4134" s="13" t="s">
        <v>1452</v>
      </c>
      <c r="H4134" s="13" t="s">
        <v>35</v>
      </c>
      <c r="I4134" s="13" t="str">
        <f aca="false">IF(C4134=J4134,"NEW KONTRAK","RE-KONTRAK")</f>
        <v>NEW KONTRAK</v>
      </c>
      <c r="J4134" s="16" t="n">
        <f aca="false" t="array" ref="J4134:J4134">IFERROR(INDEX(AC4134:AE4134,IF(COUNTA(AC4134:AE4134)=0,"",MAX((AC4134:AE4134&lt;&gt;"")*(COLUMN(AC4134:AE4134)-(COLUMN(AC4134)))))-1),"")</f>
        <v>46266</v>
      </c>
      <c r="K4134" s="16" t="n">
        <f aca="false" t="array" ref="K4134:K4134">IFERROR(INDEX(AC4134:AE4134,IF(COUNTA(AC4134:AE4134)=0,"",MAX((AC4134:AE4134&lt;&gt;"")*(COLUMN(AC4134:AE4134)-(COLUMN(AC4134)-1))))-1),"")</f>
        <v>46356</v>
      </c>
      <c r="L4134" s="17" t="str">
        <f aca="false" t="array" ref="L4134:L4134">IFERROR(INDEX(AC4134:AE4134,IF(COUNTA(AC4134:AE4134)=0,"",MAX((AC4134:AE4134&lt;&gt;"")*(COLUMN(AC4134:AE4134)-(COLUMN(AC4134)-2))))-1),"")</f>
        <v>KEMBALI</v>
      </c>
      <c r="M4134" s="13" t="n">
        <f aca="true">K4134-TODAY()</f>
        <v>32</v>
      </c>
      <c r="N4134" s="18" t="s">
        <v>615</v>
      </c>
      <c r="O4134" s="13" t="s">
        <v>2335</v>
      </c>
      <c r="P4134" s="26" t="n">
        <v>160000</v>
      </c>
      <c r="Q4134" s="20" t="s">
        <v>16935</v>
      </c>
      <c r="R4134" s="13" t="s">
        <v>232</v>
      </c>
      <c r="S4134" s="53" t="n">
        <v>32264</v>
      </c>
      <c r="T4134" s="28" t="s">
        <v>40</v>
      </c>
      <c r="U4134" s="13" t="s">
        <v>16936</v>
      </c>
      <c r="V4134" s="13" t="s">
        <v>42</v>
      </c>
      <c r="W4134" s="13" t="s">
        <v>54</v>
      </c>
      <c r="X4134" s="21" t="n">
        <v>85855966998</v>
      </c>
      <c r="Y4134" s="22" t="str">
        <f aca="false">O4134</f>
        <v>Project Management</v>
      </c>
      <c r="Z4134" s="13" t="str">
        <f aca="false">IFERROR(__xludf.dummyfunction("if(BJ4134="""","""",GOOGLETRANSLATE(BJ4134,""auto"",""en""))"),"Project Management")</f>
        <v>Project Management</v>
      </c>
      <c r="AA4134" s="23" t="str">
        <f aca="false">IF(C4134="","", CHOOSE(MONTH(C4134),"January","February","March","April","May","June","July","August","September","October","November","December")&amp;" "&amp;DAY(C4134)&amp;MID("thstndrdth",MIN(9,2*RIGHT(DAY(C4134))*(MOD(DAY(C4134)-11,100)&gt;2)+1),2)&amp;","&amp;TEXT(C4134," yyyy"))</f>
        <v>September 1st,2026</v>
      </c>
      <c r="AB4134" s="15" t="str">
        <f aca="true">IF(S4134="","",DATEDIF(S4134,TODAY(),"Y")&amp;" Tahun, "&amp;DATEDIF(S4134,TODAY(),"YM")&amp;" Bulan, "&amp;DATEDIF(S4134,TODAY(),"MD")&amp;" Hari")</f>
        <v>38 Tahun, 5 Bulan, 28 Hari</v>
      </c>
      <c r="AC4134" s="14" t="n">
        <v>46266</v>
      </c>
      <c r="AD4134" s="18" t="n">
        <f aca="false">EDATE(AC4134,3)-1</f>
        <v>46356</v>
      </c>
      <c r="AE4134" s="13" t="s">
        <v>397</v>
      </c>
    </row>
    <row r="4135" customFormat="false" ht="15" hidden="false" customHeight="true" outlineLevel="0" collapsed="false">
      <c r="A4135" s="12" t="n">
        <v>22768</v>
      </c>
      <c r="B4135" s="13" t="s">
        <v>16937</v>
      </c>
      <c r="C4135" s="14" t="n">
        <v>46266</v>
      </c>
      <c r="D4135" s="13" t="s">
        <v>1338</v>
      </c>
      <c r="E4135" s="13" t="s">
        <v>47</v>
      </c>
      <c r="F4135" s="24" t="s">
        <v>16938</v>
      </c>
      <c r="G4135" s="13" t="s">
        <v>1452</v>
      </c>
      <c r="H4135" s="13" t="s">
        <v>35</v>
      </c>
      <c r="I4135" s="13" t="str">
        <f aca="false">IF(C4135=J4135,"NEW KONTRAK","RE-KONTRAK")</f>
        <v>NEW KONTRAK</v>
      </c>
      <c r="J4135" s="16" t="n">
        <f aca="false" t="array" ref="J4135:J4135">IFERROR(INDEX(AC4135:AE4135,IF(COUNTA(AC4135:AE4135)=0,"",MAX((AC4135:AE4135&lt;&gt;"")*(COLUMN(AC4135:AE4135)-(COLUMN(AC4135)))))-1),"")</f>
        <v>46266</v>
      </c>
      <c r="K4135" s="16" t="n">
        <f aca="false" t="array" ref="K4135:K4135">IFERROR(INDEX(AC4135:AE4135,IF(COUNTA(AC4135:AE4135)=0,"",MAX((AC4135:AE4135&lt;&gt;"")*(COLUMN(AC4135:AE4135)-(COLUMN(AC4135)-1))))-1),"")</f>
        <v>46356</v>
      </c>
      <c r="L4135" s="17" t="str">
        <f aca="false" t="array" ref="L4135:L4135">IFERROR(INDEX(AC4135:AE4135,IF(COUNTA(AC4135:AE4135)=0,"",MAX((AC4135:AE4135&lt;&gt;"")*(COLUMN(AC4135:AE4135)-(COLUMN(AC4135)-2))))-1),"")</f>
        <v>KEMBALI</v>
      </c>
      <c r="M4135" s="13" t="n">
        <f aca="true">K4135-TODAY()</f>
        <v>32</v>
      </c>
      <c r="N4135" s="18" t="s">
        <v>615</v>
      </c>
      <c r="O4135" s="13" t="s">
        <v>2335</v>
      </c>
      <c r="P4135" s="26" t="n">
        <v>160000</v>
      </c>
      <c r="Q4135" s="20" t="s">
        <v>16939</v>
      </c>
      <c r="R4135" s="13" t="s">
        <v>39</v>
      </c>
      <c r="S4135" s="25" t="n">
        <v>36641</v>
      </c>
      <c r="T4135" s="28" t="s">
        <v>40</v>
      </c>
      <c r="U4135" s="13" t="s">
        <v>16940</v>
      </c>
      <c r="V4135" s="13" t="s">
        <v>42</v>
      </c>
      <c r="W4135" s="13" t="s">
        <v>54</v>
      </c>
      <c r="X4135" s="21" t="n">
        <v>88989428953</v>
      </c>
      <c r="Y4135" s="22" t="str">
        <f aca="false">O4135</f>
        <v>Project Management</v>
      </c>
      <c r="Z4135" s="13" t="str">
        <f aca="false">IFERROR(__xludf.dummyfunction("if(BJ4135="""","""",GOOGLETRANSLATE(BJ4135,""auto"",""en""))"),"Project Management")</f>
        <v>Project Management</v>
      </c>
      <c r="AA4135" s="23" t="str">
        <f aca="false">IF(C4135="","", CHOOSE(MONTH(C4135),"January","February","March","April","May","June","July","August","September","October","November","December")&amp;" "&amp;DAY(C4135)&amp;MID("thstndrdth",MIN(9,2*RIGHT(DAY(C4135))*(MOD(DAY(C4135)-11,100)&gt;2)+1),2)&amp;","&amp;TEXT(C4135," yyyy"))</f>
        <v>September 1st,2026</v>
      </c>
      <c r="AB4135" s="15" t="str">
        <f aca="true">IF(S4135="","",DATEDIF(S4135,TODAY(),"Y")&amp;" Tahun, "&amp;DATEDIF(S4135,TODAY(),"YM")&amp;" Bulan, "&amp;DATEDIF(S4135,TODAY(),"MD")&amp;" Hari")</f>
        <v>26 Tahun, 6 Bulan, 4 Hari</v>
      </c>
      <c r="AC4135" s="14" t="n">
        <v>46266</v>
      </c>
      <c r="AD4135" s="18" t="n">
        <f aca="false">EDATE(AC4135,3)-1</f>
        <v>46356</v>
      </c>
      <c r="AE4135" s="13" t="s">
        <v>397</v>
      </c>
    </row>
    <row r="4136" customFormat="false" ht="15" hidden="false" customHeight="true" outlineLevel="0" collapsed="false">
      <c r="A4136" s="12" t="n">
        <v>22769</v>
      </c>
      <c r="B4136" s="13" t="s">
        <v>16941</v>
      </c>
      <c r="C4136" s="14" t="n">
        <v>46266</v>
      </c>
      <c r="D4136" s="13" t="s">
        <v>6473</v>
      </c>
      <c r="E4136" s="13" t="s">
        <v>47</v>
      </c>
      <c r="F4136" s="24" t="s">
        <v>16942</v>
      </c>
      <c r="G4136" s="13" t="s">
        <v>1452</v>
      </c>
      <c r="H4136" s="13" t="s">
        <v>35</v>
      </c>
      <c r="I4136" s="13" t="str">
        <f aca="false">IF(C4136=J4136,"NEW KONTRAK","RE-KONTRAK")</f>
        <v>NEW KONTRAK</v>
      </c>
      <c r="J4136" s="16" t="n">
        <f aca="false" t="array" ref="J4136:J4136">IFERROR(INDEX(AC4136:AE4136,IF(COUNTA(AC4136:AE4136)=0,"",MAX((AC4136:AE4136&lt;&gt;"")*(COLUMN(AC4136:AE4136)-(COLUMN(AC4136)))))-1),"")</f>
        <v>46266</v>
      </c>
      <c r="K4136" s="16" t="n">
        <f aca="false" t="array" ref="K4136:K4136">IFERROR(INDEX(AC4136:AE4136,IF(COUNTA(AC4136:AE4136)=0,"",MAX((AC4136:AE4136&lt;&gt;"")*(COLUMN(AC4136:AE4136)-(COLUMN(AC4136)-1))))-1),"")</f>
        <v>46356</v>
      </c>
      <c r="L4136" s="17" t="str">
        <f aca="false" t="array" ref="L4136:L4136">IFERROR(INDEX(AC4136:AE4136,IF(COUNTA(AC4136:AE4136)=0,"",MAX((AC4136:AE4136&lt;&gt;"")*(COLUMN(AC4136:AE4136)-(COLUMN(AC4136)-2))))-1),"")</f>
        <v>KEMBALI</v>
      </c>
      <c r="M4136" s="13" t="n">
        <f aca="true">K4136-TODAY()</f>
        <v>32</v>
      </c>
      <c r="N4136" s="18" t="s">
        <v>728</v>
      </c>
      <c r="O4136" s="13" t="s">
        <v>16943</v>
      </c>
      <c r="P4136" s="26" t="n">
        <v>100000</v>
      </c>
      <c r="Q4136" s="20" t="s">
        <v>16944</v>
      </c>
      <c r="R4136" s="13" t="s">
        <v>958</v>
      </c>
      <c r="S4136" s="25" t="n">
        <v>39008</v>
      </c>
      <c r="T4136" s="13" t="s">
        <v>40</v>
      </c>
      <c r="U4136" s="13" t="s">
        <v>16945</v>
      </c>
      <c r="V4136" s="13" t="s">
        <v>99</v>
      </c>
      <c r="W4136" s="13" t="s">
        <v>43</v>
      </c>
      <c r="X4136" s="21" t="n">
        <v>81233756757</v>
      </c>
      <c r="Y4136" s="22" t="str">
        <f aca="false">O4136</f>
        <v>Magang GA</v>
      </c>
      <c r="Z4136" s="13" t="str">
        <f aca="false">IFERROR(__xludf.dummyfunction("if(BJ4136="""","""",GOOGLETRANSLATE(BJ4136,""auto"",""en""))"),"Good morning")</f>
        <v>Good morning</v>
      </c>
      <c r="AA4136" s="23" t="str">
        <f aca="false">IF(C4136="","", CHOOSE(MONTH(C4136),"January","February","March","April","May","June","July","August","September","October","November","December")&amp;" "&amp;DAY(C4136)&amp;MID("thstndrdth",MIN(9,2*RIGHT(DAY(C4136))*(MOD(DAY(C4136)-11,100)&gt;2)+1),2)&amp;","&amp;TEXT(C4136," yyyy"))</f>
        <v>September 1st,2026</v>
      </c>
      <c r="AB4136" s="15" t="str">
        <f aca="true">IF(S4136="","",DATEDIF(S4136,TODAY(),"Y")&amp;" Tahun, "&amp;DATEDIF(S4136,TODAY(),"YM")&amp;" Bulan, "&amp;DATEDIF(S4136,TODAY(),"MD")&amp;" Hari")</f>
        <v>20 Tahun, 0 Bulan, 11 Hari</v>
      </c>
      <c r="AC4136" s="14" t="n">
        <v>46266</v>
      </c>
      <c r="AD4136" s="18" t="n">
        <f aca="false">EDATE(AC4136,3)-1</f>
        <v>46356</v>
      </c>
      <c r="AE4136" s="13" t="s">
        <v>397</v>
      </c>
    </row>
    <row r="4137" customFormat="false" ht="15" hidden="false" customHeight="true" outlineLevel="0" collapsed="false">
      <c r="A4137" s="12" t="n">
        <v>22770</v>
      </c>
      <c r="B4137" s="13" t="s">
        <v>16946</v>
      </c>
      <c r="C4137" s="14" t="n">
        <v>46252</v>
      </c>
      <c r="D4137" s="13" t="s">
        <v>4252</v>
      </c>
      <c r="E4137" s="13" t="s">
        <v>14439</v>
      </c>
      <c r="F4137" s="24" t="s">
        <v>16947</v>
      </c>
      <c r="G4137" s="13" t="s">
        <v>1452</v>
      </c>
      <c r="H4137" s="13" t="s">
        <v>3024</v>
      </c>
      <c r="I4137" s="13" t="str">
        <f aca="false">IF(C4137=J4137,"NEW KONTRAK","RE-KONTRAK")</f>
        <v>NEW KONTRAK</v>
      </c>
      <c r="J4137" s="16" t="n">
        <f aca="false" t="array" ref="J4137:J4137">IFERROR(INDEX(AC4137:AE4137,IF(COUNTA(AC4137:AE4137)=0,"",MAX((AC4137:AE4137&lt;&gt;"")*(COLUMN(AC4137:AE4137)-(COLUMN(AC4137)))))-1),"")</f>
        <v>46252</v>
      </c>
      <c r="K4137" s="16" t="n">
        <f aca="false" t="array" ref="K4137:K4137">IFERROR(INDEX(AC4137:AE4137,IF(COUNTA(AC4137:AE4137)=0,"",MAX((AC4137:AE4137&lt;&gt;"")*(COLUMN(AC4137:AE4137)-(COLUMN(AC4137)-1))))-1),"")</f>
        <v>46343</v>
      </c>
      <c r="L4137" s="17" t="str">
        <f aca="false" t="array" ref="L4137:L4137">IFERROR(INDEX(AC4137:AE4137,IF(COUNTA(AC4137:AE4137)=0,"",MAX((AC4137:AE4137&lt;&gt;"")*(COLUMN(AC4137:AE4137)-(COLUMN(AC4137)-2))))-1),"")</f>
        <v>ARCHIVED</v>
      </c>
      <c r="M4137" s="13" t="n">
        <f aca="true">K4137-TODAY()</f>
        <v>19</v>
      </c>
      <c r="N4137" s="18" t="s">
        <v>36</v>
      </c>
      <c r="O4137" s="13" t="s">
        <v>4280</v>
      </c>
      <c r="P4137" s="26" t="n">
        <v>120000</v>
      </c>
      <c r="Q4137" s="20" t="s">
        <v>16948</v>
      </c>
      <c r="R4137" s="13" t="s">
        <v>52</v>
      </c>
      <c r="S4137" s="25" t="n">
        <v>37425</v>
      </c>
      <c r="T4137" s="13" t="s">
        <v>40</v>
      </c>
      <c r="U4137" s="13" t="s">
        <v>16949</v>
      </c>
      <c r="V4137" s="13" t="s">
        <v>42</v>
      </c>
      <c r="W4137" s="13" t="s">
        <v>43</v>
      </c>
      <c r="X4137" s="21" t="n">
        <v>881026431220</v>
      </c>
      <c r="Y4137" s="22" t="str">
        <f aca="false">O4137</f>
        <v>Helper Cutting</v>
      </c>
      <c r="Z4137" s="13" t="str">
        <f aca="false">IFERROR(__xludf.dummyfunction("if(BJ4137="""","""",GOOGLETRANSLATE(BJ4137,""auto"",""en""))"),"Helper Cutting")</f>
        <v>Helper Cutting</v>
      </c>
      <c r="AA4137" s="23" t="str">
        <f aca="false">IF(C4137="","", CHOOSE(MONTH(C4137),"January","February","March","April","May","June","July","August","September","October","November","December")&amp;" "&amp;DAY(C4137)&amp;MID("thstndrdth",MIN(9,2*RIGHT(DAY(C4137))*(MOD(DAY(C4137)-11,100)&gt;2)+1),2)&amp;","&amp;TEXT(C4137," yyyy"))</f>
        <v>August 18th,2026</v>
      </c>
      <c r="AB4137" s="15" t="str">
        <f aca="true">IF(S4137="","",DATEDIF(S4137,TODAY(),"Y")&amp;" Tahun, "&amp;DATEDIF(S4137,TODAY(),"YM")&amp;" Bulan, "&amp;DATEDIF(S4137,TODAY(),"MD")&amp;" Hari")</f>
        <v>24 Tahun, 4 Bulan, 11 Hari</v>
      </c>
      <c r="AC4137" s="14" t="n">
        <v>46252</v>
      </c>
      <c r="AD4137" s="18" t="n">
        <f aca="false">EDATE(AC4137,3)-1</f>
        <v>46343</v>
      </c>
      <c r="AE4137" s="13" t="s">
        <v>44</v>
      </c>
    </row>
    <row r="4138" customFormat="false" ht="15" hidden="false" customHeight="true" outlineLevel="0" collapsed="false">
      <c r="A4138" s="12" t="n">
        <v>22771</v>
      </c>
      <c r="B4138" s="13" t="s">
        <v>16950</v>
      </c>
      <c r="C4138" s="14" t="n">
        <v>46266</v>
      </c>
      <c r="D4138" s="13" t="s">
        <v>3573</v>
      </c>
      <c r="E4138" s="15" t="s">
        <v>789</v>
      </c>
      <c r="F4138" s="24" t="s">
        <v>16951</v>
      </c>
      <c r="G4138" s="13" t="s">
        <v>1452</v>
      </c>
      <c r="H4138" s="13" t="s">
        <v>35</v>
      </c>
      <c r="I4138" s="13" t="str">
        <f aca="false">IF(C4138=J4138,"NEW KONTRAK","RE-KONTRAK")</f>
        <v>NEW KONTRAK</v>
      </c>
      <c r="J4138" s="16" t="n">
        <f aca="false" t="array" ref="J4138:J4138">IFERROR(INDEX(AC4138:AE4138,IF(COUNTA(AC4138:AE4138)=0,"",MAX((AC4138:AE4138&lt;&gt;"")*(COLUMN(AC4138:AE4138)-(COLUMN(AC4138)))))-1),"")</f>
        <v>46266</v>
      </c>
      <c r="K4138" s="16" t="n">
        <f aca="false" t="array" ref="K4138:K4138">IFERROR(INDEX(AC4138:AE4138,IF(COUNTA(AC4138:AE4138)=0,"",MAX((AC4138:AE4138&lt;&gt;"")*(COLUMN(AC4138:AE4138)-(COLUMN(AC4138)-1))))-1),"")</f>
        <v>46356</v>
      </c>
      <c r="L4138" s="17" t="str">
        <f aca="false" t="array" ref="L4138:L4138">IFERROR(INDEX(AC4138:AE4138,IF(COUNTA(AC4138:AE4138)=0,"",MAX((AC4138:AE4138&lt;&gt;"")*(COLUMN(AC4138:AE4138)-(COLUMN(AC4138)-2))))-1),"")</f>
        <v>KEMBALI</v>
      </c>
      <c r="M4138" s="13" t="n">
        <f aca="true">K4138-TODAY()</f>
        <v>32</v>
      </c>
      <c r="N4138" s="18" t="s">
        <v>3576</v>
      </c>
      <c r="O4138" s="13" t="s">
        <v>16952</v>
      </c>
      <c r="P4138" s="26" t="n">
        <v>2500000</v>
      </c>
      <c r="Q4138" s="20" t="s">
        <v>16953</v>
      </c>
      <c r="R4138" s="13" t="s">
        <v>168</v>
      </c>
      <c r="S4138" s="25" t="n">
        <v>32932</v>
      </c>
      <c r="T4138" s="13" t="s">
        <v>108</v>
      </c>
      <c r="U4138" s="13" t="s">
        <v>16954</v>
      </c>
      <c r="V4138" s="13" t="s">
        <v>42</v>
      </c>
      <c r="W4138" s="13" t="s">
        <v>54</v>
      </c>
      <c r="X4138" s="21" t="n">
        <v>82331550122</v>
      </c>
      <c r="Y4138" s="22" t="str">
        <f aca="false">O4138</f>
        <v>Trainer</v>
      </c>
      <c r="Z4138" s="13" t="str">
        <f aca="false">IFERROR(__xludf.dummyfunction("if(BJ4138="""","""",GOOGLETRANSLATE(BJ4138,""auto"",""en""))"),"Trainer")</f>
        <v>Trainer</v>
      </c>
      <c r="AA4138" s="23" t="str">
        <f aca="false">IF(C4138="","", CHOOSE(MONTH(C4138),"January","February","March","April","May","June","July","August","September","October","November","December")&amp;" "&amp;DAY(C4138)&amp;MID("thstndrdth",MIN(9,2*RIGHT(DAY(C4138))*(MOD(DAY(C4138)-11,100)&gt;2)+1),2)&amp;","&amp;TEXT(C4138," yyyy"))</f>
        <v>September 1st,2026</v>
      </c>
      <c r="AB4138" s="15" t="str">
        <f aca="true">IF(S4138="","",DATEDIF(S4138,TODAY(),"Y")&amp;" Tahun, "&amp;DATEDIF(S4138,TODAY(),"YM")&amp;" Bulan, "&amp;DATEDIF(S4138,TODAY(),"MD")&amp;" Hari")</f>
        <v>36 Tahun, 8 Bulan, 1 Hari</v>
      </c>
      <c r="AC4138" s="14" t="n">
        <v>46266</v>
      </c>
      <c r="AD4138" s="18" t="n">
        <f aca="false">EDATE(AC4138,3)-1</f>
        <v>46356</v>
      </c>
      <c r="AE4138" s="13" t="s">
        <v>397</v>
      </c>
    </row>
    <row r="4139" customFormat="false" ht="15" hidden="false" customHeight="true" outlineLevel="0" collapsed="false">
      <c r="A4139" s="12" t="n">
        <v>22772</v>
      </c>
      <c r="B4139" s="13" t="s">
        <v>16955</v>
      </c>
      <c r="C4139" s="14" t="n">
        <v>46266</v>
      </c>
      <c r="D4139" s="13" t="s">
        <v>3573</v>
      </c>
      <c r="E4139" s="13" t="s">
        <v>47</v>
      </c>
      <c r="F4139" s="24" t="s">
        <v>16956</v>
      </c>
      <c r="G4139" s="13" t="s">
        <v>1452</v>
      </c>
      <c r="H4139" s="13" t="s">
        <v>35</v>
      </c>
      <c r="I4139" s="13" t="str">
        <f aca="false">IF(C4139=J4139,"NEW KONTRAK","RE-KONTRAK")</f>
        <v>NEW KONTRAK</v>
      </c>
      <c r="J4139" s="16" t="n">
        <f aca="false" t="array" ref="J4139:J4139">IFERROR(INDEX(AC4139:AE4139,IF(COUNTA(AC4139:AE4139)=0,"",MAX((AC4139:AE4139&lt;&gt;"")*(COLUMN(AC4139:AE4139)-(COLUMN(AC4139)))))-1),"")</f>
        <v>46266</v>
      </c>
      <c r="K4139" s="16" t="n">
        <f aca="false" t="array" ref="K4139:K4139">IFERROR(INDEX(AC4139:AE4139,IF(COUNTA(AC4139:AE4139)=0,"",MAX((AC4139:AE4139&lt;&gt;"")*(COLUMN(AC4139:AE4139)-(COLUMN(AC4139)-1))))-1),"")</f>
        <v>46356</v>
      </c>
      <c r="L4139" s="17" t="str">
        <f aca="false" t="array" ref="L4139:L4139">IFERROR(INDEX(AC4139:AE4139,IF(COUNTA(AC4139:AE4139)=0,"",MAX((AC4139:AE4139&lt;&gt;"")*(COLUMN(AC4139:AE4139)-(COLUMN(AC4139)-2))))-1),"")</f>
        <v>KEMBALI</v>
      </c>
      <c r="M4139" s="13" t="n">
        <f aca="true">K4139-TODAY()</f>
        <v>32</v>
      </c>
      <c r="N4139" s="18" t="s">
        <v>3576</v>
      </c>
      <c r="O4139" s="13" t="s">
        <v>16449</v>
      </c>
      <c r="P4139" s="26" t="n">
        <v>2500000</v>
      </c>
      <c r="Q4139" s="20" t="s">
        <v>16957</v>
      </c>
      <c r="R4139" s="13" t="s">
        <v>60</v>
      </c>
      <c r="S4139" s="25" t="n">
        <v>35732</v>
      </c>
      <c r="T4139" s="13" t="s">
        <v>108</v>
      </c>
      <c r="U4139" s="13" t="s">
        <v>16958</v>
      </c>
      <c r="V4139" s="13" t="s">
        <v>42</v>
      </c>
      <c r="W4139" s="13" t="s">
        <v>54</v>
      </c>
      <c r="X4139" s="21" t="n">
        <v>81336823165</v>
      </c>
      <c r="Y4139" s="22" t="str">
        <f aca="false">O4139</f>
        <v>Product Colour Consultan</v>
      </c>
      <c r="Z4139" s="13" t="str">
        <f aca="false">IFERROR(__xludf.dummyfunction("if(BJ4139="""","""",GOOGLETRANSLATE(BJ4139,""auto"",""en""))"),"Product Colour Consultan")</f>
        <v>Product Colour Consultan</v>
      </c>
      <c r="AA4139" s="23" t="str">
        <f aca="false">IF(C4139="","", CHOOSE(MONTH(C4139),"January","February","March","April","May","June","July","August","September","October","November","December")&amp;" "&amp;DAY(C4139)&amp;MID("thstndrdth",MIN(9,2*RIGHT(DAY(C4139))*(MOD(DAY(C4139)-11,100)&gt;2)+1),2)&amp;","&amp;TEXT(C4139," yyyy"))</f>
        <v>September 1st,2026</v>
      </c>
      <c r="AB4139" s="15" t="str">
        <f aca="true">IF(S4139="","",DATEDIF(S4139,TODAY(),"Y")&amp;" Tahun, "&amp;DATEDIF(S4139,TODAY(),"YM")&amp;" Bulan, "&amp;DATEDIF(S4139,TODAY(),"MD")&amp;" Hari")</f>
        <v>29 Tahun, 0 Bulan, 0 Hari</v>
      </c>
      <c r="AC4139" s="14" t="n">
        <v>46266</v>
      </c>
      <c r="AD4139" s="18" t="n">
        <f aca="false">EDATE(AC4139,3)-1</f>
        <v>46356</v>
      </c>
      <c r="AE4139" s="13" t="s">
        <v>397</v>
      </c>
    </row>
    <row r="4140" customFormat="false" ht="15" hidden="false" customHeight="true" outlineLevel="0" collapsed="false">
      <c r="A4140" s="12" t="n">
        <v>22773</v>
      </c>
      <c r="B4140" s="13" t="s">
        <v>16959</v>
      </c>
      <c r="C4140" s="14" t="n">
        <v>46266</v>
      </c>
      <c r="D4140" s="13" t="s">
        <v>3573</v>
      </c>
      <c r="E4140" s="15" t="s">
        <v>789</v>
      </c>
      <c r="F4140" s="24" t="s">
        <v>16960</v>
      </c>
      <c r="G4140" s="13" t="s">
        <v>1452</v>
      </c>
      <c r="H4140" s="13" t="s">
        <v>35</v>
      </c>
      <c r="I4140" s="13" t="str">
        <f aca="false">IF(C4140=J4140,"NEW KONTRAK","RE-KONTRAK")</f>
        <v>NEW KONTRAK</v>
      </c>
      <c r="J4140" s="16" t="n">
        <f aca="false" t="array" ref="J4140:J4140">IFERROR(INDEX(AC4140:AE4140,IF(COUNTA(AC4140:AE4140)=0,"",MAX((AC4140:AE4140&lt;&gt;"")*(COLUMN(AC4140:AE4140)-(COLUMN(AC4140)))))-1),"")</f>
        <v>46266</v>
      </c>
      <c r="K4140" s="16" t="n">
        <f aca="false" t="array" ref="K4140:K4140">IFERROR(INDEX(AC4140:AE4140,IF(COUNTA(AC4140:AE4140)=0,"",MAX((AC4140:AE4140&lt;&gt;"")*(COLUMN(AC4140:AE4140)-(COLUMN(AC4140)-1))))-1),"")</f>
        <v>46356</v>
      </c>
      <c r="L4140" s="17" t="str">
        <f aca="false" t="array" ref="L4140:L4140">IFERROR(INDEX(AC4140:AE4140,IF(COUNTA(AC4140:AE4140)=0,"",MAX((AC4140:AE4140&lt;&gt;"")*(COLUMN(AC4140:AE4140)-(COLUMN(AC4140)-2))))-1),"")</f>
        <v>KEMBALI</v>
      </c>
      <c r="M4140" s="13" t="n">
        <f aca="true">K4140-TODAY()</f>
        <v>32</v>
      </c>
      <c r="N4140" s="18" t="s">
        <v>3576</v>
      </c>
      <c r="O4140" s="13" t="s">
        <v>16449</v>
      </c>
      <c r="P4140" s="26" t="n">
        <v>2500000</v>
      </c>
      <c r="Q4140" s="20" t="s">
        <v>16961</v>
      </c>
      <c r="R4140" s="13" t="s">
        <v>274</v>
      </c>
      <c r="S4140" s="25" t="n">
        <v>34880</v>
      </c>
      <c r="T4140" s="13" t="s">
        <v>108</v>
      </c>
      <c r="U4140" s="13" t="s">
        <v>16962</v>
      </c>
      <c r="V4140" s="13" t="s">
        <v>42</v>
      </c>
      <c r="W4140" s="13" t="s">
        <v>54</v>
      </c>
      <c r="X4140" s="21" t="n">
        <v>8155067511</v>
      </c>
      <c r="Y4140" s="22" t="str">
        <f aca="false">O4140</f>
        <v>Product Colour Consultan</v>
      </c>
      <c r="Z4140" s="13" t="str">
        <f aca="false">IFERROR(__xludf.dummyfunction("if(BJ4140="""","""",GOOGLETRANSLATE(BJ4140,""auto"",""en""))"),"Product Colour Consultan")</f>
        <v>Product Colour Consultan</v>
      </c>
      <c r="AA4140" s="23" t="str">
        <f aca="false">IF(C4140="","", CHOOSE(MONTH(C4140),"January","February","March","April","May","June","July","August","September","October","November","December")&amp;" "&amp;DAY(C4140)&amp;MID("thstndrdth",MIN(9,2*RIGHT(DAY(C4140))*(MOD(DAY(C4140)-11,100)&gt;2)+1),2)&amp;","&amp;TEXT(C4140," yyyy"))</f>
        <v>September 1st,2026</v>
      </c>
      <c r="AB4140" s="15" t="str">
        <f aca="true">IF(S4140="","",DATEDIF(S4140,TODAY(),"Y")&amp;" Tahun, "&amp;DATEDIF(S4140,TODAY(),"YM")&amp;" Bulan, "&amp;DATEDIF(S4140,TODAY(),"MD")&amp;" Hari")</f>
        <v>31 Tahun, 3 Bulan, 29 Hari</v>
      </c>
      <c r="AC4140" s="14" t="n">
        <v>46266</v>
      </c>
      <c r="AD4140" s="18" t="n">
        <f aca="false">EDATE(AC4140,3)-1</f>
        <v>46356</v>
      </c>
      <c r="AE4140" s="13" t="s">
        <v>397</v>
      </c>
    </row>
    <row r="4141" customFormat="false" ht="15" hidden="false" customHeight="true" outlineLevel="0" collapsed="false">
      <c r="A4141" s="12" t="n">
        <v>22774</v>
      </c>
      <c r="B4141" s="13" t="s">
        <v>16963</v>
      </c>
      <c r="C4141" s="14" t="n">
        <v>46266</v>
      </c>
      <c r="D4141" s="13" t="s">
        <v>3573</v>
      </c>
      <c r="E4141" s="15" t="s">
        <v>789</v>
      </c>
      <c r="F4141" s="24" t="s">
        <v>16964</v>
      </c>
      <c r="G4141" s="13" t="s">
        <v>1452</v>
      </c>
      <c r="H4141" s="13" t="s">
        <v>35</v>
      </c>
      <c r="I4141" s="13" t="str">
        <f aca="false">IF(C4141=J4141,"NEW KONTRAK","RE-KONTRAK")</f>
        <v>NEW KONTRAK</v>
      </c>
      <c r="J4141" s="16" t="n">
        <f aca="false" t="array" ref="J4141:J4141">IFERROR(INDEX(AC4141:AE4141,IF(COUNTA(AC4141:AE4141)=0,"",MAX((AC4141:AE4141&lt;&gt;"")*(COLUMN(AC4141:AE4141)-(COLUMN(AC4141)))))-1),"")</f>
        <v>46266</v>
      </c>
      <c r="K4141" s="16" t="n">
        <f aca="false" t="array" ref="K4141:K4141">IFERROR(INDEX(AC4141:AE4141,IF(COUNTA(AC4141:AE4141)=0,"",MAX((AC4141:AE4141&lt;&gt;"")*(COLUMN(AC4141:AE4141)-(COLUMN(AC4141)-1))))-1),"")</f>
        <v>46356</v>
      </c>
      <c r="L4141" s="17" t="str">
        <f aca="false" t="array" ref="L4141:L4141">IFERROR(INDEX(AC4141:AE4141,IF(COUNTA(AC4141:AE4141)=0,"",MAX((AC4141:AE4141&lt;&gt;"")*(COLUMN(AC4141:AE4141)-(COLUMN(AC4141)-2))))-1),"")</f>
        <v>KEMBALI</v>
      </c>
      <c r="M4141" s="13" t="n">
        <f aca="true">K4141-TODAY()</f>
        <v>32</v>
      </c>
      <c r="N4141" s="18" t="s">
        <v>3576</v>
      </c>
      <c r="O4141" s="13" t="s">
        <v>16449</v>
      </c>
      <c r="P4141" s="26" t="n">
        <v>2500000</v>
      </c>
      <c r="Q4141" s="20" t="s">
        <v>16965</v>
      </c>
      <c r="R4141" s="13" t="s">
        <v>274</v>
      </c>
      <c r="S4141" s="25" t="n">
        <v>34458</v>
      </c>
      <c r="T4141" s="13" t="s">
        <v>108</v>
      </c>
      <c r="U4141" s="13" t="s">
        <v>16966</v>
      </c>
      <c r="V4141" s="13" t="s">
        <v>42</v>
      </c>
      <c r="W4141" s="13" t="s">
        <v>54</v>
      </c>
      <c r="X4141" s="21" t="n">
        <v>81231888173</v>
      </c>
      <c r="Y4141" s="22" t="str">
        <f aca="false">O4141</f>
        <v>Product Colour Consultan</v>
      </c>
      <c r="Z4141" s="13" t="str">
        <f aca="false">IFERROR(__xludf.dummyfunction("if(BJ4141="""","""",GOOGLETRANSLATE(BJ4141,""auto"",""en""))"),"Product Colour Consultan")</f>
        <v>Product Colour Consultan</v>
      </c>
      <c r="AA4141" s="23" t="str">
        <f aca="false">IF(C4141="","", CHOOSE(MONTH(C4141),"January","February","March","April","May","June","July","August","September","October","November","December")&amp;" "&amp;DAY(C4141)&amp;MID("thstndrdth",MIN(9,2*RIGHT(DAY(C4141))*(MOD(DAY(C4141)-11,100)&gt;2)+1),2)&amp;","&amp;TEXT(C4141," yyyy"))</f>
        <v>September 1st,2026</v>
      </c>
      <c r="AB4141" s="15" t="str">
        <f aca="true">IF(S4141="","",DATEDIF(S4141,TODAY(),"Y")&amp;" Tahun, "&amp;DATEDIF(S4141,TODAY(),"YM")&amp;" Bulan, "&amp;DATEDIF(S4141,TODAY(),"MD")&amp;" Hari")</f>
        <v>32 Tahun, 5 Bulan, 25 Hari</v>
      </c>
      <c r="AC4141" s="14" t="n">
        <v>46266</v>
      </c>
      <c r="AD4141" s="18" t="n">
        <f aca="false">EDATE(AC4141,3)-1</f>
        <v>46356</v>
      </c>
      <c r="AE4141" s="13" t="s">
        <v>397</v>
      </c>
    </row>
    <row r="4142" customFormat="false" ht="15" hidden="false" customHeight="true" outlineLevel="0" collapsed="false">
      <c r="A4142" s="12" t="n">
        <v>22775</v>
      </c>
      <c r="B4142" s="13" t="s">
        <v>16967</v>
      </c>
      <c r="C4142" s="14" t="n">
        <v>46266</v>
      </c>
      <c r="D4142" s="13" t="s">
        <v>9789</v>
      </c>
      <c r="E4142" s="13" t="s">
        <v>47</v>
      </c>
      <c r="F4142" s="24" t="s">
        <v>16968</v>
      </c>
      <c r="G4142" s="13" t="s">
        <v>1452</v>
      </c>
      <c r="H4142" s="13" t="s">
        <v>35</v>
      </c>
      <c r="I4142" s="13" t="str">
        <f aca="false">IF(C4142=J4142,"NEW KONTRAK","RE-KONTRAK")</f>
        <v>NEW KONTRAK</v>
      </c>
      <c r="J4142" s="16" t="n">
        <f aca="false" t="array" ref="J4142:J4142">IFERROR(INDEX(AC4142:AE4142,IF(COUNTA(AC4142:AE4142)=0,"",MAX((AC4142:AE4142&lt;&gt;"")*(COLUMN(AC4142:AE4142)-(COLUMN(AC4142)))))-1),"")</f>
        <v>46266</v>
      </c>
      <c r="K4142" s="16" t="n">
        <f aca="false" t="array" ref="K4142:K4142">IFERROR(INDEX(AC4142:AE4142,IF(COUNTA(AC4142:AE4142)=0,"",MAX((AC4142:AE4142&lt;&gt;"")*(COLUMN(AC4142:AE4142)-(COLUMN(AC4142)-1))))-1),"")</f>
        <v>46356</v>
      </c>
      <c r="L4142" s="17" t="str">
        <f aca="false" t="array" ref="L4142:L4142">IFERROR(INDEX(AC4142:AE4142,IF(COUNTA(AC4142:AE4142)=0,"",MAX((AC4142:AE4142&lt;&gt;"")*(COLUMN(AC4142:AE4142)-(COLUMN(AC4142)-2))))-1),"")</f>
        <v>ARCHIVED</v>
      </c>
      <c r="M4142" s="13" t="n">
        <f aca="true">K4142-TODAY()</f>
        <v>32</v>
      </c>
      <c r="N4142" s="28" t="s">
        <v>383</v>
      </c>
      <c r="O4142" s="13" t="s">
        <v>1287</v>
      </c>
      <c r="P4142" s="26" t="n">
        <v>3196328</v>
      </c>
      <c r="Q4142" s="20" t="s">
        <v>16969</v>
      </c>
      <c r="R4142" s="13" t="s">
        <v>78</v>
      </c>
      <c r="S4142" s="25" t="n">
        <v>36134</v>
      </c>
      <c r="T4142" s="13" t="s">
        <v>40</v>
      </c>
      <c r="U4142" s="13" t="s">
        <v>16970</v>
      </c>
      <c r="V4142" s="13" t="s">
        <v>42</v>
      </c>
      <c r="W4142" s="13" t="s">
        <v>54</v>
      </c>
      <c r="X4142" s="21" t="n">
        <v>85741230508</v>
      </c>
      <c r="Y4142" s="22" t="str">
        <f aca="false">O4142</f>
        <v>Office Boy</v>
      </c>
      <c r="Z4142" s="13" t="str">
        <f aca="false">IFERROR(__xludf.dummyfunction("if(BJ4142="""","""",GOOGLETRANSLATE(BJ4142,""auto"",""en""))"),"Office Boy")</f>
        <v>Office Boy</v>
      </c>
      <c r="AA4142" s="23" t="str">
        <f aca="false">IF(C4142="","", CHOOSE(MONTH(C4142),"January","February","March","April","May","June","July","August","September","October","November","December")&amp;" "&amp;DAY(C4142)&amp;MID("thstndrdth",MIN(9,2*RIGHT(DAY(C4142))*(MOD(DAY(C4142)-11,100)&gt;2)+1),2)&amp;","&amp;TEXT(C4142," yyyy"))</f>
        <v>September 1st,2026</v>
      </c>
      <c r="AB4142" s="15" t="str">
        <f aca="true">IF(S4142="","",DATEDIF(S4142,TODAY(),"Y")&amp;" Tahun, "&amp;DATEDIF(S4142,TODAY(),"YM")&amp;" Bulan, "&amp;DATEDIF(S4142,TODAY(),"MD")&amp;" Hari")</f>
        <v>27 Tahun, 10 Bulan, 24 Hari</v>
      </c>
      <c r="AC4142" s="14" t="n">
        <v>46266</v>
      </c>
      <c r="AD4142" s="18" t="n">
        <f aca="false">EDATE(AC4142,3)-1</f>
        <v>46356</v>
      </c>
      <c r="AE4142" s="18" t="s">
        <v>44</v>
      </c>
    </row>
    <row r="4143" customFormat="false" ht="15" hidden="false" customHeight="true" outlineLevel="0" collapsed="false">
      <c r="A4143" s="12" t="n">
        <v>22776</v>
      </c>
      <c r="B4143" s="13" t="s">
        <v>16971</v>
      </c>
      <c r="C4143" s="14" t="n">
        <v>46266</v>
      </c>
      <c r="D4143" s="13" t="s">
        <v>144</v>
      </c>
      <c r="E4143" s="13" t="s">
        <v>47</v>
      </c>
      <c r="F4143" s="24" t="s">
        <v>16972</v>
      </c>
      <c r="G4143" s="13" t="s">
        <v>1452</v>
      </c>
      <c r="H4143" s="13" t="s">
        <v>35</v>
      </c>
      <c r="I4143" s="13" t="str">
        <f aca="false">IF(C4143=J4143,"NEW KONTRAK","RE-KONTRAK")</f>
        <v>NEW KONTRAK</v>
      </c>
      <c r="J4143" s="16" t="n">
        <f aca="false" t="array" ref="J4143:J4143">IFERROR(INDEX(AC4143:AE4143,IF(COUNTA(AC4143:AE4143)=0,"",MAX((AC4143:AE4143&lt;&gt;"")*(COLUMN(AC4143:AE4143)-(COLUMN(AC4143)))))-1),"")</f>
        <v>46266</v>
      </c>
      <c r="K4143" s="16" t="n">
        <f aca="false" t="array" ref="K4143:K4143">IFERROR(INDEX(AC4143:AE4143,IF(COUNTA(AC4143:AE4143)=0,"",MAX((AC4143:AE4143&lt;&gt;"")*(COLUMN(AC4143:AE4143)-(COLUMN(AC4143)-1))))-1),"")</f>
        <v>46356</v>
      </c>
      <c r="L4143" s="17" t="str">
        <f aca="false" t="array" ref="L4143:L4143">IFERROR(INDEX(AC4143:AE4143,IF(COUNTA(AC4143:AE4143)=0,"",MAX((AC4143:AE4143&lt;&gt;"")*(COLUMN(AC4143:AE4143)-(COLUMN(AC4143)-2))))-1),"")</f>
        <v>KEMBALI</v>
      </c>
      <c r="M4143" s="13" t="n">
        <f aca="true">K4143-TODAY()</f>
        <v>32</v>
      </c>
      <c r="N4143" s="18" t="s">
        <v>36</v>
      </c>
      <c r="O4143" s="13" t="s">
        <v>16973</v>
      </c>
      <c r="P4143" s="26" t="n">
        <v>5195401</v>
      </c>
      <c r="Q4143" s="20" t="s">
        <v>16974</v>
      </c>
      <c r="R4143" s="13" t="s">
        <v>65</v>
      </c>
      <c r="S4143" s="25" t="n">
        <v>36103</v>
      </c>
      <c r="T4143" s="13" t="s">
        <v>40</v>
      </c>
      <c r="U4143" s="13" t="s">
        <v>16975</v>
      </c>
      <c r="V4143" s="13" t="s">
        <v>42</v>
      </c>
      <c r="W4143" s="13" t="s">
        <v>54</v>
      </c>
      <c r="X4143" s="21" t="n">
        <v>85649486154</v>
      </c>
      <c r="Y4143" s="22" t="str">
        <f aca="false">O4143</f>
        <v>SPB</v>
      </c>
      <c r="Z4143" s="13" t="str">
        <f aca="false">IFERROR(__xludf.dummyfunction("if(BJ4143="""","""",GOOGLETRANSLATE(BJ4143,""auto"",""en""))"),"SPB")</f>
        <v>SPB</v>
      </c>
      <c r="AA4143" s="23" t="str">
        <f aca="false">IF(C4143="","", CHOOSE(MONTH(C4143),"January","February","March","April","May","June","July","August","September","October","November","December")&amp;" "&amp;DAY(C4143)&amp;MID("thstndrdth",MIN(9,2*RIGHT(DAY(C4143))*(MOD(DAY(C4143)-11,100)&gt;2)+1),2)&amp;","&amp;TEXT(C4143," yyyy"))</f>
        <v>September 1st,2026</v>
      </c>
      <c r="AB4143" s="15" t="str">
        <f aca="true">IF(S4143="","",DATEDIF(S4143,TODAY(),"Y")&amp;" Tahun, "&amp;DATEDIF(S4143,TODAY(),"YM")&amp;" Bulan, "&amp;DATEDIF(S4143,TODAY(),"MD")&amp;" Hari")</f>
        <v>27 Tahun, 11 Bulan, 25 Hari</v>
      </c>
      <c r="AC4143" s="14" t="n">
        <v>46266</v>
      </c>
      <c r="AD4143" s="18" t="n">
        <f aca="false">EDATE(AC4143,3)-1</f>
        <v>46356</v>
      </c>
      <c r="AE4143" s="13" t="s">
        <v>397</v>
      </c>
    </row>
    <row r="4144" customFormat="false" ht="15" hidden="false" customHeight="true" outlineLevel="0" collapsed="false">
      <c r="A4144" s="12" t="n">
        <v>22777</v>
      </c>
      <c r="B4144" s="13" t="s">
        <v>16976</v>
      </c>
      <c r="C4144" s="14" t="n">
        <v>46266</v>
      </c>
      <c r="D4144" s="13" t="s">
        <v>144</v>
      </c>
      <c r="E4144" s="13" t="s">
        <v>47</v>
      </c>
      <c r="F4144" s="24" t="s">
        <v>16977</v>
      </c>
      <c r="G4144" s="13" t="s">
        <v>1452</v>
      </c>
      <c r="H4144" s="13" t="s">
        <v>35</v>
      </c>
      <c r="I4144" s="13" t="str">
        <f aca="false">IF(C4144=J4144,"NEW KONTRAK","RE-KONTRAK")</f>
        <v>NEW KONTRAK</v>
      </c>
      <c r="J4144" s="16" t="n">
        <f aca="false" t="array" ref="J4144:J4144">IFERROR(INDEX(AC4144:AE4144,IF(COUNTA(AC4144:AE4144)=0,"",MAX((AC4144:AE4144&lt;&gt;"")*(COLUMN(AC4144:AE4144)-(COLUMN(AC4144)))))-1),"")</f>
        <v>46266</v>
      </c>
      <c r="K4144" s="16" t="n">
        <f aca="false" t="array" ref="K4144:K4144">IFERROR(INDEX(AC4144:AE4144,IF(COUNTA(AC4144:AE4144)=0,"",MAX((AC4144:AE4144&lt;&gt;"")*(COLUMN(AC4144:AE4144)-(COLUMN(AC4144)-1))))-1),"")</f>
        <v>46356</v>
      </c>
      <c r="L4144" s="17" t="str">
        <f aca="false" t="array" ref="L4144:L4144">IFERROR(INDEX(AC4144:AE4144,IF(COUNTA(AC4144:AE4144)=0,"",MAX((AC4144:AE4144&lt;&gt;"")*(COLUMN(AC4144:AE4144)-(COLUMN(AC4144)-2))))-1),"")</f>
        <v>KEMBALI</v>
      </c>
      <c r="M4144" s="13" t="n">
        <f aca="true">K4144-TODAY()</f>
        <v>32</v>
      </c>
      <c r="N4144" s="18" t="s">
        <v>36</v>
      </c>
      <c r="O4144" s="13" t="s">
        <v>16973</v>
      </c>
      <c r="P4144" s="26" t="n">
        <v>5195401</v>
      </c>
      <c r="Q4144" s="20" t="s">
        <v>16978</v>
      </c>
      <c r="R4144" s="13" t="s">
        <v>52</v>
      </c>
      <c r="S4144" s="25" t="n">
        <v>32746</v>
      </c>
      <c r="T4144" s="13" t="s">
        <v>40</v>
      </c>
      <c r="U4144" s="13" t="s">
        <v>16979</v>
      </c>
      <c r="V4144" s="13" t="s">
        <v>42</v>
      </c>
      <c r="W4144" s="13" t="s">
        <v>43</v>
      </c>
      <c r="X4144" s="21" t="n">
        <v>85608589996</v>
      </c>
      <c r="Y4144" s="22" t="str">
        <f aca="false">O4144</f>
        <v>SPB</v>
      </c>
      <c r="Z4144" s="13" t="str">
        <f aca="false">IFERROR(__xludf.dummyfunction("if(BJ4144="""","""",GOOGLETRANSLATE(BJ4144,""auto"",""en""))"),"SPB")</f>
        <v>SPB</v>
      </c>
      <c r="AA4144" s="23" t="str">
        <f aca="false">IF(C4144="","", CHOOSE(MONTH(C4144),"January","February","March","April","May","June","July","August","September","October","November","December")&amp;" "&amp;DAY(C4144)&amp;MID("thstndrdth",MIN(9,2*RIGHT(DAY(C4144))*(MOD(DAY(C4144)-11,100)&gt;2)+1),2)&amp;","&amp;TEXT(C4144," yyyy"))</f>
        <v>September 1st,2026</v>
      </c>
      <c r="AB4144" s="15" t="str">
        <f aca="true">IF(S4144="","",DATEDIF(S4144,TODAY(),"Y")&amp;" Tahun, "&amp;DATEDIF(S4144,TODAY(),"YM")&amp;" Bulan, "&amp;DATEDIF(S4144,TODAY(),"MD")&amp;" Hari")</f>
        <v>37 Tahun, 2 Bulan, 3 Hari</v>
      </c>
      <c r="AC4144" s="14" t="n">
        <v>46266</v>
      </c>
      <c r="AD4144" s="18" t="n">
        <f aca="false">EDATE(AC4144,3)-1</f>
        <v>46356</v>
      </c>
      <c r="AE4144" s="13" t="s">
        <v>397</v>
      </c>
    </row>
    <row r="4145" customFormat="false" ht="15" hidden="false" customHeight="true" outlineLevel="0" collapsed="false">
      <c r="A4145" s="12" t="n">
        <v>22778</v>
      </c>
      <c r="B4145" s="13" t="s">
        <v>16980</v>
      </c>
      <c r="C4145" s="14" t="n">
        <v>46266</v>
      </c>
      <c r="D4145" s="13" t="s">
        <v>144</v>
      </c>
      <c r="E4145" s="13" t="s">
        <v>47</v>
      </c>
      <c r="F4145" s="24" t="s">
        <v>16981</v>
      </c>
      <c r="G4145" s="13" t="s">
        <v>1452</v>
      </c>
      <c r="H4145" s="13" t="s">
        <v>35</v>
      </c>
      <c r="I4145" s="13" t="str">
        <f aca="false">IF(C4145=J4145,"NEW KONTRAK","RE-KONTRAK")</f>
        <v>NEW KONTRAK</v>
      </c>
      <c r="J4145" s="16" t="n">
        <f aca="false" t="array" ref="J4145:J4145">IFERROR(INDEX(AC4145:AE4145,IF(COUNTA(AC4145:AE4145)=0,"",MAX((AC4145:AE4145&lt;&gt;"")*(COLUMN(AC4145:AE4145)-(COLUMN(AC4145)))))-1),"")</f>
        <v>46266</v>
      </c>
      <c r="K4145" s="16" t="n">
        <f aca="false" t="array" ref="K4145:K4145">IFERROR(INDEX(AC4145:AE4145,IF(COUNTA(AC4145:AE4145)=0,"",MAX((AC4145:AE4145&lt;&gt;"")*(COLUMN(AC4145:AE4145)-(COLUMN(AC4145)-1))))-1),"")</f>
        <v>46356</v>
      </c>
      <c r="L4145" s="17" t="str">
        <f aca="false" t="array" ref="L4145:L4145">IFERROR(INDEX(AC4145:AE4145,IF(COUNTA(AC4145:AE4145)=0,"",MAX((AC4145:AE4145&lt;&gt;"")*(COLUMN(AC4145:AE4145)-(COLUMN(AC4145)-2))))-1),"")</f>
        <v>KEMBALI</v>
      </c>
      <c r="M4145" s="13" t="n">
        <f aca="true">K4145-TODAY()</f>
        <v>32</v>
      </c>
      <c r="N4145" s="18" t="s">
        <v>36</v>
      </c>
      <c r="O4145" s="13" t="s">
        <v>16973</v>
      </c>
      <c r="P4145" s="26" t="n">
        <v>5195401</v>
      </c>
      <c r="Q4145" s="20" t="s">
        <v>16982</v>
      </c>
      <c r="R4145" s="13" t="s">
        <v>52</v>
      </c>
      <c r="S4145" s="25" t="n">
        <v>37520</v>
      </c>
      <c r="T4145" s="13" t="s">
        <v>40</v>
      </c>
      <c r="U4145" s="13" t="s">
        <v>16983</v>
      </c>
      <c r="V4145" s="13" t="s">
        <v>42</v>
      </c>
      <c r="W4145" s="13" t="s">
        <v>43</v>
      </c>
      <c r="X4145" s="21" t="n">
        <v>89531360722</v>
      </c>
      <c r="Y4145" s="22" t="str">
        <f aca="false">O4145</f>
        <v>SPB</v>
      </c>
      <c r="Z4145" s="13" t="str">
        <f aca="false">IFERROR(__xludf.dummyfunction("if(BJ4145="""","""",GOOGLETRANSLATE(BJ4145,""auto"",""en""))"),"SPB")</f>
        <v>SPB</v>
      </c>
      <c r="AA4145" s="23" t="str">
        <f aca="false">IF(C4145="","", CHOOSE(MONTH(C4145),"January","February","March","April","May","June","July","August","September","October","November","December")&amp;" "&amp;DAY(C4145)&amp;MID("thstndrdth",MIN(9,2*RIGHT(DAY(C4145))*(MOD(DAY(C4145)-11,100)&gt;2)+1),2)&amp;","&amp;TEXT(C4145," yyyy"))</f>
        <v>September 1st,2026</v>
      </c>
      <c r="AB4145" s="15" t="str">
        <f aca="true">IF(S4145="","",DATEDIF(S4145,TODAY(),"Y")&amp;" Tahun, "&amp;DATEDIF(S4145,TODAY(),"YM")&amp;" Bulan, "&amp;DATEDIF(S4145,TODAY(),"MD")&amp;" Hari")</f>
        <v>24 Tahun, 1 Bulan, 8 Hari</v>
      </c>
      <c r="AC4145" s="14" t="n">
        <v>46266</v>
      </c>
      <c r="AD4145" s="18" t="n">
        <f aca="false">EDATE(AC4145,3)-1</f>
        <v>46356</v>
      </c>
      <c r="AE4145" s="13" t="s">
        <v>397</v>
      </c>
    </row>
    <row r="4146" customFormat="false" ht="15" hidden="false" customHeight="true" outlineLevel="0" collapsed="false">
      <c r="A4146" s="12" t="n">
        <v>22779</v>
      </c>
      <c r="B4146" s="13" t="s">
        <v>16984</v>
      </c>
      <c r="C4146" s="14" t="n">
        <v>46266</v>
      </c>
      <c r="D4146" s="13" t="s">
        <v>144</v>
      </c>
      <c r="E4146" s="13" t="s">
        <v>47</v>
      </c>
      <c r="F4146" s="24" t="s">
        <v>16985</v>
      </c>
      <c r="G4146" s="13" t="s">
        <v>1452</v>
      </c>
      <c r="H4146" s="13" t="s">
        <v>35</v>
      </c>
      <c r="I4146" s="13" t="str">
        <f aca="false">IF(C4146=J4146,"NEW KONTRAK","RE-KONTRAK")</f>
        <v>NEW KONTRAK</v>
      </c>
      <c r="J4146" s="16" t="n">
        <f aca="false" t="array" ref="J4146:J4146">IFERROR(INDEX(AC4146:AE4146,IF(COUNTA(AC4146:AE4146)=0,"",MAX((AC4146:AE4146&lt;&gt;"")*(COLUMN(AC4146:AE4146)-(COLUMN(AC4146)))))-1),"")</f>
        <v>46266</v>
      </c>
      <c r="K4146" s="16" t="n">
        <f aca="false" t="array" ref="K4146:K4146">IFERROR(INDEX(AC4146:AE4146,IF(COUNTA(AC4146:AE4146)=0,"",MAX((AC4146:AE4146&lt;&gt;"")*(COLUMN(AC4146:AE4146)-(COLUMN(AC4146)-1))))-1),"")</f>
        <v>46356</v>
      </c>
      <c r="L4146" s="17" t="str">
        <f aca="false" t="array" ref="L4146:L4146">IFERROR(INDEX(AC4146:AE4146,IF(COUNTA(AC4146:AE4146)=0,"",MAX((AC4146:AE4146&lt;&gt;"")*(COLUMN(AC4146:AE4146)-(COLUMN(AC4146)-2))))-1),"")</f>
        <v>KEMBALI</v>
      </c>
      <c r="M4146" s="13" t="n">
        <f aca="true">K4146-TODAY()</f>
        <v>32</v>
      </c>
      <c r="N4146" s="18" t="s">
        <v>36</v>
      </c>
      <c r="O4146" s="13" t="s">
        <v>16973</v>
      </c>
      <c r="P4146" s="26" t="n">
        <v>5195401</v>
      </c>
      <c r="Q4146" s="20" t="s">
        <v>16986</v>
      </c>
      <c r="R4146" s="13" t="s">
        <v>52</v>
      </c>
      <c r="S4146" s="25" t="n">
        <v>33724</v>
      </c>
      <c r="T4146" s="13" t="s">
        <v>40</v>
      </c>
      <c r="U4146" s="13" t="s">
        <v>16987</v>
      </c>
      <c r="V4146" s="13" t="s">
        <v>42</v>
      </c>
      <c r="W4146" s="13" t="s">
        <v>54</v>
      </c>
      <c r="X4146" s="21" t="n">
        <v>87841257791</v>
      </c>
      <c r="Y4146" s="22" t="str">
        <f aca="false">O4146</f>
        <v>SPB</v>
      </c>
      <c r="Z4146" s="13" t="str">
        <f aca="false">IFERROR(__xludf.dummyfunction("if(BJ4146="""","""",GOOGLETRANSLATE(BJ4146,""auto"",""en""))"),"SPB")</f>
        <v>SPB</v>
      </c>
      <c r="AA4146" s="23" t="str">
        <f aca="false">IF(C4146="","", CHOOSE(MONTH(C4146),"January","February","March","April","May","June","July","August","September","October","November","December")&amp;" "&amp;DAY(C4146)&amp;MID("thstndrdth",MIN(9,2*RIGHT(DAY(C4146))*(MOD(DAY(C4146)-11,100)&gt;2)+1),2)&amp;","&amp;TEXT(C4146," yyyy"))</f>
        <v>September 1st,2026</v>
      </c>
      <c r="AB4146" s="15" t="str">
        <f aca="true">IF(S4146="","",DATEDIF(S4146,TODAY(),"Y")&amp;" Tahun, "&amp;DATEDIF(S4146,TODAY(),"YM")&amp;" Bulan, "&amp;DATEDIF(S4146,TODAY(),"MD")&amp;" Hari")</f>
        <v>34 Tahun, 5 Bulan, 29 Hari</v>
      </c>
      <c r="AC4146" s="14" t="n">
        <v>46266</v>
      </c>
      <c r="AD4146" s="18" t="n">
        <f aca="false">EDATE(AC4146,3)-1</f>
        <v>46356</v>
      </c>
      <c r="AE4146" s="13" t="s">
        <v>397</v>
      </c>
    </row>
    <row r="4147" customFormat="false" ht="15" hidden="false" customHeight="true" outlineLevel="0" collapsed="false">
      <c r="A4147" s="12" t="n">
        <v>22780</v>
      </c>
      <c r="B4147" s="13" t="s">
        <v>16988</v>
      </c>
      <c r="C4147" s="14" t="n">
        <v>46266</v>
      </c>
      <c r="D4147" s="13" t="s">
        <v>144</v>
      </c>
      <c r="E4147" s="13" t="s">
        <v>47</v>
      </c>
      <c r="F4147" s="24" t="s">
        <v>16989</v>
      </c>
      <c r="G4147" s="13" t="s">
        <v>1452</v>
      </c>
      <c r="H4147" s="13" t="s">
        <v>35</v>
      </c>
      <c r="I4147" s="13" t="str">
        <f aca="false">IF(C4147=J4147,"NEW KONTRAK","RE-KONTRAK")</f>
        <v>NEW KONTRAK</v>
      </c>
      <c r="J4147" s="16" t="n">
        <f aca="false" t="array" ref="J4147:J4147">IFERROR(INDEX(AC4147:AE4147,IF(COUNTA(AC4147:AE4147)=0,"",MAX((AC4147:AE4147&lt;&gt;"")*(COLUMN(AC4147:AE4147)-(COLUMN(AC4147)))))-1),"")</f>
        <v>46266</v>
      </c>
      <c r="K4147" s="16" t="n">
        <f aca="false" t="array" ref="K4147:K4147">IFERROR(INDEX(AC4147:AE4147,IF(COUNTA(AC4147:AE4147)=0,"",MAX((AC4147:AE4147&lt;&gt;"")*(COLUMN(AC4147:AE4147)-(COLUMN(AC4147)-1))))-1),"")</f>
        <v>46356</v>
      </c>
      <c r="L4147" s="17" t="str">
        <f aca="false" t="array" ref="L4147:L4147">IFERROR(INDEX(AC4147:AE4147,IF(COUNTA(AC4147:AE4147)=0,"",MAX((AC4147:AE4147&lt;&gt;"")*(COLUMN(AC4147:AE4147)-(COLUMN(AC4147)-2))))-1),"")</f>
        <v>KEMBALI</v>
      </c>
      <c r="M4147" s="13" t="n">
        <f aca="true">K4147-TODAY()</f>
        <v>32</v>
      </c>
      <c r="N4147" s="18" t="s">
        <v>36</v>
      </c>
      <c r="O4147" s="13" t="s">
        <v>16973</v>
      </c>
      <c r="P4147" s="26" t="n">
        <v>5195401</v>
      </c>
      <c r="Q4147" s="20" t="s">
        <v>16990</v>
      </c>
      <c r="R4147" s="13" t="s">
        <v>52</v>
      </c>
      <c r="S4147" s="25" t="n">
        <v>35310</v>
      </c>
      <c r="T4147" s="13" t="s">
        <v>40</v>
      </c>
      <c r="U4147" s="13" t="s">
        <v>16991</v>
      </c>
      <c r="V4147" s="13" t="s">
        <v>42</v>
      </c>
      <c r="W4147" s="13" t="s">
        <v>43</v>
      </c>
      <c r="X4147" s="21" t="n">
        <v>89607785302</v>
      </c>
      <c r="Y4147" s="22" t="str">
        <f aca="false">O4147</f>
        <v>SPB</v>
      </c>
      <c r="Z4147" s="13" t="str">
        <f aca="false">IFERROR(__xludf.dummyfunction("if(BJ4147="""","""",GOOGLETRANSLATE(BJ4147,""auto"",""en""))"),"SPB")</f>
        <v>SPB</v>
      </c>
      <c r="AA4147" s="23" t="str">
        <f aca="false">IF(C4147="","", CHOOSE(MONTH(C4147),"January","February","March","April","May","June","July","August","September","October","November","December")&amp;" "&amp;DAY(C4147)&amp;MID("thstndrdth",MIN(9,2*RIGHT(DAY(C4147))*(MOD(DAY(C4147)-11,100)&gt;2)+1),2)&amp;","&amp;TEXT(C4147," yyyy"))</f>
        <v>September 1st,2026</v>
      </c>
      <c r="AB4147" s="15" t="str">
        <f aca="true">IF(S4147="","",DATEDIF(S4147,TODAY(),"Y")&amp;" Tahun, "&amp;DATEDIF(S4147,TODAY(),"YM")&amp;" Bulan, "&amp;DATEDIF(S4147,TODAY(),"MD")&amp;" Hari")</f>
        <v>30 Tahun, 1 Bulan, 27 Hari</v>
      </c>
      <c r="AC4147" s="14" t="n">
        <v>46266</v>
      </c>
      <c r="AD4147" s="18" t="n">
        <f aca="false">EDATE(AC4147,3)-1</f>
        <v>46356</v>
      </c>
      <c r="AE4147" s="13" t="s">
        <v>397</v>
      </c>
    </row>
    <row r="4148" customFormat="false" ht="15" hidden="false" customHeight="true" outlineLevel="0" collapsed="false">
      <c r="A4148" s="12" t="n">
        <v>22781</v>
      </c>
      <c r="B4148" s="13" t="s">
        <v>16992</v>
      </c>
      <c r="C4148" s="14" t="n">
        <v>46266</v>
      </c>
      <c r="D4148" s="13" t="s">
        <v>144</v>
      </c>
      <c r="E4148" s="13" t="s">
        <v>47</v>
      </c>
      <c r="F4148" s="24" t="s">
        <v>16993</v>
      </c>
      <c r="G4148" s="13" t="s">
        <v>1452</v>
      </c>
      <c r="H4148" s="13" t="s">
        <v>35</v>
      </c>
      <c r="I4148" s="13" t="str">
        <f aca="false">IF(C4148=J4148,"NEW KONTRAK","RE-KONTRAK")</f>
        <v>NEW KONTRAK</v>
      </c>
      <c r="J4148" s="16" t="n">
        <f aca="false" t="array" ref="J4148:J4148">IFERROR(INDEX(AC4148:AE4148,IF(COUNTA(AC4148:AE4148)=0,"",MAX((AC4148:AE4148&lt;&gt;"")*(COLUMN(AC4148:AE4148)-(COLUMN(AC4148)))))-1),"")</f>
        <v>46266</v>
      </c>
      <c r="K4148" s="16" t="n">
        <f aca="false" t="array" ref="K4148:K4148">IFERROR(INDEX(AC4148:AE4148,IF(COUNTA(AC4148:AE4148)=0,"",MAX((AC4148:AE4148&lt;&gt;"")*(COLUMN(AC4148:AE4148)-(COLUMN(AC4148)-1))))-1),"")</f>
        <v>46356</v>
      </c>
      <c r="L4148" s="17" t="str">
        <f aca="false" t="array" ref="L4148:L4148">IFERROR(INDEX(AC4148:AE4148,IF(COUNTA(AC4148:AE4148)=0,"",MAX((AC4148:AE4148&lt;&gt;"")*(COLUMN(AC4148:AE4148)-(COLUMN(AC4148)-2))))-1),"")</f>
        <v>KEMBALI</v>
      </c>
      <c r="M4148" s="13" t="n">
        <f aca="true">K4148-TODAY()</f>
        <v>32</v>
      </c>
      <c r="N4148" s="18" t="s">
        <v>36</v>
      </c>
      <c r="O4148" s="13" t="s">
        <v>16973</v>
      </c>
      <c r="P4148" s="26" t="n">
        <v>5195401</v>
      </c>
      <c r="Q4148" s="20" t="s">
        <v>16994</v>
      </c>
      <c r="R4148" s="13" t="s">
        <v>73</v>
      </c>
      <c r="S4148" s="25" t="n">
        <v>36560</v>
      </c>
      <c r="T4148" s="13" t="s">
        <v>40</v>
      </c>
      <c r="U4148" s="13" t="s">
        <v>16995</v>
      </c>
      <c r="V4148" s="13" t="s">
        <v>42</v>
      </c>
      <c r="W4148" s="13" t="s">
        <v>43</v>
      </c>
      <c r="X4148" s="21" t="n">
        <v>89506780632</v>
      </c>
      <c r="Y4148" s="22" t="str">
        <f aca="false">O4148</f>
        <v>SPB</v>
      </c>
      <c r="Z4148" s="13" t="str">
        <f aca="false">IFERROR(__xludf.dummyfunction("if(BJ4148="""","""",GOOGLETRANSLATE(BJ4148,""auto"",""en""))"),"SPB")</f>
        <v>SPB</v>
      </c>
      <c r="AA4148" s="23" t="str">
        <f aca="false">IF(C4148="","", CHOOSE(MONTH(C4148),"January","February","March","April","May","June","July","August","September","October","November","December")&amp;" "&amp;DAY(C4148)&amp;MID("thstndrdth",MIN(9,2*RIGHT(DAY(C4148))*(MOD(DAY(C4148)-11,100)&gt;2)+1),2)&amp;","&amp;TEXT(C4148," yyyy"))</f>
        <v>September 1st,2026</v>
      </c>
      <c r="AB4148" s="15" t="str">
        <f aca="true">IF(S4148="","",DATEDIF(S4148,TODAY(),"Y")&amp;" Tahun, "&amp;DATEDIF(S4148,TODAY(),"YM")&amp;" Bulan, "&amp;DATEDIF(S4148,TODAY(),"MD")&amp;" Hari")</f>
        <v>26 Tahun, 8 Bulan, 25 Hari</v>
      </c>
      <c r="AC4148" s="14" t="n">
        <v>46266</v>
      </c>
      <c r="AD4148" s="18" t="n">
        <f aca="false">EDATE(AC4148,3)-1</f>
        <v>46356</v>
      </c>
      <c r="AE4148" s="13" t="s">
        <v>397</v>
      </c>
    </row>
    <row r="4149" customFormat="false" ht="15" hidden="false" customHeight="true" outlineLevel="0" collapsed="false">
      <c r="A4149" s="12" t="n">
        <v>22782</v>
      </c>
      <c r="B4149" s="13" t="s">
        <v>16996</v>
      </c>
      <c r="C4149" s="14" t="n">
        <v>46296</v>
      </c>
      <c r="D4149" s="13" t="s">
        <v>144</v>
      </c>
      <c r="E4149" s="13" t="s">
        <v>102</v>
      </c>
      <c r="F4149" s="24" t="s">
        <v>16997</v>
      </c>
      <c r="G4149" s="13" t="s">
        <v>1452</v>
      </c>
      <c r="H4149" s="13" t="s">
        <v>35</v>
      </c>
      <c r="I4149" s="13" t="str">
        <f aca="false">IF(C4149=J4149,"NEW KONTRAK","RE-KONTRAK")</f>
        <v>NEW KONTRAK</v>
      </c>
      <c r="J4149" s="16" t="n">
        <f aca="false" t="array" ref="J4149:J4149">IFERROR(INDEX(AC4149:AE4149,IF(COUNTA(AC4149:AE4149)=0,"",MAX((AC4149:AE4149&lt;&gt;"")*(COLUMN(AC4149:AE4149)-(COLUMN(AC4149)))))-1),"")</f>
        <v>46296</v>
      </c>
      <c r="K4149" s="16" t="n">
        <f aca="false" t="array" ref="K4149:K4149">IFERROR(INDEX(AC4149:AE4149,IF(COUNTA(AC4149:AE4149)=0,"",MAX((AC4149:AE4149&lt;&gt;"")*(COLUMN(AC4149:AE4149)-(COLUMN(AC4149)-1))))-1),"")</f>
        <v>46387</v>
      </c>
      <c r="L4149" s="17" t="str">
        <f aca="false" t="array" ref="L4149:L4149">IFERROR(INDEX(AC4149:AE4149,IF(COUNTA(AC4149:AE4149)=0,"",MAX((AC4149:AE4149&lt;&gt;"")*(COLUMN(AC4149:AE4149)-(COLUMN(AC4149)-2))))-1),"")</f>
        <v>KEMBALI</v>
      </c>
      <c r="M4149" s="13" t="n">
        <f aca="true">K4149-TODAY()</f>
        <v>63</v>
      </c>
      <c r="N4149" s="18" t="s">
        <v>36</v>
      </c>
      <c r="O4149" s="13" t="s">
        <v>16973</v>
      </c>
      <c r="P4149" s="26" t="n">
        <v>5195401</v>
      </c>
      <c r="Q4149" s="20" t="s">
        <v>16998</v>
      </c>
      <c r="R4149" s="13" t="s">
        <v>65</v>
      </c>
      <c r="S4149" s="25" t="n">
        <v>37032</v>
      </c>
      <c r="T4149" s="13" t="s">
        <v>40</v>
      </c>
      <c r="U4149" s="13" t="s">
        <v>16999</v>
      </c>
      <c r="V4149" s="13" t="s">
        <v>42</v>
      </c>
      <c r="W4149" s="13" t="s">
        <v>43</v>
      </c>
      <c r="X4149" s="21" t="n">
        <v>88803771224</v>
      </c>
      <c r="Y4149" s="22" t="str">
        <f aca="false">O4149</f>
        <v>SPB</v>
      </c>
      <c r="Z4149" s="13" t="str">
        <f aca="false">IFERROR(__xludf.dummyfunction("if(BJ4149="""","""",GOOGLETRANSLATE(BJ4149,""auto"",""en""))"),"SPB")</f>
        <v>SPB</v>
      </c>
      <c r="AA4149" s="23" t="str">
        <f aca="false">IF(C4149="","", CHOOSE(MONTH(C4149),"January","February","March","April","May","June","July","August","September","October","November","December")&amp;" "&amp;DAY(C4149)&amp;MID("thstndrdth",MIN(9,2*RIGHT(DAY(C4149))*(MOD(DAY(C4149)-11,100)&gt;2)+1),2)&amp;","&amp;TEXT(C4149," yyyy"))</f>
        <v>October 1st,2026</v>
      </c>
      <c r="AB4149" s="15" t="str">
        <f aca="true">IF(S4149="","",DATEDIF(S4149,TODAY(),"Y")&amp;" Tahun, "&amp;DATEDIF(S4149,TODAY(),"YM")&amp;" Bulan, "&amp;DATEDIF(S4149,TODAY(),"MD")&amp;" Hari")</f>
        <v>25 Tahun, 5 Bulan, 8 Hari</v>
      </c>
      <c r="AC4149" s="14" t="n">
        <v>46296</v>
      </c>
      <c r="AD4149" s="18" t="n">
        <f aca="false">EDATE(AC4149,3)-1</f>
        <v>46387</v>
      </c>
      <c r="AE4149" s="13" t="s">
        <v>397</v>
      </c>
    </row>
    <row r="4150" customFormat="false" ht="15" hidden="false" customHeight="true" outlineLevel="0" collapsed="false">
      <c r="A4150" s="12" t="n">
        <v>22783</v>
      </c>
      <c r="B4150" s="13" t="s">
        <v>17000</v>
      </c>
      <c r="C4150" s="14" t="n">
        <v>46265</v>
      </c>
      <c r="D4150" s="13" t="s">
        <v>5892</v>
      </c>
      <c r="E4150" s="13" t="s">
        <v>47</v>
      </c>
      <c r="F4150" s="24" t="s">
        <v>17001</v>
      </c>
      <c r="G4150" s="13" t="s">
        <v>1452</v>
      </c>
      <c r="H4150" s="13" t="s">
        <v>35</v>
      </c>
      <c r="I4150" s="13" t="str">
        <f aca="false">IF(C4150=J4150,"NEW KONTRAK","RE-KONTRAK")</f>
        <v>NEW KONTRAK</v>
      </c>
      <c r="J4150" s="16" t="n">
        <f aca="false" t="array" ref="J4150:J4150">IFERROR(INDEX(AC4150:AE4150,IF(COUNTA(AC4150:AE4150)=0,"",MAX((AC4150:AE4150&lt;&gt;"")*(COLUMN(AC4150:AE4150)-(COLUMN(AC4150)))))-1),"")</f>
        <v>46265</v>
      </c>
      <c r="K4150" s="16" t="n">
        <f aca="false" t="array" ref="K4150:K4150">IFERROR(INDEX(AC4150:AE4150,IF(COUNTA(AC4150:AE4150)=0,"",MAX((AC4150:AE4150&lt;&gt;"")*(COLUMN(AC4150:AE4150)-(COLUMN(AC4150)-1))))-1),"")</f>
        <v>46304</v>
      </c>
      <c r="L4150" s="17" t="str">
        <f aca="false" t="array" ref="L4150:L4150">IFERROR(INDEX(AC4150:AE4150,IF(COUNTA(AC4150:AE4150)=0,"",MAX((AC4150:AE4150&lt;&gt;"")*(COLUMN(AC4150:AE4150)-(COLUMN(AC4150)-2))))-1),"")</f>
        <v>KEMBALI</v>
      </c>
      <c r="M4150" s="13" t="n">
        <f aca="true">K4150-TODAY()</f>
        <v>-20</v>
      </c>
      <c r="N4150" s="18" t="s">
        <v>105</v>
      </c>
      <c r="O4150" s="13" t="s">
        <v>17002</v>
      </c>
      <c r="P4150" s="26" t="n">
        <v>3207662</v>
      </c>
      <c r="Q4150" s="20" t="s">
        <v>17003</v>
      </c>
      <c r="R4150" s="13" t="s">
        <v>52</v>
      </c>
      <c r="S4150" s="25" t="n">
        <v>38146</v>
      </c>
      <c r="T4150" s="13" t="s">
        <v>108</v>
      </c>
      <c r="U4150" s="13" t="s">
        <v>17004</v>
      </c>
      <c r="V4150" s="13" t="s">
        <v>42</v>
      </c>
      <c r="W4150" s="13" t="s">
        <v>43</v>
      </c>
      <c r="X4150" s="21" t="n">
        <v>89676185571</v>
      </c>
      <c r="Y4150" s="22" t="str">
        <f aca="false">O4150</f>
        <v>Admin Operasional Transport</v>
      </c>
      <c r="Z4150" s="13" t="str">
        <f aca="false">IFERROR(__xludf.dummyfunction("if(BJ4150="""","""",GOOGLETRANSLATE(BJ4150,""auto"",""en""))"),"Transport Operations Admin")</f>
        <v>Transport Operations Admin</v>
      </c>
      <c r="AA4150" s="23" t="str">
        <f aca="false">IF(C4150="","", CHOOSE(MONTH(C4150),"January","February","March","April","May","June","July","August","September","October","November","December")&amp;" "&amp;DAY(C4150)&amp;MID("thstndrdth",MIN(9,2*RIGHT(DAY(C4150))*(MOD(DAY(C4150)-11,100)&gt;2)+1),2)&amp;","&amp;TEXT(C4150," yyyy"))</f>
        <v>August 31st,2026</v>
      </c>
      <c r="AB4150" s="15" t="str">
        <f aca="true">IF(S4150="","",DATEDIF(S4150,TODAY(),"Y")&amp;" Tahun, "&amp;DATEDIF(S4150,TODAY(),"YM")&amp;" Bulan, "&amp;DATEDIF(S4150,TODAY(),"MD")&amp;" Hari")</f>
        <v>22 Tahun, 4 Bulan, 21 Hari</v>
      </c>
      <c r="AC4150" s="14" t="n">
        <v>46265</v>
      </c>
      <c r="AD4150" s="18" t="n">
        <v>46304</v>
      </c>
      <c r="AE4150" s="13" t="s">
        <v>397</v>
      </c>
    </row>
    <row r="4151" customFormat="false" ht="15" hidden="false" customHeight="true" outlineLevel="0" collapsed="false">
      <c r="A4151" s="12" t="n">
        <v>22784</v>
      </c>
      <c r="B4151" s="13" t="s">
        <v>17005</v>
      </c>
      <c r="C4151" s="132" t="n">
        <v>46268</v>
      </c>
      <c r="D4151" s="13" t="s">
        <v>961</v>
      </c>
      <c r="E4151" s="13" t="s">
        <v>47</v>
      </c>
      <c r="F4151" s="24" t="s">
        <v>17006</v>
      </c>
      <c r="G4151" s="13" t="s">
        <v>1452</v>
      </c>
      <c r="H4151" s="13" t="s">
        <v>35</v>
      </c>
      <c r="I4151" s="13" t="str">
        <f aca="false">IF(C4151=J4151,"NEW KONTRAK","RE-KONTRAK")</f>
        <v>NEW KONTRAK</v>
      </c>
      <c r="J4151" s="16" t="n">
        <f aca="false" t="array" ref="J4151:J4151">IFERROR(INDEX(AC4151:AE4151,IF(COUNTA(AC4151:AE4151)=0,"",MAX((AC4151:AE4151&lt;&gt;"")*(COLUMN(AC4151:AE4151)-(COLUMN(AC4151)))))-1),"")</f>
        <v>46268</v>
      </c>
      <c r="K4151" s="16" t="n">
        <f aca="false" t="array" ref="K4151:K4151">IFERROR(INDEX(AC4151:AE4151,IF(COUNTA(AC4151:AE4151)=0,"",MAX((AC4151:AE4151&lt;&gt;"")*(COLUMN(AC4151:AE4151)-(COLUMN(AC4151)-1))))-1),"")</f>
        <v>46358</v>
      </c>
      <c r="L4151" s="17" t="str">
        <f aca="false" t="array" ref="L4151:L4151">IFERROR(INDEX(AC4151:AE4151,IF(COUNTA(AC4151:AE4151)=0,"",MAX((AC4151:AE4151&lt;&gt;"")*(COLUMN(AC4151:AE4151)-(COLUMN(AC4151)-2))))-1),"")</f>
        <v>ARCHIVED</v>
      </c>
      <c r="M4151" s="13" t="n">
        <f aca="true">K4151-TODAY()</f>
        <v>34</v>
      </c>
      <c r="N4151" s="18" t="s">
        <v>728</v>
      </c>
      <c r="O4151" s="13" t="s">
        <v>17007</v>
      </c>
      <c r="P4151" s="19" t="n">
        <v>4961753</v>
      </c>
      <c r="Q4151" s="20" t="s">
        <v>17008</v>
      </c>
      <c r="R4151" s="13" t="s">
        <v>52</v>
      </c>
      <c r="S4151" s="25" t="n">
        <v>33755</v>
      </c>
      <c r="T4151" s="13" t="s">
        <v>40</v>
      </c>
      <c r="U4151" s="13" t="s">
        <v>17009</v>
      </c>
      <c r="V4151" s="13" t="s">
        <v>42</v>
      </c>
      <c r="W4151" s="13" t="s">
        <v>43</v>
      </c>
      <c r="X4151" s="30" t="n">
        <v>81314351906</v>
      </c>
      <c r="Y4151" s="22" t="str">
        <f aca="false">O4151</f>
        <v>Checker logistik </v>
      </c>
      <c r="Z4151" s="13" t="str">
        <f aca="false">IFERROR(__xludf.dummyfunction("if(BJ4151="""","""",GOOGLETRANSLATE(BJ4151,""auto"",""en""))"),"Check logistics")</f>
        <v>Check logistics</v>
      </c>
      <c r="AA4151" s="23" t="str">
        <f aca="false">IF(C4151="","", CHOOSE(MONTH(C4151),"January","February","March","April","May","June","July","August","September","October","November","December")&amp;" "&amp;DAY(C4151)&amp;MID("thstndrdth",MIN(9,2*RIGHT(DAY(C4151))*(MOD(DAY(C4151)-11,100)&gt;2)+1),2)&amp;","&amp;TEXT(C4151," yyyy"))</f>
        <v>September 3rd,2026</v>
      </c>
      <c r="AB4151" s="15" t="str">
        <f aca="true">IF(S4151="","",DATEDIF(S4151,TODAY(),"Y")&amp;" Tahun, "&amp;DATEDIF(S4151,TODAY(),"YM")&amp;" Bulan, "&amp;DATEDIF(S4151,TODAY(),"MD")&amp;" Hari")</f>
        <v>34 Tahun, 4 Bulan, 28 Hari</v>
      </c>
      <c r="AC4151" s="14" t="n">
        <v>46268</v>
      </c>
      <c r="AD4151" s="18" t="n">
        <f aca="false">EDATE(AC4151,3)-1</f>
        <v>46358</v>
      </c>
      <c r="AE4151" s="18" t="s">
        <v>44</v>
      </c>
    </row>
    <row r="4152" customFormat="false" ht="15" hidden="false" customHeight="true" outlineLevel="0" collapsed="false">
      <c r="A4152" s="12" t="n">
        <v>22785</v>
      </c>
      <c r="B4152" s="13" t="s">
        <v>17010</v>
      </c>
      <c r="C4152" s="16" t="n">
        <v>46272</v>
      </c>
      <c r="D4152" s="13" t="s">
        <v>6638</v>
      </c>
      <c r="E4152" s="13" t="s">
        <v>102</v>
      </c>
      <c r="F4152" s="24" t="s">
        <v>17011</v>
      </c>
      <c r="G4152" s="13" t="s">
        <v>1452</v>
      </c>
      <c r="H4152" s="13" t="s">
        <v>35</v>
      </c>
      <c r="I4152" s="13" t="str">
        <f aca="false">IF(C4152=J4152,"NEW KONTRAK","RE-KONTRAK")</f>
        <v>NEW KONTRAK</v>
      </c>
      <c r="J4152" s="16" t="n">
        <f aca="false" t="array" ref="J4152:J4152">IFERROR(INDEX(AC4152:AE4152,IF(COUNTA(AC4152:AE4152)=0,"",MAX((AC4152:AE4152&lt;&gt;"")*(COLUMN(AC4152:AE4152)-(COLUMN(AC4152)))))-1),"")</f>
        <v>46272</v>
      </c>
      <c r="K4152" s="16" t="n">
        <f aca="false" t="array" ref="K4152:K4152">IFERROR(INDEX(AC4152:AE4152,IF(COUNTA(AC4152:AE4152)=0,"",MAX((AC4152:AE4152&lt;&gt;"")*(COLUMN(AC4152:AE4152)-(COLUMN(AC4152)-1))))-1),"")</f>
        <v>46362</v>
      </c>
      <c r="L4152" s="17" t="str">
        <f aca="false" t="array" ref="L4152:L4152">IFERROR(INDEX(AC4152:AE4152,IF(COUNTA(AC4152:AE4152)=0,"",MAX((AC4152:AE4152&lt;&gt;"")*(COLUMN(AC4152:AE4152)-(COLUMN(AC4152)-2))))-1),"")</f>
        <v>KEMBALI ONLINE</v>
      </c>
      <c r="M4152" s="13" t="n">
        <f aca="true">K4152-TODAY()</f>
        <v>38</v>
      </c>
      <c r="N4152" s="28" t="s">
        <v>3576</v>
      </c>
      <c r="O4152" s="13" t="s">
        <v>12429</v>
      </c>
      <c r="P4152" s="26" t="n">
        <v>1500000</v>
      </c>
      <c r="Q4152" s="20" t="s">
        <v>17012</v>
      </c>
      <c r="R4152" s="13" t="s">
        <v>260</v>
      </c>
      <c r="S4152" s="25" t="n">
        <v>38394</v>
      </c>
      <c r="T4152" s="13" t="s">
        <v>108</v>
      </c>
      <c r="U4152" s="13" t="s">
        <v>17013</v>
      </c>
      <c r="V4152" s="13" t="s">
        <v>42</v>
      </c>
      <c r="W4152" s="13" t="s">
        <v>43</v>
      </c>
      <c r="X4152" s="21" t="n">
        <v>89525699313</v>
      </c>
      <c r="Y4152" s="22" t="str">
        <f aca="false">O4152</f>
        <v>Beauty Advisor</v>
      </c>
      <c r="Z4152" s="13" t="str">
        <f aca="false">IFERROR(__xludf.dummyfunction("if(BJ4152="""","""",GOOGLETRANSLATE(BJ4152,""auto"",""en""))"),"Beauty Advisor")</f>
        <v>Beauty Advisor</v>
      </c>
      <c r="AA4152" s="23" t="str">
        <f aca="false">IF(C4152="","", CHOOSE(MONTH(C4152),"January","February","March","April","May","June","July","August","September","October","November","December")&amp;" "&amp;DAY(C4152)&amp;MID("thstndrdth",MIN(9,2*RIGHT(DAY(C4152))*(MOD(DAY(C4152)-11,100)&gt;2)+1),2)&amp;","&amp;TEXT(C4152," yyyy"))</f>
        <v>September 7th,2026</v>
      </c>
      <c r="AB4152" s="15" t="str">
        <f aca="true">IF(S4152="","",DATEDIF(S4152,TODAY(),"Y")&amp;" Tahun, "&amp;DATEDIF(S4152,TODAY(),"YM")&amp;" Bulan, "&amp;DATEDIF(S4152,TODAY(),"MD")&amp;" Hari")</f>
        <v>21 Tahun, 8 Bulan, 18 Hari</v>
      </c>
      <c r="AC4152" s="14" t="n">
        <v>46272</v>
      </c>
      <c r="AD4152" s="18" t="n">
        <f aca="false">EDATE(AC4152,3)-1</f>
        <v>46362</v>
      </c>
      <c r="AE4152" s="13" t="s">
        <v>2387</v>
      </c>
    </row>
    <row r="4153" customFormat="false" ht="15" hidden="false" customHeight="true" outlineLevel="0" collapsed="false">
      <c r="A4153" s="12" t="n">
        <v>22786</v>
      </c>
      <c r="B4153" s="13" t="s">
        <v>17014</v>
      </c>
      <c r="C4153" s="14" t="n">
        <v>46256</v>
      </c>
      <c r="D4153" s="13" t="s">
        <v>8240</v>
      </c>
      <c r="E4153" s="13" t="s">
        <v>47</v>
      </c>
      <c r="F4153" s="24" t="s">
        <v>17015</v>
      </c>
      <c r="G4153" s="13" t="s">
        <v>16556</v>
      </c>
      <c r="H4153" s="13" t="s">
        <v>35</v>
      </c>
      <c r="I4153" s="13" t="str">
        <f aca="false">IF(C4153=J4153,"NEW KONTRAK","RE-KONTRAK")</f>
        <v>NEW KONTRAK</v>
      </c>
      <c r="J4153" s="16" t="n">
        <f aca="false" t="array" ref="J4153:J4153">IFERROR(INDEX(AC4153:AE4153,IF(COUNTA(AC4153:AE4153)=0,"",MAX((AC4153:AE4153&lt;&gt;"")*(COLUMN(AC4153:AE4153)-(COLUMN(AC4153)))))-1),"")</f>
        <v>46256</v>
      </c>
      <c r="K4153" s="16" t="n">
        <f aca="false" t="array" ref="K4153:K4153">IFERROR(INDEX(AC4153:AE4153,IF(COUNTA(AC4153:AE4153)=0,"",MAX((AC4153:AE4153&lt;&gt;"")*(COLUMN(AC4153:AE4153)-(COLUMN(AC4153)-1))))-1),"")</f>
        <v>46347</v>
      </c>
      <c r="L4153" s="17" t="str">
        <f aca="false" t="array" ref="L4153:L4153">IFERROR(INDEX(AC4153:AE4153,IF(COUNTA(AC4153:AE4153)=0,"",MAX((AC4153:AE4153&lt;&gt;"")*(COLUMN(AC4153:AE4153)-(COLUMN(AC4153)-2))))-1),"")</f>
        <v>ARCHIVED</v>
      </c>
      <c r="M4153" s="13" t="n">
        <f aca="true">K4153-TODAY()</f>
        <v>23</v>
      </c>
      <c r="N4153" s="18" t="s">
        <v>36</v>
      </c>
      <c r="O4153" s="13" t="s">
        <v>4280</v>
      </c>
      <c r="P4153" s="26" t="n">
        <v>120000</v>
      </c>
      <c r="Q4153" s="20" t="s">
        <v>17016</v>
      </c>
      <c r="R4153" s="13" t="s">
        <v>255</v>
      </c>
      <c r="S4153" s="25" t="n">
        <v>34359</v>
      </c>
      <c r="T4153" s="13" t="s">
        <v>108</v>
      </c>
      <c r="U4153" s="13" t="s">
        <v>17017</v>
      </c>
      <c r="V4153" s="13" t="s">
        <v>42</v>
      </c>
      <c r="W4153" s="13" t="s">
        <v>54</v>
      </c>
      <c r="X4153" s="21" t="n">
        <v>82234256478</v>
      </c>
      <c r="Y4153" s="22" t="str">
        <f aca="false">O4153</f>
        <v>Helper Cutting</v>
      </c>
      <c r="Z4153" s="13" t="str">
        <f aca="false">IFERROR(__xludf.dummyfunction("if(BJ4153="""","""",GOOGLETRANSLATE(BJ4153,""auto"",""en""))"),"Helper Cutting")</f>
        <v>Helper Cutting</v>
      </c>
      <c r="AA4153" s="23" t="str">
        <f aca="false">IF(C4153="","", CHOOSE(MONTH(C4153),"January","February","March","April","May","June","July","August","September","October","November","December")&amp;" "&amp;DAY(C4153)&amp;MID("thstndrdth",MIN(9,2*RIGHT(DAY(C4153))*(MOD(DAY(C4153)-11,100)&gt;2)+1),2)&amp;","&amp;TEXT(C4153," yyyy"))</f>
        <v>August 22nd,2026</v>
      </c>
      <c r="AB4153" s="15" t="str">
        <f aca="true">IF(S4153="","",DATEDIF(S4153,TODAY(),"Y")&amp;" Tahun, "&amp;DATEDIF(S4153,TODAY(),"YM")&amp;" Bulan, "&amp;DATEDIF(S4153,TODAY(),"MD")&amp;" Hari")</f>
        <v>32 Tahun, 9 Bulan, 4 Hari</v>
      </c>
      <c r="AC4153" s="14" t="n">
        <v>46256</v>
      </c>
      <c r="AD4153" s="18" t="n">
        <f aca="false">EDATE(AC4153,3)-1</f>
        <v>46347</v>
      </c>
      <c r="AE4153" s="45" t="s">
        <v>44</v>
      </c>
    </row>
    <row r="4154" customFormat="false" ht="15" hidden="false" customHeight="true" outlineLevel="0" collapsed="false">
      <c r="A4154" s="12" t="n">
        <v>22787</v>
      </c>
      <c r="B4154" s="13" t="s">
        <v>17018</v>
      </c>
      <c r="C4154" s="14" t="n">
        <v>46256</v>
      </c>
      <c r="D4154" s="13" t="s">
        <v>8240</v>
      </c>
      <c r="E4154" s="13" t="s">
        <v>47</v>
      </c>
      <c r="F4154" s="24" t="s">
        <v>17019</v>
      </c>
      <c r="G4154" s="13" t="s">
        <v>16556</v>
      </c>
      <c r="H4154" s="13" t="s">
        <v>35</v>
      </c>
      <c r="I4154" s="13" t="str">
        <f aca="false">IF(C4154=J4154,"NEW KONTRAK","RE-KONTRAK")</f>
        <v>NEW KONTRAK</v>
      </c>
      <c r="J4154" s="16" t="n">
        <f aca="false" t="array" ref="J4154:J4154">IFERROR(INDEX(AC4154:AE4154,IF(COUNTA(AC4154:AE4154)=0,"",MAX((AC4154:AE4154&lt;&gt;"")*(COLUMN(AC4154:AE4154)-(COLUMN(AC4154)))))-1),"")</f>
        <v>46256</v>
      </c>
      <c r="K4154" s="16" t="n">
        <f aca="false" t="array" ref="K4154:K4154">IFERROR(INDEX(AC4154:AE4154,IF(COUNTA(AC4154:AE4154)=0,"",MAX((AC4154:AE4154&lt;&gt;"")*(COLUMN(AC4154:AE4154)-(COLUMN(AC4154)-1))))-1),"")</f>
        <v>46347</v>
      </c>
      <c r="L4154" s="17" t="str">
        <f aca="false" t="array" ref="L4154:L4154">IFERROR(INDEX(AC4154:AE4154,IF(COUNTA(AC4154:AE4154)=0,"",MAX((AC4154:AE4154&lt;&gt;"")*(COLUMN(AC4154:AE4154)-(COLUMN(AC4154)-2))))-1),"")</f>
        <v>ARCHIVED</v>
      </c>
      <c r="M4154" s="13" t="n">
        <f aca="true">K4154-TODAY()</f>
        <v>23</v>
      </c>
      <c r="N4154" s="18" t="s">
        <v>36</v>
      </c>
      <c r="O4154" s="13" t="s">
        <v>4255</v>
      </c>
      <c r="P4154" s="26" t="n">
        <v>200000</v>
      </c>
      <c r="Q4154" s="20" t="s">
        <v>17020</v>
      </c>
      <c r="R4154" s="13" t="s">
        <v>65</v>
      </c>
      <c r="S4154" s="25" t="n">
        <v>33944</v>
      </c>
      <c r="T4154" s="13" t="s">
        <v>40</v>
      </c>
      <c r="U4154" s="13" t="s">
        <v>17021</v>
      </c>
      <c r="V4154" s="13" t="s">
        <v>42</v>
      </c>
      <c r="W4154" s="13" t="s">
        <v>54</v>
      </c>
      <c r="X4154" s="21" t="n">
        <v>82334192952</v>
      </c>
      <c r="Y4154" s="22" t="str">
        <f aca="false">O4154</f>
        <v>Operator Cutting</v>
      </c>
      <c r="Z4154" s="13" t="str">
        <f aca="false">IFERROR(__xludf.dummyfunction("if(BJ4154="""","""",GOOGLETRANSLATE(BJ4154,""auto"",""en""))"),"Operator Cutting")</f>
        <v>Operator Cutting</v>
      </c>
      <c r="AA4154" s="23" t="str">
        <f aca="false">IF(C4154="","", CHOOSE(MONTH(C4154),"January","February","March","April","May","June","July","August","September","October","November","December")&amp;" "&amp;DAY(C4154)&amp;MID("thstndrdth",MIN(9,2*RIGHT(DAY(C4154))*(MOD(DAY(C4154)-11,100)&gt;2)+1),2)&amp;","&amp;TEXT(C4154," yyyy"))</f>
        <v>August 22nd,2026</v>
      </c>
      <c r="AB4154" s="15" t="str">
        <f aca="true">IF(S4154="","",DATEDIF(S4154,TODAY(),"Y")&amp;" Tahun, "&amp;DATEDIF(S4154,TODAY(),"YM")&amp;" Bulan, "&amp;DATEDIF(S4154,TODAY(),"MD")&amp;" Hari")</f>
        <v>33 Tahun, 10 Bulan, 23 Hari</v>
      </c>
      <c r="AC4154" s="14" t="n">
        <v>46256</v>
      </c>
      <c r="AD4154" s="18" t="n">
        <f aca="false">EDATE(AC4154,3)-1</f>
        <v>46347</v>
      </c>
      <c r="AE4154" s="45" t="s">
        <v>44</v>
      </c>
    </row>
    <row r="4155" customFormat="false" ht="15" hidden="false" customHeight="true" outlineLevel="0" collapsed="false">
      <c r="A4155" s="12" t="n">
        <v>22788</v>
      </c>
      <c r="B4155" s="13" t="s">
        <v>17022</v>
      </c>
      <c r="C4155" s="14" t="n">
        <v>46266</v>
      </c>
      <c r="D4155" s="13" t="s">
        <v>380</v>
      </c>
      <c r="E4155" s="13" t="s">
        <v>47</v>
      </c>
      <c r="F4155" s="24" t="s">
        <v>17023</v>
      </c>
      <c r="G4155" s="13" t="s">
        <v>1452</v>
      </c>
      <c r="H4155" s="13" t="s">
        <v>35</v>
      </c>
      <c r="I4155" s="13" t="str">
        <f aca="false">IF(C4155=J4155,"NEW KONTRAK","RE-KONTRAK")</f>
        <v>NEW KONTRAK</v>
      </c>
      <c r="J4155" s="16" t="n">
        <f aca="false" t="array" ref="J4155:J4155">IFERROR(INDEX(AC4155:AE4155,IF(COUNTA(AC4155:AE4155)=0,"",MAX((AC4155:AE4155&lt;&gt;"")*(COLUMN(AC4155:AE4155)-(COLUMN(AC4155)))))-1),"")</f>
        <v>46266</v>
      </c>
      <c r="K4155" s="16" t="n">
        <f aca="false" t="array" ref="K4155:K4155">IFERROR(INDEX(AC4155:AE4155,IF(COUNTA(AC4155:AE4155)=0,"",MAX((AC4155:AE4155&lt;&gt;"")*(COLUMN(AC4155:AE4155)-(COLUMN(AC4155)-1))))-1),"")</f>
        <v>46387</v>
      </c>
      <c r="L4155" s="17" t="str">
        <f aca="false" t="array" ref="L4155:L4155">IFERROR(INDEX(AC4155:AE4155,IF(COUNTA(AC4155:AE4155)=0,"",MAX((AC4155:AE4155&lt;&gt;"")*(COLUMN(AC4155:AE4155)-(COLUMN(AC4155)-2))))-1),"")</f>
        <v>ARCHIVED</v>
      </c>
      <c r="M4155" s="13" t="n">
        <f aca="true">K4155-TODAY()</f>
        <v>63</v>
      </c>
      <c r="N4155" s="18" t="s">
        <v>383</v>
      </c>
      <c r="O4155" s="13" t="s">
        <v>17024</v>
      </c>
      <c r="P4155" s="26" t="n">
        <v>2751977</v>
      </c>
      <c r="Q4155" s="20" t="s">
        <v>17025</v>
      </c>
      <c r="R4155" s="13" t="s">
        <v>78</v>
      </c>
      <c r="S4155" s="25" t="n">
        <v>37693</v>
      </c>
      <c r="T4155" s="13" t="s">
        <v>108</v>
      </c>
      <c r="U4155" s="13" t="s">
        <v>17026</v>
      </c>
      <c r="V4155" s="13" t="s">
        <v>42</v>
      </c>
      <c r="W4155" s="13" t="s">
        <v>43</v>
      </c>
      <c r="X4155" s="21" t="n">
        <v>83833736358</v>
      </c>
      <c r="Y4155" s="22" t="str">
        <f aca="false">O4155</f>
        <v>Harian Borongan</v>
      </c>
      <c r="Z4155" s="13" t="str">
        <f aca="false">IFERROR(__xludf.dummyfunction("if(BJ4155="""","""",GOOGLETRANSLATE(BJ4155,""auto"",""en""))"),"Daily Wholesale")</f>
        <v>Daily Wholesale</v>
      </c>
      <c r="AA4155" s="23" t="str">
        <f aca="false">IF(C4155="","", CHOOSE(MONTH(C4155),"January","February","March","April","May","June","July","August","September","October","November","December")&amp;" "&amp;DAY(C4155)&amp;MID("thstndrdth",MIN(9,2*RIGHT(DAY(C4155))*(MOD(DAY(C4155)-11,100)&gt;2)+1),2)&amp;","&amp;TEXT(C4155," yyyy"))</f>
        <v>September 1st,2026</v>
      </c>
      <c r="AB4155" s="15" t="str">
        <f aca="true">IF(S4155="","",DATEDIF(S4155,TODAY(),"Y")&amp;" Tahun, "&amp;DATEDIF(S4155,TODAY(),"YM")&amp;" Bulan, "&amp;DATEDIF(S4155,TODAY(),"MD")&amp;" Hari")</f>
        <v>23 Tahun, 7 Bulan, 16 Hari</v>
      </c>
      <c r="AC4155" s="14" t="n">
        <v>46266</v>
      </c>
      <c r="AD4155" s="18" t="n">
        <v>46387</v>
      </c>
      <c r="AE4155" s="13" t="s">
        <v>44</v>
      </c>
    </row>
    <row r="4156" customFormat="false" ht="15" hidden="false" customHeight="true" outlineLevel="0" collapsed="false">
      <c r="A4156" s="12" t="n">
        <v>22789</v>
      </c>
      <c r="B4156" s="13" t="s">
        <v>17027</v>
      </c>
      <c r="C4156" s="14" t="n">
        <v>46273</v>
      </c>
      <c r="D4156" s="13" t="s">
        <v>404</v>
      </c>
      <c r="E4156" s="13" t="s">
        <v>47</v>
      </c>
      <c r="F4156" s="24" t="s">
        <v>17028</v>
      </c>
      <c r="G4156" s="13" t="s">
        <v>1452</v>
      </c>
      <c r="H4156" s="13" t="s">
        <v>35</v>
      </c>
      <c r="I4156" s="13" t="str">
        <f aca="false">IF(C4156=J4156,"NEW KONTRAK","RE-KONTRAK")</f>
        <v>NEW KONTRAK</v>
      </c>
      <c r="J4156" s="16" t="n">
        <f aca="false" t="array" ref="J4156:J4156">IFERROR(INDEX(AC4156:AE4156,IF(COUNTA(AC4156:AE4156)=0,"",MAX((AC4156:AE4156&lt;&gt;"")*(COLUMN(AC4156:AE4156)-(COLUMN(AC4156)))))-1),"")</f>
        <v>46273</v>
      </c>
      <c r="K4156" s="16" t="n">
        <f aca="false" t="array" ref="K4156:K4156">IFERROR(INDEX(AC4156:AE4156,IF(COUNTA(AC4156:AE4156)=0,"",MAX((AC4156:AE4156&lt;&gt;"")*(COLUMN(AC4156:AE4156)-(COLUMN(AC4156)-1))))-1),"")</f>
        <v>46387</v>
      </c>
      <c r="L4156" s="17" t="str">
        <f aca="false" t="array" ref="L4156:L4156">IFERROR(INDEX(AC4156:AE4156,IF(COUNTA(AC4156:AE4156)=0,"",MAX((AC4156:AE4156&lt;&gt;"")*(COLUMN(AC4156:AE4156)-(COLUMN(AC4156)-2))))-1),"")</f>
        <v>KEMBALI</v>
      </c>
      <c r="M4156" s="13" t="n">
        <f aca="true">K4156-TODAY()</f>
        <v>63</v>
      </c>
      <c r="N4156" s="18" t="s">
        <v>36</v>
      </c>
      <c r="O4156" s="13" t="s">
        <v>17029</v>
      </c>
      <c r="P4156" s="26" t="n">
        <v>5195401</v>
      </c>
      <c r="Q4156" s="20" t="s">
        <v>17030</v>
      </c>
      <c r="R4156" s="13" t="s">
        <v>52</v>
      </c>
      <c r="S4156" s="25" t="n">
        <v>37965</v>
      </c>
      <c r="T4156" s="13" t="s">
        <v>40</v>
      </c>
      <c r="U4156" s="13" t="s">
        <v>17031</v>
      </c>
      <c r="V4156" s="13" t="s">
        <v>42</v>
      </c>
      <c r="W4156" s="13" t="s">
        <v>43</v>
      </c>
      <c r="X4156" s="21" t="n">
        <v>6281335077626</v>
      </c>
      <c r="Y4156" s="22" t="str">
        <f aca="false">O4156</f>
        <v>QC Inspector</v>
      </c>
      <c r="Z4156" s="13" t="str">
        <f aca="false">IFERROR(__xludf.dummyfunction("if(BJ4156="""","""",GOOGLETRANSLATE(BJ4156,""auto"",""en""))"),"QC Inspector")</f>
        <v>QC Inspector</v>
      </c>
      <c r="AA4156" s="23" t="str">
        <f aca="false">IF(C4156="","", CHOOSE(MONTH(C4156),"January","February","March","April","May","June","July","August","September","October","November","December")&amp;" "&amp;DAY(C4156)&amp;MID("thstndrdth",MIN(9,2*RIGHT(DAY(C4156))*(MOD(DAY(C4156)-11,100)&gt;2)+1),2)&amp;","&amp;TEXT(C4156," yyyy"))</f>
        <v>September 8th,2026</v>
      </c>
      <c r="AB4156" s="15" t="str">
        <f aca="true">IF(S4156="","",DATEDIF(S4156,TODAY(),"Y")&amp;" Tahun, "&amp;DATEDIF(S4156,TODAY(),"YM")&amp;" Bulan, "&amp;DATEDIF(S4156,TODAY(),"MD")&amp;" Hari")</f>
        <v>22 Tahun, 10 Bulan, 19 Hari</v>
      </c>
      <c r="AC4156" s="14" t="n">
        <v>46273</v>
      </c>
      <c r="AD4156" s="18" t="n">
        <v>46387</v>
      </c>
      <c r="AE4156" s="13" t="s">
        <v>397</v>
      </c>
    </row>
    <row r="4157" customFormat="false" ht="15" hidden="false" customHeight="true" outlineLevel="0" collapsed="false">
      <c r="A4157" s="12" t="n">
        <v>22790</v>
      </c>
      <c r="B4157" s="13" t="s">
        <v>17032</v>
      </c>
      <c r="C4157" s="14" t="n">
        <v>46269</v>
      </c>
      <c r="D4157" s="13" t="s">
        <v>15103</v>
      </c>
      <c r="E4157" s="13" t="s">
        <v>47</v>
      </c>
      <c r="F4157" s="24" t="s">
        <v>17033</v>
      </c>
      <c r="G4157" s="13" t="s">
        <v>1452</v>
      </c>
      <c r="H4157" s="13" t="s">
        <v>3024</v>
      </c>
      <c r="I4157" s="13" t="str">
        <f aca="false">IF(C4157=J4157,"NEW KONTRAK","RE-KONTRAK")</f>
        <v>NEW KONTRAK</v>
      </c>
      <c r="J4157" s="16" t="n">
        <f aca="false" t="array" ref="J4157:J4157">IFERROR(INDEX(AC4157:AE4157,IF(COUNTA(AC4157:AE4157)=0,"",MAX((AC4157:AE4157&lt;&gt;"")*(COLUMN(AC4157:AE4157)-(COLUMN(AC4157)))))-1),"")</f>
        <v>46269</v>
      </c>
      <c r="K4157" s="16" t="n">
        <f aca="false" t="array" ref="K4157:K4157">IFERROR(INDEX(AC4157:AE4157,IF(COUNTA(AC4157:AE4157)=0,"",MAX((AC4157:AE4157&lt;&gt;"")*(COLUMN(AC4157:AE4157)-(COLUMN(AC4157)-1))))-1),"")</f>
        <v>46359</v>
      </c>
      <c r="L4157" s="17" t="str">
        <f aca="false" t="array" ref="L4157:L4157">IFERROR(INDEX(AC4157:AE4157,IF(COUNTA(AC4157:AE4157)=0,"",MAX((AC4157:AE4157&lt;&gt;"")*(COLUMN(AC4157:AE4157)-(COLUMN(AC4157)-2))))-1),"")</f>
        <v>KEMBALI</v>
      </c>
      <c r="M4157" s="13" t="n">
        <f aca="true">K4157-TODAY()</f>
        <v>35</v>
      </c>
      <c r="N4157" s="18" t="s">
        <v>36</v>
      </c>
      <c r="O4157" s="13" t="s">
        <v>719</v>
      </c>
      <c r="P4157" s="26" t="n">
        <v>112500</v>
      </c>
      <c r="Q4157" s="20" t="s">
        <v>17034</v>
      </c>
      <c r="R4157" s="13" t="s">
        <v>39</v>
      </c>
      <c r="S4157" s="25" t="n">
        <v>39132</v>
      </c>
      <c r="T4157" s="13" t="s">
        <v>40</v>
      </c>
      <c r="U4157" s="13" t="s">
        <v>17035</v>
      </c>
      <c r="V4157" s="13" t="s">
        <v>42</v>
      </c>
      <c r="W4157" s="13" t="s">
        <v>43</v>
      </c>
      <c r="X4157" s="21" t="n">
        <v>8814950619</v>
      </c>
      <c r="Y4157" s="22" t="str">
        <f aca="false">O4157</f>
        <v>Cleaning Service</v>
      </c>
      <c r="Z4157" s="13" t="str">
        <f aca="false">IFERROR(__xludf.dummyfunction("if(BJ4157="""","""",GOOGLETRANSLATE(BJ4157,""auto"",""en""))"),"Cleaning Service")</f>
        <v>Cleaning Service</v>
      </c>
      <c r="AA4157" s="23" t="str">
        <f aca="false">IF(C4157="","", CHOOSE(MONTH(C4157),"January","February","March","April","May","June","July","August","September","October","November","December")&amp;" "&amp;DAY(C4157)&amp;MID("thstndrdth",MIN(9,2*RIGHT(DAY(C4157))*(MOD(DAY(C4157)-11,100)&gt;2)+1),2)&amp;","&amp;TEXT(C4157," yyyy"))</f>
        <v>September 4th,2026</v>
      </c>
      <c r="AB4157" s="15" t="str">
        <f aca="true">IF(S4157="","",DATEDIF(S4157,TODAY(),"Y")&amp;" Tahun, "&amp;DATEDIF(S4157,TODAY(),"YM")&amp;" Bulan, "&amp;DATEDIF(S4157,TODAY(),"MD")&amp;" Hari")</f>
        <v>19 Tahun, 8 Bulan, 10 Hari</v>
      </c>
      <c r="AC4157" s="14" t="n">
        <v>46269</v>
      </c>
      <c r="AD4157" s="18" t="n">
        <f aca="false">EDATE(AC4157,3)-1</f>
        <v>46359</v>
      </c>
      <c r="AE4157" s="13" t="s">
        <v>397</v>
      </c>
    </row>
    <row r="4158" customFormat="false" ht="15" hidden="false" customHeight="true" outlineLevel="0" collapsed="false">
      <c r="A4158" s="12" t="n">
        <v>22791</v>
      </c>
      <c r="B4158" s="13" t="s">
        <v>17036</v>
      </c>
      <c r="C4158" s="14" t="n">
        <v>46269</v>
      </c>
      <c r="D4158" s="13" t="s">
        <v>15103</v>
      </c>
      <c r="E4158" s="13" t="s">
        <v>47</v>
      </c>
      <c r="F4158" s="24" t="s">
        <v>17037</v>
      </c>
      <c r="G4158" s="13" t="s">
        <v>1452</v>
      </c>
      <c r="H4158" s="13" t="s">
        <v>3024</v>
      </c>
      <c r="I4158" s="13" t="str">
        <f aca="false">IF(C4158=J4158,"NEW KONTRAK","RE-KONTRAK")</f>
        <v>NEW KONTRAK</v>
      </c>
      <c r="J4158" s="16" t="n">
        <f aca="false" t="array" ref="J4158:J4158">IFERROR(INDEX(AC4158:AE4158,IF(COUNTA(AC4158:AE4158)=0,"",MAX((AC4158:AE4158&lt;&gt;"")*(COLUMN(AC4158:AE4158)-(COLUMN(AC4158)))))-1),"")</f>
        <v>46269</v>
      </c>
      <c r="K4158" s="16" t="n">
        <f aca="false" t="array" ref="K4158:K4158">IFERROR(INDEX(AC4158:AE4158,IF(COUNTA(AC4158:AE4158)=0,"",MAX((AC4158:AE4158&lt;&gt;"")*(COLUMN(AC4158:AE4158)-(COLUMN(AC4158)-1))))-1),"")</f>
        <v>46359</v>
      </c>
      <c r="L4158" s="17" t="str">
        <f aca="false" t="array" ref="L4158:L4158">IFERROR(INDEX(AC4158:AE4158,IF(COUNTA(AC4158:AE4158)=0,"",MAX((AC4158:AE4158&lt;&gt;"")*(COLUMN(AC4158:AE4158)-(COLUMN(AC4158)-2))))-1),"")</f>
        <v>KEMBALI</v>
      </c>
      <c r="M4158" s="13" t="n">
        <f aca="true">K4158-TODAY()</f>
        <v>35</v>
      </c>
      <c r="N4158" s="18" t="s">
        <v>36</v>
      </c>
      <c r="O4158" s="13" t="s">
        <v>719</v>
      </c>
      <c r="P4158" s="26" t="n">
        <v>112500</v>
      </c>
      <c r="Q4158" s="20" t="s">
        <v>17038</v>
      </c>
      <c r="R4158" s="13" t="s">
        <v>728</v>
      </c>
      <c r="S4158" s="25" t="n">
        <v>39198</v>
      </c>
      <c r="T4158" s="13" t="s">
        <v>40</v>
      </c>
      <c r="U4158" s="13" t="s">
        <v>17039</v>
      </c>
      <c r="V4158" s="13" t="s">
        <v>42</v>
      </c>
      <c r="W4158" s="13" t="s">
        <v>43</v>
      </c>
      <c r="X4158" s="21" t="n">
        <v>85955305346</v>
      </c>
      <c r="Y4158" s="22" t="str">
        <f aca="false">O4158</f>
        <v>Cleaning Service</v>
      </c>
      <c r="Z4158" s="13" t="str">
        <f aca="false">IFERROR(__xludf.dummyfunction("if(BJ4158="""","""",GOOGLETRANSLATE(BJ4158,""auto"",""en""))"),"Cleaning Service")</f>
        <v>Cleaning Service</v>
      </c>
      <c r="AA4158" s="23" t="str">
        <f aca="false">IF(C4158="","", CHOOSE(MONTH(C4158),"January","February","March","April","May","June","July","August","September","October","November","December")&amp;" "&amp;DAY(C4158)&amp;MID("thstndrdth",MIN(9,2*RIGHT(DAY(C4158))*(MOD(DAY(C4158)-11,100)&gt;2)+1),2)&amp;","&amp;TEXT(C4158," yyyy"))</f>
        <v>September 4th,2026</v>
      </c>
      <c r="AB4158" s="15" t="str">
        <f aca="true">IF(S4158="","",DATEDIF(S4158,TODAY(),"Y")&amp;" Tahun, "&amp;DATEDIF(S4158,TODAY(),"YM")&amp;" Bulan, "&amp;DATEDIF(S4158,TODAY(),"MD")&amp;" Hari")</f>
        <v>19 Tahun, 6 Bulan, 3 Hari</v>
      </c>
      <c r="AC4158" s="14" t="n">
        <v>46269</v>
      </c>
      <c r="AD4158" s="18" t="n">
        <f aca="false">EDATE(AC4158,3)-1</f>
        <v>46359</v>
      </c>
      <c r="AE4158" s="13" t="s">
        <v>397</v>
      </c>
    </row>
    <row r="4159" customFormat="false" ht="15" hidden="false" customHeight="true" outlineLevel="0" collapsed="false">
      <c r="A4159" s="12" t="n">
        <v>22792</v>
      </c>
      <c r="B4159" s="13" t="s">
        <v>17040</v>
      </c>
      <c r="C4159" s="14" t="n">
        <v>46269</v>
      </c>
      <c r="D4159" s="13" t="s">
        <v>15103</v>
      </c>
      <c r="E4159" s="13" t="s">
        <v>47</v>
      </c>
      <c r="F4159" s="24" t="s">
        <v>17041</v>
      </c>
      <c r="G4159" s="13" t="s">
        <v>1452</v>
      </c>
      <c r="H4159" s="13" t="s">
        <v>3024</v>
      </c>
      <c r="I4159" s="13" t="str">
        <f aca="false">IF(C4159=J4159,"NEW KONTRAK","RE-KONTRAK")</f>
        <v>NEW KONTRAK</v>
      </c>
      <c r="J4159" s="16" t="n">
        <f aca="false" t="array" ref="J4159:J4159">IFERROR(INDEX(AC4159:AE4159,IF(COUNTA(AC4159:AE4159)=0,"",MAX((AC4159:AE4159&lt;&gt;"")*(COLUMN(AC4159:AE4159)-(COLUMN(AC4159)))))-1),"")</f>
        <v>46269</v>
      </c>
      <c r="K4159" s="16" t="n">
        <f aca="false" t="array" ref="K4159:K4159">IFERROR(INDEX(AC4159:AE4159,IF(COUNTA(AC4159:AE4159)=0,"",MAX((AC4159:AE4159&lt;&gt;"")*(COLUMN(AC4159:AE4159)-(COLUMN(AC4159)-1))))-1),"")</f>
        <v>46359</v>
      </c>
      <c r="L4159" s="17" t="str">
        <f aca="false" t="array" ref="L4159:L4159">IFERROR(INDEX(AC4159:AE4159,IF(COUNTA(AC4159:AE4159)=0,"",MAX((AC4159:AE4159&lt;&gt;"")*(COLUMN(AC4159:AE4159)-(COLUMN(AC4159)-2))))-1),"")</f>
        <v>KEMBALI</v>
      </c>
      <c r="M4159" s="13" t="n">
        <f aca="true">K4159-TODAY()</f>
        <v>35</v>
      </c>
      <c r="N4159" s="18" t="s">
        <v>36</v>
      </c>
      <c r="O4159" s="13" t="s">
        <v>719</v>
      </c>
      <c r="P4159" s="26" t="n">
        <v>112500</v>
      </c>
      <c r="Q4159" s="20" t="s">
        <v>17042</v>
      </c>
      <c r="R4159" s="13" t="s">
        <v>148</v>
      </c>
      <c r="S4159" s="25" t="n">
        <v>34620</v>
      </c>
      <c r="T4159" s="13" t="s">
        <v>40</v>
      </c>
      <c r="U4159" s="13" t="s">
        <v>17043</v>
      </c>
      <c r="V4159" s="13" t="s">
        <v>42</v>
      </c>
      <c r="W4159" s="13" t="s">
        <v>54</v>
      </c>
      <c r="X4159" s="21" t="s">
        <v>17044</v>
      </c>
      <c r="Y4159" s="22" t="str">
        <f aca="false">O4159</f>
        <v>Cleaning Service</v>
      </c>
      <c r="Z4159" s="13" t="str">
        <f aca="false">IFERROR(__xludf.dummyfunction("if(BJ4159="""","""",GOOGLETRANSLATE(BJ4159,""auto"",""en""))"),"Cleaning Service")</f>
        <v>Cleaning Service</v>
      </c>
      <c r="AA4159" s="23" t="str">
        <f aca="false">IF(C4159="","", CHOOSE(MONTH(C4159),"January","February","March","April","May","June","July","August","September","October","November","December")&amp;" "&amp;DAY(C4159)&amp;MID("thstndrdth",MIN(9,2*RIGHT(DAY(C4159))*(MOD(DAY(C4159)-11,100)&gt;2)+1),2)&amp;","&amp;TEXT(C4159," yyyy"))</f>
        <v>September 4th,2026</v>
      </c>
      <c r="AB4159" s="15" t="str">
        <f aca="true">IF(S4159="","",DATEDIF(S4159,TODAY(),"Y")&amp;" Tahun, "&amp;DATEDIF(S4159,TODAY(),"YM")&amp;" Bulan, "&amp;DATEDIF(S4159,TODAY(),"MD")&amp;" Hari")</f>
        <v>32 Tahun, 0 Bulan, 16 Hari</v>
      </c>
      <c r="AC4159" s="14" t="n">
        <v>46269</v>
      </c>
      <c r="AD4159" s="18" t="n">
        <f aca="false">EDATE(AC4159,3)-1</f>
        <v>46359</v>
      </c>
      <c r="AE4159" s="13" t="s">
        <v>397</v>
      </c>
    </row>
    <row r="4160" customFormat="false" ht="15" hidden="false" customHeight="true" outlineLevel="0" collapsed="false">
      <c r="A4160" s="12" t="n">
        <v>22793</v>
      </c>
      <c r="B4160" s="13" t="s">
        <v>17045</v>
      </c>
      <c r="C4160" s="14" t="n">
        <v>46270</v>
      </c>
      <c r="D4160" s="13" t="s">
        <v>5726</v>
      </c>
      <c r="E4160" s="13" t="s">
        <v>47</v>
      </c>
      <c r="F4160" s="24" t="s">
        <v>17046</v>
      </c>
      <c r="G4160" s="13" t="s">
        <v>1452</v>
      </c>
      <c r="H4160" s="13" t="s">
        <v>35</v>
      </c>
      <c r="I4160" s="13" t="str">
        <f aca="false">IF(C4160=J4160,"NEW KONTRAK","RE-KONTRAK")</f>
        <v>NEW KONTRAK</v>
      </c>
      <c r="J4160" s="16" t="n">
        <f aca="false" t="array" ref="J4160:J4160">IFERROR(INDEX(AC4160:AE4160,IF(COUNTA(AC4160:AE4160)=0,"",MAX((AC4160:AE4160&lt;&gt;"")*(COLUMN(AC4160:AE4160)-(COLUMN(AC4160)))))-1),"")</f>
        <v>46270</v>
      </c>
      <c r="K4160" s="16" t="n">
        <f aca="false" t="array" ref="K4160:K4160">IFERROR(INDEX(AC4160:AE4160,IF(COUNTA(AC4160:AE4160)=0,"",MAX((AC4160:AE4160&lt;&gt;"")*(COLUMN(AC4160:AE4160)-(COLUMN(AC4160)-1))))-1),"")</f>
        <v>46360</v>
      </c>
      <c r="L4160" s="17" t="str">
        <f aca="false" t="array" ref="L4160:L4160">IFERROR(INDEX(AC4160:AE4160,IF(COUNTA(AC4160:AE4160)=0,"",MAX((AC4160:AE4160&lt;&gt;"")*(COLUMN(AC4160:AE4160)-(COLUMN(AC4160)-2))))-1),"")</f>
        <v>KEMBALI</v>
      </c>
      <c r="M4160" s="13" t="n">
        <f aca="true">K4160-TODAY()</f>
        <v>36</v>
      </c>
      <c r="N4160" s="18" t="s">
        <v>615</v>
      </c>
      <c r="O4160" s="13" t="s">
        <v>1531</v>
      </c>
      <c r="P4160" s="19" t="n">
        <v>5176101</v>
      </c>
      <c r="Q4160" s="20" t="s">
        <v>17047</v>
      </c>
      <c r="R4160" s="13" t="s">
        <v>260</v>
      </c>
      <c r="S4160" s="25" t="n">
        <v>36447</v>
      </c>
      <c r="T4160" s="13" t="s">
        <v>108</v>
      </c>
      <c r="U4160" s="13" t="s">
        <v>17048</v>
      </c>
      <c r="V4160" s="13" t="s">
        <v>42</v>
      </c>
      <c r="W4160" s="13" t="s">
        <v>54</v>
      </c>
      <c r="X4160" s="21" t="n">
        <v>81615235042</v>
      </c>
      <c r="Y4160" s="22" t="str">
        <f aca="false">O4160</f>
        <v>Packer</v>
      </c>
      <c r="Z4160" s="13" t="str">
        <f aca="false">IFERROR(__xludf.dummyfunction("if(BJ4160="""","""",GOOGLETRANSLATE(BJ4160,""auto"",""en""))"),"Packer")</f>
        <v>Packer</v>
      </c>
      <c r="AA4160" s="23" t="str">
        <f aca="false">IF(C4160="","", CHOOSE(MONTH(C4160),"January","February","March","April","May","June","July","August","September","October","November","December")&amp;" "&amp;DAY(C4160)&amp;MID("thstndrdth",MIN(9,2*RIGHT(DAY(C4160))*(MOD(DAY(C4160)-11,100)&gt;2)+1),2)&amp;","&amp;TEXT(C4160," yyyy"))</f>
        <v>September 5th,2026</v>
      </c>
      <c r="AB4160" s="15" t="str">
        <f aca="true">IF(S4160="","",DATEDIF(S4160,TODAY(),"Y")&amp;" Tahun, "&amp;DATEDIF(S4160,TODAY(),"YM")&amp;" Bulan, "&amp;DATEDIF(S4160,TODAY(),"MD")&amp;" Hari")</f>
        <v>27 Tahun, 0 Bulan, 15 Hari</v>
      </c>
      <c r="AC4160" s="14" t="n">
        <v>46270</v>
      </c>
      <c r="AD4160" s="18" t="n">
        <f aca="false">EDATE(AC4160,3)-1</f>
        <v>46360</v>
      </c>
      <c r="AE4160" s="13" t="s">
        <v>397</v>
      </c>
    </row>
    <row r="4161" customFormat="false" ht="15" hidden="false" customHeight="true" outlineLevel="0" collapsed="false">
      <c r="A4161" s="12" t="n">
        <v>22794</v>
      </c>
      <c r="B4161" s="13" t="s">
        <v>17049</v>
      </c>
      <c r="C4161" s="14" t="n">
        <v>46270</v>
      </c>
      <c r="D4161" s="13" t="s">
        <v>5726</v>
      </c>
      <c r="E4161" s="13" t="s">
        <v>47</v>
      </c>
      <c r="F4161" s="24" t="s">
        <v>17050</v>
      </c>
      <c r="G4161" s="13" t="s">
        <v>1452</v>
      </c>
      <c r="H4161" s="13" t="s">
        <v>35</v>
      </c>
      <c r="I4161" s="13" t="str">
        <f aca="false">IF(C4161=J4161,"NEW KONTRAK","RE-KONTRAK")</f>
        <v>NEW KONTRAK</v>
      </c>
      <c r="J4161" s="16" t="n">
        <f aca="false" t="array" ref="J4161:J4161">IFERROR(INDEX(AC4161:AE4161,IF(COUNTA(AC4161:AE4161)=0,"",MAX((AC4161:AE4161&lt;&gt;"")*(COLUMN(AC4161:AE4161)-(COLUMN(AC4161)))))-1),"")</f>
        <v>46270</v>
      </c>
      <c r="K4161" s="16" t="n">
        <f aca="false" t="array" ref="K4161:K4161">IFERROR(INDEX(AC4161:AE4161,IF(COUNTA(AC4161:AE4161)=0,"",MAX((AC4161:AE4161&lt;&gt;"")*(COLUMN(AC4161:AE4161)-(COLUMN(AC4161)-1))))-1),"")</f>
        <v>46360</v>
      </c>
      <c r="L4161" s="17" t="str">
        <f aca="false" t="array" ref="L4161:L4161">IFERROR(INDEX(AC4161:AE4161,IF(COUNTA(AC4161:AE4161)=0,"",MAX((AC4161:AE4161&lt;&gt;"")*(COLUMN(AC4161:AE4161)-(COLUMN(AC4161)-2))))-1),"")</f>
        <v>KEMBALI</v>
      </c>
      <c r="M4161" s="13" t="n">
        <f aca="true">K4161-TODAY()</f>
        <v>36</v>
      </c>
      <c r="N4161" s="18" t="s">
        <v>615</v>
      </c>
      <c r="O4161" s="13" t="s">
        <v>1531</v>
      </c>
      <c r="P4161" s="19" t="n">
        <v>5176101</v>
      </c>
      <c r="Q4161" s="20" t="s">
        <v>17051</v>
      </c>
      <c r="R4161" s="13" t="s">
        <v>232</v>
      </c>
      <c r="S4161" s="25" t="n">
        <v>36432</v>
      </c>
      <c r="T4161" s="13" t="s">
        <v>108</v>
      </c>
      <c r="U4161" s="13" t="s">
        <v>17052</v>
      </c>
      <c r="V4161" s="13" t="s">
        <v>42</v>
      </c>
      <c r="W4161" s="13" t="s">
        <v>54</v>
      </c>
      <c r="X4161" s="21" t="n">
        <v>81515721879</v>
      </c>
      <c r="Y4161" s="22" t="str">
        <f aca="false">O4161</f>
        <v>Packer</v>
      </c>
      <c r="Z4161" s="13" t="str">
        <f aca="false">IFERROR(__xludf.dummyfunction("if(BJ4161="""","""",GOOGLETRANSLATE(BJ4161,""auto"",""en""))"),"Packer")</f>
        <v>Packer</v>
      </c>
      <c r="AA4161" s="23" t="str">
        <f aca="false">IF(C4161="","", CHOOSE(MONTH(C4161),"January","February","March","April","May","June","July","August","September","October","November","December")&amp;" "&amp;DAY(C4161)&amp;MID("thstndrdth",MIN(9,2*RIGHT(DAY(C4161))*(MOD(DAY(C4161)-11,100)&gt;2)+1),2)&amp;","&amp;TEXT(C4161," yyyy"))</f>
        <v>September 5th,2026</v>
      </c>
      <c r="AB4161" s="15" t="str">
        <f aca="true">IF(S4161="","",DATEDIF(S4161,TODAY(),"Y")&amp;" Tahun, "&amp;DATEDIF(S4161,TODAY(),"YM")&amp;" Bulan, "&amp;DATEDIF(S4161,TODAY(),"MD")&amp;" Hari")</f>
        <v>27 Tahun, 1 Bulan, 0 Hari</v>
      </c>
      <c r="AC4161" s="14" t="n">
        <v>46270</v>
      </c>
      <c r="AD4161" s="18" t="n">
        <f aca="false">EDATE(AC4161,3)-1</f>
        <v>46360</v>
      </c>
      <c r="AE4161" s="13" t="s">
        <v>397</v>
      </c>
    </row>
    <row r="4162" customFormat="false" ht="15" hidden="false" customHeight="true" outlineLevel="0" collapsed="false">
      <c r="A4162" s="12" t="n">
        <v>22796</v>
      </c>
      <c r="B4162" s="13" t="s">
        <v>17053</v>
      </c>
      <c r="C4162" s="14" t="n">
        <v>46279</v>
      </c>
      <c r="D4162" s="13" t="s">
        <v>6638</v>
      </c>
      <c r="E4162" s="13" t="s">
        <v>47</v>
      </c>
      <c r="F4162" s="24" t="s">
        <v>17054</v>
      </c>
      <c r="G4162" s="13" t="s">
        <v>1452</v>
      </c>
      <c r="H4162" s="13" t="s">
        <v>35</v>
      </c>
      <c r="I4162" s="13" t="str">
        <f aca="false">IF(C4162=J4162,"NEW KONTRAK","RE-KONTRAK")</f>
        <v>NEW KONTRAK</v>
      </c>
      <c r="J4162" s="16" t="n">
        <f aca="false" t="array" ref="J4162:J4162">IFERROR(INDEX(AC4162:AE4162,IF(COUNTA(AC4162:AE4162)=0,"",MAX((AC4162:AE4162&lt;&gt;"")*(COLUMN(AC4162:AE4162)-(COLUMN(AC4162)))))-1),"")</f>
        <v>46279</v>
      </c>
      <c r="K4162" s="16" t="n">
        <f aca="false" t="array" ref="K4162:K4162">IFERROR(INDEX(AC4162:AE4162,IF(COUNTA(AC4162:AE4162)=0,"",MAX((AC4162:AE4162&lt;&gt;"")*(COLUMN(AC4162:AE4162)-(COLUMN(AC4162)-1))))-1),"")</f>
        <v>46369</v>
      </c>
      <c r="L4162" s="17" t="str">
        <f aca="false" t="array" ref="L4162:L4162">IFERROR(INDEX(AC4162:AE4162,IF(COUNTA(AC4162:AE4162)=0,"",MAX((AC4162:AE4162&lt;&gt;"")*(COLUMN(AC4162:AE4162)-(COLUMN(AC4162)-2))))-1),"")</f>
        <v>ARCHIVED</v>
      </c>
      <c r="M4162" s="13" t="n">
        <f aca="true">K4162-TODAY()</f>
        <v>45</v>
      </c>
      <c r="N4162" s="18" t="s">
        <v>4735</v>
      </c>
      <c r="O4162" s="13" t="s">
        <v>13456</v>
      </c>
      <c r="P4162" s="26" t="n">
        <v>3113530</v>
      </c>
      <c r="Q4162" s="20" t="s">
        <v>17055</v>
      </c>
      <c r="R4162" s="13" t="s">
        <v>17056</v>
      </c>
      <c r="S4162" s="25" t="n">
        <v>37423</v>
      </c>
      <c r="T4162" s="13" t="s">
        <v>108</v>
      </c>
      <c r="U4162" s="13" t="s">
        <v>17057</v>
      </c>
      <c r="V4162" s="13" t="s">
        <v>42</v>
      </c>
      <c r="W4162" s="13" t="s">
        <v>43</v>
      </c>
      <c r="X4162" s="21" t="n">
        <v>87773091575</v>
      </c>
      <c r="Y4162" s="22" t="str">
        <f aca="false">O4162</f>
        <v>Recruitment Staff</v>
      </c>
      <c r="Z4162" s="13" t="str">
        <f aca="false">IFERROR(__xludf.dummyfunction("if(BJ4162="""","""",GOOGLETRANSLATE(BJ4162,""auto"",""en""))"),"Recruitment Staff")</f>
        <v>Recruitment Staff</v>
      </c>
      <c r="AA4162" s="23" t="str">
        <f aca="false">IF(C4162="","", CHOOSE(MONTH(C4162),"January","February","March","April","May","June","July","August","September","October","November","December")&amp;" "&amp;DAY(C4162)&amp;MID("thstndrdth",MIN(9,2*RIGHT(DAY(C4162))*(MOD(DAY(C4162)-11,100)&gt;2)+1),2)&amp;","&amp;TEXT(C4162," yyyy"))</f>
        <v>September 14th,2026</v>
      </c>
      <c r="AB4162" s="15" t="str">
        <f aca="true">IF(S4162="","",DATEDIF(S4162,TODAY(),"Y")&amp;" Tahun, "&amp;DATEDIF(S4162,TODAY(),"YM")&amp;" Bulan, "&amp;DATEDIF(S4162,TODAY(),"MD")&amp;" Hari")</f>
        <v>24 Tahun, 4 Bulan, 13 Hari</v>
      </c>
      <c r="AC4162" s="14" t="n">
        <v>46279</v>
      </c>
      <c r="AD4162" s="18" t="n">
        <f aca="false">EDATE(AC4162,3)-1</f>
        <v>46369</v>
      </c>
      <c r="AE4162" s="13" t="s">
        <v>44</v>
      </c>
    </row>
    <row r="4163" customFormat="false" ht="15" hidden="false" customHeight="true" outlineLevel="0" collapsed="false">
      <c r="A4163" s="12" t="n">
        <v>22797</v>
      </c>
      <c r="B4163" s="13" t="s">
        <v>17058</v>
      </c>
      <c r="C4163" s="14" t="n">
        <v>46266</v>
      </c>
      <c r="D4163" s="13" t="s">
        <v>144</v>
      </c>
      <c r="E4163" s="13" t="s">
        <v>47</v>
      </c>
      <c r="F4163" s="24" t="s">
        <v>17059</v>
      </c>
      <c r="G4163" s="13" t="s">
        <v>1452</v>
      </c>
      <c r="H4163" s="13" t="s">
        <v>35</v>
      </c>
      <c r="I4163" s="13" t="str">
        <f aca="false">IF(C4163=J4163,"NEW KONTRAK","RE-KONTRAK")</f>
        <v>NEW KONTRAK</v>
      </c>
      <c r="J4163" s="16" t="n">
        <f aca="false" t="array" ref="J4163:J4163">IFERROR(INDEX(AC4163:AE4163,IF(COUNTA(AC4163:AE4163)=0,"",MAX((AC4163:AE4163&lt;&gt;"")*(COLUMN(AC4163:AE4163)-(COLUMN(AC4163)))))-1),"")</f>
        <v>46266</v>
      </c>
      <c r="K4163" s="16" t="n">
        <f aca="false" t="array" ref="K4163:K4163">IFERROR(INDEX(AC4163:AE4163,IF(COUNTA(AC4163:AE4163)=0,"",MAX((AC4163:AE4163&lt;&gt;"")*(COLUMN(AC4163:AE4163)-(COLUMN(AC4163)-1))))-1),"")</f>
        <v>46356</v>
      </c>
      <c r="L4163" s="17" t="str">
        <f aca="false" t="array" ref="L4163:L4163">IFERROR(INDEX(AC4163:AE4163,IF(COUNTA(AC4163:AE4163)=0,"",MAX((AC4163:AE4163&lt;&gt;"")*(COLUMN(AC4163:AE4163)-(COLUMN(AC4163)-2))))-1),"")</f>
        <v>KEMBALI</v>
      </c>
      <c r="M4163" s="13" t="n">
        <f aca="true">K4163-TODAY()</f>
        <v>32</v>
      </c>
      <c r="N4163" s="18" t="s">
        <v>36</v>
      </c>
      <c r="O4163" s="13" t="s">
        <v>2384</v>
      </c>
      <c r="P4163" s="26" t="n">
        <v>5195401</v>
      </c>
      <c r="Q4163" s="20" t="s">
        <v>17060</v>
      </c>
      <c r="R4163" s="13" t="s">
        <v>52</v>
      </c>
      <c r="S4163" s="25" t="n">
        <v>34134</v>
      </c>
      <c r="T4163" s="13" t="s">
        <v>108</v>
      </c>
      <c r="U4163" s="13" t="s">
        <v>17061</v>
      </c>
      <c r="V4163" s="13" t="s">
        <v>42</v>
      </c>
      <c r="W4163" s="13" t="s">
        <v>43</v>
      </c>
      <c r="X4163" s="21" t="n">
        <v>81321864690</v>
      </c>
      <c r="Y4163" s="22" t="str">
        <f aca="false">O4163</f>
        <v>SPG</v>
      </c>
      <c r="Z4163" s="13" t="str">
        <f aca="false">IFERROR(__xludf.dummyfunction("if(BJ4163="""","""",GOOGLETRANSLATE(BJ4163,""auto"",""en""))"),"SPG")</f>
        <v>SPG</v>
      </c>
      <c r="AA4163" s="23" t="str">
        <f aca="false">IF(C4163="","", CHOOSE(MONTH(C4163),"January","February","March","April","May","June","July","August","September","October","November","December")&amp;" "&amp;DAY(C4163)&amp;MID("thstndrdth",MIN(9,2*RIGHT(DAY(C4163))*(MOD(DAY(C4163)-11,100)&gt;2)+1),2)&amp;","&amp;TEXT(C4163," yyyy"))</f>
        <v>September 1st,2026</v>
      </c>
      <c r="AB4163" s="15" t="str">
        <f aca="true">IF(S4163="","",DATEDIF(S4163,TODAY(),"Y")&amp;" Tahun, "&amp;DATEDIF(S4163,TODAY(),"YM")&amp;" Bulan, "&amp;DATEDIF(S4163,TODAY(),"MD")&amp;" Hari")</f>
        <v>33 Tahun, 4 Bulan, 15 Hari</v>
      </c>
      <c r="AC4163" s="14" t="n">
        <v>46266</v>
      </c>
      <c r="AD4163" s="17" t="n">
        <f aca="false">EDATE(AC4163,3)-1</f>
        <v>46356</v>
      </c>
      <c r="AE4163" s="13" t="s">
        <v>397</v>
      </c>
    </row>
    <row r="4164" customFormat="false" ht="15" hidden="false" customHeight="true" outlineLevel="0" collapsed="false">
      <c r="A4164" s="12" t="n">
        <v>22798</v>
      </c>
      <c r="B4164" s="13" t="s">
        <v>17062</v>
      </c>
      <c r="C4164" s="14" t="n">
        <v>46273</v>
      </c>
      <c r="D4164" s="13" t="s">
        <v>11620</v>
      </c>
      <c r="E4164" s="13" t="s">
        <v>47</v>
      </c>
      <c r="F4164" s="24" t="s">
        <v>17063</v>
      </c>
      <c r="G4164" s="13" t="s">
        <v>1452</v>
      </c>
      <c r="H4164" s="13" t="s">
        <v>35</v>
      </c>
      <c r="I4164" s="13" t="str">
        <f aca="false">IF(C4164=J4164,"NEW KONTRAK","RE-KONTRAK")</f>
        <v>NEW KONTRAK</v>
      </c>
      <c r="J4164" s="16" t="n">
        <f aca="false" t="array" ref="J4164:J4164">IFERROR(INDEX(AC4164:AE4164,IF(COUNTA(AC4164:AE4164)=0,"",MAX((AC4164:AE4164&lt;&gt;"")*(COLUMN(AC4164:AE4164)-(COLUMN(AC4164)))))-1),"")</f>
        <v>46273</v>
      </c>
      <c r="K4164" s="16" t="n">
        <f aca="false" t="array" ref="K4164:K4164">IFERROR(INDEX(AC4164:AE4164,IF(COUNTA(AC4164:AE4164)=0,"",MAX((AC4164:AE4164&lt;&gt;"")*(COLUMN(AC4164:AE4164)-(COLUMN(AC4164)-1))))-1),"")</f>
        <v>46290</v>
      </c>
      <c r="L4164" s="17" t="str">
        <f aca="false" t="array" ref="L4164:L4164">IFERROR(INDEX(AC4164:AE4164,IF(COUNTA(AC4164:AE4164)=0,"",MAX((AC4164:AE4164&lt;&gt;"")*(COLUMN(AC4164:AE4164)-(COLUMN(AC4164)-2))))-1),"")</f>
        <v>ARCHIVED</v>
      </c>
      <c r="M4164" s="13" t="n">
        <f aca="true">K4164-TODAY()</f>
        <v>-34</v>
      </c>
      <c r="N4164" s="18" t="s">
        <v>36</v>
      </c>
      <c r="O4164" s="13" t="s">
        <v>17064</v>
      </c>
      <c r="P4164" s="26" t="n">
        <v>199823</v>
      </c>
      <c r="Q4164" s="20" t="s">
        <v>17065</v>
      </c>
      <c r="R4164" s="13" t="s">
        <v>52</v>
      </c>
      <c r="S4164" s="25" t="n">
        <v>35337</v>
      </c>
      <c r="T4164" s="13" t="s">
        <v>40</v>
      </c>
      <c r="U4164" s="13" t="s">
        <v>17066</v>
      </c>
      <c r="V4164" s="13" t="s">
        <v>42</v>
      </c>
      <c r="W4164" s="13" t="s">
        <v>43</v>
      </c>
      <c r="X4164" s="21" t="n">
        <v>881027120087</v>
      </c>
      <c r="Y4164" s="22" t="str">
        <f aca="false">O4164</f>
        <v>Operator Tubular</v>
      </c>
      <c r="Z4164" s="13" t="str">
        <f aca="false">IFERROR(__xludf.dummyfunction("if(BJ4164="""","""",GOOGLETRANSLATE(BJ4164,""auto"",""en""))"),"Operator Tubular")</f>
        <v>Operator Tubular</v>
      </c>
      <c r="AA4164" s="23" t="str">
        <f aca="false">IF(C4164="","", CHOOSE(MONTH(C4164),"January","February","March","April","May","June","July","August","September","October","November","December")&amp;" "&amp;DAY(C4164)&amp;MID("thstndrdth",MIN(9,2*RIGHT(DAY(C4164))*(MOD(DAY(C4164)-11,100)&gt;2)+1),2)&amp;","&amp;TEXT(C4164," yyyy"))</f>
        <v>September 8th,2026</v>
      </c>
      <c r="AB4164" s="15" t="str">
        <f aca="true">IF(S4164="","",DATEDIF(S4164,TODAY(),"Y")&amp;" Tahun, "&amp;DATEDIF(S4164,TODAY(),"YM")&amp;" Bulan, "&amp;DATEDIF(S4164,TODAY(),"MD")&amp;" Hari")</f>
        <v>30 Tahun, 1 Bulan, 0 Hari</v>
      </c>
      <c r="AC4164" s="14" t="n">
        <v>46273</v>
      </c>
      <c r="AD4164" s="18" t="n">
        <v>46290</v>
      </c>
      <c r="AE4164" s="13" t="s">
        <v>44</v>
      </c>
    </row>
    <row r="4165" customFormat="false" ht="15" hidden="false" customHeight="true" outlineLevel="0" collapsed="false">
      <c r="A4165" s="12" t="n">
        <v>22799</v>
      </c>
      <c r="B4165" s="13" t="s">
        <v>17067</v>
      </c>
      <c r="C4165" s="14" t="n">
        <v>46279</v>
      </c>
      <c r="D4165" s="13" t="s">
        <v>404</v>
      </c>
      <c r="E4165" s="13" t="s">
        <v>102</v>
      </c>
      <c r="F4165" s="24" t="s">
        <v>17068</v>
      </c>
      <c r="G4165" s="13" t="s">
        <v>1452</v>
      </c>
      <c r="H4165" s="13" t="s">
        <v>35</v>
      </c>
      <c r="I4165" s="13" t="str">
        <f aca="false">IF(C4165=J4165,"NEW KONTRAK","RE-KONTRAK")</f>
        <v>NEW KONTRAK</v>
      </c>
      <c r="J4165" s="16" t="n">
        <f aca="false" t="array" ref="J4165:J4165">IFERROR(INDEX(AC4165:AE4165,IF(COUNTA(AC4165:AE4165)=0,"",MAX((AC4165:AE4165&lt;&gt;"")*(COLUMN(AC4165:AE4165)-(COLUMN(AC4165)))))-1),"")</f>
        <v>46279</v>
      </c>
      <c r="K4165" s="16" t="n">
        <f aca="false" t="array" ref="K4165:K4165">IFERROR(INDEX(AC4165:AE4165,IF(COUNTA(AC4165:AE4165)=0,"",MAX((AC4165:AE4165&lt;&gt;"")*(COLUMN(AC4165:AE4165)-(COLUMN(AC4165)-1))))-1),"")</f>
        <v>46387</v>
      </c>
      <c r="L4165" s="17" t="str">
        <f aca="false" t="array" ref="L4165:L4165">IFERROR(INDEX(AC4165:AE4165,IF(COUNTA(AC4165:AE4165)=0,"",MAX((AC4165:AE4165&lt;&gt;"")*(COLUMN(AC4165:AE4165)-(COLUMN(AC4165)-2))))-1),"")</f>
        <v>KEMBALI</v>
      </c>
      <c r="M4165" s="13" t="n">
        <f aca="true">K4165-TODAY()</f>
        <v>63</v>
      </c>
      <c r="N4165" s="18" t="s">
        <v>36</v>
      </c>
      <c r="O4165" s="13" t="s">
        <v>8136</v>
      </c>
      <c r="P4165" s="26" t="n">
        <v>5195401</v>
      </c>
      <c r="Q4165" s="20" t="s">
        <v>17069</v>
      </c>
      <c r="R4165" s="13" t="s">
        <v>232</v>
      </c>
      <c r="S4165" s="25" t="n">
        <v>37710</v>
      </c>
      <c r="T4165" s="13" t="s">
        <v>40</v>
      </c>
      <c r="U4165" s="13" t="s">
        <v>17070</v>
      </c>
      <c r="V4165" s="13" t="s">
        <v>42</v>
      </c>
      <c r="W4165" s="13" t="s">
        <v>43</v>
      </c>
      <c r="X4165" s="21" t="n">
        <v>87729770273</v>
      </c>
      <c r="Y4165" s="22" t="str">
        <f aca="false">O4165</f>
        <v>Analis Lab</v>
      </c>
      <c r="Z4165" s="13" t="str">
        <f aca="false">IFERROR(__xludf.dummyfunction("if(BJ4165="""","""",GOOGLETRANSLATE(BJ4165,""auto"",""en""))"),"Lab Analyst")</f>
        <v>Lab Analyst</v>
      </c>
      <c r="AA4165" s="23" t="str">
        <f aca="false">IF(C4165="","", CHOOSE(MONTH(C4165),"January","February","March","April","May","June","July","August","September","October","November","December")&amp;" "&amp;DAY(C4165)&amp;MID("thstndrdth",MIN(9,2*RIGHT(DAY(C4165))*(MOD(DAY(C4165)-11,100)&gt;2)+1),2)&amp;","&amp;TEXT(C4165," yyyy"))</f>
        <v>September 14th,2026</v>
      </c>
      <c r="AB4165" s="15" t="str">
        <f aca="true">IF(S4165="","",DATEDIF(S4165,TODAY(),"Y")&amp;" Tahun, "&amp;DATEDIF(S4165,TODAY(),"YM")&amp;" Bulan, "&amp;DATEDIF(S4165,TODAY(),"MD")&amp;" Hari")</f>
        <v>23 Tahun, 6 Bulan, 29 Hari</v>
      </c>
      <c r="AC4165" s="14" t="n">
        <v>46279</v>
      </c>
      <c r="AD4165" s="18" t="n">
        <v>46387</v>
      </c>
      <c r="AE4165" s="13" t="s">
        <v>397</v>
      </c>
    </row>
    <row r="4166" customFormat="false" ht="15" hidden="false" customHeight="true" outlineLevel="0" collapsed="false">
      <c r="A4166" s="12" t="n">
        <v>22800</v>
      </c>
      <c r="B4166" s="13" t="s">
        <v>17071</v>
      </c>
      <c r="C4166" s="14" t="n">
        <v>46266</v>
      </c>
      <c r="D4166" s="13" t="s">
        <v>144</v>
      </c>
      <c r="E4166" s="13" t="s">
        <v>47</v>
      </c>
      <c r="F4166" s="24" t="s">
        <v>17072</v>
      </c>
      <c r="G4166" s="13" t="s">
        <v>1452</v>
      </c>
      <c r="H4166" s="13" t="s">
        <v>35</v>
      </c>
      <c r="I4166" s="13" t="str">
        <f aca="false">IF(C4166=J4166,"NEW KONTRAK","RE-KONTRAK")</f>
        <v>NEW KONTRAK</v>
      </c>
      <c r="J4166" s="16" t="n">
        <f aca="false" t="array" ref="J4166:J4166">IFERROR(INDEX(AC4166:AE4166,IF(COUNTA(AC4166:AE4166)=0,"",MAX((AC4166:AE4166&lt;&gt;"")*(COLUMN(AC4166:AE4166)-(COLUMN(AC4166)))))-1),"")</f>
        <v>46266</v>
      </c>
      <c r="K4166" s="16" t="n">
        <f aca="false" t="array" ref="K4166:K4166">IFERROR(INDEX(AC4166:AE4166,IF(COUNTA(AC4166:AE4166)=0,"",MAX((AC4166:AE4166&lt;&gt;"")*(COLUMN(AC4166:AE4166)-(COLUMN(AC4166)-1))))-1),"")</f>
        <v>46356</v>
      </c>
      <c r="L4166" s="17" t="str">
        <f aca="false" t="array" ref="L4166:L4166">IFERROR(INDEX(AC4166:AE4166,IF(COUNTA(AC4166:AE4166)=0,"",MAX((AC4166:AE4166&lt;&gt;"")*(COLUMN(AC4166:AE4166)-(COLUMN(AC4166)-2))))-1),"")</f>
        <v>KEMBALI</v>
      </c>
      <c r="M4166" s="13" t="n">
        <f aca="true">K4166-TODAY()</f>
        <v>32</v>
      </c>
      <c r="N4166" s="18" t="s">
        <v>36</v>
      </c>
      <c r="O4166" s="131" t="s">
        <v>16973</v>
      </c>
      <c r="P4166" s="26" t="n">
        <v>5195401</v>
      </c>
      <c r="Q4166" s="20" t="s">
        <v>17073</v>
      </c>
      <c r="R4166" s="13" t="s">
        <v>241</v>
      </c>
      <c r="S4166" s="25" t="n">
        <v>35854</v>
      </c>
      <c r="T4166" s="13" t="s">
        <v>40</v>
      </c>
      <c r="U4166" s="13" t="s">
        <v>17074</v>
      </c>
      <c r="V4166" s="13" t="s">
        <v>42</v>
      </c>
      <c r="W4166" s="13" t="s">
        <v>54</v>
      </c>
      <c r="X4166" s="21" t="n">
        <v>89681781000</v>
      </c>
      <c r="Y4166" s="22" t="str">
        <f aca="false">O4166</f>
        <v>SPB</v>
      </c>
      <c r="Z4166" s="13" t="str">
        <f aca="false">IFERROR(__xludf.dummyfunction("if(BJ4166="""","""",GOOGLETRANSLATE(BJ4166,""auto"",""en""))"),"SPB")</f>
        <v>SPB</v>
      </c>
      <c r="AA4166" s="23" t="str">
        <f aca="false">IF(C4166="","", CHOOSE(MONTH(C4166),"January","February","March","April","May","June","July","August","September","October","November","December")&amp;" "&amp;DAY(C4166)&amp;MID("thstndrdth",MIN(9,2*RIGHT(DAY(C4166))*(MOD(DAY(C4166)-11,100)&gt;2)+1),2)&amp;","&amp;TEXT(C4166," yyyy"))</f>
        <v>September 1st,2026</v>
      </c>
      <c r="AB4166" s="15" t="str">
        <f aca="true">IF(S4166="","",DATEDIF(S4166,TODAY(),"Y")&amp;" Tahun, "&amp;DATEDIF(S4166,TODAY(),"YM")&amp;" Bulan, "&amp;DATEDIF(S4166,TODAY(),"MD")&amp;" Hari")</f>
        <v>28 Tahun, 8 Bulan, 1 Hari</v>
      </c>
      <c r="AC4166" s="14" t="n">
        <v>46266</v>
      </c>
      <c r="AD4166" s="17" t="n">
        <f aca="false">EDATE(AC4166,3)-1</f>
        <v>46356</v>
      </c>
      <c r="AE4166" s="13" t="s">
        <v>397</v>
      </c>
    </row>
    <row r="4167" customFormat="false" ht="15" hidden="false" customHeight="true" outlineLevel="0" collapsed="false">
      <c r="A4167" s="12" t="n">
        <v>22801</v>
      </c>
      <c r="B4167" s="13" t="s">
        <v>17075</v>
      </c>
      <c r="C4167" s="14" t="n">
        <v>46281</v>
      </c>
      <c r="D4167" s="13" t="s">
        <v>12111</v>
      </c>
      <c r="E4167" s="13" t="s">
        <v>47</v>
      </c>
      <c r="F4167" s="24" t="s">
        <v>17076</v>
      </c>
      <c r="G4167" s="13" t="s">
        <v>1452</v>
      </c>
      <c r="H4167" s="13" t="s">
        <v>35</v>
      </c>
      <c r="I4167" s="13" t="str">
        <f aca="false">IF(C4167=J4167,"NEW KONTRAK","RE-KONTRAK")</f>
        <v>NEW KONTRAK</v>
      </c>
      <c r="J4167" s="16" t="n">
        <f aca="false" t="array" ref="J4167:J4167">IFERROR(INDEX(AC4167:AE4167,IF(COUNTA(AC4167:AE4167)=0,"",MAX((AC4167:AE4167&lt;&gt;"")*(COLUMN(AC4167:AE4167)-(COLUMN(AC4167)))))-1),"")</f>
        <v>46281</v>
      </c>
      <c r="K4167" s="16" t="n">
        <f aca="false" t="array" ref="K4167:K4167">IFERROR(INDEX(AC4167:AE4167,IF(COUNTA(AC4167:AE4167)=0,"",MAX((AC4167:AE4167&lt;&gt;"")*(COLUMN(AC4167:AE4167)-(COLUMN(AC4167)-1))))-1),"")</f>
        <v>46371</v>
      </c>
      <c r="L4167" s="17" t="str">
        <f aca="false" t="array" ref="L4167:L4167">IFERROR(INDEX(AC4167:AE4167,IF(COUNTA(AC4167:AE4167)=0,"",MAX((AC4167:AE4167&lt;&gt;"")*(COLUMN(AC4167:AE4167)-(COLUMN(AC4167)-2))))-1),"")</f>
        <v>KEMBALI</v>
      </c>
      <c r="M4167" s="13" t="n">
        <f aca="true">K4167-TODAY()</f>
        <v>47</v>
      </c>
      <c r="N4167" s="18" t="s">
        <v>615</v>
      </c>
      <c r="O4167" s="13" t="s">
        <v>1531</v>
      </c>
      <c r="P4167" s="19" t="n">
        <v>3105660</v>
      </c>
      <c r="Q4167" s="20" t="s">
        <v>17077</v>
      </c>
      <c r="R4167" s="13" t="s">
        <v>39</v>
      </c>
      <c r="S4167" s="25" t="n">
        <v>38831</v>
      </c>
      <c r="T4167" s="13" t="s">
        <v>40</v>
      </c>
      <c r="U4167" s="13" t="s">
        <v>17078</v>
      </c>
      <c r="V4167" s="13" t="s">
        <v>42</v>
      </c>
      <c r="W4167" s="13" t="s">
        <v>43</v>
      </c>
      <c r="X4167" s="21" t="n">
        <v>83871342199</v>
      </c>
      <c r="Y4167" s="22" t="str">
        <f aca="false">O4167</f>
        <v>Packer</v>
      </c>
      <c r="Z4167" s="13" t="str">
        <f aca="false">IFERROR(__xludf.dummyfunction("if(BJ4167="""","""",GOOGLETRANSLATE(BJ4167,""auto"",""en""))"),"Packer")</f>
        <v>Packer</v>
      </c>
      <c r="AA4167" s="23" t="str">
        <f aca="false">IF(C4167="","", CHOOSE(MONTH(C4167),"January","February","March","April","May","June","July","August","September","October","November","December")&amp;" "&amp;DAY(C4167)&amp;MID("thstndrdth",MIN(9,2*RIGHT(DAY(C4167))*(MOD(DAY(C4167)-11,100)&gt;2)+1),2)&amp;","&amp;TEXT(C4167," yyyy"))</f>
        <v>September 16th,2026</v>
      </c>
      <c r="AB4167" s="15" t="str">
        <f aca="true">IF(S4167="","",DATEDIF(S4167,TODAY(),"Y")&amp;" Tahun, "&amp;DATEDIF(S4167,TODAY(),"YM")&amp;" Bulan, "&amp;DATEDIF(S4167,TODAY(),"MD")&amp;" Hari")</f>
        <v>20 Tahun, 6 Bulan, 5 Hari</v>
      </c>
      <c r="AC4167" s="14" t="n">
        <v>46281</v>
      </c>
      <c r="AD4167" s="18" t="n">
        <f aca="false">EDATE(AC4167,3)-1</f>
        <v>46371</v>
      </c>
      <c r="AE4167" s="13" t="s">
        <v>397</v>
      </c>
    </row>
    <row r="4168" customFormat="false" ht="15" hidden="false" customHeight="true" outlineLevel="0" collapsed="false">
      <c r="A4168" s="12" t="n">
        <v>22802</v>
      </c>
      <c r="B4168" s="13" t="s">
        <v>17079</v>
      </c>
      <c r="C4168" s="14" t="n">
        <v>46281</v>
      </c>
      <c r="D4168" s="13" t="s">
        <v>12111</v>
      </c>
      <c r="E4168" s="13" t="s">
        <v>47</v>
      </c>
      <c r="F4168" s="24" t="s">
        <v>17080</v>
      </c>
      <c r="G4168" s="13" t="s">
        <v>1452</v>
      </c>
      <c r="H4168" s="13" t="s">
        <v>35</v>
      </c>
      <c r="I4168" s="13" t="str">
        <f aca="false">IF(C4168=J4168,"NEW KONTRAK","RE-KONTRAK")</f>
        <v>NEW KONTRAK</v>
      </c>
      <c r="J4168" s="16" t="n">
        <f aca="false" t="array" ref="J4168:J4168">IFERROR(INDEX(AC4168:AE4168,IF(COUNTA(AC4168:AE4168)=0,"",MAX((AC4168:AE4168&lt;&gt;"")*(COLUMN(AC4168:AE4168)-(COLUMN(AC4168)))))-1),"")</f>
        <v>46281</v>
      </c>
      <c r="K4168" s="16" t="n">
        <f aca="false" t="array" ref="K4168:K4168">IFERROR(INDEX(AC4168:AE4168,IF(COUNTA(AC4168:AE4168)=0,"",MAX((AC4168:AE4168&lt;&gt;"")*(COLUMN(AC4168:AE4168)-(COLUMN(AC4168)-1))))-1),"")</f>
        <v>46371</v>
      </c>
      <c r="L4168" s="17" t="str">
        <f aca="false" t="array" ref="L4168:L4168">IFERROR(INDEX(AC4168:AE4168,IF(COUNTA(AC4168:AE4168)=0,"",MAX((AC4168:AE4168&lt;&gt;"")*(COLUMN(AC4168:AE4168)-(COLUMN(AC4168)-2))))-1),"")</f>
        <v>KEMBALI</v>
      </c>
      <c r="M4168" s="13" t="n">
        <f aca="true">K4168-TODAY()</f>
        <v>47</v>
      </c>
      <c r="N4168" s="18" t="s">
        <v>615</v>
      </c>
      <c r="O4168" s="13" t="s">
        <v>1531</v>
      </c>
      <c r="P4168" s="19" t="n">
        <v>3105660</v>
      </c>
      <c r="Q4168" s="20" t="s">
        <v>17081</v>
      </c>
      <c r="R4168" s="13" t="s">
        <v>232</v>
      </c>
      <c r="S4168" s="25" t="n">
        <v>37904</v>
      </c>
      <c r="T4168" s="13" t="s">
        <v>40</v>
      </c>
      <c r="U4168" s="13" t="s">
        <v>17082</v>
      </c>
      <c r="V4168" s="13" t="s">
        <v>42</v>
      </c>
      <c r="W4168" s="13" t="s">
        <v>43</v>
      </c>
      <c r="X4168" s="21" t="n">
        <v>87767274260</v>
      </c>
      <c r="Y4168" s="22" t="str">
        <f aca="false">O4168</f>
        <v>Packer</v>
      </c>
      <c r="Z4168" s="13" t="str">
        <f aca="false">IFERROR(__xludf.dummyfunction("if(BJ4168="""","""",GOOGLETRANSLATE(BJ4168,""auto"",""en""))"),"Packer")</f>
        <v>Packer</v>
      </c>
      <c r="AA4168" s="23" t="str">
        <f aca="false">IF(C4168="","", CHOOSE(MONTH(C4168),"January","February","March","April","May","June","July","August","September","October","November","December")&amp;" "&amp;DAY(C4168)&amp;MID("thstndrdth",MIN(9,2*RIGHT(DAY(C4168))*(MOD(DAY(C4168)-11,100)&gt;2)+1),2)&amp;","&amp;TEXT(C4168," yyyy"))</f>
        <v>September 16th,2026</v>
      </c>
      <c r="AB4168" s="15" t="str">
        <f aca="true">IF(S4168="","",DATEDIF(S4168,TODAY(),"Y")&amp;" Tahun, "&amp;DATEDIF(S4168,TODAY(),"YM")&amp;" Bulan, "&amp;DATEDIF(S4168,TODAY(),"MD")&amp;" Hari")</f>
        <v>23 Tahun, 0 Bulan, 19 Hari</v>
      </c>
      <c r="AC4168" s="14" t="n">
        <v>46281</v>
      </c>
      <c r="AD4168" s="18" t="n">
        <f aca="false">EDATE(AC4168,3)-1</f>
        <v>46371</v>
      </c>
      <c r="AE4168" s="13" t="s">
        <v>397</v>
      </c>
    </row>
    <row r="4169" customFormat="false" ht="15" hidden="false" customHeight="true" outlineLevel="0" collapsed="false">
      <c r="A4169" s="12" t="n">
        <v>22803</v>
      </c>
      <c r="B4169" s="13" t="s">
        <v>17083</v>
      </c>
      <c r="C4169" s="14" t="n">
        <v>46281</v>
      </c>
      <c r="D4169" s="13" t="s">
        <v>12111</v>
      </c>
      <c r="E4169" s="13" t="s">
        <v>47</v>
      </c>
      <c r="F4169" s="24" t="s">
        <v>17084</v>
      </c>
      <c r="G4169" s="13" t="s">
        <v>1452</v>
      </c>
      <c r="H4169" s="13" t="s">
        <v>35</v>
      </c>
      <c r="I4169" s="13" t="str">
        <f aca="false">IF(C4169=J4169,"NEW KONTRAK","RE-KONTRAK")</f>
        <v>NEW KONTRAK</v>
      </c>
      <c r="J4169" s="16" t="n">
        <f aca="false" t="array" ref="J4169:J4169">IFERROR(INDEX(AC4169:AE4169,IF(COUNTA(AC4169:AE4169)=0,"",MAX((AC4169:AE4169&lt;&gt;"")*(COLUMN(AC4169:AE4169)-(COLUMN(AC4169)))))-1),"")</f>
        <v>46281</v>
      </c>
      <c r="K4169" s="16" t="n">
        <f aca="false" t="array" ref="K4169:K4169">IFERROR(INDEX(AC4169:AE4169,IF(COUNTA(AC4169:AE4169)=0,"",MAX((AC4169:AE4169&lt;&gt;"")*(COLUMN(AC4169:AE4169)-(COLUMN(AC4169)-1))))-1),"")</f>
        <v>46371</v>
      </c>
      <c r="L4169" s="17" t="str">
        <f aca="false" t="array" ref="L4169:L4169">IFERROR(INDEX(AC4169:AE4169,IF(COUNTA(AC4169:AE4169)=0,"",MAX((AC4169:AE4169&lt;&gt;"")*(COLUMN(AC4169:AE4169)-(COLUMN(AC4169)-2))))-1),"")</f>
        <v>KEMBALI</v>
      </c>
      <c r="M4169" s="13" t="n">
        <f aca="true">K4169-TODAY()</f>
        <v>47</v>
      </c>
      <c r="N4169" s="18" t="s">
        <v>615</v>
      </c>
      <c r="O4169" s="13" t="s">
        <v>1531</v>
      </c>
      <c r="P4169" s="19" t="n">
        <v>3105660</v>
      </c>
      <c r="Q4169" s="133" t="s">
        <v>17085</v>
      </c>
      <c r="R4169" s="13" t="s">
        <v>232</v>
      </c>
      <c r="S4169" s="25" t="n">
        <v>39379</v>
      </c>
      <c r="T4169" s="13" t="s">
        <v>40</v>
      </c>
      <c r="U4169" s="13" t="s">
        <v>17086</v>
      </c>
      <c r="V4169" s="13" t="s">
        <v>42</v>
      </c>
      <c r="W4169" s="13" t="s">
        <v>43</v>
      </c>
      <c r="X4169" s="21" t="n">
        <v>87752181060</v>
      </c>
      <c r="Y4169" s="22" t="str">
        <f aca="false">O4169</f>
        <v>Packer</v>
      </c>
      <c r="Z4169" s="13" t="str">
        <f aca="false">IFERROR(__xludf.dummyfunction("if(BJ4169="""","""",GOOGLETRANSLATE(BJ4169,""auto"",""en""))"),"Packer")</f>
        <v>Packer</v>
      </c>
      <c r="AA4169" s="23" t="str">
        <f aca="false">IF(C4169="","", CHOOSE(MONTH(C4169),"January","February","March","April","May","June","July","August","September","October","November","December")&amp;" "&amp;DAY(C4169)&amp;MID("thstndrdth",MIN(9,2*RIGHT(DAY(C4169))*(MOD(DAY(C4169)-11,100)&gt;2)+1),2)&amp;","&amp;TEXT(C4169," yyyy"))</f>
        <v>September 16th,2026</v>
      </c>
      <c r="AB4169" s="15" t="str">
        <f aca="true">IF(S4169="","",DATEDIF(S4169,TODAY(),"Y")&amp;" Tahun, "&amp;DATEDIF(S4169,TODAY(),"YM")&amp;" Bulan, "&amp;DATEDIF(S4169,TODAY(),"MD")&amp;" Hari")</f>
        <v>19 Tahun, 0 Bulan, 5 Hari</v>
      </c>
      <c r="AC4169" s="14" t="n">
        <v>46281</v>
      </c>
      <c r="AD4169" s="18" t="n">
        <f aca="false">EDATE(AC4169,3)-1</f>
        <v>46371</v>
      </c>
      <c r="AE4169" s="13" t="s">
        <v>397</v>
      </c>
    </row>
    <row r="4170" customFormat="false" ht="15" hidden="false" customHeight="true" outlineLevel="0" collapsed="false">
      <c r="A4170" s="12" t="n">
        <v>22804</v>
      </c>
      <c r="B4170" s="13" t="s">
        <v>17087</v>
      </c>
      <c r="C4170" s="14" t="n">
        <v>46281</v>
      </c>
      <c r="D4170" s="13" t="s">
        <v>12111</v>
      </c>
      <c r="E4170" s="13" t="s">
        <v>47</v>
      </c>
      <c r="F4170" s="24" t="s">
        <v>17088</v>
      </c>
      <c r="G4170" s="13" t="s">
        <v>1452</v>
      </c>
      <c r="H4170" s="13" t="s">
        <v>35</v>
      </c>
      <c r="I4170" s="13" t="str">
        <f aca="false">IF(C4170=J4170,"NEW KONTRAK","RE-KONTRAK")</f>
        <v>NEW KONTRAK</v>
      </c>
      <c r="J4170" s="16" t="n">
        <f aca="false" t="array" ref="J4170:J4170">IFERROR(INDEX(AC4170:AE4170,IF(COUNTA(AC4170:AE4170)=0,"",MAX((AC4170:AE4170&lt;&gt;"")*(COLUMN(AC4170:AE4170)-(COLUMN(AC4170)))))-1),"")</f>
        <v>46281</v>
      </c>
      <c r="K4170" s="16" t="n">
        <f aca="false" t="array" ref="K4170:K4170">IFERROR(INDEX(AC4170:AE4170,IF(COUNTA(AC4170:AE4170)=0,"",MAX((AC4170:AE4170&lt;&gt;"")*(COLUMN(AC4170:AE4170)-(COLUMN(AC4170)-1))))-1),"")</f>
        <v>46371</v>
      </c>
      <c r="L4170" s="17" t="str">
        <f aca="false" t="array" ref="L4170:L4170">IFERROR(INDEX(AC4170:AE4170,IF(COUNTA(AC4170:AE4170)=0,"",MAX((AC4170:AE4170&lt;&gt;"")*(COLUMN(AC4170:AE4170)-(COLUMN(AC4170)-2))))-1),"")</f>
        <v>KEMBALI</v>
      </c>
      <c r="M4170" s="13" t="n">
        <f aca="true">K4170-TODAY()</f>
        <v>47</v>
      </c>
      <c r="N4170" s="18" t="s">
        <v>615</v>
      </c>
      <c r="O4170" s="13" t="s">
        <v>1531</v>
      </c>
      <c r="P4170" s="19" t="n">
        <v>3105660</v>
      </c>
      <c r="Q4170" s="20" t="s">
        <v>17089</v>
      </c>
      <c r="R4170" s="13" t="s">
        <v>83</v>
      </c>
      <c r="S4170" s="25" t="n">
        <v>38424</v>
      </c>
      <c r="T4170" s="13" t="s">
        <v>40</v>
      </c>
      <c r="U4170" s="13" t="s">
        <v>17090</v>
      </c>
      <c r="V4170" s="13" t="s">
        <v>42</v>
      </c>
      <c r="W4170" s="13" t="s">
        <v>43</v>
      </c>
      <c r="X4170" s="21" t="n">
        <v>81336747790</v>
      </c>
      <c r="Y4170" s="22" t="str">
        <f aca="false">O4170</f>
        <v>Packer</v>
      </c>
      <c r="Z4170" s="13" t="str">
        <f aca="false">IFERROR(__xludf.dummyfunction("if(BJ4170="""","""",GOOGLETRANSLATE(BJ4170,""auto"",""en""))"),"Packer")</f>
        <v>Packer</v>
      </c>
      <c r="AA4170" s="23" t="str">
        <f aca="false">IF(C4170="","", CHOOSE(MONTH(C4170),"January","February","March","April","May","June","July","August","September","October","November","December")&amp;" "&amp;DAY(C4170)&amp;MID("thstndrdth",MIN(9,2*RIGHT(DAY(C4170))*(MOD(DAY(C4170)-11,100)&gt;2)+1),2)&amp;","&amp;TEXT(C4170," yyyy"))</f>
        <v>September 16th,2026</v>
      </c>
      <c r="AB4170" s="15" t="str">
        <f aca="true">IF(S4170="","",DATEDIF(S4170,TODAY(),"Y")&amp;" Tahun, "&amp;DATEDIF(S4170,TODAY(),"YM")&amp;" Bulan, "&amp;DATEDIF(S4170,TODAY(),"MD")&amp;" Hari")</f>
        <v>21 Tahun, 7 Bulan, 16 Hari</v>
      </c>
      <c r="AC4170" s="14" t="n">
        <v>46281</v>
      </c>
      <c r="AD4170" s="18" t="n">
        <f aca="false">EDATE(AC4170,3)-1</f>
        <v>46371</v>
      </c>
      <c r="AE4170" s="13" t="s">
        <v>397</v>
      </c>
    </row>
    <row r="4171" customFormat="false" ht="15" hidden="false" customHeight="true" outlineLevel="0" collapsed="false">
      <c r="A4171" s="12" t="n">
        <v>22805</v>
      </c>
      <c r="B4171" s="13" t="s">
        <v>17091</v>
      </c>
      <c r="C4171" s="14" t="n">
        <v>46281</v>
      </c>
      <c r="D4171" s="13" t="s">
        <v>12111</v>
      </c>
      <c r="E4171" s="13" t="s">
        <v>47</v>
      </c>
      <c r="F4171" s="24" t="s">
        <v>17092</v>
      </c>
      <c r="G4171" s="13" t="s">
        <v>1452</v>
      </c>
      <c r="H4171" s="13" t="s">
        <v>35</v>
      </c>
      <c r="I4171" s="13" t="str">
        <f aca="false">IF(C4171=J4171,"NEW KONTRAK","RE-KONTRAK")</f>
        <v>NEW KONTRAK</v>
      </c>
      <c r="J4171" s="16" t="n">
        <f aca="false" t="array" ref="J4171:J4171">IFERROR(INDEX(AC4171:AE4171,IF(COUNTA(AC4171:AE4171)=0,"",MAX((AC4171:AE4171&lt;&gt;"")*(COLUMN(AC4171:AE4171)-(COLUMN(AC4171)))))-1),"")</f>
        <v>46281</v>
      </c>
      <c r="K4171" s="16" t="n">
        <f aca="false" t="array" ref="K4171:K4171">IFERROR(INDEX(AC4171:AE4171,IF(COUNTA(AC4171:AE4171)=0,"",MAX((AC4171:AE4171&lt;&gt;"")*(COLUMN(AC4171:AE4171)-(COLUMN(AC4171)-1))))-1),"")</f>
        <v>46371</v>
      </c>
      <c r="L4171" s="17" t="str">
        <f aca="false" t="array" ref="L4171:L4171">IFERROR(INDEX(AC4171:AE4171,IF(COUNTA(AC4171:AE4171)=0,"",MAX((AC4171:AE4171&lt;&gt;"")*(COLUMN(AC4171:AE4171)-(COLUMN(AC4171)-2))))-1),"")</f>
        <v>KEMBALI</v>
      </c>
      <c r="M4171" s="13" t="n">
        <f aca="true">K4171-TODAY()</f>
        <v>47</v>
      </c>
      <c r="N4171" s="18" t="s">
        <v>615</v>
      </c>
      <c r="O4171" s="13" t="s">
        <v>1531</v>
      </c>
      <c r="P4171" s="19" t="n">
        <v>3105660</v>
      </c>
      <c r="Q4171" s="20" t="s">
        <v>17093</v>
      </c>
      <c r="R4171" s="13" t="s">
        <v>324</v>
      </c>
      <c r="S4171" s="25" t="n">
        <v>37418</v>
      </c>
      <c r="T4171" s="13" t="s">
        <v>40</v>
      </c>
      <c r="U4171" s="13" t="s">
        <v>17094</v>
      </c>
      <c r="V4171" s="13" t="s">
        <v>42</v>
      </c>
      <c r="W4171" s="13" t="s">
        <v>43</v>
      </c>
      <c r="X4171" s="21" t="n">
        <v>87754231760</v>
      </c>
      <c r="Y4171" s="22" t="str">
        <f aca="false">O4171</f>
        <v>Packer</v>
      </c>
      <c r="Z4171" s="13" t="str">
        <f aca="false">IFERROR(__xludf.dummyfunction("if(BJ4171="""","""",GOOGLETRANSLATE(BJ4171,""auto"",""en""))"),"Packer")</f>
        <v>Packer</v>
      </c>
      <c r="AA4171" s="23" t="str">
        <f aca="false">IF(C4171="","", CHOOSE(MONTH(C4171),"January","February","March","April","May","June","July","August","September","October","November","December")&amp;" "&amp;DAY(C4171)&amp;MID("thstndrdth",MIN(9,2*RIGHT(DAY(C4171))*(MOD(DAY(C4171)-11,100)&gt;2)+1),2)&amp;","&amp;TEXT(C4171," yyyy"))</f>
        <v>September 16th,2026</v>
      </c>
      <c r="AB4171" s="15" t="str">
        <f aca="true">IF(S4171="","",DATEDIF(S4171,TODAY(),"Y")&amp;" Tahun, "&amp;DATEDIF(S4171,TODAY(),"YM")&amp;" Bulan, "&amp;DATEDIF(S4171,TODAY(),"MD")&amp;" Hari")</f>
        <v>24 Tahun, 4 Bulan, 18 Hari</v>
      </c>
      <c r="AC4171" s="14" t="n">
        <v>46281</v>
      </c>
      <c r="AD4171" s="18" t="n">
        <f aca="false">EDATE(AC4171,3)-1</f>
        <v>46371</v>
      </c>
      <c r="AE4171" s="13" t="s">
        <v>397</v>
      </c>
    </row>
    <row r="4172" customFormat="false" ht="15" hidden="false" customHeight="true" outlineLevel="0" collapsed="false">
      <c r="A4172" s="12" t="n">
        <v>22806</v>
      </c>
      <c r="B4172" s="13" t="s">
        <v>17095</v>
      </c>
      <c r="C4172" s="14" t="n">
        <v>46265</v>
      </c>
      <c r="D4172" s="13" t="s">
        <v>4252</v>
      </c>
      <c r="E4172" s="13" t="s">
        <v>102</v>
      </c>
      <c r="F4172" s="24" t="s">
        <v>17096</v>
      </c>
      <c r="G4172" s="13" t="s">
        <v>1452</v>
      </c>
      <c r="H4172" s="13" t="s">
        <v>3024</v>
      </c>
      <c r="I4172" s="13" t="str">
        <f aca="false">IF(C4172=J4172,"NEW KONTRAK","RE-KONTRAK")</f>
        <v>NEW KONTRAK</v>
      </c>
      <c r="J4172" s="16" t="n">
        <f aca="false" t="array" ref="J4172:J4172">IFERROR(INDEX(AC4172:AE4172,IF(COUNTA(AC4172:AE4172)=0,"",MAX((AC4172:AE4172&lt;&gt;"")*(COLUMN(AC4172:AE4172)-(COLUMN(AC4172)))))-1),"")</f>
        <v>46265</v>
      </c>
      <c r="K4172" s="16" t="n">
        <f aca="false" t="array" ref="K4172:K4172">IFERROR(INDEX(AC4172:AE4172,IF(COUNTA(AC4172:AE4172)=0,"",MAX((AC4172:AE4172&lt;&gt;"")*(COLUMN(AC4172:AE4172)-(COLUMN(AC4172)-1))))-1),"")</f>
        <v>46355</v>
      </c>
      <c r="L4172" s="17" t="str">
        <f aca="false" t="array" ref="L4172:L4172">IFERROR(INDEX(AC4172:AE4172,IF(COUNTA(AC4172:AE4172)=0,"",MAX((AC4172:AE4172&lt;&gt;"")*(COLUMN(AC4172:AE4172)-(COLUMN(AC4172)-2))))-1),"")</f>
        <v>ARCHIVED</v>
      </c>
      <c r="M4172" s="13" t="n">
        <f aca="true">K4172-TODAY()</f>
        <v>31</v>
      </c>
      <c r="N4172" s="18" t="s">
        <v>36</v>
      </c>
      <c r="O4172" s="13" t="s">
        <v>4274</v>
      </c>
      <c r="P4172" s="26" t="n">
        <v>200000</v>
      </c>
      <c r="Q4172" s="20" t="s">
        <v>17097</v>
      </c>
      <c r="R4172" s="13" t="s">
        <v>232</v>
      </c>
      <c r="S4172" s="25" t="n">
        <v>36455</v>
      </c>
      <c r="T4172" s="13" t="s">
        <v>40</v>
      </c>
      <c r="U4172" s="13" t="s">
        <v>17098</v>
      </c>
      <c r="V4172" s="13" t="s">
        <v>42</v>
      </c>
      <c r="W4172" s="13" t="s">
        <v>54</v>
      </c>
      <c r="X4172" s="21" t="n">
        <v>85786600040</v>
      </c>
      <c r="Y4172" s="22" t="str">
        <f aca="false">O4172</f>
        <v>Operator Extruder</v>
      </c>
      <c r="Z4172" s="13" t="str">
        <f aca="false">IFERROR(__xludf.dummyfunction("if(BJ4172="""","""",GOOGLETRANSLATE(BJ4172,""auto"",""en""))"),"Operator Extruder")</f>
        <v>Operator Extruder</v>
      </c>
      <c r="AA4172" s="23" t="str">
        <f aca="false">IF(C4172="","", CHOOSE(MONTH(C4172),"January","February","March","April","May","June","July","August","September","October","November","December")&amp;" "&amp;DAY(C4172)&amp;MID("thstndrdth",MIN(9,2*RIGHT(DAY(C4172))*(MOD(DAY(C4172)-11,100)&gt;2)+1),2)&amp;","&amp;TEXT(C4172," yyyy"))</f>
        <v>August 31st,2026</v>
      </c>
      <c r="AB4172" s="15" t="str">
        <f aca="true">IF(S4172="","",DATEDIF(S4172,TODAY(),"Y")&amp;" Tahun, "&amp;DATEDIF(S4172,TODAY(),"YM")&amp;" Bulan, "&amp;DATEDIF(S4172,TODAY(),"MD")&amp;" Hari")</f>
        <v>27 Tahun, 0 Bulan, 7 Hari</v>
      </c>
      <c r="AC4172" s="14" t="n">
        <v>46265</v>
      </c>
      <c r="AD4172" s="18" t="n">
        <f aca="false">EDATE(AC4172,3)-1</f>
        <v>46355</v>
      </c>
      <c r="AE4172" s="13" t="s">
        <v>44</v>
      </c>
    </row>
    <row r="4173" customFormat="false" ht="15" hidden="false" customHeight="true" outlineLevel="0" collapsed="false">
      <c r="A4173" s="12" t="n">
        <v>22807</v>
      </c>
      <c r="B4173" s="13" t="s">
        <v>17099</v>
      </c>
      <c r="C4173" s="14" t="n">
        <v>46269</v>
      </c>
      <c r="D4173" s="13" t="s">
        <v>4252</v>
      </c>
      <c r="E4173" s="13" t="s">
        <v>102</v>
      </c>
      <c r="F4173" s="24" t="s">
        <v>17100</v>
      </c>
      <c r="G4173" s="13" t="s">
        <v>1452</v>
      </c>
      <c r="H4173" s="13" t="s">
        <v>3024</v>
      </c>
      <c r="I4173" s="13" t="str">
        <f aca="false">IF(C4173=J4173,"NEW KONTRAK","RE-KONTRAK")</f>
        <v>NEW KONTRAK</v>
      </c>
      <c r="J4173" s="16" t="n">
        <f aca="false" t="array" ref="J4173:J4173">IFERROR(INDEX(AC4173:AE4173,IF(COUNTA(AC4173:AE4173)=0,"",MAX((AC4173:AE4173&lt;&gt;"")*(COLUMN(AC4173:AE4173)-(COLUMN(AC4173)))))-1),"")</f>
        <v>46269</v>
      </c>
      <c r="K4173" s="16" t="n">
        <f aca="false" t="array" ref="K4173:K4173">IFERROR(INDEX(AC4173:AE4173,IF(COUNTA(AC4173:AE4173)=0,"",MAX((AC4173:AE4173&lt;&gt;"")*(COLUMN(AC4173:AE4173)-(COLUMN(AC4173)-1))))-1),"")</f>
        <v>46359</v>
      </c>
      <c r="L4173" s="17" t="str">
        <f aca="false" t="array" ref="L4173:L4173">IFERROR(INDEX(AC4173:AE4173,IF(COUNTA(AC4173:AE4173)=0,"",MAX((AC4173:AE4173&lt;&gt;"")*(COLUMN(AC4173:AE4173)-(COLUMN(AC4173)-2))))-1),"")</f>
        <v>ARCHIVED</v>
      </c>
      <c r="M4173" s="13" t="n">
        <f aca="true">K4173-TODAY()</f>
        <v>35</v>
      </c>
      <c r="N4173" s="18" t="s">
        <v>36</v>
      </c>
      <c r="O4173" s="13" t="s">
        <v>4274</v>
      </c>
      <c r="P4173" s="26" t="n">
        <v>200000</v>
      </c>
      <c r="Q4173" s="20" t="s">
        <v>17101</v>
      </c>
      <c r="R4173" s="13" t="s">
        <v>83</v>
      </c>
      <c r="S4173" s="25" t="n">
        <v>38628</v>
      </c>
      <c r="T4173" s="13" t="s">
        <v>40</v>
      </c>
      <c r="U4173" s="13" t="s">
        <v>17102</v>
      </c>
      <c r="V4173" s="13" t="s">
        <v>42</v>
      </c>
      <c r="W4173" s="13" t="s">
        <v>43</v>
      </c>
      <c r="X4173" s="21" t="n">
        <v>82135400084</v>
      </c>
      <c r="Y4173" s="22" t="str">
        <f aca="false">O4173</f>
        <v>Operator Extruder</v>
      </c>
      <c r="Z4173" s="13" t="str">
        <f aca="false">IFERROR(__xludf.dummyfunction("if(BJ4173="""","""",GOOGLETRANSLATE(BJ4173,""auto"",""en""))"),"Operator Extruder")</f>
        <v>Operator Extruder</v>
      </c>
      <c r="AA4173" s="23" t="str">
        <f aca="false">IF(C4173="","", CHOOSE(MONTH(C4173),"January","February","March","April","May","June","July","August","September","October","November","December")&amp;" "&amp;DAY(C4173)&amp;MID("thstndrdth",MIN(9,2*RIGHT(DAY(C4173))*(MOD(DAY(C4173)-11,100)&gt;2)+1),2)&amp;","&amp;TEXT(C4173," yyyy"))</f>
        <v>September 4th,2026</v>
      </c>
      <c r="AB4173" s="15" t="str">
        <f aca="true">IF(S4173="","",DATEDIF(S4173,TODAY(),"Y")&amp;" Tahun, "&amp;DATEDIF(S4173,TODAY(),"YM")&amp;" Bulan, "&amp;DATEDIF(S4173,TODAY(),"MD")&amp;" Hari")</f>
        <v>21 Tahun, 0 Bulan, 26 Hari</v>
      </c>
      <c r="AC4173" s="14" t="n">
        <v>46269</v>
      </c>
      <c r="AD4173" s="18" t="n">
        <f aca="false">EDATE(AC4173,3)-1</f>
        <v>46359</v>
      </c>
      <c r="AE4173" s="13" t="s">
        <v>44</v>
      </c>
    </row>
    <row r="4174" customFormat="false" ht="15" hidden="false" customHeight="true" outlineLevel="0" collapsed="false">
      <c r="A4174" s="12" t="n">
        <v>22808</v>
      </c>
      <c r="B4174" s="13" t="s">
        <v>17103</v>
      </c>
      <c r="C4174" s="14" t="n">
        <v>46274</v>
      </c>
      <c r="D4174" s="13" t="s">
        <v>4252</v>
      </c>
      <c r="E4174" s="13" t="s">
        <v>102</v>
      </c>
      <c r="F4174" s="24" t="s">
        <v>17104</v>
      </c>
      <c r="G4174" s="13" t="s">
        <v>1452</v>
      </c>
      <c r="H4174" s="13" t="s">
        <v>3024</v>
      </c>
      <c r="I4174" s="13" t="str">
        <f aca="false">IF(C4174=J4174,"NEW KONTRAK","RE-KONTRAK")</f>
        <v>NEW KONTRAK</v>
      </c>
      <c r="J4174" s="16" t="n">
        <f aca="false" t="array" ref="J4174:J4174">IFERROR(INDEX(AC4174:AE4174,IF(COUNTA(AC4174:AE4174)=0,"",MAX((AC4174:AE4174&lt;&gt;"")*(COLUMN(AC4174:AE4174)-(COLUMN(AC4174)))))-1),"")</f>
        <v>46274</v>
      </c>
      <c r="K4174" s="16" t="n">
        <f aca="false" t="array" ref="K4174:K4174">IFERROR(INDEX(AC4174:AE4174,IF(COUNTA(AC4174:AE4174)=0,"",MAX((AC4174:AE4174&lt;&gt;"")*(COLUMN(AC4174:AE4174)-(COLUMN(AC4174)-1))))-1),"")</f>
        <v>46364</v>
      </c>
      <c r="L4174" s="17" t="str">
        <f aca="false" t="array" ref="L4174:L4174">IFERROR(INDEX(AC4174:AE4174,IF(COUNTA(AC4174:AE4174)=0,"",MAX((AC4174:AE4174&lt;&gt;"")*(COLUMN(AC4174:AE4174)-(COLUMN(AC4174)-2))))-1),"")</f>
        <v>ARCHIVED</v>
      </c>
      <c r="M4174" s="13" t="n">
        <f aca="true">K4174-TODAY()</f>
        <v>40</v>
      </c>
      <c r="N4174" s="18" t="s">
        <v>36</v>
      </c>
      <c r="O4174" s="13" t="s">
        <v>4280</v>
      </c>
      <c r="P4174" s="26" t="n">
        <v>120000</v>
      </c>
      <c r="Q4174" s="20" t="s">
        <v>17105</v>
      </c>
      <c r="R4174" s="13" t="s">
        <v>39</v>
      </c>
      <c r="S4174" s="25" t="n">
        <v>35241</v>
      </c>
      <c r="T4174" s="13" t="s">
        <v>40</v>
      </c>
      <c r="U4174" s="13" t="s">
        <v>17106</v>
      </c>
      <c r="V4174" s="13" t="s">
        <v>42</v>
      </c>
      <c r="W4174" s="13" t="s">
        <v>43</v>
      </c>
      <c r="X4174" s="21" t="n">
        <v>85730504607</v>
      </c>
      <c r="Y4174" s="22" t="str">
        <f aca="false">O4174</f>
        <v>Helper Cutting</v>
      </c>
      <c r="Z4174" s="13" t="str">
        <f aca="false">IFERROR(__xludf.dummyfunction("if(BJ4174="""","""",GOOGLETRANSLATE(BJ4174,""auto"",""en""))"),"Helper Cutting")</f>
        <v>Helper Cutting</v>
      </c>
      <c r="AA4174" s="23" t="str">
        <f aca="false">IF(C4174="","", CHOOSE(MONTH(C4174),"January","February","March","April","May","June","July","August","September","October","November","December")&amp;" "&amp;DAY(C4174)&amp;MID("thstndrdth",MIN(9,2*RIGHT(DAY(C4174))*(MOD(DAY(C4174)-11,100)&gt;2)+1),2)&amp;","&amp;TEXT(C4174," yyyy"))</f>
        <v>September 9th,2026</v>
      </c>
      <c r="AB4174" s="15" t="str">
        <f aca="true">IF(S4174="","",DATEDIF(S4174,TODAY(),"Y")&amp;" Tahun, "&amp;DATEDIF(S4174,TODAY(),"YM")&amp;" Bulan, "&amp;DATEDIF(S4174,TODAY(),"MD")&amp;" Hari")</f>
        <v>30 Tahun, 4 Bulan, 4 Hari</v>
      </c>
      <c r="AC4174" s="14" t="n">
        <v>46274</v>
      </c>
      <c r="AD4174" s="18" t="n">
        <f aca="false">EDATE(AC4174,3)-1</f>
        <v>46364</v>
      </c>
      <c r="AE4174" s="13" t="s">
        <v>44</v>
      </c>
    </row>
    <row r="4175" customFormat="false" ht="15" hidden="false" customHeight="true" outlineLevel="0" collapsed="false">
      <c r="A4175" s="12" t="n">
        <v>22809</v>
      </c>
      <c r="B4175" s="13" t="s">
        <v>17107</v>
      </c>
      <c r="C4175" s="14" t="n">
        <v>46274</v>
      </c>
      <c r="D4175" s="13" t="s">
        <v>8240</v>
      </c>
      <c r="E4175" s="13" t="s">
        <v>47</v>
      </c>
      <c r="F4175" s="24" t="s">
        <v>17108</v>
      </c>
      <c r="G4175" s="13" t="s">
        <v>1452</v>
      </c>
      <c r="H4175" s="13" t="s">
        <v>35</v>
      </c>
      <c r="I4175" s="13" t="str">
        <f aca="false">IF(C4175=J4175,"NEW KONTRAK","RE-KONTRAK")</f>
        <v>NEW KONTRAK</v>
      </c>
      <c r="J4175" s="16" t="n">
        <f aca="false" t="array" ref="J4175:J4175">IFERROR(INDEX(AC4175:AE4175,IF(COUNTA(AC4175:AE4175)=0,"",MAX((AC4175:AE4175&lt;&gt;"")*(COLUMN(AC4175:AE4175)-(COLUMN(AC4175)))))-1),"")</f>
        <v>46274</v>
      </c>
      <c r="K4175" s="16" t="n">
        <f aca="false" t="array" ref="K4175:K4175">IFERROR(INDEX(AC4175:AE4175,IF(COUNTA(AC4175:AE4175)=0,"",MAX((AC4175:AE4175&lt;&gt;"")*(COLUMN(AC4175:AE4175)-(COLUMN(AC4175)-1))))-1),"")</f>
        <v>46364</v>
      </c>
      <c r="L4175" s="17" t="str">
        <f aca="false" t="array" ref="L4175:L4175">IFERROR(INDEX(AC4175:AE4175,IF(COUNTA(AC4175:AE4175)=0,"",MAX((AC4175:AE4175&lt;&gt;"")*(COLUMN(AC4175:AE4175)-(COLUMN(AC4175)-2))))-1),"")</f>
        <v>ARCHIVED</v>
      </c>
      <c r="M4175" s="13" t="n">
        <f aca="true">K4175-TODAY()</f>
        <v>40</v>
      </c>
      <c r="N4175" s="18" t="s">
        <v>36</v>
      </c>
      <c r="O4175" s="13" t="s">
        <v>4274</v>
      </c>
      <c r="P4175" s="26" t="n">
        <v>200000</v>
      </c>
      <c r="Q4175" s="20" t="s">
        <v>17109</v>
      </c>
      <c r="R4175" s="13" t="s">
        <v>148</v>
      </c>
      <c r="S4175" s="25" t="n">
        <v>38550</v>
      </c>
      <c r="T4175" s="13" t="s">
        <v>40</v>
      </c>
      <c r="U4175" s="13" t="s">
        <v>17110</v>
      </c>
      <c r="V4175" s="13" t="s">
        <v>42</v>
      </c>
      <c r="W4175" s="13" t="s">
        <v>43</v>
      </c>
      <c r="X4175" s="21" t="n">
        <v>83149158105</v>
      </c>
      <c r="Y4175" s="22" t="str">
        <f aca="false">O4175</f>
        <v>Operator Extruder</v>
      </c>
      <c r="Z4175" s="13" t="str">
        <f aca="false">IFERROR(__xludf.dummyfunction("if(BJ4175="""","""",GOOGLETRANSLATE(BJ4175,""auto"",""en""))"),"Operator Extruder")</f>
        <v>Operator Extruder</v>
      </c>
      <c r="AA4175" s="23" t="str">
        <f aca="false">IF(C4175="","", CHOOSE(MONTH(C4175),"January","February","March","April","May","June","July","August","September","October","November","December")&amp;" "&amp;DAY(C4175)&amp;MID("thstndrdth",MIN(9,2*RIGHT(DAY(C4175))*(MOD(DAY(C4175)-11,100)&gt;2)+1),2)&amp;","&amp;TEXT(C4175," yyyy"))</f>
        <v>September 9th,2026</v>
      </c>
      <c r="AB4175" s="15" t="str">
        <f aca="true">IF(S4175="","",DATEDIF(S4175,TODAY(),"Y")&amp;" Tahun, "&amp;DATEDIF(S4175,TODAY(),"YM")&amp;" Bulan, "&amp;DATEDIF(S4175,TODAY(),"MD")&amp;" Hari")</f>
        <v>21 Tahun, 3 Bulan, 12 Hari</v>
      </c>
      <c r="AC4175" s="14" t="n">
        <v>46274</v>
      </c>
      <c r="AD4175" s="18" t="n">
        <f aca="false">EDATE(AC4175,3)-1</f>
        <v>46364</v>
      </c>
      <c r="AE4175" s="13" t="s">
        <v>44</v>
      </c>
    </row>
    <row r="4176" customFormat="false" ht="15" hidden="false" customHeight="true" outlineLevel="0" collapsed="false">
      <c r="A4176" s="12" t="n">
        <v>22810</v>
      </c>
      <c r="B4176" s="13" t="s">
        <v>17111</v>
      </c>
      <c r="C4176" s="14" t="n">
        <v>46281</v>
      </c>
      <c r="D4176" s="13" t="s">
        <v>9043</v>
      </c>
      <c r="E4176" s="13" t="s">
        <v>13294</v>
      </c>
      <c r="F4176" s="24" t="s">
        <v>17112</v>
      </c>
      <c r="G4176" s="13" t="s">
        <v>1452</v>
      </c>
      <c r="H4176" s="13" t="s">
        <v>3024</v>
      </c>
      <c r="I4176" s="13" t="str">
        <f aca="false">IF(C4176=J4176,"NEW KONTRAK","RE-KONTRAK")</f>
        <v>NEW KONTRAK</v>
      </c>
      <c r="J4176" s="16" t="n">
        <f aca="false" t="array" ref="J4176:J4176">IFERROR(INDEX(AC4176:AE4176,IF(COUNTA(AC4176:AE4176)=0,"",MAX((AC4176:AE4176&lt;&gt;"")*(COLUMN(AC4176:AE4176)-(COLUMN(AC4176)))))-1),"")</f>
        <v>46281</v>
      </c>
      <c r="K4176" s="16" t="n">
        <f aca="false" t="array" ref="K4176:K4176">IFERROR(INDEX(AC4176:AE4176,IF(COUNTA(AC4176:AE4176)=0,"",MAX((AC4176:AE4176&lt;&gt;"")*(COLUMN(AC4176:AE4176)-(COLUMN(AC4176)-1))))-1),"")</f>
        <v>46461</v>
      </c>
      <c r="L4176" s="17" t="str">
        <f aca="false" t="array" ref="L4176:L4176">IFERROR(INDEX(AC4176:AE4176,IF(COUNTA(AC4176:AE4176)=0,"",MAX((AC4176:AE4176&lt;&gt;"")*(COLUMN(AC4176:AE4176)-(COLUMN(AC4176)-2))))-1),"")</f>
        <v>CANCEL</v>
      </c>
      <c r="M4176" s="13" t="n">
        <f aca="true">K4176-TODAY()</f>
        <v>137</v>
      </c>
      <c r="N4176" s="28" t="s">
        <v>105</v>
      </c>
      <c r="O4176" s="13" t="s">
        <v>6662</v>
      </c>
      <c r="P4176" s="26" t="n">
        <v>3944496</v>
      </c>
      <c r="Q4176" s="20" t="s">
        <v>17113</v>
      </c>
      <c r="R4176" s="13" t="s">
        <v>52</v>
      </c>
      <c r="S4176" s="25" t="n">
        <v>37165</v>
      </c>
      <c r="T4176" s="13" t="s">
        <v>40</v>
      </c>
      <c r="U4176" s="13" t="s">
        <v>17114</v>
      </c>
      <c r="V4176" s="13" t="s">
        <v>42</v>
      </c>
      <c r="W4176" s="13" t="s">
        <v>43</v>
      </c>
      <c r="X4176" s="21" t="n">
        <v>87757236017</v>
      </c>
      <c r="Y4176" s="22" t="str">
        <f aca="false">O4176</f>
        <v>Front Office</v>
      </c>
      <c r="Z4176" s="13" t="str">
        <f aca="false">IFERROR(__xludf.dummyfunction("if(BJ4176="""","""",GOOGLETRANSLATE(BJ4176,""auto"",""en""))"),"Front Office")</f>
        <v>Front Office</v>
      </c>
      <c r="AA4176" s="23" t="str">
        <f aca="false">IF(C4176="","", CHOOSE(MONTH(C4176),"January","February","March","April","May","June","July","August","September","October","November","December")&amp;" "&amp;DAY(C4176)&amp;MID("thstndrdth",MIN(9,2*RIGHT(DAY(C4176))*(MOD(DAY(C4176)-11,100)&gt;2)+1),2)&amp;","&amp;TEXT(C4176," yyyy"))</f>
        <v>September 16th,2026</v>
      </c>
      <c r="AB4176" s="15" t="str">
        <f aca="true">IF(S4176="","",DATEDIF(S4176,TODAY(),"Y")&amp;" Tahun, "&amp;DATEDIF(S4176,TODAY(),"YM")&amp;" Bulan, "&amp;DATEDIF(S4176,TODAY(),"MD")&amp;" Hari")</f>
        <v>25 Tahun, 0 Bulan, 28 Hari</v>
      </c>
      <c r="AC4176" s="14" t="n">
        <v>46281</v>
      </c>
      <c r="AD4176" s="18" t="n">
        <v>46461</v>
      </c>
      <c r="AE4176" s="13" t="s">
        <v>15637</v>
      </c>
    </row>
    <row r="4177" customFormat="false" ht="15" hidden="false" customHeight="true" outlineLevel="0" collapsed="false">
      <c r="A4177" s="12" t="n">
        <v>22811</v>
      </c>
      <c r="B4177" s="13" t="s">
        <v>17115</v>
      </c>
      <c r="C4177" s="14" t="n">
        <v>46266</v>
      </c>
      <c r="D4177" s="13" t="s">
        <v>3573</v>
      </c>
      <c r="E4177" s="13" t="s">
        <v>47</v>
      </c>
      <c r="F4177" s="24" t="s">
        <v>17116</v>
      </c>
      <c r="G4177" s="13" t="s">
        <v>1452</v>
      </c>
      <c r="H4177" s="13" t="s">
        <v>3024</v>
      </c>
      <c r="I4177" s="13" t="str">
        <f aca="false">IF(C4177=J4177,"NEW KONTRAK","RE-KONTRAK")</f>
        <v>NEW KONTRAK</v>
      </c>
      <c r="J4177" s="16" t="n">
        <f aca="false" t="array" ref="J4177:J4177">IFERROR(INDEX(AC4177:AE4177,IF(COUNTA(AC4177:AE4177)=0,"",MAX((AC4177:AE4177&lt;&gt;"")*(COLUMN(AC4177:AE4177)-(COLUMN(AC4177)))))-1),"")</f>
        <v>46266</v>
      </c>
      <c r="K4177" s="16" t="n">
        <f aca="false" t="array" ref="K4177:K4177">IFERROR(INDEX(AC4177:AE4177,IF(COUNTA(AC4177:AE4177)=0,"",MAX((AC4177:AE4177&lt;&gt;"")*(COLUMN(AC4177:AE4177)-(COLUMN(AC4177)-1))))-1),"")</f>
        <v>46356</v>
      </c>
      <c r="L4177" s="17" t="str">
        <f aca="false" t="array" ref="L4177:L4177">IFERROR(INDEX(AC4177:AE4177,IF(COUNTA(AC4177:AE4177)=0,"",MAX((AC4177:AE4177&lt;&gt;"")*(COLUMN(AC4177:AE4177)-(COLUMN(AC4177)-2))))-1),"")</f>
        <v>ARCHIVED</v>
      </c>
      <c r="M4177" s="13" t="n">
        <f aca="true">K4177-TODAY()</f>
        <v>32</v>
      </c>
      <c r="N4177" s="18" t="s">
        <v>3576</v>
      </c>
      <c r="O4177" s="13" t="s">
        <v>17117</v>
      </c>
      <c r="P4177" s="26" t="n">
        <v>2500000</v>
      </c>
      <c r="Q4177" s="20" t="s">
        <v>17118</v>
      </c>
      <c r="R4177" s="13" t="s">
        <v>60</v>
      </c>
      <c r="S4177" s="25" t="n">
        <v>37710</v>
      </c>
      <c r="T4177" s="13" t="s">
        <v>108</v>
      </c>
      <c r="U4177" s="13" t="s">
        <v>17119</v>
      </c>
      <c r="V4177" s="13" t="s">
        <v>42</v>
      </c>
      <c r="W4177" s="13" t="s">
        <v>43</v>
      </c>
      <c r="X4177" s="21" t="n">
        <v>85791323772</v>
      </c>
      <c r="Y4177" s="22" t="str">
        <f aca="false">O4177</f>
        <v>PCC</v>
      </c>
      <c r="Z4177" s="13" t="str">
        <f aca="false">IFERROR(__xludf.dummyfunction("if(BJ4177="""","""",GOOGLETRANSLATE(BJ4177,""auto"",""en""))"),"PCC")</f>
        <v>PCC</v>
      </c>
      <c r="AA4177" s="23" t="str">
        <f aca="false">IF(C4177="","", CHOOSE(MONTH(C4177),"January","February","March","April","May","June","July","August","September","October","November","December")&amp;" "&amp;DAY(C4177)&amp;MID("thstndrdth",MIN(9,2*RIGHT(DAY(C4177))*(MOD(DAY(C4177)-11,100)&gt;2)+1),2)&amp;","&amp;TEXT(C4177," yyyy"))</f>
        <v>September 1st,2026</v>
      </c>
      <c r="AB4177" s="15" t="str">
        <f aca="true">IF(S4177="","",DATEDIF(S4177,TODAY(),"Y")&amp;" Tahun, "&amp;DATEDIF(S4177,TODAY(),"YM")&amp;" Bulan, "&amp;DATEDIF(S4177,TODAY(),"MD")&amp;" Hari")</f>
        <v>23 Tahun, 6 Bulan, 29 Hari</v>
      </c>
      <c r="AC4177" s="14" t="n">
        <v>46266</v>
      </c>
      <c r="AD4177" s="18" t="n">
        <f aca="false">EDATE(AC4177,3)-1</f>
        <v>46356</v>
      </c>
      <c r="AE4177" s="18" t="s">
        <v>44</v>
      </c>
    </row>
    <row r="4178" customFormat="false" ht="15" hidden="false" customHeight="true" outlineLevel="0" collapsed="false">
      <c r="A4178" s="12" t="n">
        <v>22812</v>
      </c>
      <c r="B4178" s="13" t="s">
        <v>17120</v>
      </c>
      <c r="C4178" s="14" t="n">
        <v>46286</v>
      </c>
      <c r="D4178" s="13" t="s">
        <v>6638</v>
      </c>
      <c r="E4178" s="13" t="s">
        <v>47</v>
      </c>
      <c r="F4178" s="24" t="s">
        <v>17121</v>
      </c>
      <c r="G4178" s="13" t="s">
        <v>1452</v>
      </c>
      <c r="H4178" s="13" t="s">
        <v>3024</v>
      </c>
      <c r="I4178" s="13" t="str">
        <f aca="false">IF(C4178=J4178,"NEW KONTRAK","RE-KONTRAK")</f>
        <v>NEW KONTRAK</v>
      </c>
      <c r="J4178" s="16" t="n">
        <f aca="false" t="array" ref="J4178:J4178">IFERROR(INDEX(AC4178:AE4178,IF(COUNTA(AC4178:AE4178)=0,"",MAX((AC4178:AE4178&lt;&gt;"")*(COLUMN(AC4178:AE4178)-(COLUMN(AC4178)))))-1),"")</f>
        <v>46286</v>
      </c>
      <c r="K4178" s="16" t="n">
        <f aca="false" t="array" ref="K4178:K4178">IFERROR(INDEX(AC4178:AE4178,IF(COUNTA(AC4178:AE4178)=0,"",MAX((AC4178:AE4178&lt;&gt;"")*(COLUMN(AC4178:AE4178)-(COLUMN(AC4178)-1))))-1),"")</f>
        <v>46406</v>
      </c>
      <c r="L4178" s="17" t="str">
        <f aca="false" t="array" ref="L4178:L4178">IFERROR(INDEX(AC4178:AE4178,IF(COUNTA(AC4178:AE4178)=0,"",MAX((AC4178:AE4178&lt;&gt;"")*(COLUMN(AC4178:AE4178)-(COLUMN(AC4178)-2))))-1),"")</f>
        <v>ARCHIVED</v>
      </c>
      <c r="M4178" s="13" t="n">
        <f aca="true">K4178-TODAY()</f>
        <v>82</v>
      </c>
      <c r="N4178" s="28" t="s">
        <v>4735</v>
      </c>
      <c r="O4178" s="13" t="s">
        <v>17122</v>
      </c>
      <c r="P4178" s="26" t="n">
        <v>3113530</v>
      </c>
      <c r="Q4178" s="20" t="s">
        <v>17123</v>
      </c>
      <c r="R4178" s="13" t="s">
        <v>246</v>
      </c>
      <c r="S4178" s="25" t="n">
        <v>36001</v>
      </c>
      <c r="T4178" s="13" t="s">
        <v>108</v>
      </c>
      <c r="U4178" s="13" t="s">
        <v>17124</v>
      </c>
      <c r="V4178" s="13" t="s">
        <v>99</v>
      </c>
      <c r="W4178" s="13" t="s">
        <v>43</v>
      </c>
      <c r="X4178" s="21" t="n">
        <v>87853111835</v>
      </c>
      <c r="Y4178" s="22" t="str">
        <f aca="false">O4178</f>
        <v>Social Media Specialist</v>
      </c>
      <c r="Z4178" s="13" t="str">
        <f aca="false">IFERROR(__xludf.dummyfunction("if(BJ4178="""","""",GOOGLETRANSLATE(BJ4178,""auto"",""en""))"),"Social Media Specialist")</f>
        <v>Social Media Specialist</v>
      </c>
      <c r="AA4178" s="23" t="str">
        <f aca="false">IF(C4178="","", CHOOSE(MONTH(C4178),"January","February","March","April","May","June","July","August","September","October","November","December")&amp;" "&amp;DAY(C4178)&amp;MID("thstndrdth",MIN(9,2*RIGHT(DAY(C4178))*(MOD(DAY(C4178)-11,100)&gt;2)+1),2)&amp;","&amp;TEXT(C4178," yyyy"))</f>
        <v>September 21st,2026</v>
      </c>
      <c r="AB4178" s="15" t="str">
        <f aca="true">IF(S4178="","",DATEDIF(S4178,TODAY(),"Y")&amp;" Tahun, "&amp;DATEDIF(S4178,TODAY(),"YM")&amp;" Bulan, "&amp;DATEDIF(S4178,TODAY(),"MD")&amp;" Hari")</f>
        <v>28 Tahun, 3 Bulan, 4 Hari</v>
      </c>
      <c r="AC4178" s="14" t="n">
        <v>46286</v>
      </c>
      <c r="AD4178" s="18" t="n">
        <v>46406</v>
      </c>
      <c r="AE4178" s="13" t="s">
        <v>44</v>
      </c>
    </row>
    <row r="4179" customFormat="false" ht="15" hidden="false" customHeight="true" outlineLevel="0" collapsed="false">
      <c r="A4179" s="12" t="n">
        <v>22813</v>
      </c>
      <c r="B4179" s="13" t="s">
        <v>17125</v>
      </c>
      <c r="C4179" s="14" t="n">
        <v>46266</v>
      </c>
      <c r="D4179" s="13" t="s">
        <v>3838</v>
      </c>
      <c r="E4179" s="13" t="s">
        <v>47</v>
      </c>
      <c r="F4179" s="24" t="s">
        <v>17126</v>
      </c>
      <c r="G4179" s="13" t="s">
        <v>1452</v>
      </c>
      <c r="H4179" s="13" t="s">
        <v>3024</v>
      </c>
      <c r="I4179" s="13" t="str">
        <f aca="false">IF(C4179=J4179,"NEW KONTRAK","RE-KONTRAK")</f>
        <v>NEW KONTRAK</v>
      </c>
      <c r="J4179" s="16" t="n">
        <f aca="false" t="array" ref="J4179:J4179">IFERROR(INDEX(AC4179:AE4179,IF(COUNTA(AC4179:AE4179)=0,"",MAX((AC4179:AE4179&lt;&gt;"")*(COLUMN(AC4179:AE4179)-(COLUMN(AC4179)))))-1),"")</f>
        <v>46266</v>
      </c>
      <c r="K4179" s="16" t="n">
        <f aca="false" t="array" ref="K4179:K4179">IFERROR(INDEX(AC4179:AE4179,IF(COUNTA(AC4179:AE4179)=0,"",MAX((AC4179:AE4179&lt;&gt;"")*(COLUMN(AC4179:AE4179)-(COLUMN(AC4179)-1))))-1),"")</f>
        <v>46356</v>
      </c>
      <c r="L4179" s="17" t="str">
        <f aca="false" t="array" ref="L4179:L4179">IFERROR(INDEX(AC4179:AE4179,IF(COUNTA(AC4179:AE4179)=0,"",MAX((AC4179:AE4179&lt;&gt;"")*(COLUMN(AC4179:AE4179)-(COLUMN(AC4179)-2))))-1),"")</f>
        <v>ARCHIVED</v>
      </c>
      <c r="M4179" s="13" t="n">
        <f aca="true">K4179-TODAY()</f>
        <v>32</v>
      </c>
      <c r="N4179" s="18" t="s">
        <v>749</v>
      </c>
      <c r="O4179" s="13" t="s">
        <v>2384</v>
      </c>
      <c r="P4179" s="26" t="n">
        <v>3983882</v>
      </c>
      <c r="Q4179" s="20" t="s">
        <v>17127</v>
      </c>
      <c r="R4179" s="13" t="s">
        <v>3520</v>
      </c>
      <c r="S4179" s="25" t="n">
        <v>36595</v>
      </c>
      <c r="T4179" s="13" t="s">
        <v>108</v>
      </c>
      <c r="U4179" s="13" t="s">
        <v>17128</v>
      </c>
      <c r="V4179" s="13" t="s">
        <v>42</v>
      </c>
      <c r="W4179" s="13" t="s">
        <v>43</v>
      </c>
      <c r="X4179" s="21" t="n">
        <v>813139972674</v>
      </c>
      <c r="Y4179" s="22" t="str">
        <f aca="false">O4179</f>
        <v>SPG</v>
      </c>
      <c r="Z4179" s="13" t="str">
        <f aca="false">IFERROR(__xludf.dummyfunction("if(BJ4179="""","""",GOOGLETRANSLATE(BJ4179,""auto"",""en""))"),"SPG")</f>
        <v>SPG</v>
      </c>
      <c r="AA4179" s="23" t="str">
        <f aca="false">IF(C4179="","", CHOOSE(MONTH(C4179),"January","February","March","April","May","June","July","August","September","October","November","December")&amp;" "&amp;DAY(C4179)&amp;MID("thstndrdth",MIN(9,2*RIGHT(DAY(C4179))*(MOD(DAY(C4179)-11,100)&gt;2)+1),2)&amp;","&amp;TEXT(C4179," yyyy"))</f>
        <v>September 1st,2026</v>
      </c>
      <c r="AB4179" s="15" t="str">
        <f aca="true">IF(S4179="","",DATEDIF(S4179,TODAY(),"Y")&amp;" Tahun, "&amp;DATEDIF(S4179,TODAY(),"YM")&amp;" Bulan, "&amp;DATEDIF(S4179,TODAY(),"MD")&amp;" Hari")</f>
        <v>26 Tahun, 7 Bulan, 19 Hari</v>
      </c>
      <c r="AC4179" s="14" t="n">
        <v>46266</v>
      </c>
      <c r="AD4179" s="18" t="n">
        <f aca="false">EDATE(AC4179,3)-1</f>
        <v>46356</v>
      </c>
      <c r="AE4179" s="13" t="s">
        <v>44</v>
      </c>
    </row>
    <row r="4180" customFormat="false" ht="15" hidden="false" customHeight="true" outlineLevel="0" collapsed="false">
      <c r="A4180" s="12" t="n">
        <v>22814</v>
      </c>
      <c r="B4180" s="13" t="s">
        <v>17129</v>
      </c>
      <c r="C4180" s="14" t="n">
        <v>46266</v>
      </c>
      <c r="D4180" s="13" t="s">
        <v>3838</v>
      </c>
      <c r="E4180" s="13" t="s">
        <v>47</v>
      </c>
      <c r="F4180" s="24" t="s">
        <v>17130</v>
      </c>
      <c r="G4180" s="13" t="s">
        <v>1452</v>
      </c>
      <c r="H4180" s="13" t="s">
        <v>3024</v>
      </c>
      <c r="I4180" s="13" t="str">
        <f aca="false">IF(C4180=J4180,"NEW KONTRAK","RE-KONTRAK")</f>
        <v>NEW KONTRAK</v>
      </c>
      <c r="J4180" s="16" t="n">
        <f aca="false" t="array" ref="J4180:J4180">IFERROR(INDEX(AC4180:AE4180,IF(COUNTA(AC4180:AE4180)=0,"",MAX((AC4180:AE4180&lt;&gt;"")*(COLUMN(AC4180:AE4180)-(COLUMN(AC4180)))))-1),"")</f>
        <v>46266</v>
      </c>
      <c r="K4180" s="16" t="n">
        <f aca="false" t="array" ref="K4180:K4180">IFERROR(INDEX(AC4180:AE4180,IF(COUNTA(AC4180:AE4180)=0,"",MAX((AC4180:AE4180&lt;&gt;"")*(COLUMN(AC4180:AE4180)-(COLUMN(AC4180)-1))))-1),"")</f>
        <v>46356</v>
      </c>
      <c r="L4180" s="17" t="str">
        <f aca="false" t="array" ref="L4180:L4180">IFERROR(INDEX(AC4180:AE4180,IF(COUNTA(AC4180:AE4180)=0,"",MAX((AC4180:AE4180&lt;&gt;"")*(COLUMN(AC4180:AE4180)-(COLUMN(AC4180)-2))))-1),"")</f>
        <v>KEMBALI</v>
      </c>
      <c r="M4180" s="13" t="n">
        <f aca="true">K4180-TODAY()</f>
        <v>32</v>
      </c>
      <c r="N4180" s="18" t="s">
        <v>749</v>
      </c>
      <c r="O4180" s="13" t="s">
        <v>2384</v>
      </c>
      <c r="P4180" s="26" t="n">
        <v>3983882</v>
      </c>
      <c r="Q4180" s="20" t="s">
        <v>17131</v>
      </c>
      <c r="R4180" s="13" t="s">
        <v>3520</v>
      </c>
      <c r="S4180" s="25" t="n">
        <v>36758</v>
      </c>
      <c r="T4180" s="13" t="s">
        <v>108</v>
      </c>
      <c r="U4180" s="13" t="s">
        <v>17132</v>
      </c>
      <c r="V4180" s="13" t="s">
        <v>42</v>
      </c>
      <c r="W4180" s="13" t="s">
        <v>43</v>
      </c>
      <c r="X4180" s="21" t="n">
        <v>83829293394</v>
      </c>
      <c r="Y4180" s="22" t="str">
        <f aca="false">O4180</f>
        <v>SPG</v>
      </c>
      <c r="Z4180" s="13" t="str">
        <f aca="false">IFERROR(__xludf.dummyfunction("if(BJ4180="""","""",GOOGLETRANSLATE(BJ4180,""auto"",""en""))"),"SPG")</f>
        <v>SPG</v>
      </c>
      <c r="AA4180" s="23" t="str">
        <f aca="false">IF(C4180="","", CHOOSE(MONTH(C4180),"January","February","March","April","May","June","July","August","September","October","November","December")&amp;" "&amp;DAY(C4180)&amp;MID("thstndrdth",MIN(9,2*RIGHT(DAY(C4180))*(MOD(DAY(C4180)-11,100)&gt;2)+1),2)&amp;","&amp;TEXT(C4180," yyyy"))</f>
        <v>September 1st,2026</v>
      </c>
      <c r="AB4180" s="15" t="str">
        <f aca="true">IF(S4180="","",DATEDIF(S4180,TODAY(),"Y")&amp;" Tahun, "&amp;DATEDIF(S4180,TODAY(),"YM")&amp;" Bulan, "&amp;DATEDIF(S4180,TODAY(),"MD")&amp;" Hari")</f>
        <v>26 Tahun, 2 Bulan, 9 Hari</v>
      </c>
      <c r="AC4180" s="14" t="n">
        <v>46266</v>
      </c>
      <c r="AD4180" s="18" t="n">
        <f aca="false">EDATE(AC4180,3)-1</f>
        <v>46356</v>
      </c>
      <c r="AE4180" s="13" t="s">
        <v>397</v>
      </c>
    </row>
    <row r="4181" customFormat="false" ht="15" hidden="false" customHeight="true" outlineLevel="0" collapsed="false">
      <c r="A4181" s="12" t="n">
        <v>22815</v>
      </c>
      <c r="B4181" s="13" t="s">
        <v>17133</v>
      </c>
      <c r="C4181" s="14" t="n">
        <v>46266</v>
      </c>
      <c r="D4181" s="13" t="s">
        <v>3838</v>
      </c>
      <c r="E4181" s="13" t="s">
        <v>47</v>
      </c>
      <c r="F4181" s="24" t="s">
        <v>17134</v>
      </c>
      <c r="G4181" s="13" t="s">
        <v>1452</v>
      </c>
      <c r="H4181" s="13" t="s">
        <v>3024</v>
      </c>
      <c r="I4181" s="13" t="str">
        <f aca="false">IF(C4181=J4181,"NEW KONTRAK","RE-KONTRAK")</f>
        <v>NEW KONTRAK</v>
      </c>
      <c r="J4181" s="16" t="n">
        <f aca="false" t="array" ref="J4181:J4181">IFERROR(INDEX(AC4181:AE4181,IF(COUNTA(AC4181:AE4181)=0,"",MAX((AC4181:AE4181&lt;&gt;"")*(COLUMN(AC4181:AE4181)-(COLUMN(AC4181)))))-1),"")</f>
        <v>46266</v>
      </c>
      <c r="K4181" s="16" t="n">
        <f aca="false" t="array" ref="K4181:K4181">IFERROR(INDEX(AC4181:AE4181,IF(COUNTA(AC4181:AE4181)=0,"",MAX((AC4181:AE4181&lt;&gt;"")*(COLUMN(AC4181:AE4181)-(COLUMN(AC4181)-1))))-1),"")</f>
        <v>46356</v>
      </c>
      <c r="L4181" s="17" t="str">
        <f aca="false" t="array" ref="L4181:L4181">IFERROR(INDEX(AC4181:AE4181,IF(COUNTA(AC4181:AE4181)=0,"",MAX((AC4181:AE4181&lt;&gt;"")*(COLUMN(AC4181:AE4181)-(COLUMN(AC4181)-2))))-1),"")</f>
        <v>KEMBALI</v>
      </c>
      <c r="M4181" s="13" t="n">
        <f aca="true">K4181-TODAY()</f>
        <v>32</v>
      </c>
      <c r="N4181" s="18" t="s">
        <v>749</v>
      </c>
      <c r="O4181" s="13" t="s">
        <v>2384</v>
      </c>
      <c r="P4181" s="26" t="n">
        <v>3983882</v>
      </c>
      <c r="Q4181" s="20" t="s">
        <v>17135</v>
      </c>
      <c r="R4181" s="13" t="s">
        <v>3520</v>
      </c>
      <c r="S4181" s="25" t="n">
        <v>36029</v>
      </c>
      <c r="T4181" s="13" t="s">
        <v>108</v>
      </c>
      <c r="U4181" s="13" t="s">
        <v>17136</v>
      </c>
      <c r="V4181" s="13" t="s">
        <v>42</v>
      </c>
      <c r="W4181" s="13" t="s">
        <v>43</v>
      </c>
      <c r="X4181" s="21" t="n">
        <v>89677511143</v>
      </c>
      <c r="Y4181" s="22" t="str">
        <f aca="false">O4181</f>
        <v>SPG</v>
      </c>
      <c r="Z4181" s="13" t="str">
        <f aca="false">IFERROR(__xludf.dummyfunction("if(BJ4181="""","""",GOOGLETRANSLATE(BJ4181,""auto"",""en""))"),"SPG")</f>
        <v>SPG</v>
      </c>
      <c r="AA4181" s="23" t="str">
        <f aca="false">IF(C4181="","", CHOOSE(MONTH(C4181),"January","February","March","April","May","June","July","August","September","October","November","December")&amp;" "&amp;DAY(C4181)&amp;MID("thstndrdth",MIN(9,2*RIGHT(DAY(C4181))*(MOD(DAY(C4181)-11,100)&gt;2)+1),2)&amp;","&amp;TEXT(C4181," yyyy"))</f>
        <v>September 1st,2026</v>
      </c>
      <c r="AB4181" s="15" t="str">
        <f aca="true">IF(S4181="","",DATEDIF(S4181,TODAY(),"Y")&amp;" Tahun, "&amp;DATEDIF(S4181,TODAY(),"YM")&amp;" Bulan, "&amp;DATEDIF(S4181,TODAY(),"MD")&amp;" Hari")</f>
        <v>28 Tahun, 2 Bulan, 7 Hari</v>
      </c>
      <c r="AC4181" s="14" t="n">
        <v>46266</v>
      </c>
      <c r="AD4181" s="18" t="n">
        <f aca="false">EDATE(AC4181,3)-1</f>
        <v>46356</v>
      </c>
      <c r="AE4181" s="13" t="s">
        <v>397</v>
      </c>
    </row>
    <row r="4182" customFormat="false" ht="15" hidden="false" customHeight="true" outlineLevel="0" collapsed="false">
      <c r="A4182" s="12" t="n">
        <v>22816</v>
      </c>
      <c r="B4182" s="13" t="s">
        <v>17137</v>
      </c>
      <c r="C4182" s="14" t="n">
        <v>46286</v>
      </c>
      <c r="D4182" s="13" t="s">
        <v>6623</v>
      </c>
      <c r="E4182" s="15" t="s">
        <v>47</v>
      </c>
      <c r="F4182" s="24" t="s">
        <v>17138</v>
      </c>
      <c r="G4182" s="13" t="s">
        <v>2809</v>
      </c>
      <c r="H4182" s="13" t="s">
        <v>35</v>
      </c>
      <c r="I4182" s="13" t="str">
        <f aca="false">IF(C4182=J4182,"NEW KONTRAK","RE-KONTRAK")</f>
        <v>NEW KONTRAK</v>
      </c>
      <c r="J4182" s="16" t="n">
        <f aca="false" t="array" ref="J4182:J4182">IFERROR(INDEX(AC4182:AE4182,IF(COUNTA(AC4182:AE4182)=0,"",MAX((AC4182:AE4182&lt;&gt;"")*(COLUMN(AC4182:AE4182)-(COLUMN(AC4182)))))-1),"")</f>
        <v>46286</v>
      </c>
      <c r="K4182" s="16" t="n">
        <f aca="false" t="array" ref="K4182:K4182">IFERROR(INDEX(AC4182:AE4182,IF(COUNTA(AC4182:AE4182)=0,"",MAX((AC4182:AE4182&lt;&gt;"")*(COLUMN(AC4182:AE4182)-(COLUMN(AC4182)-1))))-1),"")</f>
        <v>46376</v>
      </c>
      <c r="L4182" s="17" t="str">
        <f aca="false" t="array" ref="L4182:L4182">IFERROR(INDEX(AC4182:AE4182,IF(COUNTA(AC4182:AE4182)=0,"",MAX((AC4182:AE4182&lt;&gt;"")*(COLUMN(AC4182:AE4182)-(COLUMN(AC4182)-2))))-1),"")</f>
        <v>ARCHIVED</v>
      </c>
      <c r="M4182" s="13" t="n">
        <f aca="true">K4182-TODAY()</f>
        <v>52</v>
      </c>
      <c r="N4182" s="18" t="s">
        <v>728</v>
      </c>
      <c r="O4182" s="13" t="s">
        <v>750</v>
      </c>
      <c r="P4182" s="26" t="n">
        <v>3000000</v>
      </c>
      <c r="Q4182" s="20" t="s">
        <v>17139</v>
      </c>
      <c r="R4182" s="13" t="s">
        <v>246</v>
      </c>
      <c r="S4182" s="25" t="n">
        <v>36063</v>
      </c>
      <c r="T4182" s="13" t="s">
        <v>108</v>
      </c>
      <c r="U4182" s="13" t="s">
        <v>17140</v>
      </c>
      <c r="V4182" s="13" t="s">
        <v>42</v>
      </c>
      <c r="W4182" s="13" t="s">
        <v>43</v>
      </c>
      <c r="X4182" s="21" t="n">
        <v>85648251147</v>
      </c>
      <c r="Y4182" s="22" t="str">
        <f aca="false">O4182</f>
        <v>Admin</v>
      </c>
      <c r="Z4182" s="13" t="str">
        <f aca="false">IFERROR(__xludf.dummyfunction("if(BJ4182="""","""",GOOGLETRANSLATE(BJ4182,""auto"",""en""))"),"Admin")</f>
        <v>Admin</v>
      </c>
      <c r="AA4182" s="23" t="str">
        <f aca="false">IF(C4182="","", CHOOSE(MONTH(C4182),"January","February","March","April","May","June","July","August","September","October","November","December")&amp;" "&amp;DAY(C4182)&amp;MID("thstndrdth",MIN(9,2*RIGHT(DAY(C4182))*(MOD(DAY(C4182)-11,100)&gt;2)+1),2)&amp;","&amp;TEXT(C4182," yyyy"))</f>
        <v>September 21st,2026</v>
      </c>
      <c r="AB4182" s="15" t="str">
        <f aca="true">IF(S4182="","",DATEDIF(S4182,TODAY(),"Y")&amp;" Tahun, "&amp;DATEDIF(S4182,TODAY(),"YM")&amp;" Bulan, "&amp;DATEDIF(S4182,TODAY(),"MD")&amp;" Hari")</f>
        <v>28 Tahun, 1 Bulan, 4 Hari</v>
      </c>
      <c r="AC4182" s="14" t="n">
        <f aca="false">C4182</f>
        <v>46286</v>
      </c>
      <c r="AD4182" s="18" t="n">
        <f aca="false">EDATE(AC4182,3)-1</f>
        <v>46376</v>
      </c>
      <c r="AE4182" s="13" t="s">
        <v>44</v>
      </c>
    </row>
    <row r="4183" customFormat="false" ht="15" hidden="false" customHeight="true" outlineLevel="0" collapsed="false">
      <c r="A4183" s="12" t="n">
        <v>22817</v>
      </c>
      <c r="B4183" s="13" t="s">
        <v>17141</v>
      </c>
      <c r="C4183" s="14" t="n">
        <v>46279</v>
      </c>
      <c r="D4183" s="13" t="s">
        <v>144</v>
      </c>
      <c r="E4183" s="13" t="s">
        <v>47</v>
      </c>
      <c r="F4183" s="15" t="str">
        <f aca="false">IFERROR(__xludf.dummyfunction("XLOOKUP(AJ4183,IMPORTRANGE(""1XaInW9DU9nz21V0tYIfzFQ0He9kVQ_JF2mCXgZ3hqFA"",""REKAP ALL 2026 - Andika!G:G""),IMPORTRANGE(""1XaInW9DU9nz21V0tYIfzFQ0He9kVQ_JF2mCXgZ3hqFA"",""REKAP ALL 2026 - Andika!F:F""),"""",0)"),"26005759639")</f>
        <v>26005759639</v>
      </c>
      <c r="G4183" s="13" t="s">
        <v>1452</v>
      </c>
      <c r="H4183" s="13" t="s">
        <v>35</v>
      </c>
      <c r="I4183" s="13" t="str">
        <f aca="false">IF(C4183=J4183,"NEW KONTRAK","RE-KONTRAK")</f>
        <v>NEW KONTRAK</v>
      </c>
      <c r="J4183" s="16" t="n">
        <f aca="false" t="array" ref="J4183:J4183">IFERROR(INDEX(AC4183:AE4183,IF(COUNTA(AC4183:AE4183)=0,"",MAX((AC4183:AE4183&lt;&gt;"")*(COLUMN(AC4183:AE4183)-(COLUMN(AC4183)))))-1),"")</f>
        <v>46279</v>
      </c>
      <c r="K4183" s="16" t="n">
        <f aca="false" t="array" ref="K4183:K4183">IFERROR(INDEX(AC4183:AE4183,IF(COUNTA(AC4183:AE4183)=0,"",MAX((AC4183:AE4183&lt;&gt;"")*(COLUMN(AC4183:AE4183)-(COLUMN(AC4183)-1))))-1),"")</f>
        <v>46356</v>
      </c>
      <c r="L4183" s="17" t="str">
        <f aca="false" t="array" ref="L4183:L4183">IFERROR(INDEX(AC4183:AE4183,IF(COUNTA(AC4183:AE4183)=0,"",MAX((AC4183:AE4183&lt;&gt;"")*(COLUMN(AC4183:AE4183)-(COLUMN(AC4183)-2))))-1),"")</f>
        <v>KEMBALI</v>
      </c>
      <c r="M4183" s="13" t="n">
        <f aca="true">K4183-TODAY()</f>
        <v>32</v>
      </c>
      <c r="N4183" s="18" t="s">
        <v>36</v>
      </c>
      <c r="O4183" s="13" t="s">
        <v>156</v>
      </c>
      <c r="P4183" s="26" t="n">
        <v>5195401</v>
      </c>
      <c r="Q4183" s="20" t="s">
        <v>17142</v>
      </c>
      <c r="R4183" s="13" t="s">
        <v>78</v>
      </c>
      <c r="S4183" s="25" t="n">
        <v>33800</v>
      </c>
      <c r="T4183" s="13" t="s">
        <v>40</v>
      </c>
      <c r="U4183" s="13" t="s">
        <v>17143</v>
      </c>
      <c r="V4183" s="13" t="s">
        <v>42</v>
      </c>
      <c r="W4183" s="13" t="s">
        <v>43</v>
      </c>
      <c r="X4183" s="21" t="n">
        <v>82132689256</v>
      </c>
      <c r="Y4183" s="22" t="str">
        <f aca="false">O4183</f>
        <v>Emulsion</v>
      </c>
      <c r="Z4183" s="13" t="str">
        <f aca="false">IFERROR(__xludf.dummyfunction("if(BJ4183="""","""",GOOGLETRANSLATE(BJ4183,""auto"",""en""))"),"Emulsion")</f>
        <v>Emulsion</v>
      </c>
      <c r="AA4183" s="23" t="str">
        <f aca="false">IF(C4183="","", CHOOSE(MONTH(C4183),"January","February","March","April","May","June","July","August","September","October","November","December")&amp;" "&amp;DAY(C4183)&amp;MID("thstndrdth",MIN(9,2*RIGHT(DAY(C4183))*(MOD(DAY(C4183)-11,100)&gt;2)+1),2)&amp;","&amp;TEXT(C4183," yyyy"))</f>
        <v>September 14th,2026</v>
      </c>
      <c r="AB4183" s="15" t="str">
        <f aca="true">IF(S4183="","",DATEDIF(S4183,TODAY(),"Y")&amp;" Tahun, "&amp;DATEDIF(S4183,TODAY(),"YM")&amp;" Bulan, "&amp;DATEDIF(S4183,TODAY(),"MD")&amp;" Hari")</f>
        <v>34 Tahun, 3 Bulan, 14 Hari</v>
      </c>
      <c r="AC4183" s="14" t="n">
        <v>46279</v>
      </c>
      <c r="AD4183" s="18" t="n">
        <v>46356</v>
      </c>
      <c r="AE4183" s="13" t="s">
        <v>397</v>
      </c>
    </row>
    <row r="4184" customFormat="false" ht="15" hidden="false" customHeight="true" outlineLevel="0" collapsed="false">
      <c r="A4184" s="12" t="n">
        <v>22818</v>
      </c>
      <c r="B4184" s="13" t="s">
        <v>17144</v>
      </c>
      <c r="C4184" s="14" t="n">
        <v>46279</v>
      </c>
      <c r="D4184" s="13" t="s">
        <v>144</v>
      </c>
      <c r="E4184" s="15" t="s">
        <v>47</v>
      </c>
      <c r="F4184" s="15" t="str">
        <f aca="false">IFERROR(__xludf.dummyfunction("XLOOKUP(AJ4184,IMPORTRANGE(""1XaInW9DU9nz21V0tYIfzFQ0He9kVQ_JF2mCXgZ3hqFA"",""REKAP ALL 2026 - Andika!G:G""),IMPORTRANGE(""1XaInW9DU9nz21V0tYIfzFQ0He9kVQ_JF2mCXgZ3hqFA"",""REKAP ALL 2026 - Andika!F:F""),"""",0)"),"25157578904")</f>
        <v>25157578904</v>
      </c>
      <c r="G4184" s="13" t="s">
        <v>1452</v>
      </c>
      <c r="H4184" s="13" t="s">
        <v>35</v>
      </c>
      <c r="I4184" s="13" t="str">
        <f aca="false">IF(C4184=J4184,"NEW KONTRAK","RE-KONTRAK")</f>
        <v>NEW KONTRAK</v>
      </c>
      <c r="J4184" s="16" t="n">
        <f aca="false" t="array" ref="J4184:J4184">IFERROR(INDEX(AC4184:AE4184,IF(COUNTA(AC4184:AE4184)=0,"",MAX((AC4184:AE4184&lt;&gt;"")*(COLUMN(AC4184:AE4184)-(COLUMN(AC4184)))))-1),"")</f>
        <v>46279</v>
      </c>
      <c r="K4184" s="16" t="n">
        <f aca="false" t="array" ref="K4184:K4184">IFERROR(INDEX(AC4184:AE4184,IF(COUNTA(AC4184:AE4184)=0,"",MAX((AC4184:AE4184&lt;&gt;"")*(COLUMN(AC4184:AE4184)-(COLUMN(AC4184)-1))))-1),"")</f>
        <v>46356</v>
      </c>
      <c r="L4184" s="17" t="str">
        <f aca="false" t="array" ref="L4184:L4184">IFERROR(INDEX(AC4184:AE4184,IF(COUNTA(AC4184:AE4184)=0,"",MAX((AC4184:AE4184&lt;&gt;"")*(COLUMN(AC4184:AE4184)-(COLUMN(AC4184)-2))))-1),"")</f>
        <v>KEMBALI</v>
      </c>
      <c r="M4184" s="13" t="n">
        <f aca="true">K4184-TODAY()</f>
        <v>32</v>
      </c>
      <c r="N4184" s="18" t="s">
        <v>36</v>
      </c>
      <c r="O4184" s="13" t="s">
        <v>156</v>
      </c>
      <c r="P4184" s="26" t="n">
        <v>5195401</v>
      </c>
      <c r="Q4184" s="20" t="s">
        <v>17145</v>
      </c>
      <c r="R4184" s="13" t="s">
        <v>52</v>
      </c>
      <c r="S4184" s="25" t="n">
        <v>34825</v>
      </c>
      <c r="T4184" s="13" t="s">
        <v>40</v>
      </c>
      <c r="U4184" s="13" t="s">
        <v>17146</v>
      </c>
      <c r="V4184" s="13" t="s">
        <v>42</v>
      </c>
      <c r="W4184" s="13" t="s">
        <v>54</v>
      </c>
      <c r="X4184" s="21" t="n">
        <v>89504066466</v>
      </c>
      <c r="Y4184" s="22" t="str">
        <f aca="false">O4184</f>
        <v>Emulsion</v>
      </c>
      <c r="Z4184" s="13" t="str">
        <f aca="false">IFERROR(__xludf.dummyfunction("if(BJ4184="""","""",GOOGLETRANSLATE(BJ4184,""auto"",""en""))"),"Emulsion")</f>
        <v>Emulsion</v>
      </c>
      <c r="AA4184" s="23" t="str">
        <f aca="false">IF(C4184="","", CHOOSE(MONTH(C4184),"January","February","March","April","May","June","July","August","September","October","November","December")&amp;" "&amp;DAY(C4184)&amp;MID("thstndrdth",MIN(9,2*RIGHT(DAY(C4184))*(MOD(DAY(C4184)-11,100)&gt;2)+1),2)&amp;","&amp;TEXT(C4184," yyyy"))</f>
        <v>September 14th,2026</v>
      </c>
      <c r="AB4184" s="15" t="str">
        <f aca="true">IF(S4184="","",DATEDIF(S4184,TODAY(),"Y")&amp;" Tahun, "&amp;DATEDIF(S4184,TODAY(),"YM")&amp;" Bulan, "&amp;DATEDIF(S4184,TODAY(),"MD")&amp;" Hari")</f>
        <v>31 Tahun, 5 Bulan, 23 Hari</v>
      </c>
      <c r="AC4184" s="14" t="n">
        <v>46279</v>
      </c>
      <c r="AD4184" s="18" t="n">
        <v>46356</v>
      </c>
      <c r="AE4184" s="13" t="s">
        <v>397</v>
      </c>
    </row>
    <row r="4185" customFormat="false" ht="15" hidden="false" customHeight="true" outlineLevel="0" collapsed="false">
      <c r="A4185" s="12" t="n">
        <v>22819</v>
      </c>
      <c r="B4185" s="13" t="s">
        <v>17147</v>
      </c>
      <c r="C4185" s="14" t="n">
        <v>46282</v>
      </c>
      <c r="D4185" s="13" t="s">
        <v>9043</v>
      </c>
      <c r="E4185" s="13" t="s">
        <v>13294</v>
      </c>
      <c r="F4185" s="24" t="s">
        <v>17148</v>
      </c>
      <c r="G4185" s="13" t="s">
        <v>1452</v>
      </c>
      <c r="H4185" s="13" t="s">
        <v>35</v>
      </c>
      <c r="I4185" s="13" t="str">
        <f aca="false">IF(C4185=J4185,"NEW KONTRAK","RE-KONTRAK")</f>
        <v>NEW KONTRAK</v>
      </c>
      <c r="J4185" s="16" t="n">
        <f aca="false" t="array" ref="J4185:J4185">IFERROR(INDEX(AC4185:AE4185,IF(COUNTA(AC4185:AE4185)=0,"",MAX((AC4185:AE4185&lt;&gt;"")*(COLUMN(AC4185:AE4185)-(COLUMN(AC4185)))))-1),"")</f>
        <v>46282</v>
      </c>
      <c r="K4185" s="16" t="n">
        <f aca="false" t="array" ref="K4185:K4185">IFERROR(INDEX(AC4185:AE4185,IF(COUNTA(AC4185:AE4185)=0,"",MAX((AC4185:AE4185&lt;&gt;"")*(COLUMN(AC4185:AE4185)-(COLUMN(AC4185)-1))))-1),"")</f>
        <v>46372</v>
      </c>
      <c r="L4185" s="17" t="str">
        <f aca="false" t="array" ref="L4185:L4185">IFERROR(INDEX(AC4185:AE4185,IF(COUNTA(AC4185:AE4185)=0,"",MAX((AC4185:AE4185&lt;&gt;"")*(COLUMN(AC4185:AE4185)-(COLUMN(AC4185)-2))))-1),"")</f>
        <v>KEMBALI ONLINE</v>
      </c>
      <c r="M4185" s="13" t="n">
        <f aca="true">K4185-TODAY()</f>
        <v>48</v>
      </c>
      <c r="N4185" s="28" t="s">
        <v>105</v>
      </c>
      <c r="O4185" s="13" t="s">
        <v>6662</v>
      </c>
      <c r="P4185" s="26" t="n">
        <v>3944496</v>
      </c>
      <c r="Q4185" s="20" t="s">
        <v>17149</v>
      </c>
      <c r="R4185" s="13" t="s">
        <v>260</v>
      </c>
      <c r="S4185" s="25" t="n">
        <v>35877</v>
      </c>
      <c r="T4185" s="13" t="s">
        <v>40</v>
      </c>
      <c r="U4185" s="13" t="s">
        <v>17150</v>
      </c>
      <c r="V4185" s="13" t="s">
        <v>42</v>
      </c>
      <c r="W4185" s="13" t="s">
        <v>43</v>
      </c>
      <c r="X4185" s="21" t="n">
        <v>85649246505</v>
      </c>
      <c r="Y4185" s="22" t="str">
        <f aca="false">O4185</f>
        <v>Front Office</v>
      </c>
      <c r="Z4185" s="13" t="str">
        <f aca="false">IFERROR(__xludf.dummyfunction("if(BJ4185="""","""",GOOGLETRANSLATE(BJ4185,""auto"",""en""))"),"Front Office")</f>
        <v>Front Office</v>
      </c>
      <c r="AA4185" s="23" t="str">
        <f aca="false">IF(C4185="","", CHOOSE(MONTH(C4185),"January","February","March","April","May","June","July","August","September","October","November","December")&amp;" "&amp;DAY(C4185)&amp;MID("thstndrdth",MIN(9,2*RIGHT(DAY(C4185))*(MOD(DAY(C4185)-11,100)&gt;2)+1),2)&amp;","&amp;TEXT(C4185," yyyy"))</f>
        <v>September 17th,2026</v>
      </c>
      <c r="AB4185" s="15" t="str">
        <f aca="true">IF(S4185="","",DATEDIF(S4185,TODAY(),"Y")&amp;" Tahun, "&amp;DATEDIF(S4185,TODAY(),"YM")&amp;" Bulan, "&amp;DATEDIF(S4185,TODAY(),"MD")&amp;" Hari")</f>
        <v>28 Tahun, 7 Bulan, 6 Hari</v>
      </c>
      <c r="AC4185" s="14" t="n">
        <v>46282</v>
      </c>
      <c r="AD4185" s="18" t="n">
        <f aca="false">EDATE(AC4185,3)-1</f>
        <v>46372</v>
      </c>
      <c r="AE4185" s="13" t="s">
        <v>2387</v>
      </c>
    </row>
    <row r="4186" customFormat="false" ht="15" hidden="false" customHeight="true" outlineLevel="0" collapsed="false">
      <c r="A4186" s="12" t="n">
        <v>22820</v>
      </c>
      <c r="B4186" s="13" t="s">
        <v>17151</v>
      </c>
      <c r="C4186" s="14" t="n">
        <v>46262</v>
      </c>
      <c r="D4186" s="13" t="s">
        <v>7310</v>
      </c>
      <c r="E4186" s="13" t="s">
        <v>47</v>
      </c>
      <c r="F4186" s="24" t="s">
        <v>17152</v>
      </c>
      <c r="G4186" s="13" t="s">
        <v>1452</v>
      </c>
      <c r="H4186" s="13" t="s">
        <v>35</v>
      </c>
      <c r="I4186" s="13" t="str">
        <f aca="false">IF(C4186=J4186,"NEW KONTRAK","RE-KONTRAK")</f>
        <v>NEW KONTRAK</v>
      </c>
      <c r="J4186" s="16" t="n">
        <f aca="false" t="array" ref="J4186:J4186">IFERROR(INDEX(AC4186:AE4186,IF(COUNTA(AC4186:AE4186)=0,"",MAX((AC4186:AE4186&lt;&gt;"")*(COLUMN(AC4186:AE4186)-(COLUMN(AC4186)))))-1),"")</f>
        <v>46262</v>
      </c>
      <c r="K4186" s="16" t="n">
        <f aca="false" t="array" ref="K4186:K4186">IFERROR(INDEX(AC4186:AE4186,IF(COUNTA(AC4186:AE4186)=0,"",MAX((AC4186:AE4186&lt;&gt;"")*(COLUMN(AC4186:AE4186)-(COLUMN(AC4186)-1))))-1),"")</f>
        <v>46632</v>
      </c>
      <c r="L4186" s="17" t="str">
        <f aca="false" t="array" ref="L4186:L4186">IFERROR(INDEX(AC4186:AE4186,IF(COUNTA(AC4186:AE4186)=0,"",MAX((AC4186:AE4186&lt;&gt;"")*(COLUMN(AC4186:AE4186)-(COLUMN(AC4186)-2))))-1),"")</f>
        <v>KEMBALI</v>
      </c>
      <c r="M4186" s="13" t="n">
        <f aca="true">K4186-TODAY()</f>
        <v>308</v>
      </c>
      <c r="N4186" s="18" t="s">
        <v>7313</v>
      </c>
      <c r="O4186" s="13" t="s">
        <v>12061</v>
      </c>
      <c r="P4186" s="19" t="n">
        <v>2550274</v>
      </c>
      <c r="Q4186" s="20" t="s">
        <v>17153</v>
      </c>
      <c r="R4186" s="13" t="s">
        <v>763</v>
      </c>
      <c r="S4186" s="25" t="n">
        <v>38143</v>
      </c>
      <c r="T4186" s="13" t="s">
        <v>40</v>
      </c>
      <c r="U4186" s="13" t="s">
        <v>17154</v>
      </c>
      <c r="V4186" s="13" t="s">
        <v>42</v>
      </c>
      <c r="W4186" s="13" t="s">
        <v>43</v>
      </c>
      <c r="X4186" s="21" t="n">
        <v>85704794470</v>
      </c>
      <c r="Y4186" s="22" t="str">
        <f aca="false">O4186</f>
        <v>Helper/Kernet</v>
      </c>
      <c r="Z4186" s="13" t="str">
        <f aca="false">IFERROR(__xludf.dummyfunction("if(BJ4186="""","""",GOOGLETRANSLATE(BJ4186,""auto"",""en""))"),"Helper/Coordinator")</f>
        <v>Helper/Coordinator</v>
      </c>
      <c r="AA4186" s="23" t="str">
        <f aca="false">IF(C4186="","", CHOOSE(MONTH(C4186),"January","February","March","April","May","June","July","August","September","October","November","December")&amp;" "&amp;DAY(C4186)&amp;MID("thstndrdth",MIN(9,2*RIGHT(DAY(C4186))*(MOD(DAY(C4186)-11,100)&gt;2)+1),2)&amp;","&amp;TEXT(C4186," yyyy"))</f>
        <v>August 28th,2026</v>
      </c>
      <c r="AB4186" s="15" t="str">
        <f aca="true">IF(S4186="","",DATEDIF(S4186,TODAY(),"Y")&amp;" Tahun, "&amp;DATEDIF(S4186,TODAY(),"YM")&amp;" Bulan, "&amp;DATEDIF(S4186,TODAY(),"MD")&amp;" Hari")</f>
        <v>22 Tahun, 4 Bulan, 24 Hari</v>
      </c>
      <c r="AC4186" s="14" t="n">
        <v>46262</v>
      </c>
      <c r="AD4186" s="18" t="n">
        <v>46632</v>
      </c>
      <c r="AE4186" s="13" t="s">
        <v>397</v>
      </c>
    </row>
    <row r="4187" customFormat="false" ht="15" hidden="false" customHeight="true" outlineLevel="0" collapsed="false">
      <c r="A4187" s="12" t="n">
        <v>22821</v>
      </c>
      <c r="B4187" s="13" t="s">
        <v>17155</v>
      </c>
      <c r="C4187" s="14" t="n">
        <v>46270</v>
      </c>
      <c r="D4187" s="131" t="s">
        <v>7310</v>
      </c>
      <c r="E4187" s="13" t="s">
        <v>47</v>
      </c>
      <c r="F4187" s="24" t="s">
        <v>17156</v>
      </c>
      <c r="G4187" s="13" t="s">
        <v>1452</v>
      </c>
      <c r="H4187" s="13" t="s">
        <v>35</v>
      </c>
      <c r="I4187" s="13" t="str">
        <f aca="false">IF(C4187=J4187,"NEW KONTRAK","RE-KONTRAK")</f>
        <v>NEW KONTRAK</v>
      </c>
      <c r="J4187" s="16" t="n">
        <f aca="false" t="array" ref="J4187:J4187">IFERROR(INDEX(AC4187:AE4187,IF(COUNTA(AC4187:AE4187)=0,"",MAX((AC4187:AE4187&lt;&gt;"")*(COLUMN(AC4187:AE4187)-(COLUMN(AC4187)))))-1),"")</f>
        <v>46270</v>
      </c>
      <c r="K4187" s="16" t="n">
        <f aca="false" t="array" ref="K4187:K4187">IFERROR(INDEX(AC4187:AE4187,IF(COUNTA(AC4187:AE4187)=0,"",MAX((AC4187:AE4187&lt;&gt;"")*(COLUMN(AC4187:AE4187)-(COLUMN(AC4187)-1))))-1),"")</f>
        <v>46632</v>
      </c>
      <c r="L4187" s="17" t="str">
        <f aca="false" t="array" ref="L4187:L4187">IFERROR(INDEX(AC4187:AE4187,IF(COUNTA(AC4187:AE4187)=0,"",MAX((AC4187:AE4187&lt;&gt;"")*(COLUMN(AC4187:AE4187)-(COLUMN(AC4187)-2))))-1),"")</f>
        <v>KEMBALI</v>
      </c>
      <c r="M4187" s="13" t="n">
        <f aca="true">K4187-TODAY()</f>
        <v>308</v>
      </c>
      <c r="N4187" s="18" t="s">
        <v>7313</v>
      </c>
      <c r="O4187" s="13" t="s">
        <v>12061</v>
      </c>
      <c r="P4187" s="19" t="n">
        <v>2550274</v>
      </c>
      <c r="Q4187" s="20" t="s">
        <v>17157</v>
      </c>
      <c r="R4187" s="13" t="s">
        <v>227</v>
      </c>
      <c r="S4187" s="25" t="n">
        <v>39317</v>
      </c>
      <c r="T4187" s="13" t="s">
        <v>40</v>
      </c>
      <c r="U4187" s="13" t="s">
        <v>16870</v>
      </c>
      <c r="V4187" s="13" t="s">
        <v>42</v>
      </c>
      <c r="W4187" s="13" t="s">
        <v>43</v>
      </c>
      <c r="X4187" s="21" t="n">
        <v>85735523329</v>
      </c>
      <c r="Y4187" s="22" t="str">
        <f aca="false">O4187</f>
        <v>Helper/Kernet</v>
      </c>
      <c r="Z4187" s="13" t="str">
        <f aca="false">IFERROR(__xludf.dummyfunction("if(BJ4187="""","""",GOOGLETRANSLATE(BJ4187,""auto"",""en""))"),"Helper/Coordinator")</f>
        <v>Helper/Coordinator</v>
      </c>
      <c r="AA4187" s="23" t="str">
        <f aca="false">IF(C4187="","", CHOOSE(MONTH(C4187),"January","February","March","April","May","June","July","August","September","October","November","December")&amp;" "&amp;DAY(C4187)&amp;MID("thstndrdth",MIN(9,2*RIGHT(DAY(C4187))*(MOD(DAY(C4187)-11,100)&gt;2)+1),2)&amp;","&amp;TEXT(C4187," yyyy"))</f>
        <v>September 5th,2026</v>
      </c>
      <c r="AB4187" s="15" t="str">
        <f aca="true">IF(S4187="","",DATEDIF(S4187,TODAY(),"Y")&amp;" Tahun, "&amp;DATEDIF(S4187,TODAY(),"YM")&amp;" Bulan, "&amp;DATEDIF(S4187,TODAY(),"MD")&amp;" Hari")</f>
        <v>19 Tahun, 2 Bulan, 6 Hari</v>
      </c>
      <c r="AC4187" s="14" t="n">
        <v>46270</v>
      </c>
      <c r="AD4187" s="18" t="n">
        <v>46632</v>
      </c>
      <c r="AE4187" s="13" t="s">
        <v>397</v>
      </c>
    </row>
    <row r="4188" customFormat="false" ht="15" hidden="false" customHeight="true" outlineLevel="0" collapsed="false">
      <c r="A4188" s="12" t="n">
        <v>22822</v>
      </c>
      <c r="B4188" s="13" t="s">
        <v>17158</v>
      </c>
      <c r="C4188" s="14" t="n">
        <v>46286</v>
      </c>
      <c r="D4188" s="13" t="s">
        <v>144</v>
      </c>
      <c r="E4188" s="13" t="s">
        <v>47</v>
      </c>
      <c r="F4188" s="24" t="s">
        <v>17159</v>
      </c>
      <c r="G4188" s="13" t="s">
        <v>1452</v>
      </c>
      <c r="H4188" s="13" t="s">
        <v>35</v>
      </c>
      <c r="I4188" s="13" t="str">
        <f aca="false">IF(C4188=J4188,"NEW KONTRAK","RE-KONTRAK")</f>
        <v>NEW KONTRAK</v>
      </c>
      <c r="J4188" s="16" t="n">
        <f aca="false" t="array" ref="J4188:J4188">IFERROR(INDEX(AC4188:AE4188,IF(COUNTA(AC4188:AE4188)=0,"",MAX((AC4188:AE4188&lt;&gt;"")*(COLUMN(AC4188:AE4188)-(COLUMN(AC4188)))))-1),"")</f>
        <v>46286</v>
      </c>
      <c r="K4188" s="16" t="n">
        <f aca="false" t="array" ref="K4188:K4188">IFERROR(INDEX(AC4188:AE4188,IF(COUNTA(AC4188:AE4188)=0,"",MAX((AC4188:AE4188&lt;&gt;"")*(COLUMN(AC4188:AE4188)-(COLUMN(AC4188)-1))))-1),"")</f>
        <v>46356</v>
      </c>
      <c r="L4188" s="17" t="str">
        <f aca="false" t="array" ref="L4188:L4188">IFERROR(INDEX(AC4188:AE4188,IF(COUNTA(AC4188:AE4188)=0,"",MAX((AC4188:AE4188&lt;&gt;"")*(COLUMN(AC4188:AE4188)-(COLUMN(AC4188)-2))))-1),"")</f>
        <v>KEMBALI</v>
      </c>
      <c r="M4188" s="13" t="n">
        <f aca="true">K4188-TODAY()</f>
        <v>32</v>
      </c>
      <c r="N4188" s="18" t="s">
        <v>36</v>
      </c>
      <c r="O4188" s="13" t="s">
        <v>17160</v>
      </c>
      <c r="P4188" s="26" t="n">
        <v>5195401</v>
      </c>
      <c r="Q4188" s="20" t="s">
        <v>17161</v>
      </c>
      <c r="R4188" s="13" t="s">
        <v>52</v>
      </c>
      <c r="S4188" s="25" t="n">
        <v>33924</v>
      </c>
      <c r="T4188" s="13" t="s">
        <v>40</v>
      </c>
      <c r="U4188" s="13" t="s">
        <v>17162</v>
      </c>
      <c r="V4188" s="13" t="s">
        <v>42</v>
      </c>
      <c r="W4188" s="13" t="s">
        <v>54</v>
      </c>
      <c r="X4188" s="21" t="n">
        <v>85609788185</v>
      </c>
      <c r="Y4188" s="22" t="str">
        <f aca="false">O4188</f>
        <v>Operator Forklift FG Store</v>
      </c>
      <c r="Z4188" s="13" t="str">
        <f aca="false">IFERROR(__xludf.dummyfunction("if(BJ4188="""","""",GOOGLETRANSLATE(BJ4188,""auto"",""en""))"),"Operator Forklift FG Store")</f>
        <v>Operator Forklift FG Store</v>
      </c>
      <c r="AA4188" s="23" t="str">
        <f aca="false">IF(C4188="","", CHOOSE(MONTH(C4188),"January","February","March","April","May","June","July","August","September","October","November","December")&amp;" "&amp;DAY(C4188)&amp;MID("thstndrdth",MIN(9,2*RIGHT(DAY(C4188))*(MOD(DAY(C4188)-11,100)&gt;2)+1),2)&amp;","&amp;TEXT(C4188," yyyy"))</f>
        <v>September 21st,2026</v>
      </c>
      <c r="AB4188" s="15" t="str">
        <f aca="true">IF(S4188="","",DATEDIF(S4188,TODAY(),"Y")&amp;" Tahun, "&amp;DATEDIF(S4188,TODAY(),"YM")&amp;" Bulan, "&amp;DATEDIF(S4188,TODAY(),"MD")&amp;" Hari")</f>
        <v>33 Tahun, 11 Bulan, 13 Hari</v>
      </c>
      <c r="AC4188" s="14" t="n">
        <v>46286</v>
      </c>
      <c r="AD4188" s="18" t="n">
        <v>46356</v>
      </c>
      <c r="AE4188" s="13" t="s">
        <v>397</v>
      </c>
    </row>
    <row r="4189" customFormat="false" ht="15" hidden="false" customHeight="true" outlineLevel="0" collapsed="false">
      <c r="A4189" s="12" t="n">
        <v>22823</v>
      </c>
      <c r="B4189" s="13" t="s">
        <v>17163</v>
      </c>
      <c r="C4189" s="14" t="n">
        <v>46286</v>
      </c>
      <c r="D4189" s="13" t="s">
        <v>11620</v>
      </c>
      <c r="E4189" s="13" t="s">
        <v>102</v>
      </c>
      <c r="F4189" s="24" t="s">
        <v>17164</v>
      </c>
      <c r="G4189" s="13" t="s">
        <v>1452</v>
      </c>
      <c r="H4189" s="13" t="s">
        <v>35</v>
      </c>
      <c r="I4189" s="13" t="str">
        <f aca="false">IF(C4189=J4189,"NEW KONTRAK","RE-KONTRAK")</f>
        <v>NEW KONTRAK</v>
      </c>
      <c r="J4189" s="16" t="n">
        <f aca="false" t="array" ref="J4189:J4189">IFERROR(INDEX(AC4189:AE4189,IF(COUNTA(AC4189:AE4189)=0,"",MAX((AC4189:AE4189&lt;&gt;"")*(COLUMN(AC4189:AE4189)-(COLUMN(AC4189)))))-1),"")</f>
        <v>46286</v>
      </c>
      <c r="K4189" s="16" t="n">
        <f aca="false" t="array" ref="K4189:K4189">IFERROR(INDEX(AC4189:AE4189,IF(COUNTA(AC4189:AE4189)=0,"",MAX((AC4189:AE4189&lt;&gt;"")*(COLUMN(AC4189:AE4189)-(COLUMN(AC4189)-1))))-1),"")</f>
        <v>46387</v>
      </c>
      <c r="L4189" s="17" t="str">
        <f aca="false" t="array" ref="L4189:L4189">IFERROR(INDEX(AC4189:AE4189,IF(COUNTA(AC4189:AE4189)=0,"",MAX((AC4189:AE4189&lt;&gt;"")*(COLUMN(AC4189:AE4189)-(COLUMN(AC4189)-2))))-1),"")</f>
        <v>ARCHIVED</v>
      </c>
      <c r="M4189" s="13" t="n">
        <f aca="true">K4189-TODAY()</f>
        <v>63</v>
      </c>
      <c r="N4189" s="18" t="s">
        <v>36</v>
      </c>
      <c r="O4189" s="13" t="s">
        <v>17064</v>
      </c>
      <c r="P4189" s="26" t="n">
        <v>199823</v>
      </c>
      <c r="Q4189" s="20" t="s">
        <v>17165</v>
      </c>
      <c r="R4189" s="13" t="s">
        <v>52</v>
      </c>
      <c r="S4189" s="25" t="n">
        <v>34060</v>
      </c>
      <c r="T4189" s="13" t="s">
        <v>40</v>
      </c>
      <c r="U4189" s="13" t="s">
        <v>17166</v>
      </c>
      <c r="V4189" s="13" t="s">
        <v>42</v>
      </c>
      <c r="W4189" s="13" t="s">
        <v>54</v>
      </c>
      <c r="X4189" s="21" t="n">
        <v>89677713622</v>
      </c>
      <c r="Y4189" s="22" t="str">
        <f aca="false">O4189</f>
        <v>Operator Tubular</v>
      </c>
      <c r="Z4189" s="13" t="str">
        <f aca="false">IFERROR(__xludf.dummyfunction("if(BJ4189="""","""",GOOGLETRANSLATE(BJ4189,""auto"",""en""))"),"Operator Tubular")</f>
        <v>Operator Tubular</v>
      </c>
      <c r="AA4189" s="23" t="str">
        <f aca="false">IF(C4189="","", CHOOSE(MONTH(C4189),"January","February","March","April","May","June","July","August","September","October","November","December")&amp;" "&amp;DAY(C4189)&amp;MID("thstndrdth",MIN(9,2*RIGHT(DAY(C4189))*(MOD(DAY(C4189)-11,100)&gt;2)+1),2)&amp;","&amp;TEXT(C4189," yyyy"))</f>
        <v>September 21st,2026</v>
      </c>
      <c r="AB4189" s="15" t="str">
        <f aca="true">IF(S4189="","",DATEDIF(S4189,TODAY(),"Y")&amp;" Tahun, "&amp;DATEDIF(S4189,TODAY(),"YM")&amp;" Bulan, "&amp;DATEDIF(S4189,TODAY(),"MD")&amp;" Hari")</f>
        <v>33 Tahun, 6 Bulan, 28 Hari</v>
      </c>
      <c r="AC4189" s="14" t="n">
        <v>46286</v>
      </c>
      <c r="AD4189" s="18" t="n">
        <v>46387</v>
      </c>
      <c r="AE4189" s="13" t="s">
        <v>44</v>
      </c>
    </row>
    <row r="4190" customFormat="false" ht="15" hidden="false" customHeight="true" outlineLevel="0" collapsed="false">
      <c r="A4190" s="12" t="n">
        <v>22824</v>
      </c>
      <c r="B4190" s="13" t="s">
        <v>17167</v>
      </c>
      <c r="C4190" s="14" t="n">
        <v>46286</v>
      </c>
      <c r="D4190" s="13" t="s">
        <v>14892</v>
      </c>
      <c r="E4190" s="13" t="s">
        <v>102</v>
      </c>
      <c r="F4190" s="24" t="s">
        <v>17168</v>
      </c>
      <c r="G4190" s="13" t="s">
        <v>57</v>
      </c>
      <c r="H4190" s="13" t="s">
        <v>35</v>
      </c>
      <c r="I4190" s="13" t="str">
        <f aca="false">IF(C4190=J4190,"NEW KONTRAK","RE-KONTRAK")</f>
        <v>NEW KONTRAK</v>
      </c>
      <c r="J4190" s="16" t="n">
        <f aca="false" t="array" ref="J4190:J4190">IFERROR(INDEX(AC4190:AE4190,IF(COUNTA(AC4190:AE4190)=0,"",MAX((AC4190:AE4190&lt;&gt;"")*(COLUMN(AC4190:AE4190)-(COLUMN(AC4190)))))-1),"")</f>
        <v>46286</v>
      </c>
      <c r="K4190" s="16" t="n">
        <f aca="false" t="array" ref="K4190:K4190">IFERROR(INDEX(AC4190:AE4190,IF(COUNTA(AC4190:AE4190)=0,"",MAX((AC4190:AE4190&lt;&gt;"")*(COLUMN(AC4190:AE4190)-(COLUMN(AC4190)-1))))-1),"")</f>
        <v>46376</v>
      </c>
      <c r="L4190" s="17" t="str">
        <f aca="false" t="array" ref="L4190:L4190">IFERROR(INDEX(AC4190:AE4190,IF(COUNTA(AC4190:AE4190)=0,"",MAX((AC4190:AE4190&lt;&gt;"")*(COLUMN(AC4190:AE4190)-(COLUMN(AC4190)-2))))-1),"")</f>
        <v>ARCHIVED</v>
      </c>
      <c r="M4190" s="13" t="n">
        <f aca="true">K4190-TODAY()</f>
        <v>52</v>
      </c>
      <c r="N4190" s="18" t="s">
        <v>615</v>
      </c>
      <c r="O4190" s="13" t="s">
        <v>14894</v>
      </c>
      <c r="P4190" s="134" t="n">
        <v>5176101</v>
      </c>
      <c r="Q4190" s="20" t="s">
        <v>17169</v>
      </c>
      <c r="R4190" s="13" t="s">
        <v>232</v>
      </c>
      <c r="S4190" s="25" t="n">
        <v>38926</v>
      </c>
      <c r="T4190" s="13" t="s">
        <v>40</v>
      </c>
      <c r="U4190" s="13" t="s">
        <v>17170</v>
      </c>
      <c r="V4190" s="13" t="s">
        <v>42</v>
      </c>
      <c r="W4190" s="13" t="s">
        <v>43</v>
      </c>
      <c r="X4190" s="21" t="n">
        <v>82142042996</v>
      </c>
      <c r="Y4190" s="22" t="str">
        <f aca="false">O4190</f>
        <v>Reliver Bongkar Muat</v>
      </c>
      <c r="Z4190" s="13" t="str">
        <f aca="false">IFERROR(__xludf.dummyfunction("if(BJ4190="""","""",GOOGLETRANSLATE(BJ4190,""auto"",""en""))"),"Unloading Reliver")</f>
        <v>Unloading Reliver</v>
      </c>
      <c r="AA4190" s="23" t="str">
        <f aca="false">IF(C4190="","", CHOOSE(MONTH(C4190),"January","February","March","April","May","June","July","August","September","October","November","December")&amp;" "&amp;DAY(C4190)&amp;MID("thstndrdth",MIN(9,2*RIGHT(DAY(C4190))*(MOD(DAY(C4190)-11,100)&gt;2)+1),2)&amp;","&amp;TEXT(C4190," yyyy"))</f>
        <v>September 21st,2026</v>
      </c>
      <c r="AB4190" s="15" t="str">
        <f aca="true">IF(S4190="","",DATEDIF(S4190,TODAY(),"Y")&amp;" Tahun, "&amp;DATEDIF(S4190,TODAY(),"YM")&amp;" Bulan, "&amp;DATEDIF(S4190,TODAY(),"MD")&amp;" Hari")</f>
        <v>20 Tahun, 3 Bulan, 1 Hari</v>
      </c>
      <c r="AC4190" s="14" t="n">
        <v>46286</v>
      </c>
      <c r="AD4190" s="18" t="n">
        <f aca="false">EDATE(AC4190,3)-1</f>
        <v>46376</v>
      </c>
      <c r="AE4190" s="13" t="s">
        <v>44</v>
      </c>
    </row>
    <row r="4191" customFormat="false" ht="15" hidden="false" customHeight="true" outlineLevel="0" collapsed="false">
      <c r="A4191" s="12" t="n">
        <v>22825</v>
      </c>
      <c r="B4191" s="13" t="s">
        <v>17171</v>
      </c>
      <c r="C4191" s="14" t="n">
        <v>46296</v>
      </c>
      <c r="D4191" s="13" t="s">
        <v>16909</v>
      </c>
      <c r="E4191" s="13" t="s">
        <v>47</v>
      </c>
      <c r="F4191" s="24" t="s">
        <v>17172</v>
      </c>
      <c r="G4191" s="13" t="s">
        <v>1452</v>
      </c>
      <c r="H4191" s="13" t="s">
        <v>35</v>
      </c>
      <c r="I4191" s="13" t="str">
        <f aca="false">IF(C4191=J4191,"NEW KONTRAK","RE-KONTRAK")</f>
        <v>NEW KONTRAK</v>
      </c>
      <c r="J4191" s="16" t="n">
        <f aca="false" t="array" ref="J4191:J4191">IFERROR(INDEX(AC4191:AE4191,IF(COUNTA(AC4191:AE4191)=0,"",MAX((AC4191:AE4191&lt;&gt;"")*(COLUMN(AC4191:AE4191)-(COLUMN(AC4191)))))-1),"")</f>
        <v>46296</v>
      </c>
      <c r="K4191" s="16" t="n">
        <f aca="false" t="array" ref="K4191:K4191">IFERROR(INDEX(AC4191:AE4191,IF(COUNTA(AC4191:AE4191)=0,"",MAX((AC4191:AE4191&lt;&gt;"")*(COLUMN(AC4191:AE4191)-(COLUMN(AC4191)-1))))-1),"")</f>
        <v>46387</v>
      </c>
      <c r="L4191" s="17" t="str">
        <f aca="false" t="array" ref="L4191:L4191">IFERROR(INDEX(AC4191:AE4191,IF(COUNTA(AC4191:AE4191)=0,"",MAX((AC4191:AE4191&lt;&gt;"")*(COLUMN(AC4191:AE4191)-(COLUMN(AC4191)-2))))-1),"")</f>
        <v>KEMBALI</v>
      </c>
      <c r="M4191" s="13" t="n">
        <f aca="true">K4191-TODAY()</f>
        <v>63</v>
      </c>
      <c r="N4191" s="13" t="s">
        <v>7525</v>
      </c>
      <c r="O4191" s="13" t="s">
        <v>17173</v>
      </c>
      <c r="P4191" s="26" t="n">
        <v>3724700</v>
      </c>
      <c r="Q4191" s="20" t="s">
        <v>17174</v>
      </c>
      <c r="R4191" s="13" t="s">
        <v>17175</v>
      </c>
      <c r="S4191" s="25" t="n">
        <v>36350</v>
      </c>
      <c r="T4191" s="13" t="s">
        <v>40</v>
      </c>
      <c r="U4191" s="13" t="s">
        <v>17176</v>
      </c>
      <c r="V4191" s="13" t="s">
        <v>42</v>
      </c>
      <c r="W4191" s="13" t="s">
        <v>54</v>
      </c>
      <c r="X4191" s="21" t="n">
        <v>85344177466</v>
      </c>
      <c r="Y4191" s="22" t="str">
        <f aca="false">O4191</f>
        <v>SPB/SPG</v>
      </c>
      <c r="Z4191" s="13" t="str">
        <f aca="false">IFERROR(__xludf.dummyfunction("if(BJ4191="""","""",GOOGLETRANSLATE(BJ4191,""auto"",""en""))"),"SPB/SPG")</f>
        <v>SPB/SPG</v>
      </c>
      <c r="AA4191" s="23" t="str">
        <f aca="false">IF(C4191="","", CHOOSE(MONTH(C4191),"January","February","March","April","May","June","July","August","September","October","November","December")&amp;" "&amp;DAY(C4191)&amp;MID("thstndrdth",MIN(9,2*RIGHT(DAY(C4191))*(MOD(DAY(C4191)-11,100)&gt;2)+1),2)&amp;","&amp;TEXT(C4191," yyyy"))</f>
        <v>October 1st,2026</v>
      </c>
      <c r="AB4191" s="15" t="str">
        <f aca="true">IF(S4191="","",DATEDIF(S4191,TODAY(),"Y")&amp;" Tahun, "&amp;DATEDIF(S4191,TODAY(),"YM")&amp;" Bulan, "&amp;DATEDIF(S4191,TODAY(),"MD")&amp;" Hari")</f>
        <v>27 Tahun, 3 Bulan, 20 Hari</v>
      </c>
      <c r="AC4191" s="14" t="n">
        <v>46296</v>
      </c>
      <c r="AD4191" s="18" t="n">
        <f aca="false">EDATE(AC4191,3)-1</f>
        <v>46387</v>
      </c>
      <c r="AE4191" s="13" t="s">
        <v>397</v>
      </c>
    </row>
    <row r="4192" customFormat="false" ht="15" hidden="false" customHeight="true" outlineLevel="0" collapsed="false">
      <c r="A4192" s="12" t="n">
        <v>22826</v>
      </c>
      <c r="B4192" s="13" t="s">
        <v>17177</v>
      </c>
      <c r="C4192" s="14" t="n">
        <v>46260</v>
      </c>
      <c r="D4192" s="13" t="s">
        <v>6473</v>
      </c>
      <c r="E4192" s="13" t="s">
        <v>47</v>
      </c>
      <c r="F4192" s="24" t="s">
        <v>17178</v>
      </c>
      <c r="G4192" s="13" t="s">
        <v>1452</v>
      </c>
      <c r="H4192" s="13" t="s">
        <v>35</v>
      </c>
      <c r="I4192" s="13" t="str">
        <f aca="false">IF(C4192=J4192,"NEW KONTRAK","RE-KONTRAK")</f>
        <v>NEW KONTRAK</v>
      </c>
      <c r="J4192" s="16" t="n">
        <f aca="false" t="array" ref="J4192:J4192">IFERROR(INDEX(AC4192:AE4192,IF(COUNTA(AC4192:AE4192)=0,"",MAX((AC4192:AE4192&lt;&gt;"")*(COLUMN(AC4192:AE4192)-(COLUMN(AC4192)))))-1),"")</f>
        <v>46260</v>
      </c>
      <c r="K4192" s="16" t="n">
        <f aca="false" t="array" ref="K4192:K4192">IFERROR(INDEX(AC4192:AE4192,IF(COUNTA(AC4192:AE4192)=0,"",MAX((AC4192:AE4192&lt;&gt;"")*(COLUMN(AC4192:AE4192)-(COLUMN(AC4192)-1))))-1),"")</f>
        <v>46351</v>
      </c>
      <c r="L4192" s="17" t="str">
        <f aca="false" t="array" ref="L4192:L4192">IFERROR(INDEX(AC4192:AE4192,IF(COUNTA(AC4192:AE4192)=0,"",MAX((AC4192:AE4192&lt;&gt;"")*(COLUMN(AC4192:AE4192)-(COLUMN(AC4192)-2))))-1),"")</f>
        <v>KEMBALI</v>
      </c>
      <c r="M4192" s="13" t="n">
        <f aca="true">K4192-TODAY()</f>
        <v>27</v>
      </c>
      <c r="N4192" s="18" t="s">
        <v>728</v>
      </c>
      <c r="O4192" s="13" t="s">
        <v>17179</v>
      </c>
      <c r="P4192" s="26" t="n">
        <v>190476</v>
      </c>
      <c r="Q4192" s="20" t="s">
        <v>17180</v>
      </c>
      <c r="R4192" s="13" t="s">
        <v>52</v>
      </c>
      <c r="S4192" s="25" t="n">
        <v>38778</v>
      </c>
      <c r="T4192" s="13" t="s">
        <v>108</v>
      </c>
      <c r="U4192" s="13" t="s">
        <v>17181</v>
      </c>
      <c r="V4192" s="13" t="s">
        <v>42</v>
      </c>
      <c r="W4192" s="13" t="s">
        <v>43</v>
      </c>
      <c r="X4192" s="21" t="n">
        <v>82337458980</v>
      </c>
      <c r="Y4192" s="22" t="str">
        <f aca="false">O4192</f>
        <v>Admin (Intern)</v>
      </c>
      <c r="Z4192" s="13" t="str">
        <f aca="false">IFERROR(__xludf.dummyfunction("if(BJ4192="""","""",GOOGLETRANSLATE(BJ4192,""auto"",""en""))"),"Admin (Internal)")</f>
        <v>Admin (Internal)</v>
      </c>
      <c r="AA4192" s="23" t="str">
        <f aca="false">IF(C4192="","", CHOOSE(MONTH(C4192),"January","February","March","April","May","June","July","August","September","October","November","December")&amp;" "&amp;DAY(C4192)&amp;MID("thstndrdth",MIN(9,2*RIGHT(DAY(C4192))*(MOD(DAY(C4192)-11,100)&gt;2)+1),2)&amp;","&amp;TEXT(C4192," yyyy"))</f>
        <v>August 26th,2026</v>
      </c>
      <c r="AB4192" s="15" t="str">
        <f aca="true">IF(S4192="","",DATEDIF(S4192,TODAY(),"Y")&amp;" Tahun, "&amp;DATEDIF(S4192,TODAY(),"YM")&amp;" Bulan, "&amp;DATEDIF(S4192,TODAY(),"MD")&amp;" Hari")</f>
        <v>20 Tahun, 7 Bulan, 27 Hari</v>
      </c>
      <c r="AC4192" s="14" t="n">
        <v>46260</v>
      </c>
      <c r="AD4192" s="18" t="n">
        <f aca="false">EDATE(AC4192,3)-1</f>
        <v>46351</v>
      </c>
      <c r="AE4192" s="13" t="s">
        <v>397</v>
      </c>
    </row>
    <row r="4193" customFormat="false" ht="15" hidden="false" customHeight="true" outlineLevel="0" collapsed="false">
      <c r="A4193" s="12" t="n">
        <v>22827</v>
      </c>
      <c r="B4193" s="13" t="s">
        <v>17182</v>
      </c>
      <c r="C4193" s="14" t="n">
        <v>46284</v>
      </c>
      <c r="D4193" s="13" t="s">
        <v>9043</v>
      </c>
      <c r="E4193" s="13" t="s">
        <v>47</v>
      </c>
      <c r="F4193" s="24" t="s">
        <v>17183</v>
      </c>
      <c r="G4193" s="13" t="s">
        <v>1452</v>
      </c>
      <c r="H4193" s="13" t="s">
        <v>35</v>
      </c>
      <c r="I4193" s="13" t="str">
        <f aca="false">IF(C4193=J4193,"NEW KONTRAK","RE-KONTRAK")</f>
        <v>NEW KONTRAK</v>
      </c>
      <c r="J4193" s="16" t="n">
        <f aca="false" t="array" ref="J4193:J4193">IFERROR(INDEX(AC4193:AE4193,IF(COUNTA(AC4193:AE4193)=0,"",MAX((AC4193:AE4193&lt;&gt;"")*(COLUMN(AC4193:AE4193)-(COLUMN(AC4193)))))-1),"")</f>
        <v>46284</v>
      </c>
      <c r="K4193" s="16" t="n">
        <f aca="false" t="array" ref="K4193:K4193">IFERROR(INDEX(AC4193:AE4193,IF(COUNTA(AC4193:AE4193)=0,"",MAX((AC4193:AE4193&lt;&gt;"")*(COLUMN(AC4193:AE4193)-(COLUMN(AC4193)-1))))-1),"")</f>
        <v>46374</v>
      </c>
      <c r="L4193" s="17" t="str">
        <f aca="false" t="array" ref="L4193:L4193">IFERROR(INDEX(AC4193:AE4193,IF(COUNTA(AC4193:AE4193)=0,"",MAX((AC4193:AE4193&lt;&gt;"")*(COLUMN(AC4193:AE4193)-(COLUMN(AC4193)-2))))-1),"")</f>
        <v>ARCHIVED</v>
      </c>
      <c r="M4193" s="13" t="n">
        <f aca="true">K4193-TODAY()</f>
        <v>50</v>
      </c>
      <c r="N4193" s="13" t="s">
        <v>105</v>
      </c>
      <c r="O4193" s="13" t="s">
        <v>6662</v>
      </c>
      <c r="P4193" s="26" t="n">
        <v>3944496</v>
      </c>
      <c r="Q4193" s="20" t="s">
        <v>17184</v>
      </c>
      <c r="R4193" s="13" t="s">
        <v>39</v>
      </c>
      <c r="S4193" s="25" t="n">
        <v>36681</v>
      </c>
      <c r="T4193" s="13" t="s">
        <v>108</v>
      </c>
      <c r="U4193" s="13" t="s">
        <v>17185</v>
      </c>
      <c r="V4193" s="13" t="s">
        <v>42</v>
      </c>
      <c r="W4193" s="13" t="s">
        <v>54</v>
      </c>
      <c r="X4193" s="21" t="n">
        <v>87849064810</v>
      </c>
      <c r="Y4193" s="22" t="str">
        <f aca="false">O4193</f>
        <v>Front Office</v>
      </c>
      <c r="Z4193" s="13" t="str">
        <f aca="false">IFERROR(__xludf.dummyfunction("if(BJ4193="""","""",GOOGLETRANSLATE(BJ4193,""auto"",""en""))"),"Front Office")</f>
        <v>Front Office</v>
      </c>
      <c r="AA4193" s="23" t="str">
        <f aca="false">IF(C4193="","", CHOOSE(MONTH(C4193),"January","February","March","April","May","June","July","August","September","October","November","December")&amp;" "&amp;DAY(C4193)&amp;MID("thstndrdth",MIN(9,2*RIGHT(DAY(C4193))*(MOD(DAY(C4193)-11,100)&gt;2)+1),2)&amp;","&amp;TEXT(C4193," yyyy"))</f>
        <v>September 19th,2026</v>
      </c>
      <c r="AB4193" s="15" t="str">
        <f aca="true">IF(S4193="","",DATEDIF(S4193,TODAY(),"Y")&amp;" Tahun, "&amp;DATEDIF(S4193,TODAY(),"YM")&amp;" Bulan, "&amp;DATEDIF(S4193,TODAY(),"MD")&amp;" Hari")</f>
        <v>26 Tahun, 4 Bulan, 25 Hari</v>
      </c>
      <c r="AC4193" s="14" t="n">
        <v>46284</v>
      </c>
      <c r="AD4193" s="18" t="n">
        <f aca="false">EDATE(AC4193,3)-1</f>
        <v>46374</v>
      </c>
      <c r="AE4193" s="18" t="s">
        <v>44</v>
      </c>
    </row>
    <row r="4194" customFormat="false" ht="15" hidden="false" customHeight="true" outlineLevel="0" collapsed="false">
      <c r="A4194" s="12" t="n">
        <v>22828</v>
      </c>
      <c r="B4194" s="13" t="s">
        <v>17186</v>
      </c>
      <c r="C4194" s="124" t="n">
        <v>46285</v>
      </c>
      <c r="D4194" s="13" t="s">
        <v>10058</v>
      </c>
      <c r="E4194" s="13" t="s">
        <v>47</v>
      </c>
      <c r="F4194" s="24" t="s">
        <v>17187</v>
      </c>
      <c r="G4194" s="13" t="s">
        <v>1452</v>
      </c>
      <c r="H4194" s="13" t="s">
        <v>35</v>
      </c>
      <c r="I4194" s="13" t="str">
        <f aca="false">IF(C4194=J4194,"NEW KONTRAK","RE-KONTRAK")</f>
        <v>NEW KONTRAK</v>
      </c>
      <c r="J4194" s="16" t="n">
        <f aca="false" t="array" ref="J4194:J4194">IFERROR(INDEX(AC4194:AE4194,IF(COUNTA(AC4194:AE4194)=0,"",MAX((AC4194:AE4194&lt;&gt;"")*(COLUMN(AC4194:AE4194)-(COLUMN(AC4194)))))-1),"")</f>
        <v>46285</v>
      </c>
      <c r="K4194" s="16" t="n">
        <f aca="false" t="array" ref="K4194:K4194">IFERROR(INDEX(AC4194:AE4194,IF(COUNTA(AC4194:AE4194)=0,"",MAX((AC4194:AE4194&lt;&gt;"")*(COLUMN(AC4194:AE4194)-(COLUMN(AC4194)-1))))-1),"")</f>
        <v>46375</v>
      </c>
      <c r="L4194" s="17" t="str">
        <f aca="false" t="array" ref="L4194:L4194">IFERROR(INDEX(AC4194:AE4194,IF(COUNTA(AC4194:AE4194)=0,"",MAX((AC4194:AE4194&lt;&gt;"")*(COLUMN(AC4194:AE4194)-(COLUMN(AC4194)-2))))-1),"")</f>
        <v>ARCHIVED</v>
      </c>
      <c r="M4194" s="13" t="n">
        <f aca="true">K4194-TODAY()</f>
        <v>51</v>
      </c>
      <c r="N4194" s="13" t="s">
        <v>105</v>
      </c>
      <c r="O4194" s="13" t="s">
        <v>15644</v>
      </c>
      <c r="P4194" s="26" t="n">
        <v>138915</v>
      </c>
      <c r="Q4194" s="20" t="s">
        <v>17188</v>
      </c>
      <c r="R4194" s="13" t="s">
        <v>52</v>
      </c>
      <c r="S4194" s="25" t="n">
        <v>35055</v>
      </c>
      <c r="T4194" s="13" t="s">
        <v>40</v>
      </c>
      <c r="U4194" s="13" t="s">
        <v>17189</v>
      </c>
      <c r="V4194" s="13" t="s">
        <v>42</v>
      </c>
      <c r="W4194" s="13" t="s">
        <v>54</v>
      </c>
      <c r="X4194" s="21" t="n">
        <v>81270334774</v>
      </c>
      <c r="Y4194" s="22" t="str">
        <f aca="false">O4194</f>
        <v>Harian Lepas (Helper QC)</v>
      </c>
      <c r="Z4194" s="13" t="str">
        <f aca="false">IFERROR(__xludf.dummyfunction("if(BJ4194="""","""",GOOGLETRANSLATE(BJ4194,""auto"",""en""))"),"Daily (QC Helper)")</f>
        <v>Daily (QC Helper)</v>
      </c>
      <c r="AA4194" s="23" t="str">
        <f aca="false">IF(C4194="","", CHOOSE(MONTH(C4194),"January","February","March","April","May","June","July","August","September","October","November","December")&amp;" "&amp;DAY(C4194)&amp;MID("thstndrdth",MIN(9,2*RIGHT(DAY(C4194))*(MOD(DAY(C4194)-11,100)&gt;2)+1),2)&amp;","&amp;TEXT(C4194," yyyy"))</f>
        <v>September 20th,2026</v>
      </c>
      <c r="AB4194" s="15" t="str">
        <f aca="true">IF(S4194="","",DATEDIF(S4194,TODAY(),"Y")&amp;" Tahun, "&amp;DATEDIF(S4194,TODAY(),"YM")&amp;" Bulan, "&amp;DATEDIF(S4194,TODAY(),"MD")&amp;" Hari")</f>
        <v>30 Tahun, 10 Bulan, 7 Hari</v>
      </c>
      <c r="AC4194" s="124" t="n">
        <v>46285</v>
      </c>
      <c r="AD4194" s="18" t="n">
        <f aca="false">EDATE(AC4194,3)-1</f>
        <v>46375</v>
      </c>
      <c r="AE4194" s="18" t="s">
        <v>44</v>
      </c>
    </row>
    <row r="4195" customFormat="false" ht="15" hidden="false" customHeight="true" outlineLevel="0" collapsed="false">
      <c r="A4195" s="12" t="n">
        <v>21670</v>
      </c>
      <c r="B4195" s="13" t="s">
        <v>17190</v>
      </c>
      <c r="C4195" s="16" t="n">
        <v>46024</v>
      </c>
      <c r="D4195" s="13" t="s">
        <v>1721</v>
      </c>
      <c r="E4195" s="15" t="s">
        <v>47</v>
      </c>
      <c r="F4195" s="15" t="str">
        <f aca="false">IFERROR(__xludf.dummyfunction("XLOOKUP(AJ4195,IMPORTRANGE(""1XaInW9DU9nz21V0tYIfzFQ0He9kVQ_JF2mCXgZ3hqFA"",""REKAP ALL 2026 - Andika!G:G""),IMPORTRANGE(""1XaInW9DU9nz21V0tYIfzFQ0He9kVQ_JF2mCXgZ3hqFA"",""REKAP ALL 2026 - Andika!F:F""),"""",0)"),"26020754565")</f>
        <v>26020754565</v>
      </c>
      <c r="G4195" s="28" t="s">
        <v>57</v>
      </c>
      <c r="H4195" s="13" t="s">
        <v>35</v>
      </c>
      <c r="I4195" s="13" t="str">
        <f aca="false">IF(C4195=J4195,"NEW KONTRAK","RE-KONTRAK")</f>
        <v>NEW KONTRAK</v>
      </c>
      <c r="J4195" s="16" t="n">
        <f aca="false" t="array" ref="J4195:J4195">IFERROR(INDEX(AC4195:AE4195,IF(COUNTA(AC4195:AE4195)=0,"",MAX((AC4195:AE4195&lt;&gt;"")*(COLUMN(AC4195:AE4195)-(COLUMN(AC4195)))))-1),"")</f>
        <v>46024</v>
      </c>
      <c r="K4195" s="16" t="n">
        <f aca="false" t="array" ref="K4195:K4195">IFERROR(INDEX(AC4195:AE4195,IF(COUNTA(AC4195:AE4195)=0,"",MAX((AC4195:AE4195&lt;&gt;"")*(COLUMN(AC4195:AE4195)-(COLUMN(AC4195)-1))))-1),"")</f>
        <v>46113</v>
      </c>
      <c r="L4195" s="17" t="str">
        <f aca="false" t="array" ref="L4195:L4195">IFERROR(INDEX(AC4195:AE4195,IF(COUNTA(AC4195:AE4195)=0,"",MAX((AC4195:AE4195&lt;&gt;"")*(COLUMN(AC4195:AE4195)-(COLUMN(AC4195)-2))))-1),"")</f>
        <v>ARCHIVED</v>
      </c>
      <c r="M4195" s="13" t="n">
        <f aca="true">K4195-TODAY()</f>
        <v>-211</v>
      </c>
      <c r="N4195" s="18" t="s">
        <v>728</v>
      </c>
      <c r="O4195" s="13" t="s">
        <v>6317</v>
      </c>
      <c r="P4195" s="19" t="n">
        <v>5444909</v>
      </c>
      <c r="Q4195" s="47" t="s">
        <v>17191</v>
      </c>
      <c r="R4195" s="13" t="s">
        <v>260</v>
      </c>
      <c r="S4195" s="16" t="n">
        <v>36233</v>
      </c>
      <c r="T4195" s="28" t="s">
        <v>40</v>
      </c>
      <c r="U4195" s="13" t="s">
        <v>17192</v>
      </c>
      <c r="V4195" s="13" t="s">
        <v>42</v>
      </c>
      <c r="W4195" s="13" t="s">
        <v>54</v>
      </c>
      <c r="X4195" s="21" t="s">
        <v>17193</v>
      </c>
      <c r="Y4195" s="22" t="str">
        <f aca="false">O4195</f>
        <v>Im.Feeder</v>
      </c>
      <c r="Z4195" s="13" t="str">
        <f aca="false">IFERROR(__xludf.dummyfunction("if(BJ4195="""","""",GOOGLETRANSLATE(BJ4195,""auto"",""en""))"),"Im.Feeder")</f>
        <v>Im.Feeder</v>
      </c>
      <c r="AA4195" s="23" t="str">
        <f aca="false">IF(C4195="","", CHOOSE(MONTH(C4195),"January","February","March","April","May","June","July","August","September","October","November","December")&amp;" "&amp;DAY(C4195)&amp;MID("thstndrdth",MIN(9,2*RIGHT(DAY(C4195))*(MOD(DAY(C4195)-11,100)&gt;2)+1),2)&amp;","&amp;TEXT(C4195," yyyy"))</f>
        <v>January 2nd,2026</v>
      </c>
      <c r="AB4195" s="15" t="str">
        <f aca="true">IF(S4195="","",DATEDIF(S4195,TODAY(),"Y")&amp;" Tahun, "&amp;DATEDIF(S4195,TODAY(),"YM")&amp;" Bulan, "&amp;DATEDIF(S4195,TODAY(),"MD")&amp;" Hari")</f>
        <v>27 Tahun, 7 Bulan, 15 Hari</v>
      </c>
      <c r="AC4195" s="18" t="n">
        <v>46024</v>
      </c>
      <c r="AD4195" s="18" t="n">
        <f aca="false">EDATE(AC4195,3)-1</f>
        <v>46113</v>
      </c>
      <c r="AE4195" s="18" t="s">
        <v>44</v>
      </c>
    </row>
    <row r="4196" customFormat="false" ht="15" hidden="false" customHeight="true" outlineLevel="0" collapsed="false">
      <c r="A4196" s="12" t="n">
        <v>15629</v>
      </c>
      <c r="B4196" s="13" t="s">
        <v>17194</v>
      </c>
      <c r="C4196" s="14" t="n">
        <v>45446</v>
      </c>
      <c r="D4196" s="13" t="s">
        <v>1721</v>
      </c>
      <c r="E4196" s="15" t="s">
        <v>47</v>
      </c>
      <c r="F4196" s="15" t="str">
        <f aca="false">IFERROR(__xludf.dummyfunction("XLOOKUP(AJ4196,IMPORTRANGE(""1XaInW9DU9nz21V0tYIfzFQ0He9kVQ_JF2mCXgZ3hqFA"",""REKAP ALL 2026 - Andika!G:G""),IMPORTRANGE(""1XaInW9DU9nz21V0tYIfzFQ0He9kVQ_JF2mCXgZ3hqFA"",""REKAP ALL 2026 - Andika!F:F""),"""",0)"),"24091262501")</f>
        <v>24091262501</v>
      </c>
      <c r="G4196" s="15" t="s">
        <v>17195</v>
      </c>
      <c r="H4196" s="13" t="s">
        <v>35</v>
      </c>
      <c r="I4196" s="13" t="str">
        <f aca="false">IF(C4196=J4196,"NEW KONTRAK","RE-KONTRAK")</f>
        <v>RE-KONTRAK</v>
      </c>
      <c r="J4196" s="16" t="n">
        <f aca="false" t="array" ref="J4196:J4196">IFERROR(INDEX(AC4196:AE4196,IF(COUNTA(AC4196:AE4196)=0,"",MAX((AC4196:AE4196&lt;&gt;"")*(COLUMN(AC4196:AE4196)-(COLUMN(AC4196)))))-1),"")</f>
        <v>45659</v>
      </c>
      <c r="K4196" s="16" t="n">
        <f aca="false" t="array" ref="K4196:K4196">IFERROR(INDEX(AC4196:AE4196,IF(COUNTA(AC4196:AE4196)=0,"",MAX((AC4196:AE4196&lt;&gt;"")*(COLUMN(AC4196:AE4196)-(COLUMN(AC4196)-1))))-1),"")</f>
        <v>46015</v>
      </c>
      <c r="L4196" s="17" t="str">
        <f aca="false" t="array" ref="L4196:L4196">IFERROR(INDEX(AC4196:AE4196,IF(COUNTA(AC4196:AE4196)=0,"",MAX((AC4196:AE4196&lt;&gt;"")*(COLUMN(AC4196:AE4196)-(COLUMN(AC4196)-2))))-1),"")</f>
        <v>ARCHIVED</v>
      </c>
      <c r="M4196" s="13" t="n">
        <f aca="true">K4196-TODAY()</f>
        <v>-309</v>
      </c>
      <c r="N4196" s="18" t="s">
        <v>728</v>
      </c>
      <c r="O4196" s="13" t="s">
        <v>1870</v>
      </c>
      <c r="P4196" s="19" t="n">
        <v>5444909</v>
      </c>
      <c r="Q4196" s="20" t="s">
        <v>17196</v>
      </c>
      <c r="R4196" s="13" t="s">
        <v>324</v>
      </c>
      <c r="S4196" s="14" t="n">
        <v>31800</v>
      </c>
      <c r="T4196" s="13" t="s">
        <v>108</v>
      </c>
      <c r="U4196" s="13" t="s">
        <v>17197</v>
      </c>
      <c r="V4196" s="13" t="s">
        <v>42</v>
      </c>
      <c r="W4196" s="13" t="s">
        <v>54</v>
      </c>
      <c r="X4196" s="21" t="n">
        <v>85606132144</v>
      </c>
      <c r="Y4196" s="22" t="str">
        <f aca="false">O4196</f>
        <v>Bm Operator</v>
      </c>
      <c r="Z4196" s="13" t="str">
        <f aca="false">IFERROR(__xludf.dummyfunction("if(BJ4196="""","""",GOOGLETRANSLATE(BJ4196,""auto"",""en""))"),"Bm Operator")</f>
        <v>Bm Operator</v>
      </c>
      <c r="AA4196" s="23" t="str">
        <f aca="false">IF(C4196="","", CHOOSE(MONTH(C4196),"January","February","March","April","May","June","July","August","September","October","November","December")&amp;" "&amp;DAY(C4196)&amp;MID("thstndrdth",MIN(9,2*RIGHT(DAY(C4196))*(MOD(DAY(C4196)-11,100)&gt;2)+1),2)&amp;","&amp;TEXT(C4196," yyyy"))</f>
        <v>June 3rd,2024</v>
      </c>
      <c r="AB4196" s="15" t="str">
        <f aca="true">IF(S4196="","",DATEDIF(S4196,TODAY(),"Y")&amp;" Tahun, "&amp;DATEDIF(S4196,TODAY(),"YM")&amp;" Bulan, "&amp;DATEDIF(S4196,TODAY(),"MD")&amp;" Hari")</f>
        <v>39 Tahun, 9 Bulan, 6 Hari</v>
      </c>
      <c r="AC4196" s="18" t="n">
        <v>45659</v>
      </c>
      <c r="AD4196" s="18" t="n">
        <v>46015</v>
      </c>
      <c r="AE4196" s="18" t="s">
        <v>44</v>
      </c>
    </row>
    <row r="4197" customFormat="false" ht="15" hidden="false" customHeight="true" outlineLevel="0" collapsed="false">
      <c r="A4197" s="12" t="n">
        <v>22995</v>
      </c>
      <c r="B4197" s="13" t="s">
        <v>17198</v>
      </c>
      <c r="C4197" s="14" t="n">
        <v>46307</v>
      </c>
      <c r="D4197" s="13" t="s">
        <v>1721</v>
      </c>
      <c r="E4197" s="13" t="s">
        <v>47</v>
      </c>
      <c r="F4197" s="24" t="s">
        <v>17199</v>
      </c>
      <c r="G4197" s="13" t="s">
        <v>1127</v>
      </c>
      <c r="H4197" s="13" t="s">
        <v>35</v>
      </c>
      <c r="I4197" s="13" t="str">
        <f aca="false">IF(C4197=J4197,"NEW KONTRAK","RE-KONTRAK")</f>
        <v>NEW KONTRAK</v>
      </c>
      <c r="J4197" s="16" t="n">
        <f aca="false" t="array" ref="J4197:J4197">IFERROR(INDEX(AC4197:AE4197,IF(COUNTA(AC4197:AE4197)=0,"",MAX((AC4197:AE4197&lt;&gt;"")*(COLUMN(AC4197:AE4197)-(COLUMN(AC4197)))))-1),"")</f>
        <v>46307</v>
      </c>
      <c r="K4197" s="16" t="n">
        <f aca="false" t="array" ref="K4197:K4197">IFERROR(INDEX(AC4197:AE4197,IF(COUNTA(AC4197:AE4197)=0,"",MAX((AC4197:AE4197&lt;&gt;"")*(COLUMN(AC4197:AE4197)-(COLUMN(AC4197)-1))))-1),"")</f>
        <v>46386</v>
      </c>
      <c r="L4197" s="17" t="str">
        <f aca="false" t="array" ref="L4197:L4197">IFERROR(INDEX(AC4197:AE4197,IF(COUNTA(AC4197:AE4197)=0,"",MAX((AC4197:AE4197&lt;&gt;"")*(COLUMN(AC4197:AE4197)-(COLUMN(AC4197)-2))))-1),"")</f>
        <v>PRINTED</v>
      </c>
      <c r="M4197" s="13" t="n">
        <f aca="true">K4197-TODAY()</f>
        <v>62</v>
      </c>
      <c r="N4197" s="18" t="s">
        <v>728</v>
      </c>
      <c r="O4197" s="13" t="s">
        <v>1738</v>
      </c>
      <c r="P4197" s="26" t="n">
        <v>5444909</v>
      </c>
      <c r="Q4197" s="20" t="s">
        <v>17200</v>
      </c>
      <c r="R4197" s="13" t="s">
        <v>2363</v>
      </c>
      <c r="S4197" s="25" t="n">
        <v>35571</v>
      </c>
      <c r="T4197" s="13" t="s">
        <v>108</v>
      </c>
      <c r="U4197" s="13" t="s">
        <v>17201</v>
      </c>
      <c r="V4197" s="13" t="s">
        <v>42</v>
      </c>
      <c r="W4197" s="13" t="s">
        <v>54</v>
      </c>
      <c r="X4197" s="21" t="n">
        <v>87820340540</v>
      </c>
      <c r="Y4197" s="22" t="str">
        <f aca="false">O4197</f>
        <v>IM Operator</v>
      </c>
      <c r="Z4197" s="13" t="str">
        <f aca="false">IFERROR(__xludf.dummyfunction("if(BJ4197="""","""",GOOGLETRANSLATE(BJ4197,""auto"",""en""))"),"IM Operator")</f>
        <v>IM Operator</v>
      </c>
      <c r="AA4197" s="23" t="str">
        <f aca="false">IF(C4197="","", CHOOSE(MONTH(C4197),"January","February","March","April","May","June","July","August","September","October","November","December")&amp;" "&amp;DAY(C4197)&amp;MID("thstndrdth",MIN(9,2*RIGHT(DAY(C4197))*(MOD(DAY(C4197)-11,100)&gt;2)+1),2)&amp;","&amp;TEXT(C4197," yyyy"))</f>
        <v>October 12th,2026</v>
      </c>
      <c r="AB4197" s="15" t="str">
        <f aca="true">IF(S4197="","",DATEDIF(S4197,TODAY(),"Y")&amp;" Tahun, "&amp;DATEDIF(S4197,TODAY(),"YM")&amp;" Bulan, "&amp;DATEDIF(S4197,TODAY(),"MD")&amp;" Hari")</f>
        <v>29 Tahun, 5 Bulan, 8 Hari</v>
      </c>
      <c r="AC4197" s="14" t="n">
        <v>46307</v>
      </c>
      <c r="AD4197" s="18" t="n">
        <v>46386</v>
      </c>
      <c r="AE4197" s="13" t="s">
        <v>1752</v>
      </c>
    </row>
    <row r="4198" customFormat="false" ht="15" hidden="false" customHeight="true" outlineLevel="0" collapsed="false">
      <c r="A4198" s="12" t="n">
        <v>2239</v>
      </c>
      <c r="B4198" s="13" t="s">
        <v>17202</v>
      </c>
      <c r="C4198" s="14" t="n">
        <v>43374</v>
      </c>
      <c r="D4198" s="13" t="s">
        <v>1721</v>
      </c>
      <c r="E4198" s="15" t="s">
        <v>47</v>
      </c>
      <c r="F4198" s="15" t="str">
        <f aca="false">IFERROR(__xludf.dummyfunction("XLOOKUP(AJ4198,IMPORTRANGE(""1XaInW9DU9nz21V0tYIfzFQ0He9kVQ_JF2mCXgZ3hqFA"",""REKAP ALL 2026 - Andika!G:G""),IMPORTRANGE(""1XaInW9DU9nz21V0tYIfzFQ0He9kVQ_JF2mCXgZ3hqFA"",""REKAP ALL 2026 - Andika!F:F""),"""",0)"),"18014813671")</f>
        <v>18014813671</v>
      </c>
      <c r="G4198" s="13" t="s">
        <v>17203</v>
      </c>
      <c r="H4198" s="13" t="s">
        <v>35</v>
      </c>
      <c r="I4198" s="13" t="str">
        <f aca="false">IF(C4198=J4198,"NEW KONTRAK","RE-KONTRAK")</f>
        <v>RE-KONTRAK</v>
      </c>
      <c r="J4198" s="16" t="n">
        <f aca="false" t="array" ref="J4198:J4198">IFERROR(INDEX(AC4198:AE4198,IF(COUNTA(AC4198:AE4198)=0,"",MAX((AC4198:AE4198&lt;&gt;"")*(COLUMN(AC4198:AE4198)-(COLUMN(AC4198)))))-1),"")</f>
        <v>45659</v>
      </c>
      <c r="K4198" s="16" t="n">
        <f aca="false" t="array" ref="K4198:K4198">IFERROR(INDEX(AC4198:AE4198,IF(COUNTA(AC4198:AE4198)=0,"",MAX((AC4198:AE4198&lt;&gt;"")*(COLUMN(AC4198:AE4198)-(COLUMN(AC4198)-1))))-1),"")</f>
        <v>46015</v>
      </c>
      <c r="L4198" s="17" t="str">
        <f aca="false" t="array" ref="L4198:L4198">IFERROR(INDEX(AC4198:AE4198,IF(COUNTA(AC4198:AE4198)=0,"",MAX((AC4198:AE4198&lt;&gt;"")*(COLUMN(AC4198:AE4198)-(COLUMN(AC4198)-2))))-1),"")</f>
        <v>ARCHIVED</v>
      </c>
      <c r="M4198" s="13" t="n">
        <f aca="true">K4198-TODAY()</f>
        <v>-309</v>
      </c>
      <c r="N4198" s="18" t="s">
        <v>728</v>
      </c>
      <c r="O4198" s="13" t="s">
        <v>1914</v>
      </c>
      <c r="P4198" s="19" t="n">
        <v>5444909</v>
      </c>
      <c r="Q4198" s="20" t="s">
        <v>17204</v>
      </c>
      <c r="R4198" s="13" t="s">
        <v>73</v>
      </c>
      <c r="S4198" s="14" t="n">
        <v>35263</v>
      </c>
      <c r="T4198" s="13" t="s">
        <v>108</v>
      </c>
      <c r="U4198" s="13" t="s">
        <v>17205</v>
      </c>
      <c r="V4198" s="13" t="s">
        <v>42</v>
      </c>
      <c r="W4198" s="13" t="s">
        <v>43</v>
      </c>
      <c r="X4198" s="21" t="n">
        <v>85774490705</v>
      </c>
      <c r="Y4198" s="22" t="str">
        <f aca="false">O4198</f>
        <v>Im Operator</v>
      </c>
      <c r="Z4198" s="13" t="str">
        <f aca="false">IFERROR(__xludf.dummyfunction("if(BJ4198="""","""",GOOGLETRANSLATE(BJ4198,""auto"",""en""))"),"Im Operator")</f>
        <v>Im Operator</v>
      </c>
      <c r="AA4198" s="23" t="str">
        <f aca="false">IF(C4198="","", CHOOSE(MONTH(C4198),"January","February","March","April","May","June","July","August","September","October","November","December")&amp;" "&amp;DAY(C4198)&amp;MID("thstndrdth",MIN(9,2*RIGHT(DAY(C4198))*(MOD(DAY(C4198)-11,100)&gt;2)+1),2)&amp;","&amp;TEXT(C4198," yyyy"))</f>
        <v>October 1st,2018</v>
      </c>
      <c r="AB4198" s="15" t="str">
        <f aca="true">IF(S4198="","",DATEDIF(S4198,TODAY(),"Y")&amp;" Tahun, "&amp;DATEDIF(S4198,TODAY(),"YM")&amp;" Bulan, "&amp;DATEDIF(S4198,TODAY(),"MD")&amp;" Hari")</f>
        <v>30 Tahun, 3 Bulan, 12 Hari</v>
      </c>
      <c r="AC4198" s="18" t="n">
        <v>45659</v>
      </c>
      <c r="AD4198" s="18" t="n">
        <v>46015</v>
      </c>
      <c r="AE4198" s="18" t="s">
        <v>44</v>
      </c>
    </row>
    <row r="4199" customFormat="false" ht="15" hidden="false" customHeight="true" outlineLevel="0" collapsed="false">
      <c r="A4199" s="12" t="n">
        <v>10184</v>
      </c>
      <c r="B4199" s="13" t="s">
        <v>17206</v>
      </c>
      <c r="C4199" s="14" t="n">
        <v>44986</v>
      </c>
      <c r="D4199" s="13" t="s">
        <v>1721</v>
      </c>
      <c r="E4199" s="15" t="s">
        <v>47</v>
      </c>
      <c r="F4199" s="15" t="str">
        <f aca="false">IFERROR(__xludf.dummyfunction("XLOOKUP(AJ4199,IMPORTRANGE(""1XaInW9DU9nz21V0tYIfzFQ0He9kVQ_JF2mCXgZ3hqFA"",""REKAP ALL 2026 - Andika!G:G""),IMPORTRANGE(""1XaInW9DU9nz21V0tYIfzFQ0He9kVQ_JF2mCXgZ3hqFA"",""REKAP ALL 2026 - Andika!F:F""),"""",0)"),"23031595970")</f>
        <v>23031595970</v>
      </c>
      <c r="G4199" s="13" t="s">
        <v>17207</v>
      </c>
      <c r="H4199" s="13" t="s">
        <v>35</v>
      </c>
      <c r="I4199" s="13" t="str">
        <f aca="false">IF(C4199=J4199,"NEW KONTRAK","RE-KONTRAK")</f>
        <v>RE-KONTRAK</v>
      </c>
      <c r="J4199" s="16" t="n">
        <f aca="false" t="array" ref="J4199:J4199">IFERROR(INDEX(AC4199:AE4199,IF(COUNTA(AC4199:AE4199)=0,"",MAX((AC4199:AE4199&lt;&gt;"")*(COLUMN(AC4199:AE4199)-(COLUMN(AC4199)))))-1),"")</f>
        <v>45659</v>
      </c>
      <c r="K4199" s="16" t="n">
        <f aca="false" t="array" ref="K4199:K4199">IFERROR(INDEX(AC4199:AE4199,IF(COUNTA(AC4199:AE4199)=0,"",MAX((AC4199:AE4199&lt;&gt;"")*(COLUMN(AC4199:AE4199)-(COLUMN(AC4199)-1))))-1),"")</f>
        <v>46015</v>
      </c>
      <c r="L4199" s="17" t="str">
        <f aca="false" t="array" ref="L4199:L4199">IFERROR(INDEX(AC4199:AE4199,IF(COUNTA(AC4199:AE4199)=0,"",MAX((AC4199:AE4199&lt;&gt;"")*(COLUMN(AC4199:AE4199)-(COLUMN(AC4199)-2))))-1),"")</f>
        <v>ARCHIVED</v>
      </c>
      <c r="M4199" s="13" t="n">
        <f aca="true">K4199-TODAY()</f>
        <v>-309</v>
      </c>
      <c r="N4199" s="18" t="s">
        <v>728</v>
      </c>
      <c r="O4199" s="13" t="s">
        <v>1870</v>
      </c>
      <c r="P4199" s="19" t="n">
        <v>5444909</v>
      </c>
      <c r="Q4199" s="20" t="s">
        <v>17208</v>
      </c>
      <c r="R4199" s="13" t="s">
        <v>52</v>
      </c>
      <c r="S4199" s="14" t="n">
        <v>35146</v>
      </c>
      <c r="T4199" s="13" t="s">
        <v>108</v>
      </c>
      <c r="U4199" s="13" t="s">
        <v>17209</v>
      </c>
      <c r="V4199" s="13" t="s">
        <v>42</v>
      </c>
      <c r="W4199" s="13" t="s">
        <v>54</v>
      </c>
      <c r="X4199" s="21" t="n">
        <v>89649143220</v>
      </c>
      <c r="Y4199" s="22" t="str">
        <f aca="false">O4199</f>
        <v>Bm Operator</v>
      </c>
      <c r="Z4199" s="13" t="str">
        <f aca="false">IFERROR(__xludf.dummyfunction("if(BJ4199="""","""",GOOGLETRANSLATE(BJ4199,""auto"",""en""))"),"Bm Operator")</f>
        <v>Bm Operator</v>
      </c>
      <c r="AA4199" s="23" t="str">
        <f aca="false">IF(C4199="","", CHOOSE(MONTH(C4199),"January","February","March","April","May","June","July","August","September","October","November","December")&amp;" "&amp;DAY(C4199)&amp;MID("thstndrdth",MIN(9,2*RIGHT(DAY(C4199))*(MOD(DAY(C4199)-11,100)&gt;2)+1),2)&amp;","&amp;TEXT(C4199," yyyy"))</f>
        <v>March 1st,2023</v>
      </c>
      <c r="AB4199" s="15" t="str">
        <f aca="true">IF(S4199="","",DATEDIF(S4199,TODAY(),"Y")&amp;" Tahun, "&amp;DATEDIF(S4199,TODAY(),"YM")&amp;" Bulan, "&amp;DATEDIF(S4199,TODAY(),"MD")&amp;" Hari")</f>
        <v>30 Tahun, 7 Bulan, 7 Hari</v>
      </c>
      <c r="AC4199" s="18" t="n">
        <v>45659</v>
      </c>
      <c r="AD4199" s="18" t="n">
        <v>46015</v>
      </c>
      <c r="AE4199" s="18" t="s">
        <v>44</v>
      </c>
    </row>
    <row r="4200" customFormat="false" ht="15" hidden="false" customHeight="true" outlineLevel="0" collapsed="false">
      <c r="A4200" s="12" t="n">
        <v>10183</v>
      </c>
      <c r="B4200" s="13" t="s">
        <v>17210</v>
      </c>
      <c r="C4200" s="14" t="n">
        <v>44986</v>
      </c>
      <c r="D4200" s="13" t="s">
        <v>1721</v>
      </c>
      <c r="E4200" s="15" t="s">
        <v>47</v>
      </c>
      <c r="F4200" s="15" t="str">
        <f aca="false">IFERROR(__xludf.dummyfunction("XLOOKUP(AJ4200,IMPORTRANGE(""1XaInW9DU9nz21V0tYIfzFQ0He9kVQ_JF2mCXgZ3hqFA"",""REKAP ALL 2026 - Andika!G:G""),IMPORTRANGE(""1XaInW9DU9nz21V0tYIfzFQ0He9kVQ_JF2mCXgZ3hqFA"",""REKAP ALL 2026 - Andika!F:F""),"""",0)"),"23031595947")</f>
        <v>23031595947</v>
      </c>
      <c r="G4200" s="13" t="s">
        <v>17211</v>
      </c>
      <c r="H4200" s="13" t="s">
        <v>35</v>
      </c>
      <c r="I4200" s="13" t="str">
        <f aca="false">IF(C4200=J4200,"NEW KONTRAK","RE-KONTRAK")</f>
        <v>RE-KONTRAK</v>
      </c>
      <c r="J4200" s="16" t="n">
        <f aca="false" t="array" ref="J4200:J4200">IFERROR(INDEX(AC4200:AE4200,IF(COUNTA(AC4200:AE4200)=0,"",MAX((AC4200:AE4200&lt;&gt;"")*(COLUMN(AC4200:AE4200)-(COLUMN(AC4200)))))-1),"")</f>
        <v>45659</v>
      </c>
      <c r="K4200" s="16" t="n">
        <f aca="false" t="array" ref="K4200:K4200">IFERROR(INDEX(AC4200:AE4200,IF(COUNTA(AC4200:AE4200)=0,"",MAX((AC4200:AE4200&lt;&gt;"")*(COLUMN(AC4200:AE4200)-(COLUMN(AC4200)-1))))-1),"")</f>
        <v>46015</v>
      </c>
      <c r="L4200" s="17" t="str">
        <f aca="false" t="array" ref="L4200:L4200">IFERROR(INDEX(AC4200:AE4200,IF(COUNTA(AC4200:AE4200)=0,"",MAX((AC4200:AE4200&lt;&gt;"")*(COLUMN(AC4200:AE4200)-(COLUMN(AC4200)-2))))-1),"")</f>
        <v>ARCHIVED</v>
      </c>
      <c r="M4200" s="13" t="n">
        <f aca="true">K4200-TODAY()</f>
        <v>-309</v>
      </c>
      <c r="N4200" s="18" t="s">
        <v>728</v>
      </c>
      <c r="O4200" s="13" t="s">
        <v>17212</v>
      </c>
      <c r="P4200" s="19" t="n">
        <v>5444909</v>
      </c>
      <c r="Q4200" s="20" t="s">
        <v>17213</v>
      </c>
      <c r="R4200" s="13" t="s">
        <v>73</v>
      </c>
      <c r="S4200" s="14" t="n">
        <v>36217</v>
      </c>
      <c r="T4200" s="13" t="s">
        <v>40</v>
      </c>
      <c r="U4200" s="13" t="s">
        <v>17214</v>
      </c>
      <c r="V4200" s="13" t="s">
        <v>42</v>
      </c>
      <c r="W4200" s="13" t="s">
        <v>43</v>
      </c>
      <c r="X4200" s="21" t="n">
        <v>82245121221</v>
      </c>
      <c r="Y4200" s="22" t="str">
        <f aca="false">O4200</f>
        <v>Warehouse Transfer</v>
      </c>
      <c r="Z4200" s="13" t="str">
        <f aca="false">IFERROR(__xludf.dummyfunction("if(BJ4200="""","""",GOOGLETRANSLATE(BJ4200,""auto"",""en""))"),"Warehouse Transfer")</f>
        <v>Warehouse Transfer</v>
      </c>
      <c r="AA4200" s="23" t="str">
        <f aca="false">IF(C4200="","", CHOOSE(MONTH(C4200),"January","February","March","April","May","June","July","August","September","October","November","December")&amp;" "&amp;DAY(C4200)&amp;MID("thstndrdth",MIN(9,2*RIGHT(DAY(C4200))*(MOD(DAY(C4200)-11,100)&gt;2)+1),2)&amp;","&amp;TEXT(C4200," yyyy"))</f>
        <v>March 1st,2023</v>
      </c>
      <c r="AB4200" s="15" t="str">
        <f aca="true">IF(S4200="","",DATEDIF(S4200,TODAY(),"Y")&amp;" Tahun, "&amp;DATEDIF(S4200,TODAY(),"YM")&amp;" Bulan, "&amp;DATEDIF(S4200,TODAY(),"MD")&amp;" Hari")</f>
        <v>27 Tahun, 8 Bulan, 3 Hari</v>
      </c>
      <c r="AC4200" s="18" t="n">
        <v>45659</v>
      </c>
      <c r="AD4200" s="18" t="n">
        <v>46015</v>
      </c>
      <c r="AE4200" s="18" t="s">
        <v>44</v>
      </c>
    </row>
    <row r="4201" customFormat="false" ht="15" hidden="false" customHeight="true" outlineLevel="0" collapsed="false">
      <c r="A4201" s="12" t="n">
        <v>22698</v>
      </c>
      <c r="B4201" s="13" t="s">
        <v>17215</v>
      </c>
      <c r="C4201" s="14" t="n">
        <v>46251</v>
      </c>
      <c r="D4201" s="13" t="s">
        <v>1721</v>
      </c>
      <c r="E4201" s="13" t="s">
        <v>47</v>
      </c>
      <c r="F4201" s="24" t="s">
        <v>17216</v>
      </c>
      <c r="G4201" s="13" t="s">
        <v>1452</v>
      </c>
      <c r="H4201" s="13" t="s">
        <v>35</v>
      </c>
      <c r="I4201" s="13" t="str">
        <f aca="false">IF(C4201=J4201,"NEW KONTRAK","RE-KONTRAK")</f>
        <v>NEW KONTRAK</v>
      </c>
      <c r="J4201" s="16" t="n">
        <f aca="false" t="array" ref="J4201:J4201">IFERROR(INDEX(AC4201:AE4201,IF(COUNTA(AC4201:AE4201)=0,"",MAX((AC4201:AE4201&lt;&gt;"")*(COLUMN(AC4201:AE4201)-(COLUMN(AC4201)))))-1),"")</f>
        <v>46251</v>
      </c>
      <c r="K4201" s="16" t="n">
        <f aca="false" t="array" ref="K4201:K4201">IFERROR(INDEX(AC4201:AE4201,IF(COUNTA(AC4201:AE4201)=0,"",MAX((AC4201:AE4201&lt;&gt;"")*(COLUMN(AC4201:AE4201)-(COLUMN(AC4201)-1))))-1),"")</f>
        <v>46342</v>
      </c>
      <c r="L4201" s="17" t="str">
        <f aca="false" t="array" ref="L4201:L4201">IFERROR(INDEX(AC4201:AE4201,IF(COUNTA(AC4201:AE4201)=0,"",MAX((AC4201:AE4201&lt;&gt;"")*(COLUMN(AC4201:AE4201)-(COLUMN(AC4201)-2))))-1),"")</f>
        <v>KEMBALI</v>
      </c>
      <c r="M4201" s="13" t="n">
        <f aca="true">K4201-TODAY()</f>
        <v>18</v>
      </c>
      <c r="N4201" s="18" t="s">
        <v>728</v>
      </c>
      <c r="O4201" s="13" t="s">
        <v>1803</v>
      </c>
      <c r="P4201" s="26" t="n">
        <v>5444909</v>
      </c>
      <c r="Q4201" s="20" t="s">
        <v>17217</v>
      </c>
      <c r="R4201" s="13" t="s">
        <v>168</v>
      </c>
      <c r="S4201" s="25" t="n">
        <v>33538</v>
      </c>
      <c r="T4201" s="13" t="s">
        <v>108</v>
      </c>
      <c r="U4201" s="13" t="s">
        <v>17218</v>
      </c>
      <c r="V4201" s="13" t="s">
        <v>42</v>
      </c>
      <c r="W4201" s="13" t="s">
        <v>54</v>
      </c>
      <c r="X4201" s="21" t="n">
        <v>85645566043</v>
      </c>
      <c r="Y4201" s="22" t="str">
        <f aca="false">O4201</f>
        <v>Injectition Moulding</v>
      </c>
      <c r="Z4201" s="13" t="str">
        <f aca="false">IFERROR(__xludf.dummyfunction("if(BJ4201="""","""",GOOGLETRANSLATE(BJ4201,""auto"",""en""))"),"Injectition Moulding")</f>
        <v>Injectition Moulding</v>
      </c>
      <c r="AA4201" s="23" t="str">
        <f aca="false">IF(C4201="","", CHOOSE(MONTH(C4201),"January","February","March","April","May","June","July","August","September","October","November","December")&amp;" "&amp;DAY(C4201)&amp;MID("thstndrdth",MIN(9,2*RIGHT(DAY(C4201))*(MOD(DAY(C4201)-11,100)&gt;2)+1),2)&amp;","&amp;TEXT(C4201," yyyy"))</f>
        <v>August 17th,2026</v>
      </c>
      <c r="AB4201" s="15" t="str">
        <f aca="true">IF(S4201="","",DATEDIF(S4201,TODAY(),"Y")&amp;" Tahun, "&amp;DATEDIF(S4201,TODAY(),"YM")&amp;" Bulan, "&amp;DATEDIF(S4201,TODAY(),"MD")&amp;" Hari")</f>
        <v>35 Tahun, 0 Bulan, 2 Hari</v>
      </c>
      <c r="AC4201" s="14" t="n">
        <v>46251</v>
      </c>
      <c r="AD4201" s="18" t="n">
        <f aca="false">EDATE(AC4201,3)-1</f>
        <v>46342</v>
      </c>
      <c r="AE4201" s="13" t="s">
        <v>397</v>
      </c>
    </row>
    <row r="4202" customFormat="false" ht="15" hidden="false" customHeight="true" outlineLevel="0" collapsed="false">
      <c r="A4202" s="12" t="n">
        <v>22878</v>
      </c>
      <c r="B4202" s="13" t="s">
        <v>17219</v>
      </c>
      <c r="C4202" s="14" t="n">
        <v>46279</v>
      </c>
      <c r="D4202" s="13" t="s">
        <v>1721</v>
      </c>
      <c r="E4202" s="13" t="s">
        <v>47</v>
      </c>
      <c r="F4202" s="24" t="s">
        <v>17220</v>
      </c>
      <c r="G4202" s="13" t="s">
        <v>1452</v>
      </c>
      <c r="H4202" s="13" t="s">
        <v>35</v>
      </c>
      <c r="I4202" s="13" t="str">
        <f aca="false">IF(C4202=J4202,"NEW KONTRAK","RE-KONTRAK")</f>
        <v>NEW KONTRAK</v>
      </c>
      <c r="J4202" s="16" t="n">
        <f aca="false" t="array" ref="J4202:J4202">IFERROR(INDEX(AC4202:AE4202,IF(COUNTA(AC4202:AE4202)=0,"",MAX((AC4202:AE4202&lt;&gt;"")*(COLUMN(AC4202:AE4202)-(COLUMN(AC4202)))))-1),"")</f>
        <v>46279</v>
      </c>
      <c r="K4202" s="16" t="n">
        <f aca="false" t="array" ref="K4202:K4202">IFERROR(INDEX(AC4202:AE4202,IF(COUNTA(AC4202:AE4202)=0,"",MAX((AC4202:AE4202&lt;&gt;"")*(COLUMN(AC4202:AE4202)-(COLUMN(AC4202)-1))))-1),"")</f>
        <v>46386</v>
      </c>
      <c r="L4202" s="17" t="str">
        <f aca="false" t="array" ref="L4202:L4202">IFERROR(INDEX(AC4202:AE4202,IF(COUNTA(AC4202:AE4202)=0,"",MAX((AC4202:AE4202&lt;&gt;"")*(COLUMN(AC4202:AE4202)-(COLUMN(AC4202)-2))))-1),"")</f>
        <v>ARCHIVED</v>
      </c>
      <c r="M4202" s="13" t="n">
        <f aca="true">K4202-TODAY()</f>
        <v>62</v>
      </c>
      <c r="N4202" s="18" t="s">
        <v>728</v>
      </c>
      <c r="O4202" s="13" t="s">
        <v>1755</v>
      </c>
      <c r="P4202" s="26" t="n">
        <v>5444909</v>
      </c>
      <c r="Q4202" s="20" t="s">
        <v>17221</v>
      </c>
      <c r="R4202" s="48" t="s">
        <v>246</v>
      </c>
      <c r="S4202" s="25" t="n">
        <v>36959</v>
      </c>
      <c r="T4202" s="13" t="s">
        <v>108</v>
      </c>
      <c r="U4202" s="13" t="s">
        <v>17222</v>
      </c>
      <c r="V4202" s="13" t="s">
        <v>42</v>
      </c>
      <c r="W4202" s="28" t="s">
        <v>43</v>
      </c>
      <c r="X4202" s="21" t="n">
        <v>85607974571</v>
      </c>
      <c r="Y4202" s="22" t="str">
        <f aca="false">O4202</f>
        <v>Im.Operator</v>
      </c>
      <c r="Z4202" s="13" t="str">
        <f aca="false">IFERROR(__xludf.dummyfunction("if(BJ4202="""","""",GOOGLETRANSLATE(BJ4202,""auto"",""en""))"),"Im.Operator")</f>
        <v>Im.Operator</v>
      </c>
      <c r="AA4202" s="23" t="str">
        <f aca="false">IF(C4202="","", CHOOSE(MONTH(C4202),"January","February","March","April","May","June","July","August","September","October","November","December")&amp;" "&amp;DAY(C4202)&amp;MID("thstndrdth",MIN(9,2*RIGHT(DAY(C4202))*(MOD(DAY(C4202)-11,100)&gt;2)+1),2)&amp;","&amp;TEXT(C4202," yyyy"))</f>
        <v>September 14th,2026</v>
      </c>
      <c r="AB4202" s="15" t="str">
        <f aca="true">IF(S4202="","",DATEDIF(S4202,TODAY(),"Y")&amp;" Tahun, "&amp;DATEDIF(S4202,TODAY(),"YM")&amp;" Bulan, "&amp;DATEDIF(S4202,TODAY(),"MD")&amp;" Hari")</f>
        <v>25 Tahun, 7 Bulan, 20 Hari</v>
      </c>
      <c r="AC4202" s="14" t="n">
        <v>46279</v>
      </c>
      <c r="AD4202" s="18" t="n">
        <v>46386</v>
      </c>
      <c r="AE4202" s="13" t="s">
        <v>44</v>
      </c>
    </row>
    <row r="4203" customFormat="false" ht="15" hidden="false" customHeight="true" outlineLevel="0" collapsed="false">
      <c r="A4203" s="12" t="n">
        <v>22868</v>
      </c>
      <c r="B4203" s="13" t="s">
        <v>17223</v>
      </c>
      <c r="C4203" s="14" t="n">
        <v>46279</v>
      </c>
      <c r="D4203" s="13" t="s">
        <v>1721</v>
      </c>
      <c r="E4203" s="13" t="s">
        <v>47</v>
      </c>
      <c r="F4203" s="24" t="s">
        <v>17224</v>
      </c>
      <c r="G4203" s="13" t="s">
        <v>1452</v>
      </c>
      <c r="H4203" s="13" t="s">
        <v>35</v>
      </c>
      <c r="I4203" s="13" t="str">
        <f aca="false">IF(C4203=J4203,"NEW KONTRAK","RE-KONTRAK")</f>
        <v>NEW KONTRAK</v>
      </c>
      <c r="J4203" s="16" t="n">
        <f aca="false" t="array" ref="J4203:J4203">IFERROR(INDEX(AC4203:AE4203,IF(COUNTA(AC4203:AE4203)=0,"",MAX((AC4203:AE4203&lt;&gt;"")*(COLUMN(AC4203:AE4203)-(COLUMN(AC4203)))))-1),"")</f>
        <v>46279</v>
      </c>
      <c r="K4203" s="16" t="n">
        <f aca="false" t="array" ref="K4203:K4203">IFERROR(INDEX(AC4203:AE4203,IF(COUNTA(AC4203:AE4203)=0,"",MAX((AC4203:AE4203&lt;&gt;"")*(COLUMN(AC4203:AE4203)-(COLUMN(AC4203)-1))))-1),"")</f>
        <v>46386</v>
      </c>
      <c r="L4203" s="17" t="str">
        <f aca="false" t="array" ref="L4203:L4203">IFERROR(INDEX(AC4203:AE4203,IF(COUNTA(AC4203:AE4203)=0,"",MAX((AC4203:AE4203&lt;&gt;"")*(COLUMN(AC4203:AE4203)-(COLUMN(AC4203)-2))))-1),"")</f>
        <v>ARCHIVED</v>
      </c>
      <c r="M4203" s="13" t="n">
        <f aca="true">K4203-TODAY()</f>
        <v>62</v>
      </c>
      <c r="N4203" s="18" t="s">
        <v>728</v>
      </c>
      <c r="O4203" s="13" t="s">
        <v>1755</v>
      </c>
      <c r="P4203" s="26" t="n">
        <v>5444909</v>
      </c>
      <c r="Q4203" s="20" t="s">
        <v>17225</v>
      </c>
      <c r="R4203" s="13" t="s">
        <v>39</v>
      </c>
      <c r="S4203" s="25" t="n">
        <v>36303</v>
      </c>
      <c r="T4203" s="13" t="s">
        <v>108</v>
      </c>
      <c r="U4203" s="13" t="s">
        <v>17226</v>
      </c>
      <c r="V4203" s="13" t="s">
        <v>42</v>
      </c>
      <c r="W4203" s="13" t="s">
        <v>54</v>
      </c>
      <c r="X4203" s="30" t="n">
        <v>89598490277</v>
      </c>
      <c r="Y4203" s="22" t="str">
        <f aca="false">O4203</f>
        <v>Im.Operator</v>
      </c>
      <c r="Z4203" s="13" t="str">
        <f aca="false">IFERROR(__xludf.dummyfunction("if(BJ4203="""","""",GOOGLETRANSLATE(BJ4203,""auto"",""en""))"),"Im.Operator")</f>
        <v>Im.Operator</v>
      </c>
      <c r="AA4203" s="23" t="str">
        <f aca="false">IF(C4203="","", CHOOSE(MONTH(C4203),"January","February","March","April","May","June","July","August","September","October","November","December")&amp;" "&amp;DAY(C4203)&amp;MID("thstndrdth",MIN(9,2*RIGHT(DAY(C4203))*(MOD(DAY(C4203)-11,100)&gt;2)+1),2)&amp;","&amp;TEXT(C4203," yyyy"))</f>
        <v>September 14th,2026</v>
      </c>
      <c r="AB4203" s="15" t="str">
        <f aca="true">IF(S4203="","",DATEDIF(S4203,TODAY(),"Y")&amp;" Tahun, "&amp;DATEDIF(S4203,TODAY(),"YM")&amp;" Bulan, "&amp;DATEDIF(S4203,TODAY(),"MD")&amp;" Hari")</f>
        <v>27 Tahun, 5 Bulan, 6 Hari</v>
      </c>
      <c r="AC4203" s="14" t="n">
        <v>46279</v>
      </c>
      <c r="AD4203" s="18" t="n">
        <v>46386</v>
      </c>
      <c r="AE4203" s="13" t="s">
        <v>44</v>
      </c>
    </row>
    <row r="4204" customFormat="false" ht="15" hidden="false" customHeight="true" outlineLevel="0" collapsed="false">
      <c r="A4204" s="12" t="n">
        <v>2246</v>
      </c>
      <c r="B4204" s="13" t="s">
        <v>17227</v>
      </c>
      <c r="C4204" s="14" t="n">
        <v>43374</v>
      </c>
      <c r="D4204" s="13" t="s">
        <v>1721</v>
      </c>
      <c r="E4204" s="15" t="s">
        <v>47</v>
      </c>
      <c r="F4204" s="15" t="str">
        <f aca="false">IFERROR(__xludf.dummyfunction("XLOOKUP(AJ4204,IMPORTRANGE(""1XaInW9DU9nz21V0tYIfzFQ0He9kVQ_JF2mCXgZ3hqFA"",""REKAP ALL 2026 - Andika!G:G""),IMPORTRANGE(""1XaInW9DU9nz21V0tYIfzFQ0He9kVQ_JF2mCXgZ3hqFA"",""REKAP ALL 2026 - Andika!F:F""),"""",0)"),"21046022816")</f>
        <v>21046022816</v>
      </c>
      <c r="G4204" s="13" t="s">
        <v>17228</v>
      </c>
      <c r="H4204" s="13" t="s">
        <v>35</v>
      </c>
      <c r="I4204" s="13" t="str">
        <f aca="false">IF(C4204=J4204,"NEW KONTRAK","RE-KONTRAK")</f>
        <v>RE-KONTRAK</v>
      </c>
      <c r="J4204" s="16" t="n">
        <f aca="false" t="array" ref="J4204:J4204">IFERROR(INDEX(AC4204:AE4204,IF(COUNTA(AC4204:AE4204)=0,"",MAX((AC4204:AE4204&lt;&gt;"")*(COLUMN(AC4204:AE4204)-(COLUMN(AC4204)))))-1),"")</f>
        <v>45659</v>
      </c>
      <c r="K4204" s="16" t="n">
        <f aca="false" t="array" ref="K4204:K4204">IFERROR(INDEX(AC4204:AE4204,IF(COUNTA(AC4204:AE4204)=0,"",MAX((AC4204:AE4204&lt;&gt;"")*(COLUMN(AC4204:AE4204)-(COLUMN(AC4204)-1))))-1),"")</f>
        <v>46015</v>
      </c>
      <c r="L4204" s="17" t="str">
        <f aca="false" t="array" ref="L4204:L4204">IFERROR(INDEX(AC4204:AE4204,IF(COUNTA(AC4204:AE4204)=0,"",MAX((AC4204:AE4204&lt;&gt;"")*(COLUMN(AC4204:AE4204)-(COLUMN(AC4204)-2))))-1),"")</f>
        <v>ARCHIVED</v>
      </c>
      <c r="M4204" s="13" t="n">
        <f aca="true">K4204-TODAY()</f>
        <v>-309</v>
      </c>
      <c r="N4204" s="18" t="s">
        <v>728</v>
      </c>
      <c r="O4204" s="13" t="s">
        <v>1914</v>
      </c>
      <c r="P4204" s="19" t="n">
        <v>5444909</v>
      </c>
      <c r="Q4204" s="20" t="s">
        <v>17229</v>
      </c>
      <c r="R4204" s="13" t="s">
        <v>52</v>
      </c>
      <c r="S4204" s="14" t="n">
        <v>32349</v>
      </c>
      <c r="T4204" s="13" t="s">
        <v>108</v>
      </c>
      <c r="U4204" s="13" t="s">
        <v>17230</v>
      </c>
      <c r="V4204" s="13" t="s">
        <v>42</v>
      </c>
      <c r="W4204" s="13" t="s">
        <v>54</v>
      </c>
      <c r="X4204" s="21" t="n">
        <v>85735714288</v>
      </c>
      <c r="Y4204" s="22" t="str">
        <f aca="false">O4204</f>
        <v>Im Operator</v>
      </c>
      <c r="Z4204" s="13" t="str">
        <f aca="false">IFERROR(__xludf.dummyfunction("if(BJ4204="""","""",GOOGLETRANSLATE(BJ4204,""auto"",""en""))"),"Im Operator")</f>
        <v>Im Operator</v>
      </c>
      <c r="AA4204" s="23" t="str">
        <f aca="false">IF(C4204="","", CHOOSE(MONTH(C4204),"January","February","March","April","May","June","July","August","September","October","November","December")&amp;" "&amp;DAY(C4204)&amp;MID("thstndrdth",MIN(9,2*RIGHT(DAY(C4204))*(MOD(DAY(C4204)-11,100)&gt;2)+1),2)&amp;","&amp;TEXT(C4204," yyyy"))</f>
        <v>October 1st,2018</v>
      </c>
      <c r="AB4204" s="15" t="str">
        <f aca="true">IF(S4204="","",DATEDIF(S4204,TODAY(),"Y")&amp;" Tahun, "&amp;DATEDIF(S4204,TODAY(),"YM")&amp;" Bulan, "&amp;DATEDIF(S4204,TODAY(),"MD")&amp;" Hari")</f>
        <v>38 Tahun, 3 Bulan, 4 Hari</v>
      </c>
      <c r="AC4204" s="18" t="n">
        <v>45659</v>
      </c>
      <c r="AD4204" s="18" t="n">
        <v>46015</v>
      </c>
      <c r="AE4204" s="18" t="s">
        <v>44</v>
      </c>
    </row>
    <row r="4205" customFormat="false" ht="15" hidden="false" customHeight="true" outlineLevel="0" collapsed="false">
      <c r="A4205" s="12" t="n">
        <v>15630</v>
      </c>
      <c r="B4205" s="13" t="s">
        <v>17231</v>
      </c>
      <c r="C4205" s="14" t="n">
        <v>45446</v>
      </c>
      <c r="D4205" s="13" t="s">
        <v>1721</v>
      </c>
      <c r="E4205" s="15" t="s">
        <v>47</v>
      </c>
      <c r="F4205" s="15" t="str">
        <f aca="false">IFERROR(__xludf.dummyfunction("XLOOKUP(AJ4205,IMPORTRANGE(""1XaInW9DU9nz21V0tYIfzFQ0He9kVQ_JF2mCXgZ3hqFA"",""REKAP ALL 2026 - Andika!G:G""),IMPORTRANGE(""1XaInW9DU9nz21V0tYIfzFQ0He9kVQ_JF2mCXgZ3hqFA"",""REKAP ALL 2026 - Andika!F:F""),"""",0)"),"24091262683")</f>
        <v>24091262683</v>
      </c>
      <c r="G4205" s="15" t="s">
        <v>17232</v>
      </c>
      <c r="H4205" s="13" t="s">
        <v>35</v>
      </c>
      <c r="I4205" s="13" t="str">
        <f aca="false">IF(C4205=J4205,"NEW KONTRAK","RE-KONTRAK")</f>
        <v>RE-KONTRAK</v>
      </c>
      <c r="J4205" s="16" t="n">
        <f aca="false" t="array" ref="J4205:J4205">IFERROR(INDEX(AC4205:AE4205,IF(COUNTA(AC4205:AE4205)=0,"",MAX((AC4205:AE4205&lt;&gt;"")*(COLUMN(AC4205:AE4205)-(COLUMN(AC4205)))))-1),"")</f>
        <v>45659</v>
      </c>
      <c r="K4205" s="16" t="n">
        <f aca="false" t="array" ref="K4205:K4205">IFERROR(INDEX(AC4205:AE4205,IF(COUNTA(AC4205:AE4205)=0,"",MAX((AC4205:AE4205&lt;&gt;"")*(COLUMN(AC4205:AE4205)-(COLUMN(AC4205)-1))))-1),"")</f>
        <v>46015</v>
      </c>
      <c r="L4205" s="17" t="str">
        <f aca="false" t="array" ref="L4205:L4205">IFERROR(INDEX(AC4205:AE4205,IF(COUNTA(AC4205:AE4205)=0,"",MAX((AC4205:AE4205&lt;&gt;"")*(COLUMN(AC4205:AE4205)-(COLUMN(AC4205)-2))))-1),"")</f>
        <v>ARCHIVED</v>
      </c>
      <c r="M4205" s="13" t="n">
        <f aca="true">K4205-TODAY()</f>
        <v>-309</v>
      </c>
      <c r="N4205" s="18" t="s">
        <v>728</v>
      </c>
      <c r="O4205" s="13" t="s">
        <v>1870</v>
      </c>
      <c r="P4205" s="19" t="n">
        <v>5444909</v>
      </c>
      <c r="Q4205" s="20" t="s">
        <v>17233</v>
      </c>
      <c r="R4205" s="13" t="s">
        <v>52</v>
      </c>
      <c r="S4205" s="14" t="n">
        <v>34181</v>
      </c>
      <c r="T4205" s="13" t="s">
        <v>108</v>
      </c>
      <c r="U4205" s="13" t="s">
        <v>17234</v>
      </c>
      <c r="V4205" s="13" t="s">
        <v>42</v>
      </c>
      <c r="W4205" s="13" t="s">
        <v>54</v>
      </c>
      <c r="X4205" s="21" t="n">
        <v>88805965492</v>
      </c>
      <c r="Y4205" s="22" t="str">
        <f aca="false">O4205</f>
        <v>Bm Operator</v>
      </c>
      <c r="Z4205" s="13" t="str">
        <f aca="false">IFERROR(__xludf.dummyfunction("if(BJ4205="""","""",GOOGLETRANSLATE(BJ4205,""auto"",""en""))"),"Bm Operator")</f>
        <v>Bm Operator</v>
      </c>
      <c r="AA4205" s="23" t="str">
        <f aca="false">IF(C4205="","", CHOOSE(MONTH(C4205),"January","February","March","April","May","June","July","August","September","October","November","December")&amp;" "&amp;DAY(C4205)&amp;MID("thstndrdth",MIN(9,2*RIGHT(DAY(C4205))*(MOD(DAY(C4205)-11,100)&gt;2)+1),2)&amp;","&amp;TEXT(C4205," yyyy"))</f>
        <v>June 3rd,2024</v>
      </c>
      <c r="AB4205" s="15" t="str">
        <f aca="true">IF(S4205="","",DATEDIF(S4205,TODAY(),"Y")&amp;" Tahun, "&amp;DATEDIF(S4205,TODAY(),"YM")&amp;" Bulan, "&amp;DATEDIF(S4205,TODAY(),"MD")&amp;" Hari")</f>
        <v>33 Tahun, 2 Bulan, 28 Hari</v>
      </c>
      <c r="AC4205" s="18" t="n">
        <v>45659</v>
      </c>
      <c r="AD4205" s="18" t="n">
        <v>46015</v>
      </c>
      <c r="AE4205" s="18" t="s">
        <v>44</v>
      </c>
    </row>
    <row r="4206" customFormat="false" ht="15" hidden="false" customHeight="true" outlineLevel="0" collapsed="false">
      <c r="A4206" s="12" t="n">
        <v>15625</v>
      </c>
      <c r="B4206" s="13" t="s">
        <v>17235</v>
      </c>
      <c r="C4206" s="14" t="n">
        <v>45446</v>
      </c>
      <c r="D4206" s="13" t="s">
        <v>1721</v>
      </c>
      <c r="E4206" s="15" t="s">
        <v>47</v>
      </c>
      <c r="F4206" s="15" t="str">
        <f aca="false">IFERROR(__xludf.dummyfunction("XLOOKUP(AJ4206,IMPORTRANGE(""1XaInW9DU9nz21V0tYIfzFQ0He9kVQ_JF2mCXgZ3hqFA"",""REKAP ALL 2026 - Andika!G:G""),IMPORTRANGE(""1XaInW9DU9nz21V0tYIfzFQ0He9kVQ_JF2mCXgZ3hqFA"",""REKAP ALL 2026 - Andika!F:F""),"""",0)"),"24091262758")</f>
        <v>24091262758</v>
      </c>
      <c r="G4206" s="15" t="s">
        <v>17236</v>
      </c>
      <c r="H4206" s="13" t="s">
        <v>35</v>
      </c>
      <c r="I4206" s="13" t="str">
        <f aca="false">IF(C4206=J4206,"NEW KONTRAK","RE-KONTRAK")</f>
        <v>RE-KONTRAK</v>
      </c>
      <c r="J4206" s="16" t="n">
        <f aca="false" t="array" ref="J4206:J4206">IFERROR(INDEX(AC4206:AE4206,IF(COUNTA(AC4206:AE4206)=0,"",MAX((AC4206:AE4206&lt;&gt;"")*(COLUMN(AC4206:AE4206)-(COLUMN(AC4206)))))-1),"")</f>
        <v>45659</v>
      </c>
      <c r="K4206" s="16" t="n">
        <f aca="false" t="array" ref="K4206:K4206">IFERROR(INDEX(AC4206:AE4206,IF(COUNTA(AC4206:AE4206)=0,"",MAX((AC4206:AE4206&lt;&gt;"")*(COLUMN(AC4206:AE4206)-(COLUMN(AC4206)-1))))-1),"")</f>
        <v>46015</v>
      </c>
      <c r="L4206" s="17" t="str">
        <f aca="false" t="array" ref="L4206:L4206">IFERROR(INDEX(AC4206:AE4206,IF(COUNTA(AC4206:AE4206)=0,"",MAX((AC4206:AE4206&lt;&gt;"")*(COLUMN(AC4206:AE4206)-(COLUMN(AC4206)-2))))-1),"")</f>
        <v>ARCHIVED</v>
      </c>
      <c r="M4206" s="13" t="n">
        <f aca="true">K4206-TODAY()</f>
        <v>-309</v>
      </c>
      <c r="N4206" s="18" t="s">
        <v>728</v>
      </c>
      <c r="O4206" s="13" t="s">
        <v>17237</v>
      </c>
      <c r="P4206" s="19" t="n">
        <v>5444909</v>
      </c>
      <c r="Q4206" s="20" t="s">
        <v>17238</v>
      </c>
      <c r="R4206" s="13" t="s">
        <v>255</v>
      </c>
      <c r="S4206" s="14" t="n">
        <v>37879</v>
      </c>
      <c r="T4206" s="13" t="s">
        <v>40</v>
      </c>
      <c r="U4206" s="13" t="s">
        <v>17239</v>
      </c>
      <c r="V4206" s="13" t="s">
        <v>42</v>
      </c>
      <c r="W4206" s="13" t="s">
        <v>43</v>
      </c>
      <c r="X4206" s="21" t="n">
        <v>87850641305</v>
      </c>
      <c r="Y4206" s="22" t="str">
        <f aca="false">O4206</f>
        <v>Assy. Operator</v>
      </c>
      <c r="Z4206" s="13" t="str">
        <f aca="false">IFERROR(__xludf.dummyfunction("if(BJ4206="""","""",GOOGLETRANSLATE(BJ4206,""auto"",""en""))"),"Assy. Operator")</f>
        <v>Assy. Operator</v>
      </c>
      <c r="AA4206" s="23" t="str">
        <f aca="false">IF(C4206="","", CHOOSE(MONTH(C4206),"January","February","March","April","May","June","July","August","September","October","November","December")&amp;" "&amp;DAY(C4206)&amp;MID("thstndrdth",MIN(9,2*RIGHT(DAY(C4206))*(MOD(DAY(C4206)-11,100)&gt;2)+1),2)&amp;","&amp;TEXT(C4206," yyyy"))</f>
        <v>June 3rd,2024</v>
      </c>
      <c r="AB4206" s="15" t="str">
        <f aca="true">IF(S4206="","",DATEDIF(S4206,TODAY(),"Y")&amp;" Tahun, "&amp;DATEDIF(S4206,TODAY(),"YM")&amp;" Bulan, "&amp;DATEDIF(S4206,TODAY(),"MD")&amp;" Hari")</f>
        <v>23 Tahun, 1 Bulan, 14 Hari</v>
      </c>
      <c r="AC4206" s="18" t="n">
        <v>45659</v>
      </c>
      <c r="AD4206" s="18" t="n">
        <v>46015</v>
      </c>
      <c r="AE4206" s="18" t="s">
        <v>44</v>
      </c>
    </row>
    <row r="4207" customFormat="false" ht="15" hidden="false" customHeight="true" outlineLevel="0" collapsed="false">
      <c r="A4207" s="12" t="n">
        <v>22829</v>
      </c>
      <c r="B4207" s="13" t="s">
        <v>17240</v>
      </c>
      <c r="C4207" s="14" t="n">
        <v>46279</v>
      </c>
      <c r="D4207" s="13" t="s">
        <v>1721</v>
      </c>
      <c r="E4207" s="13" t="s">
        <v>47</v>
      </c>
      <c r="F4207" s="24" t="s">
        <v>17241</v>
      </c>
      <c r="G4207" s="13" t="s">
        <v>1452</v>
      </c>
      <c r="H4207" s="13" t="s">
        <v>35</v>
      </c>
      <c r="I4207" s="13" t="str">
        <f aca="false">IF(C4207=J4207,"NEW KONTRAK","RE-KONTRAK")</f>
        <v>NEW KONTRAK</v>
      </c>
      <c r="J4207" s="16" t="n">
        <f aca="false" t="array" ref="J4207:J4207">IFERROR(INDEX(AC4207:AE4207,IF(COUNTA(AC4207:AE4207)=0,"",MAX((AC4207:AE4207&lt;&gt;"")*(COLUMN(AC4207:AE4207)-(COLUMN(AC4207)))))-1),"")</f>
        <v>46279</v>
      </c>
      <c r="K4207" s="16" t="n">
        <f aca="false" t="array" ref="K4207:K4207">IFERROR(INDEX(AC4207:AE4207,IF(COUNTA(AC4207:AE4207)=0,"",MAX((AC4207:AE4207&lt;&gt;"")*(COLUMN(AC4207:AE4207)-(COLUMN(AC4207)-1))))-1),"")</f>
        <v>46386</v>
      </c>
      <c r="L4207" s="17" t="str">
        <f aca="false" t="array" ref="L4207:L4207">IFERROR(INDEX(AC4207:AE4207,IF(COUNTA(AC4207:AE4207)=0,"",MAX((AC4207:AE4207&lt;&gt;"")*(COLUMN(AC4207:AE4207)-(COLUMN(AC4207)-2))))-1),"")</f>
        <v>ARCHIVED</v>
      </c>
      <c r="M4207" s="13" t="n">
        <f aca="true">K4207-TODAY()</f>
        <v>62</v>
      </c>
      <c r="N4207" s="18" t="s">
        <v>728</v>
      </c>
      <c r="O4207" s="13" t="s">
        <v>1822</v>
      </c>
      <c r="P4207" s="26" t="n">
        <v>5444909</v>
      </c>
      <c r="Q4207" s="20" t="s">
        <v>17242</v>
      </c>
      <c r="R4207" s="48" t="s">
        <v>52</v>
      </c>
      <c r="S4207" s="25" t="n">
        <v>37602</v>
      </c>
      <c r="T4207" s="13" t="s">
        <v>108</v>
      </c>
      <c r="U4207" s="13" t="s">
        <v>17243</v>
      </c>
      <c r="V4207" s="13" t="s">
        <v>42</v>
      </c>
      <c r="W4207" s="28" t="s">
        <v>43</v>
      </c>
      <c r="X4207" s="21" t="n">
        <v>85846138120</v>
      </c>
      <c r="Y4207" s="22" t="str">
        <f aca="false">O4207</f>
        <v>Assembling</v>
      </c>
      <c r="Z4207" s="13" t="str">
        <f aca="false">IFERROR(__xludf.dummyfunction("if(BJ4207="""","""",GOOGLETRANSLATE(BJ4207,""auto"",""en""))"),"Assembling")</f>
        <v>Assembling</v>
      </c>
      <c r="AA4207" s="23" t="str">
        <f aca="false">IF(C4207="","", CHOOSE(MONTH(C4207),"January","February","March","April","May","June","July","August","September","October","November","December")&amp;" "&amp;DAY(C4207)&amp;MID("thstndrdth",MIN(9,2*RIGHT(DAY(C4207))*(MOD(DAY(C4207)-11,100)&gt;2)+1),2)&amp;","&amp;TEXT(C4207," yyyy"))</f>
        <v>September 14th,2026</v>
      </c>
      <c r="AB4207" s="15" t="str">
        <f aca="true">IF(S4207="","",DATEDIF(S4207,TODAY(),"Y")&amp;" Tahun, "&amp;DATEDIF(S4207,TODAY(),"YM")&amp;" Bulan, "&amp;DATEDIF(S4207,TODAY(),"MD")&amp;" Hari")</f>
        <v>23 Tahun, 10 Bulan, 17 Hari</v>
      </c>
      <c r="AC4207" s="14" t="n">
        <v>46279</v>
      </c>
      <c r="AD4207" s="18" t="n">
        <v>46386</v>
      </c>
      <c r="AE4207" s="13" t="s">
        <v>44</v>
      </c>
    </row>
    <row r="4208" customFormat="false" ht="15" hidden="false" customHeight="true" outlineLevel="0" collapsed="false">
      <c r="A4208" s="12" t="n">
        <v>22996</v>
      </c>
      <c r="B4208" s="13" t="s">
        <v>17244</v>
      </c>
      <c r="C4208" s="14" t="n">
        <v>46307</v>
      </c>
      <c r="D4208" s="13" t="s">
        <v>1721</v>
      </c>
      <c r="E4208" s="13" t="s">
        <v>47</v>
      </c>
      <c r="F4208" s="24" t="s">
        <v>17245</v>
      </c>
      <c r="G4208" s="13" t="s">
        <v>1127</v>
      </c>
      <c r="H4208" s="13" t="s">
        <v>35</v>
      </c>
      <c r="I4208" s="13" t="str">
        <f aca="false">IF(C4208=J4208,"NEW KONTRAK","RE-KONTRAK")</f>
        <v>NEW KONTRAK</v>
      </c>
      <c r="J4208" s="16" t="n">
        <f aca="false" t="array" ref="J4208:J4208">IFERROR(INDEX(AC4208:AE4208,IF(COUNTA(AC4208:AE4208)=0,"",MAX((AC4208:AE4208&lt;&gt;"")*(COLUMN(AC4208:AE4208)-(COLUMN(AC4208)))))-1),"")</f>
        <v>46307</v>
      </c>
      <c r="K4208" s="16" t="n">
        <f aca="false" t="array" ref="K4208:K4208">IFERROR(INDEX(AC4208:AE4208,IF(COUNTA(AC4208:AE4208)=0,"",MAX((AC4208:AE4208&lt;&gt;"")*(COLUMN(AC4208:AE4208)-(COLUMN(AC4208)-1))))-1),"")</f>
        <v>46386</v>
      </c>
      <c r="L4208" s="17" t="str">
        <f aca="false" t="array" ref="L4208:L4208">IFERROR(INDEX(AC4208:AE4208,IF(COUNTA(AC4208:AE4208)=0,"",MAX((AC4208:AE4208&lt;&gt;"")*(COLUMN(AC4208:AE4208)-(COLUMN(AC4208)-2))))-1),"")</f>
        <v>PRINTED</v>
      </c>
      <c r="M4208" s="13" t="n">
        <f aca="true">K4208-TODAY()</f>
        <v>62</v>
      </c>
      <c r="N4208" s="18" t="s">
        <v>728</v>
      </c>
      <c r="O4208" s="13" t="s">
        <v>1738</v>
      </c>
      <c r="P4208" s="26" t="n">
        <v>5444909</v>
      </c>
      <c r="Q4208" s="20" t="s">
        <v>17246</v>
      </c>
      <c r="R4208" s="13" t="s">
        <v>1695</v>
      </c>
      <c r="S4208" s="25" t="n">
        <v>35712</v>
      </c>
      <c r="T4208" s="13" t="s">
        <v>108</v>
      </c>
      <c r="U4208" s="13" t="s">
        <v>17247</v>
      </c>
      <c r="V4208" s="13" t="s">
        <v>42</v>
      </c>
      <c r="W4208" s="13" t="s">
        <v>43</v>
      </c>
      <c r="X4208" s="21" t="n">
        <v>881036964965</v>
      </c>
      <c r="Y4208" s="22" t="str">
        <f aca="false">O4208</f>
        <v>IM Operator</v>
      </c>
      <c r="Z4208" s="13" t="str">
        <f aca="false">IFERROR(__xludf.dummyfunction("if(BJ4208="""","""",GOOGLETRANSLATE(BJ4208,""auto"",""en""))"),"IM Operator")</f>
        <v>IM Operator</v>
      </c>
      <c r="AA4208" s="23" t="str">
        <f aca="false">IF(C4208="","", CHOOSE(MONTH(C4208),"January","February","March","April","May","June","July","August","September","October","November","December")&amp;" "&amp;DAY(C4208)&amp;MID("thstndrdth",MIN(9,2*RIGHT(DAY(C4208))*(MOD(DAY(C4208)-11,100)&gt;2)+1),2)&amp;","&amp;TEXT(C4208," yyyy"))</f>
        <v>October 12th,2026</v>
      </c>
      <c r="AB4208" s="15" t="str">
        <f aca="true">IF(S4208="","",DATEDIF(S4208,TODAY(),"Y")&amp;" Tahun, "&amp;DATEDIF(S4208,TODAY(),"YM")&amp;" Bulan, "&amp;DATEDIF(S4208,TODAY(),"MD")&amp;" Hari")</f>
        <v>29 Tahun, 0 Bulan, 20 Hari</v>
      </c>
      <c r="AC4208" s="14" t="n">
        <v>46307</v>
      </c>
      <c r="AD4208" s="18" t="n">
        <v>46386</v>
      </c>
      <c r="AE4208" s="13" t="s">
        <v>1752</v>
      </c>
    </row>
    <row r="4209" customFormat="false" ht="15" hidden="false" customHeight="true" outlineLevel="0" collapsed="false">
      <c r="A4209" s="12" t="n">
        <v>2249</v>
      </c>
      <c r="B4209" s="13" t="s">
        <v>17248</v>
      </c>
      <c r="C4209" s="14" t="n">
        <v>43467</v>
      </c>
      <c r="D4209" s="13" t="s">
        <v>1721</v>
      </c>
      <c r="E4209" s="15" t="s">
        <v>47</v>
      </c>
      <c r="F4209" s="15" t="str">
        <f aca="false">IFERROR(__xludf.dummyfunction("XLOOKUP(AJ4209,IMPORTRANGE(""1XaInW9DU9nz21V0tYIfzFQ0He9kVQ_JF2mCXgZ3hqFA"",""REKAP ALL 2026 - Andika!G:G""),IMPORTRANGE(""1XaInW9DU9nz21V0tYIfzFQ0He9kVQ_JF2mCXgZ3hqFA"",""REKAP ALL 2026 - Andika!F:F""),"""",0)"),"21096162074")</f>
        <v>21096162074</v>
      </c>
      <c r="G4209" s="13" t="s">
        <v>17249</v>
      </c>
      <c r="H4209" s="13" t="s">
        <v>35</v>
      </c>
      <c r="I4209" s="13" t="str">
        <f aca="false">IF(C4209=J4209,"NEW KONTRAK","RE-KONTRAK")</f>
        <v>RE-KONTRAK</v>
      </c>
      <c r="J4209" s="16" t="n">
        <f aca="false" t="array" ref="J4209:J4209">IFERROR(INDEX(AC4209:AE4209,IF(COUNTA(AC4209:AE4209)=0,"",MAX((AC4209:AE4209&lt;&gt;"")*(COLUMN(AC4209:AE4209)-(COLUMN(AC4209)))))-1),"")</f>
        <v>45659</v>
      </c>
      <c r="K4209" s="16" t="n">
        <f aca="false" t="array" ref="K4209:K4209">IFERROR(INDEX(AC4209:AE4209,IF(COUNTA(AC4209:AE4209)=0,"",MAX((AC4209:AE4209&lt;&gt;"")*(COLUMN(AC4209:AE4209)-(COLUMN(AC4209)-1))))-1),"")</f>
        <v>46015</v>
      </c>
      <c r="L4209" s="17" t="str">
        <f aca="false" t="array" ref="L4209:L4209">IFERROR(INDEX(AC4209:AE4209,IF(COUNTA(AC4209:AE4209)=0,"",MAX((AC4209:AE4209&lt;&gt;"")*(COLUMN(AC4209:AE4209)-(COLUMN(AC4209)-2))))-1),"")</f>
        <v>ARCHIVED</v>
      </c>
      <c r="M4209" s="13" t="n">
        <f aca="true">K4209-TODAY()</f>
        <v>-309</v>
      </c>
      <c r="N4209" s="18" t="s">
        <v>728</v>
      </c>
      <c r="O4209" s="13" t="s">
        <v>1914</v>
      </c>
      <c r="P4209" s="19" t="n">
        <v>5444909</v>
      </c>
      <c r="Q4209" s="20" t="s">
        <v>17250</v>
      </c>
      <c r="R4209" s="13" t="s">
        <v>65</v>
      </c>
      <c r="S4209" s="14" t="n">
        <v>31361</v>
      </c>
      <c r="T4209" s="13" t="s">
        <v>108</v>
      </c>
      <c r="U4209" s="13" t="s">
        <v>17251</v>
      </c>
      <c r="V4209" s="13" t="s">
        <v>42</v>
      </c>
      <c r="W4209" s="13" t="s">
        <v>54</v>
      </c>
      <c r="X4209" s="21" t="n">
        <v>81231393441</v>
      </c>
      <c r="Y4209" s="22" t="str">
        <f aca="false">O4209</f>
        <v>Im Operator</v>
      </c>
      <c r="Z4209" s="13" t="str">
        <f aca="false">IFERROR(__xludf.dummyfunction("if(BJ4209="""","""",GOOGLETRANSLATE(BJ4209,""auto"",""en""))"),"Im Operator")</f>
        <v>Im Operator</v>
      </c>
      <c r="AA4209" s="23" t="str">
        <f aca="false">IF(C4209="","", CHOOSE(MONTH(C4209),"January","February","March","April","May","June","July","August","September","October","November","December")&amp;" "&amp;DAY(C4209)&amp;MID("thstndrdth",MIN(9,2*RIGHT(DAY(C4209))*(MOD(DAY(C4209)-11,100)&gt;2)+1),2)&amp;","&amp;TEXT(C4209," yyyy"))</f>
        <v>January 2nd,2019</v>
      </c>
      <c r="AB4209" s="15" t="str">
        <f aca="true">IF(S4209="","",DATEDIF(S4209,TODAY(),"Y")&amp;" Tahun, "&amp;DATEDIF(S4209,TODAY(),"YM")&amp;" Bulan, "&amp;DATEDIF(S4209,TODAY(),"MD")&amp;" Hari")</f>
        <v>40 Tahun, 11 Bulan, 19 Hari</v>
      </c>
      <c r="AC4209" s="18" t="n">
        <v>45659</v>
      </c>
      <c r="AD4209" s="18" t="n">
        <v>46015</v>
      </c>
      <c r="AE4209" s="18" t="s">
        <v>44</v>
      </c>
    </row>
    <row r="4210" customFormat="false" ht="15" hidden="false" customHeight="true" outlineLevel="0" collapsed="false">
      <c r="A4210" s="12" t="n">
        <v>22997</v>
      </c>
      <c r="B4210" s="13" t="s">
        <v>17252</v>
      </c>
      <c r="C4210" s="14" t="n">
        <v>46307</v>
      </c>
      <c r="D4210" s="13" t="s">
        <v>1721</v>
      </c>
      <c r="E4210" s="13" t="s">
        <v>47</v>
      </c>
      <c r="F4210" s="24" t="s">
        <v>17253</v>
      </c>
      <c r="G4210" s="13" t="s">
        <v>1127</v>
      </c>
      <c r="H4210" s="13" t="s">
        <v>35</v>
      </c>
      <c r="I4210" s="13" t="str">
        <f aca="false">IF(C4210=J4210,"NEW KONTRAK","RE-KONTRAK")</f>
        <v>NEW KONTRAK</v>
      </c>
      <c r="J4210" s="16" t="n">
        <f aca="false" t="array" ref="J4210:J4210">IFERROR(INDEX(AC4210:AE4210,IF(COUNTA(AC4210:AE4210)=0,"",MAX((AC4210:AE4210&lt;&gt;"")*(COLUMN(AC4210:AE4210)-(COLUMN(AC4210)))))-1),"")</f>
        <v>46307</v>
      </c>
      <c r="K4210" s="16" t="n">
        <f aca="false" t="array" ref="K4210:K4210">IFERROR(INDEX(AC4210:AE4210,IF(COUNTA(AC4210:AE4210)=0,"",MAX((AC4210:AE4210&lt;&gt;"")*(COLUMN(AC4210:AE4210)-(COLUMN(AC4210)-1))))-1),"")</f>
        <v>46386</v>
      </c>
      <c r="L4210" s="17" t="str">
        <f aca="false" t="array" ref="L4210:L4210">IFERROR(INDEX(AC4210:AE4210,IF(COUNTA(AC4210:AE4210)=0,"",MAX((AC4210:AE4210&lt;&gt;"")*(COLUMN(AC4210:AE4210)-(COLUMN(AC4210)-2))))-1),"")</f>
        <v>PRINTED</v>
      </c>
      <c r="M4210" s="13" t="n">
        <f aca="true">K4210-TODAY()</f>
        <v>62</v>
      </c>
      <c r="N4210" s="18" t="s">
        <v>728</v>
      </c>
      <c r="O4210" s="13" t="s">
        <v>1749</v>
      </c>
      <c r="P4210" s="26" t="n">
        <v>5444909</v>
      </c>
      <c r="Q4210" s="20" t="s">
        <v>17254</v>
      </c>
      <c r="R4210" s="13" t="s">
        <v>73</v>
      </c>
      <c r="S4210" s="25" t="n">
        <v>37117</v>
      </c>
      <c r="T4210" s="13" t="s">
        <v>108</v>
      </c>
      <c r="U4210" s="13" t="s">
        <v>17255</v>
      </c>
      <c r="V4210" s="13" t="s">
        <v>42</v>
      </c>
      <c r="W4210" s="13" t="s">
        <v>43</v>
      </c>
      <c r="X4210" s="21" t="n">
        <v>81515961670</v>
      </c>
      <c r="Y4210" s="22" t="str">
        <f aca="false">O4210</f>
        <v>BM Operator</v>
      </c>
      <c r="Z4210" s="13" t="str">
        <f aca="false">IFERROR(__xludf.dummyfunction("if(BJ4210="""","""",GOOGLETRANSLATE(BJ4210,""auto"",""en""))"),"BM Operator")</f>
        <v>BM Operator</v>
      </c>
      <c r="AA4210" s="23" t="str">
        <f aca="false">IF(C4210="","", CHOOSE(MONTH(C4210),"January","February","March","April","May","June","July","August","September","October","November","December")&amp;" "&amp;DAY(C4210)&amp;MID("thstndrdth",MIN(9,2*RIGHT(DAY(C4210))*(MOD(DAY(C4210)-11,100)&gt;2)+1),2)&amp;","&amp;TEXT(C4210," yyyy"))</f>
        <v>October 12th,2026</v>
      </c>
      <c r="AB4210" s="15" t="str">
        <f aca="true">IF(S4210="","",DATEDIF(S4210,TODAY(),"Y")&amp;" Tahun, "&amp;DATEDIF(S4210,TODAY(),"YM")&amp;" Bulan, "&amp;DATEDIF(S4210,TODAY(),"MD")&amp;" Hari")</f>
        <v>25 Tahun, 2 Bulan, 15 Hari</v>
      </c>
      <c r="AC4210" s="14" t="n">
        <v>46307</v>
      </c>
      <c r="AD4210" s="18" t="n">
        <v>46386</v>
      </c>
      <c r="AE4210" s="13" t="s">
        <v>1752</v>
      </c>
    </row>
    <row r="4211" customFormat="false" ht="15" hidden="false" customHeight="true" outlineLevel="0" collapsed="false">
      <c r="A4211" s="12" t="n">
        <v>2250</v>
      </c>
      <c r="B4211" s="13" t="s">
        <v>17256</v>
      </c>
      <c r="C4211" s="14" t="n">
        <v>43480</v>
      </c>
      <c r="D4211" s="13" t="s">
        <v>1721</v>
      </c>
      <c r="E4211" s="15" t="s">
        <v>47</v>
      </c>
      <c r="F4211" s="15" t="str">
        <f aca="false">IFERROR(__xludf.dummyfunction("XLOOKUP(AJ4211,IMPORTRANGE(""1XaInW9DU9nz21V0tYIfzFQ0He9kVQ_JF2mCXgZ3hqFA"",""REKAP ALL 2026 - Andika!G:G""),IMPORTRANGE(""1XaInW9DU9nz21V0tYIfzFQ0He9kVQ_JF2mCXgZ3hqFA"",""REKAP ALL 2026 - Andika!F:F""),"""",0)"),"21024147130")</f>
        <v>21024147130</v>
      </c>
      <c r="G4211" s="13" t="s">
        <v>17257</v>
      </c>
      <c r="H4211" s="13" t="s">
        <v>35</v>
      </c>
      <c r="I4211" s="13" t="str">
        <f aca="false">IF(C4211=J4211,"NEW KONTRAK","RE-KONTRAK")</f>
        <v>RE-KONTRAK</v>
      </c>
      <c r="J4211" s="16" t="n">
        <f aca="false" t="array" ref="J4211:J4211">IFERROR(INDEX(AC4211:AE4211,IF(COUNTA(AC4211:AE4211)=0,"",MAX((AC4211:AE4211&lt;&gt;"")*(COLUMN(AC4211:AE4211)-(COLUMN(AC4211)))))-1),"")</f>
        <v>45659</v>
      </c>
      <c r="K4211" s="16" t="n">
        <f aca="false" t="array" ref="K4211:K4211">IFERROR(INDEX(AC4211:AE4211,IF(COUNTA(AC4211:AE4211)=0,"",MAX((AC4211:AE4211&lt;&gt;"")*(COLUMN(AC4211:AE4211)-(COLUMN(AC4211)-1))))-1),"")</f>
        <v>46015</v>
      </c>
      <c r="L4211" s="17" t="str">
        <f aca="false" t="array" ref="L4211:L4211">IFERROR(INDEX(AC4211:AE4211,IF(COUNTA(AC4211:AE4211)=0,"",MAX((AC4211:AE4211&lt;&gt;"")*(COLUMN(AC4211:AE4211)-(COLUMN(AC4211)-2))))-1),"")</f>
        <v>ARCHIVED</v>
      </c>
      <c r="M4211" s="13" t="n">
        <f aca="true">K4211-TODAY()</f>
        <v>-309</v>
      </c>
      <c r="N4211" s="18" t="s">
        <v>728</v>
      </c>
      <c r="O4211" s="13" t="s">
        <v>1914</v>
      </c>
      <c r="P4211" s="19" t="n">
        <v>5444909</v>
      </c>
      <c r="Q4211" s="20" t="s">
        <v>17258</v>
      </c>
      <c r="R4211" s="13" t="s">
        <v>826</v>
      </c>
      <c r="S4211" s="14" t="n">
        <v>30372</v>
      </c>
      <c r="T4211" s="13" t="s">
        <v>108</v>
      </c>
      <c r="U4211" s="13" t="s">
        <v>17259</v>
      </c>
      <c r="V4211" s="13" t="s">
        <v>42</v>
      </c>
      <c r="W4211" s="13" t="s">
        <v>54</v>
      </c>
      <c r="X4211" s="21" t="n">
        <v>85731896209</v>
      </c>
      <c r="Y4211" s="22" t="str">
        <f aca="false">O4211</f>
        <v>Im Operator</v>
      </c>
      <c r="Z4211" s="13" t="str">
        <f aca="false">IFERROR(__xludf.dummyfunction("if(BJ4211="""","""",GOOGLETRANSLATE(BJ4211,""auto"",""en""))"),"Im Operator")</f>
        <v>Im Operator</v>
      </c>
      <c r="AA4211" s="23" t="str">
        <f aca="false">IF(C4211="","", CHOOSE(MONTH(C4211),"January","February","March","April","May","June","July","August","September","October","November","December")&amp;" "&amp;DAY(C4211)&amp;MID("thstndrdth",MIN(9,2*RIGHT(DAY(C4211))*(MOD(DAY(C4211)-11,100)&gt;2)+1),2)&amp;","&amp;TEXT(C4211," yyyy"))</f>
        <v>January 15th,2019</v>
      </c>
      <c r="AB4211" s="15" t="str">
        <f aca="true">IF(S4211="","",DATEDIF(S4211,TODAY(),"Y")&amp;" Tahun, "&amp;DATEDIF(S4211,TODAY(),"YM")&amp;" Bulan, "&amp;DATEDIF(S4211,TODAY(),"MD")&amp;" Hari")</f>
        <v>43 Tahun, 8 Bulan, 4 Hari</v>
      </c>
      <c r="AC4211" s="18" t="n">
        <v>45659</v>
      </c>
      <c r="AD4211" s="18" t="n">
        <v>46015</v>
      </c>
      <c r="AE4211" s="18" t="s">
        <v>44</v>
      </c>
    </row>
    <row r="4212" customFormat="false" ht="15" hidden="false" customHeight="true" outlineLevel="0" collapsed="false">
      <c r="A4212" s="12" t="n">
        <v>15662</v>
      </c>
      <c r="B4212" s="13" t="s">
        <v>17260</v>
      </c>
      <c r="C4212" s="14" t="n">
        <v>45446</v>
      </c>
      <c r="D4212" s="13" t="s">
        <v>1721</v>
      </c>
      <c r="E4212" s="15" t="s">
        <v>47</v>
      </c>
      <c r="F4212" s="15" t="str">
        <f aca="false">IFERROR(__xludf.dummyfunction("XLOOKUP(AJ4212,IMPORTRANGE(""1XaInW9DU9nz21V0tYIfzFQ0He9kVQ_JF2mCXgZ3hqFA"",""REKAP ALL 2026 - Andika!G:G""),IMPORTRANGE(""1XaInW9DU9nz21V0tYIfzFQ0He9kVQ_JF2mCXgZ3hqFA"",""REKAP ALL 2026 - Andika!F:F""),"""",0)"),"24091262592")</f>
        <v>24091262592</v>
      </c>
      <c r="G4212" s="15" t="s">
        <v>17261</v>
      </c>
      <c r="H4212" s="13" t="s">
        <v>35</v>
      </c>
      <c r="I4212" s="13" t="str">
        <f aca="false">IF(C4212=J4212,"NEW KONTRAK","RE-KONTRAK")</f>
        <v>RE-KONTRAK</v>
      </c>
      <c r="J4212" s="16" t="n">
        <f aca="false" t="array" ref="J4212:J4212">IFERROR(INDEX(AC4212:AE4212,IF(COUNTA(AC4212:AE4212)=0,"",MAX((AC4212:AE4212&lt;&gt;"")*(COLUMN(AC4212:AE4212)-(COLUMN(AC4212)))))-1),"")</f>
        <v>45659</v>
      </c>
      <c r="K4212" s="16" t="n">
        <f aca="false" t="array" ref="K4212:K4212">IFERROR(INDEX(AC4212:AE4212,IF(COUNTA(AC4212:AE4212)=0,"",MAX((AC4212:AE4212&lt;&gt;"")*(COLUMN(AC4212:AE4212)-(COLUMN(AC4212)-1))))-1),"")</f>
        <v>46015</v>
      </c>
      <c r="L4212" s="17" t="str">
        <f aca="false" t="array" ref="L4212:L4212">IFERROR(INDEX(AC4212:AE4212,IF(COUNTA(AC4212:AE4212)=0,"",MAX((AC4212:AE4212&lt;&gt;"")*(COLUMN(AC4212:AE4212)-(COLUMN(AC4212)-2))))-1),"")</f>
        <v>ARCHIVED</v>
      </c>
      <c r="M4212" s="13" t="n">
        <f aca="true">K4212-TODAY()</f>
        <v>-309</v>
      </c>
      <c r="N4212" s="18" t="s">
        <v>728</v>
      </c>
      <c r="O4212" s="13" t="s">
        <v>1827</v>
      </c>
      <c r="P4212" s="19" t="n">
        <v>5444909</v>
      </c>
      <c r="Q4212" s="20" t="s">
        <v>17262</v>
      </c>
      <c r="R4212" s="13" t="s">
        <v>246</v>
      </c>
      <c r="S4212" s="14" t="n">
        <v>37877</v>
      </c>
      <c r="T4212" s="13" t="s">
        <v>108</v>
      </c>
      <c r="U4212" s="13" t="s">
        <v>17263</v>
      </c>
      <c r="V4212" s="13" t="s">
        <v>42</v>
      </c>
      <c r="W4212" s="13" t="s">
        <v>43</v>
      </c>
      <c r="X4212" s="21" t="n">
        <v>85645873252</v>
      </c>
      <c r="Y4212" s="22" t="str">
        <f aca="false">O4212</f>
        <v>Printing Operator</v>
      </c>
      <c r="Z4212" s="13" t="str">
        <f aca="false">IFERROR(__xludf.dummyfunction("if(BJ4212="""","""",GOOGLETRANSLATE(BJ4212,""auto"",""en""))"),"Printing Operator")</f>
        <v>Printing Operator</v>
      </c>
      <c r="AA4212" s="23" t="str">
        <f aca="false">IF(C4212="","", CHOOSE(MONTH(C4212),"January","February","March","April","May","June","July","August","September","October","November","December")&amp;" "&amp;DAY(C4212)&amp;MID("thstndrdth",MIN(9,2*RIGHT(DAY(C4212))*(MOD(DAY(C4212)-11,100)&gt;2)+1),2)&amp;","&amp;TEXT(C4212," yyyy"))</f>
        <v>June 3rd,2024</v>
      </c>
      <c r="AB4212" s="15" t="str">
        <f aca="true">IF(S4212="","",DATEDIF(S4212,TODAY(),"Y")&amp;" Tahun, "&amp;DATEDIF(S4212,TODAY(),"YM")&amp;" Bulan, "&amp;DATEDIF(S4212,TODAY(),"MD")&amp;" Hari")</f>
        <v>23 Tahun, 1 Bulan, 16 Hari</v>
      </c>
      <c r="AC4212" s="18" t="n">
        <v>45659</v>
      </c>
      <c r="AD4212" s="18" t="n">
        <v>46015</v>
      </c>
      <c r="AE4212" s="18" t="s">
        <v>44</v>
      </c>
    </row>
    <row r="4213" customFormat="false" ht="15" hidden="false" customHeight="true" outlineLevel="0" collapsed="false">
      <c r="A4213" s="12" t="n">
        <v>22863</v>
      </c>
      <c r="B4213" s="13" t="s">
        <v>17264</v>
      </c>
      <c r="C4213" s="14" t="n">
        <v>46279</v>
      </c>
      <c r="D4213" s="13" t="s">
        <v>1721</v>
      </c>
      <c r="E4213" s="13" t="s">
        <v>47</v>
      </c>
      <c r="F4213" s="24" t="s">
        <v>17265</v>
      </c>
      <c r="G4213" s="13" t="s">
        <v>1452</v>
      </c>
      <c r="H4213" s="13" t="s">
        <v>35</v>
      </c>
      <c r="I4213" s="13" t="str">
        <f aca="false">IF(C4213=J4213,"NEW KONTRAK","RE-KONTRAK")</f>
        <v>NEW KONTRAK</v>
      </c>
      <c r="J4213" s="16" t="n">
        <f aca="false" t="array" ref="J4213:J4213">IFERROR(INDEX(AC4213:AE4213,IF(COUNTA(AC4213:AE4213)=0,"",MAX((AC4213:AE4213&lt;&gt;"")*(COLUMN(AC4213:AE4213)-(COLUMN(AC4213)))))-1),"")</f>
        <v>46279</v>
      </c>
      <c r="K4213" s="16" t="n">
        <f aca="false" t="array" ref="K4213:K4213">IFERROR(INDEX(AC4213:AE4213,IF(COUNTA(AC4213:AE4213)=0,"",MAX((AC4213:AE4213&lt;&gt;"")*(COLUMN(AC4213:AE4213)-(COLUMN(AC4213)-1))))-1),"")</f>
        <v>46386</v>
      </c>
      <c r="L4213" s="17" t="str">
        <f aca="false" t="array" ref="L4213:L4213">IFERROR(INDEX(AC4213:AE4213,IF(COUNTA(AC4213:AE4213)=0,"",MAX((AC4213:AE4213&lt;&gt;"")*(COLUMN(AC4213:AE4213)-(COLUMN(AC4213)-2))))-1),"")</f>
        <v>ARCHIVED</v>
      </c>
      <c r="M4213" s="13" t="n">
        <f aca="true">K4213-TODAY()</f>
        <v>62</v>
      </c>
      <c r="N4213" s="18" t="s">
        <v>728</v>
      </c>
      <c r="O4213" s="13" t="s">
        <v>1755</v>
      </c>
      <c r="P4213" s="26" t="n">
        <v>5444909</v>
      </c>
      <c r="Q4213" s="20" t="s">
        <v>17266</v>
      </c>
      <c r="R4213" s="48" t="s">
        <v>246</v>
      </c>
      <c r="S4213" s="25" t="n">
        <v>37117</v>
      </c>
      <c r="T4213" s="13" t="s">
        <v>108</v>
      </c>
      <c r="U4213" s="13" t="s">
        <v>17267</v>
      </c>
      <c r="V4213" s="13" t="s">
        <v>42</v>
      </c>
      <c r="W4213" s="28" t="s">
        <v>43</v>
      </c>
      <c r="X4213" s="21" t="n">
        <v>81559638453</v>
      </c>
      <c r="Y4213" s="22" t="str">
        <f aca="false">O4213</f>
        <v>Im.Operator</v>
      </c>
      <c r="Z4213" s="13" t="str">
        <f aca="false">IFERROR(__xludf.dummyfunction("if(BJ4213="""","""",GOOGLETRANSLATE(BJ4213,""auto"",""en""))"),"Im.Operator")</f>
        <v>Im.Operator</v>
      </c>
      <c r="AA4213" s="23" t="str">
        <f aca="false">IF(C4213="","", CHOOSE(MONTH(C4213),"January","February","March","April","May","June","July","August","September","October","November","December")&amp;" "&amp;DAY(C4213)&amp;MID("thstndrdth",MIN(9,2*RIGHT(DAY(C4213))*(MOD(DAY(C4213)-11,100)&gt;2)+1),2)&amp;","&amp;TEXT(C4213," yyyy"))</f>
        <v>September 14th,2026</v>
      </c>
      <c r="AB4213" s="15" t="str">
        <f aca="true">IF(S4213="","",DATEDIF(S4213,TODAY(),"Y")&amp;" Tahun, "&amp;DATEDIF(S4213,TODAY(),"YM")&amp;" Bulan, "&amp;DATEDIF(S4213,TODAY(),"MD")&amp;" Hari")</f>
        <v>25 Tahun, 2 Bulan, 15 Hari</v>
      </c>
      <c r="AC4213" s="14" t="n">
        <v>46279</v>
      </c>
      <c r="AD4213" s="18" t="n">
        <v>46386</v>
      </c>
      <c r="AE4213" s="13" t="s">
        <v>44</v>
      </c>
    </row>
    <row r="4214" customFormat="false" ht="15" hidden="false" customHeight="true" outlineLevel="0" collapsed="false">
      <c r="A4214" s="12" t="n">
        <v>22998</v>
      </c>
      <c r="B4214" s="13" t="s">
        <v>17268</v>
      </c>
      <c r="C4214" s="14" t="n">
        <v>46307</v>
      </c>
      <c r="D4214" s="13" t="s">
        <v>1721</v>
      </c>
      <c r="E4214" s="13" t="s">
        <v>47</v>
      </c>
      <c r="F4214" s="24" t="s">
        <v>17269</v>
      </c>
      <c r="G4214" s="13" t="s">
        <v>1127</v>
      </c>
      <c r="H4214" s="13" t="s">
        <v>35</v>
      </c>
      <c r="I4214" s="13" t="str">
        <f aca="false">IF(C4214=J4214,"NEW KONTRAK","RE-KONTRAK")</f>
        <v>NEW KONTRAK</v>
      </c>
      <c r="J4214" s="16" t="n">
        <f aca="false" t="array" ref="J4214:J4214">IFERROR(INDEX(AC4214:AE4214,IF(COUNTA(AC4214:AE4214)=0,"",MAX((AC4214:AE4214&lt;&gt;"")*(COLUMN(AC4214:AE4214)-(COLUMN(AC4214)))))-1),"")</f>
        <v>46307</v>
      </c>
      <c r="K4214" s="16" t="n">
        <f aca="false" t="array" ref="K4214:K4214">IFERROR(INDEX(AC4214:AE4214,IF(COUNTA(AC4214:AE4214)=0,"",MAX((AC4214:AE4214&lt;&gt;"")*(COLUMN(AC4214:AE4214)-(COLUMN(AC4214)-1))))-1),"")</f>
        <v>46386</v>
      </c>
      <c r="L4214" s="17" t="str">
        <f aca="false" t="array" ref="L4214:L4214">IFERROR(INDEX(AC4214:AE4214,IF(COUNTA(AC4214:AE4214)=0,"",MAX((AC4214:AE4214&lt;&gt;"")*(COLUMN(AC4214:AE4214)-(COLUMN(AC4214)-2))))-1),"")</f>
        <v>PRINTED</v>
      </c>
      <c r="M4214" s="13" t="n">
        <f aca="true">K4214-TODAY()</f>
        <v>62</v>
      </c>
      <c r="N4214" s="18" t="s">
        <v>728</v>
      </c>
      <c r="O4214" s="13" t="s">
        <v>1749</v>
      </c>
      <c r="P4214" s="26" t="n">
        <v>5444909</v>
      </c>
      <c r="Q4214" s="20" t="s">
        <v>17270</v>
      </c>
      <c r="R4214" s="13" t="s">
        <v>260</v>
      </c>
      <c r="S4214" s="25" t="n">
        <v>39533</v>
      </c>
      <c r="T4214" s="13" t="s">
        <v>108</v>
      </c>
      <c r="U4214" s="13" t="s">
        <v>17271</v>
      </c>
      <c r="V4214" s="13" t="s">
        <v>42</v>
      </c>
      <c r="W4214" s="13" t="s">
        <v>43</v>
      </c>
      <c r="X4214" s="21" t="n">
        <v>82334167456</v>
      </c>
      <c r="Y4214" s="22" t="str">
        <f aca="false">O4214</f>
        <v>BM Operator</v>
      </c>
      <c r="Z4214" s="13" t="str">
        <f aca="false">IFERROR(__xludf.dummyfunction("if(BJ4214="""","""",GOOGLETRANSLATE(BJ4214,""auto"",""en""))"),"BM Operator")</f>
        <v>BM Operator</v>
      </c>
      <c r="AA4214" s="23" t="str">
        <f aca="false">IF(C4214="","", CHOOSE(MONTH(C4214),"January","February","March","April","May","June","July","August","September","October","November","December")&amp;" "&amp;DAY(C4214)&amp;MID("thstndrdth",MIN(9,2*RIGHT(DAY(C4214))*(MOD(DAY(C4214)-11,100)&gt;2)+1),2)&amp;","&amp;TEXT(C4214," yyyy"))</f>
        <v>October 12th,2026</v>
      </c>
      <c r="AB4214" s="15" t="str">
        <f aca="true">IF(S4214="","",DATEDIF(S4214,TODAY(),"Y")&amp;" Tahun, "&amp;DATEDIF(S4214,TODAY(),"YM")&amp;" Bulan, "&amp;DATEDIF(S4214,TODAY(),"MD")&amp;" Hari")</f>
        <v>18 Tahun, 7 Bulan, 3 Hari</v>
      </c>
      <c r="AC4214" s="14" t="n">
        <v>46307</v>
      </c>
      <c r="AD4214" s="18" t="n">
        <v>46386</v>
      </c>
      <c r="AE4214" s="13" t="s">
        <v>1752</v>
      </c>
    </row>
    <row r="4215" customFormat="false" ht="15" hidden="false" customHeight="true" outlineLevel="0" collapsed="false">
      <c r="A4215" s="12" t="n">
        <v>21689</v>
      </c>
      <c r="B4215" s="13" t="s">
        <v>17272</v>
      </c>
      <c r="C4215" s="16" t="n">
        <v>46024</v>
      </c>
      <c r="D4215" s="13" t="s">
        <v>1721</v>
      </c>
      <c r="E4215" s="15" t="s">
        <v>47</v>
      </c>
      <c r="F4215" s="15" t="str">
        <f aca="false">IFERROR(__xludf.dummyfunction("XLOOKUP(AJ4215,IMPORTRANGE(""1XaInW9DU9nz21V0tYIfzFQ0He9kVQ_JF2mCXgZ3hqFA"",""REKAP ALL 2026 - Andika!G:G""),IMPORTRANGE(""1XaInW9DU9nz21V0tYIfzFQ0He9kVQ_JF2mCXgZ3hqFA"",""REKAP ALL 2026 - Andika!F:F""),"""",0)"),"26020754557")</f>
        <v>26020754557</v>
      </c>
      <c r="G4215" s="28" t="s">
        <v>57</v>
      </c>
      <c r="H4215" s="13" t="s">
        <v>35</v>
      </c>
      <c r="I4215" s="13" t="str">
        <f aca="false">IF(C4215=J4215,"NEW KONTRAK","RE-KONTRAK")</f>
        <v>NEW KONTRAK</v>
      </c>
      <c r="J4215" s="16" t="n">
        <f aca="false" t="array" ref="J4215:J4215">IFERROR(INDEX(AC4215:AE4215,IF(COUNTA(AC4215:AE4215)=0,"",MAX((AC4215:AE4215&lt;&gt;"")*(COLUMN(AC4215:AE4215)-(COLUMN(AC4215)))))-1),"")</f>
        <v>46024</v>
      </c>
      <c r="K4215" s="16" t="n">
        <f aca="false" t="array" ref="K4215:K4215">IFERROR(INDEX(AC4215:AE4215,IF(COUNTA(AC4215:AE4215)=0,"",MAX((AC4215:AE4215&lt;&gt;"")*(COLUMN(AC4215:AE4215)-(COLUMN(AC4215)-1))))-1),"")</f>
        <v>46113</v>
      </c>
      <c r="L4215" s="17" t="str">
        <f aca="false" t="array" ref="L4215:L4215">IFERROR(INDEX(AC4215:AE4215,IF(COUNTA(AC4215:AE4215)=0,"",MAX((AC4215:AE4215&lt;&gt;"")*(COLUMN(AC4215:AE4215)-(COLUMN(AC4215)-2))))-1),"")</f>
        <v>ARCHIVED</v>
      </c>
      <c r="M4215" s="13" t="n">
        <f aca="true">K4215-TODAY()</f>
        <v>-211</v>
      </c>
      <c r="N4215" s="18" t="s">
        <v>728</v>
      </c>
      <c r="O4215" s="13" t="s">
        <v>1732</v>
      </c>
      <c r="P4215" s="19" t="n">
        <v>5444909</v>
      </c>
      <c r="Q4215" s="47" t="s">
        <v>17273</v>
      </c>
      <c r="R4215" s="13" t="s">
        <v>39</v>
      </c>
      <c r="S4215" s="16" t="n">
        <v>38071</v>
      </c>
      <c r="T4215" s="13" t="s">
        <v>108</v>
      </c>
      <c r="U4215" s="13" t="s">
        <v>17274</v>
      </c>
      <c r="V4215" s="13" t="s">
        <v>42</v>
      </c>
      <c r="W4215" s="13" t="s">
        <v>43</v>
      </c>
      <c r="X4215" s="21" t="s">
        <v>17275</v>
      </c>
      <c r="Y4215" s="22" t="str">
        <f aca="false">O4215</f>
        <v>Bm.Operator</v>
      </c>
      <c r="Z4215" s="13" t="str">
        <f aca="false">IFERROR(__xludf.dummyfunction("if(BJ4215="""","""",GOOGLETRANSLATE(BJ4215,""auto"",""en""))"),"Bm.Operator")</f>
        <v>Bm.Operator</v>
      </c>
      <c r="AA4215" s="23" t="str">
        <f aca="false">IF(C4215="","", CHOOSE(MONTH(C4215),"January","February","March","April","May","June","July","August","September","October","November","December")&amp;" "&amp;DAY(C4215)&amp;MID("thstndrdth",MIN(9,2*RIGHT(DAY(C4215))*(MOD(DAY(C4215)-11,100)&gt;2)+1),2)&amp;","&amp;TEXT(C4215," yyyy"))</f>
        <v>January 2nd,2026</v>
      </c>
      <c r="AB4215" s="15" t="str">
        <f aca="true">IF(S4215="","",DATEDIF(S4215,TODAY(),"Y")&amp;" Tahun, "&amp;DATEDIF(S4215,TODAY(),"YM")&amp;" Bulan, "&amp;DATEDIF(S4215,TODAY(),"MD")&amp;" Hari")</f>
        <v>22 Tahun, 7 Bulan, 4 Hari</v>
      </c>
      <c r="AC4215" s="18" t="n">
        <v>46024</v>
      </c>
      <c r="AD4215" s="18" t="n">
        <f aca="false">EDATE(AC4215,3)-1</f>
        <v>46113</v>
      </c>
      <c r="AE4215" s="18" t="s">
        <v>44</v>
      </c>
    </row>
    <row r="4216" customFormat="false" ht="15" hidden="false" customHeight="true" outlineLevel="0" collapsed="false">
      <c r="A4216" s="12" t="n">
        <v>22713</v>
      </c>
      <c r="B4216" s="13" t="s">
        <v>17276</v>
      </c>
      <c r="C4216" s="14" t="n">
        <v>46251</v>
      </c>
      <c r="D4216" s="13" t="s">
        <v>1721</v>
      </c>
      <c r="E4216" s="13" t="s">
        <v>47</v>
      </c>
      <c r="F4216" s="24" t="s">
        <v>17277</v>
      </c>
      <c r="G4216" s="13" t="s">
        <v>1452</v>
      </c>
      <c r="H4216" s="13" t="s">
        <v>35</v>
      </c>
      <c r="I4216" s="13" t="str">
        <f aca="false">IF(C4216=J4216,"NEW KONTRAK","RE-KONTRAK")</f>
        <v>NEW KONTRAK</v>
      </c>
      <c r="J4216" s="16" t="n">
        <f aca="false" t="array" ref="J4216:J4216">IFERROR(INDEX(AC4216:AE4216,IF(COUNTA(AC4216:AE4216)=0,"",MAX((AC4216:AE4216&lt;&gt;"")*(COLUMN(AC4216:AE4216)-(COLUMN(AC4216)))))-1),"")</f>
        <v>46251</v>
      </c>
      <c r="K4216" s="16" t="n">
        <f aca="false" t="array" ref="K4216:K4216">IFERROR(INDEX(AC4216:AE4216,IF(COUNTA(AC4216:AE4216)=0,"",MAX((AC4216:AE4216&lt;&gt;"")*(COLUMN(AC4216:AE4216)-(COLUMN(AC4216)-1))))-1),"")</f>
        <v>46342</v>
      </c>
      <c r="L4216" s="17" t="str">
        <f aca="false" t="array" ref="L4216:L4216">IFERROR(INDEX(AC4216:AE4216,IF(COUNTA(AC4216:AE4216)=0,"",MAX((AC4216:AE4216&lt;&gt;"")*(COLUMN(AC4216:AE4216)-(COLUMN(AC4216)-2))))-1),"")</f>
        <v>KEMBALI</v>
      </c>
      <c r="M4216" s="13" t="n">
        <f aca="true">K4216-TODAY()</f>
        <v>18</v>
      </c>
      <c r="N4216" s="18" t="s">
        <v>728</v>
      </c>
      <c r="O4216" s="13" t="s">
        <v>1932</v>
      </c>
      <c r="P4216" s="26" t="n">
        <v>5444909</v>
      </c>
      <c r="Q4216" s="20" t="s">
        <v>17278</v>
      </c>
      <c r="R4216" s="13" t="s">
        <v>39</v>
      </c>
      <c r="S4216" s="25" t="n">
        <v>36949</v>
      </c>
      <c r="T4216" s="13" t="s">
        <v>108</v>
      </c>
      <c r="U4216" s="13" t="s">
        <v>17279</v>
      </c>
      <c r="V4216" s="13" t="s">
        <v>42</v>
      </c>
      <c r="W4216" s="13" t="s">
        <v>54</v>
      </c>
      <c r="X4216" s="21" t="n">
        <v>81529806550</v>
      </c>
      <c r="Y4216" s="22" t="str">
        <f aca="false">O4216</f>
        <v>Blow Moulding</v>
      </c>
      <c r="Z4216" s="13" t="str">
        <f aca="false">IFERROR(__xludf.dummyfunction("if(BJ4216="""","""",GOOGLETRANSLATE(BJ4216,""auto"",""en""))"),"Blow Moulding")</f>
        <v>Blow Moulding</v>
      </c>
      <c r="AA4216" s="23" t="str">
        <f aca="false">IF(C4216="","", CHOOSE(MONTH(C4216),"January","February","March","April","May","June","July","August","September","October","November","December")&amp;" "&amp;DAY(C4216)&amp;MID("thstndrdth",MIN(9,2*RIGHT(DAY(C4216))*(MOD(DAY(C4216)-11,100)&gt;2)+1),2)&amp;","&amp;TEXT(C4216," yyyy"))</f>
        <v>August 17th,2026</v>
      </c>
      <c r="AB4216" s="15" t="str">
        <f aca="true">IF(S4216="","",DATEDIF(S4216,TODAY(),"Y")&amp;" Tahun, "&amp;DATEDIF(S4216,TODAY(),"YM")&amp;" Bulan, "&amp;DATEDIF(S4216,TODAY(),"MD")&amp;" Hari")</f>
        <v>25 Tahun, 8 Bulan, 2 Hari</v>
      </c>
      <c r="AC4216" s="14" t="n">
        <v>46251</v>
      </c>
      <c r="AD4216" s="18" t="n">
        <f aca="false">EDATE(AC4216,3)-1</f>
        <v>46342</v>
      </c>
      <c r="AE4216" s="13" t="s">
        <v>397</v>
      </c>
    </row>
    <row r="4217" customFormat="false" ht="15" hidden="false" customHeight="true" outlineLevel="0" collapsed="false">
      <c r="A4217" s="12" t="n">
        <v>2255</v>
      </c>
      <c r="B4217" s="13" t="s">
        <v>17280</v>
      </c>
      <c r="C4217" s="14" t="n">
        <v>44505</v>
      </c>
      <c r="D4217" s="13" t="s">
        <v>1721</v>
      </c>
      <c r="E4217" s="15" t="s">
        <v>47</v>
      </c>
      <c r="F4217" s="15" t="str">
        <f aca="false">IFERROR(__xludf.dummyfunction("XLOOKUP(AJ4217,IMPORTRANGE(""1XaInW9DU9nz21V0tYIfzFQ0He9kVQ_JF2mCXgZ3hqFA"",""REKAP ALL 2026 - Andika!G:G""),IMPORTRANGE(""1XaInW9DU9nz21V0tYIfzFQ0He9kVQ_JF2mCXgZ3hqFA"",""REKAP ALL 2026 - Andika!F:F""),"""",0)"),"22015020294")</f>
        <v>22015020294</v>
      </c>
      <c r="G4217" s="13" t="s">
        <v>17281</v>
      </c>
      <c r="H4217" s="13" t="s">
        <v>35</v>
      </c>
      <c r="I4217" s="13" t="str">
        <f aca="false">IF(C4217=J4217,"NEW KONTRAK","RE-KONTRAK")</f>
        <v>RE-KONTRAK</v>
      </c>
      <c r="J4217" s="16" t="n">
        <f aca="false" t="array" ref="J4217:J4217">IFERROR(INDEX(AC4217:AE4217,IF(COUNTA(AC4217:AE4217)=0,"",MAX((AC4217:AE4217&lt;&gt;"")*(COLUMN(AC4217:AE4217)-(COLUMN(AC4217)))))-1),"")</f>
        <v>45659</v>
      </c>
      <c r="K4217" s="16" t="n">
        <f aca="false" t="array" ref="K4217:K4217">IFERROR(INDEX(AC4217:AE4217,IF(COUNTA(AC4217:AE4217)=0,"",MAX((AC4217:AE4217&lt;&gt;"")*(COLUMN(AC4217:AE4217)-(COLUMN(AC4217)-1))))-1),"")</f>
        <v>46015</v>
      </c>
      <c r="L4217" s="17" t="str">
        <f aca="false" t="array" ref="L4217:L4217">IFERROR(INDEX(AC4217:AE4217,IF(COUNTA(AC4217:AE4217)=0,"",MAX((AC4217:AE4217&lt;&gt;"")*(COLUMN(AC4217:AE4217)-(COLUMN(AC4217)-2))))-1),"")</f>
        <v>ARCHIVED</v>
      </c>
      <c r="M4217" s="13" t="n">
        <f aca="true">K4217-TODAY()</f>
        <v>-309</v>
      </c>
      <c r="N4217" s="18" t="s">
        <v>728</v>
      </c>
      <c r="O4217" s="13" t="s">
        <v>17282</v>
      </c>
      <c r="P4217" s="19" t="n">
        <v>5444909</v>
      </c>
      <c r="Q4217" s="20" t="s">
        <v>17283</v>
      </c>
      <c r="R4217" s="13" t="s">
        <v>246</v>
      </c>
      <c r="S4217" s="14" t="n">
        <v>34476</v>
      </c>
      <c r="T4217" s="13" t="s">
        <v>108</v>
      </c>
      <c r="U4217" s="13" t="s">
        <v>17284</v>
      </c>
      <c r="V4217" s="13" t="s">
        <v>42</v>
      </c>
      <c r="W4217" s="13" t="s">
        <v>54</v>
      </c>
      <c r="X4217" s="21" t="n">
        <v>85730835744</v>
      </c>
      <c r="Y4217" s="22" t="str">
        <f aca="false">O4217</f>
        <v>Qa Inspector Ad1</v>
      </c>
      <c r="Z4217" s="13" t="str">
        <f aca="false">IFERROR(__xludf.dummyfunction("if(BJ4217="""","""",GOOGLETRANSLATE(BJ4217,""auto"",""en""))"),"Qa Inspector Ad1")</f>
        <v>Qa Inspector Ad1</v>
      </c>
      <c r="AA4217" s="23" t="str">
        <f aca="false">IF(C4217="","", CHOOSE(MONTH(C4217),"January","February","March","April","May","June","July","August","September","October","November","December")&amp;" "&amp;DAY(C4217)&amp;MID("thstndrdth",MIN(9,2*RIGHT(DAY(C4217))*(MOD(DAY(C4217)-11,100)&gt;2)+1),2)&amp;","&amp;TEXT(C4217," yyyy"))</f>
        <v>November 5th,2021</v>
      </c>
      <c r="AB4217" s="15" t="str">
        <f aca="true">IF(S4217="","",DATEDIF(S4217,TODAY(),"Y")&amp;" Tahun, "&amp;DATEDIF(S4217,TODAY(),"YM")&amp;" Bulan, "&amp;DATEDIF(S4217,TODAY(),"MD")&amp;" Hari")</f>
        <v>32 Tahun, 5 Bulan, 7 Hari</v>
      </c>
      <c r="AC4217" s="18" t="n">
        <v>45659</v>
      </c>
      <c r="AD4217" s="18" t="n">
        <v>46015</v>
      </c>
      <c r="AE4217" s="18" t="s">
        <v>44</v>
      </c>
    </row>
    <row r="4218" customFormat="false" ht="15" hidden="false" customHeight="true" outlineLevel="0" collapsed="false">
      <c r="A4218" s="12" t="n">
        <v>22685</v>
      </c>
      <c r="B4218" s="13" t="s">
        <v>17285</v>
      </c>
      <c r="C4218" s="14" t="n">
        <v>46251</v>
      </c>
      <c r="D4218" s="13" t="s">
        <v>1721</v>
      </c>
      <c r="E4218" s="13" t="s">
        <v>47</v>
      </c>
      <c r="F4218" s="24" t="s">
        <v>17286</v>
      </c>
      <c r="G4218" s="13" t="s">
        <v>1452</v>
      </c>
      <c r="H4218" s="13" t="s">
        <v>35</v>
      </c>
      <c r="I4218" s="13" t="str">
        <f aca="false">IF(C4218=J4218,"NEW KONTRAK","RE-KONTRAK")</f>
        <v>NEW KONTRAK</v>
      </c>
      <c r="J4218" s="16" t="n">
        <f aca="false" t="array" ref="J4218:J4218">IFERROR(INDEX(AC4218:AE4218,IF(COUNTA(AC4218:AE4218)=0,"",MAX((AC4218:AE4218&lt;&gt;"")*(COLUMN(AC4218:AE4218)-(COLUMN(AC4218)))))-1),"")</f>
        <v>46251</v>
      </c>
      <c r="K4218" s="16" t="n">
        <f aca="false" t="array" ref="K4218:K4218">IFERROR(INDEX(AC4218:AE4218,IF(COUNTA(AC4218:AE4218)=0,"",MAX((AC4218:AE4218&lt;&gt;"")*(COLUMN(AC4218:AE4218)-(COLUMN(AC4218)-1))))-1),"")</f>
        <v>46342</v>
      </c>
      <c r="L4218" s="17" t="str">
        <f aca="false" t="array" ref="L4218:L4218">IFERROR(INDEX(AC4218:AE4218,IF(COUNTA(AC4218:AE4218)=0,"",MAX((AC4218:AE4218&lt;&gt;"")*(COLUMN(AC4218:AE4218)-(COLUMN(AC4218)-2))))-1),"")</f>
        <v>ARCHIVED</v>
      </c>
      <c r="M4218" s="13" t="n">
        <f aca="true">K4218-TODAY()</f>
        <v>18</v>
      </c>
      <c r="N4218" s="18" t="s">
        <v>728</v>
      </c>
      <c r="O4218" s="13" t="s">
        <v>1803</v>
      </c>
      <c r="P4218" s="26" t="n">
        <v>5444909</v>
      </c>
      <c r="Q4218" s="20" t="s">
        <v>17287</v>
      </c>
      <c r="R4218" s="13" t="s">
        <v>735</v>
      </c>
      <c r="S4218" s="25" t="n">
        <v>34101</v>
      </c>
      <c r="T4218" s="13" t="s">
        <v>108</v>
      </c>
      <c r="U4218" s="13" t="s">
        <v>17288</v>
      </c>
      <c r="V4218" s="13" t="s">
        <v>42</v>
      </c>
      <c r="W4218" s="13" t="s">
        <v>43</v>
      </c>
      <c r="X4218" s="21" t="n">
        <v>82235045271</v>
      </c>
      <c r="Y4218" s="22" t="str">
        <f aca="false">O4218</f>
        <v>Injectition Moulding</v>
      </c>
      <c r="Z4218" s="13" t="str">
        <f aca="false">IFERROR(__xludf.dummyfunction("if(BJ4218="""","""",GOOGLETRANSLATE(BJ4218,""auto"",""en""))"),"Injectition Moulding")</f>
        <v>Injectition Moulding</v>
      </c>
      <c r="AA4218" s="23" t="str">
        <f aca="false">IF(C4218="","", CHOOSE(MONTH(C4218),"January","February","March","April","May","June","July","August","September","October","November","December")&amp;" "&amp;DAY(C4218)&amp;MID("thstndrdth",MIN(9,2*RIGHT(DAY(C4218))*(MOD(DAY(C4218)-11,100)&gt;2)+1),2)&amp;","&amp;TEXT(C4218," yyyy"))</f>
        <v>August 17th,2026</v>
      </c>
      <c r="AB4218" s="15" t="str">
        <f aca="true">IF(S4218="","",DATEDIF(S4218,TODAY(),"Y")&amp;" Tahun, "&amp;DATEDIF(S4218,TODAY(),"YM")&amp;" Bulan, "&amp;DATEDIF(S4218,TODAY(),"MD")&amp;" Hari")</f>
        <v>33 Tahun, 5 Bulan, 17 Hari</v>
      </c>
      <c r="AC4218" s="14" t="n">
        <v>46251</v>
      </c>
      <c r="AD4218" s="18" t="n">
        <f aca="false">EDATE(AC4218,3)-1</f>
        <v>46342</v>
      </c>
      <c r="AE4218" s="45" t="s">
        <v>44</v>
      </c>
    </row>
    <row r="4219" customFormat="false" ht="15" hidden="false" customHeight="true" outlineLevel="0" collapsed="false">
      <c r="A4219" s="12" t="n">
        <v>22849</v>
      </c>
      <c r="B4219" s="13" t="s">
        <v>17289</v>
      </c>
      <c r="C4219" s="14" t="n">
        <v>46279</v>
      </c>
      <c r="D4219" s="13" t="s">
        <v>1721</v>
      </c>
      <c r="E4219" s="13" t="s">
        <v>47</v>
      </c>
      <c r="F4219" s="24" t="s">
        <v>17290</v>
      </c>
      <c r="G4219" s="13" t="s">
        <v>1452</v>
      </c>
      <c r="H4219" s="13" t="s">
        <v>35</v>
      </c>
      <c r="I4219" s="13" t="str">
        <f aca="false">IF(C4219=J4219,"NEW KONTRAK","RE-KONTRAK")</f>
        <v>NEW KONTRAK</v>
      </c>
      <c r="J4219" s="16" t="n">
        <f aca="false" t="array" ref="J4219:J4219">IFERROR(INDEX(AC4219:AE4219,IF(COUNTA(AC4219:AE4219)=0,"",MAX((AC4219:AE4219&lt;&gt;"")*(COLUMN(AC4219:AE4219)-(COLUMN(AC4219)))))-1),"")</f>
        <v>46279</v>
      </c>
      <c r="K4219" s="16" t="n">
        <f aca="false" t="array" ref="K4219:K4219">IFERROR(INDEX(AC4219:AE4219,IF(COUNTA(AC4219:AE4219)=0,"",MAX((AC4219:AE4219&lt;&gt;"")*(COLUMN(AC4219:AE4219)-(COLUMN(AC4219)-1))))-1),"")</f>
        <v>46386</v>
      </c>
      <c r="L4219" s="17" t="str">
        <f aca="false" t="array" ref="L4219:L4219">IFERROR(INDEX(AC4219:AE4219,IF(COUNTA(AC4219:AE4219)=0,"",MAX((AC4219:AE4219&lt;&gt;"")*(COLUMN(AC4219:AE4219)-(COLUMN(AC4219)-2))))-1),"")</f>
        <v>ARCHIVED</v>
      </c>
      <c r="M4219" s="13" t="n">
        <f aca="true">K4219-TODAY()</f>
        <v>62</v>
      </c>
      <c r="N4219" s="18" t="s">
        <v>728</v>
      </c>
      <c r="O4219" s="13" t="s">
        <v>1755</v>
      </c>
      <c r="P4219" s="26" t="n">
        <v>5444909</v>
      </c>
      <c r="Q4219" s="20" t="s">
        <v>17291</v>
      </c>
      <c r="R4219" s="48" t="s">
        <v>148</v>
      </c>
      <c r="S4219" s="25" t="n">
        <v>38447</v>
      </c>
      <c r="T4219" s="13" t="s">
        <v>108</v>
      </c>
      <c r="U4219" s="13" t="s">
        <v>17292</v>
      </c>
      <c r="V4219" s="13" t="s">
        <v>42</v>
      </c>
      <c r="W4219" s="28" t="s">
        <v>43</v>
      </c>
      <c r="X4219" s="21" t="n">
        <v>81325945345</v>
      </c>
      <c r="Y4219" s="22" t="str">
        <f aca="false">O4219</f>
        <v>Im.Operator</v>
      </c>
      <c r="Z4219" s="13" t="str">
        <f aca="false">IFERROR(__xludf.dummyfunction("if(BJ4219="""","""",GOOGLETRANSLATE(BJ4219,""auto"",""en""))"),"Im.Operator")</f>
        <v>Im.Operator</v>
      </c>
      <c r="AA4219" s="23" t="str">
        <f aca="false">IF(C4219="","", CHOOSE(MONTH(C4219),"January","February","March","April","May","June","July","August","September","October","November","December")&amp;" "&amp;DAY(C4219)&amp;MID("thstndrdth",MIN(9,2*RIGHT(DAY(C4219))*(MOD(DAY(C4219)-11,100)&gt;2)+1),2)&amp;","&amp;TEXT(C4219," yyyy"))</f>
        <v>September 14th,2026</v>
      </c>
      <c r="AB4219" s="15" t="str">
        <f aca="true">IF(S4219="","",DATEDIF(S4219,TODAY(),"Y")&amp;" Tahun, "&amp;DATEDIF(S4219,TODAY(),"YM")&amp;" Bulan, "&amp;DATEDIF(S4219,TODAY(),"MD")&amp;" Hari")</f>
        <v>21 Tahun, 6 Bulan, 24 Hari</v>
      </c>
      <c r="AC4219" s="14" t="n">
        <v>46279</v>
      </c>
      <c r="AD4219" s="18" t="n">
        <v>46386</v>
      </c>
      <c r="AE4219" s="13" t="s">
        <v>44</v>
      </c>
    </row>
    <row r="4220" customFormat="false" ht="15" hidden="false" customHeight="true" outlineLevel="0" collapsed="false">
      <c r="A4220" s="12" t="n">
        <v>22846</v>
      </c>
      <c r="B4220" s="13" t="s">
        <v>17293</v>
      </c>
      <c r="C4220" s="14" t="n">
        <v>46279</v>
      </c>
      <c r="D4220" s="13" t="s">
        <v>1721</v>
      </c>
      <c r="E4220" s="13" t="s">
        <v>47</v>
      </c>
      <c r="F4220" s="24" t="s">
        <v>17294</v>
      </c>
      <c r="G4220" s="13" t="s">
        <v>1452</v>
      </c>
      <c r="H4220" s="13" t="s">
        <v>35</v>
      </c>
      <c r="I4220" s="13" t="str">
        <f aca="false">IF(C4220=J4220,"NEW KONTRAK","RE-KONTRAK")</f>
        <v>NEW KONTRAK</v>
      </c>
      <c r="J4220" s="16" t="n">
        <f aca="false" t="array" ref="J4220:J4220">IFERROR(INDEX(AC4220:AE4220,IF(COUNTA(AC4220:AE4220)=0,"",MAX((AC4220:AE4220&lt;&gt;"")*(COLUMN(AC4220:AE4220)-(COLUMN(AC4220)))))-1),"")</f>
        <v>46279</v>
      </c>
      <c r="K4220" s="16" t="n">
        <f aca="false" t="array" ref="K4220:K4220">IFERROR(INDEX(AC4220:AE4220,IF(COUNTA(AC4220:AE4220)=0,"",MAX((AC4220:AE4220&lt;&gt;"")*(COLUMN(AC4220:AE4220)-(COLUMN(AC4220)-1))))-1),"")</f>
        <v>46386</v>
      </c>
      <c r="L4220" s="17" t="str">
        <f aca="false" t="array" ref="L4220:L4220">IFERROR(INDEX(AC4220:AE4220,IF(COUNTA(AC4220:AE4220)=0,"",MAX((AC4220:AE4220&lt;&gt;"")*(COLUMN(AC4220:AE4220)-(COLUMN(AC4220)-2))))-1),"")</f>
        <v>ARCHIVED</v>
      </c>
      <c r="M4220" s="13" t="n">
        <f aca="true">K4220-TODAY()</f>
        <v>62</v>
      </c>
      <c r="N4220" s="18" t="s">
        <v>728</v>
      </c>
      <c r="O4220" s="13" t="s">
        <v>1755</v>
      </c>
      <c r="P4220" s="26" t="n">
        <v>5444909</v>
      </c>
      <c r="Q4220" s="20" t="s">
        <v>17295</v>
      </c>
      <c r="R4220" s="48" t="s">
        <v>39</v>
      </c>
      <c r="S4220" s="25" t="n">
        <v>38432</v>
      </c>
      <c r="T4220" s="13" t="s">
        <v>108</v>
      </c>
      <c r="U4220" s="13" t="s">
        <v>17296</v>
      </c>
      <c r="V4220" s="13" t="s">
        <v>42</v>
      </c>
      <c r="W4220" s="28" t="s">
        <v>43</v>
      </c>
      <c r="X4220" s="21" t="n">
        <v>85648744967</v>
      </c>
      <c r="Y4220" s="22" t="str">
        <f aca="false">O4220</f>
        <v>Im.Operator</v>
      </c>
      <c r="Z4220" s="13" t="str">
        <f aca="false">IFERROR(__xludf.dummyfunction("if(BJ4220="""","""",GOOGLETRANSLATE(BJ4220,""auto"",""en""))"),"Im.Operator")</f>
        <v>Im.Operator</v>
      </c>
      <c r="AA4220" s="23" t="str">
        <f aca="false">IF(C4220="","", CHOOSE(MONTH(C4220),"January","February","March","April","May","June","July","August","September","October","November","December")&amp;" "&amp;DAY(C4220)&amp;MID("thstndrdth",MIN(9,2*RIGHT(DAY(C4220))*(MOD(DAY(C4220)-11,100)&gt;2)+1),2)&amp;","&amp;TEXT(C4220," yyyy"))</f>
        <v>September 14th,2026</v>
      </c>
      <c r="AB4220" s="15" t="str">
        <f aca="true">IF(S4220="","",DATEDIF(S4220,TODAY(),"Y")&amp;" Tahun, "&amp;DATEDIF(S4220,TODAY(),"YM")&amp;" Bulan, "&amp;DATEDIF(S4220,TODAY(),"MD")&amp;" Hari")</f>
        <v>21 Tahun, 7 Bulan, 8 Hari</v>
      </c>
      <c r="AC4220" s="14" t="n">
        <v>46279</v>
      </c>
      <c r="AD4220" s="18" t="n">
        <v>46386</v>
      </c>
      <c r="AE4220" s="13" t="s">
        <v>44</v>
      </c>
    </row>
    <row r="4221" customFormat="false" ht="15" hidden="false" customHeight="true" outlineLevel="0" collapsed="false">
      <c r="A4221" s="12" t="n">
        <v>22999</v>
      </c>
      <c r="B4221" s="13" t="s">
        <v>17297</v>
      </c>
      <c r="C4221" s="14" t="n">
        <v>46307</v>
      </c>
      <c r="D4221" s="13" t="s">
        <v>1721</v>
      </c>
      <c r="E4221" s="13" t="s">
        <v>47</v>
      </c>
      <c r="F4221" s="24" t="s">
        <v>17298</v>
      </c>
      <c r="G4221" s="13" t="s">
        <v>1127</v>
      </c>
      <c r="H4221" s="13" t="s">
        <v>35</v>
      </c>
      <c r="I4221" s="13" t="str">
        <f aca="false">IF(C4221=J4221,"NEW KONTRAK","RE-KONTRAK")</f>
        <v>NEW KONTRAK</v>
      </c>
      <c r="J4221" s="16" t="n">
        <f aca="false" t="array" ref="J4221:J4221">IFERROR(INDEX(AC4221:AE4221,IF(COUNTA(AC4221:AE4221)=0,"",MAX((AC4221:AE4221&lt;&gt;"")*(COLUMN(AC4221:AE4221)-(COLUMN(AC4221)))))-1),"")</f>
        <v>46307</v>
      </c>
      <c r="K4221" s="16" t="n">
        <f aca="false" t="array" ref="K4221:K4221">IFERROR(INDEX(AC4221:AE4221,IF(COUNTA(AC4221:AE4221)=0,"",MAX((AC4221:AE4221&lt;&gt;"")*(COLUMN(AC4221:AE4221)-(COLUMN(AC4221)-1))))-1),"")</f>
        <v>46386</v>
      </c>
      <c r="L4221" s="17" t="str">
        <f aca="false" t="array" ref="L4221:L4221">IFERROR(INDEX(AC4221:AE4221,IF(COUNTA(AC4221:AE4221)=0,"",MAX((AC4221:AE4221&lt;&gt;"")*(COLUMN(AC4221:AE4221)-(COLUMN(AC4221)-2))))-1),"")</f>
        <v>PRINTED</v>
      </c>
      <c r="M4221" s="13" t="n">
        <f aca="true">K4221-TODAY()</f>
        <v>62</v>
      </c>
      <c r="N4221" s="18" t="s">
        <v>728</v>
      </c>
      <c r="O4221" s="13" t="s">
        <v>1822</v>
      </c>
      <c r="P4221" s="26" t="n">
        <v>5444909</v>
      </c>
      <c r="Q4221" s="20" t="s">
        <v>17299</v>
      </c>
      <c r="R4221" s="13" t="s">
        <v>2001</v>
      </c>
      <c r="S4221" s="25" t="n">
        <v>36027</v>
      </c>
      <c r="T4221" s="13" t="s">
        <v>108</v>
      </c>
      <c r="U4221" s="13" t="s">
        <v>17300</v>
      </c>
      <c r="V4221" s="13" t="s">
        <v>42</v>
      </c>
      <c r="W4221" s="13" t="s">
        <v>54</v>
      </c>
      <c r="X4221" s="21" t="n">
        <v>89528167900</v>
      </c>
      <c r="Y4221" s="22" t="str">
        <f aca="false">O4221</f>
        <v>Assembling</v>
      </c>
      <c r="Z4221" s="13" t="str">
        <f aca="false">IFERROR(__xludf.dummyfunction("if(BJ4221="""","""",GOOGLETRANSLATE(BJ4221,""auto"",""en""))"),"Assembling")</f>
        <v>Assembling</v>
      </c>
      <c r="AA4221" s="23" t="str">
        <f aca="false">IF(C4221="","", CHOOSE(MONTH(C4221),"January","February","March","April","May","June","July","August","September","October","November","December")&amp;" "&amp;DAY(C4221)&amp;MID("thstndrdth",MIN(9,2*RIGHT(DAY(C4221))*(MOD(DAY(C4221)-11,100)&gt;2)+1),2)&amp;","&amp;TEXT(C4221," yyyy"))</f>
        <v>October 12th,2026</v>
      </c>
      <c r="AB4221" s="15" t="str">
        <f aca="true">IF(S4221="","",DATEDIF(S4221,TODAY(),"Y")&amp;" Tahun, "&amp;DATEDIF(S4221,TODAY(),"YM")&amp;" Bulan, "&amp;DATEDIF(S4221,TODAY(),"MD")&amp;" Hari")</f>
        <v>28 Tahun, 2 Bulan, 9 Hari</v>
      </c>
      <c r="AC4221" s="14" t="n">
        <v>46307</v>
      </c>
      <c r="AD4221" s="18" t="n">
        <v>46386</v>
      </c>
      <c r="AE4221" s="13" t="s">
        <v>1752</v>
      </c>
    </row>
    <row r="4222" customFormat="false" ht="15" hidden="false" customHeight="true" outlineLevel="0" collapsed="false">
      <c r="A4222" s="12" t="n">
        <v>22689</v>
      </c>
      <c r="B4222" s="13" t="s">
        <v>17301</v>
      </c>
      <c r="C4222" s="14" t="n">
        <v>46251</v>
      </c>
      <c r="D4222" s="13" t="s">
        <v>1721</v>
      </c>
      <c r="E4222" s="13" t="s">
        <v>47</v>
      </c>
      <c r="F4222" s="24" t="s">
        <v>17302</v>
      </c>
      <c r="G4222" s="13" t="s">
        <v>1452</v>
      </c>
      <c r="H4222" s="13" t="s">
        <v>35</v>
      </c>
      <c r="I4222" s="13" t="str">
        <f aca="false">IF(C4222=J4222,"NEW KONTRAK","RE-KONTRAK")</f>
        <v>NEW KONTRAK</v>
      </c>
      <c r="J4222" s="16" t="n">
        <f aca="false" t="array" ref="J4222:J4222">IFERROR(INDEX(AC4222:AE4222,IF(COUNTA(AC4222:AE4222)=0,"",MAX((AC4222:AE4222&lt;&gt;"")*(COLUMN(AC4222:AE4222)-(COLUMN(AC4222)))))-1),"")</f>
        <v>46251</v>
      </c>
      <c r="K4222" s="16" t="n">
        <f aca="false" t="array" ref="K4222:K4222">IFERROR(INDEX(AC4222:AE4222,IF(COUNTA(AC4222:AE4222)=0,"",MAX((AC4222:AE4222&lt;&gt;"")*(COLUMN(AC4222:AE4222)-(COLUMN(AC4222)-1))))-1),"")</f>
        <v>46342</v>
      </c>
      <c r="L4222" s="17" t="str">
        <f aca="false" t="array" ref="L4222:L4222">IFERROR(INDEX(AC4222:AE4222,IF(COUNTA(AC4222:AE4222)=0,"",MAX((AC4222:AE4222&lt;&gt;"")*(COLUMN(AC4222:AE4222)-(COLUMN(AC4222)-2))))-1),"")</f>
        <v>KEMBALI</v>
      </c>
      <c r="M4222" s="13" t="n">
        <f aca="true">K4222-TODAY()</f>
        <v>18</v>
      </c>
      <c r="N4222" s="18" t="s">
        <v>728</v>
      </c>
      <c r="O4222" s="13" t="s">
        <v>1803</v>
      </c>
      <c r="P4222" s="26" t="n">
        <v>5444909</v>
      </c>
      <c r="Q4222" s="20" t="s">
        <v>17303</v>
      </c>
      <c r="R4222" s="13" t="s">
        <v>255</v>
      </c>
      <c r="S4222" s="25" t="n">
        <v>30632</v>
      </c>
      <c r="T4222" s="13" t="s">
        <v>108</v>
      </c>
      <c r="U4222" s="13" t="s">
        <v>17304</v>
      </c>
      <c r="V4222" s="13" t="s">
        <v>42</v>
      </c>
      <c r="W4222" s="13" t="s">
        <v>54</v>
      </c>
      <c r="X4222" s="21" t="n">
        <v>8819770669</v>
      </c>
      <c r="Y4222" s="22" t="str">
        <f aca="false">O4222</f>
        <v>Injectition Moulding</v>
      </c>
      <c r="Z4222" s="13" t="str">
        <f aca="false">IFERROR(__xludf.dummyfunction("if(BJ4222="""","""",GOOGLETRANSLATE(BJ4222,""auto"",""en""))"),"Injectition Moulding")</f>
        <v>Injectition Moulding</v>
      </c>
      <c r="AA4222" s="23" t="str">
        <f aca="false">IF(C4222="","", CHOOSE(MONTH(C4222),"January","February","March","April","May","June","July","August","September","October","November","December")&amp;" "&amp;DAY(C4222)&amp;MID("thstndrdth",MIN(9,2*RIGHT(DAY(C4222))*(MOD(DAY(C4222)-11,100)&gt;2)+1),2)&amp;","&amp;TEXT(C4222," yyyy"))</f>
        <v>August 17th,2026</v>
      </c>
      <c r="AB4222" s="15" t="str">
        <f aca="true">IF(S4222="","",DATEDIF(S4222,TODAY(),"Y")&amp;" Tahun, "&amp;DATEDIF(S4222,TODAY(),"YM")&amp;" Bulan, "&amp;DATEDIF(S4222,TODAY(),"MD")&amp;" Hari")</f>
        <v>42 Tahun, 11 Bulan, 17 Hari</v>
      </c>
      <c r="AC4222" s="14" t="n">
        <v>46251</v>
      </c>
      <c r="AD4222" s="18" t="n">
        <f aca="false">EDATE(AC4222,3)-1</f>
        <v>46342</v>
      </c>
      <c r="AE4222" s="13" t="s">
        <v>397</v>
      </c>
    </row>
    <row r="4223" customFormat="false" ht="15" hidden="false" customHeight="true" outlineLevel="0" collapsed="false">
      <c r="A4223" s="12" t="n">
        <v>2258</v>
      </c>
      <c r="B4223" s="13" t="s">
        <v>17305</v>
      </c>
      <c r="C4223" s="14" t="n">
        <v>44505</v>
      </c>
      <c r="D4223" s="13" t="s">
        <v>1721</v>
      </c>
      <c r="E4223" s="15" t="s">
        <v>47</v>
      </c>
      <c r="F4223" s="15" t="str">
        <f aca="false">IFERROR(__xludf.dummyfunction("XLOOKUP(AJ4223,IMPORTRANGE(""1XaInW9DU9nz21V0tYIfzFQ0He9kVQ_JF2mCXgZ3hqFA"",""REKAP ALL 2026 - Andika!G:G""),IMPORTRANGE(""1XaInW9DU9nz21V0tYIfzFQ0He9kVQ_JF2mCXgZ3hqFA"",""REKAP ALL 2026 - Andika!F:F""),"""",0)"),"11028943295")</f>
        <v>11028943295</v>
      </c>
      <c r="G4223" s="13" t="s">
        <v>17306</v>
      </c>
      <c r="H4223" s="13" t="s">
        <v>35</v>
      </c>
      <c r="I4223" s="13" t="str">
        <f aca="false">IF(C4223=J4223,"NEW KONTRAK","RE-KONTRAK")</f>
        <v>RE-KONTRAK</v>
      </c>
      <c r="J4223" s="16" t="n">
        <f aca="false" t="array" ref="J4223:J4223">IFERROR(INDEX(AC4223:AE4223,IF(COUNTA(AC4223:AE4223)=0,"",MAX((AC4223:AE4223&lt;&gt;"")*(COLUMN(AC4223:AE4223)-(COLUMN(AC4223)))))-1),"")</f>
        <v>45659</v>
      </c>
      <c r="K4223" s="16" t="n">
        <f aca="false" t="array" ref="K4223:K4223">IFERROR(INDEX(AC4223:AE4223,IF(COUNTA(AC4223:AE4223)=0,"",MAX((AC4223:AE4223&lt;&gt;"")*(COLUMN(AC4223:AE4223)-(COLUMN(AC4223)-1))))-1),"")</f>
        <v>46015</v>
      </c>
      <c r="L4223" s="17" t="str">
        <f aca="false" t="array" ref="L4223:L4223">IFERROR(INDEX(AC4223:AE4223,IF(COUNTA(AC4223:AE4223)=0,"",MAX((AC4223:AE4223&lt;&gt;"")*(COLUMN(AC4223:AE4223)-(COLUMN(AC4223)-2))))-1),"")</f>
        <v>ARCHIVED</v>
      </c>
      <c r="M4223" s="13" t="n">
        <f aca="true">K4223-TODAY()</f>
        <v>-309</v>
      </c>
      <c r="N4223" s="18" t="s">
        <v>728</v>
      </c>
      <c r="O4223" s="13" t="s">
        <v>1914</v>
      </c>
      <c r="P4223" s="19" t="n">
        <v>5444909</v>
      </c>
      <c r="Q4223" s="20" t="s">
        <v>17307</v>
      </c>
      <c r="R4223" s="13" t="s">
        <v>255</v>
      </c>
      <c r="S4223" s="14" t="n">
        <v>33983</v>
      </c>
      <c r="T4223" s="13" t="s">
        <v>108</v>
      </c>
      <c r="U4223" s="13" t="s">
        <v>17308</v>
      </c>
      <c r="V4223" s="13" t="s">
        <v>42</v>
      </c>
      <c r="W4223" s="13" t="s">
        <v>54</v>
      </c>
      <c r="X4223" s="21" t="n">
        <v>81334734217</v>
      </c>
      <c r="Y4223" s="22" t="str">
        <f aca="false">O4223</f>
        <v>Im Operator</v>
      </c>
      <c r="Z4223" s="13" t="str">
        <f aca="false">IFERROR(__xludf.dummyfunction("if(BJ4223="""","""",GOOGLETRANSLATE(BJ4223,""auto"",""en""))"),"Im Operator")</f>
        <v>Im Operator</v>
      </c>
      <c r="AA4223" s="23" t="str">
        <f aca="false">IF(C4223="","", CHOOSE(MONTH(C4223),"January","February","March","April","May","June","July","August","September","October","November","December")&amp;" "&amp;DAY(C4223)&amp;MID("thstndrdth",MIN(9,2*RIGHT(DAY(C4223))*(MOD(DAY(C4223)-11,100)&gt;2)+1),2)&amp;","&amp;TEXT(C4223," yyyy"))</f>
        <v>November 5th,2021</v>
      </c>
      <c r="AB4223" s="15" t="str">
        <f aca="true">IF(S4223="","",DATEDIF(S4223,TODAY(),"Y")&amp;" Tahun, "&amp;DATEDIF(S4223,TODAY(),"YM")&amp;" Bulan, "&amp;DATEDIF(S4223,TODAY(),"MD")&amp;" Hari")</f>
        <v>33 Tahun, 9 Bulan, 15 Hari</v>
      </c>
      <c r="AC4223" s="18" t="n">
        <v>45659</v>
      </c>
      <c r="AD4223" s="18" t="n">
        <v>46015</v>
      </c>
      <c r="AE4223" s="18" t="s">
        <v>44</v>
      </c>
    </row>
    <row r="4224" customFormat="false" ht="15" hidden="false" customHeight="true" outlineLevel="0" collapsed="false">
      <c r="A4224" s="12" t="n">
        <v>2259</v>
      </c>
      <c r="B4224" s="13" t="s">
        <v>2496</v>
      </c>
      <c r="C4224" s="14" t="n">
        <v>44505</v>
      </c>
      <c r="D4224" s="13" t="s">
        <v>1721</v>
      </c>
      <c r="E4224" s="15" t="s">
        <v>47</v>
      </c>
      <c r="F4224" s="15" t="str">
        <f aca="false">IFERROR(__xludf.dummyfunction("XLOOKUP(AJ4224,IMPORTRANGE(""1XaInW9DU9nz21V0tYIfzFQ0He9kVQ_JF2mCXgZ3hqFA"",""REKAP ALL 2026 - Andika!G:G""),IMPORTRANGE(""1XaInW9DU9nz21V0tYIfzFQ0He9kVQ_JF2mCXgZ3hqFA"",""REKAP ALL 2026 - Andika!F:F""),"""",0)"),"22015020310")</f>
        <v>22015020310</v>
      </c>
      <c r="G4224" s="13" t="s">
        <v>17309</v>
      </c>
      <c r="H4224" s="13" t="s">
        <v>35</v>
      </c>
      <c r="I4224" s="13" t="str">
        <f aca="false">IF(C4224=J4224,"NEW KONTRAK","RE-KONTRAK")</f>
        <v>RE-KONTRAK</v>
      </c>
      <c r="J4224" s="16" t="n">
        <f aca="false" t="array" ref="J4224:J4224">IFERROR(INDEX(AC4224:AE4224,IF(COUNTA(AC4224:AE4224)=0,"",MAX((AC4224:AE4224&lt;&gt;"")*(COLUMN(AC4224:AE4224)-(COLUMN(AC4224)))))-1),"")</f>
        <v>45659</v>
      </c>
      <c r="K4224" s="16" t="n">
        <f aca="false" t="array" ref="K4224:K4224">IFERROR(INDEX(AC4224:AE4224,IF(COUNTA(AC4224:AE4224)=0,"",MAX((AC4224:AE4224&lt;&gt;"")*(COLUMN(AC4224:AE4224)-(COLUMN(AC4224)-1))))-1),"")</f>
        <v>46015</v>
      </c>
      <c r="L4224" s="17" t="str">
        <f aca="false" t="array" ref="L4224:L4224">IFERROR(INDEX(AC4224:AE4224,IF(COUNTA(AC4224:AE4224)=0,"",MAX((AC4224:AE4224&lt;&gt;"")*(COLUMN(AC4224:AE4224)-(COLUMN(AC4224)-2))))-1),"")</f>
        <v>ARCHIVED</v>
      </c>
      <c r="M4224" s="13" t="n">
        <f aca="true">K4224-TODAY()</f>
        <v>-309</v>
      </c>
      <c r="N4224" s="18" t="s">
        <v>728</v>
      </c>
      <c r="O4224" s="13" t="s">
        <v>1765</v>
      </c>
      <c r="P4224" s="19" t="n">
        <v>5444909</v>
      </c>
      <c r="Q4224" s="20" t="s">
        <v>17310</v>
      </c>
      <c r="R4224" s="13" t="s">
        <v>52</v>
      </c>
      <c r="S4224" s="14" t="n">
        <v>30334</v>
      </c>
      <c r="T4224" s="13" t="s">
        <v>108</v>
      </c>
      <c r="U4224" s="13" t="s">
        <v>17311</v>
      </c>
      <c r="V4224" s="13" t="s">
        <v>42</v>
      </c>
      <c r="W4224" s="13" t="s">
        <v>54</v>
      </c>
      <c r="X4224" s="21" t="n">
        <v>85845961582</v>
      </c>
      <c r="Y4224" s="22" t="str">
        <f aca="false">O4224</f>
        <v>Assy Operator</v>
      </c>
      <c r="Z4224" s="13" t="str">
        <f aca="false">IFERROR(__xludf.dummyfunction("if(BJ4224="""","""",GOOGLETRANSLATE(BJ4224,""auto"",""en""))"),"Assy Operator")</f>
        <v>Assy Operator</v>
      </c>
      <c r="AA4224" s="23" t="str">
        <f aca="false">IF(C4224="","", CHOOSE(MONTH(C4224),"January","February","March","April","May","June","July","August","September","October","November","December")&amp;" "&amp;DAY(C4224)&amp;MID("thstndrdth",MIN(9,2*RIGHT(DAY(C4224))*(MOD(DAY(C4224)-11,100)&gt;2)+1),2)&amp;","&amp;TEXT(C4224," yyyy"))</f>
        <v>November 5th,2021</v>
      </c>
      <c r="AB4224" s="15" t="str">
        <f aca="true">IF(S4224="","",DATEDIF(S4224,TODAY(),"Y")&amp;" Tahun, "&amp;DATEDIF(S4224,TODAY(),"YM")&amp;" Bulan, "&amp;DATEDIF(S4224,TODAY(),"MD")&amp;" Hari")</f>
        <v>43 Tahun, 9 Bulan, 11 Hari</v>
      </c>
      <c r="AC4224" s="18" t="n">
        <v>45659</v>
      </c>
      <c r="AD4224" s="18" t="n">
        <v>46015</v>
      </c>
      <c r="AE4224" s="18" t="s">
        <v>44</v>
      </c>
    </row>
    <row r="4225" customFormat="false" ht="15" hidden="false" customHeight="true" outlineLevel="0" collapsed="false">
      <c r="A4225" s="12" t="n">
        <v>22699</v>
      </c>
      <c r="B4225" s="13" t="s">
        <v>17312</v>
      </c>
      <c r="C4225" s="14" t="n">
        <v>46251</v>
      </c>
      <c r="D4225" s="13" t="s">
        <v>1721</v>
      </c>
      <c r="E4225" s="13" t="s">
        <v>47</v>
      </c>
      <c r="F4225" s="24" t="s">
        <v>17313</v>
      </c>
      <c r="G4225" s="13" t="s">
        <v>1452</v>
      </c>
      <c r="H4225" s="13" t="s">
        <v>35</v>
      </c>
      <c r="I4225" s="13" t="str">
        <f aca="false">IF(C4225=J4225,"NEW KONTRAK","RE-KONTRAK")</f>
        <v>NEW KONTRAK</v>
      </c>
      <c r="J4225" s="16" t="n">
        <f aca="false" t="array" ref="J4225:J4225">IFERROR(INDEX(AC4225:AE4225,IF(COUNTA(AC4225:AE4225)=0,"",MAX((AC4225:AE4225&lt;&gt;"")*(COLUMN(AC4225:AE4225)-(COLUMN(AC4225)))))-1),"")</f>
        <v>46251</v>
      </c>
      <c r="K4225" s="16" t="n">
        <f aca="false" t="array" ref="K4225:K4225">IFERROR(INDEX(AC4225:AE4225,IF(COUNTA(AC4225:AE4225)=0,"",MAX((AC4225:AE4225&lt;&gt;"")*(COLUMN(AC4225:AE4225)-(COLUMN(AC4225)-1))))-1),"")</f>
        <v>46342</v>
      </c>
      <c r="L4225" s="17" t="str">
        <f aca="false" t="array" ref="L4225:L4225">IFERROR(INDEX(AC4225:AE4225,IF(COUNTA(AC4225:AE4225)=0,"",MAX((AC4225:AE4225&lt;&gt;"")*(COLUMN(AC4225:AE4225)-(COLUMN(AC4225)-2))))-1),"")</f>
        <v>KEMBALI</v>
      </c>
      <c r="M4225" s="13" t="n">
        <f aca="true">K4225-TODAY()</f>
        <v>18</v>
      </c>
      <c r="N4225" s="18" t="s">
        <v>728</v>
      </c>
      <c r="O4225" s="13" t="s">
        <v>1803</v>
      </c>
      <c r="P4225" s="26" t="n">
        <v>5444909</v>
      </c>
      <c r="Q4225" s="20" t="s">
        <v>17314</v>
      </c>
      <c r="R4225" s="13" t="s">
        <v>10100</v>
      </c>
      <c r="S4225" s="25" t="n">
        <v>32789</v>
      </c>
      <c r="T4225" s="13" t="s">
        <v>108</v>
      </c>
      <c r="U4225" s="13" t="s">
        <v>17315</v>
      </c>
      <c r="V4225" s="13" t="s">
        <v>42</v>
      </c>
      <c r="W4225" s="13" t="s">
        <v>54</v>
      </c>
      <c r="X4225" s="21" t="n">
        <v>81333247485</v>
      </c>
      <c r="Y4225" s="22" t="str">
        <f aca="false">O4225</f>
        <v>Injectition Moulding</v>
      </c>
      <c r="Z4225" s="13" t="str">
        <f aca="false">IFERROR(__xludf.dummyfunction("if(BJ4225="""","""",GOOGLETRANSLATE(BJ4225,""auto"",""en""))"),"Injectition Moulding")</f>
        <v>Injectition Moulding</v>
      </c>
      <c r="AA4225" s="23" t="str">
        <f aca="false">IF(C4225="","", CHOOSE(MONTH(C4225),"January","February","March","April","May","June","July","August","September","October","November","December")&amp;" "&amp;DAY(C4225)&amp;MID("thstndrdth",MIN(9,2*RIGHT(DAY(C4225))*(MOD(DAY(C4225)-11,100)&gt;2)+1),2)&amp;","&amp;TEXT(C4225," yyyy"))</f>
        <v>August 17th,2026</v>
      </c>
      <c r="AB4225" s="15" t="str">
        <f aca="true">IF(S4225="","",DATEDIF(S4225,TODAY(),"Y")&amp;" Tahun, "&amp;DATEDIF(S4225,TODAY(),"YM")&amp;" Bulan, "&amp;DATEDIF(S4225,TODAY(),"MD")&amp;" Hari")</f>
        <v>37 Tahun, 0 Bulan, 21 Hari</v>
      </c>
      <c r="AC4225" s="14" t="n">
        <v>46251</v>
      </c>
      <c r="AD4225" s="18" t="n">
        <f aca="false">EDATE(AC4225,3)-1</f>
        <v>46342</v>
      </c>
      <c r="AE4225" s="13" t="s">
        <v>397</v>
      </c>
    </row>
    <row r="4226" customFormat="false" ht="15" hidden="false" customHeight="true" outlineLevel="0" collapsed="false">
      <c r="A4226" s="12" t="n">
        <v>21667</v>
      </c>
      <c r="B4226" s="13" t="s">
        <v>17316</v>
      </c>
      <c r="C4226" s="16" t="n">
        <v>46024</v>
      </c>
      <c r="D4226" s="13" t="s">
        <v>1721</v>
      </c>
      <c r="E4226" s="15" t="s">
        <v>47</v>
      </c>
      <c r="F4226" s="15" t="str">
        <f aca="false">IFERROR(__xludf.dummyfunction("XLOOKUP(AJ4226,IMPORTRANGE(""1XaInW9DU9nz21V0tYIfzFQ0He9kVQ_JF2mCXgZ3hqFA"",""REKAP ALL 2026 - Andika!G:G""),IMPORTRANGE(""1XaInW9DU9nz21V0tYIfzFQ0He9kVQ_JF2mCXgZ3hqFA"",""REKAP ALL 2026 - Andika!F:F""),"""",0)"),"26020754607")</f>
        <v>26020754607</v>
      </c>
      <c r="G4226" s="28" t="s">
        <v>57</v>
      </c>
      <c r="H4226" s="13" t="s">
        <v>35</v>
      </c>
      <c r="I4226" s="13" t="str">
        <f aca="false">IF(C4226=J4226,"NEW KONTRAK","RE-KONTRAK")</f>
        <v>NEW KONTRAK</v>
      </c>
      <c r="J4226" s="16" t="n">
        <f aca="false" t="array" ref="J4226:J4226">IFERROR(INDEX(AC4226:AE4226,IF(COUNTA(AC4226:AE4226)=0,"",MAX((AC4226:AE4226&lt;&gt;"")*(COLUMN(AC4226:AE4226)-(COLUMN(AC4226)))))-1),"")</f>
        <v>46024</v>
      </c>
      <c r="K4226" s="16" t="n">
        <f aca="false" t="array" ref="K4226:K4226">IFERROR(INDEX(AC4226:AE4226,IF(COUNTA(AC4226:AE4226)=0,"",MAX((AC4226:AE4226&lt;&gt;"")*(COLUMN(AC4226:AE4226)-(COLUMN(AC4226)-1))))-1),"")</f>
        <v>46113</v>
      </c>
      <c r="L4226" s="17" t="str">
        <f aca="false" t="array" ref="L4226:L4226">IFERROR(INDEX(AC4226:AE4226,IF(COUNTA(AC4226:AE4226)=0,"",MAX((AC4226:AE4226&lt;&gt;"")*(COLUMN(AC4226:AE4226)-(COLUMN(AC4226)-2))))-1),"")</f>
        <v>ARCHIVED</v>
      </c>
      <c r="M4226" s="13" t="n">
        <f aca="true">K4226-TODAY()</f>
        <v>-211</v>
      </c>
      <c r="N4226" s="18" t="s">
        <v>728</v>
      </c>
      <c r="O4226" s="13" t="s">
        <v>1755</v>
      </c>
      <c r="P4226" s="19" t="n">
        <v>5444909</v>
      </c>
      <c r="Q4226" s="47" t="s">
        <v>17317</v>
      </c>
      <c r="R4226" s="13" t="s">
        <v>52</v>
      </c>
      <c r="S4226" s="16" t="n">
        <v>35634</v>
      </c>
      <c r="T4226" s="13" t="s">
        <v>108</v>
      </c>
      <c r="U4226" s="13" t="s">
        <v>17318</v>
      </c>
      <c r="V4226" s="13" t="s">
        <v>42</v>
      </c>
      <c r="W4226" s="13" t="s">
        <v>54</v>
      </c>
      <c r="X4226" s="21" t="s">
        <v>17319</v>
      </c>
      <c r="Y4226" s="22" t="str">
        <f aca="false">O4226</f>
        <v>Im.Operator</v>
      </c>
      <c r="Z4226" s="13" t="str">
        <f aca="false">IFERROR(__xludf.dummyfunction("if(BJ4226="""","""",GOOGLETRANSLATE(BJ4226,""auto"",""en""))"),"Im.Operator")</f>
        <v>Im.Operator</v>
      </c>
      <c r="AA4226" s="23" t="str">
        <f aca="false">IF(C4226="","", CHOOSE(MONTH(C4226),"January","February","March","April","May","June","July","August","September","October","November","December")&amp;" "&amp;DAY(C4226)&amp;MID("thstndrdth",MIN(9,2*RIGHT(DAY(C4226))*(MOD(DAY(C4226)-11,100)&gt;2)+1),2)&amp;","&amp;TEXT(C4226," yyyy"))</f>
        <v>January 2nd,2026</v>
      </c>
      <c r="AB4226" s="15" t="str">
        <f aca="true">IF(S4226="","",DATEDIF(S4226,TODAY(),"Y")&amp;" Tahun, "&amp;DATEDIF(S4226,TODAY(),"YM")&amp;" Bulan, "&amp;DATEDIF(S4226,TODAY(),"MD")&amp;" Hari")</f>
        <v>29 Tahun, 3 Bulan, 6 Hari</v>
      </c>
      <c r="AC4226" s="18" t="n">
        <v>46024</v>
      </c>
      <c r="AD4226" s="18" t="n">
        <f aca="false">EDATE(AC4226,3)-1</f>
        <v>46113</v>
      </c>
      <c r="AE4226" s="18" t="s">
        <v>44</v>
      </c>
    </row>
    <row r="4227" customFormat="false" ht="15" hidden="false" customHeight="true" outlineLevel="0" collapsed="false">
      <c r="A4227" s="12" t="n">
        <v>22860</v>
      </c>
      <c r="B4227" s="13" t="s">
        <v>17316</v>
      </c>
      <c r="C4227" s="14" t="n">
        <v>46279</v>
      </c>
      <c r="D4227" s="13" t="s">
        <v>1721</v>
      </c>
      <c r="E4227" s="13" t="s">
        <v>47</v>
      </c>
      <c r="F4227" s="24" t="s">
        <v>17320</v>
      </c>
      <c r="G4227" s="13" t="s">
        <v>1452</v>
      </c>
      <c r="H4227" s="13" t="s">
        <v>35</v>
      </c>
      <c r="I4227" s="13" t="str">
        <f aca="false">IF(C4227=J4227,"NEW KONTRAK","RE-KONTRAK")</f>
        <v>NEW KONTRAK</v>
      </c>
      <c r="J4227" s="16" t="n">
        <f aca="false" t="array" ref="J4227:J4227">IFERROR(INDEX(AC4227:AE4227,IF(COUNTA(AC4227:AE4227)=0,"",MAX((AC4227:AE4227&lt;&gt;"")*(COLUMN(AC4227:AE4227)-(COLUMN(AC4227)))))-1),"")</f>
        <v>46279</v>
      </c>
      <c r="K4227" s="16" t="n">
        <f aca="false" t="array" ref="K4227:K4227">IFERROR(INDEX(AC4227:AE4227,IF(COUNTA(AC4227:AE4227)=0,"",MAX((AC4227:AE4227&lt;&gt;"")*(COLUMN(AC4227:AE4227)-(COLUMN(AC4227)-1))))-1),"")</f>
        <v>46386</v>
      </c>
      <c r="L4227" s="17" t="str">
        <f aca="false" t="array" ref="L4227:L4227">IFERROR(INDEX(AC4227:AE4227,IF(COUNTA(AC4227:AE4227)=0,"",MAX((AC4227:AE4227&lt;&gt;"")*(COLUMN(AC4227:AE4227)-(COLUMN(AC4227)-2))))-1),"")</f>
        <v>ARCHIVED</v>
      </c>
      <c r="M4227" s="13" t="n">
        <f aca="true">K4227-TODAY()</f>
        <v>62</v>
      </c>
      <c r="N4227" s="18" t="s">
        <v>728</v>
      </c>
      <c r="O4227" s="13" t="s">
        <v>1755</v>
      </c>
      <c r="P4227" s="26" t="n">
        <v>5444909</v>
      </c>
      <c r="Q4227" s="20" t="s">
        <v>17321</v>
      </c>
      <c r="R4227" s="48" t="s">
        <v>274</v>
      </c>
      <c r="S4227" s="25" t="n">
        <v>35472</v>
      </c>
      <c r="T4227" s="13" t="s">
        <v>108</v>
      </c>
      <c r="U4227" s="13" t="s">
        <v>17322</v>
      </c>
      <c r="V4227" s="13" t="s">
        <v>42</v>
      </c>
      <c r="W4227" s="28" t="s">
        <v>54</v>
      </c>
      <c r="X4227" s="21" t="n">
        <v>85336073145</v>
      </c>
      <c r="Y4227" s="22" t="str">
        <f aca="false">O4227</f>
        <v>Im.Operator</v>
      </c>
      <c r="Z4227" s="13" t="str">
        <f aca="false">IFERROR(__xludf.dummyfunction("if(BJ4227="""","""",GOOGLETRANSLATE(BJ4227,""auto"",""en""))"),"Im.Operator")</f>
        <v>Im.Operator</v>
      </c>
      <c r="AA4227" s="23" t="str">
        <f aca="false">IF(C4227="","", CHOOSE(MONTH(C4227),"January","February","March","April","May","June","July","August","September","October","November","December")&amp;" "&amp;DAY(C4227)&amp;MID("thstndrdth",MIN(9,2*RIGHT(DAY(C4227))*(MOD(DAY(C4227)-11,100)&gt;2)+1),2)&amp;","&amp;TEXT(C4227," yyyy"))</f>
        <v>September 14th,2026</v>
      </c>
      <c r="AB4227" s="15" t="str">
        <f aca="true">IF(S4227="","",DATEDIF(S4227,TODAY(),"Y")&amp;" Tahun, "&amp;DATEDIF(S4227,TODAY(),"YM")&amp;" Bulan, "&amp;DATEDIF(S4227,TODAY(),"MD")&amp;" Hari")</f>
        <v>29 Tahun, 8 Bulan, 18 Hari</v>
      </c>
      <c r="AC4227" s="14" t="n">
        <v>46279</v>
      </c>
      <c r="AD4227" s="18" t="n">
        <v>46386</v>
      </c>
      <c r="AE4227" s="13" t="s">
        <v>44</v>
      </c>
    </row>
    <row r="4228" customFormat="false" ht="15" hidden="false" customHeight="true" outlineLevel="0" collapsed="false">
      <c r="A4228" s="12" t="n">
        <v>22840</v>
      </c>
      <c r="B4228" s="13" t="s">
        <v>17323</v>
      </c>
      <c r="C4228" s="14" t="n">
        <v>46279</v>
      </c>
      <c r="D4228" s="13" t="s">
        <v>1721</v>
      </c>
      <c r="E4228" s="13" t="s">
        <v>47</v>
      </c>
      <c r="F4228" s="24" t="s">
        <v>17324</v>
      </c>
      <c r="G4228" s="13" t="s">
        <v>1452</v>
      </c>
      <c r="H4228" s="13" t="s">
        <v>35</v>
      </c>
      <c r="I4228" s="13" t="str">
        <f aca="false">IF(C4228=J4228,"NEW KONTRAK","RE-KONTRAK")</f>
        <v>NEW KONTRAK</v>
      </c>
      <c r="J4228" s="16" t="n">
        <f aca="false" t="array" ref="J4228:J4228">IFERROR(INDEX(AC4228:AE4228,IF(COUNTA(AC4228:AE4228)=0,"",MAX((AC4228:AE4228&lt;&gt;"")*(COLUMN(AC4228:AE4228)-(COLUMN(AC4228)))))-1),"")</f>
        <v>46279</v>
      </c>
      <c r="K4228" s="16" t="n">
        <f aca="false" t="array" ref="K4228:K4228">IFERROR(INDEX(AC4228:AE4228,IF(COUNTA(AC4228:AE4228)=0,"",MAX((AC4228:AE4228&lt;&gt;"")*(COLUMN(AC4228:AE4228)-(COLUMN(AC4228)-1))))-1),"")</f>
        <v>46386</v>
      </c>
      <c r="L4228" s="17" t="str">
        <f aca="false" t="array" ref="L4228:L4228">IFERROR(INDEX(AC4228:AE4228,IF(COUNTA(AC4228:AE4228)=0,"",MAX((AC4228:AE4228&lt;&gt;"")*(COLUMN(AC4228:AE4228)-(COLUMN(AC4228)-2))))-1),"")</f>
        <v>ARCHIVED</v>
      </c>
      <c r="M4228" s="13" t="n">
        <f aca="true">K4228-TODAY()</f>
        <v>62</v>
      </c>
      <c r="N4228" s="18" t="s">
        <v>728</v>
      </c>
      <c r="O4228" s="13" t="s">
        <v>1755</v>
      </c>
      <c r="P4228" s="26" t="n">
        <v>5444909</v>
      </c>
      <c r="Q4228" s="52" t="s">
        <v>17325</v>
      </c>
      <c r="R4228" s="48" t="s">
        <v>148</v>
      </c>
      <c r="S4228" s="25" t="n">
        <v>33180</v>
      </c>
      <c r="T4228" s="13" t="s">
        <v>108</v>
      </c>
      <c r="U4228" s="13" t="s">
        <v>17326</v>
      </c>
      <c r="V4228" s="13" t="s">
        <v>42</v>
      </c>
      <c r="W4228" s="28" t="s">
        <v>54</v>
      </c>
      <c r="X4228" s="21" t="n">
        <v>82343408455</v>
      </c>
      <c r="Y4228" s="22" t="str">
        <f aca="false">O4228</f>
        <v>Im.Operator</v>
      </c>
      <c r="Z4228" s="13" t="str">
        <f aca="false">IFERROR(__xludf.dummyfunction("if(BJ4228="""","""",GOOGLETRANSLATE(BJ4228,""auto"",""en""))"),"Im.Operator")</f>
        <v>Im.Operator</v>
      </c>
      <c r="AA4228" s="23" t="str">
        <f aca="false">IF(C4228="","", CHOOSE(MONTH(C4228),"January","February","March","April","May","June","July","August","September","October","November","December")&amp;" "&amp;DAY(C4228)&amp;MID("thstndrdth",MIN(9,2*RIGHT(DAY(C4228))*(MOD(DAY(C4228)-11,100)&gt;2)+1),2)&amp;","&amp;TEXT(C4228," yyyy"))</f>
        <v>September 14th,2026</v>
      </c>
      <c r="AB4228" s="15" t="str">
        <f aca="true">IF(S4228="","",DATEDIF(S4228,TODAY(),"Y")&amp;" Tahun, "&amp;DATEDIF(S4228,TODAY(),"YM")&amp;" Bulan, "&amp;DATEDIF(S4228,TODAY(),"MD")&amp;" Hari")</f>
        <v>35 Tahun, 11 Bulan, 26 Hari</v>
      </c>
      <c r="AC4228" s="14" t="n">
        <v>46279</v>
      </c>
      <c r="AD4228" s="18" t="n">
        <v>46386</v>
      </c>
      <c r="AE4228" s="13" t="s">
        <v>44</v>
      </c>
    </row>
    <row r="4229" customFormat="false" ht="15" hidden="false" customHeight="true" outlineLevel="0" collapsed="false">
      <c r="A4229" s="12" t="n">
        <v>2263</v>
      </c>
      <c r="B4229" s="13" t="s">
        <v>17327</v>
      </c>
      <c r="C4229" s="14" t="n">
        <v>44166</v>
      </c>
      <c r="D4229" s="13" t="s">
        <v>1721</v>
      </c>
      <c r="E4229" s="15" t="s">
        <v>47</v>
      </c>
      <c r="F4229" s="15" t="str">
        <f aca="false">IFERROR(__xludf.dummyfunction("XLOOKUP(AJ4229,IMPORTRANGE(""1XaInW9DU9nz21V0tYIfzFQ0He9kVQ_JF2mCXgZ3hqFA"",""REKAP ALL 2026 - Andika!G:G""),IMPORTRANGE(""1XaInW9DU9nz21V0tYIfzFQ0He9kVQ_JF2mCXgZ3hqFA"",""REKAP ALL 2026 - Andika!F:F""),"""",0)"),"13030145620")</f>
        <v>13030145620</v>
      </c>
      <c r="G4229" s="13" t="s">
        <v>17328</v>
      </c>
      <c r="H4229" s="13" t="s">
        <v>35</v>
      </c>
      <c r="I4229" s="13" t="str">
        <f aca="false">IF(C4229=J4229,"NEW KONTRAK","RE-KONTRAK")</f>
        <v>RE-KONTRAK</v>
      </c>
      <c r="J4229" s="16" t="n">
        <f aca="false" t="array" ref="J4229:J4229">IFERROR(INDEX(AC4229:AE4229,IF(COUNTA(AC4229:AE4229)=0,"",MAX((AC4229:AE4229&lt;&gt;"")*(COLUMN(AC4229:AE4229)-(COLUMN(AC4229)))))-1),"")</f>
        <v>45659</v>
      </c>
      <c r="K4229" s="16" t="n">
        <f aca="false" t="array" ref="K4229:K4229">IFERROR(INDEX(AC4229:AE4229,IF(COUNTA(AC4229:AE4229)=0,"",MAX((AC4229:AE4229&lt;&gt;"")*(COLUMN(AC4229:AE4229)-(COLUMN(AC4229)-1))))-1),"")</f>
        <v>46015</v>
      </c>
      <c r="L4229" s="17" t="str">
        <f aca="false" t="array" ref="L4229:L4229">IFERROR(INDEX(AC4229:AE4229,IF(COUNTA(AC4229:AE4229)=0,"",MAX((AC4229:AE4229&lt;&gt;"")*(COLUMN(AC4229:AE4229)-(COLUMN(AC4229)-2))))-1),"")</f>
        <v>ARCHIVED</v>
      </c>
      <c r="M4229" s="13" t="n">
        <f aca="true">K4229-TODAY()</f>
        <v>-309</v>
      </c>
      <c r="N4229" s="18" t="s">
        <v>728</v>
      </c>
      <c r="O4229" s="13" t="s">
        <v>1914</v>
      </c>
      <c r="P4229" s="19" t="n">
        <v>5444909</v>
      </c>
      <c r="Q4229" s="20" t="s">
        <v>17329</v>
      </c>
      <c r="R4229" s="13" t="s">
        <v>148</v>
      </c>
      <c r="S4229" s="14" t="n">
        <v>31745</v>
      </c>
      <c r="T4229" s="13" t="s">
        <v>108</v>
      </c>
      <c r="U4229" s="13" t="s">
        <v>17330</v>
      </c>
      <c r="V4229" s="13" t="s">
        <v>42</v>
      </c>
      <c r="W4229" s="13" t="s">
        <v>54</v>
      </c>
      <c r="X4229" s="21" t="n">
        <v>81554952295</v>
      </c>
      <c r="Y4229" s="22" t="str">
        <f aca="false">O4229</f>
        <v>Im Operator</v>
      </c>
      <c r="Z4229" s="13" t="str">
        <f aca="false">IFERROR(__xludf.dummyfunction("if(BJ4229="""","""",GOOGLETRANSLATE(BJ4229,""auto"",""en""))"),"Im Operator")</f>
        <v>Im Operator</v>
      </c>
      <c r="AA4229" s="23" t="str">
        <f aca="false">IF(C4229="","", CHOOSE(MONTH(C4229),"January","February","March","April","May","June","July","August","September","October","November","December")&amp;" "&amp;DAY(C4229)&amp;MID("thstndrdth",MIN(9,2*RIGHT(DAY(C4229))*(MOD(DAY(C4229)-11,100)&gt;2)+1),2)&amp;","&amp;TEXT(C4229," yyyy"))</f>
        <v>December 1st,2020</v>
      </c>
      <c r="AB4229" s="15" t="str">
        <f aca="true">IF(S4229="","",DATEDIF(S4229,TODAY(),"Y")&amp;" Tahun, "&amp;DATEDIF(S4229,TODAY(),"YM")&amp;" Bulan, "&amp;DATEDIF(S4229,TODAY(),"MD")&amp;" Hari")</f>
        <v>39 Tahun, 11 Bulan, 0 Hari</v>
      </c>
      <c r="AC4229" s="18" t="n">
        <v>45659</v>
      </c>
      <c r="AD4229" s="18" t="n">
        <v>46015</v>
      </c>
      <c r="AE4229" s="18" t="s">
        <v>44</v>
      </c>
    </row>
    <row r="4230" customFormat="false" ht="15" hidden="false" customHeight="true" outlineLevel="0" collapsed="false">
      <c r="A4230" s="12" t="n">
        <v>22691</v>
      </c>
      <c r="B4230" s="13" t="s">
        <v>4847</v>
      </c>
      <c r="C4230" s="14" t="n">
        <v>46251</v>
      </c>
      <c r="D4230" s="13" t="s">
        <v>1721</v>
      </c>
      <c r="E4230" s="13" t="s">
        <v>47</v>
      </c>
      <c r="F4230" s="24" t="s">
        <v>17331</v>
      </c>
      <c r="G4230" s="13" t="s">
        <v>1452</v>
      </c>
      <c r="H4230" s="13" t="s">
        <v>35</v>
      </c>
      <c r="I4230" s="13" t="str">
        <f aca="false">IF(C4230=J4230,"NEW KONTRAK","RE-KONTRAK")</f>
        <v>NEW KONTRAK</v>
      </c>
      <c r="J4230" s="16" t="n">
        <f aca="false" t="array" ref="J4230:J4230">IFERROR(INDEX(AC4230:AE4230,IF(COUNTA(AC4230:AE4230)=0,"",MAX((AC4230:AE4230&lt;&gt;"")*(COLUMN(AC4230:AE4230)-(COLUMN(AC4230)))))-1),"")</f>
        <v>46251</v>
      </c>
      <c r="K4230" s="16" t="n">
        <f aca="false" t="array" ref="K4230:K4230">IFERROR(INDEX(AC4230:AE4230,IF(COUNTA(AC4230:AE4230)=0,"",MAX((AC4230:AE4230&lt;&gt;"")*(COLUMN(AC4230:AE4230)-(COLUMN(AC4230)-1))))-1),"")</f>
        <v>46342</v>
      </c>
      <c r="L4230" s="17" t="str">
        <f aca="false" t="array" ref="L4230:L4230">IFERROR(INDEX(AC4230:AE4230,IF(COUNTA(AC4230:AE4230)=0,"",MAX((AC4230:AE4230&lt;&gt;"")*(COLUMN(AC4230:AE4230)-(COLUMN(AC4230)-2))))-1),"")</f>
        <v>KEMBALI</v>
      </c>
      <c r="M4230" s="13" t="n">
        <f aca="true">K4230-TODAY()</f>
        <v>18</v>
      </c>
      <c r="N4230" s="18" t="s">
        <v>728</v>
      </c>
      <c r="O4230" s="13" t="s">
        <v>1803</v>
      </c>
      <c r="P4230" s="26" t="n">
        <v>5444909</v>
      </c>
      <c r="Q4230" s="20" t="s">
        <v>17332</v>
      </c>
      <c r="R4230" s="13" t="s">
        <v>246</v>
      </c>
      <c r="S4230" s="25" t="n">
        <v>32489</v>
      </c>
      <c r="T4230" s="13" t="s">
        <v>108</v>
      </c>
      <c r="U4230" s="13" t="s">
        <v>17333</v>
      </c>
      <c r="V4230" s="13" t="s">
        <v>42</v>
      </c>
      <c r="W4230" s="13" t="s">
        <v>54</v>
      </c>
      <c r="X4230" s="21" t="n">
        <v>88221061547</v>
      </c>
      <c r="Y4230" s="22" t="str">
        <f aca="false">O4230</f>
        <v>Injectition Moulding</v>
      </c>
      <c r="Z4230" s="13" t="str">
        <f aca="false">IFERROR(__xludf.dummyfunction("if(BJ4230="""","""",GOOGLETRANSLATE(BJ4230,""auto"",""en""))"),"Injectition Moulding")</f>
        <v>Injectition Moulding</v>
      </c>
      <c r="AA4230" s="23" t="str">
        <f aca="false">IF(C4230="","", CHOOSE(MONTH(C4230),"January","February","March","April","May","June","July","August","September","October","November","December")&amp;" "&amp;DAY(C4230)&amp;MID("thstndrdth",MIN(9,2*RIGHT(DAY(C4230))*(MOD(DAY(C4230)-11,100)&gt;2)+1),2)&amp;","&amp;TEXT(C4230," yyyy"))</f>
        <v>August 17th,2026</v>
      </c>
      <c r="AB4230" s="15" t="str">
        <f aca="true">IF(S4230="","",DATEDIF(S4230,TODAY(),"Y")&amp;" Tahun, "&amp;DATEDIF(S4230,TODAY(),"YM")&amp;" Bulan, "&amp;DATEDIF(S4230,TODAY(),"MD")&amp;" Hari")</f>
        <v>37 Tahun, 10 Bulan, 17 Hari</v>
      </c>
      <c r="AC4230" s="14" t="n">
        <v>46251</v>
      </c>
      <c r="AD4230" s="18" t="n">
        <f aca="false">EDATE(AC4230,3)-1</f>
        <v>46342</v>
      </c>
      <c r="AE4230" s="13" t="s">
        <v>397</v>
      </c>
    </row>
    <row r="4231" customFormat="false" ht="15" hidden="false" customHeight="true" outlineLevel="0" collapsed="false">
      <c r="A4231" s="12" t="n">
        <v>22869</v>
      </c>
      <c r="B4231" s="13" t="s">
        <v>17334</v>
      </c>
      <c r="C4231" s="14" t="n">
        <v>46279</v>
      </c>
      <c r="D4231" s="13" t="s">
        <v>1721</v>
      </c>
      <c r="E4231" s="13" t="s">
        <v>47</v>
      </c>
      <c r="F4231" s="24" t="s">
        <v>17335</v>
      </c>
      <c r="G4231" s="13" t="s">
        <v>1452</v>
      </c>
      <c r="H4231" s="13" t="s">
        <v>35</v>
      </c>
      <c r="I4231" s="13" t="str">
        <f aca="false">IF(C4231=J4231,"NEW KONTRAK","RE-KONTRAK")</f>
        <v>NEW KONTRAK</v>
      </c>
      <c r="J4231" s="16" t="n">
        <f aca="false" t="array" ref="J4231:J4231">IFERROR(INDEX(AC4231:AE4231,IF(COUNTA(AC4231:AE4231)=0,"",MAX((AC4231:AE4231&lt;&gt;"")*(COLUMN(AC4231:AE4231)-(COLUMN(AC4231)))))-1),"")</f>
        <v>46279</v>
      </c>
      <c r="K4231" s="16" t="n">
        <f aca="false" t="array" ref="K4231:K4231">IFERROR(INDEX(AC4231:AE4231,IF(COUNTA(AC4231:AE4231)=0,"",MAX((AC4231:AE4231&lt;&gt;"")*(COLUMN(AC4231:AE4231)-(COLUMN(AC4231)-1))))-1),"")</f>
        <v>46386</v>
      </c>
      <c r="L4231" s="17" t="str">
        <f aca="false" t="array" ref="L4231:L4231">IFERROR(INDEX(AC4231:AE4231,IF(COUNTA(AC4231:AE4231)=0,"",MAX((AC4231:AE4231&lt;&gt;"")*(COLUMN(AC4231:AE4231)-(COLUMN(AC4231)-2))))-1),"")</f>
        <v>ARCHIVED</v>
      </c>
      <c r="M4231" s="13" t="n">
        <f aca="true">K4231-TODAY()</f>
        <v>62</v>
      </c>
      <c r="N4231" s="18" t="s">
        <v>728</v>
      </c>
      <c r="O4231" s="13" t="s">
        <v>1755</v>
      </c>
      <c r="P4231" s="26" t="n">
        <v>5444909</v>
      </c>
      <c r="Q4231" s="20" t="s">
        <v>17336</v>
      </c>
      <c r="R4231" s="13" t="s">
        <v>17056</v>
      </c>
      <c r="S4231" s="25" t="n">
        <v>35756</v>
      </c>
      <c r="T4231" s="13" t="s">
        <v>108</v>
      </c>
      <c r="U4231" s="13" t="s">
        <v>17337</v>
      </c>
      <c r="V4231" s="13" t="s">
        <v>42</v>
      </c>
      <c r="W4231" s="13" t="s">
        <v>54</v>
      </c>
      <c r="X4231" s="30" t="n">
        <v>81138430988</v>
      </c>
      <c r="Y4231" s="22" t="str">
        <f aca="false">O4231</f>
        <v>Im.Operator</v>
      </c>
      <c r="Z4231" s="13" t="str">
        <f aca="false">IFERROR(__xludf.dummyfunction("if(BJ4231="""","""",GOOGLETRANSLATE(BJ4231,""auto"",""en""))"),"Im.Operator")</f>
        <v>Im.Operator</v>
      </c>
      <c r="AA4231" s="23" t="str">
        <f aca="false">IF(C4231="","", CHOOSE(MONTH(C4231),"January","February","March","April","May","June","July","August","September","October","November","December")&amp;" "&amp;DAY(C4231)&amp;MID("thstndrdth",MIN(9,2*RIGHT(DAY(C4231))*(MOD(DAY(C4231)-11,100)&gt;2)+1),2)&amp;","&amp;TEXT(C4231," yyyy"))</f>
        <v>September 14th,2026</v>
      </c>
      <c r="AB4231" s="15" t="str">
        <f aca="true">IF(S4231="","",DATEDIF(S4231,TODAY(),"Y")&amp;" Tahun, "&amp;DATEDIF(S4231,TODAY(),"YM")&amp;" Bulan, "&amp;DATEDIF(S4231,TODAY(),"MD")&amp;" Hari")</f>
        <v>28 Tahun, 11 Bulan, 7 Hari</v>
      </c>
      <c r="AC4231" s="14" t="n">
        <v>46279</v>
      </c>
      <c r="AD4231" s="18" t="n">
        <v>46386</v>
      </c>
      <c r="AE4231" s="13" t="s">
        <v>44</v>
      </c>
    </row>
    <row r="4232" customFormat="false" ht="15" hidden="false" customHeight="true" outlineLevel="0" collapsed="false">
      <c r="A4232" s="12" t="n">
        <v>21690</v>
      </c>
      <c r="B4232" s="13" t="s">
        <v>17338</v>
      </c>
      <c r="C4232" s="16" t="n">
        <v>46024</v>
      </c>
      <c r="D4232" s="13" t="s">
        <v>1721</v>
      </c>
      <c r="E4232" s="15" t="s">
        <v>47</v>
      </c>
      <c r="F4232" s="15" t="str">
        <f aca="false">IFERROR(__xludf.dummyfunction("XLOOKUP(AJ4232,IMPORTRANGE(""1XaInW9DU9nz21V0tYIfzFQ0He9kVQ_JF2mCXgZ3hqFA"",""REKAP ALL 2026 - Andika!G:G""),IMPORTRANGE(""1XaInW9DU9nz21V0tYIfzFQ0He9kVQ_JF2mCXgZ3hqFA"",""REKAP ALL 2026 - Andika!F:F""),"""",0)"),"26020754532")</f>
        <v>26020754532</v>
      </c>
      <c r="G4232" s="28" t="s">
        <v>57</v>
      </c>
      <c r="H4232" s="13" t="s">
        <v>35</v>
      </c>
      <c r="I4232" s="13" t="str">
        <f aca="false">IF(C4232=J4232,"NEW KONTRAK","RE-KONTRAK")</f>
        <v>NEW KONTRAK</v>
      </c>
      <c r="J4232" s="16" t="n">
        <f aca="false" t="array" ref="J4232:J4232">IFERROR(INDEX(AC4232:AE4232,IF(COUNTA(AC4232:AE4232)=0,"",MAX((AC4232:AE4232&lt;&gt;"")*(COLUMN(AC4232:AE4232)-(COLUMN(AC4232)))))-1),"")</f>
        <v>46024</v>
      </c>
      <c r="K4232" s="16" t="n">
        <f aca="false" t="array" ref="K4232:K4232">IFERROR(INDEX(AC4232:AE4232,IF(COUNTA(AC4232:AE4232)=0,"",MAX((AC4232:AE4232&lt;&gt;"")*(COLUMN(AC4232:AE4232)-(COLUMN(AC4232)-1))))-1),"")</f>
        <v>46113</v>
      </c>
      <c r="L4232" s="17" t="str">
        <f aca="false" t="array" ref="L4232:L4232">IFERROR(INDEX(AC4232:AE4232,IF(COUNTA(AC4232:AE4232)=0,"",MAX((AC4232:AE4232&lt;&gt;"")*(COLUMN(AC4232:AE4232)-(COLUMN(AC4232)-2))))-1),"")</f>
        <v>ARCHIVED</v>
      </c>
      <c r="M4232" s="13" t="n">
        <f aca="true">K4232-TODAY()</f>
        <v>-211</v>
      </c>
      <c r="N4232" s="18" t="s">
        <v>728</v>
      </c>
      <c r="O4232" s="13" t="s">
        <v>1732</v>
      </c>
      <c r="P4232" s="19" t="n">
        <v>5444909</v>
      </c>
      <c r="Q4232" s="47" t="s">
        <v>17339</v>
      </c>
      <c r="R4232" s="13" t="s">
        <v>260</v>
      </c>
      <c r="S4232" s="16" t="n">
        <v>38297</v>
      </c>
      <c r="T4232" s="13" t="s">
        <v>108</v>
      </c>
      <c r="U4232" s="13" t="s">
        <v>17340</v>
      </c>
      <c r="V4232" s="13" t="s">
        <v>42</v>
      </c>
      <c r="W4232" s="13" t="s">
        <v>43</v>
      </c>
      <c r="X4232" s="21" t="s">
        <v>17341</v>
      </c>
      <c r="Y4232" s="22" t="str">
        <f aca="false">O4232</f>
        <v>Bm.Operator</v>
      </c>
      <c r="Z4232" s="13" t="str">
        <f aca="false">IFERROR(__xludf.dummyfunction("if(BJ4232="""","""",GOOGLETRANSLATE(BJ4232,""auto"",""en""))"),"Bm.Operator")</f>
        <v>Bm.Operator</v>
      </c>
      <c r="AA4232" s="23" t="str">
        <f aca="false">IF(C4232="","", CHOOSE(MONTH(C4232),"January","February","March","April","May","June","July","August","September","October","November","December")&amp;" "&amp;DAY(C4232)&amp;MID("thstndrdth",MIN(9,2*RIGHT(DAY(C4232))*(MOD(DAY(C4232)-11,100)&gt;2)+1),2)&amp;","&amp;TEXT(C4232," yyyy"))</f>
        <v>January 2nd,2026</v>
      </c>
      <c r="AB4232" s="15" t="str">
        <f aca="true">IF(S4232="","",DATEDIF(S4232,TODAY(),"Y")&amp;" Tahun, "&amp;DATEDIF(S4232,TODAY(),"YM")&amp;" Bulan, "&amp;DATEDIF(S4232,TODAY(),"MD")&amp;" Hari")</f>
        <v>21 Tahun, 11 Bulan, 23 Hari</v>
      </c>
      <c r="AC4232" s="18" t="n">
        <v>46024</v>
      </c>
      <c r="AD4232" s="18" t="n">
        <f aca="false">EDATE(AC4232,3)-1</f>
        <v>46113</v>
      </c>
      <c r="AE4232" s="18" t="s">
        <v>44</v>
      </c>
    </row>
    <row r="4233" customFormat="false" ht="15" hidden="false" customHeight="true" outlineLevel="0" collapsed="false">
      <c r="A4233" s="12" t="n">
        <v>2267</v>
      </c>
      <c r="B4233" s="13" t="s">
        <v>17342</v>
      </c>
      <c r="C4233" s="14" t="n">
        <v>44326</v>
      </c>
      <c r="D4233" s="13" t="s">
        <v>1721</v>
      </c>
      <c r="E4233" s="15" t="s">
        <v>47</v>
      </c>
      <c r="F4233" s="15" t="str">
        <f aca="false">IFERROR(__xludf.dummyfunction("XLOOKUP(AJ4233,IMPORTRANGE(""1XaInW9DU9nz21V0tYIfzFQ0He9kVQ_JF2mCXgZ3hqFA"",""REKAP ALL 2026 - Andika!G:G""),IMPORTRANGE(""1XaInW9DU9nz21V0tYIfzFQ0He9kVQ_JF2mCXgZ3hqFA"",""REKAP ALL 2026 - Andika!F:F""),"""",0)"),"15015443599")</f>
        <v>15015443599</v>
      </c>
      <c r="G4233" s="13" t="s">
        <v>17343</v>
      </c>
      <c r="H4233" s="13" t="s">
        <v>35</v>
      </c>
      <c r="I4233" s="13" t="str">
        <f aca="false">IF(C4233=J4233,"NEW KONTRAK","RE-KONTRAK")</f>
        <v>RE-KONTRAK</v>
      </c>
      <c r="J4233" s="16" t="n">
        <f aca="false" t="array" ref="J4233:J4233">IFERROR(INDEX(AC4233:AE4233,IF(COUNTA(AC4233:AE4233)=0,"",MAX((AC4233:AE4233&lt;&gt;"")*(COLUMN(AC4233:AE4233)-(COLUMN(AC4233)))))-1),"")</f>
        <v>45659</v>
      </c>
      <c r="K4233" s="16" t="n">
        <f aca="false" t="array" ref="K4233:K4233">IFERROR(INDEX(AC4233:AE4233,IF(COUNTA(AC4233:AE4233)=0,"",MAX((AC4233:AE4233&lt;&gt;"")*(COLUMN(AC4233:AE4233)-(COLUMN(AC4233)-1))))-1),"")</f>
        <v>46015</v>
      </c>
      <c r="L4233" s="17" t="str">
        <f aca="false" t="array" ref="L4233:L4233">IFERROR(INDEX(AC4233:AE4233,IF(COUNTA(AC4233:AE4233)=0,"",MAX((AC4233:AE4233&lt;&gt;"")*(COLUMN(AC4233:AE4233)-(COLUMN(AC4233)-2))))-1),"")</f>
        <v>ARCHIVED</v>
      </c>
      <c r="M4233" s="13" t="n">
        <f aca="true">K4233-TODAY()</f>
        <v>-309</v>
      </c>
      <c r="N4233" s="18" t="s">
        <v>728</v>
      </c>
      <c r="O4233" s="13" t="s">
        <v>1914</v>
      </c>
      <c r="P4233" s="19" t="n">
        <v>5444909</v>
      </c>
      <c r="Q4233" s="20" t="s">
        <v>17344</v>
      </c>
      <c r="R4233" s="13" t="s">
        <v>78</v>
      </c>
      <c r="S4233" s="14" t="n">
        <v>33019</v>
      </c>
      <c r="T4233" s="13" t="s">
        <v>108</v>
      </c>
      <c r="U4233" s="13" t="s">
        <v>17345</v>
      </c>
      <c r="V4233" s="13" t="s">
        <v>42</v>
      </c>
      <c r="W4233" s="13" t="s">
        <v>54</v>
      </c>
      <c r="X4233" s="21" t="n">
        <v>87743221094</v>
      </c>
      <c r="Y4233" s="22" t="str">
        <f aca="false">O4233</f>
        <v>Im Operator</v>
      </c>
      <c r="Z4233" s="13" t="str">
        <f aca="false">IFERROR(__xludf.dummyfunction("if(BJ4233="""","""",GOOGLETRANSLATE(BJ4233,""auto"",""en""))"),"Im Operator")</f>
        <v>Im Operator</v>
      </c>
      <c r="AA4233" s="23" t="str">
        <f aca="false">IF(C4233="","", CHOOSE(MONTH(C4233),"January","February","March","April","May","June","July","August","September","October","November","December")&amp;" "&amp;DAY(C4233)&amp;MID("thstndrdth",MIN(9,2*RIGHT(DAY(C4233))*(MOD(DAY(C4233)-11,100)&gt;2)+1),2)&amp;","&amp;TEXT(C4233," yyyy"))</f>
        <v>May 10th,2021</v>
      </c>
      <c r="AB4233" s="15" t="str">
        <f aca="true">IF(S4233="","",DATEDIF(S4233,TODAY(),"Y")&amp;" Tahun, "&amp;DATEDIF(S4233,TODAY(),"YM")&amp;" Bulan, "&amp;DATEDIF(S4233,TODAY(),"MD")&amp;" Hari")</f>
        <v>36 Tahun, 5 Bulan, 3 Hari</v>
      </c>
      <c r="AC4233" s="18" t="n">
        <v>45659</v>
      </c>
      <c r="AD4233" s="18" t="n">
        <v>46015</v>
      </c>
      <c r="AE4233" s="18" t="s">
        <v>44</v>
      </c>
    </row>
    <row r="4234" customFormat="false" ht="15" hidden="false" customHeight="true" outlineLevel="0" collapsed="false">
      <c r="A4234" s="12" t="n">
        <v>4678</v>
      </c>
      <c r="B4234" s="13" t="s">
        <v>17346</v>
      </c>
      <c r="C4234" s="14" t="n">
        <v>44326</v>
      </c>
      <c r="D4234" s="13" t="s">
        <v>1721</v>
      </c>
      <c r="E4234" s="15" t="s">
        <v>47</v>
      </c>
      <c r="F4234" s="15" t="str">
        <f aca="false">IFERROR(__xludf.dummyfunction("XLOOKUP(AJ4234,IMPORTRANGE(""1XaInW9DU9nz21V0tYIfzFQ0He9kVQ_JF2mCXgZ3hqFA"",""REKAP ALL 2026 - Andika!G:G""),IMPORTRANGE(""1XaInW9DU9nz21V0tYIfzFQ0He9kVQ_JF2mCXgZ3hqFA"",""REKAP ALL 2026 - Andika!F:F""),"""",0)"),"22015020088")</f>
        <v>22015020088</v>
      </c>
      <c r="G4234" s="13" t="s">
        <v>17347</v>
      </c>
      <c r="H4234" s="13" t="s">
        <v>35</v>
      </c>
      <c r="I4234" s="13" t="str">
        <f aca="false">IF(C4234=J4234,"NEW KONTRAK","RE-KONTRAK")</f>
        <v>RE-KONTRAK</v>
      </c>
      <c r="J4234" s="16" t="n">
        <f aca="false" t="array" ref="J4234:J4234">IFERROR(INDEX(AC4234:AE4234,IF(COUNTA(AC4234:AE4234)=0,"",MAX((AC4234:AE4234&lt;&gt;"")*(COLUMN(AC4234:AE4234)-(COLUMN(AC4234)))))-1),"")</f>
        <v>45659</v>
      </c>
      <c r="K4234" s="16" t="n">
        <f aca="false" t="array" ref="K4234:K4234">IFERROR(INDEX(AC4234:AE4234,IF(COUNTA(AC4234:AE4234)=0,"",MAX((AC4234:AE4234&lt;&gt;"")*(COLUMN(AC4234:AE4234)-(COLUMN(AC4234)-1))))-1),"")</f>
        <v>46015</v>
      </c>
      <c r="L4234" s="17" t="str">
        <f aca="false" t="array" ref="L4234:L4234">IFERROR(INDEX(AC4234:AE4234,IF(COUNTA(AC4234:AE4234)=0,"",MAX((AC4234:AE4234&lt;&gt;"")*(COLUMN(AC4234:AE4234)-(COLUMN(AC4234)-2))))-1),"")</f>
        <v>ARCHIVED</v>
      </c>
      <c r="M4234" s="13" t="n">
        <f aca="true">K4234-TODAY()</f>
        <v>-309</v>
      </c>
      <c r="N4234" s="18" t="s">
        <v>728</v>
      </c>
      <c r="O4234" s="13" t="s">
        <v>1765</v>
      </c>
      <c r="P4234" s="19" t="n">
        <v>5444909</v>
      </c>
      <c r="Q4234" s="20" t="s">
        <v>17348</v>
      </c>
      <c r="R4234" s="13" t="s">
        <v>52</v>
      </c>
      <c r="S4234" s="14" t="n">
        <v>34240</v>
      </c>
      <c r="T4234" s="13" t="s">
        <v>108</v>
      </c>
      <c r="U4234" s="13" t="s">
        <v>17349</v>
      </c>
      <c r="V4234" s="13" t="s">
        <v>42</v>
      </c>
      <c r="W4234" s="13" t="s">
        <v>54</v>
      </c>
      <c r="X4234" s="21" t="n">
        <v>81249847203</v>
      </c>
      <c r="Y4234" s="22" t="str">
        <f aca="false">O4234</f>
        <v>Assy Operator</v>
      </c>
      <c r="Z4234" s="13" t="str">
        <f aca="false">IFERROR(__xludf.dummyfunction("if(BJ4234="""","""",GOOGLETRANSLATE(BJ4234,""auto"",""en""))"),"Assy Operator")</f>
        <v>Assy Operator</v>
      </c>
      <c r="AA4234" s="23" t="str">
        <f aca="false">IF(C4234="","", CHOOSE(MONTH(C4234),"January","February","March","April","May","June","July","August","September","October","November","December")&amp;" "&amp;DAY(C4234)&amp;MID("thstndrdth",MIN(9,2*RIGHT(DAY(C4234))*(MOD(DAY(C4234)-11,100)&gt;2)+1),2)&amp;","&amp;TEXT(C4234," yyyy"))</f>
        <v>May 10th,2021</v>
      </c>
      <c r="AB4234" s="15" t="str">
        <f aca="true">IF(S4234="","",DATEDIF(S4234,TODAY(),"Y")&amp;" Tahun, "&amp;DATEDIF(S4234,TODAY(),"YM")&amp;" Bulan, "&amp;DATEDIF(S4234,TODAY(),"MD")&amp;" Hari")</f>
        <v>33 Tahun, 1 Bulan, 1 Hari</v>
      </c>
      <c r="AC4234" s="18" t="n">
        <v>45659</v>
      </c>
      <c r="AD4234" s="18" t="n">
        <v>46015</v>
      </c>
      <c r="AE4234" s="18" t="s">
        <v>44</v>
      </c>
    </row>
    <row r="4235" customFormat="false" ht="15" hidden="false" customHeight="true" outlineLevel="0" collapsed="false">
      <c r="A4235" s="12" t="n">
        <v>2268</v>
      </c>
      <c r="B4235" s="13" t="s">
        <v>17350</v>
      </c>
      <c r="C4235" s="14" t="n">
        <v>43374</v>
      </c>
      <c r="D4235" s="13" t="s">
        <v>1721</v>
      </c>
      <c r="E4235" s="15" t="s">
        <v>47</v>
      </c>
      <c r="F4235" s="15" t="str">
        <f aca="false">IFERROR(__xludf.dummyfunction("XLOOKUP(AJ4235,IMPORTRANGE(""1XaInW9DU9nz21V0tYIfzFQ0He9kVQ_JF2mCXgZ3hqFA"",""REKAP ALL 2026 - Andika!G:G""),IMPORTRANGE(""1XaInW9DU9nz21V0tYIfzFQ0He9kVQ_JF2mCXgZ3hqFA"",""REKAP ALL 2026 - Andika!F:F""),"""",0)"),"18113406484")</f>
        <v>18113406484</v>
      </c>
      <c r="G4235" s="13" t="s">
        <v>17351</v>
      </c>
      <c r="H4235" s="13" t="s">
        <v>35</v>
      </c>
      <c r="I4235" s="13" t="str">
        <f aca="false">IF(C4235=J4235,"NEW KONTRAK","RE-KONTRAK")</f>
        <v>RE-KONTRAK</v>
      </c>
      <c r="J4235" s="16" t="n">
        <f aca="false" t="array" ref="J4235:J4235">IFERROR(INDEX(AC4235:AE4235,IF(COUNTA(AC4235:AE4235)=0,"",MAX((AC4235:AE4235&lt;&gt;"")*(COLUMN(AC4235:AE4235)-(COLUMN(AC4235)))))-1),"")</f>
        <v>45659</v>
      </c>
      <c r="K4235" s="16" t="n">
        <f aca="false" t="array" ref="K4235:K4235">IFERROR(INDEX(AC4235:AE4235,IF(COUNTA(AC4235:AE4235)=0,"",MAX((AC4235:AE4235&lt;&gt;"")*(COLUMN(AC4235:AE4235)-(COLUMN(AC4235)-1))))-1),"")</f>
        <v>46015</v>
      </c>
      <c r="L4235" s="17" t="str">
        <f aca="false" t="array" ref="L4235:L4235">IFERROR(INDEX(AC4235:AE4235,IF(COUNTA(AC4235:AE4235)=0,"",MAX((AC4235:AE4235&lt;&gt;"")*(COLUMN(AC4235:AE4235)-(COLUMN(AC4235)-2))))-1),"")</f>
        <v>ARCHIVED</v>
      </c>
      <c r="M4235" s="13" t="n">
        <f aca="true">K4235-TODAY()</f>
        <v>-309</v>
      </c>
      <c r="N4235" s="18" t="s">
        <v>728</v>
      </c>
      <c r="O4235" s="13" t="s">
        <v>1744</v>
      </c>
      <c r="P4235" s="19" t="n">
        <v>5444909</v>
      </c>
      <c r="Q4235" s="20" t="s">
        <v>17352</v>
      </c>
      <c r="R4235" s="13" t="s">
        <v>83</v>
      </c>
      <c r="S4235" s="14" t="n">
        <v>29696</v>
      </c>
      <c r="T4235" s="13" t="s">
        <v>108</v>
      </c>
      <c r="U4235" s="13" t="s">
        <v>17353</v>
      </c>
      <c r="V4235" s="13" t="s">
        <v>42</v>
      </c>
      <c r="W4235" s="13" t="s">
        <v>54</v>
      </c>
      <c r="X4235" s="21" t="n">
        <v>82244492724</v>
      </c>
      <c r="Y4235" s="22" t="str">
        <f aca="false">O4235</f>
        <v>Print Operator</v>
      </c>
      <c r="Z4235" s="13" t="str">
        <f aca="false">IFERROR(__xludf.dummyfunction("if(BJ4235="""","""",GOOGLETRANSLATE(BJ4235,""auto"",""en""))"),"Print Operator")</f>
        <v>Print Operator</v>
      </c>
      <c r="AA4235" s="23" t="str">
        <f aca="false">IF(C4235="","", CHOOSE(MONTH(C4235),"January","February","March","April","May","June","July","August","September","October","November","December")&amp;" "&amp;DAY(C4235)&amp;MID("thstndrdth",MIN(9,2*RIGHT(DAY(C4235))*(MOD(DAY(C4235)-11,100)&gt;2)+1),2)&amp;","&amp;TEXT(C4235," yyyy"))</f>
        <v>October 1st,2018</v>
      </c>
      <c r="AB4235" s="15" t="str">
        <f aca="true">IF(S4235="","",DATEDIF(S4235,TODAY(),"Y")&amp;" Tahun, "&amp;DATEDIF(S4235,TODAY(),"YM")&amp;" Bulan, "&amp;DATEDIF(S4235,TODAY(),"MD")&amp;" Hari")</f>
        <v>45 Tahun, 6 Bulan, 9 Hari</v>
      </c>
      <c r="AC4235" s="18" t="n">
        <v>45659</v>
      </c>
      <c r="AD4235" s="18" t="n">
        <v>46015</v>
      </c>
      <c r="AE4235" s="18" t="s">
        <v>44</v>
      </c>
    </row>
    <row r="4236" customFormat="false" ht="15" hidden="false" customHeight="true" outlineLevel="0" collapsed="false">
      <c r="A4236" s="12" t="n">
        <v>2269</v>
      </c>
      <c r="B4236" s="13" t="s">
        <v>17354</v>
      </c>
      <c r="C4236" s="14" t="n">
        <v>41214</v>
      </c>
      <c r="D4236" s="13" t="s">
        <v>1721</v>
      </c>
      <c r="E4236" s="15" t="s">
        <v>47</v>
      </c>
      <c r="F4236" s="15" t="str">
        <f aca="false">IFERROR(__xludf.dummyfunction("XLOOKUP(AJ4236,IMPORTRANGE(""1XaInW9DU9nz21V0tYIfzFQ0He9kVQ_JF2mCXgZ3hqFA"",""REKAP ALL 2026 - Andika!G:G""),IMPORTRANGE(""1XaInW9DU9nz21V0tYIfzFQ0He9kVQ_JF2mCXgZ3hqFA"",""REKAP ALL 2026 - Andika!F:F""),"""",0)"),"18034272304")</f>
        <v>18034272304</v>
      </c>
      <c r="G4236" s="13" t="s">
        <v>17355</v>
      </c>
      <c r="H4236" s="13" t="s">
        <v>35</v>
      </c>
      <c r="I4236" s="13" t="str">
        <f aca="false">IF(C4236=J4236,"NEW KONTRAK","RE-KONTRAK")</f>
        <v>RE-KONTRAK</v>
      </c>
      <c r="J4236" s="16" t="n">
        <f aca="false" t="array" ref="J4236:J4236">IFERROR(INDEX(AC4236:AE4236,IF(COUNTA(AC4236:AE4236)=0,"",MAX((AC4236:AE4236&lt;&gt;"")*(COLUMN(AC4236:AE4236)-(COLUMN(AC4236)))))-1),"")</f>
        <v>45659</v>
      </c>
      <c r="K4236" s="16" t="n">
        <f aca="false" t="array" ref="K4236:K4236">IFERROR(INDEX(AC4236:AE4236,IF(COUNTA(AC4236:AE4236)=0,"",MAX((AC4236:AE4236&lt;&gt;"")*(COLUMN(AC4236:AE4236)-(COLUMN(AC4236)-1))))-1),"")</f>
        <v>46015</v>
      </c>
      <c r="L4236" s="17" t="str">
        <f aca="false" t="array" ref="L4236:L4236">IFERROR(INDEX(AC4236:AE4236,IF(COUNTA(AC4236:AE4236)=0,"",MAX((AC4236:AE4236&lt;&gt;"")*(COLUMN(AC4236:AE4236)-(COLUMN(AC4236)-2))))-1),"")</f>
        <v>ARCHIVED</v>
      </c>
      <c r="M4236" s="13" t="n">
        <f aca="true">K4236-TODAY()</f>
        <v>-309</v>
      </c>
      <c r="N4236" s="18" t="s">
        <v>728</v>
      </c>
      <c r="O4236" s="13" t="s">
        <v>1744</v>
      </c>
      <c r="P4236" s="19" t="n">
        <v>5444909</v>
      </c>
      <c r="Q4236" s="20" t="s">
        <v>17356</v>
      </c>
      <c r="R4236" s="13" t="s">
        <v>73</v>
      </c>
      <c r="S4236" s="14" t="n">
        <v>30919</v>
      </c>
      <c r="T4236" s="13" t="s">
        <v>108</v>
      </c>
      <c r="U4236" s="13" t="s">
        <v>17357</v>
      </c>
      <c r="V4236" s="13" t="s">
        <v>42</v>
      </c>
      <c r="W4236" s="13" t="s">
        <v>54</v>
      </c>
      <c r="X4236" s="21" t="n">
        <v>85655194432</v>
      </c>
      <c r="Y4236" s="22" t="str">
        <f aca="false">O4236</f>
        <v>Print Operator</v>
      </c>
      <c r="Z4236" s="13" t="str">
        <f aca="false">IFERROR(__xludf.dummyfunction("if(BJ4236="""","""",GOOGLETRANSLATE(BJ4236,""auto"",""en""))"),"Print Operator")</f>
        <v>Print Operator</v>
      </c>
      <c r="AA4236" s="23" t="str">
        <f aca="false">IF(C4236="","", CHOOSE(MONTH(C4236),"January","February","March","April","May","June","July","August","September","October","November","December")&amp;" "&amp;DAY(C4236)&amp;MID("thstndrdth",MIN(9,2*RIGHT(DAY(C4236))*(MOD(DAY(C4236)-11,100)&gt;2)+1),2)&amp;","&amp;TEXT(C4236," yyyy"))</f>
        <v>November 1st,2012</v>
      </c>
      <c r="AB4236" s="15" t="str">
        <f aca="true">IF(S4236="","",DATEDIF(S4236,TODAY(),"Y")&amp;" Tahun, "&amp;DATEDIF(S4236,TODAY(),"YM")&amp;" Bulan, "&amp;DATEDIF(S4236,TODAY(),"MD")&amp;" Hari")</f>
        <v>42 Tahun, 2 Bulan, 4 Hari</v>
      </c>
      <c r="AC4236" s="18" t="n">
        <v>45659</v>
      </c>
      <c r="AD4236" s="18" t="n">
        <v>46015</v>
      </c>
      <c r="AE4236" s="18" t="s">
        <v>44</v>
      </c>
    </row>
    <row r="4237" customFormat="false" ht="15" hidden="false" customHeight="true" outlineLevel="0" collapsed="false">
      <c r="A4237" s="12" t="n">
        <v>2270</v>
      </c>
      <c r="B4237" s="13" t="s">
        <v>17358</v>
      </c>
      <c r="C4237" s="14" t="n">
        <v>43250</v>
      </c>
      <c r="D4237" s="13" t="s">
        <v>1721</v>
      </c>
      <c r="E4237" s="15" t="s">
        <v>47</v>
      </c>
      <c r="F4237" s="15" t="str">
        <f aca="false">IFERROR(__xludf.dummyfunction("XLOOKUP(AJ4237,IMPORTRANGE(""1XaInW9DU9nz21V0tYIfzFQ0He9kVQ_JF2mCXgZ3hqFA"",""REKAP ALL 2026 - Andika!G:G""),IMPORTRANGE(""1XaInW9DU9nz21V0tYIfzFQ0He9kVQ_JF2mCXgZ3hqFA"",""REKAP ALL 2026 - Andika!F:F""),"""",0)"),"17058290150")</f>
        <v>17058290150</v>
      </c>
      <c r="G4237" s="13" t="s">
        <v>17359</v>
      </c>
      <c r="H4237" s="13" t="s">
        <v>35</v>
      </c>
      <c r="I4237" s="13" t="str">
        <f aca="false">IF(C4237=J4237,"NEW KONTRAK","RE-KONTRAK")</f>
        <v>RE-KONTRAK</v>
      </c>
      <c r="J4237" s="16" t="n">
        <f aca="false" t="array" ref="J4237:J4237">IFERROR(INDEX(AC4237:AE4237,IF(COUNTA(AC4237:AE4237)=0,"",MAX((AC4237:AE4237&lt;&gt;"")*(COLUMN(AC4237:AE4237)-(COLUMN(AC4237)))))-1),"")</f>
        <v>45659</v>
      </c>
      <c r="K4237" s="16" t="n">
        <f aca="false" t="array" ref="K4237:K4237">IFERROR(INDEX(AC4237:AE4237,IF(COUNTA(AC4237:AE4237)=0,"",MAX((AC4237:AE4237&lt;&gt;"")*(COLUMN(AC4237:AE4237)-(COLUMN(AC4237)-1))))-1),"")</f>
        <v>46015</v>
      </c>
      <c r="L4237" s="17" t="str">
        <f aca="false" t="array" ref="L4237:L4237">IFERROR(INDEX(AC4237:AE4237,IF(COUNTA(AC4237:AE4237)=0,"",MAX((AC4237:AE4237&lt;&gt;"")*(COLUMN(AC4237:AE4237)-(COLUMN(AC4237)-2))))-1),"")</f>
        <v>ARCHIVED</v>
      </c>
      <c r="M4237" s="13" t="n">
        <f aca="true">K4237-TODAY()</f>
        <v>-309</v>
      </c>
      <c r="N4237" s="18" t="s">
        <v>728</v>
      </c>
      <c r="O4237" s="13" t="s">
        <v>1914</v>
      </c>
      <c r="P4237" s="19" t="n">
        <v>5444909</v>
      </c>
      <c r="Q4237" s="20" t="s">
        <v>17360</v>
      </c>
      <c r="R4237" s="13" t="s">
        <v>39</v>
      </c>
      <c r="S4237" s="14" t="n">
        <v>31805</v>
      </c>
      <c r="T4237" s="13" t="s">
        <v>108</v>
      </c>
      <c r="U4237" s="13" t="s">
        <v>17361</v>
      </c>
      <c r="V4237" s="13" t="s">
        <v>42</v>
      </c>
      <c r="W4237" s="13" t="s">
        <v>54</v>
      </c>
      <c r="X4237" s="21" t="n">
        <v>89518060020</v>
      </c>
      <c r="Y4237" s="22" t="str">
        <f aca="false">O4237</f>
        <v>Im Operator</v>
      </c>
      <c r="Z4237" s="13" t="str">
        <f aca="false">IFERROR(__xludf.dummyfunction("if(BJ4237="""","""",GOOGLETRANSLATE(BJ4237,""auto"",""en""))"),"Im Operator")</f>
        <v>Im Operator</v>
      </c>
      <c r="AA4237" s="23" t="str">
        <f aca="false">IF(C4237="","", CHOOSE(MONTH(C4237),"January","February","March","April","May","June","July","August","September","October","November","December")&amp;" "&amp;DAY(C4237)&amp;MID("thstndrdth",MIN(9,2*RIGHT(DAY(C4237))*(MOD(DAY(C4237)-11,100)&gt;2)+1),2)&amp;","&amp;TEXT(C4237," yyyy"))</f>
        <v>May 30th,2018</v>
      </c>
      <c r="AB4237" s="15" t="str">
        <f aca="true">IF(S4237="","",DATEDIF(S4237,TODAY(),"Y")&amp;" Tahun, "&amp;DATEDIF(S4237,TODAY(),"YM")&amp;" Bulan, "&amp;DATEDIF(S4237,TODAY(),"MD")&amp;" Hari")</f>
        <v>39 Tahun, 9 Bulan, 1 Hari</v>
      </c>
      <c r="AC4237" s="18" t="n">
        <v>45659</v>
      </c>
      <c r="AD4237" s="18" t="n">
        <v>46015</v>
      </c>
      <c r="AE4237" s="18" t="s">
        <v>44</v>
      </c>
    </row>
    <row r="4238" customFormat="false" ht="15" hidden="false" customHeight="true" outlineLevel="0" collapsed="false">
      <c r="A4238" s="12" t="n">
        <v>2271</v>
      </c>
      <c r="B4238" s="13" t="s">
        <v>17362</v>
      </c>
      <c r="C4238" s="14" t="n">
        <v>43487</v>
      </c>
      <c r="D4238" s="13" t="s">
        <v>1721</v>
      </c>
      <c r="E4238" s="15" t="s">
        <v>47</v>
      </c>
      <c r="F4238" s="15" t="str">
        <f aca="false">IFERROR(__xludf.dummyfunction("XLOOKUP(AJ4238,IMPORTRANGE(""1XaInW9DU9nz21V0tYIfzFQ0He9kVQ_JF2mCXgZ3hqFA"",""REKAP ALL 2026 - Andika!G:G""),IMPORTRANGE(""1XaInW9DU9nz21V0tYIfzFQ0He9kVQ_JF2mCXgZ3hqFA"",""REKAP ALL 2026 - Andika!F:F""),"""",0)"),"21096161944")</f>
        <v>21096161944</v>
      </c>
      <c r="G4238" s="13" t="s">
        <v>17363</v>
      </c>
      <c r="H4238" s="13" t="s">
        <v>35</v>
      </c>
      <c r="I4238" s="13" t="str">
        <f aca="false">IF(C4238=J4238,"NEW KONTRAK","RE-KONTRAK")</f>
        <v>RE-KONTRAK</v>
      </c>
      <c r="J4238" s="16" t="n">
        <f aca="false" t="array" ref="J4238:J4238">IFERROR(INDEX(AC4238:AE4238,IF(COUNTA(AC4238:AE4238)=0,"",MAX((AC4238:AE4238&lt;&gt;"")*(COLUMN(AC4238:AE4238)-(COLUMN(AC4238)))))-1),"")</f>
        <v>45659</v>
      </c>
      <c r="K4238" s="16" t="n">
        <f aca="false" t="array" ref="K4238:K4238">IFERROR(INDEX(AC4238:AE4238,IF(COUNTA(AC4238:AE4238)=0,"",MAX((AC4238:AE4238&lt;&gt;"")*(COLUMN(AC4238:AE4238)-(COLUMN(AC4238)-1))))-1),"")</f>
        <v>46015</v>
      </c>
      <c r="L4238" s="17" t="str">
        <f aca="false" t="array" ref="L4238:L4238">IFERROR(INDEX(AC4238:AE4238,IF(COUNTA(AC4238:AE4238)=0,"",MAX((AC4238:AE4238&lt;&gt;"")*(COLUMN(AC4238:AE4238)-(COLUMN(AC4238)-2))))-1),"")</f>
        <v>ARCHIVED</v>
      </c>
      <c r="M4238" s="13" t="n">
        <f aca="true">K4238-TODAY()</f>
        <v>-309</v>
      </c>
      <c r="N4238" s="18" t="s">
        <v>728</v>
      </c>
      <c r="O4238" s="13" t="s">
        <v>1914</v>
      </c>
      <c r="P4238" s="19" t="n">
        <v>5444909</v>
      </c>
      <c r="Q4238" s="20" t="s">
        <v>17364</v>
      </c>
      <c r="R4238" s="13" t="s">
        <v>1695</v>
      </c>
      <c r="S4238" s="14" t="n">
        <v>32735</v>
      </c>
      <c r="T4238" s="13" t="s">
        <v>108</v>
      </c>
      <c r="U4238" s="13" t="s">
        <v>17365</v>
      </c>
      <c r="V4238" s="13" t="s">
        <v>42</v>
      </c>
      <c r="W4238" s="28" t="s">
        <v>54</v>
      </c>
      <c r="X4238" s="21" t="n">
        <v>83143136373</v>
      </c>
      <c r="Y4238" s="22" t="str">
        <f aca="false">O4238</f>
        <v>Im Operator</v>
      </c>
      <c r="Z4238" s="13" t="str">
        <f aca="false">IFERROR(__xludf.dummyfunction("if(BJ4238="""","""",GOOGLETRANSLATE(BJ4238,""auto"",""en""))"),"Im Operator")</f>
        <v>Im Operator</v>
      </c>
      <c r="AA4238" s="23" t="str">
        <f aca="false">IF(C4238="","", CHOOSE(MONTH(C4238),"January","February","March","April","May","June","July","August","September","October","November","December")&amp;" "&amp;DAY(C4238)&amp;MID("thstndrdth",MIN(9,2*RIGHT(DAY(C4238))*(MOD(DAY(C4238)-11,100)&gt;2)+1),2)&amp;","&amp;TEXT(C4238," yyyy"))</f>
        <v>January 22nd,2019</v>
      </c>
      <c r="AB4238" s="15" t="str">
        <f aca="true">IF(S4238="","",DATEDIF(S4238,TODAY(),"Y")&amp;" Tahun, "&amp;DATEDIF(S4238,TODAY(),"YM")&amp;" Bulan, "&amp;DATEDIF(S4238,TODAY(),"MD")&amp;" Hari")</f>
        <v>37 Tahun, 2 Bulan, 14 Hari</v>
      </c>
      <c r="AC4238" s="18" t="n">
        <v>45659</v>
      </c>
      <c r="AD4238" s="18" t="n">
        <v>46015</v>
      </c>
      <c r="AE4238" s="18" t="s">
        <v>44</v>
      </c>
    </row>
    <row r="4239" customFormat="false" ht="15" hidden="false" customHeight="true" outlineLevel="0" collapsed="false">
      <c r="A4239" s="12" t="n">
        <v>22844</v>
      </c>
      <c r="B4239" s="13" t="s">
        <v>17366</v>
      </c>
      <c r="C4239" s="14" t="n">
        <v>46279</v>
      </c>
      <c r="D4239" s="13" t="s">
        <v>1721</v>
      </c>
      <c r="E4239" s="13" t="s">
        <v>47</v>
      </c>
      <c r="F4239" s="24" t="s">
        <v>17367</v>
      </c>
      <c r="G4239" s="13" t="s">
        <v>1452</v>
      </c>
      <c r="H4239" s="13" t="s">
        <v>35</v>
      </c>
      <c r="I4239" s="13" t="str">
        <f aca="false">IF(C4239=J4239,"NEW KONTRAK","RE-KONTRAK")</f>
        <v>NEW KONTRAK</v>
      </c>
      <c r="J4239" s="16" t="n">
        <f aca="false" t="array" ref="J4239:J4239">IFERROR(INDEX(AC4239:AE4239,IF(COUNTA(AC4239:AE4239)=0,"",MAX((AC4239:AE4239&lt;&gt;"")*(COLUMN(AC4239:AE4239)-(COLUMN(AC4239)))))-1),"")</f>
        <v>46279</v>
      </c>
      <c r="K4239" s="16" t="n">
        <f aca="false" t="array" ref="K4239:K4239">IFERROR(INDEX(AC4239:AE4239,IF(COUNTA(AC4239:AE4239)=0,"",MAX((AC4239:AE4239&lt;&gt;"")*(COLUMN(AC4239:AE4239)-(COLUMN(AC4239)-1))))-1),"")</f>
        <v>46386</v>
      </c>
      <c r="L4239" s="17" t="str">
        <f aca="false" t="array" ref="L4239:L4239">IFERROR(INDEX(AC4239:AE4239,IF(COUNTA(AC4239:AE4239)=0,"",MAX((AC4239:AE4239&lt;&gt;"")*(COLUMN(AC4239:AE4239)-(COLUMN(AC4239)-2))))-1),"")</f>
        <v>ARCHIVED</v>
      </c>
      <c r="M4239" s="13" t="n">
        <f aca="true">K4239-TODAY()</f>
        <v>62</v>
      </c>
      <c r="N4239" s="18" t="s">
        <v>728</v>
      </c>
      <c r="O4239" s="13" t="s">
        <v>1755</v>
      </c>
      <c r="P4239" s="26" t="n">
        <v>5444909</v>
      </c>
      <c r="Q4239" s="52" t="s">
        <v>17368</v>
      </c>
      <c r="R4239" s="48" t="s">
        <v>826</v>
      </c>
      <c r="S4239" s="25" t="n">
        <v>32720</v>
      </c>
      <c r="T4239" s="13" t="s">
        <v>108</v>
      </c>
      <c r="U4239" s="13" t="s">
        <v>17369</v>
      </c>
      <c r="V4239" s="13" t="s">
        <v>42</v>
      </c>
      <c r="W4239" s="28" t="s">
        <v>54</v>
      </c>
      <c r="X4239" s="21" t="n">
        <v>895327508989</v>
      </c>
      <c r="Y4239" s="22" t="str">
        <f aca="false">O4239</f>
        <v>Im.Operator</v>
      </c>
      <c r="Z4239" s="13" t="str">
        <f aca="false">IFERROR(__xludf.dummyfunction("if(BJ4239="""","""",GOOGLETRANSLATE(BJ4239,""auto"",""en""))"),"Im.Operator")</f>
        <v>Im.Operator</v>
      </c>
      <c r="AA4239" s="23" t="str">
        <f aca="false">IF(C4239="","", CHOOSE(MONTH(C4239),"January","February","March","April","May","June","July","August","September","October","November","December")&amp;" "&amp;DAY(C4239)&amp;MID("thstndrdth",MIN(9,2*RIGHT(DAY(C4239))*(MOD(DAY(C4239)-11,100)&gt;2)+1),2)&amp;","&amp;TEXT(C4239," yyyy"))</f>
        <v>September 14th,2026</v>
      </c>
      <c r="AB4239" s="15" t="str">
        <f aca="true">IF(S4239="","",DATEDIF(S4239,TODAY(),"Y")&amp;" Tahun, "&amp;DATEDIF(S4239,TODAY(),"YM")&amp;" Bulan, "&amp;DATEDIF(S4239,TODAY(),"MD")&amp;" Hari")</f>
        <v>37 Tahun, 2 Bulan, 28 Hari</v>
      </c>
      <c r="AC4239" s="14" t="n">
        <v>46279</v>
      </c>
      <c r="AD4239" s="18" t="n">
        <v>46386</v>
      </c>
      <c r="AE4239" s="13" t="s">
        <v>44</v>
      </c>
    </row>
    <row r="4240" customFormat="false" ht="15" hidden="false" customHeight="true" outlineLevel="0" collapsed="false">
      <c r="A4240" s="12" t="n">
        <v>4638</v>
      </c>
      <c r="B4240" s="13" t="s">
        <v>17370</v>
      </c>
      <c r="C4240" s="14" t="n">
        <v>43357</v>
      </c>
      <c r="D4240" s="13" t="s">
        <v>1721</v>
      </c>
      <c r="E4240" s="15" t="s">
        <v>47</v>
      </c>
      <c r="F4240" s="15" t="str">
        <f aca="false">IFERROR(__xludf.dummyfunction("XLOOKUP(AJ4240,IMPORTRANGE(""1XaInW9DU9nz21V0tYIfzFQ0He9kVQ_JF2mCXgZ3hqFA"",""REKAP ALL 2026 - Andika!G:G""),IMPORTRANGE(""1XaInW9DU9nz21V0tYIfzFQ0He9kVQ_JF2mCXgZ3hqFA"",""REKAP ALL 2026 - Andika!F:F""),"""",0)"),"22015020153")</f>
        <v>22015020153</v>
      </c>
      <c r="G4240" s="13" t="s">
        <v>17371</v>
      </c>
      <c r="H4240" s="13" t="s">
        <v>35</v>
      </c>
      <c r="I4240" s="13" t="str">
        <f aca="false">IF(C4240=J4240,"NEW KONTRAK","RE-KONTRAK")</f>
        <v>RE-KONTRAK</v>
      </c>
      <c r="J4240" s="16" t="n">
        <f aca="false" t="array" ref="J4240:J4240">IFERROR(INDEX(AC4240:AE4240,IF(COUNTA(AC4240:AE4240)=0,"",MAX((AC4240:AE4240&lt;&gt;"")*(COLUMN(AC4240:AE4240)-(COLUMN(AC4240)))))-1),"")</f>
        <v>45659</v>
      </c>
      <c r="K4240" s="16" t="n">
        <f aca="false" t="array" ref="K4240:K4240">IFERROR(INDEX(AC4240:AE4240,IF(COUNTA(AC4240:AE4240)=0,"",MAX((AC4240:AE4240&lt;&gt;"")*(COLUMN(AC4240:AE4240)-(COLUMN(AC4240)-1))))-1),"")</f>
        <v>46015</v>
      </c>
      <c r="L4240" s="17" t="str">
        <f aca="false" t="array" ref="L4240:L4240">IFERROR(INDEX(AC4240:AE4240,IF(COUNTA(AC4240:AE4240)=0,"",MAX((AC4240:AE4240&lt;&gt;"")*(COLUMN(AC4240:AE4240)-(COLUMN(AC4240)-2))))-1),"")</f>
        <v>ARCHIVED</v>
      </c>
      <c r="M4240" s="13" t="n">
        <f aca="true">K4240-TODAY()</f>
        <v>-309</v>
      </c>
      <c r="N4240" s="18" t="s">
        <v>728</v>
      </c>
      <c r="O4240" s="13" t="s">
        <v>1789</v>
      </c>
      <c r="P4240" s="19" t="n">
        <v>5444909</v>
      </c>
      <c r="Q4240" s="20" t="s">
        <v>17372</v>
      </c>
      <c r="R4240" s="13" t="s">
        <v>39</v>
      </c>
      <c r="S4240" s="14" t="n">
        <v>35904</v>
      </c>
      <c r="T4240" s="13" t="s">
        <v>40</v>
      </c>
      <c r="U4240" s="13" t="s">
        <v>17373</v>
      </c>
      <c r="V4240" s="13" t="s">
        <v>42</v>
      </c>
      <c r="W4240" s="13" t="s">
        <v>43</v>
      </c>
      <c r="X4240" s="21" t="n">
        <v>82333071161</v>
      </c>
      <c r="Y4240" s="22" t="str">
        <f aca="false">O4240</f>
        <v>Assy Transfer</v>
      </c>
      <c r="Z4240" s="13" t="str">
        <f aca="false">IFERROR(__xludf.dummyfunction("if(BJ4240="""","""",GOOGLETRANSLATE(BJ4240,""auto"",""en""))"),"Assy Transfer")</f>
        <v>Assy Transfer</v>
      </c>
      <c r="AA4240" s="23" t="str">
        <f aca="false">IF(C4240="","", CHOOSE(MONTH(C4240),"January","February","March","April","May","June","July","August","September","October","November","December")&amp;" "&amp;DAY(C4240)&amp;MID("thstndrdth",MIN(9,2*RIGHT(DAY(C4240))*(MOD(DAY(C4240)-11,100)&gt;2)+1),2)&amp;","&amp;TEXT(C4240," yyyy"))</f>
        <v>September 14th,2018</v>
      </c>
      <c r="AB4240" s="15" t="str">
        <f aca="true">IF(S4240="","",DATEDIF(S4240,TODAY(),"Y")&amp;" Tahun, "&amp;DATEDIF(S4240,TODAY(),"YM")&amp;" Bulan, "&amp;DATEDIF(S4240,TODAY(),"MD")&amp;" Hari")</f>
        <v>28 Tahun, 6 Bulan, 10 Hari</v>
      </c>
      <c r="AC4240" s="18" t="n">
        <v>45659</v>
      </c>
      <c r="AD4240" s="18" t="n">
        <v>46015</v>
      </c>
      <c r="AE4240" s="18" t="s">
        <v>44</v>
      </c>
    </row>
    <row r="4241" customFormat="false" ht="15" hidden="false" customHeight="true" outlineLevel="0" collapsed="false">
      <c r="A4241" s="12" t="n">
        <v>2272</v>
      </c>
      <c r="B4241" s="13" t="s">
        <v>17374</v>
      </c>
      <c r="C4241" s="14" t="n">
        <v>42381</v>
      </c>
      <c r="D4241" s="13" t="s">
        <v>1721</v>
      </c>
      <c r="E4241" s="15" t="s">
        <v>47</v>
      </c>
      <c r="F4241" s="15" t="str">
        <f aca="false">IFERROR(__xludf.dummyfunction("XLOOKUP(AJ4241,IMPORTRANGE(""1XaInW9DU9nz21V0tYIfzFQ0He9kVQ_JF2mCXgZ3hqFA"",""REKAP ALL 2026 - Andika!G:G""),IMPORTRANGE(""1XaInW9DU9nz21V0tYIfzFQ0He9kVQ_JF2mCXgZ3hqFA"",""REKAP ALL 2026 - Andika!F:F""),"""",0)"),"16008872570")</f>
        <v>16008872570</v>
      </c>
      <c r="G4241" s="13" t="s">
        <v>17375</v>
      </c>
      <c r="H4241" s="13" t="s">
        <v>35</v>
      </c>
      <c r="I4241" s="13" t="str">
        <f aca="false">IF(C4241=J4241,"NEW KONTRAK","RE-KONTRAK")</f>
        <v>RE-KONTRAK</v>
      </c>
      <c r="J4241" s="16" t="n">
        <f aca="false" t="array" ref="J4241:J4241">IFERROR(INDEX(AC4241:AE4241,IF(COUNTA(AC4241:AE4241)=0,"",MAX((AC4241:AE4241&lt;&gt;"")*(COLUMN(AC4241:AE4241)-(COLUMN(AC4241)))))-1),"")</f>
        <v>45659</v>
      </c>
      <c r="K4241" s="16" t="n">
        <f aca="false" t="array" ref="K4241:K4241">IFERROR(INDEX(AC4241:AE4241,IF(COUNTA(AC4241:AE4241)=0,"",MAX((AC4241:AE4241&lt;&gt;"")*(COLUMN(AC4241:AE4241)-(COLUMN(AC4241)-1))))-1),"")</f>
        <v>46015</v>
      </c>
      <c r="L4241" s="17" t="str">
        <f aca="false" t="array" ref="L4241:L4241">IFERROR(INDEX(AC4241:AE4241,IF(COUNTA(AC4241:AE4241)=0,"",MAX((AC4241:AE4241&lt;&gt;"")*(COLUMN(AC4241:AE4241)-(COLUMN(AC4241)-2))))-1),"")</f>
        <v>ARCHIVED</v>
      </c>
      <c r="M4241" s="13" t="n">
        <f aca="true">K4241-TODAY()</f>
        <v>-309</v>
      </c>
      <c r="N4241" s="18" t="s">
        <v>728</v>
      </c>
      <c r="O4241" s="13" t="s">
        <v>1914</v>
      </c>
      <c r="P4241" s="19" t="n">
        <v>5444909</v>
      </c>
      <c r="Q4241" s="20" t="s">
        <v>17376</v>
      </c>
      <c r="R4241" s="13" t="s">
        <v>826</v>
      </c>
      <c r="S4241" s="14" t="n">
        <v>33775</v>
      </c>
      <c r="T4241" s="13" t="s">
        <v>108</v>
      </c>
      <c r="U4241" s="13" t="s">
        <v>17377</v>
      </c>
      <c r="V4241" s="13" t="s">
        <v>42</v>
      </c>
      <c r="W4241" s="13" t="s">
        <v>54</v>
      </c>
      <c r="X4241" s="21" t="n">
        <v>85645130665</v>
      </c>
      <c r="Y4241" s="22" t="str">
        <f aca="false">O4241</f>
        <v>Im Operator</v>
      </c>
      <c r="Z4241" s="13" t="str">
        <f aca="false">IFERROR(__xludf.dummyfunction("if(BJ4241="""","""",GOOGLETRANSLATE(BJ4241,""auto"",""en""))"),"Im Operator")</f>
        <v>Im Operator</v>
      </c>
      <c r="AA4241" s="23" t="str">
        <f aca="false">IF(C4241="","", CHOOSE(MONTH(C4241),"January","February","March","April","May","June","July","August","September","October","November","December")&amp;" "&amp;DAY(C4241)&amp;MID("thstndrdth",MIN(9,2*RIGHT(DAY(C4241))*(MOD(DAY(C4241)-11,100)&gt;2)+1),2)&amp;","&amp;TEXT(C4241," yyyy"))</f>
        <v>January 12th,2016</v>
      </c>
      <c r="AB4241" s="15" t="str">
        <f aca="true">IF(S4241="","",DATEDIF(S4241,TODAY(),"Y")&amp;" Tahun, "&amp;DATEDIF(S4241,TODAY(),"YM")&amp;" Bulan, "&amp;DATEDIF(S4241,TODAY(),"MD")&amp;" Hari")</f>
        <v>34 Tahun, 4 Bulan, 9 Hari</v>
      </c>
      <c r="AC4241" s="18" t="n">
        <v>45659</v>
      </c>
      <c r="AD4241" s="18" t="n">
        <v>46015</v>
      </c>
      <c r="AE4241" s="18" t="s">
        <v>44</v>
      </c>
    </row>
    <row r="4242" customFormat="false" ht="15" hidden="false" customHeight="true" outlineLevel="0" collapsed="false">
      <c r="A4242" s="12" t="n">
        <v>2274</v>
      </c>
      <c r="B4242" s="13" t="s">
        <v>17378</v>
      </c>
      <c r="C4242" s="14" t="n">
        <v>43250</v>
      </c>
      <c r="D4242" s="13" t="s">
        <v>1721</v>
      </c>
      <c r="E4242" s="15" t="s">
        <v>47</v>
      </c>
      <c r="F4242" s="15" t="str">
        <f aca="false">IFERROR(__xludf.dummyfunction("XLOOKUP(AJ4242,IMPORTRANGE(""1XaInW9DU9nz21V0tYIfzFQ0He9kVQ_JF2mCXgZ3hqFA"",""REKAP ALL 2026 - Andika!G:G""),IMPORTRANGE(""1XaInW9DU9nz21V0tYIfzFQ0He9kVQ_JF2mCXgZ3hqFA"",""REKAP ALL 2026 - Andika!F:F""),"""",0)"),"13002420019")</f>
        <v>13002420019</v>
      </c>
      <c r="G4242" s="13" t="s">
        <v>17379</v>
      </c>
      <c r="H4242" s="13" t="s">
        <v>35</v>
      </c>
      <c r="I4242" s="13" t="str">
        <f aca="false">IF(C4242=J4242,"NEW KONTRAK","RE-KONTRAK")</f>
        <v>RE-KONTRAK</v>
      </c>
      <c r="J4242" s="16" t="n">
        <f aca="false" t="array" ref="J4242:J4242">IFERROR(INDEX(AC4242:AE4242,IF(COUNTA(AC4242:AE4242)=0,"",MAX((AC4242:AE4242&lt;&gt;"")*(COLUMN(AC4242:AE4242)-(COLUMN(AC4242)))))-1),"")</f>
        <v>45659</v>
      </c>
      <c r="K4242" s="16" t="n">
        <f aca="false" t="array" ref="K4242:K4242">IFERROR(INDEX(AC4242:AE4242,IF(COUNTA(AC4242:AE4242)=0,"",MAX((AC4242:AE4242&lt;&gt;"")*(COLUMN(AC4242:AE4242)-(COLUMN(AC4242)-1))))-1),"")</f>
        <v>46015</v>
      </c>
      <c r="L4242" s="17" t="str">
        <f aca="false" t="array" ref="L4242:L4242">IFERROR(INDEX(AC4242:AE4242,IF(COUNTA(AC4242:AE4242)=0,"",MAX((AC4242:AE4242&lt;&gt;"")*(COLUMN(AC4242:AE4242)-(COLUMN(AC4242)-2))))-1),"")</f>
        <v>ARCHIVED</v>
      </c>
      <c r="M4242" s="13" t="n">
        <f aca="true">K4242-TODAY()</f>
        <v>-309</v>
      </c>
      <c r="N4242" s="18" t="s">
        <v>728</v>
      </c>
      <c r="O4242" s="13" t="s">
        <v>1914</v>
      </c>
      <c r="P4242" s="19" t="n">
        <v>5444909</v>
      </c>
      <c r="Q4242" s="20" t="s">
        <v>17380</v>
      </c>
      <c r="R4242" s="13" t="s">
        <v>879</v>
      </c>
      <c r="S4242" s="14" t="n">
        <v>30214</v>
      </c>
      <c r="T4242" s="13" t="s">
        <v>108</v>
      </c>
      <c r="U4242" s="13" t="s">
        <v>17381</v>
      </c>
      <c r="V4242" s="13" t="s">
        <v>42</v>
      </c>
      <c r="W4242" s="13" t="s">
        <v>54</v>
      </c>
      <c r="X4242" s="21" t="n">
        <v>85748766040</v>
      </c>
      <c r="Y4242" s="22" t="str">
        <f aca="false">O4242</f>
        <v>Im Operator</v>
      </c>
      <c r="Z4242" s="13" t="str">
        <f aca="false">IFERROR(__xludf.dummyfunction("if(BJ4242="""","""",GOOGLETRANSLATE(BJ4242,""auto"",""en""))"),"Im Operator")</f>
        <v>Im Operator</v>
      </c>
      <c r="AA4242" s="23" t="str">
        <f aca="false">IF(C4242="","", CHOOSE(MONTH(C4242),"January","February","March","April","May","June","July","August","September","October","November","December")&amp;" "&amp;DAY(C4242)&amp;MID("thstndrdth",MIN(9,2*RIGHT(DAY(C4242))*(MOD(DAY(C4242)-11,100)&gt;2)+1),2)&amp;","&amp;TEXT(C4242," yyyy"))</f>
        <v>May 30th,2018</v>
      </c>
      <c r="AB4242" s="15" t="str">
        <f aca="true">IF(S4242="","",DATEDIF(S4242,TODAY(),"Y")&amp;" Tahun, "&amp;DATEDIF(S4242,TODAY(),"YM")&amp;" Bulan, "&amp;DATEDIF(S4242,TODAY(),"MD")&amp;" Hari")</f>
        <v>44 Tahun, 1 Bulan, 9 Hari</v>
      </c>
      <c r="AC4242" s="18" t="n">
        <v>45659</v>
      </c>
      <c r="AD4242" s="18" t="n">
        <v>46015</v>
      </c>
      <c r="AE4242" s="18" t="s">
        <v>44</v>
      </c>
    </row>
    <row r="4243" customFormat="false" ht="15" hidden="false" customHeight="true" outlineLevel="0" collapsed="false">
      <c r="A4243" s="12" t="n">
        <v>2275</v>
      </c>
      <c r="B4243" s="13" t="s">
        <v>17382</v>
      </c>
      <c r="C4243" s="14" t="n">
        <v>43374</v>
      </c>
      <c r="D4243" s="13" t="s">
        <v>1721</v>
      </c>
      <c r="E4243" s="15" t="s">
        <v>47</v>
      </c>
      <c r="F4243" s="15" t="str">
        <f aca="false">IFERROR(__xludf.dummyfunction("XLOOKUP(AJ4243,IMPORTRANGE(""1XaInW9DU9nz21V0tYIfzFQ0He9kVQ_JF2mCXgZ3hqFA"",""REKAP ALL 2026 - Andika!G:G""),IMPORTRANGE(""1XaInW9DU9nz21V0tYIfzFQ0He9kVQ_JF2mCXgZ3hqFA"",""REKAP ALL 2026 - Andika!F:F""),"""",0)"),"21014140889")</f>
        <v>21014140889</v>
      </c>
      <c r="G4243" s="13" t="s">
        <v>17383</v>
      </c>
      <c r="H4243" s="13" t="s">
        <v>35</v>
      </c>
      <c r="I4243" s="13" t="str">
        <f aca="false">IF(C4243=J4243,"NEW KONTRAK","RE-KONTRAK")</f>
        <v>RE-KONTRAK</v>
      </c>
      <c r="J4243" s="16" t="n">
        <f aca="false" t="array" ref="J4243:J4243">IFERROR(INDEX(AC4243:AE4243,IF(COUNTA(AC4243:AE4243)=0,"",MAX((AC4243:AE4243&lt;&gt;"")*(COLUMN(AC4243:AE4243)-(COLUMN(AC4243)))))-1),"")</f>
        <v>45659</v>
      </c>
      <c r="K4243" s="16" t="n">
        <f aca="false" t="array" ref="K4243:K4243">IFERROR(INDEX(AC4243:AE4243,IF(COUNTA(AC4243:AE4243)=0,"",MAX((AC4243:AE4243&lt;&gt;"")*(COLUMN(AC4243:AE4243)-(COLUMN(AC4243)-1))))-1),"")</f>
        <v>46015</v>
      </c>
      <c r="L4243" s="17" t="str">
        <f aca="false" t="array" ref="L4243:L4243">IFERROR(INDEX(AC4243:AE4243,IF(COUNTA(AC4243:AE4243)=0,"",MAX((AC4243:AE4243&lt;&gt;"")*(COLUMN(AC4243:AE4243)-(COLUMN(AC4243)-2))))-1),"")</f>
        <v>ARCHIVED</v>
      </c>
      <c r="M4243" s="13" t="n">
        <f aca="true">K4243-TODAY()</f>
        <v>-309</v>
      </c>
      <c r="N4243" s="18" t="s">
        <v>728</v>
      </c>
      <c r="O4243" s="13" t="s">
        <v>1870</v>
      </c>
      <c r="P4243" s="19" t="n">
        <v>5444909</v>
      </c>
      <c r="Q4243" s="20" t="s">
        <v>17384</v>
      </c>
      <c r="R4243" s="13" t="s">
        <v>52</v>
      </c>
      <c r="S4243" s="14" t="n">
        <v>34841</v>
      </c>
      <c r="T4243" s="13" t="s">
        <v>108</v>
      </c>
      <c r="U4243" s="13" t="s">
        <v>17385</v>
      </c>
      <c r="V4243" s="13" t="s">
        <v>42</v>
      </c>
      <c r="W4243" s="28" t="s">
        <v>54</v>
      </c>
      <c r="X4243" s="21" t="n">
        <v>8816057432</v>
      </c>
      <c r="Y4243" s="22" t="str">
        <f aca="false">O4243</f>
        <v>Bm Operator</v>
      </c>
      <c r="Z4243" s="13" t="str">
        <f aca="false">IFERROR(__xludf.dummyfunction("if(BJ4243="""","""",GOOGLETRANSLATE(BJ4243,""auto"",""en""))"),"Bm Operator")</f>
        <v>Bm Operator</v>
      </c>
      <c r="AA4243" s="23" t="str">
        <f aca="false">IF(C4243="","", CHOOSE(MONTH(C4243),"January","February","March","April","May","June","July","August","September","October","November","December")&amp;" "&amp;DAY(C4243)&amp;MID("thstndrdth",MIN(9,2*RIGHT(DAY(C4243))*(MOD(DAY(C4243)-11,100)&gt;2)+1),2)&amp;","&amp;TEXT(C4243," yyyy"))</f>
        <v>October 1st,2018</v>
      </c>
      <c r="AB4243" s="15" t="str">
        <f aca="true">IF(S4243="","",DATEDIF(S4243,TODAY(),"Y")&amp;" Tahun, "&amp;DATEDIF(S4243,TODAY(),"YM")&amp;" Bulan, "&amp;DATEDIF(S4243,TODAY(),"MD")&amp;" Hari")</f>
        <v>31 Tahun, 5 Bulan, 7 Hari</v>
      </c>
      <c r="AC4243" s="18" t="n">
        <v>45659</v>
      </c>
      <c r="AD4243" s="18" t="n">
        <v>46015</v>
      </c>
      <c r="AE4243" s="18" t="s">
        <v>44</v>
      </c>
    </row>
    <row r="4244" customFormat="false" ht="15" hidden="false" customHeight="true" outlineLevel="0" collapsed="false">
      <c r="A4244" s="12" t="n">
        <v>2276</v>
      </c>
      <c r="B4244" s="13" t="s">
        <v>17386</v>
      </c>
      <c r="C4244" s="14" t="n">
        <v>44505</v>
      </c>
      <c r="D4244" s="13" t="s">
        <v>1721</v>
      </c>
      <c r="E4244" s="15" t="s">
        <v>47</v>
      </c>
      <c r="F4244" s="15" t="str">
        <f aca="false">IFERROR(__xludf.dummyfunction("XLOOKUP(AJ4244,IMPORTRANGE(""1XaInW9DU9nz21V0tYIfzFQ0He9kVQ_JF2mCXgZ3hqFA"",""REKAP ALL 2026 - Andika!G:G""),IMPORTRANGE(""1XaInW9DU9nz21V0tYIfzFQ0He9kVQ_JF2mCXgZ3hqFA"",""REKAP ALL 2026 - Andika!F:F""),"""",0)"),"21096161910")</f>
        <v>21096161910</v>
      </c>
      <c r="G4244" s="13" t="s">
        <v>17387</v>
      </c>
      <c r="H4244" s="13" t="s">
        <v>35</v>
      </c>
      <c r="I4244" s="13" t="str">
        <f aca="false">IF(C4244=J4244,"NEW KONTRAK","RE-KONTRAK")</f>
        <v>RE-KONTRAK</v>
      </c>
      <c r="J4244" s="16" t="n">
        <f aca="false" t="array" ref="J4244:J4244">IFERROR(INDEX(AC4244:AE4244,IF(COUNTA(AC4244:AE4244)=0,"",MAX((AC4244:AE4244&lt;&gt;"")*(COLUMN(AC4244:AE4244)-(COLUMN(AC4244)))))-1),"")</f>
        <v>45659</v>
      </c>
      <c r="K4244" s="16" t="n">
        <f aca="false" t="array" ref="K4244:K4244">IFERROR(INDEX(AC4244:AE4244,IF(COUNTA(AC4244:AE4244)=0,"",MAX((AC4244:AE4244&lt;&gt;"")*(COLUMN(AC4244:AE4244)-(COLUMN(AC4244)-1))))-1),"")</f>
        <v>46015</v>
      </c>
      <c r="L4244" s="17" t="str">
        <f aca="false" t="array" ref="L4244:L4244">IFERROR(INDEX(AC4244:AE4244,IF(COUNTA(AC4244:AE4244)=0,"",MAX((AC4244:AE4244&lt;&gt;"")*(COLUMN(AC4244:AE4244)-(COLUMN(AC4244)-2))))-1),"")</f>
        <v>ARCHIVED</v>
      </c>
      <c r="M4244" s="13" t="n">
        <f aca="true">K4244-TODAY()</f>
        <v>-309</v>
      </c>
      <c r="N4244" s="18" t="s">
        <v>728</v>
      </c>
      <c r="O4244" s="13" t="s">
        <v>1744</v>
      </c>
      <c r="P4244" s="19" t="n">
        <v>5444909</v>
      </c>
      <c r="Q4244" s="20" t="s">
        <v>17388</v>
      </c>
      <c r="R4244" s="13" t="s">
        <v>168</v>
      </c>
      <c r="S4244" s="14" t="n">
        <v>34759</v>
      </c>
      <c r="T4244" s="13" t="s">
        <v>108</v>
      </c>
      <c r="U4244" s="13" t="s">
        <v>17389</v>
      </c>
      <c r="V4244" s="13" t="s">
        <v>42</v>
      </c>
      <c r="W4244" s="13" t="s">
        <v>54</v>
      </c>
      <c r="X4244" s="21" t="n">
        <v>85732760989</v>
      </c>
      <c r="Y4244" s="22" t="str">
        <f aca="false">O4244</f>
        <v>Print Operator</v>
      </c>
      <c r="Z4244" s="13" t="str">
        <f aca="false">IFERROR(__xludf.dummyfunction("if(BJ4244="""","""",GOOGLETRANSLATE(BJ4244,""auto"",""en""))"),"Print Operator")</f>
        <v>Print Operator</v>
      </c>
      <c r="AA4244" s="23" t="str">
        <f aca="false">IF(C4244="","", CHOOSE(MONTH(C4244),"January","February","March","April","May","June","July","August","September","October","November","December")&amp;" "&amp;DAY(C4244)&amp;MID("thstndrdth",MIN(9,2*RIGHT(DAY(C4244))*(MOD(DAY(C4244)-11,100)&gt;2)+1),2)&amp;","&amp;TEXT(C4244," yyyy"))</f>
        <v>November 5th,2021</v>
      </c>
      <c r="AB4244" s="15" t="str">
        <f aca="true">IF(S4244="","",DATEDIF(S4244,TODAY(),"Y")&amp;" Tahun, "&amp;DATEDIF(S4244,TODAY(),"YM")&amp;" Bulan, "&amp;DATEDIF(S4244,TODAY(),"MD")&amp;" Hari")</f>
        <v>31 Tahun, 7 Bulan, 28 Hari</v>
      </c>
      <c r="AC4244" s="18" t="n">
        <v>45659</v>
      </c>
      <c r="AD4244" s="18" t="n">
        <v>46015</v>
      </c>
      <c r="AE4244" s="18" t="s">
        <v>44</v>
      </c>
    </row>
    <row r="4245" customFormat="false" ht="15" hidden="false" customHeight="true" outlineLevel="0" collapsed="false">
      <c r="A4245" s="12" t="n">
        <v>22879</v>
      </c>
      <c r="B4245" s="13" t="s">
        <v>17390</v>
      </c>
      <c r="C4245" s="14" t="n">
        <v>46281</v>
      </c>
      <c r="D4245" s="13" t="s">
        <v>12814</v>
      </c>
      <c r="E4245" s="13" t="s">
        <v>47</v>
      </c>
      <c r="F4245" s="24" t="s">
        <v>17391</v>
      </c>
      <c r="G4245" s="13" t="s">
        <v>1452</v>
      </c>
      <c r="H4245" s="13" t="s">
        <v>35</v>
      </c>
      <c r="I4245" s="13" t="str">
        <f aca="false">IF(C4245=J4245,"NEW KONTRAK","RE-KONTRAK")</f>
        <v>NEW KONTRAK</v>
      </c>
      <c r="J4245" s="16" t="n">
        <f aca="false" t="array" ref="J4245:J4245">IFERROR(INDEX(AC4245:AE4245,IF(COUNTA(AC4245:AE4245)=0,"",MAX((AC4245:AE4245&lt;&gt;"")*(COLUMN(AC4245:AE4245)-(COLUMN(AC4245)))))-1),"")</f>
        <v>46281</v>
      </c>
      <c r="K4245" s="16" t="n">
        <f aca="false" t="array" ref="K4245:K4245">IFERROR(INDEX(AC4245:AE4245,IF(COUNTA(AC4245:AE4245)=0,"",MAX((AC4245:AE4245&lt;&gt;"")*(COLUMN(AC4245:AE4245)-(COLUMN(AC4245)-1))))-1),"")</f>
        <v>46387</v>
      </c>
      <c r="L4245" s="17" t="str">
        <f aca="false" t="array" ref="L4245:L4245">IFERROR(INDEX(AC4245:AE4245,IF(COUNTA(AC4245:AE4245)=0,"",MAX((AC4245:AE4245&lt;&gt;"")*(COLUMN(AC4245:AE4245)-(COLUMN(AC4245)-2))))-1),"")</f>
        <v>ARCHIVED</v>
      </c>
      <c r="M4245" s="13" t="n">
        <f aca="true">K4245-TODAY()</f>
        <v>63</v>
      </c>
      <c r="N4245" s="18" t="s">
        <v>36</v>
      </c>
      <c r="O4245" s="13" t="s">
        <v>12815</v>
      </c>
      <c r="P4245" s="19" t="n">
        <v>5195401</v>
      </c>
      <c r="Q4245" s="20" t="s">
        <v>17392</v>
      </c>
      <c r="R4245" s="13" t="s">
        <v>65</v>
      </c>
      <c r="S4245" s="25" t="n">
        <v>35059</v>
      </c>
      <c r="T4245" s="13" t="s">
        <v>108</v>
      </c>
      <c r="U4245" s="13" t="s">
        <v>17393</v>
      </c>
      <c r="V4245" s="13" t="s">
        <v>42</v>
      </c>
      <c r="W4245" s="13" t="s">
        <v>43</v>
      </c>
      <c r="X4245" s="21" t="n">
        <v>81335114608</v>
      </c>
      <c r="Y4245" s="22" t="str">
        <f aca="false">O4245</f>
        <v>Cook Helper</v>
      </c>
      <c r="Z4245" s="13" t="str">
        <f aca="false">IFERROR(__xludf.dummyfunction("if(BJ4245="""","""",GOOGLETRANSLATE(BJ4245,""auto"",""en""))"),"Cook Helper")</f>
        <v>Cook Helper</v>
      </c>
      <c r="AA4245" s="23" t="str">
        <f aca="false">IF(C4245="","", CHOOSE(MONTH(C4245),"January","February","March","April","May","June","July","August","September","October","November","December")&amp;" "&amp;DAY(C4245)&amp;MID("thstndrdth",MIN(9,2*RIGHT(DAY(C4245))*(MOD(DAY(C4245)-11,100)&gt;2)+1),2)&amp;","&amp;TEXT(C4245," yyyy"))</f>
        <v>September 16th,2026</v>
      </c>
      <c r="AB4245" s="15" t="str">
        <f aca="true">IF(S4245="","",DATEDIF(S4245,TODAY(),"Y")&amp;" Tahun, "&amp;DATEDIF(S4245,TODAY(),"YM")&amp;" Bulan, "&amp;DATEDIF(S4245,TODAY(),"MD")&amp;" Hari")</f>
        <v>30 Tahun, 10 Bulan, 3 Hari</v>
      </c>
      <c r="AC4245" s="14" t="n">
        <v>46281</v>
      </c>
      <c r="AD4245" s="18" t="n">
        <v>46387</v>
      </c>
      <c r="AE4245" s="13" t="s">
        <v>44</v>
      </c>
    </row>
    <row r="4246" customFormat="false" ht="15" hidden="false" customHeight="true" outlineLevel="0" collapsed="false">
      <c r="A4246" s="12" t="n">
        <v>22880</v>
      </c>
      <c r="B4246" s="13" t="s">
        <v>17394</v>
      </c>
      <c r="C4246" s="14" t="n">
        <v>46320</v>
      </c>
      <c r="D4246" s="13" t="s">
        <v>6487</v>
      </c>
      <c r="E4246" s="13" t="s">
        <v>47</v>
      </c>
      <c r="F4246" s="24" t="s">
        <v>17395</v>
      </c>
      <c r="G4246" s="13" t="s">
        <v>1452</v>
      </c>
      <c r="H4246" s="13" t="s">
        <v>35</v>
      </c>
      <c r="I4246" s="13" t="str">
        <f aca="false">IF(C4246=J4246,"NEW KONTRAK","RE-KONTRAK")</f>
        <v>NEW KONTRAK</v>
      </c>
      <c r="J4246" s="16" t="n">
        <f aca="false" t="array" ref="J4246:J4246">IFERROR(INDEX(AC4246:AE4246,IF(COUNTA(AC4246:AE4246)=0,"",MAX((AC4246:AE4246&lt;&gt;"")*(COLUMN(AC4246:AE4246)-(COLUMN(AC4246)))))-1),"")</f>
        <v>46320</v>
      </c>
      <c r="K4246" s="16" t="n">
        <f aca="false" t="array" ref="K4246:K4246">IFERROR(INDEX(AC4246:AE4246,IF(COUNTA(AC4246:AE4246)=0,"",MAX((AC4246:AE4246&lt;&gt;"")*(COLUMN(AC4246:AE4246)-(COLUMN(AC4246)-1))))-1),"")</f>
        <v>46387</v>
      </c>
      <c r="L4246" s="17" t="str">
        <f aca="false" t="array" ref="L4246:L4246">IFERROR(INDEX(AC4246:AE4246,IF(COUNTA(AC4246:AE4246)=0,"",MAX((AC4246:AE4246&lt;&gt;"")*(COLUMN(AC4246:AE4246)-(COLUMN(AC4246)-2))))-1),"")</f>
        <v>ARCHIVED</v>
      </c>
      <c r="M4246" s="13" t="n">
        <f aca="true">K4246-TODAY()</f>
        <v>63</v>
      </c>
      <c r="N4246" s="18" t="s">
        <v>4735</v>
      </c>
      <c r="O4246" s="13" t="s">
        <v>11196</v>
      </c>
      <c r="P4246" s="26" t="n">
        <v>3802862</v>
      </c>
      <c r="Q4246" s="20" t="s">
        <v>17396</v>
      </c>
      <c r="R4246" s="13" t="s">
        <v>83</v>
      </c>
      <c r="S4246" s="25" t="n">
        <v>39015</v>
      </c>
      <c r="T4246" s="13" t="s">
        <v>40</v>
      </c>
      <c r="U4246" s="13" t="s">
        <v>17397</v>
      </c>
      <c r="V4246" s="13" t="s">
        <v>42</v>
      </c>
      <c r="W4246" s="13" t="s">
        <v>43</v>
      </c>
      <c r="X4246" s="21" t="s">
        <v>17398</v>
      </c>
      <c r="Y4246" s="22" t="str">
        <f aca="false">O4246</f>
        <v>Helper Gudang</v>
      </c>
      <c r="Z4246" s="13" t="str">
        <f aca="false">IFERROR(__xludf.dummyfunction("if(BJ4246="""","""",GOOGLETRANSLATE(BJ4246,""auto"",""en""))"),"Helper Gudang")</f>
        <v>Helper Gudang</v>
      </c>
      <c r="AA4246" s="23" t="str">
        <f aca="false">IF(C4246="","", CHOOSE(MONTH(C4246),"January","February","March","April","May","June","July","August","September","October","November","December")&amp;" "&amp;DAY(C4246)&amp;MID("thstndrdth",MIN(9,2*RIGHT(DAY(C4246))*(MOD(DAY(C4246)-11,100)&gt;2)+1),2)&amp;","&amp;TEXT(C4246," yyyy"))</f>
        <v>October 25th,2026</v>
      </c>
      <c r="AB4246" s="15" t="str">
        <f aca="true">IF(S4246="","",DATEDIF(S4246,TODAY(),"Y")&amp;" Tahun, "&amp;DATEDIF(S4246,TODAY(),"YM")&amp;" Bulan, "&amp;DATEDIF(S4246,TODAY(),"MD")&amp;" Hari")</f>
        <v>20 Tahun, 0 Bulan, 4 Hari</v>
      </c>
      <c r="AC4246" s="14" t="n">
        <v>46320</v>
      </c>
      <c r="AD4246" s="18" t="n">
        <v>46387</v>
      </c>
      <c r="AE4246" s="18" t="s">
        <v>44</v>
      </c>
    </row>
    <row r="4247" customFormat="false" ht="15" hidden="false" customHeight="true" outlineLevel="0" collapsed="false">
      <c r="A4247" s="12" t="n">
        <v>22881</v>
      </c>
      <c r="B4247" s="13" t="s">
        <v>17399</v>
      </c>
      <c r="C4247" s="14" t="n">
        <v>46287</v>
      </c>
      <c r="D4247" s="13" t="s">
        <v>15103</v>
      </c>
      <c r="E4247" s="13" t="s">
        <v>47</v>
      </c>
      <c r="F4247" s="24" t="s">
        <v>17400</v>
      </c>
      <c r="G4247" s="13" t="s">
        <v>1452</v>
      </c>
      <c r="H4247" s="13" t="s">
        <v>35</v>
      </c>
      <c r="I4247" s="13" t="str">
        <f aca="false">IF(C4247=J4247,"NEW KONTRAK","RE-KONTRAK")</f>
        <v>NEW KONTRAK</v>
      </c>
      <c r="J4247" s="16" t="n">
        <f aca="false" t="array" ref="J4247:J4247">IFERROR(INDEX(AC4247:AE4247,IF(COUNTA(AC4247:AE4247)=0,"",MAX((AC4247:AE4247&lt;&gt;"")*(COLUMN(AC4247:AE4247)-(COLUMN(AC4247)))))-1),"")</f>
        <v>46287</v>
      </c>
      <c r="K4247" s="16" t="n">
        <f aca="false" t="array" ref="K4247:K4247">IFERROR(INDEX(AC4247:AE4247,IF(COUNTA(AC4247:AE4247)=0,"",MAX((AC4247:AE4247&lt;&gt;"")*(COLUMN(AC4247:AE4247)-(COLUMN(AC4247)-1))))-1),"")</f>
        <v>46387</v>
      </c>
      <c r="L4247" s="17" t="str">
        <f aca="false" t="array" ref="L4247:L4247">IFERROR(INDEX(AC4247:AE4247,IF(COUNTA(AC4247:AE4247)=0,"",MAX((AC4247:AE4247&lt;&gt;"")*(COLUMN(AC4247:AE4247)-(COLUMN(AC4247)-2))))-1),"")</f>
        <v>KEMBALI</v>
      </c>
      <c r="M4247" s="13" t="n">
        <f aca="true">K4247-TODAY()</f>
        <v>63</v>
      </c>
      <c r="N4247" s="18" t="s">
        <v>36</v>
      </c>
      <c r="O4247" s="13" t="s">
        <v>17401</v>
      </c>
      <c r="P4247" s="26" t="n">
        <v>112500</v>
      </c>
      <c r="Q4247" s="20" t="s">
        <v>17402</v>
      </c>
      <c r="R4247" s="13" t="s">
        <v>65</v>
      </c>
      <c r="S4247" s="25" t="n">
        <v>34584</v>
      </c>
      <c r="T4247" s="13" t="s">
        <v>40</v>
      </c>
      <c r="U4247" s="13" t="s">
        <v>17403</v>
      </c>
      <c r="V4247" s="13" t="s">
        <v>42</v>
      </c>
      <c r="W4247" s="13" t="s">
        <v>54</v>
      </c>
      <c r="X4247" s="21" t="n">
        <v>83114646021</v>
      </c>
      <c r="Y4247" s="22" t="str">
        <f aca="false">O4247</f>
        <v>OPERATOR SHEARING</v>
      </c>
      <c r="Z4247" s="13" t="str">
        <f aca="false">IFERROR(__xludf.dummyfunction("if(BJ4247="""","""",GOOGLETRANSLATE(BJ4247,""auto"",""en""))"),"OPERATOR SHEARING")</f>
        <v>OPERATOR SHEARING</v>
      </c>
      <c r="AA4247" s="23" t="str">
        <f aca="false">IF(C4247="","", CHOOSE(MONTH(C4247),"January","February","March","April","May","June","July","August","September","October","November","December")&amp;" "&amp;DAY(C4247)&amp;MID("thstndrdth",MIN(9,2*RIGHT(DAY(C4247))*(MOD(DAY(C4247)-11,100)&gt;2)+1),2)&amp;","&amp;TEXT(C4247," yyyy"))</f>
        <v>September 22nd,2026</v>
      </c>
      <c r="AB4247" s="15" t="str">
        <f aca="true">IF(S4247="","",DATEDIF(S4247,TODAY(),"Y")&amp;" Tahun, "&amp;DATEDIF(S4247,TODAY(),"YM")&amp;" Bulan, "&amp;DATEDIF(S4247,TODAY(),"MD")&amp;" Hari")</f>
        <v>32 Tahun, 1 Bulan, 22 Hari</v>
      </c>
      <c r="AC4247" s="14" t="n">
        <v>46287</v>
      </c>
      <c r="AD4247" s="18" t="n">
        <v>46387</v>
      </c>
      <c r="AE4247" s="13" t="s">
        <v>397</v>
      </c>
    </row>
    <row r="4248" customFormat="false" ht="15" hidden="false" customHeight="true" outlineLevel="0" collapsed="false">
      <c r="A4248" s="12" t="n">
        <v>22882</v>
      </c>
      <c r="B4248" s="13" t="s">
        <v>17404</v>
      </c>
      <c r="C4248" s="14" t="n">
        <v>46293</v>
      </c>
      <c r="D4248" s="13" t="s">
        <v>5892</v>
      </c>
      <c r="E4248" s="13" t="s">
        <v>47</v>
      </c>
      <c r="F4248" s="24" t="s">
        <v>17405</v>
      </c>
      <c r="G4248" s="13" t="s">
        <v>1452</v>
      </c>
      <c r="H4248" s="13" t="s">
        <v>35</v>
      </c>
      <c r="I4248" s="13" t="str">
        <f aca="false">IF(C4248=J4248,"NEW KONTRAK","RE-KONTRAK")</f>
        <v>NEW KONTRAK</v>
      </c>
      <c r="J4248" s="16" t="n">
        <f aca="false" t="array" ref="J4248:J4248">IFERROR(INDEX(AC4248:AE4248,IF(COUNTA(AC4248:AE4248)=0,"",MAX((AC4248:AE4248&lt;&gt;"")*(COLUMN(AC4248:AE4248)-(COLUMN(AC4248)))))-1),"")</f>
        <v>46293</v>
      </c>
      <c r="K4248" s="16" t="n">
        <f aca="false" t="array" ref="K4248:K4248">IFERROR(INDEX(AC4248:AE4248,IF(COUNTA(AC4248:AE4248)=0,"",MAX((AC4248:AE4248&lt;&gt;"")*(COLUMN(AC4248:AE4248)-(COLUMN(AC4248)-1))))-1),"")</f>
        <v>46304</v>
      </c>
      <c r="L4248" s="17" t="str">
        <f aca="false" t="array" ref="L4248:L4248">IFERROR(INDEX(AC4248:AE4248,IF(COUNTA(AC4248:AE4248)=0,"",MAX((AC4248:AE4248&lt;&gt;"")*(COLUMN(AC4248:AE4248)-(COLUMN(AC4248)-2))))-1),"")</f>
        <v>KEMBALI</v>
      </c>
      <c r="M4248" s="13" t="n">
        <f aca="true">K4248-TODAY()</f>
        <v>-20</v>
      </c>
      <c r="N4248" s="18" t="s">
        <v>105</v>
      </c>
      <c r="O4248" s="13" t="s">
        <v>17406</v>
      </c>
      <c r="P4248" s="26" t="n">
        <v>3200000</v>
      </c>
      <c r="Q4248" s="20" t="s">
        <v>17407</v>
      </c>
      <c r="R4248" s="13" t="s">
        <v>255</v>
      </c>
      <c r="S4248" s="25" t="n">
        <v>36739</v>
      </c>
      <c r="T4248" s="13" t="s">
        <v>40</v>
      </c>
      <c r="U4248" s="13" t="s">
        <v>17408</v>
      </c>
      <c r="V4248" s="13" t="s">
        <v>42</v>
      </c>
      <c r="W4248" s="13" t="s">
        <v>43</v>
      </c>
      <c r="X4248" s="21" t="n">
        <v>6285211323872</v>
      </c>
      <c r="Y4248" s="22" t="str">
        <f aca="false">O4248</f>
        <v>Planning, Dispatching, Monitoring</v>
      </c>
      <c r="Z4248" s="13" t="str">
        <f aca="false">IFERROR(__xludf.dummyfunction("if(BJ4248="""","""",GOOGLETRANSLATE(BJ4248,""auto"",""en""))"),"Planning, Dispatching, Monitoring")</f>
        <v>Planning, Dispatching, Monitoring</v>
      </c>
      <c r="AA4248" s="23" t="str">
        <f aca="false">IF(C4248="","", CHOOSE(MONTH(C4248),"January","February","March","April","May","June","July","August","September","October","November","December")&amp;" "&amp;DAY(C4248)&amp;MID("thstndrdth",MIN(9,2*RIGHT(DAY(C4248))*(MOD(DAY(C4248)-11,100)&gt;2)+1),2)&amp;","&amp;TEXT(C4248," yyyy"))</f>
        <v>September 28th,2026</v>
      </c>
      <c r="AB4248" s="15" t="str">
        <f aca="true">IF(S4248="","",DATEDIF(S4248,TODAY(),"Y")&amp;" Tahun, "&amp;DATEDIF(S4248,TODAY(),"YM")&amp;" Bulan, "&amp;DATEDIF(S4248,TODAY(),"MD")&amp;" Hari")</f>
        <v>26 Tahun, 2 Bulan, 28 Hari</v>
      </c>
      <c r="AC4248" s="14" t="n">
        <v>46293</v>
      </c>
      <c r="AD4248" s="18" t="n">
        <v>46304</v>
      </c>
      <c r="AE4248" s="13" t="s">
        <v>397</v>
      </c>
    </row>
    <row r="4249" customFormat="false" ht="15" hidden="false" customHeight="true" outlineLevel="0" collapsed="false">
      <c r="A4249" s="12" t="n">
        <v>22883</v>
      </c>
      <c r="B4249" s="13" t="s">
        <v>17409</v>
      </c>
      <c r="C4249" s="14" t="n">
        <v>46296</v>
      </c>
      <c r="D4249" s="13" t="s">
        <v>10155</v>
      </c>
      <c r="E4249" s="13" t="s">
        <v>47</v>
      </c>
      <c r="F4249" s="24" t="s">
        <v>17410</v>
      </c>
      <c r="G4249" s="13" t="s">
        <v>1452</v>
      </c>
      <c r="H4249" s="13" t="s">
        <v>35</v>
      </c>
      <c r="I4249" s="13" t="str">
        <f aca="false">IF(C4249=J4249,"NEW KONTRAK","RE-KONTRAK")</f>
        <v>NEW KONTRAK</v>
      </c>
      <c r="J4249" s="16" t="n">
        <f aca="false" t="array" ref="J4249:J4249">IFERROR(INDEX(AC4249:AE4249,IF(COUNTA(AC4249:AE4249)=0,"",MAX((AC4249:AE4249&lt;&gt;"")*(COLUMN(AC4249:AE4249)-(COLUMN(AC4249)))))-1),"")</f>
        <v>46296</v>
      </c>
      <c r="K4249" s="16" t="n">
        <f aca="false" t="array" ref="K4249:K4249">IFERROR(INDEX(AC4249:AE4249,IF(COUNTA(AC4249:AE4249)=0,"",MAX((AC4249:AE4249&lt;&gt;"")*(COLUMN(AC4249:AE4249)-(COLUMN(AC4249)-1))))-1),"")</f>
        <v>46387</v>
      </c>
      <c r="L4249" s="17" t="str">
        <f aca="false" t="array" ref="L4249:L4249">IFERROR(INDEX(AC4249:AE4249,IF(COUNTA(AC4249:AE4249)=0,"",MAX((AC4249:AE4249&lt;&gt;"")*(COLUMN(AC4249:AE4249)-(COLUMN(AC4249)-2))))-1),"")</f>
        <v>KEMBALI</v>
      </c>
      <c r="M4249" s="13" t="n">
        <f aca="true">K4249-TODAY()</f>
        <v>63</v>
      </c>
      <c r="N4249" s="18" t="s">
        <v>36</v>
      </c>
      <c r="O4249" s="13" t="s">
        <v>10180</v>
      </c>
      <c r="P4249" s="26" t="n">
        <v>5195401</v>
      </c>
      <c r="Q4249" s="20" t="s">
        <v>17411</v>
      </c>
      <c r="R4249" s="13" t="s">
        <v>1308</v>
      </c>
      <c r="S4249" s="25" t="n">
        <v>36377</v>
      </c>
      <c r="T4249" s="13" t="s">
        <v>40</v>
      </c>
      <c r="U4249" s="13" t="s">
        <v>17412</v>
      </c>
      <c r="V4249" s="13" t="s">
        <v>42</v>
      </c>
      <c r="W4249" s="13" t="s">
        <v>54</v>
      </c>
      <c r="X4249" s="21" t="n">
        <v>82243729704</v>
      </c>
      <c r="Y4249" s="22" t="str">
        <f aca="false">O4249</f>
        <v>LS P1 - PPC</v>
      </c>
      <c r="Z4249" s="13" t="str">
        <f aca="false">IFERROR(__xludf.dummyfunction("if(BJ4249="""","""",GOOGLETRANSLATE(BJ4249,""auto"",""en""))"),"LS P1 - PPC")</f>
        <v>LS P1 - PPC</v>
      </c>
      <c r="AA4249" s="23" t="str">
        <f aca="false">IF(C4249="","", CHOOSE(MONTH(C4249),"January","February","March","April","May","June","July","August","September","October","November","December")&amp;" "&amp;DAY(C4249)&amp;MID("thstndrdth",MIN(9,2*RIGHT(DAY(C4249))*(MOD(DAY(C4249)-11,100)&gt;2)+1),2)&amp;","&amp;TEXT(C4249," yyyy"))</f>
        <v>October 1st,2026</v>
      </c>
      <c r="AB4249" s="15" t="str">
        <f aca="true">IF(S4249="","",DATEDIF(S4249,TODAY(),"Y")&amp;" Tahun, "&amp;DATEDIF(S4249,TODAY(),"YM")&amp;" Bulan, "&amp;DATEDIF(S4249,TODAY(),"MD")&amp;" Hari")</f>
        <v>27 Tahun, 2 Bulan, 24 Hari</v>
      </c>
      <c r="AC4249" s="14" t="n">
        <v>46296</v>
      </c>
      <c r="AD4249" s="18" t="n">
        <f aca="false">EDATE(AC4249,3)-1</f>
        <v>46387</v>
      </c>
      <c r="AE4249" s="13" t="s">
        <v>397</v>
      </c>
    </row>
    <row r="4250" customFormat="false" ht="15" hidden="false" customHeight="true" outlineLevel="0" collapsed="false">
      <c r="A4250" s="12" t="n">
        <v>22884</v>
      </c>
      <c r="B4250" s="13" t="s">
        <v>17413</v>
      </c>
      <c r="C4250" s="14" t="n">
        <v>46296</v>
      </c>
      <c r="D4250" s="13" t="s">
        <v>16258</v>
      </c>
      <c r="E4250" s="13" t="s">
        <v>47</v>
      </c>
      <c r="F4250" s="24" t="s">
        <v>17414</v>
      </c>
      <c r="G4250" s="13" t="s">
        <v>1452</v>
      </c>
      <c r="H4250" s="13" t="s">
        <v>35</v>
      </c>
      <c r="I4250" s="13" t="str">
        <f aca="false">IF(C4250=J4250,"NEW KONTRAK","RE-KONTRAK")</f>
        <v>NEW KONTRAK</v>
      </c>
      <c r="J4250" s="16" t="n">
        <f aca="false" t="array" ref="J4250:J4250">IFERROR(INDEX(AC4250:AE4250,IF(COUNTA(AC4250:AE4250)=0,"",MAX((AC4250:AE4250&lt;&gt;"")*(COLUMN(AC4250:AE4250)-(COLUMN(AC4250)))))-1),"")</f>
        <v>46296</v>
      </c>
      <c r="K4250" s="16" t="n">
        <f aca="false" t="array" ref="K4250:K4250">IFERROR(INDEX(AC4250:AE4250,IF(COUNTA(AC4250:AE4250)=0,"",MAX((AC4250:AE4250&lt;&gt;"")*(COLUMN(AC4250:AE4250)-(COLUMN(AC4250)-1))))-1),"")</f>
        <v>46387</v>
      </c>
      <c r="L4250" s="17" t="str">
        <f aca="false" t="array" ref="L4250:L4250">IFERROR(INDEX(AC4250:AE4250,IF(COUNTA(AC4250:AE4250)=0,"",MAX((AC4250:AE4250&lt;&gt;"")*(COLUMN(AC4250:AE4250)-(COLUMN(AC4250)-2))))-1),"")</f>
        <v>ARCHIVED</v>
      </c>
      <c r="M4250" s="13" t="n">
        <f aca="true">K4250-TODAY()</f>
        <v>63</v>
      </c>
      <c r="N4250" s="13" t="s">
        <v>16261</v>
      </c>
      <c r="O4250" s="13" t="s">
        <v>5017</v>
      </c>
      <c r="P4250" s="26" t="n">
        <v>3843037.66</v>
      </c>
      <c r="Q4250" s="20" t="s">
        <v>17415</v>
      </c>
      <c r="R4250" s="13" t="s">
        <v>17416</v>
      </c>
      <c r="S4250" s="25" t="n">
        <v>37191</v>
      </c>
      <c r="T4250" s="13" t="s">
        <v>40</v>
      </c>
      <c r="U4250" s="13" t="s">
        <v>17417</v>
      </c>
      <c r="V4250" s="13" t="s">
        <v>42</v>
      </c>
      <c r="W4250" s="13" t="s">
        <v>43</v>
      </c>
      <c r="X4250" s="21" t="n">
        <v>85751415728</v>
      </c>
      <c r="Y4250" s="22" t="str">
        <f aca="false">O4250</f>
        <v>Sales</v>
      </c>
      <c r="Z4250" s="13" t="str">
        <f aca="false">IFERROR(__xludf.dummyfunction("if(BJ4250="""","""",GOOGLETRANSLATE(BJ4250,""auto"",""en""))"),"Sales")</f>
        <v>Sales</v>
      </c>
      <c r="AA4250" s="23" t="str">
        <f aca="false">IF(C4250="","", CHOOSE(MONTH(C4250),"January","February","March","April","May","June","July","August","September","October","November","December")&amp;" "&amp;DAY(C4250)&amp;MID("thstndrdth",MIN(9,2*RIGHT(DAY(C4250))*(MOD(DAY(C4250)-11,100)&gt;2)+1),2)&amp;","&amp;TEXT(C4250," yyyy"))</f>
        <v>October 1st,2026</v>
      </c>
      <c r="AB4250" s="15" t="str">
        <f aca="true">IF(S4250="","",DATEDIF(S4250,TODAY(),"Y")&amp;" Tahun, "&amp;DATEDIF(S4250,TODAY(),"YM")&amp;" Bulan, "&amp;DATEDIF(S4250,TODAY(),"MD")&amp;" Hari")</f>
        <v>25 Tahun, 0 Bulan, 2 Hari</v>
      </c>
      <c r="AC4250" s="14" t="n">
        <v>46296</v>
      </c>
      <c r="AD4250" s="18" t="n">
        <f aca="false">EDATE(AC4250,3)-1</f>
        <v>46387</v>
      </c>
      <c r="AE4250" s="13" t="s">
        <v>44</v>
      </c>
    </row>
    <row r="4251" customFormat="false" ht="15" hidden="false" customHeight="true" outlineLevel="0" collapsed="false">
      <c r="A4251" s="12" t="n">
        <v>22885</v>
      </c>
      <c r="B4251" s="13" t="s">
        <v>17418</v>
      </c>
      <c r="C4251" s="14" t="n">
        <v>46296</v>
      </c>
      <c r="D4251" s="13" t="s">
        <v>16258</v>
      </c>
      <c r="E4251" s="13" t="s">
        <v>47</v>
      </c>
      <c r="F4251" s="24" t="s">
        <v>17419</v>
      </c>
      <c r="G4251" s="13" t="s">
        <v>1452</v>
      </c>
      <c r="H4251" s="13" t="s">
        <v>35</v>
      </c>
      <c r="I4251" s="13" t="str">
        <f aca="false">IF(C4251=J4251,"NEW KONTRAK","RE-KONTRAK")</f>
        <v>NEW KONTRAK</v>
      </c>
      <c r="J4251" s="16" t="n">
        <f aca="false" t="array" ref="J4251:J4251">IFERROR(INDEX(AC4251:AE4251,IF(COUNTA(AC4251:AE4251)=0,"",MAX((AC4251:AE4251&lt;&gt;"")*(COLUMN(AC4251:AE4251)-(COLUMN(AC4251)))))-1),"")</f>
        <v>46296</v>
      </c>
      <c r="K4251" s="16" t="n">
        <f aca="false" t="array" ref="K4251:K4251">IFERROR(INDEX(AC4251:AE4251,IF(COUNTA(AC4251:AE4251)=0,"",MAX((AC4251:AE4251&lt;&gt;"")*(COLUMN(AC4251:AE4251)-(COLUMN(AC4251)-1))))-1),"")</f>
        <v>46387</v>
      </c>
      <c r="L4251" s="17" t="str">
        <f aca="false" t="array" ref="L4251:L4251">IFERROR(INDEX(AC4251:AE4251,IF(COUNTA(AC4251:AE4251)=0,"",MAX((AC4251:AE4251&lt;&gt;"")*(COLUMN(AC4251:AE4251)-(COLUMN(AC4251)-2))))-1),"")</f>
        <v>ARCHIVED</v>
      </c>
      <c r="M4251" s="13" t="n">
        <f aca="true">K4251-TODAY()</f>
        <v>63</v>
      </c>
      <c r="N4251" s="13" t="s">
        <v>16261</v>
      </c>
      <c r="O4251" s="13" t="s">
        <v>5017</v>
      </c>
      <c r="P4251" s="26" t="n">
        <v>3843037.66</v>
      </c>
      <c r="Q4251" s="20" t="s">
        <v>17420</v>
      </c>
      <c r="R4251" s="13" t="s">
        <v>2587</v>
      </c>
      <c r="S4251" s="25" t="n">
        <v>29845</v>
      </c>
      <c r="T4251" s="13" t="s">
        <v>40</v>
      </c>
      <c r="U4251" s="13" t="s">
        <v>17421</v>
      </c>
      <c r="V4251" s="13" t="s">
        <v>42</v>
      </c>
      <c r="W4251" s="13" t="s">
        <v>54</v>
      </c>
      <c r="X4251" s="21" t="n">
        <v>85247081459</v>
      </c>
      <c r="Y4251" s="22" t="str">
        <f aca="false">O4251</f>
        <v>Sales</v>
      </c>
      <c r="Z4251" s="13" t="str">
        <f aca="false">IFERROR(__xludf.dummyfunction("if(BJ4251="""","""",GOOGLETRANSLATE(BJ4251,""auto"",""en""))"),"Sales")</f>
        <v>Sales</v>
      </c>
      <c r="AA4251" s="23" t="str">
        <f aca="false">IF(C4251="","", CHOOSE(MONTH(C4251),"January","February","March","April","May","June","July","August","September","October","November","December")&amp;" "&amp;DAY(C4251)&amp;MID("thstndrdth",MIN(9,2*RIGHT(DAY(C4251))*(MOD(DAY(C4251)-11,100)&gt;2)+1),2)&amp;","&amp;TEXT(C4251," yyyy"))</f>
        <v>October 1st,2026</v>
      </c>
      <c r="AB4251" s="15" t="str">
        <f aca="true">IF(S4251="","",DATEDIF(S4251,TODAY(),"Y")&amp;" Tahun, "&amp;DATEDIF(S4251,TODAY(),"YM")&amp;" Bulan, "&amp;DATEDIF(S4251,TODAY(),"MD")&amp;" Hari")</f>
        <v>45 Tahun, 1 Bulan, 13 Hari</v>
      </c>
      <c r="AC4251" s="14" t="n">
        <v>46296</v>
      </c>
      <c r="AD4251" s="18" t="n">
        <f aca="false">EDATE(AC4251,3)-1</f>
        <v>46387</v>
      </c>
      <c r="AE4251" s="13" t="s">
        <v>44</v>
      </c>
    </row>
    <row r="4252" customFormat="false" ht="15" hidden="false" customHeight="true" outlineLevel="0" collapsed="false">
      <c r="A4252" s="12" t="n">
        <v>22886</v>
      </c>
      <c r="B4252" s="13" t="s">
        <v>16309</v>
      </c>
      <c r="C4252" s="14" t="n">
        <v>46296</v>
      </c>
      <c r="D4252" s="13" t="s">
        <v>16258</v>
      </c>
      <c r="E4252" s="13" t="s">
        <v>47</v>
      </c>
      <c r="F4252" s="24" t="s">
        <v>17422</v>
      </c>
      <c r="G4252" s="13" t="s">
        <v>1452</v>
      </c>
      <c r="H4252" s="13" t="s">
        <v>35</v>
      </c>
      <c r="I4252" s="13" t="str">
        <f aca="false">IF(C4252=J4252,"NEW KONTRAK","RE-KONTRAK")</f>
        <v>NEW KONTRAK</v>
      </c>
      <c r="J4252" s="16" t="n">
        <f aca="false" t="array" ref="J4252:J4252">IFERROR(INDEX(AC4252:AE4252,IF(COUNTA(AC4252:AE4252)=0,"",MAX((AC4252:AE4252&lt;&gt;"")*(COLUMN(AC4252:AE4252)-(COLUMN(AC4252)))))-1),"")</f>
        <v>46296</v>
      </c>
      <c r="K4252" s="16" t="n">
        <f aca="false" t="array" ref="K4252:K4252">IFERROR(INDEX(AC4252:AE4252,IF(COUNTA(AC4252:AE4252)=0,"",MAX((AC4252:AE4252&lt;&gt;"")*(COLUMN(AC4252:AE4252)-(COLUMN(AC4252)-1))))-1),"")</f>
        <v>46387</v>
      </c>
      <c r="L4252" s="17" t="str">
        <f aca="false" t="array" ref="L4252:L4252">IFERROR(INDEX(AC4252:AE4252,IF(COUNTA(AC4252:AE4252)=0,"",MAX((AC4252:AE4252&lt;&gt;"")*(COLUMN(AC4252:AE4252)-(COLUMN(AC4252)-2))))-1),"")</f>
        <v>KEMBALI</v>
      </c>
      <c r="M4252" s="13" t="n">
        <f aca="true">K4252-TODAY()</f>
        <v>63</v>
      </c>
      <c r="N4252" s="13" t="s">
        <v>16261</v>
      </c>
      <c r="O4252" s="13" t="s">
        <v>5017</v>
      </c>
      <c r="P4252" s="26" t="n">
        <v>3843037.66</v>
      </c>
      <c r="Q4252" s="20" t="s">
        <v>17423</v>
      </c>
      <c r="R4252" s="13" t="s">
        <v>17424</v>
      </c>
      <c r="S4252" s="25" t="n">
        <v>37532</v>
      </c>
      <c r="T4252" s="13" t="s">
        <v>108</v>
      </c>
      <c r="U4252" s="13" t="s">
        <v>17425</v>
      </c>
      <c r="V4252" s="13" t="s">
        <v>42</v>
      </c>
      <c r="W4252" s="13" t="s">
        <v>43</v>
      </c>
      <c r="X4252" s="21" t="n">
        <v>81528773871</v>
      </c>
      <c r="Y4252" s="22" t="str">
        <f aca="false">O4252</f>
        <v>Sales</v>
      </c>
      <c r="Z4252" s="13" t="str">
        <f aca="false">IFERROR(__xludf.dummyfunction("if(BJ4252="""","""",GOOGLETRANSLATE(BJ4252,""auto"",""en""))"),"Sales")</f>
        <v>Sales</v>
      </c>
      <c r="AA4252" s="23" t="str">
        <f aca="false">IF(C4252="","", CHOOSE(MONTH(C4252),"January","February","March","April","May","June","July","August","September","October","November","December")&amp;" "&amp;DAY(C4252)&amp;MID("thstndrdth",MIN(9,2*RIGHT(DAY(C4252))*(MOD(DAY(C4252)-11,100)&gt;2)+1),2)&amp;","&amp;TEXT(C4252," yyyy"))</f>
        <v>October 1st,2026</v>
      </c>
      <c r="AB4252" s="15" t="str">
        <f aca="true">IF(S4252="","",DATEDIF(S4252,TODAY(),"Y")&amp;" Tahun, "&amp;DATEDIF(S4252,TODAY(),"YM")&amp;" Bulan, "&amp;DATEDIF(S4252,TODAY(),"MD")&amp;" Hari")</f>
        <v>24 Tahun, 0 Bulan, 26 Hari</v>
      </c>
      <c r="AC4252" s="14" t="n">
        <v>46296</v>
      </c>
      <c r="AD4252" s="18" t="n">
        <f aca="false">EDATE(AC4252,3)-1</f>
        <v>46387</v>
      </c>
      <c r="AE4252" s="13" t="s">
        <v>397</v>
      </c>
    </row>
    <row r="4253" customFormat="false" ht="15" hidden="false" customHeight="true" outlineLevel="0" collapsed="false">
      <c r="A4253" s="12" t="n">
        <v>22887</v>
      </c>
      <c r="B4253" s="13" t="s">
        <v>17426</v>
      </c>
      <c r="C4253" s="14" t="n">
        <v>46296</v>
      </c>
      <c r="D4253" s="13" t="s">
        <v>16258</v>
      </c>
      <c r="E4253" s="13" t="s">
        <v>47</v>
      </c>
      <c r="F4253" s="24" t="s">
        <v>17427</v>
      </c>
      <c r="G4253" s="13" t="s">
        <v>1452</v>
      </c>
      <c r="H4253" s="13" t="s">
        <v>35</v>
      </c>
      <c r="I4253" s="13" t="str">
        <f aca="false">IF(C4253=J4253,"NEW KONTRAK","RE-KONTRAK")</f>
        <v>NEW KONTRAK</v>
      </c>
      <c r="J4253" s="16" t="n">
        <f aca="false" t="array" ref="J4253:J4253">IFERROR(INDEX(AC4253:AE4253,IF(COUNTA(AC4253:AE4253)=0,"",MAX((AC4253:AE4253&lt;&gt;"")*(COLUMN(AC4253:AE4253)-(COLUMN(AC4253)))))-1),"")</f>
        <v>46296</v>
      </c>
      <c r="K4253" s="16" t="n">
        <f aca="false" t="array" ref="K4253:K4253">IFERROR(INDEX(AC4253:AE4253,IF(COUNTA(AC4253:AE4253)=0,"",MAX((AC4253:AE4253&lt;&gt;"")*(COLUMN(AC4253:AE4253)-(COLUMN(AC4253)-1))))-1),"")</f>
        <v>46387</v>
      </c>
      <c r="L4253" s="17" t="str">
        <f aca="false" t="array" ref="L4253:L4253">IFERROR(INDEX(AC4253:AE4253,IF(COUNTA(AC4253:AE4253)=0,"",MAX((AC4253:AE4253&lt;&gt;"")*(COLUMN(AC4253:AE4253)-(COLUMN(AC4253)-2))))-1),"")</f>
        <v>KEMBALI</v>
      </c>
      <c r="M4253" s="13" t="n">
        <f aca="true">K4253-TODAY()</f>
        <v>63</v>
      </c>
      <c r="N4253" s="13" t="s">
        <v>16261</v>
      </c>
      <c r="O4253" s="13" t="s">
        <v>5017</v>
      </c>
      <c r="P4253" s="26" t="n">
        <v>3843037.66</v>
      </c>
      <c r="Q4253" s="20" t="s">
        <v>17428</v>
      </c>
      <c r="R4253" s="13" t="s">
        <v>17429</v>
      </c>
      <c r="S4253" s="25" t="n">
        <v>36651</v>
      </c>
      <c r="T4253" s="13" t="s">
        <v>40</v>
      </c>
      <c r="U4253" s="13" t="s">
        <v>17430</v>
      </c>
      <c r="V4253" s="13" t="s">
        <v>42</v>
      </c>
      <c r="W4253" s="13" t="s">
        <v>43</v>
      </c>
      <c r="X4253" s="21" t="n">
        <v>85329003608</v>
      </c>
      <c r="Y4253" s="22" t="str">
        <f aca="false">O4253</f>
        <v>Sales</v>
      </c>
      <c r="Z4253" s="13" t="str">
        <f aca="false">IFERROR(__xludf.dummyfunction("if(BJ4253="""","""",GOOGLETRANSLATE(BJ4253,""auto"",""en""))"),"Sales")</f>
        <v>Sales</v>
      </c>
      <c r="AA4253" s="23" t="str">
        <f aca="false">IF(C4253="","", CHOOSE(MONTH(C4253),"January","February","March","April","May","June","July","August","September","October","November","December")&amp;" "&amp;DAY(C4253)&amp;MID("thstndrdth",MIN(9,2*RIGHT(DAY(C4253))*(MOD(DAY(C4253)-11,100)&gt;2)+1),2)&amp;","&amp;TEXT(C4253," yyyy"))</f>
        <v>October 1st,2026</v>
      </c>
      <c r="AB4253" s="15" t="str">
        <f aca="true">IF(S4253="","",DATEDIF(S4253,TODAY(),"Y")&amp;" Tahun, "&amp;DATEDIF(S4253,TODAY(),"YM")&amp;" Bulan, "&amp;DATEDIF(S4253,TODAY(),"MD")&amp;" Hari")</f>
        <v>26 Tahun, 5 Bulan, 24 Hari</v>
      </c>
      <c r="AC4253" s="14" t="n">
        <v>46296</v>
      </c>
      <c r="AD4253" s="18" t="n">
        <f aca="false">EDATE(AC4253,3)-1</f>
        <v>46387</v>
      </c>
      <c r="AE4253" s="13" t="s">
        <v>397</v>
      </c>
    </row>
    <row r="4254" customFormat="false" ht="15" hidden="false" customHeight="true" outlineLevel="0" collapsed="false">
      <c r="A4254" s="12" t="n">
        <v>22888</v>
      </c>
      <c r="B4254" s="13" t="s">
        <v>17431</v>
      </c>
      <c r="C4254" s="14" t="n">
        <v>46296</v>
      </c>
      <c r="D4254" s="13" t="s">
        <v>16258</v>
      </c>
      <c r="E4254" s="13" t="s">
        <v>47</v>
      </c>
      <c r="F4254" s="24" t="s">
        <v>17432</v>
      </c>
      <c r="G4254" s="13" t="s">
        <v>1452</v>
      </c>
      <c r="H4254" s="13" t="s">
        <v>35</v>
      </c>
      <c r="I4254" s="13" t="str">
        <f aca="false">IF(C4254=J4254,"NEW KONTRAK","RE-KONTRAK")</f>
        <v>NEW KONTRAK</v>
      </c>
      <c r="J4254" s="16" t="n">
        <f aca="false" t="array" ref="J4254:J4254">IFERROR(INDEX(AC4254:AE4254,IF(COUNTA(AC4254:AE4254)=0,"",MAX((AC4254:AE4254&lt;&gt;"")*(COLUMN(AC4254:AE4254)-(COLUMN(AC4254)))))-1),"")</f>
        <v>46296</v>
      </c>
      <c r="K4254" s="16" t="n">
        <f aca="false" t="array" ref="K4254:K4254">IFERROR(INDEX(AC4254:AE4254,IF(COUNTA(AC4254:AE4254)=0,"",MAX((AC4254:AE4254&lt;&gt;"")*(COLUMN(AC4254:AE4254)-(COLUMN(AC4254)-1))))-1),"")</f>
        <v>46387</v>
      </c>
      <c r="L4254" s="17" t="str">
        <f aca="false" t="array" ref="L4254:L4254">IFERROR(INDEX(AC4254:AE4254,IF(COUNTA(AC4254:AE4254)=0,"",MAX((AC4254:AE4254&lt;&gt;"")*(COLUMN(AC4254:AE4254)-(COLUMN(AC4254)-2))))-1),"")</f>
        <v>ARCHIVED</v>
      </c>
      <c r="M4254" s="13" t="n">
        <f aca="true">K4254-TODAY()</f>
        <v>63</v>
      </c>
      <c r="N4254" s="13" t="s">
        <v>16261</v>
      </c>
      <c r="O4254" s="13" t="s">
        <v>5017</v>
      </c>
      <c r="P4254" s="26" t="n">
        <v>3843037.66</v>
      </c>
      <c r="Q4254" s="20" t="s">
        <v>17433</v>
      </c>
      <c r="R4254" s="13" t="s">
        <v>17434</v>
      </c>
      <c r="S4254" s="25" t="n">
        <v>35965</v>
      </c>
      <c r="T4254" s="13" t="s">
        <v>40</v>
      </c>
      <c r="U4254" s="13" t="s">
        <v>17435</v>
      </c>
      <c r="V4254" s="13" t="s">
        <v>42</v>
      </c>
      <c r="W4254" s="13" t="s">
        <v>54</v>
      </c>
      <c r="X4254" s="21" t="n">
        <v>83831534233</v>
      </c>
      <c r="Y4254" s="22" t="str">
        <f aca="false">O4254</f>
        <v>Sales</v>
      </c>
      <c r="Z4254" s="13" t="str">
        <f aca="false">IFERROR(__xludf.dummyfunction("if(BJ4254="""","""",GOOGLETRANSLATE(BJ4254,""auto"",""en""))"),"Sales")</f>
        <v>Sales</v>
      </c>
      <c r="AA4254" s="23" t="str">
        <f aca="false">IF(C4254="","", CHOOSE(MONTH(C4254),"January","February","March","April","May","June","July","August","September","October","November","December")&amp;" "&amp;DAY(C4254)&amp;MID("thstndrdth",MIN(9,2*RIGHT(DAY(C4254))*(MOD(DAY(C4254)-11,100)&gt;2)+1),2)&amp;","&amp;TEXT(C4254," yyyy"))</f>
        <v>October 1st,2026</v>
      </c>
      <c r="AB4254" s="15" t="str">
        <f aca="true">IF(S4254="","",DATEDIF(S4254,TODAY(),"Y")&amp;" Tahun, "&amp;DATEDIF(S4254,TODAY(),"YM")&amp;" Bulan, "&amp;DATEDIF(S4254,TODAY(),"MD")&amp;" Hari")</f>
        <v>28 Tahun, 4 Bulan, 10 Hari</v>
      </c>
      <c r="AC4254" s="14" t="n">
        <v>46296</v>
      </c>
      <c r="AD4254" s="18" t="n">
        <f aca="false">EDATE(AC4254,3)-1</f>
        <v>46387</v>
      </c>
      <c r="AE4254" s="13" t="s">
        <v>44</v>
      </c>
    </row>
    <row r="4255" customFormat="false" ht="15" hidden="false" customHeight="true" outlineLevel="0" collapsed="false">
      <c r="A4255" s="12" t="n">
        <v>22889</v>
      </c>
      <c r="B4255" s="13" t="s">
        <v>17436</v>
      </c>
      <c r="C4255" s="14" t="n">
        <v>46296</v>
      </c>
      <c r="D4255" s="13" t="s">
        <v>144</v>
      </c>
      <c r="E4255" s="13" t="s">
        <v>47</v>
      </c>
      <c r="F4255" s="24" t="s">
        <v>17437</v>
      </c>
      <c r="G4255" s="13" t="s">
        <v>1452</v>
      </c>
      <c r="H4255" s="13" t="s">
        <v>35</v>
      </c>
      <c r="I4255" s="13" t="str">
        <f aca="false">IF(C4255=J4255,"NEW KONTRAK","RE-KONTRAK")</f>
        <v>NEW KONTRAK</v>
      </c>
      <c r="J4255" s="16" t="n">
        <f aca="false" t="array" ref="J4255:J4255">IFERROR(INDEX(AC4255:AE4255,IF(COUNTA(AC4255:AE4255)=0,"",MAX((AC4255:AE4255&lt;&gt;"")*(COLUMN(AC4255:AE4255)-(COLUMN(AC4255)))))-1),"")</f>
        <v>46296</v>
      </c>
      <c r="K4255" s="16" t="n">
        <f aca="false" t="array" ref="K4255:K4255">IFERROR(INDEX(AC4255:AE4255,IF(COUNTA(AC4255:AE4255)=0,"",MAX((AC4255:AE4255&lt;&gt;"")*(COLUMN(AC4255:AE4255)-(COLUMN(AC4255)-1))))-1),"")</f>
        <v>46387</v>
      </c>
      <c r="L4255" s="17" t="str">
        <f aca="false" t="array" ref="L4255:L4255">IFERROR(INDEX(AC4255:AE4255,IF(COUNTA(AC4255:AE4255)=0,"",MAX((AC4255:AE4255&lt;&gt;"")*(COLUMN(AC4255:AE4255)-(COLUMN(AC4255)-2))))-1),"")</f>
        <v>ARCHIVED</v>
      </c>
      <c r="M4255" s="13" t="n">
        <f aca="true">K4255-TODAY()</f>
        <v>63</v>
      </c>
      <c r="N4255" s="18" t="s">
        <v>36</v>
      </c>
      <c r="O4255" s="13" t="s">
        <v>16973</v>
      </c>
      <c r="P4255" s="26" t="n">
        <v>5195401</v>
      </c>
      <c r="Q4255" s="20" t="s">
        <v>17438</v>
      </c>
      <c r="R4255" s="13" t="s">
        <v>65</v>
      </c>
      <c r="S4255" s="25" t="n">
        <v>35496</v>
      </c>
      <c r="T4255" s="13" t="s">
        <v>40</v>
      </c>
      <c r="U4255" s="13" t="s">
        <v>17439</v>
      </c>
      <c r="V4255" s="13" t="s">
        <v>42</v>
      </c>
      <c r="W4255" s="13" t="s">
        <v>43</v>
      </c>
      <c r="X4255" s="21" t="n">
        <v>82143631334</v>
      </c>
      <c r="Y4255" s="22" t="str">
        <f aca="false">O4255</f>
        <v>SPB</v>
      </c>
      <c r="Z4255" s="13" t="str">
        <f aca="false">IFERROR(__xludf.dummyfunction("if(BJ4255="""","""",GOOGLETRANSLATE(BJ4255,""auto"",""en""))"),"SPB")</f>
        <v>SPB</v>
      </c>
      <c r="AA4255" s="23" t="str">
        <f aca="false">IF(C4255="","", CHOOSE(MONTH(C4255),"January","February","March","April","May","June","July","August","September","October","November","December")&amp;" "&amp;DAY(C4255)&amp;MID("thstndrdth",MIN(9,2*RIGHT(DAY(C4255))*(MOD(DAY(C4255)-11,100)&gt;2)+1),2)&amp;","&amp;TEXT(C4255," yyyy"))</f>
        <v>October 1st,2026</v>
      </c>
      <c r="AB4255" s="15" t="str">
        <f aca="true">IF(S4255="","",DATEDIF(S4255,TODAY(),"Y")&amp;" Tahun, "&amp;DATEDIF(S4255,TODAY(),"YM")&amp;" Bulan, "&amp;DATEDIF(S4255,TODAY(),"MD")&amp;" Hari")</f>
        <v>29 Tahun, 7 Bulan, 22 Hari</v>
      </c>
      <c r="AC4255" s="14" t="n">
        <v>46296</v>
      </c>
      <c r="AD4255" s="18" t="n">
        <f aca="false">EDATE(AC4255,3)-1</f>
        <v>46387</v>
      </c>
      <c r="AE4255" s="13" t="s">
        <v>44</v>
      </c>
    </row>
    <row r="4256" customFormat="false" ht="15" hidden="false" customHeight="true" outlineLevel="0" collapsed="false">
      <c r="A4256" s="12" t="n">
        <v>22890</v>
      </c>
      <c r="B4256" s="13" t="s">
        <v>17440</v>
      </c>
      <c r="C4256" s="14" t="n">
        <v>46296</v>
      </c>
      <c r="D4256" s="13" t="s">
        <v>17441</v>
      </c>
      <c r="E4256" s="13" t="s">
        <v>47</v>
      </c>
      <c r="F4256" s="24" t="s">
        <v>17442</v>
      </c>
      <c r="G4256" s="13" t="s">
        <v>1452</v>
      </c>
      <c r="H4256" s="13" t="s">
        <v>35</v>
      </c>
      <c r="I4256" s="13" t="str">
        <f aca="false">IF(C4256=J4256,"NEW KONTRAK","RE-KONTRAK")</f>
        <v>NEW KONTRAK</v>
      </c>
      <c r="J4256" s="16" t="n">
        <f aca="false" t="array" ref="J4256:J4256">IFERROR(INDEX(AC4256:AE4256,IF(COUNTA(AC4256:AE4256)=0,"",MAX((AC4256:AE4256&lt;&gt;"")*(COLUMN(AC4256:AE4256)-(COLUMN(AC4256)))))-1),"")</f>
        <v>46296</v>
      </c>
      <c r="K4256" s="16" t="n">
        <f aca="false" t="array" ref="K4256:K4256">IFERROR(INDEX(AC4256:AE4256,IF(COUNTA(AC4256:AE4256)=0,"",MAX((AC4256:AE4256&lt;&gt;"")*(COLUMN(AC4256:AE4256)-(COLUMN(AC4256)-1))))-1),"")</f>
        <v>46387</v>
      </c>
      <c r="L4256" s="17" t="str">
        <f aca="false" t="array" ref="L4256:L4256">IFERROR(INDEX(AC4256:AE4256,IF(COUNTA(AC4256:AE4256)=0,"",MAX((AC4256:AE4256&lt;&gt;"")*(COLUMN(AC4256:AE4256)-(COLUMN(AC4256)-2))))-1),"")</f>
        <v>KEMBALI</v>
      </c>
      <c r="M4256" s="13" t="n">
        <f aca="true">K4256-TODAY()</f>
        <v>63</v>
      </c>
      <c r="N4256" s="13" t="s">
        <v>5340</v>
      </c>
      <c r="O4256" s="13" t="s">
        <v>5017</v>
      </c>
      <c r="P4256" s="26" t="n">
        <v>3756700</v>
      </c>
      <c r="Q4256" s="20" t="s">
        <v>17443</v>
      </c>
      <c r="R4256" s="13" t="s">
        <v>17444</v>
      </c>
      <c r="S4256" s="25" t="n">
        <v>33109</v>
      </c>
      <c r="T4256" s="13" t="s">
        <v>40</v>
      </c>
      <c r="U4256" s="13" t="s">
        <v>17445</v>
      </c>
      <c r="V4256" s="13" t="s">
        <v>42</v>
      </c>
      <c r="W4256" s="13" t="s">
        <v>897</v>
      </c>
      <c r="X4256" s="21" t="n">
        <v>82251083004</v>
      </c>
      <c r="Y4256" s="22" t="str">
        <f aca="false">O4256</f>
        <v>Sales</v>
      </c>
      <c r="Z4256" s="13" t="str">
        <f aca="false">IFERROR(__xludf.dummyfunction("if(BJ4256="""","""",GOOGLETRANSLATE(BJ4256,""auto"",""en""))"),"Sales")</f>
        <v>Sales</v>
      </c>
      <c r="AA4256" s="23" t="str">
        <f aca="false">IF(C4256="","", CHOOSE(MONTH(C4256),"January","February","March","April","May","June","July","August","September","October","November","December")&amp;" "&amp;DAY(C4256)&amp;MID("thstndrdth",MIN(9,2*RIGHT(DAY(C4256))*(MOD(DAY(C4256)-11,100)&gt;2)+1),2)&amp;","&amp;TEXT(C4256," yyyy"))</f>
        <v>October 1st,2026</v>
      </c>
      <c r="AB4256" s="15" t="str">
        <f aca="true">IF(S4256="","",DATEDIF(S4256,TODAY(),"Y")&amp;" Tahun, "&amp;DATEDIF(S4256,TODAY(),"YM")&amp;" Bulan, "&amp;DATEDIF(S4256,TODAY(),"MD")&amp;" Hari")</f>
        <v>36 Tahun, 2 Bulan, 5 Hari</v>
      </c>
      <c r="AC4256" s="14" t="n">
        <v>46296</v>
      </c>
      <c r="AD4256" s="18" t="n">
        <f aca="false">EDATE(AC4256,3)-1</f>
        <v>46387</v>
      </c>
      <c r="AE4256" s="13" t="s">
        <v>397</v>
      </c>
    </row>
    <row r="4257" customFormat="false" ht="15" hidden="false" customHeight="true" outlineLevel="0" collapsed="false">
      <c r="A4257" s="12" t="n">
        <v>22891</v>
      </c>
      <c r="B4257" s="13" t="s">
        <v>17446</v>
      </c>
      <c r="C4257" s="14" t="n">
        <v>46296</v>
      </c>
      <c r="D4257" s="13" t="s">
        <v>17441</v>
      </c>
      <c r="E4257" s="13" t="s">
        <v>47</v>
      </c>
      <c r="F4257" s="24" t="s">
        <v>17447</v>
      </c>
      <c r="G4257" s="13" t="s">
        <v>1452</v>
      </c>
      <c r="H4257" s="13" t="s">
        <v>35</v>
      </c>
      <c r="I4257" s="13" t="str">
        <f aca="false">IF(C4257=J4257,"NEW KONTRAK","RE-KONTRAK")</f>
        <v>NEW KONTRAK</v>
      </c>
      <c r="J4257" s="16" t="n">
        <f aca="false" t="array" ref="J4257:J4257">IFERROR(INDEX(AC4257:AE4257,IF(COUNTA(AC4257:AE4257)=0,"",MAX((AC4257:AE4257&lt;&gt;"")*(COLUMN(AC4257:AE4257)-(COLUMN(AC4257)))))-1),"")</f>
        <v>46296</v>
      </c>
      <c r="K4257" s="16" t="n">
        <f aca="false" t="array" ref="K4257:K4257">IFERROR(INDEX(AC4257:AE4257,IF(COUNTA(AC4257:AE4257)=0,"",MAX((AC4257:AE4257&lt;&gt;"")*(COLUMN(AC4257:AE4257)-(COLUMN(AC4257)-1))))-1),"")</f>
        <v>46387</v>
      </c>
      <c r="L4257" s="17" t="str">
        <f aca="false" t="array" ref="L4257:L4257">IFERROR(INDEX(AC4257:AE4257,IF(COUNTA(AC4257:AE4257)=0,"",MAX((AC4257:AE4257&lt;&gt;"")*(COLUMN(AC4257:AE4257)-(COLUMN(AC4257)-2))))-1),"")</f>
        <v>KEMBALI</v>
      </c>
      <c r="M4257" s="13" t="n">
        <f aca="true">K4257-TODAY()</f>
        <v>63</v>
      </c>
      <c r="N4257" s="13" t="s">
        <v>5340</v>
      </c>
      <c r="O4257" s="13" t="s">
        <v>2384</v>
      </c>
      <c r="P4257" s="26" t="n">
        <v>3756700</v>
      </c>
      <c r="Q4257" s="20" t="s">
        <v>17448</v>
      </c>
      <c r="R4257" s="13" t="s">
        <v>17449</v>
      </c>
      <c r="S4257" s="25" t="n">
        <v>34256</v>
      </c>
      <c r="T4257" s="13" t="s">
        <v>108</v>
      </c>
      <c r="U4257" s="13" t="s">
        <v>17450</v>
      </c>
      <c r="V4257" s="13" t="s">
        <v>99</v>
      </c>
      <c r="W4257" s="13" t="s">
        <v>43</v>
      </c>
      <c r="X4257" s="21" t="n">
        <v>85348686090</v>
      </c>
      <c r="Y4257" s="22" t="str">
        <f aca="false">O4257</f>
        <v>SPG</v>
      </c>
      <c r="Z4257" s="13" t="str">
        <f aca="false">IFERROR(__xludf.dummyfunction("if(BJ4257="""","""",GOOGLETRANSLATE(BJ4257,""auto"",""en""))"),"SPG")</f>
        <v>SPG</v>
      </c>
      <c r="AA4257" s="23" t="str">
        <f aca="false">IF(C4257="","", CHOOSE(MONTH(C4257),"January","February","March","April","May","June","July","August","September","October","November","December")&amp;" "&amp;DAY(C4257)&amp;MID("thstndrdth",MIN(9,2*RIGHT(DAY(C4257))*(MOD(DAY(C4257)-11,100)&gt;2)+1),2)&amp;","&amp;TEXT(C4257," yyyy"))</f>
        <v>October 1st,2026</v>
      </c>
      <c r="AB4257" s="15" t="str">
        <f aca="true">IF(S4257="","",DATEDIF(S4257,TODAY(),"Y")&amp;" Tahun, "&amp;DATEDIF(S4257,TODAY(),"YM")&amp;" Bulan, "&amp;DATEDIF(S4257,TODAY(),"MD")&amp;" Hari")</f>
        <v>33 Tahun, 0 Bulan, 15 Hari</v>
      </c>
      <c r="AC4257" s="14" t="n">
        <v>46296</v>
      </c>
      <c r="AD4257" s="18" t="n">
        <f aca="false">EDATE(AC4257,3)-1</f>
        <v>46387</v>
      </c>
      <c r="AE4257" s="13" t="s">
        <v>397</v>
      </c>
    </row>
    <row r="4258" customFormat="false" ht="15" hidden="false" customHeight="true" outlineLevel="0" collapsed="false">
      <c r="A4258" s="12" t="n">
        <v>22892</v>
      </c>
      <c r="B4258" s="13" t="s">
        <v>17451</v>
      </c>
      <c r="C4258" s="14" t="n">
        <v>46296</v>
      </c>
      <c r="D4258" s="13" t="s">
        <v>144</v>
      </c>
      <c r="E4258" s="13" t="s">
        <v>47</v>
      </c>
      <c r="F4258" s="24" t="s">
        <v>17452</v>
      </c>
      <c r="G4258" s="13" t="s">
        <v>1452</v>
      </c>
      <c r="H4258" s="13" t="s">
        <v>35</v>
      </c>
      <c r="I4258" s="13" t="str">
        <f aca="false">IF(C4258=J4258,"NEW KONTRAK","RE-KONTRAK")</f>
        <v>NEW KONTRAK</v>
      </c>
      <c r="J4258" s="16" t="n">
        <f aca="false" t="array" ref="J4258:J4258">IFERROR(INDEX(AC4258:AE4258,IF(COUNTA(AC4258:AE4258)=0,"",MAX((AC4258:AE4258&lt;&gt;"")*(COLUMN(AC4258:AE4258)-(COLUMN(AC4258)))))-1),"")</f>
        <v>46296</v>
      </c>
      <c r="K4258" s="16" t="n">
        <f aca="false" t="array" ref="K4258:K4258">IFERROR(INDEX(AC4258:AE4258,IF(COUNTA(AC4258:AE4258)=0,"",MAX((AC4258:AE4258&lt;&gt;"")*(COLUMN(AC4258:AE4258)-(COLUMN(AC4258)-1))))-1),"")</f>
        <v>46387</v>
      </c>
      <c r="L4258" s="17" t="str">
        <f aca="false" t="array" ref="L4258:L4258">IFERROR(INDEX(AC4258:AE4258,IF(COUNTA(AC4258:AE4258)=0,"",MAX((AC4258:AE4258&lt;&gt;"")*(COLUMN(AC4258:AE4258)-(COLUMN(AC4258)-2))))-1),"")</f>
        <v>ARCHIVED</v>
      </c>
      <c r="M4258" s="13" t="n">
        <f aca="true">K4258-TODAY()</f>
        <v>63</v>
      </c>
      <c r="N4258" s="18" t="s">
        <v>36</v>
      </c>
      <c r="O4258" s="13" t="s">
        <v>2384</v>
      </c>
      <c r="P4258" s="26" t="n">
        <v>5195401</v>
      </c>
      <c r="Q4258" s="20" t="s">
        <v>17453</v>
      </c>
      <c r="R4258" s="13" t="s">
        <v>52</v>
      </c>
      <c r="S4258" s="25" t="n">
        <v>32797</v>
      </c>
      <c r="T4258" s="13" t="s">
        <v>108</v>
      </c>
      <c r="U4258" s="13" t="s">
        <v>17454</v>
      </c>
      <c r="V4258" s="13" t="s">
        <v>42</v>
      </c>
      <c r="W4258" s="13" t="s">
        <v>54</v>
      </c>
      <c r="X4258" s="21" t="n">
        <v>881027812451</v>
      </c>
      <c r="Y4258" s="22" t="str">
        <f aca="false">O4258</f>
        <v>SPG</v>
      </c>
      <c r="Z4258" s="13" t="str">
        <f aca="false">IFERROR(__xludf.dummyfunction("if(BJ4258="""","""",GOOGLETRANSLATE(BJ4258,""auto"",""en""))"),"SPG")</f>
        <v>SPG</v>
      </c>
      <c r="AA4258" s="23" t="str">
        <f aca="false">IF(C4258="","", CHOOSE(MONTH(C4258),"January","February","March","April","May","June","July","August","September","October","November","December")&amp;" "&amp;DAY(C4258)&amp;MID("thstndrdth",MIN(9,2*RIGHT(DAY(C4258))*(MOD(DAY(C4258)-11,100)&gt;2)+1),2)&amp;","&amp;TEXT(C4258," yyyy"))</f>
        <v>October 1st,2026</v>
      </c>
      <c r="AB4258" s="15" t="str">
        <f aca="true">IF(S4258="","",DATEDIF(S4258,TODAY(),"Y")&amp;" Tahun, "&amp;DATEDIF(S4258,TODAY(),"YM")&amp;" Bulan, "&amp;DATEDIF(S4258,TODAY(),"MD")&amp;" Hari")</f>
        <v>37 Tahun, 0 Bulan, 13 Hari</v>
      </c>
      <c r="AC4258" s="14" t="n">
        <v>46296</v>
      </c>
      <c r="AD4258" s="18" t="n">
        <f aca="false">EDATE(AC4258,3)-1</f>
        <v>46387</v>
      </c>
      <c r="AE4258" s="13" t="s">
        <v>44</v>
      </c>
    </row>
    <row r="4259" customFormat="false" ht="15" hidden="false" customHeight="true" outlineLevel="0" collapsed="false">
      <c r="A4259" s="12" t="n">
        <v>22893</v>
      </c>
      <c r="B4259" s="13" t="s">
        <v>17455</v>
      </c>
      <c r="C4259" s="14" t="n">
        <v>46296</v>
      </c>
      <c r="D4259" s="13" t="s">
        <v>144</v>
      </c>
      <c r="E4259" s="13" t="s">
        <v>47</v>
      </c>
      <c r="F4259" s="24" t="s">
        <v>17456</v>
      </c>
      <c r="G4259" s="13" t="s">
        <v>1452</v>
      </c>
      <c r="H4259" s="13" t="s">
        <v>35</v>
      </c>
      <c r="I4259" s="13" t="str">
        <f aca="false">IF(C4259=J4259,"NEW KONTRAK","RE-KONTRAK")</f>
        <v>NEW KONTRAK</v>
      </c>
      <c r="J4259" s="16" t="n">
        <f aca="false" t="array" ref="J4259:J4259">IFERROR(INDEX(AC4259:AE4259,IF(COUNTA(AC4259:AE4259)=0,"",MAX((AC4259:AE4259&lt;&gt;"")*(COLUMN(AC4259:AE4259)-(COLUMN(AC4259)))))-1),"")</f>
        <v>46296</v>
      </c>
      <c r="K4259" s="16" t="n">
        <f aca="false" t="array" ref="K4259:K4259">IFERROR(INDEX(AC4259:AE4259,IF(COUNTA(AC4259:AE4259)=0,"",MAX((AC4259:AE4259&lt;&gt;"")*(COLUMN(AC4259:AE4259)-(COLUMN(AC4259)-1))))-1),"")</f>
        <v>46387</v>
      </c>
      <c r="L4259" s="17" t="str">
        <f aca="false" t="array" ref="L4259:L4259">IFERROR(INDEX(AC4259:AE4259,IF(COUNTA(AC4259:AE4259)=0,"",MAX((AC4259:AE4259&lt;&gt;"")*(COLUMN(AC4259:AE4259)-(COLUMN(AC4259)-2))))-1),"")</f>
        <v>ARCHIVED</v>
      </c>
      <c r="M4259" s="13" t="n">
        <f aca="true">K4259-TODAY()</f>
        <v>63</v>
      </c>
      <c r="N4259" s="18" t="s">
        <v>36</v>
      </c>
      <c r="O4259" s="13" t="s">
        <v>16973</v>
      </c>
      <c r="P4259" s="26" t="n">
        <v>5195401</v>
      </c>
      <c r="Q4259" s="20" t="s">
        <v>17457</v>
      </c>
      <c r="R4259" s="13" t="s">
        <v>52</v>
      </c>
      <c r="S4259" s="25" t="n">
        <v>33204</v>
      </c>
      <c r="T4259" s="13" t="s">
        <v>40</v>
      </c>
      <c r="U4259" s="13" t="s">
        <v>17458</v>
      </c>
      <c r="V4259" s="13" t="s">
        <v>42</v>
      </c>
      <c r="W4259" s="13" t="s">
        <v>54</v>
      </c>
      <c r="X4259" s="21" t="n">
        <v>85808308487</v>
      </c>
      <c r="Y4259" s="22" t="str">
        <f aca="false">O4259</f>
        <v>SPB</v>
      </c>
      <c r="Z4259" s="13" t="str">
        <f aca="false">IFERROR(__xludf.dummyfunction("if(BJ4259="""","""",GOOGLETRANSLATE(BJ4259,""auto"",""en""))"),"SPB")</f>
        <v>SPB</v>
      </c>
      <c r="AA4259" s="23" t="str">
        <f aca="false">IF(C4259="","", CHOOSE(MONTH(C4259),"January","February","March","April","May","June","July","August","September","October","November","December")&amp;" "&amp;DAY(C4259)&amp;MID("thstndrdth",MIN(9,2*RIGHT(DAY(C4259))*(MOD(DAY(C4259)-11,100)&gt;2)+1),2)&amp;","&amp;TEXT(C4259," yyyy"))</f>
        <v>October 1st,2026</v>
      </c>
      <c r="AB4259" s="15" t="str">
        <f aca="true">IF(S4259="","",DATEDIF(S4259,TODAY(),"Y")&amp;" Tahun, "&amp;DATEDIF(S4259,TODAY(),"YM")&amp;" Bulan, "&amp;DATEDIF(S4259,TODAY(),"MD")&amp;" Hari")</f>
        <v>35 Tahun, 11 Bulan, 2 Hari</v>
      </c>
      <c r="AC4259" s="14" t="n">
        <v>46296</v>
      </c>
      <c r="AD4259" s="18" t="n">
        <f aca="false">EDATE(AC4259,3)-1</f>
        <v>46387</v>
      </c>
      <c r="AE4259" s="13" t="s">
        <v>44</v>
      </c>
    </row>
    <row r="4260" customFormat="false" ht="15" hidden="false" customHeight="true" outlineLevel="0" collapsed="false">
      <c r="A4260" s="12" t="n">
        <v>22894</v>
      </c>
      <c r="B4260" s="13" t="s">
        <v>17459</v>
      </c>
      <c r="C4260" s="14" t="n">
        <v>46296</v>
      </c>
      <c r="D4260" s="13" t="s">
        <v>6852</v>
      </c>
      <c r="E4260" s="13" t="s">
        <v>47</v>
      </c>
      <c r="F4260" s="24" t="s">
        <v>17460</v>
      </c>
      <c r="G4260" s="13" t="s">
        <v>1452</v>
      </c>
      <c r="H4260" s="13" t="s">
        <v>35</v>
      </c>
      <c r="I4260" s="13" t="str">
        <f aca="false">IF(C4260=J4260,"NEW KONTRAK","RE-KONTRAK")</f>
        <v>NEW KONTRAK</v>
      </c>
      <c r="J4260" s="16" t="n">
        <f aca="false" t="array" ref="J4260:J4260">IFERROR(INDEX(AC4260:AE4260,IF(COUNTA(AC4260:AE4260)=0,"",MAX((AC4260:AE4260&lt;&gt;"")*(COLUMN(AC4260:AE4260)-(COLUMN(AC4260)))))-1),"")</f>
        <v>46296</v>
      </c>
      <c r="K4260" s="16" t="n">
        <f aca="false" t="array" ref="K4260:K4260">IFERROR(INDEX(AC4260:AE4260,IF(COUNTA(AC4260:AE4260)=0,"",MAX((AC4260:AE4260&lt;&gt;"")*(COLUMN(AC4260:AE4260)-(COLUMN(AC4260)-1))))-1),"")</f>
        <v>46387</v>
      </c>
      <c r="L4260" s="17" t="str">
        <f aca="false" t="array" ref="L4260:L4260">IFERROR(INDEX(AC4260:AE4260,IF(COUNTA(AC4260:AE4260)=0,"",MAX((AC4260:AE4260&lt;&gt;"")*(COLUMN(AC4260:AE4260)-(COLUMN(AC4260)-2))))-1),"")</f>
        <v>KEMBALI</v>
      </c>
      <c r="M4260" s="13" t="n">
        <f aca="true">K4260-TODAY()</f>
        <v>63</v>
      </c>
      <c r="N4260" s="18" t="s">
        <v>36</v>
      </c>
      <c r="O4260" s="13" t="s">
        <v>17461</v>
      </c>
      <c r="P4260" s="26" t="n">
        <v>5195401</v>
      </c>
      <c r="Q4260" s="20" t="s">
        <v>17462</v>
      </c>
      <c r="R4260" s="13" t="s">
        <v>65</v>
      </c>
      <c r="S4260" s="25" t="n">
        <v>37762</v>
      </c>
      <c r="T4260" s="13" t="s">
        <v>40</v>
      </c>
      <c r="U4260" s="13" t="s">
        <v>17463</v>
      </c>
      <c r="V4260" s="13" t="s">
        <v>42</v>
      </c>
      <c r="W4260" s="13" t="s">
        <v>43</v>
      </c>
      <c r="X4260" s="21" t="n">
        <v>82145854849</v>
      </c>
      <c r="Y4260" s="22" t="str">
        <f aca="false">O4260</f>
        <v>IT Staff</v>
      </c>
      <c r="Z4260" s="13" t="str">
        <f aca="false">IFERROR(__xludf.dummyfunction("if(BJ4260="""","""",GOOGLETRANSLATE(BJ4260,""auto"",""en""))"),"IT Staff")</f>
        <v>IT Staff</v>
      </c>
      <c r="AA4260" s="23" t="str">
        <f aca="false">IF(C4260="","", CHOOSE(MONTH(C4260),"January","February","March","April","May","June","July","August","September","October","November","December")&amp;" "&amp;DAY(C4260)&amp;MID("thstndrdth",MIN(9,2*RIGHT(DAY(C4260))*(MOD(DAY(C4260)-11,100)&gt;2)+1),2)&amp;","&amp;TEXT(C4260," yyyy"))</f>
        <v>October 1st,2026</v>
      </c>
      <c r="AB4260" s="15" t="str">
        <f aca="true">IF(S4260="","",DATEDIF(S4260,TODAY(),"Y")&amp;" Tahun, "&amp;DATEDIF(S4260,TODAY(),"YM")&amp;" Bulan, "&amp;DATEDIF(S4260,TODAY(),"MD")&amp;" Hari")</f>
        <v>23 Tahun, 5 Bulan, 8 Hari</v>
      </c>
      <c r="AC4260" s="14" t="n">
        <v>46296</v>
      </c>
      <c r="AD4260" s="18" t="n">
        <f aca="false">EDATE(AC4260,3)-1</f>
        <v>46387</v>
      </c>
      <c r="AE4260" s="13" t="s">
        <v>397</v>
      </c>
    </row>
    <row r="4261" customFormat="false" ht="15" hidden="false" customHeight="true" outlineLevel="0" collapsed="false">
      <c r="A4261" s="12" t="n">
        <v>22287</v>
      </c>
      <c r="B4261" s="13" t="s">
        <v>17464</v>
      </c>
      <c r="C4261" s="16" t="n">
        <v>46143</v>
      </c>
      <c r="D4261" s="13" t="s">
        <v>2033</v>
      </c>
      <c r="E4261" s="15" t="s">
        <v>47</v>
      </c>
      <c r="F4261" s="24" t="s">
        <v>17465</v>
      </c>
      <c r="G4261" s="24" t="s">
        <v>57</v>
      </c>
      <c r="H4261" s="13" t="s">
        <v>35</v>
      </c>
      <c r="I4261" s="13" t="str">
        <f aca="false">IF(C4261=J4261,"NEW KONTRAK","RE-KONTRAK")</f>
        <v>NEW KONTRAK</v>
      </c>
      <c r="J4261" s="16" t="n">
        <f aca="false" t="array" ref="J4261:J4261">IFERROR(INDEX(AC4261:AE4261,IF(COUNTA(AC4261:AE4261)=0,"",MAX((AC4261:AE4261&lt;&gt;"")*(COLUMN(AC4261:AE4261)-(COLUMN(AC4261)))))-1),"")</f>
        <v>46143</v>
      </c>
      <c r="K4261" s="16" t="n">
        <f aca="false" t="array" ref="K4261:K4261">IFERROR(INDEX(AC4261:AE4261,IF(COUNTA(AC4261:AE4261)=0,"",MAX((AC4261:AE4261&lt;&gt;"")*(COLUMN(AC4261:AE4261)-(COLUMN(AC4261)-1))))-1),"")</f>
        <v>46188</v>
      </c>
      <c r="L4261" s="17" t="str">
        <f aca="false" t="array" ref="L4261:L4261">IFERROR(INDEX(AC4261:AE4261,IF(COUNTA(AC4261:AE4261)=0,"",MAX((AC4261:AE4261&lt;&gt;"")*(COLUMN(AC4261:AE4261)-(COLUMN(AC4261)-2))))-1),"")</f>
        <v>ARCHIVED</v>
      </c>
      <c r="M4261" s="13" t="n">
        <f aca="true">K4261-TODAY()</f>
        <v>-136</v>
      </c>
      <c r="N4261" s="18" t="s">
        <v>4903</v>
      </c>
      <c r="O4261" s="13" t="s">
        <v>2037</v>
      </c>
      <c r="P4261" s="19" t="n">
        <v>3205220</v>
      </c>
      <c r="Q4261" s="20" t="s">
        <v>17466</v>
      </c>
      <c r="R4261" s="13" t="s">
        <v>10545</v>
      </c>
      <c r="S4261" s="14" t="n">
        <v>36199</v>
      </c>
      <c r="T4261" s="13" t="s">
        <v>108</v>
      </c>
      <c r="U4261" s="13" t="s">
        <v>17467</v>
      </c>
      <c r="V4261" s="13" t="s">
        <v>42</v>
      </c>
      <c r="W4261" s="13" t="s">
        <v>43</v>
      </c>
      <c r="X4261" s="21" t="n">
        <v>89625168677</v>
      </c>
      <c r="Y4261" s="22" t="str">
        <f aca="false">O4261</f>
        <v>SPG/BA</v>
      </c>
      <c r="Z4261" s="13" t="str">
        <f aca="false">IFERROR(__xludf.dummyfunction("if(BJ4261="""","""",GOOGLETRANSLATE(BJ4261,""auto"",""en""))"),"SPG/BA")</f>
        <v>SPG/BA</v>
      </c>
      <c r="AA4261" s="23" t="str">
        <f aca="false">IF(C4261="","", CHOOSE(MONTH(C4261),"January","February","March","April","May","June","July","August","September","October","November","December")&amp;" "&amp;DAY(C4261)&amp;MID("thstndrdth",MIN(9,2*RIGHT(DAY(C4261))*(MOD(DAY(C4261)-11,100)&gt;2)+1),2)&amp;","&amp;TEXT(C4261," yyyy"))</f>
        <v>May 1st,2026</v>
      </c>
      <c r="AB4261" s="15" t="str">
        <f aca="true">IF(S4261="","",DATEDIF(S4261,TODAY(),"Y")&amp;" Tahun, "&amp;DATEDIF(S4261,TODAY(),"YM")&amp;" Bulan, "&amp;DATEDIF(S4261,TODAY(),"MD")&amp;" Hari")</f>
        <v>27 Tahun, 8 Bulan, 21 Hari</v>
      </c>
      <c r="AC4261" s="14" t="n">
        <v>46143</v>
      </c>
      <c r="AD4261" s="64" t="n">
        <v>46188</v>
      </c>
      <c r="AE4261" s="13" t="s">
        <v>44</v>
      </c>
    </row>
    <row r="4262" customFormat="false" ht="15" hidden="false" customHeight="true" outlineLevel="0" collapsed="false">
      <c r="A4262" s="12" t="n">
        <v>3044</v>
      </c>
      <c r="B4262" s="13" t="s">
        <v>17468</v>
      </c>
      <c r="C4262" s="14" t="n">
        <v>44243</v>
      </c>
      <c r="D4262" s="13" t="s">
        <v>2033</v>
      </c>
      <c r="E4262" s="15" t="s">
        <v>47</v>
      </c>
      <c r="F4262" s="15" t="str">
        <f aca="false">IFERROR(__xludf.dummyfunction("XLOOKUP(AJ4262,IMPORTRANGE(""1XaInW9DU9nz21V0tYIfzFQ0He9kVQ_JF2mCXgZ3hqFA"",""REKAP ALL 2026 - Andika!G:G""),IMPORTRANGE(""1XaInW9DU9nz21V0tYIfzFQ0He9kVQ_JF2mCXgZ3hqFA"",""REKAP ALL 2026 - Andika!F:F""),"""",0)"),"21024739092")</f>
        <v>21024739092</v>
      </c>
      <c r="G4262" s="13" t="s">
        <v>17469</v>
      </c>
      <c r="H4262" s="13" t="s">
        <v>2035</v>
      </c>
      <c r="I4262" s="13" t="str">
        <f aca="false">IF(C4262=J4262,"NEW KONTRAK","RE-KONTRAK")</f>
        <v>RE-KONTRAK</v>
      </c>
      <c r="J4262" s="16" t="n">
        <f aca="false" t="array" ref="J4262:J4262">IFERROR(INDEX(AC4262:AE4262,IF(COUNTA(AC4262:AE4262)=0,"",MAX((AC4262:AE4262&lt;&gt;"")*(COLUMN(AC4262:AE4262)-(COLUMN(AC4262)))))-1),"")</f>
        <v>45744</v>
      </c>
      <c r="K4262" s="16" t="n">
        <f aca="false" t="array" ref="K4262:K4262">IFERROR(INDEX(AC4262:AE4262,IF(COUNTA(AC4262:AE4262)=0,"",MAX((AC4262:AE4262&lt;&gt;"")*(COLUMN(AC4262:AE4262)-(COLUMN(AC4262)-1))))-1),"")</f>
        <v>45915</v>
      </c>
      <c r="L4262" s="17" t="str">
        <f aca="false" t="array" ref="L4262:L4262">IFERROR(INDEX(AC4262:AE4262,IF(COUNTA(AC4262:AE4262)=0,"",MAX((AC4262:AE4262&lt;&gt;"")*(COLUMN(AC4262:AE4262)-(COLUMN(AC4262)-2))))-1),"")</f>
        <v>ARCHIVED</v>
      </c>
      <c r="M4262" s="13" t="n">
        <f aca="true">K4262-TODAY()</f>
        <v>-409</v>
      </c>
      <c r="N4262" s="18" t="s">
        <v>10532</v>
      </c>
      <c r="O4262" s="13" t="s">
        <v>2037</v>
      </c>
      <c r="P4262" s="19" t="n">
        <v>3019015</v>
      </c>
      <c r="Q4262" s="20" t="s">
        <v>17470</v>
      </c>
      <c r="R4262" s="13" t="s">
        <v>17471</v>
      </c>
      <c r="S4262" s="14" t="n">
        <v>35481</v>
      </c>
      <c r="T4262" s="13" t="s">
        <v>108</v>
      </c>
      <c r="U4262" s="13" t="s">
        <v>17472</v>
      </c>
      <c r="V4262" s="13" t="s">
        <v>42</v>
      </c>
      <c r="W4262" s="13" t="s">
        <v>43</v>
      </c>
      <c r="X4262" s="21" t="n">
        <v>83114188131</v>
      </c>
      <c r="Y4262" s="22" t="str">
        <f aca="false">O4262</f>
        <v>SPG/BA</v>
      </c>
      <c r="Z4262" s="13" t="str">
        <f aca="false">IFERROR(__xludf.dummyfunction("if(BJ4262="""","""",GOOGLETRANSLATE(BJ4262,""auto"",""en""))"),"SPG/BA")</f>
        <v>SPG/BA</v>
      </c>
      <c r="AA4262" s="23" t="str">
        <f aca="false">IF(C4262="","", CHOOSE(MONTH(C4262),"January","February","March","April","May","June","July","August","September","October","November","December")&amp;" "&amp;DAY(C4262)&amp;MID("thstndrdth",MIN(9,2*RIGHT(DAY(C4262))*(MOD(DAY(C4262)-11,100)&gt;2)+1),2)&amp;","&amp;TEXT(C4262," yyyy"))</f>
        <v>February 16th,2021</v>
      </c>
      <c r="AB4262" s="15" t="str">
        <f aca="true">IF(S4262="","",DATEDIF(S4262,TODAY(),"Y")&amp;" Tahun, "&amp;DATEDIF(S4262,TODAY(),"YM")&amp;" Bulan, "&amp;DATEDIF(S4262,TODAY(),"MD")&amp;" Hari")</f>
        <v>29 Tahun, 8 Bulan, 9 Hari</v>
      </c>
      <c r="AC4262" s="18" t="n">
        <v>45744</v>
      </c>
      <c r="AD4262" s="18" t="n">
        <v>45915</v>
      </c>
      <c r="AE4262" s="18" t="s">
        <v>44</v>
      </c>
    </row>
    <row r="4263" customFormat="false" ht="15" hidden="false" customHeight="true" outlineLevel="0" collapsed="false">
      <c r="A4263" s="12" t="n">
        <v>14819</v>
      </c>
      <c r="B4263" s="13" t="s">
        <v>17473</v>
      </c>
      <c r="C4263" s="14" t="n">
        <v>45343</v>
      </c>
      <c r="D4263" s="13" t="s">
        <v>2033</v>
      </c>
      <c r="E4263" s="15" t="s">
        <v>47</v>
      </c>
      <c r="F4263" s="15" t="str">
        <f aca="false">IFERROR(__xludf.dummyfunction("XLOOKUP(AJ4263,IMPORTRANGE(""1XaInW9DU9nz21V0tYIfzFQ0He9kVQ_JF2mCXgZ3hqFA"",""REKAP ALL 2026 - Andika!G:G""),IMPORTRANGE(""1XaInW9DU9nz21V0tYIfzFQ0He9kVQ_JF2mCXgZ3hqFA"",""REKAP ALL 2026 - Andika!F:F""),"""",0)"),"24061768396")</f>
        <v>24061768396</v>
      </c>
      <c r="G4263" s="13" t="s">
        <v>17474</v>
      </c>
      <c r="H4263" s="13" t="s">
        <v>2035</v>
      </c>
      <c r="I4263" s="13" t="str">
        <f aca="false">IF(C4263=J4263,"NEW KONTRAK","RE-KONTRAK")</f>
        <v>RE-KONTRAK</v>
      </c>
      <c r="J4263" s="16" t="n">
        <f aca="false" t="array" ref="J4263:J4263">IFERROR(INDEX(AC4263:AE4263,IF(COUNTA(AC4263:AE4263)=0,"",MAX((AC4263:AE4263&lt;&gt;"")*(COLUMN(AC4263:AE4263)-(COLUMN(AC4263)))))-1),"")</f>
        <v>45744</v>
      </c>
      <c r="K4263" s="16" t="n">
        <f aca="false" t="array" ref="K4263:K4263">IFERROR(INDEX(AC4263:AE4263,IF(COUNTA(AC4263:AE4263)=0,"",MAX((AC4263:AE4263&lt;&gt;"")*(COLUMN(AC4263:AE4263)-(COLUMN(AC4263)-1))))-1),"")</f>
        <v>45915</v>
      </c>
      <c r="L4263" s="17" t="str">
        <f aca="false" t="array" ref="L4263:L4263">IFERROR(INDEX(AC4263:AE4263,IF(COUNTA(AC4263:AE4263)=0,"",MAX((AC4263:AE4263&lt;&gt;"")*(COLUMN(AC4263:AE4263)-(COLUMN(AC4263)-2))))-1),"")</f>
        <v>ARCHIVED</v>
      </c>
      <c r="M4263" s="13" t="n">
        <f aca="true">K4263-TODAY()</f>
        <v>-409</v>
      </c>
      <c r="N4263" s="18" t="s">
        <v>4903</v>
      </c>
      <c r="O4263" s="13" t="s">
        <v>2037</v>
      </c>
      <c r="P4263" s="19" t="n">
        <v>3205220</v>
      </c>
      <c r="Q4263" s="20" t="s">
        <v>17475</v>
      </c>
      <c r="R4263" s="13" t="s">
        <v>4903</v>
      </c>
      <c r="S4263" s="14" t="n">
        <v>37279</v>
      </c>
      <c r="T4263" s="13" t="s">
        <v>108</v>
      </c>
      <c r="U4263" s="13" t="s">
        <v>17476</v>
      </c>
      <c r="V4263" s="13" t="s">
        <v>42</v>
      </c>
      <c r="W4263" s="13" t="s">
        <v>43</v>
      </c>
      <c r="X4263" s="21" t="n">
        <v>83871111369</v>
      </c>
      <c r="Y4263" s="22" t="str">
        <f aca="false">O4263</f>
        <v>SPG/BA</v>
      </c>
      <c r="Z4263" s="13" t="str">
        <f aca="false">IFERROR(__xludf.dummyfunction("if(BJ4263="""","""",GOOGLETRANSLATE(BJ4263,""auto"",""en""))"),"SPG/BA")</f>
        <v>SPG/BA</v>
      </c>
      <c r="AA4263" s="23" t="str">
        <f aca="false">IF(C4263="","", CHOOSE(MONTH(C4263),"January","February","March","April","May","June","July","August","September","October","November","December")&amp;" "&amp;DAY(C4263)&amp;MID("thstndrdth",MIN(9,2*RIGHT(DAY(C4263))*(MOD(DAY(C4263)-11,100)&gt;2)+1),2)&amp;","&amp;TEXT(C4263," yyyy"))</f>
        <v>February 21st,2024</v>
      </c>
      <c r="AB4263" s="15" t="str">
        <f aca="true">IF(S4263="","",DATEDIF(S4263,TODAY(),"Y")&amp;" Tahun, "&amp;DATEDIF(S4263,TODAY(),"YM")&amp;" Bulan, "&amp;DATEDIF(S4263,TODAY(),"MD")&amp;" Hari")</f>
        <v>24 Tahun, 9 Bulan, 6 Hari</v>
      </c>
      <c r="AC4263" s="18" t="n">
        <v>45744</v>
      </c>
      <c r="AD4263" s="18" t="n">
        <v>45915</v>
      </c>
      <c r="AE4263" s="18" t="s">
        <v>44</v>
      </c>
    </row>
    <row r="4264" customFormat="false" ht="15" hidden="false" customHeight="true" outlineLevel="0" collapsed="false">
      <c r="A4264" s="12" t="n">
        <v>17813</v>
      </c>
      <c r="B4264" s="13" t="s">
        <v>17477</v>
      </c>
      <c r="C4264" s="14" t="n">
        <v>45597</v>
      </c>
      <c r="D4264" s="13" t="s">
        <v>2033</v>
      </c>
      <c r="E4264" s="15" t="s">
        <v>47</v>
      </c>
      <c r="F4264" s="15" t="str">
        <f aca="false">IFERROR(__xludf.dummyfunction("XLOOKUP(AJ4264,IMPORTRANGE(""1XaInW9DU9nz21V0tYIfzFQ0He9kVQ_JF2mCXgZ3hqFA"",""REKAP ALL 2026 - Andika!G:G""),IMPORTRANGE(""1XaInW9DU9nz21V0tYIfzFQ0He9kVQ_JF2mCXgZ3hqFA"",""REKAP ALL 2026 - Andika!F:F""),"""",0)"),"24195984281")</f>
        <v>24195984281</v>
      </c>
      <c r="G4264" s="15" t="s">
        <v>17478</v>
      </c>
      <c r="H4264" s="13" t="s">
        <v>2035</v>
      </c>
      <c r="I4264" s="13" t="str">
        <f aca="false">IF(C4264=J4264,"NEW KONTRAK","RE-KONTRAK")</f>
        <v>RE-KONTRAK</v>
      </c>
      <c r="J4264" s="16" t="n">
        <f aca="false" t="array" ref="J4264:J4264">IFERROR(INDEX(AC4264:AE4264,IF(COUNTA(AC4264:AE4264)=0,"",MAX((AC4264:AE4264&lt;&gt;"")*(COLUMN(AC4264:AE4264)-(COLUMN(AC4264)))))-1),"")</f>
        <v>45744</v>
      </c>
      <c r="K4264" s="16" t="n">
        <f aca="false" t="array" ref="K4264:K4264">IFERROR(INDEX(AC4264:AE4264,IF(COUNTA(AC4264:AE4264)=0,"",MAX((AC4264:AE4264&lt;&gt;"")*(COLUMN(AC4264:AE4264)-(COLUMN(AC4264)-1))))-1),"")</f>
        <v>45915</v>
      </c>
      <c r="L4264" s="17" t="str">
        <f aca="false" t="array" ref="L4264:L4264">IFERROR(INDEX(AC4264:AE4264,IF(COUNTA(AC4264:AE4264)=0,"",MAX((AC4264:AE4264&lt;&gt;"")*(COLUMN(AC4264:AE4264)-(COLUMN(AC4264)-2))))-1),"")</f>
        <v>ARCHIVED</v>
      </c>
      <c r="M4264" s="13" t="n">
        <f aca="true">K4264-TODAY()</f>
        <v>-409</v>
      </c>
      <c r="N4264" s="18" t="s">
        <v>4903</v>
      </c>
      <c r="O4264" s="13" t="s">
        <v>2037</v>
      </c>
      <c r="P4264" s="19" t="n">
        <v>3205220</v>
      </c>
      <c r="Q4264" s="20" t="s">
        <v>17479</v>
      </c>
      <c r="R4264" s="13" t="s">
        <v>17480</v>
      </c>
      <c r="S4264" s="14" t="n">
        <v>35257</v>
      </c>
      <c r="T4264" s="13" t="s">
        <v>108</v>
      </c>
      <c r="U4264" s="13" t="s">
        <v>17481</v>
      </c>
      <c r="V4264" s="13" t="s">
        <v>42</v>
      </c>
      <c r="W4264" s="13" t="s">
        <v>54</v>
      </c>
      <c r="X4264" s="21" t="n">
        <v>895701808620</v>
      </c>
      <c r="Y4264" s="22" t="str">
        <f aca="false">O4264</f>
        <v>SPG/BA</v>
      </c>
      <c r="Z4264" s="13" t="str">
        <f aca="false">IFERROR(__xludf.dummyfunction("if(BJ4264="""","""",GOOGLETRANSLATE(BJ4264,""auto"",""en""))"),"SPG/BA")</f>
        <v>SPG/BA</v>
      </c>
      <c r="AA4264" s="23" t="str">
        <f aca="false">IF(C4264="","", CHOOSE(MONTH(C4264),"January","February","March","April","May","June","July","August","September","October","November","December")&amp;" "&amp;DAY(C4264)&amp;MID("thstndrdth",MIN(9,2*RIGHT(DAY(C4264))*(MOD(DAY(C4264)-11,100)&gt;2)+1),2)&amp;","&amp;TEXT(C4264," yyyy"))</f>
        <v>November 1st,2024</v>
      </c>
      <c r="AB4264" s="15" t="str">
        <f aca="true">IF(S4264="","",DATEDIF(S4264,TODAY(),"Y")&amp;" Tahun, "&amp;DATEDIF(S4264,TODAY(),"YM")&amp;" Bulan, "&amp;DATEDIF(S4264,TODAY(),"MD")&amp;" Hari")</f>
        <v>30 Tahun, 3 Bulan, 18 Hari</v>
      </c>
      <c r="AC4264" s="18" t="n">
        <v>45744</v>
      </c>
      <c r="AD4264" s="18" t="n">
        <v>45915</v>
      </c>
      <c r="AE4264" s="18" t="s">
        <v>44</v>
      </c>
    </row>
    <row r="4265" customFormat="false" ht="15" hidden="false" customHeight="true" outlineLevel="0" collapsed="false">
      <c r="A4265" s="12" t="n">
        <v>22899</v>
      </c>
      <c r="B4265" s="13" t="s">
        <v>17482</v>
      </c>
      <c r="C4265" s="14" t="n">
        <v>46266</v>
      </c>
      <c r="D4265" s="13" t="s">
        <v>2033</v>
      </c>
      <c r="E4265" s="15" t="s">
        <v>102</v>
      </c>
      <c r="F4265" s="24" t="s">
        <v>17483</v>
      </c>
      <c r="G4265" s="13" t="s">
        <v>1452</v>
      </c>
      <c r="H4265" s="13" t="s">
        <v>35</v>
      </c>
      <c r="I4265" s="13" t="str">
        <f aca="false">IF(C4265=J4265,"NEW KONTRAK","RE-KONTRAK")</f>
        <v>NEW KONTRAK</v>
      </c>
      <c r="J4265" s="16" t="n">
        <f aca="false" t="array" ref="J4265:J4265">IFERROR(INDEX(AC4265:AE4265,IF(COUNTA(AC4265:AE4265)=0,"",MAX((AC4265:AE4265&lt;&gt;"")*(COLUMN(AC4265:AE4265)-(COLUMN(AC4265)))))-1),"")</f>
        <v>46266</v>
      </c>
      <c r="K4265" s="16" t="n">
        <f aca="false" t="array" ref="K4265:K4265">IFERROR(INDEX(AC4265:AE4265,IF(COUNTA(AC4265:AE4265)=0,"",MAX((AC4265:AE4265&lt;&gt;"")*(COLUMN(AC4265:AE4265)-(COLUMN(AC4265)-1))))-1),"")</f>
        <v>46402</v>
      </c>
      <c r="L4265" s="17" t="str">
        <f aca="false" t="array" ref="L4265:L4265">IFERROR(INDEX(AC4265:AE4265,IF(COUNTA(AC4265:AE4265)=0,"",MAX((AC4265:AE4265&lt;&gt;"")*(COLUMN(AC4265:AE4265)-(COLUMN(AC4265)-2))))-1),"")</f>
        <v>ARCHIVED</v>
      </c>
      <c r="M4265" s="13" t="n">
        <f aca="true">K4265-TODAY()</f>
        <v>78</v>
      </c>
      <c r="N4265" s="13" t="s">
        <v>2363</v>
      </c>
      <c r="O4265" s="13" t="s">
        <v>2384</v>
      </c>
      <c r="P4265" s="26" t="n">
        <v>4335198</v>
      </c>
      <c r="Q4265" s="20" t="s">
        <v>17484</v>
      </c>
      <c r="R4265" s="13" t="s">
        <v>2363</v>
      </c>
      <c r="S4265" s="25" t="n">
        <v>39144</v>
      </c>
      <c r="T4265" s="13" t="s">
        <v>108</v>
      </c>
      <c r="U4265" s="13" t="s">
        <v>17485</v>
      </c>
      <c r="V4265" s="13" t="s">
        <v>42</v>
      </c>
      <c r="W4265" s="13" t="s">
        <v>43</v>
      </c>
      <c r="X4265" s="21" t="n">
        <v>82174166355</v>
      </c>
      <c r="Y4265" s="22" t="str">
        <f aca="false">O4265</f>
        <v>SPG</v>
      </c>
      <c r="Z4265" s="13" t="str">
        <f aca="false">IFERROR(__xludf.dummyfunction("if(BJ4265="""","""",GOOGLETRANSLATE(BJ4265,""auto"",""en""))"),"SPG")</f>
        <v>SPG</v>
      </c>
      <c r="AA4265" s="23" t="str">
        <f aca="false">IF(C4265="","", CHOOSE(MONTH(C4265),"January","February","March","April","May","June","July","August","September","October","November","December")&amp;" "&amp;DAY(C4265)&amp;MID("thstndrdth",MIN(9,2*RIGHT(DAY(C4265))*(MOD(DAY(C4265)-11,100)&gt;2)+1),2)&amp;","&amp;TEXT(C4265," yyyy"))</f>
        <v>September 1st,2026</v>
      </c>
      <c r="AB4265" s="15" t="str">
        <f aca="true">IF(S4265="","",DATEDIF(S4265,TODAY(),"Y")&amp;" Tahun, "&amp;DATEDIF(S4265,TODAY(),"YM")&amp;" Bulan, "&amp;DATEDIF(S4265,TODAY(),"MD")&amp;" Hari")</f>
        <v>19 Tahun, 7 Bulan, 26 Hari</v>
      </c>
      <c r="AC4265" s="14" t="n">
        <v>46266</v>
      </c>
      <c r="AD4265" s="18" t="n">
        <v>46402</v>
      </c>
      <c r="AE4265" s="13" t="s">
        <v>44</v>
      </c>
    </row>
    <row r="4266" customFormat="false" ht="15" hidden="false" customHeight="true" outlineLevel="0" collapsed="false">
      <c r="A4266" s="12" t="n">
        <v>22288</v>
      </c>
      <c r="B4266" s="13" t="s">
        <v>17486</v>
      </c>
      <c r="C4266" s="16" t="n">
        <v>46143</v>
      </c>
      <c r="D4266" s="13" t="s">
        <v>2033</v>
      </c>
      <c r="E4266" s="15" t="s">
        <v>47</v>
      </c>
      <c r="F4266" s="24" t="s">
        <v>17487</v>
      </c>
      <c r="G4266" s="24" t="s">
        <v>57</v>
      </c>
      <c r="H4266" s="13" t="s">
        <v>35</v>
      </c>
      <c r="I4266" s="13" t="str">
        <f aca="false">IF(C4266=J4266,"NEW KONTRAK","RE-KONTRAK")</f>
        <v>NEW KONTRAK</v>
      </c>
      <c r="J4266" s="16" t="n">
        <f aca="false" t="array" ref="J4266:J4266">IFERROR(INDEX(AC4266:AE4266,IF(COUNTA(AC4266:AE4266)=0,"",MAX((AC4266:AE4266&lt;&gt;"")*(COLUMN(AC4266:AE4266)-(COLUMN(AC4266)))))-1),"")</f>
        <v>46143</v>
      </c>
      <c r="K4266" s="16" t="n">
        <f aca="false" t="array" ref="K4266:K4266">IFERROR(INDEX(AC4266:AE4266,IF(COUNTA(AC4266:AE4266)=0,"",MAX((AC4266:AE4266&lt;&gt;"")*(COLUMN(AC4266:AE4266)-(COLUMN(AC4266)-1))))-1),"")</f>
        <v>46188</v>
      </c>
      <c r="L4266" s="17" t="str">
        <f aca="false" t="array" ref="L4266:L4266">IFERROR(INDEX(AC4266:AE4266,IF(COUNTA(AC4266:AE4266)=0,"",MAX((AC4266:AE4266&lt;&gt;"")*(COLUMN(AC4266:AE4266)-(COLUMN(AC4266)-2))))-1),"")</f>
        <v>ARCHIVED</v>
      </c>
      <c r="M4266" s="13" t="n">
        <f aca="true">K4266-TODAY()</f>
        <v>-136</v>
      </c>
      <c r="N4266" s="18" t="s">
        <v>2363</v>
      </c>
      <c r="O4266" s="13" t="s">
        <v>2037</v>
      </c>
      <c r="P4266" s="19" t="n">
        <v>4335198</v>
      </c>
      <c r="Q4266" s="20" t="s">
        <v>17488</v>
      </c>
      <c r="R4266" s="13" t="s">
        <v>2363</v>
      </c>
      <c r="S4266" s="14" t="n">
        <v>36975</v>
      </c>
      <c r="T4266" s="13" t="s">
        <v>108</v>
      </c>
      <c r="U4266" s="13" t="s">
        <v>17489</v>
      </c>
      <c r="V4266" s="13" t="s">
        <v>42</v>
      </c>
      <c r="W4266" s="13" t="s">
        <v>54</v>
      </c>
      <c r="X4266" s="21" t="n">
        <v>85920059969</v>
      </c>
      <c r="Y4266" s="22" t="str">
        <f aca="false">O4266</f>
        <v>SPG/BA</v>
      </c>
      <c r="Z4266" s="13" t="str">
        <f aca="false">IFERROR(__xludf.dummyfunction("if(BJ4266="""","""",GOOGLETRANSLATE(BJ4266,""auto"",""en""))"),"SPG/BA")</f>
        <v>SPG/BA</v>
      </c>
      <c r="AA4266" s="23" t="str">
        <f aca="false">IF(C4266="","", CHOOSE(MONTH(C4266),"January","February","March","April","May","June","July","August","September","October","November","December")&amp;" "&amp;DAY(C4266)&amp;MID("thstndrdth",MIN(9,2*RIGHT(DAY(C4266))*(MOD(DAY(C4266)-11,100)&gt;2)+1),2)&amp;","&amp;TEXT(C4266," yyyy"))</f>
        <v>May 1st,2026</v>
      </c>
      <c r="AB4266" s="15" t="str">
        <f aca="true">IF(S4266="","",DATEDIF(S4266,TODAY(),"Y")&amp;" Tahun, "&amp;DATEDIF(S4266,TODAY(),"YM")&amp;" Bulan, "&amp;DATEDIF(S4266,TODAY(),"MD")&amp;" Hari")</f>
        <v>25 Tahun, 7 Bulan, 4 Hari</v>
      </c>
      <c r="AC4266" s="14" t="n">
        <v>46143</v>
      </c>
      <c r="AD4266" s="64" t="n">
        <v>46188</v>
      </c>
      <c r="AE4266" s="18" t="s">
        <v>44</v>
      </c>
    </row>
    <row r="4267" customFormat="false" ht="15" hidden="false" customHeight="true" outlineLevel="0" collapsed="false">
      <c r="A4267" s="12" t="n">
        <v>20296</v>
      </c>
      <c r="B4267" s="13" t="s">
        <v>17490</v>
      </c>
      <c r="C4267" s="16" t="n">
        <v>45860</v>
      </c>
      <c r="D4267" s="13" t="s">
        <v>2033</v>
      </c>
      <c r="E4267" s="15" t="s">
        <v>47</v>
      </c>
      <c r="F4267" s="15" t="str">
        <f aca="false">IFERROR(__xludf.dummyfunction("XLOOKUP(AJ4267,IMPORTRANGE(""1XaInW9DU9nz21V0tYIfzFQ0He9kVQ_JF2mCXgZ3hqFA"",""REKAP ALL 2026 - Andika!G:G""),IMPORTRANGE(""1XaInW9DU9nz21V0tYIfzFQ0He9kVQ_JF2mCXgZ3hqFA"",""REKAP ALL 2026 - Andika!F:F""),"""",0)"),"25115947878")</f>
        <v>25115947878</v>
      </c>
      <c r="G4267" s="13" t="s">
        <v>17491</v>
      </c>
      <c r="H4267" s="13" t="s">
        <v>2035</v>
      </c>
      <c r="I4267" s="13" t="str">
        <f aca="false">IF(C4267=J4267,"NEW KONTRAK","RE-KONTRAK")</f>
        <v>NEW KONTRAK</v>
      </c>
      <c r="J4267" s="16" t="n">
        <f aca="false" t="array" ref="J4267:J4267">IFERROR(INDEX(AC4267:AE4267,IF(COUNTA(AC4267:AE4267)=0,"",MAX((AC4267:AE4267&lt;&gt;"")*(COLUMN(AC4267:AE4267)-(COLUMN(AC4267)))))-1),"")</f>
        <v>45860</v>
      </c>
      <c r="K4267" s="16" t="n">
        <f aca="false" t="array" ref="K4267:K4267">IFERROR(INDEX(AC4267:AE4267,IF(COUNTA(AC4267:AE4267)=0,"",MAX((AC4267:AE4267&lt;&gt;"")*(COLUMN(AC4267:AE4267)-(COLUMN(AC4267)-1))))-1),"")</f>
        <v>45914</v>
      </c>
      <c r="L4267" s="17" t="str">
        <f aca="false" t="array" ref="L4267:L4267">IFERROR(INDEX(AC4267:AE4267,IF(COUNTA(AC4267:AE4267)=0,"",MAX((AC4267:AE4267&lt;&gt;"")*(COLUMN(AC4267:AE4267)-(COLUMN(AC4267)-2))))-1),"")</f>
        <v>ARCHIVED</v>
      </c>
      <c r="M4267" s="13" t="n">
        <f aca="true">K4267-TODAY()</f>
        <v>-410</v>
      </c>
      <c r="N4267" s="100" t="s">
        <v>4557</v>
      </c>
      <c r="O4267" s="13" t="s">
        <v>2037</v>
      </c>
      <c r="P4267" s="19" t="n">
        <v>3701709</v>
      </c>
      <c r="Q4267" s="20" t="s">
        <v>17492</v>
      </c>
      <c r="R4267" s="13" t="s">
        <v>6291</v>
      </c>
      <c r="S4267" s="16" t="n">
        <v>38696</v>
      </c>
      <c r="T4267" s="13" t="s">
        <v>108</v>
      </c>
      <c r="U4267" s="13" t="s">
        <v>17493</v>
      </c>
      <c r="V4267" s="28" t="s">
        <v>1216</v>
      </c>
      <c r="W4267" s="13" t="s">
        <v>43</v>
      </c>
      <c r="X4267" s="21" t="n">
        <v>85753375077</v>
      </c>
      <c r="Y4267" s="22" t="str">
        <f aca="false">O4267</f>
        <v>SPG/BA</v>
      </c>
      <c r="Z4267" s="13" t="str">
        <f aca="false">IFERROR(__xludf.dummyfunction("if(BJ4267="""","""",GOOGLETRANSLATE(BJ4267,""auto"",""en""))"),"SPG/BA")</f>
        <v>SPG/BA</v>
      </c>
      <c r="AA4267" s="23" t="str">
        <f aca="false">IF(C4267="","", CHOOSE(MONTH(C4267),"January","February","March","April","May","June","July","August","September","October","November","December")&amp;" "&amp;DAY(C4267)&amp;MID("thstndrdth",MIN(9,2*RIGHT(DAY(C4267))*(MOD(DAY(C4267)-11,100)&gt;2)+1),2)&amp;","&amp;TEXT(C4267," yyyy"))</f>
        <v>July 22nd,2025</v>
      </c>
      <c r="AB4267" s="15" t="str">
        <f aca="true">IF(S4267="","",DATEDIF(S4267,TODAY(),"Y")&amp;" Tahun, "&amp;DATEDIF(S4267,TODAY(),"YM")&amp;" Bulan, "&amp;DATEDIF(S4267,TODAY(),"MD")&amp;" Hari")</f>
        <v>20 Tahun, 10 Bulan, 19 Hari</v>
      </c>
      <c r="AC4267" s="18" t="n">
        <v>45860</v>
      </c>
      <c r="AD4267" s="18" t="n">
        <v>45914</v>
      </c>
      <c r="AE4267" s="18" t="s">
        <v>44</v>
      </c>
    </row>
    <row r="4268" customFormat="false" ht="15" hidden="false" customHeight="true" outlineLevel="0" collapsed="false">
      <c r="A4268" s="12" t="n">
        <v>22223</v>
      </c>
      <c r="B4268" s="13" t="s">
        <v>17494</v>
      </c>
      <c r="C4268" s="46" t="n">
        <v>46123.2916666667</v>
      </c>
      <c r="D4268" s="13" t="s">
        <v>2033</v>
      </c>
      <c r="E4268" s="15" t="s">
        <v>47</v>
      </c>
      <c r="F4268" s="15" t="str">
        <f aca="false">IFERROR(__xludf.dummyfunction("XLOOKUP(AJ4268,IMPORTRANGE(""1XaInW9DU9nz21V0tYIfzFQ0He9kVQ_JF2mCXgZ3hqFA"",""REKAP ALL 2026 - Andika!G:G""),IMPORTRANGE(""1XaInW9DU9nz21V0tYIfzFQ0He9kVQ_JF2mCXgZ3hqFA"",""REKAP ALL 2026 - Andika!F:F""),"""",0)"),"26062983999")</f>
        <v>26062983999</v>
      </c>
      <c r="G4268" s="13" t="s">
        <v>1127</v>
      </c>
      <c r="H4268" s="13" t="s">
        <v>35</v>
      </c>
      <c r="I4268" s="13" t="str">
        <f aca="false">IF(C4268=J4268,"NEW KONTRAK","RE-KONTRAK")</f>
        <v>NEW KONTRAK</v>
      </c>
      <c r="J4268" s="16" t="n">
        <f aca="false" t="array" ref="J4268:J4268">IFERROR(INDEX(AC4268:AE4268,IF(COUNTA(AC4268:AE4268)=0,"",MAX((AC4268:AE4268&lt;&gt;"")*(COLUMN(AC4268:AE4268)-(COLUMN(AC4268)))))-1),"")</f>
        <v>46123.2916666667</v>
      </c>
      <c r="K4268" s="16" t="n">
        <f aca="false" t="array" ref="K4268:K4268">IFERROR(INDEX(AC4268:AE4268,IF(COUNTA(AC4268:AE4268)=0,"",MAX((AC4268:AE4268&lt;&gt;"")*(COLUMN(AC4268:AE4268)-(COLUMN(AC4268)-1))))-1),"")</f>
        <v>46188</v>
      </c>
      <c r="L4268" s="17" t="str">
        <f aca="false" t="array" ref="L4268:L4268">IFERROR(INDEX(AC4268:AE4268,IF(COUNTA(AC4268:AE4268)=0,"",MAX((AC4268:AE4268&lt;&gt;"")*(COLUMN(AC4268:AE4268)-(COLUMN(AC4268)-2))))-1),"")</f>
        <v>KEMBALI</v>
      </c>
      <c r="M4268" s="13" t="n">
        <f aca="true">K4268-TODAY()</f>
        <v>-136</v>
      </c>
      <c r="N4268" s="18" t="s">
        <v>2390</v>
      </c>
      <c r="O4268" s="13" t="s">
        <v>2037</v>
      </c>
      <c r="P4268" s="19" t="n">
        <v>4192837</v>
      </c>
      <c r="Q4268" s="20" t="s">
        <v>17495</v>
      </c>
      <c r="R4268" s="13" t="s">
        <v>2390</v>
      </c>
      <c r="S4268" s="14" t="n">
        <v>37898</v>
      </c>
      <c r="T4268" s="13" t="s">
        <v>108</v>
      </c>
      <c r="U4268" s="13" t="s">
        <v>17496</v>
      </c>
      <c r="V4268" s="13" t="s">
        <v>42</v>
      </c>
      <c r="W4268" s="13" t="s">
        <v>43</v>
      </c>
      <c r="X4268" s="21" t="n">
        <v>83172103477</v>
      </c>
      <c r="Y4268" s="22" t="str">
        <f aca="false">O4268</f>
        <v>SPG/BA</v>
      </c>
      <c r="Z4268" s="13" t="str">
        <f aca="false">IFERROR(__xludf.dummyfunction("if(BJ4268="""","""",GOOGLETRANSLATE(BJ4268,""auto"",""en""))"),"SPG/BA")</f>
        <v>SPG/BA</v>
      </c>
      <c r="AA4268" s="23" t="str">
        <f aca="false">IF(C4268="","", CHOOSE(MONTH(C4268),"January","February","March","April","May","June","July","August","September","October","November","December")&amp;" "&amp;DAY(C4268)&amp;MID("thstndrdth",MIN(9,2*RIGHT(DAY(C4268))*(MOD(DAY(C4268)-11,100)&gt;2)+1),2)&amp;","&amp;TEXT(C4268," yyyy"))</f>
        <v>April 11th,2026</v>
      </c>
      <c r="AB4268" s="15" t="str">
        <f aca="true">IF(S4268="","",DATEDIF(S4268,TODAY(),"Y")&amp;" Tahun, "&amp;DATEDIF(S4268,TODAY(),"YM")&amp;" Bulan, "&amp;DATEDIF(S4268,TODAY(),"MD")&amp;" Hari")</f>
        <v>23 Tahun, 0 Bulan, 25 Hari</v>
      </c>
      <c r="AC4268" s="14" t="n">
        <f aca="false">C4268</f>
        <v>46123.2916666667</v>
      </c>
      <c r="AD4268" s="64" t="n">
        <v>46188</v>
      </c>
      <c r="AE4268" s="13" t="s">
        <v>397</v>
      </c>
    </row>
    <row r="4269" customFormat="false" ht="15" hidden="false" customHeight="true" outlineLevel="0" collapsed="false">
      <c r="A4269" s="12" t="n">
        <v>19681</v>
      </c>
      <c r="B4269" s="13" t="s">
        <v>17497</v>
      </c>
      <c r="C4269" s="16" t="n">
        <v>45768</v>
      </c>
      <c r="D4269" s="13" t="s">
        <v>2033</v>
      </c>
      <c r="E4269" s="15" t="s">
        <v>47</v>
      </c>
      <c r="F4269" s="15" t="str">
        <f aca="false">IFERROR(__xludf.dummyfunction("XLOOKUP(AJ4269,IMPORTRANGE(""1XaInW9DU9nz21V0tYIfzFQ0He9kVQ_JF2mCXgZ3hqFA"",""REKAP ALL 2026 - Andika!G:G""),IMPORTRANGE(""1XaInW9DU9nz21V0tYIfzFQ0He9kVQ_JF2mCXgZ3hqFA"",""REKAP ALL 2026 - Andika!F:F""),"""",0)"),"25062535940")</f>
        <v>25062535940</v>
      </c>
      <c r="G4269" s="13" t="s">
        <v>17498</v>
      </c>
      <c r="H4269" s="13" t="s">
        <v>2035</v>
      </c>
      <c r="I4269" s="13" t="str">
        <f aca="false">IF(C4269=J4269,"NEW KONTRAK","RE-KONTRAK")</f>
        <v>NEW KONTRAK</v>
      </c>
      <c r="J4269" s="16" t="n">
        <f aca="false" t="array" ref="J4269:J4269">IFERROR(INDEX(AC4269:AE4269,IF(COUNTA(AC4269:AE4269)=0,"",MAX((AC4269:AE4269&lt;&gt;"")*(COLUMN(AC4269:AE4269)-(COLUMN(AC4269)))))-1),"")</f>
        <v>45768</v>
      </c>
      <c r="K4269" s="16" t="n">
        <f aca="false" t="array" ref="K4269:K4269">IFERROR(INDEX(AC4269:AE4269,IF(COUNTA(AC4269:AE4269)=0,"",MAX((AC4269:AE4269&lt;&gt;"")*(COLUMN(AC4269:AE4269)-(COLUMN(AC4269)-1))))-1),"")</f>
        <v>45915</v>
      </c>
      <c r="L4269" s="17" t="str">
        <f aca="false" t="array" ref="L4269:L4269">IFERROR(INDEX(AC4269:AE4269,IF(COUNTA(AC4269:AE4269)=0,"",MAX((AC4269:AE4269&lt;&gt;"")*(COLUMN(AC4269:AE4269)-(COLUMN(AC4269)-2))))-1),"")</f>
        <v>ARCHIVED</v>
      </c>
      <c r="M4269" s="13" t="n">
        <f aca="true">K4269-TODAY()</f>
        <v>-409</v>
      </c>
      <c r="N4269" s="18" t="s">
        <v>17499</v>
      </c>
      <c r="O4269" s="13" t="s">
        <v>3249</v>
      </c>
      <c r="P4269" s="19" t="n">
        <v>3909005</v>
      </c>
      <c r="Q4269" s="20" t="s">
        <v>17500</v>
      </c>
      <c r="R4269" s="13" t="s">
        <v>17501</v>
      </c>
      <c r="S4269" s="16" t="n">
        <v>35336</v>
      </c>
      <c r="T4269" s="13" t="s">
        <v>108</v>
      </c>
      <c r="U4269" s="13" t="s">
        <v>17502</v>
      </c>
      <c r="V4269" s="13" t="s">
        <v>42</v>
      </c>
      <c r="W4269" s="13" t="s">
        <v>54</v>
      </c>
      <c r="X4269" s="21" t="n">
        <v>81917490337</v>
      </c>
      <c r="Y4269" s="22" t="str">
        <f aca="false">O4269</f>
        <v>Sales Exclusive</v>
      </c>
      <c r="Z4269" s="13" t="str">
        <f aca="false">IFERROR(__xludf.dummyfunction("if(BJ4269="""","""",GOOGLETRANSLATE(BJ4269,""auto"",""en""))"),"Sales Exclusive")</f>
        <v>Sales Exclusive</v>
      </c>
      <c r="AA4269" s="23" t="str">
        <f aca="false">IF(C4269="","", CHOOSE(MONTH(C4269),"January","February","March","April","May","June","July","August","September","October","November","December")&amp;" "&amp;DAY(C4269)&amp;MID("thstndrdth",MIN(9,2*RIGHT(DAY(C4269))*(MOD(DAY(C4269)-11,100)&gt;2)+1),2)&amp;","&amp;TEXT(C4269," yyyy"))</f>
        <v>April 21st,2025</v>
      </c>
      <c r="AB4269" s="15" t="str">
        <f aca="true">IF(S4269="","",DATEDIF(S4269,TODAY(),"Y")&amp;" Tahun, "&amp;DATEDIF(S4269,TODAY(),"YM")&amp;" Bulan, "&amp;DATEDIF(S4269,TODAY(),"MD")&amp;" Hari")</f>
        <v>30 Tahun, 1 Bulan, 1 Hari</v>
      </c>
      <c r="AC4269" s="18" t="n">
        <v>45768</v>
      </c>
      <c r="AD4269" s="18" t="n">
        <v>45915</v>
      </c>
      <c r="AE4269" s="18" t="s">
        <v>44</v>
      </c>
    </row>
    <row r="4270" customFormat="false" ht="15" hidden="false" customHeight="true" outlineLevel="0" collapsed="false">
      <c r="A4270" s="12" t="n">
        <v>22476</v>
      </c>
      <c r="B4270" s="13" t="s">
        <v>17503</v>
      </c>
      <c r="C4270" s="14" t="n">
        <v>46188</v>
      </c>
      <c r="D4270" s="13" t="s">
        <v>2033</v>
      </c>
      <c r="E4270" s="15" t="s">
        <v>47</v>
      </c>
      <c r="F4270" s="24" t="s">
        <v>17504</v>
      </c>
      <c r="G4270" s="15" t="s">
        <v>1127</v>
      </c>
      <c r="H4270" s="13" t="s">
        <v>35</v>
      </c>
      <c r="I4270" s="13" t="str">
        <f aca="false">IF(C4270=J4270,"NEW KONTRAK","RE-KONTRAK")</f>
        <v>NEW KONTRAK</v>
      </c>
      <c r="J4270" s="16" t="n">
        <f aca="false" t="array" ref="J4270:J4270">IFERROR(INDEX(AC4270:AE4270,IF(COUNTA(AC4270:AE4270)=0,"",MAX((AC4270:AE4270&lt;&gt;"")*(COLUMN(AC4270:AE4270)-(COLUMN(AC4270)))))-1),"")</f>
        <v>46188</v>
      </c>
      <c r="K4270" s="16" t="n">
        <f aca="false" t="array" ref="K4270:K4270">IFERROR(INDEX(AC4270:AE4270,IF(COUNTA(AC4270:AE4270)=0,"",MAX((AC4270:AE4270&lt;&gt;"")*(COLUMN(AC4270:AE4270)-(COLUMN(AC4270)-1))))-1),"")</f>
        <v>46279</v>
      </c>
      <c r="L4270" s="17" t="str">
        <f aca="false" t="array" ref="L4270:L4270">IFERROR(INDEX(AC4270:AE4270,IF(COUNTA(AC4270:AE4270)=0,"",MAX((AC4270:AE4270&lt;&gt;"")*(COLUMN(AC4270:AE4270)-(COLUMN(AC4270)-2))))-1),"")</f>
        <v>KEMBALI ONLINE</v>
      </c>
      <c r="M4270" s="13" t="n">
        <f aca="true">K4270-TODAY()</f>
        <v>-45</v>
      </c>
      <c r="N4270" s="13" t="s">
        <v>2390</v>
      </c>
      <c r="O4270" s="13" t="s">
        <v>3249</v>
      </c>
      <c r="P4270" s="19" t="n">
        <v>4192837</v>
      </c>
      <c r="Q4270" s="47" t="s">
        <v>17505</v>
      </c>
      <c r="R4270" s="13" t="s">
        <v>17506</v>
      </c>
      <c r="S4270" s="16" t="n">
        <v>33900</v>
      </c>
      <c r="T4270" s="13" t="s">
        <v>40</v>
      </c>
      <c r="U4270" s="13" t="s">
        <v>17507</v>
      </c>
      <c r="V4270" s="28" t="s">
        <v>42</v>
      </c>
      <c r="W4270" s="28" t="s">
        <v>54</v>
      </c>
      <c r="X4270" s="67" t="s">
        <v>17508</v>
      </c>
      <c r="Y4270" s="22" t="str">
        <f aca="false">O4270</f>
        <v>Sales Exclusive</v>
      </c>
      <c r="Z4270" s="13" t="str">
        <f aca="false">IFERROR(__xludf.dummyfunction("if(BJ4270="""","""",GOOGLETRANSLATE(BJ4270,""auto"",""en""))"),"Sales Exclusive")</f>
        <v>Sales Exclusive</v>
      </c>
      <c r="AA4270" s="23" t="str">
        <f aca="false">IF(C4270="","", CHOOSE(MONTH(C4270),"January","February","March","April","May","June","July","August","September","October","November","December")&amp;" "&amp;DAY(C4270)&amp;MID("thstndrdth",MIN(9,2*RIGHT(DAY(C4270))*(MOD(DAY(C4270)-11,100)&gt;2)+1),2)&amp;","&amp;TEXT(C4270," yyyy"))</f>
        <v>June 15th,2026</v>
      </c>
      <c r="AB4270" s="15" t="str">
        <f aca="true">IF(S4270="","",DATEDIF(S4270,TODAY(),"Y")&amp;" Tahun, "&amp;DATEDIF(S4270,TODAY(),"YM")&amp;" Bulan, "&amp;DATEDIF(S4270,TODAY(),"MD")&amp;" Hari")</f>
        <v>34 Tahun, 0 Bulan, 6 Hari</v>
      </c>
      <c r="AC4270" s="14" t="n">
        <v>46188</v>
      </c>
      <c r="AD4270" s="18" t="n">
        <f aca="false">EDATE(AC4270,3)-1</f>
        <v>46279</v>
      </c>
      <c r="AE4270" s="13" t="s">
        <v>2387</v>
      </c>
    </row>
    <row r="4271" customFormat="false" ht="15" hidden="false" customHeight="true" outlineLevel="0" collapsed="false">
      <c r="A4271" s="12" t="n">
        <v>19682</v>
      </c>
      <c r="B4271" s="13" t="s">
        <v>17509</v>
      </c>
      <c r="C4271" s="16" t="n">
        <v>45763</v>
      </c>
      <c r="D4271" s="13" t="s">
        <v>2033</v>
      </c>
      <c r="E4271" s="15" t="s">
        <v>47</v>
      </c>
      <c r="F4271" s="15" t="str">
        <f aca="false">IFERROR(__xludf.dummyfunction("XLOOKUP(AJ4271,IMPORTRANGE(""1XaInW9DU9nz21V0tYIfzFQ0He9kVQ_JF2mCXgZ3hqFA"",""REKAP ALL 2026 - Andika!G:G""),IMPORTRANGE(""1XaInW9DU9nz21V0tYIfzFQ0He9kVQ_JF2mCXgZ3hqFA"",""REKAP ALL 2026 - Andika!F:F""),"""",0)"),"25062535965")</f>
        <v>25062535965</v>
      </c>
      <c r="G4271" s="13" t="s">
        <v>17510</v>
      </c>
      <c r="H4271" s="13" t="s">
        <v>2035</v>
      </c>
      <c r="I4271" s="13" t="str">
        <f aca="false">IF(C4271=J4271,"NEW KONTRAK","RE-KONTRAK")</f>
        <v>NEW KONTRAK</v>
      </c>
      <c r="J4271" s="16" t="n">
        <f aca="false" t="array" ref="J4271:J4271">IFERROR(INDEX(AC4271:AE4271,IF(COUNTA(AC4271:AE4271)=0,"",MAX((AC4271:AE4271&lt;&gt;"")*(COLUMN(AC4271:AE4271)-(COLUMN(AC4271)))))-1),"")</f>
        <v>45763</v>
      </c>
      <c r="K4271" s="16" t="n">
        <f aca="false" t="array" ref="K4271:K4271">IFERROR(INDEX(AC4271:AE4271,IF(COUNTA(AC4271:AE4271)=0,"",MAX((AC4271:AE4271&lt;&gt;"")*(COLUMN(AC4271:AE4271)-(COLUMN(AC4271)-1))))-1),"")</f>
        <v>45915</v>
      </c>
      <c r="L4271" s="17" t="str">
        <f aca="false" t="array" ref="L4271:L4271">IFERROR(INDEX(AC4271:AE4271,IF(COUNTA(AC4271:AE4271)=0,"",MAX((AC4271:AE4271&lt;&gt;"")*(COLUMN(AC4271:AE4271)-(COLUMN(AC4271)-2))))-1),"")</f>
        <v>ARCHIVED</v>
      </c>
      <c r="M4271" s="13" t="n">
        <f aca="true">K4271-TODAY()</f>
        <v>-409</v>
      </c>
      <c r="N4271" s="18" t="s">
        <v>3902</v>
      </c>
      <c r="O4271" s="13" t="s">
        <v>2037</v>
      </c>
      <c r="P4271" s="19" t="n">
        <v>3491889</v>
      </c>
      <c r="Q4271" s="20" t="s">
        <v>17511</v>
      </c>
      <c r="R4271" s="13" t="s">
        <v>3904</v>
      </c>
      <c r="S4271" s="16" t="n">
        <v>37742</v>
      </c>
      <c r="T4271" s="13" t="s">
        <v>108</v>
      </c>
      <c r="U4271" s="13" t="s">
        <v>17512</v>
      </c>
      <c r="V4271" s="13" t="s">
        <v>42</v>
      </c>
      <c r="W4271" s="13" t="s">
        <v>43</v>
      </c>
      <c r="X4271" s="21" t="n">
        <v>89607113465</v>
      </c>
      <c r="Y4271" s="22" t="str">
        <f aca="false">O4271</f>
        <v>SPG/BA</v>
      </c>
      <c r="Z4271" s="13" t="str">
        <f aca="false">IFERROR(__xludf.dummyfunction("if(BJ4271="""","""",GOOGLETRANSLATE(BJ4271,""auto"",""en""))"),"SPG/BA")</f>
        <v>SPG/BA</v>
      </c>
      <c r="AA4271" s="23" t="str">
        <f aca="false">IF(C4271="","", CHOOSE(MONTH(C4271),"January","February","March","April","May","June","July","August","September","October","November","December")&amp;" "&amp;DAY(C4271)&amp;MID("thstndrdth",MIN(9,2*RIGHT(DAY(C4271))*(MOD(DAY(C4271)-11,100)&gt;2)+1),2)&amp;","&amp;TEXT(C4271," yyyy"))</f>
        <v>April 16th,2025</v>
      </c>
      <c r="AB4271" s="15" t="str">
        <f aca="true">IF(S4271="","",DATEDIF(S4271,TODAY(),"Y")&amp;" Tahun, "&amp;DATEDIF(S4271,TODAY(),"YM")&amp;" Bulan, "&amp;DATEDIF(S4271,TODAY(),"MD")&amp;" Hari")</f>
        <v>23 Tahun, 5 Bulan, 28 Hari</v>
      </c>
      <c r="AC4271" s="18" t="n">
        <v>45763</v>
      </c>
      <c r="AD4271" s="18" t="n">
        <v>45915</v>
      </c>
      <c r="AE4271" s="18" t="s">
        <v>44</v>
      </c>
    </row>
    <row r="4272" customFormat="false" ht="15" hidden="false" customHeight="true" outlineLevel="0" collapsed="false">
      <c r="A4272" s="12" t="n">
        <v>22906</v>
      </c>
      <c r="B4272" s="13" t="s">
        <v>17513</v>
      </c>
      <c r="C4272" s="14" t="n">
        <v>46266</v>
      </c>
      <c r="D4272" s="13" t="s">
        <v>2033</v>
      </c>
      <c r="E4272" s="15" t="s">
        <v>102</v>
      </c>
      <c r="F4272" s="24" t="s">
        <v>17514</v>
      </c>
      <c r="G4272" s="13" t="s">
        <v>1452</v>
      </c>
      <c r="H4272" s="13" t="s">
        <v>35</v>
      </c>
      <c r="I4272" s="13" t="str">
        <f aca="false">IF(C4272=J4272,"NEW KONTRAK","RE-KONTRAK")</f>
        <v>NEW KONTRAK</v>
      </c>
      <c r="J4272" s="16" t="n">
        <f aca="false" t="array" ref="J4272:J4272">IFERROR(INDEX(AC4272:AE4272,IF(COUNTA(AC4272:AE4272)=0,"",MAX((AC4272:AE4272&lt;&gt;"")*(COLUMN(AC4272:AE4272)-(COLUMN(AC4272)))))-1),"")</f>
        <v>46266</v>
      </c>
      <c r="K4272" s="16" t="n">
        <f aca="false" t="array" ref="K4272:K4272">IFERROR(INDEX(AC4272:AE4272,IF(COUNTA(AC4272:AE4272)=0,"",MAX((AC4272:AE4272&lt;&gt;"")*(COLUMN(AC4272:AE4272)-(COLUMN(AC4272)-1))))-1),"")</f>
        <v>46402</v>
      </c>
      <c r="L4272" s="17" t="str">
        <f aca="false" t="array" ref="L4272:L4272">IFERROR(INDEX(AC4272:AE4272,IF(COUNTA(AC4272:AE4272)=0,"",MAX((AC4272:AE4272&lt;&gt;"")*(COLUMN(AC4272:AE4272)-(COLUMN(AC4272)-2))))-1),"")</f>
        <v>KEMBALI ONLINE</v>
      </c>
      <c r="M4272" s="13" t="n">
        <f aca="true">K4272-TODAY()</f>
        <v>78</v>
      </c>
      <c r="N4272" s="13" t="s">
        <v>7525</v>
      </c>
      <c r="O4272" s="13" t="s">
        <v>2384</v>
      </c>
      <c r="P4272" s="26" t="n">
        <v>3724677</v>
      </c>
      <c r="Q4272" s="20" t="s">
        <v>17515</v>
      </c>
      <c r="R4272" s="13" t="s">
        <v>17516</v>
      </c>
      <c r="S4272" s="25" t="n">
        <v>39009</v>
      </c>
      <c r="T4272" s="13" t="s">
        <v>108</v>
      </c>
      <c r="U4272" s="13" t="s">
        <v>17517</v>
      </c>
      <c r="V4272" s="13" t="s">
        <v>42</v>
      </c>
      <c r="W4272" s="13" t="s">
        <v>43</v>
      </c>
      <c r="X4272" s="21" t="n">
        <v>85348161577</v>
      </c>
      <c r="Y4272" s="22" t="str">
        <f aca="false">O4272</f>
        <v>SPG</v>
      </c>
      <c r="Z4272" s="13" t="str">
        <f aca="false">IFERROR(__xludf.dummyfunction("if(BJ4272="""","""",GOOGLETRANSLATE(BJ4272,""auto"",""en""))"),"SPG")</f>
        <v>SPG</v>
      </c>
      <c r="AA4272" s="23" t="str">
        <f aca="false">IF(C4272="","", CHOOSE(MONTH(C4272),"January","February","March","April","May","June","July","August","September","October","November","December")&amp;" "&amp;DAY(C4272)&amp;MID("thstndrdth",MIN(9,2*RIGHT(DAY(C4272))*(MOD(DAY(C4272)-11,100)&gt;2)+1),2)&amp;","&amp;TEXT(C4272," yyyy"))</f>
        <v>September 1st,2026</v>
      </c>
      <c r="AB4272" s="15" t="str">
        <f aca="true">IF(S4272="","",DATEDIF(S4272,TODAY(),"Y")&amp;" Tahun, "&amp;DATEDIF(S4272,TODAY(),"YM")&amp;" Bulan, "&amp;DATEDIF(S4272,TODAY(),"MD")&amp;" Hari")</f>
        <v>20 Tahun, 0 Bulan, 10 Hari</v>
      </c>
      <c r="AC4272" s="14" t="n">
        <v>46266</v>
      </c>
      <c r="AD4272" s="18" t="n">
        <v>46402</v>
      </c>
      <c r="AE4272" s="13" t="s">
        <v>2387</v>
      </c>
    </row>
    <row r="4273" customFormat="false" ht="15" hidden="false" customHeight="true" outlineLevel="0" collapsed="false">
      <c r="A4273" s="12" t="n">
        <v>3072</v>
      </c>
      <c r="B4273" s="13" t="s">
        <v>17518</v>
      </c>
      <c r="C4273" s="14" t="n">
        <v>44363</v>
      </c>
      <c r="D4273" s="13" t="s">
        <v>2033</v>
      </c>
      <c r="E4273" s="15" t="s">
        <v>47</v>
      </c>
      <c r="F4273" s="15" t="str">
        <f aca="false">IFERROR(__xludf.dummyfunction("XLOOKUP(AJ4273,IMPORTRANGE(""1XaInW9DU9nz21V0tYIfzFQ0He9kVQ_JF2mCXgZ3hqFA"",""REKAP ALL 2026 - Andika!G:G""),IMPORTRANGE(""1XaInW9DU9nz21V0tYIfzFQ0He9kVQ_JF2mCXgZ3hqFA"",""REKAP ALL 2026 - Andika!F:F""),"""",0)"),"20074872118")</f>
        <v>20074872118</v>
      </c>
      <c r="G4273" s="13" t="s">
        <v>17519</v>
      </c>
      <c r="H4273" s="13" t="s">
        <v>2035</v>
      </c>
      <c r="I4273" s="13" t="str">
        <f aca="false">IF(C4273=J4273,"NEW KONTRAK","RE-KONTRAK")</f>
        <v>RE-KONTRAK</v>
      </c>
      <c r="J4273" s="16" t="n">
        <f aca="false" t="array" ref="J4273:J4273">IFERROR(INDEX(AC4273:AE4273,IF(COUNTA(AC4273:AE4273)=0,"",MAX((AC4273:AE4273&lt;&gt;"")*(COLUMN(AC4273:AE4273)-(COLUMN(AC4273)))))-1),"")</f>
        <v>45744</v>
      </c>
      <c r="K4273" s="16" t="n">
        <f aca="false" t="array" ref="K4273:K4273">IFERROR(INDEX(AC4273:AE4273,IF(COUNTA(AC4273:AE4273)=0,"",MAX((AC4273:AE4273&lt;&gt;"")*(COLUMN(AC4273:AE4273)-(COLUMN(AC4273)-1))))-1),"")</f>
        <v>45915</v>
      </c>
      <c r="L4273" s="17" t="str">
        <f aca="false" t="array" ref="L4273:L4273">IFERROR(INDEX(AC4273:AE4273,IF(COUNTA(AC4273:AE4273)=0,"",MAX((AC4273:AE4273&lt;&gt;"")*(COLUMN(AC4273:AE4273)-(COLUMN(AC4273)-2))))-1),"")</f>
        <v>ARCHIVED</v>
      </c>
      <c r="M4273" s="13" t="n">
        <f aca="true">K4273-TODAY()</f>
        <v>-409</v>
      </c>
      <c r="N4273" s="50" t="s">
        <v>4557</v>
      </c>
      <c r="O4273" s="13" t="s">
        <v>2037</v>
      </c>
      <c r="P4273" s="19" t="n">
        <v>3701709</v>
      </c>
      <c r="Q4273" s="20" t="s">
        <v>17520</v>
      </c>
      <c r="R4273" s="13" t="s">
        <v>17521</v>
      </c>
      <c r="S4273" s="14" t="n">
        <v>35896</v>
      </c>
      <c r="T4273" s="13" t="s">
        <v>108</v>
      </c>
      <c r="U4273" s="13" t="s">
        <v>17522</v>
      </c>
      <c r="V4273" s="13" t="s">
        <v>42</v>
      </c>
      <c r="W4273" s="13" t="s">
        <v>43</v>
      </c>
      <c r="X4273" s="21" t="n">
        <v>88229560331</v>
      </c>
      <c r="Y4273" s="22" t="str">
        <f aca="false">O4273</f>
        <v>SPG/BA</v>
      </c>
      <c r="Z4273" s="13" t="str">
        <f aca="false">IFERROR(__xludf.dummyfunction("if(BJ4273="""","""",GOOGLETRANSLATE(BJ4273,""auto"",""en""))"),"SPG/BA")</f>
        <v>SPG/BA</v>
      </c>
      <c r="AA4273" s="23" t="str">
        <f aca="false">IF(C4273="","", CHOOSE(MONTH(C4273),"January","February","March","April","May","June","July","August","September","October","November","December")&amp;" "&amp;DAY(C4273)&amp;MID("thstndrdth",MIN(9,2*RIGHT(DAY(C4273))*(MOD(DAY(C4273)-11,100)&gt;2)+1),2)&amp;","&amp;TEXT(C4273," yyyy"))</f>
        <v>June 16th,2021</v>
      </c>
      <c r="AB4273" s="15" t="str">
        <f aca="true">IF(S4273="","",DATEDIF(S4273,TODAY(),"Y")&amp;" Tahun, "&amp;DATEDIF(S4273,TODAY(),"YM")&amp;" Bulan, "&amp;DATEDIF(S4273,TODAY(),"MD")&amp;" Hari")</f>
        <v>28 Tahun, 6 Bulan, 18 Hari</v>
      </c>
      <c r="AC4273" s="18" t="n">
        <v>45744</v>
      </c>
      <c r="AD4273" s="18" t="n">
        <v>45915</v>
      </c>
      <c r="AE4273" s="18" t="s">
        <v>44</v>
      </c>
    </row>
    <row r="4274" customFormat="false" ht="15" hidden="false" customHeight="true" outlineLevel="0" collapsed="false">
      <c r="A4274" s="12" t="n">
        <v>10158</v>
      </c>
      <c r="B4274" s="13" t="s">
        <v>17523</v>
      </c>
      <c r="C4274" s="14" t="n">
        <v>44971</v>
      </c>
      <c r="D4274" s="13" t="s">
        <v>2033</v>
      </c>
      <c r="E4274" s="15" t="s">
        <v>47</v>
      </c>
      <c r="F4274" s="15" t="str">
        <f aca="false">IFERROR(__xludf.dummyfunction("XLOOKUP(AJ4274,IMPORTRANGE(""1XaInW9DU9nz21V0tYIfzFQ0He9kVQ_JF2mCXgZ3hqFA"",""REKAP ALL 2026 - Andika!G:G""),IMPORTRANGE(""1XaInW9DU9nz21V0tYIfzFQ0He9kVQ_JF2mCXgZ3hqFA"",""REKAP ALL 2026 - Andika!F:F""),"""",0)"),"23031603956")</f>
        <v>23031603956</v>
      </c>
      <c r="G4274" s="13" t="s">
        <v>17524</v>
      </c>
      <c r="H4274" s="13" t="s">
        <v>2035</v>
      </c>
      <c r="I4274" s="13" t="str">
        <f aca="false">IF(C4274=J4274,"NEW KONTRAK","RE-KONTRAK")</f>
        <v>RE-KONTRAK</v>
      </c>
      <c r="J4274" s="16" t="n">
        <f aca="false" t="array" ref="J4274:J4274">IFERROR(INDEX(AC4274:AE4274,IF(COUNTA(AC4274:AE4274)=0,"",MAX((AC4274:AE4274&lt;&gt;"")*(COLUMN(AC4274:AE4274)-(COLUMN(AC4274)))))-1),"")</f>
        <v>45744</v>
      </c>
      <c r="K4274" s="16" t="n">
        <f aca="false" t="array" ref="K4274:K4274">IFERROR(INDEX(AC4274:AE4274,IF(COUNTA(AC4274:AE4274)=0,"",MAX((AC4274:AE4274&lt;&gt;"")*(COLUMN(AC4274:AE4274)-(COLUMN(AC4274)-1))))-1),"")</f>
        <v>45915</v>
      </c>
      <c r="L4274" s="17" t="str">
        <f aca="false" t="array" ref="L4274:L4274">IFERROR(INDEX(AC4274:AE4274,IF(COUNTA(AC4274:AE4274)=0,"",MAX((AC4274:AE4274&lt;&gt;"")*(COLUMN(AC4274:AE4274)-(COLUMN(AC4274)-2))))-1),"")</f>
        <v>ARCHIVED</v>
      </c>
      <c r="M4274" s="13" t="n">
        <f aca="true">K4274-TODAY()</f>
        <v>-409</v>
      </c>
      <c r="N4274" s="18" t="s">
        <v>4893</v>
      </c>
      <c r="O4274" s="13" t="s">
        <v>2037</v>
      </c>
      <c r="P4274" s="19" t="n">
        <v>3921000</v>
      </c>
      <c r="Q4274" s="20" t="s">
        <v>17525</v>
      </c>
      <c r="R4274" s="13" t="s">
        <v>17526</v>
      </c>
      <c r="S4274" s="14" t="n">
        <v>37067</v>
      </c>
      <c r="T4274" s="13" t="s">
        <v>108</v>
      </c>
      <c r="U4274" s="13" t="s">
        <v>17527</v>
      </c>
      <c r="V4274" s="13" t="s">
        <v>42</v>
      </c>
      <c r="W4274" s="13" t="s">
        <v>43</v>
      </c>
      <c r="X4274" s="21" t="n">
        <v>81253281013</v>
      </c>
      <c r="Y4274" s="22" t="str">
        <f aca="false">O4274</f>
        <v>SPG/BA</v>
      </c>
      <c r="Z4274" s="13" t="str">
        <f aca="false">IFERROR(__xludf.dummyfunction("if(BJ4274="""","""",GOOGLETRANSLATE(BJ4274,""auto"",""en""))"),"SPG/BA")</f>
        <v>SPG/BA</v>
      </c>
      <c r="AA4274" s="23" t="str">
        <f aca="false">IF(C4274="","", CHOOSE(MONTH(C4274),"January","February","March","April","May","June","July","August","September","October","November","December")&amp;" "&amp;DAY(C4274)&amp;MID("thstndrdth",MIN(9,2*RIGHT(DAY(C4274))*(MOD(DAY(C4274)-11,100)&gt;2)+1),2)&amp;","&amp;TEXT(C4274," yyyy"))</f>
        <v>February 14th,2023</v>
      </c>
      <c r="AB4274" s="15" t="str">
        <f aca="true">IF(S4274="","",DATEDIF(S4274,TODAY(),"Y")&amp;" Tahun, "&amp;DATEDIF(S4274,TODAY(),"YM")&amp;" Bulan, "&amp;DATEDIF(S4274,TODAY(),"MD")&amp;" Hari")</f>
        <v>25 Tahun, 4 Bulan, 4 Hari</v>
      </c>
      <c r="AC4274" s="18" t="n">
        <v>45744</v>
      </c>
      <c r="AD4274" s="18" t="n">
        <v>45915</v>
      </c>
      <c r="AE4274" s="18" t="s">
        <v>44</v>
      </c>
    </row>
    <row r="4275" customFormat="false" ht="15" hidden="false" customHeight="true" outlineLevel="0" collapsed="false">
      <c r="A4275" s="12" t="n">
        <v>23018</v>
      </c>
      <c r="B4275" s="13" t="s">
        <v>17528</v>
      </c>
      <c r="C4275" s="14" t="n">
        <v>46287</v>
      </c>
      <c r="D4275" s="13" t="s">
        <v>2033</v>
      </c>
      <c r="E4275" s="13" t="s">
        <v>47</v>
      </c>
      <c r="F4275" s="24" t="s">
        <v>17529</v>
      </c>
      <c r="G4275" s="13" t="s">
        <v>1127</v>
      </c>
      <c r="H4275" s="13" t="s">
        <v>35</v>
      </c>
      <c r="I4275" s="13" t="str">
        <f aca="false">IF(C4275=J4275,"NEW KONTRAK","RE-KONTRAK")</f>
        <v>NEW KONTRAK</v>
      </c>
      <c r="J4275" s="16" t="n">
        <f aca="false" t="array" ref="J4275:J4275">IFERROR(INDEX(AC4275:AE4275,IF(COUNTA(AC4275:AE4275)=0,"",MAX((AC4275:AE4275&lt;&gt;"")*(COLUMN(AC4275:AE4275)-(COLUMN(AC4275)))))-1),"")</f>
        <v>46287</v>
      </c>
      <c r="K4275" s="16" t="n">
        <f aca="false" t="array" ref="K4275:K4275">IFERROR(INDEX(AC4275:AE4275,IF(COUNTA(AC4275:AE4275)=0,"",MAX((AC4275:AE4275&lt;&gt;"")*(COLUMN(AC4275:AE4275)-(COLUMN(AC4275)-1))))-1),"")</f>
        <v>46402</v>
      </c>
      <c r="L4275" s="17" t="str">
        <f aca="false" t="array" ref="L4275:L4275">IFERROR(INDEX(AC4275:AE4275,IF(COUNTA(AC4275:AE4275)=0,"",MAX((AC4275:AE4275&lt;&gt;"")*(COLUMN(AC4275:AE4275)-(COLUMN(AC4275)-2))))-1),"")</f>
        <v>DRAFTED ONLINE</v>
      </c>
      <c r="M4275" s="13" t="n">
        <f aca="true">K4275-TODAY()</f>
        <v>78</v>
      </c>
      <c r="N4275" s="13" t="s">
        <v>2390</v>
      </c>
      <c r="O4275" s="13" t="s">
        <v>2384</v>
      </c>
      <c r="P4275" s="26" t="n">
        <v>4192837</v>
      </c>
      <c r="Q4275" s="20" t="s">
        <v>17530</v>
      </c>
      <c r="R4275" s="13" t="s">
        <v>2390</v>
      </c>
      <c r="S4275" s="25" t="n">
        <v>36694</v>
      </c>
      <c r="T4275" s="13" t="s">
        <v>108</v>
      </c>
      <c r="U4275" s="13" t="s">
        <v>17531</v>
      </c>
      <c r="V4275" s="13" t="s">
        <v>42</v>
      </c>
      <c r="W4275" s="13" t="s">
        <v>43</v>
      </c>
      <c r="X4275" s="21" t="n">
        <v>88276761369</v>
      </c>
      <c r="Y4275" s="22" t="str">
        <f aca="false">O4275</f>
        <v>SPG</v>
      </c>
      <c r="Z4275" s="13" t="str">
        <f aca="false">IFERROR(__xludf.dummyfunction("if(BJ4275="""","""",GOOGLETRANSLATE(BJ4275,""auto"",""en""))"),"SPG")</f>
        <v>SPG</v>
      </c>
      <c r="AA4275" s="23" t="str">
        <f aca="false">IF(C4275="","", CHOOSE(MONTH(C4275),"January","February","March","April","May","June","July","August","September","October","November","December")&amp;" "&amp;DAY(C4275)&amp;MID("thstndrdth",MIN(9,2*RIGHT(DAY(C4275))*(MOD(DAY(C4275)-11,100)&gt;2)+1),2)&amp;","&amp;TEXT(C4275," yyyy"))</f>
        <v>September 22nd,2026</v>
      </c>
      <c r="AB4275" s="15" t="str">
        <f aca="true">IF(S4275="","",DATEDIF(S4275,TODAY(),"Y")&amp;" Tahun, "&amp;DATEDIF(S4275,TODAY(),"YM")&amp;" Bulan, "&amp;DATEDIF(S4275,TODAY(),"MD")&amp;" Hari")</f>
        <v>26 Tahun, 4 Bulan, 12 Hari</v>
      </c>
      <c r="AC4275" s="14" t="n">
        <v>46287</v>
      </c>
      <c r="AD4275" s="18" t="n">
        <v>46402</v>
      </c>
      <c r="AE4275" s="13" t="s">
        <v>2424</v>
      </c>
    </row>
    <row r="4276" customFormat="false" ht="15" hidden="false" customHeight="true" outlineLevel="0" collapsed="false">
      <c r="A4276" s="12" t="n">
        <v>3048</v>
      </c>
      <c r="B4276" s="13" t="s">
        <v>17532</v>
      </c>
      <c r="C4276" s="14" t="n">
        <v>44059</v>
      </c>
      <c r="D4276" s="13" t="s">
        <v>2033</v>
      </c>
      <c r="E4276" s="15" t="s">
        <v>47</v>
      </c>
      <c r="F4276" s="15" t="str">
        <f aca="false">IFERROR(__xludf.dummyfunction("XLOOKUP(AJ4276,IMPORTRANGE(""1XaInW9DU9nz21V0tYIfzFQ0He9kVQ_JF2mCXgZ3hqFA"",""REKAP ALL 2026 - Andika!G:G""),IMPORTRANGE(""1XaInW9DU9nz21V0tYIfzFQ0He9kVQ_JF2mCXgZ3hqFA"",""REKAP ALL 2026 - Andika!F:F""),"""",0)"),"21024738995")</f>
        <v>21024738995</v>
      </c>
      <c r="G4276" s="13" t="s">
        <v>17533</v>
      </c>
      <c r="H4276" s="13" t="s">
        <v>2035</v>
      </c>
      <c r="I4276" s="13" t="str">
        <f aca="false">IF(C4276=J4276,"NEW KONTRAK","RE-KONTRAK")</f>
        <v>RE-KONTRAK</v>
      </c>
      <c r="J4276" s="16" t="n">
        <f aca="false" t="array" ref="J4276:J4276">IFERROR(INDEX(AC4276:AE4276,IF(COUNTA(AC4276:AE4276)=0,"",MAX((AC4276:AE4276&lt;&gt;"")*(COLUMN(AC4276:AE4276)-(COLUMN(AC4276)))))-1),"")</f>
        <v>45744</v>
      </c>
      <c r="K4276" s="16" t="n">
        <f aca="false" t="array" ref="K4276:K4276">IFERROR(INDEX(AC4276:AE4276,IF(COUNTA(AC4276:AE4276)=0,"",MAX((AC4276:AE4276&lt;&gt;"")*(COLUMN(AC4276:AE4276)-(COLUMN(AC4276)-1))))-1),"")</f>
        <v>45915</v>
      </c>
      <c r="L4276" s="17" t="str">
        <f aca="false" t="array" ref="L4276:L4276">IFERROR(INDEX(AC4276:AE4276,IF(COUNTA(AC4276:AE4276)=0,"",MAX((AC4276:AE4276&lt;&gt;"")*(COLUMN(AC4276:AE4276)-(COLUMN(AC4276)-2))))-1),"")</f>
        <v>ARCHIVED</v>
      </c>
      <c r="M4276" s="13" t="n">
        <f aca="true">K4276-TODAY()</f>
        <v>-409</v>
      </c>
      <c r="N4276" s="18" t="s">
        <v>2363</v>
      </c>
      <c r="O4276" s="13" t="s">
        <v>2037</v>
      </c>
      <c r="P4276" s="19" t="n">
        <v>4335198</v>
      </c>
      <c r="Q4276" s="20" t="s">
        <v>17534</v>
      </c>
      <c r="R4276" s="13" t="s">
        <v>2363</v>
      </c>
      <c r="S4276" s="14" t="n">
        <v>35059</v>
      </c>
      <c r="T4276" s="13" t="s">
        <v>108</v>
      </c>
      <c r="U4276" s="13" t="s">
        <v>17535</v>
      </c>
      <c r="V4276" s="13" t="s">
        <v>42</v>
      </c>
      <c r="W4276" s="13" t="s">
        <v>43</v>
      </c>
      <c r="X4276" s="21" t="n">
        <v>82170817030</v>
      </c>
      <c r="Y4276" s="22" t="str">
        <f aca="false">O4276</f>
        <v>SPG/BA</v>
      </c>
      <c r="Z4276" s="13" t="str">
        <f aca="false">IFERROR(__xludf.dummyfunction("if(BJ4276="""","""",GOOGLETRANSLATE(BJ4276,""auto"",""en""))"),"SPG/BA")</f>
        <v>SPG/BA</v>
      </c>
      <c r="AA4276" s="23" t="str">
        <f aca="false">IF(C4276="","", CHOOSE(MONTH(C4276),"January","February","March","April","May","June","July","August","September","October","November","December")&amp;" "&amp;DAY(C4276)&amp;MID("thstndrdth",MIN(9,2*RIGHT(DAY(C4276))*(MOD(DAY(C4276)-11,100)&gt;2)+1),2)&amp;","&amp;TEXT(C4276," yyyy"))</f>
        <v>August 16th,2020</v>
      </c>
      <c r="AB4276" s="15" t="str">
        <f aca="true">IF(S4276="","",DATEDIF(S4276,TODAY(),"Y")&amp;" Tahun, "&amp;DATEDIF(S4276,TODAY(),"YM")&amp;" Bulan, "&amp;DATEDIF(S4276,TODAY(),"MD")&amp;" Hari")</f>
        <v>30 Tahun, 10 Bulan, 3 Hari</v>
      </c>
      <c r="AC4276" s="18" t="n">
        <v>45744</v>
      </c>
      <c r="AD4276" s="18" t="n">
        <v>45915</v>
      </c>
      <c r="AE4276" s="18" t="s">
        <v>44</v>
      </c>
    </row>
    <row r="4277" customFormat="false" ht="15" hidden="false" customHeight="true" outlineLevel="0" collapsed="false">
      <c r="A4277" s="12" t="n">
        <v>22911</v>
      </c>
      <c r="B4277" s="13" t="s">
        <v>17536</v>
      </c>
      <c r="C4277" s="14" t="n">
        <v>46295</v>
      </c>
      <c r="D4277" s="13" t="s">
        <v>5892</v>
      </c>
      <c r="E4277" s="13" t="s">
        <v>47</v>
      </c>
      <c r="F4277" s="24" t="s">
        <v>17537</v>
      </c>
      <c r="G4277" s="13" t="s">
        <v>1452</v>
      </c>
      <c r="H4277" s="13" t="s">
        <v>35</v>
      </c>
      <c r="I4277" s="13" t="str">
        <f aca="false">IF(C4277=J4277,"NEW KONTRAK","RE-KONTRAK")</f>
        <v>NEW KONTRAK</v>
      </c>
      <c r="J4277" s="16" t="n">
        <f aca="false" t="array" ref="J4277:J4277">IFERROR(INDEX(AC4277:AE4277,IF(COUNTA(AC4277:AE4277)=0,"",MAX((AC4277:AE4277&lt;&gt;"")*(COLUMN(AC4277:AE4277)-(COLUMN(AC4277)))))-1),"")</f>
        <v>46295</v>
      </c>
      <c r="K4277" s="16" t="n">
        <f aca="false" t="array" ref="K4277:K4277">IFERROR(INDEX(AC4277:AE4277,IF(COUNTA(AC4277:AE4277)=0,"",MAX((AC4277:AE4277&lt;&gt;"")*(COLUMN(AC4277:AE4277)-(COLUMN(AC4277)-1))))-1),"")</f>
        <v>46304</v>
      </c>
      <c r="L4277" s="17" t="str">
        <f aca="false" t="array" ref="L4277:L4277">IFERROR(INDEX(AC4277:AE4277,IF(COUNTA(AC4277:AE4277)=0,"",MAX((AC4277:AE4277&lt;&gt;"")*(COLUMN(AC4277:AE4277)-(COLUMN(AC4277)-2))))-1),"")</f>
        <v>ARCHIVED</v>
      </c>
      <c r="M4277" s="13" t="n">
        <f aca="true">K4277-TODAY()</f>
        <v>-20</v>
      </c>
      <c r="N4277" s="18" t="s">
        <v>105</v>
      </c>
      <c r="O4277" s="13" t="s">
        <v>15469</v>
      </c>
      <c r="P4277" s="26" t="n">
        <v>3100000</v>
      </c>
      <c r="Q4277" s="20" t="s">
        <v>17538</v>
      </c>
      <c r="R4277" s="13" t="s">
        <v>39</v>
      </c>
      <c r="S4277" s="25" t="n">
        <v>38177</v>
      </c>
      <c r="T4277" s="13" t="s">
        <v>40</v>
      </c>
      <c r="U4277" s="13" t="s">
        <v>17539</v>
      </c>
      <c r="V4277" s="13" t="s">
        <v>42</v>
      </c>
      <c r="W4277" s="13" t="s">
        <v>43</v>
      </c>
      <c r="X4277" s="21" t="n">
        <v>87892455292</v>
      </c>
      <c r="Y4277" s="22" t="str">
        <f aca="false">O4277</f>
        <v>Admin Checker Gudang</v>
      </c>
      <c r="Z4277" s="13" t="str">
        <f aca="false">IFERROR(__xludf.dummyfunction("if(BJ4277="""","""",GOOGLETRANSLATE(BJ4277,""auto"",""en""))"),"Warehouse Checker Admin")</f>
        <v>Warehouse Checker Admin</v>
      </c>
      <c r="AA4277" s="23" t="str">
        <f aca="false">IF(C4277="","", CHOOSE(MONTH(C4277),"January","February","March","April","May","June","July","August","September","October","November","December")&amp;" "&amp;DAY(C4277)&amp;MID("thstndrdth",MIN(9,2*RIGHT(DAY(C4277))*(MOD(DAY(C4277)-11,100)&gt;2)+1),2)&amp;","&amp;TEXT(C4277," yyyy"))</f>
        <v>September 30th,2026</v>
      </c>
      <c r="AB4277" s="15" t="str">
        <f aca="true">IF(S4277="","",DATEDIF(S4277,TODAY(),"Y")&amp;" Tahun, "&amp;DATEDIF(S4277,TODAY(),"YM")&amp;" Bulan, "&amp;DATEDIF(S4277,TODAY(),"MD")&amp;" Hari")</f>
        <v>22 Tahun, 3 Bulan, 20 Hari</v>
      </c>
      <c r="AC4277" s="14" t="n">
        <v>46295</v>
      </c>
      <c r="AD4277" s="18" t="n">
        <v>46304</v>
      </c>
      <c r="AE4277" s="18" t="s">
        <v>44</v>
      </c>
    </row>
    <row r="4278" customFormat="false" ht="15" hidden="false" customHeight="true" outlineLevel="0" collapsed="false">
      <c r="A4278" s="12" t="n">
        <v>22912</v>
      </c>
      <c r="B4278" s="13" t="s">
        <v>17540</v>
      </c>
      <c r="C4278" s="14" t="n">
        <v>46296</v>
      </c>
      <c r="D4278" s="13" t="s">
        <v>15103</v>
      </c>
      <c r="E4278" s="13" t="s">
        <v>102</v>
      </c>
      <c r="F4278" s="24" t="s">
        <v>17541</v>
      </c>
      <c r="G4278" s="13" t="s">
        <v>1452</v>
      </c>
      <c r="H4278" s="13" t="s">
        <v>35</v>
      </c>
      <c r="I4278" s="13" t="str">
        <f aca="false">IF(C4278=J4278,"NEW KONTRAK","RE-KONTRAK")</f>
        <v>NEW KONTRAK</v>
      </c>
      <c r="J4278" s="16" t="n">
        <f aca="false" t="array" ref="J4278:J4278">IFERROR(INDEX(AC4278:AE4278,IF(COUNTA(AC4278:AE4278)=0,"",MAX((AC4278:AE4278&lt;&gt;"")*(COLUMN(AC4278:AE4278)-(COLUMN(AC4278)))))-1),"")</f>
        <v>46296</v>
      </c>
      <c r="K4278" s="16" t="n">
        <f aca="false" t="array" ref="K4278:K4278">IFERROR(INDEX(AC4278:AE4278,IF(COUNTA(AC4278:AE4278)=0,"",MAX((AC4278:AE4278&lt;&gt;"")*(COLUMN(AC4278:AE4278)-(COLUMN(AC4278)-1))))-1),"")</f>
        <v>46387</v>
      </c>
      <c r="L4278" s="17" t="str">
        <f aca="false" t="array" ref="L4278:L4278">IFERROR(INDEX(AC4278:AE4278,IF(COUNTA(AC4278:AE4278)=0,"",MAX((AC4278:AE4278&lt;&gt;"")*(COLUMN(AC4278:AE4278)-(COLUMN(AC4278)-2))))-1),"")</f>
        <v>KEMBALI</v>
      </c>
      <c r="M4278" s="13" t="n">
        <f aca="true">K4278-TODAY()</f>
        <v>63</v>
      </c>
      <c r="N4278" s="18" t="s">
        <v>36</v>
      </c>
      <c r="O4278" s="17" t="s">
        <v>5444</v>
      </c>
      <c r="P4278" s="26" t="n">
        <v>112500</v>
      </c>
      <c r="Q4278" s="20" t="s">
        <v>17542</v>
      </c>
      <c r="R4278" s="13" t="s">
        <v>52</v>
      </c>
      <c r="S4278" s="25" t="n">
        <v>37803</v>
      </c>
      <c r="T4278" s="13" t="s">
        <v>40</v>
      </c>
      <c r="U4278" s="13" t="s">
        <v>17543</v>
      </c>
      <c r="V4278" s="13" t="s">
        <v>42</v>
      </c>
      <c r="W4278" s="13" t="s">
        <v>43</v>
      </c>
      <c r="X4278" s="21" t="n">
        <v>89509088910</v>
      </c>
      <c r="Y4278" s="22" t="str">
        <f aca="false">O4278</f>
        <v>Operator Produksi</v>
      </c>
      <c r="Z4278" s="13" t="str">
        <f aca="false">IFERROR(__xludf.dummyfunction("if(BJ4278="""","""",GOOGLETRANSLATE(BJ4278,""auto"",""en""))"),"Production operator")</f>
        <v>Production operator</v>
      </c>
      <c r="AA4278" s="23" t="str">
        <f aca="false">IF(C4278="","", CHOOSE(MONTH(C4278),"January","February","March","April","May","June","July","August","September","October","November","December")&amp;" "&amp;DAY(C4278)&amp;MID("thstndrdth",MIN(9,2*RIGHT(DAY(C4278))*(MOD(DAY(C4278)-11,100)&gt;2)+1),2)&amp;","&amp;TEXT(C4278," yyyy"))</f>
        <v>October 1st,2026</v>
      </c>
      <c r="AB4278" s="15" t="str">
        <f aca="true">IF(S4278="","",DATEDIF(S4278,TODAY(),"Y")&amp;" Tahun, "&amp;DATEDIF(S4278,TODAY(),"YM")&amp;" Bulan, "&amp;DATEDIF(S4278,TODAY(),"MD")&amp;" Hari")</f>
        <v>23 Tahun, 3 Bulan, 28 Hari</v>
      </c>
      <c r="AC4278" s="14" t="n">
        <v>46296</v>
      </c>
      <c r="AD4278" s="18" t="n">
        <f aca="false">EDATE(AC4278,3)-1</f>
        <v>46387</v>
      </c>
      <c r="AE4278" s="13" t="s">
        <v>397</v>
      </c>
    </row>
    <row r="4279" customFormat="false" ht="15" hidden="false" customHeight="true" outlineLevel="0" collapsed="false">
      <c r="A4279" s="12" t="n">
        <v>22913</v>
      </c>
      <c r="B4279" s="13" t="s">
        <v>17544</v>
      </c>
      <c r="C4279" s="14" t="n">
        <v>46296</v>
      </c>
      <c r="D4279" s="13" t="s">
        <v>15103</v>
      </c>
      <c r="E4279" s="13" t="s">
        <v>14439</v>
      </c>
      <c r="F4279" s="24" t="s">
        <v>17545</v>
      </c>
      <c r="G4279" s="13" t="s">
        <v>1452</v>
      </c>
      <c r="H4279" s="13" t="s">
        <v>35</v>
      </c>
      <c r="I4279" s="13" t="str">
        <f aca="false">IF(C4279=J4279,"NEW KONTRAK","RE-KONTRAK")</f>
        <v>NEW KONTRAK</v>
      </c>
      <c r="J4279" s="16" t="n">
        <f aca="false" t="array" ref="J4279:J4279">IFERROR(INDEX(AC4279:AE4279,IF(COUNTA(AC4279:AE4279)=0,"",MAX((AC4279:AE4279&lt;&gt;"")*(COLUMN(AC4279:AE4279)-(COLUMN(AC4279)))))-1),"")</f>
        <v>46296</v>
      </c>
      <c r="K4279" s="16" t="n">
        <f aca="false" t="array" ref="K4279:K4279">IFERROR(INDEX(AC4279:AE4279,IF(COUNTA(AC4279:AE4279)=0,"",MAX((AC4279:AE4279&lt;&gt;"")*(COLUMN(AC4279:AE4279)-(COLUMN(AC4279)-1))))-1),"")</f>
        <v>46387</v>
      </c>
      <c r="L4279" s="17" t="str">
        <f aca="false" t="array" ref="L4279:L4279">IFERROR(INDEX(AC4279:AE4279,IF(COUNTA(AC4279:AE4279)=0,"",MAX((AC4279:AE4279&lt;&gt;"")*(COLUMN(AC4279:AE4279)-(COLUMN(AC4279)-2))))-1),"")</f>
        <v>CANCEL JOIN</v>
      </c>
      <c r="M4279" s="13" t="n">
        <f aca="true">K4279-TODAY()</f>
        <v>63</v>
      </c>
      <c r="N4279" s="18" t="s">
        <v>36</v>
      </c>
      <c r="O4279" s="17" t="s">
        <v>17546</v>
      </c>
      <c r="P4279" s="26" t="n">
        <v>112500</v>
      </c>
      <c r="Q4279" s="20" t="s">
        <v>17547</v>
      </c>
      <c r="R4279" s="13" t="s">
        <v>52</v>
      </c>
      <c r="S4279" s="25" t="n">
        <v>38811</v>
      </c>
      <c r="T4279" s="13" t="s">
        <v>40</v>
      </c>
      <c r="U4279" s="13" t="s">
        <v>17548</v>
      </c>
      <c r="V4279" s="13" t="s">
        <v>42</v>
      </c>
      <c r="W4279" s="13" t="s">
        <v>43</v>
      </c>
      <c r="X4279" s="21" t="n">
        <v>87760387344</v>
      </c>
      <c r="Y4279" s="22" t="str">
        <f aca="false">O4279</f>
        <v>Operator Painting</v>
      </c>
      <c r="Z4279" s="13" t="str">
        <f aca="false">IFERROR(__xludf.dummyfunction("if(BJ4279="""","""",GOOGLETRANSLATE(BJ4279,""auto"",""en""))"),"Operator Painting")</f>
        <v>Operator Painting</v>
      </c>
      <c r="AA4279" s="23" t="str">
        <f aca="false">IF(C4279="","", CHOOSE(MONTH(C4279),"January","February","March","April","May","June","July","August","September","October","November","December")&amp;" "&amp;DAY(C4279)&amp;MID("thstndrdth",MIN(9,2*RIGHT(DAY(C4279))*(MOD(DAY(C4279)-11,100)&gt;2)+1),2)&amp;","&amp;TEXT(C4279," yyyy"))</f>
        <v>October 1st,2026</v>
      </c>
      <c r="AB4279" s="15" t="str">
        <f aca="true">IF(S4279="","",DATEDIF(S4279,TODAY(),"Y")&amp;" Tahun, "&amp;DATEDIF(S4279,TODAY(),"YM")&amp;" Bulan, "&amp;DATEDIF(S4279,TODAY(),"MD")&amp;" Hari")</f>
        <v>20 Tahun, 6 Bulan, 25 Hari</v>
      </c>
      <c r="AC4279" s="14" t="n">
        <v>46296</v>
      </c>
      <c r="AD4279" s="18" t="n">
        <f aca="false">EDATE(AC4279,3)-1</f>
        <v>46387</v>
      </c>
      <c r="AE4279" s="13" t="s">
        <v>14439</v>
      </c>
    </row>
    <row r="4280" customFormat="false" ht="15" hidden="false" customHeight="true" outlineLevel="0" collapsed="false">
      <c r="A4280" s="12" t="n">
        <v>22914</v>
      </c>
      <c r="B4280" s="13" t="s">
        <v>17549</v>
      </c>
      <c r="C4280" s="14" t="n">
        <v>46296</v>
      </c>
      <c r="D4280" s="13" t="s">
        <v>15103</v>
      </c>
      <c r="E4280" s="13" t="s">
        <v>14123</v>
      </c>
      <c r="F4280" s="24" t="s">
        <v>17550</v>
      </c>
      <c r="G4280" s="13" t="s">
        <v>1452</v>
      </c>
      <c r="H4280" s="13" t="s">
        <v>35</v>
      </c>
      <c r="I4280" s="13" t="str">
        <f aca="false">IF(C4280=J4280,"NEW KONTRAK","RE-KONTRAK")</f>
        <v>NEW KONTRAK</v>
      </c>
      <c r="J4280" s="16" t="n">
        <f aca="false" t="array" ref="J4280:J4280">IFERROR(INDEX(AC4280:AE4280,IF(COUNTA(AC4280:AE4280)=0,"",MAX((AC4280:AE4280&lt;&gt;"")*(COLUMN(AC4280:AE4280)-(COLUMN(AC4280)))))-1),"")</f>
        <v>46296</v>
      </c>
      <c r="K4280" s="16" t="n">
        <f aca="false" t="array" ref="K4280:K4280">IFERROR(INDEX(AC4280:AE4280,IF(COUNTA(AC4280:AE4280)=0,"",MAX((AC4280:AE4280&lt;&gt;"")*(COLUMN(AC4280:AE4280)-(COLUMN(AC4280)-1))))-1),"")</f>
        <v>46387</v>
      </c>
      <c r="L4280" s="17" t="str">
        <f aca="false" t="array" ref="L4280:L4280">IFERROR(INDEX(AC4280:AE4280,IF(COUNTA(AC4280:AE4280)=0,"",MAX((AC4280:AE4280&lt;&gt;"")*(COLUMN(AC4280:AE4280)-(COLUMN(AC4280)-2))))-1),"")</f>
        <v>ARCHIVED</v>
      </c>
      <c r="M4280" s="13" t="n">
        <f aca="true">K4280-TODAY()</f>
        <v>63</v>
      </c>
      <c r="N4280" s="18" t="s">
        <v>36</v>
      </c>
      <c r="O4280" s="17" t="s">
        <v>5444</v>
      </c>
      <c r="P4280" s="26" t="n">
        <v>112500</v>
      </c>
      <c r="Q4280" s="20" t="s">
        <v>17551</v>
      </c>
      <c r="R4280" s="13" t="s">
        <v>65</v>
      </c>
      <c r="S4280" s="25" t="n">
        <v>38034</v>
      </c>
      <c r="T4280" s="13" t="s">
        <v>40</v>
      </c>
      <c r="U4280" s="13" t="s">
        <v>17552</v>
      </c>
      <c r="V4280" s="13" t="s">
        <v>42</v>
      </c>
      <c r="W4280" s="13" t="s">
        <v>43</v>
      </c>
      <c r="X4280" s="21" t="n">
        <v>82231135856</v>
      </c>
      <c r="Y4280" s="22" t="str">
        <f aca="false">O4280</f>
        <v>Operator Produksi</v>
      </c>
      <c r="Z4280" s="13" t="str">
        <f aca="false">IFERROR(__xludf.dummyfunction("if(BJ4280="""","""",GOOGLETRANSLATE(BJ4280,""auto"",""en""))"),"Production operator")</f>
        <v>Production operator</v>
      </c>
      <c r="AA4280" s="23" t="str">
        <f aca="false">IF(C4280="","", CHOOSE(MONTH(C4280),"January","February","March","April","May","June","July","August","September","October","November","December")&amp;" "&amp;DAY(C4280)&amp;MID("thstndrdth",MIN(9,2*RIGHT(DAY(C4280))*(MOD(DAY(C4280)-11,100)&gt;2)+1),2)&amp;","&amp;TEXT(C4280," yyyy"))</f>
        <v>October 1st,2026</v>
      </c>
      <c r="AB4280" s="15" t="str">
        <f aca="true">IF(S4280="","",DATEDIF(S4280,TODAY(),"Y")&amp;" Tahun, "&amp;DATEDIF(S4280,TODAY(),"YM")&amp;" Bulan, "&amp;DATEDIF(S4280,TODAY(),"MD")&amp;" Hari")</f>
        <v>22 Tahun, 8 Bulan, 12 Hari</v>
      </c>
      <c r="AC4280" s="14" t="n">
        <v>46296</v>
      </c>
      <c r="AD4280" s="18" t="n">
        <f aca="false">EDATE(AC4280,3)-1</f>
        <v>46387</v>
      </c>
      <c r="AE4280" s="13" t="s">
        <v>44</v>
      </c>
    </row>
    <row r="4281" customFormat="false" ht="15" hidden="false" customHeight="true" outlineLevel="0" collapsed="false">
      <c r="A4281" s="12" t="n">
        <v>22915</v>
      </c>
      <c r="B4281" s="13" t="s">
        <v>17553</v>
      </c>
      <c r="C4281" s="14" t="n">
        <v>46297</v>
      </c>
      <c r="D4281" s="13" t="s">
        <v>11620</v>
      </c>
      <c r="E4281" s="131" t="s">
        <v>47</v>
      </c>
      <c r="F4281" s="24" t="s">
        <v>17554</v>
      </c>
      <c r="G4281" s="13" t="s">
        <v>1452</v>
      </c>
      <c r="H4281" s="13" t="s">
        <v>35</v>
      </c>
      <c r="I4281" s="13" t="str">
        <f aca="false">IF(C4281=J4281,"NEW KONTRAK","RE-KONTRAK")</f>
        <v>NEW KONTRAK</v>
      </c>
      <c r="J4281" s="16" t="n">
        <f aca="false" t="array" ref="J4281:J4281">IFERROR(INDEX(AC4281:AE4281,IF(COUNTA(AC4281:AE4281)=0,"",MAX((AC4281:AE4281&lt;&gt;"")*(COLUMN(AC4281:AE4281)-(COLUMN(AC4281)))))-1),"")</f>
        <v>46297</v>
      </c>
      <c r="K4281" s="16" t="n">
        <f aca="false" t="array" ref="K4281:K4281">IFERROR(INDEX(AC4281:AE4281,IF(COUNTA(AC4281:AE4281)=0,"",MAX((AC4281:AE4281&lt;&gt;"")*(COLUMN(AC4281:AE4281)-(COLUMN(AC4281)-1))))-1),"")</f>
        <v>46387</v>
      </c>
      <c r="L4281" s="17" t="str">
        <f aca="false" t="array" ref="L4281:L4281">IFERROR(INDEX(AC4281:AE4281,IF(COUNTA(AC4281:AE4281)=0,"",MAX((AC4281:AE4281&lt;&gt;"")*(COLUMN(AC4281:AE4281)-(COLUMN(AC4281)-2))))-1),"")</f>
        <v>KEMBALI</v>
      </c>
      <c r="M4281" s="13" t="n">
        <f aca="true">K4281-TODAY()</f>
        <v>63</v>
      </c>
      <c r="N4281" s="18" t="s">
        <v>36</v>
      </c>
      <c r="O4281" s="17" t="s">
        <v>17064</v>
      </c>
      <c r="P4281" s="26" t="n">
        <v>199823</v>
      </c>
      <c r="Q4281" s="20" t="s">
        <v>17555</v>
      </c>
      <c r="R4281" s="13" t="s">
        <v>324</v>
      </c>
      <c r="S4281" s="25" t="n">
        <v>35294</v>
      </c>
      <c r="T4281" s="13" t="s">
        <v>40</v>
      </c>
      <c r="U4281" s="13" t="s">
        <v>17556</v>
      </c>
      <c r="V4281" s="13" t="s">
        <v>42</v>
      </c>
      <c r="W4281" s="13" t="s">
        <v>54</v>
      </c>
      <c r="X4281" s="21" t="n">
        <v>85223184588</v>
      </c>
      <c r="Y4281" s="22" t="str">
        <f aca="false">O4281</f>
        <v>Operator Tubular</v>
      </c>
      <c r="Z4281" s="13" t="str">
        <f aca="false">IFERROR(__xludf.dummyfunction("if(BJ4281="""","""",GOOGLETRANSLATE(BJ4281,""auto"",""en""))"),"Operator Tubular")</f>
        <v>Operator Tubular</v>
      </c>
      <c r="AA4281" s="23" t="str">
        <f aca="false">IF(C4281="","", CHOOSE(MONTH(C4281),"January","February","March","April","May","June","July","August","September","October","November","December")&amp;" "&amp;DAY(C4281)&amp;MID("thstndrdth",MIN(9,2*RIGHT(DAY(C4281))*(MOD(DAY(C4281)-11,100)&gt;2)+1),2)&amp;","&amp;TEXT(C4281," yyyy"))</f>
        <v>October 2nd,2026</v>
      </c>
      <c r="AB4281" s="15" t="str">
        <f aca="true">IF(S4281="","",DATEDIF(S4281,TODAY(),"Y")&amp;" Tahun, "&amp;DATEDIF(S4281,TODAY(),"YM")&amp;" Bulan, "&amp;DATEDIF(S4281,TODAY(),"MD")&amp;" Hari")</f>
        <v>30 Tahun, 2 Bulan, 12 Hari</v>
      </c>
      <c r="AC4281" s="14" t="n">
        <v>46297</v>
      </c>
      <c r="AD4281" s="18" t="n">
        <v>46387</v>
      </c>
      <c r="AE4281" s="13" t="s">
        <v>397</v>
      </c>
    </row>
    <row r="4282" customFormat="false" ht="15" hidden="false" customHeight="true" outlineLevel="0" collapsed="false">
      <c r="A4282" s="12" t="n">
        <v>22916</v>
      </c>
      <c r="B4282" s="13" t="s">
        <v>17557</v>
      </c>
      <c r="C4282" s="14" t="n">
        <v>46297</v>
      </c>
      <c r="D4282" s="13" t="s">
        <v>11620</v>
      </c>
      <c r="E4282" s="13" t="s">
        <v>15458</v>
      </c>
      <c r="F4282" s="24" t="s">
        <v>17558</v>
      </c>
      <c r="G4282" s="13" t="s">
        <v>1452</v>
      </c>
      <c r="H4282" s="13" t="s">
        <v>35</v>
      </c>
      <c r="I4282" s="13" t="str">
        <f aca="false">IF(C4282=J4282,"NEW KONTRAK","RE-KONTRAK")</f>
        <v>NEW KONTRAK</v>
      </c>
      <c r="J4282" s="16" t="n">
        <f aca="false" t="array" ref="J4282:J4282">IFERROR(INDEX(AC4282:AE4282,IF(COUNTA(AC4282:AE4282)=0,"",MAX((AC4282:AE4282&lt;&gt;"")*(COLUMN(AC4282:AE4282)-(COLUMN(AC4282)))))-1),"")</f>
        <v>46297</v>
      </c>
      <c r="K4282" s="16" t="n">
        <f aca="false" t="array" ref="K4282:K4282">IFERROR(INDEX(AC4282:AE4282,IF(COUNTA(AC4282:AE4282)=0,"",MAX((AC4282:AE4282&lt;&gt;"")*(COLUMN(AC4282:AE4282)-(COLUMN(AC4282)-1))))-1),"")</f>
        <v>46387</v>
      </c>
      <c r="L4282" s="17" t="str">
        <f aca="false" t="array" ref="L4282:L4282">IFERROR(INDEX(AC4282:AE4282,IF(COUNTA(AC4282:AE4282)=0,"",MAX((AC4282:AE4282&lt;&gt;"")*(COLUMN(AC4282:AE4282)-(COLUMN(AC4282)-2))))-1),"")</f>
        <v>KEMBALI</v>
      </c>
      <c r="M4282" s="13" t="n">
        <f aca="true">K4282-TODAY()</f>
        <v>63</v>
      </c>
      <c r="N4282" s="18" t="s">
        <v>36</v>
      </c>
      <c r="O4282" s="17" t="s">
        <v>17064</v>
      </c>
      <c r="P4282" s="26" t="n">
        <v>199823</v>
      </c>
      <c r="Q4282" s="20" t="s">
        <v>17559</v>
      </c>
      <c r="R4282" s="13" t="s">
        <v>39</v>
      </c>
      <c r="S4282" s="25" t="n">
        <v>34157</v>
      </c>
      <c r="T4282" s="13" t="s">
        <v>40</v>
      </c>
      <c r="U4282" s="13" t="s">
        <v>17560</v>
      </c>
      <c r="V4282" s="13" t="s">
        <v>42</v>
      </c>
      <c r="W4282" s="13" t="s">
        <v>54</v>
      </c>
      <c r="X4282" s="21" t="n">
        <v>85786009643</v>
      </c>
      <c r="Y4282" s="22" t="str">
        <f aca="false">O4282</f>
        <v>Operator Tubular</v>
      </c>
      <c r="Z4282" s="13" t="str">
        <f aca="false">IFERROR(__xludf.dummyfunction("if(BJ4282="""","""",GOOGLETRANSLATE(BJ4282,""auto"",""en""))"),"Operator Tubular")</f>
        <v>Operator Tubular</v>
      </c>
      <c r="AA4282" s="23" t="str">
        <f aca="false">IF(C4282="","", CHOOSE(MONTH(C4282),"January","February","March","April","May","June","July","August","September","October","November","December")&amp;" "&amp;DAY(C4282)&amp;MID("thstndrdth",MIN(9,2*RIGHT(DAY(C4282))*(MOD(DAY(C4282)-11,100)&gt;2)+1),2)&amp;","&amp;TEXT(C4282," yyyy"))</f>
        <v>October 2nd,2026</v>
      </c>
      <c r="AB4282" s="15" t="str">
        <f aca="true">IF(S4282="","",DATEDIF(S4282,TODAY(),"Y")&amp;" Tahun, "&amp;DATEDIF(S4282,TODAY(),"YM")&amp;" Bulan, "&amp;DATEDIF(S4282,TODAY(),"MD")&amp;" Hari")</f>
        <v>33 Tahun, 3 Bulan, 22 Hari</v>
      </c>
      <c r="AC4282" s="14" t="n">
        <v>46297</v>
      </c>
      <c r="AD4282" s="18" t="n">
        <v>46387</v>
      </c>
      <c r="AE4282" s="13" t="s">
        <v>397</v>
      </c>
    </row>
    <row r="4283" customFormat="false" ht="15" hidden="false" customHeight="true" outlineLevel="0" collapsed="false">
      <c r="A4283" s="12" t="n">
        <v>22917</v>
      </c>
      <c r="B4283" s="13" t="s">
        <v>17561</v>
      </c>
      <c r="C4283" s="14" t="n">
        <v>46297</v>
      </c>
      <c r="D4283" s="13" t="s">
        <v>11620</v>
      </c>
      <c r="E4283" s="13" t="s">
        <v>102</v>
      </c>
      <c r="F4283" s="24" t="s">
        <v>17562</v>
      </c>
      <c r="G4283" s="13" t="s">
        <v>1452</v>
      </c>
      <c r="H4283" s="13" t="s">
        <v>35</v>
      </c>
      <c r="I4283" s="13" t="str">
        <f aca="false">IF(C4283=J4283,"NEW KONTRAK","RE-KONTRAK")</f>
        <v>NEW KONTRAK</v>
      </c>
      <c r="J4283" s="16" t="n">
        <f aca="false" t="array" ref="J4283:J4283">IFERROR(INDEX(AC4283:AE4283,IF(COUNTA(AC4283:AE4283)=0,"",MAX((AC4283:AE4283&lt;&gt;"")*(COLUMN(AC4283:AE4283)-(COLUMN(AC4283)))))-1),"")</f>
        <v>46297</v>
      </c>
      <c r="K4283" s="16" t="n">
        <f aca="false" t="array" ref="K4283:K4283">IFERROR(INDEX(AC4283:AE4283,IF(COUNTA(AC4283:AE4283)=0,"",MAX((AC4283:AE4283&lt;&gt;"")*(COLUMN(AC4283:AE4283)-(COLUMN(AC4283)-1))))-1),"")</f>
        <v>46387</v>
      </c>
      <c r="L4283" s="17" t="str">
        <f aca="false" t="array" ref="L4283:L4283">IFERROR(INDEX(AC4283:AE4283,IF(COUNTA(AC4283:AE4283)=0,"",MAX((AC4283:AE4283&lt;&gt;"")*(COLUMN(AC4283:AE4283)-(COLUMN(AC4283)-2))))-1),"")</f>
        <v>KEMBALI</v>
      </c>
      <c r="M4283" s="13" t="n">
        <f aca="true">K4283-TODAY()</f>
        <v>63</v>
      </c>
      <c r="N4283" s="18" t="s">
        <v>36</v>
      </c>
      <c r="O4283" s="17" t="s">
        <v>17064</v>
      </c>
      <c r="P4283" s="26" t="n">
        <v>199823</v>
      </c>
      <c r="Q4283" s="20" t="s">
        <v>17563</v>
      </c>
      <c r="R4283" s="13" t="s">
        <v>735</v>
      </c>
      <c r="S4283" s="25" t="n">
        <v>38226</v>
      </c>
      <c r="T4283" s="13" t="s">
        <v>40</v>
      </c>
      <c r="U4283" s="13" t="s">
        <v>17564</v>
      </c>
      <c r="V4283" s="13" t="s">
        <v>42</v>
      </c>
      <c r="W4283" s="13" t="s">
        <v>43</v>
      </c>
      <c r="X4283" s="21" t="n">
        <v>82257533010</v>
      </c>
      <c r="Y4283" s="22" t="str">
        <f aca="false">O4283</f>
        <v>Operator Tubular</v>
      </c>
      <c r="Z4283" s="13" t="str">
        <f aca="false">IFERROR(__xludf.dummyfunction("if(BJ4283="""","""",GOOGLETRANSLATE(BJ4283,""auto"",""en""))"),"Operator Tubular")</f>
        <v>Operator Tubular</v>
      </c>
      <c r="AA4283" s="23" t="str">
        <f aca="false">IF(C4283="","", CHOOSE(MONTH(C4283),"January","February","March","April","May","June","July","August","September","October","November","December")&amp;" "&amp;DAY(C4283)&amp;MID("thstndrdth",MIN(9,2*RIGHT(DAY(C4283))*(MOD(DAY(C4283)-11,100)&gt;2)+1),2)&amp;","&amp;TEXT(C4283," yyyy"))</f>
        <v>October 2nd,2026</v>
      </c>
      <c r="AB4283" s="15" t="str">
        <f aca="true">IF(S4283="","",DATEDIF(S4283,TODAY(),"Y")&amp;" Tahun, "&amp;DATEDIF(S4283,TODAY(),"YM")&amp;" Bulan, "&amp;DATEDIF(S4283,TODAY(),"MD")&amp;" Hari")</f>
        <v>22 Tahun, 2 Bulan, 2 Hari</v>
      </c>
      <c r="AC4283" s="14" t="n">
        <v>46297</v>
      </c>
      <c r="AD4283" s="18" t="n">
        <v>46387</v>
      </c>
      <c r="AE4283" s="13" t="s">
        <v>397</v>
      </c>
    </row>
    <row r="4284" customFormat="false" ht="15" hidden="false" customHeight="true" outlineLevel="0" collapsed="false">
      <c r="A4284" s="12" t="n">
        <v>22918</v>
      </c>
      <c r="B4284" s="13" t="s">
        <v>17565</v>
      </c>
      <c r="C4284" s="14" t="n">
        <v>46296</v>
      </c>
      <c r="D4284" s="13" t="s">
        <v>17566</v>
      </c>
      <c r="E4284" s="13" t="s">
        <v>47</v>
      </c>
      <c r="F4284" s="24" t="s">
        <v>17567</v>
      </c>
      <c r="G4284" s="13" t="s">
        <v>1452</v>
      </c>
      <c r="H4284" s="13" t="s">
        <v>35</v>
      </c>
      <c r="I4284" s="13" t="str">
        <f aca="false">IF(C4284=J4284,"NEW KONTRAK","RE-KONTRAK")</f>
        <v>NEW KONTRAK</v>
      </c>
      <c r="J4284" s="16" t="n">
        <f aca="false" t="array" ref="J4284:J4284">IFERROR(INDEX(AC4284:AE4284,IF(COUNTA(AC4284:AE4284)=0,"",MAX((AC4284:AE4284&lt;&gt;"")*(COLUMN(AC4284:AE4284)-(COLUMN(AC4284)))))-1),"")</f>
        <v>46296</v>
      </c>
      <c r="K4284" s="16" t="n">
        <f aca="false" t="array" ref="K4284:K4284">IFERROR(INDEX(AC4284:AE4284,IF(COUNTA(AC4284:AE4284)=0,"",MAX((AC4284:AE4284&lt;&gt;"")*(COLUMN(AC4284:AE4284)-(COLUMN(AC4284)-1))))-1),"")</f>
        <v>46477</v>
      </c>
      <c r="L4284" s="17" t="str">
        <f aca="false" t="array" ref="L4284:L4284">IFERROR(INDEX(AC4284:AE4284,IF(COUNTA(AC4284:AE4284)=0,"",MAX((AC4284:AE4284&lt;&gt;"")*(COLUMN(AC4284:AE4284)-(COLUMN(AC4284)-2))))-1),"")</f>
        <v>KEMBALI</v>
      </c>
      <c r="M4284" s="13" t="n">
        <f aca="true">K4284-TODAY()</f>
        <v>153</v>
      </c>
      <c r="N4284" s="13" t="s">
        <v>246</v>
      </c>
      <c r="O4284" s="13" t="s">
        <v>17568</v>
      </c>
      <c r="P4284" s="26" t="n">
        <v>2553221</v>
      </c>
      <c r="Q4284" s="20" t="s">
        <v>17569</v>
      </c>
      <c r="R4284" s="13" t="s">
        <v>246</v>
      </c>
      <c r="S4284" s="25" t="n">
        <v>35054</v>
      </c>
      <c r="T4284" s="13" t="s">
        <v>40</v>
      </c>
      <c r="U4284" s="13" t="s">
        <v>17570</v>
      </c>
      <c r="V4284" s="13" t="s">
        <v>42</v>
      </c>
      <c r="W4284" s="13" t="s">
        <v>43</v>
      </c>
      <c r="X4284" s="21" t="n">
        <v>8977947004</v>
      </c>
      <c r="Y4284" s="22" t="str">
        <f aca="false">O4284</f>
        <v>Operator Krani</v>
      </c>
      <c r="Z4284" s="13" t="str">
        <f aca="false">IFERROR(__xludf.dummyfunction("if(BJ4284="""","""",GOOGLETRANSLATE(BJ4284,""auto"",""en""))"),"Crane Operator")</f>
        <v>Crane Operator</v>
      </c>
      <c r="AA4284" s="23" t="str">
        <f aca="false">IF(C4284="","", CHOOSE(MONTH(C4284),"January","February","March","April","May","June","July","August","September","October","November","December")&amp;" "&amp;DAY(C4284)&amp;MID("thstndrdth",MIN(9,2*RIGHT(DAY(C4284))*(MOD(DAY(C4284)-11,100)&gt;2)+1),2)&amp;","&amp;TEXT(C4284," yyyy"))</f>
        <v>October 1st,2026</v>
      </c>
      <c r="AB4284" s="15" t="str">
        <f aca="true">IF(S4284="","",DATEDIF(S4284,TODAY(),"Y")&amp;" Tahun, "&amp;DATEDIF(S4284,TODAY(),"YM")&amp;" Bulan, "&amp;DATEDIF(S4284,TODAY(),"MD")&amp;" Hari")</f>
        <v>30 Tahun, 10 Bulan, 8 Hari</v>
      </c>
      <c r="AC4284" s="14" t="n">
        <v>46296</v>
      </c>
      <c r="AD4284" s="18" t="n">
        <f aca="false">EDATE(AC4284,6)-1</f>
        <v>46477</v>
      </c>
      <c r="AE4284" s="13" t="s">
        <v>397</v>
      </c>
    </row>
    <row r="4285" customFormat="false" ht="15" hidden="false" customHeight="true" outlineLevel="0" collapsed="false">
      <c r="A4285" s="12" t="n">
        <v>22919</v>
      </c>
      <c r="B4285" s="13" t="s">
        <v>17571</v>
      </c>
      <c r="C4285" s="14" t="n">
        <v>46296</v>
      </c>
      <c r="D4285" s="13" t="s">
        <v>17566</v>
      </c>
      <c r="E4285" s="13" t="s">
        <v>47</v>
      </c>
      <c r="F4285" s="24" t="s">
        <v>17572</v>
      </c>
      <c r="G4285" s="13" t="s">
        <v>1452</v>
      </c>
      <c r="H4285" s="13" t="s">
        <v>35</v>
      </c>
      <c r="I4285" s="13" t="str">
        <f aca="false">IF(C4285=J4285,"NEW KONTRAK","RE-KONTRAK")</f>
        <v>NEW KONTRAK</v>
      </c>
      <c r="J4285" s="16" t="n">
        <f aca="false" t="array" ref="J4285:J4285">IFERROR(INDEX(AC4285:AE4285,IF(COUNTA(AC4285:AE4285)=0,"",MAX((AC4285:AE4285&lt;&gt;"")*(COLUMN(AC4285:AE4285)-(COLUMN(AC4285)))))-1),"")</f>
        <v>46296</v>
      </c>
      <c r="K4285" s="16" t="n">
        <f aca="false" t="array" ref="K4285:K4285">IFERROR(INDEX(AC4285:AE4285,IF(COUNTA(AC4285:AE4285)=0,"",MAX((AC4285:AE4285&lt;&gt;"")*(COLUMN(AC4285:AE4285)-(COLUMN(AC4285)-1))))-1),"")</f>
        <v>46477</v>
      </c>
      <c r="L4285" s="17" t="str">
        <f aca="false" t="array" ref="L4285:L4285">IFERROR(INDEX(AC4285:AE4285,IF(COUNTA(AC4285:AE4285)=0,"",MAX((AC4285:AE4285&lt;&gt;"")*(COLUMN(AC4285:AE4285)-(COLUMN(AC4285)-2))))-1),"")</f>
        <v>KEMBALI</v>
      </c>
      <c r="M4285" s="13" t="n">
        <f aca="true">K4285-TODAY()</f>
        <v>153</v>
      </c>
      <c r="N4285" s="13" t="s">
        <v>246</v>
      </c>
      <c r="O4285" s="13" t="s">
        <v>17568</v>
      </c>
      <c r="P4285" s="26" t="n">
        <v>2553221</v>
      </c>
      <c r="Q4285" s="20" t="s">
        <v>17573</v>
      </c>
      <c r="R4285" s="13" t="s">
        <v>246</v>
      </c>
      <c r="S4285" s="25" t="n">
        <v>34779</v>
      </c>
      <c r="T4285" s="13" t="s">
        <v>40</v>
      </c>
      <c r="U4285" s="13" t="s">
        <v>17574</v>
      </c>
      <c r="V4285" s="13" t="s">
        <v>42</v>
      </c>
      <c r="W4285" s="13" t="s">
        <v>43</v>
      </c>
      <c r="X4285" s="21" t="n">
        <v>85747023822</v>
      </c>
      <c r="Y4285" s="22" t="str">
        <f aca="false">O4285</f>
        <v>Operator Krani</v>
      </c>
      <c r="Z4285" s="13" t="str">
        <f aca="false">IFERROR(__xludf.dummyfunction("if(BJ4285="""","""",GOOGLETRANSLATE(BJ4285,""auto"",""en""))"),"Crane Operator")</f>
        <v>Crane Operator</v>
      </c>
      <c r="AA4285" s="23" t="str">
        <f aca="false">IF(C4285="","", CHOOSE(MONTH(C4285),"January","February","March","April","May","June","July","August","September","October","November","December")&amp;" "&amp;DAY(C4285)&amp;MID("thstndrdth",MIN(9,2*RIGHT(DAY(C4285))*(MOD(DAY(C4285)-11,100)&gt;2)+1),2)&amp;","&amp;TEXT(C4285," yyyy"))</f>
        <v>October 1st,2026</v>
      </c>
      <c r="AB4285" s="15" t="str">
        <f aca="true">IF(S4285="","",DATEDIF(S4285,TODAY(),"Y")&amp;" Tahun, "&amp;DATEDIF(S4285,TODAY(),"YM")&amp;" Bulan, "&amp;DATEDIF(S4285,TODAY(),"MD")&amp;" Hari")</f>
        <v>31 Tahun, 7 Bulan, 8 Hari</v>
      </c>
      <c r="AC4285" s="14" t="n">
        <v>46296</v>
      </c>
      <c r="AD4285" s="18" t="n">
        <f aca="false">EDATE(AC4285,6)-1</f>
        <v>46477</v>
      </c>
      <c r="AE4285" s="13" t="s">
        <v>397</v>
      </c>
    </row>
    <row r="4286" customFormat="false" ht="15" hidden="false" customHeight="true" outlineLevel="0" collapsed="false">
      <c r="A4286" s="12" t="n">
        <v>22920</v>
      </c>
      <c r="B4286" s="13" t="s">
        <v>17575</v>
      </c>
      <c r="C4286" s="14" t="n">
        <v>46296</v>
      </c>
      <c r="D4286" s="13" t="s">
        <v>17566</v>
      </c>
      <c r="E4286" s="13" t="s">
        <v>47</v>
      </c>
      <c r="F4286" s="24" t="s">
        <v>17576</v>
      </c>
      <c r="G4286" s="13" t="s">
        <v>1452</v>
      </c>
      <c r="H4286" s="13" t="s">
        <v>35</v>
      </c>
      <c r="I4286" s="13" t="str">
        <f aca="false">IF(C4286=J4286,"NEW KONTRAK","RE-KONTRAK")</f>
        <v>NEW KONTRAK</v>
      </c>
      <c r="J4286" s="16" t="n">
        <f aca="false" t="array" ref="J4286:J4286">IFERROR(INDEX(AC4286:AE4286,IF(COUNTA(AC4286:AE4286)=0,"",MAX((AC4286:AE4286&lt;&gt;"")*(COLUMN(AC4286:AE4286)-(COLUMN(AC4286)))))-1),"")</f>
        <v>46296</v>
      </c>
      <c r="K4286" s="16" t="n">
        <f aca="false" t="array" ref="K4286:K4286">IFERROR(INDEX(AC4286:AE4286,IF(COUNTA(AC4286:AE4286)=0,"",MAX((AC4286:AE4286&lt;&gt;"")*(COLUMN(AC4286:AE4286)-(COLUMN(AC4286)-1))))-1),"")</f>
        <v>46477</v>
      </c>
      <c r="L4286" s="17" t="str">
        <f aca="false" t="array" ref="L4286:L4286">IFERROR(INDEX(AC4286:AE4286,IF(COUNTA(AC4286:AE4286)=0,"",MAX((AC4286:AE4286&lt;&gt;"")*(COLUMN(AC4286:AE4286)-(COLUMN(AC4286)-2))))-1),"")</f>
        <v>KEMBALI</v>
      </c>
      <c r="M4286" s="13" t="n">
        <f aca="true">K4286-TODAY()</f>
        <v>153</v>
      </c>
      <c r="N4286" s="13" t="s">
        <v>246</v>
      </c>
      <c r="O4286" s="13" t="s">
        <v>17568</v>
      </c>
      <c r="P4286" s="26" t="n">
        <v>2553221</v>
      </c>
      <c r="Q4286" s="20" t="s">
        <v>17577</v>
      </c>
      <c r="R4286" s="13" t="s">
        <v>260</v>
      </c>
      <c r="S4286" s="25" t="n">
        <v>38070</v>
      </c>
      <c r="T4286" s="13" t="s">
        <v>40</v>
      </c>
      <c r="U4286" s="13" t="s">
        <v>17578</v>
      </c>
      <c r="V4286" s="13" t="s">
        <v>42</v>
      </c>
      <c r="W4286" s="13" t="s">
        <v>43</v>
      </c>
      <c r="X4286" s="21" t="n">
        <v>87722311279</v>
      </c>
      <c r="Y4286" s="22" t="str">
        <f aca="false">O4286</f>
        <v>Operator Krani</v>
      </c>
      <c r="Z4286" s="13" t="str">
        <f aca="false">IFERROR(__xludf.dummyfunction("if(BJ4286="""","""",GOOGLETRANSLATE(BJ4286,""auto"",""en""))"),"Crane Operator")</f>
        <v>Crane Operator</v>
      </c>
      <c r="AA4286" s="23" t="str">
        <f aca="false">IF(C4286="","", CHOOSE(MONTH(C4286),"January","February","March","April","May","June","July","August","September","October","November","December")&amp;" "&amp;DAY(C4286)&amp;MID("thstndrdth",MIN(9,2*RIGHT(DAY(C4286))*(MOD(DAY(C4286)-11,100)&gt;2)+1),2)&amp;","&amp;TEXT(C4286," yyyy"))</f>
        <v>October 1st,2026</v>
      </c>
      <c r="AB4286" s="15" t="str">
        <f aca="true">IF(S4286="","",DATEDIF(S4286,TODAY(),"Y")&amp;" Tahun, "&amp;DATEDIF(S4286,TODAY(),"YM")&amp;" Bulan, "&amp;DATEDIF(S4286,TODAY(),"MD")&amp;" Hari")</f>
        <v>22 Tahun, 7 Bulan, 5 Hari</v>
      </c>
      <c r="AC4286" s="14" t="n">
        <v>46296</v>
      </c>
      <c r="AD4286" s="18" t="n">
        <f aca="false">EDATE(AC4286,6)-1</f>
        <v>46477</v>
      </c>
      <c r="AE4286" s="13" t="s">
        <v>397</v>
      </c>
    </row>
    <row r="4287" customFormat="false" ht="15" hidden="false" customHeight="true" outlineLevel="0" collapsed="false">
      <c r="A4287" s="12" t="n">
        <v>22921</v>
      </c>
      <c r="B4287" s="13" t="s">
        <v>17579</v>
      </c>
      <c r="C4287" s="14" t="n">
        <v>46296</v>
      </c>
      <c r="D4287" s="13" t="s">
        <v>17566</v>
      </c>
      <c r="E4287" s="13" t="s">
        <v>47</v>
      </c>
      <c r="F4287" s="24" t="s">
        <v>17580</v>
      </c>
      <c r="G4287" s="13" t="s">
        <v>1452</v>
      </c>
      <c r="H4287" s="13" t="s">
        <v>35</v>
      </c>
      <c r="I4287" s="13" t="str">
        <f aca="false">IF(C4287=J4287,"NEW KONTRAK","RE-KONTRAK")</f>
        <v>NEW KONTRAK</v>
      </c>
      <c r="J4287" s="16" t="n">
        <f aca="false" t="array" ref="J4287:J4287">IFERROR(INDEX(AC4287:AE4287,IF(COUNTA(AC4287:AE4287)=0,"",MAX((AC4287:AE4287&lt;&gt;"")*(COLUMN(AC4287:AE4287)-(COLUMN(AC4287)))))-1),"")</f>
        <v>46296</v>
      </c>
      <c r="K4287" s="16" t="n">
        <f aca="false" t="array" ref="K4287:K4287">IFERROR(INDEX(AC4287:AE4287,IF(COUNTA(AC4287:AE4287)=0,"",MAX((AC4287:AE4287&lt;&gt;"")*(COLUMN(AC4287:AE4287)-(COLUMN(AC4287)-1))))-1),"")</f>
        <v>46477</v>
      </c>
      <c r="L4287" s="17" t="str">
        <f aca="false" t="array" ref="L4287:L4287">IFERROR(INDEX(AC4287:AE4287,IF(COUNTA(AC4287:AE4287)=0,"",MAX((AC4287:AE4287&lt;&gt;"")*(COLUMN(AC4287:AE4287)-(COLUMN(AC4287)-2))))-1),"")</f>
        <v>KEMBALI</v>
      </c>
      <c r="M4287" s="13" t="n">
        <f aca="true">K4287-TODAY()</f>
        <v>153</v>
      </c>
      <c r="N4287" s="13" t="s">
        <v>246</v>
      </c>
      <c r="O4287" s="13" t="s">
        <v>17568</v>
      </c>
      <c r="P4287" s="26" t="n">
        <v>2553221</v>
      </c>
      <c r="Q4287" s="20" t="s">
        <v>17581</v>
      </c>
      <c r="R4287" s="13" t="s">
        <v>260</v>
      </c>
      <c r="S4287" s="25" t="n">
        <v>37185</v>
      </c>
      <c r="T4287" s="13" t="s">
        <v>40</v>
      </c>
      <c r="U4287" s="13" t="s">
        <v>17582</v>
      </c>
      <c r="V4287" s="13" t="s">
        <v>42</v>
      </c>
      <c r="W4287" s="13" t="s">
        <v>43</v>
      </c>
      <c r="X4287" s="21" t="n">
        <v>85604959436</v>
      </c>
      <c r="Y4287" s="22" t="str">
        <f aca="false">O4287</f>
        <v>Operator Krani</v>
      </c>
      <c r="Z4287" s="13" t="str">
        <f aca="false">IFERROR(__xludf.dummyfunction("if(BJ4287="""","""",GOOGLETRANSLATE(BJ4287,""auto"",""en""))"),"Crane Operator")</f>
        <v>Crane Operator</v>
      </c>
      <c r="AA4287" s="23" t="str">
        <f aca="false">IF(C4287="","", CHOOSE(MONTH(C4287),"January","February","March","April","May","June","July","August","September","October","November","December")&amp;" "&amp;DAY(C4287)&amp;MID("thstndrdth",MIN(9,2*RIGHT(DAY(C4287))*(MOD(DAY(C4287)-11,100)&gt;2)+1),2)&amp;","&amp;TEXT(C4287," yyyy"))</f>
        <v>October 1st,2026</v>
      </c>
      <c r="AB4287" s="15" t="str">
        <f aca="true">IF(S4287="","",DATEDIF(S4287,TODAY(),"Y")&amp;" Tahun, "&amp;DATEDIF(S4287,TODAY(),"YM")&amp;" Bulan, "&amp;DATEDIF(S4287,TODAY(),"MD")&amp;" Hari")</f>
        <v>25 Tahun, 0 Bulan, 8 Hari</v>
      </c>
      <c r="AC4287" s="14" t="n">
        <v>46296</v>
      </c>
      <c r="AD4287" s="18" t="n">
        <f aca="false">EDATE(AC4287,6)-1</f>
        <v>46477</v>
      </c>
      <c r="AE4287" s="13" t="s">
        <v>397</v>
      </c>
    </row>
    <row r="4288" customFormat="false" ht="15" hidden="false" customHeight="true" outlineLevel="0" collapsed="false">
      <c r="A4288" s="12" t="n">
        <v>22922</v>
      </c>
      <c r="B4288" s="13" t="s">
        <v>17583</v>
      </c>
      <c r="C4288" s="14" t="n">
        <v>46284</v>
      </c>
      <c r="D4288" s="13" t="s">
        <v>8240</v>
      </c>
      <c r="E4288" s="13" t="s">
        <v>102</v>
      </c>
      <c r="F4288" s="24" t="s">
        <v>17584</v>
      </c>
      <c r="G4288" s="13" t="s">
        <v>1452</v>
      </c>
      <c r="H4288" s="13" t="s">
        <v>35</v>
      </c>
      <c r="I4288" s="13" t="str">
        <f aca="false">IF(C4288=J4288,"NEW KONTRAK","RE-KONTRAK")</f>
        <v>NEW KONTRAK</v>
      </c>
      <c r="J4288" s="16" t="n">
        <f aca="false" t="array" ref="J4288:J4288">IFERROR(INDEX(AC4288:AE4288,IF(COUNTA(AC4288:AE4288)=0,"",MAX((AC4288:AE4288&lt;&gt;"")*(COLUMN(AC4288:AE4288)-(COLUMN(AC4288)))))-1),"")</f>
        <v>46284</v>
      </c>
      <c r="K4288" s="16" t="n">
        <f aca="false" t="array" ref="K4288:K4288">IFERROR(INDEX(AC4288:AE4288,IF(COUNTA(AC4288:AE4288)=0,"",MAX((AC4288:AE4288&lt;&gt;"")*(COLUMN(AC4288:AE4288)-(COLUMN(AC4288)-1))))-1),"")</f>
        <v>46374</v>
      </c>
      <c r="L4288" s="17" t="str">
        <f aca="false" t="array" ref="L4288:L4288">IFERROR(INDEX(AC4288:AE4288,IF(COUNTA(AC4288:AE4288)=0,"",MAX((AC4288:AE4288&lt;&gt;"")*(COLUMN(AC4288:AE4288)-(COLUMN(AC4288)-2))))-1),"")</f>
        <v>KEMBALI</v>
      </c>
      <c r="M4288" s="13" t="n">
        <f aca="true">K4288-TODAY()</f>
        <v>50</v>
      </c>
      <c r="N4288" s="18" t="s">
        <v>36</v>
      </c>
      <c r="O4288" s="13" t="s">
        <v>4280</v>
      </c>
      <c r="P4288" s="26" t="n">
        <v>120000</v>
      </c>
      <c r="Q4288" s="20" t="s">
        <v>17585</v>
      </c>
      <c r="R4288" s="13" t="s">
        <v>78</v>
      </c>
      <c r="S4288" s="25" t="n">
        <v>33571</v>
      </c>
      <c r="T4288" s="13" t="s">
        <v>108</v>
      </c>
      <c r="U4288" s="13" t="s">
        <v>17586</v>
      </c>
      <c r="V4288" s="13" t="s">
        <v>42</v>
      </c>
      <c r="W4288" s="13" t="s">
        <v>54</v>
      </c>
      <c r="X4288" s="21" t="n">
        <v>8988313056</v>
      </c>
      <c r="Y4288" s="22" t="str">
        <f aca="false">O4288</f>
        <v>Helper Cutting</v>
      </c>
      <c r="Z4288" s="13" t="str">
        <f aca="false">IFERROR(__xludf.dummyfunction("if(BJ4288="""","""",GOOGLETRANSLATE(BJ4288,""auto"",""en""))"),"Helper Cutting")</f>
        <v>Helper Cutting</v>
      </c>
      <c r="AA4288" s="23" t="str">
        <f aca="false">IF(C4288="","", CHOOSE(MONTH(C4288),"January","February","March","April","May","June","July","August","September","October","November","December")&amp;" "&amp;DAY(C4288)&amp;MID("thstndrdth",MIN(9,2*RIGHT(DAY(C4288))*(MOD(DAY(C4288)-11,100)&gt;2)+1),2)&amp;","&amp;TEXT(C4288," yyyy"))</f>
        <v>September 19th,2026</v>
      </c>
      <c r="AB4288" s="15" t="str">
        <f aca="true">IF(S4288="","",DATEDIF(S4288,TODAY(),"Y")&amp;" Tahun, "&amp;DATEDIF(S4288,TODAY(),"YM")&amp;" Bulan, "&amp;DATEDIF(S4288,TODAY(),"MD")&amp;" Hari")</f>
        <v>34 Tahun, 11 Bulan, 0 Hari</v>
      </c>
      <c r="AC4288" s="14" t="n">
        <v>46284</v>
      </c>
      <c r="AD4288" s="18" t="n">
        <f aca="false">EDATE(AC4288,3)-1</f>
        <v>46374</v>
      </c>
      <c r="AE4288" s="13" t="s">
        <v>397</v>
      </c>
    </row>
    <row r="4289" customFormat="false" ht="15" hidden="false" customHeight="true" outlineLevel="0" collapsed="false">
      <c r="A4289" s="12" t="n">
        <v>22923</v>
      </c>
      <c r="B4289" s="13" t="s">
        <v>6104</v>
      </c>
      <c r="C4289" s="14" t="n">
        <v>46289</v>
      </c>
      <c r="D4289" s="13" t="s">
        <v>8240</v>
      </c>
      <c r="E4289" s="13" t="s">
        <v>102</v>
      </c>
      <c r="F4289" s="24" t="s">
        <v>17587</v>
      </c>
      <c r="G4289" s="13" t="s">
        <v>1452</v>
      </c>
      <c r="H4289" s="13" t="s">
        <v>35</v>
      </c>
      <c r="I4289" s="13" t="str">
        <f aca="false">IF(C4289=J4289,"NEW KONTRAK","RE-KONTRAK")</f>
        <v>NEW KONTRAK</v>
      </c>
      <c r="J4289" s="16" t="n">
        <f aca="false" t="array" ref="J4289:J4289">IFERROR(INDEX(AC4289:AE4289,IF(COUNTA(AC4289:AE4289)=0,"",MAX((AC4289:AE4289&lt;&gt;"")*(COLUMN(AC4289:AE4289)-(COLUMN(AC4289)))))-1),"")</f>
        <v>46289</v>
      </c>
      <c r="K4289" s="16" t="n">
        <f aca="false" t="array" ref="K4289:K4289">IFERROR(INDEX(AC4289:AE4289,IF(COUNTA(AC4289:AE4289)=0,"",MAX((AC4289:AE4289&lt;&gt;"")*(COLUMN(AC4289:AE4289)-(COLUMN(AC4289)-1))))-1),"")</f>
        <v>46379</v>
      </c>
      <c r="L4289" s="17" t="str">
        <f aca="false" t="array" ref="L4289:L4289">IFERROR(INDEX(AC4289:AE4289,IF(COUNTA(AC4289:AE4289)=0,"",MAX((AC4289:AE4289&lt;&gt;"")*(COLUMN(AC4289:AE4289)-(COLUMN(AC4289)-2))))-1),"")</f>
        <v>ARCHIVED</v>
      </c>
      <c r="M4289" s="13" t="n">
        <f aca="true">K4289-TODAY()</f>
        <v>55</v>
      </c>
      <c r="N4289" s="18" t="s">
        <v>36</v>
      </c>
      <c r="O4289" s="13" t="s">
        <v>4288</v>
      </c>
      <c r="P4289" s="26" t="n">
        <v>200000</v>
      </c>
      <c r="Q4289" s="20" t="s">
        <v>6107</v>
      </c>
      <c r="R4289" s="13" t="s">
        <v>78</v>
      </c>
      <c r="S4289" s="25" t="n">
        <v>35318</v>
      </c>
      <c r="T4289" s="13" t="s">
        <v>40</v>
      </c>
      <c r="U4289" s="13" t="s">
        <v>17588</v>
      </c>
      <c r="V4289" s="13" t="s">
        <v>42</v>
      </c>
      <c r="W4289" s="13" t="s">
        <v>54</v>
      </c>
      <c r="X4289" s="21" t="n">
        <v>85746684721</v>
      </c>
      <c r="Y4289" s="22" t="str">
        <f aca="false">O4289</f>
        <v>Operator Printing</v>
      </c>
      <c r="Z4289" s="13" t="str">
        <f aca="false">IFERROR(__xludf.dummyfunction("if(BJ4289="""","""",GOOGLETRANSLATE(BJ4289,""auto"",""en""))"),"Operator Printing")</f>
        <v>Operator Printing</v>
      </c>
      <c r="AA4289" s="23" t="str">
        <f aca="false">IF(C4289="","", CHOOSE(MONTH(C4289),"January","February","March","April","May","June","July","August","September","October","November","December")&amp;" "&amp;DAY(C4289)&amp;MID("thstndrdth",MIN(9,2*RIGHT(DAY(C4289))*(MOD(DAY(C4289)-11,100)&gt;2)+1),2)&amp;","&amp;TEXT(C4289," yyyy"))</f>
        <v>September 24th,2026</v>
      </c>
      <c r="AB4289" s="15" t="str">
        <f aca="true">IF(S4289="","",DATEDIF(S4289,TODAY(),"Y")&amp;" Tahun, "&amp;DATEDIF(S4289,TODAY(),"YM")&amp;" Bulan, "&amp;DATEDIF(S4289,TODAY(),"MD")&amp;" Hari")</f>
        <v>30 Tahun, 1 Bulan, 19 Hari</v>
      </c>
      <c r="AC4289" s="14" t="n">
        <v>46289</v>
      </c>
      <c r="AD4289" s="18" t="n">
        <f aca="false">EDATE(AC4289,3)-1</f>
        <v>46379</v>
      </c>
      <c r="AE4289" s="13" t="s">
        <v>44</v>
      </c>
    </row>
    <row r="4290" customFormat="false" ht="15" hidden="false" customHeight="true" outlineLevel="0" collapsed="false">
      <c r="A4290" s="12" t="n">
        <v>22924</v>
      </c>
      <c r="B4290" s="13" t="s">
        <v>17589</v>
      </c>
      <c r="C4290" s="14" t="n">
        <v>46290</v>
      </c>
      <c r="D4290" s="13" t="s">
        <v>8240</v>
      </c>
      <c r="E4290" s="13" t="s">
        <v>47</v>
      </c>
      <c r="F4290" s="24" t="s">
        <v>17590</v>
      </c>
      <c r="G4290" s="13" t="s">
        <v>1452</v>
      </c>
      <c r="H4290" s="13" t="s">
        <v>35</v>
      </c>
      <c r="I4290" s="13" t="str">
        <f aca="false">IF(C4290=J4290,"NEW KONTRAK","RE-KONTRAK")</f>
        <v>NEW KONTRAK</v>
      </c>
      <c r="J4290" s="16" t="n">
        <f aca="false" t="array" ref="J4290:J4290">IFERROR(INDEX(AC4290:AE4290,IF(COUNTA(AC4290:AE4290)=0,"",MAX((AC4290:AE4290&lt;&gt;"")*(COLUMN(AC4290:AE4290)-(COLUMN(AC4290)))))-1),"")</f>
        <v>46290</v>
      </c>
      <c r="K4290" s="16" t="n">
        <f aca="false" t="array" ref="K4290:K4290">IFERROR(INDEX(AC4290:AE4290,IF(COUNTA(AC4290:AE4290)=0,"",MAX((AC4290:AE4290&lt;&gt;"")*(COLUMN(AC4290:AE4290)-(COLUMN(AC4290)-1))))-1),"")</f>
        <v>46380</v>
      </c>
      <c r="L4290" s="17" t="str">
        <f aca="false" t="array" ref="L4290:L4290">IFERROR(INDEX(AC4290:AE4290,IF(COUNTA(AC4290:AE4290)=0,"",MAX((AC4290:AE4290&lt;&gt;"")*(COLUMN(AC4290:AE4290)-(COLUMN(AC4290)-2))))-1),"")</f>
        <v>KEMBALI</v>
      </c>
      <c r="M4290" s="13" t="n">
        <f aca="true">K4290-TODAY()</f>
        <v>56</v>
      </c>
      <c r="N4290" s="18" t="s">
        <v>36</v>
      </c>
      <c r="O4290" s="13" t="s">
        <v>4280</v>
      </c>
      <c r="P4290" s="26" t="n">
        <v>120000</v>
      </c>
      <c r="Q4290" s="20" t="s">
        <v>17591</v>
      </c>
      <c r="R4290" s="13" t="s">
        <v>65</v>
      </c>
      <c r="S4290" s="25" t="n">
        <v>39358</v>
      </c>
      <c r="T4290" s="13" t="s">
        <v>40</v>
      </c>
      <c r="U4290" s="13" t="s">
        <v>17592</v>
      </c>
      <c r="V4290" s="13" t="s">
        <v>42</v>
      </c>
      <c r="W4290" s="13" t="s">
        <v>43</v>
      </c>
      <c r="X4290" s="21" t="n">
        <v>82333871311</v>
      </c>
      <c r="Y4290" s="22" t="str">
        <f aca="false">O4290</f>
        <v>Helper Cutting</v>
      </c>
      <c r="Z4290" s="13" t="str">
        <f aca="false">IFERROR(__xludf.dummyfunction("if(BJ4290="""","""",GOOGLETRANSLATE(BJ4290,""auto"",""en""))"),"Helper Cutting")</f>
        <v>Helper Cutting</v>
      </c>
      <c r="AA4290" s="23" t="str">
        <f aca="false">IF(C4290="","", CHOOSE(MONTH(C4290),"January","February","March","April","May","June","July","August","September","October","November","December")&amp;" "&amp;DAY(C4290)&amp;MID("thstndrdth",MIN(9,2*RIGHT(DAY(C4290))*(MOD(DAY(C4290)-11,100)&gt;2)+1),2)&amp;","&amp;TEXT(C4290," yyyy"))</f>
        <v>September 25th,2026</v>
      </c>
      <c r="AB4290" s="15" t="str">
        <f aca="true">IF(S4290="","",DATEDIF(S4290,TODAY(),"Y")&amp;" Tahun, "&amp;DATEDIF(S4290,TODAY(),"YM")&amp;" Bulan, "&amp;DATEDIF(S4290,TODAY(),"MD")&amp;" Hari")</f>
        <v>19 Tahun, 0 Bulan, 26 Hari</v>
      </c>
      <c r="AC4290" s="14" t="n">
        <v>46290</v>
      </c>
      <c r="AD4290" s="18" t="n">
        <f aca="false">EDATE(AC4290,3)-1</f>
        <v>46380</v>
      </c>
      <c r="AE4290" s="13" t="s">
        <v>397</v>
      </c>
    </row>
    <row r="4291" customFormat="false" ht="15" hidden="false" customHeight="true" outlineLevel="0" collapsed="false">
      <c r="A4291" s="12" t="n">
        <v>22925</v>
      </c>
      <c r="B4291" s="13" t="s">
        <v>17593</v>
      </c>
      <c r="C4291" s="14" t="n">
        <v>46284</v>
      </c>
      <c r="D4291" s="13" t="s">
        <v>8240</v>
      </c>
      <c r="E4291" s="13" t="s">
        <v>102</v>
      </c>
      <c r="F4291" s="24" t="s">
        <v>17594</v>
      </c>
      <c r="G4291" s="13" t="s">
        <v>1452</v>
      </c>
      <c r="H4291" s="13" t="s">
        <v>35</v>
      </c>
      <c r="I4291" s="13" t="str">
        <f aca="false">IF(C4291=J4291,"NEW KONTRAK","RE-KONTRAK")</f>
        <v>NEW KONTRAK</v>
      </c>
      <c r="J4291" s="16" t="n">
        <f aca="false" t="array" ref="J4291:J4291">IFERROR(INDEX(AC4291:AE4291,IF(COUNTA(AC4291:AE4291)=0,"",MAX((AC4291:AE4291&lt;&gt;"")*(COLUMN(AC4291:AE4291)-(COLUMN(AC4291)))))-1),"")</f>
        <v>46284</v>
      </c>
      <c r="K4291" s="16" t="n">
        <f aca="false" t="array" ref="K4291:K4291">IFERROR(INDEX(AC4291:AE4291,IF(COUNTA(AC4291:AE4291)=0,"",MAX((AC4291:AE4291&lt;&gt;"")*(COLUMN(AC4291:AE4291)-(COLUMN(AC4291)-1))))-1),"")</f>
        <v>46374</v>
      </c>
      <c r="L4291" s="17" t="str">
        <f aca="false" t="array" ref="L4291:L4291">IFERROR(INDEX(AC4291:AE4291,IF(COUNTA(AC4291:AE4291)=0,"",MAX((AC4291:AE4291&lt;&gt;"")*(COLUMN(AC4291:AE4291)-(COLUMN(AC4291)-2))))-1),"")</f>
        <v>ARCHIVED</v>
      </c>
      <c r="M4291" s="13" t="n">
        <f aca="true">K4291-TODAY()</f>
        <v>50</v>
      </c>
      <c r="N4291" s="18" t="s">
        <v>36</v>
      </c>
      <c r="O4291" s="13" t="s">
        <v>4280</v>
      </c>
      <c r="P4291" s="26" t="n">
        <v>120000</v>
      </c>
      <c r="Q4291" s="20" t="s">
        <v>17595</v>
      </c>
      <c r="R4291" s="13" t="s">
        <v>73</v>
      </c>
      <c r="S4291" s="25" t="n">
        <v>37548</v>
      </c>
      <c r="T4291" s="13" t="s">
        <v>108</v>
      </c>
      <c r="U4291" s="13" t="s">
        <v>17596</v>
      </c>
      <c r="V4291" s="13" t="s">
        <v>42</v>
      </c>
      <c r="W4291" s="13" t="s">
        <v>43</v>
      </c>
      <c r="X4291" s="21" t="n">
        <v>87788683110</v>
      </c>
      <c r="Y4291" s="22" t="str">
        <f aca="false">O4291</f>
        <v>Helper Cutting</v>
      </c>
      <c r="Z4291" s="13" t="str">
        <f aca="false">IFERROR(__xludf.dummyfunction("if(BJ4291="""","""",GOOGLETRANSLATE(BJ4291,""auto"",""en""))"),"Helper Cutting")</f>
        <v>Helper Cutting</v>
      </c>
      <c r="AA4291" s="23" t="str">
        <f aca="false">IF(C4291="","", CHOOSE(MONTH(C4291),"January","February","March","April","May","June","July","August","September","October","November","December")&amp;" "&amp;DAY(C4291)&amp;MID("thstndrdth",MIN(9,2*RIGHT(DAY(C4291))*(MOD(DAY(C4291)-11,100)&gt;2)+1),2)&amp;","&amp;TEXT(C4291," yyyy"))</f>
        <v>September 19th,2026</v>
      </c>
      <c r="AB4291" s="15" t="str">
        <f aca="true">IF(S4291="","",DATEDIF(S4291,TODAY(),"Y")&amp;" Tahun, "&amp;DATEDIF(S4291,TODAY(),"YM")&amp;" Bulan, "&amp;DATEDIF(S4291,TODAY(),"MD")&amp;" Hari")</f>
        <v>24 Tahun, 0 Bulan, 10 Hari</v>
      </c>
      <c r="AC4291" s="14" t="n">
        <v>46284</v>
      </c>
      <c r="AD4291" s="18" t="n">
        <f aca="false">EDATE(AC4291,3)-1</f>
        <v>46374</v>
      </c>
      <c r="AE4291" s="13" t="s">
        <v>44</v>
      </c>
    </row>
    <row r="4292" customFormat="false" ht="15" hidden="false" customHeight="true" outlineLevel="0" collapsed="false">
      <c r="A4292" s="12" t="n">
        <v>22926</v>
      </c>
      <c r="B4292" s="13" t="s">
        <v>17597</v>
      </c>
      <c r="C4292" s="14" t="n">
        <v>46298</v>
      </c>
      <c r="D4292" s="13" t="s">
        <v>8240</v>
      </c>
      <c r="E4292" s="13" t="s">
        <v>47</v>
      </c>
      <c r="F4292" s="24" t="s">
        <v>17598</v>
      </c>
      <c r="G4292" s="13" t="s">
        <v>1452</v>
      </c>
      <c r="H4292" s="13" t="s">
        <v>35</v>
      </c>
      <c r="I4292" s="13" t="str">
        <f aca="false">IF(C4292=J4292,"NEW KONTRAK","RE-KONTRAK")</f>
        <v>NEW KONTRAK</v>
      </c>
      <c r="J4292" s="16" t="n">
        <f aca="false" t="array" ref="J4292:J4292">IFERROR(INDEX(AC4292:AE4292,IF(COUNTA(AC4292:AE4292)=0,"",MAX((AC4292:AE4292&lt;&gt;"")*(COLUMN(AC4292:AE4292)-(COLUMN(AC4292)))))-1),"")</f>
        <v>46298</v>
      </c>
      <c r="K4292" s="16" t="n">
        <f aca="false" t="array" ref="K4292:K4292">IFERROR(INDEX(AC4292:AE4292,IF(COUNTA(AC4292:AE4292)=0,"",MAX((AC4292:AE4292&lt;&gt;"")*(COLUMN(AC4292:AE4292)-(COLUMN(AC4292)-1))))-1),"")</f>
        <v>46389</v>
      </c>
      <c r="L4292" s="17" t="str">
        <f aca="false" t="array" ref="L4292:L4292">IFERROR(INDEX(AC4292:AE4292,IF(COUNTA(AC4292:AE4292)=0,"",MAX((AC4292:AE4292&lt;&gt;"")*(COLUMN(AC4292:AE4292)-(COLUMN(AC4292)-2))))-1),"")</f>
        <v>KEMBALI</v>
      </c>
      <c r="M4292" s="13" t="n">
        <f aca="true">K4292-TODAY()</f>
        <v>65</v>
      </c>
      <c r="N4292" s="18" t="s">
        <v>36</v>
      </c>
      <c r="O4292" s="13" t="s">
        <v>4280</v>
      </c>
      <c r="P4292" s="26" t="n">
        <v>120000</v>
      </c>
      <c r="Q4292" s="20" t="s">
        <v>17599</v>
      </c>
      <c r="R4292" s="13" t="s">
        <v>241</v>
      </c>
      <c r="S4292" s="25" t="n">
        <v>36282</v>
      </c>
      <c r="T4292" s="13" t="s">
        <v>108</v>
      </c>
      <c r="U4292" s="13" t="s">
        <v>17600</v>
      </c>
      <c r="V4292" s="13" t="s">
        <v>42</v>
      </c>
      <c r="W4292" s="13" t="s">
        <v>43</v>
      </c>
      <c r="X4292" s="21" t="n">
        <v>81325820899</v>
      </c>
      <c r="Y4292" s="22" t="str">
        <f aca="false">O4292</f>
        <v>Helper Cutting</v>
      </c>
      <c r="Z4292" s="13" t="str">
        <f aca="false">IFERROR(__xludf.dummyfunction("if(BJ4292="""","""",GOOGLETRANSLATE(BJ4292,""auto"",""en""))"),"Helper Cutting")</f>
        <v>Helper Cutting</v>
      </c>
      <c r="AA4292" s="23" t="str">
        <f aca="false">IF(C4292="","", CHOOSE(MONTH(C4292),"January","February","March","April","May","June","July","August","September","October","November","December")&amp;" "&amp;DAY(C4292)&amp;MID("thstndrdth",MIN(9,2*RIGHT(DAY(C4292))*(MOD(DAY(C4292)-11,100)&gt;2)+1),2)&amp;","&amp;TEXT(C4292," yyyy"))</f>
        <v>October 3rd,2026</v>
      </c>
      <c r="AB4292" s="15" t="str">
        <f aca="true">IF(S4292="","",DATEDIF(S4292,TODAY(),"Y")&amp;" Tahun, "&amp;DATEDIF(S4292,TODAY(),"YM")&amp;" Bulan, "&amp;DATEDIF(S4292,TODAY(),"MD")&amp;" Hari")</f>
        <v>27 Tahun, 5 Bulan, 27 Hari</v>
      </c>
      <c r="AC4292" s="14" t="n">
        <v>46298</v>
      </c>
      <c r="AD4292" s="18" t="n">
        <f aca="false">EDATE(AC4292,3)-1</f>
        <v>46389</v>
      </c>
      <c r="AE4292" s="13" t="s">
        <v>397</v>
      </c>
    </row>
    <row r="4293" customFormat="false" ht="15" hidden="false" customHeight="true" outlineLevel="0" collapsed="false">
      <c r="A4293" s="12" t="n">
        <v>22927</v>
      </c>
      <c r="B4293" s="13" t="s">
        <v>17601</v>
      </c>
      <c r="C4293" s="14" t="n">
        <v>46296</v>
      </c>
      <c r="D4293" s="13" t="s">
        <v>144</v>
      </c>
      <c r="E4293" s="13" t="s">
        <v>47</v>
      </c>
      <c r="F4293" s="24" t="s">
        <v>17602</v>
      </c>
      <c r="G4293" s="13" t="s">
        <v>1452</v>
      </c>
      <c r="H4293" s="13" t="s">
        <v>35</v>
      </c>
      <c r="I4293" s="13" t="str">
        <f aca="false">IF(C4293=J4293,"NEW KONTRAK","RE-KONTRAK")</f>
        <v>NEW KONTRAK</v>
      </c>
      <c r="J4293" s="16" t="n">
        <f aca="false" t="array" ref="J4293:J4293">IFERROR(INDEX(AC4293:AE4293,IF(COUNTA(AC4293:AE4293)=0,"",MAX((AC4293:AE4293&lt;&gt;"")*(COLUMN(AC4293:AE4293)-(COLUMN(AC4293)))))-1),"")</f>
        <v>46296</v>
      </c>
      <c r="K4293" s="16" t="n">
        <f aca="false" t="array" ref="K4293:K4293">IFERROR(INDEX(AC4293:AE4293,IF(COUNTA(AC4293:AE4293)=0,"",MAX((AC4293:AE4293&lt;&gt;"")*(COLUMN(AC4293:AE4293)-(COLUMN(AC4293)-1))))-1),"")</f>
        <v>46387</v>
      </c>
      <c r="L4293" s="17" t="str">
        <f aca="false" t="array" ref="L4293:L4293">IFERROR(INDEX(AC4293:AE4293,IF(COUNTA(AC4293:AE4293)=0,"",MAX((AC4293:AE4293&lt;&gt;"")*(COLUMN(AC4293:AE4293)-(COLUMN(AC4293)-2))))-1),"")</f>
        <v>KEMBALI</v>
      </c>
      <c r="M4293" s="13" t="n">
        <f aca="true">K4293-TODAY()</f>
        <v>63</v>
      </c>
      <c r="N4293" s="18" t="s">
        <v>36</v>
      </c>
      <c r="O4293" s="13" t="s">
        <v>156</v>
      </c>
      <c r="P4293" s="26" t="n">
        <v>5195401</v>
      </c>
      <c r="Q4293" s="20" t="s">
        <v>17603</v>
      </c>
      <c r="R4293" s="13" t="s">
        <v>17604</v>
      </c>
      <c r="S4293" s="25" t="n">
        <v>38287</v>
      </c>
      <c r="T4293" s="13" t="s">
        <v>40</v>
      </c>
      <c r="U4293" s="13" t="s">
        <v>17605</v>
      </c>
      <c r="V4293" s="13" t="s">
        <v>42</v>
      </c>
      <c r="W4293" s="13" t="s">
        <v>43</v>
      </c>
      <c r="X4293" s="21" t="n">
        <v>85708290075</v>
      </c>
      <c r="Y4293" s="22" t="str">
        <f aca="false">O4293</f>
        <v>Emulsion</v>
      </c>
      <c r="Z4293" s="13" t="str">
        <f aca="false">IFERROR(__xludf.dummyfunction("if(BJ4293="""","""",GOOGLETRANSLATE(BJ4293,""auto"",""en""))"),"Emulsion")</f>
        <v>Emulsion</v>
      </c>
      <c r="AA4293" s="23" t="str">
        <f aca="false">IF(C4293="","", CHOOSE(MONTH(C4293),"January","February","March","April","May","June","July","August","September","October","November","December")&amp;" "&amp;DAY(C4293)&amp;MID("thstndrdth",MIN(9,2*RIGHT(DAY(C4293))*(MOD(DAY(C4293)-11,100)&gt;2)+1),2)&amp;","&amp;TEXT(C4293," yyyy"))</f>
        <v>October 1st,2026</v>
      </c>
      <c r="AB4293" s="15" t="str">
        <f aca="true">IF(S4293="","",DATEDIF(S4293,TODAY(),"Y")&amp;" Tahun, "&amp;DATEDIF(S4293,TODAY(),"YM")&amp;" Bulan, "&amp;DATEDIF(S4293,TODAY(),"MD")&amp;" Hari")</f>
        <v>22 Tahun, 0 Bulan, 2 Hari</v>
      </c>
      <c r="AC4293" s="14" t="n">
        <v>46296</v>
      </c>
      <c r="AD4293" s="18" t="n">
        <f aca="false">EDATE(AC4293,3)-1</f>
        <v>46387</v>
      </c>
      <c r="AE4293" s="13" t="s">
        <v>397</v>
      </c>
    </row>
    <row r="4294" customFormat="false" ht="15" hidden="false" customHeight="true" outlineLevel="0" collapsed="false">
      <c r="A4294" s="12" t="n">
        <v>22928</v>
      </c>
      <c r="B4294" s="13" t="s">
        <v>17606</v>
      </c>
      <c r="C4294" s="14" t="n">
        <v>46296</v>
      </c>
      <c r="D4294" s="13" t="s">
        <v>3838</v>
      </c>
      <c r="E4294" s="13" t="s">
        <v>47</v>
      </c>
      <c r="F4294" s="24" t="s">
        <v>17607</v>
      </c>
      <c r="G4294" s="13" t="s">
        <v>1452</v>
      </c>
      <c r="H4294" s="13" t="s">
        <v>35</v>
      </c>
      <c r="I4294" s="13" t="str">
        <f aca="false">IF(C4294=J4294,"NEW KONTRAK","RE-KONTRAK")</f>
        <v>NEW KONTRAK</v>
      </c>
      <c r="J4294" s="16" t="n">
        <f aca="false" t="array" ref="J4294:J4294">IFERROR(INDEX(AC4294:AE4294,IF(COUNTA(AC4294:AE4294)=0,"",MAX((AC4294:AE4294&lt;&gt;"")*(COLUMN(AC4294:AE4294)-(COLUMN(AC4294)))))-1),"")</f>
        <v>46296</v>
      </c>
      <c r="K4294" s="16" t="n">
        <f aca="false" t="array" ref="K4294:K4294">IFERROR(INDEX(AC4294:AE4294,IF(COUNTA(AC4294:AE4294)=0,"",MAX((AC4294:AE4294&lt;&gt;"")*(COLUMN(AC4294:AE4294)-(COLUMN(AC4294)-1))))-1),"")</f>
        <v>46387</v>
      </c>
      <c r="L4294" s="17" t="str">
        <f aca="false" t="array" ref="L4294:L4294">IFERROR(INDEX(AC4294:AE4294,IF(COUNTA(AC4294:AE4294)=0,"",MAX((AC4294:AE4294&lt;&gt;"")*(COLUMN(AC4294:AE4294)-(COLUMN(AC4294)-2))))-1),"")</f>
        <v>ARCHIVED</v>
      </c>
      <c r="M4294" s="13" t="n">
        <f aca="true">K4294-TODAY()</f>
        <v>63</v>
      </c>
      <c r="N4294" s="18" t="s">
        <v>749</v>
      </c>
      <c r="O4294" s="13" t="s">
        <v>2384</v>
      </c>
      <c r="P4294" s="26" t="n">
        <v>3983882</v>
      </c>
      <c r="Q4294" s="20" t="s">
        <v>17608</v>
      </c>
      <c r="R4294" s="13" t="s">
        <v>17609</v>
      </c>
      <c r="S4294" s="25" t="n">
        <v>35952</v>
      </c>
      <c r="T4294" s="13" t="s">
        <v>108</v>
      </c>
      <c r="U4294" s="13" t="s">
        <v>17610</v>
      </c>
      <c r="V4294" s="13" t="s">
        <v>42</v>
      </c>
      <c r="W4294" s="13" t="s">
        <v>43</v>
      </c>
      <c r="X4294" s="21" t="n">
        <v>85163689597</v>
      </c>
      <c r="Y4294" s="22" t="str">
        <f aca="false">O4294</f>
        <v>SPG</v>
      </c>
      <c r="Z4294" s="13" t="str">
        <f aca="false">IFERROR(__xludf.dummyfunction("if(BJ4294="""","""",GOOGLETRANSLATE(BJ4294,""auto"",""en""))"),"SPG")</f>
        <v>SPG</v>
      </c>
      <c r="AA4294" s="23" t="str">
        <f aca="false">IF(C4294="","", CHOOSE(MONTH(C4294),"January","February","March","April","May","June","July","August","September","October","November","December")&amp;" "&amp;DAY(C4294)&amp;MID("thstndrdth",MIN(9,2*RIGHT(DAY(C4294))*(MOD(DAY(C4294)-11,100)&gt;2)+1),2)&amp;","&amp;TEXT(C4294," yyyy"))</f>
        <v>October 1st,2026</v>
      </c>
      <c r="AB4294" s="15" t="str">
        <f aca="true">IF(S4294="","",DATEDIF(S4294,TODAY(),"Y")&amp;" Tahun, "&amp;DATEDIF(S4294,TODAY(),"YM")&amp;" Bulan, "&amp;DATEDIF(S4294,TODAY(),"MD")&amp;" Hari")</f>
        <v>28 Tahun, 4 Bulan, 23 Hari</v>
      </c>
      <c r="AC4294" s="14" t="n">
        <v>46296</v>
      </c>
      <c r="AD4294" s="18" t="n">
        <f aca="false">EDATE(AC4294,3)-1</f>
        <v>46387</v>
      </c>
      <c r="AE4294" s="18" t="s">
        <v>44</v>
      </c>
    </row>
    <row r="4295" customFormat="false" ht="15" hidden="false" customHeight="true" outlineLevel="0" collapsed="false">
      <c r="A4295" s="12" t="n">
        <v>22929</v>
      </c>
      <c r="B4295" s="13" t="s">
        <v>17611</v>
      </c>
      <c r="C4295" s="14" t="n">
        <v>46296</v>
      </c>
      <c r="D4295" s="13" t="s">
        <v>3838</v>
      </c>
      <c r="E4295" s="13" t="s">
        <v>47</v>
      </c>
      <c r="F4295" s="24" t="s">
        <v>17612</v>
      </c>
      <c r="G4295" s="13" t="s">
        <v>1452</v>
      </c>
      <c r="H4295" s="13" t="s">
        <v>35</v>
      </c>
      <c r="I4295" s="13" t="str">
        <f aca="false">IF(C4295=J4295,"NEW KONTRAK","RE-KONTRAK")</f>
        <v>NEW KONTRAK</v>
      </c>
      <c r="J4295" s="16" t="n">
        <f aca="false" t="array" ref="J4295:J4295">IFERROR(INDEX(AC4295:AE4295,IF(COUNTA(AC4295:AE4295)=0,"",MAX((AC4295:AE4295&lt;&gt;"")*(COLUMN(AC4295:AE4295)-(COLUMN(AC4295)))))-1),"")</f>
        <v>46296</v>
      </c>
      <c r="K4295" s="16" t="n">
        <f aca="false" t="array" ref="K4295:K4295">IFERROR(INDEX(AC4295:AE4295,IF(COUNTA(AC4295:AE4295)=0,"",MAX((AC4295:AE4295&lt;&gt;"")*(COLUMN(AC4295:AE4295)-(COLUMN(AC4295)-1))))-1),"")</f>
        <v>46387</v>
      </c>
      <c r="L4295" s="17" t="str">
        <f aca="false" t="array" ref="L4295:L4295">IFERROR(INDEX(AC4295:AE4295,IF(COUNTA(AC4295:AE4295)=0,"",MAX((AC4295:AE4295&lt;&gt;"")*(COLUMN(AC4295:AE4295)-(COLUMN(AC4295)-2))))-1),"")</f>
        <v>ARCHIVED</v>
      </c>
      <c r="M4295" s="13" t="n">
        <f aca="true">K4295-TODAY()</f>
        <v>63</v>
      </c>
      <c r="N4295" s="18" t="s">
        <v>749</v>
      </c>
      <c r="O4295" s="13" t="s">
        <v>16973</v>
      </c>
      <c r="P4295" s="26" t="n">
        <v>3983882</v>
      </c>
      <c r="Q4295" s="20" t="s">
        <v>17613</v>
      </c>
      <c r="R4295" s="13" t="s">
        <v>752</v>
      </c>
      <c r="S4295" s="25" t="n">
        <v>37627</v>
      </c>
      <c r="T4295" s="13" t="s">
        <v>40</v>
      </c>
      <c r="U4295" s="13" t="s">
        <v>17614</v>
      </c>
      <c r="V4295" s="13" t="s">
        <v>42</v>
      </c>
      <c r="W4295" s="13" t="s">
        <v>54</v>
      </c>
      <c r="X4295" s="21" t="n">
        <v>81545333459</v>
      </c>
      <c r="Y4295" s="22" t="str">
        <f aca="false">O4295</f>
        <v>SPB</v>
      </c>
      <c r="Z4295" s="13" t="str">
        <f aca="false">IFERROR(__xludf.dummyfunction("if(BJ4295="""","""",GOOGLETRANSLATE(BJ4295,""auto"",""en""))"),"SPB")</f>
        <v>SPB</v>
      </c>
      <c r="AA4295" s="23" t="str">
        <f aca="false">IF(C4295="","", CHOOSE(MONTH(C4295),"January","February","March","April","May","June","July","August","September","October","November","December")&amp;" "&amp;DAY(C4295)&amp;MID("thstndrdth",MIN(9,2*RIGHT(DAY(C4295))*(MOD(DAY(C4295)-11,100)&gt;2)+1),2)&amp;","&amp;TEXT(C4295," yyyy"))</f>
        <v>October 1st,2026</v>
      </c>
      <c r="AB4295" s="15" t="str">
        <f aca="true">IF(S4295="","",DATEDIF(S4295,TODAY(),"Y")&amp;" Tahun, "&amp;DATEDIF(S4295,TODAY(),"YM")&amp;" Bulan, "&amp;DATEDIF(S4295,TODAY(),"MD")&amp;" Hari")</f>
        <v>23 Tahun, 9 Bulan, 23 Hari</v>
      </c>
      <c r="AC4295" s="14" t="n">
        <v>46296</v>
      </c>
      <c r="AD4295" s="18" t="n">
        <f aca="false">EDATE(AC4295,3)-1</f>
        <v>46387</v>
      </c>
      <c r="AE4295" s="18" t="s">
        <v>44</v>
      </c>
    </row>
    <row r="4296" customFormat="false" ht="15" hidden="false" customHeight="true" outlineLevel="0" collapsed="false">
      <c r="A4296" s="12" t="n">
        <v>22930</v>
      </c>
      <c r="B4296" s="13" t="s">
        <v>17615</v>
      </c>
      <c r="C4296" s="14" t="n">
        <v>46307</v>
      </c>
      <c r="D4296" s="13" t="s">
        <v>404</v>
      </c>
      <c r="E4296" s="13" t="s">
        <v>47</v>
      </c>
      <c r="F4296" s="24" t="s">
        <v>17616</v>
      </c>
      <c r="G4296" s="13" t="s">
        <v>1452</v>
      </c>
      <c r="H4296" s="13" t="s">
        <v>35</v>
      </c>
      <c r="I4296" s="13" t="str">
        <f aca="false">IF(C4296=J4296,"NEW KONTRAK","RE-KONTRAK")</f>
        <v>NEW KONTRAK</v>
      </c>
      <c r="J4296" s="16" t="n">
        <f aca="false" t="array" ref="J4296:J4296">IFERROR(INDEX(AC4296:AE4296,IF(COUNTA(AC4296:AE4296)=0,"",MAX((AC4296:AE4296&lt;&gt;"")*(COLUMN(AC4296:AE4296)-(COLUMN(AC4296)))))-1),"")</f>
        <v>46307</v>
      </c>
      <c r="K4296" s="16" t="n">
        <f aca="false" t="array" ref="K4296:K4296">IFERROR(INDEX(AC4296:AE4296,IF(COUNTA(AC4296:AE4296)=0,"",MAX((AC4296:AE4296&lt;&gt;"")*(COLUMN(AC4296:AE4296)-(COLUMN(AC4296)-1))))-1),"")</f>
        <v>46387</v>
      </c>
      <c r="L4296" s="17" t="str">
        <f aca="false" t="array" ref="L4296:L4296">IFERROR(INDEX(AC4296:AE4296,IF(COUNTA(AC4296:AE4296)=0,"",MAX((AC4296:AE4296&lt;&gt;"")*(COLUMN(AC4296:AE4296)-(COLUMN(AC4296)-2))))-1),"")</f>
        <v>KEMBALI</v>
      </c>
      <c r="M4296" s="13" t="n">
        <f aca="true">K4296-TODAY()</f>
        <v>63</v>
      </c>
      <c r="N4296" s="18" t="s">
        <v>36</v>
      </c>
      <c r="O4296" s="13" t="s">
        <v>8136</v>
      </c>
      <c r="P4296" s="26" t="n">
        <v>5195401</v>
      </c>
      <c r="Q4296" s="20" t="s">
        <v>17617</v>
      </c>
      <c r="R4296" s="13" t="s">
        <v>65</v>
      </c>
      <c r="S4296" s="25" t="n">
        <v>38196</v>
      </c>
      <c r="T4296" s="13" t="s">
        <v>40</v>
      </c>
      <c r="U4296" s="13" t="s">
        <v>17618</v>
      </c>
      <c r="V4296" s="13" t="s">
        <v>42</v>
      </c>
      <c r="W4296" s="13" t="s">
        <v>43</v>
      </c>
      <c r="X4296" s="21" t="n">
        <v>81259958241</v>
      </c>
      <c r="Y4296" s="22" t="str">
        <f aca="false">O4296</f>
        <v>Analis Lab</v>
      </c>
      <c r="Z4296" s="13" t="str">
        <f aca="false">IFERROR(__xludf.dummyfunction("if(BJ4296="""","""",GOOGLETRANSLATE(BJ4296,""auto"",""en""))"),"Lab Analyst")</f>
        <v>Lab Analyst</v>
      </c>
      <c r="AA4296" s="23" t="str">
        <f aca="false">IF(C4296="","", CHOOSE(MONTH(C4296),"January","February","March","April","May","June","July","August","September","October","November","December")&amp;" "&amp;DAY(C4296)&amp;MID("thstndrdth",MIN(9,2*RIGHT(DAY(C4296))*(MOD(DAY(C4296)-11,100)&gt;2)+1),2)&amp;","&amp;TEXT(C4296," yyyy"))</f>
        <v>October 12th,2026</v>
      </c>
      <c r="AB4296" s="15" t="str">
        <f aca="true">IF(S4296="","",DATEDIF(S4296,TODAY(),"Y")&amp;" Tahun, "&amp;DATEDIF(S4296,TODAY(),"YM")&amp;" Bulan, "&amp;DATEDIF(S4296,TODAY(),"MD")&amp;" Hari")</f>
        <v>22 Tahun, 3 Bulan, 1 Hari</v>
      </c>
      <c r="AC4296" s="14" t="n">
        <v>46307</v>
      </c>
      <c r="AD4296" s="18" t="n">
        <v>46387</v>
      </c>
      <c r="AE4296" s="13" t="s">
        <v>397</v>
      </c>
    </row>
    <row r="4297" customFormat="false" ht="15" hidden="false" customHeight="true" outlineLevel="0" collapsed="false">
      <c r="A4297" s="12" t="n">
        <v>22931</v>
      </c>
      <c r="B4297" s="13" t="s">
        <v>17619</v>
      </c>
      <c r="C4297" s="14" t="n">
        <v>46307</v>
      </c>
      <c r="D4297" s="13" t="s">
        <v>6487</v>
      </c>
      <c r="E4297" s="13" t="s">
        <v>47</v>
      </c>
      <c r="F4297" s="24" t="s">
        <v>17620</v>
      </c>
      <c r="G4297" s="13" t="s">
        <v>1452</v>
      </c>
      <c r="H4297" s="13" t="s">
        <v>35</v>
      </c>
      <c r="I4297" s="13" t="str">
        <f aca="false">IF(C4297=J4297,"NEW KONTRAK","RE-KONTRAK")</f>
        <v>NEW KONTRAK</v>
      </c>
      <c r="J4297" s="16" t="n">
        <f aca="false" t="array" ref="J4297:J4297">IFERROR(INDEX(AC4297:AE4297,IF(COUNTA(AC4297:AE4297)=0,"",MAX((AC4297:AE4297&lt;&gt;"")*(COLUMN(AC4297:AE4297)-(COLUMN(AC4297)))))-1),"")</f>
        <v>46307</v>
      </c>
      <c r="K4297" s="16" t="n">
        <f aca="false" t="array" ref="K4297:K4297">IFERROR(INDEX(AC4297:AE4297,IF(COUNTA(AC4297:AE4297)=0,"",MAX((AC4297:AE4297&lt;&gt;"")*(COLUMN(AC4297:AE4297)-(COLUMN(AC4297)-1))))-1),"")</f>
        <v>46387</v>
      </c>
      <c r="L4297" s="17" t="str">
        <f aca="false" t="array" ref="L4297:L4297">IFERROR(INDEX(AC4297:AE4297,IF(COUNTA(AC4297:AE4297)=0,"",MAX((AC4297:AE4297&lt;&gt;"")*(COLUMN(AC4297:AE4297)-(COLUMN(AC4297)-2))))-1),"")</f>
        <v>KEMBALI</v>
      </c>
      <c r="M4297" s="13" t="n">
        <f aca="true">K4297-TODAY()</f>
        <v>63</v>
      </c>
      <c r="N4297" s="18" t="s">
        <v>4735</v>
      </c>
      <c r="O4297" s="13" t="s">
        <v>14980</v>
      </c>
      <c r="P4297" s="26" t="n">
        <v>3802862</v>
      </c>
      <c r="Q4297" s="20" t="s">
        <v>17621</v>
      </c>
      <c r="R4297" s="13" t="s">
        <v>83</v>
      </c>
      <c r="S4297" s="25" t="n">
        <v>32573</v>
      </c>
      <c r="T4297" s="13" t="s">
        <v>40</v>
      </c>
      <c r="U4297" s="13" t="s">
        <v>17622</v>
      </c>
      <c r="V4297" s="13" t="s">
        <v>42</v>
      </c>
      <c r="W4297" s="13" t="s">
        <v>54</v>
      </c>
      <c r="X4297" s="21" t="n">
        <v>83852890667</v>
      </c>
      <c r="Y4297" s="22" t="str">
        <f aca="false">O4297</f>
        <v>Driver Ekspedisi</v>
      </c>
      <c r="Z4297" s="13" t="str">
        <f aca="false">IFERROR(__xludf.dummyfunction("if(BJ4297="""","""",GOOGLETRANSLATE(BJ4297,""auto"",""en""))"),"Expedition Driver")</f>
        <v>Expedition Driver</v>
      </c>
      <c r="AA4297" s="23" t="str">
        <f aca="false">IF(C4297="","", CHOOSE(MONTH(C4297),"January","February","March","April","May","June","July","August","September","October","November","December")&amp;" "&amp;DAY(C4297)&amp;MID("thstndrdth",MIN(9,2*RIGHT(DAY(C4297))*(MOD(DAY(C4297)-11,100)&gt;2)+1),2)&amp;","&amp;TEXT(C4297," yyyy"))</f>
        <v>October 12th,2026</v>
      </c>
      <c r="AB4297" s="15" t="str">
        <f aca="true">IF(S4297="","",DATEDIF(S4297,TODAY(),"Y")&amp;" Tahun, "&amp;DATEDIF(S4297,TODAY(),"YM")&amp;" Bulan, "&amp;DATEDIF(S4297,TODAY(),"MD")&amp;" Hari")</f>
        <v>37 Tahun, 7 Bulan, 23 Hari</v>
      </c>
      <c r="AC4297" s="14" t="n">
        <v>46307</v>
      </c>
      <c r="AD4297" s="18" t="n">
        <v>46387</v>
      </c>
      <c r="AE4297" s="13" t="s">
        <v>397</v>
      </c>
    </row>
    <row r="4298" customFormat="false" ht="15" hidden="false" customHeight="true" outlineLevel="0" collapsed="false">
      <c r="A4298" s="12" t="n">
        <v>22932</v>
      </c>
      <c r="B4298" s="13" t="s">
        <v>17623</v>
      </c>
      <c r="C4298" s="14" t="n">
        <v>46302</v>
      </c>
      <c r="D4298" s="13" t="s">
        <v>144</v>
      </c>
      <c r="E4298" s="13" t="s">
        <v>47</v>
      </c>
      <c r="F4298" s="24" t="s">
        <v>17624</v>
      </c>
      <c r="G4298" s="13" t="s">
        <v>1452</v>
      </c>
      <c r="H4298" s="13" t="s">
        <v>35</v>
      </c>
      <c r="I4298" s="13" t="str">
        <f aca="false">IF(C4298=J4298,"NEW KONTRAK","RE-KONTRAK")</f>
        <v>NEW KONTRAK</v>
      </c>
      <c r="J4298" s="16" t="n">
        <f aca="false" t="array" ref="J4298:J4298">IFERROR(INDEX(AC4298:AE4298,IF(COUNTA(AC4298:AE4298)=0,"",MAX((AC4298:AE4298&lt;&gt;"")*(COLUMN(AC4298:AE4298)-(COLUMN(AC4298)))))-1),"")</f>
        <v>46302</v>
      </c>
      <c r="K4298" s="16" t="n">
        <f aca="false" t="array" ref="K4298:K4298">IFERROR(INDEX(AC4298:AE4298,IF(COUNTA(AC4298:AE4298)=0,"",MAX((AC4298:AE4298&lt;&gt;"")*(COLUMN(AC4298:AE4298)-(COLUMN(AC4298)-1))))-1),"")</f>
        <v>46393</v>
      </c>
      <c r="L4298" s="17" t="str">
        <f aca="false" t="array" ref="L4298:L4298">IFERROR(INDEX(AC4298:AE4298,IF(COUNTA(AC4298:AE4298)=0,"",MAX((AC4298:AE4298&lt;&gt;"")*(COLUMN(AC4298:AE4298)-(COLUMN(AC4298)-2))))-1),"")</f>
        <v>ARCHIVED</v>
      </c>
      <c r="M4298" s="13" t="n">
        <f aca="true">K4298-TODAY()</f>
        <v>69</v>
      </c>
      <c r="N4298" s="18" t="s">
        <v>36</v>
      </c>
      <c r="O4298" s="13" t="s">
        <v>156</v>
      </c>
      <c r="P4298" s="26" t="n">
        <v>5195401</v>
      </c>
      <c r="Q4298" s="20" t="s">
        <v>17625</v>
      </c>
      <c r="R4298" s="13" t="s">
        <v>52</v>
      </c>
      <c r="S4298" s="25" t="n">
        <v>38002</v>
      </c>
      <c r="T4298" s="13" t="s">
        <v>40</v>
      </c>
      <c r="U4298" s="13" t="s">
        <v>17626</v>
      </c>
      <c r="V4298" s="13" t="s">
        <v>42</v>
      </c>
      <c r="W4298" s="13" t="s">
        <v>43</v>
      </c>
      <c r="X4298" s="21" t="n">
        <v>89512089027</v>
      </c>
      <c r="Y4298" s="22" t="str">
        <f aca="false">O4298</f>
        <v>Emulsion</v>
      </c>
      <c r="Z4298" s="13" t="str">
        <f aca="false">IFERROR(__xludf.dummyfunction("if(BJ4298="""","""",GOOGLETRANSLATE(BJ4298,""auto"",""en""))"),"Emulsion")</f>
        <v>Emulsion</v>
      </c>
      <c r="AA4298" s="23" t="str">
        <f aca="false">IF(C4298="","", CHOOSE(MONTH(C4298),"January","February","March","April","May","June","July","August","September","October","November","December")&amp;" "&amp;DAY(C4298)&amp;MID("thstndrdth",MIN(9,2*RIGHT(DAY(C4298))*(MOD(DAY(C4298)-11,100)&gt;2)+1),2)&amp;","&amp;TEXT(C4298," yyyy"))</f>
        <v>October 7th,2026</v>
      </c>
      <c r="AB4298" s="15" t="str">
        <f aca="true">IF(S4298="","",DATEDIF(S4298,TODAY(),"Y")&amp;" Tahun, "&amp;DATEDIF(S4298,TODAY(),"YM")&amp;" Bulan, "&amp;DATEDIF(S4298,TODAY(),"MD")&amp;" Hari")</f>
        <v>22 Tahun, 9 Bulan, 13 Hari</v>
      </c>
      <c r="AC4298" s="14" t="n">
        <v>46302</v>
      </c>
      <c r="AD4298" s="18" t="n">
        <f aca="false">EDATE(AC4298,3)-1</f>
        <v>46393</v>
      </c>
      <c r="AE4298" s="13" t="s">
        <v>44</v>
      </c>
    </row>
    <row r="4299" customFormat="false" ht="15" hidden="false" customHeight="true" outlineLevel="0" collapsed="false">
      <c r="A4299" s="12" t="n">
        <v>22933</v>
      </c>
      <c r="B4299" s="13" t="s">
        <v>17627</v>
      </c>
      <c r="C4299" s="14" t="n">
        <v>46302</v>
      </c>
      <c r="D4299" s="13" t="s">
        <v>144</v>
      </c>
      <c r="E4299" s="13" t="s">
        <v>47</v>
      </c>
      <c r="F4299" s="24" t="s">
        <v>17628</v>
      </c>
      <c r="G4299" s="13" t="s">
        <v>1452</v>
      </c>
      <c r="H4299" s="13" t="s">
        <v>35</v>
      </c>
      <c r="I4299" s="13" t="str">
        <f aca="false">IF(C4299=J4299,"NEW KONTRAK","RE-KONTRAK")</f>
        <v>NEW KONTRAK</v>
      </c>
      <c r="J4299" s="16" t="n">
        <f aca="false" t="array" ref="J4299:J4299">IFERROR(INDEX(AC4299:AE4299,IF(COUNTA(AC4299:AE4299)=0,"",MAX((AC4299:AE4299&lt;&gt;"")*(COLUMN(AC4299:AE4299)-(COLUMN(AC4299)))))-1),"")</f>
        <v>46302</v>
      </c>
      <c r="K4299" s="16" t="n">
        <f aca="false" t="array" ref="K4299:K4299">IFERROR(INDEX(AC4299:AE4299,IF(COUNTA(AC4299:AE4299)=0,"",MAX((AC4299:AE4299&lt;&gt;"")*(COLUMN(AC4299:AE4299)-(COLUMN(AC4299)-1))))-1),"")</f>
        <v>46393</v>
      </c>
      <c r="L4299" s="17" t="str">
        <f aca="false" t="array" ref="L4299:L4299">IFERROR(INDEX(AC4299:AE4299,IF(COUNTA(AC4299:AE4299)=0,"",MAX((AC4299:AE4299&lt;&gt;"")*(COLUMN(AC4299:AE4299)-(COLUMN(AC4299)-2))))-1),"")</f>
        <v>ARCHIVED</v>
      </c>
      <c r="M4299" s="13" t="n">
        <f aca="true">K4299-TODAY()</f>
        <v>69</v>
      </c>
      <c r="N4299" s="18" t="s">
        <v>36</v>
      </c>
      <c r="O4299" s="13" t="s">
        <v>156</v>
      </c>
      <c r="P4299" s="26" t="n">
        <v>5195401</v>
      </c>
      <c r="Q4299" s="20" t="s">
        <v>17629</v>
      </c>
      <c r="R4299" s="13" t="s">
        <v>65</v>
      </c>
      <c r="S4299" s="25" t="n">
        <v>39447</v>
      </c>
      <c r="T4299" s="13" t="s">
        <v>40</v>
      </c>
      <c r="U4299" s="13" t="s">
        <v>17630</v>
      </c>
      <c r="V4299" s="13" t="s">
        <v>42</v>
      </c>
      <c r="W4299" s="13" t="s">
        <v>43</v>
      </c>
      <c r="X4299" s="21" t="n">
        <v>83131803058</v>
      </c>
      <c r="Y4299" s="22" t="str">
        <f aca="false">O4299</f>
        <v>Emulsion</v>
      </c>
      <c r="Z4299" s="13" t="str">
        <f aca="false">IFERROR(__xludf.dummyfunction("if(BJ4299="""","""",GOOGLETRANSLATE(BJ4299,""auto"",""en""))"),"Emulsion")</f>
        <v>Emulsion</v>
      </c>
      <c r="AA4299" s="23" t="str">
        <f aca="false">IF(C4299="","", CHOOSE(MONTH(C4299),"January","February","March","April","May","June","July","August","September","October","November","December")&amp;" "&amp;DAY(C4299)&amp;MID("thstndrdth",MIN(9,2*RIGHT(DAY(C4299))*(MOD(DAY(C4299)-11,100)&gt;2)+1),2)&amp;","&amp;TEXT(C4299," yyyy"))</f>
        <v>October 7th,2026</v>
      </c>
      <c r="AB4299" s="15" t="str">
        <f aca="true">IF(S4299="","",DATEDIF(S4299,TODAY(),"Y")&amp;" Tahun, "&amp;DATEDIF(S4299,TODAY(),"YM")&amp;" Bulan, "&amp;DATEDIF(S4299,TODAY(),"MD")&amp;" Hari")</f>
        <v>18 Tahun, 9 Bulan, 28 Hari</v>
      </c>
      <c r="AC4299" s="14" t="n">
        <v>46302</v>
      </c>
      <c r="AD4299" s="18" t="n">
        <f aca="false">EDATE(AC4299,3)-1</f>
        <v>46393</v>
      </c>
      <c r="AE4299" s="13" t="s">
        <v>44</v>
      </c>
    </row>
    <row r="4300" customFormat="false" ht="15" hidden="false" customHeight="true" outlineLevel="0" collapsed="false">
      <c r="A4300" s="12" t="n">
        <v>22934</v>
      </c>
      <c r="B4300" s="13" t="s">
        <v>8960</v>
      </c>
      <c r="C4300" s="14" t="n">
        <v>46302</v>
      </c>
      <c r="D4300" s="13" t="s">
        <v>144</v>
      </c>
      <c r="E4300" s="13" t="s">
        <v>47</v>
      </c>
      <c r="F4300" s="24" t="s">
        <v>17631</v>
      </c>
      <c r="G4300" s="13" t="s">
        <v>1452</v>
      </c>
      <c r="H4300" s="13" t="s">
        <v>35</v>
      </c>
      <c r="I4300" s="13" t="str">
        <f aca="false">IF(C4300=J4300,"NEW KONTRAK","RE-KONTRAK")</f>
        <v>NEW KONTRAK</v>
      </c>
      <c r="J4300" s="16" t="n">
        <f aca="false" t="array" ref="J4300:J4300">IFERROR(INDEX(AC4300:AE4300,IF(COUNTA(AC4300:AE4300)=0,"",MAX((AC4300:AE4300&lt;&gt;"")*(COLUMN(AC4300:AE4300)-(COLUMN(AC4300)))))-1),"")</f>
        <v>46302</v>
      </c>
      <c r="K4300" s="16" t="n">
        <f aca="false" t="array" ref="K4300:K4300">IFERROR(INDEX(AC4300:AE4300,IF(COUNTA(AC4300:AE4300)=0,"",MAX((AC4300:AE4300&lt;&gt;"")*(COLUMN(AC4300:AE4300)-(COLUMN(AC4300)-1))))-1),"")</f>
        <v>46393</v>
      </c>
      <c r="L4300" s="17" t="str">
        <f aca="false" t="array" ref="L4300:L4300">IFERROR(INDEX(AC4300:AE4300,IF(COUNTA(AC4300:AE4300)=0,"",MAX((AC4300:AE4300&lt;&gt;"")*(COLUMN(AC4300:AE4300)-(COLUMN(AC4300)-2))))-1),"")</f>
        <v>ARCHIVED</v>
      </c>
      <c r="M4300" s="13" t="n">
        <f aca="true">K4300-TODAY()</f>
        <v>69</v>
      </c>
      <c r="N4300" s="18" t="s">
        <v>36</v>
      </c>
      <c r="O4300" s="13" t="s">
        <v>146</v>
      </c>
      <c r="P4300" s="26" t="n">
        <v>5195401</v>
      </c>
      <c r="Q4300" s="20" t="s">
        <v>8962</v>
      </c>
      <c r="R4300" s="13" t="s">
        <v>65</v>
      </c>
      <c r="S4300" s="25" t="n">
        <v>35951</v>
      </c>
      <c r="T4300" s="13" t="s">
        <v>40</v>
      </c>
      <c r="U4300" s="13" t="s">
        <v>17632</v>
      </c>
      <c r="V4300" s="13" t="s">
        <v>42</v>
      </c>
      <c r="W4300" s="13" t="s">
        <v>54</v>
      </c>
      <c r="X4300" s="21" t="n">
        <v>83115772688</v>
      </c>
      <c r="Y4300" s="22" t="str">
        <f aca="false">O4300</f>
        <v>Enamel</v>
      </c>
      <c r="Z4300" s="13" t="str">
        <f aca="false">IFERROR(__xludf.dummyfunction("if(BJ4300="""","""",GOOGLETRANSLATE(BJ4300,""auto"",""en""))"),"Enamel")</f>
        <v>Enamel</v>
      </c>
      <c r="AA4300" s="23" t="str">
        <f aca="false">IF(C4300="","", CHOOSE(MONTH(C4300),"January","February","March","April","May","June","July","August","September","October","November","December")&amp;" "&amp;DAY(C4300)&amp;MID("thstndrdth",MIN(9,2*RIGHT(DAY(C4300))*(MOD(DAY(C4300)-11,100)&gt;2)+1),2)&amp;","&amp;TEXT(C4300," yyyy"))</f>
        <v>October 7th,2026</v>
      </c>
      <c r="AB4300" s="15" t="str">
        <f aca="true">IF(S4300="","",DATEDIF(S4300,TODAY(),"Y")&amp;" Tahun, "&amp;DATEDIF(S4300,TODAY(),"YM")&amp;" Bulan, "&amp;DATEDIF(S4300,TODAY(),"MD")&amp;" Hari")</f>
        <v>28 Tahun, 4 Bulan, 24 Hari</v>
      </c>
      <c r="AC4300" s="14" t="n">
        <v>46302</v>
      </c>
      <c r="AD4300" s="18" t="n">
        <f aca="false">EDATE(AC4300,3)-1</f>
        <v>46393</v>
      </c>
      <c r="AE4300" s="13" t="s">
        <v>44</v>
      </c>
    </row>
    <row r="4301" customFormat="false" ht="15" hidden="false" customHeight="true" outlineLevel="0" collapsed="false">
      <c r="A4301" s="12" t="n">
        <v>22935</v>
      </c>
      <c r="B4301" s="16" t="s">
        <v>17633</v>
      </c>
      <c r="C4301" s="14" t="n">
        <v>46309</v>
      </c>
      <c r="D4301" s="13" t="s">
        <v>7534</v>
      </c>
      <c r="E4301" s="13" t="s">
        <v>47</v>
      </c>
      <c r="F4301" s="24" t="s">
        <v>17634</v>
      </c>
      <c r="G4301" s="13" t="s">
        <v>1452</v>
      </c>
      <c r="H4301" s="13" t="s">
        <v>35</v>
      </c>
      <c r="I4301" s="13" t="str">
        <f aca="false">IF(C4301=J4301,"NEW KONTRAK","RE-KONTRAK")</f>
        <v>NEW KONTRAK</v>
      </c>
      <c r="J4301" s="16" t="n">
        <f aca="false" t="array" ref="J4301:J4301">IFERROR(INDEX(AC4301:AE4301,IF(COUNTA(AC4301:AE4301)=0,"",MAX((AC4301:AE4301&lt;&gt;"")*(COLUMN(AC4301:AE4301)-(COLUMN(AC4301)))))-1),"")</f>
        <v>46309</v>
      </c>
      <c r="K4301" s="16" t="n">
        <f aca="false" t="array" ref="K4301:K4301">IFERROR(INDEX(AC4301:AE4301,IF(COUNTA(AC4301:AE4301)=0,"",MAX((AC4301:AE4301&lt;&gt;"")*(COLUMN(AC4301:AE4301)-(COLUMN(AC4301)-1))))-1),"")</f>
        <v>46406</v>
      </c>
      <c r="L4301" s="17" t="str">
        <f aca="false" t="array" ref="L4301:L4301">IFERROR(INDEX(AC4301:AE4301,IF(COUNTA(AC4301:AE4301)=0,"",MAX((AC4301:AE4301&lt;&gt;"")*(COLUMN(AC4301:AE4301)-(COLUMN(AC4301)-2))))-1),"")</f>
        <v>ARCHIVED</v>
      </c>
      <c r="M4301" s="13" t="n">
        <f aca="true">K4301-TODAY()</f>
        <v>82</v>
      </c>
      <c r="N4301" s="18" t="s">
        <v>4735</v>
      </c>
      <c r="O4301" s="13" t="s">
        <v>7536</v>
      </c>
      <c r="P4301" s="26" t="n">
        <v>3500000</v>
      </c>
      <c r="Q4301" s="20" t="s">
        <v>17635</v>
      </c>
      <c r="R4301" s="13" t="s">
        <v>83</v>
      </c>
      <c r="S4301" s="25" t="n">
        <v>37798</v>
      </c>
      <c r="T4301" s="13" t="s">
        <v>108</v>
      </c>
      <c r="U4301" s="13" t="s">
        <v>17636</v>
      </c>
      <c r="V4301" s="13" t="s">
        <v>42</v>
      </c>
      <c r="W4301" s="13" t="s">
        <v>43</v>
      </c>
      <c r="X4301" s="21" t="n">
        <v>88991658346</v>
      </c>
      <c r="Y4301" s="22" t="str">
        <f aca="false">O4301</f>
        <v>Host Live</v>
      </c>
      <c r="Z4301" s="13" t="str">
        <f aca="false">IFERROR(__xludf.dummyfunction("if(BJ4301="""","""",GOOGLETRANSLATE(BJ4301,""auto"",""en""))"),"Host Live")</f>
        <v>Host Live</v>
      </c>
      <c r="AA4301" s="23" t="str">
        <f aca="false">IF(C4301="","", CHOOSE(MONTH(C4301),"January","February","March","April","May","June","July","August","September","October","November","December")&amp;" "&amp;DAY(C4301)&amp;MID("thstndrdth",MIN(9,2*RIGHT(DAY(C4301))*(MOD(DAY(C4301)-11,100)&gt;2)+1),2)&amp;","&amp;TEXT(C4301," yyyy"))</f>
        <v>October 14th,2026</v>
      </c>
      <c r="AB4301" s="15" t="str">
        <f aca="true">IF(S4301="","",DATEDIF(S4301,TODAY(),"Y")&amp;" Tahun, "&amp;DATEDIF(S4301,TODAY(),"YM")&amp;" Bulan, "&amp;DATEDIF(S4301,TODAY(),"MD")&amp;" Hari")</f>
        <v>23 Tahun, 4 Bulan, 3 Hari</v>
      </c>
      <c r="AC4301" s="14" t="n">
        <v>46309</v>
      </c>
      <c r="AD4301" s="18" t="n">
        <v>46406</v>
      </c>
      <c r="AE4301" s="13" t="s">
        <v>44</v>
      </c>
    </row>
    <row r="4302" customFormat="false" ht="15" hidden="false" customHeight="true" outlineLevel="0" collapsed="false">
      <c r="A4302" s="12" t="n">
        <v>22936</v>
      </c>
      <c r="B4302" s="16" t="s">
        <v>17637</v>
      </c>
      <c r="C4302" s="14" t="n">
        <v>46302</v>
      </c>
      <c r="D4302" s="13" t="s">
        <v>5526</v>
      </c>
      <c r="E4302" s="13" t="s">
        <v>47</v>
      </c>
      <c r="F4302" s="24" t="s">
        <v>17638</v>
      </c>
      <c r="G4302" s="13" t="s">
        <v>1452</v>
      </c>
      <c r="H4302" s="13" t="s">
        <v>35</v>
      </c>
      <c r="I4302" s="13" t="str">
        <f aca="false">IF(C4302=J4302,"NEW KONTRAK","RE-KONTRAK")</f>
        <v>NEW KONTRAK</v>
      </c>
      <c r="J4302" s="16" t="n">
        <f aca="false" t="array" ref="J4302:J4302">IFERROR(INDEX(AC4302:AE4302,IF(COUNTA(AC4302:AE4302)=0,"",MAX((AC4302:AE4302&lt;&gt;"")*(COLUMN(AC4302:AE4302)-(COLUMN(AC4302)))))-1),"")</f>
        <v>46302</v>
      </c>
      <c r="K4302" s="16" t="n">
        <f aca="false" t="array" ref="K4302:K4302">IFERROR(INDEX(AC4302:AE4302,IF(COUNTA(AC4302:AE4302)=0,"",MAX((AC4302:AE4302&lt;&gt;"")*(COLUMN(AC4302:AE4302)-(COLUMN(AC4302)-1))))-1),"")</f>
        <v>46366</v>
      </c>
      <c r="L4302" s="17" t="str">
        <f aca="false" t="array" ref="L4302:L4302">IFERROR(INDEX(AC4302:AE4302,IF(COUNTA(AC4302:AE4302)=0,"",MAX((AC4302:AE4302&lt;&gt;"")*(COLUMN(AC4302:AE4302)-(COLUMN(AC4302)-2))))-1),"")</f>
        <v>ARCHIVED</v>
      </c>
      <c r="M4302" s="13" t="n">
        <f aca="true">K4302-TODAY()</f>
        <v>42</v>
      </c>
      <c r="N4302" s="18" t="s">
        <v>615</v>
      </c>
      <c r="O4302" s="13" t="s">
        <v>50</v>
      </c>
      <c r="P4302" s="26" t="n">
        <v>5176101</v>
      </c>
      <c r="Q4302" s="20" t="s">
        <v>17639</v>
      </c>
      <c r="R4302" s="13" t="s">
        <v>227</v>
      </c>
      <c r="S4302" s="25" t="n">
        <v>36840</v>
      </c>
      <c r="T4302" s="13" t="s">
        <v>40</v>
      </c>
      <c r="U4302" s="13" t="s">
        <v>16635</v>
      </c>
      <c r="V4302" s="13" t="s">
        <v>42</v>
      </c>
      <c r="W4302" s="13" t="s">
        <v>43</v>
      </c>
      <c r="X4302" s="21" t="s">
        <v>17640</v>
      </c>
      <c r="Y4302" s="22" t="str">
        <f aca="false">O4302</f>
        <v>Driver</v>
      </c>
      <c r="Z4302" s="13" t="str">
        <f aca="false">IFERROR(__xludf.dummyfunction("if(BJ4302="""","""",GOOGLETRANSLATE(BJ4302,""auto"",""en""))"),"Driver")</f>
        <v>Driver</v>
      </c>
      <c r="AA4302" s="23" t="str">
        <f aca="false">IF(C4302="","", CHOOSE(MONTH(C4302),"January","February","March","April","May","June","July","August","September","October","November","December")&amp;" "&amp;DAY(C4302)&amp;MID("thstndrdth",MIN(9,2*RIGHT(DAY(C4302))*(MOD(DAY(C4302)-11,100)&gt;2)+1),2)&amp;","&amp;TEXT(C4302," yyyy"))</f>
        <v>October 7th,2026</v>
      </c>
      <c r="AB4302" s="15" t="str">
        <f aca="true">IF(S4302="","",DATEDIF(S4302,TODAY(),"Y")&amp;" Tahun, "&amp;DATEDIF(S4302,TODAY(),"YM")&amp;" Bulan, "&amp;DATEDIF(S4302,TODAY(),"MD")&amp;" Hari")</f>
        <v>25 Tahun, 11 Bulan, 19 Hari</v>
      </c>
      <c r="AC4302" s="14" t="n">
        <v>46302</v>
      </c>
      <c r="AD4302" s="18" t="n">
        <v>46366</v>
      </c>
      <c r="AE4302" s="13" t="s">
        <v>44</v>
      </c>
    </row>
    <row r="4303" customFormat="false" ht="15" hidden="false" customHeight="true" outlineLevel="0" collapsed="false">
      <c r="A4303" s="12" t="n">
        <v>22937</v>
      </c>
      <c r="B4303" s="16" t="s">
        <v>17641</v>
      </c>
      <c r="C4303" s="14" t="n">
        <v>46311</v>
      </c>
      <c r="D4303" s="13" t="s">
        <v>404</v>
      </c>
      <c r="E4303" s="13" t="s">
        <v>47</v>
      </c>
      <c r="F4303" s="24" t="s">
        <v>17642</v>
      </c>
      <c r="G4303" s="13" t="s">
        <v>1452</v>
      </c>
      <c r="H4303" s="13" t="s">
        <v>35</v>
      </c>
      <c r="I4303" s="13" t="str">
        <f aca="false">IF(C4303=J4303,"NEW KONTRAK","RE-KONTRAK")</f>
        <v>NEW KONTRAK</v>
      </c>
      <c r="J4303" s="16" t="n">
        <f aca="false" t="array" ref="J4303:J4303">IFERROR(INDEX(AC4303:AE4303,IF(COUNTA(AC4303:AE4303)=0,"",MAX((AC4303:AE4303&lt;&gt;"")*(COLUMN(AC4303:AE4303)-(COLUMN(AC4303)))))-1),"")</f>
        <v>46311</v>
      </c>
      <c r="K4303" s="16" t="n">
        <f aca="false" t="array" ref="K4303:K4303">IFERROR(INDEX(AC4303:AE4303,IF(COUNTA(AC4303:AE4303)=0,"",MAX((AC4303:AE4303&lt;&gt;"")*(COLUMN(AC4303:AE4303)-(COLUMN(AC4303)-1))))-1),"")</f>
        <v>46387</v>
      </c>
      <c r="L4303" s="17" t="str">
        <f aca="false" t="array" ref="L4303:L4303">IFERROR(INDEX(AC4303:AE4303,IF(COUNTA(AC4303:AE4303)=0,"",MAX((AC4303:AE4303&lt;&gt;"")*(COLUMN(AC4303:AE4303)-(COLUMN(AC4303)-2))))-1),"")</f>
        <v>KEMBALI</v>
      </c>
      <c r="M4303" s="13" t="n">
        <f aca="true">K4303-TODAY()</f>
        <v>63</v>
      </c>
      <c r="N4303" s="18" t="s">
        <v>36</v>
      </c>
      <c r="O4303" s="13" t="s">
        <v>17643</v>
      </c>
      <c r="P4303" s="26" t="n">
        <v>5195401</v>
      </c>
      <c r="Q4303" s="20" t="s">
        <v>17644</v>
      </c>
      <c r="R4303" s="13" t="s">
        <v>39</v>
      </c>
      <c r="S4303" s="25" t="n">
        <v>37617</v>
      </c>
      <c r="T4303" s="13" t="s">
        <v>108</v>
      </c>
      <c r="U4303" s="13" t="s">
        <v>17645</v>
      </c>
      <c r="V4303" s="13" t="s">
        <v>1216</v>
      </c>
      <c r="W4303" s="13" t="s">
        <v>43</v>
      </c>
      <c r="X4303" s="21" t="n">
        <v>89630564429</v>
      </c>
      <c r="Y4303" s="22" t="str">
        <f aca="false">O4303</f>
        <v>Admin HSE</v>
      </c>
      <c r="Z4303" s="13" t="str">
        <f aca="false">IFERROR(__xludf.dummyfunction("if(BJ4303="""","""",GOOGLETRANSLATE(BJ4303,""auto"",""en""))"),"Admin HSE")</f>
        <v>Admin HSE</v>
      </c>
      <c r="AA4303" s="23" t="str">
        <f aca="false">IF(C4303="","", CHOOSE(MONTH(C4303),"January","February","March","April","May","June","July","August","September","October","November","December")&amp;" "&amp;DAY(C4303)&amp;MID("thstndrdth",MIN(9,2*RIGHT(DAY(C4303))*(MOD(DAY(C4303)-11,100)&gt;2)+1),2)&amp;","&amp;TEXT(C4303," yyyy"))</f>
        <v>October 16th,2026</v>
      </c>
      <c r="AB4303" s="15" t="str">
        <f aca="true">IF(S4303="","",DATEDIF(S4303,TODAY(),"Y")&amp;" Tahun, "&amp;DATEDIF(S4303,TODAY(),"YM")&amp;" Bulan, "&amp;DATEDIF(S4303,TODAY(),"MD")&amp;" Hari")</f>
        <v>23 Tahun, 10 Bulan, 2 Hari</v>
      </c>
      <c r="AC4303" s="14" t="n">
        <v>46311</v>
      </c>
      <c r="AD4303" s="18" t="n">
        <v>46387</v>
      </c>
      <c r="AE4303" s="13" t="s">
        <v>397</v>
      </c>
    </row>
    <row r="4304" customFormat="false" ht="15" hidden="false" customHeight="true" outlineLevel="0" collapsed="false">
      <c r="A4304" s="12" t="n">
        <v>22938</v>
      </c>
      <c r="B4304" s="16" t="s">
        <v>17646</v>
      </c>
      <c r="C4304" s="14" t="n">
        <v>46307</v>
      </c>
      <c r="D4304" s="13" t="s">
        <v>144</v>
      </c>
      <c r="E4304" s="15" t="s">
        <v>102</v>
      </c>
      <c r="F4304" s="24" t="s">
        <v>17647</v>
      </c>
      <c r="G4304" s="13" t="s">
        <v>1452</v>
      </c>
      <c r="H4304" s="13" t="s">
        <v>35</v>
      </c>
      <c r="I4304" s="13" t="str">
        <f aca="false">IF(C4304=J4304,"NEW KONTRAK","RE-KONTRAK")</f>
        <v>NEW KONTRAK</v>
      </c>
      <c r="J4304" s="16" t="n">
        <f aca="false" t="array" ref="J4304:J4304">IFERROR(INDEX(AC4304:AE4304,IF(COUNTA(AC4304:AE4304)=0,"",MAX((AC4304:AE4304&lt;&gt;"")*(COLUMN(AC4304:AE4304)-(COLUMN(AC4304)))))-1),"")</f>
        <v>46307</v>
      </c>
      <c r="K4304" s="16" t="n">
        <f aca="false" t="array" ref="K4304:K4304">IFERROR(INDEX(AC4304:AE4304,IF(COUNTA(AC4304:AE4304)=0,"",MAX((AC4304:AE4304&lt;&gt;"")*(COLUMN(AC4304:AE4304)-(COLUMN(AC4304)-1))))-1),"")</f>
        <v>46398</v>
      </c>
      <c r="L4304" s="17" t="str">
        <f aca="false" t="array" ref="L4304:L4304">IFERROR(INDEX(AC4304:AE4304,IF(COUNTA(AC4304:AE4304)=0,"",MAX((AC4304:AE4304&lt;&gt;"")*(COLUMN(AC4304:AE4304)-(COLUMN(AC4304)-2))))-1),"")</f>
        <v>ARCHIVED</v>
      </c>
      <c r="M4304" s="13" t="n">
        <f aca="true">K4304-TODAY()</f>
        <v>74</v>
      </c>
      <c r="N4304" s="18" t="s">
        <v>36</v>
      </c>
      <c r="O4304" s="13" t="s">
        <v>156</v>
      </c>
      <c r="P4304" s="26" t="n">
        <v>5195401</v>
      </c>
      <c r="Q4304" s="20" t="s">
        <v>17648</v>
      </c>
      <c r="R4304" s="13" t="s">
        <v>65</v>
      </c>
      <c r="S4304" s="25" t="n">
        <v>36475</v>
      </c>
      <c r="T4304" s="13" t="s">
        <v>40</v>
      </c>
      <c r="U4304" s="13" t="s">
        <v>17649</v>
      </c>
      <c r="V4304" s="13" t="s">
        <v>42</v>
      </c>
      <c r="W4304" s="13" t="s">
        <v>43</v>
      </c>
      <c r="X4304" s="21" t="n">
        <v>83865439924</v>
      </c>
      <c r="Y4304" s="22" t="str">
        <f aca="false">O4304</f>
        <v>Emulsion</v>
      </c>
      <c r="Z4304" s="13" t="str">
        <f aca="false">IFERROR(__xludf.dummyfunction("if(BJ4304="""","""",GOOGLETRANSLATE(BJ4304,""auto"",""en""))"),"Emulsion")</f>
        <v>Emulsion</v>
      </c>
      <c r="AA4304" s="23" t="str">
        <f aca="false">IF(C4304="","", CHOOSE(MONTH(C4304),"January","February","March","April","May","June","July","August","September","October","November","December")&amp;" "&amp;DAY(C4304)&amp;MID("thstndrdth",MIN(9,2*RIGHT(DAY(C4304))*(MOD(DAY(C4304)-11,100)&gt;2)+1),2)&amp;","&amp;TEXT(C4304," yyyy"))</f>
        <v>October 12th,2026</v>
      </c>
      <c r="AB4304" s="15" t="str">
        <f aca="true">IF(S4304="","",DATEDIF(S4304,TODAY(),"Y")&amp;" Tahun, "&amp;DATEDIF(S4304,TODAY(),"YM")&amp;" Bulan, "&amp;DATEDIF(S4304,TODAY(),"MD")&amp;" Hari")</f>
        <v>26 Tahun, 11 Bulan, 18 Hari</v>
      </c>
      <c r="AC4304" s="14" t="n">
        <v>46307</v>
      </c>
      <c r="AD4304" s="18" t="n">
        <f aca="false">EDATE(AC4304,3)-1</f>
        <v>46398</v>
      </c>
      <c r="AE4304" s="13" t="s">
        <v>44</v>
      </c>
    </row>
    <row r="4305" customFormat="false" ht="15" hidden="false" customHeight="true" outlineLevel="0" collapsed="false">
      <c r="A4305" s="12" t="n">
        <v>22939</v>
      </c>
      <c r="B4305" s="16" t="s">
        <v>17650</v>
      </c>
      <c r="C4305" s="14" t="n">
        <v>46307</v>
      </c>
      <c r="D4305" s="13" t="s">
        <v>144</v>
      </c>
      <c r="E4305" s="13" t="s">
        <v>47</v>
      </c>
      <c r="F4305" s="24" t="s">
        <v>17651</v>
      </c>
      <c r="G4305" s="13" t="s">
        <v>1452</v>
      </c>
      <c r="H4305" s="13" t="s">
        <v>35</v>
      </c>
      <c r="I4305" s="13" t="str">
        <f aca="false">IF(C4305=J4305,"NEW KONTRAK","RE-KONTRAK")</f>
        <v>NEW KONTRAK</v>
      </c>
      <c r="J4305" s="16" t="n">
        <f aca="false" t="array" ref="J4305:J4305">IFERROR(INDEX(AC4305:AE4305,IF(COUNTA(AC4305:AE4305)=0,"",MAX((AC4305:AE4305&lt;&gt;"")*(COLUMN(AC4305:AE4305)-(COLUMN(AC4305)))))-1),"")</f>
        <v>46307</v>
      </c>
      <c r="K4305" s="16" t="n">
        <f aca="false" t="array" ref="K4305:K4305">IFERROR(INDEX(AC4305:AE4305,IF(COUNTA(AC4305:AE4305)=0,"",MAX((AC4305:AE4305&lt;&gt;"")*(COLUMN(AC4305:AE4305)-(COLUMN(AC4305)-1))))-1),"")</f>
        <v>46398</v>
      </c>
      <c r="L4305" s="17" t="str">
        <f aca="false" t="array" ref="L4305:L4305">IFERROR(INDEX(AC4305:AE4305,IF(COUNTA(AC4305:AE4305)=0,"",MAX((AC4305:AE4305&lt;&gt;"")*(COLUMN(AC4305:AE4305)-(COLUMN(AC4305)-2))))-1),"")</f>
        <v>KEMBALI</v>
      </c>
      <c r="M4305" s="13" t="n">
        <f aca="true">K4305-TODAY()</f>
        <v>74</v>
      </c>
      <c r="N4305" s="18" t="s">
        <v>36</v>
      </c>
      <c r="O4305" s="13" t="s">
        <v>156</v>
      </c>
      <c r="P4305" s="26" t="n">
        <v>5195401</v>
      </c>
      <c r="Q4305" s="20" t="s">
        <v>17652</v>
      </c>
      <c r="R4305" s="13" t="s">
        <v>4498</v>
      </c>
      <c r="S4305" s="25" t="n">
        <v>33593</v>
      </c>
      <c r="T4305" s="13" t="s">
        <v>40</v>
      </c>
      <c r="U4305" s="13" t="s">
        <v>17653</v>
      </c>
      <c r="V4305" s="13" t="s">
        <v>42</v>
      </c>
      <c r="W4305" s="13" t="s">
        <v>54</v>
      </c>
      <c r="X4305" s="21" t="n">
        <v>881027591394</v>
      </c>
      <c r="Y4305" s="22" t="str">
        <f aca="false">O4305</f>
        <v>Emulsion</v>
      </c>
      <c r="Z4305" s="13" t="str">
        <f aca="false">IFERROR(__xludf.dummyfunction("if(BJ4305="""","""",GOOGLETRANSLATE(BJ4305,""auto"",""en""))"),"Emulsion")</f>
        <v>Emulsion</v>
      </c>
      <c r="AA4305" s="23" t="str">
        <f aca="false">IF(C4305="","", CHOOSE(MONTH(C4305),"January","February","March","April","May","June","July","August","September","October","November","December")&amp;" "&amp;DAY(C4305)&amp;MID("thstndrdth",MIN(9,2*RIGHT(DAY(C4305))*(MOD(DAY(C4305)-11,100)&gt;2)+1),2)&amp;","&amp;TEXT(C4305," yyyy"))</f>
        <v>October 12th,2026</v>
      </c>
      <c r="AB4305" s="15" t="str">
        <f aca="true">IF(S4305="","",DATEDIF(S4305,TODAY(),"Y")&amp;" Tahun, "&amp;DATEDIF(S4305,TODAY(),"YM")&amp;" Bulan, "&amp;DATEDIF(S4305,TODAY(),"MD")&amp;" Hari")</f>
        <v>34 Tahun, 10 Bulan, 8 Hari</v>
      </c>
      <c r="AC4305" s="14" t="n">
        <v>46307</v>
      </c>
      <c r="AD4305" s="18" t="n">
        <f aca="false">EDATE(AC4305,3)-1</f>
        <v>46398</v>
      </c>
      <c r="AE4305" s="13" t="s">
        <v>397</v>
      </c>
    </row>
    <row r="4306" customFormat="false" ht="15" hidden="false" customHeight="true" outlineLevel="0" collapsed="false">
      <c r="A4306" s="12" t="n">
        <v>22940</v>
      </c>
      <c r="B4306" s="16" t="s">
        <v>17654</v>
      </c>
      <c r="C4306" s="14" t="n">
        <v>46307</v>
      </c>
      <c r="D4306" s="13" t="s">
        <v>144</v>
      </c>
      <c r="E4306" s="13" t="s">
        <v>47</v>
      </c>
      <c r="F4306" s="24" t="s">
        <v>17655</v>
      </c>
      <c r="G4306" s="13" t="s">
        <v>1452</v>
      </c>
      <c r="H4306" s="13" t="s">
        <v>35</v>
      </c>
      <c r="I4306" s="13" t="str">
        <f aca="false">IF(C4306=J4306,"NEW KONTRAK","RE-KONTRAK")</f>
        <v>NEW KONTRAK</v>
      </c>
      <c r="J4306" s="16" t="n">
        <f aca="false" t="array" ref="J4306:J4306">IFERROR(INDEX(AC4306:AE4306,IF(COUNTA(AC4306:AE4306)=0,"",MAX((AC4306:AE4306&lt;&gt;"")*(COLUMN(AC4306:AE4306)-(COLUMN(AC4306)))))-1),"")</f>
        <v>46307</v>
      </c>
      <c r="K4306" s="16" t="n">
        <f aca="false" t="array" ref="K4306:K4306">IFERROR(INDEX(AC4306:AE4306,IF(COUNTA(AC4306:AE4306)=0,"",MAX((AC4306:AE4306&lt;&gt;"")*(COLUMN(AC4306:AE4306)-(COLUMN(AC4306)-1))))-1),"")</f>
        <v>46398</v>
      </c>
      <c r="L4306" s="17" t="str">
        <f aca="false" t="array" ref="L4306:L4306">IFERROR(INDEX(AC4306:AE4306,IF(COUNTA(AC4306:AE4306)=0,"",MAX((AC4306:AE4306&lt;&gt;"")*(COLUMN(AC4306:AE4306)-(COLUMN(AC4306)-2))))-1),"")</f>
        <v>ARCHIVED</v>
      </c>
      <c r="M4306" s="13" t="n">
        <f aca="true">K4306-TODAY()</f>
        <v>74</v>
      </c>
      <c r="N4306" s="18" t="s">
        <v>36</v>
      </c>
      <c r="O4306" s="13" t="s">
        <v>156</v>
      </c>
      <c r="P4306" s="26" t="n">
        <v>5195401</v>
      </c>
      <c r="Q4306" s="20" t="s">
        <v>17656</v>
      </c>
      <c r="R4306" s="13" t="s">
        <v>65</v>
      </c>
      <c r="S4306" s="25" t="n">
        <v>37209</v>
      </c>
      <c r="T4306" s="13" t="s">
        <v>40</v>
      </c>
      <c r="U4306" s="13" t="s">
        <v>17657</v>
      </c>
      <c r="V4306" s="13" t="s">
        <v>42</v>
      </c>
      <c r="W4306" s="13" t="s">
        <v>43</v>
      </c>
      <c r="X4306" s="21" t="n">
        <v>81333686849</v>
      </c>
      <c r="Y4306" s="22" t="str">
        <f aca="false">O4306</f>
        <v>Emulsion</v>
      </c>
      <c r="Z4306" s="13" t="str">
        <f aca="false">IFERROR(__xludf.dummyfunction("if(BJ4306="""","""",GOOGLETRANSLATE(BJ4306,""auto"",""en""))"),"Emulsion")</f>
        <v>Emulsion</v>
      </c>
      <c r="AA4306" s="23" t="str">
        <f aca="false">IF(C4306="","", CHOOSE(MONTH(C4306),"January","February","March","April","May","June","July","August","September","October","November","December")&amp;" "&amp;DAY(C4306)&amp;MID("thstndrdth",MIN(9,2*RIGHT(DAY(C4306))*(MOD(DAY(C4306)-11,100)&gt;2)+1),2)&amp;","&amp;TEXT(C4306," yyyy"))</f>
        <v>October 12th,2026</v>
      </c>
      <c r="AB4306" s="15" t="str">
        <f aca="true">IF(S4306="","",DATEDIF(S4306,TODAY(),"Y")&amp;" Tahun, "&amp;DATEDIF(S4306,TODAY(),"YM")&amp;" Bulan, "&amp;DATEDIF(S4306,TODAY(),"MD")&amp;" Hari")</f>
        <v>24 Tahun, 11 Bulan, 15 Hari</v>
      </c>
      <c r="AC4306" s="14" t="n">
        <v>46307</v>
      </c>
      <c r="AD4306" s="18" t="n">
        <f aca="false">EDATE(AC4306,3)-1</f>
        <v>46398</v>
      </c>
      <c r="AE4306" s="13" t="s">
        <v>44</v>
      </c>
    </row>
    <row r="4307" customFormat="false" ht="15" hidden="false" customHeight="true" outlineLevel="0" collapsed="false">
      <c r="A4307" s="12" t="n">
        <v>22941</v>
      </c>
      <c r="B4307" s="16" t="s">
        <v>17658</v>
      </c>
      <c r="C4307" s="14" t="n">
        <v>46307</v>
      </c>
      <c r="D4307" s="13" t="s">
        <v>144</v>
      </c>
      <c r="E4307" s="13" t="s">
        <v>102</v>
      </c>
      <c r="F4307" s="24" t="s">
        <v>17659</v>
      </c>
      <c r="G4307" s="13" t="s">
        <v>1452</v>
      </c>
      <c r="H4307" s="13" t="s">
        <v>35</v>
      </c>
      <c r="I4307" s="13" t="str">
        <f aca="false">IF(C4307=J4307,"NEW KONTRAK","RE-KONTRAK")</f>
        <v>NEW KONTRAK</v>
      </c>
      <c r="J4307" s="16" t="n">
        <f aca="false" t="array" ref="J4307:J4307">IFERROR(INDEX(AC4307:AE4307,IF(COUNTA(AC4307:AE4307)=0,"",MAX((AC4307:AE4307&lt;&gt;"")*(COLUMN(AC4307:AE4307)-(COLUMN(AC4307)))))-1),"")</f>
        <v>46307</v>
      </c>
      <c r="K4307" s="16" t="n">
        <f aca="false" t="array" ref="K4307:K4307">IFERROR(INDEX(AC4307:AE4307,IF(COUNTA(AC4307:AE4307)=0,"",MAX((AC4307:AE4307&lt;&gt;"")*(COLUMN(AC4307:AE4307)-(COLUMN(AC4307)-1))))-1),"")</f>
        <v>46398</v>
      </c>
      <c r="L4307" s="17" t="str">
        <f aca="false" t="array" ref="L4307:L4307">IFERROR(INDEX(AC4307:AE4307,IF(COUNTA(AC4307:AE4307)=0,"",MAX((AC4307:AE4307&lt;&gt;"")*(COLUMN(AC4307:AE4307)-(COLUMN(AC4307)-2))))-1),"")</f>
        <v>KEMBALI ONLINE</v>
      </c>
      <c r="M4307" s="13" t="n">
        <f aca="true">K4307-TODAY()</f>
        <v>74</v>
      </c>
      <c r="N4307" s="18" t="s">
        <v>36</v>
      </c>
      <c r="O4307" s="13" t="s">
        <v>156</v>
      </c>
      <c r="P4307" s="26" t="n">
        <v>5195401</v>
      </c>
      <c r="Q4307" s="20" t="s">
        <v>17660</v>
      </c>
      <c r="R4307" s="13" t="s">
        <v>78</v>
      </c>
      <c r="S4307" s="25" t="n">
        <v>37180</v>
      </c>
      <c r="T4307" s="13" t="s">
        <v>40</v>
      </c>
      <c r="U4307" s="13" t="s">
        <v>17661</v>
      </c>
      <c r="V4307" s="13" t="s">
        <v>42</v>
      </c>
      <c r="W4307" s="13" t="s">
        <v>43</v>
      </c>
      <c r="X4307" s="21" t="n">
        <v>85745735708</v>
      </c>
      <c r="Y4307" s="22" t="str">
        <f aca="false">O4307</f>
        <v>Emulsion</v>
      </c>
      <c r="Z4307" s="13" t="str">
        <f aca="false">IFERROR(__xludf.dummyfunction("if(BJ4307="""","""",GOOGLETRANSLATE(BJ4307,""auto"",""en""))"),"Emulsion")</f>
        <v>Emulsion</v>
      </c>
      <c r="AA4307" s="23" t="str">
        <f aca="false">IF(C4307="","", CHOOSE(MONTH(C4307),"January","February","March","April","May","June","July","August","September","October","November","December")&amp;" "&amp;DAY(C4307)&amp;MID("thstndrdth",MIN(9,2*RIGHT(DAY(C4307))*(MOD(DAY(C4307)-11,100)&gt;2)+1),2)&amp;","&amp;TEXT(C4307," yyyy"))</f>
        <v>October 12th,2026</v>
      </c>
      <c r="AB4307" s="15" t="str">
        <f aca="true">IF(S4307="","",DATEDIF(S4307,TODAY(),"Y")&amp;" Tahun, "&amp;DATEDIF(S4307,TODAY(),"YM")&amp;" Bulan, "&amp;DATEDIF(S4307,TODAY(),"MD")&amp;" Hari")</f>
        <v>25 Tahun, 0 Bulan, 13 Hari</v>
      </c>
      <c r="AC4307" s="14" t="n">
        <v>46307</v>
      </c>
      <c r="AD4307" s="18" t="n">
        <f aca="false">EDATE(AC4307,3)-1</f>
        <v>46398</v>
      </c>
      <c r="AE4307" s="13" t="s">
        <v>2387</v>
      </c>
    </row>
    <row r="4308" customFormat="false" ht="15" hidden="false" customHeight="true" outlineLevel="0" collapsed="false">
      <c r="A4308" s="12" t="n">
        <v>22942</v>
      </c>
      <c r="B4308" s="16" t="s">
        <v>17662</v>
      </c>
      <c r="C4308" s="14" t="n">
        <v>46307</v>
      </c>
      <c r="D4308" s="13" t="s">
        <v>144</v>
      </c>
      <c r="E4308" s="13" t="s">
        <v>47</v>
      </c>
      <c r="F4308" s="24" t="s">
        <v>17663</v>
      </c>
      <c r="G4308" s="13" t="s">
        <v>1452</v>
      </c>
      <c r="H4308" s="13" t="s">
        <v>35</v>
      </c>
      <c r="I4308" s="13" t="str">
        <f aca="false">IF(C4308=J4308,"NEW KONTRAK","RE-KONTRAK")</f>
        <v>NEW KONTRAK</v>
      </c>
      <c r="J4308" s="16" t="n">
        <f aca="false" t="array" ref="J4308:J4308">IFERROR(INDEX(AC4308:AE4308,IF(COUNTA(AC4308:AE4308)=0,"",MAX((AC4308:AE4308&lt;&gt;"")*(COLUMN(AC4308:AE4308)-(COLUMN(AC4308)))))-1),"")</f>
        <v>46307</v>
      </c>
      <c r="K4308" s="16" t="n">
        <f aca="false" t="array" ref="K4308:K4308">IFERROR(INDEX(AC4308:AE4308,IF(COUNTA(AC4308:AE4308)=0,"",MAX((AC4308:AE4308&lt;&gt;"")*(COLUMN(AC4308:AE4308)-(COLUMN(AC4308)-1))))-1),"")</f>
        <v>46398</v>
      </c>
      <c r="L4308" s="17" t="str">
        <f aca="false" t="array" ref="L4308:L4308">IFERROR(INDEX(AC4308:AE4308,IF(COUNTA(AC4308:AE4308)=0,"",MAX((AC4308:AE4308&lt;&gt;"")*(COLUMN(AC4308:AE4308)-(COLUMN(AC4308)-2))))-1),"")</f>
        <v>ARCHIVED</v>
      </c>
      <c r="M4308" s="13" t="n">
        <f aca="true">K4308-TODAY()</f>
        <v>74</v>
      </c>
      <c r="N4308" s="18" t="s">
        <v>36</v>
      </c>
      <c r="O4308" s="13" t="s">
        <v>156</v>
      </c>
      <c r="P4308" s="26" t="n">
        <v>5195401</v>
      </c>
      <c r="Q4308" s="20" t="s">
        <v>17664</v>
      </c>
      <c r="R4308" s="13" t="s">
        <v>65</v>
      </c>
      <c r="S4308" s="25" t="n">
        <v>30938</v>
      </c>
      <c r="T4308" s="13" t="s">
        <v>40</v>
      </c>
      <c r="U4308" s="13" t="s">
        <v>17665</v>
      </c>
      <c r="V4308" s="13" t="s">
        <v>42</v>
      </c>
      <c r="W4308" s="13" t="s">
        <v>54</v>
      </c>
      <c r="X4308" s="21" t="n">
        <v>82131325925</v>
      </c>
      <c r="Y4308" s="22" t="str">
        <f aca="false">O4308</f>
        <v>Emulsion</v>
      </c>
      <c r="Z4308" s="13" t="str">
        <f aca="false">IFERROR(__xludf.dummyfunction("if(BJ4308="""","""",GOOGLETRANSLATE(BJ4308,""auto"",""en""))"),"Emulsion")</f>
        <v>Emulsion</v>
      </c>
      <c r="AA4308" s="23" t="str">
        <f aca="false">IF(C4308="","", CHOOSE(MONTH(C4308),"January","February","March","April","May","June","July","August","September","October","November","December")&amp;" "&amp;DAY(C4308)&amp;MID("thstndrdth",MIN(9,2*RIGHT(DAY(C4308))*(MOD(DAY(C4308)-11,100)&gt;2)+1),2)&amp;","&amp;TEXT(C4308," yyyy"))</f>
        <v>October 12th,2026</v>
      </c>
      <c r="AB4308" s="15" t="str">
        <f aca="true">IF(S4308="","",DATEDIF(S4308,TODAY(),"Y")&amp;" Tahun, "&amp;DATEDIF(S4308,TODAY(),"YM")&amp;" Bulan, "&amp;DATEDIF(S4308,TODAY(),"MD")&amp;" Hari")</f>
        <v>42 Tahun, 1 Bulan, 16 Hari</v>
      </c>
      <c r="AC4308" s="14" t="n">
        <v>46307</v>
      </c>
      <c r="AD4308" s="18" t="n">
        <f aca="false">EDATE(AC4308,3)-1</f>
        <v>46398</v>
      </c>
      <c r="AE4308" s="13" t="s">
        <v>44</v>
      </c>
    </row>
    <row r="4309" customFormat="false" ht="15" hidden="false" customHeight="true" outlineLevel="0" collapsed="false">
      <c r="A4309" s="12" t="n">
        <v>22943</v>
      </c>
      <c r="B4309" s="16" t="s">
        <v>17666</v>
      </c>
      <c r="C4309" s="14" t="n">
        <v>46307</v>
      </c>
      <c r="D4309" s="13" t="s">
        <v>144</v>
      </c>
      <c r="E4309" s="13" t="s">
        <v>47</v>
      </c>
      <c r="F4309" s="24" t="s">
        <v>17667</v>
      </c>
      <c r="G4309" s="13" t="s">
        <v>1452</v>
      </c>
      <c r="H4309" s="13" t="s">
        <v>35</v>
      </c>
      <c r="I4309" s="13" t="str">
        <f aca="false">IF(C4309=J4309,"NEW KONTRAK","RE-KONTRAK")</f>
        <v>NEW KONTRAK</v>
      </c>
      <c r="J4309" s="16" t="n">
        <f aca="false" t="array" ref="J4309:J4309">IFERROR(INDEX(AC4309:AE4309,IF(COUNTA(AC4309:AE4309)=0,"",MAX((AC4309:AE4309&lt;&gt;"")*(COLUMN(AC4309:AE4309)-(COLUMN(AC4309)))))-1),"")</f>
        <v>46307</v>
      </c>
      <c r="K4309" s="16" t="n">
        <f aca="false" t="array" ref="K4309:K4309">IFERROR(INDEX(AC4309:AE4309,IF(COUNTA(AC4309:AE4309)=0,"",MAX((AC4309:AE4309&lt;&gt;"")*(COLUMN(AC4309:AE4309)-(COLUMN(AC4309)-1))))-1),"")</f>
        <v>46398</v>
      </c>
      <c r="L4309" s="17" t="str">
        <f aca="false" t="array" ref="L4309:L4309">IFERROR(INDEX(AC4309:AE4309,IF(COUNTA(AC4309:AE4309)=0,"",MAX((AC4309:AE4309&lt;&gt;"")*(COLUMN(AC4309:AE4309)-(COLUMN(AC4309)-2))))-1),"")</f>
        <v>KEMBALI</v>
      </c>
      <c r="M4309" s="13" t="n">
        <f aca="true">K4309-TODAY()</f>
        <v>74</v>
      </c>
      <c r="N4309" s="18" t="s">
        <v>36</v>
      </c>
      <c r="O4309" s="13" t="s">
        <v>156</v>
      </c>
      <c r="P4309" s="26" t="n">
        <v>5195401</v>
      </c>
      <c r="Q4309" s="20" t="s">
        <v>17668</v>
      </c>
      <c r="R4309" s="13" t="s">
        <v>65</v>
      </c>
      <c r="S4309" s="25" t="n">
        <v>34818</v>
      </c>
      <c r="T4309" s="13" t="s">
        <v>40</v>
      </c>
      <c r="U4309" s="13" t="s">
        <v>17630</v>
      </c>
      <c r="V4309" s="13" t="s">
        <v>42</v>
      </c>
      <c r="W4309" s="13" t="s">
        <v>43</v>
      </c>
      <c r="X4309" s="21" t="n">
        <v>89529581610</v>
      </c>
      <c r="Y4309" s="22" t="str">
        <f aca="false">O4309</f>
        <v>Emulsion</v>
      </c>
      <c r="Z4309" s="13" t="str">
        <f aca="false">IFERROR(__xludf.dummyfunction("if(BJ4309="""","""",GOOGLETRANSLATE(BJ4309,""auto"",""en""))"),"Emulsion")</f>
        <v>Emulsion</v>
      </c>
      <c r="AA4309" s="23" t="str">
        <f aca="false">IF(C4309="","", CHOOSE(MONTH(C4309),"January","February","March","April","May","June","July","August","September","October","November","December")&amp;" "&amp;DAY(C4309)&amp;MID("thstndrdth",MIN(9,2*RIGHT(DAY(C4309))*(MOD(DAY(C4309)-11,100)&gt;2)+1),2)&amp;","&amp;TEXT(C4309," yyyy"))</f>
        <v>October 12th,2026</v>
      </c>
      <c r="AB4309" s="15" t="str">
        <f aca="true">IF(S4309="","",DATEDIF(S4309,TODAY(),"Y")&amp;" Tahun, "&amp;DATEDIF(S4309,TODAY(),"YM")&amp;" Bulan, "&amp;DATEDIF(S4309,TODAY(),"MD")&amp;" Hari")</f>
        <v>31 Tahun, 6 Bulan, 0 Hari</v>
      </c>
      <c r="AC4309" s="14" t="n">
        <v>46307</v>
      </c>
      <c r="AD4309" s="18" t="n">
        <f aca="false">EDATE(AC4309,3)-1</f>
        <v>46398</v>
      </c>
      <c r="AE4309" s="13" t="s">
        <v>397</v>
      </c>
    </row>
    <row r="4310" customFormat="false" ht="15" hidden="false" customHeight="true" outlineLevel="0" collapsed="false">
      <c r="A4310" s="12" t="n">
        <v>22944</v>
      </c>
      <c r="B4310" s="16" t="s">
        <v>17669</v>
      </c>
      <c r="C4310" s="14" t="n">
        <v>46308</v>
      </c>
      <c r="D4310" s="13" t="s">
        <v>11620</v>
      </c>
      <c r="E4310" s="13" t="s">
        <v>47</v>
      </c>
      <c r="F4310" s="24" t="s">
        <v>17670</v>
      </c>
      <c r="G4310" s="13" t="s">
        <v>1452</v>
      </c>
      <c r="H4310" s="13" t="s">
        <v>35</v>
      </c>
      <c r="I4310" s="13" t="str">
        <f aca="false">IF(C4310=J4310,"NEW KONTRAK","RE-KONTRAK")</f>
        <v>NEW KONTRAK</v>
      </c>
      <c r="J4310" s="16" t="n">
        <f aca="false" t="array" ref="J4310:J4310">IFERROR(INDEX(AC4310:AE4310,IF(COUNTA(AC4310:AE4310)=0,"",MAX((AC4310:AE4310&lt;&gt;"")*(COLUMN(AC4310:AE4310)-(COLUMN(AC4310)))))-1),"")</f>
        <v>46308</v>
      </c>
      <c r="K4310" s="16" t="n">
        <f aca="false" t="array" ref="K4310:K4310">IFERROR(INDEX(AC4310:AE4310,IF(COUNTA(AC4310:AE4310)=0,"",MAX((AC4310:AE4310&lt;&gt;"")*(COLUMN(AC4310:AE4310)-(COLUMN(AC4310)-1))))-1),"")</f>
        <v>46338</v>
      </c>
      <c r="L4310" s="17" t="str">
        <f aca="false" t="array" ref="L4310:L4310">IFERROR(INDEX(AC4310:AE4310,IF(COUNTA(AC4310:AE4310)=0,"",MAX((AC4310:AE4310&lt;&gt;"")*(COLUMN(AC4310:AE4310)-(COLUMN(AC4310)-2))))-1),"")</f>
        <v>KEMBALI</v>
      </c>
      <c r="M4310" s="13" t="n">
        <f aca="true">K4310-TODAY()</f>
        <v>14</v>
      </c>
      <c r="N4310" s="18" t="s">
        <v>36</v>
      </c>
      <c r="O4310" s="13" t="s">
        <v>17064</v>
      </c>
      <c r="P4310" s="26" t="n">
        <v>199823</v>
      </c>
      <c r="Q4310" s="20" t="s">
        <v>17671</v>
      </c>
      <c r="R4310" s="13" t="s">
        <v>52</v>
      </c>
      <c r="S4310" s="25" t="n">
        <v>33083</v>
      </c>
      <c r="T4310" s="13" t="s">
        <v>40</v>
      </c>
      <c r="U4310" s="13" t="s">
        <v>17672</v>
      </c>
      <c r="V4310" s="13" t="s">
        <v>42</v>
      </c>
      <c r="W4310" s="13" t="s">
        <v>54</v>
      </c>
      <c r="X4310" s="21" t="n">
        <v>85888856046</v>
      </c>
      <c r="Y4310" s="22" t="str">
        <f aca="false">O4310</f>
        <v>Operator Tubular</v>
      </c>
      <c r="Z4310" s="13" t="str">
        <f aca="false">IFERROR(__xludf.dummyfunction("if(BJ4310="""","""",GOOGLETRANSLATE(BJ4310,""auto"",""en""))"),"Operator Tubular")</f>
        <v>Operator Tubular</v>
      </c>
      <c r="AA4310" s="23" t="str">
        <f aca="false">IF(C4310="","", CHOOSE(MONTH(C4310),"January","February","March","April","May","June","July","August","September","October","November","December")&amp;" "&amp;DAY(C4310)&amp;MID("thstndrdth",MIN(9,2*RIGHT(DAY(C4310))*(MOD(DAY(C4310)-11,100)&gt;2)+1),2)&amp;","&amp;TEXT(C4310," yyyy"))</f>
        <v>October 13th,2026</v>
      </c>
      <c r="AB4310" s="15" t="str">
        <f aca="true">IF(S4310="","",DATEDIF(S4310,TODAY(),"Y")&amp;" Tahun, "&amp;DATEDIF(S4310,TODAY(),"YM")&amp;" Bulan, "&amp;DATEDIF(S4310,TODAY(),"MD")&amp;" Hari")</f>
        <v>36 Tahun, 3 Bulan, 0 Hari</v>
      </c>
      <c r="AC4310" s="14" t="n">
        <v>46308</v>
      </c>
      <c r="AD4310" s="18" t="n">
        <f aca="false">EDATE(AC4310,1)-1</f>
        <v>46338</v>
      </c>
      <c r="AE4310" s="13" t="s">
        <v>397</v>
      </c>
    </row>
    <row r="4311" customFormat="false" ht="15" hidden="false" customHeight="true" outlineLevel="0" collapsed="false">
      <c r="A4311" s="12" t="n">
        <v>22945</v>
      </c>
      <c r="B4311" s="16" t="s">
        <v>17673</v>
      </c>
      <c r="C4311" s="14" t="n">
        <v>46308</v>
      </c>
      <c r="D4311" s="13" t="s">
        <v>11620</v>
      </c>
      <c r="E4311" s="13" t="s">
        <v>47</v>
      </c>
      <c r="F4311" s="24" t="s">
        <v>17674</v>
      </c>
      <c r="G4311" s="13" t="s">
        <v>1452</v>
      </c>
      <c r="H4311" s="13" t="s">
        <v>35</v>
      </c>
      <c r="I4311" s="13" t="str">
        <f aca="false">IF(C4311=J4311,"NEW KONTRAK","RE-KONTRAK")</f>
        <v>NEW KONTRAK</v>
      </c>
      <c r="J4311" s="16" t="n">
        <f aca="false" t="array" ref="J4311:J4311">IFERROR(INDEX(AC4311:AE4311,IF(COUNTA(AC4311:AE4311)=0,"",MAX((AC4311:AE4311&lt;&gt;"")*(COLUMN(AC4311:AE4311)-(COLUMN(AC4311)))))-1),"")</f>
        <v>46308</v>
      </c>
      <c r="K4311" s="16" t="n">
        <f aca="false" t="array" ref="K4311:K4311">IFERROR(INDEX(AC4311:AE4311,IF(COUNTA(AC4311:AE4311)=0,"",MAX((AC4311:AE4311&lt;&gt;"")*(COLUMN(AC4311:AE4311)-(COLUMN(AC4311)-1))))-1),"")</f>
        <v>46338</v>
      </c>
      <c r="L4311" s="17" t="str">
        <f aca="false" t="array" ref="L4311:L4311">IFERROR(INDEX(AC4311:AE4311,IF(COUNTA(AC4311:AE4311)=0,"",MAX((AC4311:AE4311&lt;&gt;"")*(COLUMN(AC4311:AE4311)-(COLUMN(AC4311)-2))))-1),"")</f>
        <v>KEMBALI</v>
      </c>
      <c r="M4311" s="13" t="n">
        <f aca="true">K4311-TODAY()</f>
        <v>14</v>
      </c>
      <c r="N4311" s="18" t="s">
        <v>36</v>
      </c>
      <c r="O4311" s="13" t="s">
        <v>14151</v>
      </c>
      <c r="P4311" s="26" t="n">
        <v>199823</v>
      </c>
      <c r="Q4311" s="20" t="s">
        <v>17675</v>
      </c>
      <c r="R4311" s="13" t="s">
        <v>73</v>
      </c>
      <c r="S4311" s="25" t="n">
        <v>36048</v>
      </c>
      <c r="T4311" s="13" t="s">
        <v>40</v>
      </c>
      <c r="U4311" s="13" t="s">
        <v>17676</v>
      </c>
      <c r="V4311" s="13" t="s">
        <v>42</v>
      </c>
      <c r="W4311" s="13" t="s">
        <v>54</v>
      </c>
      <c r="X4311" s="21" t="n">
        <v>85730873242</v>
      </c>
      <c r="Y4311" s="22" t="str">
        <f aca="false">O4311</f>
        <v>Admin PPIC</v>
      </c>
      <c r="Z4311" s="13" t="str">
        <f aca="false">IFERROR(__xludf.dummyfunction("if(BJ4311="""","""",GOOGLETRANSLATE(BJ4311,""auto"",""en""))"),"PPIC Admin")</f>
        <v>PPIC Admin</v>
      </c>
      <c r="AA4311" s="23" t="str">
        <f aca="false">IF(C4311="","", CHOOSE(MONTH(C4311),"January","February","March","April","May","June","July","August","September","October","November","December")&amp;" "&amp;DAY(C4311)&amp;MID("thstndrdth",MIN(9,2*RIGHT(DAY(C4311))*(MOD(DAY(C4311)-11,100)&gt;2)+1),2)&amp;","&amp;TEXT(C4311," yyyy"))</f>
        <v>October 13th,2026</v>
      </c>
      <c r="AB4311" s="15" t="str">
        <f aca="true">IF(S4311="","",DATEDIF(S4311,TODAY(),"Y")&amp;" Tahun, "&amp;DATEDIF(S4311,TODAY(),"YM")&amp;" Bulan, "&amp;DATEDIF(S4311,TODAY(),"MD")&amp;" Hari")</f>
        <v>28 Tahun, 1 Bulan, 19 Hari</v>
      </c>
      <c r="AC4311" s="14" t="n">
        <v>46308</v>
      </c>
      <c r="AD4311" s="18" t="n">
        <f aca="false">EDATE(AC4311,1)-1</f>
        <v>46338</v>
      </c>
      <c r="AE4311" s="13" t="s">
        <v>397</v>
      </c>
    </row>
    <row r="4312" customFormat="false" ht="15" hidden="false" customHeight="true" outlineLevel="0" collapsed="false">
      <c r="A4312" s="12" t="n">
        <v>22946</v>
      </c>
      <c r="B4312" s="16" t="s">
        <v>17677</v>
      </c>
      <c r="C4312" s="14" t="n">
        <v>46314</v>
      </c>
      <c r="D4312" s="13" t="s">
        <v>9043</v>
      </c>
      <c r="E4312" s="13" t="s">
        <v>47</v>
      </c>
      <c r="F4312" s="24" t="s">
        <v>17678</v>
      </c>
      <c r="G4312" s="13" t="s">
        <v>1452</v>
      </c>
      <c r="H4312" s="13" t="s">
        <v>35</v>
      </c>
      <c r="I4312" s="13" t="str">
        <f aca="false">IF(C4312=J4312,"NEW KONTRAK","RE-KONTRAK")</f>
        <v>NEW KONTRAK</v>
      </c>
      <c r="J4312" s="16" t="n">
        <f aca="false" t="array" ref="J4312:J4312">IFERROR(INDEX(AC4312:AE4312,IF(COUNTA(AC4312:AE4312)=0,"",MAX((AC4312:AE4312&lt;&gt;"")*(COLUMN(AC4312:AE4312)-(COLUMN(AC4312)))))-1),"")</f>
        <v>46314</v>
      </c>
      <c r="K4312" s="16" t="n">
        <f aca="false" t="array" ref="K4312:K4312">IFERROR(INDEX(AC4312:AE4312,IF(COUNTA(AC4312:AE4312)=0,"",MAX((AC4312:AE4312&lt;&gt;"")*(COLUMN(AC4312:AE4312)-(COLUMN(AC4312)-1))))-1),"")</f>
        <v>46405</v>
      </c>
      <c r="L4312" s="17" t="str">
        <f aca="false" t="array" ref="L4312:L4312">IFERROR(INDEX(AC4312:AE4312,IF(COUNTA(AC4312:AE4312)=0,"",MAX((AC4312:AE4312&lt;&gt;"")*(COLUMN(AC4312:AE4312)-(COLUMN(AC4312)-2))))-1),"")</f>
        <v>KEMBALI</v>
      </c>
      <c r="M4312" s="13" t="n">
        <f aca="true">K4312-TODAY()</f>
        <v>81</v>
      </c>
      <c r="N4312" s="13" t="s">
        <v>105</v>
      </c>
      <c r="O4312" s="13" t="s">
        <v>6662</v>
      </c>
      <c r="P4312" s="26" t="n">
        <v>3944496</v>
      </c>
      <c r="Q4312" s="20" t="s">
        <v>17679</v>
      </c>
      <c r="R4312" s="13" t="s">
        <v>39</v>
      </c>
      <c r="S4312" s="25" t="n">
        <v>36409</v>
      </c>
      <c r="T4312" s="13" t="s">
        <v>108</v>
      </c>
      <c r="U4312" s="13" t="s">
        <v>17680</v>
      </c>
      <c r="V4312" s="13" t="s">
        <v>42</v>
      </c>
      <c r="W4312" s="13" t="s">
        <v>43</v>
      </c>
      <c r="X4312" s="21" t="n">
        <v>89654600695</v>
      </c>
      <c r="Y4312" s="22" t="str">
        <f aca="false">O4312</f>
        <v>Front Office</v>
      </c>
      <c r="Z4312" s="13" t="str">
        <f aca="false">IFERROR(__xludf.dummyfunction("if(BJ4312="""","""",GOOGLETRANSLATE(BJ4312,""auto"",""en""))"),"Front Office")</f>
        <v>Front Office</v>
      </c>
      <c r="AA4312" s="23" t="str">
        <f aca="false">IF(C4312="","", CHOOSE(MONTH(C4312),"January","February","March","April","May","June","July","August","September","October","November","December")&amp;" "&amp;DAY(C4312)&amp;MID("thstndrdth",MIN(9,2*RIGHT(DAY(C4312))*(MOD(DAY(C4312)-11,100)&gt;2)+1),2)&amp;","&amp;TEXT(C4312," yyyy"))</f>
        <v>October 19th,2026</v>
      </c>
      <c r="AB4312" s="15" t="str">
        <f aca="true">IF(S4312="","",DATEDIF(S4312,TODAY(),"Y")&amp;" Tahun, "&amp;DATEDIF(S4312,TODAY(),"YM")&amp;" Bulan, "&amp;DATEDIF(S4312,TODAY(),"MD")&amp;" Hari")</f>
        <v>27 Tahun, 1 Bulan, 23 Hari</v>
      </c>
      <c r="AC4312" s="14" t="n">
        <v>46314</v>
      </c>
      <c r="AD4312" s="18" t="n">
        <f aca="false">EDATE(AC4312,3)-1</f>
        <v>46405</v>
      </c>
      <c r="AE4312" s="13" t="s">
        <v>397</v>
      </c>
    </row>
    <row r="4313" customFormat="false" ht="15" hidden="false" customHeight="true" outlineLevel="0" collapsed="false">
      <c r="A4313" s="12" t="n">
        <v>22947</v>
      </c>
      <c r="B4313" s="13" t="s">
        <v>17681</v>
      </c>
      <c r="C4313" s="14" t="n">
        <v>46307</v>
      </c>
      <c r="D4313" s="13" t="s">
        <v>8980</v>
      </c>
      <c r="E4313" s="13" t="s">
        <v>47</v>
      </c>
      <c r="F4313" s="24" t="s">
        <v>17682</v>
      </c>
      <c r="G4313" s="13" t="s">
        <v>1127</v>
      </c>
      <c r="H4313" s="13" t="s">
        <v>35</v>
      </c>
      <c r="I4313" s="13" t="str">
        <f aca="false">IF(C4313=J4313,"NEW KONTRAK","RE-KONTRAK")</f>
        <v>NEW KONTRAK</v>
      </c>
      <c r="J4313" s="16" t="n">
        <f aca="false" t="array" ref="J4313:J4313">IFERROR(INDEX(AC4313:AE4313,IF(COUNTA(AC4313:AE4313)=0,"",MAX((AC4313:AE4313&lt;&gt;"")*(COLUMN(AC4313:AE4313)-(COLUMN(AC4313)))))-1),"")</f>
        <v>46307</v>
      </c>
      <c r="K4313" s="16" t="n">
        <f aca="false" t="array" ref="K4313:K4313">IFERROR(INDEX(AC4313:AE4313,IF(COUNTA(AC4313:AE4313)=0,"",MAX((AC4313:AE4313&lt;&gt;"")*(COLUMN(AC4313:AE4313)-(COLUMN(AC4313)-1))))-1),"")</f>
        <v>46398</v>
      </c>
      <c r="L4313" s="17" t="str">
        <f aca="false" t="array" ref="L4313:L4313">IFERROR(INDEX(AC4313:AE4313,IF(COUNTA(AC4313:AE4313)=0,"",MAX((AC4313:AE4313&lt;&gt;"")*(COLUMN(AC4313:AE4313)-(COLUMN(AC4313)-2))))-1),"")</f>
        <v>ARCHIVED</v>
      </c>
      <c r="M4313" s="13" t="n">
        <f aca="true">K4313-TODAY()</f>
        <v>74</v>
      </c>
      <c r="N4313" s="13" t="s">
        <v>8982</v>
      </c>
      <c r="O4313" s="13" t="s">
        <v>8983</v>
      </c>
      <c r="P4313" s="19" t="n">
        <v>2250000</v>
      </c>
      <c r="Q4313" s="20" t="s">
        <v>17683</v>
      </c>
      <c r="R4313" s="13" t="s">
        <v>826</v>
      </c>
      <c r="S4313" s="46" t="n">
        <v>39578</v>
      </c>
      <c r="T4313" s="13" t="s">
        <v>40</v>
      </c>
      <c r="U4313" s="13" t="s">
        <v>17684</v>
      </c>
      <c r="V4313" s="13" t="s">
        <v>42</v>
      </c>
      <c r="W4313" s="13" t="s">
        <v>43</v>
      </c>
      <c r="X4313" s="21" t="n">
        <v>85189857898</v>
      </c>
      <c r="Y4313" s="22" t="str">
        <f aca="false">O4313</f>
        <v>Operator SPBU</v>
      </c>
      <c r="Z4313" s="13" t="str">
        <f aca="false">IFERROR(__xludf.dummyfunction("if(BJ4313="""","""",GOOGLETRANSLATE(BJ4313,""auto"",""en""))"),"Gas Station Operator")</f>
        <v>Gas Station Operator</v>
      </c>
      <c r="AA4313" s="23" t="str">
        <f aca="false">IF(C4313="","", CHOOSE(MONTH(C4313),"January","February","March","April","May","June","July","August","September","October","November","December")&amp;" "&amp;DAY(C4313)&amp;MID("thstndrdth",MIN(9,2*RIGHT(DAY(C4313))*(MOD(DAY(C4313)-11,100)&gt;2)+1),2)&amp;","&amp;TEXT(C4313," yyyy"))</f>
        <v>October 12th,2026</v>
      </c>
      <c r="AB4313" s="15" t="str">
        <f aca="true">IF(S4313="","",DATEDIF(S4313,TODAY(),"Y")&amp;" Tahun, "&amp;DATEDIF(S4313,TODAY(),"YM")&amp;" Bulan, "&amp;DATEDIF(S4313,TODAY(),"MD")&amp;" Hari")</f>
        <v>18 Tahun, 5 Bulan, 19 Hari</v>
      </c>
      <c r="AC4313" s="14" t="n">
        <v>46307</v>
      </c>
      <c r="AD4313" s="18" t="n">
        <f aca="false">EDATE(AC4313,3)-1</f>
        <v>46398</v>
      </c>
      <c r="AE4313" s="13" t="s">
        <v>44</v>
      </c>
    </row>
    <row r="4314" customFormat="false" ht="15" hidden="false" customHeight="true" outlineLevel="0" collapsed="false">
      <c r="A4314" s="12" t="n">
        <v>22948</v>
      </c>
      <c r="B4314" s="13" t="s">
        <v>17685</v>
      </c>
      <c r="C4314" s="14" t="n">
        <v>46300</v>
      </c>
      <c r="D4314" s="13" t="s">
        <v>5892</v>
      </c>
      <c r="E4314" s="13" t="s">
        <v>47</v>
      </c>
      <c r="F4314" s="24" t="s">
        <v>17686</v>
      </c>
      <c r="G4314" s="13" t="s">
        <v>1127</v>
      </c>
      <c r="H4314" s="13" t="s">
        <v>35</v>
      </c>
      <c r="I4314" s="13" t="str">
        <f aca="false">IF(C4314=J4314,"NEW KONTRAK","RE-KONTRAK")</f>
        <v>NEW KONTRAK</v>
      </c>
      <c r="J4314" s="16" t="n">
        <f aca="false" t="array" ref="J4314:J4314">IFERROR(INDEX(AC4314:AE4314,IF(COUNTA(AC4314:AE4314)=0,"",MAX((AC4314:AE4314&lt;&gt;"")*(COLUMN(AC4314:AE4314)-(COLUMN(AC4314)))))-1),"")</f>
        <v>46300</v>
      </c>
      <c r="K4314" s="16" t="n">
        <f aca="false" t="array" ref="K4314:K4314">IFERROR(INDEX(AC4314:AE4314,IF(COUNTA(AC4314:AE4314)=0,"",MAX((AC4314:AE4314&lt;&gt;"")*(COLUMN(AC4314:AE4314)-(COLUMN(AC4314)-1))))-1),"")</f>
        <v>46391</v>
      </c>
      <c r="L4314" s="17" t="str">
        <f aca="false" t="array" ref="L4314:L4314">IFERROR(INDEX(AC4314:AE4314,IF(COUNTA(AC4314:AE4314)=0,"",MAX((AC4314:AE4314&lt;&gt;"")*(COLUMN(AC4314:AE4314)-(COLUMN(AC4314)-2))))-1),"")</f>
        <v>SENDED</v>
      </c>
      <c r="M4314" s="13" t="n">
        <f aca="true">K4314-TODAY()</f>
        <v>67</v>
      </c>
      <c r="N4314" s="13" t="s">
        <v>105</v>
      </c>
      <c r="O4314" s="13" t="s">
        <v>15469</v>
      </c>
      <c r="P4314" s="26" t="n">
        <v>3100000</v>
      </c>
      <c r="Q4314" s="20" t="s">
        <v>17687</v>
      </c>
      <c r="R4314" s="13" t="s">
        <v>39</v>
      </c>
      <c r="S4314" s="46" t="n">
        <v>34096</v>
      </c>
      <c r="T4314" s="13" t="s">
        <v>40</v>
      </c>
      <c r="U4314" s="13" t="s">
        <v>17688</v>
      </c>
      <c r="V4314" s="13" t="s">
        <v>42</v>
      </c>
      <c r="W4314" s="13" t="s">
        <v>54</v>
      </c>
      <c r="X4314" s="21" t="n">
        <v>81334647212</v>
      </c>
      <c r="Y4314" s="22" t="str">
        <f aca="false">O4314</f>
        <v>Admin Checker Gudang</v>
      </c>
      <c r="Z4314" s="13" t="str">
        <f aca="false">IFERROR(__xludf.dummyfunction("if(BJ4314="""","""",GOOGLETRANSLATE(BJ4314,""auto"",""en""))"),"Warehouse Checker Admin")</f>
        <v>Warehouse Checker Admin</v>
      </c>
      <c r="AA4314" s="23" t="str">
        <f aca="false">IF(C4314="","", CHOOSE(MONTH(C4314),"January","February","March","April","May","June","July","August","September","October","November","December")&amp;" "&amp;DAY(C4314)&amp;MID("thstndrdth",MIN(9,2*RIGHT(DAY(C4314))*(MOD(DAY(C4314)-11,100)&gt;2)+1),2)&amp;","&amp;TEXT(C4314," yyyy"))</f>
        <v>October 5th,2026</v>
      </c>
      <c r="AB4314" s="15" t="str">
        <f aca="true">IF(S4314="","",DATEDIF(S4314,TODAY(),"Y")&amp;" Tahun, "&amp;DATEDIF(S4314,TODAY(),"YM")&amp;" Bulan, "&amp;DATEDIF(S4314,TODAY(),"MD")&amp;" Hari")</f>
        <v>33 Tahun, 5 Bulan, 22 Hari</v>
      </c>
      <c r="AC4314" s="14" t="n">
        <v>46300</v>
      </c>
      <c r="AD4314" s="18" t="n">
        <f aca="false">EDATE(AC4314,3)-1</f>
        <v>46391</v>
      </c>
      <c r="AE4314" s="13" t="s">
        <v>17689</v>
      </c>
    </row>
    <row r="4315" customFormat="false" ht="15" hidden="false" customHeight="true" outlineLevel="0" collapsed="false">
      <c r="A4315" s="12" t="n">
        <v>22950</v>
      </c>
      <c r="B4315" s="13" t="s">
        <v>17690</v>
      </c>
      <c r="C4315" s="14" t="n">
        <v>46310</v>
      </c>
      <c r="D4315" s="13" t="s">
        <v>144</v>
      </c>
      <c r="E4315" s="13" t="s">
        <v>47</v>
      </c>
      <c r="F4315" s="24" t="s">
        <v>17691</v>
      </c>
      <c r="G4315" s="13" t="s">
        <v>1127</v>
      </c>
      <c r="H4315" s="13" t="s">
        <v>35</v>
      </c>
      <c r="I4315" s="13" t="str">
        <f aca="false">IF(C4315=J4315,"NEW KONTRAK","RE-KONTRAK")</f>
        <v>NEW KONTRAK</v>
      </c>
      <c r="J4315" s="16" t="n">
        <f aca="false" t="array" ref="J4315:J4315">IFERROR(INDEX(AC4315:AE4315,IF(COUNTA(AC4315:AE4315)=0,"",MAX((AC4315:AE4315&lt;&gt;"")*(COLUMN(AC4315:AE4315)-(COLUMN(AC4315)))))-1),"")</f>
        <v>46310</v>
      </c>
      <c r="K4315" s="16" t="n">
        <f aca="false" t="array" ref="K4315:K4315">IFERROR(INDEX(AC4315:AE4315,IF(COUNTA(AC4315:AE4315)=0,"",MAX((AC4315:AE4315&lt;&gt;"")*(COLUMN(AC4315:AE4315)-(COLUMN(AC4315)-1))))-1),"")</f>
        <v>46401</v>
      </c>
      <c r="L4315" s="17" t="str">
        <f aca="false" t="array" ref="L4315:L4315">IFERROR(INDEX(AC4315:AE4315,IF(COUNTA(AC4315:AE4315)=0,"",MAX((AC4315:AE4315&lt;&gt;"")*(COLUMN(AC4315:AE4315)-(COLUMN(AC4315)-2))))-1),"")</f>
        <v>PRINTED</v>
      </c>
      <c r="M4315" s="13" t="n">
        <f aca="true">K4315-TODAY()</f>
        <v>77</v>
      </c>
      <c r="N4315" s="18" t="s">
        <v>36</v>
      </c>
      <c r="O4315" s="13" t="s">
        <v>146</v>
      </c>
      <c r="P4315" s="26" t="n">
        <v>5195401</v>
      </c>
      <c r="Q4315" s="20" t="s">
        <v>17692</v>
      </c>
      <c r="R4315" s="13" t="s">
        <v>65</v>
      </c>
      <c r="S4315" s="25" t="n">
        <v>38874</v>
      </c>
      <c r="T4315" s="13" t="s">
        <v>40</v>
      </c>
      <c r="U4315" s="13" t="s">
        <v>17693</v>
      </c>
      <c r="V4315" s="13" t="s">
        <v>42</v>
      </c>
      <c r="W4315" s="13" t="s">
        <v>43</v>
      </c>
      <c r="X4315" s="21" t="n">
        <v>81331708737</v>
      </c>
      <c r="Y4315" s="22" t="str">
        <f aca="false">O4315</f>
        <v>Enamel</v>
      </c>
      <c r="Z4315" s="13" t="str">
        <f aca="false">IFERROR(__xludf.dummyfunction("if(BJ4315="""","""",GOOGLETRANSLATE(BJ4315,""auto"",""en""))"),"Enamel")</f>
        <v>Enamel</v>
      </c>
      <c r="AA4315" s="23" t="str">
        <f aca="false">IF(C4315="","", CHOOSE(MONTH(C4315),"January","February","March","April","May","June","July","August","September","October","November","December")&amp;" "&amp;DAY(C4315)&amp;MID("thstndrdth",MIN(9,2*RIGHT(DAY(C4315))*(MOD(DAY(C4315)-11,100)&gt;2)+1),2)&amp;","&amp;TEXT(C4315," yyyy"))</f>
        <v>October 15th,2026</v>
      </c>
      <c r="AB4315" s="15" t="str">
        <f aca="true">IF(S4315="","",DATEDIF(S4315,TODAY(),"Y")&amp;" Tahun, "&amp;DATEDIF(S4315,TODAY(),"YM")&amp;" Bulan, "&amp;DATEDIF(S4315,TODAY(),"MD")&amp;" Hari")</f>
        <v>20 Tahun, 4 Bulan, 23 Hari</v>
      </c>
      <c r="AC4315" s="14" t="n">
        <v>46310</v>
      </c>
      <c r="AD4315" s="18" t="n">
        <f aca="false">EDATE(AC4315,3)-1</f>
        <v>46401</v>
      </c>
      <c r="AE4315" s="13" t="s">
        <v>1752</v>
      </c>
    </row>
    <row r="4316" customFormat="false" ht="15" hidden="false" customHeight="true" outlineLevel="0" collapsed="false">
      <c r="A4316" s="12" t="n">
        <v>22951</v>
      </c>
      <c r="B4316" s="13" t="s">
        <v>17694</v>
      </c>
      <c r="C4316" s="14" t="n">
        <v>46310</v>
      </c>
      <c r="D4316" s="13" t="s">
        <v>144</v>
      </c>
      <c r="E4316" s="13" t="s">
        <v>47</v>
      </c>
      <c r="F4316" s="24" t="s">
        <v>17695</v>
      </c>
      <c r="G4316" s="13" t="s">
        <v>1127</v>
      </c>
      <c r="H4316" s="13" t="s">
        <v>35</v>
      </c>
      <c r="I4316" s="13" t="str">
        <f aca="false">IF(C4316=J4316,"NEW KONTRAK","RE-KONTRAK")</f>
        <v>NEW KONTRAK</v>
      </c>
      <c r="J4316" s="16" t="n">
        <f aca="false" t="array" ref="J4316:J4316">IFERROR(INDEX(AC4316:AE4316,IF(COUNTA(AC4316:AE4316)=0,"",MAX((AC4316:AE4316&lt;&gt;"")*(COLUMN(AC4316:AE4316)-(COLUMN(AC4316)))))-1),"")</f>
        <v>46310</v>
      </c>
      <c r="K4316" s="16" t="n">
        <f aca="false" t="array" ref="K4316:K4316">IFERROR(INDEX(AC4316:AE4316,IF(COUNTA(AC4316:AE4316)=0,"",MAX((AC4316:AE4316&lt;&gt;"")*(COLUMN(AC4316:AE4316)-(COLUMN(AC4316)-1))))-1),"")</f>
        <v>46401</v>
      </c>
      <c r="L4316" s="17" t="str">
        <f aca="false" t="array" ref="L4316:L4316">IFERROR(INDEX(AC4316:AE4316,IF(COUNTA(AC4316:AE4316)=0,"",MAX((AC4316:AE4316&lt;&gt;"")*(COLUMN(AC4316:AE4316)-(COLUMN(AC4316)-2))))-1),"")</f>
        <v>PRINTED</v>
      </c>
      <c r="M4316" s="13" t="n">
        <f aca="true">K4316-TODAY()</f>
        <v>77</v>
      </c>
      <c r="N4316" s="18" t="s">
        <v>36</v>
      </c>
      <c r="O4316" s="13" t="s">
        <v>146</v>
      </c>
      <c r="P4316" s="26" t="n">
        <v>5195401</v>
      </c>
      <c r="Q4316" s="20" t="s">
        <v>17696</v>
      </c>
      <c r="R4316" s="13" t="s">
        <v>65</v>
      </c>
      <c r="S4316" s="25" t="n">
        <v>36632</v>
      </c>
      <c r="T4316" s="13" t="s">
        <v>40</v>
      </c>
      <c r="U4316" s="13" t="s">
        <v>17697</v>
      </c>
      <c r="V4316" s="13" t="s">
        <v>42</v>
      </c>
      <c r="W4316" s="13" t="s">
        <v>43</v>
      </c>
      <c r="X4316" s="21" t="n">
        <v>82313727545</v>
      </c>
      <c r="Y4316" s="22" t="str">
        <f aca="false">O4316</f>
        <v>Enamel</v>
      </c>
      <c r="Z4316" s="13" t="str">
        <f aca="false">IFERROR(__xludf.dummyfunction("if(BJ4316="""","""",GOOGLETRANSLATE(BJ4316,""auto"",""en""))"),"Enamel")</f>
        <v>Enamel</v>
      </c>
      <c r="AA4316" s="23" t="str">
        <f aca="false">IF(C4316="","", CHOOSE(MONTH(C4316),"January","February","March","April","May","June","July","August","September","October","November","December")&amp;" "&amp;DAY(C4316)&amp;MID("thstndrdth",MIN(9,2*RIGHT(DAY(C4316))*(MOD(DAY(C4316)-11,100)&gt;2)+1),2)&amp;","&amp;TEXT(C4316," yyyy"))</f>
        <v>October 15th,2026</v>
      </c>
      <c r="AB4316" s="15" t="str">
        <f aca="true">IF(S4316="","",DATEDIF(S4316,TODAY(),"Y")&amp;" Tahun, "&amp;DATEDIF(S4316,TODAY(),"YM")&amp;" Bulan, "&amp;DATEDIF(S4316,TODAY(),"MD")&amp;" Hari")</f>
        <v>26 Tahun, 6 Bulan, 13 Hari</v>
      </c>
      <c r="AC4316" s="14" t="n">
        <v>46310</v>
      </c>
      <c r="AD4316" s="18" t="n">
        <f aca="false">EDATE(AC4316,3)-1</f>
        <v>46401</v>
      </c>
      <c r="AE4316" s="13" t="s">
        <v>1752</v>
      </c>
    </row>
    <row r="4317" customFormat="false" ht="15" hidden="false" customHeight="true" outlineLevel="0" collapsed="false">
      <c r="A4317" s="12" t="n">
        <v>22952</v>
      </c>
      <c r="B4317" s="13" t="s">
        <v>17698</v>
      </c>
      <c r="C4317" s="14" t="n">
        <v>46302</v>
      </c>
      <c r="D4317" s="13" t="s">
        <v>14892</v>
      </c>
      <c r="E4317" s="13" t="s">
        <v>47</v>
      </c>
      <c r="F4317" s="24" t="s">
        <v>17699</v>
      </c>
      <c r="G4317" s="13" t="s">
        <v>57</v>
      </c>
      <c r="H4317" s="13" t="s">
        <v>3024</v>
      </c>
      <c r="I4317" s="13" t="str">
        <f aca="false">IF(C4317=J4317,"NEW KONTRAK","RE-KONTRAK")</f>
        <v>NEW KONTRAK</v>
      </c>
      <c r="J4317" s="16" t="n">
        <f aca="false" t="array" ref="J4317:J4317">IFERROR(INDEX(AC4317:AE4317,IF(COUNTA(AC4317:AE4317)=0,"",MAX((AC4317:AE4317&lt;&gt;"")*(COLUMN(AC4317:AE4317)-(COLUMN(AC4317)))))-1),"")</f>
        <v>46302</v>
      </c>
      <c r="K4317" s="16" t="n">
        <f aca="false" t="array" ref="K4317:K4317">IFERROR(INDEX(AC4317:AE4317,IF(COUNTA(AC4317:AE4317)=0,"",MAX((AC4317:AE4317&lt;&gt;"")*(COLUMN(AC4317:AE4317)-(COLUMN(AC4317)-1))))-1),"")</f>
        <v>46362</v>
      </c>
      <c r="L4317" s="17" t="str">
        <f aca="false" t="array" ref="L4317:L4317">IFERROR(INDEX(AC4317:AE4317,IF(COUNTA(AC4317:AE4317)=0,"",MAX((AC4317:AE4317&lt;&gt;"")*(COLUMN(AC4317:AE4317)-(COLUMN(AC4317)-2))))-1),"")</f>
        <v>DRAFTED</v>
      </c>
      <c r="M4317" s="13" t="n">
        <f aca="true">K4317-TODAY()</f>
        <v>38</v>
      </c>
      <c r="N4317" s="18" t="s">
        <v>615</v>
      </c>
      <c r="O4317" s="13" t="s">
        <v>14894</v>
      </c>
      <c r="P4317" s="134" t="n">
        <v>5176101</v>
      </c>
      <c r="Q4317" s="20" t="s">
        <v>17700</v>
      </c>
      <c r="R4317" s="13" t="s">
        <v>232</v>
      </c>
      <c r="S4317" s="25" t="n">
        <v>30519</v>
      </c>
      <c r="T4317" s="13" t="s">
        <v>40</v>
      </c>
      <c r="U4317" s="13" t="s">
        <v>17701</v>
      </c>
      <c r="V4317" s="13" t="s">
        <v>42</v>
      </c>
      <c r="W4317" s="13" t="s">
        <v>54</v>
      </c>
      <c r="X4317" s="21" t="n">
        <v>85784388369</v>
      </c>
      <c r="Y4317" s="22" t="str">
        <f aca="false">O4317</f>
        <v>Reliver Bongkar Muat</v>
      </c>
      <c r="Z4317" s="13" t="str">
        <f aca="false">IFERROR(__xludf.dummyfunction("if(BJ4317="""","""",GOOGLETRANSLATE(BJ4317,""auto"",""en""))"),"Unloading Reliver")</f>
        <v>Unloading Reliver</v>
      </c>
      <c r="AA4317" s="23" t="str">
        <f aca="false">IF(C4317="","", CHOOSE(MONTH(C4317),"January","February","March","April","May","June","July","August","September","October","November","December")&amp;" "&amp;DAY(C4317)&amp;MID("thstndrdth",MIN(9,2*RIGHT(DAY(C4317))*(MOD(DAY(C4317)-11,100)&gt;2)+1),2)&amp;","&amp;TEXT(C4317," yyyy"))</f>
        <v>October 7th,2026</v>
      </c>
      <c r="AB4317" s="15" t="str">
        <f aca="true">IF(S4317="","",DATEDIF(S4317,TODAY(),"Y")&amp;" Tahun, "&amp;DATEDIF(S4317,TODAY(),"YM")&amp;" Bulan, "&amp;DATEDIF(S4317,TODAY(),"MD")&amp;" Hari")</f>
        <v>43 Tahun, 3 Bulan, 7 Hari</v>
      </c>
      <c r="AC4317" s="14" t="n">
        <v>46302</v>
      </c>
      <c r="AD4317" s="18" t="n">
        <f aca="false">EDATE(AC4317,2)-1</f>
        <v>46362</v>
      </c>
      <c r="AE4317" s="13" t="s">
        <v>4022</v>
      </c>
    </row>
    <row r="4318" customFormat="false" ht="15" hidden="false" customHeight="true" outlineLevel="0" collapsed="false">
      <c r="A4318" s="12" t="n">
        <v>22953</v>
      </c>
      <c r="B4318" s="13" t="s">
        <v>17702</v>
      </c>
      <c r="C4318" s="14" t="n">
        <v>46311</v>
      </c>
      <c r="D4318" s="13" t="s">
        <v>15133</v>
      </c>
      <c r="E4318" s="13" t="s">
        <v>14439</v>
      </c>
      <c r="F4318" s="24" t="s">
        <v>17703</v>
      </c>
      <c r="G4318" s="13" t="s">
        <v>1127</v>
      </c>
      <c r="H4318" s="13" t="s">
        <v>35</v>
      </c>
      <c r="I4318" s="13" t="str">
        <f aca="false">IF(C4318=J4318,"NEW KONTRAK","RE-KONTRAK")</f>
        <v>NEW KONTRAK</v>
      </c>
      <c r="J4318" s="135" t="n">
        <v>46311</v>
      </c>
      <c r="K4318" s="135" t="n">
        <v>46675</v>
      </c>
      <c r="L4318" s="81" t="s">
        <v>15637</v>
      </c>
      <c r="M4318" s="28" t="n">
        <f aca="true">K4318-TODAY()</f>
        <v>351</v>
      </c>
      <c r="N4318" s="28" t="s">
        <v>105</v>
      </c>
      <c r="O4318" s="13" t="s">
        <v>17704</v>
      </c>
      <c r="P4318" s="134" t="n">
        <v>5191541</v>
      </c>
      <c r="Q4318" s="136" t="s">
        <v>17705</v>
      </c>
      <c r="R4318" s="28" t="s">
        <v>39</v>
      </c>
      <c r="S4318" s="129" t="n">
        <v>35088</v>
      </c>
      <c r="T4318" s="28" t="s">
        <v>40</v>
      </c>
      <c r="U4318" s="28" t="s">
        <v>17706</v>
      </c>
      <c r="V4318" s="28" t="s">
        <v>42</v>
      </c>
      <c r="W4318" s="28" t="s">
        <v>54</v>
      </c>
      <c r="X4318" s="30" t="n">
        <v>85292053021</v>
      </c>
      <c r="Y4318" s="137" t="str">
        <f aca="false">O4318</f>
        <v>Admin Gudang Bahan</v>
      </c>
      <c r="Z4318" s="138" t="s">
        <v>17707</v>
      </c>
      <c r="AA4318" s="138" t="str">
        <f aca="false">IF(C4318="","", CHOOSE(MONTH(C4318),"January","February","March","April","May","June","July","August","September","October","November","December")&amp;" "&amp;DAY(C4318)&amp;MID("thstndrdth",MIN(9,2*RIGHT(DAY(C4318))*(MOD(DAY(C4318)-11,100)&gt;2)+1),2)&amp;","&amp;TEXT(C4318," yyyy"))</f>
        <v>October 16th,2026</v>
      </c>
      <c r="AB4318" s="24" t="str">
        <f aca="true">IF(S4318="","",DATEDIF(S4318,TODAY(),"Y")&amp;" Tahun, "&amp;DATEDIF(S4318,TODAY(),"YM")&amp;" Bulan, "&amp;DATEDIF(S4318,TODAY(),"MD")&amp;" Hari")</f>
        <v>30 Tahun, 9 Bulan, 5 Hari</v>
      </c>
      <c r="AC4318" s="139" t="n">
        <v>46311</v>
      </c>
      <c r="AD4318" s="50" t="n">
        <v>46675</v>
      </c>
      <c r="AE4318" s="50" t="s">
        <v>15637</v>
      </c>
    </row>
    <row r="4319" customFormat="false" ht="15" hidden="false" customHeight="true" outlineLevel="0" collapsed="false">
      <c r="A4319" s="12" t="n">
        <v>22954</v>
      </c>
      <c r="B4319" s="13" t="s">
        <v>17708</v>
      </c>
      <c r="C4319" s="14" t="n">
        <v>46311</v>
      </c>
      <c r="D4319" s="13" t="s">
        <v>15133</v>
      </c>
      <c r="E4319" s="13" t="s">
        <v>14439</v>
      </c>
      <c r="F4319" s="24" t="s">
        <v>17709</v>
      </c>
      <c r="G4319" s="13" t="s">
        <v>1127</v>
      </c>
      <c r="H4319" s="13" t="s">
        <v>35</v>
      </c>
      <c r="I4319" s="13" t="str">
        <f aca="false">IF(C4319=J4319,"NEW KONTRAK","RE-KONTRAK")</f>
        <v>NEW KONTRAK</v>
      </c>
      <c r="J4319" s="135" t="n">
        <v>46311</v>
      </c>
      <c r="K4319" s="135" t="n">
        <v>46675</v>
      </c>
      <c r="L4319" s="81" t="s">
        <v>15637</v>
      </c>
      <c r="M4319" s="28" t="n">
        <f aca="true">K4319-TODAY()</f>
        <v>351</v>
      </c>
      <c r="N4319" s="28" t="s">
        <v>105</v>
      </c>
      <c r="O4319" s="13" t="s">
        <v>17704</v>
      </c>
      <c r="P4319" s="134" t="n">
        <v>5191541</v>
      </c>
      <c r="Q4319" s="136" t="s">
        <v>17710</v>
      </c>
      <c r="R4319" s="28" t="s">
        <v>39</v>
      </c>
      <c r="S4319" s="129" t="n">
        <v>35768</v>
      </c>
      <c r="T4319" s="28" t="s">
        <v>40</v>
      </c>
      <c r="U4319" s="28" t="s">
        <v>17711</v>
      </c>
      <c r="V4319" s="28" t="s">
        <v>42</v>
      </c>
      <c r="W4319" s="28" t="s">
        <v>54</v>
      </c>
      <c r="X4319" s="30" t="n">
        <v>85365669380</v>
      </c>
      <c r="Y4319" s="137" t="str">
        <f aca="false">O4319</f>
        <v>Admin Gudang Bahan</v>
      </c>
      <c r="Z4319" s="138" t="s">
        <v>17707</v>
      </c>
      <c r="AA4319" s="138" t="str">
        <f aca="false">IF(C4319="","", CHOOSE(MONTH(C4319),"January","February","March","April","May","June","July","August","September","October","November","December")&amp;" "&amp;DAY(C4319)&amp;MID("thstndrdth",MIN(9,2*RIGHT(DAY(C4319))*(MOD(DAY(C4319)-11,100)&gt;2)+1),2)&amp;","&amp;TEXT(C4319," yyyy"))</f>
        <v>October 16th,2026</v>
      </c>
      <c r="AB4319" s="24" t="str">
        <f aca="true">IF(S4319="","",DATEDIF(S4319,TODAY(),"Y")&amp;" Tahun, "&amp;DATEDIF(S4319,TODAY(),"YM")&amp;" Bulan, "&amp;DATEDIF(S4319,TODAY(),"MD")&amp;" Hari")</f>
        <v>28 Tahun, 10 Bulan, 25 Hari</v>
      </c>
      <c r="AC4319" s="139" t="n">
        <v>46311</v>
      </c>
      <c r="AD4319" s="50" t="n">
        <v>46675</v>
      </c>
      <c r="AE4319" s="50" t="s">
        <v>15637</v>
      </c>
    </row>
    <row r="4320" customFormat="false" ht="15" hidden="false" customHeight="true" outlineLevel="0" collapsed="false">
      <c r="A4320" s="12" t="n">
        <v>22955</v>
      </c>
      <c r="B4320" s="13" t="s">
        <v>17712</v>
      </c>
      <c r="C4320" s="14" t="n">
        <v>46302</v>
      </c>
      <c r="D4320" s="13" t="s">
        <v>7310</v>
      </c>
      <c r="E4320" s="15" t="s">
        <v>102</v>
      </c>
      <c r="F4320" s="24" t="s">
        <v>17713</v>
      </c>
      <c r="G4320" s="13" t="s">
        <v>1127</v>
      </c>
      <c r="H4320" s="13" t="s">
        <v>35</v>
      </c>
      <c r="I4320" s="13" t="str">
        <f aca="false">IF(C4320=J4320,"NEW KONTRAK","RE-KONTRAK")</f>
        <v>NEW KONTRAK</v>
      </c>
      <c r="J4320" s="16" t="n">
        <f aca="false" t="array" ref="J4320:J4320">IFERROR(INDEX(AC4320:AE4320,IF(COUNTA(AC4320:AE4320)=0,"",MAX((AC4320:AE4320&lt;&gt;"")*(COLUMN(AC4320:AE4320)-(COLUMN(AC4320)))))-1),"")</f>
        <v>46302</v>
      </c>
      <c r="K4320" s="16" t="n">
        <f aca="false" t="array" ref="K4320:K4320">IFERROR(INDEX(AC4320:AE4320,IF(COUNTA(AC4320:AE4320)=0,"",MAX((AC4320:AE4320&lt;&gt;"")*(COLUMN(AC4320:AE4320)-(COLUMN(AC4320)-1))))-1),"")</f>
        <v>46393</v>
      </c>
      <c r="L4320" s="17" t="str">
        <f aca="false" t="array" ref="L4320:L4320">IFERROR(INDEX(AC4320:AE4320,IF(COUNTA(AC4320:AE4320)=0,"",MAX((AC4320:AE4320&lt;&gt;"")*(COLUMN(AC4320:AE4320)-(COLUMN(AC4320)-2))))-1),"")</f>
        <v>PRINTED</v>
      </c>
      <c r="M4320" s="13" t="n">
        <f aca="true">K4320-TODAY()</f>
        <v>69</v>
      </c>
      <c r="N4320" s="18" t="s">
        <v>7313</v>
      </c>
      <c r="O4320" s="13" t="s">
        <v>15794</v>
      </c>
      <c r="P4320" s="19" t="n">
        <v>2550274</v>
      </c>
      <c r="Q4320" s="20" t="s">
        <v>17714</v>
      </c>
      <c r="R4320" s="13" t="s">
        <v>227</v>
      </c>
      <c r="S4320" s="25" t="n">
        <v>36778</v>
      </c>
      <c r="T4320" s="13" t="s">
        <v>40</v>
      </c>
      <c r="U4320" s="13" t="s">
        <v>17715</v>
      </c>
      <c r="V4320" s="13" t="s">
        <v>42</v>
      </c>
      <c r="W4320" s="13" t="s">
        <v>43</v>
      </c>
      <c r="X4320" s="21" t="n">
        <v>8563046651</v>
      </c>
      <c r="Y4320" s="22" t="str">
        <f aca="false">O4320</f>
        <v>Helper / Kernet</v>
      </c>
      <c r="Z4320" s="13" t="str">
        <f aca="false">IFERROR(__xludf.dummyfunction("if(BJ4320="""","""",GOOGLETRANSLATE(BJ4320,""auto"",""en""))"),"Helper / Assistant")</f>
        <v>Helper / Assistant</v>
      </c>
      <c r="AA4320" s="23" t="str">
        <f aca="false">IF(C4320="","", CHOOSE(MONTH(C4320),"January","February","March","April","May","June","July","August","September","October","November","December")&amp;" "&amp;DAY(C4320)&amp;MID("thstndrdth",MIN(9,2*RIGHT(DAY(C4320))*(MOD(DAY(C4320)-11,100)&gt;2)+1),2)&amp;","&amp;TEXT(C4320," yyyy"))</f>
        <v>October 7th,2026</v>
      </c>
      <c r="AB4320" s="15" t="str">
        <f aca="true">IF(S4320="","",DATEDIF(S4320,TODAY(),"Y")&amp;" Tahun, "&amp;DATEDIF(S4320,TODAY(),"YM")&amp;" Bulan, "&amp;DATEDIF(S4320,TODAY(),"MD")&amp;" Hari")</f>
        <v>26 Tahun, 1 Bulan, 20 Hari</v>
      </c>
      <c r="AC4320" s="14" t="n">
        <v>46302</v>
      </c>
      <c r="AD4320" s="18" t="n">
        <f aca="false">EDATE(AC4320,3)-1</f>
        <v>46393</v>
      </c>
      <c r="AE4320" s="13" t="s">
        <v>1752</v>
      </c>
    </row>
    <row r="4321" customFormat="false" ht="15" hidden="false" customHeight="true" outlineLevel="0" collapsed="false">
      <c r="A4321" s="12" t="n">
        <v>22956</v>
      </c>
      <c r="B4321" s="13" t="s">
        <v>17716</v>
      </c>
      <c r="C4321" s="14" t="n">
        <v>46309</v>
      </c>
      <c r="D4321" s="13" t="s">
        <v>7310</v>
      </c>
      <c r="E4321" s="13" t="s">
        <v>47</v>
      </c>
      <c r="F4321" s="24" t="s">
        <v>17717</v>
      </c>
      <c r="G4321" s="13" t="s">
        <v>1127</v>
      </c>
      <c r="H4321" s="13" t="s">
        <v>35</v>
      </c>
      <c r="I4321" s="13" t="str">
        <f aca="false">IF(C4321=J4321,"NEW KONTRAK","RE-KONTRAK")</f>
        <v>NEW KONTRAK</v>
      </c>
      <c r="J4321" s="16" t="n">
        <f aca="false" t="array" ref="J4321:J4321">IFERROR(INDEX(AC4321:AE4321,IF(COUNTA(AC4321:AE4321)=0,"",MAX((AC4321:AE4321&lt;&gt;"")*(COLUMN(AC4321:AE4321)-(COLUMN(AC4321)))))-1),"")</f>
        <v>46309</v>
      </c>
      <c r="K4321" s="16" t="n">
        <f aca="false" t="array" ref="K4321:K4321">IFERROR(INDEX(AC4321:AE4321,IF(COUNTA(AC4321:AE4321)=0,"",MAX((AC4321:AE4321&lt;&gt;"")*(COLUMN(AC4321:AE4321)-(COLUMN(AC4321)-1))))-1),"")</f>
        <v>46400</v>
      </c>
      <c r="L4321" s="17" t="str">
        <f aca="false" t="array" ref="L4321:L4321">IFERROR(INDEX(AC4321:AE4321,IF(COUNTA(AC4321:AE4321)=0,"",MAX((AC4321:AE4321&lt;&gt;"")*(COLUMN(AC4321:AE4321)-(COLUMN(AC4321)-2))))-1),"")</f>
        <v>KEMBALI</v>
      </c>
      <c r="M4321" s="13" t="n">
        <f aca="true">K4321-TODAY()</f>
        <v>76</v>
      </c>
      <c r="N4321" s="18" t="s">
        <v>7313</v>
      </c>
      <c r="O4321" s="13" t="s">
        <v>15794</v>
      </c>
      <c r="P4321" s="19" t="n">
        <v>2550274</v>
      </c>
      <c r="Q4321" s="20" t="s">
        <v>17718</v>
      </c>
      <c r="R4321" s="13" t="s">
        <v>227</v>
      </c>
      <c r="S4321" s="25" t="n">
        <v>37810</v>
      </c>
      <c r="T4321" s="13" t="s">
        <v>40</v>
      </c>
      <c r="U4321" s="13" t="s">
        <v>17719</v>
      </c>
      <c r="V4321" s="13" t="s">
        <v>42</v>
      </c>
      <c r="W4321" s="13" t="s">
        <v>43</v>
      </c>
      <c r="X4321" s="21" t="n">
        <v>6281615687956</v>
      </c>
      <c r="Y4321" s="22" t="str">
        <f aca="false">O4321</f>
        <v>Helper / Kernet</v>
      </c>
      <c r="Z4321" s="13" t="str">
        <f aca="false">IFERROR(__xludf.dummyfunction("if(BJ4321="""","""",GOOGLETRANSLATE(BJ4321,""auto"",""en""))"),"Helper / Assistant")</f>
        <v>Helper / Assistant</v>
      </c>
      <c r="AA4321" s="23" t="str">
        <f aca="false">IF(C4321="","", CHOOSE(MONTH(C4321),"January","February","March","April","May","June","July","August","September","October","November","December")&amp;" "&amp;DAY(C4321)&amp;MID("thstndrdth",MIN(9,2*RIGHT(DAY(C4321))*(MOD(DAY(C4321)-11,100)&gt;2)+1),2)&amp;","&amp;TEXT(C4321," yyyy"))</f>
        <v>October 14th,2026</v>
      </c>
      <c r="AB4321" s="15" t="str">
        <f aca="true">IF(S4321="","",DATEDIF(S4321,TODAY(),"Y")&amp;" Tahun, "&amp;DATEDIF(S4321,TODAY(),"YM")&amp;" Bulan, "&amp;DATEDIF(S4321,TODAY(),"MD")&amp;" Hari")</f>
        <v>23 Tahun, 3 Bulan, 21 Hari</v>
      </c>
      <c r="AC4321" s="14" t="n">
        <v>46309</v>
      </c>
      <c r="AD4321" s="18" t="n">
        <f aca="false">EDATE(AC4321,3)-1</f>
        <v>46400</v>
      </c>
      <c r="AE4321" s="13" t="s">
        <v>397</v>
      </c>
    </row>
    <row r="4322" customFormat="false" ht="15" hidden="false" customHeight="true" outlineLevel="0" collapsed="false">
      <c r="A4322" s="12" t="n">
        <v>22957</v>
      </c>
      <c r="B4322" s="13" t="s">
        <v>17720</v>
      </c>
      <c r="C4322" s="14" t="n">
        <v>46313</v>
      </c>
      <c r="D4322" s="13" t="s">
        <v>14892</v>
      </c>
      <c r="E4322" s="13" t="s">
        <v>47</v>
      </c>
      <c r="F4322" s="24" t="s">
        <v>17721</v>
      </c>
      <c r="G4322" s="13" t="s">
        <v>57</v>
      </c>
      <c r="H4322" s="13" t="s">
        <v>3024</v>
      </c>
      <c r="I4322" s="13" t="str">
        <f aca="false">IF(C4322=J4322,"NEW KONTRAK","RE-KONTRAK")</f>
        <v>NEW KONTRAK</v>
      </c>
      <c r="J4322" s="16" t="n">
        <f aca="false" t="array" ref="J4322:J4322">IFERROR(INDEX(AC4322:AE4322,IF(COUNTA(AC4322:AE4322)=0,"",MAX((AC4322:AE4322&lt;&gt;"")*(COLUMN(AC4322:AE4322)-(COLUMN(AC4322)))))-1),"")</f>
        <v>46313</v>
      </c>
      <c r="K4322" s="16" t="n">
        <f aca="false" t="array" ref="K4322:K4322">IFERROR(INDEX(AC4322:AE4322,IF(COUNTA(AC4322:AE4322)=0,"",MAX((AC4322:AE4322&lt;&gt;"")*(COLUMN(AC4322:AE4322)-(COLUMN(AC4322)-1))))-1),"")</f>
        <v>46373</v>
      </c>
      <c r="L4322" s="17" t="str">
        <f aca="false" t="array" ref="L4322:L4322">IFERROR(INDEX(AC4322:AE4322,IF(COUNTA(AC4322:AE4322)=0,"",MAX((AC4322:AE4322&lt;&gt;"")*(COLUMN(AC4322:AE4322)-(COLUMN(AC4322)-2))))-1),"")</f>
        <v>DRAFTED</v>
      </c>
      <c r="M4322" s="13" t="n">
        <f aca="true">K4322-TODAY()</f>
        <v>49</v>
      </c>
      <c r="N4322" s="18" t="s">
        <v>615</v>
      </c>
      <c r="O4322" s="13" t="s">
        <v>14894</v>
      </c>
      <c r="P4322" s="134" t="n">
        <v>5176101</v>
      </c>
      <c r="Q4322" s="20" t="s">
        <v>17722</v>
      </c>
      <c r="R4322" s="13" t="s">
        <v>232</v>
      </c>
      <c r="S4322" s="25" t="n">
        <v>32942</v>
      </c>
      <c r="T4322" s="13" t="s">
        <v>40</v>
      </c>
      <c r="U4322" s="13" t="s">
        <v>17723</v>
      </c>
      <c r="V4322" s="13" t="s">
        <v>42</v>
      </c>
      <c r="W4322" s="13" t="s">
        <v>43</v>
      </c>
      <c r="X4322" s="21" t="n">
        <v>81999941925</v>
      </c>
      <c r="Y4322" s="22" t="str">
        <f aca="false">O4322</f>
        <v>Reliver Bongkar Muat</v>
      </c>
      <c r="Z4322" s="13" t="str">
        <f aca="false">IFERROR(__xludf.dummyfunction("if(BJ4322="""","""",GOOGLETRANSLATE(BJ4322,""auto"",""en""))"),"Unloading Reliver")</f>
        <v>Unloading Reliver</v>
      </c>
      <c r="AA4322" s="23" t="str">
        <f aca="false">IF(C4322="","", CHOOSE(MONTH(C4322),"January","February","March","April","May","June","July","August","September","October","November","December")&amp;" "&amp;DAY(C4322)&amp;MID("thstndrdth",MIN(9,2*RIGHT(DAY(C4322))*(MOD(DAY(C4322)-11,100)&gt;2)+1),2)&amp;","&amp;TEXT(C4322," yyyy"))</f>
        <v>October 18th,2026</v>
      </c>
      <c r="AB4322" s="15" t="str">
        <f aca="true">IF(S4322="","",DATEDIF(S4322,TODAY(),"Y")&amp;" Tahun, "&amp;DATEDIF(S4322,TODAY(),"YM")&amp;" Bulan, "&amp;DATEDIF(S4322,TODAY(),"MD")&amp;" Hari")</f>
        <v>36 Tahun, 7 Bulan, 19 Hari</v>
      </c>
      <c r="AC4322" s="14" t="n">
        <v>46313</v>
      </c>
      <c r="AD4322" s="18" t="n">
        <f aca="false">EDATE(AC4322,2)-1</f>
        <v>46373</v>
      </c>
      <c r="AE4322" s="13" t="s">
        <v>4022</v>
      </c>
    </row>
    <row r="4323" customFormat="false" ht="15" hidden="false" customHeight="true" outlineLevel="0" collapsed="false">
      <c r="A4323" s="12" t="n">
        <v>22958</v>
      </c>
      <c r="B4323" s="13" t="s">
        <v>17724</v>
      </c>
      <c r="C4323" s="14" t="n">
        <v>46310</v>
      </c>
      <c r="D4323" s="13" t="s">
        <v>14892</v>
      </c>
      <c r="E4323" s="13" t="s">
        <v>47</v>
      </c>
      <c r="F4323" s="24" t="s">
        <v>17725</v>
      </c>
      <c r="G4323" s="13" t="s">
        <v>57</v>
      </c>
      <c r="H4323" s="13" t="s">
        <v>3024</v>
      </c>
      <c r="I4323" s="13" t="str">
        <f aca="false">IF(C4323=J4323,"NEW KONTRAK","RE-KONTRAK")</f>
        <v>NEW KONTRAK</v>
      </c>
      <c r="J4323" s="16" t="n">
        <f aca="false" t="array" ref="J4323:J4323">IFERROR(INDEX(AC4323:AE4323,IF(COUNTA(AC4323:AE4323)=0,"",MAX((AC4323:AE4323&lt;&gt;"")*(COLUMN(AC4323:AE4323)-(COLUMN(AC4323)))))-1),"")</f>
        <v>46310</v>
      </c>
      <c r="K4323" s="16" t="n">
        <f aca="false" t="array" ref="K4323:K4323">IFERROR(INDEX(AC4323:AE4323,IF(COUNTA(AC4323:AE4323)=0,"",MAX((AC4323:AE4323&lt;&gt;"")*(COLUMN(AC4323:AE4323)-(COLUMN(AC4323)-1))))-1),"")</f>
        <v>46370</v>
      </c>
      <c r="L4323" s="17" t="str">
        <f aca="false" t="array" ref="L4323:L4323">IFERROR(INDEX(AC4323:AE4323,IF(COUNTA(AC4323:AE4323)=0,"",MAX((AC4323:AE4323&lt;&gt;"")*(COLUMN(AC4323:AE4323)-(COLUMN(AC4323)-2))))-1),"")</f>
        <v>DRAFTED</v>
      </c>
      <c r="M4323" s="13" t="n">
        <f aca="true">K4323-TODAY()</f>
        <v>46</v>
      </c>
      <c r="N4323" s="18" t="s">
        <v>615</v>
      </c>
      <c r="O4323" s="13" t="s">
        <v>14894</v>
      </c>
      <c r="P4323" s="134" t="n">
        <v>5176101</v>
      </c>
      <c r="Q4323" s="20" t="s">
        <v>17726</v>
      </c>
      <c r="R4323" s="13" t="s">
        <v>232</v>
      </c>
      <c r="S4323" s="25" t="n">
        <v>37973</v>
      </c>
      <c r="T4323" s="13" t="s">
        <v>40</v>
      </c>
      <c r="U4323" s="13" t="s">
        <v>17727</v>
      </c>
      <c r="V4323" s="13" t="s">
        <v>42</v>
      </c>
      <c r="W4323" s="13" t="s">
        <v>43</v>
      </c>
      <c r="X4323" s="21" t="n">
        <v>8563527349</v>
      </c>
      <c r="Y4323" s="22" t="str">
        <f aca="false">O4323</f>
        <v>Reliver Bongkar Muat</v>
      </c>
      <c r="Z4323" s="13" t="str">
        <f aca="false">IFERROR(__xludf.dummyfunction("if(BJ4323="""","""",GOOGLETRANSLATE(BJ4323,""auto"",""en""))"),"Unloading Reliver")</f>
        <v>Unloading Reliver</v>
      </c>
      <c r="AA4323" s="23" t="str">
        <f aca="false">IF(C4323="","", CHOOSE(MONTH(C4323),"January","February","March","April","May","June","July","August","September","October","November","December")&amp;" "&amp;DAY(C4323)&amp;MID("thstndrdth",MIN(9,2*RIGHT(DAY(C4323))*(MOD(DAY(C4323)-11,100)&gt;2)+1),2)&amp;","&amp;TEXT(C4323," yyyy"))</f>
        <v>October 15th,2026</v>
      </c>
      <c r="AB4323" s="15" t="str">
        <f aca="true">IF(S4323="","",DATEDIF(S4323,TODAY(),"Y")&amp;" Tahun, "&amp;DATEDIF(S4323,TODAY(),"YM")&amp;" Bulan, "&amp;DATEDIF(S4323,TODAY(),"MD")&amp;" Hari")</f>
        <v>22 Tahun, 10 Bulan, 11 Hari</v>
      </c>
      <c r="AC4323" s="14" t="n">
        <v>46310</v>
      </c>
      <c r="AD4323" s="18" t="n">
        <f aca="false">EDATE(AC4323,2)-1</f>
        <v>46370</v>
      </c>
      <c r="AE4323" s="13" t="s">
        <v>4022</v>
      </c>
    </row>
    <row r="4324" customFormat="false" ht="15" hidden="false" customHeight="true" outlineLevel="0" collapsed="false">
      <c r="A4324" s="12" t="n">
        <v>22959</v>
      </c>
      <c r="B4324" s="13" t="s">
        <v>17728</v>
      </c>
      <c r="C4324" s="14" t="n">
        <v>46285</v>
      </c>
      <c r="D4324" s="13" t="s">
        <v>5903</v>
      </c>
      <c r="E4324" s="13" t="s">
        <v>47</v>
      </c>
      <c r="F4324" s="24" t="s">
        <v>17729</v>
      </c>
      <c r="G4324" s="13" t="s">
        <v>1127</v>
      </c>
      <c r="H4324" s="13" t="s">
        <v>35</v>
      </c>
      <c r="I4324" s="13" t="str">
        <f aca="false">IF(C4324=J4324,"NEW KONTRAK","RE-KONTRAK")</f>
        <v>NEW KONTRAK</v>
      </c>
      <c r="J4324" s="16" t="n">
        <f aca="false" t="array" ref="J4324:J4324">IFERROR(INDEX(AC4324:AE4324,IF(COUNTA(AC4324:AE4324)=0,"",MAX((AC4324:AE4324&lt;&gt;"")*(COLUMN(AC4324:AE4324)-(COLUMN(AC4324)))))-1),"")</f>
        <v>46285</v>
      </c>
      <c r="K4324" s="16" t="n">
        <f aca="false" t="array" ref="K4324:K4324">IFERROR(INDEX(AC4324:AE4324,IF(COUNTA(AC4324:AE4324)=0,"",MAX((AC4324:AE4324&lt;&gt;"")*(COLUMN(AC4324:AE4324)-(COLUMN(AC4324)-1))))-1),"")</f>
        <v>46505</v>
      </c>
      <c r="L4324" s="17" t="str">
        <f aca="false" t="array" ref="L4324:L4324">IFERROR(INDEX(AC4324:AE4324,IF(COUNTA(AC4324:AE4324)=0,"",MAX((AC4324:AE4324&lt;&gt;"")*(COLUMN(AC4324:AE4324)-(COLUMN(AC4324)-2))))-1),"")</f>
        <v>DRAFTED KONTRAK SELANJUTNYA</v>
      </c>
      <c r="M4324" s="13" t="n">
        <f aca="true">K4324-TODAY()</f>
        <v>181</v>
      </c>
      <c r="N4324" s="50" t="s">
        <v>728</v>
      </c>
      <c r="O4324" s="13" t="s">
        <v>3510</v>
      </c>
      <c r="P4324" s="26" t="n">
        <v>2500000</v>
      </c>
      <c r="Q4324" s="20" t="s">
        <v>17730</v>
      </c>
      <c r="R4324" s="13" t="s">
        <v>1357</v>
      </c>
      <c r="S4324" s="25" t="n">
        <v>32701</v>
      </c>
      <c r="T4324" s="13" t="s">
        <v>40</v>
      </c>
      <c r="U4324" s="13" t="s">
        <v>17731</v>
      </c>
      <c r="V4324" s="13" t="s">
        <v>42</v>
      </c>
      <c r="W4324" s="13" t="s">
        <v>43</v>
      </c>
      <c r="X4324" s="30" t="n">
        <v>81318489554</v>
      </c>
      <c r="Y4324" s="22" t="str">
        <f aca="false">O4324</f>
        <v>Teknisi</v>
      </c>
      <c r="Z4324" s="13" t="str">
        <f aca="false">IFERROR(__xludf.dummyfunction("if(BJ4324="""","""",GOOGLETRANSLATE(BJ4324,""auto"",""en""))"),"Technician")</f>
        <v>Technician</v>
      </c>
      <c r="AA4324" s="23" t="str">
        <f aca="false">IF(C4324="","", CHOOSE(MONTH(C4324),"January","February","March","April","May","June","July","August","September","October","November","December")&amp;" "&amp;DAY(C4324)&amp;MID("thstndrdth",MIN(9,2*RIGHT(DAY(C4324))*(MOD(DAY(C4324)-11,100)&gt;2)+1),2)&amp;","&amp;TEXT(C4324," yyyy"))</f>
        <v>September 20th,2026</v>
      </c>
      <c r="AB4324" s="15" t="str">
        <f aca="true">IF(S4324="","",DATEDIF(S4324,TODAY(),"Y")&amp;" Tahun, "&amp;DATEDIF(S4324,TODAY(),"YM")&amp;" Bulan, "&amp;DATEDIF(S4324,TODAY(),"MD")&amp;" Hari")</f>
        <v>37 Tahun, 3 Bulan, 17 Hari</v>
      </c>
      <c r="AC4324" s="14" t="n">
        <v>46285</v>
      </c>
      <c r="AD4324" s="18" t="n">
        <v>46505</v>
      </c>
      <c r="AE4324" s="13" t="s">
        <v>17732</v>
      </c>
    </row>
    <row r="4325" customFormat="false" ht="15" hidden="false" customHeight="true" outlineLevel="0" collapsed="false">
      <c r="A4325" s="12" t="n">
        <v>22960</v>
      </c>
      <c r="B4325" s="13" t="s">
        <v>17733</v>
      </c>
      <c r="C4325" s="14" t="n">
        <v>46285</v>
      </c>
      <c r="D4325" s="13" t="s">
        <v>5903</v>
      </c>
      <c r="E4325" s="13" t="s">
        <v>47</v>
      </c>
      <c r="F4325" s="24" t="s">
        <v>17734</v>
      </c>
      <c r="G4325" s="13" t="s">
        <v>1127</v>
      </c>
      <c r="H4325" s="13" t="s">
        <v>35</v>
      </c>
      <c r="I4325" s="13" t="str">
        <f aca="false">IF(C4325=J4325,"NEW KONTRAK","RE-KONTRAK")</f>
        <v>NEW KONTRAK</v>
      </c>
      <c r="J4325" s="16" t="n">
        <f aca="false" t="array" ref="J4325:J4325">IFERROR(INDEX(AC4325:AE4325,IF(COUNTA(AC4325:AE4325)=0,"",MAX((AC4325:AE4325&lt;&gt;"")*(COLUMN(AC4325:AE4325)-(COLUMN(AC4325)))))-1),"")</f>
        <v>46285</v>
      </c>
      <c r="K4325" s="16" t="n">
        <f aca="false" t="array" ref="K4325:K4325">IFERROR(INDEX(AC4325:AE4325,IF(COUNTA(AC4325:AE4325)=0,"",MAX((AC4325:AE4325&lt;&gt;"")*(COLUMN(AC4325:AE4325)-(COLUMN(AC4325)-1))))-1),"")</f>
        <v>46505</v>
      </c>
      <c r="L4325" s="17" t="str">
        <f aca="false" t="array" ref="L4325:L4325">IFERROR(INDEX(AC4325:AE4325,IF(COUNTA(AC4325:AE4325)=0,"",MAX((AC4325:AE4325&lt;&gt;"")*(COLUMN(AC4325:AE4325)-(COLUMN(AC4325)-2))))-1),"")</f>
        <v>DRAFTED KONTRAK SELANJUTNYA</v>
      </c>
      <c r="M4325" s="13" t="n">
        <f aca="true">K4325-TODAY()</f>
        <v>181</v>
      </c>
      <c r="N4325" s="50" t="s">
        <v>728</v>
      </c>
      <c r="O4325" s="13" t="s">
        <v>3510</v>
      </c>
      <c r="P4325" s="26" t="n">
        <v>2000000</v>
      </c>
      <c r="Q4325" s="20" t="s">
        <v>17735</v>
      </c>
      <c r="R4325" s="13" t="s">
        <v>6073</v>
      </c>
      <c r="S4325" s="25" t="n">
        <v>34323</v>
      </c>
      <c r="T4325" s="13" t="s">
        <v>40</v>
      </c>
      <c r="U4325" s="13" t="s">
        <v>17736</v>
      </c>
      <c r="V4325" s="13" t="s">
        <v>42</v>
      </c>
      <c r="W4325" s="13" t="s">
        <v>54</v>
      </c>
      <c r="X4325" s="30" t="n">
        <v>85293769042</v>
      </c>
      <c r="Y4325" s="22" t="str">
        <f aca="false">O4325</f>
        <v>Teknisi</v>
      </c>
      <c r="Z4325" s="13" t="str">
        <f aca="false">IFERROR(__xludf.dummyfunction("if(BJ4325="""","""",GOOGLETRANSLATE(BJ4325,""auto"",""en""))"),"Technician")</f>
        <v>Technician</v>
      </c>
      <c r="AA4325" s="23" t="str">
        <f aca="false">IF(C4325="","", CHOOSE(MONTH(C4325),"January","February","March","April","May","June","July","August","September","October","November","December")&amp;" "&amp;DAY(C4325)&amp;MID("thstndrdth",MIN(9,2*RIGHT(DAY(C4325))*(MOD(DAY(C4325)-11,100)&gt;2)+1),2)&amp;","&amp;TEXT(C4325," yyyy"))</f>
        <v>September 20th,2026</v>
      </c>
      <c r="AB4325" s="15" t="str">
        <f aca="true">IF(S4325="","",DATEDIF(S4325,TODAY(),"Y")&amp;" Tahun, "&amp;DATEDIF(S4325,TODAY(),"YM")&amp;" Bulan, "&amp;DATEDIF(S4325,TODAY(),"MD")&amp;" Hari")</f>
        <v>32 Tahun, 10 Bulan, 9 Hari</v>
      </c>
      <c r="AC4325" s="14" t="n">
        <v>46285</v>
      </c>
      <c r="AD4325" s="18" t="n">
        <v>46505</v>
      </c>
      <c r="AE4325" s="13" t="s">
        <v>17732</v>
      </c>
    </row>
    <row r="4326" customFormat="false" ht="15" hidden="false" customHeight="true" outlineLevel="0" collapsed="false">
      <c r="A4326" s="12" t="n">
        <v>22961</v>
      </c>
      <c r="B4326" s="13" t="s">
        <v>17737</v>
      </c>
      <c r="C4326" s="14" t="n">
        <v>46314</v>
      </c>
      <c r="D4326" s="13" t="s">
        <v>144</v>
      </c>
      <c r="E4326" s="13" t="s">
        <v>47</v>
      </c>
      <c r="F4326" s="24" t="s">
        <v>17738</v>
      </c>
      <c r="G4326" s="13" t="s">
        <v>1127</v>
      </c>
      <c r="H4326" s="13" t="s">
        <v>35</v>
      </c>
      <c r="I4326" s="13" t="str">
        <f aca="false">IF(C4326=J4326,"NEW KONTRAK","RE-KONTRAK")</f>
        <v>NEW KONTRAK</v>
      </c>
      <c r="J4326" s="16" t="n">
        <f aca="false" t="array" ref="J4326:J4326">IFERROR(INDEX(AC4326:AE4326,IF(COUNTA(AC4326:AE4326)=0,"",MAX((AC4326:AE4326&lt;&gt;"")*(COLUMN(AC4326:AE4326)-(COLUMN(AC4326)))))-1),"")</f>
        <v>46314</v>
      </c>
      <c r="K4326" s="16" t="n">
        <f aca="false" t="array" ref="K4326:K4326">IFERROR(INDEX(AC4326:AE4326,IF(COUNTA(AC4326:AE4326)=0,"",MAX((AC4326:AE4326&lt;&gt;"")*(COLUMN(AC4326:AE4326)-(COLUMN(AC4326)-1))))-1),"")</f>
        <v>46405</v>
      </c>
      <c r="L4326" s="17" t="str">
        <f aca="false" t="array" ref="L4326:L4326">IFERROR(INDEX(AC4326:AE4326,IF(COUNTA(AC4326:AE4326)=0,"",MAX((AC4326:AE4326&lt;&gt;"")*(COLUMN(AC4326:AE4326)-(COLUMN(AC4326)-2))))-1),"")</f>
        <v>PRINTED</v>
      </c>
      <c r="M4326" s="13" t="n">
        <f aca="true">K4326-TODAY()</f>
        <v>81</v>
      </c>
      <c r="N4326" s="18" t="s">
        <v>36</v>
      </c>
      <c r="O4326" s="13" t="s">
        <v>156</v>
      </c>
      <c r="P4326" s="26" t="n">
        <v>5195401</v>
      </c>
      <c r="Q4326" s="20" t="s">
        <v>17739</v>
      </c>
      <c r="R4326" s="13" t="s">
        <v>65</v>
      </c>
      <c r="S4326" s="25" t="n">
        <v>37643</v>
      </c>
      <c r="T4326" s="13" t="s">
        <v>40</v>
      </c>
      <c r="U4326" s="13" t="s">
        <v>17740</v>
      </c>
      <c r="V4326" s="13" t="s">
        <v>42</v>
      </c>
      <c r="W4326" s="13" t="s">
        <v>43</v>
      </c>
      <c r="X4326" s="21" t="n">
        <v>83184908770</v>
      </c>
      <c r="Y4326" s="22" t="str">
        <f aca="false">O4326</f>
        <v>Emulsion</v>
      </c>
      <c r="Z4326" s="13" t="str">
        <f aca="false">IFERROR(__xludf.dummyfunction("if(BJ4326="""","""",GOOGLETRANSLATE(BJ4326,""auto"",""en""))"),"Emulsion")</f>
        <v>Emulsion</v>
      </c>
      <c r="AA4326" s="23" t="str">
        <f aca="false">IF(C4326="","", CHOOSE(MONTH(C4326),"January","February","March","April","May","June","July","August","September","October","November","December")&amp;" "&amp;DAY(C4326)&amp;MID("thstndrdth",MIN(9,2*RIGHT(DAY(C4326))*(MOD(DAY(C4326)-11,100)&gt;2)+1),2)&amp;","&amp;TEXT(C4326," yyyy"))</f>
        <v>October 19th,2026</v>
      </c>
      <c r="AB4326" s="15" t="str">
        <f aca="true">IF(S4326="","",DATEDIF(S4326,TODAY(),"Y")&amp;" Tahun, "&amp;DATEDIF(S4326,TODAY(),"YM")&amp;" Bulan, "&amp;DATEDIF(S4326,TODAY(),"MD")&amp;" Hari")</f>
        <v>23 Tahun, 9 Bulan, 7 Hari</v>
      </c>
      <c r="AC4326" s="14" t="n">
        <v>46314</v>
      </c>
      <c r="AD4326" s="18" t="n">
        <f aca="false">EDATE(AC4326,3)-1</f>
        <v>46405</v>
      </c>
      <c r="AE4326" s="13" t="s">
        <v>1752</v>
      </c>
    </row>
    <row r="4327" customFormat="false" ht="15" hidden="false" customHeight="true" outlineLevel="0" collapsed="false">
      <c r="A4327" s="12" t="n">
        <v>22962</v>
      </c>
      <c r="B4327" s="13" t="s">
        <v>17741</v>
      </c>
      <c r="C4327" s="14" t="n">
        <v>46314</v>
      </c>
      <c r="D4327" s="13" t="s">
        <v>144</v>
      </c>
      <c r="E4327" s="13" t="s">
        <v>47</v>
      </c>
      <c r="F4327" s="24" t="s">
        <v>17742</v>
      </c>
      <c r="G4327" s="13" t="s">
        <v>1127</v>
      </c>
      <c r="H4327" s="13" t="s">
        <v>35</v>
      </c>
      <c r="I4327" s="13" t="str">
        <f aca="false">IF(C4327=J4327,"NEW KONTRAK","RE-KONTRAK")</f>
        <v>NEW KONTRAK</v>
      </c>
      <c r="J4327" s="16" t="n">
        <f aca="false" t="array" ref="J4327:J4327">IFERROR(INDEX(AC4327:AE4327,IF(COUNTA(AC4327:AE4327)=0,"",MAX((AC4327:AE4327&lt;&gt;"")*(COLUMN(AC4327:AE4327)-(COLUMN(AC4327)))))-1),"")</f>
        <v>46314</v>
      </c>
      <c r="K4327" s="16" t="n">
        <f aca="false" t="array" ref="K4327:K4327">IFERROR(INDEX(AC4327:AE4327,IF(COUNTA(AC4327:AE4327)=0,"",MAX((AC4327:AE4327&lt;&gt;"")*(COLUMN(AC4327:AE4327)-(COLUMN(AC4327)-1))))-1),"")</f>
        <v>46405</v>
      </c>
      <c r="L4327" s="17" t="str">
        <f aca="false" t="array" ref="L4327:L4327">IFERROR(INDEX(AC4327:AE4327,IF(COUNTA(AC4327:AE4327)=0,"",MAX((AC4327:AE4327&lt;&gt;"")*(COLUMN(AC4327:AE4327)-(COLUMN(AC4327)-2))))-1),"")</f>
        <v>PRINTED</v>
      </c>
      <c r="M4327" s="13" t="n">
        <f aca="true">K4327-TODAY()</f>
        <v>81</v>
      </c>
      <c r="N4327" s="18" t="s">
        <v>36</v>
      </c>
      <c r="O4327" s="13" t="s">
        <v>146</v>
      </c>
      <c r="P4327" s="26" t="n">
        <v>5195401</v>
      </c>
      <c r="Q4327" s="20" t="s">
        <v>17743</v>
      </c>
      <c r="R4327" s="13" t="s">
        <v>65</v>
      </c>
      <c r="S4327" s="25" t="n">
        <v>35574</v>
      </c>
      <c r="T4327" s="13" t="s">
        <v>40</v>
      </c>
      <c r="U4327" s="13" t="s">
        <v>17744</v>
      </c>
      <c r="V4327" s="13" t="s">
        <v>42</v>
      </c>
      <c r="W4327" s="13" t="s">
        <v>54</v>
      </c>
      <c r="X4327" s="21" t="n">
        <v>82136666159</v>
      </c>
      <c r="Y4327" s="22" t="str">
        <f aca="false">O4327</f>
        <v>Enamel</v>
      </c>
      <c r="Z4327" s="13" t="str">
        <f aca="false">IFERROR(__xludf.dummyfunction("if(BJ4327="""","""",GOOGLETRANSLATE(BJ4327,""auto"",""en""))"),"Enamel")</f>
        <v>Enamel</v>
      </c>
      <c r="AA4327" s="23" t="str">
        <f aca="false">IF(C4327="","", CHOOSE(MONTH(C4327),"January","February","March","April","May","June","July","August","September","October","November","December")&amp;" "&amp;DAY(C4327)&amp;MID("thstndrdth",MIN(9,2*RIGHT(DAY(C4327))*(MOD(DAY(C4327)-11,100)&gt;2)+1),2)&amp;","&amp;TEXT(C4327," yyyy"))</f>
        <v>October 19th,2026</v>
      </c>
      <c r="AB4327" s="15" t="str">
        <f aca="true">IF(S4327="","",DATEDIF(S4327,TODAY(),"Y")&amp;" Tahun, "&amp;DATEDIF(S4327,TODAY(),"YM")&amp;" Bulan, "&amp;DATEDIF(S4327,TODAY(),"MD")&amp;" Hari")</f>
        <v>29 Tahun, 5 Bulan, 5 Hari</v>
      </c>
      <c r="AC4327" s="14" t="n">
        <v>46314</v>
      </c>
      <c r="AD4327" s="18" t="n">
        <f aca="false">EDATE(AC4327,3)-1</f>
        <v>46405</v>
      </c>
      <c r="AE4327" s="13" t="s">
        <v>1752</v>
      </c>
    </row>
    <row r="4328" customFormat="false" ht="15" hidden="false" customHeight="true" outlineLevel="0" collapsed="false">
      <c r="A4328" s="12" t="n">
        <v>22963</v>
      </c>
      <c r="B4328" s="13" t="s">
        <v>17745</v>
      </c>
      <c r="C4328" s="14" t="n">
        <v>46314</v>
      </c>
      <c r="D4328" s="13" t="s">
        <v>144</v>
      </c>
      <c r="E4328" s="13" t="s">
        <v>47</v>
      </c>
      <c r="F4328" s="24" t="s">
        <v>17746</v>
      </c>
      <c r="G4328" s="13" t="s">
        <v>1127</v>
      </c>
      <c r="H4328" s="13" t="s">
        <v>35</v>
      </c>
      <c r="I4328" s="13" t="str">
        <f aca="false">IF(C4328=J4328,"NEW KONTRAK","RE-KONTRAK")</f>
        <v>NEW KONTRAK</v>
      </c>
      <c r="J4328" s="16" t="n">
        <f aca="false" t="array" ref="J4328:J4328">IFERROR(INDEX(AC4328:AE4328,IF(COUNTA(AC4328:AE4328)=0,"",MAX((AC4328:AE4328&lt;&gt;"")*(COLUMN(AC4328:AE4328)-(COLUMN(AC4328)))))-1),"")</f>
        <v>46314</v>
      </c>
      <c r="K4328" s="16" t="n">
        <f aca="false" t="array" ref="K4328:K4328">IFERROR(INDEX(AC4328:AE4328,IF(COUNTA(AC4328:AE4328)=0,"",MAX((AC4328:AE4328&lt;&gt;"")*(COLUMN(AC4328:AE4328)-(COLUMN(AC4328)-1))))-1),"")</f>
        <v>46405</v>
      </c>
      <c r="L4328" s="17" t="str">
        <f aca="false" t="array" ref="L4328:L4328">IFERROR(INDEX(AC4328:AE4328,IF(COUNTA(AC4328:AE4328)=0,"",MAX((AC4328:AE4328&lt;&gt;"")*(COLUMN(AC4328:AE4328)-(COLUMN(AC4328)-2))))-1),"")</f>
        <v>PRINTED</v>
      </c>
      <c r="M4328" s="13" t="n">
        <f aca="true">K4328-TODAY()</f>
        <v>81</v>
      </c>
      <c r="N4328" s="18" t="s">
        <v>36</v>
      </c>
      <c r="O4328" s="13" t="s">
        <v>156</v>
      </c>
      <c r="P4328" s="26" t="n">
        <v>5195401</v>
      </c>
      <c r="Q4328" s="20" t="s">
        <v>17747</v>
      </c>
      <c r="R4328" s="13" t="s">
        <v>255</v>
      </c>
      <c r="S4328" s="25" t="n">
        <v>37791</v>
      </c>
      <c r="T4328" s="13" t="s">
        <v>40</v>
      </c>
      <c r="U4328" s="13" t="s">
        <v>17748</v>
      </c>
      <c r="V4328" s="13" t="s">
        <v>42</v>
      </c>
      <c r="W4328" s="13" t="s">
        <v>43</v>
      </c>
      <c r="X4328" s="21" t="n">
        <v>81234679815</v>
      </c>
      <c r="Y4328" s="22" t="str">
        <f aca="false">O4328</f>
        <v>Emulsion</v>
      </c>
      <c r="Z4328" s="13" t="str">
        <f aca="false">IFERROR(__xludf.dummyfunction("if(BJ4328="""","""",GOOGLETRANSLATE(BJ4328,""auto"",""en""))"),"Emulsion")</f>
        <v>Emulsion</v>
      </c>
      <c r="AA4328" s="23" t="str">
        <f aca="false">IF(C4328="","", CHOOSE(MONTH(C4328),"January","February","March","April","May","June","July","August","September","October","November","December")&amp;" "&amp;DAY(C4328)&amp;MID("thstndrdth",MIN(9,2*RIGHT(DAY(C4328))*(MOD(DAY(C4328)-11,100)&gt;2)+1),2)&amp;","&amp;TEXT(C4328," yyyy"))</f>
        <v>October 19th,2026</v>
      </c>
      <c r="AB4328" s="15" t="str">
        <f aca="true">IF(S4328="","",DATEDIF(S4328,TODAY(),"Y")&amp;" Tahun, "&amp;DATEDIF(S4328,TODAY(),"YM")&amp;" Bulan, "&amp;DATEDIF(S4328,TODAY(),"MD")&amp;" Hari")</f>
        <v>23 Tahun, 4 Bulan, 10 Hari</v>
      </c>
      <c r="AC4328" s="14" t="n">
        <v>46314</v>
      </c>
      <c r="AD4328" s="18" t="n">
        <f aca="false">EDATE(AC4328,3)-1</f>
        <v>46405</v>
      </c>
      <c r="AE4328" s="13" t="s">
        <v>1752</v>
      </c>
    </row>
    <row r="4329" customFormat="false" ht="15" hidden="false" customHeight="true" outlineLevel="0" collapsed="false">
      <c r="A4329" s="12" t="n">
        <v>22964</v>
      </c>
      <c r="B4329" s="13" t="s">
        <v>17749</v>
      </c>
      <c r="C4329" s="14" t="n">
        <v>46314</v>
      </c>
      <c r="D4329" s="13" t="s">
        <v>144</v>
      </c>
      <c r="E4329" s="13" t="s">
        <v>47</v>
      </c>
      <c r="F4329" s="24" t="s">
        <v>17750</v>
      </c>
      <c r="G4329" s="13" t="s">
        <v>1127</v>
      </c>
      <c r="H4329" s="13" t="s">
        <v>35</v>
      </c>
      <c r="I4329" s="13" t="str">
        <f aca="false">IF(C4329=J4329,"NEW KONTRAK","RE-KONTRAK")</f>
        <v>NEW KONTRAK</v>
      </c>
      <c r="J4329" s="16" t="n">
        <f aca="false" t="array" ref="J4329:J4329">IFERROR(INDEX(AC4329:AE4329,IF(COUNTA(AC4329:AE4329)=0,"",MAX((AC4329:AE4329&lt;&gt;"")*(COLUMN(AC4329:AE4329)-(COLUMN(AC4329)))))-1),"")</f>
        <v>46314</v>
      </c>
      <c r="K4329" s="16" t="n">
        <f aca="false" t="array" ref="K4329:K4329">IFERROR(INDEX(AC4329:AE4329,IF(COUNTA(AC4329:AE4329)=0,"",MAX((AC4329:AE4329&lt;&gt;"")*(COLUMN(AC4329:AE4329)-(COLUMN(AC4329)-1))))-1),"")</f>
        <v>46405</v>
      </c>
      <c r="L4329" s="17" t="str">
        <f aca="false" t="array" ref="L4329:L4329">IFERROR(INDEX(AC4329:AE4329,IF(COUNTA(AC4329:AE4329)=0,"",MAX((AC4329:AE4329&lt;&gt;"")*(COLUMN(AC4329:AE4329)-(COLUMN(AC4329)-2))))-1),"")</f>
        <v>PRINTED</v>
      </c>
      <c r="M4329" s="13" t="n">
        <f aca="true">K4329-TODAY()</f>
        <v>81</v>
      </c>
      <c r="N4329" s="18" t="s">
        <v>36</v>
      </c>
      <c r="O4329" s="13" t="s">
        <v>156</v>
      </c>
      <c r="P4329" s="26" t="n">
        <v>5195401</v>
      </c>
      <c r="Q4329" s="20" t="s">
        <v>17751</v>
      </c>
      <c r="R4329" s="13" t="s">
        <v>5190</v>
      </c>
      <c r="S4329" s="25" t="n">
        <v>36373</v>
      </c>
      <c r="T4329" s="13" t="s">
        <v>40</v>
      </c>
      <c r="U4329" s="13" t="s">
        <v>17752</v>
      </c>
      <c r="V4329" s="13" t="s">
        <v>42</v>
      </c>
      <c r="W4329" s="13" t="s">
        <v>54</v>
      </c>
      <c r="X4329" s="21" t="n">
        <v>81333738668</v>
      </c>
      <c r="Y4329" s="22" t="str">
        <f aca="false">O4329</f>
        <v>Emulsion</v>
      </c>
      <c r="Z4329" s="13" t="str">
        <f aca="false">IFERROR(__xludf.dummyfunction("if(BJ4329="""","""",GOOGLETRANSLATE(BJ4329,""auto"",""en""))"),"Emulsion")</f>
        <v>Emulsion</v>
      </c>
      <c r="AA4329" s="23" t="str">
        <f aca="false">IF(C4329="","", CHOOSE(MONTH(C4329),"January","February","March","April","May","June","July","August","September","October","November","December")&amp;" "&amp;DAY(C4329)&amp;MID("thstndrdth",MIN(9,2*RIGHT(DAY(C4329))*(MOD(DAY(C4329)-11,100)&gt;2)+1),2)&amp;","&amp;TEXT(C4329," yyyy"))</f>
        <v>October 19th,2026</v>
      </c>
      <c r="AB4329" s="15" t="str">
        <f aca="true">IF(S4329="","",DATEDIF(S4329,TODAY(),"Y")&amp;" Tahun, "&amp;DATEDIF(S4329,TODAY(),"YM")&amp;" Bulan, "&amp;DATEDIF(S4329,TODAY(),"MD")&amp;" Hari")</f>
        <v>27 Tahun, 2 Bulan, 28 Hari</v>
      </c>
      <c r="AC4329" s="14" t="n">
        <v>46314</v>
      </c>
      <c r="AD4329" s="18" t="n">
        <f aca="false">EDATE(AC4329,3)-1</f>
        <v>46405</v>
      </c>
      <c r="AE4329" s="13" t="s">
        <v>1752</v>
      </c>
    </row>
    <row r="4330" customFormat="false" ht="15" hidden="false" customHeight="true" outlineLevel="0" collapsed="false">
      <c r="A4330" s="12" t="n">
        <v>22965</v>
      </c>
      <c r="B4330" s="13" t="s">
        <v>17753</v>
      </c>
      <c r="C4330" s="14" t="n">
        <v>46314</v>
      </c>
      <c r="D4330" s="13" t="s">
        <v>144</v>
      </c>
      <c r="E4330" s="13" t="s">
        <v>12803</v>
      </c>
      <c r="F4330" s="24" t="s">
        <v>17754</v>
      </c>
      <c r="G4330" s="13" t="s">
        <v>1127</v>
      </c>
      <c r="H4330" s="13" t="s">
        <v>35</v>
      </c>
      <c r="I4330" s="13" t="str">
        <f aca="false">IF(C4330=J4330,"NEW KONTRAK","RE-KONTRAK")</f>
        <v>NEW KONTRAK</v>
      </c>
      <c r="J4330" s="16" t="n">
        <f aca="false" t="array" ref="J4330:J4330">IFERROR(INDEX(AC4330:AE4330,IF(COUNTA(AC4330:AE4330)=0,"",MAX((AC4330:AE4330&lt;&gt;"")*(COLUMN(AC4330:AE4330)-(COLUMN(AC4330)))))-1),"")</f>
        <v>46314</v>
      </c>
      <c r="K4330" s="16" t="n">
        <f aca="false" t="array" ref="K4330:K4330">IFERROR(INDEX(AC4330:AE4330,IF(COUNTA(AC4330:AE4330)=0,"",MAX((AC4330:AE4330&lt;&gt;"")*(COLUMN(AC4330:AE4330)-(COLUMN(AC4330)-1))))-1),"")</f>
        <v>46405</v>
      </c>
      <c r="L4330" s="17" t="str">
        <f aca="false" t="array" ref="L4330:L4330">IFERROR(INDEX(AC4330:AE4330,IF(COUNTA(AC4330:AE4330)=0,"",MAX((AC4330:AE4330&lt;&gt;"")*(COLUMN(AC4330:AE4330)-(COLUMN(AC4330)-2))))-1),"")</f>
        <v>PRINTED</v>
      </c>
      <c r="M4330" s="13" t="n">
        <f aca="true">K4330-TODAY()</f>
        <v>81</v>
      </c>
      <c r="N4330" s="18" t="s">
        <v>36</v>
      </c>
      <c r="O4330" s="13" t="s">
        <v>156</v>
      </c>
      <c r="P4330" s="26" t="n">
        <v>5195401</v>
      </c>
      <c r="Q4330" s="20" t="s">
        <v>17755</v>
      </c>
      <c r="R4330" s="13" t="s">
        <v>260</v>
      </c>
      <c r="S4330" s="25" t="n">
        <v>31948</v>
      </c>
      <c r="T4330" s="13" t="s">
        <v>40</v>
      </c>
      <c r="U4330" s="13" t="s">
        <v>17756</v>
      </c>
      <c r="V4330" s="13" t="s">
        <v>42</v>
      </c>
      <c r="W4330" s="13" t="s">
        <v>43</v>
      </c>
      <c r="X4330" s="21" t="n">
        <v>81907560038</v>
      </c>
      <c r="Y4330" s="22" t="str">
        <f aca="false">O4330</f>
        <v>Emulsion</v>
      </c>
      <c r="Z4330" s="13" t="str">
        <f aca="false">IFERROR(__xludf.dummyfunction("if(BJ4330="""","""",GOOGLETRANSLATE(BJ4330,""auto"",""en""))"),"Emulsion")</f>
        <v>Emulsion</v>
      </c>
      <c r="AA4330" s="23" t="str">
        <f aca="false">IF(C4330="","", CHOOSE(MONTH(C4330),"January","February","March","April","May","June","July","August","September","October","November","December")&amp;" "&amp;DAY(C4330)&amp;MID("thstndrdth",MIN(9,2*RIGHT(DAY(C4330))*(MOD(DAY(C4330)-11,100)&gt;2)+1),2)&amp;","&amp;TEXT(C4330," yyyy"))</f>
        <v>October 19th,2026</v>
      </c>
      <c r="AB4330" s="15" t="str">
        <f aca="true">IF(S4330="","",DATEDIF(S4330,TODAY(),"Y")&amp;" Tahun, "&amp;DATEDIF(S4330,TODAY(),"YM")&amp;" Bulan, "&amp;DATEDIF(S4330,TODAY(),"MD")&amp;" Hari")</f>
        <v>39 Tahun, 4 Bulan, 9 Hari</v>
      </c>
      <c r="AC4330" s="14" t="n">
        <v>46314</v>
      </c>
      <c r="AD4330" s="18" t="n">
        <f aca="false">EDATE(AC4330,3)-1</f>
        <v>46405</v>
      </c>
      <c r="AE4330" s="13" t="s">
        <v>1752</v>
      </c>
    </row>
    <row r="4331" customFormat="false" ht="15" hidden="false" customHeight="true" outlineLevel="0" collapsed="false">
      <c r="A4331" s="12" t="n">
        <v>22966</v>
      </c>
      <c r="B4331" s="13" t="s">
        <v>17757</v>
      </c>
      <c r="C4331" s="140" t="n">
        <v>46250.2916666667</v>
      </c>
      <c r="D4331" s="13" t="s">
        <v>5903</v>
      </c>
      <c r="E4331" s="13" t="s">
        <v>47</v>
      </c>
      <c r="F4331" s="24" t="s">
        <v>17758</v>
      </c>
      <c r="G4331" s="13" t="s">
        <v>1127</v>
      </c>
      <c r="H4331" s="13" t="s">
        <v>35</v>
      </c>
      <c r="I4331" s="13" t="str">
        <f aca="false">IF(C4331=J4331,"NEW KONTRAK","RE-KONTRAK")</f>
        <v>NEW KONTRAK</v>
      </c>
      <c r="J4331" s="16" t="n">
        <f aca="false" t="array" ref="J4331:J4331">IFERROR(INDEX(AC4331:AE4331,IF(COUNTA(AC4331:AE4331)=0,"",MAX((AC4331:AE4331&lt;&gt;"")*(COLUMN(AC4331:AE4331)-(COLUMN(AC4331)))))-1),"")</f>
        <v>46250.2916666667</v>
      </c>
      <c r="K4331" s="16" t="n">
        <f aca="false" t="array" ref="K4331:K4331">IFERROR(INDEX(AC4331:AE4331,IF(COUNTA(AC4331:AE4331)=0,"",MAX((AC4331:AE4331&lt;&gt;"")*(COLUMN(AC4331:AE4331)-(COLUMN(AC4331)-1))))-1),"")</f>
        <v>46505</v>
      </c>
      <c r="L4331" s="17" t="str">
        <f aca="false" t="array" ref="L4331:L4331">IFERROR(INDEX(AC4331:AE4331,IF(COUNTA(AC4331:AE4331)=0,"",MAX((AC4331:AE4331&lt;&gt;"")*(COLUMN(AC4331:AE4331)-(COLUMN(AC4331)-2))))-1),"")</f>
        <v>DRAFTED KONTRAK SELANJUTNYA</v>
      </c>
      <c r="M4331" s="13" t="n">
        <f aca="true">K4331-TODAY()</f>
        <v>181</v>
      </c>
      <c r="N4331" s="50" t="s">
        <v>728</v>
      </c>
      <c r="O4331" s="13" t="s">
        <v>3510</v>
      </c>
      <c r="P4331" s="26" t="n">
        <v>4000000</v>
      </c>
      <c r="Q4331" s="20" t="s">
        <v>17759</v>
      </c>
      <c r="R4331" s="13" t="s">
        <v>39</v>
      </c>
      <c r="S4331" s="25" t="n">
        <v>36883</v>
      </c>
      <c r="T4331" s="13" t="s">
        <v>40</v>
      </c>
      <c r="U4331" s="13" t="s">
        <v>17760</v>
      </c>
      <c r="V4331" s="13" t="s">
        <v>42</v>
      </c>
      <c r="W4331" s="13" t="s">
        <v>43</v>
      </c>
      <c r="X4331" s="21" t="n">
        <v>87756491783</v>
      </c>
      <c r="Y4331" s="22" t="str">
        <f aca="false">O4331</f>
        <v>Teknisi</v>
      </c>
      <c r="Z4331" s="13" t="str">
        <f aca="false">IFERROR(__xludf.dummyfunction("if(BJ4331="""","""",GOOGLETRANSLATE(BJ4331,""auto"",""en""))"),"Technician")</f>
        <v>Technician</v>
      </c>
      <c r="AA4331" s="23" t="str">
        <f aca="false">IF(C4331="","", CHOOSE(MONTH(C4331),"January","February","March","April","May","June","July","August","September","October","November","December")&amp;" "&amp;DAY(C4331)&amp;MID("thstndrdth",MIN(9,2*RIGHT(DAY(C4331))*(MOD(DAY(C4331)-11,100)&gt;2)+1),2)&amp;","&amp;TEXT(C4331," yyyy"))</f>
        <v>August 16th,2026</v>
      </c>
      <c r="AB4331" s="15" t="str">
        <f aca="true">IF(S4331="","",DATEDIF(S4331,TODAY(),"Y")&amp;" Tahun, "&amp;DATEDIF(S4331,TODAY(),"YM")&amp;" Bulan, "&amp;DATEDIF(S4331,TODAY(),"MD")&amp;" Hari")</f>
        <v>25 Tahun, 10 Bulan, 6 Hari</v>
      </c>
      <c r="AC4331" s="140" t="n">
        <v>46250.2916666667</v>
      </c>
      <c r="AD4331" s="18" t="n">
        <v>46505</v>
      </c>
      <c r="AE4331" s="13" t="s">
        <v>17732</v>
      </c>
    </row>
    <row r="4332" customFormat="false" ht="15" hidden="false" customHeight="true" outlineLevel="0" collapsed="false">
      <c r="A4332" s="12" t="n">
        <v>22967</v>
      </c>
      <c r="B4332" s="13" t="s">
        <v>17761</v>
      </c>
      <c r="C4332" s="14" t="n">
        <v>46314</v>
      </c>
      <c r="D4332" s="13" t="s">
        <v>144</v>
      </c>
      <c r="E4332" s="13" t="s">
        <v>47</v>
      </c>
      <c r="F4332" s="24" t="s">
        <v>17762</v>
      </c>
      <c r="G4332" s="13" t="s">
        <v>1127</v>
      </c>
      <c r="H4332" s="13" t="s">
        <v>35</v>
      </c>
      <c r="I4332" s="13" t="str">
        <f aca="false">IF(C4332=J4332,"NEW KONTRAK","RE-KONTRAK")</f>
        <v>NEW KONTRAK</v>
      </c>
      <c r="J4332" s="16" t="n">
        <f aca="false" t="array" ref="J4332:J4332">IFERROR(INDEX(AC4332:AE4332,IF(COUNTA(AC4332:AE4332)=0,"",MAX((AC4332:AE4332&lt;&gt;"")*(COLUMN(AC4332:AE4332)-(COLUMN(AC4332)))))-1),"")</f>
        <v>46314</v>
      </c>
      <c r="K4332" s="16" t="n">
        <f aca="false" t="array" ref="K4332:K4332">IFERROR(INDEX(AC4332:AE4332,IF(COUNTA(AC4332:AE4332)=0,"",MAX((AC4332:AE4332&lt;&gt;"")*(COLUMN(AC4332:AE4332)-(COLUMN(AC4332)-1))))-1),"")</f>
        <v>46405</v>
      </c>
      <c r="L4332" s="17" t="str">
        <f aca="false" t="array" ref="L4332:L4332">IFERROR(INDEX(AC4332:AE4332,IF(COUNTA(AC4332:AE4332)=0,"",MAX((AC4332:AE4332&lt;&gt;"")*(COLUMN(AC4332:AE4332)-(COLUMN(AC4332)-2))))-1),"")</f>
        <v>PRINTED</v>
      </c>
      <c r="M4332" s="13" t="n">
        <f aca="true">K4332-TODAY()</f>
        <v>81</v>
      </c>
      <c r="N4332" s="18" t="s">
        <v>36</v>
      </c>
      <c r="O4332" s="13" t="s">
        <v>156</v>
      </c>
      <c r="P4332" s="26" t="n">
        <v>5195401</v>
      </c>
      <c r="Q4332" s="20" t="s">
        <v>17763</v>
      </c>
      <c r="R4332" s="13" t="s">
        <v>78</v>
      </c>
      <c r="S4332" s="25" t="n">
        <v>37745</v>
      </c>
      <c r="T4332" s="13" t="s">
        <v>40</v>
      </c>
      <c r="U4332" s="13" t="s">
        <v>17764</v>
      </c>
      <c r="V4332" s="13" t="s">
        <v>99</v>
      </c>
      <c r="W4332" s="13" t="s">
        <v>43</v>
      </c>
      <c r="X4332" s="21" t="n">
        <v>85649194923</v>
      </c>
      <c r="Y4332" s="22" t="str">
        <f aca="false">O4332</f>
        <v>Emulsion</v>
      </c>
      <c r="Z4332" s="13" t="str">
        <f aca="false">IFERROR(__xludf.dummyfunction("if(BJ4332="""","""",GOOGLETRANSLATE(BJ4332,""auto"",""en""))"),"Emulsion")</f>
        <v>Emulsion</v>
      </c>
      <c r="AA4332" s="23" t="str">
        <f aca="false">IF(C4332="","", CHOOSE(MONTH(C4332),"January","February","March","April","May","June","July","August","September","October","November","December")&amp;" "&amp;DAY(C4332)&amp;MID("thstndrdth",MIN(9,2*RIGHT(DAY(C4332))*(MOD(DAY(C4332)-11,100)&gt;2)+1),2)&amp;","&amp;TEXT(C4332," yyyy"))</f>
        <v>October 19th,2026</v>
      </c>
      <c r="AB4332" s="15" t="str">
        <f aca="true">IF(S4332="","",DATEDIF(S4332,TODAY(),"Y")&amp;" Tahun, "&amp;DATEDIF(S4332,TODAY(),"YM")&amp;" Bulan, "&amp;DATEDIF(S4332,TODAY(),"MD")&amp;" Hari")</f>
        <v>23 Tahun, 5 Bulan, 25 Hari</v>
      </c>
      <c r="AC4332" s="14" t="n">
        <v>46314</v>
      </c>
      <c r="AD4332" s="18" t="n">
        <f aca="false">EDATE(AC4332,3)-1</f>
        <v>46405</v>
      </c>
      <c r="AE4332" s="13" t="s">
        <v>1752</v>
      </c>
    </row>
    <row r="4333" customFormat="false" ht="15" hidden="false" customHeight="true" outlineLevel="0" collapsed="false">
      <c r="A4333" s="12" t="n">
        <v>22968</v>
      </c>
      <c r="B4333" s="13" t="s">
        <v>17765</v>
      </c>
      <c r="C4333" s="14" t="n">
        <v>46314</v>
      </c>
      <c r="D4333" s="13" t="s">
        <v>144</v>
      </c>
      <c r="E4333" s="13" t="s">
        <v>47</v>
      </c>
      <c r="F4333" s="24" t="s">
        <v>17766</v>
      </c>
      <c r="G4333" s="13" t="s">
        <v>1127</v>
      </c>
      <c r="H4333" s="13" t="s">
        <v>35</v>
      </c>
      <c r="I4333" s="13" t="str">
        <f aca="false">IF(C4333=J4333,"NEW KONTRAK","RE-KONTRAK")</f>
        <v>NEW KONTRAK</v>
      </c>
      <c r="J4333" s="16" t="n">
        <f aca="false" t="array" ref="J4333:J4333">IFERROR(INDEX(AC4333:AE4333,IF(COUNTA(AC4333:AE4333)=0,"",MAX((AC4333:AE4333&lt;&gt;"")*(COLUMN(AC4333:AE4333)-(COLUMN(AC4333)))))-1),"")</f>
        <v>46314</v>
      </c>
      <c r="K4333" s="16" t="n">
        <f aca="false" t="array" ref="K4333:K4333">IFERROR(INDEX(AC4333:AE4333,IF(COUNTA(AC4333:AE4333)=0,"",MAX((AC4333:AE4333&lt;&gt;"")*(COLUMN(AC4333:AE4333)-(COLUMN(AC4333)-1))))-1),"")</f>
        <v>46405</v>
      </c>
      <c r="L4333" s="17" t="str">
        <f aca="false" t="array" ref="L4333:L4333">IFERROR(INDEX(AC4333:AE4333,IF(COUNTA(AC4333:AE4333)=0,"",MAX((AC4333:AE4333&lt;&gt;"")*(COLUMN(AC4333:AE4333)-(COLUMN(AC4333)-2))))-1),"")</f>
        <v>PRINTED</v>
      </c>
      <c r="M4333" s="13" t="n">
        <f aca="true">K4333-TODAY()</f>
        <v>81</v>
      </c>
      <c r="N4333" s="18" t="s">
        <v>36</v>
      </c>
      <c r="O4333" s="13" t="s">
        <v>156</v>
      </c>
      <c r="P4333" s="26" t="n">
        <v>5195401</v>
      </c>
      <c r="Q4333" s="20" t="s">
        <v>17767</v>
      </c>
      <c r="R4333" s="13" t="s">
        <v>65</v>
      </c>
      <c r="S4333" s="25" t="n">
        <v>35830</v>
      </c>
      <c r="T4333" s="13" t="s">
        <v>40</v>
      </c>
      <c r="U4333" s="13" t="s">
        <v>17768</v>
      </c>
      <c r="V4333" s="13" t="s">
        <v>42</v>
      </c>
      <c r="W4333" s="13" t="s">
        <v>43</v>
      </c>
      <c r="X4333" s="21" t="n">
        <v>81283555572</v>
      </c>
      <c r="Y4333" s="22" t="str">
        <f aca="false">O4333</f>
        <v>Emulsion</v>
      </c>
      <c r="Z4333" s="13" t="str">
        <f aca="false">IFERROR(__xludf.dummyfunction("if(BJ4333="""","""",GOOGLETRANSLATE(BJ4333,""auto"",""en""))"),"Emulsion")</f>
        <v>Emulsion</v>
      </c>
      <c r="AA4333" s="23" t="str">
        <f aca="false">IF(C4333="","", CHOOSE(MONTH(C4333),"January","February","March","April","May","June","July","August","September","October","November","December")&amp;" "&amp;DAY(C4333)&amp;MID("thstndrdth",MIN(9,2*RIGHT(DAY(C4333))*(MOD(DAY(C4333)-11,100)&gt;2)+1),2)&amp;","&amp;TEXT(C4333," yyyy"))</f>
        <v>October 19th,2026</v>
      </c>
      <c r="AB4333" s="15" t="str">
        <f aca="true">IF(S4333="","",DATEDIF(S4333,TODAY(),"Y")&amp;" Tahun, "&amp;DATEDIF(S4333,TODAY(),"YM")&amp;" Bulan, "&amp;DATEDIF(S4333,TODAY(),"MD")&amp;" Hari")</f>
        <v>28 Tahun, 8 Bulan, 25 Hari</v>
      </c>
      <c r="AC4333" s="14" t="n">
        <v>46314</v>
      </c>
      <c r="AD4333" s="18" t="n">
        <f aca="false">EDATE(AC4333,3)-1</f>
        <v>46405</v>
      </c>
      <c r="AE4333" s="13" t="s">
        <v>1752</v>
      </c>
    </row>
    <row r="4334" customFormat="false" ht="15" hidden="false" customHeight="true" outlineLevel="0" collapsed="false">
      <c r="A4334" s="12" t="n">
        <v>22969</v>
      </c>
      <c r="B4334" s="13" t="s">
        <v>17769</v>
      </c>
      <c r="C4334" s="14" t="n">
        <v>46314</v>
      </c>
      <c r="D4334" s="13" t="s">
        <v>14185</v>
      </c>
      <c r="E4334" s="13" t="s">
        <v>47</v>
      </c>
      <c r="F4334" s="24" t="s">
        <v>17770</v>
      </c>
      <c r="G4334" s="13" t="s">
        <v>1127</v>
      </c>
      <c r="H4334" s="13" t="s">
        <v>35</v>
      </c>
      <c r="I4334" s="13" t="str">
        <f aca="false">IF(C4334=J4334,"NEW KONTRAK","RE-KONTRAK")</f>
        <v>NEW KONTRAK</v>
      </c>
      <c r="J4334" s="16" t="n">
        <f aca="false" t="array" ref="J4334:J4334">IFERROR(INDEX(AC4334:AE4334,IF(COUNTA(AC4334:AE4334)=0,"",MAX((AC4334:AE4334&lt;&gt;"")*(COLUMN(AC4334:AE4334)-(COLUMN(AC4334)))))-1),"")</f>
        <v>46314</v>
      </c>
      <c r="K4334" s="16" t="n">
        <f aca="false" t="array" ref="K4334:K4334">IFERROR(INDEX(AC4334:AE4334,IF(COUNTA(AC4334:AE4334)=0,"",MAX((AC4334:AE4334&lt;&gt;"")*(COLUMN(AC4334:AE4334)-(COLUMN(AC4334)-1))))-1),"")</f>
        <v>46405</v>
      </c>
      <c r="L4334" s="17" t="str">
        <f aca="false" t="array" ref="L4334:L4334">IFERROR(INDEX(AC4334:AE4334,IF(COUNTA(AC4334:AE4334)=0,"",MAX((AC4334:AE4334&lt;&gt;"")*(COLUMN(AC4334:AE4334)-(COLUMN(AC4334)-2))))-1),"")</f>
        <v>DRAFTED KONTRAK SELANJUTNYA</v>
      </c>
      <c r="M4334" s="13" t="n">
        <f aca="true">K4334-TODAY()</f>
        <v>81</v>
      </c>
      <c r="N4334" s="13" t="s">
        <v>4047</v>
      </c>
      <c r="O4334" s="13" t="s">
        <v>3271</v>
      </c>
      <c r="P4334" s="26" t="n">
        <v>120000</v>
      </c>
      <c r="Q4334" s="20" t="s">
        <v>17771</v>
      </c>
      <c r="R4334" s="13" t="s">
        <v>10037</v>
      </c>
      <c r="S4334" s="25" t="n">
        <v>37831</v>
      </c>
      <c r="T4334" s="13" t="s">
        <v>40</v>
      </c>
      <c r="U4334" s="13" t="s">
        <v>17772</v>
      </c>
      <c r="V4334" s="13" t="s">
        <v>42</v>
      </c>
      <c r="W4334" s="13" t="s">
        <v>43</v>
      </c>
      <c r="X4334" s="21" t="n">
        <v>82317572991</v>
      </c>
      <c r="Y4334" s="22" t="str">
        <f aca="false">O4334</f>
        <v>Helper</v>
      </c>
      <c r="Z4334" s="13" t="str">
        <f aca="false">IFERROR(__xludf.dummyfunction("if(BJ4334="""","""",GOOGLETRANSLATE(BJ4334,""auto"",""en""))"),"Helper")</f>
        <v>Helper</v>
      </c>
      <c r="AA4334" s="23" t="str">
        <f aca="false">IF(C4334="","", CHOOSE(MONTH(C4334),"January","February","March","April","May","June","July","August","September","October","November","December")&amp;" "&amp;DAY(C4334)&amp;MID("thstndrdth",MIN(9,2*RIGHT(DAY(C4334))*(MOD(DAY(C4334)-11,100)&gt;2)+1),2)&amp;","&amp;TEXT(C4334," yyyy"))</f>
        <v>October 19th,2026</v>
      </c>
      <c r="AB4334" s="15" t="str">
        <f aca="true">IF(S4334="","",DATEDIF(S4334,TODAY(),"Y")&amp;" Tahun, "&amp;DATEDIF(S4334,TODAY(),"YM")&amp;" Bulan, "&amp;DATEDIF(S4334,TODAY(),"MD")&amp;" Hari")</f>
        <v>23 Tahun, 3 Bulan, 0 Hari</v>
      </c>
      <c r="AC4334" s="14" t="n">
        <v>46314</v>
      </c>
      <c r="AD4334" s="18" t="n">
        <f aca="false">EDATE(AC4334,3)-1</f>
        <v>46405</v>
      </c>
      <c r="AE4334" s="13" t="s">
        <v>17732</v>
      </c>
    </row>
    <row r="4335" customFormat="false" ht="15" hidden="false" customHeight="true" outlineLevel="0" collapsed="false">
      <c r="A4335" s="12" t="n">
        <v>22970</v>
      </c>
      <c r="B4335" s="131" t="s">
        <v>17773</v>
      </c>
      <c r="C4335" s="14" t="n">
        <v>46314</v>
      </c>
      <c r="D4335" s="13" t="s">
        <v>14185</v>
      </c>
      <c r="E4335" s="13" t="s">
        <v>47</v>
      </c>
      <c r="F4335" s="24" t="s">
        <v>17774</v>
      </c>
      <c r="G4335" s="13" t="s">
        <v>1127</v>
      </c>
      <c r="H4335" s="13" t="s">
        <v>35</v>
      </c>
      <c r="I4335" s="13" t="str">
        <f aca="false">IF(C4335=J4335,"NEW KONTRAK","RE-KONTRAK")</f>
        <v>NEW KONTRAK</v>
      </c>
      <c r="J4335" s="16" t="n">
        <f aca="false" t="array" ref="J4335:J4335">IFERROR(INDEX(AC4335:AE4335,IF(COUNTA(AC4335:AE4335)=0,"",MAX((AC4335:AE4335&lt;&gt;"")*(COLUMN(AC4335:AE4335)-(COLUMN(AC4335)))))-1),"")</f>
        <v>46314</v>
      </c>
      <c r="K4335" s="16" t="n">
        <f aca="false" t="array" ref="K4335:K4335">IFERROR(INDEX(AC4335:AE4335,IF(COUNTA(AC4335:AE4335)=0,"",MAX((AC4335:AE4335&lt;&gt;"")*(COLUMN(AC4335:AE4335)-(COLUMN(AC4335)-1))))-1),"")</f>
        <v>46405</v>
      </c>
      <c r="L4335" s="17" t="str">
        <f aca="false" t="array" ref="L4335:L4335">IFERROR(INDEX(AC4335:AE4335,IF(COUNTA(AC4335:AE4335)=0,"",MAX((AC4335:AE4335&lt;&gt;"")*(COLUMN(AC4335:AE4335)-(COLUMN(AC4335)-2))))-1),"")</f>
        <v>PRINTED</v>
      </c>
      <c r="M4335" s="13" t="n">
        <f aca="true">K4335-TODAY()</f>
        <v>81</v>
      </c>
      <c r="N4335" s="18" t="s">
        <v>728</v>
      </c>
      <c r="O4335" s="13" t="s">
        <v>3271</v>
      </c>
      <c r="P4335" s="26" t="n">
        <v>120000</v>
      </c>
      <c r="Q4335" s="20" t="s">
        <v>17775</v>
      </c>
      <c r="R4335" s="13" t="s">
        <v>52</v>
      </c>
      <c r="S4335" s="25" t="n">
        <v>35999</v>
      </c>
      <c r="T4335" s="13" t="s">
        <v>40</v>
      </c>
      <c r="U4335" s="13" t="s">
        <v>17776</v>
      </c>
      <c r="V4335" s="13" t="s">
        <v>42</v>
      </c>
      <c r="W4335" s="13" t="s">
        <v>43</v>
      </c>
      <c r="X4335" s="21" t="n">
        <v>87756495147</v>
      </c>
      <c r="Y4335" s="22" t="str">
        <f aca="false">O4335</f>
        <v>Helper</v>
      </c>
      <c r="Z4335" s="13" t="str">
        <f aca="false">IFERROR(__xludf.dummyfunction("if(BJ4335="""","""",GOOGLETRANSLATE(BJ4335,""auto"",""en""))"),"Helper")</f>
        <v>Helper</v>
      </c>
      <c r="AA4335" s="23" t="str">
        <f aca="false">IF(C4335="","", CHOOSE(MONTH(C4335),"January","February","March","April","May","June","July","August","September","October","November","December")&amp;" "&amp;DAY(C4335)&amp;MID("thstndrdth",MIN(9,2*RIGHT(DAY(C4335))*(MOD(DAY(C4335)-11,100)&gt;2)+1),2)&amp;","&amp;TEXT(C4335," yyyy"))</f>
        <v>October 19th,2026</v>
      </c>
      <c r="AB4335" s="15" t="str">
        <f aca="true">IF(S4335="","",DATEDIF(S4335,TODAY(),"Y")&amp;" Tahun, "&amp;DATEDIF(S4335,TODAY(),"YM")&amp;" Bulan, "&amp;DATEDIF(S4335,TODAY(),"MD")&amp;" Hari")</f>
        <v>28 Tahun, 3 Bulan, 6 Hari</v>
      </c>
      <c r="AC4335" s="14" t="n">
        <v>46314</v>
      </c>
      <c r="AD4335" s="18" t="n">
        <f aca="false">EDATE(AC4335,3)-1</f>
        <v>46405</v>
      </c>
      <c r="AE4335" s="13" t="s">
        <v>1752</v>
      </c>
    </row>
    <row r="4336" customFormat="false" ht="15" hidden="false" customHeight="true" outlineLevel="0" collapsed="false">
      <c r="A4336" s="12" t="n">
        <v>22971</v>
      </c>
      <c r="B4336" s="13" t="s">
        <v>17777</v>
      </c>
      <c r="C4336" s="14" t="n">
        <v>46265</v>
      </c>
      <c r="D4336" s="13" t="s">
        <v>14185</v>
      </c>
      <c r="E4336" s="13" t="s">
        <v>47</v>
      </c>
      <c r="F4336" s="24" t="s">
        <v>17778</v>
      </c>
      <c r="G4336" s="13" t="s">
        <v>1127</v>
      </c>
      <c r="H4336" s="13" t="s">
        <v>35</v>
      </c>
      <c r="I4336" s="13" t="str">
        <f aca="false">IF(C4336=J4336,"NEW KONTRAK","RE-KONTRAK")</f>
        <v>NEW KONTRAK</v>
      </c>
      <c r="J4336" s="16" t="n">
        <f aca="false" t="array" ref="J4336:J4336">IFERROR(INDEX(AC4336:AE4336,IF(COUNTA(AC4336:AE4336)=0,"",MAX((AC4336:AE4336&lt;&gt;"")*(COLUMN(AC4336:AE4336)-(COLUMN(AC4336)))))-1),"")</f>
        <v>46265</v>
      </c>
      <c r="K4336" s="16" t="n">
        <f aca="false" t="array" ref="K4336:K4336">IFERROR(INDEX(AC4336:AE4336,IF(COUNTA(AC4336:AE4336)=0,"",MAX((AC4336:AE4336&lt;&gt;"")*(COLUMN(AC4336:AE4336)-(COLUMN(AC4336)-1))))-1),"")</f>
        <v>46355</v>
      </c>
      <c r="L4336" s="17" t="str">
        <f aca="false" t="array" ref="L4336:L4336">IFERROR(INDEX(AC4336:AE4336,IF(COUNTA(AC4336:AE4336)=0,"",MAX((AC4336:AE4336&lt;&gt;"")*(COLUMN(AC4336:AE4336)-(COLUMN(AC4336)-2))))-1),"")</f>
        <v>ARCHIVED</v>
      </c>
      <c r="M4336" s="13" t="n">
        <f aca="true">K4336-TODAY()</f>
        <v>31</v>
      </c>
      <c r="N4336" s="13" t="s">
        <v>3703</v>
      </c>
      <c r="O4336" s="13" t="s">
        <v>50</v>
      </c>
      <c r="P4336" s="26" t="n">
        <v>800000</v>
      </c>
      <c r="Q4336" s="20" t="s">
        <v>17779</v>
      </c>
      <c r="R4336" s="13" t="s">
        <v>3703</v>
      </c>
      <c r="S4336" s="25" t="n">
        <v>36734</v>
      </c>
      <c r="T4336" s="13" t="s">
        <v>40</v>
      </c>
      <c r="U4336" s="13" t="s">
        <v>17780</v>
      </c>
      <c r="V4336" s="13" t="s">
        <v>42</v>
      </c>
      <c r="W4336" s="13" t="s">
        <v>43</v>
      </c>
      <c r="X4336" s="21" t="n">
        <v>87779653282</v>
      </c>
      <c r="Y4336" s="22" t="str">
        <f aca="false">O4336</f>
        <v>Driver</v>
      </c>
      <c r="Z4336" s="13" t="str">
        <f aca="false">IFERROR(__xludf.dummyfunction("if(BJ4336="""","""",GOOGLETRANSLATE(BJ4336,""auto"",""en""))"),"Driver")</f>
        <v>Driver</v>
      </c>
      <c r="AA4336" s="23" t="str">
        <f aca="false">IF(C4336="","", CHOOSE(MONTH(C4336),"January","February","March","April","May","June","July","August","September","October","November","December")&amp;" "&amp;DAY(C4336)&amp;MID("thstndrdth",MIN(9,2*RIGHT(DAY(C4336))*(MOD(DAY(C4336)-11,100)&gt;2)+1),2)&amp;","&amp;TEXT(C4336," yyyy"))</f>
        <v>August 31st,2026</v>
      </c>
      <c r="AB4336" s="15" t="str">
        <f aca="true">IF(S4336="","",DATEDIF(S4336,TODAY(),"Y")&amp;" Tahun, "&amp;DATEDIF(S4336,TODAY(),"YM")&amp;" Bulan, "&amp;DATEDIF(S4336,TODAY(),"MD")&amp;" Hari")</f>
        <v>26 Tahun, 3 Bulan, 2 Hari</v>
      </c>
      <c r="AC4336" s="14" t="n">
        <v>46265</v>
      </c>
      <c r="AD4336" s="18" t="n">
        <f aca="false">EDATE(AC4336,3)-1</f>
        <v>46355</v>
      </c>
      <c r="AE4336" s="13" t="s">
        <v>44</v>
      </c>
    </row>
    <row r="4337" customFormat="false" ht="15" hidden="false" customHeight="true" outlineLevel="0" collapsed="false">
      <c r="A4337" s="12" t="n">
        <v>22972</v>
      </c>
      <c r="B4337" s="13" t="s">
        <v>17781</v>
      </c>
      <c r="C4337" s="14" t="n">
        <v>46275</v>
      </c>
      <c r="D4337" s="13" t="s">
        <v>14185</v>
      </c>
      <c r="E4337" s="13" t="s">
        <v>47</v>
      </c>
      <c r="F4337" s="24" t="s">
        <v>17782</v>
      </c>
      <c r="G4337" s="13" t="s">
        <v>1127</v>
      </c>
      <c r="H4337" s="13" t="s">
        <v>35</v>
      </c>
      <c r="I4337" s="13" t="str">
        <f aca="false">IF(C4337=J4337,"NEW KONTRAK","RE-KONTRAK")</f>
        <v>NEW KONTRAK</v>
      </c>
      <c r="J4337" s="16" t="n">
        <f aca="false" t="array" ref="J4337:J4337">IFERROR(INDEX(AC4337:AE4337,IF(COUNTA(AC4337:AE4337)=0,"",MAX((AC4337:AE4337&lt;&gt;"")*(COLUMN(AC4337:AE4337)-(COLUMN(AC4337)))))-1),"")</f>
        <v>46275</v>
      </c>
      <c r="K4337" s="16" t="n">
        <f aca="false" t="array" ref="K4337:K4337">IFERROR(INDEX(AC4337:AE4337,IF(COUNTA(AC4337:AE4337)=0,"",MAX((AC4337:AE4337&lt;&gt;"")*(COLUMN(AC4337:AE4337)-(COLUMN(AC4337)-1))))-1),"")</f>
        <v>46365</v>
      </c>
      <c r="L4337" s="17" t="str">
        <f aca="false" t="array" ref="L4337:L4337">IFERROR(INDEX(AC4337:AE4337,IF(COUNTA(AC4337:AE4337)=0,"",MAX((AC4337:AE4337&lt;&gt;"")*(COLUMN(AC4337:AE4337)-(COLUMN(AC4337)-2))))-1),"")</f>
        <v>ARCHIVED</v>
      </c>
      <c r="M4337" s="13" t="n">
        <f aca="true">K4337-TODAY()</f>
        <v>41</v>
      </c>
      <c r="N4337" s="13" t="s">
        <v>763</v>
      </c>
      <c r="O4337" s="13" t="s">
        <v>50</v>
      </c>
      <c r="P4337" s="26" t="n">
        <v>1900000</v>
      </c>
      <c r="Q4337" s="20" t="s">
        <v>17783</v>
      </c>
      <c r="R4337" s="13" t="s">
        <v>763</v>
      </c>
      <c r="S4337" s="25" t="n">
        <v>36061</v>
      </c>
      <c r="T4337" s="13" t="s">
        <v>40</v>
      </c>
      <c r="U4337" s="13" t="s">
        <v>17784</v>
      </c>
      <c r="V4337" s="13" t="s">
        <v>42</v>
      </c>
      <c r="W4337" s="13" t="s">
        <v>43</v>
      </c>
      <c r="X4337" s="21" t="n">
        <v>6285850591930</v>
      </c>
      <c r="Y4337" s="22" t="str">
        <f aca="false">O4337</f>
        <v>Driver</v>
      </c>
      <c r="Z4337" s="13" t="str">
        <f aca="false">IFERROR(__xludf.dummyfunction("if(BJ4337="""","""",GOOGLETRANSLATE(BJ4337,""auto"",""en""))"),"Driver")</f>
        <v>Driver</v>
      </c>
      <c r="AA4337" s="23" t="str">
        <f aca="false">IF(C4337="","", CHOOSE(MONTH(C4337),"January","February","March","April","May","June","July","August","September","October","November","December")&amp;" "&amp;DAY(C4337)&amp;MID("thstndrdth",MIN(9,2*RIGHT(DAY(C4337))*(MOD(DAY(C4337)-11,100)&gt;2)+1),2)&amp;","&amp;TEXT(C4337," yyyy"))</f>
        <v>September 10th,2026</v>
      </c>
      <c r="AB4337" s="15" t="str">
        <f aca="true">IF(S4337="","",DATEDIF(S4337,TODAY(),"Y")&amp;" Tahun, "&amp;DATEDIF(S4337,TODAY(),"YM")&amp;" Bulan, "&amp;DATEDIF(S4337,TODAY(),"MD")&amp;" Hari")</f>
        <v>28 Tahun, 1 Bulan, 6 Hari</v>
      </c>
      <c r="AC4337" s="14" t="n">
        <v>46275</v>
      </c>
      <c r="AD4337" s="18" t="n">
        <f aca="false">EDATE(AC4337,3)-1</f>
        <v>46365</v>
      </c>
      <c r="AE4337" s="13" t="s">
        <v>44</v>
      </c>
    </row>
    <row r="4338" customFormat="false" ht="15" hidden="false" customHeight="true" outlineLevel="0" collapsed="false">
      <c r="A4338" s="12" t="n">
        <v>22861</v>
      </c>
      <c r="B4338" s="13" t="s">
        <v>17785</v>
      </c>
      <c r="C4338" s="14" t="n">
        <v>46279</v>
      </c>
      <c r="D4338" s="13" t="s">
        <v>1721</v>
      </c>
      <c r="E4338" s="13" t="s">
        <v>47</v>
      </c>
      <c r="F4338" s="24" t="s">
        <v>17786</v>
      </c>
      <c r="G4338" s="13" t="s">
        <v>1452</v>
      </c>
      <c r="H4338" s="13" t="s">
        <v>35</v>
      </c>
      <c r="I4338" s="13" t="str">
        <f aca="false">IF(C4338=J4338,"NEW KONTRAK","RE-KONTRAK")</f>
        <v>NEW KONTRAK</v>
      </c>
      <c r="J4338" s="16" t="n">
        <f aca="false" t="array" ref="J4338:J4338">IFERROR(INDEX(AC4338:AE4338,IF(COUNTA(AC4338:AE4338)=0,"",MAX((AC4338:AE4338&lt;&gt;"")*(COLUMN(AC4338:AE4338)-(COLUMN(AC4338)))))-1),"")</f>
        <v>46279</v>
      </c>
      <c r="K4338" s="16" t="n">
        <f aca="false" t="array" ref="K4338:K4338">IFERROR(INDEX(AC4338:AE4338,IF(COUNTA(AC4338:AE4338)=0,"",MAX((AC4338:AE4338&lt;&gt;"")*(COLUMN(AC4338:AE4338)-(COLUMN(AC4338)-1))))-1),"")</f>
        <v>46386</v>
      </c>
      <c r="L4338" s="17" t="str">
        <f aca="false" t="array" ref="L4338:L4338">IFERROR(INDEX(AC4338:AE4338,IF(COUNTA(AC4338:AE4338)=0,"",MAX((AC4338:AE4338&lt;&gt;"")*(COLUMN(AC4338:AE4338)-(COLUMN(AC4338)-2))))-1),"")</f>
        <v>ARCHIVED</v>
      </c>
      <c r="M4338" s="13" t="n">
        <f aca="true">K4338-TODAY()</f>
        <v>62</v>
      </c>
      <c r="N4338" s="18" t="s">
        <v>728</v>
      </c>
      <c r="O4338" s="13" t="s">
        <v>1755</v>
      </c>
      <c r="P4338" s="26" t="n">
        <v>5444909</v>
      </c>
      <c r="Q4338" s="20" t="s">
        <v>17787</v>
      </c>
      <c r="R4338" s="48" t="s">
        <v>2001</v>
      </c>
      <c r="S4338" s="25" t="n">
        <v>32454</v>
      </c>
      <c r="T4338" s="13" t="s">
        <v>108</v>
      </c>
      <c r="U4338" s="13" t="s">
        <v>17300</v>
      </c>
      <c r="V4338" s="13" t="s">
        <v>42</v>
      </c>
      <c r="W4338" s="28" t="s">
        <v>54</v>
      </c>
      <c r="X4338" s="30" t="n">
        <v>89681818451</v>
      </c>
      <c r="Y4338" s="22" t="str">
        <f aca="false">O4338</f>
        <v>Im.Operator</v>
      </c>
      <c r="Z4338" s="13" t="str">
        <f aca="false">IFERROR(__xludf.dummyfunction("if(BJ4338="""","""",GOOGLETRANSLATE(BJ4338,""auto"",""en""))"),"Im.Operator")</f>
        <v>Im.Operator</v>
      </c>
      <c r="AA4338" s="23" t="str">
        <f aca="false">IF(C4338="","", CHOOSE(MONTH(C4338),"January","February","March","April","May","June","July","August","September","October","November","December")&amp;" "&amp;DAY(C4338)&amp;MID("thstndrdth",MIN(9,2*RIGHT(DAY(C4338))*(MOD(DAY(C4338)-11,100)&gt;2)+1),2)&amp;","&amp;TEXT(C4338," yyyy"))</f>
        <v>September 14th,2026</v>
      </c>
      <c r="AB4338" s="15" t="str">
        <f aca="true">IF(S4338="","",DATEDIF(S4338,TODAY(),"Y")&amp;" Tahun, "&amp;DATEDIF(S4338,TODAY(),"YM")&amp;" Bulan, "&amp;DATEDIF(S4338,TODAY(),"MD")&amp;" Hari")</f>
        <v>37 Tahun, 11 Bulan, 22 Hari</v>
      </c>
      <c r="AC4338" s="14" t="n">
        <v>46279</v>
      </c>
      <c r="AD4338" s="18" t="n">
        <v>46386</v>
      </c>
      <c r="AE4338" s="13" t="s">
        <v>44</v>
      </c>
    </row>
    <row r="4339" customFormat="false" ht="15" hidden="false" customHeight="true" outlineLevel="0" collapsed="false">
      <c r="A4339" s="12" t="n">
        <v>2278</v>
      </c>
      <c r="B4339" s="13" t="s">
        <v>17788</v>
      </c>
      <c r="C4339" s="14" t="n">
        <v>44505</v>
      </c>
      <c r="D4339" s="13" t="s">
        <v>1721</v>
      </c>
      <c r="E4339" s="15" t="s">
        <v>47</v>
      </c>
      <c r="F4339" s="15" t="str">
        <f aca="false">IFERROR(__xludf.dummyfunction("XLOOKUP(AJ4339,IMPORTRANGE(""1XaInW9DU9nz21V0tYIfzFQ0He9kVQ_JF2mCXgZ3hqFA"",""REKAP ALL 2026 - Andika!G:G""),IMPORTRANGE(""1XaInW9DU9nz21V0tYIfzFQ0He9kVQ_JF2mCXgZ3hqFA"",""REKAP ALL 2026 - Andika!F:F""),"""",0)"),"19045118940")</f>
        <v>19045118940</v>
      </c>
      <c r="G4339" s="13" t="s">
        <v>17789</v>
      </c>
      <c r="H4339" s="13" t="s">
        <v>35</v>
      </c>
      <c r="I4339" s="13" t="str">
        <f aca="false">IF(C4339=J4339,"NEW KONTRAK","RE-KONTRAK")</f>
        <v>RE-KONTRAK</v>
      </c>
      <c r="J4339" s="16" t="n">
        <f aca="false" t="array" ref="J4339:J4339">IFERROR(INDEX(AC4339:AE4339,IF(COUNTA(AC4339:AE4339)=0,"",MAX((AC4339:AE4339&lt;&gt;"")*(COLUMN(AC4339:AE4339)-(COLUMN(AC4339)))))-1),"")</f>
        <v>45659</v>
      </c>
      <c r="K4339" s="16" t="n">
        <f aca="false" t="array" ref="K4339:K4339">IFERROR(INDEX(AC4339:AE4339,IF(COUNTA(AC4339:AE4339)=0,"",MAX((AC4339:AE4339&lt;&gt;"")*(COLUMN(AC4339:AE4339)-(COLUMN(AC4339)-1))))-1),"")</f>
        <v>46015</v>
      </c>
      <c r="L4339" s="17" t="str">
        <f aca="false" t="array" ref="L4339:L4339">IFERROR(INDEX(AC4339:AE4339,IF(COUNTA(AC4339:AE4339)=0,"",MAX((AC4339:AE4339&lt;&gt;"")*(COLUMN(AC4339:AE4339)-(COLUMN(AC4339)-2))))-1),"")</f>
        <v>ARCHIVED</v>
      </c>
      <c r="M4339" s="13" t="n">
        <f aca="true">K4339-TODAY()</f>
        <v>-309</v>
      </c>
      <c r="N4339" s="18" t="s">
        <v>728</v>
      </c>
      <c r="O4339" s="13" t="s">
        <v>1914</v>
      </c>
      <c r="P4339" s="19" t="n">
        <v>5444909</v>
      </c>
      <c r="Q4339" s="20" t="s">
        <v>17790</v>
      </c>
      <c r="R4339" s="13" t="s">
        <v>73</v>
      </c>
      <c r="S4339" s="14" t="n">
        <v>31655</v>
      </c>
      <c r="T4339" s="13" t="s">
        <v>108</v>
      </c>
      <c r="U4339" s="13" t="s">
        <v>17791</v>
      </c>
      <c r="V4339" s="13" t="s">
        <v>42</v>
      </c>
      <c r="W4339" s="13" t="s">
        <v>54</v>
      </c>
      <c r="X4339" s="21" t="n">
        <v>83115923290</v>
      </c>
      <c r="Y4339" s="22" t="str">
        <f aca="false">O4339</f>
        <v>Im Operator</v>
      </c>
      <c r="Z4339" s="13" t="str">
        <f aca="false">IFERROR(__xludf.dummyfunction("if(BJ4339="""","""",GOOGLETRANSLATE(BJ4339,""auto"",""en""))"),"Im Operator")</f>
        <v>Im Operator</v>
      </c>
      <c r="AA4339" s="23" t="str">
        <f aca="false">IF(C4339="","", CHOOSE(MONTH(C4339),"January","February","March","April","May","June","July","August","September","October","November","December")&amp;" "&amp;DAY(C4339)&amp;MID("thstndrdth",MIN(9,2*RIGHT(DAY(C4339))*(MOD(DAY(C4339)-11,100)&gt;2)+1),2)&amp;","&amp;TEXT(C4339," yyyy"))</f>
        <v>November 5th,2021</v>
      </c>
      <c r="AB4339" s="15" t="str">
        <f aca="true">IF(S4339="","",DATEDIF(S4339,TODAY(),"Y")&amp;" Tahun, "&amp;DATEDIF(S4339,TODAY(),"YM")&amp;" Bulan, "&amp;DATEDIF(S4339,TODAY(),"MD")&amp;" Hari")</f>
        <v>40 Tahun, 1 Bulan, 28 Hari</v>
      </c>
      <c r="AC4339" s="18" t="n">
        <v>45659</v>
      </c>
      <c r="AD4339" s="18" t="n">
        <v>46015</v>
      </c>
      <c r="AE4339" s="18" t="s">
        <v>44</v>
      </c>
    </row>
    <row r="4340" customFormat="false" ht="15" hidden="false" customHeight="true" outlineLevel="0" collapsed="false">
      <c r="A4340" s="12" t="n">
        <v>2282</v>
      </c>
      <c r="B4340" s="13" t="s">
        <v>17792</v>
      </c>
      <c r="C4340" s="14" t="n">
        <v>44564</v>
      </c>
      <c r="D4340" s="13" t="s">
        <v>1721</v>
      </c>
      <c r="E4340" s="15" t="s">
        <v>47</v>
      </c>
      <c r="F4340" s="15" t="str">
        <f aca="false">IFERROR(__xludf.dummyfunction("XLOOKUP(AJ4340,IMPORTRANGE(""1XaInW9DU9nz21V0tYIfzFQ0He9kVQ_JF2mCXgZ3hqFA"",""REKAP ALL 2026 - Andika!G:G""),IMPORTRANGE(""1XaInW9DU9nz21V0tYIfzFQ0He9kVQ_JF2mCXgZ3hqFA"",""REKAP ALL 2026 - Andika!F:F""),"""",0)"),"22015020278")</f>
        <v>22015020278</v>
      </c>
      <c r="G4340" s="13" t="s">
        <v>17793</v>
      </c>
      <c r="H4340" s="13" t="s">
        <v>35</v>
      </c>
      <c r="I4340" s="13" t="str">
        <f aca="false">IF(C4340=J4340,"NEW KONTRAK","RE-KONTRAK")</f>
        <v>RE-KONTRAK</v>
      </c>
      <c r="J4340" s="16" t="n">
        <f aca="false" t="array" ref="J4340:J4340">IFERROR(INDEX(AC4340:AE4340,IF(COUNTA(AC4340:AE4340)=0,"",MAX((AC4340:AE4340&lt;&gt;"")*(COLUMN(AC4340:AE4340)-(COLUMN(AC4340)))))-1),"")</f>
        <v>45659</v>
      </c>
      <c r="K4340" s="16" t="n">
        <f aca="false" t="array" ref="K4340:K4340">IFERROR(INDEX(AC4340:AE4340,IF(COUNTA(AC4340:AE4340)=0,"",MAX((AC4340:AE4340&lt;&gt;"")*(COLUMN(AC4340:AE4340)-(COLUMN(AC4340)-1))))-1),"")</f>
        <v>46015</v>
      </c>
      <c r="L4340" s="17" t="str">
        <f aca="false" t="array" ref="L4340:L4340">IFERROR(INDEX(AC4340:AE4340,IF(COUNTA(AC4340:AE4340)=0,"",MAX((AC4340:AE4340&lt;&gt;"")*(COLUMN(AC4340:AE4340)-(COLUMN(AC4340)-2))))-1),"")</f>
        <v>ARCHIVED</v>
      </c>
      <c r="M4340" s="13" t="n">
        <f aca="true">K4340-TODAY()</f>
        <v>-309</v>
      </c>
      <c r="N4340" s="18" t="s">
        <v>728</v>
      </c>
      <c r="O4340" s="13" t="s">
        <v>1914</v>
      </c>
      <c r="P4340" s="19" t="n">
        <v>5444909</v>
      </c>
      <c r="Q4340" s="20" t="s">
        <v>17794</v>
      </c>
      <c r="R4340" s="13" t="s">
        <v>246</v>
      </c>
      <c r="S4340" s="14" t="n">
        <v>35514</v>
      </c>
      <c r="T4340" s="13" t="s">
        <v>108</v>
      </c>
      <c r="U4340" s="13" t="s">
        <v>17795</v>
      </c>
      <c r="V4340" s="13" t="s">
        <v>42</v>
      </c>
      <c r="W4340" s="13" t="s">
        <v>54</v>
      </c>
      <c r="X4340" s="21" t="n">
        <v>87778900225</v>
      </c>
      <c r="Y4340" s="22" t="str">
        <f aca="false">O4340</f>
        <v>Im Operator</v>
      </c>
      <c r="Z4340" s="13" t="str">
        <f aca="false">IFERROR(__xludf.dummyfunction("if(BJ4340="""","""",GOOGLETRANSLATE(BJ4340,""auto"",""en""))"),"Im Operator")</f>
        <v>Im Operator</v>
      </c>
      <c r="AA4340" s="23" t="str">
        <f aca="false">IF(C4340="","", CHOOSE(MONTH(C4340),"January","February","March","April","May","June","July","August","September","October","November","December")&amp;" "&amp;DAY(C4340)&amp;MID("thstndrdth",MIN(9,2*RIGHT(DAY(C4340))*(MOD(DAY(C4340)-11,100)&gt;2)+1),2)&amp;","&amp;TEXT(C4340," yyyy"))</f>
        <v>January 3rd,2022</v>
      </c>
      <c r="AB4340" s="15" t="str">
        <f aca="true">IF(S4340="","",DATEDIF(S4340,TODAY(),"Y")&amp;" Tahun, "&amp;DATEDIF(S4340,TODAY(),"YM")&amp;" Bulan, "&amp;DATEDIF(S4340,TODAY(),"MD")&amp;" Hari")</f>
        <v>29 Tahun, 7 Bulan, 4 Hari</v>
      </c>
      <c r="AC4340" s="18" t="n">
        <v>45659</v>
      </c>
      <c r="AD4340" s="18" t="n">
        <v>46015</v>
      </c>
      <c r="AE4340" s="18" t="s">
        <v>44</v>
      </c>
    </row>
    <row r="4341" customFormat="false" ht="15" hidden="false" customHeight="true" outlineLevel="0" collapsed="false">
      <c r="A4341" s="12" t="n">
        <v>22614</v>
      </c>
      <c r="B4341" s="45" t="s">
        <v>17796</v>
      </c>
      <c r="C4341" s="14" t="n">
        <v>46227</v>
      </c>
      <c r="D4341" s="13" t="s">
        <v>1721</v>
      </c>
      <c r="E4341" s="13" t="s">
        <v>47</v>
      </c>
      <c r="F4341" s="24" t="s">
        <v>17797</v>
      </c>
      <c r="G4341" s="13" t="s">
        <v>1452</v>
      </c>
      <c r="H4341" s="13" t="s">
        <v>35</v>
      </c>
      <c r="I4341" s="13" t="str">
        <f aca="false">IF(C4341=J4341,"NEW KONTRAK","RE-KONTRAK")</f>
        <v>NEW KONTRAK</v>
      </c>
      <c r="J4341" s="16" t="n">
        <f aca="false" t="array" ref="J4341:J4341">IFERROR(INDEX(AC4341:AE4341,IF(COUNTA(AC4341:AE4341)=0,"",MAX((AC4341:AE4341&lt;&gt;"")*(COLUMN(AC4341:AE4341)-(COLUMN(AC4341)))))-1),"")</f>
        <v>46227</v>
      </c>
      <c r="K4341" s="16" t="n">
        <f aca="false" t="array" ref="K4341:K4341">IFERROR(INDEX(AC4341:AE4341,IF(COUNTA(AC4341:AE4341)=0,"",MAX((AC4341:AE4341&lt;&gt;"")*(COLUMN(AC4341:AE4341)-(COLUMN(AC4341)-1))))-1),"")</f>
        <v>46318</v>
      </c>
      <c r="L4341" s="17" t="str">
        <f aca="false" t="array" ref="L4341:L4341">IFERROR(INDEX(AC4341:AE4341,IF(COUNTA(AC4341:AE4341)=0,"",MAX((AC4341:AE4341&lt;&gt;"")*(COLUMN(AC4341:AE4341)-(COLUMN(AC4341)-2))))-1),"")</f>
        <v>KEMBALI</v>
      </c>
      <c r="M4341" s="13" t="n">
        <f aca="true">K4341-TODAY()</f>
        <v>-6</v>
      </c>
      <c r="N4341" s="18" t="s">
        <v>728</v>
      </c>
      <c r="O4341" s="13" t="s">
        <v>624</v>
      </c>
      <c r="P4341" s="19" t="n">
        <v>5444909</v>
      </c>
      <c r="Q4341" s="20" t="s">
        <v>17798</v>
      </c>
      <c r="R4341" s="13" t="s">
        <v>39</v>
      </c>
      <c r="S4341" s="25" t="n">
        <v>37804</v>
      </c>
      <c r="T4341" s="13" t="s">
        <v>108</v>
      </c>
      <c r="U4341" s="13" t="s">
        <v>17799</v>
      </c>
      <c r="V4341" s="13" t="s">
        <v>42</v>
      </c>
      <c r="W4341" s="13" t="s">
        <v>43</v>
      </c>
      <c r="X4341" s="47" t="s">
        <v>17800</v>
      </c>
      <c r="Y4341" s="22" t="str">
        <f aca="false">O4341</f>
        <v>Quality Control</v>
      </c>
      <c r="Z4341" s="13" t="str">
        <f aca="false">IFERROR(__xludf.dummyfunction("if(BJ4341="""","""",GOOGLETRANSLATE(BJ4341,""auto"",""en""))"),"Quality Control")</f>
        <v>Quality Control</v>
      </c>
      <c r="AA4341" s="23" t="str">
        <f aca="false">IF(C4341="","", CHOOSE(MONTH(C4341),"January","February","March","April","May","June","July","August","September","October","November","December")&amp;" "&amp;DAY(C4341)&amp;MID("thstndrdth",MIN(9,2*RIGHT(DAY(C4341))*(MOD(DAY(C4341)-11,100)&gt;2)+1),2)&amp;","&amp;TEXT(C4341," yyyy"))</f>
        <v>July 24th,2026</v>
      </c>
      <c r="AB4341" s="15" t="str">
        <f aca="true">IF(S4341="","",DATEDIF(S4341,TODAY(),"Y")&amp;" Tahun, "&amp;DATEDIF(S4341,TODAY(),"YM")&amp;" Bulan, "&amp;DATEDIF(S4341,TODAY(),"MD")&amp;" Hari")</f>
        <v>23 Tahun, 3 Bulan, 27 Hari</v>
      </c>
      <c r="AC4341" s="14" t="n">
        <v>46227</v>
      </c>
      <c r="AD4341" s="18" t="n">
        <f aca="false">EDATE(AC4341,3)-1</f>
        <v>46318</v>
      </c>
      <c r="AE4341" s="13" t="s">
        <v>397</v>
      </c>
    </row>
    <row r="4342" customFormat="false" ht="15" hidden="false" customHeight="true" outlineLevel="0" collapsed="false">
      <c r="A4342" s="12" t="n">
        <v>23000</v>
      </c>
      <c r="B4342" s="13" t="s">
        <v>17801</v>
      </c>
      <c r="C4342" s="14" t="n">
        <v>46307</v>
      </c>
      <c r="D4342" s="13" t="s">
        <v>1721</v>
      </c>
      <c r="E4342" s="13" t="s">
        <v>47</v>
      </c>
      <c r="F4342" s="24" t="s">
        <v>17802</v>
      </c>
      <c r="G4342" s="13" t="s">
        <v>1127</v>
      </c>
      <c r="H4342" s="13" t="s">
        <v>35</v>
      </c>
      <c r="I4342" s="13" t="str">
        <f aca="false">IF(C4342=J4342,"NEW KONTRAK","RE-KONTRAK")</f>
        <v>NEW KONTRAK</v>
      </c>
      <c r="J4342" s="16" t="n">
        <f aca="false" t="array" ref="J4342:J4342">IFERROR(INDEX(AC4342:AE4342,IF(COUNTA(AC4342:AE4342)=0,"",MAX((AC4342:AE4342&lt;&gt;"")*(COLUMN(AC4342:AE4342)-(COLUMN(AC4342)))))-1),"")</f>
        <v>46307</v>
      </c>
      <c r="K4342" s="16" t="n">
        <f aca="false" t="array" ref="K4342:K4342">IFERROR(INDEX(AC4342:AE4342,IF(COUNTA(AC4342:AE4342)=0,"",MAX((AC4342:AE4342&lt;&gt;"")*(COLUMN(AC4342:AE4342)-(COLUMN(AC4342)-1))))-1),"")</f>
        <v>46386</v>
      </c>
      <c r="L4342" s="17" t="str">
        <f aca="false" t="array" ref="L4342:L4342">IFERROR(INDEX(AC4342:AE4342,IF(COUNTA(AC4342:AE4342)=0,"",MAX((AC4342:AE4342&lt;&gt;"")*(COLUMN(AC4342:AE4342)-(COLUMN(AC4342)-2))))-1),"")</f>
        <v>PRINTED</v>
      </c>
      <c r="M4342" s="13" t="n">
        <f aca="true">K4342-TODAY()</f>
        <v>62</v>
      </c>
      <c r="N4342" s="18" t="s">
        <v>728</v>
      </c>
      <c r="O4342" s="13" t="s">
        <v>1738</v>
      </c>
      <c r="P4342" s="26" t="n">
        <v>5444909</v>
      </c>
      <c r="Q4342" s="20" t="s">
        <v>17803</v>
      </c>
      <c r="R4342" s="13" t="s">
        <v>241</v>
      </c>
      <c r="S4342" s="25" t="n">
        <v>39138</v>
      </c>
      <c r="T4342" s="13" t="s">
        <v>108</v>
      </c>
      <c r="U4342" s="13" t="s">
        <v>17804</v>
      </c>
      <c r="V4342" s="13" t="s">
        <v>99</v>
      </c>
      <c r="W4342" s="13" t="s">
        <v>43</v>
      </c>
      <c r="X4342" s="21" t="n">
        <v>882010485901</v>
      </c>
      <c r="Y4342" s="22" t="str">
        <f aca="false">O4342</f>
        <v>IM Operator</v>
      </c>
      <c r="Z4342" s="13" t="str">
        <f aca="false">IFERROR(__xludf.dummyfunction("if(BJ4342="""","""",GOOGLETRANSLATE(BJ4342,""auto"",""en""))"),"IM Operator")</f>
        <v>IM Operator</v>
      </c>
      <c r="AA4342" s="23" t="str">
        <f aca="false">IF(C4342="","", CHOOSE(MONTH(C4342),"January","February","March","April","May","June","July","August","September","October","November","December")&amp;" "&amp;DAY(C4342)&amp;MID("thstndrdth",MIN(9,2*RIGHT(DAY(C4342))*(MOD(DAY(C4342)-11,100)&gt;2)+1),2)&amp;","&amp;TEXT(C4342," yyyy"))</f>
        <v>October 12th,2026</v>
      </c>
      <c r="AB4342" s="15" t="str">
        <f aca="true">IF(S4342="","",DATEDIF(S4342,TODAY(),"Y")&amp;" Tahun, "&amp;DATEDIF(S4342,TODAY(),"YM")&amp;" Bulan, "&amp;DATEDIF(S4342,TODAY(),"MD")&amp;" Hari")</f>
        <v>19 Tahun, 8 Bulan, 4 Hari</v>
      </c>
      <c r="AC4342" s="14" t="n">
        <v>46307</v>
      </c>
      <c r="AD4342" s="18" t="n">
        <v>46386</v>
      </c>
      <c r="AE4342" s="13" t="s">
        <v>1752</v>
      </c>
    </row>
    <row r="4343" customFormat="false" ht="15" hidden="false" customHeight="true" outlineLevel="0" collapsed="false">
      <c r="A4343" s="12" t="n">
        <v>15631</v>
      </c>
      <c r="B4343" s="13" t="s">
        <v>17805</v>
      </c>
      <c r="C4343" s="14" t="n">
        <v>45446</v>
      </c>
      <c r="D4343" s="13" t="s">
        <v>1721</v>
      </c>
      <c r="E4343" s="15" t="s">
        <v>47</v>
      </c>
      <c r="F4343" s="15" t="str">
        <f aca="false">IFERROR(__xludf.dummyfunction("XLOOKUP(AJ4343,IMPORTRANGE(""1XaInW9DU9nz21V0tYIfzFQ0He9kVQ_JF2mCXgZ3hqFA"",""REKAP ALL 2026 - Andika!G:G""),IMPORTRANGE(""1XaInW9DU9nz21V0tYIfzFQ0He9kVQ_JF2mCXgZ3hqFA"",""REKAP ALL 2026 - Andika!F:F""),"""",0)"),"24091262386")</f>
        <v>24091262386</v>
      </c>
      <c r="G4343" s="15" t="s">
        <v>17806</v>
      </c>
      <c r="H4343" s="13" t="s">
        <v>35</v>
      </c>
      <c r="I4343" s="13" t="str">
        <f aca="false">IF(C4343=J4343,"NEW KONTRAK","RE-KONTRAK")</f>
        <v>RE-KONTRAK</v>
      </c>
      <c r="J4343" s="16" t="n">
        <f aca="false" t="array" ref="J4343:J4343">IFERROR(INDEX(AC4343:AE4343,IF(COUNTA(AC4343:AE4343)=0,"",MAX((AC4343:AE4343&lt;&gt;"")*(COLUMN(AC4343:AE4343)-(COLUMN(AC4343)))))-1),"")</f>
        <v>45659</v>
      </c>
      <c r="K4343" s="16" t="n">
        <f aca="false" t="array" ref="K4343:K4343">IFERROR(INDEX(AC4343:AE4343,IF(COUNTA(AC4343:AE4343)=0,"",MAX((AC4343:AE4343&lt;&gt;"")*(COLUMN(AC4343:AE4343)-(COLUMN(AC4343)-1))))-1),"")</f>
        <v>46015</v>
      </c>
      <c r="L4343" s="17" t="str">
        <f aca="false" t="array" ref="L4343:L4343">IFERROR(INDEX(AC4343:AE4343,IF(COUNTA(AC4343:AE4343)=0,"",MAX((AC4343:AE4343&lt;&gt;"")*(COLUMN(AC4343:AE4343)-(COLUMN(AC4343)-2))))-1),"")</f>
        <v>ARCHIVED</v>
      </c>
      <c r="M4343" s="13" t="n">
        <f aca="true">K4343-TODAY()</f>
        <v>-309</v>
      </c>
      <c r="N4343" s="18" t="s">
        <v>728</v>
      </c>
      <c r="O4343" s="13" t="s">
        <v>1870</v>
      </c>
      <c r="P4343" s="19" t="n">
        <v>5444909</v>
      </c>
      <c r="Q4343" s="20" t="s">
        <v>17807</v>
      </c>
      <c r="R4343" s="13" t="s">
        <v>168</v>
      </c>
      <c r="S4343" s="14" t="n">
        <v>33927</v>
      </c>
      <c r="T4343" s="13" t="s">
        <v>108</v>
      </c>
      <c r="U4343" s="13" t="s">
        <v>17808</v>
      </c>
      <c r="V4343" s="13" t="s">
        <v>42</v>
      </c>
      <c r="W4343" s="13" t="s">
        <v>54</v>
      </c>
      <c r="X4343" s="21" t="n">
        <v>816617632</v>
      </c>
      <c r="Y4343" s="22" t="str">
        <f aca="false">O4343</f>
        <v>Bm Operator</v>
      </c>
      <c r="Z4343" s="13" t="str">
        <f aca="false">IFERROR(__xludf.dummyfunction("if(BJ4343="""","""",GOOGLETRANSLATE(BJ4343,""auto"",""en""))"),"Bm Operator")</f>
        <v>Bm Operator</v>
      </c>
      <c r="AA4343" s="23" t="str">
        <f aca="false">IF(C4343="","", CHOOSE(MONTH(C4343),"January","February","March","April","May","June","July","August","September","October","November","December")&amp;" "&amp;DAY(C4343)&amp;MID("thstndrdth",MIN(9,2*RIGHT(DAY(C4343))*(MOD(DAY(C4343)-11,100)&gt;2)+1),2)&amp;","&amp;TEXT(C4343," yyyy"))</f>
        <v>June 3rd,2024</v>
      </c>
      <c r="AB4343" s="15" t="str">
        <f aca="true">IF(S4343="","",DATEDIF(S4343,TODAY(),"Y")&amp;" Tahun, "&amp;DATEDIF(S4343,TODAY(),"YM")&amp;" Bulan, "&amp;DATEDIF(S4343,TODAY(),"MD")&amp;" Hari")</f>
        <v>33 Tahun, 11 Bulan, 10 Hari</v>
      </c>
      <c r="AC4343" s="18" t="n">
        <v>45659</v>
      </c>
      <c r="AD4343" s="18" t="n">
        <v>46015</v>
      </c>
      <c r="AE4343" s="18" t="s">
        <v>44</v>
      </c>
    </row>
    <row r="4344" customFormat="false" ht="15" hidden="false" customHeight="true" outlineLevel="0" collapsed="false">
      <c r="A4344" s="12" t="n">
        <v>22708</v>
      </c>
      <c r="B4344" s="13" t="s">
        <v>17809</v>
      </c>
      <c r="C4344" s="14" t="n">
        <v>46251</v>
      </c>
      <c r="D4344" s="13" t="s">
        <v>1721</v>
      </c>
      <c r="E4344" s="13" t="s">
        <v>47</v>
      </c>
      <c r="F4344" s="24" t="s">
        <v>17810</v>
      </c>
      <c r="G4344" s="13" t="s">
        <v>1452</v>
      </c>
      <c r="H4344" s="13" t="s">
        <v>35</v>
      </c>
      <c r="I4344" s="13" t="str">
        <f aca="false">IF(C4344=J4344,"NEW KONTRAK","RE-KONTRAK")</f>
        <v>NEW KONTRAK</v>
      </c>
      <c r="J4344" s="16" t="n">
        <f aca="false" t="array" ref="J4344:J4344">IFERROR(INDEX(AC4344:AE4344,IF(COUNTA(AC4344:AE4344)=0,"",MAX((AC4344:AE4344&lt;&gt;"")*(COLUMN(AC4344:AE4344)-(COLUMN(AC4344)))))-1),"")</f>
        <v>46251</v>
      </c>
      <c r="K4344" s="16" t="n">
        <f aca="false" t="array" ref="K4344:K4344">IFERROR(INDEX(AC4344:AE4344,IF(COUNTA(AC4344:AE4344)=0,"",MAX((AC4344:AE4344&lt;&gt;"")*(COLUMN(AC4344:AE4344)-(COLUMN(AC4344)-1))))-1),"")</f>
        <v>46342</v>
      </c>
      <c r="L4344" s="17" t="str">
        <f aca="false" t="array" ref="L4344:L4344">IFERROR(INDEX(AC4344:AE4344,IF(COUNTA(AC4344:AE4344)=0,"",MAX((AC4344:AE4344&lt;&gt;"")*(COLUMN(AC4344:AE4344)-(COLUMN(AC4344)-2))))-1),"")</f>
        <v>KEMBALI</v>
      </c>
      <c r="M4344" s="13" t="n">
        <f aca="true">K4344-TODAY()</f>
        <v>18</v>
      </c>
      <c r="N4344" s="18" t="s">
        <v>728</v>
      </c>
      <c r="O4344" s="13" t="s">
        <v>1822</v>
      </c>
      <c r="P4344" s="26" t="n">
        <v>5444909</v>
      </c>
      <c r="Q4344" s="20" t="s">
        <v>17811</v>
      </c>
      <c r="R4344" s="13" t="s">
        <v>4047</v>
      </c>
      <c r="S4344" s="25" t="n">
        <v>38586</v>
      </c>
      <c r="T4344" s="13" t="s">
        <v>40</v>
      </c>
      <c r="U4344" s="13" t="s">
        <v>17812</v>
      </c>
      <c r="V4344" s="13" t="s">
        <v>42</v>
      </c>
      <c r="W4344" s="13" t="s">
        <v>54</v>
      </c>
      <c r="X4344" s="21" t="n">
        <v>85733524335</v>
      </c>
      <c r="Y4344" s="22" t="str">
        <f aca="false">O4344</f>
        <v>Assembling</v>
      </c>
      <c r="Z4344" s="13" t="str">
        <f aca="false">IFERROR(__xludf.dummyfunction("if(BJ4344="""","""",GOOGLETRANSLATE(BJ4344,""auto"",""en""))"),"Assembling")</f>
        <v>Assembling</v>
      </c>
      <c r="AA4344" s="23" t="str">
        <f aca="false">IF(C4344="","", CHOOSE(MONTH(C4344),"January","February","March","April","May","June","July","August","September","October","November","December")&amp;" "&amp;DAY(C4344)&amp;MID("thstndrdth",MIN(9,2*RIGHT(DAY(C4344))*(MOD(DAY(C4344)-11,100)&gt;2)+1),2)&amp;","&amp;TEXT(C4344," yyyy"))</f>
        <v>August 17th,2026</v>
      </c>
      <c r="AB4344" s="15" t="str">
        <f aca="true">IF(S4344="","",DATEDIF(S4344,TODAY(),"Y")&amp;" Tahun, "&amp;DATEDIF(S4344,TODAY(),"YM")&amp;" Bulan, "&amp;DATEDIF(S4344,TODAY(),"MD")&amp;" Hari")</f>
        <v>21 Tahun, 2 Bulan, 7 Hari</v>
      </c>
      <c r="AC4344" s="14" t="n">
        <v>46251</v>
      </c>
      <c r="AD4344" s="18" t="n">
        <f aca="false">EDATE(AC4344,3)-1</f>
        <v>46342</v>
      </c>
      <c r="AE4344" s="13" t="s">
        <v>397</v>
      </c>
    </row>
    <row r="4345" customFormat="false" ht="15" hidden="false" customHeight="true" outlineLevel="0" collapsed="false">
      <c r="A4345" s="12" t="n">
        <v>2285</v>
      </c>
      <c r="B4345" s="13" t="s">
        <v>17813</v>
      </c>
      <c r="C4345" s="14" t="n">
        <v>44564</v>
      </c>
      <c r="D4345" s="13" t="s">
        <v>1721</v>
      </c>
      <c r="E4345" s="15" t="s">
        <v>47</v>
      </c>
      <c r="F4345" s="15" t="str">
        <f aca="false">IFERROR(__xludf.dummyfunction("XLOOKUP(AJ4345,IMPORTRANGE(""1XaInW9DU9nz21V0tYIfzFQ0He9kVQ_JF2mCXgZ3hqFA"",""REKAP ALL 2026 - Andika!G:G""),IMPORTRANGE(""1XaInW9DU9nz21V0tYIfzFQ0He9kVQ_JF2mCXgZ3hqFA"",""REKAP ALL 2026 - Andika!F:F""),"""",0)"),"16008872752")</f>
        <v>16008872752</v>
      </c>
      <c r="G4345" s="13" t="s">
        <v>17814</v>
      </c>
      <c r="H4345" s="13" t="s">
        <v>35</v>
      </c>
      <c r="I4345" s="13" t="str">
        <f aca="false">IF(C4345=J4345,"NEW KONTRAK","RE-KONTRAK")</f>
        <v>RE-KONTRAK</v>
      </c>
      <c r="J4345" s="16" t="n">
        <f aca="false" t="array" ref="J4345:J4345">IFERROR(INDEX(AC4345:AE4345,IF(COUNTA(AC4345:AE4345)=0,"",MAX((AC4345:AE4345&lt;&gt;"")*(COLUMN(AC4345:AE4345)-(COLUMN(AC4345)))))-1),"")</f>
        <v>45659</v>
      </c>
      <c r="K4345" s="16" t="n">
        <f aca="false" t="array" ref="K4345:K4345">IFERROR(INDEX(AC4345:AE4345,IF(COUNTA(AC4345:AE4345)=0,"",MAX((AC4345:AE4345&lt;&gt;"")*(COLUMN(AC4345:AE4345)-(COLUMN(AC4345)-1))))-1),"")</f>
        <v>46015</v>
      </c>
      <c r="L4345" s="17" t="str">
        <f aca="false" t="array" ref="L4345:L4345">IFERROR(INDEX(AC4345:AE4345,IF(COUNTA(AC4345:AE4345)=0,"",MAX((AC4345:AE4345&lt;&gt;"")*(COLUMN(AC4345:AE4345)-(COLUMN(AC4345)-2))))-1),"")</f>
        <v>ARCHIVED</v>
      </c>
      <c r="M4345" s="13" t="n">
        <f aca="true">K4345-TODAY()</f>
        <v>-309</v>
      </c>
      <c r="N4345" s="18" t="s">
        <v>728</v>
      </c>
      <c r="O4345" s="13" t="s">
        <v>1914</v>
      </c>
      <c r="P4345" s="19" t="n">
        <v>5444909</v>
      </c>
      <c r="Q4345" s="20" t="s">
        <v>17815</v>
      </c>
      <c r="R4345" s="13" t="s">
        <v>274</v>
      </c>
      <c r="S4345" s="14" t="n">
        <v>34129</v>
      </c>
      <c r="T4345" s="13" t="s">
        <v>108</v>
      </c>
      <c r="U4345" s="13" t="s">
        <v>17816</v>
      </c>
      <c r="V4345" s="13" t="s">
        <v>42</v>
      </c>
      <c r="W4345" s="13" t="s">
        <v>43</v>
      </c>
      <c r="X4345" s="21" t="n">
        <v>85853753192</v>
      </c>
      <c r="Y4345" s="22" t="str">
        <f aca="false">O4345</f>
        <v>Im Operator</v>
      </c>
      <c r="Z4345" s="13" t="str">
        <f aca="false">IFERROR(__xludf.dummyfunction("if(BJ4345="""","""",GOOGLETRANSLATE(BJ4345,""auto"",""en""))"),"Im Operator")</f>
        <v>Im Operator</v>
      </c>
      <c r="AA4345" s="23" t="str">
        <f aca="false">IF(C4345="","", CHOOSE(MONTH(C4345),"January","February","March","April","May","June","July","August","September","October","November","December")&amp;" "&amp;DAY(C4345)&amp;MID("thstndrdth",MIN(9,2*RIGHT(DAY(C4345))*(MOD(DAY(C4345)-11,100)&gt;2)+1),2)&amp;","&amp;TEXT(C4345," yyyy"))</f>
        <v>January 3rd,2022</v>
      </c>
      <c r="AB4345" s="15" t="str">
        <f aca="true">IF(S4345="","",DATEDIF(S4345,TODAY(),"Y")&amp;" Tahun, "&amp;DATEDIF(S4345,TODAY(),"YM")&amp;" Bulan, "&amp;DATEDIF(S4345,TODAY(),"MD")&amp;" Hari")</f>
        <v>33 Tahun, 4 Bulan, 20 Hari</v>
      </c>
      <c r="AC4345" s="18" t="n">
        <v>45659</v>
      </c>
      <c r="AD4345" s="18" t="n">
        <v>46015</v>
      </c>
      <c r="AE4345" s="18" t="s">
        <v>44</v>
      </c>
    </row>
    <row r="4346" customFormat="false" ht="15" hidden="false" customHeight="true" outlineLevel="0" collapsed="false">
      <c r="A4346" s="12" t="n">
        <v>2286</v>
      </c>
      <c r="B4346" s="13" t="s">
        <v>17817</v>
      </c>
      <c r="C4346" s="14" t="n">
        <v>44564</v>
      </c>
      <c r="D4346" s="13" t="s">
        <v>1721</v>
      </c>
      <c r="E4346" s="15" t="s">
        <v>47</v>
      </c>
      <c r="F4346" s="15" t="str">
        <f aca="false">IFERROR(__xludf.dummyfunction("XLOOKUP(AJ4346,IMPORTRANGE(""1XaInW9DU9nz21V0tYIfzFQ0He9kVQ_JF2mCXgZ3hqFA"",""REKAP ALL 2026 - Andika!G:G""),IMPORTRANGE(""1XaInW9DU9nz21V0tYIfzFQ0He9kVQ_JF2mCXgZ3hqFA"",""REKAP ALL 2026 - Andika!F:F""),"""",0)"),"20012748222")</f>
        <v>20012748222</v>
      </c>
      <c r="G4346" s="13" t="s">
        <v>17818</v>
      </c>
      <c r="H4346" s="13" t="s">
        <v>35</v>
      </c>
      <c r="I4346" s="13" t="str">
        <f aca="false">IF(C4346=J4346,"NEW KONTRAK","RE-KONTRAK")</f>
        <v>RE-KONTRAK</v>
      </c>
      <c r="J4346" s="16" t="n">
        <f aca="false" t="array" ref="J4346:J4346">IFERROR(INDEX(AC4346:AE4346,IF(COUNTA(AC4346:AE4346)=0,"",MAX((AC4346:AE4346&lt;&gt;"")*(COLUMN(AC4346:AE4346)-(COLUMN(AC4346)))))-1),"")</f>
        <v>45659</v>
      </c>
      <c r="K4346" s="16" t="n">
        <f aca="false" t="array" ref="K4346:K4346">IFERROR(INDEX(AC4346:AE4346,IF(COUNTA(AC4346:AE4346)=0,"",MAX((AC4346:AE4346&lt;&gt;"")*(COLUMN(AC4346:AE4346)-(COLUMN(AC4346)-1))))-1),"")</f>
        <v>46015</v>
      </c>
      <c r="L4346" s="17" t="str">
        <f aca="false" t="array" ref="L4346:L4346">IFERROR(INDEX(AC4346:AE4346,IF(COUNTA(AC4346:AE4346)=0,"",MAX((AC4346:AE4346&lt;&gt;"")*(COLUMN(AC4346:AE4346)-(COLUMN(AC4346)-2))))-1),"")</f>
        <v>ARCHIVED</v>
      </c>
      <c r="M4346" s="13" t="n">
        <f aca="true">K4346-TODAY()</f>
        <v>-309</v>
      </c>
      <c r="N4346" s="18" t="s">
        <v>728</v>
      </c>
      <c r="O4346" s="13" t="s">
        <v>1914</v>
      </c>
      <c r="P4346" s="19" t="n">
        <v>5444909</v>
      </c>
      <c r="Q4346" s="20" t="s">
        <v>17819</v>
      </c>
      <c r="R4346" s="13" t="s">
        <v>246</v>
      </c>
      <c r="S4346" s="14" t="n">
        <v>33518</v>
      </c>
      <c r="T4346" s="13" t="s">
        <v>108</v>
      </c>
      <c r="U4346" s="13" t="s">
        <v>17820</v>
      </c>
      <c r="V4346" s="13" t="s">
        <v>42</v>
      </c>
      <c r="W4346" s="13" t="s">
        <v>54</v>
      </c>
      <c r="X4346" s="21" t="n">
        <v>85733092636</v>
      </c>
      <c r="Y4346" s="22" t="str">
        <f aca="false">O4346</f>
        <v>Im Operator</v>
      </c>
      <c r="Z4346" s="13" t="str">
        <f aca="false">IFERROR(__xludf.dummyfunction("if(BJ4346="""","""",GOOGLETRANSLATE(BJ4346,""auto"",""en""))"),"Im Operator")</f>
        <v>Im Operator</v>
      </c>
      <c r="AA4346" s="23" t="str">
        <f aca="false">IF(C4346="","", CHOOSE(MONTH(C4346),"January","February","March","April","May","June","July","August","September","October","November","December")&amp;" "&amp;DAY(C4346)&amp;MID("thstndrdth",MIN(9,2*RIGHT(DAY(C4346))*(MOD(DAY(C4346)-11,100)&gt;2)+1),2)&amp;","&amp;TEXT(C4346," yyyy"))</f>
        <v>January 3rd,2022</v>
      </c>
      <c r="AB4346" s="15" t="str">
        <f aca="true">IF(S4346="","",DATEDIF(S4346,TODAY(),"Y")&amp;" Tahun, "&amp;DATEDIF(S4346,TODAY(),"YM")&amp;" Bulan, "&amp;DATEDIF(S4346,TODAY(),"MD")&amp;" Hari")</f>
        <v>35 Tahun, 0 Bulan, 22 Hari</v>
      </c>
      <c r="AC4346" s="18" t="n">
        <v>45659</v>
      </c>
      <c r="AD4346" s="18" t="n">
        <v>46015</v>
      </c>
      <c r="AE4346" s="18" t="s">
        <v>44</v>
      </c>
    </row>
    <row r="4347" customFormat="false" ht="15" hidden="false" customHeight="true" outlineLevel="0" collapsed="false">
      <c r="A4347" s="12" t="n">
        <v>16504</v>
      </c>
      <c r="B4347" s="13" t="s">
        <v>17821</v>
      </c>
      <c r="C4347" s="14" t="n">
        <v>45490</v>
      </c>
      <c r="D4347" s="13" t="s">
        <v>1721</v>
      </c>
      <c r="E4347" s="15" t="s">
        <v>47</v>
      </c>
      <c r="F4347" s="15" t="str">
        <f aca="false">IFERROR(__xludf.dummyfunction("XLOOKUP(AJ4347,IMPORTRANGE(""1XaInW9DU9nz21V0tYIfzFQ0He9kVQ_JF2mCXgZ3hqFA"",""REKAP ALL 2026 - Andika!G:G""),IMPORTRANGE(""1XaInW9DU9nz21V0tYIfzFQ0He9kVQ_JF2mCXgZ3hqFA"",""REKAP ALL 2026 - Andika!F:F""),"""",0)"),"24120185517")</f>
        <v>24120185517</v>
      </c>
      <c r="G4347" s="15" t="s">
        <v>17822</v>
      </c>
      <c r="H4347" s="13" t="s">
        <v>35</v>
      </c>
      <c r="I4347" s="13" t="str">
        <f aca="false">IF(C4347=J4347,"NEW KONTRAK","RE-KONTRAK")</f>
        <v>RE-KONTRAK</v>
      </c>
      <c r="J4347" s="16" t="n">
        <f aca="false" t="array" ref="J4347:J4347">IFERROR(INDEX(AC4347:AE4347,IF(COUNTA(AC4347:AE4347)=0,"",MAX((AC4347:AE4347&lt;&gt;"")*(COLUMN(AC4347:AE4347)-(COLUMN(AC4347)))))-1),"")</f>
        <v>45659</v>
      </c>
      <c r="K4347" s="16" t="n">
        <f aca="false" t="array" ref="K4347:K4347">IFERROR(INDEX(AC4347:AE4347,IF(COUNTA(AC4347:AE4347)=0,"",MAX((AC4347:AE4347&lt;&gt;"")*(COLUMN(AC4347:AE4347)-(COLUMN(AC4347)-1))))-1),"")</f>
        <v>46015</v>
      </c>
      <c r="L4347" s="17" t="str">
        <f aca="false" t="array" ref="L4347:L4347">IFERROR(INDEX(AC4347:AE4347,IF(COUNTA(AC4347:AE4347)=0,"",MAX((AC4347:AE4347&lt;&gt;"")*(COLUMN(AC4347:AE4347)-(COLUMN(AC4347)-2))))-1),"")</f>
        <v>ARCHIVED</v>
      </c>
      <c r="M4347" s="13" t="n">
        <f aca="true">K4347-TODAY()</f>
        <v>-309</v>
      </c>
      <c r="N4347" s="18" t="s">
        <v>728</v>
      </c>
      <c r="O4347" s="13" t="s">
        <v>1914</v>
      </c>
      <c r="P4347" s="19" t="n">
        <v>5444909</v>
      </c>
      <c r="Q4347" s="20" t="s">
        <v>17823</v>
      </c>
      <c r="R4347" s="13" t="s">
        <v>52</v>
      </c>
      <c r="S4347" s="14" t="n">
        <v>38123</v>
      </c>
      <c r="T4347" s="13" t="s">
        <v>108</v>
      </c>
      <c r="U4347" s="13" t="s">
        <v>17824</v>
      </c>
      <c r="V4347" s="13" t="s">
        <v>42</v>
      </c>
      <c r="W4347" s="13" t="s">
        <v>43</v>
      </c>
      <c r="X4347" s="21" t="n">
        <v>83193927431</v>
      </c>
      <c r="Y4347" s="22" t="str">
        <f aca="false">O4347</f>
        <v>Im Operator</v>
      </c>
      <c r="Z4347" s="13" t="str">
        <f aca="false">IFERROR(__xludf.dummyfunction("if(BJ4347="""","""",GOOGLETRANSLATE(BJ4347,""auto"",""en""))"),"Im Operator")</f>
        <v>Im Operator</v>
      </c>
      <c r="AA4347" s="23" t="str">
        <f aca="false">IF(C4347="","", CHOOSE(MONTH(C4347),"January","February","March","April","May","June","July","August","September","October","November","December")&amp;" "&amp;DAY(C4347)&amp;MID("thstndrdth",MIN(9,2*RIGHT(DAY(C4347))*(MOD(DAY(C4347)-11,100)&gt;2)+1),2)&amp;","&amp;TEXT(C4347," yyyy"))</f>
        <v>July 17th,2024</v>
      </c>
      <c r="AB4347" s="15" t="str">
        <f aca="true">IF(S4347="","",DATEDIF(S4347,TODAY(),"Y")&amp;" Tahun, "&amp;DATEDIF(S4347,TODAY(),"YM")&amp;" Bulan, "&amp;DATEDIF(S4347,TODAY(),"MD")&amp;" Hari")</f>
        <v>22 Tahun, 5 Bulan, 13 Hari</v>
      </c>
      <c r="AC4347" s="18" t="n">
        <v>45659</v>
      </c>
      <c r="AD4347" s="18" t="n">
        <v>46015</v>
      </c>
      <c r="AE4347" s="18" t="s">
        <v>44</v>
      </c>
    </row>
    <row r="4348" customFormat="false" ht="15" hidden="false" customHeight="true" outlineLevel="0" collapsed="false">
      <c r="A4348" s="12" t="n">
        <v>2288</v>
      </c>
      <c r="B4348" s="13" t="s">
        <v>17825</v>
      </c>
      <c r="C4348" s="14" t="n">
        <v>44349</v>
      </c>
      <c r="D4348" s="13" t="s">
        <v>1721</v>
      </c>
      <c r="E4348" s="15" t="s">
        <v>47</v>
      </c>
      <c r="F4348" s="15" t="str">
        <f aca="false">IFERROR(__xludf.dummyfunction("XLOOKUP(AJ4348,IMPORTRANGE(""1XaInW9DU9nz21V0tYIfzFQ0He9kVQ_JF2mCXgZ3hqFA"",""REKAP ALL 2026 - Andika!G:G""),IMPORTRANGE(""1XaInW9DU9nz21V0tYIfzFQ0He9kVQ_JF2mCXgZ3hqFA"",""REKAP ALL 2026 - Andika!F:F""),"""",0)"),"21016930576")</f>
        <v>21016930576</v>
      </c>
      <c r="G4348" s="13" t="s">
        <v>17826</v>
      </c>
      <c r="H4348" s="13" t="s">
        <v>35</v>
      </c>
      <c r="I4348" s="13" t="str">
        <f aca="false">IF(C4348=J4348,"NEW KONTRAK","RE-KONTRAK")</f>
        <v>RE-KONTRAK</v>
      </c>
      <c r="J4348" s="16" t="n">
        <f aca="false" t="array" ref="J4348:J4348">IFERROR(INDEX(AC4348:AE4348,IF(COUNTA(AC4348:AE4348)=0,"",MAX((AC4348:AE4348&lt;&gt;"")*(COLUMN(AC4348:AE4348)-(COLUMN(AC4348)))))-1),"")</f>
        <v>45659</v>
      </c>
      <c r="K4348" s="16" t="n">
        <f aca="false" t="array" ref="K4348:K4348">IFERROR(INDEX(AC4348:AE4348,IF(COUNTA(AC4348:AE4348)=0,"",MAX((AC4348:AE4348&lt;&gt;"")*(COLUMN(AC4348:AE4348)-(COLUMN(AC4348)-1))))-1),"")</f>
        <v>46015</v>
      </c>
      <c r="L4348" s="17" t="str">
        <f aca="false" t="array" ref="L4348:L4348">IFERROR(INDEX(AC4348:AE4348,IF(COUNTA(AC4348:AE4348)=0,"",MAX((AC4348:AE4348&lt;&gt;"")*(COLUMN(AC4348:AE4348)-(COLUMN(AC4348)-2))))-1),"")</f>
        <v>ARCHIVED</v>
      </c>
      <c r="M4348" s="13" t="n">
        <f aca="true">K4348-TODAY()</f>
        <v>-309</v>
      </c>
      <c r="N4348" s="18" t="s">
        <v>728</v>
      </c>
      <c r="O4348" s="13" t="s">
        <v>2853</v>
      </c>
      <c r="P4348" s="19" t="n">
        <v>5444909</v>
      </c>
      <c r="Q4348" s="20" t="s">
        <v>17827</v>
      </c>
      <c r="R4348" s="13" t="s">
        <v>1979</v>
      </c>
      <c r="S4348" s="14" t="n">
        <v>33741</v>
      </c>
      <c r="T4348" s="13" t="s">
        <v>40</v>
      </c>
      <c r="U4348" s="13" t="s">
        <v>17828</v>
      </c>
      <c r="V4348" s="13" t="s">
        <v>42</v>
      </c>
      <c r="W4348" s="13" t="s">
        <v>897</v>
      </c>
      <c r="X4348" s="21" t="n">
        <v>81333880637</v>
      </c>
      <c r="Y4348" s="22" t="str">
        <f aca="false">O4348</f>
        <v>Mpc Mixing</v>
      </c>
      <c r="Z4348" s="13" t="str">
        <f aca="false">IFERROR(__xludf.dummyfunction("if(BJ4348="""","""",GOOGLETRANSLATE(BJ4348,""auto"",""en""))"),"Mpc Mixing")</f>
        <v>Mpc Mixing</v>
      </c>
      <c r="AA4348" s="23" t="str">
        <f aca="false">IF(C4348="","", CHOOSE(MONTH(C4348),"January","February","March","April","May","June","July","August","September","October","November","December")&amp;" "&amp;DAY(C4348)&amp;MID("thstndrdth",MIN(9,2*RIGHT(DAY(C4348))*(MOD(DAY(C4348)-11,100)&gt;2)+1),2)&amp;","&amp;TEXT(C4348," yyyy"))</f>
        <v>June 2nd,2021</v>
      </c>
      <c r="AB4348" s="15" t="str">
        <f aca="true">IF(S4348="","",DATEDIF(S4348,TODAY(),"Y")&amp;" Tahun, "&amp;DATEDIF(S4348,TODAY(),"YM")&amp;" Bulan, "&amp;DATEDIF(S4348,TODAY(),"MD")&amp;" Hari")</f>
        <v>34 Tahun, 5 Bulan, 12 Hari</v>
      </c>
      <c r="AC4348" s="18" t="n">
        <v>45659</v>
      </c>
      <c r="AD4348" s="18" t="n">
        <v>46015</v>
      </c>
      <c r="AE4348" s="18" t="s">
        <v>44</v>
      </c>
    </row>
    <row r="4349" customFormat="false" ht="15" hidden="false" customHeight="true" outlineLevel="0" collapsed="false">
      <c r="A4349" s="12" t="n">
        <v>22843</v>
      </c>
      <c r="B4349" s="13" t="s">
        <v>17829</v>
      </c>
      <c r="C4349" s="14" t="n">
        <v>46279</v>
      </c>
      <c r="D4349" s="13" t="s">
        <v>1721</v>
      </c>
      <c r="E4349" s="13" t="s">
        <v>47</v>
      </c>
      <c r="F4349" s="24" t="s">
        <v>17830</v>
      </c>
      <c r="G4349" s="13" t="s">
        <v>1452</v>
      </c>
      <c r="H4349" s="13" t="s">
        <v>35</v>
      </c>
      <c r="I4349" s="13" t="str">
        <f aca="false">IF(C4349=J4349,"NEW KONTRAK","RE-KONTRAK")</f>
        <v>NEW KONTRAK</v>
      </c>
      <c r="J4349" s="16" t="n">
        <f aca="false" t="array" ref="J4349:J4349">IFERROR(INDEX(AC4349:AE4349,IF(COUNTA(AC4349:AE4349)=0,"",MAX((AC4349:AE4349&lt;&gt;"")*(COLUMN(AC4349:AE4349)-(COLUMN(AC4349)))))-1),"")</f>
        <v>46279</v>
      </c>
      <c r="K4349" s="16" t="n">
        <f aca="false" t="array" ref="K4349:K4349">IFERROR(INDEX(AC4349:AE4349,IF(COUNTA(AC4349:AE4349)=0,"",MAX((AC4349:AE4349&lt;&gt;"")*(COLUMN(AC4349:AE4349)-(COLUMN(AC4349)-1))))-1),"")</f>
        <v>46386</v>
      </c>
      <c r="L4349" s="17" t="str">
        <f aca="false" t="array" ref="L4349:L4349">IFERROR(INDEX(AC4349:AE4349,IF(COUNTA(AC4349:AE4349)=0,"",MAX((AC4349:AE4349&lt;&gt;"")*(COLUMN(AC4349:AE4349)-(COLUMN(AC4349)-2))))-1),"")</f>
        <v>ARCHIVED</v>
      </c>
      <c r="M4349" s="13" t="n">
        <f aca="true">K4349-TODAY()</f>
        <v>62</v>
      </c>
      <c r="N4349" s="18" t="s">
        <v>728</v>
      </c>
      <c r="O4349" s="13" t="s">
        <v>1755</v>
      </c>
      <c r="P4349" s="26" t="n">
        <v>5444909</v>
      </c>
      <c r="Q4349" s="20" t="s">
        <v>17831</v>
      </c>
      <c r="R4349" s="13" t="s">
        <v>73</v>
      </c>
      <c r="S4349" s="25" t="n">
        <v>33115</v>
      </c>
      <c r="T4349" s="13" t="s">
        <v>108</v>
      </c>
      <c r="U4349" s="13" t="s">
        <v>17832</v>
      </c>
      <c r="V4349" s="13" t="s">
        <v>42</v>
      </c>
      <c r="W4349" s="13" t="s">
        <v>54</v>
      </c>
      <c r="X4349" s="30" t="n">
        <v>87748947697</v>
      </c>
      <c r="Y4349" s="22" t="str">
        <f aca="false">O4349</f>
        <v>Im.Operator</v>
      </c>
      <c r="Z4349" s="13" t="str">
        <f aca="false">IFERROR(__xludf.dummyfunction("if(BJ4349="""","""",GOOGLETRANSLATE(BJ4349,""auto"",""en""))"),"Im.Operator")</f>
        <v>Im.Operator</v>
      </c>
      <c r="AA4349" s="23" t="str">
        <f aca="false">IF(C4349="","", CHOOSE(MONTH(C4349),"January","February","March","April","May","June","July","August","September","October","November","December")&amp;" "&amp;DAY(C4349)&amp;MID("thstndrdth",MIN(9,2*RIGHT(DAY(C4349))*(MOD(DAY(C4349)-11,100)&gt;2)+1),2)&amp;","&amp;TEXT(C4349," yyyy"))</f>
        <v>September 14th,2026</v>
      </c>
      <c r="AB4349" s="15" t="str">
        <f aca="true">IF(S4349="","",DATEDIF(S4349,TODAY(),"Y")&amp;" Tahun, "&amp;DATEDIF(S4349,TODAY(),"YM")&amp;" Bulan, "&amp;DATEDIF(S4349,TODAY(),"MD")&amp;" Hari")</f>
        <v>36 Tahun, 1 Bulan, 29 Hari</v>
      </c>
      <c r="AC4349" s="14" t="n">
        <v>46279</v>
      </c>
      <c r="AD4349" s="18" t="n">
        <v>46386</v>
      </c>
      <c r="AE4349" s="13" t="s">
        <v>44</v>
      </c>
    </row>
    <row r="4350" customFormat="false" ht="15" hidden="false" customHeight="true" outlineLevel="0" collapsed="false">
      <c r="A4350" s="12" t="n">
        <v>22712</v>
      </c>
      <c r="B4350" s="13" t="s">
        <v>17833</v>
      </c>
      <c r="C4350" s="14" t="n">
        <v>46251</v>
      </c>
      <c r="D4350" s="13" t="s">
        <v>1721</v>
      </c>
      <c r="E4350" s="13" t="s">
        <v>47</v>
      </c>
      <c r="F4350" s="24" t="s">
        <v>17834</v>
      </c>
      <c r="G4350" s="13" t="s">
        <v>1452</v>
      </c>
      <c r="H4350" s="13" t="s">
        <v>35</v>
      </c>
      <c r="I4350" s="13" t="str">
        <f aca="false">IF(C4350=J4350,"NEW KONTRAK","RE-KONTRAK")</f>
        <v>NEW KONTRAK</v>
      </c>
      <c r="J4350" s="16" t="n">
        <f aca="false" t="array" ref="J4350:J4350">IFERROR(INDEX(AC4350:AE4350,IF(COUNTA(AC4350:AE4350)=0,"",MAX((AC4350:AE4350&lt;&gt;"")*(COLUMN(AC4350:AE4350)-(COLUMN(AC4350)))))-1),"")</f>
        <v>46251</v>
      </c>
      <c r="K4350" s="16" t="n">
        <f aca="false" t="array" ref="K4350:K4350">IFERROR(INDEX(AC4350:AE4350,IF(COUNTA(AC4350:AE4350)=0,"",MAX((AC4350:AE4350&lt;&gt;"")*(COLUMN(AC4350:AE4350)-(COLUMN(AC4350)-1))))-1),"")</f>
        <v>46342</v>
      </c>
      <c r="L4350" s="17" t="str">
        <f aca="false" t="array" ref="L4350:L4350">IFERROR(INDEX(AC4350:AE4350,IF(COUNTA(AC4350:AE4350)=0,"",MAX((AC4350:AE4350&lt;&gt;"")*(COLUMN(AC4350:AE4350)-(COLUMN(AC4350)-2))))-1),"")</f>
        <v>KEMBALI</v>
      </c>
      <c r="M4350" s="13" t="n">
        <f aca="true">K4350-TODAY()</f>
        <v>18</v>
      </c>
      <c r="N4350" s="18" t="s">
        <v>728</v>
      </c>
      <c r="O4350" s="13" t="s">
        <v>1932</v>
      </c>
      <c r="P4350" s="26" t="n">
        <v>5444909</v>
      </c>
      <c r="Q4350" s="20" t="s">
        <v>17835</v>
      </c>
      <c r="R4350" s="13" t="s">
        <v>52</v>
      </c>
      <c r="S4350" s="25" t="n">
        <v>38318</v>
      </c>
      <c r="T4350" s="13" t="s">
        <v>108</v>
      </c>
      <c r="U4350" s="13" t="s">
        <v>17836</v>
      </c>
      <c r="V4350" s="13" t="s">
        <v>42</v>
      </c>
      <c r="W4350" s="13" t="s">
        <v>54</v>
      </c>
      <c r="X4350" s="21" t="n">
        <v>85707118865</v>
      </c>
      <c r="Y4350" s="22" t="str">
        <f aca="false">O4350</f>
        <v>Blow Moulding</v>
      </c>
      <c r="Z4350" s="13" t="str">
        <f aca="false">IFERROR(__xludf.dummyfunction("if(BJ4350="""","""",GOOGLETRANSLATE(BJ4350,""auto"",""en""))"),"Blow Moulding")</f>
        <v>Blow Moulding</v>
      </c>
      <c r="AA4350" s="23" t="str">
        <f aca="false">IF(C4350="","", CHOOSE(MONTH(C4350),"January","February","March","April","May","June","July","August","September","October","November","December")&amp;" "&amp;DAY(C4350)&amp;MID("thstndrdth",MIN(9,2*RIGHT(DAY(C4350))*(MOD(DAY(C4350)-11,100)&gt;2)+1),2)&amp;","&amp;TEXT(C4350," yyyy"))</f>
        <v>August 17th,2026</v>
      </c>
      <c r="AB4350" s="15" t="str">
        <f aca="true">IF(S4350="","",DATEDIF(S4350,TODAY(),"Y")&amp;" Tahun, "&amp;DATEDIF(S4350,TODAY(),"YM")&amp;" Bulan, "&amp;DATEDIF(S4350,TODAY(),"MD")&amp;" Hari")</f>
        <v>21 Tahun, 11 Bulan, 2 Hari</v>
      </c>
      <c r="AC4350" s="14" t="n">
        <v>46251</v>
      </c>
      <c r="AD4350" s="18" t="n">
        <f aca="false">EDATE(AC4350,3)-1</f>
        <v>46342</v>
      </c>
      <c r="AE4350" s="13" t="s">
        <v>397</v>
      </c>
    </row>
    <row r="4351" customFormat="false" ht="15" hidden="false" customHeight="true" outlineLevel="0" collapsed="false">
      <c r="A4351" s="12" t="n">
        <v>2291</v>
      </c>
      <c r="B4351" s="13" t="s">
        <v>17837</v>
      </c>
      <c r="C4351" s="14" t="n">
        <v>44571</v>
      </c>
      <c r="D4351" s="13" t="s">
        <v>1721</v>
      </c>
      <c r="E4351" s="15" t="s">
        <v>47</v>
      </c>
      <c r="F4351" s="15" t="str">
        <f aca="false">IFERROR(__xludf.dummyfunction("XLOOKUP(AJ4351,IMPORTRANGE(""1XaInW9DU9nz21V0tYIfzFQ0He9kVQ_JF2mCXgZ3hqFA"",""REKAP ALL 2026 - Andika!G:G""),IMPORTRANGE(""1XaInW9DU9nz21V0tYIfzFQ0He9kVQ_JF2mCXgZ3hqFA"",""REKAP ALL 2026 - Andika!F:F""),"""",0)"),"21046022824")</f>
        <v>21046022824</v>
      </c>
      <c r="G4351" s="13" t="s">
        <v>17838</v>
      </c>
      <c r="H4351" s="13" t="s">
        <v>35</v>
      </c>
      <c r="I4351" s="13" t="str">
        <f aca="false">IF(C4351=J4351,"NEW KONTRAK","RE-KONTRAK")</f>
        <v>RE-KONTRAK</v>
      </c>
      <c r="J4351" s="16" t="n">
        <f aca="false" t="array" ref="J4351:J4351">IFERROR(INDEX(AC4351:AE4351,IF(COUNTA(AC4351:AE4351)=0,"",MAX((AC4351:AE4351&lt;&gt;"")*(COLUMN(AC4351:AE4351)-(COLUMN(AC4351)))))-1),"")</f>
        <v>45659</v>
      </c>
      <c r="K4351" s="16" t="n">
        <f aca="false" t="array" ref="K4351:K4351">IFERROR(INDEX(AC4351:AE4351,IF(COUNTA(AC4351:AE4351)=0,"",MAX((AC4351:AE4351&lt;&gt;"")*(COLUMN(AC4351:AE4351)-(COLUMN(AC4351)-1))))-1),"")</f>
        <v>46015</v>
      </c>
      <c r="L4351" s="17" t="str">
        <f aca="false" t="array" ref="L4351:L4351">IFERROR(INDEX(AC4351:AE4351,IF(COUNTA(AC4351:AE4351)=0,"",MAX((AC4351:AE4351&lt;&gt;"")*(COLUMN(AC4351:AE4351)-(COLUMN(AC4351)-2))))-1),"")</f>
        <v>ARCHIVED</v>
      </c>
      <c r="M4351" s="13" t="n">
        <f aca="true">K4351-TODAY()</f>
        <v>-309</v>
      </c>
      <c r="N4351" s="18" t="s">
        <v>728</v>
      </c>
      <c r="O4351" s="13" t="s">
        <v>1914</v>
      </c>
      <c r="P4351" s="19" t="n">
        <v>5444909</v>
      </c>
      <c r="Q4351" s="20" t="s">
        <v>17839</v>
      </c>
      <c r="R4351" s="13" t="s">
        <v>3525</v>
      </c>
      <c r="S4351" s="14" t="n">
        <v>34644</v>
      </c>
      <c r="T4351" s="13" t="s">
        <v>108</v>
      </c>
      <c r="U4351" s="13" t="s">
        <v>17840</v>
      </c>
      <c r="V4351" s="13" t="s">
        <v>42</v>
      </c>
      <c r="W4351" s="13" t="s">
        <v>54</v>
      </c>
      <c r="X4351" s="21" t="n">
        <v>85743612703</v>
      </c>
      <c r="Y4351" s="22" t="str">
        <f aca="false">O4351</f>
        <v>Im Operator</v>
      </c>
      <c r="Z4351" s="13" t="str">
        <f aca="false">IFERROR(__xludf.dummyfunction("if(BJ4351="""","""",GOOGLETRANSLATE(BJ4351,""auto"",""en""))"),"Im Operator")</f>
        <v>Im Operator</v>
      </c>
      <c r="AA4351" s="23" t="str">
        <f aca="false">IF(C4351="","", CHOOSE(MONTH(C4351),"January","February","March","April","May","June","July","August","September","October","November","December")&amp;" "&amp;DAY(C4351)&amp;MID("thstndrdth",MIN(9,2*RIGHT(DAY(C4351))*(MOD(DAY(C4351)-11,100)&gt;2)+1),2)&amp;","&amp;TEXT(C4351," yyyy"))</f>
        <v>January 10th,2022</v>
      </c>
      <c r="AB4351" s="15" t="str">
        <f aca="true">IF(S4351="","",DATEDIF(S4351,TODAY(),"Y")&amp;" Tahun, "&amp;DATEDIF(S4351,TODAY(),"YM")&amp;" Bulan, "&amp;DATEDIF(S4351,TODAY(),"MD")&amp;" Hari")</f>
        <v>31 Tahun, 11 Bulan, 23 Hari</v>
      </c>
      <c r="AC4351" s="18" t="n">
        <v>45659</v>
      </c>
      <c r="AD4351" s="18" t="n">
        <v>46015</v>
      </c>
      <c r="AE4351" s="18" t="s">
        <v>44</v>
      </c>
    </row>
    <row r="4352" customFormat="false" ht="15" hidden="false" customHeight="true" outlineLevel="0" collapsed="false">
      <c r="A4352" s="12" t="n">
        <v>10189</v>
      </c>
      <c r="B4352" s="13" t="s">
        <v>17841</v>
      </c>
      <c r="C4352" s="14" t="n">
        <v>44986</v>
      </c>
      <c r="D4352" s="13" t="s">
        <v>1721</v>
      </c>
      <c r="E4352" s="15" t="s">
        <v>47</v>
      </c>
      <c r="F4352" s="15" t="str">
        <f aca="false">IFERROR(__xludf.dummyfunction("XLOOKUP(AJ4352,IMPORTRANGE(""1XaInW9DU9nz21V0tYIfzFQ0He9kVQ_JF2mCXgZ3hqFA"",""REKAP ALL 2026 - Andika!G:G""),IMPORTRANGE(""1XaInW9DU9nz21V0tYIfzFQ0He9kVQ_JF2mCXgZ3hqFA"",""REKAP ALL 2026 - Andika!F:F""),"""",0)"),"23031596002")</f>
        <v>23031596002</v>
      </c>
      <c r="G4352" s="13" t="s">
        <v>17842</v>
      </c>
      <c r="H4352" s="13" t="s">
        <v>35</v>
      </c>
      <c r="I4352" s="13" t="str">
        <f aca="false">IF(C4352=J4352,"NEW KONTRAK","RE-KONTRAK")</f>
        <v>RE-KONTRAK</v>
      </c>
      <c r="J4352" s="16" t="n">
        <f aca="false" t="array" ref="J4352:J4352">IFERROR(INDEX(AC4352:AE4352,IF(COUNTA(AC4352:AE4352)=0,"",MAX((AC4352:AE4352&lt;&gt;"")*(COLUMN(AC4352:AE4352)-(COLUMN(AC4352)))))-1),"")</f>
        <v>45659</v>
      </c>
      <c r="K4352" s="16" t="n">
        <f aca="false" t="array" ref="K4352:K4352">IFERROR(INDEX(AC4352:AE4352,IF(COUNTA(AC4352:AE4352)=0,"",MAX((AC4352:AE4352&lt;&gt;"")*(COLUMN(AC4352:AE4352)-(COLUMN(AC4352)-1))))-1),"")</f>
        <v>46015</v>
      </c>
      <c r="L4352" s="17" t="str">
        <f aca="false" t="array" ref="L4352:L4352">IFERROR(INDEX(AC4352:AE4352,IF(COUNTA(AC4352:AE4352)=0,"",MAX((AC4352:AE4352&lt;&gt;"")*(COLUMN(AC4352:AE4352)-(COLUMN(AC4352)-2))))-1),"")</f>
        <v>ARCHIVED</v>
      </c>
      <c r="M4352" s="13" t="n">
        <f aca="true">K4352-TODAY()</f>
        <v>-309</v>
      </c>
      <c r="N4352" s="18" t="s">
        <v>728</v>
      </c>
      <c r="O4352" s="13" t="s">
        <v>1744</v>
      </c>
      <c r="P4352" s="19" t="n">
        <v>5444909</v>
      </c>
      <c r="Q4352" s="20" t="s">
        <v>17843</v>
      </c>
      <c r="R4352" s="13" t="s">
        <v>52</v>
      </c>
      <c r="S4352" s="14" t="n">
        <v>30880</v>
      </c>
      <c r="T4352" s="13" t="s">
        <v>108</v>
      </c>
      <c r="U4352" s="13" t="s">
        <v>17844</v>
      </c>
      <c r="V4352" s="13" t="s">
        <v>42</v>
      </c>
      <c r="W4352" s="13" t="s">
        <v>54</v>
      </c>
      <c r="X4352" s="21" t="n">
        <v>82140917447</v>
      </c>
      <c r="Y4352" s="22" t="str">
        <f aca="false">O4352</f>
        <v>Print Operator</v>
      </c>
      <c r="Z4352" s="13" t="str">
        <f aca="false">IFERROR(__xludf.dummyfunction("if(BJ4352="""","""",GOOGLETRANSLATE(BJ4352,""auto"",""en""))"),"Print Operator")</f>
        <v>Print Operator</v>
      </c>
      <c r="AA4352" s="23" t="str">
        <f aca="false">IF(C4352="","", CHOOSE(MONTH(C4352),"January","February","March","April","May","June","July","August","September","October","November","December")&amp;" "&amp;DAY(C4352)&amp;MID("thstndrdth",MIN(9,2*RIGHT(DAY(C4352))*(MOD(DAY(C4352)-11,100)&gt;2)+1),2)&amp;","&amp;TEXT(C4352," yyyy"))</f>
        <v>March 1st,2023</v>
      </c>
      <c r="AB4352" s="15" t="str">
        <f aca="true">IF(S4352="","",DATEDIF(S4352,TODAY(),"Y")&amp;" Tahun, "&amp;DATEDIF(S4352,TODAY(),"YM")&amp;" Bulan, "&amp;DATEDIF(S4352,TODAY(),"MD")&amp;" Hari")</f>
        <v>42 Tahun, 3 Bulan, 12 Hari</v>
      </c>
      <c r="AC4352" s="18" t="n">
        <v>45659</v>
      </c>
      <c r="AD4352" s="18" t="n">
        <v>46015</v>
      </c>
      <c r="AE4352" s="18" t="s">
        <v>44</v>
      </c>
    </row>
    <row r="4353" customFormat="false" ht="15" hidden="false" customHeight="true" outlineLevel="0" collapsed="false">
      <c r="A4353" s="12" t="n">
        <v>2293</v>
      </c>
      <c r="B4353" s="13" t="s">
        <v>17845</v>
      </c>
      <c r="C4353" s="14" t="n">
        <v>43095</v>
      </c>
      <c r="D4353" s="13" t="s">
        <v>1721</v>
      </c>
      <c r="E4353" s="15" t="s">
        <v>47</v>
      </c>
      <c r="F4353" s="15" t="str">
        <f aca="false">IFERROR(__xludf.dummyfunction("XLOOKUP(AJ4353,IMPORTRANGE(""1XaInW9DU9nz21V0tYIfzFQ0He9kVQ_JF2mCXgZ3hqFA"",""REKAP ALL 2026 - Andika!G:G""),IMPORTRANGE(""1XaInW9DU9nz21V0tYIfzFQ0He9kVQ_JF2mCXgZ3hqFA"",""REKAP ALL 2026 - Andika!F:F""),"""",0)"),"06NF0049519")</f>
        <v>06NF0049519</v>
      </c>
      <c r="G4353" s="13" t="s">
        <v>17846</v>
      </c>
      <c r="H4353" s="13" t="s">
        <v>35</v>
      </c>
      <c r="I4353" s="13" t="str">
        <f aca="false">IF(C4353=J4353,"NEW KONTRAK","RE-KONTRAK")</f>
        <v>RE-KONTRAK</v>
      </c>
      <c r="J4353" s="16" t="n">
        <f aca="false" t="array" ref="J4353:J4353">IFERROR(INDEX(AC4353:AE4353,IF(COUNTA(AC4353:AE4353)=0,"",MAX((AC4353:AE4353&lt;&gt;"")*(COLUMN(AC4353:AE4353)-(COLUMN(AC4353)))))-1),"")</f>
        <v>45659</v>
      </c>
      <c r="K4353" s="16" t="n">
        <f aca="false" t="array" ref="K4353:K4353">IFERROR(INDEX(AC4353:AE4353,IF(COUNTA(AC4353:AE4353)=0,"",MAX((AC4353:AE4353&lt;&gt;"")*(COLUMN(AC4353:AE4353)-(COLUMN(AC4353)-1))))-1),"")</f>
        <v>46015</v>
      </c>
      <c r="L4353" s="17" t="str">
        <f aca="false" t="array" ref="L4353:L4353">IFERROR(INDEX(AC4353:AE4353,IF(COUNTA(AC4353:AE4353)=0,"",MAX((AC4353:AE4353&lt;&gt;"")*(COLUMN(AC4353:AE4353)-(COLUMN(AC4353)-2))))-1),"")</f>
        <v>ARCHIVED</v>
      </c>
      <c r="M4353" s="13" t="n">
        <f aca="true">K4353-TODAY()</f>
        <v>-309</v>
      </c>
      <c r="N4353" s="18" t="s">
        <v>728</v>
      </c>
      <c r="O4353" s="13" t="s">
        <v>1914</v>
      </c>
      <c r="P4353" s="19" t="n">
        <v>5444909</v>
      </c>
      <c r="Q4353" s="20" t="s">
        <v>17847</v>
      </c>
      <c r="R4353" s="13" t="s">
        <v>260</v>
      </c>
      <c r="S4353" s="14" t="n">
        <v>31514</v>
      </c>
      <c r="T4353" s="13" t="s">
        <v>108</v>
      </c>
      <c r="U4353" s="13" t="s">
        <v>17848</v>
      </c>
      <c r="V4353" s="13" t="s">
        <v>42</v>
      </c>
      <c r="W4353" s="13" t="s">
        <v>54</v>
      </c>
      <c r="X4353" s="21" t="n">
        <v>85646236800</v>
      </c>
      <c r="Y4353" s="22" t="str">
        <f aca="false">O4353</f>
        <v>Im Operator</v>
      </c>
      <c r="Z4353" s="13" t="str">
        <f aca="false">IFERROR(__xludf.dummyfunction("if(BJ4353="""","""",GOOGLETRANSLATE(BJ4353,""auto"",""en""))"),"Im Operator")</f>
        <v>Im Operator</v>
      </c>
      <c r="AA4353" s="23" t="str">
        <f aca="false">IF(C4353="","", CHOOSE(MONTH(C4353),"January","February","March","April","May","June","July","August","September","October","November","December")&amp;" "&amp;DAY(C4353)&amp;MID("thstndrdth",MIN(9,2*RIGHT(DAY(C4353))*(MOD(DAY(C4353)-11,100)&gt;2)+1),2)&amp;","&amp;TEXT(C4353," yyyy"))</f>
        <v>December 26th,2017</v>
      </c>
      <c r="AB4353" s="15" t="str">
        <f aca="true">IF(S4353="","",DATEDIF(S4353,TODAY(),"Y")&amp;" Tahun, "&amp;DATEDIF(S4353,TODAY(),"YM")&amp;" Bulan, "&amp;DATEDIF(S4353,TODAY(),"MD")&amp;" Hari")</f>
        <v>40 Tahun, 6 Bulan, 17 Hari</v>
      </c>
      <c r="AC4353" s="18" t="n">
        <v>45659</v>
      </c>
      <c r="AD4353" s="18" t="n">
        <v>46015</v>
      </c>
      <c r="AE4353" s="18" t="s">
        <v>44</v>
      </c>
    </row>
    <row r="4354" customFormat="false" ht="15" hidden="false" customHeight="true" outlineLevel="0" collapsed="false">
      <c r="A4354" s="12" t="n">
        <v>22701</v>
      </c>
      <c r="B4354" s="13" t="s">
        <v>17849</v>
      </c>
      <c r="C4354" s="14" t="n">
        <v>46251</v>
      </c>
      <c r="D4354" s="13" t="s">
        <v>1721</v>
      </c>
      <c r="E4354" s="13" t="s">
        <v>47</v>
      </c>
      <c r="F4354" s="24" t="s">
        <v>17850</v>
      </c>
      <c r="G4354" s="13" t="s">
        <v>1452</v>
      </c>
      <c r="H4354" s="13" t="s">
        <v>35</v>
      </c>
      <c r="I4354" s="13" t="str">
        <f aca="false">IF(C4354=J4354,"NEW KONTRAK","RE-KONTRAK")</f>
        <v>NEW KONTRAK</v>
      </c>
      <c r="J4354" s="16" t="n">
        <f aca="false" t="array" ref="J4354:J4354">IFERROR(INDEX(AC4354:AE4354,IF(COUNTA(AC4354:AE4354)=0,"",MAX((AC4354:AE4354&lt;&gt;"")*(COLUMN(AC4354:AE4354)-(COLUMN(AC4354)))))-1),"")</f>
        <v>46251</v>
      </c>
      <c r="K4354" s="16" t="n">
        <f aca="false" t="array" ref="K4354:K4354">IFERROR(INDEX(AC4354:AE4354,IF(COUNTA(AC4354:AE4354)=0,"",MAX((AC4354:AE4354&lt;&gt;"")*(COLUMN(AC4354:AE4354)-(COLUMN(AC4354)-1))))-1),"")</f>
        <v>46342</v>
      </c>
      <c r="L4354" s="17" t="str">
        <f aca="false" t="array" ref="L4354:L4354">IFERROR(INDEX(AC4354:AE4354,IF(COUNTA(AC4354:AE4354)=0,"",MAX((AC4354:AE4354&lt;&gt;"")*(COLUMN(AC4354:AE4354)-(COLUMN(AC4354)-2))))-1),"")</f>
        <v>KEMBALI</v>
      </c>
      <c r="M4354" s="13" t="n">
        <f aca="true">K4354-TODAY()</f>
        <v>18</v>
      </c>
      <c r="N4354" s="18" t="s">
        <v>728</v>
      </c>
      <c r="O4354" s="13" t="s">
        <v>1803</v>
      </c>
      <c r="P4354" s="26" t="n">
        <v>5444909</v>
      </c>
      <c r="Q4354" s="20" t="s">
        <v>17851</v>
      </c>
      <c r="R4354" s="13" t="s">
        <v>83</v>
      </c>
      <c r="S4354" s="25" t="n">
        <v>35598</v>
      </c>
      <c r="T4354" s="13" t="s">
        <v>108</v>
      </c>
      <c r="U4354" s="13" t="s">
        <v>17852</v>
      </c>
      <c r="V4354" s="13" t="s">
        <v>42</v>
      </c>
      <c r="W4354" s="13" t="s">
        <v>54</v>
      </c>
      <c r="X4354" s="21" t="n">
        <v>81936614735</v>
      </c>
      <c r="Y4354" s="22" t="str">
        <f aca="false">O4354</f>
        <v>Injectition Moulding</v>
      </c>
      <c r="Z4354" s="13" t="str">
        <f aca="false">IFERROR(__xludf.dummyfunction("if(BJ4354="""","""",GOOGLETRANSLATE(BJ4354,""auto"",""en""))"),"Injectition Moulding")</f>
        <v>Injectition Moulding</v>
      </c>
      <c r="AA4354" s="23" t="str">
        <f aca="false">IF(C4354="","", CHOOSE(MONTH(C4354),"January","February","March","April","May","June","July","August","September","October","November","December")&amp;" "&amp;DAY(C4354)&amp;MID("thstndrdth",MIN(9,2*RIGHT(DAY(C4354))*(MOD(DAY(C4354)-11,100)&gt;2)+1),2)&amp;","&amp;TEXT(C4354," yyyy"))</f>
        <v>August 17th,2026</v>
      </c>
      <c r="AB4354" s="15" t="str">
        <f aca="true">IF(S4354="","",DATEDIF(S4354,TODAY(),"Y")&amp;" Tahun, "&amp;DATEDIF(S4354,TODAY(),"YM")&amp;" Bulan, "&amp;DATEDIF(S4354,TODAY(),"MD")&amp;" Hari")</f>
        <v>29 Tahun, 4 Bulan, 12 Hari</v>
      </c>
      <c r="AC4354" s="14" t="n">
        <v>46251</v>
      </c>
      <c r="AD4354" s="18" t="n">
        <f aca="false">EDATE(AC4354,3)-1</f>
        <v>46342</v>
      </c>
      <c r="AE4354" s="13" t="s">
        <v>397</v>
      </c>
    </row>
    <row r="4355" customFormat="false" ht="15" hidden="false" customHeight="true" outlineLevel="0" collapsed="false">
      <c r="A4355" s="12" t="n">
        <v>22694</v>
      </c>
      <c r="B4355" s="13" t="s">
        <v>17853</v>
      </c>
      <c r="C4355" s="14" t="n">
        <v>46251</v>
      </c>
      <c r="D4355" s="13" t="s">
        <v>1721</v>
      </c>
      <c r="E4355" s="13" t="s">
        <v>47</v>
      </c>
      <c r="F4355" s="24" t="s">
        <v>17854</v>
      </c>
      <c r="G4355" s="13" t="s">
        <v>1452</v>
      </c>
      <c r="H4355" s="13" t="s">
        <v>35</v>
      </c>
      <c r="I4355" s="13" t="str">
        <f aca="false">IF(C4355=J4355,"NEW KONTRAK","RE-KONTRAK")</f>
        <v>NEW KONTRAK</v>
      </c>
      <c r="J4355" s="16" t="n">
        <f aca="false" t="array" ref="J4355:J4355">IFERROR(INDEX(AC4355:AE4355,IF(COUNTA(AC4355:AE4355)=0,"",MAX((AC4355:AE4355&lt;&gt;"")*(COLUMN(AC4355:AE4355)-(COLUMN(AC4355)))))-1),"")</f>
        <v>46251</v>
      </c>
      <c r="K4355" s="16" t="n">
        <f aca="false" t="array" ref="K4355:K4355">IFERROR(INDEX(AC4355:AE4355,IF(COUNTA(AC4355:AE4355)=0,"",MAX((AC4355:AE4355&lt;&gt;"")*(COLUMN(AC4355:AE4355)-(COLUMN(AC4355)-1))))-1),"")</f>
        <v>46342</v>
      </c>
      <c r="L4355" s="17" t="str">
        <f aca="false" t="array" ref="L4355:L4355">IFERROR(INDEX(AC4355:AE4355,IF(COUNTA(AC4355:AE4355)=0,"",MAX((AC4355:AE4355&lt;&gt;"")*(COLUMN(AC4355:AE4355)-(COLUMN(AC4355)-2))))-1),"")</f>
        <v>ARCHIVED</v>
      </c>
      <c r="M4355" s="13" t="n">
        <f aca="true">K4355-TODAY()</f>
        <v>18</v>
      </c>
      <c r="N4355" s="18" t="s">
        <v>728</v>
      </c>
      <c r="O4355" s="13" t="s">
        <v>1803</v>
      </c>
      <c r="P4355" s="26" t="n">
        <v>5444909</v>
      </c>
      <c r="Q4355" s="20" t="s">
        <v>17855</v>
      </c>
      <c r="R4355" s="13" t="s">
        <v>73</v>
      </c>
      <c r="S4355" s="25" t="n">
        <v>36652</v>
      </c>
      <c r="T4355" s="13" t="s">
        <v>108</v>
      </c>
      <c r="U4355" s="13" t="s">
        <v>17856</v>
      </c>
      <c r="V4355" s="13" t="s">
        <v>42</v>
      </c>
      <c r="W4355" s="13" t="s">
        <v>54</v>
      </c>
      <c r="X4355" s="21" t="n">
        <v>85648019250</v>
      </c>
      <c r="Y4355" s="22" t="str">
        <f aca="false">O4355</f>
        <v>Injectition Moulding</v>
      </c>
      <c r="Z4355" s="13" t="str">
        <f aca="false">IFERROR(__xludf.dummyfunction("if(BJ4355="""","""",GOOGLETRANSLATE(BJ4355,""auto"",""en""))"),"Injectition Moulding")</f>
        <v>Injectition Moulding</v>
      </c>
      <c r="AA4355" s="23" t="str">
        <f aca="false">IF(C4355="","", CHOOSE(MONTH(C4355),"January","February","March","April","May","June","July","August","September","October","November","December")&amp;" "&amp;DAY(C4355)&amp;MID("thstndrdth",MIN(9,2*RIGHT(DAY(C4355))*(MOD(DAY(C4355)-11,100)&gt;2)+1),2)&amp;","&amp;TEXT(C4355," yyyy"))</f>
        <v>August 17th,2026</v>
      </c>
      <c r="AB4355" s="15" t="str">
        <f aca="true">IF(S4355="","",DATEDIF(S4355,TODAY(),"Y")&amp;" Tahun, "&amp;DATEDIF(S4355,TODAY(),"YM")&amp;" Bulan, "&amp;DATEDIF(S4355,TODAY(),"MD")&amp;" Hari")</f>
        <v>26 Tahun, 5 Bulan, 23 Hari</v>
      </c>
      <c r="AC4355" s="14" t="n">
        <v>46251</v>
      </c>
      <c r="AD4355" s="18" t="n">
        <f aca="false">EDATE(AC4355,3)-1</f>
        <v>46342</v>
      </c>
      <c r="AE4355" s="45" t="s">
        <v>44</v>
      </c>
    </row>
    <row r="4356" customFormat="false" ht="15" hidden="false" customHeight="true" outlineLevel="0" collapsed="false">
      <c r="A4356" s="12" t="n">
        <v>2294</v>
      </c>
      <c r="B4356" s="13" t="s">
        <v>17857</v>
      </c>
      <c r="C4356" s="14" t="n">
        <v>43655</v>
      </c>
      <c r="D4356" s="13" t="s">
        <v>1721</v>
      </c>
      <c r="E4356" s="15" t="s">
        <v>47</v>
      </c>
      <c r="F4356" s="15" t="str">
        <f aca="false">IFERROR(__xludf.dummyfunction("XLOOKUP(AJ4356,IMPORTRANGE(""1XaInW9DU9nz21V0tYIfzFQ0He9kVQ_JF2mCXgZ3hqFA"",""REKAP ALL 2026 - Andika!G:G""),IMPORTRANGE(""1XaInW9DU9nz21V0tYIfzFQ0He9kVQ_JF2mCXgZ3hqFA"",""REKAP ALL 2026 - Andika!F:F""),"""",0)"),"16024961282")</f>
        <v>16024961282</v>
      </c>
      <c r="G4356" s="13" t="s">
        <v>17858</v>
      </c>
      <c r="H4356" s="13" t="s">
        <v>35</v>
      </c>
      <c r="I4356" s="13" t="str">
        <f aca="false">IF(C4356=J4356,"NEW KONTRAK","RE-KONTRAK")</f>
        <v>RE-KONTRAK</v>
      </c>
      <c r="J4356" s="16" t="n">
        <f aca="false" t="array" ref="J4356:J4356">IFERROR(INDEX(AC4356:AE4356,IF(COUNTA(AC4356:AE4356)=0,"",MAX((AC4356:AE4356&lt;&gt;"")*(COLUMN(AC4356:AE4356)-(COLUMN(AC4356)))))-1),"")</f>
        <v>45659</v>
      </c>
      <c r="K4356" s="16" t="n">
        <f aca="false" t="array" ref="K4356:K4356">IFERROR(INDEX(AC4356:AE4356,IF(COUNTA(AC4356:AE4356)=0,"",MAX((AC4356:AE4356&lt;&gt;"")*(COLUMN(AC4356:AE4356)-(COLUMN(AC4356)-1))))-1),"")</f>
        <v>46015</v>
      </c>
      <c r="L4356" s="17" t="str">
        <f aca="false" t="array" ref="L4356:L4356">IFERROR(INDEX(AC4356:AE4356,IF(COUNTA(AC4356:AE4356)=0,"",MAX((AC4356:AE4356&lt;&gt;"")*(COLUMN(AC4356:AE4356)-(COLUMN(AC4356)-2))))-1),"")</f>
        <v>ARCHIVED</v>
      </c>
      <c r="M4356" s="13" t="n">
        <f aca="true">K4356-TODAY()</f>
        <v>-309</v>
      </c>
      <c r="N4356" s="18" t="s">
        <v>728</v>
      </c>
      <c r="O4356" s="13" t="s">
        <v>1914</v>
      </c>
      <c r="P4356" s="19" t="n">
        <v>5444909</v>
      </c>
      <c r="Q4356" s="20" t="s">
        <v>17859</v>
      </c>
      <c r="R4356" s="13" t="s">
        <v>826</v>
      </c>
      <c r="S4356" s="14" t="n">
        <v>30337</v>
      </c>
      <c r="T4356" s="13" t="s">
        <v>108</v>
      </c>
      <c r="U4356" s="13" t="s">
        <v>17860</v>
      </c>
      <c r="V4356" s="13" t="s">
        <v>42</v>
      </c>
      <c r="W4356" s="13" t="s">
        <v>54</v>
      </c>
      <c r="X4356" s="21" t="n">
        <v>81358899140</v>
      </c>
      <c r="Y4356" s="22" t="str">
        <f aca="false">O4356</f>
        <v>Im Operator</v>
      </c>
      <c r="Z4356" s="13" t="str">
        <f aca="false">IFERROR(__xludf.dummyfunction("if(BJ4356="""","""",GOOGLETRANSLATE(BJ4356,""auto"",""en""))"),"Im Operator")</f>
        <v>Im Operator</v>
      </c>
      <c r="AA4356" s="23" t="str">
        <f aca="false">IF(C4356="","", CHOOSE(MONTH(C4356),"January","February","March","April","May","June","July","August","September","October","November","December")&amp;" "&amp;DAY(C4356)&amp;MID("thstndrdth",MIN(9,2*RIGHT(DAY(C4356))*(MOD(DAY(C4356)-11,100)&gt;2)+1),2)&amp;","&amp;TEXT(C4356," yyyy"))</f>
        <v>July 9th,2019</v>
      </c>
      <c r="AB4356" s="15" t="str">
        <f aca="true">IF(S4356="","",DATEDIF(S4356,TODAY(),"Y")&amp;" Tahun, "&amp;DATEDIF(S4356,TODAY(),"YM")&amp;" Bulan, "&amp;DATEDIF(S4356,TODAY(),"MD")&amp;" Hari")</f>
        <v>43 Tahun, 9 Bulan, 8 Hari</v>
      </c>
      <c r="AC4356" s="18" t="n">
        <v>45659</v>
      </c>
      <c r="AD4356" s="18" t="n">
        <v>46015</v>
      </c>
      <c r="AE4356" s="18" t="s">
        <v>44</v>
      </c>
    </row>
    <row r="4357" customFormat="false" ht="15" hidden="false" customHeight="true" outlineLevel="0" collapsed="false">
      <c r="A4357" s="12" t="n">
        <v>23001</v>
      </c>
      <c r="B4357" s="13" t="s">
        <v>13009</v>
      </c>
      <c r="C4357" s="14" t="n">
        <v>46307</v>
      </c>
      <c r="D4357" s="13" t="s">
        <v>1721</v>
      </c>
      <c r="E4357" s="13" t="s">
        <v>47</v>
      </c>
      <c r="F4357" s="24" t="s">
        <v>17861</v>
      </c>
      <c r="G4357" s="13" t="s">
        <v>1127</v>
      </c>
      <c r="H4357" s="13" t="s">
        <v>35</v>
      </c>
      <c r="I4357" s="13" t="str">
        <f aca="false">IF(C4357=J4357,"NEW KONTRAK","RE-KONTRAK")</f>
        <v>NEW KONTRAK</v>
      </c>
      <c r="J4357" s="16" t="n">
        <f aca="false" t="array" ref="J4357:J4357">IFERROR(INDEX(AC4357:AE4357,IF(COUNTA(AC4357:AE4357)=0,"",MAX((AC4357:AE4357&lt;&gt;"")*(COLUMN(AC4357:AE4357)-(COLUMN(AC4357)))))-1),"")</f>
        <v>46307</v>
      </c>
      <c r="K4357" s="16" t="n">
        <f aca="false" t="array" ref="K4357:K4357">IFERROR(INDEX(AC4357:AE4357,IF(COUNTA(AC4357:AE4357)=0,"",MAX((AC4357:AE4357&lt;&gt;"")*(COLUMN(AC4357:AE4357)-(COLUMN(AC4357)-1))))-1),"")</f>
        <v>46386</v>
      </c>
      <c r="L4357" s="17" t="str">
        <f aca="false" t="array" ref="L4357:L4357">IFERROR(INDEX(AC4357:AE4357,IF(COUNTA(AC4357:AE4357)=0,"",MAX((AC4357:AE4357&lt;&gt;"")*(COLUMN(AC4357:AE4357)-(COLUMN(AC4357)-2))))-1),"")</f>
        <v>PRINTED</v>
      </c>
      <c r="M4357" s="13" t="n">
        <f aca="true">K4357-TODAY()</f>
        <v>62</v>
      </c>
      <c r="N4357" s="18" t="s">
        <v>728</v>
      </c>
      <c r="O4357" s="13" t="s">
        <v>1755</v>
      </c>
      <c r="P4357" s="26" t="n">
        <v>5444909</v>
      </c>
      <c r="Q4357" s="20" t="s">
        <v>13011</v>
      </c>
      <c r="R4357" s="13" t="s">
        <v>227</v>
      </c>
      <c r="S4357" s="25" t="n">
        <v>35522</v>
      </c>
      <c r="T4357" s="13" t="s">
        <v>108</v>
      </c>
      <c r="U4357" s="13" t="s">
        <v>17862</v>
      </c>
      <c r="V4357" s="13" t="s">
        <v>42</v>
      </c>
      <c r="W4357" s="13" t="s">
        <v>43</v>
      </c>
      <c r="X4357" s="21" t="n">
        <v>85648417179</v>
      </c>
      <c r="Y4357" s="22" t="str">
        <f aca="false">O4357</f>
        <v>Im.Operator</v>
      </c>
      <c r="Z4357" s="13" t="str">
        <f aca="false">IFERROR(__xludf.dummyfunction("if(BJ4357="""","""",GOOGLETRANSLATE(BJ4357,""auto"",""en""))"),"Im.Operator")</f>
        <v>Im.Operator</v>
      </c>
      <c r="AA4357" s="23" t="str">
        <f aca="false">IF(C4357="","", CHOOSE(MONTH(C4357),"January","February","March","April","May","June","July","August","September","October","November","December")&amp;" "&amp;DAY(C4357)&amp;MID("thstndrdth",MIN(9,2*RIGHT(DAY(C4357))*(MOD(DAY(C4357)-11,100)&gt;2)+1),2)&amp;","&amp;TEXT(C4357," yyyy"))</f>
        <v>October 12th,2026</v>
      </c>
      <c r="AB4357" s="15" t="str">
        <f aca="true">IF(S4357="","",DATEDIF(S4357,TODAY(),"Y")&amp;" Tahun, "&amp;DATEDIF(S4357,TODAY(),"YM")&amp;" Bulan, "&amp;DATEDIF(S4357,TODAY(),"MD")&amp;" Hari")</f>
        <v>29 Tahun, 6 Bulan, 27 Hari</v>
      </c>
      <c r="AC4357" s="14" t="n">
        <v>46307</v>
      </c>
      <c r="AD4357" s="18" t="n">
        <v>46386</v>
      </c>
      <c r="AE4357" s="13" t="s">
        <v>1752</v>
      </c>
    </row>
    <row r="4358" customFormat="false" ht="15" hidden="false" customHeight="true" outlineLevel="0" collapsed="false">
      <c r="A4358" s="12" t="n">
        <v>21705</v>
      </c>
      <c r="B4358" s="13" t="s">
        <v>17863</v>
      </c>
      <c r="C4358" s="16" t="n">
        <v>46024</v>
      </c>
      <c r="D4358" s="13" t="s">
        <v>1721</v>
      </c>
      <c r="E4358" s="15" t="s">
        <v>47</v>
      </c>
      <c r="F4358" s="15" t="str">
        <f aca="false">IFERROR(__xludf.dummyfunction("XLOOKUP(AJ4358,IMPORTRANGE(""1XaInW9DU9nz21V0tYIfzFQ0He9kVQ_JF2mCXgZ3hqFA"",""REKAP ALL 2026 - Andika!G:G""),IMPORTRANGE(""1XaInW9DU9nz21V0tYIfzFQ0He9kVQ_JF2mCXgZ3hqFA"",""REKAP ALL 2026 - Andika!F:F""),"""",0)"),"26020754797")</f>
        <v>26020754797</v>
      </c>
      <c r="G4358" s="28" t="s">
        <v>57</v>
      </c>
      <c r="H4358" s="13" t="s">
        <v>35</v>
      </c>
      <c r="I4358" s="13" t="str">
        <f aca="false">IF(C4358=J4358,"NEW KONTRAK","RE-KONTRAK")</f>
        <v>NEW KONTRAK</v>
      </c>
      <c r="J4358" s="16" t="n">
        <f aca="false" t="array" ref="J4358:J4358">IFERROR(INDEX(AC4358:AE4358,IF(COUNTA(AC4358:AE4358)=0,"",MAX((AC4358:AE4358&lt;&gt;"")*(COLUMN(AC4358:AE4358)-(COLUMN(AC4358)))))-1),"")</f>
        <v>46024</v>
      </c>
      <c r="K4358" s="16" t="n">
        <f aca="false" t="array" ref="K4358:K4358">IFERROR(INDEX(AC4358:AE4358,IF(COUNTA(AC4358:AE4358)=0,"",MAX((AC4358:AE4358&lt;&gt;"")*(COLUMN(AC4358:AE4358)-(COLUMN(AC4358)-1))))-1),"")</f>
        <v>46113</v>
      </c>
      <c r="L4358" s="17" t="str">
        <f aca="false" t="array" ref="L4358:L4358">IFERROR(INDEX(AC4358:AE4358,IF(COUNTA(AC4358:AE4358)=0,"",MAX((AC4358:AE4358&lt;&gt;"")*(COLUMN(AC4358:AE4358)-(COLUMN(AC4358)-2))))-1),"")</f>
        <v>ARCHIVED</v>
      </c>
      <c r="M4358" s="13" t="n">
        <f aca="true">K4358-TODAY()</f>
        <v>-211</v>
      </c>
      <c r="N4358" s="18" t="s">
        <v>728</v>
      </c>
      <c r="O4358" s="13" t="s">
        <v>1722</v>
      </c>
      <c r="P4358" s="19" t="n">
        <v>5444909</v>
      </c>
      <c r="Q4358" s="47" t="s">
        <v>17864</v>
      </c>
      <c r="R4358" s="13" t="s">
        <v>148</v>
      </c>
      <c r="S4358" s="16" t="n">
        <v>36990</v>
      </c>
      <c r="T4358" s="28" t="s">
        <v>40</v>
      </c>
      <c r="U4358" s="13" t="s">
        <v>17865</v>
      </c>
      <c r="V4358" s="13" t="s">
        <v>42</v>
      </c>
      <c r="W4358" s="13" t="s">
        <v>43</v>
      </c>
      <c r="X4358" s="21" t="s">
        <v>17866</v>
      </c>
      <c r="Y4358" s="22" t="str">
        <f aca="false">O4358</f>
        <v>Printing</v>
      </c>
      <c r="Z4358" s="13" t="str">
        <f aca="false">IFERROR(__xludf.dummyfunction("if(BJ4358="""","""",GOOGLETRANSLATE(BJ4358,""auto"",""en""))"),"Printing")</f>
        <v>Printing</v>
      </c>
      <c r="AA4358" s="23" t="str">
        <f aca="false">IF(C4358="","", CHOOSE(MONTH(C4358),"January","February","March","April","May","June","July","August","September","October","November","December")&amp;" "&amp;DAY(C4358)&amp;MID("thstndrdth",MIN(9,2*RIGHT(DAY(C4358))*(MOD(DAY(C4358)-11,100)&gt;2)+1),2)&amp;","&amp;TEXT(C4358," yyyy"))</f>
        <v>January 2nd,2026</v>
      </c>
      <c r="AB4358" s="15" t="str">
        <f aca="true">IF(S4358="","",DATEDIF(S4358,TODAY(),"Y")&amp;" Tahun, "&amp;DATEDIF(S4358,TODAY(),"YM")&amp;" Bulan, "&amp;DATEDIF(S4358,TODAY(),"MD")&amp;" Hari")</f>
        <v>25 Tahun, 6 Bulan, 20 Hari</v>
      </c>
      <c r="AC4358" s="18" t="n">
        <v>46024</v>
      </c>
      <c r="AD4358" s="18" t="n">
        <f aca="false">EDATE(AC4358,3)-1</f>
        <v>46113</v>
      </c>
      <c r="AE4358" s="18" t="s">
        <v>44</v>
      </c>
    </row>
    <row r="4359" customFormat="false" ht="15" hidden="false" customHeight="true" outlineLevel="0" collapsed="false">
      <c r="A4359" s="12" t="n">
        <v>4661</v>
      </c>
      <c r="B4359" s="13" t="s">
        <v>17867</v>
      </c>
      <c r="C4359" s="14" t="n">
        <v>44564</v>
      </c>
      <c r="D4359" s="13" t="s">
        <v>1721</v>
      </c>
      <c r="E4359" s="15" t="s">
        <v>47</v>
      </c>
      <c r="F4359" s="15" t="str">
        <f aca="false">IFERROR(__xludf.dummyfunction("XLOOKUP(AJ4359,IMPORTRANGE(""1XaInW9DU9nz21V0tYIfzFQ0He9kVQ_JF2mCXgZ3hqFA"",""REKAP ALL 2026 - Andika!G:G""),IMPORTRANGE(""1XaInW9DU9nz21V0tYIfzFQ0He9kVQ_JF2mCXgZ3hqFA"",""REKAP ALL 2026 - Andika!F:F""),"""",0)"),"22015020351")</f>
        <v>22015020351</v>
      </c>
      <c r="G4359" s="13" t="s">
        <v>17868</v>
      </c>
      <c r="H4359" s="13" t="s">
        <v>35</v>
      </c>
      <c r="I4359" s="13" t="str">
        <f aca="false">IF(C4359=J4359,"NEW KONTRAK","RE-KONTRAK")</f>
        <v>RE-KONTRAK</v>
      </c>
      <c r="J4359" s="16" t="n">
        <f aca="false" t="array" ref="J4359:J4359">IFERROR(INDEX(AC4359:AE4359,IF(COUNTA(AC4359:AE4359)=0,"",MAX((AC4359:AE4359&lt;&gt;"")*(COLUMN(AC4359:AE4359)-(COLUMN(AC4359)))))-1),"")</f>
        <v>45659</v>
      </c>
      <c r="K4359" s="16" t="n">
        <f aca="false" t="array" ref="K4359:K4359">IFERROR(INDEX(AC4359:AE4359,IF(COUNTA(AC4359:AE4359)=0,"",MAX((AC4359:AE4359&lt;&gt;"")*(COLUMN(AC4359:AE4359)-(COLUMN(AC4359)-1))))-1),"")</f>
        <v>46015</v>
      </c>
      <c r="L4359" s="17" t="str">
        <f aca="false" t="array" ref="L4359:L4359">IFERROR(INDEX(AC4359:AE4359,IF(COUNTA(AC4359:AE4359)=0,"",MAX((AC4359:AE4359&lt;&gt;"")*(COLUMN(AC4359:AE4359)-(COLUMN(AC4359)-2))))-1),"")</f>
        <v>ARCHIVED</v>
      </c>
      <c r="M4359" s="13" t="n">
        <f aca="true">K4359-TODAY()</f>
        <v>-309</v>
      </c>
      <c r="N4359" s="18" t="s">
        <v>728</v>
      </c>
      <c r="O4359" s="13" t="s">
        <v>1765</v>
      </c>
      <c r="P4359" s="19" t="n">
        <v>5444909</v>
      </c>
      <c r="Q4359" s="20" t="s">
        <v>17869</v>
      </c>
      <c r="R4359" s="13" t="s">
        <v>274</v>
      </c>
      <c r="S4359" s="14" t="n">
        <v>37103</v>
      </c>
      <c r="T4359" s="13" t="s">
        <v>108</v>
      </c>
      <c r="U4359" s="13" t="s">
        <v>17870</v>
      </c>
      <c r="V4359" s="13" t="s">
        <v>42</v>
      </c>
      <c r="W4359" s="13" t="s">
        <v>43</v>
      </c>
      <c r="X4359" s="21" t="n">
        <v>85793928720</v>
      </c>
      <c r="Y4359" s="22" t="str">
        <f aca="false">O4359</f>
        <v>Assy Operator</v>
      </c>
      <c r="Z4359" s="13" t="str">
        <f aca="false">IFERROR(__xludf.dummyfunction("if(BJ4359="""","""",GOOGLETRANSLATE(BJ4359,""auto"",""en""))"),"Assy Operator")</f>
        <v>Assy Operator</v>
      </c>
      <c r="AA4359" s="23" t="str">
        <f aca="false">IF(C4359="","", CHOOSE(MONTH(C4359),"January","February","March","April","May","June","July","August","September","October","November","December")&amp;" "&amp;DAY(C4359)&amp;MID("thstndrdth",MIN(9,2*RIGHT(DAY(C4359))*(MOD(DAY(C4359)-11,100)&gt;2)+1),2)&amp;","&amp;TEXT(C4359," yyyy"))</f>
        <v>January 3rd,2022</v>
      </c>
      <c r="AB4359" s="15" t="str">
        <f aca="true">IF(S4359="","",DATEDIF(S4359,TODAY(),"Y")&amp;" Tahun, "&amp;DATEDIF(S4359,TODAY(),"YM")&amp;" Bulan, "&amp;DATEDIF(S4359,TODAY(),"MD")&amp;" Hari")</f>
        <v>25 Tahun, 2 Bulan, 28 Hari</v>
      </c>
      <c r="AC4359" s="18" t="n">
        <v>45659</v>
      </c>
      <c r="AD4359" s="18" t="n">
        <v>46015</v>
      </c>
      <c r="AE4359" s="18" t="s">
        <v>44</v>
      </c>
    </row>
    <row r="4360" customFormat="false" ht="15" hidden="false" customHeight="true" outlineLevel="0" collapsed="false">
      <c r="A4360" s="12" t="n">
        <v>4637</v>
      </c>
      <c r="B4360" s="13" t="s">
        <v>17871</v>
      </c>
      <c r="C4360" s="14" t="n">
        <v>41353</v>
      </c>
      <c r="D4360" s="13" t="s">
        <v>1721</v>
      </c>
      <c r="E4360" s="15" t="s">
        <v>47</v>
      </c>
      <c r="F4360" s="15" t="str">
        <f aca="false">IFERROR(__xludf.dummyfunction("XLOOKUP(AJ4360,IMPORTRANGE(""1XaInW9DU9nz21V0tYIfzFQ0He9kVQ_JF2mCXgZ3hqFA"",""REKAP ALL 2026 - Andika!G:G""),IMPORTRANGE(""1XaInW9DU9nz21V0tYIfzFQ0He9kVQ_JF2mCXgZ3hqFA"",""REKAP ALL 2026 - Andika!F:F""),"""",0)"),"22015019841")</f>
        <v>22015019841</v>
      </c>
      <c r="G4360" s="13" t="s">
        <v>17872</v>
      </c>
      <c r="H4360" s="13" t="s">
        <v>35</v>
      </c>
      <c r="I4360" s="13" t="str">
        <f aca="false">IF(C4360=J4360,"NEW KONTRAK","RE-KONTRAK")</f>
        <v>RE-KONTRAK</v>
      </c>
      <c r="J4360" s="16" t="n">
        <f aca="false" t="array" ref="J4360:J4360">IFERROR(INDEX(AC4360:AE4360,IF(COUNTA(AC4360:AE4360)=0,"",MAX((AC4360:AE4360&lt;&gt;"")*(COLUMN(AC4360:AE4360)-(COLUMN(AC4360)))))-1),"")</f>
        <v>45659</v>
      </c>
      <c r="K4360" s="16" t="n">
        <f aca="false" t="array" ref="K4360:K4360">IFERROR(INDEX(AC4360:AE4360,IF(COUNTA(AC4360:AE4360)=0,"",MAX((AC4360:AE4360&lt;&gt;"")*(COLUMN(AC4360:AE4360)-(COLUMN(AC4360)-1))))-1),"")</f>
        <v>46015</v>
      </c>
      <c r="L4360" s="17" t="str">
        <f aca="false" t="array" ref="L4360:L4360">IFERROR(INDEX(AC4360:AE4360,IF(COUNTA(AC4360:AE4360)=0,"",MAX((AC4360:AE4360&lt;&gt;"")*(COLUMN(AC4360:AE4360)-(COLUMN(AC4360)-2))))-1),"")</f>
        <v>ARCHIVED</v>
      </c>
      <c r="M4360" s="13" t="n">
        <f aca="true">K4360-TODAY()</f>
        <v>-309</v>
      </c>
      <c r="N4360" s="18" t="s">
        <v>728</v>
      </c>
      <c r="O4360" s="13" t="s">
        <v>1765</v>
      </c>
      <c r="P4360" s="19" t="n">
        <v>5444909</v>
      </c>
      <c r="Q4360" s="20" t="s">
        <v>17873</v>
      </c>
      <c r="R4360" s="13" t="s">
        <v>52</v>
      </c>
      <c r="S4360" s="14" t="n">
        <v>34162</v>
      </c>
      <c r="T4360" s="13" t="s">
        <v>108</v>
      </c>
      <c r="U4360" s="13" t="s">
        <v>17874</v>
      </c>
      <c r="V4360" s="13" t="s">
        <v>42</v>
      </c>
      <c r="W4360" s="13" t="s">
        <v>43</v>
      </c>
      <c r="X4360" s="21" t="n">
        <v>85707968565</v>
      </c>
      <c r="Y4360" s="22" t="str">
        <f aca="false">O4360</f>
        <v>Assy Operator</v>
      </c>
      <c r="Z4360" s="13" t="str">
        <f aca="false">IFERROR(__xludf.dummyfunction("if(BJ4360="""","""",GOOGLETRANSLATE(BJ4360,""auto"",""en""))"),"Assy Operator")</f>
        <v>Assy Operator</v>
      </c>
      <c r="AA4360" s="23" t="str">
        <f aca="false">IF(C4360="","", CHOOSE(MONTH(C4360),"January","February","March","April","May","June","July","August","September","October","November","December")&amp;" "&amp;DAY(C4360)&amp;MID("thstndrdth",MIN(9,2*RIGHT(DAY(C4360))*(MOD(DAY(C4360)-11,100)&gt;2)+1),2)&amp;","&amp;TEXT(C4360," yyyy"))</f>
        <v>March 20th,2013</v>
      </c>
      <c r="AB4360" s="15" t="str">
        <f aca="true">IF(S4360="","",DATEDIF(S4360,TODAY(),"Y")&amp;" Tahun, "&amp;DATEDIF(S4360,TODAY(),"YM")&amp;" Bulan, "&amp;DATEDIF(S4360,TODAY(),"MD")&amp;" Hari")</f>
        <v>33 Tahun, 3 Bulan, 17 Hari</v>
      </c>
      <c r="AC4360" s="18" t="n">
        <v>45659</v>
      </c>
      <c r="AD4360" s="18" t="n">
        <v>46015</v>
      </c>
      <c r="AE4360" s="18" t="s">
        <v>44</v>
      </c>
    </row>
    <row r="4361" customFormat="false" ht="15" hidden="false" customHeight="true" outlineLevel="0" collapsed="false">
      <c r="A4361" s="12" t="n">
        <v>2298</v>
      </c>
      <c r="B4361" s="13" t="s">
        <v>17875</v>
      </c>
      <c r="C4361" s="14" t="n">
        <v>42447</v>
      </c>
      <c r="D4361" s="13" t="s">
        <v>1721</v>
      </c>
      <c r="E4361" s="15" t="s">
        <v>47</v>
      </c>
      <c r="F4361" s="15" t="str">
        <f aca="false">IFERROR(__xludf.dummyfunction("XLOOKUP(AJ4361,IMPORTRANGE(""1XaInW9DU9nz21V0tYIfzFQ0He9kVQ_JF2mCXgZ3hqFA"",""REKAP ALL 2026 - Andika!G:G""),IMPORTRANGE(""1XaInW9DU9nz21V0tYIfzFQ0He9kVQ_JF2mCXgZ3hqFA"",""REKAP ALL 2026 - Andika!F:F""),"""",0)"),"18113406518")</f>
        <v>18113406518</v>
      </c>
      <c r="G4361" s="13" t="s">
        <v>17876</v>
      </c>
      <c r="H4361" s="13" t="s">
        <v>35</v>
      </c>
      <c r="I4361" s="13" t="str">
        <f aca="false">IF(C4361=J4361,"NEW KONTRAK","RE-KONTRAK")</f>
        <v>RE-KONTRAK</v>
      </c>
      <c r="J4361" s="16" t="n">
        <f aca="false" t="array" ref="J4361:J4361">IFERROR(INDEX(AC4361:AE4361,IF(COUNTA(AC4361:AE4361)=0,"",MAX((AC4361:AE4361&lt;&gt;"")*(COLUMN(AC4361:AE4361)-(COLUMN(AC4361)))))-1),"")</f>
        <v>45659</v>
      </c>
      <c r="K4361" s="16" t="n">
        <f aca="false" t="array" ref="K4361:K4361">IFERROR(INDEX(AC4361:AE4361,IF(COUNTA(AC4361:AE4361)=0,"",MAX((AC4361:AE4361&lt;&gt;"")*(COLUMN(AC4361:AE4361)-(COLUMN(AC4361)-1))))-1),"")</f>
        <v>46015</v>
      </c>
      <c r="L4361" s="17" t="str">
        <f aca="false" t="array" ref="L4361:L4361">IFERROR(INDEX(AC4361:AE4361,IF(COUNTA(AC4361:AE4361)=0,"",MAX((AC4361:AE4361&lt;&gt;"")*(COLUMN(AC4361:AE4361)-(COLUMN(AC4361)-2))))-1),"")</f>
        <v>ARCHIVED</v>
      </c>
      <c r="M4361" s="13" t="n">
        <f aca="true">K4361-TODAY()</f>
        <v>-309</v>
      </c>
      <c r="N4361" s="18" t="s">
        <v>728</v>
      </c>
      <c r="O4361" s="13" t="s">
        <v>1744</v>
      </c>
      <c r="P4361" s="19" t="n">
        <v>5444909</v>
      </c>
      <c r="Q4361" s="20" t="s">
        <v>17877</v>
      </c>
      <c r="R4361" s="13" t="s">
        <v>52</v>
      </c>
      <c r="S4361" s="14" t="n">
        <v>31240</v>
      </c>
      <c r="T4361" s="13" t="s">
        <v>108</v>
      </c>
      <c r="U4361" s="13" t="s">
        <v>17878</v>
      </c>
      <c r="V4361" s="13" t="s">
        <v>42</v>
      </c>
      <c r="W4361" s="13" t="s">
        <v>54</v>
      </c>
      <c r="X4361" s="21" t="n">
        <v>881036813153</v>
      </c>
      <c r="Y4361" s="22" t="str">
        <f aca="false">O4361</f>
        <v>Print Operator</v>
      </c>
      <c r="Z4361" s="13" t="str">
        <f aca="false">IFERROR(__xludf.dummyfunction("if(BJ4361="""","""",GOOGLETRANSLATE(BJ4361,""auto"",""en""))"),"Print Operator")</f>
        <v>Print Operator</v>
      </c>
      <c r="AA4361" s="23" t="str">
        <f aca="false">IF(C4361="","", CHOOSE(MONTH(C4361),"January","February","March","April","May","June","July","August","September","October","November","December")&amp;" "&amp;DAY(C4361)&amp;MID("thstndrdth",MIN(9,2*RIGHT(DAY(C4361))*(MOD(DAY(C4361)-11,100)&gt;2)+1),2)&amp;","&amp;TEXT(C4361," yyyy"))</f>
        <v>March 18th,2016</v>
      </c>
      <c r="AB4361" s="15" t="str">
        <f aca="true">IF(S4361="","",DATEDIF(S4361,TODAY(),"Y")&amp;" Tahun, "&amp;DATEDIF(S4361,TODAY(),"YM")&amp;" Bulan, "&amp;DATEDIF(S4361,TODAY(),"MD")&amp;" Hari")</f>
        <v>41 Tahun, 3 Bulan, 17 Hari</v>
      </c>
      <c r="AC4361" s="18" t="n">
        <v>45659</v>
      </c>
      <c r="AD4361" s="18" t="n">
        <v>46015</v>
      </c>
      <c r="AE4361" s="18" t="s">
        <v>44</v>
      </c>
    </row>
    <row r="4362" customFormat="false" ht="15" hidden="false" customHeight="true" outlineLevel="0" collapsed="false">
      <c r="A4362" s="12" t="n">
        <v>23002</v>
      </c>
      <c r="B4362" s="13" t="s">
        <v>13014</v>
      </c>
      <c r="C4362" s="14" t="n">
        <v>46307</v>
      </c>
      <c r="D4362" s="13" t="s">
        <v>1721</v>
      </c>
      <c r="E4362" s="13" t="s">
        <v>47</v>
      </c>
      <c r="F4362" s="24" t="s">
        <v>17879</v>
      </c>
      <c r="G4362" s="13" t="s">
        <v>1127</v>
      </c>
      <c r="H4362" s="13" t="s">
        <v>35</v>
      </c>
      <c r="I4362" s="13" t="str">
        <f aca="false">IF(C4362=J4362,"NEW KONTRAK","RE-KONTRAK")</f>
        <v>NEW KONTRAK</v>
      </c>
      <c r="J4362" s="16" t="n">
        <f aca="false" t="array" ref="J4362:J4362">IFERROR(INDEX(AC4362:AE4362,IF(COUNTA(AC4362:AE4362)=0,"",MAX((AC4362:AE4362&lt;&gt;"")*(COLUMN(AC4362:AE4362)-(COLUMN(AC4362)))))-1),"")</f>
        <v>46307</v>
      </c>
      <c r="K4362" s="16" t="n">
        <f aca="false" t="array" ref="K4362:K4362">IFERROR(INDEX(AC4362:AE4362,IF(COUNTA(AC4362:AE4362)=0,"",MAX((AC4362:AE4362&lt;&gt;"")*(COLUMN(AC4362:AE4362)-(COLUMN(AC4362)-1))))-1),"")</f>
        <v>46386</v>
      </c>
      <c r="L4362" s="17" t="str">
        <f aca="false" t="array" ref="L4362:L4362">IFERROR(INDEX(AC4362:AE4362,IF(COUNTA(AC4362:AE4362)=0,"",MAX((AC4362:AE4362&lt;&gt;"")*(COLUMN(AC4362:AE4362)-(COLUMN(AC4362)-2))))-1),"")</f>
        <v>PRINTED</v>
      </c>
      <c r="M4362" s="13" t="n">
        <f aca="true">K4362-TODAY()</f>
        <v>62</v>
      </c>
      <c r="N4362" s="18" t="s">
        <v>728</v>
      </c>
      <c r="O4362" s="13" t="s">
        <v>1755</v>
      </c>
      <c r="P4362" s="26" t="n">
        <v>5444909</v>
      </c>
      <c r="Q4362" s="20" t="s">
        <v>13016</v>
      </c>
      <c r="R4362" s="13" t="s">
        <v>65</v>
      </c>
      <c r="S4362" s="25" t="n">
        <v>35612</v>
      </c>
      <c r="T4362" s="13" t="s">
        <v>108</v>
      </c>
      <c r="U4362" s="13" t="s">
        <v>17880</v>
      </c>
      <c r="V4362" s="13" t="s">
        <v>42</v>
      </c>
      <c r="W4362" s="13" t="s">
        <v>54</v>
      </c>
      <c r="X4362" s="21" t="n">
        <v>83831977626</v>
      </c>
      <c r="Y4362" s="22" t="str">
        <f aca="false">O4362</f>
        <v>Im.Operator</v>
      </c>
      <c r="Z4362" s="13" t="str">
        <f aca="false">IFERROR(__xludf.dummyfunction("if(BJ4362="""","""",GOOGLETRANSLATE(BJ4362,""auto"",""en""))"),"Im.Operator")</f>
        <v>Im.Operator</v>
      </c>
      <c r="AA4362" s="23" t="str">
        <f aca="false">IF(C4362="","", CHOOSE(MONTH(C4362),"January","February","March","April","May","June","July","August","September","October","November","December")&amp;" "&amp;DAY(C4362)&amp;MID("thstndrdth",MIN(9,2*RIGHT(DAY(C4362))*(MOD(DAY(C4362)-11,100)&gt;2)+1),2)&amp;","&amp;TEXT(C4362," yyyy"))</f>
        <v>October 12th,2026</v>
      </c>
      <c r="AB4362" s="15" t="str">
        <f aca="true">IF(S4362="","",DATEDIF(S4362,TODAY(),"Y")&amp;" Tahun, "&amp;DATEDIF(S4362,TODAY(),"YM")&amp;" Bulan, "&amp;DATEDIF(S4362,TODAY(),"MD")&amp;" Hari")</f>
        <v>29 Tahun, 3 Bulan, 28 Hari</v>
      </c>
      <c r="AC4362" s="14" t="n">
        <v>46307</v>
      </c>
      <c r="AD4362" s="18" t="n">
        <v>46386</v>
      </c>
      <c r="AE4362" s="13" t="s">
        <v>1752</v>
      </c>
    </row>
    <row r="4363" customFormat="false" ht="15" hidden="false" customHeight="true" outlineLevel="0" collapsed="false">
      <c r="A4363" s="12" t="n">
        <v>15657</v>
      </c>
      <c r="B4363" s="13" t="s">
        <v>17881</v>
      </c>
      <c r="C4363" s="14" t="n">
        <v>45446</v>
      </c>
      <c r="D4363" s="13" t="s">
        <v>1721</v>
      </c>
      <c r="E4363" s="15" t="s">
        <v>47</v>
      </c>
      <c r="F4363" s="15" t="str">
        <f aca="false">IFERROR(__xludf.dummyfunction("XLOOKUP(AJ4363,IMPORTRANGE(""1XaInW9DU9nz21V0tYIfzFQ0He9kVQ_JF2mCXgZ3hqFA"",""REKAP ALL 2026 - Andika!G:G""),IMPORTRANGE(""1XaInW9DU9nz21V0tYIfzFQ0He9kVQ_JF2mCXgZ3hqFA"",""REKAP ALL 2026 - Andika!F:F""),"""",0)"),"24091262675")</f>
        <v>24091262675</v>
      </c>
      <c r="G4363" s="15" t="s">
        <v>17882</v>
      </c>
      <c r="H4363" s="13" t="s">
        <v>35</v>
      </c>
      <c r="I4363" s="13" t="str">
        <f aca="false">IF(C4363=J4363,"NEW KONTRAK","RE-KONTRAK")</f>
        <v>RE-KONTRAK</v>
      </c>
      <c r="J4363" s="16" t="n">
        <f aca="false" t="array" ref="J4363:J4363">IFERROR(INDEX(AC4363:AE4363,IF(COUNTA(AC4363:AE4363)=0,"",MAX((AC4363:AE4363&lt;&gt;"")*(COLUMN(AC4363:AE4363)-(COLUMN(AC4363)))))-1),"")</f>
        <v>45659</v>
      </c>
      <c r="K4363" s="16" t="n">
        <f aca="false" t="array" ref="K4363:K4363">IFERROR(INDEX(AC4363:AE4363,IF(COUNTA(AC4363:AE4363)=0,"",MAX((AC4363:AE4363&lt;&gt;"")*(COLUMN(AC4363:AE4363)-(COLUMN(AC4363)-1))))-1),"")</f>
        <v>46015</v>
      </c>
      <c r="L4363" s="17" t="str">
        <f aca="false" t="array" ref="L4363:L4363">IFERROR(INDEX(AC4363:AE4363,IF(COUNTA(AC4363:AE4363)=0,"",MAX((AC4363:AE4363&lt;&gt;"")*(COLUMN(AC4363:AE4363)-(COLUMN(AC4363)-2))))-1),"")</f>
        <v>ARCHIVED</v>
      </c>
      <c r="M4363" s="13" t="n">
        <f aca="true">K4363-TODAY()</f>
        <v>-309</v>
      </c>
      <c r="N4363" s="18" t="s">
        <v>728</v>
      </c>
      <c r="O4363" s="13" t="s">
        <v>1914</v>
      </c>
      <c r="P4363" s="19" t="n">
        <v>5444909</v>
      </c>
      <c r="Q4363" s="20" t="s">
        <v>17883</v>
      </c>
      <c r="R4363" s="13" t="s">
        <v>52</v>
      </c>
      <c r="S4363" s="14" t="n">
        <v>34142</v>
      </c>
      <c r="T4363" s="13" t="s">
        <v>108</v>
      </c>
      <c r="U4363" s="13" t="s">
        <v>17884</v>
      </c>
      <c r="V4363" s="13" t="s">
        <v>42</v>
      </c>
      <c r="W4363" s="13" t="s">
        <v>54</v>
      </c>
      <c r="X4363" s="21" t="n">
        <v>81252028310</v>
      </c>
      <c r="Y4363" s="22" t="str">
        <f aca="false">O4363</f>
        <v>Im Operator</v>
      </c>
      <c r="Z4363" s="13" t="str">
        <f aca="false">IFERROR(__xludf.dummyfunction("if(BJ4363="""","""",GOOGLETRANSLATE(BJ4363,""auto"",""en""))"),"Im Operator")</f>
        <v>Im Operator</v>
      </c>
      <c r="AA4363" s="23" t="str">
        <f aca="false">IF(C4363="","", CHOOSE(MONTH(C4363),"January","February","March","April","May","June","July","August","September","October","November","December")&amp;" "&amp;DAY(C4363)&amp;MID("thstndrdth",MIN(9,2*RIGHT(DAY(C4363))*(MOD(DAY(C4363)-11,100)&gt;2)+1),2)&amp;","&amp;TEXT(C4363," yyyy"))</f>
        <v>June 3rd,2024</v>
      </c>
      <c r="AB4363" s="15" t="str">
        <f aca="true">IF(S4363="","",DATEDIF(S4363,TODAY(),"Y")&amp;" Tahun, "&amp;DATEDIF(S4363,TODAY(),"YM")&amp;" Bulan, "&amp;DATEDIF(S4363,TODAY(),"MD")&amp;" Hari")</f>
        <v>33 Tahun, 4 Bulan, 7 Hari</v>
      </c>
      <c r="AC4363" s="18" t="n">
        <v>45659</v>
      </c>
      <c r="AD4363" s="18" t="n">
        <v>46015</v>
      </c>
      <c r="AE4363" s="18" t="s">
        <v>44</v>
      </c>
    </row>
    <row r="4364" customFormat="false" ht="15" hidden="false" customHeight="true" outlineLevel="0" collapsed="false">
      <c r="A4364" s="12" t="n">
        <v>2302</v>
      </c>
      <c r="B4364" s="13" t="s">
        <v>17885</v>
      </c>
      <c r="C4364" s="14" t="n">
        <v>43080</v>
      </c>
      <c r="D4364" s="13" t="s">
        <v>1721</v>
      </c>
      <c r="E4364" s="15" t="s">
        <v>47</v>
      </c>
      <c r="F4364" s="15" t="str">
        <f aca="false">IFERROR(__xludf.dummyfunction("XLOOKUP(AJ4364,IMPORTRANGE(""1XaInW9DU9nz21V0tYIfzFQ0He9kVQ_JF2mCXgZ3hqFA"",""REKAP ALL 2026 - Andika!G:G""),IMPORTRANGE(""1XaInW9DU9nz21V0tYIfzFQ0He9kVQ_JF2mCXgZ3hqFA"",""REKAP ALL 2026 - Andika!F:F""),"""",0)"),"12043712756")</f>
        <v>12043712756</v>
      </c>
      <c r="G4364" s="13" t="s">
        <v>17886</v>
      </c>
      <c r="H4364" s="13" t="s">
        <v>35</v>
      </c>
      <c r="I4364" s="13" t="str">
        <f aca="false">IF(C4364=J4364,"NEW KONTRAK","RE-KONTRAK")</f>
        <v>RE-KONTRAK</v>
      </c>
      <c r="J4364" s="16" t="n">
        <f aca="false" t="array" ref="J4364:J4364">IFERROR(INDEX(AC4364:AE4364,IF(COUNTA(AC4364:AE4364)=0,"",MAX((AC4364:AE4364&lt;&gt;"")*(COLUMN(AC4364:AE4364)-(COLUMN(AC4364)))))-1),"")</f>
        <v>45659</v>
      </c>
      <c r="K4364" s="16" t="n">
        <f aca="false" t="array" ref="K4364:K4364">IFERROR(INDEX(AC4364:AE4364,IF(COUNTA(AC4364:AE4364)=0,"",MAX((AC4364:AE4364&lt;&gt;"")*(COLUMN(AC4364:AE4364)-(COLUMN(AC4364)-1))))-1),"")</f>
        <v>46015</v>
      </c>
      <c r="L4364" s="17" t="str">
        <f aca="false" t="array" ref="L4364:L4364">IFERROR(INDEX(AC4364:AE4364,IF(COUNTA(AC4364:AE4364)=0,"",MAX((AC4364:AE4364&lt;&gt;"")*(COLUMN(AC4364:AE4364)-(COLUMN(AC4364)-2))))-1),"")</f>
        <v>ARCHIVED</v>
      </c>
      <c r="M4364" s="13" t="n">
        <f aca="true">K4364-TODAY()</f>
        <v>-309</v>
      </c>
      <c r="N4364" s="18" t="s">
        <v>728</v>
      </c>
      <c r="O4364" s="13" t="s">
        <v>1914</v>
      </c>
      <c r="P4364" s="19" t="n">
        <v>5444909</v>
      </c>
      <c r="Q4364" s="20" t="s">
        <v>17887</v>
      </c>
      <c r="R4364" s="13" t="s">
        <v>148</v>
      </c>
      <c r="S4364" s="14" t="n">
        <v>33584</v>
      </c>
      <c r="T4364" s="13" t="s">
        <v>108</v>
      </c>
      <c r="U4364" s="13" t="s">
        <v>17888</v>
      </c>
      <c r="V4364" s="13" t="s">
        <v>42</v>
      </c>
      <c r="W4364" s="13" t="s">
        <v>43</v>
      </c>
      <c r="X4364" s="21" t="n">
        <v>85704225515</v>
      </c>
      <c r="Y4364" s="22" t="str">
        <f aca="false">O4364</f>
        <v>Im Operator</v>
      </c>
      <c r="Z4364" s="13" t="str">
        <f aca="false">IFERROR(__xludf.dummyfunction("if(BJ4364="""","""",GOOGLETRANSLATE(BJ4364,""auto"",""en""))"),"Im Operator")</f>
        <v>Im Operator</v>
      </c>
      <c r="AA4364" s="23" t="str">
        <f aca="false">IF(C4364="","", CHOOSE(MONTH(C4364),"January","February","March","April","May","June","July","August","September","October","November","December")&amp;" "&amp;DAY(C4364)&amp;MID("thstndrdth",MIN(9,2*RIGHT(DAY(C4364))*(MOD(DAY(C4364)-11,100)&gt;2)+1),2)&amp;","&amp;TEXT(C4364," yyyy"))</f>
        <v>December 11th,2017</v>
      </c>
      <c r="AB4364" s="15" t="str">
        <f aca="true">IF(S4364="","",DATEDIF(S4364,TODAY(),"Y")&amp;" Tahun, "&amp;DATEDIF(S4364,TODAY(),"YM")&amp;" Bulan, "&amp;DATEDIF(S4364,TODAY(),"MD")&amp;" Hari")</f>
        <v>34 Tahun, 10 Bulan, 17 Hari</v>
      </c>
      <c r="AC4364" s="18" t="n">
        <v>45659</v>
      </c>
      <c r="AD4364" s="18" t="n">
        <v>46015</v>
      </c>
      <c r="AE4364" s="18" t="s">
        <v>44</v>
      </c>
    </row>
    <row r="4365" customFormat="false" ht="15" hidden="false" customHeight="true" outlineLevel="0" collapsed="false">
      <c r="A4365" s="12" t="n">
        <v>22858</v>
      </c>
      <c r="B4365" s="13" t="s">
        <v>17889</v>
      </c>
      <c r="C4365" s="14" t="n">
        <v>46279</v>
      </c>
      <c r="D4365" s="13" t="s">
        <v>1721</v>
      </c>
      <c r="E4365" s="13" t="s">
        <v>47</v>
      </c>
      <c r="F4365" s="24" t="s">
        <v>17890</v>
      </c>
      <c r="G4365" s="13" t="s">
        <v>1452</v>
      </c>
      <c r="H4365" s="13" t="s">
        <v>35</v>
      </c>
      <c r="I4365" s="13" t="str">
        <f aca="false">IF(C4365=J4365,"NEW KONTRAK","RE-KONTRAK")</f>
        <v>NEW KONTRAK</v>
      </c>
      <c r="J4365" s="16" t="n">
        <f aca="false" t="array" ref="J4365:J4365">IFERROR(INDEX(AC4365:AE4365,IF(COUNTA(AC4365:AE4365)=0,"",MAX((AC4365:AE4365&lt;&gt;"")*(COLUMN(AC4365:AE4365)-(COLUMN(AC4365)))))-1),"")</f>
        <v>46279</v>
      </c>
      <c r="K4365" s="16" t="n">
        <f aca="false" t="array" ref="K4365:K4365">IFERROR(INDEX(AC4365:AE4365,IF(COUNTA(AC4365:AE4365)=0,"",MAX((AC4365:AE4365&lt;&gt;"")*(COLUMN(AC4365:AE4365)-(COLUMN(AC4365)-1))))-1),"")</f>
        <v>46386</v>
      </c>
      <c r="L4365" s="17" t="str">
        <f aca="false" t="array" ref="L4365:L4365">IFERROR(INDEX(AC4365:AE4365,IF(COUNTA(AC4365:AE4365)=0,"",MAX((AC4365:AE4365&lt;&gt;"")*(COLUMN(AC4365:AE4365)-(COLUMN(AC4365)-2))))-1),"")</f>
        <v>ARCHIVED</v>
      </c>
      <c r="M4365" s="13" t="n">
        <f aca="true">K4365-TODAY()</f>
        <v>62</v>
      </c>
      <c r="N4365" s="18" t="s">
        <v>728</v>
      </c>
      <c r="O4365" s="13" t="s">
        <v>1755</v>
      </c>
      <c r="P4365" s="26" t="n">
        <v>5444909</v>
      </c>
      <c r="Q4365" s="20" t="s">
        <v>17891</v>
      </c>
      <c r="R4365" s="48" t="s">
        <v>52</v>
      </c>
      <c r="S4365" s="25" t="n">
        <v>38716</v>
      </c>
      <c r="T4365" s="13" t="s">
        <v>108</v>
      </c>
      <c r="U4365" s="13" t="s">
        <v>6332</v>
      </c>
      <c r="V4365" s="13" t="s">
        <v>42</v>
      </c>
      <c r="W4365" s="28" t="s">
        <v>43</v>
      </c>
      <c r="X4365" s="30" t="n">
        <v>85257790714</v>
      </c>
      <c r="Y4365" s="22" t="str">
        <f aca="false">O4365</f>
        <v>Im.Operator</v>
      </c>
      <c r="Z4365" s="13" t="str">
        <f aca="false">IFERROR(__xludf.dummyfunction("if(BJ4365="""","""",GOOGLETRANSLATE(BJ4365,""auto"",""en""))"),"Im.Operator")</f>
        <v>Im.Operator</v>
      </c>
      <c r="AA4365" s="23" t="str">
        <f aca="false">IF(C4365="","", CHOOSE(MONTH(C4365),"January","February","March","April","May","June","July","August","September","October","November","December")&amp;" "&amp;DAY(C4365)&amp;MID("thstndrdth",MIN(9,2*RIGHT(DAY(C4365))*(MOD(DAY(C4365)-11,100)&gt;2)+1),2)&amp;","&amp;TEXT(C4365," yyyy"))</f>
        <v>September 14th,2026</v>
      </c>
      <c r="AB4365" s="15" t="str">
        <f aca="true">IF(S4365="","",DATEDIF(S4365,TODAY(),"Y")&amp;" Tahun, "&amp;DATEDIF(S4365,TODAY(),"YM")&amp;" Bulan, "&amp;DATEDIF(S4365,TODAY(),"MD")&amp;" Hari")</f>
        <v>20 Tahun, 9 Bulan, 29 Hari</v>
      </c>
      <c r="AC4365" s="14" t="n">
        <v>46279</v>
      </c>
      <c r="AD4365" s="18" t="n">
        <v>46386</v>
      </c>
      <c r="AE4365" s="13" t="s">
        <v>44</v>
      </c>
    </row>
    <row r="4366" customFormat="false" ht="15" hidden="false" customHeight="true" outlineLevel="0" collapsed="false">
      <c r="A4366" s="12" t="n">
        <v>22857</v>
      </c>
      <c r="B4366" s="13" t="s">
        <v>17892</v>
      </c>
      <c r="C4366" s="14" t="n">
        <v>46279</v>
      </c>
      <c r="D4366" s="13" t="s">
        <v>1721</v>
      </c>
      <c r="E4366" s="13" t="s">
        <v>47</v>
      </c>
      <c r="F4366" s="24" t="s">
        <v>17893</v>
      </c>
      <c r="G4366" s="13" t="s">
        <v>1452</v>
      </c>
      <c r="H4366" s="13" t="s">
        <v>35</v>
      </c>
      <c r="I4366" s="13" t="str">
        <f aca="false">IF(C4366=J4366,"NEW KONTRAK","RE-KONTRAK")</f>
        <v>NEW KONTRAK</v>
      </c>
      <c r="J4366" s="16" t="n">
        <f aca="false" t="array" ref="J4366:J4366">IFERROR(INDEX(AC4366:AE4366,IF(COUNTA(AC4366:AE4366)=0,"",MAX((AC4366:AE4366&lt;&gt;"")*(COLUMN(AC4366:AE4366)-(COLUMN(AC4366)))))-1),"")</f>
        <v>46279</v>
      </c>
      <c r="K4366" s="16" t="n">
        <f aca="false" t="array" ref="K4366:K4366">IFERROR(INDEX(AC4366:AE4366,IF(COUNTA(AC4366:AE4366)=0,"",MAX((AC4366:AE4366&lt;&gt;"")*(COLUMN(AC4366:AE4366)-(COLUMN(AC4366)-1))))-1),"")</f>
        <v>46386</v>
      </c>
      <c r="L4366" s="17" t="str">
        <f aca="false" t="array" ref="L4366:L4366">IFERROR(INDEX(AC4366:AE4366,IF(COUNTA(AC4366:AE4366)=0,"",MAX((AC4366:AE4366&lt;&gt;"")*(COLUMN(AC4366:AE4366)-(COLUMN(AC4366)-2))))-1),"")</f>
        <v>ARCHIVED</v>
      </c>
      <c r="M4366" s="13" t="n">
        <f aca="true">K4366-TODAY()</f>
        <v>62</v>
      </c>
      <c r="N4366" s="18" t="s">
        <v>728</v>
      </c>
      <c r="O4366" s="13" t="s">
        <v>1755</v>
      </c>
      <c r="P4366" s="26" t="n">
        <v>5444909</v>
      </c>
      <c r="Q4366" s="20" t="s">
        <v>17894</v>
      </c>
      <c r="R4366" s="48" t="s">
        <v>52</v>
      </c>
      <c r="S4366" s="25" t="n">
        <v>32506</v>
      </c>
      <c r="T4366" s="13" t="s">
        <v>108</v>
      </c>
      <c r="U4366" s="13" t="s">
        <v>17895</v>
      </c>
      <c r="V4366" s="13" t="s">
        <v>42</v>
      </c>
      <c r="W4366" s="28" t="s">
        <v>54</v>
      </c>
      <c r="X4366" s="21" t="n">
        <v>81232000092</v>
      </c>
      <c r="Y4366" s="22" t="str">
        <f aca="false">O4366</f>
        <v>Im.Operator</v>
      </c>
      <c r="Z4366" s="13" t="str">
        <f aca="false">IFERROR(__xludf.dummyfunction("if(BJ4366="""","""",GOOGLETRANSLATE(BJ4366,""auto"",""en""))"),"Im.Operator")</f>
        <v>Im.Operator</v>
      </c>
      <c r="AA4366" s="23" t="str">
        <f aca="false">IF(C4366="","", CHOOSE(MONTH(C4366),"January","February","March","April","May","June","July","August","September","October","November","December")&amp;" "&amp;DAY(C4366)&amp;MID("thstndrdth",MIN(9,2*RIGHT(DAY(C4366))*(MOD(DAY(C4366)-11,100)&gt;2)+1),2)&amp;","&amp;TEXT(C4366," yyyy"))</f>
        <v>September 14th,2026</v>
      </c>
      <c r="AB4366" s="15" t="str">
        <f aca="true">IF(S4366="","",DATEDIF(S4366,TODAY(),"Y")&amp;" Tahun, "&amp;DATEDIF(S4366,TODAY(),"YM")&amp;" Bulan, "&amp;DATEDIF(S4366,TODAY(),"MD")&amp;" Hari")</f>
        <v>37 Tahun, 10 Bulan, 0 Hari</v>
      </c>
      <c r="AC4366" s="14" t="n">
        <v>46279</v>
      </c>
      <c r="AD4366" s="18" t="n">
        <v>46386</v>
      </c>
      <c r="AE4366" s="13" t="s">
        <v>44</v>
      </c>
    </row>
    <row r="4367" customFormat="false" ht="15" hidden="false" customHeight="true" outlineLevel="0" collapsed="false">
      <c r="A4367" s="12" t="n">
        <v>22854</v>
      </c>
      <c r="B4367" s="13" t="s">
        <v>17896</v>
      </c>
      <c r="C4367" s="14" t="n">
        <v>46279</v>
      </c>
      <c r="D4367" s="13" t="s">
        <v>1721</v>
      </c>
      <c r="E4367" s="13" t="s">
        <v>47</v>
      </c>
      <c r="F4367" s="24" t="s">
        <v>17897</v>
      </c>
      <c r="G4367" s="13" t="s">
        <v>1452</v>
      </c>
      <c r="H4367" s="13" t="s">
        <v>35</v>
      </c>
      <c r="I4367" s="13" t="str">
        <f aca="false">IF(C4367=J4367,"NEW KONTRAK","RE-KONTRAK")</f>
        <v>NEW KONTRAK</v>
      </c>
      <c r="J4367" s="16" t="n">
        <f aca="false" t="array" ref="J4367:J4367">IFERROR(INDEX(AC4367:AE4367,IF(COUNTA(AC4367:AE4367)=0,"",MAX((AC4367:AE4367&lt;&gt;"")*(COLUMN(AC4367:AE4367)-(COLUMN(AC4367)))))-1),"")</f>
        <v>46279</v>
      </c>
      <c r="K4367" s="16" t="n">
        <f aca="false" t="array" ref="K4367:K4367">IFERROR(INDEX(AC4367:AE4367,IF(COUNTA(AC4367:AE4367)=0,"",MAX((AC4367:AE4367&lt;&gt;"")*(COLUMN(AC4367:AE4367)-(COLUMN(AC4367)-1))))-1),"")</f>
        <v>46386</v>
      </c>
      <c r="L4367" s="17" t="str">
        <f aca="false" t="array" ref="L4367:L4367">IFERROR(INDEX(AC4367:AE4367,IF(COUNTA(AC4367:AE4367)=0,"",MAX((AC4367:AE4367&lt;&gt;"")*(COLUMN(AC4367:AE4367)-(COLUMN(AC4367)-2))))-1),"")</f>
        <v>ARCHIVED</v>
      </c>
      <c r="M4367" s="13" t="n">
        <f aca="true">K4367-TODAY()</f>
        <v>62</v>
      </c>
      <c r="N4367" s="18" t="s">
        <v>728</v>
      </c>
      <c r="O4367" s="13" t="s">
        <v>1755</v>
      </c>
      <c r="P4367" s="26" t="n">
        <v>5444909</v>
      </c>
      <c r="Q4367" s="20" t="s">
        <v>17898</v>
      </c>
      <c r="R4367" s="13" t="s">
        <v>78</v>
      </c>
      <c r="S4367" s="25" t="n">
        <v>37221</v>
      </c>
      <c r="T4367" s="13" t="s">
        <v>108</v>
      </c>
      <c r="U4367" s="13" t="s">
        <v>17899</v>
      </c>
      <c r="V4367" s="13" t="s">
        <v>42</v>
      </c>
      <c r="W4367" s="13" t="s">
        <v>54</v>
      </c>
      <c r="X4367" s="30" t="n">
        <v>81363356588</v>
      </c>
      <c r="Y4367" s="22" t="str">
        <f aca="false">O4367</f>
        <v>Im.Operator</v>
      </c>
      <c r="Z4367" s="13" t="str">
        <f aca="false">IFERROR(__xludf.dummyfunction("if(BJ4367="""","""",GOOGLETRANSLATE(BJ4367,""auto"",""en""))"),"Im.Operator")</f>
        <v>Im.Operator</v>
      </c>
      <c r="AA4367" s="23" t="str">
        <f aca="false">IF(C4367="","", CHOOSE(MONTH(C4367),"January","February","March","April","May","June","July","August","September","October","November","December")&amp;" "&amp;DAY(C4367)&amp;MID("thstndrdth",MIN(9,2*RIGHT(DAY(C4367))*(MOD(DAY(C4367)-11,100)&gt;2)+1),2)&amp;","&amp;TEXT(C4367," yyyy"))</f>
        <v>September 14th,2026</v>
      </c>
      <c r="AB4367" s="15" t="str">
        <f aca="true">IF(S4367="","",DATEDIF(S4367,TODAY(),"Y")&amp;" Tahun, "&amp;DATEDIF(S4367,TODAY(),"YM")&amp;" Bulan, "&amp;DATEDIF(S4367,TODAY(),"MD")&amp;" Hari")</f>
        <v>24 Tahun, 11 Bulan, 3 Hari</v>
      </c>
      <c r="AC4367" s="14" t="n">
        <v>46279</v>
      </c>
      <c r="AD4367" s="18" t="n">
        <v>46386</v>
      </c>
      <c r="AE4367" s="13" t="s">
        <v>44</v>
      </c>
    </row>
    <row r="4368" customFormat="false" ht="15" hidden="false" customHeight="true" outlineLevel="0" collapsed="false">
      <c r="A4368" s="12" t="n">
        <v>2446</v>
      </c>
      <c r="B4368" s="13" t="s">
        <v>17900</v>
      </c>
      <c r="C4368" s="14" t="n">
        <v>44406</v>
      </c>
      <c r="D4368" s="13" t="s">
        <v>101</v>
      </c>
      <c r="E4368" s="15" t="s">
        <v>47</v>
      </c>
      <c r="F4368" s="15" t="str">
        <f aca="false">IFERROR(__xludf.dummyfunction("XLOOKUP(AJ4368,IMPORTRANGE(""1XaInW9DU9nz21V0tYIfzFQ0He9kVQ_JF2mCXgZ3hqFA"",""REKAP ALL 2026 - Andika!G:G""),IMPORTRANGE(""1XaInW9DU9nz21V0tYIfzFQ0He9kVQ_JF2mCXgZ3hqFA"",""REKAP ALL 2026 - Andika!F:F""),"""",0)"),"21068419536")</f>
        <v>21068419536</v>
      </c>
      <c r="G4368" s="13" t="s">
        <v>17901</v>
      </c>
      <c r="H4368" s="13" t="s">
        <v>35</v>
      </c>
      <c r="I4368" s="13" t="str">
        <f aca="false">IF(C4368=J4368,"NEW KONTRAK","RE-KONTRAK")</f>
        <v>RE-KONTRAK</v>
      </c>
      <c r="J4368" s="16" t="n">
        <f aca="false" t="array" ref="J4368:J4368">IFERROR(INDEX(AC4368:AE4368,IF(COUNTA(AC4368:AE4368)=0,"",MAX((AC4368:AE4368&lt;&gt;"")*(COLUMN(AC4368:AE4368)-(COLUMN(AC4368)))))-1),"")</f>
        <v>45672</v>
      </c>
      <c r="K4368" s="16" t="n">
        <f aca="false" t="array" ref="K4368:K4368">IFERROR(INDEX(AC4368:AE4368,IF(COUNTA(AC4368:AE4368)=0,"",MAX((AC4368:AE4368&lt;&gt;"")*(COLUMN(AC4368:AE4368)-(COLUMN(AC4368)-1))))-1),"")</f>
        <v>46036</v>
      </c>
      <c r="L4368" s="17" t="str">
        <f aca="false" t="array" ref="L4368:L4368">IFERROR(INDEX(AC4368:AE4368,IF(COUNTA(AC4368:AE4368)=0,"",MAX((AC4368:AE4368&lt;&gt;"")*(COLUMN(AC4368:AE4368)-(COLUMN(AC4368)-2))))-1),"")</f>
        <v>ARCHIVED</v>
      </c>
      <c r="M4368" s="13" t="n">
        <f aca="true">K4368-TODAY()</f>
        <v>-288</v>
      </c>
      <c r="N4368" s="18" t="s">
        <v>105</v>
      </c>
      <c r="O4368" s="13" t="s">
        <v>1467</v>
      </c>
      <c r="P4368" s="31" t="n">
        <v>162068</v>
      </c>
      <c r="Q4368" s="20" t="s">
        <v>17902</v>
      </c>
      <c r="R4368" s="13" t="s">
        <v>260</v>
      </c>
      <c r="S4368" s="25" t="n">
        <v>34524</v>
      </c>
      <c r="T4368" s="13" t="s">
        <v>40</v>
      </c>
      <c r="U4368" s="13" t="s">
        <v>17903</v>
      </c>
      <c r="V4368" s="13" t="s">
        <v>42</v>
      </c>
      <c r="W4368" s="13" t="s">
        <v>54</v>
      </c>
      <c r="X4368" s="21" t="n">
        <v>89691768300</v>
      </c>
      <c r="Y4368" s="22" t="str">
        <f aca="false">O4368</f>
        <v>Maintenance - Leader</v>
      </c>
      <c r="Z4368" s="13" t="str">
        <f aca="false">IFERROR(__xludf.dummyfunction("if(BJ4368="""","""",GOOGLETRANSLATE(BJ4368,""auto"",""en""))"),"Maintenance - Leader")</f>
        <v>Maintenance - Leader</v>
      </c>
      <c r="AA4368" s="23" t="str">
        <f aca="false">IF(C4368="","", CHOOSE(MONTH(C4368),"January","February","March","April","May","June","July","August","September","October","November","December")&amp;" "&amp;DAY(C4368)&amp;MID("thstndrdth",MIN(9,2*RIGHT(DAY(C4368))*(MOD(DAY(C4368)-11,100)&gt;2)+1),2)&amp;","&amp;TEXT(C4368," yyyy"))</f>
        <v>July 29th,2021</v>
      </c>
      <c r="AB4368" s="15" t="str">
        <f aca="true">IF(S4368="","",DATEDIF(S4368,TODAY(),"Y")&amp;" Tahun, "&amp;DATEDIF(S4368,TODAY(),"YM")&amp;" Bulan, "&amp;DATEDIF(S4368,TODAY(),"MD")&amp;" Hari")</f>
        <v>32 Tahun, 3 Bulan, 20 Hari</v>
      </c>
      <c r="AC4368" s="18" t="n">
        <v>45672</v>
      </c>
      <c r="AD4368" s="18" t="n">
        <v>46036</v>
      </c>
      <c r="AE4368" s="18" t="s">
        <v>44</v>
      </c>
    </row>
    <row r="4369" customFormat="false" ht="15" hidden="false" customHeight="true" outlineLevel="0" collapsed="false">
      <c r="A4369" s="12" t="n">
        <v>23004</v>
      </c>
      <c r="B4369" s="13" t="s">
        <v>17904</v>
      </c>
      <c r="C4369" s="14" t="n">
        <v>46296</v>
      </c>
      <c r="D4369" s="13" t="s">
        <v>144</v>
      </c>
      <c r="E4369" s="13" t="s">
        <v>47</v>
      </c>
      <c r="F4369" s="24" t="s">
        <v>17905</v>
      </c>
      <c r="G4369" s="13" t="s">
        <v>1127</v>
      </c>
      <c r="H4369" s="13" t="s">
        <v>35</v>
      </c>
      <c r="I4369" s="13" t="str">
        <f aca="false">IF(C4369=J4369,"NEW KONTRAK","RE-KONTRAK")</f>
        <v>NEW KONTRAK</v>
      </c>
      <c r="J4369" s="16" t="n">
        <f aca="false" t="array" ref="J4369:J4369">IFERROR(INDEX(AC4369:AE4369,IF(COUNTA(AC4369:AE4369)=0,"",MAX((AC4369:AE4369&lt;&gt;"")*(COLUMN(AC4369:AE4369)-(COLUMN(AC4369)))))-1),"")</f>
        <v>46296</v>
      </c>
      <c r="K4369" s="16" t="n">
        <f aca="false" t="array" ref="K4369:K4369">IFERROR(INDEX(AC4369:AE4369,IF(COUNTA(AC4369:AE4369)=0,"",MAX((AC4369:AE4369&lt;&gt;"")*(COLUMN(AC4369:AE4369)-(COLUMN(AC4369)-1))))-1),"")</f>
        <v>46387</v>
      </c>
      <c r="L4369" s="17" t="str">
        <f aca="false" t="array" ref="L4369:L4369">IFERROR(INDEX(AC4369:AE4369,IF(COUNTA(AC4369:AE4369)=0,"",MAX((AC4369:AE4369&lt;&gt;"")*(COLUMN(AC4369:AE4369)-(COLUMN(AC4369)-2))))-1),"")</f>
        <v>DRAFTED</v>
      </c>
      <c r="M4369" s="13" t="n">
        <f aca="true">K4369-TODAY()</f>
        <v>63</v>
      </c>
      <c r="N4369" s="18" t="s">
        <v>36</v>
      </c>
      <c r="O4369" s="13" t="s">
        <v>17906</v>
      </c>
      <c r="P4369" s="26" t="n">
        <v>5195401</v>
      </c>
      <c r="Q4369" s="20" t="s">
        <v>17907</v>
      </c>
      <c r="R4369" s="13" t="s">
        <v>65</v>
      </c>
      <c r="S4369" s="25" t="n">
        <v>26192</v>
      </c>
      <c r="T4369" s="13" t="s">
        <v>40</v>
      </c>
      <c r="U4369" s="13" t="s">
        <v>17908</v>
      </c>
      <c r="V4369" s="13" t="s">
        <v>42</v>
      </c>
      <c r="W4369" s="13" t="s">
        <v>54</v>
      </c>
      <c r="X4369" s="21" t="n">
        <v>85707072546</v>
      </c>
      <c r="Y4369" s="22" t="str">
        <f aca="false">O4369</f>
        <v>ENAMEL</v>
      </c>
      <c r="Z4369" s="13" t="str">
        <f aca="false">IFERROR(__xludf.dummyfunction("if(BJ4369="""","""",GOOGLETRANSLATE(BJ4369,""auto"",""en""))"),"ENAMEL")</f>
        <v>ENAMEL</v>
      </c>
      <c r="AA4369" s="23" t="str">
        <f aca="false">IF(C4369="","", CHOOSE(MONTH(C4369),"January","February","March","April","May","June","July","August","September","October","November","December")&amp;" "&amp;DAY(C4369)&amp;MID("thstndrdth",MIN(9,2*RIGHT(DAY(C4369))*(MOD(DAY(C4369)-11,100)&gt;2)+1),2)&amp;","&amp;TEXT(C4369," yyyy"))</f>
        <v>October 1st,2026</v>
      </c>
      <c r="AB4369" s="15" t="str">
        <f aca="true">IF(S4369="","",DATEDIF(S4369,TODAY(),"Y")&amp;" Tahun, "&amp;DATEDIF(S4369,TODAY(),"YM")&amp;" Bulan, "&amp;DATEDIF(S4369,TODAY(),"MD")&amp;" Hari")</f>
        <v>55 Tahun, 1 Bulan, 13 Hari</v>
      </c>
      <c r="AC4369" s="14" t="n">
        <v>46296</v>
      </c>
      <c r="AD4369" s="18" t="n">
        <f aca="false">EDATE(AC4369,3)-1</f>
        <v>46387</v>
      </c>
      <c r="AE4369" s="13" t="s">
        <v>4022</v>
      </c>
    </row>
    <row r="4370" customFormat="false" ht="15" hidden="false" customHeight="true" outlineLevel="0" collapsed="false">
      <c r="A4370" s="12" t="n">
        <v>18004</v>
      </c>
      <c r="B4370" s="13" t="s">
        <v>17909</v>
      </c>
      <c r="C4370" s="14" t="n">
        <v>45619</v>
      </c>
      <c r="D4370" s="13" t="s">
        <v>2033</v>
      </c>
      <c r="E4370" s="15" t="s">
        <v>47</v>
      </c>
      <c r="F4370" s="15" t="str">
        <f aca="false">IFERROR(__xludf.dummyfunction("XLOOKUP(AJ4370,IMPORTRANGE(""1XaInW9DU9nz21V0tYIfzFQ0He9kVQ_JF2mCXgZ3hqFA"",""REKAP ALL 2026 - Andika!G:G""),IMPORTRANGE(""1XaInW9DU9nz21V0tYIfzFQ0He9kVQ_JF2mCXgZ3hqFA"",""REKAP ALL 2026 - Andika!F:F""),"""",0)"),"25062536252")</f>
        <v>25062536252</v>
      </c>
      <c r="G4370" s="15" t="s">
        <v>17910</v>
      </c>
      <c r="H4370" s="13" t="s">
        <v>2035</v>
      </c>
      <c r="I4370" s="13" t="str">
        <f aca="false">IF(C4370=J4370,"NEW KONTRAK","RE-KONTRAK")</f>
        <v>RE-KONTRAK</v>
      </c>
      <c r="J4370" s="16" t="n">
        <f aca="false" t="array" ref="J4370:J4370">IFERROR(INDEX(AC4370:AE4370,IF(COUNTA(AC4370:AE4370)=0,"",MAX((AC4370:AE4370&lt;&gt;"")*(COLUMN(AC4370:AE4370)-(COLUMN(AC4370)))))-1),"")</f>
        <v>45744</v>
      </c>
      <c r="K4370" s="16" t="n">
        <f aca="false" t="array" ref="K4370:K4370">IFERROR(INDEX(AC4370:AE4370,IF(COUNTA(AC4370:AE4370)=0,"",MAX((AC4370:AE4370&lt;&gt;"")*(COLUMN(AC4370:AE4370)-(COLUMN(AC4370)-1))))-1),"")</f>
        <v>45915</v>
      </c>
      <c r="L4370" s="17" t="str">
        <f aca="false" t="array" ref="L4370:L4370">IFERROR(INDEX(AC4370:AE4370,IF(COUNTA(AC4370:AE4370)=0,"",MAX((AC4370:AE4370&lt;&gt;"")*(COLUMN(AC4370:AE4370)-(COLUMN(AC4370)-2))))-1),"")</f>
        <v>ARCHIVED</v>
      </c>
      <c r="M4370" s="13" t="n">
        <f aca="true">K4370-TODAY()</f>
        <v>-409</v>
      </c>
      <c r="N4370" s="51" t="s">
        <v>2587</v>
      </c>
      <c r="O4370" s="13" t="s">
        <v>2037</v>
      </c>
      <c r="P4370" s="19" t="n">
        <v>3855894</v>
      </c>
      <c r="Q4370" s="20" t="s">
        <v>17911</v>
      </c>
      <c r="R4370" s="13" t="s">
        <v>2587</v>
      </c>
      <c r="S4370" s="14" t="n">
        <v>36714</v>
      </c>
      <c r="T4370" s="13" t="s">
        <v>108</v>
      </c>
      <c r="U4370" s="13" t="s">
        <v>17912</v>
      </c>
      <c r="V4370" s="13" t="s">
        <v>42</v>
      </c>
      <c r="W4370" s="13" t="s">
        <v>43</v>
      </c>
      <c r="X4370" s="21" t="n">
        <v>87810980321</v>
      </c>
      <c r="Y4370" s="22" t="str">
        <f aca="false">O4370</f>
        <v>SPG/BA</v>
      </c>
      <c r="Z4370" s="13" t="str">
        <f aca="false">IFERROR(__xludf.dummyfunction("if(BJ4370="""","""",GOOGLETRANSLATE(BJ4370,""auto"",""en""))"),"SPG/BA")</f>
        <v>SPG/BA</v>
      </c>
      <c r="AA4370" s="23" t="str">
        <f aca="false">IF(C4370="","", CHOOSE(MONTH(C4370),"January","February","March","April","May","June","July","August","September","October","November","December")&amp;" "&amp;DAY(C4370)&amp;MID("thstndrdth",MIN(9,2*RIGHT(DAY(C4370))*(MOD(DAY(C4370)-11,100)&gt;2)+1),2)&amp;","&amp;TEXT(C4370," yyyy"))</f>
        <v>November 23rd,2024</v>
      </c>
      <c r="AB4370" s="15" t="str">
        <f aca="true">IF(S4370="","",DATEDIF(S4370,TODAY(),"Y")&amp;" Tahun, "&amp;DATEDIF(S4370,TODAY(),"YM")&amp;" Bulan, "&amp;DATEDIF(S4370,TODAY(),"MD")&amp;" Hari")</f>
        <v>26 Tahun, 3 Bulan, 22 Hari</v>
      </c>
      <c r="AC4370" s="18" t="n">
        <v>45744</v>
      </c>
      <c r="AD4370" s="18" t="n">
        <v>45915</v>
      </c>
      <c r="AE4370" s="18" t="s">
        <v>44</v>
      </c>
    </row>
    <row r="4371" customFormat="false" ht="15" hidden="false" customHeight="true" outlineLevel="0" collapsed="false">
      <c r="A4371" s="12" t="n">
        <v>21312</v>
      </c>
      <c r="B4371" s="13" t="s">
        <v>17913</v>
      </c>
      <c r="C4371" s="16" t="n">
        <v>45958</v>
      </c>
      <c r="D4371" s="13" t="s">
        <v>2033</v>
      </c>
      <c r="E4371" s="15" t="s">
        <v>47</v>
      </c>
      <c r="F4371" s="15" t="str">
        <f aca="false">IFERROR(__xludf.dummyfunction("XLOOKUP(AJ4371,IMPORTRANGE(""1XaInW9DU9nz21V0tYIfzFQ0He9kVQ_JF2mCXgZ3hqFA"",""REKAP ALL 2026 - Andika!G:G""),IMPORTRANGE(""1XaInW9DU9nz21V0tYIfzFQ0He9kVQ_JF2mCXgZ3hqFA"",""REKAP ALL 2026 - Andika!F:F""),"""",0)"),"25157577617")</f>
        <v>25157577617</v>
      </c>
      <c r="G4371" s="13" t="s">
        <v>1127</v>
      </c>
      <c r="H4371" s="13" t="s">
        <v>35</v>
      </c>
      <c r="I4371" s="13" t="str">
        <f aca="false">IF(C4371=J4371,"NEW KONTRAK","RE-KONTRAK")</f>
        <v>NEW KONTRAK</v>
      </c>
      <c r="J4371" s="16" t="n">
        <f aca="false" t="array" ref="J4371:J4371">IFERROR(INDEX(AC4371:AE4371,IF(COUNTA(AC4371:AE4371)=0,"",MAX((AC4371:AE4371&lt;&gt;"")*(COLUMN(AC4371:AE4371)-(COLUMN(AC4371)))))-1),"")</f>
        <v>45958</v>
      </c>
      <c r="K4371" s="16" t="n">
        <f aca="false" t="array" ref="K4371:K4371">IFERROR(INDEX(AC4371:AE4371,IF(COUNTA(AC4371:AE4371)=0,"",MAX((AC4371:AE4371&lt;&gt;"")*(COLUMN(AC4371:AE4371)-(COLUMN(AC4371)-1))))-1),"")</f>
        <v>46037</v>
      </c>
      <c r="L4371" s="17" t="str">
        <f aca="false" t="array" ref="L4371:L4371">IFERROR(INDEX(AC4371:AE4371,IF(COUNTA(AC4371:AE4371)=0,"",MAX((AC4371:AE4371&lt;&gt;"")*(COLUMN(AC4371:AE4371)-(COLUMN(AC4371)-2))))-1),"")</f>
        <v>KEMBALI</v>
      </c>
      <c r="M4371" s="13" t="n">
        <f aca="true">K4371-TODAY()</f>
        <v>-287</v>
      </c>
      <c r="N4371" s="18" t="s">
        <v>3525</v>
      </c>
      <c r="O4371" s="13" t="s">
        <v>2037</v>
      </c>
      <c r="P4371" s="19" t="n">
        <v>2570000</v>
      </c>
      <c r="Q4371" s="47" t="s">
        <v>17914</v>
      </c>
      <c r="R4371" s="13" t="s">
        <v>3525</v>
      </c>
      <c r="S4371" s="16" t="n">
        <v>34307</v>
      </c>
      <c r="T4371" s="13" t="s">
        <v>108</v>
      </c>
      <c r="U4371" s="13" t="s">
        <v>17915</v>
      </c>
      <c r="V4371" s="13" t="s">
        <v>42</v>
      </c>
      <c r="W4371" s="13" t="s">
        <v>54</v>
      </c>
      <c r="X4371" s="21" t="n">
        <v>895391311115</v>
      </c>
      <c r="Y4371" s="22" t="str">
        <f aca="false">O4371</f>
        <v>SPG/BA</v>
      </c>
      <c r="Z4371" s="13" t="str">
        <f aca="false">IFERROR(__xludf.dummyfunction("if(BJ4371="""","""",GOOGLETRANSLATE(BJ4371,""auto"",""en""))"),"SPG/BA")</f>
        <v>SPG/BA</v>
      </c>
      <c r="AA4371" s="23" t="str">
        <f aca="false">IF(C4371="","", CHOOSE(MONTH(C4371),"January","February","March","April","May","June","July","August","September","October","November","December")&amp;" "&amp;DAY(C4371)&amp;MID("thstndrdth",MIN(9,2*RIGHT(DAY(C4371))*(MOD(DAY(C4371)-11,100)&gt;2)+1),2)&amp;","&amp;TEXT(C4371," yyyy"))</f>
        <v>October 28th,2025</v>
      </c>
      <c r="AB4371" s="15" t="str">
        <f aca="true">IF(S4371="","",DATEDIF(S4371,TODAY(),"Y")&amp;" Tahun, "&amp;DATEDIF(S4371,TODAY(),"YM")&amp;" Bulan, "&amp;DATEDIF(S4371,TODAY(),"MD")&amp;" Hari")</f>
        <v>32 Tahun, 10 Bulan, 25 Hari</v>
      </c>
      <c r="AC4371" s="18" t="n">
        <v>45958</v>
      </c>
      <c r="AD4371" s="18" t="n">
        <v>46037</v>
      </c>
      <c r="AE4371" s="13" t="s">
        <v>397</v>
      </c>
    </row>
    <row r="4372" customFormat="false" ht="15" hidden="false" customHeight="true" outlineLevel="0" collapsed="false">
      <c r="A4372" s="12" t="n">
        <v>21046</v>
      </c>
      <c r="B4372" s="13" t="s">
        <v>17916</v>
      </c>
      <c r="C4372" s="16" t="n">
        <v>45931</v>
      </c>
      <c r="D4372" s="13" t="s">
        <v>2033</v>
      </c>
      <c r="E4372" s="15" t="s">
        <v>47</v>
      </c>
      <c r="F4372" s="15" t="str">
        <f aca="false">IFERROR(__xludf.dummyfunction("XLOOKUP(AJ4372,IMPORTRANGE(""1XaInW9DU9nz21V0tYIfzFQ0He9kVQ_JF2mCXgZ3hqFA"",""REKAP ALL 2026 - Andika!G:G""),IMPORTRANGE(""1XaInW9DU9nz21V0tYIfzFQ0He9kVQ_JF2mCXgZ3hqFA"",""REKAP ALL 2026 - Andika!F:F""),"""",0)"),"25157577765")</f>
        <v>25157577765</v>
      </c>
      <c r="G4372" s="13" t="s">
        <v>1127</v>
      </c>
      <c r="H4372" s="13" t="s">
        <v>35</v>
      </c>
      <c r="I4372" s="13" t="str">
        <f aca="false">IF(C4372=J4372,"NEW KONTRAK","RE-KONTRAK")</f>
        <v>NEW KONTRAK</v>
      </c>
      <c r="J4372" s="16" t="n">
        <f aca="false" t="array" ref="J4372:J4372">IFERROR(INDEX(AC4372:AE4372,IF(COUNTA(AC4372:AE4372)=0,"",MAX((AC4372:AE4372&lt;&gt;"")*(COLUMN(AC4372:AE4372)-(COLUMN(AC4372)))))-1),"")</f>
        <v>45931</v>
      </c>
      <c r="K4372" s="16" t="n">
        <f aca="false" t="array" ref="K4372:K4372">IFERROR(INDEX(AC4372:AE4372,IF(COUNTA(AC4372:AE4372)=0,"",MAX((AC4372:AE4372&lt;&gt;"")*(COLUMN(AC4372:AE4372)-(COLUMN(AC4372)-1))))-1),"")</f>
        <v>46037</v>
      </c>
      <c r="L4372" s="17" t="str">
        <f aca="false" t="array" ref="L4372:L4372">IFERROR(INDEX(AC4372:AE4372,IF(COUNTA(AC4372:AE4372)=0,"",MAX((AC4372:AE4372&lt;&gt;"")*(COLUMN(AC4372:AE4372)-(COLUMN(AC4372)-2))))-1),"")</f>
        <v>ARCHIVED</v>
      </c>
      <c r="M4372" s="13" t="n">
        <f aca="true">K4372-TODAY()</f>
        <v>-287</v>
      </c>
      <c r="N4372" s="18" t="s">
        <v>2383</v>
      </c>
      <c r="O4372" s="13" t="s">
        <v>2037</v>
      </c>
      <c r="P4372" s="19" t="n">
        <v>3998179</v>
      </c>
      <c r="Q4372" s="47" t="s">
        <v>17917</v>
      </c>
      <c r="R4372" s="13" t="s">
        <v>17918</v>
      </c>
      <c r="S4372" s="14" t="n">
        <v>36056</v>
      </c>
      <c r="T4372" s="13" t="s">
        <v>108</v>
      </c>
      <c r="U4372" s="13" t="s">
        <v>17919</v>
      </c>
      <c r="V4372" s="13" t="s">
        <v>42</v>
      </c>
      <c r="W4372" s="13" t="s">
        <v>43</v>
      </c>
      <c r="X4372" s="21" t="s">
        <v>17920</v>
      </c>
      <c r="Y4372" s="22" t="str">
        <f aca="false">O4372</f>
        <v>SPG/BA</v>
      </c>
      <c r="Z4372" s="13" t="str">
        <f aca="false">IFERROR(__xludf.dummyfunction("if(BJ4372="""","""",GOOGLETRANSLATE(BJ4372,""auto"",""en""))"),"SPG/BA")</f>
        <v>SPG/BA</v>
      </c>
      <c r="AA4372" s="23" t="str">
        <f aca="false">IF(C4372="","", CHOOSE(MONTH(C4372),"January","February","March","April","May","June","July","August","September","October","November","December")&amp;" "&amp;DAY(C4372)&amp;MID("thstndrdth",MIN(9,2*RIGHT(DAY(C4372))*(MOD(DAY(C4372)-11,100)&gt;2)+1),2)&amp;","&amp;TEXT(C4372," yyyy"))</f>
        <v>October 1st,2025</v>
      </c>
      <c r="AB4372" s="15" t="str">
        <f aca="true">IF(S4372="","",DATEDIF(S4372,TODAY(),"Y")&amp;" Tahun, "&amp;DATEDIF(S4372,TODAY(),"YM")&amp;" Bulan, "&amp;DATEDIF(S4372,TODAY(),"MD")&amp;" Hari")</f>
        <v>28 Tahun, 1 Bulan, 11 Hari</v>
      </c>
      <c r="AC4372" s="18" t="n">
        <v>45931</v>
      </c>
      <c r="AD4372" s="18" t="n">
        <v>46037</v>
      </c>
      <c r="AE4372" s="13" t="s">
        <v>44</v>
      </c>
    </row>
    <row r="4373" customFormat="false" ht="15" hidden="false" customHeight="true" outlineLevel="0" collapsed="false">
      <c r="A4373" s="12" t="n">
        <v>12100</v>
      </c>
      <c r="B4373" s="13" t="s">
        <v>17921</v>
      </c>
      <c r="C4373" s="14" t="n">
        <v>45093</v>
      </c>
      <c r="D4373" s="13" t="s">
        <v>2033</v>
      </c>
      <c r="E4373" s="15" t="s">
        <v>47</v>
      </c>
      <c r="F4373" s="15" t="str">
        <f aca="false">IFERROR(__xludf.dummyfunction("XLOOKUP(AJ4373,IMPORTRANGE(""1XaInW9DU9nz21V0tYIfzFQ0He9kVQ_JF2mCXgZ3hqFA"",""REKAP ALL 2026 - Andika!G:G""),IMPORTRANGE(""1XaInW9DU9nz21V0tYIfzFQ0He9kVQ_JF2mCXgZ3hqFA"",""REKAP ALL 2026 - Andika!F:F""),"""",0)"),"23093939751")</f>
        <v>23093939751</v>
      </c>
      <c r="G4373" s="13" t="s">
        <v>17922</v>
      </c>
      <c r="H4373" s="13" t="s">
        <v>2035</v>
      </c>
      <c r="I4373" s="13" t="str">
        <f aca="false">IF(C4373=J4373,"NEW KONTRAK","RE-KONTRAK")</f>
        <v>RE-KONTRAK</v>
      </c>
      <c r="J4373" s="16" t="n">
        <f aca="false" t="array" ref="J4373:J4373">IFERROR(INDEX(AC4373:AE4373,IF(COUNTA(AC4373:AE4373)=0,"",MAX((AC4373:AE4373&lt;&gt;"")*(COLUMN(AC4373:AE4373)-(COLUMN(AC4373)))))-1),"")</f>
        <v>45744</v>
      </c>
      <c r="K4373" s="16" t="n">
        <f aca="false" t="array" ref="K4373:K4373">IFERROR(INDEX(AC4373:AE4373,IF(COUNTA(AC4373:AE4373)=0,"",MAX((AC4373:AE4373&lt;&gt;"")*(COLUMN(AC4373:AE4373)-(COLUMN(AC4373)-1))))-1),"")</f>
        <v>45915</v>
      </c>
      <c r="L4373" s="17" t="str">
        <f aca="false" t="array" ref="L4373:L4373">IFERROR(INDEX(AC4373:AE4373,IF(COUNTA(AC4373:AE4373)=0,"",MAX((AC4373:AE4373&lt;&gt;"")*(COLUMN(AC4373:AE4373)-(COLUMN(AC4373)-2))))-1),"")</f>
        <v>ARCHIVED</v>
      </c>
      <c r="M4373" s="13" t="n">
        <f aca="true">K4373-TODAY()</f>
        <v>-409</v>
      </c>
      <c r="N4373" s="18" t="s">
        <v>4186</v>
      </c>
      <c r="O4373" s="13" t="s">
        <v>2037</v>
      </c>
      <c r="P4373" s="19" t="n">
        <v>3182955</v>
      </c>
      <c r="Q4373" s="20" t="s">
        <v>17923</v>
      </c>
      <c r="R4373" s="13" t="s">
        <v>4188</v>
      </c>
      <c r="S4373" s="14" t="n">
        <v>33618</v>
      </c>
      <c r="T4373" s="13" t="s">
        <v>108</v>
      </c>
      <c r="U4373" s="13" t="s">
        <v>17924</v>
      </c>
      <c r="V4373" s="13" t="s">
        <v>42</v>
      </c>
      <c r="W4373" s="13" t="s">
        <v>54</v>
      </c>
      <c r="X4373" s="21" t="n">
        <v>82284649458</v>
      </c>
      <c r="Y4373" s="22" t="str">
        <f aca="false">O4373</f>
        <v>SPG/BA</v>
      </c>
      <c r="Z4373" s="13" t="str">
        <f aca="false">IFERROR(__xludf.dummyfunction("if(BJ4373="""","""",GOOGLETRANSLATE(BJ4373,""auto"",""en""))"),"SPG/BA")</f>
        <v>SPG/BA</v>
      </c>
      <c r="AA4373" s="23" t="str">
        <f aca="false">IF(C4373="","", CHOOSE(MONTH(C4373),"January","February","March","April","May","June","July","August","September","October","November","December")&amp;" "&amp;DAY(C4373)&amp;MID("thstndrdth",MIN(9,2*RIGHT(DAY(C4373))*(MOD(DAY(C4373)-11,100)&gt;2)+1),2)&amp;","&amp;TEXT(C4373," yyyy"))</f>
        <v>June 16th,2023</v>
      </c>
      <c r="AB4373" s="15" t="str">
        <f aca="true">IF(S4373="","",DATEDIF(S4373,TODAY(),"Y")&amp;" Tahun, "&amp;DATEDIF(S4373,TODAY(),"YM")&amp;" Bulan, "&amp;DATEDIF(S4373,TODAY(),"MD")&amp;" Hari")</f>
        <v>34 Tahun, 9 Bulan, 14 Hari</v>
      </c>
      <c r="AC4373" s="18" t="n">
        <v>45744</v>
      </c>
      <c r="AD4373" s="18" t="n">
        <v>45915</v>
      </c>
      <c r="AE4373" s="18" t="s">
        <v>44</v>
      </c>
    </row>
    <row r="4374" customFormat="false" ht="15" hidden="false" customHeight="true" outlineLevel="0" collapsed="false">
      <c r="A4374" s="12" t="n">
        <v>3031</v>
      </c>
      <c r="B4374" s="13" t="s">
        <v>17925</v>
      </c>
      <c r="C4374" s="14" t="n">
        <v>44214</v>
      </c>
      <c r="D4374" s="13" t="s">
        <v>2033</v>
      </c>
      <c r="E4374" s="15" t="s">
        <v>47</v>
      </c>
      <c r="F4374" s="15" t="str">
        <f aca="false">IFERROR(__xludf.dummyfunction("XLOOKUP(AJ4374,IMPORTRANGE(""1XaInW9DU9nz21V0tYIfzFQ0He9kVQ_JF2mCXgZ3hqFA"",""REKAP ALL 2026 - Andika!G:G""),IMPORTRANGE(""1XaInW9DU9nz21V0tYIfzFQ0He9kVQ_JF2mCXgZ3hqFA"",""REKAP ALL 2026 - Andika!F:F""),"""",0)"),"20048328486")</f>
        <v>20048328486</v>
      </c>
      <c r="G4374" s="13" t="s">
        <v>17926</v>
      </c>
      <c r="H4374" s="13" t="s">
        <v>2035</v>
      </c>
      <c r="I4374" s="13" t="str">
        <f aca="false">IF(C4374=J4374,"NEW KONTRAK","RE-KONTRAK")</f>
        <v>RE-KONTRAK</v>
      </c>
      <c r="J4374" s="16" t="n">
        <f aca="false" t="array" ref="J4374:J4374">IFERROR(INDEX(AC4374:AE4374,IF(COUNTA(AC4374:AE4374)=0,"",MAX((AC4374:AE4374&lt;&gt;"")*(COLUMN(AC4374:AE4374)-(COLUMN(AC4374)))))-1),"")</f>
        <v>45744</v>
      </c>
      <c r="K4374" s="16" t="n">
        <f aca="false" t="array" ref="K4374:K4374">IFERROR(INDEX(AC4374:AE4374,IF(COUNTA(AC4374:AE4374)=0,"",MAX((AC4374:AE4374&lt;&gt;"")*(COLUMN(AC4374:AE4374)-(COLUMN(AC4374)-1))))-1),"")</f>
        <v>45915</v>
      </c>
      <c r="L4374" s="17" t="str">
        <f aca="false" t="array" ref="L4374:L4374">IFERROR(INDEX(AC4374:AE4374,IF(COUNTA(AC4374:AE4374)=0,"",MAX((AC4374:AE4374&lt;&gt;"")*(COLUMN(AC4374:AE4374)-(COLUMN(AC4374)-2))))-1),"")</f>
        <v>ARCHIVED</v>
      </c>
      <c r="M4374" s="13" t="n">
        <f aca="true">K4374-TODAY()</f>
        <v>-409</v>
      </c>
      <c r="N4374" s="18" t="s">
        <v>2434</v>
      </c>
      <c r="O4374" s="13" t="s">
        <v>2037</v>
      </c>
      <c r="P4374" s="19" t="n">
        <v>2827593</v>
      </c>
      <c r="Q4374" s="20" t="s">
        <v>17927</v>
      </c>
      <c r="R4374" s="13" t="s">
        <v>5004</v>
      </c>
      <c r="S4374" s="14" t="n">
        <v>32299</v>
      </c>
      <c r="T4374" s="13" t="s">
        <v>108</v>
      </c>
      <c r="U4374" s="13" t="s">
        <v>17928</v>
      </c>
      <c r="V4374" s="13" t="s">
        <v>42</v>
      </c>
      <c r="W4374" s="13" t="s">
        <v>54</v>
      </c>
      <c r="X4374" s="21" t="n">
        <v>88802874949</v>
      </c>
      <c r="Y4374" s="22" t="str">
        <f aca="false">O4374</f>
        <v>SPG/BA</v>
      </c>
      <c r="Z4374" s="13" t="str">
        <f aca="false">IFERROR(__xludf.dummyfunction("if(BJ4374="""","""",GOOGLETRANSLATE(BJ4374,""auto"",""en""))"),"SPG/BA")</f>
        <v>SPG/BA</v>
      </c>
      <c r="AA4374" s="23" t="str">
        <f aca="false">IF(C4374="","", CHOOSE(MONTH(C4374),"January","February","March","April","May","June","July","August","September","October","November","December")&amp;" "&amp;DAY(C4374)&amp;MID("thstndrdth",MIN(9,2*RIGHT(DAY(C4374))*(MOD(DAY(C4374)-11,100)&gt;2)+1),2)&amp;","&amp;TEXT(C4374," yyyy"))</f>
        <v>January 18th,2021</v>
      </c>
      <c r="AB4374" s="15" t="str">
        <f aca="true">IF(S4374="","",DATEDIF(S4374,TODAY(),"Y")&amp;" Tahun, "&amp;DATEDIF(S4374,TODAY(),"YM")&amp;" Bulan, "&amp;DATEDIF(S4374,TODAY(),"MD")&amp;" Hari")</f>
        <v>38 Tahun, 4 Bulan, 24 Hari</v>
      </c>
      <c r="AC4374" s="18" t="n">
        <v>45744</v>
      </c>
      <c r="AD4374" s="18" t="n">
        <v>45915</v>
      </c>
      <c r="AE4374" s="18" t="s">
        <v>44</v>
      </c>
    </row>
    <row r="4375" customFormat="false" ht="15" hidden="false" customHeight="true" outlineLevel="0" collapsed="false">
      <c r="A4375" s="12" t="n">
        <v>22904</v>
      </c>
      <c r="B4375" s="13" t="s">
        <v>17929</v>
      </c>
      <c r="C4375" s="14" t="n">
        <v>46250</v>
      </c>
      <c r="D4375" s="13" t="s">
        <v>2033</v>
      </c>
      <c r="E4375" s="13" t="s">
        <v>47</v>
      </c>
      <c r="F4375" s="24" t="s">
        <v>17930</v>
      </c>
      <c r="G4375" s="13" t="s">
        <v>1452</v>
      </c>
      <c r="H4375" s="13" t="s">
        <v>35</v>
      </c>
      <c r="I4375" s="13" t="str">
        <f aca="false">IF(C4375=J4375,"NEW KONTRAK","RE-KONTRAK")</f>
        <v>NEW KONTRAK</v>
      </c>
      <c r="J4375" s="16" t="n">
        <f aca="false" t="array" ref="J4375:J4375">IFERROR(INDEX(AC4375:AE4375,IF(COUNTA(AC4375:AE4375)=0,"",MAX((AC4375:AE4375&lt;&gt;"")*(COLUMN(AC4375:AE4375)-(COLUMN(AC4375)))))-1),"")</f>
        <v>46250</v>
      </c>
      <c r="K4375" s="16" t="n">
        <f aca="false" t="array" ref="K4375:K4375">IFERROR(INDEX(AC4375:AE4375,IF(COUNTA(AC4375:AE4375)=0,"",MAX((AC4375:AE4375&lt;&gt;"")*(COLUMN(AC4375:AE4375)-(COLUMN(AC4375)-1))))-1),"")</f>
        <v>46402</v>
      </c>
      <c r="L4375" s="17" t="str">
        <f aca="false" t="array" ref="L4375:L4375">IFERROR(INDEX(AC4375:AE4375,IF(COUNTA(AC4375:AE4375)=0,"",MAX((AC4375:AE4375&lt;&gt;"")*(COLUMN(AC4375:AE4375)-(COLUMN(AC4375)-2))))-1),"")</f>
        <v>KEMBALI ONLINE</v>
      </c>
      <c r="M4375" s="13" t="n">
        <f aca="true">K4375-TODAY()</f>
        <v>78</v>
      </c>
      <c r="N4375" s="13" t="s">
        <v>3248</v>
      </c>
      <c r="O4375" s="13" t="s">
        <v>2384</v>
      </c>
      <c r="P4375" s="26" t="n">
        <v>5357982</v>
      </c>
      <c r="Q4375" s="20" t="s">
        <v>17931</v>
      </c>
      <c r="R4375" s="13" t="s">
        <v>3248</v>
      </c>
      <c r="S4375" s="25" t="n">
        <v>34732</v>
      </c>
      <c r="T4375" s="13" t="s">
        <v>108</v>
      </c>
      <c r="U4375" s="13" t="s">
        <v>17932</v>
      </c>
      <c r="V4375" s="13" t="s">
        <v>42</v>
      </c>
      <c r="W4375" s="13" t="s">
        <v>54</v>
      </c>
      <c r="X4375" s="21" t="n">
        <v>81390038005</v>
      </c>
      <c r="Y4375" s="22" t="str">
        <f aca="false">O4375</f>
        <v>SPG</v>
      </c>
      <c r="Z4375" s="13" t="str">
        <f aca="false">IFERROR(__xludf.dummyfunction("if(BJ4375="""","""",GOOGLETRANSLATE(BJ4375,""auto"",""en""))"),"SPG")</f>
        <v>SPG</v>
      </c>
      <c r="AA4375" s="23" t="str">
        <f aca="false">IF(C4375="","", CHOOSE(MONTH(C4375),"January","February","March","April","May","June","July","August","September","October","November","December")&amp;" "&amp;DAY(C4375)&amp;MID("thstndrdth",MIN(9,2*RIGHT(DAY(C4375))*(MOD(DAY(C4375)-11,100)&gt;2)+1),2)&amp;","&amp;TEXT(C4375," yyyy"))</f>
        <v>August 16th,2026</v>
      </c>
      <c r="AB4375" s="15" t="str">
        <f aca="true">IF(S4375="","",DATEDIF(S4375,TODAY(),"Y")&amp;" Tahun, "&amp;DATEDIF(S4375,TODAY(),"YM")&amp;" Bulan, "&amp;DATEDIF(S4375,TODAY(),"MD")&amp;" Hari")</f>
        <v>31 Tahun, 8 Bulan, 27 Hari</v>
      </c>
      <c r="AC4375" s="14" t="n">
        <v>46250</v>
      </c>
      <c r="AD4375" s="18" t="n">
        <v>46402</v>
      </c>
      <c r="AE4375" s="13" t="s">
        <v>2387</v>
      </c>
    </row>
    <row r="4376" customFormat="false" ht="15" hidden="false" customHeight="true" outlineLevel="0" collapsed="false">
      <c r="A4376" s="12" t="n">
        <v>12829</v>
      </c>
      <c r="B4376" s="13" t="s">
        <v>17933</v>
      </c>
      <c r="C4376" s="14" t="n">
        <v>45173</v>
      </c>
      <c r="D4376" s="13" t="s">
        <v>2033</v>
      </c>
      <c r="E4376" s="15" t="s">
        <v>47</v>
      </c>
      <c r="F4376" s="15" t="str">
        <f aca="false">IFERROR(__xludf.dummyfunction("XLOOKUP(AJ4376,IMPORTRANGE(""1XaInW9DU9nz21V0tYIfzFQ0He9kVQ_JF2mCXgZ3hqFA"",""REKAP ALL 2026 - Andika!G:G""),IMPORTRANGE(""1XaInW9DU9nz21V0tYIfzFQ0He9kVQ_JF2mCXgZ3hqFA"",""REKAP ALL 2026 - Andika!F:F""),"""",0)"),"23132324254")</f>
        <v>23132324254</v>
      </c>
      <c r="G4376" s="13" t="s">
        <v>17934</v>
      </c>
      <c r="H4376" s="13" t="s">
        <v>2035</v>
      </c>
      <c r="I4376" s="13" t="str">
        <f aca="false">IF(C4376=J4376,"NEW KONTRAK","RE-KONTRAK")</f>
        <v>RE-KONTRAK</v>
      </c>
      <c r="J4376" s="16" t="n">
        <f aca="false" t="array" ref="J4376:J4376">IFERROR(INDEX(AC4376:AE4376,IF(COUNTA(AC4376:AE4376)=0,"",MAX((AC4376:AE4376&lt;&gt;"")*(COLUMN(AC4376:AE4376)-(COLUMN(AC4376)))))-1),"")</f>
        <v>45744</v>
      </c>
      <c r="K4376" s="16" t="n">
        <f aca="false" t="array" ref="K4376:K4376">IFERROR(INDEX(AC4376:AE4376,IF(COUNTA(AC4376:AE4376)=0,"",MAX((AC4376:AE4376&lt;&gt;"")*(COLUMN(AC4376:AE4376)-(COLUMN(AC4376)-1))))-1),"")</f>
        <v>45915</v>
      </c>
      <c r="L4376" s="17" t="str">
        <f aca="false" t="array" ref="L4376:L4376">IFERROR(INDEX(AC4376:AE4376,IF(COUNTA(AC4376:AE4376)=0,"",MAX((AC4376:AE4376&lt;&gt;"")*(COLUMN(AC4376:AE4376)-(COLUMN(AC4376)-2))))-1),"")</f>
        <v>ARCHIVED</v>
      </c>
      <c r="M4376" s="13" t="n">
        <f aca="true">K4376-TODAY()</f>
        <v>-409</v>
      </c>
      <c r="N4376" s="18" t="s">
        <v>3902</v>
      </c>
      <c r="O4376" s="13" t="s">
        <v>2037</v>
      </c>
      <c r="P4376" s="19" t="n">
        <v>3491889</v>
      </c>
      <c r="Q4376" s="20" t="s">
        <v>17935</v>
      </c>
      <c r="R4376" s="13" t="s">
        <v>17936</v>
      </c>
      <c r="S4376" s="14" t="n">
        <v>38382</v>
      </c>
      <c r="T4376" s="13" t="s">
        <v>108</v>
      </c>
      <c r="U4376" s="13" t="s">
        <v>17937</v>
      </c>
      <c r="V4376" s="13" t="s">
        <v>42</v>
      </c>
      <c r="W4376" s="13" t="s">
        <v>43</v>
      </c>
      <c r="X4376" s="21" t="n">
        <v>85769602842</v>
      </c>
      <c r="Y4376" s="22" t="str">
        <f aca="false">O4376</f>
        <v>SPG/BA</v>
      </c>
      <c r="Z4376" s="13" t="str">
        <f aca="false">IFERROR(__xludf.dummyfunction("if(BJ4376="""","""",GOOGLETRANSLATE(BJ4376,""auto"",""en""))"),"SPG/BA")</f>
        <v>SPG/BA</v>
      </c>
      <c r="AA4376" s="23" t="str">
        <f aca="false">IF(C4376="","", CHOOSE(MONTH(C4376),"January","February","March","April","May","June","July","August","September","October","November","December")&amp;" "&amp;DAY(C4376)&amp;MID("thstndrdth",MIN(9,2*RIGHT(DAY(C4376))*(MOD(DAY(C4376)-11,100)&gt;2)+1),2)&amp;","&amp;TEXT(C4376," yyyy"))</f>
        <v>September 4th,2023</v>
      </c>
      <c r="AB4376" s="15" t="str">
        <f aca="true">IF(S4376="","",DATEDIF(S4376,TODAY(),"Y")&amp;" Tahun, "&amp;DATEDIF(S4376,TODAY(),"YM")&amp;" Bulan, "&amp;DATEDIF(S4376,TODAY(),"MD")&amp;" Hari")</f>
        <v>21 Tahun, 8 Bulan, 29 Hari</v>
      </c>
      <c r="AC4376" s="18" t="n">
        <v>45744</v>
      </c>
      <c r="AD4376" s="18" t="n">
        <v>45915</v>
      </c>
      <c r="AE4376" s="18" t="s">
        <v>44</v>
      </c>
    </row>
    <row r="4377" customFormat="false" ht="15" hidden="false" customHeight="true" outlineLevel="0" collapsed="false">
      <c r="A4377" s="12" t="n">
        <v>23014</v>
      </c>
      <c r="B4377" s="13" t="s">
        <v>17938</v>
      </c>
      <c r="C4377" s="14" t="n">
        <v>46307</v>
      </c>
      <c r="D4377" s="13" t="s">
        <v>2033</v>
      </c>
      <c r="E4377" s="13" t="s">
        <v>47</v>
      </c>
      <c r="F4377" s="24" t="s">
        <v>17939</v>
      </c>
      <c r="G4377" s="13" t="s">
        <v>1127</v>
      </c>
      <c r="H4377" s="13" t="s">
        <v>35</v>
      </c>
      <c r="I4377" s="13" t="str">
        <f aca="false">IF(C4377=J4377,"NEW KONTRAK","RE-KONTRAK")</f>
        <v>NEW KONTRAK</v>
      </c>
      <c r="J4377" s="16" t="n">
        <f aca="false" t="array" ref="J4377:J4377">IFERROR(INDEX(AC4377:AE4377,IF(COUNTA(AC4377:AE4377)=0,"",MAX((AC4377:AE4377&lt;&gt;"")*(COLUMN(AC4377:AE4377)-(COLUMN(AC4377)))))-1),"")</f>
        <v>46307</v>
      </c>
      <c r="K4377" s="16" t="n">
        <f aca="false" t="array" ref="K4377:K4377">IFERROR(INDEX(AC4377:AE4377,IF(COUNTA(AC4377:AE4377)=0,"",MAX((AC4377:AE4377&lt;&gt;"")*(COLUMN(AC4377:AE4377)-(COLUMN(AC4377)-1))))-1),"")</f>
        <v>46402</v>
      </c>
      <c r="L4377" s="17" t="str">
        <f aca="false" t="array" ref="L4377:L4377">IFERROR(INDEX(AC4377:AE4377,IF(COUNTA(AC4377:AE4377)=0,"",MAX((AC4377:AE4377&lt;&gt;"")*(COLUMN(AC4377:AE4377)-(COLUMN(AC4377)-2))))-1),"")</f>
        <v>DRAFTED ONLINE</v>
      </c>
      <c r="M4377" s="13" t="n">
        <f aca="true">K4377-TODAY()</f>
        <v>78</v>
      </c>
      <c r="N4377" s="13" t="s">
        <v>2383</v>
      </c>
      <c r="O4377" s="13" t="s">
        <v>2384</v>
      </c>
      <c r="P4377" s="26" t="n">
        <v>3998179</v>
      </c>
      <c r="Q4377" s="20" t="s">
        <v>17940</v>
      </c>
      <c r="R4377" s="13" t="s">
        <v>17941</v>
      </c>
      <c r="S4377" s="25" t="n">
        <v>38473</v>
      </c>
      <c r="T4377" s="13" t="s">
        <v>108</v>
      </c>
      <c r="U4377" s="13" t="s">
        <v>17942</v>
      </c>
      <c r="V4377" s="13" t="s">
        <v>42</v>
      </c>
      <c r="W4377" s="13" t="s">
        <v>43</v>
      </c>
      <c r="X4377" s="21" t="n">
        <v>88271285488</v>
      </c>
      <c r="Y4377" s="22" t="str">
        <f aca="false">O4377</f>
        <v>SPG</v>
      </c>
      <c r="Z4377" s="13" t="str">
        <f aca="false">IFERROR(__xludf.dummyfunction("if(BJ4377="""","""",GOOGLETRANSLATE(BJ4377,""auto"",""en""))"),"SPG")</f>
        <v>SPG</v>
      </c>
      <c r="AA4377" s="23" t="str">
        <f aca="false">IF(C4377="","", CHOOSE(MONTH(C4377),"January","February","March","April","May","June","July","August","September","October","November","December")&amp;" "&amp;DAY(C4377)&amp;MID("thstndrdth",MIN(9,2*RIGHT(DAY(C4377))*(MOD(DAY(C4377)-11,100)&gt;2)+1),2)&amp;","&amp;TEXT(C4377," yyyy"))</f>
        <v>October 12th,2026</v>
      </c>
      <c r="AB4377" s="15" t="str">
        <f aca="true">IF(S4377="","",DATEDIF(S4377,TODAY(),"Y")&amp;" Tahun, "&amp;DATEDIF(S4377,TODAY(),"YM")&amp;" Bulan, "&amp;DATEDIF(S4377,TODAY(),"MD")&amp;" Hari")</f>
        <v>21 Tahun, 5 Bulan, 28 Hari</v>
      </c>
      <c r="AC4377" s="14" t="n">
        <v>46307</v>
      </c>
      <c r="AD4377" s="18" t="n">
        <v>46402</v>
      </c>
      <c r="AE4377" s="13" t="s">
        <v>2424</v>
      </c>
    </row>
    <row r="4378" customFormat="false" ht="15" hidden="false" customHeight="true" outlineLevel="0" collapsed="false">
      <c r="A4378" s="12" t="n">
        <v>16714</v>
      </c>
      <c r="B4378" s="13" t="s">
        <v>17943</v>
      </c>
      <c r="C4378" s="14" t="n">
        <v>45514</v>
      </c>
      <c r="D4378" s="13" t="s">
        <v>2033</v>
      </c>
      <c r="E4378" s="15" t="s">
        <v>47</v>
      </c>
      <c r="F4378" s="15" t="str">
        <f aca="false">IFERROR(__xludf.dummyfunction("XLOOKUP(AJ4378,IMPORTRANGE(""1XaInW9DU9nz21V0tYIfzFQ0He9kVQ_JF2mCXgZ3hqFA"",""REKAP ALL 2026 - Andika!G:G""),IMPORTRANGE(""1XaInW9DU9nz21V0tYIfzFQ0He9kVQ_JF2mCXgZ3hqFA"",""REKAP ALL 2026 - Andika!F:F""),"""",0)"),"24120186077")</f>
        <v>24120186077</v>
      </c>
      <c r="G4378" s="15" t="s">
        <v>17944</v>
      </c>
      <c r="H4378" s="13" t="s">
        <v>2035</v>
      </c>
      <c r="I4378" s="13" t="str">
        <f aca="false">IF(C4378=J4378,"NEW KONTRAK","RE-KONTRAK")</f>
        <v>RE-KONTRAK</v>
      </c>
      <c r="J4378" s="16" t="n">
        <f aca="false" t="array" ref="J4378:J4378">IFERROR(INDEX(AC4378:AE4378,IF(COUNTA(AC4378:AE4378)=0,"",MAX((AC4378:AE4378&lt;&gt;"")*(COLUMN(AC4378:AE4378)-(COLUMN(AC4378)))))-1),"")</f>
        <v>45744</v>
      </c>
      <c r="K4378" s="16" t="n">
        <f aca="false" t="array" ref="K4378:K4378">IFERROR(INDEX(AC4378:AE4378,IF(COUNTA(AC4378:AE4378)=0,"",MAX((AC4378:AE4378&lt;&gt;"")*(COLUMN(AC4378:AE4378)-(COLUMN(AC4378)-1))))-1),"")</f>
        <v>45915</v>
      </c>
      <c r="L4378" s="17" t="str">
        <f aca="false" t="array" ref="L4378:L4378">IFERROR(INDEX(AC4378:AE4378,IF(COUNTA(AC4378:AE4378)=0,"",MAX((AC4378:AE4378&lt;&gt;"")*(COLUMN(AC4378:AE4378)-(COLUMN(AC4378)-2))))-1),"")</f>
        <v>ARCHIVED</v>
      </c>
      <c r="M4378" s="13" t="n">
        <f aca="true">K4378-TODAY()</f>
        <v>-409</v>
      </c>
      <c r="N4378" s="50" t="s">
        <v>749</v>
      </c>
      <c r="O4378" s="13" t="s">
        <v>2037</v>
      </c>
      <c r="P4378" s="19" t="n">
        <v>3983882</v>
      </c>
      <c r="Q4378" s="20" t="s">
        <v>17945</v>
      </c>
      <c r="R4378" s="13" t="s">
        <v>752</v>
      </c>
      <c r="S4378" s="14" t="n">
        <v>38677</v>
      </c>
      <c r="T4378" s="13" t="s">
        <v>108</v>
      </c>
      <c r="U4378" s="13" t="s">
        <v>17946</v>
      </c>
      <c r="V4378" s="13" t="s">
        <v>42</v>
      </c>
      <c r="W4378" s="13" t="s">
        <v>43</v>
      </c>
      <c r="X4378" s="21" t="n">
        <v>82181224002</v>
      </c>
      <c r="Y4378" s="22" t="str">
        <f aca="false">O4378</f>
        <v>SPG/BA</v>
      </c>
      <c r="Z4378" s="13" t="str">
        <f aca="false">IFERROR(__xludf.dummyfunction("if(BJ4378="""","""",GOOGLETRANSLATE(BJ4378,""auto"",""en""))"),"SPG/BA")</f>
        <v>SPG/BA</v>
      </c>
      <c r="AA4378" s="23" t="str">
        <f aca="false">IF(C4378="","", CHOOSE(MONTH(C4378),"January","February","March","April","May","June","July","August","September","October","November","December")&amp;" "&amp;DAY(C4378)&amp;MID("thstndrdth",MIN(9,2*RIGHT(DAY(C4378))*(MOD(DAY(C4378)-11,100)&gt;2)+1),2)&amp;","&amp;TEXT(C4378," yyyy"))</f>
        <v>August 10th,2024</v>
      </c>
      <c r="AB4378" s="15" t="str">
        <f aca="true">IF(S4378="","",DATEDIF(S4378,TODAY(),"Y")&amp;" Tahun, "&amp;DATEDIF(S4378,TODAY(),"YM")&amp;" Bulan, "&amp;DATEDIF(S4378,TODAY(),"MD")&amp;" Hari")</f>
        <v>20 Tahun, 11 Bulan, 8 Hari</v>
      </c>
      <c r="AC4378" s="18" t="n">
        <v>45744</v>
      </c>
      <c r="AD4378" s="18" t="n">
        <v>45915</v>
      </c>
      <c r="AE4378" s="18" t="s">
        <v>44</v>
      </c>
    </row>
    <row r="4379" customFormat="false" ht="15" hidden="false" customHeight="true" outlineLevel="0" collapsed="false">
      <c r="A4379" s="54" t="n">
        <v>16323</v>
      </c>
      <c r="B4379" s="45" t="s">
        <v>17947</v>
      </c>
      <c r="C4379" s="55" t="n">
        <v>45470</v>
      </c>
      <c r="D4379" s="45" t="s">
        <v>2033</v>
      </c>
      <c r="E4379" s="56" t="s">
        <v>47</v>
      </c>
      <c r="F4379" s="56" t="str">
        <f aca="false">IFERROR(__xludf.dummyfunction("XLOOKUP(AJ4379,IMPORTRANGE(""1XaInW9DU9nz21V0tYIfzFQ0He9kVQ_JF2mCXgZ3hqFA"",""REKAP ALL 2026 - Andika!G:G""),IMPORTRANGE(""1XaInW9DU9nz21V0tYIfzFQ0He9kVQ_JF2mCXgZ3hqFA"",""REKAP ALL 2026 - Andika!F:F""),"""",0)"),"24105103055")</f>
        <v>24105103055</v>
      </c>
      <c r="G4379" s="56" t="s">
        <v>17948</v>
      </c>
      <c r="H4379" s="45" t="s">
        <v>2035</v>
      </c>
      <c r="I4379" s="45" t="str">
        <f aca="false">IF(C4379=J4379,"NEW KONTRAK","RE-KONTRAK")</f>
        <v>RE-KONTRAK</v>
      </c>
      <c r="J4379" s="57" t="n">
        <f aca="false" t="array" ref="J4379:J4379">IFERROR(INDEX(AC4379:AE4379,IF(COUNTA(AC4379:AE4379)=0,"",MAX((AC4379:AE4379&lt;&gt;"")*(COLUMN(AC4379:AE4379)-(COLUMN(AC4379)))))-1),"")</f>
        <v>45744</v>
      </c>
      <c r="K4379" s="57" t="n">
        <f aca="false" t="array" ref="K4379:K4379">IFERROR(INDEX(AC4379:AE4379,IF(COUNTA(AC4379:AE4379)=0,"",MAX((AC4379:AE4379&lt;&gt;"")*(COLUMN(AC4379:AE4379)-(COLUMN(AC4379)-1))))-1),"")</f>
        <v>45915</v>
      </c>
      <c r="L4379" s="17" t="str">
        <f aca="false" t="array" ref="L4379:L4379">IFERROR(INDEX(AC4379:AE4379,IF(COUNTA(AC4379:AE4379)=0,"",MAX((AC4379:AE4379&lt;&gt;"")*(COLUMN(AC4379:AE4379)-(COLUMN(AC4379)-2))))-1),"")</f>
        <v>ARCHIVED</v>
      </c>
      <c r="M4379" s="45" t="n">
        <f aca="true">K4379-TODAY()</f>
        <v>-409</v>
      </c>
      <c r="N4379" s="58" t="s">
        <v>2363</v>
      </c>
      <c r="O4379" s="45" t="s">
        <v>2037</v>
      </c>
      <c r="P4379" s="59" t="n">
        <v>3228971</v>
      </c>
      <c r="Q4379" s="60" t="s">
        <v>17949</v>
      </c>
      <c r="R4379" s="45" t="s">
        <v>17950</v>
      </c>
      <c r="S4379" s="55" t="n">
        <v>38598</v>
      </c>
      <c r="T4379" s="45" t="s">
        <v>108</v>
      </c>
      <c r="U4379" s="45" t="s">
        <v>17951</v>
      </c>
      <c r="V4379" s="45" t="s">
        <v>4748</v>
      </c>
      <c r="W4379" s="45" t="s">
        <v>43</v>
      </c>
      <c r="X4379" s="61" t="n">
        <v>81367541665</v>
      </c>
      <c r="Y4379" s="62" t="str">
        <f aca="false">O4379</f>
        <v>SPG/BA</v>
      </c>
      <c r="Z4379" s="45" t="str">
        <f aca="false">IFERROR(__xludf.dummyfunction("if(BJ4379="""","""",GOOGLETRANSLATE(BJ4379,""auto"",""en""))"),"SPG/BA")</f>
        <v>SPG/BA</v>
      </c>
      <c r="AA4379" s="63" t="str">
        <f aca="false">IF(C4379="","", CHOOSE(MONTH(C4379),"January","February","March","April","May","June","July","August","September","October","November","December")&amp;" "&amp;DAY(C4379)&amp;MID("thstndrdth",MIN(9,2*RIGHT(DAY(C4379))*(MOD(DAY(C4379)-11,100)&gt;2)+1),2)&amp;","&amp;TEXT(C4379," yyyy"))</f>
        <v>June 27th,2024</v>
      </c>
      <c r="AB4379" s="56" t="str">
        <f aca="true">IF(S4379="","",DATEDIF(S4379,TODAY(),"Y")&amp;" Tahun, "&amp;DATEDIF(S4379,TODAY(),"YM")&amp;" Bulan, "&amp;DATEDIF(S4379,TODAY(),"MD")&amp;" Hari")</f>
        <v>21 Tahun, 1 Bulan, 26 Hari</v>
      </c>
      <c r="AC4379" s="58" t="n">
        <v>45744</v>
      </c>
      <c r="AD4379" s="58" t="n">
        <v>45915</v>
      </c>
      <c r="AE4379" s="58" t="s">
        <v>44</v>
      </c>
    </row>
    <row r="4380" customFormat="false" ht="15" hidden="false" customHeight="true" outlineLevel="0" collapsed="false">
      <c r="A4380" s="12" t="n">
        <v>3061</v>
      </c>
      <c r="B4380" s="13" t="s">
        <v>17952</v>
      </c>
      <c r="C4380" s="14" t="n">
        <v>44059</v>
      </c>
      <c r="D4380" s="13" t="s">
        <v>2033</v>
      </c>
      <c r="E4380" s="15" t="s">
        <v>47</v>
      </c>
      <c r="F4380" s="15" t="str">
        <f aca="false">IFERROR(__xludf.dummyfunction("XLOOKUP(AJ4380,IMPORTRANGE(""1XaInW9DU9nz21V0tYIfzFQ0He9kVQ_JF2mCXgZ3hqFA"",""REKAP ALL 2026 - Andika!G:G""),IMPORTRANGE(""1XaInW9DU9nz21V0tYIfzFQ0He9kVQ_JF2mCXgZ3hqFA"",""REKAP ALL 2026 - Andika!F:F""),"""",0)"),"21038786691")</f>
        <v>21038786691</v>
      </c>
      <c r="G4380" s="13" t="s">
        <v>17953</v>
      </c>
      <c r="H4380" s="13" t="s">
        <v>2035</v>
      </c>
      <c r="I4380" s="13" t="str">
        <f aca="false">IF(C4380=J4380,"NEW KONTRAK","RE-KONTRAK")</f>
        <v>RE-KONTRAK</v>
      </c>
      <c r="J4380" s="16" t="n">
        <f aca="false" t="array" ref="J4380:J4380">IFERROR(INDEX(AC4380:AE4380,IF(COUNTA(AC4380:AE4380)=0,"",MAX((AC4380:AE4380&lt;&gt;"")*(COLUMN(AC4380:AE4380)-(COLUMN(AC4380)))))-1),"")</f>
        <v>45744</v>
      </c>
      <c r="K4380" s="16" t="n">
        <f aca="false" t="array" ref="K4380:K4380">IFERROR(INDEX(AC4380:AE4380,IF(COUNTA(AC4380:AE4380)=0,"",MAX((AC4380:AE4380&lt;&gt;"")*(COLUMN(AC4380:AE4380)-(COLUMN(AC4380)-1))))-1),"")</f>
        <v>45915</v>
      </c>
      <c r="L4380" s="17" t="str">
        <f aca="false" t="array" ref="L4380:L4380">IFERROR(INDEX(AC4380:AE4380,IF(COUNTA(AC4380:AE4380)=0,"",MAX((AC4380:AE4380&lt;&gt;"")*(COLUMN(AC4380:AE4380)-(COLUMN(AC4380)-2))))-1),"")</f>
        <v>ARCHIVED</v>
      </c>
      <c r="M4380" s="13" t="n">
        <f aca="true">K4380-TODAY()</f>
        <v>-409</v>
      </c>
      <c r="N4380" s="18" t="s">
        <v>2356</v>
      </c>
      <c r="O4380" s="13" t="s">
        <v>2037</v>
      </c>
      <c r="P4380" s="19" t="n">
        <v>4148179</v>
      </c>
      <c r="Q4380" s="20" t="s">
        <v>17954</v>
      </c>
      <c r="R4380" s="13" t="s">
        <v>2356</v>
      </c>
      <c r="S4380" s="14" t="n">
        <v>36010</v>
      </c>
      <c r="T4380" s="13" t="s">
        <v>108</v>
      </c>
      <c r="U4380" s="13" t="s">
        <v>17955</v>
      </c>
      <c r="V4380" s="13" t="s">
        <v>42</v>
      </c>
      <c r="W4380" s="13" t="s">
        <v>54</v>
      </c>
      <c r="X4380" s="21" t="n">
        <v>85756594736</v>
      </c>
      <c r="Y4380" s="22" t="str">
        <f aca="false">O4380</f>
        <v>SPG/BA</v>
      </c>
      <c r="Z4380" s="13" t="str">
        <f aca="false">IFERROR(__xludf.dummyfunction("if(BJ4380="""","""",GOOGLETRANSLATE(BJ4380,""auto"",""en""))"),"SPG/BA")</f>
        <v>SPG/BA</v>
      </c>
      <c r="AA4380" s="23" t="str">
        <f aca="false">IF(C4380="","", CHOOSE(MONTH(C4380),"January","February","March","April","May","June","July","August","September","October","November","December")&amp;" "&amp;DAY(C4380)&amp;MID("thstndrdth",MIN(9,2*RIGHT(DAY(C4380))*(MOD(DAY(C4380)-11,100)&gt;2)+1),2)&amp;","&amp;TEXT(C4380," yyyy"))</f>
        <v>August 16th,2020</v>
      </c>
      <c r="AB4380" s="15" t="str">
        <f aca="true">IF(S4380="","",DATEDIF(S4380,TODAY(),"Y")&amp;" Tahun, "&amp;DATEDIF(S4380,TODAY(),"YM")&amp;" Bulan, "&amp;DATEDIF(S4380,TODAY(),"MD")&amp;" Hari")</f>
        <v>28 Tahun, 2 Bulan, 26 Hari</v>
      </c>
      <c r="AC4380" s="18" t="n">
        <v>45744</v>
      </c>
      <c r="AD4380" s="18" t="n">
        <v>45915</v>
      </c>
      <c r="AE4380" s="18" t="s">
        <v>44</v>
      </c>
    </row>
    <row r="4381" customFormat="false" ht="15" hidden="false" customHeight="true" outlineLevel="0" collapsed="false">
      <c r="A4381" s="12" t="n">
        <v>20098</v>
      </c>
      <c r="B4381" s="13" t="s">
        <v>17956</v>
      </c>
      <c r="C4381" s="16" t="n">
        <v>45806</v>
      </c>
      <c r="D4381" s="13" t="s">
        <v>2033</v>
      </c>
      <c r="E4381" s="15" t="s">
        <v>47</v>
      </c>
      <c r="F4381" s="15" t="str">
        <f aca="false">IFERROR(__xludf.dummyfunction("XLOOKUP(AJ4381,IMPORTRANGE(""1XaInW9DU9nz21V0tYIfzFQ0He9kVQ_JF2mCXgZ3hqFA"",""REKAP ALL 2026 - Andika!G:G""),IMPORTRANGE(""1XaInW9DU9nz21V0tYIfzFQ0He9kVQ_JF2mCXgZ3hqFA"",""REKAP ALL 2026 - Andika!F:F""),"""",0)"),"25099754639")</f>
        <v>25099754639</v>
      </c>
      <c r="G4381" s="13" t="s">
        <v>17957</v>
      </c>
      <c r="H4381" s="13" t="s">
        <v>2035</v>
      </c>
      <c r="I4381" s="13" t="str">
        <f aca="false">IF(C4381=J4381,"NEW KONTRAK","RE-KONTRAK")</f>
        <v>NEW KONTRAK</v>
      </c>
      <c r="J4381" s="16" t="n">
        <f aca="false" t="array" ref="J4381:J4381">IFERROR(INDEX(AC4381:AE4381,IF(COUNTA(AC4381:AE4381)=0,"",MAX((AC4381:AE4381&lt;&gt;"")*(COLUMN(AC4381:AE4381)-(COLUMN(AC4381)))))-1),"")</f>
        <v>45806</v>
      </c>
      <c r="K4381" s="16" t="n">
        <f aca="false" t="array" ref="K4381:K4381">IFERROR(INDEX(AC4381:AE4381,IF(COUNTA(AC4381:AE4381)=0,"",MAX((AC4381:AE4381&lt;&gt;"")*(COLUMN(AC4381:AE4381)-(COLUMN(AC4381)-1))))-1),"")</f>
        <v>45915</v>
      </c>
      <c r="L4381" s="17" t="str">
        <f aca="false" t="array" ref="L4381:L4381">IFERROR(INDEX(AC4381:AE4381,IF(COUNTA(AC4381:AE4381)=0,"",MAX((AC4381:AE4381&lt;&gt;"")*(COLUMN(AC4381:AE4381)-(COLUMN(AC4381)-2))))-1),"")</f>
        <v>ARCHIVED</v>
      </c>
      <c r="M4381" s="13" t="n">
        <f aca="true">K4381-TODAY()</f>
        <v>-409</v>
      </c>
      <c r="N4381" s="18" t="s">
        <v>2001</v>
      </c>
      <c r="O4381" s="13" t="s">
        <v>2037</v>
      </c>
      <c r="P4381" s="19" t="n">
        <v>2345695</v>
      </c>
      <c r="Q4381" s="20" t="s">
        <v>17958</v>
      </c>
      <c r="R4381" s="13" t="s">
        <v>2001</v>
      </c>
      <c r="S4381" s="16" t="n">
        <v>37605</v>
      </c>
      <c r="T4381" s="13" t="s">
        <v>108</v>
      </c>
      <c r="U4381" s="13" t="s">
        <v>17959</v>
      </c>
      <c r="V4381" s="13" t="s">
        <v>42</v>
      </c>
      <c r="W4381" s="13" t="s">
        <v>54</v>
      </c>
      <c r="X4381" s="21" t="n">
        <v>87865218841</v>
      </c>
      <c r="Y4381" s="22" t="str">
        <f aca="false">O4381</f>
        <v>SPG/BA</v>
      </c>
      <c r="Z4381" s="13" t="str">
        <f aca="false">IFERROR(__xludf.dummyfunction("if(BJ4381="""","""",GOOGLETRANSLATE(BJ4381,""auto"",""en""))"),"SPG/BA")</f>
        <v>SPG/BA</v>
      </c>
      <c r="AA4381" s="23" t="str">
        <f aca="false">IF(C4381="","", CHOOSE(MONTH(C4381),"January","February","March","April","May","June","July","August","September","October","November","December")&amp;" "&amp;DAY(C4381)&amp;MID("thstndrdth",MIN(9,2*RIGHT(DAY(C4381))*(MOD(DAY(C4381)-11,100)&gt;2)+1),2)&amp;","&amp;TEXT(C4381," yyyy"))</f>
        <v>May 29th,2025</v>
      </c>
      <c r="AB4381" s="15" t="str">
        <f aca="true">IF(S4381="","",DATEDIF(S4381,TODAY(),"Y")&amp;" Tahun, "&amp;DATEDIF(S4381,TODAY(),"YM")&amp;" Bulan, "&amp;DATEDIF(S4381,TODAY(),"MD")&amp;" Hari")</f>
        <v>23 Tahun, 10 Bulan, 14 Hari</v>
      </c>
      <c r="AC4381" s="18" t="n">
        <v>45806</v>
      </c>
      <c r="AD4381" s="18" t="n">
        <v>45915</v>
      </c>
      <c r="AE4381" s="18" t="s">
        <v>44</v>
      </c>
    </row>
    <row r="4382" customFormat="false" ht="15" hidden="false" customHeight="true" outlineLevel="0" collapsed="false">
      <c r="A4382" s="12" t="n">
        <v>15842</v>
      </c>
      <c r="B4382" s="13" t="s">
        <v>3044</v>
      </c>
      <c r="C4382" s="14" t="n">
        <v>45446</v>
      </c>
      <c r="D4382" s="13" t="s">
        <v>2033</v>
      </c>
      <c r="E4382" s="15" t="s">
        <v>47</v>
      </c>
      <c r="F4382" s="15" t="str">
        <f aca="false">IFERROR(__xludf.dummyfunction("XLOOKUP(AJ4382,IMPORTRANGE(""1XaInW9DU9nz21V0tYIfzFQ0He9kVQ_JF2mCXgZ3hqFA"",""REKAP ALL 2026 - Andika!G:G""),IMPORTRANGE(""1XaInW9DU9nz21V0tYIfzFQ0He9kVQ_JF2mCXgZ3hqFA"",""REKAP ALL 2026 - Andika!F:F""),"""",0)"),"24091262865")</f>
        <v>24091262865</v>
      </c>
      <c r="G4382" s="15" t="s">
        <v>17960</v>
      </c>
      <c r="H4382" s="13" t="s">
        <v>2035</v>
      </c>
      <c r="I4382" s="13" t="str">
        <f aca="false">IF(C4382=J4382,"NEW KONTRAK","RE-KONTRAK")</f>
        <v>RE-KONTRAK</v>
      </c>
      <c r="J4382" s="16" t="n">
        <f aca="false" t="array" ref="J4382:J4382">IFERROR(INDEX(AC4382:AE4382,IF(COUNTA(AC4382:AE4382)=0,"",MAX((AC4382:AE4382&lt;&gt;"")*(COLUMN(AC4382:AE4382)-(COLUMN(AC4382)))))-1),"")</f>
        <v>45744</v>
      </c>
      <c r="K4382" s="16" t="n">
        <f aca="false" t="array" ref="K4382:K4382">IFERROR(INDEX(AC4382:AE4382,IF(COUNTA(AC4382:AE4382)=0,"",MAX((AC4382:AE4382&lt;&gt;"")*(COLUMN(AC4382:AE4382)-(COLUMN(AC4382)-1))))-1),"")</f>
        <v>45915</v>
      </c>
      <c r="L4382" s="17" t="str">
        <f aca="false" t="array" ref="L4382:L4382">IFERROR(INDEX(AC4382:AE4382,IF(COUNTA(AC4382:AE4382)=0,"",MAX((AC4382:AE4382&lt;&gt;"")*(COLUMN(AC4382:AE4382)-(COLUMN(AC4382)-2))))-1),"")</f>
        <v>ARCHIVED</v>
      </c>
      <c r="M4382" s="13" t="n">
        <f aca="true">K4382-TODAY()</f>
        <v>-409</v>
      </c>
      <c r="N4382" s="50" t="s">
        <v>749</v>
      </c>
      <c r="O4382" s="13" t="s">
        <v>2037</v>
      </c>
      <c r="P4382" s="19" t="n">
        <v>3983882</v>
      </c>
      <c r="Q4382" s="20" t="s">
        <v>17961</v>
      </c>
      <c r="R4382" s="13" t="s">
        <v>752</v>
      </c>
      <c r="S4382" s="14" t="n">
        <v>37902</v>
      </c>
      <c r="T4382" s="13" t="s">
        <v>108</v>
      </c>
      <c r="U4382" s="13" t="s">
        <v>17962</v>
      </c>
      <c r="V4382" s="13" t="s">
        <v>42</v>
      </c>
      <c r="W4382" s="13" t="s">
        <v>43</v>
      </c>
      <c r="X4382" s="21" t="n">
        <v>83138894744</v>
      </c>
      <c r="Y4382" s="22" t="str">
        <f aca="false">O4382</f>
        <v>SPG/BA</v>
      </c>
      <c r="Z4382" s="13" t="str">
        <f aca="false">IFERROR(__xludf.dummyfunction("if(BJ4382="""","""",GOOGLETRANSLATE(BJ4382,""auto"",""en""))"),"SPG/BA")</f>
        <v>SPG/BA</v>
      </c>
      <c r="AA4382" s="23" t="str">
        <f aca="false">IF(C4382="","", CHOOSE(MONTH(C4382),"January","February","March","April","May","June","July","August","September","October","November","December")&amp;" "&amp;DAY(C4382)&amp;MID("thstndrdth",MIN(9,2*RIGHT(DAY(C4382))*(MOD(DAY(C4382)-11,100)&gt;2)+1),2)&amp;","&amp;TEXT(C4382," yyyy"))</f>
        <v>June 3rd,2024</v>
      </c>
      <c r="AB4382" s="15" t="str">
        <f aca="true">IF(S4382="","",DATEDIF(S4382,TODAY(),"Y")&amp;" Tahun, "&amp;DATEDIF(S4382,TODAY(),"YM")&amp;" Bulan, "&amp;DATEDIF(S4382,TODAY(),"MD")&amp;" Hari")</f>
        <v>23 Tahun, 0 Bulan, 21 Hari</v>
      </c>
      <c r="AC4382" s="18" t="n">
        <v>45744</v>
      </c>
      <c r="AD4382" s="18" t="n">
        <v>45915</v>
      </c>
      <c r="AE4382" s="18" t="s">
        <v>44</v>
      </c>
    </row>
    <row r="4383" customFormat="false" ht="15" hidden="false" customHeight="true" outlineLevel="0" collapsed="false">
      <c r="A4383" s="12" t="n">
        <v>21865</v>
      </c>
      <c r="B4383" s="13" t="s">
        <v>17963</v>
      </c>
      <c r="C4383" s="16" t="n">
        <v>46055</v>
      </c>
      <c r="D4383" s="13" t="s">
        <v>2033</v>
      </c>
      <c r="E4383" s="15" t="s">
        <v>47</v>
      </c>
      <c r="F4383" s="15" t="str">
        <f aca="false">IFERROR(__xludf.dummyfunction("XLOOKUP(AJ4383,IMPORTRANGE(""1XaInW9DU9nz21V0tYIfzFQ0He9kVQ_JF2mCXgZ3hqFA"",""REKAP ALL 2026 - Andika!G:G""),IMPORTRANGE(""1XaInW9DU9nz21V0tYIfzFQ0He9kVQ_JF2mCXgZ3hqFA"",""REKAP ALL 2026 - Andika!F:F""),"""",0)"),"26035115950")</f>
        <v>26035115950</v>
      </c>
      <c r="G4383" s="13" t="s">
        <v>1127</v>
      </c>
      <c r="H4383" s="13" t="s">
        <v>35</v>
      </c>
      <c r="I4383" s="13" t="str">
        <f aca="false">IF(C4383=J4383,"NEW KONTRAK","RE-KONTRAK")</f>
        <v>NEW KONTRAK</v>
      </c>
      <c r="J4383" s="16" t="n">
        <f aca="false" t="array" ref="J4383:J4383">IFERROR(INDEX(AC4383:AE4383,IF(COUNTA(AC4383:AE4383)=0,"",MAX((AC4383:AE4383&lt;&gt;"")*(COLUMN(AC4383:AE4383)-(COLUMN(AC4383)))))-1),"")</f>
        <v>46055</v>
      </c>
      <c r="K4383" s="16" t="n">
        <f aca="false" t="array" ref="K4383:K4383">IFERROR(INDEX(AC4383:AE4383,IF(COUNTA(AC4383:AE4383)=0,"",MAX((AC4383:AE4383&lt;&gt;"")*(COLUMN(AC4383:AE4383)-(COLUMN(AC4383)-1))))-1),"")</f>
        <v>46188</v>
      </c>
      <c r="L4383" s="17" t="str">
        <f aca="false" t="array" ref="L4383:L4383">IFERROR(INDEX(AC4383:AE4383,IF(COUNTA(AC4383:AE4383)=0,"",MAX((AC4383:AE4383&lt;&gt;"")*(COLUMN(AC4383:AE4383)-(COLUMN(AC4383)-2))))-1),"")</f>
        <v>KEMBALI</v>
      </c>
      <c r="M4383" s="13" t="n">
        <f aca="true">K4383-TODAY()</f>
        <v>-136</v>
      </c>
      <c r="N4383" s="18" t="s">
        <v>2587</v>
      </c>
      <c r="O4383" s="13" t="s">
        <v>2037</v>
      </c>
      <c r="P4383" s="19" t="n">
        <v>3855894</v>
      </c>
      <c r="Q4383" s="47" t="s">
        <v>17964</v>
      </c>
      <c r="R4383" s="13" t="s">
        <v>2587</v>
      </c>
      <c r="S4383" s="16" t="n">
        <v>37347</v>
      </c>
      <c r="T4383" s="13" t="s">
        <v>108</v>
      </c>
      <c r="U4383" s="13" t="s">
        <v>17965</v>
      </c>
      <c r="V4383" s="13" t="s">
        <v>42</v>
      </c>
      <c r="W4383" s="13" t="s">
        <v>43</v>
      </c>
      <c r="X4383" s="13" t="s">
        <v>17966</v>
      </c>
      <c r="Y4383" s="22" t="str">
        <f aca="false">O4383</f>
        <v>SPG/BA</v>
      </c>
      <c r="Z4383" s="13" t="str">
        <f aca="false">IFERROR(__xludf.dummyfunction("if(BJ4383="""","""",GOOGLETRANSLATE(BJ4383,""auto"",""en""))"),"SPG/BA")</f>
        <v>SPG/BA</v>
      </c>
      <c r="AA4383" s="23" t="str">
        <f aca="false">IF(C4383="","", CHOOSE(MONTH(C4383),"January","February","March","April","May","June","July","August","September","October","November","December")&amp;" "&amp;DAY(C4383)&amp;MID("thstndrdth",MIN(9,2*RIGHT(DAY(C4383))*(MOD(DAY(C4383)-11,100)&gt;2)+1),2)&amp;","&amp;TEXT(C4383," yyyy"))</f>
        <v>February 2nd,2026</v>
      </c>
      <c r="AB4383" s="15" t="str">
        <f aca="true">IF(S4383="","",DATEDIF(S4383,TODAY(),"Y")&amp;" Tahun, "&amp;DATEDIF(S4383,TODAY(),"YM")&amp;" Bulan, "&amp;DATEDIF(S4383,TODAY(),"MD")&amp;" Hari")</f>
        <v>24 Tahun, 6 Bulan, 28 Hari</v>
      </c>
      <c r="AC4383" s="18" t="n">
        <v>46055</v>
      </c>
      <c r="AD4383" s="18" t="n">
        <v>46188</v>
      </c>
      <c r="AE4383" s="13" t="s">
        <v>397</v>
      </c>
    </row>
    <row r="4384" customFormat="false" ht="15" hidden="false" customHeight="true" outlineLevel="0" collapsed="false">
      <c r="A4384" s="12" t="n">
        <v>22227</v>
      </c>
      <c r="B4384" s="13" t="s">
        <v>17967</v>
      </c>
      <c r="C4384" s="14" t="n">
        <v>46135</v>
      </c>
      <c r="D4384" s="13" t="s">
        <v>2033</v>
      </c>
      <c r="E4384" s="15" t="s">
        <v>47</v>
      </c>
      <c r="F4384" s="15" t="str">
        <f aca="false">IFERROR(__xludf.dummyfunction("XLOOKUP(AJ4384,IMPORTRANGE(""1XaInW9DU9nz21V0tYIfzFQ0He9kVQ_JF2mCXgZ3hqFA"",""REKAP ALL 2026 - Andika!G:G""),IMPORTRANGE(""1XaInW9DU9nz21V0tYIfzFQ0He9kVQ_JF2mCXgZ3hqFA"",""REKAP ALL 2026 - Andika!F:F""),"""",0)"),"26062984138")</f>
        <v>26062984138</v>
      </c>
      <c r="G4384" s="13" t="s">
        <v>1127</v>
      </c>
      <c r="H4384" s="13" t="s">
        <v>35</v>
      </c>
      <c r="I4384" s="13" t="str">
        <f aca="false">IF(C4384=J4384,"NEW KONTRAK","RE-KONTRAK")</f>
        <v>NEW KONTRAK</v>
      </c>
      <c r="J4384" s="16" t="n">
        <f aca="false" t="array" ref="J4384:J4384">IFERROR(INDEX(AC4384:AE4384,IF(COUNTA(AC4384:AE4384)=0,"",MAX((AC4384:AE4384&lt;&gt;"")*(COLUMN(AC4384:AE4384)-(COLUMN(AC4384)))))-1),"")</f>
        <v>46135</v>
      </c>
      <c r="K4384" s="16" t="n">
        <f aca="false" t="array" ref="K4384:K4384">IFERROR(INDEX(AC4384:AE4384,IF(COUNTA(AC4384:AE4384)=0,"",MAX((AC4384:AE4384&lt;&gt;"")*(COLUMN(AC4384:AE4384)-(COLUMN(AC4384)-1))))-1),"")</f>
        <v>46188</v>
      </c>
      <c r="L4384" s="17" t="str">
        <f aca="false" t="array" ref="L4384:L4384">IFERROR(INDEX(AC4384:AE4384,IF(COUNTA(AC4384:AE4384)=0,"",MAX((AC4384:AE4384&lt;&gt;"")*(COLUMN(AC4384:AE4384)-(COLUMN(AC4384)-2))))-1),"")</f>
        <v>KEMBALI</v>
      </c>
      <c r="M4384" s="13" t="n">
        <f aca="true">K4384-TODAY()</f>
        <v>-136</v>
      </c>
      <c r="N4384" s="50" t="s">
        <v>10550</v>
      </c>
      <c r="O4384" s="13" t="s">
        <v>2037</v>
      </c>
      <c r="P4384" s="19" t="n">
        <v>2532852</v>
      </c>
      <c r="Q4384" s="20" t="s">
        <v>17968</v>
      </c>
      <c r="R4384" s="13" t="s">
        <v>6556</v>
      </c>
      <c r="S4384" s="14" t="n">
        <v>35187</v>
      </c>
      <c r="T4384" s="13" t="s">
        <v>108</v>
      </c>
      <c r="U4384" s="13" t="s">
        <v>17969</v>
      </c>
      <c r="V4384" s="13" t="s">
        <v>99</v>
      </c>
      <c r="W4384" s="13" t="s">
        <v>43</v>
      </c>
      <c r="X4384" s="21" t="n">
        <v>81991403802</v>
      </c>
      <c r="Y4384" s="22" t="str">
        <f aca="false">O4384</f>
        <v>SPG/BA</v>
      </c>
      <c r="Z4384" s="13" t="str">
        <f aca="false">IFERROR(__xludf.dummyfunction("if(BJ4384="""","""",GOOGLETRANSLATE(BJ4384,""auto"",""en""))"),"SPG/BA")</f>
        <v>SPG/BA</v>
      </c>
      <c r="AA4384" s="23" t="str">
        <f aca="false">IF(C4384="","", CHOOSE(MONTH(C4384),"January","February","March","April","May","June","July","August","September","October","November","December")&amp;" "&amp;DAY(C4384)&amp;MID("thstndrdth",MIN(9,2*RIGHT(DAY(C4384))*(MOD(DAY(C4384)-11,100)&gt;2)+1),2)&amp;","&amp;TEXT(C4384," yyyy"))</f>
        <v>April 23rd,2026</v>
      </c>
      <c r="AB4384" s="15" t="str">
        <f aca="true">IF(S4384="","",DATEDIF(S4384,TODAY(),"Y")&amp;" Tahun, "&amp;DATEDIF(S4384,TODAY(),"YM")&amp;" Bulan, "&amp;DATEDIF(S4384,TODAY(),"MD")&amp;" Hari")</f>
        <v>30 Tahun, 5 Bulan, 27 Hari</v>
      </c>
      <c r="AC4384" s="14" t="n">
        <f aca="false">C4384</f>
        <v>46135</v>
      </c>
      <c r="AD4384" s="64" t="n">
        <v>46188</v>
      </c>
      <c r="AE4384" s="13" t="s">
        <v>397</v>
      </c>
    </row>
    <row r="4385" customFormat="false" ht="15" hidden="false" customHeight="true" outlineLevel="0" collapsed="false">
      <c r="A4385" s="12" t="n">
        <v>23020</v>
      </c>
      <c r="B4385" s="13" t="s">
        <v>16959</v>
      </c>
      <c r="C4385" s="14" t="n">
        <v>46296</v>
      </c>
      <c r="D4385" s="13" t="s">
        <v>17566</v>
      </c>
      <c r="E4385" s="13" t="s">
        <v>47</v>
      </c>
      <c r="F4385" s="24" t="s">
        <v>17970</v>
      </c>
      <c r="G4385" s="13" t="s">
        <v>1127</v>
      </c>
      <c r="H4385" s="13" t="s">
        <v>35</v>
      </c>
      <c r="I4385" s="13" t="str">
        <f aca="false">IF(C4385=J4385,"NEW KONTRAK","RE-KONTRAK")</f>
        <v>NEW KONTRAK</v>
      </c>
      <c r="J4385" s="16" t="n">
        <f aca="false" t="array" ref="J4385:J4385">IFERROR(INDEX(AC4385:AE4385,IF(COUNTA(AC4385:AE4385)=0,"",MAX((AC4385:AE4385&lt;&gt;"")*(COLUMN(AC4385:AE4385)-(COLUMN(AC4385)))))-1),"")</f>
        <v>46296</v>
      </c>
      <c r="K4385" s="16" t="n">
        <f aca="false" t="array" ref="K4385:K4385">IFERROR(INDEX(AC4385:AE4385,IF(COUNTA(AC4385:AE4385)=0,"",MAX((AC4385:AE4385&lt;&gt;"")*(COLUMN(AC4385:AE4385)-(COLUMN(AC4385)-1))))-1),"")</f>
        <v>46387</v>
      </c>
      <c r="L4385" s="17" t="str">
        <f aca="false" t="array" ref="L4385:L4385">IFERROR(INDEX(AC4385:AE4385,IF(COUNTA(AC4385:AE4385)=0,"",MAX((AC4385:AE4385&lt;&gt;"")*(COLUMN(AC4385:AE4385)-(COLUMN(AC4385)-2))))-1),"")</f>
        <v>DRAFTED</v>
      </c>
      <c r="M4385" s="13" t="n">
        <f aca="true">K4385-TODAY()</f>
        <v>63</v>
      </c>
      <c r="N4385" s="13" t="s">
        <v>246</v>
      </c>
      <c r="O4385" s="13" t="s">
        <v>17117</v>
      </c>
      <c r="P4385" s="26" t="n">
        <v>2553221</v>
      </c>
      <c r="Q4385" s="20" t="s">
        <v>16961</v>
      </c>
      <c r="R4385" s="13" t="s">
        <v>274</v>
      </c>
      <c r="S4385" s="25" t="n">
        <v>34880</v>
      </c>
      <c r="T4385" s="13" t="s">
        <v>108</v>
      </c>
      <c r="U4385" s="13" t="s">
        <v>16962</v>
      </c>
      <c r="V4385" s="13" t="s">
        <v>42</v>
      </c>
      <c r="W4385" s="13" t="s">
        <v>54</v>
      </c>
      <c r="X4385" s="30" t="n">
        <v>81143416518</v>
      </c>
      <c r="Y4385" s="22" t="str">
        <f aca="false">O4385</f>
        <v>PCC</v>
      </c>
      <c r="Z4385" s="13" t="str">
        <f aca="false">IFERROR(__xludf.dummyfunction("if(BJ4385="""","""",GOOGLETRANSLATE(BJ4385,""auto"",""en""))"),"PCC")</f>
        <v>PCC</v>
      </c>
      <c r="AA4385" s="23" t="str">
        <f aca="false">IF(C4385="","", CHOOSE(MONTH(C4385),"January","February","March","April","May","June","July","August","September","October","November","December")&amp;" "&amp;DAY(C4385)&amp;MID("thstndrdth",MIN(9,2*RIGHT(DAY(C4385))*(MOD(DAY(C4385)-11,100)&gt;2)+1),2)&amp;","&amp;TEXT(C4385," yyyy"))</f>
        <v>October 1st,2026</v>
      </c>
      <c r="AB4385" s="15" t="str">
        <f aca="true">IF(S4385="","",DATEDIF(S4385,TODAY(),"Y")&amp;" Tahun, "&amp;DATEDIF(S4385,TODAY(),"YM")&amp;" Bulan, "&amp;DATEDIF(S4385,TODAY(),"MD")&amp;" Hari")</f>
        <v>31 Tahun, 3 Bulan, 29 Hari</v>
      </c>
      <c r="AC4385" s="46" t="n">
        <v>46296</v>
      </c>
      <c r="AD4385" s="18" t="n">
        <f aca="false">EDATE(AC4385,3)-1</f>
        <v>46387</v>
      </c>
      <c r="AE4385" s="13" t="s">
        <v>4022</v>
      </c>
    </row>
    <row r="4386" customFormat="false" ht="15" hidden="false" customHeight="true" outlineLevel="0" collapsed="false">
      <c r="A4386" s="12" t="n">
        <v>23021</v>
      </c>
      <c r="B4386" s="13" t="s">
        <v>17971</v>
      </c>
      <c r="C4386" s="14" t="n">
        <v>46317</v>
      </c>
      <c r="D4386" s="13" t="s">
        <v>144</v>
      </c>
      <c r="E4386" s="13" t="s">
        <v>47</v>
      </c>
      <c r="F4386" s="24" t="s">
        <v>17972</v>
      </c>
      <c r="G4386" s="13" t="s">
        <v>1127</v>
      </c>
      <c r="H4386" s="13" t="s">
        <v>35</v>
      </c>
      <c r="I4386" s="13" t="str">
        <f aca="false">IF(C4386=J4386,"NEW KONTRAK","RE-KONTRAK")</f>
        <v>NEW KONTRAK</v>
      </c>
      <c r="J4386" s="16" t="n">
        <f aca="false" t="array" ref="J4386:J4386">IFERROR(INDEX(AC4386:AE4386,IF(COUNTA(AC4386:AE4386)=0,"",MAX((AC4386:AE4386&lt;&gt;"")*(COLUMN(AC4386:AE4386)-(COLUMN(AC4386)))))-1),"")</f>
        <v>46317</v>
      </c>
      <c r="K4386" s="16" t="n">
        <f aca="false" t="array" ref="K4386:K4386">IFERROR(INDEX(AC4386:AE4386,IF(COUNTA(AC4386:AE4386)=0,"",MAX((AC4386:AE4386&lt;&gt;"")*(COLUMN(AC4386:AE4386)-(COLUMN(AC4386)-1))))-1),"")</f>
        <v>46408</v>
      </c>
      <c r="L4386" s="17" t="str">
        <f aca="false" t="array" ref="L4386:L4386">IFERROR(INDEX(AC4386:AE4386,IF(COUNTA(AC4386:AE4386)=0,"",MAX((AC4386:AE4386&lt;&gt;"")*(COLUMN(AC4386:AE4386)-(COLUMN(AC4386)-2))))-1),"")</f>
        <v>DRAFTED</v>
      </c>
      <c r="M4386" s="13" t="n">
        <f aca="true">K4386-TODAY()</f>
        <v>84</v>
      </c>
      <c r="N4386" s="13" t="s">
        <v>36</v>
      </c>
      <c r="O4386" s="13" t="s">
        <v>156</v>
      </c>
      <c r="P4386" s="26" t="n">
        <v>5195401</v>
      </c>
      <c r="Q4386" s="20" t="s">
        <v>17973</v>
      </c>
      <c r="R4386" s="13" t="s">
        <v>78</v>
      </c>
      <c r="S4386" s="25" t="n">
        <v>38835</v>
      </c>
      <c r="T4386" s="13" t="s">
        <v>40</v>
      </c>
      <c r="U4386" s="13" t="s">
        <v>17974</v>
      </c>
      <c r="V4386" s="13" t="s">
        <v>42</v>
      </c>
      <c r="W4386" s="13" t="s">
        <v>43</v>
      </c>
      <c r="X4386" s="21" t="n">
        <v>88803013702</v>
      </c>
      <c r="Y4386" s="22" t="str">
        <f aca="false">O4386</f>
        <v>Emulsion</v>
      </c>
      <c r="Z4386" s="13" t="str">
        <f aca="false">IFERROR(__xludf.dummyfunction("if(BJ4386="""","""",GOOGLETRANSLATE(BJ4386,""auto"",""en""))"),"Emulsion")</f>
        <v>Emulsion</v>
      </c>
      <c r="AA4386" s="23" t="str">
        <f aca="false">IF(C4386="","", CHOOSE(MONTH(C4386),"January","February","March","April","May","June","July","August","September","October","November","December")&amp;" "&amp;DAY(C4386)&amp;MID("thstndrdth",MIN(9,2*RIGHT(DAY(C4386))*(MOD(DAY(C4386)-11,100)&gt;2)+1),2)&amp;","&amp;TEXT(C4386," yyyy"))</f>
        <v>October 22nd,2026</v>
      </c>
      <c r="AB4386" s="15" t="str">
        <f aca="true">IF(S4386="","",DATEDIF(S4386,TODAY(),"Y")&amp;" Tahun, "&amp;DATEDIF(S4386,TODAY(),"YM")&amp;" Bulan, "&amp;DATEDIF(S4386,TODAY(),"MD")&amp;" Hari")</f>
        <v>20 Tahun, 6 Bulan, 1 Hari</v>
      </c>
      <c r="AC4386" s="14" t="n">
        <v>46317</v>
      </c>
      <c r="AD4386" s="18" t="n">
        <f aca="false">EDATE(AC4386,3)-1</f>
        <v>46408</v>
      </c>
      <c r="AE4386" s="13" t="s">
        <v>4022</v>
      </c>
    </row>
    <row r="4387" customFormat="false" ht="15" hidden="false" customHeight="true" outlineLevel="0" collapsed="false">
      <c r="A4387" s="12" t="n">
        <v>23022</v>
      </c>
      <c r="B4387" s="13" t="s">
        <v>17975</v>
      </c>
      <c r="C4387" s="14" t="n">
        <v>46321</v>
      </c>
      <c r="D4387" s="13" t="s">
        <v>11620</v>
      </c>
      <c r="E4387" s="13" t="s">
        <v>47</v>
      </c>
      <c r="F4387" s="24" t="s">
        <v>17976</v>
      </c>
      <c r="G4387" s="13" t="s">
        <v>1127</v>
      </c>
      <c r="H4387" s="13" t="s">
        <v>35</v>
      </c>
      <c r="I4387" s="13" t="str">
        <f aca="false">IF(C4387=J4387,"NEW KONTRAK","RE-KONTRAK")</f>
        <v>NEW KONTRAK</v>
      </c>
      <c r="J4387" s="16" t="n">
        <f aca="false" t="array" ref="J4387:J4387">IFERROR(INDEX(AC4387:AE4387,IF(COUNTA(AC4387:AE4387)=0,"",MAX((AC4387:AE4387&lt;&gt;"")*(COLUMN(AC4387:AE4387)-(COLUMN(AC4387)))))-1),"")</f>
        <v>46321</v>
      </c>
      <c r="K4387" s="16" t="n">
        <f aca="false" t="array" ref="K4387:K4387">IFERROR(INDEX(AC4387:AE4387,IF(COUNTA(AC4387:AE4387)=0,"",MAX((AC4387:AE4387&lt;&gt;"")*(COLUMN(AC4387:AE4387)-(COLUMN(AC4387)-1))))-1),"")</f>
        <v>46387</v>
      </c>
      <c r="L4387" s="17" t="str">
        <f aca="false" t="array" ref="L4387:L4387">IFERROR(INDEX(AC4387:AE4387,IF(COUNTA(AC4387:AE4387)=0,"",MAX((AC4387:AE4387&lt;&gt;"")*(COLUMN(AC4387:AE4387)-(COLUMN(AC4387)-2))))-1),"")</f>
        <v>KEMBALI</v>
      </c>
      <c r="M4387" s="13" t="n">
        <f aca="true">K4387-TODAY()</f>
        <v>63</v>
      </c>
      <c r="N4387" s="13" t="s">
        <v>36</v>
      </c>
      <c r="O4387" s="13" t="s">
        <v>17064</v>
      </c>
      <c r="P4387" s="26" t="n">
        <v>199823</v>
      </c>
      <c r="Q4387" s="20" t="s">
        <v>17977</v>
      </c>
      <c r="R4387" s="13" t="s">
        <v>255</v>
      </c>
      <c r="S4387" s="25" t="n">
        <v>36048</v>
      </c>
      <c r="T4387" s="13" t="s">
        <v>40</v>
      </c>
      <c r="U4387" s="13" t="s">
        <v>17978</v>
      </c>
      <c r="V4387" s="13" t="s">
        <v>42</v>
      </c>
      <c r="W4387" s="13" t="s">
        <v>54</v>
      </c>
      <c r="X4387" s="21" t="s">
        <v>17979</v>
      </c>
      <c r="Y4387" s="22" t="str">
        <f aca="false">O4387</f>
        <v>Operator Tubular</v>
      </c>
      <c r="Z4387" s="13" t="str">
        <f aca="false">IFERROR(__xludf.dummyfunction("if(BJ4387="""","""",GOOGLETRANSLATE(BJ4387,""auto"",""en""))"),"Operator Tubular")</f>
        <v>Operator Tubular</v>
      </c>
      <c r="AA4387" s="23" t="str">
        <f aca="false">IF(C4387="","", CHOOSE(MONTH(C4387),"January","February","March","April","May","June","July","August","September","October","November","December")&amp;" "&amp;DAY(C4387)&amp;MID("thstndrdth",MIN(9,2*RIGHT(DAY(C4387))*(MOD(DAY(C4387)-11,100)&gt;2)+1),2)&amp;","&amp;TEXT(C4387," yyyy"))</f>
        <v>October 26th,2026</v>
      </c>
      <c r="AB4387" s="15" t="str">
        <f aca="true">IF(S4387="","",DATEDIF(S4387,TODAY(),"Y")&amp;" Tahun, "&amp;DATEDIF(S4387,TODAY(),"YM")&amp;" Bulan, "&amp;DATEDIF(S4387,TODAY(),"MD")&amp;" Hari")</f>
        <v>28 Tahun, 1 Bulan, 19 Hari</v>
      </c>
      <c r="AC4387" s="14" t="n">
        <v>46321</v>
      </c>
      <c r="AD4387" s="18" t="n">
        <v>46387</v>
      </c>
      <c r="AE4387" s="13" t="s">
        <v>397</v>
      </c>
    </row>
    <row r="4388" customFormat="false" ht="15" hidden="false" customHeight="true" outlineLevel="0" collapsed="false">
      <c r="A4388" s="12" t="n">
        <v>23023</v>
      </c>
      <c r="B4388" s="13" t="s">
        <v>17980</v>
      </c>
      <c r="C4388" s="14" t="n">
        <v>46318</v>
      </c>
      <c r="D4388" s="13" t="s">
        <v>8240</v>
      </c>
      <c r="E4388" s="13" t="s">
        <v>47</v>
      </c>
      <c r="F4388" s="24" t="s">
        <v>17981</v>
      </c>
      <c r="G4388" s="13" t="s">
        <v>1127</v>
      </c>
      <c r="H4388" s="13" t="s">
        <v>35</v>
      </c>
      <c r="I4388" s="13" t="str">
        <f aca="false">IF(C4388=J4388,"NEW KONTRAK","RE-KONTRAK")</f>
        <v>NEW KONTRAK</v>
      </c>
      <c r="J4388" s="16" t="n">
        <f aca="false" t="array" ref="J4388:J4388">IFERROR(INDEX(AC4388:AE4388,IF(COUNTA(AC4388:AE4388)=0,"",MAX((AC4388:AE4388&lt;&gt;"")*(COLUMN(AC4388:AE4388)-(COLUMN(AC4388)))))-1),"")</f>
        <v>46318</v>
      </c>
      <c r="K4388" s="16" t="n">
        <f aca="false" t="array" ref="K4388:K4388">IFERROR(INDEX(AC4388:AE4388,IF(COUNTA(AC4388:AE4388)=0,"",MAX((AC4388:AE4388&lt;&gt;"")*(COLUMN(AC4388:AE4388)-(COLUMN(AC4388)-1))))-1),"")</f>
        <v>46409</v>
      </c>
      <c r="L4388" s="17" t="str">
        <f aca="false" t="array" ref="L4388:L4388">IFERROR(INDEX(AC4388:AE4388,IF(COUNTA(AC4388:AE4388)=0,"",MAX((AC4388:AE4388&lt;&gt;"")*(COLUMN(AC4388:AE4388)-(COLUMN(AC4388)-2))))-1),"")</f>
        <v>DRAFTED</v>
      </c>
      <c r="M4388" s="13" t="n">
        <f aca="true">K4388-TODAY()</f>
        <v>85</v>
      </c>
      <c r="N4388" s="13" t="s">
        <v>36</v>
      </c>
      <c r="O4388" s="13" t="s">
        <v>4274</v>
      </c>
      <c r="P4388" s="26" t="n">
        <v>200000</v>
      </c>
      <c r="Q4388" s="20" t="s">
        <v>17982</v>
      </c>
      <c r="R4388" s="13" t="s">
        <v>324</v>
      </c>
      <c r="S4388" s="25" t="n">
        <v>33330</v>
      </c>
      <c r="T4388" s="13" t="s">
        <v>40</v>
      </c>
      <c r="U4388" s="13" t="s">
        <v>17983</v>
      </c>
      <c r="V4388" s="13" t="s">
        <v>42</v>
      </c>
      <c r="W4388" s="13" t="s">
        <v>43</v>
      </c>
      <c r="X4388" s="21" t="n">
        <v>83833833818</v>
      </c>
      <c r="Y4388" s="22" t="str">
        <f aca="false">O4388</f>
        <v>Operator Extruder</v>
      </c>
      <c r="Z4388" s="13" t="str">
        <f aca="false">IFERROR(__xludf.dummyfunction("if(BJ4388="""","""",GOOGLETRANSLATE(BJ4388,""auto"",""en""))"),"Operator Extruder")</f>
        <v>Operator Extruder</v>
      </c>
      <c r="AA4388" s="23" t="str">
        <f aca="false">IF(C4388="","", CHOOSE(MONTH(C4388),"January","February","March","April","May","June","July","August","September","October","November","December")&amp;" "&amp;DAY(C4388)&amp;MID("thstndrdth",MIN(9,2*RIGHT(DAY(C4388))*(MOD(DAY(C4388)-11,100)&gt;2)+1),2)&amp;","&amp;TEXT(C4388," yyyy"))</f>
        <v>October 23rd,2026</v>
      </c>
      <c r="AB4388" s="15" t="str">
        <f aca="true">IF(S4388="","",DATEDIF(S4388,TODAY(),"Y")&amp;" Tahun, "&amp;DATEDIF(S4388,TODAY(),"YM")&amp;" Bulan, "&amp;DATEDIF(S4388,TODAY(),"MD")&amp;" Hari")</f>
        <v>35 Tahun, 6 Bulan, 27 Hari</v>
      </c>
      <c r="AC4388" s="14" t="n">
        <v>46318</v>
      </c>
      <c r="AD4388" s="18" t="n">
        <v>46409</v>
      </c>
      <c r="AE4388" s="13" t="s">
        <v>4022</v>
      </c>
    </row>
    <row r="4389" customFormat="false" ht="15" hidden="false" customHeight="true" outlineLevel="0" collapsed="false">
      <c r="A4389" s="12" t="n">
        <v>3040</v>
      </c>
      <c r="B4389" s="131" t="s">
        <v>17984</v>
      </c>
      <c r="C4389" s="14" t="n">
        <v>44260</v>
      </c>
      <c r="D4389" s="13" t="s">
        <v>2033</v>
      </c>
      <c r="E4389" s="15" t="s">
        <v>47</v>
      </c>
      <c r="F4389" s="15" t="str">
        <f aca="false">IFERROR(__xludf.dummyfunction("XLOOKUP(AJ4389,IMPORTRANGE(""1XaInW9DU9nz21V0tYIfzFQ0He9kVQ_JF2mCXgZ3hqFA"",""REKAP ALL 2026 - Andika!G:G""),IMPORTRANGE(""1XaInW9DU9nz21V0tYIfzFQ0He9kVQ_JF2mCXgZ3hqFA"",""REKAP ALL 2026 - Andika!F:F""),"""",0)"),"20026978211")</f>
        <v>20026978211</v>
      </c>
      <c r="G4389" s="13" t="s">
        <v>17985</v>
      </c>
      <c r="H4389" s="13" t="s">
        <v>2035</v>
      </c>
      <c r="I4389" s="13" t="str">
        <f aca="false">IF(C4389=J4389,"NEW KONTRAK","RE-KONTRAK")</f>
        <v>RE-KONTRAK</v>
      </c>
      <c r="J4389" s="16" t="n">
        <f aca="false" t="array" ref="J4389:J4389">IFERROR(INDEX(AC4389:AE4389,IF(COUNTA(AC4389:AE4389)=0,"",MAX((AC4389:AE4389&lt;&gt;"")*(COLUMN(AC4389:AE4389)-(COLUMN(AC4389)))))-1),"")</f>
        <v>45744</v>
      </c>
      <c r="K4389" s="16" t="n">
        <f aca="false" t="array" ref="K4389:K4389">IFERROR(INDEX(AC4389:AE4389,IF(COUNTA(AC4389:AE4389)=0,"",MAX((AC4389:AE4389&lt;&gt;"")*(COLUMN(AC4389:AE4389)-(COLUMN(AC4389)-1))))-1),"")</f>
        <v>45915</v>
      </c>
      <c r="L4389" s="17" t="str">
        <f aca="false" t="array" ref="L4389:L4389">IFERROR(INDEX(AC4389:AE4389,IF(COUNTA(AC4389:AE4389)=0,"",MAX((AC4389:AE4389&lt;&gt;"")*(COLUMN(AC4389:AE4389)-(COLUMN(AC4389)-2))))-1),"")</f>
        <v>ARCHIVED</v>
      </c>
      <c r="M4389" s="13" t="n">
        <f aca="true">K4389-TODAY()</f>
        <v>-409</v>
      </c>
      <c r="N4389" s="18" t="s">
        <v>3703</v>
      </c>
      <c r="O4389" s="13" t="s">
        <v>2037</v>
      </c>
      <c r="P4389" s="19" t="n">
        <v>3122805</v>
      </c>
      <c r="Q4389" s="20" t="s">
        <v>17986</v>
      </c>
      <c r="R4389" s="13" t="s">
        <v>5930</v>
      </c>
      <c r="S4389" s="14" t="n">
        <v>35697</v>
      </c>
      <c r="T4389" s="13" t="s">
        <v>108</v>
      </c>
      <c r="U4389" s="13" t="s">
        <v>17987</v>
      </c>
      <c r="V4389" s="13" t="s">
        <v>42</v>
      </c>
      <c r="W4389" s="13" t="s">
        <v>43</v>
      </c>
      <c r="X4389" s="21" t="n">
        <v>82137778098</v>
      </c>
      <c r="Y4389" s="22" t="str">
        <f aca="false">O4389</f>
        <v>SPG/BA</v>
      </c>
      <c r="Z4389" s="13" t="str">
        <f aca="false">IFERROR(__xludf.dummyfunction("if(BJ4389="""","""",GOOGLETRANSLATE(BJ4389,""auto"",""en""))"),"SPG/BA")</f>
        <v>SPG/BA</v>
      </c>
      <c r="AA4389" s="23" t="str">
        <f aca="false">IF(C4389="","", CHOOSE(MONTH(C4389),"January","February","March","April","May","June","July","August","September","October","November","December")&amp;" "&amp;DAY(C4389)&amp;MID("thstndrdth",MIN(9,2*RIGHT(DAY(C4389))*(MOD(DAY(C4389)-11,100)&gt;2)+1),2)&amp;","&amp;TEXT(C4389," yyyy"))</f>
        <v>March 5th,2021</v>
      </c>
      <c r="AB4389" s="15" t="str">
        <f aca="true">IF(S4389="","",DATEDIF(S4389,TODAY(),"Y")&amp;" Tahun, "&amp;DATEDIF(S4389,TODAY(),"YM")&amp;" Bulan, "&amp;DATEDIF(S4389,TODAY(),"MD")&amp;" Hari")</f>
        <v>29 Tahun, 1 Bulan, 5 Hari</v>
      </c>
      <c r="AC4389" s="18" t="n">
        <v>45744</v>
      </c>
      <c r="AD4389" s="18" t="n">
        <v>45915</v>
      </c>
      <c r="AE4389" s="18" t="s">
        <v>44</v>
      </c>
    </row>
    <row r="4390" customFormat="false" ht="15" hidden="false" customHeight="true" outlineLevel="0" collapsed="false">
      <c r="A4390" s="12" t="n">
        <v>23025</v>
      </c>
      <c r="B4390" s="13" t="s">
        <v>17988</v>
      </c>
      <c r="C4390" s="14" t="n">
        <v>46316</v>
      </c>
      <c r="D4390" s="13" t="s">
        <v>144</v>
      </c>
      <c r="E4390" s="13" t="s">
        <v>47</v>
      </c>
      <c r="F4390" s="24" t="s">
        <v>17989</v>
      </c>
      <c r="G4390" s="13" t="s">
        <v>1127</v>
      </c>
      <c r="H4390" s="13" t="s">
        <v>35</v>
      </c>
      <c r="I4390" s="13" t="str">
        <f aca="false">IF(C4390=J4390,"NEW KONTRAK","RE-KONTRAK")</f>
        <v>NEW KONTRAK</v>
      </c>
      <c r="J4390" s="16" t="n">
        <f aca="false" t="array" ref="J4390:J4390">IFERROR(INDEX(AC4390:AE4390,IF(COUNTA(AC4390:AE4390)=0,"",MAX((AC4390:AE4390&lt;&gt;"")*(COLUMN(AC4390:AE4390)-(COLUMN(AC4390)))))-1),"")</f>
        <v>46316</v>
      </c>
      <c r="K4390" s="16" t="n">
        <f aca="false" t="array" ref="K4390:K4390">IFERROR(INDEX(AC4390:AE4390,IF(COUNTA(AC4390:AE4390)=0,"",MAX((AC4390:AE4390&lt;&gt;"")*(COLUMN(AC4390:AE4390)-(COLUMN(AC4390)-1))))-1),"")</f>
        <v>46407</v>
      </c>
      <c r="L4390" s="17" t="str">
        <f aca="false" t="array" ref="L4390:L4390">IFERROR(INDEX(AC4390:AE4390,IF(COUNTA(AC4390:AE4390)=0,"",MAX((AC4390:AE4390&lt;&gt;"")*(COLUMN(AC4390:AE4390)-(COLUMN(AC4390)-2))))-1),"")</f>
        <v>DRAFTED</v>
      </c>
      <c r="M4390" s="13" t="n">
        <f aca="true">K4390-TODAY()</f>
        <v>83</v>
      </c>
      <c r="N4390" s="13" t="s">
        <v>36</v>
      </c>
      <c r="O4390" s="13" t="s">
        <v>156</v>
      </c>
      <c r="P4390" s="26" t="n">
        <v>5195401</v>
      </c>
      <c r="Q4390" s="20" t="s">
        <v>17990</v>
      </c>
      <c r="R4390" s="13" t="s">
        <v>65</v>
      </c>
      <c r="S4390" s="25" t="n">
        <v>37981</v>
      </c>
      <c r="T4390" s="13" t="s">
        <v>40</v>
      </c>
      <c r="U4390" s="13" t="s">
        <v>17991</v>
      </c>
      <c r="V4390" s="13" t="s">
        <v>42</v>
      </c>
      <c r="W4390" s="13" t="s">
        <v>43</v>
      </c>
      <c r="X4390" s="21" t="n">
        <v>89528446817</v>
      </c>
      <c r="Y4390" s="22" t="str">
        <f aca="false">O4390</f>
        <v>Emulsion</v>
      </c>
      <c r="Z4390" s="13" t="str">
        <f aca="false">IFERROR(__xludf.dummyfunction("if(BJ4390="""","""",GOOGLETRANSLATE(BJ4390,""auto"",""en""))"),"Emulsion")</f>
        <v>Emulsion</v>
      </c>
      <c r="AA4390" s="23" t="str">
        <f aca="false">IF(C4390="","", CHOOSE(MONTH(C4390),"January","February","March","April","May","June","July","August","September","October","November","December")&amp;" "&amp;DAY(C4390)&amp;MID("thstndrdth",MIN(9,2*RIGHT(DAY(C4390))*(MOD(DAY(C4390)-11,100)&gt;2)+1),2)&amp;","&amp;TEXT(C4390," yyyy"))</f>
        <v>October 21st,2026</v>
      </c>
      <c r="AB4390" s="15" t="str">
        <f aca="true">IF(S4390="","",DATEDIF(S4390,TODAY(),"Y")&amp;" Tahun, "&amp;DATEDIF(S4390,TODAY(),"YM")&amp;" Bulan, "&amp;DATEDIF(S4390,TODAY(),"MD")&amp;" Hari")</f>
        <v>22 Tahun, 10 Bulan, 3 Hari</v>
      </c>
      <c r="AC4390" s="14" t="n">
        <v>46316</v>
      </c>
      <c r="AD4390" s="18" t="n">
        <f aca="false">EDATE(AC4390,3)-1</f>
        <v>46407</v>
      </c>
      <c r="AE4390" s="13" t="s">
        <v>4022</v>
      </c>
    </row>
    <row r="4391" customFormat="false" ht="15" hidden="false" customHeight="true" outlineLevel="0" collapsed="false">
      <c r="A4391" s="12" t="n">
        <v>23026</v>
      </c>
      <c r="B4391" s="13" t="s">
        <v>17992</v>
      </c>
      <c r="C4391" s="14" t="n">
        <v>46316</v>
      </c>
      <c r="D4391" s="13" t="s">
        <v>144</v>
      </c>
      <c r="E4391" s="13" t="s">
        <v>47</v>
      </c>
      <c r="F4391" s="24" t="s">
        <v>17993</v>
      </c>
      <c r="G4391" s="13" t="s">
        <v>1127</v>
      </c>
      <c r="H4391" s="13" t="s">
        <v>35</v>
      </c>
      <c r="I4391" s="13" t="str">
        <f aca="false">IF(C4391=J4391,"NEW KONTRAK","RE-KONTRAK")</f>
        <v>NEW KONTRAK</v>
      </c>
      <c r="J4391" s="16" t="n">
        <f aca="false" t="array" ref="J4391:J4391">IFERROR(INDEX(AC4391:AE4391,IF(COUNTA(AC4391:AE4391)=0,"",MAX((AC4391:AE4391&lt;&gt;"")*(COLUMN(AC4391:AE4391)-(COLUMN(AC4391)))))-1),"")</f>
        <v>46316</v>
      </c>
      <c r="K4391" s="16" t="n">
        <f aca="false" t="array" ref="K4391:K4391">IFERROR(INDEX(AC4391:AE4391,IF(COUNTA(AC4391:AE4391)=0,"",MAX((AC4391:AE4391&lt;&gt;"")*(COLUMN(AC4391:AE4391)-(COLUMN(AC4391)-1))))-1),"")</f>
        <v>46407</v>
      </c>
      <c r="L4391" s="17" t="str">
        <f aca="false" t="array" ref="L4391:L4391">IFERROR(INDEX(AC4391:AE4391,IF(COUNTA(AC4391:AE4391)=0,"",MAX((AC4391:AE4391&lt;&gt;"")*(COLUMN(AC4391:AE4391)-(COLUMN(AC4391)-2))))-1),"")</f>
        <v>DRAFTED</v>
      </c>
      <c r="M4391" s="13" t="n">
        <f aca="true">K4391-TODAY()</f>
        <v>83</v>
      </c>
      <c r="N4391" s="13" t="s">
        <v>36</v>
      </c>
      <c r="O4391" s="13" t="s">
        <v>156</v>
      </c>
      <c r="P4391" s="26" t="n">
        <v>5195401</v>
      </c>
      <c r="Q4391" s="20" t="s">
        <v>17994</v>
      </c>
      <c r="R4391" s="13" t="s">
        <v>65</v>
      </c>
      <c r="S4391" s="25" t="n">
        <v>37984</v>
      </c>
      <c r="T4391" s="13" t="s">
        <v>40</v>
      </c>
      <c r="U4391" s="13" t="s">
        <v>17995</v>
      </c>
      <c r="V4391" s="13" t="s">
        <v>42</v>
      </c>
      <c r="W4391" s="13" t="s">
        <v>43</v>
      </c>
      <c r="X4391" s="21" t="n">
        <v>85704578952</v>
      </c>
      <c r="Y4391" s="22" t="str">
        <f aca="false">O4391</f>
        <v>Emulsion</v>
      </c>
      <c r="Z4391" s="13" t="str">
        <f aca="false">IFERROR(__xludf.dummyfunction("if(BJ4391="""","""",GOOGLETRANSLATE(BJ4391,""auto"",""en""))"),"Emulsion")</f>
        <v>Emulsion</v>
      </c>
      <c r="AA4391" s="23" t="str">
        <f aca="false">IF(C4391="","", CHOOSE(MONTH(C4391),"January","February","March","April","May","June","July","August","September","October","November","December")&amp;" "&amp;DAY(C4391)&amp;MID("thstndrdth",MIN(9,2*RIGHT(DAY(C4391))*(MOD(DAY(C4391)-11,100)&gt;2)+1),2)&amp;","&amp;TEXT(C4391," yyyy"))</f>
        <v>October 21st,2026</v>
      </c>
      <c r="AB4391" s="15" t="str">
        <f aca="true">IF(S4391="","",DATEDIF(S4391,TODAY(),"Y")&amp;" Tahun, "&amp;DATEDIF(S4391,TODAY(),"YM")&amp;" Bulan, "&amp;DATEDIF(S4391,TODAY(),"MD")&amp;" Hari")</f>
        <v>22 Tahun, 10 Bulan, 0 Hari</v>
      </c>
      <c r="AC4391" s="14" t="n">
        <v>46316</v>
      </c>
      <c r="AD4391" s="18" t="n">
        <f aca="false">EDATE(AC4391,3)-1</f>
        <v>46407</v>
      </c>
      <c r="AE4391" s="13" t="s">
        <v>4022</v>
      </c>
    </row>
    <row r="4392" customFormat="false" ht="15" hidden="false" customHeight="true" outlineLevel="0" collapsed="false">
      <c r="A4392" s="12" t="n">
        <v>23027</v>
      </c>
      <c r="B4392" s="13" t="s">
        <v>17996</v>
      </c>
      <c r="C4392" s="14" t="n">
        <v>46321</v>
      </c>
      <c r="D4392" s="13" t="s">
        <v>8240</v>
      </c>
      <c r="E4392" s="13" t="s">
        <v>47</v>
      </c>
      <c r="F4392" s="24" t="s">
        <v>17997</v>
      </c>
      <c r="G4392" s="13" t="s">
        <v>1127</v>
      </c>
      <c r="H4392" s="13" t="s">
        <v>35</v>
      </c>
      <c r="I4392" s="13" t="str">
        <f aca="false">IF(C4392=J4392,"NEW KONTRAK","RE-KONTRAK")</f>
        <v>NEW KONTRAK</v>
      </c>
      <c r="J4392" s="16" t="n">
        <f aca="false" t="array" ref="J4392:J4392">IFERROR(INDEX(AC4392:AE4392,IF(COUNTA(AC4392:AE4392)=0,"",MAX((AC4392:AE4392&lt;&gt;"")*(COLUMN(AC4392:AE4392)-(COLUMN(AC4392)))))-1),"")</f>
        <v>46321</v>
      </c>
      <c r="K4392" s="16" t="n">
        <f aca="false" t="array" ref="K4392:K4392">IFERROR(INDEX(AC4392:AE4392,IF(COUNTA(AC4392:AE4392)=0,"",MAX((AC4392:AE4392&lt;&gt;"")*(COLUMN(AC4392:AE4392)-(COLUMN(AC4392)-1))))-1),"")</f>
        <v>46412</v>
      </c>
      <c r="L4392" s="17" t="str">
        <f aca="false" t="array" ref="L4392:L4392">IFERROR(INDEX(AC4392:AE4392,IF(COUNTA(AC4392:AE4392)=0,"",MAX((AC4392:AE4392&lt;&gt;"")*(COLUMN(AC4392:AE4392)-(COLUMN(AC4392)-2))))-1),"")</f>
        <v>DRAFTED</v>
      </c>
      <c r="M4392" s="13" t="n">
        <f aca="true">K4392-TODAY()</f>
        <v>88</v>
      </c>
      <c r="N4392" s="13" t="s">
        <v>36</v>
      </c>
      <c r="O4392" s="13" t="s">
        <v>4280</v>
      </c>
      <c r="P4392" s="26" t="n">
        <v>120000</v>
      </c>
      <c r="Q4392" s="20" t="s">
        <v>17998</v>
      </c>
      <c r="R4392" s="13" t="s">
        <v>241</v>
      </c>
      <c r="S4392" s="25" t="n">
        <v>38083</v>
      </c>
      <c r="T4392" s="13" t="s">
        <v>108</v>
      </c>
      <c r="U4392" s="13" t="s">
        <v>17999</v>
      </c>
      <c r="V4392" s="13" t="s">
        <v>42</v>
      </c>
      <c r="W4392" s="13" t="s">
        <v>43</v>
      </c>
      <c r="X4392" s="21" t="n">
        <v>85855348707</v>
      </c>
      <c r="Y4392" s="22" t="str">
        <f aca="false">O4392</f>
        <v>Helper Cutting</v>
      </c>
      <c r="Z4392" s="13" t="str">
        <f aca="false">IFERROR(__xludf.dummyfunction("if(BJ4392="""","""",GOOGLETRANSLATE(BJ4392,""auto"",""en""))"),"Helper Cutting")</f>
        <v>Helper Cutting</v>
      </c>
      <c r="AA4392" s="23" t="str">
        <f aca="false">IF(C4392="","", CHOOSE(MONTH(C4392),"January","February","March","April","May","June","July","August","September","October","November","December")&amp;" "&amp;DAY(C4392)&amp;MID("thstndrdth",MIN(9,2*RIGHT(DAY(C4392))*(MOD(DAY(C4392)-11,100)&gt;2)+1),2)&amp;","&amp;TEXT(C4392," yyyy"))</f>
        <v>October 26th,2026</v>
      </c>
      <c r="AB4392" s="15" t="str">
        <f aca="true">IF(S4392="","",DATEDIF(S4392,TODAY(),"Y")&amp;" Tahun, "&amp;DATEDIF(S4392,TODAY(),"YM")&amp;" Bulan, "&amp;DATEDIF(S4392,TODAY(),"MD")&amp;" Hari")</f>
        <v>22 Tahun, 6 Bulan, 23 Hari</v>
      </c>
      <c r="AC4392" s="14" t="n">
        <v>46321</v>
      </c>
      <c r="AD4392" s="18" t="n">
        <f aca="false">EDATE(AC4392,3)-1</f>
        <v>46412</v>
      </c>
      <c r="AE4392" s="13" t="s">
        <v>4022</v>
      </c>
    </row>
    <row r="4393" customFormat="false" ht="15" hidden="false" customHeight="true" outlineLevel="0" collapsed="false">
      <c r="A4393" s="12" t="n">
        <v>23028</v>
      </c>
      <c r="B4393" s="13" t="s">
        <v>18000</v>
      </c>
      <c r="C4393" s="14" t="n">
        <v>46319</v>
      </c>
      <c r="D4393" s="13" t="s">
        <v>8240</v>
      </c>
      <c r="E4393" s="13" t="s">
        <v>47</v>
      </c>
      <c r="F4393" s="24" t="s">
        <v>18001</v>
      </c>
      <c r="G4393" s="13" t="s">
        <v>1127</v>
      </c>
      <c r="H4393" s="13" t="s">
        <v>35</v>
      </c>
      <c r="I4393" s="13" t="str">
        <f aca="false">IF(C4393=J4393,"NEW KONTRAK","RE-KONTRAK")</f>
        <v>NEW KONTRAK</v>
      </c>
      <c r="J4393" s="16" t="n">
        <f aca="false" t="array" ref="J4393:J4393">IFERROR(INDEX(AC4393:AE4393,IF(COUNTA(AC4393:AE4393)=0,"",MAX((AC4393:AE4393&lt;&gt;"")*(COLUMN(AC4393:AE4393)-(COLUMN(AC4393)))))-1),"")</f>
        <v>46319</v>
      </c>
      <c r="K4393" s="16" t="n">
        <f aca="false" t="array" ref="K4393:K4393">IFERROR(INDEX(AC4393:AE4393,IF(COUNTA(AC4393:AE4393)=0,"",MAX((AC4393:AE4393&lt;&gt;"")*(COLUMN(AC4393:AE4393)-(COLUMN(AC4393)-1))))-1),"")</f>
        <v>46410</v>
      </c>
      <c r="L4393" s="17" t="str">
        <f aca="false" t="array" ref="L4393:L4393">IFERROR(INDEX(AC4393:AE4393,IF(COUNTA(AC4393:AE4393)=0,"",MAX((AC4393:AE4393&lt;&gt;"")*(COLUMN(AC4393:AE4393)-(COLUMN(AC4393)-2))))-1),"")</f>
        <v>DRAFTED</v>
      </c>
      <c r="M4393" s="13" t="n">
        <f aca="true">K4393-TODAY()</f>
        <v>86</v>
      </c>
      <c r="N4393" s="13" t="s">
        <v>36</v>
      </c>
      <c r="O4393" s="13" t="s">
        <v>4280</v>
      </c>
      <c r="P4393" s="26" t="n">
        <v>120000</v>
      </c>
      <c r="Q4393" s="20" t="s">
        <v>18002</v>
      </c>
      <c r="R4393" s="13" t="s">
        <v>39</v>
      </c>
      <c r="S4393" s="25" t="n">
        <v>34149</v>
      </c>
      <c r="T4393" s="13" t="s">
        <v>108</v>
      </c>
      <c r="U4393" s="13" t="s">
        <v>18003</v>
      </c>
      <c r="V4393" s="13" t="s">
        <v>42</v>
      </c>
      <c r="W4393" s="13" t="s">
        <v>54</v>
      </c>
      <c r="X4393" s="21" t="n">
        <v>85732574033</v>
      </c>
      <c r="Y4393" s="22" t="str">
        <f aca="false">O4393</f>
        <v>Helper Cutting</v>
      </c>
      <c r="Z4393" s="13" t="str">
        <f aca="false">IFERROR(__xludf.dummyfunction("if(BJ4393="""","""",GOOGLETRANSLATE(BJ4393,""auto"",""en""))"),"Helper Cutting")</f>
        <v>Helper Cutting</v>
      </c>
      <c r="AA4393" s="23" t="str">
        <f aca="false">IF(C4393="","", CHOOSE(MONTH(C4393),"January","February","March","April","May","June","July","August","September","October","November","December")&amp;" "&amp;DAY(C4393)&amp;MID("thstndrdth",MIN(9,2*RIGHT(DAY(C4393))*(MOD(DAY(C4393)-11,100)&gt;2)+1),2)&amp;","&amp;TEXT(C4393," yyyy"))</f>
        <v>October 24th,2026</v>
      </c>
      <c r="AB4393" s="15" t="str">
        <f aca="true">IF(S4393="","",DATEDIF(S4393,TODAY(),"Y")&amp;" Tahun, "&amp;DATEDIF(S4393,TODAY(),"YM")&amp;" Bulan, "&amp;DATEDIF(S4393,TODAY(),"MD")&amp;" Hari")</f>
        <v>33 Tahun, 4 Bulan, 0 Hari</v>
      </c>
      <c r="AC4393" s="14" t="n">
        <v>46319</v>
      </c>
      <c r="AD4393" s="18" t="n">
        <f aca="false">EDATE(AC4393,3)-1</f>
        <v>46410</v>
      </c>
      <c r="AE4393" s="13" t="s">
        <v>4022</v>
      </c>
    </row>
    <row r="4394" customFormat="false" ht="15" hidden="false" customHeight="true" outlineLevel="0" collapsed="false">
      <c r="A4394" s="12" t="n">
        <v>23029</v>
      </c>
      <c r="B4394" s="13" t="s">
        <v>18004</v>
      </c>
      <c r="C4394" s="14" t="n">
        <v>46318</v>
      </c>
      <c r="D4394" s="13" t="s">
        <v>8240</v>
      </c>
      <c r="E4394" s="13" t="s">
        <v>47</v>
      </c>
      <c r="F4394" s="24" t="s">
        <v>18005</v>
      </c>
      <c r="G4394" s="13" t="s">
        <v>1127</v>
      </c>
      <c r="H4394" s="13" t="s">
        <v>35</v>
      </c>
      <c r="I4394" s="13" t="str">
        <f aca="false">IF(C4394=J4394,"NEW KONTRAK","RE-KONTRAK")</f>
        <v>NEW KONTRAK</v>
      </c>
      <c r="J4394" s="16" t="n">
        <f aca="false" t="array" ref="J4394:J4394">IFERROR(INDEX(AC4394:AE4394,IF(COUNTA(AC4394:AE4394)=0,"",MAX((AC4394:AE4394&lt;&gt;"")*(COLUMN(AC4394:AE4394)-(COLUMN(AC4394)))))-1),"")</f>
        <v>46318</v>
      </c>
      <c r="K4394" s="16" t="n">
        <f aca="false" t="array" ref="K4394:K4394">IFERROR(INDEX(AC4394:AE4394,IF(COUNTA(AC4394:AE4394)=0,"",MAX((AC4394:AE4394&lt;&gt;"")*(COLUMN(AC4394:AE4394)-(COLUMN(AC4394)-1))))-1),"")</f>
        <v>46409</v>
      </c>
      <c r="L4394" s="17" t="str">
        <f aca="false" t="array" ref="L4394:L4394">IFERROR(INDEX(AC4394:AE4394,IF(COUNTA(AC4394:AE4394)=0,"",MAX((AC4394:AE4394&lt;&gt;"")*(COLUMN(AC4394:AE4394)-(COLUMN(AC4394)-2))))-1),"")</f>
        <v>DRAFTED</v>
      </c>
      <c r="M4394" s="13" t="n">
        <f aca="true">K4394-TODAY()</f>
        <v>85</v>
      </c>
      <c r="N4394" s="13" t="s">
        <v>36</v>
      </c>
      <c r="O4394" s="13" t="s">
        <v>4274</v>
      </c>
      <c r="P4394" s="26" t="n">
        <v>200000</v>
      </c>
      <c r="Q4394" s="20" t="s">
        <v>18006</v>
      </c>
      <c r="R4394" s="13" t="s">
        <v>260</v>
      </c>
      <c r="S4394" s="25" t="n">
        <v>38146</v>
      </c>
      <c r="T4394" s="13" t="s">
        <v>40</v>
      </c>
      <c r="U4394" s="13" t="s">
        <v>18007</v>
      </c>
      <c r="V4394" s="13" t="s">
        <v>42</v>
      </c>
      <c r="W4394" s="13" t="s">
        <v>43</v>
      </c>
      <c r="X4394" s="21" t="n">
        <v>81233964546</v>
      </c>
      <c r="Y4394" s="22" t="str">
        <f aca="false">O4394</f>
        <v>Operator Extruder</v>
      </c>
      <c r="Z4394" s="13" t="str">
        <f aca="false">IFERROR(__xludf.dummyfunction("if(BJ4394="""","""",GOOGLETRANSLATE(BJ4394,""auto"",""en""))"),"Operator Extruder")</f>
        <v>Operator Extruder</v>
      </c>
      <c r="AA4394" s="23" t="str">
        <f aca="false">IF(C4394="","", CHOOSE(MONTH(C4394),"January","February","March","April","May","June","July","August","September","October","November","December")&amp;" "&amp;DAY(C4394)&amp;MID("thstndrdth",MIN(9,2*RIGHT(DAY(C4394))*(MOD(DAY(C4394)-11,100)&gt;2)+1),2)&amp;","&amp;TEXT(C4394," yyyy"))</f>
        <v>October 23rd,2026</v>
      </c>
      <c r="AB4394" s="15" t="str">
        <f aca="true">IF(S4394="","",DATEDIF(S4394,TODAY(),"Y")&amp;" Tahun, "&amp;DATEDIF(S4394,TODAY(),"YM")&amp;" Bulan, "&amp;DATEDIF(S4394,TODAY(),"MD")&amp;" Hari")</f>
        <v>22 Tahun, 4 Bulan, 21 Hari</v>
      </c>
      <c r="AC4394" s="14" t="n">
        <v>46318</v>
      </c>
      <c r="AD4394" s="18" t="n">
        <f aca="false">EDATE(AC4394,3)-1</f>
        <v>46409</v>
      </c>
      <c r="AE4394" s="13" t="s">
        <v>4022</v>
      </c>
    </row>
    <row r="4395" customFormat="false" ht="15" hidden="false" customHeight="true" outlineLevel="0" collapsed="false">
      <c r="A4395" s="12" t="n">
        <v>23030</v>
      </c>
      <c r="B4395" s="13" t="s">
        <v>18008</v>
      </c>
      <c r="C4395" s="14" t="n">
        <v>46316</v>
      </c>
      <c r="D4395" s="13" t="s">
        <v>144</v>
      </c>
      <c r="E4395" s="13" t="s">
        <v>47</v>
      </c>
      <c r="F4395" s="24" t="s">
        <v>18009</v>
      </c>
      <c r="G4395" s="13" t="s">
        <v>1127</v>
      </c>
      <c r="H4395" s="13" t="s">
        <v>35</v>
      </c>
      <c r="I4395" s="13" t="str">
        <f aca="false">IF(C4395=J4395,"NEW KONTRAK","RE-KONTRAK")</f>
        <v>NEW KONTRAK</v>
      </c>
      <c r="J4395" s="16" t="n">
        <f aca="false" t="array" ref="J4395:J4395">IFERROR(INDEX(AC4395:AE4395,IF(COUNTA(AC4395:AE4395)=0,"",MAX((AC4395:AE4395&lt;&gt;"")*(COLUMN(AC4395:AE4395)-(COLUMN(AC4395)))))-1),"")</f>
        <v>46316</v>
      </c>
      <c r="K4395" s="16" t="n">
        <f aca="false" t="array" ref="K4395:K4395">IFERROR(INDEX(AC4395:AE4395,IF(COUNTA(AC4395:AE4395)=0,"",MAX((AC4395:AE4395&lt;&gt;"")*(COLUMN(AC4395:AE4395)-(COLUMN(AC4395)-1))))-1),"")</f>
        <v>46407</v>
      </c>
      <c r="L4395" s="17" t="str">
        <f aca="false" t="array" ref="L4395:L4395">IFERROR(INDEX(AC4395:AE4395,IF(COUNTA(AC4395:AE4395)=0,"",MAX((AC4395:AE4395&lt;&gt;"")*(COLUMN(AC4395:AE4395)-(COLUMN(AC4395)-2))))-1),"")</f>
        <v>DRAFTED</v>
      </c>
      <c r="M4395" s="13" t="n">
        <f aca="true">K4395-TODAY()</f>
        <v>83</v>
      </c>
      <c r="N4395" s="13" t="s">
        <v>36</v>
      </c>
      <c r="O4395" s="13" t="s">
        <v>156</v>
      </c>
      <c r="P4395" s="26" t="n">
        <v>5195401</v>
      </c>
      <c r="Q4395" s="20" t="s">
        <v>18010</v>
      </c>
      <c r="R4395" s="13" t="s">
        <v>65</v>
      </c>
      <c r="S4395" s="25" t="n">
        <v>39120</v>
      </c>
      <c r="T4395" s="13" t="s">
        <v>40</v>
      </c>
      <c r="U4395" s="13" t="s">
        <v>18011</v>
      </c>
      <c r="V4395" s="13" t="s">
        <v>42</v>
      </c>
      <c r="W4395" s="13" t="s">
        <v>43</v>
      </c>
      <c r="X4395" s="21" t="n">
        <v>81233535245</v>
      </c>
      <c r="Y4395" s="22" t="str">
        <f aca="false">O4395</f>
        <v>Emulsion</v>
      </c>
      <c r="Z4395" s="13" t="str">
        <f aca="false">IFERROR(__xludf.dummyfunction("if(BJ4395="""","""",GOOGLETRANSLATE(BJ4395,""auto"",""en""))"),"Emulsion")</f>
        <v>Emulsion</v>
      </c>
      <c r="AA4395" s="23" t="str">
        <f aca="false">IF(C4395="","", CHOOSE(MONTH(C4395),"January","February","March","April","May","June","July","August","September","October","November","December")&amp;" "&amp;DAY(C4395)&amp;MID("thstndrdth",MIN(9,2*RIGHT(DAY(C4395))*(MOD(DAY(C4395)-11,100)&gt;2)+1),2)&amp;","&amp;TEXT(C4395," yyyy"))</f>
        <v>October 21st,2026</v>
      </c>
      <c r="AB4395" s="15" t="str">
        <f aca="true">IF(S4395="","",DATEDIF(S4395,TODAY(),"Y")&amp;" Tahun, "&amp;DATEDIF(S4395,TODAY(),"YM")&amp;" Bulan, "&amp;DATEDIF(S4395,TODAY(),"MD")&amp;" Hari")</f>
        <v>19 Tahun, 8 Bulan, 22 Hari</v>
      </c>
      <c r="AC4395" s="14" t="n">
        <v>46316</v>
      </c>
      <c r="AD4395" s="18" t="n">
        <f aca="false">EDATE(AC4395,3)-1</f>
        <v>46407</v>
      </c>
      <c r="AE4395" s="13" t="s">
        <v>4022</v>
      </c>
    </row>
    <row r="4396" customFormat="false" ht="15" hidden="false" customHeight="true" outlineLevel="0" collapsed="false">
      <c r="A4396" s="12" t="n">
        <v>23031</v>
      </c>
      <c r="B4396" s="13" t="s">
        <v>3906</v>
      </c>
      <c r="C4396" s="14" t="n">
        <v>46316</v>
      </c>
      <c r="D4396" s="13" t="s">
        <v>144</v>
      </c>
      <c r="E4396" s="13" t="s">
        <v>47</v>
      </c>
      <c r="F4396" s="24" t="s">
        <v>18012</v>
      </c>
      <c r="G4396" s="13" t="s">
        <v>1127</v>
      </c>
      <c r="H4396" s="13" t="s">
        <v>35</v>
      </c>
      <c r="I4396" s="13" t="str">
        <f aca="false">IF(C4396=J4396,"NEW KONTRAK","RE-KONTRAK")</f>
        <v>NEW KONTRAK</v>
      </c>
      <c r="J4396" s="16" t="n">
        <f aca="false" t="array" ref="J4396:J4396">IFERROR(INDEX(AC4396:AE4396,IF(COUNTA(AC4396:AE4396)=0,"",MAX((AC4396:AE4396&lt;&gt;"")*(COLUMN(AC4396:AE4396)-(COLUMN(AC4396)))))-1),"")</f>
        <v>46316</v>
      </c>
      <c r="K4396" s="16" t="n">
        <f aca="false" t="array" ref="K4396:K4396">IFERROR(INDEX(AC4396:AE4396,IF(COUNTA(AC4396:AE4396)=0,"",MAX((AC4396:AE4396&lt;&gt;"")*(COLUMN(AC4396:AE4396)-(COLUMN(AC4396)-1))))-1),"")</f>
        <v>46407</v>
      </c>
      <c r="L4396" s="17" t="str">
        <f aca="false" t="array" ref="L4396:L4396">IFERROR(INDEX(AC4396:AE4396,IF(COUNTA(AC4396:AE4396)=0,"",MAX((AC4396:AE4396&lt;&gt;"")*(COLUMN(AC4396:AE4396)-(COLUMN(AC4396)-2))))-1),"")</f>
        <v>DRAFTED</v>
      </c>
      <c r="M4396" s="13" t="n">
        <f aca="true">K4396-TODAY()</f>
        <v>83</v>
      </c>
      <c r="N4396" s="13" t="s">
        <v>36</v>
      </c>
      <c r="O4396" s="13" t="s">
        <v>156</v>
      </c>
      <c r="P4396" s="26" t="n">
        <v>5195401</v>
      </c>
      <c r="Q4396" s="20" t="s">
        <v>18013</v>
      </c>
      <c r="R4396" s="13" t="s">
        <v>78</v>
      </c>
      <c r="S4396" s="25" t="n">
        <v>39378</v>
      </c>
      <c r="T4396" s="13" t="s">
        <v>40</v>
      </c>
      <c r="U4396" s="13" t="s">
        <v>18014</v>
      </c>
      <c r="V4396" s="13" t="s">
        <v>42</v>
      </c>
      <c r="W4396" s="13" t="s">
        <v>43</v>
      </c>
      <c r="X4396" s="21" t="n">
        <v>82257443192</v>
      </c>
      <c r="Y4396" s="22" t="str">
        <f aca="false">O4396</f>
        <v>Emulsion</v>
      </c>
      <c r="Z4396" s="13" t="str">
        <f aca="false">IFERROR(__xludf.dummyfunction("if(BJ4396="""","""",GOOGLETRANSLATE(BJ4396,""auto"",""en""))"),"Emulsion")</f>
        <v>Emulsion</v>
      </c>
      <c r="AA4396" s="23" t="str">
        <f aca="false">IF(C4396="","", CHOOSE(MONTH(C4396),"January","February","March","April","May","June","July","August","September","October","November","December")&amp;" "&amp;DAY(C4396)&amp;MID("thstndrdth",MIN(9,2*RIGHT(DAY(C4396))*(MOD(DAY(C4396)-11,100)&gt;2)+1),2)&amp;","&amp;TEXT(C4396," yyyy"))</f>
        <v>October 21st,2026</v>
      </c>
      <c r="AB4396" s="15" t="str">
        <f aca="true">IF(S4396="","",DATEDIF(S4396,TODAY(),"Y")&amp;" Tahun, "&amp;DATEDIF(S4396,TODAY(),"YM")&amp;" Bulan, "&amp;DATEDIF(S4396,TODAY(),"MD")&amp;" Hari")</f>
        <v>19 Tahun, 0 Bulan, 6 Hari</v>
      </c>
      <c r="AC4396" s="14" t="n">
        <v>46316</v>
      </c>
      <c r="AD4396" s="18" t="n">
        <f aca="false">EDATE(AC4396,3)-1</f>
        <v>46407</v>
      </c>
      <c r="AE4396" s="13" t="s">
        <v>4022</v>
      </c>
    </row>
    <row r="4397" customFormat="false" ht="15" hidden="false" customHeight="true" outlineLevel="0" collapsed="false">
      <c r="A4397" s="12" t="n">
        <v>23032</v>
      </c>
      <c r="B4397" s="13" t="s">
        <v>18015</v>
      </c>
      <c r="C4397" s="14" t="n">
        <v>46317</v>
      </c>
      <c r="D4397" s="13" t="s">
        <v>5892</v>
      </c>
      <c r="E4397" s="13" t="s">
        <v>102</v>
      </c>
      <c r="F4397" s="24" t="s">
        <v>18016</v>
      </c>
      <c r="G4397" s="13" t="s">
        <v>1127</v>
      </c>
      <c r="H4397" s="13" t="s">
        <v>35</v>
      </c>
      <c r="I4397" s="13" t="str">
        <f aca="false">IF(C4397=J4397,"NEW KONTRAK","RE-KONTRAK")</f>
        <v>NEW KONTRAK</v>
      </c>
      <c r="J4397" s="16" t="n">
        <f aca="false" t="array" ref="J4397:J4397">IFERROR(INDEX(AC4397:AE4397,IF(COUNTA(AC4397:AE4397)=0,"",MAX((AC4397:AE4397&lt;&gt;"")*(COLUMN(AC4397:AE4397)-(COLUMN(AC4397)))))-1),"")</f>
        <v>46317</v>
      </c>
      <c r="K4397" s="16" t="n">
        <f aca="false" t="array" ref="K4397:K4397">IFERROR(INDEX(AC4397:AE4397,IF(COUNTA(AC4397:AE4397)=0,"",MAX((AC4397:AE4397&lt;&gt;"")*(COLUMN(AC4397:AE4397)-(COLUMN(AC4397)-1))))-1),"")</f>
        <v>46408</v>
      </c>
      <c r="L4397" s="17" t="str">
        <f aca="false" t="array" ref="L4397:L4397">IFERROR(INDEX(AC4397:AE4397,IF(COUNTA(AC4397:AE4397)=0,"",MAX((AC4397:AE4397&lt;&gt;"")*(COLUMN(AC4397:AE4397)-(COLUMN(AC4397)-2))))-1),"")</f>
        <v>DRAFTED</v>
      </c>
      <c r="M4397" s="13" t="n">
        <f aca="true">K4397-TODAY()</f>
        <v>84</v>
      </c>
      <c r="N4397" s="13" t="s">
        <v>105</v>
      </c>
      <c r="O4397" s="13" t="s">
        <v>11196</v>
      </c>
      <c r="P4397" s="26" t="n">
        <v>100000</v>
      </c>
      <c r="Q4397" s="20" t="s">
        <v>18017</v>
      </c>
      <c r="R4397" s="13" t="s">
        <v>232</v>
      </c>
      <c r="S4397" s="25" t="n">
        <v>38371</v>
      </c>
      <c r="T4397" s="13" t="s">
        <v>40</v>
      </c>
      <c r="U4397" s="13" t="s">
        <v>18018</v>
      </c>
      <c r="V4397" s="13" t="s">
        <v>42</v>
      </c>
      <c r="W4397" s="13" t="s">
        <v>43</v>
      </c>
      <c r="X4397" s="21" t="n">
        <v>81554671894</v>
      </c>
      <c r="Y4397" s="22" t="str">
        <f aca="false">O4397</f>
        <v>Helper Gudang</v>
      </c>
      <c r="Z4397" s="13" t="str">
        <f aca="false">IFERROR(__xludf.dummyfunction("if(BJ4397="""","""",GOOGLETRANSLATE(BJ4397,""auto"",""en""))"),"Helper Gudang")</f>
        <v>Helper Gudang</v>
      </c>
      <c r="AA4397" s="23" t="str">
        <f aca="false">IF(C4397="","", CHOOSE(MONTH(C4397),"January","February","March","April","May","June","July","August","September","October","November","December")&amp;" "&amp;DAY(C4397)&amp;MID("thstndrdth",MIN(9,2*RIGHT(DAY(C4397))*(MOD(DAY(C4397)-11,100)&gt;2)+1),2)&amp;","&amp;TEXT(C4397," yyyy"))</f>
        <v>October 22nd,2026</v>
      </c>
      <c r="AB4397" s="15" t="str">
        <f aca="true">IF(S4397="","",DATEDIF(S4397,TODAY(),"Y")&amp;" Tahun, "&amp;DATEDIF(S4397,TODAY(),"YM")&amp;" Bulan, "&amp;DATEDIF(S4397,TODAY(),"MD")&amp;" Hari")</f>
        <v>21 Tahun, 9 Bulan, 10 Hari</v>
      </c>
      <c r="AC4397" s="14" t="n">
        <v>46317</v>
      </c>
      <c r="AD4397" s="18" t="n">
        <f aca="false">EDATE(AC4397,3)-1</f>
        <v>46408</v>
      </c>
      <c r="AE4397" s="13" t="s">
        <v>4022</v>
      </c>
    </row>
    <row r="4398" customFormat="false" ht="15" hidden="false" customHeight="true" outlineLevel="0" collapsed="false">
      <c r="A4398" s="12" t="n">
        <v>23033</v>
      </c>
      <c r="B4398" s="13" t="s">
        <v>18019</v>
      </c>
      <c r="C4398" s="14" t="n">
        <v>46327</v>
      </c>
      <c r="D4398" s="13" t="s">
        <v>16258</v>
      </c>
      <c r="E4398" s="13" t="s">
        <v>47</v>
      </c>
      <c r="F4398" s="24" t="s">
        <v>18020</v>
      </c>
      <c r="G4398" s="13" t="s">
        <v>1127</v>
      </c>
      <c r="H4398" s="13" t="s">
        <v>35</v>
      </c>
      <c r="I4398" s="13" t="str">
        <f aca="false">IF(C4398=J4398,"NEW KONTRAK","RE-KONTRAK")</f>
        <v>NEW KONTRAK</v>
      </c>
      <c r="J4398" s="16" t="n">
        <f aca="false" t="array" ref="J4398:J4398">IFERROR(INDEX(AC4398:AE4398,IF(COUNTA(AC4398:AE4398)=0,"",MAX((AC4398:AE4398&lt;&gt;"")*(COLUMN(AC4398:AE4398)-(COLUMN(AC4398)))))-1),"")</f>
        <v>46327</v>
      </c>
      <c r="K4398" s="16" t="n">
        <f aca="false" t="array" ref="K4398:K4398">IFERROR(INDEX(AC4398:AE4398,IF(COUNTA(AC4398:AE4398)=0,"",MAX((AC4398:AE4398&lt;&gt;"")*(COLUMN(AC4398:AE4398)-(COLUMN(AC4398)-1))))-1),"")</f>
        <v>46418</v>
      </c>
      <c r="L4398" s="17" t="str">
        <f aca="false" t="array" ref="L4398:L4398">IFERROR(INDEX(AC4398:AE4398,IF(COUNTA(AC4398:AE4398)=0,"",MAX((AC4398:AE4398&lt;&gt;"")*(COLUMN(AC4398:AE4398)-(COLUMN(AC4398)-2))))-1),"")</f>
        <v>DRAFTED</v>
      </c>
      <c r="M4398" s="13" t="n">
        <f aca="true">K4398-TODAY()</f>
        <v>94</v>
      </c>
      <c r="N4398" s="13" t="s">
        <v>16261</v>
      </c>
      <c r="O4398" s="13" t="s">
        <v>16973</v>
      </c>
      <c r="P4398" s="26" t="n">
        <v>3843037.66</v>
      </c>
      <c r="Q4398" s="20" t="s">
        <v>18021</v>
      </c>
      <c r="R4398" s="13" t="s">
        <v>18022</v>
      </c>
      <c r="S4398" s="25" t="n">
        <v>37235</v>
      </c>
      <c r="T4398" s="13" t="s">
        <v>40</v>
      </c>
      <c r="U4398" s="13" t="s">
        <v>18023</v>
      </c>
      <c r="V4398" s="13" t="s">
        <v>42</v>
      </c>
      <c r="W4398" s="13" t="s">
        <v>54</v>
      </c>
      <c r="X4398" s="21" t="n">
        <v>85822509985</v>
      </c>
      <c r="Y4398" s="22" t="str">
        <f aca="false">O4398</f>
        <v>SPB</v>
      </c>
      <c r="Z4398" s="13" t="str">
        <f aca="false">IFERROR(__xludf.dummyfunction("if(BJ4398="""","""",GOOGLETRANSLATE(BJ4398,""auto"",""en""))"),"SPB")</f>
        <v>SPB</v>
      </c>
      <c r="AA4398" s="23" t="str">
        <f aca="false">IF(C4398="","", CHOOSE(MONTH(C4398),"January","February","March","April","May","June","July","August","September","October","November","December")&amp;" "&amp;DAY(C4398)&amp;MID("thstndrdth",MIN(9,2*RIGHT(DAY(C4398))*(MOD(DAY(C4398)-11,100)&gt;2)+1),2)&amp;","&amp;TEXT(C4398," yyyy"))</f>
        <v>November 1st,2026</v>
      </c>
      <c r="AB4398" s="15" t="str">
        <f aca="true">IF(S4398="","",DATEDIF(S4398,TODAY(),"Y")&amp;" Tahun, "&amp;DATEDIF(S4398,TODAY(),"YM")&amp;" Bulan, "&amp;DATEDIF(S4398,TODAY(),"MD")&amp;" Hari")</f>
        <v>24 Tahun, 10 Bulan, 19 Hari</v>
      </c>
      <c r="AC4398" s="14" t="n">
        <v>46327</v>
      </c>
      <c r="AD4398" s="18" t="n">
        <f aca="false">EDATE(AC4398,3)-1</f>
        <v>46418</v>
      </c>
      <c r="AE4398" s="13" t="s">
        <v>4022</v>
      </c>
    </row>
    <row r="4399" customFormat="false" ht="15" hidden="false" customHeight="true" outlineLevel="0" collapsed="false">
      <c r="A4399" s="12" t="n">
        <v>23034</v>
      </c>
      <c r="B4399" s="13" t="s">
        <v>14272</v>
      </c>
      <c r="C4399" s="14" t="n">
        <v>46318</v>
      </c>
      <c r="D4399" s="13" t="s">
        <v>747</v>
      </c>
      <c r="E4399" s="13" t="s">
        <v>47</v>
      </c>
      <c r="F4399" s="24" t="s">
        <v>18024</v>
      </c>
      <c r="G4399" s="13" t="s">
        <v>1127</v>
      </c>
      <c r="H4399" s="13" t="s">
        <v>35</v>
      </c>
      <c r="I4399" s="13" t="str">
        <f aca="false">IF(C4399=J4399,"NEW KONTRAK","RE-KONTRAK")</f>
        <v>NEW KONTRAK</v>
      </c>
      <c r="J4399" s="16" t="n">
        <f aca="false" t="array" ref="J4399:J4399">IFERROR(INDEX(AC4399:AE4399,IF(COUNTA(AC4399:AE4399)=0,"",MAX((AC4399:AE4399&lt;&gt;"")*(COLUMN(AC4399:AE4399)-(COLUMN(AC4399)))))-1),"")</f>
        <v>46318</v>
      </c>
      <c r="K4399" s="16" t="n">
        <f aca="false" t="array" ref="K4399:K4399">IFERROR(INDEX(AC4399:AE4399,IF(COUNTA(AC4399:AE4399)=0,"",MAX((AC4399:AE4399&lt;&gt;"")*(COLUMN(AC4399:AE4399)-(COLUMN(AC4399)-1))))-1),"")</f>
        <v>46409</v>
      </c>
      <c r="L4399" s="17" t="str">
        <f aca="false" t="array" ref="L4399:L4399">IFERROR(INDEX(AC4399:AE4399,IF(COUNTA(AC4399:AE4399)=0,"",MAX((AC4399:AE4399&lt;&gt;"")*(COLUMN(AC4399:AE4399)-(COLUMN(AC4399)-2))))-1),"")</f>
        <v>DRAFTED</v>
      </c>
      <c r="M4399" s="13" t="n">
        <f aca="true">K4399-TODAY()</f>
        <v>85</v>
      </c>
      <c r="N4399" s="18" t="s">
        <v>749</v>
      </c>
      <c r="O4399" s="13" t="s">
        <v>3271</v>
      </c>
      <c r="P4399" s="26" t="n">
        <v>3983881</v>
      </c>
      <c r="Q4399" s="20" t="s">
        <v>18025</v>
      </c>
      <c r="R4399" s="13" t="s">
        <v>18026</v>
      </c>
      <c r="S4399" s="25" t="n">
        <v>35683</v>
      </c>
      <c r="T4399" s="13" t="s">
        <v>40</v>
      </c>
      <c r="U4399" s="13" t="s">
        <v>18027</v>
      </c>
      <c r="V4399" s="13" t="s">
        <v>42</v>
      </c>
      <c r="W4399" s="13" t="s">
        <v>54</v>
      </c>
      <c r="X4399" s="21" t="n">
        <v>895342542539</v>
      </c>
      <c r="Y4399" s="22" t="str">
        <f aca="false">O4399</f>
        <v>Helper</v>
      </c>
      <c r="Z4399" s="13" t="str">
        <f aca="false">IFERROR(__xludf.dummyfunction("if(BJ4399="""","""",GOOGLETRANSLATE(BJ4399,""auto"",""en""))"),"Helper")</f>
        <v>Helper</v>
      </c>
      <c r="AA4399" s="23" t="str">
        <f aca="false">IF(C4399="","", CHOOSE(MONTH(C4399),"January","February","March","April","May","June","July","August","September","October","November","December")&amp;" "&amp;DAY(C4399)&amp;MID("thstndrdth",MIN(9,2*RIGHT(DAY(C4399))*(MOD(DAY(C4399)-11,100)&gt;2)+1),2)&amp;","&amp;TEXT(C4399," yyyy"))</f>
        <v>October 23rd,2026</v>
      </c>
      <c r="AB4399" s="15" t="str">
        <f aca="true">IF(S4399="","",DATEDIF(S4399,TODAY(),"Y")&amp;" Tahun, "&amp;DATEDIF(S4399,TODAY(),"YM")&amp;" Bulan, "&amp;DATEDIF(S4399,TODAY(),"MD")&amp;" Hari")</f>
        <v>29 Tahun, 1 Bulan, 19 Hari</v>
      </c>
      <c r="AC4399" s="14" t="n">
        <v>46318</v>
      </c>
      <c r="AD4399" s="18" t="n">
        <f aca="false">EDATE(AC4399,3)-1</f>
        <v>46409</v>
      </c>
      <c r="AE4399" s="13" t="s">
        <v>4022</v>
      </c>
    </row>
    <row r="4400" customFormat="false" ht="15" hidden="false" customHeight="true" outlineLevel="0" collapsed="false">
      <c r="A4400" s="12" t="n">
        <v>23035</v>
      </c>
      <c r="B4400" s="13" t="s">
        <v>18028</v>
      </c>
      <c r="C4400" s="14" t="n">
        <v>46327</v>
      </c>
      <c r="D4400" s="13" t="s">
        <v>16258</v>
      </c>
      <c r="E4400" s="13" t="s">
        <v>47</v>
      </c>
      <c r="F4400" s="24" t="s">
        <v>18029</v>
      </c>
      <c r="G4400" s="13" t="s">
        <v>1127</v>
      </c>
      <c r="H4400" s="13" t="s">
        <v>35</v>
      </c>
      <c r="I4400" s="13" t="str">
        <f aca="false">IF(C4400=J4400,"NEW KONTRAK","RE-KONTRAK")</f>
        <v>NEW KONTRAK</v>
      </c>
      <c r="J4400" s="16" t="n">
        <f aca="false" t="array" ref="J4400:J4400">IFERROR(INDEX(AC4400:AE4400,IF(COUNTA(AC4400:AE4400)=0,"",MAX((AC4400:AE4400&lt;&gt;"")*(COLUMN(AC4400:AE4400)-(COLUMN(AC4400)))))-1),"")</f>
        <v>46327</v>
      </c>
      <c r="K4400" s="16" t="n">
        <f aca="false" t="array" ref="K4400:K4400">IFERROR(INDEX(AC4400:AE4400,IF(COUNTA(AC4400:AE4400)=0,"",MAX((AC4400:AE4400&lt;&gt;"")*(COLUMN(AC4400:AE4400)-(COLUMN(AC4400)-1))))-1),"")</f>
        <v>46418</v>
      </c>
      <c r="L4400" s="17" t="str">
        <f aca="false" t="array" ref="L4400:L4400">IFERROR(INDEX(AC4400:AE4400,IF(COUNTA(AC4400:AE4400)=0,"",MAX((AC4400:AE4400&lt;&gt;"")*(COLUMN(AC4400:AE4400)-(COLUMN(AC4400)-2))))-1),"")</f>
        <v>DRAFTED</v>
      </c>
      <c r="M4400" s="13" t="n">
        <f aca="true">K4400-TODAY()</f>
        <v>94</v>
      </c>
      <c r="N4400" s="13" t="s">
        <v>16261</v>
      </c>
      <c r="O4400" s="13" t="s">
        <v>16973</v>
      </c>
      <c r="P4400" s="26" t="n">
        <v>3843037.66</v>
      </c>
      <c r="Q4400" s="20" t="s">
        <v>18030</v>
      </c>
      <c r="R4400" s="13" t="s">
        <v>2587</v>
      </c>
      <c r="S4400" s="25" t="n">
        <v>37948</v>
      </c>
      <c r="T4400" s="13" t="s">
        <v>40</v>
      </c>
      <c r="U4400" s="13" t="s">
        <v>18031</v>
      </c>
      <c r="V4400" s="13" t="s">
        <v>42</v>
      </c>
      <c r="W4400" s="13" t="s">
        <v>43</v>
      </c>
      <c r="X4400" s="21" t="n">
        <v>87784318059</v>
      </c>
      <c r="Y4400" s="22" t="str">
        <f aca="false">O4400</f>
        <v>SPB</v>
      </c>
      <c r="Z4400" s="13" t="str">
        <f aca="false">IFERROR(__xludf.dummyfunction("if(BJ4400="""","""",GOOGLETRANSLATE(BJ4400,""auto"",""en""))"),"SPB")</f>
        <v>SPB</v>
      </c>
      <c r="AA4400" s="23" t="str">
        <f aca="false">IF(C4400="","", CHOOSE(MONTH(C4400),"January","February","March","April","May","June","July","August","September","October","November","December")&amp;" "&amp;DAY(C4400)&amp;MID("thstndrdth",MIN(9,2*RIGHT(DAY(C4400))*(MOD(DAY(C4400)-11,100)&gt;2)+1),2)&amp;","&amp;TEXT(C4400," yyyy"))</f>
        <v>November 1st,2026</v>
      </c>
      <c r="AB4400" s="15" t="str">
        <f aca="true">IF(S4400="","",DATEDIF(S4400,TODAY(),"Y")&amp;" Tahun, "&amp;DATEDIF(S4400,TODAY(),"YM")&amp;" Bulan, "&amp;DATEDIF(S4400,TODAY(),"MD")&amp;" Hari")</f>
        <v>22 Tahun, 11 Bulan, 6 Hari</v>
      </c>
      <c r="AC4400" s="14" t="n">
        <v>46327</v>
      </c>
      <c r="AD4400" s="18" t="n">
        <f aca="false">EDATE(AC4400,3)-1</f>
        <v>46418</v>
      </c>
      <c r="AE4400" s="13" t="s">
        <v>4022</v>
      </c>
    </row>
    <row r="4401" customFormat="false" ht="15" hidden="false" customHeight="true" outlineLevel="0" collapsed="false">
      <c r="A4401" s="12" t="n">
        <v>23036</v>
      </c>
      <c r="B4401" s="13" t="s">
        <v>18032</v>
      </c>
      <c r="C4401" s="14" t="n">
        <v>46327</v>
      </c>
      <c r="D4401" s="13" t="s">
        <v>16258</v>
      </c>
      <c r="E4401" s="13" t="s">
        <v>47</v>
      </c>
      <c r="F4401" s="24" t="s">
        <v>18033</v>
      </c>
      <c r="G4401" s="13" t="s">
        <v>1127</v>
      </c>
      <c r="H4401" s="13" t="s">
        <v>35</v>
      </c>
      <c r="I4401" s="13" t="str">
        <f aca="false">IF(C4401=J4401,"NEW KONTRAK","RE-KONTRAK")</f>
        <v>NEW KONTRAK</v>
      </c>
      <c r="J4401" s="16" t="n">
        <f aca="false" t="array" ref="J4401:J4401">IFERROR(INDEX(AC4401:AE4401,IF(COUNTA(AC4401:AE4401)=0,"",MAX((AC4401:AE4401&lt;&gt;"")*(COLUMN(AC4401:AE4401)-(COLUMN(AC4401)))))-1),"")</f>
        <v>46327</v>
      </c>
      <c r="K4401" s="16" t="n">
        <f aca="false" t="array" ref="K4401:K4401">IFERROR(INDEX(AC4401:AE4401,IF(COUNTA(AC4401:AE4401)=0,"",MAX((AC4401:AE4401&lt;&gt;"")*(COLUMN(AC4401:AE4401)-(COLUMN(AC4401)-1))))-1),"")</f>
        <v>46418</v>
      </c>
      <c r="L4401" s="17" t="str">
        <f aca="false" t="array" ref="L4401:L4401">IFERROR(INDEX(AC4401:AE4401,IF(COUNTA(AC4401:AE4401)=0,"",MAX((AC4401:AE4401&lt;&gt;"")*(COLUMN(AC4401:AE4401)-(COLUMN(AC4401)-2))))-1),"")</f>
        <v>DRAFTED</v>
      </c>
      <c r="M4401" s="13" t="n">
        <f aca="true">K4401-TODAY()</f>
        <v>94</v>
      </c>
      <c r="N4401" s="13" t="s">
        <v>16261</v>
      </c>
      <c r="O4401" s="13" t="s">
        <v>2384</v>
      </c>
      <c r="P4401" s="26" t="n">
        <v>3843037.66</v>
      </c>
      <c r="Q4401" s="20" t="s">
        <v>18034</v>
      </c>
      <c r="R4401" s="13" t="s">
        <v>18035</v>
      </c>
      <c r="S4401" s="25" t="n">
        <v>35346</v>
      </c>
      <c r="T4401" s="13" t="s">
        <v>108</v>
      </c>
      <c r="U4401" s="13" t="s">
        <v>18036</v>
      </c>
      <c r="V4401" s="13" t="s">
        <v>42</v>
      </c>
      <c r="W4401" s="13" t="s">
        <v>54</v>
      </c>
      <c r="X4401" s="21" t="n">
        <v>85251602103</v>
      </c>
      <c r="Y4401" s="22" t="str">
        <f aca="false">O4401</f>
        <v>SPG</v>
      </c>
      <c r="Z4401" s="13" t="str">
        <f aca="false">IFERROR(__xludf.dummyfunction("if(BJ4401="""","""",GOOGLETRANSLATE(BJ4401,""auto"",""en""))"),"SPG")</f>
        <v>SPG</v>
      </c>
      <c r="AA4401" s="23" t="str">
        <f aca="false">IF(C4401="","", CHOOSE(MONTH(C4401),"January","February","March","April","May","June","July","August","September","October","November","December")&amp;" "&amp;DAY(C4401)&amp;MID("thstndrdth",MIN(9,2*RIGHT(DAY(C4401))*(MOD(DAY(C4401)-11,100)&gt;2)+1),2)&amp;","&amp;TEXT(C4401," yyyy"))</f>
        <v>November 1st,2026</v>
      </c>
      <c r="AB4401" s="15" t="str">
        <f aca="true">IF(S4401="","",DATEDIF(S4401,TODAY(),"Y")&amp;" Tahun, "&amp;DATEDIF(S4401,TODAY(),"YM")&amp;" Bulan, "&amp;DATEDIF(S4401,TODAY(),"MD")&amp;" Hari")</f>
        <v>30 Tahun, 0 Bulan, 21 Hari</v>
      </c>
      <c r="AC4401" s="14" t="n">
        <v>46327</v>
      </c>
      <c r="AD4401" s="18" t="n">
        <f aca="false">EDATE(AC4401,3)-1</f>
        <v>46418</v>
      </c>
      <c r="AE4401" s="13" t="s">
        <v>4022</v>
      </c>
    </row>
    <row r="4402" customFormat="false" ht="15" hidden="false" customHeight="true" outlineLevel="0" collapsed="false">
      <c r="A4402" s="12" t="n">
        <v>23037</v>
      </c>
      <c r="B4402" s="13" t="s">
        <v>18037</v>
      </c>
      <c r="C4402" s="14" t="n">
        <v>46327</v>
      </c>
      <c r="D4402" s="13" t="s">
        <v>16258</v>
      </c>
      <c r="E4402" s="13" t="s">
        <v>47</v>
      </c>
      <c r="F4402" s="24" t="s">
        <v>18038</v>
      </c>
      <c r="G4402" s="13" t="s">
        <v>1127</v>
      </c>
      <c r="H4402" s="13" t="s">
        <v>35</v>
      </c>
      <c r="I4402" s="13" t="str">
        <f aca="false">IF(C4402=J4402,"NEW KONTRAK","RE-KONTRAK")</f>
        <v>NEW KONTRAK</v>
      </c>
      <c r="J4402" s="16" t="n">
        <f aca="false" t="array" ref="J4402:J4402">IFERROR(INDEX(AC4402:AE4402,IF(COUNTA(AC4402:AE4402)=0,"",MAX((AC4402:AE4402&lt;&gt;"")*(COLUMN(AC4402:AE4402)-(COLUMN(AC4402)))))-1),"")</f>
        <v>46327</v>
      </c>
      <c r="K4402" s="16" t="n">
        <f aca="false" t="array" ref="K4402:K4402">IFERROR(INDEX(AC4402:AE4402,IF(COUNTA(AC4402:AE4402)=0,"",MAX((AC4402:AE4402&lt;&gt;"")*(COLUMN(AC4402:AE4402)-(COLUMN(AC4402)-1))))-1),"")</f>
        <v>46418</v>
      </c>
      <c r="L4402" s="17" t="str">
        <f aca="false" t="array" ref="L4402:L4402">IFERROR(INDEX(AC4402:AE4402,IF(COUNTA(AC4402:AE4402)=0,"",MAX((AC4402:AE4402&lt;&gt;"")*(COLUMN(AC4402:AE4402)-(COLUMN(AC4402)-2))))-1),"")</f>
        <v>DRAFTED</v>
      </c>
      <c r="M4402" s="13" t="n">
        <f aca="true">K4402-TODAY()</f>
        <v>94</v>
      </c>
      <c r="N4402" s="13" t="s">
        <v>16261</v>
      </c>
      <c r="O4402" s="13" t="s">
        <v>16973</v>
      </c>
      <c r="P4402" s="26" t="n">
        <v>3843037.66</v>
      </c>
      <c r="Q4402" s="20" t="s">
        <v>18039</v>
      </c>
      <c r="R4402" s="13" t="s">
        <v>18040</v>
      </c>
      <c r="S4402" s="25" t="n">
        <v>36848</v>
      </c>
      <c r="T4402" s="13" t="s">
        <v>40</v>
      </c>
      <c r="U4402" s="13" t="s">
        <v>18041</v>
      </c>
      <c r="V4402" s="13" t="s">
        <v>42</v>
      </c>
      <c r="W4402" s="13" t="s">
        <v>54</v>
      </c>
      <c r="X4402" s="21" t="n">
        <v>87841041426</v>
      </c>
      <c r="Y4402" s="22" t="str">
        <f aca="false">O4402</f>
        <v>SPB</v>
      </c>
      <c r="Z4402" s="13" t="str">
        <f aca="false">IFERROR(__xludf.dummyfunction("if(BJ4402="""","""",GOOGLETRANSLATE(BJ4402,""auto"",""en""))"),"SPB")</f>
        <v>SPB</v>
      </c>
      <c r="AA4402" s="23" t="str">
        <f aca="false">IF(C4402="","", CHOOSE(MONTH(C4402),"January","February","March","April","May","June","July","August","September","October","November","December")&amp;" "&amp;DAY(C4402)&amp;MID("thstndrdth",MIN(9,2*RIGHT(DAY(C4402))*(MOD(DAY(C4402)-11,100)&gt;2)+1),2)&amp;","&amp;TEXT(C4402," yyyy"))</f>
        <v>November 1st,2026</v>
      </c>
      <c r="AB4402" s="15" t="str">
        <f aca="true">IF(S4402="","",DATEDIF(S4402,TODAY(),"Y")&amp;" Tahun, "&amp;DATEDIF(S4402,TODAY(),"YM")&amp;" Bulan, "&amp;DATEDIF(S4402,TODAY(),"MD")&amp;" Hari")</f>
        <v>25 Tahun, 11 Bulan, 11 Hari</v>
      </c>
      <c r="AC4402" s="14" t="n">
        <v>46327</v>
      </c>
      <c r="AD4402" s="18" t="n">
        <f aca="false">EDATE(AC4402,3)-1</f>
        <v>46418</v>
      </c>
      <c r="AE4402" s="13" t="s">
        <v>4022</v>
      </c>
    </row>
    <row r="4403" customFormat="false" ht="15" hidden="false" customHeight="true" outlineLevel="0" collapsed="false">
      <c r="A4403" s="12" t="n">
        <v>23038</v>
      </c>
      <c r="B4403" s="13" t="s">
        <v>18042</v>
      </c>
      <c r="C4403" s="14" t="n">
        <v>46327</v>
      </c>
      <c r="D4403" s="13" t="s">
        <v>16258</v>
      </c>
      <c r="E4403" s="13" t="s">
        <v>47</v>
      </c>
      <c r="F4403" s="24" t="s">
        <v>18043</v>
      </c>
      <c r="G4403" s="13" t="s">
        <v>1127</v>
      </c>
      <c r="H4403" s="13" t="s">
        <v>35</v>
      </c>
      <c r="I4403" s="13" t="str">
        <f aca="false">IF(C4403=J4403,"NEW KONTRAK","RE-KONTRAK")</f>
        <v>NEW KONTRAK</v>
      </c>
      <c r="J4403" s="16" t="n">
        <f aca="false" t="array" ref="J4403:J4403">IFERROR(INDEX(AC4403:AE4403,IF(COUNTA(AC4403:AE4403)=0,"",MAX((AC4403:AE4403&lt;&gt;"")*(COLUMN(AC4403:AE4403)-(COLUMN(AC4403)))))-1),"")</f>
        <v>46327</v>
      </c>
      <c r="K4403" s="16" t="n">
        <f aca="false" t="array" ref="K4403:K4403">IFERROR(INDEX(AC4403:AE4403,IF(COUNTA(AC4403:AE4403)=0,"",MAX((AC4403:AE4403&lt;&gt;"")*(COLUMN(AC4403:AE4403)-(COLUMN(AC4403)-1))))-1),"")</f>
        <v>46418</v>
      </c>
      <c r="L4403" s="17" t="str">
        <f aca="false" t="array" ref="L4403:L4403">IFERROR(INDEX(AC4403:AE4403,IF(COUNTA(AC4403:AE4403)=0,"",MAX((AC4403:AE4403&lt;&gt;"")*(COLUMN(AC4403:AE4403)-(COLUMN(AC4403)-2))))-1),"")</f>
        <v>DRAFTED</v>
      </c>
      <c r="M4403" s="13" t="n">
        <f aca="true">K4403-TODAY()</f>
        <v>94</v>
      </c>
      <c r="N4403" s="13" t="s">
        <v>16261</v>
      </c>
      <c r="O4403" s="13" t="s">
        <v>16973</v>
      </c>
      <c r="P4403" s="26" t="n">
        <v>3843037.66</v>
      </c>
      <c r="Q4403" s="20" t="s">
        <v>18044</v>
      </c>
      <c r="R4403" s="13" t="s">
        <v>2587</v>
      </c>
      <c r="S4403" s="25" t="n">
        <v>37434</v>
      </c>
      <c r="T4403" s="13" t="s">
        <v>40</v>
      </c>
      <c r="U4403" s="13" t="s">
        <v>18045</v>
      </c>
      <c r="V4403" s="13" t="s">
        <v>42</v>
      </c>
      <c r="W4403" s="13" t="s">
        <v>43</v>
      </c>
      <c r="X4403" s="21" t="n">
        <v>85754868089</v>
      </c>
      <c r="Y4403" s="22" t="str">
        <f aca="false">O4403</f>
        <v>SPB</v>
      </c>
      <c r="Z4403" s="13" t="str">
        <f aca="false">IFERROR(__xludf.dummyfunction("if(BJ4403="""","""",GOOGLETRANSLATE(BJ4403,""auto"",""en""))"),"SPB")</f>
        <v>SPB</v>
      </c>
      <c r="AA4403" s="23" t="str">
        <f aca="false">IF(C4403="","", CHOOSE(MONTH(C4403),"January","February","March","April","May","June","July","August","September","October","November","December")&amp;" "&amp;DAY(C4403)&amp;MID("thstndrdth",MIN(9,2*RIGHT(DAY(C4403))*(MOD(DAY(C4403)-11,100)&gt;2)+1),2)&amp;","&amp;TEXT(C4403," yyyy"))</f>
        <v>November 1st,2026</v>
      </c>
      <c r="AB4403" s="15" t="str">
        <f aca="true">IF(S4403="","",DATEDIF(S4403,TODAY(),"Y")&amp;" Tahun, "&amp;DATEDIF(S4403,TODAY(),"YM")&amp;" Bulan, "&amp;DATEDIF(S4403,TODAY(),"MD")&amp;" Hari")</f>
        <v>24 Tahun, 4 Bulan, 2 Hari</v>
      </c>
      <c r="AC4403" s="14" t="n">
        <v>46327</v>
      </c>
      <c r="AD4403" s="18" t="n">
        <f aca="false">EDATE(AC4403,3)-1</f>
        <v>46418</v>
      </c>
      <c r="AE4403" s="13" t="s">
        <v>4022</v>
      </c>
    </row>
    <row r="4404" customFormat="false" ht="15" hidden="false" customHeight="true" outlineLevel="0" collapsed="false">
      <c r="A4404" s="12"/>
      <c r="B4404" s="13"/>
      <c r="C4404" s="14"/>
      <c r="D4404" s="13"/>
      <c r="E4404" s="15"/>
      <c r="F4404" s="15"/>
      <c r="G4404" s="15"/>
      <c r="H4404" s="13"/>
      <c r="I4404" s="13"/>
      <c r="J4404" s="16"/>
      <c r="K4404" s="16"/>
      <c r="L4404" s="17" t="str">
        <f aca="false" t="array" ref="L4404:L4404">IFERROR(INDEX(AC4404:AE4404,IF(COUNTA(AC4404:AE4404)=0,"",MAX((AC4404:AE4404&lt;&gt;"")*(COLUMN(AC4404:AE4404)-(COLUMN(AC4404)-2))))-1),"")</f>
        <v/>
      </c>
      <c r="M4404" s="13"/>
      <c r="N4404" s="13"/>
      <c r="O4404" s="13"/>
      <c r="P4404" s="26"/>
      <c r="Q4404" s="20"/>
      <c r="R4404" s="13"/>
      <c r="S4404" s="25"/>
      <c r="T4404" s="13"/>
      <c r="U4404" s="13"/>
      <c r="V4404" s="13"/>
      <c r="W4404" s="13"/>
      <c r="X4404" s="21"/>
      <c r="Y4404" s="22"/>
      <c r="Z4404" s="23"/>
      <c r="AA4404" s="23"/>
      <c r="AB4404" s="15"/>
      <c r="AC4404" s="14"/>
      <c r="AD4404" s="18"/>
      <c r="AE4404" s="18"/>
    </row>
    <row r="4405" customFormat="false" ht="15" hidden="false" customHeight="true" outlineLevel="0" collapsed="false">
      <c r="A4405" s="12"/>
      <c r="B4405" s="13"/>
      <c r="C4405" s="14"/>
      <c r="D4405" s="13"/>
      <c r="E4405" s="15"/>
      <c r="F4405" s="15"/>
      <c r="G4405" s="15"/>
      <c r="H4405" s="13"/>
      <c r="I4405" s="13"/>
      <c r="J4405" s="16"/>
      <c r="K4405" s="16"/>
      <c r="L4405" s="17" t="str">
        <f aca="false" t="array" ref="L4405:L4405">IFERROR(INDEX(AC4405:AE4405,IF(COUNTA(AC4405:AE4405)=0,"",MAX((AC4405:AE4405&lt;&gt;"")*(COLUMN(AC4405:AE4405)-(COLUMN(AC4405)-2))))-1),"")</f>
        <v/>
      </c>
      <c r="M4405" s="13"/>
      <c r="N4405" s="13"/>
      <c r="O4405" s="13"/>
      <c r="P4405" s="26"/>
      <c r="Q4405" s="20"/>
      <c r="R4405" s="13"/>
      <c r="S4405" s="25"/>
      <c r="T4405" s="13"/>
      <c r="U4405" s="13"/>
      <c r="V4405" s="13"/>
      <c r="W4405" s="13"/>
      <c r="X4405" s="21"/>
      <c r="Y4405" s="22"/>
      <c r="Z4405" s="23"/>
      <c r="AA4405" s="23"/>
      <c r="AB4405" s="15"/>
      <c r="AC4405" s="14"/>
      <c r="AD4405" s="18"/>
      <c r="AE4405" s="18"/>
    </row>
    <row r="4406" customFormat="false" ht="15" hidden="false" customHeight="true" outlineLevel="0" collapsed="false">
      <c r="A4406" s="12"/>
      <c r="B4406" s="13"/>
      <c r="C4406" s="14"/>
      <c r="D4406" s="13"/>
      <c r="E4406" s="15"/>
      <c r="F4406" s="15"/>
      <c r="G4406" s="15"/>
      <c r="H4406" s="13"/>
      <c r="I4406" s="13"/>
      <c r="J4406" s="16"/>
      <c r="K4406" s="16"/>
      <c r="L4406" s="17" t="str">
        <f aca="false" t="array" ref="L4406:L4406">IFERROR(INDEX(AC4406:AE4406,IF(COUNTA(AC4406:AE4406)=0,"",MAX((AC4406:AE4406&lt;&gt;"")*(COLUMN(AC4406:AE4406)-(COLUMN(AC4406)-2))))-1),"")</f>
        <v/>
      </c>
      <c r="M4406" s="13"/>
      <c r="N4406" s="13"/>
      <c r="O4406" s="13"/>
      <c r="P4406" s="26"/>
      <c r="Q4406" s="20"/>
      <c r="R4406" s="13"/>
      <c r="S4406" s="25"/>
      <c r="T4406" s="13"/>
      <c r="U4406" s="13"/>
      <c r="V4406" s="13"/>
      <c r="W4406" s="13"/>
      <c r="X4406" s="21"/>
      <c r="Y4406" s="22"/>
      <c r="Z4406" s="23"/>
      <c r="AA4406" s="23"/>
      <c r="AB4406" s="15"/>
      <c r="AC4406" s="14"/>
      <c r="AD4406" s="18"/>
      <c r="AE4406" s="18"/>
    </row>
    <row r="4407" customFormat="false" ht="15" hidden="false" customHeight="true" outlineLevel="0" collapsed="false">
      <c r="A4407" s="12"/>
      <c r="B4407" s="13"/>
      <c r="C4407" s="14"/>
      <c r="D4407" s="13"/>
      <c r="E4407" s="15"/>
      <c r="F4407" s="15"/>
      <c r="G4407" s="15"/>
      <c r="H4407" s="13"/>
      <c r="I4407" s="13"/>
      <c r="J4407" s="16"/>
      <c r="K4407" s="16"/>
      <c r="L4407" s="17" t="str">
        <f aca="false" t="array" ref="L4407:L4407">IFERROR(INDEX(AC4407:AE4407,IF(COUNTA(AC4407:AE4407)=0,"",MAX((AC4407:AE4407&lt;&gt;"")*(COLUMN(AC4407:AE4407)-(COLUMN(AC4407)-2))))-1),"")</f>
        <v/>
      </c>
      <c r="M4407" s="13"/>
      <c r="N4407" s="13"/>
      <c r="O4407" s="13"/>
      <c r="P4407" s="26"/>
      <c r="Q4407" s="20"/>
      <c r="R4407" s="13"/>
      <c r="S4407" s="25"/>
      <c r="T4407" s="13"/>
      <c r="U4407" s="13"/>
      <c r="V4407" s="13"/>
      <c r="W4407" s="13"/>
      <c r="X4407" s="21"/>
      <c r="Y4407" s="22"/>
      <c r="Z4407" s="23"/>
      <c r="AA4407" s="23"/>
      <c r="AB4407" s="15"/>
      <c r="AC4407" s="14"/>
      <c r="AD4407" s="18"/>
      <c r="AE4407" s="18"/>
    </row>
    <row r="4408" customFormat="false" ht="15" hidden="false" customHeight="true" outlineLevel="0" collapsed="false">
      <c r="A4408" s="12"/>
      <c r="B4408" s="13"/>
      <c r="C4408" s="14"/>
      <c r="D4408" s="13"/>
      <c r="E4408" s="15"/>
      <c r="F4408" s="15"/>
      <c r="G4408" s="15"/>
      <c r="H4408" s="13"/>
      <c r="I4408" s="13"/>
      <c r="J4408" s="16"/>
      <c r="K4408" s="16"/>
      <c r="L4408" s="17" t="str">
        <f aca="false" t="array" ref="L4408:L4408">IFERROR(INDEX(AC4408:AE4408,IF(COUNTA(AC4408:AE4408)=0,"",MAX((AC4408:AE4408&lt;&gt;"")*(COLUMN(AC4408:AE4408)-(COLUMN(AC4408)-2))))-1),"")</f>
        <v/>
      </c>
      <c r="M4408" s="13"/>
      <c r="N4408" s="13"/>
      <c r="O4408" s="13"/>
      <c r="P4408" s="26"/>
      <c r="Q4408" s="20"/>
      <c r="R4408" s="13"/>
      <c r="S4408" s="25"/>
      <c r="T4408" s="13"/>
      <c r="U4408" s="13"/>
      <c r="V4408" s="13"/>
      <c r="W4408" s="13"/>
      <c r="X4408" s="21"/>
      <c r="Y4408" s="22"/>
      <c r="Z4408" s="23"/>
      <c r="AA4408" s="23"/>
      <c r="AB4408" s="15"/>
      <c r="AC4408" s="14"/>
      <c r="AD4408" s="18"/>
      <c r="AE4408" s="18"/>
    </row>
    <row r="4409" customFormat="false" ht="15" hidden="false" customHeight="true" outlineLevel="0" collapsed="false">
      <c r="A4409" s="12"/>
      <c r="B4409" s="13"/>
      <c r="C4409" s="14"/>
      <c r="D4409" s="13"/>
      <c r="E4409" s="15"/>
      <c r="F4409" s="15"/>
      <c r="G4409" s="15"/>
      <c r="H4409" s="13"/>
      <c r="I4409" s="13"/>
      <c r="J4409" s="16"/>
      <c r="K4409" s="16"/>
      <c r="L4409" s="17" t="str">
        <f aca="false" t="array" ref="L4409:L4409">IFERROR(INDEX(AC4409:AE4409,IF(COUNTA(AC4409:AE4409)=0,"",MAX((AC4409:AE4409&lt;&gt;"")*(COLUMN(AC4409:AE4409)-(COLUMN(AC4409)-2))))-1),"")</f>
        <v/>
      </c>
      <c r="M4409" s="13"/>
      <c r="N4409" s="13"/>
      <c r="O4409" s="13"/>
      <c r="P4409" s="26"/>
      <c r="Q4409" s="20"/>
      <c r="R4409" s="13"/>
      <c r="S4409" s="25"/>
      <c r="T4409" s="13"/>
      <c r="U4409" s="13"/>
      <c r="V4409" s="13"/>
      <c r="W4409" s="13"/>
      <c r="X4409" s="21"/>
      <c r="Y4409" s="22"/>
      <c r="Z4409" s="23"/>
      <c r="AA4409" s="23"/>
      <c r="AB4409" s="15"/>
      <c r="AC4409" s="14"/>
      <c r="AD4409" s="18"/>
      <c r="AE4409" s="18"/>
    </row>
    <row r="4410" customFormat="false" ht="15" hidden="false" customHeight="true" outlineLevel="0" collapsed="false">
      <c r="A4410" s="12"/>
      <c r="B4410" s="13"/>
      <c r="C4410" s="14"/>
      <c r="D4410" s="13"/>
      <c r="E4410" s="15"/>
      <c r="F4410" s="15"/>
      <c r="G4410" s="15"/>
      <c r="H4410" s="13"/>
      <c r="I4410" s="13"/>
      <c r="J4410" s="16"/>
      <c r="K4410" s="16"/>
      <c r="L4410" s="17" t="str">
        <f aca="false" t="array" ref="L4410:L4410">IFERROR(INDEX(AC4410:AE4410,IF(COUNTA(AC4410:AE4410)=0,"",MAX((AC4410:AE4410&lt;&gt;"")*(COLUMN(AC4410:AE4410)-(COLUMN(AC4410)-2))))-1),"")</f>
        <v/>
      </c>
      <c r="M4410" s="13"/>
      <c r="N4410" s="13"/>
      <c r="O4410" s="13"/>
      <c r="P4410" s="26"/>
      <c r="Q4410" s="20"/>
      <c r="R4410" s="13"/>
      <c r="S4410" s="25"/>
      <c r="T4410" s="13"/>
      <c r="U4410" s="13"/>
      <c r="V4410" s="13"/>
      <c r="W4410" s="13"/>
      <c r="X4410" s="21"/>
      <c r="Y4410" s="22"/>
      <c r="Z4410" s="23"/>
      <c r="AA4410" s="23"/>
      <c r="AB4410" s="15"/>
      <c r="AC4410" s="14"/>
      <c r="AD4410" s="18"/>
      <c r="AE4410" s="18"/>
    </row>
    <row r="4411" customFormat="false" ht="15" hidden="false" customHeight="true" outlineLevel="0" collapsed="false">
      <c r="A4411" s="12"/>
      <c r="B4411" s="13"/>
      <c r="C4411" s="14"/>
      <c r="D4411" s="13"/>
      <c r="E4411" s="15"/>
      <c r="F4411" s="15"/>
      <c r="G4411" s="15"/>
      <c r="H4411" s="13"/>
      <c r="I4411" s="13"/>
      <c r="J4411" s="16"/>
      <c r="K4411" s="16"/>
      <c r="L4411" s="17" t="str">
        <f aca="false" t="array" ref="L4411:L4411">IFERROR(INDEX(AC4411:AE4411,IF(COUNTA(AC4411:AE4411)=0,"",MAX((AC4411:AE4411&lt;&gt;"")*(COLUMN(AC4411:AE4411)-(COLUMN(AC4411)-2))))-1),"")</f>
        <v/>
      </c>
      <c r="M4411" s="13"/>
      <c r="N4411" s="13"/>
      <c r="O4411" s="13"/>
      <c r="P4411" s="26"/>
      <c r="Q4411" s="20"/>
      <c r="R4411" s="13"/>
      <c r="S4411" s="25"/>
      <c r="T4411" s="13"/>
      <c r="U4411" s="13"/>
      <c r="V4411" s="13"/>
      <c r="W4411" s="13"/>
      <c r="X4411" s="21"/>
      <c r="Y4411" s="22"/>
      <c r="Z4411" s="23"/>
      <c r="AA4411" s="23"/>
      <c r="AB4411" s="15"/>
      <c r="AC4411" s="14"/>
      <c r="AD4411" s="18"/>
      <c r="AE4411" s="18"/>
    </row>
    <row r="4412" customFormat="false" ht="15" hidden="false" customHeight="true" outlineLevel="0" collapsed="false">
      <c r="A4412" s="12"/>
      <c r="B4412" s="13"/>
      <c r="C4412" s="14"/>
      <c r="D4412" s="13"/>
      <c r="E4412" s="15"/>
      <c r="F4412" s="15"/>
      <c r="G4412" s="15"/>
      <c r="H4412" s="13"/>
      <c r="I4412" s="13"/>
      <c r="J4412" s="16"/>
      <c r="K4412" s="16"/>
      <c r="L4412" s="17" t="str">
        <f aca="false" t="array" ref="L4412:L4412">IFERROR(INDEX(AC4412:AE4412,IF(COUNTA(AC4412:AE4412)=0,"",MAX((AC4412:AE4412&lt;&gt;"")*(COLUMN(AC4412:AE4412)-(COLUMN(AC4412)-2))))-1),"")</f>
        <v/>
      </c>
      <c r="M4412" s="13"/>
      <c r="N4412" s="13"/>
      <c r="O4412" s="13"/>
      <c r="P4412" s="26"/>
      <c r="Q4412" s="20"/>
      <c r="R4412" s="13"/>
      <c r="S4412" s="25"/>
      <c r="T4412" s="13"/>
      <c r="U4412" s="13"/>
      <c r="V4412" s="13"/>
      <c r="W4412" s="13"/>
      <c r="X4412" s="21"/>
      <c r="Y4412" s="22"/>
      <c r="Z4412" s="23"/>
      <c r="AA4412" s="23"/>
      <c r="AB4412" s="15"/>
      <c r="AC4412" s="14"/>
      <c r="AD4412" s="18"/>
      <c r="AE4412" s="18"/>
    </row>
    <row r="4413" customFormat="false" ht="15" hidden="false" customHeight="true" outlineLevel="0" collapsed="false">
      <c r="A4413" s="12"/>
      <c r="B4413" s="13"/>
      <c r="C4413" s="14"/>
      <c r="D4413" s="13"/>
      <c r="E4413" s="15"/>
      <c r="F4413" s="15"/>
      <c r="G4413" s="15"/>
      <c r="H4413" s="13"/>
      <c r="I4413" s="13"/>
      <c r="J4413" s="16"/>
      <c r="K4413" s="16"/>
      <c r="L4413" s="17" t="str">
        <f aca="false" t="array" ref="L4413:L4413">IFERROR(INDEX(AC4413:AE4413,IF(COUNTA(AC4413:AE4413)=0,"",MAX((AC4413:AE4413&lt;&gt;"")*(COLUMN(AC4413:AE4413)-(COLUMN(AC4413)-2))))-1),"")</f>
        <v/>
      </c>
      <c r="M4413" s="13"/>
      <c r="N4413" s="13"/>
      <c r="O4413" s="13"/>
      <c r="P4413" s="26"/>
      <c r="Q4413" s="20"/>
      <c r="R4413" s="13"/>
      <c r="S4413" s="25"/>
      <c r="T4413" s="13"/>
      <c r="U4413" s="13"/>
      <c r="V4413" s="13"/>
      <c r="W4413" s="13"/>
      <c r="X4413" s="21"/>
      <c r="Y4413" s="22"/>
      <c r="Z4413" s="23"/>
      <c r="AA4413" s="23"/>
      <c r="AB4413" s="15"/>
      <c r="AC4413" s="14"/>
      <c r="AD4413" s="18"/>
      <c r="AE4413" s="18"/>
    </row>
    <row r="4414" customFormat="false" ht="15" hidden="false" customHeight="true" outlineLevel="0" collapsed="false">
      <c r="A4414" s="12"/>
      <c r="B4414" s="13"/>
      <c r="C4414" s="14"/>
      <c r="D4414" s="13"/>
      <c r="E4414" s="15"/>
      <c r="F4414" s="15"/>
      <c r="G4414" s="15"/>
      <c r="H4414" s="13"/>
      <c r="I4414" s="13"/>
      <c r="J4414" s="16"/>
      <c r="K4414" s="16"/>
      <c r="L4414" s="17" t="str">
        <f aca="false" t="array" ref="L4414:L4414">IFERROR(INDEX(AC4414:AE4414,IF(COUNTA(AC4414:AE4414)=0,"",MAX((AC4414:AE4414&lt;&gt;"")*(COLUMN(AC4414:AE4414)-(COLUMN(AC4414)-2))))-1),"")</f>
        <v/>
      </c>
      <c r="M4414" s="13"/>
      <c r="N4414" s="13"/>
      <c r="O4414" s="13"/>
      <c r="P4414" s="26"/>
      <c r="Q4414" s="20"/>
      <c r="R4414" s="13"/>
      <c r="S4414" s="25"/>
      <c r="T4414" s="13"/>
      <c r="U4414" s="13"/>
      <c r="V4414" s="13"/>
      <c r="W4414" s="13"/>
      <c r="X4414" s="21"/>
      <c r="Y4414" s="22"/>
      <c r="Z4414" s="23"/>
      <c r="AA4414" s="23"/>
      <c r="AB4414" s="15"/>
      <c r="AC4414" s="14"/>
      <c r="AD4414" s="18"/>
      <c r="AE4414" s="18"/>
    </row>
    <row r="4415" customFormat="false" ht="15" hidden="false" customHeight="true" outlineLevel="0" collapsed="false">
      <c r="A4415" s="12"/>
      <c r="B4415" s="13"/>
      <c r="C4415" s="14"/>
      <c r="D4415" s="13"/>
      <c r="E4415" s="15"/>
      <c r="F4415" s="15"/>
      <c r="G4415" s="15"/>
      <c r="H4415" s="13"/>
      <c r="I4415" s="13"/>
      <c r="J4415" s="16"/>
      <c r="K4415" s="16"/>
      <c r="L4415" s="17" t="str">
        <f aca="false" t="array" ref="L4415:L4415">IFERROR(INDEX(AC4415:AE4415,IF(COUNTA(AC4415:AE4415)=0,"",MAX((AC4415:AE4415&lt;&gt;"")*(COLUMN(AC4415:AE4415)-(COLUMN(AC4415)-2))))-1),"")</f>
        <v/>
      </c>
      <c r="M4415" s="13"/>
      <c r="N4415" s="13"/>
      <c r="O4415" s="13"/>
      <c r="P4415" s="26"/>
      <c r="Q4415" s="20"/>
      <c r="R4415" s="13"/>
      <c r="S4415" s="25"/>
      <c r="T4415" s="13"/>
      <c r="U4415" s="13"/>
      <c r="V4415" s="13"/>
      <c r="W4415" s="13"/>
      <c r="X4415" s="21"/>
      <c r="Y4415" s="22"/>
      <c r="Z4415" s="23"/>
      <c r="AA4415" s="23"/>
      <c r="AB4415" s="15"/>
      <c r="AC4415" s="14"/>
      <c r="AD4415" s="18"/>
      <c r="AE4415" s="18"/>
    </row>
    <row r="4416" customFormat="false" ht="15" hidden="false" customHeight="true" outlineLevel="0" collapsed="false">
      <c r="A4416" s="12"/>
      <c r="B4416" s="13"/>
      <c r="C4416" s="14"/>
      <c r="D4416" s="13"/>
      <c r="E4416" s="15"/>
      <c r="F4416" s="15"/>
      <c r="G4416" s="15"/>
      <c r="H4416" s="13"/>
      <c r="I4416" s="13"/>
      <c r="J4416" s="16"/>
      <c r="K4416" s="16"/>
      <c r="L4416" s="17" t="str">
        <f aca="false" t="array" ref="L4416:L4416">IFERROR(INDEX(AC4416:AE4416,IF(COUNTA(AC4416:AE4416)=0,"",MAX((AC4416:AE4416&lt;&gt;"")*(COLUMN(AC4416:AE4416)-(COLUMN(AC4416)-2))))-1),"")</f>
        <v/>
      </c>
      <c r="M4416" s="13"/>
      <c r="N4416" s="13"/>
      <c r="O4416" s="13"/>
      <c r="P4416" s="26"/>
      <c r="Q4416" s="20"/>
      <c r="R4416" s="13"/>
      <c r="S4416" s="25"/>
      <c r="T4416" s="13"/>
      <c r="U4416" s="13"/>
      <c r="V4416" s="13"/>
      <c r="W4416" s="13"/>
      <c r="X4416" s="21"/>
      <c r="Y4416" s="22"/>
      <c r="Z4416" s="23"/>
      <c r="AA4416" s="23"/>
      <c r="AB4416" s="15"/>
      <c r="AC4416" s="14"/>
      <c r="AD4416" s="18"/>
      <c r="AE4416" s="18"/>
    </row>
    <row r="4417" customFormat="false" ht="15" hidden="false" customHeight="true" outlineLevel="0" collapsed="false">
      <c r="A4417" s="12"/>
      <c r="B4417" s="13"/>
      <c r="C4417" s="14"/>
      <c r="D4417" s="13"/>
      <c r="E4417" s="15"/>
      <c r="F4417" s="15"/>
      <c r="G4417" s="15"/>
      <c r="H4417" s="13"/>
      <c r="I4417" s="13"/>
      <c r="J4417" s="16"/>
      <c r="K4417" s="16"/>
      <c r="L4417" s="17" t="str">
        <f aca="false" t="array" ref="L4417:L4417">IFERROR(INDEX(AC4417:AE4417,IF(COUNTA(AC4417:AE4417)=0,"",MAX((AC4417:AE4417&lt;&gt;"")*(COLUMN(AC4417:AE4417)-(COLUMN(AC4417)-2))))-1),"")</f>
        <v/>
      </c>
      <c r="M4417" s="13"/>
      <c r="N4417" s="13"/>
      <c r="O4417" s="13"/>
      <c r="P4417" s="26"/>
      <c r="Q4417" s="20"/>
      <c r="R4417" s="13"/>
      <c r="S4417" s="25"/>
      <c r="T4417" s="13"/>
      <c r="U4417" s="13"/>
      <c r="V4417" s="13"/>
      <c r="W4417" s="13"/>
      <c r="X4417" s="21"/>
      <c r="Y4417" s="22"/>
      <c r="Z4417" s="23"/>
      <c r="AA4417" s="23"/>
      <c r="AB4417" s="15"/>
      <c r="AC4417" s="14"/>
      <c r="AD4417" s="18"/>
      <c r="AE4417" s="18"/>
    </row>
    <row r="4418" customFormat="false" ht="15" hidden="false" customHeight="true" outlineLevel="0" collapsed="false">
      <c r="A4418" s="12"/>
      <c r="B4418" s="13"/>
      <c r="C4418" s="14"/>
      <c r="D4418" s="13"/>
      <c r="E4418" s="15"/>
      <c r="F4418" s="15"/>
      <c r="G4418" s="15"/>
      <c r="H4418" s="13"/>
      <c r="I4418" s="13"/>
      <c r="J4418" s="16"/>
      <c r="K4418" s="16"/>
      <c r="L4418" s="17" t="str">
        <f aca="false" t="array" ref="L4418:L4418">IFERROR(INDEX(AC4418:AE4418,IF(COUNTA(AC4418:AE4418)=0,"",MAX((AC4418:AE4418&lt;&gt;"")*(COLUMN(AC4418:AE4418)-(COLUMN(AC4418)-2))))-1),"")</f>
        <v/>
      </c>
      <c r="M4418" s="13"/>
      <c r="N4418" s="13"/>
      <c r="O4418" s="13"/>
      <c r="P4418" s="26"/>
      <c r="Q4418" s="20"/>
      <c r="R4418" s="13"/>
      <c r="S4418" s="25"/>
      <c r="T4418" s="13"/>
      <c r="U4418" s="13"/>
      <c r="V4418" s="13"/>
      <c r="W4418" s="13"/>
      <c r="X4418" s="21"/>
      <c r="Y4418" s="22"/>
      <c r="Z4418" s="23"/>
      <c r="AA4418" s="23"/>
      <c r="AB4418" s="15"/>
      <c r="AC4418" s="14"/>
      <c r="AD4418" s="18"/>
      <c r="AE4418" s="18"/>
    </row>
    <row r="4419" customFormat="false" ht="15" hidden="false" customHeight="true" outlineLevel="0" collapsed="false">
      <c r="A4419" s="12"/>
      <c r="B4419" s="13"/>
      <c r="C4419" s="14"/>
      <c r="D4419" s="13"/>
      <c r="E4419" s="15"/>
      <c r="F4419" s="15"/>
      <c r="G4419" s="15"/>
      <c r="H4419" s="13"/>
      <c r="I4419" s="13"/>
      <c r="J4419" s="16"/>
      <c r="K4419" s="16"/>
      <c r="L4419" s="17" t="str">
        <f aca="false" t="array" ref="L4419:L4419">IFERROR(INDEX(AC4419:AE4419,IF(COUNTA(AC4419:AE4419)=0,"",MAX((AC4419:AE4419&lt;&gt;"")*(COLUMN(AC4419:AE4419)-(COLUMN(AC4419)-2))))-1),"")</f>
        <v/>
      </c>
      <c r="M4419" s="13"/>
      <c r="N4419" s="13"/>
      <c r="O4419" s="13"/>
      <c r="P4419" s="26"/>
      <c r="Q4419" s="20"/>
      <c r="R4419" s="13"/>
      <c r="S4419" s="25"/>
      <c r="T4419" s="13"/>
      <c r="U4419" s="13"/>
      <c r="V4419" s="13"/>
      <c r="W4419" s="13"/>
      <c r="X4419" s="21"/>
      <c r="Y4419" s="22"/>
      <c r="Z4419" s="23"/>
      <c r="AA4419" s="23"/>
      <c r="AB4419" s="15"/>
      <c r="AC4419" s="14"/>
      <c r="AD4419" s="18"/>
      <c r="AE4419" s="18"/>
    </row>
    <row r="4420" customFormat="false" ht="15" hidden="false" customHeight="true" outlineLevel="0" collapsed="false">
      <c r="A4420" s="12"/>
      <c r="B4420" s="13"/>
      <c r="C4420" s="14"/>
      <c r="D4420" s="13"/>
      <c r="E4420" s="15"/>
      <c r="F4420" s="15"/>
      <c r="G4420" s="15"/>
      <c r="H4420" s="13"/>
      <c r="I4420" s="13"/>
      <c r="J4420" s="16"/>
      <c r="K4420" s="16"/>
      <c r="L4420" s="17" t="str">
        <f aca="false" t="array" ref="L4420:L4420">IFERROR(INDEX(AC4420:AE4420,IF(COUNTA(AC4420:AE4420)=0,"",MAX((AC4420:AE4420&lt;&gt;"")*(COLUMN(AC4420:AE4420)-(COLUMN(AC4420)-2))))-1),"")</f>
        <v/>
      </c>
      <c r="M4420" s="13"/>
      <c r="N4420" s="13"/>
      <c r="O4420" s="13"/>
      <c r="P4420" s="26"/>
      <c r="Q4420" s="20"/>
      <c r="R4420" s="13"/>
      <c r="S4420" s="25"/>
      <c r="T4420" s="13"/>
      <c r="U4420" s="13"/>
      <c r="V4420" s="13"/>
      <c r="W4420" s="13"/>
      <c r="X4420" s="21"/>
      <c r="Y4420" s="22"/>
      <c r="Z4420" s="23"/>
      <c r="AA4420" s="23"/>
      <c r="AB4420" s="15"/>
      <c r="AC4420" s="14"/>
      <c r="AD4420" s="18"/>
      <c r="AE4420" s="18"/>
    </row>
    <row r="4421" customFormat="false" ht="15" hidden="false" customHeight="true" outlineLevel="0" collapsed="false">
      <c r="A4421" s="12"/>
      <c r="B4421" s="13"/>
      <c r="C4421" s="14"/>
      <c r="D4421" s="13"/>
      <c r="E4421" s="15"/>
      <c r="F4421" s="15"/>
      <c r="G4421" s="15"/>
      <c r="H4421" s="13"/>
      <c r="I4421" s="13"/>
      <c r="J4421" s="16"/>
      <c r="K4421" s="16"/>
      <c r="L4421" s="17" t="str">
        <f aca="false" t="array" ref="L4421:L4421">IFERROR(INDEX(AC4421:AE4421,IF(COUNTA(AC4421:AE4421)=0,"",MAX((AC4421:AE4421&lt;&gt;"")*(COLUMN(AC4421:AE4421)-(COLUMN(AC4421)-2))))-1),"")</f>
        <v/>
      </c>
      <c r="M4421" s="13"/>
      <c r="N4421" s="13"/>
      <c r="O4421" s="13"/>
      <c r="P4421" s="26"/>
      <c r="Q4421" s="20"/>
      <c r="R4421" s="13"/>
      <c r="S4421" s="25"/>
      <c r="T4421" s="13"/>
      <c r="U4421" s="13"/>
      <c r="V4421" s="13"/>
      <c r="W4421" s="13"/>
      <c r="X4421" s="21"/>
      <c r="Y4421" s="22"/>
      <c r="Z4421" s="23"/>
      <c r="AA4421" s="23"/>
      <c r="AB4421" s="15"/>
      <c r="AC4421" s="14"/>
      <c r="AD4421" s="18"/>
      <c r="AE4421" s="18"/>
    </row>
    <row r="4422" customFormat="false" ht="15" hidden="false" customHeight="true" outlineLevel="0" collapsed="false">
      <c r="A4422" s="12"/>
      <c r="B4422" s="13"/>
      <c r="C4422" s="14"/>
      <c r="D4422" s="13"/>
      <c r="E4422" s="15"/>
      <c r="F4422" s="15"/>
      <c r="G4422" s="15"/>
      <c r="H4422" s="13"/>
      <c r="I4422" s="13"/>
      <c r="J4422" s="16"/>
      <c r="K4422" s="16"/>
      <c r="L4422" s="17" t="str">
        <f aca="false" t="array" ref="L4422:L4422">IFERROR(INDEX(AC4422:AE4422,IF(COUNTA(AC4422:AE4422)=0,"",MAX((AC4422:AE4422&lt;&gt;"")*(COLUMN(AC4422:AE4422)-(COLUMN(AC4422)-2))))-1),"")</f>
        <v/>
      </c>
      <c r="M4422" s="13"/>
      <c r="N4422" s="13"/>
      <c r="O4422" s="13"/>
      <c r="P4422" s="26"/>
      <c r="Q4422" s="20"/>
      <c r="R4422" s="13"/>
      <c r="S4422" s="25"/>
      <c r="T4422" s="13"/>
      <c r="U4422" s="13"/>
      <c r="V4422" s="13"/>
      <c r="W4422" s="13"/>
      <c r="X4422" s="21"/>
      <c r="Y4422" s="22"/>
      <c r="Z4422" s="23"/>
      <c r="AA4422" s="23"/>
      <c r="AB4422" s="15"/>
      <c r="AC4422" s="14"/>
      <c r="AD4422" s="18"/>
      <c r="AE4422" s="18"/>
    </row>
    <row r="4423" customFormat="false" ht="15" hidden="false" customHeight="true" outlineLevel="0" collapsed="false">
      <c r="A4423" s="12"/>
      <c r="B4423" s="13"/>
      <c r="C4423" s="14"/>
      <c r="D4423" s="13"/>
      <c r="E4423" s="15"/>
      <c r="F4423" s="15"/>
      <c r="G4423" s="15"/>
      <c r="H4423" s="13"/>
      <c r="I4423" s="13"/>
      <c r="J4423" s="16"/>
      <c r="K4423" s="16"/>
      <c r="L4423" s="17" t="str">
        <f aca="false" t="array" ref="L4423:L4423">IFERROR(INDEX(AC4423:AE4423,IF(COUNTA(AC4423:AE4423)=0,"",MAX((AC4423:AE4423&lt;&gt;"")*(COLUMN(AC4423:AE4423)-(COLUMN(AC4423)-2))))-1),"")</f>
        <v/>
      </c>
      <c r="M4423" s="13"/>
      <c r="N4423" s="13"/>
      <c r="O4423" s="13"/>
      <c r="P4423" s="26"/>
      <c r="Q4423" s="20"/>
      <c r="R4423" s="13"/>
      <c r="S4423" s="25"/>
      <c r="T4423" s="13"/>
      <c r="U4423" s="13"/>
      <c r="V4423" s="13"/>
      <c r="W4423" s="13"/>
      <c r="X4423" s="21"/>
      <c r="Y4423" s="22"/>
      <c r="Z4423" s="23"/>
      <c r="AA4423" s="23"/>
      <c r="AB4423" s="15"/>
      <c r="AC4423" s="14"/>
      <c r="AD4423" s="18"/>
      <c r="AE4423" s="18"/>
    </row>
    <row r="4424" customFormat="false" ht="15" hidden="false" customHeight="true" outlineLevel="0" collapsed="false">
      <c r="A4424" s="12"/>
      <c r="B4424" s="13"/>
      <c r="C4424" s="14"/>
      <c r="D4424" s="13"/>
      <c r="E4424" s="15"/>
      <c r="F4424" s="15"/>
      <c r="G4424" s="15"/>
      <c r="H4424" s="13"/>
      <c r="I4424" s="13"/>
      <c r="J4424" s="16"/>
      <c r="K4424" s="16"/>
      <c r="L4424" s="17" t="str">
        <f aca="false" t="array" ref="L4424:L4424">IFERROR(INDEX(AC4424:AE4424,IF(COUNTA(AC4424:AE4424)=0,"",MAX((AC4424:AE4424&lt;&gt;"")*(COLUMN(AC4424:AE4424)-(COLUMN(AC4424)-2))))-1),"")</f>
        <v/>
      </c>
      <c r="M4424" s="13"/>
      <c r="N4424" s="13"/>
      <c r="O4424" s="13"/>
      <c r="P4424" s="26"/>
      <c r="Q4424" s="20"/>
      <c r="R4424" s="13"/>
      <c r="S4424" s="25"/>
      <c r="T4424" s="13"/>
      <c r="U4424" s="13"/>
      <c r="V4424" s="13"/>
      <c r="W4424" s="13"/>
      <c r="X4424" s="21"/>
      <c r="Y4424" s="22"/>
      <c r="Z4424" s="23"/>
      <c r="AA4424" s="23"/>
      <c r="AB4424" s="15"/>
      <c r="AC4424" s="14"/>
      <c r="AD4424" s="18"/>
      <c r="AE4424" s="18"/>
    </row>
    <row r="4425" customFormat="false" ht="15" hidden="false" customHeight="true" outlineLevel="0" collapsed="false">
      <c r="A4425" s="12"/>
      <c r="B4425" s="13"/>
      <c r="C4425" s="14"/>
      <c r="D4425" s="13"/>
      <c r="E4425" s="15"/>
      <c r="F4425" s="15"/>
      <c r="G4425" s="15"/>
      <c r="H4425" s="13"/>
      <c r="I4425" s="13"/>
      <c r="J4425" s="16"/>
      <c r="K4425" s="16"/>
      <c r="L4425" s="17" t="str">
        <f aca="false" t="array" ref="L4425:L4425">IFERROR(INDEX(AC4425:AE4425,IF(COUNTA(AC4425:AE4425)=0,"",MAX((AC4425:AE4425&lt;&gt;"")*(COLUMN(AC4425:AE4425)-(COLUMN(AC4425)-2))))-1),"")</f>
        <v/>
      </c>
      <c r="M4425" s="13"/>
      <c r="N4425" s="13"/>
      <c r="O4425" s="13"/>
      <c r="P4425" s="26"/>
      <c r="Q4425" s="20"/>
      <c r="R4425" s="13"/>
      <c r="S4425" s="25"/>
      <c r="T4425" s="13"/>
      <c r="U4425" s="13"/>
      <c r="V4425" s="13"/>
      <c r="W4425" s="13"/>
      <c r="X4425" s="21"/>
      <c r="Y4425" s="22"/>
      <c r="Z4425" s="23"/>
      <c r="AA4425" s="23"/>
      <c r="AB4425" s="15"/>
      <c r="AC4425" s="14"/>
      <c r="AD4425" s="18"/>
      <c r="AE4425" s="18"/>
    </row>
    <row r="4426" customFormat="false" ht="15" hidden="false" customHeight="true" outlineLevel="0" collapsed="false">
      <c r="A4426" s="12"/>
      <c r="B4426" s="13"/>
      <c r="C4426" s="14"/>
      <c r="D4426" s="13"/>
      <c r="E4426" s="15"/>
      <c r="F4426" s="15"/>
      <c r="G4426" s="15"/>
      <c r="H4426" s="13"/>
      <c r="I4426" s="13"/>
      <c r="J4426" s="16"/>
      <c r="K4426" s="16"/>
      <c r="L4426" s="17" t="str">
        <f aca="false" t="array" ref="L4426:L4426">IFERROR(INDEX(AC4426:AE4426,IF(COUNTA(AC4426:AE4426)=0,"",MAX((AC4426:AE4426&lt;&gt;"")*(COLUMN(AC4426:AE4426)-(COLUMN(AC4426)-2))))-1),"")</f>
        <v/>
      </c>
      <c r="M4426" s="13"/>
      <c r="N4426" s="13"/>
      <c r="O4426" s="13"/>
      <c r="P4426" s="26"/>
      <c r="Q4426" s="20"/>
      <c r="R4426" s="13"/>
      <c r="S4426" s="25"/>
      <c r="T4426" s="13"/>
      <c r="U4426" s="13"/>
      <c r="V4426" s="13"/>
      <c r="W4426" s="13"/>
      <c r="X4426" s="21"/>
      <c r="Y4426" s="22"/>
      <c r="Z4426" s="23"/>
      <c r="AA4426" s="23"/>
      <c r="AB4426" s="15"/>
      <c r="AC4426" s="14"/>
      <c r="AD4426" s="18"/>
      <c r="AE4426" s="18"/>
    </row>
    <row r="4427" customFormat="false" ht="15" hidden="false" customHeight="true" outlineLevel="0" collapsed="false">
      <c r="A4427" s="12"/>
      <c r="B4427" s="13"/>
      <c r="C4427" s="14"/>
      <c r="D4427" s="13"/>
      <c r="E4427" s="15"/>
      <c r="F4427" s="15"/>
      <c r="G4427" s="15"/>
      <c r="H4427" s="13"/>
      <c r="I4427" s="13"/>
      <c r="J4427" s="16"/>
      <c r="K4427" s="16"/>
      <c r="L4427" s="17" t="str">
        <f aca="false" t="array" ref="L4427:L4427">IFERROR(INDEX(AC4427:AE4427,IF(COUNTA(AC4427:AE4427)=0,"",MAX((AC4427:AE4427&lt;&gt;"")*(COLUMN(AC4427:AE4427)-(COLUMN(AC4427)-2))))-1),"")</f>
        <v/>
      </c>
      <c r="M4427" s="13"/>
      <c r="N4427" s="13"/>
      <c r="O4427" s="13"/>
      <c r="P4427" s="26"/>
      <c r="Q4427" s="20"/>
      <c r="R4427" s="13"/>
      <c r="S4427" s="25"/>
      <c r="T4427" s="13"/>
      <c r="U4427" s="13"/>
      <c r="V4427" s="13"/>
      <c r="W4427" s="13"/>
      <c r="X4427" s="21"/>
      <c r="Y4427" s="22"/>
      <c r="Z4427" s="23"/>
      <c r="AA4427" s="23"/>
      <c r="AB4427" s="15"/>
      <c r="AC4427" s="14"/>
      <c r="AD4427" s="18"/>
      <c r="AE4427" s="18"/>
    </row>
    <row r="4428" customFormat="false" ht="15" hidden="false" customHeight="true" outlineLevel="0" collapsed="false">
      <c r="A4428" s="12"/>
      <c r="B4428" s="13"/>
      <c r="C4428" s="14"/>
      <c r="D4428" s="13"/>
      <c r="E4428" s="15"/>
      <c r="F4428" s="15"/>
      <c r="G4428" s="15"/>
      <c r="H4428" s="13"/>
      <c r="I4428" s="13"/>
      <c r="J4428" s="16"/>
      <c r="K4428" s="16"/>
      <c r="L4428" s="17" t="str">
        <f aca="false" t="array" ref="L4428:L4428">IFERROR(INDEX(AC4428:AE4428,IF(COUNTA(AC4428:AE4428)=0,"",MAX((AC4428:AE4428&lt;&gt;"")*(COLUMN(AC4428:AE4428)-(COLUMN(AC4428)-2))))-1),"")</f>
        <v/>
      </c>
      <c r="M4428" s="13"/>
      <c r="N4428" s="13"/>
      <c r="O4428" s="13"/>
      <c r="P4428" s="26"/>
      <c r="Q4428" s="20"/>
      <c r="R4428" s="13"/>
      <c r="S4428" s="25"/>
      <c r="T4428" s="13"/>
      <c r="U4428" s="13"/>
      <c r="V4428" s="13"/>
      <c r="W4428" s="13"/>
      <c r="X4428" s="21"/>
      <c r="Y4428" s="22"/>
      <c r="Z4428" s="23"/>
      <c r="AA4428" s="23"/>
      <c r="AB4428" s="15"/>
      <c r="AC4428" s="14"/>
      <c r="AD4428" s="18"/>
      <c r="AE4428" s="18"/>
    </row>
    <row r="4429" customFormat="false" ht="15" hidden="false" customHeight="true" outlineLevel="0" collapsed="false">
      <c r="A4429" s="12"/>
      <c r="B4429" s="13"/>
      <c r="C4429" s="14"/>
      <c r="D4429" s="13"/>
      <c r="E4429" s="15"/>
      <c r="F4429" s="15"/>
      <c r="G4429" s="15"/>
      <c r="H4429" s="13"/>
      <c r="I4429" s="13"/>
      <c r="J4429" s="16"/>
      <c r="K4429" s="16"/>
      <c r="L4429" s="17" t="str">
        <f aca="false" t="array" ref="L4429:L4429">IFERROR(INDEX(AC4429:AE4429,IF(COUNTA(AC4429:AE4429)=0,"",MAX((AC4429:AE4429&lt;&gt;"")*(COLUMN(AC4429:AE4429)-(COLUMN(AC4429)-2))))-1),"")</f>
        <v/>
      </c>
      <c r="M4429" s="13"/>
      <c r="N4429" s="13"/>
      <c r="O4429" s="13"/>
      <c r="P4429" s="26"/>
      <c r="Q4429" s="20"/>
      <c r="R4429" s="13"/>
      <c r="S4429" s="25"/>
      <c r="T4429" s="13"/>
      <c r="U4429" s="13"/>
      <c r="V4429" s="13"/>
      <c r="W4429" s="13"/>
      <c r="X4429" s="21"/>
      <c r="Y4429" s="22"/>
      <c r="Z4429" s="23"/>
      <c r="AA4429" s="23"/>
      <c r="AB4429" s="15"/>
      <c r="AC4429" s="14"/>
      <c r="AD4429" s="18"/>
      <c r="AE4429" s="18"/>
    </row>
    <row r="4430" customFormat="false" ht="15" hidden="false" customHeight="true" outlineLevel="0" collapsed="false">
      <c r="A4430" s="12"/>
      <c r="B4430" s="13"/>
      <c r="C4430" s="14"/>
      <c r="D4430" s="13"/>
      <c r="E4430" s="15"/>
      <c r="F4430" s="15"/>
      <c r="G4430" s="15"/>
      <c r="H4430" s="13"/>
      <c r="I4430" s="13"/>
      <c r="J4430" s="16"/>
      <c r="K4430" s="16"/>
      <c r="L4430" s="17" t="str">
        <f aca="false" t="array" ref="L4430:L4430">IFERROR(INDEX(AC4430:AE4430,IF(COUNTA(AC4430:AE4430)=0,"",MAX((AC4430:AE4430&lt;&gt;"")*(COLUMN(AC4430:AE4430)-(COLUMN(AC4430)-2))))-1),"")</f>
        <v/>
      </c>
      <c r="M4430" s="13"/>
      <c r="N4430" s="13"/>
      <c r="O4430" s="13"/>
      <c r="P4430" s="26"/>
      <c r="Q4430" s="20"/>
      <c r="R4430" s="13"/>
      <c r="S4430" s="25"/>
      <c r="T4430" s="13"/>
      <c r="U4430" s="13"/>
      <c r="V4430" s="13"/>
      <c r="W4430" s="13"/>
      <c r="X4430" s="21"/>
      <c r="Y4430" s="22"/>
      <c r="Z4430" s="23"/>
      <c r="AA4430" s="23"/>
      <c r="AB4430" s="15"/>
      <c r="AC4430" s="14"/>
      <c r="AD4430" s="18"/>
      <c r="AE4430" s="18"/>
    </row>
    <row r="4431" customFormat="false" ht="15" hidden="false" customHeight="true" outlineLevel="0" collapsed="false">
      <c r="A4431" s="12"/>
      <c r="B4431" s="13"/>
      <c r="C4431" s="14"/>
      <c r="D4431" s="13"/>
      <c r="E4431" s="15"/>
      <c r="F4431" s="15"/>
      <c r="G4431" s="15"/>
      <c r="H4431" s="13"/>
      <c r="I4431" s="13"/>
      <c r="J4431" s="16"/>
      <c r="K4431" s="16"/>
      <c r="L4431" s="17" t="str">
        <f aca="false" t="array" ref="L4431:L4431">IFERROR(INDEX(AC4431:AE4431,IF(COUNTA(AC4431:AE4431)=0,"",MAX((AC4431:AE4431&lt;&gt;"")*(COLUMN(AC4431:AE4431)-(COLUMN(AC4431)-2))))-1),"")</f>
        <v/>
      </c>
      <c r="M4431" s="13"/>
      <c r="N4431" s="13"/>
      <c r="O4431" s="13"/>
      <c r="P4431" s="26"/>
      <c r="Q4431" s="20"/>
      <c r="R4431" s="13"/>
      <c r="S4431" s="25"/>
      <c r="T4431" s="13"/>
      <c r="U4431" s="13"/>
      <c r="V4431" s="13"/>
      <c r="W4431" s="13"/>
      <c r="X4431" s="21"/>
      <c r="Y4431" s="22"/>
      <c r="Z4431" s="23"/>
      <c r="AA4431" s="23"/>
      <c r="AB4431" s="15"/>
      <c r="AC4431" s="14"/>
      <c r="AD4431" s="18"/>
      <c r="AE4431" s="18"/>
    </row>
    <row r="4432" customFormat="false" ht="15" hidden="false" customHeight="true" outlineLevel="0" collapsed="false">
      <c r="A4432" s="12"/>
      <c r="B4432" s="13"/>
      <c r="C4432" s="14"/>
      <c r="D4432" s="13"/>
      <c r="E4432" s="15"/>
      <c r="F4432" s="15"/>
      <c r="G4432" s="15"/>
      <c r="H4432" s="13"/>
      <c r="I4432" s="13"/>
      <c r="J4432" s="16"/>
      <c r="K4432" s="16"/>
      <c r="L4432" s="17" t="str">
        <f aca="false" t="array" ref="L4432:L4432">IFERROR(INDEX(AC4432:AE4432,IF(COUNTA(AC4432:AE4432)=0,"",MAX((AC4432:AE4432&lt;&gt;"")*(COLUMN(AC4432:AE4432)-(COLUMN(AC4432)-2))))-1),"")</f>
        <v/>
      </c>
      <c r="M4432" s="13"/>
      <c r="N4432" s="13"/>
      <c r="O4432" s="13"/>
      <c r="P4432" s="26"/>
      <c r="Q4432" s="20"/>
      <c r="R4432" s="13"/>
      <c r="S4432" s="25"/>
      <c r="T4432" s="13"/>
      <c r="U4432" s="13"/>
      <c r="V4432" s="13"/>
      <c r="W4432" s="13"/>
      <c r="X4432" s="21"/>
      <c r="Y4432" s="22"/>
      <c r="Z4432" s="23"/>
      <c r="AA4432" s="23"/>
      <c r="AB4432" s="15"/>
      <c r="AC4432" s="14"/>
      <c r="AD4432" s="18"/>
      <c r="AE4432" s="18"/>
    </row>
    <row r="4433" customFormat="false" ht="15" hidden="false" customHeight="true" outlineLevel="0" collapsed="false">
      <c r="A4433" s="12"/>
      <c r="B4433" s="13"/>
      <c r="C4433" s="14"/>
      <c r="D4433" s="13"/>
      <c r="E4433" s="15"/>
      <c r="F4433" s="15"/>
      <c r="G4433" s="15"/>
      <c r="H4433" s="13"/>
      <c r="I4433" s="13"/>
      <c r="J4433" s="16"/>
      <c r="K4433" s="16"/>
      <c r="L4433" s="17" t="str">
        <f aca="false" t="array" ref="L4433:L4433">IFERROR(INDEX(AC4433:AE4433,IF(COUNTA(AC4433:AE4433)=0,"",MAX((AC4433:AE4433&lt;&gt;"")*(COLUMN(AC4433:AE4433)-(COLUMN(AC4433)-2))))-1),"")</f>
        <v/>
      </c>
      <c r="M4433" s="13"/>
      <c r="N4433" s="13"/>
      <c r="O4433" s="13"/>
      <c r="P4433" s="26"/>
      <c r="Q4433" s="20"/>
      <c r="R4433" s="13"/>
      <c r="S4433" s="25"/>
      <c r="T4433" s="13"/>
      <c r="U4433" s="13"/>
      <c r="V4433" s="13"/>
      <c r="W4433" s="13"/>
      <c r="X4433" s="21"/>
      <c r="Y4433" s="22"/>
      <c r="Z4433" s="23"/>
      <c r="AA4433" s="23"/>
      <c r="AB4433" s="15"/>
      <c r="AC4433" s="14"/>
      <c r="AD4433" s="18"/>
      <c r="AE4433" s="18"/>
    </row>
    <row r="4434" customFormat="false" ht="15" hidden="false" customHeight="true" outlineLevel="0" collapsed="false">
      <c r="A4434" s="12"/>
      <c r="B4434" s="13"/>
      <c r="C4434" s="14"/>
      <c r="D4434" s="13"/>
      <c r="E4434" s="15"/>
      <c r="F4434" s="15"/>
      <c r="G4434" s="15"/>
      <c r="H4434" s="13"/>
      <c r="I4434" s="13"/>
      <c r="J4434" s="16"/>
      <c r="K4434" s="16"/>
      <c r="L4434" s="17" t="str">
        <f aca="false" t="array" ref="L4434:L4434">IFERROR(INDEX(AC4434:AE4434,IF(COUNTA(AC4434:AE4434)=0,"",MAX((AC4434:AE4434&lt;&gt;"")*(COLUMN(AC4434:AE4434)-(COLUMN(AC4434)-2))))-1),"")</f>
        <v/>
      </c>
      <c r="M4434" s="13"/>
      <c r="N4434" s="13"/>
      <c r="O4434" s="13"/>
      <c r="P4434" s="26"/>
      <c r="Q4434" s="20"/>
      <c r="R4434" s="13"/>
      <c r="S4434" s="25"/>
      <c r="T4434" s="13"/>
      <c r="U4434" s="13"/>
      <c r="V4434" s="13"/>
      <c r="W4434" s="13"/>
      <c r="X4434" s="21"/>
      <c r="Y4434" s="22"/>
      <c r="Z4434" s="23"/>
      <c r="AA4434" s="23"/>
      <c r="AB4434" s="15"/>
      <c r="AC4434" s="14"/>
      <c r="AD4434" s="18"/>
      <c r="AE4434" s="18"/>
    </row>
    <row r="4435" customFormat="false" ht="15" hidden="false" customHeight="true" outlineLevel="0" collapsed="false">
      <c r="A4435" s="12"/>
      <c r="B4435" s="13"/>
      <c r="C4435" s="14"/>
      <c r="D4435" s="13"/>
      <c r="E4435" s="15"/>
      <c r="F4435" s="15"/>
      <c r="G4435" s="15"/>
      <c r="H4435" s="13"/>
      <c r="I4435" s="13"/>
      <c r="J4435" s="16"/>
      <c r="K4435" s="16"/>
      <c r="L4435" s="17" t="str">
        <f aca="false" t="array" ref="L4435:L4435">IFERROR(INDEX(AC4435:AE4435,IF(COUNTA(AC4435:AE4435)=0,"",MAX((AC4435:AE4435&lt;&gt;"")*(COLUMN(AC4435:AE4435)-(COLUMN(AC4435)-2))))-1),"")</f>
        <v/>
      </c>
      <c r="M4435" s="13"/>
      <c r="N4435" s="13"/>
      <c r="O4435" s="13"/>
      <c r="P4435" s="26"/>
      <c r="Q4435" s="20"/>
      <c r="R4435" s="13"/>
      <c r="S4435" s="25"/>
      <c r="T4435" s="13"/>
      <c r="U4435" s="13"/>
      <c r="V4435" s="13"/>
      <c r="W4435" s="13"/>
      <c r="X4435" s="21"/>
      <c r="Y4435" s="22"/>
      <c r="Z4435" s="23"/>
      <c r="AA4435" s="23"/>
      <c r="AB4435" s="15"/>
      <c r="AC4435" s="14"/>
      <c r="AD4435" s="18"/>
      <c r="AE4435" s="18"/>
    </row>
    <row r="4436" customFormat="false" ht="15" hidden="false" customHeight="true" outlineLevel="0" collapsed="false">
      <c r="A4436" s="12"/>
      <c r="B4436" s="13"/>
      <c r="C4436" s="14"/>
      <c r="D4436" s="13"/>
      <c r="E4436" s="15"/>
      <c r="F4436" s="15"/>
      <c r="G4436" s="15"/>
      <c r="H4436" s="13"/>
      <c r="I4436" s="13"/>
      <c r="J4436" s="16"/>
      <c r="K4436" s="16"/>
      <c r="L4436" s="17" t="str">
        <f aca="false" t="array" ref="L4436:L4436">IFERROR(INDEX(AC4436:AE4436,IF(COUNTA(AC4436:AE4436)=0,"",MAX((AC4436:AE4436&lt;&gt;"")*(COLUMN(AC4436:AE4436)-(COLUMN(AC4436)-2))))-1),"")</f>
        <v/>
      </c>
      <c r="M4436" s="13"/>
      <c r="N4436" s="13"/>
      <c r="O4436" s="13"/>
      <c r="P4436" s="26"/>
      <c r="Q4436" s="20"/>
      <c r="R4436" s="13"/>
      <c r="S4436" s="25"/>
      <c r="T4436" s="13"/>
      <c r="U4436" s="13"/>
      <c r="V4436" s="13"/>
      <c r="W4436" s="13"/>
      <c r="X4436" s="21"/>
      <c r="Y4436" s="22"/>
      <c r="Z4436" s="23"/>
      <c r="AA4436" s="23"/>
      <c r="AB4436" s="15"/>
      <c r="AC4436" s="14"/>
      <c r="AD4436" s="18"/>
      <c r="AE4436" s="18"/>
    </row>
    <row r="4437" customFormat="false" ht="15" hidden="false" customHeight="true" outlineLevel="0" collapsed="false">
      <c r="A4437" s="12"/>
      <c r="B4437" s="13"/>
      <c r="C4437" s="14"/>
      <c r="D4437" s="13"/>
      <c r="E4437" s="15"/>
      <c r="F4437" s="15"/>
      <c r="G4437" s="15"/>
      <c r="H4437" s="13"/>
      <c r="I4437" s="13"/>
      <c r="J4437" s="16"/>
      <c r="K4437" s="16"/>
      <c r="L4437" s="17" t="str">
        <f aca="false" t="array" ref="L4437:L4437">IFERROR(INDEX(AC4437:AE4437,IF(COUNTA(AC4437:AE4437)=0,"",MAX((AC4437:AE4437&lt;&gt;"")*(COLUMN(AC4437:AE4437)-(COLUMN(AC4437)-2))))-1),"")</f>
        <v/>
      </c>
      <c r="M4437" s="13"/>
      <c r="N4437" s="13"/>
      <c r="O4437" s="13"/>
      <c r="P4437" s="26"/>
      <c r="Q4437" s="20"/>
      <c r="R4437" s="13"/>
      <c r="S4437" s="25"/>
      <c r="T4437" s="13"/>
      <c r="U4437" s="13"/>
      <c r="V4437" s="13"/>
      <c r="W4437" s="13"/>
      <c r="X4437" s="21"/>
      <c r="Y4437" s="22"/>
      <c r="Z4437" s="23"/>
      <c r="AA4437" s="23"/>
      <c r="AB4437" s="15"/>
      <c r="AC4437" s="14"/>
      <c r="AD4437" s="18"/>
      <c r="AE4437" s="18"/>
    </row>
    <row r="4438" customFormat="false" ht="15" hidden="false" customHeight="true" outlineLevel="0" collapsed="false">
      <c r="A4438" s="12"/>
      <c r="B4438" s="13"/>
      <c r="C4438" s="14"/>
      <c r="D4438" s="13"/>
      <c r="E4438" s="15"/>
      <c r="F4438" s="15"/>
      <c r="G4438" s="15"/>
      <c r="H4438" s="13"/>
      <c r="I4438" s="13"/>
      <c r="J4438" s="16"/>
      <c r="K4438" s="16"/>
      <c r="L4438" s="17" t="str">
        <f aca="false" t="array" ref="L4438:L4438">IFERROR(INDEX(AC4438:AE4438,IF(COUNTA(AC4438:AE4438)=0,"",MAX((AC4438:AE4438&lt;&gt;"")*(COLUMN(AC4438:AE4438)-(COLUMN(AC4438)-2))))-1),"")</f>
        <v/>
      </c>
      <c r="M4438" s="13"/>
      <c r="N4438" s="13"/>
      <c r="O4438" s="13"/>
      <c r="P4438" s="26"/>
      <c r="Q4438" s="20"/>
      <c r="R4438" s="13"/>
      <c r="S4438" s="25"/>
      <c r="T4438" s="13"/>
      <c r="U4438" s="13"/>
      <c r="V4438" s="13"/>
      <c r="W4438" s="13"/>
      <c r="X4438" s="21"/>
      <c r="Y4438" s="22"/>
      <c r="Z4438" s="23"/>
      <c r="AA4438" s="23"/>
      <c r="AB4438" s="15"/>
      <c r="AC4438" s="14"/>
      <c r="AD4438" s="18"/>
      <c r="AE4438" s="18"/>
    </row>
    <row r="4439" customFormat="false" ht="15" hidden="false" customHeight="true" outlineLevel="0" collapsed="false">
      <c r="A4439" s="12"/>
      <c r="B4439" s="13"/>
      <c r="C4439" s="14"/>
      <c r="D4439" s="13"/>
      <c r="E4439" s="15"/>
      <c r="F4439" s="15"/>
      <c r="G4439" s="15"/>
      <c r="H4439" s="13"/>
      <c r="I4439" s="13"/>
      <c r="J4439" s="16"/>
      <c r="K4439" s="16"/>
      <c r="L4439" s="17" t="str">
        <f aca="false" t="array" ref="L4439:L4439">IFERROR(INDEX(AC4439:AE4439,IF(COUNTA(AC4439:AE4439)=0,"",MAX((AC4439:AE4439&lt;&gt;"")*(COLUMN(AC4439:AE4439)-(COLUMN(AC4439)-2))))-1),"")</f>
        <v/>
      </c>
      <c r="M4439" s="13"/>
      <c r="N4439" s="13"/>
      <c r="O4439" s="13"/>
      <c r="P4439" s="26"/>
      <c r="Q4439" s="20"/>
      <c r="R4439" s="13"/>
      <c r="S4439" s="25"/>
      <c r="T4439" s="13"/>
      <c r="U4439" s="13"/>
      <c r="V4439" s="13"/>
      <c r="W4439" s="13"/>
      <c r="X4439" s="21"/>
      <c r="Y4439" s="22"/>
      <c r="Z4439" s="23"/>
      <c r="AA4439" s="23"/>
      <c r="AB4439" s="15"/>
      <c r="AC4439" s="14"/>
      <c r="AD4439" s="18"/>
      <c r="AE4439" s="18"/>
    </row>
    <row r="4440" customFormat="false" ht="15" hidden="false" customHeight="true" outlineLevel="0" collapsed="false">
      <c r="A4440" s="12"/>
      <c r="B4440" s="13"/>
      <c r="C4440" s="14"/>
      <c r="D4440" s="13"/>
      <c r="E4440" s="15"/>
      <c r="F4440" s="15"/>
      <c r="G4440" s="15"/>
      <c r="H4440" s="13"/>
      <c r="I4440" s="13"/>
      <c r="J4440" s="16"/>
      <c r="K4440" s="16"/>
      <c r="L4440" s="17" t="str">
        <f aca="false" t="array" ref="L4440:L4440">IFERROR(INDEX(AC4440:AE4440,IF(COUNTA(AC4440:AE4440)=0,"",MAX((AC4440:AE4440&lt;&gt;"")*(COLUMN(AC4440:AE4440)-(COLUMN(AC4440)-2))))-1),"")</f>
        <v/>
      </c>
      <c r="M4440" s="13"/>
      <c r="N4440" s="13"/>
      <c r="O4440" s="13"/>
      <c r="P4440" s="26"/>
      <c r="Q4440" s="20"/>
      <c r="R4440" s="13"/>
      <c r="S4440" s="25"/>
      <c r="T4440" s="13"/>
      <c r="U4440" s="13"/>
      <c r="V4440" s="13"/>
      <c r="W4440" s="13"/>
      <c r="X4440" s="21"/>
      <c r="Y4440" s="22"/>
      <c r="Z4440" s="23"/>
      <c r="AA4440" s="23"/>
      <c r="AB4440" s="15"/>
      <c r="AC4440" s="14"/>
      <c r="AD4440" s="18"/>
      <c r="AE4440" s="18"/>
    </row>
    <row r="4441" customFormat="false" ht="15" hidden="false" customHeight="true" outlineLevel="0" collapsed="false">
      <c r="A4441" s="12"/>
      <c r="B4441" s="13"/>
      <c r="C4441" s="14"/>
      <c r="D4441" s="13"/>
      <c r="E4441" s="15"/>
      <c r="F4441" s="15"/>
      <c r="G4441" s="15"/>
      <c r="H4441" s="13"/>
      <c r="I4441" s="13"/>
      <c r="J4441" s="16"/>
      <c r="K4441" s="16"/>
      <c r="L4441" s="17" t="str">
        <f aca="false" t="array" ref="L4441:L4441">IFERROR(INDEX(AC4441:AE4441,IF(COUNTA(AC4441:AE4441)=0,"",MAX((AC4441:AE4441&lt;&gt;"")*(COLUMN(AC4441:AE4441)-(COLUMN(AC4441)-2))))-1),"")</f>
        <v/>
      </c>
      <c r="M4441" s="13"/>
      <c r="N4441" s="13"/>
      <c r="O4441" s="13"/>
      <c r="P4441" s="26"/>
      <c r="Q4441" s="20"/>
      <c r="R4441" s="13"/>
      <c r="S4441" s="25"/>
      <c r="T4441" s="13"/>
      <c r="U4441" s="13"/>
      <c r="V4441" s="13"/>
      <c r="W4441" s="13"/>
      <c r="X4441" s="21"/>
      <c r="Y4441" s="22"/>
      <c r="Z4441" s="23"/>
      <c r="AA4441" s="23"/>
      <c r="AB4441" s="15"/>
      <c r="AC4441" s="14"/>
      <c r="AD4441" s="18"/>
      <c r="AE4441" s="18"/>
    </row>
    <row r="4442" customFormat="false" ht="15" hidden="false" customHeight="true" outlineLevel="0" collapsed="false">
      <c r="A4442" s="12"/>
      <c r="B4442" s="13"/>
      <c r="C4442" s="14"/>
      <c r="D4442" s="13"/>
      <c r="E4442" s="15"/>
      <c r="F4442" s="15"/>
      <c r="G4442" s="15"/>
      <c r="H4442" s="13"/>
      <c r="I4442" s="13"/>
      <c r="J4442" s="16"/>
      <c r="K4442" s="16"/>
      <c r="L4442" s="17" t="str">
        <f aca="false" t="array" ref="L4442:L4442">IFERROR(INDEX(AC4442:AE4442,IF(COUNTA(AC4442:AE4442)=0,"",MAX((AC4442:AE4442&lt;&gt;"")*(COLUMN(AC4442:AE4442)-(COLUMN(AC4442)-2))))-1),"")</f>
        <v/>
      </c>
      <c r="M4442" s="13"/>
      <c r="N4442" s="13"/>
      <c r="O4442" s="13"/>
      <c r="P4442" s="26"/>
      <c r="Q4442" s="20"/>
      <c r="R4442" s="13"/>
      <c r="S4442" s="25"/>
      <c r="T4442" s="13"/>
      <c r="U4442" s="13"/>
      <c r="V4442" s="13"/>
      <c r="W4442" s="13"/>
      <c r="X4442" s="21"/>
      <c r="Y4442" s="22"/>
      <c r="Z4442" s="23"/>
      <c r="AA4442" s="23"/>
      <c r="AB4442" s="15"/>
      <c r="AC4442" s="14"/>
      <c r="AD4442" s="18"/>
      <c r="AE4442" s="18"/>
    </row>
    <row r="4443" customFormat="false" ht="15" hidden="false" customHeight="true" outlineLevel="0" collapsed="false">
      <c r="A4443" s="12"/>
      <c r="B4443" s="13"/>
      <c r="C4443" s="14"/>
      <c r="D4443" s="13"/>
      <c r="E4443" s="15"/>
      <c r="F4443" s="15"/>
      <c r="G4443" s="15"/>
      <c r="H4443" s="13"/>
      <c r="I4443" s="13"/>
      <c r="J4443" s="16"/>
      <c r="K4443" s="16"/>
      <c r="L4443" s="17" t="str">
        <f aca="false" t="array" ref="L4443:L4443">IFERROR(INDEX(AC4443:AE4443,IF(COUNTA(AC4443:AE4443)=0,"",MAX((AC4443:AE4443&lt;&gt;"")*(COLUMN(AC4443:AE4443)-(COLUMN(AC4443)-2))))-1),"")</f>
        <v/>
      </c>
      <c r="M4443" s="13"/>
      <c r="N4443" s="13"/>
      <c r="O4443" s="13"/>
      <c r="P4443" s="26"/>
      <c r="Q4443" s="20"/>
      <c r="R4443" s="13"/>
      <c r="S4443" s="25"/>
      <c r="T4443" s="13"/>
      <c r="U4443" s="13"/>
      <c r="V4443" s="13"/>
      <c r="W4443" s="13"/>
      <c r="X4443" s="21"/>
      <c r="Y4443" s="22"/>
      <c r="Z4443" s="23"/>
      <c r="AA4443" s="23"/>
      <c r="AB4443" s="15"/>
      <c r="AC4443" s="14"/>
      <c r="AD4443" s="18"/>
      <c r="AE4443" s="18"/>
    </row>
    <row r="4444" customFormat="false" ht="15" hidden="false" customHeight="true" outlineLevel="0" collapsed="false">
      <c r="A4444" s="12"/>
      <c r="B4444" s="13"/>
      <c r="C4444" s="14"/>
      <c r="D4444" s="13"/>
      <c r="E4444" s="15"/>
      <c r="F4444" s="15"/>
      <c r="G4444" s="15"/>
      <c r="H4444" s="13"/>
      <c r="I4444" s="13"/>
      <c r="J4444" s="16"/>
      <c r="K4444" s="16"/>
      <c r="L4444" s="17" t="str">
        <f aca="false" t="array" ref="L4444:L4444">IFERROR(INDEX(AC4444:AE4444,IF(COUNTA(AC4444:AE4444)=0,"",MAX((AC4444:AE4444&lt;&gt;"")*(COLUMN(AC4444:AE4444)-(COLUMN(AC4444)-2))))-1),"")</f>
        <v/>
      </c>
      <c r="M4444" s="13"/>
      <c r="N4444" s="13"/>
      <c r="O4444" s="13"/>
      <c r="P4444" s="26"/>
      <c r="Q4444" s="20"/>
      <c r="R4444" s="13"/>
      <c r="S4444" s="25"/>
      <c r="T4444" s="13"/>
      <c r="U4444" s="13"/>
      <c r="V4444" s="13"/>
      <c r="W4444" s="13"/>
      <c r="X4444" s="21"/>
      <c r="Y4444" s="22"/>
      <c r="Z4444" s="23"/>
      <c r="AA4444" s="23"/>
      <c r="AB4444" s="15"/>
      <c r="AC4444" s="14"/>
      <c r="AD4444" s="18"/>
      <c r="AE4444" s="18"/>
    </row>
    <row r="4445" customFormat="false" ht="15" hidden="false" customHeight="true" outlineLevel="0" collapsed="false">
      <c r="A4445" s="12"/>
      <c r="B4445" s="13"/>
      <c r="C4445" s="14"/>
      <c r="D4445" s="13"/>
      <c r="E4445" s="15"/>
      <c r="F4445" s="15"/>
      <c r="G4445" s="15"/>
      <c r="H4445" s="13"/>
      <c r="I4445" s="13"/>
      <c r="J4445" s="16"/>
      <c r="K4445" s="16"/>
      <c r="L4445" s="17" t="str">
        <f aca="false" t="array" ref="L4445:L4445">IFERROR(INDEX(AC4445:AE4445,IF(COUNTA(AC4445:AE4445)=0,"",MAX((AC4445:AE4445&lt;&gt;"")*(COLUMN(AC4445:AE4445)-(COLUMN(AC4445)-2))))-1),"")</f>
        <v/>
      </c>
      <c r="M4445" s="13"/>
      <c r="N4445" s="13"/>
      <c r="O4445" s="13"/>
      <c r="P4445" s="26"/>
      <c r="Q4445" s="20"/>
      <c r="R4445" s="13"/>
      <c r="S4445" s="25"/>
      <c r="T4445" s="13"/>
      <c r="U4445" s="13"/>
      <c r="V4445" s="13"/>
      <c r="W4445" s="13"/>
      <c r="X4445" s="21"/>
      <c r="Y4445" s="22"/>
      <c r="Z4445" s="23"/>
      <c r="AA4445" s="23"/>
      <c r="AB4445" s="15"/>
      <c r="AC4445" s="14"/>
      <c r="AD4445" s="18"/>
      <c r="AE4445" s="18"/>
    </row>
    <row r="4446" customFormat="false" ht="15" hidden="false" customHeight="true" outlineLevel="0" collapsed="false">
      <c r="A4446" s="12"/>
      <c r="B4446" s="13"/>
      <c r="C4446" s="14"/>
      <c r="D4446" s="13"/>
      <c r="E4446" s="15"/>
      <c r="F4446" s="15"/>
      <c r="G4446" s="15"/>
      <c r="H4446" s="13"/>
      <c r="I4446" s="13"/>
      <c r="J4446" s="16"/>
      <c r="K4446" s="16"/>
      <c r="L4446" s="17" t="str">
        <f aca="false" t="array" ref="L4446:L4446">IFERROR(INDEX(AC4446:AE4446,IF(COUNTA(AC4446:AE4446)=0,"",MAX((AC4446:AE4446&lt;&gt;"")*(COLUMN(AC4446:AE4446)-(COLUMN(AC4446)-2))))-1),"")</f>
        <v/>
      </c>
      <c r="M4446" s="13"/>
      <c r="N4446" s="13"/>
      <c r="O4446" s="13"/>
      <c r="P4446" s="26"/>
      <c r="Q4446" s="20"/>
      <c r="R4446" s="13"/>
      <c r="S4446" s="25"/>
      <c r="T4446" s="13"/>
      <c r="U4446" s="13"/>
      <c r="V4446" s="13"/>
      <c r="W4446" s="13"/>
      <c r="X4446" s="21"/>
      <c r="Y4446" s="22"/>
      <c r="Z4446" s="23"/>
      <c r="AA4446" s="23"/>
      <c r="AB4446" s="15"/>
      <c r="AC4446" s="14"/>
      <c r="AD4446" s="18"/>
      <c r="AE4446" s="18"/>
    </row>
    <row r="4447" customFormat="false" ht="15" hidden="false" customHeight="true" outlineLevel="0" collapsed="false">
      <c r="A4447" s="12"/>
      <c r="B4447" s="13"/>
      <c r="C4447" s="14"/>
      <c r="D4447" s="13"/>
      <c r="E4447" s="15"/>
      <c r="F4447" s="15"/>
      <c r="G4447" s="15"/>
      <c r="H4447" s="13"/>
      <c r="I4447" s="13"/>
      <c r="J4447" s="16"/>
      <c r="K4447" s="16"/>
      <c r="L4447" s="17" t="str">
        <f aca="false" t="array" ref="L4447:L4447">IFERROR(INDEX(AC4447:AE4447,IF(COUNTA(AC4447:AE4447)=0,"",MAX((AC4447:AE4447&lt;&gt;"")*(COLUMN(AC4447:AE4447)-(COLUMN(AC4447)-2))))-1),"")</f>
        <v/>
      </c>
      <c r="M4447" s="13"/>
      <c r="N4447" s="13"/>
      <c r="O4447" s="13"/>
      <c r="P4447" s="26"/>
      <c r="Q4447" s="20"/>
      <c r="R4447" s="13"/>
      <c r="S4447" s="25"/>
      <c r="T4447" s="13"/>
      <c r="U4447" s="13"/>
      <c r="V4447" s="13"/>
      <c r="W4447" s="13"/>
      <c r="X4447" s="21"/>
      <c r="Y4447" s="22"/>
      <c r="Z4447" s="23"/>
      <c r="AA4447" s="23"/>
      <c r="AB4447" s="15"/>
      <c r="AC4447" s="14"/>
      <c r="AD4447" s="18"/>
      <c r="AE4447" s="18"/>
    </row>
    <row r="4448" customFormat="false" ht="15" hidden="false" customHeight="true" outlineLevel="0" collapsed="false">
      <c r="A4448" s="12"/>
      <c r="B4448" s="13"/>
      <c r="C4448" s="14"/>
      <c r="D4448" s="13"/>
      <c r="E4448" s="15"/>
      <c r="F4448" s="15"/>
      <c r="G4448" s="15"/>
      <c r="H4448" s="13"/>
      <c r="I4448" s="13"/>
      <c r="J4448" s="16"/>
      <c r="K4448" s="16"/>
      <c r="L4448" s="17" t="str">
        <f aca="false" t="array" ref="L4448:L4448">IFERROR(INDEX(AC4448:AE4448,IF(COUNTA(AC4448:AE4448)=0,"",MAX((AC4448:AE4448&lt;&gt;"")*(COLUMN(AC4448:AE4448)-(COLUMN(AC4448)-2))))-1),"")</f>
        <v/>
      </c>
      <c r="M4448" s="13"/>
      <c r="N4448" s="13"/>
      <c r="O4448" s="13"/>
      <c r="P4448" s="26"/>
      <c r="Q4448" s="20"/>
      <c r="R4448" s="13"/>
      <c r="S4448" s="25"/>
      <c r="T4448" s="13"/>
      <c r="U4448" s="13"/>
      <c r="V4448" s="13"/>
      <c r="W4448" s="13"/>
      <c r="X4448" s="21"/>
      <c r="Y4448" s="22"/>
      <c r="Z4448" s="23"/>
      <c r="AA4448" s="23"/>
      <c r="AB4448" s="15"/>
      <c r="AC4448" s="14"/>
      <c r="AD4448" s="18"/>
      <c r="AE4448" s="18"/>
    </row>
    <row r="4449" customFormat="false" ht="15" hidden="false" customHeight="true" outlineLevel="0" collapsed="false">
      <c r="A4449" s="12"/>
      <c r="B4449" s="13"/>
      <c r="C4449" s="14"/>
      <c r="D4449" s="13"/>
      <c r="E4449" s="15"/>
      <c r="F4449" s="15"/>
      <c r="G4449" s="15"/>
      <c r="H4449" s="13"/>
      <c r="I4449" s="13"/>
      <c r="J4449" s="16"/>
      <c r="K4449" s="16"/>
      <c r="L4449" s="17" t="str">
        <f aca="false" t="array" ref="L4449:L4449">IFERROR(INDEX(AC4449:AE4449,IF(COUNTA(AC4449:AE4449)=0,"",MAX((AC4449:AE4449&lt;&gt;"")*(COLUMN(AC4449:AE4449)-(COLUMN(AC4449)-2))))-1),"")</f>
        <v/>
      </c>
      <c r="M4449" s="13"/>
      <c r="N4449" s="13"/>
      <c r="O4449" s="13"/>
      <c r="P4449" s="26"/>
      <c r="Q4449" s="20"/>
      <c r="R4449" s="13"/>
      <c r="S4449" s="25"/>
      <c r="T4449" s="13"/>
      <c r="U4449" s="13"/>
      <c r="V4449" s="13"/>
      <c r="W4449" s="13"/>
      <c r="X4449" s="21"/>
      <c r="Y4449" s="22"/>
      <c r="Z4449" s="23"/>
      <c r="AA4449" s="23"/>
      <c r="AB4449" s="15"/>
      <c r="AC4449" s="14"/>
      <c r="AD4449" s="18"/>
      <c r="AE4449" s="18"/>
    </row>
    <row r="4450" customFormat="false" ht="15" hidden="false" customHeight="true" outlineLevel="0" collapsed="false">
      <c r="A4450" s="12"/>
      <c r="B4450" s="13"/>
      <c r="C4450" s="14"/>
      <c r="D4450" s="13"/>
      <c r="E4450" s="15"/>
      <c r="F4450" s="15"/>
      <c r="G4450" s="15"/>
      <c r="H4450" s="13"/>
      <c r="I4450" s="13"/>
      <c r="J4450" s="16"/>
      <c r="K4450" s="16"/>
      <c r="L4450" s="17" t="str">
        <f aca="false" t="array" ref="L4450:L4450">IFERROR(INDEX(AC4450:AE4450,IF(COUNTA(AC4450:AE4450)=0,"",MAX((AC4450:AE4450&lt;&gt;"")*(COLUMN(AC4450:AE4450)-(COLUMN(AC4450)-2))))-1),"")</f>
        <v/>
      </c>
      <c r="M4450" s="13"/>
      <c r="N4450" s="13"/>
      <c r="O4450" s="13"/>
      <c r="P4450" s="26"/>
      <c r="Q4450" s="20"/>
      <c r="R4450" s="13"/>
      <c r="S4450" s="25"/>
      <c r="T4450" s="13"/>
      <c r="U4450" s="13"/>
      <c r="V4450" s="13"/>
      <c r="W4450" s="13"/>
      <c r="X4450" s="21"/>
      <c r="Y4450" s="22"/>
      <c r="Z4450" s="23"/>
      <c r="AA4450" s="23"/>
      <c r="AB4450" s="15"/>
      <c r="AC4450" s="14"/>
      <c r="AD4450" s="18"/>
      <c r="AE4450" s="18"/>
    </row>
    <row r="4451" customFormat="false" ht="15" hidden="false" customHeight="true" outlineLevel="0" collapsed="false">
      <c r="A4451" s="12"/>
      <c r="B4451" s="13"/>
      <c r="C4451" s="14"/>
      <c r="D4451" s="13"/>
      <c r="E4451" s="15"/>
      <c r="F4451" s="15"/>
      <c r="G4451" s="15"/>
      <c r="H4451" s="13"/>
      <c r="I4451" s="13"/>
      <c r="J4451" s="16"/>
      <c r="K4451" s="16"/>
      <c r="L4451" s="17" t="str">
        <f aca="false" t="array" ref="L4451:L4451">IFERROR(INDEX(AC4451:AE4451,IF(COUNTA(AC4451:AE4451)=0,"",MAX((AC4451:AE4451&lt;&gt;"")*(COLUMN(AC4451:AE4451)-(COLUMN(AC4451)-2))))-1),"")</f>
        <v/>
      </c>
      <c r="M4451" s="13"/>
      <c r="N4451" s="13"/>
      <c r="O4451" s="13"/>
      <c r="P4451" s="26"/>
      <c r="Q4451" s="20"/>
      <c r="R4451" s="13"/>
      <c r="S4451" s="25"/>
      <c r="T4451" s="13"/>
      <c r="U4451" s="13"/>
      <c r="V4451" s="13"/>
      <c r="W4451" s="13"/>
      <c r="X4451" s="21"/>
      <c r="Y4451" s="22"/>
      <c r="Z4451" s="23"/>
      <c r="AA4451" s="23"/>
      <c r="AB4451" s="15"/>
      <c r="AC4451" s="14"/>
      <c r="AD4451" s="18"/>
      <c r="AE4451" s="18"/>
    </row>
    <row r="4452" customFormat="false" ht="15" hidden="false" customHeight="true" outlineLevel="0" collapsed="false">
      <c r="A4452" s="12"/>
      <c r="B4452" s="13"/>
      <c r="C4452" s="14"/>
      <c r="D4452" s="13"/>
      <c r="E4452" s="15"/>
      <c r="F4452" s="15"/>
      <c r="G4452" s="15"/>
      <c r="H4452" s="13"/>
      <c r="I4452" s="13"/>
      <c r="J4452" s="16"/>
      <c r="K4452" s="16"/>
      <c r="L4452" s="17" t="str">
        <f aca="false" t="array" ref="L4452:L4452">IFERROR(INDEX(AC4452:AE4452,IF(COUNTA(AC4452:AE4452)=0,"",MAX((AC4452:AE4452&lt;&gt;"")*(COLUMN(AC4452:AE4452)-(COLUMN(AC4452)-2))))-1),"")</f>
        <v/>
      </c>
      <c r="M4452" s="13"/>
      <c r="N4452" s="13"/>
      <c r="O4452" s="13"/>
      <c r="P4452" s="26"/>
      <c r="Q4452" s="20"/>
      <c r="R4452" s="13"/>
      <c r="S4452" s="25"/>
      <c r="T4452" s="13"/>
      <c r="U4452" s="13"/>
      <c r="V4452" s="13"/>
      <c r="W4452" s="13"/>
      <c r="X4452" s="21"/>
      <c r="Y4452" s="22"/>
      <c r="Z4452" s="23"/>
      <c r="AA4452" s="23"/>
      <c r="AB4452" s="15"/>
      <c r="AC4452" s="14"/>
      <c r="AD4452" s="18"/>
      <c r="AE4452" s="18"/>
    </row>
    <row r="4453" customFormat="false" ht="15" hidden="false" customHeight="true" outlineLevel="0" collapsed="false">
      <c r="A4453" s="12"/>
      <c r="B4453" s="13"/>
      <c r="C4453" s="14"/>
      <c r="D4453" s="13"/>
      <c r="E4453" s="15"/>
      <c r="F4453" s="15"/>
      <c r="G4453" s="15"/>
      <c r="H4453" s="13"/>
      <c r="I4453" s="13"/>
      <c r="J4453" s="16"/>
      <c r="K4453" s="16"/>
      <c r="L4453" s="17" t="str">
        <f aca="false" t="array" ref="L4453:L4453">IFERROR(INDEX(AC4453:AE4453,IF(COUNTA(AC4453:AE4453)=0,"",MAX((AC4453:AE4453&lt;&gt;"")*(COLUMN(AC4453:AE4453)-(COLUMN(AC4453)-2))))-1),"")</f>
        <v/>
      </c>
      <c r="M4453" s="13"/>
      <c r="N4453" s="13"/>
      <c r="O4453" s="13"/>
      <c r="P4453" s="26"/>
      <c r="Q4453" s="20"/>
      <c r="R4453" s="13"/>
      <c r="S4453" s="25"/>
      <c r="T4453" s="13"/>
      <c r="U4453" s="13"/>
      <c r="V4453" s="13"/>
      <c r="W4453" s="13"/>
      <c r="X4453" s="21"/>
      <c r="Y4453" s="22"/>
      <c r="Z4453" s="23"/>
      <c r="AA4453" s="23"/>
      <c r="AB4453" s="15"/>
      <c r="AC4453" s="14"/>
      <c r="AD4453" s="18"/>
      <c r="AE4453" s="18"/>
    </row>
    <row r="4454" customFormat="false" ht="15" hidden="false" customHeight="true" outlineLevel="0" collapsed="false">
      <c r="A4454" s="12"/>
      <c r="B4454" s="13"/>
      <c r="C4454" s="14"/>
      <c r="D4454" s="13"/>
      <c r="E4454" s="15"/>
      <c r="F4454" s="15"/>
      <c r="G4454" s="15"/>
      <c r="H4454" s="13"/>
      <c r="I4454" s="13"/>
      <c r="J4454" s="16"/>
      <c r="K4454" s="16"/>
      <c r="L4454" s="17" t="str">
        <f aca="false" t="array" ref="L4454:L4454">IFERROR(INDEX(AC4454:AE4454,IF(COUNTA(AC4454:AE4454)=0,"",MAX((AC4454:AE4454&lt;&gt;"")*(COLUMN(AC4454:AE4454)-(COLUMN(AC4454)-2))))-1),"")</f>
        <v/>
      </c>
      <c r="M4454" s="13"/>
      <c r="N4454" s="13"/>
      <c r="O4454" s="13"/>
      <c r="P4454" s="26"/>
      <c r="Q4454" s="20"/>
      <c r="R4454" s="13"/>
      <c r="S4454" s="25"/>
      <c r="T4454" s="13"/>
      <c r="U4454" s="13"/>
      <c r="V4454" s="13"/>
      <c r="W4454" s="13"/>
      <c r="X4454" s="21"/>
      <c r="Y4454" s="22"/>
      <c r="Z4454" s="23"/>
      <c r="AA4454" s="23"/>
      <c r="AB4454" s="15"/>
      <c r="AC4454" s="14"/>
      <c r="AD4454" s="18"/>
      <c r="AE4454" s="18"/>
    </row>
    <row r="4455" customFormat="false" ht="15" hidden="false" customHeight="true" outlineLevel="0" collapsed="false">
      <c r="A4455" s="12"/>
      <c r="B4455" s="13"/>
      <c r="C4455" s="14"/>
      <c r="D4455" s="13"/>
      <c r="E4455" s="15"/>
      <c r="F4455" s="15"/>
      <c r="G4455" s="15"/>
      <c r="H4455" s="13"/>
      <c r="I4455" s="13"/>
      <c r="J4455" s="16"/>
      <c r="K4455" s="16"/>
      <c r="L4455" s="17" t="str">
        <f aca="false" t="array" ref="L4455:L4455">IFERROR(INDEX(AC4455:AE4455,IF(COUNTA(AC4455:AE4455)=0,"",MAX((AC4455:AE4455&lt;&gt;"")*(COLUMN(AC4455:AE4455)-(COLUMN(AC4455)-2))))-1),"")</f>
        <v/>
      </c>
      <c r="M4455" s="13"/>
      <c r="N4455" s="13"/>
      <c r="O4455" s="13"/>
      <c r="P4455" s="26"/>
      <c r="Q4455" s="20"/>
      <c r="R4455" s="13"/>
      <c r="S4455" s="25"/>
      <c r="T4455" s="13"/>
      <c r="U4455" s="13"/>
      <c r="V4455" s="13"/>
      <c r="W4455" s="13"/>
      <c r="X4455" s="21"/>
      <c r="Y4455" s="22"/>
      <c r="Z4455" s="23"/>
      <c r="AA4455" s="23"/>
      <c r="AB4455" s="15"/>
      <c r="AC4455" s="14"/>
      <c r="AD4455" s="18"/>
      <c r="AE4455" s="18"/>
    </row>
    <row r="4456" customFormat="false" ht="15" hidden="false" customHeight="true" outlineLevel="0" collapsed="false">
      <c r="A4456" s="12"/>
      <c r="B4456" s="13"/>
      <c r="C4456" s="14"/>
      <c r="D4456" s="13"/>
      <c r="E4456" s="15"/>
      <c r="F4456" s="15"/>
      <c r="G4456" s="15"/>
      <c r="H4456" s="13"/>
      <c r="I4456" s="13"/>
      <c r="J4456" s="16"/>
      <c r="K4456" s="16"/>
      <c r="L4456" s="17" t="str">
        <f aca="false" t="array" ref="L4456:L4456">IFERROR(INDEX(AC4456:AE4456,IF(COUNTA(AC4456:AE4456)=0,"",MAX((AC4456:AE4456&lt;&gt;"")*(COLUMN(AC4456:AE4456)-(COLUMN(AC4456)-2))))-1),"")</f>
        <v/>
      </c>
      <c r="M4456" s="13"/>
      <c r="N4456" s="13"/>
      <c r="O4456" s="13"/>
      <c r="P4456" s="26"/>
      <c r="Q4456" s="20"/>
      <c r="R4456" s="13"/>
      <c r="S4456" s="25"/>
      <c r="T4456" s="13"/>
      <c r="U4456" s="13"/>
      <c r="V4456" s="13"/>
      <c r="W4456" s="13"/>
      <c r="X4456" s="21"/>
      <c r="Y4456" s="22"/>
      <c r="Z4456" s="23"/>
      <c r="AA4456" s="23"/>
      <c r="AB4456" s="15"/>
      <c r="AC4456" s="14"/>
      <c r="AD4456" s="18"/>
      <c r="AE4456" s="18"/>
    </row>
    <row r="4457" customFormat="false" ht="15" hidden="false" customHeight="true" outlineLevel="0" collapsed="false">
      <c r="A4457" s="12"/>
      <c r="B4457" s="13"/>
      <c r="C4457" s="14"/>
      <c r="D4457" s="13"/>
      <c r="E4457" s="15"/>
      <c r="F4457" s="15"/>
      <c r="G4457" s="15"/>
      <c r="H4457" s="13"/>
      <c r="I4457" s="13"/>
      <c r="J4457" s="16"/>
      <c r="K4457" s="16"/>
      <c r="L4457" s="17" t="str">
        <f aca="false" t="array" ref="L4457:L4457">IFERROR(INDEX(AC4457:AE4457,IF(COUNTA(AC4457:AE4457)=0,"",MAX((AC4457:AE4457&lt;&gt;"")*(COLUMN(AC4457:AE4457)-(COLUMN(AC4457)-2))))-1),"")</f>
        <v/>
      </c>
      <c r="M4457" s="13"/>
      <c r="N4457" s="13"/>
      <c r="O4457" s="13"/>
      <c r="P4457" s="26"/>
      <c r="Q4457" s="20"/>
      <c r="R4457" s="13"/>
      <c r="S4457" s="25"/>
      <c r="T4457" s="13"/>
      <c r="U4457" s="13"/>
      <c r="V4457" s="13"/>
      <c r="W4457" s="13"/>
      <c r="X4457" s="21"/>
      <c r="Y4457" s="22"/>
      <c r="Z4457" s="23"/>
      <c r="AA4457" s="23"/>
      <c r="AB4457" s="15"/>
      <c r="AC4457" s="14"/>
      <c r="AD4457" s="18"/>
      <c r="AE4457" s="18"/>
    </row>
    <row r="4458" customFormat="false" ht="15" hidden="false" customHeight="true" outlineLevel="0" collapsed="false">
      <c r="A4458" s="12"/>
      <c r="B4458" s="13"/>
      <c r="C4458" s="14"/>
      <c r="D4458" s="13"/>
      <c r="E4458" s="15"/>
      <c r="F4458" s="15"/>
      <c r="G4458" s="15"/>
      <c r="H4458" s="13"/>
      <c r="I4458" s="13"/>
      <c r="J4458" s="16"/>
      <c r="K4458" s="16"/>
      <c r="L4458" s="17" t="str">
        <f aca="false" t="array" ref="L4458:L4458">IFERROR(INDEX(AC4458:AE4458,IF(COUNTA(AC4458:AE4458)=0,"",MAX((AC4458:AE4458&lt;&gt;"")*(COLUMN(AC4458:AE4458)-(COLUMN(AC4458)-2))))-1),"")</f>
        <v/>
      </c>
      <c r="M4458" s="13"/>
      <c r="N4458" s="13"/>
      <c r="O4458" s="13"/>
      <c r="P4458" s="26"/>
      <c r="Q4458" s="20"/>
      <c r="R4458" s="13"/>
      <c r="S4458" s="25"/>
      <c r="T4458" s="13"/>
      <c r="U4458" s="13"/>
      <c r="V4458" s="13"/>
      <c r="W4458" s="13"/>
      <c r="X4458" s="21"/>
      <c r="Y4458" s="22"/>
      <c r="Z4458" s="23"/>
      <c r="AA4458" s="23"/>
      <c r="AB4458" s="15"/>
      <c r="AC4458" s="14"/>
      <c r="AD4458" s="18"/>
      <c r="AE4458" s="18"/>
    </row>
    <row r="4459" customFormat="false" ht="15" hidden="false" customHeight="true" outlineLevel="0" collapsed="false">
      <c r="A4459" s="12"/>
      <c r="B4459" s="13"/>
      <c r="C4459" s="14"/>
      <c r="D4459" s="13"/>
      <c r="E4459" s="15"/>
      <c r="F4459" s="15"/>
      <c r="G4459" s="15"/>
      <c r="H4459" s="13"/>
      <c r="I4459" s="13"/>
      <c r="J4459" s="16"/>
      <c r="K4459" s="16"/>
      <c r="L4459" s="17" t="str">
        <f aca="false" t="array" ref="L4459:L4459">IFERROR(INDEX(AC4459:AE4459,IF(COUNTA(AC4459:AE4459)=0,"",MAX((AC4459:AE4459&lt;&gt;"")*(COLUMN(AC4459:AE4459)-(COLUMN(AC4459)-2))))-1),"")</f>
        <v/>
      </c>
      <c r="M4459" s="13"/>
      <c r="N4459" s="13"/>
      <c r="O4459" s="13"/>
      <c r="P4459" s="26"/>
      <c r="Q4459" s="20"/>
      <c r="R4459" s="13"/>
      <c r="S4459" s="25"/>
      <c r="T4459" s="13"/>
      <c r="U4459" s="13"/>
      <c r="V4459" s="13"/>
      <c r="W4459" s="13"/>
      <c r="X4459" s="21"/>
      <c r="Y4459" s="22"/>
      <c r="Z4459" s="23"/>
      <c r="AA4459" s="23"/>
      <c r="AB4459" s="15"/>
      <c r="AC4459" s="14"/>
      <c r="AD4459" s="18"/>
      <c r="AE4459" s="18"/>
    </row>
    <row r="4460" customFormat="false" ht="15" hidden="false" customHeight="true" outlineLevel="0" collapsed="false">
      <c r="A4460" s="12"/>
      <c r="B4460" s="13"/>
      <c r="C4460" s="14"/>
      <c r="D4460" s="13"/>
      <c r="E4460" s="15"/>
      <c r="F4460" s="15"/>
      <c r="G4460" s="15"/>
      <c r="H4460" s="13"/>
      <c r="I4460" s="13"/>
      <c r="J4460" s="16"/>
      <c r="K4460" s="16"/>
      <c r="L4460" s="17" t="str">
        <f aca="false" t="array" ref="L4460:L4460">IFERROR(INDEX(AC4460:AE4460,IF(COUNTA(AC4460:AE4460)=0,"",MAX((AC4460:AE4460&lt;&gt;"")*(COLUMN(AC4460:AE4460)-(COLUMN(AC4460)-2))))-1),"")</f>
        <v/>
      </c>
      <c r="M4460" s="13"/>
      <c r="N4460" s="13"/>
      <c r="O4460" s="13"/>
      <c r="P4460" s="26"/>
      <c r="Q4460" s="20"/>
      <c r="R4460" s="13"/>
      <c r="S4460" s="25"/>
      <c r="T4460" s="13"/>
      <c r="U4460" s="13"/>
      <c r="V4460" s="13"/>
      <c r="W4460" s="13"/>
      <c r="X4460" s="21"/>
      <c r="Y4460" s="22"/>
      <c r="Z4460" s="23"/>
      <c r="AA4460" s="23"/>
      <c r="AB4460" s="15"/>
      <c r="AC4460" s="14"/>
      <c r="AD4460" s="18"/>
      <c r="AE4460" s="18"/>
    </row>
    <row r="4461" customFormat="false" ht="15" hidden="false" customHeight="true" outlineLevel="0" collapsed="false">
      <c r="A4461" s="12"/>
      <c r="B4461" s="13"/>
      <c r="C4461" s="14"/>
      <c r="D4461" s="13"/>
      <c r="E4461" s="15"/>
      <c r="F4461" s="15"/>
      <c r="G4461" s="15"/>
      <c r="H4461" s="13"/>
      <c r="I4461" s="13"/>
      <c r="J4461" s="16"/>
      <c r="K4461" s="16"/>
      <c r="L4461" s="17" t="str">
        <f aca="false" t="array" ref="L4461:L4461">IFERROR(INDEX(AC4461:AE4461,IF(COUNTA(AC4461:AE4461)=0,"",MAX((AC4461:AE4461&lt;&gt;"")*(COLUMN(AC4461:AE4461)-(COLUMN(AC4461)-2))))-1),"")</f>
        <v/>
      </c>
      <c r="M4461" s="13"/>
      <c r="N4461" s="13"/>
      <c r="O4461" s="13"/>
      <c r="P4461" s="26"/>
      <c r="Q4461" s="20"/>
      <c r="R4461" s="13"/>
      <c r="S4461" s="25"/>
      <c r="T4461" s="13"/>
      <c r="U4461" s="13"/>
      <c r="V4461" s="13"/>
      <c r="W4461" s="13"/>
      <c r="X4461" s="21"/>
      <c r="Y4461" s="22"/>
      <c r="Z4461" s="23"/>
      <c r="AA4461" s="23"/>
      <c r="AB4461" s="15"/>
      <c r="AC4461" s="14"/>
      <c r="AD4461" s="18"/>
      <c r="AE4461" s="18"/>
    </row>
    <row r="4462" customFormat="false" ht="15" hidden="false" customHeight="true" outlineLevel="0" collapsed="false">
      <c r="A4462" s="12"/>
      <c r="B4462" s="13"/>
      <c r="C4462" s="14"/>
      <c r="D4462" s="13"/>
      <c r="E4462" s="15"/>
      <c r="F4462" s="15"/>
      <c r="G4462" s="15"/>
      <c r="H4462" s="13"/>
      <c r="I4462" s="13"/>
      <c r="J4462" s="16"/>
      <c r="K4462" s="16"/>
      <c r="L4462" s="17" t="str">
        <f aca="false" t="array" ref="L4462:L4462">IFERROR(INDEX(AC4462:AE4462,IF(COUNTA(AC4462:AE4462)=0,"",MAX((AC4462:AE4462&lt;&gt;"")*(COLUMN(AC4462:AE4462)-(COLUMN(AC4462)-2))))-1),"")</f>
        <v/>
      </c>
      <c r="M4462" s="13"/>
      <c r="N4462" s="13"/>
      <c r="O4462" s="13"/>
      <c r="P4462" s="26"/>
      <c r="Q4462" s="20"/>
      <c r="R4462" s="13"/>
      <c r="S4462" s="25"/>
      <c r="T4462" s="13"/>
      <c r="U4462" s="13"/>
      <c r="V4462" s="13"/>
      <c r="W4462" s="13"/>
      <c r="X4462" s="21"/>
      <c r="Y4462" s="22"/>
      <c r="Z4462" s="23"/>
      <c r="AA4462" s="23"/>
      <c r="AB4462" s="15"/>
      <c r="AC4462" s="14"/>
      <c r="AD4462" s="18"/>
      <c r="AE4462" s="18"/>
    </row>
    <row r="4463" customFormat="false" ht="15" hidden="false" customHeight="true" outlineLevel="0" collapsed="false">
      <c r="A4463" s="12"/>
      <c r="B4463" s="13"/>
      <c r="C4463" s="14"/>
      <c r="D4463" s="13"/>
      <c r="E4463" s="15"/>
      <c r="F4463" s="15"/>
      <c r="G4463" s="15"/>
      <c r="H4463" s="13"/>
      <c r="I4463" s="13"/>
      <c r="J4463" s="16"/>
      <c r="K4463" s="16"/>
      <c r="L4463" s="17" t="str">
        <f aca="false" t="array" ref="L4463:L4463">IFERROR(INDEX(AC4463:AE4463,IF(COUNTA(AC4463:AE4463)=0,"",MAX((AC4463:AE4463&lt;&gt;"")*(COLUMN(AC4463:AE4463)-(COLUMN(AC4463)-2))))-1),"")</f>
        <v/>
      </c>
      <c r="M4463" s="13"/>
      <c r="N4463" s="13"/>
      <c r="O4463" s="13"/>
      <c r="P4463" s="26"/>
      <c r="Q4463" s="20"/>
      <c r="R4463" s="13"/>
      <c r="S4463" s="25"/>
      <c r="T4463" s="13"/>
      <c r="U4463" s="13"/>
      <c r="V4463" s="13"/>
      <c r="W4463" s="13"/>
      <c r="X4463" s="21"/>
      <c r="Y4463" s="22"/>
      <c r="Z4463" s="23"/>
      <c r="AA4463" s="23"/>
      <c r="AB4463" s="15"/>
      <c r="AC4463" s="14"/>
      <c r="AD4463" s="18"/>
      <c r="AE4463" s="18"/>
    </row>
    <row r="4464" customFormat="false" ht="15" hidden="false" customHeight="true" outlineLevel="0" collapsed="false">
      <c r="A4464" s="12"/>
      <c r="B4464" s="13"/>
      <c r="C4464" s="14"/>
      <c r="D4464" s="13"/>
      <c r="E4464" s="15"/>
      <c r="F4464" s="15"/>
      <c r="G4464" s="15"/>
      <c r="H4464" s="13"/>
      <c r="I4464" s="13"/>
      <c r="J4464" s="16"/>
      <c r="K4464" s="16"/>
      <c r="L4464" s="17" t="str">
        <f aca="false" t="array" ref="L4464:L4464">IFERROR(INDEX(AC4464:AE4464,IF(COUNTA(AC4464:AE4464)=0,"",MAX((AC4464:AE4464&lt;&gt;"")*(COLUMN(AC4464:AE4464)-(COLUMN(AC4464)-2))))-1),"")</f>
        <v/>
      </c>
      <c r="M4464" s="13"/>
      <c r="N4464" s="13"/>
      <c r="O4464" s="13"/>
      <c r="P4464" s="26"/>
      <c r="Q4464" s="20"/>
      <c r="R4464" s="13"/>
      <c r="S4464" s="25"/>
      <c r="T4464" s="13"/>
      <c r="U4464" s="13"/>
      <c r="V4464" s="13"/>
      <c r="W4464" s="13"/>
      <c r="X4464" s="21"/>
      <c r="Y4464" s="22"/>
      <c r="Z4464" s="23"/>
      <c r="AA4464" s="23"/>
      <c r="AB4464" s="15"/>
      <c r="AC4464" s="14"/>
      <c r="AD4464" s="18"/>
      <c r="AE4464" s="18"/>
    </row>
    <row r="4465" customFormat="false" ht="15" hidden="false" customHeight="true" outlineLevel="0" collapsed="false">
      <c r="A4465" s="12"/>
      <c r="B4465" s="13"/>
      <c r="C4465" s="14"/>
      <c r="D4465" s="13"/>
      <c r="E4465" s="15"/>
      <c r="F4465" s="15"/>
      <c r="G4465" s="15"/>
      <c r="H4465" s="13"/>
      <c r="I4465" s="13"/>
      <c r="J4465" s="16"/>
      <c r="K4465" s="16"/>
      <c r="L4465" s="17" t="str">
        <f aca="false" t="array" ref="L4465:L4465">IFERROR(INDEX(AC4465:AE4465,IF(COUNTA(AC4465:AE4465)=0,"",MAX((AC4465:AE4465&lt;&gt;"")*(COLUMN(AC4465:AE4465)-(COLUMN(AC4465)-2))))-1),"")</f>
        <v/>
      </c>
      <c r="M4465" s="13"/>
      <c r="N4465" s="13"/>
      <c r="O4465" s="13"/>
      <c r="P4465" s="26"/>
      <c r="Q4465" s="20"/>
      <c r="R4465" s="13"/>
      <c r="S4465" s="25"/>
      <c r="T4465" s="13"/>
      <c r="U4465" s="13"/>
      <c r="V4465" s="13"/>
      <c r="W4465" s="13"/>
      <c r="X4465" s="21"/>
      <c r="Y4465" s="22"/>
      <c r="Z4465" s="23"/>
      <c r="AA4465" s="23"/>
      <c r="AB4465" s="15"/>
      <c r="AC4465" s="14"/>
      <c r="AD4465" s="18"/>
      <c r="AE4465" s="18"/>
    </row>
    <row r="4466" customFormat="false" ht="15" hidden="false" customHeight="true" outlineLevel="0" collapsed="false">
      <c r="A4466" s="12"/>
      <c r="B4466" s="13"/>
      <c r="C4466" s="14"/>
      <c r="D4466" s="13"/>
      <c r="E4466" s="15"/>
      <c r="F4466" s="15"/>
      <c r="G4466" s="15"/>
      <c r="H4466" s="13"/>
      <c r="I4466" s="13"/>
      <c r="J4466" s="16"/>
      <c r="K4466" s="16"/>
      <c r="L4466" s="17" t="str">
        <f aca="false" t="array" ref="L4466:L4466">IFERROR(INDEX(AC4466:AE4466,IF(COUNTA(AC4466:AE4466)=0,"",MAX((AC4466:AE4466&lt;&gt;"")*(COLUMN(AC4466:AE4466)-(COLUMN(AC4466)-2))))-1),"")</f>
        <v/>
      </c>
      <c r="M4466" s="13"/>
      <c r="N4466" s="13"/>
      <c r="O4466" s="13"/>
      <c r="P4466" s="26"/>
      <c r="Q4466" s="20"/>
      <c r="R4466" s="13"/>
      <c r="S4466" s="25"/>
      <c r="T4466" s="13"/>
      <c r="U4466" s="13"/>
      <c r="V4466" s="13"/>
      <c r="W4466" s="13"/>
      <c r="X4466" s="21"/>
      <c r="Y4466" s="22"/>
      <c r="Z4466" s="23"/>
      <c r="AA4466" s="23"/>
      <c r="AB4466" s="15"/>
      <c r="AC4466" s="14"/>
      <c r="AD4466" s="18"/>
      <c r="AE4466" s="18"/>
    </row>
    <row r="4467" customFormat="false" ht="15" hidden="false" customHeight="true" outlineLevel="0" collapsed="false">
      <c r="A4467" s="12"/>
      <c r="B4467" s="13"/>
      <c r="C4467" s="14"/>
      <c r="D4467" s="13"/>
      <c r="E4467" s="15"/>
      <c r="F4467" s="15"/>
      <c r="G4467" s="15"/>
      <c r="H4467" s="13"/>
      <c r="I4467" s="13"/>
      <c r="J4467" s="16"/>
      <c r="K4467" s="16"/>
      <c r="L4467" s="17" t="str">
        <f aca="false" t="array" ref="L4467:L4467">IFERROR(INDEX(AC4467:AE4467,IF(COUNTA(AC4467:AE4467)=0,"",MAX((AC4467:AE4467&lt;&gt;"")*(COLUMN(AC4467:AE4467)-(COLUMN(AC4467)-2))))-1),"")</f>
        <v/>
      </c>
      <c r="M4467" s="13"/>
      <c r="N4467" s="13"/>
      <c r="O4467" s="13"/>
      <c r="P4467" s="26"/>
      <c r="Q4467" s="20"/>
      <c r="R4467" s="13"/>
      <c r="S4467" s="25"/>
      <c r="T4467" s="13"/>
      <c r="U4467" s="13"/>
      <c r="V4467" s="13"/>
      <c r="W4467" s="13"/>
      <c r="X4467" s="21"/>
      <c r="Y4467" s="22"/>
      <c r="Z4467" s="23"/>
      <c r="AA4467" s="23"/>
      <c r="AB4467" s="15"/>
      <c r="AC4467" s="14"/>
      <c r="AD4467" s="18"/>
      <c r="AE4467" s="18"/>
    </row>
    <row r="4468" customFormat="false" ht="15" hidden="false" customHeight="true" outlineLevel="0" collapsed="false">
      <c r="A4468" s="12"/>
      <c r="B4468" s="13"/>
      <c r="C4468" s="14"/>
      <c r="D4468" s="13"/>
      <c r="E4468" s="15"/>
      <c r="F4468" s="15"/>
      <c r="G4468" s="15"/>
      <c r="H4468" s="13"/>
      <c r="I4468" s="13"/>
      <c r="J4468" s="16"/>
      <c r="K4468" s="16"/>
      <c r="L4468" s="17" t="str">
        <f aca="false" t="array" ref="L4468:L4468">IFERROR(INDEX(AC4468:AE4468,IF(COUNTA(AC4468:AE4468)=0,"",MAX((AC4468:AE4468&lt;&gt;"")*(COLUMN(AC4468:AE4468)-(COLUMN(AC4468)-2))))-1),"")</f>
        <v/>
      </c>
      <c r="M4468" s="13"/>
      <c r="N4468" s="13"/>
      <c r="O4468" s="13"/>
      <c r="P4468" s="26"/>
      <c r="Q4468" s="20"/>
      <c r="R4468" s="13"/>
      <c r="S4468" s="25"/>
      <c r="T4468" s="13"/>
      <c r="U4468" s="13"/>
      <c r="V4468" s="13"/>
      <c r="W4468" s="13"/>
      <c r="X4468" s="21"/>
      <c r="Y4468" s="22"/>
      <c r="Z4468" s="23"/>
      <c r="AA4468" s="23"/>
      <c r="AB4468" s="15"/>
      <c r="AC4468" s="14"/>
      <c r="AD4468" s="18"/>
      <c r="AE4468" s="18"/>
    </row>
    <row r="4469" customFormat="false" ht="15" hidden="false" customHeight="true" outlineLevel="0" collapsed="false">
      <c r="A4469" s="12"/>
      <c r="B4469" s="13"/>
      <c r="C4469" s="14"/>
      <c r="D4469" s="13"/>
      <c r="E4469" s="15"/>
      <c r="F4469" s="15"/>
      <c r="G4469" s="15"/>
      <c r="H4469" s="13"/>
      <c r="I4469" s="13"/>
      <c r="J4469" s="16"/>
      <c r="K4469" s="16"/>
      <c r="L4469" s="17" t="str">
        <f aca="false" t="array" ref="L4469:L4469">IFERROR(INDEX(AC4469:AE4469,IF(COUNTA(AC4469:AE4469)=0,"",MAX((AC4469:AE4469&lt;&gt;"")*(COLUMN(AC4469:AE4469)-(COLUMN(AC4469)-2))))-1),"")</f>
        <v/>
      </c>
      <c r="M4469" s="13"/>
      <c r="N4469" s="13"/>
      <c r="O4469" s="13"/>
      <c r="P4469" s="26"/>
      <c r="Q4469" s="20"/>
      <c r="R4469" s="13"/>
      <c r="S4469" s="25"/>
      <c r="T4469" s="13"/>
      <c r="U4469" s="13"/>
      <c r="V4469" s="13"/>
      <c r="W4469" s="13"/>
      <c r="X4469" s="21"/>
      <c r="Y4469" s="22"/>
      <c r="Z4469" s="23"/>
      <c r="AA4469" s="23"/>
      <c r="AB4469" s="15"/>
      <c r="AC4469" s="14"/>
      <c r="AD4469" s="18"/>
      <c r="AE4469" s="18"/>
    </row>
    <row r="4470" customFormat="false" ht="15" hidden="false" customHeight="true" outlineLevel="0" collapsed="false">
      <c r="A4470" s="12"/>
      <c r="B4470" s="13"/>
      <c r="C4470" s="14"/>
      <c r="D4470" s="13"/>
      <c r="E4470" s="15"/>
      <c r="F4470" s="15"/>
      <c r="G4470" s="15"/>
      <c r="H4470" s="13"/>
      <c r="I4470" s="13"/>
      <c r="J4470" s="16"/>
      <c r="K4470" s="16"/>
      <c r="L4470" s="17" t="str">
        <f aca="false" t="array" ref="L4470:L4470">IFERROR(INDEX(AC4470:AE4470,IF(COUNTA(AC4470:AE4470)=0,"",MAX((AC4470:AE4470&lt;&gt;"")*(COLUMN(AC4470:AE4470)-(COLUMN(AC4470)-2))))-1),"")</f>
        <v/>
      </c>
      <c r="M4470" s="13"/>
      <c r="N4470" s="13"/>
      <c r="O4470" s="13"/>
      <c r="P4470" s="26"/>
      <c r="Q4470" s="20"/>
      <c r="R4470" s="13"/>
      <c r="S4470" s="25"/>
      <c r="T4470" s="13"/>
      <c r="U4470" s="13"/>
      <c r="V4470" s="13"/>
      <c r="W4470" s="13"/>
      <c r="X4470" s="21"/>
      <c r="Y4470" s="22"/>
      <c r="Z4470" s="23"/>
      <c r="AA4470" s="23"/>
      <c r="AB4470" s="15"/>
      <c r="AC4470" s="14"/>
      <c r="AD4470" s="18"/>
      <c r="AE4470" s="18"/>
    </row>
    <row r="4471" customFormat="false" ht="15" hidden="false" customHeight="true" outlineLevel="0" collapsed="false">
      <c r="A4471" s="12"/>
      <c r="B4471" s="13"/>
      <c r="C4471" s="14"/>
      <c r="D4471" s="13"/>
      <c r="E4471" s="15"/>
      <c r="F4471" s="15"/>
      <c r="G4471" s="15"/>
      <c r="H4471" s="13"/>
      <c r="I4471" s="13"/>
      <c r="J4471" s="16"/>
      <c r="K4471" s="16"/>
      <c r="L4471" s="17" t="str">
        <f aca="false" t="array" ref="L4471:L4471">IFERROR(INDEX(AC4471:AE4471,IF(COUNTA(AC4471:AE4471)=0,"",MAX((AC4471:AE4471&lt;&gt;"")*(COLUMN(AC4471:AE4471)-(COLUMN(AC4471)-2))))-1),"")</f>
        <v/>
      </c>
      <c r="M4471" s="13"/>
      <c r="N4471" s="13"/>
      <c r="O4471" s="13"/>
      <c r="P4471" s="26"/>
      <c r="Q4471" s="20"/>
      <c r="R4471" s="13"/>
      <c r="S4471" s="25"/>
      <c r="T4471" s="13"/>
      <c r="U4471" s="13"/>
      <c r="V4471" s="13"/>
      <c r="W4471" s="13"/>
      <c r="X4471" s="21"/>
      <c r="Y4471" s="22"/>
      <c r="Z4471" s="23"/>
      <c r="AA4471" s="23"/>
      <c r="AB4471" s="15"/>
      <c r="AC4471" s="14"/>
      <c r="AD4471" s="18"/>
      <c r="AE4471" s="18"/>
    </row>
    <row r="4472" customFormat="false" ht="15" hidden="false" customHeight="true" outlineLevel="0" collapsed="false">
      <c r="A4472" s="12"/>
      <c r="B4472" s="13"/>
      <c r="C4472" s="14"/>
      <c r="D4472" s="13"/>
      <c r="E4472" s="15"/>
      <c r="F4472" s="15"/>
      <c r="G4472" s="15"/>
      <c r="H4472" s="13"/>
      <c r="I4472" s="13"/>
      <c r="J4472" s="16"/>
      <c r="K4472" s="16"/>
      <c r="L4472" s="17" t="str">
        <f aca="false" t="array" ref="L4472:L4472">IFERROR(INDEX(AC4472:AE4472,IF(COUNTA(AC4472:AE4472)=0,"",MAX((AC4472:AE4472&lt;&gt;"")*(COLUMN(AC4472:AE4472)-(COLUMN(AC4472)-2))))-1),"")</f>
        <v/>
      </c>
      <c r="M4472" s="13"/>
      <c r="N4472" s="13"/>
      <c r="O4472" s="13"/>
      <c r="P4472" s="26"/>
      <c r="Q4472" s="20"/>
      <c r="R4472" s="13"/>
      <c r="S4472" s="25"/>
      <c r="T4472" s="13"/>
      <c r="U4472" s="13"/>
      <c r="V4472" s="13"/>
      <c r="W4472" s="13"/>
      <c r="X4472" s="21"/>
      <c r="Y4472" s="22"/>
      <c r="Z4472" s="23"/>
      <c r="AA4472" s="23"/>
      <c r="AB4472" s="15"/>
      <c r="AC4472" s="14"/>
      <c r="AD4472" s="18"/>
      <c r="AE4472" s="18"/>
    </row>
    <row r="4473" customFormat="false" ht="15" hidden="false" customHeight="true" outlineLevel="0" collapsed="false">
      <c r="A4473" s="12"/>
      <c r="B4473" s="13"/>
      <c r="C4473" s="14"/>
      <c r="D4473" s="13"/>
      <c r="E4473" s="15"/>
      <c r="F4473" s="15"/>
      <c r="G4473" s="15"/>
      <c r="H4473" s="13"/>
      <c r="I4473" s="13"/>
      <c r="J4473" s="16"/>
      <c r="K4473" s="16"/>
      <c r="L4473" s="17" t="str">
        <f aca="false" t="array" ref="L4473:L4473">IFERROR(INDEX(AC4473:AE4473,IF(COUNTA(AC4473:AE4473)=0,"",MAX((AC4473:AE4473&lt;&gt;"")*(COLUMN(AC4473:AE4473)-(COLUMN(AC4473)-2))))-1),"")</f>
        <v/>
      </c>
      <c r="M4473" s="13"/>
      <c r="N4473" s="13"/>
      <c r="O4473" s="13"/>
      <c r="P4473" s="26"/>
      <c r="Q4473" s="20"/>
      <c r="R4473" s="13"/>
      <c r="S4473" s="25"/>
      <c r="T4473" s="13"/>
      <c r="U4473" s="13"/>
      <c r="V4473" s="13"/>
      <c r="W4473" s="13"/>
      <c r="X4473" s="21"/>
      <c r="Y4473" s="22"/>
      <c r="Z4473" s="23"/>
      <c r="AA4473" s="23"/>
      <c r="AB4473" s="15"/>
      <c r="AC4473" s="14"/>
      <c r="AD4473" s="18"/>
      <c r="AE4473" s="18"/>
    </row>
    <row r="4474" customFormat="false" ht="15" hidden="false" customHeight="true" outlineLevel="0" collapsed="false">
      <c r="A4474" s="12"/>
      <c r="B4474" s="13"/>
      <c r="C4474" s="14"/>
      <c r="D4474" s="13"/>
      <c r="E4474" s="15"/>
      <c r="F4474" s="15"/>
      <c r="G4474" s="15"/>
      <c r="H4474" s="13"/>
      <c r="I4474" s="13"/>
      <c r="J4474" s="16"/>
      <c r="K4474" s="16"/>
      <c r="L4474" s="17" t="str">
        <f aca="false" t="array" ref="L4474:L4474">IFERROR(INDEX(AC4474:AE4474,IF(COUNTA(AC4474:AE4474)=0,"",MAX((AC4474:AE4474&lt;&gt;"")*(COLUMN(AC4474:AE4474)-(COLUMN(AC4474)-2))))-1),"")</f>
        <v/>
      </c>
      <c r="M4474" s="13"/>
      <c r="N4474" s="13"/>
      <c r="O4474" s="13"/>
      <c r="P4474" s="26"/>
      <c r="Q4474" s="20"/>
      <c r="R4474" s="13"/>
      <c r="S4474" s="25"/>
      <c r="T4474" s="13"/>
      <c r="U4474" s="13"/>
      <c r="V4474" s="13"/>
      <c r="W4474" s="13"/>
      <c r="X4474" s="21"/>
      <c r="Y4474" s="22"/>
      <c r="Z4474" s="23"/>
      <c r="AA4474" s="23"/>
      <c r="AB4474" s="15"/>
      <c r="AC4474" s="14"/>
      <c r="AD4474" s="18"/>
      <c r="AE4474" s="18"/>
    </row>
    <row r="4475" customFormat="false" ht="15" hidden="false" customHeight="true" outlineLevel="0" collapsed="false">
      <c r="A4475" s="12"/>
      <c r="B4475" s="13"/>
      <c r="C4475" s="14"/>
      <c r="D4475" s="13"/>
      <c r="E4475" s="15"/>
      <c r="F4475" s="15"/>
      <c r="G4475" s="15"/>
      <c r="H4475" s="13"/>
      <c r="I4475" s="13"/>
      <c r="J4475" s="16"/>
      <c r="K4475" s="16"/>
      <c r="L4475" s="17" t="str">
        <f aca="false" t="array" ref="L4475:L4475">IFERROR(INDEX(AC4475:AE4475,IF(COUNTA(AC4475:AE4475)=0,"",MAX((AC4475:AE4475&lt;&gt;"")*(COLUMN(AC4475:AE4475)-(COLUMN(AC4475)-2))))-1),"")</f>
        <v/>
      </c>
      <c r="M4475" s="13"/>
      <c r="N4475" s="13"/>
      <c r="O4475" s="13"/>
      <c r="P4475" s="26"/>
      <c r="Q4475" s="20"/>
      <c r="R4475" s="13"/>
      <c r="S4475" s="25"/>
      <c r="T4475" s="13"/>
      <c r="U4475" s="13"/>
      <c r="V4475" s="13"/>
      <c r="W4475" s="13"/>
      <c r="X4475" s="21"/>
      <c r="Y4475" s="22"/>
      <c r="Z4475" s="23"/>
      <c r="AA4475" s="23"/>
      <c r="AB4475" s="15"/>
      <c r="AC4475" s="14"/>
      <c r="AD4475" s="18"/>
      <c r="AE4475" s="18"/>
    </row>
    <row r="4476" customFormat="false" ht="15" hidden="false" customHeight="true" outlineLevel="0" collapsed="false">
      <c r="A4476" s="12"/>
      <c r="B4476" s="13"/>
      <c r="C4476" s="14"/>
      <c r="D4476" s="13"/>
      <c r="E4476" s="15"/>
      <c r="F4476" s="15"/>
      <c r="G4476" s="15"/>
      <c r="H4476" s="13"/>
      <c r="I4476" s="13"/>
      <c r="J4476" s="16"/>
      <c r="K4476" s="16"/>
      <c r="L4476" s="17" t="str">
        <f aca="false" t="array" ref="L4476:L4476">IFERROR(INDEX(AC4476:AE4476,IF(COUNTA(AC4476:AE4476)=0,"",MAX((AC4476:AE4476&lt;&gt;"")*(COLUMN(AC4476:AE4476)-(COLUMN(AC4476)-2))))-1),"")</f>
        <v/>
      </c>
      <c r="M4476" s="13"/>
      <c r="N4476" s="13"/>
      <c r="O4476" s="13"/>
      <c r="P4476" s="26"/>
      <c r="Q4476" s="20"/>
      <c r="R4476" s="13"/>
      <c r="S4476" s="25"/>
      <c r="T4476" s="13"/>
      <c r="U4476" s="13"/>
      <c r="V4476" s="13"/>
      <c r="W4476" s="13"/>
      <c r="X4476" s="21"/>
      <c r="Y4476" s="22"/>
      <c r="Z4476" s="23"/>
      <c r="AA4476" s="23"/>
      <c r="AB4476" s="15"/>
      <c r="AC4476" s="14"/>
      <c r="AD4476" s="18"/>
      <c r="AE4476" s="18"/>
    </row>
    <row r="4477" customFormat="false" ht="15" hidden="false" customHeight="true" outlineLevel="0" collapsed="false">
      <c r="A4477" s="12"/>
      <c r="B4477" s="13"/>
      <c r="C4477" s="14"/>
      <c r="D4477" s="13"/>
      <c r="E4477" s="15"/>
      <c r="F4477" s="15"/>
      <c r="G4477" s="15"/>
      <c r="H4477" s="13"/>
      <c r="I4477" s="13"/>
      <c r="J4477" s="16"/>
      <c r="K4477" s="16"/>
      <c r="L4477" s="17" t="str">
        <f aca="false" t="array" ref="L4477:L4477">IFERROR(INDEX(AC4477:AE4477,IF(COUNTA(AC4477:AE4477)=0,"",MAX((AC4477:AE4477&lt;&gt;"")*(COLUMN(AC4477:AE4477)-(COLUMN(AC4477)-2))))-1),"")</f>
        <v/>
      </c>
      <c r="M4477" s="13"/>
      <c r="N4477" s="13"/>
      <c r="O4477" s="13"/>
      <c r="P4477" s="26"/>
      <c r="Q4477" s="20"/>
      <c r="R4477" s="13"/>
      <c r="S4477" s="25"/>
      <c r="T4477" s="13"/>
      <c r="U4477" s="13"/>
      <c r="V4477" s="13"/>
      <c r="W4477" s="13"/>
      <c r="X4477" s="21"/>
      <c r="Y4477" s="22"/>
      <c r="Z4477" s="23"/>
      <c r="AA4477" s="23"/>
      <c r="AB4477" s="15"/>
      <c r="AC4477" s="14"/>
      <c r="AD4477" s="18"/>
      <c r="AE4477" s="18"/>
    </row>
    <row r="4478" customFormat="false" ht="15" hidden="false" customHeight="true" outlineLevel="0" collapsed="false">
      <c r="A4478" s="12"/>
      <c r="B4478" s="13"/>
      <c r="C4478" s="14"/>
      <c r="D4478" s="13"/>
      <c r="E4478" s="15"/>
      <c r="F4478" s="15"/>
      <c r="G4478" s="15"/>
      <c r="H4478" s="13"/>
      <c r="I4478" s="13"/>
      <c r="J4478" s="16"/>
      <c r="K4478" s="16"/>
      <c r="L4478" s="17" t="str">
        <f aca="false" t="array" ref="L4478:L4478">IFERROR(INDEX(AC4478:AE4478,IF(COUNTA(AC4478:AE4478)=0,"",MAX((AC4478:AE4478&lt;&gt;"")*(COLUMN(AC4478:AE4478)-(COLUMN(AC4478)-2))))-1),"")</f>
        <v/>
      </c>
      <c r="M4478" s="13"/>
      <c r="N4478" s="13"/>
      <c r="O4478" s="13"/>
      <c r="P4478" s="26"/>
      <c r="Q4478" s="20"/>
      <c r="R4478" s="13"/>
      <c r="S4478" s="25"/>
      <c r="T4478" s="13"/>
      <c r="U4478" s="13"/>
      <c r="V4478" s="13"/>
      <c r="W4478" s="13"/>
      <c r="X4478" s="21"/>
      <c r="Y4478" s="22"/>
      <c r="Z4478" s="23"/>
      <c r="AA4478" s="23"/>
      <c r="AB4478" s="15"/>
      <c r="AC4478" s="14"/>
      <c r="AD4478" s="18"/>
      <c r="AE4478" s="18"/>
    </row>
    <row r="4479" customFormat="false" ht="15" hidden="false" customHeight="true" outlineLevel="0" collapsed="false">
      <c r="A4479" s="12"/>
      <c r="B4479" s="13"/>
      <c r="C4479" s="14"/>
      <c r="D4479" s="13"/>
      <c r="E4479" s="15"/>
      <c r="F4479" s="15"/>
      <c r="G4479" s="15"/>
      <c r="H4479" s="13"/>
      <c r="I4479" s="13"/>
      <c r="J4479" s="16"/>
      <c r="K4479" s="16"/>
      <c r="L4479" s="17" t="str">
        <f aca="false" t="array" ref="L4479:L4479">IFERROR(INDEX(AC4479:AE4479,IF(COUNTA(AC4479:AE4479)=0,"",MAX((AC4479:AE4479&lt;&gt;"")*(COLUMN(AC4479:AE4479)-(COLUMN(AC4479)-2))))-1),"")</f>
        <v/>
      </c>
      <c r="M4479" s="13"/>
      <c r="N4479" s="13"/>
      <c r="O4479" s="13"/>
      <c r="P4479" s="26"/>
      <c r="Q4479" s="20"/>
      <c r="R4479" s="13"/>
      <c r="S4479" s="25"/>
      <c r="T4479" s="13"/>
      <c r="U4479" s="13"/>
      <c r="V4479" s="13"/>
      <c r="W4479" s="13"/>
      <c r="X4479" s="21"/>
      <c r="Y4479" s="22"/>
      <c r="Z4479" s="23"/>
      <c r="AA4479" s="23"/>
      <c r="AB4479" s="15"/>
      <c r="AC4479" s="14"/>
      <c r="AD4479" s="18"/>
      <c r="AE4479" s="18"/>
    </row>
    <row r="4480" customFormat="false" ht="15" hidden="false" customHeight="true" outlineLevel="0" collapsed="false">
      <c r="A4480" s="12"/>
      <c r="B4480" s="13"/>
      <c r="C4480" s="14"/>
      <c r="D4480" s="13"/>
      <c r="E4480" s="15"/>
      <c r="F4480" s="15"/>
      <c r="G4480" s="15"/>
      <c r="H4480" s="13"/>
      <c r="I4480" s="13"/>
      <c r="J4480" s="16"/>
      <c r="K4480" s="16"/>
      <c r="L4480" s="17" t="str">
        <f aca="false" t="array" ref="L4480:L4480">IFERROR(INDEX(AC4480:AE4480,IF(COUNTA(AC4480:AE4480)=0,"",MAX((AC4480:AE4480&lt;&gt;"")*(COLUMN(AC4480:AE4480)-(COLUMN(AC4480)-2))))-1),"")</f>
        <v/>
      </c>
      <c r="M4480" s="13"/>
      <c r="N4480" s="13"/>
      <c r="O4480" s="13"/>
      <c r="P4480" s="26"/>
      <c r="Q4480" s="20"/>
      <c r="R4480" s="13"/>
      <c r="S4480" s="25"/>
      <c r="T4480" s="13"/>
      <c r="U4480" s="13"/>
      <c r="V4480" s="13"/>
      <c r="W4480" s="13"/>
      <c r="X4480" s="21"/>
      <c r="Y4480" s="22"/>
      <c r="Z4480" s="23"/>
      <c r="AA4480" s="23"/>
      <c r="AB4480" s="15"/>
      <c r="AC4480" s="14"/>
      <c r="AD4480" s="18"/>
      <c r="AE4480" s="18"/>
    </row>
    <row r="4481" customFormat="false" ht="15" hidden="false" customHeight="true" outlineLevel="0" collapsed="false">
      <c r="A4481" s="12"/>
      <c r="B4481" s="13"/>
      <c r="C4481" s="14"/>
      <c r="D4481" s="13"/>
      <c r="E4481" s="15"/>
      <c r="F4481" s="15"/>
      <c r="G4481" s="15"/>
      <c r="H4481" s="13"/>
      <c r="I4481" s="13"/>
      <c r="J4481" s="16"/>
      <c r="K4481" s="16"/>
      <c r="L4481" s="17" t="str">
        <f aca="false" t="array" ref="L4481:L4481">IFERROR(INDEX(AC4481:AE4481,IF(COUNTA(AC4481:AE4481)=0,"",MAX((AC4481:AE4481&lt;&gt;"")*(COLUMN(AC4481:AE4481)-(COLUMN(AC4481)-2))))-1),"")</f>
        <v/>
      </c>
      <c r="M4481" s="13"/>
      <c r="N4481" s="13"/>
      <c r="O4481" s="13"/>
      <c r="P4481" s="26"/>
      <c r="Q4481" s="20"/>
      <c r="R4481" s="13"/>
      <c r="S4481" s="25"/>
      <c r="T4481" s="13"/>
      <c r="U4481" s="13"/>
      <c r="V4481" s="13"/>
      <c r="W4481" s="13"/>
      <c r="X4481" s="21"/>
      <c r="Y4481" s="22"/>
      <c r="Z4481" s="23"/>
      <c r="AA4481" s="23"/>
      <c r="AB4481" s="15"/>
      <c r="AC4481" s="14"/>
      <c r="AD4481" s="18"/>
      <c r="AE4481" s="18"/>
    </row>
    <row r="4482" customFormat="false" ht="15" hidden="false" customHeight="true" outlineLevel="0" collapsed="false">
      <c r="A4482" s="12"/>
      <c r="B4482" s="13"/>
      <c r="C4482" s="14"/>
      <c r="D4482" s="13"/>
      <c r="E4482" s="15"/>
      <c r="F4482" s="15"/>
      <c r="G4482" s="15"/>
      <c r="H4482" s="13"/>
      <c r="I4482" s="13"/>
      <c r="J4482" s="16"/>
      <c r="K4482" s="16"/>
      <c r="L4482" s="17" t="str">
        <f aca="false" t="array" ref="L4482:L4482">IFERROR(INDEX(AC4482:AE4482,IF(COUNTA(AC4482:AE4482)=0,"",MAX((AC4482:AE4482&lt;&gt;"")*(COLUMN(AC4482:AE4482)-(COLUMN(AC4482)-2))))-1),"")</f>
        <v/>
      </c>
      <c r="M4482" s="13"/>
      <c r="N4482" s="13"/>
      <c r="O4482" s="13"/>
      <c r="P4482" s="26"/>
      <c r="Q4482" s="20"/>
      <c r="R4482" s="13"/>
      <c r="S4482" s="25"/>
      <c r="T4482" s="13"/>
      <c r="U4482" s="13"/>
      <c r="V4482" s="13"/>
      <c r="W4482" s="13"/>
      <c r="X4482" s="21"/>
      <c r="Y4482" s="22"/>
      <c r="Z4482" s="23"/>
      <c r="AA4482" s="23"/>
      <c r="AB4482" s="15"/>
      <c r="AC4482" s="14"/>
      <c r="AD4482" s="18"/>
      <c r="AE4482" s="18"/>
    </row>
    <row r="4483" customFormat="false" ht="15" hidden="false" customHeight="true" outlineLevel="0" collapsed="false">
      <c r="A4483" s="12"/>
      <c r="B4483" s="13"/>
      <c r="C4483" s="14"/>
      <c r="D4483" s="13"/>
      <c r="E4483" s="15"/>
      <c r="F4483" s="15"/>
      <c r="G4483" s="15"/>
      <c r="H4483" s="13"/>
      <c r="I4483" s="13"/>
      <c r="J4483" s="16"/>
      <c r="K4483" s="16"/>
      <c r="L4483" s="17" t="str">
        <f aca="false" t="array" ref="L4483:L4483">IFERROR(INDEX(AC4483:AE4483,IF(COUNTA(AC4483:AE4483)=0,"",MAX((AC4483:AE4483&lt;&gt;"")*(COLUMN(AC4483:AE4483)-(COLUMN(AC4483)-2))))-1),"")</f>
        <v/>
      </c>
      <c r="M4483" s="13"/>
      <c r="N4483" s="13"/>
      <c r="O4483" s="13"/>
      <c r="P4483" s="26"/>
      <c r="Q4483" s="20"/>
      <c r="R4483" s="13"/>
      <c r="S4483" s="25"/>
      <c r="T4483" s="13"/>
      <c r="U4483" s="13"/>
      <c r="V4483" s="13"/>
      <c r="W4483" s="13"/>
      <c r="X4483" s="21"/>
      <c r="Y4483" s="22"/>
      <c r="Z4483" s="23"/>
      <c r="AA4483" s="23"/>
      <c r="AB4483" s="15"/>
      <c r="AC4483" s="14"/>
      <c r="AD4483" s="18"/>
      <c r="AE4483" s="18"/>
    </row>
    <row r="4484" customFormat="false" ht="15" hidden="false" customHeight="true" outlineLevel="0" collapsed="false">
      <c r="A4484" s="12"/>
      <c r="B4484" s="13"/>
      <c r="C4484" s="14"/>
      <c r="D4484" s="13"/>
      <c r="E4484" s="15"/>
      <c r="F4484" s="15"/>
      <c r="G4484" s="15"/>
      <c r="H4484" s="13"/>
      <c r="I4484" s="13"/>
      <c r="J4484" s="16"/>
      <c r="K4484" s="16"/>
      <c r="L4484" s="17" t="str">
        <f aca="false" t="array" ref="L4484:L4484">IFERROR(INDEX(AC4484:AE4484,IF(COUNTA(AC4484:AE4484)=0,"",MAX((AC4484:AE4484&lt;&gt;"")*(COLUMN(AC4484:AE4484)-(COLUMN(AC4484)-2))))-1),"")</f>
        <v/>
      </c>
      <c r="M4484" s="13"/>
      <c r="N4484" s="13"/>
      <c r="O4484" s="13"/>
      <c r="P4484" s="26"/>
      <c r="Q4484" s="20"/>
      <c r="R4484" s="13"/>
      <c r="S4484" s="25"/>
      <c r="T4484" s="13"/>
      <c r="U4484" s="13"/>
      <c r="V4484" s="13"/>
      <c r="W4484" s="13"/>
      <c r="X4484" s="21"/>
      <c r="Y4484" s="22"/>
      <c r="Z4484" s="23"/>
      <c r="AA4484" s="23"/>
      <c r="AB4484" s="15"/>
      <c r="AC4484" s="14"/>
      <c r="AD4484" s="18"/>
      <c r="AE4484" s="18"/>
    </row>
    <row r="4485" customFormat="false" ht="15" hidden="false" customHeight="true" outlineLevel="0" collapsed="false">
      <c r="A4485" s="12"/>
      <c r="B4485" s="13"/>
      <c r="C4485" s="14"/>
      <c r="D4485" s="13"/>
      <c r="E4485" s="15"/>
      <c r="F4485" s="15"/>
      <c r="G4485" s="15"/>
      <c r="H4485" s="13"/>
      <c r="I4485" s="13"/>
      <c r="J4485" s="16"/>
      <c r="K4485" s="16"/>
      <c r="L4485" s="17" t="str">
        <f aca="false" t="array" ref="L4485:L4485">IFERROR(INDEX(AC4485:AE4485,IF(COUNTA(AC4485:AE4485)=0,"",MAX((AC4485:AE4485&lt;&gt;"")*(COLUMN(AC4485:AE4485)-(COLUMN(AC4485)-2))))-1),"")</f>
        <v/>
      </c>
      <c r="M4485" s="13"/>
      <c r="N4485" s="13"/>
      <c r="O4485" s="13"/>
      <c r="P4485" s="26"/>
      <c r="Q4485" s="20"/>
      <c r="R4485" s="13"/>
      <c r="S4485" s="25"/>
      <c r="T4485" s="13"/>
      <c r="U4485" s="13"/>
      <c r="V4485" s="13"/>
      <c r="W4485" s="13"/>
      <c r="X4485" s="21"/>
      <c r="Y4485" s="22"/>
      <c r="Z4485" s="23"/>
      <c r="AA4485" s="23"/>
      <c r="AB4485" s="15"/>
      <c r="AC4485" s="14"/>
      <c r="AD4485" s="18"/>
      <c r="AE4485" s="18"/>
    </row>
    <row r="4486" customFormat="false" ht="15" hidden="false" customHeight="true" outlineLevel="0" collapsed="false">
      <c r="A4486" s="12"/>
      <c r="B4486" s="13"/>
      <c r="C4486" s="14"/>
      <c r="D4486" s="13"/>
      <c r="E4486" s="15"/>
      <c r="F4486" s="15"/>
      <c r="G4486" s="15"/>
      <c r="H4486" s="13"/>
      <c r="I4486" s="13"/>
      <c r="J4486" s="16"/>
      <c r="K4486" s="16"/>
      <c r="L4486" s="17" t="str">
        <f aca="false" t="array" ref="L4486:L4486">IFERROR(INDEX(AC4486:AE4486,IF(COUNTA(AC4486:AE4486)=0,"",MAX((AC4486:AE4486&lt;&gt;"")*(COLUMN(AC4486:AE4486)-(COLUMN(AC4486)-2))))-1),"")</f>
        <v/>
      </c>
      <c r="M4486" s="13"/>
      <c r="N4486" s="13"/>
      <c r="O4486" s="13"/>
      <c r="P4486" s="26"/>
      <c r="Q4486" s="20"/>
      <c r="R4486" s="13"/>
      <c r="S4486" s="25"/>
      <c r="T4486" s="13"/>
      <c r="U4486" s="13"/>
      <c r="V4486" s="13"/>
      <c r="W4486" s="13"/>
      <c r="X4486" s="21"/>
      <c r="Y4486" s="22"/>
      <c r="Z4486" s="23"/>
      <c r="AA4486" s="23"/>
      <c r="AB4486" s="15"/>
      <c r="AC4486" s="14"/>
      <c r="AD4486" s="18"/>
      <c r="AE4486" s="18"/>
    </row>
    <row r="4487" customFormat="false" ht="15" hidden="false" customHeight="true" outlineLevel="0" collapsed="false">
      <c r="A4487" s="12"/>
      <c r="B4487" s="13"/>
      <c r="C4487" s="14"/>
      <c r="D4487" s="13"/>
      <c r="E4487" s="15"/>
      <c r="F4487" s="15"/>
      <c r="G4487" s="15"/>
      <c r="H4487" s="13"/>
      <c r="I4487" s="13"/>
      <c r="J4487" s="16"/>
      <c r="K4487" s="16"/>
      <c r="L4487" s="17" t="str">
        <f aca="false" t="array" ref="L4487:L4487">IFERROR(INDEX(AC4487:AE4487,IF(COUNTA(AC4487:AE4487)=0,"",MAX((AC4487:AE4487&lt;&gt;"")*(COLUMN(AC4487:AE4487)-(COLUMN(AC4487)-2))))-1),"")</f>
        <v/>
      </c>
      <c r="M4487" s="13"/>
      <c r="N4487" s="13"/>
      <c r="O4487" s="13"/>
      <c r="P4487" s="26"/>
      <c r="Q4487" s="20"/>
      <c r="R4487" s="13"/>
      <c r="S4487" s="25"/>
      <c r="T4487" s="13"/>
      <c r="U4487" s="13"/>
      <c r="V4487" s="13"/>
      <c r="W4487" s="13"/>
      <c r="X4487" s="21"/>
      <c r="Y4487" s="22"/>
      <c r="Z4487" s="23"/>
      <c r="AA4487" s="23"/>
      <c r="AB4487" s="15"/>
      <c r="AC4487" s="14"/>
      <c r="AD4487" s="18"/>
      <c r="AE4487" s="18"/>
    </row>
    <row r="4488" customFormat="false" ht="15" hidden="false" customHeight="true" outlineLevel="0" collapsed="false">
      <c r="A4488" s="12"/>
      <c r="B4488" s="13"/>
      <c r="C4488" s="14"/>
      <c r="D4488" s="13"/>
      <c r="E4488" s="15"/>
      <c r="F4488" s="15"/>
      <c r="G4488" s="15"/>
      <c r="H4488" s="13"/>
      <c r="I4488" s="13"/>
      <c r="J4488" s="16"/>
      <c r="K4488" s="16"/>
      <c r="L4488" s="17" t="str">
        <f aca="false" t="array" ref="L4488:L4488">IFERROR(INDEX(AC4488:AE4488,IF(COUNTA(AC4488:AE4488)=0,"",MAX((AC4488:AE4488&lt;&gt;"")*(COLUMN(AC4488:AE4488)-(COLUMN(AC4488)-2))))-1),"")</f>
        <v/>
      </c>
      <c r="M4488" s="13"/>
      <c r="N4488" s="13"/>
      <c r="O4488" s="13"/>
      <c r="P4488" s="26"/>
      <c r="Q4488" s="20"/>
      <c r="R4488" s="13"/>
      <c r="S4488" s="25"/>
      <c r="T4488" s="13"/>
      <c r="U4488" s="13"/>
      <c r="V4488" s="13"/>
      <c r="W4488" s="13"/>
      <c r="X4488" s="21"/>
      <c r="Y4488" s="22"/>
      <c r="Z4488" s="23"/>
      <c r="AA4488" s="23"/>
      <c r="AB4488" s="15"/>
      <c r="AC4488" s="14"/>
      <c r="AD4488" s="18"/>
      <c r="AE4488" s="18"/>
    </row>
    <row r="4489" customFormat="false" ht="15" hidden="false" customHeight="true" outlineLevel="0" collapsed="false">
      <c r="A4489" s="12"/>
      <c r="B4489" s="13"/>
      <c r="C4489" s="14"/>
      <c r="D4489" s="13"/>
      <c r="E4489" s="15"/>
      <c r="F4489" s="15"/>
      <c r="G4489" s="15"/>
      <c r="H4489" s="13"/>
      <c r="I4489" s="13"/>
      <c r="J4489" s="16"/>
      <c r="K4489" s="16"/>
      <c r="L4489" s="17" t="str">
        <f aca="false" t="array" ref="L4489:L4489">IFERROR(INDEX(AC4489:AE4489,IF(COUNTA(AC4489:AE4489)=0,"",MAX((AC4489:AE4489&lt;&gt;"")*(COLUMN(AC4489:AE4489)-(COLUMN(AC4489)-2))))-1),"")</f>
        <v/>
      </c>
      <c r="M4489" s="13"/>
      <c r="N4489" s="13"/>
      <c r="O4489" s="13"/>
      <c r="P4489" s="26"/>
      <c r="Q4489" s="20"/>
      <c r="R4489" s="13"/>
      <c r="S4489" s="25"/>
      <c r="T4489" s="13"/>
      <c r="U4489" s="13"/>
      <c r="V4489" s="13"/>
      <c r="W4489" s="13"/>
      <c r="X4489" s="21"/>
      <c r="Y4489" s="22"/>
      <c r="Z4489" s="23"/>
      <c r="AA4489" s="23"/>
      <c r="AB4489" s="15"/>
      <c r="AC4489" s="14"/>
      <c r="AD4489" s="18"/>
      <c r="AE4489" s="18"/>
    </row>
    <row r="4490" customFormat="false" ht="15" hidden="false" customHeight="true" outlineLevel="0" collapsed="false">
      <c r="A4490" s="12"/>
      <c r="B4490" s="13"/>
      <c r="C4490" s="14"/>
      <c r="D4490" s="13"/>
      <c r="E4490" s="15"/>
      <c r="F4490" s="15"/>
      <c r="G4490" s="15"/>
      <c r="H4490" s="13"/>
      <c r="I4490" s="13"/>
      <c r="J4490" s="16"/>
      <c r="K4490" s="16"/>
      <c r="L4490" s="17" t="str">
        <f aca="false" t="array" ref="L4490:L4490">IFERROR(INDEX(AC4490:AE4490,IF(COUNTA(AC4490:AE4490)=0,"",MAX((AC4490:AE4490&lt;&gt;"")*(COLUMN(AC4490:AE4490)-(COLUMN(AC4490)-2))))-1),"")</f>
        <v/>
      </c>
      <c r="M4490" s="13"/>
      <c r="N4490" s="13"/>
      <c r="O4490" s="13"/>
      <c r="P4490" s="26"/>
      <c r="Q4490" s="20"/>
      <c r="R4490" s="13"/>
      <c r="S4490" s="25"/>
      <c r="T4490" s="13"/>
      <c r="U4490" s="13"/>
      <c r="V4490" s="13"/>
      <c r="W4490" s="13"/>
      <c r="X4490" s="21"/>
      <c r="Y4490" s="22"/>
      <c r="Z4490" s="23"/>
      <c r="AA4490" s="23"/>
      <c r="AB4490" s="15"/>
      <c r="AC4490" s="14"/>
      <c r="AD4490" s="18"/>
      <c r="AE4490" s="18"/>
    </row>
    <row r="4491" customFormat="false" ht="15" hidden="false" customHeight="true" outlineLevel="0" collapsed="false">
      <c r="A4491" s="12"/>
      <c r="B4491" s="13"/>
      <c r="C4491" s="14"/>
      <c r="D4491" s="13"/>
      <c r="E4491" s="15"/>
      <c r="F4491" s="15"/>
      <c r="G4491" s="15"/>
      <c r="H4491" s="13"/>
      <c r="I4491" s="13"/>
      <c r="J4491" s="16"/>
      <c r="K4491" s="16"/>
      <c r="L4491" s="17" t="str">
        <f aca="false" t="array" ref="L4491:L4491">IFERROR(INDEX(AC4491:AE4491,IF(COUNTA(AC4491:AE4491)=0,"",MAX((AC4491:AE4491&lt;&gt;"")*(COLUMN(AC4491:AE4491)-(COLUMN(AC4491)-2))))-1),"")</f>
        <v/>
      </c>
      <c r="M4491" s="13"/>
      <c r="N4491" s="13"/>
      <c r="O4491" s="13"/>
      <c r="P4491" s="26"/>
      <c r="Q4491" s="20"/>
      <c r="R4491" s="13"/>
      <c r="S4491" s="25"/>
      <c r="T4491" s="13"/>
      <c r="U4491" s="13"/>
      <c r="V4491" s="13"/>
      <c r="W4491" s="13"/>
      <c r="X4491" s="21"/>
      <c r="Y4491" s="22"/>
      <c r="Z4491" s="23"/>
      <c r="AA4491" s="23"/>
      <c r="AB4491" s="15"/>
      <c r="AC4491" s="14"/>
      <c r="AD4491" s="18"/>
      <c r="AE4491" s="18"/>
    </row>
    <row r="4492" customFormat="false" ht="15" hidden="false" customHeight="true" outlineLevel="0" collapsed="false">
      <c r="A4492" s="12"/>
      <c r="B4492" s="13"/>
      <c r="C4492" s="14"/>
      <c r="D4492" s="13"/>
      <c r="E4492" s="15"/>
      <c r="F4492" s="15"/>
      <c r="G4492" s="15"/>
      <c r="H4492" s="13"/>
      <c r="I4492" s="13"/>
      <c r="J4492" s="16"/>
      <c r="K4492" s="16"/>
      <c r="L4492" s="17" t="str">
        <f aca="false" t="array" ref="L4492:L4492">IFERROR(INDEX(AC4492:AE4492,IF(COUNTA(AC4492:AE4492)=0,"",MAX((AC4492:AE4492&lt;&gt;"")*(COLUMN(AC4492:AE4492)-(COLUMN(AC4492)-2))))-1),"")</f>
        <v/>
      </c>
      <c r="M4492" s="13"/>
      <c r="N4492" s="13"/>
      <c r="O4492" s="13"/>
      <c r="P4492" s="26"/>
      <c r="Q4492" s="20"/>
      <c r="R4492" s="13"/>
      <c r="S4492" s="25"/>
      <c r="T4492" s="13"/>
      <c r="U4492" s="13"/>
      <c r="V4492" s="13"/>
      <c r="W4492" s="13"/>
      <c r="X4492" s="21"/>
      <c r="Y4492" s="22"/>
      <c r="Z4492" s="23"/>
      <c r="AA4492" s="23"/>
      <c r="AB4492" s="15"/>
      <c r="AC4492" s="14"/>
      <c r="AD4492" s="18"/>
      <c r="AE4492" s="18"/>
    </row>
    <row r="4493" customFormat="false" ht="15" hidden="false" customHeight="true" outlineLevel="0" collapsed="false">
      <c r="A4493" s="12"/>
      <c r="B4493" s="13"/>
      <c r="C4493" s="14"/>
      <c r="D4493" s="13"/>
      <c r="E4493" s="15"/>
      <c r="F4493" s="15"/>
      <c r="G4493" s="15"/>
      <c r="H4493" s="13"/>
      <c r="I4493" s="13"/>
      <c r="J4493" s="16"/>
      <c r="K4493" s="16"/>
      <c r="L4493" s="17" t="str">
        <f aca="false" t="array" ref="L4493:L4493">IFERROR(INDEX(AC4493:AE4493,IF(COUNTA(AC4493:AE4493)=0,"",MAX((AC4493:AE4493&lt;&gt;"")*(COLUMN(AC4493:AE4493)-(COLUMN(AC4493)-2))))-1),"")</f>
        <v/>
      </c>
      <c r="M4493" s="13"/>
      <c r="N4493" s="13"/>
      <c r="O4493" s="13"/>
      <c r="P4493" s="26"/>
      <c r="Q4493" s="20"/>
      <c r="R4493" s="13"/>
      <c r="S4493" s="25"/>
      <c r="T4493" s="13"/>
      <c r="U4493" s="13"/>
      <c r="V4493" s="13"/>
      <c r="W4493" s="13"/>
      <c r="X4493" s="21"/>
      <c r="Y4493" s="22"/>
      <c r="Z4493" s="23"/>
      <c r="AA4493" s="23"/>
      <c r="AB4493" s="15"/>
      <c r="AC4493" s="14"/>
      <c r="AD4493" s="18"/>
      <c r="AE4493" s="18"/>
    </row>
    <row r="4494" customFormat="false" ht="15" hidden="false" customHeight="true" outlineLevel="0" collapsed="false">
      <c r="A4494" s="12"/>
      <c r="B4494" s="13"/>
      <c r="C4494" s="14"/>
      <c r="D4494" s="13"/>
      <c r="E4494" s="15"/>
      <c r="F4494" s="15"/>
      <c r="G4494" s="15"/>
      <c r="H4494" s="13"/>
      <c r="I4494" s="13"/>
      <c r="J4494" s="16"/>
      <c r="K4494" s="16"/>
      <c r="L4494" s="17" t="str">
        <f aca="false" t="array" ref="L4494:L4494">IFERROR(INDEX(AC4494:AE4494,IF(COUNTA(AC4494:AE4494)=0,"",MAX((AC4494:AE4494&lt;&gt;"")*(COLUMN(AC4494:AE4494)-(COLUMN(AC4494)-2))))-1),"")</f>
        <v/>
      </c>
      <c r="M4494" s="13"/>
      <c r="N4494" s="13"/>
      <c r="O4494" s="13"/>
      <c r="P4494" s="26"/>
      <c r="Q4494" s="20"/>
      <c r="R4494" s="13"/>
      <c r="S4494" s="25"/>
      <c r="T4494" s="13"/>
      <c r="U4494" s="13"/>
      <c r="V4494" s="13"/>
      <c r="W4494" s="13"/>
      <c r="X4494" s="21"/>
      <c r="Y4494" s="22"/>
      <c r="Z4494" s="23"/>
      <c r="AA4494" s="23"/>
      <c r="AB4494" s="15"/>
      <c r="AC4494" s="14"/>
      <c r="AD4494" s="18"/>
      <c r="AE4494" s="18"/>
    </row>
    <row r="4495" customFormat="false" ht="15" hidden="false" customHeight="true" outlineLevel="0" collapsed="false">
      <c r="A4495" s="12"/>
      <c r="B4495" s="13"/>
      <c r="C4495" s="14"/>
      <c r="D4495" s="13"/>
      <c r="E4495" s="15"/>
      <c r="F4495" s="15"/>
      <c r="G4495" s="15"/>
      <c r="H4495" s="13"/>
      <c r="I4495" s="13"/>
      <c r="J4495" s="16"/>
      <c r="K4495" s="16"/>
      <c r="L4495" s="17" t="str">
        <f aca="false" t="array" ref="L4495:L4495">IFERROR(INDEX(AC4495:AE4495,IF(COUNTA(AC4495:AE4495)=0,"",MAX((AC4495:AE4495&lt;&gt;"")*(COLUMN(AC4495:AE4495)-(COLUMN(AC4495)-2))))-1),"")</f>
        <v/>
      </c>
      <c r="M4495" s="13"/>
      <c r="N4495" s="13"/>
      <c r="O4495" s="13"/>
      <c r="P4495" s="26"/>
      <c r="Q4495" s="20"/>
      <c r="R4495" s="13"/>
      <c r="S4495" s="25"/>
      <c r="T4495" s="13"/>
      <c r="U4495" s="13"/>
      <c r="V4495" s="13"/>
      <c r="W4495" s="13"/>
      <c r="X4495" s="21"/>
      <c r="Y4495" s="22"/>
      <c r="Z4495" s="23"/>
      <c r="AA4495" s="23"/>
      <c r="AB4495" s="15"/>
      <c r="AC4495" s="14"/>
      <c r="AD4495" s="18"/>
      <c r="AE4495" s="18"/>
    </row>
    <row r="4496" customFormat="false" ht="15" hidden="false" customHeight="true" outlineLevel="0" collapsed="false">
      <c r="A4496" s="12"/>
      <c r="B4496" s="13"/>
      <c r="C4496" s="14"/>
      <c r="D4496" s="13"/>
      <c r="E4496" s="15"/>
      <c r="F4496" s="15"/>
      <c r="G4496" s="15"/>
      <c r="H4496" s="13"/>
      <c r="I4496" s="13"/>
      <c r="J4496" s="16"/>
      <c r="K4496" s="16"/>
      <c r="L4496" s="17" t="str">
        <f aca="false" t="array" ref="L4496:L4496">IFERROR(INDEX(AC4496:AE4496,IF(COUNTA(AC4496:AE4496)=0,"",MAX((AC4496:AE4496&lt;&gt;"")*(COLUMN(AC4496:AE4496)-(COLUMN(AC4496)-2))))-1),"")</f>
        <v/>
      </c>
      <c r="M4496" s="13"/>
      <c r="N4496" s="13"/>
      <c r="O4496" s="13"/>
      <c r="P4496" s="26"/>
      <c r="Q4496" s="20"/>
      <c r="R4496" s="13"/>
      <c r="S4496" s="25"/>
      <c r="T4496" s="13"/>
      <c r="U4496" s="13"/>
      <c r="V4496" s="13"/>
      <c r="W4496" s="13"/>
      <c r="X4496" s="21"/>
      <c r="Y4496" s="22"/>
      <c r="Z4496" s="23"/>
      <c r="AA4496" s="23"/>
      <c r="AB4496" s="15"/>
      <c r="AC4496" s="14"/>
      <c r="AD4496" s="18"/>
      <c r="AE4496" s="18"/>
    </row>
    <row r="4497" customFormat="false" ht="15" hidden="false" customHeight="true" outlineLevel="0" collapsed="false">
      <c r="A4497" s="12"/>
      <c r="B4497" s="13"/>
      <c r="C4497" s="14"/>
      <c r="D4497" s="13"/>
      <c r="E4497" s="15"/>
      <c r="F4497" s="15"/>
      <c r="G4497" s="15"/>
      <c r="H4497" s="13"/>
      <c r="I4497" s="13"/>
      <c r="J4497" s="16"/>
      <c r="K4497" s="16"/>
      <c r="L4497" s="17" t="str">
        <f aca="false" t="array" ref="L4497:L4497">IFERROR(INDEX(AC4497:AE4497,IF(COUNTA(AC4497:AE4497)=0,"",MAX((AC4497:AE4497&lt;&gt;"")*(COLUMN(AC4497:AE4497)-(COLUMN(AC4497)-2))))-1),"")</f>
        <v/>
      </c>
      <c r="M4497" s="13"/>
      <c r="N4497" s="13"/>
      <c r="O4497" s="13"/>
      <c r="P4497" s="26"/>
      <c r="Q4497" s="20"/>
      <c r="R4497" s="13"/>
      <c r="S4497" s="25"/>
      <c r="T4497" s="13"/>
      <c r="U4497" s="13"/>
      <c r="V4497" s="13"/>
      <c r="W4497" s="13"/>
      <c r="X4497" s="21"/>
      <c r="Y4497" s="22"/>
      <c r="Z4497" s="23"/>
      <c r="AA4497" s="23"/>
      <c r="AB4497" s="15"/>
      <c r="AC4497" s="14"/>
      <c r="AD4497" s="18"/>
      <c r="AE4497" s="18"/>
    </row>
    <row r="4498" customFormat="false" ht="15" hidden="false" customHeight="true" outlineLevel="0" collapsed="false">
      <c r="A4498" s="12"/>
      <c r="B4498" s="13"/>
      <c r="C4498" s="14"/>
      <c r="D4498" s="13"/>
      <c r="E4498" s="15"/>
      <c r="F4498" s="15"/>
      <c r="G4498" s="15"/>
      <c r="H4498" s="13"/>
      <c r="I4498" s="13"/>
      <c r="J4498" s="16"/>
      <c r="K4498" s="16"/>
      <c r="L4498" s="17" t="str">
        <f aca="false" t="array" ref="L4498:L4498">IFERROR(INDEX(AC4498:AE4498,IF(COUNTA(AC4498:AE4498)=0,"",MAX((AC4498:AE4498&lt;&gt;"")*(COLUMN(AC4498:AE4498)-(COLUMN(AC4498)-2))))-1),"")</f>
        <v/>
      </c>
      <c r="M4498" s="13"/>
      <c r="N4498" s="13"/>
      <c r="O4498" s="13"/>
      <c r="P4498" s="26"/>
      <c r="Q4498" s="20"/>
      <c r="R4498" s="13"/>
      <c r="S4498" s="25"/>
      <c r="T4498" s="13"/>
      <c r="U4498" s="13"/>
      <c r="V4498" s="13"/>
      <c r="W4498" s="13"/>
      <c r="X4498" s="21"/>
      <c r="Y4498" s="22"/>
      <c r="Z4498" s="23"/>
      <c r="AA4498" s="23"/>
      <c r="AB4498" s="15"/>
      <c r="AC4498" s="14"/>
      <c r="AD4498" s="18"/>
      <c r="AE4498" s="18"/>
    </row>
    <row r="4499" customFormat="false" ht="15" hidden="false" customHeight="true" outlineLevel="0" collapsed="false">
      <c r="A4499" s="12"/>
      <c r="B4499" s="13"/>
      <c r="C4499" s="14"/>
      <c r="D4499" s="13"/>
      <c r="E4499" s="15"/>
      <c r="F4499" s="15"/>
      <c r="G4499" s="15"/>
      <c r="H4499" s="13"/>
      <c r="I4499" s="13"/>
      <c r="J4499" s="16"/>
      <c r="K4499" s="16"/>
      <c r="L4499" s="17" t="str">
        <f aca="false" t="array" ref="L4499:L4499">IFERROR(INDEX(AC4499:AE4499,IF(COUNTA(AC4499:AE4499)=0,"",MAX((AC4499:AE4499&lt;&gt;"")*(COLUMN(AC4499:AE4499)-(COLUMN(AC4499)-2))))-1),"")</f>
        <v/>
      </c>
      <c r="M4499" s="13"/>
      <c r="N4499" s="13"/>
      <c r="O4499" s="13"/>
      <c r="P4499" s="26"/>
      <c r="Q4499" s="20"/>
      <c r="R4499" s="13"/>
      <c r="S4499" s="25"/>
      <c r="T4499" s="13"/>
      <c r="U4499" s="13"/>
      <c r="V4499" s="13"/>
      <c r="W4499" s="13"/>
      <c r="X4499" s="21"/>
      <c r="Y4499" s="22"/>
      <c r="Z4499" s="23"/>
      <c r="AA4499" s="23"/>
      <c r="AB4499" s="15"/>
      <c r="AC4499" s="14"/>
      <c r="AD4499" s="18"/>
      <c r="AE4499" s="18"/>
    </row>
    <row r="4500" customFormat="false" ht="15" hidden="false" customHeight="true" outlineLevel="0" collapsed="false">
      <c r="A4500" s="12"/>
      <c r="B4500" s="13"/>
      <c r="C4500" s="14"/>
      <c r="D4500" s="13"/>
      <c r="E4500" s="15"/>
      <c r="F4500" s="15"/>
      <c r="G4500" s="15"/>
      <c r="H4500" s="13"/>
      <c r="I4500" s="13"/>
      <c r="J4500" s="16"/>
      <c r="K4500" s="16"/>
      <c r="L4500" s="17" t="str">
        <f aca="false" t="array" ref="L4500:L4500">IFERROR(INDEX(AC4500:AE4500,IF(COUNTA(AC4500:AE4500)=0,"",MAX((AC4500:AE4500&lt;&gt;"")*(COLUMN(AC4500:AE4500)-(COLUMN(AC4500)-2))))-1),"")</f>
        <v/>
      </c>
      <c r="M4500" s="13"/>
      <c r="N4500" s="13"/>
      <c r="O4500" s="13"/>
      <c r="P4500" s="26"/>
      <c r="Q4500" s="20"/>
      <c r="R4500" s="13"/>
      <c r="S4500" s="25"/>
      <c r="T4500" s="13"/>
      <c r="U4500" s="13"/>
      <c r="V4500" s="13"/>
      <c r="W4500" s="13"/>
      <c r="X4500" s="21"/>
      <c r="Y4500" s="22"/>
      <c r="Z4500" s="23"/>
      <c r="AA4500" s="23"/>
      <c r="AB4500" s="15"/>
      <c r="AC4500" s="14"/>
      <c r="AD4500" s="18"/>
      <c r="AE4500" s="18"/>
    </row>
    <row r="4501" customFormat="false" ht="15" hidden="false" customHeight="true" outlineLevel="0" collapsed="false">
      <c r="A4501" s="12"/>
      <c r="B4501" s="13"/>
      <c r="C4501" s="14"/>
      <c r="D4501" s="13"/>
      <c r="E4501" s="15"/>
      <c r="F4501" s="15"/>
      <c r="G4501" s="15"/>
      <c r="H4501" s="13"/>
      <c r="I4501" s="13"/>
      <c r="J4501" s="16"/>
      <c r="K4501" s="16"/>
      <c r="L4501" s="17" t="str">
        <f aca="false" t="array" ref="L4501:L4501">IFERROR(INDEX(AC4501:AE4501,IF(COUNTA(AC4501:AE4501)=0,"",MAX((AC4501:AE4501&lt;&gt;"")*(COLUMN(AC4501:AE4501)-(COLUMN(AC4501)-2))))-1),"")</f>
        <v/>
      </c>
      <c r="M4501" s="13"/>
      <c r="N4501" s="13"/>
      <c r="O4501" s="13"/>
      <c r="P4501" s="26"/>
      <c r="Q4501" s="20"/>
      <c r="R4501" s="13"/>
      <c r="S4501" s="25"/>
      <c r="T4501" s="13"/>
      <c r="U4501" s="13"/>
      <c r="V4501" s="13"/>
      <c r="W4501" s="13"/>
      <c r="X4501" s="21"/>
      <c r="Y4501" s="22"/>
      <c r="Z4501" s="23"/>
      <c r="AA4501" s="23"/>
      <c r="AB4501" s="15"/>
      <c r="AC4501" s="14"/>
      <c r="AD4501" s="18"/>
      <c r="AE4501" s="18"/>
    </row>
    <row r="4502" customFormat="false" ht="15" hidden="false" customHeight="true" outlineLevel="0" collapsed="false">
      <c r="A4502" s="12"/>
      <c r="B4502" s="13"/>
      <c r="C4502" s="14"/>
      <c r="D4502" s="13"/>
      <c r="E4502" s="15"/>
      <c r="F4502" s="15"/>
      <c r="G4502" s="15"/>
      <c r="H4502" s="13"/>
      <c r="I4502" s="13"/>
      <c r="J4502" s="16"/>
      <c r="K4502" s="16"/>
      <c r="L4502" s="17" t="str">
        <f aca="false" t="array" ref="L4502:L4502">IFERROR(INDEX(AC4502:AE4502,IF(COUNTA(AC4502:AE4502)=0,"",MAX((AC4502:AE4502&lt;&gt;"")*(COLUMN(AC4502:AE4502)-(COLUMN(AC4502)-2))))-1),"")</f>
        <v/>
      </c>
      <c r="M4502" s="13"/>
      <c r="N4502" s="13"/>
      <c r="O4502" s="13"/>
      <c r="P4502" s="26"/>
      <c r="Q4502" s="20"/>
      <c r="R4502" s="13"/>
      <c r="S4502" s="25"/>
      <c r="T4502" s="13"/>
      <c r="U4502" s="13"/>
      <c r="V4502" s="13"/>
      <c r="W4502" s="13"/>
      <c r="X4502" s="21"/>
      <c r="Y4502" s="22"/>
      <c r="Z4502" s="23"/>
      <c r="AA4502" s="23"/>
      <c r="AB4502" s="15"/>
      <c r="AC4502" s="14"/>
      <c r="AD4502" s="18"/>
      <c r="AE4502" s="18"/>
    </row>
    <row r="4503" customFormat="false" ht="15" hidden="false" customHeight="true" outlineLevel="0" collapsed="false">
      <c r="A4503" s="12"/>
      <c r="B4503" s="13"/>
      <c r="C4503" s="14"/>
      <c r="D4503" s="13"/>
      <c r="E4503" s="15"/>
      <c r="F4503" s="15"/>
      <c r="G4503" s="15"/>
      <c r="H4503" s="13"/>
      <c r="I4503" s="13"/>
      <c r="J4503" s="16"/>
      <c r="K4503" s="16"/>
      <c r="L4503" s="17" t="str">
        <f aca="false" t="array" ref="L4503:L4503">IFERROR(INDEX(AC4503:AE4503,IF(COUNTA(AC4503:AE4503)=0,"",MAX((AC4503:AE4503&lt;&gt;"")*(COLUMN(AC4503:AE4503)-(COLUMN(AC4503)-2))))-1),"")</f>
        <v/>
      </c>
      <c r="M4503" s="13"/>
      <c r="N4503" s="13"/>
      <c r="O4503" s="13"/>
      <c r="P4503" s="26"/>
      <c r="Q4503" s="20"/>
      <c r="R4503" s="13"/>
      <c r="S4503" s="25"/>
      <c r="T4503" s="13"/>
      <c r="U4503" s="13"/>
      <c r="V4503" s="13"/>
      <c r="W4503" s="13"/>
      <c r="X4503" s="21"/>
      <c r="Y4503" s="22"/>
      <c r="Z4503" s="23"/>
      <c r="AA4503" s="23"/>
      <c r="AB4503" s="15"/>
      <c r="AC4503" s="14"/>
      <c r="AD4503" s="18"/>
      <c r="AE4503" s="18"/>
    </row>
    <row r="4504" customFormat="false" ht="15" hidden="false" customHeight="true" outlineLevel="0" collapsed="false">
      <c r="A4504" s="12"/>
      <c r="B4504" s="13"/>
      <c r="C4504" s="14"/>
      <c r="D4504" s="13"/>
      <c r="E4504" s="15"/>
      <c r="F4504" s="15"/>
      <c r="G4504" s="15"/>
      <c r="H4504" s="13"/>
      <c r="I4504" s="13"/>
      <c r="J4504" s="16"/>
      <c r="K4504" s="16"/>
      <c r="L4504" s="17" t="str">
        <f aca="false" t="array" ref="L4504:L4504">IFERROR(INDEX(AC4504:AE4504,IF(COUNTA(AC4504:AE4504)=0,"",MAX((AC4504:AE4504&lt;&gt;"")*(COLUMN(AC4504:AE4504)-(COLUMN(AC4504)-2))))-1),"")</f>
        <v/>
      </c>
      <c r="M4504" s="13"/>
      <c r="N4504" s="13"/>
      <c r="O4504" s="13"/>
      <c r="P4504" s="26"/>
      <c r="Q4504" s="20"/>
      <c r="R4504" s="13"/>
      <c r="S4504" s="25"/>
      <c r="T4504" s="13"/>
      <c r="U4504" s="13"/>
      <c r="V4504" s="13"/>
      <c r="W4504" s="13"/>
      <c r="X4504" s="21"/>
      <c r="Y4504" s="22"/>
      <c r="Z4504" s="23"/>
      <c r="AA4504" s="23"/>
      <c r="AB4504" s="15"/>
      <c r="AC4504" s="14"/>
      <c r="AD4504" s="18"/>
      <c r="AE4504" s="18"/>
    </row>
    <row r="4505" customFormat="false" ht="15" hidden="false" customHeight="true" outlineLevel="0" collapsed="false">
      <c r="A4505" s="12"/>
      <c r="B4505" s="13"/>
      <c r="C4505" s="14"/>
      <c r="D4505" s="13"/>
      <c r="E4505" s="15"/>
      <c r="F4505" s="15"/>
      <c r="G4505" s="15"/>
      <c r="H4505" s="13"/>
      <c r="I4505" s="13"/>
      <c r="J4505" s="16"/>
      <c r="K4505" s="16"/>
      <c r="L4505" s="17" t="str">
        <f aca="false" t="array" ref="L4505:L4505">IFERROR(INDEX(AC4505:AE4505,IF(COUNTA(AC4505:AE4505)=0,"",MAX((AC4505:AE4505&lt;&gt;"")*(COLUMN(AC4505:AE4505)-(COLUMN(AC4505)-2))))-1),"")</f>
        <v/>
      </c>
      <c r="M4505" s="13"/>
      <c r="N4505" s="13"/>
      <c r="O4505" s="13"/>
      <c r="P4505" s="26"/>
      <c r="Q4505" s="20"/>
      <c r="R4505" s="13"/>
      <c r="S4505" s="25"/>
      <c r="T4505" s="13"/>
      <c r="U4505" s="13"/>
      <c r="V4505" s="13"/>
      <c r="W4505" s="13"/>
      <c r="X4505" s="21"/>
      <c r="Y4505" s="22"/>
      <c r="Z4505" s="23"/>
      <c r="AA4505" s="23"/>
      <c r="AB4505" s="15"/>
      <c r="AC4505" s="14"/>
      <c r="AD4505" s="18"/>
      <c r="AE4505" s="18"/>
    </row>
    <row r="4506" customFormat="false" ht="15" hidden="false" customHeight="true" outlineLevel="0" collapsed="false">
      <c r="A4506" s="12"/>
      <c r="B4506" s="13"/>
      <c r="C4506" s="14"/>
      <c r="D4506" s="13"/>
      <c r="E4506" s="15"/>
      <c r="F4506" s="15"/>
      <c r="G4506" s="15"/>
      <c r="H4506" s="13"/>
      <c r="I4506" s="13"/>
      <c r="J4506" s="16"/>
      <c r="K4506" s="16"/>
      <c r="L4506" s="17" t="str">
        <f aca="false" t="array" ref="L4506:L4506">IFERROR(INDEX(AC4506:AE4506,IF(COUNTA(AC4506:AE4506)=0,"",MAX((AC4506:AE4506&lt;&gt;"")*(COLUMN(AC4506:AE4506)-(COLUMN(AC4506)-2))))-1),"")</f>
        <v/>
      </c>
      <c r="M4506" s="13"/>
      <c r="N4506" s="13"/>
      <c r="O4506" s="13"/>
      <c r="P4506" s="26"/>
      <c r="Q4506" s="20"/>
      <c r="R4506" s="13"/>
      <c r="S4506" s="25"/>
      <c r="T4506" s="13"/>
      <c r="U4506" s="13"/>
      <c r="V4506" s="13"/>
      <c r="W4506" s="13"/>
      <c r="X4506" s="21"/>
      <c r="Y4506" s="22"/>
      <c r="Z4506" s="23"/>
      <c r="AA4506" s="23"/>
      <c r="AB4506" s="15"/>
      <c r="AC4506" s="14"/>
      <c r="AD4506" s="18"/>
      <c r="AE4506" s="18"/>
    </row>
    <row r="4507" customFormat="false" ht="15" hidden="false" customHeight="true" outlineLevel="0" collapsed="false">
      <c r="A4507" s="12"/>
      <c r="B4507" s="13"/>
      <c r="C4507" s="14"/>
      <c r="D4507" s="13"/>
      <c r="E4507" s="15"/>
      <c r="F4507" s="15"/>
      <c r="G4507" s="15"/>
      <c r="H4507" s="13"/>
      <c r="I4507" s="13"/>
      <c r="J4507" s="16"/>
      <c r="K4507" s="16"/>
      <c r="L4507" s="17" t="str">
        <f aca="false" t="array" ref="L4507:L4507">IFERROR(INDEX(AC4507:AE4507,IF(COUNTA(AC4507:AE4507)=0,"",MAX((AC4507:AE4507&lt;&gt;"")*(COLUMN(AC4507:AE4507)-(COLUMN(AC4507)-2))))-1),"")</f>
        <v/>
      </c>
      <c r="M4507" s="13"/>
      <c r="N4507" s="13"/>
      <c r="O4507" s="13"/>
      <c r="P4507" s="26"/>
      <c r="Q4507" s="20"/>
      <c r="R4507" s="13"/>
      <c r="S4507" s="25"/>
      <c r="T4507" s="13"/>
      <c r="U4507" s="13"/>
      <c r="V4507" s="13"/>
      <c r="W4507" s="13"/>
      <c r="X4507" s="21"/>
      <c r="Y4507" s="22"/>
      <c r="Z4507" s="23"/>
      <c r="AA4507" s="23"/>
      <c r="AB4507" s="15"/>
      <c r="AC4507" s="14"/>
      <c r="AD4507" s="18"/>
      <c r="AE4507" s="18"/>
    </row>
    <row r="4508" customFormat="false" ht="15" hidden="false" customHeight="true" outlineLevel="0" collapsed="false">
      <c r="A4508" s="12"/>
      <c r="B4508" s="13"/>
      <c r="C4508" s="14"/>
      <c r="D4508" s="13"/>
      <c r="E4508" s="15"/>
      <c r="F4508" s="15"/>
      <c r="G4508" s="15"/>
      <c r="H4508" s="13"/>
      <c r="I4508" s="13"/>
      <c r="J4508" s="16"/>
      <c r="K4508" s="16"/>
      <c r="L4508" s="17" t="str">
        <f aca="false" t="array" ref="L4508:L4508">IFERROR(INDEX(AC4508:AE4508,IF(COUNTA(AC4508:AE4508)=0,"",MAX((AC4508:AE4508&lt;&gt;"")*(COLUMN(AC4508:AE4508)-(COLUMN(AC4508)-2))))-1),"")</f>
        <v/>
      </c>
      <c r="M4508" s="13"/>
      <c r="N4508" s="13"/>
      <c r="O4508" s="13"/>
      <c r="P4508" s="26"/>
      <c r="Q4508" s="20"/>
      <c r="R4508" s="13"/>
      <c r="S4508" s="25"/>
      <c r="T4508" s="13"/>
      <c r="U4508" s="13"/>
      <c r="V4508" s="13"/>
      <c r="W4508" s="13"/>
      <c r="X4508" s="21"/>
      <c r="Y4508" s="22"/>
      <c r="Z4508" s="23"/>
      <c r="AA4508" s="23"/>
      <c r="AB4508" s="15"/>
      <c r="AC4508" s="14"/>
      <c r="AD4508" s="18"/>
      <c r="AE4508" s="18"/>
    </row>
    <row r="4509" customFormat="false" ht="15" hidden="false" customHeight="true" outlineLevel="0" collapsed="false">
      <c r="A4509" s="12"/>
      <c r="B4509" s="13"/>
      <c r="C4509" s="14"/>
      <c r="D4509" s="13"/>
      <c r="E4509" s="15"/>
      <c r="F4509" s="15"/>
      <c r="G4509" s="15"/>
      <c r="H4509" s="13"/>
      <c r="I4509" s="13"/>
      <c r="J4509" s="16"/>
      <c r="K4509" s="16"/>
      <c r="L4509" s="17" t="str">
        <f aca="false" t="array" ref="L4509:L4509">IFERROR(INDEX(AC4509:AE4509,IF(COUNTA(AC4509:AE4509)=0,"",MAX((AC4509:AE4509&lt;&gt;"")*(COLUMN(AC4509:AE4509)-(COLUMN(AC4509)-2))))-1),"")</f>
        <v/>
      </c>
      <c r="M4509" s="13"/>
      <c r="N4509" s="13"/>
      <c r="O4509" s="13"/>
      <c r="P4509" s="26"/>
      <c r="Q4509" s="20"/>
      <c r="R4509" s="13"/>
      <c r="S4509" s="25"/>
      <c r="T4509" s="13"/>
      <c r="U4509" s="13"/>
      <c r="V4509" s="13"/>
      <c r="W4509" s="13"/>
      <c r="X4509" s="21"/>
      <c r="Y4509" s="22"/>
      <c r="Z4509" s="23"/>
      <c r="AA4509" s="23"/>
      <c r="AB4509" s="15"/>
      <c r="AC4509" s="14"/>
      <c r="AD4509" s="18"/>
      <c r="AE4509" s="18"/>
    </row>
    <row r="4510" customFormat="false" ht="15" hidden="false" customHeight="true" outlineLevel="0" collapsed="false">
      <c r="A4510" s="12"/>
      <c r="B4510" s="13"/>
      <c r="C4510" s="14"/>
      <c r="D4510" s="13"/>
      <c r="E4510" s="15"/>
      <c r="F4510" s="15"/>
      <c r="G4510" s="15"/>
      <c r="H4510" s="13"/>
      <c r="I4510" s="13"/>
      <c r="J4510" s="16"/>
      <c r="K4510" s="16"/>
      <c r="L4510" s="17" t="str">
        <f aca="false" t="array" ref="L4510:L4510">IFERROR(INDEX(AC4510:AE4510,IF(COUNTA(AC4510:AE4510)=0,"",MAX((AC4510:AE4510&lt;&gt;"")*(COLUMN(AC4510:AE4510)-(COLUMN(AC4510)-2))))-1),"")</f>
        <v/>
      </c>
      <c r="M4510" s="13"/>
      <c r="N4510" s="13"/>
      <c r="O4510" s="13"/>
      <c r="P4510" s="26"/>
      <c r="Q4510" s="20"/>
      <c r="R4510" s="13"/>
      <c r="S4510" s="25"/>
      <c r="T4510" s="13"/>
      <c r="U4510" s="13"/>
      <c r="V4510" s="13"/>
      <c r="W4510" s="13"/>
      <c r="X4510" s="21"/>
      <c r="Y4510" s="22"/>
      <c r="Z4510" s="23"/>
      <c r="AA4510" s="23"/>
      <c r="AB4510" s="15"/>
      <c r="AC4510" s="14"/>
      <c r="AD4510" s="18"/>
      <c r="AE4510" s="18"/>
    </row>
    <row r="4511" customFormat="false" ht="15" hidden="false" customHeight="true" outlineLevel="0" collapsed="false">
      <c r="A4511" s="12"/>
      <c r="B4511" s="13"/>
      <c r="C4511" s="14"/>
      <c r="D4511" s="13"/>
      <c r="E4511" s="15"/>
      <c r="F4511" s="15"/>
      <c r="G4511" s="15"/>
      <c r="H4511" s="13"/>
      <c r="I4511" s="13"/>
      <c r="J4511" s="16"/>
      <c r="K4511" s="16"/>
      <c r="L4511" s="17" t="str">
        <f aca="false" t="array" ref="L4511:L4511">IFERROR(INDEX(AC4511:AE4511,IF(COUNTA(AC4511:AE4511)=0,"",MAX((AC4511:AE4511&lt;&gt;"")*(COLUMN(AC4511:AE4511)-(COLUMN(AC4511)-2))))-1),"")</f>
        <v/>
      </c>
      <c r="M4511" s="13"/>
      <c r="N4511" s="13"/>
      <c r="O4511" s="13"/>
      <c r="P4511" s="26"/>
      <c r="Q4511" s="20"/>
      <c r="R4511" s="13"/>
      <c r="S4511" s="25"/>
      <c r="T4511" s="13"/>
      <c r="U4511" s="13"/>
      <c r="V4511" s="13"/>
      <c r="W4511" s="13"/>
      <c r="X4511" s="21"/>
      <c r="Y4511" s="22"/>
      <c r="Z4511" s="23"/>
      <c r="AA4511" s="23"/>
      <c r="AB4511" s="15"/>
      <c r="AC4511" s="14"/>
      <c r="AD4511" s="18"/>
      <c r="AE4511" s="18"/>
    </row>
    <row r="4512" customFormat="false" ht="15" hidden="false" customHeight="true" outlineLevel="0" collapsed="false">
      <c r="A4512" s="12"/>
      <c r="B4512" s="13"/>
      <c r="C4512" s="14"/>
      <c r="D4512" s="13"/>
      <c r="E4512" s="15"/>
      <c r="F4512" s="15"/>
      <c r="G4512" s="15"/>
      <c r="H4512" s="13"/>
      <c r="I4512" s="13"/>
      <c r="J4512" s="16"/>
      <c r="K4512" s="16"/>
      <c r="L4512" s="17" t="str">
        <f aca="false" t="array" ref="L4512:L4512">IFERROR(INDEX(AC4512:AE4512,IF(COUNTA(AC4512:AE4512)=0,"",MAX((AC4512:AE4512&lt;&gt;"")*(COLUMN(AC4512:AE4512)-(COLUMN(AC4512)-2))))-1),"")</f>
        <v/>
      </c>
      <c r="M4512" s="13"/>
      <c r="N4512" s="13"/>
      <c r="O4512" s="13"/>
      <c r="P4512" s="26"/>
      <c r="Q4512" s="20"/>
      <c r="R4512" s="13"/>
      <c r="S4512" s="25"/>
      <c r="T4512" s="13"/>
      <c r="U4512" s="13"/>
      <c r="V4512" s="13"/>
      <c r="W4512" s="13"/>
      <c r="X4512" s="21"/>
      <c r="Y4512" s="22"/>
      <c r="Z4512" s="23"/>
      <c r="AA4512" s="23"/>
      <c r="AB4512" s="15"/>
      <c r="AC4512" s="14"/>
      <c r="AD4512" s="18"/>
      <c r="AE4512" s="18"/>
    </row>
    <row r="4513" customFormat="false" ht="15" hidden="false" customHeight="true" outlineLevel="0" collapsed="false">
      <c r="A4513" s="12"/>
      <c r="B4513" s="13"/>
      <c r="C4513" s="14"/>
      <c r="D4513" s="13"/>
      <c r="E4513" s="15"/>
      <c r="F4513" s="15"/>
      <c r="G4513" s="15"/>
      <c r="H4513" s="13"/>
      <c r="I4513" s="13"/>
      <c r="J4513" s="16"/>
      <c r="K4513" s="16"/>
      <c r="L4513" s="17" t="str">
        <f aca="false" t="array" ref="L4513:L4513">IFERROR(INDEX(AC4513:AE4513,IF(COUNTA(AC4513:AE4513)=0,"",MAX((AC4513:AE4513&lt;&gt;"")*(COLUMN(AC4513:AE4513)-(COLUMN(AC4513)-2))))-1),"")</f>
        <v/>
      </c>
      <c r="M4513" s="13"/>
      <c r="N4513" s="13"/>
      <c r="O4513" s="13"/>
      <c r="P4513" s="26"/>
      <c r="Q4513" s="20"/>
      <c r="R4513" s="13"/>
      <c r="S4513" s="25"/>
      <c r="T4513" s="13"/>
      <c r="U4513" s="13"/>
      <c r="V4513" s="13"/>
      <c r="W4513" s="13"/>
      <c r="X4513" s="21"/>
      <c r="Y4513" s="22"/>
      <c r="Z4513" s="23"/>
      <c r="AA4513" s="23"/>
      <c r="AB4513" s="15"/>
      <c r="AC4513" s="14"/>
      <c r="AD4513" s="18"/>
      <c r="AE4513" s="18"/>
    </row>
    <row r="4514" customFormat="false" ht="15" hidden="false" customHeight="true" outlineLevel="0" collapsed="false">
      <c r="A4514" s="12"/>
      <c r="B4514" s="13"/>
      <c r="C4514" s="14"/>
      <c r="D4514" s="13"/>
      <c r="E4514" s="15"/>
      <c r="F4514" s="15"/>
      <c r="G4514" s="15"/>
      <c r="H4514" s="13"/>
      <c r="I4514" s="13"/>
      <c r="J4514" s="16"/>
      <c r="K4514" s="16"/>
      <c r="L4514" s="17" t="str">
        <f aca="false" t="array" ref="L4514:L4514">IFERROR(INDEX(AC4514:AE4514,IF(COUNTA(AC4514:AE4514)=0,"",MAX((AC4514:AE4514&lt;&gt;"")*(COLUMN(AC4514:AE4514)-(COLUMN(AC4514)-2))))-1),"")</f>
        <v/>
      </c>
      <c r="M4514" s="13"/>
      <c r="N4514" s="13"/>
      <c r="O4514" s="13"/>
      <c r="P4514" s="26"/>
      <c r="Q4514" s="20"/>
      <c r="R4514" s="13"/>
      <c r="S4514" s="25"/>
      <c r="T4514" s="13"/>
      <c r="U4514" s="13"/>
      <c r="V4514" s="13"/>
      <c r="W4514" s="13"/>
      <c r="X4514" s="21"/>
      <c r="Y4514" s="22"/>
      <c r="Z4514" s="23"/>
      <c r="AA4514" s="23"/>
      <c r="AB4514" s="15"/>
      <c r="AC4514" s="14"/>
      <c r="AD4514" s="18"/>
      <c r="AE4514" s="18"/>
    </row>
    <row r="4515" customFormat="false" ht="15" hidden="false" customHeight="true" outlineLevel="0" collapsed="false">
      <c r="A4515" s="12"/>
      <c r="B4515" s="13"/>
      <c r="C4515" s="14"/>
      <c r="D4515" s="13"/>
      <c r="E4515" s="15"/>
      <c r="F4515" s="15"/>
      <c r="G4515" s="15"/>
      <c r="H4515" s="13"/>
      <c r="I4515" s="13"/>
      <c r="J4515" s="16"/>
      <c r="K4515" s="16"/>
      <c r="L4515" s="17" t="str">
        <f aca="false" t="array" ref="L4515:L4515">IFERROR(INDEX(AC4515:AE4515,IF(COUNTA(AC4515:AE4515)=0,"",MAX((AC4515:AE4515&lt;&gt;"")*(COLUMN(AC4515:AE4515)-(COLUMN(AC4515)-2))))-1),"")</f>
        <v/>
      </c>
      <c r="M4515" s="13"/>
      <c r="N4515" s="13"/>
      <c r="O4515" s="13"/>
      <c r="P4515" s="26"/>
      <c r="Q4515" s="20"/>
      <c r="R4515" s="13"/>
      <c r="S4515" s="25"/>
      <c r="T4515" s="13"/>
      <c r="U4515" s="13"/>
      <c r="V4515" s="13"/>
      <c r="W4515" s="13"/>
      <c r="X4515" s="21"/>
      <c r="Y4515" s="22"/>
      <c r="Z4515" s="23"/>
      <c r="AA4515" s="23"/>
      <c r="AB4515" s="15"/>
      <c r="AC4515" s="14"/>
      <c r="AD4515" s="18"/>
      <c r="AE4515" s="18"/>
    </row>
    <row r="4516" customFormat="false" ht="15" hidden="false" customHeight="true" outlineLevel="0" collapsed="false">
      <c r="A4516" s="12"/>
      <c r="B4516" s="13"/>
      <c r="C4516" s="14"/>
      <c r="D4516" s="13"/>
      <c r="E4516" s="15"/>
      <c r="F4516" s="15"/>
      <c r="G4516" s="15"/>
      <c r="H4516" s="13"/>
      <c r="I4516" s="13"/>
      <c r="J4516" s="16"/>
      <c r="K4516" s="16"/>
      <c r="L4516" s="17" t="str">
        <f aca="false" t="array" ref="L4516:L4516">IFERROR(INDEX(AC4516:AE4516,IF(COUNTA(AC4516:AE4516)=0,"",MAX((AC4516:AE4516&lt;&gt;"")*(COLUMN(AC4516:AE4516)-(COLUMN(AC4516)-2))))-1),"")</f>
        <v/>
      </c>
      <c r="M4516" s="13"/>
      <c r="N4516" s="13"/>
      <c r="O4516" s="13"/>
      <c r="P4516" s="26"/>
      <c r="Q4516" s="20"/>
      <c r="R4516" s="13"/>
      <c r="S4516" s="25"/>
      <c r="T4516" s="13"/>
      <c r="U4516" s="13"/>
      <c r="V4516" s="13"/>
      <c r="W4516" s="13"/>
      <c r="X4516" s="21"/>
      <c r="Y4516" s="22"/>
      <c r="Z4516" s="23"/>
      <c r="AA4516" s="23"/>
      <c r="AB4516" s="15"/>
      <c r="AC4516" s="14"/>
      <c r="AD4516" s="18"/>
      <c r="AE4516" s="18"/>
    </row>
    <row r="4517" customFormat="false" ht="15" hidden="false" customHeight="true" outlineLevel="0" collapsed="false">
      <c r="A4517" s="12"/>
      <c r="B4517" s="13"/>
      <c r="C4517" s="14"/>
      <c r="D4517" s="13"/>
      <c r="E4517" s="15"/>
      <c r="F4517" s="15"/>
      <c r="G4517" s="15"/>
      <c r="H4517" s="13"/>
      <c r="I4517" s="13"/>
      <c r="J4517" s="16"/>
      <c r="K4517" s="16"/>
      <c r="L4517" s="17" t="str">
        <f aca="false" t="array" ref="L4517:L4517">IFERROR(INDEX(AC4517:AE4517,IF(COUNTA(AC4517:AE4517)=0,"",MAX((AC4517:AE4517&lt;&gt;"")*(COLUMN(AC4517:AE4517)-(COLUMN(AC4517)-2))))-1),"")</f>
        <v/>
      </c>
      <c r="M4517" s="13"/>
      <c r="N4517" s="13"/>
      <c r="O4517" s="13"/>
      <c r="P4517" s="26"/>
      <c r="Q4517" s="20"/>
      <c r="R4517" s="13"/>
      <c r="S4517" s="25"/>
      <c r="T4517" s="13"/>
      <c r="U4517" s="13"/>
      <c r="V4517" s="13"/>
      <c r="W4517" s="13"/>
      <c r="X4517" s="21"/>
      <c r="Y4517" s="22"/>
      <c r="Z4517" s="23"/>
      <c r="AA4517" s="23"/>
      <c r="AB4517" s="15"/>
      <c r="AC4517" s="14"/>
      <c r="AD4517" s="18"/>
      <c r="AE4517" s="18"/>
    </row>
    <row r="4518" customFormat="false" ht="15" hidden="false" customHeight="true" outlineLevel="0" collapsed="false">
      <c r="A4518" s="12"/>
      <c r="B4518" s="13"/>
      <c r="C4518" s="14"/>
      <c r="D4518" s="13"/>
      <c r="E4518" s="15"/>
      <c r="F4518" s="15"/>
      <c r="G4518" s="15"/>
      <c r="H4518" s="13"/>
      <c r="I4518" s="13"/>
      <c r="J4518" s="16"/>
      <c r="K4518" s="16"/>
      <c r="L4518" s="17" t="str">
        <f aca="false" t="array" ref="L4518:L4518">IFERROR(INDEX(AC4518:AE4518,IF(COUNTA(AC4518:AE4518)=0,"",MAX((AC4518:AE4518&lt;&gt;"")*(COLUMN(AC4518:AE4518)-(COLUMN(AC4518)-2))))-1),"")</f>
        <v/>
      </c>
      <c r="M4518" s="13"/>
      <c r="N4518" s="13"/>
      <c r="O4518" s="13"/>
      <c r="P4518" s="26"/>
      <c r="Q4518" s="20"/>
      <c r="R4518" s="13"/>
      <c r="S4518" s="25"/>
      <c r="T4518" s="13"/>
      <c r="U4518" s="13"/>
      <c r="V4518" s="13"/>
      <c r="W4518" s="13"/>
      <c r="X4518" s="21"/>
      <c r="Y4518" s="22"/>
      <c r="Z4518" s="23"/>
      <c r="AA4518" s="23"/>
      <c r="AB4518" s="15"/>
      <c r="AC4518" s="14"/>
      <c r="AD4518" s="18"/>
      <c r="AE4518" s="18"/>
    </row>
    <row r="4519" customFormat="false" ht="15" hidden="false" customHeight="true" outlineLevel="0" collapsed="false">
      <c r="A4519" s="12"/>
      <c r="B4519" s="13"/>
      <c r="C4519" s="14"/>
      <c r="D4519" s="13"/>
      <c r="E4519" s="15"/>
      <c r="F4519" s="15"/>
      <c r="G4519" s="15"/>
      <c r="H4519" s="13"/>
      <c r="I4519" s="13"/>
      <c r="J4519" s="16"/>
      <c r="K4519" s="16"/>
      <c r="L4519" s="17" t="str">
        <f aca="false" t="array" ref="L4519:L4519">IFERROR(INDEX(AC4519:AE4519,IF(COUNTA(AC4519:AE4519)=0,"",MAX((AC4519:AE4519&lt;&gt;"")*(COLUMN(AC4519:AE4519)-(COLUMN(AC4519)-2))))-1),"")</f>
        <v/>
      </c>
      <c r="M4519" s="13"/>
      <c r="N4519" s="13"/>
      <c r="O4519" s="13"/>
      <c r="P4519" s="26"/>
      <c r="Q4519" s="20"/>
      <c r="R4519" s="13"/>
      <c r="S4519" s="25"/>
      <c r="T4519" s="13"/>
      <c r="U4519" s="13"/>
      <c r="V4519" s="13"/>
      <c r="W4519" s="13"/>
      <c r="X4519" s="21"/>
      <c r="Y4519" s="22"/>
      <c r="Z4519" s="23"/>
      <c r="AA4519" s="23"/>
      <c r="AB4519" s="15"/>
      <c r="AC4519" s="14"/>
      <c r="AD4519" s="18"/>
      <c r="AE4519" s="18"/>
    </row>
    <row r="4520" customFormat="false" ht="15" hidden="false" customHeight="true" outlineLevel="0" collapsed="false">
      <c r="A4520" s="12"/>
      <c r="B4520" s="13"/>
      <c r="C4520" s="14"/>
      <c r="D4520" s="13"/>
      <c r="E4520" s="15"/>
      <c r="F4520" s="15"/>
      <c r="G4520" s="15"/>
      <c r="H4520" s="13"/>
      <c r="I4520" s="13"/>
      <c r="J4520" s="16"/>
      <c r="K4520" s="16"/>
      <c r="L4520" s="17" t="str">
        <f aca="false" t="array" ref="L4520:L4520">IFERROR(INDEX(AC4520:AE4520,IF(COUNTA(AC4520:AE4520)=0,"",MAX((AC4520:AE4520&lt;&gt;"")*(COLUMN(AC4520:AE4520)-(COLUMN(AC4520)-2))))-1),"")</f>
        <v/>
      </c>
      <c r="M4520" s="13"/>
      <c r="N4520" s="13"/>
      <c r="O4520" s="13"/>
      <c r="P4520" s="26"/>
      <c r="Q4520" s="20"/>
      <c r="R4520" s="13"/>
      <c r="S4520" s="25"/>
      <c r="T4520" s="13"/>
      <c r="U4520" s="13"/>
      <c r="V4520" s="13"/>
      <c r="W4520" s="13"/>
      <c r="X4520" s="21"/>
      <c r="Y4520" s="22"/>
      <c r="Z4520" s="23"/>
      <c r="AA4520" s="23"/>
      <c r="AB4520" s="15"/>
      <c r="AC4520" s="14"/>
      <c r="AD4520" s="18"/>
      <c r="AE4520" s="18"/>
    </row>
    <row r="4521" customFormat="false" ht="15" hidden="false" customHeight="true" outlineLevel="0" collapsed="false">
      <c r="A4521" s="12"/>
      <c r="B4521" s="13"/>
      <c r="C4521" s="14"/>
      <c r="D4521" s="13"/>
      <c r="E4521" s="15"/>
      <c r="F4521" s="15"/>
      <c r="G4521" s="15"/>
      <c r="H4521" s="13"/>
      <c r="I4521" s="13"/>
      <c r="J4521" s="16"/>
      <c r="K4521" s="16"/>
      <c r="L4521" s="17" t="str">
        <f aca="false" t="array" ref="L4521:L4521">IFERROR(INDEX(AC4521:AE4521,IF(COUNTA(AC4521:AE4521)=0,"",MAX((AC4521:AE4521&lt;&gt;"")*(COLUMN(AC4521:AE4521)-(COLUMN(AC4521)-2))))-1),"")</f>
        <v/>
      </c>
      <c r="M4521" s="13"/>
      <c r="N4521" s="13"/>
      <c r="O4521" s="13"/>
      <c r="P4521" s="26"/>
      <c r="Q4521" s="20"/>
      <c r="R4521" s="13"/>
      <c r="S4521" s="25"/>
      <c r="T4521" s="13"/>
      <c r="U4521" s="13"/>
      <c r="V4521" s="13"/>
      <c r="W4521" s="13"/>
      <c r="X4521" s="21"/>
      <c r="Y4521" s="22"/>
      <c r="Z4521" s="23"/>
      <c r="AA4521" s="23"/>
      <c r="AB4521" s="15"/>
      <c r="AC4521" s="14"/>
      <c r="AD4521" s="18"/>
      <c r="AE4521" s="18"/>
    </row>
    <row r="4522" customFormat="false" ht="15" hidden="false" customHeight="true" outlineLevel="0" collapsed="false">
      <c r="A4522" s="12"/>
      <c r="B4522" s="13"/>
      <c r="C4522" s="14"/>
      <c r="D4522" s="13"/>
      <c r="E4522" s="15"/>
      <c r="F4522" s="15"/>
      <c r="G4522" s="15"/>
      <c r="H4522" s="13"/>
      <c r="I4522" s="13"/>
      <c r="J4522" s="16"/>
      <c r="K4522" s="16"/>
      <c r="L4522" s="17" t="str">
        <f aca="false" t="array" ref="L4522:L4522">IFERROR(INDEX(AC4522:AE4522,IF(COUNTA(AC4522:AE4522)=0,"",MAX((AC4522:AE4522&lt;&gt;"")*(COLUMN(AC4522:AE4522)-(COLUMN(AC4522)-2))))-1),"")</f>
        <v/>
      </c>
      <c r="M4522" s="13"/>
      <c r="N4522" s="13"/>
      <c r="O4522" s="13"/>
      <c r="P4522" s="26"/>
      <c r="Q4522" s="20"/>
      <c r="R4522" s="13"/>
      <c r="S4522" s="25"/>
      <c r="T4522" s="13"/>
      <c r="U4522" s="13"/>
      <c r="V4522" s="13"/>
      <c r="W4522" s="13"/>
      <c r="X4522" s="21"/>
      <c r="Y4522" s="22"/>
      <c r="Z4522" s="23"/>
      <c r="AA4522" s="23"/>
      <c r="AB4522" s="15"/>
      <c r="AC4522" s="14"/>
      <c r="AD4522" s="18"/>
      <c r="AE4522" s="18"/>
    </row>
    <row r="4523" customFormat="false" ht="15" hidden="false" customHeight="true" outlineLevel="0" collapsed="false">
      <c r="A4523" s="12"/>
      <c r="B4523" s="13"/>
      <c r="C4523" s="14"/>
      <c r="D4523" s="13"/>
      <c r="E4523" s="15"/>
      <c r="F4523" s="15"/>
      <c r="G4523" s="15"/>
      <c r="H4523" s="13"/>
      <c r="I4523" s="13"/>
      <c r="J4523" s="16"/>
      <c r="K4523" s="16"/>
      <c r="L4523" s="17" t="str">
        <f aca="false" t="array" ref="L4523:L4523">IFERROR(INDEX(AC4523:AE4523,IF(COUNTA(AC4523:AE4523)=0,"",MAX((AC4523:AE4523&lt;&gt;"")*(COLUMN(AC4523:AE4523)-(COLUMN(AC4523)-2))))-1),"")</f>
        <v/>
      </c>
      <c r="M4523" s="13"/>
      <c r="N4523" s="13"/>
      <c r="O4523" s="13"/>
      <c r="P4523" s="26"/>
      <c r="Q4523" s="20"/>
      <c r="R4523" s="13"/>
      <c r="S4523" s="25"/>
      <c r="T4523" s="13"/>
      <c r="U4523" s="13"/>
      <c r="V4523" s="13"/>
      <c r="W4523" s="13"/>
      <c r="X4523" s="21"/>
      <c r="Y4523" s="22"/>
      <c r="Z4523" s="23"/>
      <c r="AA4523" s="23"/>
      <c r="AB4523" s="15"/>
      <c r="AC4523" s="14"/>
      <c r="AD4523" s="18"/>
      <c r="AE4523" s="18"/>
    </row>
    <row r="4524" customFormat="false" ht="15" hidden="false" customHeight="true" outlineLevel="0" collapsed="false">
      <c r="A4524" s="12"/>
      <c r="B4524" s="13"/>
      <c r="C4524" s="14"/>
      <c r="D4524" s="13"/>
      <c r="E4524" s="15"/>
      <c r="F4524" s="15"/>
      <c r="G4524" s="15"/>
      <c r="H4524" s="13"/>
      <c r="I4524" s="13"/>
      <c r="J4524" s="16"/>
      <c r="K4524" s="16"/>
      <c r="L4524" s="17" t="str">
        <f aca="false" t="array" ref="L4524:L4524">IFERROR(INDEX(AC4524:AE4524,IF(COUNTA(AC4524:AE4524)=0,"",MAX((AC4524:AE4524&lt;&gt;"")*(COLUMN(AC4524:AE4524)-(COLUMN(AC4524)-2))))-1),"")</f>
        <v/>
      </c>
      <c r="M4524" s="13"/>
      <c r="N4524" s="13"/>
      <c r="O4524" s="13"/>
      <c r="P4524" s="26"/>
      <c r="Q4524" s="20"/>
      <c r="R4524" s="13"/>
      <c r="S4524" s="25"/>
      <c r="T4524" s="13"/>
      <c r="U4524" s="13"/>
      <c r="V4524" s="13"/>
      <c r="W4524" s="13"/>
      <c r="X4524" s="21"/>
      <c r="Y4524" s="22"/>
      <c r="Z4524" s="23"/>
      <c r="AA4524" s="23"/>
      <c r="AB4524" s="15"/>
      <c r="AC4524" s="14"/>
      <c r="AD4524" s="18"/>
      <c r="AE4524" s="18"/>
    </row>
    <row r="4525" customFormat="false" ht="15" hidden="false" customHeight="true" outlineLevel="0" collapsed="false">
      <c r="A4525" s="12"/>
      <c r="B4525" s="13"/>
      <c r="C4525" s="14"/>
      <c r="D4525" s="13"/>
      <c r="E4525" s="15"/>
      <c r="F4525" s="15"/>
      <c r="G4525" s="15"/>
      <c r="H4525" s="13"/>
      <c r="I4525" s="13"/>
      <c r="J4525" s="16"/>
      <c r="K4525" s="16"/>
      <c r="L4525" s="17" t="str">
        <f aca="false" t="array" ref="L4525:L4525">IFERROR(INDEX(AC4525:AE4525,IF(COUNTA(AC4525:AE4525)=0,"",MAX((AC4525:AE4525&lt;&gt;"")*(COLUMN(AC4525:AE4525)-(COLUMN(AC4525)-2))))-1),"")</f>
        <v/>
      </c>
      <c r="M4525" s="13"/>
      <c r="N4525" s="13"/>
      <c r="O4525" s="13"/>
      <c r="P4525" s="26"/>
      <c r="Q4525" s="20"/>
      <c r="R4525" s="13"/>
      <c r="S4525" s="25"/>
      <c r="T4525" s="13"/>
      <c r="U4525" s="13"/>
      <c r="V4525" s="13"/>
      <c r="W4525" s="13"/>
      <c r="X4525" s="21"/>
      <c r="Y4525" s="22"/>
      <c r="Z4525" s="23"/>
      <c r="AA4525" s="23"/>
      <c r="AB4525" s="15"/>
      <c r="AC4525" s="14"/>
      <c r="AD4525" s="18"/>
      <c r="AE4525" s="18"/>
    </row>
    <row r="4526" customFormat="false" ht="15" hidden="false" customHeight="true" outlineLevel="0" collapsed="false">
      <c r="A4526" s="12"/>
      <c r="B4526" s="13"/>
      <c r="C4526" s="14"/>
      <c r="D4526" s="13"/>
      <c r="E4526" s="15"/>
      <c r="F4526" s="15"/>
      <c r="G4526" s="15"/>
      <c r="H4526" s="13"/>
      <c r="I4526" s="13"/>
      <c r="J4526" s="16"/>
      <c r="K4526" s="16"/>
      <c r="L4526" s="17" t="str">
        <f aca="false" t="array" ref="L4526:L4526">IFERROR(INDEX(AC4526:AE4526,IF(COUNTA(AC4526:AE4526)=0,"",MAX((AC4526:AE4526&lt;&gt;"")*(COLUMN(AC4526:AE4526)-(COLUMN(AC4526)-2))))-1),"")</f>
        <v/>
      </c>
      <c r="M4526" s="13"/>
      <c r="N4526" s="13"/>
      <c r="O4526" s="13"/>
      <c r="P4526" s="26"/>
      <c r="Q4526" s="20"/>
      <c r="R4526" s="13"/>
      <c r="S4526" s="25"/>
      <c r="T4526" s="13"/>
      <c r="U4526" s="13"/>
      <c r="V4526" s="13"/>
      <c r="W4526" s="13"/>
      <c r="X4526" s="21"/>
      <c r="Y4526" s="22"/>
      <c r="Z4526" s="23"/>
      <c r="AA4526" s="23"/>
      <c r="AB4526" s="15"/>
      <c r="AC4526" s="14"/>
      <c r="AD4526" s="18"/>
      <c r="AE4526" s="18"/>
    </row>
    <row r="4527" customFormat="false" ht="15" hidden="false" customHeight="true" outlineLevel="0" collapsed="false">
      <c r="A4527" s="12"/>
      <c r="B4527" s="13"/>
      <c r="C4527" s="14"/>
      <c r="D4527" s="13"/>
      <c r="E4527" s="15"/>
      <c r="F4527" s="15"/>
      <c r="G4527" s="15"/>
      <c r="H4527" s="13"/>
      <c r="I4527" s="13"/>
      <c r="J4527" s="16"/>
      <c r="K4527" s="16"/>
      <c r="L4527" s="17" t="str">
        <f aca="false" t="array" ref="L4527:L4527">IFERROR(INDEX(AC4527:AE4527,IF(COUNTA(AC4527:AE4527)=0,"",MAX((AC4527:AE4527&lt;&gt;"")*(COLUMN(AC4527:AE4527)-(COLUMN(AC4527)-2))))-1),"")</f>
        <v/>
      </c>
      <c r="M4527" s="13"/>
      <c r="N4527" s="13"/>
      <c r="O4527" s="13"/>
      <c r="P4527" s="26"/>
      <c r="Q4527" s="20"/>
      <c r="R4527" s="13"/>
      <c r="S4527" s="25"/>
      <c r="T4527" s="13"/>
      <c r="U4527" s="13"/>
      <c r="V4527" s="13"/>
      <c r="W4527" s="13"/>
      <c r="X4527" s="21"/>
      <c r="Y4527" s="22"/>
      <c r="Z4527" s="23"/>
      <c r="AA4527" s="23"/>
      <c r="AB4527" s="15"/>
      <c r="AC4527" s="14"/>
      <c r="AD4527" s="18"/>
      <c r="AE4527" s="18"/>
    </row>
    <row r="4528" customFormat="false" ht="15" hidden="false" customHeight="true" outlineLevel="0" collapsed="false">
      <c r="A4528" s="12"/>
      <c r="B4528" s="13"/>
      <c r="C4528" s="14"/>
      <c r="D4528" s="13"/>
      <c r="E4528" s="15"/>
      <c r="F4528" s="15"/>
      <c r="G4528" s="15"/>
      <c r="H4528" s="13"/>
      <c r="I4528" s="13"/>
      <c r="J4528" s="16"/>
      <c r="K4528" s="16"/>
      <c r="L4528" s="17" t="str">
        <f aca="false" t="array" ref="L4528:L4528">IFERROR(INDEX(AC4528:AE4528,IF(COUNTA(AC4528:AE4528)=0,"",MAX((AC4528:AE4528&lt;&gt;"")*(COLUMN(AC4528:AE4528)-(COLUMN(AC4528)-2))))-1),"")</f>
        <v/>
      </c>
      <c r="M4528" s="13"/>
      <c r="N4528" s="13"/>
      <c r="O4528" s="13"/>
      <c r="P4528" s="26"/>
      <c r="Q4528" s="20"/>
      <c r="R4528" s="13"/>
      <c r="S4528" s="25"/>
      <c r="T4528" s="13"/>
      <c r="U4528" s="13"/>
      <c r="V4528" s="13"/>
      <c r="W4528" s="13"/>
      <c r="X4528" s="21"/>
      <c r="Y4528" s="22"/>
      <c r="Z4528" s="23"/>
      <c r="AA4528" s="23"/>
      <c r="AB4528" s="15"/>
      <c r="AC4528" s="14"/>
      <c r="AD4528" s="18"/>
      <c r="AE4528" s="18"/>
    </row>
    <row r="4529" customFormat="false" ht="15" hidden="false" customHeight="true" outlineLevel="0" collapsed="false">
      <c r="A4529" s="12"/>
      <c r="B4529" s="13"/>
      <c r="C4529" s="14"/>
      <c r="D4529" s="13"/>
      <c r="E4529" s="15"/>
      <c r="F4529" s="15"/>
      <c r="G4529" s="15"/>
      <c r="H4529" s="13"/>
      <c r="I4529" s="13"/>
      <c r="J4529" s="16"/>
      <c r="K4529" s="16"/>
      <c r="L4529" s="17" t="str">
        <f aca="false" t="array" ref="L4529:L4529">IFERROR(INDEX(AC4529:AE4529,IF(COUNTA(AC4529:AE4529)=0,"",MAX((AC4529:AE4529&lt;&gt;"")*(COLUMN(AC4529:AE4529)-(COLUMN(AC4529)-2))))-1),"")</f>
        <v/>
      </c>
      <c r="M4529" s="13"/>
      <c r="N4529" s="13"/>
      <c r="O4529" s="13"/>
      <c r="P4529" s="26"/>
      <c r="Q4529" s="20"/>
      <c r="R4529" s="13"/>
      <c r="S4529" s="25"/>
      <c r="T4529" s="13"/>
      <c r="U4529" s="13"/>
      <c r="V4529" s="13"/>
      <c r="W4529" s="13"/>
      <c r="X4529" s="21"/>
      <c r="Y4529" s="22"/>
      <c r="Z4529" s="23"/>
      <c r="AA4529" s="23"/>
      <c r="AB4529" s="15"/>
      <c r="AC4529" s="14"/>
      <c r="AD4529" s="18"/>
      <c r="AE4529" s="18"/>
    </row>
    <row r="4530" customFormat="false" ht="15" hidden="false" customHeight="true" outlineLevel="0" collapsed="false">
      <c r="A4530" s="12"/>
      <c r="B4530" s="13"/>
      <c r="C4530" s="14"/>
      <c r="D4530" s="13"/>
      <c r="E4530" s="15"/>
      <c r="F4530" s="15"/>
      <c r="G4530" s="15"/>
      <c r="H4530" s="13"/>
      <c r="I4530" s="13"/>
      <c r="J4530" s="16"/>
      <c r="K4530" s="16"/>
      <c r="L4530" s="17" t="str">
        <f aca="false" t="array" ref="L4530:L4530">IFERROR(INDEX(AC4530:AE4530,IF(COUNTA(AC4530:AE4530)=0,"",MAX((AC4530:AE4530&lt;&gt;"")*(COLUMN(AC4530:AE4530)-(COLUMN(AC4530)-2))))-1),"")</f>
        <v/>
      </c>
      <c r="M4530" s="13"/>
      <c r="N4530" s="13"/>
      <c r="O4530" s="13"/>
      <c r="P4530" s="26"/>
      <c r="Q4530" s="20"/>
      <c r="R4530" s="13"/>
      <c r="S4530" s="25"/>
      <c r="T4530" s="13"/>
      <c r="U4530" s="13"/>
      <c r="V4530" s="13"/>
      <c r="W4530" s="13"/>
      <c r="X4530" s="21"/>
      <c r="Y4530" s="22"/>
      <c r="Z4530" s="23"/>
      <c r="AA4530" s="23"/>
      <c r="AB4530" s="15"/>
      <c r="AC4530" s="14"/>
      <c r="AD4530" s="18"/>
      <c r="AE4530" s="18"/>
    </row>
    <row r="4531" customFormat="false" ht="15" hidden="false" customHeight="true" outlineLevel="0" collapsed="false">
      <c r="A4531" s="12"/>
      <c r="B4531" s="13"/>
      <c r="C4531" s="14"/>
      <c r="D4531" s="13"/>
      <c r="E4531" s="15"/>
      <c r="F4531" s="15"/>
      <c r="G4531" s="15"/>
      <c r="H4531" s="13"/>
      <c r="I4531" s="13"/>
      <c r="J4531" s="16"/>
      <c r="K4531" s="16"/>
      <c r="L4531" s="17" t="str">
        <f aca="false" t="array" ref="L4531:L4531">IFERROR(INDEX(AC4531:AE4531,IF(COUNTA(AC4531:AE4531)=0,"",MAX((AC4531:AE4531&lt;&gt;"")*(COLUMN(AC4531:AE4531)-(COLUMN(AC4531)-2))))-1),"")</f>
        <v/>
      </c>
      <c r="M4531" s="13"/>
      <c r="N4531" s="13"/>
      <c r="O4531" s="13"/>
      <c r="P4531" s="26"/>
      <c r="Q4531" s="20"/>
      <c r="R4531" s="13"/>
      <c r="S4531" s="25"/>
      <c r="T4531" s="13"/>
      <c r="U4531" s="13"/>
      <c r="V4531" s="13"/>
      <c r="W4531" s="13"/>
      <c r="X4531" s="21"/>
      <c r="Y4531" s="22"/>
      <c r="Z4531" s="23"/>
      <c r="AA4531" s="23"/>
      <c r="AB4531" s="15"/>
      <c r="AC4531" s="14"/>
      <c r="AD4531" s="18"/>
      <c r="AE4531" s="18"/>
    </row>
    <row r="4532" customFormat="false" ht="15" hidden="false" customHeight="true" outlineLevel="0" collapsed="false">
      <c r="A4532" s="12"/>
      <c r="B4532" s="13"/>
      <c r="C4532" s="14"/>
      <c r="D4532" s="13"/>
      <c r="E4532" s="15"/>
      <c r="F4532" s="15"/>
      <c r="G4532" s="15"/>
      <c r="H4532" s="13"/>
      <c r="I4532" s="13"/>
      <c r="J4532" s="16"/>
      <c r="K4532" s="16"/>
      <c r="L4532" s="17" t="str">
        <f aca="false" t="array" ref="L4532:L4532">IFERROR(INDEX(AC4532:AE4532,IF(COUNTA(AC4532:AE4532)=0,"",MAX((AC4532:AE4532&lt;&gt;"")*(COLUMN(AC4532:AE4532)-(COLUMN(AC4532)-2))))-1),"")</f>
        <v/>
      </c>
      <c r="M4532" s="13"/>
      <c r="N4532" s="13"/>
      <c r="O4532" s="13"/>
      <c r="P4532" s="26"/>
      <c r="Q4532" s="20"/>
      <c r="R4532" s="13"/>
      <c r="S4532" s="25"/>
      <c r="T4532" s="13"/>
      <c r="U4532" s="13"/>
      <c r="V4532" s="13"/>
      <c r="W4532" s="13"/>
      <c r="X4532" s="21"/>
      <c r="Y4532" s="22"/>
      <c r="Z4532" s="23"/>
      <c r="AA4532" s="23"/>
      <c r="AB4532" s="15"/>
      <c r="AC4532" s="14"/>
      <c r="AD4532" s="18"/>
      <c r="AE4532" s="18"/>
    </row>
    <row r="4533" customFormat="false" ht="15" hidden="false" customHeight="true" outlineLevel="0" collapsed="false">
      <c r="A4533" s="12"/>
      <c r="B4533" s="13"/>
      <c r="C4533" s="14"/>
      <c r="D4533" s="13"/>
      <c r="E4533" s="15"/>
      <c r="F4533" s="15"/>
      <c r="G4533" s="15"/>
      <c r="H4533" s="13"/>
      <c r="I4533" s="13"/>
      <c r="J4533" s="16"/>
      <c r="K4533" s="16"/>
      <c r="L4533" s="17" t="str">
        <f aca="false" t="array" ref="L4533:L4533">IFERROR(INDEX(AC4533:AE4533,IF(COUNTA(AC4533:AE4533)=0,"",MAX((AC4533:AE4533&lt;&gt;"")*(COLUMN(AC4533:AE4533)-(COLUMN(AC4533)-2))))-1),"")</f>
        <v/>
      </c>
      <c r="M4533" s="13"/>
      <c r="N4533" s="13"/>
      <c r="O4533" s="13"/>
      <c r="P4533" s="26"/>
      <c r="Q4533" s="20"/>
      <c r="R4533" s="13"/>
      <c r="S4533" s="25"/>
      <c r="T4533" s="13"/>
      <c r="U4533" s="13"/>
      <c r="V4533" s="13"/>
      <c r="W4533" s="13"/>
      <c r="X4533" s="21"/>
      <c r="Y4533" s="22"/>
      <c r="Z4533" s="23"/>
      <c r="AA4533" s="23"/>
      <c r="AB4533" s="15"/>
      <c r="AC4533" s="14"/>
      <c r="AD4533" s="18"/>
      <c r="AE4533" s="18"/>
    </row>
    <row r="4534" customFormat="false" ht="15" hidden="false" customHeight="true" outlineLevel="0" collapsed="false">
      <c r="A4534" s="12"/>
      <c r="B4534" s="13"/>
      <c r="C4534" s="14"/>
      <c r="D4534" s="13"/>
      <c r="E4534" s="15"/>
      <c r="F4534" s="15"/>
      <c r="G4534" s="15"/>
      <c r="H4534" s="13"/>
      <c r="I4534" s="13"/>
      <c r="J4534" s="16"/>
      <c r="K4534" s="16"/>
      <c r="L4534" s="17" t="str">
        <f aca="false" t="array" ref="L4534:L4534">IFERROR(INDEX(AC4534:AE4534,IF(COUNTA(AC4534:AE4534)=0,"",MAX((AC4534:AE4534&lt;&gt;"")*(COLUMN(AC4534:AE4534)-(COLUMN(AC4534)-2))))-1),"")</f>
        <v/>
      </c>
      <c r="M4534" s="13"/>
      <c r="N4534" s="13"/>
      <c r="O4534" s="13"/>
      <c r="P4534" s="26"/>
      <c r="Q4534" s="20"/>
      <c r="R4534" s="13"/>
      <c r="S4534" s="25"/>
      <c r="T4534" s="13"/>
      <c r="U4534" s="13"/>
      <c r="V4534" s="13"/>
      <c r="W4534" s="13"/>
      <c r="X4534" s="21"/>
      <c r="Y4534" s="22"/>
      <c r="Z4534" s="23"/>
      <c r="AA4534" s="23"/>
      <c r="AB4534" s="15"/>
      <c r="AC4534" s="14"/>
      <c r="AD4534" s="18"/>
      <c r="AE4534" s="18"/>
    </row>
    <row r="4535" customFormat="false" ht="15" hidden="false" customHeight="true" outlineLevel="0" collapsed="false">
      <c r="A4535" s="12"/>
      <c r="B4535" s="13"/>
      <c r="C4535" s="14"/>
      <c r="D4535" s="13"/>
      <c r="E4535" s="15"/>
      <c r="F4535" s="15"/>
      <c r="G4535" s="15"/>
      <c r="H4535" s="13"/>
      <c r="I4535" s="13"/>
      <c r="J4535" s="16"/>
      <c r="K4535" s="16"/>
      <c r="L4535" s="17" t="str">
        <f aca="false" t="array" ref="L4535:L4535">IFERROR(INDEX(AC4535:AE4535,IF(COUNTA(AC4535:AE4535)=0,"",MAX((AC4535:AE4535&lt;&gt;"")*(COLUMN(AC4535:AE4535)-(COLUMN(AC4535)-2))))-1),"")</f>
        <v/>
      </c>
      <c r="M4535" s="13"/>
      <c r="N4535" s="13"/>
      <c r="O4535" s="13"/>
      <c r="P4535" s="26"/>
      <c r="Q4535" s="20"/>
      <c r="R4535" s="13"/>
      <c r="S4535" s="25"/>
      <c r="T4535" s="13"/>
      <c r="U4535" s="13"/>
      <c r="V4535" s="13"/>
      <c r="W4535" s="13"/>
      <c r="X4535" s="21"/>
      <c r="Y4535" s="22"/>
      <c r="Z4535" s="23"/>
      <c r="AA4535" s="23"/>
      <c r="AB4535" s="15"/>
      <c r="AC4535" s="14"/>
      <c r="AD4535" s="18"/>
      <c r="AE4535" s="18"/>
    </row>
    <row r="4536" customFormat="false" ht="15" hidden="false" customHeight="true" outlineLevel="0" collapsed="false">
      <c r="A4536" s="12"/>
      <c r="B4536" s="13"/>
      <c r="C4536" s="14"/>
      <c r="D4536" s="13"/>
      <c r="E4536" s="15"/>
      <c r="F4536" s="15"/>
      <c r="G4536" s="15"/>
      <c r="H4536" s="13"/>
      <c r="I4536" s="13"/>
      <c r="J4536" s="16"/>
      <c r="K4536" s="16"/>
      <c r="L4536" s="17" t="str">
        <f aca="false" t="array" ref="L4536:L4536">IFERROR(INDEX(AC4536:AE4536,IF(COUNTA(AC4536:AE4536)=0,"",MAX((AC4536:AE4536&lt;&gt;"")*(COLUMN(AC4536:AE4536)-(COLUMN(AC4536)-2))))-1),"")</f>
        <v/>
      </c>
      <c r="M4536" s="13"/>
      <c r="N4536" s="13"/>
      <c r="O4536" s="13"/>
      <c r="P4536" s="26"/>
      <c r="Q4536" s="20"/>
      <c r="R4536" s="13"/>
      <c r="S4536" s="25"/>
      <c r="T4536" s="13"/>
      <c r="U4536" s="13"/>
      <c r="V4536" s="13"/>
      <c r="W4536" s="13"/>
      <c r="X4536" s="21"/>
      <c r="Y4536" s="22"/>
      <c r="Z4536" s="23"/>
      <c r="AA4536" s="23"/>
      <c r="AB4536" s="15"/>
      <c r="AC4536" s="14"/>
      <c r="AD4536" s="18"/>
      <c r="AE4536" s="18"/>
    </row>
    <row r="4537" customFormat="false" ht="15" hidden="false" customHeight="true" outlineLevel="0" collapsed="false">
      <c r="A4537" s="12"/>
      <c r="B4537" s="13"/>
      <c r="C4537" s="14"/>
      <c r="D4537" s="13"/>
      <c r="E4537" s="15"/>
      <c r="F4537" s="15"/>
      <c r="G4537" s="15"/>
      <c r="H4537" s="13"/>
      <c r="I4537" s="13"/>
      <c r="J4537" s="16"/>
      <c r="K4537" s="16"/>
      <c r="L4537" s="17" t="str">
        <f aca="false" t="array" ref="L4537:L4537">IFERROR(INDEX(AC4537:AE4537,IF(COUNTA(AC4537:AE4537)=0,"",MAX((AC4537:AE4537&lt;&gt;"")*(COLUMN(AC4537:AE4537)-(COLUMN(AC4537)-2))))-1),"")</f>
        <v/>
      </c>
      <c r="M4537" s="13"/>
      <c r="N4537" s="13"/>
      <c r="O4537" s="13"/>
      <c r="P4537" s="26"/>
      <c r="Q4537" s="20"/>
      <c r="R4537" s="13"/>
      <c r="S4537" s="25"/>
      <c r="T4537" s="13"/>
      <c r="U4537" s="13"/>
      <c r="V4537" s="13"/>
      <c r="W4537" s="13"/>
      <c r="X4537" s="21"/>
      <c r="Y4537" s="22"/>
      <c r="Z4537" s="23"/>
      <c r="AA4537" s="23"/>
      <c r="AB4537" s="15"/>
      <c r="AC4537" s="14"/>
      <c r="AD4537" s="18"/>
      <c r="AE4537" s="18"/>
    </row>
    <row r="4538" customFormat="false" ht="15" hidden="false" customHeight="true" outlineLevel="0" collapsed="false">
      <c r="A4538" s="12"/>
      <c r="B4538" s="13"/>
      <c r="C4538" s="14"/>
      <c r="D4538" s="13"/>
      <c r="E4538" s="15"/>
      <c r="F4538" s="15"/>
      <c r="G4538" s="15"/>
      <c r="H4538" s="13"/>
      <c r="I4538" s="13"/>
      <c r="J4538" s="16"/>
      <c r="K4538" s="16"/>
      <c r="L4538" s="17" t="str">
        <f aca="false" t="array" ref="L4538:L4538">IFERROR(INDEX(AC4538:AE4538,IF(COUNTA(AC4538:AE4538)=0,"",MAX((AC4538:AE4538&lt;&gt;"")*(COLUMN(AC4538:AE4538)-(COLUMN(AC4538)-2))))-1),"")</f>
        <v/>
      </c>
      <c r="M4538" s="13"/>
      <c r="N4538" s="13"/>
      <c r="O4538" s="13"/>
      <c r="P4538" s="26"/>
      <c r="Q4538" s="20"/>
      <c r="R4538" s="13"/>
      <c r="S4538" s="25"/>
      <c r="T4538" s="13"/>
      <c r="U4538" s="13"/>
      <c r="V4538" s="13"/>
      <c r="W4538" s="13"/>
      <c r="X4538" s="21"/>
      <c r="Y4538" s="22"/>
      <c r="Z4538" s="23"/>
      <c r="AA4538" s="23"/>
      <c r="AB4538" s="15"/>
      <c r="AC4538" s="14"/>
      <c r="AD4538" s="18"/>
      <c r="AE4538" s="18"/>
    </row>
    <row r="4539" customFormat="false" ht="15" hidden="false" customHeight="true" outlineLevel="0" collapsed="false">
      <c r="A4539" s="12"/>
      <c r="B4539" s="13"/>
      <c r="C4539" s="14"/>
      <c r="D4539" s="13"/>
      <c r="E4539" s="15"/>
      <c r="F4539" s="15"/>
      <c r="G4539" s="15"/>
      <c r="H4539" s="13"/>
      <c r="I4539" s="13"/>
      <c r="J4539" s="16"/>
      <c r="K4539" s="16"/>
      <c r="L4539" s="17" t="str">
        <f aca="false" t="array" ref="L4539:L4539">IFERROR(INDEX(AC4539:AE4539,IF(COUNTA(AC4539:AE4539)=0,"",MAX((AC4539:AE4539&lt;&gt;"")*(COLUMN(AC4539:AE4539)-(COLUMN(AC4539)-2))))-1),"")</f>
        <v/>
      </c>
      <c r="M4539" s="13"/>
      <c r="N4539" s="13"/>
      <c r="O4539" s="13"/>
      <c r="P4539" s="26"/>
      <c r="Q4539" s="20"/>
      <c r="R4539" s="13"/>
      <c r="S4539" s="25"/>
      <c r="T4539" s="13"/>
      <c r="U4539" s="13"/>
      <c r="V4539" s="13"/>
      <c r="W4539" s="13"/>
      <c r="X4539" s="21"/>
      <c r="Y4539" s="22"/>
      <c r="Z4539" s="23"/>
      <c r="AA4539" s="23"/>
      <c r="AB4539" s="15"/>
      <c r="AC4539" s="14"/>
      <c r="AD4539" s="18"/>
      <c r="AE4539" s="18"/>
    </row>
    <row r="4540" customFormat="false" ht="15" hidden="false" customHeight="true" outlineLevel="0" collapsed="false">
      <c r="A4540" s="12"/>
      <c r="B4540" s="13"/>
      <c r="C4540" s="14"/>
      <c r="D4540" s="13"/>
      <c r="E4540" s="15"/>
      <c r="F4540" s="15"/>
      <c r="G4540" s="15"/>
      <c r="H4540" s="13"/>
      <c r="I4540" s="13"/>
      <c r="J4540" s="16"/>
      <c r="K4540" s="16"/>
      <c r="L4540" s="17" t="str">
        <f aca="false" t="array" ref="L4540:L4540">IFERROR(INDEX(AC4540:AE4540,IF(COUNTA(AC4540:AE4540)=0,"",MAX((AC4540:AE4540&lt;&gt;"")*(COLUMN(AC4540:AE4540)-(COLUMN(AC4540)-2))))-1),"")</f>
        <v/>
      </c>
      <c r="M4540" s="13"/>
      <c r="N4540" s="13"/>
      <c r="O4540" s="13"/>
      <c r="P4540" s="26"/>
      <c r="Q4540" s="20"/>
      <c r="R4540" s="13"/>
      <c r="S4540" s="25"/>
      <c r="T4540" s="13"/>
      <c r="U4540" s="13"/>
      <c r="V4540" s="13"/>
      <c r="W4540" s="13"/>
      <c r="X4540" s="21"/>
      <c r="Y4540" s="22"/>
      <c r="Z4540" s="23"/>
      <c r="AA4540" s="23"/>
      <c r="AB4540" s="15"/>
      <c r="AC4540" s="14"/>
      <c r="AD4540" s="18"/>
      <c r="AE4540" s="18"/>
    </row>
    <row r="4541" customFormat="false" ht="15" hidden="false" customHeight="true" outlineLevel="0" collapsed="false">
      <c r="A4541" s="12"/>
      <c r="B4541" s="13"/>
      <c r="C4541" s="14"/>
      <c r="D4541" s="13"/>
      <c r="E4541" s="15"/>
      <c r="F4541" s="15"/>
      <c r="G4541" s="15"/>
      <c r="H4541" s="13"/>
      <c r="I4541" s="13"/>
      <c r="J4541" s="16"/>
      <c r="K4541" s="16"/>
      <c r="L4541" s="17" t="str">
        <f aca="false" t="array" ref="L4541:L4541">IFERROR(INDEX(AC4541:AE4541,IF(COUNTA(AC4541:AE4541)=0,"",MAX((AC4541:AE4541&lt;&gt;"")*(COLUMN(AC4541:AE4541)-(COLUMN(AC4541)-2))))-1),"")</f>
        <v/>
      </c>
      <c r="M4541" s="13"/>
      <c r="N4541" s="13"/>
      <c r="O4541" s="13"/>
      <c r="P4541" s="26"/>
      <c r="Q4541" s="20"/>
      <c r="R4541" s="13"/>
      <c r="S4541" s="25"/>
      <c r="T4541" s="13"/>
      <c r="U4541" s="13"/>
      <c r="V4541" s="13"/>
      <c r="W4541" s="13"/>
      <c r="X4541" s="21"/>
      <c r="Y4541" s="22"/>
      <c r="Z4541" s="23"/>
      <c r="AA4541" s="23"/>
      <c r="AB4541" s="15"/>
      <c r="AC4541" s="14"/>
      <c r="AD4541" s="18"/>
      <c r="AE4541" s="18"/>
    </row>
    <row r="4542" customFormat="false" ht="15" hidden="false" customHeight="true" outlineLevel="0" collapsed="false">
      <c r="A4542" s="12"/>
      <c r="B4542" s="13"/>
      <c r="C4542" s="14"/>
      <c r="D4542" s="13"/>
      <c r="E4542" s="15"/>
      <c r="F4542" s="15"/>
      <c r="G4542" s="15"/>
      <c r="H4542" s="13"/>
      <c r="I4542" s="13"/>
      <c r="J4542" s="16"/>
      <c r="K4542" s="16"/>
      <c r="L4542" s="17" t="str">
        <f aca="false" t="array" ref="L4542:L4542">IFERROR(INDEX(AC4542:AE4542,IF(COUNTA(AC4542:AE4542)=0,"",MAX((AC4542:AE4542&lt;&gt;"")*(COLUMN(AC4542:AE4542)-(COLUMN(AC4542)-2))))-1),"")</f>
        <v/>
      </c>
      <c r="M4542" s="13"/>
      <c r="N4542" s="13"/>
      <c r="O4542" s="13"/>
      <c r="P4542" s="26"/>
      <c r="Q4542" s="20"/>
      <c r="R4542" s="13"/>
      <c r="S4542" s="25"/>
      <c r="T4542" s="13"/>
      <c r="U4542" s="13"/>
      <c r="V4542" s="13"/>
      <c r="W4542" s="13"/>
      <c r="X4542" s="21"/>
      <c r="Y4542" s="22"/>
      <c r="Z4542" s="23"/>
      <c r="AA4542" s="23"/>
      <c r="AB4542" s="15"/>
      <c r="AC4542" s="14"/>
      <c r="AD4542" s="18"/>
      <c r="AE4542" s="18"/>
    </row>
    <row r="4543" customFormat="false" ht="15" hidden="false" customHeight="true" outlineLevel="0" collapsed="false">
      <c r="A4543" s="12"/>
      <c r="B4543" s="13"/>
      <c r="C4543" s="14"/>
      <c r="D4543" s="13"/>
      <c r="E4543" s="15"/>
      <c r="F4543" s="15"/>
      <c r="G4543" s="15"/>
      <c r="H4543" s="13"/>
      <c r="I4543" s="13"/>
      <c r="J4543" s="16"/>
      <c r="K4543" s="16"/>
      <c r="L4543" s="17" t="str">
        <f aca="false" t="array" ref="L4543:L4543">IFERROR(INDEX(AC4543:AE4543,IF(COUNTA(AC4543:AE4543)=0,"",MAX((AC4543:AE4543&lt;&gt;"")*(COLUMN(AC4543:AE4543)-(COLUMN(AC4543)-2))))-1),"")</f>
        <v/>
      </c>
      <c r="M4543" s="13"/>
      <c r="N4543" s="13"/>
      <c r="O4543" s="13"/>
      <c r="P4543" s="26"/>
      <c r="Q4543" s="20"/>
      <c r="R4543" s="13"/>
      <c r="S4543" s="25"/>
      <c r="T4543" s="13"/>
      <c r="U4543" s="13"/>
      <c r="V4543" s="13"/>
      <c r="W4543" s="13"/>
      <c r="X4543" s="21"/>
      <c r="Y4543" s="22"/>
      <c r="Z4543" s="23"/>
      <c r="AA4543" s="23"/>
      <c r="AB4543" s="15"/>
      <c r="AC4543" s="14"/>
      <c r="AD4543" s="18"/>
      <c r="AE4543" s="18"/>
    </row>
    <row r="4544" customFormat="false" ht="15" hidden="false" customHeight="true" outlineLevel="0" collapsed="false">
      <c r="A4544" s="12"/>
      <c r="B4544" s="13"/>
      <c r="C4544" s="14"/>
      <c r="D4544" s="13"/>
      <c r="E4544" s="15"/>
      <c r="F4544" s="15"/>
      <c r="G4544" s="15"/>
      <c r="H4544" s="13"/>
      <c r="I4544" s="13"/>
      <c r="J4544" s="16"/>
      <c r="K4544" s="16"/>
      <c r="L4544" s="17" t="str">
        <f aca="false" t="array" ref="L4544:L4544">IFERROR(INDEX(AC4544:AE4544,IF(COUNTA(AC4544:AE4544)=0,"",MAX((AC4544:AE4544&lt;&gt;"")*(COLUMN(AC4544:AE4544)-(COLUMN(AC4544)-2))))-1),"")</f>
        <v/>
      </c>
      <c r="M4544" s="13"/>
      <c r="N4544" s="13"/>
      <c r="O4544" s="13"/>
      <c r="P4544" s="26"/>
      <c r="Q4544" s="20"/>
      <c r="R4544" s="13"/>
      <c r="S4544" s="25"/>
      <c r="T4544" s="13"/>
      <c r="U4544" s="13"/>
      <c r="V4544" s="13"/>
      <c r="W4544" s="13"/>
      <c r="X4544" s="21"/>
      <c r="Y4544" s="22"/>
      <c r="Z4544" s="23"/>
      <c r="AA4544" s="23"/>
      <c r="AB4544" s="15"/>
      <c r="AC4544" s="14"/>
      <c r="AD4544" s="18"/>
      <c r="AE4544" s="18"/>
    </row>
    <row r="4545" customFormat="false" ht="15" hidden="false" customHeight="true" outlineLevel="0" collapsed="false">
      <c r="A4545" s="12"/>
      <c r="B4545" s="13"/>
      <c r="C4545" s="14"/>
      <c r="D4545" s="13"/>
      <c r="E4545" s="15"/>
      <c r="F4545" s="15"/>
      <c r="G4545" s="15"/>
      <c r="H4545" s="13"/>
      <c r="I4545" s="13"/>
      <c r="J4545" s="16"/>
      <c r="K4545" s="16"/>
      <c r="L4545" s="17" t="str">
        <f aca="false" t="array" ref="L4545:L4545">IFERROR(INDEX(AC4545:AE4545,IF(COUNTA(AC4545:AE4545)=0,"",MAX((AC4545:AE4545&lt;&gt;"")*(COLUMN(AC4545:AE4545)-(COLUMN(AC4545)-2))))-1),"")</f>
        <v/>
      </c>
      <c r="M4545" s="13"/>
      <c r="N4545" s="13"/>
      <c r="O4545" s="13"/>
      <c r="P4545" s="26"/>
      <c r="Q4545" s="20"/>
      <c r="R4545" s="13"/>
      <c r="S4545" s="25"/>
      <c r="T4545" s="13"/>
      <c r="U4545" s="13"/>
      <c r="V4545" s="13"/>
      <c r="W4545" s="13"/>
      <c r="X4545" s="21"/>
      <c r="Y4545" s="22"/>
      <c r="Z4545" s="23"/>
      <c r="AA4545" s="23"/>
      <c r="AB4545" s="15"/>
      <c r="AC4545" s="14"/>
      <c r="AD4545" s="18"/>
      <c r="AE4545" s="18"/>
    </row>
    <row r="4546" customFormat="false" ht="15" hidden="false" customHeight="true" outlineLevel="0" collapsed="false">
      <c r="A4546" s="12"/>
      <c r="B4546" s="13"/>
      <c r="C4546" s="14"/>
      <c r="D4546" s="13"/>
      <c r="E4546" s="15"/>
      <c r="F4546" s="15"/>
      <c r="G4546" s="15"/>
      <c r="H4546" s="13"/>
      <c r="I4546" s="13"/>
      <c r="J4546" s="16"/>
      <c r="K4546" s="16"/>
      <c r="L4546" s="17" t="str">
        <f aca="false" t="array" ref="L4546:L4546">IFERROR(INDEX(AC4546:AE4546,IF(COUNTA(AC4546:AE4546)=0,"",MAX((AC4546:AE4546&lt;&gt;"")*(COLUMN(AC4546:AE4546)-(COLUMN(AC4546)-2))))-1),"")</f>
        <v/>
      </c>
      <c r="M4546" s="13"/>
      <c r="N4546" s="13"/>
      <c r="O4546" s="13"/>
      <c r="P4546" s="26"/>
      <c r="Q4546" s="20"/>
      <c r="R4546" s="13"/>
      <c r="S4546" s="25"/>
      <c r="T4546" s="13"/>
      <c r="U4546" s="13"/>
      <c r="V4546" s="13"/>
      <c r="W4546" s="13"/>
      <c r="X4546" s="21"/>
      <c r="Y4546" s="22"/>
      <c r="Z4546" s="23"/>
      <c r="AA4546" s="23"/>
      <c r="AB4546" s="15"/>
      <c r="AC4546" s="14"/>
      <c r="AD4546" s="18"/>
      <c r="AE4546" s="18"/>
    </row>
    <row r="4547" customFormat="false" ht="15" hidden="false" customHeight="true" outlineLevel="0" collapsed="false">
      <c r="A4547" s="12"/>
      <c r="B4547" s="13"/>
      <c r="C4547" s="14"/>
      <c r="D4547" s="13"/>
      <c r="E4547" s="15"/>
      <c r="F4547" s="15"/>
      <c r="G4547" s="15"/>
      <c r="H4547" s="13"/>
      <c r="I4547" s="13"/>
      <c r="J4547" s="16"/>
      <c r="K4547" s="16"/>
      <c r="L4547" s="17" t="str">
        <f aca="false" t="array" ref="L4547:L4547">IFERROR(INDEX(AC4547:AE4547,IF(COUNTA(AC4547:AE4547)=0,"",MAX((AC4547:AE4547&lt;&gt;"")*(COLUMN(AC4547:AE4547)-(COLUMN(AC4547)-2))))-1),"")</f>
        <v/>
      </c>
      <c r="M4547" s="13"/>
      <c r="N4547" s="13"/>
      <c r="O4547" s="13"/>
      <c r="P4547" s="26"/>
      <c r="Q4547" s="20"/>
      <c r="R4547" s="13"/>
      <c r="S4547" s="25"/>
      <c r="T4547" s="13"/>
      <c r="U4547" s="13"/>
      <c r="V4547" s="13"/>
      <c r="W4547" s="13"/>
      <c r="X4547" s="21"/>
      <c r="Y4547" s="22"/>
      <c r="Z4547" s="23"/>
      <c r="AA4547" s="23"/>
      <c r="AB4547" s="15"/>
      <c r="AC4547" s="14"/>
      <c r="AD4547" s="18"/>
      <c r="AE4547" s="18"/>
    </row>
    <row r="4548" customFormat="false" ht="15" hidden="false" customHeight="true" outlineLevel="0" collapsed="false">
      <c r="A4548" s="12"/>
      <c r="B4548" s="13"/>
      <c r="C4548" s="14"/>
      <c r="D4548" s="13"/>
      <c r="E4548" s="15"/>
      <c r="F4548" s="15"/>
      <c r="G4548" s="15"/>
      <c r="H4548" s="13"/>
      <c r="I4548" s="13"/>
      <c r="J4548" s="16"/>
      <c r="K4548" s="16"/>
      <c r="L4548" s="17" t="str">
        <f aca="false" t="array" ref="L4548:L4548">IFERROR(INDEX(AC4548:AE4548,IF(COUNTA(AC4548:AE4548)=0,"",MAX((AC4548:AE4548&lt;&gt;"")*(COLUMN(AC4548:AE4548)-(COLUMN(AC4548)-2))))-1),"")</f>
        <v/>
      </c>
      <c r="M4548" s="13"/>
      <c r="N4548" s="13"/>
      <c r="O4548" s="13"/>
      <c r="P4548" s="26"/>
      <c r="Q4548" s="20"/>
      <c r="R4548" s="13"/>
      <c r="S4548" s="25"/>
      <c r="T4548" s="13"/>
      <c r="U4548" s="13"/>
      <c r="V4548" s="13"/>
      <c r="W4548" s="13"/>
      <c r="X4548" s="21"/>
      <c r="Y4548" s="22"/>
      <c r="Z4548" s="23"/>
      <c r="AA4548" s="23"/>
      <c r="AB4548" s="15"/>
      <c r="AC4548" s="14"/>
      <c r="AD4548" s="18"/>
      <c r="AE4548" s="18"/>
    </row>
    <row r="4549" customFormat="false" ht="15" hidden="false" customHeight="true" outlineLevel="0" collapsed="false">
      <c r="A4549" s="12"/>
      <c r="B4549" s="13"/>
      <c r="C4549" s="14"/>
      <c r="D4549" s="13"/>
      <c r="E4549" s="15"/>
      <c r="F4549" s="15"/>
      <c r="G4549" s="15"/>
      <c r="H4549" s="13"/>
      <c r="I4549" s="13"/>
      <c r="J4549" s="16"/>
      <c r="K4549" s="16"/>
      <c r="L4549" s="17" t="str">
        <f aca="false" t="array" ref="L4549:L4549">IFERROR(INDEX(AC4549:AE4549,IF(COUNTA(AC4549:AE4549)=0,"",MAX((AC4549:AE4549&lt;&gt;"")*(COLUMN(AC4549:AE4549)-(COLUMN(AC4549)-2))))-1),"")</f>
        <v/>
      </c>
      <c r="M4549" s="13"/>
      <c r="N4549" s="13"/>
      <c r="O4549" s="13"/>
      <c r="P4549" s="26"/>
      <c r="Q4549" s="20"/>
      <c r="R4549" s="13"/>
      <c r="S4549" s="25"/>
      <c r="T4549" s="13"/>
      <c r="U4549" s="13"/>
      <c r="V4549" s="13"/>
      <c r="W4549" s="13"/>
      <c r="X4549" s="21"/>
      <c r="Y4549" s="22"/>
      <c r="Z4549" s="23"/>
      <c r="AA4549" s="23"/>
      <c r="AB4549" s="15"/>
      <c r="AC4549" s="14"/>
      <c r="AD4549" s="18"/>
      <c r="AE4549" s="18"/>
    </row>
    <row r="4550" customFormat="false" ht="15" hidden="false" customHeight="true" outlineLevel="0" collapsed="false">
      <c r="A4550" s="12"/>
      <c r="B4550" s="13"/>
      <c r="C4550" s="14"/>
      <c r="D4550" s="13"/>
      <c r="E4550" s="15"/>
      <c r="F4550" s="15"/>
      <c r="G4550" s="15"/>
      <c r="H4550" s="13"/>
      <c r="I4550" s="13"/>
      <c r="J4550" s="16"/>
      <c r="K4550" s="16"/>
      <c r="L4550" s="17" t="str">
        <f aca="false" t="array" ref="L4550:L4550">IFERROR(INDEX(AC4550:AE4550,IF(COUNTA(AC4550:AE4550)=0,"",MAX((AC4550:AE4550&lt;&gt;"")*(COLUMN(AC4550:AE4550)-(COLUMN(AC4550)-2))))-1),"")</f>
        <v/>
      </c>
      <c r="M4550" s="13"/>
      <c r="N4550" s="13"/>
      <c r="O4550" s="13"/>
      <c r="P4550" s="26"/>
      <c r="Q4550" s="20"/>
      <c r="R4550" s="13"/>
      <c r="S4550" s="25"/>
      <c r="T4550" s="13"/>
      <c r="U4550" s="13"/>
      <c r="V4550" s="13"/>
      <c r="W4550" s="13"/>
      <c r="X4550" s="21"/>
      <c r="Y4550" s="22"/>
      <c r="Z4550" s="23"/>
      <c r="AA4550" s="23"/>
      <c r="AB4550" s="15"/>
      <c r="AC4550" s="14"/>
      <c r="AD4550" s="18"/>
      <c r="AE4550" s="18"/>
    </row>
    <row r="4551" customFormat="false" ht="15" hidden="false" customHeight="true" outlineLevel="0" collapsed="false">
      <c r="A4551" s="12"/>
      <c r="B4551" s="13"/>
      <c r="C4551" s="14"/>
      <c r="D4551" s="13"/>
      <c r="E4551" s="15"/>
      <c r="F4551" s="15"/>
      <c r="G4551" s="15"/>
      <c r="H4551" s="13"/>
      <c r="I4551" s="13"/>
      <c r="J4551" s="16"/>
      <c r="K4551" s="16"/>
      <c r="L4551" s="17" t="str">
        <f aca="false" t="array" ref="L4551:L4551">IFERROR(INDEX(AC4551:AE4551,IF(COUNTA(AC4551:AE4551)=0,"",MAX((AC4551:AE4551&lt;&gt;"")*(COLUMN(AC4551:AE4551)-(COLUMN(AC4551)-2))))-1),"")</f>
        <v/>
      </c>
      <c r="M4551" s="13"/>
      <c r="N4551" s="13"/>
      <c r="O4551" s="13"/>
      <c r="P4551" s="26"/>
      <c r="Q4551" s="20"/>
      <c r="R4551" s="13"/>
      <c r="S4551" s="25"/>
      <c r="T4551" s="13"/>
      <c r="U4551" s="13"/>
      <c r="V4551" s="13"/>
      <c r="W4551" s="13"/>
      <c r="X4551" s="21"/>
      <c r="Y4551" s="22"/>
      <c r="Z4551" s="23"/>
      <c r="AA4551" s="23"/>
      <c r="AB4551" s="15"/>
      <c r="AC4551" s="14"/>
      <c r="AD4551" s="18"/>
      <c r="AE4551" s="18"/>
    </row>
    <row r="4552" customFormat="false" ht="15" hidden="false" customHeight="true" outlineLevel="0" collapsed="false">
      <c r="A4552" s="12"/>
      <c r="B4552" s="13"/>
      <c r="C4552" s="14"/>
      <c r="D4552" s="13"/>
      <c r="E4552" s="15"/>
      <c r="F4552" s="15"/>
      <c r="G4552" s="15"/>
      <c r="H4552" s="13"/>
      <c r="I4552" s="13"/>
      <c r="J4552" s="16"/>
      <c r="K4552" s="16"/>
      <c r="L4552" s="17" t="str">
        <f aca="false" t="array" ref="L4552:L4552">IFERROR(INDEX(AC4552:AE4552,IF(COUNTA(AC4552:AE4552)=0,"",MAX((AC4552:AE4552&lt;&gt;"")*(COLUMN(AC4552:AE4552)-(COLUMN(AC4552)-2))))-1),"")</f>
        <v/>
      </c>
      <c r="M4552" s="13"/>
      <c r="N4552" s="13"/>
      <c r="O4552" s="13"/>
      <c r="P4552" s="26"/>
      <c r="Q4552" s="20"/>
      <c r="R4552" s="13"/>
      <c r="S4552" s="25"/>
      <c r="T4552" s="13"/>
      <c r="U4552" s="13"/>
      <c r="V4552" s="13"/>
      <c r="W4552" s="13"/>
      <c r="X4552" s="21"/>
      <c r="Y4552" s="22"/>
      <c r="Z4552" s="23"/>
      <c r="AA4552" s="23"/>
      <c r="AB4552" s="15"/>
      <c r="AC4552" s="14"/>
      <c r="AD4552" s="18"/>
      <c r="AE4552" s="18"/>
    </row>
    <row r="4553" customFormat="false" ht="15" hidden="false" customHeight="true" outlineLevel="0" collapsed="false">
      <c r="A4553" s="12"/>
      <c r="B4553" s="13"/>
      <c r="C4553" s="14"/>
      <c r="D4553" s="13"/>
      <c r="E4553" s="15"/>
      <c r="F4553" s="15"/>
      <c r="G4553" s="15"/>
      <c r="H4553" s="13"/>
      <c r="I4553" s="13"/>
      <c r="J4553" s="16"/>
      <c r="K4553" s="16"/>
      <c r="L4553" s="17" t="str">
        <f aca="false" t="array" ref="L4553:L4553">IFERROR(INDEX(AC4553:AE4553,IF(COUNTA(AC4553:AE4553)=0,"",MAX((AC4553:AE4553&lt;&gt;"")*(COLUMN(AC4553:AE4553)-(COLUMN(AC4553)-2))))-1),"")</f>
        <v/>
      </c>
      <c r="M4553" s="13"/>
      <c r="N4553" s="13"/>
      <c r="O4553" s="13"/>
      <c r="P4553" s="26"/>
      <c r="Q4553" s="20"/>
      <c r="R4553" s="13"/>
      <c r="S4553" s="25"/>
      <c r="T4553" s="13"/>
      <c r="U4553" s="13"/>
      <c r="V4553" s="13"/>
      <c r="W4553" s="13"/>
      <c r="X4553" s="21"/>
      <c r="Y4553" s="22"/>
      <c r="Z4553" s="23"/>
      <c r="AA4553" s="23"/>
      <c r="AB4553" s="15"/>
      <c r="AC4553" s="14"/>
      <c r="AD4553" s="18"/>
      <c r="AE4553" s="18"/>
    </row>
    <row r="4554" customFormat="false" ht="15" hidden="false" customHeight="true" outlineLevel="0" collapsed="false">
      <c r="A4554" s="12"/>
      <c r="B4554" s="13"/>
      <c r="C4554" s="14"/>
      <c r="D4554" s="13"/>
      <c r="E4554" s="15"/>
      <c r="F4554" s="15"/>
      <c r="G4554" s="15"/>
      <c r="H4554" s="13"/>
      <c r="I4554" s="13"/>
      <c r="J4554" s="16"/>
      <c r="K4554" s="16"/>
      <c r="L4554" s="17" t="str">
        <f aca="false" t="array" ref="L4554:L4554">IFERROR(INDEX(AC4554:AE4554,IF(COUNTA(AC4554:AE4554)=0,"",MAX((AC4554:AE4554&lt;&gt;"")*(COLUMN(AC4554:AE4554)-(COLUMN(AC4554)-2))))-1),"")</f>
        <v/>
      </c>
      <c r="M4554" s="13"/>
      <c r="N4554" s="13"/>
      <c r="O4554" s="13"/>
      <c r="P4554" s="26"/>
      <c r="Q4554" s="20"/>
      <c r="R4554" s="13"/>
      <c r="S4554" s="25"/>
      <c r="T4554" s="13"/>
      <c r="U4554" s="13"/>
      <c r="V4554" s="13"/>
      <c r="W4554" s="13"/>
      <c r="X4554" s="21"/>
      <c r="Y4554" s="22"/>
      <c r="Z4554" s="23"/>
      <c r="AA4554" s="23"/>
      <c r="AB4554" s="15"/>
      <c r="AC4554" s="14"/>
      <c r="AD4554" s="18"/>
      <c r="AE4554" s="18"/>
    </row>
    <row r="4555" customFormat="false" ht="15" hidden="false" customHeight="true" outlineLevel="0" collapsed="false">
      <c r="A4555" s="12"/>
      <c r="B4555" s="13"/>
      <c r="C4555" s="14"/>
      <c r="D4555" s="13"/>
      <c r="E4555" s="15"/>
      <c r="F4555" s="15"/>
      <c r="G4555" s="15"/>
      <c r="H4555" s="13"/>
      <c r="I4555" s="13"/>
      <c r="J4555" s="16"/>
      <c r="K4555" s="16"/>
      <c r="L4555" s="17" t="str">
        <f aca="false" t="array" ref="L4555:L4555">IFERROR(INDEX(AC4555:AE4555,IF(COUNTA(AC4555:AE4555)=0,"",MAX((AC4555:AE4555&lt;&gt;"")*(COLUMN(AC4555:AE4555)-(COLUMN(AC4555)-2))))-1),"")</f>
        <v/>
      </c>
      <c r="M4555" s="13"/>
      <c r="N4555" s="13"/>
      <c r="O4555" s="13"/>
      <c r="P4555" s="26"/>
      <c r="Q4555" s="20"/>
      <c r="R4555" s="13"/>
      <c r="S4555" s="25"/>
      <c r="T4555" s="13"/>
      <c r="U4555" s="13"/>
      <c r="V4555" s="13"/>
      <c r="W4555" s="13"/>
      <c r="X4555" s="21"/>
      <c r="Y4555" s="22"/>
      <c r="Z4555" s="23"/>
      <c r="AA4555" s="23"/>
      <c r="AB4555" s="15"/>
      <c r="AC4555" s="14"/>
      <c r="AD4555" s="18"/>
      <c r="AE4555" s="18"/>
    </row>
    <row r="4556" customFormat="false" ht="15" hidden="false" customHeight="true" outlineLevel="0" collapsed="false">
      <c r="A4556" s="12"/>
      <c r="B4556" s="13"/>
      <c r="C4556" s="14"/>
      <c r="D4556" s="13"/>
      <c r="E4556" s="15"/>
      <c r="F4556" s="15"/>
      <c r="G4556" s="15"/>
      <c r="H4556" s="13"/>
      <c r="I4556" s="13"/>
      <c r="J4556" s="16"/>
      <c r="K4556" s="16"/>
      <c r="L4556" s="17" t="str">
        <f aca="false" t="array" ref="L4556:L4556">IFERROR(INDEX(AC4556:AE4556,IF(COUNTA(AC4556:AE4556)=0,"",MAX((AC4556:AE4556&lt;&gt;"")*(COLUMN(AC4556:AE4556)-(COLUMN(AC4556)-2))))-1),"")</f>
        <v/>
      </c>
      <c r="M4556" s="13"/>
      <c r="N4556" s="13"/>
      <c r="O4556" s="13"/>
      <c r="P4556" s="26"/>
      <c r="Q4556" s="20"/>
      <c r="R4556" s="13"/>
      <c r="S4556" s="25"/>
      <c r="T4556" s="13"/>
      <c r="U4556" s="13"/>
      <c r="V4556" s="13"/>
      <c r="W4556" s="13"/>
      <c r="X4556" s="21"/>
      <c r="Y4556" s="22"/>
      <c r="Z4556" s="23"/>
      <c r="AA4556" s="23"/>
      <c r="AB4556" s="15"/>
      <c r="AC4556" s="14"/>
      <c r="AD4556" s="18"/>
      <c r="AE4556" s="18"/>
    </row>
    <row r="4557" customFormat="false" ht="15" hidden="false" customHeight="true" outlineLevel="0" collapsed="false">
      <c r="A4557" s="12"/>
      <c r="B4557" s="13"/>
      <c r="C4557" s="14"/>
      <c r="D4557" s="13"/>
      <c r="E4557" s="15"/>
      <c r="F4557" s="15"/>
      <c r="G4557" s="15"/>
      <c r="H4557" s="13"/>
      <c r="I4557" s="13"/>
      <c r="J4557" s="16"/>
      <c r="K4557" s="16"/>
      <c r="L4557" s="17" t="str">
        <f aca="false" t="array" ref="L4557:L4557">IFERROR(INDEX(AC4557:AE4557,IF(COUNTA(AC4557:AE4557)=0,"",MAX((AC4557:AE4557&lt;&gt;"")*(COLUMN(AC4557:AE4557)-(COLUMN(AC4557)-2))))-1),"")</f>
        <v/>
      </c>
      <c r="M4557" s="13"/>
      <c r="N4557" s="13"/>
      <c r="O4557" s="13"/>
      <c r="P4557" s="26"/>
      <c r="Q4557" s="20"/>
      <c r="R4557" s="13"/>
      <c r="S4557" s="25"/>
      <c r="T4557" s="13"/>
      <c r="U4557" s="13"/>
      <c r="V4557" s="13"/>
      <c r="W4557" s="13"/>
      <c r="X4557" s="21"/>
      <c r="Y4557" s="22"/>
      <c r="Z4557" s="23"/>
      <c r="AA4557" s="23"/>
      <c r="AB4557" s="15"/>
      <c r="AC4557" s="14"/>
      <c r="AD4557" s="18"/>
      <c r="AE4557" s="18"/>
    </row>
    <row r="4558" customFormat="false" ht="15" hidden="false" customHeight="true" outlineLevel="0" collapsed="false">
      <c r="A4558" s="12"/>
      <c r="B4558" s="13"/>
      <c r="C4558" s="14"/>
      <c r="D4558" s="13"/>
      <c r="E4558" s="15"/>
      <c r="F4558" s="15"/>
      <c r="G4558" s="15"/>
      <c r="H4558" s="13"/>
      <c r="I4558" s="13"/>
      <c r="J4558" s="16"/>
      <c r="K4558" s="16"/>
      <c r="L4558" s="17" t="str">
        <f aca="false" t="array" ref="L4558:L4558">IFERROR(INDEX(AC4558:AE4558,IF(COUNTA(AC4558:AE4558)=0,"",MAX((AC4558:AE4558&lt;&gt;"")*(COLUMN(AC4558:AE4558)-(COLUMN(AC4558)-2))))-1),"")</f>
        <v/>
      </c>
      <c r="M4558" s="13"/>
      <c r="N4558" s="13"/>
      <c r="O4558" s="13"/>
      <c r="P4558" s="26"/>
      <c r="Q4558" s="20"/>
      <c r="R4558" s="13"/>
      <c r="S4558" s="25"/>
      <c r="T4558" s="13"/>
      <c r="U4558" s="13"/>
      <c r="V4558" s="13"/>
      <c r="W4558" s="13"/>
      <c r="X4558" s="21"/>
      <c r="Y4558" s="22"/>
      <c r="Z4558" s="23"/>
      <c r="AA4558" s="23"/>
      <c r="AB4558" s="15"/>
      <c r="AC4558" s="14"/>
      <c r="AD4558" s="18"/>
      <c r="AE4558" s="18"/>
    </row>
    <row r="4559" customFormat="false" ht="15" hidden="false" customHeight="true" outlineLevel="0" collapsed="false">
      <c r="A4559" s="12"/>
      <c r="B4559" s="13"/>
      <c r="C4559" s="14"/>
      <c r="D4559" s="13"/>
      <c r="E4559" s="15"/>
      <c r="F4559" s="15"/>
      <c r="G4559" s="15"/>
      <c r="H4559" s="13"/>
      <c r="I4559" s="13"/>
      <c r="J4559" s="16"/>
      <c r="K4559" s="16"/>
      <c r="L4559" s="17" t="str">
        <f aca="false" t="array" ref="L4559:L4559">IFERROR(INDEX(AC4559:AE4559,IF(COUNTA(AC4559:AE4559)=0,"",MAX((AC4559:AE4559&lt;&gt;"")*(COLUMN(AC4559:AE4559)-(COLUMN(AC4559)-2))))-1),"")</f>
        <v/>
      </c>
      <c r="M4559" s="13"/>
      <c r="N4559" s="13"/>
      <c r="O4559" s="13"/>
      <c r="P4559" s="26"/>
      <c r="Q4559" s="20"/>
      <c r="R4559" s="13"/>
      <c r="S4559" s="25"/>
      <c r="T4559" s="13"/>
      <c r="U4559" s="13"/>
      <c r="V4559" s="13"/>
      <c r="W4559" s="13"/>
      <c r="X4559" s="21"/>
      <c r="Y4559" s="22"/>
      <c r="Z4559" s="23"/>
      <c r="AA4559" s="23"/>
      <c r="AB4559" s="15"/>
      <c r="AC4559" s="14"/>
      <c r="AD4559" s="18"/>
      <c r="AE4559" s="18"/>
    </row>
    <row r="4560" customFormat="false" ht="15" hidden="false" customHeight="true" outlineLevel="0" collapsed="false">
      <c r="A4560" s="12"/>
      <c r="B4560" s="13"/>
      <c r="C4560" s="14"/>
      <c r="D4560" s="13"/>
      <c r="E4560" s="15"/>
      <c r="F4560" s="15"/>
      <c r="G4560" s="15"/>
      <c r="H4560" s="13"/>
      <c r="I4560" s="13"/>
      <c r="J4560" s="16"/>
      <c r="K4560" s="16"/>
      <c r="L4560" s="17" t="str">
        <f aca="false" t="array" ref="L4560:L4560">IFERROR(INDEX(AC4560:AE4560,IF(COUNTA(AC4560:AE4560)=0,"",MAX((AC4560:AE4560&lt;&gt;"")*(COLUMN(AC4560:AE4560)-(COLUMN(AC4560)-2))))-1),"")</f>
        <v/>
      </c>
      <c r="M4560" s="13"/>
      <c r="N4560" s="13"/>
      <c r="O4560" s="13"/>
      <c r="P4560" s="26"/>
      <c r="Q4560" s="20"/>
      <c r="R4560" s="13"/>
      <c r="S4560" s="25"/>
      <c r="T4560" s="13"/>
      <c r="U4560" s="13"/>
      <c r="V4560" s="13"/>
      <c r="W4560" s="13"/>
      <c r="X4560" s="21"/>
      <c r="Y4560" s="22"/>
      <c r="Z4560" s="23"/>
      <c r="AA4560" s="23"/>
      <c r="AB4560" s="15"/>
      <c r="AC4560" s="14"/>
      <c r="AD4560" s="18"/>
      <c r="AE4560" s="18"/>
    </row>
    <row r="4561" customFormat="false" ht="15" hidden="false" customHeight="true" outlineLevel="0" collapsed="false">
      <c r="A4561" s="12"/>
      <c r="B4561" s="13"/>
      <c r="C4561" s="14"/>
      <c r="D4561" s="13"/>
      <c r="E4561" s="15"/>
      <c r="F4561" s="15"/>
      <c r="G4561" s="15"/>
      <c r="H4561" s="13"/>
      <c r="I4561" s="13"/>
      <c r="J4561" s="16"/>
      <c r="K4561" s="16"/>
      <c r="L4561" s="17" t="str">
        <f aca="false" t="array" ref="L4561:L4561">IFERROR(INDEX(AC4561:AE4561,IF(COUNTA(AC4561:AE4561)=0,"",MAX((AC4561:AE4561&lt;&gt;"")*(COLUMN(AC4561:AE4561)-(COLUMN(AC4561)-2))))-1),"")</f>
        <v/>
      </c>
      <c r="M4561" s="13"/>
      <c r="N4561" s="13"/>
      <c r="O4561" s="13"/>
      <c r="P4561" s="26"/>
      <c r="Q4561" s="20"/>
      <c r="R4561" s="13"/>
      <c r="S4561" s="25"/>
      <c r="T4561" s="13"/>
      <c r="U4561" s="13"/>
      <c r="V4561" s="13"/>
      <c r="W4561" s="13"/>
      <c r="X4561" s="21"/>
      <c r="Y4561" s="22"/>
      <c r="Z4561" s="23"/>
      <c r="AA4561" s="23"/>
      <c r="AB4561" s="15"/>
      <c r="AC4561" s="14"/>
      <c r="AD4561" s="18"/>
      <c r="AE4561" s="18"/>
    </row>
    <row r="4562" customFormat="false" ht="15" hidden="false" customHeight="true" outlineLevel="0" collapsed="false">
      <c r="A4562" s="12"/>
      <c r="B4562" s="13"/>
      <c r="C4562" s="14"/>
      <c r="D4562" s="13"/>
      <c r="E4562" s="15"/>
      <c r="F4562" s="15"/>
      <c r="G4562" s="15"/>
      <c r="H4562" s="13"/>
      <c r="I4562" s="13"/>
      <c r="J4562" s="16"/>
      <c r="K4562" s="16"/>
      <c r="L4562" s="17" t="str">
        <f aca="false" t="array" ref="L4562:L4562">IFERROR(INDEX(AC4562:AE4562,IF(COUNTA(AC4562:AE4562)=0,"",MAX((AC4562:AE4562&lt;&gt;"")*(COLUMN(AC4562:AE4562)-(COLUMN(AC4562)-2))))-1),"")</f>
        <v/>
      </c>
      <c r="M4562" s="13"/>
      <c r="N4562" s="13"/>
      <c r="O4562" s="13"/>
      <c r="P4562" s="26"/>
      <c r="Q4562" s="20"/>
      <c r="R4562" s="13"/>
      <c r="S4562" s="25"/>
      <c r="T4562" s="13"/>
      <c r="U4562" s="13"/>
      <c r="V4562" s="13"/>
      <c r="W4562" s="13"/>
      <c r="X4562" s="21"/>
      <c r="Y4562" s="22"/>
      <c r="Z4562" s="23"/>
      <c r="AA4562" s="23"/>
      <c r="AB4562" s="15"/>
      <c r="AC4562" s="14"/>
      <c r="AD4562" s="18"/>
      <c r="AE4562" s="18"/>
    </row>
    <row r="4563" customFormat="false" ht="15" hidden="false" customHeight="true" outlineLevel="0" collapsed="false">
      <c r="A4563" s="12"/>
      <c r="B4563" s="13"/>
      <c r="C4563" s="14"/>
      <c r="D4563" s="13"/>
      <c r="E4563" s="15"/>
      <c r="F4563" s="15"/>
      <c r="G4563" s="15"/>
      <c r="H4563" s="13"/>
      <c r="I4563" s="13"/>
      <c r="J4563" s="16"/>
      <c r="K4563" s="16"/>
      <c r="L4563" s="17" t="str">
        <f aca="false" t="array" ref="L4563:L4563">IFERROR(INDEX(AC4563:AE4563,IF(COUNTA(AC4563:AE4563)=0,"",MAX((AC4563:AE4563&lt;&gt;"")*(COLUMN(AC4563:AE4563)-(COLUMN(AC4563)-2))))-1),"")</f>
        <v/>
      </c>
      <c r="M4563" s="13"/>
      <c r="N4563" s="13"/>
      <c r="O4563" s="13"/>
      <c r="P4563" s="26"/>
      <c r="Q4563" s="20"/>
      <c r="R4563" s="13"/>
      <c r="S4563" s="25"/>
      <c r="T4563" s="13"/>
      <c r="U4563" s="13"/>
      <c r="V4563" s="13"/>
      <c r="W4563" s="13"/>
      <c r="X4563" s="21"/>
      <c r="Y4563" s="22"/>
      <c r="Z4563" s="23"/>
      <c r="AA4563" s="23"/>
      <c r="AB4563" s="15"/>
      <c r="AC4563" s="14"/>
      <c r="AD4563" s="18"/>
      <c r="AE4563" s="18"/>
    </row>
    <row r="4564" customFormat="false" ht="15" hidden="false" customHeight="true" outlineLevel="0" collapsed="false">
      <c r="A4564" s="12"/>
      <c r="B4564" s="13"/>
      <c r="C4564" s="14"/>
      <c r="D4564" s="13"/>
      <c r="E4564" s="15"/>
      <c r="F4564" s="15"/>
      <c r="G4564" s="15"/>
      <c r="H4564" s="13"/>
      <c r="I4564" s="13"/>
      <c r="J4564" s="16"/>
      <c r="K4564" s="16"/>
      <c r="L4564" s="17" t="str">
        <f aca="false" t="array" ref="L4564:L4564">IFERROR(INDEX(AC4564:AE4564,IF(COUNTA(AC4564:AE4564)=0,"",MAX((AC4564:AE4564&lt;&gt;"")*(COLUMN(AC4564:AE4564)-(COLUMN(AC4564)-2))))-1),"")</f>
        <v/>
      </c>
      <c r="M4564" s="13"/>
      <c r="N4564" s="13"/>
      <c r="O4564" s="13"/>
      <c r="P4564" s="26"/>
      <c r="Q4564" s="20"/>
      <c r="R4564" s="13"/>
      <c r="S4564" s="25"/>
      <c r="T4564" s="13"/>
      <c r="U4564" s="13"/>
      <c r="V4564" s="13"/>
      <c r="W4564" s="13"/>
      <c r="X4564" s="21"/>
      <c r="Y4564" s="22"/>
      <c r="Z4564" s="23"/>
      <c r="AA4564" s="23"/>
      <c r="AB4564" s="15"/>
      <c r="AC4564" s="14"/>
      <c r="AD4564" s="18"/>
      <c r="AE4564" s="18"/>
    </row>
    <row r="4565" customFormat="false" ht="15" hidden="false" customHeight="true" outlineLevel="0" collapsed="false">
      <c r="A4565" s="12"/>
      <c r="B4565" s="13"/>
      <c r="C4565" s="14"/>
      <c r="D4565" s="13"/>
      <c r="E4565" s="15"/>
      <c r="F4565" s="15"/>
      <c r="G4565" s="15"/>
      <c r="H4565" s="13"/>
      <c r="I4565" s="13"/>
      <c r="J4565" s="16"/>
      <c r="K4565" s="16"/>
      <c r="L4565" s="17" t="str">
        <f aca="false" t="array" ref="L4565:L4565">IFERROR(INDEX(AC4565:AE4565,IF(COUNTA(AC4565:AE4565)=0,"",MAX((AC4565:AE4565&lt;&gt;"")*(COLUMN(AC4565:AE4565)-(COLUMN(AC4565)-2))))-1),"")</f>
        <v/>
      </c>
      <c r="M4565" s="13"/>
      <c r="N4565" s="13"/>
      <c r="O4565" s="13"/>
      <c r="P4565" s="26"/>
      <c r="Q4565" s="20"/>
      <c r="R4565" s="13"/>
      <c r="S4565" s="25"/>
      <c r="T4565" s="13"/>
      <c r="U4565" s="13"/>
      <c r="V4565" s="13"/>
      <c r="W4565" s="13"/>
      <c r="X4565" s="21"/>
      <c r="Y4565" s="22"/>
      <c r="Z4565" s="23"/>
      <c r="AA4565" s="23"/>
      <c r="AB4565" s="15"/>
      <c r="AC4565" s="14"/>
      <c r="AD4565" s="18"/>
      <c r="AE4565" s="18"/>
    </row>
    <row r="4566" customFormat="false" ht="15" hidden="false" customHeight="true" outlineLevel="0" collapsed="false">
      <c r="A4566" s="12"/>
      <c r="B4566" s="13"/>
      <c r="C4566" s="14"/>
      <c r="D4566" s="13"/>
      <c r="E4566" s="15"/>
      <c r="F4566" s="15"/>
      <c r="G4566" s="15"/>
      <c r="H4566" s="13"/>
      <c r="I4566" s="13"/>
      <c r="J4566" s="16"/>
      <c r="K4566" s="16"/>
      <c r="L4566" s="17" t="str">
        <f aca="false" t="array" ref="L4566:L4566">IFERROR(INDEX(AC4566:AE4566,IF(COUNTA(AC4566:AE4566)=0,"",MAX((AC4566:AE4566&lt;&gt;"")*(COLUMN(AC4566:AE4566)-(COLUMN(AC4566)-2))))-1),"")</f>
        <v/>
      </c>
      <c r="M4566" s="13"/>
      <c r="N4566" s="13"/>
      <c r="O4566" s="13"/>
      <c r="P4566" s="26"/>
      <c r="Q4566" s="20"/>
      <c r="R4566" s="13"/>
      <c r="S4566" s="25"/>
      <c r="T4566" s="13"/>
      <c r="U4566" s="13"/>
      <c r="V4566" s="13"/>
      <c r="W4566" s="13"/>
      <c r="X4566" s="21"/>
      <c r="Y4566" s="22"/>
      <c r="Z4566" s="23"/>
      <c r="AA4566" s="23"/>
      <c r="AB4566" s="15"/>
      <c r="AC4566" s="14"/>
      <c r="AD4566" s="18"/>
      <c r="AE4566" s="18"/>
    </row>
    <row r="4567" customFormat="false" ht="15" hidden="false" customHeight="true" outlineLevel="0" collapsed="false">
      <c r="A4567" s="12"/>
      <c r="B4567" s="13"/>
      <c r="C4567" s="14"/>
      <c r="D4567" s="13"/>
      <c r="E4567" s="15"/>
      <c r="F4567" s="15"/>
      <c r="G4567" s="15"/>
      <c r="H4567" s="13"/>
      <c r="I4567" s="13"/>
      <c r="J4567" s="16"/>
      <c r="K4567" s="16"/>
      <c r="L4567" s="17" t="str">
        <f aca="false" t="array" ref="L4567:L4567">IFERROR(INDEX(AC4567:AE4567,IF(COUNTA(AC4567:AE4567)=0,"",MAX((AC4567:AE4567&lt;&gt;"")*(COLUMN(AC4567:AE4567)-(COLUMN(AC4567)-2))))-1),"")</f>
        <v/>
      </c>
      <c r="M4567" s="13"/>
      <c r="N4567" s="13"/>
      <c r="O4567" s="13"/>
      <c r="P4567" s="26"/>
      <c r="Q4567" s="20"/>
      <c r="R4567" s="13"/>
      <c r="S4567" s="25"/>
      <c r="T4567" s="13"/>
      <c r="U4567" s="13"/>
      <c r="V4567" s="13"/>
      <c r="W4567" s="13"/>
      <c r="X4567" s="21"/>
      <c r="Y4567" s="22"/>
      <c r="Z4567" s="23"/>
      <c r="AA4567" s="23"/>
      <c r="AB4567" s="15"/>
      <c r="AC4567" s="14"/>
      <c r="AD4567" s="18"/>
      <c r="AE4567" s="18"/>
    </row>
    <row r="4568" customFormat="false" ht="15" hidden="false" customHeight="true" outlineLevel="0" collapsed="false">
      <c r="A4568" s="12"/>
      <c r="B4568" s="13"/>
      <c r="C4568" s="14"/>
      <c r="D4568" s="13"/>
      <c r="E4568" s="15"/>
      <c r="F4568" s="15"/>
      <c r="G4568" s="15"/>
      <c r="H4568" s="13"/>
      <c r="I4568" s="13"/>
      <c r="J4568" s="16"/>
      <c r="K4568" s="16"/>
      <c r="L4568" s="17" t="str">
        <f aca="false" t="array" ref="L4568:L4568">IFERROR(INDEX(AC4568:AE4568,IF(COUNTA(AC4568:AE4568)=0,"",MAX((AC4568:AE4568&lt;&gt;"")*(COLUMN(AC4568:AE4568)-(COLUMN(AC4568)-2))))-1),"")</f>
        <v/>
      </c>
      <c r="M4568" s="13"/>
      <c r="N4568" s="13"/>
      <c r="O4568" s="13"/>
      <c r="P4568" s="26"/>
      <c r="Q4568" s="20"/>
      <c r="R4568" s="13"/>
      <c r="S4568" s="25"/>
      <c r="T4568" s="13"/>
      <c r="U4568" s="13"/>
      <c r="V4568" s="13"/>
      <c r="W4568" s="13"/>
      <c r="X4568" s="21"/>
      <c r="Y4568" s="22"/>
      <c r="Z4568" s="23"/>
      <c r="AA4568" s="23"/>
      <c r="AB4568" s="15"/>
      <c r="AC4568" s="14"/>
      <c r="AD4568" s="18"/>
      <c r="AE4568" s="18"/>
    </row>
    <row r="4569" customFormat="false" ht="15" hidden="false" customHeight="true" outlineLevel="0" collapsed="false">
      <c r="A4569" s="12"/>
      <c r="B4569" s="13"/>
      <c r="C4569" s="14"/>
      <c r="D4569" s="13"/>
      <c r="E4569" s="15"/>
      <c r="F4569" s="15"/>
      <c r="G4569" s="15"/>
      <c r="H4569" s="13"/>
      <c r="I4569" s="13"/>
      <c r="J4569" s="16"/>
      <c r="K4569" s="16"/>
      <c r="L4569" s="17" t="str">
        <f aca="false" t="array" ref="L4569:L4569">IFERROR(INDEX(AC4569:AE4569,IF(COUNTA(AC4569:AE4569)=0,"",MAX((AC4569:AE4569&lt;&gt;"")*(COLUMN(AC4569:AE4569)-(COLUMN(AC4569)-2))))-1),"")</f>
        <v/>
      </c>
      <c r="M4569" s="13"/>
      <c r="N4569" s="13"/>
      <c r="O4569" s="13"/>
      <c r="P4569" s="26"/>
      <c r="Q4569" s="20"/>
      <c r="R4569" s="13"/>
      <c r="S4569" s="25"/>
      <c r="T4569" s="13"/>
      <c r="U4569" s="13"/>
      <c r="V4569" s="13"/>
      <c r="W4569" s="13"/>
      <c r="X4569" s="21"/>
      <c r="Y4569" s="22"/>
      <c r="Z4569" s="23"/>
      <c r="AA4569" s="23"/>
      <c r="AB4569" s="15"/>
      <c r="AC4569" s="14"/>
      <c r="AD4569" s="18"/>
      <c r="AE4569" s="18"/>
    </row>
    <row r="4570" customFormat="false" ht="15" hidden="false" customHeight="true" outlineLevel="0" collapsed="false">
      <c r="A4570" s="12"/>
      <c r="B4570" s="13"/>
      <c r="C4570" s="14"/>
      <c r="D4570" s="13"/>
      <c r="E4570" s="15"/>
      <c r="F4570" s="15"/>
      <c r="G4570" s="15"/>
      <c r="H4570" s="13"/>
      <c r="I4570" s="13"/>
      <c r="J4570" s="16"/>
      <c r="K4570" s="16"/>
      <c r="L4570" s="17" t="str">
        <f aca="false" t="array" ref="L4570:L4570">IFERROR(INDEX(AC4570:AE4570,IF(COUNTA(AC4570:AE4570)=0,"",MAX((AC4570:AE4570&lt;&gt;"")*(COLUMN(AC4570:AE4570)-(COLUMN(AC4570)-2))))-1),"")</f>
        <v/>
      </c>
      <c r="M4570" s="13"/>
      <c r="N4570" s="13"/>
      <c r="O4570" s="13"/>
      <c r="P4570" s="26"/>
      <c r="Q4570" s="20"/>
      <c r="R4570" s="13"/>
      <c r="S4570" s="25"/>
      <c r="T4570" s="13"/>
      <c r="U4570" s="13"/>
      <c r="V4570" s="13"/>
      <c r="W4570" s="13"/>
      <c r="X4570" s="21"/>
      <c r="Y4570" s="22"/>
      <c r="Z4570" s="23"/>
      <c r="AA4570" s="23"/>
      <c r="AB4570" s="15"/>
      <c r="AC4570" s="14"/>
      <c r="AD4570" s="18"/>
      <c r="AE4570" s="18"/>
    </row>
    <row r="4571" customFormat="false" ht="15" hidden="false" customHeight="true" outlineLevel="0" collapsed="false">
      <c r="A4571" s="12"/>
      <c r="B4571" s="13"/>
      <c r="C4571" s="14"/>
      <c r="D4571" s="13"/>
      <c r="E4571" s="15"/>
      <c r="F4571" s="15"/>
      <c r="G4571" s="15"/>
      <c r="H4571" s="13"/>
      <c r="I4571" s="13"/>
      <c r="J4571" s="16"/>
      <c r="K4571" s="16"/>
      <c r="L4571" s="17" t="str">
        <f aca="false" t="array" ref="L4571:L4571">IFERROR(INDEX(AC4571:AE4571,IF(COUNTA(AC4571:AE4571)=0,"",MAX((AC4571:AE4571&lt;&gt;"")*(COLUMN(AC4571:AE4571)-(COLUMN(AC4571)-2))))-1),"")</f>
        <v/>
      </c>
      <c r="M4571" s="13"/>
      <c r="N4571" s="13"/>
      <c r="O4571" s="13"/>
      <c r="P4571" s="26"/>
      <c r="Q4571" s="20"/>
      <c r="R4571" s="13"/>
      <c r="S4571" s="25"/>
      <c r="T4571" s="13"/>
      <c r="U4571" s="13"/>
      <c r="V4571" s="13"/>
      <c r="W4571" s="13"/>
      <c r="X4571" s="21"/>
      <c r="Y4571" s="22"/>
      <c r="Z4571" s="23"/>
      <c r="AA4571" s="23"/>
      <c r="AB4571" s="15"/>
      <c r="AC4571" s="14"/>
      <c r="AD4571" s="18"/>
      <c r="AE4571" s="18"/>
    </row>
    <row r="4572" customFormat="false" ht="15" hidden="false" customHeight="true" outlineLevel="0" collapsed="false">
      <c r="A4572" s="12"/>
      <c r="B4572" s="13"/>
      <c r="C4572" s="14"/>
      <c r="D4572" s="13"/>
      <c r="E4572" s="15"/>
      <c r="F4572" s="15"/>
      <c r="G4572" s="15"/>
      <c r="H4572" s="13"/>
      <c r="I4572" s="13"/>
      <c r="J4572" s="16"/>
      <c r="K4572" s="16"/>
      <c r="L4572" s="17" t="str">
        <f aca="false" t="array" ref="L4572:L4572">IFERROR(INDEX(AC4572:AE4572,IF(COUNTA(AC4572:AE4572)=0,"",MAX((AC4572:AE4572&lt;&gt;"")*(COLUMN(AC4572:AE4572)-(COLUMN(AC4572)-2))))-1),"")</f>
        <v/>
      </c>
      <c r="M4572" s="13"/>
      <c r="N4572" s="13"/>
      <c r="O4572" s="13"/>
      <c r="P4572" s="26"/>
      <c r="Q4572" s="20"/>
      <c r="R4572" s="13"/>
      <c r="S4572" s="25"/>
      <c r="T4572" s="13"/>
      <c r="U4572" s="13"/>
      <c r="V4572" s="13"/>
      <c r="W4572" s="13"/>
      <c r="X4572" s="21"/>
      <c r="Y4572" s="22"/>
      <c r="Z4572" s="23"/>
      <c r="AA4572" s="23"/>
      <c r="AB4572" s="15"/>
      <c r="AC4572" s="14"/>
      <c r="AD4572" s="18"/>
      <c r="AE4572" s="18"/>
    </row>
    <row r="4573" customFormat="false" ht="15" hidden="false" customHeight="true" outlineLevel="0" collapsed="false">
      <c r="A4573" s="12"/>
      <c r="B4573" s="13"/>
      <c r="C4573" s="14"/>
      <c r="D4573" s="13"/>
      <c r="E4573" s="15"/>
      <c r="F4573" s="15"/>
      <c r="G4573" s="15"/>
      <c r="H4573" s="13"/>
      <c r="I4573" s="13"/>
      <c r="J4573" s="16"/>
      <c r="K4573" s="16"/>
      <c r="L4573" s="17" t="str">
        <f aca="false" t="array" ref="L4573:L4573">IFERROR(INDEX(AC4573:AE4573,IF(COUNTA(AC4573:AE4573)=0,"",MAX((AC4573:AE4573&lt;&gt;"")*(COLUMN(AC4573:AE4573)-(COLUMN(AC4573)-2))))-1),"")</f>
        <v/>
      </c>
      <c r="M4573" s="13"/>
      <c r="N4573" s="13"/>
      <c r="O4573" s="13"/>
      <c r="P4573" s="26"/>
      <c r="Q4573" s="20"/>
      <c r="R4573" s="13"/>
      <c r="S4573" s="25"/>
      <c r="T4573" s="13"/>
      <c r="U4573" s="13"/>
      <c r="V4573" s="13"/>
      <c r="W4573" s="13"/>
      <c r="X4573" s="21"/>
      <c r="Y4573" s="22"/>
      <c r="Z4573" s="23"/>
      <c r="AA4573" s="23"/>
      <c r="AB4573" s="15"/>
      <c r="AC4573" s="14"/>
      <c r="AD4573" s="18"/>
      <c r="AE4573" s="18"/>
    </row>
    <row r="4574" customFormat="false" ht="15" hidden="false" customHeight="true" outlineLevel="0" collapsed="false">
      <c r="A4574" s="12"/>
      <c r="B4574" s="13"/>
      <c r="C4574" s="14"/>
      <c r="D4574" s="13"/>
      <c r="E4574" s="15"/>
      <c r="F4574" s="15"/>
      <c r="G4574" s="15"/>
      <c r="H4574" s="13"/>
      <c r="I4574" s="13"/>
      <c r="J4574" s="16"/>
      <c r="K4574" s="16"/>
      <c r="L4574" s="17" t="str">
        <f aca="false" t="array" ref="L4574:L4574">IFERROR(INDEX(AC4574:AE4574,IF(COUNTA(AC4574:AE4574)=0,"",MAX((AC4574:AE4574&lt;&gt;"")*(COLUMN(AC4574:AE4574)-(COLUMN(AC4574)-2))))-1),"")</f>
        <v/>
      </c>
      <c r="M4574" s="13"/>
      <c r="N4574" s="13"/>
      <c r="O4574" s="13"/>
      <c r="P4574" s="26"/>
      <c r="Q4574" s="20"/>
      <c r="R4574" s="13"/>
      <c r="S4574" s="25"/>
      <c r="T4574" s="13"/>
      <c r="U4574" s="13"/>
      <c r="V4574" s="13"/>
      <c r="W4574" s="13"/>
      <c r="X4574" s="21"/>
      <c r="Y4574" s="22"/>
      <c r="Z4574" s="23"/>
      <c r="AA4574" s="23"/>
      <c r="AB4574" s="15"/>
      <c r="AC4574" s="14"/>
      <c r="AD4574" s="18"/>
      <c r="AE4574" s="18"/>
    </row>
    <row r="4575" customFormat="false" ht="15" hidden="false" customHeight="true" outlineLevel="0" collapsed="false">
      <c r="A4575" s="12"/>
      <c r="B4575" s="13"/>
      <c r="C4575" s="14"/>
      <c r="D4575" s="13"/>
      <c r="E4575" s="15"/>
      <c r="F4575" s="15"/>
      <c r="G4575" s="15"/>
      <c r="H4575" s="13"/>
      <c r="I4575" s="13"/>
      <c r="J4575" s="16"/>
      <c r="K4575" s="16"/>
      <c r="L4575" s="17" t="str">
        <f aca="false" t="array" ref="L4575:L4575">IFERROR(INDEX(AC4575:AE4575,IF(COUNTA(AC4575:AE4575)=0,"",MAX((AC4575:AE4575&lt;&gt;"")*(COLUMN(AC4575:AE4575)-(COLUMN(AC4575)-2))))-1),"")</f>
        <v/>
      </c>
      <c r="M4575" s="13"/>
      <c r="N4575" s="13"/>
      <c r="O4575" s="13"/>
      <c r="P4575" s="26"/>
      <c r="Q4575" s="20"/>
      <c r="R4575" s="13"/>
      <c r="S4575" s="25"/>
      <c r="T4575" s="13"/>
      <c r="U4575" s="13"/>
      <c r="V4575" s="13"/>
      <c r="W4575" s="13"/>
      <c r="X4575" s="21"/>
      <c r="Y4575" s="22"/>
      <c r="Z4575" s="23"/>
      <c r="AA4575" s="23"/>
      <c r="AB4575" s="15"/>
      <c r="AC4575" s="14"/>
      <c r="AD4575" s="18"/>
      <c r="AE4575" s="18"/>
    </row>
    <row r="4576" customFormat="false" ht="15" hidden="false" customHeight="true" outlineLevel="0" collapsed="false">
      <c r="A4576" s="12"/>
      <c r="B4576" s="13"/>
      <c r="C4576" s="14"/>
      <c r="D4576" s="13"/>
      <c r="E4576" s="15"/>
      <c r="F4576" s="15"/>
      <c r="G4576" s="15"/>
      <c r="H4576" s="13"/>
      <c r="I4576" s="13"/>
      <c r="J4576" s="16"/>
      <c r="K4576" s="16"/>
      <c r="L4576" s="17" t="str">
        <f aca="false" t="array" ref="L4576:L4576">IFERROR(INDEX(AC4576:AE4576,IF(COUNTA(AC4576:AE4576)=0,"",MAX((AC4576:AE4576&lt;&gt;"")*(COLUMN(AC4576:AE4576)-(COLUMN(AC4576)-2))))-1),"")</f>
        <v/>
      </c>
      <c r="M4576" s="13"/>
      <c r="N4576" s="13"/>
      <c r="O4576" s="13"/>
      <c r="P4576" s="26"/>
      <c r="Q4576" s="20"/>
      <c r="R4576" s="13"/>
      <c r="S4576" s="25"/>
      <c r="T4576" s="13"/>
      <c r="U4576" s="13"/>
      <c r="V4576" s="13"/>
      <c r="W4576" s="13"/>
      <c r="X4576" s="21"/>
      <c r="Y4576" s="22"/>
      <c r="Z4576" s="23"/>
      <c r="AA4576" s="23"/>
      <c r="AB4576" s="15"/>
      <c r="AC4576" s="14"/>
      <c r="AD4576" s="18"/>
      <c r="AE4576" s="18"/>
    </row>
    <row r="4577" customFormat="false" ht="15" hidden="false" customHeight="true" outlineLevel="0" collapsed="false">
      <c r="A4577" s="12"/>
      <c r="B4577" s="13"/>
      <c r="C4577" s="14"/>
      <c r="D4577" s="13"/>
      <c r="E4577" s="15"/>
      <c r="F4577" s="15"/>
      <c r="G4577" s="15"/>
      <c r="H4577" s="13"/>
      <c r="I4577" s="13"/>
      <c r="J4577" s="16"/>
      <c r="K4577" s="16"/>
      <c r="L4577" s="17" t="str">
        <f aca="false" t="array" ref="L4577:L4577">IFERROR(INDEX(AC4577:AE4577,IF(COUNTA(AC4577:AE4577)=0,"",MAX((AC4577:AE4577&lt;&gt;"")*(COLUMN(AC4577:AE4577)-(COLUMN(AC4577)-2))))-1),"")</f>
        <v/>
      </c>
      <c r="M4577" s="13"/>
      <c r="N4577" s="13"/>
      <c r="O4577" s="13"/>
      <c r="P4577" s="26"/>
      <c r="Q4577" s="20"/>
      <c r="R4577" s="13"/>
      <c r="S4577" s="25"/>
      <c r="T4577" s="13"/>
      <c r="U4577" s="13"/>
      <c r="V4577" s="13"/>
      <c r="W4577" s="13"/>
      <c r="X4577" s="21"/>
      <c r="Y4577" s="22"/>
      <c r="Z4577" s="23"/>
      <c r="AA4577" s="23"/>
      <c r="AB4577" s="15"/>
      <c r="AC4577" s="14"/>
      <c r="AD4577" s="18"/>
      <c r="AE4577" s="18"/>
    </row>
    <row r="4578" customFormat="false" ht="15" hidden="false" customHeight="true" outlineLevel="0" collapsed="false">
      <c r="A4578" s="12"/>
      <c r="B4578" s="13"/>
      <c r="C4578" s="14"/>
      <c r="D4578" s="13"/>
      <c r="E4578" s="15"/>
      <c r="F4578" s="15"/>
      <c r="G4578" s="15"/>
      <c r="H4578" s="13"/>
      <c r="I4578" s="13"/>
      <c r="J4578" s="16"/>
      <c r="K4578" s="16"/>
      <c r="L4578" s="17" t="str">
        <f aca="false" t="array" ref="L4578:L4578">IFERROR(INDEX(AC4578:AE4578,IF(COUNTA(AC4578:AE4578)=0,"",MAX((AC4578:AE4578&lt;&gt;"")*(COLUMN(AC4578:AE4578)-(COLUMN(AC4578)-2))))-1),"")</f>
        <v/>
      </c>
      <c r="M4578" s="13"/>
      <c r="N4578" s="13"/>
      <c r="O4578" s="13"/>
      <c r="P4578" s="26"/>
      <c r="Q4578" s="20"/>
      <c r="R4578" s="13"/>
      <c r="S4578" s="25"/>
      <c r="T4578" s="13"/>
      <c r="U4578" s="13"/>
      <c r="V4578" s="13"/>
      <c r="W4578" s="13"/>
      <c r="X4578" s="21"/>
      <c r="Y4578" s="22"/>
      <c r="Z4578" s="23"/>
      <c r="AA4578" s="23"/>
      <c r="AB4578" s="15"/>
      <c r="AC4578" s="14"/>
      <c r="AD4578" s="18"/>
      <c r="AE4578" s="18"/>
    </row>
    <row r="4579" customFormat="false" ht="15" hidden="false" customHeight="true" outlineLevel="0" collapsed="false">
      <c r="A4579" s="12"/>
      <c r="B4579" s="13"/>
      <c r="C4579" s="14"/>
      <c r="D4579" s="13"/>
      <c r="E4579" s="15"/>
      <c r="F4579" s="15"/>
      <c r="G4579" s="15"/>
      <c r="H4579" s="13"/>
      <c r="I4579" s="13"/>
      <c r="J4579" s="16"/>
      <c r="K4579" s="16"/>
      <c r="L4579" s="17" t="str">
        <f aca="false" t="array" ref="L4579:L4579">IFERROR(INDEX(AC4579:AE4579,IF(COUNTA(AC4579:AE4579)=0,"",MAX((AC4579:AE4579&lt;&gt;"")*(COLUMN(AC4579:AE4579)-(COLUMN(AC4579)-2))))-1),"")</f>
        <v/>
      </c>
      <c r="M4579" s="13"/>
      <c r="N4579" s="13"/>
      <c r="O4579" s="13"/>
      <c r="P4579" s="26"/>
      <c r="Q4579" s="20"/>
      <c r="R4579" s="13"/>
      <c r="S4579" s="25"/>
      <c r="T4579" s="13"/>
      <c r="U4579" s="13"/>
      <c r="V4579" s="13"/>
      <c r="W4579" s="13"/>
      <c r="X4579" s="21"/>
      <c r="Y4579" s="22"/>
      <c r="Z4579" s="23"/>
      <c r="AA4579" s="23"/>
      <c r="AB4579" s="15"/>
      <c r="AC4579" s="14"/>
      <c r="AD4579" s="18"/>
      <c r="AE4579" s="18"/>
    </row>
    <row r="4580" customFormat="false" ht="15" hidden="false" customHeight="true" outlineLevel="0" collapsed="false">
      <c r="A4580" s="12"/>
      <c r="B4580" s="13"/>
      <c r="C4580" s="14"/>
      <c r="D4580" s="13"/>
      <c r="E4580" s="15"/>
      <c r="F4580" s="15"/>
      <c r="G4580" s="15"/>
      <c r="H4580" s="13"/>
      <c r="I4580" s="13"/>
      <c r="J4580" s="16"/>
      <c r="K4580" s="16"/>
      <c r="L4580" s="17" t="str">
        <f aca="false" t="array" ref="L4580:L4580">IFERROR(INDEX(AC4580:AE4580,IF(COUNTA(AC4580:AE4580)=0,"",MAX((AC4580:AE4580&lt;&gt;"")*(COLUMN(AC4580:AE4580)-(COLUMN(AC4580)-2))))-1),"")</f>
        <v/>
      </c>
      <c r="M4580" s="13"/>
      <c r="N4580" s="13"/>
      <c r="O4580" s="13"/>
      <c r="P4580" s="26"/>
      <c r="Q4580" s="20"/>
      <c r="R4580" s="13"/>
      <c r="S4580" s="25"/>
      <c r="T4580" s="13"/>
      <c r="U4580" s="13"/>
      <c r="V4580" s="13"/>
      <c r="W4580" s="13"/>
      <c r="X4580" s="21"/>
      <c r="Y4580" s="22"/>
      <c r="Z4580" s="23"/>
      <c r="AA4580" s="23"/>
      <c r="AB4580" s="15"/>
      <c r="AC4580" s="14"/>
      <c r="AD4580" s="18"/>
      <c r="AE4580" s="18"/>
    </row>
    <row r="4581" customFormat="false" ht="15" hidden="false" customHeight="true" outlineLevel="0" collapsed="false">
      <c r="A4581" s="12"/>
      <c r="B4581" s="13"/>
      <c r="C4581" s="14"/>
      <c r="D4581" s="13"/>
      <c r="E4581" s="15"/>
      <c r="F4581" s="15"/>
      <c r="G4581" s="15"/>
      <c r="H4581" s="13"/>
      <c r="I4581" s="13"/>
      <c r="J4581" s="16"/>
      <c r="K4581" s="16"/>
      <c r="L4581" s="17" t="str">
        <f aca="false" t="array" ref="L4581:L4581">IFERROR(INDEX(AC4581:AE4581,IF(COUNTA(AC4581:AE4581)=0,"",MAX((AC4581:AE4581&lt;&gt;"")*(COLUMN(AC4581:AE4581)-(COLUMN(AC4581)-2))))-1),"")</f>
        <v/>
      </c>
      <c r="M4581" s="13"/>
      <c r="N4581" s="13"/>
      <c r="O4581" s="13"/>
      <c r="P4581" s="26"/>
      <c r="Q4581" s="20"/>
      <c r="R4581" s="13"/>
      <c r="S4581" s="25"/>
      <c r="T4581" s="13"/>
      <c r="U4581" s="13"/>
      <c r="V4581" s="13"/>
      <c r="W4581" s="13"/>
      <c r="X4581" s="21"/>
      <c r="Y4581" s="22"/>
      <c r="Z4581" s="23"/>
      <c r="AA4581" s="23"/>
      <c r="AB4581" s="15"/>
      <c r="AC4581" s="14"/>
      <c r="AD4581" s="18"/>
      <c r="AE4581" s="18"/>
    </row>
    <row r="4582" customFormat="false" ht="15" hidden="false" customHeight="true" outlineLevel="0" collapsed="false">
      <c r="A4582" s="12"/>
      <c r="B4582" s="13"/>
      <c r="C4582" s="14"/>
      <c r="D4582" s="13"/>
      <c r="E4582" s="15"/>
      <c r="F4582" s="15"/>
      <c r="G4582" s="15"/>
      <c r="H4582" s="13"/>
      <c r="I4582" s="13"/>
      <c r="J4582" s="16"/>
      <c r="K4582" s="16"/>
      <c r="L4582" s="17" t="str">
        <f aca="false" t="array" ref="L4582:L4582">IFERROR(INDEX(AC4582:AE4582,IF(COUNTA(AC4582:AE4582)=0,"",MAX((AC4582:AE4582&lt;&gt;"")*(COLUMN(AC4582:AE4582)-(COLUMN(AC4582)-2))))-1),"")</f>
        <v/>
      </c>
      <c r="M4582" s="13"/>
      <c r="N4582" s="13"/>
      <c r="O4582" s="13"/>
      <c r="P4582" s="26"/>
      <c r="Q4582" s="20"/>
      <c r="R4582" s="13"/>
      <c r="S4582" s="25"/>
      <c r="T4582" s="13"/>
      <c r="U4582" s="13"/>
      <c r="V4582" s="13"/>
      <c r="W4582" s="13"/>
      <c r="X4582" s="21"/>
      <c r="Y4582" s="22"/>
      <c r="Z4582" s="23"/>
      <c r="AA4582" s="23"/>
      <c r="AB4582" s="15"/>
      <c r="AC4582" s="14"/>
      <c r="AD4582" s="18"/>
      <c r="AE4582" s="18"/>
    </row>
    <row r="4583" customFormat="false" ht="15" hidden="false" customHeight="true" outlineLevel="0" collapsed="false">
      <c r="A4583" s="12"/>
      <c r="B4583" s="13"/>
      <c r="C4583" s="14"/>
      <c r="D4583" s="13"/>
      <c r="E4583" s="15"/>
      <c r="F4583" s="15"/>
      <c r="G4583" s="15"/>
      <c r="H4583" s="13"/>
      <c r="I4583" s="13"/>
      <c r="J4583" s="16"/>
      <c r="K4583" s="16"/>
      <c r="L4583" s="17" t="str">
        <f aca="false" t="array" ref="L4583:L4583">IFERROR(INDEX(AC4583:AE4583,IF(COUNTA(AC4583:AE4583)=0,"",MAX((AC4583:AE4583&lt;&gt;"")*(COLUMN(AC4583:AE4583)-(COLUMN(AC4583)-2))))-1),"")</f>
        <v/>
      </c>
      <c r="M4583" s="13"/>
      <c r="N4583" s="13"/>
      <c r="O4583" s="13"/>
      <c r="P4583" s="26"/>
      <c r="Q4583" s="20"/>
      <c r="R4583" s="13"/>
      <c r="S4583" s="25"/>
      <c r="T4583" s="13"/>
      <c r="U4583" s="13"/>
      <c r="V4583" s="13"/>
      <c r="W4583" s="13"/>
      <c r="X4583" s="21"/>
      <c r="Y4583" s="22"/>
      <c r="Z4583" s="23"/>
      <c r="AA4583" s="23"/>
      <c r="AB4583" s="15"/>
      <c r="AC4583" s="14"/>
      <c r="AD4583" s="18"/>
      <c r="AE4583" s="18"/>
    </row>
    <row r="4584" customFormat="false" ht="15" hidden="false" customHeight="true" outlineLevel="0" collapsed="false">
      <c r="A4584" s="12"/>
      <c r="B4584" s="13"/>
      <c r="C4584" s="14"/>
      <c r="D4584" s="13"/>
      <c r="E4584" s="15"/>
      <c r="F4584" s="15"/>
      <c r="G4584" s="15"/>
      <c r="H4584" s="13"/>
      <c r="I4584" s="13"/>
      <c r="J4584" s="16"/>
      <c r="K4584" s="16"/>
      <c r="L4584" s="17" t="str">
        <f aca="false" t="array" ref="L4584:L4584">IFERROR(INDEX(AC4584:AE4584,IF(COUNTA(AC4584:AE4584)=0,"",MAX((AC4584:AE4584&lt;&gt;"")*(COLUMN(AC4584:AE4584)-(COLUMN(AC4584)-2))))-1),"")</f>
        <v/>
      </c>
      <c r="M4584" s="13"/>
      <c r="N4584" s="13"/>
      <c r="O4584" s="13"/>
      <c r="P4584" s="26"/>
      <c r="Q4584" s="20"/>
      <c r="R4584" s="13"/>
      <c r="S4584" s="25"/>
      <c r="T4584" s="13"/>
      <c r="U4584" s="13"/>
      <c r="V4584" s="13"/>
      <c r="W4584" s="13"/>
      <c r="X4584" s="21"/>
      <c r="Y4584" s="22"/>
      <c r="Z4584" s="23"/>
      <c r="AA4584" s="23"/>
      <c r="AB4584" s="15"/>
      <c r="AC4584" s="14"/>
      <c r="AD4584" s="18"/>
      <c r="AE4584" s="18"/>
    </row>
    <row r="4585" customFormat="false" ht="15" hidden="false" customHeight="true" outlineLevel="0" collapsed="false">
      <c r="A4585" s="12"/>
      <c r="B4585" s="13"/>
      <c r="C4585" s="14"/>
      <c r="D4585" s="13"/>
      <c r="E4585" s="15"/>
      <c r="F4585" s="15"/>
      <c r="G4585" s="15"/>
      <c r="H4585" s="13"/>
      <c r="I4585" s="13"/>
      <c r="J4585" s="16"/>
      <c r="K4585" s="16"/>
      <c r="L4585" s="17" t="str">
        <f aca="false" t="array" ref="L4585:L4585">IFERROR(INDEX(AC4585:AE4585,IF(COUNTA(AC4585:AE4585)=0,"",MAX((AC4585:AE4585&lt;&gt;"")*(COLUMN(AC4585:AE4585)-(COLUMN(AC4585)-2))))-1),"")</f>
        <v/>
      </c>
      <c r="M4585" s="13"/>
      <c r="N4585" s="13"/>
      <c r="O4585" s="13"/>
      <c r="P4585" s="26"/>
      <c r="Q4585" s="20"/>
      <c r="R4585" s="13"/>
      <c r="S4585" s="25"/>
      <c r="T4585" s="13"/>
      <c r="U4585" s="13"/>
      <c r="V4585" s="13"/>
      <c r="W4585" s="13"/>
      <c r="X4585" s="21"/>
      <c r="Y4585" s="22"/>
      <c r="Z4585" s="23"/>
      <c r="AA4585" s="23"/>
      <c r="AB4585" s="15"/>
      <c r="AC4585" s="14"/>
      <c r="AD4585" s="18"/>
      <c r="AE4585" s="18"/>
    </row>
    <row r="4586" customFormat="false" ht="15" hidden="false" customHeight="true" outlineLevel="0" collapsed="false">
      <c r="A4586" s="12"/>
      <c r="B4586" s="13"/>
      <c r="C4586" s="14"/>
      <c r="D4586" s="13"/>
      <c r="E4586" s="15"/>
      <c r="F4586" s="15"/>
      <c r="G4586" s="15"/>
      <c r="H4586" s="13"/>
      <c r="I4586" s="13"/>
      <c r="J4586" s="16"/>
      <c r="K4586" s="16"/>
      <c r="L4586" s="17" t="str">
        <f aca="false" t="array" ref="L4586:L4586">IFERROR(INDEX(AC4586:AE4586,IF(COUNTA(AC4586:AE4586)=0,"",MAX((AC4586:AE4586&lt;&gt;"")*(COLUMN(AC4586:AE4586)-(COLUMN(AC4586)-2))))-1),"")</f>
        <v/>
      </c>
      <c r="M4586" s="13"/>
      <c r="N4586" s="13"/>
      <c r="O4586" s="13"/>
      <c r="P4586" s="26"/>
      <c r="Q4586" s="20"/>
      <c r="R4586" s="13"/>
      <c r="S4586" s="25"/>
      <c r="T4586" s="13"/>
      <c r="U4586" s="13"/>
      <c r="V4586" s="13"/>
      <c r="W4586" s="13"/>
      <c r="X4586" s="21"/>
      <c r="Y4586" s="22"/>
      <c r="Z4586" s="23"/>
      <c r="AA4586" s="23"/>
      <c r="AB4586" s="15"/>
      <c r="AC4586" s="14"/>
      <c r="AD4586" s="18"/>
      <c r="AE4586" s="18"/>
    </row>
    <row r="4587" customFormat="false" ht="15" hidden="false" customHeight="true" outlineLevel="0" collapsed="false">
      <c r="A4587" s="12"/>
      <c r="B4587" s="13"/>
      <c r="C4587" s="14"/>
      <c r="D4587" s="13"/>
      <c r="E4587" s="15"/>
      <c r="F4587" s="15"/>
      <c r="G4587" s="15"/>
      <c r="H4587" s="13"/>
      <c r="I4587" s="13"/>
      <c r="J4587" s="16"/>
      <c r="K4587" s="16"/>
      <c r="L4587" s="17" t="str">
        <f aca="false" t="array" ref="L4587:L4587">IFERROR(INDEX(AC4587:AE4587,IF(COUNTA(AC4587:AE4587)=0,"",MAX((AC4587:AE4587&lt;&gt;"")*(COLUMN(AC4587:AE4587)-(COLUMN(AC4587)-2))))-1),"")</f>
        <v/>
      </c>
      <c r="M4587" s="13"/>
      <c r="N4587" s="13"/>
      <c r="O4587" s="13"/>
      <c r="P4587" s="26"/>
      <c r="Q4587" s="20"/>
      <c r="R4587" s="13"/>
      <c r="S4587" s="25"/>
      <c r="T4587" s="13"/>
      <c r="U4587" s="13"/>
      <c r="V4587" s="13"/>
      <c r="W4587" s="13"/>
      <c r="X4587" s="21"/>
      <c r="Y4587" s="22"/>
      <c r="Z4587" s="23"/>
      <c r="AA4587" s="23"/>
      <c r="AB4587" s="15"/>
      <c r="AC4587" s="14"/>
      <c r="AD4587" s="18"/>
      <c r="AE4587" s="18"/>
    </row>
    <row r="4588" customFormat="false" ht="15" hidden="false" customHeight="true" outlineLevel="0" collapsed="false">
      <c r="A4588" s="12"/>
      <c r="B4588" s="13"/>
      <c r="C4588" s="14"/>
      <c r="D4588" s="13"/>
      <c r="E4588" s="15"/>
      <c r="F4588" s="15"/>
      <c r="G4588" s="15"/>
      <c r="H4588" s="13"/>
      <c r="I4588" s="13"/>
      <c r="J4588" s="16"/>
      <c r="K4588" s="16"/>
      <c r="L4588" s="17" t="str">
        <f aca="false" t="array" ref="L4588:L4588">IFERROR(INDEX(AC4588:AE4588,IF(COUNTA(AC4588:AE4588)=0,"",MAX((AC4588:AE4588&lt;&gt;"")*(COLUMN(AC4588:AE4588)-(COLUMN(AC4588)-2))))-1),"")</f>
        <v/>
      </c>
      <c r="M4588" s="13"/>
      <c r="N4588" s="13"/>
      <c r="O4588" s="13"/>
      <c r="P4588" s="26"/>
      <c r="Q4588" s="20"/>
      <c r="R4588" s="13"/>
      <c r="S4588" s="25"/>
      <c r="T4588" s="13"/>
      <c r="U4588" s="13"/>
      <c r="V4588" s="13"/>
      <c r="W4588" s="13"/>
      <c r="X4588" s="21"/>
      <c r="Y4588" s="22"/>
      <c r="Z4588" s="23"/>
      <c r="AA4588" s="23"/>
      <c r="AB4588" s="15"/>
      <c r="AC4588" s="14"/>
      <c r="AD4588" s="18"/>
      <c r="AE4588" s="18"/>
    </row>
    <row r="4589" customFormat="false" ht="15" hidden="false" customHeight="true" outlineLevel="0" collapsed="false">
      <c r="A4589" s="12"/>
      <c r="B4589" s="13"/>
      <c r="C4589" s="14"/>
      <c r="D4589" s="13"/>
      <c r="E4589" s="15"/>
      <c r="F4589" s="15"/>
      <c r="G4589" s="15"/>
      <c r="H4589" s="13"/>
      <c r="I4589" s="13"/>
      <c r="J4589" s="16"/>
      <c r="K4589" s="16"/>
      <c r="L4589" s="17" t="str">
        <f aca="false" t="array" ref="L4589:L4589">IFERROR(INDEX(AC4589:AE4589,IF(COUNTA(AC4589:AE4589)=0,"",MAX((AC4589:AE4589&lt;&gt;"")*(COLUMN(AC4589:AE4589)-(COLUMN(AC4589)-2))))-1),"")</f>
        <v/>
      </c>
      <c r="M4589" s="13"/>
      <c r="N4589" s="13"/>
      <c r="O4589" s="13"/>
      <c r="P4589" s="26"/>
      <c r="Q4589" s="20"/>
      <c r="R4589" s="13"/>
      <c r="S4589" s="25"/>
      <c r="T4589" s="13"/>
      <c r="U4589" s="13"/>
      <c r="V4589" s="13"/>
      <c r="W4589" s="13"/>
      <c r="X4589" s="21"/>
      <c r="Y4589" s="22"/>
      <c r="Z4589" s="23"/>
      <c r="AA4589" s="23"/>
      <c r="AB4589" s="15"/>
      <c r="AC4589" s="14"/>
      <c r="AD4589" s="18"/>
      <c r="AE4589" s="18"/>
    </row>
    <row r="4590" customFormat="false" ht="15" hidden="false" customHeight="true" outlineLevel="0" collapsed="false">
      <c r="A4590" s="12"/>
      <c r="B4590" s="13"/>
      <c r="C4590" s="14"/>
      <c r="D4590" s="13"/>
      <c r="E4590" s="15"/>
      <c r="F4590" s="15"/>
      <c r="G4590" s="15"/>
      <c r="H4590" s="13"/>
      <c r="I4590" s="13"/>
      <c r="J4590" s="16"/>
      <c r="K4590" s="16"/>
      <c r="L4590" s="17" t="str">
        <f aca="false" t="array" ref="L4590:L4590">IFERROR(INDEX(AC4590:AE4590,IF(COUNTA(AC4590:AE4590)=0,"",MAX((AC4590:AE4590&lt;&gt;"")*(COLUMN(AC4590:AE4590)-(COLUMN(AC4590)-2))))-1),"")</f>
        <v/>
      </c>
      <c r="M4590" s="13"/>
      <c r="N4590" s="13"/>
      <c r="O4590" s="13"/>
      <c r="P4590" s="26"/>
      <c r="Q4590" s="20"/>
      <c r="R4590" s="13"/>
      <c r="S4590" s="25"/>
      <c r="T4590" s="13"/>
      <c r="U4590" s="13"/>
      <c r="V4590" s="13"/>
      <c r="W4590" s="13"/>
      <c r="X4590" s="21"/>
      <c r="Y4590" s="22"/>
      <c r="Z4590" s="23"/>
      <c r="AA4590" s="23"/>
      <c r="AB4590" s="15"/>
      <c r="AC4590" s="14"/>
      <c r="AD4590" s="18"/>
      <c r="AE4590" s="18"/>
    </row>
    <row r="4591" customFormat="false" ht="15" hidden="false" customHeight="true" outlineLevel="0" collapsed="false">
      <c r="A4591" s="12"/>
      <c r="B4591" s="13"/>
      <c r="C4591" s="14"/>
      <c r="D4591" s="13"/>
      <c r="E4591" s="15"/>
      <c r="F4591" s="15"/>
      <c r="G4591" s="15"/>
      <c r="H4591" s="13"/>
      <c r="I4591" s="13"/>
      <c r="J4591" s="16"/>
      <c r="K4591" s="16"/>
      <c r="L4591" s="17" t="str">
        <f aca="false" t="array" ref="L4591:L4591">IFERROR(INDEX(AC4591:AE4591,IF(COUNTA(AC4591:AE4591)=0,"",MAX((AC4591:AE4591&lt;&gt;"")*(COLUMN(AC4591:AE4591)-(COLUMN(AC4591)-2))))-1),"")</f>
        <v/>
      </c>
      <c r="M4591" s="13"/>
      <c r="N4591" s="13"/>
      <c r="O4591" s="13"/>
      <c r="P4591" s="26"/>
      <c r="Q4591" s="20"/>
      <c r="R4591" s="13"/>
      <c r="S4591" s="25"/>
      <c r="T4591" s="13"/>
      <c r="U4591" s="13"/>
      <c r="V4591" s="13"/>
      <c r="W4591" s="13"/>
      <c r="X4591" s="21"/>
      <c r="Y4591" s="22"/>
      <c r="Z4591" s="23"/>
      <c r="AA4591" s="23"/>
      <c r="AB4591" s="15"/>
      <c r="AC4591" s="14"/>
      <c r="AD4591" s="18"/>
      <c r="AE4591" s="18"/>
    </row>
    <row r="4592" customFormat="false" ht="15" hidden="false" customHeight="true" outlineLevel="0" collapsed="false">
      <c r="A4592" s="12"/>
      <c r="B4592" s="13"/>
      <c r="C4592" s="14"/>
      <c r="D4592" s="13"/>
      <c r="E4592" s="15"/>
      <c r="F4592" s="15"/>
      <c r="G4592" s="15"/>
      <c r="H4592" s="13"/>
      <c r="I4592" s="13"/>
      <c r="J4592" s="16"/>
      <c r="K4592" s="16"/>
      <c r="L4592" s="17" t="str">
        <f aca="false" t="array" ref="L4592:L4592">IFERROR(INDEX(AC4592:AE4592,IF(COUNTA(AC4592:AE4592)=0,"",MAX((AC4592:AE4592&lt;&gt;"")*(COLUMN(AC4592:AE4592)-(COLUMN(AC4592)-2))))-1),"")</f>
        <v/>
      </c>
      <c r="M4592" s="13"/>
      <c r="N4592" s="13"/>
      <c r="O4592" s="13"/>
      <c r="P4592" s="26"/>
      <c r="Q4592" s="20"/>
      <c r="R4592" s="13"/>
      <c r="S4592" s="25"/>
      <c r="T4592" s="13"/>
      <c r="U4592" s="13"/>
      <c r="V4592" s="13"/>
      <c r="W4592" s="13"/>
      <c r="X4592" s="21"/>
      <c r="Y4592" s="22"/>
      <c r="Z4592" s="23"/>
      <c r="AA4592" s="23"/>
      <c r="AB4592" s="15"/>
      <c r="AC4592" s="14"/>
      <c r="AD4592" s="18"/>
      <c r="AE4592" s="18"/>
    </row>
    <row r="4593" customFormat="false" ht="15" hidden="false" customHeight="true" outlineLevel="0" collapsed="false">
      <c r="A4593" s="12"/>
      <c r="B4593" s="13"/>
      <c r="C4593" s="14"/>
      <c r="D4593" s="13"/>
      <c r="E4593" s="15"/>
      <c r="F4593" s="15"/>
      <c r="G4593" s="15"/>
      <c r="H4593" s="13"/>
      <c r="I4593" s="13"/>
      <c r="J4593" s="16"/>
      <c r="K4593" s="16"/>
      <c r="L4593" s="17" t="str">
        <f aca="false" t="array" ref="L4593:L4593">IFERROR(INDEX(AC4593:AE4593,IF(COUNTA(AC4593:AE4593)=0,"",MAX((AC4593:AE4593&lt;&gt;"")*(COLUMN(AC4593:AE4593)-(COLUMN(AC4593)-2))))-1),"")</f>
        <v/>
      </c>
      <c r="M4593" s="13"/>
      <c r="N4593" s="13"/>
      <c r="O4593" s="13"/>
      <c r="P4593" s="26"/>
      <c r="Q4593" s="20"/>
      <c r="R4593" s="13"/>
      <c r="S4593" s="25"/>
      <c r="T4593" s="13"/>
      <c r="U4593" s="13"/>
      <c r="V4593" s="13"/>
      <c r="W4593" s="13"/>
      <c r="X4593" s="21"/>
      <c r="Y4593" s="22"/>
      <c r="Z4593" s="23"/>
      <c r="AA4593" s="23"/>
      <c r="AB4593" s="15"/>
      <c r="AC4593" s="14"/>
      <c r="AD4593" s="18"/>
      <c r="AE4593" s="18"/>
    </row>
    <row r="4594" customFormat="false" ht="15" hidden="false" customHeight="true" outlineLevel="0" collapsed="false">
      <c r="A4594" s="12"/>
      <c r="B4594" s="13"/>
      <c r="C4594" s="14"/>
      <c r="D4594" s="13"/>
      <c r="E4594" s="15"/>
      <c r="F4594" s="15"/>
      <c r="G4594" s="15"/>
      <c r="H4594" s="13"/>
      <c r="I4594" s="13"/>
      <c r="J4594" s="16"/>
      <c r="K4594" s="16"/>
      <c r="L4594" s="17" t="str">
        <f aca="false" t="array" ref="L4594:L4594">IFERROR(INDEX(AC4594:AE4594,IF(COUNTA(AC4594:AE4594)=0,"",MAX((AC4594:AE4594&lt;&gt;"")*(COLUMN(AC4594:AE4594)-(COLUMN(AC4594)-2))))-1),"")</f>
        <v/>
      </c>
      <c r="M4594" s="13"/>
      <c r="N4594" s="13"/>
      <c r="O4594" s="13"/>
      <c r="P4594" s="26"/>
      <c r="Q4594" s="20"/>
      <c r="R4594" s="13"/>
      <c r="S4594" s="25"/>
      <c r="T4594" s="13"/>
      <c r="U4594" s="13"/>
      <c r="V4594" s="13"/>
      <c r="W4594" s="13"/>
      <c r="X4594" s="21"/>
      <c r="Y4594" s="22"/>
      <c r="Z4594" s="23"/>
      <c r="AA4594" s="23"/>
      <c r="AB4594" s="15"/>
      <c r="AC4594" s="14"/>
      <c r="AD4594" s="18"/>
      <c r="AE4594" s="18"/>
    </row>
    <row r="4595" customFormat="false" ht="15" hidden="false" customHeight="true" outlineLevel="0" collapsed="false">
      <c r="A4595" s="12"/>
      <c r="B4595" s="13"/>
      <c r="C4595" s="14"/>
      <c r="D4595" s="13"/>
      <c r="E4595" s="15"/>
      <c r="F4595" s="15"/>
      <c r="G4595" s="15"/>
      <c r="H4595" s="13"/>
      <c r="I4595" s="13"/>
      <c r="J4595" s="16"/>
      <c r="K4595" s="16"/>
      <c r="L4595" s="17" t="str">
        <f aca="false" t="array" ref="L4595:L4595">IFERROR(INDEX(AC4595:AE4595,IF(COUNTA(AC4595:AE4595)=0,"",MAX((AC4595:AE4595&lt;&gt;"")*(COLUMN(AC4595:AE4595)-(COLUMN(AC4595)-2))))-1),"")</f>
        <v/>
      </c>
      <c r="M4595" s="13"/>
      <c r="N4595" s="13"/>
      <c r="O4595" s="13"/>
      <c r="P4595" s="26"/>
      <c r="Q4595" s="20"/>
      <c r="R4595" s="13"/>
      <c r="S4595" s="25"/>
      <c r="T4595" s="13"/>
      <c r="U4595" s="13"/>
      <c r="V4595" s="13"/>
      <c r="W4595" s="13"/>
      <c r="X4595" s="21"/>
      <c r="Y4595" s="22"/>
      <c r="Z4595" s="23"/>
      <c r="AA4595" s="23"/>
      <c r="AB4595" s="15"/>
      <c r="AC4595" s="14"/>
      <c r="AD4595" s="18"/>
      <c r="AE4595" s="18"/>
    </row>
    <row r="4596" customFormat="false" ht="15" hidden="false" customHeight="true" outlineLevel="0" collapsed="false">
      <c r="A4596" s="12"/>
      <c r="B4596" s="13"/>
      <c r="C4596" s="14"/>
      <c r="D4596" s="13"/>
      <c r="E4596" s="15"/>
      <c r="F4596" s="15"/>
      <c r="G4596" s="15"/>
      <c r="H4596" s="13"/>
      <c r="I4596" s="13"/>
      <c r="J4596" s="16"/>
      <c r="K4596" s="16"/>
      <c r="L4596" s="17" t="str">
        <f aca="false" t="array" ref="L4596:L4596">IFERROR(INDEX(AC4596:AE4596,IF(COUNTA(AC4596:AE4596)=0,"",MAX((AC4596:AE4596&lt;&gt;"")*(COLUMN(AC4596:AE4596)-(COLUMN(AC4596)-2))))-1),"")</f>
        <v/>
      </c>
      <c r="M4596" s="13"/>
      <c r="N4596" s="13"/>
      <c r="O4596" s="13"/>
      <c r="P4596" s="26"/>
      <c r="Q4596" s="20"/>
      <c r="R4596" s="13"/>
      <c r="S4596" s="25"/>
      <c r="T4596" s="13"/>
      <c r="U4596" s="13"/>
      <c r="V4596" s="13"/>
      <c r="W4596" s="13"/>
      <c r="X4596" s="21"/>
      <c r="Y4596" s="22"/>
      <c r="Z4596" s="23"/>
      <c r="AA4596" s="23"/>
      <c r="AB4596" s="15"/>
      <c r="AC4596" s="14"/>
      <c r="AD4596" s="18"/>
      <c r="AE4596" s="18"/>
    </row>
    <row r="4597" customFormat="false" ht="15" hidden="false" customHeight="true" outlineLevel="0" collapsed="false">
      <c r="A4597" s="12"/>
      <c r="B4597" s="13"/>
      <c r="C4597" s="14"/>
      <c r="D4597" s="13"/>
      <c r="E4597" s="15"/>
      <c r="F4597" s="15"/>
      <c r="G4597" s="15"/>
      <c r="H4597" s="13"/>
      <c r="I4597" s="13"/>
      <c r="J4597" s="16"/>
      <c r="K4597" s="16"/>
      <c r="L4597" s="17" t="str">
        <f aca="false" t="array" ref="L4597:L4597">IFERROR(INDEX(AC4597:AE4597,IF(COUNTA(AC4597:AE4597)=0,"",MAX((AC4597:AE4597&lt;&gt;"")*(COLUMN(AC4597:AE4597)-(COLUMN(AC4597)-2))))-1),"")</f>
        <v/>
      </c>
      <c r="M4597" s="13"/>
      <c r="N4597" s="13"/>
      <c r="O4597" s="13"/>
      <c r="P4597" s="26"/>
      <c r="Q4597" s="20"/>
      <c r="R4597" s="13"/>
      <c r="S4597" s="25"/>
      <c r="T4597" s="13"/>
      <c r="U4597" s="13"/>
      <c r="V4597" s="13"/>
      <c r="W4597" s="13"/>
      <c r="X4597" s="21"/>
      <c r="Y4597" s="22"/>
      <c r="Z4597" s="23"/>
      <c r="AA4597" s="23"/>
      <c r="AB4597" s="15"/>
      <c r="AC4597" s="14"/>
      <c r="AD4597" s="18"/>
      <c r="AE4597" s="18"/>
    </row>
    <row r="4598" customFormat="false" ht="15" hidden="false" customHeight="true" outlineLevel="0" collapsed="false">
      <c r="A4598" s="12"/>
      <c r="B4598" s="13"/>
      <c r="C4598" s="14"/>
      <c r="D4598" s="13"/>
      <c r="E4598" s="15"/>
      <c r="F4598" s="15"/>
      <c r="G4598" s="15"/>
      <c r="H4598" s="13"/>
      <c r="I4598" s="13"/>
      <c r="J4598" s="16"/>
      <c r="K4598" s="16"/>
      <c r="L4598" s="17" t="str">
        <f aca="false" t="array" ref="L4598:L4598">IFERROR(INDEX(AC4598:AE4598,IF(COUNTA(AC4598:AE4598)=0,"",MAX((AC4598:AE4598&lt;&gt;"")*(COLUMN(AC4598:AE4598)-(COLUMN(AC4598)-2))))-1),"")</f>
        <v/>
      </c>
      <c r="M4598" s="13"/>
      <c r="N4598" s="13"/>
      <c r="O4598" s="13"/>
      <c r="P4598" s="26"/>
      <c r="Q4598" s="20"/>
      <c r="R4598" s="13"/>
      <c r="S4598" s="25"/>
      <c r="T4598" s="13"/>
      <c r="U4598" s="13"/>
      <c r="V4598" s="13"/>
      <c r="W4598" s="13"/>
      <c r="X4598" s="21"/>
      <c r="Y4598" s="22"/>
      <c r="Z4598" s="23"/>
      <c r="AA4598" s="23"/>
      <c r="AB4598" s="15"/>
      <c r="AC4598" s="14"/>
      <c r="AD4598" s="18"/>
      <c r="AE4598" s="18"/>
    </row>
    <row r="4599" customFormat="false" ht="15" hidden="false" customHeight="true" outlineLevel="0" collapsed="false">
      <c r="A4599" s="12"/>
      <c r="B4599" s="13"/>
      <c r="C4599" s="14"/>
      <c r="D4599" s="13"/>
      <c r="E4599" s="15"/>
      <c r="F4599" s="15"/>
      <c r="G4599" s="15"/>
      <c r="H4599" s="13"/>
      <c r="I4599" s="13"/>
      <c r="J4599" s="16"/>
      <c r="K4599" s="16"/>
      <c r="L4599" s="17" t="str">
        <f aca="false" t="array" ref="L4599:L4599">IFERROR(INDEX(AC4599:AE4599,IF(COUNTA(AC4599:AE4599)=0,"",MAX((AC4599:AE4599&lt;&gt;"")*(COLUMN(AC4599:AE4599)-(COLUMN(AC4599)-2))))-1),"")</f>
        <v/>
      </c>
      <c r="M4599" s="13"/>
      <c r="N4599" s="13"/>
      <c r="O4599" s="13"/>
      <c r="P4599" s="26"/>
      <c r="Q4599" s="20"/>
      <c r="R4599" s="13"/>
      <c r="S4599" s="25"/>
      <c r="T4599" s="13"/>
      <c r="U4599" s="13"/>
      <c r="V4599" s="13"/>
      <c r="W4599" s="13"/>
      <c r="X4599" s="21"/>
      <c r="Y4599" s="22"/>
      <c r="Z4599" s="23"/>
      <c r="AA4599" s="23"/>
      <c r="AB4599" s="15"/>
      <c r="AC4599" s="14"/>
      <c r="AD4599" s="18"/>
      <c r="AE4599" s="18"/>
    </row>
    <row r="4600" customFormat="false" ht="15" hidden="false" customHeight="true" outlineLevel="0" collapsed="false">
      <c r="A4600" s="12"/>
      <c r="B4600" s="13"/>
      <c r="C4600" s="14"/>
      <c r="D4600" s="13"/>
      <c r="E4600" s="15"/>
      <c r="F4600" s="15"/>
      <c r="G4600" s="15"/>
      <c r="H4600" s="13"/>
      <c r="I4600" s="13"/>
      <c r="J4600" s="16"/>
      <c r="K4600" s="16"/>
      <c r="L4600" s="17" t="str">
        <f aca="false" t="array" ref="L4600:L4600">IFERROR(INDEX(AC4600:AE4600,IF(COUNTA(AC4600:AE4600)=0,"",MAX((AC4600:AE4600&lt;&gt;"")*(COLUMN(AC4600:AE4600)-(COLUMN(AC4600)-2))))-1),"")</f>
        <v/>
      </c>
      <c r="M4600" s="13"/>
      <c r="N4600" s="13"/>
      <c r="O4600" s="13"/>
      <c r="P4600" s="26"/>
      <c r="Q4600" s="20"/>
      <c r="R4600" s="13"/>
      <c r="S4600" s="25"/>
      <c r="T4600" s="13"/>
      <c r="U4600" s="13"/>
      <c r="V4600" s="13"/>
      <c r="W4600" s="13"/>
      <c r="X4600" s="21"/>
      <c r="Y4600" s="22"/>
      <c r="Z4600" s="23"/>
      <c r="AA4600" s="23"/>
      <c r="AB4600" s="15"/>
      <c r="AC4600" s="14"/>
      <c r="AD4600" s="18"/>
      <c r="AE4600" s="18"/>
    </row>
    <row r="4601" customFormat="false" ht="15" hidden="false" customHeight="true" outlineLevel="0" collapsed="false">
      <c r="A4601" s="12"/>
      <c r="B4601" s="13"/>
      <c r="C4601" s="14"/>
      <c r="D4601" s="13"/>
      <c r="E4601" s="15"/>
      <c r="F4601" s="15"/>
      <c r="G4601" s="15"/>
      <c r="H4601" s="13"/>
      <c r="I4601" s="13"/>
      <c r="J4601" s="16"/>
      <c r="K4601" s="16"/>
      <c r="L4601" s="17" t="str">
        <f aca="false" t="array" ref="L4601:L4601">IFERROR(INDEX(AC4601:AE4601,IF(COUNTA(AC4601:AE4601)=0,"",MAX((AC4601:AE4601&lt;&gt;"")*(COLUMN(AC4601:AE4601)-(COLUMN(AC4601)-2))))-1),"")</f>
        <v/>
      </c>
      <c r="M4601" s="13"/>
      <c r="N4601" s="13"/>
      <c r="O4601" s="13"/>
      <c r="P4601" s="26"/>
      <c r="Q4601" s="20"/>
      <c r="R4601" s="13"/>
      <c r="S4601" s="25"/>
      <c r="T4601" s="13"/>
      <c r="U4601" s="13"/>
      <c r="V4601" s="13"/>
      <c r="W4601" s="13"/>
      <c r="X4601" s="21"/>
      <c r="Y4601" s="22"/>
      <c r="Z4601" s="23"/>
      <c r="AA4601" s="23"/>
      <c r="AB4601" s="15"/>
      <c r="AC4601" s="14"/>
      <c r="AD4601" s="18"/>
      <c r="AE4601" s="18"/>
    </row>
    <row r="4602" customFormat="false" ht="15" hidden="false" customHeight="true" outlineLevel="0" collapsed="false">
      <c r="A4602" s="12"/>
      <c r="B4602" s="13"/>
      <c r="C4602" s="14"/>
      <c r="D4602" s="13"/>
      <c r="E4602" s="15"/>
      <c r="F4602" s="15"/>
      <c r="G4602" s="15"/>
      <c r="H4602" s="13"/>
      <c r="I4602" s="13"/>
      <c r="J4602" s="16"/>
      <c r="K4602" s="16"/>
      <c r="L4602" s="17" t="str">
        <f aca="false" t="array" ref="L4602:L4602">IFERROR(INDEX(AC4602:AE4602,IF(COUNTA(AC4602:AE4602)=0,"",MAX((AC4602:AE4602&lt;&gt;"")*(COLUMN(AC4602:AE4602)-(COLUMN(AC4602)-2))))-1),"")</f>
        <v/>
      </c>
      <c r="M4602" s="13"/>
      <c r="N4602" s="13"/>
      <c r="O4602" s="13"/>
      <c r="P4602" s="26"/>
      <c r="Q4602" s="20"/>
      <c r="R4602" s="13"/>
      <c r="S4602" s="25"/>
      <c r="T4602" s="13"/>
      <c r="U4602" s="13"/>
      <c r="V4602" s="13"/>
      <c r="W4602" s="13"/>
      <c r="X4602" s="21"/>
      <c r="Y4602" s="22"/>
      <c r="Z4602" s="23"/>
      <c r="AA4602" s="23"/>
      <c r="AB4602" s="15"/>
      <c r="AC4602" s="14"/>
      <c r="AD4602" s="18"/>
      <c r="AE4602" s="18"/>
    </row>
    <row r="4603" customFormat="false" ht="15" hidden="false" customHeight="true" outlineLevel="0" collapsed="false">
      <c r="A4603" s="12"/>
      <c r="B4603" s="13"/>
      <c r="C4603" s="14"/>
      <c r="D4603" s="13"/>
      <c r="E4603" s="15"/>
      <c r="F4603" s="15"/>
      <c r="G4603" s="15"/>
      <c r="H4603" s="13"/>
      <c r="I4603" s="13"/>
      <c r="J4603" s="16"/>
      <c r="K4603" s="16"/>
      <c r="L4603" s="17" t="str">
        <f aca="false" t="array" ref="L4603:L4603">IFERROR(INDEX(AC4603:AE4603,IF(COUNTA(AC4603:AE4603)=0,"",MAX((AC4603:AE4603&lt;&gt;"")*(COLUMN(AC4603:AE4603)-(COLUMN(AC4603)-2))))-1),"")</f>
        <v/>
      </c>
      <c r="M4603" s="13"/>
      <c r="N4603" s="13"/>
      <c r="O4603" s="13"/>
      <c r="P4603" s="26"/>
      <c r="Q4603" s="20"/>
      <c r="R4603" s="13"/>
      <c r="S4603" s="25"/>
      <c r="T4603" s="13"/>
      <c r="U4603" s="13"/>
      <c r="V4603" s="13"/>
      <c r="W4603" s="13"/>
      <c r="X4603" s="21"/>
      <c r="Y4603" s="22"/>
      <c r="Z4603" s="23"/>
      <c r="AA4603" s="23"/>
      <c r="AB4603" s="15"/>
      <c r="AC4603" s="14"/>
      <c r="AD4603" s="18"/>
      <c r="AE4603" s="18"/>
    </row>
    <row r="4604" customFormat="false" ht="15" hidden="false" customHeight="true" outlineLevel="0" collapsed="false">
      <c r="A4604" s="12"/>
      <c r="B4604" s="13"/>
      <c r="C4604" s="14"/>
      <c r="D4604" s="13"/>
      <c r="E4604" s="15"/>
      <c r="F4604" s="15"/>
      <c r="G4604" s="15"/>
      <c r="H4604" s="13"/>
      <c r="I4604" s="13"/>
      <c r="J4604" s="16"/>
      <c r="K4604" s="16"/>
      <c r="L4604" s="17" t="str">
        <f aca="false" t="array" ref="L4604:L4604">IFERROR(INDEX(AC4604:AE4604,IF(COUNTA(AC4604:AE4604)=0,"",MAX((AC4604:AE4604&lt;&gt;"")*(COLUMN(AC4604:AE4604)-(COLUMN(AC4604)-2))))-1),"")</f>
        <v/>
      </c>
      <c r="M4604" s="13"/>
      <c r="N4604" s="13"/>
      <c r="O4604" s="13"/>
      <c r="P4604" s="26"/>
      <c r="Q4604" s="20"/>
      <c r="R4604" s="13"/>
      <c r="S4604" s="25"/>
      <c r="T4604" s="13"/>
      <c r="U4604" s="13"/>
      <c r="V4604" s="13"/>
      <c r="W4604" s="13"/>
      <c r="X4604" s="21"/>
      <c r="Y4604" s="22"/>
      <c r="Z4604" s="23"/>
      <c r="AA4604" s="23"/>
      <c r="AB4604" s="15"/>
      <c r="AC4604" s="14"/>
      <c r="AD4604" s="18"/>
      <c r="AE4604" s="18"/>
    </row>
    <row r="4605" customFormat="false" ht="15" hidden="false" customHeight="true" outlineLevel="0" collapsed="false">
      <c r="A4605" s="12"/>
      <c r="B4605" s="13"/>
      <c r="C4605" s="14"/>
      <c r="D4605" s="13"/>
      <c r="E4605" s="15"/>
      <c r="F4605" s="15"/>
      <c r="G4605" s="15"/>
      <c r="H4605" s="13"/>
      <c r="I4605" s="13"/>
      <c r="J4605" s="16"/>
      <c r="K4605" s="16"/>
      <c r="L4605" s="17" t="str">
        <f aca="false" t="array" ref="L4605:L4605">IFERROR(INDEX(AC4605:AE4605,IF(COUNTA(AC4605:AE4605)=0,"",MAX((AC4605:AE4605&lt;&gt;"")*(COLUMN(AC4605:AE4605)-(COLUMN(AC4605)-2))))-1),"")</f>
        <v/>
      </c>
      <c r="M4605" s="13"/>
      <c r="N4605" s="13"/>
      <c r="O4605" s="13"/>
      <c r="P4605" s="26"/>
      <c r="Q4605" s="20"/>
      <c r="R4605" s="13"/>
      <c r="S4605" s="25"/>
      <c r="T4605" s="13"/>
      <c r="U4605" s="13"/>
      <c r="V4605" s="13"/>
      <c r="W4605" s="13"/>
      <c r="X4605" s="21"/>
      <c r="Y4605" s="22"/>
      <c r="Z4605" s="23"/>
      <c r="AA4605" s="23"/>
      <c r="AB4605" s="15"/>
      <c r="AC4605" s="14"/>
      <c r="AD4605" s="18"/>
      <c r="AE4605" s="18"/>
    </row>
    <row r="4606" customFormat="false" ht="15" hidden="false" customHeight="true" outlineLevel="0" collapsed="false">
      <c r="A4606" s="12"/>
      <c r="B4606" s="13"/>
      <c r="C4606" s="14"/>
      <c r="D4606" s="13"/>
      <c r="E4606" s="15"/>
      <c r="F4606" s="15"/>
      <c r="G4606" s="15"/>
      <c r="H4606" s="13"/>
      <c r="I4606" s="13"/>
      <c r="J4606" s="16"/>
      <c r="K4606" s="16"/>
      <c r="L4606" s="17" t="str">
        <f aca="false" t="array" ref="L4606:L4606">IFERROR(INDEX(AC4606:AE4606,IF(COUNTA(AC4606:AE4606)=0,"",MAX((AC4606:AE4606&lt;&gt;"")*(COLUMN(AC4606:AE4606)-(COLUMN(AC4606)-2))))-1),"")</f>
        <v/>
      </c>
      <c r="M4606" s="13"/>
      <c r="N4606" s="13"/>
      <c r="O4606" s="13"/>
      <c r="P4606" s="26"/>
      <c r="Q4606" s="20"/>
      <c r="R4606" s="13"/>
      <c r="S4606" s="25"/>
      <c r="T4606" s="13"/>
      <c r="U4606" s="13"/>
      <c r="V4606" s="13"/>
      <c r="W4606" s="13"/>
      <c r="X4606" s="21"/>
      <c r="Y4606" s="22"/>
      <c r="Z4606" s="23"/>
      <c r="AA4606" s="23"/>
      <c r="AB4606" s="15"/>
      <c r="AC4606" s="14"/>
      <c r="AD4606" s="18"/>
      <c r="AE4606" s="18"/>
    </row>
    <row r="4607" customFormat="false" ht="15" hidden="false" customHeight="true" outlineLevel="0" collapsed="false">
      <c r="A4607" s="12"/>
      <c r="B4607" s="13"/>
      <c r="C4607" s="14"/>
      <c r="D4607" s="13"/>
      <c r="E4607" s="15"/>
      <c r="F4607" s="15"/>
      <c r="G4607" s="15"/>
      <c r="H4607" s="13"/>
      <c r="I4607" s="13"/>
      <c r="J4607" s="16"/>
      <c r="K4607" s="16"/>
      <c r="L4607" s="17" t="str">
        <f aca="false" t="array" ref="L4607:L4607">IFERROR(INDEX(AC4607:AE4607,IF(COUNTA(AC4607:AE4607)=0,"",MAX((AC4607:AE4607&lt;&gt;"")*(COLUMN(AC4607:AE4607)-(COLUMN(AC4607)-2))))-1),"")</f>
        <v/>
      </c>
      <c r="M4607" s="13"/>
      <c r="N4607" s="13"/>
      <c r="O4607" s="13"/>
      <c r="P4607" s="26"/>
      <c r="Q4607" s="20"/>
      <c r="R4607" s="13"/>
      <c r="S4607" s="25"/>
      <c r="T4607" s="13"/>
      <c r="U4607" s="13"/>
      <c r="V4607" s="13"/>
      <c r="W4607" s="13"/>
      <c r="X4607" s="21"/>
      <c r="Y4607" s="22"/>
      <c r="Z4607" s="23"/>
      <c r="AA4607" s="23"/>
      <c r="AB4607" s="15"/>
      <c r="AC4607" s="14"/>
      <c r="AD4607" s="18"/>
      <c r="AE4607" s="18"/>
    </row>
    <row r="4608" customFormat="false" ht="15" hidden="false" customHeight="true" outlineLevel="0" collapsed="false">
      <c r="A4608" s="12"/>
      <c r="B4608" s="13"/>
      <c r="C4608" s="14"/>
      <c r="D4608" s="13"/>
      <c r="E4608" s="15"/>
      <c r="F4608" s="15"/>
      <c r="G4608" s="15"/>
      <c r="H4608" s="13"/>
      <c r="I4608" s="13"/>
      <c r="J4608" s="16"/>
      <c r="K4608" s="16"/>
      <c r="L4608" s="17" t="str">
        <f aca="false" t="array" ref="L4608:L4608">IFERROR(INDEX(AC4608:AE4608,IF(COUNTA(AC4608:AE4608)=0,"",MAX((AC4608:AE4608&lt;&gt;"")*(COLUMN(AC4608:AE4608)-(COLUMN(AC4608)-2))))-1),"")</f>
        <v/>
      </c>
      <c r="M4608" s="13"/>
      <c r="N4608" s="13"/>
      <c r="O4608" s="13"/>
      <c r="P4608" s="26"/>
      <c r="Q4608" s="20"/>
      <c r="R4608" s="13"/>
      <c r="S4608" s="25"/>
      <c r="T4608" s="13"/>
      <c r="U4608" s="13"/>
      <c r="V4608" s="13"/>
      <c r="W4608" s="13"/>
      <c r="X4608" s="21"/>
      <c r="Y4608" s="22"/>
      <c r="Z4608" s="23"/>
      <c r="AA4608" s="23"/>
      <c r="AB4608" s="15"/>
      <c r="AC4608" s="14"/>
      <c r="AD4608" s="18"/>
      <c r="AE4608" s="18"/>
    </row>
    <row r="4609" customFormat="false" ht="15" hidden="false" customHeight="true" outlineLevel="0" collapsed="false">
      <c r="A4609" s="12"/>
      <c r="B4609" s="13"/>
      <c r="C4609" s="14"/>
      <c r="D4609" s="13"/>
      <c r="E4609" s="15"/>
      <c r="F4609" s="15"/>
      <c r="G4609" s="15"/>
      <c r="H4609" s="13"/>
      <c r="I4609" s="13"/>
      <c r="J4609" s="16"/>
      <c r="K4609" s="16"/>
      <c r="L4609" s="17" t="str">
        <f aca="false" t="array" ref="L4609:L4609">IFERROR(INDEX(AC4609:AE4609,IF(COUNTA(AC4609:AE4609)=0,"",MAX((AC4609:AE4609&lt;&gt;"")*(COLUMN(AC4609:AE4609)-(COLUMN(AC4609)-2))))-1),"")</f>
        <v/>
      </c>
      <c r="M4609" s="13"/>
      <c r="N4609" s="13"/>
      <c r="O4609" s="13"/>
      <c r="P4609" s="26"/>
      <c r="Q4609" s="20"/>
      <c r="R4609" s="13"/>
      <c r="S4609" s="25"/>
      <c r="T4609" s="13"/>
      <c r="U4609" s="13"/>
      <c r="V4609" s="13"/>
      <c r="W4609" s="13"/>
      <c r="X4609" s="21"/>
      <c r="Y4609" s="22"/>
      <c r="Z4609" s="23"/>
      <c r="AA4609" s="23"/>
      <c r="AB4609" s="15"/>
      <c r="AC4609" s="14"/>
      <c r="AD4609" s="18"/>
      <c r="AE4609" s="18"/>
    </row>
    <row r="4610" customFormat="false" ht="15" hidden="false" customHeight="true" outlineLevel="0" collapsed="false">
      <c r="A4610" s="12"/>
      <c r="B4610" s="13"/>
      <c r="C4610" s="14"/>
      <c r="D4610" s="13"/>
      <c r="E4610" s="15"/>
      <c r="F4610" s="15"/>
      <c r="G4610" s="15"/>
      <c r="H4610" s="13"/>
      <c r="I4610" s="13"/>
      <c r="J4610" s="16"/>
      <c r="K4610" s="16"/>
      <c r="L4610" s="17" t="str">
        <f aca="false" t="array" ref="L4610:L4610">IFERROR(INDEX(AC4610:AE4610,IF(COUNTA(AC4610:AE4610)=0,"",MAX((AC4610:AE4610&lt;&gt;"")*(COLUMN(AC4610:AE4610)-(COLUMN(AC4610)-2))))-1),"")</f>
        <v/>
      </c>
      <c r="M4610" s="13"/>
      <c r="N4610" s="13"/>
      <c r="O4610" s="13"/>
      <c r="P4610" s="26"/>
      <c r="Q4610" s="20"/>
      <c r="R4610" s="13"/>
      <c r="S4610" s="25"/>
      <c r="T4610" s="13"/>
      <c r="U4610" s="13"/>
      <c r="V4610" s="13"/>
      <c r="W4610" s="13"/>
      <c r="X4610" s="21"/>
      <c r="Y4610" s="22"/>
      <c r="Z4610" s="23"/>
      <c r="AA4610" s="23"/>
      <c r="AB4610" s="15"/>
      <c r="AC4610" s="14"/>
      <c r="AD4610" s="18"/>
      <c r="AE4610" s="18"/>
    </row>
    <row r="4611" customFormat="false" ht="15" hidden="false" customHeight="true" outlineLevel="0" collapsed="false">
      <c r="A4611" s="12"/>
      <c r="B4611" s="13"/>
      <c r="C4611" s="14"/>
      <c r="D4611" s="13"/>
      <c r="E4611" s="15"/>
      <c r="F4611" s="15"/>
      <c r="G4611" s="15"/>
      <c r="H4611" s="13"/>
      <c r="I4611" s="13"/>
      <c r="J4611" s="16"/>
      <c r="K4611" s="16"/>
      <c r="L4611" s="17" t="str">
        <f aca="false" t="array" ref="L4611:L4611">IFERROR(INDEX(AC4611:AE4611,IF(COUNTA(AC4611:AE4611)=0,"",MAX((AC4611:AE4611&lt;&gt;"")*(COLUMN(AC4611:AE4611)-(COLUMN(AC4611)-2))))-1),"")</f>
        <v/>
      </c>
      <c r="M4611" s="13"/>
      <c r="N4611" s="13"/>
      <c r="O4611" s="13"/>
      <c r="P4611" s="26"/>
      <c r="Q4611" s="20"/>
      <c r="R4611" s="13"/>
      <c r="S4611" s="25"/>
      <c r="T4611" s="13"/>
      <c r="U4611" s="13"/>
      <c r="V4611" s="13"/>
      <c r="W4611" s="13"/>
      <c r="X4611" s="21"/>
      <c r="Y4611" s="22"/>
      <c r="Z4611" s="23"/>
      <c r="AA4611" s="23"/>
      <c r="AB4611" s="15"/>
      <c r="AC4611" s="14"/>
      <c r="AD4611" s="18"/>
      <c r="AE4611" s="18"/>
    </row>
    <row r="4612" customFormat="false" ht="15" hidden="false" customHeight="true" outlineLevel="0" collapsed="false">
      <c r="A4612" s="12"/>
      <c r="B4612" s="13"/>
      <c r="C4612" s="14"/>
      <c r="D4612" s="13"/>
      <c r="E4612" s="15"/>
      <c r="F4612" s="15"/>
      <c r="G4612" s="15"/>
      <c r="H4612" s="13"/>
      <c r="I4612" s="13"/>
      <c r="J4612" s="16"/>
      <c r="K4612" s="16"/>
      <c r="L4612" s="17" t="str">
        <f aca="false" t="array" ref="L4612:L4612">IFERROR(INDEX(AC4612:AE4612,IF(COUNTA(AC4612:AE4612)=0,"",MAX((AC4612:AE4612&lt;&gt;"")*(COLUMN(AC4612:AE4612)-(COLUMN(AC4612)-2))))-1),"")</f>
        <v/>
      </c>
      <c r="M4612" s="13"/>
      <c r="N4612" s="13"/>
      <c r="O4612" s="13"/>
      <c r="P4612" s="26"/>
      <c r="Q4612" s="20"/>
      <c r="R4612" s="13"/>
      <c r="S4612" s="25"/>
      <c r="T4612" s="13"/>
      <c r="U4612" s="13"/>
      <c r="V4612" s="13"/>
      <c r="W4612" s="13"/>
      <c r="X4612" s="21"/>
      <c r="Y4612" s="22"/>
      <c r="Z4612" s="23"/>
      <c r="AA4612" s="23"/>
      <c r="AB4612" s="15"/>
      <c r="AC4612" s="14"/>
      <c r="AD4612" s="18"/>
      <c r="AE4612" s="18"/>
    </row>
    <row r="4613" customFormat="false" ht="15" hidden="false" customHeight="true" outlineLevel="0" collapsed="false">
      <c r="A4613" s="12"/>
      <c r="B4613" s="13"/>
      <c r="C4613" s="14"/>
      <c r="D4613" s="13"/>
      <c r="E4613" s="15"/>
      <c r="F4613" s="15"/>
      <c r="G4613" s="15"/>
      <c r="H4613" s="13"/>
      <c r="I4613" s="13"/>
      <c r="J4613" s="16"/>
      <c r="K4613" s="16"/>
      <c r="L4613" s="17" t="str">
        <f aca="false" t="array" ref="L4613:L4613">IFERROR(INDEX(AC4613:AE4613,IF(COUNTA(AC4613:AE4613)=0,"",MAX((AC4613:AE4613&lt;&gt;"")*(COLUMN(AC4613:AE4613)-(COLUMN(AC4613)-2))))-1),"")</f>
        <v/>
      </c>
      <c r="M4613" s="13"/>
      <c r="N4613" s="13"/>
      <c r="O4613" s="13"/>
      <c r="P4613" s="26"/>
      <c r="Q4613" s="20"/>
      <c r="R4613" s="13"/>
      <c r="S4613" s="25"/>
      <c r="T4613" s="13"/>
      <c r="U4613" s="13"/>
      <c r="V4613" s="13"/>
      <c r="W4613" s="13"/>
      <c r="X4613" s="21"/>
      <c r="Y4613" s="22"/>
      <c r="Z4613" s="23"/>
      <c r="AA4613" s="23"/>
      <c r="AB4613" s="15"/>
      <c r="AC4613" s="14"/>
      <c r="AD4613" s="18"/>
      <c r="AE4613" s="18"/>
    </row>
    <row r="4614" customFormat="false" ht="15" hidden="false" customHeight="true" outlineLevel="0" collapsed="false">
      <c r="A4614" s="12"/>
      <c r="B4614" s="13"/>
      <c r="C4614" s="14"/>
      <c r="D4614" s="13"/>
      <c r="E4614" s="15"/>
      <c r="F4614" s="15"/>
      <c r="G4614" s="15"/>
      <c r="H4614" s="13"/>
      <c r="I4614" s="13"/>
      <c r="J4614" s="16"/>
      <c r="K4614" s="16"/>
      <c r="L4614" s="17" t="str">
        <f aca="false" t="array" ref="L4614:L4614">IFERROR(INDEX(AC4614:AE4614,IF(COUNTA(AC4614:AE4614)=0,"",MAX((AC4614:AE4614&lt;&gt;"")*(COLUMN(AC4614:AE4614)-(COLUMN(AC4614)-2))))-1),"")</f>
        <v/>
      </c>
      <c r="M4614" s="13"/>
      <c r="N4614" s="13"/>
      <c r="O4614" s="13"/>
      <c r="P4614" s="26"/>
      <c r="Q4614" s="20"/>
      <c r="R4614" s="13"/>
      <c r="S4614" s="25"/>
      <c r="T4614" s="13"/>
      <c r="U4614" s="13"/>
      <c r="V4614" s="13"/>
      <c r="W4614" s="13"/>
      <c r="X4614" s="21"/>
      <c r="Y4614" s="22"/>
      <c r="Z4614" s="23"/>
      <c r="AA4614" s="23"/>
      <c r="AB4614" s="15"/>
      <c r="AC4614" s="14"/>
      <c r="AD4614" s="18"/>
      <c r="AE4614" s="18"/>
    </row>
    <row r="4615" customFormat="false" ht="15" hidden="false" customHeight="true" outlineLevel="0" collapsed="false">
      <c r="A4615" s="12"/>
      <c r="B4615" s="13"/>
      <c r="C4615" s="14"/>
      <c r="D4615" s="13"/>
      <c r="E4615" s="15"/>
      <c r="F4615" s="15"/>
      <c r="G4615" s="15"/>
      <c r="H4615" s="13"/>
      <c r="I4615" s="13"/>
      <c r="J4615" s="16"/>
      <c r="K4615" s="16"/>
      <c r="L4615" s="17" t="str">
        <f aca="false" t="array" ref="L4615:L4615">IFERROR(INDEX(AC4615:AE4615,IF(COUNTA(AC4615:AE4615)=0,"",MAX((AC4615:AE4615&lt;&gt;"")*(COLUMN(AC4615:AE4615)-(COLUMN(AC4615)-2))))-1),"")</f>
        <v/>
      </c>
      <c r="M4615" s="13"/>
      <c r="N4615" s="13"/>
      <c r="O4615" s="13"/>
      <c r="P4615" s="26"/>
      <c r="Q4615" s="20"/>
      <c r="R4615" s="13"/>
      <c r="S4615" s="25"/>
      <c r="T4615" s="13"/>
      <c r="U4615" s="13"/>
      <c r="V4615" s="13"/>
      <c r="W4615" s="13"/>
      <c r="X4615" s="21"/>
      <c r="Y4615" s="22"/>
      <c r="Z4615" s="23"/>
      <c r="AA4615" s="23"/>
      <c r="AB4615" s="15"/>
      <c r="AC4615" s="14"/>
      <c r="AD4615" s="18"/>
      <c r="AE4615" s="18"/>
    </row>
    <row r="4616" customFormat="false" ht="15" hidden="false" customHeight="true" outlineLevel="0" collapsed="false">
      <c r="A4616" s="12"/>
      <c r="B4616" s="13"/>
      <c r="C4616" s="14"/>
      <c r="D4616" s="13"/>
      <c r="E4616" s="15"/>
      <c r="F4616" s="15"/>
      <c r="G4616" s="15"/>
      <c r="H4616" s="13"/>
      <c r="I4616" s="13"/>
      <c r="J4616" s="16"/>
      <c r="K4616" s="16"/>
      <c r="L4616" s="17" t="str">
        <f aca="false" t="array" ref="L4616:L4616">IFERROR(INDEX(AC4616:AE4616,IF(COUNTA(AC4616:AE4616)=0,"",MAX((AC4616:AE4616&lt;&gt;"")*(COLUMN(AC4616:AE4616)-(COLUMN(AC4616)-2))))-1),"")</f>
        <v/>
      </c>
      <c r="M4616" s="13"/>
      <c r="N4616" s="13"/>
      <c r="O4616" s="13"/>
      <c r="P4616" s="26"/>
      <c r="Q4616" s="20"/>
      <c r="R4616" s="13"/>
      <c r="S4616" s="25"/>
      <c r="T4616" s="13"/>
      <c r="U4616" s="13"/>
      <c r="V4616" s="13"/>
      <c r="W4616" s="13"/>
      <c r="X4616" s="21"/>
      <c r="Y4616" s="22"/>
      <c r="Z4616" s="23"/>
      <c r="AA4616" s="23"/>
      <c r="AB4616" s="15"/>
      <c r="AC4616" s="14"/>
      <c r="AD4616" s="18"/>
      <c r="AE4616" s="18"/>
    </row>
    <row r="4617" customFormat="false" ht="15" hidden="false" customHeight="true" outlineLevel="0" collapsed="false">
      <c r="A4617" s="12"/>
      <c r="B4617" s="13"/>
      <c r="C4617" s="14"/>
      <c r="D4617" s="13"/>
      <c r="E4617" s="15"/>
      <c r="F4617" s="15"/>
      <c r="G4617" s="15"/>
      <c r="H4617" s="13"/>
      <c r="I4617" s="13"/>
      <c r="J4617" s="16"/>
      <c r="K4617" s="16"/>
      <c r="L4617" s="17" t="str">
        <f aca="false" t="array" ref="L4617:L4617">IFERROR(INDEX(AC4617:AE4617,IF(COUNTA(AC4617:AE4617)=0,"",MAX((AC4617:AE4617&lt;&gt;"")*(COLUMN(AC4617:AE4617)-(COLUMN(AC4617)-2))))-1),"")</f>
        <v/>
      </c>
      <c r="M4617" s="13"/>
      <c r="N4617" s="13"/>
      <c r="O4617" s="13"/>
      <c r="P4617" s="26"/>
      <c r="Q4617" s="20"/>
      <c r="R4617" s="13"/>
      <c r="S4617" s="25"/>
      <c r="T4617" s="13"/>
      <c r="U4617" s="13"/>
      <c r="V4617" s="13"/>
      <c r="W4617" s="13"/>
      <c r="X4617" s="21"/>
      <c r="Y4617" s="22"/>
      <c r="Z4617" s="23"/>
      <c r="AA4617" s="23"/>
      <c r="AB4617" s="15"/>
      <c r="AC4617" s="14"/>
      <c r="AD4617" s="18"/>
      <c r="AE4617" s="18"/>
    </row>
    <row r="4618" customFormat="false" ht="15" hidden="false" customHeight="true" outlineLevel="0" collapsed="false">
      <c r="A4618" s="12"/>
      <c r="B4618" s="13"/>
      <c r="C4618" s="14"/>
      <c r="D4618" s="13"/>
      <c r="E4618" s="15"/>
      <c r="F4618" s="15"/>
      <c r="G4618" s="15"/>
      <c r="H4618" s="13"/>
      <c r="I4618" s="13"/>
      <c r="J4618" s="16"/>
      <c r="K4618" s="16"/>
      <c r="L4618" s="17" t="str">
        <f aca="false" t="array" ref="L4618:L4618">IFERROR(INDEX(AC4618:AE4618,IF(COUNTA(AC4618:AE4618)=0,"",MAX((AC4618:AE4618&lt;&gt;"")*(COLUMN(AC4618:AE4618)-(COLUMN(AC4618)-2))))-1),"")</f>
        <v/>
      </c>
      <c r="M4618" s="13"/>
      <c r="N4618" s="13"/>
      <c r="O4618" s="13"/>
      <c r="P4618" s="26"/>
      <c r="Q4618" s="20"/>
      <c r="R4618" s="13"/>
      <c r="S4618" s="25"/>
      <c r="T4618" s="13"/>
      <c r="U4618" s="13"/>
      <c r="V4618" s="13"/>
      <c r="W4618" s="13"/>
      <c r="X4618" s="21"/>
      <c r="Y4618" s="22"/>
      <c r="Z4618" s="23"/>
      <c r="AA4618" s="23"/>
      <c r="AB4618" s="15"/>
      <c r="AC4618" s="14"/>
      <c r="AD4618" s="18"/>
      <c r="AE4618" s="18"/>
    </row>
    <row r="4619" customFormat="false" ht="15" hidden="false" customHeight="true" outlineLevel="0" collapsed="false">
      <c r="A4619" s="12"/>
      <c r="B4619" s="13"/>
      <c r="C4619" s="14"/>
      <c r="D4619" s="13"/>
      <c r="E4619" s="15"/>
      <c r="F4619" s="15"/>
      <c r="G4619" s="15"/>
      <c r="H4619" s="13"/>
      <c r="I4619" s="13"/>
      <c r="J4619" s="16"/>
      <c r="K4619" s="16"/>
      <c r="L4619" s="17" t="str">
        <f aca="false" t="array" ref="L4619:L4619">IFERROR(INDEX(AC4619:AE4619,IF(COUNTA(AC4619:AE4619)=0,"",MAX((AC4619:AE4619&lt;&gt;"")*(COLUMN(AC4619:AE4619)-(COLUMN(AC4619)-2))))-1),"")</f>
        <v/>
      </c>
      <c r="M4619" s="13"/>
      <c r="N4619" s="13"/>
      <c r="O4619" s="13"/>
      <c r="P4619" s="26"/>
      <c r="Q4619" s="20"/>
      <c r="R4619" s="13"/>
      <c r="S4619" s="25"/>
      <c r="T4619" s="13"/>
      <c r="U4619" s="13"/>
      <c r="V4619" s="13"/>
      <c r="W4619" s="13"/>
      <c r="X4619" s="21"/>
      <c r="Y4619" s="22"/>
      <c r="Z4619" s="23"/>
      <c r="AA4619" s="23"/>
      <c r="AB4619" s="15"/>
      <c r="AC4619" s="14"/>
      <c r="AD4619" s="18"/>
      <c r="AE4619" s="18"/>
    </row>
    <row r="4620" customFormat="false" ht="15" hidden="false" customHeight="true" outlineLevel="0" collapsed="false">
      <c r="A4620" s="12"/>
      <c r="B4620" s="13"/>
      <c r="C4620" s="14"/>
      <c r="D4620" s="13"/>
      <c r="E4620" s="15"/>
      <c r="F4620" s="15"/>
      <c r="G4620" s="15"/>
      <c r="H4620" s="13"/>
      <c r="I4620" s="13"/>
      <c r="J4620" s="16"/>
      <c r="K4620" s="16"/>
      <c r="L4620" s="17" t="str">
        <f aca="false" t="array" ref="L4620:L4620">IFERROR(INDEX(AC4620:AE4620,IF(COUNTA(AC4620:AE4620)=0,"",MAX((AC4620:AE4620&lt;&gt;"")*(COLUMN(AC4620:AE4620)-(COLUMN(AC4620)-2))))-1),"")</f>
        <v/>
      </c>
      <c r="M4620" s="13"/>
      <c r="N4620" s="13"/>
      <c r="O4620" s="13"/>
      <c r="P4620" s="26"/>
      <c r="Q4620" s="20"/>
      <c r="R4620" s="13"/>
      <c r="S4620" s="25"/>
      <c r="T4620" s="13"/>
      <c r="U4620" s="13"/>
      <c r="V4620" s="13"/>
      <c r="W4620" s="13"/>
      <c r="X4620" s="21"/>
      <c r="Y4620" s="22"/>
      <c r="Z4620" s="23"/>
      <c r="AA4620" s="23"/>
      <c r="AB4620" s="15"/>
      <c r="AC4620" s="14"/>
      <c r="AD4620" s="18"/>
      <c r="AE4620" s="18"/>
    </row>
    <row r="4621" customFormat="false" ht="15" hidden="false" customHeight="true" outlineLevel="0" collapsed="false">
      <c r="A4621" s="12"/>
      <c r="B4621" s="13"/>
      <c r="C4621" s="14"/>
      <c r="D4621" s="13"/>
      <c r="E4621" s="15"/>
      <c r="F4621" s="15"/>
      <c r="G4621" s="15"/>
      <c r="H4621" s="13"/>
      <c r="I4621" s="13"/>
      <c r="J4621" s="16"/>
      <c r="K4621" s="16"/>
      <c r="L4621" s="17" t="str">
        <f aca="false" t="array" ref="L4621:L4621">IFERROR(INDEX(AC4621:AE4621,IF(COUNTA(AC4621:AE4621)=0,"",MAX((AC4621:AE4621&lt;&gt;"")*(COLUMN(AC4621:AE4621)-(COLUMN(AC4621)-2))))-1),"")</f>
        <v/>
      </c>
      <c r="M4621" s="13"/>
      <c r="N4621" s="13"/>
      <c r="O4621" s="13"/>
      <c r="P4621" s="26"/>
      <c r="Q4621" s="20"/>
      <c r="R4621" s="13"/>
      <c r="S4621" s="25"/>
      <c r="T4621" s="13"/>
      <c r="U4621" s="13"/>
      <c r="V4621" s="13"/>
      <c r="W4621" s="13"/>
      <c r="X4621" s="21"/>
      <c r="Y4621" s="22"/>
      <c r="Z4621" s="23"/>
      <c r="AA4621" s="23"/>
      <c r="AB4621" s="15"/>
      <c r="AC4621" s="14"/>
      <c r="AD4621" s="18"/>
      <c r="AE4621" s="18"/>
    </row>
    <row r="4622" customFormat="false" ht="15" hidden="false" customHeight="true" outlineLevel="0" collapsed="false">
      <c r="A4622" s="12"/>
      <c r="B4622" s="13"/>
      <c r="C4622" s="14"/>
      <c r="D4622" s="13"/>
      <c r="E4622" s="15"/>
      <c r="F4622" s="15"/>
      <c r="G4622" s="15"/>
      <c r="H4622" s="13"/>
      <c r="I4622" s="13"/>
      <c r="J4622" s="16"/>
      <c r="K4622" s="16"/>
      <c r="L4622" s="17" t="str">
        <f aca="false" t="array" ref="L4622:L4622">IFERROR(INDEX(AC4622:AE4622,IF(COUNTA(AC4622:AE4622)=0,"",MAX((AC4622:AE4622&lt;&gt;"")*(COLUMN(AC4622:AE4622)-(COLUMN(AC4622)-2))))-1),"")</f>
        <v/>
      </c>
      <c r="M4622" s="13"/>
      <c r="N4622" s="13"/>
      <c r="O4622" s="13"/>
      <c r="P4622" s="26"/>
      <c r="Q4622" s="20"/>
      <c r="R4622" s="13"/>
      <c r="S4622" s="25"/>
      <c r="T4622" s="13"/>
      <c r="U4622" s="13"/>
      <c r="V4622" s="13"/>
      <c r="W4622" s="13"/>
      <c r="X4622" s="21"/>
      <c r="Y4622" s="22"/>
      <c r="Z4622" s="23"/>
      <c r="AA4622" s="23"/>
      <c r="AB4622" s="15"/>
      <c r="AC4622" s="14"/>
      <c r="AD4622" s="18"/>
      <c r="AE4622" s="18"/>
    </row>
    <row r="4623" customFormat="false" ht="15" hidden="false" customHeight="true" outlineLevel="0" collapsed="false">
      <c r="A4623" s="12"/>
      <c r="B4623" s="13"/>
      <c r="C4623" s="14"/>
      <c r="D4623" s="13"/>
      <c r="E4623" s="15"/>
      <c r="F4623" s="15"/>
      <c r="G4623" s="15"/>
      <c r="H4623" s="13"/>
      <c r="I4623" s="13"/>
      <c r="J4623" s="16"/>
      <c r="K4623" s="16"/>
      <c r="L4623" s="17" t="str">
        <f aca="false" t="array" ref="L4623:L4623">IFERROR(INDEX(AC4623:AE4623,IF(COUNTA(AC4623:AE4623)=0,"",MAX((AC4623:AE4623&lt;&gt;"")*(COLUMN(AC4623:AE4623)-(COLUMN(AC4623)-2))))-1),"")</f>
        <v/>
      </c>
      <c r="M4623" s="13"/>
      <c r="N4623" s="13"/>
      <c r="O4623" s="13"/>
      <c r="P4623" s="26"/>
      <c r="Q4623" s="20"/>
      <c r="R4623" s="13"/>
      <c r="S4623" s="25"/>
      <c r="T4623" s="13"/>
      <c r="U4623" s="13"/>
      <c r="V4623" s="13"/>
      <c r="W4623" s="13"/>
      <c r="X4623" s="21"/>
      <c r="Y4623" s="22"/>
      <c r="Z4623" s="23"/>
      <c r="AA4623" s="23"/>
      <c r="AB4623" s="15"/>
      <c r="AC4623" s="14"/>
      <c r="AD4623" s="18"/>
      <c r="AE4623" s="18"/>
    </row>
    <row r="4624" customFormat="false" ht="15" hidden="false" customHeight="true" outlineLevel="0" collapsed="false">
      <c r="A4624" s="12"/>
      <c r="B4624" s="13"/>
      <c r="C4624" s="14"/>
      <c r="D4624" s="13"/>
      <c r="E4624" s="15"/>
      <c r="F4624" s="15"/>
      <c r="G4624" s="15"/>
      <c r="H4624" s="13"/>
      <c r="I4624" s="13"/>
      <c r="J4624" s="16"/>
      <c r="K4624" s="16"/>
      <c r="L4624" s="17" t="str">
        <f aca="false" t="array" ref="L4624:L4624">IFERROR(INDEX(AC4624:AE4624,IF(COUNTA(AC4624:AE4624)=0,"",MAX((AC4624:AE4624&lt;&gt;"")*(COLUMN(AC4624:AE4624)-(COLUMN(AC4624)-2))))-1),"")</f>
        <v/>
      </c>
      <c r="M4624" s="13"/>
      <c r="N4624" s="13"/>
      <c r="O4624" s="13"/>
      <c r="P4624" s="26"/>
      <c r="Q4624" s="20"/>
      <c r="R4624" s="13"/>
      <c r="S4624" s="25"/>
      <c r="T4624" s="13"/>
      <c r="U4624" s="13"/>
      <c r="V4624" s="13"/>
      <c r="W4624" s="13"/>
      <c r="X4624" s="21"/>
      <c r="Y4624" s="22"/>
      <c r="Z4624" s="23"/>
      <c r="AA4624" s="23"/>
      <c r="AB4624" s="15"/>
      <c r="AC4624" s="14"/>
      <c r="AD4624" s="18"/>
      <c r="AE4624" s="18"/>
    </row>
    <row r="4625" customFormat="false" ht="15" hidden="false" customHeight="true" outlineLevel="0" collapsed="false">
      <c r="A4625" s="12"/>
      <c r="B4625" s="13"/>
      <c r="C4625" s="14"/>
      <c r="D4625" s="13"/>
      <c r="E4625" s="15"/>
      <c r="F4625" s="15"/>
      <c r="G4625" s="15"/>
      <c r="H4625" s="13"/>
      <c r="I4625" s="13"/>
      <c r="J4625" s="16"/>
      <c r="K4625" s="16"/>
      <c r="L4625" s="17" t="str">
        <f aca="false" t="array" ref="L4625:L4625">IFERROR(INDEX(AC4625:AE4625,IF(COUNTA(AC4625:AE4625)=0,"",MAX((AC4625:AE4625&lt;&gt;"")*(COLUMN(AC4625:AE4625)-(COLUMN(AC4625)-2))))-1),"")</f>
        <v/>
      </c>
      <c r="M4625" s="13"/>
      <c r="N4625" s="13"/>
      <c r="O4625" s="13"/>
      <c r="P4625" s="26"/>
      <c r="Q4625" s="20"/>
      <c r="R4625" s="13"/>
      <c r="S4625" s="25"/>
      <c r="T4625" s="13"/>
      <c r="U4625" s="13"/>
      <c r="V4625" s="13"/>
      <c r="W4625" s="13"/>
      <c r="X4625" s="21"/>
      <c r="Y4625" s="22"/>
      <c r="Z4625" s="23"/>
      <c r="AA4625" s="23"/>
      <c r="AB4625" s="15"/>
      <c r="AC4625" s="14"/>
      <c r="AD4625" s="18"/>
      <c r="AE4625" s="18"/>
    </row>
    <row r="4626" customFormat="false" ht="15" hidden="false" customHeight="true" outlineLevel="0" collapsed="false">
      <c r="A4626" s="12"/>
      <c r="B4626" s="13"/>
      <c r="C4626" s="14"/>
      <c r="D4626" s="13"/>
      <c r="E4626" s="15"/>
      <c r="F4626" s="15"/>
      <c r="G4626" s="15"/>
      <c r="H4626" s="13"/>
      <c r="I4626" s="13"/>
      <c r="J4626" s="16"/>
      <c r="K4626" s="16"/>
      <c r="L4626" s="17" t="str">
        <f aca="false" t="array" ref="L4626:L4626">IFERROR(INDEX(AC4626:AE4626,IF(COUNTA(AC4626:AE4626)=0,"",MAX((AC4626:AE4626&lt;&gt;"")*(COLUMN(AC4626:AE4626)-(COLUMN(AC4626)-2))))-1),"")</f>
        <v/>
      </c>
      <c r="M4626" s="13"/>
      <c r="N4626" s="13"/>
      <c r="O4626" s="13"/>
      <c r="P4626" s="26"/>
      <c r="Q4626" s="20"/>
      <c r="R4626" s="13"/>
      <c r="S4626" s="25"/>
      <c r="T4626" s="13"/>
      <c r="U4626" s="13"/>
      <c r="V4626" s="13"/>
      <c r="W4626" s="13"/>
      <c r="X4626" s="21"/>
      <c r="Y4626" s="22"/>
      <c r="Z4626" s="23"/>
      <c r="AA4626" s="23"/>
      <c r="AB4626" s="15"/>
      <c r="AC4626" s="14"/>
      <c r="AD4626" s="18"/>
      <c r="AE4626" s="18"/>
    </row>
    <row r="4627" customFormat="false" ht="15" hidden="false" customHeight="true" outlineLevel="0" collapsed="false">
      <c r="A4627" s="12"/>
      <c r="B4627" s="13"/>
      <c r="C4627" s="14"/>
      <c r="D4627" s="13"/>
      <c r="E4627" s="15"/>
      <c r="F4627" s="15"/>
      <c r="G4627" s="15"/>
      <c r="H4627" s="13"/>
      <c r="I4627" s="13"/>
      <c r="J4627" s="16"/>
      <c r="K4627" s="16"/>
      <c r="L4627" s="17" t="str">
        <f aca="false" t="array" ref="L4627:L4627">IFERROR(INDEX(AC4627:AE4627,IF(COUNTA(AC4627:AE4627)=0,"",MAX((AC4627:AE4627&lt;&gt;"")*(COLUMN(AC4627:AE4627)-(COLUMN(AC4627)-2))))-1),"")</f>
        <v/>
      </c>
      <c r="M4627" s="13"/>
      <c r="N4627" s="13"/>
      <c r="O4627" s="13"/>
      <c r="P4627" s="26"/>
      <c r="Q4627" s="20"/>
      <c r="R4627" s="13"/>
      <c r="S4627" s="25"/>
      <c r="T4627" s="13"/>
      <c r="U4627" s="13"/>
      <c r="V4627" s="13"/>
      <c r="W4627" s="13"/>
      <c r="X4627" s="21"/>
      <c r="Y4627" s="22"/>
      <c r="Z4627" s="23"/>
      <c r="AA4627" s="23"/>
      <c r="AB4627" s="15"/>
      <c r="AC4627" s="14"/>
      <c r="AD4627" s="18"/>
      <c r="AE4627" s="18"/>
    </row>
    <row r="4628" customFormat="false" ht="15" hidden="false" customHeight="true" outlineLevel="0" collapsed="false">
      <c r="A4628" s="12"/>
      <c r="B4628" s="13"/>
      <c r="C4628" s="14"/>
      <c r="D4628" s="13"/>
      <c r="E4628" s="15"/>
      <c r="F4628" s="15"/>
      <c r="G4628" s="15"/>
      <c r="H4628" s="13"/>
      <c r="I4628" s="13"/>
      <c r="J4628" s="16"/>
      <c r="K4628" s="16"/>
      <c r="L4628" s="17" t="str">
        <f aca="false" t="array" ref="L4628:L4628">IFERROR(INDEX(AC4628:AE4628,IF(COUNTA(AC4628:AE4628)=0,"",MAX((AC4628:AE4628&lt;&gt;"")*(COLUMN(AC4628:AE4628)-(COLUMN(AC4628)-2))))-1),"")</f>
        <v/>
      </c>
      <c r="M4628" s="13"/>
      <c r="N4628" s="13"/>
      <c r="O4628" s="13"/>
      <c r="P4628" s="26"/>
      <c r="Q4628" s="20"/>
      <c r="R4628" s="13"/>
      <c r="S4628" s="25"/>
      <c r="T4628" s="13"/>
      <c r="U4628" s="13"/>
      <c r="V4628" s="13"/>
      <c r="W4628" s="13"/>
      <c r="X4628" s="21"/>
      <c r="Y4628" s="22"/>
      <c r="Z4628" s="23"/>
      <c r="AA4628" s="23"/>
      <c r="AB4628" s="15"/>
      <c r="AC4628" s="14"/>
      <c r="AD4628" s="18"/>
      <c r="AE4628" s="18"/>
    </row>
    <row r="4629" customFormat="false" ht="15" hidden="false" customHeight="true" outlineLevel="0" collapsed="false">
      <c r="A4629" s="12"/>
      <c r="B4629" s="13"/>
      <c r="C4629" s="14"/>
      <c r="D4629" s="13"/>
      <c r="E4629" s="15"/>
      <c r="F4629" s="15"/>
      <c r="G4629" s="15"/>
      <c r="H4629" s="13"/>
      <c r="I4629" s="13"/>
      <c r="J4629" s="16"/>
      <c r="K4629" s="16"/>
      <c r="L4629" s="17" t="str">
        <f aca="false" t="array" ref="L4629:L4629">IFERROR(INDEX(AC4629:AE4629,IF(COUNTA(AC4629:AE4629)=0,"",MAX((AC4629:AE4629&lt;&gt;"")*(COLUMN(AC4629:AE4629)-(COLUMN(AC4629)-2))))-1),"")</f>
        <v/>
      </c>
      <c r="M4629" s="13"/>
      <c r="N4629" s="13"/>
      <c r="O4629" s="13"/>
      <c r="P4629" s="26"/>
      <c r="Q4629" s="20"/>
      <c r="R4629" s="13"/>
      <c r="S4629" s="25"/>
      <c r="T4629" s="13"/>
      <c r="U4629" s="13"/>
      <c r="V4629" s="13"/>
      <c r="W4629" s="13"/>
      <c r="X4629" s="21"/>
      <c r="Y4629" s="22"/>
      <c r="Z4629" s="23"/>
      <c r="AA4629" s="23"/>
      <c r="AB4629" s="15"/>
      <c r="AC4629" s="14"/>
      <c r="AD4629" s="18"/>
      <c r="AE4629" s="18"/>
    </row>
    <row r="4630" customFormat="false" ht="15" hidden="false" customHeight="true" outlineLevel="0" collapsed="false">
      <c r="A4630" s="12"/>
      <c r="B4630" s="13"/>
      <c r="C4630" s="14"/>
      <c r="D4630" s="13"/>
      <c r="E4630" s="15"/>
      <c r="F4630" s="15"/>
      <c r="G4630" s="15"/>
      <c r="H4630" s="13"/>
      <c r="I4630" s="13"/>
      <c r="J4630" s="16"/>
      <c r="K4630" s="16"/>
      <c r="L4630" s="17" t="str">
        <f aca="false" t="array" ref="L4630:L4630">IFERROR(INDEX(AC4630:AE4630,IF(COUNTA(AC4630:AE4630)=0,"",MAX((AC4630:AE4630&lt;&gt;"")*(COLUMN(AC4630:AE4630)-(COLUMN(AC4630)-2))))-1),"")</f>
        <v/>
      </c>
      <c r="M4630" s="13"/>
      <c r="N4630" s="13"/>
      <c r="O4630" s="13"/>
      <c r="P4630" s="26"/>
      <c r="Q4630" s="20"/>
      <c r="R4630" s="13"/>
      <c r="S4630" s="25"/>
      <c r="T4630" s="13"/>
      <c r="U4630" s="13"/>
      <c r="V4630" s="13"/>
      <c r="W4630" s="13"/>
      <c r="X4630" s="21"/>
      <c r="Y4630" s="22"/>
      <c r="Z4630" s="23"/>
      <c r="AA4630" s="23"/>
      <c r="AB4630" s="15"/>
      <c r="AC4630" s="14"/>
      <c r="AD4630" s="18"/>
      <c r="AE4630" s="18"/>
    </row>
    <row r="4631" customFormat="false" ht="15" hidden="false" customHeight="true" outlineLevel="0" collapsed="false">
      <c r="A4631" s="12"/>
      <c r="B4631" s="13"/>
      <c r="C4631" s="14"/>
      <c r="D4631" s="13"/>
      <c r="E4631" s="15"/>
      <c r="F4631" s="15"/>
      <c r="G4631" s="15"/>
      <c r="H4631" s="13"/>
      <c r="I4631" s="13"/>
      <c r="J4631" s="16"/>
      <c r="K4631" s="16"/>
      <c r="L4631" s="17" t="str">
        <f aca="false" t="array" ref="L4631:L4631">IFERROR(INDEX(AC4631:AE4631,IF(COUNTA(AC4631:AE4631)=0,"",MAX((AC4631:AE4631&lt;&gt;"")*(COLUMN(AC4631:AE4631)-(COLUMN(AC4631)-2))))-1),"")</f>
        <v/>
      </c>
      <c r="M4631" s="13"/>
      <c r="N4631" s="13"/>
      <c r="O4631" s="13"/>
      <c r="P4631" s="26"/>
      <c r="Q4631" s="20"/>
      <c r="R4631" s="13"/>
      <c r="S4631" s="25"/>
      <c r="T4631" s="13"/>
      <c r="U4631" s="13"/>
      <c r="V4631" s="13"/>
      <c r="W4631" s="13"/>
      <c r="X4631" s="21"/>
      <c r="Y4631" s="22"/>
      <c r="Z4631" s="23"/>
      <c r="AA4631" s="23"/>
      <c r="AB4631" s="15"/>
      <c r="AC4631" s="14"/>
      <c r="AD4631" s="18"/>
      <c r="AE4631" s="18"/>
    </row>
    <row r="4632" customFormat="false" ht="15" hidden="false" customHeight="true" outlineLevel="0" collapsed="false">
      <c r="A4632" s="12"/>
      <c r="B4632" s="13"/>
      <c r="C4632" s="14"/>
      <c r="D4632" s="13"/>
      <c r="E4632" s="15"/>
      <c r="F4632" s="15"/>
      <c r="G4632" s="15"/>
      <c r="H4632" s="13"/>
      <c r="I4632" s="13"/>
      <c r="J4632" s="16"/>
      <c r="K4632" s="16"/>
      <c r="L4632" s="17" t="str">
        <f aca="false" t="array" ref="L4632:L4632">IFERROR(INDEX(AC4632:AE4632,IF(COUNTA(AC4632:AE4632)=0,"",MAX((AC4632:AE4632&lt;&gt;"")*(COLUMN(AC4632:AE4632)-(COLUMN(AC4632)-2))))-1),"")</f>
        <v/>
      </c>
      <c r="M4632" s="13"/>
      <c r="N4632" s="13"/>
      <c r="O4632" s="13"/>
      <c r="P4632" s="26"/>
      <c r="Q4632" s="20"/>
      <c r="R4632" s="13"/>
      <c r="S4632" s="25"/>
      <c r="T4632" s="13"/>
      <c r="U4632" s="13"/>
      <c r="V4632" s="13"/>
      <c r="W4632" s="13"/>
      <c r="X4632" s="21"/>
      <c r="Y4632" s="22"/>
      <c r="Z4632" s="23"/>
      <c r="AA4632" s="23"/>
      <c r="AB4632" s="15"/>
      <c r="AC4632" s="14"/>
      <c r="AD4632" s="18"/>
      <c r="AE4632" s="18"/>
    </row>
    <row r="4633" customFormat="false" ht="15" hidden="false" customHeight="true" outlineLevel="0" collapsed="false">
      <c r="A4633" s="12"/>
      <c r="B4633" s="13"/>
      <c r="C4633" s="14"/>
      <c r="D4633" s="13"/>
      <c r="E4633" s="15"/>
      <c r="F4633" s="15"/>
      <c r="G4633" s="15"/>
      <c r="H4633" s="13"/>
      <c r="I4633" s="13"/>
      <c r="J4633" s="16"/>
      <c r="K4633" s="16"/>
      <c r="L4633" s="17" t="str">
        <f aca="false" t="array" ref="L4633:L4633">IFERROR(INDEX(AC4633:AE4633,IF(COUNTA(AC4633:AE4633)=0,"",MAX((AC4633:AE4633&lt;&gt;"")*(COLUMN(AC4633:AE4633)-(COLUMN(AC4633)-2))))-1),"")</f>
        <v/>
      </c>
      <c r="M4633" s="13"/>
      <c r="N4633" s="13"/>
      <c r="O4633" s="13"/>
      <c r="P4633" s="26"/>
      <c r="Q4633" s="20"/>
      <c r="R4633" s="13"/>
      <c r="S4633" s="25"/>
      <c r="T4633" s="13"/>
      <c r="U4633" s="13"/>
      <c r="V4633" s="13"/>
      <c r="W4633" s="13"/>
      <c r="X4633" s="21"/>
      <c r="Y4633" s="22"/>
      <c r="Z4633" s="23"/>
      <c r="AA4633" s="23"/>
      <c r="AB4633" s="15"/>
      <c r="AC4633" s="14"/>
      <c r="AD4633" s="18"/>
      <c r="AE4633" s="18"/>
    </row>
    <row r="4634" customFormat="false" ht="15" hidden="false" customHeight="true" outlineLevel="0" collapsed="false">
      <c r="A4634" s="12"/>
      <c r="B4634" s="13"/>
      <c r="C4634" s="14"/>
      <c r="D4634" s="13"/>
      <c r="E4634" s="15"/>
      <c r="F4634" s="15"/>
      <c r="G4634" s="15"/>
      <c r="H4634" s="13"/>
      <c r="I4634" s="13"/>
      <c r="J4634" s="16"/>
      <c r="K4634" s="16"/>
      <c r="L4634" s="17" t="str">
        <f aca="false" t="array" ref="L4634:L4634">IFERROR(INDEX(AC4634:AE4634,IF(COUNTA(AC4634:AE4634)=0,"",MAX((AC4634:AE4634&lt;&gt;"")*(COLUMN(AC4634:AE4634)-(COLUMN(AC4634)-2))))-1),"")</f>
        <v/>
      </c>
      <c r="M4634" s="13"/>
      <c r="N4634" s="13"/>
      <c r="O4634" s="13"/>
      <c r="P4634" s="26"/>
      <c r="Q4634" s="20"/>
      <c r="R4634" s="13"/>
      <c r="S4634" s="25"/>
      <c r="T4634" s="13"/>
      <c r="U4634" s="13"/>
      <c r="V4634" s="13"/>
      <c r="W4634" s="13"/>
      <c r="X4634" s="21"/>
      <c r="Y4634" s="22"/>
      <c r="Z4634" s="23"/>
      <c r="AA4634" s="23"/>
      <c r="AB4634" s="15"/>
      <c r="AC4634" s="14"/>
      <c r="AD4634" s="18"/>
      <c r="AE4634" s="18"/>
    </row>
    <row r="4635" customFormat="false" ht="15" hidden="false" customHeight="true" outlineLevel="0" collapsed="false">
      <c r="A4635" s="12"/>
      <c r="B4635" s="13"/>
      <c r="C4635" s="14"/>
      <c r="D4635" s="13"/>
      <c r="E4635" s="15"/>
      <c r="F4635" s="15"/>
      <c r="G4635" s="15"/>
      <c r="H4635" s="13"/>
      <c r="I4635" s="13"/>
      <c r="J4635" s="16"/>
      <c r="K4635" s="16"/>
      <c r="L4635" s="17" t="str">
        <f aca="false" t="array" ref="L4635:L4635">IFERROR(INDEX(AC4635:AE4635,IF(COUNTA(AC4635:AE4635)=0,"",MAX((AC4635:AE4635&lt;&gt;"")*(COLUMN(AC4635:AE4635)-(COLUMN(AC4635)-2))))-1),"")</f>
        <v/>
      </c>
      <c r="M4635" s="13"/>
      <c r="N4635" s="13"/>
      <c r="O4635" s="13"/>
      <c r="P4635" s="26"/>
      <c r="Q4635" s="20"/>
      <c r="R4635" s="13"/>
      <c r="S4635" s="25"/>
      <c r="T4635" s="13"/>
      <c r="U4635" s="13"/>
      <c r="V4635" s="13"/>
      <c r="W4635" s="13"/>
      <c r="X4635" s="21"/>
      <c r="Y4635" s="22"/>
      <c r="Z4635" s="23"/>
      <c r="AA4635" s="23"/>
      <c r="AB4635" s="15"/>
      <c r="AC4635" s="14"/>
      <c r="AD4635" s="18"/>
      <c r="AE4635" s="18"/>
    </row>
    <row r="4636" customFormat="false" ht="15" hidden="false" customHeight="true" outlineLevel="0" collapsed="false">
      <c r="A4636" s="12"/>
      <c r="B4636" s="13"/>
      <c r="C4636" s="14"/>
      <c r="D4636" s="13"/>
      <c r="E4636" s="15"/>
      <c r="F4636" s="15"/>
      <c r="G4636" s="15"/>
      <c r="H4636" s="13"/>
      <c r="I4636" s="13"/>
      <c r="J4636" s="16"/>
      <c r="K4636" s="16"/>
      <c r="L4636" s="17" t="str">
        <f aca="false" t="array" ref="L4636:L4636">IFERROR(INDEX(AC4636:AE4636,IF(COUNTA(AC4636:AE4636)=0,"",MAX((AC4636:AE4636&lt;&gt;"")*(COLUMN(AC4636:AE4636)-(COLUMN(AC4636)-2))))-1),"")</f>
        <v/>
      </c>
      <c r="M4636" s="13"/>
      <c r="N4636" s="13"/>
      <c r="O4636" s="13"/>
      <c r="P4636" s="26"/>
      <c r="Q4636" s="20"/>
      <c r="R4636" s="13"/>
      <c r="S4636" s="25"/>
      <c r="T4636" s="13"/>
      <c r="U4636" s="13"/>
      <c r="V4636" s="13"/>
      <c r="W4636" s="13"/>
      <c r="X4636" s="21"/>
      <c r="Y4636" s="22"/>
      <c r="Z4636" s="23"/>
      <c r="AA4636" s="23"/>
      <c r="AB4636" s="15"/>
      <c r="AC4636" s="14"/>
      <c r="AD4636" s="18"/>
      <c r="AE4636" s="18"/>
    </row>
    <row r="4637" customFormat="false" ht="15" hidden="false" customHeight="true" outlineLevel="0" collapsed="false">
      <c r="A4637" s="12"/>
      <c r="B4637" s="13"/>
      <c r="C4637" s="14"/>
      <c r="D4637" s="13"/>
      <c r="E4637" s="15"/>
      <c r="F4637" s="15"/>
      <c r="G4637" s="15"/>
      <c r="H4637" s="13"/>
      <c r="I4637" s="13"/>
      <c r="J4637" s="16"/>
      <c r="K4637" s="16"/>
      <c r="L4637" s="17" t="str">
        <f aca="false" t="array" ref="L4637:L4637">IFERROR(INDEX(AC4637:AE4637,IF(COUNTA(AC4637:AE4637)=0,"",MAX((AC4637:AE4637&lt;&gt;"")*(COLUMN(AC4637:AE4637)-(COLUMN(AC4637)-2))))-1),"")</f>
        <v/>
      </c>
      <c r="M4637" s="13"/>
      <c r="N4637" s="13"/>
      <c r="O4637" s="13"/>
      <c r="P4637" s="26"/>
      <c r="Q4637" s="20"/>
      <c r="R4637" s="13"/>
      <c r="S4637" s="25"/>
      <c r="T4637" s="13"/>
      <c r="U4637" s="13"/>
      <c r="V4637" s="13"/>
      <c r="W4637" s="13"/>
      <c r="X4637" s="21"/>
      <c r="Y4637" s="22"/>
      <c r="Z4637" s="23"/>
      <c r="AA4637" s="23"/>
      <c r="AB4637" s="15"/>
      <c r="AC4637" s="14"/>
      <c r="AD4637" s="18"/>
      <c r="AE4637" s="18"/>
    </row>
    <row r="4638" customFormat="false" ht="15" hidden="false" customHeight="true" outlineLevel="0" collapsed="false">
      <c r="A4638" s="12"/>
      <c r="B4638" s="13"/>
      <c r="C4638" s="14"/>
      <c r="D4638" s="13"/>
      <c r="E4638" s="15"/>
      <c r="F4638" s="15"/>
      <c r="G4638" s="15"/>
      <c r="H4638" s="13"/>
      <c r="I4638" s="13"/>
      <c r="J4638" s="16"/>
      <c r="K4638" s="16"/>
      <c r="L4638" s="17" t="str">
        <f aca="false" t="array" ref="L4638:L4638">IFERROR(INDEX(AC4638:AE4638,IF(COUNTA(AC4638:AE4638)=0,"",MAX((AC4638:AE4638&lt;&gt;"")*(COLUMN(AC4638:AE4638)-(COLUMN(AC4638)-2))))-1),"")</f>
        <v/>
      </c>
      <c r="M4638" s="13"/>
      <c r="N4638" s="13"/>
      <c r="O4638" s="13"/>
      <c r="P4638" s="26"/>
      <c r="Q4638" s="20"/>
      <c r="R4638" s="13"/>
      <c r="S4638" s="25"/>
      <c r="T4638" s="13"/>
      <c r="U4638" s="13"/>
      <c r="V4638" s="13"/>
      <c r="W4638" s="13"/>
      <c r="X4638" s="21"/>
      <c r="Y4638" s="22"/>
      <c r="Z4638" s="23"/>
      <c r="AA4638" s="23"/>
      <c r="AB4638" s="15"/>
      <c r="AC4638" s="14"/>
      <c r="AD4638" s="18"/>
      <c r="AE4638" s="18"/>
    </row>
    <row r="4639" customFormat="false" ht="15" hidden="false" customHeight="true" outlineLevel="0" collapsed="false">
      <c r="A4639" s="12"/>
      <c r="B4639" s="13"/>
      <c r="C4639" s="14"/>
      <c r="D4639" s="13"/>
      <c r="E4639" s="15"/>
      <c r="F4639" s="15"/>
      <c r="G4639" s="15"/>
      <c r="H4639" s="13"/>
      <c r="I4639" s="13"/>
      <c r="J4639" s="16"/>
      <c r="K4639" s="16"/>
      <c r="L4639" s="17" t="str">
        <f aca="false" t="array" ref="L4639:L4639">IFERROR(INDEX(AC4639:AE4639,IF(COUNTA(AC4639:AE4639)=0,"",MAX((AC4639:AE4639&lt;&gt;"")*(COLUMN(AC4639:AE4639)-(COLUMN(AC4639)-2))))-1),"")</f>
        <v/>
      </c>
      <c r="M4639" s="13"/>
      <c r="N4639" s="13"/>
      <c r="O4639" s="13"/>
      <c r="P4639" s="26"/>
      <c r="Q4639" s="20"/>
      <c r="R4639" s="13"/>
      <c r="S4639" s="25"/>
      <c r="T4639" s="13"/>
      <c r="U4639" s="13"/>
      <c r="V4639" s="13"/>
      <c r="W4639" s="13"/>
      <c r="X4639" s="21"/>
      <c r="Y4639" s="22"/>
      <c r="Z4639" s="23"/>
      <c r="AA4639" s="23"/>
      <c r="AB4639" s="15"/>
      <c r="AC4639" s="14"/>
      <c r="AD4639" s="18"/>
      <c r="AE4639" s="18"/>
    </row>
    <row r="4640" customFormat="false" ht="15" hidden="false" customHeight="true" outlineLevel="0" collapsed="false">
      <c r="A4640" s="12"/>
      <c r="B4640" s="13"/>
      <c r="C4640" s="14"/>
      <c r="D4640" s="13"/>
      <c r="E4640" s="15"/>
      <c r="F4640" s="15"/>
      <c r="G4640" s="15"/>
      <c r="H4640" s="13"/>
      <c r="I4640" s="13"/>
      <c r="J4640" s="16"/>
      <c r="K4640" s="16"/>
      <c r="L4640" s="17" t="str">
        <f aca="false" t="array" ref="L4640:L4640">IFERROR(INDEX(AC4640:AE4640,IF(COUNTA(AC4640:AE4640)=0,"",MAX((AC4640:AE4640&lt;&gt;"")*(COLUMN(AC4640:AE4640)-(COLUMN(AC4640)-2))))-1),"")</f>
        <v/>
      </c>
      <c r="M4640" s="13"/>
      <c r="N4640" s="13"/>
      <c r="O4640" s="13"/>
      <c r="P4640" s="26"/>
      <c r="Q4640" s="20"/>
      <c r="R4640" s="13"/>
      <c r="S4640" s="25"/>
      <c r="T4640" s="13"/>
      <c r="U4640" s="13"/>
      <c r="V4640" s="13"/>
      <c r="W4640" s="13"/>
      <c r="X4640" s="21"/>
      <c r="Y4640" s="22"/>
      <c r="Z4640" s="23"/>
      <c r="AA4640" s="23"/>
      <c r="AB4640" s="15"/>
      <c r="AC4640" s="14"/>
      <c r="AD4640" s="18"/>
      <c r="AE4640" s="18"/>
    </row>
    <row r="4641" customFormat="false" ht="15" hidden="false" customHeight="true" outlineLevel="0" collapsed="false">
      <c r="A4641" s="12"/>
      <c r="B4641" s="13"/>
      <c r="C4641" s="14"/>
      <c r="D4641" s="13"/>
      <c r="E4641" s="15"/>
      <c r="F4641" s="15"/>
      <c r="G4641" s="15"/>
      <c r="H4641" s="13"/>
      <c r="I4641" s="13"/>
      <c r="J4641" s="16"/>
      <c r="K4641" s="16"/>
      <c r="L4641" s="17" t="str">
        <f aca="false" t="array" ref="L4641:L4641">IFERROR(INDEX(AC4641:AE4641,IF(COUNTA(AC4641:AE4641)=0,"",MAX((AC4641:AE4641&lt;&gt;"")*(COLUMN(AC4641:AE4641)-(COLUMN(AC4641)-2))))-1),"")</f>
        <v/>
      </c>
      <c r="M4641" s="13"/>
      <c r="N4641" s="13"/>
      <c r="O4641" s="13"/>
      <c r="P4641" s="26"/>
      <c r="Q4641" s="20"/>
      <c r="R4641" s="13"/>
      <c r="S4641" s="25"/>
      <c r="T4641" s="13"/>
      <c r="U4641" s="13"/>
      <c r="V4641" s="13"/>
      <c r="W4641" s="13"/>
      <c r="X4641" s="21"/>
      <c r="Y4641" s="22"/>
      <c r="Z4641" s="23"/>
      <c r="AA4641" s="23"/>
      <c r="AB4641" s="15"/>
      <c r="AC4641" s="14"/>
      <c r="AD4641" s="18"/>
      <c r="AE4641" s="18"/>
    </row>
    <row r="4642" customFormat="false" ht="15" hidden="false" customHeight="true" outlineLevel="0" collapsed="false">
      <c r="A4642" s="12"/>
      <c r="B4642" s="13"/>
      <c r="C4642" s="14"/>
      <c r="D4642" s="13"/>
      <c r="E4642" s="15"/>
      <c r="F4642" s="15"/>
      <c r="G4642" s="15"/>
      <c r="H4642" s="13"/>
      <c r="I4642" s="13"/>
      <c r="J4642" s="16"/>
      <c r="K4642" s="16"/>
      <c r="L4642" s="17" t="str">
        <f aca="false" t="array" ref="L4642:L4642">IFERROR(INDEX(AC4642:AE4642,IF(COUNTA(AC4642:AE4642)=0,"",MAX((AC4642:AE4642&lt;&gt;"")*(COLUMN(AC4642:AE4642)-(COLUMN(AC4642)-2))))-1),"")</f>
        <v/>
      </c>
      <c r="M4642" s="13"/>
      <c r="N4642" s="13"/>
      <c r="O4642" s="13"/>
      <c r="P4642" s="26"/>
      <c r="Q4642" s="20"/>
      <c r="R4642" s="13"/>
      <c r="S4642" s="25"/>
      <c r="T4642" s="13"/>
      <c r="U4642" s="13"/>
      <c r="V4642" s="13"/>
      <c r="W4642" s="13"/>
      <c r="X4642" s="21"/>
      <c r="Y4642" s="22"/>
      <c r="Z4642" s="23"/>
      <c r="AA4642" s="23"/>
      <c r="AB4642" s="15"/>
      <c r="AC4642" s="14"/>
      <c r="AD4642" s="18"/>
      <c r="AE4642" s="18"/>
    </row>
    <row r="4643" customFormat="false" ht="15" hidden="false" customHeight="true" outlineLevel="0" collapsed="false">
      <c r="A4643" s="12"/>
      <c r="B4643" s="13"/>
      <c r="C4643" s="14"/>
      <c r="D4643" s="13"/>
      <c r="E4643" s="15"/>
      <c r="F4643" s="15"/>
      <c r="G4643" s="15"/>
      <c r="H4643" s="13"/>
      <c r="I4643" s="13"/>
      <c r="J4643" s="16"/>
      <c r="K4643" s="16"/>
      <c r="L4643" s="17" t="str">
        <f aca="false" t="array" ref="L4643:L4643">IFERROR(INDEX(AC4643:AE4643,IF(COUNTA(AC4643:AE4643)=0,"",MAX((AC4643:AE4643&lt;&gt;"")*(COLUMN(AC4643:AE4643)-(COLUMN(AC4643)-2))))-1),"")</f>
        <v/>
      </c>
      <c r="M4643" s="13"/>
      <c r="N4643" s="13"/>
      <c r="O4643" s="13"/>
      <c r="P4643" s="26"/>
      <c r="Q4643" s="20"/>
      <c r="R4643" s="13"/>
      <c r="S4643" s="25"/>
      <c r="T4643" s="13"/>
      <c r="U4643" s="13"/>
      <c r="V4643" s="13"/>
      <c r="W4643" s="13"/>
      <c r="X4643" s="21"/>
      <c r="Y4643" s="22"/>
      <c r="Z4643" s="23"/>
      <c r="AA4643" s="23"/>
      <c r="AB4643" s="15"/>
      <c r="AC4643" s="14"/>
      <c r="AD4643" s="18"/>
      <c r="AE4643" s="18"/>
    </row>
    <row r="4644" customFormat="false" ht="15" hidden="false" customHeight="true" outlineLevel="0" collapsed="false">
      <c r="A4644" s="12"/>
      <c r="B4644" s="13"/>
      <c r="C4644" s="14"/>
      <c r="D4644" s="13"/>
      <c r="E4644" s="15"/>
      <c r="F4644" s="15"/>
      <c r="G4644" s="15"/>
      <c r="H4644" s="13"/>
      <c r="I4644" s="13"/>
      <c r="J4644" s="16"/>
      <c r="K4644" s="16"/>
      <c r="L4644" s="17" t="str">
        <f aca="false" t="array" ref="L4644:L4644">IFERROR(INDEX(AC4644:AE4644,IF(COUNTA(AC4644:AE4644)=0,"",MAX((AC4644:AE4644&lt;&gt;"")*(COLUMN(AC4644:AE4644)-(COLUMN(AC4644)-2))))-1),"")</f>
        <v/>
      </c>
      <c r="M4644" s="13"/>
      <c r="N4644" s="13"/>
      <c r="O4644" s="13"/>
      <c r="P4644" s="26"/>
      <c r="Q4644" s="20"/>
      <c r="R4644" s="13"/>
      <c r="S4644" s="25"/>
      <c r="T4644" s="13"/>
      <c r="U4644" s="13"/>
      <c r="V4644" s="13"/>
      <c r="W4644" s="13"/>
      <c r="X4644" s="21"/>
      <c r="Y4644" s="22"/>
      <c r="Z4644" s="23"/>
      <c r="AA4644" s="23"/>
      <c r="AB4644" s="15"/>
      <c r="AC4644" s="14"/>
      <c r="AD4644" s="18"/>
      <c r="AE4644" s="18"/>
    </row>
    <row r="4645" customFormat="false" ht="15" hidden="false" customHeight="true" outlineLevel="0" collapsed="false">
      <c r="A4645" s="12"/>
      <c r="B4645" s="13"/>
      <c r="C4645" s="14"/>
      <c r="D4645" s="13"/>
      <c r="E4645" s="15"/>
      <c r="F4645" s="15"/>
      <c r="G4645" s="15"/>
      <c r="H4645" s="13"/>
      <c r="I4645" s="13"/>
      <c r="J4645" s="16"/>
      <c r="K4645" s="16"/>
      <c r="L4645" s="17" t="str">
        <f aca="false" t="array" ref="L4645:L4645">IFERROR(INDEX(AC4645:AE4645,IF(COUNTA(AC4645:AE4645)=0,"",MAX((AC4645:AE4645&lt;&gt;"")*(COLUMN(AC4645:AE4645)-(COLUMN(AC4645)-2))))-1),"")</f>
        <v/>
      </c>
      <c r="M4645" s="13"/>
      <c r="N4645" s="13"/>
      <c r="O4645" s="13"/>
      <c r="P4645" s="26"/>
      <c r="Q4645" s="20"/>
      <c r="R4645" s="13"/>
      <c r="S4645" s="25"/>
      <c r="T4645" s="13"/>
      <c r="U4645" s="13"/>
      <c r="V4645" s="13"/>
      <c r="W4645" s="13"/>
      <c r="X4645" s="21"/>
      <c r="Y4645" s="22"/>
      <c r="Z4645" s="23"/>
      <c r="AA4645" s="23"/>
      <c r="AB4645" s="15"/>
      <c r="AC4645" s="14"/>
      <c r="AD4645" s="18"/>
      <c r="AE4645" s="18"/>
    </row>
    <row r="4646" customFormat="false" ht="15" hidden="false" customHeight="true" outlineLevel="0" collapsed="false">
      <c r="A4646" s="12"/>
      <c r="B4646" s="13"/>
      <c r="C4646" s="14"/>
      <c r="D4646" s="13"/>
      <c r="E4646" s="15"/>
      <c r="F4646" s="15"/>
      <c r="G4646" s="15"/>
      <c r="H4646" s="13"/>
      <c r="I4646" s="13"/>
      <c r="J4646" s="16"/>
      <c r="K4646" s="16"/>
      <c r="L4646" s="17" t="str">
        <f aca="false" t="array" ref="L4646:L4646">IFERROR(INDEX(AC4646:AE4646,IF(COUNTA(AC4646:AE4646)=0,"",MAX((AC4646:AE4646&lt;&gt;"")*(COLUMN(AC4646:AE4646)-(COLUMN(AC4646)-2))))-1),"")</f>
        <v/>
      </c>
      <c r="M4646" s="13"/>
      <c r="N4646" s="13"/>
      <c r="O4646" s="13"/>
      <c r="P4646" s="26"/>
      <c r="Q4646" s="20"/>
      <c r="R4646" s="13"/>
      <c r="S4646" s="25"/>
      <c r="T4646" s="13"/>
      <c r="U4646" s="13"/>
      <c r="V4646" s="13"/>
      <c r="W4646" s="13"/>
      <c r="X4646" s="21"/>
      <c r="Y4646" s="22"/>
      <c r="Z4646" s="23"/>
      <c r="AA4646" s="23"/>
      <c r="AB4646" s="15"/>
      <c r="AC4646" s="14"/>
      <c r="AD4646" s="18"/>
      <c r="AE4646" s="18"/>
    </row>
    <row r="4647" customFormat="false" ht="15" hidden="false" customHeight="true" outlineLevel="0" collapsed="false">
      <c r="A4647" s="12"/>
      <c r="B4647" s="13"/>
      <c r="C4647" s="14"/>
      <c r="D4647" s="13"/>
      <c r="E4647" s="15"/>
      <c r="F4647" s="15"/>
      <c r="G4647" s="15"/>
      <c r="H4647" s="13"/>
      <c r="I4647" s="13"/>
      <c r="J4647" s="16"/>
      <c r="K4647" s="16"/>
      <c r="L4647" s="17" t="str">
        <f aca="false" t="array" ref="L4647:L4647">IFERROR(INDEX(AC4647:AE4647,IF(COUNTA(AC4647:AE4647)=0,"",MAX((AC4647:AE4647&lt;&gt;"")*(COLUMN(AC4647:AE4647)-(COLUMN(AC4647)-2))))-1),"")</f>
        <v/>
      </c>
      <c r="M4647" s="13"/>
      <c r="N4647" s="13"/>
      <c r="O4647" s="13"/>
      <c r="P4647" s="26"/>
      <c r="Q4647" s="20"/>
      <c r="R4647" s="13"/>
      <c r="S4647" s="25"/>
      <c r="T4647" s="13"/>
      <c r="U4647" s="13"/>
      <c r="V4647" s="13"/>
      <c r="W4647" s="13"/>
      <c r="X4647" s="21"/>
      <c r="Y4647" s="22"/>
      <c r="Z4647" s="23"/>
      <c r="AA4647" s="23"/>
      <c r="AB4647" s="15"/>
      <c r="AC4647" s="14"/>
      <c r="AD4647" s="18"/>
      <c r="AE4647" s="18"/>
    </row>
    <row r="4648" customFormat="false" ht="15" hidden="false" customHeight="true" outlineLevel="0" collapsed="false">
      <c r="A4648" s="12"/>
      <c r="B4648" s="13"/>
      <c r="C4648" s="14"/>
      <c r="D4648" s="13"/>
      <c r="E4648" s="15"/>
      <c r="F4648" s="15"/>
      <c r="G4648" s="15"/>
      <c r="H4648" s="13"/>
      <c r="I4648" s="13"/>
      <c r="J4648" s="16"/>
      <c r="K4648" s="16"/>
      <c r="L4648" s="17" t="str">
        <f aca="false" t="array" ref="L4648:L4648">IFERROR(INDEX(AC4648:AE4648,IF(COUNTA(AC4648:AE4648)=0,"",MAX((AC4648:AE4648&lt;&gt;"")*(COLUMN(AC4648:AE4648)-(COLUMN(AC4648)-2))))-1),"")</f>
        <v/>
      </c>
      <c r="M4648" s="13"/>
      <c r="N4648" s="13"/>
      <c r="O4648" s="13"/>
      <c r="P4648" s="26"/>
      <c r="Q4648" s="20"/>
      <c r="R4648" s="13"/>
      <c r="S4648" s="25"/>
      <c r="T4648" s="13"/>
      <c r="U4648" s="13"/>
      <c r="V4648" s="13"/>
      <c r="W4648" s="13"/>
      <c r="X4648" s="21"/>
      <c r="Y4648" s="22"/>
      <c r="Z4648" s="23"/>
      <c r="AA4648" s="23"/>
      <c r="AB4648" s="15"/>
      <c r="AC4648" s="14"/>
      <c r="AD4648" s="18"/>
      <c r="AE4648" s="18"/>
    </row>
    <row r="4649" customFormat="false" ht="15" hidden="false" customHeight="true" outlineLevel="0" collapsed="false">
      <c r="A4649" s="12"/>
      <c r="B4649" s="13"/>
      <c r="C4649" s="14"/>
      <c r="D4649" s="13"/>
      <c r="E4649" s="15"/>
      <c r="F4649" s="15"/>
      <c r="G4649" s="15"/>
      <c r="H4649" s="13"/>
      <c r="I4649" s="13"/>
      <c r="J4649" s="16"/>
      <c r="K4649" s="16"/>
      <c r="L4649" s="17" t="str">
        <f aca="false" t="array" ref="L4649:L4649">IFERROR(INDEX(AC4649:AE4649,IF(COUNTA(AC4649:AE4649)=0,"",MAX((AC4649:AE4649&lt;&gt;"")*(COLUMN(AC4649:AE4649)-(COLUMN(AC4649)-2))))-1),"")</f>
        <v/>
      </c>
      <c r="M4649" s="13"/>
      <c r="N4649" s="13"/>
      <c r="O4649" s="13"/>
      <c r="P4649" s="26"/>
      <c r="Q4649" s="20"/>
      <c r="R4649" s="13"/>
      <c r="S4649" s="25"/>
      <c r="T4649" s="13"/>
      <c r="U4649" s="13"/>
      <c r="V4649" s="13"/>
      <c r="W4649" s="13"/>
      <c r="X4649" s="21"/>
      <c r="Y4649" s="22"/>
      <c r="Z4649" s="23"/>
      <c r="AA4649" s="23"/>
      <c r="AB4649" s="15"/>
      <c r="AC4649" s="14"/>
      <c r="AD4649" s="18"/>
      <c r="AE4649" s="18"/>
    </row>
    <row r="4650" customFormat="false" ht="15" hidden="false" customHeight="true" outlineLevel="0" collapsed="false">
      <c r="A4650" s="12"/>
      <c r="B4650" s="13"/>
      <c r="C4650" s="14"/>
      <c r="D4650" s="13"/>
      <c r="E4650" s="15"/>
      <c r="F4650" s="15"/>
      <c r="G4650" s="15"/>
      <c r="H4650" s="13"/>
      <c r="I4650" s="13"/>
      <c r="J4650" s="16"/>
      <c r="K4650" s="16"/>
      <c r="L4650" s="17" t="str">
        <f aca="false" t="array" ref="L4650:L4650">IFERROR(INDEX(AC4650:AE4650,IF(COUNTA(AC4650:AE4650)=0,"",MAX((AC4650:AE4650&lt;&gt;"")*(COLUMN(AC4650:AE4650)-(COLUMN(AC4650)-2))))-1),"")</f>
        <v/>
      </c>
      <c r="M4650" s="13"/>
      <c r="N4650" s="13"/>
      <c r="O4650" s="13"/>
      <c r="P4650" s="26"/>
      <c r="Q4650" s="20"/>
      <c r="R4650" s="13"/>
      <c r="S4650" s="25"/>
      <c r="T4650" s="13"/>
      <c r="U4650" s="13"/>
      <c r="V4650" s="13"/>
      <c r="W4650" s="13"/>
      <c r="X4650" s="21"/>
      <c r="Y4650" s="22"/>
      <c r="Z4650" s="23"/>
      <c r="AA4650" s="23"/>
      <c r="AB4650" s="15"/>
      <c r="AC4650" s="14"/>
      <c r="AD4650" s="18"/>
      <c r="AE4650" s="18"/>
    </row>
    <row r="4651" customFormat="false" ht="15" hidden="false" customHeight="true" outlineLevel="0" collapsed="false">
      <c r="A4651" s="12"/>
      <c r="B4651" s="13"/>
      <c r="C4651" s="14"/>
      <c r="D4651" s="13"/>
      <c r="E4651" s="15"/>
      <c r="F4651" s="15"/>
      <c r="G4651" s="15"/>
      <c r="H4651" s="13"/>
      <c r="I4651" s="13"/>
      <c r="J4651" s="16"/>
      <c r="K4651" s="16"/>
      <c r="L4651" s="17" t="str">
        <f aca="false" t="array" ref="L4651:L4651">IFERROR(INDEX(AC4651:AE4651,IF(COUNTA(AC4651:AE4651)=0,"",MAX((AC4651:AE4651&lt;&gt;"")*(COLUMN(AC4651:AE4651)-(COLUMN(AC4651)-2))))-1),"")</f>
        <v/>
      </c>
      <c r="M4651" s="13"/>
      <c r="N4651" s="13"/>
      <c r="O4651" s="13"/>
      <c r="P4651" s="26"/>
      <c r="Q4651" s="20"/>
      <c r="R4651" s="13"/>
      <c r="S4651" s="25"/>
      <c r="T4651" s="13"/>
      <c r="U4651" s="13"/>
      <c r="V4651" s="13"/>
      <c r="W4651" s="13"/>
      <c r="X4651" s="21"/>
      <c r="Y4651" s="22"/>
      <c r="Z4651" s="23"/>
      <c r="AA4651" s="23"/>
      <c r="AB4651" s="15"/>
      <c r="AC4651" s="14"/>
      <c r="AD4651" s="18"/>
      <c r="AE4651" s="18"/>
    </row>
    <row r="4652" customFormat="false" ht="15" hidden="false" customHeight="true" outlineLevel="0" collapsed="false">
      <c r="A4652" s="12"/>
      <c r="B4652" s="13"/>
      <c r="C4652" s="14"/>
      <c r="D4652" s="13"/>
      <c r="E4652" s="15"/>
      <c r="F4652" s="15"/>
      <c r="G4652" s="15"/>
      <c r="H4652" s="13"/>
      <c r="I4652" s="13"/>
      <c r="J4652" s="16"/>
      <c r="K4652" s="16"/>
      <c r="L4652" s="17" t="str">
        <f aca="false" t="array" ref="L4652:L4652">IFERROR(INDEX(AC4652:AE4652,IF(COUNTA(AC4652:AE4652)=0,"",MAX((AC4652:AE4652&lt;&gt;"")*(COLUMN(AC4652:AE4652)-(COLUMN(AC4652)-2))))-1),"")</f>
        <v/>
      </c>
      <c r="M4652" s="13"/>
      <c r="N4652" s="13"/>
      <c r="O4652" s="13"/>
      <c r="P4652" s="26"/>
      <c r="Q4652" s="20"/>
      <c r="R4652" s="13"/>
      <c r="S4652" s="25"/>
      <c r="T4652" s="13"/>
      <c r="U4652" s="13"/>
      <c r="V4652" s="13"/>
      <c r="W4652" s="13"/>
      <c r="X4652" s="21"/>
      <c r="Y4652" s="22"/>
      <c r="Z4652" s="23"/>
      <c r="AA4652" s="23"/>
      <c r="AB4652" s="15"/>
      <c r="AC4652" s="14"/>
      <c r="AD4652" s="18"/>
      <c r="AE4652" s="18"/>
    </row>
    <row r="4653" customFormat="false" ht="15" hidden="false" customHeight="true" outlineLevel="0" collapsed="false">
      <c r="A4653" s="12"/>
      <c r="B4653" s="13"/>
      <c r="C4653" s="14"/>
      <c r="D4653" s="13"/>
      <c r="E4653" s="15"/>
      <c r="F4653" s="15"/>
      <c r="G4653" s="15"/>
      <c r="H4653" s="13"/>
      <c r="I4653" s="13"/>
      <c r="J4653" s="16"/>
      <c r="K4653" s="16"/>
      <c r="L4653" s="17" t="str">
        <f aca="false" t="array" ref="L4653:L4653">IFERROR(INDEX(AC4653:AE4653,IF(COUNTA(AC4653:AE4653)=0,"",MAX((AC4653:AE4653&lt;&gt;"")*(COLUMN(AC4653:AE4653)-(COLUMN(AC4653)-2))))-1),"")</f>
        <v/>
      </c>
      <c r="M4653" s="13"/>
      <c r="N4653" s="13"/>
      <c r="O4653" s="13"/>
      <c r="P4653" s="26"/>
      <c r="Q4653" s="20"/>
      <c r="R4653" s="13"/>
      <c r="S4653" s="25"/>
      <c r="T4653" s="13"/>
      <c r="U4653" s="13"/>
      <c r="V4653" s="13"/>
      <c r="W4653" s="13"/>
      <c r="X4653" s="21"/>
      <c r="Y4653" s="22"/>
      <c r="Z4653" s="23"/>
      <c r="AA4653" s="23"/>
      <c r="AB4653" s="15"/>
      <c r="AC4653" s="14"/>
      <c r="AD4653" s="18"/>
      <c r="AE4653" s="18"/>
    </row>
    <row r="4654" customFormat="false" ht="15" hidden="false" customHeight="true" outlineLevel="0" collapsed="false">
      <c r="A4654" s="12"/>
      <c r="B4654" s="13"/>
      <c r="C4654" s="14"/>
      <c r="D4654" s="13"/>
      <c r="E4654" s="15"/>
      <c r="F4654" s="15"/>
      <c r="G4654" s="15"/>
      <c r="H4654" s="13"/>
      <c r="I4654" s="13"/>
      <c r="J4654" s="16"/>
      <c r="K4654" s="16"/>
      <c r="L4654" s="17" t="str">
        <f aca="false" t="array" ref="L4654:L4654">IFERROR(INDEX(AC4654:AE4654,IF(COUNTA(AC4654:AE4654)=0,"",MAX((AC4654:AE4654&lt;&gt;"")*(COLUMN(AC4654:AE4654)-(COLUMN(AC4654)-2))))-1),"")</f>
        <v/>
      </c>
      <c r="M4654" s="13"/>
      <c r="N4654" s="13"/>
      <c r="O4654" s="13"/>
      <c r="P4654" s="26"/>
      <c r="Q4654" s="20"/>
      <c r="R4654" s="13"/>
      <c r="S4654" s="25"/>
      <c r="T4654" s="13"/>
      <c r="U4654" s="13"/>
      <c r="V4654" s="13"/>
      <c r="W4654" s="13"/>
      <c r="X4654" s="21"/>
      <c r="Y4654" s="22"/>
      <c r="Z4654" s="23"/>
      <c r="AA4654" s="23"/>
      <c r="AB4654" s="15"/>
      <c r="AC4654" s="14"/>
      <c r="AD4654" s="18"/>
      <c r="AE4654" s="18"/>
    </row>
    <row r="4655" customFormat="false" ht="15" hidden="false" customHeight="true" outlineLevel="0" collapsed="false">
      <c r="A4655" s="12"/>
      <c r="B4655" s="13"/>
      <c r="C4655" s="14"/>
      <c r="D4655" s="13"/>
      <c r="E4655" s="15"/>
      <c r="F4655" s="15"/>
      <c r="G4655" s="15"/>
      <c r="H4655" s="13"/>
      <c r="I4655" s="13"/>
      <c r="J4655" s="16"/>
      <c r="K4655" s="16"/>
      <c r="L4655" s="17" t="str">
        <f aca="false" t="array" ref="L4655:L4655">IFERROR(INDEX(AC4655:AE4655,IF(COUNTA(AC4655:AE4655)=0,"",MAX((AC4655:AE4655&lt;&gt;"")*(COLUMN(AC4655:AE4655)-(COLUMN(AC4655)-2))))-1),"")</f>
        <v/>
      </c>
      <c r="M4655" s="13"/>
      <c r="N4655" s="13"/>
      <c r="O4655" s="13"/>
      <c r="P4655" s="26"/>
      <c r="Q4655" s="20"/>
      <c r="R4655" s="13"/>
      <c r="S4655" s="25"/>
      <c r="T4655" s="13"/>
      <c r="U4655" s="13"/>
      <c r="V4655" s="13"/>
      <c r="W4655" s="13"/>
      <c r="X4655" s="21"/>
      <c r="Y4655" s="22"/>
      <c r="Z4655" s="23"/>
      <c r="AA4655" s="23"/>
      <c r="AB4655" s="15"/>
      <c r="AC4655" s="14"/>
      <c r="AD4655" s="18"/>
      <c r="AE4655" s="18"/>
    </row>
    <row r="4656" customFormat="false" ht="15" hidden="false" customHeight="true" outlineLevel="0" collapsed="false">
      <c r="A4656" s="12"/>
      <c r="B4656" s="13"/>
      <c r="C4656" s="14"/>
      <c r="D4656" s="13"/>
      <c r="E4656" s="15"/>
      <c r="F4656" s="15"/>
      <c r="G4656" s="15"/>
      <c r="H4656" s="13"/>
      <c r="I4656" s="13"/>
      <c r="J4656" s="16"/>
      <c r="K4656" s="16"/>
      <c r="L4656" s="17" t="str">
        <f aca="false" t="array" ref="L4656:L4656">IFERROR(INDEX(AC4656:AE4656,IF(COUNTA(AC4656:AE4656)=0,"",MAX((AC4656:AE4656&lt;&gt;"")*(COLUMN(AC4656:AE4656)-(COLUMN(AC4656)-2))))-1),"")</f>
        <v/>
      </c>
      <c r="M4656" s="13"/>
      <c r="N4656" s="13"/>
      <c r="O4656" s="13"/>
      <c r="P4656" s="26"/>
      <c r="Q4656" s="20"/>
      <c r="R4656" s="13"/>
      <c r="S4656" s="25"/>
      <c r="T4656" s="13"/>
      <c r="U4656" s="13"/>
      <c r="V4656" s="13"/>
      <c r="W4656" s="13"/>
      <c r="X4656" s="21"/>
      <c r="Y4656" s="22"/>
      <c r="Z4656" s="23"/>
      <c r="AA4656" s="23"/>
      <c r="AB4656" s="15"/>
      <c r="AC4656" s="14"/>
      <c r="AD4656" s="18"/>
      <c r="AE4656" s="18"/>
    </row>
    <row r="4657" customFormat="false" ht="15" hidden="false" customHeight="true" outlineLevel="0" collapsed="false">
      <c r="A4657" s="12"/>
      <c r="B4657" s="13"/>
      <c r="C4657" s="14"/>
      <c r="D4657" s="13"/>
      <c r="E4657" s="15"/>
      <c r="F4657" s="15"/>
      <c r="G4657" s="15"/>
      <c r="H4657" s="13"/>
      <c r="I4657" s="13"/>
      <c r="J4657" s="16"/>
      <c r="K4657" s="16"/>
      <c r="L4657" s="17" t="str">
        <f aca="false" t="array" ref="L4657:L4657">IFERROR(INDEX(AC4657:AE4657,IF(COUNTA(AC4657:AE4657)=0,"",MAX((AC4657:AE4657&lt;&gt;"")*(COLUMN(AC4657:AE4657)-(COLUMN(AC4657)-2))))-1),"")</f>
        <v/>
      </c>
      <c r="M4657" s="13"/>
      <c r="N4657" s="13"/>
      <c r="O4657" s="13"/>
      <c r="P4657" s="26"/>
      <c r="Q4657" s="20"/>
      <c r="R4657" s="13"/>
      <c r="S4657" s="25"/>
      <c r="T4657" s="13"/>
      <c r="U4657" s="13"/>
      <c r="V4657" s="13"/>
      <c r="W4657" s="13"/>
      <c r="X4657" s="21"/>
      <c r="Y4657" s="22"/>
      <c r="Z4657" s="23"/>
      <c r="AA4657" s="23"/>
      <c r="AB4657" s="15"/>
      <c r="AC4657" s="14"/>
      <c r="AD4657" s="18"/>
      <c r="AE4657" s="18"/>
    </row>
    <row r="4658" customFormat="false" ht="15" hidden="false" customHeight="true" outlineLevel="0" collapsed="false">
      <c r="A4658" s="12"/>
      <c r="B4658" s="13"/>
      <c r="C4658" s="14"/>
      <c r="D4658" s="13"/>
      <c r="E4658" s="15"/>
      <c r="F4658" s="15"/>
      <c r="G4658" s="15"/>
      <c r="H4658" s="13"/>
      <c r="I4658" s="13"/>
      <c r="J4658" s="16"/>
      <c r="K4658" s="16"/>
      <c r="L4658" s="17" t="str">
        <f aca="false" t="array" ref="L4658:L4658">IFERROR(INDEX(AC4658:AE4658,IF(COUNTA(AC4658:AE4658)=0,"",MAX((AC4658:AE4658&lt;&gt;"")*(COLUMN(AC4658:AE4658)-(COLUMN(AC4658)-2))))-1),"")</f>
        <v/>
      </c>
      <c r="M4658" s="13"/>
      <c r="N4658" s="13"/>
      <c r="O4658" s="13"/>
      <c r="P4658" s="26"/>
      <c r="Q4658" s="20"/>
      <c r="R4658" s="13"/>
      <c r="S4658" s="25"/>
      <c r="T4658" s="13"/>
      <c r="U4658" s="13"/>
      <c r="V4658" s="13"/>
      <c r="W4658" s="13"/>
      <c r="X4658" s="21"/>
      <c r="Y4658" s="22"/>
      <c r="Z4658" s="23"/>
      <c r="AA4658" s="23"/>
      <c r="AB4658" s="15"/>
      <c r="AC4658" s="14"/>
      <c r="AD4658" s="18"/>
      <c r="AE4658" s="18"/>
    </row>
    <row r="4659" customFormat="false" ht="15" hidden="false" customHeight="true" outlineLevel="0" collapsed="false">
      <c r="A4659" s="12"/>
      <c r="B4659" s="13"/>
      <c r="C4659" s="14"/>
      <c r="D4659" s="13"/>
      <c r="E4659" s="15"/>
      <c r="F4659" s="15"/>
      <c r="G4659" s="15"/>
      <c r="H4659" s="13"/>
      <c r="I4659" s="13"/>
      <c r="J4659" s="16"/>
      <c r="K4659" s="16"/>
      <c r="L4659" s="17" t="str">
        <f aca="false" t="array" ref="L4659:L4659">IFERROR(INDEX(AC4659:AE4659,IF(COUNTA(AC4659:AE4659)=0,"",MAX((AC4659:AE4659&lt;&gt;"")*(COLUMN(AC4659:AE4659)-(COLUMN(AC4659)-2))))-1),"")</f>
        <v/>
      </c>
      <c r="M4659" s="13"/>
      <c r="N4659" s="13"/>
      <c r="O4659" s="13"/>
      <c r="P4659" s="26"/>
      <c r="Q4659" s="20"/>
      <c r="R4659" s="13"/>
      <c r="S4659" s="25"/>
      <c r="T4659" s="13"/>
      <c r="U4659" s="13"/>
      <c r="V4659" s="13"/>
      <c r="W4659" s="13"/>
      <c r="X4659" s="21"/>
      <c r="Y4659" s="22"/>
      <c r="Z4659" s="23"/>
      <c r="AA4659" s="23"/>
      <c r="AB4659" s="15"/>
      <c r="AC4659" s="14"/>
      <c r="AD4659" s="18"/>
      <c r="AE4659" s="18"/>
    </row>
    <row r="4660" customFormat="false" ht="15" hidden="false" customHeight="true" outlineLevel="0" collapsed="false">
      <c r="A4660" s="12"/>
      <c r="B4660" s="13"/>
      <c r="C4660" s="14"/>
      <c r="D4660" s="13"/>
      <c r="E4660" s="15"/>
      <c r="F4660" s="15"/>
      <c r="G4660" s="15"/>
      <c r="H4660" s="13"/>
      <c r="I4660" s="13"/>
      <c r="J4660" s="16"/>
      <c r="K4660" s="16"/>
      <c r="L4660" s="17" t="str">
        <f aca="false" t="array" ref="L4660:L4660">IFERROR(INDEX(AC4660:AE4660,IF(COUNTA(AC4660:AE4660)=0,"",MAX((AC4660:AE4660&lt;&gt;"")*(COLUMN(AC4660:AE4660)-(COLUMN(AC4660)-2))))-1),"")</f>
        <v/>
      </c>
      <c r="M4660" s="13"/>
      <c r="N4660" s="13"/>
      <c r="O4660" s="13"/>
      <c r="P4660" s="26"/>
      <c r="Q4660" s="20"/>
      <c r="R4660" s="13"/>
      <c r="S4660" s="25"/>
      <c r="T4660" s="13"/>
      <c r="U4660" s="13"/>
      <c r="V4660" s="13"/>
      <c r="W4660" s="13"/>
      <c r="X4660" s="21"/>
      <c r="Y4660" s="22"/>
      <c r="Z4660" s="23"/>
      <c r="AA4660" s="23"/>
      <c r="AB4660" s="15"/>
      <c r="AC4660" s="14"/>
      <c r="AD4660" s="18"/>
      <c r="AE4660" s="18"/>
    </row>
    <row r="4661" customFormat="false" ht="15" hidden="false" customHeight="true" outlineLevel="0" collapsed="false">
      <c r="A4661" s="12"/>
      <c r="B4661" s="13"/>
      <c r="C4661" s="14"/>
      <c r="D4661" s="13"/>
      <c r="E4661" s="15"/>
      <c r="F4661" s="15"/>
      <c r="G4661" s="15"/>
      <c r="H4661" s="13"/>
      <c r="I4661" s="13"/>
      <c r="J4661" s="16"/>
      <c r="K4661" s="16"/>
      <c r="L4661" s="17" t="str">
        <f aca="false" t="array" ref="L4661:L4661">IFERROR(INDEX(AC4661:AE4661,IF(COUNTA(AC4661:AE4661)=0,"",MAX((AC4661:AE4661&lt;&gt;"")*(COLUMN(AC4661:AE4661)-(COLUMN(AC4661)-2))))-1),"")</f>
        <v/>
      </c>
      <c r="M4661" s="13"/>
      <c r="N4661" s="13"/>
      <c r="O4661" s="13"/>
      <c r="P4661" s="26"/>
      <c r="Q4661" s="20"/>
      <c r="R4661" s="13"/>
      <c r="S4661" s="25"/>
      <c r="T4661" s="13"/>
      <c r="U4661" s="13"/>
      <c r="V4661" s="13"/>
      <c r="W4661" s="13"/>
      <c r="X4661" s="21"/>
      <c r="Y4661" s="22"/>
      <c r="Z4661" s="23"/>
      <c r="AA4661" s="23"/>
      <c r="AB4661" s="15"/>
      <c r="AC4661" s="14"/>
      <c r="AD4661" s="18"/>
      <c r="AE4661" s="18"/>
    </row>
    <row r="4662" customFormat="false" ht="15" hidden="false" customHeight="true" outlineLevel="0" collapsed="false">
      <c r="A4662" s="12"/>
      <c r="B4662" s="13"/>
      <c r="C4662" s="14"/>
      <c r="D4662" s="13"/>
      <c r="E4662" s="15"/>
      <c r="F4662" s="15"/>
      <c r="G4662" s="15"/>
      <c r="H4662" s="13"/>
      <c r="I4662" s="13"/>
      <c r="J4662" s="16"/>
      <c r="K4662" s="16"/>
      <c r="L4662" s="17" t="str">
        <f aca="false" t="array" ref="L4662:L4662">IFERROR(INDEX(AC4662:AE4662,IF(COUNTA(AC4662:AE4662)=0,"",MAX((AC4662:AE4662&lt;&gt;"")*(COLUMN(AC4662:AE4662)-(COLUMN(AC4662)-2))))-1),"")</f>
        <v/>
      </c>
      <c r="M4662" s="13"/>
      <c r="N4662" s="13"/>
      <c r="O4662" s="13"/>
      <c r="P4662" s="26"/>
      <c r="Q4662" s="20"/>
      <c r="R4662" s="13"/>
      <c r="S4662" s="25"/>
      <c r="T4662" s="13"/>
      <c r="U4662" s="13"/>
      <c r="V4662" s="13"/>
      <c r="W4662" s="13"/>
      <c r="X4662" s="21"/>
      <c r="Y4662" s="22"/>
      <c r="Z4662" s="23"/>
      <c r="AA4662" s="23"/>
      <c r="AB4662" s="15"/>
      <c r="AC4662" s="14"/>
      <c r="AD4662" s="18"/>
      <c r="AE4662" s="18"/>
    </row>
    <row r="4663" customFormat="false" ht="15" hidden="false" customHeight="true" outlineLevel="0" collapsed="false">
      <c r="A4663" s="12"/>
      <c r="B4663" s="13"/>
      <c r="C4663" s="14"/>
      <c r="D4663" s="13"/>
      <c r="E4663" s="15"/>
      <c r="F4663" s="15"/>
      <c r="G4663" s="15"/>
      <c r="H4663" s="13"/>
      <c r="I4663" s="13"/>
      <c r="J4663" s="16"/>
      <c r="K4663" s="16"/>
      <c r="L4663" s="17" t="str">
        <f aca="false" t="array" ref="L4663:L4663">IFERROR(INDEX(AC4663:AE4663,IF(COUNTA(AC4663:AE4663)=0,"",MAX((AC4663:AE4663&lt;&gt;"")*(COLUMN(AC4663:AE4663)-(COLUMN(AC4663)-2))))-1),"")</f>
        <v/>
      </c>
      <c r="M4663" s="13"/>
      <c r="N4663" s="13"/>
      <c r="O4663" s="13"/>
      <c r="P4663" s="26"/>
      <c r="Q4663" s="20"/>
      <c r="R4663" s="13"/>
      <c r="S4663" s="25"/>
      <c r="T4663" s="13"/>
      <c r="U4663" s="13"/>
      <c r="V4663" s="13"/>
      <c r="W4663" s="13"/>
      <c r="X4663" s="21"/>
      <c r="Y4663" s="22"/>
      <c r="Z4663" s="23"/>
      <c r="AA4663" s="23"/>
      <c r="AB4663" s="15"/>
      <c r="AC4663" s="14"/>
      <c r="AD4663" s="18"/>
      <c r="AE4663" s="18"/>
    </row>
    <row r="4664" customFormat="false" ht="15" hidden="false" customHeight="true" outlineLevel="0" collapsed="false">
      <c r="A4664" s="12"/>
      <c r="B4664" s="13"/>
      <c r="C4664" s="14"/>
      <c r="D4664" s="13"/>
      <c r="E4664" s="15"/>
      <c r="F4664" s="15"/>
      <c r="G4664" s="15"/>
      <c r="H4664" s="13"/>
      <c r="I4664" s="13"/>
      <c r="J4664" s="16"/>
      <c r="K4664" s="16"/>
      <c r="L4664" s="17" t="str">
        <f aca="false" t="array" ref="L4664:L4664">IFERROR(INDEX(AC4664:AE4664,IF(COUNTA(AC4664:AE4664)=0,"",MAX((AC4664:AE4664&lt;&gt;"")*(COLUMN(AC4664:AE4664)-(COLUMN(AC4664)-2))))-1),"")</f>
        <v/>
      </c>
      <c r="M4664" s="13"/>
      <c r="N4664" s="13"/>
      <c r="O4664" s="13"/>
      <c r="P4664" s="26"/>
      <c r="Q4664" s="20"/>
      <c r="R4664" s="13"/>
      <c r="S4664" s="25"/>
      <c r="T4664" s="13"/>
      <c r="U4664" s="13"/>
      <c r="V4664" s="13"/>
      <c r="W4664" s="13"/>
      <c r="X4664" s="21"/>
      <c r="Y4664" s="22"/>
      <c r="Z4664" s="23"/>
      <c r="AA4664" s="23"/>
      <c r="AB4664" s="15"/>
      <c r="AC4664" s="14"/>
      <c r="AD4664" s="18"/>
      <c r="AE4664" s="18"/>
    </row>
    <row r="4665" customFormat="false" ht="15" hidden="false" customHeight="true" outlineLevel="0" collapsed="false">
      <c r="A4665" s="12"/>
      <c r="B4665" s="13"/>
      <c r="C4665" s="14"/>
      <c r="D4665" s="13"/>
      <c r="E4665" s="15"/>
      <c r="F4665" s="15"/>
      <c r="G4665" s="15"/>
      <c r="H4665" s="13"/>
      <c r="I4665" s="13"/>
      <c r="J4665" s="16"/>
      <c r="K4665" s="16"/>
      <c r="L4665" s="17" t="str">
        <f aca="false" t="array" ref="L4665:L4665">IFERROR(INDEX(AC4665:AE4665,IF(COUNTA(AC4665:AE4665)=0,"",MAX((AC4665:AE4665&lt;&gt;"")*(COLUMN(AC4665:AE4665)-(COLUMN(AC4665)-2))))-1),"")</f>
        <v/>
      </c>
      <c r="M4665" s="13"/>
      <c r="N4665" s="13"/>
      <c r="O4665" s="13"/>
      <c r="P4665" s="26"/>
      <c r="Q4665" s="20"/>
      <c r="R4665" s="13"/>
      <c r="S4665" s="25"/>
      <c r="T4665" s="13"/>
      <c r="U4665" s="13"/>
      <c r="V4665" s="13"/>
      <c r="W4665" s="13"/>
      <c r="X4665" s="21"/>
      <c r="Y4665" s="22"/>
      <c r="Z4665" s="23"/>
      <c r="AA4665" s="23"/>
      <c r="AB4665" s="15"/>
      <c r="AC4665" s="14"/>
      <c r="AD4665" s="18"/>
      <c r="AE4665" s="18"/>
    </row>
    <row r="4666" customFormat="false" ht="15" hidden="false" customHeight="true" outlineLevel="0" collapsed="false">
      <c r="A4666" s="12"/>
      <c r="B4666" s="13"/>
      <c r="C4666" s="14"/>
      <c r="D4666" s="13"/>
      <c r="E4666" s="15"/>
      <c r="F4666" s="15"/>
      <c r="G4666" s="15"/>
      <c r="H4666" s="13"/>
      <c r="I4666" s="13"/>
      <c r="J4666" s="16"/>
      <c r="K4666" s="16"/>
      <c r="L4666" s="17" t="str">
        <f aca="false" t="array" ref="L4666:L4666">IFERROR(INDEX(AC4666:AE4666,IF(COUNTA(AC4666:AE4666)=0,"",MAX((AC4666:AE4666&lt;&gt;"")*(COLUMN(AC4666:AE4666)-(COLUMN(AC4666)-2))))-1),"")</f>
        <v/>
      </c>
      <c r="M4666" s="13"/>
      <c r="N4666" s="13"/>
      <c r="O4666" s="13"/>
      <c r="P4666" s="26"/>
      <c r="Q4666" s="20"/>
      <c r="R4666" s="13"/>
      <c r="S4666" s="25"/>
      <c r="T4666" s="13"/>
      <c r="U4666" s="13"/>
      <c r="V4666" s="13"/>
      <c r="W4666" s="13"/>
      <c r="X4666" s="21"/>
      <c r="Y4666" s="22"/>
      <c r="Z4666" s="23"/>
      <c r="AA4666" s="23"/>
      <c r="AB4666" s="15"/>
      <c r="AC4666" s="14"/>
      <c r="AD4666" s="18"/>
      <c r="AE4666" s="18"/>
    </row>
    <row r="4667" customFormat="false" ht="15" hidden="false" customHeight="true" outlineLevel="0" collapsed="false">
      <c r="A4667" s="12"/>
      <c r="B4667" s="13"/>
      <c r="C4667" s="14"/>
      <c r="D4667" s="13"/>
      <c r="E4667" s="15"/>
      <c r="F4667" s="15"/>
      <c r="G4667" s="15"/>
      <c r="H4667" s="13"/>
      <c r="I4667" s="13"/>
      <c r="J4667" s="16"/>
      <c r="K4667" s="16"/>
      <c r="L4667" s="17" t="str">
        <f aca="false" t="array" ref="L4667:L4667">IFERROR(INDEX(AC4667:AE4667,IF(COUNTA(AC4667:AE4667)=0,"",MAX((AC4667:AE4667&lt;&gt;"")*(COLUMN(AC4667:AE4667)-(COLUMN(AC4667)-2))))-1),"")</f>
        <v/>
      </c>
      <c r="M4667" s="13"/>
      <c r="N4667" s="13"/>
      <c r="O4667" s="13"/>
      <c r="P4667" s="26"/>
      <c r="Q4667" s="20"/>
      <c r="R4667" s="13"/>
      <c r="S4667" s="25"/>
      <c r="T4667" s="13"/>
      <c r="U4667" s="13"/>
      <c r="V4667" s="13"/>
      <c r="W4667" s="13"/>
      <c r="X4667" s="21"/>
      <c r="Y4667" s="22"/>
      <c r="Z4667" s="23"/>
      <c r="AA4667" s="23"/>
      <c r="AB4667" s="15"/>
      <c r="AC4667" s="14"/>
      <c r="AD4667" s="18"/>
      <c r="AE4667" s="18"/>
    </row>
    <row r="4668" customFormat="false" ht="15" hidden="false" customHeight="true" outlineLevel="0" collapsed="false">
      <c r="A4668" s="12"/>
      <c r="B4668" s="13"/>
      <c r="C4668" s="14"/>
      <c r="D4668" s="13"/>
      <c r="E4668" s="15"/>
      <c r="F4668" s="15"/>
      <c r="G4668" s="15"/>
      <c r="H4668" s="13"/>
      <c r="I4668" s="13"/>
      <c r="J4668" s="16"/>
      <c r="K4668" s="16"/>
      <c r="L4668" s="17" t="str">
        <f aca="false" t="array" ref="L4668:L4668">IFERROR(INDEX(AC4668:AE4668,IF(COUNTA(AC4668:AE4668)=0,"",MAX((AC4668:AE4668&lt;&gt;"")*(COLUMN(AC4668:AE4668)-(COLUMN(AC4668)-2))))-1),"")</f>
        <v/>
      </c>
      <c r="M4668" s="13"/>
      <c r="N4668" s="13"/>
      <c r="O4668" s="13"/>
      <c r="P4668" s="26"/>
      <c r="Q4668" s="20"/>
      <c r="R4668" s="13"/>
      <c r="S4668" s="25"/>
      <c r="T4668" s="13"/>
      <c r="U4668" s="13"/>
      <c r="V4668" s="13"/>
      <c r="W4668" s="13"/>
      <c r="X4668" s="21"/>
      <c r="Y4668" s="22"/>
      <c r="Z4668" s="23"/>
      <c r="AA4668" s="23"/>
      <c r="AB4668" s="15"/>
      <c r="AC4668" s="14"/>
      <c r="AD4668" s="18"/>
      <c r="AE4668" s="18"/>
    </row>
    <row r="4669" customFormat="false" ht="15" hidden="false" customHeight="true" outlineLevel="0" collapsed="false">
      <c r="A4669" s="12"/>
      <c r="B4669" s="13"/>
      <c r="C4669" s="14"/>
      <c r="D4669" s="13"/>
      <c r="E4669" s="15"/>
      <c r="F4669" s="15"/>
      <c r="G4669" s="15"/>
      <c r="H4669" s="13"/>
      <c r="I4669" s="13"/>
      <c r="J4669" s="16"/>
      <c r="K4669" s="16"/>
      <c r="L4669" s="17" t="str">
        <f aca="false" t="array" ref="L4669:L4669">IFERROR(INDEX(AC4669:AE4669,IF(COUNTA(AC4669:AE4669)=0,"",MAX((AC4669:AE4669&lt;&gt;"")*(COLUMN(AC4669:AE4669)-(COLUMN(AC4669)-2))))-1),"")</f>
        <v/>
      </c>
      <c r="M4669" s="13"/>
      <c r="N4669" s="13"/>
      <c r="O4669" s="13"/>
      <c r="P4669" s="26"/>
      <c r="Q4669" s="20"/>
      <c r="R4669" s="13"/>
      <c r="S4669" s="25"/>
      <c r="T4669" s="13"/>
      <c r="U4669" s="13"/>
      <c r="V4669" s="13"/>
      <c r="W4669" s="13"/>
      <c r="X4669" s="21"/>
      <c r="Y4669" s="22"/>
      <c r="Z4669" s="23"/>
      <c r="AA4669" s="23"/>
      <c r="AB4669" s="15"/>
      <c r="AC4669" s="14"/>
      <c r="AD4669" s="18"/>
      <c r="AE4669" s="18"/>
    </row>
    <row r="4670" customFormat="false" ht="15" hidden="false" customHeight="true" outlineLevel="0" collapsed="false">
      <c r="A4670" s="12"/>
      <c r="B4670" s="13"/>
      <c r="C4670" s="14"/>
      <c r="D4670" s="13"/>
      <c r="E4670" s="15"/>
      <c r="F4670" s="15"/>
      <c r="G4670" s="15"/>
      <c r="H4670" s="13"/>
      <c r="I4670" s="13"/>
      <c r="J4670" s="16"/>
      <c r="K4670" s="16"/>
      <c r="L4670" s="17" t="str">
        <f aca="false" t="array" ref="L4670:L4670">IFERROR(INDEX(AC4670:AE4670,IF(COUNTA(AC4670:AE4670)=0,"",MAX((AC4670:AE4670&lt;&gt;"")*(COLUMN(AC4670:AE4670)-(COLUMN(AC4670)-2))))-1),"")</f>
        <v/>
      </c>
      <c r="M4670" s="13"/>
      <c r="N4670" s="13"/>
      <c r="O4670" s="13"/>
      <c r="P4670" s="26"/>
      <c r="Q4670" s="20"/>
      <c r="R4670" s="13"/>
      <c r="S4670" s="25"/>
      <c r="T4670" s="13"/>
      <c r="U4670" s="13"/>
      <c r="V4670" s="13"/>
      <c r="W4670" s="13"/>
      <c r="X4670" s="21"/>
      <c r="Y4670" s="22"/>
      <c r="Z4670" s="23"/>
      <c r="AA4670" s="23"/>
      <c r="AB4670" s="15"/>
      <c r="AC4670" s="14"/>
      <c r="AD4670" s="18"/>
      <c r="AE4670" s="18"/>
    </row>
    <row r="4671" customFormat="false" ht="15" hidden="false" customHeight="true" outlineLevel="0" collapsed="false">
      <c r="A4671" s="12"/>
      <c r="B4671" s="13"/>
      <c r="C4671" s="14"/>
      <c r="D4671" s="13"/>
      <c r="E4671" s="15"/>
      <c r="F4671" s="15"/>
      <c r="G4671" s="15"/>
      <c r="H4671" s="13"/>
      <c r="I4671" s="13"/>
      <c r="J4671" s="16"/>
      <c r="K4671" s="16"/>
      <c r="L4671" s="17" t="str">
        <f aca="false" t="array" ref="L4671:L4671">IFERROR(INDEX(AC4671:AE4671,IF(COUNTA(AC4671:AE4671)=0,"",MAX((AC4671:AE4671&lt;&gt;"")*(COLUMN(AC4671:AE4671)-(COLUMN(AC4671)-2))))-1),"")</f>
        <v/>
      </c>
      <c r="M4671" s="13"/>
      <c r="N4671" s="13"/>
      <c r="O4671" s="13"/>
      <c r="P4671" s="26"/>
      <c r="Q4671" s="20"/>
      <c r="R4671" s="13"/>
      <c r="S4671" s="25"/>
      <c r="T4671" s="13"/>
      <c r="U4671" s="13"/>
      <c r="V4671" s="13"/>
      <c r="W4671" s="13"/>
      <c r="X4671" s="21"/>
      <c r="Y4671" s="22"/>
      <c r="Z4671" s="23"/>
      <c r="AA4671" s="23"/>
      <c r="AB4671" s="15"/>
      <c r="AC4671" s="14"/>
      <c r="AD4671" s="18"/>
      <c r="AE4671" s="18"/>
    </row>
    <row r="4672" customFormat="false" ht="15" hidden="false" customHeight="true" outlineLevel="0" collapsed="false">
      <c r="A4672" s="12"/>
      <c r="B4672" s="13"/>
      <c r="C4672" s="14"/>
      <c r="D4672" s="13"/>
      <c r="E4672" s="15"/>
      <c r="F4672" s="15"/>
      <c r="G4672" s="15"/>
      <c r="H4672" s="13"/>
      <c r="I4672" s="13"/>
      <c r="J4672" s="16"/>
      <c r="K4672" s="16"/>
      <c r="L4672" s="17" t="str">
        <f aca="false" t="array" ref="L4672:L4672">IFERROR(INDEX(AC4672:AE4672,IF(COUNTA(AC4672:AE4672)=0,"",MAX((AC4672:AE4672&lt;&gt;"")*(COLUMN(AC4672:AE4672)-(COLUMN(AC4672)-2))))-1),"")</f>
        <v/>
      </c>
      <c r="M4672" s="13"/>
      <c r="N4672" s="13"/>
      <c r="O4672" s="13"/>
      <c r="P4672" s="26"/>
      <c r="Q4672" s="20"/>
      <c r="R4672" s="13"/>
      <c r="S4672" s="25"/>
      <c r="T4672" s="13"/>
      <c r="U4672" s="13"/>
      <c r="V4672" s="13"/>
      <c r="W4672" s="13"/>
      <c r="X4672" s="21"/>
      <c r="Y4672" s="22"/>
      <c r="Z4672" s="23"/>
      <c r="AA4672" s="23"/>
      <c r="AB4672" s="15"/>
      <c r="AC4672" s="14"/>
      <c r="AD4672" s="18"/>
      <c r="AE4672" s="18"/>
    </row>
    <row r="4673" customFormat="false" ht="15" hidden="false" customHeight="true" outlineLevel="0" collapsed="false">
      <c r="A4673" s="12"/>
      <c r="B4673" s="13"/>
      <c r="C4673" s="14"/>
      <c r="D4673" s="13"/>
      <c r="E4673" s="15"/>
      <c r="F4673" s="15"/>
      <c r="G4673" s="15"/>
      <c r="H4673" s="13"/>
      <c r="I4673" s="13"/>
      <c r="J4673" s="16"/>
      <c r="K4673" s="16"/>
      <c r="L4673" s="17" t="str">
        <f aca="false" t="array" ref="L4673:L4673">IFERROR(INDEX(AC4673:AE4673,IF(COUNTA(AC4673:AE4673)=0,"",MAX((AC4673:AE4673&lt;&gt;"")*(COLUMN(AC4673:AE4673)-(COLUMN(AC4673)-2))))-1),"")</f>
        <v/>
      </c>
      <c r="M4673" s="13"/>
      <c r="N4673" s="13"/>
      <c r="O4673" s="13"/>
      <c r="P4673" s="26"/>
      <c r="Q4673" s="20"/>
      <c r="R4673" s="13"/>
      <c r="S4673" s="25"/>
      <c r="T4673" s="13"/>
      <c r="U4673" s="13"/>
      <c r="V4673" s="13"/>
      <c r="W4673" s="13"/>
      <c r="X4673" s="21"/>
      <c r="Y4673" s="22"/>
      <c r="Z4673" s="23"/>
      <c r="AA4673" s="23"/>
      <c r="AB4673" s="15"/>
      <c r="AC4673" s="14"/>
      <c r="AD4673" s="18"/>
      <c r="AE4673" s="18"/>
    </row>
    <row r="4674" customFormat="false" ht="15" hidden="false" customHeight="true" outlineLevel="0" collapsed="false">
      <c r="A4674" s="12"/>
      <c r="B4674" s="13"/>
      <c r="C4674" s="14"/>
      <c r="D4674" s="13"/>
      <c r="E4674" s="15"/>
      <c r="F4674" s="15"/>
      <c r="G4674" s="15"/>
      <c r="H4674" s="13"/>
      <c r="I4674" s="13"/>
      <c r="J4674" s="16"/>
      <c r="K4674" s="16"/>
      <c r="L4674" s="17" t="str">
        <f aca="false" t="array" ref="L4674:L4674">IFERROR(INDEX(AC4674:AE4674,IF(COUNTA(AC4674:AE4674)=0,"",MAX((AC4674:AE4674&lt;&gt;"")*(COLUMN(AC4674:AE4674)-(COLUMN(AC4674)-2))))-1),"")</f>
        <v/>
      </c>
      <c r="M4674" s="13"/>
      <c r="N4674" s="13"/>
      <c r="O4674" s="13"/>
      <c r="P4674" s="26"/>
      <c r="Q4674" s="20"/>
      <c r="R4674" s="13"/>
      <c r="S4674" s="25"/>
      <c r="T4674" s="13"/>
      <c r="U4674" s="13"/>
      <c r="V4674" s="13"/>
      <c r="W4674" s="13"/>
      <c r="X4674" s="21"/>
      <c r="Y4674" s="22"/>
      <c r="Z4674" s="23"/>
      <c r="AA4674" s="23"/>
      <c r="AB4674" s="15"/>
      <c r="AC4674" s="14"/>
      <c r="AD4674" s="18"/>
      <c r="AE4674" s="18"/>
    </row>
    <row r="4675" customFormat="false" ht="15" hidden="false" customHeight="true" outlineLevel="0" collapsed="false">
      <c r="A4675" s="12"/>
      <c r="B4675" s="13"/>
      <c r="C4675" s="14"/>
      <c r="D4675" s="13"/>
      <c r="E4675" s="15"/>
      <c r="F4675" s="15"/>
      <c r="G4675" s="15"/>
      <c r="H4675" s="13"/>
      <c r="I4675" s="13"/>
      <c r="J4675" s="16"/>
      <c r="K4675" s="16"/>
      <c r="L4675" s="17" t="str">
        <f aca="false" t="array" ref="L4675:L4675">IFERROR(INDEX(AC4675:AE4675,IF(COUNTA(AC4675:AE4675)=0,"",MAX((AC4675:AE4675&lt;&gt;"")*(COLUMN(AC4675:AE4675)-(COLUMN(AC4675)-2))))-1),"")</f>
        <v/>
      </c>
      <c r="M4675" s="13"/>
      <c r="N4675" s="13"/>
      <c r="O4675" s="13"/>
      <c r="P4675" s="26"/>
      <c r="Q4675" s="20"/>
      <c r="R4675" s="13"/>
      <c r="S4675" s="25"/>
      <c r="T4675" s="13"/>
      <c r="U4675" s="13"/>
      <c r="V4675" s="13"/>
      <c r="W4675" s="13"/>
      <c r="X4675" s="21"/>
      <c r="Y4675" s="22"/>
      <c r="Z4675" s="23"/>
      <c r="AA4675" s="23"/>
      <c r="AB4675" s="15"/>
      <c r="AC4675" s="14"/>
      <c r="AD4675" s="18"/>
      <c r="AE4675" s="18"/>
    </row>
    <row r="4676" customFormat="false" ht="15" hidden="false" customHeight="true" outlineLevel="0" collapsed="false">
      <c r="A4676" s="12"/>
      <c r="B4676" s="13"/>
      <c r="C4676" s="14"/>
      <c r="D4676" s="13"/>
      <c r="E4676" s="15"/>
      <c r="F4676" s="15"/>
      <c r="G4676" s="15"/>
      <c r="H4676" s="13"/>
      <c r="I4676" s="13"/>
      <c r="J4676" s="16"/>
      <c r="K4676" s="16"/>
      <c r="L4676" s="17" t="str">
        <f aca="false" t="array" ref="L4676:L4676">IFERROR(INDEX(AC4676:AE4676,IF(COUNTA(AC4676:AE4676)=0,"",MAX((AC4676:AE4676&lt;&gt;"")*(COLUMN(AC4676:AE4676)-(COLUMN(AC4676)-2))))-1),"")</f>
        <v/>
      </c>
      <c r="M4676" s="13"/>
      <c r="N4676" s="13"/>
      <c r="O4676" s="13"/>
      <c r="P4676" s="26"/>
      <c r="Q4676" s="20"/>
      <c r="R4676" s="13"/>
      <c r="S4676" s="25"/>
      <c r="T4676" s="13"/>
      <c r="U4676" s="13"/>
      <c r="V4676" s="13"/>
      <c r="W4676" s="13"/>
      <c r="X4676" s="21"/>
      <c r="Y4676" s="22"/>
      <c r="Z4676" s="23"/>
      <c r="AA4676" s="23"/>
      <c r="AB4676" s="15"/>
      <c r="AC4676" s="14"/>
      <c r="AD4676" s="18"/>
      <c r="AE4676" s="18"/>
    </row>
    <row r="4677" customFormat="false" ht="15" hidden="false" customHeight="true" outlineLevel="0" collapsed="false">
      <c r="A4677" s="12"/>
      <c r="B4677" s="13"/>
      <c r="C4677" s="14"/>
      <c r="D4677" s="13"/>
      <c r="E4677" s="15"/>
      <c r="F4677" s="15"/>
      <c r="G4677" s="15"/>
      <c r="H4677" s="13"/>
      <c r="I4677" s="13"/>
      <c r="J4677" s="16"/>
      <c r="K4677" s="16"/>
      <c r="L4677" s="17" t="str">
        <f aca="false" t="array" ref="L4677:L4677">IFERROR(INDEX(AC4677:AE4677,IF(COUNTA(AC4677:AE4677)=0,"",MAX((AC4677:AE4677&lt;&gt;"")*(COLUMN(AC4677:AE4677)-(COLUMN(AC4677)-2))))-1),"")</f>
        <v/>
      </c>
      <c r="M4677" s="13"/>
      <c r="N4677" s="13"/>
      <c r="O4677" s="13"/>
      <c r="P4677" s="26"/>
      <c r="Q4677" s="20"/>
      <c r="R4677" s="13"/>
      <c r="S4677" s="25"/>
      <c r="T4677" s="13"/>
      <c r="U4677" s="13"/>
      <c r="V4677" s="13"/>
      <c r="W4677" s="13"/>
      <c r="X4677" s="21"/>
      <c r="Y4677" s="22"/>
      <c r="Z4677" s="23"/>
      <c r="AA4677" s="23"/>
      <c r="AB4677" s="15"/>
      <c r="AC4677" s="14"/>
      <c r="AD4677" s="18"/>
      <c r="AE4677" s="18"/>
    </row>
    <row r="4678" customFormat="false" ht="15" hidden="false" customHeight="true" outlineLevel="0" collapsed="false">
      <c r="A4678" s="12"/>
      <c r="B4678" s="13"/>
      <c r="C4678" s="14"/>
      <c r="D4678" s="13"/>
      <c r="E4678" s="15"/>
      <c r="F4678" s="15"/>
      <c r="G4678" s="15"/>
      <c r="H4678" s="13"/>
      <c r="I4678" s="13"/>
      <c r="J4678" s="16"/>
      <c r="K4678" s="16"/>
      <c r="L4678" s="17" t="str">
        <f aca="false" t="array" ref="L4678:L4678">IFERROR(INDEX(AC4678:AE4678,IF(COUNTA(AC4678:AE4678)=0,"",MAX((AC4678:AE4678&lt;&gt;"")*(COLUMN(AC4678:AE4678)-(COLUMN(AC4678)-2))))-1),"")</f>
        <v/>
      </c>
      <c r="M4678" s="13"/>
      <c r="N4678" s="13"/>
      <c r="O4678" s="13"/>
      <c r="P4678" s="26"/>
      <c r="Q4678" s="20"/>
      <c r="R4678" s="13"/>
      <c r="S4678" s="25"/>
      <c r="T4678" s="13"/>
      <c r="U4678" s="13"/>
      <c r="V4678" s="13"/>
      <c r="W4678" s="13"/>
      <c r="X4678" s="21"/>
      <c r="Y4678" s="22"/>
      <c r="Z4678" s="23"/>
      <c r="AA4678" s="23"/>
      <c r="AB4678" s="15"/>
      <c r="AC4678" s="14"/>
      <c r="AD4678" s="18"/>
      <c r="AE4678" s="18"/>
    </row>
    <row r="4679" customFormat="false" ht="15" hidden="false" customHeight="true" outlineLevel="0" collapsed="false">
      <c r="A4679" s="12"/>
      <c r="B4679" s="13"/>
      <c r="C4679" s="14"/>
      <c r="D4679" s="13"/>
      <c r="E4679" s="15"/>
      <c r="F4679" s="15"/>
      <c r="G4679" s="15"/>
      <c r="H4679" s="13"/>
      <c r="I4679" s="13"/>
      <c r="J4679" s="16"/>
      <c r="K4679" s="16"/>
      <c r="L4679" s="17" t="str">
        <f aca="false" t="array" ref="L4679:L4679">IFERROR(INDEX(AC4679:AE4679,IF(COUNTA(AC4679:AE4679)=0,"",MAX((AC4679:AE4679&lt;&gt;"")*(COLUMN(AC4679:AE4679)-(COLUMN(AC4679)-2))))-1),"")</f>
        <v/>
      </c>
      <c r="M4679" s="13"/>
      <c r="N4679" s="13"/>
      <c r="O4679" s="13"/>
      <c r="P4679" s="26"/>
      <c r="Q4679" s="20"/>
      <c r="R4679" s="13"/>
      <c r="S4679" s="25"/>
      <c r="T4679" s="13"/>
      <c r="U4679" s="13"/>
      <c r="V4679" s="13"/>
      <c r="W4679" s="13"/>
      <c r="X4679" s="21"/>
      <c r="Y4679" s="22"/>
      <c r="Z4679" s="23"/>
      <c r="AA4679" s="23"/>
      <c r="AB4679" s="15"/>
      <c r="AC4679" s="14"/>
      <c r="AD4679" s="18"/>
      <c r="AE4679" s="18"/>
    </row>
    <row r="4680" customFormat="false" ht="15" hidden="false" customHeight="true" outlineLevel="0" collapsed="false">
      <c r="A4680" s="12"/>
      <c r="B4680" s="13"/>
      <c r="C4680" s="14"/>
      <c r="D4680" s="13"/>
      <c r="E4680" s="15"/>
      <c r="F4680" s="15"/>
      <c r="G4680" s="15"/>
      <c r="H4680" s="13"/>
      <c r="I4680" s="13"/>
      <c r="J4680" s="16"/>
      <c r="K4680" s="16"/>
      <c r="L4680" s="17" t="str">
        <f aca="false" t="array" ref="L4680:L4680">IFERROR(INDEX(AC4680:AE4680,IF(COUNTA(AC4680:AE4680)=0,"",MAX((AC4680:AE4680&lt;&gt;"")*(COLUMN(AC4680:AE4680)-(COLUMN(AC4680)-2))))-1),"")</f>
        <v/>
      </c>
      <c r="M4680" s="13"/>
      <c r="N4680" s="13"/>
      <c r="O4680" s="13"/>
      <c r="P4680" s="26"/>
      <c r="Q4680" s="20"/>
      <c r="R4680" s="13"/>
      <c r="S4680" s="25"/>
      <c r="T4680" s="13"/>
      <c r="U4680" s="13"/>
      <c r="V4680" s="13"/>
      <c r="W4680" s="13"/>
      <c r="X4680" s="21"/>
      <c r="Y4680" s="22"/>
      <c r="Z4680" s="23"/>
      <c r="AA4680" s="23"/>
      <c r="AB4680" s="15"/>
      <c r="AC4680" s="14"/>
      <c r="AD4680" s="18"/>
      <c r="AE4680" s="18"/>
    </row>
    <row r="4681" customFormat="false" ht="15" hidden="false" customHeight="true" outlineLevel="0" collapsed="false">
      <c r="A4681" s="12"/>
      <c r="B4681" s="13"/>
      <c r="C4681" s="14"/>
      <c r="D4681" s="13"/>
      <c r="E4681" s="15"/>
      <c r="F4681" s="15"/>
      <c r="G4681" s="15"/>
      <c r="H4681" s="13"/>
      <c r="I4681" s="13"/>
      <c r="J4681" s="16"/>
      <c r="K4681" s="16"/>
      <c r="L4681" s="17" t="str">
        <f aca="false" t="array" ref="L4681:L4681">IFERROR(INDEX(AC4681:AE4681,IF(COUNTA(AC4681:AE4681)=0,"",MAX((AC4681:AE4681&lt;&gt;"")*(COLUMN(AC4681:AE4681)-(COLUMN(AC4681)-2))))-1),"")</f>
        <v/>
      </c>
      <c r="M4681" s="13"/>
      <c r="N4681" s="13"/>
      <c r="O4681" s="13"/>
      <c r="P4681" s="26"/>
      <c r="Q4681" s="20"/>
      <c r="R4681" s="13"/>
      <c r="S4681" s="25"/>
      <c r="T4681" s="13"/>
      <c r="U4681" s="13"/>
      <c r="V4681" s="13"/>
      <c r="W4681" s="13"/>
      <c r="X4681" s="21"/>
      <c r="Y4681" s="22"/>
      <c r="Z4681" s="23"/>
      <c r="AA4681" s="23"/>
      <c r="AB4681" s="15"/>
      <c r="AC4681" s="14"/>
      <c r="AD4681" s="18"/>
      <c r="AE4681" s="18"/>
    </row>
    <row r="4682" customFormat="false" ht="15" hidden="false" customHeight="true" outlineLevel="0" collapsed="false">
      <c r="A4682" s="12"/>
      <c r="B4682" s="13"/>
      <c r="C4682" s="14"/>
      <c r="D4682" s="13"/>
      <c r="E4682" s="15"/>
      <c r="F4682" s="15"/>
      <c r="G4682" s="15"/>
      <c r="H4682" s="13"/>
      <c r="I4682" s="13"/>
      <c r="J4682" s="16"/>
      <c r="K4682" s="16"/>
      <c r="L4682" s="17" t="str">
        <f aca="false" t="array" ref="L4682:L4682">IFERROR(INDEX(AC4682:AE4682,IF(COUNTA(AC4682:AE4682)=0,"",MAX((AC4682:AE4682&lt;&gt;"")*(COLUMN(AC4682:AE4682)-(COLUMN(AC4682)-2))))-1),"")</f>
        <v/>
      </c>
      <c r="M4682" s="13"/>
      <c r="N4682" s="13"/>
      <c r="O4682" s="13"/>
      <c r="P4682" s="26"/>
      <c r="Q4682" s="20"/>
      <c r="R4682" s="13"/>
      <c r="S4682" s="25"/>
      <c r="T4682" s="13"/>
      <c r="U4682" s="13"/>
      <c r="V4682" s="13"/>
      <c r="W4682" s="13"/>
      <c r="X4682" s="21"/>
      <c r="Y4682" s="22"/>
      <c r="Z4682" s="23"/>
      <c r="AA4682" s="23"/>
      <c r="AB4682" s="15"/>
      <c r="AC4682" s="14"/>
      <c r="AD4682" s="18"/>
      <c r="AE4682" s="18"/>
    </row>
    <row r="4683" customFormat="false" ht="15" hidden="false" customHeight="true" outlineLevel="0" collapsed="false">
      <c r="A4683" s="12"/>
      <c r="B4683" s="13"/>
      <c r="C4683" s="14"/>
      <c r="D4683" s="13"/>
      <c r="E4683" s="15"/>
      <c r="F4683" s="15"/>
      <c r="G4683" s="15"/>
      <c r="H4683" s="13"/>
      <c r="I4683" s="13"/>
      <c r="J4683" s="16"/>
      <c r="K4683" s="16"/>
      <c r="L4683" s="17" t="str">
        <f aca="false" t="array" ref="L4683:L4683">IFERROR(INDEX(AC4683:AE4683,IF(COUNTA(AC4683:AE4683)=0,"",MAX((AC4683:AE4683&lt;&gt;"")*(COLUMN(AC4683:AE4683)-(COLUMN(AC4683)-2))))-1),"")</f>
        <v/>
      </c>
      <c r="M4683" s="13"/>
      <c r="N4683" s="13"/>
      <c r="O4683" s="13"/>
      <c r="P4683" s="26"/>
      <c r="Q4683" s="20"/>
      <c r="R4683" s="13"/>
      <c r="S4683" s="25"/>
      <c r="T4683" s="13"/>
      <c r="U4683" s="13"/>
      <c r="V4683" s="13"/>
      <c r="W4683" s="13"/>
      <c r="X4683" s="21"/>
      <c r="Y4683" s="22"/>
      <c r="Z4683" s="23"/>
      <c r="AA4683" s="23"/>
      <c r="AB4683" s="15"/>
      <c r="AC4683" s="14"/>
      <c r="AD4683" s="18"/>
      <c r="AE4683" s="18"/>
    </row>
    <row r="4684" customFormat="false" ht="15" hidden="false" customHeight="true" outlineLevel="0" collapsed="false">
      <c r="A4684" s="12"/>
      <c r="B4684" s="13"/>
      <c r="C4684" s="14"/>
      <c r="D4684" s="13"/>
      <c r="E4684" s="15"/>
      <c r="F4684" s="15"/>
      <c r="G4684" s="15"/>
      <c r="H4684" s="13"/>
      <c r="I4684" s="13"/>
      <c r="J4684" s="16"/>
      <c r="K4684" s="16"/>
      <c r="L4684" s="17" t="str">
        <f aca="false" t="array" ref="L4684:L4684">IFERROR(INDEX(AC4684:AE4684,IF(COUNTA(AC4684:AE4684)=0,"",MAX((AC4684:AE4684&lt;&gt;"")*(COLUMN(AC4684:AE4684)-(COLUMN(AC4684)-2))))-1),"")</f>
        <v/>
      </c>
      <c r="M4684" s="13"/>
      <c r="N4684" s="13"/>
      <c r="O4684" s="13"/>
      <c r="P4684" s="26"/>
      <c r="Q4684" s="20"/>
      <c r="R4684" s="13"/>
      <c r="S4684" s="25"/>
      <c r="T4684" s="13"/>
      <c r="U4684" s="13"/>
      <c r="V4684" s="13"/>
      <c r="W4684" s="13"/>
      <c r="X4684" s="21"/>
      <c r="Y4684" s="22"/>
      <c r="Z4684" s="23"/>
      <c r="AA4684" s="23"/>
      <c r="AB4684" s="15"/>
      <c r="AC4684" s="14"/>
      <c r="AD4684" s="18"/>
      <c r="AE4684" s="18"/>
    </row>
    <row r="4685" customFormat="false" ht="15" hidden="false" customHeight="true" outlineLevel="0" collapsed="false">
      <c r="A4685" s="12"/>
      <c r="B4685" s="13"/>
      <c r="C4685" s="14"/>
      <c r="D4685" s="13"/>
      <c r="E4685" s="15"/>
      <c r="F4685" s="15"/>
      <c r="G4685" s="15"/>
      <c r="H4685" s="13"/>
      <c r="I4685" s="13"/>
      <c r="J4685" s="16"/>
      <c r="K4685" s="16"/>
      <c r="L4685" s="17" t="str">
        <f aca="false" t="array" ref="L4685:L4685">IFERROR(INDEX(AC4685:AE4685,IF(COUNTA(AC4685:AE4685)=0,"",MAX((AC4685:AE4685&lt;&gt;"")*(COLUMN(AC4685:AE4685)-(COLUMN(AC4685)-2))))-1),"")</f>
        <v/>
      </c>
      <c r="M4685" s="13"/>
      <c r="N4685" s="13"/>
      <c r="O4685" s="13"/>
      <c r="P4685" s="26"/>
      <c r="Q4685" s="20"/>
      <c r="R4685" s="13"/>
      <c r="S4685" s="25"/>
      <c r="T4685" s="13"/>
      <c r="U4685" s="13"/>
      <c r="V4685" s="13"/>
      <c r="W4685" s="13"/>
      <c r="X4685" s="21"/>
      <c r="Y4685" s="22"/>
      <c r="Z4685" s="23"/>
      <c r="AA4685" s="23"/>
      <c r="AB4685" s="15"/>
      <c r="AC4685" s="14"/>
      <c r="AD4685" s="18"/>
      <c r="AE4685" s="18"/>
    </row>
    <row r="4686" customFormat="false" ht="15" hidden="false" customHeight="true" outlineLevel="0" collapsed="false">
      <c r="A4686" s="12"/>
      <c r="B4686" s="13"/>
      <c r="C4686" s="14"/>
      <c r="D4686" s="13"/>
      <c r="E4686" s="15"/>
      <c r="F4686" s="15"/>
      <c r="G4686" s="15"/>
      <c r="H4686" s="13"/>
      <c r="I4686" s="13"/>
      <c r="J4686" s="16"/>
      <c r="K4686" s="16"/>
      <c r="L4686" s="17" t="str">
        <f aca="false" t="array" ref="L4686:L4686">IFERROR(INDEX(AC4686:AE4686,IF(COUNTA(AC4686:AE4686)=0,"",MAX((AC4686:AE4686&lt;&gt;"")*(COLUMN(AC4686:AE4686)-(COLUMN(AC4686)-2))))-1),"")</f>
        <v/>
      </c>
      <c r="M4686" s="13"/>
      <c r="N4686" s="13"/>
      <c r="O4686" s="13"/>
      <c r="P4686" s="26"/>
      <c r="Q4686" s="20"/>
      <c r="R4686" s="13"/>
      <c r="S4686" s="25"/>
      <c r="T4686" s="13"/>
      <c r="U4686" s="13"/>
      <c r="V4686" s="13"/>
      <c r="W4686" s="13"/>
      <c r="X4686" s="21"/>
      <c r="Y4686" s="22"/>
      <c r="Z4686" s="23"/>
      <c r="AA4686" s="23"/>
      <c r="AB4686" s="15"/>
      <c r="AC4686" s="14"/>
      <c r="AD4686" s="18"/>
      <c r="AE4686" s="18"/>
    </row>
    <row r="4687" customFormat="false" ht="15" hidden="false" customHeight="true" outlineLevel="0" collapsed="false">
      <c r="A4687" s="12"/>
      <c r="B4687" s="13"/>
      <c r="C4687" s="14"/>
      <c r="D4687" s="13"/>
      <c r="E4687" s="15"/>
      <c r="F4687" s="15"/>
      <c r="G4687" s="15"/>
      <c r="H4687" s="13"/>
      <c r="I4687" s="13"/>
      <c r="J4687" s="16"/>
      <c r="K4687" s="16"/>
      <c r="L4687" s="17" t="str">
        <f aca="false" t="array" ref="L4687:L4687">IFERROR(INDEX(AC4687:AE4687,IF(COUNTA(AC4687:AE4687)=0,"",MAX((AC4687:AE4687&lt;&gt;"")*(COLUMN(AC4687:AE4687)-(COLUMN(AC4687)-2))))-1),"")</f>
        <v/>
      </c>
      <c r="M4687" s="13"/>
      <c r="N4687" s="13"/>
      <c r="O4687" s="13"/>
      <c r="P4687" s="26"/>
      <c r="Q4687" s="20"/>
      <c r="R4687" s="13"/>
      <c r="S4687" s="25"/>
      <c r="T4687" s="13"/>
      <c r="U4687" s="13"/>
      <c r="V4687" s="13"/>
      <c r="W4687" s="13"/>
      <c r="X4687" s="21"/>
      <c r="Y4687" s="22"/>
      <c r="Z4687" s="23"/>
      <c r="AA4687" s="23"/>
      <c r="AB4687" s="15"/>
      <c r="AC4687" s="14"/>
      <c r="AD4687" s="18"/>
      <c r="AE4687" s="18"/>
    </row>
    <row r="4688" customFormat="false" ht="15" hidden="false" customHeight="true" outlineLevel="0" collapsed="false">
      <c r="A4688" s="12"/>
      <c r="B4688" s="13"/>
      <c r="C4688" s="14"/>
      <c r="D4688" s="13"/>
      <c r="E4688" s="15"/>
      <c r="F4688" s="15"/>
      <c r="G4688" s="15"/>
      <c r="H4688" s="13"/>
      <c r="I4688" s="13"/>
      <c r="J4688" s="16"/>
      <c r="K4688" s="16"/>
      <c r="L4688" s="17" t="str">
        <f aca="false" t="array" ref="L4688:L4688">IFERROR(INDEX(AC4688:AE4688,IF(COUNTA(AC4688:AE4688)=0,"",MAX((AC4688:AE4688&lt;&gt;"")*(COLUMN(AC4688:AE4688)-(COLUMN(AC4688)-2))))-1),"")</f>
        <v/>
      </c>
      <c r="M4688" s="13"/>
      <c r="N4688" s="13"/>
      <c r="O4688" s="13"/>
      <c r="P4688" s="26"/>
      <c r="Q4688" s="20"/>
      <c r="R4688" s="13"/>
      <c r="S4688" s="25"/>
      <c r="T4688" s="13"/>
      <c r="U4688" s="13"/>
      <c r="V4688" s="13"/>
      <c r="W4688" s="13"/>
      <c r="X4688" s="21"/>
      <c r="Y4688" s="22"/>
      <c r="Z4688" s="23"/>
      <c r="AA4688" s="23"/>
      <c r="AB4688" s="15"/>
      <c r="AC4688" s="14"/>
      <c r="AD4688" s="18"/>
      <c r="AE4688" s="18"/>
    </row>
    <row r="4689" customFormat="false" ht="15" hidden="false" customHeight="true" outlineLevel="0" collapsed="false">
      <c r="A4689" s="12"/>
      <c r="B4689" s="13"/>
      <c r="C4689" s="14"/>
      <c r="D4689" s="13"/>
      <c r="E4689" s="15"/>
      <c r="F4689" s="15"/>
      <c r="G4689" s="15"/>
      <c r="H4689" s="13"/>
      <c r="I4689" s="13"/>
      <c r="J4689" s="16"/>
      <c r="K4689" s="16"/>
      <c r="L4689" s="17" t="str">
        <f aca="false" t="array" ref="L4689:L4689">IFERROR(INDEX(AC4689:AE4689,IF(COUNTA(AC4689:AE4689)=0,"",MAX((AC4689:AE4689&lt;&gt;"")*(COLUMN(AC4689:AE4689)-(COLUMN(AC4689)-2))))-1),"")</f>
        <v/>
      </c>
      <c r="M4689" s="13"/>
      <c r="N4689" s="13"/>
      <c r="O4689" s="13"/>
      <c r="P4689" s="26"/>
      <c r="Q4689" s="20"/>
      <c r="R4689" s="13"/>
      <c r="S4689" s="25"/>
      <c r="T4689" s="13"/>
      <c r="U4689" s="13"/>
      <c r="V4689" s="13"/>
      <c r="W4689" s="13"/>
      <c r="X4689" s="21"/>
      <c r="Y4689" s="22"/>
      <c r="Z4689" s="23"/>
      <c r="AA4689" s="23"/>
      <c r="AB4689" s="15"/>
      <c r="AC4689" s="14"/>
      <c r="AD4689" s="18"/>
      <c r="AE4689" s="18"/>
    </row>
    <row r="4690" customFormat="false" ht="15" hidden="false" customHeight="true" outlineLevel="0" collapsed="false">
      <c r="A4690" s="12"/>
      <c r="B4690" s="13"/>
      <c r="C4690" s="14"/>
      <c r="D4690" s="13"/>
      <c r="E4690" s="15"/>
      <c r="F4690" s="15"/>
      <c r="G4690" s="15"/>
      <c r="H4690" s="13"/>
      <c r="I4690" s="13"/>
      <c r="J4690" s="16"/>
      <c r="K4690" s="16"/>
      <c r="L4690" s="17" t="str">
        <f aca="false" t="array" ref="L4690:L4690">IFERROR(INDEX(AC4690:AE4690,IF(COUNTA(AC4690:AE4690)=0,"",MAX((AC4690:AE4690&lt;&gt;"")*(COLUMN(AC4690:AE4690)-(COLUMN(AC4690)-2))))-1),"")</f>
        <v/>
      </c>
      <c r="M4690" s="13"/>
      <c r="N4690" s="13"/>
      <c r="O4690" s="13"/>
      <c r="P4690" s="26"/>
      <c r="Q4690" s="20"/>
      <c r="R4690" s="13"/>
      <c r="S4690" s="25"/>
      <c r="T4690" s="13"/>
      <c r="U4690" s="13"/>
      <c r="V4690" s="13"/>
      <c r="W4690" s="13"/>
      <c r="X4690" s="21"/>
      <c r="Y4690" s="22"/>
      <c r="Z4690" s="23"/>
      <c r="AA4690" s="23"/>
      <c r="AB4690" s="15"/>
      <c r="AC4690" s="14"/>
      <c r="AD4690" s="18"/>
      <c r="AE4690" s="18"/>
    </row>
    <row r="4691" customFormat="false" ht="15" hidden="false" customHeight="true" outlineLevel="0" collapsed="false">
      <c r="A4691" s="12"/>
      <c r="B4691" s="13"/>
      <c r="C4691" s="14"/>
      <c r="D4691" s="13"/>
      <c r="E4691" s="15"/>
      <c r="F4691" s="15"/>
      <c r="G4691" s="15"/>
      <c r="H4691" s="13"/>
      <c r="I4691" s="13"/>
      <c r="J4691" s="16"/>
      <c r="K4691" s="16"/>
      <c r="L4691" s="17" t="str">
        <f aca="false" t="array" ref="L4691:L4691">IFERROR(INDEX(AC4691:AE4691,IF(COUNTA(AC4691:AE4691)=0,"",MAX((AC4691:AE4691&lt;&gt;"")*(COLUMN(AC4691:AE4691)-(COLUMN(AC4691)-2))))-1),"")</f>
        <v/>
      </c>
      <c r="M4691" s="13"/>
      <c r="N4691" s="13"/>
      <c r="O4691" s="13"/>
      <c r="P4691" s="26"/>
      <c r="Q4691" s="20"/>
      <c r="R4691" s="13"/>
      <c r="S4691" s="25"/>
      <c r="T4691" s="13"/>
      <c r="U4691" s="13"/>
      <c r="V4691" s="13"/>
      <c r="W4691" s="13"/>
      <c r="X4691" s="21"/>
      <c r="Y4691" s="22"/>
      <c r="Z4691" s="23"/>
      <c r="AA4691" s="23"/>
      <c r="AB4691" s="15"/>
      <c r="AC4691" s="14"/>
      <c r="AD4691" s="18"/>
      <c r="AE4691" s="18"/>
    </row>
    <row r="4692" customFormat="false" ht="15" hidden="false" customHeight="true" outlineLevel="0" collapsed="false">
      <c r="A4692" s="12"/>
      <c r="B4692" s="13"/>
      <c r="C4692" s="14"/>
      <c r="D4692" s="13"/>
      <c r="E4692" s="15"/>
      <c r="F4692" s="15"/>
      <c r="G4692" s="15"/>
      <c r="H4692" s="13"/>
      <c r="I4692" s="13"/>
      <c r="J4692" s="16"/>
      <c r="K4692" s="16"/>
      <c r="L4692" s="17" t="str">
        <f aca="false" t="array" ref="L4692:L4692">IFERROR(INDEX(AC4692:AE4692,IF(COUNTA(AC4692:AE4692)=0,"",MAX((AC4692:AE4692&lt;&gt;"")*(COLUMN(AC4692:AE4692)-(COLUMN(AC4692)-2))))-1),"")</f>
        <v/>
      </c>
      <c r="M4692" s="13"/>
      <c r="N4692" s="13"/>
      <c r="O4692" s="13"/>
      <c r="P4692" s="26"/>
      <c r="Q4692" s="20"/>
      <c r="R4692" s="13"/>
      <c r="S4692" s="25"/>
      <c r="T4692" s="13"/>
      <c r="U4692" s="13"/>
      <c r="V4692" s="13"/>
      <c r="W4692" s="13"/>
      <c r="X4692" s="21"/>
      <c r="Y4692" s="22"/>
      <c r="Z4692" s="23"/>
      <c r="AA4692" s="23"/>
      <c r="AB4692" s="15"/>
      <c r="AC4692" s="14"/>
      <c r="AD4692" s="18"/>
      <c r="AE4692" s="18"/>
    </row>
    <row r="4693" customFormat="false" ht="15" hidden="false" customHeight="true" outlineLevel="0" collapsed="false">
      <c r="A4693" s="12"/>
      <c r="B4693" s="13"/>
      <c r="C4693" s="14"/>
      <c r="D4693" s="13"/>
      <c r="E4693" s="15"/>
      <c r="F4693" s="15"/>
      <c r="G4693" s="15"/>
      <c r="H4693" s="13"/>
      <c r="I4693" s="13"/>
      <c r="J4693" s="16"/>
      <c r="K4693" s="16"/>
      <c r="L4693" s="17" t="str">
        <f aca="false" t="array" ref="L4693:L4693">IFERROR(INDEX(AC4693:AE4693,IF(COUNTA(AC4693:AE4693)=0,"",MAX((AC4693:AE4693&lt;&gt;"")*(COLUMN(AC4693:AE4693)-(COLUMN(AC4693)-2))))-1),"")</f>
        <v/>
      </c>
      <c r="M4693" s="13"/>
      <c r="N4693" s="13"/>
      <c r="O4693" s="13"/>
      <c r="P4693" s="26"/>
      <c r="Q4693" s="20"/>
      <c r="R4693" s="13"/>
      <c r="S4693" s="25"/>
      <c r="T4693" s="13"/>
      <c r="U4693" s="13"/>
      <c r="V4693" s="13"/>
      <c r="W4693" s="13"/>
      <c r="X4693" s="21"/>
      <c r="Y4693" s="22"/>
      <c r="Z4693" s="23"/>
      <c r="AA4693" s="23"/>
      <c r="AB4693" s="15"/>
      <c r="AC4693" s="14"/>
      <c r="AD4693" s="18"/>
      <c r="AE4693" s="18"/>
    </row>
    <row r="4694" customFormat="false" ht="15" hidden="false" customHeight="true" outlineLevel="0" collapsed="false">
      <c r="A4694" s="12"/>
      <c r="B4694" s="13"/>
      <c r="C4694" s="14"/>
      <c r="D4694" s="13"/>
      <c r="E4694" s="15"/>
      <c r="F4694" s="15"/>
      <c r="G4694" s="15"/>
      <c r="H4694" s="13"/>
      <c r="I4694" s="13"/>
      <c r="J4694" s="16"/>
      <c r="K4694" s="16"/>
      <c r="L4694" s="17" t="str">
        <f aca="false" t="array" ref="L4694:L4694">IFERROR(INDEX(AC4694:AE4694,IF(COUNTA(AC4694:AE4694)=0,"",MAX((AC4694:AE4694&lt;&gt;"")*(COLUMN(AC4694:AE4694)-(COLUMN(AC4694)-2))))-1),"")</f>
        <v/>
      </c>
      <c r="M4694" s="13"/>
      <c r="N4694" s="13"/>
      <c r="O4694" s="13"/>
      <c r="P4694" s="26"/>
      <c r="Q4694" s="20"/>
      <c r="R4694" s="13"/>
      <c r="S4694" s="25"/>
      <c r="T4694" s="13"/>
      <c r="U4694" s="13"/>
      <c r="V4694" s="13"/>
      <c r="W4694" s="13"/>
      <c r="X4694" s="21"/>
      <c r="Y4694" s="22"/>
      <c r="Z4694" s="23"/>
      <c r="AA4694" s="23"/>
      <c r="AB4694" s="15"/>
      <c r="AC4694" s="14"/>
      <c r="AD4694" s="18"/>
      <c r="AE4694" s="18"/>
    </row>
    <row r="4695" customFormat="false" ht="15" hidden="false" customHeight="true" outlineLevel="0" collapsed="false">
      <c r="A4695" s="12"/>
      <c r="B4695" s="13"/>
      <c r="C4695" s="14"/>
      <c r="D4695" s="13"/>
      <c r="E4695" s="15"/>
      <c r="F4695" s="15"/>
      <c r="G4695" s="15"/>
      <c r="H4695" s="13"/>
      <c r="I4695" s="13"/>
      <c r="J4695" s="16"/>
      <c r="K4695" s="16"/>
      <c r="L4695" s="17" t="str">
        <f aca="false" t="array" ref="L4695:L4695">IFERROR(INDEX(AC4695:AE4695,IF(COUNTA(AC4695:AE4695)=0,"",MAX((AC4695:AE4695&lt;&gt;"")*(COLUMN(AC4695:AE4695)-(COLUMN(AC4695)-2))))-1),"")</f>
        <v/>
      </c>
      <c r="M4695" s="13"/>
      <c r="N4695" s="13"/>
      <c r="O4695" s="13"/>
      <c r="P4695" s="26"/>
      <c r="Q4695" s="20"/>
      <c r="R4695" s="13"/>
      <c r="S4695" s="25"/>
      <c r="T4695" s="13"/>
      <c r="U4695" s="13"/>
      <c r="V4695" s="13"/>
      <c r="W4695" s="13"/>
      <c r="X4695" s="21"/>
      <c r="Y4695" s="22"/>
      <c r="Z4695" s="23"/>
      <c r="AA4695" s="23"/>
      <c r="AB4695" s="15"/>
      <c r="AC4695" s="14"/>
      <c r="AD4695" s="18"/>
      <c r="AE4695" s="18"/>
    </row>
    <row r="4696" customFormat="false" ht="15" hidden="false" customHeight="true" outlineLevel="0" collapsed="false">
      <c r="A4696" s="12"/>
      <c r="B4696" s="13"/>
      <c r="C4696" s="14"/>
      <c r="D4696" s="13"/>
      <c r="E4696" s="15"/>
      <c r="F4696" s="15"/>
      <c r="G4696" s="15"/>
      <c r="H4696" s="13"/>
      <c r="I4696" s="13"/>
      <c r="J4696" s="16"/>
      <c r="K4696" s="16"/>
      <c r="L4696" s="17" t="str">
        <f aca="false" t="array" ref="L4696:L4696">IFERROR(INDEX(AC4696:AE4696,IF(COUNTA(AC4696:AE4696)=0,"",MAX((AC4696:AE4696&lt;&gt;"")*(COLUMN(AC4696:AE4696)-(COLUMN(AC4696)-2))))-1),"")</f>
        <v/>
      </c>
      <c r="M4696" s="13"/>
      <c r="N4696" s="13"/>
      <c r="O4696" s="13"/>
      <c r="P4696" s="26"/>
      <c r="Q4696" s="20"/>
      <c r="R4696" s="13"/>
      <c r="S4696" s="25"/>
      <c r="T4696" s="13"/>
      <c r="U4696" s="13"/>
      <c r="V4696" s="13"/>
      <c r="W4696" s="13"/>
      <c r="X4696" s="21"/>
      <c r="Y4696" s="22"/>
      <c r="Z4696" s="23"/>
      <c r="AA4696" s="23"/>
      <c r="AB4696" s="15"/>
      <c r="AC4696" s="14"/>
      <c r="AD4696" s="18"/>
      <c r="AE4696" s="18"/>
    </row>
    <row r="4697" customFormat="false" ht="15" hidden="false" customHeight="true" outlineLevel="0" collapsed="false">
      <c r="A4697" s="12"/>
      <c r="B4697" s="13"/>
      <c r="C4697" s="14"/>
      <c r="D4697" s="13"/>
      <c r="E4697" s="15"/>
      <c r="F4697" s="15"/>
      <c r="G4697" s="15"/>
      <c r="H4697" s="13"/>
      <c r="I4697" s="13"/>
      <c r="J4697" s="16"/>
      <c r="K4697" s="16"/>
      <c r="L4697" s="17" t="str">
        <f aca="false" t="array" ref="L4697:L4697">IFERROR(INDEX(AC4697:AE4697,IF(COUNTA(AC4697:AE4697)=0,"",MAX((AC4697:AE4697&lt;&gt;"")*(COLUMN(AC4697:AE4697)-(COLUMN(AC4697)-2))))-1),"")</f>
        <v/>
      </c>
      <c r="M4697" s="13"/>
      <c r="N4697" s="13"/>
      <c r="O4697" s="13"/>
      <c r="P4697" s="26"/>
      <c r="Q4697" s="20"/>
      <c r="R4697" s="13"/>
      <c r="S4697" s="25"/>
      <c r="T4697" s="13"/>
      <c r="U4697" s="13"/>
      <c r="V4697" s="13"/>
      <c r="W4697" s="13"/>
      <c r="X4697" s="21"/>
      <c r="Y4697" s="22"/>
      <c r="Z4697" s="23"/>
      <c r="AA4697" s="23"/>
      <c r="AB4697" s="15"/>
      <c r="AC4697" s="14"/>
      <c r="AD4697" s="18"/>
      <c r="AE4697" s="18"/>
    </row>
    <row r="4698" customFormat="false" ht="15" hidden="false" customHeight="true" outlineLevel="0" collapsed="false">
      <c r="A4698" s="12"/>
      <c r="B4698" s="13"/>
      <c r="C4698" s="14"/>
      <c r="D4698" s="13"/>
      <c r="E4698" s="15"/>
      <c r="F4698" s="15"/>
      <c r="G4698" s="15"/>
      <c r="H4698" s="13"/>
      <c r="I4698" s="13"/>
      <c r="J4698" s="16"/>
      <c r="K4698" s="16"/>
      <c r="L4698" s="17" t="str">
        <f aca="false" t="array" ref="L4698:L4698">IFERROR(INDEX(AC4698:AE4698,IF(COUNTA(AC4698:AE4698)=0,"",MAX((AC4698:AE4698&lt;&gt;"")*(COLUMN(AC4698:AE4698)-(COLUMN(AC4698)-2))))-1),"")</f>
        <v/>
      </c>
      <c r="M4698" s="13"/>
      <c r="N4698" s="13"/>
      <c r="O4698" s="13"/>
      <c r="P4698" s="26"/>
      <c r="Q4698" s="20"/>
      <c r="R4698" s="13"/>
      <c r="S4698" s="25"/>
      <c r="T4698" s="13"/>
      <c r="U4698" s="13"/>
      <c r="V4698" s="13"/>
      <c r="W4698" s="13"/>
      <c r="X4698" s="21"/>
      <c r="Y4698" s="22"/>
      <c r="Z4698" s="23"/>
      <c r="AA4698" s="23"/>
      <c r="AB4698" s="15"/>
      <c r="AC4698" s="14"/>
      <c r="AD4698" s="18"/>
      <c r="AE4698" s="18"/>
    </row>
    <row r="4699" customFormat="false" ht="15" hidden="false" customHeight="true" outlineLevel="0" collapsed="false">
      <c r="A4699" s="12"/>
      <c r="B4699" s="13"/>
      <c r="C4699" s="14"/>
      <c r="D4699" s="13"/>
      <c r="E4699" s="15"/>
      <c r="F4699" s="15"/>
      <c r="G4699" s="15"/>
      <c r="H4699" s="13"/>
      <c r="I4699" s="13"/>
      <c r="J4699" s="16"/>
      <c r="K4699" s="16"/>
      <c r="L4699" s="17" t="str">
        <f aca="false" t="array" ref="L4699:L4699">IFERROR(INDEX(AC4699:AE4699,IF(COUNTA(AC4699:AE4699)=0,"",MAX((AC4699:AE4699&lt;&gt;"")*(COLUMN(AC4699:AE4699)-(COLUMN(AC4699)-2))))-1),"")</f>
        <v/>
      </c>
      <c r="M4699" s="13"/>
      <c r="N4699" s="13"/>
      <c r="O4699" s="13"/>
      <c r="P4699" s="26"/>
      <c r="Q4699" s="20"/>
      <c r="R4699" s="13"/>
      <c r="S4699" s="25"/>
      <c r="T4699" s="13"/>
      <c r="U4699" s="13"/>
      <c r="V4699" s="13"/>
      <c r="W4699" s="13"/>
      <c r="X4699" s="21"/>
      <c r="Y4699" s="22"/>
      <c r="Z4699" s="23"/>
      <c r="AA4699" s="23"/>
      <c r="AB4699" s="15"/>
      <c r="AC4699" s="14"/>
      <c r="AD4699" s="18"/>
      <c r="AE4699" s="18"/>
    </row>
    <row r="4700" customFormat="false" ht="15" hidden="false" customHeight="true" outlineLevel="0" collapsed="false">
      <c r="A4700" s="12"/>
      <c r="B4700" s="13"/>
      <c r="C4700" s="14"/>
      <c r="D4700" s="13"/>
      <c r="E4700" s="15"/>
      <c r="F4700" s="15"/>
      <c r="G4700" s="15"/>
      <c r="H4700" s="13"/>
      <c r="I4700" s="13"/>
      <c r="J4700" s="16"/>
      <c r="K4700" s="16"/>
      <c r="L4700" s="17" t="str">
        <f aca="false" t="array" ref="L4700:L4700">IFERROR(INDEX(AC4700:AE4700,IF(COUNTA(AC4700:AE4700)=0,"",MAX((AC4700:AE4700&lt;&gt;"")*(COLUMN(AC4700:AE4700)-(COLUMN(AC4700)-2))))-1),"")</f>
        <v/>
      </c>
      <c r="M4700" s="13"/>
      <c r="N4700" s="13"/>
      <c r="O4700" s="13"/>
      <c r="P4700" s="26"/>
      <c r="Q4700" s="20"/>
      <c r="R4700" s="13"/>
      <c r="S4700" s="25"/>
      <c r="T4700" s="13"/>
      <c r="U4700" s="13"/>
      <c r="V4700" s="13"/>
      <c r="W4700" s="13"/>
      <c r="X4700" s="21"/>
      <c r="Y4700" s="22"/>
      <c r="Z4700" s="23"/>
      <c r="AA4700" s="23"/>
      <c r="AB4700" s="15"/>
      <c r="AC4700" s="14"/>
      <c r="AD4700" s="18"/>
      <c r="AE4700" s="18"/>
    </row>
    <row r="4701" customFormat="false" ht="15" hidden="false" customHeight="true" outlineLevel="0" collapsed="false">
      <c r="A4701" s="12"/>
      <c r="B4701" s="13"/>
      <c r="C4701" s="14"/>
      <c r="D4701" s="13"/>
      <c r="E4701" s="15"/>
      <c r="F4701" s="15"/>
      <c r="G4701" s="15"/>
      <c r="H4701" s="13"/>
      <c r="I4701" s="13"/>
      <c r="J4701" s="16"/>
      <c r="K4701" s="16"/>
      <c r="L4701" s="17" t="str">
        <f aca="false" t="array" ref="L4701:L4701">IFERROR(INDEX(AC4701:AE4701,IF(COUNTA(AC4701:AE4701)=0,"",MAX((AC4701:AE4701&lt;&gt;"")*(COLUMN(AC4701:AE4701)-(COLUMN(AC4701)-2))))-1),"")</f>
        <v/>
      </c>
      <c r="M4701" s="13"/>
      <c r="N4701" s="13"/>
      <c r="O4701" s="13"/>
      <c r="P4701" s="26"/>
      <c r="Q4701" s="20"/>
      <c r="R4701" s="13"/>
      <c r="S4701" s="25"/>
      <c r="T4701" s="13"/>
      <c r="U4701" s="13"/>
      <c r="V4701" s="13"/>
      <c r="W4701" s="13"/>
      <c r="X4701" s="21"/>
      <c r="Y4701" s="22"/>
      <c r="Z4701" s="23"/>
      <c r="AA4701" s="23"/>
      <c r="AB4701" s="15"/>
      <c r="AC4701" s="14"/>
      <c r="AD4701" s="18"/>
      <c r="AE4701" s="18"/>
    </row>
    <row r="4702" customFormat="false" ht="15" hidden="false" customHeight="true" outlineLevel="0" collapsed="false">
      <c r="A4702" s="12"/>
      <c r="B4702" s="13"/>
      <c r="C4702" s="14"/>
      <c r="D4702" s="13"/>
      <c r="E4702" s="15"/>
      <c r="F4702" s="15"/>
      <c r="G4702" s="15"/>
      <c r="H4702" s="13"/>
      <c r="I4702" s="13"/>
      <c r="J4702" s="16"/>
      <c r="K4702" s="16"/>
      <c r="L4702" s="17" t="str">
        <f aca="false" t="array" ref="L4702:L4702">IFERROR(INDEX(AC4702:AE4702,IF(COUNTA(AC4702:AE4702)=0,"",MAX((AC4702:AE4702&lt;&gt;"")*(COLUMN(AC4702:AE4702)-(COLUMN(AC4702)-2))))-1),"")</f>
        <v/>
      </c>
      <c r="M4702" s="13"/>
      <c r="N4702" s="13"/>
      <c r="O4702" s="13"/>
      <c r="P4702" s="26"/>
      <c r="Q4702" s="20"/>
      <c r="R4702" s="13"/>
      <c r="S4702" s="25"/>
      <c r="T4702" s="13"/>
      <c r="U4702" s="13"/>
      <c r="V4702" s="13"/>
      <c r="W4702" s="13"/>
      <c r="X4702" s="21"/>
      <c r="Y4702" s="22"/>
      <c r="Z4702" s="23"/>
      <c r="AA4702" s="23"/>
      <c r="AB4702" s="15"/>
      <c r="AC4702" s="14"/>
      <c r="AD4702" s="18"/>
      <c r="AE4702" s="18"/>
    </row>
    <row r="4703" customFormat="false" ht="15" hidden="false" customHeight="true" outlineLevel="0" collapsed="false">
      <c r="A4703" s="12"/>
      <c r="B4703" s="13"/>
      <c r="C4703" s="14"/>
      <c r="D4703" s="13"/>
      <c r="E4703" s="15"/>
      <c r="F4703" s="15"/>
      <c r="G4703" s="15"/>
      <c r="H4703" s="13"/>
      <c r="I4703" s="13"/>
      <c r="J4703" s="16"/>
      <c r="K4703" s="16"/>
      <c r="L4703" s="17" t="str">
        <f aca="false" t="array" ref="L4703:L4703">IFERROR(INDEX(AC4703:AE4703,IF(COUNTA(AC4703:AE4703)=0,"",MAX((AC4703:AE4703&lt;&gt;"")*(COLUMN(AC4703:AE4703)-(COLUMN(AC4703)-2))))-1),"")</f>
        <v/>
      </c>
      <c r="M4703" s="13"/>
      <c r="N4703" s="13"/>
      <c r="O4703" s="13"/>
      <c r="P4703" s="26"/>
      <c r="Q4703" s="20"/>
      <c r="R4703" s="13"/>
      <c r="S4703" s="25"/>
      <c r="T4703" s="13"/>
      <c r="U4703" s="13"/>
      <c r="V4703" s="13"/>
      <c r="W4703" s="13"/>
      <c r="X4703" s="21"/>
      <c r="Y4703" s="22"/>
      <c r="Z4703" s="23"/>
      <c r="AA4703" s="23"/>
      <c r="AB4703" s="15"/>
      <c r="AC4703" s="14"/>
      <c r="AD4703" s="18"/>
      <c r="AE4703" s="18"/>
    </row>
    <row r="4704" customFormat="false" ht="15" hidden="false" customHeight="true" outlineLevel="0" collapsed="false">
      <c r="A4704" s="12"/>
      <c r="B4704" s="13"/>
      <c r="C4704" s="14"/>
      <c r="D4704" s="13"/>
      <c r="E4704" s="15"/>
      <c r="F4704" s="15"/>
      <c r="G4704" s="15"/>
      <c r="H4704" s="13"/>
      <c r="I4704" s="13"/>
      <c r="J4704" s="16"/>
      <c r="K4704" s="16"/>
      <c r="L4704" s="17" t="str">
        <f aca="false" t="array" ref="L4704:L4704">IFERROR(INDEX(AC4704:AE4704,IF(COUNTA(AC4704:AE4704)=0,"",MAX((AC4704:AE4704&lt;&gt;"")*(COLUMN(AC4704:AE4704)-(COLUMN(AC4704)-2))))-1),"")</f>
        <v/>
      </c>
      <c r="M4704" s="13"/>
      <c r="N4704" s="13"/>
      <c r="O4704" s="13"/>
      <c r="P4704" s="26"/>
      <c r="Q4704" s="20"/>
      <c r="R4704" s="13"/>
      <c r="S4704" s="25"/>
      <c r="T4704" s="13"/>
      <c r="U4704" s="13"/>
      <c r="V4704" s="13"/>
      <c r="W4704" s="13"/>
      <c r="X4704" s="21"/>
      <c r="Y4704" s="22"/>
      <c r="Z4704" s="23"/>
      <c r="AA4704" s="23"/>
      <c r="AB4704" s="15"/>
      <c r="AC4704" s="14"/>
      <c r="AD4704" s="18"/>
      <c r="AE4704" s="18"/>
    </row>
    <row r="4705" customFormat="false" ht="15" hidden="false" customHeight="true" outlineLevel="0" collapsed="false">
      <c r="A4705" s="12"/>
      <c r="B4705" s="13"/>
      <c r="C4705" s="14"/>
      <c r="D4705" s="13"/>
      <c r="E4705" s="15"/>
      <c r="F4705" s="15"/>
      <c r="G4705" s="15"/>
      <c r="H4705" s="13"/>
      <c r="I4705" s="13"/>
      <c r="J4705" s="16"/>
      <c r="K4705" s="16"/>
      <c r="L4705" s="17" t="str">
        <f aca="false" t="array" ref="L4705:L4705">IFERROR(INDEX(AC4705:AE4705,IF(COUNTA(AC4705:AE4705)=0,"",MAX((AC4705:AE4705&lt;&gt;"")*(COLUMN(AC4705:AE4705)-(COLUMN(AC4705)-2))))-1),"")</f>
        <v/>
      </c>
      <c r="M4705" s="13"/>
      <c r="N4705" s="13"/>
      <c r="O4705" s="13"/>
      <c r="P4705" s="26"/>
      <c r="Q4705" s="20"/>
      <c r="R4705" s="13"/>
      <c r="S4705" s="25"/>
      <c r="T4705" s="13"/>
      <c r="U4705" s="13"/>
      <c r="V4705" s="13"/>
      <c r="W4705" s="13"/>
      <c r="X4705" s="21"/>
      <c r="Y4705" s="22"/>
      <c r="Z4705" s="23"/>
      <c r="AA4705" s="23"/>
      <c r="AB4705" s="15"/>
      <c r="AC4705" s="14"/>
      <c r="AD4705" s="18"/>
      <c r="AE4705" s="18"/>
    </row>
    <row r="4706" customFormat="false" ht="15" hidden="false" customHeight="true" outlineLevel="0" collapsed="false">
      <c r="A4706" s="12"/>
      <c r="B4706" s="13"/>
      <c r="C4706" s="14"/>
      <c r="D4706" s="13"/>
      <c r="E4706" s="15"/>
      <c r="F4706" s="15"/>
      <c r="G4706" s="15"/>
      <c r="H4706" s="13"/>
      <c r="I4706" s="13"/>
      <c r="J4706" s="16"/>
      <c r="K4706" s="16"/>
      <c r="L4706" s="17" t="str">
        <f aca="false" t="array" ref="L4706:L4706">IFERROR(INDEX(AC4706:AE4706,IF(COUNTA(AC4706:AE4706)=0,"",MAX((AC4706:AE4706&lt;&gt;"")*(COLUMN(AC4706:AE4706)-(COLUMN(AC4706)-2))))-1),"")</f>
        <v/>
      </c>
      <c r="M4706" s="13"/>
      <c r="N4706" s="13"/>
      <c r="O4706" s="13"/>
      <c r="P4706" s="26"/>
      <c r="Q4706" s="20"/>
      <c r="R4706" s="13"/>
      <c r="S4706" s="25"/>
      <c r="T4706" s="13"/>
      <c r="U4706" s="13"/>
      <c r="V4706" s="13"/>
      <c r="W4706" s="13"/>
      <c r="X4706" s="21"/>
      <c r="Y4706" s="22"/>
      <c r="Z4706" s="23"/>
      <c r="AA4706" s="23"/>
      <c r="AB4706" s="15"/>
      <c r="AC4706" s="14"/>
      <c r="AD4706" s="18"/>
      <c r="AE4706" s="18"/>
    </row>
    <row r="4707" customFormat="false" ht="15" hidden="false" customHeight="true" outlineLevel="0" collapsed="false">
      <c r="A4707" s="12"/>
      <c r="B4707" s="13"/>
      <c r="C4707" s="14"/>
      <c r="D4707" s="13"/>
      <c r="E4707" s="15"/>
      <c r="F4707" s="15"/>
      <c r="G4707" s="15"/>
      <c r="H4707" s="13"/>
      <c r="I4707" s="13"/>
      <c r="J4707" s="16"/>
      <c r="K4707" s="16"/>
      <c r="L4707" s="17" t="str">
        <f aca="false" t="array" ref="L4707:L4707">IFERROR(INDEX(AC4707:AE4707,IF(COUNTA(AC4707:AE4707)=0,"",MAX((AC4707:AE4707&lt;&gt;"")*(COLUMN(AC4707:AE4707)-(COLUMN(AC4707)-2))))-1),"")</f>
        <v/>
      </c>
      <c r="M4707" s="13"/>
      <c r="N4707" s="13"/>
      <c r="O4707" s="13"/>
      <c r="P4707" s="26"/>
      <c r="Q4707" s="20"/>
      <c r="R4707" s="13"/>
      <c r="S4707" s="25"/>
      <c r="T4707" s="13"/>
      <c r="U4707" s="13"/>
      <c r="V4707" s="13"/>
      <c r="W4707" s="13"/>
      <c r="X4707" s="21"/>
      <c r="Y4707" s="22"/>
      <c r="Z4707" s="23"/>
      <c r="AA4707" s="23"/>
      <c r="AB4707" s="15"/>
      <c r="AC4707" s="14"/>
      <c r="AD4707" s="18"/>
      <c r="AE4707" s="18"/>
    </row>
    <row r="4708" customFormat="false" ht="15" hidden="false" customHeight="true" outlineLevel="0" collapsed="false">
      <c r="A4708" s="12"/>
      <c r="B4708" s="13"/>
      <c r="C4708" s="14"/>
      <c r="D4708" s="13"/>
      <c r="E4708" s="15"/>
      <c r="F4708" s="15"/>
      <c r="G4708" s="15"/>
      <c r="H4708" s="13"/>
      <c r="I4708" s="13"/>
      <c r="J4708" s="16"/>
      <c r="K4708" s="16"/>
      <c r="L4708" s="17" t="str">
        <f aca="false" t="array" ref="L4708:L4708">IFERROR(INDEX(AC4708:AE4708,IF(COUNTA(AC4708:AE4708)=0,"",MAX((AC4708:AE4708&lt;&gt;"")*(COLUMN(AC4708:AE4708)-(COLUMN(AC4708)-2))))-1),"")</f>
        <v/>
      </c>
      <c r="M4708" s="13"/>
      <c r="N4708" s="13"/>
      <c r="O4708" s="13"/>
      <c r="P4708" s="26"/>
      <c r="Q4708" s="20"/>
      <c r="R4708" s="13"/>
      <c r="S4708" s="25"/>
      <c r="T4708" s="13"/>
      <c r="U4708" s="13"/>
      <c r="V4708" s="13"/>
      <c r="W4708" s="13"/>
      <c r="X4708" s="21"/>
      <c r="Y4708" s="22"/>
      <c r="Z4708" s="23"/>
      <c r="AA4708" s="23"/>
      <c r="AB4708" s="15"/>
      <c r="AC4708" s="14"/>
      <c r="AD4708" s="18"/>
      <c r="AE4708" s="18"/>
    </row>
    <row r="4709" customFormat="false" ht="15" hidden="false" customHeight="true" outlineLevel="0" collapsed="false">
      <c r="A4709" s="12"/>
      <c r="B4709" s="13"/>
      <c r="C4709" s="14"/>
      <c r="D4709" s="13"/>
      <c r="E4709" s="15"/>
      <c r="F4709" s="15"/>
      <c r="G4709" s="15"/>
      <c r="H4709" s="13"/>
      <c r="I4709" s="13"/>
      <c r="J4709" s="16"/>
      <c r="K4709" s="16"/>
      <c r="L4709" s="17" t="str">
        <f aca="false" t="array" ref="L4709:L4709">IFERROR(INDEX(AC4709:AE4709,IF(COUNTA(AC4709:AE4709)=0,"",MAX((AC4709:AE4709&lt;&gt;"")*(COLUMN(AC4709:AE4709)-(COLUMN(AC4709)-2))))-1),"")</f>
        <v/>
      </c>
      <c r="M4709" s="13"/>
      <c r="N4709" s="13"/>
      <c r="O4709" s="13"/>
      <c r="P4709" s="26"/>
      <c r="Q4709" s="20"/>
      <c r="R4709" s="13"/>
      <c r="S4709" s="25"/>
      <c r="T4709" s="13"/>
      <c r="U4709" s="13"/>
      <c r="V4709" s="13"/>
      <c r="W4709" s="13"/>
      <c r="X4709" s="21"/>
      <c r="Y4709" s="22"/>
      <c r="Z4709" s="23"/>
      <c r="AA4709" s="23"/>
      <c r="AB4709" s="15"/>
      <c r="AC4709" s="14"/>
      <c r="AD4709" s="18"/>
      <c r="AE4709" s="18"/>
    </row>
    <row r="4710" customFormat="false" ht="15" hidden="false" customHeight="true" outlineLevel="0" collapsed="false">
      <c r="A4710" s="12"/>
      <c r="B4710" s="13"/>
      <c r="C4710" s="14"/>
      <c r="D4710" s="13"/>
      <c r="E4710" s="15"/>
      <c r="F4710" s="15"/>
      <c r="G4710" s="15"/>
      <c r="H4710" s="13"/>
      <c r="I4710" s="13"/>
      <c r="J4710" s="16"/>
      <c r="K4710" s="16"/>
      <c r="L4710" s="17" t="str">
        <f aca="false" t="array" ref="L4710:L4710">IFERROR(INDEX(AC4710:AE4710,IF(COUNTA(AC4710:AE4710)=0,"",MAX((AC4710:AE4710&lt;&gt;"")*(COLUMN(AC4710:AE4710)-(COLUMN(AC4710)-2))))-1),"")</f>
        <v/>
      </c>
      <c r="M4710" s="13"/>
      <c r="N4710" s="13"/>
      <c r="O4710" s="13"/>
      <c r="P4710" s="26"/>
      <c r="Q4710" s="20"/>
      <c r="R4710" s="13"/>
      <c r="S4710" s="25"/>
      <c r="T4710" s="13"/>
      <c r="U4710" s="13"/>
      <c r="V4710" s="13"/>
      <c r="W4710" s="13"/>
      <c r="X4710" s="21"/>
      <c r="Y4710" s="22"/>
      <c r="Z4710" s="23"/>
      <c r="AA4710" s="23"/>
      <c r="AB4710" s="15"/>
      <c r="AC4710" s="14"/>
      <c r="AD4710" s="18"/>
      <c r="AE4710" s="18"/>
    </row>
    <row r="4711" customFormat="false" ht="15" hidden="false" customHeight="true" outlineLevel="0" collapsed="false">
      <c r="A4711" s="12"/>
      <c r="B4711" s="13"/>
      <c r="C4711" s="14"/>
      <c r="D4711" s="13"/>
      <c r="E4711" s="15"/>
      <c r="F4711" s="15"/>
      <c r="G4711" s="15"/>
      <c r="H4711" s="13"/>
      <c r="I4711" s="13"/>
      <c r="J4711" s="16"/>
      <c r="K4711" s="16"/>
      <c r="L4711" s="17" t="str">
        <f aca="false" t="array" ref="L4711:L4711">IFERROR(INDEX(AC4711:AE4711,IF(COUNTA(AC4711:AE4711)=0,"",MAX((AC4711:AE4711&lt;&gt;"")*(COLUMN(AC4711:AE4711)-(COLUMN(AC4711)-2))))-1),"")</f>
        <v/>
      </c>
      <c r="M4711" s="13"/>
      <c r="N4711" s="13"/>
      <c r="O4711" s="13"/>
      <c r="P4711" s="26"/>
      <c r="Q4711" s="20"/>
      <c r="R4711" s="13"/>
      <c r="S4711" s="25"/>
      <c r="T4711" s="13"/>
      <c r="U4711" s="13"/>
      <c r="V4711" s="13"/>
      <c r="W4711" s="13"/>
      <c r="X4711" s="21"/>
      <c r="Y4711" s="22"/>
      <c r="Z4711" s="23"/>
      <c r="AA4711" s="23"/>
      <c r="AB4711" s="15"/>
      <c r="AC4711" s="14"/>
      <c r="AD4711" s="18"/>
      <c r="AE4711" s="18"/>
    </row>
    <row r="4712" customFormat="false" ht="15" hidden="false" customHeight="true" outlineLevel="0" collapsed="false">
      <c r="A4712" s="12"/>
      <c r="B4712" s="13"/>
      <c r="C4712" s="14"/>
      <c r="D4712" s="13"/>
      <c r="E4712" s="15"/>
      <c r="F4712" s="15"/>
      <c r="G4712" s="15"/>
      <c r="H4712" s="13"/>
      <c r="I4712" s="13"/>
      <c r="J4712" s="16"/>
      <c r="K4712" s="16"/>
      <c r="L4712" s="17" t="str">
        <f aca="false" t="array" ref="L4712:L4712">IFERROR(INDEX(AC4712:AE4712,IF(COUNTA(AC4712:AE4712)=0,"",MAX((AC4712:AE4712&lt;&gt;"")*(COLUMN(AC4712:AE4712)-(COLUMN(AC4712)-2))))-1),"")</f>
        <v/>
      </c>
      <c r="M4712" s="13"/>
      <c r="N4712" s="13"/>
      <c r="O4712" s="13"/>
      <c r="P4712" s="26"/>
      <c r="Q4712" s="20"/>
      <c r="R4712" s="13"/>
      <c r="S4712" s="25"/>
      <c r="T4712" s="13"/>
      <c r="U4712" s="13"/>
      <c r="V4712" s="13"/>
      <c r="W4712" s="13"/>
      <c r="X4712" s="21"/>
      <c r="Y4712" s="22"/>
      <c r="Z4712" s="23"/>
      <c r="AA4712" s="23"/>
      <c r="AB4712" s="15"/>
      <c r="AC4712" s="14"/>
      <c r="AD4712" s="18"/>
      <c r="AE4712" s="18"/>
    </row>
    <row r="4713" customFormat="false" ht="15" hidden="false" customHeight="true" outlineLevel="0" collapsed="false">
      <c r="A4713" s="12"/>
      <c r="B4713" s="13"/>
      <c r="C4713" s="14"/>
      <c r="D4713" s="13"/>
      <c r="E4713" s="15"/>
      <c r="F4713" s="15"/>
      <c r="G4713" s="15"/>
      <c r="H4713" s="13"/>
      <c r="I4713" s="13"/>
      <c r="J4713" s="16"/>
      <c r="K4713" s="16"/>
      <c r="L4713" s="17" t="str">
        <f aca="false" t="array" ref="L4713:L4713">IFERROR(INDEX(AC4713:AE4713,IF(COUNTA(AC4713:AE4713)=0,"",MAX((AC4713:AE4713&lt;&gt;"")*(COLUMN(AC4713:AE4713)-(COLUMN(AC4713)-2))))-1),"")</f>
        <v/>
      </c>
      <c r="M4713" s="13"/>
      <c r="N4713" s="13"/>
      <c r="O4713" s="13"/>
      <c r="P4713" s="26"/>
      <c r="Q4713" s="20"/>
      <c r="R4713" s="13"/>
      <c r="S4713" s="25"/>
      <c r="T4713" s="13"/>
      <c r="U4713" s="13"/>
      <c r="V4713" s="13"/>
      <c r="W4713" s="13"/>
      <c r="X4713" s="21"/>
      <c r="Y4713" s="22"/>
      <c r="Z4713" s="23"/>
      <c r="AA4713" s="23"/>
      <c r="AB4713" s="15"/>
      <c r="AC4713" s="14"/>
      <c r="AD4713" s="18"/>
      <c r="AE4713" s="18"/>
    </row>
    <row r="4714" customFormat="false" ht="15" hidden="false" customHeight="true" outlineLevel="0" collapsed="false">
      <c r="A4714" s="12"/>
      <c r="B4714" s="13"/>
      <c r="C4714" s="14"/>
      <c r="D4714" s="13"/>
      <c r="E4714" s="15"/>
      <c r="F4714" s="15"/>
      <c r="G4714" s="15"/>
      <c r="H4714" s="13"/>
      <c r="I4714" s="13"/>
      <c r="J4714" s="16"/>
      <c r="K4714" s="16"/>
      <c r="L4714" s="17" t="str">
        <f aca="false" t="array" ref="L4714:L4714">IFERROR(INDEX(AC4714:AE4714,IF(COUNTA(AC4714:AE4714)=0,"",MAX((AC4714:AE4714&lt;&gt;"")*(COLUMN(AC4714:AE4714)-(COLUMN(AC4714)-2))))-1),"")</f>
        <v/>
      </c>
      <c r="M4714" s="13"/>
      <c r="N4714" s="13"/>
      <c r="O4714" s="13"/>
      <c r="P4714" s="26"/>
      <c r="Q4714" s="20"/>
      <c r="R4714" s="13"/>
      <c r="S4714" s="25"/>
      <c r="T4714" s="13"/>
      <c r="U4714" s="13"/>
      <c r="V4714" s="13"/>
      <c r="W4714" s="13"/>
      <c r="X4714" s="21"/>
      <c r="Y4714" s="22"/>
      <c r="Z4714" s="23"/>
      <c r="AA4714" s="23"/>
      <c r="AB4714" s="15"/>
      <c r="AC4714" s="14"/>
      <c r="AD4714" s="18"/>
      <c r="AE4714" s="18"/>
    </row>
    <row r="4715" customFormat="false" ht="15" hidden="false" customHeight="true" outlineLevel="0" collapsed="false">
      <c r="A4715" s="12"/>
      <c r="B4715" s="13"/>
      <c r="C4715" s="14"/>
      <c r="D4715" s="13"/>
      <c r="E4715" s="15"/>
      <c r="F4715" s="15"/>
      <c r="G4715" s="15"/>
      <c r="H4715" s="13"/>
      <c r="I4715" s="13"/>
      <c r="J4715" s="16"/>
      <c r="K4715" s="16"/>
      <c r="L4715" s="17" t="str">
        <f aca="false" t="array" ref="L4715:L4715">IFERROR(INDEX(AC4715:AE4715,IF(COUNTA(AC4715:AE4715)=0,"",MAX((AC4715:AE4715&lt;&gt;"")*(COLUMN(AC4715:AE4715)-(COLUMN(AC4715)-2))))-1),"")</f>
        <v/>
      </c>
      <c r="M4715" s="13"/>
      <c r="N4715" s="13"/>
      <c r="O4715" s="13"/>
      <c r="P4715" s="26"/>
      <c r="Q4715" s="20"/>
      <c r="R4715" s="13"/>
      <c r="S4715" s="25"/>
      <c r="T4715" s="13"/>
      <c r="U4715" s="13"/>
      <c r="V4715" s="13"/>
      <c r="W4715" s="13"/>
      <c r="X4715" s="21"/>
      <c r="Y4715" s="22"/>
      <c r="Z4715" s="23"/>
      <c r="AA4715" s="23"/>
      <c r="AB4715" s="15"/>
      <c r="AC4715" s="14"/>
      <c r="AD4715" s="18"/>
      <c r="AE4715" s="18"/>
    </row>
    <row r="4716" customFormat="false" ht="15" hidden="false" customHeight="true" outlineLevel="0" collapsed="false">
      <c r="A4716" s="12"/>
      <c r="B4716" s="13"/>
      <c r="C4716" s="14"/>
      <c r="D4716" s="13"/>
      <c r="E4716" s="15"/>
      <c r="F4716" s="15"/>
      <c r="G4716" s="15"/>
      <c r="H4716" s="13"/>
      <c r="I4716" s="13"/>
      <c r="J4716" s="16"/>
      <c r="K4716" s="16"/>
      <c r="L4716" s="17" t="str">
        <f aca="false" t="array" ref="L4716:L4716">IFERROR(INDEX(AC4716:AE4716,IF(COUNTA(AC4716:AE4716)=0,"",MAX((AC4716:AE4716&lt;&gt;"")*(COLUMN(AC4716:AE4716)-(COLUMN(AC4716)-2))))-1),"")</f>
        <v/>
      </c>
      <c r="M4716" s="13"/>
      <c r="N4716" s="13"/>
      <c r="O4716" s="13"/>
      <c r="P4716" s="26"/>
      <c r="Q4716" s="20"/>
      <c r="R4716" s="13"/>
      <c r="S4716" s="25"/>
      <c r="T4716" s="13"/>
      <c r="U4716" s="13"/>
      <c r="V4716" s="13"/>
      <c r="W4716" s="13"/>
      <c r="X4716" s="21"/>
      <c r="Y4716" s="22"/>
      <c r="Z4716" s="23"/>
      <c r="AA4716" s="23"/>
      <c r="AB4716" s="15"/>
      <c r="AC4716" s="14"/>
      <c r="AD4716" s="18"/>
      <c r="AE4716" s="18"/>
    </row>
    <row r="4717" customFormat="false" ht="15" hidden="false" customHeight="true" outlineLevel="0" collapsed="false">
      <c r="A4717" s="12"/>
      <c r="B4717" s="13"/>
      <c r="C4717" s="14"/>
      <c r="D4717" s="13"/>
      <c r="E4717" s="15"/>
      <c r="F4717" s="15"/>
      <c r="G4717" s="15"/>
      <c r="H4717" s="13"/>
      <c r="I4717" s="13"/>
      <c r="J4717" s="16"/>
      <c r="K4717" s="16"/>
      <c r="L4717" s="17" t="str">
        <f aca="false" t="array" ref="L4717:L4717">IFERROR(INDEX(AC4717:AE4717,IF(COUNTA(AC4717:AE4717)=0,"",MAX((AC4717:AE4717&lt;&gt;"")*(COLUMN(AC4717:AE4717)-(COLUMN(AC4717)-2))))-1),"")</f>
        <v/>
      </c>
      <c r="M4717" s="13"/>
      <c r="N4717" s="13"/>
      <c r="O4717" s="13"/>
      <c r="P4717" s="26"/>
      <c r="Q4717" s="20"/>
      <c r="R4717" s="13"/>
      <c r="S4717" s="25"/>
      <c r="T4717" s="13"/>
      <c r="U4717" s="13"/>
      <c r="V4717" s="13"/>
      <c r="W4717" s="13"/>
      <c r="X4717" s="21"/>
      <c r="Y4717" s="22"/>
      <c r="Z4717" s="23"/>
      <c r="AA4717" s="23"/>
      <c r="AB4717" s="15"/>
      <c r="AC4717" s="14"/>
      <c r="AD4717" s="18"/>
      <c r="AE4717" s="18"/>
    </row>
    <row r="4718" customFormat="false" ht="15" hidden="false" customHeight="true" outlineLevel="0" collapsed="false">
      <c r="A4718" s="12"/>
      <c r="B4718" s="13"/>
      <c r="C4718" s="14"/>
      <c r="D4718" s="13"/>
      <c r="E4718" s="15"/>
      <c r="F4718" s="15"/>
      <c r="G4718" s="15"/>
      <c r="H4718" s="13"/>
      <c r="I4718" s="13"/>
      <c r="J4718" s="16"/>
      <c r="K4718" s="16"/>
      <c r="L4718" s="17" t="str">
        <f aca="false" t="array" ref="L4718:L4718">IFERROR(INDEX(AC4718:AE4718,IF(COUNTA(AC4718:AE4718)=0,"",MAX((AC4718:AE4718&lt;&gt;"")*(COLUMN(AC4718:AE4718)-(COLUMN(AC4718)-2))))-1),"")</f>
        <v/>
      </c>
      <c r="M4718" s="13"/>
      <c r="N4718" s="13"/>
      <c r="O4718" s="13"/>
      <c r="P4718" s="26"/>
      <c r="Q4718" s="20"/>
      <c r="R4718" s="13"/>
      <c r="S4718" s="25"/>
      <c r="T4718" s="13"/>
      <c r="U4718" s="13"/>
      <c r="V4718" s="13"/>
      <c r="W4718" s="13"/>
      <c r="X4718" s="21"/>
      <c r="Y4718" s="22"/>
      <c r="Z4718" s="23"/>
      <c r="AA4718" s="23"/>
      <c r="AB4718" s="15"/>
      <c r="AC4718" s="14"/>
      <c r="AD4718" s="18"/>
      <c r="AE4718" s="18"/>
    </row>
    <row r="4719" customFormat="false" ht="15" hidden="false" customHeight="true" outlineLevel="0" collapsed="false">
      <c r="A4719" s="12"/>
      <c r="B4719" s="13"/>
      <c r="C4719" s="14"/>
      <c r="D4719" s="13"/>
      <c r="E4719" s="15"/>
      <c r="F4719" s="15"/>
      <c r="G4719" s="15"/>
      <c r="H4719" s="13"/>
      <c r="I4719" s="13"/>
      <c r="J4719" s="16"/>
      <c r="K4719" s="16"/>
      <c r="L4719" s="17" t="str">
        <f aca="false" t="array" ref="L4719:L4719">IFERROR(INDEX(AC4719:AE4719,IF(COUNTA(AC4719:AE4719)=0,"",MAX((AC4719:AE4719&lt;&gt;"")*(COLUMN(AC4719:AE4719)-(COLUMN(AC4719)-2))))-1),"")</f>
        <v/>
      </c>
      <c r="M4719" s="13"/>
      <c r="N4719" s="13"/>
      <c r="O4719" s="13"/>
      <c r="P4719" s="26"/>
      <c r="Q4719" s="20"/>
      <c r="R4719" s="13"/>
      <c r="S4719" s="25"/>
      <c r="T4719" s="13"/>
      <c r="U4719" s="13"/>
      <c r="V4719" s="13"/>
      <c r="W4719" s="13"/>
      <c r="X4719" s="21"/>
      <c r="Y4719" s="22"/>
      <c r="Z4719" s="23"/>
      <c r="AA4719" s="23"/>
      <c r="AB4719" s="15"/>
      <c r="AC4719" s="14"/>
      <c r="AD4719" s="18"/>
      <c r="AE4719" s="18"/>
    </row>
    <row r="4720" customFormat="false" ht="15" hidden="false" customHeight="true" outlineLevel="0" collapsed="false">
      <c r="A4720" s="12"/>
      <c r="B4720" s="13"/>
      <c r="C4720" s="14"/>
      <c r="D4720" s="13"/>
      <c r="E4720" s="15"/>
      <c r="F4720" s="15"/>
      <c r="G4720" s="15"/>
      <c r="H4720" s="13"/>
      <c r="I4720" s="13"/>
      <c r="J4720" s="16"/>
      <c r="K4720" s="16"/>
      <c r="L4720" s="17" t="str">
        <f aca="false" t="array" ref="L4720:L4720">IFERROR(INDEX(AC4720:AE4720,IF(COUNTA(AC4720:AE4720)=0,"",MAX((AC4720:AE4720&lt;&gt;"")*(COLUMN(AC4720:AE4720)-(COLUMN(AC4720)-2))))-1),"")</f>
        <v/>
      </c>
      <c r="M4720" s="13"/>
      <c r="N4720" s="13"/>
      <c r="O4720" s="13"/>
      <c r="P4720" s="26"/>
      <c r="Q4720" s="20"/>
      <c r="R4720" s="13"/>
      <c r="S4720" s="25"/>
      <c r="T4720" s="13"/>
      <c r="U4720" s="13"/>
      <c r="V4720" s="13"/>
      <c r="W4720" s="13"/>
      <c r="X4720" s="21"/>
      <c r="Y4720" s="22"/>
      <c r="Z4720" s="23"/>
      <c r="AA4720" s="23"/>
      <c r="AB4720" s="15"/>
      <c r="AC4720" s="14"/>
      <c r="AD4720" s="18"/>
      <c r="AE4720" s="18"/>
    </row>
    <row r="4721" customFormat="false" ht="15" hidden="false" customHeight="true" outlineLevel="0" collapsed="false">
      <c r="A4721" s="12"/>
      <c r="B4721" s="13"/>
      <c r="C4721" s="14"/>
      <c r="D4721" s="13"/>
      <c r="E4721" s="15"/>
      <c r="F4721" s="15"/>
      <c r="G4721" s="15"/>
      <c r="H4721" s="13"/>
      <c r="I4721" s="13"/>
      <c r="J4721" s="16"/>
      <c r="K4721" s="16"/>
      <c r="L4721" s="17" t="str">
        <f aca="false" t="array" ref="L4721:L4721">IFERROR(INDEX(AC4721:AE4721,IF(COUNTA(AC4721:AE4721)=0,"",MAX((AC4721:AE4721&lt;&gt;"")*(COLUMN(AC4721:AE4721)-(COLUMN(AC4721)-2))))-1),"")</f>
        <v/>
      </c>
      <c r="M4721" s="13"/>
      <c r="N4721" s="13"/>
      <c r="O4721" s="13"/>
      <c r="P4721" s="26"/>
      <c r="Q4721" s="20"/>
      <c r="R4721" s="13"/>
      <c r="S4721" s="25"/>
      <c r="T4721" s="13"/>
      <c r="U4721" s="13"/>
      <c r="V4721" s="13"/>
      <c r="W4721" s="13"/>
      <c r="X4721" s="21"/>
      <c r="Y4721" s="22"/>
      <c r="Z4721" s="23"/>
      <c r="AA4721" s="23"/>
      <c r="AB4721" s="15"/>
      <c r="AC4721" s="14"/>
      <c r="AD4721" s="18"/>
      <c r="AE4721" s="18"/>
    </row>
    <row r="4722" customFormat="false" ht="15" hidden="false" customHeight="true" outlineLevel="0" collapsed="false">
      <c r="A4722" s="12"/>
      <c r="B4722" s="13"/>
      <c r="C4722" s="14"/>
      <c r="D4722" s="13"/>
      <c r="E4722" s="15"/>
      <c r="F4722" s="15"/>
      <c r="G4722" s="15"/>
      <c r="H4722" s="13"/>
      <c r="I4722" s="13"/>
      <c r="J4722" s="16"/>
      <c r="K4722" s="16"/>
      <c r="L4722" s="17" t="str">
        <f aca="false" t="array" ref="L4722:L4722">IFERROR(INDEX(AC4722:AE4722,IF(COUNTA(AC4722:AE4722)=0,"",MAX((AC4722:AE4722&lt;&gt;"")*(COLUMN(AC4722:AE4722)-(COLUMN(AC4722)-2))))-1),"")</f>
        <v/>
      </c>
      <c r="M4722" s="13"/>
      <c r="N4722" s="13"/>
      <c r="O4722" s="13"/>
      <c r="P4722" s="26"/>
      <c r="Q4722" s="20"/>
      <c r="R4722" s="13"/>
      <c r="S4722" s="25"/>
      <c r="T4722" s="13"/>
      <c r="U4722" s="13"/>
      <c r="V4722" s="13"/>
      <c r="W4722" s="13"/>
      <c r="X4722" s="21"/>
      <c r="Y4722" s="22"/>
      <c r="Z4722" s="23"/>
      <c r="AA4722" s="23"/>
      <c r="AB4722" s="15"/>
      <c r="AC4722" s="14"/>
      <c r="AD4722" s="18"/>
      <c r="AE4722" s="18"/>
    </row>
    <row r="4723" customFormat="false" ht="15" hidden="false" customHeight="true" outlineLevel="0" collapsed="false">
      <c r="A4723" s="12"/>
      <c r="B4723" s="13"/>
      <c r="C4723" s="14"/>
      <c r="D4723" s="13"/>
      <c r="E4723" s="15"/>
      <c r="F4723" s="15"/>
      <c r="G4723" s="15"/>
      <c r="H4723" s="13"/>
      <c r="I4723" s="13"/>
      <c r="J4723" s="16"/>
      <c r="K4723" s="16"/>
      <c r="L4723" s="17" t="str">
        <f aca="false" t="array" ref="L4723:L4723">IFERROR(INDEX(AC4723:AE4723,IF(COUNTA(AC4723:AE4723)=0,"",MAX((AC4723:AE4723&lt;&gt;"")*(COLUMN(AC4723:AE4723)-(COLUMN(AC4723)-2))))-1),"")</f>
        <v/>
      </c>
      <c r="M4723" s="13"/>
      <c r="N4723" s="13"/>
      <c r="O4723" s="13"/>
      <c r="P4723" s="26"/>
      <c r="Q4723" s="20"/>
      <c r="R4723" s="13"/>
      <c r="S4723" s="25"/>
      <c r="T4723" s="13"/>
      <c r="U4723" s="13"/>
      <c r="V4723" s="13"/>
      <c r="W4723" s="13"/>
      <c r="X4723" s="21"/>
      <c r="Y4723" s="22"/>
      <c r="Z4723" s="23"/>
      <c r="AA4723" s="23"/>
      <c r="AB4723" s="15"/>
      <c r="AC4723" s="14"/>
      <c r="AD4723" s="18"/>
      <c r="AE4723" s="18"/>
    </row>
    <row r="4724" customFormat="false" ht="15" hidden="false" customHeight="true" outlineLevel="0" collapsed="false">
      <c r="A4724" s="12"/>
      <c r="B4724" s="13"/>
      <c r="C4724" s="14"/>
      <c r="D4724" s="13"/>
      <c r="E4724" s="15"/>
      <c r="F4724" s="15"/>
      <c r="G4724" s="15"/>
      <c r="H4724" s="13"/>
      <c r="I4724" s="13"/>
      <c r="J4724" s="16"/>
      <c r="K4724" s="16"/>
      <c r="L4724" s="17" t="str">
        <f aca="false" t="array" ref="L4724:L4724">IFERROR(INDEX(AC4724:AE4724,IF(COUNTA(AC4724:AE4724)=0,"",MAX((AC4724:AE4724&lt;&gt;"")*(COLUMN(AC4724:AE4724)-(COLUMN(AC4724)-2))))-1),"")</f>
        <v/>
      </c>
      <c r="M4724" s="13"/>
      <c r="N4724" s="13"/>
      <c r="O4724" s="13"/>
      <c r="P4724" s="26"/>
      <c r="Q4724" s="20"/>
      <c r="R4724" s="13"/>
      <c r="S4724" s="25"/>
      <c r="T4724" s="13"/>
      <c r="U4724" s="13"/>
      <c r="V4724" s="13"/>
      <c r="W4724" s="13"/>
      <c r="X4724" s="21"/>
      <c r="Y4724" s="22"/>
      <c r="Z4724" s="23"/>
      <c r="AA4724" s="23"/>
      <c r="AB4724" s="15"/>
      <c r="AC4724" s="14"/>
      <c r="AD4724" s="18"/>
      <c r="AE4724" s="18"/>
    </row>
    <row r="4725" customFormat="false" ht="15" hidden="false" customHeight="true" outlineLevel="0" collapsed="false">
      <c r="A4725" s="12"/>
      <c r="B4725" s="13"/>
      <c r="C4725" s="14"/>
      <c r="D4725" s="13"/>
      <c r="E4725" s="15"/>
      <c r="F4725" s="15"/>
      <c r="G4725" s="15"/>
      <c r="H4725" s="13"/>
      <c r="I4725" s="13"/>
      <c r="J4725" s="16"/>
      <c r="K4725" s="16"/>
      <c r="L4725" s="17" t="str">
        <f aca="false" t="array" ref="L4725:L4725">IFERROR(INDEX(AC4725:AE4725,IF(COUNTA(AC4725:AE4725)=0,"",MAX((AC4725:AE4725&lt;&gt;"")*(COLUMN(AC4725:AE4725)-(COLUMN(AC4725)-2))))-1),"")</f>
        <v/>
      </c>
      <c r="M4725" s="13"/>
      <c r="N4725" s="13"/>
      <c r="O4725" s="13"/>
      <c r="P4725" s="26"/>
      <c r="Q4725" s="20"/>
      <c r="R4725" s="13"/>
      <c r="S4725" s="25"/>
      <c r="T4725" s="13"/>
      <c r="U4725" s="13"/>
      <c r="V4725" s="13"/>
      <c r="W4725" s="13"/>
      <c r="X4725" s="21"/>
      <c r="Y4725" s="22"/>
      <c r="Z4725" s="23"/>
      <c r="AA4725" s="23"/>
      <c r="AB4725" s="15"/>
      <c r="AC4725" s="14"/>
      <c r="AD4725" s="18"/>
      <c r="AE4725" s="18"/>
    </row>
    <row r="4726" customFormat="false" ht="15" hidden="false" customHeight="true" outlineLevel="0" collapsed="false">
      <c r="A4726" s="12"/>
      <c r="B4726" s="13"/>
      <c r="C4726" s="14"/>
      <c r="D4726" s="13"/>
      <c r="E4726" s="15"/>
      <c r="F4726" s="15"/>
      <c r="G4726" s="15"/>
      <c r="H4726" s="13"/>
      <c r="I4726" s="13"/>
      <c r="J4726" s="16"/>
      <c r="K4726" s="16"/>
      <c r="L4726" s="17" t="str">
        <f aca="false" t="array" ref="L4726:L4726">IFERROR(INDEX(AC4726:AE4726,IF(COUNTA(AC4726:AE4726)=0,"",MAX((AC4726:AE4726&lt;&gt;"")*(COLUMN(AC4726:AE4726)-(COLUMN(AC4726)-2))))-1),"")</f>
        <v/>
      </c>
      <c r="M4726" s="13"/>
      <c r="N4726" s="13"/>
      <c r="O4726" s="13"/>
      <c r="P4726" s="26"/>
      <c r="Q4726" s="20"/>
      <c r="R4726" s="13"/>
      <c r="S4726" s="25"/>
      <c r="T4726" s="13"/>
      <c r="U4726" s="13"/>
      <c r="V4726" s="13"/>
      <c r="W4726" s="13"/>
      <c r="X4726" s="21"/>
      <c r="Y4726" s="22"/>
      <c r="Z4726" s="23"/>
      <c r="AA4726" s="23"/>
      <c r="AB4726" s="15"/>
      <c r="AC4726" s="14"/>
      <c r="AD4726" s="18"/>
      <c r="AE4726" s="18"/>
    </row>
    <row r="4727" customFormat="false" ht="15" hidden="false" customHeight="true" outlineLevel="0" collapsed="false">
      <c r="A4727" s="12"/>
      <c r="B4727" s="13"/>
      <c r="C4727" s="14"/>
      <c r="D4727" s="13"/>
      <c r="E4727" s="15"/>
      <c r="F4727" s="15"/>
      <c r="G4727" s="15"/>
      <c r="H4727" s="13"/>
      <c r="I4727" s="13"/>
      <c r="J4727" s="16"/>
      <c r="K4727" s="16"/>
      <c r="L4727" s="17" t="str">
        <f aca="false" t="array" ref="L4727:L4727">IFERROR(INDEX(AC4727:AE4727,IF(COUNTA(AC4727:AE4727)=0,"",MAX((AC4727:AE4727&lt;&gt;"")*(COLUMN(AC4727:AE4727)-(COLUMN(AC4727)-2))))-1),"")</f>
        <v/>
      </c>
      <c r="M4727" s="13"/>
      <c r="N4727" s="13"/>
      <c r="O4727" s="13"/>
      <c r="P4727" s="26"/>
      <c r="Q4727" s="20"/>
      <c r="R4727" s="13"/>
      <c r="S4727" s="25"/>
      <c r="T4727" s="13"/>
      <c r="U4727" s="13"/>
      <c r="V4727" s="13"/>
      <c r="W4727" s="13"/>
      <c r="X4727" s="21"/>
      <c r="Y4727" s="22"/>
      <c r="Z4727" s="23"/>
      <c r="AA4727" s="23"/>
      <c r="AB4727" s="15"/>
      <c r="AC4727" s="14"/>
      <c r="AD4727" s="18"/>
      <c r="AE4727" s="18"/>
    </row>
    <row r="4728" customFormat="false" ht="15" hidden="false" customHeight="true" outlineLevel="0" collapsed="false">
      <c r="A4728" s="12"/>
      <c r="B4728" s="13"/>
      <c r="C4728" s="14"/>
      <c r="D4728" s="13"/>
      <c r="E4728" s="15"/>
      <c r="F4728" s="15"/>
      <c r="G4728" s="15"/>
      <c r="H4728" s="13"/>
      <c r="I4728" s="13"/>
      <c r="J4728" s="16"/>
      <c r="K4728" s="16"/>
      <c r="L4728" s="17" t="str">
        <f aca="false" t="array" ref="L4728:L4728">IFERROR(INDEX(AC4728:AE4728,IF(COUNTA(AC4728:AE4728)=0,"",MAX((AC4728:AE4728&lt;&gt;"")*(COLUMN(AC4728:AE4728)-(COLUMN(AC4728)-2))))-1),"")</f>
        <v/>
      </c>
      <c r="M4728" s="13"/>
      <c r="N4728" s="13"/>
      <c r="O4728" s="13"/>
      <c r="P4728" s="26"/>
      <c r="Q4728" s="20"/>
      <c r="R4728" s="13"/>
      <c r="S4728" s="25"/>
      <c r="T4728" s="13"/>
      <c r="U4728" s="13"/>
      <c r="V4728" s="13"/>
      <c r="W4728" s="13"/>
      <c r="X4728" s="21"/>
      <c r="Y4728" s="22"/>
      <c r="Z4728" s="23"/>
      <c r="AA4728" s="23"/>
      <c r="AB4728" s="15"/>
      <c r="AC4728" s="14"/>
      <c r="AD4728" s="18"/>
      <c r="AE4728" s="18"/>
    </row>
    <row r="4729" customFormat="false" ht="15" hidden="false" customHeight="true" outlineLevel="0" collapsed="false">
      <c r="A4729" s="12"/>
      <c r="B4729" s="13"/>
      <c r="C4729" s="14"/>
      <c r="D4729" s="13"/>
      <c r="E4729" s="15"/>
      <c r="F4729" s="15"/>
      <c r="G4729" s="15"/>
      <c r="H4729" s="13"/>
      <c r="I4729" s="13"/>
      <c r="J4729" s="16"/>
      <c r="K4729" s="16"/>
      <c r="L4729" s="17" t="str">
        <f aca="false" t="array" ref="L4729:L4729">IFERROR(INDEX(AC4729:AE4729,IF(COUNTA(AC4729:AE4729)=0,"",MAX((AC4729:AE4729&lt;&gt;"")*(COLUMN(AC4729:AE4729)-(COLUMN(AC4729)-2))))-1),"")</f>
        <v/>
      </c>
      <c r="M4729" s="13"/>
      <c r="N4729" s="13"/>
      <c r="O4729" s="13"/>
      <c r="P4729" s="26"/>
      <c r="Q4729" s="20"/>
      <c r="R4729" s="13"/>
      <c r="S4729" s="25"/>
      <c r="T4729" s="13"/>
      <c r="U4729" s="13"/>
      <c r="V4729" s="13"/>
      <c r="W4729" s="13"/>
      <c r="X4729" s="21"/>
      <c r="Y4729" s="22"/>
      <c r="Z4729" s="23"/>
      <c r="AA4729" s="23"/>
      <c r="AB4729" s="15"/>
      <c r="AC4729" s="14"/>
      <c r="AD4729" s="18"/>
      <c r="AE4729" s="18"/>
    </row>
    <row r="4730" customFormat="false" ht="15" hidden="false" customHeight="true" outlineLevel="0" collapsed="false">
      <c r="A4730" s="12"/>
      <c r="B4730" s="13"/>
      <c r="C4730" s="14"/>
      <c r="D4730" s="13"/>
      <c r="E4730" s="15"/>
      <c r="F4730" s="15"/>
      <c r="G4730" s="15"/>
      <c r="H4730" s="13"/>
      <c r="I4730" s="13"/>
      <c r="J4730" s="16"/>
      <c r="K4730" s="16"/>
      <c r="L4730" s="17" t="str">
        <f aca="false" t="array" ref="L4730:L4730">IFERROR(INDEX(AC4730:AE4730,IF(COUNTA(AC4730:AE4730)=0,"",MAX((AC4730:AE4730&lt;&gt;"")*(COLUMN(AC4730:AE4730)-(COLUMN(AC4730)-2))))-1),"")</f>
        <v/>
      </c>
      <c r="M4730" s="13"/>
      <c r="N4730" s="13"/>
      <c r="O4730" s="13"/>
      <c r="P4730" s="26"/>
      <c r="Q4730" s="20"/>
      <c r="R4730" s="13"/>
      <c r="S4730" s="25"/>
      <c r="T4730" s="13"/>
      <c r="U4730" s="13"/>
      <c r="V4730" s="13"/>
      <c r="W4730" s="13"/>
      <c r="X4730" s="21"/>
      <c r="Y4730" s="22"/>
      <c r="Z4730" s="23"/>
      <c r="AA4730" s="23"/>
      <c r="AB4730" s="15"/>
      <c r="AC4730" s="14"/>
      <c r="AD4730" s="18"/>
      <c r="AE4730" s="18"/>
    </row>
    <row r="4731" customFormat="false" ht="15" hidden="false" customHeight="true" outlineLevel="0" collapsed="false">
      <c r="A4731" s="12"/>
      <c r="B4731" s="13"/>
      <c r="C4731" s="14"/>
      <c r="D4731" s="13"/>
      <c r="E4731" s="15"/>
      <c r="F4731" s="15"/>
      <c r="G4731" s="15"/>
      <c r="H4731" s="13"/>
      <c r="I4731" s="13"/>
      <c r="J4731" s="16"/>
      <c r="K4731" s="16"/>
      <c r="L4731" s="17" t="str">
        <f aca="false" t="array" ref="L4731:L4731">IFERROR(INDEX(AC4731:AE4731,IF(COUNTA(AC4731:AE4731)=0,"",MAX((AC4731:AE4731&lt;&gt;"")*(COLUMN(AC4731:AE4731)-(COLUMN(AC4731)-2))))-1),"")</f>
        <v/>
      </c>
      <c r="M4731" s="13"/>
      <c r="N4731" s="13"/>
      <c r="O4731" s="13"/>
      <c r="P4731" s="26"/>
      <c r="Q4731" s="20"/>
      <c r="R4731" s="13"/>
      <c r="S4731" s="25"/>
      <c r="T4731" s="13"/>
      <c r="U4731" s="13"/>
      <c r="V4731" s="13"/>
      <c r="W4731" s="13"/>
      <c r="X4731" s="21"/>
      <c r="Y4731" s="22"/>
      <c r="Z4731" s="23"/>
      <c r="AA4731" s="23"/>
      <c r="AB4731" s="15"/>
      <c r="AC4731" s="14"/>
      <c r="AD4731" s="18"/>
      <c r="AE4731" s="18"/>
    </row>
    <row r="4732" customFormat="false" ht="15" hidden="false" customHeight="true" outlineLevel="0" collapsed="false">
      <c r="A4732" s="12"/>
      <c r="B4732" s="13"/>
      <c r="C4732" s="14"/>
      <c r="D4732" s="13"/>
      <c r="E4732" s="15"/>
      <c r="F4732" s="15"/>
      <c r="G4732" s="15"/>
      <c r="H4732" s="13"/>
      <c r="I4732" s="13"/>
      <c r="J4732" s="16"/>
      <c r="K4732" s="16"/>
      <c r="L4732" s="17" t="str">
        <f aca="false" t="array" ref="L4732:L4732">IFERROR(INDEX(AC4732:AE4732,IF(COUNTA(AC4732:AE4732)=0,"",MAX((AC4732:AE4732&lt;&gt;"")*(COLUMN(AC4732:AE4732)-(COLUMN(AC4732)-2))))-1),"")</f>
        <v/>
      </c>
      <c r="M4732" s="13"/>
      <c r="N4732" s="13"/>
      <c r="O4732" s="13"/>
      <c r="P4732" s="26"/>
      <c r="Q4732" s="20"/>
      <c r="R4732" s="13"/>
      <c r="S4732" s="25"/>
      <c r="T4732" s="13"/>
      <c r="U4732" s="13"/>
      <c r="V4732" s="13"/>
      <c r="W4732" s="13"/>
      <c r="X4732" s="21"/>
      <c r="Y4732" s="22"/>
      <c r="Z4732" s="23"/>
      <c r="AA4732" s="23"/>
      <c r="AB4732" s="15"/>
      <c r="AC4732" s="14"/>
      <c r="AD4732" s="18"/>
      <c r="AE4732" s="18"/>
    </row>
    <row r="4733" customFormat="false" ht="15" hidden="false" customHeight="true" outlineLevel="0" collapsed="false">
      <c r="A4733" s="12"/>
      <c r="B4733" s="13"/>
      <c r="C4733" s="14"/>
      <c r="D4733" s="13"/>
      <c r="E4733" s="15"/>
      <c r="F4733" s="15"/>
      <c r="G4733" s="15"/>
      <c r="H4733" s="13"/>
      <c r="I4733" s="13"/>
      <c r="J4733" s="16"/>
      <c r="K4733" s="16"/>
      <c r="L4733" s="17" t="str">
        <f aca="false" t="array" ref="L4733:L4733">IFERROR(INDEX(AC4733:AE4733,IF(COUNTA(AC4733:AE4733)=0,"",MAX((AC4733:AE4733&lt;&gt;"")*(COLUMN(AC4733:AE4733)-(COLUMN(AC4733)-2))))-1),"")</f>
        <v/>
      </c>
      <c r="M4733" s="13"/>
      <c r="N4733" s="13"/>
      <c r="O4733" s="13"/>
      <c r="P4733" s="26"/>
      <c r="Q4733" s="20"/>
      <c r="R4733" s="13"/>
      <c r="S4733" s="25"/>
      <c r="T4733" s="13"/>
      <c r="U4733" s="13"/>
      <c r="V4733" s="13"/>
      <c r="W4733" s="13"/>
      <c r="X4733" s="21"/>
      <c r="Y4733" s="22"/>
      <c r="Z4733" s="23"/>
      <c r="AA4733" s="23"/>
      <c r="AB4733" s="15"/>
      <c r="AC4733" s="14"/>
      <c r="AD4733" s="18"/>
      <c r="AE4733" s="18"/>
    </row>
    <row r="4734" customFormat="false" ht="15" hidden="false" customHeight="true" outlineLevel="0" collapsed="false">
      <c r="A4734" s="12"/>
      <c r="B4734" s="13"/>
      <c r="C4734" s="14"/>
      <c r="D4734" s="13"/>
      <c r="E4734" s="15"/>
      <c r="F4734" s="15"/>
      <c r="G4734" s="15"/>
      <c r="H4734" s="13"/>
      <c r="I4734" s="13"/>
      <c r="J4734" s="16"/>
      <c r="K4734" s="16"/>
      <c r="L4734" s="17" t="str">
        <f aca="false" t="array" ref="L4734:L4734">IFERROR(INDEX(AC4734:AE4734,IF(COUNTA(AC4734:AE4734)=0,"",MAX((AC4734:AE4734&lt;&gt;"")*(COLUMN(AC4734:AE4734)-(COLUMN(AC4734)-2))))-1),"")</f>
        <v/>
      </c>
      <c r="M4734" s="13"/>
      <c r="N4734" s="13"/>
      <c r="O4734" s="13"/>
      <c r="P4734" s="26"/>
      <c r="Q4734" s="20"/>
      <c r="R4734" s="13"/>
      <c r="S4734" s="25"/>
      <c r="T4734" s="13"/>
      <c r="U4734" s="13"/>
      <c r="V4734" s="13"/>
      <c r="W4734" s="13"/>
      <c r="X4734" s="21"/>
      <c r="Y4734" s="22"/>
      <c r="Z4734" s="23"/>
      <c r="AA4734" s="23"/>
      <c r="AB4734" s="15"/>
      <c r="AC4734" s="14"/>
      <c r="AD4734" s="18"/>
      <c r="AE4734" s="18"/>
    </row>
    <row r="4735" customFormat="false" ht="15" hidden="false" customHeight="true" outlineLevel="0" collapsed="false">
      <c r="A4735" s="12"/>
      <c r="B4735" s="13"/>
      <c r="C4735" s="14"/>
      <c r="D4735" s="13"/>
      <c r="E4735" s="15"/>
      <c r="F4735" s="15"/>
      <c r="G4735" s="15"/>
      <c r="H4735" s="13"/>
      <c r="I4735" s="13"/>
      <c r="J4735" s="16"/>
      <c r="K4735" s="16"/>
      <c r="L4735" s="17" t="str">
        <f aca="false" t="array" ref="L4735:L4735">IFERROR(INDEX(AC4735:AE4735,IF(COUNTA(AC4735:AE4735)=0,"",MAX((AC4735:AE4735&lt;&gt;"")*(COLUMN(AC4735:AE4735)-(COLUMN(AC4735)-2))))-1),"")</f>
        <v/>
      </c>
      <c r="M4735" s="13"/>
      <c r="N4735" s="13"/>
      <c r="O4735" s="13"/>
      <c r="P4735" s="26"/>
      <c r="Q4735" s="20"/>
      <c r="R4735" s="13"/>
      <c r="S4735" s="25"/>
      <c r="T4735" s="13"/>
      <c r="U4735" s="13"/>
      <c r="V4735" s="13"/>
      <c r="W4735" s="13"/>
      <c r="X4735" s="21"/>
      <c r="Y4735" s="22"/>
      <c r="Z4735" s="23"/>
      <c r="AA4735" s="23"/>
      <c r="AB4735" s="15"/>
      <c r="AC4735" s="14"/>
      <c r="AD4735" s="18"/>
      <c r="AE4735" s="18"/>
    </row>
    <row r="4736" customFormat="false" ht="15" hidden="false" customHeight="true" outlineLevel="0" collapsed="false">
      <c r="A4736" s="12"/>
      <c r="B4736" s="13"/>
      <c r="C4736" s="14"/>
      <c r="D4736" s="13"/>
      <c r="E4736" s="15"/>
      <c r="F4736" s="15"/>
      <c r="G4736" s="15"/>
      <c r="H4736" s="13"/>
      <c r="I4736" s="13"/>
      <c r="J4736" s="16"/>
      <c r="K4736" s="16"/>
      <c r="L4736" s="17" t="str">
        <f aca="false" t="array" ref="L4736:L4736">IFERROR(INDEX(AC4736:AE4736,IF(COUNTA(AC4736:AE4736)=0,"",MAX((AC4736:AE4736&lt;&gt;"")*(COLUMN(AC4736:AE4736)-(COLUMN(AC4736)-2))))-1),"")</f>
        <v/>
      </c>
      <c r="M4736" s="13"/>
      <c r="N4736" s="13"/>
      <c r="O4736" s="13"/>
      <c r="P4736" s="26"/>
      <c r="Q4736" s="20"/>
      <c r="R4736" s="13"/>
      <c r="S4736" s="25"/>
      <c r="T4736" s="13"/>
      <c r="U4736" s="13"/>
      <c r="V4736" s="13"/>
      <c r="W4736" s="13"/>
      <c r="X4736" s="21"/>
      <c r="Y4736" s="22"/>
      <c r="Z4736" s="23"/>
      <c r="AA4736" s="23"/>
      <c r="AB4736" s="15"/>
      <c r="AC4736" s="14"/>
      <c r="AD4736" s="18"/>
      <c r="AE4736" s="18"/>
    </row>
    <row r="4737" customFormat="false" ht="15" hidden="false" customHeight="true" outlineLevel="0" collapsed="false">
      <c r="A4737" s="12"/>
      <c r="B4737" s="13"/>
      <c r="C4737" s="14"/>
      <c r="D4737" s="13"/>
      <c r="E4737" s="15"/>
      <c r="F4737" s="15"/>
      <c r="G4737" s="15"/>
      <c r="H4737" s="13"/>
      <c r="I4737" s="13"/>
      <c r="J4737" s="16"/>
      <c r="K4737" s="16"/>
      <c r="L4737" s="17" t="str">
        <f aca="false" t="array" ref="L4737:L4737">IFERROR(INDEX(AC4737:AE4737,IF(COUNTA(AC4737:AE4737)=0,"",MAX((AC4737:AE4737&lt;&gt;"")*(COLUMN(AC4737:AE4737)-(COLUMN(AC4737)-2))))-1),"")</f>
        <v/>
      </c>
      <c r="M4737" s="13"/>
      <c r="N4737" s="13"/>
      <c r="O4737" s="13"/>
      <c r="P4737" s="26"/>
      <c r="Q4737" s="20"/>
      <c r="R4737" s="13"/>
      <c r="S4737" s="25"/>
      <c r="T4737" s="13"/>
      <c r="U4737" s="13"/>
      <c r="V4737" s="13"/>
      <c r="W4737" s="13"/>
      <c r="X4737" s="21"/>
      <c r="Y4737" s="22"/>
      <c r="Z4737" s="23"/>
      <c r="AA4737" s="23"/>
      <c r="AB4737" s="15"/>
      <c r="AC4737" s="14"/>
      <c r="AD4737" s="18"/>
      <c r="AE4737" s="18"/>
    </row>
    <row r="4738" customFormat="false" ht="15" hidden="false" customHeight="true" outlineLevel="0" collapsed="false">
      <c r="A4738" s="12"/>
      <c r="B4738" s="13"/>
      <c r="C4738" s="14"/>
      <c r="D4738" s="13"/>
      <c r="E4738" s="15"/>
      <c r="F4738" s="15"/>
      <c r="G4738" s="15"/>
      <c r="H4738" s="13"/>
      <c r="I4738" s="13"/>
      <c r="J4738" s="16"/>
      <c r="K4738" s="16"/>
      <c r="L4738" s="17" t="str">
        <f aca="false" t="array" ref="L4738:L4738">IFERROR(INDEX(AC4738:AE4738,IF(COUNTA(AC4738:AE4738)=0,"",MAX((AC4738:AE4738&lt;&gt;"")*(COLUMN(AC4738:AE4738)-(COLUMN(AC4738)-2))))-1),"")</f>
        <v/>
      </c>
      <c r="M4738" s="13"/>
      <c r="N4738" s="13"/>
      <c r="O4738" s="13"/>
      <c r="P4738" s="26"/>
      <c r="Q4738" s="20"/>
      <c r="R4738" s="13"/>
      <c r="S4738" s="25"/>
      <c r="T4738" s="13"/>
      <c r="U4738" s="13"/>
      <c r="V4738" s="13"/>
      <c r="W4738" s="13"/>
      <c r="X4738" s="21"/>
      <c r="Y4738" s="22"/>
      <c r="Z4738" s="23"/>
      <c r="AA4738" s="23"/>
      <c r="AB4738" s="15"/>
      <c r="AC4738" s="14"/>
      <c r="AD4738" s="18"/>
      <c r="AE4738" s="18"/>
    </row>
    <row r="4739" customFormat="false" ht="15" hidden="false" customHeight="true" outlineLevel="0" collapsed="false">
      <c r="A4739" s="12"/>
      <c r="B4739" s="13"/>
      <c r="C4739" s="14"/>
      <c r="D4739" s="13"/>
      <c r="E4739" s="15"/>
      <c r="F4739" s="15"/>
      <c r="G4739" s="15"/>
      <c r="H4739" s="13"/>
      <c r="I4739" s="13"/>
      <c r="J4739" s="16"/>
      <c r="K4739" s="16"/>
      <c r="L4739" s="17" t="str">
        <f aca="false" t="array" ref="L4739:L4739">IFERROR(INDEX(AC4739:AE4739,IF(COUNTA(AC4739:AE4739)=0,"",MAX((AC4739:AE4739&lt;&gt;"")*(COLUMN(AC4739:AE4739)-(COLUMN(AC4739)-2))))-1),"")</f>
        <v/>
      </c>
      <c r="M4739" s="13"/>
      <c r="N4739" s="13"/>
      <c r="O4739" s="13"/>
      <c r="P4739" s="26"/>
      <c r="Q4739" s="20"/>
      <c r="R4739" s="13"/>
      <c r="S4739" s="25"/>
      <c r="T4739" s="13"/>
      <c r="U4739" s="13"/>
      <c r="V4739" s="13"/>
      <c r="W4739" s="13"/>
      <c r="X4739" s="21"/>
      <c r="Y4739" s="22"/>
      <c r="Z4739" s="23"/>
      <c r="AA4739" s="23"/>
      <c r="AB4739" s="15"/>
      <c r="AC4739" s="14"/>
      <c r="AD4739" s="18"/>
      <c r="AE4739" s="18"/>
    </row>
    <row r="4740" customFormat="false" ht="15" hidden="false" customHeight="true" outlineLevel="0" collapsed="false">
      <c r="A4740" s="12"/>
      <c r="B4740" s="13"/>
      <c r="C4740" s="14"/>
      <c r="D4740" s="13"/>
      <c r="E4740" s="15"/>
      <c r="F4740" s="15"/>
      <c r="G4740" s="15"/>
      <c r="H4740" s="13"/>
      <c r="I4740" s="13"/>
      <c r="J4740" s="16"/>
      <c r="K4740" s="16"/>
      <c r="L4740" s="17" t="str">
        <f aca="false" t="array" ref="L4740:L4740">IFERROR(INDEX(AC4740:AE4740,IF(COUNTA(AC4740:AE4740)=0,"",MAX((AC4740:AE4740&lt;&gt;"")*(COLUMN(AC4740:AE4740)-(COLUMN(AC4740)-2))))-1),"")</f>
        <v/>
      </c>
      <c r="M4740" s="13"/>
      <c r="N4740" s="13"/>
      <c r="O4740" s="13"/>
      <c r="P4740" s="26"/>
      <c r="Q4740" s="20"/>
      <c r="R4740" s="13"/>
      <c r="S4740" s="25"/>
      <c r="T4740" s="13"/>
      <c r="U4740" s="13"/>
      <c r="V4740" s="13"/>
      <c r="W4740" s="13"/>
      <c r="X4740" s="21"/>
      <c r="Y4740" s="22"/>
      <c r="Z4740" s="23"/>
      <c r="AA4740" s="23"/>
      <c r="AB4740" s="15"/>
      <c r="AC4740" s="14"/>
      <c r="AD4740" s="18"/>
      <c r="AE4740" s="18"/>
    </row>
    <row r="4741" customFormat="false" ht="15" hidden="false" customHeight="true" outlineLevel="0" collapsed="false">
      <c r="A4741" s="12"/>
      <c r="B4741" s="13"/>
      <c r="C4741" s="14"/>
      <c r="D4741" s="13"/>
      <c r="E4741" s="15"/>
      <c r="F4741" s="15"/>
      <c r="G4741" s="15"/>
      <c r="H4741" s="13"/>
      <c r="I4741" s="13"/>
      <c r="J4741" s="16"/>
      <c r="K4741" s="16"/>
      <c r="L4741" s="17" t="str">
        <f aca="false" t="array" ref="L4741:L4741">IFERROR(INDEX(AC4741:AE4741,IF(COUNTA(AC4741:AE4741)=0,"",MAX((AC4741:AE4741&lt;&gt;"")*(COLUMN(AC4741:AE4741)-(COLUMN(AC4741)-2))))-1),"")</f>
        <v/>
      </c>
      <c r="M4741" s="13"/>
      <c r="N4741" s="13"/>
      <c r="O4741" s="13"/>
      <c r="P4741" s="26"/>
      <c r="Q4741" s="20"/>
      <c r="R4741" s="13"/>
      <c r="S4741" s="25"/>
      <c r="T4741" s="13"/>
      <c r="U4741" s="13"/>
      <c r="V4741" s="13"/>
      <c r="W4741" s="13"/>
      <c r="X4741" s="21"/>
      <c r="Y4741" s="22"/>
      <c r="Z4741" s="23"/>
      <c r="AA4741" s="23"/>
      <c r="AB4741" s="15"/>
      <c r="AC4741" s="14"/>
      <c r="AD4741" s="18"/>
      <c r="AE4741" s="18"/>
    </row>
    <row r="4742" customFormat="false" ht="15" hidden="false" customHeight="true" outlineLevel="0" collapsed="false">
      <c r="A4742" s="12"/>
      <c r="B4742" s="13"/>
      <c r="C4742" s="14"/>
      <c r="D4742" s="13"/>
      <c r="E4742" s="15"/>
      <c r="F4742" s="15"/>
      <c r="G4742" s="15"/>
      <c r="H4742" s="13"/>
      <c r="I4742" s="13"/>
      <c r="J4742" s="16"/>
      <c r="K4742" s="16"/>
      <c r="L4742" s="17" t="str">
        <f aca="false" t="array" ref="L4742:L4742">IFERROR(INDEX(AC4742:AE4742,IF(COUNTA(AC4742:AE4742)=0,"",MAX((AC4742:AE4742&lt;&gt;"")*(COLUMN(AC4742:AE4742)-(COLUMN(AC4742)-2))))-1),"")</f>
        <v/>
      </c>
      <c r="M4742" s="13"/>
      <c r="N4742" s="13"/>
      <c r="O4742" s="13"/>
      <c r="P4742" s="26"/>
      <c r="Q4742" s="20"/>
      <c r="R4742" s="13"/>
      <c r="S4742" s="25"/>
      <c r="T4742" s="13"/>
      <c r="U4742" s="13"/>
      <c r="V4742" s="13"/>
      <c r="W4742" s="13"/>
      <c r="X4742" s="21"/>
      <c r="Y4742" s="22"/>
      <c r="Z4742" s="23"/>
      <c r="AA4742" s="23"/>
      <c r="AB4742" s="15"/>
      <c r="AC4742" s="14"/>
      <c r="AD4742" s="18"/>
      <c r="AE4742" s="18"/>
    </row>
    <row r="4743" customFormat="false" ht="15" hidden="false" customHeight="true" outlineLevel="0" collapsed="false">
      <c r="A4743" s="12"/>
      <c r="B4743" s="13"/>
      <c r="C4743" s="14"/>
      <c r="D4743" s="13"/>
      <c r="E4743" s="15"/>
      <c r="F4743" s="15"/>
      <c r="G4743" s="15"/>
      <c r="H4743" s="13"/>
      <c r="I4743" s="13"/>
      <c r="J4743" s="16"/>
      <c r="K4743" s="16"/>
      <c r="L4743" s="17" t="str">
        <f aca="false" t="array" ref="L4743:L4743">IFERROR(INDEX(AC4743:AE4743,IF(COUNTA(AC4743:AE4743)=0,"",MAX((AC4743:AE4743&lt;&gt;"")*(COLUMN(AC4743:AE4743)-(COLUMN(AC4743)-2))))-1),"")</f>
        <v/>
      </c>
      <c r="M4743" s="13"/>
      <c r="N4743" s="13"/>
      <c r="O4743" s="13"/>
      <c r="P4743" s="26"/>
      <c r="Q4743" s="20"/>
      <c r="R4743" s="13"/>
      <c r="S4743" s="25"/>
      <c r="T4743" s="13"/>
      <c r="U4743" s="13"/>
      <c r="V4743" s="13"/>
      <c r="W4743" s="13"/>
      <c r="X4743" s="21"/>
      <c r="Y4743" s="22"/>
      <c r="Z4743" s="23"/>
      <c r="AA4743" s="23"/>
      <c r="AB4743" s="15"/>
      <c r="AC4743" s="14"/>
      <c r="AD4743" s="18"/>
      <c r="AE4743" s="18"/>
    </row>
    <row r="4744" customFormat="false" ht="15" hidden="false" customHeight="true" outlineLevel="0" collapsed="false">
      <c r="A4744" s="12"/>
      <c r="B4744" s="13"/>
      <c r="C4744" s="14"/>
      <c r="D4744" s="13"/>
      <c r="E4744" s="15"/>
      <c r="F4744" s="15"/>
      <c r="G4744" s="15"/>
      <c r="H4744" s="13"/>
      <c r="I4744" s="13"/>
      <c r="J4744" s="16"/>
      <c r="K4744" s="16"/>
      <c r="L4744" s="17" t="str">
        <f aca="false" t="array" ref="L4744:L4744">IFERROR(INDEX(AC4744:AE4744,IF(COUNTA(AC4744:AE4744)=0,"",MAX((AC4744:AE4744&lt;&gt;"")*(COLUMN(AC4744:AE4744)-(COLUMN(AC4744)-2))))-1),"")</f>
        <v/>
      </c>
      <c r="M4744" s="13"/>
      <c r="N4744" s="13"/>
      <c r="O4744" s="13"/>
      <c r="P4744" s="26"/>
      <c r="Q4744" s="20"/>
      <c r="R4744" s="13"/>
      <c r="S4744" s="25"/>
      <c r="T4744" s="13"/>
      <c r="U4744" s="13"/>
      <c r="V4744" s="13"/>
      <c r="W4744" s="13"/>
      <c r="X4744" s="21"/>
      <c r="Y4744" s="22"/>
      <c r="Z4744" s="23"/>
      <c r="AA4744" s="23"/>
      <c r="AB4744" s="15"/>
      <c r="AC4744" s="14"/>
      <c r="AD4744" s="18"/>
      <c r="AE4744" s="18"/>
    </row>
    <row r="4745" customFormat="false" ht="15" hidden="false" customHeight="true" outlineLevel="0" collapsed="false">
      <c r="A4745" s="12"/>
      <c r="B4745" s="13"/>
      <c r="C4745" s="14"/>
      <c r="D4745" s="13"/>
      <c r="E4745" s="15"/>
      <c r="F4745" s="15"/>
      <c r="G4745" s="15"/>
      <c r="H4745" s="13"/>
      <c r="I4745" s="13"/>
      <c r="J4745" s="16"/>
      <c r="K4745" s="16"/>
      <c r="L4745" s="17" t="str">
        <f aca="false" t="array" ref="L4745:L4745">IFERROR(INDEX(AC4745:AE4745,IF(COUNTA(AC4745:AE4745)=0,"",MAX((AC4745:AE4745&lt;&gt;"")*(COLUMN(AC4745:AE4745)-(COLUMN(AC4745)-2))))-1),"")</f>
        <v/>
      </c>
      <c r="M4745" s="13"/>
      <c r="N4745" s="13"/>
      <c r="O4745" s="13"/>
      <c r="P4745" s="26"/>
      <c r="Q4745" s="20"/>
      <c r="R4745" s="13"/>
      <c r="S4745" s="25"/>
      <c r="T4745" s="13"/>
      <c r="U4745" s="13"/>
      <c r="V4745" s="13"/>
      <c r="W4745" s="13"/>
      <c r="X4745" s="21"/>
      <c r="Y4745" s="22"/>
      <c r="Z4745" s="23"/>
      <c r="AA4745" s="23"/>
      <c r="AB4745" s="15"/>
      <c r="AC4745" s="14"/>
      <c r="AD4745" s="18"/>
      <c r="AE4745" s="18"/>
    </row>
    <row r="4746" customFormat="false" ht="15" hidden="false" customHeight="true" outlineLevel="0" collapsed="false">
      <c r="A4746" s="12"/>
      <c r="B4746" s="13"/>
      <c r="C4746" s="14"/>
      <c r="D4746" s="13"/>
      <c r="E4746" s="15"/>
      <c r="F4746" s="15"/>
      <c r="G4746" s="15"/>
      <c r="H4746" s="13"/>
      <c r="I4746" s="13"/>
      <c r="J4746" s="16"/>
      <c r="K4746" s="16"/>
      <c r="L4746" s="17" t="str">
        <f aca="false" t="array" ref="L4746:L4746">IFERROR(INDEX(AC4746:AE4746,IF(COUNTA(AC4746:AE4746)=0,"",MAX((AC4746:AE4746&lt;&gt;"")*(COLUMN(AC4746:AE4746)-(COLUMN(AC4746)-2))))-1),"")</f>
        <v/>
      </c>
      <c r="M4746" s="13"/>
      <c r="N4746" s="13"/>
      <c r="O4746" s="13"/>
      <c r="P4746" s="26"/>
      <c r="Q4746" s="20"/>
      <c r="R4746" s="13"/>
      <c r="S4746" s="25"/>
      <c r="T4746" s="13"/>
      <c r="U4746" s="13"/>
      <c r="V4746" s="13"/>
      <c r="W4746" s="13"/>
      <c r="X4746" s="21"/>
      <c r="Y4746" s="22"/>
      <c r="Z4746" s="23"/>
      <c r="AA4746" s="23"/>
      <c r="AB4746" s="15"/>
      <c r="AC4746" s="14"/>
      <c r="AD4746" s="18"/>
      <c r="AE4746" s="18"/>
    </row>
    <row r="4747" customFormat="false" ht="15" hidden="false" customHeight="true" outlineLevel="0" collapsed="false">
      <c r="A4747" s="12"/>
      <c r="B4747" s="13"/>
      <c r="C4747" s="14"/>
      <c r="D4747" s="13"/>
      <c r="E4747" s="15"/>
      <c r="F4747" s="15"/>
      <c r="G4747" s="15"/>
      <c r="H4747" s="13"/>
      <c r="I4747" s="13"/>
      <c r="J4747" s="16"/>
      <c r="K4747" s="16"/>
      <c r="L4747" s="17" t="str">
        <f aca="false" t="array" ref="L4747:L4747">IFERROR(INDEX(AC4747:AE4747,IF(COUNTA(AC4747:AE4747)=0,"",MAX((AC4747:AE4747&lt;&gt;"")*(COLUMN(AC4747:AE4747)-(COLUMN(AC4747)-2))))-1),"")</f>
        <v/>
      </c>
      <c r="M4747" s="13"/>
      <c r="N4747" s="13"/>
      <c r="O4747" s="13"/>
      <c r="P4747" s="26"/>
      <c r="Q4747" s="20"/>
      <c r="R4747" s="13"/>
      <c r="S4747" s="25"/>
      <c r="T4747" s="13"/>
      <c r="U4747" s="13"/>
      <c r="V4747" s="13"/>
      <c r="W4747" s="13"/>
      <c r="X4747" s="21"/>
      <c r="Y4747" s="22"/>
      <c r="Z4747" s="23"/>
      <c r="AA4747" s="23"/>
      <c r="AB4747" s="15"/>
      <c r="AC4747" s="14"/>
      <c r="AD4747" s="18"/>
      <c r="AE4747" s="18"/>
    </row>
    <row r="4748" customFormat="false" ht="15" hidden="false" customHeight="true" outlineLevel="0" collapsed="false">
      <c r="A4748" s="12"/>
      <c r="B4748" s="13"/>
      <c r="C4748" s="14"/>
      <c r="D4748" s="13"/>
      <c r="E4748" s="15"/>
      <c r="F4748" s="15"/>
      <c r="G4748" s="15"/>
      <c r="H4748" s="13"/>
      <c r="I4748" s="13"/>
      <c r="J4748" s="16"/>
      <c r="K4748" s="16"/>
      <c r="L4748" s="17" t="str">
        <f aca="false" t="array" ref="L4748:L4748">IFERROR(INDEX(AC4748:AE4748,IF(COUNTA(AC4748:AE4748)=0,"",MAX((AC4748:AE4748&lt;&gt;"")*(COLUMN(AC4748:AE4748)-(COLUMN(AC4748)-2))))-1),"")</f>
        <v/>
      </c>
      <c r="M4748" s="13"/>
      <c r="N4748" s="13"/>
      <c r="O4748" s="13"/>
      <c r="P4748" s="26"/>
      <c r="Q4748" s="20"/>
      <c r="R4748" s="13"/>
      <c r="S4748" s="25"/>
      <c r="T4748" s="13"/>
      <c r="U4748" s="13"/>
      <c r="V4748" s="13"/>
      <c r="W4748" s="13"/>
      <c r="X4748" s="21"/>
      <c r="Y4748" s="22"/>
      <c r="Z4748" s="23"/>
      <c r="AA4748" s="23"/>
      <c r="AB4748" s="15"/>
      <c r="AC4748" s="14"/>
      <c r="AD4748" s="18"/>
      <c r="AE4748" s="18"/>
    </row>
    <row r="4749" customFormat="false" ht="15" hidden="false" customHeight="true" outlineLevel="0" collapsed="false">
      <c r="A4749" s="12"/>
      <c r="B4749" s="13"/>
      <c r="C4749" s="14"/>
      <c r="D4749" s="13"/>
      <c r="E4749" s="15"/>
      <c r="F4749" s="15"/>
      <c r="G4749" s="15"/>
      <c r="H4749" s="13"/>
      <c r="I4749" s="13"/>
      <c r="J4749" s="16"/>
      <c r="K4749" s="16"/>
      <c r="L4749" s="17" t="str">
        <f aca="false" t="array" ref="L4749:L4749">IFERROR(INDEX(AC4749:AE4749,IF(COUNTA(AC4749:AE4749)=0,"",MAX((AC4749:AE4749&lt;&gt;"")*(COLUMN(AC4749:AE4749)-(COLUMN(AC4749)-2))))-1),"")</f>
        <v/>
      </c>
      <c r="M4749" s="13"/>
      <c r="N4749" s="13"/>
      <c r="O4749" s="13"/>
      <c r="P4749" s="26"/>
      <c r="Q4749" s="20"/>
      <c r="R4749" s="13"/>
      <c r="S4749" s="25"/>
      <c r="T4749" s="13"/>
      <c r="U4749" s="13"/>
      <c r="V4749" s="13"/>
      <c r="W4749" s="13"/>
      <c r="X4749" s="21"/>
      <c r="Y4749" s="22"/>
      <c r="Z4749" s="23"/>
      <c r="AA4749" s="23"/>
      <c r="AB4749" s="15"/>
      <c r="AC4749" s="14"/>
      <c r="AD4749" s="18"/>
      <c r="AE4749" s="18"/>
    </row>
    <row r="4750" customFormat="false" ht="15" hidden="false" customHeight="true" outlineLevel="0" collapsed="false">
      <c r="A4750" s="12"/>
      <c r="B4750" s="13"/>
      <c r="C4750" s="14"/>
      <c r="D4750" s="13"/>
      <c r="E4750" s="15"/>
      <c r="F4750" s="15"/>
      <c r="G4750" s="15"/>
      <c r="H4750" s="13"/>
      <c r="I4750" s="13"/>
      <c r="J4750" s="16"/>
      <c r="K4750" s="16"/>
      <c r="L4750" s="17" t="str">
        <f aca="false" t="array" ref="L4750:L4750">IFERROR(INDEX(AC4750:AE4750,IF(COUNTA(AC4750:AE4750)=0,"",MAX((AC4750:AE4750&lt;&gt;"")*(COLUMN(AC4750:AE4750)-(COLUMN(AC4750)-2))))-1),"")</f>
        <v/>
      </c>
      <c r="M4750" s="13"/>
      <c r="N4750" s="13"/>
      <c r="O4750" s="13"/>
      <c r="P4750" s="26"/>
      <c r="Q4750" s="20"/>
      <c r="R4750" s="13"/>
      <c r="S4750" s="25"/>
      <c r="T4750" s="13"/>
      <c r="U4750" s="13"/>
      <c r="V4750" s="13"/>
      <c r="W4750" s="13"/>
      <c r="X4750" s="21"/>
      <c r="Y4750" s="22"/>
      <c r="Z4750" s="23"/>
      <c r="AA4750" s="23"/>
      <c r="AB4750" s="15"/>
      <c r="AC4750" s="14"/>
      <c r="AD4750" s="18"/>
      <c r="AE4750" s="18"/>
    </row>
    <row r="4751" customFormat="false" ht="15" hidden="false" customHeight="true" outlineLevel="0" collapsed="false">
      <c r="A4751" s="12"/>
      <c r="B4751" s="13"/>
      <c r="C4751" s="14"/>
      <c r="D4751" s="13"/>
      <c r="E4751" s="15"/>
      <c r="F4751" s="15"/>
      <c r="G4751" s="15"/>
      <c r="H4751" s="13"/>
      <c r="I4751" s="13"/>
      <c r="J4751" s="16"/>
      <c r="K4751" s="16"/>
      <c r="L4751" s="17" t="str">
        <f aca="false" t="array" ref="L4751:L4751">IFERROR(INDEX(AC4751:AE4751,IF(COUNTA(AC4751:AE4751)=0,"",MAX((AC4751:AE4751&lt;&gt;"")*(COLUMN(AC4751:AE4751)-(COLUMN(AC4751)-2))))-1),"")</f>
        <v/>
      </c>
      <c r="M4751" s="13"/>
      <c r="N4751" s="13"/>
      <c r="O4751" s="13"/>
      <c r="P4751" s="26"/>
      <c r="Q4751" s="20"/>
      <c r="R4751" s="13"/>
      <c r="S4751" s="25"/>
      <c r="T4751" s="13"/>
      <c r="U4751" s="13"/>
      <c r="V4751" s="13"/>
      <c r="W4751" s="13"/>
      <c r="X4751" s="21"/>
      <c r="Y4751" s="22"/>
      <c r="Z4751" s="23"/>
      <c r="AA4751" s="23"/>
      <c r="AB4751" s="15"/>
      <c r="AC4751" s="14"/>
      <c r="AD4751" s="18"/>
      <c r="AE4751" s="18"/>
    </row>
    <row r="4752" customFormat="false" ht="15" hidden="false" customHeight="true" outlineLevel="0" collapsed="false">
      <c r="A4752" s="12"/>
      <c r="B4752" s="13"/>
      <c r="C4752" s="14"/>
      <c r="D4752" s="13"/>
      <c r="E4752" s="15"/>
      <c r="F4752" s="15"/>
      <c r="G4752" s="15"/>
      <c r="H4752" s="13"/>
      <c r="I4752" s="13"/>
      <c r="J4752" s="16"/>
      <c r="K4752" s="16"/>
      <c r="L4752" s="17" t="str">
        <f aca="false" t="array" ref="L4752:L4752">IFERROR(INDEX(AC4752:AE4752,IF(COUNTA(AC4752:AE4752)=0,"",MAX((AC4752:AE4752&lt;&gt;"")*(COLUMN(AC4752:AE4752)-(COLUMN(AC4752)-2))))-1),"")</f>
        <v/>
      </c>
      <c r="M4752" s="13"/>
      <c r="N4752" s="13"/>
      <c r="O4752" s="13"/>
      <c r="P4752" s="26"/>
      <c r="Q4752" s="20"/>
      <c r="R4752" s="13"/>
      <c r="S4752" s="25"/>
      <c r="T4752" s="13"/>
      <c r="U4752" s="13"/>
      <c r="V4752" s="13"/>
      <c r="W4752" s="13"/>
      <c r="X4752" s="21"/>
      <c r="Y4752" s="22"/>
      <c r="Z4752" s="23"/>
      <c r="AA4752" s="23"/>
      <c r="AB4752" s="15"/>
      <c r="AC4752" s="14"/>
      <c r="AD4752" s="18"/>
      <c r="AE4752" s="18"/>
    </row>
    <row r="4753" customFormat="false" ht="15" hidden="false" customHeight="true" outlineLevel="0" collapsed="false">
      <c r="A4753" s="12"/>
      <c r="B4753" s="13"/>
      <c r="C4753" s="14"/>
      <c r="D4753" s="13"/>
      <c r="E4753" s="15"/>
      <c r="F4753" s="15"/>
      <c r="G4753" s="15"/>
      <c r="H4753" s="13"/>
      <c r="I4753" s="13"/>
      <c r="J4753" s="16"/>
      <c r="K4753" s="16"/>
      <c r="L4753" s="17" t="str">
        <f aca="false" t="array" ref="L4753:L4753">IFERROR(INDEX(AC4753:AE4753,IF(COUNTA(AC4753:AE4753)=0,"",MAX((AC4753:AE4753&lt;&gt;"")*(COLUMN(AC4753:AE4753)-(COLUMN(AC4753)-2))))-1),"")</f>
        <v/>
      </c>
      <c r="M4753" s="13"/>
      <c r="N4753" s="13"/>
      <c r="O4753" s="13"/>
      <c r="P4753" s="26"/>
      <c r="Q4753" s="20"/>
      <c r="R4753" s="13"/>
      <c r="S4753" s="25"/>
      <c r="T4753" s="13"/>
      <c r="U4753" s="13"/>
      <c r="V4753" s="13"/>
      <c r="W4753" s="13"/>
      <c r="X4753" s="21"/>
      <c r="Y4753" s="22"/>
      <c r="Z4753" s="23"/>
      <c r="AA4753" s="23"/>
      <c r="AB4753" s="15"/>
      <c r="AC4753" s="14"/>
      <c r="AD4753" s="18"/>
      <c r="AE4753" s="18"/>
    </row>
    <row r="4754" customFormat="false" ht="15" hidden="false" customHeight="true" outlineLevel="0" collapsed="false">
      <c r="A4754" s="12"/>
      <c r="B4754" s="13"/>
      <c r="C4754" s="14"/>
      <c r="D4754" s="13"/>
      <c r="E4754" s="15"/>
      <c r="F4754" s="15"/>
      <c r="G4754" s="15"/>
      <c r="H4754" s="13"/>
      <c r="I4754" s="13"/>
      <c r="J4754" s="16"/>
      <c r="K4754" s="16"/>
      <c r="L4754" s="17" t="str">
        <f aca="false" t="array" ref="L4754:L4754">IFERROR(INDEX(AC4754:AE4754,IF(COUNTA(AC4754:AE4754)=0,"",MAX((AC4754:AE4754&lt;&gt;"")*(COLUMN(AC4754:AE4754)-(COLUMN(AC4754)-2))))-1),"")</f>
        <v/>
      </c>
      <c r="M4754" s="13"/>
      <c r="N4754" s="13"/>
      <c r="O4754" s="13"/>
      <c r="P4754" s="26"/>
      <c r="Q4754" s="20"/>
      <c r="R4754" s="13"/>
      <c r="S4754" s="25"/>
      <c r="T4754" s="13"/>
      <c r="U4754" s="13"/>
      <c r="V4754" s="13"/>
      <c r="W4754" s="13"/>
      <c r="X4754" s="21"/>
      <c r="Y4754" s="22"/>
      <c r="Z4754" s="23"/>
      <c r="AA4754" s="23"/>
      <c r="AB4754" s="15"/>
      <c r="AC4754" s="14"/>
      <c r="AD4754" s="18"/>
      <c r="AE4754" s="18"/>
    </row>
    <row r="4755" customFormat="false" ht="15" hidden="false" customHeight="true" outlineLevel="0" collapsed="false">
      <c r="A4755" s="12"/>
      <c r="B4755" s="13"/>
      <c r="C4755" s="14"/>
      <c r="D4755" s="13"/>
      <c r="E4755" s="15"/>
      <c r="F4755" s="15"/>
      <c r="G4755" s="15"/>
      <c r="H4755" s="13"/>
      <c r="I4755" s="13"/>
      <c r="J4755" s="16"/>
      <c r="K4755" s="16"/>
      <c r="L4755" s="17" t="str">
        <f aca="false" t="array" ref="L4755:L4755">IFERROR(INDEX(AC4755:AE4755,IF(COUNTA(AC4755:AE4755)=0,"",MAX((AC4755:AE4755&lt;&gt;"")*(COLUMN(AC4755:AE4755)-(COLUMN(AC4755)-2))))-1),"")</f>
        <v/>
      </c>
      <c r="M4755" s="13"/>
      <c r="N4755" s="13"/>
      <c r="O4755" s="13"/>
      <c r="P4755" s="26"/>
      <c r="Q4755" s="20"/>
      <c r="R4755" s="13"/>
      <c r="S4755" s="25"/>
      <c r="T4755" s="13"/>
      <c r="U4755" s="13"/>
      <c r="V4755" s="13"/>
      <c r="W4755" s="13"/>
      <c r="X4755" s="21"/>
      <c r="Y4755" s="22"/>
      <c r="Z4755" s="23"/>
      <c r="AA4755" s="23"/>
      <c r="AB4755" s="15"/>
      <c r="AC4755" s="14"/>
      <c r="AD4755" s="18"/>
      <c r="AE4755" s="18"/>
    </row>
    <row r="4756" customFormat="false" ht="15" hidden="false" customHeight="true" outlineLevel="0" collapsed="false">
      <c r="A4756" s="12"/>
      <c r="B4756" s="13"/>
      <c r="C4756" s="14"/>
      <c r="D4756" s="13"/>
      <c r="E4756" s="15"/>
      <c r="F4756" s="15"/>
      <c r="G4756" s="15"/>
      <c r="H4756" s="13"/>
      <c r="I4756" s="13"/>
      <c r="J4756" s="16"/>
      <c r="K4756" s="16"/>
      <c r="L4756" s="17" t="str">
        <f aca="false" t="array" ref="L4756:L4756">IFERROR(INDEX(AC4756:AE4756,IF(COUNTA(AC4756:AE4756)=0,"",MAX((AC4756:AE4756&lt;&gt;"")*(COLUMN(AC4756:AE4756)-(COLUMN(AC4756)-2))))-1),"")</f>
        <v/>
      </c>
      <c r="M4756" s="13"/>
      <c r="N4756" s="13"/>
      <c r="O4756" s="13"/>
      <c r="P4756" s="26"/>
      <c r="Q4756" s="20"/>
      <c r="R4756" s="13"/>
      <c r="S4756" s="25"/>
      <c r="T4756" s="13"/>
      <c r="U4756" s="13"/>
      <c r="V4756" s="13"/>
      <c r="W4756" s="13"/>
      <c r="X4756" s="21"/>
      <c r="Y4756" s="22"/>
      <c r="Z4756" s="23"/>
      <c r="AA4756" s="23"/>
      <c r="AB4756" s="15"/>
      <c r="AC4756" s="14"/>
      <c r="AD4756" s="18"/>
      <c r="AE4756" s="18"/>
    </row>
    <row r="4757" customFormat="false" ht="15" hidden="false" customHeight="true" outlineLevel="0" collapsed="false">
      <c r="A4757" s="12"/>
      <c r="B4757" s="13"/>
      <c r="C4757" s="14"/>
      <c r="D4757" s="13"/>
      <c r="E4757" s="15"/>
      <c r="F4757" s="15"/>
      <c r="G4757" s="15"/>
      <c r="H4757" s="13"/>
      <c r="I4757" s="13"/>
      <c r="J4757" s="16"/>
      <c r="K4757" s="16"/>
      <c r="L4757" s="17" t="str">
        <f aca="false" t="array" ref="L4757:L4757">IFERROR(INDEX(AC4757:AE4757,IF(COUNTA(AC4757:AE4757)=0,"",MAX((AC4757:AE4757&lt;&gt;"")*(COLUMN(AC4757:AE4757)-(COLUMN(AC4757)-2))))-1),"")</f>
        <v/>
      </c>
      <c r="M4757" s="13"/>
      <c r="N4757" s="13"/>
      <c r="O4757" s="13"/>
      <c r="P4757" s="26"/>
      <c r="Q4757" s="20"/>
      <c r="R4757" s="13"/>
      <c r="S4757" s="25"/>
      <c r="T4757" s="13"/>
      <c r="U4757" s="13"/>
      <c r="V4757" s="13"/>
      <c r="W4757" s="13"/>
      <c r="X4757" s="21"/>
      <c r="Y4757" s="22"/>
      <c r="Z4757" s="23"/>
      <c r="AA4757" s="23"/>
      <c r="AB4757" s="15"/>
      <c r="AC4757" s="14"/>
      <c r="AD4757" s="18"/>
      <c r="AE4757" s="18"/>
    </row>
    <row r="4758" customFormat="false" ht="15" hidden="false" customHeight="true" outlineLevel="0" collapsed="false">
      <c r="A4758" s="12"/>
      <c r="B4758" s="13"/>
      <c r="C4758" s="14"/>
      <c r="D4758" s="13"/>
      <c r="E4758" s="15"/>
      <c r="F4758" s="15"/>
      <c r="G4758" s="15"/>
      <c r="H4758" s="13"/>
      <c r="I4758" s="13"/>
      <c r="J4758" s="16"/>
      <c r="K4758" s="16"/>
      <c r="L4758" s="17" t="str">
        <f aca="false" t="array" ref="L4758:L4758">IFERROR(INDEX(AC4758:AE4758,IF(COUNTA(AC4758:AE4758)=0,"",MAX((AC4758:AE4758&lt;&gt;"")*(COLUMN(AC4758:AE4758)-(COLUMN(AC4758)-2))))-1),"")</f>
        <v/>
      </c>
      <c r="M4758" s="13"/>
      <c r="N4758" s="13"/>
      <c r="O4758" s="13"/>
      <c r="P4758" s="26"/>
      <c r="Q4758" s="20"/>
      <c r="R4758" s="13"/>
      <c r="S4758" s="25"/>
      <c r="T4758" s="13"/>
      <c r="U4758" s="13"/>
      <c r="V4758" s="13"/>
      <c r="W4758" s="13"/>
      <c r="X4758" s="21"/>
      <c r="Y4758" s="22"/>
      <c r="Z4758" s="23"/>
      <c r="AA4758" s="23"/>
      <c r="AB4758" s="15"/>
      <c r="AC4758" s="14"/>
      <c r="AD4758" s="18"/>
      <c r="AE4758" s="18"/>
    </row>
    <row r="4759" customFormat="false" ht="15" hidden="false" customHeight="true" outlineLevel="0" collapsed="false">
      <c r="A4759" s="12"/>
      <c r="B4759" s="13"/>
      <c r="C4759" s="14"/>
      <c r="D4759" s="13"/>
      <c r="E4759" s="15"/>
      <c r="F4759" s="15"/>
      <c r="G4759" s="15"/>
      <c r="H4759" s="13"/>
      <c r="I4759" s="13"/>
      <c r="J4759" s="16"/>
      <c r="K4759" s="16"/>
      <c r="L4759" s="17" t="str">
        <f aca="false" t="array" ref="L4759:L4759">IFERROR(INDEX(AC4759:AE4759,IF(COUNTA(AC4759:AE4759)=0,"",MAX((AC4759:AE4759&lt;&gt;"")*(COLUMN(AC4759:AE4759)-(COLUMN(AC4759)-2))))-1),"")</f>
        <v/>
      </c>
      <c r="M4759" s="13"/>
      <c r="N4759" s="13"/>
      <c r="O4759" s="13"/>
      <c r="P4759" s="26"/>
      <c r="Q4759" s="20"/>
      <c r="R4759" s="13"/>
      <c r="S4759" s="25"/>
      <c r="T4759" s="13"/>
      <c r="U4759" s="13"/>
      <c r="V4759" s="13"/>
      <c r="W4759" s="13"/>
      <c r="X4759" s="21"/>
      <c r="Y4759" s="22"/>
      <c r="Z4759" s="23"/>
      <c r="AA4759" s="23"/>
      <c r="AB4759" s="15"/>
      <c r="AC4759" s="14"/>
      <c r="AD4759" s="18"/>
      <c r="AE4759" s="18"/>
    </row>
    <row r="4760" customFormat="false" ht="15" hidden="false" customHeight="true" outlineLevel="0" collapsed="false">
      <c r="A4760" s="12"/>
      <c r="B4760" s="13"/>
      <c r="C4760" s="14"/>
      <c r="D4760" s="13"/>
      <c r="E4760" s="15"/>
      <c r="F4760" s="15"/>
      <c r="G4760" s="15"/>
      <c r="H4760" s="13"/>
      <c r="I4760" s="13"/>
      <c r="J4760" s="16"/>
      <c r="K4760" s="16"/>
      <c r="L4760" s="17" t="str">
        <f aca="false" t="array" ref="L4760:L4760">IFERROR(INDEX(AC4760:AE4760,IF(COUNTA(AC4760:AE4760)=0,"",MAX((AC4760:AE4760&lt;&gt;"")*(COLUMN(AC4760:AE4760)-(COLUMN(AC4760)-2))))-1),"")</f>
        <v/>
      </c>
      <c r="M4760" s="13"/>
      <c r="N4760" s="13"/>
      <c r="O4760" s="13"/>
      <c r="P4760" s="26"/>
      <c r="Q4760" s="20"/>
      <c r="R4760" s="13"/>
      <c r="S4760" s="25"/>
      <c r="T4760" s="13"/>
      <c r="U4760" s="13"/>
      <c r="V4760" s="13"/>
      <c r="W4760" s="13"/>
      <c r="X4760" s="21"/>
      <c r="Y4760" s="22"/>
      <c r="Z4760" s="23"/>
      <c r="AA4760" s="23"/>
      <c r="AB4760" s="15"/>
      <c r="AC4760" s="14"/>
      <c r="AD4760" s="18"/>
      <c r="AE4760" s="18"/>
    </row>
    <row r="4761" customFormat="false" ht="15" hidden="false" customHeight="true" outlineLevel="0" collapsed="false">
      <c r="A4761" s="12"/>
      <c r="B4761" s="13"/>
      <c r="C4761" s="14"/>
      <c r="D4761" s="13"/>
      <c r="E4761" s="15"/>
      <c r="F4761" s="15"/>
      <c r="G4761" s="15"/>
      <c r="H4761" s="13"/>
      <c r="I4761" s="13"/>
      <c r="J4761" s="16"/>
      <c r="K4761" s="16"/>
      <c r="L4761" s="17" t="str">
        <f aca="false" t="array" ref="L4761:L4761">IFERROR(INDEX(AC4761:AE4761,IF(COUNTA(AC4761:AE4761)=0,"",MAX((AC4761:AE4761&lt;&gt;"")*(COLUMN(AC4761:AE4761)-(COLUMN(AC4761)-2))))-1),"")</f>
        <v/>
      </c>
      <c r="M4761" s="13"/>
      <c r="N4761" s="13"/>
      <c r="O4761" s="13"/>
      <c r="P4761" s="26"/>
      <c r="Q4761" s="20"/>
      <c r="R4761" s="13"/>
      <c r="S4761" s="25"/>
      <c r="T4761" s="13"/>
      <c r="U4761" s="13"/>
      <c r="V4761" s="13"/>
      <c r="W4761" s="13"/>
      <c r="X4761" s="21"/>
      <c r="Y4761" s="22"/>
      <c r="Z4761" s="23"/>
      <c r="AA4761" s="23"/>
      <c r="AB4761" s="15"/>
      <c r="AC4761" s="14"/>
      <c r="AD4761" s="18"/>
      <c r="AE4761" s="18"/>
    </row>
    <row r="4762" customFormat="false" ht="15" hidden="false" customHeight="true" outlineLevel="0" collapsed="false">
      <c r="A4762" s="12"/>
      <c r="B4762" s="13"/>
      <c r="C4762" s="14"/>
      <c r="D4762" s="13"/>
      <c r="E4762" s="15"/>
      <c r="F4762" s="15"/>
      <c r="G4762" s="15"/>
      <c r="H4762" s="13"/>
      <c r="I4762" s="13"/>
      <c r="J4762" s="16"/>
      <c r="K4762" s="16"/>
      <c r="L4762" s="17" t="str">
        <f aca="false" t="array" ref="L4762:L4762">IFERROR(INDEX(AC4762:AE4762,IF(COUNTA(AC4762:AE4762)=0,"",MAX((AC4762:AE4762&lt;&gt;"")*(COLUMN(AC4762:AE4762)-(COLUMN(AC4762)-2))))-1),"")</f>
        <v/>
      </c>
      <c r="M4762" s="13"/>
      <c r="N4762" s="13"/>
      <c r="O4762" s="13"/>
      <c r="P4762" s="26"/>
      <c r="Q4762" s="20"/>
      <c r="R4762" s="13"/>
      <c r="S4762" s="25"/>
      <c r="T4762" s="13"/>
      <c r="U4762" s="13"/>
      <c r="V4762" s="13"/>
      <c r="W4762" s="13"/>
      <c r="X4762" s="21"/>
      <c r="Y4762" s="22"/>
      <c r="Z4762" s="23"/>
      <c r="AA4762" s="23"/>
      <c r="AB4762" s="15"/>
      <c r="AC4762" s="14"/>
      <c r="AD4762" s="18"/>
      <c r="AE4762" s="18"/>
    </row>
    <row r="4763" customFormat="false" ht="15" hidden="false" customHeight="true" outlineLevel="0" collapsed="false">
      <c r="A4763" s="12"/>
      <c r="B4763" s="13"/>
      <c r="C4763" s="14"/>
      <c r="D4763" s="13"/>
      <c r="E4763" s="15"/>
      <c r="F4763" s="15"/>
      <c r="G4763" s="15"/>
      <c r="H4763" s="13"/>
      <c r="I4763" s="13"/>
      <c r="J4763" s="16"/>
      <c r="K4763" s="16"/>
      <c r="L4763" s="17" t="str">
        <f aca="false" t="array" ref="L4763:L4763">IFERROR(INDEX(AC4763:AE4763,IF(COUNTA(AC4763:AE4763)=0,"",MAX((AC4763:AE4763&lt;&gt;"")*(COLUMN(AC4763:AE4763)-(COLUMN(AC4763)-2))))-1),"")</f>
        <v/>
      </c>
      <c r="M4763" s="13"/>
      <c r="N4763" s="13"/>
      <c r="O4763" s="13"/>
      <c r="P4763" s="26"/>
      <c r="Q4763" s="20"/>
      <c r="R4763" s="13"/>
      <c r="S4763" s="25"/>
      <c r="T4763" s="13"/>
      <c r="U4763" s="13"/>
      <c r="V4763" s="13"/>
      <c r="W4763" s="13"/>
      <c r="X4763" s="21"/>
      <c r="Y4763" s="22"/>
      <c r="Z4763" s="23"/>
      <c r="AA4763" s="23"/>
      <c r="AB4763" s="15"/>
      <c r="AC4763" s="14"/>
      <c r="AD4763" s="18"/>
      <c r="AE4763" s="18"/>
    </row>
    <row r="4764" customFormat="false" ht="15" hidden="false" customHeight="true" outlineLevel="0" collapsed="false">
      <c r="A4764" s="12"/>
      <c r="B4764" s="13"/>
      <c r="C4764" s="14"/>
      <c r="D4764" s="13"/>
      <c r="E4764" s="15"/>
      <c r="F4764" s="15"/>
      <c r="G4764" s="15"/>
      <c r="H4764" s="13"/>
      <c r="I4764" s="13"/>
      <c r="J4764" s="16"/>
      <c r="K4764" s="16"/>
      <c r="L4764" s="17" t="str">
        <f aca="false" t="array" ref="L4764:L4764">IFERROR(INDEX(AC4764:AE4764,IF(COUNTA(AC4764:AE4764)=0,"",MAX((AC4764:AE4764&lt;&gt;"")*(COLUMN(AC4764:AE4764)-(COLUMN(AC4764)-2))))-1),"")</f>
        <v/>
      </c>
      <c r="M4764" s="13"/>
      <c r="N4764" s="13"/>
      <c r="O4764" s="13"/>
      <c r="P4764" s="26"/>
      <c r="Q4764" s="20"/>
      <c r="R4764" s="13"/>
      <c r="S4764" s="25"/>
      <c r="T4764" s="13"/>
      <c r="U4764" s="13"/>
      <c r="V4764" s="13"/>
      <c r="W4764" s="13"/>
      <c r="X4764" s="21"/>
      <c r="Y4764" s="22"/>
      <c r="Z4764" s="23"/>
      <c r="AA4764" s="23"/>
      <c r="AB4764" s="15"/>
      <c r="AC4764" s="14"/>
      <c r="AD4764" s="18"/>
      <c r="AE4764" s="18"/>
    </row>
    <row r="4765" customFormat="false" ht="15" hidden="false" customHeight="true" outlineLevel="0" collapsed="false">
      <c r="A4765" s="12"/>
      <c r="B4765" s="13"/>
      <c r="C4765" s="14"/>
      <c r="D4765" s="13"/>
      <c r="E4765" s="15"/>
      <c r="F4765" s="15"/>
      <c r="G4765" s="15"/>
      <c r="H4765" s="13"/>
      <c r="I4765" s="13"/>
      <c r="J4765" s="16"/>
      <c r="K4765" s="16"/>
      <c r="L4765" s="17" t="str">
        <f aca="false" t="array" ref="L4765:L4765">IFERROR(INDEX(AC4765:AE4765,IF(COUNTA(AC4765:AE4765)=0,"",MAX((AC4765:AE4765&lt;&gt;"")*(COLUMN(AC4765:AE4765)-(COLUMN(AC4765)-2))))-1),"")</f>
        <v/>
      </c>
      <c r="M4765" s="13"/>
      <c r="N4765" s="13"/>
      <c r="O4765" s="13"/>
      <c r="P4765" s="26"/>
      <c r="Q4765" s="20"/>
      <c r="R4765" s="13"/>
      <c r="S4765" s="25"/>
      <c r="T4765" s="13"/>
      <c r="U4765" s="13"/>
      <c r="V4765" s="13"/>
      <c r="W4765" s="13"/>
      <c r="X4765" s="21"/>
      <c r="Y4765" s="22"/>
      <c r="Z4765" s="23"/>
      <c r="AA4765" s="23"/>
      <c r="AB4765" s="15"/>
      <c r="AC4765" s="14"/>
      <c r="AD4765" s="18"/>
      <c r="AE4765" s="18"/>
    </row>
    <row r="4766" customFormat="false" ht="15" hidden="false" customHeight="true" outlineLevel="0" collapsed="false">
      <c r="A4766" s="12"/>
      <c r="B4766" s="13"/>
      <c r="C4766" s="14"/>
      <c r="D4766" s="13"/>
      <c r="E4766" s="15"/>
      <c r="F4766" s="15"/>
      <c r="G4766" s="15"/>
      <c r="H4766" s="13"/>
      <c r="I4766" s="13"/>
      <c r="J4766" s="16"/>
      <c r="K4766" s="16"/>
      <c r="L4766" s="17" t="str">
        <f aca="false" t="array" ref="L4766:L4766">IFERROR(INDEX(AC4766:AE4766,IF(COUNTA(AC4766:AE4766)=0,"",MAX((AC4766:AE4766&lt;&gt;"")*(COLUMN(AC4766:AE4766)-(COLUMN(AC4766)-2))))-1),"")</f>
        <v/>
      </c>
      <c r="M4766" s="13"/>
      <c r="N4766" s="13"/>
      <c r="O4766" s="13"/>
      <c r="P4766" s="26"/>
      <c r="Q4766" s="20"/>
      <c r="R4766" s="13"/>
      <c r="S4766" s="25"/>
      <c r="T4766" s="13"/>
      <c r="U4766" s="13"/>
      <c r="V4766" s="13"/>
      <c r="W4766" s="13"/>
      <c r="X4766" s="21"/>
      <c r="Y4766" s="22"/>
      <c r="Z4766" s="23"/>
      <c r="AA4766" s="23"/>
      <c r="AB4766" s="15"/>
      <c r="AC4766" s="14"/>
      <c r="AD4766" s="18"/>
      <c r="AE4766" s="18"/>
    </row>
    <row r="4767" customFormat="false" ht="15" hidden="false" customHeight="true" outlineLevel="0" collapsed="false">
      <c r="A4767" s="12"/>
      <c r="B4767" s="13"/>
      <c r="C4767" s="14"/>
      <c r="D4767" s="13"/>
      <c r="E4767" s="15"/>
      <c r="F4767" s="15"/>
      <c r="G4767" s="15"/>
      <c r="H4767" s="13"/>
      <c r="I4767" s="13"/>
      <c r="J4767" s="16"/>
      <c r="K4767" s="16"/>
      <c r="L4767" s="17" t="str">
        <f aca="false" t="array" ref="L4767:L4767">IFERROR(INDEX(AC4767:AE4767,IF(COUNTA(AC4767:AE4767)=0,"",MAX((AC4767:AE4767&lt;&gt;"")*(COLUMN(AC4767:AE4767)-(COLUMN(AC4767)-2))))-1),"")</f>
        <v/>
      </c>
      <c r="M4767" s="13"/>
      <c r="N4767" s="13"/>
      <c r="O4767" s="13"/>
      <c r="P4767" s="26"/>
      <c r="Q4767" s="20"/>
      <c r="R4767" s="13"/>
      <c r="S4767" s="25"/>
      <c r="T4767" s="13"/>
      <c r="U4767" s="13"/>
      <c r="V4767" s="13"/>
      <c r="W4767" s="13"/>
      <c r="X4767" s="21"/>
      <c r="Y4767" s="22"/>
      <c r="Z4767" s="23"/>
      <c r="AA4767" s="23"/>
      <c r="AB4767" s="15"/>
      <c r="AC4767" s="14"/>
      <c r="AD4767" s="18"/>
      <c r="AE4767" s="18"/>
    </row>
    <row r="4768" customFormat="false" ht="15" hidden="false" customHeight="true" outlineLevel="0" collapsed="false">
      <c r="A4768" s="12"/>
      <c r="B4768" s="13"/>
      <c r="C4768" s="14"/>
      <c r="D4768" s="13"/>
      <c r="E4768" s="15"/>
      <c r="F4768" s="15"/>
      <c r="G4768" s="15"/>
      <c r="H4768" s="13"/>
      <c r="I4768" s="13"/>
      <c r="J4768" s="16"/>
      <c r="K4768" s="16"/>
      <c r="L4768" s="17" t="str">
        <f aca="false" t="array" ref="L4768:L4768">IFERROR(INDEX(AC4768:AE4768,IF(COUNTA(AC4768:AE4768)=0,"",MAX((AC4768:AE4768&lt;&gt;"")*(COLUMN(AC4768:AE4768)-(COLUMN(AC4768)-2))))-1),"")</f>
        <v/>
      </c>
      <c r="M4768" s="13"/>
      <c r="N4768" s="13"/>
      <c r="O4768" s="13"/>
      <c r="P4768" s="26"/>
      <c r="Q4768" s="20"/>
      <c r="R4768" s="13"/>
      <c r="S4768" s="25"/>
      <c r="T4768" s="13"/>
      <c r="U4768" s="13"/>
      <c r="V4768" s="13"/>
      <c r="W4768" s="13"/>
      <c r="X4768" s="21"/>
      <c r="Y4768" s="22"/>
      <c r="Z4768" s="23"/>
      <c r="AA4768" s="23"/>
      <c r="AB4768" s="15"/>
      <c r="AC4768" s="14"/>
      <c r="AD4768" s="18"/>
      <c r="AE4768" s="18"/>
    </row>
    <row r="4769" customFormat="false" ht="15" hidden="false" customHeight="true" outlineLevel="0" collapsed="false">
      <c r="A4769" s="12"/>
      <c r="B4769" s="13"/>
      <c r="C4769" s="14"/>
      <c r="D4769" s="13"/>
      <c r="E4769" s="15"/>
      <c r="F4769" s="15"/>
      <c r="G4769" s="15"/>
      <c r="H4769" s="13"/>
      <c r="I4769" s="13"/>
      <c r="J4769" s="16"/>
      <c r="K4769" s="16"/>
      <c r="L4769" s="17" t="str">
        <f aca="false" t="array" ref="L4769:L4769">IFERROR(INDEX(AC4769:AE4769,IF(COUNTA(AC4769:AE4769)=0,"",MAX((AC4769:AE4769&lt;&gt;"")*(COLUMN(AC4769:AE4769)-(COLUMN(AC4769)-2))))-1),"")</f>
        <v/>
      </c>
      <c r="M4769" s="13"/>
      <c r="N4769" s="13"/>
      <c r="O4769" s="13"/>
      <c r="P4769" s="26"/>
      <c r="Q4769" s="20"/>
      <c r="R4769" s="13"/>
      <c r="S4769" s="25"/>
      <c r="T4769" s="13"/>
      <c r="U4769" s="13"/>
      <c r="V4769" s="13"/>
      <c r="W4769" s="13"/>
      <c r="X4769" s="21"/>
      <c r="Y4769" s="22"/>
      <c r="Z4769" s="23"/>
      <c r="AA4769" s="23"/>
      <c r="AB4769" s="15"/>
      <c r="AC4769" s="14"/>
      <c r="AD4769" s="18"/>
      <c r="AE4769" s="18"/>
    </row>
    <row r="4770" customFormat="false" ht="15" hidden="false" customHeight="true" outlineLevel="0" collapsed="false">
      <c r="A4770" s="12"/>
      <c r="B4770" s="13"/>
      <c r="C4770" s="14"/>
      <c r="D4770" s="13"/>
      <c r="E4770" s="15"/>
      <c r="F4770" s="15"/>
      <c r="G4770" s="15"/>
      <c r="H4770" s="13"/>
      <c r="I4770" s="13"/>
      <c r="J4770" s="16"/>
      <c r="K4770" s="16"/>
      <c r="L4770" s="17" t="str">
        <f aca="false" t="array" ref="L4770:L4770">IFERROR(INDEX(AC4770:AE4770,IF(COUNTA(AC4770:AE4770)=0,"",MAX((AC4770:AE4770&lt;&gt;"")*(COLUMN(AC4770:AE4770)-(COLUMN(AC4770)-2))))-1),"")</f>
        <v/>
      </c>
      <c r="M4770" s="13"/>
      <c r="N4770" s="13"/>
      <c r="O4770" s="13"/>
      <c r="P4770" s="26"/>
      <c r="Q4770" s="20"/>
      <c r="R4770" s="13"/>
      <c r="S4770" s="25"/>
      <c r="T4770" s="13"/>
      <c r="U4770" s="13"/>
      <c r="V4770" s="13"/>
      <c r="W4770" s="13"/>
      <c r="X4770" s="21"/>
      <c r="Y4770" s="22"/>
      <c r="Z4770" s="23"/>
      <c r="AA4770" s="23"/>
      <c r="AB4770" s="15"/>
      <c r="AC4770" s="14"/>
      <c r="AD4770" s="18"/>
      <c r="AE4770" s="18"/>
    </row>
    <row r="4771" customFormat="false" ht="15" hidden="false" customHeight="true" outlineLevel="0" collapsed="false">
      <c r="A4771" s="12"/>
      <c r="B4771" s="13"/>
      <c r="C4771" s="14"/>
      <c r="D4771" s="13"/>
      <c r="E4771" s="15"/>
      <c r="F4771" s="15"/>
      <c r="G4771" s="15"/>
      <c r="H4771" s="13"/>
      <c r="I4771" s="13"/>
      <c r="J4771" s="16"/>
      <c r="K4771" s="16"/>
      <c r="L4771" s="17" t="str">
        <f aca="false" t="array" ref="L4771:L4771">IFERROR(INDEX(AC4771:AE4771,IF(COUNTA(AC4771:AE4771)=0,"",MAX((AC4771:AE4771&lt;&gt;"")*(COLUMN(AC4771:AE4771)-(COLUMN(AC4771)-2))))-1),"")</f>
        <v/>
      </c>
      <c r="M4771" s="13"/>
      <c r="N4771" s="13"/>
      <c r="O4771" s="13"/>
      <c r="P4771" s="26"/>
      <c r="Q4771" s="20"/>
      <c r="R4771" s="13"/>
      <c r="S4771" s="25"/>
      <c r="T4771" s="13"/>
      <c r="U4771" s="13"/>
      <c r="V4771" s="13"/>
      <c r="W4771" s="13"/>
      <c r="X4771" s="21"/>
      <c r="Y4771" s="22"/>
      <c r="Z4771" s="23"/>
      <c r="AA4771" s="23"/>
      <c r="AB4771" s="15"/>
      <c r="AC4771" s="14"/>
      <c r="AD4771" s="18"/>
      <c r="AE4771" s="18"/>
    </row>
    <row r="4772" customFormat="false" ht="15" hidden="false" customHeight="true" outlineLevel="0" collapsed="false">
      <c r="A4772" s="12"/>
      <c r="B4772" s="13"/>
      <c r="C4772" s="14"/>
      <c r="D4772" s="13"/>
      <c r="E4772" s="15"/>
      <c r="F4772" s="15"/>
      <c r="G4772" s="15"/>
      <c r="H4772" s="13"/>
      <c r="I4772" s="13"/>
      <c r="J4772" s="16"/>
      <c r="K4772" s="16"/>
      <c r="L4772" s="17" t="str">
        <f aca="false" t="array" ref="L4772:L4772">IFERROR(INDEX(AC4772:AE4772,IF(COUNTA(AC4772:AE4772)=0,"",MAX((AC4772:AE4772&lt;&gt;"")*(COLUMN(AC4772:AE4772)-(COLUMN(AC4772)-2))))-1),"")</f>
        <v/>
      </c>
      <c r="M4772" s="13"/>
      <c r="N4772" s="13"/>
      <c r="O4772" s="13"/>
      <c r="P4772" s="26"/>
      <c r="Q4772" s="20"/>
      <c r="R4772" s="13"/>
      <c r="S4772" s="25"/>
      <c r="T4772" s="13"/>
      <c r="U4772" s="13"/>
      <c r="V4772" s="13"/>
      <c r="W4772" s="13"/>
      <c r="X4772" s="21"/>
      <c r="Y4772" s="22"/>
      <c r="Z4772" s="23"/>
      <c r="AA4772" s="23"/>
      <c r="AB4772" s="15"/>
      <c r="AC4772" s="14"/>
      <c r="AD4772" s="18"/>
      <c r="AE4772" s="18"/>
    </row>
    <row r="4773" customFormat="false" ht="15" hidden="false" customHeight="true" outlineLevel="0" collapsed="false">
      <c r="A4773" s="12"/>
      <c r="B4773" s="13"/>
      <c r="C4773" s="14"/>
      <c r="D4773" s="13"/>
      <c r="E4773" s="15"/>
      <c r="F4773" s="15"/>
      <c r="G4773" s="15"/>
      <c r="H4773" s="13"/>
      <c r="I4773" s="13"/>
      <c r="J4773" s="16"/>
      <c r="K4773" s="16"/>
      <c r="L4773" s="17" t="str">
        <f aca="false" t="array" ref="L4773:L4773">IFERROR(INDEX(AC4773:AE4773,IF(COUNTA(AC4773:AE4773)=0,"",MAX((AC4773:AE4773&lt;&gt;"")*(COLUMN(AC4773:AE4773)-(COLUMN(AC4773)-2))))-1),"")</f>
        <v/>
      </c>
      <c r="M4773" s="13"/>
      <c r="N4773" s="13"/>
      <c r="O4773" s="13"/>
      <c r="P4773" s="26"/>
      <c r="Q4773" s="20"/>
      <c r="R4773" s="13"/>
      <c r="S4773" s="25"/>
      <c r="T4773" s="13"/>
      <c r="U4773" s="13"/>
      <c r="V4773" s="13"/>
      <c r="W4773" s="13"/>
      <c r="X4773" s="21"/>
      <c r="Y4773" s="22"/>
      <c r="Z4773" s="23"/>
      <c r="AA4773" s="23"/>
      <c r="AB4773" s="15"/>
      <c r="AC4773" s="14"/>
      <c r="AD4773" s="18"/>
      <c r="AE4773" s="18"/>
    </row>
    <row r="4774" customFormat="false" ht="15" hidden="false" customHeight="true" outlineLevel="0" collapsed="false">
      <c r="A4774" s="12"/>
      <c r="B4774" s="13"/>
      <c r="C4774" s="14"/>
      <c r="D4774" s="13"/>
      <c r="E4774" s="15"/>
      <c r="F4774" s="15"/>
      <c r="G4774" s="15"/>
      <c r="H4774" s="13"/>
      <c r="I4774" s="13"/>
      <c r="J4774" s="16"/>
      <c r="K4774" s="16"/>
      <c r="L4774" s="17" t="str">
        <f aca="false" t="array" ref="L4774:L4774">IFERROR(INDEX(AC4774:AE4774,IF(COUNTA(AC4774:AE4774)=0,"",MAX((AC4774:AE4774&lt;&gt;"")*(COLUMN(AC4774:AE4774)-(COLUMN(AC4774)-2))))-1),"")</f>
        <v/>
      </c>
      <c r="M4774" s="13"/>
      <c r="N4774" s="13"/>
      <c r="O4774" s="13"/>
      <c r="P4774" s="26"/>
      <c r="Q4774" s="20"/>
      <c r="R4774" s="13"/>
      <c r="S4774" s="25"/>
      <c r="T4774" s="13"/>
      <c r="U4774" s="13"/>
      <c r="V4774" s="13"/>
      <c r="W4774" s="13"/>
      <c r="X4774" s="21"/>
      <c r="Y4774" s="22"/>
      <c r="Z4774" s="23"/>
      <c r="AA4774" s="23"/>
      <c r="AB4774" s="15"/>
      <c r="AC4774" s="14"/>
      <c r="AD4774" s="18"/>
      <c r="AE4774" s="18"/>
    </row>
    <row r="4775" customFormat="false" ht="15" hidden="false" customHeight="true" outlineLevel="0" collapsed="false">
      <c r="A4775" s="12"/>
      <c r="B4775" s="13"/>
      <c r="C4775" s="14"/>
      <c r="D4775" s="13"/>
      <c r="E4775" s="15"/>
      <c r="F4775" s="15"/>
      <c r="G4775" s="15"/>
      <c r="H4775" s="13"/>
      <c r="I4775" s="13"/>
      <c r="J4775" s="16"/>
      <c r="K4775" s="16"/>
      <c r="L4775" s="17" t="str">
        <f aca="false" t="array" ref="L4775:L4775">IFERROR(INDEX(AC4775:AE4775,IF(COUNTA(AC4775:AE4775)=0,"",MAX((AC4775:AE4775&lt;&gt;"")*(COLUMN(AC4775:AE4775)-(COLUMN(AC4775)-2))))-1),"")</f>
        <v/>
      </c>
      <c r="M4775" s="13"/>
      <c r="N4775" s="13"/>
      <c r="O4775" s="13"/>
      <c r="P4775" s="26"/>
      <c r="Q4775" s="20"/>
      <c r="R4775" s="13"/>
      <c r="S4775" s="25"/>
      <c r="T4775" s="13"/>
      <c r="U4775" s="13"/>
      <c r="V4775" s="13"/>
      <c r="W4775" s="13"/>
      <c r="X4775" s="21"/>
      <c r="Y4775" s="22"/>
      <c r="Z4775" s="23"/>
      <c r="AA4775" s="23"/>
      <c r="AB4775" s="15"/>
      <c r="AC4775" s="14"/>
      <c r="AD4775" s="18"/>
      <c r="AE4775" s="18"/>
    </row>
    <row r="4776" customFormat="false" ht="15" hidden="false" customHeight="true" outlineLevel="0" collapsed="false">
      <c r="A4776" s="12"/>
      <c r="B4776" s="13"/>
      <c r="C4776" s="14"/>
      <c r="D4776" s="13"/>
      <c r="E4776" s="15"/>
      <c r="F4776" s="15"/>
      <c r="G4776" s="15"/>
      <c r="H4776" s="13"/>
      <c r="I4776" s="13"/>
      <c r="J4776" s="16"/>
      <c r="K4776" s="16"/>
      <c r="L4776" s="17" t="str">
        <f aca="false" t="array" ref="L4776:L4776">IFERROR(INDEX(AC4776:AE4776,IF(COUNTA(AC4776:AE4776)=0,"",MAX((AC4776:AE4776&lt;&gt;"")*(COLUMN(AC4776:AE4776)-(COLUMN(AC4776)-2))))-1),"")</f>
        <v/>
      </c>
      <c r="M4776" s="13"/>
      <c r="N4776" s="13"/>
      <c r="O4776" s="13"/>
      <c r="P4776" s="26"/>
      <c r="Q4776" s="20"/>
      <c r="R4776" s="13"/>
      <c r="S4776" s="25"/>
      <c r="T4776" s="13"/>
      <c r="U4776" s="13"/>
      <c r="V4776" s="13"/>
      <c r="W4776" s="13"/>
      <c r="X4776" s="21"/>
      <c r="Y4776" s="22"/>
      <c r="Z4776" s="23"/>
      <c r="AA4776" s="23"/>
      <c r="AB4776" s="15"/>
      <c r="AC4776" s="14"/>
      <c r="AD4776" s="18"/>
      <c r="AE4776" s="18"/>
    </row>
    <row r="4777" customFormat="false" ht="15" hidden="false" customHeight="true" outlineLevel="0" collapsed="false">
      <c r="A4777" s="12"/>
      <c r="B4777" s="13"/>
      <c r="C4777" s="14"/>
      <c r="D4777" s="13"/>
      <c r="E4777" s="15"/>
      <c r="F4777" s="15"/>
      <c r="G4777" s="15"/>
      <c r="H4777" s="13"/>
      <c r="I4777" s="13"/>
      <c r="J4777" s="16"/>
      <c r="K4777" s="16"/>
      <c r="L4777" s="17" t="str">
        <f aca="false" t="array" ref="L4777:L4777">IFERROR(INDEX(AC4777:AE4777,IF(COUNTA(AC4777:AE4777)=0,"",MAX((AC4777:AE4777&lt;&gt;"")*(COLUMN(AC4777:AE4777)-(COLUMN(AC4777)-2))))-1),"")</f>
        <v/>
      </c>
      <c r="M4777" s="13"/>
      <c r="N4777" s="13"/>
      <c r="O4777" s="13"/>
      <c r="P4777" s="26"/>
      <c r="Q4777" s="20"/>
      <c r="R4777" s="13"/>
      <c r="S4777" s="25"/>
      <c r="T4777" s="13"/>
      <c r="U4777" s="13"/>
      <c r="V4777" s="13"/>
      <c r="W4777" s="13"/>
      <c r="X4777" s="21"/>
      <c r="Y4777" s="22"/>
      <c r="Z4777" s="23"/>
      <c r="AA4777" s="23"/>
      <c r="AB4777" s="15"/>
      <c r="AC4777" s="14"/>
      <c r="AD4777" s="18"/>
      <c r="AE4777" s="18"/>
    </row>
    <row r="4778" customFormat="false" ht="15" hidden="false" customHeight="true" outlineLevel="0" collapsed="false">
      <c r="A4778" s="12"/>
      <c r="B4778" s="13"/>
      <c r="C4778" s="14"/>
      <c r="D4778" s="13"/>
      <c r="E4778" s="15"/>
      <c r="F4778" s="15"/>
      <c r="G4778" s="15"/>
      <c r="H4778" s="13"/>
      <c r="I4778" s="13"/>
      <c r="J4778" s="16"/>
      <c r="K4778" s="16"/>
      <c r="L4778" s="17" t="str">
        <f aca="false" t="array" ref="L4778:L4778">IFERROR(INDEX(AC4778:AE4778,IF(COUNTA(AC4778:AE4778)=0,"",MAX((AC4778:AE4778&lt;&gt;"")*(COLUMN(AC4778:AE4778)-(COLUMN(AC4778)-2))))-1),"")</f>
        <v/>
      </c>
      <c r="M4778" s="13"/>
      <c r="N4778" s="13"/>
      <c r="O4778" s="13"/>
      <c r="P4778" s="26"/>
      <c r="Q4778" s="20"/>
      <c r="R4778" s="13"/>
      <c r="S4778" s="25"/>
      <c r="T4778" s="13"/>
      <c r="U4778" s="13"/>
      <c r="V4778" s="13"/>
      <c r="W4778" s="13"/>
      <c r="X4778" s="21"/>
      <c r="Y4778" s="22"/>
      <c r="Z4778" s="23"/>
      <c r="AA4778" s="23"/>
      <c r="AB4778" s="15"/>
      <c r="AC4778" s="14"/>
      <c r="AD4778" s="18"/>
      <c r="AE4778" s="18"/>
    </row>
    <row r="4779" customFormat="false" ht="15" hidden="false" customHeight="true" outlineLevel="0" collapsed="false">
      <c r="A4779" s="12"/>
      <c r="B4779" s="13"/>
      <c r="C4779" s="14"/>
      <c r="D4779" s="13"/>
      <c r="E4779" s="15"/>
      <c r="F4779" s="15"/>
      <c r="G4779" s="15"/>
      <c r="H4779" s="13"/>
      <c r="I4779" s="13"/>
      <c r="J4779" s="16"/>
      <c r="K4779" s="16"/>
      <c r="L4779" s="17" t="str">
        <f aca="false" t="array" ref="L4779:L4779">IFERROR(INDEX(AC4779:AE4779,IF(COUNTA(AC4779:AE4779)=0,"",MAX((AC4779:AE4779&lt;&gt;"")*(COLUMN(AC4779:AE4779)-(COLUMN(AC4779)-2))))-1),"")</f>
        <v/>
      </c>
      <c r="M4779" s="13"/>
      <c r="N4779" s="13"/>
      <c r="O4779" s="13"/>
      <c r="P4779" s="26"/>
      <c r="Q4779" s="20"/>
      <c r="R4779" s="13"/>
      <c r="S4779" s="25"/>
      <c r="T4779" s="13"/>
      <c r="U4779" s="13"/>
      <c r="V4779" s="13"/>
      <c r="W4779" s="13"/>
      <c r="X4779" s="21"/>
      <c r="Y4779" s="22"/>
      <c r="Z4779" s="23"/>
      <c r="AA4779" s="23"/>
      <c r="AB4779" s="15"/>
      <c r="AC4779" s="14"/>
      <c r="AD4779" s="18"/>
      <c r="AE4779" s="18"/>
    </row>
    <row r="4780" customFormat="false" ht="15" hidden="false" customHeight="true" outlineLevel="0" collapsed="false">
      <c r="A4780" s="12"/>
      <c r="B4780" s="13"/>
      <c r="C4780" s="14"/>
      <c r="D4780" s="13"/>
      <c r="E4780" s="15"/>
      <c r="F4780" s="15"/>
      <c r="G4780" s="15"/>
      <c r="H4780" s="13"/>
      <c r="I4780" s="13"/>
      <c r="J4780" s="16"/>
      <c r="K4780" s="16"/>
      <c r="L4780" s="17" t="str">
        <f aca="false" t="array" ref="L4780:L4780">IFERROR(INDEX(AC4780:AE4780,IF(COUNTA(AC4780:AE4780)=0,"",MAX((AC4780:AE4780&lt;&gt;"")*(COLUMN(AC4780:AE4780)-(COLUMN(AC4780)-2))))-1),"")</f>
        <v/>
      </c>
      <c r="M4780" s="13"/>
      <c r="N4780" s="13"/>
      <c r="O4780" s="13"/>
      <c r="P4780" s="26"/>
      <c r="Q4780" s="20"/>
      <c r="R4780" s="13"/>
      <c r="S4780" s="25"/>
      <c r="T4780" s="13"/>
      <c r="U4780" s="13"/>
      <c r="V4780" s="13"/>
      <c r="W4780" s="13"/>
      <c r="X4780" s="21"/>
      <c r="Y4780" s="22"/>
      <c r="Z4780" s="23"/>
      <c r="AA4780" s="23"/>
      <c r="AB4780" s="15"/>
      <c r="AC4780" s="14"/>
      <c r="AD4780" s="18"/>
      <c r="AE4780" s="18"/>
    </row>
    <row r="4781" customFormat="false" ht="15" hidden="false" customHeight="true" outlineLevel="0" collapsed="false">
      <c r="A4781" s="12"/>
      <c r="B4781" s="13"/>
      <c r="C4781" s="14"/>
      <c r="D4781" s="13"/>
      <c r="E4781" s="15"/>
      <c r="F4781" s="15"/>
      <c r="G4781" s="15"/>
      <c r="H4781" s="13"/>
      <c r="I4781" s="13"/>
      <c r="J4781" s="16"/>
      <c r="K4781" s="16"/>
      <c r="L4781" s="17" t="str">
        <f aca="false" t="array" ref="L4781:L4781">IFERROR(INDEX(AC4781:AE4781,IF(COUNTA(AC4781:AE4781)=0,"",MAX((AC4781:AE4781&lt;&gt;"")*(COLUMN(AC4781:AE4781)-(COLUMN(AC4781)-2))))-1),"")</f>
        <v/>
      </c>
      <c r="M4781" s="13"/>
      <c r="N4781" s="13"/>
      <c r="O4781" s="13"/>
      <c r="P4781" s="26"/>
      <c r="Q4781" s="20"/>
      <c r="R4781" s="13"/>
      <c r="S4781" s="25"/>
      <c r="T4781" s="13"/>
      <c r="U4781" s="13"/>
      <c r="V4781" s="13"/>
      <c r="W4781" s="13"/>
      <c r="X4781" s="21"/>
      <c r="Y4781" s="22"/>
      <c r="Z4781" s="23"/>
      <c r="AA4781" s="23"/>
      <c r="AB4781" s="15"/>
      <c r="AC4781" s="14"/>
      <c r="AD4781" s="18"/>
      <c r="AE4781" s="18"/>
    </row>
    <row r="4782" customFormat="false" ht="15" hidden="false" customHeight="true" outlineLevel="0" collapsed="false">
      <c r="A4782" s="12"/>
      <c r="B4782" s="13"/>
      <c r="C4782" s="14"/>
      <c r="D4782" s="13"/>
      <c r="E4782" s="15"/>
      <c r="F4782" s="15"/>
      <c r="G4782" s="15"/>
      <c r="H4782" s="13"/>
      <c r="I4782" s="13"/>
      <c r="J4782" s="16"/>
      <c r="K4782" s="16"/>
      <c r="L4782" s="17" t="str">
        <f aca="false" t="array" ref="L4782:L4782">IFERROR(INDEX(AC4782:AE4782,IF(COUNTA(AC4782:AE4782)=0,"",MAX((AC4782:AE4782&lt;&gt;"")*(COLUMN(AC4782:AE4782)-(COLUMN(AC4782)-2))))-1),"")</f>
        <v/>
      </c>
      <c r="M4782" s="13"/>
      <c r="N4782" s="13"/>
      <c r="O4782" s="13"/>
      <c r="P4782" s="26"/>
      <c r="Q4782" s="20"/>
      <c r="R4782" s="13"/>
      <c r="S4782" s="25"/>
      <c r="T4782" s="13"/>
      <c r="U4782" s="13"/>
      <c r="V4782" s="13"/>
      <c r="W4782" s="13"/>
      <c r="X4782" s="21"/>
      <c r="Y4782" s="22"/>
      <c r="Z4782" s="23"/>
      <c r="AA4782" s="23"/>
      <c r="AB4782" s="15"/>
      <c r="AC4782" s="14"/>
      <c r="AD4782" s="18"/>
      <c r="AE4782" s="18"/>
    </row>
    <row r="4783" customFormat="false" ht="15" hidden="false" customHeight="true" outlineLevel="0" collapsed="false">
      <c r="A4783" s="12"/>
      <c r="B4783" s="13"/>
      <c r="C4783" s="14"/>
      <c r="D4783" s="13"/>
      <c r="E4783" s="15"/>
      <c r="F4783" s="15"/>
      <c r="G4783" s="15"/>
      <c r="H4783" s="13"/>
      <c r="I4783" s="13"/>
      <c r="J4783" s="16"/>
      <c r="K4783" s="16"/>
      <c r="L4783" s="17" t="str">
        <f aca="false" t="array" ref="L4783:L4783">IFERROR(INDEX(AC4783:AE4783,IF(COUNTA(AC4783:AE4783)=0,"",MAX((AC4783:AE4783&lt;&gt;"")*(COLUMN(AC4783:AE4783)-(COLUMN(AC4783)-2))))-1),"")</f>
        <v/>
      </c>
      <c r="M4783" s="13"/>
      <c r="N4783" s="13"/>
      <c r="O4783" s="13"/>
      <c r="P4783" s="26"/>
      <c r="Q4783" s="20"/>
      <c r="R4783" s="13"/>
      <c r="S4783" s="25"/>
      <c r="T4783" s="13"/>
      <c r="U4783" s="13"/>
      <c r="V4783" s="13"/>
      <c r="W4783" s="13"/>
      <c r="X4783" s="21"/>
      <c r="Y4783" s="22"/>
      <c r="Z4783" s="23"/>
      <c r="AA4783" s="23"/>
      <c r="AB4783" s="15"/>
      <c r="AC4783" s="14"/>
      <c r="AD4783" s="18"/>
      <c r="AE4783" s="18"/>
    </row>
    <row r="4784" customFormat="false" ht="15" hidden="false" customHeight="true" outlineLevel="0" collapsed="false">
      <c r="A4784" s="12"/>
      <c r="B4784" s="13"/>
      <c r="C4784" s="14"/>
      <c r="D4784" s="13"/>
      <c r="E4784" s="15"/>
      <c r="F4784" s="15"/>
      <c r="G4784" s="15"/>
      <c r="H4784" s="13"/>
      <c r="I4784" s="13"/>
      <c r="J4784" s="16"/>
      <c r="K4784" s="16"/>
      <c r="L4784" s="17" t="str">
        <f aca="false" t="array" ref="L4784:L4784">IFERROR(INDEX(AC4784:AE4784,IF(COUNTA(AC4784:AE4784)=0,"",MAX((AC4784:AE4784&lt;&gt;"")*(COLUMN(AC4784:AE4784)-(COLUMN(AC4784)-2))))-1),"")</f>
        <v/>
      </c>
      <c r="M4784" s="13"/>
      <c r="N4784" s="13"/>
      <c r="O4784" s="13"/>
      <c r="P4784" s="26"/>
      <c r="Q4784" s="20"/>
      <c r="R4784" s="13"/>
      <c r="S4784" s="25"/>
      <c r="T4784" s="13"/>
      <c r="U4784" s="13"/>
      <c r="V4784" s="13"/>
      <c r="W4784" s="13"/>
      <c r="X4784" s="21"/>
      <c r="Y4784" s="22"/>
      <c r="Z4784" s="23"/>
      <c r="AA4784" s="23"/>
      <c r="AB4784" s="15"/>
      <c r="AC4784" s="14"/>
      <c r="AD4784" s="18"/>
      <c r="AE4784" s="18"/>
    </row>
    <row r="4785" customFormat="false" ht="15" hidden="false" customHeight="true" outlineLevel="0" collapsed="false">
      <c r="A4785" s="12"/>
      <c r="B4785" s="13"/>
      <c r="C4785" s="14"/>
      <c r="D4785" s="13"/>
      <c r="E4785" s="15"/>
      <c r="F4785" s="15"/>
      <c r="G4785" s="15"/>
      <c r="H4785" s="13"/>
      <c r="I4785" s="13"/>
      <c r="J4785" s="16"/>
      <c r="K4785" s="16"/>
      <c r="L4785" s="17" t="str">
        <f aca="false" t="array" ref="L4785:L4785">IFERROR(INDEX(AC4785:AE4785,IF(COUNTA(AC4785:AE4785)=0,"",MAX((AC4785:AE4785&lt;&gt;"")*(COLUMN(AC4785:AE4785)-(COLUMN(AC4785)-2))))-1),"")</f>
        <v/>
      </c>
      <c r="M4785" s="13"/>
      <c r="N4785" s="13"/>
      <c r="O4785" s="13"/>
      <c r="P4785" s="26"/>
      <c r="Q4785" s="20"/>
      <c r="R4785" s="13"/>
      <c r="S4785" s="25"/>
      <c r="T4785" s="13"/>
      <c r="U4785" s="13"/>
      <c r="V4785" s="13"/>
      <c r="W4785" s="13"/>
      <c r="X4785" s="21"/>
      <c r="Y4785" s="22"/>
      <c r="Z4785" s="23"/>
      <c r="AA4785" s="23"/>
      <c r="AB4785" s="15"/>
      <c r="AC4785" s="14"/>
      <c r="AD4785" s="18"/>
      <c r="AE4785" s="18"/>
    </row>
    <row r="4786" customFormat="false" ht="15" hidden="false" customHeight="true" outlineLevel="0" collapsed="false">
      <c r="A4786" s="12"/>
      <c r="B4786" s="13"/>
      <c r="C4786" s="14"/>
      <c r="D4786" s="13"/>
      <c r="E4786" s="15"/>
      <c r="F4786" s="15"/>
      <c r="G4786" s="15"/>
      <c r="H4786" s="13"/>
      <c r="I4786" s="13"/>
      <c r="J4786" s="16"/>
      <c r="K4786" s="16"/>
      <c r="L4786" s="17" t="str">
        <f aca="false" t="array" ref="L4786:L4786">IFERROR(INDEX(AC4786:AE4786,IF(COUNTA(AC4786:AE4786)=0,"",MAX((AC4786:AE4786&lt;&gt;"")*(COLUMN(AC4786:AE4786)-(COLUMN(AC4786)-2))))-1),"")</f>
        <v/>
      </c>
      <c r="M4786" s="13"/>
      <c r="N4786" s="13"/>
      <c r="O4786" s="13"/>
      <c r="P4786" s="26"/>
      <c r="Q4786" s="20"/>
      <c r="R4786" s="13"/>
      <c r="S4786" s="25"/>
      <c r="T4786" s="13"/>
      <c r="U4786" s="13"/>
      <c r="V4786" s="13"/>
      <c r="W4786" s="13"/>
      <c r="X4786" s="21"/>
      <c r="Y4786" s="22"/>
      <c r="Z4786" s="23"/>
      <c r="AA4786" s="23"/>
      <c r="AB4786" s="15"/>
      <c r="AC4786" s="14"/>
      <c r="AD4786" s="18"/>
      <c r="AE4786" s="18"/>
    </row>
    <row r="4787" customFormat="false" ht="15" hidden="false" customHeight="true" outlineLevel="0" collapsed="false">
      <c r="A4787" s="12"/>
      <c r="B4787" s="13"/>
      <c r="C4787" s="14"/>
      <c r="D4787" s="13"/>
      <c r="E4787" s="15"/>
      <c r="F4787" s="15"/>
      <c r="G4787" s="15"/>
      <c r="H4787" s="13"/>
      <c r="I4787" s="13"/>
      <c r="J4787" s="16"/>
      <c r="K4787" s="16"/>
      <c r="L4787" s="17" t="str">
        <f aca="false" t="array" ref="L4787:L4787">IFERROR(INDEX(AC4787:AE4787,IF(COUNTA(AC4787:AE4787)=0,"",MAX((AC4787:AE4787&lt;&gt;"")*(COLUMN(AC4787:AE4787)-(COLUMN(AC4787)-2))))-1),"")</f>
        <v/>
      </c>
      <c r="M4787" s="13"/>
      <c r="N4787" s="13"/>
      <c r="O4787" s="13"/>
      <c r="P4787" s="26"/>
      <c r="Q4787" s="20"/>
      <c r="R4787" s="13"/>
      <c r="S4787" s="25"/>
      <c r="T4787" s="13"/>
      <c r="U4787" s="13"/>
      <c r="V4787" s="13"/>
      <c r="W4787" s="13"/>
      <c r="X4787" s="21"/>
      <c r="Y4787" s="22"/>
      <c r="Z4787" s="23"/>
      <c r="AA4787" s="23"/>
      <c r="AB4787" s="15"/>
      <c r="AC4787" s="14"/>
      <c r="AD4787" s="18"/>
      <c r="AE4787" s="18"/>
    </row>
    <row r="4788" customFormat="false" ht="15" hidden="false" customHeight="true" outlineLevel="0" collapsed="false">
      <c r="A4788" s="12"/>
      <c r="B4788" s="13"/>
      <c r="C4788" s="14"/>
      <c r="D4788" s="13"/>
      <c r="E4788" s="15"/>
      <c r="F4788" s="15"/>
      <c r="G4788" s="15"/>
      <c r="H4788" s="13"/>
      <c r="I4788" s="13"/>
      <c r="J4788" s="16"/>
      <c r="K4788" s="16"/>
      <c r="L4788" s="17" t="str">
        <f aca="false" t="array" ref="L4788:L4788">IFERROR(INDEX(AC4788:AE4788,IF(COUNTA(AC4788:AE4788)=0,"",MAX((AC4788:AE4788&lt;&gt;"")*(COLUMN(AC4788:AE4788)-(COLUMN(AC4788)-2))))-1),"")</f>
        <v/>
      </c>
      <c r="M4788" s="13"/>
      <c r="N4788" s="13"/>
      <c r="O4788" s="13"/>
      <c r="P4788" s="26"/>
      <c r="Q4788" s="20"/>
      <c r="R4788" s="13"/>
      <c r="S4788" s="25"/>
      <c r="T4788" s="13"/>
      <c r="U4788" s="13"/>
      <c r="V4788" s="13"/>
      <c r="W4788" s="13"/>
      <c r="X4788" s="21"/>
      <c r="Y4788" s="22"/>
      <c r="Z4788" s="23"/>
      <c r="AA4788" s="23"/>
      <c r="AB4788" s="15"/>
      <c r="AC4788" s="14"/>
      <c r="AD4788" s="18"/>
      <c r="AE4788" s="18"/>
    </row>
    <row r="4789" customFormat="false" ht="15" hidden="false" customHeight="true" outlineLevel="0" collapsed="false">
      <c r="A4789" s="12"/>
      <c r="B4789" s="13"/>
      <c r="C4789" s="14"/>
      <c r="D4789" s="13"/>
      <c r="E4789" s="15"/>
      <c r="F4789" s="15"/>
      <c r="G4789" s="15"/>
      <c r="H4789" s="13"/>
      <c r="I4789" s="13"/>
      <c r="J4789" s="16"/>
      <c r="K4789" s="16"/>
      <c r="L4789" s="17" t="str">
        <f aca="false" t="array" ref="L4789:L4789">IFERROR(INDEX(AC4789:AE4789,IF(COUNTA(AC4789:AE4789)=0,"",MAX((AC4789:AE4789&lt;&gt;"")*(COLUMN(AC4789:AE4789)-(COLUMN(AC4789)-2))))-1),"")</f>
        <v/>
      </c>
      <c r="M4789" s="13"/>
      <c r="N4789" s="13"/>
      <c r="O4789" s="13"/>
      <c r="P4789" s="26"/>
      <c r="Q4789" s="20"/>
      <c r="R4789" s="13"/>
      <c r="S4789" s="25"/>
      <c r="T4789" s="13"/>
      <c r="U4789" s="13"/>
      <c r="V4789" s="13"/>
      <c r="W4789" s="13"/>
      <c r="X4789" s="21"/>
      <c r="Y4789" s="22"/>
      <c r="Z4789" s="23"/>
      <c r="AA4789" s="23"/>
      <c r="AB4789" s="15"/>
      <c r="AC4789" s="14"/>
      <c r="AD4789" s="18"/>
      <c r="AE4789" s="18"/>
    </row>
    <row r="4790" customFormat="false" ht="15" hidden="false" customHeight="true" outlineLevel="0" collapsed="false">
      <c r="A4790" s="12"/>
      <c r="B4790" s="13"/>
      <c r="C4790" s="14"/>
      <c r="D4790" s="13"/>
      <c r="E4790" s="15"/>
      <c r="F4790" s="15"/>
      <c r="G4790" s="15"/>
      <c r="H4790" s="13"/>
      <c r="I4790" s="13"/>
      <c r="J4790" s="16"/>
      <c r="K4790" s="16"/>
      <c r="L4790" s="17" t="str">
        <f aca="false" t="array" ref="L4790:L4790">IFERROR(INDEX(AC4790:AE4790,IF(COUNTA(AC4790:AE4790)=0,"",MAX((AC4790:AE4790&lt;&gt;"")*(COLUMN(AC4790:AE4790)-(COLUMN(AC4790)-2))))-1),"")</f>
        <v/>
      </c>
      <c r="M4790" s="13"/>
      <c r="N4790" s="13"/>
      <c r="O4790" s="13"/>
      <c r="P4790" s="26"/>
      <c r="Q4790" s="20"/>
      <c r="R4790" s="13"/>
      <c r="S4790" s="25"/>
      <c r="T4790" s="13"/>
      <c r="U4790" s="13"/>
      <c r="V4790" s="13"/>
      <c r="W4790" s="13"/>
      <c r="X4790" s="21"/>
      <c r="Y4790" s="22"/>
      <c r="Z4790" s="23"/>
      <c r="AA4790" s="23"/>
      <c r="AB4790" s="15"/>
      <c r="AC4790" s="14"/>
      <c r="AD4790" s="18"/>
      <c r="AE4790" s="18"/>
    </row>
    <row r="4791" customFormat="false" ht="15" hidden="false" customHeight="true" outlineLevel="0" collapsed="false">
      <c r="A4791" s="12"/>
      <c r="B4791" s="13"/>
      <c r="C4791" s="14"/>
      <c r="D4791" s="13"/>
      <c r="E4791" s="15"/>
      <c r="F4791" s="15"/>
      <c r="G4791" s="15"/>
      <c r="H4791" s="13"/>
      <c r="I4791" s="13"/>
      <c r="J4791" s="16"/>
      <c r="K4791" s="16"/>
      <c r="L4791" s="17" t="str">
        <f aca="false" t="array" ref="L4791:L4791">IFERROR(INDEX(AC4791:AE4791,IF(COUNTA(AC4791:AE4791)=0,"",MAX((AC4791:AE4791&lt;&gt;"")*(COLUMN(AC4791:AE4791)-(COLUMN(AC4791)-2))))-1),"")</f>
        <v/>
      </c>
      <c r="M4791" s="13"/>
      <c r="N4791" s="13"/>
      <c r="O4791" s="13"/>
      <c r="P4791" s="26"/>
      <c r="Q4791" s="20"/>
      <c r="R4791" s="13"/>
      <c r="S4791" s="25"/>
      <c r="T4791" s="13"/>
      <c r="U4791" s="13"/>
      <c r="V4791" s="13"/>
      <c r="W4791" s="13"/>
      <c r="X4791" s="21"/>
      <c r="Y4791" s="22"/>
      <c r="Z4791" s="23"/>
      <c r="AA4791" s="23"/>
      <c r="AB4791" s="15"/>
      <c r="AC4791" s="14"/>
      <c r="AD4791" s="18"/>
      <c r="AE4791" s="18"/>
    </row>
    <row r="4792" customFormat="false" ht="15" hidden="false" customHeight="true" outlineLevel="0" collapsed="false">
      <c r="A4792" s="12"/>
      <c r="B4792" s="13"/>
      <c r="C4792" s="14"/>
      <c r="D4792" s="13"/>
      <c r="E4792" s="15"/>
      <c r="F4792" s="15"/>
      <c r="G4792" s="15"/>
      <c r="H4792" s="13"/>
      <c r="I4792" s="13"/>
      <c r="J4792" s="16"/>
      <c r="K4792" s="16"/>
      <c r="L4792" s="17" t="str">
        <f aca="false" t="array" ref="L4792:L4792">IFERROR(INDEX(AC4792:AE4792,IF(COUNTA(AC4792:AE4792)=0,"",MAX((AC4792:AE4792&lt;&gt;"")*(COLUMN(AC4792:AE4792)-(COLUMN(AC4792)-2))))-1),"")</f>
        <v/>
      </c>
      <c r="M4792" s="13"/>
      <c r="N4792" s="13"/>
      <c r="O4792" s="13"/>
      <c r="P4792" s="26"/>
      <c r="Q4792" s="20"/>
      <c r="R4792" s="13"/>
      <c r="S4792" s="25"/>
      <c r="T4792" s="13"/>
      <c r="U4792" s="13"/>
      <c r="V4792" s="13"/>
      <c r="W4792" s="13"/>
      <c r="X4792" s="21"/>
      <c r="Y4792" s="22"/>
      <c r="Z4792" s="23"/>
      <c r="AA4792" s="23"/>
      <c r="AB4792" s="15"/>
      <c r="AC4792" s="14"/>
      <c r="AD4792" s="18"/>
      <c r="AE4792" s="18"/>
    </row>
    <row r="4793" customFormat="false" ht="15" hidden="false" customHeight="true" outlineLevel="0" collapsed="false">
      <c r="A4793" s="12"/>
      <c r="B4793" s="13"/>
      <c r="C4793" s="14"/>
      <c r="D4793" s="13"/>
      <c r="E4793" s="15"/>
      <c r="F4793" s="15"/>
      <c r="G4793" s="15"/>
      <c r="H4793" s="13"/>
      <c r="I4793" s="13"/>
      <c r="J4793" s="16"/>
      <c r="K4793" s="16"/>
      <c r="L4793" s="17" t="str">
        <f aca="false" t="array" ref="L4793:L4793">IFERROR(INDEX(AC4793:AE4793,IF(COUNTA(AC4793:AE4793)=0,"",MAX((AC4793:AE4793&lt;&gt;"")*(COLUMN(AC4793:AE4793)-(COLUMN(AC4793)-2))))-1),"")</f>
        <v/>
      </c>
      <c r="M4793" s="13"/>
      <c r="N4793" s="13"/>
      <c r="O4793" s="13"/>
      <c r="P4793" s="26"/>
      <c r="Q4793" s="20"/>
      <c r="R4793" s="13"/>
      <c r="S4793" s="25"/>
      <c r="T4793" s="13"/>
      <c r="U4793" s="13"/>
      <c r="V4793" s="13"/>
      <c r="W4793" s="13"/>
      <c r="X4793" s="21"/>
      <c r="Y4793" s="22"/>
      <c r="Z4793" s="23"/>
      <c r="AA4793" s="23"/>
      <c r="AB4793" s="15"/>
      <c r="AC4793" s="14"/>
      <c r="AD4793" s="18"/>
      <c r="AE4793" s="18"/>
    </row>
    <row r="4794" customFormat="false" ht="15" hidden="false" customHeight="true" outlineLevel="0" collapsed="false">
      <c r="A4794" s="12"/>
      <c r="B4794" s="13"/>
      <c r="C4794" s="14"/>
      <c r="D4794" s="13"/>
      <c r="E4794" s="15"/>
      <c r="F4794" s="15"/>
      <c r="G4794" s="15"/>
      <c r="H4794" s="13"/>
      <c r="I4794" s="13"/>
      <c r="J4794" s="16"/>
      <c r="K4794" s="16"/>
      <c r="L4794" s="17" t="str">
        <f aca="false" t="array" ref="L4794:L4794">IFERROR(INDEX(AC4794:AE4794,IF(COUNTA(AC4794:AE4794)=0,"",MAX((AC4794:AE4794&lt;&gt;"")*(COLUMN(AC4794:AE4794)-(COLUMN(AC4794)-2))))-1),"")</f>
        <v/>
      </c>
      <c r="M4794" s="13"/>
      <c r="N4794" s="13"/>
      <c r="O4794" s="13"/>
      <c r="P4794" s="26"/>
      <c r="Q4794" s="20"/>
      <c r="R4794" s="13"/>
      <c r="S4794" s="25"/>
      <c r="T4794" s="13"/>
      <c r="U4794" s="13"/>
      <c r="V4794" s="13"/>
      <c r="W4794" s="13"/>
      <c r="X4794" s="21"/>
      <c r="Y4794" s="22"/>
      <c r="Z4794" s="23"/>
      <c r="AA4794" s="23"/>
      <c r="AB4794" s="15"/>
      <c r="AC4794" s="14"/>
      <c r="AD4794" s="18"/>
      <c r="AE4794" s="18"/>
    </row>
    <row r="4795" customFormat="false" ht="15" hidden="false" customHeight="true" outlineLevel="0" collapsed="false">
      <c r="A4795" s="12"/>
      <c r="B4795" s="13"/>
      <c r="C4795" s="14"/>
      <c r="D4795" s="13"/>
      <c r="E4795" s="15"/>
      <c r="F4795" s="15"/>
      <c r="G4795" s="15"/>
      <c r="H4795" s="13"/>
      <c r="I4795" s="13"/>
      <c r="J4795" s="16"/>
      <c r="K4795" s="16"/>
      <c r="L4795" s="17" t="str">
        <f aca="false" t="array" ref="L4795:L4795">IFERROR(INDEX(AC4795:AE4795,IF(COUNTA(AC4795:AE4795)=0,"",MAX((AC4795:AE4795&lt;&gt;"")*(COLUMN(AC4795:AE4795)-(COLUMN(AC4795)-2))))-1),"")</f>
        <v/>
      </c>
      <c r="M4795" s="13"/>
      <c r="N4795" s="13"/>
      <c r="O4795" s="13"/>
      <c r="P4795" s="26"/>
      <c r="Q4795" s="20"/>
      <c r="R4795" s="13"/>
      <c r="S4795" s="25"/>
      <c r="T4795" s="13"/>
      <c r="U4795" s="13"/>
      <c r="V4795" s="13"/>
      <c r="W4795" s="13"/>
      <c r="X4795" s="21"/>
      <c r="Y4795" s="22"/>
      <c r="Z4795" s="23"/>
      <c r="AA4795" s="23"/>
      <c r="AB4795" s="15"/>
      <c r="AC4795" s="14"/>
      <c r="AD4795" s="18"/>
      <c r="AE4795" s="18"/>
    </row>
    <row r="4796" customFormat="false" ht="15" hidden="false" customHeight="true" outlineLevel="0" collapsed="false">
      <c r="A4796" s="12"/>
      <c r="B4796" s="13"/>
      <c r="C4796" s="14"/>
      <c r="D4796" s="13"/>
      <c r="E4796" s="15"/>
      <c r="F4796" s="15"/>
      <c r="G4796" s="15"/>
      <c r="H4796" s="13"/>
      <c r="I4796" s="13"/>
      <c r="J4796" s="16"/>
      <c r="K4796" s="16"/>
      <c r="L4796" s="17" t="str">
        <f aca="false" t="array" ref="L4796:L4796">IFERROR(INDEX(AC4796:AE4796,IF(COUNTA(AC4796:AE4796)=0,"",MAX((AC4796:AE4796&lt;&gt;"")*(COLUMN(AC4796:AE4796)-(COLUMN(AC4796)-2))))-1),"")</f>
        <v/>
      </c>
      <c r="M4796" s="13"/>
      <c r="N4796" s="13"/>
      <c r="O4796" s="13"/>
      <c r="P4796" s="26"/>
      <c r="Q4796" s="20"/>
      <c r="R4796" s="13"/>
      <c r="S4796" s="25"/>
      <c r="T4796" s="13"/>
      <c r="U4796" s="13"/>
      <c r="V4796" s="13"/>
      <c r="W4796" s="13"/>
      <c r="X4796" s="21"/>
      <c r="Y4796" s="22"/>
      <c r="Z4796" s="23"/>
      <c r="AA4796" s="23"/>
      <c r="AB4796" s="15"/>
      <c r="AC4796" s="14"/>
      <c r="AD4796" s="18"/>
      <c r="AE4796" s="18"/>
    </row>
    <row r="4797" customFormat="false" ht="15" hidden="false" customHeight="true" outlineLevel="0" collapsed="false">
      <c r="A4797" s="12"/>
      <c r="B4797" s="13"/>
      <c r="C4797" s="14"/>
      <c r="D4797" s="13"/>
      <c r="E4797" s="15"/>
      <c r="F4797" s="15"/>
      <c r="G4797" s="15"/>
      <c r="H4797" s="13"/>
      <c r="I4797" s="13"/>
      <c r="J4797" s="16"/>
      <c r="K4797" s="16"/>
      <c r="L4797" s="17" t="str">
        <f aca="false" t="array" ref="L4797:L4797">IFERROR(INDEX(AC4797:AE4797,IF(COUNTA(AC4797:AE4797)=0,"",MAX((AC4797:AE4797&lt;&gt;"")*(COLUMN(AC4797:AE4797)-(COLUMN(AC4797)-2))))-1),"")</f>
        <v/>
      </c>
      <c r="M4797" s="13"/>
      <c r="N4797" s="13"/>
      <c r="O4797" s="13"/>
      <c r="P4797" s="26"/>
      <c r="Q4797" s="20"/>
      <c r="R4797" s="13"/>
      <c r="S4797" s="25"/>
      <c r="T4797" s="13"/>
      <c r="U4797" s="13"/>
      <c r="V4797" s="13"/>
      <c r="W4797" s="13"/>
      <c r="X4797" s="21"/>
      <c r="Y4797" s="22"/>
      <c r="Z4797" s="23"/>
      <c r="AA4797" s="23"/>
      <c r="AB4797" s="15"/>
      <c r="AC4797" s="14"/>
      <c r="AD4797" s="18"/>
      <c r="AE4797" s="18"/>
    </row>
    <row r="4798" customFormat="false" ht="15" hidden="false" customHeight="true" outlineLevel="0" collapsed="false">
      <c r="A4798" s="12"/>
      <c r="B4798" s="13"/>
      <c r="C4798" s="14"/>
      <c r="D4798" s="13"/>
      <c r="E4798" s="15"/>
      <c r="F4798" s="15"/>
      <c r="G4798" s="15"/>
      <c r="H4798" s="13"/>
      <c r="I4798" s="13"/>
      <c r="J4798" s="16"/>
      <c r="K4798" s="16"/>
      <c r="L4798" s="17" t="str">
        <f aca="false" t="array" ref="L4798:L4798">IFERROR(INDEX(AC4798:AE4798,IF(COUNTA(AC4798:AE4798)=0,"",MAX((AC4798:AE4798&lt;&gt;"")*(COLUMN(AC4798:AE4798)-(COLUMN(AC4798)-2))))-1),"")</f>
        <v/>
      </c>
      <c r="M4798" s="13"/>
      <c r="N4798" s="13"/>
      <c r="O4798" s="13"/>
      <c r="P4798" s="26"/>
      <c r="Q4798" s="20"/>
      <c r="R4798" s="13"/>
      <c r="S4798" s="25"/>
      <c r="T4798" s="13"/>
      <c r="U4798" s="13"/>
      <c r="V4798" s="13"/>
      <c r="W4798" s="13"/>
      <c r="X4798" s="21"/>
      <c r="Y4798" s="22"/>
      <c r="Z4798" s="23"/>
      <c r="AA4798" s="23"/>
      <c r="AB4798" s="15"/>
      <c r="AC4798" s="14"/>
      <c r="AD4798" s="18"/>
      <c r="AE4798" s="18"/>
    </row>
    <row r="4799" customFormat="false" ht="15" hidden="false" customHeight="true" outlineLevel="0" collapsed="false">
      <c r="A4799" s="12"/>
      <c r="B4799" s="13"/>
      <c r="C4799" s="14"/>
      <c r="D4799" s="13"/>
      <c r="E4799" s="15"/>
      <c r="F4799" s="15"/>
      <c r="G4799" s="15"/>
      <c r="H4799" s="13"/>
      <c r="I4799" s="13"/>
      <c r="J4799" s="16"/>
      <c r="K4799" s="16"/>
      <c r="L4799" s="17" t="str">
        <f aca="false" t="array" ref="L4799:L4799">IFERROR(INDEX(AC4799:AE4799,IF(COUNTA(AC4799:AE4799)=0,"",MAX((AC4799:AE4799&lt;&gt;"")*(COLUMN(AC4799:AE4799)-(COLUMN(AC4799)-2))))-1),"")</f>
        <v/>
      </c>
      <c r="M4799" s="13"/>
      <c r="N4799" s="13"/>
      <c r="O4799" s="13"/>
      <c r="P4799" s="26"/>
      <c r="Q4799" s="20"/>
      <c r="R4799" s="13"/>
      <c r="S4799" s="25"/>
      <c r="T4799" s="13"/>
      <c r="U4799" s="13"/>
      <c r="V4799" s="13"/>
      <c r="W4799" s="13"/>
      <c r="X4799" s="21"/>
      <c r="Y4799" s="22"/>
      <c r="Z4799" s="23"/>
      <c r="AA4799" s="23"/>
      <c r="AB4799" s="15"/>
      <c r="AC4799" s="14"/>
      <c r="AD4799" s="18"/>
      <c r="AE4799" s="18"/>
    </row>
    <row r="4800" customFormat="false" ht="15" hidden="false" customHeight="true" outlineLevel="0" collapsed="false">
      <c r="A4800" s="12"/>
      <c r="B4800" s="13"/>
      <c r="C4800" s="14"/>
      <c r="D4800" s="13"/>
      <c r="E4800" s="15"/>
      <c r="F4800" s="15"/>
      <c r="G4800" s="15"/>
      <c r="H4800" s="13"/>
      <c r="I4800" s="13"/>
      <c r="J4800" s="16"/>
      <c r="K4800" s="16"/>
      <c r="L4800" s="17" t="str">
        <f aca="false" t="array" ref="L4800:L4800">IFERROR(INDEX(AC4800:AE4800,IF(COUNTA(AC4800:AE4800)=0,"",MAX((AC4800:AE4800&lt;&gt;"")*(COLUMN(AC4800:AE4800)-(COLUMN(AC4800)-2))))-1),"")</f>
        <v/>
      </c>
      <c r="M4800" s="13"/>
      <c r="N4800" s="13"/>
      <c r="O4800" s="13"/>
      <c r="P4800" s="26"/>
      <c r="Q4800" s="20"/>
      <c r="R4800" s="13"/>
      <c r="S4800" s="25"/>
      <c r="T4800" s="13"/>
      <c r="U4800" s="13"/>
      <c r="V4800" s="13"/>
      <c r="W4800" s="13"/>
      <c r="X4800" s="21"/>
      <c r="Y4800" s="22"/>
      <c r="Z4800" s="23"/>
      <c r="AA4800" s="23"/>
      <c r="AB4800" s="15"/>
      <c r="AC4800" s="14"/>
      <c r="AD4800" s="18"/>
      <c r="AE4800" s="18"/>
    </row>
    <row r="4801" customFormat="false" ht="15" hidden="false" customHeight="true" outlineLevel="0" collapsed="false">
      <c r="A4801" s="12"/>
      <c r="B4801" s="13"/>
      <c r="C4801" s="14"/>
      <c r="D4801" s="13"/>
      <c r="E4801" s="15"/>
      <c r="F4801" s="15"/>
      <c r="G4801" s="15"/>
      <c r="H4801" s="13"/>
      <c r="I4801" s="13"/>
      <c r="J4801" s="16"/>
      <c r="K4801" s="16"/>
      <c r="L4801" s="17" t="str">
        <f aca="false" t="array" ref="L4801:L4801">IFERROR(INDEX(AC4801:AE4801,IF(COUNTA(AC4801:AE4801)=0,"",MAX((AC4801:AE4801&lt;&gt;"")*(COLUMN(AC4801:AE4801)-(COLUMN(AC4801)-2))))-1),"")</f>
        <v/>
      </c>
      <c r="M4801" s="13"/>
      <c r="N4801" s="13"/>
      <c r="O4801" s="13"/>
      <c r="P4801" s="26"/>
      <c r="Q4801" s="20"/>
      <c r="R4801" s="13"/>
      <c r="S4801" s="25"/>
      <c r="T4801" s="13"/>
      <c r="U4801" s="13"/>
      <c r="V4801" s="13"/>
      <c r="W4801" s="13"/>
      <c r="X4801" s="21"/>
      <c r="Y4801" s="22"/>
      <c r="Z4801" s="23"/>
      <c r="AA4801" s="23"/>
      <c r="AB4801" s="15"/>
      <c r="AC4801" s="14"/>
      <c r="AD4801" s="18"/>
      <c r="AE4801" s="18"/>
    </row>
    <row r="4802" customFormat="false" ht="15" hidden="false" customHeight="true" outlineLevel="0" collapsed="false">
      <c r="A4802" s="12"/>
      <c r="B4802" s="13"/>
      <c r="C4802" s="14"/>
      <c r="D4802" s="13"/>
      <c r="E4802" s="15"/>
      <c r="F4802" s="15"/>
      <c r="G4802" s="15"/>
      <c r="H4802" s="13"/>
      <c r="I4802" s="13"/>
      <c r="J4802" s="16"/>
      <c r="K4802" s="16"/>
      <c r="L4802" s="17" t="str">
        <f aca="false" t="array" ref="L4802:L4802">IFERROR(INDEX(AC4802:AE4802,IF(COUNTA(AC4802:AE4802)=0,"",MAX((AC4802:AE4802&lt;&gt;"")*(COLUMN(AC4802:AE4802)-(COLUMN(AC4802)-2))))-1),"")</f>
        <v/>
      </c>
      <c r="M4802" s="13"/>
      <c r="N4802" s="13"/>
      <c r="O4802" s="13"/>
      <c r="P4802" s="26"/>
      <c r="Q4802" s="20"/>
      <c r="R4802" s="13"/>
      <c r="S4802" s="25"/>
      <c r="T4802" s="13"/>
      <c r="U4802" s="13"/>
      <c r="V4802" s="13"/>
      <c r="W4802" s="13"/>
      <c r="X4802" s="21"/>
      <c r="Y4802" s="22"/>
      <c r="Z4802" s="23"/>
      <c r="AA4802" s="23"/>
      <c r="AB4802" s="15"/>
      <c r="AC4802" s="14"/>
      <c r="AD4802" s="18"/>
      <c r="AE4802" s="18"/>
    </row>
    <row r="4803" customFormat="false" ht="15" hidden="false" customHeight="true" outlineLevel="0" collapsed="false">
      <c r="A4803" s="12"/>
      <c r="B4803" s="13"/>
      <c r="C4803" s="14"/>
      <c r="D4803" s="13"/>
      <c r="E4803" s="15"/>
      <c r="F4803" s="15"/>
      <c r="G4803" s="15"/>
      <c r="H4803" s="13"/>
      <c r="I4803" s="13"/>
      <c r="J4803" s="16"/>
      <c r="K4803" s="16"/>
      <c r="L4803" s="17" t="str">
        <f aca="false" t="array" ref="L4803:L4803">IFERROR(INDEX(AC4803:AE4803,IF(COUNTA(AC4803:AE4803)=0,"",MAX((AC4803:AE4803&lt;&gt;"")*(COLUMN(AC4803:AE4803)-(COLUMN(AC4803)-2))))-1),"")</f>
        <v/>
      </c>
      <c r="M4803" s="13"/>
      <c r="N4803" s="13"/>
      <c r="O4803" s="13"/>
      <c r="P4803" s="26"/>
      <c r="Q4803" s="20"/>
      <c r="R4803" s="13"/>
      <c r="S4803" s="25"/>
      <c r="T4803" s="13"/>
      <c r="U4803" s="13"/>
      <c r="V4803" s="13"/>
      <c r="W4803" s="13"/>
      <c r="X4803" s="21"/>
      <c r="Y4803" s="22"/>
      <c r="Z4803" s="23"/>
      <c r="AA4803" s="23"/>
      <c r="AB4803" s="15"/>
      <c r="AC4803" s="14"/>
      <c r="AD4803" s="18"/>
      <c r="AE4803" s="18"/>
    </row>
    <row r="4804" customFormat="false" ht="15" hidden="false" customHeight="true" outlineLevel="0" collapsed="false">
      <c r="A4804" s="12"/>
      <c r="B4804" s="13"/>
      <c r="C4804" s="14"/>
      <c r="D4804" s="13"/>
      <c r="E4804" s="15"/>
      <c r="F4804" s="15"/>
      <c r="G4804" s="15"/>
      <c r="H4804" s="13"/>
      <c r="I4804" s="13"/>
      <c r="J4804" s="16"/>
      <c r="K4804" s="16"/>
      <c r="L4804" s="17" t="str">
        <f aca="false" t="array" ref="L4804:L4804">IFERROR(INDEX(AC4804:AE4804,IF(COUNTA(AC4804:AE4804)=0,"",MAX((AC4804:AE4804&lt;&gt;"")*(COLUMN(AC4804:AE4804)-(COLUMN(AC4804)-2))))-1),"")</f>
        <v/>
      </c>
      <c r="M4804" s="13"/>
      <c r="N4804" s="13"/>
      <c r="O4804" s="13"/>
      <c r="P4804" s="26"/>
      <c r="Q4804" s="20"/>
      <c r="R4804" s="13"/>
      <c r="S4804" s="25"/>
      <c r="T4804" s="13"/>
      <c r="U4804" s="13"/>
      <c r="V4804" s="13"/>
      <c r="W4804" s="13"/>
      <c r="X4804" s="21"/>
      <c r="Y4804" s="22"/>
      <c r="Z4804" s="23"/>
      <c r="AA4804" s="23"/>
      <c r="AB4804" s="15"/>
      <c r="AC4804" s="14"/>
      <c r="AD4804" s="18"/>
      <c r="AE4804" s="18"/>
    </row>
    <row r="4805" customFormat="false" ht="15" hidden="false" customHeight="true" outlineLevel="0" collapsed="false">
      <c r="A4805" s="12"/>
      <c r="B4805" s="13"/>
      <c r="C4805" s="14"/>
      <c r="D4805" s="13"/>
      <c r="E4805" s="15"/>
      <c r="F4805" s="15"/>
      <c r="G4805" s="15"/>
      <c r="H4805" s="13"/>
      <c r="I4805" s="13"/>
      <c r="J4805" s="16"/>
      <c r="K4805" s="16"/>
      <c r="L4805" s="17" t="str">
        <f aca="false" t="array" ref="L4805:L4805">IFERROR(INDEX(AC4805:AE4805,IF(COUNTA(AC4805:AE4805)=0,"",MAX((AC4805:AE4805&lt;&gt;"")*(COLUMN(AC4805:AE4805)-(COLUMN(AC4805)-2))))-1),"")</f>
        <v/>
      </c>
      <c r="M4805" s="13"/>
      <c r="N4805" s="13"/>
      <c r="O4805" s="13"/>
      <c r="P4805" s="26"/>
      <c r="Q4805" s="20"/>
      <c r="R4805" s="13"/>
      <c r="S4805" s="25"/>
      <c r="T4805" s="13"/>
      <c r="U4805" s="13"/>
      <c r="V4805" s="13"/>
      <c r="W4805" s="13"/>
      <c r="X4805" s="21"/>
      <c r="Y4805" s="22"/>
      <c r="Z4805" s="23"/>
      <c r="AA4805" s="23"/>
      <c r="AB4805" s="15"/>
      <c r="AC4805" s="14"/>
      <c r="AD4805" s="18"/>
      <c r="AE4805" s="18"/>
    </row>
    <row r="4806" customFormat="false" ht="15" hidden="false" customHeight="true" outlineLevel="0" collapsed="false">
      <c r="A4806" s="12"/>
      <c r="B4806" s="13"/>
      <c r="C4806" s="14"/>
      <c r="D4806" s="13"/>
      <c r="E4806" s="15"/>
      <c r="F4806" s="15"/>
      <c r="G4806" s="15"/>
      <c r="H4806" s="13"/>
      <c r="I4806" s="13"/>
      <c r="J4806" s="16"/>
      <c r="K4806" s="16"/>
      <c r="L4806" s="17" t="str">
        <f aca="false" t="array" ref="L4806:L4806">IFERROR(INDEX(AC4806:AE4806,IF(COUNTA(AC4806:AE4806)=0,"",MAX((AC4806:AE4806&lt;&gt;"")*(COLUMN(AC4806:AE4806)-(COLUMN(AC4806)-2))))-1),"")</f>
        <v/>
      </c>
      <c r="M4806" s="13"/>
      <c r="N4806" s="13"/>
      <c r="O4806" s="13"/>
      <c r="P4806" s="26"/>
      <c r="Q4806" s="20"/>
      <c r="R4806" s="13"/>
      <c r="S4806" s="25"/>
      <c r="T4806" s="13"/>
      <c r="U4806" s="13"/>
      <c r="V4806" s="13"/>
      <c r="W4806" s="13"/>
      <c r="X4806" s="21"/>
      <c r="Y4806" s="22"/>
      <c r="Z4806" s="23"/>
      <c r="AA4806" s="23"/>
      <c r="AB4806" s="15"/>
      <c r="AC4806" s="14"/>
      <c r="AD4806" s="18"/>
      <c r="AE4806" s="18"/>
    </row>
    <row r="4807" customFormat="false" ht="15" hidden="false" customHeight="true" outlineLevel="0" collapsed="false">
      <c r="A4807" s="12"/>
      <c r="B4807" s="13"/>
      <c r="C4807" s="14"/>
      <c r="D4807" s="13"/>
      <c r="E4807" s="15"/>
      <c r="F4807" s="15"/>
      <c r="G4807" s="15"/>
      <c r="H4807" s="13"/>
      <c r="I4807" s="13"/>
      <c r="J4807" s="16"/>
      <c r="K4807" s="16"/>
      <c r="L4807" s="17" t="str">
        <f aca="false" t="array" ref="L4807:L4807">IFERROR(INDEX(AC4807:AE4807,IF(COUNTA(AC4807:AE4807)=0,"",MAX((AC4807:AE4807&lt;&gt;"")*(COLUMN(AC4807:AE4807)-(COLUMN(AC4807)-2))))-1),"")</f>
        <v/>
      </c>
      <c r="M4807" s="13"/>
      <c r="N4807" s="13"/>
      <c r="O4807" s="13"/>
      <c r="P4807" s="26"/>
      <c r="Q4807" s="20"/>
      <c r="R4807" s="13"/>
      <c r="S4807" s="25"/>
      <c r="T4807" s="13"/>
      <c r="U4807" s="13"/>
      <c r="V4807" s="13"/>
      <c r="W4807" s="13"/>
      <c r="X4807" s="21"/>
      <c r="Y4807" s="22"/>
      <c r="Z4807" s="23"/>
      <c r="AA4807" s="23"/>
      <c r="AB4807" s="15"/>
      <c r="AC4807" s="14"/>
      <c r="AD4807" s="18"/>
      <c r="AE4807" s="18"/>
    </row>
    <row r="4808" customFormat="false" ht="15" hidden="false" customHeight="true" outlineLevel="0" collapsed="false">
      <c r="A4808" s="12"/>
      <c r="B4808" s="13"/>
      <c r="C4808" s="14"/>
      <c r="D4808" s="13"/>
      <c r="E4808" s="15"/>
      <c r="F4808" s="15"/>
      <c r="G4808" s="15"/>
      <c r="H4808" s="13"/>
      <c r="I4808" s="13"/>
      <c r="J4808" s="16"/>
      <c r="K4808" s="16"/>
      <c r="L4808" s="17" t="str">
        <f aca="false" t="array" ref="L4808:L4808">IFERROR(INDEX(AC4808:AE4808,IF(COUNTA(AC4808:AE4808)=0,"",MAX((AC4808:AE4808&lt;&gt;"")*(COLUMN(AC4808:AE4808)-(COLUMN(AC4808)-2))))-1),"")</f>
        <v/>
      </c>
      <c r="M4808" s="13"/>
      <c r="N4808" s="13"/>
      <c r="O4808" s="13"/>
      <c r="P4808" s="26"/>
      <c r="Q4808" s="20"/>
      <c r="R4808" s="13"/>
      <c r="S4808" s="25"/>
      <c r="T4808" s="13"/>
      <c r="U4808" s="13"/>
      <c r="V4808" s="13"/>
      <c r="W4808" s="13"/>
      <c r="X4808" s="21"/>
      <c r="Y4808" s="22"/>
      <c r="Z4808" s="23"/>
      <c r="AA4808" s="23"/>
      <c r="AB4808" s="15"/>
      <c r="AC4808" s="14"/>
      <c r="AD4808" s="18"/>
      <c r="AE4808" s="18"/>
    </row>
    <row r="4809" customFormat="false" ht="15" hidden="false" customHeight="true" outlineLevel="0" collapsed="false">
      <c r="A4809" s="12"/>
      <c r="B4809" s="13"/>
      <c r="C4809" s="14"/>
      <c r="D4809" s="13"/>
      <c r="E4809" s="15"/>
      <c r="F4809" s="15"/>
      <c r="G4809" s="15"/>
      <c r="H4809" s="13"/>
      <c r="I4809" s="13"/>
      <c r="J4809" s="16"/>
      <c r="K4809" s="16"/>
      <c r="L4809" s="17" t="str">
        <f aca="false" t="array" ref="L4809:L4809">IFERROR(INDEX(AC4809:AE4809,IF(COUNTA(AC4809:AE4809)=0,"",MAX((AC4809:AE4809&lt;&gt;"")*(COLUMN(AC4809:AE4809)-(COLUMN(AC4809)-2))))-1),"")</f>
        <v/>
      </c>
      <c r="M4809" s="13"/>
      <c r="N4809" s="13"/>
      <c r="O4809" s="13"/>
      <c r="P4809" s="26"/>
      <c r="Q4809" s="20"/>
      <c r="R4809" s="13"/>
      <c r="S4809" s="25"/>
      <c r="T4809" s="13"/>
      <c r="U4809" s="13"/>
      <c r="V4809" s="13"/>
      <c r="W4809" s="13"/>
      <c r="X4809" s="21"/>
      <c r="Y4809" s="22"/>
      <c r="Z4809" s="23"/>
      <c r="AA4809" s="23"/>
      <c r="AB4809" s="15"/>
      <c r="AC4809" s="14"/>
      <c r="AD4809" s="18"/>
      <c r="AE4809" s="18"/>
    </row>
    <row r="4810" customFormat="false" ht="15" hidden="false" customHeight="true" outlineLevel="0" collapsed="false">
      <c r="A4810" s="12"/>
      <c r="B4810" s="13"/>
      <c r="C4810" s="14"/>
      <c r="D4810" s="13"/>
      <c r="E4810" s="15"/>
      <c r="F4810" s="15"/>
      <c r="G4810" s="15"/>
      <c r="H4810" s="13"/>
      <c r="I4810" s="13"/>
      <c r="J4810" s="16"/>
      <c r="K4810" s="16"/>
      <c r="L4810" s="17" t="str">
        <f aca="false" t="array" ref="L4810:L4810">IFERROR(INDEX(AC4810:AE4810,IF(COUNTA(AC4810:AE4810)=0,"",MAX((AC4810:AE4810&lt;&gt;"")*(COLUMN(AC4810:AE4810)-(COLUMN(AC4810)-2))))-1),"")</f>
        <v/>
      </c>
      <c r="M4810" s="13"/>
      <c r="N4810" s="13"/>
      <c r="O4810" s="13"/>
      <c r="P4810" s="26"/>
      <c r="Q4810" s="20"/>
      <c r="R4810" s="13"/>
      <c r="S4810" s="25"/>
      <c r="T4810" s="13"/>
      <c r="U4810" s="13"/>
      <c r="V4810" s="13"/>
      <c r="W4810" s="13"/>
      <c r="X4810" s="21"/>
      <c r="Y4810" s="22"/>
      <c r="Z4810" s="23"/>
      <c r="AA4810" s="23"/>
      <c r="AB4810" s="15"/>
      <c r="AC4810" s="14"/>
      <c r="AD4810" s="18"/>
      <c r="AE4810" s="18"/>
    </row>
    <row r="4811" customFormat="false" ht="15" hidden="false" customHeight="true" outlineLevel="0" collapsed="false">
      <c r="A4811" s="12"/>
      <c r="B4811" s="13"/>
      <c r="C4811" s="14"/>
      <c r="D4811" s="13"/>
      <c r="E4811" s="15"/>
      <c r="F4811" s="15"/>
      <c r="G4811" s="15"/>
      <c r="H4811" s="13"/>
      <c r="I4811" s="13"/>
      <c r="J4811" s="16"/>
      <c r="K4811" s="16"/>
      <c r="L4811" s="17" t="str">
        <f aca="false" t="array" ref="L4811:L4811">IFERROR(INDEX(AC4811:AE4811,IF(COUNTA(AC4811:AE4811)=0,"",MAX((AC4811:AE4811&lt;&gt;"")*(COLUMN(AC4811:AE4811)-(COLUMN(AC4811)-2))))-1),"")</f>
        <v/>
      </c>
      <c r="M4811" s="13"/>
      <c r="N4811" s="13"/>
      <c r="O4811" s="13"/>
      <c r="P4811" s="26"/>
      <c r="Q4811" s="20"/>
      <c r="R4811" s="13"/>
      <c r="S4811" s="25"/>
      <c r="T4811" s="13"/>
      <c r="U4811" s="13"/>
      <c r="V4811" s="13"/>
      <c r="W4811" s="13"/>
      <c r="X4811" s="21"/>
      <c r="Y4811" s="22"/>
      <c r="Z4811" s="23"/>
      <c r="AA4811" s="23"/>
      <c r="AB4811" s="15"/>
      <c r="AC4811" s="14"/>
      <c r="AD4811" s="18"/>
      <c r="AE4811" s="18"/>
    </row>
    <row r="4812" customFormat="false" ht="15" hidden="false" customHeight="true" outlineLevel="0" collapsed="false">
      <c r="A4812" s="12"/>
      <c r="B4812" s="13"/>
      <c r="C4812" s="14"/>
      <c r="D4812" s="13"/>
      <c r="E4812" s="15"/>
      <c r="F4812" s="15"/>
      <c r="G4812" s="15"/>
      <c r="H4812" s="13"/>
      <c r="I4812" s="13"/>
      <c r="J4812" s="16"/>
      <c r="K4812" s="16"/>
      <c r="L4812" s="17" t="str">
        <f aca="false" t="array" ref="L4812:L4812">IFERROR(INDEX(AC4812:AE4812,IF(COUNTA(AC4812:AE4812)=0,"",MAX((AC4812:AE4812&lt;&gt;"")*(COLUMN(AC4812:AE4812)-(COLUMN(AC4812)-2))))-1),"")</f>
        <v/>
      </c>
      <c r="M4812" s="13"/>
      <c r="N4812" s="13"/>
      <c r="O4812" s="13"/>
      <c r="P4812" s="26"/>
      <c r="Q4812" s="20"/>
      <c r="R4812" s="13"/>
      <c r="S4812" s="25"/>
      <c r="T4812" s="13"/>
      <c r="U4812" s="13"/>
      <c r="V4812" s="13"/>
      <c r="W4812" s="13"/>
      <c r="X4812" s="21"/>
      <c r="Y4812" s="22"/>
      <c r="Z4812" s="23"/>
      <c r="AA4812" s="23"/>
      <c r="AB4812" s="15"/>
      <c r="AC4812" s="14"/>
      <c r="AD4812" s="18"/>
      <c r="AE4812" s="18"/>
    </row>
    <row r="4813" customFormat="false" ht="15" hidden="false" customHeight="true" outlineLevel="0" collapsed="false">
      <c r="A4813" s="12"/>
      <c r="B4813" s="13"/>
      <c r="C4813" s="14"/>
      <c r="D4813" s="13"/>
      <c r="E4813" s="15"/>
      <c r="F4813" s="15"/>
      <c r="G4813" s="15"/>
      <c r="H4813" s="13"/>
      <c r="I4813" s="13"/>
      <c r="J4813" s="16"/>
      <c r="K4813" s="16"/>
      <c r="L4813" s="17" t="str">
        <f aca="false" t="array" ref="L4813:L4813">IFERROR(INDEX(AC4813:AE4813,IF(COUNTA(AC4813:AE4813)=0,"",MAX((AC4813:AE4813&lt;&gt;"")*(COLUMN(AC4813:AE4813)-(COLUMN(AC4813)-2))))-1),"")</f>
        <v/>
      </c>
      <c r="M4813" s="13"/>
      <c r="N4813" s="13"/>
      <c r="O4813" s="13"/>
      <c r="P4813" s="26"/>
      <c r="Q4813" s="20"/>
      <c r="R4813" s="13"/>
      <c r="S4813" s="25"/>
      <c r="T4813" s="13"/>
      <c r="U4813" s="13"/>
      <c r="V4813" s="13"/>
      <c r="W4813" s="13"/>
      <c r="X4813" s="21"/>
      <c r="Y4813" s="22"/>
      <c r="Z4813" s="23"/>
      <c r="AA4813" s="23"/>
      <c r="AB4813" s="15"/>
      <c r="AC4813" s="14"/>
      <c r="AD4813" s="18"/>
      <c r="AE4813" s="18"/>
    </row>
    <row r="4814" customFormat="false" ht="15" hidden="false" customHeight="true" outlineLevel="0" collapsed="false">
      <c r="A4814" s="12"/>
      <c r="B4814" s="13"/>
      <c r="C4814" s="14"/>
      <c r="D4814" s="13"/>
      <c r="E4814" s="15"/>
      <c r="F4814" s="15"/>
      <c r="G4814" s="15"/>
      <c r="H4814" s="13"/>
      <c r="I4814" s="13"/>
      <c r="J4814" s="16"/>
      <c r="K4814" s="16"/>
      <c r="L4814" s="17" t="str">
        <f aca="false" t="array" ref="L4814:L4814">IFERROR(INDEX(AC4814:AE4814,IF(COUNTA(AC4814:AE4814)=0,"",MAX((AC4814:AE4814&lt;&gt;"")*(COLUMN(AC4814:AE4814)-(COLUMN(AC4814)-2))))-1),"")</f>
        <v/>
      </c>
      <c r="M4814" s="13"/>
      <c r="N4814" s="13"/>
      <c r="O4814" s="13"/>
      <c r="P4814" s="26"/>
      <c r="Q4814" s="20"/>
      <c r="R4814" s="13"/>
      <c r="S4814" s="25"/>
      <c r="T4814" s="13"/>
      <c r="U4814" s="13"/>
      <c r="V4814" s="13"/>
      <c r="W4814" s="13"/>
      <c r="X4814" s="21"/>
      <c r="Y4814" s="22"/>
      <c r="Z4814" s="23"/>
      <c r="AA4814" s="23"/>
      <c r="AB4814" s="15"/>
      <c r="AC4814" s="14"/>
      <c r="AD4814" s="18"/>
      <c r="AE4814" s="18"/>
    </row>
    <row r="4815" customFormat="false" ht="15" hidden="false" customHeight="true" outlineLevel="0" collapsed="false">
      <c r="A4815" s="12"/>
      <c r="B4815" s="13"/>
      <c r="C4815" s="14"/>
      <c r="D4815" s="13"/>
      <c r="E4815" s="15"/>
      <c r="F4815" s="15"/>
      <c r="G4815" s="15"/>
      <c r="H4815" s="13"/>
      <c r="I4815" s="13"/>
      <c r="J4815" s="16"/>
      <c r="K4815" s="16"/>
      <c r="L4815" s="17" t="str">
        <f aca="false" t="array" ref="L4815:L4815">IFERROR(INDEX(AC4815:AE4815,IF(COUNTA(AC4815:AE4815)=0,"",MAX((AC4815:AE4815&lt;&gt;"")*(COLUMN(AC4815:AE4815)-(COLUMN(AC4815)-2))))-1),"")</f>
        <v/>
      </c>
      <c r="M4815" s="13"/>
      <c r="N4815" s="13"/>
      <c r="O4815" s="13"/>
      <c r="P4815" s="26"/>
      <c r="Q4815" s="20"/>
      <c r="R4815" s="13"/>
      <c r="S4815" s="25"/>
      <c r="T4815" s="13"/>
      <c r="U4815" s="13"/>
      <c r="V4815" s="13"/>
      <c r="W4815" s="13"/>
      <c r="X4815" s="21"/>
      <c r="Y4815" s="22"/>
      <c r="Z4815" s="23"/>
      <c r="AA4815" s="23"/>
      <c r="AB4815" s="15"/>
      <c r="AC4815" s="14"/>
      <c r="AD4815" s="18"/>
      <c r="AE4815" s="18"/>
    </row>
    <row r="4816" customFormat="false" ht="15" hidden="false" customHeight="true" outlineLevel="0" collapsed="false">
      <c r="A4816" s="12"/>
      <c r="B4816" s="13"/>
      <c r="C4816" s="14"/>
      <c r="D4816" s="13"/>
      <c r="E4816" s="15"/>
      <c r="F4816" s="15"/>
      <c r="G4816" s="15"/>
      <c r="H4816" s="13"/>
      <c r="I4816" s="13"/>
      <c r="J4816" s="16"/>
      <c r="K4816" s="16"/>
      <c r="L4816" s="17" t="str">
        <f aca="false" t="array" ref="L4816:L4816">IFERROR(INDEX(AC4816:AE4816,IF(COUNTA(AC4816:AE4816)=0,"",MAX((AC4816:AE4816&lt;&gt;"")*(COLUMN(AC4816:AE4816)-(COLUMN(AC4816)-2))))-1),"")</f>
        <v/>
      </c>
      <c r="M4816" s="13"/>
      <c r="N4816" s="13"/>
      <c r="O4816" s="13"/>
      <c r="P4816" s="26"/>
      <c r="Q4816" s="20"/>
      <c r="R4816" s="13"/>
      <c r="S4816" s="25"/>
      <c r="T4816" s="13"/>
      <c r="U4816" s="13"/>
      <c r="V4816" s="13"/>
      <c r="W4816" s="13"/>
      <c r="X4816" s="21"/>
      <c r="Y4816" s="22"/>
      <c r="Z4816" s="23"/>
      <c r="AA4816" s="23"/>
      <c r="AB4816" s="15"/>
      <c r="AC4816" s="14"/>
      <c r="AD4816" s="18"/>
      <c r="AE4816" s="18"/>
    </row>
    <row r="4817" customFormat="false" ht="15" hidden="false" customHeight="true" outlineLevel="0" collapsed="false">
      <c r="A4817" s="12"/>
      <c r="B4817" s="13"/>
      <c r="C4817" s="14"/>
      <c r="D4817" s="13"/>
      <c r="E4817" s="15"/>
      <c r="F4817" s="15"/>
      <c r="G4817" s="15"/>
      <c r="H4817" s="13"/>
      <c r="I4817" s="13"/>
      <c r="J4817" s="16"/>
      <c r="K4817" s="16"/>
      <c r="L4817" s="17" t="str">
        <f aca="false" t="array" ref="L4817:L4817">IFERROR(INDEX(AC4817:AE4817,IF(COUNTA(AC4817:AE4817)=0,"",MAX((AC4817:AE4817&lt;&gt;"")*(COLUMN(AC4817:AE4817)-(COLUMN(AC4817)-2))))-1),"")</f>
        <v/>
      </c>
      <c r="M4817" s="13"/>
      <c r="N4817" s="13"/>
      <c r="O4817" s="13"/>
      <c r="P4817" s="26"/>
      <c r="Q4817" s="20"/>
      <c r="R4817" s="13"/>
      <c r="S4817" s="25"/>
      <c r="T4817" s="13"/>
      <c r="U4817" s="13"/>
      <c r="V4817" s="13"/>
      <c r="W4817" s="13"/>
      <c r="X4817" s="21"/>
      <c r="Y4817" s="22"/>
      <c r="Z4817" s="23"/>
      <c r="AA4817" s="23"/>
      <c r="AB4817" s="15"/>
      <c r="AC4817" s="14"/>
      <c r="AD4817" s="18"/>
      <c r="AE4817" s="18"/>
    </row>
    <row r="4818" customFormat="false" ht="15" hidden="false" customHeight="true" outlineLevel="0" collapsed="false">
      <c r="A4818" s="12"/>
      <c r="B4818" s="13"/>
      <c r="C4818" s="14"/>
      <c r="D4818" s="13"/>
      <c r="E4818" s="15"/>
      <c r="F4818" s="15"/>
      <c r="G4818" s="15"/>
      <c r="H4818" s="13"/>
      <c r="I4818" s="13"/>
      <c r="J4818" s="16"/>
      <c r="K4818" s="16"/>
      <c r="L4818" s="17" t="str">
        <f aca="false" t="array" ref="L4818:L4818">IFERROR(INDEX(AC4818:AE4818,IF(COUNTA(AC4818:AE4818)=0,"",MAX((AC4818:AE4818&lt;&gt;"")*(COLUMN(AC4818:AE4818)-(COLUMN(AC4818)-2))))-1),"")</f>
        <v/>
      </c>
      <c r="M4818" s="13"/>
      <c r="N4818" s="13"/>
      <c r="O4818" s="13"/>
      <c r="P4818" s="26"/>
      <c r="Q4818" s="20"/>
      <c r="R4818" s="13"/>
      <c r="S4818" s="25"/>
      <c r="T4818" s="13"/>
      <c r="U4818" s="13"/>
      <c r="V4818" s="13"/>
      <c r="W4818" s="13"/>
      <c r="X4818" s="21"/>
      <c r="Y4818" s="22"/>
      <c r="Z4818" s="23"/>
      <c r="AA4818" s="23"/>
      <c r="AB4818" s="15"/>
      <c r="AC4818" s="14"/>
      <c r="AD4818" s="18"/>
      <c r="AE4818" s="18"/>
    </row>
    <row r="4819" customFormat="false" ht="15" hidden="false" customHeight="true" outlineLevel="0" collapsed="false">
      <c r="A4819" s="12"/>
      <c r="B4819" s="13"/>
      <c r="C4819" s="14"/>
      <c r="D4819" s="13"/>
      <c r="E4819" s="15"/>
      <c r="F4819" s="15"/>
      <c r="G4819" s="15"/>
      <c r="H4819" s="13"/>
      <c r="I4819" s="13"/>
      <c r="J4819" s="16"/>
      <c r="K4819" s="16"/>
      <c r="L4819" s="17" t="str">
        <f aca="false" t="array" ref="L4819:L4819">IFERROR(INDEX(AC4819:AE4819,IF(COUNTA(AC4819:AE4819)=0,"",MAX((AC4819:AE4819&lt;&gt;"")*(COLUMN(AC4819:AE4819)-(COLUMN(AC4819)-2))))-1),"")</f>
        <v/>
      </c>
      <c r="M4819" s="13"/>
      <c r="N4819" s="13"/>
      <c r="O4819" s="13"/>
      <c r="P4819" s="26"/>
      <c r="Q4819" s="20"/>
      <c r="R4819" s="13"/>
      <c r="S4819" s="25"/>
      <c r="T4819" s="13"/>
      <c r="U4819" s="13"/>
      <c r="V4819" s="13"/>
      <c r="W4819" s="13"/>
      <c r="X4819" s="21"/>
      <c r="Y4819" s="22"/>
      <c r="Z4819" s="23"/>
      <c r="AA4819" s="23"/>
      <c r="AB4819" s="15"/>
      <c r="AC4819" s="14"/>
      <c r="AD4819" s="18"/>
      <c r="AE4819" s="18"/>
    </row>
    <row r="4820" customFormat="false" ht="15" hidden="false" customHeight="true" outlineLevel="0" collapsed="false">
      <c r="A4820" s="12"/>
      <c r="B4820" s="13"/>
      <c r="C4820" s="14"/>
      <c r="D4820" s="13"/>
      <c r="E4820" s="15"/>
      <c r="F4820" s="15"/>
      <c r="G4820" s="15"/>
      <c r="H4820" s="13"/>
      <c r="I4820" s="13"/>
      <c r="J4820" s="16"/>
      <c r="K4820" s="16"/>
      <c r="L4820" s="17" t="str">
        <f aca="false" t="array" ref="L4820:L4820">IFERROR(INDEX(AC4820:AE4820,IF(COUNTA(AC4820:AE4820)=0,"",MAX((AC4820:AE4820&lt;&gt;"")*(COLUMN(AC4820:AE4820)-(COLUMN(AC4820)-2))))-1),"")</f>
        <v/>
      </c>
      <c r="M4820" s="13"/>
      <c r="N4820" s="13"/>
      <c r="O4820" s="13"/>
      <c r="P4820" s="26"/>
      <c r="Q4820" s="20"/>
      <c r="R4820" s="13"/>
      <c r="S4820" s="25"/>
      <c r="T4820" s="13"/>
      <c r="U4820" s="13"/>
      <c r="V4820" s="13"/>
      <c r="W4820" s="13"/>
      <c r="X4820" s="21"/>
      <c r="Y4820" s="22"/>
      <c r="Z4820" s="23"/>
      <c r="AA4820" s="23"/>
      <c r="AB4820" s="15"/>
      <c r="AC4820" s="14"/>
      <c r="AD4820" s="18"/>
      <c r="AE4820" s="18"/>
    </row>
    <row r="4821" customFormat="false" ht="15" hidden="false" customHeight="true" outlineLevel="0" collapsed="false">
      <c r="A4821" s="12"/>
      <c r="B4821" s="13"/>
      <c r="C4821" s="14"/>
      <c r="D4821" s="13"/>
      <c r="E4821" s="15"/>
      <c r="F4821" s="15"/>
      <c r="G4821" s="15"/>
      <c r="H4821" s="13"/>
      <c r="I4821" s="13"/>
      <c r="J4821" s="16"/>
      <c r="K4821" s="16"/>
      <c r="L4821" s="17" t="str">
        <f aca="false" t="array" ref="L4821:L4821">IFERROR(INDEX(AC4821:AE4821,IF(COUNTA(AC4821:AE4821)=0,"",MAX((AC4821:AE4821&lt;&gt;"")*(COLUMN(AC4821:AE4821)-(COLUMN(AC4821)-2))))-1),"")</f>
        <v/>
      </c>
      <c r="M4821" s="13"/>
      <c r="N4821" s="13"/>
      <c r="O4821" s="13"/>
      <c r="P4821" s="26"/>
      <c r="Q4821" s="20"/>
      <c r="R4821" s="13"/>
      <c r="S4821" s="25"/>
      <c r="T4821" s="13"/>
      <c r="U4821" s="13"/>
      <c r="V4821" s="13"/>
      <c r="W4821" s="13"/>
      <c r="X4821" s="21"/>
      <c r="Y4821" s="22"/>
      <c r="Z4821" s="23"/>
      <c r="AA4821" s="23"/>
      <c r="AB4821" s="15"/>
      <c r="AC4821" s="14"/>
      <c r="AD4821" s="18"/>
      <c r="AE4821" s="18"/>
    </row>
    <row r="4822" customFormat="false" ht="15" hidden="false" customHeight="true" outlineLevel="0" collapsed="false">
      <c r="A4822" s="12"/>
      <c r="B4822" s="13"/>
      <c r="C4822" s="14"/>
      <c r="D4822" s="13"/>
      <c r="E4822" s="15"/>
      <c r="F4822" s="15"/>
      <c r="G4822" s="15"/>
      <c r="H4822" s="13"/>
      <c r="I4822" s="13"/>
      <c r="J4822" s="16"/>
      <c r="K4822" s="16"/>
      <c r="L4822" s="17" t="str">
        <f aca="false" t="array" ref="L4822:L4822">IFERROR(INDEX(AC4822:AE4822,IF(COUNTA(AC4822:AE4822)=0,"",MAX((AC4822:AE4822&lt;&gt;"")*(COLUMN(AC4822:AE4822)-(COLUMN(AC4822)-2))))-1),"")</f>
        <v/>
      </c>
      <c r="M4822" s="13"/>
      <c r="N4822" s="13"/>
      <c r="O4822" s="13"/>
      <c r="P4822" s="26"/>
      <c r="Q4822" s="20"/>
      <c r="R4822" s="13"/>
      <c r="S4822" s="25"/>
      <c r="T4822" s="13"/>
      <c r="U4822" s="13"/>
      <c r="V4822" s="13"/>
      <c r="W4822" s="13"/>
      <c r="X4822" s="21"/>
      <c r="Y4822" s="22"/>
      <c r="Z4822" s="23"/>
      <c r="AA4822" s="23"/>
      <c r="AB4822" s="15"/>
      <c r="AC4822" s="14"/>
      <c r="AD4822" s="18"/>
      <c r="AE4822" s="18"/>
    </row>
    <row r="4823" customFormat="false" ht="15" hidden="false" customHeight="true" outlineLevel="0" collapsed="false">
      <c r="A4823" s="12"/>
      <c r="B4823" s="13"/>
      <c r="C4823" s="14"/>
      <c r="D4823" s="13"/>
      <c r="E4823" s="15"/>
      <c r="F4823" s="15"/>
      <c r="G4823" s="15"/>
      <c r="H4823" s="13"/>
      <c r="I4823" s="13"/>
      <c r="J4823" s="16"/>
      <c r="K4823" s="16"/>
      <c r="L4823" s="17" t="str">
        <f aca="false" t="array" ref="L4823:L4823">IFERROR(INDEX(AC4823:AE4823,IF(COUNTA(AC4823:AE4823)=0,"",MAX((AC4823:AE4823&lt;&gt;"")*(COLUMN(AC4823:AE4823)-(COLUMN(AC4823)-2))))-1),"")</f>
        <v/>
      </c>
      <c r="M4823" s="13"/>
      <c r="N4823" s="13"/>
      <c r="O4823" s="13"/>
      <c r="P4823" s="26"/>
      <c r="Q4823" s="20"/>
      <c r="R4823" s="13"/>
      <c r="S4823" s="25"/>
      <c r="T4823" s="13"/>
      <c r="U4823" s="13"/>
      <c r="V4823" s="13"/>
      <c r="W4823" s="13"/>
      <c r="X4823" s="21"/>
      <c r="Y4823" s="22"/>
      <c r="Z4823" s="23"/>
      <c r="AA4823" s="23"/>
      <c r="AB4823" s="15"/>
      <c r="AC4823" s="14"/>
      <c r="AD4823" s="18"/>
      <c r="AE4823" s="18"/>
    </row>
    <row r="4824" customFormat="false" ht="15" hidden="false" customHeight="true" outlineLevel="0" collapsed="false">
      <c r="A4824" s="12"/>
      <c r="B4824" s="13"/>
      <c r="C4824" s="14"/>
      <c r="D4824" s="13"/>
      <c r="E4824" s="15"/>
      <c r="F4824" s="15"/>
      <c r="G4824" s="15"/>
      <c r="H4824" s="13"/>
      <c r="I4824" s="13"/>
      <c r="J4824" s="16"/>
      <c r="K4824" s="16"/>
      <c r="L4824" s="17" t="str">
        <f aca="false" t="array" ref="L4824:L4824">IFERROR(INDEX(AC4824:AE4824,IF(COUNTA(AC4824:AE4824)=0,"",MAX((AC4824:AE4824&lt;&gt;"")*(COLUMN(AC4824:AE4824)-(COLUMN(AC4824)-2))))-1),"")</f>
        <v/>
      </c>
      <c r="M4824" s="13"/>
      <c r="N4824" s="13"/>
      <c r="O4824" s="13"/>
      <c r="P4824" s="26"/>
      <c r="Q4824" s="20"/>
      <c r="R4824" s="13"/>
      <c r="S4824" s="25"/>
      <c r="T4824" s="13"/>
      <c r="U4824" s="13"/>
      <c r="V4824" s="13"/>
      <c r="W4824" s="13"/>
      <c r="X4824" s="21"/>
      <c r="Y4824" s="22"/>
      <c r="Z4824" s="23"/>
      <c r="AA4824" s="23"/>
      <c r="AB4824" s="15"/>
      <c r="AC4824" s="14"/>
      <c r="AD4824" s="18"/>
      <c r="AE4824" s="18"/>
    </row>
    <row r="4825" customFormat="false" ht="15" hidden="false" customHeight="true" outlineLevel="0" collapsed="false">
      <c r="A4825" s="12"/>
      <c r="B4825" s="13"/>
      <c r="C4825" s="14"/>
      <c r="D4825" s="13"/>
      <c r="E4825" s="15"/>
      <c r="F4825" s="15"/>
      <c r="G4825" s="15"/>
      <c r="H4825" s="13"/>
      <c r="I4825" s="13"/>
      <c r="J4825" s="16"/>
      <c r="K4825" s="16"/>
      <c r="L4825" s="17" t="str">
        <f aca="false" t="array" ref="L4825:L4825">IFERROR(INDEX(AC4825:AE4825,IF(COUNTA(AC4825:AE4825)=0,"",MAX((AC4825:AE4825&lt;&gt;"")*(COLUMN(AC4825:AE4825)-(COLUMN(AC4825)-2))))-1),"")</f>
        <v/>
      </c>
      <c r="M4825" s="13"/>
      <c r="N4825" s="13"/>
      <c r="O4825" s="13"/>
      <c r="P4825" s="26"/>
      <c r="Q4825" s="20"/>
      <c r="R4825" s="13"/>
      <c r="S4825" s="25"/>
      <c r="T4825" s="13"/>
      <c r="U4825" s="13"/>
      <c r="V4825" s="13"/>
      <c r="W4825" s="13"/>
      <c r="X4825" s="21"/>
      <c r="Y4825" s="22"/>
      <c r="Z4825" s="23"/>
      <c r="AA4825" s="23"/>
      <c r="AB4825" s="15"/>
      <c r="AC4825" s="14"/>
      <c r="AD4825" s="18"/>
      <c r="AE4825" s="18"/>
    </row>
    <row r="4826" customFormat="false" ht="15" hidden="false" customHeight="true" outlineLevel="0" collapsed="false">
      <c r="A4826" s="12"/>
      <c r="B4826" s="13"/>
      <c r="C4826" s="14"/>
      <c r="D4826" s="13"/>
      <c r="E4826" s="15"/>
      <c r="F4826" s="15"/>
      <c r="G4826" s="15"/>
      <c r="H4826" s="13"/>
      <c r="I4826" s="13"/>
      <c r="J4826" s="16"/>
      <c r="K4826" s="16"/>
      <c r="L4826" s="17" t="str">
        <f aca="false" t="array" ref="L4826:L4826">IFERROR(INDEX(AC4826:AE4826,IF(COUNTA(AC4826:AE4826)=0,"",MAX((AC4826:AE4826&lt;&gt;"")*(COLUMN(AC4826:AE4826)-(COLUMN(AC4826)-2))))-1),"")</f>
        <v/>
      </c>
      <c r="M4826" s="13"/>
      <c r="N4826" s="13"/>
      <c r="O4826" s="13"/>
      <c r="P4826" s="26"/>
      <c r="Q4826" s="20"/>
      <c r="R4826" s="13"/>
      <c r="S4826" s="25"/>
      <c r="T4826" s="13"/>
      <c r="U4826" s="13"/>
      <c r="V4826" s="13"/>
      <c r="W4826" s="13"/>
      <c r="X4826" s="21"/>
      <c r="Y4826" s="22"/>
      <c r="Z4826" s="23"/>
      <c r="AA4826" s="23"/>
      <c r="AB4826" s="15"/>
      <c r="AC4826" s="14"/>
      <c r="AD4826" s="18"/>
      <c r="AE4826" s="18"/>
    </row>
    <row r="4827" customFormat="false" ht="15" hidden="false" customHeight="true" outlineLevel="0" collapsed="false">
      <c r="A4827" s="12"/>
      <c r="B4827" s="13"/>
      <c r="C4827" s="14"/>
      <c r="D4827" s="13"/>
      <c r="E4827" s="15"/>
      <c r="F4827" s="15"/>
      <c r="G4827" s="15"/>
      <c r="H4827" s="13"/>
      <c r="I4827" s="13"/>
      <c r="J4827" s="16"/>
      <c r="K4827" s="16"/>
      <c r="L4827" s="17" t="str">
        <f aca="false" t="array" ref="L4827:L4827">IFERROR(INDEX(AC4827:AE4827,IF(COUNTA(AC4827:AE4827)=0,"",MAX((AC4827:AE4827&lt;&gt;"")*(COLUMN(AC4827:AE4827)-(COLUMN(AC4827)-2))))-1),"")</f>
        <v/>
      </c>
      <c r="M4827" s="13"/>
      <c r="N4827" s="13"/>
      <c r="O4827" s="13"/>
      <c r="P4827" s="26"/>
      <c r="Q4827" s="20"/>
      <c r="R4827" s="13"/>
      <c r="S4827" s="25"/>
      <c r="T4827" s="13"/>
      <c r="U4827" s="13"/>
      <c r="V4827" s="13"/>
      <c r="W4827" s="13"/>
      <c r="X4827" s="21"/>
      <c r="Y4827" s="22"/>
      <c r="Z4827" s="23"/>
      <c r="AA4827" s="23"/>
      <c r="AB4827" s="15"/>
      <c r="AC4827" s="14"/>
      <c r="AD4827" s="18"/>
      <c r="AE4827" s="18"/>
    </row>
    <row r="4828" customFormat="false" ht="15" hidden="false" customHeight="true" outlineLevel="0" collapsed="false">
      <c r="A4828" s="12"/>
      <c r="B4828" s="13"/>
      <c r="C4828" s="14"/>
      <c r="D4828" s="13"/>
      <c r="E4828" s="15"/>
      <c r="F4828" s="15"/>
      <c r="G4828" s="15"/>
      <c r="H4828" s="13"/>
      <c r="I4828" s="13"/>
      <c r="J4828" s="16"/>
      <c r="K4828" s="16"/>
      <c r="L4828" s="17" t="str">
        <f aca="false" t="array" ref="L4828:L4828">IFERROR(INDEX(AC4828:AE4828,IF(COUNTA(AC4828:AE4828)=0,"",MAX((AC4828:AE4828&lt;&gt;"")*(COLUMN(AC4828:AE4828)-(COLUMN(AC4828)-2))))-1),"")</f>
        <v/>
      </c>
      <c r="M4828" s="13"/>
      <c r="N4828" s="13"/>
      <c r="O4828" s="13"/>
      <c r="P4828" s="26"/>
      <c r="Q4828" s="20"/>
      <c r="R4828" s="13"/>
      <c r="S4828" s="25"/>
      <c r="T4828" s="13"/>
      <c r="U4828" s="13"/>
      <c r="V4828" s="13"/>
      <c r="W4828" s="13"/>
      <c r="X4828" s="21"/>
      <c r="Y4828" s="22"/>
      <c r="Z4828" s="23"/>
      <c r="AA4828" s="23"/>
      <c r="AB4828" s="15"/>
      <c r="AC4828" s="14"/>
      <c r="AD4828" s="18"/>
      <c r="AE4828" s="18"/>
    </row>
    <row r="4829" customFormat="false" ht="15" hidden="false" customHeight="true" outlineLevel="0" collapsed="false">
      <c r="A4829" s="12"/>
      <c r="B4829" s="13"/>
      <c r="C4829" s="14"/>
      <c r="D4829" s="13"/>
      <c r="E4829" s="15"/>
      <c r="F4829" s="15"/>
      <c r="G4829" s="15"/>
      <c r="H4829" s="13"/>
      <c r="I4829" s="13"/>
      <c r="J4829" s="16"/>
      <c r="K4829" s="16"/>
      <c r="L4829" s="17" t="str">
        <f aca="false" t="array" ref="L4829:L4829">IFERROR(INDEX(AC4829:AE4829,IF(COUNTA(AC4829:AE4829)=0,"",MAX((AC4829:AE4829&lt;&gt;"")*(COLUMN(AC4829:AE4829)-(COLUMN(AC4829)-2))))-1),"")</f>
        <v/>
      </c>
      <c r="M4829" s="13"/>
      <c r="N4829" s="13"/>
      <c r="O4829" s="13"/>
      <c r="P4829" s="26"/>
      <c r="Q4829" s="20"/>
      <c r="R4829" s="13"/>
      <c r="S4829" s="25"/>
      <c r="T4829" s="13"/>
      <c r="U4829" s="13"/>
      <c r="V4829" s="13"/>
      <c r="W4829" s="13"/>
      <c r="X4829" s="21"/>
      <c r="Y4829" s="22"/>
      <c r="Z4829" s="23"/>
      <c r="AA4829" s="23"/>
      <c r="AB4829" s="15"/>
      <c r="AC4829" s="14"/>
      <c r="AD4829" s="18"/>
      <c r="AE4829" s="18"/>
    </row>
    <row r="4830" customFormat="false" ht="15" hidden="false" customHeight="true" outlineLevel="0" collapsed="false">
      <c r="A4830" s="12"/>
      <c r="B4830" s="13"/>
      <c r="C4830" s="14"/>
      <c r="D4830" s="13"/>
      <c r="E4830" s="15"/>
      <c r="F4830" s="15"/>
      <c r="G4830" s="15"/>
      <c r="H4830" s="13"/>
      <c r="I4830" s="13"/>
      <c r="J4830" s="16"/>
      <c r="K4830" s="16"/>
      <c r="L4830" s="17" t="str">
        <f aca="false" t="array" ref="L4830:L4830">IFERROR(INDEX(AC4830:AE4830,IF(COUNTA(AC4830:AE4830)=0,"",MAX((AC4830:AE4830&lt;&gt;"")*(COLUMN(AC4830:AE4830)-(COLUMN(AC4830)-2))))-1),"")</f>
        <v/>
      </c>
      <c r="M4830" s="13"/>
      <c r="N4830" s="13"/>
      <c r="O4830" s="13"/>
      <c r="P4830" s="26"/>
      <c r="Q4830" s="20"/>
      <c r="R4830" s="13"/>
      <c r="S4830" s="25"/>
      <c r="T4830" s="13"/>
      <c r="U4830" s="13"/>
      <c r="V4830" s="13"/>
      <c r="W4830" s="13"/>
      <c r="X4830" s="21"/>
      <c r="Y4830" s="22"/>
      <c r="Z4830" s="23"/>
      <c r="AA4830" s="23"/>
      <c r="AB4830" s="15"/>
      <c r="AC4830" s="14"/>
      <c r="AD4830" s="18"/>
      <c r="AE4830" s="18"/>
    </row>
    <row r="4831" customFormat="false" ht="15" hidden="false" customHeight="true" outlineLevel="0" collapsed="false">
      <c r="A4831" s="12"/>
      <c r="B4831" s="13"/>
      <c r="C4831" s="14"/>
      <c r="D4831" s="13"/>
      <c r="E4831" s="15"/>
      <c r="F4831" s="15"/>
      <c r="G4831" s="15"/>
      <c r="H4831" s="13"/>
      <c r="I4831" s="13"/>
      <c r="J4831" s="16"/>
      <c r="K4831" s="16"/>
      <c r="L4831" s="17" t="str">
        <f aca="false" t="array" ref="L4831:L4831">IFERROR(INDEX(AC4831:AE4831,IF(COUNTA(AC4831:AE4831)=0,"",MAX((AC4831:AE4831&lt;&gt;"")*(COLUMN(AC4831:AE4831)-(COLUMN(AC4831)-2))))-1),"")</f>
        <v/>
      </c>
      <c r="M4831" s="13"/>
      <c r="N4831" s="13"/>
      <c r="O4831" s="13"/>
      <c r="P4831" s="26"/>
      <c r="Q4831" s="20"/>
      <c r="R4831" s="13"/>
      <c r="S4831" s="25"/>
      <c r="T4831" s="13"/>
      <c r="U4831" s="13"/>
      <c r="V4831" s="13"/>
      <c r="W4831" s="13"/>
      <c r="X4831" s="21"/>
      <c r="Y4831" s="22"/>
      <c r="Z4831" s="23"/>
      <c r="AA4831" s="23"/>
      <c r="AB4831" s="15"/>
      <c r="AC4831" s="14"/>
      <c r="AD4831" s="18"/>
      <c r="AE4831" s="18"/>
    </row>
    <row r="4832" customFormat="false" ht="15" hidden="false" customHeight="true" outlineLevel="0" collapsed="false">
      <c r="A4832" s="12"/>
      <c r="B4832" s="13"/>
      <c r="C4832" s="14"/>
      <c r="D4832" s="13"/>
      <c r="E4832" s="15"/>
      <c r="F4832" s="15"/>
      <c r="G4832" s="15"/>
      <c r="H4832" s="13"/>
      <c r="I4832" s="13"/>
      <c r="J4832" s="16"/>
      <c r="K4832" s="16"/>
      <c r="L4832" s="17" t="str">
        <f aca="false" t="array" ref="L4832:L4832">IFERROR(INDEX(AC4832:AE4832,IF(COUNTA(AC4832:AE4832)=0,"",MAX((AC4832:AE4832&lt;&gt;"")*(COLUMN(AC4832:AE4832)-(COLUMN(AC4832)-2))))-1),"")</f>
        <v/>
      </c>
      <c r="M4832" s="13"/>
      <c r="N4832" s="13"/>
      <c r="O4832" s="13"/>
      <c r="P4832" s="26"/>
      <c r="Q4832" s="20"/>
      <c r="R4832" s="13"/>
      <c r="S4832" s="25"/>
      <c r="T4832" s="13"/>
      <c r="U4832" s="13"/>
      <c r="V4832" s="13"/>
      <c r="W4832" s="13"/>
      <c r="X4832" s="21"/>
      <c r="Y4832" s="22"/>
      <c r="Z4832" s="23"/>
      <c r="AA4832" s="23"/>
      <c r="AB4832" s="15"/>
      <c r="AC4832" s="14"/>
      <c r="AD4832" s="18"/>
      <c r="AE4832" s="18"/>
    </row>
    <row r="4833" customFormat="false" ht="15" hidden="false" customHeight="true" outlineLevel="0" collapsed="false">
      <c r="A4833" s="12"/>
      <c r="B4833" s="13"/>
      <c r="C4833" s="14"/>
      <c r="D4833" s="13"/>
      <c r="E4833" s="15"/>
      <c r="F4833" s="15"/>
      <c r="G4833" s="15"/>
      <c r="H4833" s="13"/>
      <c r="I4833" s="13"/>
      <c r="J4833" s="16"/>
      <c r="K4833" s="16"/>
      <c r="L4833" s="17" t="str">
        <f aca="false" t="array" ref="L4833:L4833">IFERROR(INDEX(AC4833:AE4833,IF(COUNTA(AC4833:AE4833)=0,"",MAX((AC4833:AE4833&lt;&gt;"")*(COLUMN(AC4833:AE4833)-(COLUMN(AC4833)-2))))-1),"")</f>
        <v/>
      </c>
      <c r="M4833" s="13"/>
      <c r="N4833" s="13"/>
      <c r="O4833" s="13"/>
      <c r="P4833" s="26"/>
      <c r="Q4833" s="20"/>
      <c r="R4833" s="13"/>
      <c r="S4833" s="25"/>
      <c r="T4833" s="13"/>
      <c r="U4833" s="13"/>
      <c r="V4833" s="13"/>
      <c r="W4833" s="13"/>
      <c r="X4833" s="21"/>
      <c r="Y4833" s="22"/>
      <c r="Z4833" s="23"/>
      <c r="AA4833" s="23"/>
      <c r="AB4833" s="15"/>
      <c r="AC4833" s="14"/>
      <c r="AD4833" s="18"/>
      <c r="AE4833" s="18"/>
    </row>
    <row r="4834" customFormat="false" ht="15" hidden="false" customHeight="true" outlineLevel="0" collapsed="false">
      <c r="A4834" s="12"/>
      <c r="B4834" s="13"/>
      <c r="C4834" s="14"/>
      <c r="D4834" s="13"/>
      <c r="E4834" s="15"/>
      <c r="F4834" s="15"/>
      <c r="G4834" s="15"/>
      <c r="H4834" s="13"/>
      <c r="I4834" s="13"/>
      <c r="J4834" s="16"/>
      <c r="K4834" s="16"/>
      <c r="L4834" s="17" t="str">
        <f aca="false" t="array" ref="L4834:L4834">IFERROR(INDEX(AC4834:AE4834,IF(COUNTA(AC4834:AE4834)=0,"",MAX((AC4834:AE4834&lt;&gt;"")*(COLUMN(AC4834:AE4834)-(COLUMN(AC4834)-2))))-1),"")</f>
        <v/>
      </c>
      <c r="M4834" s="13"/>
      <c r="N4834" s="13"/>
      <c r="O4834" s="13"/>
      <c r="P4834" s="26"/>
      <c r="Q4834" s="20"/>
      <c r="R4834" s="13"/>
      <c r="S4834" s="25"/>
      <c r="T4834" s="13"/>
      <c r="U4834" s="13"/>
      <c r="V4834" s="13"/>
      <c r="W4834" s="13"/>
      <c r="X4834" s="21"/>
      <c r="Y4834" s="22"/>
      <c r="Z4834" s="23"/>
      <c r="AA4834" s="23"/>
      <c r="AB4834" s="15"/>
      <c r="AC4834" s="14"/>
      <c r="AD4834" s="18"/>
      <c r="AE4834" s="18"/>
    </row>
    <row r="4835" customFormat="false" ht="15" hidden="false" customHeight="true" outlineLevel="0" collapsed="false">
      <c r="A4835" s="12"/>
      <c r="B4835" s="13"/>
      <c r="C4835" s="14"/>
      <c r="D4835" s="13"/>
      <c r="E4835" s="15"/>
      <c r="F4835" s="15"/>
      <c r="G4835" s="15"/>
      <c r="H4835" s="13"/>
      <c r="I4835" s="13"/>
      <c r="J4835" s="16"/>
      <c r="K4835" s="16"/>
      <c r="L4835" s="17" t="str">
        <f aca="false" t="array" ref="L4835:L4835">IFERROR(INDEX(AC4835:AE4835,IF(COUNTA(AC4835:AE4835)=0,"",MAX((AC4835:AE4835&lt;&gt;"")*(COLUMN(AC4835:AE4835)-(COLUMN(AC4835)-2))))-1),"")</f>
        <v/>
      </c>
      <c r="M4835" s="13"/>
      <c r="N4835" s="13"/>
      <c r="O4835" s="13"/>
      <c r="P4835" s="26"/>
      <c r="Q4835" s="20"/>
      <c r="R4835" s="13"/>
      <c r="S4835" s="25"/>
      <c r="T4835" s="13"/>
      <c r="U4835" s="13"/>
      <c r="V4835" s="13"/>
      <c r="W4835" s="13"/>
      <c r="X4835" s="21"/>
      <c r="Y4835" s="22"/>
      <c r="Z4835" s="23"/>
      <c r="AA4835" s="23"/>
      <c r="AB4835" s="15"/>
      <c r="AC4835" s="14"/>
      <c r="AD4835" s="18"/>
      <c r="AE4835" s="18"/>
    </row>
    <row r="4836" customFormat="false" ht="15" hidden="false" customHeight="true" outlineLevel="0" collapsed="false">
      <c r="A4836" s="12"/>
      <c r="B4836" s="13"/>
      <c r="C4836" s="14"/>
      <c r="D4836" s="13"/>
      <c r="E4836" s="15"/>
      <c r="F4836" s="15"/>
      <c r="G4836" s="15"/>
      <c r="H4836" s="13"/>
      <c r="I4836" s="13"/>
      <c r="J4836" s="16"/>
      <c r="K4836" s="16"/>
      <c r="L4836" s="17" t="str">
        <f aca="false" t="array" ref="L4836:L4836">IFERROR(INDEX(AC4836:AE4836,IF(COUNTA(AC4836:AE4836)=0,"",MAX((AC4836:AE4836&lt;&gt;"")*(COLUMN(AC4836:AE4836)-(COLUMN(AC4836)-2))))-1),"")</f>
        <v/>
      </c>
      <c r="M4836" s="13"/>
      <c r="N4836" s="13"/>
      <c r="O4836" s="13"/>
      <c r="P4836" s="26"/>
      <c r="Q4836" s="20"/>
      <c r="R4836" s="13"/>
      <c r="S4836" s="25"/>
      <c r="T4836" s="13"/>
      <c r="U4836" s="13"/>
      <c r="V4836" s="13"/>
      <c r="W4836" s="13"/>
      <c r="X4836" s="21"/>
      <c r="Y4836" s="22"/>
      <c r="Z4836" s="23"/>
      <c r="AA4836" s="23"/>
      <c r="AB4836" s="15"/>
      <c r="AC4836" s="14"/>
      <c r="AD4836" s="18"/>
      <c r="AE4836" s="18"/>
    </row>
    <row r="4837" customFormat="false" ht="15" hidden="false" customHeight="true" outlineLevel="0" collapsed="false">
      <c r="A4837" s="12"/>
      <c r="B4837" s="13"/>
      <c r="C4837" s="14"/>
      <c r="D4837" s="13"/>
      <c r="E4837" s="15"/>
      <c r="F4837" s="15"/>
      <c r="G4837" s="15"/>
      <c r="H4837" s="13"/>
      <c r="I4837" s="13"/>
      <c r="J4837" s="16"/>
      <c r="K4837" s="16"/>
      <c r="L4837" s="17" t="str">
        <f aca="false" t="array" ref="L4837:L4837">IFERROR(INDEX(AC4837:AE4837,IF(COUNTA(AC4837:AE4837)=0,"",MAX((AC4837:AE4837&lt;&gt;"")*(COLUMN(AC4837:AE4837)-(COLUMN(AC4837)-2))))-1),"")</f>
        <v/>
      </c>
      <c r="M4837" s="13"/>
      <c r="N4837" s="13"/>
      <c r="O4837" s="13"/>
      <c r="P4837" s="26"/>
      <c r="Q4837" s="20"/>
      <c r="R4837" s="13"/>
      <c r="S4837" s="25"/>
      <c r="T4837" s="13"/>
      <c r="U4837" s="13"/>
      <c r="V4837" s="13"/>
      <c r="W4837" s="13"/>
      <c r="X4837" s="21"/>
      <c r="Y4837" s="22"/>
      <c r="Z4837" s="23"/>
      <c r="AA4837" s="23"/>
      <c r="AB4837" s="15"/>
      <c r="AC4837" s="14"/>
      <c r="AD4837" s="18"/>
      <c r="AE4837" s="18"/>
    </row>
    <row r="4838" customFormat="false" ht="15" hidden="false" customHeight="true" outlineLevel="0" collapsed="false">
      <c r="A4838" s="12"/>
      <c r="B4838" s="13"/>
      <c r="C4838" s="14"/>
      <c r="D4838" s="13"/>
      <c r="E4838" s="15"/>
      <c r="F4838" s="15"/>
      <c r="G4838" s="15"/>
      <c r="H4838" s="13"/>
      <c r="I4838" s="13"/>
      <c r="J4838" s="16"/>
      <c r="K4838" s="16"/>
      <c r="L4838" s="17" t="str">
        <f aca="false" t="array" ref="L4838:L4838">IFERROR(INDEX(AC4838:AE4838,IF(COUNTA(AC4838:AE4838)=0,"",MAX((AC4838:AE4838&lt;&gt;"")*(COLUMN(AC4838:AE4838)-(COLUMN(AC4838)-2))))-1),"")</f>
        <v/>
      </c>
      <c r="M4838" s="13"/>
      <c r="N4838" s="13"/>
      <c r="O4838" s="13"/>
      <c r="P4838" s="26"/>
      <c r="Q4838" s="20"/>
      <c r="R4838" s="13"/>
      <c r="S4838" s="25"/>
      <c r="T4838" s="13"/>
      <c r="U4838" s="13"/>
      <c r="V4838" s="13"/>
      <c r="W4838" s="13"/>
      <c r="X4838" s="21"/>
      <c r="Y4838" s="22"/>
      <c r="Z4838" s="23"/>
      <c r="AA4838" s="23"/>
      <c r="AB4838" s="15"/>
      <c r="AC4838" s="14"/>
      <c r="AD4838" s="18"/>
      <c r="AE4838" s="18"/>
    </row>
    <row r="4839" customFormat="false" ht="15" hidden="false" customHeight="true" outlineLevel="0" collapsed="false">
      <c r="A4839" s="12"/>
      <c r="B4839" s="13"/>
      <c r="C4839" s="14"/>
      <c r="D4839" s="13"/>
      <c r="E4839" s="15"/>
      <c r="F4839" s="15"/>
      <c r="G4839" s="15"/>
      <c r="H4839" s="13"/>
      <c r="I4839" s="13"/>
      <c r="J4839" s="16"/>
      <c r="K4839" s="16"/>
      <c r="L4839" s="17" t="str">
        <f aca="false" t="array" ref="L4839:L4839">IFERROR(INDEX(AC4839:AE4839,IF(COUNTA(AC4839:AE4839)=0,"",MAX((AC4839:AE4839&lt;&gt;"")*(COLUMN(AC4839:AE4839)-(COLUMN(AC4839)-2))))-1),"")</f>
        <v/>
      </c>
      <c r="M4839" s="13"/>
      <c r="N4839" s="13"/>
      <c r="O4839" s="13"/>
      <c r="P4839" s="26"/>
      <c r="Q4839" s="20"/>
      <c r="R4839" s="13"/>
      <c r="S4839" s="25"/>
      <c r="T4839" s="13"/>
      <c r="U4839" s="13"/>
      <c r="V4839" s="13"/>
      <c r="W4839" s="13"/>
      <c r="X4839" s="21"/>
      <c r="Y4839" s="22"/>
      <c r="Z4839" s="23"/>
      <c r="AA4839" s="23"/>
      <c r="AB4839" s="15"/>
      <c r="AC4839" s="14"/>
      <c r="AD4839" s="18"/>
      <c r="AE4839" s="18"/>
    </row>
    <row r="4840" customFormat="false" ht="15" hidden="false" customHeight="true" outlineLevel="0" collapsed="false">
      <c r="A4840" s="12"/>
      <c r="B4840" s="13"/>
      <c r="C4840" s="14"/>
      <c r="D4840" s="13"/>
      <c r="E4840" s="15"/>
      <c r="F4840" s="15"/>
      <c r="G4840" s="15"/>
      <c r="H4840" s="13"/>
      <c r="I4840" s="13"/>
      <c r="J4840" s="16"/>
      <c r="K4840" s="16"/>
      <c r="L4840" s="17" t="str">
        <f aca="false" t="array" ref="L4840:L4840">IFERROR(INDEX(AC4840:AE4840,IF(COUNTA(AC4840:AE4840)=0,"",MAX((AC4840:AE4840&lt;&gt;"")*(COLUMN(AC4840:AE4840)-(COLUMN(AC4840)-2))))-1),"")</f>
        <v/>
      </c>
      <c r="M4840" s="13"/>
      <c r="N4840" s="13"/>
      <c r="O4840" s="13"/>
      <c r="P4840" s="26"/>
      <c r="Q4840" s="20"/>
      <c r="R4840" s="13"/>
      <c r="S4840" s="25"/>
      <c r="T4840" s="13"/>
      <c r="U4840" s="13"/>
      <c r="V4840" s="13"/>
      <c r="W4840" s="13"/>
      <c r="X4840" s="21"/>
      <c r="Y4840" s="22"/>
      <c r="Z4840" s="23"/>
      <c r="AA4840" s="23"/>
      <c r="AB4840" s="15"/>
      <c r="AC4840" s="14"/>
      <c r="AD4840" s="18"/>
      <c r="AE4840" s="18"/>
    </row>
    <row r="4841" customFormat="false" ht="15" hidden="false" customHeight="true" outlineLevel="0" collapsed="false">
      <c r="A4841" s="12"/>
      <c r="B4841" s="13"/>
      <c r="C4841" s="14"/>
      <c r="D4841" s="13"/>
      <c r="E4841" s="15"/>
      <c r="F4841" s="15"/>
      <c r="G4841" s="15"/>
      <c r="H4841" s="13"/>
      <c r="I4841" s="13"/>
      <c r="J4841" s="16"/>
      <c r="K4841" s="16"/>
      <c r="L4841" s="17" t="str">
        <f aca="false" t="array" ref="L4841:L4841">IFERROR(INDEX(AC4841:AE4841,IF(COUNTA(AC4841:AE4841)=0,"",MAX((AC4841:AE4841&lt;&gt;"")*(COLUMN(AC4841:AE4841)-(COLUMN(AC4841)-2))))-1),"")</f>
        <v/>
      </c>
      <c r="M4841" s="13"/>
      <c r="N4841" s="13"/>
      <c r="O4841" s="13"/>
      <c r="P4841" s="26"/>
      <c r="Q4841" s="20"/>
      <c r="R4841" s="13"/>
      <c r="S4841" s="25"/>
      <c r="T4841" s="13"/>
      <c r="U4841" s="13"/>
      <c r="V4841" s="13"/>
      <c r="W4841" s="13"/>
      <c r="X4841" s="21"/>
      <c r="Y4841" s="22"/>
      <c r="Z4841" s="23"/>
      <c r="AA4841" s="23"/>
      <c r="AB4841" s="15"/>
      <c r="AC4841" s="14"/>
      <c r="AD4841" s="18"/>
      <c r="AE4841" s="18"/>
    </row>
    <row r="4842" customFormat="false" ht="15" hidden="false" customHeight="true" outlineLevel="0" collapsed="false">
      <c r="A4842" s="12"/>
      <c r="B4842" s="13"/>
      <c r="C4842" s="14"/>
      <c r="D4842" s="13"/>
      <c r="E4842" s="15"/>
      <c r="F4842" s="15"/>
      <c r="G4842" s="15"/>
      <c r="H4842" s="13"/>
      <c r="I4842" s="13"/>
      <c r="J4842" s="16"/>
      <c r="K4842" s="16"/>
      <c r="L4842" s="17" t="str">
        <f aca="false" t="array" ref="L4842:L4842">IFERROR(INDEX(AC4842:AE4842,IF(COUNTA(AC4842:AE4842)=0,"",MAX((AC4842:AE4842&lt;&gt;"")*(COLUMN(AC4842:AE4842)-(COLUMN(AC4842)-2))))-1),"")</f>
        <v/>
      </c>
      <c r="M4842" s="13"/>
      <c r="N4842" s="13"/>
      <c r="O4842" s="13"/>
      <c r="P4842" s="26"/>
      <c r="Q4842" s="20"/>
      <c r="R4842" s="13"/>
      <c r="S4842" s="25"/>
      <c r="T4842" s="13"/>
      <c r="U4842" s="13"/>
      <c r="V4842" s="13"/>
      <c r="W4842" s="13"/>
      <c r="X4842" s="21"/>
      <c r="Y4842" s="22"/>
      <c r="Z4842" s="23"/>
      <c r="AA4842" s="23"/>
      <c r="AB4842" s="15"/>
      <c r="AC4842" s="14"/>
      <c r="AD4842" s="18"/>
      <c r="AE4842" s="18"/>
    </row>
    <row r="4843" customFormat="false" ht="15" hidden="false" customHeight="true" outlineLevel="0" collapsed="false">
      <c r="A4843" s="12"/>
      <c r="B4843" s="13"/>
      <c r="C4843" s="14"/>
      <c r="D4843" s="13"/>
      <c r="E4843" s="15"/>
      <c r="F4843" s="15"/>
      <c r="G4843" s="15"/>
      <c r="H4843" s="13"/>
      <c r="I4843" s="13"/>
      <c r="J4843" s="16"/>
      <c r="K4843" s="16"/>
      <c r="L4843" s="17" t="str">
        <f aca="false" t="array" ref="L4843:L4843">IFERROR(INDEX(AC4843:AE4843,IF(COUNTA(AC4843:AE4843)=0,"",MAX((AC4843:AE4843&lt;&gt;"")*(COLUMN(AC4843:AE4843)-(COLUMN(AC4843)-2))))-1),"")</f>
        <v/>
      </c>
      <c r="M4843" s="13"/>
      <c r="N4843" s="13"/>
      <c r="O4843" s="13"/>
      <c r="P4843" s="26"/>
      <c r="Q4843" s="20"/>
      <c r="R4843" s="13"/>
      <c r="S4843" s="25"/>
      <c r="T4843" s="13"/>
      <c r="U4843" s="13"/>
      <c r="V4843" s="13"/>
      <c r="W4843" s="13"/>
      <c r="X4843" s="21"/>
      <c r="Y4843" s="22"/>
      <c r="Z4843" s="23"/>
      <c r="AA4843" s="23"/>
      <c r="AB4843" s="15"/>
      <c r="AC4843" s="14"/>
      <c r="AD4843" s="18"/>
      <c r="AE4843" s="18"/>
    </row>
    <row r="4844" customFormat="false" ht="15" hidden="false" customHeight="true" outlineLevel="0" collapsed="false">
      <c r="A4844" s="12"/>
      <c r="B4844" s="13"/>
      <c r="C4844" s="14"/>
      <c r="D4844" s="13"/>
      <c r="E4844" s="15"/>
      <c r="F4844" s="15"/>
      <c r="G4844" s="15"/>
      <c r="H4844" s="13"/>
      <c r="I4844" s="13"/>
      <c r="J4844" s="16"/>
      <c r="K4844" s="16"/>
      <c r="L4844" s="17" t="str">
        <f aca="false" t="array" ref="L4844:L4844">IFERROR(INDEX(AC4844:AE4844,IF(COUNTA(AC4844:AE4844)=0,"",MAX((AC4844:AE4844&lt;&gt;"")*(COLUMN(AC4844:AE4844)-(COLUMN(AC4844)-2))))-1),"")</f>
        <v/>
      </c>
      <c r="M4844" s="13"/>
      <c r="N4844" s="13"/>
      <c r="O4844" s="13"/>
      <c r="P4844" s="26"/>
      <c r="Q4844" s="20"/>
      <c r="R4844" s="13"/>
      <c r="S4844" s="25"/>
      <c r="T4844" s="13"/>
      <c r="U4844" s="13"/>
      <c r="V4844" s="13"/>
      <c r="W4844" s="13"/>
      <c r="X4844" s="21"/>
      <c r="Y4844" s="22"/>
      <c r="Z4844" s="23"/>
      <c r="AA4844" s="23"/>
      <c r="AB4844" s="15"/>
      <c r="AC4844" s="14"/>
      <c r="AD4844" s="18"/>
      <c r="AE4844" s="18"/>
    </row>
    <row r="4845" customFormat="false" ht="15" hidden="false" customHeight="true" outlineLevel="0" collapsed="false">
      <c r="A4845" s="12"/>
      <c r="B4845" s="13"/>
      <c r="C4845" s="14"/>
      <c r="D4845" s="13"/>
      <c r="E4845" s="15"/>
      <c r="F4845" s="15"/>
      <c r="G4845" s="15"/>
      <c r="H4845" s="13"/>
      <c r="I4845" s="13"/>
      <c r="J4845" s="16"/>
      <c r="K4845" s="16"/>
      <c r="L4845" s="17" t="str">
        <f aca="false" t="array" ref="L4845:L4845">IFERROR(INDEX(AC4845:AE4845,IF(COUNTA(AC4845:AE4845)=0,"",MAX((AC4845:AE4845&lt;&gt;"")*(COLUMN(AC4845:AE4845)-(COLUMN(AC4845)-2))))-1),"")</f>
        <v/>
      </c>
      <c r="M4845" s="13"/>
      <c r="N4845" s="13"/>
      <c r="O4845" s="13"/>
      <c r="P4845" s="26"/>
      <c r="Q4845" s="20"/>
      <c r="R4845" s="13"/>
      <c r="S4845" s="25"/>
      <c r="T4845" s="13"/>
      <c r="U4845" s="13"/>
      <c r="V4845" s="13"/>
      <c r="W4845" s="13"/>
      <c r="X4845" s="21"/>
      <c r="Y4845" s="22"/>
      <c r="Z4845" s="23"/>
      <c r="AA4845" s="23"/>
      <c r="AB4845" s="15"/>
      <c r="AC4845" s="14"/>
      <c r="AD4845" s="18"/>
      <c r="AE4845" s="18"/>
    </row>
    <row r="4846" customFormat="false" ht="15" hidden="false" customHeight="true" outlineLevel="0" collapsed="false">
      <c r="A4846" s="12"/>
      <c r="B4846" s="13"/>
      <c r="C4846" s="14"/>
      <c r="D4846" s="13"/>
      <c r="E4846" s="15"/>
      <c r="F4846" s="15"/>
      <c r="G4846" s="15"/>
      <c r="H4846" s="13"/>
      <c r="I4846" s="13"/>
      <c r="J4846" s="16"/>
      <c r="K4846" s="16"/>
      <c r="L4846" s="17" t="str">
        <f aca="false" t="array" ref="L4846:L4846">IFERROR(INDEX(AC4846:AE4846,IF(COUNTA(AC4846:AE4846)=0,"",MAX((AC4846:AE4846&lt;&gt;"")*(COLUMN(AC4846:AE4846)-(COLUMN(AC4846)-2))))-1),"")</f>
        <v/>
      </c>
      <c r="M4846" s="13"/>
      <c r="N4846" s="13"/>
      <c r="O4846" s="13"/>
      <c r="P4846" s="26"/>
      <c r="Q4846" s="20"/>
      <c r="R4846" s="13"/>
      <c r="S4846" s="25"/>
      <c r="T4846" s="13"/>
      <c r="U4846" s="13"/>
      <c r="V4846" s="13"/>
      <c r="W4846" s="13"/>
      <c r="X4846" s="21"/>
      <c r="Y4846" s="22"/>
      <c r="Z4846" s="23"/>
      <c r="AA4846" s="23"/>
      <c r="AB4846" s="15"/>
      <c r="AC4846" s="14"/>
      <c r="AD4846" s="18"/>
      <c r="AE4846" s="18"/>
    </row>
    <row r="4847" customFormat="false" ht="15" hidden="false" customHeight="true" outlineLevel="0" collapsed="false">
      <c r="A4847" s="12"/>
      <c r="B4847" s="13"/>
      <c r="C4847" s="14"/>
      <c r="D4847" s="13"/>
      <c r="E4847" s="15"/>
      <c r="F4847" s="15"/>
      <c r="G4847" s="15"/>
      <c r="H4847" s="13"/>
      <c r="I4847" s="13"/>
      <c r="J4847" s="16"/>
      <c r="K4847" s="16"/>
      <c r="L4847" s="17" t="str">
        <f aca="false" t="array" ref="L4847:L4847">IFERROR(INDEX(AC4847:AE4847,IF(COUNTA(AC4847:AE4847)=0,"",MAX((AC4847:AE4847&lt;&gt;"")*(COLUMN(AC4847:AE4847)-(COLUMN(AC4847)-2))))-1),"")</f>
        <v/>
      </c>
      <c r="M4847" s="13"/>
      <c r="N4847" s="13"/>
      <c r="O4847" s="13"/>
      <c r="P4847" s="26"/>
      <c r="Q4847" s="20"/>
      <c r="R4847" s="13"/>
      <c r="S4847" s="25"/>
      <c r="T4847" s="13"/>
      <c r="U4847" s="13"/>
      <c r="V4847" s="13"/>
      <c r="W4847" s="13"/>
      <c r="X4847" s="21"/>
      <c r="Y4847" s="22"/>
      <c r="Z4847" s="23"/>
      <c r="AA4847" s="23"/>
      <c r="AB4847" s="15"/>
      <c r="AC4847" s="14"/>
      <c r="AD4847" s="18"/>
      <c r="AE4847" s="18"/>
    </row>
    <row r="4848" customFormat="false" ht="15" hidden="false" customHeight="true" outlineLevel="0" collapsed="false">
      <c r="A4848" s="12"/>
      <c r="B4848" s="13"/>
      <c r="C4848" s="14"/>
      <c r="D4848" s="13"/>
      <c r="E4848" s="15"/>
      <c r="F4848" s="15"/>
      <c r="G4848" s="15"/>
      <c r="H4848" s="13"/>
      <c r="I4848" s="13"/>
      <c r="J4848" s="16"/>
      <c r="K4848" s="16"/>
      <c r="L4848" s="17" t="str">
        <f aca="false" t="array" ref="L4848:L4848">IFERROR(INDEX(AC4848:AE4848,IF(COUNTA(AC4848:AE4848)=0,"",MAX((AC4848:AE4848&lt;&gt;"")*(COLUMN(AC4848:AE4848)-(COLUMN(AC4848)-2))))-1),"")</f>
        <v/>
      </c>
      <c r="M4848" s="13"/>
      <c r="N4848" s="13"/>
      <c r="O4848" s="13"/>
      <c r="P4848" s="26"/>
      <c r="Q4848" s="20"/>
      <c r="R4848" s="13"/>
      <c r="S4848" s="25"/>
      <c r="T4848" s="13"/>
      <c r="U4848" s="13"/>
      <c r="V4848" s="13"/>
      <c r="W4848" s="13"/>
      <c r="X4848" s="21"/>
      <c r="Y4848" s="22"/>
      <c r="Z4848" s="23"/>
      <c r="AA4848" s="23"/>
      <c r="AB4848" s="15"/>
      <c r="AC4848" s="14"/>
      <c r="AD4848" s="18"/>
      <c r="AE4848" s="18"/>
    </row>
    <row r="4849" customFormat="false" ht="15" hidden="false" customHeight="true" outlineLevel="0" collapsed="false">
      <c r="A4849" s="12"/>
      <c r="B4849" s="13"/>
      <c r="C4849" s="14"/>
      <c r="D4849" s="13"/>
      <c r="E4849" s="15"/>
      <c r="F4849" s="15"/>
      <c r="G4849" s="15"/>
      <c r="H4849" s="13"/>
      <c r="I4849" s="13"/>
      <c r="J4849" s="16"/>
      <c r="K4849" s="16"/>
      <c r="L4849" s="17" t="str">
        <f aca="false" t="array" ref="L4849:L4849">IFERROR(INDEX(AC4849:AE4849,IF(COUNTA(AC4849:AE4849)=0,"",MAX((AC4849:AE4849&lt;&gt;"")*(COLUMN(AC4849:AE4849)-(COLUMN(AC4849)-2))))-1),"")</f>
        <v/>
      </c>
      <c r="M4849" s="13"/>
      <c r="N4849" s="13"/>
      <c r="O4849" s="13"/>
      <c r="P4849" s="26"/>
      <c r="Q4849" s="20"/>
      <c r="R4849" s="13"/>
      <c r="S4849" s="25"/>
      <c r="T4849" s="13"/>
      <c r="U4849" s="13"/>
      <c r="V4849" s="13"/>
      <c r="W4849" s="13"/>
      <c r="X4849" s="21"/>
      <c r="Y4849" s="22"/>
      <c r="Z4849" s="23"/>
      <c r="AA4849" s="23"/>
      <c r="AB4849" s="15"/>
      <c r="AC4849" s="14"/>
      <c r="AD4849" s="18"/>
      <c r="AE4849" s="18"/>
    </row>
    <row r="4850" customFormat="false" ht="15" hidden="false" customHeight="true" outlineLevel="0" collapsed="false">
      <c r="A4850" s="12"/>
      <c r="B4850" s="13"/>
      <c r="C4850" s="14"/>
      <c r="D4850" s="13"/>
      <c r="E4850" s="15"/>
      <c r="F4850" s="15"/>
      <c r="G4850" s="15"/>
      <c r="H4850" s="13"/>
      <c r="I4850" s="13"/>
      <c r="J4850" s="16"/>
      <c r="K4850" s="16"/>
      <c r="L4850" s="17" t="str">
        <f aca="false" t="array" ref="L4850:L4850">IFERROR(INDEX(AC4850:AE4850,IF(COUNTA(AC4850:AE4850)=0,"",MAX((AC4850:AE4850&lt;&gt;"")*(COLUMN(AC4850:AE4850)-(COLUMN(AC4850)-2))))-1),"")</f>
        <v/>
      </c>
      <c r="M4850" s="13"/>
      <c r="N4850" s="13"/>
      <c r="O4850" s="13"/>
      <c r="P4850" s="26"/>
      <c r="Q4850" s="20"/>
      <c r="R4850" s="13"/>
      <c r="S4850" s="25"/>
      <c r="T4850" s="13"/>
      <c r="U4850" s="13"/>
      <c r="V4850" s="13"/>
      <c r="W4850" s="13"/>
      <c r="X4850" s="21"/>
      <c r="Y4850" s="22"/>
      <c r="Z4850" s="23"/>
      <c r="AA4850" s="23"/>
      <c r="AB4850" s="15"/>
      <c r="AC4850" s="14"/>
      <c r="AD4850" s="18"/>
      <c r="AE4850" s="18"/>
    </row>
    <row r="4851" customFormat="false" ht="15" hidden="false" customHeight="true" outlineLevel="0" collapsed="false">
      <c r="A4851" s="12"/>
      <c r="B4851" s="13"/>
      <c r="C4851" s="14"/>
      <c r="D4851" s="13"/>
      <c r="E4851" s="15"/>
      <c r="F4851" s="15"/>
      <c r="G4851" s="15"/>
      <c r="H4851" s="13"/>
      <c r="I4851" s="13"/>
      <c r="J4851" s="16"/>
      <c r="K4851" s="16"/>
      <c r="L4851" s="17" t="str">
        <f aca="false" t="array" ref="L4851:L4851">IFERROR(INDEX(AC4851:AE4851,IF(COUNTA(AC4851:AE4851)=0,"",MAX((AC4851:AE4851&lt;&gt;"")*(COLUMN(AC4851:AE4851)-(COLUMN(AC4851)-2))))-1),"")</f>
        <v/>
      </c>
      <c r="M4851" s="13"/>
      <c r="N4851" s="13"/>
      <c r="O4851" s="13"/>
      <c r="P4851" s="26"/>
      <c r="Q4851" s="20"/>
      <c r="R4851" s="13"/>
      <c r="S4851" s="25"/>
      <c r="T4851" s="13"/>
      <c r="U4851" s="13"/>
      <c r="V4851" s="13"/>
      <c r="W4851" s="13"/>
      <c r="X4851" s="21"/>
      <c r="Y4851" s="22"/>
      <c r="Z4851" s="23"/>
      <c r="AA4851" s="23"/>
      <c r="AB4851" s="15"/>
      <c r="AC4851" s="14"/>
      <c r="AD4851" s="18"/>
      <c r="AE4851" s="18"/>
    </row>
    <row r="4852" customFormat="false" ht="15" hidden="false" customHeight="true" outlineLevel="0" collapsed="false">
      <c r="A4852" s="12"/>
      <c r="B4852" s="13"/>
      <c r="C4852" s="14"/>
      <c r="D4852" s="13"/>
      <c r="E4852" s="15"/>
      <c r="F4852" s="15"/>
      <c r="G4852" s="15"/>
      <c r="H4852" s="13"/>
      <c r="I4852" s="13"/>
      <c r="J4852" s="16"/>
      <c r="K4852" s="16"/>
      <c r="L4852" s="17" t="str">
        <f aca="false" t="array" ref="L4852:L4852">IFERROR(INDEX(AC4852:AE4852,IF(COUNTA(AC4852:AE4852)=0,"",MAX((AC4852:AE4852&lt;&gt;"")*(COLUMN(AC4852:AE4852)-(COLUMN(AC4852)-2))))-1),"")</f>
        <v/>
      </c>
      <c r="M4852" s="13"/>
      <c r="N4852" s="13"/>
      <c r="O4852" s="13"/>
      <c r="P4852" s="26"/>
      <c r="Q4852" s="20"/>
      <c r="R4852" s="13"/>
      <c r="S4852" s="25"/>
      <c r="T4852" s="13"/>
      <c r="U4852" s="13"/>
      <c r="V4852" s="13"/>
      <c r="W4852" s="13"/>
      <c r="X4852" s="21"/>
      <c r="Y4852" s="22"/>
      <c r="Z4852" s="23"/>
      <c r="AA4852" s="23"/>
      <c r="AB4852" s="15"/>
      <c r="AC4852" s="14"/>
      <c r="AD4852" s="18"/>
      <c r="AE4852" s="18"/>
    </row>
    <row r="4853" customFormat="false" ht="15" hidden="false" customHeight="true" outlineLevel="0" collapsed="false">
      <c r="A4853" s="12"/>
      <c r="B4853" s="13"/>
      <c r="C4853" s="14"/>
      <c r="D4853" s="13"/>
      <c r="E4853" s="15"/>
      <c r="F4853" s="15"/>
      <c r="G4853" s="15"/>
      <c r="H4853" s="13"/>
      <c r="I4853" s="13"/>
      <c r="J4853" s="16"/>
      <c r="K4853" s="16"/>
      <c r="L4853" s="17" t="str">
        <f aca="false" t="array" ref="L4853:L4853">IFERROR(INDEX(AC4853:AE4853,IF(COUNTA(AC4853:AE4853)=0,"",MAX((AC4853:AE4853&lt;&gt;"")*(COLUMN(AC4853:AE4853)-(COLUMN(AC4853)-2))))-1),"")</f>
        <v/>
      </c>
      <c r="M4853" s="13"/>
      <c r="N4853" s="13"/>
      <c r="O4853" s="13"/>
      <c r="P4853" s="26"/>
      <c r="Q4853" s="20"/>
      <c r="R4853" s="13"/>
      <c r="S4853" s="25"/>
      <c r="T4853" s="13"/>
      <c r="U4853" s="13"/>
      <c r="V4853" s="13"/>
      <c r="W4853" s="13"/>
      <c r="X4853" s="21"/>
      <c r="Y4853" s="22"/>
      <c r="Z4853" s="23"/>
      <c r="AA4853" s="23"/>
      <c r="AB4853" s="15"/>
      <c r="AC4853" s="14"/>
      <c r="AD4853" s="18"/>
      <c r="AE4853" s="18"/>
    </row>
    <row r="4854" customFormat="false" ht="15" hidden="false" customHeight="true" outlineLevel="0" collapsed="false">
      <c r="A4854" s="12"/>
      <c r="B4854" s="13"/>
      <c r="C4854" s="14"/>
      <c r="D4854" s="13"/>
      <c r="E4854" s="15"/>
      <c r="F4854" s="15"/>
      <c r="G4854" s="15"/>
      <c r="H4854" s="13"/>
      <c r="I4854" s="13"/>
      <c r="J4854" s="16"/>
      <c r="K4854" s="16"/>
      <c r="L4854" s="17" t="str">
        <f aca="false" t="array" ref="L4854:L4854">IFERROR(INDEX(AC4854:AE4854,IF(COUNTA(AC4854:AE4854)=0,"",MAX((AC4854:AE4854&lt;&gt;"")*(COLUMN(AC4854:AE4854)-(COLUMN(AC4854)-2))))-1),"")</f>
        <v/>
      </c>
      <c r="M4854" s="13"/>
      <c r="N4854" s="13"/>
      <c r="O4854" s="13"/>
      <c r="P4854" s="26"/>
      <c r="Q4854" s="20"/>
      <c r="R4854" s="13"/>
      <c r="S4854" s="25"/>
      <c r="T4854" s="13"/>
      <c r="U4854" s="13"/>
      <c r="V4854" s="13"/>
      <c r="W4854" s="13"/>
      <c r="X4854" s="21"/>
      <c r="Y4854" s="22"/>
      <c r="Z4854" s="23"/>
      <c r="AA4854" s="23"/>
      <c r="AB4854" s="15"/>
      <c r="AC4854" s="14"/>
      <c r="AD4854" s="18"/>
      <c r="AE4854" s="18"/>
    </row>
    <row r="4855" customFormat="false" ht="15" hidden="false" customHeight="true" outlineLevel="0" collapsed="false">
      <c r="A4855" s="12"/>
      <c r="B4855" s="13"/>
      <c r="C4855" s="14"/>
      <c r="D4855" s="13"/>
      <c r="E4855" s="15"/>
      <c r="F4855" s="15"/>
      <c r="G4855" s="15"/>
      <c r="H4855" s="13"/>
      <c r="I4855" s="13"/>
      <c r="J4855" s="16"/>
      <c r="K4855" s="16"/>
      <c r="L4855" s="17" t="str">
        <f aca="false" t="array" ref="L4855:L4855">IFERROR(INDEX(AC4855:AE4855,IF(COUNTA(AC4855:AE4855)=0,"",MAX((AC4855:AE4855&lt;&gt;"")*(COLUMN(AC4855:AE4855)-(COLUMN(AC4855)-2))))-1),"")</f>
        <v/>
      </c>
      <c r="M4855" s="13"/>
      <c r="N4855" s="13"/>
      <c r="O4855" s="13"/>
      <c r="P4855" s="26"/>
      <c r="Q4855" s="20"/>
      <c r="R4855" s="13"/>
      <c r="S4855" s="25"/>
      <c r="T4855" s="13"/>
      <c r="U4855" s="13"/>
      <c r="V4855" s="13"/>
      <c r="W4855" s="13"/>
      <c r="X4855" s="21"/>
      <c r="Y4855" s="22"/>
      <c r="Z4855" s="23"/>
      <c r="AA4855" s="23"/>
      <c r="AB4855" s="15"/>
      <c r="AC4855" s="14"/>
      <c r="AD4855" s="18"/>
      <c r="AE4855" s="18"/>
    </row>
    <row r="4856" customFormat="false" ht="15" hidden="false" customHeight="true" outlineLevel="0" collapsed="false">
      <c r="A4856" s="12"/>
      <c r="B4856" s="13"/>
      <c r="C4856" s="14"/>
      <c r="D4856" s="13"/>
      <c r="E4856" s="15"/>
      <c r="F4856" s="15"/>
      <c r="G4856" s="15"/>
      <c r="H4856" s="13"/>
      <c r="I4856" s="13"/>
      <c r="J4856" s="16"/>
      <c r="K4856" s="16"/>
      <c r="L4856" s="17" t="str">
        <f aca="false" t="array" ref="L4856:L4856">IFERROR(INDEX(AC4856:AE4856,IF(COUNTA(AC4856:AE4856)=0,"",MAX((AC4856:AE4856&lt;&gt;"")*(COLUMN(AC4856:AE4856)-(COLUMN(AC4856)-2))))-1),"")</f>
        <v/>
      </c>
      <c r="M4856" s="13"/>
      <c r="N4856" s="13"/>
      <c r="O4856" s="13"/>
      <c r="P4856" s="26"/>
      <c r="Q4856" s="20"/>
      <c r="R4856" s="13"/>
      <c r="S4856" s="25"/>
      <c r="T4856" s="13"/>
      <c r="U4856" s="13"/>
      <c r="V4856" s="13"/>
      <c r="W4856" s="13"/>
      <c r="X4856" s="21"/>
      <c r="Y4856" s="22"/>
      <c r="Z4856" s="23"/>
      <c r="AA4856" s="23"/>
      <c r="AB4856" s="15"/>
      <c r="AC4856" s="14"/>
      <c r="AD4856" s="18"/>
      <c r="AE4856" s="18"/>
    </row>
    <row r="4857" customFormat="false" ht="15" hidden="false" customHeight="true" outlineLevel="0" collapsed="false">
      <c r="A4857" s="12"/>
      <c r="B4857" s="13"/>
      <c r="C4857" s="14"/>
      <c r="D4857" s="13"/>
      <c r="E4857" s="15"/>
      <c r="F4857" s="15"/>
      <c r="G4857" s="15"/>
      <c r="H4857" s="13"/>
      <c r="I4857" s="13"/>
      <c r="J4857" s="16"/>
      <c r="K4857" s="16"/>
      <c r="L4857" s="17" t="str">
        <f aca="false" t="array" ref="L4857:L4857">IFERROR(INDEX(AC4857:AE4857,IF(COUNTA(AC4857:AE4857)=0,"",MAX((AC4857:AE4857&lt;&gt;"")*(COLUMN(AC4857:AE4857)-(COLUMN(AC4857)-2))))-1),"")</f>
        <v/>
      </c>
      <c r="M4857" s="13"/>
      <c r="N4857" s="13"/>
      <c r="O4857" s="13"/>
      <c r="P4857" s="26"/>
      <c r="Q4857" s="20"/>
      <c r="R4857" s="13"/>
      <c r="S4857" s="25"/>
      <c r="T4857" s="13"/>
      <c r="U4857" s="13"/>
      <c r="V4857" s="13"/>
      <c r="W4857" s="13"/>
      <c r="X4857" s="21"/>
      <c r="Y4857" s="22"/>
      <c r="Z4857" s="23"/>
      <c r="AA4857" s="23"/>
      <c r="AB4857" s="15"/>
      <c r="AC4857" s="14"/>
      <c r="AD4857" s="18"/>
      <c r="AE4857" s="18"/>
    </row>
    <row r="4858" customFormat="false" ht="15" hidden="false" customHeight="true" outlineLevel="0" collapsed="false">
      <c r="A4858" s="12"/>
      <c r="B4858" s="13"/>
      <c r="C4858" s="14"/>
      <c r="D4858" s="13"/>
      <c r="E4858" s="15"/>
      <c r="F4858" s="15"/>
      <c r="G4858" s="15"/>
      <c r="H4858" s="13"/>
      <c r="I4858" s="13"/>
      <c r="J4858" s="16"/>
      <c r="K4858" s="16"/>
      <c r="L4858" s="17" t="str">
        <f aca="false" t="array" ref="L4858:L4858">IFERROR(INDEX(AC4858:AE4858,IF(COUNTA(AC4858:AE4858)=0,"",MAX((AC4858:AE4858&lt;&gt;"")*(COLUMN(AC4858:AE4858)-(COLUMN(AC4858)-2))))-1),"")</f>
        <v/>
      </c>
      <c r="M4858" s="13"/>
      <c r="N4858" s="13"/>
      <c r="O4858" s="13"/>
      <c r="P4858" s="26"/>
      <c r="Q4858" s="20"/>
      <c r="R4858" s="13"/>
      <c r="S4858" s="25"/>
      <c r="T4858" s="13"/>
      <c r="U4858" s="13"/>
      <c r="V4858" s="13"/>
      <c r="W4858" s="13"/>
      <c r="X4858" s="21"/>
      <c r="Y4858" s="22"/>
      <c r="Z4858" s="23"/>
      <c r="AA4858" s="23"/>
      <c r="AB4858" s="15"/>
      <c r="AC4858" s="14"/>
      <c r="AD4858" s="18"/>
      <c r="AE4858" s="18"/>
    </row>
    <row r="4859" customFormat="false" ht="15" hidden="false" customHeight="true" outlineLevel="0" collapsed="false">
      <c r="A4859" s="12"/>
      <c r="B4859" s="13"/>
      <c r="C4859" s="14"/>
      <c r="D4859" s="13"/>
      <c r="E4859" s="15"/>
      <c r="F4859" s="15"/>
      <c r="G4859" s="15"/>
      <c r="H4859" s="13"/>
      <c r="I4859" s="13"/>
      <c r="J4859" s="16"/>
      <c r="K4859" s="16"/>
      <c r="L4859" s="17" t="str">
        <f aca="false" t="array" ref="L4859:L4859">IFERROR(INDEX(AC4859:AE4859,IF(COUNTA(AC4859:AE4859)=0,"",MAX((AC4859:AE4859&lt;&gt;"")*(COLUMN(AC4859:AE4859)-(COLUMN(AC4859)-2))))-1),"")</f>
        <v/>
      </c>
      <c r="M4859" s="13"/>
      <c r="N4859" s="13"/>
      <c r="O4859" s="13"/>
      <c r="P4859" s="26"/>
      <c r="Q4859" s="20"/>
      <c r="R4859" s="13"/>
      <c r="S4859" s="25"/>
      <c r="T4859" s="13"/>
      <c r="U4859" s="13"/>
      <c r="V4859" s="13"/>
      <c r="W4859" s="13"/>
      <c r="X4859" s="21"/>
      <c r="Y4859" s="22"/>
      <c r="Z4859" s="23"/>
      <c r="AA4859" s="23"/>
      <c r="AB4859" s="15"/>
      <c r="AC4859" s="14"/>
      <c r="AD4859" s="18"/>
      <c r="AE4859" s="18"/>
    </row>
    <row r="4860" customFormat="false" ht="15" hidden="false" customHeight="true" outlineLevel="0" collapsed="false">
      <c r="A4860" s="12"/>
      <c r="B4860" s="13"/>
      <c r="C4860" s="14"/>
      <c r="D4860" s="13"/>
      <c r="E4860" s="15"/>
      <c r="F4860" s="15"/>
      <c r="G4860" s="15"/>
      <c r="H4860" s="13"/>
      <c r="I4860" s="13"/>
      <c r="J4860" s="16"/>
      <c r="K4860" s="16"/>
      <c r="L4860" s="17" t="str">
        <f aca="false" t="array" ref="L4860:L4860">IFERROR(INDEX(AC4860:AE4860,IF(COUNTA(AC4860:AE4860)=0,"",MAX((AC4860:AE4860&lt;&gt;"")*(COLUMN(AC4860:AE4860)-(COLUMN(AC4860)-2))))-1),"")</f>
        <v/>
      </c>
      <c r="M4860" s="13"/>
      <c r="N4860" s="13"/>
      <c r="O4860" s="13"/>
      <c r="P4860" s="26"/>
      <c r="Q4860" s="20"/>
      <c r="R4860" s="13"/>
      <c r="S4860" s="25"/>
      <c r="T4860" s="13"/>
      <c r="U4860" s="13"/>
      <c r="V4860" s="13"/>
      <c r="W4860" s="13"/>
      <c r="X4860" s="21"/>
      <c r="Y4860" s="22"/>
      <c r="Z4860" s="23"/>
      <c r="AA4860" s="23"/>
      <c r="AB4860" s="15"/>
      <c r="AC4860" s="14"/>
      <c r="AD4860" s="18"/>
      <c r="AE4860" s="18"/>
    </row>
    <row r="4861" customFormat="false" ht="15" hidden="false" customHeight="true" outlineLevel="0" collapsed="false">
      <c r="A4861" s="12"/>
      <c r="B4861" s="13"/>
      <c r="C4861" s="14"/>
      <c r="D4861" s="13"/>
      <c r="E4861" s="15"/>
      <c r="F4861" s="15"/>
      <c r="G4861" s="15"/>
      <c r="H4861" s="13"/>
      <c r="I4861" s="13"/>
      <c r="J4861" s="16"/>
      <c r="K4861" s="16"/>
      <c r="L4861" s="17" t="str">
        <f aca="false" t="array" ref="L4861:L4861">IFERROR(INDEX(AC4861:AE4861,IF(COUNTA(AC4861:AE4861)=0,"",MAX((AC4861:AE4861&lt;&gt;"")*(COLUMN(AC4861:AE4861)-(COLUMN(AC4861)-2))))-1),"")</f>
        <v/>
      </c>
      <c r="M4861" s="13"/>
      <c r="N4861" s="13"/>
      <c r="O4861" s="13"/>
      <c r="P4861" s="26"/>
      <c r="Q4861" s="20"/>
      <c r="R4861" s="13"/>
      <c r="S4861" s="25"/>
      <c r="T4861" s="13"/>
      <c r="U4861" s="13"/>
      <c r="V4861" s="13"/>
      <c r="W4861" s="13"/>
      <c r="X4861" s="21"/>
      <c r="Y4861" s="22"/>
      <c r="Z4861" s="23"/>
      <c r="AA4861" s="23"/>
      <c r="AB4861" s="15"/>
      <c r="AC4861" s="14"/>
      <c r="AD4861" s="18"/>
      <c r="AE4861" s="18"/>
    </row>
    <row r="4862" customFormat="false" ht="15" hidden="false" customHeight="true" outlineLevel="0" collapsed="false">
      <c r="A4862" s="12"/>
      <c r="B4862" s="13"/>
      <c r="C4862" s="14"/>
      <c r="D4862" s="13"/>
      <c r="E4862" s="15"/>
      <c r="F4862" s="15"/>
      <c r="G4862" s="15"/>
      <c r="H4862" s="13"/>
      <c r="I4862" s="13"/>
      <c r="J4862" s="16"/>
      <c r="K4862" s="16"/>
      <c r="L4862" s="17" t="str">
        <f aca="false" t="array" ref="L4862:L4862">IFERROR(INDEX(AC4862:AE4862,IF(COUNTA(AC4862:AE4862)=0,"",MAX((AC4862:AE4862&lt;&gt;"")*(COLUMN(AC4862:AE4862)-(COLUMN(AC4862)-2))))-1),"")</f>
        <v/>
      </c>
      <c r="M4862" s="13"/>
      <c r="N4862" s="13"/>
      <c r="O4862" s="13"/>
      <c r="P4862" s="26"/>
      <c r="Q4862" s="20"/>
      <c r="R4862" s="13"/>
      <c r="S4862" s="25"/>
      <c r="T4862" s="13"/>
      <c r="U4862" s="13"/>
      <c r="V4862" s="13"/>
      <c r="W4862" s="13"/>
      <c r="X4862" s="21"/>
      <c r="Y4862" s="22"/>
      <c r="Z4862" s="23"/>
      <c r="AA4862" s="23"/>
      <c r="AB4862" s="15"/>
      <c r="AC4862" s="14"/>
      <c r="AD4862" s="18"/>
      <c r="AE4862" s="18"/>
    </row>
    <row r="4863" customFormat="false" ht="15" hidden="false" customHeight="true" outlineLevel="0" collapsed="false">
      <c r="A4863" s="12"/>
      <c r="B4863" s="13"/>
      <c r="C4863" s="14"/>
      <c r="D4863" s="13"/>
      <c r="E4863" s="15"/>
      <c r="F4863" s="15"/>
      <c r="G4863" s="15"/>
      <c r="H4863" s="13"/>
      <c r="I4863" s="13"/>
      <c r="J4863" s="16"/>
      <c r="K4863" s="16"/>
      <c r="L4863" s="17" t="str">
        <f aca="false" t="array" ref="L4863:L4863">IFERROR(INDEX(AC4863:AE4863,IF(COUNTA(AC4863:AE4863)=0,"",MAX((AC4863:AE4863&lt;&gt;"")*(COLUMN(AC4863:AE4863)-(COLUMN(AC4863)-2))))-1),"")</f>
        <v/>
      </c>
      <c r="M4863" s="13"/>
      <c r="N4863" s="13"/>
      <c r="O4863" s="13"/>
      <c r="P4863" s="26"/>
      <c r="Q4863" s="20"/>
      <c r="R4863" s="13"/>
      <c r="S4863" s="25"/>
      <c r="T4863" s="13"/>
      <c r="U4863" s="13"/>
      <c r="V4863" s="13"/>
      <c r="W4863" s="13"/>
      <c r="X4863" s="21"/>
      <c r="Y4863" s="22"/>
      <c r="Z4863" s="23"/>
      <c r="AA4863" s="23"/>
      <c r="AB4863" s="15"/>
      <c r="AC4863" s="14"/>
      <c r="AD4863" s="18"/>
      <c r="AE4863" s="18"/>
    </row>
    <row r="4864" customFormat="false" ht="15" hidden="false" customHeight="true" outlineLevel="0" collapsed="false">
      <c r="A4864" s="12"/>
      <c r="B4864" s="13"/>
      <c r="C4864" s="14"/>
      <c r="D4864" s="13"/>
      <c r="E4864" s="15"/>
      <c r="F4864" s="15"/>
      <c r="G4864" s="15"/>
      <c r="H4864" s="13"/>
      <c r="I4864" s="13"/>
      <c r="J4864" s="16"/>
      <c r="K4864" s="16"/>
      <c r="L4864" s="17" t="str">
        <f aca="false" t="array" ref="L4864:L4864">IFERROR(INDEX(AC4864:AE4864,IF(COUNTA(AC4864:AE4864)=0,"",MAX((AC4864:AE4864&lt;&gt;"")*(COLUMN(AC4864:AE4864)-(COLUMN(AC4864)-2))))-1),"")</f>
        <v/>
      </c>
      <c r="M4864" s="13"/>
      <c r="N4864" s="13"/>
      <c r="O4864" s="13"/>
      <c r="P4864" s="26"/>
      <c r="Q4864" s="20"/>
      <c r="R4864" s="13"/>
      <c r="S4864" s="25"/>
      <c r="T4864" s="13"/>
      <c r="U4864" s="13"/>
      <c r="V4864" s="13"/>
      <c r="W4864" s="13"/>
      <c r="X4864" s="21"/>
      <c r="Y4864" s="22"/>
      <c r="Z4864" s="23"/>
      <c r="AA4864" s="23"/>
      <c r="AB4864" s="15"/>
      <c r="AC4864" s="14"/>
      <c r="AD4864" s="18"/>
      <c r="AE4864" s="18"/>
    </row>
    <row r="4865" customFormat="false" ht="15" hidden="false" customHeight="true" outlineLevel="0" collapsed="false">
      <c r="A4865" s="12"/>
      <c r="B4865" s="13"/>
      <c r="C4865" s="14"/>
      <c r="D4865" s="13"/>
      <c r="E4865" s="15"/>
      <c r="F4865" s="15"/>
      <c r="G4865" s="15"/>
      <c r="H4865" s="13"/>
      <c r="I4865" s="13"/>
      <c r="J4865" s="16"/>
      <c r="K4865" s="16"/>
      <c r="L4865" s="17" t="str">
        <f aca="false" t="array" ref="L4865:L4865">IFERROR(INDEX(AC4865:AE4865,IF(COUNTA(AC4865:AE4865)=0,"",MAX((AC4865:AE4865&lt;&gt;"")*(COLUMN(AC4865:AE4865)-(COLUMN(AC4865)-2))))-1),"")</f>
        <v/>
      </c>
      <c r="M4865" s="13"/>
      <c r="N4865" s="13"/>
      <c r="O4865" s="13"/>
      <c r="P4865" s="26"/>
      <c r="Q4865" s="20"/>
      <c r="R4865" s="13"/>
      <c r="S4865" s="25"/>
      <c r="T4865" s="13"/>
      <c r="U4865" s="13"/>
      <c r="V4865" s="13"/>
      <c r="W4865" s="13"/>
      <c r="X4865" s="21"/>
      <c r="Y4865" s="22"/>
      <c r="Z4865" s="23"/>
      <c r="AA4865" s="23"/>
      <c r="AB4865" s="15"/>
      <c r="AC4865" s="14"/>
      <c r="AD4865" s="18"/>
      <c r="AE4865" s="18"/>
    </row>
    <row r="4866" customFormat="false" ht="15" hidden="false" customHeight="true" outlineLevel="0" collapsed="false">
      <c r="A4866" s="12"/>
      <c r="B4866" s="13"/>
      <c r="C4866" s="14"/>
      <c r="D4866" s="13"/>
      <c r="E4866" s="15"/>
      <c r="F4866" s="15"/>
      <c r="G4866" s="15"/>
      <c r="H4866" s="13"/>
      <c r="I4866" s="13"/>
      <c r="J4866" s="16"/>
      <c r="K4866" s="16"/>
      <c r="L4866" s="17" t="str">
        <f aca="false" t="array" ref="L4866:L4866">IFERROR(INDEX(AC4866:AE4866,IF(COUNTA(AC4866:AE4866)=0,"",MAX((AC4866:AE4866&lt;&gt;"")*(COLUMN(AC4866:AE4866)-(COLUMN(AC4866)-2))))-1),"")</f>
        <v/>
      </c>
      <c r="M4866" s="13"/>
      <c r="N4866" s="13"/>
      <c r="O4866" s="13"/>
      <c r="P4866" s="26"/>
      <c r="Q4866" s="20"/>
      <c r="R4866" s="13"/>
      <c r="S4866" s="25"/>
      <c r="T4866" s="13"/>
      <c r="U4866" s="13"/>
      <c r="V4866" s="13"/>
      <c r="W4866" s="13"/>
      <c r="X4866" s="21"/>
      <c r="Y4866" s="22"/>
      <c r="Z4866" s="23"/>
      <c r="AA4866" s="23"/>
      <c r="AB4866" s="15"/>
      <c r="AC4866" s="14"/>
      <c r="AD4866" s="18"/>
      <c r="AE4866" s="18"/>
    </row>
    <row r="4867" customFormat="false" ht="15" hidden="false" customHeight="true" outlineLevel="0" collapsed="false">
      <c r="A4867" s="12"/>
      <c r="B4867" s="13"/>
      <c r="C4867" s="14"/>
      <c r="D4867" s="13"/>
      <c r="E4867" s="15"/>
      <c r="F4867" s="15"/>
      <c r="G4867" s="15"/>
      <c r="H4867" s="13"/>
      <c r="I4867" s="13"/>
      <c r="J4867" s="16"/>
      <c r="K4867" s="16"/>
      <c r="L4867" s="17" t="str">
        <f aca="false" t="array" ref="L4867:L4867">IFERROR(INDEX(AC4867:AE4867,IF(COUNTA(AC4867:AE4867)=0,"",MAX((AC4867:AE4867&lt;&gt;"")*(COLUMN(AC4867:AE4867)-(COLUMN(AC4867)-2))))-1),"")</f>
        <v/>
      </c>
      <c r="M4867" s="13"/>
      <c r="N4867" s="13"/>
      <c r="O4867" s="13"/>
      <c r="P4867" s="26"/>
      <c r="Q4867" s="20"/>
      <c r="R4867" s="13"/>
      <c r="S4867" s="25"/>
      <c r="T4867" s="13"/>
      <c r="U4867" s="13"/>
      <c r="V4867" s="13"/>
      <c r="W4867" s="13"/>
      <c r="X4867" s="21"/>
      <c r="Y4867" s="22"/>
      <c r="Z4867" s="23"/>
      <c r="AA4867" s="23"/>
      <c r="AB4867" s="15"/>
      <c r="AC4867" s="14"/>
      <c r="AD4867" s="18"/>
      <c r="AE4867" s="18"/>
    </row>
    <row r="4868" customFormat="false" ht="15" hidden="false" customHeight="true" outlineLevel="0" collapsed="false">
      <c r="A4868" s="12"/>
      <c r="B4868" s="13"/>
      <c r="C4868" s="14"/>
      <c r="D4868" s="13"/>
      <c r="E4868" s="15"/>
      <c r="F4868" s="15"/>
      <c r="G4868" s="15"/>
      <c r="H4868" s="13"/>
      <c r="I4868" s="13"/>
      <c r="J4868" s="16"/>
      <c r="K4868" s="16"/>
      <c r="L4868" s="17" t="str">
        <f aca="false" t="array" ref="L4868:L4868">IFERROR(INDEX(AC4868:AE4868,IF(COUNTA(AC4868:AE4868)=0,"",MAX((AC4868:AE4868&lt;&gt;"")*(COLUMN(AC4868:AE4868)-(COLUMN(AC4868)-2))))-1),"")</f>
        <v/>
      </c>
      <c r="M4868" s="13"/>
      <c r="N4868" s="13"/>
      <c r="O4868" s="13"/>
      <c r="P4868" s="26"/>
      <c r="Q4868" s="20"/>
      <c r="R4868" s="13"/>
      <c r="S4868" s="25"/>
      <c r="T4868" s="13"/>
      <c r="U4868" s="13"/>
      <c r="V4868" s="13"/>
      <c r="W4868" s="13"/>
      <c r="X4868" s="21"/>
      <c r="Y4868" s="22"/>
      <c r="Z4868" s="23"/>
      <c r="AA4868" s="23"/>
      <c r="AB4868" s="15"/>
      <c r="AC4868" s="14"/>
      <c r="AD4868" s="18"/>
      <c r="AE4868" s="18"/>
    </row>
    <row r="4869" customFormat="false" ht="15" hidden="false" customHeight="true" outlineLevel="0" collapsed="false">
      <c r="A4869" s="12"/>
      <c r="B4869" s="13"/>
      <c r="C4869" s="14"/>
      <c r="D4869" s="13"/>
      <c r="E4869" s="15"/>
      <c r="F4869" s="15"/>
      <c r="G4869" s="15"/>
      <c r="H4869" s="13"/>
      <c r="I4869" s="13"/>
      <c r="J4869" s="16"/>
      <c r="K4869" s="16"/>
      <c r="L4869" s="17" t="str">
        <f aca="false" t="array" ref="L4869:L4869">IFERROR(INDEX(AC4869:AE4869,IF(COUNTA(AC4869:AE4869)=0,"",MAX((AC4869:AE4869&lt;&gt;"")*(COLUMN(AC4869:AE4869)-(COLUMN(AC4869)-2))))-1),"")</f>
        <v/>
      </c>
      <c r="M4869" s="13"/>
      <c r="N4869" s="13"/>
      <c r="O4869" s="13"/>
      <c r="P4869" s="26"/>
      <c r="Q4869" s="20"/>
      <c r="R4869" s="13"/>
      <c r="S4869" s="25"/>
      <c r="T4869" s="13"/>
      <c r="U4869" s="13"/>
      <c r="V4869" s="13"/>
      <c r="W4869" s="13"/>
      <c r="X4869" s="21"/>
      <c r="Y4869" s="22"/>
      <c r="Z4869" s="23"/>
      <c r="AA4869" s="23"/>
      <c r="AB4869" s="15"/>
      <c r="AC4869" s="14"/>
      <c r="AD4869" s="18"/>
      <c r="AE4869" s="18"/>
    </row>
    <row r="4870" customFormat="false" ht="15" hidden="false" customHeight="true" outlineLevel="0" collapsed="false">
      <c r="A4870" s="12"/>
      <c r="B4870" s="13"/>
      <c r="C4870" s="14"/>
      <c r="D4870" s="13"/>
      <c r="E4870" s="15"/>
      <c r="F4870" s="15"/>
      <c r="G4870" s="15"/>
      <c r="H4870" s="13"/>
      <c r="I4870" s="13"/>
      <c r="J4870" s="16"/>
      <c r="K4870" s="16"/>
      <c r="L4870" s="17" t="str">
        <f aca="false" t="array" ref="L4870:L4870">IFERROR(INDEX(AC4870:AE4870,IF(COUNTA(AC4870:AE4870)=0,"",MAX((AC4870:AE4870&lt;&gt;"")*(COLUMN(AC4870:AE4870)-(COLUMN(AC4870)-2))))-1),"")</f>
        <v/>
      </c>
      <c r="M4870" s="13"/>
      <c r="N4870" s="13"/>
      <c r="O4870" s="13"/>
      <c r="P4870" s="26"/>
      <c r="Q4870" s="20"/>
      <c r="R4870" s="13"/>
      <c r="S4870" s="25"/>
      <c r="T4870" s="13"/>
      <c r="U4870" s="13"/>
      <c r="V4870" s="13"/>
      <c r="W4870" s="13"/>
      <c r="X4870" s="21"/>
      <c r="Y4870" s="22"/>
      <c r="Z4870" s="23"/>
      <c r="AA4870" s="23"/>
      <c r="AB4870" s="15"/>
      <c r="AC4870" s="14"/>
      <c r="AD4870" s="18"/>
      <c r="AE4870" s="18"/>
    </row>
    <row r="4871" customFormat="false" ht="15" hidden="false" customHeight="true" outlineLevel="0" collapsed="false">
      <c r="A4871" s="12"/>
      <c r="B4871" s="13"/>
      <c r="C4871" s="14"/>
      <c r="D4871" s="13"/>
      <c r="E4871" s="15"/>
      <c r="F4871" s="15"/>
      <c r="G4871" s="15"/>
      <c r="H4871" s="13"/>
      <c r="I4871" s="13"/>
      <c r="J4871" s="16"/>
      <c r="K4871" s="16"/>
      <c r="L4871" s="17" t="str">
        <f aca="false" t="array" ref="L4871:L4871">IFERROR(INDEX(AC4871:AE4871,IF(COUNTA(AC4871:AE4871)=0,"",MAX((AC4871:AE4871&lt;&gt;"")*(COLUMN(AC4871:AE4871)-(COLUMN(AC4871)-2))))-1),"")</f>
        <v/>
      </c>
      <c r="M4871" s="13"/>
      <c r="N4871" s="13"/>
      <c r="O4871" s="13"/>
      <c r="P4871" s="26"/>
      <c r="Q4871" s="20"/>
      <c r="R4871" s="13"/>
      <c r="S4871" s="25"/>
      <c r="T4871" s="13"/>
      <c r="U4871" s="13"/>
      <c r="V4871" s="13"/>
      <c r="W4871" s="13"/>
      <c r="X4871" s="21"/>
      <c r="Y4871" s="22"/>
      <c r="Z4871" s="23"/>
      <c r="AA4871" s="23"/>
      <c r="AB4871" s="15"/>
      <c r="AC4871" s="14"/>
      <c r="AD4871" s="18"/>
      <c r="AE4871" s="18"/>
    </row>
    <row r="4872" customFormat="false" ht="15" hidden="false" customHeight="true" outlineLevel="0" collapsed="false">
      <c r="A4872" s="12"/>
      <c r="B4872" s="13"/>
      <c r="C4872" s="14"/>
      <c r="D4872" s="13"/>
      <c r="E4872" s="15"/>
      <c r="F4872" s="15"/>
      <c r="G4872" s="15"/>
      <c r="H4872" s="13"/>
      <c r="I4872" s="13"/>
      <c r="J4872" s="16"/>
      <c r="K4872" s="16"/>
      <c r="L4872" s="17" t="str">
        <f aca="false" t="array" ref="L4872:L4872">IFERROR(INDEX(AC4872:AE4872,IF(COUNTA(AC4872:AE4872)=0,"",MAX((AC4872:AE4872&lt;&gt;"")*(COLUMN(AC4872:AE4872)-(COLUMN(AC4872)-2))))-1),"")</f>
        <v/>
      </c>
      <c r="M4872" s="13"/>
      <c r="N4872" s="13"/>
      <c r="O4872" s="13"/>
      <c r="P4872" s="26"/>
      <c r="Q4872" s="20"/>
      <c r="R4872" s="13"/>
      <c r="S4872" s="25"/>
      <c r="T4872" s="13"/>
      <c r="U4872" s="13"/>
      <c r="V4872" s="13"/>
      <c r="W4872" s="13"/>
      <c r="X4872" s="21"/>
      <c r="Y4872" s="22"/>
      <c r="Z4872" s="23"/>
      <c r="AA4872" s="23"/>
      <c r="AB4872" s="15"/>
      <c r="AC4872" s="14"/>
      <c r="AD4872" s="18"/>
      <c r="AE4872" s="18"/>
    </row>
    <row r="4873" customFormat="false" ht="15" hidden="false" customHeight="true" outlineLevel="0" collapsed="false">
      <c r="A4873" s="12"/>
      <c r="B4873" s="13"/>
      <c r="C4873" s="14"/>
      <c r="D4873" s="13"/>
      <c r="E4873" s="15"/>
      <c r="F4873" s="15"/>
      <c r="G4873" s="15"/>
      <c r="H4873" s="13"/>
      <c r="I4873" s="13"/>
      <c r="J4873" s="16"/>
      <c r="K4873" s="16"/>
      <c r="L4873" s="17" t="str">
        <f aca="false" t="array" ref="L4873:L4873">IFERROR(INDEX(AC4873:AE4873,IF(COUNTA(AC4873:AE4873)=0,"",MAX((AC4873:AE4873&lt;&gt;"")*(COLUMN(AC4873:AE4873)-(COLUMN(AC4873)-2))))-1),"")</f>
        <v/>
      </c>
      <c r="M4873" s="13"/>
      <c r="N4873" s="13"/>
      <c r="O4873" s="13"/>
      <c r="P4873" s="26"/>
      <c r="Q4873" s="20"/>
      <c r="R4873" s="13"/>
      <c r="S4873" s="25"/>
      <c r="T4873" s="13"/>
      <c r="U4873" s="13"/>
      <c r="V4873" s="13"/>
      <c r="W4873" s="13"/>
      <c r="X4873" s="21"/>
      <c r="Y4873" s="22"/>
      <c r="Z4873" s="23"/>
      <c r="AA4873" s="23"/>
      <c r="AB4873" s="15"/>
      <c r="AC4873" s="14"/>
      <c r="AD4873" s="18"/>
      <c r="AE4873" s="18"/>
    </row>
    <row r="4874" customFormat="false" ht="15" hidden="false" customHeight="true" outlineLevel="0" collapsed="false">
      <c r="A4874" s="12"/>
      <c r="B4874" s="13"/>
      <c r="C4874" s="14"/>
      <c r="D4874" s="13"/>
      <c r="E4874" s="15"/>
      <c r="F4874" s="15"/>
      <c r="G4874" s="15"/>
      <c r="H4874" s="13"/>
      <c r="I4874" s="13"/>
      <c r="J4874" s="16"/>
      <c r="K4874" s="16"/>
      <c r="L4874" s="17" t="str">
        <f aca="false" t="array" ref="L4874:L4874">IFERROR(INDEX(AC4874:AE4874,IF(COUNTA(AC4874:AE4874)=0,"",MAX((AC4874:AE4874&lt;&gt;"")*(COLUMN(AC4874:AE4874)-(COLUMN(AC4874)-2))))-1),"")</f>
        <v/>
      </c>
      <c r="M4874" s="13"/>
      <c r="N4874" s="13"/>
      <c r="O4874" s="13"/>
      <c r="P4874" s="26"/>
      <c r="Q4874" s="20"/>
      <c r="R4874" s="13"/>
      <c r="S4874" s="25"/>
      <c r="T4874" s="13"/>
      <c r="U4874" s="13"/>
      <c r="V4874" s="13"/>
      <c r="W4874" s="13"/>
      <c r="X4874" s="21"/>
      <c r="Y4874" s="22"/>
      <c r="Z4874" s="23"/>
      <c r="AA4874" s="23"/>
      <c r="AB4874" s="15"/>
      <c r="AC4874" s="14"/>
      <c r="AD4874" s="18"/>
      <c r="AE4874" s="18"/>
    </row>
    <row r="4875" customFormat="false" ht="15" hidden="false" customHeight="true" outlineLevel="0" collapsed="false">
      <c r="A4875" s="12"/>
      <c r="B4875" s="13"/>
      <c r="C4875" s="14"/>
      <c r="D4875" s="13"/>
      <c r="E4875" s="15"/>
      <c r="F4875" s="15"/>
      <c r="G4875" s="15"/>
      <c r="H4875" s="13"/>
      <c r="I4875" s="13"/>
      <c r="J4875" s="16"/>
      <c r="K4875" s="16"/>
      <c r="L4875" s="17" t="str">
        <f aca="false" t="array" ref="L4875:L4875">IFERROR(INDEX(AC4875:AE4875,IF(COUNTA(AC4875:AE4875)=0,"",MAX((AC4875:AE4875&lt;&gt;"")*(COLUMN(AC4875:AE4875)-(COLUMN(AC4875)-2))))-1),"")</f>
        <v/>
      </c>
      <c r="M4875" s="13"/>
      <c r="N4875" s="13"/>
      <c r="O4875" s="13"/>
      <c r="P4875" s="26"/>
      <c r="Q4875" s="20"/>
      <c r="R4875" s="13"/>
      <c r="S4875" s="25"/>
      <c r="T4875" s="13"/>
      <c r="U4875" s="13"/>
      <c r="V4875" s="13"/>
      <c r="W4875" s="13"/>
      <c r="X4875" s="21"/>
      <c r="Y4875" s="22"/>
      <c r="Z4875" s="23"/>
      <c r="AA4875" s="23"/>
      <c r="AB4875" s="15"/>
      <c r="AC4875" s="14"/>
      <c r="AD4875" s="18"/>
      <c r="AE4875" s="18"/>
    </row>
    <row r="4876" customFormat="false" ht="15" hidden="false" customHeight="true" outlineLevel="0" collapsed="false">
      <c r="A4876" s="12"/>
      <c r="B4876" s="13"/>
      <c r="C4876" s="14"/>
      <c r="D4876" s="13"/>
      <c r="E4876" s="15"/>
      <c r="F4876" s="15"/>
      <c r="G4876" s="15"/>
      <c r="H4876" s="13"/>
      <c r="I4876" s="13"/>
      <c r="J4876" s="16"/>
      <c r="K4876" s="16"/>
      <c r="L4876" s="17" t="str">
        <f aca="false" t="array" ref="L4876:L4876">IFERROR(INDEX(AC4876:AE4876,IF(COUNTA(AC4876:AE4876)=0,"",MAX((AC4876:AE4876&lt;&gt;"")*(COLUMN(AC4876:AE4876)-(COLUMN(AC4876)-2))))-1),"")</f>
        <v/>
      </c>
      <c r="M4876" s="13"/>
      <c r="N4876" s="13"/>
      <c r="O4876" s="13"/>
      <c r="P4876" s="26"/>
      <c r="Q4876" s="20"/>
      <c r="R4876" s="13"/>
      <c r="S4876" s="25"/>
      <c r="T4876" s="13"/>
      <c r="U4876" s="13"/>
      <c r="V4876" s="13"/>
      <c r="W4876" s="13"/>
      <c r="X4876" s="21"/>
      <c r="Y4876" s="22"/>
      <c r="Z4876" s="23"/>
      <c r="AA4876" s="23"/>
      <c r="AB4876" s="15"/>
      <c r="AC4876" s="14"/>
      <c r="AD4876" s="18"/>
      <c r="AE4876" s="18"/>
    </row>
    <row r="4877" customFormat="false" ht="15" hidden="false" customHeight="true" outlineLevel="0" collapsed="false">
      <c r="A4877" s="12"/>
      <c r="B4877" s="13"/>
      <c r="C4877" s="14"/>
      <c r="D4877" s="13"/>
      <c r="E4877" s="15"/>
      <c r="F4877" s="15"/>
      <c r="G4877" s="15"/>
      <c r="H4877" s="13"/>
      <c r="I4877" s="13"/>
      <c r="J4877" s="16"/>
      <c r="K4877" s="16"/>
      <c r="L4877" s="17" t="str">
        <f aca="false" t="array" ref="L4877:L4877">IFERROR(INDEX(AC4877:AE4877,IF(COUNTA(AC4877:AE4877)=0,"",MAX((AC4877:AE4877&lt;&gt;"")*(COLUMN(AC4877:AE4877)-(COLUMN(AC4877)-2))))-1),"")</f>
        <v/>
      </c>
      <c r="M4877" s="13"/>
      <c r="N4877" s="13"/>
      <c r="O4877" s="13"/>
      <c r="P4877" s="26"/>
      <c r="Q4877" s="20"/>
      <c r="R4877" s="13"/>
      <c r="S4877" s="25"/>
      <c r="T4877" s="13"/>
      <c r="U4877" s="13"/>
      <c r="V4877" s="13"/>
      <c r="W4877" s="13"/>
      <c r="X4877" s="21"/>
      <c r="Y4877" s="22"/>
      <c r="Z4877" s="23"/>
      <c r="AA4877" s="23"/>
      <c r="AB4877" s="15"/>
      <c r="AC4877" s="14"/>
      <c r="AD4877" s="18"/>
      <c r="AE4877" s="18"/>
    </row>
    <row r="4878" customFormat="false" ht="15" hidden="false" customHeight="true" outlineLevel="0" collapsed="false">
      <c r="A4878" s="12"/>
      <c r="B4878" s="13"/>
      <c r="C4878" s="14"/>
      <c r="D4878" s="13"/>
      <c r="E4878" s="15"/>
      <c r="F4878" s="15"/>
      <c r="G4878" s="15"/>
      <c r="H4878" s="13"/>
      <c r="I4878" s="13"/>
      <c r="J4878" s="16"/>
      <c r="K4878" s="16"/>
      <c r="L4878" s="17" t="str">
        <f aca="false" t="array" ref="L4878:L4878">IFERROR(INDEX(AC4878:AE4878,IF(COUNTA(AC4878:AE4878)=0,"",MAX((AC4878:AE4878&lt;&gt;"")*(COLUMN(AC4878:AE4878)-(COLUMN(AC4878)-2))))-1),"")</f>
        <v/>
      </c>
      <c r="M4878" s="13"/>
      <c r="N4878" s="13"/>
      <c r="O4878" s="13"/>
      <c r="P4878" s="26"/>
      <c r="Q4878" s="20"/>
      <c r="R4878" s="13"/>
      <c r="S4878" s="25"/>
      <c r="T4878" s="13"/>
      <c r="U4878" s="13"/>
      <c r="V4878" s="13"/>
      <c r="W4878" s="13"/>
      <c r="X4878" s="21"/>
      <c r="Y4878" s="22"/>
      <c r="Z4878" s="23"/>
      <c r="AA4878" s="23"/>
      <c r="AB4878" s="15"/>
      <c r="AC4878" s="14"/>
      <c r="AD4878" s="18"/>
      <c r="AE4878" s="18"/>
    </row>
    <row r="4879" customFormat="false" ht="15" hidden="false" customHeight="true" outlineLevel="0" collapsed="false">
      <c r="A4879" s="12"/>
      <c r="B4879" s="13"/>
      <c r="C4879" s="14"/>
      <c r="D4879" s="13"/>
      <c r="E4879" s="15"/>
      <c r="F4879" s="15"/>
      <c r="G4879" s="15"/>
      <c r="H4879" s="13"/>
      <c r="I4879" s="13"/>
      <c r="J4879" s="16"/>
      <c r="K4879" s="16"/>
      <c r="L4879" s="17" t="str">
        <f aca="false" t="array" ref="L4879:L4879">IFERROR(INDEX(AC4879:AE4879,IF(COUNTA(AC4879:AE4879)=0,"",MAX((AC4879:AE4879&lt;&gt;"")*(COLUMN(AC4879:AE4879)-(COLUMN(AC4879)-2))))-1),"")</f>
        <v/>
      </c>
      <c r="M4879" s="13"/>
      <c r="N4879" s="13"/>
      <c r="O4879" s="13"/>
      <c r="P4879" s="26"/>
      <c r="Q4879" s="20"/>
      <c r="R4879" s="13"/>
      <c r="S4879" s="25"/>
      <c r="T4879" s="13"/>
      <c r="U4879" s="13"/>
      <c r="V4879" s="13"/>
      <c r="W4879" s="13"/>
      <c r="X4879" s="21"/>
      <c r="Y4879" s="22"/>
      <c r="Z4879" s="23"/>
      <c r="AA4879" s="23"/>
      <c r="AB4879" s="15"/>
      <c r="AC4879" s="14"/>
      <c r="AD4879" s="18"/>
      <c r="AE4879" s="18"/>
    </row>
    <row r="4880" customFormat="false" ht="15" hidden="false" customHeight="true" outlineLevel="0" collapsed="false">
      <c r="A4880" s="12"/>
      <c r="B4880" s="13"/>
      <c r="C4880" s="14"/>
      <c r="D4880" s="13"/>
      <c r="E4880" s="15"/>
      <c r="F4880" s="15"/>
      <c r="G4880" s="15"/>
      <c r="H4880" s="13"/>
      <c r="I4880" s="13"/>
      <c r="J4880" s="16"/>
      <c r="K4880" s="16"/>
      <c r="L4880" s="17" t="str">
        <f aca="false" t="array" ref="L4880:L4880">IFERROR(INDEX(AC4880:AE4880,IF(COUNTA(AC4880:AE4880)=0,"",MAX((AC4880:AE4880&lt;&gt;"")*(COLUMN(AC4880:AE4880)-(COLUMN(AC4880)-2))))-1),"")</f>
        <v/>
      </c>
      <c r="M4880" s="13"/>
      <c r="N4880" s="13"/>
      <c r="O4880" s="13"/>
      <c r="P4880" s="26"/>
      <c r="Q4880" s="20"/>
      <c r="R4880" s="13"/>
      <c r="S4880" s="25"/>
      <c r="T4880" s="13"/>
      <c r="U4880" s="13"/>
      <c r="V4880" s="13"/>
      <c r="W4880" s="13"/>
      <c r="X4880" s="21"/>
      <c r="Y4880" s="22"/>
      <c r="Z4880" s="23"/>
      <c r="AA4880" s="23"/>
      <c r="AB4880" s="15"/>
      <c r="AC4880" s="14"/>
      <c r="AD4880" s="18"/>
      <c r="AE4880" s="18"/>
    </row>
    <row r="4881" customFormat="false" ht="15" hidden="false" customHeight="true" outlineLevel="0" collapsed="false">
      <c r="A4881" s="12"/>
      <c r="B4881" s="13"/>
      <c r="C4881" s="14"/>
      <c r="D4881" s="13"/>
      <c r="E4881" s="15"/>
      <c r="F4881" s="15"/>
      <c r="G4881" s="15"/>
      <c r="H4881" s="13"/>
      <c r="I4881" s="13"/>
      <c r="J4881" s="16"/>
      <c r="K4881" s="16"/>
      <c r="L4881" s="17" t="str">
        <f aca="false" t="array" ref="L4881:L4881">IFERROR(INDEX(AC4881:AE4881,IF(COUNTA(AC4881:AE4881)=0,"",MAX((AC4881:AE4881&lt;&gt;"")*(COLUMN(AC4881:AE4881)-(COLUMN(AC4881)-2))))-1),"")</f>
        <v/>
      </c>
      <c r="M4881" s="13"/>
      <c r="N4881" s="13"/>
      <c r="O4881" s="13"/>
      <c r="P4881" s="26"/>
      <c r="Q4881" s="20"/>
      <c r="R4881" s="13"/>
      <c r="S4881" s="25"/>
      <c r="T4881" s="13"/>
      <c r="U4881" s="13"/>
      <c r="V4881" s="13"/>
      <c r="W4881" s="13"/>
      <c r="X4881" s="21"/>
      <c r="Y4881" s="22"/>
      <c r="Z4881" s="23"/>
      <c r="AA4881" s="23"/>
      <c r="AB4881" s="15"/>
      <c r="AC4881" s="14"/>
      <c r="AD4881" s="18"/>
      <c r="AE4881" s="18"/>
    </row>
    <row r="4882" customFormat="false" ht="15" hidden="false" customHeight="true" outlineLevel="0" collapsed="false">
      <c r="A4882" s="12"/>
      <c r="B4882" s="13"/>
      <c r="C4882" s="14"/>
      <c r="D4882" s="13"/>
      <c r="E4882" s="15"/>
      <c r="F4882" s="15"/>
      <c r="G4882" s="15"/>
      <c r="H4882" s="13"/>
      <c r="I4882" s="13"/>
      <c r="J4882" s="16"/>
      <c r="K4882" s="16"/>
      <c r="L4882" s="17" t="str">
        <f aca="false" t="array" ref="L4882:L4882">IFERROR(INDEX(AC4882:AE4882,IF(COUNTA(AC4882:AE4882)=0,"",MAX((AC4882:AE4882&lt;&gt;"")*(COLUMN(AC4882:AE4882)-(COLUMN(AC4882)-2))))-1),"")</f>
        <v/>
      </c>
      <c r="M4882" s="13"/>
      <c r="N4882" s="13"/>
      <c r="O4882" s="13"/>
      <c r="P4882" s="26"/>
      <c r="Q4882" s="20"/>
      <c r="R4882" s="13"/>
      <c r="S4882" s="25"/>
      <c r="T4882" s="13"/>
      <c r="U4882" s="13"/>
      <c r="V4882" s="13"/>
      <c r="W4882" s="13"/>
      <c r="X4882" s="21"/>
      <c r="Y4882" s="22"/>
      <c r="Z4882" s="23"/>
      <c r="AA4882" s="23"/>
      <c r="AB4882" s="15"/>
      <c r="AC4882" s="14"/>
      <c r="AD4882" s="18"/>
      <c r="AE4882" s="18"/>
    </row>
    <row r="4883" customFormat="false" ht="15" hidden="false" customHeight="true" outlineLevel="0" collapsed="false">
      <c r="A4883" s="12"/>
      <c r="B4883" s="13"/>
      <c r="C4883" s="14"/>
      <c r="D4883" s="13"/>
      <c r="E4883" s="15"/>
      <c r="F4883" s="15"/>
      <c r="G4883" s="15"/>
      <c r="H4883" s="13"/>
      <c r="I4883" s="13"/>
      <c r="J4883" s="16"/>
      <c r="K4883" s="16"/>
      <c r="L4883" s="17" t="str">
        <f aca="false" t="array" ref="L4883:L4883">IFERROR(INDEX(AC4883:AE4883,IF(COUNTA(AC4883:AE4883)=0,"",MAX((AC4883:AE4883&lt;&gt;"")*(COLUMN(AC4883:AE4883)-(COLUMN(AC4883)-2))))-1),"")</f>
        <v/>
      </c>
      <c r="M4883" s="13"/>
      <c r="N4883" s="13"/>
      <c r="O4883" s="13"/>
      <c r="P4883" s="26"/>
      <c r="Q4883" s="20"/>
      <c r="R4883" s="13"/>
      <c r="S4883" s="25"/>
      <c r="T4883" s="13"/>
      <c r="U4883" s="13"/>
      <c r="V4883" s="13"/>
      <c r="W4883" s="13"/>
      <c r="X4883" s="21"/>
      <c r="Y4883" s="22"/>
      <c r="Z4883" s="23"/>
      <c r="AA4883" s="23"/>
      <c r="AB4883" s="15"/>
      <c r="AC4883" s="14"/>
      <c r="AD4883" s="18"/>
      <c r="AE4883" s="18"/>
    </row>
    <row r="4884" customFormat="false" ht="15" hidden="false" customHeight="true" outlineLevel="0" collapsed="false">
      <c r="A4884" s="12"/>
      <c r="B4884" s="13"/>
      <c r="C4884" s="14"/>
      <c r="D4884" s="13"/>
      <c r="E4884" s="15"/>
      <c r="F4884" s="15"/>
      <c r="G4884" s="15"/>
      <c r="H4884" s="13"/>
      <c r="I4884" s="13"/>
      <c r="J4884" s="16"/>
      <c r="K4884" s="16"/>
      <c r="L4884" s="17" t="str">
        <f aca="false" t="array" ref="L4884:L4884">IFERROR(INDEX(AC4884:AE4884,IF(COUNTA(AC4884:AE4884)=0,"",MAX((AC4884:AE4884&lt;&gt;"")*(COLUMN(AC4884:AE4884)-(COLUMN(AC4884)-2))))-1),"")</f>
        <v/>
      </c>
      <c r="M4884" s="13"/>
      <c r="N4884" s="13"/>
      <c r="O4884" s="13"/>
      <c r="P4884" s="26"/>
      <c r="Q4884" s="20"/>
      <c r="R4884" s="13"/>
      <c r="S4884" s="25"/>
      <c r="T4884" s="13"/>
      <c r="U4884" s="13"/>
      <c r="V4884" s="13"/>
      <c r="W4884" s="13"/>
      <c r="X4884" s="21"/>
      <c r="Y4884" s="22"/>
      <c r="Z4884" s="23"/>
      <c r="AA4884" s="23"/>
      <c r="AB4884" s="15"/>
      <c r="AC4884" s="14"/>
      <c r="AD4884" s="18"/>
      <c r="AE4884" s="18"/>
    </row>
    <row r="4885" customFormat="false" ht="15" hidden="false" customHeight="true" outlineLevel="0" collapsed="false">
      <c r="A4885" s="12"/>
      <c r="B4885" s="13"/>
      <c r="C4885" s="14"/>
      <c r="D4885" s="13"/>
      <c r="E4885" s="15"/>
      <c r="F4885" s="15"/>
      <c r="G4885" s="15"/>
      <c r="H4885" s="13"/>
      <c r="I4885" s="13"/>
      <c r="J4885" s="16"/>
      <c r="K4885" s="16"/>
      <c r="L4885" s="17" t="str">
        <f aca="false" t="array" ref="L4885:L4885">IFERROR(INDEX(AC4885:AE4885,IF(COUNTA(AC4885:AE4885)=0,"",MAX((AC4885:AE4885&lt;&gt;"")*(COLUMN(AC4885:AE4885)-(COLUMN(AC4885)-2))))-1),"")</f>
        <v/>
      </c>
      <c r="M4885" s="13"/>
      <c r="N4885" s="13"/>
      <c r="O4885" s="13"/>
      <c r="P4885" s="26"/>
      <c r="Q4885" s="20"/>
      <c r="R4885" s="13"/>
      <c r="S4885" s="25"/>
      <c r="T4885" s="13"/>
      <c r="U4885" s="13"/>
      <c r="V4885" s="13"/>
      <c r="W4885" s="13"/>
      <c r="X4885" s="21"/>
      <c r="Y4885" s="22"/>
      <c r="Z4885" s="23"/>
      <c r="AA4885" s="23"/>
      <c r="AB4885" s="15"/>
      <c r="AC4885" s="14"/>
      <c r="AD4885" s="18"/>
      <c r="AE4885" s="18"/>
    </row>
    <row r="4886" customFormat="false" ht="15" hidden="false" customHeight="true" outlineLevel="0" collapsed="false">
      <c r="A4886" s="12"/>
      <c r="B4886" s="13"/>
      <c r="C4886" s="14"/>
      <c r="D4886" s="13"/>
      <c r="E4886" s="15"/>
      <c r="F4886" s="15"/>
      <c r="G4886" s="15"/>
      <c r="H4886" s="13"/>
      <c r="I4886" s="13"/>
      <c r="J4886" s="16"/>
      <c r="K4886" s="16"/>
      <c r="L4886" s="17" t="str">
        <f aca="false" t="array" ref="L4886:L4886">IFERROR(INDEX(AC4886:AE4886,IF(COUNTA(AC4886:AE4886)=0,"",MAX((AC4886:AE4886&lt;&gt;"")*(COLUMN(AC4886:AE4886)-(COLUMN(AC4886)-2))))-1),"")</f>
        <v/>
      </c>
      <c r="M4886" s="13"/>
      <c r="N4886" s="13"/>
      <c r="O4886" s="13"/>
      <c r="P4886" s="26"/>
      <c r="Q4886" s="20"/>
      <c r="R4886" s="13"/>
      <c r="S4886" s="25"/>
      <c r="T4886" s="13"/>
      <c r="U4886" s="13"/>
      <c r="V4886" s="13"/>
      <c r="W4886" s="13"/>
      <c r="X4886" s="21"/>
      <c r="Y4886" s="22"/>
      <c r="Z4886" s="23"/>
      <c r="AA4886" s="23"/>
      <c r="AB4886" s="15"/>
      <c r="AC4886" s="14"/>
      <c r="AD4886" s="18"/>
      <c r="AE4886" s="18"/>
    </row>
    <row r="4887" customFormat="false" ht="15" hidden="false" customHeight="true" outlineLevel="0" collapsed="false">
      <c r="A4887" s="12"/>
      <c r="B4887" s="13"/>
      <c r="C4887" s="14"/>
      <c r="D4887" s="13"/>
      <c r="E4887" s="15"/>
      <c r="F4887" s="15"/>
      <c r="G4887" s="15"/>
      <c r="H4887" s="13"/>
      <c r="I4887" s="13"/>
      <c r="J4887" s="16"/>
      <c r="K4887" s="16"/>
      <c r="L4887" s="17" t="str">
        <f aca="false" t="array" ref="L4887:L4887">IFERROR(INDEX(AC4887:AE4887,IF(COUNTA(AC4887:AE4887)=0,"",MAX((AC4887:AE4887&lt;&gt;"")*(COLUMN(AC4887:AE4887)-(COLUMN(AC4887)-2))))-1),"")</f>
        <v/>
      </c>
      <c r="M4887" s="13"/>
      <c r="N4887" s="13"/>
      <c r="O4887" s="13"/>
      <c r="P4887" s="26"/>
      <c r="Q4887" s="20"/>
      <c r="R4887" s="13"/>
      <c r="S4887" s="25"/>
      <c r="T4887" s="13"/>
      <c r="U4887" s="13"/>
      <c r="V4887" s="13"/>
      <c r="W4887" s="13"/>
      <c r="X4887" s="21"/>
      <c r="Y4887" s="22"/>
      <c r="Z4887" s="23"/>
      <c r="AA4887" s="23"/>
      <c r="AB4887" s="15"/>
      <c r="AC4887" s="14"/>
      <c r="AD4887" s="18"/>
      <c r="AE4887" s="18"/>
    </row>
    <row r="4888" customFormat="false" ht="15" hidden="false" customHeight="true" outlineLevel="0" collapsed="false">
      <c r="A4888" s="12"/>
      <c r="B4888" s="13"/>
      <c r="C4888" s="14"/>
      <c r="D4888" s="13"/>
      <c r="E4888" s="15"/>
      <c r="F4888" s="15"/>
      <c r="G4888" s="15"/>
      <c r="H4888" s="13"/>
      <c r="I4888" s="13"/>
      <c r="J4888" s="16"/>
      <c r="K4888" s="16"/>
      <c r="L4888" s="17" t="str">
        <f aca="false" t="array" ref="L4888:L4888">IFERROR(INDEX(AC4888:AE4888,IF(COUNTA(AC4888:AE4888)=0,"",MAX((AC4888:AE4888&lt;&gt;"")*(COLUMN(AC4888:AE4888)-(COLUMN(AC4888)-2))))-1),"")</f>
        <v/>
      </c>
      <c r="M4888" s="13"/>
      <c r="N4888" s="13"/>
      <c r="O4888" s="13"/>
      <c r="P4888" s="26"/>
      <c r="Q4888" s="20"/>
      <c r="R4888" s="13"/>
      <c r="S4888" s="25"/>
      <c r="T4888" s="13"/>
      <c r="U4888" s="13"/>
      <c r="V4888" s="13"/>
      <c r="W4888" s="13"/>
      <c r="X4888" s="21"/>
      <c r="Y4888" s="22"/>
      <c r="Z4888" s="23"/>
      <c r="AA4888" s="23"/>
      <c r="AB4888" s="15"/>
      <c r="AC4888" s="14"/>
      <c r="AD4888" s="18"/>
      <c r="AE4888" s="18"/>
    </row>
    <row r="4889" customFormat="false" ht="15" hidden="false" customHeight="true" outlineLevel="0" collapsed="false">
      <c r="A4889" s="12"/>
      <c r="B4889" s="13"/>
      <c r="C4889" s="14"/>
      <c r="D4889" s="13"/>
      <c r="E4889" s="15"/>
      <c r="F4889" s="15"/>
      <c r="G4889" s="15"/>
      <c r="H4889" s="13"/>
      <c r="I4889" s="13"/>
      <c r="J4889" s="16"/>
      <c r="K4889" s="16"/>
      <c r="L4889" s="17" t="str">
        <f aca="false" t="array" ref="L4889:L4889">IFERROR(INDEX(AC4889:AE4889,IF(COUNTA(AC4889:AE4889)=0,"",MAX((AC4889:AE4889&lt;&gt;"")*(COLUMN(AC4889:AE4889)-(COLUMN(AC4889)-2))))-1),"")</f>
        <v/>
      </c>
      <c r="M4889" s="13"/>
      <c r="N4889" s="13"/>
      <c r="O4889" s="13"/>
      <c r="P4889" s="26"/>
      <c r="Q4889" s="20"/>
      <c r="R4889" s="13"/>
      <c r="S4889" s="25"/>
      <c r="T4889" s="13"/>
      <c r="U4889" s="13"/>
      <c r="V4889" s="13"/>
      <c r="W4889" s="13"/>
      <c r="X4889" s="21"/>
      <c r="Y4889" s="22"/>
      <c r="Z4889" s="23"/>
      <c r="AA4889" s="23"/>
      <c r="AB4889" s="15"/>
      <c r="AC4889" s="14"/>
      <c r="AD4889" s="18"/>
      <c r="AE4889" s="18"/>
    </row>
    <row r="4890" customFormat="false" ht="15" hidden="false" customHeight="true" outlineLevel="0" collapsed="false">
      <c r="A4890" s="12"/>
      <c r="B4890" s="13"/>
      <c r="C4890" s="14"/>
      <c r="D4890" s="13"/>
      <c r="E4890" s="15"/>
      <c r="F4890" s="15"/>
      <c r="G4890" s="15"/>
      <c r="H4890" s="13"/>
      <c r="I4890" s="13"/>
      <c r="J4890" s="16"/>
      <c r="K4890" s="16"/>
      <c r="L4890" s="17" t="str">
        <f aca="false" t="array" ref="L4890:L4890">IFERROR(INDEX(AC4890:AE4890,IF(COUNTA(AC4890:AE4890)=0,"",MAX((AC4890:AE4890&lt;&gt;"")*(COLUMN(AC4890:AE4890)-(COLUMN(AC4890)-2))))-1),"")</f>
        <v/>
      </c>
      <c r="M4890" s="13"/>
      <c r="N4890" s="13"/>
      <c r="O4890" s="13"/>
      <c r="P4890" s="26"/>
      <c r="Q4890" s="20"/>
      <c r="R4890" s="13"/>
      <c r="S4890" s="25"/>
      <c r="T4890" s="13"/>
      <c r="U4890" s="13"/>
      <c r="V4890" s="13"/>
      <c r="W4890" s="13"/>
      <c r="X4890" s="21"/>
      <c r="Y4890" s="22"/>
      <c r="Z4890" s="23"/>
      <c r="AA4890" s="23"/>
      <c r="AB4890" s="15"/>
      <c r="AC4890" s="14"/>
      <c r="AD4890" s="18"/>
      <c r="AE4890" s="18"/>
    </row>
    <row r="4891" customFormat="false" ht="15" hidden="false" customHeight="true" outlineLevel="0" collapsed="false">
      <c r="A4891" s="12"/>
      <c r="B4891" s="13"/>
      <c r="C4891" s="14"/>
      <c r="D4891" s="13"/>
      <c r="E4891" s="15"/>
      <c r="F4891" s="15"/>
      <c r="G4891" s="15"/>
      <c r="H4891" s="13"/>
      <c r="I4891" s="13"/>
      <c r="J4891" s="16"/>
      <c r="K4891" s="16"/>
      <c r="L4891" s="17" t="str">
        <f aca="false" t="array" ref="L4891:L4891">IFERROR(INDEX(AC4891:AE4891,IF(COUNTA(AC4891:AE4891)=0,"",MAX((AC4891:AE4891&lt;&gt;"")*(COLUMN(AC4891:AE4891)-(COLUMN(AC4891)-2))))-1),"")</f>
        <v/>
      </c>
      <c r="M4891" s="13"/>
      <c r="N4891" s="13"/>
      <c r="O4891" s="13"/>
      <c r="P4891" s="26"/>
      <c r="Q4891" s="20"/>
      <c r="R4891" s="13"/>
      <c r="S4891" s="25"/>
      <c r="T4891" s="13"/>
      <c r="U4891" s="13"/>
      <c r="V4891" s="13"/>
      <c r="W4891" s="13"/>
      <c r="X4891" s="21"/>
      <c r="Y4891" s="22"/>
      <c r="Z4891" s="23"/>
      <c r="AA4891" s="23"/>
      <c r="AB4891" s="15"/>
      <c r="AC4891" s="14"/>
      <c r="AD4891" s="18"/>
      <c r="AE4891" s="18"/>
    </row>
    <row r="4892" customFormat="false" ht="15" hidden="false" customHeight="true" outlineLevel="0" collapsed="false">
      <c r="A4892" s="12"/>
      <c r="B4892" s="13"/>
      <c r="C4892" s="14"/>
      <c r="D4892" s="13"/>
      <c r="E4892" s="15"/>
      <c r="F4892" s="15"/>
      <c r="G4892" s="15"/>
      <c r="H4892" s="13"/>
      <c r="I4892" s="13"/>
      <c r="J4892" s="16"/>
      <c r="K4892" s="16"/>
      <c r="L4892" s="17" t="str">
        <f aca="false" t="array" ref="L4892:L4892">IFERROR(INDEX(AC4892:AE4892,IF(COUNTA(AC4892:AE4892)=0,"",MAX((AC4892:AE4892&lt;&gt;"")*(COLUMN(AC4892:AE4892)-(COLUMN(AC4892)-2))))-1),"")</f>
        <v/>
      </c>
      <c r="M4892" s="13"/>
      <c r="N4892" s="13"/>
      <c r="O4892" s="13"/>
      <c r="P4892" s="26"/>
      <c r="Q4892" s="20"/>
      <c r="R4892" s="13"/>
      <c r="S4892" s="25"/>
      <c r="T4892" s="13"/>
      <c r="U4892" s="13"/>
      <c r="V4892" s="13"/>
      <c r="W4892" s="13"/>
      <c r="X4892" s="21"/>
      <c r="Y4892" s="22"/>
      <c r="Z4892" s="23"/>
      <c r="AA4892" s="23"/>
      <c r="AB4892" s="15"/>
      <c r="AC4892" s="14"/>
      <c r="AD4892" s="18"/>
      <c r="AE4892" s="18"/>
    </row>
    <row r="4893" customFormat="false" ht="15" hidden="false" customHeight="true" outlineLevel="0" collapsed="false">
      <c r="A4893" s="12"/>
      <c r="B4893" s="13"/>
      <c r="C4893" s="14"/>
      <c r="D4893" s="13"/>
      <c r="E4893" s="15"/>
      <c r="F4893" s="15"/>
      <c r="G4893" s="15"/>
      <c r="H4893" s="13"/>
      <c r="I4893" s="13"/>
      <c r="J4893" s="16"/>
      <c r="K4893" s="16"/>
      <c r="L4893" s="17" t="str">
        <f aca="false" t="array" ref="L4893:L4893">IFERROR(INDEX(AC4893:AE4893,IF(COUNTA(AC4893:AE4893)=0,"",MAX((AC4893:AE4893&lt;&gt;"")*(COLUMN(AC4893:AE4893)-(COLUMN(AC4893)-2))))-1),"")</f>
        <v/>
      </c>
      <c r="M4893" s="13"/>
      <c r="N4893" s="13"/>
      <c r="O4893" s="13"/>
      <c r="P4893" s="26"/>
      <c r="Q4893" s="20"/>
      <c r="R4893" s="13"/>
      <c r="S4893" s="25"/>
      <c r="T4893" s="13"/>
      <c r="U4893" s="13"/>
      <c r="V4893" s="13"/>
      <c r="W4893" s="13"/>
      <c r="X4893" s="21"/>
      <c r="Y4893" s="22"/>
      <c r="Z4893" s="23"/>
      <c r="AA4893" s="23"/>
      <c r="AB4893" s="15"/>
      <c r="AC4893" s="14"/>
      <c r="AD4893" s="18"/>
      <c r="AE4893" s="18"/>
    </row>
    <row r="4894" customFormat="false" ht="15" hidden="false" customHeight="true" outlineLevel="0" collapsed="false">
      <c r="A4894" s="12"/>
      <c r="B4894" s="13"/>
      <c r="C4894" s="14"/>
      <c r="D4894" s="13"/>
      <c r="E4894" s="15"/>
      <c r="F4894" s="15"/>
      <c r="G4894" s="15"/>
      <c r="H4894" s="13"/>
      <c r="I4894" s="13"/>
      <c r="J4894" s="16"/>
      <c r="K4894" s="16"/>
      <c r="L4894" s="17" t="str">
        <f aca="false" t="array" ref="L4894:L4894">IFERROR(INDEX(AC4894:AE4894,IF(COUNTA(AC4894:AE4894)=0,"",MAX((AC4894:AE4894&lt;&gt;"")*(COLUMN(AC4894:AE4894)-(COLUMN(AC4894)-2))))-1),"")</f>
        <v/>
      </c>
      <c r="M4894" s="13"/>
      <c r="N4894" s="13"/>
      <c r="O4894" s="13"/>
      <c r="P4894" s="26"/>
      <c r="Q4894" s="20"/>
      <c r="R4894" s="13"/>
      <c r="S4894" s="25"/>
      <c r="T4894" s="13"/>
      <c r="U4894" s="13"/>
      <c r="V4894" s="13"/>
      <c r="W4894" s="13"/>
      <c r="X4894" s="21"/>
      <c r="Y4894" s="22"/>
      <c r="Z4894" s="23"/>
      <c r="AA4894" s="23"/>
      <c r="AB4894" s="15"/>
      <c r="AC4894" s="14"/>
      <c r="AD4894" s="18"/>
      <c r="AE4894" s="18"/>
    </row>
    <row r="4895" customFormat="false" ht="15" hidden="false" customHeight="true" outlineLevel="0" collapsed="false">
      <c r="A4895" s="12"/>
      <c r="B4895" s="13"/>
      <c r="C4895" s="14"/>
      <c r="D4895" s="13"/>
      <c r="E4895" s="15"/>
      <c r="F4895" s="15"/>
      <c r="G4895" s="15"/>
      <c r="H4895" s="13"/>
      <c r="I4895" s="13"/>
      <c r="J4895" s="16"/>
      <c r="K4895" s="16"/>
      <c r="L4895" s="17" t="str">
        <f aca="false" t="array" ref="L4895:L4895">IFERROR(INDEX(AC4895:AE4895,IF(COUNTA(AC4895:AE4895)=0,"",MAX((AC4895:AE4895&lt;&gt;"")*(COLUMN(AC4895:AE4895)-(COLUMN(AC4895)-2))))-1),"")</f>
        <v/>
      </c>
      <c r="M4895" s="13"/>
      <c r="N4895" s="13"/>
      <c r="O4895" s="13"/>
      <c r="P4895" s="26"/>
      <c r="Q4895" s="20"/>
      <c r="R4895" s="13"/>
      <c r="S4895" s="25"/>
      <c r="T4895" s="13"/>
      <c r="U4895" s="13"/>
      <c r="V4895" s="13"/>
      <c r="W4895" s="13"/>
      <c r="X4895" s="21"/>
      <c r="Y4895" s="22"/>
      <c r="Z4895" s="23"/>
      <c r="AA4895" s="23"/>
      <c r="AB4895" s="15"/>
      <c r="AC4895" s="14"/>
      <c r="AD4895" s="18"/>
      <c r="AE4895" s="18"/>
    </row>
    <row r="4896" customFormat="false" ht="15" hidden="false" customHeight="true" outlineLevel="0" collapsed="false">
      <c r="A4896" s="12"/>
      <c r="B4896" s="13"/>
      <c r="C4896" s="14"/>
      <c r="D4896" s="13"/>
      <c r="E4896" s="15"/>
      <c r="F4896" s="15"/>
      <c r="G4896" s="15"/>
      <c r="H4896" s="13"/>
      <c r="I4896" s="13"/>
      <c r="J4896" s="16"/>
      <c r="K4896" s="16"/>
      <c r="L4896" s="17" t="str">
        <f aca="false" t="array" ref="L4896:L4896">IFERROR(INDEX(AC4896:AE4896,IF(COUNTA(AC4896:AE4896)=0,"",MAX((AC4896:AE4896&lt;&gt;"")*(COLUMN(AC4896:AE4896)-(COLUMN(AC4896)-2))))-1),"")</f>
        <v/>
      </c>
      <c r="M4896" s="13"/>
      <c r="N4896" s="13"/>
      <c r="O4896" s="13"/>
      <c r="P4896" s="26"/>
      <c r="Q4896" s="20"/>
      <c r="R4896" s="13"/>
      <c r="S4896" s="25"/>
      <c r="T4896" s="13"/>
      <c r="U4896" s="13"/>
      <c r="V4896" s="13"/>
      <c r="W4896" s="13"/>
      <c r="X4896" s="21"/>
      <c r="Y4896" s="22"/>
      <c r="Z4896" s="23"/>
      <c r="AA4896" s="23"/>
      <c r="AB4896" s="15"/>
      <c r="AC4896" s="14"/>
      <c r="AD4896" s="18"/>
      <c r="AE4896" s="18"/>
    </row>
    <row r="4897" customFormat="false" ht="15" hidden="false" customHeight="true" outlineLevel="0" collapsed="false">
      <c r="A4897" s="12"/>
      <c r="B4897" s="13"/>
      <c r="C4897" s="14"/>
      <c r="D4897" s="13"/>
      <c r="E4897" s="15"/>
      <c r="F4897" s="15"/>
      <c r="G4897" s="15"/>
      <c r="H4897" s="13"/>
      <c r="I4897" s="13"/>
      <c r="J4897" s="16"/>
      <c r="K4897" s="16"/>
      <c r="L4897" s="17" t="str">
        <f aca="false" t="array" ref="L4897:L4897">IFERROR(INDEX(AC4897:AE4897,IF(COUNTA(AC4897:AE4897)=0,"",MAX((AC4897:AE4897&lt;&gt;"")*(COLUMN(AC4897:AE4897)-(COLUMN(AC4897)-2))))-1),"")</f>
        <v/>
      </c>
      <c r="M4897" s="13"/>
      <c r="N4897" s="13"/>
      <c r="O4897" s="13"/>
      <c r="P4897" s="26"/>
      <c r="Q4897" s="20"/>
      <c r="R4897" s="13"/>
      <c r="S4897" s="25"/>
      <c r="T4897" s="13"/>
      <c r="U4897" s="13"/>
      <c r="V4897" s="13"/>
      <c r="W4897" s="13"/>
      <c r="X4897" s="21"/>
      <c r="Y4897" s="22"/>
      <c r="Z4897" s="23"/>
      <c r="AA4897" s="23"/>
      <c r="AB4897" s="15"/>
      <c r="AC4897" s="14"/>
      <c r="AD4897" s="18"/>
      <c r="AE4897" s="18"/>
    </row>
    <row r="4898" customFormat="false" ht="15" hidden="false" customHeight="true" outlineLevel="0" collapsed="false">
      <c r="A4898" s="12"/>
      <c r="B4898" s="13"/>
      <c r="C4898" s="14"/>
      <c r="D4898" s="13"/>
      <c r="E4898" s="15"/>
      <c r="F4898" s="15"/>
      <c r="G4898" s="15"/>
      <c r="H4898" s="13"/>
      <c r="I4898" s="13"/>
      <c r="J4898" s="16"/>
      <c r="K4898" s="16"/>
      <c r="L4898" s="17" t="str">
        <f aca="false" t="array" ref="L4898:L4898">IFERROR(INDEX(AC4898:AE4898,IF(COUNTA(AC4898:AE4898)=0,"",MAX((AC4898:AE4898&lt;&gt;"")*(COLUMN(AC4898:AE4898)-(COLUMN(AC4898)-2))))-1),"")</f>
        <v/>
      </c>
      <c r="M4898" s="13"/>
      <c r="N4898" s="13"/>
      <c r="O4898" s="13"/>
      <c r="P4898" s="26"/>
      <c r="Q4898" s="20"/>
      <c r="R4898" s="13"/>
      <c r="S4898" s="25"/>
      <c r="T4898" s="13"/>
      <c r="U4898" s="13"/>
      <c r="V4898" s="13"/>
      <c r="W4898" s="13"/>
      <c r="X4898" s="21"/>
      <c r="Y4898" s="22"/>
      <c r="Z4898" s="23"/>
      <c r="AA4898" s="23"/>
      <c r="AB4898" s="15"/>
      <c r="AC4898" s="14"/>
      <c r="AD4898" s="18"/>
      <c r="AE4898" s="18"/>
    </row>
    <row r="4899" customFormat="false" ht="15" hidden="false" customHeight="true" outlineLevel="0" collapsed="false">
      <c r="A4899" s="12"/>
      <c r="B4899" s="13"/>
      <c r="C4899" s="14"/>
      <c r="D4899" s="13"/>
      <c r="E4899" s="15"/>
      <c r="F4899" s="15"/>
      <c r="G4899" s="15"/>
      <c r="H4899" s="13"/>
      <c r="I4899" s="13"/>
      <c r="J4899" s="16"/>
      <c r="K4899" s="16"/>
      <c r="L4899" s="17" t="str">
        <f aca="false" t="array" ref="L4899:L4899">IFERROR(INDEX(AC4899:AE4899,IF(COUNTA(AC4899:AE4899)=0,"",MAX((AC4899:AE4899&lt;&gt;"")*(COLUMN(AC4899:AE4899)-(COLUMN(AC4899)-2))))-1),"")</f>
        <v/>
      </c>
      <c r="M4899" s="13"/>
      <c r="N4899" s="13"/>
      <c r="O4899" s="13"/>
      <c r="P4899" s="26"/>
      <c r="Q4899" s="20"/>
      <c r="R4899" s="13"/>
      <c r="S4899" s="25"/>
      <c r="T4899" s="13"/>
      <c r="U4899" s="13"/>
      <c r="V4899" s="13"/>
      <c r="W4899" s="13"/>
      <c r="X4899" s="21"/>
      <c r="Y4899" s="22"/>
      <c r="Z4899" s="23"/>
      <c r="AA4899" s="23"/>
      <c r="AB4899" s="15"/>
      <c r="AC4899" s="14"/>
      <c r="AD4899" s="18"/>
      <c r="AE4899" s="18"/>
    </row>
    <row r="4900" customFormat="false" ht="15" hidden="false" customHeight="true" outlineLevel="0" collapsed="false">
      <c r="A4900" s="12"/>
      <c r="B4900" s="13"/>
      <c r="C4900" s="14"/>
      <c r="D4900" s="13"/>
      <c r="E4900" s="15"/>
      <c r="F4900" s="15"/>
      <c r="G4900" s="15"/>
      <c r="H4900" s="13"/>
      <c r="I4900" s="13"/>
      <c r="J4900" s="16"/>
      <c r="K4900" s="16"/>
      <c r="L4900" s="17" t="str">
        <f aca="false" t="array" ref="L4900:L4900">IFERROR(INDEX(AC4900:AE4900,IF(COUNTA(AC4900:AE4900)=0,"",MAX((AC4900:AE4900&lt;&gt;"")*(COLUMN(AC4900:AE4900)-(COLUMN(AC4900)-2))))-1),"")</f>
        <v/>
      </c>
      <c r="M4900" s="13"/>
      <c r="N4900" s="13"/>
      <c r="O4900" s="13"/>
      <c r="P4900" s="26"/>
      <c r="Q4900" s="20"/>
      <c r="R4900" s="13"/>
      <c r="S4900" s="25"/>
      <c r="T4900" s="13"/>
      <c r="U4900" s="13"/>
      <c r="V4900" s="13"/>
      <c r="W4900" s="13"/>
      <c r="X4900" s="21"/>
      <c r="Y4900" s="22"/>
      <c r="Z4900" s="23"/>
      <c r="AA4900" s="23"/>
      <c r="AB4900" s="15"/>
      <c r="AC4900" s="14"/>
      <c r="AD4900" s="18"/>
      <c r="AE4900" s="18"/>
    </row>
    <row r="4901" customFormat="false" ht="15" hidden="false" customHeight="true" outlineLevel="0" collapsed="false">
      <c r="A4901" s="12"/>
      <c r="B4901" s="13"/>
      <c r="C4901" s="14"/>
      <c r="D4901" s="13"/>
      <c r="E4901" s="15"/>
      <c r="F4901" s="15"/>
      <c r="G4901" s="15"/>
      <c r="H4901" s="13"/>
      <c r="I4901" s="13"/>
      <c r="J4901" s="16"/>
      <c r="K4901" s="16"/>
      <c r="L4901" s="17" t="str">
        <f aca="false" t="array" ref="L4901:L4901">IFERROR(INDEX(AC4901:AE4901,IF(COUNTA(AC4901:AE4901)=0,"",MAX((AC4901:AE4901&lt;&gt;"")*(COLUMN(AC4901:AE4901)-(COLUMN(AC4901)-2))))-1),"")</f>
        <v/>
      </c>
      <c r="M4901" s="13"/>
      <c r="N4901" s="13"/>
      <c r="O4901" s="13"/>
      <c r="P4901" s="26"/>
      <c r="Q4901" s="20"/>
      <c r="R4901" s="13"/>
      <c r="S4901" s="25"/>
      <c r="T4901" s="13"/>
      <c r="U4901" s="13"/>
      <c r="V4901" s="13"/>
      <c r="W4901" s="13"/>
      <c r="X4901" s="21"/>
      <c r="Y4901" s="22"/>
      <c r="Z4901" s="23"/>
      <c r="AA4901" s="23"/>
      <c r="AB4901" s="15"/>
      <c r="AC4901" s="14"/>
      <c r="AD4901" s="18"/>
      <c r="AE4901" s="18"/>
    </row>
    <row r="4902" customFormat="false" ht="15" hidden="false" customHeight="true" outlineLevel="0" collapsed="false">
      <c r="A4902" s="12"/>
      <c r="B4902" s="13"/>
      <c r="C4902" s="14"/>
      <c r="D4902" s="13"/>
      <c r="E4902" s="15"/>
      <c r="F4902" s="15"/>
      <c r="G4902" s="15"/>
      <c r="H4902" s="13"/>
      <c r="I4902" s="13"/>
      <c r="J4902" s="16"/>
      <c r="K4902" s="16"/>
      <c r="L4902" s="17" t="str">
        <f aca="false" t="array" ref="L4902:L4902">IFERROR(INDEX(AC4902:AE4902,IF(COUNTA(AC4902:AE4902)=0,"",MAX((AC4902:AE4902&lt;&gt;"")*(COLUMN(AC4902:AE4902)-(COLUMN(AC4902)-2))))-1),"")</f>
        <v/>
      </c>
      <c r="M4902" s="13"/>
      <c r="N4902" s="13"/>
      <c r="O4902" s="13"/>
      <c r="P4902" s="26"/>
      <c r="Q4902" s="20"/>
      <c r="R4902" s="13"/>
      <c r="S4902" s="25"/>
      <c r="T4902" s="13"/>
      <c r="U4902" s="13"/>
      <c r="V4902" s="13"/>
      <c r="W4902" s="13"/>
      <c r="X4902" s="21"/>
      <c r="Y4902" s="22"/>
      <c r="Z4902" s="23"/>
      <c r="AA4902" s="23"/>
      <c r="AB4902" s="15"/>
      <c r="AC4902" s="14"/>
      <c r="AD4902" s="18"/>
      <c r="AE4902" s="18"/>
    </row>
    <row r="4903" customFormat="false" ht="15" hidden="false" customHeight="true" outlineLevel="0" collapsed="false">
      <c r="A4903" s="12"/>
      <c r="B4903" s="13"/>
      <c r="C4903" s="14"/>
      <c r="D4903" s="13"/>
      <c r="E4903" s="15"/>
      <c r="F4903" s="15"/>
      <c r="G4903" s="15"/>
      <c r="H4903" s="13"/>
      <c r="I4903" s="13"/>
      <c r="J4903" s="16"/>
      <c r="K4903" s="16"/>
      <c r="L4903" s="17" t="str">
        <f aca="false" t="array" ref="L4903:L4903">IFERROR(INDEX(AC4903:AE4903,IF(COUNTA(AC4903:AE4903)=0,"",MAX((AC4903:AE4903&lt;&gt;"")*(COLUMN(AC4903:AE4903)-(COLUMN(AC4903)-2))))-1),"")</f>
        <v/>
      </c>
      <c r="M4903" s="13"/>
      <c r="N4903" s="13"/>
      <c r="O4903" s="13"/>
      <c r="P4903" s="26"/>
      <c r="Q4903" s="20"/>
      <c r="R4903" s="13"/>
      <c r="S4903" s="25"/>
      <c r="T4903" s="13"/>
      <c r="U4903" s="13"/>
      <c r="V4903" s="13"/>
      <c r="W4903" s="13"/>
      <c r="X4903" s="21"/>
      <c r="Y4903" s="22"/>
      <c r="Z4903" s="23"/>
      <c r="AA4903" s="23"/>
      <c r="AB4903" s="15"/>
      <c r="AC4903" s="14"/>
      <c r="AD4903" s="18"/>
      <c r="AE4903" s="18"/>
    </row>
    <row r="4904" customFormat="false" ht="15" hidden="false" customHeight="true" outlineLevel="0" collapsed="false">
      <c r="A4904" s="12"/>
      <c r="B4904" s="13"/>
      <c r="C4904" s="14"/>
      <c r="D4904" s="13"/>
      <c r="E4904" s="15"/>
      <c r="F4904" s="15"/>
      <c r="G4904" s="15"/>
      <c r="H4904" s="13"/>
      <c r="I4904" s="13"/>
      <c r="J4904" s="16"/>
      <c r="K4904" s="16"/>
      <c r="L4904" s="17" t="str">
        <f aca="false" t="array" ref="L4904:L4904">IFERROR(INDEX(AC4904:AE4904,IF(COUNTA(AC4904:AE4904)=0,"",MAX((AC4904:AE4904&lt;&gt;"")*(COLUMN(AC4904:AE4904)-(COLUMN(AC4904)-2))))-1),"")</f>
        <v/>
      </c>
      <c r="M4904" s="13"/>
      <c r="N4904" s="13"/>
      <c r="O4904" s="13"/>
      <c r="P4904" s="26"/>
      <c r="Q4904" s="20"/>
      <c r="R4904" s="13"/>
      <c r="S4904" s="25"/>
      <c r="T4904" s="13"/>
      <c r="U4904" s="13"/>
      <c r="V4904" s="13"/>
      <c r="W4904" s="13"/>
      <c r="X4904" s="21"/>
      <c r="Y4904" s="22"/>
      <c r="Z4904" s="23"/>
      <c r="AA4904" s="23"/>
      <c r="AB4904" s="15"/>
      <c r="AC4904" s="14"/>
      <c r="AD4904" s="18"/>
      <c r="AE4904" s="18"/>
    </row>
    <row r="4905" customFormat="false" ht="15" hidden="false" customHeight="true" outlineLevel="0" collapsed="false">
      <c r="A4905" s="12"/>
      <c r="B4905" s="13"/>
      <c r="C4905" s="14"/>
      <c r="D4905" s="13"/>
      <c r="E4905" s="15"/>
      <c r="F4905" s="15"/>
      <c r="G4905" s="15"/>
      <c r="H4905" s="13"/>
      <c r="I4905" s="13"/>
      <c r="J4905" s="16"/>
      <c r="K4905" s="16"/>
      <c r="L4905" s="17" t="str">
        <f aca="false" t="array" ref="L4905:L4905">IFERROR(INDEX(AC4905:AE4905,IF(COUNTA(AC4905:AE4905)=0,"",MAX((AC4905:AE4905&lt;&gt;"")*(COLUMN(AC4905:AE4905)-(COLUMN(AC4905)-2))))-1),"")</f>
        <v/>
      </c>
      <c r="M4905" s="13"/>
      <c r="N4905" s="13"/>
      <c r="O4905" s="13"/>
      <c r="P4905" s="26"/>
      <c r="Q4905" s="20"/>
      <c r="R4905" s="13"/>
      <c r="S4905" s="25"/>
      <c r="T4905" s="13"/>
      <c r="U4905" s="13"/>
      <c r="V4905" s="13"/>
      <c r="W4905" s="13"/>
      <c r="X4905" s="21"/>
      <c r="Y4905" s="22"/>
      <c r="Z4905" s="23"/>
      <c r="AA4905" s="23"/>
      <c r="AB4905" s="15"/>
      <c r="AC4905" s="14"/>
      <c r="AD4905" s="18"/>
      <c r="AE4905" s="18"/>
    </row>
    <row r="4906" customFormat="false" ht="15" hidden="false" customHeight="true" outlineLevel="0" collapsed="false">
      <c r="A4906" s="12"/>
      <c r="B4906" s="13"/>
      <c r="C4906" s="14"/>
      <c r="D4906" s="13"/>
      <c r="E4906" s="15"/>
      <c r="F4906" s="15"/>
      <c r="G4906" s="15"/>
      <c r="H4906" s="13"/>
      <c r="I4906" s="13"/>
      <c r="J4906" s="16"/>
      <c r="K4906" s="16"/>
      <c r="L4906" s="17" t="str">
        <f aca="false" t="array" ref="L4906:L4906">IFERROR(INDEX(AC4906:AE4906,IF(COUNTA(AC4906:AE4906)=0,"",MAX((AC4906:AE4906&lt;&gt;"")*(COLUMN(AC4906:AE4906)-(COLUMN(AC4906)-2))))-1),"")</f>
        <v/>
      </c>
      <c r="M4906" s="13"/>
      <c r="N4906" s="13"/>
      <c r="O4906" s="13"/>
      <c r="P4906" s="26"/>
      <c r="Q4906" s="20"/>
      <c r="R4906" s="13"/>
      <c r="S4906" s="25"/>
      <c r="T4906" s="13"/>
      <c r="U4906" s="13"/>
      <c r="V4906" s="13"/>
      <c r="W4906" s="13"/>
      <c r="X4906" s="21"/>
      <c r="Y4906" s="22"/>
      <c r="Z4906" s="23"/>
      <c r="AA4906" s="23"/>
      <c r="AB4906" s="15"/>
      <c r="AC4906" s="14"/>
      <c r="AD4906" s="18"/>
      <c r="AE4906" s="18"/>
    </row>
    <row r="4907" customFormat="false" ht="15" hidden="false" customHeight="true" outlineLevel="0" collapsed="false">
      <c r="A4907" s="12"/>
      <c r="B4907" s="13"/>
      <c r="C4907" s="14"/>
      <c r="D4907" s="13"/>
      <c r="E4907" s="15"/>
      <c r="F4907" s="15"/>
      <c r="G4907" s="15"/>
      <c r="H4907" s="13"/>
      <c r="I4907" s="13"/>
      <c r="J4907" s="16"/>
      <c r="K4907" s="16"/>
      <c r="L4907" s="17" t="str">
        <f aca="false" t="array" ref="L4907:L4907">IFERROR(INDEX(AC4907:AE4907,IF(COUNTA(AC4907:AE4907)=0,"",MAX((AC4907:AE4907&lt;&gt;"")*(COLUMN(AC4907:AE4907)-(COLUMN(AC4907)-2))))-1),"")</f>
        <v/>
      </c>
      <c r="M4907" s="13"/>
      <c r="N4907" s="13"/>
      <c r="O4907" s="13"/>
      <c r="P4907" s="26"/>
      <c r="Q4907" s="20"/>
      <c r="R4907" s="13"/>
      <c r="S4907" s="25"/>
      <c r="T4907" s="13"/>
      <c r="U4907" s="13"/>
      <c r="V4907" s="13"/>
      <c r="W4907" s="13"/>
      <c r="X4907" s="21"/>
      <c r="Y4907" s="22"/>
      <c r="Z4907" s="23"/>
      <c r="AA4907" s="23"/>
      <c r="AB4907" s="15"/>
      <c r="AC4907" s="14"/>
      <c r="AD4907" s="18"/>
      <c r="AE4907" s="18"/>
    </row>
    <row r="4908" customFormat="false" ht="15" hidden="false" customHeight="true" outlineLevel="0" collapsed="false">
      <c r="A4908" s="12"/>
      <c r="B4908" s="13"/>
      <c r="C4908" s="14"/>
      <c r="D4908" s="13"/>
      <c r="E4908" s="15"/>
      <c r="F4908" s="15"/>
      <c r="G4908" s="15"/>
      <c r="H4908" s="13"/>
      <c r="I4908" s="13"/>
      <c r="J4908" s="16"/>
      <c r="K4908" s="16"/>
      <c r="L4908" s="17" t="str">
        <f aca="false" t="array" ref="L4908:L4908">IFERROR(INDEX(AC4908:AE4908,IF(COUNTA(AC4908:AE4908)=0,"",MAX((AC4908:AE4908&lt;&gt;"")*(COLUMN(AC4908:AE4908)-(COLUMN(AC4908)-2))))-1),"")</f>
        <v/>
      </c>
      <c r="M4908" s="13"/>
      <c r="N4908" s="13"/>
      <c r="O4908" s="13"/>
      <c r="P4908" s="26"/>
      <c r="Q4908" s="20"/>
      <c r="R4908" s="13"/>
      <c r="S4908" s="25"/>
      <c r="T4908" s="13"/>
      <c r="U4908" s="13"/>
      <c r="V4908" s="13"/>
      <c r="W4908" s="13"/>
      <c r="X4908" s="21"/>
      <c r="Y4908" s="22"/>
      <c r="Z4908" s="23"/>
      <c r="AA4908" s="23"/>
      <c r="AB4908" s="15"/>
      <c r="AC4908" s="14"/>
      <c r="AD4908" s="18"/>
      <c r="AE4908" s="18"/>
    </row>
    <row r="4909" customFormat="false" ht="15" hidden="false" customHeight="true" outlineLevel="0" collapsed="false">
      <c r="A4909" s="12"/>
      <c r="B4909" s="13"/>
      <c r="C4909" s="14"/>
      <c r="D4909" s="13"/>
      <c r="E4909" s="15"/>
      <c r="F4909" s="15"/>
      <c r="G4909" s="15"/>
      <c r="H4909" s="13"/>
      <c r="I4909" s="13"/>
      <c r="J4909" s="16"/>
      <c r="K4909" s="16"/>
      <c r="L4909" s="17" t="str">
        <f aca="false" t="array" ref="L4909:L4909">IFERROR(INDEX(AC4909:AE4909,IF(COUNTA(AC4909:AE4909)=0,"",MAX((AC4909:AE4909&lt;&gt;"")*(COLUMN(AC4909:AE4909)-(COLUMN(AC4909)-2))))-1),"")</f>
        <v/>
      </c>
      <c r="M4909" s="13"/>
      <c r="N4909" s="13"/>
      <c r="O4909" s="13"/>
      <c r="P4909" s="26"/>
      <c r="Q4909" s="20"/>
      <c r="R4909" s="13"/>
      <c r="S4909" s="25"/>
      <c r="T4909" s="13"/>
      <c r="U4909" s="13"/>
      <c r="V4909" s="13"/>
      <c r="W4909" s="13"/>
      <c r="X4909" s="21"/>
      <c r="Y4909" s="22"/>
      <c r="Z4909" s="23"/>
      <c r="AA4909" s="23"/>
      <c r="AB4909" s="15"/>
      <c r="AC4909" s="14"/>
      <c r="AD4909" s="18"/>
      <c r="AE4909" s="18"/>
    </row>
    <row r="4910" customFormat="false" ht="15" hidden="false" customHeight="true" outlineLevel="0" collapsed="false">
      <c r="A4910" s="12"/>
      <c r="B4910" s="13"/>
      <c r="C4910" s="14"/>
      <c r="D4910" s="13"/>
      <c r="E4910" s="15"/>
      <c r="F4910" s="15"/>
      <c r="G4910" s="15"/>
      <c r="H4910" s="13"/>
      <c r="I4910" s="13"/>
      <c r="J4910" s="16"/>
      <c r="K4910" s="16"/>
      <c r="L4910" s="17" t="str">
        <f aca="false" t="array" ref="L4910:L4910">IFERROR(INDEX(AC4910:AE4910,IF(COUNTA(AC4910:AE4910)=0,"",MAX((AC4910:AE4910&lt;&gt;"")*(COLUMN(AC4910:AE4910)-(COLUMN(AC4910)-2))))-1),"")</f>
        <v/>
      </c>
      <c r="M4910" s="13"/>
      <c r="N4910" s="13"/>
      <c r="O4910" s="13"/>
      <c r="P4910" s="26"/>
      <c r="Q4910" s="20"/>
      <c r="R4910" s="13"/>
      <c r="S4910" s="25"/>
      <c r="T4910" s="13"/>
      <c r="U4910" s="13"/>
      <c r="V4910" s="13"/>
      <c r="W4910" s="13"/>
      <c r="X4910" s="21"/>
      <c r="Y4910" s="22"/>
      <c r="Z4910" s="23"/>
      <c r="AA4910" s="23"/>
      <c r="AB4910" s="15"/>
      <c r="AC4910" s="14"/>
      <c r="AD4910" s="18"/>
      <c r="AE4910" s="18"/>
    </row>
    <row r="4911" customFormat="false" ht="15" hidden="false" customHeight="true" outlineLevel="0" collapsed="false">
      <c r="A4911" s="12"/>
      <c r="B4911" s="13"/>
      <c r="C4911" s="14"/>
      <c r="D4911" s="13"/>
      <c r="E4911" s="15"/>
      <c r="F4911" s="15"/>
      <c r="G4911" s="15"/>
      <c r="H4911" s="13"/>
      <c r="I4911" s="13"/>
      <c r="J4911" s="16"/>
      <c r="K4911" s="16"/>
      <c r="L4911" s="17" t="str">
        <f aca="false" t="array" ref="L4911:L4911">IFERROR(INDEX(AC4911:AE4911,IF(COUNTA(AC4911:AE4911)=0,"",MAX((AC4911:AE4911&lt;&gt;"")*(COLUMN(AC4911:AE4911)-(COLUMN(AC4911)-2))))-1),"")</f>
        <v/>
      </c>
      <c r="M4911" s="13"/>
      <c r="N4911" s="13"/>
      <c r="O4911" s="13"/>
      <c r="P4911" s="26"/>
      <c r="Q4911" s="20"/>
      <c r="R4911" s="13"/>
      <c r="S4911" s="25"/>
      <c r="T4911" s="13"/>
      <c r="U4911" s="13"/>
      <c r="V4911" s="13"/>
      <c r="W4911" s="13"/>
      <c r="X4911" s="21"/>
      <c r="Y4911" s="22"/>
      <c r="Z4911" s="23"/>
      <c r="AA4911" s="23"/>
      <c r="AB4911" s="15"/>
      <c r="AC4911" s="14"/>
      <c r="AD4911" s="18"/>
      <c r="AE4911" s="18"/>
    </row>
    <row r="4912" customFormat="false" ht="15" hidden="false" customHeight="true" outlineLevel="0" collapsed="false">
      <c r="A4912" s="12"/>
      <c r="B4912" s="13"/>
      <c r="C4912" s="14"/>
      <c r="D4912" s="13"/>
      <c r="E4912" s="15"/>
      <c r="F4912" s="15"/>
      <c r="G4912" s="15"/>
      <c r="H4912" s="13"/>
      <c r="I4912" s="13"/>
      <c r="J4912" s="16"/>
      <c r="K4912" s="16"/>
      <c r="L4912" s="17" t="str">
        <f aca="false" t="array" ref="L4912:L4912">IFERROR(INDEX(AC4912:AE4912,IF(COUNTA(AC4912:AE4912)=0,"",MAX((AC4912:AE4912&lt;&gt;"")*(COLUMN(AC4912:AE4912)-(COLUMN(AC4912)-2))))-1),"")</f>
        <v/>
      </c>
      <c r="M4912" s="13"/>
      <c r="N4912" s="13"/>
      <c r="O4912" s="13"/>
      <c r="P4912" s="26"/>
      <c r="Q4912" s="20"/>
      <c r="R4912" s="13"/>
      <c r="S4912" s="25"/>
      <c r="T4912" s="13"/>
      <c r="U4912" s="13"/>
      <c r="V4912" s="13"/>
      <c r="W4912" s="13"/>
      <c r="X4912" s="21"/>
      <c r="Y4912" s="22"/>
      <c r="Z4912" s="23"/>
      <c r="AA4912" s="23"/>
      <c r="AB4912" s="15"/>
      <c r="AC4912" s="14"/>
      <c r="AD4912" s="18"/>
      <c r="AE4912" s="18"/>
    </row>
    <row r="4913" customFormat="false" ht="15" hidden="false" customHeight="true" outlineLevel="0" collapsed="false">
      <c r="A4913" s="12"/>
      <c r="B4913" s="13"/>
      <c r="C4913" s="14"/>
      <c r="D4913" s="13"/>
      <c r="E4913" s="15"/>
      <c r="F4913" s="15"/>
      <c r="G4913" s="15"/>
      <c r="H4913" s="13"/>
      <c r="I4913" s="13"/>
      <c r="J4913" s="16"/>
      <c r="K4913" s="16"/>
      <c r="L4913" s="17" t="str">
        <f aca="false" t="array" ref="L4913:L4913">IFERROR(INDEX(AC4913:AE4913,IF(COUNTA(AC4913:AE4913)=0,"",MAX((AC4913:AE4913&lt;&gt;"")*(COLUMN(AC4913:AE4913)-(COLUMN(AC4913)-2))))-1),"")</f>
        <v/>
      </c>
      <c r="M4913" s="13"/>
      <c r="N4913" s="13"/>
      <c r="O4913" s="13"/>
      <c r="P4913" s="26"/>
      <c r="Q4913" s="20"/>
      <c r="R4913" s="13"/>
      <c r="S4913" s="25"/>
      <c r="T4913" s="13"/>
      <c r="U4913" s="13"/>
      <c r="V4913" s="13"/>
      <c r="W4913" s="13"/>
      <c r="X4913" s="21"/>
      <c r="Y4913" s="22"/>
      <c r="Z4913" s="23"/>
      <c r="AA4913" s="23"/>
      <c r="AB4913" s="15"/>
      <c r="AC4913" s="14"/>
      <c r="AD4913" s="18"/>
      <c r="AE4913" s="18"/>
    </row>
    <row r="4914" customFormat="false" ht="15" hidden="false" customHeight="true" outlineLevel="0" collapsed="false">
      <c r="A4914" s="12"/>
      <c r="B4914" s="13"/>
      <c r="C4914" s="14"/>
      <c r="D4914" s="13"/>
      <c r="E4914" s="15"/>
      <c r="F4914" s="15"/>
      <c r="G4914" s="15"/>
      <c r="H4914" s="13"/>
      <c r="I4914" s="13"/>
      <c r="J4914" s="16"/>
      <c r="K4914" s="16"/>
      <c r="L4914" s="17" t="str">
        <f aca="false" t="array" ref="L4914:L4914">IFERROR(INDEX(AC4914:AE4914,IF(COUNTA(AC4914:AE4914)=0,"",MAX((AC4914:AE4914&lt;&gt;"")*(COLUMN(AC4914:AE4914)-(COLUMN(AC4914)-2))))-1),"")</f>
        <v/>
      </c>
      <c r="M4914" s="13"/>
      <c r="N4914" s="13"/>
      <c r="O4914" s="13"/>
      <c r="P4914" s="26"/>
      <c r="Q4914" s="20"/>
      <c r="R4914" s="13"/>
      <c r="S4914" s="25"/>
      <c r="T4914" s="13"/>
      <c r="U4914" s="13"/>
      <c r="V4914" s="13"/>
      <c r="W4914" s="13"/>
      <c r="X4914" s="21"/>
      <c r="Y4914" s="22"/>
      <c r="Z4914" s="23"/>
      <c r="AA4914" s="23"/>
      <c r="AB4914" s="15"/>
      <c r="AC4914" s="14"/>
      <c r="AD4914" s="18"/>
      <c r="AE4914" s="18"/>
    </row>
    <row r="4915" customFormat="false" ht="15" hidden="false" customHeight="true" outlineLevel="0" collapsed="false">
      <c r="A4915" s="12"/>
      <c r="B4915" s="13"/>
      <c r="C4915" s="14"/>
      <c r="D4915" s="13"/>
      <c r="E4915" s="15"/>
      <c r="F4915" s="15"/>
      <c r="G4915" s="15"/>
      <c r="H4915" s="13"/>
      <c r="I4915" s="13"/>
      <c r="J4915" s="16"/>
      <c r="K4915" s="16"/>
      <c r="L4915" s="17" t="str">
        <f aca="false" t="array" ref="L4915:L4915">IFERROR(INDEX(AC4915:AE4915,IF(COUNTA(AC4915:AE4915)=0,"",MAX((AC4915:AE4915&lt;&gt;"")*(COLUMN(AC4915:AE4915)-(COLUMN(AC4915)-2))))-1),"")</f>
        <v/>
      </c>
      <c r="M4915" s="13"/>
      <c r="N4915" s="13"/>
      <c r="O4915" s="13"/>
      <c r="P4915" s="26"/>
      <c r="Q4915" s="20"/>
      <c r="R4915" s="13"/>
      <c r="S4915" s="25"/>
      <c r="T4915" s="13"/>
      <c r="U4915" s="13"/>
      <c r="V4915" s="13"/>
      <c r="W4915" s="13"/>
      <c r="X4915" s="21"/>
      <c r="Y4915" s="22"/>
      <c r="Z4915" s="23"/>
      <c r="AA4915" s="23"/>
      <c r="AB4915" s="15"/>
      <c r="AC4915" s="14"/>
      <c r="AD4915" s="18"/>
      <c r="AE4915" s="18"/>
    </row>
    <row r="4916" customFormat="false" ht="15" hidden="false" customHeight="true" outlineLevel="0" collapsed="false">
      <c r="A4916" s="12"/>
      <c r="B4916" s="13"/>
      <c r="C4916" s="14"/>
      <c r="D4916" s="13"/>
      <c r="E4916" s="15"/>
      <c r="F4916" s="15"/>
      <c r="G4916" s="15"/>
      <c r="H4916" s="13"/>
      <c r="I4916" s="13"/>
      <c r="J4916" s="16"/>
      <c r="K4916" s="16"/>
      <c r="L4916" s="17" t="str">
        <f aca="false" t="array" ref="L4916:L4916">IFERROR(INDEX(AC4916:AE4916,IF(COUNTA(AC4916:AE4916)=0,"",MAX((AC4916:AE4916&lt;&gt;"")*(COLUMN(AC4916:AE4916)-(COLUMN(AC4916)-2))))-1),"")</f>
        <v/>
      </c>
      <c r="M4916" s="13"/>
      <c r="N4916" s="13"/>
      <c r="O4916" s="13"/>
      <c r="P4916" s="26"/>
      <c r="Q4916" s="20"/>
      <c r="R4916" s="13"/>
      <c r="S4916" s="25"/>
      <c r="T4916" s="13"/>
      <c r="U4916" s="13"/>
      <c r="V4916" s="13"/>
      <c r="W4916" s="13"/>
      <c r="X4916" s="21"/>
      <c r="Y4916" s="22"/>
      <c r="Z4916" s="23"/>
      <c r="AA4916" s="23"/>
      <c r="AB4916" s="15"/>
      <c r="AC4916" s="14"/>
      <c r="AD4916" s="18"/>
      <c r="AE4916" s="18"/>
    </row>
    <row r="4917" customFormat="false" ht="15" hidden="false" customHeight="true" outlineLevel="0" collapsed="false">
      <c r="A4917" s="12"/>
      <c r="B4917" s="13"/>
      <c r="C4917" s="14"/>
      <c r="D4917" s="13"/>
      <c r="E4917" s="15"/>
      <c r="F4917" s="15"/>
      <c r="G4917" s="15"/>
      <c r="H4917" s="13"/>
      <c r="I4917" s="13"/>
      <c r="J4917" s="16"/>
      <c r="K4917" s="16"/>
      <c r="L4917" s="17" t="str">
        <f aca="false" t="array" ref="L4917:L4917">IFERROR(INDEX(AC4917:AE4917,IF(COUNTA(AC4917:AE4917)=0,"",MAX((AC4917:AE4917&lt;&gt;"")*(COLUMN(AC4917:AE4917)-(COLUMN(AC4917)-2))))-1),"")</f>
        <v/>
      </c>
      <c r="M4917" s="13"/>
      <c r="N4917" s="13"/>
      <c r="O4917" s="13"/>
      <c r="P4917" s="26"/>
      <c r="Q4917" s="20"/>
      <c r="R4917" s="13"/>
      <c r="S4917" s="25"/>
      <c r="T4917" s="13"/>
      <c r="U4917" s="13"/>
      <c r="V4917" s="13"/>
      <c r="W4917" s="13"/>
      <c r="X4917" s="21"/>
      <c r="Y4917" s="22"/>
      <c r="Z4917" s="23"/>
      <c r="AA4917" s="23"/>
      <c r="AB4917" s="15"/>
      <c r="AC4917" s="14"/>
      <c r="AD4917" s="18"/>
      <c r="AE4917" s="18"/>
    </row>
    <row r="4918" customFormat="false" ht="15" hidden="false" customHeight="true" outlineLevel="0" collapsed="false">
      <c r="A4918" s="12"/>
      <c r="B4918" s="13"/>
      <c r="C4918" s="14"/>
      <c r="D4918" s="13"/>
      <c r="E4918" s="15"/>
      <c r="F4918" s="15"/>
      <c r="G4918" s="15"/>
      <c r="H4918" s="13"/>
      <c r="I4918" s="13"/>
      <c r="J4918" s="16"/>
      <c r="K4918" s="16"/>
      <c r="L4918" s="17" t="str">
        <f aca="false" t="array" ref="L4918:L4918">IFERROR(INDEX(AC4918:AE4918,IF(COUNTA(AC4918:AE4918)=0,"",MAX((AC4918:AE4918&lt;&gt;"")*(COLUMN(AC4918:AE4918)-(COLUMN(AC4918)-2))))-1),"")</f>
        <v/>
      </c>
      <c r="M4918" s="13"/>
      <c r="N4918" s="13"/>
      <c r="O4918" s="13"/>
      <c r="P4918" s="26"/>
      <c r="Q4918" s="20"/>
      <c r="R4918" s="13"/>
      <c r="S4918" s="25"/>
      <c r="T4918" s="13"/>
      <c r="U4918" s="13"/>
      <c r="V4918" s="13"/>
      <c r="W4918" s="13"/>
      <c r="X4918" s="21"/>
      <c r="Y4918" s="22"/>
      <c r="Z4918" s="23"/>
      <c r="AA4918" s="23"/>
      <c r="AB4918" s="15"/>
      <c r="AC4918" s="14"/>
      <c r="AD4918" s="18"/>
      <c r="AE4918" s="18"/>
    </row>
    <row r="4919" customFormat="false" ht="15" hidden="false" customHeight="true" outlineLevel="0" collapsed="false">
      <c r="A4919" s="12"/>
      <c r="B4919" s="13"/>
      <c r="C4919" s="14"/>
      <c r="D4919" s="13"/>
      <c r="E4919" s="15"/>
      <c r="F4919" s="15"/>
      <c r="G4919" s="15"/>
      <c r="H4919" s="13"/>
      <c r="I4919" s="13"/>
      <c r="J4919" s="16"/>
      <c r="K4919" s="16"/>
      <c r="L4919" s="17" t="str">
        <f aca="false" t="array" ref="L4919:L4919">IFERROR(INDEX(AC4919:AE4919,IF(COUNTA(AC4919:AE4919)=0,"",MAX((AC4919:AE4919&lt;&gt;"")*(COLUMN(AC4919:AE4919)-(COLUMN(AC4919)-2))))-1),"")</f>
        <v/>
      </c>
      <c r="M4919" s="13"/>
      <c r="N4919" s="13"/>
      <c r="O4919" s="13"/>
      <c r="P4919" s="26"/>
      <c r="Q4919" s="20"/>
      <c r="R4919" s="13"/>
      <c r="S4919" s="25"/>
      <c r="T4919" s="13"/>
      <c r="U4919" s="13"/>
      <c r="V4919" s="13"/>
      <c r="W4919" s="13"/>
      <c r="X4919" s="21"/>
      <c r="Y4919" s="22"/>
      <c r="Z4919" s="23"/>
      <c r="AA4919" s="23"/>
      <c r="AB4919" s="15"/>
      <c r="AC4919" s="14"/>
      <c r="AD4919" s="18"/>
      <c r="AE4919" s="18"/>
    </row>
    <row r="4920" customFormat="false" ht="15" hidden="false" customHeight="true" outlineLevel="0" collapsed="false">
      <c r="A4920" s="12"/>
      <c r="B4920" s="13"/>
      <c r="C4920" s="14"/>
      <c r="D4920" s="13"/>
      <c r="E4920" s="15"/>
      <c r="F4920" s="15"/>
      <c r="G4920" s="15"/>
      <c r="H4920" s="13"/>
      <c r="I4920" s="13"/>
      <c r="J4920" s="16"/>
      <c r="K4920" s="16"/>
      <c r="L4920" s="17" t="str">
        <f aca="false" t="array" ref="L4920:L4920">IFERROR(INDEX(AC4920:AE4920,IF(COUNTA(AC4920:AE4920)=0,"",MAX((AC4920:AE4920&lt;&gt;"")*(COLUMN(AC4920:AE4920)-(COLUMN(AC4920)-2))))-1),"")</f>
        <v/>
      </c>
      <c r="M4920" s="13"/>
      <c r="N4920" s="13"/>
      <c r="O4920" s="13"/>
      <c r="P4920" s="26"/>
      <c r="Q4920" s="20"/>
      <c r="R4920" s="13"/>
      <c r="S4920" s="25"/>
      <c r="T4920" s="13"/>
      <c r="U4920" s="13"/>
      <c r="V4920" s="13"/>
      <c r="W4920" s="13"/>
      <c r="X4920" s="21"/>
      <c r="Y4920" s="22"/>
      <c r="Z4920" s="23"/>
      <c r="AA4920" s="23"/>
      <c r="AB4920" s="15"/>
      <c r="AC4920" s="14"/>
      <c r="AD4920" s="18"/>
      <c r="AE4920" s="18"/>
    </row>
    <row r="4921" customFormat="false" ht="15" hidden="false" customHeight="true" outlineLevel="0" collapsed="false">
      <c r="A4921" s="12"/>
      <c r="B4921" s="13"/>
      <c r="C4921" s="14"/>
      <c r="D4921" s="13"/>
      <c r="E4921" s="15"/>
      <c r="F4921" s="15"/>
      <c r="G4921" s="15"/>
      <c r="H4921" s="13"/>
      <c r="I4921" s="13"/>
      <c r="J4921" s="16"/>
      <c r="K4921" s="16"/>
      <c r="L4921" s="17" t="str">
        <f aca="false" t="array" ref="L4921:L4921">IFERROR(INDEX(AC4921:AE4921,IF(COUNTA(AC4921:AE4921)=0,"",MAX((AC4921:AE4921&lt;&gt;"")*(COLUMN(AC4921:AE4921)-(COLUMN(AC4921)-2))))-1),"")</f>
        <v/>
      </c>
      <c r="M4921" s="13"/>
      <c r="N4921" s="13"/>
      <c r="O4921" s="13"/>
      <c r="P4921" s="26"/>
      <c r="Q4921" s="20"/>
      <c r="R4921" s="13"/>
      <c r="S4921" s="25"/>
      <c r="T4921" s="13"/>
      <c r="U4921" s="13"/>
      <c r="V4921" s="13"/>
      <c r="W4921" s="13"/>
      <c r="X4921" s="21"/>
      <c r="Y4921" s="22"/>
      <c r="Z4921" s="23"/>
      <c r="AA4921" s="23"/>
      <c r="AB4921" s="15"/>
      <c r="AC4921" s="14"/>
      <c r="AD4921" s="18"/>
      <c r="AE4921" s="18"/>
    </row>
    <row r="4922" customFormat="false" ht="15" hidden="false" customHeight="true" outlineLevel="0" collapsed="false">
      <c r="A4922" s="12"/>
      <c r="B4922" s="13"/>
      <c r="C4922" s="14"/>
      <c r="D4922" s="13"/>
      <c r="E4922" s="15"/>
      <c r="F4922" s="15"/>
      <c r="G4922" s="15"/>
      <c r="H4922" s="13"/>
      <c r="I4922" s="13"/>
      <c r="J4922" s="16"/>
      <c r="K4922" s="16"/>
      <c r="L4922" s="17" t="str">
        <f aca="false" t="array" ref="L4922:L4922">IFERROR(INDEX(AC4922:AE4922,IF(COUNTA(AC4922:AE4922)=0,"",MAX((AC4922:AE4922&lt;&gt;"")*(COLUMN(AC4922:AE4922)-(COLUMN(AC4922)-2))))-1),"")</f>
        <v/>
      </c>
      <c r="M4922" s="13"/>
      <c r="N4922" s="13"/>
      <c r="O4922" s="13"/>
      <c r="P4922" s="26"/>
      <c r="Q4922" s="20"/>
      <c r="R4922" s="13"/>
      <c r="S4922" s="25"/>
      <c r="T4922" s="13"/>
      <c r="U4922" s="13"/>
      <c r="V4922" s="13"/>
      <c r="W4922" s="13"/>
      <c r="X4922" s="21"/>
      <c r="Y4922" s="22"/>
      <c r="Z4922" s="23"/>
      <c r="AA4922" s="23"/>
      <c r="AB4922" s="15"/>
      <c r="AC4922" s="14"/>
      <c r="AD4922" s="18"/>
      <c r="AE4922" s="18"/>
    </row>
    <row r="4923" customFormat="false" ht="15" hidden="false" customHeight="true" outlineLevel="0" collapsed="false">
      <c r="A4923" s="12"/>
      <c r="B4923" s="13"/>
      <c r="C4923" s="14"/>
      <c r="D4923" s="13"/>
      <c r="E4923" s="15"/>
      <c r="F4923" s="15"/>
      <c r="G4923" s="15"/>
      <c r="H4923" s="13"/>
      <c r="I4923" s="13"/>
      <c r="J4923" s="16"/>
      <c r="K4923" s="16"/>
      <c r="L4923" s="17" t="str">
        <f aca="false" t="array" ref="L4923:L4923">IFERROR(INDEX(AC4923:AE4923,IF(COUNTA(AC4923:AE4923)=0,"",MAX((AC4923:AE4923&lt;&gt;"")*(COLUMN(AC4923:AE4923)-(COLUMN(AC4923)-2))))-1),"")</f>
        <v/>
      </c>
      <c r="M4923" s="13"/>
      <c r="N4923" s="13"/>
      <c r="O4923" s="13"/>
      <c r="P4923" s="26"/>
      <c r="Q4923" s="20"/>
      <c r="R4923" s="13"/>
      <c r="S4923" s="25"/>
      <c r="T4923" s="13"/>
      <c r="U4923" s="13"/>
      <c r="V4923" s="13"/>
      <c r="W4923" s="13"/>
      <c r="X4923" s="21"/>
      <c r="Y4923" s="22"/>
      <c r="Z4923" s="23"/>
      <c r="AA4923" s="23"/>
      <c r="AB4923" s="15"/>
      <c r="AC4923" s="14"/>
      <c r="AD4923" s="18"/>
      <c r="AE4923" s="18"/>
    </row>
    <row r="4924" customFormat="false" ht="15" hidden="false" customHeight="true" outlineLevel="0" collapsed="false">
      <c r="A4924" s="12"/>
      <c r="B4924" s="13"/>
      <c r="C4924" s="14"/>
      <c r="D4924" s="13"/>
      <c r="E4924" s="15"/>
      <c r="F4924" s="15"/>
      <c r="G4924" s="15"/>
      <c r="H4924" s="13"/>
      <c r="I4924" s="13"/>
      <c r="J4924" s="16"/>
      <c r="K4924" s="16"/>
      <c r="L4924" s="17" t="str">
        <f aca="false" t="array" ref="L4924:L4924">IFERROR(INDEX(AC4924:AE4924,IF(COUNTA(AC4924:AE4924)=0,"",MAX((AC4924:AE4924&lt;&gt;"")*(COLUMN(AC4924:AE4924)-(COLUMN(AC4924)-2))))-1),"")</f>
        <v/>
      </c>
      <c r="M4924" s="13"/>
      <c r="N4924" s="13"/>
      <c r="O4924" s="13"/>
      <c r="P4924" s="26"/>
      <c r="Q4924" s="20"/>
      <c r="R4924" s="13"/>
      <c r="S4924" s="25"/>
      <c r="T4924" s="13"/>
      <c r="U4924" s="13"/>
      <c r="V4924" s="13"/>
      <c r="W4924" s="13"/>
      <c r="X4924" s="21"/>
      <c r="Y4924" s="22"/>
      <c r="Z4924" s="23"/>
      <c r="AA4924" s="23"/>
      <c r="AB4924" s="15"/>
      <c r="AC4924" s="14"/>
      <c r="AD4924" s="18"/>
      <c r="AE4924" s="18"/>
    </row>
    <row r="4925" customFormat="false" ht="15" hidden="false" customHeight="true" outlineLevel="0" collapsed="false">
      <c r="A4925" s="12"/>
      <c r="B4925" s="13"/>
      <c r="C4925" s="14"/>
      <c r="D4925" s="13"/>
      <c r="E4925" s="15"/>
      <c r="F4925" s="15"/>
      <c r="G4925" s="15"/>
      <c r="H4925" s="13"/>
      <c r="I4925" s="13"/>
      <c r="J4925" s="16"/>
      <c r="K4925" s="16"/>
      <c r="L4925" s="17" t="str">
        <f aca="false" t="array" ref="L4925:L4925">IFERROR(INDEX(AC4925:AE4925,IF(COUNTA(AC4925:AE4925)=0,"",MAX((AC4925:AE4925&lt;&gt;"")*(COLUMN(AC4925:AE4925)-(COLUMN(AC4925)-2))))-1),"")</f>
        <v/>
      </c>
      <c r="M4925" s="13"/>
      <c r="N4925" s="13"/>
      <c r="O4925" s="13"/>
      <c r="P4925" s="26"/>
      <c r="Q4925" s="20"/>
      <c r="R4925" s="13"/>
      <c r="S4925" s="25"/>
      <c r="T4925" s="13"/>
      <c r="U4925" s="13"/>
      <c r="V4925" s="13"/>
      <c r="W4925" s="13"/>
      <c r="X4925" s="21"/>
      <c r="Y4925" s="22"/>
      <c r="Z4925" s="23"/>
      <c r="AA4925" s="23"/>
      <c r="AB4925" s="15"/>
      <c r="AC4925" s="14"/>
      <c r="AD4925" s="18"/>
      <c r="AE4925" s="18"/>
    </row>
    <row r="4926" customFormat="false" ht="15" hidden="false" customHeight="true" outlineLevel="0" collapsed="false">
      <c r="A4926" s="12"/>
      <c r="B4926" s="13"/>
      <c r="C4926" s="14"/>
      <c r="D4926" s="13"/>
      <c r="E4926" s="15"/>
      <c r="F4926" s="15"/>
      <c r="G4926" s="15"/>
      <c r="H4926" s="13"/>
      <c r="I4926" s="13"/>
      <c r="J4926" s="16"/>
      <c r="K4926" s="16"/>
      <c r="L4926" s="17" t="str">
        <f aca="false" t="array" ref="L4926:L4926">IFERROR(INDEX(AC4926:AE4926,IF(COUNTA(AC4926:AE4926)=0,"",MAX((AC4926:AE4926&lt;&gt;"")*(COLUMN(AC4926:AE4926)-(COLUMN(AC4926)-2))))-1),"")</f>
        <v/>
      </c>
      <c r="M4926" s="13"/>
      <c r="N4926" s="13"/>
      <c r="O4926" s="13"/>
      <c r="P4926" s="26"/>
      <c r="Q4926" s="20"/>
      <c r="R4926" s="13"/>
      <c r="S4926" s="25"/>
      <c r="T4926" s="13"/>
      <c r="U4926" s="13"/>
      <c r="V4926" s="13"/>
      <c r="W4926" s="13"/>
      <c r="X4926" s="21"/>
      <c r="Y4926" s="22"/>
      <c r="Z4926" s="23"/>
      <c r="AA4926" s="23"/>
      <c r="AB4926" s="15"/>
      <c r="AC4926" s="14"/>
      <c r="AD4926" s="18"/>
      <c r="AE4926" s="18"/>
    </row>
    <row r="4927" customFormat="false" ht="15" hidden="false" customHeight="true" outlineLevel="0" collapsed="false">
      <c r="A4927" s="12"/>
      <c r="B4927" s="13"/>
      <c r="C4927" s="14"/>
      <c r="D4927" s="13"/>
      <c r="E4927" s="15"/>
      <c r="F4927" s="15"/>
      <c r="G4927" s="15"/>
      <c r="H4927" s="13"/>
      <c r="I4927" s="13"/>
      <c r="J4927" s="16"/>
      <c r="K4927" s="16"/>
      <c r="L4927" s="17" t="str">
        <f aca="false" t="array" ref="L4927:L4927">IFERROR(INDEX(AC4927:AE4927,IF(COUNTA(AC4927:AE4927)=0,"",MAX((AC4927:AE4927&lt;&gt;"")*(COLUMN(AC4927:AE4927)-(COLUMN(AC4927)-2))))-1),"")</f>
        <v/>
      </c>
      <c r="M4927" s="13"/>
      <c r="N4927" s="13"/>
      <c r="O4927" s="13"/>
      <c r="P4927" s="26"/>
      <c r="Q4927" s="20"/>
      <c r="R4927" s="13"/>
      <c r="S4927" s="25"/>
      <c r="T4927" s="13"/>
      <c r="U4927" s="13"/>
      <c r="V4927" s="13"/>
      <c r="W4927" s="13"/>
      <c r="X4927" s="21"/>
      <c r="Y4927" s="22"/>
      <c r="Z4927" s="23"/>
      <c r="AA4927" s="23"/>
      <c r="AB4927" s="15"/>
      <c r="AC4927" s="14"/>
      <c r="AD4927" s="18"/>
      <c r="AE4927" s="18"/>
    </row>
    <row r="4928" customFormat="false" ht="15" hidden="false" customHeight="true" outlineLevel="0" collapsed="false">
      <c r="A4928" s="12"/>
      <c r="B4928" s="13"/>
      <c r="C4928" s="14"/>
      <c r="D4928" s="13"/>
      <c r="E4928" s="15"/>
      <c r="F4928" s="15"/>
      <c r="G4928" s="15"/>
      <c r="H4928" s="13"/>
      <c r="I4928" s="13"/>
      <c r="J4928" s="16"/>
      <c r="K4928" s="16"/>
      <c r="L4928" s="17" t="str">
        <f aca="false" t="array" ref="L4928:L4928">IFERROR(INDEX(AC4928:AE4928,IF(COUNTA(AC4928:AE4928)=0,"",MAX((AC4928:AE4928&lt;&gt;"")*(COLUMN(AC4928:AE4928)-(COLUMN(AC4928)-2))))-1),"")</f>
        <v/>
      </c>
      <c r="M4928" s="13"/>
      <c r="N4928" s="13"/>
      <c r="O4928" s="13"/>
      <c r="P4928" s="26"/>
      <c r="Q4928" s="20"/>
      <c r="R4928" s="13"/>
      <c r="S4928" s="25"/>
      <c r="T4928" s="13"/>
      <c r="U4928" s="13"/>
      <c r="V4928" s="13"/>
      <c r="W4928" s="13"/>
      <c r="X4928" s="21"/>
      <c r="Y4928" s="22"/>
      <c r="Z4928" s="23"/>
      <c r="AA4928" s="23"/>
      <c r="AB4928" s="15"/>
      <c r="AC4928" s="14"/>
      <c r="AD4928" s="18"/>
      <c r="AE4928" s="18"/>
    </row>
    <row r="4929" customFormat="false" ht="15" hidden="false" customHeight="true" outlineLevel="0" collapsed="false">
      <c r="A4929" s="12"/>
      <c r="B4929" s="13"/>
      <c r="C4929" s="14"/>
      <c r="D4929" s="13"/>
      <c r="E4929" s="15"/>
      <c r="F4929" s="15"/>
      <c r="G4929" s="15"/>
      <c r="H4929" s="13"/>
      <c r="I4929" s="13"/>
      <c r="J4929" s="16"/>
      <c r="K4929" s="16"/>
      <c r="L4929" s="17" t="str">
        <f aca="false" t="array" ref="L4929:L4929">IFERROR(INDEX(AC4929:AE4929,IF(COUNTA(AC4929:AE4929)=0,"",MAX((AC4929:AE4929&lt;&gt;"")*(COLUMN(AC4929:AE4929)-(COLUMN(AC4929)-2))))-1),"")</f>
        <v/>
      </c>
      <c r="M4929" s="13"/>
      <c r="N4929" s="13"/>
      <c r="O4929" s="13"/>
      <c r="P4929" s="26"/>
      <c r="Q4929" s="20"/>
      <c r="R4929" s="13"/>
      <c r="S4929" s="25"/>
      <c r="T4929" s="13"/>
      <c r="U4929" s="13"/>
      <c r="V4929" s="13"/>
      <c r="W4929" s="13"/>
      <c r="X4929" s="21"/>
      <c r="Y4929" s="22"/>
      <c r="Z4929" s="23"/>
      <c r="AA4929" s="23"/>
      <c r="AB4929" s="15"/>
      <c r="AC4929" s="14"/>
      <c r="AD4929" s="18"/>
      <c r="AE4929" s="18"/>
    </row>
    <row r="4930" customFormat="false" ht="15" hidden="false" customHeight="true" outlineLevel="0" collapsed="false">
      <c r="A4930" s="12"/>
      <c r="B4930" s="13"/>
      <c r="C4930" s="14"/>
      <c r="D4930" s="13"/>
      <c r="E4930" s="15"/>
      <c r="F4930" s="15"/>
      <c r="G4930" s="15"/>
      <c r="H4930" s="13"/>
      <c r="I4930" s="13"/>
      <c r="J4930" s="16"/>
      <c r="K4930" s="16"/>
      <c r="L4930" s="17" t="str">
        <f aca="false" t="array" ref="L4930:L4930">IFERROR(INDEX(AC4930:AE4930,IF(COUNTA(AC4930:AE4930)=0,"",MAX((AC4930:AE4930&lt;&gt;"")*(COLUMN(AC4930:AE4930)-(COLUMN(AC4930)-2))))-1),"")</f>
        <v/>
      </c>
      <c r="M4930" s="13"/>
      <c r="N4930" s="13"/>
      <c r="O4930" s="13"/>
      <c r="P4930" s="26"/>
      <c r="Q4930" s="20"/>
      <c r="R4930" s="13"/>
      <c r="S4930" s="25"/>
      <c r="T4930" s="13"/>
      <c r="U4930" s="13"/>
      <c r="V4930" s="13"/>
      <c r="W4930" s="13"/>
      <c r="X4930" s="21"/>
      <c r="Y4930" s="22"/>
      <c r="Z4930" s="23"/>
      <c r="AA4930" s="23"/>
      <c r="AB4930" s="15"/>
      <c r="AC4930" s="14"/>
      <c r="AD4930" s="18"/>
      <c r="AE4930" s="18"/>
    </row>
    <row r="4931" customFormat="false" ht="15" hidden="false" customHeight="true" outlineLevel="0" collapsed="false">
      <c r="A4931" s="12"/>
      <c r="B4931" s="13"/>
      <c r="C4931" s="14"/>
      <c r="D4931" s="13"/>
      <c r="E4931" s="15"/>
      <c r="F4931" s="15"/>
      <c r="G4931" s="15"/>
      <c r="H4931" s="13"/>
      <c r="I4931" s="13"/>
      <c r="J4931" s="16"/>
      <c r="K4931" s="16"/>
      <c r="L4931" s="17" t="str">
        <f aca="false" t="array" ref="L4931:L4931">IFERROR(INDEX(AC4931:AE4931,IF(COUNTA(AC4931:AE4931)=0,"",MAX((AC4931:AE4931&lt;&gt;"")*(COLUMN(AC4931:AE4931)-(COLUMN(AC4931)-2))))-1),"")</f>
        <v/>
      </c>
      <c r="M4931" s="13"/>
      <c r="N4931" s="13"/>
      <c r="O4931" s="13"/>
      <c r="P4931" s="26"/>
      <c r="Q4931" s="20"/>
      <c r="R4931" s="13"/>
      <c r="S4931" s="25"/>
      <c r="T4931" s="13"/>
      <c r="U4931" s="13"/>
      <c r="V4931" s="13"/>
      <c r="W4931" s="13"/>
      <c r="X4931" s="21"/>
      <c r="Y4931" s="22"/>
      <c r="Z4931" s="23"/>
      <c r="AA4931" s="23"/>
      <c r="AB4931" s="15"/>
      <c r="AC4931" s="14"/>
      <c r="AD4931" s="18"/>
      <c r="AE4931" s="18"/>
    </row>
    <row r="4932" customFormat="false" ht="15" hidden="false" customHeight="true" outlineLevel="0" collapsed="false">
      <c r="A4932" s="12"/>
      <c r="B4932" s="13"/>
      <c r="C4932" s="14"/>
      <c r="D4932" s="13"/>
      <c r="E4932" s="15"/>
      <c r="F4932" s="15"/>
      <c r="G4932" s="15"/>
      <c r="H4932" s="13"/>
      <c r="I4932" s="13"/>
      <c r="J4932" s="16"/>
      <c r="K4932" s="16"/>
      <c r="L4932" s="17" t="str">
        <f aca="false" t="array" ref="L4932:L4932">IFERROR(INDEX(AC4932:AE4932,IF(COUNTA(AC4932:AE4932)=0,"",MAX((AC4932:AE4932&lt;&gt;"")*(COLUMN(AC4932:AE4932)-(COLUMN(AC4932)-2))))-1),"")</f>
        <v/>
      </c>
      <c r="M4932" s="13"/>
      <c r="N4932" s="13"/>
      <c r="O4932" s="13"/>
      <c r="P4932" s="26"/>
      <c r="Q4932" s="20"/>
      <c r="R4932" s="13"/>
      <c r="S4932" s="25"/>
      <c r="T4932" s="13"/>
      <c r="U4932" s="13"/>
      <c r="V4932" s="13"/>
      <c r="W4932" s="13"/>
      <c r="X4932" s="21"/>
      <c r="Y4932" s="22"/>
      <c r="Z4932" s="23"/>
      <c r="AA4932" s="23"/>
      <c r="AB4932" s="15"/>
      <c r="AC4932" s="14"/>
      <c r="AD4932" s="18"/>
      <c r="AE4932" s="18"/>
    </row>
    <row r="4933" customFormat="false" ht="15" hidden="false" customHeight="true" outlineLevel="0" collapsed="false">
      <c r="A4933" s="12"/>
      <c r="B4933" s="13"/>
      <c r="C4933" s="14"/>
      <c r="D4933" s="13"/>
      <c r="E4933" s="15"/>
      <c r="F4933" s="15"/>
      <c r="G4933" s="15"/>
      <c r="H4933" s="13"/>
      <c r="I4933" s="13"/>
      <c r="J4933" s="16"/>
      <c r="K4933" s="16"/>
      <c r="L4933" s="17" t="str">
        <f aca="false" t="array" ref="L4933:L4933">IFERROR(INDEX(AC4933:AE4933,IF(COUNTA(AC4933:AE4933)=0,"",MAX((AC4933:AE4933&lt;&gt;"")*(COLUMN(AC4933:AE4933)-(COLUMN(AC4933)-2))))-1),"")</f>
        <v/>
      </c>
      <c r="M4933" s="13"/>
      <c r="N4933" s="13"/>
      <c r="O4933" s="13"/>
      <c r="P4933" s="26"/>
      <c r="Q4933" s="20"/>
      <c r="R4933" s="13"/>
      <c r="S4933" s="25"/>
      <c r="T4933" s="13"/>
      <c r="U4933" s="13"/>
      <c r="V4933" s="13"/>
      <c r="W4933" s="13"/>
      <c r="X4933" s="21"/>
      <c r="Y4933" s="22"/>
      <c r="Z4933" s="23"/>
      <c r="AA4933" s="23"/>
      <c r="AB4933" s="15"/>
      <c r="AC4933" s="14"/>
      <c r="AD4933" s="18"/>
      <c r="AE4933" s="18"/>
    </row>
    <row r="4934" customFormat="false" ht="15" hidden="false" customHeight="true" outlineLevel="0" collapsed="false">
      <c r="A4934" s="12"/>
      <c r="B4934" s="13"/>
      <c r="C4934" s="14"/>
      <c r="D4934" s="13"/>
      <c r="E4934" s="15"/>
      <c r="F4934" s="15"/>
      <c r="G4934" s="15"/>
      <c r="H4934" s="13"/>
      <c r="I4934" s="13"/>
      <c r="J4934" s="16"/>
      <c r="K4934" s="16"/>
      <c r="L4934" s="17" t="str">
        <f aca="false" t="array" ref="L4934:L4934">IFERROR(INDEX(AC4934:AE4934,IF(COUNTA(AC4934:AE4934)=0,"",MAX((AC4934:AE4934&lt;&gt;"")*(COLUMN(AC4934:AE4934)-(COLUMN(AC4934)-2))))-1),"")</f>
        <v/>
      </c>
      <c r="M4934" s="13"/>
      <c r="N4934" s="13"/>
      <c r="O4934" s="13"/>
      <c r="P4934" s="26"/>
      <c r="Q4934" s="20"/>
      <c r="R4934" s="13"/>
      <c r="S4934" s="25"/>
      <c r="T4934" s="13"/>
      <c r="U4934" s="13"/>
      <c r="V4934" s="13"/>
      <c r="W4934" s="13"/>
      <c r="X4934" s="21"/>
      <c r="Y4934" s="22"/>
      <c r="Z4934" s="23"/>
      <c r="AA4934" s="23"/>
      <c r="AB4934" s="15"/>
      <c r="AC4934" s="14"/>
      <c r="AD4934" s="18"/>
      <c r="AE4934" s="18"/>
    </row>
    <row r="4935" customFormat="false" ht="15" hidden="false" customHeight="true" outlineLevel="0" collapsed="false">
      <c r="A4935" s="12"/>
      <c r="B4935" s="13"/>
      <c r="C4935" s="14"/>
      <c r="D4935" s="13"/>
      <c r="E4935" s="15"/>
      <c r="F4935" s="15"/>
      <c r="G4935" s="15"/>
      <c r="H4935" s="13"/>
      <c r="I4935" s="13"/>
      <c r="J4935" s="16"/>
      <c r="K4935" s="16"/>
      <c r="L4935" s="17" t="str">
        <f aca="false" t="array" ref="L4935:L4935">IFERROR(INDEX(AC4935:AE4935,IF(COUNTA(AC4935:AE4935)=0,"",MAX((AC4935:AE4935&lt;&gt;"")*(COLUMN(AC4935:AE4935)-(COLUMN(AC4935)-2))))-1),"")</f>
        <v/>
      </c>
      <c r="M4935" s="13"/>
      <c r="N4935" s="13"/>
      <c r="O4935" s="13"/>
      <c r="P4935" s="26"/>
      <c r="Q4935" s="20"/>
      <c r="R4935" s="13"/>
      <c r="S4935" s="25"/>
      <c r="T4935" s="13"/>
      <c r="U4935" s="13"/>
      <c r="V4935" s="13"/>
      <c r="W4935" s="13"/>
      <c r="X4935" s="21"/>
      <c r="Y4935" s="22"/>
      <c r="Z4935" s="23"/>
      <c r="AA4935" s="23"/>
      <c r="AB4935" s="15"/>
      <c r="AC4935" s="14"/>
      <c r="AD4935" s="18"/>
      <c r="AE4935" s="18"/>
    </row>
    <row r="4936" customFormat="false" ht="15" hidden="false" customHeight="true" outlineLevel="0" collapsed="false">
      <c r="A4936" s="12"/>
      <c r="B4936" s="13"/>
      <c r="C4936" s="14"/>
      <c r="D4936" s="13"/>
      <c r="E4936" s="15"/>
      <c r="F4936" s="15"/>
      <c r="G4936" s="15"/>
      <c r="H4936" s="13"/>
      <c r="I4936" s="13"/>
      <c r="J4936" s="16"/>
      <c r="K4936" s="16"/>
      <c r="L4936" s="17" t="str">
        <f aca="false" t="array" ref="L4936:L4936">IFERROR(INDEX(AC4936:AE4936,IF(COUNTA(AC4936:AE4936)=0,"",MAX((AC4936:AE4936&lt;&gt;"")*(COLUMN(AC4936:AE4936)-(COLUMN(AC4936)-2))))-1),"")</f>
        <v/>
      </c>
      <c r="M4936" s="13"/>
      <c r="N4936" s="13"/>
      <c r="O4936" s="13"/>
      <c r="P4936" s="26"/>
      <c r="Q4936" s="20"/>
      <c r="R4936" s="13"/>
      <c r="S4936" s="25"/>
      <c r="T4936" s="13"/>
      <c r="U4936" s="13"/>
      <c r="V4936" s="13"/>
      <c r="W4936" s="13"/>
      <c r="X4936" s="21"/>
      <c r="Y4936" s="22"/>
      <c r="Z4936" s="23"/>
      <c r="AA4936" s="23"/>
      <c r="AB4936" s="15"/>
      <c r="AC4936" s="14"/>
      <c r="AD4936" s="18"/>
      <c r="AE4936" s="18"/>
    </row>
    <row r="4937" customFormat="false" ht="15" hidden="false" customHeight="true" outlineLevel="0" collapsed="false">
      <c r="A4937" s="12"/>
      <c r="B4937" s="13"/>
      <c r="C4937" s="14"/>
      <c r="D4937" s="13"/>
      <c r="E4937" s="15"/>
      <c r="F4937" s="15"/>
      <c r="G4937" s="15"/>
      <c r="H4937" s="13"/>
      <c r="I4937" s="13"/>
      <c r="J4937" s="16"/>
      <c r="K4937" s="16"/>
      <c r="L4937" s="17" t="str">
        <f aca="false" t="array" ref="L4937:L4937">IFERROR(INDEX(AC4937:AE4937,IF(COUNTA(AC4937:AE4937)=0,"",MAX((AC4937:AE4937&lt;&gt;"")*(COLUMN(AC4937:AE4937)-(COLUMN(AC4937)-2))))-1),"")</f>
        <v/>
      </c>
      <c r="M4937" s="13"/>
      <c r="N4937" s="13"/>
      <c r="O4937" s="13"/>
      <c r="P4937" s="26"/>
      <c r="Q4937" s="20"/>
      <c r="R4937" s="13"/>
      <c r="S4937" s="25"/>
      <c r="T4937" s="13"/>
      <c r="U4937" s="13"/>
      <c r="V4937" s="13"/>
      <c r="W4937" s="13"/>
      <c r="X4937" s="21"/>
      <c r="Y4937" s="22"/>
      <c r="Z4937" s="23"/>
      <c r="AA4937" s="23"/>
      <c r="AB4937" s="15"/>
      <c r="AC4937" s="14"/>
      <c r="AD4937" s="18"/>
      <c r="AE4937" s="18"/>
    </row>
    <row r="4938" customFormat="false" ht="15" hidden="false" customHeight="true" outlineLevel="0" collapsed="false">
      <c r="A4938" s="12"/>
      <c r="B4938" s="13"/>
      <c r="C4938" s="14"/>
      <c r="D4938" s="13"/>
      <c r="E4938" s="15"/>
      <c r="F4938" s="15"/>
      <c r="G4938" s="15"/>
      <c r="H4938" s="13"/>
      <c r="I4938" s="13"/>
      <c r="J4938" s="16"/>
      <c r="K4938" s="16"/>
      <c r="L4938" s="17" t="str">
        <f aca="false" t="array" ref="L4938:L4938">IFERROR(INDEX(AC4938:AE4938,IF(COUNTA(AC4938:AE4938)=0,"",MAX((AC4938:AE4938&lt;&gt;"")*(COLUMN(AC4938:AE4938)-(COLUMN(AC4938)-2))))-1),"")</f>
        <v/>
      </c>
      <c r="M4938" s="13"/>
      <c r="N4938" s="13"/>
      <c r="O4938" s="13"/>
      <c r="P4938" s="26"/>
      <c r="Q4938" s="20"/>
      <c r="R4938" s="13"/>
      <c r="S4938" s="25"/>
      <c r="T4938" s="13"/>
      <c r="U4938" s="13"/>
      <c r="V4938" s="13"/>
      <c r="W4938" s="13"/>
      <c r="X4938" s="21"/>
      <c r="Y4938" s="22"/>
      <c r="Z4938" s="23"/>
      <c r="AA4938" s="23"/>
      <c r="AB4938" s="15"/>
      <c r="AC4938" s="14"/>
      <c r="AD4938" s="18"/>
      <c r="AE4938" s="18"/>
    </row>
    <row r="4939" customFormat="false" ht="15" hidden="false" customHeight="true" outlineLevel="0" collapsed="false">
      <c r="A4939" s="12"/>
      <c r="B4939" s="13"/>
      <c r="C4939" s="14"/>
      <c r="D4939" s="13"/>
      <c r="E4939" s="15"/>
      <c r="F4939" s="15"/>
      <c r="G4939" s="15"/>
      <c r="H4939" s="13"/>
      <c r="I4939" s="13"/>
      <c r="J4939" s="16"/>
      <c r="K4939" s="16"/>
      <c r="L4939" s="17" t="str">
        <f aca="false" t="array" ref="L4939:L4939">IFERROR(INDEX(AC4939:AE4939,IF(COUNTA(AC4939:AE4939)=0,"",MAX((AC4939:AE4939&lt;&gt;"")*(COLUMN(AC4939:AE4939)-(COLUMN(AC4939)-2))))-1),"")</f>
        <v/>
      </c>
      <c r="M4939" s="13"/>
      <c r="N4939" s="13"/>
      <c r="O4939" s="13"/>
      <c r="P4939" s="26"/>
      <c r="Q4939" s="20"/>
      <c r="R4939" s="13"/>
      <c r="S4939" s="25"/>
      <c r="T4939" s="13"/>
      <c r="U4939" s="13"/>
      <c r="V4939" s="13"/>
      <c r="W4939" s="13"/>
      <c r="X4939" s="21"/>
      <c r="Y4939" s="22"/>
      <c r="Z4939" s="23"/>
      <c r="AA4939" s="23"/>
      <c r="AB4939" s="15"/>
      <c r="AC4939" s="14"/>
      <c r="AD4939" s="18"/>
      <c r="AE4939" s="18"/>
    </row>
    <row r="4940" customFormat="false" ht="15" hidden="false" customHeight="true" outlineLevel="0" collapsed="false">
      <c r="A4940" s="12"/>
      <c r="B4940" s="13"/>
      <c r="C4940" s="14"/>
      <c r="D4940" s="13"/>
      <c r="E4940" s="15"/>
      <c r="F4940" s="15"/>
      <c r="G4940" s="15"/>
      <c r="H4940" s="13"/>
      <c r="I4940" s="13"/>
      <c r="J4940" s="16"/>
      <c r="K4940" s="16"/>
      <c r="L4940" s="17" t="str">
        <f aca="false" t="array" ref="L4940:L4940">IFERROR(INDEX(AC4940:AE4940,IF(COUNTA(AC4940:AE4940)=0,"",MAX((AC4940:AE4940&lt;&gt;"")*(COLUMN(AC4940:AE4940)-(COLUMN(AC4940)-2))))-1),"")</f>
        <v/>
      </c>
      <c r="M4940" s="13"/>
      <c r="N4940" s="13"/>
      <c r="O4940" s="13"/>
      <c r="P4940" s="26"/>
      <c r="Q4940" s="20"/>
      <c r="R4940" s="13"/>
      <c r="S4940" s="25"/>
      <c r="T4940" s="13"/>
      <c r="U4940" s="13"/>
      <c r="V4940" s="13"/>
      <c r="W4940" s="13"/>
      <c r="X4940" s="21"/>
      <c r="Y4940" s="22"/>
      <c r="Z4940" s="23"/>
      <c r="AA4940" s="23"/>
      <c r="AB4940" s="15"/>
      <c r="AC4940" s="14"/>
      <c r="AD4940" s="18"/>
      <c r="AE4940" s="18"/>
    </row>
    <row r="4941" customFormat="false" ht="15" hidden="false" customHeight="true" outlineLevel="0" collapsed="false">
      <c r="A4941" s="12"/>
      <c r="B4941" s="13"/>
      <c r="C4941" s="14"/>
      <c r="D4941" s="13"/>
      <c r="E4941" s="15"/>
      <c r="F4941" s="15"/>
      <c r="G4941" s="15"/>
      <c r="H4941" s="13"/>
      <c r="I4941" s="13"/>
      <c r="J4941" s="16"/>
      <c r="K4941" s="16"/>
      <c r="L4941" s="17" t="str">
        <f aca="false" t="array" ref="L4941:L4941">IFERROR(INDEX(AC4941:AE4941,IF(COUNTA(AC4941:AE4941)=0,"",MAX((AC4941:AE4941&lt;&gt;"")*(COLUMN(AC4941:AE4941)-(COLUMN(AC4941)-2))))-1),"")</f>
        <v/>
      </c>
      <c r="M4941" s="13"/>
      <c r="N4941" s="13"/>
      <c r="O4941" s="13"/>
      <c r="P4941" s="26"/>
      <c r="Q4941" s="20"/>
      <c r="R4941" s="13"/>
      <c r="S4941" s="25"/>
      <c r="T4941" s="13"/>
      <c r="U4941" s="13"/>
      <c r="V4941" s="13"/>
      <c r="W4941" s="13"/>
      <c r="X4941" s="21"/>
      <c r="Y4941" s="22"/>
      <c r="Z4941" s="23"/>
      <c r="AA4941" s="23"/>
      <c r="AB4941" s="15"/>
      <c r="AC4941" s="14"/>
      <c r="AD4941" s="18"/>
      <c r="AE4941" s="18"/>
    </row>
    <row r="4942" customFormat="false" ht="15" hidden="false" customHeight="true" outlineLevel="0" collapsed="false">
      <c r="A4942" s="12"/>
      <c r="B4942" s="13"/>
      <c r="C4942" s="14"/>
      <c r="D4942" s="13"/>
      <c r="E4942" s="15"/>
      <c r="F4942" s="15"/>
      <c r="G4942" s="15"/>
      <c r="H4942" s="13"/>
      <c r="I4942" s="13"/>
      <c r="J4942" s="16"/>
      <c r="K4942" s="16"/>
      <c r="L4942" s="17" t="str">
        <f aca="false" t="array" ref="L4942:L4942">IFERROR(INDEX(AC4942:AE4942,IF(COUNTA(AC4942:AE4942)=0,"",MAX((AC4942:AE4942&lt;&gt;"")*(COLUMN(AC4942:AE4942)-(COLUMN(AC4942)-2))))-1),"")</f>
        <v/>
      </c>
      <c r="M4942" s="13"/>
      <c r="N4942" s="13"/>
      <c r="O4942" s="13"/>
      <c r="P4942" s="26"/>
      <c r="Q4942" s="20"/>
      <c r="R4942" s="13"/>
      <c r="S4942" s="25"/>
      <c r="T4942" s="13"/>
      <c r="U4942" s="13"/>
      <c r="V4942" s="13"/>
      <c r="W4942" s="13"/>
      <c r="X4942" s="21"/>
      <c r="Y4942" s="22"/>
      <c r="Z4942" s="23"/>
      <c r="AA4942" s="23"/>
      <c r="AB4942" s="15"/>
      <c r="AC4942" s="14"/>
      <c r="AD4942" s="18"/>
      <c r="AE4942" s="18"/>
    </row>
    <row r="4943" customFormat="false" ht="15" hidden="false" customHeight="true" outlineLevel="0" collapsed="false">
      <c r="A4943" s="12"/>
      <c r="B4943" s="13"/>
      <c r="C4943" s="14"/>
      <c r="D4943" s="13"/>
      <c r="E4943" s="15"/>
      <c r="F4943" s="15"/>
      <c r="G4943" s="15"/>
      <c r="H4943" s="13"/>
      <c r="I4943" s="13"/>
      <c r="J4943" s="16"/>
      <c r="K4943" s="16"/>
      <c r="L4943" s="17" t="str">
        <f aca="false" t="array" ref="L4943:L4943">IFERROR(INDEX(AC4943:AE4943,IF(COUNTA(AC4943:AE4943)=0,"",MAX((AC4943:AE4943&lt;&gt;"")*(COLUMN(AC4943:AE4943)-(COLUMN(AC4943)-2))))-1),"")</f>
        <v/>
      </c>
      <c r="M4943" s="13"/>
      <c r="N4943" s="13"/>
      <c r="O4943" s="13"/>
      <c r="P4943" s="26"/>
      <c r="Q4943" s="20"/>
      <c r="R4943" s="13"/>
      <c r="S4943" s="25"/>
      <c r="T4943" s="13"/>
      <c r="U4943" s="13"/>
      <c r="V4943" s="13"/>
      <c r="W4943" s="13"/>
      <c r="X4943" s="21"/>
      <c r="Y4943" s="22"/>
      <c r="Z4943" s="23"/>
      <c r="AA4943" s="23"/>
      <c r="AB4943" s="15"/>
      <c r="AC4943" s="14"/>
      <c r="AD4943" s="18"/>
      <c r="AE4943" s="18"/>
    </row>
    <row r="4944" customFormat="false" ht="15" hidden="false" customHeight="true" outlineLevel="0" collapsed="false">
      <c r="A4944" s="12"/>
      <c r="B4944" s="13"/>
      <c r="C4944" s="14"/>
      <c r="D4944" s="13"/>
      <c r="E4944" s="15"/>
      <c r="F4944" s="15"/>
      <c r="G4944" s="15"/>
      <c r="H4944" s="13"/>
      <c r="I4944" s="13"/>
      <c r="J4944" s="16"/>
      <c r="K4944" s="16"/>
      <c r="L4944" s="17" t="str">
        <f aca="false" t="array" ref="L4944:L4944">IFERROR(INDEX(AC4944:AE4944,IF(COUNTA(AC4944:AE4944)=0,"",MAX((AC4944:AE4944&lt;&gt;"")*(COLUMN(AC4944:AE4944)-(COLUMN(AC4944)-2))))-1),"")</f>
        <v/>
      </c>
      <c r="M4944" s="13"/>
      <c r="N4944" s="13"/>
      <c r="O4944" s="13"/>
      <c r="P4944" s="26"/>
      <c r="Q4944" s="20"/>
      <c r="R4944" s="13"/>
      <c r="S4944" s="25"/>
      <c r="T4944" s="13"/>
      <c r="U4944" s="13"/>
      <c r="V4944" s="13"/>
      <c r="W4944" s="13"/>
      <c r="X4944" s="21"/>
      <c r="Y4944" s="22"/>
      <c r="Z4944" s="23"/>
      <c r="AA4944" s="23"/>
      <c r="AB4944" s="15"/>
      <c r="AC4944" s="14"/>
      <c r="AD4944" s="18"/>
      <c r="AE4944" s="18"/>
    </row>
    <row r="4945" customFormat="false" ht="15" hidden="false" customHeight="true" outlineLevel="0" collapsed="false">
      <c r="A4945" s="12"/>
      <c r="B4945" s="13"/>
      <c r="C4945" s="14"/>
      <c r="D4945" s="13"/>
      <c r="E4945" s="15"/>
      <c r="F4945" s="15"/>
      <c r="G4945" s="15"/>
      <c r="H4945" s="13"/>
      <c r="I4945" s="13"/>
      <c r="J4945" s="16"/>
      <c r="K4945" s="16"/>
      <c r="L4945" s="17" t="str">
        <f aca="false" t="array" ref="L4945:L4945">IFERROR(INDEX(AC4945:AE4945,IF(COUNTA(AC4945:AE4945)=0,"",MAX((AC4945:AE4945&lt;&gt;"")*(COLUMN(AC4945:AE4945)-(COLUMN(AC4945)-2))))-1),"")</f>
        <v/>
      </c>
      <c r="M4945" s="13"/>
      <c r="N4945" s="13"/>
      <c r="O4945" s="13"/>
      <c r="P4945" s="26"/>
      <c r="Q4945" s="20"/>
      <c r="R4945" s="13"/>
      <c r="S4945" s="25"/>
      <c r="T4945" s="13"/>
      <c r="U4945" s="13"/>
      <c r="V4945" s="13"/>
      <c r="W4945" s="13"/>
      <c r="X4945" s="21"/>
      <c r="Y4945" s="22"/>
      <c r="Z4945" s="23"/>
      <c r="AA4945" s="23"/>
      <c r="AB4945" s="15"/>
      <c r="AC4945" s="14"/>
      <c r="AD4945" s="18"/>
      <c r="AE4945" s="18"/>
    </row>
    <row r="4946" customFormat="false" ht="15" hidden="false" customHeight="true" outlineLevel="0" collapsed="false">
      <c r="A4946" s="12"/>
      <c r="B4946" s="13"/>
      <c r="C4946" s="14"/>
      <c r="D4946" s="13"/>
      <c r="E4946" s="15"/>
      <c r="F4946" s="15"/>
      <c r="G4946" s="15"/>
      <c r="H4946" s="13"/>
      <c r="I4946" s="13"/>
      <c r="J4946" s="16"/>
      <c r="K4946" s="16"/>
      <c r="L4946" s="17" t="str">
        <f aca="false" t="array" ref="L4946:L4946">IFERROR(INDEX(AC4946:AE4946,IF(COUNTA(AC4946:AE4946)=0,"",MAX((AC4946:AE4946&lt;&gt;"")*(COLUMN(AC4946:AE4946)-(COLUMN(AC4946)-2))))-1),"")</f>
        <v/>
      </c>
      <c r="M4946" s="13"/>
      <c r="N4946" s="13"/>
      <c r="O4946" s="13"/>
      <c r="P4946" s="26"/>
      <c r="Q4946" s="20"/>
      <c r="R4946" s="13"/>
      <c r="S4946" s="25"/>
      <c r="T4946" s="13"/>
      <c r="U4946" s="13"/>
      <c r="V4946" s="13"/>
      <c r="W4946" s="13"/>
      <c r="X4946" s="21"/>
      <c r="Y4946" s="22"/>
      <c r="Z4946" s="23"/>
      <c r="AA4946" s="23"/>
      <c r="AB4946" s="15"/>
      <c r="AC4946" s="14"/>
      <c r="AD4946" s="18"/>
      <c r="AE4946" s="18"/>
    </row>
    <row r="4947" customFormat="false" ht="15" hidden="false" customHeight="true" outlineLevel="0" collapsed="false">
      <c r="A4947" s="12"/>
      <c r="B4947" s="13"/>
      <c r="C4947" s="14"/>
      <c r="D4947" s="13"/>
      <c r="E4947" s="15"/>
      <c r="F4947" s="15"/>
      <c r="G4947" s="15"/>
      <c r="H4947" s="13"/>
      <c r="I4947" s="13"/>
      <c r="J4947" s="16"/>
      <c r="K4947" s="16"/>
      <c r="L4947" s="17" t="str">
        <f aca="false" t="array" ref="L4947:L4947">IFERROR(INDEX(AC4947:AE4947,IF(COUNTA(AC4947:AE4947)=0,"",MAX((AC4947:AE4947&lt;&gt;"")*(COLUMN(AC4947:AE4947)-(COLUMN(AC4947)-2))))-1),"")</f>
        <v/>
      </c>
      <c r="M4947" s="13"/>
      <c r="N4947" s="13"/>
      <c r="O4947" s="13"/>
      <c r="P4947" s="26"/>
      <c r="Q4947" s="20"/>
      <c r="R4947" s="13"/>
      <c r="S4947" s="25"/>
      <c r="T4947" s="13"/>
      <c r="U4947" s="13"/>
      <c r="V4947" s="13"/>
      <c r="W4947" s="13"/>
      <c r="X4947" s="21"/>
      <c r="Y4947" s="22"/>
      <c r="Z4947" s="23"/>
      <c r="AA4947" s="23"/>
      <c r="AB4947" s="15"/>
      <c r="AC4947" s="14"/>
      <c r="AD4947" s="18"/>
      <c r="AE4947" s="18"/>
    </row>
    <row r="4948" customFormat="false" ht="15" hidden="false" customHeight="true" outlineLevel="0" collapsed="false">
      <c r="A4948" s="12"/>
      <c r="B4948" s="13"/>
      <c r="C4948" s="14"/>
      <c r="D4948" s="13"/>
      <c r="E4948" s="15"/>
      <c r="F4948" s="15"/>
      <c r="G4948" s="15"/>
      <c r="H4948" s="13"/>
      <c r="I4948" s="13"/>
      <c r="J4948" s="16"/>
      <c r="K4948" s="16"/>
      <c r="L4948" s="17" t="str">
        <f aca="false" t="array" ref="L4948:L4948">IFERROR(INDEX(AC4948:AE4948,IF(COUNTA(AC4948:AE4948)=0,"",MAX((AC4948:AE4948&lt;&gt;"")*(COLUMN(AC4948:AE4948)-(COLUMN(AC4948)-2))))-1),"")</f>
        <v/>
      </c>
      <c r="M4948" s="13"/>
      <c r="N4948" s="13"/>
      <c r="O4948" s="13"/>
      <c r="P4948" s="26"/>
      <c r="Q4948" s="20"/>
      <c r="R4948" s="13"/>
      <c r="S4948" s="25"/>
      <c r="T4948" s="13"/>
      <c r="U4948" s="13"/>
      <c r="V4948" s="13"/>
      <c r="W4948" s="13"/>
      <c r="X4948" s="21"/>
      <c r="Y4948" s="22"/>
      <c r="Z4948" s="23"/>
      <c r="AA4948" s="23"/>
      <c r="AB4948" s="15"/>
      <c r="AC4948" s="14"/>
      <c r="AD4948" s="18"/>
      <c r="AE4948" s="18"/>
    </row>
    <row r="4949" customFormat="false" ht="15" hidden="false" customHeight="true" outlineLevel="0" collapsed="false">
      <c r="A4949" s="12"/>
      <c r="B4949" s="13"/>
      <c r="C4949" s="14"/>
      <c r="D4949" s="13"/>
      <c r="E4949" s="15"/>
      <c r="F4949" s="15"/>
      <c r="G4949" s="15"/>
      <c r="H4949" s="13"/>
      <c r="I4949" s="13"/>
      <c r="J4949" s="16"/>
      <c r="K4949" s="16"/>
      <c r="L4949" s="17" t="str">
        <f aca="false" t="array" ref="L4949:L4949">IFERROR(INDEX(AC4949:AE4949,IF(COUNTA(AC4949:AE4949)=0,"",MAX((AC4949:AE4949&lt;&gt;"")*(COLUMN(AC4949:AE4949)-(COLUMN(AC4949)-2))))-1),"")</f>
        <v/>
      </c>
      <c r="M4949" s="13"/>
      <c r="N4949" s="13"/>
      <c r="O4949" s="13"/>
      <c r="P4949" s="26"/>
      <c r="Q4949" s="20"/>
      <c r="R4949" s="13"/>
      <c r="S4949" s="25"/>
      <c r="T4949" s="13"/>
      <c r="U4949" s="13"/>
      <c r="V4949" s="13"/>
      <c r="W4949" s="13"/>
      <c r="X4949" s="21"/>
      <c r="Y4949" s="22"/>
      <c r="Z4949" s="23"/>
      <c r="AA4949" s="23"/>
      <c r="AB4949" s="15"/>
      <c r="AC4949" s="14"/>
      <c r="AD4949" s="18"/>
      <c r="AE4949" s="18"/>
    </row>
    <row r="4950" customFormat="false" ht="15" hidden="false" customHeight="true" outlineLevel="0" collapsed="false">
      <c r="A4950" s="12"/>
      <c r="B4950" s="13"/>
      <c r="C4950" s="14"/>
      <c r="D4950" s="13"/>
      <c r="E4950" s="15"/>
      <c r="F4950" s="15"/>
      <c r="G4950" s="15"/>
      <c r="H4950" s="13"/>
      <c r="I4950" s="13"/>
      <c r="J4950" s="16"/>
      <c r="K4950" s="16"/>
      <c r="L4950" s="17" t="str">
        <f aca="false" t="array" ref="L4950:L4950">IFERROR(INDEX(AC4950:AE4950,IF(COUNTA(AC4950:AE4950)=0,"",MAX((AC4950:AE4950&lt;&gt;"")*(COLUMN(AC4950:AE4950)-(COLUMN(AC4950)-2))))-1),"")</f>
        <v/>
      </c>
      <c r="M4950" s="13"/>
      <c r="N4950" s="13"/>
      <c r="O4950" s="13"/>
      <c r="P4950" s="26"/>
      <c r="Q4950" s="20"/>
      <c r="R4950" s="13"/>
      <c r="S4950" s="25"/>
      <c r="T4950" s="13"/>
      <c r="U4950" s="13"/>
      <c r="V4950" s="13"/>
      <c r="W4950" s="13"/>
      <c r="X4950" s="21"/>
      <c r="Y4950" s="22"/>
      <c r="Z4950" s="23"/>
      <c r="AA4950" s="23"/>
      <c r="AB4950" s="15"/>
      <c r="AC4950" s="14"/>
      <c r="AD4950" s="18"/>
      <c r="AE4950" s="18"/>
    </row>
    <row r="4951" customFormat="false" ht="15" hidden="false" customHeight="true" outlineLevel="0" collapsed="false">
      <c r="A4951" s="12"/>
      <c r="B4951" s="13"/>
      <c r="C4951" s="14"/>
      <c r="D4951" s="13"/>
      <c r="E4951" s="15"/>
      <c r="F4951" s="15"/>
      <c r="G4951" s="15"/>
      <c r="H4951" s="13"/>
      <c r="I4951" s="13"/>
      <c r="J4951" s="16"/>
      <c r="K4951" s="16"/>
      <c r="L4951" s="17" t="str">
        <f aca="false" t="array" ref="L4951:L4951">IFERROR(INDEX(AC4951:AE4951,IF(COUNTA(AC4951:AE4951)=0,"",MAX((AC4951:AE4951&lt;&gt;"")*(COLUMN(AC4951:AE4951)-(COLUMN(AC4951)-2))))-1),"")</f>
        <v/>
      </c>
      <c r="M4951" s="13"/>
      <c r="N4951" s="13"/>
      <c r="O4951" s="13"/>
      <c r="P4951" s="26"/>
      <c r="Q4951" s="20"/>
      <c r="R4951" s="13"/>
      <c r="S4951" s="25"/>
      <c r="T4951" s="13"/>
      <c r="U4951" s="13"/>
      <c r="V4951" s="13"/>
      <c r="W4951" s="13"/>
      <c r="X4951" s="21"/>
      <c r="Y4951" s="22"/>
      <c r="Z4951" s="23"/>
      <c r="AA4951" s="23"/>
      <c r="AB4951" s="15"/>
      <c r="AC4951" s="14"/>
      <c r="AD4951" s="18"/>
      <c r="AE4951" s="18"/>
    </row>
    <row r="4952" customFormat="false" ht="15" hidden="false" customHeight="true" outlineLevel="0" collapsed="false">
      <c r="A4952" s="12"/>
      <c r="B4952" s="13"/>
      <c r="C4952" s="14"/>
      <c r="D4952" s="13"/>
      <c r="E4952" s="15"/>
      <c r="F4952" s="15"/>
      <c r="G4952" s="15"/>
      <c r="H4952" s="13"/>
      <c r="I4952" s="13"/>
      <c r="J4952" s="16"/>
      <c r="K4952" s="16"/>
      <c r="L4952" s="17" t="str">
        <f aca="false" t="array" ref="L4952:L4952">IFERROR(INDEX(AC4952:AE4952,IF(COUNTA(AC4952:AE4952)=0,"",MAX((AC4952:AE4952&lt;&gt;"")*(COLUMN(AC4952:AE4952)-(COLUMN(AC4952)-2))))-1),"")</f>
        <v/>
      </c>
      <c r="M4952" s="13"/>
      <c r="N4952" s="13"/>
      <c r="O4952" s="13"/>
      <c r="P4952" s="26"/>
      <c r="Q4952" s="20"/>
      <c r="R4952" s="13"/>
      <c r="S4952" s="25"/>
      <c r="T4952" s="13"/>
      <c r="U4952" s="13"/>
      <c r="V4952" s="13"/>
      <c r="W4952" s="13"/>
      <c r="X4952" s="21"/>
      <c r="Y4952" s="22"/>
      <c r="Z4952" s="23"/>
      <c r="AA4952" s="23"/>
      <c r="AB4952" s="15"/>
      <c r="AC4952" s="14"/>
      <c r="AD4952" s="18"/>
      <c r="AE4952" s="18"/>
    </row>
    <row r="4953" customFormat="false" ht="15" hidden="false" customHeight="true" outlineLevel="0" collapsed="false">
      <c r="A4953" s="12"/>
      <c r="B4953" s="13"/>
      <c r="C4953" s="14"/>
      <c r="D4953" s="13"/>
      <c r="E4953" s="15"/>
      <c r="F4953" s="15"/>
      <c r="G4953" s="15"/>
      <c r="H4953" s="13"/>
      <c r="I4953" s="13"/>
      <c r="J4953" s="16"/>
      <c r="K4953" s="16"/>
      <c r="L4953" s="17" t="str">
        <f aca="false" t="array" ref="L4953:L4953">IFERROR(INDEX(AC4953:AE4953,IF(COUNTA(AC4953:AE4953)=0,"",MAX((AC4953:AE4953&lt;&gt;"")*(COLUMN(AC4953:AE4953)-(COLUMN(AC4953)-2))))-1),"")</f>
        <v/>
      </c>
      <c r="M4953" s="13"/>
      <c r="N4953" s="13"/>
      <c r="O4953" s="13"/>
      <c r="P4953" s="26"/>
      <c r="Q4953" s="20"/>
      <c r="R4953" s="13"/>
      <c r="S4953" s="25"/>
      <c r="T4953" s="13"/>
      <c r="U4953" s="13"/>
      <c r="V4953" s="13"/>
      <c r="W4953" s="13"/>
      <c r="X4953" s="21"/>
      <c r="Y4953" s="22"/>
      <c r="Z4953" s="23"/>
      <c r="AA4953" s="23"/>
      <c r="AB4953" s="15"/>
      <c r="AC4953" s="14"/>
      <c r="AD4953" s="18"/>
      <c r="AE4953" s="18"/>
    </row>
    <row r="4954" customFormat="false" ht="15" hidden="false" customHeight="true" outlineLevel="0" collapsed="false">
      <c r="A4954" s="12"/>
      <c r="B4954" s="13"/>
      <c r="C4954" s="14"/>
      <c r="D4954" s="13"/>
      <c r="E4954" s="15"/>
      <c r="F4954" s="15"/>
      <c r="G4954" s="15"/>
      <c r="H4954" s="13"/>
      <c r="I4954" s="13"/>
      <c r="J4954" s="16"/>
      <c r="K4954" s="16"/>
      <c r="L4954" s="17" t="str">
        <f aca="false" t="array" ref="L4954:L4954">IFERROR(INDEX(AC4954:AE4954,IF(COUNTA(AC4954:AE4954)=0,"",MAX((AC4954:AE4954&lt;&gt;"")*(COLUMN(AC4954:AE4954)-(COLUMN(AC4954)-2))))-1),"")</f>
        <v/>
      </c>
      <c r="M4954" s="13"/>
      <c r="N4954" s="13"/>
      <c r="O4954" s="13"/>
      <c r="P4954" s="26"/>
      <c r="Q4954" s="20"/>
      <c r="R4954" s="13"/>
      <c r="S4954" s="25"/>
      <c r="T4954" s="13"/>
      <c r="U4954" s="13"/>
      <c r="V4954" s="13"/>
      <c r="W4954" s="13"/>
      <c r="X4954" s="21"/>
      <c r="Y4954" s="22"/>
      <c r="Z4954" s="23"/>
      <c r="AA4954" s="23"/>
      <c r="AB4954" s="15"/>
      <c r="AC4954" s="14"/>
      <c r="AD4954" s="18"/>
      <c r="AE4954" s="18"/>
    </row>
    <row r="4955" customFormat="false" ht="15" hidden="false" customHeight="true" outlineLevel="0" collapsed="false">
      <c r="A4955" s="12"/>
      <c r="B4955" s="13"/>
      <c r="C4955" s="14"/>
      <c r="D4955" s="13"/>
      <c r="E4955" s="15"/>
      <c r="F4955" s="15"/>
      <c r="G4955" s="15"/>
      <c r="H4955" s="13"/>
      <c r="I4955" s="13"/>
      <c r="J4955" s="16"/>
      <c r="K4955" s="16"/>
      <c r="L4955" s="17" t="str">
        <f aca="false" t="array" ref="L4955:L4955">IFERROR(INDEX(AC4955:AE4955,IF(COUNTA(AC4955:AE4955)=0,"",MAX((AC4955:AE4955&lt;&gt;"")*(COLUMN(AC4955:AE4955)-(COLUMN(AC4955)-2))))-1),"")</f>
        <v/>
      </c>
      <c r="M4955" s="13"/>
      <c r="N4955" s="13"/>
      <c r="O4955" s="13"/>
      <c r="P4955" s="26"/>
      <c r="Q4955" s="20"/>
      <c r="R4955" s="13"/>
      <c r="S4955" s="25"/>
      <c r="T4955" s="13"/>
      <c r="U4955" s="13"/>
      <c r="V4955" s="13"/>
      <c r="W4955" s="13"/>
      <c r="X4955" s="21"/>
      <c r="Y4955" s="22"/>
      <c r="Z4955" s="23"/>
      <c r="AA4955" s="23"/>
      <c r="AB4955" s="15"/>
      <c r="AC4955" s="14"/>
      <c r="AD4955" s="18"/>
      <c r="AE4955" s="18"/>
    </row>
    <row r="4956" customFormat="false" ht="15" hidden="false" customHeight="true" outlineLevel="0" collapsed="false">
      <c r="A4956" s="12"/>
      <c r="B4956" s="13"/>
      <c r="C4956" s="14"/>
      <c r="D4956" s="13"/>
      <c r="E4956" s="15"/>
      <c r="F4956" s="15"/>
      <c r="G4956" s="15"/>
      <c r="H4956" s="13"/>
      <c r="I4956" s="13"/>
      <c r="J4956" s="16"/>
      <c r="K4956" s="16"/>
      <c r="L4956" s="17" t="str">
        <f aca="false" t="array" ref="L4956:L4956">IFERROR(INDEX(AC4956:AE4956,IF(COUNTA(AC4956:AE4956)=0,"",MAX((AC4956:AE4956&lt;&gt;"")*(COLUMN(AC4956:AE4956)-(COLUMN(AC4956)-2))))-1),"")</f>
        <v/>
      </c>
      <c r="M4956" s="13"/>
      <c r="N4956" s="13"/>
      <c r="O4956" s="13"/>
      <c r="P4956" s="26"/>
      <c r="Q4956" s="20"/>
      <c r="R4956" s="13"/>
      <c r="S4956" s="25"/>
      <c r="T4956" s="13"/>
      <c r="U4956" s="13"/>
      <c r="V4956" s="13"/>
      <c r="W4956" s="13"/>
      <c r="X4956" s="21"/>
      <c r="Y4956" s="22"/>
      <c r="Z4956" s="23"/>
      <c r="AA4956" s="23"/>
      <c r="AB4956" s="15"/>
      <c r="AC4956" s="14"/>
      <c r="AD4956" s="18"/>
      <c r="AE4956" s="18"/>
    </row>
    <row r="4957" customFormat="false" ht="15" hidden="false" customHeight="true" outlineLevel="0" collapsed="false">
      <c r="A4957" s="12"/>
      <c r="B4957" s="13"/>
      <c r="C4957" s="14"/>
      <c r="D4957" s="13"/>
      <c r="E4957" s="15"/>
      <c r="F4957" s="15"/>
      <c r="G4957" s="15"/>
      <c r="H4957" s="13"/>
      <c r="I4957" s="13"/>
      <c r="J4957" s="16"/>
      <c r="K4957" s="16"/>
      <c r="L4957" s="17" t="str">
        <f aca="false" t="array" ref="L4957:L4957">IFERROR(INDEX(AC4957:AE4957,IF(COUNTA(AC4957:AE4957)=0,"",MAX((AC4957:AE4957&lt;&gt;"")*(COLUMN(AC4957:AE4957)-(COLUMN(AC4957)-2))))-1),"")</f>
        <v/>
      </c>
      <c r="M4957" s="13"/>
      <c r="N4957" s="13"/>
      <c r="O4957" s="13"/>
      <c r="P4957" s="26"/>
      <c r="Q4957" s="20"/>
      <c r="R4957" s="13"/>
      <c r="S4957" s="25"/>
      <c r="T4957" s="13"/>
      <c r="U4957" s="13"/>
      <c r="V4957" s="13"/>
      <c r="W4957" s="13"/>
      <c r="X4957" s="21"/>
      <c r="Y4957" s="22"/>
      <c r="Z4957" s="23"/>
      <c r="AA4957" s="23"/>
      <c r="AB4957" s="15"/>
      <c r="AC4957" s="14"/>
      <c r="AD4957" s="18"/>
      <c r="AE4957" s="18"/>
    </row>
    <row r="4958" customFormat="false" ht="15" hidden="false" customHeight="true" outlineLevel="0" collapsed="false">
      <c r="A4958" s="12"/>
      <c r="B4958" s="13"/>
      <c r="C4958" s="14"/>
      <c r="D4958" s="13"/>
      <c r="E4958" s="15"/>
      <c r="F4958" s="15"/>
      <c r="G4958" s="15"/>
      <c r="H4958" s="13"/>
      <c r="I4958" s="13"/>
      <c r="J4958" s="16"/>
      <c r="K4958" s="16"/>
      <c r="L4958" s="17" t="str">
        <f aca="false" t="array" ref="L4958:L4958">IFERROR(INDEX(AC4958:AE4958,IF(COUNTA(AC4958:AE4958)=0,"",MAX((AC4958:AE4958&lt;&gt;"")*(COLUMN(AC4958:AE4958)-(COLUMN(AC4958)-2))))-1),"")</f>
        <v/>
      </c>
      <c r="M4958" s="13"/>
      <c r="N4958" s="13"/>
      <c r="O4958" s="13"/>
      <c r="P4958" s="26"/>
      <c r="Q4958" s="20"/>
      <c r="R4958" s="13"/>
      <c r="S4958" s="25"/>
      <c r="T4958" s="13"/>
      <c r="U4958" s="13"/>
      <c r="V4958" s="13"/>
      <c r="W4958" s="13"/>
      <c r="X4958" s="21"/>
      <c r="Y4958" s="22"/>
      <c r="Z4958" s="23"/>
      <c r="AA4958" s="23"/>
      <c r="AB4958" s="15"/>
      <c r="AC4958" s="14"/>
      <c r="AD4958" s="18"/>
      <c r="AE4958" s="18"/>
    </row>
    <row r="4959" customFormat="false" ht="15" hidden="false" customHeight="true" outlineLevel="0" collapsed="false">
      <c r="A4959" s="12"/>
      <c r="B4959" s="13"/>
      <c r="C4959" s="14"/>
      <c r="D4959" s="13"/>
      <c r="E4959" s="15"/>
      <c r="F4959" s="15"/>
      <c r="G4959" s="15"/>
      <c r="H4959" s="13"/>
      <c r="I4959" s="13"/>
      <c r="J4959" s="16"/>
      <c r="K4959" s="16"/>
      <c r="L4959" s="17" t="str">
        <f aca="false" t="array" ref="L4959:L4959">IFERROR(INDEX(AC4959:AE4959,IF(COUNTA(AC4959:AE4959)=0,"",MAX((AC4959:AE4959&lt;&gt;"")*(COLUMN(AC4959:AE4959)-(COLUMN(AC4959)-2))))-1),"")</f>
        <v/>
      </c>
      <c r="M4959" s="13"/>
      <c r="N4959" s="13"/>
      <c r="O4959" s="13"/>
      <c r="P4959" s="26"/>
      <c r="Q4959" s="20"/>
      <c r="R4959" s="13"/>
      <c r="S4959" s="25"/>
      <c r="T4959" s="13"/>
      <c r="U4959" s="13"/>
      <c r="V4959" s="13"/>
      <c r="W4959" s="13"/>
      <c r="X4959" s="21"/>
      <c r="Y4959" s="22"/>
      <c r="Z4959" s="23"/>
      <c r="AA4959" s="23"/>
      <c r="AB4959" s="15"/>
      <c r="AC4959" s="14"/>
      <c r="AD4959" s="18"/>
      <c r="AE4959" s="18"/>
    </row>
    <row r="4960" customFormat="false" ht="15" hidden="false" customHeight="true" outlineLevel="0" collapsed="false">
      <c r="A4960" s="12"/>
      <c r="B4960" s="13"/>
      <c r="C4960" s="14"/>
      <c r="D4960" s="13"/>
      <c r="E4960" s="15"/>
      <c r="F4960" s="15"/>
      <c r="G4960" s="15"/>
      <c r="H4960" s="13"/>
      <c r="I4960" s="13"/>
      <c r="J4960" s="16"/>
      <c r="K4960" s="16"/>
      <c r="L4960" s="17" t="str">
        <f aca="false" t="array" ref="L4960:L4960">IFERROR(INDEX(AC4960:AE4960,IF(COUNTA(AC4960:AE4960)=0,"",MAX((AC4960:AE4960&lt;&gt;"")*(COLUMN(AC4960:AE4960)-(COLUMN(AC4960)-2))))-1),"")</f>
        <v/>
      </c>
      <c r="M4960" s="13"/>
      <c r="N4960" s="13"/>
      <c r="O4960" s="13"/>
      <c r="P4960" s="26"/>
      <c r="Q4960" s="20"/>
      <c r="R4960" s="13"/>
      <c r="S4960" s="25"/>
      <c r="T4960" s="13"/>
      <c r="U4960" s="13"/>
      <c r="V4960" s="13"/>
      <c r="W4960" s="13"/>
      <c r="X4960" s="21"/>
      <c r="Y4960" s="22"/>
      <c r="Z4960" s="23"/>
      <c r="AA4960" s="23"/>
      <c r="AB4960" s="15"/>
      <c r="AC4960" s="14"/>
      <c r="AD4960" s="18"/>
      <c r="AE4960" s="18"/>
    </row>
    <row r="4961" customFormat="false" ht="15" hidden="false" customHeight="true" outlineLevel="0" collapsed="false">
      <c r="A4961" s="12"/>
      <c r="B4961" s="13"/>
      <c r="C4961" s="14"/>
      <c r="D4961" s="13"/>
      <c r="E4961" s="15"/>
      <c r="F4961" s="15"/>
      <c r="G4961" s="15"/>
      <c r="H4961" s="13"/>
      <c r="I4961" s="13"/>
      <c r="J4961" s="16"/>
      <c r="K4961" s="16"/>
      <c r="L4961" s="17" t="str">
        <f aca="false" t="array" ref="L4961:L4961">IFERROR(INDEX(AC4961:AE4961,IF(COUNTA(AC4961:AE4961)=0,"",MAX((AC4961:AE4961&lt;&gt;"")*(COLUMN(AC4961:AE4961)-(COLUMN(AC4961)-2))))-1),"")</f>
        <v/>
      </c>
      <c r="M4961" s="13"/>
      <c r="N4961" s="13"/>
      <c r="O4961" s="13"/>
      <c r="P4961" s="26"/>
      <c r="Q4961" s="20"/>
      <c r="R4961" s="13"/>
      <c r="S4961" s="25"/>
      <c r="T4961" s="13"/>
      <c r="U4961" s="13"/>
      <c r="V4961" s="13"/>
      <c r="W4961" s="13"/>
      <c r="X4961" s="21"/>
      <c r="Y4961" s="22"/>
      <c r="Z4961" s="23"/>
      <c r="AA4961" s="23"/>
      <c r="AB4961" s="15"/>
      <c r="AC4961" s="14"/>
      <c r="AD4961" s="18"/>
      <c r="AE4961" s="18"/>
    </row>
    <row r="4962" customFormat="false" ht="15" hidden="false" customHeight="true" outlineLevel="0" collapsed="false">
      <c r="A4962" s="12"/>
      <c r="B4962" s="13"/>
      <c r="C4962" s="14"/>
      <c r="D4962" s="13"/>
      <c r="E4962" s="15"/>
      <c r="F4962" s="15"/>
      <c r="G4962" s="15"/>
      <c r="H4962" s="13"/>
      <c r="I4962" s="13"/>
      <c r="J4962" s="16"/>
      <c r="K4962" s="16"/>
      <c r="L4962" s="17" t="str">
        <f aca="false" t="array" ref="L4962:L4962">IFERROR(INDEX(AC4962:AE4962,IF(COUNTA(AC4962:AE4962)=0,"",MAX((AC4962:AE4962&lt;&gt;"")*(COLUMN(AC4962:AE4962)-(COLUMN(AC4962)-2))))-1),"")</f>
        <v/>
      </c>
      <c r="M4962" s="13"/>
      <c r="N4962" s="13"/>
      <c r="O4962" s="13"/>
      <c r="P4962" s="26"/>
      <c r="Q4962" s="20"/>
      <c r="R4962" s="13"/>
      <c r="S4962" s="25"/>
      <c r="T4962" s="13"/>
      <c r="U4962" s="13"/>
      <c r="V4962" s="13"/>
      <c r="W4962" s="13"/>
      <c r="X4962" s="21"/>
      <c r="Y4962" s="22"/>
      <c r="Z4962" s="23"/>
      <c r="AA4962" s="23"/>
      <c r="AB4962" s="15"/>
      <c r="AC4962" s="14"/>
      <c r="AD4962" s="18"/>
      <c r="AE4962" s="18"/>
    </row>
    <row r="4963" customFormat="false" ht="15" hidden="false" customHeight="true" outlineLevel="0" collapsed="false">
      <c r="A4963" s="12"/>
      <c r="B4963" s="13"/>
      <c r="C4963" s="14"/>
      <c r="D4963" s="13"/>
      <c r="E4963" s="15"/>
      <c r="F4963" s="15"/>
      <c r="G4963" s="15"/>
      <c r="H4963" s="13"/>
      <c r="I4963" s="13"/>
      <c r="J4963" s="16"/>
      <c r="K4963" s="16"/>
      <c r="L4963" s="17" t="str">
        <f aca="false" t="array" ref="L4963:L4963">IFERROR(INDEX(AC4963:AE4963,IF(COUNTA(AC4963:AE4963)=0,"",MAX((AC4963:AE4963&lt;&gt;"")*(COLUMN(AC4963:AE4963)-(COLUMN(AC4963)-2))))-1),"")</f>
        <v/>
      </c>
      <c r="M4963" s="13"/>
      <c r="N4963" s="13"/>
      <c r="O4963" s="13"/>
      <c r="P4963" s="26"/>
      <c r="Q4963" s="20"/>
      <c r="R4963" s="13"/>
      <c r="S4963" s="25"/>
      <c r="T4963" s="13"/>
      <c r="U4963" s="13"/>
      <c r="V4963" s="13"/>
      <c r="W4963" s="13"/>
      <c r="X4963" s="21"/>
      <c r="Y4963" s="22"/>
      <c r="Z4963" s="23"/>
      <c r="AA4963" s="23"/>
      <c r="AB4963" s="15"/>
      <c r="AC4963" s="14"/>
      <c r="AD4963" s="18"/>
      <c r="AE4963" s="18"/>
    </row>
    <row r="4964" customFormat="false" ht="15" hidden="false" customHeight="true" outlineLevel="0" collapsed="false">
      <c r="A4964" s="12"/>
      <c r="B4964" s="13"/>
      <c r="C4964" s="14"/>
      <c r="D4964" s="13"/>
      <c r="E4964" s="15"/>
      <c r="F4964" s="15"/>
      <c r="G4964" s="15"/>
      <c r="H4964" s="13"/>
      <c r="I4964" s="13"/>
      <c r="J4964" s="16"/>
      <c r="K4964" s="16"/>
      <c r="L4964" s="17" t="str">
        <f aca="false" t="array" ref="L4964:L4964">IFERROR(INDEX(AC4964:AE4964,IF(COUNTA(AC4964:AE4964)=0,"",MAX((AC4964:AE4964&lt;&gt;"")*(COLUMN(AC4964:AE4964)-(COLUMN(AC4964)-2))))-1),"")</f>
        <v/>
      </c>
      <c r="M4964" s="13"/>
      <c r="N4964" s="13"/>
      <c r="O4964" s="13"/>
      <c r="P4964" s="26"/>
      <c r="Q4964" s="20"/>
      <c r="R4964" s="13"/>
      <c r="S4964" s="25"/>
      <c r="T4964" s="13"/>
      <c r="U4964" s="13"/>
      <c r="V4964" s="13"/>
      <c r="W4964" s="13"/>
      <c r="X4964" s="21"/>
      <c r="Y4964" s="22"/>
      <c r="Z4964" s="23"/>
      <c r="AA4964" s="23"/>
      <c r="AB4964" s="15"/>
      <c r="AC4964" s="14"/>
      <c r="AD4964" s="18"/>
      <c r="AE4964" s="18"/>
    </row>
    <row r="4965" customFormat="false" ht="15" hidden="false" customHeight="true" outlineLevel="0" collapsed="false">
      <c r="A4965" s="12"/>
      <c r="B4965" s="13"/>
      <c r="C4965" s="14"/>
      <c r="D4965" s="13"/>
      <c r="E4965" s="15"/>
      <c r="F4965" s="15"/>
      <c r="G4965" s="15"/>
      <c r="H4965" s="13"/>
      <c r="I4965" s="13"/>
      <c r="J4965" s="16"/>
      <c r="K4965" s="16"/>
      <c r="L4965" s="17" t="str">
        <f aca="false" t="array" ref="L4965:L4965">IFERROR(INDEX(AC4965:AE4965,IF(COUNTA(AC4965:AE4965)=0,"",MAX((AC4965:AE4965&lt;&gt;"")*(COLUMN(AC4965:AE4965)-(COLUMN(AC4965)-2))))-1),"")</f>
        <v/>
      </c>
      <c r="M4965" s="13"/>
      <c r="N4965" s="13"/>
      <c r="O4965" s="13"/>
      <c r="P4965" s="26"/>
      <c r="Q4965" s="20"/>
      <c r="R4965" s="13"/>
      <c r="S4965" s="25"/>
      <c r="T4965" s="13"/>
      <c r="U4965" s="13"/>
      <c r="V4965" s="13"/>
      <c r="W4965" s="13"/>
      <c r="X4965" s="21"/>
      <c r="Y4965" s="22"/>
      <c r="Z4965" s="23"/>
      <c r="AA4965" s="23"/>
      <c r="AB4965" s="15"/>
      <c r="AC4965" s="14"/>
      <c r="AD4965" s="18"/>
      <c r="AE4965" s="18"/>
    </row>
    <row r="4966" customFormat="false" ht="15" hidden="false" customHeight="true" outlineLevel="0" collapsed="false">
      <c r="A4966" s="12"/>
      <c r="B4966" s="13"/>
      <c r="C4966" s="14"/>
      <c r="D4966" s="13"/>
      <c r="E4966" s="15"/>
      <c r="F4966" s="15"/>
      <c r="G4966" s="15"/>
      <c r="H4966" s="13"/>
      <c r="I4966" s="13"/>
      <c r="J4966" s="16"/>
      <c r="K4966" s="16"/>
      <c r="L4966" s="17" t="str">
        <f aca="false" t="array" ref="L4966:L4966">IFERROR(INDEX(AC4966:AE4966,IF(COUNTA(AC4966:AE4966)=0,"",MAX((AC4966:AE4966&lt;&gt;"")*(COLUMN(AC4966:AE4966)-(COLUMN(AC4966)-2))))-1),"")</f>
        <v/>
      </c>
      <c r="M4966" s="13"/>
      <c r="N4966" s="13"/>
      <c r="O4966" s="13"/>
      <c r="P4966" s="26"/>
      <c r="Q4966" s="20"/>
      <c r="R4966" s="13"/>
      <c r="S4966" s="25"/>
      <c r="T4966" s="13"/>
      <c r="U4966" s="13"/>
      <c r="V4966" s="13"/>
      <c r="W4966" s="13"/>
      <c r="X4966" s="21"/>
      <c r="Y4966" s="22"/>
      <c r="Z4966" s="23"/>
      <c r="AA4966" s="23"/>
      <c r="AB4966" s="15"/>
      <c r="AC4966" s="14"/>
      <c r="AD4966" s="18"/>
      <c r="AE4966" s="18"/>
    </row>
    <row r="4967" customFormat="false" ht="15" hidden="false" customHeight="true" outlineLevel="0" collapsed="false">
      <c r="A4967" s="12"/>
      <c r="B4967" s="13"/>
      <c r="C4967" s="14"/>
      <c r="D4967" s="13"/>
      <c r="E4967" s="15"/>
      <c r="F4967" s="15"/>
      <c r="G4967" s="15"/>
      <c r="H4967" s="13"/>
      <c r="I4967" s="13"/>
      <c r="J4967" s="16"/>
      <c r="K4967" s="16"/>
      <c r="L4967" s="17" t="str">
        <f aca="false" t="array" ref="L4967:L4967">IFERROR(INDEX(AC4967:AE4967,IF(COUNTA(AC4967:AE4967)=0,"",MAX((AC4967:AE4967&lt;&gt;"")*(COLUMN(AC4967:AE4967)-(COLUMN(AC4967)-2))))-1),"")</f>
        <v/>
      </c>
      <c r="M4967" s="13"/>
      <c r="N4967" s="13"/>
      <c r="O4967" s="13"/>
      <c r="P4967" s="26"/>
      <c r="Q4967" s="20"/>
      <c r="R4967" s="13"/>
      <c r="S4967" s="25"/>
      <c r="T4967" s="13"/>
      <c r="U4967" s="13"/>
      <c r="V4967" s="13"/>
      <c r="W4967" s="13"/>
      <c r="X4967" s="21"/>
      <c r="Y4967" s="22"/>
      <c r="Z4967" s="23"/>
      <c r="AA4967" s="23"/>
      <c r="AB4967" s="15"/>
      <c r="AC4967" s="14"/>
      <c r="AD4967" s="18"/>
      <c r="AE4967" s="18"/>
    </row>
    <row r="4968" customFormat="false" ht="15" hidden="false" customHeight="true" outlineLevel="0" collapsed="false">
      <c r="A4968" s="12"/>
      <c r="B4968" s="13"/>
      <c r="C4968" s="14"/>
      <c r="D4968" s="13"/>
      <c r="E4968" s="15"/>
      <c r="F4968" s="15"/>
      <c r="G4968" s="15"/>
      <c r="H4968" s="13"/>
      <c r="I4968" s="13"/>
      <c r="J4968" s="16"/>
      <c r="K4968" s="16"/>
      <c r="L4968" s="17" t="str">
        <f aca="false" t="array" ref="L4968:L4968">IFERROR(INDEX(AC4968:AE4968,IF(COUNTA(AC4968:AE4968)=0,"",MAX((AC4968:AE4968&lt;&gt;"")*(COLUMN(AC4968:AE4968)-(COLUMN(AC4968)-2))))-1),"")</f>
        <v/>
      </c>
      <c r="M4968" s="13"/>
      <c r="N4968" s="13"/>
      <c r="O4968" s="13"/>
      <c r="P4968" s="26"/>
      <c r="Q4968" s="20"/>
      <c r="R4968" s="13"/>
      <c r="S4968" s="25"/>
      <c r="T4968" s="13"/>
      <c r="U4968" s="13"/>
      <c r="V4968" s="13"/>
      <c r="W4968" s="13"/>
      <c r="X4968" s="21"/>
      <c r="Y4968" s="22"/>
      <c r="Z4968" s="23"/>
      <c r="AA4968" s="23"/>
      <c r="AB4968" s="15"/>
      <c r="AC4968" s="14"/>
      <c r="AD4968" s="18"/>
      <c r="AE4968" s="18"/>
    </row>
    <row r="4969" customFormat="false" ht="15" hidden="false" customHeight="true" outlineLevel="0" collapsed="false">
      <c r="A4969" s="12"/>
      <c r="B4969" s="13"/>
      <c r="C4969" s="14"/>
      <c r="D4969" s="13"/>
      <c r="E4969" s="15"/>
      <c r="F4969" s="15"/>
      <c r="G4969" s="15"/>
      <c r="H4969" s="13"/>
      <c r="I4969" s="13"/>
      <c r="J4969" s="16"/>
      <c r="K4969" s="16"/>
      <c r="L4969" s="17" t="str">
        <f aca="false" t="array" ref="L4969:L4969">IFERROR(INDEX(AC4969:AE4969,IF(COUNTA(AC4969:AE4969)=0,"",MAX((AC4969:AE4969&lt;&gt;"")*(COLUMN(AC4969:AE4969)-(COLUMN(AC4969)-2))))-1),"")</f>
        <v/>
      </c>
      <c r="M4969" s="13"/>
      <c r="N4969" s="13"/>
      <c r="O4969" s="13"/>
      <c r="P4969" s="26"/>
      <c r="Q4969" s="20"/>
      <c r="R4969" s="13"/>
      <c r="S4969" s="25"/>
      <c r="T4969" s="13"/>
      <c r="U4969" s="13"/>
      <c r="V4969" s="13"/>
      <c r="W4969" s="13"/>
      <c r="X4969" s="21"/>
      <c r="Y4969" s="22"/>
      <c r="Z4969" s="23"/>
      <c r="AA4969" s="23"/>
      <c r="AB4969" s="15"/>
      <c r="AC4969" s="14"/>
      <c r="AD4969" s="18"/>
      <c r="AE4969" s="18"/>
    </row>
    <row r="4970" customFormat="false" ht="15" hidden="false" customHeight="true" outlineLevel="0" collapsed="false">
      <c r="A4970" s="12"/>
      <c r="B4970" s="13"/>
      <c r="C4970" s="14"/>
      <c r="D4970" s="13"/>
      <c r="E4970" s="15"/>
      <c r="F4970" s="15"/>
      <c r="G4970" s="15"/>
      <c r="H4970" s="13"/>
      <c r="I4970" s="13"/>
      <c r="J4970" s="16"/>
      <c r="K4970" s="16"/>
      <c r="L4970" s="17" t="str">
        <f aca="false" t="array" ref="L4970:L4970">IFERROR(INDEX(AC4970:AE4970,IF(COUNTA(AC4970:AE4970)=0,"",MAX((AC4970:AE4970&lt;&gt;"")*(COLUMN(AC4970:AE4970)-(COLUMN(AC4970)-2))))-1),"")</f>
        <v/>
      </c>
      <c r="M4970" s="13"/>
      <c r="N4970" s="13"/>
      <c r="O4970" s="13"/>
      <c r="P4970" s="26"/>
      <c r="Q4970" s="20"/>
      <c r="R4970" s="13"/>
      <c r="S4970" s="25"/>
      <c r="T4970" s="13"/>
      <c r="U4970" s="13"/>
      <c r="V4970" s="13"/>
      <c r="W4970" s="13"/>
      <c r="X4970" s="21"/>
      <c r="Y4970" s="22"/>
      <c r="Z4970" s="23"/>
      <c r="AA4970" s="23"/>
      <c r="AB4970" s="15"/>
      <c r="AC4970" s="14"/>
      <c r="AD4970" s="18"/>
      <c r="AE4970" s="18"/>
    </row>
    <row r="4971" customFormat="false" ht="15" hidden="false" customHeight="true" outlineLevel="0" collapsed="false">
      <c r="A4971" s="12"/>
      <c r="B4971" s="13"/>
      <c r="C4971" s="14"/>
      <c r="D4971" s="13"/>
      <c r="E4971" s="15"/>
      <c r="F4971" s="15"/>
      <c r="G4971" s="15"/>
      <c r="H4971" s="13"/>
      <c r="I4971" s="13"/>
      <c r="J4971" s="16"/>
      <c r="K4971" s="16"/>
      <c r="L4971" s="17" t="str">
        <f aca="false" t="array" ref="L4971:L4971">IFERROR(INDEX(AC4971:AE4971,IF(COUNTA(AC4971:AE4971)=0,"",MAX((AC4971:AE4971&lt;&gt;"")*(COLUMN(AC4971:AE4971)-(COLUMN(AC4971)-2))))-1),"")</f>
        <v/>
      </c>
      <c r="M4971" s="13"/>
      <c r="N4971" s="13"/>
      <c r="O4971" s="13"/>
      <c r="P4971" s="26"/>
      <c r="Q4971" s="20"/>
      <c r="R4971" s="13"/>
      <c r="S4971" s="25"/>
      <c r="T4971" s="13"/>
      <c r="U4971" s="13"/>
      <c r="V4971" s="13"/>
      <c r="W4971" s="13"/>
      <c r="X4971" s="21"/>
      <c r="Y4971" s="22"/>
      <c r="Z4971" s="23"/>
      <c r="AA4971" s="23"/>
      <c r="AB4971" s="15"/>
      <c r="AC4971" s="14"/>
      <c r="AD4971" s="18"/>
      <c r="AE4971" s="18"/>
    </row>
    <row r="4972" customFormat="false" ht="15" hidden="false" customHeight="true" outlineLevel="0" collapsed="false">
      <c r="A4972" s="12"/>
      <c r="B4972" s="13"/>
      <c r="C4972" s="14"/>
      <c r="D4972" s="13"/>
      <c r="E4972" s="15"/>
      <c r="F4972" s="15"/>
      <c r="G4972" s="15"/>
      <c r="H4972" s="13"/>
      <c r="I4972" s="13"/>
      <c r="J4972" s="16"/>
      <c r="K4972" s="16"/>
      <c r="L4972" s="17" t="str">
        <f aca="false" t="array" ref="L4972:L4972">IFERROR(INDEX(AC4972:AE4972,IF(COUNTA(AC4972:AE4972)=0,"",MAX((AC4972:AE4972&lt;&gt;"")*(COLUMN(AC4972:AE4972)-(COLUMN(AC4972)-2))))-1),"")</f>
        <v/>
      </c>
      <c r="M4972" s="13"/>
      <c r="N4972" s="13"/>
      <c r="O4972" s="13"/>
      <c r="P4972" s="26"/>
      <c r="Q4972" s="20"/>
      <c r="R4972" s="13"/>
      <c r="S4972" s="25"/>
      <c r="T4972" s="13"/>
      <c r="U4972" s="13"/>
      <c r="V4972" s="13"/>
      <c r="W4972" s="13"/>
      <c r="X4972" s="21"/>
      <c r="Y4972" s="22"/>
      <c r="Z4972" s="23"/>
      <c r="AA4972" s="23"/>
      <c r="AB4972" s="15"/>
      <c r="AC4972" s="14"/>
      <c r="AD4972" s="18"/>
      <c r="AE4972" s="18"/>
    </row>
    <row r="4973" customFormat="false" ht="15" hidden="false" customHeight="true" outlineLevel="0" collapsed="false">
      <c r="A4973" s="12"/>
      <c r="B4973" s="13"/>
      <c r="C4973" s="14"/>
      <c r="D4973" s="13"/>
      <c r="E4973" s="15"/>
      <c r="F4973" s="15"/>
      <c r="G4973" s="15"/>
      <c r="H4973" s="13"/>
      <c r="I4973" s="13"/>
      <c r="J4973" s="16"/>
      <c r="K4973" s="16"/>
      <c r="L4973" s="17" t="str">
        <f aca="false" t="array" ref="L4973:L4973">IFERROR(INDEX(AC4973:AE4973,IF(COUNTA(AC4973:AE4973)=0,"",MAX((AC4973:AE4973&lt;&gt;"")*(COLUMN(AC4973:AE4973)-(COLUMN(AC4973)-2))))-1),"")</f>
        <v/>
      </c>
      <c r="M4973" s="13"/>
      <c r="N4973" s="13"/>
      <c r="O4973" s="13"/>
      <c r="P4973" s="26"/>
      <c r="Q4973" s="20"/>
      <c r="R4973" s="13"/>
      <c r="S4973" s="25"/>
      <c r="T4973" s="13"/>
      <c r="U4973" s="13"/>
      <c r="V4973" s="13"/>
      <c r="W4973" s="13"/>
      <c r="X4973" s="21"/>
      <c r="Y4973" s="22"/>
      <c r="Z4973" s="23"/>
      <c r="AA4973" s="23"/>
      <c r="AB4973" s="15"/>
      <c r="AC4973" s="14"/>
      <c r="AD4973" s="18"/>
      <c r="AE4973" s="18"/>
    </row>
    <row r="4974" customFormat="false" ht="15" hidden="false" customHeight="true" outlineLevel="0" collapsed="false">
      <c r="A4974" s="12"/>
      <c r="B4974" s="13"/>
      <c r="C4974" s="14"/>
      <c r="D4974" s="13"/>
      <c r="E4974" s="15"/>
      <c r="F4974" s="15"/>
      <c r="G4974" s="15"/>
      <c r="H4974" s="13"/>
      <c r="I4974" s="13"/>
      <c r="J4974" s="16"/>
      <c r="K4974" s="16"/>
      <c r="L4974" s="17" t="str">
        <f aca="false" t="array" ref="L4974:L4974">IFERROR(INDEX(AC4974:AE4974,IF(COUNTA(AC4974:AE4974)=0,"",MAX((AC4974:AE4974&lt;&gt;"")*(COLUMN(AC4974:AE4974)-(COLUMN(AC4974)-2))))-1),"")</f>
        <v/>
      </c>
      <c r="M4974" s="13"/>
      <c r="N4974" s="13"/>
      <c r="O4974" s="13"/>
      <c r="P4974" s="26"/>
      <c r="Q4974" s="20"/>
      <c r="R4974" s="13"/>
      <c r="S4974" s="25"/>
      <c r="T4974" s="13"/>
      <c r="U4974" s="13"/>
      <c r="V4974" s="13"/>
      <c r="W4974" s="13"/>
      <c r="X4974" s="21"/>
      <c r="Y4974" s="22"/>
      <c r="Z4974" s="23"/>
      <c r="AA4974" s="23"/>
      <c r="AB4974" s="15"/>
      <c r="AC4974" s="14"/>
      <c r="AD4974" s="18"/>
      <c r="AE4974" s="18"/>
    </row>
    <row r="4975" customFormat="false" ht="15" hidden="false" customHeight="true" outlineLevel="0" collapsed="false">
      <c r="A4975" s="12"/>
      <c r="B4975" s="13"/>
      <c r="C4975" s="14"/>
      <c r="D4975" s="13"/>
      <c r="E4975" s="15"/>
      <c r="F4975" s="15"/>
      <c r="G4975" s="15"/>
      <c r="H4975" s="13"/>
      <c r="I4975" s="13"/>
      <c r="J4975" s="16"/>
      <c r="K4975" s="16"/>
      <c r="L4975" s="17" t="str">
        <f aca="false" t="array" ref="L4975:L4975">IFERROR(INDEX(AC4975:AE4975,IF(COUNTA(AC4975:AE4975)=0,"",MAX((AC4975:AE4975&lt;&gt;"")*(COLUMN(AC4975:AE4975)-(COLUMN(AC4975)-2))))-1),"")</f>
        <v/>
      </c>
      <c r="M4975" s="13"/>
      <c r="N4975" s="13"/>
      <c r="O4975" s="13"/>
      <c r="P4975" s="26"/>
      <c r="Q4975" s="20"/>
      <c r="R4975" s="13"/>
      <c r="S4975" s="25"/>
      <c r="T4975" s="13"/>
      <c r="U4975" s="13"/>
      <c r="V4975" s="13"/>
      <c r="W4975" s="13"/>
      <c r="X4975" s="21"/>
      <c r="Y4975" s="22"/>
      <c r="Z4975" s="23"/>
      <c r="AA4975" s="23"/>
      <c r="AB4975" s="15"/>
      <c r="AC4975" s="14"/>
      <c r="AD4975" s="18"/>
      <c r="AE4975" s="18"/>
    </row>
    <row r="4976" customFormat="false" ht="15" hidden="false" customHeight="true" outlineLevel="0" collapsed="false">
      <c r="A4976" s="12"/>
      <c r="B4976" s="13"/>
      <c r="C4976" s="14"/>
      <c r="D4976" s="13"/>
      <c r="E4976" s="15"/>
      <c r="F4976" s="15"/>
      <c r="G4976" s="15"/>
      <c r="H4976" s="13"/>
      <c r="I4976" s="13"/>
      <c r="J4976" s="16"/>
      <c r="K4976" s="16"/>
      <c r="L4976" s="17" t="str">
        <f aca="false" t="array" ref="L4976:L4976">IFERROR(INDEX(AC4976:AE4976,IF(COUNTA(AC4976:AE4976)=0,"",MAX((AC4976:AE4976&lt;&gt;"")*(COLUMN(AC4976:AE4976)-(COLUMN(AC4976)-2))))-1),"")</f>
        <v/>
      </c>
      <c r="M4976" s="13"/>
      <c r="N4976" s="13"/>
      <c r="O4976" s="13"/>
      <c r="P4976" s="26"/>
      <c r="Q4976" s="20"/>
      <c r="R4976" s="13"/>
      <c r="S4976" s="25"/>
      <c r="T4976" s="13"/>
      <c r="U4976" s="13"/>
      <c r="V4976" s="13"/>
      <c r="W4976" s="13"/>
      <c r="X4976" s="21"/>
      <c r="Y4976" s="22"/>
      <c r="Z4976" s="23"/>
      <c r="AA4976" s="23"/>
      <c r="AB4976" s="15"/>
      <c r="AC4976" s="14"/>
      <c r="AD4976" s="18"/>
      <c r="AE4976" s="18"/>
    </row>
    <row r="4977" customFormat="false" ht="15" hidden="false" customHeight="true" outlineLevel="0" collapsed="false">
      <c r="A4977" s="12"/>
      <c r="B4977" s="13"/>
      <c r="C4977" s="14"/>
      <c r="D4977" s="13"/>
      <c r="E4977" s="15"/>
      <c r="F4977" s="15"/>
      <c r="G4977" s="15"/>
      <c r="H4977" s="13"/>
      <c r="I4977" s="13"/>
      <c r="J4977" s="16"/>
      <c r="K4977" s="16"/>
      <c r="L4977" s="17" t="str">
        <f aca="false" t="array" ref="L4977:L4977">IFERROR(INDEX(AC4977:AE4977,IF(COUNTA(AC4977:AE4977)=0,"",MAX((AC4977:AE4977&lt;&gt;"")*(COLUMN(AC4977:AE4977)-(COLUMN(AC4977)-2))))-1),"")</f>
        <v/>
      </c>
      <c r="M4977" s="13"/>
      <c r="N4977" s="13"/>
      <c r="O4977" s="13"/>
      <c r="P4977" s="26"/>
      <c r="Q4977" s="20"/>
      <c r="R4977" s="13"/>
      <c r="S4977" s="25"/>
      <c r="T4977" s="13"/>
      <c r="U4977" s="13"/>
      <c r="V4977" s="13"/>
      <c r="W4977" s="13"/>
      <c r="X4977" s="21"/>
      <c r="Y4977" s="22"/>
      <c r="Z4977" s="23"/>
      <c r="AA4977" s="23"/>
      <c r="AB4977" s="15"/>
      <c r="AC4977" s="14"/>
      <c r="AD4977" s="18"/>
      <c r="AE4977" s="18"/>
    </row>
    <row r="4978" customFormat="false" ht="15" hidden="false" customHeight="true" outlineLevel="0" collapsed="false">
      <c r="A4978" s="12"/>
      <c r="B4978" s="13"/>
      <c r="C4978" s="14"/>
      <c r="D4978" s="13"/>
      <c r="E4978" s="15"/>
      <c r="F4978" s="15"/>
      <c r="G4978" s="15"/>
      <c r="H4978" s="13"/>
      <c r="I4978" s="13"/>
      <c r="J4978" s="16"/>
      <c r="K4978" s="16"/>
      <c r="L4978" s="17" t="str">
        <f aca="false" t="array" ref="L4978:L4978">IFERROR(INDEX(AC4978:AE4978,IF(COUNTA(AC4978:AE4978)=0,"",MAX((AC4978:AE4978&lt;&gt;"")*(COLUMN(AC4978:AE4978)-(COLUMN(AC4978)-2))))-1),"")</f>
        <v/>
      </c>
      <c r="M4978" s="13"/>
      <c r="N4978" s="13"/>
      <c r="O4978" s="13"/>
      <c r="P4978" s="26"/>
      <c r="Q4978" s="20"/>
      <c r="R4978" s="13"/>
      <c r="S4978" s="25"/>
      <c r="T4978" s="13"/>
      <c r="U4978" s="13"/>
      <c r="V4978" s="13"/>
      <c r="W4978" s="13"/>
      <c r="X4978" s="21"/>
      <c r="Y4978" s="22"/>
      <c r="Z4978" s="23"/>
      <c r="AA4978" s="23"/>
      <c r="AB4978" s="15"/>
      <c r="AC4978" s="14"/>
      <c r="AD4978" s="18"/>
      <c r="AE4978" s="18"/>
    </row>
    <row r="4979" customFormat="false" ht="15" hidden="false" customHeight="true" outlineLevel="0" collapsed="false">
      <c r="A4979" s="12"/>
      <c r="B4979" s="13"/>
      <c r="C4979" s="14"/>
      <c r="D4979" s="13"/>
      <c r="E4979" s="15"/>
      <c r="F4979" s="15"/>
      <c r="G4979" s="15"/>
      <c r="H4979" s="13"/>
      <c r="I4979" s="13"/>
      <c r="J4979" s="16"/>
      <c r="K4979" s="16"/>
      <c r="L4979" s="17" t="str">
        <f aca="false" t="array" ref="L4979:L4979">IFERROR(INDEX(AC4979:AE4979,IF(COUNTA(AC4979:AE4979)=0,"",MAX((AC4979:AE4979&lt;&gt;"")*(COLUMN(AC4979:AE4979)-(COLUMN(AC4979)-2))))-1),"")</f>
        <v/>
      </c>
      <c r="M4979" s="13"/>
      <c r="N4979" s="13"/>
      <c r="O4979" s="13"/>
      <c r="P4979" s="26"/>
      <c r="Q4979" s="20"/>
      <c r="R4979" s="13"/>
      <c r="S4979" s="25"/>
      <c r="T4979" s="13"/>
      <c r="U4979" s="13"/>
      <c r="V4979" s="13"/>
      <c r="W4979" s="13"/>
      <c r="X4979" s="21"/>
      <c r="Y4979" s="22"/>
      <c r="Z4979" s="23"/>
      <c r="AA4979" s="23"/>
      <c r="AB4979" s="15"/>
      <c r="AC4979" s="14"/>
      <c r="AD4979" s="18"/>
      <c r="AE4979" s="18"/>
    </row>
    <row r="4980" customFormat="false" ht="15" hidden="false" customHeight="true" outlineLevel="0" collapsed="false">
      <c r="A4980" s="12"/>
      <c r="B4980" s="13"/>
      <c r="C4980" s="14"/>
      <c r="D4980" s="13"/>
      <c r="E4980" s="15"/>
      <c r="F4980" s="15"/>
      <c r="G4980" s="15"/>
      <c r="H4980" s="13"/>
      <c r="I4980" s="13"/>
      <c r="J4980" s="16"/>
      <c r="K4980" s="16"/>
      <c r="L4980" s="17" t="str">
        <f aca="false" t="array" ref="L4980:L4980">IFERROR(INDEX(AC4980:AE4980,IF(COUNTA(AC4980:AE4980)=0,"",MAX((AC4980:AE4980&lt;&gt;"")*(COLUMN(AC4980:AE4980)-(COLUMN(AC4980)-2))))-1),"")</f>
        <v/>
      </c>
      <c r="M4980" s="13"/>
      <c r="N4980" s="13"/>
      <c r="O4980" s="13"/>
      <c r="P4980" s="26"/>
      <c r="Q4980" s="20"/>
      <c r="R4980" s="13"/>
      <c r="S4980" s="25"/>
      <c r="T4980" s="13"/>
      <c r="U4980" s="13"/>
      <c r="V4980" s="13"/>
      <c r="W4980" s="13"/>
      <c r="X4980" s="21"/>
      <c r="Y4980" s="22"/>
      <c r="Z4980" s="23"/>
      <c r="AA4980" s="23"/>
      <c r="AB4980" s="15"/>
      <c r="AC4980" s="14"/>
      <c r="AD4980" s="18"/>
      <c r="AE4980" s="18"/>
    </row>
    <row r="4981" customFormat="false" ht="15" hidden="false" customHeight="true" outlineLevel="0" collapsed="false">
      <c r="A4981" s="12"/>
      <c r="B4981" s="13"/>
      <c r="C4981" s="14"/>
      <c r="D4981" s="13"/>
      <c r="E4981" s="15"/>
      <c r="F4981" s="15"/>
      <c r="G4981" s="15"/>
      <c r="H4981" s="13"/>
      <c r="I4981" s="13"/>
      <c r="J4981" s="16"/>
      <c r="K4981" s="16"/>
      <c r="L4981" s="17" t="str">
        <f aca="false" t="array" ref="L4981:L4981">IFERROR(INDEX(AC4981:AE4981,IF(COUNTA(AC4981:AE4981)=0,"",MAX((AC4981:AE4981&lt;&gt;"")*(COLUMN(AC4981:AE4981)-(COLUMN(AC4981)-2))))-1),"")</f>
        <v/>
      </c>
      <c r="M4981" s="13"/>
      <c r="N4981" s="13"/>
      <c r="O4981" s="13"/>
      <c r="P4981" s="26"/>
      <c r="Q4981" s="20"/>
      <c r="R4981" s="13"/>
      <c r="S4981" s="25"/>
      <c r="T4981" s="13"/>
      <c r="U4981" s="13"/>
      <c r="V4981" s="13"/>
      <c r="W4981" s="13"/>
      <c r="X4981" s="21"/>
      <c r="Y4981" s="22"/>
      <c r="Z4981" s="23"/>
      <c r="AA4981" s="23"/>
      <c r="AB4981" s="15"/>
      <c r="AC4981" s="14"/>
      <c r="AD4981" s="18"/>
      <c r="AE4981" s="18"/>
    </row>
    <row r="4982" customFormat="false" ht="15" hidden="false" customHeight="true" outlineLevel="0" collapsed="false">
      <c r="A4982" s="12"/>
      <c r="B4982" s="13"/>
      <c r="C4982" s="14"/>
      <c r="D4982" s="13"/>
      <c r="E4982" s="15"/>
      <c r="F4982" s="15"/>
      <c r="G4982" s="15"/>
      <c r="H4982" s="13"/>
      <c r="I4982" s="13"/>
      <c r="J4982" s="16"/>
      <c r="K4982" s="16"/>
      <c r="L4982" s="17" t="str">
        <f aca="false" t="array" ref="L4982:L4982">IFERROR(INDEX(AC4982:AE4982,IF(COUNTA(AC4982:AE4982)=0,"",MAX((AC4982:AE4982&lt;&gt;"")*(COLUMN(AC4982:AE4982)-(COLUMN(AC4982)-2))))-1),"")</f>
        <v/>
      </c>
      <c r="M4982" s="13"/>
      <c r="N4982" s="13"/>
      <c r="O4982" s="13"/>
      <c r="P4982" s="26"/>
      <c r="Q4982" s="20"/>
      <c r="R4982" s="13"/>
      <c r="S4982" s="25"/>
      <c r="T4982" s="13"/>
      <c r="U4982" s="13"/>
      <c r="V4982" s="13"/>
      <c r="W4982" s="13"/>
      <c r="X4982" s="21"/>
      <c r="Y4982" s="22"/>
      <c r="Z4982" s="23"/>
      <c r="AA4982" s="23"/>
      <c r="AB4982" s="15"/>
      <c r="AC4982" s="14"/>
      <c r="AD4982" s="18"/>
      <c r="AE4982" s="18"/>
    </row>
    <row r="4983" customFormat="false" ht="15" hidden="false" customHeight="true" outlineLevel="0" collapsed="false">
      <c r="A4983" s="12"/>
      <c r="B4983" s="13"/>
      <c r="C4983" s="14"/>
      <c r="D4983" s="13"/>
      <c r="E4983" s="15"/>
      <c r="F4983" s="15"/>
      <c r="G4983" s="15"/>
      <c r="H4983" s="13"/>
      <c r="I4983" s="13"/>
      <c r="J4983" s="16"/>
      <c r="K4983" s="16"/>
      <c r="L4983" s="17" t="str">
        <f aca="false" t="array" ref="L4983:L4983">IFERROR(INDEX(AC4983:AE4983,IF(COUNTA(AC4983:AE4983)=0,"",MAX((AC4983:AE4983&lt;&gt;"")*(COLUMN(AC4983:AE4983)-(COLUMN(AC4983)-2))))-1),"")</f>
        <v/>
      </c>
      <c r="M4983" s="13"/>
      <c r="N4983" s="13"/>
      <c r="O4983" s="13"/>
      <c r="P4983" s="26"/>
      <c r="Q4983" s="20"/>
      <c r="R4983" s="13"/>
      <c r="S4983" s="25"/>
      <c r="T4983" s="13"/>
      <c r="U4983" s="13"/>
      <c r="V4983" s="13"/>
      <c r="W4983" s="13"/>
      <c r="X4983" s="21"/>
      <c r="Y4983" s="22"/>
      <c r="Z4983" s="23"/>
      <c r="AA4983" s="23"/>
      <c r="AB4983" s="15"/>
      <c r="AC4983" s="14"/>
      <c r="AD4983" s="18"/>
      <c r="AE4983" s="18"/>
    </row>
    <row r="4984" customFormat="false" ht="15" hidden="false" customHeight="true" outlineLevel="0" collapsed="false">
      <c r="A4984" s="12"/>
      <c r="B4984" s="13"/>
      <c r="C4984" s="14"/>
      <c r="D4984" s="13"/>
      <c r="E4984" s="15"/>
      <c r="F4984" s="15"/>
      <c r="G4984" s="15"/>
      <c r="H4984" s="13"/>
      <c r="I4984" s="13"/>
      <c r="J4984" s="16"/>
      <c r="K4984" s="16"/>
      <c r="L4984" s="17" t="str">
        <f aca="false" t="array" ref="L4984:L4984">IFERROR(INDEX(AC4984:AE4984,IF(COUNTA(AC4984:AE4984)=0,"",MAX((AC4984:AE4984&lt;&gt;"")*(COLUMN(AC4984:AE4984)-(COLUMN(AC4984)-2))))-1),"")</f>
        <v/>
      </c>
      <c r="M4984" s="13"/>
      <c r="N4984" s="13"/>
      <c r="O4984" s="13"/>
      <c r="P4984" s="26"/>
      <c r="Q4984" s="20"/>
      <c r="R4984" s="13"/>
      <c r="S4984" s="25"/>
      <c r="T4984" s="13"/>
      <c r="U4984" s="13"/>
      <c r="V4984" s="13"/>
      <c r="W4984" s="13"/>
      <c r="X4984" s="21"/>
      <c r="Y4984" s="22"/>
      <c r="Z4984" s="23"/>
      <c r="AA4984" s="23"/>
      <c r="AB4984" s="15"/>
      <c r="AC4984" s="14"/>
      <c r="AD4984" s="18"/>
      <c r="AE4984" s="18"/>
    </row>
    <row r="4985" customFormat="false" ht="15" hidden="false" customHeight="true" outlineLevel="0" collapsed="false">
      <c r="A4985" s="12"/>
      <c r="B4985" s="13"/>
      <c r="C4985" s="14"/>
      <c r="D4985" s="13"/>
      <c r="E4985" s="15"/>
      <c r="F4985" s="15"/>
      <c r="G4985" s="15"/>
      <c r="H4985" s="13"/>
      <c r="I4985" s="13"/>
      <c r="J4985" s="16"/>
      <c r="K4985" s="16"/>
      <c r="L4985" s="17" t="str">
        <f aca="false" t="array" ref="L4985:L4985">IFERROR(INDEX(AC4985:AE4985,IF(COUNTA(AC4985:AE4985)=0,"",MAX((AC4985:AE4985&lt;&gt;"")*(COLUMN(AC4985:AE4985)-(COLUMN(AC4985)-2))))-1),"")</f>
        <v/>
      </c>
      <c r="M4985" s="13"/>
      <c r="N4985" s="13"/>
      <c r="O4985" s="13"/>
      <c r="P4985" s="26"/>
      <c r="Q4985" s="20"/>
      <c r="R4985" s="13"/>
      <c r="S4985" s="25"/>
      <c r="T4985" s="13"/>
      <c r="U4985" s="13"/>
      <c r="V4985" s="13"/>
      <c r="W4985" s="13"/>
      <c r="X4985" s="21"/>
      <c r="Y4985" s="22"/>
      <c r="Z4985" s="23"/>
      <c r="AA4985" s="23"/>
      <c r="AB4985" s="15"/>
      <c r="AC4985" s="14"/>
      <c r="AD4985" s="18"/>
      <c r="AE4985" s="18"/>
    </row>
    <row r="4986" customFormat="false" ht="15" hidden="false" customHeight="true" outlineLevel="0" collapsed="false">
      <c r="A4986" s="12"/>
      <c r="B4986" s="13"/>
      <c r="C4986" s="14"/>
      <c r="D4986" s="13"/>
      <c r="E4986" s="15"/>
      <c r="F4986" s="15"/>
      <c r="G4986" s="15"/>
      <c r="H4986" s="13"/>
      <c r="I4986" s="13"/>
      <c r="J4986" s="16"/>
      <c r="K4986" s="16"/>
      <c r="L4986" s="17" t="str">
        <f aca="false" t="array" ref="L4986:L4986">IFERROR(INDEX(AC4986:AE4986,IF(COUNTA(AC4986:AE4986)=0,"",MAX((AC4986:AE4986&lt;&gt;"")*(COLUMN(AC4986:AE4986)-(COLUMN(AC4986)-2))))-1),"")</f>
        <v/>
      </c>
      <c r="M4986" s="13"/>
      <c r="N4986" s="13"/>
      <c r="O4986" s="13"/>
      <c r="P4986" s="26"/>
      <c r="Q4986" s="20"/>
      <c r="R4986" s="13"/>
      <c r="S4986" s="25"/>
      <c r="T4986" s="13"/>
      <c r="U4986" s="13"/>
      <c r="V4986" s="13"/>
      <c r="W4986" s="13"/>
      <c r="X4986" s="21"/>
      <c r="Y4986" s="22"/>
      <c r="Z4986" s="23"/>
      <c r="AA4986" s="23"/>
      <c r="AB4986" s="15"/>
      <c r="AC4986" s="14"/>
      <c r="AD4986" s="18"/>
      <c r="AE4986" s="18"/>
    </row>
    <row r="4987" customFormat="false" ht="15" hidden="false" customHeight="true" outlineLevel="0" collapsed="false">
      <c r="A4987" s="12"/>
      <c r="B4987" s="13"/>
      <c r="C4987" s="14"/>
      <c r="D4987" s="13"/>
      <c r="E4987" s="15"/>
      <c r="F4987" s="15"/>
      <c r="G4987" s="15"/>
      <c r="H4987" s="13"/>
      <c r="I4987" s="13"/>
      <c r="J4987" s="16"/>
      <c r="K4987" s="16"/>
      <c r="L4987" s="17" t="str">
        <f aca="false" t="array" ref="L4987:L4987">IFERROR(INDEX(AC4987:AE4987,IF(COUNTA(AC4987:AE4987)=0,"",MAX((AC4987:AE4987&lt;&gt;"")*(COLUMN(AC4987:AE4987)-(COLUMN(AC4987)-2))))-1),"")</f>
        <v/>
      </c>
      <c r="M4987" s="13"/>
      <c r="N4987" s="13"/>
      <c r="O4987" s="13"/>
      <c r="P4987" s="26"/>
      <c r="Q4987" s="20"/>
      <c r="R4987" s="13"/>
      <c r="S4987" s="25"/>
      <c r="T4987" s="13"/>
      <c r="U4987" s="13"/>
      <c r="V4987" s="13"/>
      <c r="W4987" s="13"/>
      <c r="X4987" s="21"/>
      <c r="Y4987" s="22"/>
      <c r="Z4987" s="23"/>
      <c r="AA4987" s="23"/>
      <c r="AB4987" s="15"/>
      <c r="AC4987" s="14"/>
      <c r="AD4987" s="18"/>
      <c r="AE4987" s="18"/>
    </row>
    <row r="4988" customFormat="false" ht="15" hidden="false" customHeight="true" outlineLevel="0" collapsed="false">
      <c r="A4988" s="12"/>
      <c r="B4988" s="13"/>
      <c r="C4988" s="14"/>
      <c r="D4988" s="13"/>
      <c r="E4988" s="15"/>
      <c r="F4988" s="15"/>
      <c r="G4988" s="15"/>
      <c r="H4988" s="13"/>
      <c r="I4988" s="13"/>
      <c r="J4988" s="16"/>
      <c r="K4988" s="16"/>
      <c r="L4988" s="17" t="str">
        <f aca="false" t="array" ref="L4988:L4988">IFERROR(INDEX(AC4988:AE4988,IF(COUNTA(AC4988:AE4988)=0,"",MAX((AC4988:AE4988&lt;&gt;"")*(COLUMN(AC4988:AE4988)-(COLUMN(AC4988)-2))))-1),"")</f>
        <v/>
      </c>
      <c r="M4988" s="13"/>
      <c r="N4988" s="13"/>
      <c r="O4988" s="13"/>
      <c r="P4988" s="26"/>
      <c r="Q4988" s="20"/>
      <c r="R4988" s="13"/>
      <c r="S4988" s="25"/>
      <c r="T4988" s="13"/>
      <c r="U4988" s="13"/>
      <c r="V4988" s="13"/>
      <c r="W4988" s="13"/>
      <c r="X4988" s="21"/>
      <c r="Y4988" s="22"/>
      <c r="Z4988" s="23"/>
      <c r="AA4988" s="23"/>
      <c r="AB4988" s="15"/>
      <c r="AC4988" s="14"/>
      <c r="AD4988" s="18"/>
      <c r="AE4988" s="18"/>
    </row>
    <row r="4989" customFormat="false" ht="15" hidden="false" customHeight="true" outlineLevel="0" collapsed="false">
      <c r="A4989" s="12"/>
      <c r="B4989" s="13"/>
      <c r="C4989" s="14"/>
      <c r="D4989" s="13"/>
      <c r="E4989" s="15"/>
      <c r="F4989" s="15"/>
      <c r="G4989" s="15"/>
      <c r="H4989" s="13"/>
      <c r="I4989" s="13"/>
      <c r="J4989" s="16"/>
      <c r="K4989" s="16"/>
      <c r="L4989" s="17" t="str">
        <f aca="false" t="array" ref="L4989:L4989">IFERROR(INDEX(AC4989:AE4989,IF(COUNTA(AC4989:AE4989)=0,"",MAX((AC4989:AE4989&lt;&gt;"")*(COLUMN(AC4989:AE4989)-(COLUMN(AC4989)-2))))-1),"")</f>
        <v/>
      </c>
      <c r="M4989" s="13"/>
      <c r="N4989" s="13"/>
      <c r="O4989" s="13"/>
      <c r="P4989" s="26"/>
      <c r="Q4989" s="20"/>
      <c r="R4989" s="13"/>
      <c r="S4989" s="25"/>
      <c r="T4989" s="13"/>
      <c r="U4989" s="13"/>
      <c r="V4989" s="13"/>
      <c r="W4989" s="13"/>
      <c r="X4989" s="21"/>
      <c r="Y4989" s="22"/>
      <c r="Z4989" s="23"/>
      <c r="AA4989" s="23"/>
      <c r="AB4989" s="15"/>
      <c r="AC4989" s="14"/>
      <c r="AD4989" s="18"/>
      <c r="AE4989" s="18"/>
    </row>
    <row r="4990" customFormat="false" ht="15" hidden="false" customHeight="true" outlineLevel="0" collapsed="false">
      <c r="A4990" s="12"/>
      <c r="B4990" s="13"/>
      <c r="C4990" s="14"/>
      <c r="D4990" s="13"/>
      <c r="E4990" s="15"/>
      <c r="F4990" s="15"/>
      <c r="G4990" s="15"/>
      <c r="H4990" s="13"/>
      <c r="I4990" s="13"/>
      <c r="J4990" s="16"/>
      <c r="K4990" s="16"/>
      <c r="L4990" s="17" t="str">
        <f aca="false" t="array" ref="L4990:L4990">IFERROR(INDEX(AC4990:AE4990,IF(COUNTA(AC4990:AE4990)=0,"",MAX((AC4990:AE4990&lt;&gt;"")*(COLUMN(AC4990:AE4990)-(COLUMN(AC4990)-2))))-1),"")</f>
        <v/>
      </c>
      <c r="M4990" s="13"/>
      <c r="N4990" s="13"/>
      <c r="O4990" s="13"/>
      <c r="P4990" s="26"/>
      <c r="Q4990" s="20"/>
      <c r="R4990" s="13"/>
      <c r="S4990" s="25"/>
      <c r="T4990" s="13"/>
      <c r="U4990" s="13"/>
      <c r="V4990" s="13"/>
      <c r="W4990" s="13"/>
      <c r="X4990" s="21"/>
      <c r="Y4990" s="22"/>
      <c r="Z4990" s="23"/>
      <c r="AA4990" s="23"/>
      <c r="AB4990" s="15"/>
      <c r="AC4990" s="14"/>
      <c r="AD4990" s="18"/>
      <c r="AE4990" s="18"/>
    </row>
    <row r="4991" customFormat="false" ht="15" hidden="false" customHeight="true" outlineLevel="0" collapsed="false">
      <c r="A4991" s="12"/>
      <c r="B4991" s="13"/>
      <c r="C4991" s="14"/>
      <c r="D4991" s="13"/>
      <c r="E4991" s="15"/>
      <c r="F4991" s="15"/>
      <c r="G4991" s="15"/>
      <c r="H4991" s="13"/>
      <c r="I4991" s="13"/>
      <c r="J4991" s="16"/>
      <c r="K4991" s="16"/>
      <c r="L4991" s="17" t="str">
        <f aca="false" t="array" ref="L4991:L4991">IFERROR(INDEX(AC4991:AE4991,IF(COUNTA(AC4991:AE4991)=0,"",MAX((AC4991:AE4991&lt;&gt;"")*(COLUMN(AC4991:AE4991)-(COLUMN(AC4991)-2))))-1),"")</f>
        <v/>
      </c>
      <c r="M4991" s="13"/>
      <c r="N4991" s="13"/>
      <c r="O4991" s="13"/>
      <c r="P4991" s="26"/>
      <c r="Q4991" s="20"/>
      <c r="R4991" s="13"/>
      <c r="S4991" s="25"/>
      <c r="T4991" s="13"/>
      <c r="U4991" s="13"/>
      <c r="V4991" s="13"/>
      <c r="W4991" s="13"/>
      <c r="X4991" s="21"/>
      <c r="Y4991" s="22"/>
      <c r="Z4991" s="23"/>
      <c r="AA4991" s="23"/>
      <c r="AB4991" s="15"/>
      <c r="AC4991" s="14"/>
      <c r="AD4991" s="18"/>
      <c r="AE4991" s="18"/>
    </row>
    <row r="4992" customFormat="false" ht="15" hidden="false" customHeight="true" outlineLevel="0" collapsed="false">
      <c r="A4992" s="12"/>
      <c r="B4992" s="13"/>
      <c r="C4992" s="14"/>
      <c r="D4992" s="13"/>
      <c r="E4992" s="15"/>
      <c r="F4992" s="15"/>
      <c r="G4992" s="15"/>
      <c r="H4992" s="13"/>
      <c r="I4992" s="13"/>
      <c r="J4992" s="16"/>
      <c r="K4992" s="16"/>
      <c r="L4992" s="17" t="str">
        <f aca="false" t="array" ref="L4992:L4992">IFERROR(INDEX(AC4992:AE4992,IF(COUNTA(AC4992:AE4992)=0,"",MAX((AC4992:AE4992&lt;&gt;"")*(COLUMN(AC4992:AE4992)-(COLUMN(AC4992)-2))))-1),"")</f>
        <v/>
      </c>
      <c r="M4992" s="13"/>
      <c r="N4992" s="13"/>
      <c r="O4992" s="13"/>
      <c r="P4992" s="26"/>
      <c r="Q4992" s="20"/>
      <c r="R4992" s="13"/>
      <c r="S4992" s="25"/>
      <c r="T4992" s="13"/>
      <c r="U4992" s="13"/>
      <c r="V4992" s="13"/>
      <c r="W4992" s="13"/>
      <c r="X4992" s="21"/>
      <c r="Y4992" s="22"/>
      <c r="Z4992" s="23"/>
      <c r="AA4992" s="23"/>
      <c r="AB4992" s="15"/>
      <c r="AC4992" s="14"/>
      <c r="AD4992" s="18"/>
      <c r="AE4992" s="18"/>
    </row>
    <row r="4993" customFormat="false" ht="15" hidden="false" customHeight="true" outlineLevel="0" collapsed="false">
      <c r="A4993" s="12"/>
      <c r="B4993" s="13"/>
      <c r="C4993" s="14"/>
      <c r="D4993" s="13"/>
      <c r="E4993" s="15"/>
      <c r="F4993" s="15"/>
      <c r="G4993" s="15"/>
      <c r="H4993" s="13"/>
      <c r="I4993" s="13"/>
      <c r="J4993" s="16"/>
      <c r="K4993" s="16"/>
      <c r="L4993" s="17" t="str">
        <f aca="false" t="array" ref="L4993:L4993">IFERROR(INDEX(AC4993:AE4993,IF(COUNTA(AC4993:AE4993)=0,"",MAX((AC4993:AE4993&lt;&gt;"")*(COLUMN(AC4993:AE4993)-(COLUMN(AC4993)-2))))-1),"")</f>
        <v/>
      </c>
      <c r="M4993" s="13"/>
      <c r="N4993" s="13"/>
      <c r="O4993" s="13"/>
      <c r="P4993" s="26"/>
      <c r="Q4993" s="20"/>
      <c r="R4993" s="13"/>
      <c r="S4993" s="25"/>
      <c r="T4993" s="13"/>
      <c r="U4993" s="13"/>
      <c r="V4993" s="13"/>
      <c r="W4993" s="13"/>
      <c r="X4993" s="21"/>
      <c r="Y4993" s="22"/>
      <c r="Z4993" s="23"/>
      <c r="AA4993" s="23"/>
      <c r="AB4993" s="15"/>
      <c r="AC4993" s="14"/>
      <c r="AD4993" s="18"/>
      <c r="AE4993" s="18"/>
    </row>
    <row r="4994" customFormat="false" ht="15" hidden="false" customHeight="true" outlineLevel="0" collapsed="false">
      <c r="A4994" s="12"/>
      <c r="B4994" s="13"/>
      <c r="C4994" s="14"/>
      <c r="D4994" s="13"/>
      <c r="E4994" s="15"/>
      <c r="F4994" s="15"/>
      <c r="G4994" s="15"/>
      <c r="H4994" s="13"/>
      <c r="I4994" s="13"/>
      <c r="J4994" s="16"/>
      <c r="K4994" s="16"/>
      <c r="L4994" s="17" t="str">
        <f aca="false" t="array" ref="L4994:L4994">IFERROR(INDEX(AC4994:AE4994,IF(COUNTA(AC4994:AE4994)=0,"",MAX((AC4994:AE4994&lt;&gt;"")*(COLUMN(AC4994:AE4994)-(COLUMN(AC4994)-2))))-1),"")</f>
        <v/>
      </c>
      <c r="M4994" s="13"/>
      <c r="N4994" s="13"/>
      <c r="O4994" s="13"/>
      <c r="P4994" s="26"/>
      <c r="Q4994" s="20"/>
      <c r="R4994" s="13"/>
      <c r="S4994" s="25"/>
      <c r="T4994" s="13"/>
      <c r="U4994" s="13"/>
      <c r="V4994" s="13"/>
      <c r="W4994" s="13"/>
      <c r="X4994" s="21"/>
      <c r="Y4994" s="22"/>
      <c r="Z4994" s="23"/>
      <c r="AA4994" s="23"/>
      <c r="AB4994" s="15"/>
      <c r="AC4994" s="14"/>
      <c r="AD4994" s="18"/>
      <c r="AE4994" s="18"/>
    </row>
    <row r="4995" customFormat="false" ht="15" hidden="false" customHeight="true" outlineLevel="0" collapsed="false">
      <c r="A4995" s="12"/>
      <c r="B4995" s="13"/>
      <c r="C4995" s="14"/>
      <c r="D4995" s="13"/>
      <c r="E4995" s="15"/>
      <c r="F4995" s="15"/>
      <c r="G4995" s="15"/>
      <c r="H4995" s="13"/>
      <c r="I4995" s="13"/>
      <c r="J4995" s="16"/>
      <c r="K4995" s="16"/>
      <c r="L4995" s="17" t="str">
        <f aca="false" t="array" ref="L4995:L4995">IFERROR(INDEX(AC4995:AE4995,IF(COUNTA(AC4995:AE4995)=0,"",MAX((AC4995:AE4995&lt;&gt;"")*(COLUMN(AC4995:AE4995)-(COLUMN(AC4995)-2))))-1),"")</f>
        <v/>
      </c>
      <c r="M4995" s="13"/>
      <c r="N4995" s="13"/>
      <c r="O4995" s="13"/>
      <c r="P4995" s="26"/>
      <c r="Q4995" s="20"/>
      <c r="R4995" s="13"/>
      <c r="S4995" s="25"/>
      <c r="T4995" s="13"/>
      <c r="U4995" s="13"/>
      <c r="V4995" s="13"/>
      <c r="W4995" s="13"/>
      <c r="X4995" s="21"/>
      <c r="Y4995" s="22"/>
      <c r="Z4995" s="23"/>
      <c r="AA4995" s="23"/>
      <c r="AB4995" s="15"/>
      <c r="AC4995" s="14"/>
      <c r="AD4995" s="18"/>
      <c r="AE4995" s="18"/>
    </row>
    <row r="4996" customFormat="false" ht="15" hidden="false" customHeight="true" outlineLevel="0" collapsed="false">
      <c r="A4996" s="12"/>
      <c r="B4996" s="13"/>
      <c r="C4996" s="14"/>
      <c r="D4996" s="13"/>
      <c r="E4996" s="15"/>
      <c r="F4996" s="15"/>
      <c r="G4996" s="15"/>
      <c r="H4996" s="13"/>
      <c r="I4996" s="13"/>
      <c r="J4996" s="16"/>
      <c r="K4996" s="16"/>
      <c r="L4996" s="17" t="str">
        <f aca="false" t="array" ref="L4996:L4996">IFERROR(INDEX(AC4996:AE4996,IF(COUNTA(AC4996:AE4996)=0,"",MAX((AC4996:AE4996&lt;&gt;"")*(COLUMN(AC4996:AE4996)-(COLUMN(AC4996)-2))))-1),"")</f>
        <v/>
      </c>
      <c r="M4996" s="13"/>
      <c r="N4996" s="13"/>
      <c r="O4996" s="13"/>
      <c r="P4996" s="26"/>
      <c r="Q4996" s="20"/>
      <c r="R4996" s="13"/>
      <c r="S4996" s="25"/>
      <c r="T4996" s="13"/>
      <c r="U4996" s="13"/>
      <c r="V4996" s="13"/>
      <c r="W4996" s="13"/>
      <c r="X4996" s="21"/>
      <c r="Y4996" s="22"/>
      <c r="Z4996" s="23"/>
      <c r="AA4996" s="23"/>
      <c r="AB4996" s="15"/>
      <c r="AC4996" s="14"/>
      <c r="AD4996" s="18"/>
      <c r="AE4996" s="18"/>
    </row>
    <row r="4997" customFormat="false" ht="15" hidden="false" customHeight="true" outlineLevel="0" collapsed="false">
      <c r="A4997" s="12"/>
      <c r="B4997" s="13"/>
      <c r="C4997" s="14"/>
      <c r="D4997" s="13"/>
      <c r="E4997" s="15"/>
      <c r="F4997" s="15"/>
      <c r="G4997" s="15"/>
      <c r="H4997" s="13"/>
      <c r="I4997" s="13"/>
      <c r="J4997" s="16"/>
      <c r="K4997" s="16"/>
      <c r="L4997" s="17" t="str">
        <f aca="false" t="array" ref="L4997:L4997">IFERROR(INDEX(AC4997:AE4997,IF(COUNTA(AC4997:AE4997)=0,"",MAX((AC4997:AE4997&lt;&gt;"")*(COLUMN(AC4997:AE4997)-(COLUMN(AC4997)-2))))-1),"")</f>
        <v/>
      </c>
      <c r="M4997" s="13"/>
      <c r="N4997" s="13"/>
      <c r="O4997" s="13"/>
      <c r="P4997" s="26"/>
      <c r="Q4997" s="20"/>
      <c r="R4997" s="13"/>
      <c r="S4997" s="25"/>
      <c r="T4997" s="13"/>
      <c r="U4997" s="13"/>
      <c r="V4997" s="13"/>
      <c r="W4997" s="13"/>
      <c r="X4997" s="21"/>
      <c r="Y4997" s="22"/>
      <c r="Z4997" s="23"/>
      <c r="AA4997" s="23"/>
      <c r="AB4997" s="15"/>
      <c r="AC4997" s="14"/>
      <c r="AD4997" s="18"/>
      <c r="AE4997" s="18"/>
    </row>
    <row r="4998" customFormat="false" ht="15" hidden="false" customHeight="true" outlineLevel="0" collapsed="false">
      <c r="A4998" s="12"/>
      <c r="B4998" s="13"/>
      <c r="C4998" s="14"/>
      <c r="D4998" s="13"/>
      <c r="E4998" s="15"/>
      <c r="F4998" s="15"/>
      <c r="G4998" s="15"/>
      <c r="H4998" s="13"/>
      <c r="I4998" s="13"/>
      <c r="J4998" s="16"/>
      <c r="K4998" s="16"/>
      <c r="L4998" s="17" t="str">
        <f aca="false" t="array" ref="L4998:L4998">IFERROR(INDEX(AC4998:AE4998,IF(COUNTA(AC4998:AE4998)=0,"",MAX((AC4998:AE4998&lt;&gt;"")*(COLUMN(AC4998:AE4998)-(COLUMN(AC4998)-2))))-1),"")</f>
        <v/>
      </c>
      <c r="M4998" s="13"/>
      <c r="N4998" s="13"/>
      <c r="O4998" s="13"/>
      <c r="P4998" s="26"/>
      <c r="Q4998" s="20"/>
      <c r="R4998" s="13"/>
      <c r="S4998" s="25"/>
      <c r="T4998" s="13"/>
      <c r="U4998" s="13"/>
      <c r="V4998" s="13"/>
      <c r="W4998" s="13"/>
      <c r="X4998" s="21"/>
      <c r="Y4998" s="22"/>
      <c r="Z4998" s="23"/>
      <c r="AA4998" s="23"/>
      <c r="AB4998" s="15"/>
      <c r="AC4998" s="14"/>
      <c r="AD4998" s="18"/>
      <c r="AE4998" s="18"/>
    </row>
    <row r="4999" customFormat="false" ht="15" hidden="false" customHeight="true" outlineLevel="0" collapsed="false">
      <c r="A4999" s="12"/>
      <c r="B4999" s="13"/>
      <c r="C4999" s="14"/>
      <c r="D4999" s="13"/>
      <c r="E4999" s="15"/>
      <c r="F4999" s="15"/>
      <c r="G4999" s="15"/>
      <c r="H4999" s="13"/>
      <c r="I4999" s="13"/>
      <c r="J4999" s="16"/>
      <c r="K4999" s="16"/>
      <c r="L4999" s="17" t="str">
        <f aca="false" t="array" ref="L4999:L4999">IFERROR(INDEX(AC4999:AE4999,IF(COUNTA(AC4999:AE4999)=0,"",MAX((AC4999:AE4999&lt;&gt;"")*(COLUMN(AC4999:AE4999)-(COLUMN(AC4999)-2))))-1),"")</f>
        <v/>
      </c>
      <c r="M4999" s="13"/>
      <c r="N4999" s="13"/>
      <c r="O4999" s="13"/>
      <c r="P4999" s="26"/>
      <c r="Q4999" s="20"/>
      <c r="R4999" s="13"/>
      <c r="S4999" s="25"/>
      <c r="T4999" s="13"/>
      <c r="U4999" s="13"/>
      <c r="V4999" s="13"/>
      <c r="W4999" s="13"/>
      <c r="X4999" s="21"/>
      <c r="Y4999" s="22"/>
      <c r="Z4999" s="23"/>
      <c r="AA4999" s="23"/>
      <c r="AB4999" s="15"/>
      <c r="AC4999" s="14"/>
      <c r="AD4999" s="18"/>
      <c r="AE4999" s="18"/>
    </row>
    <row r="5000" customFormat="false" ht="15" hidden="false" customHeight="true" outlineLevel="0" collapsed="false">
      <c r="A5000" s="12"/>
      <c r="B5000" s="13"/>
      <c r="C5000" s="14"/>
      <c r="D5000" s="13"/>
      <c r="E5000" s="15"/>
      <c r="F5000" s="15"/>
      <c r="G5000" s="15"/>
      <c r="H5000" s="13"/>
      <c r="I5000" s="13"/>
      <c r="J5000" s="16"/>
      <c r="K5000" s="16"/>
      <c r="L5000" s="17" t="str">
        <f aca="false" t="array" ref="L5000:L5000">IFERROR(INDEX(AC5000:AE5000,IF(COUNTA(AC5000:AE5000)=0,"",MAX((AC5000:AE5000&lt;&gt;"")*(COLUMN(AC5000:AE5000)-(COLUMN(AC5000)-2))))-1),"")</f>
        <v/>
      </c>
      <c r="M5000" s="13"/>
      <c r="N5000" s="13"/>
      <c r="O5000" s="13"/>
      <c r="P5000" s="26"/>
      <c r="Q5000" s="20"/>
      <c r="R5000" s="13"/>
      <c r="S5000" s="25"/>
      <c r="T5000" s="13"/>
      <c r="U5000" s="13"/>
      <c r="V5000" s="13"/>
      <c r="W5000" s="13"/>
      <c r="X5000" s="21"/>
      <c r="Y5000" s="22"/>
      <c r="Z5000" s="23"/>
      <c r="AA5000" s="23"/>
      <c r="AB5000" s="15"/>
      <c r="AC5000" s="14"/>
      <c r="AD5000" s="18"/>
      <c r="AE5000" s="18"/>
    </row>
    <row r="5001" customFormat="false" ht="15" hidden="false" customHeight="true" outlineLevel="0" collapsed="false">
      <c r="A5001" s="12"/>
      <c r="B5001" s="13"/>
      <c r="C5001" s="14"/>
      <c r="D5001" s="13"/>
      <c r="E5001" s="15"/>
      <c r="F5001" s="15"/>
      <c r="G5001" s="15"/>
      <c r="H5001" s="13"/>
      <c r="I5001" s="13"/>
      <c r="J5001" s="16"/>
      <c r="K5001" s="16"/>
      <c r="L5001" s="17" t="str">
        <f aca="false" t="array" ref="L5001:L5001">IFERROR(INDEX(AC5001:AE5001,IF(COUNTA(AC5001:AE5001)=0,"",MAX((AC5001:AE5001&lt;&gt;"")*(COLUMN(AC5001:AE5001)-(COLUMN(AC5001)-2))))-1),"")</f>
        <v/>
      </c>
      <c r="M5001" s="13"/>
      <c r="N5001" s="13"/>
      <c r="O5001" s="13"/>
      <c r="P5001" s="26"/>
      <c r="Q5001" s="20"/>
      <c r="R5001" s="13"/>
      <c r="S5001" s="25"/>
      <c r="T5001" s="13"/>
      <c r="U5001" s="13"/>
      <c r="V5001" s="13"/>
      <c r="W5001" s="13"/>
      <c r="X5001" s="21"/>
      <c r="Y5001" s="22"/>
      <c r="Z5001" s="23"/>
      <c r="AA5001" s="23"/>
      <c r="AB5001" s="15"/>
      <c r="AC5001" s="14"/>
      <c r="AD5001" s="18"/>
      <c r="AE5001" s="18"/>
    </row>
    <row r="5002" customFormat="false" ht="15" hidden="false" customHeight="true" outlineLevel="0" collapsed="false">
      <c r="A5002" s="12"/>
      <c r="B5002" s="13"/>
      <c r="C5002" s="14"/>
      <c r="D5002" s="13"/>
      <c r="E5002" s="15"/>
      <c r="F5002" s="15"/>
      <c r="G5002" s="15"/>
      <c r="H5002" s="13"/>
      <c r="I5002" s="13"/>
      <c r="J5002" s="16"/>
      <c r="K5002" s="16"/>
      <c r="L5002" s="17" t="str">
        <f aca="false" t="array" ref="L5002:L5002">IFERROR(INDEX(AC5002:AE5002,IF(COUNTA(AC5002:AE5002)=0,"",MAX((AC5002:AE5002&lt;&gt;"")*(COLUMN(AC5002:AE5002)-(COLUMN(AC5002)-2))))-1),"")</f>
        <v/>
      </c>
      <c r="M5002" s="13"/>
      <c r="N5002" s="13"/>
      <c r="O5002" s="13"/>
      <c r="P5002" s="26"/>
      <c r="Q5002" s="20"/>
      <c r="R5002" s="13"/>
      <c r="S5002" s="25"/>
      <c r="T5002" s="13"/>
      <c r="U5002" s="13"/>
      <c r="V5002" s="13"/>
      <c r="W5002" s="13"/>
      <c r="X5002" s="21"/>
      <c r="Y5002" s="22"/>
      <c r="Z5002" s="23"/>
      <c r="AA5002" s="23"/>
      <c r="AB5002" s="15"/>
      <c r="AC5002" s="14"/>
      <c r="AD5002" s="18"/>
      <c r="AE5002" s="18"/>
    </row>
    <row r="5003" customFormat="false" ht="15" hidden="false" customHeight="true" outlineLevel="0" collapsed="false">
      <c r="A5003" s="12"/>
      <c r="B5003" s="13"/>
      <c r="C5003" s="14"/>
      <c r="D5003" s="13"/>
      <c r="E5003" s="15"/>
      <c r="F5003" s="15"/>
      <c r="G5003" s="15"/>
      <c r="H5003" s="13"/>
      <c r="I5003" s="13"/>
      <c r="J5003" s="16"/>
      <c r="K5003" s="16"/>
      <c r="L5003" s="17" t="str">
        <f aca="false" t="array" ref="L5003:L5003">IFERROR(INDEX(AC5003:AE5003,IF(COUNTA(AC5003:AE5003)=0,"",MAX((AC5003:AE5003&lt;&gt;"")*(COLUMN(AC5003:AE5003)-(COLUMN(AC5003)-2))))-1),"")</f>
        <v/>
      </c>
      <c r="M5003" s="13"/>
      <c r="N5003" s="13"/>
      <c r="O5003" s="13"/>
      <c r="P5003" s="26"/>
      <c r="Q5003" s="20"/>
      <c r="R5003" s="13"/>
      <c r="S5003" s="25"/>
      <c r="T5003" s="13"/>
      <c r="U5003" s="13"/>
      <c r="V5003" s="13"/>
      <c r="W5003" s="13"/>
      <c r="X5003" s="21"/>
      <c r="Y5003" s="22"/>
      <c r="Z5003" s="23"/>
      <c r="AA5003" s="23"/>
      <c r="AB5003" s="15"/>
      <c r="AC5003" s="14"/>
      <c r="AD5003" s="18"/>
      <c r="AE5003" s="18"/>
    </row>
    <row r="5004" customFormat="false" ht="15" hidden="false" customHeight="true" outlineLevel="0" collapsed="false">
      <c r="A5004" s="12"/>
      <c r="B5004" s="13"/>
      <c r="C5004" s="14"/>
      <c r="D5004" s="13"/>
      <c r="E5004" s="15"/>
      <c r="F5004" s="15"/>
      <c r="G5004" s="15"/>
      <c r="H5004" s="13"/>
      <c r="I5004" s="13"/>
      <c r="J5004" s="16"/>
      <c r="K5004" s="16"/>
      <c r="L5004" s="17" t="str">
        <f aca="false" t="array" ref="L5004:L5004">IFERROR(INDEX(AC5004:AE5004,IF(COUNTA(AC5004:AE5004)=0,"",MAX((AC5004:AE5004&lt;&gt;"")*(COLUMN(AC5004:AE5004)-(COLUMN(AC5004)-2))))-1),"")</f>
        <v/>
      </c>
      <c r="M5004" s="13"/>
      <c r="N5004" s="13"/>
      <c r="O5004" s="13"/>
      <c r="P5004" s="26"/>
      <c r="Q5004" s="20"/>
      <c r="R5004" s="13"/>
      <c r="S5004" s="25"/>
      <c r="T5004" s="13"/>
      <c r="U5004" s="13"/>
      <c r="V5004" s="13"/>
      <c r="W5004" s="13"/>
      <c r="X5004" s="21"/>
      <c r="Y5004" s="22"/>
      <c r="Z5004" s="23"/>
      <c r="AA5004" s="23"/>
      <c r="AB5004" s="15"/>
      <c r="AC5004" s="14"/>
      <c r="AD5004" s="18"/>
      <c r="AE5004" s="18"/>
    </row>
    <row r="5005" customFormat="false" ht="15" hidden="false" customHeight="true" outlineLevel="0" collapsed="false">
      <c r="A5005" s="12"/>
      <c r="B5005" s="13"/>
      <c r="C5005" s="14"/>
      <c r="D5005" s="13"/>
      <c r="E5005" s="15"/>
      <c r="F5005" s="15"/>
      <c r="G5005" s="15"/>
      <c r="H5005" s="13"/>
      <c r="I5005" s="13"/>
      <c r="J5005" s="16"/>
      <c r="K5005" s="16"/>
      <c r="L5005" s="17" t="str">
        <f aca="false" t="array" ref="L5005:L5005">IFERROR(INDEX(AC5005:AE5005,IF(COUNTA(AC5005:AE5005)=0,"",MAX((AC5005:AE5005&lt;&gt;"")*(COLUMN(AC5005:AE5005)-(COLUMN(AC5005)-2))))-1),"")</f>
        <v/>
      </c>
      <c r="M5005" s="13"/>
      <c r="N5005" s="13"/>
      <c r="O5005" s="13"/>
      <c r="P5005" s="26"/>
      <c r="Q5005" s="20"/>
      <c r="R5005" s="13"/>
      <c r="S5005" s="25"/>
      <c r="T5005" s="13"/>
      <c r="U5005" s="13"/>
      <c r="V5005" s="13"/>
      <c r="W5005" s="13"/>
      <c r="X5005" s="21"/>
      <c r="Y5005" s="22"/>
      <c r="Z5005" s="23"/>
      <c r="AA5005" s="23"/>
      <c r="AB5005" s="15"/>
      <c r="AC5005" s="14"/>
      <c r="AD5005" s="18"/>
      <c r="AE5005" s="18"/>
    </row>
    <row r="5006" customFormat="false" ht="15" hidden="false" customHeight="true" outlineLevel="0" collapsed="false">
      <c r="A5006" s="12"/>
      <c r="B5006" s="13"/>
      <c r="C5006" s="14"/>
      <c r="D5006" s="13"/>
      <c r="E5006" s="15"/>
      <c r="F5006" s="15"/>
      <c r="G5006" s="15"/>
      <c r="H5006" s="13"/>
      <c r="I5006" s="13"/>
      <c r="J5006" s="16"/>
      <c r="K5006" s="16"/>
      <c r="L5006" s="17" t="str">
        <f aca="false" t="array" ref="L5006:L5006">IFERROR(INDEX(AC5006:AE5006,IF(COUNTA(AC5006:AE5006)=0,"",MAX((AC5006:AE5006&lt;&gt;"")*(COLUMN(AC5006:AE5006)-(COLUMN(AC5006)-2))))-1),"")</f>
        <v/>
      </c>
      <c r="M5006" s="13"/>
      <c r="N5006" s="13"/>
      <c r="O5006" s="13"/>
      <c r="P5006" s="26"/>
      <c r="Q5006" s="20"/>
      <c r="R5006" s="13"/>
      <c r="S5006" s="25"/>
      <c r="T5006" s="13"/>
      <c r="U5006" s="13"/>
      <c r="V5006" s="13"/>
      <c r="W5006" s="13"/>
      <c r="X5006" s="21"/>
      <c r="Y5006" s="22"/>
      <c r="Z5006" s="23"/>
      <c r="AA5006" s="23"/>
      <c r="AB5006" s="15"/>
      <c r="AC5006" s="14"/>
      <c r="AD5006" s="18"/>
      <c r="AE5006" s="18"/>
    </row>
    <row r="5007" customFormat="false" ht="15" hidden="false" customHeight="true" outlineLevel="0" collapsed="false">
      <c r="A5007" s="12"/>
      <c r="B5007" s="13"/>
      <c r="C5007" s="14"/>
      <c r="D5007" s="13"/>
      <c r="E5007" s="15"/>
      <c r="F5007" s="15"/>
      <c r="G5007" s="15"/>
      <c r="H5007" s="13"/>
      <c r="I5007" s="13"/>
      <c r="J5007" s="16"/>
      <c r="K5007" s="16"/>
      <c r="L5007" s="17" t="str">
        <f aca="false" t="array" ref="L5007:L5007">IFERROR(INDEX(AC5007:AE5007,IF(COUNTA(AC5007:AE5007)=0,"",MAX((AC5007:AE5007&lt;&gt;"")*(COLUMN(AC5007:AE5007)-(COLUMN(AC5007)-2))))-1),"")</f>
        <v/>
      </c>
      <c r="M5007" s="13"/>
      <c r="N5007" s="13"/>
      <c r="O5007" s="13"/>
      <c r="P5007" s="26"/>
      <c r="Q5007" s="20"/>
      <c r="R5007" s="13"/>
      <c r="S5007" s="25"/>
      <c r="T5007" s="13"/>
      <c r="U5007" s="13"/>
      <c r="V5007" s="13"/>
      <c r="W5007" s="13"/>
      <c r="X5007" s="21"/>
      <c r="Y5007" s="22"/>
      <c r="Z5007" s="23"/>
      <c r="AA5007" s="23"/>
      <c r="AB5007" s="15"/>
      <c r="AC5007" s="14"/>
      <c r="AD5007" s="18"/>
      <c r="AE5007" s="18"/>
    </row>
    <row r="5008" customFormat="false" ht="15" hidden="false" customHeight="true" outlineLevel="0" collapsed="false">
      <c r="A5008" s="12"/>
      <c r="B5008" s="13"/>
      <c r="C5008" s="14"/>
      <c r="D5008" s="13"/>
      <c r="E5008" s="15"/>
      <c r="F5008" s="15"/>
      <c r="G5008" s="15"/>
      <c r="H5008" s="13"/>
      <c r="I5008" s="13"/>
      <c r="J5008" s="16"/>
      <c r="K5008" s="16"/>
      <c r="L5008" s="17" t="str">
        <f aca="false" t="array" ref="L5008:L5008">IFERROR(INDEX(AC5008:AE5008,IF(COUNTA(AC5008:AE5008)=0,"",MAX((AC5008:AE5008&lt;&gt;"")*(COLUMN(AC5008:AE5008)-(COLUMN(AC5008)-2))))-1),"")</f>
        <v/>
      </c>
      <c r="M5008" s="13"/>
      <c r="N5008" s="13"/>
      <c r="O5008" s="13"/>
      <c r="P5008" s="26"/>
      <c r="Q5008" s="20"/>
      <c r="R5008" s="13"/>
      <c r="S5008" s="25"/>
      <c r="T5008" s="13"/>
      <c r="U5008" s="13"/>
      <c r="V5008" s="13"/>
      <c r="W5008" s="13"/>
      <c r="X5008" s="21"/>
      <c r="Y5008" s="22"/>
      <c r="Z5008" s="23"/>
      <c r="AA5008" s="23"/>
      <c r="AB5008" s="15"/>
      <c r="AC5008" s="14"/>
      <c r="AD5008" s="18"/>
      <c r="AE5008" s="18"/>
    </row>
    <row r="5009" customFormat="false" ht="15" hidden="false" customHeight="true" outlineLevel="0" collapsed="false">
      <c r="A5009" s="12"/>
      <c r="B5009" s="13"/>
      <c r="C5009" s="14"/>
      <c r="D5009" s="13"/>
      <c r="E5009" s="15"/>
      <c r="F5009" s="15"/>
      <c r="G5009" s="15"/>
      <c r="H5009" s="13"/>
      <c r="I5009" s="13"/>
      <c r="J5009" s="16"/>
      <c r="K5009" s="16"/>
      <c r="L5009" s="17" t="str">
        <f aca="false" t="array" ref="L5009:L5009">IFERROR(INDEX(AC5009:AE5009,IF(COUNTA(AC5009:AE5009)=0,"",MAX((AC5009:AE5009&lt;&gt;"")*(COLUMN(AC5009:AE5009)-(COLUMN(AC5009)-2))))-1),"")</f>
        <v/>
      </c>
      <c r="M5009" s="13"/>
      <c r="N5009" s="13"/>
      <c r="O5009" s="13"/>
      <c r="P5009" s="26"/>
      <c r="Q5009" s="20"/>
      <c r="R5009" s="13"/>
      <c r="S5009" s="25"/>
      <c r="T5009" s="13"/>
      <c r="U5009" s="13"/>
      <c r="V5009" s="13"/>
      <c r="W5009" s="13"/>
      <c r="X5009" s="21"/>
      <c r="Y5009" s="22"/>
      <c r="Z5009" s="23"/>
      <c r="AA5009" s="23"/>
      <c r="AB5009" s="15"/>
      <c r="AC5009" s="14"/>
      <c r="AD5009" s="18"/>
      <c r="AE5009" s="18"/>
    </row>
    <row r="5010" customFormat="false" ht="15" hidden="false" customHeight="true" outlineLevel="0" collapsed="false">
      <c r="A5010" s="12"/>
      <c r="B5010" s="13"/>
      <c r="C5010" s="14"/>
      <c r="D5010" s="13"/>
      <c r="E5010" s="15"/>
      <c r="F5010" s="15"/>
      <c r="G5010" s="15"/>
      <c r="H5010" s="13"/>
      <c r="I5010" s="13"/>
      <c r="J5010" s="16"/>
      <c r="K5010" s="16"/>
      <c r="L5010" s="17" t="str">
        <f aca="false" t="array" ref="L5010:L5010">IFERROR(INDEX(AC5010:AE5010,IF(COUNTA(AC5010:AE5010)=0,"",MAX((AC5010:AE5010&lt;&gt;"")*(COLUMN(AC5010:AE5010)-(COLUMN(AC5010)-2))))-1),"")</f>
        <v/>
      </c>
      <c r="M5010" s="13"/>
      <c r="N5010" s="13"/>
      <c r="O5010" s="13"/>
      <c r="P5010" s="26"/>
      <c r="Q5010" s="20"/>
      <c r="R5010" s="13"/>
      <c r="S5010" s="25"/>
      <c r="T5010" s="13"/>
      <c r="U5010" s="13"/>
      <c r="V5010" s="13"/>
      <c r="W5010" s="13"/>
      <c r="X5010" s="21"/>
      <c r="Y5010" s="22"/>
      <c r="Z5010" s="23"/>
      <c r="AA5010" s="23"/>
      <c r="AB5010" s="15"/>
      <c r="AC5010" s="14"/>
      <c r="AD5010" s="18"/>
      <c r="AE5010" s="18"/>
    </row>
    <row r="5011" customFormat="false" ht="15" hidden="false" customHeight="true" outlineLevel="0" collapsed="false">
      <c r="A5011" s="12"/>
      <c r="B5011" s="13"/>
      <c r="C5011" s="14"/>
      <c r="D5011" s="13"/>
      <c r="E5011" s="15"/>
      <c r="F5011" s="15"/>
      <c r="G5011" s="15"/>
      <c r="H5011" s="13"/>
      <c r="I5011" s="13"/>
      <c r="J5011" s="16"/>
      <c r="K5011" s="16"/>
      <c r="L5011" s="17" t="str">
        <f aca="false" t="array" ref="L5011:L5011">IFERROR(INDEX(AC5011:AE5011,IF(COUNTA(AC5011:AE5011)=0,"",MAX((AC5011:AE5011&lt;&gt;"")*(COLUMN(AC5011:AE5011)-(COLUMN(AC5011)-2))))-1),"")</f>
        <v/>
      </c>
      <c r="M5011" s="13"/>
      <c r="N5011" s="13"/>
      <c r="O5011" s="13"/>
      <c r="P5011" s="26"/>
      <c r="Q5011" s="20"/>
      <c r="R5011" s="13"/>
      <c r="S5011" s="25"/>
      <c r="T5011" s="13"/>
      <c r="U5011" s="13"/>
      <c r="V5011" s="13"/>
      <c r="W5011" s="13"/>
      <c r="X5011" s="21"/>
      <c r="Y5011" s="22"/>
      <c r="Z5011" s="23"/>
      <c r="AA5011" s="23"/>
      <c r="AB5011" s="15"/>
      <c r="AC5011" s="14"/>
      <c r="AD5011" s="18"/>
      <c r="AE5011" s="18"/>
    </row>
    <row r="5012" customFormat="false" ht="15" hidden="false" customHeight="true" outlineLevel="0" collapsed="false">
      <c r="A5012" s="12"/>
      <c r="B5012" s="13"/>
      <c r="C5012" s="14"/>
      <c r="D5012" s="13"/>
      <c r="E5012" s="15"/>
      <c r="F5012" s="15"/>
      <c r="G5012" s="15"/>
      <c r="H5012" s="13"/>
      <c r="I5012" s="13"/>
      <c r="J5012" s="16"/>
      <c r="K5012" s="16"/>
      <c r="L5012" s="17" t="str">
        <f aca="false" t="array" ref="L5012:L5012">IFERROR(INDEX(AC5012:AE5012,IF(COUNTA(AC5012:AE5012)=0,"",MAX((AC5012:AE5012&lt;&gt;"")*(COLUMN(AC5012:AE5012)-(COLUMN(AC5012)-2))))-1),"")</f>
        <v/>
      </c>
      <c r="M5012" s="13"/>
      <c r="N5012" s="13"/>
      <c r="O5012" s="13"/>
      <c r="P5012" s="26"/>
      <c r="Q5012" s="20"/>
      <c r="R5012" s="13"/>
      <c r="S5012" s="25"/>
      <c r="T5012" s="13"/>
      <c r="U5012" s="13"/>
      <c r="V5012" s="13"/>
      <c r="W5012" s="13"/>
      <c r="X5012" s="21"/>
      <c r="Y5012" s="22"/>
      <c r="Z5012" s="23"/>
      <c r="AA5012" s="23"/>
      <c r="AB5012" s="15"/>
      <c r="AC5012" s="14"/>
      <c r="AD5012" s="18"/>
      <c r="AE5012" s="18"/>
    </row>
    <row r="5013" customFormat="false" ht="15" hidden="false" customHeight="true" outlineLevel="0" collapsed="false">
      <c r="A5013" s="12"/>
      <c r="B5013" s="13"/>
      <c r="C5013" s="14"/>
      <c r="D5013" s="13"/>
      <c r="E5013" s="15"/>
      <c r="F5013" s="15"/>
      <c r="G5013" s="15"/>
      <c r="H5013" s="13"/>
      <c r="I5013" s="13"/>
      <c r="J5013" s="16"/>
      <c r="K5013" s="16"/>
      <c r="L5013" s="17" t="str">
        <f aca="false" t="array" ref="L5013:L5013">IFERROR(INDEX(AC5013:AE5013,IF(COUNTA(AC5013:AE5013)=0,"",MAX((AC5013:AE5013&lt;&gt;"")*(COLUMN(AC5013:AE5013)-(COLUMN(AC5013)-2))))-1),"")</f>
        <v/>
      </c>
      <c r="M5013" s="13"/>
      <c r="N5013" s="13"/>
      <c r="O5013" s="13"/>
      <c r="P5013" s="26"/>
      <c r="Q5013" s="20"/>
      <c r="R5013" s="13"/>
      <c r="S5013" s="25"/>
      <c r="T5013" s="13"/>
      <c r="U5013" s="13"/>
      <c r="V5013" s="13"/>
      <c r="W5013" s="13"/>
      <c r="X5013" s="21"/>
      <c r="Y5013" s="22"/>
      <c r="Z5013" s="23"/>
      <c r="AA5013" s="23"/>
      <c r="AB5013" s="15"/>
      <c r="AC5013" s="14"/>
      <c r="AD5013" s="18"/>
      <c r="AE5013" s="18"/>
    </row>
    <row r="5014" customFormat="false" ht="15" hidden="false" customHeight="true" outlineLevel="0" collapsed="false">
      <c r="A5014" s="12"/>
      <c r="B5014" s="13"/>
      <c r="C5014" s="14"/>
      <c r="D5014" s="13"/>
      <c r="E5014" s="15"/>
      <c r="F5014" s="15"/>
      <c r="G5014" s="15"/>
      <c r="H5014" s="13"/>
      <c r="I5014" s="13"/>
      <c r="J5014" s="16"/>
      <c r="K5014" s="16"/>
      <c r="L5014" s="17" t="str">
        <f aca="false" t="array" ref="L5014:L5014">IFERROR(INDEX(AC5014:AE5014,IF(COUNTA(AC5014:AE5014)=0,"",MAX((AC5014:AE5014&lt;&gt;"")*(COLUMN(AC5014:AE5014)-(COLUMN(AC5014)-2))))-1),"")</f>
        <v/>
      </c>
      <c r="M5014" s="13"/>
      <c r="N5014" s="13"/>
      <c r="O5014" s="13"/>
      <c r="P5014" s="26"/>
      <c r="Q5014" s="20"/>
      <c r="R5014" s="13"/>
      <c r="S5014" s="25"/>
      <c r="T5014" s="13"/>
      <c r="U5014" s="13"/>
      <c r="V5014" s="13"/>
      <c r="W5014" s="13"/>
      <c r="X5014" s="21"/>
      <c r="Y5014" s="22"/>
      <c r="Z5014" s="23"/>
      <c r="AA5014" s="23"/>
      <c r="AB5014" s="15"/>
      <c r="AC5014" s="14"/>
      <c r="AD5014" s="18"/>
      <c r="AE5014" s="18"/>
    </row>
    <row r="5015" customFormat="false" ht="15" hidden="false" customHeight="true" outlineLevel="0" collapsed="false">
      <c r="A5015" s="12"/>
      <c r="B5015" s="13"/>
      <c r="C5015" s="14"/>
      <c r="D5015" s="13"/>
      <c r="E5015" s="15"/>
      <c r="F5015" s="15"/>
      <c r="G5015" s="15"/>
      <c r="H5015" s="13"/>
      <c r="I5015" s="13"/>
      <c r="J5015" s="16"/>
      <c r="K5015" s="16"/>
      <c r="L5015" s="17" t="str">
        <f aca="false" t="array" ref="L5015:L5015">IFERROR(INDEX(AC5015:AE5015,IF(COUNTA(AC5015:AE5015)=0,"",MAX((AC5015:AE5015&lt;&gt;"")*(COLUMN(AC5015:AE5015)-(COLUMN(AC5015)-2))))-1),"")</f>
        <v/>
      </c>
      <c r="M5015" s="13"/>
      <c r="N5015" s="13"/>
      <c r="O5015" s="13"/>
      <c r="P5015" s="26"/>
      <c r="Q5015" s="20"/>
      <c r="R5015" s="13"/>
      <c r="S5015" s="25"/>
      <c r="T5015" s="13"/>
      <c r="U5015" s="13"/>
      <c r="V5015" s="13"/>
      <c r="W5015" s="13"/>
      <c r="X5015" s="21"/>
      <c r="Y5015" s="22"/>
      <c r="Z5015" s="23"/>
      <c r="AA5015" s="23"/>
      <c r="AB5015" s="15"/>
      <c r="AC5015" s="14"/>
      <c r="AD5015" s="18"/>
      <c r="AE5015" s="18"/>
    </row>
    <row r="5016" customFormat="false" ht="15" hidden="false" customHeight="true" outlineLevel="0" collapsed="false">
      <c r="A5016" s="12"/>
      <c r="B5016" s="13"/>
      <c r="C5016" s="14"/>
      <c r="D5016" s="13"/>
      <c r="E5016" s="15"/>
      <c r="F5016" s="15"/>
      <c r="G5016" s="15"/>
      <c r="H5016" s="13"/>
      <c r="I5016" s="13"/>
      <c r="J5016" s="16"/>
      <c r="K5016" s="16"/>
      <c r="L5016" s="17" t="str">
        <f aca="false" t="array" ref="L5016:L5016">IFERROR(INDEX(AC5016:AE5016,IF(COUNTA(AC5016:AE5016)=0,"",MAX((AC5016:AE5016&lt;&gt;"")*(COLUMN(AC5016:AE5016)-(COLUMN(AC5016)-2))))-1),"")</f>
        <v/>
      </c>
      <c r="M5016" s="13"/>
      <c r="N5016" s="13"/>
      <c r="O5016" s="13"/>
      <c r="P5016" s="26"/>
      <c r="Q5016" s="20"/>
      <c r="R5016" s="13"/>
      <c r="S5016" s="25"/>
      <c r="T5016" s="13"/>
      <c r="U5016" s="13"/>
      <c r="V5016" s="13"/>
      <c r="W5016" s="13"/>
      <c r="X5016" s="21"/>
      <c r="Y5016" s="22"/>
      <c r="Z5016" s="23"/>
      <c r="AA5016" s="23"/>
      <c r="AB5016" s="15"/>
      <c r="AC5016" s="14"/>
      <c r="AD5016" s="18"/>
      <c r="AE5016" s="18"/>
    </row>
    <row r="5017" customFormat="false" ht="15" hidden="false" customHeight="true" outlineLevel="0" collapsed="false">
      <c r="A5017" s="12"/>
      <c r="B5017" s="13"/>
      <c r="C5017" s="14"/>
      <c r="D5017" s="13"/>
      <c r="E5017" s="15"/>
      <c r="F5017" s="15"/>
      <c r="G5017" s="15"/>
      <c r="H5017" s="13"/>
      <c r="I5017" s="13"/>
      <c r="J5017" s="16"/>
      <c r="K5017" s="16"/>
      <c r="L5017" s="17" t="str">
        <f aca="false" t="array" ref="L5017:L5017">IFERROR(INDEX(AC5017:AE5017,IF(COUNTA(AC5017:AE5017)=0,"",MAX((AC5017:AE5017&lt;&gt;"")*(COLUMN(AC5017:AE5017)-(COLUMN(AC5017)-2))))-1),"")</f>
        <v/>
      </c>
      <c r="M5017" s="13"/>
      <c r="N5017" s="13"/>
      <c r="O5017" s="13"/>
      <c r="P5017" s="26"/>
      <c r="Q5017" s="20"/>
      <c r="R5017" s="13"/>
      <c r="S5017" s="25"/>
      <c r="T5017" s="13"/>
      <c r="U5017" s="13"/>
      <c r="V5017" s="13"/>
      <c r="W5017" s="13"/>
      <c r="X5017" s="21"/>
      <c r="Y5017" s="22"/>
      <c r="Z5017" s="23"/>
      <c r="AA5017" s="23"/>
      <c r="AB5017" s="15"/>
      <c r="AC5017" s="14"/>
      <c r="AD5017" s="18"/>
      <c r="AE5017" s="18"/>
    </row>
    <row r="5018" customFormat="false" ht="15" hidden="false" customHeight="true" outlineLevel="0" collapsed="false">
      <c r="A5018" s="12"/>
      <c r="B5018" s="13"/>
      <c r="C5018" s="14"/>
      <c r="D5018" s="13"/>
      <c r="E5018" s="15"/>
      <c r="F5018" s="15"/>
      <c r="G5018" s="15"/>
      <c r="H5018" s="13"/>
      <c r="I5018" s="13"/>
      <c r="J5018" s="16"/>
      <c r="K5018" s="16"/>
      <c r="L5018" s="17" t="str">
        <f aca="false" t="array" ref="L5018:L5018">IFERROR(INDEX(AC5018:AE5018,IF(COUNTA(AC5018:AE5018)=0,"",MAX((AC5018:AE5018&lt;&gt;"")*(COLUMN(AC5018:AE5018)-(COLUMN(AC5018)-2))))-1),"")</f>
        <v/>
      </c>
      <c r="M5018" s="13"/>
      <c r="N5018" s="13"/>
      <c r="O5018" s="13"/>
      <c r="P5018" s="26"/>
      <c r="Q5018" s="20"/>
      <c r="R5018" s="13"/>
      <c r="S5018" s="25"/>
      <c r="T5018" s="13"/>
      <c r="U5018" s="13"/>
      <c r="V5018" s="13"/>
      <c r="W5018" s="13"/>
      <c r="X5018" s="21"/>
      <c r="Y5018" s="22"/>
      <c r="Z5018" s="23"/>
      <c r="AA5018" s="23"/>
      <c r="AB5018" s="15"/>
      <c r="AC5018" s="14"/>
      <c r="AD5018" s="18"/>
      <c r="AE5018" s="18"/>
    </row>
    <row r="5019" customFormat="false" ht="15" hidden="false" customHeight="true" outlineLevel="0" collapsed="false">
      <c r="A5019" s="12"/>
      <c r="B5019" s="13"/>
      <c r="C5019" s="14"/>
      <c r="D5019" s="13"/>
      <c r="E5019" s="15"/>
      <c r="F5019" s="15"/>
      <c r="G5019" s="15"/>
      <c r="H5019" s="13"/>
      <c r="I5019" s="13"/>
      <c r="J5019" s="16"/>
      <c r="K5019" s="16"/>
      <c r="L5019" s="17" t="str">
        <f aca="false" t="array" ref="L5019:L5019">IFERROR(INDEX(AC5019:AE5019,IF(COUNTA(AC5019:AE5019)=0,"",MAX((AC5019:AE5019&lt;&gt;"")*(COLUMN(AC5019:AE5019)-(COLUMN(AC5019)-2))))-1),"")</f>
        <v/>
      </c>
      <c r="M5019" s="13"/>
      <c r="N5019" s="13"/>
      <c r="O5019" s="13"/>
      <c r="P5019" s="26"/>
      <c r="Q5019" s="20"/>
      <c r="R5019" s="13"/>
      <c r="S5019" s="25"/>
      <c r="T5019" s="13"/>
      <c r="U5019" s="13"/>
      <c r="V5019" s="13"/>
      <c r="W5019" s="13"/>
      <c r="X5019" s="21"/>
      <c r="Y5019" s="22"/>
      <c r="Z5019" s="23"/>
      <c r="AA5019" s="23"/>
      <c r="AB5019" s="15"/>
      <c r="AC5019" s="14"/>
      <c r="AD5019" s="18"/>
      <c r="AE5019" s="18"/>
    </row>
    <row r="5020" customFormat="false" ht="15" hidden="false" customHeight="true" outlineLevel="0" collapsed="false">
      <c r="A5020" s="12"/>
      <c r="B5020" s="13"/>
      <c r="C5020" s="14"/>
      <c r="D5020" s="13"/>
      <c r="E5020" s="15"/>
      <c r="F5020" s="15"/>
      <c r="G5020" s="15"/>
      <c r="H5020" s="13"/>
      <c r="I5020" s="13"/>
      <c r="J5020" s="16"/>
      <c r="K5020" s="16"/>
      <c r="L5020" s="17" t="str">
        <f aca="false" t="array" ref="L5020:L5020">IFERROR(INDEX(AC5020:AE5020,IF(COUNTA(AC5020:AE5020)=0,"",MAX((AC5020:AE5020&lt;&gt;"")*(COLUMN(AC5020:AE5020)-(COLUMN(AC5020)-2))))-1),"")</f>
        <v/>
      </c>
      <c r="M5020" s="13"/>
      <c r="N5020" s="13"/>
      <c r="O5020" s="13"/>
      <c r="P5020" s="26"/>
      <c r="Q5020" s="20"/>
      <c r="R5020" s="13"/>
      <c r="S5020" s="25"/>
      <c r="T5020" s="13"/>
      <c r="U5020" s="13"/>
      <c r="V5020" s="13"/>
      <c r="W5020" s="13"/>
      <c r="X5020" s="21"/>
      <c r="Y5020" s="22"/>
      <c r="Z5020" s="23"/>
      <c r="AA5020" s="23"/>
      <c r="AB5020" s="15"/>
      <c r="AC5020" s="14"/>
      <c r="AD5020" s="18"/>
      <c r="AE5020" s="18"/>
    </row>
    <row r="5021" customFormat="false" ht="15" hidden="false" customHeight="true" outlineLevel="0" collapsed="false">
      <c r="A5021" s="12"/>
      <c r="B5021" s="13"/>
      <c r="C5021" s="14"/>
      <c r="D5021" s="13"/>
      <c r="E5021" s="15"/>
      <c r="F5021" s="15"/>
      <c r="G5021" s="15"/>
      <c r="H5021" s="13"/>
      <c r="I5021" s="13"/>
      <c r="J5021" s="16"/>
      <c r="K5021" s="16"/>
      <c r="L5021" s="17" t="str">
        <f aca="false" t="array" ref="L5021:L5021">IFERROR(INDEX(AC5021:AE5021,IF(COUNTA(AC5021:AE5021)=0,"",MAX((AC5021:AE5021&lt;&gt;"")*(COLUMN(AC5021:AE5021)-(COLUMN(AC5021)-2))))-1),"")</f>
        <v/>
      </c>
      <c r="M5021" s="13"/>
      <c r="N5021" s="13"/>
      <c r="O5021" s="13"/>
      <c r="P5021" s="26"/>
      <c r="Q5021" s="20"/>
      <c r="R5021" s="13"/>
      <c r="S5021" s="25"/>
      <c r="T5021" s="13"/>
      <c r="U5021" s="13"/>
      <c r="V5021" s="13"/>
      <c r="W5021" s="13"/>
      <c r="X5021" s="21"/>
      <c r="Y5021" s="22"/>
      <c r="Z5021" s="23"/>
      <c r="AA5021" s="23"/>
      <c r="AB5021" s="15"/>
      <c r="AC5021" s="14"/>
      <c r="AD5021" s="18"/>
      <c r="AE5021" s="18"/>
    </row>
    <row r="5022" customFormat="false" ht="15" hidden="false" customHeight="true" outlineLevel="0" collapsed="false">
      <c r="A5022" s="12"/>
      <c r="B5022" s="13"/>
      <c r="C5022" s="14"/>
      <c r="D5022" s="13"/>
      <c r="E5022" s="15"/>
      <c r="F5022" s="15"/>
      <c r="G5022" s="15"/>
      <c r="H5022" s="13"/>
      <c r="I5022" s="13"/>
      <c r="J5022" s="16"/>
      <c r="K5022" s="16"/>
      <c r="L5022" s="17" t="str">
        <f aca="false" t="array" ref="L5022:L5022">IFERROR(INDEX(AC5022:AE5022,IF(COUNTA(AC5022:AE5022)=0,"",MAX((AC5022:AE5022&lt;&gt;"")*(COLUMN(AC5022:AE5022)-(COLUMN(AC5022)-2))))-1),"")</f>
        <v/>
      </c>
      <c r="M5022" s="13"/>
      <c r="N5022" s="13"/>
      <c r="O5022" s="13"/>
      <c r="P5022" s="26"/>
      <c r="Q5022" s="20"/>
      <c r="R5022" s="13"/>
      <c r="S5022" s="25"/>
      <c r="T5022" s="13"/>
      <c r="U5022" s="13"/>
      <c r="V5022" s="13"/>
      <c r="W5022" s="13"/>
      <c r="X5022" s="21"/>
      <c r="Y5022" s="22"/>
      <c r="Z5022" s="23"/>
      <c r="AA5022" s="23"/>
      <c r="AB5022" s="15"/>
      <c r="AC5022" s="14"/>
      <c r="AD5022" s="18"/>
      <c r="AE5022" s="18"/>
    </row>
    <row r="5023" customFormat="false" ht="15" hidden="false" customHeight="true" outlineLevel="0" collapsed="false">
      <c r="A5023" s="12"/>
      <c r="B5023" s="13"/>
      <c r="C5023" s="14"/>
      <c r="D5023" s="13"/>
      <c r="E5023" s="15"/>
      <c r="F5023" s="15"/>
      <c r="G5023" s="15"/>
      <c r="H5023" s="13"/>
      <c r="I5023" s="13"/>
      <c r="J5023" s="16"/>
      <c r="K5023" s="16"/>
      <c r="L5023" s="17" t="str">
        <f aca="false" t="array" ref="L5023:L5023">IFERROR(INDEX(AC5023:AE5023,IF(COUNTA(AC5023:AE5023)=0,"",MAX((AC5023:AE5023&lt;&gt;"")*(COLUMN(AC5023:AE5023)-(COLUMN(AC5023)-2))))-1),"")</f>
        <v/>
      </c>
      <c r="M5023" s="13"/>
      <c r="N5023" s="13"/>
      <c r="O5023" s="13"/>
      <c r="P5023" s="26"/>
      <c r="Q5023" s="20"/>
      <c r="R5023" s="13"/>
      <c r="S5023" s="25"/>
      <c r="T5023" s="13"/>
      <c r="U5023" s="13"/>
      <c r="V5023" s="13"/>
      <c r="W5023" s="13"/>
      <c r="X5023" s="21"/>
      <c r="Y5023" s="22"/>
      <c r="Z5023" s="23"/>
      <c r="AA5023" s="23"/>
      <c r="AB5023" s="15"/>
      <c r="AC5023" s="14"/>
      <c r="AD5023" s="18"/>
      <c r="AE5023" s="18"/>
    </row>
    <row r="5024" customFormat="false" ht="15" hidden="false" customHeight="true" outlineLevel="0" collapsed="false">
      <c r="A5024" s="12"/>
      <c r="B5024" s="13"/>
      <c r="C5024" s="14"/>
      <c r="D5024" s="13"/>
      <c r="E5024" s="15"/>
      <c r="F5024" s="15"/>
      <c r="G5024" s="15"/>
      <c r="H5024" s="13"/>
      <c r="I5024" s="13"/>
      <c r="J5024" s="16"/>
      <c r="K5024" s="16"/>
      <c r="L5024" s="17" t="str">
        <f aca="false" t="array" ref="L5024:L5024">IFERROR(INDEX(AC5024:AE5024,IF(COUNTA(AC5024:AE5024)=0,"",MAX((AC5024:AE5024&lt;&gt;"")*(COLUMN(AC5024:AE5024)-(COLUMN(AC5024)-2))))-1),"")</f>
        <v/>
      </c>
      <c r="M5024" s="13"/>
      <c r="N5024" s="13"/>
      <c r="O5024" s="13"/>
      <c r="P5024" s="26"/>
      <c r="Q5024" s="20"/>
      <c r="R5024" s="13"/>
      <c r="S5024" s="25"/>
      <c r="T5024" s="13"/>
      <c r="U5024" s="13"/>
      <c r="V5024" s="13"/>
      <c r="W5024" s="13"/>
      <c r="X5024" s="21"/>
      <c r="Y5024" s="22"/>
      <c r="Z5024" s="23"/>
      <c r="AA5024" s="23"/>
      <c r="AB5024" s="15"/>
      <c r="AC5024" s="14"/>
      <c r="AD5024" s="18"/>
      <c r="AE5024" s="18"/>
    </row>
    <row r="5025" customFormat="false" ht="15" hidden="false" customHeight="true" outlineLevel="0" collapsed="false">
      <c r="A5025" s="12"/>
      <c r="B5025" s="13"/>
      <c r="C5025" s="14"/>
      <c r="D5025" s="13"/>
      <c r="E5025" s="15"/>
      <c r="F5025" s="15"/>
      <c r="G5025" s="15"/>
      <c r="H5025" s="13"/>
      <c r="I5025" s="13"/>
      <c r="J5025" s="16"/>
      <c r="K5025" s="16"/>
      <c r="L5025" s="17" t="str">
        <f aca="false" t="array" ref="L5025:L5025">IFERROR(INDEX(AC5025:AE5025,IF(COUNTA(AC5025:AE5025)=0,"",MAX((AC5025:AE5025&lt;&gt;"")*(COLUMN(AC5025:AE5025)-(COLUMN(AC5025)-2))))-1),"")</f>
        <v/>
      </c>
      <c r="M5025" s="13"/>
      <c r="N5025" s="13"/>
      <c r="O5025" s="13"/>
      <c r="P5025" s="26"/>
      <c r="Q5025" s="20"/>
      <c r="R5025" s="13"/>
      <c r="S5025" s="25"/>
      <c r="T5025" s="13"/>
      <c r="U5025" s="13"/>
      <c r="V5025" s="13"/>
      <c r="W5025" s="13"/>
      <c r="X5025" s="21"/>
      <c r="Y5025" s="22"/>
      <c r="Z5025" s="23"/>
      <c r="AA5025" s="23"/>
      <c r="AB5025" s="15"/>
      <c r="AC5025" s="14"/>
      <c r="AD5025" s="18"/>
      <c r="AE5025" s="18"/>
    </row>
    <row r="5026" customFormat="false" ht="15" hidden="false" customHeight="true" outlineLevel="0" collapsed="false">
      <c r="A5026" s="12"/>
      <c r="B5026" s="13"/>
      <c r="C5026" s="14"/>
      <c r="D5026" s="13"/>
      <c r="E5026" s="15"/>
      <c r="F5026" s="15"/>
      <c r="G5026" s="15"/>
      <c r="H5026" s="13"/>
      <c r="I5026" s="13"/>
      <c r="J5026" s="16"/>
      <c r="K5026" s="16"/>
      <c r="L5026" s="17" t="str">
        <f aca="false" t="array" ref="L5026:L5026">IFERROR(INDEX(AC5026:AE5026,IF(COUNTA(AC5026:AE5026)=0,"",MAX((AC5026:AE5026&lt;&gt;"")*(COLUMN(AC5026:AE5026)-(COLUMN(AC5026)-2))))-1),"")</f>
        <v/>
      </c>
      <c r="M5026" s="13"/>
      <c r="N5026" s="13"/>
      <c r="O5026" s="13"/>
      <c r="P5026" s="26"/>
      <c r="Q5026" s="20"/>
      <c r="R5026" s="13"/>
      <c r="S5026" s="25"/>
      <c r="T5026" s="13"/>
      <c r="U5026" s="13"/>
      <c r="V5026" s="13"/>
      <c r="W5026" s="13"/>
      <c r="X5026" s="21"/>
      <c r="Y5026" s="22"/>
      <c r="Z5026" s="23"/>
      <c r="AA5026" s="23"/>
      <c r="AB5026" s="15"/>
      <c r="AC5026" s="14"/>
      <c r="AD5026" s="18"/>
      <c r="AE5026" s="18"/>
    </row>
    <row r="5027" customFormat="false" ht="15" hidden="false" customHeight="true" outlineLevel="0" collapsed="false">
      <c r="A5027" s="12"/>
      <c r="B5027" s="13"/>
      <c r="C5027" s="14"/>
      <c r="D5027" s="13"/>
      <c r="E5027" s="15"/>
      <c r="F5027" s="15"/>
      <c r="G5027" s="15"/>
      <c r="H5027" s="13"/>
      <c r="I5027" s="13"/>
      <c r="J5027" s="16"/>
      <c r="K5027" s="16"/>
      <c r="L5027" s="17" t="str">
        <f aca="false" t="array" ref="L5027:L5027">IFERROR(INDEX(AC5027:AE5027,IF(COUNTA(AC5027:AE5027)=0,"",MAX((AC5027:AE5027&lt;&gt;"")*(COLUMN(AC5027:AE5027)-(COLUMN(AC5027)-2))))-1),"")</f>
        <v/>
      </c>
      <c r="M5027" s="13"/>
      <c r="N5027" s="13"/>
      <c r="O5027" s="13"/>
      <c r="P5027" s="26"/>
      <c r="Q5027" s="20"/>
      <c r="R5027" s="13"/>
      <c r="S5027" s="25"/>
      <c r="T5027" s="13"/>
      <c r="U5027" s="13"/>
      <c r="V5027" s="13"/>
      <c r="W5027" s="13"/>
      <c r="X5027" s="21"/>
      <c r="Y5027" s="22"/>
      <c r="Z5027" s="23"/>
      <c r="AA5027" s="23"/>
      <c r="AB5027" s="15"/>
      <c r="AC5027" s="14"/>
      <c r="AD5027" s="18"/>
      <c r="AE5027" s="18"/>
    </row>
    <row r="5028" customFormat="false" ht="15" hidden="false" customHeight="true" outlineLevel="0" collapsed="false">
      <c r="A5028" s="12"/>
      <c r="B5028" s="13"/>
      <c r="C5028" s="14"/>
      <c r="D5028" s="13"/>
      <c r="E5028" s="15"/>
      <c r="F5028" s="15"/>
      <c r="G5028" s="15"/>
      <c r="H5028" s="13"/>
      <c r="I5028" s="13"/>
      <c r="J5028" s="16"/>
      <c r="K5028" s="16"/>
      <c r="L5028" s="17" t="str">
        <f aca="false" t="array" ref="L5028:L5028">IFERROR(INDEX(AC5028:AE5028,IF(COUNTA(AC5028:AE5028)=0,"",MAX((AC5028:AE5028&lt;&gt;"")*(COLUMN(AC5028:AE5028)-(COLUMN(AC5028)-2))))-1),"")</f>
        <v/>
      </c>
      <c r="M5028" s="13"/>
      <c r="N5028" s="13"/>
      <c r="O5028" s="13"/>
      <c r="P5028" s="26"/>
      <c r="Q5028" s="20"/>
      <c r="R5028" s="13"/>
      <c r="S5028" s="25"/>
      <c r="T5028" s="13"/>
      <c r="U5028" s="13"/>
      <c r="V5028" s="13"/>
      <c r="W5028" s="13"/>
      <c r="X5028" s="21"/>
      <c r="Y5028" s="22"/>
      <c r="Z5028" s="23"/>
      <c r="AA5028" s="23"/>
      <c r="AB5028" s="15"/>
      <c r="AC5028" s="14"/>
      <c r="AD5028" s="18"/>
      <c r="AE5028" s="18"/>
    </row>
    <row r="5029" customFormat="false" ht="15" hidden="false" customHeight="true" outlineLevel="0" collapsed="false">
      <c r="A5029" s="12"/>
      <c r="B5029" s="13"/>
      <c r="C5029" s="14"/>
      <c r="D5029" s="13"/>
      <c r="E5029" s="15"/>
      <c r="F5029" s="15"/>
      <c r="G5029" s="15"/>
      <c r="H5029" s="13"/>
      <c r="I5029" s="13"/>
      <c r="J5029" s="16"/>
      <c r="K5029" s="16"/>
      <c r="L5029" s="17" t="str">
        <f aca="false" t="array" ref="L5029:L5029">IFERROR(INDEX(AC5029:AE5029,IF(COUNTA(AC5029:AE5029)=0,"",MAX((AC5029:AE5029&lt;&gt;"")*(COLUMN(AC5029:AE5029)-(COLUMN(AC5029)-2))))-1),"")</f>
        <v/>
      </c>
      <c r="M5029" s="13"/>
      <c r="N5029" s="13"/>
      <c r="O5029" s="13"/>
      <c r="P5029" s="26"/>
      <c r="Q5029" s="20"/>
      <c r="R5029" s="13"/>
      <c r="S5029" s="25"/>
      <c r="T5029" s="13"/>
      <c r="U5029" s="13"/>
      <c r="V5029" s="13"/>
      <c r="W5029" s="13"/>
      <c r="X5029" s="21"/>
      <c r="Y5029" s="22"/>
      <c r="Z5029" s="23"/>
      <c r="AA5029" s="23"/>
      <c r="AB5029" s="15"/>
      <c r="AC5029" s="14"/>
      <c r="AD5029" s="18"/>
      <c r="AE5029" s="18"/>
    </row>
    <row r="5030" customFormat="false" ht="15" hidden="false" customHeight="true" outlineLevel="0" collapsed="false">
      <c r="A5030" s="12"/>
      <c r="B5030" s="13"/>
      <c r="C5030" s="14"/>
      <c r="D5030" s="13"/>
      <c r="E5030" s="15"/>
      <c r="F5030" s="15"/>
      <c r="G5030" s="15"/>
      <c r="H5030" s="13"/>
      <c r="I5030" s="13"/>
      <c r="J5030" s="16"/>
      <c r="K5030" s="16"/>
      <c r="L5030" s="17" t="str">
        <f aca="false" t="array" ref="L5030:L5030">IFERROR(INDEX(AC5030:AE5030,IF(COUNTA(AC5030:AE5030)=0,"",MAX((AC5030:AE5030&lt;&gt;"")*(COLUMN(AC5030:AE5030)-(COLUMN(AC5030)-2))))-1),"")</f>
        <v/>
      </c>
      <c r="M5030" s="13"/>
      <c r="N5030" s="13"/>
      <c r="O5030" s="13"/>
      <c r="P5030" s="26"/>
      <c r="Q5030" s="20"/>
      <c r="R5030" s="13"/>
      <c r="S5030" s="25"/>
      <c r="T5030" s="13"/>
      <c r="U5030" s="13"/>
      <c r="V5030" s="13"/>
      <c r="W5030" s="13"/>
      <c r="X5030" s="21"/>
      <c r="Y5030" s="22"/>
      <c r="Z5030" s="23"/>
      <c r="AA5030" s="23"/>
      <c r="AB5030" s="15"/>
      <c r="AC5030" s="14"/>
      <c r="AD5030" s="18"/>
      <c r="AE5030" s="18"/>
    </row>
    <row r="5031" customFormat="false" ht="15" hidden="false" customHeight="true" outlineLevel="0" collapsed="false">
      <c r="A5031" s="12"/>
      <c r="B5031" s="13"/>
      <c r="C5031" s="14"/>
      <c r="D5031" s="13"/>
      <c r="E5031" s="15"/>
      <c r="F5031" s="15"/>
      <c r="G5031" s="15"/>
      <c r="H5031" s="13"/>
      <c r="I5031" s="13"/>
      <c r="J5031" s="16"/>
      <c r="K5031" s="16"/>
      <c r="L5031" s="17" t="str">
        <f aca="false" t="array" ref="L5031:L5031">IFERROR(INDEX(AC5031:AE5031,IF(COUNTA(AC5031:AE5031)=0,"",MAX((AC5031:AE5031&lt;&gt;"")*(COLUMN(AC5031:AE5031)-(COLUMN(AC5031)-2))))-1),"")</f>
        <v/>
      </c>
      <c r="M5031" s="13"/>
      <c r="N5031" s="13"/>
      <c r="O5031" s="13"/>
      <c r="P5031" s="26"/>
      <c r="Q5031" s="20"/>
      <c r="R5031" s="13"/>
      <c r="S5031" s="25"/>
      <c r="T5031" s="13"/>
      <c r="U5031" s="13"/>
      <c r="V5031" s="13"/>
      <c r="W5031" s="13"/>
      <c r="X5031" s="21"/>
      <c r="Y5031" s="22"/>
      <c r="Z5031" s="23"/>
      <c r="AA5031" s="23"/>
      <c r="AB5031" s="15"/>
      <c r="AC5031" s="14"/>
      <c r="AD5031" s="18"/>
      <c r="AE5031" s="18"/>
    </row>
    <row r="5032" customFormat="false" ht="15" hidden="false" customHeight="true" outlineLevel="0" collapsed="false">
      <c r="A5032" s="12"/>
      <c r="B5032" s="13"/>
      <c r="C5032" s="14"/>
      <c r="D5032" s="13"/>
      <c r="E5032" s="15"/>
      <c r="F5032" s="15"/>
      <c r="G5032" s="15"/>
      <c r="H5032" s="13"/>
      <c r="I5032" s="13"/>
      <c r="J5032" s="16"/>
      <c r="K5032" s="16"/>
      <c r="L5032" s="17" t="str">
        <f aca="false" t="array" ref="L5032:L5032">IFERROR(INDEX(AC5032:AE5032,IF(COUNTA(AC5032:AE5032)=0,"",MAX((AC5032:AE5032&lt;&gt;"")*(COLUMN(AC5032:AE5032)-(COLUMN(AC5032)-2))))-1),"")</f>
        <v/>
      </c>
      <c r="M5032" s="13"/>
      <c r="N5032" s="13"/>
      <c r="O5032" s="13"/>
      <c r="P5032" s="26"/>
      <c r="Q5032" s="20"/>
      <c r="R5032" s="13"/>
      <c r="S5032" s="25"/>
      <c r="T5032" s="13"/>
      <c r="U5032" s="13"/>
      <c r="V5032" s="13"/>
      <c r="W5032" s="13"/>
      <c r="X5032" s="21"/>
      <c r="Y5032" s="22"/>
      <c r="Z5032" s="23"/>
      <c r="AA5032" s="23"/>
      <c r="AB5032" s="15"/>
      <c r="AC5032" s="14"/>
      <c r="AD5032" s="18"/>
      <c r="AE5032" s="18"/>
    </row>
    <row r="5033" customFormat="false" ht="15" hidden="false" customHeight="true" outlineLevel="0" collapsed="false">
      <c r="A5033" s="12"/>
      <c r="B5033" s="13"/>
      <c r="C5033" s="14"/>
      <c r="D5033" s="13"/>
      <c r="E5033" s="15"/>
      <c r="F5033" s="15"/>
      <c r="G5033" s="15"/>
      <c r="H5033" s="13"/>
      <c r="I5033" s="13"/>
      <c r="J5033" s="16"/>
      <c r="K5033" s="16"/>
      <c r="L5033" s="17" t="str">
        <f aca="false" t="array" ref="L5033:L5033">IFERROR(INDEX(AC5033:AE5033,IF(COUNTA(AC5033:AE5033)=0,"",MAX((AC5033:AE5033&lt;&gt;"")*(COLUMN(AC5033:AE5033)-(COLUMN(AC5033)-2))))-1),"")</f>
        <v/>
      </c>
      <c r="M5033" s="13"/>
      <c r="N5033" s="13"/>
      <c r="O5033" s="13"/>
      <c r="P5033" s="26"/>
      <c r="Q5033" s="20"/>
      <c r="R5033" s="13"/>
      <c r="S5033" s="25"/>
      <c r="T5033" s="13"/>
      <c r="U5033" s="13"/>
      <c r="V5033" s="13"/>
      <c r="W5033" s="13"/>
      <c r="X5033" s="21"/>
      <c r="Y5033" s="22"/>
      <c r="Z5033" s="23"/>
      <c r="AA5033" s="23"/>
      <c r="AB5033" s="15"/>
      <c r="AC5033" s="14"/>
      <c r="AD5033" s="18"/>
      <c r="AE5033" s="18"/>
    </row>
    <row r="5034" customFormat="false" ht="15" hidden="false" customHeight="true" outlineLevel="0" collapsed="false">
      <c r="A5034" s="12"/>
      <c r="B5034" s="13"/>
      <c r="C5034" s="14"/>
      <c r="D5034" s="13"/>
      <c r="E5034" s="15"/>
      <c r="F5034" s="15"/>
      <c r="G5034" s="15"/>
      <c r="H5034" s="13"/>
      <c r="I5034" s="13"/>
      <c r="J5034" s="16"/>
      <c r="K5034" s="16"/>
      <c r="L5034" s="17" t="str">
        <f aca="false" t="array" ref="L5034:L5034">IFERROR(INDEX(AC5034:AE5034,IF(COUNTA(AC5034:AE5034)=0,"",MAX((AC5034:AE5034&lt;&gt;"")*(COLUMN(AC5034:AE5034)-(COLUMN(AC5034)-2))))-1),"")</f>
        <v/>
      </c>
      <c r="M5034" s="13"/>
      <c r="N5034" s="13"/>
      <c r="O5034" s="13"/>
      <c r="P5034" s="26"/>
      <c r="Q5034" s="20"/>
      <c r="R5034" s="13"/>
      <c r="S5034" s="25"/>
      <c r="T5034" s="13"/>
      <c r="U5034" s="13"/>
      <c r="V5034" s="13"/>
      <c r="W5034" s="13"/>
      <c r="X5034" s="21"/>
      <c r="Y5034" s="22"/>
      <c r="Z5034" s="23"/>
      <c r="AA5034" s="23"/>
      <c r="AB5034" s="15"/>
      <c r="AC5034" s="14"/>
      <c r="AD5034" s="18"/>
      <c r="AE5034" s="18"/>
    </row>
    <row r="5035" customFormat="false" ht="15" hidden="false" customHeight="true" outlineLevel="0" collapsed="false">
      <c r="A5035" s="12"/>
      <c r="B5035" s="13"/>
      <c r="C5035" s="14"/>
      <c r="D5035" s="13"/>
      <c r="E5035" s="15"/>
      <c r="F5035" s="15"/>
      <c r="G5035" s="15"/>
      <c r="H5035" s="13"/>
      <c r="I5035" s="13"/>
      <c r="J5035" s="16"/>
      <c r="K5035" s="16"/>
      <c r="L5035" s="17" t="str">
        <f aca="false" t="array" ref="L5035:L5035">IFERROR(INDEX(AC5035:AE5035,IF(COUNTA(AC5035:AE5035)=0,"",MAX((AC5035:AE5035&lt;&gt;"")*(COLUMN(AC5035:AE5035)-(COLUMN(AC5035)-2))))-1),"")</f>
        <v/>
      </c>
      <c r="M5035" s="13"/>
      <c r="N5035" s="13"/>
      <c r="O5035" s="13"/>
      <c r="P5035" s="26"/>
      <c r="Q5035" s="20"/>
      <c r="R5035" s="13"/>
      <c r="S5035" s="25"/>
      <c r="T5035" s="13"/>
      <c r="U5035" s="13"/>
      <c r="V5035" s="13"/>
      <c r="W5035" s="13"/>
      <c r="X5035" s="21"/>
      <c r="Y5035" s="22"/>
      <c r="Z5035" s="23"/>
      <c r="AA5035" s="23"/>
      <c r="AB5035" s="15"/>
      <c r="AC5035" s="14"/>
      <c r="AD5035" s="18"/>
      <c r="AE5035" s="18"/>
    </row>
    <row r="5036" customFormat="false" ht="15" hidden="false" customHeight="true" outlineLevel="0" collapsed="false">
      <c r="A5036" s="12"/>
      <c r="B5036" s="13"/>
      <c r="C5036" s="14"/>
      <c r="D5036" s="13"/>
      <c r="E5036" s="15"/>
      <c r="F5036" s="15"/>
      <c r="G5036" s="15"/>
      <c r="H5036" s="13"/>
      <c r="I5036" s="13"/>
      <c r="J5036" s="16"/>
      <c r="K5036" s="16"/>
      <c r="L5036" s="17" t="str">
        <f aca="false" t="array" ref="L5036:L5036">IFERROR(INDEX(AC5036:AE5036,IF(COUNTA(AC5036:AE5036)=0,"",MAX((AC5036:AE5036&lt;&gt;"")*(COLUMN(AC5036:AE5036)-(COLUMN(AC5036)-2))))-1),"")</f>
        <v/>
      </c>
      <c r="M5036" s="13"/>
      <c r="N5036" s="13"/>
      <c r="O5036" s="13"/>
      <c r="P5036" s="26"/>
      <c r="Q5036" s="20"/>
      <c r="R5036" s="13"/>
      <c r="S5036" s="25"/>
      <c r="T5036" s="13"/>
      <c r="U5036" s="13"/>
      <c r="V5036" s="13"/>
      <c r="W5036" s="13"/>
      <c r="X5036" s="21"/>
      <c r="Y5036" s="22"/>
      <c r="Z5036" s="23"/>
      <c r="AA5036" s="23"/>
      <c r="AB5036" s="15"/>
      <c r="AC5036" s="14"/>
      <c r="AD5036" s="18"/>
      <c r="AE5036" s="18"/>
    </row>
    <row r="5037" customFormat="false" ht="15" hidden="false" customHeight="true" outlineLevel="0" collapsed="false">
      <c r="A5037" s="12"/>
      <c r="B5037" s="13"/>
      <c r="C5037" s="14"/>
      <c r="D5037" s="13"/>
      <c r="E5037" s="15"/>
      <c r="F5037" s="15"/>
      <c r="G5037" s="15"/>
      <c r="H5037" s="13"/>
      <c r="I5037" s="13"/>
      <c r="J5037" s="16"/>
      <c r="K5037" s="16"/>
      <c r="L5037" s="17" t="str">
        <f aca="false" t="array" ref="L5037:L5037">IFERROR(INDEX(AC5037:AE5037,IF(COUNTA(AC5037:AE5037)=0,"",MAX((AC5037:AE5037&lt;&gt;"")*(COLUMN(AC5037:AE5037)-(COLUMN(AC5037)-2))))-1),"")</f>
        <v/>
      </c>
      <c r="M5037" s="13"/>
      <c r="N5037" s="13"/>
      <c r="O5037" s="13"/>
      <c r="P5037" s="26"/>
      <c r="Q5037" s="20"/>
      <c r="R5037" s="13"/>
      <c r="S5037" s="25"/>
      <c r="T5037" s="13"/>
      <c r="U5037" s="13"/>
      <c r="V5037" s="13"/>
      <c r="W5037" s="13"/>
      <c r="X5037" s="21"/>
      <c r="Y5037" s="22"/>
      <c r="Z5037" s="23"/>
      <c r="AA5037" s="23"/>
      <c r="AB5037" s="15"/>
      <c r="AC5037" s="14"/>
      <c r="AD5037" s="18"/>
      <c r="AE5037" s="18"/>
    </row>
    <row r="5038" customFormat="false" ht="15" hidden="false" customHeight="true" outlineLevel="0" collapsed="false">
      <c r="A5038" s="12"/>
      <c r="B5038" s="13"/>
      <c r="C5038" s="14"/>
      <c r="D5038" s="13"/>
      <c r="E5038" s="15"/>
      <c r="F5038" s="15"/>
      <c r="G5038" s="15"/>
      <c r="H5038" s="13"/>
      <c r="I5038" s="13"/>
      <c r="J5038" s="16"/>
      <c r="K5038" s="16"/>
      <c r="L5038" s="17" t="str">
        <f aca="false" t="array" ref="L5038:L5038">IFERROR(INDEX(AC5038:AE5038,IF(COUNTA(AC5038:AE5038)=0,"",MAX((AC5038:AE5038&lt;&gt;"")*(COLUMN(AC5038:AE5038)-(COLUMN(AC5038)-2))))-1),"")</f>
        <v/>
      </c>
      <c r="M5038" s="13"/>
      <c r="N5038" s="13"/>
      <c r="O5038" s="13"/>
      <c r="P5038" s="26"/>
      <c r="Q5038" s="20"/>
      <c r="R5038" s="13"/>
      <c r="S5038" s="25"/>
      <c r="T5038" s="13"/>
      <c r="U5038" s="13"/>
      <c r="V5038" s="13"/>
      <c r="W5038" s="13"/>
      <c r="X5038" s="21"/>
      <c r="Y5038" s="22"/>
      <c r="Z5038" s="23"/>
      <c r="AA5038" s="23"/>
      <c r="AB5038" s="15"/>
      <c r="AC5038" s="14"/>
      <c r="AD5038" s="18"/>
      <c r="AE5038" s="18"/>
    </row>
    <row r="5039" customFormat="false" ht="15" hidden="false" customHeight="true" outlineLevel="0" collapsed="false">
      <c r="A5039" s="12"/>
      <c r="B5039" s="13"/>
      <c r="C5039" s="14"/>
      <c r="D5039" s="13"/>
      <c r="E5039" s="15"/>
      <c r="F5039" s="15"/>
      <c r="G5039" s="15"/>
      <c r="H5039" s="13"/>
      <c r="I5039" s="13"/>
      <c r="J5039" s="16"/>
      <c r="K5039" s="16"/>
      <c r="L5039" s="17" t="str">
        <f aca="false" t="array" ref="L5039:L5039">IFERROR(INDEX(AC5039:AE5039,IF(COUNTA(AC5039:AE5039)=0,"",MAX((AC5039:AE5039&lt;&gt;"")*(COLUMN(AC5039:AE5039)-(COLUMN(AC5039)-2))))-1),"")</f>
        <v/>
      </c>
      <c r="M5039" s="13"/>
      <c r="N5039" s="13"/>
      <c r="O5039" s="13"/>
      <c r="P5039" s="26"/>
      <c r="Q5039" s="20"/>
      <c r="R5039" s="13"/>
      <c r="S5039" s="25"/>
      <c r="T5039" s="13"/>
      <c r="U5039" s="13"/>
      <c r="V5039" s="13"/>
      <c r="W5039" s="13"/>
      <c r="X5039" s="21"/>
      <c r="Y5039" s="22"/>
      <c r="Z5039" s="23"/>
      <c r="AA5039" s="23"/>
      <c r="AB5039" s="15"/>
      <c r="AC5039" s="14"/>
      <c r="AD5039" s="18"/>
      <c r="AE5039" s="18"/>
    </row>
    <row r="5040" customFormat="false" ht="15" hidden="false" customHeight="true" outlineLevel="0" collapsed="false">
      <c r="A5040" s="12"/>
      <c r="B5040" s="13"/>
      <c r="C5040" s="14"/>
      <c r="D5040" s="13"/>
      <c r="E5040" s="15"/>
      <c r="F5040" s="15"/>
      <c r="G5040" s="15"/>
      <c r="H5040" s="13"/>
      <c r="I5040" s="13"/>
      <c r="J5040" s="16"/>
      <c r="K5040" s="16"/>
      <c r="L5040" s="17" t="str">
        <f aca="false" t="array" ref="L5040:L5040">IFERROR(INDEX(AC5040:AE5040,IF(COUNTA(AC5040:AE5040)=0,"",MAX((AC5040:AE5040&lt;&gt;"")*(COLUMN(AC5040:AE5040)-(COLUMN(AC5040)-2))))-1),"")</f>
        <v/>
      </c>
      <c r="M5040" s="13"/>
      <c r="N5040" s="13"/>
      <c r="O5040" s="13"/>
      <c r="P5040" s="26"/>
      <c r="Q5040" s="20"/>
      <c r="R5040" s="13"/>
      <c r="S5040" s="25"/>
      <c r="T5040" s="13"/>
      <c r="U5040" s="13"/>
      <c r="V5040" s="13"/>
      <c r="W5040" s="13"/>
      <c r="X5040" s="21"/>
      <c r="Y5040" s="22"/>
      <c r="Z5040" s="23"/>
      <c r="AA5040" s="23"/>
      <c r="AB5040" s="15"/>
      <c r="AC5040" s="14"/>
      <c r="AD5040" s="18"/>
      <c r="AE5040" s="18"/>
    </row>
    <row r="5041" customFormat="false" ht="15" hidden="false" customHeight="true" outlineLevel="0" collapsed="false">
      <c r="A5041" s="12"/>
      <c r="B5041" s="13"/>
      <c r="C5041" s="14"/>
      <c r="D5041" s="13"/>
      <c r="E5041" s="15"/>
      <c r="F5041" s="15"/>
      <c r="G5041" s="15"/>
      <c r="H5041" s="13"/>
      <c r="I5041" s="13"/>
      <c r="J5041" s="16"/>
      <c r="K5041" s="16"/>
      <c r="L5041" s="17" t="str">
        <f aca="false" t="array" ref="L5041:L5041">IFERROR(INDEX(AC5041:AE5041,IF(COUNTA(AC5041:AE5041)=0,"",MAX((AC5041:AE5041&lt;&gt;"")*(COLUMN(AC5041:AE5041)-(COLUMN(AC5041)-2))))-1),"")</f>
        <v/>
      </c>
      <c r="M5041" s="13"/>
      <c r="N5041" s="13"/>
      <c r="O5041" s="13"/>
      <c r="P5041" s="26"/>
      <c r="Q5041" s="20"/>
      <c r="R5041" s="13"/>
      <c r="S5041" s="25"/>
      <c r="T5041" s="13"/>
      <c r="U5041" s="13"/>
      <c r="V5041" s="13"/>
      <c r="W5041" s="13"/>
      <c r="X5041" s="21"/>
      <c r="Y5041" s="22"/>
      <c r="Z5041" s="23"/>
      <c r="AA5041" s="23"/>
      <c r="AB5041" s="15"/>
      <c r="AC5041" s="14"/>
      <c r="AD5041" s="18"/>
      <c r="AE5041" s="18"/>
    </row>
    <row r="5042" customFormat="false" ht="15" hidden="false" customHeight="true" outlineLevel="0" collapsed="false">
      <c r="A5042" s="12"/>
      <c r="B5042" s="13"/>
      <c r="C5042" s="14"/>
      <c r="D5042" s="13"/>
      <c r="E5042" s="15"/>
      <c r="F5042" s="15"/>
      <c r="G5042" s="15"/>
      <c r="H5042" s="13"/>
      <c r="I5042" s="13"/>
      <c r="J5042" s="16"/>
      <c r="K5042" s="16"/>
      <c r="L5042" s="17" t="str">
        <f aca="false" t="array" ref="L5042:L5042">IFERROR(INDEX(AC5042:AE5042,IF(COUNTA(AC5042:AE5042)=0,"",MAX((AC5042:AE5042&lt;&gt;"")*(COLUMN(AC5042:AE5042)-(COLUMN(AC5042)-2))))-1),"")</f>
        <v/>
      </c>
      <c r="M5042" s="13"/>
      <c r="N5042" s="13"/>
      <c r="O5042" s="13"/>
      <c r="P5042" s="26"/>
      <c r="Q5042" s="20"/>
      <c r="R5042" s="13"/>
      <c r="S5042" s="25"/>
      <c r="T5042" s="13"/>
      <c r="U5042" s="13"/>
      <c r="V5042" s="13"/>
      <c r="W5042" s="13"/>
      <c r="X5042" s="21"/>
      <c r="Y5042" s="22"/>
      <c r="Z5042" s="23"/>
      <c r="AA5042" s="23"/>
      <c r="AB5042" s="15"/>
      <c r="AC5042" s="14"/>
      <c r="AD5042" s="18"/>
      <c r="AE5042" s="18"/>
    </row>
    <row r="5043" customFormat="false" ht="15" hidden="false" customHeight="true" outlineLevel="0" collapsed="false">
      <c r="A5043" s="12"/>
      <c r="B5043" s="13"/>
      <c r="C5043" s="14"/>
      <c r="D5043" s="13"/>
      <c r="E5043" s="15"/>
      <c r="F5043" s="15"/>
      <c r="G5043" s="15"/>
      <c r="H5043" s="13"/>
      <c r="I5043" s="13"/>
      <c r="J5043" s="16"/>
      <c r="K5043" s="16"/>
      <c r="L5043" s="17" t="str">
        <f aca="false" t="array" ref="L5043:L5043">IFERROR(INDEX(AC5043:AE5043,IF(COUNTA(AC5043:AE5043)=0,"",MAX((AC5043:AE5043&lt;&gt;"")*(COLUMN(AC5043:AE5043)-(COLUMN(AC5043)-2))))-1),"")</f>
        <v/>
      </c>
      <c r="M5043" s="13"/>
      <c r="N5043" s="13"/>
      <c r="O5043" s="13"/>
      <c r="P5043" s="26"/>
      <c r="Q5043" s="20"/>
      <c r="R5043" s="13"/>
      <c r="S5043" s="25"/>
      <c r="T5043" s="13"/>
      <c r="U5043" s="13"/>
      <c r="V5043" s="13"/>
      <c r="W5043" s="13"/>
      <c r="X5043" s="21"/>
      <c r="Y5043" s="22"/>
      <c r="Z5043" s="23"/>
      <c r="AA5043" s="23"/>
      <c r="AB5043" s="15"/>
      <c r="AC5043" s="14"/>
      <c r="AD5043" s="18"/>
      <c r="AE5043" s="18"/>
    </row>
    <row r="5044" customFormat="false" ht="15" hidden="false" customHeight="true" outlineLevel="0" collapsed="false">
      <c r="A5044" s="12"/>
      <c r="B5044" s="13"/>
      <c r="C5044" s="14"/>
      <c r="D5044" s="13"/>
      <c r="E5044" s="15"/>
      <c r="F5044" s="15"/>
      <c r="G5044" s="15"/>
      <c r="H5044" s="13"/>
      <c r="I5044" s="13"/>
      <c r="J5044" s="16"/>
      <c r="K5044" s="16"/>
      <c r="L5044" s="17" t="str">
        <f aca="false" t="array" ref="L5044:L5044">IFERROR(INDEX(AC5044:AE5044,IF(COUNTA(AC5044:AE5044)=0,"",MAX((AC5044:AE5044&lt;&gt;"")*(COLUMN(AC5044:AE5044)-(COLUMN(AC5044)-2))))-1),"")</f>
        <v/>
      </c>
      <c r="M5044" s="13"/>
      <c r="N5044" s="13"/>
      <c r="O5044" s="13"/>
      <c r="P5044" s="26"/>
      <c r="Q5044" s="20"/>
      <c r="R5044" s="13"/>
      <c r="S5044" s="25"/>
      <c r="T5044" s="13"/>
      <c r="U5044" s="13"/>
      <c r="V5044" s="13"/>
      <c r="W5044" s="13"/>
      <c r="X5044" s="21"/>
      <c r="Y5044" s="22"/>
      <c r="Z5044" s="23"/>
      <c r="AA5044" s="23"/>
      <c r="AB5044" s="15"/>
      <c r="AC5044" s="14"/>
      <c r="AD5044" s="18"/>
      <c r="AE5044" s="18"/>
    </row>
    <row r="5045" customFormat="false" ht="15" hidden="false" customHeight="true" outlineLevel="0" collapsed="false">
      <c r="A5045" s="12"/>
      <c r="B5045" s="13"/>
      <c r="C5045" s="14"/>
      <c r="D5045" s="13"/>
      <c r="E5045" s="15"/>
      <c r="F5045" s="15"/>
      <c r="G5045" s="15"/>
      <c r="H5045" s="13"/>
      <c r="I5045" s="13"/>
      <c r="J5045" s="16"/>
      <c r="K5045" s="16"/>
      <c r="L5045" s="17" t="str">
        <f aca="false" t="array" ref="L5045:L5045">IFERROR(INDEX(AC5045:AE5045,IF(COUNTA(AC5045:AE5045)=0,"",MAX((AC5045:AE5045&lt;&gt;"")*(COLUMN(AC5045:AE5045)-(COLUMN(AC5045)-2))))-1),"")</f>
        <v/>
      </c>
      <c r="M5045" s="13"/>
      <c r="N5045" s="13"/>
      <c r="O5045" s="13"/>
      <c r="P5045" s="26"/>
      <c r="Q5045" s="20"/>
      <c r="R5045" s="13"/>
      <c r="S5045" s="25"/>
      <c r="T5045" s="13"/>
      <c r="U5045" s="13"/>
      <c r="V5045" s="13"/>
      <c r="W5045" s="13"/>
      <c r="X5045" s="21"/>
      <c r="Y5045" s="22"/>
      <c r="Z5045" s="23"/>
      <c r="AA5045" s="23"/>
      <c r="AB5045" s="15"/>
      <c r="AC5045" s="14"/>
      <c r="AD5045" s="18"/>
      <c r="AE5045" s="18"/>
    </row>
    <row r="5046" customFormat="false" ht="15" hidden="false" customHeight="true" outlineLevel="0" collapsed="false">
      <c r="A5046" s="12"/>
      <c r="B5046" s="13"/>
      <c r="C5046" s="14"/>
      <c r="D5046" s="13"/>
      <c r="E5046" s="15"/>
      <c r="F5046" s="15"/>
      <c r="G5046" s="15"/>
      <c r="H5046" s="13"/>
      <c r="I5046" s="13"/>
      <c r="J5046" s="16"/>
      <c r="K5046" s="16"/>
      <c r="L5046" s="17" t="str">
        <f aca="false" t="array" ref="L5046:L5046">IFERROR(INDEX(AC5046:AE5046,IF(COUNTA(AC5046:AE5046)=0,"",MAX((AC5046:AE5046&lt;&gt;"")*(COLUMN(AC5046:AE5046)-(COLUMN(AC5046)-2))))-1),"")</f>
        <v/>
      </c>
      <c r="M5046" s="13"/>
      <c r="N5046" s="13"/>
      <c r="O5046" s="13"/>
      <c r="P5046" s="26"/>
      <c r="Q5046" s="20"/>
      <c r="R5046" s="13"/>
      <c r="S5046" s="25"/>
      <c r="T5046" s="13"/>
      <c r="U5046" s="13"/>
      <c r="V5046" s="13"/>
      <c r="W5046" s="13"/>
      <c r="X5046" s="21"/>
      <c r="Y5046" s="22"/>
      <c r="Z5046" s="23"/>
      <c r="AA5046" s="23"/>
      <c r="AB5046" s="15"/>
      <c r="AC5046" s="14"/>
      <c r="AD5046" s="18"/>
      <c r="AE5046" s="18"/>
    </row>
    <row r="5047" customFormat="false" ht="15" hidden="false" customHeight="true" outlineLevel="0" collapsed="false">
      <c r="A5047" s="12"/>
      <c r="B5047" s="13"/>
      <c r="C5047" s="14"/>
      <c r="D5047" s="13"/>
      <c r="E5047" s="15"/>
      <c r="F5047" s="15"/>
      <c r="G5047" s="15"/>
      <c r="H5047" s="13"/>
      <c r="I5047" s="13"/>
      <c r="J5047" s="16"/>
      <c r="K5047" s="16"/>
      <c r="L5047" s="17" t="str">
        <f aca="false" t="array" ref="L5047:L5047">IFERROR(INDEX(AC5047:AE5047,IF(COUNTA(AC5047:AE5047)=0,"",MAX((AC5047:AE5047&lt;&gt;"")*(COLUMN(AC5047:AE5047)-(COLUMN(AC5047)-2))))-1),"")</f>
        <v/>
      </c>
      <c r="M5047" s="13"/>
      <c r="N5047" s="13"/>
      <c r="O5047" s="13"/>
      <c r="P5047" s="26"/>
      <c r="Q5047" s="20"/>
      <c r="R5047" s="13"/>
      <c r="S5047" s="25"/>
      <c r="T5047" s="13"/>
      <c r="U5047" s="13"/>
      <c r="V5047" s="13"/>
      <c r="W5047" s="13"/>
      <c r="X5047" s="21"/>
      <c r="Y5047" s="22"/>
      <c r="Z5047" s="23"/>
      <c r="AA5047" s="23"/>
      <c r="AB5047" s="15"/>
      <c r="AC5047" s="14"/>
      <c r="AD5047" s="18"/>
      <c r="AE5047" s="18"/>
    </row>
    <row r="5048" customFormat="false" ht="15" hidden="false" customHeight="true" outlineLevel="0" collapsed="false">
      <c r="A5048" s="12"/>
      <c r="B5048" s="13"/>
      <c r="C5048" s="14"/>
      <c r="D5048" s="13"/>
      <c r="E5048" s="15"/>
      <c r="F5048" s="15"/>
      <c r="G5048" s="15"/>
      <c r="H5048" s="13"/>
      <c r="I5048" s="13"/>
      <c r="J5048" s="16"/>
      <c r="K5048" s="16"/>
      <c r="L5048" s="17" t="str">
        <f aca="false" t="array" ref="L5048:L5048">IFERROR(INDEX(AC5048:AE5048,IF(COUNTA(AC5048:AE5048)=0,"",MAX((AC5048:AE5048&lt;&gt;"")*(COLUMN(AC5048:AE5048)-(COLUMN(AC5048)-2))))-1),"")</f>
        <v/>
      </c>
      <c r="M5048" s="13"/>
      <c r="N5048" s="13"/>
      <c r="O5048" s="13"/>
      <c r="P5048" s="26"/>
      <c r="Q5048" s="20"/>
      <c r="R5048" s="13"/>
      <c r="S5048" s="25"/>
      <c r="T5048" s="13"/>
      <c r="U5048" s="13"/>
      <c r="V5048" s="13"/>
      <c r="W5048" s="13"/>
      <c r="X5048" s="21"/>
      <c r="Y5048" s="22"/>
      <c r="Z5048" s="23"/>
      <c r="AA5048" s="23"/>
      <c r="AB5048" s="15"/>
      <c r="AC5048" s="14"/>
      <c r="AD5048" s="18"/>
      <c r="AE5048" s="18"/>
    </row>
    <row r="5049" customFormat="false" ht="15" hidden="false" customHeight="true" outlineLevel="0" collapsed="false">
      <c r="A5049" s="12"/>
      <c r="B5049" s="13"/>
      <c r="C5049" s="14"/>
      <c r="D5049" s="13"/>
      <c r="E5049" s="15"/>
      <c r="F5049" s="15"/>
      <c r="G5049" s="15"/>
      <c r="H5049" s="13"/>
      <c r="I5049" s="13"/>
      <c r="J5049" s="16"/>
      <c r="K5049" s="16"/>
      <c r="L5049" s="17" t="str">
        <f aca="false" t="array" ref="L5049:L5049">IFERROR(INDEX(AC5049:AE5049,IF(COUNTA(AC5049:AE5049)=0,"",MAX((AC5049:AE5049&lt;&gt;"")*(COLUMN(AC5049:AE5049)-(COLUMN(AC5049)-2))))-1),"")</f>
        <v/>
      </c>
      <c r="M5049" s="13"/>
      <c r="N5049" s="13"/>
      <c r="O5049" s="13"/>
      <c r="P5049" s="26"/>
      <c r="Q5049" s="20"/>
      <c r="R5049" s="13"/>
      <c r="S5049" s="25"/>
      <c r="T5049" s="13"/>
      <c r="U5049" s="13"/>
      <c r="V5049" s="13"/>
      <c r="W5049" s="13"/>
      <c r="X5049" s="21"/>
      <c r="Y5049" s="22"/>
      <c r="Z5049" s="23"/>
      <c r="AA5049" s="23"/>
      <c r="AB5049" s="15"/>
      <c r="AC5049" s="14"/>
      <c r="AD5049" s="18"/>
      <c r="AE5049" s="18"/>
    </row>
    <row r="5050" customFormat="false" ht="15" hidden="false" customHeight="true" outlineLevel="0" collapsed="false">
      <c r="A5050" s="12"/>
      <c r="B5050" s="13"/>
      <c r="C5050" s="14"/>
      <c r="D5050" s="13"/>
      <c r="E5050" s="15"/>
      <c r="F5050" s="15"/>
      <c r="G5050" s="15"/>
      <c r="H5050" s="13"/>
      <c r="I5050" s="13"/>
      <c r="J5050" s="16"/>
      <c r="K5050" s="16"/>
      <c r="L5050" s="17" t="str">
        <f aca="false" t="array" ref="L5050:L5050">IFERROR(INDEX(AC5050:AE5050,IF(COUNTA(AC5050:AE5050)=0,"",MAX((AC5050:AE5050&lt;&gt;"")*(COLUMN(AC5050:AE5050)-(COLUMN(AC5050)-2))))-1),"")</f>
        <v/>
      </c>
      <c r="M5050" s="13"/>
      <c r="N5050" s="13"/>
      <c r="O5050" s="13"/>
      <c r="P5050" s="26"/>
      <c r="Q5050" s="20"/>
      <c r="R5050" s="13"/>
      <c r="S5050" s="25"/>
      <c r="T5050" s="13"/>
      <c r="U5050" s="13"/>
      <c r="V5050" s="13"/>
      <c r="W5050" s="13"/>
      <c r="X5050" s="21"/>
      <c r="Y5050" s="22"/>
      <c r="Z5050" s="23"/>
      <c r="AA5050" s="23"/>
      <c r="AB5050" s="15"/>
      <c r="AC5050" s="14"/>
      <c r="AD5050" s="18"/>
      <c r="AE5050" s="18"/>
    </row>
    <row r="5051" customFormat="false" ht="15" hidden="false" customHeight="true" outlineLevel="0" collapsed="false">
      <c r="A5051" s="12"/>
      <c r="B5051" s="13"/>
      <c r="C5051" s="14"/>
      <c r="D5051" s="13"/>
      <c r="E5051" s="15"/>
      <c r="F5051" s="15"/>
      <c r="G5051" s="15"/>
      <c r="H5051" s="13"/>
      <c r="I5051" s="13"/>
      <c r="J5051" s="16"/>
      <c r="K5051" s="16"/>
      <c r="L5051" s="17" t="str">
        <f aca="false" t="array" ref="L5051:L5051">IFERROR(INDEX(AC5051:AE5051,IF(COUNTA(AC5051:AE5051)=0,"",MAX((AC5051:AE5051&lt;&gt;"")*(COLUMN(AC5051:AE5051)-(COLUMN(AC5051)-2))))-1),"")</f>
        <v/>
      </c>
      <c r="M5051" s="13"/>
      <c r="N5051" s="13"/>
      <c r="O5051" s="13"/>
      <c r="P5051" s="26"/>
      <c r="Q5051" s="20"/>
      <c r="R5051" s="13"/>
      <c r="S5051" s="25"/>
      <c r="T5051" s="13"/>
      <c r="U5051" s="13"/>
      <c r="V5051" s="13"/>
      <c r="W5051" s="13"/>
      <c r="X5051" s="21"/>
      <c r="Y5051" s="22"/>
      <c r="Z5051" s="23"/>
      <c r="AA5051" s="23"/>
      <c r="AB5051" s="15"/>
      <c r="AC5051" s="14"/>
      <c r="AD5051" s="18"/>
      <c r="AE5051" s="18"/>
    </row>
    <row r="5052" customFormat="false" ht="15" hidden="false" customHeight="true" outlineLevel="0" collapsed="false">
      <c r="A5052" s="12"/>
      <c r="B5052" s="13"/>
      <c r="C5052" s="14"/>
      <c r="D5052" s="13"/>
      <c r="E5052" s="15"/>
      <c r="F5052" s="15"/>
      <c r="G5052" s="15"/>
      <c r="H5052" s="13"/>
      <c r="I5052" s="13"/>
      <c r="J5052" s="16"/>
      <c r="K5052" s="16"/>
      <c r="L5052" s="17" t="str">
        <f aca="false" t="array" ref="L5052:L5052">IFERROR(INDEX(AC5052:AE5052,IF(COUNTA(AC5052:AE5052)=0,"",MAX((AC5052:AE5052&lt;&gt;"")*(COLUMN(AC5052:AE5052)-(COLUMN(AC5052)-2))))-1),"")</f>
        <v/>
      </c>
      <c r="M5052" s="13"/>
      <c r="N5052" s="13"/>
      <c r="O5052" s="13"/>
      <c r="P5052" s="26"/>
      <c r="Q5052" s="20"/>
      <c r="R5052" s="13"/>
      <c r="S5052" s="25"/>
      <c r="T5052" s="13"/>
      <c r="U5052" s="13"/>
      <c r="V5052" s="13"/>
      <c r="W5052" s="13"/>
      <c r="X5052" s="21"/>
      <c r="Y5052" s="22"/>
      <c r="Z5052" s="23"/>
      <c r="AA5052" s="23"/>
      <c r="AB5052" s="15"/>
      <c r="AC5052" s="14"/>
      <c r="AD5052" s="18"/>
      <c r="AE5052" s="18"/>
    </row>
    <row r="5053" customFormat="false" ht="15" hidden="false" customHeight="true" outlineLevel="0" collapsed="false">
      <c r="A5053" s="12"/>
      <c r="B5053" s="13"/>
      <c r="C5053" s="14"/>
      <c r="D5053" s="13"/>
      <c r="E5053" s="15"/>
      <c r="F5053" s="15"/>
      <c r="G5053" s="15"/>
      <c r="H5053" s="13"/>
      <c r="I5053" s="13"/>
      <c r="J5053" s="16"/>
      <c r="K5053" s="16"/>
      <c r="L5053" s="17" t="str">
        <f aca="false" t="array" ref="L5053:L5053">IFERROR(INDEX(AC5053:AE5053,IF(COUNTA(AC5053:AE5053)=0,"",MAX((AC5053:AE5053&lt;&gt;"")*(COLUMN(AC5053:AE5053)-(COLUMN(AC5053)-2))))-1),"")</f>
        <v/>
      </c>
      <c r="M5053" s="13"/>
      <c r="N5053" s="13"/>
      <c r="O5053" s="13"/>
      <c r="P5053" s="26"/>
      <c r="Q5053" s="20"/>
      <c r="R5053" s="13"/>
      <c r="S5053" s="25"/>
      <c r="T5053" s="13"/>
      <c r="U5053" s="13"/>
      <c r="V5053" s="13"/>
      <c r="W5053" s="13"/>
      <c r="X5053" s="21"/>
      <c r="Y5053" s="22"/>
      <c r="Z5053" s="23"/>
      <c r="AA5053" s="23"/>
      <c r="AB5053" s="15"/>
      <c r="AC5053" s="14"/>
      <c r="AD5053" s="18"/>
      <c r="AE5053" s="18"/>
    </row>
    <row r="5054" customFormat="false" ht="15" hidden="false" customHeight="true" outlineLevel="0" collapsed="false">
      <c r="A5054" s="12"/>
      <c r="B5054" s="13"/>
      <c r="C5054" s="14"/>
      <c r="D5054" s="13"/>
      <c r="E5054" s="15"/>
      <c r="F5054" s="15"/>
      <c r="G5054" s="15"/>
      <c r="H5054" s="13"/>
      <c r="I5054" s="13"/>
      <c r="J5054" s="16"/>
      <c r="K5054" s="16"/>
      <c r="L5054" s="17" t="str">
        <f aca="false" t="array" ref="L5054:L5054">IFERROR(INDEX(AC5054:AE5054,IF(COUNTA(AC5054:AE5054)=0,"",MAX((AC5054:AE5054&lt;&gt;"")*(COLUMN(AC5054:AE5054)-(COLUMN(AC5054)-2))))-1),"")</f>
        <v/>
      </c>
      <c r="M5054" s="13"/>
      <c r="N5054" s="13"/>
      <c r="O5054" s="13"/>
      <c r="P5054" s="26"/>
      <c r="Q5054" s="20"/>
      <c r="R5054" s="13"/>
      <c r="S5054" s="25"/>
      <c r="T5054" s="13"/>
      <c r="U5054" s="13"/>
      <c r="V5054" s="13"/>
      <c r="W5054" s="13"/>
      <c r="X5054" s="21"/>
      <c r="Y5054" s="22"/>
      <c r="Z5054" s="23"/>
      <c r="AA5054" s="23"/>
      <c r="AB5054" s="15"/>
      <c r="AC5054" s="14"/>
      <c r="AD5054" s="18"/>
      <c r="AE5054" s="18"/>
    </row>
    <row r="5055" customFormat="false" ht="15" hidden="false" customHeight="true" outlineLevel="0" collapsed="false">
      <c r="A5055" s="12"/>
      <c r="B5055" s="13"/>
      <c r="C5055" s="14"/>
      <c r="D5055" s="13"/>
      <c r="E5055" s="15"/>
      <c r="F5055" s="15"/>
      <c r="G5055" s="15"/>
      <c r="H5055" s="13"/>
      <c r="I5055" s="13"/>
      <c r="J5055" s="16"/>
      <c r="K5055" s="16"/>
      <c r="L5055" s="17" t="str">
        <f aca="false" t="array" ref="L5055:L5055">IFERROR(INDEX(AC5055:AE5055,IF(COUNTA(AC5055:AE5055)=0,"",MAX((AC5055:AE5055&lt;&gt;"")*(COLUMN(AC5055:AE5055)-(COLUMN(AC5055)-2))))-1),"")</f>
        <v/>
      </c>
      <c r="M5055" s="13"/>
      <c r="N5055" s="13"/>
      <c r="O5055" s="13"/>
      <c r="P5055" s="26"/>
      <c r="Q5055" s="20"/>
      <c r="R5055" s="13"/>
      <c r="S5055" s="25"/>
      <c r="T5055" s="13"/>
      <c r="U5055" s="13"/>
      <c r="V5055" s="13"/>
      <c r="W5055" s="13"/>
      <c r="X5055" s="21"/>
      <c r="Y5055" s="22"/>
      <c r="Z5055" s="23"/>
      <c r="AA5055" s="23"/>
      <c r="AB5055" s="15"/>
      <c r="AC5055" s="14"/>
      <c r="AD5055" s="18"/>
      <c r="AE5055" s="18"/>
    </row>
    <row r="5056" customFormat="false" ht="15" hidden="false" customHeight="true" outlineLevel="0" collapsed="false">
      <c r="A5056" s="12"/>
      <c r="B5056" s="13"/>
      <c r="C5056" s="14"/>
      <c r="D5056" s="13"/>
      <c r="E5056" s="15"/>
      <c r="F5056" s="15"/>
      <c r="G5056" s="15"/>
      <c r="H5056" s="13"/>
      <c r="I5056" s="13"/>
      <c r="J5056" s="16"/>
      <c r="K5056" s="16"/>
      <c r="L5056" s="17" t="str">
        <f aca="false" t="array" ref="L5056:L5056">IFERROR(INDEX(AC5056:AE5056,IF(COUNTA(AC5056:AE5056)=0,"",MAX((AC5056:AE5056&lt;&gt;"")*(COLUMN(AC5056:AE5056)-(COLUMN(AC5056)-2))))-1),"")</f>
        <v/>
      </c>
      <c r="M5056" s="13"/>
      <c r="N5056" s="13"/>
      <c r="O5056" s="13"/>
      <c r="P5056" s="26"/>
      <c r="Q5056" s="20"/>
      <c r="R5056" s="13"/>
      <c r="S5056" s="25"/>
      <c r="T5056" s="13"/>
      <c r="U5056" s="13"/>
      <c r="V5056" s="13"/>
      <c r="W5056" s="13"/>
      <c r="X5056" s="21"/>
      <c r="Y5056" s="22"/>
      <c r="Z5056" s="23"/>
      <c r="AA5056" s="23"/>
      <c r="AB5056" s="15"/>
      <c r="AC5056" s="14"/>
      <c r="AD5056" s="18"/>
      <c r="AE5056" s="18"/>
    </row>
    <row r="5057" customFormat="false" ht="15" hidden="false" customHeight="true" outlineLevel="0" collapsed="false">
      <c r="A5057" s="12"/>
      <c r="B5057" s="13"/>
      <c r="C5057" s="14"/>
      <c r="D5057" s="13"/>
      <c r="E5057" s="15"/>
      <c r="F5057" s="15"/>
      <c r="G5057" s="15"/>
      <c r="H5057" s="13"/>
      <c r="I5057" s="13"/>
      <c r="J5057" s="16"/>
      <c r="K5057" s="16"/>
      <c r="L5057" s="17" t="str">
        <f aca="false" t="array" ref="L5057:L5057">IFERROR(INDEX(AC5057:AE5057,IF(COUNTA(AC5057:AE5057)=0,"",MAX((AC5057:AE5057&lt;&gt;"")*(COLUMN(AC5057:AE5057)-(COLUMN(AC5057)-2))))-1),"")</f>
        <v/>
      </c>
      <c r="M5057" s="13"/>
      <c r="N5057" s="13"/>
      <c r="O5057" s="13"/>
      <c r="P5057" s="26"/>
      <c r="Q5057" s="20"/>
      <c r="R5057" s="13"/>
      <c r="S5057" s="25"/>
      <c r="T5057" s="13"/>
      <c r="U5057" s="13"/>
      <c r="V5057" s="13"/>
      <c r="W5057" s="13"/>
      <c r="X5057" s="21"/>
      <c r="Y5057" s="22"/>
      <c r="Z5057" s="23"/>
      <c r="AA5057" s="23"/>
      <c r="AB5057" s="15"/>
      <c r="AC5057" s="14"/>
      <c r="AD5057" s="18"/>
      <c r="AE5057" s="18"/>
    </row>
    <row r="5058" customFormat="false" ht="15" hidden="false" customHeight="true" outlineLevel="0" collapsed="false">
      <c r="A5058" s="12"/>
      <c r="B5058" s="13"/>
      <c r="C5058" s="14"/>
      <c r="D5058" s="13"/>
      <c r="E5058" s="15"/>
      <c r="F5058" s="15"/>
      <c r="G5058" s="15"/>
      <c r="H5058" s="13"/>
      <c r="I5058" s="13"/>
      <c r="J5058" s="16"/>
      <c r="K5058" s="16"/>
      <c r="L5058" s="17" t="str">
        <f aca="false" t="array" ref="L5058:L5058">IFERROR(INDEX(AC5058:AE5058,IF(COUNTA(AC5058:AE5058)=0,"",MAX((AC5058:AE5058&lt;&gt;"")*(COLUMN(AC5058:AE5058)-(COLUMN(AC5058)-2))))-1),"")</f>
        <v/>
      </c>
      <c r="M5058" s="13"/>
      <c r="N5058" s="13"/>
      <c r="O5058" s="13"/>
      <c r="P5058" s="26"/>
      <c r="Q5058" s="20"/>
      <c r="R5058" s="13"/>
      <c r="S5058" s="25"/>
      <c r="T5058" s="13"/>
      <c r="U5058" s="13"/>
      <c r="V5058" s="13"/>
      <c r="W5058" s="13"/>
      <c r="X5058" s="21"/>
      <c r="Y5058" s="22"/>
      <c r="Z5058" s="23"/>
      <c r="AA5058" s="23"/>
      <c r="AB5058" s="15"/>
      <c r="AC5058" s="14"/>
      <c r="AD5058" s="18"/>
      <c r="AE5058" s="18"/>
    </row>
    <row r="5059" customFormat="false" ht="15" hidden="false" customHeight="true" outlineLevel="0" collapsed="false">
      <c r="A5059" s="12"/>
      <c r="B5059" s="13"/>
      <c r="C5059" s="14"/>
      <c r="D5059" s="13"/>
      <c r="E5059" s="15"/>
      <c r="F5059" s="15"/>
      <c r="G5059" s="15"/>
      <c r="H5059" s="13"/>
      <c r="I5059" s="13"/>
      <c r="J5059" s="16"/>
      <c r="K5059" s="16"/>
      <c r="L5059" s="17" t="str">
        <f aca="false" t="array" ref="L5059:L5059">IFERROR(INDEX(AC5059:AE5059,IF(COUNTA(AC5059:AE5059)=0,"",MAX((AC5059:AE5059&lt;&gt;"")*(COLUMN(AC5059:AE5059)-(COLUMN(AC5059)-2))))-1),"")</f>
        <v/>
      </c>
      <c r="M5059" s="13"/>
      <c r="N5059" s="13"/>
      <c r="O5059" s="13"/>
      <c r="P5059" s="26"/>
      <c r="Q5059" s="20"/>
      <c r="R5059" s="13"/>
      <c r="S5059" s="25"/>
      <c r="T5059" s="13"/>
      <c r="U5059" s="13"/>
      <c r="V5059" s="13"/>
      <c r="W5059" s="13"/>
      <c r="X5059" s="21"/>
      <c r="Y5059" s="22"/>
      <c r="Z5059" s="23"/>
      <c r="AA5059" s="23"/>
      <c r="AB5059" s="15"/>
      <c r="AC5059" s="14"/>
      <c r="AD5059" s="18"/>
      <c r="AE5059" s="18"/>
    </row>
    <row r="5060" customFormat="false" ht="15" hidden="false" customHeight="true" outlineLevel="0" collapsed="false">
      <c r="A5060" s="12"/>
      <c r="B5060" s="13"/>
      <c r="C5060" s="14"/>
      <c r="D5060" s="13"/>
      <c r="E5060" s="15"/>
      <c r="F5060" s="15"/>
      <c r="G5060" s="15"/>
      <c r="H5060" s="13"/>
      <c r="I5060" s="13"/>
      <c r="J5060" s="16"/>
      <c r="K5060" s="16"/>
      <c r="L5060" s="17" t="str">
        <f aca="false" t="array" ref="L5060:L5060">IFERROR(INDEX(AC5060:AE5060,IF(COUNTA(AC5060:AE5060)=0,"",MAX((AC5060:AE5060&lt;&gt;"")*(COLUMN(AC5060:AE5060)-(COLUMN(AC5060)-2))))-1),"")</f>
        <v/>
      </c>
      <c r="M5060" s="13"/>
      <c r="N5060" s="13"/>
      <c r="O5060" s="13"/>
      <c r="P5060" s="26"/>
      <c r="Q5060" s="20"/>
      <c r="R5060" s="13"/>
      <c r="S5060" s="25"/>
      <c r="T5060" s="13"/>
      <c r="U5060" s="13"/>
      <c r="V5060" s="13"/>
      <c r="W5060" s="13"/>
      <c r="X5060" s="21"/>
      <c r="Y5060" s="22"/>
      <c r="Z5060" s="23"/>
      <c r="AA5060" s="23"/>
      <c r="AB5060" s="15"/>
      <c r="AC5060" s="14"/>
      <c r="AD5060" s="18"/>
      <c r="AE5060" s="18"/>
    </row>
    <row r="5061" customFormat="false" ht="15" hidden="false" customHeight="true" outlineLevel="0" collapsed="false">
      <c r="A5061" s="12"/>
      <c r="B5061" s="13"/>
      <c r="C5061" s="14"/>
      <c r="D5061" s="13"/>
      <c r="E5061" s="15"/>
      <c r="F5061" s="15"/>
      <c r="G5061" s="15"/>
      <c r="H5061" s="13"/>
      <c r="I5061" s="13"/>
      <c r="J5061" s="16"/>
      <c r="K5061" s="16"/>
      <c r="L5061" s="17" t="str">
        <f aca="false" t="array" ref="L5061:L5061">IFERROR(INDEX(AC5061:AE5061,IF(COUNTA(AC5061:AE5061)=0,"",MAX((AC5061:AE5061&lt;&gt;"")*(COLUMN(AC5061:AE5061)-(COLUMN(AC5061)-2))))-1),"")</f>
        <v/>
      </c>
      <c r="M5061" s="13"/>
      <c r="N5061" s="13"/>
      <c r="O5061" s="13"/>
      <c r="P5061" s="26"/>
      <c r="Q5061" s="20"/>
      <c r="R5061" s="13"/>
      <c r="S5061" s="25"/>
      <c r="T5061" s="13"/>
      <c r="U5061" s="13"/>
      <c r="V5061" s="13"/>
      <c r="W5061" s="13"/>
      <c r="X5061" s="21"/>
      <c r="Y5061" s="22"/>
      <c r="Z5061" s="23"/>
      <c r="AA5061" s="23"/>
      <c r="AB5061" s="15"/>
      <c r="AC5061" s="14"/>
      <c r="AD5061" s="18"/>
      <c r="AE5061" s="18"/>
    </row>
    <row r="5062" customFormat="false" ht="15" hidden="false" customHeight="true" outlineLevel="0" collapsed="false">
      <c r="A5062" s="12"/>
      <c r="B5062" s="13"/>
      <c r="C5062" s="14"/>
      <c r="D5062" s="13"/>
      <c r="E5062" s="15"/>
      <c r="F5062" s="15"/>
      <c r="G5062" s="15"/>
      <c r="H5062" s="13"/>
      <c r="I5062" s="13"/>
      <c r="J5062" s="16"/>
      <c r="K5062" s="16"/>
      <c r="L5062" s="17" t="str">
        <f aca="false" t="array" ref="L5062:L5062">IFERROR(INDEX(AC5062:AE5062,IF(COUNTA(AC5062:AE5062)=0,"",MAX((AC5062:AE5062&lt;&gt;"")*(COLUMN(AC5062:AE5062)-(COLUMN(AC5062)-2))))-1),"")</f>
        <v/>
      </c>
      <c r="M5062" s="13"/>
      <c r="N5062" s="13"/>
      <c r="O5062" s="13"/>
      <c r="P5062" s="26"/>
      <c r="Q5062" s="20"/>
      <c r="R5062" s="13"/>
      <c r="S5062" s="25"/>
      <c r="T5062" s="13"/>
      <c r="U5062" s="13"/>
      <c r="V5062" s="13"/>
      <c r="W5062" s="13"/>
      <c r="X5062" s="21"/>
      <c r="Y5062" s="22"/>
      <c r="Z5062" s="23"/>
      <c r="AA5062" s="23"/>
      <c r="AB5062" s="15"/>
      <c r="AC5062" s="14"/>
      <c r="AD5062" s="18"/>
      <c r="AE5062" s="18"/>
    </row>
    <row r="5063" customFormat="false" ht="15" hidden="false" customHeight="true" outlineLevel="0" collapsed="false">
      <c r="A5063" s="12"/>
      <c r="B5063" s="13"/>
      <c r="C5063" s="14"/>
      <c r="D5063" s="13"/>
      <c r="E5063" s="15"/>
      <c r="F5063" s="15"/>
      <c r="G5063" s="15"/>
      <c r="H5063" s="13"/>
      <c r="I5063" s="13"/>
      <c r="J5063" s="16"/>
      <c r="K5063" s="16"/>
      <c r="L5063" s="17" t="str">
        <f aca="false" t="array" ref="L5063:L5063">IFERROR(INDEX(AC5063:AE5063,IF(COUNTA(AC5063:AE5063)=0,"",MAX((AC5063:AE5063&lt;&gt;"")*(COLUMN(AC5063:AE5063)-(COLUMN(AC5063)-2))))-1),"")</f>
        <v/>
      </c>
      <c r="M5063" s="13"/>
      <c r="N5063" s="13"/>
      <c r="O5063" s="13"/>
      <c r="P5063" s="26"/>
      <c r="Q5063" s="20"/>
      <c r="R5063" s="13"/>
      <c r="S5063" s="25"/>
      <c r="T5063" s="13"/>
      <c r="U5063" s="13"/>
      <c r="V5063" s="13"/>
      <c r="W5063" s="13"/>
      <c r="X5063" s="21"/>
      <c r="Y5063" s="22"/>
      <c r="Z5063" s="23"/>
      <c r="AA5063" s="23"/>
      <c r="AB5063" s="15"/>
      <c r="AC5063" s="14"/>
      <c r="AD5063" s="18"/>
      <c r="AE5063" s="18"/>
    </row>
    <row r="5064" customFormat="false" ht="15" hidden="false" customHeight="true" outlineLevel="0" collapsed="false">
      <c r="A5064" s="12"/>
      <c r="B5064" s="13"/>
      <c r="C5064" s="14"/>
      <c r="D5064" s="13"/>
      <c r="E5064" s="15"/>
      <c r="F5064" s="15"/>
      <c r="G5064" s="15"/>
      <c r="H5064" s="13"/>
      <c r="I5064" s="13"/>
      <c r="J5064" s="16"/>
      <c r="K5064" s="16"/>
      <c r="L5064" s="17" t="str">
        <f aca="false" t="array" ref="L5064:L5064">IFERROR(INDEX(AC5064:AE5064,IF(COUNTA(AC5064:AE5064)=0,"",MAX((AC5064:AE5064&lt;&gt;"")*(COLUMN(AC5064:AE5064)-(COLUMN(AC5064)-2))))-1),"")</f>
        <v/>
      </c>
      <c r="M5064" s="13"/>
      <c r="N5064" s="13"/>
      <c r="O5064" s="13"/>
      <c r="P5064" s="26"/>
      <c r="Q5064" s="20"/>
      <c r="R5064" s="13"/>
      <c r="S5064" s="25"/>
      <c r="T5064" s="13"/>
      <c r="U5064" s="13"/>
      <c r="V5064" s="13"/>
      <c r="W5064" s="13"/>
      <c r="X5064" s="21"/>
      <c r="Y5064" s="22"/>
      <c r="Z5064" s="23"/>
      <c r="AA5064" s="23"/>
      <c r="AB5064" s="15"/>
      <c r="AC5064" s="14"/>
      <c r="AD5064" s="18"/>
      <c r="AE5064" s="18"/>
    </row>
    <row r="5065" customFormat="false" ht="15" hidden="false" customHeight="true" outlineLevel="0" collapsed="false">
      <c r="A5065" s="12"/>
      <c r="B5065" s="13"/>
      <c r="C5065" s="14"/>
      <c r="D5065" s="13"/>
      <c r="E5065" s="15"/>
      <c r="F5065" s="15"/>
      <c r="G5065" s="15"/>
      <c r="H5065" s="13"/>
      <c r="I5065" s="13"/>
      <c r="J5065" s="16"/>
      <c r="K5065" s="16"/>
      <c r="L5065" s="17" t="str">
        <f aca="false" t="array" ref="L5065:L5065">IFERROR(INDEX(AC5065:AE5065,IF(COUNTA(AC5065:AE5065)=0,"",MAX((AC5065:AE5065&lt;&gt;"")*(COLUMN(AC5065:AE5065)-(COLUMN(AC5065)-2))))-1),"")</f>
        <v/>
      </c>
      <c r="M5065" s="13"/>
      <c r="N5065" s="13"/>
      <c r="O5065" s="13"/>
      <c r="P5065" s="26"/>
      <c r="Q5065" s="20"/>
      <c r="R5065" s="13"/>
      <c r="S5065" s="25"/>
      <c r="T5065" s="13"/>
      <c r="U5065" s="13"/>
      <c r="V5065" s="13"/>
      <c r="W5065" s="13"/>
      <c r="X5065" s="21"/>
      <c r="Y5065" s="22"/>
      <c r="Z5065" s="23"/>
      <c r="AA5065" s="23"/>
      <c r="AB5065" s="15"/>
      <c r="AC5065" s="14"/>
      <c r="AD5065" s="18"/>
      <c r="AE5065" s="18"/>
    </row>
    <row r="5066" customFormat="false" ht="15" hidden="false" customHeight="true" outlineLevel="0" collapsed="false">
      <c r="A5066" s="12"/>
      <c r="B5066" s="13"/>
      <c r="C5066" s="14"/>
      <c r="D5066" s="13"/>
      <c r="E5066" s="15"/>
      <c r="F5066" s="15"/>
      <c r="G5066" s="15"/>
      <c r="H5066" s="13"/>
      <c r="I5066" s="13"/>
      <c r="J5066" s="16"/>
      <c r="K5066" s="16"/>
      <c r="L5066" s="17" t="str">
        <f aca="false" t="array" ref="L5066:L5066">IFERROR(INDEX(AC5066:AE5066,IF(COUNTA(AC5066:AE5066)=0,"",MAX((AC5066:AE5066&lt;&gt;"")*(COLUMN(AC5066:AE5066)-(COLUMN(AC5066)-2))))-1),"")</f>
        <v/>
      </c>
      <c r="M5066" s="13"/>
      <c r="N5066" s="13"/>
      <c r="O5066" s="13"/>
      <c r="P5066" s="26"/>
      <c r="Q5066" s="20"/>
      <c r="R5066" s="13"/>
      <c r="S5066" s="25"/>
      <c r="T5066" s="13"/>
      <c r="U5066" s="13"/>
      <c r="V5066" s="13"/>
      <c r="W5066" s="13"/>
      <c r="X5066" s="21"/>
      <c r="Y5066" s="22"/>
      <c r="Z5066" s="23"/>
      <c r="AA5066" s="23"/>
      <c r="AB5066" s="15"/>
      <c r="AC5066" s="14"/>
      <c r="AD5066" s="18"/>
      <c r="AE5066" s="18"/>
    </row>
    <row r="5067" customFormat="false" ht="15" hidden="false" customHeight="true" outlineLevel="0" collapsed="false">
      <c r="A5067" s="12"/>
      <c r="B5067" s="13"/>
      <c r="C5067" s="14"/>
      <c r="D5067" s="13"/>
      <c r="E5067" s="15"/>
      <c r="F5067" s="15"/>
      <c r="G5067" s="15"/>
      <c r="H5067" s="13"/>
      <c r="I5067" s="13"/>
      <c r="J5067" s="16"/>
      <c r="K5067" s="16"/>
      <c r="L5067" s="17" t="str">
        <f aca="false" t="array" ref="L5067:L5067">IFERROR(INDEX(AC5067:AE5067,IF(COUNTA(AC5067:AE5067)=0,"",MAX((AC5067:AE5067&lt;&gt;"")*(COLUMN(AC5067:AE5067)-(COLUMN(AC5067)-2))))-1),"")</f>
        <v/>
      </c>
      <c r="M5067" s="13"/>
      <c r="N5067" s="13"/>
      <c r="O5067" s="13"/>
      <c r="P5067" s="26"/>
      <c r="Q5067" s="20"/>
      <c r="R5067" s="13"/>
      <c r="S5067" s="25"/>
      <c r="T5067" s="13"/>
      <c r="U5067" s="13"/>
      <c r="V5067" s="13"/>
      <c r="W5067" s="13"/>
      <c r="X5067" s="21"/>
      <c r="Y5067" s="22"/>
      <c r="Z5067" s="23"/>
      <c r="AA5067" s="23"/>
      <c r="AB5067" s="15"/>
      <c r="AC5067" s="14"/>
      <c r="AD5067" s="18"/>
      <c r="AE5067" s="18"/>
    </row>
    <row r="5068" customFormat="false" ht="15" hidden="false" customHeight="true" outlineLevel="0" collapsed="false">
      <c r="A5068" s="12"/>
      <c r="B5068" s="13"/>
      <c r="C5068" s="14"/>
      <c r="D5068" s="13"/>
      <c r="E5068" s="15"/>
      <c r="F5068" s="15"/>
      <c r="G5068" s="15"/>
      <c r="H5068" s="13"/>
      <c r="I5068" s="13"/>
      <c r="J5068" s="16"/>
      <c r="K5068" s="16"/>
      <c r="L5068" s="17" t="str">
        <f aca="false" t="array" ref="L5068:L5068">IFERROR(INDEX(AC5068:AE5068,IF(COUNTA(AC5068:AE5068)=0,"",MAX((AC5068:AE5068&lt;&gt;"")*(COLUMN(AC5068:AE5068)-(COLUMN(AC5068)-2))))-1),"")</f>
        <v/>
      </c>
      <c r="M5068" s="13"/>
      <c r="N5068" s="13"/>
      <c r="O5068" s="13"/>
      <c r="P5068" s="26"/>
      <c r="Q5068" s="20"/>
      <c r="R5068" s="13"/>
      <c r="S5068" s="25"/>
      <c r="T5068" s="13"/>
      <c r="U5068" s="13"/>
      <c r="V5068" s="13"/>
      <c r="W5068" s="13"/>
      <c r="X5068" s="21"/>
      <c r="Y5068" s="22"/>
      <c r="Z5068" s="23"/>
      <c r="AA5068" s="23"/>
      <c r="AB5068" s="15"/>
      <c r="AC5068" s="14"/>
      <c r="AD5068" s="18"/>
      <c r="AE5068" s="18"/>
    </row>
    <row r="5069" customFormat="false" ht="15" hidden="false" customHeight="true" outlineLevel="0" collapsed="false">
      <c r="A5069" s="12"/>
      <c r="B5069" s="13"/>
      <c r="C5069" s="14"/>
      <c r="D5069" s="13"/>
      <c r="E5069" s="15"/>
      <c r="F5069" s="15"/>
      <c r="G5069" s="15"/>
      <c r="H5069" s="13"/>
      <c r="I5069" s="13"/>
      <c r="J5069" s="16"/>
      <c r="K5069" s="16"/>
      <c r="L5069" s="17" t="str">
        <f aca="false" t="array" ref="L5069:L5069">IFERROR(INDEX(AC5069:AE5069,IF(COUNTA(AC5069:AE5069)=0,"",MAX((AC5069:AE5069&lt;&gt;"")*(COLUMN(AC5069:AE5069)-(COLUMN(AC5069)-2))))-1),"")</f>
        <v/>
      </c>
      <c r="M5069" s="13"/>
      <c r="N5069" s="13"/>
      <c r="O5069" s="13"/>
      <c r="P5069" s="26"/>
      <c r="Q5069" s="20"/>
      <c r="R5069" s="13"/>
      <c r="S5069" s="25"/>
      <c r="T5069" s="13"/>
      <c r="U5069" s="13"/>
      <c r="V5069" s="13"/>
      <c r="W5069" s="13"/>
      <c r="X5069" s="21"/>
      <c r="Y5069" s="22"/>
      <c r="Z5069" s="23"/>
      <c r="AA5069" s="23"/>
      <c r="AB5069" s="15"/>
      <c r="AC5069" s="14"/>
      <c r="AD5069" s="18"/>
      <c r="AE5069" s="18"/>
    </row>
    <row r="5070" customFormat="false" ht="15" hidden="false" customHeight="true" outlineLevel="0" collapsed="false">
      <c r="A5070" s="12"/>
      <c r="B5070" s="13"/>
      <c r="C5070" s="14"/>
      <c r="D5070" s="13"/>
      <c r="E5070" s="15"/>
      <c r="F5070" s="15"/>
      <c r="G5070" s="15"/>
      <c r="H5070" s="13"/>
      <c r="I5070" s="13"/>
      <c r="J5070" s="16"/>
      <c r="K5070" s="16"/>
      <c r="L5070" s="17" t="str">
        <f aca="false" t="array" ref="L5070:L5070">IFERROR(INDEX(AC5070:AE5070,IF(COUNTA(AC5070:AE5070)=0,"",MAX((AC5070:AE5070&lt;&gt;"")*(COLUMN(AC5070:AE5070)-(COLUMN(AC5070)-2))))-1),"")</f>
        <v/>
      </c>
      <c r="M5070" s="13"/>
      <c r="N5070" s="13"/>
      <c r="O5070" s="13"/>
      <c r="P5070" s="26"/>
      <c r="Q5070" s="20"/>
      <c r="R5070" s="13"/>
      <c r="S5070" s="25"/>
      <c r="T5070" s="13"/>
      <c r="U5070" s="13"/>
      <c r="V5070" s="13"/>
      <c r="W5070" s="13"/>
      <c r="X5070" s="21"/>
      <c r="Y5070" s="22"/>
      <c r="Z5070" s="23"/>
      <c r="AA5070" s="23"/>
      <c r="AB5070" s="15"/>
      <c r="AC5070" s="14"/>
      <c r="AD5070" s="18"/>
      <c r="AE5070" s="18"/>
    </row>
    <row r="5071" customFormat="false" ht="15" hidden="false" customHeight="true" outlineLevel="0" collapsed="false">
      <c r="A5071" s="12"/>
      <c r="B5071" s="13"/>
      <c r="C5071" s="14"/>
      <c r="D5071" s="13"/>
      <c r="E5071" s="15"/>
      <c r="F5071" s="15"/>
      <c r="G5071" s="15"/>
      <c r="H5071" s="13"/>
      <c r="I5071" s="13"/>
      <c r="J5071" s="16"/>
      <c r="K5071" s="16"/>
      <c r="L5071" s="17" t="str">
        <f aca="false" t="array" ref="L5071:L5071">IFERROR(INDEX(AC5071:AE5071,IF(COUNTA(AC5071:AE5071)=0,"",MAX((AC5071:AE5071&lt;&gt;"")*(COLUMN(AC5071:AE5071)-(COLUMN(AC5071)-2))))-1),"")</f>
        <v/>
      </c>
      <c r="M5071" s="13"/>
      <c r="N5071" s="13"/>
      <c r="O5071" s="13"/>
      <c r="P5071" s="26"/>
      <c r="Q5071" s="20"/>
      <c r="R5071" s="13"/>
      <c r="S5071" s="25"/>
      <c r="T5071" s="13"/>
      <c r="U5071" s="13"/>
      <c r="V5071" s="13"/>
      <c r="W5071" s="13"/>
      <c r="X5071" s="21"/>
      <c r="Y5071" s="22"/>
      <c r="Z5071" s="23"/>
      <c r="AA5071" s="23"/>
      <c r="AB5071" s="15"/>
      <c r="AC5071" s="14"/>
      <c r="AD5071" s="18"/>
      <c r="AE5071" s="18"/>
    </row>
    <row r="5072" customFormat="false" ht="15" hidden="false" customHeight="true" outlineLevel="0" collapsed="false">
      <c r="A5072" s="12"/>
      <c r="B5072" s="13"/>
      <c r="C5072" s="14"/>
      <c r="D5072" s="13"/>
      <c r="E5072" s="15"/>
      <c r="F5072" s="15"/>
      <c r="G5072" s="15"/>
      <c r="H5072" s="13"/>
      <c r="I5072" s="13"/>
      <c r="J5072" s="16"/>
      <c r="K5072" s="16"/>
      <c r="L5072" s="17" t="str">
        <f aca="false" t="array" ref="L5072:L5072">IFERROR(INDEX(AC5072:AE5072,IF(COUNTA(AC5072:AE5072)=0,"",MAX((AC5072:AE5072&lt;&gt;"")*(COLUMN(AC5072:AE5072)-(COLUMN(AC5072)-2))))-1),"")</f>
        <v/>
      </c>
      <c r="M5072" s="13"/>
      <c r="N5072" s="13"/>
      <c r="O5072" s="13"/>
      <c r="P5072" s="26"/>
      <c r="Q5072" s="20"/>
      <c r="R5072" s="13"/>
      <c r="S5072" s="25"/>
      <c r="T5072" s="13"/>
      <c r="U5072" s="13"/>
      <c r="V5072" s="13"/>
      <c r="W5072" s="13"/>
      <c r="X5072" s="21"/>
      <c r="Y5072" s="22"/>
      <c r="Z5072" s="23"/>
      <c r="AA5072" s="23"/>
      <c r="AB5072" s="15"/>
      <c r="AC5072" s="14"/>
      <c r="AD5072" s="18"/>
      <c r="AE5072" s="18"/>
    </row>
    <row r="5073" customFormat="false" ht="15" hidden="false" customHeight="true" outlineLevel="0" collapsed="false">
      <c r="A5073" s="12"/>
      <c r="B5073" s="13"/>
      <c r="C5073" s="14"/>
      <c r="D5073" s="13"/>
      <c r="E5073" s="15"/>
      <c r="F5073" s="15"/>
      <c r="G5073" s="15"/>
      <c r="H5073" s="13"/>
      <c r="I5073" s="13"/>
      <c r="J5073" s="16"/>
      <c r="K5073" s="16"/>
      <c r="L5073" s="17" t="str">
        <f aca="false" t="array" ref="L5073:L5073">IFERROR(INDEX(AC5073:AE5073,IF(COUNTA(AC5073:AE5073)=0,"",MAX((AC5073:AE5073&lt;&gt;"")*(COLUMN(AC5073:AE5073)-(COLUMN(AC5073)-2))))-1),"")</f>
        <v/>
      </c>
      <c r="M5073" s="13"/>
      <c r="N5073" s="13"/>
      <c r="O5073" s="13"/>
      <c r="P5073" s="26"/>
      <c r="Q5073" s="20"/>
      <c r="R5073" s="13"/>
      <c r="S5073" s="25"/>
      <c r="T5073" s="13"/>
      <c r="U5073" s="13"/>
      <c r="V5073" s="13"/>
      <c r="W5073" s="13"/>
      <c r="X5073" s="21"/>
      <c r="Y5073" s="22"/>
      <c r="Z5073" s="23"/>
      <c r="AA5073" s="23"/>
      <c r="AB5073" s="15"/>
      <c r="AC5073" s="14"/>
      <c r="AD5073" s="18"/>
      <c r="AE5073" s="18"/>
    </row>
    <row r="5074" customFormat="false" ht="15" hidden="false" customHeight="true" outlineLevel="0" collapsed="false">
      <c r="A5074" s="12"/>
      <c r="B5074" s="13"/>
      <c r="C5074" s="14"/>
      <c r="D5074" s="13"/>
      <c r="E5074" s="15"/>
      <c r="F5074" s="15"/>
      <c r="G5074" s="15"/>
      <c r="H5074" s="13"/>
      <c r="I5074" s="13"/>
      <c r="J5074" s="16"/>
      <c r="K5074" s="16"/>
      <c r="L5074" s="17" t="str">
        <f aca="false" t="array" ref="L5074:L5074">IFERROR(INDEX(AC5074:AE5074,IF(COUNTA(AC5074:AE5074)=0,"",MAX((AC5074:AE5074&lt;&gt;"")*(COLUMN(AC5074:AE5074)-(COLUMN(AC5074)-2))))-1),"")</f>
        <v/>
      </c>
      <c r="M5074" s="13"/>
      <c r="N5074" s="13"/>
      <c r="O5074" s="13"/>
      <c r="P5074" s="26"/>
      <c r="Q5074" s="20"/>
      <c r="R5074" s="13"/>
      <c r="S5074" s="25"/>
      <c r="T5074" s="13"/>
      <c r="U5074" s="13"/>
      <c r="V5074" s="13"/>
      <c r="W5074" s="13"/>
      <c r="X5074" s="21"/>
      <c r="Y5074" s="22"/>
      <c r="Z5074" s="23"/>
      <c r="AA5074" s="23"/>
      <c r="AB5074" s="15"/>
      <c r="AC5074" s="14"/>
      <c r="AD5074" s="18"/>
      <c r="AE5074" s="18"/>
    </row>
    <row r="5075" customFormat="false" ht="15" hidden="false" customHeight="true" outlineLevel="0" collapsed="false">
      <c r="A5075" s="12"/>
      <c r="B5075" s="13"/>
      <c r="C5075" s="14"/>
      <c r="D5075" s="13"/>
      <c r="E5075" s="15"/>
      <c r="F5075" s="15"/>
      <c r="G5075" s="15"/>
      <c r="H5075" s="13"/>
      <c r="I5075" s="13"/>
      <c r="J5075" s="16"/>
      <c r="K5075" s="16"/>
      <c r="L5075" s="17" t="str">
        <f aca="false" t="array" ref="L5075:L5075">IFERROR(INDEX(AC5075:AE5075,IF(COUNTA(AC5075:AE5075)=0,"",MAX((AC5075:AE5075&lt;&gt;"")*(COLUMN(AC5075:AE5075)-(COLUMN(AC5075)-2))))-1),"")</f>
        <v/>
      </c>
      <c r="M5075" s="13"/>
      <c r="N5075" s="13"/>
      <c r="O5075" s="13"/>
      <c r="P5075" s="26"/>
      <c r="Q5075" s="20"/>
      <c r="R5075" s="13"/>
      <c r="S5075" s="25"/>
      <c r="T5075" s="13"/>
      <c r="U5075" s="13"/>
      <c r="V5075" s="13"/>
      <c r="W5075" s="13"/>
      <c r="X5075" s="21"/>
      <c r="Y5075" s="22"/>
      <c r="Z5075" s="23"/>
      <c r="AA5075" s="23"/>
      <c r="AB5075" s="15"/>
      <c r="AC5075" s="14"/>
      <c r="AD5075" s="18"/>
      <c r="AE5075" s="18"/>
    </row>
    <row r="5076" customFormat="false" ht="15" hidden="false" customHeight="true" outlineLevel="0" collapsed="false">
      <c r="A5076" s="12"/>
      <c r="B5076" s="13"/>
      <c r="C5076" s="14"/>
      <c r="D5076" s="13"/>
      <c r="E5076" s="15"/>
      <c r="F5076" s="15"/>
      <c r="G5076" s="15"/>
      <c r="H5076" s="13"/>
      <c r="I5076" s="13"/>
      <c r="J5076" s="16"/>
      <c r="K5076" s="16"/>
      <c r="L5076" s="17" t="str">
        <f aca="false" t="array" ref="L5076:L5076">IFERROR(INDEX(AC5076:AE5076,IF(COUNTA(AC5076:AE5076)=0,"",MAX((AC5076:AE5076&lt;&gt;"")*(COLUMN(AC5076:AE5076)-(COLUMN(AC5076)-2))))-1),"")</f>
        <v/>
      </c>
      <c r="M5076" s="13"/>
      <c r="N5076" s="13"/>
      <c r="O5076" s="13"/>
      <c r="P5076" s="26"/>
      <c r="Q5076" s="20"/>
      <c r="R5076" s="13"/>
      <c r="S5076" s="25"/>
      <c r="T5076" s="13"/>
      <c r="U5076" s="13"/>
      <c r="V5076" s="13"/>
      <c r="W5076" s="13"/>
      <c r="X5076" s="21"/>
      <c r="Y5076" s="22"/>
      <c r="Z5076" s="23"/>
      <c r="AA5076" s="23"/>
      <c r="AB5076" s="15"/>
      <c r="AC5076" s="14"/>
      <c r="AD5076" s="18"/>
      <c r="AE5076" s="18"/>
    </row>
    <row r="5077" customFormat="false" ht="15" hidden="false" customHeight="true" outlineLevel="0" collapsed="false">
      <c r="A5077" s="12"/>
      <c r="B5077" s="13"/>
      <c r="C5077" s="14"/>
      <c r="D5077" s="13"/>
      <c r="E5077" s="15"/>
      <c r="F5077" s="15"/>
      <c r="G5077" s="15"/>
      <c r="H5077" s="13"/>
      <c r="I5077" s="13"/>
      <c r="J5077" s="16"/>
      <c r="K5077" s="16"/>
      <c r="L5077" s="17" t="str">
        <f aca="false" t="array" ref="L5077:L5077">IFERROR(INDEX(AC5077:AE5077,IF(COUNTA(AC5077:AE5077)=0,"",MAX((AC5077:AE5077&lt;&gt;"")*(COLUMN(AC5077:AE5077)-(COLUMN(AC5077)-2))))-1),"")</f>
        <v/>
      </c>
      <c r="M5077" s="13"/>
      <c r="N5077" s="13"/>
      <c r="O5077" s="13"/>
      <c r="P5077" s="26"/>
      <c r="Q5077" s="20"/>
      <c r="R5077" s="13"/>
      <c r="S5077" s="25"/>
      <c r="T5077" s="13"/>
      <c r="U5077" s="13"/>
      <c r="V5077" s="13"/>
      <c r="W5077" s="13"/>
      <c r="X5077" s="21"/>
      <c r="Y5077" s="22"/>
      <c r="Z5077" s="23"/>
      <c r="AA5077" s="23"/>
      <c r="AB5077" s="15"/>
      <c r="AC5077" s="14"/>
      <c r="AD5077" s="18"/>
      <c r="AE5077" s="18"/>
    </row>
    <row r="5078" customFormat="false" ht="15" hidden="false" customHeight="true" outlineLevel="0" collapsed="false">
      <c r="A5078" s="12"/>
      <c r="B5078" s="13"/>
      <c r="C5078" s="14"/>
      <c r="D5078" s="13"/>
      <c r="E5078" s="15"/>
      <c r="F5078" s="15"/>
      <c r="G5078" s="15"/>
      <c r="H5078" s="13"/>
      <c r="I5078" s="13"/>
      <c r="J5078" s="16"/>
      <c r="K5078" s="16"/>
      <c r="L5078" s="17" t="str">
        <f aca="false" t="array" ref="L5078:L5078">IFERROR(INDEX(AC5078:AE5078,IF(COUNTA(AC5078:AE5078)=0,"",MAX((AC5078:AE5078&lt;&gt;"")*(COLUMN(AC5078:AE5078)-(COLUMN(AC5078)-2))))-1),"")</f>
        <v/>
      </c>
      <c r="M5078" s="13"/>
      <c r="N5078" s="13"/>
      <c r="O5078" s="13"/>
      <c r="P5078" s="26"/>
      <c r="Q5078" s="20"/>
      <c r="R5078" s="13"/>
      <c r="S5078" s="25"/>
      <c r="T5078" s="13"/>
      <c r="U5078" s="13"/>
      <c r="V5078" s="13"/>
      <c r="W5078" s="13"/>
      <c r="X5078" s="21"/>
      <c r="Y5078" s="22"/>
      <c r="Z5078" s="23"/>
      <c r="AA5078" s="23"/>
      <c r="AB5078" s="15"/>
      <c r="AC5078" s="14"/>
      <c r="AD5078" s="18"/>
      <c r="AE5078" s="18"/>
    </row>
    <row r="5079" customFormat="false" ht="15" hidden="false" customHeight="true" outlineLevel="0" collapsed="false">
      <c r="A5079" s="12"/>
      <c r="B5079" s="13"/>
      <c r="C5079" s="14"/>
      <c r="D5079" s="13"/>
      <c r="E5079" s="15"/>
      <c r="F5079" s="15"/>
      <c r="G5079" s="15"/>
      <c r="H5079" s="13"/>
      <c r="I5079" s="13"/>
      <c r="J5079" s="16"/>
      <c r="K5079" s="16"/>
      <c r="L5079" s="17" t="str">
        <f aca="false" t="array" ref="L5079:L5079">IFERROR(INDEX(AC5079:AE5079,IF(COUNTA(AC5079:AE5079)=0,"",MAX((AC5079:AE5079&lt;&gt;"")*(COLUMN(AC5079:AE5079)-(COLUMN(AC5079)-2))))-1),"")</f>
        <v/>
      </c>
      <c r="M5079" s="13"/>
      <c r="N5079" s="13"/>
      <c r="O5079" s="13"/>
      <c r="P5079" s="26"/>
      <c r="Q5079" s="20"/>
      <c r="R5079" s="13"/>
      <c r="S5079" s="25"/>
      <c r="T5079" s="13"/>
      <c r="U5079" s="13"/>
      <c r="V5079" s="13"/>
      <c r="W5079" s="13"/>
      <c r="X5079" s="21"/>
      <c r="Y5079" s="22"/>
      <c r="Z5079" s="23"/>
      <c r="AA5079" s="23"/>
      <c r="AB5079" s="15"/>
      <c r="AC5079" s="14"/>
      <c r="AD5079" s="18"/>
      <c r="AE5079" s="18"/>
    </row>
    <row r="5080" customFormat="false" ht="15" hidden="false" customHeight="true" outlineLevel="0" collapsed="false">
      <c r="A5080" s="12"/>
      <c r="B5080" s="13"/>
      <c r="C5080" s="14"/>
      <c r="D5080" s="13"/>
      <c r="E5080" s="15"/>
      <c r="F5080" s="15"/>
      <c r="G5080" s="15"/>
      <c r="H5080" s="13"/>
      <c r="I5080" s="13"/>
      <c r="J5080" s="16"/>
      <c r="K5080" s="16"/>
      <c r="L5080" s="17" t="str">
        <f aca="false" t="array" ref="L5080:L5080">IFERROR(INDEX(AC5080:AE5080,IF(COUNTA(AC5080:AE5080)=0,"",MAX((AC5080:AE5080&lt;&gt;"")*(COLUMN(AC5080:AE5080)-(COLUMN(AC5080)-2))))-1),"")</f>
        <v/>
      </c>
      <c r="M5080" s="13"/>
      <c r="N5080" s="13"/>
      <c r="O5080" s="13"/>
      <c r="P5080" s="26"/>
      <c r="Q5080" s="20"/>
      <c r="R5080" s="13"/>
      <c r="S5080" s="25"/>
      <c r="T5080" s="13"/>
      <c r="U5080" s="13"/>
      <c r="V5080" s="13"/>
      <c r="W5080" s="13"/>
      <c r="X5080" s="21"/>
      <c r="Y5080" s="22"/>
      <c r="Z5080" s="23"/>
      <c r="AA5080" s="23"/>
      <c r="AB5080" s="15"/>
      <c r="AC5080" s="14"/>
      <c r="AD5080" s="18"/>
      <c r="AE5080" s="18"/>
    </row>
    <row r="5081" customFormat="false" ht="15" hidden="false" customHeight="true" outlineLevel="0" collapsed="false">
      <c r="A5081" s="12"/>
      <c r="B5081" s="13"/>
      <c r="C5081" s="14"/>
      <c r="D5081" s="13"/>
      <c r="E5081" s="15"/>
      <c r="F5081" s="15"/>
      <c r="G5081" s="15"/>
      <c r="H5081" s="13"/>
      <c r="I5081" s="13"/>
      <c r="J5081" s="16"/>
      <c r="K5081" s="16"/>
      <c r="L5081" s="17" t="str">
        <f aca="false" t="array" ref="L5081:L5081">IFERROR(INDEX(AC5081:AE5081,IF(COUNTA(AC5081:AE5081)=0,"",MAX((AC5081:AE5081&lt;&gt;"")*(COLUMN(AC5081:AE5081)-(COLUMN(AC5081)-2))))-1),"")</f>
        <v/>
      </c>
      <c r="M5081" s="13"/>
      <c r="N5081" s="13"/>
      <c r="O5081" s="13"/>
      <c r="P5081" s="26"/>
      <c r="Q5081" s="20"/>
      <c r="R5081" s="13"/>
      <c r="S5081" s="25"/>
      <c r="T5081" s="13"/>
      <c r="U5081" s="13"/>
      <c r="V5081" s="13"/>
      <c r="W5081" s="13"/>
      <c r="X5081" s="21"/>
      <c r="Y5081" s="22"/>
      <c r="Z5081" s="23"/>
      <c r="AA5081" s="23"/>
      <c r="AB5081" s="15"/>
      <c r="AC5081" s="14"/>
      <c r="AD5081" s="18"/>
      <c r="AE5081" s="18"/>
    </row>
    <row r="5082" customFormat="false" ht="15" hidden="false" customHeight="true" outlineLevel="0" collapsed="false">
      <c r="A5082" s="12"/>
      <c r="B5082" s="13"/>
      <c r="C5082" s="14"/>
      <c r="D5082" s="13"/>
      <c r="E5082" s="15"/>
      <c r="F5082" s="15"/>
      <c r="G5082" s="15"/>
      <c r="H5082" s="13"/>
      <c r="I5082" s="13"/>
      <c r="J5082" s="16"/>
      <c r="K5082" s="16"/>
      <c r="L5082" s="17" t="str">
        <f aca="false" t="array" ref="L5082:L5082">IFERROR(INDEX(AC5082:AE5082,IF(COUNTA(AC5082:AE5082)=0,"",MAX((AC5082:AE5082&lt;&gt;"")*(COLUMN(AC5082:AE5082)-(COLUMN(AC5082)-2))))-1),"")</f>
        <v/>
      </c>
      <c r="M5082" s="13"/>
      <c r="N5082" s="13"/>
      <c r="O5082" s="13"/>
      <c r="P5082" s="26"/>
      <c r="Q5082" s="20"/>
      <c r="R5082" s="13"/>
      <c r="S5082" s="25"/>
      <c r="T5082" s="13"/>
      <c r="U5082" s="13"/>
      <c r="V5082" s="13"/>
      <c r="W5082" s="13"/>
      <c r="X5082" s="21"/>
      <c r="Y5082" s="22"/>
      <c r="Z5082" s="23"/>
      <c r="AA5082" s="23"/>
      <c r="AB5082" s="15"/>
      <c r="AC5082" s="14"/>
      <c r="AD5082" s="18"/>
      <c r="AE5082" s="18"/>
    </row>
    <row r="5083" customFormat="false" ht="15" hidden="false" customHeight="true" outlineLevel="0" collapsed="false">
      <c r="A5083" s="12"/>
      <c r="B5083" s="13"/>
      <c r="C5083" s="14"/>
      <c r="D5083" s="13"/>
      <c r="E5083" s="15"/>
      <c r="F5083" s="15"/>
      <c r="G5083" s="15"/>
      <c r="H5083" s="13"/>
      <c r="I5083" s="13"/>
      <c r="J5083" s="16"/>
      <c r="K5083" s="16"/>
      <c r="L5083" s="17" t="str">
        <f aca="false" t="array" ref="L5083:L5083">IFERROR(INDEX(AC5083:AE5083,IF(COUNTA(AC5083:AE5083)=0,"",MAX((AC5083:AE5083&lt;&gt;"")*(COLUMN(AC5083:AE5083)-(COLUMN(AC5083)-2))))-1),"")</f>
        <v/>
      </c>
      <c r="M5083" s="13"/>
      <c r="N5083" s="13"/>
      <c r="O5083" s="13"/>
      <c r="P5083" s="26"/>
      <c r="Q5083" s="20"/>
      <c r="R5083" s="13"/>
      <c r="S5083" s="25"/>
      <c r="T5083" s="13"/>
      <c r="U5083" s="13"/>
      <c r="V5083" s="13"/>
      <c r="W5083" s="13"/>
      <c r="X5083" s="21"/>
      <c r="Y5083" s="22"/>
      <c r="Z5083" s="23"/>
      <c r="AA5083" s="23"/>
      <c r="AB5083" s="15"/>
      <c r="AC5083" s="14"/>
      <c r="AD5083" s="18"/>
      <c r="AE5083" s="18"/>
    </row>
    <row r="5084" customFormat="false" ht="15" hidden="false" customHeight="true" outlineLevel="0" collapsed="false">
      <c r="A5084" s="12"/>
      <c r="B5084" s="13"/>
      <c r="C5084" s="14"/>
      <c r="D5084" s="13"/>
      <c r="E5084" s="15"/>
      <c r="F5084" s="15"/>
      <c r="G5084" s="15"/>
      <c r="H5084" s="13"/>
      <c r="I5084" s="13"/>
      <c r="J5084" s="16"/>
      <c r="K5084" s="16"/>
      <c r="L5084" s="17" t="str">
        <f aca="false" t="array" ref="L5084:L5084">IFERROR(INDEX(AC5084:AE5084,IF(COUNTA(AC5084:AE5084)=0,"",MAX((AC5084:AE5084&lt;&gt;"")*(COLUMN(AC5084:AE5084)-(COLUMN(AC5084)-2))))-1),"")</f>
        <v/>
      </c>
      <c r="M5084" s="13"/>
      <c r="N5084" s="13"/>
      <c r="O5084" s="13"/>
      <c r="P5084" s="26"/>
      <c r="Q5084" s="20"/>
      <c r="R5084" s="13"/>
      <c r="S5084" s="25"/>
      <c r="T5084" s="13"/>
      <c r="U5084" s="13"/>
      <c r="V5084" s="13"/>
      <c r="W5084" s="13"/>
      <c r="X5084" s="21"/>
      <c r="Y5084" s="22"/>
      <c r="Z5084" s="23"/>
      <c r="AA5084" s="23"/>
      <c r="AB5084" s="15"/>
      <c r="AC5084" s="14"/>
      <c r="AD5084" s="18"/>
      <c r="AE5084" s="18"/>
    </row>
    <row r="5085" customFormat="false" ht="15" hidden="false" customHeight="true" outlineLevel="0" collapsed="false">
      <c r="A5085" s="12"/>
      <c r="B5085" s="13"/>
      <c r="C5085" s="14"/>
      <c r="D5085" s="13"/>
      <c r="E5085" s="15"/>
      <c r="F5085" s="15"/>
      <c r="G5085" s="15"/>
      <c r="H5085" s="13"/>
      <c r="I5085" s="13"/>
      <c r="J5085" s="16"/>
      <c r="K5085" s="16"/>
      <c r="L5085" s="17" t="str">
        <f aca="false" t="array" ref="L5085:L5085">IFERROR(INDEX(AC5085:AE5085,IF(COUNTA(AC5085:AE5085)=0,"",MAX((AC5085:AE5085&lt;&gt;"")*(COLUMN(AC5085:AE5085)-(COLUMN(AC5085)-2))))-1),"")</f>
        <v/>
      </c>
      <c r="M5085" s="13"/>
      <c r="N5085" s="13"/>
      <c r="O5085" s="13"/>
      <c r="P5085" s="26"/>
      <c r="Q5085" s="20"/>
      <c r="R5085" s="13"/>
      <c r="S5085" s="25"/>
      <c r="T5085" s="13"/>
      <c r="U5085" s="13"/>
      <c r="V5085" s="13"/>
      <c r="W5085" s="13"/>
      <c r="X5085" s="21"/>
      <c r="Y5085" s="22"/>
      <c r="Z5085" s="23"/>
      <c r="AA5085" s="23"/>
      <c r="AB5085" s="15"/>
      <c r="AC5085" s="14"/>
      <c r="AD5085" s="18"/>
      <c r="AE5085" s="18"/>
    </row>
    <row r="5086" customFormat="false" ht="15" hidden="false" customHeight="true" outlineLevel="0" collapsed="false">
      <c r="A5086" s="12"/>
      <c r="B5086" s="13"/>
      <c r="C5086" s="14"/>
      <c r="D5086" s="13"/>
      <c r="E5086" s="15"/>
      <c r="F5086" s="15"/>
      <c r="G5086" s="15"/>
      <c r="H5086" s="13"/>
      <c r="I5086" s="13"/>
      <c r="J5086" s="16"/>
      <c r="K5086" s="16"/>
      <c r="L5086" s="17" t="str">
        <f aca="false" t="array" ref="L5086:L5086">IFERROR(INDEX(AC5086:AE5086,IF(COUNTA(AC5086:AE5086)=0,"",MAX((AC5086:AE5086&lt;&gt;"")*(COLUMN(AC5086:AE5086)-(COLUMN(AC5086)-2))))-1),"")</f>
        <v/>
      </c>
      <c r="M5086" s="13"/>
      <c r="N5086" s="13"/>
      <c r="O5086" s="13"/>
      <c r="P5086" s="26"/>
      <c r="Q5086" s="20"/>
      <c r="R5086" s="13"/>
      <c r="S5086" s="25"/>
      <c r="T5086" s="13"/>
      <c r="U5086" s="13"/>
      <c r="V5086" s="13"/>
      <c r="W5086" s="13"/>
      <c r="X5086" s="21"/>
      <c r="Y5086" s="22"/>
      <c r="Z5086" s="23"/>
      <c r="AA5086" s="23"/>
      <c r="AB5086" s="15"/>
      <c r="AC5086" s="14"/>
      <c r="AD5086" s="18"/>
      <c r="AE5086" s="18"/>
    </row>
    <row r="5087" customFormat="false" ht="15" hidden="false" customHeight="true" outlineLevel="0" collapsed="false">
      <c r="A5087" s="12"/>
      <c r="B5087" s="13"/>
      <c r="C5087" s="14"/>
      <c r="D5087" s="13"/>
      <c r="E5087" s="15"/>
      <c r="F5087" s="15"/>
      <c r="G5087" s="15"/>
      <c r="H5087" s="13"/>
      <c r="I5087" s="13"/>
      <c r="J5087" s="16"/>
      <c r="K5087" s="16"/>
      <c r="L5087" s="17" t="str">
        <f aca="false" t="array" ref="L5087:L5087">IFERROR(INDEX(AC5087:AE5087,IF(COUNTA(AC5087:AE5087)=0,"",MAX((AC5087:AE5087&lt;&gt;"")*(COLUMN(AC5087:AE5087)-(COLUMN(AC5087)-2))))-1),"")</f>
        <v/>
      </c>
      <c r="M5087" s="13"/>
      <c r="N5087" s="13"/>
      <c r="O5087" s="13"/>
      <c r="P5087" s="26"/>
      <c r="Q5087" s="20"/>
      <c r="R5087" s="13"/>
      <c r="S5087" s="25"/>
      <c r="T5087" s="13"/>
      <c r="U5087" s="13"/>
      <c r="V5087" s="13"/>
      <c r="W5087" s="13"/>
      <c r="X5087" s="21"/>
      <c r="Y5087" s="22"/>
      <c r="Z5087" s="23"/>
      <c r="AA5087" s="23"/>
      <c r="AB5087" s="15"/>
      <c r="AC5087" s="14"/>
      <c r="AD5087" s="18"/>
      <c r="AE5087" s="18"/>
    </row>
    <row r="5088" customFormat="false" ht="15" hidden="false" customHeight="true" outlineLevel="0" collapsed="false">
      <c r="A5088" s="12"/>
      <c r="B5088" s="13"/>
      <c r="C5088" s="14"/>
      <c r="D5088" s="13"/>
      <c r="E5088" s="15"/>
      <c r="F5088" s="15"/>
      <c r="G5088" s="15"/>
      <c r="H5088" s="13"/>
      <c r="I5088" s="13"/>
      <c r="J5088" s="16"/>
      <c r="K5088" s="16"/>
      <c r="L5088" s="17" t="str">
        <f aca="false" t="array" ref="L5088:L5088">IFERROR(INDEX(AC5088:AE5088,IF(COUNTA(AC5088:AE5088)=0,"",MAX((AC5088:AE5088&lt;&gt;"")*(COLUMN(AC5088:AE5088)-(COLUMN(AC5088)-2))))-1),"")</f>
        <v/>
      </c>
      <c r="M5088" s="13"/>
      <c r="N5088" s="13"/>
      <c r="O5088" s="13"/>
      <c r="P5088" s="26"/>
      <c r="Q5088" s="20"/>
      <c r="R5088" s="13"/>
      <c r="S5088" s="25"/>
      <c r="T5088" s="13"/>
      <c r="U5088" s="13"/>
      <c r="V5088" s="13"/>
      <c r="W5088" s="13"/>
      <c r="X5088" s="21"/>
      <c r="Y5088" s="22"/>
      <c r="Z5088" s="23"/>
      <c r="AA5088" s="23"/>
      <c r="AB5088" s="15"/>
      <c r="AC5088" s="14"/>
      <c r="AD5088" s="18"/>
      <c r="AE5088" s="18"/>
    </row>
    <row r="5089" customFormat="false" ht="15" hidden="false" customHeight="true" outlineLevel="0" collapsed="false">
      <c r="A5089" s="12"/>
      <c r="B5089" s="13"/>
      <c r="C5089" s="14"/>
      <c r="D5089" s="13"/>
      <c r="E5089" s="15"/>
      <c r="F5089" s="15"/>
      <c r="G5089" s="15"/>
      <c r="H5089" s="13"/>
      <c r="I5089" s="13"/>
      <c r="J5089" s="16"/>
      <c r="K5089" s="16"/>
      <c r="L5089" s="17" t="str">
        <f aca="false" t="array" ref="L5089:L5089">IFERROR(INDEX(AC5089:AE5089,IF(COUNTA(AC5089:AE5089)=0,"",MAX((AC5089:AE5089&lt;&gt;"")*(COLUMN(AC5089:AE5089)-(COLUMN(AC5089)-2))))-1),"")</f>
        <v/>
      </c>
      <c r="M5089" s="13"/>
      <c r="N5089" s="13"/>
      <c r="O5089" s="13"/>
      <c r="P5089" s="26"/>
      <c r="Q5089" s="20"/>
      <c r="R5089" s="13"/>
      <c r="S5089" s="25"/>
      <c r="T5089" s="13"/>
      <c r="U5089" s="13"/>
      <c r="V5089" s="13"/>
      <c r="W5089" s="13"/>
      <c r="X5089" s="21"/>
      <c r="Y5089" s="22"/>
      <c r="Z5089" s="23"/>
      <c r="AA5089" s="23"/>
      <c r="AB5089" s="15"/>
      <c r="AC5089" s="14"/>
      <c r="AD5089" s="18"/>
      <c r="AE5089" s="18"/>
    </row>
    <row r="5090" customFormat="false" ht="15" hidden="false" customHeight="true" outlineLevel="0" collapsed="false">
      <c r="A5090" s="12"/>
      <c r="B5090" s="13"/>
      <c r="C5090" s="14"/>
      <c r="D5090" s="13"/>
      <c r="E5090" s="15"/>
      <c r="F5090" s="15"/>
      <c r="G5090" s="15"/>
      <c r="H5090" s="13"/>
      <c r="I5090" s="13"/>
      <c r="J5090" s="16"/>
      <c r="K5090" s="16"/>
      <c r="L5090" s="17" t="str">
        <f aca="false" t="array" ref="L5090:L5090">IFERROR(INDEX(AC5090:AE5090,IF(COUNTA(AC5090:AE5090)=0,"",MAX((AC5090:AE5090&lt;&gt;"")*(COLUMN(AC5090:AE5090)-(COLUMN(AC5090)-2))))-1),"")</f>
        <v/>
      </c>
      <c r="M5090" s="13"/>
      <c r="N5090" s="13"/>
      <c r="O5090" s="13"/>
      <c r="P5090" s="26"/>
      <c r="Q5090" s="20"/>
      <c r="R5090" s="13"/>
      <c r="S5090" s="25"/>
      <c r="T5090" s="13"/>
      <c r="U5090" s="13"/>
      <c r="V5090" s="13"/>
      <c r="W5090" s="13"/>
      <c r="X5090" s="21"/>
      <c r="Y5090" s="22"/>
      <c r="Z5090" s="23"/>
      <c r="AA5090" s="23"/>
      <c r="AB5090" s="15"/>
      <c r="AC5090" s="14"/>
      <c r="AD5090" s="18"/>
      <c r="AE5090" s="18"/>
    </row>
    <row r="5091" customFormat="false" ht="15" hidden="false" customHeight="true" outlineLevel="0" collapsed="false">
      <c r="A5091" s="12"/>
      <c r="B5091" s="13"/>
      <c r="C5091" s="14"/>
      <c r="D5091" s="13"/>
      <c r="E5091" s="15"/>
      <c r="F5091" s="15"/>
      <c r="G5091" s="15"/>
      <c r="H5091" s="13"/>
      <c r="I5091" s="13"/>
      <c r="J5091" s="16"/>
      <c r="K5091" s="16"/>
      <c r="L5091" s="17" t="str">
        <f aca="false" t="array" ref="L5091:L5091">IFERROR(INDEX(AC5091:AE5091,IF(COUNTA(AC5091:AE5091)=0,"",MAX((AC5091:AE5091&lt;&gt;"")*(COLUMN(AC5091:AE5091)-(COLUMN(AC5091)-2))))-1),"")</f>
        <v/>
      </c>
      <c r="M5091" s="13"/>
      <c r="N5091" s="13"/>
      <c r="O5091" s="13"/>
      <c r="P5091" s="26"/>
      <c r="Q5091" s="20"/>
      <c r="R5091" s="13"/>
      <c r="S5091" s="25"/>
      <c r="T5091" s="13"/>
      <c r="U5091" s="13"/>
      <c r="V5091" s="13"/>
      <c r="W5091" s="13"/>
      <c r="X5091" s="21"/>
      <c r="Y5091" s="22"/>
      <c r="Z5091" s="23"/>
      <c r="AA5091" s="23"/>
      <c r="AB5091" s="15"/>
      <c r="AC5091" s="14"/>
      <c r="AD5091" s="18"/>
      <c r="AE5091" s="18"/>
    </row>
    <row r="5092" customFormat="false" ht="15" hidden="false" customHeight="true" outlineLevel="0" collapsed="false">
      <c r="A5092" s="12"/>
      <c r="B5092" s="13"/>
      <c r="C5092" s="14"/>
      <c r="D5092" s="13"/>
      <c r="E5092" s="15"/>
      <c r="F5092" s="15"/>
      <c r="G5092" s="15"/>
      <c r="H5092" s="13"/>
      <c r="I5092" s="13"/>
      <c r="J5092" s="16"/>
      <c r="K5092" s="16"/>
      <c r="L5092" s="17" t="str">
        <f aca="false" t="array" ref="L5092:L5092">IFERROR(INDEX(AC5092:AE5092,IF(COUNTA(AC5092:AE5092)=0,"",MAX((AC5092:AE5092&lt;&gt;"")*(COLUMN(AC5092:AE5092)-(COLUMN(AC5092)-2))))-1),"")</f>
        <v/>
      </c>
      <c r="M5092" s="13"/>
      <c r="N5092" s="13"/>
      <c r="O5092" s="13"/>
      <c r="P5092" s="26"/>
      <c r="Q5092" s="20"/>
      <c r="R5092" s="13"/>
      <c r="S5092" s="25"/>
      <c r="T5092" s="13"/>
      <c r="U5092" s="13"/>
      <c r="V5092" s="13"/>
      <c r="W5092" s="13"/>
      <c r="X5092" s="21"/>
      <c r="Y5092" s="22"/>
      <c r="Z5092" s="23"/>
      <c r="AA5092" s="23"/>
      <c r="AB5092" s="15"/>
      <c r="AC5092" s="14"/>
      <c r="AD5092" s="18"/>
      <c r="AE5092" s="18"/>
    </row>
    <row r="5093" customFormat="false" ht="15" hidden="false" customHeight="true" outlineLevel="0" collapsed="false">
      <c r="A5093" s="12"/>
      <c r="B5093" s="13"/>
      <c r="C5093" s="14"/>
      <c r="D5093" s="13"/>
      <c r="E5093" s="15"/>
      <c r="F5093" s="15"/>
      <c r="G5093" s="15"/>
      <c r="H5093" s="13"/>
      <c r="I5093" s="13"/>
      <c r="J5093" s="16"/>
      <c r="K5093" s="16"/>
      <c r="L5093" s="17" t="str">
        <f aca="false" t="array" ref="L5093:L5093">IFERROR(INDEX(AC5093:AE5093,IF(COUNTA(AC5093:AE5093)=0,"",MAX((AC5093:AE5093&lt;&gt;"")*(COLUMN(AC5093:AE5093)-(COLUMN(AC5093)-2))))-1),"")</f>
        <v/>
      </c>
      <c r="M5093" s="13"/>
      <c r="N5093" s="13"/>
      <c r="O5093" s="13"/>
      <c r="P5093" s="26"/>
      <c r="Q5093" s="20"/>
      <c r="R5093" s="13"/>
      <c r="S5093" s="25"/>
      <c r="T5093" s="13"/>
      <c r="U5093" s="13"/>
      <c r="V5093" s="13"/>
      <c r="W5093" s="13"/>
      <c r="X5093" s="21"/>
      <c r="Y5093" s="22"/>
      <c r="Z5093" s="23"/>
      <c r="AA5093" s="23"/>
      <c r="AB5093" s="15"/>
      <c r="AC5093" s="14"/>
      <c r="AD5093" s="18"/>
      <c r="AE5093" s="18"/>
    </row>
    <row r="5094" customFormat="false" ht="15" hidden="false" customHeight="true" outlineLevel="0" collapsed="false">
      <c r="A5094" s="12"/>
      <c r="B5094" s="13"/>
      <c r="C5094" s="14"/>
      <c r="D5094" s="13"/>
      <c r="E5094" s="15"/>
      <c r="F5094" s="15"/>
      <c r="G5094" s="15"/>
      <c r="H5094" s="13"/>
      <c r="I5094" s="13"/>
      <c r="J5094" s="16"/>
      <c r="K5094" s="16"/>
      <c r="L5094" s="17" t="str">
        <f aca="false" t="array" ref="L5094:L5094">IFERROR(INDEX(AC5094:AE5094,IF(COUNTA(AC5094:AE5094)=0,"",MAX((AC5094:AE5094&lt;&gt;"")*(COLUMN(AC5094:AE5094)-(COLUMN(AC5094)-2))))-1),"")</f>
        <v/>
      </c>
      <c r="M5094" s="13"/>
      <c r="N5094" s="13"/>
      <c r="O5094" s="13"/>
      <c r="P5094" s="26"/>
      <c r="Q5094" s="20"/>
      <c r="R5094" s="13"/>
      <c r="S5094" s="25"/>
      <c r="T5094" s="13"/>
      <c r="U5094" s="13"/>
      <c r="V5094" s="13"/>
      <c r="W5094" s="13"/>
      <c r="X5094" s="21"/>
      <c r="Y5094" s="22"/>
      <c r="Z5094" s="23"/>
      <c r="AA5094" s="23"/>
      <c r="AB5094" s="15"/>
      <c r="AC5094" s="14"/>
      <c r="AD5094" s="18"/>
      <c r="AE5094" s="18"/>
    </row>
    <row r="5095" customFormat="false" ht="15" hidden="false" customHeight="true" outlineLevel="0" collapsed="false">
      <c r="A5095" s="12"/>
      <c r="B5095" s="13"/>
      <c r="C5095" s="14"/>
      <c r="D5095" s="13"/>
      <c r="E5095" s="15"/>
      <c r="F5095" s="15"/>
      <c r="G5095" s="15"/>
      <c r="H5095" s="13"/>
      <c r="I5095" s="13"/>
      <c r="J5095" s="16"/>
      <c r="K5095" s="16"/>
      <c r="L5095" s="17" t="str">
        <f aca="false" t="array" ref="L5095:L5095">IFERROR(INDEX(AC5095:AE5095,IF(COUNTA(AC5095:AE5095)=0,"",MAX((AC5095:AE5095&lt;&gt;"")*(COLUMN(AC5095:AE5095)-(COLUMN(AC5095)-2))))-1),"")</f>
        <v/>
      </c>
      <c r="M5095" s="13"/>
      <c r="N5095" s="13"/>
      <c r="O5095" s="13"/>
      <c r="P5095" s="26"/>
      <c r="Q5095" s="20"/>
      <c r="R5095" s="13"/>
      <c r="S5095" s="25"/>
      <c r="T5095" s="13"/>
      <c r="U5095" s="13"/>
      <c r="V5095" s="13"/>
      <c r="W5095" s="13"/>
      <c r="X5095" s="21"/>
      <c r="Y5095" s="22"/>
      <c r="Z5095" s="23"/>
      <c r="AA5095" s="23"/>
      <c r="AB5095" s="15"/>
      <c r="AC5095" s="14"/>
      <c r="AD5095" s="18"/>
      <c r="AE5095" s="18"/>
    </row>
    <row r="5096" customFormat="false" ht="15" hidden="false" customHeight="true" outlineLevel="0" collapsed="false">
      <c r="A5096" s="12"/>
      <c r="B5096" s="13"/>
      <c r="C5096" s="14"/>
      <c r="D5096" s="13"/>
      <c r="E5096" s="15"/>
      <c r="F5096" s="15"/>
      <c r="G5096" s="15"/>
      <c r="H5096" s="13"/>
      <c r="I5096" s="13"/>
      <c r="J5096" s="16"/>
      <c r="K5096" s="16"/>
      <c r="L5096" s="17" t="str">
        <f aca="false" t="array" ref="L5096:L5096">IFERROR(INDEX(AC5096:AE5096,IF(COUNTA(AC5096:AE5096)=0,"",MAX((AC5096:AE5096&lt;&gt;"")*(COLUMN(AC5096:AE5096)-(COLUMN(AC5096)-2))))-1),"")</f>
        <v/>
      </c>
      <c r="M5096" s="13"/>
      <c r="N5096" s="13"/>
      <c r="O5096" s="13"/>
      <c r="P5096" s="26"/>
      <c r="Q5096" s="20"/>
      <c r="R5096" s="13"/>
      <c r="S5096" s="25"/>
      <c r="T5096" s="13"/>
      <c r="U5096" s="13"/>
      <c r="V5096" s="13"/>
      <c r="W5096" s="13"/>
      <c r="X5096" s="21"/>
      <c r="Y5096" s="22"/>
      <c r="Z5096" s="23"/>
      <c r="AA5096" s="23"/>
      <c r="AB5096" s="15"/>
      <c r="AC5096" s="14"/>
      <c r="AD5096" s="18"/>
      <c r="AE5096" s="18"/>
    </row>
    <row r="5097" customFormat="false" ht="15" hidden="false" customHeight="true" outlineLevel="0" collapsed="false">
      <c r="A5097" s="12"/>
      <c r="B5097" s="13"/>
      <c r="C5097" s="14"/>
      <c r="D5097" s="13"/>
      <c r="E5097" s="15"/>
      <c r="F5097" s="15"/>
      <c r="G5097" s="15"/>
      <c r="H5097" s="13"/>
      <c r="I5097" s="13"/>
      <c r="J5097" s="16"/>
      <c r="K5097" s="16"/>
      <c r="L5097" s="17" t="str">
        <f aca="false" t="array" ref="L5097:L5097">IFERROR(INDEX(AC5097:AE5097,IF(COUNTA(AC5097:AE5097)=0,"",MAX((AC5097:AE5097&lt;&gt;"")*(COLUMN(AC5097:AE5097)-(COLUMN(AC5097)-2))))-1),"")</f>
        <v/>
      </c>
      <c r="M5097" s="13"/>
      <c r="N5097" s="13"/>
      <c r="O5097" s="13"/>
      <c r="P5097" s="26"/>
      <c r="Q5097" s="20"/>
      <c r="R5097" s="13"/>
      <c r="S5097" s="25"/>
      <c r="T5097" s="13"/>
      <c r="U5097" s="13"/>
      <c r="V5097" s="13"/>
      <c r="W5097" s="13"/>
      <c r="X5097" s="21"/>
      <c r="Y5097" s="22"/>
      <c r="Z5097" s="23"/>
      <c r="AA5097" s="23"/>
      <c r="AB5097" s="15"/>
      <c r="AC5097" s="14"/>
      <c r="AD5097" s="18"/>
      <c r="AE5097" s="18"/>
    </row>
    <row r="5098" customFormat="false" ht="15" hidden="false" customHeight="true" outlineLevel="0" collapsed="false">
      <c r="A5098" s="12"/>
      <c r="B5098" s="13"/>
      <c r="C5098" s="14"/>
      <c r="D5098" s="13"/>
      <c r="E5098" s="15"/>
      <c r="F5098" s="15"/>
      <c r="G5098" s="15"/>
      <c r="H5098" s="13"/>
      <c r="I5098" s="13"/>
      <c r="J5098" s="16"/>
      <c r="K5098" s="16"/>
      <c r="L5098" s="17" t="str">
        <f aca="false" t="array" ref="L5098:L5098">IFERROR(INDEX(AC5098:AE5098,IF(COUNTA(AC5098:AE5098)=0,"",MAX((AC5098:AE5098&lt;&gt;"")*(COLUMN(AC5098:AE5098)-(COLUMN(AC5098)-2))))-1),"")</f>
        <v/>
      </c>
      <c r="M5098" s="13"/>
      <c r="N5098" s="13"/>
      <c r="O5098" s="13"/>
      <c r="P5098" s="26"/>
      <c r="Q5098" s="20"/>
      <c r="R5098" s="13"/>
      <c r="S5098" s="25"/>
      <c r="T5098" s="13"/>
      <c r="U5098" s="13"/>
      <c r="V5098" s="13"/>
      <c r="W5098" s="13"/>
      <c r="X5098" s="21"/>
      <c r="Y5098" s="22"/>
      <c r="Z5098" s="23"/>
      <c r="AA5098" s="23"/>
      <c r="AB5098" s="15"/>
      <c r="AC5098" s="14"/>
      <c r="AD5098" s="18"/>
      <c r="AE5098" s="18"/>
    </row>
    <row r="5099" customFormat="false" ht="15" hidden="false" customHeight="true" outlineLevel="0" collapsed="false">
      <c r="A5099" s="12"/>
      <c r="B5099" s="13"/>
      <c r="C5099" s="14"/>
      <c r="D5099" s="13"/>
      <c r="E5099" s="15"/>
      <c r="F5099" s="15"/>
      <c r="G5099" s="15"/>
      <c r="H5099" s="13"/>
      <c r="I5099" s="13"/>
      <c r="J5099" s="16"/>
      <c r="K5099" s="16"/>
      <c r="L5099" s="17" t="str">
        <f aca="false" t="array" ref="L5099:L5099">IFERROR(INDEX(AC5099:AE5099,IF(COUNTA(AC5099:AE5099)=0,"",MAX((AC5099:AE5099&lt;&gt;"")*(COLUMN(AC5099:AE5099)-(COLUMN(AC5099)-2))))-1),"")</f>
        <v/>
      </c>
      <c r="M5099" s="13"/>
      <c r="N5099" s="13"/>
      <c r="O5099" s="13"/>
      <c r="P5099" s="26"/>
      <c r="Q5099" s="20"/>
      <c r="R5099" s="13"/>
      <c r="S5099" s="25"/>
      <c r="T5099" s="13"/>
      <c r="U5099" s="13"/>
      <c r="V5099" s="13"/>
      <c r="W5099" s="13"/>
      <c r="X5099" s="21"/>
      <c r="Y5099" s="22"/>
      <c r="Z5099" s="23"/>
      <c r="AA5099" s="23"/>
      <c r="AB5099" s="15"/>
      <c r="AC5099" s="14"/>
      <c r="AD5099" s="18"/>
      <c r="AE5099" s="18"/>
    </row>
    <row r="5100" customFormat="false" ht="15" hidden="false" customHeight="true" outlineLevel="0" collapsed="false">
      <c r="A5100" s="12"/>
      <c r="B5100" s="13"/>
      <c r="C5100" s="14"/>
      <c r="D5100" s="13"/>
      <c r="E5100" s="15"/>
      <c r="F5100" s="15"/>
      <c r="G5100" s="15"/>
      <c r="H5100" s="13"/>
      <c r="I5100" s="13"/>
      <c r="J5100" s="16"/>
      <c r="K5100" s="16"/>
      <c r="L5100" s="17" t="str">
        <f aca="false" t="array" ref="L5100:L5100">IFERROR(INDEX(AC5100:AE5100,IF(COUNTA(AC5100:AE5100)=0,"",MAX((AC5100:AE5100&lt;&gt;"")*(COLUMN(AC5100:AE5100)-(COLUMN(AC5100)-2))))-1),"")</f>
        <v/>
      </c>
      <c r="M5100" s="13"/>
      <c r="N5100" s="13"/>
      <c r="O5100" s="13"/>
      <c r="P5100" s="26"/>
      <c r="Q5100" s="20"/>
      <c r="R5100" s="13"/>
      <c r="S5100" s="25"/>
      <c r="T5100" s="13"/>
      <c r="U5100" s="13"/>
      <c r="V5100" s="13"/>
      <c r="W5100" s="13"/>
      <c r="X5100" s="21"/>
      <c r="Y5100" s="22"/>
      <c r="Z5100" s="23"/>
      <c r="AA5100" s="23"/>
      <c r="AB5100" s="15"/>
      <c r="AC5100" s="14"/>
      <c r="AD5100" s="18"/>
      <c r="AE5100" s="18"/>
    </row>
    <row r="5101" customFormat="false" ht="15" hidden="false" customHeight="true" outlineLevel="0" collapsed="false">
      <c r="A5101" s="12"/>
      <c r="B5101" s="13"/>
      <c r="C5101" s="14"/>
      <c r="D5101" s="13"/>
      <c r="E5101" s="15"/>
      <c r="F5101" s="15"/>
      <c r="G5101" s="15"/>
      <c r="H5101" s="13"/>
      <c r="I5101" s="13"/>
      <c r="J5101" s="16"/>
      <c r="K5101" s="16"/>
      <c r="L5101" s="17" t="str">
        <f aca="false" t="array" ref="L5101:L5101">IFERROR(INDEX(AC5101:AE5101,IF(COUNTA(AC5101:AE5101)=0,"",MAX((AC5101:AE5101&lt;&gt;"")*(COLUMN(AC5101:AE5101)-(COLUMN(AC5101)-2))))-1),"")</f>
        <v/>
      </c>
      <c r="M5101" s="13"/>
      <c r="N5101" s="13"/>
      <c r="O5101" s="13"/>
      <c r="P5101" s="26"/>
      <c r="Q5101" s="20"/>
      <c r="R5101" s="13"/>
      <c r="S5101" s="25"/>
      <c r="T5101" s="13"/>
      <c r="U5101" s="13"/>
      <c r="V5101" s="13"/>
      <c r="W5101" s="13"/>
      <c r="X5101" s="21"/>
      <c r="Y5101" s="22"/>
      <c r="Z5101" s="23"/>
      <c r="AA5101" s="23"/>
      <c r="AB5101" s="15"/>
      <c r="AC5101" s="14"/>
      <c r="AD5101" s="18"/>
      <c r="AE5101" s="18"/>
    </row>
    <row r="5102" customFormat="false" ht="15" hidden="false" customHeight="true" outlineLevel="0" collapsed="false">
      <c r="A5102" s="12"/>
      <c r="B5102" s="13"/>
      <c r="C5102" s="14"/>
      <c r="D5102" s="13"/>
      <c r="E5102" s="15"/>
      <c r="F5102" s="15"/>
      <c r="G5102" s="15"/>
      <c r="H5102" s="13"/>
      <c r="I5102" s="13"/>
      <c r="J5102" s="16"/>
      <c r="K5102" s="16"/>
      <c r="L5102" s="17" t="str">
        <f aca="false" t="array" ref="L5102:L5102">IFERROR(INDEX(AC5102:AE5102,IF(COUNTA(AC5102:AE5102)=0,"",MAX((AC5102:AE5102&lt;&gt;"")*(COLUMN(AC5102:AE5102)-(COLUMN(AC5102)-2))))-1),"")</f>
        <v/>
      </c>
      <c r="M5102" s="13"/>
      <c r="N5102" s="13"/>
      <c r="O5102" s="13"/>
      <c r="P5102" s="26"/>
      <c r="Q5102" s="20"/>
      <c r="R5102" s="13"/>
      <c r="S5102" s="25"/>
      <c r="T5102" s="13"/>
      <c r="U5102" s="13"/>
      <c r="V5102" s="13"/>
      <c r="W5102" s="13"/>
      <c r="X5102" s="21"/>
      <c r="Y5102" s="22"/>
      <c r="Z5102" s="23"/>
      <c r="AA5102" s="23"/>
      <c r="AB5102" s="15"/>
      <c r="AC5102" s="14"/>
      <c r="AD5102" s="18"/>
      <c r="AE5102" s="18"/>
    </row>
    <row r="5103" customFormat="false" ht="15" hidden="false" customHeight="true" outlineLevel="0" collapsed="false">
      <c r="A5103" s="12"/>
      <c r="B5103" s="13"/>
      <c r="C5103" s="14"/>
      <c r="D5103" s="13"/>
      <c r="E5103" s="15"/>
      <c r="F5103" s="15"/>
      <c r="G5103" s="15"/>
      <c r="H5103" s="13"/>
      <c r="I5103" s="13"/>
      <c r="J5103" s="16"/>
      <c r="K5103" s="16"/>
      <c r="L5103" s="17" t="str">
        <f aca="false" t="array" ref="L5103:L5103">IFERROR(INDEX(AC5103:AE5103,IF(COUNTA(AC5103:AE5103)=0,"",MAX((AC5103:AE5103&lt;&gt;"")*(COLUMN(AC5103:AE5103)-(COLUMN(AC5103)-2))))-1),"")</f>
        <v/>
      </c>
      <c r="M5103" s="13"/>
      <c r="N5103" s="13"/>
      <c r="O5103" s="13"/>
      <c r="P5103" s="26"/>
      <c r="Q5103" s="20"/>
      <c r="R5103" s="13"/>
      <c r="S5103" s="25"/>
      <c r="T5103" s="13"/>
      <c r="U5103" s="13"/>
      <c r="V5103" s="13"/>
      <c r="W5103" s="13"/>
      <c r="X5103" s="21"/>
      <c r="Y5103" s="22"/>
      <c r="Z5103" s="23"/>
      <c r="AA5103" s="23"/>
      <c r="AB5103" s="15"/>
      <c r="AC5103" s="14"/>
      <c r="AD5103" s="18"/>
      <c r="AE5103" s="18"/>
    </row>
    <row r="5104" customFormat="false" ht="15" hidden="false" customHeight="true" outlineLevel="0" collapsed="false">
      <c r="A5104" s="12"/>
      <c r="B5104" s="13"/>
      <c r="C5104" s="14"/>
      <c r="D5104" s="13"/>
      <c r="E5104" s="15"/>
      <c r="F5104" s="15"/>
      <c r="G5104" s="15"/>
      <c r="H5104" s="13"/>
      <c r="I5104" s="13"/>
      <c r="J5104" s="16"/>
      <c r="K5104" s="16"/>
      <c r="L5104" s="17" t="str">
        <f aca="false" t="array" ref="L5104:L5104">IFERROR(INDEX(AC5104:AE5104,IF(COUNTA(AC5104:AE5104)=0,"",MAX((AC5104:AE5104&lt;&gt;"")*(COLUMN(AC5104:AE5104)-(COLUMN(AC5104)-2))))-1),"")</f>
        <v/>
      </c>
      <c r="M5104" s="13"/>
      <c r="N5104" s="13"/>
      <c r="O5104" s="13"/>
      <c r="P5104" s="26"/>
      <c r="Q5104" s="20"/>
      <c r="R5104" s="13"/>
      <c r="S5104" s="25"/>
      <c r="T5104" s="13"/>
      <c r="U5104" s="13"/>
      <c r="V5104" s="13"/>
      <c r="W5104" s="13"/>
      <c r="X5104" s="21"/>
      <c r="Y5104" s="22"/>
      <c r="Z5104" s="23"/>
      <c r="AA5104" s="23"/>
      <c r="AB5104" s="15"/>
      <c r="AC5104" s="14"/>
      <c r="AD5104" s="18"/>
      <c r="AE5104" s="18"/>
    </row>
    <row r="5105" customFormat="false" ht="15" hidden="false" customHeight="true" outlineLevel="0" collapsed="false">
      <c r="A5105" s="12"/>
      <c r="B5105" s="13"/>
      <c r="C5105" s="14"/>
      <c r="D5105" s="13"/>
      <c r="E5105" s="15"/>
      <c r="F5105" s="15"/>
      <c r="G5105" s="15"/>
      <c r="H5105" s="13"/>
      <c r="I5105" s="13"/>
      <c r="J5105" s="16"/>
      <c r="K5105" s="16"/>
      <c r="L5105" s="17" t="str">
        <f aca="false" t="array" ref="L5105:L5105">IFERROR(INDEX(AC5105:AE5105,IF(COUNTA(AC5105:AE5105)=0,"",MAX((AC5105:AE5105&lt;&gt;"")*(COLUMN(AC5105:AE5105)-(COLUMN(AC5105)-2))))-1),"")</f>
        <v/>
      </c>
      <c r="M5105" s="13"/>
      <c r="N5105" s="13"/>
      <c r="O5105" s="13"/>
      <c r="P5105" s="26"/>
      <c r="Q5105" s="20"/>
      <c r="R5105" s="13"/>
      <c r="S5105" s="25"/>
      <c r="T5105" s="13"/>
      <c r="U5105" s="13"/>
      <c r="V5105" s="13"/>
      <c r="W5105" s="13"/>
      <c r="X5105" s="21"/>
      <c r="Y5105" s="22"/>
      <c r="Z5105" s="23"/>
      <c r="AA5105" s="23"/>
      <c r="AB5105" s="15"/>
      <c r="AC5105" s="14"/>
      <c r="AD5105" s="18"/>
      <c r="AE5105" s="18"/>
    </row>
    <row r="5106" customFormat="false" ht="15" hidden="false" customHeight="true" outlineLevel="0" collapsed="false">
      <c r="A5106" s="12"/>
      <c r="B5106" s="13"/>
      <c r="C5106" s="14"/>
      <c r="D5106" s="13"/>
      <c r="E5106" s="15"/>
      <c r="F5106" s="15"/>
      <c r="G5106" s="15"/>
      <c r="H5106" s="13"/>
      <c r="I5106" s="13"/>
      <c r="J5106" s="16"/>
      <c r="K5106" s="16"/>
      <c r="L5106" s="17" t="str">
        <f aca="false" t="array" ref="L5106:L5106">IFERROR(INDEX(AC5106:AE5106,IF(COUNTA(AC5106:AE5106)=0,"",MAX((AC5106:AE5106&lt;&gt;"")*(COLUMN(AC5106:AE5106)-(COLUMN(AC5106)-2))))-1),"")</f>
        <v/>
      </c>
      <c r="M5106" s="13"/>
      <c r="N5106" s="13"/>
      <c r="O5106" s="13"/>
      <c r="P5106" s="26"/>
      <c r="Q5106" s="20"/>
      <c r="R5106" s="13"/>
      <c r="S5106" s="25"/>
      <c r="T5106" s="13"/>
      <c r="U5106" s="13"/>
      <c r="V5106" s="13"/>
      <c r="W5106" s="13"/>
      <c r="X5106" s="21"/>
      <c r="Y5106" s="22"/>
      <c r="Z5106" s="23"/>
      <c r="AA5106" s="23"/>
      <c r="AB5106" s="15"/>
      <c r="AC5106" s="14"/>
      <c r="AD5106" s="18"/>
      <c r="AE5106" s="18"/>
    </row>
    <row r="5107" customFormat="false" ht="15" hidden="false" customHeight="true" outlineLevel="0" collapsed="false">
      <c r="A5107" s="12"/>
      <c r="B5107" s="13"/>
      <c r="C5107" s="14"/>
      <c r="D5107" s="13"/>
      <c r="E5107" s="15"/>
      <c r="F5107" s="15"/>
      <c r="G5107" s="15"/>
      <c r="H5107" s="13"/>
      <c r="I5107" s="13"/>
      <c r="J5107" s="16"/>
      <c r="K5107" s="16"/>
      <c r="L5107" s="17" t="str">
        <f aca="false" t="array" ref="L5107:L5107">IFERROR(INDEX(AC5107:AE5107,IF(COUNTA(AC5107:AE5107)=0,"",MAX((AC5107:AE5107&lt;&gt;"")*(COLUMN(AC5107:AE5107)-(COLUMN(AC5107)-2))))-1),"")</f>
        <v/>
      </c>
      <c r="M5107" s="13"/>
      <c r="N5107" s="13"/>
      <c r="O5107" s="13"/>
      <c r="P5107" s="26"/>
      <c r="Q5107" s="20"/>
      <c r="R5107" s="13"/>
      <c r="S5107" s="25"/>
      <c r="T5107" s="13"/>
      <c r="U5107" s="13"/>
      <c r="V5107" s="13"/>
      <c r="W5107" s="13"/>
      <c r="X5107" s="21"/>
      <c r="Y5107" s="22"/>
      <c r="Z5107" s="23"/>
      <c r="AA5107" s="23"/>
      <c r="AB5107" s="15"/>
      <c r="AC5107" s="14"/>
      <c r="AD5107" s="18"/>
      <c r="AE5107" s="18"/>
    </row>
    <row r="5108" customFormat="false" ht="15" hidden="false" customHeight="true" outlineLevel="0" collapsed="false">
      <c r="A5108" s="12"/>
      <c r="B5108" s="13"/>
      <c r="C5108" s="14"/>
      <c r="D5108" s="13"/>
      <c r="E5108" s="15"/>
      <c r="F5108" s="15"/>
      <c r="G5108" s="15"/>
      <c r="H5108" s="13"/>
      <c r="I5108" s="13"/>
      <c r="J5108" s="16"/>
      <c r="K5108" s="16"/>
      <c r="L5108" s="17" t="str">
        <f aca="false" t="array" ref="L5108:L5108">IFERROR(INDEX(AC5108:AE5108,IF(COUNTA(AC5108:AE5108)=0,"",MAX((AC5108:AE5108&lt;&gt;"")*(COLUMN(AC5108:AE5108)-(COLUMN(AC5108)-2))))-1),"")</f>
        <v/>
      </c>
      <c r="M5108" s="13"/>
      <c r="N5108" s="13"/>
      <c r="O5108" s="13"/>
      <c r="P5108" s="26"/>
      <c r="Q5108" s="20"/>
      <c r="R5108" s="13"/>
      <c r="S5108" s="25"/>
      <c r="T5108" s="13"/>
      <c r="U5108" s="13"/>
      <c r="V5108" s="13"/>
      <c r="W5108" s="13"/>
      <c r="X5108" s="21"/>
      <c r="Y5108" s="22"/>
      <c r="Z5108" s="23"/>
      <c r="AA5108" s="23"/>
      <c r="AB5108" s="15"/>
      <c r="AC5108" s="14"/>
      <c r="AD5108" s="18"/>
      <c r="AE5108" s="18"/>
    </row>
    <row r="5109" customFormat="false" ht="15" hidden="false" customHeight="true" outlineLevel="0" collapsed="false">
      <c r="A5109" s="12"/>
      <c r="B5109" s="13"/>
      <c r="C5109" s="14"/>
      <c r="D5109" s="13"/>
      <c r="E5109" s="15"/>
      <c r="F5109" s="15"/>
      <c r="G5109" s="15"/>
      <c r="H5109" s="13"/>
      <c r="I5109" s="13"/>
      <c r="J5109" s="16"/>
      <c r="K5109" s="16"/>
      <c r="L5109" s="17" t="str">
        <f aca="false" t="array" ref="L5109:L5109">IFERROR(INDEX(AC5109:AE5109,IF(COUNTA(AC5109:AE5109)=0,"",MAX((AC5109:AE5109&lt;&gt;"")*(COLUMN(AC5109:AE5109)-(COLUMN(AC5109)-2))))-1),"")</f>
        <v/>
      </c>
      <c r="M5109" s="13"/>
      <c r="N5109" s="13"/>
      <c r="O5109" s="13"/>
      <c r="P5109" s="26"/>
      <c r="Q5109" s="20"/>
      <c r="R5109" s="13"/>
      <c r="S5109" s="25"/>
      <c r="T5109" s="13"/>
      <c r="U5109" s="13"/>
      <c r="V5109" s="13"/>
      <c r="W5109" s="13"/>
      <c r="X5109" s="21"/>
      <c r="Y5109" s="22"/>
      <c r="Z5109" s="23"/>
      <c r="AA5109" s="23"/>
      <c r="AB5109" s="15"/>
      <c r="AC5109" s="14"/>
      <c r="AD5109" s="18"/>
      <c r="AE5109" s="18"/>
    </row>
    <row r="5110" customFormat="false" ht="15" hidden="false" customHeight="true" outlineLevel="0" collapsed="false">
      <c r="A5110" s="12"/>
      <c r="B5110" s="13"/>
      <c r="C5110" s="14"/>
      <c r="D5110" s="13"/>
      <c r="E5110" s="15"/>
      <c r="F5110" s="15"/>
      <c r="G5110" s="15"/>
      <c r="H5110" s="13"/>
      <c r="I5110" s="13"/>
      <c r="J5110" s="16"/>
      <c r="K5110" s="16"/>
      <c r="L5110" s="17" t="str">
        <f aca="false" t="array" ref="L5110:L5110">IFERROR(INDEX(AC5110:AE5110,IF(COUNTA(AC5110:AE5110)=0,"",MAX((AC5110:AE5110&lt;&gt;"")*(COLUMN(AC5110:AE5110)-(COLUMN(AC5110)-2))))-1),"")</f>
        <v/>
      </c>
      <c r="M5110" s="13"/>
      <c r="N5110" s="13"/>
      <c r="O5110" s="13"/>
      <c r="P5110" s="26"/>
      <c r="Q5110" s="20"/>
      <c r="R5110" s="13"/>
      <c r="S5110" s="25"/>
      <c r="T5110" s="13"/>
      <c r="U5110" s="13"/>
      <c r="V5110" s="13"/>
      <c r="W5110" s="13"/>
      <c r="X5110" s="21"/>
      <c r="Y5110" s="22"/>
      <c r="Z5110" s="23"/>
      <c r="AA5110" s="23"/>
      <c r="AB5110" s="15"/>
      <c r="AC5110" s="14"/>
      <c r="AD5110" s="18"/>
      <c r="AE5110" s="18"/>
    </row>
    <row r="5111" customFormat="false" ht="15" hidden="false" customHeight="true" outlineLevel="0" collapsed="false">
      <c r="A5111" s="12"/>
      <c r="B5111" s="13"/>
      <c r="C5111" s="14"/>
      <c r="D5111" s="13"/>
      <c r="E5111" s="15"/>
      <c r="F5111" s="15"/>
      <c r="G5111" s="15"/>
      <c r="H5111" s="13"/>
      <c r="I5111" s="13"/>
      <c r="J5111" s="16"/>
      <c r="K5111" s="16"/>
      <c r="L5111" s="17" t="str">
        <f aca="false" t="array" ref="L5111:L5111">IFERROR(INDEX(AC5111:AE5111,IF(COUNTA(AC5111:AE5111)=0,"",MAX((AC5111:AE5111&lt;&gt;"")*(COLUMN(AC5111:AE5111)-(COLUMN(AC5111)-2))))-1),"")</f>
        <v/>
      </c>
      <c r="M5111" s="13"/>
      <c r="N5111" s="13"/>
      <c r="O5111" s="13"/>
      <c r="P5111" s="26"/>
      <c r="Q5111" s="20"/>
      <c r="R5111" s="13"/>
      <c r="S5111" s="25"/>
      <c r="T5111" s="13"/>
      <c r="U5111" s="13"/>
      <c r="V5111" s="13"/>
      <c r="W5111" s="13"/>
      <c r="X5111" s="21"/>
      <c r="Y5111" s="22"/>
      <c r="Z5111" s="23"/>
      <c r="AA5111" s="23"/>
      <c r="AB5111" s="15"/>
      <c r="AC5111" s="14"/>
      <c r="AD5111" s="18"/>
      <c r="AE5111" s="18"/>
    </row>
    <row r="5112" customFormat="false" ht="15" hidden="false" customHeight="true" outlineLevel="0" collapsed="false">
      <c r="A5112" s="12"/>
      <c r="B5112" s="13"/>
      <c r="C5112" s="14"/>
      <c r="D5112" s="13"/>
      <c r="E5112" s="15"/>
      <c r="F5112" s="15"/>
      <c r="G5112" s="15"/>
      <c r="H5112" s="13"/>
      <c r="I5112" s="13"/>
      <c r="J5112" s="16"/>
      <c r="K5112" s="16"/>
      <c r="L5112" s="17" t="str">
        <f aca="false" t="array" ref="L5112:L5112">IFERROR(INDEX(AC5112:AE5112,IF(COUNTA(AC5112:AE5112)=0,"",MAX((AC5112:AE5112&lt;&gt;"")*(COLUMN(AC5112:AE5112)-(COLUMN(AC5112)-2))))-1),"")</f>
        <v/>
      </c>
      <c r="M5112" s="13"/>
      <c r="N5112" s="13"/>
      <c r="O5112" s="13"/>
      <c r="P5112" s="26"/>
      <c r="Q5112" s="20"/>
      <c r="R5112" s="13"/>
      <c r="S5112" s="25"/>
      <c r="T5112" s="13"/>
      <c r="U5112" s="13"/>
      <c r="V5112" s="13"/>
      <c r="W5112" s="13"/>
      <c r="X5112" s="21"/>
      <c r="Y5112" s="22"/>
      <c r="Z5112" s="23"/>
      <c r="AA5112" s="23"/>
      <c r="AB5112" s="15"/>
      <c r="AC5112" s="14"/>
      <c r="AD5112" s="18"/>
      <c r="AE5112" s="18"/>
    </row>
    <row r="5113" customFormat="false" ht="15" hidden="false" customHeight="true" outlineLevel="0" collapsed="false">
      <c r="A5113" s="12"/>
      <c r="B5113" s="13"/>
      <c r="C5113" s="14"/>
      <c r="D5113" s="13"/>
      <c r="E5113" s="15"/>
      <c r="F5113" s="15"/>
      <c r="G5113" s="15"/>
      <c r="H5113" s="13"/>
      <c r="I5113" s="13"/>
      <c r="J5113" s="16"/>
      <c r="K5113" s="16"/>
      <c r="L5113" s="17" t="str">
        <f aca="false" t="array" ref="L5113:L5113">IFERROR(INDEX(AC5113:AE5113,IF(COUNTA(AC5113:AE5113)=0,"",MAX((AC5113:AE5113&lt;&gt;"")*(COLUMN(AC5113:AE5113)-(COLUMN(AC5113)-2))))-1),"")</f>
        <v/>
      </c>
      <c r="M5113" s="13"/>
      <c r="N5113" s="13"/>
      <c r="O5113" s="13"/>
      <c r="P5113" s="26"/>
      <c r="Q5113" s="20"/>
      <c r="R5113" s="13"/>
      <c r="S5113" s="25"/>
      <c r="T5113" s="13"/>
      <c r="U5113" s="13"/>
      <c r="V5113" s="13"/>
      <c r="W5113" s="13"/>
      <c r="X5113" s="21"/>
      <c r="Y5113" s="22"/>
      <c r="Z5113" s="23"/>
      <c r="AA5113" s="23"/>
      <c r="AB5113" s="15"/>
      <c r="AC5113" s="14"/>
      <c r="AD5113" s="18"/>
      <c r="AE5113" s="18"/>
    </row>
    <row r="5114" customFormat="false" ht="15" hidden="false" customHeight="true" outlineLevel="0" collapsed="false">
      <c r="A5114" s="12"/>
      <c r="B5114" s="13"/>
      <c r="C5114" s="14"/>
      <c r="D5114" s="13"/>
      <c r="E5114" s="15"/>
      <c r="F5114" s="15"/>
      <c r="G5114" s="15"/>
      <c r="H5114" s="13"/>
      <c r="I5114" s="13"/>
      <c r="J5114" s="16"/>
      <c r="K5114" s="16"/>
      <c r="L5114" s="17" t="str">
        <f aca="false" t="array" ref="L5114:L5114">IFERROR(INDEX(AC5114:AE5114,IF(COUNTA(AC5114:AE5114)=0,"",MAX((AC5114:AE5114&lt;&gt;"")*(COLUMN(AC5114:AE5114)-(COLUMN(AC5114)-2))))-1),"")</f>
        <v/>
      </c>
      <c r="M5114" s="13"/>
      <c r="N5114" s="13"/>
      <c r="O5114" s="13"/>
      <c r="P5114" s="26"/>
      <c r="Q5114" s="20"/>
      <c r="R5114" s="13"/>
      <c r="S5114" s="25"/>
      <c r="T5114" s="13"/>
      <c r="U5114" s="13"/>
      <c r="V5114" s="13"/>
      <c r="W5114" s="13"/>
      <c r="X5114" s="21"/>
      <c r="Y5114" s="22"/>
      <c r="Z5114" s="23"/>
      <c r="AA5114" s="23"/>
      <c r="AB5114" s="15"/>
      <c r="AC5114" s="14"/>
      <c r="AD5114" s="18"/>
      <c r="AE5114" s="18"/>
    </row>
    <row r="5115" customFormat="false" ht="15" hidden="false" customHeight="true" outlineLevel="0" collapsed="false">
      <c r="A5115" s="12"/>
      <c r="B5115" s="13"/>
      <c r="C5115" s="14"/>
      <c r="D5115" s="13"/>
      <c r="E5115" s="15"/>
      <c r="F5115" s="15"/>
      <c r="G5115" s="15"/>
      <c r="H5115" s="13"/>
      <c r="I5115" s="13"/>
      <c r="J5115" s="16"/>
      <c r="K5115" s="16"/>
      <c r="L5115" s="17" t="str">
        <f aca="false" t="array" ref="L5115:L5115">IFERROR(INDEX(AC5115:AE5115,IF(COUNTA(AC5115:AE5115)=0,"",MAX((AC5115:AE5115&lt;&gt;"")*(COLUMN(AC5115:AE5115)-(COLUMN(AC5115)-2))))-1),"")</f>
        <v/>
      </c>
      <c r="M5115" s="13"/>
      <c r="N5115" s="13"/>
      <c r="O5115" s="13"/>
      <c r="P5115" s="26"/>
      <c r="Q5115" s="20"/>
      <c r="R5115" s="13"/>
      <c r="S5115" s="25"/>
      <c r="T5115" s="13"/>
      <c r="U5115" s="13"/>
      <c r="V5115" s="13"/>
      <c r="W5115" s="13"/>
      <c r="X5115" s="21"/>
      <c r="Y5115" s="22"/>
      <c r="Z5115" s="23"/>
      <c r="AA5115" s="23"/>
      <c r="AB5115" s="15"/>
      <c r="AC5115" s="14"/>
      <c r="AD5115" s="18"/>
      <c r="AE5115" s="18"/>
    </row>
    <row r="5116" customFormat="false" ht="15" hidden="false" customHeight="true" outlineLevel="0" collapsed="false">
      <c r="A5116" s="12"/>
      <c r="B5116" s="13"/>
      <c r="C5116" s="14"/>
      <c r="D5116" s="13"/>
      <c r="E5116" s="15"/>
      <c r="F5116" s="15"/>
      <c r="G5116" s="15"/>
      <c r="H5116" s="13"/>
      <c r="I5116" s="13"/>
      <c r="J5116" s="16"/>
      <c r="K5116" s="16"/>
      <c r="L5116" s="17" t="str">
        <f aca="false" t="array" ref="L5116:L5116">IFERROR(INDEX(AC5116:AE5116,IF(COUNTA(AC5116:AE5116)=0,"",MAX((AC5116:AE5116&lt;&gt;"")*(COLUMN(AC5116:AE5116)-(COLUMN(AC5116)-2))))-1),"")</f>
        <v/>
      </c>
      <c r="M5116" s="13"/>
      <c r="N5116" s="13"/>
      <c r="O5116" s="13"/>
      <c r="P5116" s="26"/>
      <c r="Q5116" s="20"/>
      <c r="R5116" s="13"/>
      <c r="S5116" s="25"/>
      <c r="T5116" s="13"/>
      <c r="U5116" s="13"/>
      <c r="V5116" s="13"/>
      <c r="W5116" s="13"/>
      <c r="X5116" s="21"/>
      <c r="Y5116" s="22"/>
      <c r="Z5116" s="23"/>
      <c r="AA5116" s="23"/>
      <c r="AB5116" s="15"/>
      <c r="AC5116" s="14"/>
      <c r="AD5116" s="18"/>
      <c r="AE5116" s="18"/>
    </row>
    <row r="5117" customFormat="false" ht="15" hidden="false" customHeight="true" outlineLevel="0" collapsed="false">
      <c r="A5117" s="12"/>
      <c r="B5117" s="13"/>
      <c r="C5117" s="14"/>
      <c r="D5117" s="13"/>
      <c r="E5117" s="15"/>
      <c r="F5117" s="15"/>
      <c r="G5117" s="15"/>
      <c r="H5117" s="13"/>
      <c r="I5117" s="13"/>
      <c r="J5117" s="16"/>
      <c r="K5117" s="16"/>
      <c r="L5117" s="17" t="str">
        <f aca="false" t="array" ref="L5117:L5117">IFERROR(INDEX(AC5117:AE5117,IF(COUNTA(AC5117:AE5117)=0,"",MAX((AC5117:AE5117&lt;&gt;"")*(COLUMN(AC5117:AE5117)-(COLUMN(AC5117)-2))))-1),"")</f>
        <v/>
      </c>
      <c r="M5117" s="13"/>
      <c r="N5117" s="13"/>
      <c r="O5117" s="13"/>
      <c r="P5117" s="26"/>
      <c r="Q5117" s="20"/>
      <c r="R5117" s="13"/>
      <c r="S5117" s="25"/>
      <c r="T5117" s="13"/>
      <c r="U5117" s="13"/>
      <c r="V5117" s="13"/>
      <c r="W5117" s="13"/>
      <c r="X5117" s="21"/>
      <c r="Y5117" s="22"/>
      <c r="Z5117" s="23"/>
      <c r="AA5117" s="23"/>
      <c r="AB5117" s="15"/>
      <c r="AC5117" s="14"/>
      <c r="AD5117" s="18"/>
      <c r="AE5117" s="18"/>
    </row>
    <row r="5118" customFormat="false" ht="15" hidden="false" customHeight="true" outlineLevel="0" collapsed="false">
      <c r="A5118" s="12"/>
      <c r="B5118" s="13"/>
      <c r="C5118" s="14"/>
      <c r="D5118" s="13"/>
      <c r="E5118" s="15"/>
      <c r="F5118" s="15"/>
      <c r="G5118" s="15"/>
      <c r="H5118" s="13"/>
      <c r="I5118" s="13"/>
      <c r="J5118" s="16"/>
      <c r="K5118" s="16"/>
      <c r="L5118" s="17" t="str">
        <f aca="false" t="array" ref="L5118:L5118">IFERROR(INDEX(AC5118:AE5118,IF(COUNTA(AC5118:AE5118)=0,"",MAX((AC5118:AE5118&lt;&gt;"")*(COLUMN(AC5118:AE5118)-(COLUMN(AC5118)-2))))-1),"")</f>
        <v/>
      </c>
      <c r="M5118" s="13"/>
      <c r="N5118" s="13"/>
      <c r="O5118" s="13"/>
      <c r="P5118" s="26"/>
      <c r="Q5118" s="20"/>
      <c r="R5118" s="13"/>
      <c r="S5118" s="25"/>
      <c r="T5118" s="13"/>
      <c r="U5118" s="13"/>
      <c r="V5118" s="13"/>
      <c r="W5118" s="13"/>
      <c r="X5118" s="21"/>
      <c r="Y5118" s="22"/>
      <c r="Z5118" s="23"/>
      <c r="AA5118" s="23"/>
      <c r="AB5118" s="15"/>
      <c r="AC5118" s="14"/>
      <c r="AD5118" s="18"/>
      <c r="AE5118" s="18"/>
    </row>
    <row r="5119" customFormat="false" ht="15" hidden="false" customHeight="true" outlineLevel="0" collapsed="false">
      <c r="A5119" s="12"/>
      <c r="B5119" s="13"/>
      <c r="C5119" s="14"/>
      <c r="D5119" s="13"/>
      <c r="E5119" s="15"/>
      <c r="F5119" s="15"/>
      <c r="G5119" s="15"/>
      <c r="H5119" s="13"/>
      <c r="I5119" s="13"/>
      <c r="J5119" s="16"/>
      <c r="K5119" s="16"/>
      <c r="L5119" s="17" t="str">
        <f aca="false" t="array" ref="L5119:L5119">IFERROR(INDEX(AC5119:AE5119,IF(COUNTA(AC5119:AE5119)=0,"",MAX((AC5119:AE5119&lt;&gt;"")*(COLUMN(AC5119:AE5119)-(COLUMN(AC5119)-2))))-1),"")</f>
        <v/>
      </c>
      <c r="M5119" s="13"/>
      <c r="N5119" s="13"/>
      <c r="O5119" s="13"/>
      <c r="P5119" s="26"/>
      <c r="Q5119" s="20"/>
      <c r="R5119" s="13"/>
      <c r="S5119" s="25"/>
      <c r="T5119" s="13"/>
      <c r="U5119" s="13"/>
      <c r="V5119" s="13"/>
      <c r="W5119" s="13"/>
      <c r="X5119" s="21"/>
      <c r="Y5119" s="22"/>
      <c r="Z5119" s="23"/>
      <c r="AA5119" s="23"/>
      <c r="AB5119" s="15"/>
      <c r="AC5119" s="14"/>
      <c r="AD5119" s="18"/>
      <c r="AE5119" s="18"/>
    </row>
    <row r="5120" customFormat="false" ht="15" hidden="false" customHeight="true" outlineLevel="0" collapsed="false">
      <c r="A5120" s="12"/>
      <c r="B5120" s="13"/>
      <c r="C5120" s="14"/>
      <c r="D5120" s="13"/>
      <c r="E5120" s="15"/>
      <c r="F5120" s="15"/>
      <c r="G5120" s="15"/>
      <c r="H5120" s="13"/>
      <c r="I5120" s="13"/>
      <c r="J5120" s="16"/>
      <c r="K5120" s="16"/>
      <c r="L5120" s="17" t="str">
        <f aca="false" t="array" ref="L5120:L5120">IFERROR(INDEX(AC5120:AE5120,IF(COUNTA(AC5120:AE5120)=0,"",MAX((AC5120:AE5120&lt;&gt;"")*(COLUMN(AC5120:AE5120)-(COLUMN(AC5120)-2))))-1),"")</f>
        <v/>
      </c>
      <c r="M5120" s="13"/>
      <c r="N5120" s="13"/>
      <c r="O5120" s="13"/>
      <c r="P5120" s="26"/>
      <c r="Q5120" s="20"/>
      <c r="R5120" s="13"/>
      <c r="S5120" s="25"/>
      <c r="T5120" s="13"/>
      <c r="U5120" s="13"/>
      <c r="V5120" s="13"/>
      <c r="W5120" s="13"/>
      <c r="X5120" s="21"/>
      <c r="Y5120" s="22"/>
      <c r="Z5120" s="23"/>
      <c r="AA5120" s="23"/>
      <c r="AB5120" s="15"/>
      <c r="AC5120" s="14"/>
      <c r="AD5120" s="18"/>
      <c r="AE5120" s="18"/>
    </row>
    <row r="5121" customFormat="false" ht="15" hidden="false" customHeight="true" outlineLevel="0" collapsed="false">
      <c r="A5121" s="12"/>
      <c r="B5121" s="13"/>
      <c r="C5121" s="14"/>
      <c r="D5121" s="13"/>
      <c r="E5121" s="15"/>
      <c r="F5121" s="15"/>
      <c r="G5121" s="15"/>
      <c r="H5121" s="13"/>
      <c r="I5121" s="13"/>
      <c r="J5121" s="16"/>
      <c r="K5121" s="16"/>
      <c r="L5121" s="17" t="str">
        <f aca="false" t="array" ref="L5121:L5121">IFERROR(INDEX(AC5121:AE5121,IF(COUNTA(AC5121:AE5121)=0,"",MAX((AC5121:AE5121&lt;&gt;"")*(COLUMN(AC5121:AE5121)-(COLUMN(AC5121)-2))))-1),"")</f>
        <v/>
      </c>
      <c r="M5121" s="13"/>
      <c r="N5121" s="13"/>
      <c r="O5121" s="13"/>
      <c r="P5121" s="26"/>
      <c r="Q5121" s="20"/>
      <c r="R5121" s="13"/>
      <c r="S5121" s="25"/>
      <c r="T5121" s="13"/>
      <c r="U5121" s="13"/>
      <c r="V5121" s="13"/>
      <c r="W5121" s="13"/>
      <c r="X5121" s="21"/>
      <c r="Y5121" s="22"/>
      <c r="Z5121" s="23"/>
      <c r="AA5121" s="23"/>
      <c r="AB5121" s="15"/>
      <c r="AC5121" s="14"/>
      <c r="AD5121" s="18"/>
      <c r="AE5121" s="18"/>
    </row>
    <row r="5122" customFormat="false" ht="15" hidden="false" customHeight="true" outlineLevel="0" collapsed="false">
      <c r="A5122" s="12"/>
      <c r="B5122" s="13"/>
      <c r="C5122" s="14"/>
      <c r="D5122" s="13"/>
      <c r="E5122" s="15"/>
      <c r="F5122" s="15"/>
      <c r="G5122" s="15"/>
      <c r="H5122" s="13"/>
      <c r="I5122" s="13"/>
      <c r="J5122" s="16"/>
      <c r="K5122" s="16"/>
      <c r="L5122" s="17" t="str">
        <f aca="false" t="array" ref="L5122:L5122">IFERROR(INDEX(AC5122:AE5122,IF(COUNTA(AC5122:AE5122)=0,"",MAX((AC5122:AE5122&lt;&gt;"")*(COLUMN(AC5122:AE5122)-(COLUMN(AC5122)-2))))-1),"")</f>
        <v/>
      </c>
      <c r="M5122" s="13"/>
      <c r="N5122" s="13"/>
      <c r="O5122" s="13"/>
      <c r="P5122" s="26"/>
      <c r="Q5122" s="20"/>
      <c r="R5122" s="13"/>
      <c r="S5122" s="25"/>
      <c r="T5122" s="13"/>
      <c r="U5122" s="13"/>
      <c r="V5122" s="13"/>
      <c r="W5122" s="13"/>
      <c r="X5122" s="21"/>
      <c r="Y5122" s="22"/>
      <c r="Z5122" s="23"/>
      <c r="AA5122" s="23"/>
      <c r="AB5122" s="15"/>
      <c r="AC5122" s="14"/>
      <c r="AD5122" s="18"/>
      <c r="AE5122" s="18"/>
    </row>
    <row r="5123" customFormat="false" ht="15" hidden="false" customHeight="true" outlineLevel="0" collapsed="false">
      <c r="A5123" s="12"/>
      <c r="B5123" s="13"/>
      <c r="C5123" s="14"/>
      <c r="D5123" s="13"/>
      <c r="E5123" s="15"/>
      <c r="F5123" s="15"/>
      <c r="G5123" s="15"/>
      <c r="H5123" s="13"/>
      <c r="I5123" s="13"/>
      <c r="J5123" s="16"/>
      <c r="K5123" s="16"/>
      <c r="L5123" s="17" t="str">
        <f aca="false" t="array" ref="L5123:L5123">IFERROR(INDEX(AC5123:AE5123,IF(COUNTA(AC5123:AE5123)=0,"",MAX((AC5123:AE5123&lt;&gt;"")*(COLUMN(AC5123:AE5123)-(COLUMN(AC5123)-2))))-1),"")</f>
        <v/>
      </c>
      <c r="M5123" s="13"/>
      <c r="N5123" s="13"/>
      <c r="O5123" s="13"/>
      <c r="P5123" s="26"/>
      <c r="Q5123" s="20"/>
      <c r="R5123" s="13"/>
      <c r="S5123" s="25"/>
      <c r="T5123" s="13"/>
      <c r="U5123" s="13"/>
      <c r="V5123" s="13"/>
      <c r="W5123" s="13"/>
      <c r="X5123" s="21"/>
      <c r="Y5123" s="22"/>
      <c r="Z5123" s="23"/>
      <c r="AA5123" s="23"/>
      <c r="AB5123" s="15"/>
      <c r="AC5123" s="14"/>
      <c r="AD5123" s="18"/>
      <c r="AE5123" s="18"/>
    </row>
    <row r="5124" customFormat="false" ht="15" hidden="false" customHeight="true" outlineLevel="0" collapsed="false">
      <c r="A5124" s="12"/>
      <c r="B5124" s="13"/>
      <c r="C5124" s="14"/>
      <c r="D5124" s="13"/>
      <c r="E5124" s="15"/>
      <c r="F5124" s="15"/>
      <c r="G5124" s="15"/>
      <c r="H5124" s="13"/>
      <c r="I5124" s="13"/>
      <c r="J5124" s="16"/>
      <c r="K5124" s="16"/>
      <c r="L5124" s="17" t="str">
        <f aca="false" t="array" ref="L5124:L5124">IFERROR(INDEX(AC5124:AE5124,IF(COUNTA(AC5124:AE5124)=0,"",MAX((AC5124:AE5124&lt;&gt;"")*(COLUMN(AC5124:AE5124)-(COLUMN(AC5124)-2))))-1),"")</f>
        <v/>
      </c>
      <c r="M5124" s="13"/>
      <c r="N5124" s="13"/>
      <c r="O5124" s="13"/>
      <c r="P5124" s="26"/>
      <c r="Q5124" s="20"/>
      <c r="R5124" s="13"/>
      <c r="S5124" s="25"/>
      <c r="T5124" s="13"/>
      <c r="U5124" s="13"/>
      <c r="V5124" s="13"/>
      <c r="W5124" s="13"/>
      <c r="X5124" s="21"/>
      <c r="Y5124" s="22"/>
      <c r="Z5124" s="23"/>
      <c r="AA5124" s="23"/>
      <c r="AB5124" s="15"/>
      <c r="AC5124" s="14"/>
      <c r="AD5124" s="18"/>
      <c r="AE5124" s="18"/>
    </row>
    <row r="5125" customFormat="false" ht="15" hidden="false" customHeight="true" outlineLevel="0" collapsed="false">
      <c r="A5125" s="12"/>
      <c r="B5125" s="13"/>
      <c r="C5125" s="14"/>
      <c r="D5125" s="13"/>
      <c r="E5125" s="15"/>
      <c r="F5125" s="15"/>
      <c r="G5125" s="15"/>
      <c r="H5125" s="13"/>
      <c r="I5125" s="13"/>
      <c r="J5125" s="16"/>
      <c r="K5125" s="16"/>
      <c r="L5125" s="17" t="str">
        <f aca="false" t="array" ref="L5125:L5125">IFERROR(INDEX(AC5125:AE5125,IF(COUNTA(AC5125:AE5125)=0,"",MAX((AC5125:AE5125&lt;&gt;"")*(COLUMN(AC5125:AE5125)-(COLUMN(AC5125)-2))))-1),"")</f>
        <v/>
      </c>
      <c r="M5125" s="13"/>
      <c r="N5125" s="13"/>
      <c r="O5125" s="13"/>
      <c r="P5125" s="26"/>
      <c r="Q5125" s="20"/>
      <c r="R5125" s="13"/>
      <c r="S5125" s="25"/>
      <c r="T5125" s="13"/>
      <c r="U5125" s="13"/>
      <c r="V5125" s="13"/>
      <c r="W5125" s="13"/>
      <c r="X5125" s="21"/>
      <c r="Y5125" s="22"/>
      <c r="Z5125" s="23"/>
      <c r="AA5125" s="23"/>
      <c r="AB5125" s="15"/>
      <c r="AC5125" s="14"/>
      <c r="AD5125" s="18"/>
      <c r="AE5125" s="18"/>
    </row>
    <row r="5126" customFormat="false" ht="15" hidden="false" customHeight="true" outlineLevel="0" collapsed="false">
      <c r="A5126" s="12"/>
      <c r="B5126" s="13"/>
      <c r="C5126" s="14"/>
      <c r="D5126" s="13"/>
      <c r="E5126" s="15"/>
      <c r="F5126" s="15"/>
      <c r="G5126" s="15"/>
      <c r="H5126" s="13"/>
      <c r="I5126" s="13"/>
      <c r="J5126" s="16"/>
      <c r="K5126" s="16"/>
      <c r="L5126" s="17" t="str">
        <f aca="false" t="array" ref="L5126:L5126">IFERROR(INDEX(AC5126:AE5126,IF(COUNTA(AC5126:AE5126)=0,"",MAX((AC5126:AE5126&lt;&gt;"")*(COLUMN(AC5126:AE5126)-(COLUMN(AC5126)-2))))-1),"")</f>
        <v/>
      </c>
      <c r="M5126" s="13"/>
      <c r="N5126" s="13"/>
      <c r="O5126" s="13"/>
      <c r="P5126" s="26"/>
      <c r="Q5126" s="20"/>
      <c r="R5126" s="13"/>
      <c r="S5126" s="25"/>
      <c r="T5126" s="13"/>
      <c r="U5126" s="13"/>
      <c r="V5126" s="13"/>
      <c r="W5126" s="13"/>
      <c r="X5126" s="21"/>
      <c r="Y5126" s="22"/>
      <c r="Z5126" s="23"/>
      <c r="AA5126" s="23"/>
      <c r="AB5126" s="15"/>
      <c r="AC5126" s="14"/>
      <c r="AD5126" s="18"/>
      <c r="AE5126" s="18"/>
    </row>
    <row r="5127" customFormat="false" ht="15" hidden="false" customHeight="true" outlineLevel="0" collapsed="false">
      <c r="A5127" s="12"/>
      <c r="B5127" s="13"/>
      <c r="C5127" s="14"/>
      <c r="D5127" s="13"/>
      <c r="E5127" s="15"/>
      <c r="F5127" s="15"/>
      <c r="G5127" s="15"/>
      <c r="H5127" s="13"/>
      <c r="I5127" s="13"/>
      <c r="J5127" s="16"/>
      <c r="K5127" s="16"/>
      <c r="L5127" s="17" t="str">
        <f aca="false" t="array" ref="L5127:L5127">IFERROR(INDEX(AC5127:AE5127,IF(COUNTA(AC5127:AE5127)=0,"",MAX((AC5127:AE5127&lt;&gt;"")*(COLUMN(AC5127:AE5127)-(COLUMN(AC5127)-2))))-1),"")</f>
        <v/>
      </c>
      <c r="M5127" s="13"/>
      <c r="N5127" s="13"/>
      <c r="O5127" s="13"/>
      <c r="P5127" s="26"/>
      <c r="Q5127" s="20"/>
      <c r="R5127" s="13"/>
      <c r="S5127" s="25"/>
      <c r="T5127" s="13"/>
      <c r="U5127" s="13"/>
      <c r="V5127" s="13"/>
      <c r="W5127" s="13"/>
      <c r="X5127" s="21"/>
      <c r="Y5127" s="22"/>
      <c r="Z5127" s="23"/>
      <c r="AA5127" s="23"/>
      <c r="AB5127" s="15"/>
      <c r="AC5127" s="14"/>
      <c r="AD5127" s="18"/>
      <c r="AE5127" s="18"/>
    </row>
    <row r="5128" customFormat="false" ht="15" hidden="false" customHeight="true" outlineLevel="0" collapsed="false">
      <c r="A5128" s="12"/>
      <c r="B5128" s="13"/>
      <c r="C5128" s="14"/>
      <c r="D5128" s="13"/>
      <c r="E5128" s="15"/>
      <c r="F5128" s="15"/>
      <c r="G5128" s="15"/>
      <c r="H5128" s="13"/>
      <c r="I5128" s="13"/>
      <c r="J5128" s="16"/>
      <c r="K5128" s="16"/>
      <c r="L5128" s="17" t="str">
        <f aca="false" t="array" ref="L5128:L5128">IFERROR(INDEX(AC5128:AE5128,IF(COUNTA(AC5128:AE5128)=0,"",MAX((AC5128:AE5128&lt;&gt;"")*(COLUMN(AC5128:AE5128)-(COLUMN(AC5128)-2))))-1),"")</f>
        <v/>
      </c>
      <c r="M5128" s="13"/>
      <c r="N5128" s="13"/>
      <c r="O5128" s="13"/>
      <c r="P5128" s="26"/>
      <c r="Q5128" s="20"/>
      <c r="R5128" s="13"/>
      <c r="S5128" s="25"/>
      <c r="T5128" s="13"/>
      <c r="U5128" s="13"/>
      <c r="V5128" s="13"/>
      <c r="W5128" s="13"/>
      <c r="X5128" s="21"/>
      <c r="Y5128" s="22"/>
      <c r="Z5128" s="23"/>
      <c r="AA5128" s="23"/>
      <c r="AB5128" s="15"/>
      <c r="AC5128" s="14"/>
      <c r="AD5128" s="18"/>
      <c r="AE5128" s="18"/>
    </row>
    <row r="5129" customFormat="false" ht="15" hidden="false" customHeight="true" outlineLevel="0" collapsed="false">
      <c r="A5129" s="12"/>
      <c r="B5129" s="13"/>
      <c r="C5129" s="14"/>
      <c r="D5129" s="13"/>
      <c r="E5129" s="15"/>
      <c r="F5129" s="15"/>
      <c r="G5129" s="15"/>
      <c r="H5129" s="13"/>
      <c r="I5129" s="13"/>
      <c r="J5129" s="16"/>
      <c r="K5129" s="16"/>
      <c r="L5129" s="17" t="str">
        <f aca="false" t="array" ref="L5129:L5129">IFERROR(INDEX(AC5129:AE5129,IF(COUNTA(AC5129:AE5129)=0,"",MAX((AC5129:AE5129&lt;&gt;"")*(COLUMN(AC5129:AE5129)-(COLUMN(AC5129)-2))))-1),"")</f>
        <v/>
      </c>
      <c r="M5129" s="13"/>
      <c r="N5129" s="13"/>
      <c r="O5129" s="13"/>
      <c r="P5129" s="26"/>
      <c r="Q5129" s="20"/>
      <c r="R5129" s="13"/>
      <c r="S5129" s="25"/>
      <c r="T5129" s="13"/>
      <c r="U5129" s="13"/>
      <c r="V5129" s="13"/>
      <c r="W5129" s="13"/>
      <c r="X5129" s="21"/>
      <c r="Y5129" s="22"/>
      <c r="Z5129" s="23"/>
      <c r="AA5129" s="23"/>
      <c r="AB5129" s="15"/>
      <c r="AC5129" s="14"/>
      <c r="AD5129" s="18"/>
      <c r="AE5129" s="18"/>
    </row>
    <row r="5130" customFormat="false" ht="15" hidden="false" customHeight="true" outlineLevel="0" collapsed="false">
      <c r="A5130" s="12"/>
      <c r="B5130" s="13"/>
      <c r="C5130" s="14"/>
      <c r="D5130" s="13"/>
      <c r="E5130" s="15"/>
      <c r="F5130" s="15"/>
      <c r="G5130" s="15"/>
      <c r="H5130" s="13"/>
      <c r="I5130" s="13"/>
      <c r="J5130" s="16"/>
      <c r="K5130" s="16"/>
      <c r="L5130" s="17" t="str">
        <f aca="false" t="array" ref="L5130:L5130">IFERROR(INDEX(AC5130:AE5130,IF(COUNTA(AC5130:AE5130)=0,"",MAX((AC5130:AE5130&lt;&gt;"")*(COLUMN(AC5130:AE5130)-(COLUMN(AC5130)-2))))-1),"")</f>
        <v/>
      </c>
      <c r="M5130" s="13"/>
      <c r="N5130" s="13"/>
      <c r="O5130" s="13"/>
      <c r="P5130" s="26"/>
      <c r="Q5130" s="20"/>
      <c r="R5130" s="13"/>
      <c r="S5130" s="25"/>
      <c r="T5130" s="13"/>
      <c r="U5130" s="13"/>
      <c r="V5130" s="13"/>
      <c r="W5130" s="13"/>
      <c r="X5130" s="21"/>
      <c r="Y5130" s="22"/>
      <c r="Z5130" s="23"/>
      <c r="AA5130" s="23"/>
      <c r="AB5130" s="15"/>
      <c r="AC5130" s="14"/>
      <c r="AD5130" s="18"/>
      <c r="AE5130" s="18"/>
    </row>
    <row r="5131" customFormat="false" ht="15" hidden="false" customHeight="true" outlineLevel="0" collapsed="false">
      <c r="A5131" s="12"/>
      <c r="B5131" s="13"/>
      <c r="C5131" s="14"/>
      <c r="D5131" s="13"/>
      <c r="E5131" s="15"/>
      <c r="F5131" s="15"/>
      <c r="G5131" s="15"/>
      <c r="H5131" s="13"/>
      <c r="I5131" s="13"/>
      <c r="J5131" s="16"/>
      <c r="K5131" s="16"/>
      <c r="L5131" s="17" t="str">
        <f aca="false" t="array" ref="L5131:L5131">IFERROR(INDEX(AC5131:AE5131,IF(COUNTA(AC5131:AE5131)=0,"",MAX((AC5131:AE5131&lt;&gt;"")*(COLUMN(AC5131:AE5131)-(COLUMN(AC5131)-2))))-1),"")</f>
        <v/>
      </c>
      <c r="M5131" s="13"/>
      <c r="N5131" s="13"/>
      <c r="O5131" s="13"/>
      <c r="P5131" s="26"/>
      <c r="Q5131" s="20"/>
      <c r="R5131" s="13"/>
      <c r="S5131" s="25"/>
      <c r="T5131" s="13"/>
      <c r="U5131" s="13"/>
      <c r="V5131" s="13"/>
      <c r="W5131" s="13"/>
      <c r="X5131" s="21"/>
      <c r="Y5131" s="22"/>
      <c r="Z5131" s="23"/>
      <c r="AA5131" s="23"/>
      <c r="AB5131" s="15"/>
      <c r="AC5131" s="14"/>
      <c r="AD5131" s="18"/>
      <c r="AE5131" s="18"/>
    </row>
    <row r="5132" customFormat="false" ht="15" hidden="false" customHeight="true" outlineLevel="0" collapsed="false">
      <c r="A5132" s="12"/>
      <c r="B5132" s="13"/>
      <c r="C5132" s="14"/>
      <c r="D5132" s="13"/>
      <c r="E5132" s="15"/>
      <c r="F5132" s="15"/>
      <c r="G5132" s="15"/>
      <c r="H5132" s="13"/>
      <c r="I5132" s="13"/>
      <c r="J5132" s="16"/>
      <c r="K5132" s="16"/>
      <c r="L5132" s="17" t="str">
        <f aca="false" t="array" ref="L5132:L5132">IFERROR(INDEX(AC5132:AE5132,IF(COUNTA(AC5132:AE5132)=0,"",MAX((AC5132:AE5132&lt;&gt;"")*(COLUMN(AC5132:AE5132)-(COLUMN(AC5132)-2))))-1),"")</f>
        <v/>
      </c>
      <c r="M5132" s="13"/>
      <c r="N5132" s="13"/>
      <c r="O5132" s="13"/>
      <c r="P5132" s="26"/>
      <c r="Q5132" s="20"/>
      <c r="R5132" s="13"/>
      <c r="S5132" s="25"/>
      <c r="T5132" s="13"/>
      <c r="U5132" s="13"/>
      <c r="V5132" s="13"/>
      <c r="W5132" s="13"/>
      <c r="X5132" s="21"/>
      <c r="Y5132" s="22"/>
      <c r="Z5132" s="23"/>
      <c r="AA5132" s="23"/>
      <c r="AB5132" s="15"/>
      <c r="AC5132" s="14"/>
      <c r="AD5132" s="18"/>
      <c r="AE5132" s="18"/>
    </row>
    <row r="5133" customFormat="false" ht="15" hidden="false" customHeight="true" outlineLevel="0" collapsed="false">
      <c r="A5133" s="12"/>
      <c r="B5133" s="13"/>
      <c r="C5133" s="14"/>
      <c r="D5133" s="13"/>
      <c r="E5133" s="15"/>
      <c r="F5133" s="15"/>
      <c r="G5133" s="15"/>
      <c r="H5133" s="13"/>
      <c r="I5133" s="13"/>
      <c r="J5133" s="16"/>
      <c r="K5133" s="16"/>
      <c r="L5133" s="17" t="str">
        <f aca="false" t="array" ref="L5133:L5133">IFERROR(INDEX(AC5133:AE5133,IF(COUNTA(AC5133:AE5133)=0,"",MAX((AC5133:AE5133&lt;&gt;"")*(COLUMN(AC5133:AE5133)-(COLUMN(AC5133)-2))))-1),"")</f>
        <v/>
      </c>
      <c r="M5133" s="13"/>
      <c r="N5133" s="13"/>
      <c r="O5133" s="13"/>
      <c r="P5133" s="26"/>
      <c r="Q5133" s="20"/>
      <c r="R5133" s="13"/>
      <c r="S5133" s="25"/>
      <c r="T5133" s="13"/>
      <c r="U5133" s="13"/>
      <c r="V5133" s="13"/>
      <c r="W5133" s="13"/>
      <c r="X5133" s="21"/>
      <c r="Y5133" s="22"/>
      <c r="Z5133" s="23"/>
      <c r="AA5133" s="23"/>
      <c r="AB5133" s="15"/>
      <c r="AC5133" s="14"/>
      <c r="AD5133" s="18"/>
      <c r="AE5133" s="18"/>
    </row>
    <row r="5134" customFormat="false" ht="15" hidden="false" customHeight="true" outlineLevel="0" collapsed="false">
      <c r="A5134" s="12"/>
      <c r="B5134" s="13"/>
      <c r="C5134" s="14"/>
      <c r="D5134" s="13"/>
      <c r="E5134" s="15"/>
      <c r="F5134" s="15"/>
      <c r="G5134" s="15"/>
      <c r="H5134" s="13"/>
      <c r="I5134" s="13"/>
      <c r="J5134" s="16"/>
      <c r="K5134" s="16"/>
      <c r="L5134" s="17" t="str">
        <f aca="false" t="array" ref="L5134:L5134">IFERROR(INDEX(AC5134:AE5134,IF(COUNTA(AC5134:AE5134)=0,"",MAX((AC5134:AE5134&lt;&gt;"")*(COLUMN(AC5134:AE5134)-(COLUMN(AC5134)-2))))-1),"")</f>
        <v/>
      </c>
      <c r="M5134" s="13"/>
      <c r="N5134" s="13"/>
      <c r="O5134" s="13"/>
      <c r="P5134" s="26"/>
      <c r="Q5134" s="20"/>
      <c r="R5134" s="13"/>
      <c r="S5134" s="25"/>
      <c r="T5134" s="13"/>
      <c r="U5134" s="13"/>
      <c r="V5134" s="13"/>
      <c r="W5134" s="13"/>
      <c r="X5134" s="21"/>
      <c r="Y5134" s="22"/>
      <c r="Z5134" s="23"/>
      <c r="AA5134" s="23"/>
      <c r="AB5134" s="15"/>
      <c r="AC5134" s="14"/>
      <c r="AD5134" s="18"/>
      <c r="AE5134" s="18"/>
    </row>
    <row r="5135" customFormat="false" ht="15" hidden="false" customHeight="true" outlineLevel="0" collapsed="false">
      <c r="A5135" s="12"/>
      <c r="B5135" s="13"/>
      <c r="C5135" s="14"/>
      <c r="D5135" s="13"/>
      <c r="E5135" s="15"/>
      <c r="F5135" s="15"/>
      <c r="G5135" s="15"/>
      <c r="H5135" s="13"/>
      <c r="I5135" s="13"/>
      <c r="J5135" s="16"/>
      <c r="K5135" s="16"/>
      <c r="L5135" s="17" t="str">
        <f aca="false" t="array" ref="L5135:L5135">IFERROR(INDEX(AC5135:AE5135,IF(COUNTA(AC5135:AE5135)=0,"",MAX((AC5135:AE5135&lt;&gt;"")*(COLUMN(AC5135:AE5135)-(COLUMN(AC5135)-2))))-1),"")</f>
        <v/>
      </c>
      <c r="M5135" s="13"/>
      <c r="N5135" s="13"/>
      <c r="O5135" s="13"/>
      <c r="P5135" s="26"/>
      <c r="Q5135" s="20"/>
      <c r="R5135" s="13"/>
      <c r="S5135" s="25"/>
      <c r="T5135" s="13"/>
      <c r="U5135" s="13"/>
      <c r="V5135" s="13"/>
      <c r="W5135" s="13"/>
      <c r="X5135" s="21"/>
      <c r="Y5135" s="22"/>
      <c r="Z5135" s="23"/>
      <c r="AA5135" s="23"/>
      <c r="AB5135" s="15"/>
      <c r="AC5135" s="14"/>
      <c r="AD5135" s="18"/>
      <c r="AE5135" s="18"/>
    </row>
    <row r="5136" customFormat="false" ht="15" hidden="false" customHeight="true" outlineLevel="0" collapsed="false">
      <c r="A5136" s="12"/>
      <c r="B5136" s="13"/>
      <c r="C5136" s="14"/>
      <c r="D5136" s="13"/>
      <c r="E5136" s="15"/>
      <c r="F5136" s="15"/>
      <c r="G5136" s="15"/>
      <c r="H5136" s="13"/>
      <c r="I5136" s="13"/>
      <c r="J5136" s="16"/>
      <c r="K5136" s="16"/>
      <c r="L5136" s="17" t="str">
        <f aca="false" t="array" ref="L5136:L5136">IFERROR(INDEX(AC5136:AE5136,IF(COUNTA(AC5136:AE5136)=0,"",MAX((AC5136:AE5136&lt;&gt;"")*(COLUMN(AC5136:AE5136)-(COLUMN(AC5136)-2))))-1),"")</f>
        <v/>
      </c>
      <c r="M5136" s="13"/>
      <c r="N5136" s="13"/>
      <c r="O5136" s="13"/>
      <c r="P5136" s="26"/>
      <c r="Q5136" s="20"/>
      <c r="R5136" s="13"/>
      <c r="S5136" s="25"/>
      <c r="T5136" s="13"/>
      <c r="U5136" s="13"/>
      <c r="V5136" s="13"/>
      <c r="W5136" s="13"/>
      <c r="X5136" s="21"/>
      <c r="Y5136" s="22"/>
      <c r="Z5136" s="23"/>
      <c r="AA5136" s="23"/>
      <c r="AB5136" s="15"/>
      <c r="AC5136" s="14"/>
      <c r="AD5136" s="18"/>
      <c r="AE5136" s="18"/>
    </row>
    <row r="5137" customFormat="false" ht="15" hidden="false" customHeight="true" outlineLevel="0" collapsed="false">
      <c r="A5137" s="12"/>
      <c r="B5137" s="13"/>
      <c r="C5137" s="14"/>
      <c r="D5137" s="13"/>
      <c r="E5137" s="15"/>
      <c r="F5137" s="15"/>
      <c r="G5137" s="15"/>
      <c r="H5137" s="13"/>
      <c r="I5137" s="13"/>
      <c r="J5137" s="16"/>
      <c r="K5137" s="16"/>
      <c r="L5137" s="17" t="str">
        <f aca="false" t="array" ref="L5137:L5137">IFERROR(INDEX(AC5137:AE5137,IF(COUNTA(AC5137:AE5137)=0,"",MAX((AC5137:AE5137&lt;&gt;"")*(COLUMN(AC5137:AE5137)-(COLUMN(AC5137)-2))))-1),"")</f>
        <v/>
      </c>
      <c r="M5137" s="13"/>
      <c r="N5137" s="13"/>
      <c r="O5137" s="13"/>
      <c r="P5137" s="26"/>
      <c r="Q5137" s="20"/>
      <c r="R5137" s="13"/>
      <c r="S5137" s="25"/>
      <c r="T5137" s="13"/>
      <c r="U5137" s="13"/>
      <c r="V5137" s="13"/>
      <c r="W5137" s="13"/>
      <c r="X5137" s="21"/>
      <c r="Y5137" s="22"/>
      <c r="Z5137" s="23"/>
      <c r="AA5137" s="23"/>
      <c r="AB5137" s="15"/>
      <c r="AC5137" s="14"/>
      <c r="AD5137" s="18"/>
      <c r="AE5137" s="18"/>
    </row>
    <row r="5138" customFormat="false" ht="15" hidden="false" customHeight="true" outlineLevel="0" collapsed="false">
      <c r="A5138" s="12"/>
      <c r="B5138" s="13"/>
      <c r="C5138" s="14"/>
      <c r="D5138" s="13"/>
      <c r="E5138" s="15"/>
      <c r="F5138" s="15"/>
      <c r="G5138" s="15"/>
      <c r="H5138" s="13"/>
      <c r="I5138" s="13"/>
      <c r="J5138" s="16"/>
      <c r="K5138" s="16"/>
      <c r="L5138" s="17" t="str">
        <f aca="false" t="array" ref="L5138:L5138">IFERROR(INDEX(AC5138:AE5138,IF(COUNTA(AC5138:AE5138)=0,"",MAX((AC5138:AE5138&lt;&gt;"")*(COLUMN(AC5138:AE5138)-(COLUMN(AC5138)-2))))-1),"")</f>
        <v/>
      </c>
      <c r="M5138" s="13"/>
      <c r="N5138" s="13"/>
      <c r="O5138" s="13"/>
      <c r="P5138" s="26"/>
      <c r="Q5138" s="20"/>
      <c r="R5138" s="13"/>
      <c r="S5138" s="25"/>
      <c r="T5138" s="13"/>
      <c r="U5138" s="13"/>
      <c r="V5138" s="13"/>
      <c r="W5138" s="13"/>
      <c r="X5138" s="21"/>
      <c r="Y5138" s="22"/>
      <c r="Z5138" s="23"/>
      <c r="AA5138" s="23"/>
      <c r="AB5138" s="15"/>
      <c r="AC5138" s="14"/>
      <c r="AD5138" s="18"/>
      <c r="AE5138" s="18"/>
    </row>
    <row r="5139" customFormat="false" ht="15" hidden="false" customHeight="true" outlineLevel="0" collapsed="false">
      <c r="A5139" s="12"/>
      <c r="B5139" s="13"/>
      <c r="C5139" s="14"/>
      <c r="D5139" s="13"/>
      <c r="E5139" s="15"/>
      <c r="F5139" s="15"/>
      <c r="G5139" s="15"/>
      <c r="H5139" s="13"/>
      <c r="I5139" s="13"/>
      <c r="J5139" s="16"/>
      <c r="K5139" s="16"/>
      <c r="L5139" s="17" t="str">
        <f aca="false" t="array" ref="L5139:L5139">IFERROR(INDEX(AC5139:AE5139,IF(COUNTA(AC5139:AE5139)=0,"",MAX((AC5139:AE5139&lt;&gt;"")*(COLUMN(AC5139:AE5139)-(COLUMN(AC5139)-2))))-1),"")</f>
        <v/>
      </c>
      <c r="M5139" s="13"/>
      <c r="N5139" s="13"/>
      <c r="O5139" s="13"/>
      <c r="P5139" s="26"/>
      <c r="Q5139" s="20"/>
      <c r="R5139" s="13"/>
      <c r="S5139" s="25"/>
      <c r="T5139" s="13"/>
      <c r="U5139" s="13"/>
      <c r="V5139" s="13"/>
      <c r="W5139" s="13"/>
      <c r="X5139" s="21"/>
      <c r="Y5139" s="22"/>
      <c r="Z5139" s="23"/>
      <c r="AA5139" s="23"/>
      <c r="AB5139" s="15"/>
      <c r="AC5139" s="14"/>
      <c r="AD5139" s="18"/>
      <c r="AE5139" s="18"/>
    </row>
    <row r="5140" customFormat="false" ht="15" hidden="false" customHeight="true" outlineLevel="0" collapsed="false">
      <c r="A5140" s="12"/>
      <c r="B5140" s="13"/>
      <c r="C5140" s="14"/>
      <c r="D5140" s="13"/>
      <c r="E5140" s="15"/>
      <c r="F5140" s="15"/>
      <c r="G5140" s="15"/>
      <c r="H5140" s="13"/>
      <c r="I5140" s="13"/>
      <c r="J5140" s="16"/>
      <c r="K5140" s="16"/>
      <c r="L5140" s="17" t="str">
        <f aca="false" t="array" ref="L5140:L5140">IFERROR(INDEX(AC5140:AE5140,IF(COUNTA(AC5140:AE5140)=0,"",MAX((AC5140:AE5140&lt;&gt;"")*(COLUMN(AC5140:AE5140)-(COLUMN(AC5140)-2))))-1),"")</f>
        <v/>
      </c>
      <c r="M5140" s="13"/>
      <c r="N5140" s="13"/>
      <c r="O5140" s="13"/>
      <c r="P5140" s="26"/>
      <c r="Q5140" s="20"/>
      <c r="R5140" s="13"/>
      <c r="S5140" s="25"/>
      <c r="T5140" s="13"/>
      <c r="U5140" s="13"/>
      <c r="V5140" s="13"/>
      <c r="W5140" s="13"/>
      <c r="X5140" s="21"/>
      <c r="Y5140" s="22"/>
      <c r="Z5140" s="23"/>
      <c r="AA5140" s="23"/>
      <c r="AB5140" s="15"/>
      <c r="AC5140" s="14"/>
      <c r="AD5140" s="18"/>
      <c r="AE5140" s="18"/>
    </row>
    <row r="5141" customFormat="false" ht="15" hidden="false" customHeight="true" outlineLevel="0" collapsed="false">
      <c r="A5141" s="12"/>
      <c r="B5141" s="13"/>
      <c r="C5141" s="14"/>
      <c r="D5141" s="13"/>
      <c r="E5141" s="15"/>
      <c r="F5141" s="15"/>
      <c r="G5141" s="15"/>
      <c r="H5141" s="13"/>
      <c r="I5141" s="13"/>
      <c r="J5141" s="16"/>
      <c r="K5141" s="16"/>
      <c r="L5141" s="17" t="str">
        <f aca="false" t="array" ref="L5141:L5141">IFERROR(INDEX(AC5141:AE5141,IF(COUNTA(AC5141:AE5141)=0,"",MAX((AC5141:AE5141&lt;&gt;"")*(COLUMN(AC5141:AE5141)-(COLUMN(AC5141)-2))))-1),"")</f>
        <v/>
      </c>
      <c r="M5141" s="13"/>
      <c r="N5141" s="13"/>
      <c r="O5141" s="13"/>
      <c r="P5141" s="26"/>
      <c r="Q5141" s="20"/>
      <c r="R5141" s="13"/>
      <c r="S5141" s="25"/>
      <c r="T5141" s="13"/>
      <c r="U5141" s="13"/>
      <c r="V5141" s="13"/>
      <c r="W5141" s="13"/>
      <c r="X5141" s="21"/>
      <c r="Y5141" s="22"/>
      <c r="Z5141" s="23"/>
      <c r="AA5141" s="23"/>
      <c r="AB5141" s="15"/>
      <c r="AC5141" s="14"/>
      <c r="AD5141" s="18"/>
      <c r="AE5141" s="18"/>
    </row>
    <row r="5142" customFormat="false" ht="15" hidden="false" customHeight="true" outlineLevel="0" collapsed="false">
      <c r="A5142" s="12"/>
      <c r="B5142" s="13"/>
      <c r="C5142" s="14"/>
      <c r="D5142" s="13"/>
      <c r="E5142" s="15"/>
      <c r="F5142" s="15"/>
      <c r="G5142" s="15"/>
      <c r="H5142" s="13"/>
      <c r="I5142" s="13"/>
      <c r="J5142" s="16"/>
      <c r="K5142" s="16"/>
      <c r="L5142" s="17" t="str">
        <f aca="false" t="array" ref="L5142:L5142">IFERROR(INDEX(AC5142:AE5142,IF(COUNTA(AC5142:AE5142)=0,"",MAX((AC5142:AE5142&lt;&gt;"")*(COLUMN(AC5142:AE5142)-(COLUMN(AC5142)-2))))-1),"")</f>
        <v/>
      </c>
      <c r="M5142" s="13"/>
      <c r="N5142" s="13"/>
      <c r="O5142" s="13"/>
      <c r="P5142" s="26"/>
      <c r="Q5142" s="20"/>
      <c r="R5142" s="13"/>
      <c r="S5142" s="25"/>
      <c r="T5142" s="13"/>
      <c r="U5142" s="13"/>
      <c r="V5142" s="13"/>
      <c r="W5142" s="13"/>
      <c r="X5142" s="21"/>
      <c r="Y5142" s="22"/>
      <c r="Z5142" s="23"/>
      <c r="AA5142" s="23"/>
      <c r="AB5142" s="15"/>
      <c r="AC5142" s="14"/>
      <c r="AD5142" s="18"/>
      <c r="AE5142" s="18"/>
    </row>
    <row r="5143" customFormat="false" ht="15" hidden="false" customHeight="true" outlineLevel="0" collapsed="false">
      <c r="A5143" s="12"/>
      <c r="B5143" s="13"/>
      <c r="C5143" s="14"/>
      <c r="D5143" s="13"/>
      <c r="E5143" s="15"/>
      <c r="F5143" s="15"/>
      <c r="G5143" s="15"/>
      <c r="H5143" s="13"/>
      <c r="I5143" s="13"/>
      <c r="J5143" s="16"/>
      <c r="K5143" s="16"/>
      <c r="L5143" s="17" t="str">
        <f aca="false" t="array" ref="L5143:L5143">IFERROR(INDEX(AC5143:AE5143,IF(COUNTA(AC5143:AE5143)=0,"",MAX((AC5143:AE5143&lt;&gt;"")*(COLUMN(AC5143:AE5143)-(COLUMN(AC5143)-2))))-1),"")</f>
        <v/>
      </c>
      <c r="M5143" s="13"/>
      <c r="N5143" s="13"/>
      <c r="O5143" s="13"/>
      <c r="P5143" s="26"/>
      <c r="Q5143" s="20"/>
      <c r="R5143" s="13"/>
      <c r="S5143" s="25"/>
      <c r="T5143" s="13"/>
      <c r="U5143" s="13"/>
      <c r="V5143" s="13"/>
      <c r="W5143" s="13"/>
      <c r="X5143" s="21"/>
      <c r="Y5143" s="22"/>
      <c r="Z5143" s="23"/>
      <c r="AA5143" s="23"/>
      <c r="AB5143" s="15"/>
      <c r="AC5143" s="14"/>
      <c r="AD5143" s="18"/>
      <c r="AE5143" s="18"/>
    </row>
    <row r="5144" customFormat="false" ht="15" hidden="false" customHeight="true" outlineLevel="0" collapsed="false">
      <c r="A5144" s="12"/>
      <c r="B5144" s="13"/>
      <c r="C5144" s="14"/>
      <c r="D5144" s="13"/>
      <c r="E5144" s="15"/>
      <c r="F5144" s="15"/>
      <c r="G5144" s="15"/>
      <c r="H5144" s="13"/>
      <c r="I5144" s="13"/>
      <c r="J5144" s="16"/>
      <c r="K5144" s="16"/>
      <c r="L5144" s="17" t="str">
        <f aca="false" t="array" ref="L5144:L5144">IFERROR(INDEX(AC5144:AE5144,IF(COUNTA(AC5144:AE5144)=0,"",MAX((AC5144:AE5144&lt;&gt;"")*(COLUMN(AC5144:AE5144)-(COLUMN(AC5144)-2))))-1),"")</f>
        <v/>
      </c>
      <c r="M5144" s="13"/>
      <c r="N5144" s="13"/>
      <c r="O5144" s="13"/>
      <c r="P5144" s="26"/>
      <c r="Q5144" s="20"/>
      <c r="R5144" s="13"/>
      <c r="S5144" s="25"/>
      <c r="T5144" s="13"/>
      <c r="U5144" s="13"/>
      <c r="V5144" s="13"/>
      <c r="W5144" s="13"/>
      <c r="X5144" s="21"/>
      <c r="Y5144" s="22"/>
      <c r="Z5144" s="23"/>
      <c r="AA5144" s="23"/>
      <c r="AB5144" s="15"/>
      <c r="AC5144" s="14"/>
      <c r="AD5144" s="18"/>
      <c r="AE5144" s="18"/>
    </row>
    <row r="5145" customFormat="false" ht="15" hidden="false" customHeight="true" outlineLevel="0" collapsed="false">
      <c r="A5145" s="12"/>
      <c r="B5145" s="13"/>
      <c r="C5145" s="14"/>
      <c r="D5145" s="13"/>
      <c r="E5145" s="15"/>
      <c r="F5145" s="15"/>
      <c r="G5145" s="15"/>
      <c r="H5145" s="13"/>
      <c r="I5145" s="13"/>
      <c r="J5145" s="16"/>
      <c r="K5145" s="16"/>
      <c r="L5145" s="17" t="str">
        <f aca="false" t="array" ref="L5145:L5145">IFERROR(INDEX(AC5145:AE5145,IF(COUNTA(AC5145:AE5145)=0,"",MAX((AC5145:AE5145&lt;&gt;"")*(COLUMN(AC5145:AE5145)-(COLUMN(AC5145)-2))))-1),"")</f>
        <v/>
      </c>
      <c r="M5145" s="13"/>
      <c r="N5145" s="13"/>
      <c r="O5145" s="13"/>
      <c r="P5145" s="26"/>
      <c r="Q5145" s="20"/>
      <c r="R5145" s="13"/>
      <c r="S5145" s="25"/>
      <c r="T5145" s="13"/>
      <c r="U5145" s="13"/>
      <c r="V5145" s="13"/>
      <c r="W5145" s="13"/>
      <c r="X5145" s="21"/>
      <c r="Y5145" s="22"/>
      <c r="Z5145" s="23"/>
      <c r="AA5145" s="23"/>
      <c r="AB5145" s="15"/>
      <c r="AC5145" s="14"/>
      <c r="AD5145" s="18"/>
      <c r="AE5145" s="18"/>
    </row>
    <row r="5146" customFormat="false" ht="15" hidden="false" customHeight="true" outlineLevel="0" collapsed="false">
      <c r="A5146" s="12"/>
      <c r="B5146" s="13"/>
      <c r="C5146" s="14"/>
      <c r="D5146" s="13"/>
      <c r="E5146" s="15"/>
      <c r="F5146" s="15"/>
      <c r="G5146" s="15"/>
      <c r="H5146" s="13"/>
      <c r="I5146" s="13"/>
      <c r="J5146" s="16"/>
      <c r="K5146" s="16"/>
      <c r="L5146" s="17" t="str">
        <f aca="false" t="array" ref="L5146:L5146">IFERROR(INDEX(AC5146:AE5146,IF(COUNTA(AC5146:AE5146)=0,"",MAX((AC5146:AE5146&lt;&gt;"")*(COLUMN(AC5146:AE5146)-(COLUMN(AC5146)-2))))-1),"")</f>
        <v/>
      </c>
      <c r="M5146" s="13"/>
      <c r="N5146" s="13"/>
      <c r="O5146" s="13"/>
      <c r="P5146" s="26"/>
      <c r="Q5146" s="20"/>
      <c r="R5146" s="13"/>
      <c r="S5146" s="25"/>
      <c r="T5146" s="13"/>
      <c r="U5146" s="13"/>
      <c r="V5146" s="13"/>
      <c r="W5146" s="13"/>
      <c r="X5146" s="21"/>
      <c r="Y5146" s="22"/>
      <c r="Z5146" s="23"/>
      <c r="AA5146" s="23"/>
      <c r="AB5146" s="15"/>
      <c r="AC5146" s="14"/>
      <c r="AD5146" s="18"/>
      <c r="AE5146" s="18"/>
    </row>
    <row r="5147" customFormat="false" ht="15" hidden="false" customHeight="true" outlineLevel="0" collapsed="false">
      <c r="A5147" s="12"/>
      <c r="B5147" s="13"/>
      <c r="C5147" s="14"/>
      <c r="D5147" s="13"/>
      <c r="E5147" s="15"/>
      <c r="F5147" s="15"/>
      <c r="G5147" s="15"/>
      <c r="H5147" s="13"/>
      <c r="I5147" s="13"/>
      <c r="J5147" s="16"/>
      <c r="K5147" s="16"/>
      <c r="L5147" s="17" t="str">
        <f aca="false" t="array" ref="L5147:L5147">IFERROR(INDEX(AC5147:AE5147,IF(COUNTA(AC5147:AE5147)=0,"",MAX((AC5147:AE5147&lt;&gt;"")*(COLUMN(AC5147:AE5147)-(COLUMN(AC5147)-2))))-1),"")</f>
        <v/>
      </c>
      <c r="M5147" s="13"/>
      <c r="N5147" s="13"/>
      <c r="O5147" s="13"/>
      <c r="P5147" s="26"/>
      <c r="Q5147" s="20"/>
      <c r="R5147" s="13"/>
      <c r="S5147" s="25"/>
      <c r="T5147" s="13"/>
      <c r="U5147" s="13"/>
      <c r="V5147" s="13"/>
      <c r="W5147" s="13"/>
      <c r="X5147" s="21"/>
      <c r="Y5147" s="22"/>
      <c r="Z5147" s="23"/>
      <c r="AA5147" s="23"/>
      <c r="AB5147" s="15"/>
      <c r="AC5147" s="14"/>
      <c r="AD5147" s="18"/>
      <c r="AE5147" s="18"/>
    </row>
    <row r="5148" customFormat="false" ht="15" hidden="false" customHeight="true" outlineLevel="0" collapsed="false">
      <c r="A5148" s="12"/>
      <c r="B5148" s="13"/>
      <c r="C5148" s="14"/>
      <c r="D5148" s="13"/>
      <c r="E5148" s="15"/>
      <c r="F5148" s="15"/>
      <c r="G5148" s="15"/>
      <c r="H5148" s="13"/>
      <c r="I5148" s="13"/>
      <c r="J5148" s="16"/>
      <c r="K5148" s="16"/>
      <c r="L5148" s="17" t="str">
        <f aca="false" t="array" ref="L5148:L5148">IFERROR(INDEX(AC5148:AE5148,IF(COUNTA(AC5148:AE5148)=0,"",MAX((AC5148:AE5148&lt;&gt;"")*(COLUMN(AC5148:AE5148)-(COLUMN(AC5148)-2))))-1),"")</f>
        <v/>
      </c>
      <c r="M5148" s="13"/>
      <c r="N5148" s="13"/>
      <c r="O5148" s="13"/>
      <c r="P5148" s="26"/>
      <c r="Q5148" s="20"/>
      <c r="R5148" s="13"/>
      <c r="S5148" s="25"/>
      <c r="T5148" s="13"/>
      <c r="U5148" s="13"/>
      <c r="V5148" s="13"/>
      <c r="W5148" s="13"/>
      <c r="X5148" s="21"/>
      <c r="Y5148" s="22"/>
      <c r="Z5148" s="23"/>
      <c r="AA5148" s="23"/>
      <c r="AB5148" s="15"/>
      <c r="AC5148" s="14"/>
      <c r="AD5148" s="18"/>
      <c r="AE5148" s="18"/>
    </row>
    <row r="5149" customFormat="false" ht="15" hidden="false" customHeight="true" outlineLevel="0" collapsed="false">
      <c r="A5149" s="12"/>
      <c r="B5149" s="13"/>
      <c r="C5149" s="14"/>
      <c r="D5149" s="13"/>
      <c r="E5149" s="15"/>
      <c r="F5149" s="15"/>
      <c r="G5149" s="15"/>
      <c r="H5149" s="13"/>
      <c r="I5149" s="13"/>
      <c r="J5149" s="16"/>
      <c r="K5149" s="16"/>
      <c r="L5149" s="17" t="str">
        <f aca="false" t="array" ref="L5149:L5149">IFERROR(INDEX(AC5149:AE5149,IF(COUNTA(AC5149:AE5149)=0,"",MAX((AC5149:AE5149&lt;&gt;"")*(COLUMN(AC5149:AE5149)-(COLUMN(AC5149)-2))))-1),"")</f>
        <v/>
      </c>
      <c r="M5149" s="13"/>
      <c r="N5149" s="13"/>
      <c r="O5149" s="13"/>
      <c r="P5149" s="26"/>
      <c r="Q5149" s="20"/>
      <c r="R5149" s="13"/>
      <c r="S5149" s="25"/>
      <c r="T5149" s="13"/>
      <c r="U5149" s="13"/>
      <c r="V5149" s="13"/>
      <c r="W5149" s="13"/>
      <c r="X5149" s="21"/>
      <c r="Y5149" s="22"/>
      <c r="Z5149" s="23"/>
      <c r="AA5149" s="23"/>
      <c r="AB5149" s="15"/>
      <c r="AC5149" s="14"/>
      <c r="AD5149" s="18"/>
      <c r="AE5149" s="18"/>
    </row>
    <row r="5150" customFormat="false" ht="15" hidden="false" customHeight="true" outlineLevel="0" collapsed="false">
      <c r="A5150" s="12"/>
      <c r="B5150" s="13"/>
      <c r="C5150" s="14"/>
      <c r="D5150" s="13"/>
      <c r="E5150" s="15"/>
      <c r="F5150" s="15"/>
      <c r="G5150" s="15"/>
      <c r="H5150" s="13"/>
      <c r="I5150" s="13"/>
      <c r="J5150" s="16"/>
      <c r="K5150" s="16"/>
      <c r="L5150" s="17" t="str">
        <f aca="false" t="array" ref="L5150:L5150">IFERROR(INDEX(AC5150:AE5150,IF(COUNTA(AC5150:AE5150)=0,"",MAX((AC5150:AE5150&lt;&gt;"")*(COLUMN(AC5150:AE5150)-(COLUMN(AC5150)-2))))-1),"")</f>
        <v/>
      </c>
      <c r="M5150" s="13"/>
      <c r="N5150" s="13"/>
      <c r="O5150" s="13"/>
      <c r="P5150" s="26"/>
      <c r="Q5150" s="20"/>
      <c r="R5150" s="13"/>
      <c r="S5150" s="25"/>
      <c r="T5150" s="13"/>
      <c r="U5150" s="13"/>
      <c r="V5150" s="13"/>
      <c r="W5150" s="13"/>
      <c r="X5150" s="21"/>
      <c r="Y5150" s="22"/>
      <c r="Z5150" s="23"/>
      <c r="AA5150" s="23"/>
      <c r="AB5150" s="15"/>
      <c r="AC5150" s="14"/>
      <c r="AD5150" s="18"/>
      <c r="AE5150" s="18"/>
    </row>
    <row r="5151" customFormat="false" ht="15" hidden="false" customHeight="true" outlineLevel="0" collapsed="false">
      <c r="A5151" s="12"/>
      <c r="B5151" s="13"/>
      <c r="C5151" s="14"/>
      <c r="D5151" s="13"/>
      <c r="E5151" s="15"/>
      <c r="F5151" s="15"/>
      <c r="G5151" s="15"/>
      <c r="H5151" s="13"/>
      <c r="I5151" s="13"/>
      <c r="J5151" s="16"/>
      <c r="K5151" s="16"/>
      <c r="L5151" s="17" t="str">
        <f aca="false" t="array" ref="L5151:L5151">IFERROR(INDEX(AC5151:AE5151,IF(COUNTA(AC5151:AE5151)=0,"",MAX((AC5151:AE5151&lt;&gt;"")*(COLUMN(AC5151:AE5151)-(COLUMN(AC5151)-2))))-1),"")</f>
        <v/>
      </c>
      <c r="M5151" s="13"/>
      <c r="N5151" s="13"/>
      <c r="O5151" s="13"/>
      <c r="P5151" s="26"/>
      <c r="Q5151" s="20"/>
      <c r="R5151" s="13"/>
      <c r="S5151" s="25"/>
      <c r="T5151" s="13"/>
      <c r="U5151" s="13"/>
      <c r="V5151" s="13"/>
      <c r="W5151" s="13"/>
      <c r="X5151" s="21"/>
      <c r="Y5151" s="22"/>
      <c r="Z5151" s="23"/>
      <c r="AA5151" s="23"/>
      <c r="AB5151" s="15"/>
      <c r="AC5151" s="14"/>
      <c r="AD5151" s="18"/>
      <c r="AE5151" s="18"/>
    </row>
    <row r="5152" customFormat="false" ht="15" hidden="false" customHeight="true" outlineLevel="0" collapsed="false">
      <c r="A5152" s="12"/>
      <c r="B5152" s="13"/>
      <c r="C5152" s="14"/>
      <c r="D5152" s="13"/>
      <c r="E5152" s="15"/>
      <c r="F5152" s="15"/>
      <c r="G5152" s="15"/>
      <c r="H5152" s="13"/>
      <c r="I5152" s="13"/>
      <c r="J5152" s="16"/>
      <c r="K5152" s="16"/>
      <c r="L5152" s="17" t="str">
        <f aca="false" t="array" ref="L5152:L5152">IFERROR(INDEX(AC5152:AE5152,IF(COUNTA(AC5152:AE5152)=0,"",MAX((AC5152:AE5152&lt;&gt;"")*(COLUMN(AC5152:AE5152)-(COLUMN(AC5152)-2))))-1),"")</f>
        <v/>
      </c>
      <c r="M5152" s="13"/>
      <c r="N5152" s="13"/>
      <c r="O5152" s="13"/>
      <c r="P5152" s="26"/>
      <c r="Q5152" s="20"/>
      <c r="R5152" s="13"/>
      <c r="S5152" s="25"/>
      <c r="T5152" s="13"/>
      <c r="U5152" s="13"/>
      <c r="V5152" s="13"/>
      <c r="W5152" s="13"/>
      <c r="X5152" s="21"/>
      <c r="Y5152" s="22"/>
      <c r="Z5152" s="23"/>
      <c r="AA5152" s="23"/>
      <c r="AB5152" s="15"/>
      <c r="AC5152" s="14"/>
      <c r="AD5152" s="18"/>
      <c r="AE5152" s="18"/>
    </row>
    <row r="5153" customFormat="false" ht="15" hidden="false" customHeight="true" outlineLevel="0" collapsed="false">
      <c r="A5153" s="12"/>
      <c r="B5153" s="13"/>
      <c r="C5153" s="14"/>
      <c r="D5153" s="13"/>
      <c r="E5153" s="15"/>
      <c r="F5153" s="15"/>
      <c r="G5153" s="15"/>
      <c r="H5153" s="13"/>
      <c r="I5153" s="13"/>
      <c r="J5153" s="16"/>
      <c r="K5153" s="16"/>
      <c r="L5153" s="17" t="str">
        <f aca="false" t="array" ref="L5153:L5153">IFERROR(INDEX(AC5153:AE5153,IF(COUNTA(AC5153:AE5153)=0,"",MAX((AC5153:AE5153&lt;&gt;"")*(COLUMN(AC5153:AE5153)-(COLUMN(AC5153)-2))))-1),"")</f>
        <v/>
      </c>
      <c r="M5153" s="13"/>
      <c r="N5153" s="13"/>
      <c r="O5153" s="13"/>
      <c r="P5153" s="26"/>
      <c r="Q5153" s="20"/>
      <c r="R5153" s="13"/>
      <c r="S5153" s="25"/>
      <c r="T5153" s="13"/>
      <c r="U5153" s="13"/>
      <c r="V5153" s="13"/>
      <c r="W5153" s="13"/>
      <c r="X5153" s="21"/>
      <c r="Y5153" s="22"/>
      <c r="Z5153" s="23"/>
      <c r="AA5153" s="23"/>
      <c r="AB5153" s="15"/>
      <c r="AC5153" s="14"/>
      <c r="AD5153" s="18"/>
      <c r="AE5153" s="18"/>
    </row>
    <row r="5154" customFormat="false" ht="15" hidden="false" customHeight="true" outlineLevel="0" collapsed="false">
      <c r="A5154" s="12"/>
      <c r="B5154" s="13"/>
      <c r="C5154" s="14"/>
      <c r="D5154" s="13"/>
      <c r="E5154" s="15"/>
      <c r="F5154" s="15"/>
      <c r="G5154" s="15"/>
      <c r="H5154" s="13"/>
      <c r="I5154" s="13"/>
      <c r="J5154" s="16"/>
      <c r="K5154" s="16"/>
      <c r="L5154" s="17" t="str">
        <f aca="false" t="array" ref="L5154:L5154">IFERROR(INDEX(AC5154:AE5154,IF(COUNTA(AC5154:AE5154)=0,"",MAX((AC5154:AE5154&lt;&gt;"")*(COLUMN(AC5154:AE5154)-(COLUMN(AC5154)-2))))-1),"")</f>
        <v/>
      </c>
      <c r="M5154" s="13"/>
      <c r="N5154" s="13"/>
      <c r="O5154" s="13"/>
      <c r="P5154" s="26"/>
      <c r="Q5154" s="20"/>
      <c r="R5154" s="13"/>
      <c r="S5154" s="25"/>
      <c r="T5154" s="13"/>
      <c r="U5154" s="13"/>
      <c r="V5154" s="13"/>
      <c r="W5154" s="13"/>
      <c r="X5154" s="21"/>
      <c r="Y5154" s="22"/>
      <c r="Z5154" s="23"/>
      <c r="AA5154" s="23"/>
      <c r="AB5154" s="15"/>
      <c r="AC5154" s="14"/>
      <c r="AD5154" s="18"/>
      <c r="AE5154" s="18"/>
    </row>
    <row r="5155" customFormat="false" ht="15" hidden="false" customHeight="true" outlineLevel="0" collapsed="false">
      <c r="A5155" s="12"/>
      <c r="B5155" s="13"/>
      <c r="C5155" s="14"/>
      <c r="D5155" s="13"/>
      <c r="E5155" s="15"/>
      <c r="F5155" s="15"/>
      <c r="G5155" s="15"/>
      <c r="H5155" s="13"/>
      <c r="I5155" s="13"/>
      <c r="J5155" s="16"/>
      <c r="K5155" s="16"/>
      <c r="L5155" s="17" t="str">
        <f aca="false" t="array" ref="L5155:L5155">IFERROR(INDEX(AC5155:AE5155,IF(COUNTA(AC5155:AE5155)=0,"",MAX((AC5155:AE5155&lt;&gt;"")*(COLUMN(AC5155:AE5155)-(COLUMN(AC5155)-2))))-1),"")</f>
        <v/>
      </c>
      <c r="M5155" s="13"/>
      <c r="N5155" s="13"/>
      <c r="O5155" s="13"/>
      <c r="P5155" s="26"/>
      <c r="Q5155" s="20"/>
      <c r="R5155" s="13"/>
      <c r="S5155" s="25"/>
      <c r="T5155" s="13"/>
      <c r="U5155" s="13"/>
      <c r="V5155" s="13"/>
      <c r="W5155" s="13"/>
      <c r="X5155" s="21"/>
      <c r="Y5155" s="22"/>
      <c r="Z5155" s="23"/>
      <c r="AA5155" s="23"/>
      <c r="AB5155" s="15"/>
      <c r="AC5155" s="14"/>
      <c r="AD5155" s="18"/>
      <c r="AE5155" s="18"/>
    </row>
    <row r="5156" customFormat="false" ht="15" hidden="false" customHeight="true" outlineLevel="0" collapsed="false">
      <c r="A5156" s="12"/>
      <c r="B5156" s="13"/>
      <c r="C5156" s="14"/>
      <c r="D5156" s="13"/>
      <c r="E5156" s="15"/>
      <c r="F5156" s="15"/>
      <c r="G5156" s="15"/>
      <c r="H5156" s="13"/>
      <c r="I5156" s="13"/>
      <c r="J5156" s="16"/>
      <c r="K5156" s="16"/>
      <c r="L5156" s="17" t="str">
        <f aca="false" t="array" ref="L5156:L5156">IFERROR(INDEX(AC5156:AE5156,IF(COUNTA(AC5156:AE5156)=0,"",MAX((AC5156:AE5156&lt;&gt;"")*(COLUMN(AC5156:AE5156)-(COLUMN(AC5156)-2))))-1),"")</f>
        <v/>
      </c>
      <c r="M5156" s="13"/>
      <c r="N5156" s="13"/>
      <c r="O5156" s="13"/>
      <c r="P5156" s="26"/>
      <c r="Q5156" s="20"/>
      <c r="R5156" s="13"/>
      <c r="S5156" s="25"/>
      <c r="T5156" s="13"/>
      <c r="U5156" s="13"/>
      <c r="V5156" s="13"/>
      <c r="W5156" s="13"/>
      <c r="X5156" s="21"/>
      <c r="Y5156" s="22"/>
      <c r="Z5156" s="23"/>
      <c r="AA5156" s="23"/>
      <c r="AB5156" s="15"/>
      <c r="AC5156" s="14"/>
      <c r="AD5156" s="18"/>
      <c r="AE5156" s="18"/>
    </row>
    <row r="5157" customFormat="false" ht="15" hidden="false" customHeight="true" outlineLevel="0" collapsed="false">
      <c r="A5157" s="12"/>
      <c r="B5157" s="13"/>
      <c r="C5157" s="14"/>
      <c r="D5157" s="13"/>
      <c r="E5157" s="15"/>
      <c r="F5157" s="15"/>
      <c r="G5157" s="15"/>
      <c r="H5157" s="13"/>
      <c r="I5157" s="13"/>
      <c r="J5157" s="16"/>
      <c r="K5157" s="16"/>
      <c r="L5157" s="17" t="str">
        <f aca="false" t="array" ref="L5157:L5157">IFERROR(INDEX(AC5157:AE5157,IF(COUNTA(AC5157:AE5157)=0,"",MAX((AC5157:AE5157&lt;&gt;"")*(COLUMN(AC5157:AE5157)-(COLUMN(AC5157)-2))))-1),"")</f>
        <v/>
      </c>
      <c r="M5157" s="13"/>
      <c r="N5157" s="13"/>
      <c r="O5157" s="13"/>
      <c r="P5157" s="26"/>
      <c r="Q5157" s="20"/>
      <c r="R5157" s="13"/>
      <c r="S5157" s="25"/>
      <c r="T5157" s="13"/>
      <c r="U5157" s="13"/>
      <c r="V5157" s="13"/>
      <c r="W5157" s="13"/>
      <c r="X5157" s="21"/>
      <c r="Y5157" s="22"/>
      <c r="Z5157" s="23"/>
      <c r="AA5157" s="23"/>
      <c r="AB5157" s="15"/>
      <c r="AC5157" s="14"/>
      <c r="AD5157" s="18"/>
      <c r="AE5157" s="18"/>
    </row>
    <row r="5158" customFormat="false" ht="15" hidden="false" customHeight="true" outlineLevel="0" collapsed="false">
      <c r="A5158" s="12"/>
      <c r="B5158" s="13"/>
      <c r="C5158" s="14"/>
      <c r="D5158" s="13"/>
      <c r="E5158" s="15"/>
      <c r="F5158" s="15"/>
      <c r="G5158" s="15"/>
      <c r="H5158" s="13"/>
      <c r="I5158" s="13"/>
      <c r="J5158" s="16"/>
      <c r="K5158" s="16"/>
      <c r="L5158" s="17" t="str">
        <f aca="false" t="array" ref="L5158:L5158">IFERROR(INDEX(AC5158:AE5158,IF(COUNTA(AC5158:AE5158)=0,"",MAX((AC5158:AE5158&lt;&gt;"")*(COLUMN(AC5158:AE5158)-(COLUMN(AC5158)-2))))-1),"")</f>
        <v/>
      </c>
      <c r="M5158" s="13"/>
      <c r="N5158" s="13"/>
      <c r="O5158" s="13"/>
      <c r="P5158" s="26"/>
      <c r="Q5158" s="20"/>
      <c r="R5158" s="13"/>
      <c r="S5158" s="25"/>
      <c r="T5158" s="13"/>
      <c r="U5158" s="13"/>
      <c r="V5158" s="13"/>
      <c r="W5158" s="13"/>
      <c r="X5158" s="21"/>
      <c r="Y5158" s="22"/>
      <c r="Z5158" s="23"/>
      <c r="AA5158" s="23"/>
      <c r="AB5158" s="15"/>
      <c r="AC5158" s="14"/>
      <c r="AD5158" s="18"/>
      <c r="AE5158" s="18"/>
    </row>
    <row r="5159" customFormat="false" ht="15" hidden="false" customHeight="true" outlineLevel="0" collapsed="false">
      <c r="A5159" s="12"/>
      <c r="B5159" s="13"/>
      <c r="C5159" s="14"/>
      <c r="D5159" s="13"/>
      <c r="E5159" s="15"/>
      <c r="F5159" s="15"/>
      <c r="G5159" s="15"/>
      <c r="H5159" s="13"/>
      <c r="I5159" s="13"/>
      <c r="J5159" s="16"/>
      <c r="K5159" s="16"/>
      <c r="L5159" s="17" t="str">
        <f aca="false" t="array" ref="L5159:L5159">IFERROR(INDEX(AC5159:AE5159,IF(COUNTA(AC5159:AE5159)=0,"",MAX((AC5159:AE5159&lt;&gt;"")*(COLUMN(AC5159:AE5159)-(COLUMN(AC5159)-2))))-1),"")</f>
        <v/>
      </c>
      <c r="M5159" s="13"/>
      <c r="N5159" s="13"/>
      <c r="O5159" s="13"/>
      <c r="P5159" s="26"/>
      <c r="Q5159" s="20"/>
      <c r="R5159" s="13"/>
      <c r="S5159" s="25"/>
      <c r="T5159" s="13"/>
      <c r="U5159" s="13"/>
      <c r="V5159" s="13"/>
      <c r="W5159" s="13"/>
      <c r="X5159" s="21"/>
      <c r="Y5159" s="22"/>
      <c r="Z5159" s="23"/>
      <c r="AA5159" s="23"/>
      <c r="AB5159" s="15"/>
      <c r="AC5159" s="14"/>
      <c r="AD5159" s="18"/>
      <c r="AE5159" s="18"/>
    </row>
    <row r="5160" customFormat="false" ht="15" hidden="false" customHeight="true" outlineLevel="0" collapsed="false">
      <c r="A5160" s="12"/>
      <c r="B5160" s="13"/>
      <c r="C5160" s="14"/>
      <c r="D5160" s="13"/>
      <c r="E5160" s="15"/>
      <c r="F5160" s="15"/>
      <c r="G5160" s="15"/>
      <c r="H5160" s="13"/>
      <c r="I5160" s="13"/>
      <c r="J5160" s="16"/>
      <c r="K5160" s="16"/>
      <c r="L5160" s="17" t="str">
        <f aca="false" t="array" ref="L5160:L5160">IFERROR(INDEX(AC5160:AE5160,IF(COUNTA(AC5160:AE5160)=0,"",MAX((AC5160:AE5160&lt;&gt;"")*(COLUMN(AC5160:AE5160)-(COLUMN(AC5160)-2))))-1),"")</f>
        <v/>
      </c>
      <c r="M5160" s="13"/>
      <c r="N5160" s="13"/>
      <c r="O5160" s="13"/>
      <c r="P5160" s="26"/>
      <c r="Q5160" s="20"/>
      <c r="R5160" s="13"/>
      <c r="S5160" s="25"/>
      <c r="T5160" s="13"/>
      <c r="U5160" s="13"/>
      <c r="V5160" s="13"/>
      <c r="W5160" s="13"/>
      <c r="X5160" s="21"/>
      <c r="Y5160" s="22"/>
      <c r="Z5160" s="23"/>
      <c r="AA5160" s="23"/>
      <c r="AB5160" s="15"/>
      <c r="AC5160" s="14"/>
      <c r="AD5160" s="18"/>
      <c r="AE5160" s="18"/>
    </row>
    <row r="5161" customFormat="false" ht="15" hidden="false" customHeight="true" outlineLevel="0" collapsed="false">
      <c r="A5161" s="12"/>
      <c r="B5161" s="13"/>
      <c r="C5161" s="14"/>
      <c r="D5161" s="13"/>
      <c r="E5161" s="15"/>
      <c r="F5161" s="15"/>
      <c r="G5161" s="15"/>
      <c r="H5161" s="13"/>
      <c r="I5161" s="13"/>
      <c r="J5161" s="16"/>
      <c r="K5161" s="16"/>
      <c r="L5161" s="17" t="str">
        <f aca="false" t="array" ref="L5161:L5161">IFERROR(INDEX(AC5161:AE5161,IF(COUNTA(AC5161:AE5161)=0,"",MAX((AC5161:AE5161&lt;&gt;"")*(COLUMN(AC5161:AE5161)-(COLUMN(AC5161)-2))))-1),"")</f>
        <v/>
      </c>
      <c r="M5161" s="13"/>
      <c r="N5161" s="13"/>
      <c r="O5161" s="13"/>
      <c r="P5161" s="26"/>
      <c r="Q5161" s="20"/>
      <c r="R5161" s="13"/>
      <c r="S5161" s="25"/>
      <c r="T5161" s="13"/>
      <c r="U5161" s="13"/>
      <c r="V5161" s="13"/>
      <c r="W5161" s="13"/>
      <c r="X5161" s="21"/>
      <c r="Y5161" s="22"/>
      <c r="Z5161" s="23"/>
      <c r="AA5161" s="23"/>
      <c r="AB5161" s="15"/>
      <c r="AC5161" s="14"/>
      <c r="AD5161" s="18"/>
      <c r="AE5161" s="18"/>
    </row>
    <row r="5162" customFormat="false" ht="15" hidden="false" customHeight="true" outlineLevel="0" collapsed="false">
      <c r="A5162" s="12"/>
      <c r="B5162" s="13"/>
      <c r="C5162" s="14"/>
      <c r="D5162" s="13"/>
      <c r="E5162" s="15"/>
      <c r="F5162" s="15"/>
      <c r="G5162" s="15"/>
      <c r="H5162" s="13"/>
      <c r="I5162" s="13"/>
      <c r="J5162" s="16"/>
      <c r="K5162" s="16"/>
      <c r="L5162" s="17" t="str">
        <f aca="false" t="array" ref="L5162:L5162">IFERROR(INDEX(AC5162:AE5162,IF(COUNTA(AC5162:AE5162)=0,"",MAX((AC5162:AE5162&lt;&gt;"")*(COLUMN(AC5162:AE5162)-(COLUMN(AC5162)-2))))-1),"")</f>
        <v/>
      </c>
      <c r="M5162" s="13"/>
      <c r="N5162" s="13"/>
      <c r="O5162" s="13"/>
      <c r="P5162" s="26"/>
      <c r="Q5162" s="20"/>
      <c r="R5162" s="13"/>
      <c r="S5162" s="25"/>
      <c r="T5162" s="13"/>
      <c r="U5162" s="13"/>
      <c r="V5162" s="13"/>
      <c r="W5162" s="13"/>
      <c r="X5162" s="21"/>
      <c r="Y5162" s="22"/>
      <c r="Z5162" s="23"/>
      <c r="AA5162" s="23"/>
      <c r="AB5162" s="15"/>
      <c r="AC5162" s="14"/>
      <c r="AD5162" s="18"/>
      <c r="AE5162" s="18"/>
    </row>
    <row r="5163" customFormat="false" ht="15" hidden="false" customHeight="true" outlineLevel="0" collapsed="false">
      <c r="A5163" s="12"/>
      <c r="B5163" s="13"/>
      <c r="C5163" s="14"/>
      <c r="D5163" s="13"/>
      <c r="E5163" s="15"/>
      <c r="F5163" s="15"/>
      <c r="G5163" s="15"/>
      <c r="H5163" s="13"/>
      <c r="I5163" s="13"/>
      <c r="J5163" s="16"/>
      <c r="K5163" s="16"/>
      <c r="L5163" s="17" t="str">
        <f aca="false" t="array" ref="L5163:L5163">IFERROR(INDEX(AC5163:AE5163,IF(COUNTA(AC5163:AE5163)=0,"",MAX((AC5163:AE5163&lt;&gt;"")*(COLUMN(AC5163:AE5163)-(COLUMN(AC5163)-2))))-1),"")</f>
        <v/>
      </c>
      <c r="M5163" s="13"/>
      <c r="N5163" s="13"/>
      <c r="O5163" s="13"/>
      <c r="P5163" s="26"/>
      <c r="Q5163" s="20"/>
      <c r="R5163" s="13"/>
      <c r="S5163" s="25"/>
      <c r="T5163" s="13"/>
      <c r="U5163" s="13"/>
      <c r="V5163" s="13"/>
      <c r="W5163" s="13"/>
      <c r="X5163" s="21"/>
      <c r="Y5163" s="22"/>
      <c r="Z5163" s="23"/>
      <c r="AA5163" s="23"/>
      <c r="AB5163" s="15"/>
      <c r="AC5163" s="14"/>
      <c r="AD5163" s="18"/>
      <c r="AE5163" s="18"/>
    </row>
    <row r="5164" customFormat="false" ht="15" hidden="false" customHeight="true" outlineLevel="0" collapsed="false">
      <c r="A5164" s="12"/>
      <c r="B5164" s="13"/>
      <c r="C5164" s="14"/>
      <c r="D5164" s="13"/>
      <c r="E5164" s="15"/>
      <c r="F5164" s="15"/>
      <c r="G5164" s="15"/>
      <c r="H5164" s="13"/>
      <c r="I5164" s="13"/>
      <c r="J5164" s="16"/>
      <c r="K5164" s="16"/>
      <c r="L5164" s="17" t="str">
        <f aca="false" t="array" ref="L5164:L5164">IFERROR(INDEX(AC5164:AE5164,IF(COUNTA(AC5164:AE5164)=0,"",MAX((AC5164:AE5164&lt;&gt;"")*(COLUMN(AC5164:AE5164)-(COLUMN(AC5164)-2))))-1),"")</f>
        <v/>
      </c>
      <c r="M5164" s="13"/>
      <c r="N5164" s="13"/>
      <c r="O5164" s="13"/>
      <c r="P5164" s="26"/>
      <c r="Q5164" s="20"/>
      <c r="R5164" s="13"/>
      <c r="S5164" s="25"/>
      <c r="T5164" s="13"/>
      <c r="U5164" s="13"/>
      <c r="V5164" s="13"/>
      <c r="W5164" s="13"/>
      <c r="X5164" s="21"/>
      <c r="Y5164" s="22"/>
      <c r="Z5164" s="23"/>
      <c r="AA5164" s="23"/>
      <c r="AB5164" s="15"/>
      <c r="AC5164" s="14"/>
      <c r="AD5164" s="18"/>
      <c r="AE5164" s="18"/>
    </row>
    <row r="5165" customFormat="false" ht="15" hidden="false" customHeight="true" outlineLevel="0" collapsed="false">
      <c r="A5165" s="12"/>
      <c r="B5165" s="13"/>
      <c r="C5165" s="14"/>
      <c r="D5165" s="13"/>
      <c r="E5165" s="15"/>
      <c r="F5165" s="15"/>
      <c r="G5165" s="15"/>
      <c r="H5165" s="13"/>
      <c r="I5165" s="13"/>
      <c r="J5165" s="16"/>
      <c r="K5165" s="16"/>
      <c r="L5165" s="17" t="str">
        <f aca="false" t="array" ref="L5165:L5165">IFERROR(INDEX(AC5165:AE5165,IF(COUNTA(AC5165:AE5165)=0,"",MAX((AC5165:AE5165&lt;&gt;"")*(COLUMN(AC5165:AE5165)-(COLUMN(AC5165)-2))))-1),"")</f>
        <v/>
      </c>
      <c r="M5165" s="13"/>
      <c r="N5165" s="13"/>
      <c r="O5165" s="13"/>
      <c r="P5165" s="26"/>
      <c r="Q5165" s="20"/>
      <c r="R5165" s="13"/>
      <c r="S5165" s="25"/>
      <c r="T5165" s="13"/>
      <c r="U5165" s="13"/>
      <c r="V5165" s="13"/>
      <c r="W5165" s="13"/>
      <c r="X5165" s="21"/>
      <c r="Y5165" s="22"/>
      <c r="Z5165" s="23"/>
      <c r="AA5165" s="23"/>
      <c r="AB5165" s="15"/>
      <c r="AC5165" s="14"/>
      <c r="AD5165" s="18"/>
      <c r="AE5165" s="18"/>
    </row>
    <row r="5166" customFormat="false" ht="15" hidden="false" customHeight="true" outlineLevel="0" collapsed="false">
      <c r="A5166" s="12"/>
      <c r="B5166" s="13"/>
      <c r="C5166" s="14"/>
      <c r="D5166" s="13"/>
      <c r="E5166" s="15"/>
      <c r="F5166" s="15"/>
      <c r="G5166" s="15"/>
      <c r="H5166" s="13"/>
      <c r="I5166" s="13"/>
      <c r="J5166" s="16"/>
      <c r="K5166" s="16"/>
      <c r="L5166" s="17" t="str">
        <f aca="false" t="array" ref="L5166:L5166">IFERROR(INDEX(AC5166:AE5166,IF(COUNTA(AC5166:AE5166)=0,"",MAX((AC5166:AE5166&lt;&gt;"")*(COLUMN(AC5166:AE5166)-(COLUMN(AC5166)-2))))-1),"")</f>
        <v/>
      </c>
      <c r="M5166" s="13"/>
      <c r="N5166" s="13"/>
      <c r="O5166" s="13"/>
      <c r="P5166" s="26"/>
      <c r="Q5166" s="20"/>
      <c r="R5166" s="13"/>
      <c r="S5166" s="25"/>
      <c r="T5166" s="13"/>
      <c r="U5166" s="13"/>
      <c r="V5166" s="13"/>
      <c r="W5166" s="13"/>
      <c r="X5166" s="21"/>
      <c r="Y5166" s="22"/>
      <c r="Z5166" s="23"/>
      <c r="AA5166" s="23"/>
      <c r="AB5166" s="15"/>
      <c r="AC5166" s="14"/>
      <c r="AD5166" s="18"/>
      <c r="AE5166" s="18"/>
    </row>
    <row r="5167" customFormat="false" ht="15" hidden="false" customHeight="true" outlineLevel="0" collapsed="false">
      <c r="A5167" s="12"/>
      <c r="B5167" s="13"/>
      <c r="C5167" s="14"/>
      <c r="D5167" s="13"/>
      <c r="E5167" s="15"/>
      <c r="F5167" s="15"/>
      <c r="G5167" s="15"/>
      <c r="H5167" s="13"/>
      <c r="I5167" s="13"/>
      <c r="J5167" s="16"/>
      <c r="K5167" s="16"/>
      <c r="L5167" s="17" t="str">
        <f aca="false" t="array" ref="L5167:L5167">IFERROR(INDEX(AC5167:AE5167,IF(COUNTA(AC5167:AE5167)=0,"",MAX((AC5167:AE5167&lt;&gt;"")*(COLUMN(AC5167:AE5167)-(COLUMN(AC5167)-2))))-1),"")</f>
        <v/>
      </c>
      <c r="M5167" s="13"/>
      <c r="N5167" s="13"/>
      <c r="O5167" s="13"/>
      <c r="P5167" s="26"/>
      <c r="Q5167" s="20"/>
      <c r="R5167" s="13"/>
      <c r="S5167" s="25"/>
      <c r="T5167" s="13"/>
      <c r="U5167" s="13"/>
      <c r="V5167" s="13"/>
      <c r="W5167" s="13"/>
      <c r="X5167" s="21"/>
      <c r="Y5167" s="22"/>
      <c r="Z5167" s="23"/>
      <c r="AA5167" s="23"/>
      <c r="AB5167" s="15"/>
      <c r="AC5167" s="14"/>
      <c r="AD5167" s="18"/>
      <c r="AE5167" s="18"/>
    </row>
    <row r="5168" customFormat="false" ht="15" hidden="false" customHeight="true" outlineLevel="0" collapsed="false">
      <c r="A5168" s="12"/>
      <c r="B5168" s="13"/>
      <c r="C5168" s="14"/>
      <c r="D5168" s="13"/>
      <c r="E5168" s="15"/>
      <c r="F5168" s="15"/>
      <c r="G5168" s="15"/>
      <c r="H5168" s="13"/>
      <c r="I5168" s="13"/>
      <c r="J5168" s="16"/>
      <c r="K5168" s="16"/>
      <c r="L5168" s="17" t="str">
        <f aca="false" t="array" ref="L5168:L5168">IFERROR(INDEX(AC5168:AE5168,IF(COUNTA(AC5168:AE5168)=0,"",MAX((AC5168:AE5168&lt;&gt;"")*(COLUMN(AC5168:AE5168)-(COLUMN(AC5168)-2))))-1),"")</f>
        <v/>
      </c>
      <c r="M5168" s="13"/>
      <c r="N5168" s="13"/>
      <c r="O5168" s="13"/>
      <c r="P5168" s="26"/>
      <c r="Q5168" s="20"/>
      <c r="R5168" s="13"/>
      <c r="S5168" s="25"/>
      <c r="T5168" s="13"/>
      <c r="U5168" s="13"/>
      <c r="V5168" s="13"/>
      <c r="W5168" s="13"/>
      <c r="X5168" s="21"/>
      <c r="Y5168" s="22"/>
      <c r="Z5168" s="23"/>
      <c r="AA5168" s="23"/>
      <c r="AB5168" s="15"/>
      <c r="AC5168" s="14"/>
      <c r="AD5168" s="18"/>
      <c r="AE5168" s="18"/>
    </row>
    <row r="5169" customFormat="false" ht="15" hidden="false" customHeight="true" outlineLevel="0" collapsed="false">
      <c r="A5169" s="12"/>
      <c r="B5169" s="13"/>
      <c r="C5169" s="14"/>
      <c r="D5169" s="13"/>
      <c r="E5169" s="15"/>
      <c r="F5169" s="15"/>
      <c r="G5169" s="15"/>
      <c r="H5169" s="13"/>
      <c r="I5169" s="13"/>
      <c r="J5169" s="16"/>
      <c r="K5169" s="16"/>
      <c r="L5169" s="17" t="str">
        <f aca="false" t="array" ref="L5169:L5169">IFERROR(INDEX(AC5169:AE5169,IF(COUNTA(AC5169:AE5169)=0,"",MAX((AC5169:AE5169&lt;&gt;"")*(COLUMN(AC5169:AE5169)-(COLUMN(AC5169)-2))))-1),"")</f>
        <v/>
      </c>
      <c r="M5169" s="13"/>
      <c r="N5169" s="13"/>
      <c r="O5169" s="13"/>
      <c r="P5169" s="26"/>
      <c r="Q5169" s="20"/>
      <c r="R5169" s="13"/>
      <c r="S5169" s="25"/>
      <c r="T5169" s="13"/>
      <c r="U5169" s="13"/>
      <c r="V5169" s="13"/>
      <c r="W5169" s="13"/>
      <c r="X5169" s="21"/>
      <c r="Y5169" s="22"/>
      <c r="Z5169" s="23"/>
      <c r="AA5169" s="23"/>
      <c r="AB5169" s="15"/>
      <c r="AC5169" s="14"/>
      <c r="AD5169" s="18"/>
      <c r="AE5169" s="18"/>
    </row>
    <row r="5170" customFormat="false" ht="15" hidden="false" customHeight="true" outlineLevel="0" collapsed="false">
      <c r="A5170" s="12"/>
      <c r="B5170" s="13"/>
      <c r="C5170" s="14"/>
      <c r="D5170" s="13"/>
      <c r="E5170" s="15"/>
      <c r="F5170" s="15"/>
      <c r="G5170" s="15"/>
      <c r="H5170" s="13"/>
      <c r="I5170" s="13"/>
      <c r="J5170" s="16"/>
      <c r="K5170" s="16"/>
      <c r="L5170" s="17" t="str">
        <f aca="false" t="array" ref="L5170:L5170">IFERROR(INDEX(AC5170:AE5170,IF(COUNTA(AC5170:AE5170)=0,"",MAX((AC5170:AE5170&lt;&gt;"")*(COLUMN(AC5170:AE5170)-(COLUMN(AC5170)-2))))-1),"")</f>
        <v/>
      </c>
      <c r="M5170" s="13"/>
      <c r="N5170" s="13"/>
      <c r="O5170" s="13"/>
      <c r="P5170" s="26"/>
      <c r="Q5170" s="20"/>
      <c r="R5170" s="13"/>
      <c r="S5170" s="25"/>
      <c r="T5170" s="13"/>
      <c r="U5170" s="13"/>
      <c r="V5170" s="13"/>
      <c r="W5170" s="13"/>
      <c r="X5170" s="21"/>
      <c r="Y5170" s="22"/>
      <c r="Z5170" s="23"/>
      <c r="AA5170" s="23"/>
      <c r="AB5170" s="15"/>
      <c r="AC5170" s="14"/>
      <c r="AD5170" s="18"/>
      <c r="AE5170" s="18"/>
    </row>
    <row r="5171" customFormat="false" ht="15" hidden="false" customHeight="true" outlineLevel="0" collapsed="false">
      <c r="A5171" s="12"/>
      <c r="B5171" s="13"/>
      <c r="C5171" s="14"/>
      <c r="D5171" s="13"/>
      <c r="E5171" s="15"/>
      <c r="F5171" s="15"/>
      <c r="G5171" s="15"/>
      <c r="H5171" s="13"/>
      <c r="I5171" s="13"/>
      <c r="J5171" s="16"/>
      <c r="K5171" s="16"/>
      <c r="L5171" s="17" t="str">
        <f aca="false" t="array" ref="L5171:L5171">IFERROR(INDEX(AC5171:AE5171,IF(COUNTA(AC5171:AE5171)=0,"",MAX((AC5171:AE5171&lt;&gt;"")*(COLUMN(AC5171:AE5171)-(COLUMN(AC5171)-2))))-1),"")</f>
        <v/>
      </c>
      <c r="M5171" s="13"/>
      <c r="N5171" s="13"/>
      <c r="O5171" s="13"/>
      <c r="P5171" s="26"/>
      <c r="Q5171" s="20"/>
      <c r="R5171" s="13"/>
      <c r="S5171" s="25"/>
      <c r="T5171" s="13"/>
      <c r="U5171" s="13"/>
      <c r="V5171" s="13"/>
      <c r="W5171" s="13"/>
      <c r="X5171" s="21"/>
      <c r="Y5171" s="22"/>
      <c r="Z5171" s="23"/>
      <c r="AA5171" s="23"/>
      <c r="AB5171" s="15"/>
      <c r="AC5171" s="14"/>
      <c r="AD5171" s="18"/>
      <c r="AE5171" s="18"/>
    </row>
    <row r="5172" customFormat="false" ht="15" hidden="false" customHeight="true" outlineLevel="0" collapsed="false">
      <c r="A5172" s="12"/>
      <c r="B5172" s="13"/>
      <c r="C5172" s="14"/>
      <c r="D5172" s="13"/>
      <c r="E5172" s="15"/>
      <c r="F5172" s="15"/>
      <c r="G5172" s="15"/>
      <c r="H5172" s="13"/>
      <c r="I5172" s="13"/>
      <c r="J5172" s="16"/>
      <c r="K5172" s="16"/>
      <c r="L5172" s="17" t="str">
        <f aca="false" t="array" ref="L5172:L5172">IFERROR(INDEX(AC5172:AE5172,IF(COUNTA(AC5172:AE5172)=0,"",MAX((AC5172:AE5172&lt;&gt;"")*(COLUMN(AC5172:AE5172)-(COLUMN(AC5172)-2))))-1),"")</f>
        <v/>
      </c>
      <c r="M5172" s="13"/>
      <c r="N5172" s="13"/>
      <c r="O5172" s="13"/>
      <c r="P5172" s="26"/>
      <c r="Q5172" s="20"/>
      <c r="R5172" s="13"/>
      <c r="S5172" s="25"/>
      <c r="T5172" s="13"/>
      <c r="U5172" s="13"/>
      <c r="V5172" s="13"/>
      <c r="W5172" s="13"/>
      <c r="X5172" s="21"/>
      <c r="Y5172" s="22"/>
      <c r="Z5172" s="23"/>
      <c r="AA5172" s="23"/>
      <c r="AB5172" s="15"/>
      <c r="AC5172" s="14"/>
      <c r="AD5172" s="18"/>
      <c r="AE5172" s="18"/>
    </row>
    <row r="5173" customFormat="false" ht="15" hidden="false" customHeight="true" outlineLevel="0" collapsed="false">
      <c r="A5173" s="12"/>
      <c r="B5173" s="13"/>
      <c r="C5173" s="14"/>
      <c r="D5173" s="13"/>
      <c r="E5173" s="15"/>
      <c r="F5173" s="15"/>
      <c r="G5173" s="15"/>
      <c r="H5173" s="13"/>
      <c r="I5173" s="13"/>
      <c r="J5173" s="16"/>
      <c r="K5173" s="16"/>
      <c r="L5173" s="17" t="str">
        <f aca="false" t="array" ref="L5173:L5173">IFERROR(INDEX(AC5173:AE5173,IF(COUNTA(AC5173:AE5173)=0,"",MAX((AC5173:AE5173&lt;&gt;"")*(COLUMN(AC5173:AE5173)-(COLUMN(AC5173)-2))))-1),"")</f>
        <v/>
      </c>
      <c r="M5173" s="13"/>
      <c r="N5173" s="13"/>
      <c r="O5173" s="13"/>
      <c r="P5173" s="26"/>
      <c r="Q5173" s="20"/>
      <c r="R5173" s="13"/>
      <c r="S5173" s="25"/>
      <c r="T5173" s="13"/>
      <c r="U5173" s="13"/>
      <c r="V5173" s="13"/>
      <c r="W5173" s="13"/>
      <c r="X5173" s="21"/>
      <c r="Y5173" s="22"/>
      <c r="Z5173" s="23"/>
      <c r="AA5173" s="23"/>
      <c r="AB5173" s="15"/>
      <c r="AC5173" s="14"/>
      <c r="AD5173" s="18"/>
      <c r="AE5173" s="18"/>
    </row>
    <row r="5174" customFormat="false" ht="15" hidden="false" customHeight="true" outlineLevel="0" collapsed="false">
      <c r="A5174" s="12"/>
      <c r="B5174" s="13"/>
      <c r="C5174" s="14"/>
      <c r="D5174" s="13"/>
      <c r="E5174" s="15"/>
      <c r="F5174" s="15"/>
      <c r="G5174" s="15"/>
      <c r="H5174" s="13"/>
      <c r="I5174" s="13"/>
      <c r="J5174" s="16"/>
      <c r="K5174" s="16"/>
      <c r="L5174" s="17" t="str">
        <f aca="false" t="array" ref="L5174:L5174">IFERROR(INDEX(AC5174:AE5174,IF(COUNTA(AC5174:AE5174)=0,"",MAX((AC5174:AE5174&lt;&gt;"")*(COLUMN(AC5174:AE5174)-(COLUMN(AC5174)-2))))-1),"")</f>
        <v/>
      </c>
      <c r="M5174" s="13"/>
      <c r="N5174" s="13"/>
      <c r="O5174" s="13"/>
      <c r="P5174" s="26"/>
      <c r="Q5174" s="20"/>
      <c r="R5174" s="13"/>
      <c r="S5174" s="25"/>
      <c r="T5174" s="13"/>
      <c r="U5174" s="13"/>
      <c r="V5174" s="13"/>
      <c r="W5174" s="13"/>
      <c r="X5174" s="21"/>
      <c r="Y5174" s="22"/>
      <c r="Z5174" s="23"/>
      <c r="AA5174" s="23"/>
      <c r="AB5174" s="15"/>
      <c r="AC5174" s="14"/>
      <c r="AD5174" s="18"/>
      <c r="AE5174" s="18"/>
    </row>
    <row r="5175" customFormat="false" ht="15" hidden="false" customHeight="true" outlineLevel="0" collapsed="false">
      <c r="A5175" s="12"/>
      <c r="B5175" s="13"/>
      <c r="C5175" s="14"/>
      <c r="D5175" s="13"/>
      <c r="E5175" s="15"/>
      <c r="F5175" s="15"/>
      <c r="G5175" s="15"/>
      <c r="H5175" s="13"/>
      <c r="I5175" s="13"/>
      <c r="J5175" s="16"/>
      <c r="K5175" s="16"/>
      <c r="L5175" s="17" t="str">
        <f aca="false" t="array" ref="L5175:L5175">IFERROR(INDEX(AC5175:AE5175,IF(COUNTA(AC5175:AE5175)=0,"",MAX((AC5175:AE5175&lt;&gt;"")*(COLUMN(AC5175:AE5175)-(COLUMN(AC5175)-2))))-1),"")</f>
        <v/>
      </c>
      <c r="M5175" s="13"/>
      <c r="N5175" s="13"/>
      <c r="O5175" s="13"/>
      <c r="P5175" s="26"/>
      <c r="Q5175" s="20"/>
      <c r="R5175" s="13"/>
      <c r="S5175" s="25"/>
      <c r="T5175" s="13"/>
      <c r="U5175" s="13"/>
      <c r="V5175" s="13"/>
      <c r="W5175" s="13"/>
      <c r="X5175" s="21"/>
      <c r="Y5175" s="22"/>
      <c r="Z5175" s="23"/>
      <c r="AA5175" s="23"/>
      <c r="AB5175" s="15"/>
      <c r="AC5175" s="14"/>
      <c r="AD5175" s="18"/>
      <c r="AE5175" s="18"/>
    </row>
    <row r="5176" customFormat="false" ht="15" hidden="false" customHeight="true" outlineLevel="0" collapsed="false">
      <c r="A5176" s="12"/>
      <c r="B5176" s="13"/>
      <c r="C5176" s="14"/>
      <c r="D5176" s="13"/>
      <c r="E5176" s="15"/>
      <c r="F5176" s="15"/>
      <c r="G5176" s="15"/>
      <c r="H5176" s="13"/>
      <c r="I5176" s="13"/>
      <c r="J5176" s="16"/>
      <c r="K5176" s="16"/>
      <c r="L5176" s="17" t="str">
        <f aca="false" t="array" ref="L5176:L5176">IFERROR(INDEX(AC5176:AE5176,IF(COUNTA(AC5176:AE5176)=0,"",MAX((AC5176:AE5176&lt;&gt;"")*(COLUMN(AC5176:AE5176)-(COLUMN(AC5176)-2))))-1),"")</f>
        <v/>
      </c>
      <c r="M5176" s="13"/>
      <c r="N5176" s="13"/>
      <c r="O5176" s="13"/>
      <c r="P5176" s="26"/>
      <c r="Q5176" s="20"/>
      <c r="R5176" s="13"/>
      <c r="S5176" s="25"/>
      <c r="T5176" s="13"/>
      <c r="U5176" s="13"/>
      <c r="V5176" s="13"/>
      <c r="W5176" s="13"/>
      <c r="X5176" s="21"/>
      <c r="Y5176" s="22"/>
      <c r="Z5176" s="23"/>
      <c r="AA5176" s="23"/>
      <c r="AB5176" s="15"/>
      <c r="AC5176" s="14"/>
      <c r="AD5176" s="18"/>
      <c r="AE5176" s="18"/>
    </row>
    <row r="5177" customFormat="false" ht="15" hidden="false" customHeight="true" outlineLevel="0" collapsed="false">
      <c r="A5177" s="12"/>
      <c r="B5177" s="13"/>
      <c r="C5177" s="14"/>
      <c r="D5177" s="13"/>
      <c r="E5177" s="15"/>
      <c r="F5177" s="15"/>
      <c r="G5177" s="15"/>
      <c r="H5177" s="13"/>
      <c r="I5177" s="13"/>
      <c r="J5177" s="16"/>
      <c r="K5177" s="16"/>
      <c r="L5177" s="17" t="str">
        <f aca="false" t="array" ref="L5177:L5177">IFERROR(INDEX(AC5177:AE5177,IF(COUNTA(AC5177:AE5177)=0,"",MAX((AC5177:AE5177&lt;&gt;"")*(COLUMN(AC5177:AE5177)-(COLUMN(AC5177)-2))))-1),"")</f>
        <v/>
      </c>
      <c r="M5177" s="13"/>
      <c r="N5177" s="13"/>
      <c r="O5177" s="13"/>
      <c r="P5177" s="26"/>
      <c r="Q5177" s="20"/>
      <c r="R5177" s="13"/>
      <c r="S5177" s="25"/>
      <c r="T5177" s="13"/>
      <c r="U5177" s="13"/>
      <c r="V5177" s="13"/>
      <c r="W5177" s="13"/>
      <c r="X5177" s="21"/>
      <c r="Y5177" s="22"/>
      <c r="Z5177" s="23"/>
      <c r="AA5177" s="23"/>
      <c r="AB5177" s="15"/>
      <c r="AC5177" s="14"/>
      <c r="AD5177" s="18"/>
      <c r="AE5177" s="18"/>
    </row>
    <row r="5178" customFormat="false" ht="15" hidden="false" customHeight="true" outlineLevel="0" collapsed="false">
      <c r="A5178" s="12"/>
      <c r="B5178" s="13"/>
      <c r="C5178" s="14"/>
      <c r="D5178" s="13"/>
      <c r="E5178" s="15"/>
      <c r="F5178" s="15"/>
      <c r="G5178" s="15"/>
      <c r="H5178" s="13"/>
      <c r="I5178" s="13"/>
      <c r="J5178" s="16"/>
      <c r="K5178" s="16"/>
      <c r="L5178" s="17" t="str">
        <f aca="false" t="array" ref="L5178:L5178">IFERROR(INDEX(AC5178:AE5178,IF(COUNTA(AC5178:AE5178)=0,"",MAX((AC5178:AE5178&lt;&gt;"")*(COLUMN(AC5178:AE5178)-(COLUMN(AC5178)-2))))-1),"")</f>
        <v/>
      </c>
      <c r="M5178" s="13"/>
      <c r="N5178" s="13"/>
      <c r="O5178" s="13"/>
      <c r="P5178" s="26"/>
      <c r="Q5178" s="20"/>
      <c r="R5178" s="13"/>
      <c r="S5178" s="25"/>
      <c r="T5178" s="13"/>
      <c r="U5178" s="13"/>
      <c r="V5178" s="13"/>
      <c r="W5178" s="13"/>
      <c r="X5178" s="21"/>
      <c r="Y5178" s="22"/>
      <c r="Z5178" s="23"/>
      <c r="AA5178" s="23"/>
      <c r="AB5178" s="15"/>
      <c r="AC5178" s="14"/>
      <c r="AD5178" s="18"/>
      <c r="AE5178" s="18"/>
    </row>
    <row r="5179" customFormat="false" ht="15" hidden="false" customHeight="true" outlineLevel="0" collapsed="false">
      <c r="A5179" s="12"/>
      <c r="B5179" s="13"/>
      <c r="C5179" s="14"/>
      <c r="D5179" s="13"/>
      <c r="E5179" s="15"/>
      <c r="F5179" s="15"/>
      <c r="G5179" s="15"/>
      <c r="H5179" s="13"/>
      <c r="I5179" s="13"/>
      <c r="J5179" s="16"/>
      <c r="K5179" s="16"/>
      <c r="L5179" s="17" t="str">
        <f aca="false" t="array" ref="L5179:L5179">IFERROR(INDEX(AC5179:AE5179,IF(COUNTA(AC5179:AE5179)=0,"",MAX((AC5179:AE5179&lt;&gt;"")*(COLUMN(AC5179:AE5179)-(COLUMN(AC5179)-2))))-1),"")</f>
        <v/>
      </c>
      <c r="M5179" s="13"/>
      <c r="N5179" s="13"/>
      <c r="O5179" s="13"/>
      <c r="P5179" s="26"/>
      <c r="Q5179" s="20"/>
      <c r="R5179" s="13"/>
      <c r="S5179" s="25"/>
      <c r="T5179" s="13"/>
      <c r="U5179" s="13"/>
      <c r="V5179" s="13"/>
      <c r="W5179" s="13"/>
      <c r="X5179" s="21"/>
      <c r="Y5179" s="22"/>
      <c r="Z5179" s="23"/>
      <c r="AA5179" s="23"/>
      <c r="AB5179" s="15"/>
      <c r="AC5179" s="14"/>
      <c r="AD5179" s="18"/>
      <c r="AE5179" s="18"/>
    </row>
    <row r="5180" customFormat="false" ht="15" hidden="false" customHeight="true" outlineLevel="0" collapsed="false">
      <c r="A5180" s="12"/>
      <c r="B5180" s="13"/>
      <c r="C5180" s="14"/>
      <c r="D5180" s="13"/>
      <c r="E5180" s="15"/>
      <c r="F5180" s="15"/>
      <c r="G5180" s="15"/>
      <c r="H5180" s="13"/>
      <c r="I5180" s="13"/>
      <c r="J5180" s="16"/>
      <c r="K5180" s="16"/>
      <c r="L5180" s="17" t="str">
        <f aca="false" t="array" ref="L5180:L5180">IFERROR(INDEX(AC5180:AE5180,IF(COUNTA(AC5180:AE5180)=0,"",MAX((AC5180:AE5180&lt;&gt;"")*(COLUMN(AC5180:AE5180)-(COLUMN(AC5180)-2))))-1),"")</f>
        <v/>
      </c>
      <c r="M5180" s="13"/>
      <c r="N5180" s="13"/>
      <c r="O5180" s="13"/>
      <c r="P5180" s="26"/>
      <c r="Q5180" s="20"/>
      <c r="R5180" s="13"/>
      <c r="S5180" s="25"/>
      <c r="T5180" s="13"/>
      <c r="U5180" s="13"/>
      <c r="V5180" s="13"/>
      <c r="W5180" s="13"/>
      <c r="X5180" s="21"/>
      <c r="Y5180" s="22"/>
      <c r="Z5180" s="23"/>
      <c r="AA5180" s="23"/>
      <c r="AB5180" s="15"/>
      <c r="AC5180" s="14"/>
      <c r="AD5180" s="18"/>
      <c r="AE5180" s="18"/>
    </row>
    <row r="5181" customFormat="false" ht="15" hidden="false" customHeight="true" outlineLevel="0" collapsed="false">
      <c r="A5181" s="12"/>
      <c r="B5181" s="13"/>
      <c r="C5181" s="14"/>
      <c r="D5181" s="13"/>
      <c r="E5181" s="15"/>
      <c r="F5181" s="15"/>
      <c r="G5181" s="15"/>
      <c r="H5181" s="13"/>
      <c r="I5181" s="13"/>
      <c r="J5181" s="16"/>
      <c r="K5181" s="16"/>
      <c r="L5181" s="17" t="str">
        <f aca="false" t="array" ref="L5181:L5181">IFERROR(INDEX(AC5181:AE5181,IF(COUNTA(AC5181:AE5181)=0,"",MAX((AC5181:AE5181&lt;&gt;"")*(COLUMN(AC5181:AE5181)-(COLUMN(AC5181)-2))))-1),"")</f>
        <v/>
      </c>
      <c r="M5181" s="13"/>
      <c r="N5181" s="13"/>
      <c r="O5181" s="13"/>
      <c r="P5181" s="26"/>
      <c r="Q5181" s="20"/>
      <c r="R5181" s="13"/>
      <c r="S5181" s="25"/>
      <c r="T5181" s="13"/>
      <c r="U5181" s="13"/>
      <c r="V5181" s="13"/>
      <c r="W5181" s="13"/>
      <c r="X5181" s="21"/>
      <c r="Y5181" s="22"/>
      <c r="Z5181" s="23"/>
      <c r="AA5181" s="23"/>
      <c r="AB5181" s="15"/>
      <c r="AC5181" s="14"/>
      <c r="AD5181" s="18"/>
      <c r="AE5181" s="18"/>
    </row>
    <row r="5182" customFormat="false" ht="15" hidden="false" customHeight="true" outlineLevel="0" collapsed="false">
      <c r="A5182" s="12"/>
      <c r="B5182" s="13"/>
      <c r="C5182" s="14"/>
      <c r="D5182" s="13"/>
      <c r="E5182" s="15"/>
      <c r="F5182" s="15"/>
      <c r="G5182" s="15"/>
      <c r="H5182" s="13"/>
      <c r="I5182" s="13"/>
      <c r="J5182" s="16"/>
      <c r="K5182" s="16"/>
      <c r="L5182" s="17" t="str">
        <f aca="false" t="array" ref="L5182:L5182">IFERROR(INDEX(AC5182:AE5182,IF(COUNTA(AC5182:AE5182)=0,"",MAX((AC5182:AE5182&lt;&gt;"")*(COLUMN(AC5182:AE5182)-(COLUMN(AC5182)-2))))-1),"")</f>
        <v/>
      </c>
      <c r="M5182" s="13"/>
      <c r="N5182" s="13"/>
      <c r="O5182" s="13"/>
      <c r="P5182" s="26"/>
      <c r="Q5182" s="20"/>
      <c r="R5182" s="13"/>
      <c r="S5182" s="25"/>
      <c r="T5182" s="13"/>
      <c r="U5182" s="13"/>
      <c r="V5182" s="13"/>
      <c r="W5182" s="13"/>
      <c r="X5182" s="21"/>
      <c r="Y5182" s="22"/>
      <c r="Z5182" s="23"/>
      <c r="AA5182" s="23"/>
      <c r="AB5182" s="15"/>
      <c r="AC5182" s="14"/>
      <c r="AD5182" s="18"/>
      <c r="AE5182" s="18"/>
    </row>
    <row r="5183" customFormat="false" ht="15" hidden="false" customHeight="true" outlineLevel="0" collapsed="false">
      <c r="A5183" s="12"/>
      <c r="B5183" s="13"/>
      <c r="C5183" s="14"/>
      <c r="D5183" s="13"/>
      <c r="E5183" s="15"/>
      <c r="F5183" s="15"/>
      <c r="G5183" s="15"/>
      <c r="H5183" s="13"/>
      <c r="I5183" s="13"/>
      <c r="J5183" s="16"/>
      <c r="K5183" s="16"/>
      <c r="L5183" s="17" t="str">
        <f aca="false" t="array" ref="L5183:L5183">IFERROR(INDEX(AC5183:AE5183,IF(COUNTA(AC5183:AE5183)=0,"",MAX((AC5183:AE5183&lt;&gt;"")*(COLUMN(AC5183:AE5183)-(COLUMN(AC5183)-2))))-1),"")</f>
        <v/>
      </c>
      <c r="M5183" s="13"/>
      <c r="N5183" s="13"/>
      <c r="O5183" s="13"/>
      <c r="P5183" s="26"/>
      <c r="Q5183" s="20"/>
      <c r="R5183" s="13"/>
      <c r="S5183" s="25"/>
      <c r="T5183" s="13"/>
      <c r="U5183" s="13"/>
      <c r="V5183" s="13"/>
      <c r="W5183" s="13"/>
      <c r="X5183" s="21"/>
      <c r="Y5183" s="22"/>
      <c r="Z5183" s="23"/>
      <c r="AA5183" s="23"/>
      <c r="AB5183" s="15"/>
      <c r="AC5183" s="14"/>
      <c r="AD5183" s="18"/>
      <c r="AE5183" s="18"/>
    </row>
    <row r="5184" customFormat="false" ht="15" hidden="false" customHeight="true" outlineLevel="0" collapsed="false">
      <c r="A5184" s="12"/>
      <c r="B5184" s="13"/>
      <c r="C5184" s="14"/>
      <c r="D5184" s="13"/>
      <c r="E5184" s="15"/>
      <c r="F5184" s="15"/>
      <c r="G5184" s="15"/>
      <c r="H5184" s="13"/>
      <c r="I5184" s="13"/>
      <c r="J5184" s="16"/>
      <c r="K5184" s="16"/>
      <c r="L5184" s="17" t="str">
        <f aca="false" t="array" ref="L5184:L5184">IFERROR(INDEX(AC5184:AE5184,IF(COUNTA(AC5184:AE5184)=0,"",MAX((AC5184:AE5184&lt;&gt;"")*(COLUMN(AC5184:AE5184)-(COLUMN(AC5184)-2))))-1),"")</f>
        <v/>
      </c>
      <c r="M5184" s="13"/>
      <c r="N5184" s="13"/>
      <c r="O5184" s="13"/>
      <c r="P5184" s="26"/>
      <c r="Q5184" s="20"/>
      <c r="R5184" s="13"/>
      <c r="S5184" s="25"/>
      <c r="T5184" s="13"/>
      <c r="U5184" s="13"/>
      <c r="V5184" s="13"/>
      <c r="W5184" s="13"/>
      <c r="X5184" s="21"/>
      <c r="Y5184" s="22"/>
      <c r="Z5184" s="23"/>
      <c r="AA5184" s="23"/>
      <c r="AB5184" s="15"/>
      <c r="AC5184" s="14"/>
      <c r="AD5184" s="18"/>
      <c r="AE5184" s="18"/>
    </row>
    <row r="5185" customFormat="false" ht="15" hidden="false" customHeight="true" outlineLevel="0" collapsed="false">
      <c r="A5185" s="12"/>
      <c r="B5185" s="13"/>
      <c r="C5185" s="14"/>
      <c r="D5185" s="13"/>
      <c r="E5185" s="15"/>
      <c r="F5185" s="15"/>
      <c r="G5185" s="15"/>
      <c r="H5185" s="13"/>
      <c r="I5185" s="13"/>
      <c r="J5185" s="16"/>
      <c r="K5185" s="16"/>
      <c r="L5185" s="17" t="str">
        <f aca="false" t="array" ref="L5185:L5185">IFERROR(INDEX(AC5185:AE5185,IF(COUNTA(AC5185:AE5185)=0,"",MAX((AC5185:AE5185&lt;&gt;"")*(COLUMN(AC5185:AE5185)-(COLUMN(AC5185)-2))))-1),"")</f>
        <v/>
      </c>
      <c r="M5185" s="13"/>
      <c r="N5185" s="13"/>
      <c r="O5185" s="13"/>
      <c r="P5185" s="26"/>
      <c r="Q5185" s="20"/>
      <c r="R5185" s="13"/>
      <c r="S5185" s="25"/>
      <c r="T5185" s="13"/>
      <c r="U5185" s="13"/>
      <c r="V5185" s="13"/>
      <c r="W5185" s="13"/>
      <c r="X5185" s="21"/>
      <c r="Y5185" s="22"/>
      <c r="Z5185" s="23"/>
      <c r="AA5185" s="23"/>
      <c r="AB5185" s="15"/>
      <c r="AC5185" s="14"/>
      <c r="AD5185" s="18"/>
      <c r="AE5185" s="18"/>
    </row>
    <row r="5186" customFormat="false" ht="15" hidden="false" customHeight="true" outlineLevel="0" collapsed="false">
      <c r="A5186" s="12"/>
      <c r="B5186" s="13"/>
      <c r="C5186" s="14"/>
      <c r="D5186" s="13"/>
      <c r="E5186" s="15"/>
      <c r="F5186" s="15"/>
      <c r="G5186" s="15"/>
      <c r="H5186" s="13"/>
      <c r="I5186" s="13"/>
      <c r="J5186" s="16"/>
      <c r="K5186" s="16"/>
      <c r="L5186" s="17" t="str">
        <f aca="false" t="array" ref="L5186:L5186">IFERROR(INDEX(AC5186:AE5186,IF(COUNTA(AC5186:AE5186)=0,"",MAX((AC5186:AE5186&lt;&gt;"")*(COLUMN(AC5186:AE5186)-(COLUMN(AC5186)-2))))-1),"")</f>
        <v/>
      </c>
      <c r="M5186" s="13"/>
      <c r="N5186" s="13"/>
      <c r="O5186" s="13"/>
      <c r="P5186" s="26"/>
      <c r="Q5186" s="20"/>
      <c r="R5186" s="13"/>
      <c r="S5186" s="25"/>
      <c r="T5186" s="13"/>
      <c r="U5186" s="13"/>
      <c r="V5186" s="13"/>
      <c r="W5186" s="13"/>
      <c r="X5186" s="21"/>
      <c r="Y5186" s="22"/>
      <c r="Z5186" s="23"/>
      <c r="AA5186" s="23"/>
      <c r="AB5186" s="15"/>
      <c r="AC5186" s="14"/>
      <c r="AD5186" s="18"/>
      <c r="AE5186" s="18"/>
    </row>
    <row r="5187" customFormat="false" ht="15" hidden="false" customHeight="true" outlineLevel="0" collapsed="false">
      <c r="A5187" s="12"/>
      <c r="B5187" s="13"/>
      <c r="C5187" s="14"/>
      <c r="D5187" s="13"/>
      <c r="E5187" s="15"/>
      <c r="F5187" s="15"/>
      <c r="G5187" s="15"/>
      <c r="H5187" s="13"/>
      <c r="I5187" s="13"/>
      <c r="J5187" s="16"/>
      <c r="K5187" s="16"/>
      <c r="L5187" s="17" t="str">
        <f aca="false" t="array" ref="L5187:L5187">IFERROR(INDEX(AC5187:AE5187,IF(COUNTA(AC5187:AE5187)=0,"",MAX((AC5187:AE5187&lt;&gt;"")*(COLUMN(AC5187:AE5187)-(COLUMN(AC5187)-2))))-1),"")</f>
        <v/>
      </c>
      <c r="M5187" s="13"/>
      <c r="N5187" s="13"/>
      <c r="O5187" s="13"/>
      <c r="P5187" s="26"/>
      <c r="Q5187" s="20"/>
      <c r="R5187" s="13"/>
      <c r="S5187" s="25"/>
      <c r="T5187" s="13"/>
      <c r="U5187" s="13"/>
      <c r="V5187" s="13"/>
      <c r="W5187" s="13"/>
      <c r="X5187" s="21"/>
      <c r="Y5187" s="22"/>
      <c r="Z5187" s="23"/>
      <c r="AA5187" s="23"/>
      <c r="AB5187" s="15"/>
      <c r="AC5187" s="14"/>
      <c r="AD5187" s="18"/>
      <c r="AE5187" s="18"/>
    </row>
    <row r="5188" customFormat="false" ht="15" hidden="false" customHeight="true" outlineLevel="0" collapsed="false">
      <c r="A5188" s="12"/>
      <c r="B5188" s="13"/>
      <c r="C5188" s="14"/>
      <c r="D5188" s="13"/>
      <c r="E5188" s="15"/>
      <c r="F5188" s="15"/>
      <c r="G5188" s="15"/>
      <c r="H5188" s="13"/>
      <c r="I5188" s="13"/>
      <c r="J5188" s="16"/>
      <c r="K5188" s="16"/>
      <c r="L5188" s="17" t="str">
        <f aca="false" t="array" ref="L5188:L5188">IFERROR(INDEX(AC5188:AE5188,IF(COUNTA(AC5188:AE5188)=0,"",MAX((AC5188:AE5188&lt;&gt;"")*(COLUMN(AC5188:AE5188)-(COLUMN(AC5188)-2))))-1),"")</f>
        <v/>
      </c>
      <c r="M5188" s="13"/>
      <c r="N5188" s="13"/>
      <c r="O5188" s="13"/>
      <c r="P5188" s="26"/>
      <c r="Q5188" s="20"/>
      <c r="R5188" s="13"/>
      <c r="S5188" s="25"/>
      <c r="T5188" s="13"/>
      <c r="U5188" s="13"/>
      <c r="V5188" s="13"/>
      <c r="W5188" s="13"/>
      <c r="X5188" s="21"/>
      <c r="Y5188" s="22"/>
      <c r="Z5188" s="23"/>
      <c r="AA5188" s="23"/>
      <c r="AB5188" s="15"/>
      <c r="AC5188" s="14"/>
      <c r="AD5188" s="18"/>
      <c r="AE5188" s="18"/>
    </row>
    <row r="5189" customFormat="false" ht="15" hidden="false" customHeight="true" outlineLevel="0" collapsed="false">
      <c r="A5189" s="12"/>
      <c r="B5189" s="13"/>
      <c r="C5189" s="14"/>
      <c r="D5189" s="13"/>
      <c r="E5189" s="15"/>
      <c r="F5189" s="15"/>
      <c r="G5189" s="15"/>
      <c r="H5189" s="13"/>
      <c r="I5189" s="13"/>
      <c r="J5189" s="16"/>
      <c r="K5189" s="16"/>
      <c r="L5189" s="17" t="str">
        <f aca="false" t="array" ref="L5189:L5189">IFERROR(INDEX(AC5189:AE5189,IF(COUNTA(AC5189:AE5189)=0,"",MAX((AC5189:AE5189&lt;&gt;"")*(COLUMN(AC5189:AE5189)-(COLUMN(AC5189)-2))))-1),"")</f>
        <v/>
      </c>
      <c r="M5189" s="13"/>
      <c r="N5189" s="13"/>
      <c r="O5189" s="13"/>
      <c r="P5189" s="26"/>
      <c r="Q5189" s="20"/>
      <c r="R5189" s="13"/>
      <c r="S5189" s="25"/>
      <c r="T5189" s="13"/>
      <c r="U5189" s="13"/>
      <c r="V5189" s="13"/>
      <c r="W5189" s="13"/>
      <c r="X5189" s="21"/>
      <c r="Y5189" s="22"/>
      <c r="Z5189" s="23"/>
      <c r="AA5189" s="23"/>
      <c r="AB5189" s="15"/>
      <c r="AC5189" s="14"/>
      <c r="AD5189" s="18"/>
      <c r="AE5189" s="18"/>
    </row>
    <row r="5190" customFormat="false" ht="15" hidden="false" customHeight="true" outlineLevel="0" collapsed="false">
      <c r="A5190" s="12"/>
      <c r="B5190" s="13"/>
      <c r="C5190" s="14"/>
      <c r="D5190" s="13"/>
      <c r="E5190" s="15"/>
      <c r="F5190" s="15"/>
      <c r="G5190" s="15"/>
      <c r="H5190" s="13"/>
      <c r="I5190" s="13"/>
      <c r="J5190" s="16"/>
      <c r="K5190" s="16"/>
      <c r="L5190" s="17" t="str">
        <f aca="false" t="array" ref="L5190:L5190">IFERROR(INDEX(AC5190:AE5190,IF(COUNTA(AC5190:AE5190)=0,"",MAX((AC5190:AE5190&lt;&gt;"")*(COLUMN(AC5190:AE5190)-(COLUMN(AC5190)-2))))-1),"")</f>
        <v/>
      </c>
      <c r="M5190" s="13"/>
      <c r="N5190" s="13"/>
      <c r="O5190" s="13"/>
      <c r="P5190" s="26"/>
      <c r="Q5190" s="20"/>
      <c r="R5190" s="13"/>
      <c r="S5190" s="25"/>
      <c r="T5190" s="13"/>
      <c r="U5190" s="13"/>
      <c r="V5190" s="13"/>
      <c r="W5190" s="13"/>
      <c r="X5190" s="21"/>
      <c r="Y5190" s="22"/>
      <c r="Z5190" s="23"/>
      <c r="AA5190" s="23"/>
      <c r="AB5190" s="15"/>
      <c r="AC5190" s="14"/>
      <c r="AD5190" s="18"/>
      <c r="AE5190" s="18"/>
    </row>
    <row r="5191" customFormat="false" ht="15" hidden="false" customHeight="true" outlineLevel="0" collapsed="false">
      <c r="A5191" s="12"/>
      <c r="B5191" s="13"/>
      <c r="C5191" s="14"/>
      <c r="D5191" s="13"/>
      <c r="E5191" s="15"/>
      <c r="F5191" s="15"/>
      <c r="G5191" s="15"/>
      <c r="H5191" s="13"/>
      <c r="I5191" s="13"/>
      <c r="J5191" s="16"/>
      <c r="K5191" s="16"/>
      <c r="L5191" s="17" t="str">
        <f aca="false" t="array" ref="L5191:L5191">IFERROR(INDEX(AC5191:AE5191,IF(COUNTA(AC5191:AE5191)=0,"",MAX((AC5191:AE5191&lt;&gt;"")*(COLUMN(AC5191:AE5191)-(COLUMN(AC5191)-2))))-1),"")</f>
        <v/>
      </c>
      <c r="M5191" s="13"/>
      <c r="N5191" s="13"/>
      <c r="O5191" s="13"/>
      <c r="P5191" s="26"/>
      <c r="Q5191" s="20"/>
      <c r="R5191" s="13"/>
      <c r="S5191" s="25"/>
      <c r="T5191" s="13"/>
      <c r="U5191" s="13"/>
      <c r="V5191" s="13"/>
      <c r="W5191" s="13"/>
      <c r="X5191" s="21"/>
      <c r="Y5191" s="22"/>
      <c r="Z5191" s="23"/>
      <c r="AA5191" s="23"/>
      <c r="AB5191" s="15"/>
      <c r="AC5191" s="14"/>
      <c r="AD5191" s="18"/>
      <c r="AE5191" s="18"/>
    </row>
    <row r="5192" customFormat="false" ht="15" hidden="false" customHeight="true" outlineLevel="0" collapsed="false">
      <c r="A5192" s="12"/>
      <c r="B5192" s="13"/>
      <c r="C5192" s="14"/>
      <c r="D5192" s="13"/>
      <c r="E5192" s="15"/>
      <c r="F5192" s="15"/>
      <c r="G5192" s="15"/>
      <c r="H5192" s="13"/>
      <c r="I5192" s="13"/>
      <c r="J5192" s="16"/>
      <c r="K5192" s="16"/>
      <c r="L5192" s="17" t="str">
        <f aca="false" t="array" ref="L5192:L5192">IFERROR(INDEX(AC5192:AE5192,IF(COUNTA(AC5192:AE5192)=0,"",MAX((AC5192:AE5192&lt;&gt;"")*(COLUMN(AC5192:AE5192)-(COLUMN(AC5192)-2))))-1),"")</f>
        <v/>
      </c>
      <c r="M5192" s="13"/>
      <c r="N5192" s="13"/>
      <c r="O5192" s="13"/>
      <c r="P5192" s="26"/>
      <c r="Q5192" s="20"/>
      <c r="R5192" s="13"/>
      <c r="S5192" s="25"/>
      <c r="T5192" s="13"/>
      <c r="U5192" s="13"/>
      <c r="V5192" s="13"/>
      <c r="W5192" s="13"/>
      <c r="X5192" s="21"/>
      <c r="Y5192" s="22"/>
      <c r="Z5192" s="23"/>
      <c r="AA5192" s="23"/>
      <c r="AB5192" s="15"/>
      <c r="AC5192" s="14"/>
      <c r="AD5192" s="18"/>
      <c r="AE5192" s="18"/>
    </row>
    <row r="5193" customFormat="false" ht="15" hidden="false" customHeight="true" outlineLevel="0" collapsed="false">
      <c r="A5193" s="12"/>
      <c r="B5193" s="13"/>
      <c r="C5193" s="14"/>
      <c r="D5193" s="13"/>
      <c r="E5193" s="15"/>
      <c r="F5193" s="15"/>
      <c r="G5193" s="15"/>
      <c r="H5193" s="13"/>
      <c r="I5193" s="13"/>
      <c r="J5193" s="16"/>
      <c r="K5193" s="16"/>
      <c r="L5193" s="17" t="str">
        <f aca="false" t="array" ref="L5193:L5193">IFERROR(INDEX(AC5193:AE5193,IF(COUNTA(AC5193:AE5193)=0,"",MAX((AC5193:AE5193&lt;&gt;"")*(COLUMN(AC5193:AE5193)-(COLUMN(AC5193)-2))))-1),"")</f>
        <v/>
      </c>
      <c r="M5193" s="13"/>
      <c r="N5193" s="13"/>
      <c r="O5193" s="13"/>
      <c r="P5193" s="26"/>
      <c r="Q5193" s="20"/>
      <c r="R5193" s="13"/>
      <c r="S5193" s="25"/>
      <c r="T5193" s="13"/>
      <c r="U5193" s="13"/>
      <c r="V5193" s="13"/>
      <c r="W5193" s="13"/>
      <c r="X5193" s="21"/>
      <c r="Y5193" s="22"/>
      <c r="Z5193" s="23"/>
      <c r="AA5193" s="23"/>
      <c r="AB5193" s="15"/>
      <c r="AC5193" s="14"/>
      <c r="AD5193" s="18"/>
      <c r="AE5193" s="18"/>
    </row>
    <row r="5194" customFormat="false" ht="15" hidden="false" customHeight="true" outlineLevel="0" collapsed="false">
      <c r="A5194" s="12"/>
      <c r="B5194" s="13"/>
      <c r="C5194" s="14"/>
      <c r="D5194" s="13"/>
      <c r="E5194" s="15"/>
      <c r="F5194" s="15"/>
      <c r="G5194" s="15"/>
      <c r="H5194" s="13"/>
      <c r="I5194" s="13"/>
      <c r="J5194" s="16"/>
      <c r="K5194" s="16"/>
      <c r="L5194" s="17" t="str">
        <f aca="false" t="array" ref="L5194:L5194">IFERROR(INDEX(AC5194:AE5194,IF(COUNTA(AC5194:AE5194)=0,"",MAX((AC5194:AE5194&lt;&gt;"")*(COLUMN(AC5194:AE5194)-(COLUMN(AC5194)-2))))-1),"")</f>
        <v/>
      </c>
      <c r="M5194" s="13"/>
      <c r="N5194" s="13"/>
      <c r="O5194" s="13"/>
      <c r="P5194" s="26"/>
      <c r="Q5194" s="20"/>
      <c r="R5194" s="13"/>
      <c r="S5194" s="25"/>
      <c r="T5194" s="13"/>
      <c r="U5194" s="13"/>
      <c r="V5194" s="13"/>
      <c r="W5194" s="13"/>
      <c r="X5194" s="21"/>
      <c r="Y5194" s="22"/>
      <c r="Z5194" s="23"/>
      <c r="AA5194" s="23"/>
      <c r="AB5194" s="15"/>
      <c r="AC5194" s="14"/>
      <c r="AD5194" s="18"/>
      <c r="AE5194" s="18"/>
    </row>
    <row r="5195" customFormat="false" ht="15" hidden="false" customHeight="true" outlineLevel="0" collapsed="false">
      <c r="A5195" s="12"/>
      <c r="B5195" s="13"/>
      <c r="C5195" s="14"/>
      <c r="D5195" s="13"/>
      <c r="E5195" s="15"/>
      <c r="F5195" s="15"/>
      <c r="G5195" s="15"/>
      <c r="H5195" s="13"/>
      <c r="I5195" s="13"/>
      <c r="J5195" s="16"/>
      <c r="K5195" s="16"/>
      <c r="L5195" s="17" t="str">
        <f aca="false" t="array" ref="L5195:L5195">IFERROR(INDEX(AC5195:AE5195,IF(COUNTA(AC5195:AE5195)=0,"",MAX((AC5195:AE5195&lt;&gt;"")*(COLUMN(AC5195:AE5195)-(COLUMN(AC5195)-2))))-1),"")</f>
        <v/>
      </c>
      <c r="M5195" s="13"/>
      <c r="N5195" s="13"/>
      <c r="O5195" s="13"/>
      <c r="P5195" s="26"/>
      <c r="Q5195" s="20"/>
      <c r="R5195" s="13"/>
      <c r="S5195" s="25"/>
      <c r="T5195" s="13"/>
      <c r="U5195" s="13"/>
      <c r="V5195" s="13"/>
      <c r="W5195" s="13"/>
      <c r="X5195" s="21"/>
      <c r="Y5195" s="22"/>
      <c r="Z5195" s="23"/>
      <c r="AA5195" s="23"/>
      <c r="AB5195" s="15"/>
      <c r="AC5195" s="14"/>
      <c r="AD5195" s="18"/>
      <c r="AE5195" s="18"/>
    </row>
    <row r="5196" customFormat="false" ht="15" hidden="false" customHeight="true" outlineLevel="0" collapsed="false">
      <c r="A5196" s="12"/>
      <c r="B5196" s="13"/>
      <c r="C5196" s="14"/>
      <c r="D5196" s="13"/>
      <c r="E5196" s="15"/>
      <c r="F5196" s="15"/>
      <c r="G5196" s="15"/>
      <c r="H5196" s="13"/>
      <c r="I5196" s="13"/>
      <c r="J5196" s="16"/>
      <c r="K5196" s="16"/>
      <c r="L5196" s="17" t="str">
        <f aca="false" t="array" ref="L5196:L5196">IFERROR(INDEX(AC5196:AE5196,IF(COUNTA(AC5196:AE5196)=0,"",MAX((AC5196:AE5196&lt;&gt;"")*(COLUMN(AC5196:AE5196)-(COLUMN(AC5196)-2))))-1),"")</f>
        <v/>
      </c>
      <c r="M5196" s="13"/>
      <c r="N5196" s="13"/>
      <c r="O5196" s="13"/>
      <c r="P5196" s="26"/>
      <c r="Q5196" s="20"/>
      <c r="R5196" s="13"/>
      <c r="S5196" s="25"/>
      <c r="T5196" s="13"/>
      <c r="U5196" s="13"/>
      <c r="V5196" s="13"/>
      <c r="W5196" s="13"/>
      <c r="X5196" s="21"/>
      <c r="Y5196" s="22"/>
      <c r="Z5196" s="23"/>
      <c r="AA5196" s="23"/>
      <c r="AB5196" s="15"/>
      <c r="AC5196" s="14"/>
      <c r="AD5196" s="18"/>
      <c r="AE5196" s="18"/>
    </row>
    <row r="5197" customFormat="false" ht="15" hidden="false" customHeight="true" outlineLevel="0" collapsed="false">
      <c r="A5197" s="12"/>
      <c r="B5197" s="13"/>
      <c r="C5197" s="14"/>
      <c r="D5197" s="13"/>
      <c r="E5197" s="15"/>
      <c r="F5197" s="15"/>
      <c r="G5197" s="15"/>
      <c r="H5197" s="13"/>
      <c r="I5197" s="13"/>
      <c r="J5197" s="16"/>
      <c r="K5197" s="16"/>
      <c r="L5197" s="17" t="str">
        <f aca="false" t="array" ref="L5197:L5197">IFERROR(INDEX(AC5197:AE5197,IF(COUNTA(AC5197:AE5197)=0,"",MAX((AC5197:AE5197&lt;&gt;"")*(COLUMN(AC5197:AE5197)-(COLUMN(AC5197)-2))))-1),"")</f>
        <v/>
      </c>
      <c r="M5197" s="13"/>
      <c r="N5197" s="13"/>
      <c r="O5197" s="13"/>
      <c r="P5197" s="26"/>
      <c r="Q5197" s="20"/>
      <c r="R5197" s="13"/>
      <c r="S5197" s="25"/>
      <c r="T5197" s="13"/>
      <c r="U5197" s="13"/>
      <c r="V5197" s="13"/>
      <c r="W5197" s="13"/>
      <c r="X5197" s="21"/>
      <c r="Y5197" s="22"/>
      <c r="Z5197" s="23"/>
      <c r="AA5197" s="23"/>
      <c r="AB5197" s="15"/>
      <c r="AC5197" s="14"/>
      <c r="AD5197" s="18"/>
      <c r="AE5197" s="18"/>
    </row>
    <row r="5198" customFormat="false" ht="15" hidden="false" customHeight="true" outlineLevel="0" collapsed="false">
      <c r="A5198" s="12"/>
      <c r="B5198" s="13"/>
      <c r="C5198" s="14"/>
      <c r="D5198" s="13"/>
      <c r="E5198" s="15"/>
      <c r="F5198" s="15"/>
      <c r="G5198" s="15"/>
      <c r="H5198" s="13"/>
      <c r="I5198" s="13"/>
      <c r="J5198" s="16"/>
      <c r="K5198" s="16"/>
      <c r="L5198" s="17" t="str">
        <f aca="false" t="array" ref="L5198:L5198">IFERROR(INDEX(AC5198:AE5198,IF(COUNTA(AC5198:AE5198)=0,"",MAX((AC5198:AE5198&lt;&gt;"")*(COLUMN(AC5198:AE5198)-(COLUMN(AC5198)-2))))-1),"")</f>
        <v/>
      </c>
      <c r="M5198" s="13"/>
      <c r="N5198" s="13"/>
      <c r="O5198" s="13"/>
      <c r="P5198" s="26"/>
      <c r="Q5198" s="20"/>
      <c r="R5198" s="13"/>
      <c r="S5198" s="25"/>
      <c r="T5198" s="13"/>
      <c r="U5198" s="13"/>
      <c r="V5198" s="13"/>
      <c r="W5198" s="13"/>
      <c r="X5198" s="21"/>
      <c r="Y5198" s="22"/>
      <c r="Z5198" s="23"/>
      <c r="AA5198" s="23"/>
      <c r="AB5198" s="15"/>
      <c r="AC5198" s="14"/>
      <c r="AD5198" s="18"/>
      <c r="AE5198" s="18"/>
    </row>
    <row r="5199" customFormat="false" ht="15" hidden="false" customHeight="true" outlineLevel="0" collapsed="false">
      <c r="A5199" s="12"/>
      <c r="B5199" s="13"/>
      <c r="C5199" s="14"/>
      <c r="D5199" s="13"/>
      <c r="E5199" s="15"/>
      <c r="F5199" s="15"/>
      <c r="G5199" s="15"/>
      <c r="H5199" s="13"/>
      <c r="I5199" s="13"/>
      <c r="J5199" s="16"/>
      <c r="K5199" s="16"/>
      <c r="L5199" s="17" t="str">
        <f aca="false" t="array" ref="L5199:L5199">IFERROR(INDEX(AC5199:AE5199,IF(COUNTA(AC5199:AE5199)=0,"",MAX((AC5199:AE5199&lt;&gt;"")*(COLUMN(AC5199:AE5199)-(COLUMN(AC5199)-2))))-1),"")</f>
        <v/>
      </c>
      <c r="M5199" s="13"/>
      <c r="N5199" s="13"/>
      <c r="O5199" s="13"/>
      <c r="P5199" s="26"/>
      <c r="Q5199" s="20"/>
      <c r="R5199" s="13"/>
      <c r="S5199" s="25"/>
      <c r="T5199" s="13"/>
      <c r="U5199" s="13"/>
      <c r="V5199" s="13"/>
      <c r="W5199" s="13"/>
      <c r="X5199" s="21"/>
      <c r="Y5199" s="22"/>
      <c r="Z5199" s="23"/>
      <c r="AA5199" s="23"/>
      <c r="AB5199" s="15"/>
      <c r="AC5199" s="14"/>
      <c r="AD5199" s="18"/>
      <c r="AE5199" s="18"/>
    </row>
    <row r="5200" customFormat="false" ht="15" hidden="false" customHeight="true" outlineLevel="0" collapsed="false">
      <c r="A5200" s="12"/>
      <c r="B5200" s="13"/>
      <c r="C5200" s="14"/>
      <c r="D5200" s="13"/>
      <c r="E5200" s="15"/>
      <c r="F5200" s="15"/>
      <c r="G5200" s="15"/>
      <c r="H5200" s="13"/>
      <c r="I5200" s="13"/>
      <c r="J5200" s="16"/>
      <c r="K5200" s="16"/>
      <c r="L5200" s="17" t="str">
        <f aca="false" t="array" ref="L5200:L5200">IFERROR(INDEX(AC5200:AE5200,IF(COUNTA(AC5200:AE5200)=0,"",MAX((AC5200:AE5200&lt;&gt;"")*(COLUMN(AC5200:AE5200)-(COLUMN(AC5200)-2))))-1),"")</f>
        <v/>
      </c>
      <c r="M5200" s="13"/>
      <c r="N5200" s="13"/>
      <c r="O5200" s="13"/>
      <c r="P5200" s="26"/>
      <c r="Q5200" s="20"/>
      <c r="R5200" s="13"/>
      <c r="S5200" s="25"/>
      <c r="T5200" s="13"/>
      <c r="U5200" s="13"/>
      <c r="V5200" s="13"/>
      <c r="W5200" s="13"/>
      <c r="X5200" s="21"/>
      <c r="Y5200" s="22"/>
      <c r="Z5200" s="23"/>
      <c r="AA5200" s="23"/>
      <c r="AB5200" s="15"/>
      <c r="AC5200" s="14"/>
      <c r="AD5200" s="18"/>
      <c r="AE5200" s="18"/>
    </row>
    <row r="5201" customFormat="false" ht="15" hidden="false" customHeight="true" outlineLevel="0" collapsed="false">
      <c r="A5201" s="12"/>
      <c r="B5201" s="13"/>
      <c r="C5201" s="14"/>
      <c r="D5201" s="13"/>
      <c r="E5201" s="15"/>
      <c r="F5201" s="15"/>
      <c r="G5201" s="15"/>
      <c r="H5201" s="13"/>
      <c r="I5201" s="13"/>
      <c r="J5201" s="16"/>
      <c r="K5201" s="16"/>
      <c r="L5201" s="17" t="str">
        <f aca="false" t="array" ref="L5201:L5201">IFERROR(INDEX(AC5201:AE5201,IF(COUNTA(AC5201:AE5201)=0,"",MAX((AC5201:AE5201&lt;&gt;"")*(COLUMN(AC5201:AE5201)-(COLUMN(AC5201)-2))))-1),"")</f>
        <v/>
      </c>
      <c r="M5201" s="13"/>
      <c r="N5201" s="13"/>
      <c r="O5201" s="13"/>
      <c r="P5201" s="26"/>
      <c r="Q5201" s="20"/>
      <c r="R5201" s="13"/>
      <c r="S5201" s="25"/>
      <c r="T5201" s="13"/>
      <c r="U5201" s="13"/>
      <c r="V5201" s="13"/>
      <c r="W5201" s="13"/>
      <c r="X5201" s="21"/>
      <c r="Y5201" s="22"/>
      <c r="Z5201" s="23"/>
      <c r="AA5201" s="23"/>
      <c r="AB5201" s="15"/>
      <c r="AC5201" s="14"/>
      <c r="AD5201" s="18"/>
      <c r="AE5201" s="18"/>
    </row>
    <row r="5202" customFormat="false" ht="15" hidden="false" customHeight="true" outlineLevel="0" collapsed="false">
      <c r="A5202" s="12"/>
      <c r="B5202" s="13"/>
      <c r="C5202" s="14"/>
      <c r="D5202" s="13"/>
      <c r="E5202" s="15"/>
      <c r="F5202" s="15"/>
      <c r="G5202" s="15"/>
      <c r="H5202" s="13"/>
      <c r="I5202" s="13"/>
      <c r="J5202" s="16"/>
      <c r="K5202" s="16"/>
      <c r="L5202" s="17" t="str">
        <f aca="false" t="array" ref="L5202:L5202">IFERROR(INDEX(AC5202:AE5202,IF(COUNTA(AC5202:AE5202)=0,"",MAX((AC5202:AE5202&lt;&gt;"")*(COLUMN(AC5202:AE5202)-(COLUMN(AC5202)-2))))-1),"")</f>
        <v/>
      </c>
      <c r="M5202" s="13"/>
      <c r="N5202" s="13"/>
      <c r="O5202" s="13"/>
      <c r="P5202" s="26"/>
      <c r="Q5202" s="20"/>
      <c r="R5202" s="13"/>
      <c r="S5202" s="25"/>
      <c r="T5202" s="13"/>
      <c r="U5202" s="13"/>
      <c r="V5202" s="13"/>
      <c r="W5202" s="13"/>
      <c r="X5202" s="21"/>
      <c r="Y5202" s="22"/>
      <c r="Z5202" s="23"/>
      <c r="AA5202" s="23"/>
      <c r="AB5202" s="15"/>
      <c r="AC5202" s="14"/>
      <c r="AD5202" s="18"/>
      <c r="AE5202" s="18"/>
    </row>
    <row r="5203" customFormat="false" ht="15" hidden="false" customHeight="true" outlineLevel="0" collapsed="false">
      <c r="A5203" s="12"/>
      <c r="B5203" s="13"/>
      <c r="C5203" s="14"/>
      <c r="D5203" s="13"/>
      <c r="E5203" s="15"/>
      <c r="F5203" s="15"/>
      <c r="G5203" s="15"/>
      <c r="H5203" s="13"/>
      <c r="I5203" s="13"/>
      <c r="J5203" s="16"/>
      <c r="K5203" s="16"/>
      <c r="L5203" s="17" t="str">
        <f aca="false" t="array" ref="L5203:L5203">IFERROR(INDEX(AC5203:AE5203,IF(COUNTA(AC5203:AE5203)=0,"",MAX((AC5203:AE5203&lt;&gt;"")*(COLUMN(AC5203:AE5203)-(COLUMN(AC5203)-2))))-1),"")</f>
        <v/>
      </c>
      <c r="M5203" s="13"/>
      <c r="N5203" s="13"/>
      <c r="O5203" s="13"/>
      <c r="P5203" s="26"/>
      <c r="Q5203" s="20"/>
      <c r="R5203" s="13"/>
      <c r="S5203" s="25"/>
      <c r="T5203" s="13"/>
      <c r="U5203" s="13"/>
      <c r="V5203" s="13"/>
      <c r="W5203" s="13"/>
      <c r="X5203" s="21"/>
      <c r="Y5203" s="22"/>
      <c r="Z5203" s="23"/>
      <c r="AA5203" s="23"/>
      <c r="AB5203" s="15"/>
      <c r="AC5203" s="14"/>
      <c r="AD5203" s="18"/>
      <c r="AE5203" s="18"/>
    </row>
    <row r="5204" customFormat="false" ht="15" hidden="false" customHeight="true" outlineLevel="0" collapsed="false">
      <c r="A5204" s="12"/>
      <c r="B5204" s="13"/>
      <c r="C5204" s="14"/>
      <c r="D5204" s="13"/>
      <c r="E5204" s="15"/>
      <c r="F5204" s="15"/>
      <c r="G5204" s="15"/>
      <c r="H5204" s="13"/>
      <c r="I5204" s="13"/>
      <c r="J5204" s="16"/>
      <c r="K5204" s="16"/>
      <c r="L5204" s="17" t="str">
        <f aca="false" t="array" ref="L5204:L5204">IFERROR(INDEX(AC5204:AE5204,IF(COUNTA(AC5204:AE5204)=0,"",MAX((AC5204:AE5204&lt;&gt;"")*(COLUMN(AC5204:AE5204)-(COLUMN(AC5204)-2))))-1),"")</f>
        <v/>
      </c>
      <c r="M5204" s="13"/>
      <c r="N5204" s="13"/>
      <c r="O5204" s="13"/>
      <c r="P5204" s="26"/>
      <c r="Q5204" s="20"/>
      <c r="R5204" s="13"/>
      <c r="S5204" s="25"/>
      <c r="T5204" s="13"/>
      <c r="U5204" s="13"/>
      <c r="V5204" s="13"/>
      <c r="W5204" s="13"/>
      <c r="X5204" s="21"/>
      <c r="Y5204" s="22"/>
      <c r="Z5204" s="23"/>
      <c r="AA5204" s="23"/>
      <c r="AB5204" s="15"/>
      <c r="AC5204" s="14"/>
      <c r="AD5204" s="18"/>
      <c r="AE5204" s="18"/>
    </row>
    <row r="5205" customFormat="false" ht="15" hidden="false" customHeight="true" outlineLevel="0" collapsed="false">
      <c r="A5205" s="12"/>
      <c r="B5205" s="13"/>
      <c r="C5205" s="14"/>
      <c r="D5205" s="13"/>
      <c r="E5205" s="15"/>
      <c r="F5205" s="15"/>
      <c r="G5205" s="15"/>
      <c r="H5205" s="13"/>
      <c r="I5205" s="13"/>
      <c r="J5205" s="16"/>
      <c r="K5205" s="16"/>
      <c r="L5205" s="17" t="str">
        <f aca="false" t="array" ref="L5205:L5205">IFERROR(INDEX(AC5205:AE5205,IF(COUNTA(AC5205:AE5205)=0,"",MAX((AC5205:AE5205&lt;&gt;"")*(COLUMN(AC5205:AE5205)-(COLUMN(AC5205)-2))))-1),"")</f>
        <v/>
      </c>
      <c r="M5205" s="13"/>
      <c r="N5205" s="13"/>
      <c r="O5205" s="13"/>
      <c r="P5205" s="26"/>
      <c r="Q5205" s="20"/>
      <c r="R5205" s="13"/>
      <c r="S5205" s="25"/>
      <c r="T5205" s="13"/>
      <c r="U5205" s="13"/>
      <c r="V5205" s="13"/>
      <c r="W5205" s="13"/>
      <c r="X5205" s="21"/>
      <c r="Y5205" s="22"/>
      <c r="Z5205" s="23"/>
      <c r="AA5205" s="23"/>
      <c r="AB5205" s="15"/>
      <c r="AC5205" s="14"/>
      <c r="AD5205" s="18"/>
      <c r="AE5205" s="18"/>
    </row>
    <row r="5206" customFormat="false" ht="15" hidden="false" customHeight="true" outlineLevel="0" collapsed="false">
      <c r="A5206" s="12"/>
      <c r="B5206" s="13"/>
      <c r="C5206" s="14"/>
      <c r="D5206" s="13"/>
      <c r="E5206" s="15"/>
      <c r="F5206" s="15"/>
      <c r="G5206" s="15"/>
      <c r="H5206" s="13"/>
      <c r="I5206" s="13"/>
      <c r="J5206" s="16"/>
      <c r="K5206" s="16"/>
      <c r="L5206" s="17" t="str">
        <f aca="false" t="array" ref="L5206:L5206">IFERROR(INDEX(AC5206:AE5206,IF(COUNTA(AC5206:AE5206)=0,"",MAX((AC5206:AE5206&lt;&gt;"")*(COLUMN(AC5206:AE5206)-(COLUMN(AC5206)-2))))-1),"")</f>
        <v/>
      </c>
      <c r="M5206" s="13"/>
      <c r="N5206" s="13"/>
      <c r="O5206" s="13"/>
      <c r="P5206" s="26"/>
      <c r="Q5206" s="20"/>
      <c r="R5206" s="13"/>
      <c r="S5206" s="25"/>
      <c r="T5206" s="13"/>
      <c r="U5206" s="13"/>
      <c r="V5206" s="13"/>
      <c r="W5206" s="13"/>
      <c r="X5206" s="21"/>
      <c r="Y5206" s="22"/>
      <c r="Z5206" s="23"/>
      <c r="AA5206" s="23"/>
      <c r="AB5206" s="15"/>
      <c r="AC5206" s="14"/>
      <c r="AD5206" s="18"/>
      <c r="AE5206" s="18"/>
    </row>
    <row r="5207" customFormat="false" ht="15" hidden="false" customHeight="true" outlineLevel="0" collapsed="false">
      <c r="A5207" s="12"/>
      <c r="B5207" s="13"/>
      <c r="C5207" s="14"/>
      <c r="D5207" s="13"/>
      <c r="E5207" s="15"/>
      <c r="F5207" s="15"/>
      <c r="G5207" s="15"/>
      <c r="H5207" s="13"/>
      <c r="I5207" s="13"/>
      <c r="J5207" s="16"/>
      <c r="K5207" s="16"/>
      <c r="L5207" s="17" t="str">
        <f aca="false" t="array" ref="L5207:L5207">IFERROR(INDEX(AC5207:AE5207,IF(COUNTA(AC5207:AE5207)=0,"",MAX((AC5207:AE5207&lt;&gt;"")*(COLUMN(AC5207:AE5207)-(COLUMN(AC5207)-2))))-1),"")</f>
        <v/>
      </c>
      <c r="M5207" s="13"/>
      <c r="N5207" s="13"/>
      <c r="O5207" s="13"/>
      <c r="P5207" s="26"/>
      <c r="Q5207" s="20"/>
      <c r="R5207" s="13"/>
      <c r="S5207" s="25"/>
      <c r="T5207" s="13"/>
      <c r="U5207" s="13"/>
      <c r="V5207" s="13"/>
      <c r="W5207" s="13"/>
      <c r="X5207" s="21"/>
      <c r="Y5207" s="22"/>
      <c r="Z5207" s="23"/>
      <c r="AA5207" s="23"/>
      <c r="AB5207" s="15"/>
      <c r="AC5207" s="14"/>
      <c r="AD5207" s="18"/>
      <c r="AE5207" s="18"/>
    </row>
    <row r="5208" customFormat="false" ht="15" hidden="false" customHeight="true" outlineLevel="0" collapsed="false">
      <c r="A5208" s="12"/>
      <c r="B5208" s="13"/>
      <c r="C5208" s="14"/>
      <c r="D5208" s="13"/>
      <c r="E5208" s="15"/>
      <c r="F5208" s="15"/>
      <c r="G5208" s="15"/>
      <c r="H5208" s="13"/>
      <c r="I5208" s="13"/>
      <c r="J5208" s="16"/>
      <c r="K5208" s="16"/>
      <c r="L5208" s="17" t="str">
        <f aca="false" t="array" ref="L5208:L5208">IFERROR(INDEX(AC5208:AE5208,IF(COUNTA(AC5208:AE5208)=0,"",MAX((AC5208:AE5208&lt;&gt;"")*(COLUMN(AC5208:AE5208)-(COLUMN(AC5208)-2))))-1),"")</f>
        <v/>
      </c>
      <c r="M5208" s="13"/>
      <c r="N5208" s="13"/>
      <c r="O5208" s="13"/>
      <c r="P5208" s="26"/>
      <c r="Q5208" s="20"/>
      <c r="R5208" s="13"/>
      <c r="S5208" s="25"/>
      <c r="T5208" s="13"/>
      <c r="U5208" s="13"/>
      <c r="V5208" s="13"/>
      <c r="W5208" s="13"/>
      <c r="X5208" s="21"/>
      <c r="Y5208" s="22"/>
      <c r="Z5208" s="23"/>
      <c r="AA5208" s="23"/>
      <c r="AB5208" s="15"/>
      <c r="AC5208" s="14"/>
      <c r="AD5208" s="18"/>
      <c r="AE5208" s="18"/>
    </row>
    <row r="5209" customFormat="false" ht="15" hidden="false" customHeight="true" outlineLevel="0" collapsed="false">
      <c r="A5209" s="12"/>
      <c r="B5209" s="13"/>
      <c r="C5209" s="14"/>
      <c r="D5209" s="13"/>
      <c r="E5209" s="15"/>
      <c r="F5209" s="15"/>
      <c r="G5209" s="15"/>
      <c r="H5209" s="13"/>
      <c r="I5209" s="13"/>
      <c r="J5209" s="16"/>
      <c r="K5209" s="16"/>
      <c r="L5209" s="17" t="str">
        <f aca="false" t="array" ref="L5209:L5209">IFERROR(INDEX(AC5209:AE5209,IF(COUNTA(AC5209:AE5209)=0,"",MAX((AC5209:AE5209&lt;&gt;"")*(COLUMN(AC5209:AE5209)-(COLUMN(AC5209)-2))))-1),"")</f>
        <v/>
      </c>
      <c r="M5209" s="13"/>
      <c r="N5209" s="13"/>
      <c r="O5209" s="13"/>
      <c r="P5209" s="26"/>
      <c r="Q5209" s="20"/>
      <c r="R5209" s="13"/>
      <c r="S5209" s="25"/>
      <c r="T5209" s="13"/>
      <c r="U5209" s="13"/>
      <c r="V5209" s="13"/>
      <c r="W5209" s="13"/>
      <c r="X5209" s="21"/>
      <c r="Y5209" s="22"/>
      <c r="Z5209" s="23"/>
      <c r="AA5209" s="23"/>
      <c r="AB5209" s="15"/>
      <c r="AC5209" s="14"/>
      <c r="AD5209" s="18"/>
      <c r="AE5209" s="18"/>
    </row>
    <row r="5210" customFormat="false" ht="15" hidden="false" customHeight="true" outlineLevel="0" collapsed="false">
      <c r="A5210" s="12"/>
      <c r="B5210" s="13"/>
      <c r="C5210" s="14"/>
      <c r="D5210" s="13"/>
      <c r="E5210" s="15"/>
      <c r="F5210" s="15"/>
      <c r="G5210" s="15"/>
      <c r="H5210" s="13"/>
      <c r="I5210" s="13"/>
      <c r="J5210" s="16"/>
      <c r="K5210" s="16"/>
      <c r="L5210" s="17" t="str">
        <f aca="false" t="array" ref="L5210:L5210">IFERROR(INDEX(AC5210:AE5210,IF(COUNTA(AC5210:AE5210)=0,"",MAX((AC5210:AE5210&lt;&gt;"")*(COLUMN(AC5210:AE5210)-(COLUMN(AC5210)-2))))-1),"")</f>
        <v/>
      </c>
      <c r="M5210" s="13"/>
      <c r="N5210" s="13"/>
      <c r="O5210" s="13"/>
      <c r="P5210" s="26"/>
      <c r="Q5210" s="20"/>
      <c r="R5210" s="13"/>
      <c r="S5210" s="25"/>
      <c r="T5210" s="13"/>
      <c r="U5210" s="13"/>
      <c r="V5210" s="13"/>
      <c r="W5210" s="13"/>
      <c r="X5210" s="21"/>
      <c r="Y5210" s="22"/>
      <c r="Z5210" s="23"/>
      <c r="AA5210" s="23"/>
      <c r="AB5210" s="15"/>
      <c r="AC5210" s="14"/>
      <c r="AD5210" s="18"/>
      <c r="AE5210" s="18"/>
    </row>
    <row r="5211" customFormat="false" ht="15" hidden="false" customHeight="true" outlineLevel="0" collapsed="false">
      <c r="A5211" s="12"/>
      <c r="B5211" s="13"/>
      <c r="C5211" s="14"/>
      <c r="D5211" s="13"/>
      <c r="E5211" s="15"/>
      <c r="F5211" s="15"/>
      <c r="G5211" s="15"/>
      <c r="H5211" s="13"/>
      <c r="I5211" s="13"/>
      <c r="J5211" s="16"/>
      <c r="K5211" s="16"/>
      <c r="L5211" s="17" t="str">
        <f aca="false" t="array" ref="L5211:L5211">IFERROR(INDEX(AC5211:AE5211,IF(COUNTA(AC5211:AE5211)=0,"",MAX((AC5211:AE5211&lt;&gt;"")*(COLUMN(AC5211:AE5211)-(COLUMN(AC5211)-2))))-1),"")</f>
        <v/>
      </c>
      <c r="M5211" s="13"/>
      <c r="N5211" s="13"/>
      <c r="O5211" s="13"/>
      <c r="P5211" s="26"/>
      <c r="Q5211" s="20"/>
      <c r="R5211" s="13"/>
      <c r="S5211" s="25"/>
      <c r="T5211" s="13"/>
      <c r="U5211" s="13"/>
      <c r="V5211" s="13"/>
      <c r="W5211" s="13"/>
      <c r="X5211" s="21"/>
      <c r="Y5211" s="22"/>
      <c r="Z5211" s="23"/>
      <c r="AA5211" s="23"/>
      <c r="AB5211" s="15"/>
      <c r="AC5211" s="14"/>
      <c r="AD5211" s="18"/>
      <c r="AE5211" s="18"/>
    </row>
    <row r="5212" customFormat="false" ht="15" hidden="false" customHeight="true" outlineLevel="0" collapsed="false">
      <c r="A5212" s="12"/>
      <c r="B5212" s="13"/>
      <c r="C5212" s="14"/>
      <c r="D5212" s="13"/>
      <c r="E5212" s="15"/>
      <c r="F5212" s="15"/>
      <c r="G5212" s="15"/>
      <c r="H5212" s="13"/>
      <c r="I5212" s="13"/>
      <c r="J5212" s="16"/>
      <c r="K5212" s="16"/>
      <c r="L5212" s="17" t="str">
        <f aca="false" t="array" ref="L5212:L5212">IFERROR(INDEX(AC5212:AE5212,IF(COUNTA(AC5212:AE5212)=0,"",MAX((AC5212:AE5212&lt;&gt;"")*(COLUMN(AC5212:AE5212)-(COLUMN(AC5212)-2))))-1),"")</f>
        <v/>
      </c>
      <c r="M5212" s="13"/>
      <c r="N5212" s="13"/>
      <c r="O5212" s="13"/>
      <c r="P5212" s="26"/>
      <c r="Q5212" s="20"/>
      <c r="R5212" s="13"/>
      <c r="S5212" s="25"/>
      <c r="T5212" s="13"/>
      <c r="U5212" s="13"/>
      <c r="V5212" s="13"/>
      <c r="W5212" s="13"/>
      <c r="X5212" s="21"/>
      <c r="Y5212" s="22"/>
      <c r="Z5212" s="23"/>
      <c r="AA5212" s="23"/>
      <c r="AB5212" s="15"/>
      <c r="AC5212" s="14"/>
      <c r="AD5212" s="18"/>
      <c r="AE5212" s="18"/>
    </row>
    <row r="5213" customFormat="false" ht="15" hidden="false" customHeight="true" outlineLevel="0" collapsed="false">
      <c r="A5213" s="12"/>
      <c r="B5213" s="13"/>
      <c r="C5213" s="14"/>
      <c r="D5213" s="13"/>
      <c r="E5213" s="15"/>
      <c r="F5213" s="15"/>
      <c r="G5213" s="15"/>
      <c r="H5213" s="13"/>
      <c r="I5213" s="13"/>
      <c r="J5213" s="16"/>
      <c r="K5213" s="16"/>
      <c r="L5213" s="17" t="str">
        <f aca="false" t="array" ref="L5213:L5213">IFERROR(INDEX(AC5213:AE5213,IF(COUNTA(AC5213:AE5213)=0,"",MAX((AC5213:AE5213&lt;&gt;"")*(COLUMN(AC5213:AE5213)-(COLUMN(AC5213)-2))))-1),"")</f>
        <v/>
      </c>
      <c r="M5213" s="13"/>
      <c r="N5213" s="13"/>
      <c r="O5213" s="13"/>
      <c r="P5213" s="26"/>
      <c r="Q5213" s="20"/>
      <c r="R5213" s="13"/>
      <c r="S5213" s="25"/>
      <c r="T5213" s="13"/>
      <c r="U5213" s="13"/>
      <c r="V5213" s="13"/>
      <c r="W5213" s="13"/>
      <c r="X5213" s="21"/>
      <c r="Y5213" s="22"/>
      <c r="Z5213" s="23"/>
      <c r="AA5213" s="23"/>
      <c r="AB5213" s="15"/>
      <c r="AC5213" s="14"/>
      <c r="AD5213" s="18"/>
      <c r="AE5213" s="18"/>
    </row>
    <row r="5214" customFormat="false" ht="15" hidden="false" customHeight="true" outlineLevel="0" collapsed="false">
      <c r="A5214" s="12"/>
      <c r="B5214" s="13"/>
      <c r="C5214" s="14"/>
      <c r="D5214" s="13"/>
      <c r="E5214" s="15"/>
      <c r="F5214" s="15"/>
      <c r="G5214" s="15"/>
      <c r="H5214" s="13"/>
      <c r="I5214" s="13"/>
      <c r="J5214" s="16"/>
      <c r="K5214" s="16"/>
      <c r="L5214" s="17" t="str">
        <f aca="false" t="array" ref="L5214:L5214">IFERROR(INDEX(AC5214:AE5214,IF(COUNTA(AC5214:AE5214)=0,"",MAX((AC5214:AE5214&lt;&gt;"")*(COLUMN(AC5214:AE5214)-(COLUMN(AC5214)-2))))-1),"")</f>
        <v/>
      </c>
      <c r="M5214" s="13"/>
      <c r="N5214" s="13"/>
      <c r="O5214" s="13"/>
      <c r="P5214" s="26"/>
      <c r="Q5214" s="20"/>
      <c r="R5214" s="13"/>
      <c r="S5214" s="25"/>
      <c r="T5214" s="13"/>
      <c r="U5214" s="13"/>
      <c r="V5214" s="13"/>
      <c r="W5214" s="13"/>
      <c r="X5214" s="21"/>
      <c r="Y5214" s="22"/>
      <c r="Z5214" s="23"/>
      <c r="AA5214" s="23"/>
      <c r="AB5214" s="15"/>
      <c r="AC5214" s="14"/>
      <c r="AD5214" s="18"/>
      <c r="AE5214" s="18"/>
    </row>
    <row r="5215" customFormat="false" ht="15" hidden="false" customHeight="true" outlineLevel="0" collapsed="false">
      <c r="A5215" s="12"/>
      <c r="B5215" s="13"/>
      <c r="C5215" s="14"/>
      <c r="D5215" s="13"/>
      <c r="E5215" s="15"/>
      <c r="F5215" s="15"/>
      <c r="G5215" s="15"/>
      <c r="H5215" s="13"/>
      <c r="I5215" s="13"/>
      <c r="J5215" s="16"/>
      <c r="K5215" s="16"/>
      <c r="L5215" s="17" t="str">
        <f aca="false" t="array" ref="L5215:L5215">IFERROR(INDEX(AC5215:AE5215,IF(COUNTA(AC5215:AE5215)=0,"",MAX((AC5215:AE5215&lt;&gt;"")*(COLUMN(AC5215:AE5215)-(COLUMN(AC5215)-2))))-1),"")</f>
        <v/>
      </c>
      <c r="M5215" s="13"/>
      <c r="N5215" s="13"/>
      <c r="O5215" s="13"/>
      <c r="P5215" s="26"/>
      <c r="Q5215" s="20"/>
      <c r="R5215" s="13"/>
      <c r="S5215" s="25"/>
      <c r="T5215" s="13"/>
      <c r="U5215" s="13"/>
      <c r="V5215" s="13"/>
      <c r="W5215" s="13"/>
      <c r="X5215" s="21"/>
      <c r="Y5215" s="22"/>
      <c r="Z5215" s="23"/>
      <c r="AA5215" s="23"/>
      <c r="AB5215" s="15"/>
      <c r="AC5215" s="14"/>
      <c r="AD5215" s="18"/>
      <c r="AE5215" s="18"/>
    </row>
    <row r="5216" customFormat="false" ht="15" hidden="false" customHeight="true" outlineLevel="0" collapsed="false">
      <c r="A5216" s="12"/>
      <c r="B5216" s="13"/>
      <c r="C5216" s="14"/>
      <c r="D5216" s="13"/>
      <c r="E5216" s="15"/>
      <c r="F5216" s="15"/>
      <c r="G5216" s="15"/>
      <c r="H5216" s="13"/>
      <c r="I5216" s="13"/>
      <c r="J5216" s="16"/>
      <c r="K5216" s="16"/>
      <c r="L5216" s="17" t="str">
        <f aca="false" t="array" ref="L5216:L5216">IFERROR(INDEX(AC5216:AE5216,IF(COUNTA(AC5216:AE5216)=0,"",MAX((AC5216:AE5216&lt;&gt;"")*(COLUMN(AC5216:AE5216)-(COLUMN(AC5216)-2))))-1),"")</f>
        <v/>
      </c>
      <c r="M5216" s="13"/>
      <c r="N5216" s="13"/>
      <c r="O5216" s="13"/>
      <c r="P5216" s="26"/>
      <c r="Q5216" s="20"/>
      <c r="R5216" s="13"/>
      <c r="S5216" s="25"/>
      <c r="T5216" s="13"/>
      <c r="U5216" s="13"/>
      <c r="V5216" s="13"/>
      <c r="W5216" s="13"/>
      <c r="X5216" s="21"/>
      <c r="Y5216" s="22"/>
      <c r="Z5216" s="23"/>
      <c r="AA5216" s="23"/>
      <c r="AB5216" s="15"/>
      <c r="AC5216" s="14"/>
      <c r="AD5216" s="18"/>
      <c r="AE5216" s="18"/>
    </row>
    <row r="5217" customFormat="false" ht="15" hidden="false" customHeight="true" outlineLevel="0" collapsed="false">
      <c r="A5217" s="12"/>
      <c r="B5217" s="13"/>
      <c r="C5217" s="14"/>
      <c r="D5217" s="13"/>
      <c r="E5217" s="15"/>
      <c r="F5217" s="15"/>
      <c r="G5217" s="15"/>
      <c r="H5217" s="13"/>
      <c r="I5217" s="13"/>
      <c r="J5217" s="16"/>
      <c r="K5217" s="16"/>
      <c r="L5217" s="17" t="str">
        <f aca="false" t="array" ref="L5217:L5217">IFERROR(INDEX(AC5217:AE5217,IF(COUNTA(AC5217:AE5217)=0,"",MAX((AC5217:AE5217&lt;&gt;"")*(COLUMN(AC5217:AE5217)-(COLUMN(AC5217)-2))))-1),"")</f>
        <v/>
      </c>
      <c r="M5217" s="13"/>
      <c r="N5217" s="13"/>
      <c r="O5217" s="13"/>
      <c r="P5217" s="26"/>
      <c r="Q5217" s="20"/>
      <c r="R5217" s="13"/>
      <c r="S5217" s="25"/>
      <c r="T5217" s="13"/>
      <c r="U5217" s="13"/>
      <c r="V5217" s="13"/>
      <c r="W5217" s="13"/>
      <c r="X5217" s="21"/>
      <c r="Y5217" s="22"/>
      <c r="Z5217" s="23"/>
      <c r="AA5217" s="23"/>
      <c r="AB5217" s="15"/>
      <c r="AC5217" s="14"/>
      <c r="AD5217" s="18"/>
      <c r="AE5217" s="18"/>
    </row>
    <row r="5218" customFormat="false" ht="15" hidden="false" customHeight="true" outlineLevel="0" collapsed="false">
      <c r="A5218" s="12"/>
      <c r="B5218" s="13"/>
      <c r="C5218" s="14"/>
      <c r="D5218" s="13"/>
      <c r="E5218" s="15"/>
      <c r="F5218" s="15"/>
      <c r="G5218" s="15"/>
      <c r="H5218" s="13"/>
      <c r="I5218" s="13"/>
      <c r="J5218" s="16"/>
      <c r="K5218" s="16"/>
      <c r="L5218" s="17" t="str">
        <f aca="false" t="array" ref="L5218:L5218">IFERROR(INDEX(AC5218:AE5218,IF(COUNTA(AC5218:AE5218)=0,"",MAX((AC5218:AE5218&lt;&gt;"")*(COLUMN(AC5218:AE5218)-(COLUMN(AC5218)-2))))-1),"")</f>
        <v/>
      </c>
      <c r="M5218" s="13"/>
      <c r="N5218" s="13"/>
      <c r="O5218" s="13"/>
      <c r="P5218" s="26"/>
      <c r="Q5218" s="20"/>
      <c r="R5218" s="13"/>
      <c r="S5218" s="25"/>
      <c r="T5218" s="13"/>
      <c r="U5218" s="13"/>
      <c r="V5218" s="13"/>
      <c r="W5218" s="13"/>
      <c r="X5218" s="21"/>
      <c r="Y5218" s="22"/>
      <c r="Z5218" s="23"/>
      <c r="AA5218" s="23"/>
      <c r="AB5218" s="15"/>
      <c r="AC5218" s="14"/>
      <c r="AD5218" s="18"/>
      <c r="AE5218" s="18"/>
    </row>
    <row r="5219" customFormat="false" ht="15" hidden="false" customHeight="true" outlineLevel="0" collapsed="false">
      <c r="A5219" s="12"/>
      <c r="B5219" s="13"/>
      <c r="C5219" s="14"/>
      <c r="D5219" s="13"/>
      <c r="E5219" s="15"/>
      <c r="F5219" s="15"/>
      <c r="G5219" s="15"/>
      <c r="H5219" s="13"/>
      <c r="I5219" s="13"/>
      <c r="J5219" s="16"/>
      <c r="K5219" s="16"/>
      <c r="L5219" s="17" t="str">
        <f aca="false" t="array" ref="L5219:L5219">IFERROR(INDEX(AC5219:AE5219,IF(COUNTA(AC5219:AE5219)=0,"",MAX((AC5219:AE5219&lt;&gt;"")*(COLUMN(AC5219:AE5219)-(COLUMN(AC5219)-2))))-1),"")</f>
        <v/>
      </c>
      <c r="M5219" s="13"/>
      <c r="N5219" s="13"/>
      <c r="O5219" s="13"/>
      <c r="P5219" s="26"/>
      <c r="Q5219" s="20"/>
      <c r="R5219" s="13"/>
      <c r="S5219" s="25"/>
      <c r="T5219" s="13"/>
      <c r="U5219" s="13"/>
      <c r="V5219" s="13"/>
      <c r="W5219" s="13"/>
      <c r="X5219" s="21"/>
      <c r="Y5219" s="22"/>
      <c r="Z5219" s="23"/>
      <c r="AA5219" s="23"/>
      <c r="AB5219" s="15"/>
      <c r="AC5219" s="14"/>
      <c r="AD5219" s="18"/>
      <c r="AE5219" s="18"/>
    </row>
    <row r="5220" customFormat="false" ht="15" hidden="false" customHeight="true" outlineLevel="0" collapsed="false">
      <c r="A5220" s="12"/>
      <c r="B5220" s="13"/>
      <c r="C5220" s="14"/>
      <c r="D5220" s="13"/>
      <c r="E5220" s="15"/>
      <c r="F5220" s="15"/>
      <c r="G5220" s="15"/>
      <c r="H5220" s="13"/>
      <c r="I5220" s="13"/>
      <c r="J5220" s="16"/>
      <c r="K5220" s="16"/>
      <c r="L5220" s="17" t="str">
        <f aca="false" t="array" ref="L5220:L5220">IFERROR(INDEX(AC5220:AE5220,IF(COUNTA(AC5220:AE5220)=0,"",MAX((AC5220:AE5220&lt;&gt;"")*(COLUMN(AC5220:AE5220)-(COLUMN(AC5220)-2))))-1),"")</f>
        <v/>
      </c>
      <c r="M5220" s="13"/>
      <c r="N5220" s="13"/>
      <c r="O5220" s="13"/>
      <c r="P5220" s="26"/>
      <c r="Q5220" s="20"/>
      <c r="R5220" s="13"/>
      <c r="S5220" s="25"/>
      <c r="T5220" s="13"/>
      <c r="U5220" s="13"/>
      <c r="V5220" s="13"/>
      <c r="W5220" s="13"/>
      <c r="X5220" s="21"/>
      <c r="Y5220" s="22"/>
      <c r="Z5220" s="23"/>
      <c r="AA5220" s="23"/>
      <c r="AB5220" s="15"/>
      <c r="AC5220" s="14"/>
      <c r="AD5220" s="18"/>
      <c r="AE5220" s="18"/>
    </row>
    <row r="5221" customFormat="false" ht="15" hidden="false" customHeight="true" outlineLevel="0" collapsed="false">
      <c r="A5221" s="12"/>
      <c r="B5221" s="13"/>
      <c r="C5221" s="14"/>
      <c r="D5221" s="13"/>
      <c r="E5221" s="15"/>
      <c r="F5221" s="15"/>
      <c r="G5221" s="15"/>
      <c r="H5221" s="13"/>
      <c r="I5221" s="13"/>
      <c r="J5221" s="16"/>
      <c r="K5221" s="16"/>
      <c r="L5221" s="17" t="str">
        <f aca="false" t="array" ref="L5221:L5221">IFERROR(INDEX(AC5221:AE5221,IF(COUNTA(AC5221:AE5221)=0,"",MAX((AC5221:AE5221&lt;&gt;"")*(COLUMN(AC5221:AE5221)-(COLUMN(AC5221)-2))))-1),"")</f>
        <v/>
      </c>
      <c r="M5221" s="13"/>
      <c r="N5221" s="13"/>
      <c r="O5221" s="13"/>
      <c r="P5221" s="26"/>
      <c r="Q5221" s="20"/>
      <c r="R5221" s="13"/>
      <c r="S5221" s="25"/>
      <c r="T5221" s="13"/>
      <c r="U5221" s="13"/>
      <c r="V5221" s="13"/>
      <c r="W5221" s="13"/>
      <c r="X5221" s="21"/>
      <c r="Y5221" s="22"/>
      <c r="Z5221" s="23"/>
      <c r="AA5221" s="23"/>
      <c r="AB5221" s="15"/>
      <c r="AC5221" s="14"/>
      <c r="AD5221" s="18"/>
      <c r="AE5221" s="18"/>
    </row>
    <row r="5222" customFormat="false" ht="15" hidden="false" customHeight="true" outlineLevel="0" collapsed="false">
      <c r="A5222" s="12"/>
      <c r="B5222" s="13"/>
      <c r="C5222" s="14"/>
      <c r="D5222" s="13"/>
      <c r="E5222" s="15"/>
      <c r="F5222" s="15"/>
      <c r="G5222" s="15"/>
      <c r="H5222" s="13"/>
      <c r="I5222" s="13"/>
      <c r="J5222" s="16"/>
      <c r="K5222" s="16"/>
      <c r="L5222" s="17" t="str">
        <f aca="false" t="array" ref="L5222:L5222">IFERROR(INDEX(AC5222:AE5222,IF(COUNTA(AC5222:AE5222)=0,"",MAX((AC5222:AE5222&lt;&gt;"")*(COLUMN(AC5222:AE5222)-(COLUMN(AC5222)-2))))-1),"")</f>
        <v/>
      </c>
      <c r="M5222" s="13"/>
      <c r="N5222" s="13"/>
      <c r="O5222" s="13"/>
      <c r="P5222" s="26"/>
      <c r="Q5222" s="20"/>
      <c r="R5222" s="13"/>
      <c r="S5222" s="25"/>
      <c r="T5222" s="13"/>
      <c r="U5222" s="13"/>
      <c r="V5222" s="13"/>
      <c r="W5222" s="13"/>
      <c r="X5222" s="21"/>
      <c r="Y5222" s="22"/>
      <c r="Z5222" s="23"/>
      <c r="AA5222" s="23"/>
      <c r="AB5222" s="15"/>
      <c r="AC5222" s="14"/>
      <c r="AD5222" s="18"/>
      <c r="AE5222" s="18"/>
    </row>
    <row r="5223" customFormat="false" ht="15" hidden="false" customHeight="true" outlineLevel="0" collapsed="false">
      <c r="A5223" s="12"/>
      <c r="B5223" s="13"/>
      <c r="C5223" s="14"/>
      <c r="D5223" s="13"/>
      <c r="E5223" s="15"/>
      <c r="F5223" s="15"/>
      <c r="G5223" s="15"/>
      <c r="H5223" s="13"/>
      <c r="I5223" s="13"/>
      <c r="J5223" s="16"/>
      <c r="K5223" s="16"/>
      <c r="L5223" s="17" t="str">
        <f aca="false" t="array" ref="L5223:L5223">IFERROR(INDEX(AC5223:AE5223,IF(COUNTA(AC5223:AE5223)=0,"",MAX((AC5223:AE5223&lt;&gt;"")*(COLUMN(AC5223:AE5223)-(COLUMN(AC5223)-2))))-1),"")</f>
        <v/>
      </c>
      <c r="M5223" s="13"/>
      <c r="N5223" s="13"/>
      <c r="O5223" s="13"/>
      <c r="P5223" s="26"/>
      <c r="Q5223" s="20"/>
      <c r="R5223" s="13"/>
      <c r="S5223" s="25"/>
      <c r="T5223" s="13"/>
      <c r="U5223" s="13"/>
      <c r="V5223" s="13"/>
      <c r="W5223" s="13"/>
      <c r="X5223" s="21"/>
      <c r="Y5223" s="22"/>
      <c r="Z5223" s="23"/>
      <c r="AA5223" s="23"/>
      <c r="AB5223" s="15"/>
      <c r="AC5223" s="14"/>
      <c r="AD5223" s="18"/>
      <c r="AE5223" s="18"/>
    </row>
    <row r="5224" customFormat="false" ht="15" hidden="false" customHeight="true" outlineLevel="0" collapsed="false">
      <c r="A5224" s="12"/>
      <c r="B5224" s="13"/>
      <c r="C5224" s="14"/>
      <c r="D5224" s="13"/>
      <c r="E5224" s="15"/>
      <c r="F5224" s="15"/>
      <c r="G5224" s="15"/>
      <c r="H5224" s="13"/>
      <c r="I5224" s="13"/>
      <c r="J5224" s="16"/>
      <c r="K5224" s="16"/>
      <c r="L5224" s="17" t="str">
        <f aca="false" t="array" ref="L5224:L5224">IFERROR(INDEX(AC5224:AE5224,IF(COUNTA(AC5224:AE5224)=0,"",MAX((AC5224:AE5224&lt;&gt;"")*(COLUMN(AC5224:AE5224)-(COLUMN(AC5224)-2))))-1),"")</f>
        <v/>
      </c>
      <c r="M5224" s="13"/>
      <c r="N5224" s="13"/>
      <c r="O5224" s="13"/>
      <c r="P5224" s="26"/>
      <c r="Q5224" s="20"/>
      <c r="R5224" s="13"/>
      <c r="S5224" s="25"/>
      <c r="T5224" s="13"/>
      <c r="U5224" s="13"/>
      <c r="V5224" s="13"/>
      <c r="W5224" s="13"/>
      <c r="X5224" s="21"/>
      <c r="Y5224" s="22"/>
      <c r="Z5224" s="23"/>
      <c r="AA5224" s="23"/>
      <c r="AB5224" s="15"/>
      <c r="AC5224" s="14"/>
      <c r="AD5224" s="18"/>
      <c r="AE5224" s="18"/>
    </row>
    <row r="5225" customFormat="false" ht="15" hidden="false" customHeight="true" outlineLevel="0" collapsed="false">
      <c r="A5225" s="12"/>
      <c r="B5225" s="13"/>
      <c r="C5225" s="14"/>
      <c r="D5225" s="13"/>
      <c r="E5225" s="15"/>
      <c r="F5225" s="15"/>
      <c r="G5225" s="15"/>
      <c r="H5225" s="13"/>
      <c r="I5225" s="13"/>
      <c r="J5225" s="16"/>
      <c r="K5225" s="16"/>
      <c r="L5225" s="17" t="str">
        <f aca="false" t="array" ref="L5225:L5225">IFERROR(INDEX(AC5225:AE5225,IF(COUNTA(AC5225:AE5225)=0,"",MAX((AC5225:AE5225&lt;&gt;"")*(COLUMN(AC5225:AE5225)-(COLUMN(AC5225)-2))))-1),"")</f>
        <v/>
      </c>
      <c r="M5225" s="13"/>
      <c r="N5225" s="13"/>
      <c r="O5225" s="13"/>
      <c r="P5225" s="26"/>
      <c r="Q5225" s="20"/>
      <c r="R5225" s="13"/>
      <c r="S5225" s="25"/>
      <c r="T5225" s="13"/>
      <c r="U5225" s="13"/>
      <c r="V5225" s="13"/>
      <c r="W5225" s="13"/>
      <c r="X5225" s="21"/>
      <c r="Y5225" s="22"/>
      <c r="Z5225" s="23"/>
      <c r="AA5225" s="23"/>
      <c r="AB5225" s="15"/>
      <c r="AC5225" s="14"/>
      <c r="AD5225" s="18"/>
      <c r="AE5225" s="18"/>
    </row>
    <row r="5226" customFormat="false" ht="15" hidden="false" customHeight="true" outlineLevel="0" collapsed="false">
      <c r="A5226" s="12"/>
      <c r="B5226" s="13"/>
      <c r="C5226" s="14"/>
      <c r="D5226" s="13"/>
      <c r="E5226" s="15"/>
      <c r="F5226" s="15"/>
      <c r="G5226" s="15"/>
      <c r="H5226" s="13"/>
      <c r="I5226" s="13"/>
      <c r="J5226" s="16"/>
      <c r="K5226" s="16"/>
      <c r="L5226" s="17" t="str">
        <f aca="false" t="array" ref="L5226:L5226">IFERROR(INDEX(AC5226:AE5226,IF(COUNTA(AC5226:AE5226)=0,"",MAX((AC5226:AE5226&lt;&gt;"")*(COLUMN(AC5226:AE5226)-(COLUMN(AC5226)-2))))-1),"")</f>
        <v/>
      </c>
      <c r="M5226" s="13"/>
      <c r="N5226" s="13"/>
      <c r="O5226" s="13"/>
      <c r="P5226" s="26"/>
      <c r="Q5226" s="20"/>
      <c r="R5226" s="13"/>
      <c r="S5226" s="25"/>
      <c r="T5226" s="13"/>
      <c r="U5226" s="13"/>
      <c r="V5226" s="13"/>
      <c r="W5226" s="13"/>
      <c r="X5226" s="21"/>
      <c r="Y5226" s="22"/>
      <c r="Z5226" s="23"/>
      <c r="AA5226" s="23"/>
      <c r="AB5226" s="15"/>
      <c r="AC5226" s="14"/>
      <c r="AD5226" s="18"/>
      <c r="AE5226" s="18"/>
    </row>
    <row r="5227" customFormat="false" ht="15" hidden="false" customHeight="true" outlineLevel="0" collapsed="false">
      <c r="A5227" s="12"/>
      <c r="B5227" s="13"/>
      <c r="C5227" s="14"/>
      <c r="D5227" s="13"/>
      <c r="E5227" s="15"/>
      <c r="F5227" s="15"/>
      <c r="G5227" s="15"/>
      <c r="H5227" s="13"/>
      <c r="I5227" s="13"/>
      <c r="J5227" s="16"/>
      <c r="K5227" s="16"/>
      <c r="L5227" s="17" t="str">
        <f aca="false" t="array" ref="L5227:L5227">IFERROR(INDEX(AC5227:AE5227,IF(COUNTA(AC5227:AE5227)=0,"",MAX((AC5227:AE5227&lt;&gt;"")*(COLUMN(AC5227:AE5227)-(COLUMN(AC5227)-2))))-1),"")</f>
        <v/>
      </c>
      <c r="M5227" s="13"/>
      <c r="N5227" s="13"/>
      <c r="O5227" s="13"/>
      <c r="P5227" s="26"/>
      <c r="Q5227" s="20"/>
      <c r="R5227" s="13"/>
      <c r="S5227" s="25"/>
      <c r="T5227" s="13"/>
      <c r="U5227" s="13"/>
      <c r="V5227" s="13"/>
      <c r="W5227" s="13"/>
      <c r="X5227" s="21"/>
      <c r="Y5227" s="22"/>
      <c r="Z5227" s="23"/>
      <c r="AA5227" s="23"/>
      <c r="AB5227" s="15"/>
      <c r="AC5227" s="14"/>
      <c r="AD5227" s="18"/>
      <c r="AE5227" s="18"/>
    </row>
    <row r="5228" customFormat="false" ht="15" hidden="false" customHeight="true" outlineLevel="0" collapsed="false">
      <c r="A5228" s="12"/>
      <c r="B5228" s="13"/>
      <c r="C5228" s="14"/>
      <c r="D5228" s="13"/>
      <c r="E5228" s="15"/>
      <c r="F5228" s="15"/>
      <c r="G5228" s="15"/>
      <c r="H5228" s="13"/>
      <c r="I5228" s="13"/>
      <c r="J5228" s="16"/>
      <c r="K5228" s="16"/>
      <c r="L5228" s="17" t="str">
        <f aca="false" t="array" ref="L5228:L5228">IFERROR(INDEX(AC5228:AE5228,IF(COUNTA(AC5228:AE5228)=0,"",MAX((AC5228:AE5228&lt;&gt;"")*(COLUMN(AC5228:AE5228)-(COLUMN(AC5228)-2))))-1),"")</f>
        <v/>
      </c>
      <c r="M5228" s="13"/>
      <c r="N5228" s="13"/>
      <c r="O5228" s="13"/>
      <c r="P5228" s="26"/>
      <c r="Q5228" s="20"/>
      <c r="R5228" s="13"/>
      <c r="S5228" s="25"/>
      <c r="T5228" s="13"/>
      <c r="U5228" s="13"/>
      <c r="V5228" s="13"/>
      <c r="W5228" s="13"/>
      <c r="X5228" s="21"/>
      <c r="Y5228" s="22"/>
      <c r="Z5228" s="23"/>
      <c r="AA5228" s="23"/>
      <c r="AB5228" s="15"/>
      <c r="AC5228" s="14"/>
      <c r="AD5228" s="18"/>
      <c r="AE5228" s="18"/>
    </row>
    <row r="5229" customFormat="false" ht="15" hidden="false" customHeight="true" outlineLevel="0" collapsed="false">
      <c r="A5229" s="12"/>
      <c r="B5229" s="13"/>
      <c r="C5229" s="14"/>
      <c r="D5229" s="13"/>
      <c r="E5229" s="15"/>
      <c r="F5229" s="15"/>
      <c r="G5229" s="15"/>
      <c r="H5229" s="13"/>
      <c r="I5229" s="13"/>
      <c r="J5229" s="16"/>
      <c r="K5229" s="16"/>
      <c r="L5229" s="17" t="str">
        <f aca="false" t="array" ref="L5229:L5229">IFERROR(INDEX(AC5229:AE5229,IF(COUNTA(AC5229:AE5229)=0,"",MAX((AC5229:AE5229&lt;&gt;"")*(COLUMN(AC5229:AE5229)-(COLUMN(AC5229)-2))))-1),"")</f>
        <v/>
      </c>
      <c r="M5229" s="13"/>
      <c r="N5229" s="13"/>
      <c r="O5229" s="13"/>
      <c r="P5229" s="26"/>
      <c r="Q5229" s="20"/>
      <c r="R5229" s="13"/>
      <c r="S5229" s="25"/>
      <c r="T5229" s="13"/>
      <c r="U5229" s="13"/>
      <c r="V5229" s="13"/>
      <c r="W5229" s="13"/>
      <c r="X5229" s="21"/>
      <c r="Y5229" s="22"/>
      <c r="Z5229" s="23"/>
      <c r="AA5229" s="23"/>
      <c r="AB5229" s="15"/>
      <c r="AC5229" s="14"/>
      <c r="AD5229" s="18"/>
      <c r="AE5229" s="18"/>
    </row>
    <row r="5230" customFormat="false" ht="15" hidden="false" customHeight="true" outlineLevel="0" collapsed="false">
      <c r="A5230" s="12"/>
      <c r="B5230" s="13"/>
      <c r="C5230" s="14"/>
      <c r="D5230" s="13"/>
      <c r="E5230" s="15"/>
      <c r="F5230" s="15"/>
      <c r="G5230" s="15"/>
      <c r="H5230" s="13"/>
      <c r="I5230" s="13"/>
      <c r="J5230" s="16"/>
      <c r="K5230" s="16"/>
      <c r="L5230" s="17" t="str">
        <f aca="false" t="array" ref="L5230:L5230">IFERROR(INDEX(AC5230:AE5230,IF(COUNTA(AC5230:AE5230)=0,"",MAX((AC5230:AE5230&lt;&gt;"")*(COLUMN(AC5230:AE5230)-(COLUMN(AC5230)-2))))-1),"")</f>
        <v/>
      </c>
      <c r="M5230" s="13"/>
      <c r="N5230" s="13"/>
      <c r="O5230" s="13"/>
      <c r="P5230" s="26"/>
      <c r="Q5230" s="20"/>
      <c r="R5230" s="13"/>
      <c r="S5230" s="25"/>
      <c r="T5230" s="13"/>
      <c r="U5230" s="13"/>
      <c r="V5230" s="13"/>
      <c r="W5230" s="13"/>
      <c r="X5230" s="21"/>
      <c r="Y5230" s="22"/>
      <c r="Z5230" s="23"/>
      <c r="AA5230" s="23"/>
      <c r="AB5230" s="15"/>
      <c r="AC5230" s="14"/>
      <c r="AD5230" s="18"/>
      <c r="AE5230" s="18"/>
    </row>
    <row r="5231" customFormat="false" ht="15" hidden="false" customHeight="true" outlineLevel="0" collapsed="false">
      <c r="A5231" s="12"/>
      <c r="B5231" s="13"/>
      <c r="C5231" s="14"/>
      <c r="D5231" s="13"/>
      <c r="E5231" s="15"/>
      <c r="F5231" s="15"/>
      <c r="G5231" s="15"/>
      <c r="H5231" s="13"/>
      <c r="I5231" s="13"/>
      <c r="J5231" s="16"/>
      <c r="K5231" s="16"/>
      <c r="L5231" s="17" t="str">
        <f aca="false" t="array" ref="L5231:L5231">IFERROR(INDEX(AC5231:AE5231,IF(COUNTA(AC5231:AE5231)=0,"",MAX((AC5231:AE5231&lt;&gt;"")*(COLUMN(AC5231:AE5231)-(COLUMN(AC5231)-2))))-1),"")</f>
        <v/>
      </c>
      <c r="M5231" s="13"/>
      <c r="N5231" s="13"/>
      <c r="O5231" s="13"/>
      <c r="P5231" s="26"/>
      <c r="Q5231" s="20"/>
      <c r="R5231" s="13"/>
      <c r="S5231" s="25"/>
      <c r="T5231" s="13"/>
      <c r="U5231" s="13"/>
      <c r="V5231" s="13"/>
      <c r="W5231" s="13"/>
      <c r="X5231" s="21"/>
      <c r="Y5231" s="22"/>
      <c r="Z5231" s="23"/>
      <c r="AA5231" s="23"/>
      <c r="AB5231" s="15"/>
      <c r="AC5231" s="14"/>
      <c r="AD5231" s="18"/>
      <c r="AE5231" s="18"/>
    </row>
    <row r="5232" customFormat="false" ht="15" hidden="false" customHeight="true" outlineLevel="0" collapsed="false">
      <c r="A5232" s="12"/>
      <c r="B5232" s="13"/>
      <c r="C5232" s="14"/>
      <c r="D5232" s="13"/>
      <c r="E5232" s="15"/>
      <c r="F5232" s="15"/>
      <c r="G5232" s="15"/>
      <c r="H5232" s="13"/>
      <c r="I5232" s="13"/>
      <c r="J5232" s="16"/>
      <c r="K5232" s="16"/>
      <c r="L5232" s="17" t="str">
        <f aca="false" t="array" ref="L5232:L5232">IFERROR(INDEX(AC5232:AE5232,IF(COUNTA(AC5232:AE5232)=0,"",MAX((AC5232:AE5232&lt;&gt;"")*(COLUMN(AC5232:AE5232)-(COLUMN(AC5232)-2))))-1),"")</f>
        <v/>
      </c>
      <c r="M5232" s="13"/>
      <c r="N5232" s="13"/>
      <c r="O5232" s="13"/>
      <c r="P5232" s="26"/>
      <c r="Q5232" s="20"/>
      <c r="R5232" s="13"/>
      <c r="S5232" s="25"/>
      <c r="T5232" s="13"/>
      <c r="U5232" s="13"/>
      <c r="V5232" s="13"/>
      <c r="W5232" s="13"/>
      <c r="X5232" s="21"/>
      <c r="Y5232" s="22"/>
      <c r="Z5232" s="23"/>
      <c r="AA5232" s="23"/>
      <c r="AB5232" s="15"/>
      <c r="AC5232" s="14"/>
      <c r="AD5232" s="18"/>
      <c r="AE5232" s="18"/>
    </row>
    <row r="5233" customFormat="false" ht="15" hidden="false" customHeight="true" outlineLevel="0" collapsed="false">
      <c r="A5233" s="12"/>
      <c r="B5233" s="13"/>
      <c r="C5233" s="14"/>
      <c r="D5233" s="13"/>
      <c r="E5233" s="15"/>
      <c r="F5233" s="15"/>
      <c r="G5233" s="15"/>
      <c r="H5233" s="13"/>
      <c r="I5233" s="13"/>
      <c r="J5233" s="16"/>
      <c r="K5233" s="16"/>
      <c r="L5233" s="17" t="str">
        <f aca="false" t="array" ref="L5233:L5233">IFERROR(INDEX(AC5233:AE5233,IF(COUNTA(AC5233:AE5233)=0,"",MAX((AC5233:AE5233&lt;&gt;"")*(COLUMN(AC5233:AE5233)-(COLUMN(AC5233)-2))))-1),"")</f>
        <v/>
      </c>
      <c r="M5233" s="13"/>
      <c r="N5233" s="13"/>
      <c r="O5233" s="13"/>
      <c r="P5233" s="26"/>
      <c r="Q5233" s="20"/>
      <c r="R5233" s="13"/>
      <c r="S5233" s="25"/>
      <c r="T5233" s="13"/>
      <c r="U5233" s="13"/>
      <c r="V5233" s="13"/>
      <c r="W5233" s="13"/>
      <c r="X5233" s="21"/>
      <c r="Y5233" s="22"/>
      <c r="Z5233" s="23"/>
      <c r="AA5233" s="23"/>
      <c r="AB5233" s="15"/>
      <c r="AC5233" s="14"/>
      <c r="AD5233" s="18"/>
      <c r="AE5233" s="18"/>
    </row>
    <row r="5234" customFormat="false" ht="15" hidden="false" customHeight="true" outlineLevel="0" collapsed="false">
      <c r="A5234" s="12"/>
      <c r="B5234" s="13"/>
      <c r="C5234" s="14"/>
      <c r="D5234" s="13"/>
      <c r="E5234" s="15"/>
      <c r="F5234" s="15"/>
      <c r="G5234" s="15"/>
      <c r="H5234" s="13"/>
      <c r="I5234" s="13"/>
      <c r="J5234" s="16"/>
      <c r="K5234" s="16"/>
      <c r="L5234" s="17" t="str">
        <f aca="false" t="array" ref="L5234:L5234">IFERROR(INDEX(AC5234:AE5234,IF(COUNTA(AC5234:AE5234)=0,"",MAX((AC5234:AE5234&lt;&gt;"")*(COLUMN(AC5234:AE5234)-(COLUMN(AC5234)-2))))-1),"")</f>
        <v/>
      </c>
      <c r="M5234" s="13"/>
      <c r="N5234" s="13"/>
      <c r="O5234" s="13"/>
      <c r="P5234" s="26"/>
      <c r="Q5234" s="20"/>
      <c r="R5234" s="13"/>
      <c r="S5234" s="25"/>
      <c r="T5234" s="13"/>
      <c r="U5234" s="13"/>
      <c r="V5234" s="13"/>
      <c r="W5234" s="13"/>
      <c r="X5234" s="21"/>
      <c r="Y5234" s="22"/>
      <c r="Z5234" s="23"/>
      <c r="AA5234" s="23"/>
      <c r="AB5234" s="15"/>
      <c r="AC5234" s="14"/>
      <c r="AD5234" s="18"/>
      <c r="AE5234" s="18"/>
    </row>
    <row r="5235" customFormat="false" ht="15" hidden="false" customHeight="true" outlineLevel="0" collapsed="false">
      <c r="A5235" s="12"/>
      <c r="B5235" s="13"/>
      <c r="C5235" s="14"/>
      <c r="D5235" s="13"/>
      <c r="E5235" s="15"/>
      <c r="F5235" s="15"/>
      <c r="G5235" s="15"/>
      <c r="H5235" s="13"/>
      <c r="I5235" s="13"/>
      <c r="J5235" s="16"/>
      <c r="K5235" s="16"/>
      <c r="L5235" s="17" t="str">
        <f aca="false" t="array" ref="L5235:L5235">IFERROR(INDEX(AC5235:AE5235,IF(COUNTA(AC5235:AE5235)=0,"",MAX((AC5235:AE5235&lt;&gt;"")*(COLUMN(AC5235:AE5235)-(COLUMN(AC5235)-2))))-1),"")</f>
        <v/>
      </c>
      <c r="M5235" s="13"/>
      <c r="N5235" s="13"/>
      <c r="O5235" s="13"/>
      <c r="P5235" s="26"/>
      <c r="Q5235" s="20"/>
      <c r="R5235" s="13"/>
      <c r="S5235" s="25"/>
      <c r="T5235" s="13"/>
      <c r="U5235" s="13"/>
      <c r="V5235" s="13"/>
      <c r="W5235" s="13"/>
      <c r="X5235" s="21"/>
      <c r="Y5235" s="22"/>
      <c r="Z5235" s="23"/>
      <c r="AA5235" s="23"/>
      <c r="AB5235" s="15"/>
      <c r="AC5235" s="14"/>
      <c r="AD5235" s="18"/>
      <c r="AE5235" s="18"/>
    </row>
    <row r="5236" customFormat="false" ht="15" hidden="false" customHeight="true" outlineLevel="0" collapsed="false">
      <c r="A5236" s="12"/>
      <c r="B5236" s="13"/>
      <c r="C5236" s="14"/>
      <c r="D5236" s="13"/>
      <c r="E5236" s="15"/>
      <c r="F5236" s="15"/>
      <c r="G5236" s="15"/>
      <c r="H5236" s="13"/>
      <c r="I5236" s="13"/>
      <c r="J5236" s="16"/>
      <c r="K5236" s="16"/>
      <c r="L5236" s="17" t="str">
        <f aca="false" t="array" ref="L5236:L5236">IFERROR(INDEX(AC5236:AE5236,IF(COUNTA(AC5236:AE5236)=0,"",MAX((AC5236:AE5236&lt;&gt;"")*(COLUMN(AC5236:AE5236)-(COLUMN(AC5236)-2))))-1),"")</f>
        <v/>
      </c>
      <c r="M5236" s="13"/>
      <c r="N5236" s="13"/>
      <c r="O5236" s="13"/>
      <c r="P5236" s="26"/>
      <c r="Q5236" s="20"/>
      <c r="R5236" s="13"/>
      <c r="S5236" s="25"/>
      <c r="T5236" s="13"/>
      <c r="U5236" s="13"/>
      <c r="V5236" s="13"/>
      <c r="W5236" s="13"/>
      <c r="X5236" s="21"/>
      <c r="Y5236" s="22"/>
      <c r="Z5236" s="23"/>
      <c r="AA5236" s="23"/>
      <c r="AB5236" s="15"/>
      <c r="AC5236" s="14"/>
      <c r="AD5236" s="18"/>
      <c r="AE5236" s="18"/>
    </row>
    <row r="5237" customFormat="false" ht="15" hidden="false" customHeight="true" outlineLevel="0" collapsed="false">
      <c r="A5237" s="12"/>
      <c r="B5237" s="13"/>
      <c r="C5237" s="14"/>
      <c r="D5237" s="13"/>
      <c r="E5237" s="15"/>
      <c r="F5237" s="15"/>
      <c r="G5237" s="15"/>
      <c r="H5237" s="13"/>
      <c r="I5237" s="13"/>
      <c r="J5237" s="16"/>
      <c r="K5237" s="16"/>
      <c r="L5237" s="17" t="str">
        <f aca="false" t="array" ref="L5237:L5237">IFERROR(INDEX(AC5237:AE5237,IF(COUNTA(AC5237:AE5237)=0,"",MAX((AC5237:AE5237&lt;&gt;"")*(COLUMN(AC5237:AE5237)-(COLUMN(AC5237)-2))))-1),"")</f>
        <v/>
      </c>
      <c r="M5237" s="13"/>
      <c r="N5237" s="13"/>
      <c r="O5237" s="13"/>
      <c r="P5237" s="26"/>
      <c r="Q5237" s="20"/>
      <c r="R5237" s="13"/>
      <c r="S5237" s="25"/>
      <c r="T5237" s="13"/>
      <c r="U5237" s="13"/>
      <c r="V5237" s="13"/>
      <c r="W5237" s="13"/>
      <c r="X5237" s="21"/>
      <c r="Y5237" s="22"/>
      <c r="Z5237" s="23"/>
      <c r="AA5237" s="23"/>
      <c r="AB5237" s="15"/>
      <c r="AC5237" s="14"/>
      <c r="AD5237" s="18"/>
      <c r="AE5237" s="18"/>
    </row>
    <row r="5238" customFormat="false" ht="15" hidden="false" customHeight="true" outlineLevel="0" collapsed="false">
      <c r="A5238" s="12"/>
      <c r="B5238" s="13"/>
      <c r="C5238" s="14"/>
      <c r="D5238" s="13"/>
      <c r="E5238" s="15"/>
      <c r="F5238" s="15"/>
      <c r="G5238" s="15"/>
      <c r="H5238" s="13"/>
      <c r="I5238" s="13"/>
      <c r="J5238" s="16"/>
      <c r="K5238" s="16"/>
      <c r="L5238" s="17" t="str">
        <f aca="false" t="array" ref="L5238:L5238">IFERROR(INDEX(AC5238:AE5238,IF(COUNTA(AC5238:AE5238)=0,"",MAX((AC5238:AE5238&lt;&gt;"")*(COLUMN(AC5238:AE5238)-(COLUMN(AC5238)-2))))-1),"")</f>
        <v/>
      </c>
      <c r="M5238" s="13"/>
      <c r="N5238" s="13"/>
      <c r="O5238" s="13"/>
      <c r="P5238" s="26"/>
      <c r="Q5238" s="20"/>
      <c r="R5238" s="13"/>
      <c r="S5238" s="25"/>
      <c r="T5238" s="13"/>
      <c r="U5238" s="13"/>
      <c r="V5238" s="13"/>
      <c r="W5238" s="13"/>
      <c r="X5238" s="21"/>
      <c r="Y5238" s="22"/>
      <c r="Z5238" s="23"/>
      <c r="AA5238" s="23"/>
      <c r="AB5238" s="15"/>
      <c r="AC5238" s="14"/>
      <c r="AD5238" s="18"/>
      <c r="AE5238" s="18"/>
    </row>
    <row r="5239" customFormat="false" ht="15" hidden="false" customHeight="true" outlineLevel="0" collapsed="false">
      <c r="A5239" s="12"/>
      <c r="B5239" s="13"/>
      <c r="C5239" s="14"/>
      <c r="D5239" s="13"/>
      <c r="E5239" s="15"/>
      <c r="F5239" s="15"/>
      <c r="G5239" s="15"/>
      <c r="H5239" s="13"/>
      <c r="I5239" s="13"/>
      <c r="J5239" s="16"/>
      <c r="K5239" s="16"/>
      <c r="L5239" s="17" t="str">
        <f aca="false" t="array" ref="L5239:L5239">IFERROR(INDEX(AC5239:AE5239,IF(COUNTA(AC5239:AE5239)=0,"",MAX((AC5239:AE5239&lt;&gt;"")*(COLUMN(AC5239:AE5239)-(COLUMN(AC5239)-2))))-1),"")</f>
        <v/>
      </c>
      <c r="M5239" s="13"/>
      <c r="N5239" s="13"/>
      <c r="O5239" s="13"/>
      <c r="P5239" s="26"/>
      <c r="Q5239" s="20"/>
      <c r="R5239" s="13"/>
      <c r="S5239" s="25"/>
      <c r="T5239" s="13"/>
      <c r="U5239" s="13"/>
      <c r="V5239" s="13"/>
      <c r="W5239" s="13"/>
      <c r="X5239" s="21"/>
      <c r="Y5239" s="22"/>
      <c r="Z5239" s="23"/>
      <c r="AA5239" s="23"/>
      <c r="AB5239" s="15"/>
      <c r="AC5239" s="14"/>
      <c r="AD5239" s="18"/>
      <c r="AE5239" s="18"/>
    </row>
    <row r="5240" customFormat="false" ht="15" hidden="false" customHeight="true" outlineLevel="0" collapsed="false">
      <c r="A5240" s="12"/>
      <c r="B5240" s="13"/>
      <c r="C5240" s="14"/>
      <c r="D5240" s="13"/>
      <c r="E5240" s="15"/>
      <c r="F5240" s="15"/>
      <c r="G5240" s="15"/>
      <c r="H5240" s="13"/>
      <c r="I5240" s="13"/>
      <c r="J5240" s="16"/>
      <c r="K5240" s="16"/>
      <c r="L5240" s="17" t="str">
        <f aca="false" t="array" ref="L5240:L5240">IFERROR(INDEX(AC5240:AE5240,IF(COUNTA(AC5240:AE5240)=0,"",MAX((AC5240:AE5240&lt;&gt;"")*(COLUMN(AC5240:AE5240)-(COLUMN(AC5240)-2))))-1),"")</f>
        <v/>
      </c>
      <c r="M5240" s="13"/>
      <c r="N5240" s="13"/>
      <c r="O5240" s="13"/>
      <c r="P5240" s="26"/>
      <c r="Q5240" s="20"/>
      <c r="R5240" s="13"/>
      <c r="S5240" s="25"/>
      <c r="T5240" s="13"/>
      <c r="U5240" s="13"/>
      <c r="V5240" s="13"/>
      <c r="W5240" s="13"/>
      <c r="X5240" s="21"/>
      <c r="Y5240" s="22"/>
      <c r="Z5240" s="23"/>
      <c r="AA5240" s="23"/>
      <c r="AB5240" s="15"/>
      <c r="AC5240" s="14"/>
      <c r="AD5240" s="18"/>
      <c r="AE5240" s="18"/>
    </row>
    <row r="5241" customFormat="false" ht="15" hidden="false" customHeight="true" outlineLevel="0" collapsed="false">
      <c r="A5241" s="12"/>
      <c r="B5241" s="13"/>
      <c r="C5241" s="14"/>
      <c r="D5241" s="13"/>
      <c r="E5241" s="15"/>
      <c r="F5241" s="15"/>
      <c r="G5241" s="15"/>
      <c r="H5241" s="13"/>
      <c r="I5241" s="13"/>
      <c r="J5241" s="16"/>
      <c r="K5241" s="16"/>
      <c r="L5241" s="17" t="str">
        <f aca="false" t="array" ref="L5241:L5241">IFERROR(INDEX(AC5241:AE5241,IF(COUNTA(AC5241:AE5241)=0,"",MAX((AC5241:AE5241&lt;&gt;"")*(COLUMN(AC5241:AE5241)-(COLUMN(AC5241)-2))))-1),"")</f>
        <v/>
      </c>
      <c r="M5241" s="13"/>
      <c r="N5241" s="13"/>
      <c r="O5241" s="13"/>
      <c r="P5241" s="26"/>
      <c r="Q5241" s="20"/>
      <c r="R5241" s="13"/>
      <c r="S5241" s="25"/>
      <c r="T5241" s="13"/>
      <c r="U5241" s="13"/>
      <c r="V5241" s="13"/>
      <c r="W5241" s="13"/>
      <c r="X5241" s="21"/>
      <c r="Y5241" s="22"/>
      <c r="Z5241" s="23"/>
      <c r="AA5241" s="23"/>
      <c r="AB5241" s="15"/>
      <c r="AC5241" s="14"/>
      <c r="AD5241" s="18"/>
      <c r="AE5241" s="18"/>
    </row>
    <row r="5242" customFormat="false" ht="15" hidden="false" customHeight="true" outlineLevel="0" collapsed="false">
      <c r="A5242" s="12"/>
      <c r="B5242" s="13"/>
      <c r="C5242" s="14"/>
      <c r="D5242" s="13"/>
      <c r="E5242" s="15"/>
      <c r="F5242" s="15"/>
      <c r="G5242" s="15"/>
      <c r="H5242" s="13"/>
      <c r="I5242" s="13"/>
      <c r="J5242" s="16"/>
      <c r="K5242" s="16"/>
      <c r="L5242" s="17" t="str">
        <f aca="false" t="array" ref="L5242:L5242">IFERROR(INDEX(AC5242:AE5242,IF(COUNTA(AC5242:AE5242)=0,"",MAX((AC5242:AE5242&lt;&gt;"")*(COLUMN(AC5242:AE5242)-(COLUMN(AC5242)-2))))-1),"")</f>
        <v/>
      </c>
      <c r="M5242" s="13"/>
      <c r="N5242" s="13"/>
      <c r="O5242" s="13"/>
      <c r="P5242" s="26"/>
      <c r="Q5242" s="20"/>
      <c r="R5242" s="13"/>
      <c r="S5242" s="25"/>
      <c r="T5242" s="13"/>
      <c r="U5242" s="13"/>
      <c r="V5242" s="13"/>
      <c r="W5242" s="13"/>
      <c r="X5242" s="21"/>
      <c r="Y5242" s="22"/>
      <c r="Z5242" s="23"/>
      <c r="AA5242" s="23"/>
      <c r="AB5242" s="15"/>
      <c r="AC5242" s="14"/>
      <c r="AD5242" s="18"/>
      <c r="AE5242" s="18"/>
    </row>
    <row r="5243" customFormat="false" ht="15" hidden="false" customHeight="true" outlineLevel="0" collapsed="false">
      <c r="A5243" s="12"/>
      <c r="B5243" s="13"/>
      <c r="C5243" s="14"/>
      <c r="D5243" s="13"/>
      <c r="E5243" s="15"/>
      <c r="F5243" s="15"/>
      <c r="G5243" s="15"/>
      <c r="H5243" s="13"/>
      <c r="I5243" s="13"/>
      <c r="J5243" s="16"/>
      <c r="K5243" s="16"/>
      <c r="L5243" s="17" t="str">
        <f aca="false" t="array" ref="L5243:L5243">IFERROR(INDEX(AC5243:AE5243,IF(COUNTA(AC5243:AE5243)=0,"",MAX((AC5243:AE5243&lt;&gt;"")*(COLUMN(AC5243:AE5243)-(COLUMN(AC5243)-2))))-1),"")</f>
        <v/>
      </c>
      <c r="M5243" s="13"/>
      <c r="N5243" s="13"/>
      <c r="O5243" s="13"/>
      <c r="P5243" s="26"/>
      <c r="Q5243" s="20"/>
      <c r="R5243" s="13"/>
      <c r="S5243" s="25"/>
      <c r="T5243" s="13"/>
      <c r="U5243" s="13"/>
      <c r="V5243" s="13"/>
      <c r="W5243" s="13"/>
      <c r="X5243" s="21"/>
      <c r="Y5243" s="22"/>
      <c r="Z5243" s="23"/>
      <c r="AA5243" s="23"/>
      <c r="AB5243" s="15"/>
      <c r="AC5243" s="14"/>
      <c r="AD5243" s="18"/>
      <c r="AE5243" s="18"/>
    </row>
    <row r="5244" customFormat="false" ht="15" hidden="false" customHeight="true" outlineLevel="0" collapsed="false">
      <c r="A5244" s="12"/>
      <c r="B5244" s="13"/>
      <c r="C5244" s="14"/>
      <c r="D5244" s="13"/>
      <c r="E5244" s="15"/>
      <c r="F5244" s="15"/>
      <c r="G5244" s="15"/>
      <c r="H5244" s="13"/>
      <c r="I5244" s="13"/>
      <c r="J5244" s="16"/>
      <c r="K5244" s="16"/>
      <c r="L5244" s="17" t="str">
        <f aca="false" t="array" ref="L5244:L5244">IFERROR(INDEX(AC5244:AE5244,IF(COUNTA(AC5244:AE5244)=0,"",MAX((AC5244:AE5244&lt;&gt;"")*(COLUMN(AC5244:AE5244)-(COLUMN(AC5244)-2))))-1),"")</f>
        <v/>
      </c>
      <c r="M5244" s="13"/>
      <c r="N5244" s="13"/>
      <c r="O5244" s="13"/>
      <c r="P5244" s="26"/>
      <c r="Q5244" s="20"/>
      <c r="R5244" s="13"/>
      <c r="S5244" s="25"/>
      <c r="T5244" s="13"/>
      <c r="U5244" s="13"/>
      <c r="V5244" s="13"/>
      <c r="W5244" s="13"/>
      <c r="X5244" s="21"/>
      <c r="Y5244" s="22"/>
      <c r="Z5244" s="23"/>
      <c r="AA5244" s="23"/>
      <c r="AB5244" s="15"/>
      <c r="AC5244" s="14"/>
      <c r="AD5244" s="18"/>
      <c r="AE5244" s="18"/>
    </row>
    <row r="5245" customFormat="false" ht="15" hidden="false" customHeight="true" outlineLevel="0" collapsed="false">
      <c r="A5245" s="12"/>
      <c r="B5245" s="13"/>
      <c r="C5245" s="14"/>
      <c r="D5245" s="13"/>
      <c r="E5245" s="15"/>
      <c r="F5245" s="15"/>
      <c r="G5245" s="15"/>
      <c r="H5245" s="13"/>
      <c r="I5245" s="13"/>
      <c r="J5245" s="16"/>
      <c r="K5245" s="16"/>
      <c r="L5245" s="17" t="str">
        <f aca="false" t="array" ref="L5245:L5245">IFERROR(INDEX(AC5245:AE5245,IF(COUNTA(AC5245:AE5245)=0,"",MAX((AC5245:AE5245&lt;&gt;"")*(COLUMN(AC5245:AE5245)-(COLUMN(AC5245)-2))))-1),"")</f>
        <v/>
      </c>
      <c r="M5245" s="13"/>
      <c r="N5245" s="13"/>
      <c r="O5245" s="13"/>
      <c r="P5245" s="26"/>
      <c r="Q5245" s="20"/>
      <c r="R5245" s="13"/>
      <c r="S5245" s="25"/>
      <c r="T5245" s="13"/>
      <c r="U5245" s="13"/>
      <c r="V5245" s="13"/>
      <c r="W5245" s="13"/>
      <c r="X5245" s="21"/>
      <c r="Y5245" s="22"/>
      <c r="Z5245" s="23"/>
      <c r="AA5245" s="23"/>
      <c r="AB5245" s="15"/>
      <c r="AC5245" s="14"/>
      <c r="AD5245" s="18"/>
      <c r="AE5245" s="18"/>
    </row>
    <row r="5246" customFormat="false" ht="15" hidden="false" customHeight="true" outlineLevel="0" collapsed="false">
      <c r="A5246" s="12"/>
      <c r="B5246" s="13"/>
      <c r="C5246" s="14"/>
      <c r="D5246" s="13"/>
      <c r="E5246" s="15"/>
      <c r="F5246" s="15"/>
      <c r="G5246" s="15"/>
      <c r="H5246" s="13"/>
      <c r="I5246" s="13"/>
      <c r="J5246" s="16"/>
      <c r="K5246" s="16"/>
      <c r="L5246" s="17" t="str">
        <f aca="false" t="array" ref="L5246:L5246">IFERROR(INDEX(AC5246:AE5246,IF(COUNTA(AC5246:AE5246)=0,"",MAX((AC5246:AE5246&lt;&gt;"")*(COLUMN(AC5246:AE5246)-(COLUMN(AC5246)-2))))-1),"")</f>
        <v/>
      </c>
      <c r="M5246" s="13"/>
      <c r="N5246" s="13"/>
      <c r="O5246" s="13"/>
      <c r="P5246" s="26"/>
      <c r="Q5246" s="20"/>
      <c r="R5246" s="13"/>
      <c r="S5246" s="25"/>
      <c r="T5246" s="13"/>
      <c r="U5246" s="13"/>
      <c r="V5246" s="13"/>
      <c r="W5246" s="13"/>
      <c r="X5246" s="21"/>
      <c r="Y5246" s="22"/>
      <c r="Z5246" s="23"/>
      <c r="AA5246" s="23"/>
      <c r="AB5246" s="15"/>
      <c r="AC5246" s="14"/>
      <c r="AD5246" s="18"/>
      <c r="AE5246" s="18"/>
    </row>
    <row r="5247" customFormat="false" ht="15" hidden="false" customHeight="true" outlineLevel="0" collapsed="false">
      <c r="A5247" s="12"/>
      <c r="B5247" s="13"/>
      <c r="C5247" s="14"/>
      <c r="D5247" s="13"/>
      <c r="E5247" s="15"/>
      <c r="F5247" s="15"/>
      <c r="G5247" s="15"/>
      <c r="H5247" s="13"/>
      <c r="I5247" s="13"/>
      <c r="J5247" s="16"/>
      <c r="K5247" s="16"/>
      <c r="L5247" s="17" t="str">
        <f aca="false" t="array" ref="L5247:L5247">IFERROR(INDEX(AC5247:AE5247,IF(COUNTA(AC5247:AE5247)=0,"",MAX((AC5247:AE5247&lt;&gt;"")*(COLUMN(AC5247:AE5247)-(COLUMN(AC5247)-2))))-1),"")</f>
        <v/>
      </c>
      <c r="M5247" s="13"/>
      <c r="N5247" s="13"/>
      <c r="O5247" s="13"/>
      <c r="P5247" s="26"/>
      <c r="Q5247" s="20"/>
      <c r="R5247" s="13"/>
      <c r="S5247" s="25"/>
      <c r="T5247" s="13"/>
      <c r="U5247" s="13"/>
      <c r="V5247" s="13"/>
      <c r="W5247" s="13"/>
      <c r="X5247" s="21"/>
      <c r="Y5247" s="22"/>
      <c r="Z5247" s="23"/>
      <c r="AA5247" s="23"/>
      <c r="AB5247" s="15"/>
      <c r="AC5247" s="14"/>
      <c r="AD5247" s="18"/>
      <c r="AE5247" s="18"/>
    </row>
    <row r="5248" customFormat="false" ht="15" hidden="false" customHeight="true" outlineLevel="0" collapsed="false">
      <c r="A5248" s="12"/>
      <c r="B5248" s="13"/>
      <c r="C5248" s="14"/>
      <c r="D5248" s="13"/>
      <c r="E5248" s="15"/>
      <c r="F5248" s="15"/>
      <c r="G5248" s="15"/>
      <c r="H5248" s="13"/>
      <c r="I5248" s="13"/>
      <c r="J5248" s="16"/>
      <c r="K5248" s="16"/>
      <c r="L5248" s="17" t="str">
        <f aca="false" t="array" ref="L5248:L5248">IFERROR(INDEX(AC5248:AE5248,IF(COUNTA(AC5248:AE5248)=0,"",MAX((AC5248:AE5248&lt;&gt;"")*(COLUMN(AC5248:AE5248)-(COLUMN(AC5248)-2))))-1),"")</f>
        <v/>
      </c>
      <c r="M5248" s="13"/>
      <c r="N5248" s="13"/>
      <c r="O5248" s="13"/>
      <c r="P5248" s="26"/>
      <c r="Q5248" s="20"/>
      <c r="R5248" s="13"/>
      <c r="S5248" s="25"/>
      <c r="T5248" s="13"/>
      <c r="U5248" s="13"/>
      <c r="V5248" s="13"/>
      <c r="W5248" s="13"/>
      <c r="X5248" s="21"/>
      <c r="Y5248" s="22"/>
      <c r="Z5248" s="23"/>
      <c r="AA5248" s="23"/>
      <c r="AB5248" s="15"/>
      <c r="AC5248" s="14"/>
      <c r="AD5248" s="18"/>
      <c r="AE5248" s="18"/>
    </row>
    <row r="5249" customFormat="false" ht="15" hidden="false" customHeight="true" outlineLevel="0" collapsed="false">
      <c r="A5249" s="12"/>
      <c r="B5249" s="13"/>
      <c r="C5249" s="14"/>
      <c r="D5249" s="13"/>
      <c r="E5249" s="15"/>
      <c r="F5249" s="15"/>
      <c r="G5249" s="15"/>
      <c r="H5249" s="13"/>
      <c r="I5249" s="13"/>
      <c r="J5249" s="16"/>
      <c r="K5249" s="16"/>
      <c r="L5249" s="17" t="str">
        <f aca="false" t="array" ref="L5249:L5249">IFERROR(INDEX(AC5249:AE5249,IF(COUNTA(AC5249:AE5249)=0,"",MAX((AC5249:AE5249&lt;&gt;"")*(COLUMN(AC5249:AE5249)-(COLUMN(AC5249)-2))))-1),"")</f>
        <v/>
      </c>
      <c r="M5249" s="13"/>
      <c r="N5249" s="13"/>
      <c r="O5249" s="13"/>
      <c r="P5249" s="26"/>
      <c r="Q5249" s="20"/>
      <c r="R5249" s="13"/>
      <c r="S5249" s="25"/>
      <c r="T5249" s="13"/>
      <c r="U5249" s="13"/>
      <c r="V5249" s="13"/>
      <c r="W5249" s="13"/>
      <c r="X5249" s="21"/>
      <c r="Y5249" s="22"/>
      <c r="Z5249" s="23"/>
      <c r="AA5249" s="23"/>
      <c r="AB5249" s="15"/>
      <c r="AC5249" s="14"/>
      <c r="AD5249" s="18"/>
      <c r="AE5249" s="18"/>
    </row>
    <row r="5250" customFormat="false" ht="15" hidden="false" customHeight="true" outlineLevel="0" collapsed="false">
      <c r="A5250" s="12"/>
      <c r="B5250" s="13"/>
      <c r="C5250" s="14"/>
      <c r="D5250" s="13"/>
      <c r="E5250" s="15"/>
      <c r="F5250" s="15"/>
      <c r="G5250" s="15"/>
      <c r="H5250" s="13"/>
      <c r="I5250" s="13"/>
      <c r="J5250" s="16"/>
      <c r="K5250" s="16"/>
      <c r="L5250" s="17" t="str">
        <f aca="false" t="array" ref="L5250:L5250">IFERROR(INDEX(AC5250:AE5250,IF(COUNTA(AC5250:AE5250)=0,"",MAX((AC5250:AE5250&lt;&gt;"")*(COLUMN(AC5250:AE5250)-(COLUMN(AC5250)-2))))-1),"")</f>
        <v/>
      </c>
      <c r="M5250" s="13"/>
      <c r="N5250" s="13"/>
      <c r="O5250" s="13"/>
      <c r="P5250" s="26"/>
      <c r="Q5250" s="20"/>
      <c r="R5250" s="13"/>
      <c r="S5250" s="25"/>
      <c r="T5250" s="13"/>
      <c r="U5250" s="13"/>
      <c r="V5250" s="13"/>
      <c r="W5250" s="13"/>
      <c r="X5250" s="21"/>
      <c r="Y5250" s="22"/>
      <c r="Z5250" s="23"/>
      <c r="AA5250" s="23"/>
      <c r="AB5250" s="15"/>
      <c r="AC5250" s="14"/>
      <c r="AD5250" s="18"/>
      <c r="AE5250" s="18"/>
    </row>
    <row r="5251" customFormat="false" ht="15" hidden="false" customHeight="true" outlineLevel="0" collapsed="false">
      <c r="A5251" s="12"/>
      <c r="B5251" s="13"/>
      <c r="C5251" s="14"/>
      <c r="D5251" s="13"/>
      <c r="E5251" s="15"/>
      <c r="F5251" s="15"/>
      <c r="G5251" s="15"/>
      <c r="H5251" s="13"/>
      <c r="I5251" s="13"/>
      <c r="J5251" s="16"/>
      <c r="K5251" s="16"/>
      <c r="L5251" s="17" t="str">
        <f aca="false" t="array" ref="L5251:L5251">IFERROR(INDEX(AC5251:AE5251,IF(COUNTA(AC5251:AE5251)=0,"",MAX((AC5251:AE5251&lt;&gt;"")*(COLUMN(AC5251:AE5251)-(COLUMN(AC5251)-2))))-1),"")</f>
        <v/>
      </c>
      <c r="M5251" s="13"/>
      <c r="N5251" s="13"/>
      <c r="O5251" s="13"/>
      <c r="P5251" s="26"/>
      <c r="Q5251" s="20"/>
      <c r="R5251" s="13"/>
      <c r="S5251" s="25"/>
      <c r="T5251" s="13"/>
      <c r="U5251" s="13"/>
      <c r="V5251" s="13"/>
      <c r="W5251" s="13"/>
      <c r="X5251" s="21"/>
      <c r="Y5251" s="22"/>
      <c r="Z5251" s="23"/>
      <c r="AA5251" s="23"/>
      <c r="AB5251" s="15"/>
      <c r="AC5251" s="14"/>
      <c r="AD5251" s="18"/>
      <c r="AE5251" s="18"/>
    </row>
    <row r="5252" customFormat="false" ht="15" hidden="false" customHeight="true" outlineLevel="0" collapsed="false">
      <c r="A5252" s="12"/>
      <c r="B5252" s="13"/>
      <c r="C5252" s="14"/>
      <c r="D5252" s="13"/>
      <c r="E5252" s="15"/>
      <c r="F5252" s="15"/>
      <c r="G5252" s="15"/>
      <c r="H5252" s="13"/>
      <c r="I5252" s="13"/>
      <c r="J5252" s="16"/>
      <c r="K5252" s="16"/>
      <c r="L5252" s="17" t="str">
        <f aca="false" t="array" ref="L5252:L5252">IFERROR(INDEX(AC5252:AE5252,IF(COUNTA(AC5252:AE5252)=0,"",MAX((AC5252:AE5252&lt;&gt;"")*(COLUMN(AC5252:AE5252)-(COLUMN(AC5252)-2))))-1),"")</f>
        <v/>
      </c>
      <c r="M5252" s="13"/>
      <c r="N5252" s="13"/>
      <c r="O5252" s="13"/>
      <c r="P5252" s="26"/>
      <c r="Q5252" s="20"/>
      <c r="R5252" s="13"/>
      <c r="S5252" s="25"/>
      <c r="T5252" s="13"/>
      <c r="U5252" s="13"/>
      <c r="V5252" s="13"/>
      <c r="W5252" s="13"/>
      <c r="X5252" s="21"/>
      <c r="Y5252" s="22"/>
      <c r="Z5252" s="23"/>
      <c r="AA5252" s="23"/>
      <c r="AB5252" s="15"/>
      <c r="AC5252" s="14"/>
      <c r="AD5252" s="18"/>
      <c r="AE5252" s="18"/>
    </row>
    <row r="5253" customFormat="false" ht="15" hidden="false" customHeight="true" outlineLevel="0" collapsed="false">
      <c r="A5253" s="12"/>
      <c r="B5253" s="13"/>
      <c r="C5253" s="14"/>
      <c r="D5253" s="13"/>
      <c r="E5253" s="15"/>
      <c r="F5253" s="15"/>
      <c r="G5253" s="15"/>
      <c r="H5253" s="13"/>
      <c r="I5253" s="13"/>
      <c r="J5253" s="16"/>
      <c r="K5253" s="16"/>
      <c r="L5253" s="17" t="str">
        <f aca="false" t="array" ref="L5253:L5253">IFERROR(INDEX(AC5253:AE5253,IF(COUNTA(AC5253:AE5253)=0,"",MAX((AC5253:AE5253&lt;&gt;"")*(COLUMN(AC5253:AE5253)-(COLUMN(AC5253)-2))))-1),"")</f>
        <v/>
      </c>
      <c r="M5253" s="13"/>
      <c r="N5253" s="13"/>
      <c r="O5253" s="13"/>
      <c r="P5253" s="26"/>
      <c r="Q5253" s="20"/>
      <c r="R5253" s="13"/>
      <c r="S5253" s="25"/>
      <c r="T5253" s="13"/>
      <c r="U5253" s="13"/>
      <c r="V5253" s="13"/>
      <c r="W5253" s="13"/>
      <c r="X5253" s="21"/>
      <c r="Y5253" s="22"/>
      <c r="Z5253" s="23"/>
      <c r="AA5253" s="23"/>
      <c r="AB5253" s="15"/>
      <c r="AC5253" s="14"/>
      <c r="AD5253" s="18"/>
      <c r="AE5253" s="18"/>
    </row>
    <row r="5254" customFormat="false" ht="15" hidden="false" customHeight="true" outlineLevel="0" collapsed="false">
      <c r="A5254" s="12"/>
      <c r="B5254" s="13"/>
      <c r="C5254" s="14"/>
      <c r="D5254" s="13"/>
      <c r="E5254" s="15"/>
      <c r="F5254" s="15"/>
      <c r="G5254" s="15"/>
      <c r="H5254" s="13"/>
      <c r="I5254" s="13"/>
      <c r="J5254" s="16"/>
      <c r="K5254" s="16"/>
      <c r="L5254" s="17" t="str">
        <f aca="false" t="array" ref="L5254:L5254">IFERROR(INDEX(AC5254:AE5254,IF(COUNTA(AC5254:AE5254)=0,"",MAX((AC5254:AE5254&lt;&gt;"")*(COLUMN(AC5254:AE5254)-(COLUMN(AC5254)-2))))-1),"")</f>
        <v/>
      </c>
      <c r="M5254" s="13"/>
      <c r="N5254" s="13"/>
      <c r="O5254" s="13"/>
      <c r="P5254" s="26"/>
      <c r="Q5254" s="20"/>
      <c r="R5254" s="13"/>
      <c r="S5254" s="25"/>
      <c r="T5254" s="13"/>
      <c r="U5254" s="13"/>
      <c r="V5254" s="13"/>
      <c r="W5254" s="13"/>
      <c r="X5254" s="21"/>
      <c r="Y5254" s="22"/>
      <c r="Z5254" s="23"/>
      <c r="AA5254" s="23"/>
      <c r="AB5254" s="15"/>
      <c r="AC5254" s="14"/>
      <c r="AD5254" s="18"/>
      <c r="AE5254" s="18"/>
    </row>
    <row r="5255" customFormat="false" ht="15" hidden="false" customHeight="true" outlineLevel="0" collapsed="false">
      <c r="A5255" s="12"/>
      <c r="B5255" s="13"/>
      <c r="C5255" s="14"/>
      <c r="D5255" s="13"/>
      <c r="E5255" s="15"/>
      <c r="F5255" s="15"/>
      <c r="G5255" s="15"/>
      <c r="H5255" s="13"/>
      <c r="I5255" s="13"/>
      <c r="J5255" s="16"/>
      <c r="K5255" s="16"/>
      <c r="L5255" s="17" t="str">
        <f aca="false" t="array" ref="L5255:L5255">IFERROR(INDEX(AC5255:AE5255,IF(COUNTA(AC5255:AE5255)=0,"",MAX((AC5255:AE5255&lt;&gt;"")*(COLUMN(AC5255:AE5255)-(COLUMN(AC5255)-2))))-1),"")</f>
        <v/>
      </c>
      <c r="M5255" s="13"/>
      <c r="N5255" s="13"/>
      <c r="O5255" s="13"/>
      <c r="P5255" s="26"/>
      <c r="Q5255" s="20"/>
      <c r="R5255" s="13"/>
      <c r="S5255" s="25"/>
      <c r="T5255" s="13"/>
      <c r="U5255" s="13"/>
      <c r="V5255" s="13"/>
      <c r="W5255" s="13"/>
      <c r="X5255" s="21"/>
      <c r="Y5255" s="22"/>
      <c r="Z5255" s="23"/>
      <c r="AA5255" s="23"/>
      <c r="AB5255" s="15"/>
      <c r="AC5255" s="14"/>
      <c r="AD5255" s="18"/>
      <c r="AE5255" s="18"/>
    </row>
    <row r="5256" customFormat="false" ht="15" hidden="false" customHeight="true" outlineLevel="0" collapsed="false">
      <c r="A5256" s="12"/>
      <c r="B5256" s="13"/>
      <c r="C5256" s="14"/>
      <c r="D5256" s="13"/>
      <c r="E5256" s="15"/>
      <c r="F5256" s="15"/>
      <c r="G5256" s="15"/>
      <c r="H5256" s="13"/>
      <c r="I5256" s="13"/>
      <c r="J5256" s="16"/>
      <c r="K5256" s="16"/>
      <c r="L5256" s="17" t="str">
        <f aca="false" t="array" ref="L5256:L5256">IFERROR(INDEX(AC5256:AE5256,IF(COUNTA(AC5256:AE5256)=0,"",MAX((AC5256:AE5256&lt;&gt;"")*(COLUMN(AC5256:AE5256)-(COLUMN(AC5256)-2))))-1),"")</f>
        <v/>
      </c>
      <c r="M5256" s="13"/>
      <c r="N5256" s="13"/>
      <c r="O5256" s="13"/>
      <c r="P5256" s="26"/>
      <c r="Q5256" s="20"/>
      <c r="R5256" s="13"/>
      <c r="S5256" s="25"/>
      <c r="T5256" s="13"/>
      <c r="U5256" s="13"/>
      <c r="V5256" s="13"/>
      <c r="W5256" s="13"/>
      <c r="X5256" s="21"/>
      <c r="Y5256" s="22"/>
      <c r="Z5256" s="23"/>
      <c r="AA5256" s="23"/>
      <c r="AB5256" s="15"/>
      <c r="AC5256" s="14"/>
      <c r="AD5256" s="18"/>
      <c r="AE5256" s="18"/>
    </row>
    <row r="5257" customFormat="false" ht="15" hidden="false" customHeight="true" outlineLevel="0" collapsed="false">
      <c r="A5257" s="12"/>
      <c r="B5257" s="13"/>
      <c r="C5257" s="14"/>
      <c r="D5257" s="13"/>
      <c r="E5257" s="15"/>
      <c r="F5257" s="15"/>
      <c r="G5257" s="15"/>
      <c r="H5257" s="13"/>
      <c r="I5257" s="13"/>
      <c r="J5257" s="16"/>
      <c r="K5257" s="16"/>
      <c r="L5257" s="17" t="str">
        <f aca="false" t="array" ref="L5257:L5257">IFERROR(INDEX(AC5257:AE5257,IF(COUNTA(AC5257:AE5257)=0,"",MAX((AC5257:AE5257&lt;&gt;"")*(COLUMN(AC5257:AE5257)-(COLUMN(AC5257)-2))))-1),"")</f>
        <v/>
      </c>
      <c r="M5257" s="13"/>
      <c r="N5257" s="13"/>
      <c r="O5257" s="13"/>
      <c r="P5257" s="26"/>
      <c r="Q5257" s="20"/>
      <c r="R5257" s="13"/>
      <c r="S5257" s="25"/>
      <c r="T5257" s="13"/>
      <c r="U5257" s="13"/>
      <c r="V5257" s="13"/>
      <c r="W5257" s="13"/>
      <c r="X5257" s="21"/>
      <c r="Y5257" s="22"/>
      <c r="Z5257" s="23"/>
      <c r="AA5257" s="23"/>
      <c r="AB5257" s="15"/>
      <c r="AC5257" s="14"/>
      <c r="AD5257" s="18"/>
      <c r="AE5257" s="18"/>
    </row>
    <row r="5258" customFormat="false" ht="15" hidden="false" customHeight="true" outlineLevel="0" collapsed="false">
      <c r="A5258" s="12"/>
      <c r="B5258" s="13"/>
      <c r="C5258" s="14"/>
      <c r="D5258" s="13"/>
      <c r="E5258" s="15"/>
      <c r="F5258" s="15"/>
      <c r="G5258" s="15"/>
      <c r="H5258" s="13"/>
      <c r="I5258" s="13"/>
      <c r="J5258" s="16"/>
      <c r="K5258" s="16"/>
      <c r="L5258" s="17" t="str">
        <f aca="false" t="array" ref="L5258:L5258">IFERROR(INDEX(AC5258:AE5258,IF(COUNTA(AC5258:AE5258)=0,"",MAX((AC5258:AE5258&lt;&gt;"")*(COLUMN(AC5258:AE5258)-(COLUMN(AC5258)-2))))-1),"")</f>
        <v/>
      </c>
      <c r="M5258" s="13"/>
      <c r="N5258" s="13"/>
      <c r="O5258" s="13"/>
      <c r="P5258" s="26"/>
      <c r="Q5258" s="20"/>
      <c r="R5258" s="13"/>
      <c r="S5258" s="25"/>
      <c r="T5258" s="13"/>
      <c r="U5258" s="13"/>
      <c r="V5258" s="13"/>
      <c r="W5258" s="13"/>
      <c r="X5258" s="21"/>
      <c r="Y5258" s="22"/>
      <c r="Z5258" s="23"/>
      <c r="AA5258" s="23"/>
      <c r="AB5258" s="15"/>
      <c r="AC5258" s="14"/>
      <c r="AD5258" s="18"/>
      <c r="AE5258" s="18"/>
    </row>
    <row r="5259" customFormat="false" ht="15" hidden="false" customHeight="true" outlineLevel="0" collapsed="false">
      <c r="A5259" s="12"/>
      <c r="B5259" s="13"/>
      <c r="C5259" s="14"/>
      <c r="D5259" s="13"/>
      <c r="E5259" s="15"/>
      <c r="F5259" s="15"/>
      <c r="G5259" s="15"/>
      <c r="H5259" s="13"/>
      <c r="I5259" s="13"/>
      <c r="J5259" s="16"/>
      <c r="K5259" s="16"/>
      <c r="L5259" s="17" t="str">
        <f aca="false" t="array" ref="L5259:L5259">IFERROR(INDEX(AC5259:AE5259,IF(COUNTA(AC5259:AE5259)=0,"",MAX((AC5259:AE5259&lt;&gt;"")*(COLUMN(AC5259:AE5259)-(COLUMN(AC5259)-2))))-1),"")</f>
        <v/>
      </c>
      <c r="M5259" s="13"/>
      <c r="N5259" s="13"/>
      <c r="O5259" s="13"/>
      <c r="P5259" s="26"/>
      <c r="Q5259" s="20"/>
      <c r="R5259" s="13"/>
      <c r="S5259" s="25"/>
      <c r="T5259" s="13"/>
      <c r="U5259" s="13"/>
      <c r="V5259" s="13"/>
      <c r="W5259" s="13"/>
      <c r="X5259" s="21"/>
      <c r="Y5259" s="22"/>
      <c r="Z5259" s="23"/>
      <c r="AA5259" s="23"/>
      <c r="AB5259" s="15"/>
      <c r="AC5259" s="14"/>
      <c r="AD5259" s="18"/>
      <c r="AE5259" s="18"/>
    </row>
    <row r="5260" customFormat="false" ht="15" hidden="false" customHeight="true" outlineLevel="0" collapsed="false">
      <c r="A5260" s="12"/>
      <c r="B5260" s="13"/>
      <c r="C5260" s="14"/>
      <c r="D5260" s="13"/>
      <c r="E5260" s="15"/>
      <c r="F5260" s="15"/>
      <c r="G5260" s="15"/>
      <c r="H5260" s="13"/>
      <c r="I5260" s="13"/>
      <c r="J5260" s="16"/>
      <c r="K5260" s="16"/>
      <c r="L5260" s="17" t="str">
        <f aca="false" t="array" ref="L5260:L5260">IFERROR(INDEX(AC5260:AE5260,IF(COUNTA(AC5260:AE5260)=0,"",MAX((AC5260:AE5260&lt;&gt;"")*(COLUMN(AC5260:AE5260)-(COLUMN(AC5260)-2))))-1),"")</f>
        <v/>
      </c>
      <c r="M5260" s="13"/>
      <c r="N5260" s="13"/>
      <c r="O5260" s="13"/>
      <c r="P5260" s="26"/>
      <c r="Q5260" s="20"/>
      <c r="R5260" s="13"/>
      <c r="S5260" s="25"/>
      <c r="T5260" s="13"/>
      <c r="U5260" s="13"/>
      <c r="V5260" s="13"/>
      <c r="W5260" s="13"/>
      <c r="X5260" s="21"/>
      <c r="Y5260" s="22"/>
      <c r="Z5260" s="23"/>
      <c r="AA5260" s="23"/>
      <c r="AB5260" s="15"/>
      <c r="AC5260" s="14"/>
      <c r="AD5260" s="18"/>
      <c r="AE5260" s="18"/>
    </row>
    <row r="5261" customFormat="false" ht="15" hidden="false" customHeight="true" outlineLevel="0" collapsed="false">
      <c r="A5261" s="12"/>
      <c r="B5261" s="13"/>
      <c r="C5261" s="14"/>
      <c r="D5261" s="13"/>
      <c r="E5261" s="15"/>
      <c r="F5261" s="15"/>
      <c r="G5261" s="15"/>
      <c r="H5261" s="13"/>
      <c r="I5261" s="13"/>
      <c r="J5261" s="16"/>
      <c r="K5261" s="16"/>
      <c r="L5261" s="17" t="str">
        <f aca="false" t="array" ref="L5261:L5261">IFERROR(INDEX(AC5261:AE5261,IF(COUNTA(AC5261:AE5261)=0,"",MAX((AC5261:AE5261&lt;&gt;"")*(COLUMN(AC5261:AE5261)-(COLUMN(AC5261)-2))))-1),"")</f>
        <v/>
      </c>
      <c r="M5261" s="13"/>
      <c r="N5261" s="13"/>
      <c r="O5261" s="13"/>
      <c r="P5261" s="26"/>
      <c r="Q5261" s="20"/>
      <c r="R5261" s="13"/>
      <c r="S5261" s="25"/>
      <c r="T5261" s="13"/>
      <c r="U5261" s="13"/>
      <c r="V5261" s="13"/>
      <c r="W5261" s="13"/>
      <c r="X5261" s="21"/>
      <c r="Y5261" s="22"/>
      <c r="Z5261" s="23"/>
      <c r="AA5261" s="23"/>
      <c r="AB5261" s="15"/>
      <c r="AC5261" s="14"/>
      <c r="AD5261" s="18"/>
      <c r="AE5261" s="18"/>
    </row>
    <row r="5262" customFormat="false" ht="15" hidden="false" customHeight="true" outlineLevel="0" collapsed="false">
      <c r="A5262" s="12"/>
      <c r="B5262" s="13"/>
      <c r="C5262" s="14"/>
      <c r="D5262" s="13"/>
      <c r="E5262" s="15"/>
      <c r="F5262" s="15"/>
      <c r="G5262" s="15"/>
      <c r="H5262" s="13"/>
      <c r="I5262" s="13"/>
      <c r="J5262" s="16"/>
      <c r="K5262" s="16"/>
      <c r="L5262" s="17" t="str">
        <f aca="false" t="array" ref="L5262:L5262">IFERROR(INDEX(AC5262:AE5262,IF(COUNTA(AC5262:AE5262)=0,"",MAX((AC5262:AE5262&lt;&gt;"")*(COLUMN(AC5262:AE5262)-(COLUMN(AC5262)-2))))-1),"")</f>
        <v/>
      </c>
      <c r="M5262" s="13"/>
      <c r="N5262" s="13"/>
      <c r="O5262" s="13"/>
      <c r="P5262" s="26"/>
      <c r="Q5262" s="20"/>
      <c r="R5262" s="13"/>
      <c r="S5262" s="25"/>
      <c r="T5262" s="13"/>
      <c r="U5262" s="13"/>
      <c r="V5262" s="13"/>
      <c r="W5262" s="13"/>
      <c r="X5262" s="21"/>
      <c r="Y5262" s="22"/>
      <c r="Z5262" s="23"/>
      <c r="AA5262" s="23"/>
      <c r="AB5262" s="15"/>
      <c r="AC5262" s="14"/>
      <c r="AD5262" s="18"/>
      <c r="AE5262" s="18"/>
    </row>
    <row r="5263" customFormat="false" ht="15" hidden="false" customHeight="true" outlineLevel="0" collapsed="false">
      <c r="A5263" s="12"/>
      <c r="B5263" s="13"/>
      <c r="C5263" s="14"/>
      <c r="D5263" s="13"/>
      <c r="E5263" s="15"/>
      <c r="F5263" s="15"/>
      <c r="G5263" s="15"/>
      <c r="H5263" s="13"/>
      <c r="I5263" s="13"/>
      <c r="J5263" s="16"/>
      <c r="K5263" s="16"/>
      <c r="L5263" s="17" t="str">
        <f aca="false" t="array" ref="L5263:L5263">IFERROR(INDEX(AC5263:AE5263,IF(COUNTA(AC5263:AE5263)=0,"",MAX((AC5263:AE5263&lt;&gt;"")*(COLUMN(AC5263:AE5263)-(COLUMN(AC5263)-2))))-1),"")</f>
        <v/>
      </c>
      <c r="M5263" s="13"/>
      <c r="N5263" s="13"/>
      <c r="O5263" s="13"/>
      <c r="P5263" s="26"/>
      <c r="Q5263" s="20"/>
      <c r="R5263" s="13"/>
      <c r="S5263" s="25"/>
      <c r="T5263" s="13"/>
      <c r="U5263" s="13"/>
      <c r="V5263" s="13"/>
      <c r="W5263" s="13"/>
      <c r="X5263" s="21"/>
      <c r="Y5263" s="22"/>
      <c r="Z5263" s="23"/>
      <c r="AA5263" s="23"/>
      <c r="AB5263" s="15"/>
      <c r="AC5263" s="14"/>
      <c r="AD5263" s="18"/>
      <c r="AE5263" s="18"/>
    </row>
    <row r="5264" customFormat="false" ht="15" hidden="false" customHeight="true" outlineLevel="0" collapsed="false">
      <c r="A5264" s="12"/>
      <c r="B5264" s="13"/>
      <c r="C5264" s="14"/>
      <c r="D5264" s="13"/>
      <c r="E5264" s="15"/>
      <c r="F5264" s="15"/>
      <c r="G5264" s="15"/>
      <c r="H5264" s="13"/>
      <c r="I5264" s="13"/>
      <c r="J5264" s="16"/>
      <c r="K5264" s="16"/>
      <c r="L5264" s="17" t="str">
        <f aca="false" t="array" ref="L5264:L5264">IFERROR(INDEX(AC5264:AE5264,IF(COUNTA(AC5264:AE5264)=0,"",MAX((AC5264:AE5264&lt;&gt;"")*(COLUMN(AC5264:AE5264)-(COLUMN(AC5264)-2))))-1),"")</f>
        <v/>
      </c>
      <c r="M5264" s="13"/>
      <c r="N5264" s="13"/>
      <c r="O5264" s="13"/>
      <c r="P5264" s="26"/>
      <c r="Q5264" s="20"/>
      <c r="R5264" s="13"/>
      <c r="S5264" s="25"/>
      <c r="T5264" s="13"/>
      <c r="U5264" s="13"/>
      <c r="V5264" s="13"/>
      <c r="W5264" s="13"/>
      <c r="X5264" s="21"/>
      <c r="Y5264" s="22"/>
      <c r="Z5264" s="23"/>
      <c r="AA5264" s="23"/>
      <c r="AB5264" s="15"/>
      <c r="AC5264" s="14"/>
      <c r="AD5264" s="18"/>
      <c r="AE5264" s="18"/>
    </row>
    <row r="5265" customFormat="false" ht="15" hidden="false" customHeight="true" outlineLevel="0" collapsed="false">
      <c r="A5265" s="12"/>
      <c r="B5265" s="13"/>
      <c r="C5265" s="14"/>
      <c r="D5265" s="13"/>
      <c r="E5265" s="15"/>
      <c r="F5265" s="15"/>
      <c r="G5265" s="15"/>
      <c r="H5265" s="13"/>
      <c r="I5265" s="13"/>
      <c r="J5265" s="16"/>
      <c r="K5265" s="16"/>
      <c r="L5265" s="17" t="str">
        <f aca="false" t="array" ref="L5265:L5265">IFERROR(INDEX(AC5265:AE5265,IF(COUNTA(AC5265:AE5265)=0,"",MAX((AC5265:AE5265&lt;&gt;"")*(COLUMN(AC5265:AE5265)-(COLUMN(AC5265)-2))))-1),"")</f>
        <v/>
      </c>
      <c r="M5265" s="13"/>
      <c r="N5265" s="13"/>
      <c r="O5265" s="13"/>
      <c r="P5265" s="26"/>
      <c r="Q5265" s="20"/>
      <c r="R5265" s="13"/>
      <c r="S5265" s="25"/>
      <c r="T5265" s="13"/>
      <c r="U5265" s="13"/>
      <c r="V5265" s="13"/>
      <c r="W5265" s="13"/>
      <c r="X5265" s="21"/>
      <c r="Y5265" s="22"/>
      <c r="Z5265" s="23"/>
      <c r="AA5265" s="23"/>
      <c r="AB5265" s="15"/>
      <c r="AC5265" s="14"/>
      <c r="AD5265" s="18"/>
      <c r="AE5265" s="18"/>
    </row>
    <row r="5266" customFormat="false" ht="15" hidden="false" customHeight="true" outlineLevel="0" collapsed="false">
      <c r="A5266" s="12"/>
      <c r="B5266" s="13"/>
      <c r="C5266" s="14"/>
      <c r="D5266" s="13"/>
      <c r="E5266" s="15"/>
      <c r="F5266" s="15"/>
      <c r="G5266" s="15"/>
      <c r="H5266" s="13"/>
      <c r="I5266" s="13"/>
      <c r="J5266" s="16"/>
      <c r="K5266" s="16"/>
      <c r="L5266" s="17" t="str">
        <f aca="false" t="array" ref="L5266:L5266">IFERROR(INDEX(AC5266:AE5266,IF(COUNTA(AC5266:AE5266)=0,"",MAX((AC5266:AE5266&lt;&gt;"")*(COLUMN(AC5266:AE5266)-(COLUMN(AC5266)-2))))-1),"")</f>
        <v/>
      </c>
      <c r="M5266" s="13"/>
      <c r="N5266" s="13"/>
      <c r="O5266" s="13"/>
      <c r="P5266" s="26"/>
      <c r="Q5266" s="20"/>
      <c r="R5266" s="13"/>
      <c r="S5266" s="25"/>
      <c r="T5266" s="13"/>
      <c r="U5266" s="13"/>
      <c r="V5266" s="13"/>
      <c r="W5266" s="13"/>
      <c r="X5266" s="21"/>
      <c r="Y5266" s="22"/>
      <c r="Z5266" s="23"/>
      <c r="AA5266" s="23"/>
      <c r="AB5266" s="15"/>
      <c r="AC5266" s="14"/>
      <c r="AD5266" s="18"/>
      <c r="AE5266" s="18"/>
    </row>
    <row r="5267" customFormat="false" ht="15" hidden="false" customHeight="true" outlineLevel="0" collapsed="false">
      <c r="A5267" s="12"/>
      <c r="B5267" s="13"/>
      <c r="C5267" s="14"/>
      <c r="D5267" s="13"/>
      <c r="E5267" s="15"/>
      <c r="F5267" s="15"/>
      <c r="G5267" s="15"/>
      <c r="H5267" s="13"/>
      <c r="I5267" s="13"/>
      <c r="J5267" s="16"/>
      <c r="K5267" s="16"/>
      <c r="L5267" s="17" t="str">
        <f aca="false" t="array" ref="L5267:L5267">IFERROR(INDEX(AC5267:AE5267,IF(COUNTA(AC5267:AE5267)=0,"",MAX((AC5267:AE5267&lt;&gt;"")*(COLUMN(AC5267:AE5267)-(COLUMN(AC5267)-2))))-1),"")</f>
        <v/>
      </c>
      <c r="M5267" s="13"/>
      <c r="N5267" s="13"/>
      <c r="O5267" s="13"/>
      <c r="P5267" s="26"/>
      <c r="Q5267" s="20"/>
      <c r="R5267" s="13"/>
      <c r="S5267" s="25"/>
      <c r="T5267" s="13"/>
      <c r="U5267" s="13"/>
      <c r="V5267" s="13"/>
      <c r="W5267" s="13"/>
      <c r="X5267" s="21"/>
      <c r="Y5267" s="22"/>
      <c r="Z5267" s="23"/>
      <c r="AA5267" s="23"/>
      <c r="AB5267" s="15"/>
      <c r="AC5267" s="14"/>
      <c r="AD5267" s="18"/>
      <c r="AE5267" s="18"/>
    </row>
    <row r="5268" customFormat="false" ht="15" hidden="false" customHeight="true" outlineLevel="0" collapsed="false">
      <c r="A5268" s="12"/>
      <c r="B5268" s="13"/>
      <c r="C5268" s="14"/>
      <c r="D5268" s="13"/>
      <c r="E5268" s="15"/>
      <c r="F5268" s="15"/>
      <c r="G5268" s="15"/>
      <c r="H5268" s="13"/>
      <c r="I5268" s="13"/>
      <c r="J5268" s="16"/>
      <c r="K5268" s="16"/>
      <c r="L5268" s="17" t="str">
        <f aca="false" t="array" ref="L5268:L5268">IFERROR(INDEX(AC5268:AE5268,IF(COUNTA(AC5268:AE5268)=0,"",MAX((AC5268:AE5268&lt;&gt;"")*(COLUMN(AC5268:AE5268)-(COLUMN(AC5268)-2))))-1),"")</f>
        <v/>
      </c>
      <c r="M5268" s="13"/>
      <c r="N5268" s="13"/>
      <c r="O5268" s="13"/>
      <c r="P5268" s="26"/>
      <c r="Q5268" s="20"/>
      <c r="R5268" s="13"/>
      <c r="S5268" s="25"/>
      <c r="T5268" s="13"/>
      <c r="U5268" s="13"/>
      <c r="V5268" s="13"/>
      <c r="W5268" s="13"/>
      <c r="X5268" s="21"/>
      <c r="Y5268" s="22"/>
      <c r="Z5268" s="23"/>
      <c r="AA5268" s="23"/>
      <c r="AB5268" s="15"/>
      <c r="AC5268" s="14"/>
      <c r="AD5268" s="18"/>
      <c r="AE5268" s="18"/>
    </row>
    <row r="5269" customFormat="false" ht="15" hidden="false" customHeight="true" outlineLevel="0" collapsed="false">
      <c r="A5269" s="12"/>
      <c r="B5269" s="13"/>
      <c r="C5269" s="14"/>
      <c r="D5269" s="13"/>
      <c r="E5269" s="15"/>
      <c r="F5269" s="15"/>
      <c r="G5269" s="15"/>
      <c r="H5269" s="13"/>
      <c r="I5269" s="13"/>
      <c r="J5269" s="16"/>
      <c r="K5269" s="16"/>
      <c r="L5269" s="17" t="str">
        <f aca="false" t="array" ref="L5269:L5269">IFERROR(INDEX(AC5269:AE5269,IF(COUNTA(AC5269:AE5269)=0,"",MAX((AC5269:AE5269&lt;&gt;"")*(COLUMN(AC5269:AE5269)-(COLUMN(AC5269)-2))))-1),"")</f>
        <v/>
      </c>
      <c r="M5269" s="13"/>
      <c r="N5269" s="13"/>
      <c r="O5269" s="13"/>
      <c r="P5269" s="26"/>
      <c r="Q5269" s="20"/>
      <c r="R5269" s="13"/>
      <c r="S5269" s="25"/>
      <c r="T5269" s="13"/>
      <c r="U5269" s="13"/>
      <c r="V5269" s="13"/>
      <c r="W5269" s="13"/>
      <c r="X5269" s="21"/>
      <c r="Y5269" s="22"/>
      <c r="Z5269" s="23"/>
      <c r="AA5269" s="23"/>
      <c r="AB5269" s="15"/>
      <c r="AC5269" s="14"/>
      <c r="AD5269" s="18"/>
      <c r="AE5269" s="18"/>
    </row>
    <row r="5270" customFormat="false" ht="15" hidden="false" customHeight="true" outlineLevel="0" collapsed="false">
      <c r="A5270" s="12"/>
      <c r="B5270" s="13"/>
      <c r="C5270" s="14"/>
      <c r="D5270" s="13"/>
      <c r="E5270" s="15"/>
      <c r="F5270" s="15"/>
      <c r="G5270" s="15"/>
      <c r="H5270" s="13"/>
      <c r="I5270" s="13"/>
      <c r="J5270" s="16"/>
      <c r="K5270" s="16"/>
      <c r="L5270" s="17" t="str">
        <f aca="false" t="array" ref="L5270:L5270">IFERROR(INDEX(AC5270:AE5270,IF(COUNTA(AC5270:AE5270)=0,"",MAX((AC5270:AE5270&lt;&gt;"")*(COLUMN(AC5270:AE5270)-(COLUMN(AC5270)-2))))-1),"")</f>
        <v/>
      </c>
      <c r="M5270" s="13"/>
      <c r="N5270" s="13"/>
      <c r="O5270" s="13"/>
      <c r="P5270" s="26"/>
      <c r="Q5270" s="20"/>
      <c r="R5270" s="13"/>
      <c r="S5270" s="25"/>
      <c r="T5270" s="13"/>
      <c r="U5270" s="13"/>
      <c r="V5270" s="13"/>
      <c r="W5270" s="13"/>
      <c r="X5270" s="21"/>
      <c r="Y5270" s="22"/>
      <c r="Z5270" s="23"/>
      <c r="AA5270" s="23"/>
      <c r="AB5270" s="15"/>
      <c r="AC5270" s="14"/>
      <c r="AD5270" s="18"/>
      <c r="AE5270" s="18"/>
    </row>
    <row r="5271" customFormat="false" ht="15" hidden="false" customHeight="true" outlineLevel="0" collapsed="false">
      <c r="A5271" s="12"/>
      <c r="B5271" s="13"/>
      <c r="C5271" s="14"/>
      <c r="D5271" s="13"/>
      <c r="E5271" s="15"/>
      <c r="F5271" s="15"/>
      <c r="G5271" s="15"/>
      <c r="H5271" s="13"/>
      <c r="I5271" s="13"/>
      <c r="J5271" s="16"/>
      <c r="K5271" s="16"/>
      <c r="L5271" s="17" t="str">
        <f aca="false" t="array" ref="L5271:L5271">IFERROR(INDEX(AC5271:AE5271,IF(COUNTA(AC5271:AE5271)=0,"",MAX((AC5271:AE5271&lt;&gt;"")*(COLUMN(AC5271:AE5271)-(COLUMN(AC5271)-2))))-1),"")</f>
        <v/>
      </c>
      <c r="M5271" s="13"/>
      <c r="N5271" s="13"/>
      <c r="O5271" s="13"/>
      <c r="P5271" s="26"/>
      <c r="Q5271" s="20"/>
      <c r="R5271" s="13"/>
      <c r="S5271" s="25"/>
      <c r="T5271" s="13"/>
      <c r="U5271" s="13"/>
      <c r="V5271" s="13"/>
      <c r="W5271" s="13"/>
      <c r="X5271" s="21"/>
      <c r="Y5271" s="22"/>
      <c r="Z5271" s="23"/>
      <c r="AA5271" s="23"/>
      <c r="AB5271" s="15"/>
      <c r="AC5271" s="14"/>
      <c r="AD5271" s="18"/>
      <c r="AE5271" s="18"/>
    </row>
    <row r="5272" customFormat="false" ht="15" hidden="false" customHeight="true" outlineLevel="0" collapsed="false">
      <c r="A5272" s="12"/>
      <c r="B5272" s="13"/>
      <c r="C5272" s="14"/>
      <c r="D5272" s="13"/>
      <c r="E5272" s="15"/>
      <c r="F5272" s="15"/>
      <c r="G5272" s="15"/>
      <c r="H5272" s="13"/>
      <c r="I5272" s="13"/>
      <c r="J5272" s="16"/>
      <c r="K5272" s="16"/>
      <c r="L5272" s="17" t="str">
        <f aca="false" t="array" ref="L5272:L5272">IFERROR(INDEX(AC5272:AE5272,IF(COUNTA(AC5272:AE5272)=0,"",MAX((AC5272:AE5272&lt;&gt;"")*(COLUMN(AC5272:AE5272)-(COLUMN(AC5272)-2))))-1),"")</f>
        <v/>
      </c>
      <c r="M5272" s="13"/>
      <c r="N5272" s="13"/>
      <c r="O5272" s="13"/>
      <c r="P5272" s="26"/>
      <c r="Q5272" s="20"/>
      <c r="R5272" s="13"/>
      <c r="S5272" s="25"/>
      <c r="T5272" s="13"/>
      <c r="U5272" s="13"/>
      <c r="V5272" s="13"/>
      <c r="W5272" s="13"/>
      <c r="X5272" s="21"/>
      <c r="Y5272" s="22"/>
      <c r="Z5272" s="23"/>
      <c r="AA5272" s="23"/>
      <c r="AB5272" s="15"/>
      <c r="AC5272" s="14"/>
      <c r="AD5272" s="18"/>
      <c r="AE5272" s="18"/>
    </row>
    <row r="5273" customFormat="false" ht="15" hidden="false" customHeight="true" outlineLevel="0" collapsed="false">
      <c r="A5273" s="12"/>
      <c r="B5273" s="13"/>
      <c r="C5273" s="14"/>
      <c r="D5273" s="13"/>
      <c r="E5273" s="15"/>
      <c r="F5273" s="15"/>
      <c r="G5273" s="15"/>
      <c r="H5273" s="13"/>
      <c r="I5273" s="13"/>
      <c r="J5273" s="16"/>
      <c r="K5273" s="16"/>
      <c r="L5273" s="17" t="str">
        <f aca="false" t="array" ref="L5273:L5273">IFERROR(INDEX(AC5273:AE5273,IF(COUNTA(AC5273:AE5273)=0,"",MAX((AC5273:AE5273&lt;&gt;"")*(COLUMN(AC5273:AE5273)-(COLUMN(AC5273)-2))))-1),"")</f>
        <v/>
      </c>
      <c r="M5273" s="13"/>
      <c r="N5273" s="13"/>
      <c r="O5273" s="13"/>
      <c r="P5273" s="26"/>
      <c r="Q5273" s="20"/>
      <c r="R5273" s="13"/>
      <c r="S5273" s="25"/>
      <c r="T5273" s="13"/>
      <c r="U5273" s="13"/>
      <c r="V5273" s="13"/>
      <c r="W5273" s="13"/>
      <c r="X5273" s="21"/>
      <c r="Y5273" s="22"/>
      <c r="Z5273" s="23"/>
      <c r="AA5273" s="23"/>
      <c r="AB5273" s="15"/>
      <c r="AC5273" s="14"/>
      <c r="AD5273" s="18"/>
      <c r="AE5273" s="18"/>
    </row>
    <row r="5274" customFormat="false" ht="15" hidden="false" customHeight="true" outlineLevel="0" collapsed="false">
      <c r="A5274" s="12"/>
      <c r="B5274" s="13"/>
      <c r="C5274" s="14"/>
      <c r="D5274" s="13"/>
      <c r="E5274" s="15"/>
      <c r="F5274" s="15"/>
      <c r="G5274" s="15"/>
      <c r="H5274" s="13"/>
      <c r="I5274" s="13"/>
      <c r="J5274" s="16"/>
      <c r="K5274" s="16"/>
      <c r="L5274" s="17" t="str">
        <f aca="false" t="array" ref="L5274:L5274">IFERROR(INDEX(AC5274:AE5274,IF(COUNTA(AC5274:AE5274)=0,"",MAX((AC5274:AE5274&lt;&gt;"")*(COLUMN(AC5274:AE5274)-(COLUMN(AC5274)-2))))-1),"")</f>
        <v/>
      </c>
      <c r="M5274" s="13"/>
      <c r="N5274" s="13"/>
      <c r="O5274" s="13"/>
      <c r="P5274" s="26"/>
      <c r="Q5274" s="20"/>
      <c r="R5274" s="13"/>
      <c r="S5274" s="25"/>
      <c r="T5274" s="13"/>
      <c r="U5274" s="13"/>
      <c r="V5274" s="13"/>
      <c r="W5274" s="13"/>
      <c r="X5274" s="21"/>
      <c r="Y5274" s="22"/>
      <c r="Z5274" s="23"/>
      <c r="AA5274" s="23"/>
      <c r="AB5274" s="15"/>
      <c r="AC5274" s="14"/>
      <c r="AD5274" s="18"/>
      <c r="AE5274" s="18"/>
    </row>
    <row r="5275" customFormat="false" ht="15" hidden="false" customHeight="true" outlineLevel="0" collapsed="false">
      <c r="A5275" s="12"/>
      <c r="B5275" s="13"/>
      <c r="C5275" s="14"/>
      <c r="D5275" s="13"/>
      <c r="E5275" s="15"/>
      <c r="F5275" s="15"/>
      <c r="G5275" s="15"/>
      <c r="H5275" s="13"/>
      <c r="I5275" s="13"/>
      <c r="J5275" s="16"/>
      <c r="K5275" s="16"/>
      <c r="L5275" s="17" t="str">
        <f aca="false" t="array" ref="L5275:L5275">IFERROR(INDEX(AC5275:AE5275,IF(COUNTA(AC5275:AE5275)=0,"",MAX((AC5275:AE5275&lt;&gt;"")*(COLUMN(AC5275:AE5275)-(COLUMN(AC5275)-2))))-1),"")</f>
        <v/>
      </c>
      <c r="M5275" s="13"/>
      <c r="N5275" s="13"/>
      <c r="O5275" s="13"/>
      <c r="P5275" s="26"/>
      <c r="Q5275" s="20"/>
      <c r="R5275" s="13"/>
      <c r="S5275" s="25"/>
      <c r="T5275" s="13"/>
      <c r="U5275" s="13"/>
      <c r="V5275" s="13"/>
      <c r="W5275" s="13"/>
      <c r="X5275" s="21"/>
      <c r="Y5275" s="22"/>
      <c r="Z5275" s="23"/>
      <c r="AA5275" s="23"/>
      <c r="AB5275" s="15"/>
      <c r="AC5275" s="14"/>
      <c r="AD5275" s="18"/>
      <c r="AE5275" s="18"/>
    </row>
    <row r="5276" customFormat="false" ht="15" hidden="false" customHeight="true" outlineLevel="0" collapsed="false">
      <c r="A5276" s="12"/>
      <c r="B5276" s="13"/>
      <c r="C5276" s="14"/>
      <c r="D5276" s="13"/>
      <c r="E5276" s="15"/>
      <c r="F5276" s="15"/>
      <c r="G5276" s="15"/>
      <c r="H5276" s="13"/>
      <c r="I5276" s="13"/>
      <c r="J5276" s="16"/>
      <c r="K5276" s="16"/>
      <c r="L5276" s="17" t="str">
        <f aca="false" t="array" ref="L5276:L5276">IFERROR(INDEX(AC5276:AE5276,IF(COUNTA(AC5276:AE5276)=0,"",MAX((AC5276:AE5276&lt;&gt;"")*(COLUMN(AC5276:AE5276)-(COLUMN(AC5276)-2))))-1),"")</f>
        <v/>
      </c>
      <c r="M5276" s="13"/>
      <c r="N5276" s="13"/>
      <c r="O5276" s="13"/>
      <c r="P5276" s="26"/>
      <c r="Q5276" s="20"/>
      <c r="R5276" s="13"/>
      <c r="S5276" s="25"/>
      <c r="T5276" s="13"/>
      <c r="U5276" s="13"/>
      <c r="V5276" s="13"/>
      <c r="W5276" s="13"/>
      <c r="X5276" s="21"/>
      <c r="Y5276" s="22"/>
      <c r="Z5276" s="23"/>
      <c r="AA5276" s="23"/>
      <c r="AB5276" s="15"/>
      <c r="AC5276" s="14"/>
      <c r="AD5276" s="18"/>
      <c r="AE5276" s="18"/>
    </row>
    <row r="5277" customFormat="false" ht="15" hidden="false" customHeight="true" outlineLevel="0" collapsed="false">
      <c r="A5277" s="12"/>
      <c r="B5277" s="13"/>
      <c r="C5277" s="14"/>
      <c r="D5277" s="13"/>
      <c r="E5277" s="15"/>
      <c r="F5277" s="15"/>
      <c r="G5277" s="15"/>
      <c r="H5277" s="13"/>
      <c r="I5277" s="13"/>
      <c r="J5277" s="16"/>
      <c r="K5277" s="16"/>
      <c r="L5277" s="17" t="str">
        <f aca="false" t="array" ref="L5277:L5277">IFERROR(INDEX(AC5277:AE5277,IF(COUNTA(AC5277:AE5277)=0,"",MAX((AC5277:AE5277&lt;&gt;"")*(COLUMN(AC5277:AE5277)-(COLUMN(AC5277)-2))))-1),"")</f>
        <v/>
      </c>
      <c r="M5277" s="13"/>
      <c r="N5277" s="13"/>
      <c r="O5277" s="13"/>
      <c r="P5277" s="26"/>
      <c r="Q5277" s="20"/>
      <c r="R5277" s="13"/>
      <c r="S5277" s="25"/>
      <c r="T5277" s="13"/>
      <c r="U5277" s="13"/>
      <c r="V5277" s="13"/>
      <c r="W5277" s="13"/>
      <c r="X5277" s="21"/>
      <c r="Y5277" s="22"/>
      <c r="Z5277" s="23"/>
      <c r="AA5277" s="23"/>
      <c r="AB5277" s="15"/>
      <c r="AC5277" s="14"/>
      <c r="AD5277" s="18"/>
      <c r="AE5277" s="18"/>
    </row>
    <row r="5278" customFormat="false" ht="15" hidden="false" customHeight="true" outlineLevel="0" collapsed="false">
      <c r="A5278" s="12"/>
      <c r="B5278" s="13"/>
      <c r="C5278" s="14"/>
      <c r="D5278" s="13"/>
      <c r="E5278" s="15"/>
      <c r="F5278" s="15"/>
      <c r="G5278" s="15"/>
      <c r="H5278" s="13"/>
      <c r="I5278" s="13"/>
      <c r="J5278" s="16"/>
      <c r="K5278" s="16"/>
      <c r="L5278" s="17" t="str">
        <f aca="false" t="array" ref="L5278:L5278">IFERROR(INDEX(AC5278:AE5278,IF(COUNTA(AC5278:AE5278)=0,"",MAX((AC5278:AE5278&lt;&gt;"")*(COLUMN(AC5278:AE5278)-(COLUMN(AC5278)-2))))-1),"")</f>
        <v/>
      </c>
      <c r="M5278" s="13"/>
      <c r="N5278" s="13"/>
      <c r="O5278" s="13"/>
      <c r="P5278" s="26"/>
      <c r="Q5278" s="20"/>
      <c r="R5278" s="13"/>
      <c r="S5278" s="25"/>
      <c r="T5278" s="13"/>
      <c r="U5278" s="13"/>
      <c r="V5278" s="13"/>
      <c r="W5278" s="13"/>
      <c r="X5278" s="21"/>
      <c r="Y5278" s="22"/>
      <c r="Z5278" s="23"/>
      <c r="AA5278" s="23"/>
      <c r="AB5278" s="15"/>
      <c r="AC5278" s="14"/>
      <c r="AD5278" s="18"/>
      <c r="AE5278" s="18"/>
    </row>
    <row r="5279" customFormat="false" ht="15" hidden="false" customHeight="true" outlineLevel="0" collapsed="false">
      <c r="A5279" s="12"/>
      <c r="B5279" s="13"/>
      <c r="C5279" s="14"/>
      <c r="D5279" s="13"/>
      <c r="E5279" s="15"/>
      <c r="F5279" s="15"/>
      <c r="G5279" s="15"/>
      <c r="H5279" s="13"/>
      <c r="I5279" s="13"/>
      <c r="J5279" s="16"/>
      <c r="K5279" s="16"/>
      <c r="L5279" s="17" t="str">
        <f aca="false" t="array" ref="L5279:L5279">IFERROR(INDEX(AC5279:AE5279,IF(COUNTA(AC5279:AE5279)=0,"",MAX((AC5279:AE5279&lt;&gt;"")*(COLUMN(AC5279:AE5279)-(COLUMN(AC5279)-2))))-1),"")</f>
        <v/>
      </c>
      <c r="M5279" s="13"/>
      <c r="N5279" s="13"/>
      <c r="O5279" s="13"/>
      <c r="P5279" s="26"/>
      <c r="Q5279" s="20"/>
      <c r="R5279" s="13"/>
      <c r="S5279" s="25"/>
      <c r="T5279" s="13"/>
      <c r="U5279" s="13"/>
      <c r="V5279" s="13"/>
      <c r="W5279" s="13"/>
      <c r="X5279" s="21"/>
      <c r="Y5279" s="22"/>
      <c r="Z5279" s="23"/>
      <c r="AA5279" s="23"/>
      <c r="AB5279" s="15"/>
      <c r="AC5279" s="14"/>
      <c r="AD5279" s="18"/>
      <c r="AE5279" s="18"/>
    </row>
    <row r="5280" customFormat="false" ht="15" hidden="false" customHeight="true" outlineLevel="0" collapsed="false">
      <c r="A5280" s="12"/>
      <c r="B5280" s="13"/>
      <c r="C5280" s="14"/>
      <c r="D5280" s="13"/>
      <c r="E5280" s="15"/>
      <c r="F5280" s="15"/>
      <c r="G5280" s="15"/>
      <c r="H5280" s="13"/>
      <c r="I5280" s="13"/>
      <c r="J5280" s="16"/>
      <c r="K5280" s="16"/>
      <c r="L5280" s="17" t="str">
        <f aca="false" t="array" ref="L5280:L5280">IFERROR(INDEX(AC5280:AE5280,IF(COUNTA(AC5280:AE5280)=0,"",MAX((AC5280:AE5280&lt;&gt;"")*(COLUMN(AC5280:AE5280)-(COLUMN(AC5280)-2))))-1),"")</f>
        <v/>
      </c>
      <c r="M5280" s="13"/>
      <c r="N5280" s="13"/>
      <c r="O5280" s="13"/>
      <c r="P5280" s="26"/>
      <c r="Q5280" s="20"/>
      <c r="R5280" s="13"/>
      <c r="S5280" s="25"/>
      <c r="T5280" s="13"/>
      <c r="U5280" s="13"/>
      <c r="V5280" s="13"/>
      <c r="W5280" s="13"/>
      <c r="X5280" s="21"/>
      <c r="Y5280" s="22"/>
      <c r="Z5280" s="23"/>
      <c r="AA5280" s="23"/>
      <c r="AB5280" s="15"/>
      <c r="AC5280" s="14"/>
      <c r="AD5280" s="18"/>
      <c r="AE5280" s="18"/>
    </row>
    <row r="5281" customFormat="false" ht="15" hidden="false" customHeight="true" outlineLevel="0" collapsed="false">
      <c r="A5281" s="12"/>
      <c r="B5281" s="13"/>
      <c r="C5281" s="14"/>
      <c r="D5281" s="13"/>
      <c r="E5281" s="15"/>
      <c r="F5281" s="15"/>
      <c r="G5281" s="15"/>
      <c r="H5281" s="13"/>
      <c r="I5281" s="13"/>
      <c r="J5281" s="16"/>
      <c r="K5281" s="16"/>
      <c r="L5281" s="17" t="str">
        <f aca="false" t="array" ref="L5281:L5281">IFERROR(INDEX(AC5281:AE5281,IF(COUNTA(AC5281:AE5281)=0,"",MAX((AC5281:AE5281&lt;&gt;"")*(COLUMN(AC5281:AE5281)-(COLUMN(AC5281)-2))))-1),"")</f>
        <v/>
      </c>
      <c r="M5281" s="13"/>
      <c r="N5281" s="13"/>
      <c r="O5281" s="13"/>
      <c r="P5281" s="26"/>
      <c r="Q5281" s="20"/>
      <c r="R5281" s="13"/>
      <c r="S5281" s="25"/>
      <c r="T5281" s="13"/>
      <c r="U5281" s="13"/>
      <c r="V5281" s="13"/>
      <c r="W5281" s="13"/>
      <c r="X5281" s="21"/>
      <c r="Y5281" s="22"/>
      <c r="Z5281" s="23"/>
      <c r="AA5281" s="23"/>
      <c r="AB5281" s="15"/>
      <c r="AC5281" s="14"/>
      <c r="AD5281" s="18"/>
      <c r="AE5281" s="18"/>
    </row>
    <row r="5282" customFormat="false" ht="15" hidden="false" customHeight="true" outlineLevel="0" collapsed="false">
      <c r="A5282" s="12"/>
      <c r="B5282" s="13"/>
      <c r="C5282" s="14"/>
      <c r="D5282" s="13"/>
      <c r="E5282" s="15"/>
      <c r="F5282" s="15"/>
      <c r="G5282" s="15"/>
      <c r="H5282" s="13"/>
      <c r="I5282" s="13"/>
      <c r="J5282" s="16"/>
      <c r="K5282" s="16"/>
      <c r="L5282" s="17" t="str">
        <f aca="false" t="array" ref="L5282:L5282">IFERROR(INDEX(AC5282:AE5282,IF(COUNTA(AC5282:AE5282)=0,"",MAX((AC5282:AE5282&lt;&gt;"")*(COLUMN(AC5282:AE5282)-(COLUMN(AC5282)-2))))-1),"")</f>
        <v/>
      </c>
      <c r="M5282" s="13"/>
      <c r="N5282" s="13"/>
      <c r="O5282" s="13"/>
      <c r="P5282" s="26"/>
      <c r="Q5282" s="20"/>
      <c r="R5282" s="13"/>
      <c r="S5282" s="25"/>
      <c r="T5282" s="13"/>
      <c r="U5282" s="13"/>
      <c r="V5282" s="13"/>
      <c r="W5282" s="13"/>
      <c r="X5282" s="21"/>
      <c r="Y5282" s="22"/>
      <c r="Z5282" s="23"/>
      <c r="AA5282" s="23"/>
      <c r="AB5282" s="15"/>
      <c r="AC5282" s="14"/>
      <c r="AD5282" s="18"/>
      <c r="AE5282" s="18"/>
    </row>
    <row r="5283" customFormat="false" ht="15" hidden="false" customHeight="true" outlineLevel="0" collapsed="false">
      <c r="A5283" s="12"/>
      <c r="B5283" s="13"/>
      <c r="C5283" s="14"/>
      <c r="D5283" s="13"/>
      <c r="E5283" s="15"/>
      <c r="F5283" s="15"/>
      <c r="G5283" s="15"/>
      <c r="H5283" s="13"/>
      <c r="I5283" s="13"/>
      <c r="J5283" s="16"/>
      <c r="K5283" s="16"/>
      <c r="L5283" s="17" t="str">
        <f aca="false" t="array" ref="L5283:L5283">IFERROR(INDEX(AC5283:AE5283,IF(COUNTA(AC5283:AE5283)=0,"",MAX((AC5283:AE5283&lt;&gt;"")*(COLUMN(AC5283:AE5283)-(COLUMN(AC5283)-2))))-1),"")</f>
        <v/>
      </c>
      <c r="M5283" s="13"/>
      <c r="N5283" s="13"/>
      <c r="O5283" s="13"/>
      <c r="P5283" s="26"/>
      <c r="Q5283" s="20"/>
      <c r="R5283" s="13"/>
      <c r="S5283" s="25"/>
      <c r="T5283" s="13"/>
      <c r="U5283" s="13"/>
      <c r="V5283" s="13"/>
      <c r="W5283" s="13"/>
      <c r="X5283" s="21"/>
      <c r="Y5283" s="22"/>
      <c r="Z5283" s="23"/>
      <c r="AA5283" s="23"/>
      <c r="AB5283" s="15"/>
      <c r="AC5283" s="14"/>
      <c r="AD5283" s="18"/>
      <c r="AE5283" s="18"/>
    </row>
    <row r="5284" customFormat="false" ht="15" hidden="false" customHeight="true" outlineLevel="0" collapsed="false">
      <c r="A5284" s="12"/>
      <c r="B5284" s="13"/>
      <c r="C5284" s="14"/>
      <c r="D5284" s="13"/>
      <c r="E5284" s="15"/>
      <c r="F5284" s="15"/>
      <c r="G5284" s="15"/>
      <c r="H5284" s="13"/>
      <c r="I5284" s="13"/>
      <c r="J5284" s="16"/>
      <c r="K5284" s="16"/>
      <c r="L5284" s="17" t="str">
        <f aca="false" t="array" ref="L5284:L5284">IFERROR(INDEX(AC5284:AE5284,IF(COUNTA(AC5284:AE5284)=0,"",MAX((AC5284:AE5284&lt;&gt;"")*(COLUMN(AC5284:AE5284)-(COLUMN(AC5284)-2))))-1),"")</f>
        <v/>
      </c>
      <c r="M5284" s="13"/>
      <c r="N5284" s="13"/>
      <c r="O5284" s="13"/>
      <c r="P5284" s="26"/>
      <c r="Q5284" s="20"/>
      <c r="R5284" s="13"/>
      <c r="S5284" s="25"/>
      <c r="T5284" s="13"/>
      <c r="U5284" s="13"/>
      <c r="V5284" s="13"/>
      <c r="W5284" s="13"/>
      <c r="X5284" s="21"/>
      <c r="Y5284" s="22"/>
      <c r="Z5284" s="23"/>
      <c r="AA5284" s="23"/>
      <c r="AB5284" s="15"/>
      <c r="AC5284" s="14"/>
      <c r="AD5284" s="18"/>
      <c r="AE5284" s="18"/>
    </row>
    <row r="5285" customFormat="false" ht="15" hidden="false" customHeight="true" outlineLevel="0" collapsed="false">
      <c r="A5285" s="12"/>
      <c r="B5285" s="13"/>
      <c r="C5285" s="14"/>
      <c r="D5285" s="13"/>
      <c r="E5285" s="15"/>
      <c r="F5285" s="15"/>
      <c r="G5285" s="15"/>
      <c r="H5285" s="13"/>
      <c r="I5285" s="13"/>
      <c r="J5285" s="16"/>
      <c r="K5285" s="16"/>
      <c r="L5285" s="17" t="str">
        <f aca="false" t="array" ref="L5285:L5285">IFERROR(INDEX(AC5285:AE5285,IF(COUNTA(AC5285:AE5285)=0,"",MAX((AC5285:AE5285&lt;&gt;"")*(COLUMN(AC5285:AE5285)-(COLUMN(AC5285)-2))))-1),"")</f>
        <v/>
      </c>
      <c r="M5285" s="13"/>
      <c r="N5285" s="13"/>
      <c r="O5285" s="13"/>
      <c r="P5285" s="26"/>
      <c r="Q5285" s="20"/>
      <c r="R5285" s="13"/>
      <c r="S5285" s="25"/>
      <c r="T5285" s="13"/>
      <c r="U5285" s="13"/>
      <c r="V5285" s="13"/>
      <c r="W5285" s="13"/>
      <c r="X5285" s="21"/>
      <c r="Y5285" s="22"/>
      <c r="Z5285" s="23"/>
      <c r="AA5285" s="23"/>
      <c r="AB5285" s="15"/>
      <c r="AC5285" s="14"/>
      <c r="AD5285" s="18"/>
      <c r="AE5285" s="18"/>
    </row>
    <row r="5286" customFormat="false" ht="15" hidden="false" customHeight="true" outlineLevel="0" collapsed="false">
      <c r="A5286" s="12"/>
      <c r="B5286" s="13"/>
      <c r="C5286" s="14"/>
      <c r="D5286" s="13"/>
      <c r="E5286" s="15"/>
      <c r="F5286" s="15"/>
      <c r="G5286" s="15"/>
      <c r="H5286" s="13"/>
      <c r="I5286" s="13"/>
      <c r="J5286" s="16"/>
      <c r="K5286" s="16"/>
      <c r="L5286" s="17" t="str">
        <f aca="false" t="array" ref="L5286:L5286">IFERROR(INDEX(AC5286:AE5286,IF(COUNTA(AC5286:AE5286)=0,"",MAX((AC5286:AE5286&lt;&gt;"")*(COLUMN(AC5286:AE5286)-(COLUMN(AC5286)-2))))-1),"")</f>
        <v/>
      </c>
      <c r="M5286" s="13"/>
      <c r="N5286" s="13"/>
      <c r="O5286" s="13"/>
      <c r="P5286" s="26"/>
      <c r="Q5286" s="20"/>
      <c r="R5286" s="13"/>
      <c r="S5286" s="25"/>
      <c r="T5286" s="13"/>
      <c r="U5286" s="13"/>
      <c r="V5286" s="13"/>
      <c r="W5286" s="13"/>
      <c r="X5286" s="21"/>
      <c r="Y5286" s="22"/>
      <c r="Z5286" s="23"/>
      <c r="AA5286" s="23"/>
      <c r="AB5286" s="15"/>
      <c r="AC5286" s="14"/>
      <c r="AD5286" s="18"/>
      <c r="AE5286" s="18"/>
    </row>
    <row r="5287" customFormat="false" ht="15" hidden="false" customHeight="true" outlineLevel="0" collapsed="false">
      <c r="A5287" s="12"/>
      <c r="B5287" s="13"/>
      <c r="C5287" s="14"/>
      <c r="D5287" s="13"/>
      <c r="E5287" s="15"/>
      <c r="F5287" s="15"/>
      <c r="G5287" s="15"/>
      <c r="H5287" s="13"/>
      <c r="I5287" s="13"/>
      <c r="J5287" s="16"/>
      <c r="K5287" s="16"/>
      <c r="L5287" s="17" t="str">
        <f aca="false" t="array" ref="L5287:L5287">IFERROR(INDEX(AC5287:AE5287,IF(COUNTA(AC5287:AE5287)=0,"",MAX((AC5287:AE5287&lt;&gt;"")*(COLUMN(AC5287:AE5287)-(COLUMN(AC5287)-2))))-1),"")</f>
        <v/>
      </c>
      <c r="M5287" s="13"/>
      <c r="N5287" s="13"/>
      <c r="O5287" s="13"/>
      <c r="P5287" s="26"/>
      <c r="Q5287" s="20"/>
      <c r="R5287" s="13"/>
      <c r="S5287" s="25"/>
      <c r="T5287" s="13"/>
      <c r="U5287" s="13"/>
      <c r="V5287" s="13"/>
      <c r="W5287" s="13"/>
      <c r="X5287" s="21"/>
      <c r="Y5287" s="22"/>
      <c r="Z5287" s="23"/>
      <c r="AA5287" s="23"/>
      <c r="AB5287" s="15"/>
      <c r="AC5287" s="14"/>
      <c r="AD5287" s="18"/>
      <c r="AE5287" s="18"/>
    </row>
    <row r="5288" customFormat="false" ht="15" hidden="false" customHeight="true" outlineLevel="0" collapsed="false">
      <c r="A5288" s="12"/>
      <c r="B5288" s="13"/>
      <c r="C5288" s="14"/>
      <c r="D5288" s="13"/>
      <c r="E5288" s="15"/>
      <c r="F5288" s="15"/>
      <c r="G5288" s="15"/>
      <c r="H5288" s="13"/>
      <c r="I5288" s="13"/>
      <c r="J5288" s="16"/>
      <c r="K5288" s="16"/>
      <c r="L5288" s="17" t="str">
        <f aca="false" t="array" ref="L5288:L5288">IFERROR(INDEX(AC5288:AE5288,IF(COUNTA(AC5288:AE5288)=0,"",MAX((AC5288:AE5288&lt;&gt;"")*(COLUMN(AC5288:AE5288)-(COLUMN(AC5288)-2))))-1),"")</f>
        <v/>
      </c>
      <c r="M5288" s="13"/>
      <c r="N5288" s="13"/>
      <c r="O5288" s="13"/>
      <c r="P5288" s="26"/>
      <c r="Q5288" s="20"/>
      <c r="R5288" s="13"/>
      <c r="S5288" s="25"/>
      <c r="T5288" s="13"/>
      <c r="U5288" s="13"/>
      <c r="V5288" s="13"/>
      <c r="W5288" s="13"/>
      <c r="X5288" s="21"/>
      <c r="Y5288" s="22"/>
      <c r="Z5288" s="23"/>
      <c r="AA5288" s="23"/>
      <c r="AB5288" s="15"/>
      <c r="AC5288" s="14"/>
      <c r="AD5288" s="18"/>
      <c r="AE5288" s="18"/>
    </row>
    <row r="5289" customFormat="false" ht="15" hidden="false" customHeight="true" outlineLevel="0" collapsed="false">
      <c r="A5289" s="12"/>
      <c r="B5289" s="13"/>
      <c r="C5289" s="14"/>
      <c r="D5289" s="13"/>
      <c r="E5289" s="15"/>
      <c r="F5289" s="15"/>
      <c r="G5289" s="15"/>
      <c r="H5289" s="13"/>
      <c r="I5289" s="13"/>
      <c r="J5289" s="16"/>
      <c r="K5289" s="16"/>
      <c r="L5289" s="17" t="str">
        <f aca="false" t="array" ref="L5289:L5289">IFERROR(INDEX(AC5289:AE5289,IF(COUNTA(AC5289:AE5289)=0,"",MAX((AC5289:AE5289&lt;&gt;"")*(COLUMN(AC5289:AE5289)-(COLUMN(AC5289)-2))))-1),"")</f>
        <v/>
      </c>
      <c r="M5289" s="13"/>
      <c r="N5289" s="13"/>
      <c r="O5289" s="13"/>
      <c r="P5289" s="26"/>
      <c r="Q5289" s="20"/>
      <c r="R5289" s="13"/>
      <c r="S5289" s="25"/>
      <c r="T5289" s="13"/>
      <c r="U5289" s="13"/>
      <c r="V5289" s="13"/>
      <c r="W5289" s="13"/>
      <c r="X5289" s="21"/>
      <c r="Y5289" s="22"/>
      <c r="Z5289" s="23"/>
      <c r="AA5289" s="23"/>
      <c r="AB5289" s="15"/>
      <c r="AC5289" s="14"/>
      <c r="AD5289" s="18"/>
      <c r="AE5289" s="18"/>
    </row>
    <row r="5290" customFormat="false" ht="15" hidden="false" customHeight="true" outlineLevel="0" collapsed="false">
      <c r="A5290" s="12"/>
      <c r="B5290" s="13"/>
      <c r="C5290" s="14"/>
      <c r="D5290" s="13"/>
      <c r="E5290" s="15"/>
      <c r="F5290" s="15"/>
      <c r="G5290" s="15"/>
      <c r="H5290" s="13"/>
      <c r="I5290" s="13"/>
      <c r="J5290" s="16"/>
      <c r="K5290" s="16"/>
      <c r="L5290" s="17" t="str">
        <f aca="false" t="array" ref="L5290:L5290">IFERROR(INDEX(AC5290:AE5290,IF(COUNTA(AC5290:AE5290)=0,"",MAX((AC5290:AE5290&lt;&gt;"")*(COLUMN(AC5290:AE5290)-(COLUMN(AC5290)-2))))-1),"")</f>
        <v/>
      </c>
      <c r="M5290" s="13"/>
      <c r="N5290" s="13"/>
      <c r="O5290" s="13"/>
      <c r="P5290" s="26"/>
      <c r="Q5290" s="20"/>
      <c r="R5290" s="13"/>
      <c r="S5290" s="25"/>
      <c r="T5290" s="13"/>
      <c r="U5290" s="13"/>
      <c r="V5290" s="13"/>
      <c r="W5290" s="13"/>
      <c r="X5290" s="21"/>
      <c r="Y5290" s="22"/>
      <c r="Z5290" s="23"/>
      <c r="AA5290" s="23"/>
      <c r="AB5290" s="15"/>
      <c r="AC5290" s="14"/>
      <c r="AD5290" s="18"/>
      <c r="AE5290" s="18"/>
    </row>
    <row r="5291" customFormat="false" ht="15" hidden="false" customHeight="true" outlineLevel="0" collapsed="false">
      <c r="A5291" s="12"/>
      <c r="B5291" s="13"/>
      <c r="C5291" s="14"/>
      <c r="D5291" s="13"/>
      <c r="E5291" s="15"/>
      <c r="F5291" s="15"/>
      <c r="G5291" s="15"/>
      <c r="H5291" s="13"/>
      <c r="I5291" s="13"/>
      <c r="J5291" s="16"/>
      <c r="K5291" s="16"/>
      <c r="L5291" s="17" t="str">
        <f aca="false" t="array" ref="L5291:L5291">IFERROR(INDEX(AC5291:AE5291,IF(COUNTA(AC5291:AE5291)=0,"",MAX((AC5291:AE5291&lt;&gt;"")*(COLUMN(AC5291:AE5291)-(COLUMN(AC5291)-2))))-1),"")</f>
        <v/>
      </c>
      <c r="M5291" s="13"/>
      <c r="N5291" s="13"/>
      <c r="O5291" s="13"/>
      <c r="P5291" s="26"/>
      <c r="Q5291" s="20"/>
      <c r="R5291" s="13"/>
      <c r="S5291" s="25"/>
      <c r="T5291" s="13"/>
      <c r="U5291" s="13"/>
      <c r="V5291" s="13"/>
      <c r="W5291" s="13"/>
      <c r="X5291" s="21"/>
      <c r="Y5291" s="22"/>
      <c r="Z5291" s="23"/>
      <c r="AA5291" s="23"/>
      <c r="AB5291" s="15"/>
      <c r="AC5291" s="14"/>
      <c r="AD5291" s="18"/>
      <c r="AE5291" s="18"/>
    </row>
    <row r="5292" customFormat="false" ht="15" hidden="false" customHeight="true" outlineLevel="0" collapsed="false">
      <c r="A5292" s="12"/>
      <c r="B5292" s="13"/>
      <c r="C5292" s="14"/>
      <c r="D5292" s="13"/>
      <c r="E5292" s="15"/>
      <c r="F5292" s="15"/>
      <c r="G5292" s="15"/>
      <c r="H5292" s="13"/>
      <c r="I5292" s="13"/>
      <c r="J5292" s="16"/>
      <c r="K5292" s="16"/>
      <c r="L5292" s="17" t="str">
        <f aca="false" t="array" ref="L5292:L5292">IFERROR(INDEX(AC5292:AE5292,IF(COUNTA(AC5292:AE5292)=0,"",MAX((AC5292:AE5292&lt;&gt;"")*(COLUMN(AC5292:AE5292)-(COLUMN(AC5292)-2))))-1),"")</f>
        <v/>
      </c>
      <c r="M5292" s="13"/>
      <c r="N5292" s="13"/>
      <c r="O5292" s="13"/>
      <c r="P5292" s="26"/>
      <c r="Q5292" s="20"/>
      <c r="R5292" s="13"/>
      <c r="S5292" s="25"/>
      <c r="T5292" s="13"/>
      <c r="U5292" s="13"/>
      <c r="V5292" s="13"/>
      <c r="W5292" s="13"/>
      <c r="X5292" s="21"/>
      <c r="Y5292" s="22"/>
      <c r="Z5292" s="23"/>
      <c r="AA5292" s="23"/>
      <c r="AB5292" s="15"/>
      <c r="AC5292" s="14"/>
      <c r="AD5292" s="18"/>
      <c r="AE5292" s="18"/>
    </row>
    <row r="5293" customFormat="false" ht="15" hidden="false" customHeight="true" outlineLevel="0" collapsed="false">
      <c r="A5293" s="12"/>
      <c r="B5293" s="13"/>
      <c r="C5293" s="14"/>
      <c r="D5293" s="13"/>
      <c r="E5293" s="15"/>
      <c r="F5293" s="15"/>
      <c r="G5293" s="15"/>
      <c r="H5293" s="13"/>
      <c r="I5293" s="13"/>
      <c r="J5293" s="16"/>
      <c r="K5293" s="16"/>
      <c r="L5293" s="17" t="str">
        <f aca="false" t="array" ref="L5293:L5293">IFERROR(INDEX(AC5293:AE5293,IF(COUNTA(AC5293:AE5293)=0,"",MAX((AC5293:AE5293&lt;&gt;"")*(COLUMN(AC5293:AE5293)-(COLUMN(AC5293)-2))))-1),"")</f>
        <v/>
      </c>
      <c r="M5293" s="13"/>
      <c r="N5293" s="13"/>
      <c r="O5293" s="13"/>
      <c r="P5293" s="26"/>
      <c r="Q5293" s="20"/>
      <c r="R5293" s="13"/>
      <c r="S5293" s="25"/>
      <c r="T5293" s="13"/>
      <c r="U5293" s="13"/>
      <c r="V5293" s="13"/>
      <c r="W5293" s="13"/>
      <c r="X5293" s="21"/>
      <c r="Y5293" s="22"/>
      <c r="Z5293" s="23"/>
      <c r="AA5293" s="23"/>
      <c r="AB5293" s="15"/>
      <c r="AC5293" s="14"/>
      <c r="AD5293" s="18"/>
      <c r="AE5293" s="18"/>
    </row>
    <row r="5294" customFormat="false" ht="15" hidden="false" customHeight="true" outlineLevel="0" collapsed="false">
      <c r="A5294" s="12"/>
      <c r="B5294" s="13"/>
      <c r="C5294" s="14"/>
      <c r="D5294" s="13"/>
      <c r="E5294" s="15"/>
      <c r="F5294" s="15"/>
      <c r="G5294" s="15"/>
      <c r="H5294" s="13"/>
      <c r="I5294" s="13"/>
      <c r="J5294" s="16"/>
      <c r="K5294" s="16"/>
      <c r="L5294" s="17" t="str">
        <f aca="false" t="array" ref="L5294:L5294">IFERROR(INDEX(AC5294:AE5294,IF(COUNTA(AC5294:AE5294)=0,"",MAX((AC5294:AE5294&lt;&gt;"")*(COLUMN(AC5294:AE5294)-(COLUMN(AC5294)-2))))-1),"")</f>
        <v/>
      </c>
      <c r="M5294" s="13"/>
      <c r="N5294" s="13"/>
      <c r="O5294" s="13"/>
      <c r="P5294" s="26"/>
      <c r="Q5294" s="20"/>
      <c r="R5294" s="13"/>
      <c r="S5294" s="25"/>
      <c r="T5294" s="13"/>
      <c r="U5294" s="13"/>
      <c r="V5294" s="13"/>
      <c r="W5294" s="13"/>
      <c r="X5294" s="21"/>
      <c r="Y5294" s="22"/>
      <c r="Z5294" s="23"/>
      <c r="AA5294" s="23"/>
      <c r="AB5294" s="15"/>
      <c r="AC5294" s="14"/>
      <c r="AD5294" s="18"/>
      <c r="AE5294" s="18"/>
    </row>
    <row r="5295" customFormat="false" ht="15" hidden="false" customHeight="true" outlineLevel="0" collapsed="false">
      <c r="A5295" s="12"/>
      <c r="B5295" s="13"/>
      <c r="C5295" s="14"/>
      <c r="D5295" s="13"/>
      <c r="E5295" s="15"/>
      <c r="F5295" s="15"/>
      <c r="G5295" s="15"/>
      <c r="H5295" s="13"/>
      <c r="I5295" s="13"/>
      <c r="J5295" s="16"/>
      <c r="K5295" s="16"/>
      <c r="L5295" s="17" t="str">
        <f aca="false" t="array" ref="L5295:L5295">IFERROR(INDEX(AC5295:AE5295,IF(COUNTA(AC5295:AE5295)=0,"",MAX((AC5295:AE5295&lt;&gt;"")*(COLUMN(AC5295:AE5295)-(COLUMN(AC5295)-2))))-1),"")</f>
        <v/>
      </c>
      <c r="M5295" s="13"/>
      <c r="N5295" s="13"/>
      <c r="O5295" s="13"/>
      <c r="P5295" s="26"/>
      <c r="Q5295" s="20"/>
      <c r="R5295" s="13"/>
      <c r="S5295" s="25"/>
      <c r="T5295" s="13"/>
      <c r="U5295" s="13"/>
      <c r="V5295" s="13"/>
      <c r="W5295" s="13"/>
      <c r="X5295" s="21"/>
      <c r="Y5295" s="22"/>
      <c r="Z5295" s="23"/>
      <c r="AA5295" s="23"/>
      <c r="AB5295" s="15"/>
      <c r="AC5295" s="14"/>
      <c r="AD5295" s="18"/>
      <c r="AE5295" s="18"/>
    </row>
    <row r="5296" customFormat="false" ht="15" hidden="false" customHeight="true" outlineLevel="0" collapsed="false">
      <c r="A5296" s="12"/>
      <c r="B5296" s="13"/>
      <c r="C5296" s="14"/>
      <c r="D5296" s="13"/>
      <c r="E5296" s="15"/>
      <c r="F5296" s="15"/>
      <c r="G5296" s="15"/>
      <c r="H5296" s="13"/>
      <c r="I5296" s="13"/>
      <c r="J5296" s="16"/>
      <c r="K5296" s="16"/>
      <c r="L5296" s="17" t="str">
        <f aca="false" t="array" ref="L5296:L5296">IFERROR(INDEX(AC5296:AE5296,IF(COUNTA(AC5296:AE5296)=0,"",MAX((AC5296:AE5296&lt;&gt;"")*(COLUMN(AC5296:AE5296)-(COLUMN(AC5296)-2))))-1),"")</f>
        <v/>
      </c>
      <c r="M5296" s="13"/>
      <c r="N5296" s="13"/>
      <c r="O5296" s="13"/>
      <c r="P5296" s="26"/>
      <c r="Q5296" s="20"/>
      <c r="R5296" s="13"/>
      <c r="S5296" s="25"/>
      <c r="T5296" s="13"/>
      <c r="U5296" s="13"/>
      <c r="V5296" s="13"/>
      <c r="W5296" s="13"/>
      <c r="X5296" s="21"/>
      <c r="Y5296" s="22"/>
      <c r="Z5296" s="23"/>
      <c r="AA5296" s="23"/>
      <c r="AB5296" s="15"/>
      <c r="AC5296" s="14"/>
      <c r="AD5296" s="18"/>
      <c r="AE5296" s="18"/>
    </row>
    <row r="5297" customFormat="false" ht="15" hidden="false" customHeight="true" outlineLevel="0" collapsed="false">
      <c r="A5297" s="12"/>
      <c r="B5297" s="13"/>
      <c r="C5297" s="14"/>
      <c r="D5297" s="13"/>
      <c r="E5297" s="15"/>
      <c r="F5297" s="15"/>
      <c r="G5297" s="15"/>
      <c r="H5297" s="13"/>
      <c r="I5297" s="13"/>
      <c r="J5297" s="16"/>
      <c r="K5297" s="16"/>
      <c r="L5297" s="17" t="str">
        <f aca="false" t="array" ref="L5297:L5297">IFERROR(INDEX(AC5297:AE5297,IF(COUNTA(AC5297:AE5297)=0,"",MAX((AC5297:AE5297&lt;&gt;"")*(COLUMN(AC5297:AE5297)-(COLUMN(AC5297)-2))))-1),"")</f>
        <v/>
      </c>
      <c r="M5297" s="13"/>
      <c r="N5297" s="13"/>
      <c r="O5297" s="13"/>
      <c r="P5297" s="26"/>
      <c r="Q5297" s="20"/>
      <c r="R5297" s="13"/>
      <c r="S5297" s="25"/>
      <c r="T5297" s="13"/>
      <c r="U5297" s="13"/>
      <c r="V5297" s="13"/>
      <c r="W5297" s="13"/>
      <c r="X5297" s="21"/>
      <c r="Y5297" s="22"/>
      <c r="Z5297" s="23"/>
      <c r="AA5297" s="23"/>
      <c r="AB5297" s="15"/>
      <c r="AC5297" s="14"/>
      <c r="AD5297" s="18"/>
      <c r="AE5297" s="18"/>
    </row>
    <row r="5298" customFormat="false" ht="15" hidden="false" customHeight="true" outlineLevel="0" collapsed="false">
      <c r="A5298" s="12"/>
      <c r="B5298" s="13"/>
      <c r="C5298" s="14"/>
      <c r="D5298" s="13"/>
      <c r="E5298" s="15"/>
      <c r="F5298" s="15"/>
      <c r="G5298" s="15"/>
      <c r="H5298" s="13"/>
      <c r="I5298" s="13"/>
      <c r="J5298" s="16"/>
      <c r="K5298" s="16"/>
      <c r="L5298" s="17" t="str">
        <f aca="false" t="array" ref="L5298:L5298">IFERROR(INDEX(AC5298:AE5298,IF(COUNTA(AC5298:AE5298)=0,"",MAX((AC5298:AE5298&lt;&gt;"")*(COLUMN(AC5298:AE5298)-(COLUMN(AC5298)-2))))-1),"")</f>
        <v/>
      </c>
      <c r="M5298" s="13"/>
      <c r="N5298" s="13"/>
      <c r="O5298" s="13"/>
      <c r="P5298" s="26"/>
      <c r="Q5298" s="20"/>
      <c r="R5298" s="13"/>
      <c r="S5298" s="25"/>
      <c r="T5298" s="13"/>
      <c r="U5298" s="13"/>
      <c r="V5298" s="13"/>
      <c r="W5298" s="13"/>
      <c r="X5298" s="21"/>
      <c r="Y5298" s="22"/>
      <c r="Z5298" s="23"/>
      <c r="AA5298" s="23"/>
      <c r="AB5298" s="15"/>
      <c r="AC5298" s="14"/>
      <c r="AD5298" s="18"/>
      <c r="AE5298" s="18"/>
    </row>
    <row r="5299" customFormat="false" ht="15" hidden="false" customHeight="true" outlineLevel="0" collapsed="false">
      <c r="A5299" s="12"/>
      <c r="B5299" s="13"/>
      <c r="C5299" s="14"/>
      <c r="D5299" s="13"/>
      <c r="E5299" s="15"/>
      <c r="F5299" s="15"/>
      <c r="G5299" s="15"/>
      <c r="H5299" s="13"/>
      <c r="I5299" s="13"/>
      <c r="J5299" s="16"/>
      <c r="K5299" s="16"/>
      <c r="L5299" s="17" t="str">
        <f aca="false" t="array" ref="L5299:L5299">IFERROR(INDEX(AC5299:AE5299,IF(COUNTA(AC5299:AE5299)=0,"",MAX((AC5299:AE5299&lt;&gt;"")*(COLUMN(AC5299:AE5299)-(COLUMN(AC5299)-2))))-1),"")</f>
        <v/>
      </c>
      <c r="M5299" s="13"/>
      <c r="N5299" s="13"/>
      <c r="O5299" s="13"/>
      <c r="P5299" s="26"/>
      <c r="Q5299" s="20"/>
      <c r="R5299" s="13"/>
      <c r="S5299" s="25"/>
      <c r="T5299" s="13"/>
      <c r="U5299" s="13"/>
      <c r="V5299" s="13"/>
      <c r="W5299" s="13"/>
      <c r="X5299" s="21"/>
      <c r="Y5299" s="22"/>
      <c r="Z5299" s="23"/>
      <c r="AA5299" s="23"/>
      <c r="AB5299" s="15"/>
      <c r="AC5299" s="14"/>
      <c r="AD5299" s="18"/>
      <c r="AE5299" s="18"/>
    </row>
    <row r="5300" customFormat="false" ht="15" hidden="false" customHeight="true" outlineLevel="0" collapsed="false">
      <c r="A5300" s="12"/>
      <c r="B5300" s="13"/>
      <c r="C5300" s="14"/>
      <c r="D5300" s="13"/>
      <c r="E5300" s="15"/>
      <c r="F5300" s="15"/>
      <c r="G5300" s="15"/>
      <c r="H5300" s="13"/>
      <c r="I5300" s="13"/>
      <c r="J5300" s="16"/>
      <c r="K5300" s="16"/>
      <c r="L5300" s="17" t="str">
        <f aca="false" t="array" ref="L5300:L5300">IFERROR(INDEX(AC5300:AE5300,IF(COUNTA(AC5300:AE5300)=0,"",MAX((AC5300:AE5300&lt;&gt;"")*(COLUMN(AC5300:AE5300)-(COLUMN(AC5300)-2))))-1),"")</f>
        <v/>
      </c>
      <c r="M5300" s="13"/>
      <c r="N5300" s="13"/>
      <c r="O5300" s="13"/>
      <c r="P5300" s="26"/>
      <c r="Q5300" s="20"/>
      <c r="R5300" s="13"/>
      <c r="S5300" s="25"/>
      <c r="T5300" s="13"/>
      <c r="U5300" s="13"/>
      <c r="V5300" s="13"/>
      <c r="W5300" s="13"/>
      <c r="X5300" s="21"/>
      <c r="Y5300" s="22"/>
      <c r="Z5300" s="23"/>
      <c r="AA5300" s="23"/>
      <c r="AB5300" s="15"/>
      <c r="AC5300" s="14"/>
      <c r="AD5300" s="18"/>
      <c r="AE5300" s="18"/>
    </row>
    <row r="5301" customFormat="false" ht="15" hidden="false" customHeight="true" outlineLevel="0" collapsed="false">
      <c r="A5301" s="12"/>
      <c r="B5301" s="13"/>
      <c r="C5301" s="14"/>
      <c r="D5301" s="13"/>
      <c r="E5301" s="15"/>
      <c r="F5301" s="15"/>
      <c r="G5301" s="15"/>
      <c r="H5301" s="13"/>
      <c r="I5301" s="13"/>
      <c r="J5301" s="16"/>
      <c r="K5301" s="16"/>
      <c r="L5301" s="17" t="str">
        <f aca="false" t="array" ref="L5301:L5301">IFERROR(INDEX(AC5301:AE5301,IF(COUNTA(AC5301:AE5301)=0,"",MAX((AC5301:AE5301&lt;&gt;"")*(COLUMN(AC5301:AE5301)-(COLUMN(AC5301)-2))))-1),"")</f>
        <v/>
      </c>
      <c r="M5301" s="13"/>
      <c r="N5301" s="13"/>
      <c r="O5301" s="13"/>
      <c r="P5301" s="26"/>
      <c r="Q5301" s="20"/>
      <c r="R5301" s="13"/>
      <c r="S5301" s="25"/>
      <c r="T5301" s="13"/>
      <c r="U5301" s="13"/>
      <c r="V5301" s="13"/>
      <c r="W5301" s="13"/>
      <c r="X5301" s="21"/>
      <c r="Y5301" s="22"/>
      <c r="Z5301" s="23"/>
      <c r="AA5301" s="23"/>
      <c r="AB5301" s="15"/>
      <c r="AC5301" s="14"/>
      <c r="AD5301" s="18"/>
      <c r="AE5301" s="18"/>
    </row>
    <row r="5302" customFormat="false" ht="15" hidden="false" customHeight="true" outlineLevel="0" collapsed="false">
      <c r="A5302" s="12"/>
      <c r="B5302" s="13"/>
      <c r="C5302" s="14"/>
      <c r="D5302" s="13"/>
      <c r="E5302" s="15"/>
      <c r="F5302" s="15"/>
      <c r="G5302" s="15"/>
      <c r="H5302" s="13"/>
      <c r="I5302" s="13"/>
      <c r="J5302" s="16"/>
      <c r="K5302" s="16"/>
      <c r="L5302" s="17" t="str">
        <f aca="false" t="array" ref="L5302:L5302">IFERROR(INDEX(AC5302:AE5302,IF(COUNTA(AC5302:AE5302)=0,"",MAX((AC5302:AE5302&lt;&gt;"")*(COLUMN(AC5302:AE5302)-(COLUMN(AC5302)-2))))-1),"")</f>
        <v/>
      </c>
      <c r="M5302" s="13"/>
      <c r="N5302" s="13"/>
      <c r="O5302" s="13"/>
      <c r="P5302" s="26"/>
      <c r="Q5302" s="20"/>
      <c r="R5302" s="13"/>
      <c r="S5302" s="25"/>
      <c r="T5302" s="13"/>
      <c r="U5302" s="13"/>
      <c r="V5302" s="13"/>
      <c r="W5302" s="13"/>
      <c r="X5302" s="21"/>
      <c r="Y5302" s="22"/>
      <c r="Z5302" s="23"/>
      <c r="AA5302" s="23"/>
      <c r="AB5302" s="15"/>
      <c r="AC5302" s="14"/>
      <c r="AD5302" s="18"/>
      <c r="AE5302" s="18"/>
    </row>
    <row r="5303" customFormat="false" ht="15" hidden="false" customHeight="true" outlineLevel="0" collapsed="false">
      <c r="A5303" s="12"/>
      <c r="B5303" s="13"/>
      <c r="C5303" s="14"/>
      <c r="D5303" s="13"/>
      <c r="E5303" s="15"/>
      <c r="F5303" s="15"/>
      <c r="G5303" s="15"/>
      <c r="H5303" s="13"/>
      <c r="I5303" s="13"/>
      <c r="J5303" s="16"/>
      <c r="K5303" s="16"/>
      <c r="L5303" s="17" t="str">
        <f aca="false" t="array" ref="L5303:L5303">IFERROR(INDEX(AC5303:AE5303,IF(COUNTA(AC5303:AE5303)=0,"",MAX((AC5303:AE5303&lt;&gt;"")*(COLUMN(AC5303:AE5303)-(COLUMN(AC5303)-2))))-1),"")</f>
        <v/>
      </c>
      <c r="M5303" s="13"/>
      <c r="N5303" s="13"/>
      <c r="O5303" s="13"/>
      <c r="P5303" s="26"/>
      <c r="Q5303" s="20"/>
      <c r="R5303" s="13"/>
      <c r="S5303" s="25"/>
      <c r="T5303" s="13"/>
      <c r="U5303" s="13"/>
      <c r="V5303" s="13"/>
      <c r="W5303" s="13"/>
      <c r="X5303" s="21"/>
      <c r="Y5303" s="22"/>
      <c r="Z5303" s="23"/>
      <c r="AA5303" s="23"/>
      <c r="AB5303" s="15"/>
      <c r="AC5303" s="14"/>
      <c r="AD5303" s="18"/>
      <c r="AE5303" s="18"/>
    </row>
    <row r="5304" customFormat="false" ht="15" hidden="false" customHeight="true" outlineLevel="0" collapsed="false">
      <c r="A5304" s="12"/>
      <c r="B5304" s="13"/>
      <c r="C5304" s="14"/>
      <c r="D5304" s="13"/>
      <c r="E5304" s="15"/>
      <c r="F5304" s="15"/>
      <c r="G5304" s="15"/>
      <c r="H5304" s="13"/>
      <c r="I5304" s="13"/>
      <c r="J5304" s="16"/>
      <c r="K5304" s="16"/>
      <c r="L5304" s="17" t="str">
        <f aca="false" t="array" ref="L5304:L5304">IFERROR(INDEX(AC5304:AE5304,IF(COUNTA(AC5304:AE5304)=0,"",MAX((AC5304:AE5304&lt;&gt;"")*(COLUMN(AC5304:AE5304)-(COLUMN(AC5304)-2))))-1),"")</f>
        <v/>
      </c>
      <c r="M5304" s="13"/>
      <c r="N5304" s="13"/>
      <c r="O5304" s="13"/>
      <c r="P5304" s="26"/>
      <c r="Q5304" s="20"/>
      <c r="R5304" s="13"/>
      <c r="S5304" s="25"/>
      <c r="T5304" s="13"/>
      <c r="U5304" s="13"/>
      <c r="V5304" s="13"/>
      <c r="W5304" s="13"/>
      <c r="X5304" s="21"/>
      <c r="Y5304" s="22"/>
      <c r="Z5304" s="23"/>
      <c r="AA5304" s="23"/>
      <c r="AB5304" s="15"/>
      <c r="AC5304" s="14"/>
      <c r="AD5304" s="18"/>
      <c r="AE5304" s="18"/>
    </row>
    <row r="5305" customFormat="false" ht="15" hidden="false" customHeight="true" outlineLevel="0" collapsed="false">
      <c r="A5305" s="12"/>
      <c r="B5305" s="13"/>
      <c r="C5305" s="14"/>
      <c r="D5305" s="13"/>
      <c r="E5305" s="15"/>
      <c r="F5305" s="15"/>
      <c r="G5305" s="15"/>
      <c r="H5305" s="13"/>
      <c r="I5305" s="13"/>
      <c r="J5305" s="16"/>
      <c r="K5305" s="16"/>
      <c r="L5305" s="17" t="str">
        <f aca="false" t="array" ref="L5305:L5305">IFERROR(INDEX(AC5305:AE5305,IF(COUNTA(AC5305:AE5305)=0,"",MAX((AC5305:AE5305&lt;&gt;"")*(COLUMN(AC5305:AE5305)-(COLUMN(AC5305)-2))))-1),"")</f>
        <v/>
      </c>
      <c r="M5305" s="13"/>
      <c r="N5305" s="13"/>
      <c r="O5305" s="13"/>
      <c r="P5305" s="26"/>
      <c r="Q5305" s="20"/>
      <c r="R5305" s="13"/>
      <c r="S5305" s="25"/>
      <c r="T5305" s="13"/>
      <c r="U5305" s="13"/>
      <c r="V5305" s="13"/>
      <c r="W5305" s="13"/>
      <c r="X5305" s="21"/>
      <c r="Y5305" s="22"/>
      <c r="Z5305" s="23"/>
      <c r="AA5305" s="23"/>
      <c r="AB5305" s="15"/>
      <c r="AC5305" s="14"/>
      <c r="AD5305" s="18"/>
      <c r="AE5305" s="18"/>
    </row>
    <row r="5306" customFormat="false" ht="15" hidden="false" customHeight="true" outlineLevel="0" collapsed="false">
      <c r="A5306" s="12"/>
      <c r="B5306" s="13"/>
      <c r="C5306" s="14"/>
      <c r="D5306" s="13"/>
      <c r="E5306" s="15"/>
      <c r="F5306" s="15"/>
      <c r="G5306" s="15"/>
      <c r="H5306" s="13"/>
      <c r="I5306" s="13"/>
      <c r="J5306" s="16"/>
      <c r="K5306" s="16"/>
      <c r="L5306" s="17" t="str">
        <f aca="false" t="array" ref="L5306:L5306">IFERROR(INDEX(AC5306:AE5306,IF(COUNTA(AC5306:AE5306)=0,"",MAX((AC5306:AE5306&lt;&gt;"")*(COLUMN(AC5306:AE5306)-(COLUMN(AC5306)-2))))-1),"")</f>
        <v/>
      </c>
      <c r="M5306" s="13"/>
      <c r="N5306" s="13"/>
      <c r="O5306" s="13"/>
      <c r="P5306" s="26"/>
      <c r="Q5306" s="20"/>
      <c r="R5306" s="13"/>
      <c r="S5306" s="25"/>
      <c r="T5306" s="13"/>
      <c r="U5306" s="13"/>
      <c r="V5306" s="13"/>
      <c r="W5306" s="13"/>
      <c r="X5306" s="21"/>
      <c r="Y5306" s="22"/>
      <c r="Z5306" s="23"/>
      <c r="AA5306" s="23"/>
      <c r="AB5306" s="15"/>
      <c r="AC5306" s="14"/>
      <c r="AD5306" s="18"/>
      <c r="AE5306" s="18"/>
    </row>
    <row r="5307" customFormat="false" ht="15" hidden="false" customHeight="true" outlineLevel="0" collapsed="false">
      <c r="A5307" s="12"/>
      <c r="B5307" s="13"/>
      <c r="C5307" s="14"/>
      <c r="D5307" s="13"/>
      <c r="E5307" s="15"/>
      <c r="F5307" s="15"/>
      <c r="G5307" s="15"/>
      <c r="H5307" s="13"/>
      <c r="I5307" s="13"/>
      <c r="J5307" s="16"/>
      <c r="K5307" s="16"/>
      <c r="L5307" s="17" t="str">
        <f aca="false" t="array" ref="L5307:L5307">IFERROR(INDEX(AC5307:AE5307,IF(COUNTA(AC5307:AE5307)=0,"",MAX((AC5307:AE5307&lt;&gt;"")*(COLUMN(AC5307:AE5307)-(COLUMN(AC5307)-2))))-1),"")</f>
        <v/>
      </c>
      <c r="M5307" s="13"/>
      <c r="N5307" s="13"/>
      <c r="O5307" s="13"/>
      <c r="P5307" s="26"/>
      <c r="Q5307" s="20"/>
      <c r="R5307" s="13"/>
      <c r="S5307" s="25"/>
      <c r="T5307" s="13"/>
      <c r="U5307" s="13"/>
      <c r="V5307" s="13"/>
      <c r="W5307" s="13"/>
      <c r="X5307" s="21"/>
      <c r="Y5307" s="22"/>
      <c r="Z5307" s="23"/>
      <c r="AA5307" s="23"/>
      <c r="AB5307" s="15"/>
      <c r="AC5307" s="14"/>
      <c r="AD5307" s="18"/>
      <c r="AE5307" s="18"/>
    </row>
    <row r="5308" customFormat="false" ht="15" hidden="false" customHeight="true" outlineLevel="0" collapsed="false">
      <c r="A5308" s="12"/>
      <c r="B5308" s="13"/>
      <c r="C5308" s="14"/>
      <c r="D5308" s="13"/>
      <c r="E5308" s="15"/>
      <c r="F5308" s="15"/>
      <c r="G5308" s="15"/>
      <c r="H5308" s="13"/>
      <c r="I5308" s="13"/>
      <c r="J5308" s="16"/>
      <c r="K5308" s="16"/>
      <c r="L5308" s="17" t="str">
        <f aca="false" t="array" ref="L5308:L5308">IFERROR(INDEX(AC5308:AE5308,IF(COUNTA(AC5308:AE5308)=0,"",MAX((AC5308:AE5308&lt;&gt;"")*(COLUMN(AC5308:AE5308)-(COLUMN(AC5308)-2))))-1),"")</f>
        <v/>
      </c>
      <c r="M5308" s="13"/>
      <c r="N5308" s="13"/>
      <c r="O5308" s="13"/>
      <c r="P5308" s="26"/>
      <c r="Q5308" s="20"/>
      <c r="R5308" s="13"/>
      <c r="S5308" s="25"/>
      <c r="T5308" s="13"/>
      <c r="U5308" s="13"/>
      <c r="V5308" s="13"/>
      <c r="W5308" s="13"/>
      <c r="X5308" s="21"/>
      <c r="Y5308" s="22"/>
      <c r="Z5308" s="23"/>
      <c r="AA5308" s="23"/>
      <c r="AB5308" s="15"/>
      <c r="AC5308" s="14"/>
      <c r="AD5308" s="18"/>
      <c r="AE5308" s="18"/>
    </row>
    <row r="5309" customFormat="false" ht="15" hidden="false" customHeight="true" outlineLevel="0" collapsed="false">
      <c r="A5309" s="12"/>
      <c r="B5309" s="13"/>
      <c r="C5309" s="14"/>
      <c r="D5309" s="13"/>
      <c r="E5309" s="15"/>
      <c r="F5309" s="15"/>
      <c r="G5309" s="15"/>
      <c r="H5309" s="13"/>
      <c r="I5309" s="13"/>
      <c r="J5309" s="16"/>
      <c r="K5309" s="16"/>
      <c r="L5309" s="17" t="str">
        <f aca="false" t="array" ref="L5309:L5309">IFERROR(INDEX(AC5309:AE5309,IF(COUNTA(AC5309:AE5309)=0,"",MAX((AC5309:AE5309&lt;&gt;"")*(COLUMN(AC5309:AE5309)-(COLUMN(AC5309)-2))))-1),"")</f>
        <v/>
      </c>
      <c r="M5309" s="13"/>
      <c r="N5309" s="13"/>
      <c r="O5309" s="13"/>
      <c r="P5309" s="26"/>
      <c r="Q5309" s="20"/>
      <c r="R5309" s="13"/>
      <c r="S5309" s="25"/>
      <c r="T5309" s="13"/>
      <c r="U5309" s="13"/>
      <c r="V5309" s="13"/>
      <c r="W5309" s="13"/>
      <c r="X5309" s="21"/>
      <c r="Y5309" s="22"/>
      <c r="Z5309" s="23"/>
      <c r="AA5309" s="23"/>
      <c r="AB5309" s="15"/>
      <c r="AC5309" s="14"/>
      <c r="AD5309" s="18"/>
      <c r="AE5309" s="18"/>
    </row>
    <row r="5310" customFormat="false" ht="15" hidden="false" customHeight="true" outlineLevel="0" collapsed="false">
      <c r="A5310" s="12"/>
      <c r="B5310" s="13"/>
      <c r="C5310" s="14"/>
      <c r="D5310" s="13"/>
      <c r="E5310" s="15"/>
      <c r="F5310" s="15"/>
      <c r="G5310" s="15"/>
      <c r="H5310" s="13"/>
      <c r="I5310" s="13"/>
      <c r="J5310" s="16"/>
      <c r="K5310" s="16"/>
      <c r="L5310" s="17" t="str">
        <f aca="false" t="array" ref="L5310:L5310">IFERROR(INDEX(AC5310:AE5310,IF(COUNTA(AC5310:AE5310)=0,"",MAX((AC5310:AE5310&lt;&gt;"")*(COLUMN(AC5310:AE5310)-(COLUMN(AC5310)-2))))-1),"")</f>
        <v/>
      </c>
      <c r="M5310" s="13"/>
      <c r="N5310" s="13"/>
      <c r="O5310" s="13"/>
      <c r="P5310" s="26"/>
      <c r="Q5310" s="20"/>
      <c r="R5310" s="13"/>
      <c r="S5310" s="25"/>
      <c r="T5310" s="13"/>
      <c r="U5310" s="13"/>
      <c r="V5310" s="13"/>
      <c r="W5310" s="13"/>
      <c r="X5310" s="21"/>
      <c r="Y5310" s="22"/>
      <c r="Z5310" s="23"/>
      <c r="AA5310" s="23"/>
      <c r="AB5310" s="15"/>
      <c r="AC5310" s="14"/>
      <c r="AD5310" s="18"/>
      <c r="AE5310" s="18"/>
    </row>
    <row r="5311" customFormat="false" ht="15" hidden="false" customHeight="true" outlineLevel="0" collapsed="false">
      <c r="A5311" s="12"/>
      <c r="B5311" s="13"/>
      <c r="C5311" s="14"/>
      <c r="D5311" s="13"/>
      <c r="E5311" s="15"/>
      <c r="F5311" s="15"/>
      <c r="G5311" s="15"/>
      <c r="H5311" s="13"/>
      <c r="I5311" s="13"/>
      <c r="J5311" s="16"/>
      <c r="K5311" s="16"/>
      <c r="L5311" s="17" t="str">
        <f aca="false" t="array" ref="L5311:L5311">IFERROR(INDEX(AC5311:AE5311,IF(COUNTA(AC5311:AE5311)=0,"",MAX((AC5311:AE5311&lt;&gt;"")*(COLUMN(AC5311:AE5311)-(COLUMN(AC5311)-2))))-1),"")</f>
        <v/>
      </c>
      <c r="M5311" s="13"/>
      <c r="N5311" s="13"/>
      <c r="O5311" s="13"/>
      <c r="P5311" s="26"/>
      <c r="Q5311" s="20"/>
      <c r="R5311" s="13"/>
      <c r="S5311" s="25"/>
      <c r="T5311" s="13"/>
      <c r="U5311" s="13"/>
      <c r="V5311" s="13"/>
      <c r="W5311" s="13"/>
      <c r="X5311" s="21"/>
      <c r="Y5311" s="22"/>
      <c r="Z5311" s="23"/>
      <c r="AA5311" s="23"/>
      <c r="AB5311" s="15"/>
      <c r="AC5311" s="14"/>
      <c r="AD5311" s="18"/>
      <c r="AE5311" s="18"/>
    </row>
    <row r="5312" customFormat="false" ht="15" hidden="false" customHeight="true" outlineLevel="0" collapsed="false">
      <c r="A5312" s="12"/>
      <c r="B5312" s="13"/>
      <c r="C5312" s="14"/>
      <c r="D5312" s="13"/>
      <c r="E5312" s="15"/>
      <c r="F5312" s="15"/>
      <c r="G5312" s="15"/>
      <c r="H5312" s="13"/>
      <c r="I5312" s="13"/>
      <c r="J5312" s="16"/>
      <c r="K5312" s="16"/>
      <c r="L5312" s="17" t="str">
        <f aca="false" t="array" ref="L5312:L5312">IFERROR(INDEX(AC5312:AE5312,IF(COUNTA(AC5312:AE5312)=0,"",MAX((AC5312:AE5312&lt;&gt;"")*(COLUMN(AC5312:AE5312)-(COLUMN(AC5312)-2))))-1),"")</f>
        <v/>
      </c>
      <c r="M5312" s="13"/>
      <c r="N5312" s="13"/>
      <c r="O5312" s="13"/>
      <c r="P5312" s="26"/>
      <c r="Q5312" s="20"/>
      <c r="R5312" s="13"/>
      <c r="S5312" s="25"/>
      <c r="T5312" s="13"/>
      <c r="U5312" s="13"/>
      <c r="V5312" s="13"/>
      <c r="W5312" s="13"/>
      <c r="X5312" s="21"/>
      <c r="Y5312" s="22"/>
      <c r="Z5312" s="23"/>
      <c r="AA5312" s="23"/>
      <c r="AB5312" s="15"/>
      <c r="AC5312" s="14"/>
      <c r="AD5312" s="18"/>
      <c r="AE5312" s="18"/>
    </row>
    <row r="5313" customFormat="false" ht="15" hidden="false" customHeight="true" outlineLevel="0" collapsed="false">
      <c r="A5313" s="12"/>
      <c r="B5313" s="13"/>
      <c r="C5313" s="14"/>
      <c r="D5313" s="13"/>
      <c r="E5313" s="15"/>
      <c r="F5313" s="15"/>
      <c r="G5313" s="15"/>
      <c r="H5313" s="13"/>
      <c r="I5313" s="13"/>
      <c r="J5313" s="16"/>
      <c r="K5313" s="16"/>
      <c r="L5313" s="17" t="str">
        <f aca="false" t="array" ref="L5313:L5313">IFERROR(INDEX(AC5313:AE5313,IF(COUNTA(AC5313:AE5313)=0,"",MAX((AC5313:AE5313&lt;&gt;"")*(COLUMN(AC5313:AE5313)-(COLUMN(AC5313)-2))))-1),"")</f>
        <v/>
      </c>
      <c r="M5313" s="13"/>
      <c r="N5313" s="13"/>
      <c r="O5313" s="13"/>
      <c r="P5313" s="26"/>
      <c r="Q5313" s="20"/>
      <c r="R5313" s="13"/>
      <c r="S5313" s="25"/>
      <c r="T5313" s="13"/>
      <c r="U5313" s="13"/>
      <c r="V5313" s="13"/>
      <c r="W5313" s="13"/>
      <c r="X5313" s="21"/>
      <c r="Y5313" s="22"/>
      <c r="Z5313" s="23"/>
      <c r="AA5313" s="23"/>
      <c r="AB5313" s="15"/>
      <c r="AC5313" s="14"/>
      <c r="AD5313" s="18"/>
      <c r="AE5313" s="18"/>
    </row>
    <row r="5314" customFormat="false" ht="15" hidden="false" customHeight="true" outlineLevel="0" collapsed="false">
      <c r="A5314" s="12"/>
      <c r="B5314" s="13"/>
      <c r="C5314" s="14"/>
      <c r="D5314" s="13"/>
      <c r="E5314" s="15"/>
      <c r="F5314" s="15"/>
      <c r="G5314" s="15"/>
      <c r="H5314" s="13"/>
      <c r="I5314" s="13"/>
      <c r="J5314" s="16"/>
      <c r="K5314" s="16"/>
      <c r="L5314" s="17" t="str">
        <f aca="false" t="array" ref="L5314:L5314">IFERROR(INDEX(AC5314:AE5314,IF(COUNTA(AC5314:AE5314)=0,"",MAX((AC5314:AE5314&lt;&gt;"")*(COLUMN(AC5314:AE5314)-(COLUMN(AC5314)-2))))-1),"")</f>
        <v/>
      </c>
      <c r="M5314" s="13"/>
      <c r="N5314" s="13"/>
      <c r="O5314" s="13"/>
      <c r="P5314" s="26"/>
      <c r="Q5314" s="20"/>
      <c r="R5314" s="13"/>
      <c r="S5314" s="25"/>
      <c r="T5314" s="13"/>
      <c r="U5314" s="13"/>
      <c r="V5314" s="13"/>
      <c r="W5314" s="13"/>
      <c r="X5314" s="21"/>
      <c r="Y5314" s="22"/>
      <c r="Z5314" s="23"/>
      <c r="AA5314" s="23"/>
      <c r="AB5314" s="15"/>
      <c r="AC5314" s="14"/>
      <c r="AD5314" s="18"/>
      <c r="AE5314" s="18"/>
    </row>
    <row r="5315" customFormat="false" ht="15" hidden="false" customHeight="true" outlineLevel="0" collapsed="false">
      <c r="A5315" s="12"/>
      <c r="B5315" s="13"/>
      <c r="C5315" s="14"/>
      <c r="D5315" s="13"/>
      <c r="E5315" s="15"/>
      <c r="F5315" s="15"/>
      <c r="G5315" s="15"/>
      <c r="H5315" s="13"/>
      <c r="I5315" s="13"/>
      <c r="J5315" s="16"/>
      <c r="K5315" s="16"/>
      <c r="L5315" s="17" t="str">
        <f aca="false" t="array" ref="L5315:L5315">IFERROR(INDEX(AC5315:AE5315,IF(COUNTA(AC5315:AE5315)=0,"",MAX((AC5315:AE5315&lt;&gt;"")*(COLUMN(AC5315:AE5315)-(COLUMN(AC5315)-2))))-1),"")</f>
        <v/>
      </c>
      <c r="M5315" s="13"/>
      <c r="N5315" s="13"/>
      <c r="O5315" s="13"/>
      <c r="P5315" s="26"/>
      <c r="Q5315" s="20"/>
      <c r="R5315" s="13"/>
      <c r="S5315" s="25"/>
      <c r="T5315" s="13"/>
      <c r="U5315" s="13"/>
      <c r="V5315" s="13"/>
      <c r="W5315" s="13"/>
      <c r="X5315" s="21"/>
      <c r="Y5315" s="22"/>
      <c r="Z5315" s="23"/>
      <c r="AA5315" s="23"/>
      <c r="AB5315" s="15"/>
      <c r="AC5315" s="14"/>
      <c r="AD5315" s="18"/>
      <c r="AE5315" s="18"/>
    </row>
    <row r="5316" customFormat="false" ht="15" hidden="false" customHeight="true" outlineLevel="0" collapsed="false">
      <c r="A5316" s="12"/>
      <c r="B5316" s="13"/>
      <c r="C5316" s="14"/>
      <c r="D5316" s="13"/>
      <c r="E5316" s="15"/>
      <c r="F5316" s="15"/>
      <c r="G5316" s="15"/>
      <c r="H5316" s="13"/>
      <c r="I5316" s="13"/>
      <c r="J5316" s="16"/>
      <c r="K5316" s="16"/>
      <c r="L5316" s="17" t="str">
        <f aca="false" t="array" ref="L5316:L5316">IFERROR(INDEX(AC5316:AE5316,IF(COUNTA(AC5316:AE5316)=0,"",MAX((AC5316:AE5316&lt;&gt;"")*(COLUMN(AC5316:AE5316)-(COLUMN(AC5316)-2))))-1),"")</f>
        <v/>
      </c>
      <c r="M5316" s="13"/>
      <c r="N5316" s="13"/>
      <c r="O5316" s="13"/>
      <c r="P5316" s="26"/>
      <c r="Q5316" s="20"/>
      <c r="R5316" s="13"/>
      <c r="S5316" s="25"/>
      <c r="T5316" s="13"/>
      <c r="U5316" s="13"/>
      <c r="V5316" s="13"/>
      <c r="W5316" s="13"/>
      <c r="X5316" s="21"/>
      <c r="Y5316" s="22"/>
      <c r="Z5316" s="23"/>
      <c r="AA5316" s="23"/>
      <c r="AB5316" s="15"/>
      <c r="AC5316" s="14"/>
      <c r="AD5316" s="18"/>
      <c r="AE5316" s="18"/>
    </row>
    <row r="5317" customFormat="false" ht="15" hidden="false" customHeight="true" outlineLevel="0" collapsed="false">
      <c r="A5317" s="12"/>
      <c r="B5317" s="13"/>
      <c r="C5317" s="14"/>
      <c r="D5317" s="13"/>
      <c r="E5317" s="15"/>
      <c r="F5317" s="15"/>
      <c r="G5317" s="15"/>
      <c r="H5317" s="13"/>
      <c r="I5317" s="13"/>
      <c r="J5317" s="16"/>
      <c r="K5317" s="16"/>
      <c r="L5317" s="17" t="str">
        <f aca="false" t="array" ref="L5317:L5317">IFERROR(INDEX(AC5317:AE5317,IF(COUNTA(AC5317:AE5317)=0,"",MAX((AC5317:AE5317&lt;&gt;"")*(COLUMN(AC5317:AE5317)-(COLUMN(AC5317)-2))))-1),"")</f>
        <v/>
      </c>
      <c r="M5317" s="13"/>
      <c r="N5317" s="13"/>
      <c r="O5317" s="13"/>
      <c r="P5317" s="26"/>
      <c r="Q5317" s="20"/>
      <c r="R5317" s="13"/>
      <c r="S5317" s="25"/>
      <c r="T5317" s="13"/>
      <c r="U5317" s="13"/>
      <c r="V5317" s="13"/>
      <c r="W5317" s="13"/>
      <c r="X5317" s="21"/>
      <c r="Y5317" s="22"/>
      <c r="Z5317" s="23"/>
      <c r="AA5317" s="23"/>
      <c r="AB5317" s="15"/>
      <c r="AC5317" s="14"/>
      <c r="AD5317" s="18"/>
      <c r="AE5317" s="18"/>
    </row>
    <row r="5318" customFormat="false" ht="15" hidden="false" customHeight="true" outlineLevel="0" collapsed="false">
      <c r="A5318" s="12"/>
      <c r="B5318" s="13"/>
      <c r="C5318" s="14"/>
      <c r="D5318" s="13"/>
      <c r="E5318" s="15"/>
      <c r="F5318" s="15"/>
      <c r="G5318" s="15"/>
      <c r="H5318" s="13"/>
      <c r="I5318" s="13"/>
      <c r="J5318" s="16"/>
      <c r="K5318" s="16"/>
      <c r="L5318" s="17" t="str">
        <f aca="false" t="array" ref="L5318:L5318">IFERROR(INDEX(AC5318:AE5318,IF(COUNTA(AC5318:AE5318)=0,"",MAX((AC5318:AE5318&lt;&gt;"")*(COLUMN(AC5318:AE5318)-(COLUMN(AC5318)-2))))-1),"")</f>
        <v/>
      </c>
      <c r="M5318" s="13"/>
      <c r="N5318" s="13"/>
      <c r="O5318" s="13"/>
      <c r="P5318" s="26"/>
      <c r="Q5318" s="20"/>
      <c r="R5318" s="13"/>
      <c r="S5318" s="25"/>
      <c r="T5318" s="13"/>
      <c r="U5318" s="13"/>
      <c r="V5318" s="13"/>
      <c r="W5318" s="13"/>
      <c r="X5318" s="21"/>
      <c r="Y5318" s="22"/>
      <c r="Z5318" s="23"/>
      <c r="AA5318" s="23"/>
      <c r="AB5318" s="15"/>
      <c r="AC5318" s="14"/>
      <c r="AD5318" s="18"/>
      <c r="AE5318" s="18"/>
    </row>
    <row r="5319" customFormat="false" ht="15" hidden="false" customHeight="true" outlineLevel="0" collapsed="false">
      <c r="A5319" s="12"/>
      <c r="B5319" s="13"/>
      <c r="C5319" s="14"/>
      <c r="D5319" s="13"/>
      <c r="E5319" s="15"/>
      <c r="F5319" s="15"/>
      <c r="G5319" s="15"/>
      <c r="H5319" s="13"/>
      <c r="I5319" s="13"/>
      <c r="J5319" s="16"/>
      <c r="K5319" s="16"/>
      <c r="L5319" s="17" t="str">
        <f aca="false" t="array" ref="L5319:L5319">IFERROR(INDEX(AC5319:AE5319,IF(COUNTA(AC5319:AE5319)=0,"",MAX((AC5319:AE5319&lt;&gt;"")*(COLUMN(AC5319:AE5319)-(COLUMN(AC5319)-2))))-1),"")</f>
        <v/>
      </c>
      <c r="M5319" s="13"/>
      <c r="N5319" s="13"/>
      <c r="O5319" s="13"/>
      <c r="P5319" s="26"/>
      <c r="Q5319" s="20"/>
      <c r="R5319" s="13"/>
      <c r="S5319" s="25"/>
      <c r="T5319" s="13"/>
      <c r="U5319" s="13"/>
      <c r="V5319" s="13"/>
      <c r="W5319" s="13"/>
      <c r="X5319" s="21"/>
      <c r="Y5319" s="22"/>
      <c r="Z5319" s="23"/>
      <c r="AA5319" s="23"/>
      <c r="AB5319" s="15"/>
      <c r="AC5319" s="14"/>
      <c r="AD5319" s="18"/>
      <c r="AE5319" s="18"/>
    </row>
    <row r="5320" customFormat="false" ht="15" hidden="false" customHeight="true" outlineLevel="0" collapsed="false">
      <c r="A5320" s="12"/>
      <c r="B5320" s="13"/>
      <c r="C5320" s="14"/>
      <c r="D5320" s="13"/>
      <c r="E5320" s="15"/>
      <c r="F5320" s="15"/>
      <c r="G5320" s="15"/>
      <c r="H5320" s="13"/>
      <c r="I5320" s="13"/>
      <c r="J5320" s="16"/>
      <c r="K5320" s="16"/>
      <c r="L5320" s="17" t="str">
        <f aca="false" t="array" ref="L5320:L5320">IFERROR(INDEX(AC5320:AE5320,IF(COUNTA(AC5320:AE5320)=0,"",MAX((AC5320:AE5320&lt;&gt;"")*(COLUMN(AC5320:AE5320)-(COLUMN(AC5320)-2))))-1),"")</f>
        <v/>
      </c>
      <c r="M5320" s="13"/>
      <c r="N5320" s="13"/>
      <c r="O5320" s="13"/>
      <c r="P5320" s="26"/>
      <c r="Q5320" s="20"/>
      <c r="R5320" s="13"/>
      <c r="S5320" s="25"/>
      <c r="T5320" s="13"/>
      <c r="U5320" s="13"/>
      <c r="V5320" s="13"/>
      <c r="W5320" s="13"/>
      <c r="X5320" s="21"/>
      <c r="Y5320" s="22"/>
      <c r="Z5320" s="23"/>
      <c r="AA5320" s="23"/>
      <c r="AB5320" s="15"/>
      <c r="AC5320" s="14"/>
      <c r="AD5320" s="18"/>
      <c r="AE5320" s="18"/>
    </row>
    <row r="5321" customFormat="false" ht="15" hidden="false" customHeight="true" outlineLevel="0" collapsed="false">
      <c r="A5321" s="12"/>
      <c r="B5321" s="13"/>
      <c r="C5321" s="14"/>
      <c r="D5321" s="13"/>
      <c r="E5321" s="15"/>
      <c r="F5321" s="15"/>
      <c r="G5321" s="15"/>
      <c r="H5321" s="13"/>
      <c r="I5321" s="13"/>
      <c r="J5321" s="16"/>
      <c r="K5321" s="16"/>
      <c r="L5321" s="17" t="str">
        <f aca="false" t="array" ref="L5321:L5321">IFERROR(INDEX(AC5321:AE5321,IF(COUNTA(AC5321:AE5321)=0,"",MAX((AC5321:AE5321&lt;&gt;"")*(COLUMN(AC5321:AE5321)-(COLUMN(AC5321)-2))))-1),"")</f>
        <v/>
      </c>
      <c r="M5321" s="13"/>
      <c r="N5321" s="13"/>
      <c r="O5321" s="13"/>
      <c r="P5321" s="26"/>
      <c r="Q5321" s="20"/>
      <c r="R5321" s="13"/>
      <c r="S5321" s="25"/>
      <c r="T5321" s="13"/>
      <c r="U5321" s="13"/>
      <c r="V5321" s="13"/>
      <c r="W5321" s="13"/>
      <c r="X5321" s="21"/>
      <c r="Y5321" s="22"/>
      <c r="Z5321" s="23"/>
      <c r="AA5321" s="23"/>
      <c r="AB5321" s="15"/>
      <c r="AC5321" s="14"/>
      <c r="AD5321" s="18"/>
      <c r="AE5321" s="18"/>
    </row>
    <row r="5322" customFormat="false" ht="15" hidden="false" customHeight="true" outlineLevel="0" collapsed="false">
      <c r="A5322" s="12"/>
      <c r="B5322" s="13"/>
      <c r="C5322" s="14"/>
      <c r="D5322" s="13"/>
      <c r="E5322" s="15"/>
      <c r="F5322" s="15"/>
      <c r="G5322" s="15"/>
      <c r="H5322" s="13"/>
      <c r="I5322" s="13"/>
      <c r="J5322" s="16"/>
      <c r="K5322" s="16"/>
      <c r="L5322" s="17" t="str">
        <f aca="false" t="array" ref="L5322:L5322">IFERROR(INDEX(AC5322:AE5322,IF(COUNTA(AC5322:AE5322)=0,"",MAX((AC5322:AE5322&lt;&gt;"")*(COLUMN(AC5322:AE5322)-(COLUMN(AC5322)-2))))-1),"")</f>
        <v/>
      </c>
      <c r="M5322" s="13"/>
      <c r="N5322" s="13"/>
      <c r="O5322" s="13"/>
      <c r="P5322" s="26"/>
      <c r="Q5322" s="20"/>
      <c r="R5322" s="13"/>
      <c r="S5322" s="25"/>
      <c r="T5322" s="13"/>
      <c r="U5322" s="13"/>
      <c r="V5322" s="13"/>
      <c r="W5322" s="13"/>
      <c r="X5322" s="21"/>
      <c r="Y5322" s="22"/>
      <c r="Z5322" s="23"/>
      <c r="AA5322" s="23"/>
      <c r="AB5322" s="15"/>
      <c r="AC5322" s="14"/>
      <c r="AD5322" s="18"/>
      <c r="AE5322" s="18"/>
    </row>
    <row r="5323" customFormat="false" ht="15" hidden="false" customHeight="true" outlineLevel="0" collapsed="false">
      <c r="A5323" s="12"/>
      <c r="B5323" s="13"/>
      <c r="C5323" s="14"/>
      <c r="D5323" s="13"/>
      <c r="E5323" s="15"/>
      <c r="F5323" s="15"/>
      <c r="G5323" s="15"/>
      <c r="H5323" s="13"/>
      <c r="I5323" s="13"/>
      <c r="J5323" s="16"/>
      <c r="K5323" s="16"/>
      <c r="L5323" s="17" t="str">
        <f aca="false" t="array" ref="L5323:L5323">IFERROR(INDEX(AC5323:AE5323,IF(COUNTA(AC5323:AE5323)=0,"",MAX((AC5323:AE5323&lt;&gt;"")*(COLUMN(AC5323:AE5323)-(COLUMN(AC5323)-2))))-1),"")</f>
        <v/>
      </c>
      <c r="M5323" s="13"/>
      <c r="N5323" s="13"/>
      <c r="O5323" s="13"/>
      <c r="P5323" s="26"/>
      <c r="Q5323" s="20"/>
      <c r="R5323" s="13"/>
      <c r="S5323" s="25"/>
      <c r="T5323" s="13"/>
      <c r="U5323" s="13"/>
      <c r="V5323" s="13"/>
      <c r="W5323" s="13"/>
      <c r="X5323" s="21"/>
      <c r="Y5323" s="22"/>
      <c r="Z5323" s="23"/>
      <c r="AA5323" s="23"/>
      <c r="AB5323" s="15"/>
      <c r="AC5323" s="14"/>
      <c r="AD5323" s="18"/>
      <c r="AE5323" s="18"/>
    </row>
    <row r="5324" customFormat="false" ht="15" hidden="false" customHeight="true" outlineLevel="0" collapsed="false">
      <c r="A5324" s="12"/>
      <c r="B5324" s="13"/>
      <c r="C5324" s="14"/>
      <c r="D5324" s="13"/>
      <c r="E5324" s="15"/>
      <c r="F5324" s="15"/>
      <c r="G5324" s="15"/>
      <c r="H5324" s="13"/>
      <c r="I5324" s="13"/>
      <c r="J5324" s="16"/>
      <c r="K5324" s="16"/>
      <c r="L5324" s="17" t="str">
        <f aca="false" t="array" ref="L5324:L5324">IFERROR(INDEX(AC5324:AE5324,IF(COUNTA(AC5324:AE5324)=0,"",MAX((AC5324:AE5324&lt;&gt;"")*(COLUMN(AC5324:AE5324)-(COLUMN(AC5324)-2))))-1),"")</f>
        <v/>
      </c>
      <c r="M5324" s="13"/>
      <c r="N5324" s="13"/>
      <c r="O5324" s="13"/>
      <c r="P5324" s="26"/>
      <c r="Q5324" s="20"/>
      <c r="R5324" s="13"/>
      <c r="S5324" s="25"/>
      <c r="T5324" s="13"/>
      <c r="U5324" s="13"/>
      <c r="V5324" s="13"/>
      <c r="W5324" s="13"/>
      <c r="X5324" s="21"/>
      <c r="Y5324" s="22"/>
      <c r="Z5324" s="23"/>
      <c r="AA5324" s="23"/>
      <c r="AB5324" s="15"/>
      <c r="AC5324" s="14"/>
      <c r="AD5324" s="18"/>
      <c r="AE5324" s="18"/>
    </row>
    <row r="5325" customFormat="false" ht="15" hidden="false" customHeight="true" outlineLevel="0" collapsed="false">
      <c r="A5325" s="12"/>
      <c r="B5325" s="13"/>
      <c r="C5325" s="14"/>
      <c r="D5325" s="13"/>
      <c r="E5325" s="15"/>
      <c r="F5325" s="15"/>
      <c r="G5325" s="15"/>
      <c r="H5325" s="13"/>
      <c r="I5325" s="13"/>
      <c r="J5325" s="16"/>
      <c r="K5325" s="16"/>
      <c r="L5325" s="17" t="str">
        <f aca="false" t="array" ref="L5325:L5325">IFERROR(INDEX(AC5325:AE5325,IF(COUNTA(AC5325:AE5325)=0,"",MAX((AC5325:AE5325&lt;&gt;"")*(COLUMN(AC5325:AE5325)-(COLUMN(AC5325)-2))))-1),"")</f>
        <v/>
      </c>
      <c r="M5325" s="13"/>
      <c r="N5325" s="13"/>
      <c r="O5325" s="13"/>
      <c r="P5325" s="26"/>
      <c r="Q5325" s="20"/>
      <c r="R5325" s="13"/>
      <c r="S5325" s="25"/>
      <c r="T5325" s="13"/>
      <c r="U5325" s="13"/>
      <c r="V5325" s="13"/>
      <c r="W5325" s="13"/>
      <c r="X5325" s="21"/>
      <c r="Y5325" s="22"/>
      <c r="Z5325" s="23"/>
      <c r="AA5325" s="23"/>
      <c r="AB5325" s="15"/>
      <c r="AC5325" s="14"/>
      <c r="AD5325" s="18"/>
      <c r="AE5325" s="18"/>
    </row>
    <row r="5326" customFormat="false" ht="15" hidden="false" customHeight="true" outlineLevel="0" collapsed="false">
      <c r="A5326" s="12"/>
      <c r="B5326" s="13"/>
      <c r="C5326" s="14"/>
      <c r="D5326" s="13"/>
      <c r="E5326" s="15"/>
      <c r="F5326" s="15"/>
      <c r="G5326" s="15"/>
      <c r="H5326" s="13"/>
      <c r="I5326" s="13"/>
      <c r="J5326" s="16"/>
      <c r="K5326" s="16"/>
      <c r="L5326" s="17" t="str">
        <f aca="false" t="array" ref="L5326:L5326">IFERROR(INDEX(AC5326:AE5326,IF(COUNTA(AC5326:AE5326)=0,"",MAX((AC5326:AE5326&lt;&gt;"")*(COLUMN(AC5326:AE5326)-(COLUMN(AC5326)-2))))-1),"")</f>
        <v/>
      </c>
      <c r="M5326" s="13"/>
      <c r="N5326" s="13"/>
      <c r="O5326" s="13"/>
      <c r="P5326" s="26"/>
      <c r="Q5326" s="20"/>
      <c r="R5326" s="13"/>
      <c r="S5326" s="25"/>
      <c r="T5326" s="13"/>
      <c r="U5326" s="13"/>
      <c r="V5326" s="13"/>
      <c r="W5326" s="13"/>
      <c r="X5326" s="21"/>
      <c r="Y5326" s="22"/>
      <c r="Z5326" s="23"/>
      <c r="AA5326" s="23"/>
      <c r="AB5326" s="15"/>
      <c r="AC5326" s="14"/>
      <c r="AD5326" s="18"/>
      <c r="AE5326" s="18"/>
    </row>
    <row r="5327" customFormat="false" ht="15" hidden="false" customHeight="true" outlineLevel="0" collapsed="false">
      <c r="A5327" s="12"/>
      <c r="B5327" s="13"/>
      <c r="C5327" s="14"/>
      <c r="D5327" s="13"/>
      <c r="E5327" s="15"/>
      <c r="F5327" s="15"/>
      <c r="G5327" s="15"/>
      <c r="H5327" s="13"/>
      <c r="I5327" s="13"/>
      <c r="J5327" s="16"/>
      <c r="K5327" s="16"/>
      <c r="L5327" s="17" t="str">
        <f aca="false" t="array" ref="L5327:L5327">IFERROR(INDEX(AC5327:AE5327,IF(COUNTA(AC5327:AE5327)=0,"",MAX((AC5327:AE5327&lt;&gt;"")*(COLUMN(AC5327:AE5327)-(COLUMN(AC5327)-2))))-1),"")</f>
        <v/>
      </c>
      <c r="M5327" s="13"/>
      <c r="N5327" s="13"/>
      <c r="O5327" s="13"/>
      <c r="P5327" s="26"/>
      <c r="Q5327" s="20"/>
      <c r="R5327" s="13"/>
      <c r="S5327" s="25"/>
      <c r="T5327" s="13"/>
      <c r="U5327" s="13"/>
      <c r="V5327" s="13"/>
      <c r="W5327" s="13"/>
      <c r="X5327" s="21"/>
      <c r="Y5327" s="22"/>
      <c r="Z5327" s="23"/>
      <c r="AA5327" s="23"/>
      <c r="AB5327" s="15"/>
      <c r="AC5327" s="14"/>
      <c r="AD5327" s="18"/>
      <c r="AE5327" s="18"/>
    </row>
    <row r="5328" customFormat="false" ht="15" hidden="false" customHeight="true" outlineLevel="0" collapsed="false">
      <c r="A5328" s="12"/>
      <c r="B5328" s="13"/>
      <c r="C5328" s="14"/>
      <c r="D5328" s="13"/>
      <c r="E5328" s="15"/>
      <c r="F5328" s="15"/>
      <c r="G5328" s="15"/>
      <c r="H5328" s="13"/>
      <c r="I5328" s="13"/>
      <c r="J5328" s="16"/>
      <c r="K5328" s="16"/>
      <c r="L5328" s="17" t="str">
        <f aca="false" t="array" ref="L5328:L5328">IFERROR(INDEX(AC5328:AE5328,IF(COUNTA(AC5328:AE5328)=0,"",MAX((AC5328:AE5328&lt;&gt;"")*(COLUMN(AC5328:AE5328)-(COLUMN(AC5328)-2))))-1),"")</f>
        <v/>
      </c>
      <c r="M5328" s="13"/>
      <c r="N5328" s="13"/>
      <c r="O5328" s="13"/>
      <c r="P5328" s="26"/>
      <c r="Q5328" s="20"/>
      <c r="R5328" s="13"/>
      <c r="S5328" s="25"/>
      <c r="T5328" s="13"/>
      <c r="U5328" s="13"/>
      <c r="V5328" s="13"/>
      <c r="W5328" s="13"/>
      <c r="X5328" s="21"/>
      <c r="Y5328" s="22"/>
      <c r="Z5328" s="23"/>
      <c r="AA5328" s="23"/>
      <c r="AB5328" s="15"/>
      <c r="AC5328" s="14"/>
      <c r="AD5328" s="18"/>
      <c r="AE5328" s="18"/>
    </row>
    <row r="5329" customFormat="false" ht="15" hidden="false" customHeight="true" outlineLevel="0" collapsed="false">
      <c r="A5329" s="12"/>
      <c r="B5329" s="13"/>
      <c r="C5329" s="14"/>
      <c r="D5329" s="13"/>
      <c r="E5329" s="15"/>
      <c r="F5329" s="15"/>
      <c r="G5329" s="15"/>
      <c r="H5329" s="13"/>
      <c r="I5329" s="13"/>
      <c r="J5329" s="16"/>
      <c r="K5329" s="16"/>
      <c r="L5329" s="17" t="str">
        <f aca="false" t="array" ref="L5329:L5329">IFERROR(INDEX(AC5329:AE5329,IF(COUNTA(AC5329:AE5329)=0,"",MAX((AC5329:AE5329&lt;&gt;"")*(COLUMN(AC5329:AE5329)-(COLUMN(AC5329)-2))))-1),"")</f>
        <v/>
      </c>
      <c r="M5329" s="13"/>
      <c r="N5329" s="13"/>
      <c r="O5329" s="13"/>
      <c r="P5329" s="26"/>
      <c r="Q5329" s="20"/>
      <c r="R5329" s="13"/>
      <c r="S5329" s="25"/>
      <c r="T5329" s="13"/>
      <c r="U5329" s="13"/>
      <c r="V5329" s="13"/>
      <c r="W5329" s="13"/>
      <c r="X5329" s="21"/>
      <c r="Y5329" s="22"/>
      <c r="Z5329" s="23"/>
      <c r="AA5329" s="23"/>
      <c r="AB5329" s="15"/>
      <c r="AC5329" s="14"/>
      <c r="AD5329" s="18"/>
      <c r="AE5329" s="18"/>
    </row>
    <row r="5330" customFormat="false" ht="15" hidden="false" customHeight="true" outlineLevel="0" collapsed="false">
      <c r="A5330" s="12"/>
      <c r="B5330" s="13"/>
      <c r="C5330" s="14"/>
      <c r="D5330" s="13"/>
      <c r="E5330" s="15"/>
      <c r="F5330" s="15"/>
      <c r="G5330" s="15"/>
      <c r="H5330" s="13"/>
      <c r="I5330" s="13"/>
      <c r="J5330" s="16"/>
      <c r="K5330" s="16"/>
      <c r="L5330" s="17" t="str">
        <f aca="false" t="array" ref="L5330:L5330">IFERROR(INDEX(AC5330:AE5330,IF(COUNTA(AC5330:AE5330)=0,"",MAX((AC5330:AE5330&lt;&gt;"")*(COLUMN(AC5330:AE5330)-(COLUMN(AC5330)-2))))-1),"")</f>
        <v/>
      </c>
      <c r="M5330" s="13"/>
      <c r="N5330" s="13"/>
      <c r="O5330" s="13"/>
      <c r="P5330" s="26"/>
      <c r="Q5330" s="20"/>
      <c r="R5330" s="13"/>
      <c r="S5330" s="25"/>
      <c r="T5330" s="13"/>
      <c r="U5330" s="13"/>
      <c r="V5330" s="13"/>
      <c r="W5330" s="13"/>
      <c r="X5330" s="21"/>
      <c r="Y5330" s="22"/>
      <c r="Z5330" s="23"/>
      <c r="AA5330" s="23"/>
      <c r="AB5330" s="15"/>
      <c r="AC5330" s="14"/>
      <c r="AD5330" s="18"/>
      <c r="AE5330" s="18"/>
    </row>
    <row r="5331" customFormat="false" ht="15" hidden="false" customHeight="true" outlineLevel="0" collapsed="false">
      <c r="A5331" s="12"/>
      <c r="B5331" s="13"/>
      <c r="C5331" s="14"/>
      <c r="D5331" s="13"/>
      <c r="E5331" s="15"/>
      <c r="F5331" s="15"/>
      <c r="G5331" s="15"/>
      <c r="H5331" s="13"/>
      <c r="I5331" s="13"/>
      <c r="J5331" s="16"/>
      <c r="K5331" s="16"/>
      <c r="L5331" s="17" t="str">
        <f aca="false" t="array" ref="L5331:L5331">IFERROR(INDEX(AC5331:AE5331,IF(COUNTA(AC5331:AE5331)=0,"",MAX((AC5331:AE5331&lt;&gt;"")*(COLUMN(AC5331:AE5331)-(COLUMN(AC5331)-2))))-1),"")</f>
        <v/>
      </c>
      <c r="M5331" s="13"/>
      <c r="N5331" s="13"/>
      <c r="O5331" s="13"/>
      <c r="P5331" s="26"/>
      <c r="Q5331" s="20"/>
      <c r="R5331" s="13"/>
      <c r="S5331" s="25"/>
      <c r="T5331" s="13"/>
      <c r="U5331" s="13"/>
      <c r="V5331" s="13"/>
      <c r="W5331" s="13"/>
      <c r="X5331" s="21"/>
      <c r="Y5331" s="22"/>
      <c r="Z5331" s="23"/>
      <c r="AA5331" s="23"/>
      <c r="AB5331" s="15"/>
      <c r="AC5331" s="14"/>
      <c r="AD5331" s="18"/>
      <c r="AE5331" s="18"/>
    </row>
    <row r="5332" customFormat="false" ht="15" hidden="false" customHeight="true" outlineLevel="0" collapsed="false">
      <c r="A5332" s="12"/>
      <c r="B5332" s="13"/>
      <c r="C5332" s="14"/>
      <c r="D5332" s="13"/>
      <c r="E5332" s="15"/>
      <c r="F5332" s="15"/>
      <c r="G5332" s="15"/>
      <c r="H5332" s="13"/>
      <c r="I5332" s="13"/>
      <c r="J5332" s="16"/>
      <c r="K5332" s="16"/>
      <c r="L5332" s="17" t="str">
        <f aca="false" t="array" ref="L5332:L5332">IFERROR(INDEX(AC5332:AE5332,IF(COUNTA(AC5332:AE5332)=0,"",MAX((AC5332:AE5332&lt;&gt;"")*(COLUMN(AC5332:AE5332)-(COLUMN(AC5332)-2))))-1),"")</f>
        <v/>
      </c>
      <c r="M5332" s="13"/>
      <c r="N5332" s="13"/>
      <c r="O5332" s="13"/>
      <c r="P5332" s="26"/>
      <c r="Q5332" s="20"/>
      <c r="R5332" s="13"/>
      <c r="S5332" s="25"/>
      <c r="T5332" s="13"/>
      <c r="U5332" s="13"/>
      <c r="V5332" s="13"/>
      <c r="W5332" s="13"/>
      <c r="X5332" s="21"/>
      <c r="Y5332" s="22"/>
      <c r="Z5332" s="23"/>
      <c r="AA5332" s="23"/>
      <c r="AB5332" s="15"/>
      <c r="AC5332" s="14"/>
      <c r="AD5332" s="18"/>
      <c r="AE5332" s="18"/>
    </row>
    <row r="5333" customFormat="false" ht="15" hidden="false" customHeight="true" outlineLevel="0" collapsed="false">
      <c r="A5333" s="12"/>
      <c r="B5333" s="13"/>
      <c r="C5333" s="14"/>
      <c r="D5333" s="13"/>
      <c r="E5333" s="15"/>
      <c r="F5333" s="15"/>
      <c r="G5333" s="15"/>
      <c r="H5333" s="13"/>
      <c r="I5333" s="13"/>
      <c r="J5333" s="16"/>
      <c r="K5333" s="16"/>
      <c r="L5333" s="17" t="str">
        <f aca="false" t="array" ref="L5333:L5333">IFERROR(INDEX(AC5333:AE5333,IF(COUNTA(AC5333:AE5333)=0,"",MAX((AC5333:AE5333&lt;&gt;"")*(COLUMN(AC5333:AE5333)-(COLUMN(AC5333)-2))))-1),"")</f>
        <v/>
      </c>
      <c r="M5333" s="13"/>
      <c r="N5333" s="13"/>
      <c r="O5333" s="13"/>
      <c r="P5333" s="26"/>
      <c r="Q5333" s="20"/>
      <c r="R5333" s="13"/>
      <c r="S5333" s="25"/>
      <c r="T5333" s="13"/>
      <c r="U5333" s="13"/>
      <c r="V5333" s="13"/>
      <c r="W5333" s="13"/>
      <c r="X5333" s="21"/>
      <c r="Y5333" s="22"/>
      <c r="Z5333" s="23"/>
      <c r="AA5333" s="23"/>
      <c r="AB5333" s="15"/>
      <c r="AC5333" s="14"/>
      <c r="AD5333" s="18"/>
      <c r="AE5333" s="18"/>
    </row>
    <row r="5334" customFormat="false" ht="15" hidden="false" customHeight="true" outlineLevel="0" collapsed="false">
      <c r="A5334" s="12"/>
      <c r="B5334" s="13"/>
      <c r="C5334" s="14"/>
      <c r="D5334" s="13"/>
      <c r="E5334" s="15"/>
      <c r="F5334" s="15"/>
      <c r="G5334" s="15"/>
      <c r="H5334" s="13"/>
      <c r="I5334" s="13"/>
      <c r="J5334" s="16"/>
      <c r="K5334" s="16"/>
      <c r="L5334" s="17" t="str">
        <f aca="false" t="array" ref="L5334:L5334">IFERROR(INDEX(AC5334:AE5334,IF(COUNTA(AC5334:AE5334)=0,"",MAX((AC5334:AE5334&lt;&gt;"")*(COLUMN(AC5334:AE5334)-(COLUMN(AC5334)-2))))-1),"")</f>
        <v/>
      </c>
      <c r="M5334" s="13"/>
      <c r="N5334" s="13"/>
      <c r="O5334" s="13"/>
      <c r="P5334" s="26"/>
      <c r="Q5334" s="20"/>
      <c r="R5334" s="13"/>
      <c r="S5334" s="25"/>
      <c r="T5334" s="13"/>
      <c r="U5334" s="13"/>
      <c r="V5334" s="13"/>
      <c r="W5334" s="13"/>
      <c r="X5334" s="21"/>
      <c r="Y5334" s="22"/>
      <c r="Z5334" s="23"/>
      <c r="AA5334" s="23"/>
      <c r="AB5334" s="15"/>
      <c r="AC5334" s="14"/>
      <c r="AD5334" s="18"/>
      <c r="AE5334" s="18"/>
    </row>
    <row r="5335" customFormat="false" ht="15" hidden="false" customHeight="true" outlineLevel="0" collapsed="false">
      <c r="A5335" s="12"/>
      <c r="B5335" s="13"/>
      <c r="C5335" s="14"/>
      <c r="D5335" s="13"/>
      <c r="E5335" s="15"/>
      <c r="F5335" s="15"/>
      <c r="G5335" s="15"/>
      <c r="H5335" s="13"/>
      <c r="I5335" s="13"/>
      <c r="J5335" s="16"/>
      <c r="K5335" s="16"/>
      <c r="L5335" s="17" t="str">
        <f aca="false" t="array" ref="L5335:L5335">IFERROR(INDEX(AC5335:AE5335,IF(COUNTA(AC5335:AE5335)=0,"",MAX((AC5335:AE5335&lt;&gt;"")*(COLUMN(AC5335:AE5335)-(COLUMN(AC5335)-2))))-1),"")</f>
        <v/>
      </c>
      <c r="M5335" s="13"/>
      <c r="N5335" s="13"/>
      <c r="O5335" s="13"/>
      <c r="P5335" s="26"/>
      <c r="Q5335" s="20"/>
      <c r="R5335" s="13"/>
      <c r="S5335" s="25"/>
      <c r="T5335" s="13"/>
      <c r="U5335" s="13"/>
      <c r="V5335" s="13"/>
      <c r="W5335" s="13"/>
      <c r="X5335" s="21"/>
      <c r="Y5335" s="22"/>
      <c r="Z5335" s="23"/>
      <c r="AA5335" s="23"/>
      <c r="AB5335" s="15"/>
      <c r="AC5335" s="14"/>
      <c r="AD5335" s="18"/>
      <c r="AE5335" s="18"/>
    </row>
    <row r="5336" customFormat="false" ht="15" hidden="false" customHeight="true" outlineLevel="0" collapsed="false">
      <c r="A5336" s="12"/>
      <c r="B5336" s="13"/>
      <c r="C5336" s="14"/>
      <c r="D5336" s="13"/>
      <c r="E5336" s="15"/>
      <c r="F5336" s="15"/>
      <c r="G5336" s="15"/>
      <c r="H5336" s="13"/>
      <c r="I5336" s="13"/>
      <c r="J5336" s="16"/>
      <c r="K5336" s="16"/>
      <c r="L5336" s="17" t="str">
        <f aca="false" t="array" ref="L5336:L5336">IFERROR(INDEX(AC5336:AE5336,IF(COUNTA(AC5336:AE5336)=0,"",MAX((AC5336:AE5336&lt;&gt;"")*(COLUMN(AC5336:AE5336)-(COLUMN(AC5336)-2))))-1),"")</f>
        <v/>
      </c>
      <c r="M5336" s="13"/>
      <c r="N5336" s="13"/>
      <c r="O5336" s="13"/>
      <c r="P5336" s="26"/>
      <c r="Q5336" s="20"/>
      <c r="R5336" s="13"/>
      <c r="S5336" s="25"/>
      <c r="T5336" s="13"/>
      <c r="U5336" s="13"/>
      <c r="V5336" s="13"/>
      <c r="W5336" s="13"/>
      <c r="X5336" s="21"/>
      <c r="Y5336" s="22"/>
      <c r="Z5336" s="23"/>
      <c r="AA5336" s="23"/>
      <c r="AB5336" s="15"/>
      <c r="AC5336" s="14"/>
      <c r="AD5336" s="18"/>
      <c r="AE5336" s="18"/>
    </row>
    <row r="5337" customFormat="false" ht="15" hidden="false" customHeight="true" outlineLevel="0" collapsed="false">
      <c r="A5337" s="12"/>
      <c r="B5337" s="13"/>
      <c r="C5337" s="14"/>
      <c r="D5337" s="13"/>
      <c r="E5337" s="15"/>
      <c r="F5337" s="15"/>
      <c r="G5337" s="15"/>
      <c r="H5337" s="13"/>
      <c r="I5337" s="13"/>
      <c r="J5337" s="16"/>
      <c r="K5337" s="16"/>
      <c r="L5337" s="17" t="str">
        <f aca="false" t="array" ref="L5337:L5337">IFERROR(INDEX(AC5337:AE5337,IF(COUNTA(AC5337:AE5337)=0,"",MAX((AC5337:AE5337&lt;&gt;"")*(COLUMN(AC5337:AE5337)-(COLUMN(AC5337)-2))))-1),"")</f>
        <v/>
      </c>
      <c r="M5337" s="13"/>
      <c r="N5337" s="13"/>
      <c r="O5337" s="13"/>
      <c r="P5337" s="26"/>
      <c r="Q5337" s="20"/>
      <c r="R5337" s="13"/>
      <c r="S5337" s="25"/>
      <c r="T5337" s="13"/>
      <c r="U5337" s="13"/>
      <c r="V5337" s="13"/>
      <c r="W5337" s="13"/>
      <c r="X5337" s="21"/>
      <c r="Y5337" s="22"/>
      <c r="Z5337" s="23"/>
      <c r="AA5337" s="23"/>
      <c r="AB5337" s="15"/>
      <c r="AC5337" s="14"/>
      <c r="AD5337" s="18"/>
      <c r="AE5337" s="18"/>
    </row>
    <row r="5338" customFormat="false" ht="15" hidden="false" customHeight="true" outlineLevel="0" collapsed="false">
      <c r="A5338" s="12"/>
      <c r="B5338" s="13"/>
      <c r="C5338" s="14"/>
      <c r="D5338" s="13"/>
      <c r="E5338" s="15"/>
      <c r="F5338" s="15"/>
      <c r="G5338" s="15"/>
      <c r="H5338" s="13"/>
      <c r="I5338" s="13"/>
      <c r="J5338" s="16"/>
      <c r="K5338" s="16"/>
      <c r="L5338" s="17" t="str">
        <f aca="false" t="array" ref="L5338:L5338">IFERROR(INDEX(AC5338:AE5338,IF(COUNTA(AC5338:AE5338)=0,"",MAX((AC5338:AE5338&lt;&gt;"")*(COLUMN(AC5338:AE5338)-(COLUMN(AC5338)-2))))-1),"")</f>
        <v/>
      </c>
      <c r="M5338" s="13"/>
      <c r="N5338" s="13"/>
      <c r="O5338" s="13"/>
      <c r="P5338" s="26"/>
      <c r="Q5338" s="20"/>
      <c r="R5338" s="13"/>
      <c r="S5338" s="25"/>
      <c r="T5338" s="13"/>
      <c r="U5338" s="13"/>
      <c r="V5338" s="13"/>
      <c r="W5338" s="13"/>
      <c r="X5338" s="21"/>
      <c r="Y5338" s="22"/>
      <c r="Z5338" s="23"/>
      <c r="AA5338" s="23"/>
      <c r="AB5338" s="15"/>
      <c r="AC5338" s="14"/>
      <c r="AD5338" s="18"/>
      <c r="AE5338" s="18"/>
    </row>
    <row r="5339" customFormat="false" ht="15" hidden="false" customHeight="true" outlineLevel="0" collapsed="false">
      <c r="A5339" s="12"/>
      <c r="B5339" s="13"/>
      <c r="C5339" s="14"/>
      <c r="D5339" s="13"/>
      <c r="E5339" s="15"/>
      <c r="F5339" s="15"/>
      <c r="G5339" s="15"/>
      <c r="H5339" s="13"/>
      <c r="I5339" s="13"/>
      <c r="J5339" s="16"/>
      <c r="K5339" s="16"/>
      <c r="L5339" s="17" t="str">
        <f aca="false" t="array" ref="L5339:L5339">IFERROR(INDEX(AC5339:AE5339,IF(COUNTA(AC5339:AE5339)=0,"",MAX((AC5339:AE5339&lt;&gt;"")*(COLUMN(AC5339:AE5339)-(COLUMN(AC5339)-2))))-1),"")</f>
        <v/>
      </c>
      <c r="M5339" s="13"/>
      <c r="N5339" s="13"/>
      <c r="O5339" s="13"/>
      <c r="P5339" s="26"/>
      <c r="Q5339" s="20"/>
      <c r="R5339" s="13"/>
      <c r="S5339" s="25"/>
      <c r="T5339" s="13"/>
      <c r="U5339" s="13"/>
      <c r="V5339" s="13"/>
      <c r="W5339" s="13"/>
      <c r="X5339" s="21"/>
      <c r="Y5339" s="22"/>
      <c r="Z5339" s="23"/>
      <c r="AA5339" s="23"/>
      <c r="AB5339" s="15"/>
      <c r="AC5339" s="14"/>
      <c r="AD5339" s="18"/>
      <c r="AE5339" s="18"/>
    </row>
    <row r="5340" customFormat="false" ht="15" hidden="false" customHeight="true" outlineLevel="0" collapsed="false">
      <c r="A5340" s="12"/>
      <c r="B5340" s="13"/>
      <c r="C5340" s="14"/>
      <c r="D5340" s="13"/>
      <c r="E5340" s="15"/>
      <c r="F5340" s="15"/>
      <c r="G5340" s="15"/>
      <c r="H5340" s="13"/>
      <c r="I5340" s="13"/>
      <c r="J5340" s="16"/>
      <c r="K5340" s="16"/>
      <c r="L5340" s="17" t="str">
        <f aca="false" t="array" ref="L5340:L5340">IFERROR(INDEX(AC5340:AE5340,IF(COUNTA(AC5340:AE5340)=0,"",MAX((AC5340:AE5340&lt;&gt;"")*(COLUMN(AC5340:AE5340)-(COLUMN(AC5340)-2))))-1),"")</f>
        <v/>
      </c>
      <c r="M5340" s="13"/>
      <c r="N5340" s="13"/>
      <c r="O5340" s="13"/>
      <c r="P5340" s="26"/>
      <c r="Q5340" s="20"/>
      <c r="R5340" s="13"/>
      <c r="S5340" s="25"/>
      <c r="T5340" s="13"/>
      <c r="U5340" s="13"/>
      <c r="V5340" s="13"/>
      <c r="W5340" s="13"/>
      <c r="X5340" s="21"/>
      <c r="Y5340" s="22"/>
      <c r="Z5340" s="23"/>
      <c r="AA5340" s="23"/>
      <c r="AB5340" s="15"/>
      <c r="AC5340" s="14"/>
      <c r="AD5340" s="18"/>
      <c r="AE5340" s="18"/>
    </row>
    <row r="5341" customFormat="false" ht="15" hidden="false" customHeight="true" outlineLevel="0" collapsed="false">
      <c r="A5341" s="12"/>
      <c r="B5341" s="13"/>
      <c r="C5341" s="14"/>
      <c r="D5341" s="13"/>
      <c r="E5341" s="15"/>
      <c r="F5341" s="15"/>
      <c r="G5341" s="15"/>
      <c r="H5341" s="13"/>
      <c r="I5341" s="13"/>
      <c r="J5341" s="16"/>
      <c r="K5341" s="16"/>
      <c r="L5341" s="17" t="str">
        <f aca="false" t="array" ref="L5341:L5341">IFERROR(INDEX(AC5341:AE5341,IF(COUNTA(AC5341:AE5341)=0,"",MAX((AC5341:AE5341&lt;&gt;"")*(COLUMN(AC5341:AE5341)-(COLUMN(AC5341)-2))))-1),"")</f>
        <v/>
      </c>
      <c r="M5341" s="13"/>
      <c r="N5341" s="13"/>
      <c r="O5341" s="13"/>
      <c r="P5341" s="26"/>
      <c r="Q5341" s="20"/>
      <c r="R5341" s="13"/>
      <c r="S5341" s="25"/>
      <c r="T5341" s="13"/>
      <c r="U5341" s="13"/>
      <c r="V5341" s="13"/>
      <c r="W5341" s="13"/>
      <c r="X5341" s="21"/>
      <c r="Y5341" s="22"/>
      <c r="Z5341" s="23"/>
      <c r="AA5341" s="23"/>
      <c r="AB5341" s="15"/>
      <c r="AC5341" s="14"/>
      <c r="AD5341" s="18"/>
      <c r="AE5341" s="18"/>
    </row>
    <row r="5342" customFormat="false" ht="15" hidden="false" customHeight="true" outlineLevel="0" collapsed="false">
      <c r="A5342" s="12"/>
      <c r="B5342" s="13"/>
      <c r="C5342" s="14"/>
      <c r="D5342" s="13"/>
      <c r="E5342" s="15"/>
      <c r="F5342" s="15"/>
      <c r="G5342" s="15"/>
      <c r="H5342" s="13"/>
      <c r="I5342" s="13"/>
      <c r="J5342" s="16"/>
      <c r="K5342" s="16"/>
      <c r="L5342" s="17" t="str">
        <f aca="false" t="array" ref="L5342:L5342">IFERROR(INDEX(AC5342:AE5342,IF(COUNTA(AC5342:AE5342)=0,"",MAX((AC5342:AE5342&lt;&gt;"")*(COLUMN(AC5342:AE5342)-(COLUMN(AC5342)-2))))-1),"")</f>
        <v/>
      </c>
      <c r="M5342" s="13"/>
      <c r="N5342" s="13"/>
      <c r="O5342" s="13"/>
      <c r="P5342" s="26"/>
      <c r="Q5342" s="20"/>
      <c r="R5342" s="13"/>
      <c r="S5342" s="25"/>
      <c r="T5342" s="13"/>
      <c r="U5342" s="13"/>
      <c r="V5342" s="13"/>
      <c r="W5342" s="13"/>
      <c r="X5342" s="21"/>
      <c r="Y5342" s="22"/>
      <c r="Z5342" s="23"/>
      <c r="AA5342" s="23"/>
      <c r="AB5342" s="15"/>
      <c r="AC5342" s="14"/>
      <c r="AD5342" s="18"/>
      <c r="AE5342" s="18"/>
    </row>
    <row r="5343" customFormat="false" ht="15" hidden="false" customHeight="true" outlineLevel="0" collapsed="false">
      <c r="A5343" s="12"/>
      <c r="B5343" s="13"/>
      <c r="C5343" s="14"/>
      <c r="D5343" s="13"/>
      <c r="E5343" s="15"/>
      <c r="F5343" s="15"/>
      <c r="G5343" s="15"/>
      <c r="H5343" s="13"/>
      <c r="I5343" s="13"/>
      <c r="J5343" s="16"/>
      <c r="K5343" s="16"/>
      <c r="L5343" s="17" t="str">
        <f aca="false" t="array" ref="L5343:L5343">IFERROR(INDEX(AC5343:AE5343,IF(COUNTA(AC5343:AE5343)=0,"",MAX((AC5343:AE5343&lt;&gt;"")*(COLUMN(AC5343:AE5343)-(COLUMN(AC5343)-2))))-1),"")</f>
        <v/>
      </c>
      <c r="M5343" s="13"/>
      <c r="N5343" s="13"/>
      <c r="O5343" s="13"/>
      <c r="P5343" s="26"/>
      <c r="Q5343" s="20"/>
      <c r="R5343" s="13"/>
      <c r="S5343" s="25"/>
      <c r="T5343" s="13"/>
      <c r="U5343" s="13"/>
      <c r="V5343" s="13"/>
      <c r="W5343" s="13"/>
      <c r="X5343" s="21"/>
      <c r="Y5343" s="22"/>
      <c r="Z5343" s="23"/>
      <c r="AA5343" s="23"/>
      <c r="AB5343" s="15"/>
      <c r="AC5343" s="14"/>
      <c r="AD5343" s="18"/>
      <c r="AE5343" s="18"/>
    </row>
    <row r="5344" customFormat="false" ht="15" hidden="false" customHeight="true" outlineLevel="0" collapsed="false">
      <c r="A5344" s="12"/>
      <c r="B5344" s="13"/>
      <c r="C5344" s="14"/>
      <c r="D5344" s="13"/>
      <c r="E5344" s="15"/>
      <c r="F5344" s="15"/>
      <c r="G5344" s="15"/>
      <c r="H5344" s="13"/>
      <c r="I5344" s="13"/>
      <c r="J5344" s="16"/>
      <c r="K5344" s="16"/>
      <c r="L5344" s="17" t="str">
        <f aca="false" t="array" ref="L5344:L5344">IFERROR(INDEX(AC5344:AE5344,IF(COUNTA(AC5344:AE5344)=0,"",MAX((AC5344:AE5344&lt;&gt;"")*(COLUMN(AC5344:AE5344)-(COLUMN(AC5344)-2))))-1),"")</f>
        <v/>
      </c>
      <c r="M5344" s="13"/>
      <c r="N5344" s="13"/>
      <c r="O5344" s="13"/>
      <c r="P5344" s="26"/>
      <c r="Q5344" s="20"/>
      <c r="R5344" s="13"/>
      <c r="S5344" s="25"/>
      <c r="T5344" s="13"/>
      <c r="U5344" s="13"/>
      <c r="V5344" s="13"/>
      <c r="W5344" s="13"/>
      <c r="X5344" s="21"/>
      <c r="Y5344" s="22"/>
      <c r="Z5344" s="23"/>
      <c r="AA5344" s="23"/>
      <c r="AB5344" s="15"/>
      <c r="AC5344" s="14"/>
      <c r="AD5344" s="18"/>
      <c r="AE5344" s="18"/>
    </row>
    <row r="5345" customFormat="false" ht="15" hidden="false" customHeight="true" outlineLevel="0" collapsed="false">
      <c r="A5345" s="12"/>
      <c r="B5345" s="13"/>
      <c r="C5345" s="14"/>
      <c r="D5345" s="13"/>
      <c r="E5345" s="15"/>
      <c r="F5345" s="15"/>
      <c r="G5345" s="15"/>
      <c r="H5345" s="13"/>
      <c r="I5345" s="13"/>
      <c r="J5345" s="16"/>
      <c r="K5345" s="16"/>
      <c r="L5345" s="17" t="str">
        <f aca="false" t="array" ref="L5345:L5345">IFERROR(INDEX(AC5345:AE5345,IF(COUNTA(AC5345:AE5345)=0,"",MAX((AC5345:AE5345&lt;&gt;"")*(COLUMN(AC5345:AE5345)-(COLUMN(AC5345)-2))))-1),"")</f>
        <v/>
      </c>
      <c r="M5345" s="13"/>
      <c r="N5345" s="13"/>
      <c r="O5345" s="13"/>
      <c r="P5345" s="26"/>
      <c r="Q5345" s="20"/>
      <c r="R5345" s="13"/>
      <c r="S5345" s="25"/>
      <c r="T5345" s="13"/>
      <c r="U5345" s="13"/>
      <c r="V5345" s="13"/>
      <c r="W5345" s="13"/>
      <c r="X5345" s="21"/>
      <c r="Y5345" s="22"/>
      <c r="Z5345" s="23"/>
      <c r="AA5345" s="23"/>
      <c r="AB5345" s="15"/>
      <c r="AC5345" s="14"/>
      <c r="AD5345" s="18"/>
      <c r="AE5345" s="18"/>
    </row>
    <row r="5346" customFormat="false" ht="15" hidden="false" customHeight="true" outlineLevel="0" collapsed="false">
      <c r="A5346" s="12"/>
      <c r="B5346" s="13"/>
      <c r="C5346" s="14"/>
      <c r="D5346" s="13"/>
      <c r="E5346" s="15"/>
      <c r="F5346" s="15"/>
      <c r="G5346" s="15"/>
      <c r="H5346" s="13"/>
      <c r="I5346" s="13"/>
      <c r="J5346" s="16"/>
      <c r="K5346" s="16"/>
      <c r="L5346" s="17" t="str">
        <f aca="false" t="array" ref="L5346:L5346">IFERROR(INDEX(AC5346:AE5346,IF(COUNTA(AC5346:AE5346)=0,"",MAX((AC5346:AE5346&lt;&gt;"")*(COLUMN(AC5346:AE5346)-(COLUMN(AC5346)-2))))-1),"")</f>
        <v/>
      </c>
      <c r="M5346" s="13"/>
      <c r="N5346" s="13"/>
      <c r="O5346" s="13"/>
      <c r="P5346" s="26"/>
      <c r="Q5346" s="20"/>
      <c r="R5346" s="13"/>
      <c r="S5346" s="25"/>
      <c r="T5346" s="13"/>
      <c r="U5346" s="13"/>
      <c r="V5346" s="13"/>
      <c r="W5346" s="13"/>
      <c r="X5346" s="21"/>
      <c r="Y5346" s="22"/>
      <c r="Z5346" s="23"/>
      <c r="AA5346" s="23"/>
      <c r="AB5346" s="15"/>
      <c r="AC5346" s="14"/>
      <c r="AD5346" s="18"/>
      <c r="AE5346" s="18"/>
    </row>
    <row r="5347" customFormat="false" ht="15" hidden="false" customHeight="true" outlineLevel="0" collapsed="false">
      <c r="A5347" s="12"/>
      <c r="B5347" s="13"/>
      <c r="C5347" s="14"/>
      <c r="D5347" s="13"/>
      <c r="E5347" s="15"/>
      <c r="F5347" s="15"/>
      <c r="G5347" s="15"/>
      <c r="H5347" s="13"/>
      <c r="I5347" s="13"/>
      <c r="J5347" s="16"/>
      <c r="K5347" s="16"/>
      <c r="L5347" s="17" t="str">
        <f aca="false" t="array" ref="L5347:L5347">IFERROR(INDEX(AC5347:AE5347,IF(COUNTA(AC5347:AE5347)=0,"",MAX((AC5347:AE5347&lt;&gt;"")*(COLUMN(AC5347:AE5347)-(COLUMN(AC5347)-2))))-1),"")</f>
        <v/>
      </c>
      <c r="M5347" s="13"/>
      <c r="N5347" s="13"/>
      <c r="O5347" s="13"/>
      <c r="P5347" s="26"/>
      <c r="Q5347" s="20"/>
      <c r="R5347" s="13"/>
      <c r="S5347" s="25"/>
      <c r="T5347" s="13"/>
      <c r="U5347" s="13"/>
      <c r="V5347" s="13"/>
      <c r="W5347" s="13"/>
      <c r="X5347" s="21"/>
      <c r="Y5347" s="22"/>
      <c r="Z5347" s="23"/>
      <c r="AA5347" s="23"/>
      <c r="AB5347" s="15"/>
      <c r="AC5347" s="14"/>
      <c r="AD5347" s="18"/>
      <c r="AE5347" s="18"/>
    </row>
    <row r="5348" customFormat="false" ht="15" hidden="false" customHeight="true" outlineLevel="0" collapsed="false">
      <c r="A5348" s="12"/>
      <c r="B5348" s="13"/>
      <c r="C5348" s="14"/>
      <c r="D5348" s="13"/>
      <c r="E5348" s="15"/>
      <c r="F5348" s="15"/>
      <c r="G5348" s="15"/>
      <c r="H5348" s="13"/>
      <c r="I5348" s="13"/>
      <c r="J5348" s="16"/>
      <c r="K5348" s="16"/>
      <c r="L5348" s="17" t="str">
        <f aca="false" t="array" ref="L5348:L5348">IFERROR(INDEX(AC5348:AE5348,IF(COUNTA(AC5348:AE5348)=0,"",MAX((AC5348:AE5348&lt;&gt;"")*(COLUMN(AC5348:AE5348)-(COLUMN(AC5348)-2))))-1),"")</f>
        <v/>
      </c>
      <c r="M5348" s="13"/>
      <c r="N5348" s="13"/>
      <c r="O5348" s="13"/>
      <c r="P5348" s="26"/>
      <c r="Q5348" s="20"/>
      <c r="R5348" s="13"/>
      <c r="S5348" s="25"/>
      <c r="T5348" s="13"/>
      <c r="U5348" s="13"/>
      <c r="V5348" s="13"/>
      <c r="W5348" s="13"/>
      <c r="X5348" s="21"/>
      <c r="Y5348" s="22"/>
      <c r="Z5348" s="23"/>
      <c r="AA5348" s="23"/>
      <c r="AB5348" s="15"/>
      <c r="AC5348" s="14"/>
      <c r="AD5348" s="18"/>
      <c r="AE5348" s="18"/>
    </row>
    <row r="5349" customFormat="false" ht="15" hidden="false" customHeight="true" outlineLevel="0" collapsed="false">
      <c r="A5349" s="12"/>
      <c r="B5349" s="13"/>
      <c r="C5349" s="14"/>
      <c r="D5349" s="13"/>
      <c r="E5349" s="15"/>
      <c r="F5349" s="15"/>
      <c r="G5349" s="15"/>
      <c r="H5349" s="13"/>
      <c r="I5349" s="13"/>
      <c r="J5349" s="16"/>
      <c r="K5349" s="16"/>
      <c r="L5349" s="17" t="str">
        <f aca="false" t="array" ref="L5349:L5349">IFERROR(INDEX(AC5349:AE5349,IF(COUNTA(AC5349:AE5349)=0,"",MAX((AC5349:AE5349&lt;&gt;"")*(COLUMN(AC5349:AE5349)-(COLUMN(AC5349)-2))))-1),"")</f>
        <v/>
      </c>
      <c r="M5349" s="13"/>
      <c r="N5349" s="13"/>
      <c r="O5349" s="13"/>
      <c r="P5349" s="26"/>
      <c r="Q5349" s="20"/>
      <c r="R5349" s="13"/>
      <c r="S5349" s="25"/>
      <c r="T5349" s="13"/>
      <c r="U5349" s="13"/>
      <c r="V5349" s="13"/>
      <c r="W5349" s="13"/>
      <c r="X5349" s="21"/>
      <c r="Y5349" s="22"/>
      <c r="Z5349" s="23"/>
      <c r="AA5349" s="23"/>
      <c r="AB5349" s="15"/>
      <c r="AC5349" s="14"/>
      <c r="AD5349" s="18"/>
      <c r="AE5349" s="18"/>
    </row>
    <row r="5350" customFormat="false" ht="15" hidden="false" customHeight="true" outlineLevel="0" collapsed="false">
      <c r="A5350" s="12"/>
      <c r="B5350" s="13"/>
      <c r="C5350" s="14"/>
      <c r="D5350" s="13"/>
      <c r="E5350" s="15"/>
      <c r="F5350" s="15"/>
      <c r="G5350" s="15"/>
      <c r="H5350" s="13"/>
      <c r="I5350" s="13"/>
      <c r="J5350" s="16"/>
      <c r="K5350" s="16"/>
      <c r="L5350" s="17" t="str">
        <f aca="false" t="array" ref="L5350:L5350">IFERROR(INDEX(AC5350:AE5350,IF(COUNTA(AC5350:AE5350)=0,"",MAX((AC5350:AE5350&lt;&gt;"")*(COLUMN(AC5350:AE5350)-(COLUMN(AC5350)-2))))-1),"")</f>
        <v/>
      </c>
      <c r="M5350" s="13"/>
      <c r="N5350" s="13"/>
      <c r="O5350" s="13"/>
      <c r="P5350" s="26"/>
      <c r="Q5350" s="20"/>
      <c r="R5350" s="13"/>
      <c r="S5350" s="25"/>
      <c r="T5350" s="13"/>
      <c r="U5350" s="13"/>
      <c r="V5350" s="13"/>
      <c r="W5350" s="13"/>
      <c r="X5350" s="21"/>
      <c r="Y5350" s="22"/>
      <c r="Z5350" s="23"/>
      <c r="AA5350" s="23"/>
      <c r="AB5350" s="15"/>
      <c r="AC5350" s="14"/>
      <c r="AD5350" s="18"/>
      <c r="AE5350" s="18"/>
    </row>
    <row r="5351" customFormat="false" ht="15" hidden="false" customHeight="true" outlineLevel="0" collapsed="false">
      <c r="A5351" s="12"/>
      <c r="B5351" s="13"/>
      <c r="C5351" s="14"/>
      <c r="D5351" s="13"/>
      <c r="E5351" s="15"/>
      <c r="F5351" s="15"/>
      <c r="G5351" s="15"/>
      <c r="H5351" s="13"/>
      <c r="I5351" s="13"/>
      <c r="J5351" s="16"/>
      <c r="K5351" s="16"/>
      <c r="L5351" s="17" t="str">
        <f aca="false" t="array" ref="L5351:L5351">IFERROR(INDEX(AC5351:AE5351,IF(COUNTA(AC5351:AE5351)=0,"",MAX((AC5351:AE5351&lt;&gt;"")*(COLUMN(AC5351:AE5351)-(COLUMN(AC5351)-2))))-1),"")</f>
        <v/>
      </c>
      <c r="M5351" s="13"/>
      <c r="N5351" s="13"/>
      <c r="O5351" s="13"/>
      <c r="P5351" s="26"/>
      <c r="Q5351" s="20"/>
      <c r="R5351" s="13"/>
      <c r="S5351" s="25"/>
      <c r="T5351" s="13"/>
      <c r="U5351" s="13"/>
      <c r="V5351" s="13"/>
      <c r="W5351" s="13"/>
      <c r="X5351" s="21"/>
      <c r="Y5351" s="22"/>
      <c r="Z5351" s="23"/>
      <c r="AA5351" s="23"/>
      <c r="AB5351" s="15"/>
      <c r="AC5351" s="14"/>
      <c r="AD5351" s="18"/>
      <c r="AE5351" s="18"/>
    </row>
    <row r="5352" customFormat="false" ht="15" hidden="false" customHeight="true" outlineLevel="0" collapsed="false">
      <c r="A5352" s="12"/>
      <c r="B5352" s="13"/>
      <c r="C5352" s="14"/>
      <c r="D5352" s="13"/>
      <c r="E5352" s="15"/>
      <c r="F5352" s="15"/>
      <c r="G5352" s="15"/>
      <c r="H5352" s="13"/>
      <c r="I5352" s="13"/>
      <c r="J5352" s="16"/>
      <c r="K5352" s="16"/>
      <c r="L5352" s="17" t="str">
        <f aca="false" t="array" ref="L5352:L5352">IFERROR(INDEX(AC5352:AE5352,IF(COUNTA(AC5352:AE5352)=0,"",MAX((AC5352:AE5352&lt;&gt;"")*(COLUMN(AC5352:AE5352)-(COLUMN(AC5352)-2))))-1),"")</f>
        <v/>
      </c>
      <c r="M5352" s="13"/>
      <c r="N5352" s="13"/>
      <c r="O5352" s="13"/>
      <c r="P5352" s="26"/>
      <c r="Q5352" s="20"/>
      <c r="R5352" s="13"/>
      <c r="S5352" s="25"/>
      <c r="T5352" s="13"/>
      <c r="U5352" s="13"/>
      <c r="V5352" s="13"/>
      <c r="W5352" s="13"/>
      <c r="X5352" s="21"/>
      <c r="Y5352" s="22"/>
      <c r="Z5352" s="23"/>
      <c r="AA5352" s="23"/>
      <c r="AB5352" s="15"/>
      <c r="AC5352" s="14"/>
      <c r="AD5352" s="18"/>
      <c r="AE5352" s="18"/>
    </row>
    <row r="5353" customFormat="false" ht="15" hidden="false" customHeight="true" outlineLevel="0" collapsed="false">
      <c r="A5353" s="12"/>
      <c r="B5353" s="13"/>
      <c r="C5353" s="14"/>
      <c r="D5353" s="13"/>
      <c r="E5353" s="15"/>
      <c r="F5353" s="15"/>
      <c r="G5353" s="15"/>
      <c r="H5353" s="13"/>
      <c r="I5353" s="13"/>
      <c r="J5353" s="16"/>
      <c r="K5353" s="16"/>
      <c r="L5353" s="17" t="str">
        <f aca="false" t="array" ref="L5353:L5353">IFERROR(INDEX(AC5353:AE5353,IF(COUNTA(AC5353:AE5353)=0,"",MAX((AC5353:AE5353&lt;&gt;"")*(COLUMN(AC5353:AE5353)-(COLUMN(AC5353)-2))))-1),"")</f>
        <v/>
      </c>
      <c r="M5353" s="13"/>
      <c r="N5353" s="13"/>
      <c r="O5353" s="13"/>
      <c r="P5353" s="26"/>
      <c r="Q5353" s="20"/>
      <c r="R5353" s="13"/>
      <c r="S5353" s="25"/>
      <c r="T5353" s="13"/>
      <c r="U5353" s="13"/>
      <c r="V5353" s="13"/>
      <c r="W5353" s="13"/>
      <c r="X5353" s="21"/>
      <c r="Y5353" s="22"/>
      <c r="Z5353" s="23"/>
      <c r="AA5353" s="23"/>
      <c r="AB5353" s="15"/>
      <c r="AC5353" s="14"/>
      <c r="AD5353" s="18"/>
      <c r="AE5353" s="18"/>
    </row>
    <row r="5354" customFormat="false" ht="15" hidden="false" customHeight="true" outlineLevel="0" collapsed="false">
      <c r="A5354" s="12"/>
      <c r="B5354" s="13"/>
      <c r="C5354" s="14"/>
      <c r="D5354" s="13"/>
      <c r="E5354" s="15"/>
      <c r="F5354" s="15"/>
      <c r="G5354" s="15"/>
      <c r="H5354" s="13"/>
      <c r="I5354" s="13"/>
      <c r="J5354" s="16"/>
      <c r="K5354" s="16"/>
      <c r="L5354" s="17" t="str">
        <f aca="false" t="array" ref="L5354:L5354">IFERROR(INDEX(AC5354:AE5354,IF(COUNTA(AC5354:AE5354)=0,"",MAX((AC5354:AE5354&lt;&gt;"")*(COLUMN(AC5354:AE5354)-(COLUMN(AC5354)-2))))-1),"")</f>
        <v/>
      </c>
      <c r="M5354" s="13"/>
      <c r="N5354" s="13"/>
      <c r="O5354" s="13"/>
      <c r="P5354" s="26"/>
      <c r="Q5354" s="20"/>
      <c r="R5354" s="13"/>
      <c r="S5354" s="25"/>
      <c r="T5354" s="13"/>
      <c r="U5354" s="13"/>
      <c r="V5354" s="13"/>
      <c r="W5354" s="13"/>
      <c r="X5354" s="21"/>
      <c r="Y5354" s="22"/>
      <c r="Z5354" s="23"/>
      <c r="AA5354" s="23"/>
      <c r="AB5354" s="15"/>
      <c r="AC5354" s="14"/>
      <c r="AD5354" s="18"/>
      <c r="AE5354" s="18"/>
    </row>
    <row r="5355" customFormat="false" ht="15" hidden="false" customHeight="true" outlineLevel="0" collapsed="false">
      <c r="A5355" s="12"/>
      <c r="B5355" s="13"/>
      <c r="C5355" s="14"/>
      <c r="D5355" s="13"/>
      <c r="E5355" s="15"/>
      <c r="F5355" s="15"/>
      <c r="G5355" s="15"/>
      <c r="H5355" s="13"/>
      <c r="I5355" s="13"/>
      <c r="J5355" s="16"/>
      <c r="K5355" s="16"/>
      <c r="L5355" s="17" t="str">
        <f aca="false" t="array" ref="L5355:L5355">IFERROR(INDEX(AC5355:AE5355,IF(COUNTA(AC5355:AE5355)=0,"",MAX((AC5355:AE5355&lt;&gt;"")*(COLUMN(AC5355:AE5355)-(COLUMN(AC5355)-2))))-1),"")</f>
        <v/>
      </c>
      <c r="M5355" s="13"/>
      <c r="N5355" s="13"/>
      <c r="O5355" s="13"/>
      <c r="P5355" s="26"/>
      <c r="Q5355" s="20"/>
      <c r="R5355" s="13"/>
      <c r="S5355" s="25"/>
      <c r="T5355" s="13"/>
      <c r="U5355" s="13"/>
      <c r="V5355" s="13"/>
      <c r="W5355" s="13"/>
      <c r="X5355" s="21"/>
      <c r="Y5355" s="22"/>
      <c r="Z5355" s="23"/>
      <c r="AA5355" s="23"/>
      <c r="AB5355" s="15"/>
      <c r="AC5355" s="14"/>
      <c r="AD5355" s="18"/>
      <c r="AE5355" s="18"/>
    </row>
    <row r="5356" customFormat="false" ht="15" hidden="false" customHeight="true" outlineLevel="0" collapsed="false">
      <c r="A5356" s="12"/>
      <c r="B5356" s="13"/>
      <c r="C5356" s="14"/>
      <c r="D5356" s="13"/>
      <c r="E5356" s="15"/>
      <c r="F5356" s="15"/>
      <c r="G5356" s="15"/>
      <c r="H5356" s="13"/>
      <c r="I5356" s="13"/>
      <c r="J5356" s="16"/>
      <c r="K5356" s="16"/>
      <c r="L5356" s="17" t="str">
        <f aca="false" t="array" ref="L5356:L5356">IFERROR(INDEX(AC5356:AE5356,IF(COUNTA(AC5356:AE5356)=0,"",MAX((AC5356:AE5356&lt;&gt;"")*(COLUMN(AC5356:AE5356)-(COLUMN(AC5356)-2))))-1),"")</f>
        <v/>
      </c>
      <c r="M5356" s="13"/>
      <c r="N5356" s="13"/>
      <c r="O5356" s="13"/>
      <c r="P5356" s="26"/>
      <c r="Q5356" s="20"/>
      <c r="R5356" s="13"/>
      <c r="S5356" s="25"/>
      <c r="T5356" s="13"/>
      <c r="U5356" s="13"/>
      <c r="V5356" s="13"/>
      <c r="W5356" s="13"/>
      <c r="X5356" s="21"/>
      <c r="Y5356" s="22"/>
      <c r="Z5356" s="23"/>
      <c r="AA5356" s="23"/>
      <c r="AB5356" s="15"/>
      <c r="AC5356" s="14"/>
      <c r="AD5356" s="18"/>
      <c r="AE5356" s="18"/>
    </row>
    <row r="5357" customFormat="false" ht="15" hidden="false" customHeight="true" outlineLevel="0" collapsed="false">
      <c r="A5357" s="12"/>
      <c r="B5357" s="13"/>
      <c r="C5357" s="14"/>
      <c r="D5357" s="13"/>
      <c r="E5357" s="15"/>
      <c r="F5357" s="15"/>
      <c r="G5357" s="15"/>
      <c r="H5357" s="13"/>
      <c r="I5357" s="13"/>
      <c r="J5357" s="16"/>
      <c r="K5357" s="16"/>
      <c r="L5357" s="17" t="str">
        <f aca="false" t="array" ref="L5357:L5357">IFERROR(INDEX(AC5357:AE5357,IF(COUNTA(AC5357:AE5357)=0,"",MAX((AC5357:AE5357&lt;&gt;"")*(COLUMN(AC5357:AE5357)-(COLUMN(AC5357)-2))))-1),"")</f>
        <v/>
      </c>
      <c r="M5357" s="13"/>
      <c r="N5357" s="13"/>
      <c r="O5357" s="13"/>
      <c r="P5357" s="26"/>
      <c r="Q5357" s="20"/>
      <c r="R5357" s="13"/>
      <c r="S5357" s="25"/>
      <c r="T5357" s="13"/>
      <c r="U5357" s="13"/>
      <c r="V5357" s="13"/>
      <c r="W5357" s="13"/>
      <c r="X5357" s="21"/>
      <c r="Y5357" s="22"/>
      <c r="Z5357" s="23"/>
      <c r="AA5357" s="23"/>
      <c r="AB5357" s="15"/>
      <c r="AC5357" s="14"/>
      <c r="AD5357" s="18"/>
      <c r="AE5357" s="18"/>
    </row>
    <row r="5358" customFormat="false" ht="15" hidden="false" customHeight="true" outlineLevel="0" collapsed="false">
      <c r="A5358" s="12"/>
      <c r="B5358" s="13"/>
      <c r="C5358" s="14"/>
      <c r="D5358" s="13"/>
      <c r="E5358" s="15"/>
      <c r="F5358" s="15"/>
      <c r="G5358" s="15"/>
      <c r="H5358" s="13"/>
      <c r="I5358" s="13"/>
      <c r="J5358" s="16"/>
      <c r="K5358" s="16"/>
      <c r="L5358" s="17" t="str">
        <f aca="false" t="array" ref="L5358:L5358">IFERROR(INDEX(AC5358:AE5358,IF(COUNTA(AC5358:AE5358)=0,"",MAX((AC5358:AE5358&lt;&gt;"")*(COLUMN(AC5358:AE5358)-(COLUMN(AC5358)-2))))-1),"")</f>
        <v/>
      </c>
      <c r="M5358" s="13"/>
      <c r="N5358" s="13"/>
      <c r="O5358" s="13"/>
      <c r="P5358" s="26"/>
      <c r="Q5358" s="20"/>
      <c r="R5358" s="13"/>
      <c r="S5358" s="25"/>
      <c r="T5358" s="13"/>
      <c r="U5358" s="13"/>
      <c r="V5358" s="13"/>
      <c r="W5358" s="13"/>
      <c r="X5358" s="21"/>
      <c r="Y5358" s="22"/>
      <c r="Z5358" s="23"/>
      <c r="AA5358" s="23"/>
      <c r="AB5358" s="15"/>
      <c r="AC5358" s="14"/>
      <c r="AD5358" s="18"/>
      <c r="AE5358" s="18"/>
    </row>
    <row r="5359" customFormat="false" ht="15" hidden="false" customHeight="true" outlineLevel="0" collapsed="false">
      <c r="A5359" s="12"/>
      <c r="B5359" s="13"/>
      <c r="C5359" s="14"/>
      <c r="D5359" s="13"/>
      <c r="E5359" s="15"/>
      <c r="F5359" s="15"/>
      <c r="G5359" s="15"/>
      <c r="H5359" s="13"/>
      <c r="I5359" s="13"/>
      <c r="J5359" s="16"/>
      <c r="K5359" s="16"/>
      <c r="L5359" s="17" t="str">
        <f aca="false" t="array" ref="L5359:L5359">IFERROR(INDEX(AC5359:AE5359,IF(COUNTA(AC5359:AE5359)=0,"",MAX((AC5359:AE5359&lt;&gt;"")*(COLUMN(AC5359:AE5359)-(COLUMN(AC5359)-2))))-1),"")</f>
        <v/>
      </c>
      <c r="M5359" s="13"/>
      <c r="N5359" s="13"/>
      <c r="O5359" s="13"/>
      <c r="P5359" s="26"/>
      <c r="Q5359" s="20"/>
      <c r="R5359" s="13"/>
      <c r="S5359" s="25"/>
      <c r="T5359" s="13"/>
      <c r="U5359" s="13"/>
      <c r="V5359" s="13"/>
      <c r="W5359" s="13"/>
      <c r="X5359" s="21"/>
      <c r="Y5359" s="22"/>
      <c r="Z5359" s="23"/>
      <c r="AA5359" s="23"/>
      <c r="AB5359" s="15"/>
      <c r="AC5359" s="14"/>
      <c r="AD5359" s="18"/>
      <c r="AE5359" s="18"/>
    </row>
    <row r="5360" customFormat="false" ht="15" hidden="false" customHeight="true" outlineLevel="0" collapsed="false">
      <c r="A5360" s="12"/>
      <c r="B5360" s="13"/>
      <c r="C5360" s="14"/>
      <c r="D5360" s="13"/>
      <c r="E5360" s="15"/>
      <c r="F5360" s="15"/>
      <c r="G5360" s="15"/>
      <c r="H5360" s="13"/>
      <c r="I5360" s="13"/>
      <c r="J5360" s="16"/>
      <c r="K5360" s="16"/>
      <c r="L5360" s="17" t="str">
        <f aca="false" t="array" ref="L5360:L5360">IFERROR(INDEX(AC5360:AE5360,IF(COUNTA(AC5360:AE5360)=0,"",MAX((AC5360:AE5360&lt;&gt;"")*(COLUMN(AC5360:AE5360)-(COLUMN(AC5360)-2))))-1),"")</f>
        <v/>
      </c>
      <c r="M5360" s="13"/>
      <c r="N5360" s="13"/>
      <c r="O5360" s="13"/>
      <c r="P5360" s="26"/>
      <c r="Q5360" s="20"/>
      <c r="R5360" s="13"/>
      <c r="S5360" s="25"/>
      <c r="T5360" s="13"/>
      <c r="U5360" s="13"/>
      <c r="V5360" s="13"/>
      <c r="W5360" s="13"/>
      <c r="X5360" s="21"/>
      <c r="Y5360" s="22"/>
      <c r="Z5360" s="23"/>
      <c r="AA5360" s="23"/>
      <c r="AB5360" s="15"/>
      <c r="AC5360" s="14"/>
      <c r="AD5360" s="18"/>
      <c r="AE5360" s="18"/>
    </row>
    <row r="5361" customFormat="false" ht="15" hidden="false" customHeight="true" outlineLevel="0" collapsed="false">
      <c r="A5361" s="12"/>
      <c r="B5361" s="13"/>
      <c r="C5361" s="14"/>
      <c r="D5361" s="13"/>
      <c r="E5361" s="15"/>
      <c r="F5361" s="15"/>
      <c r="G5361" s="15"/>
      <c r="H5361" s="13"/>
      <c r="I5361" s="13"/>
      <c r="J5361" s="16"/>
      <c r="K5361" s="16"/>
      <c r="L5361" s="17" t="str">
        <f aca="false" t="array" ref="L5361:L5361">IFERROR(INDEX(AC5361:AE5361,IF(COUNTA(AC5361:AE5361)=0,"",MAX((AC5361:AE5361&lt;&gt;"")*(COLUMN(AC5361:AE5361)-(COLUMN(AC5361)-2))))-1),"")</f>
        <v/>
      </c>
      <c r="M5361" s="13"/>
      <c r="N5361" s="13"/>
      <c r="O5361" s="13"/>
      <c r="P5361" s="26"/>
      <c r="Q5361" s="20"/>
      <c r="R5361" s="13"/>
      <c r="S5361" s="25"/>
      <c r="T5361" s="13"/>
      <c r="U5361" s="13"/>
      <c r="V5361" s="13"/>
      <c r="W5361" s="13"/>
      <c r="X5361" s="21"/>
      <c r="Y5361" s="22"/>
      <c r="Z5361" s="23"/>
      <c r="AA5361" s="23"/>
      <c r="AB5361" s="15"/>
      <c r="AC5361" s="14"/>
      <c r="AD5361" s="18"/>
      <c r="AE5361" s="18"/>
    </row>
    <row r="5362" customFormat="false" ht="15" hidden="false" customHeight="true" outlineLevel="0" collapsed="false">
      <c r="A5362" s="12"/>
      <c r="B5362" s="13"/>
      <c r="C5362" s="14"/>
      <c r="D5362" s="13"/>
      <c r="E5362" s="15"/>
      <c r="F5362" s="15"/>
      <c r="G5362" s="15"/>
      <c r="H5362" s="13"/>
      <c r="I5362" s="13"/>
      <c r="J5362" s="16"/>
      <c r="K5362" s="16"/>
      <c r="L5362" s="17" t="str">
        <f aca="false" t="array" ref="L5362:L5362">IFERROR(INDEX(AC5362:AE5362,IF(COUNTA(AC5362:AE5362)=0,"",MAX((AC5362:AE5362&lt;&gt;"")*(COLUMN(AC5362:AE5362)-(COLUMN(AC5362)-2))))-1),"")</f>
        <v/>
      </c>
      <c r="M5362" s="13"/>
      <c r="N5362" s="13"/>
      <c r="O5362" s="13"/>
      <c r="P5362" s="26"/>
      <c r="Q5362" s="20"/>
      <c r="R5362" s="13"/>
      <c r="S5362" s="25"/>
      <c r="T5362" s="13"/>
      <c r="U5362" s="13"/>
      <c r="V5362" s="13"/>
      <c r="W5362" s="13"/>
      <c r="X5362" s="21"/>
      <c r="Y5362" s="22"/>
      <c r="Z5362" s="23"/>
      <c r="AA5362" s="23"/>
      <c r="AB5362" s="15"/>
      <c r="AC5362" s="14"/>
      <c r="AD5362" s="18"/>
      <c r="AE5362" s="18"/>
    </row>
    <row r="5363" customFormat="false" ht="15" hidden="false" customHeight="true" outlineLevel="0" collapsed="false">
      <c r="A5363" s="12"/>
      <c r="B5363" s="13"/>
      <c r="C5363" s="14"/>
      <c r="D5363" s="13"/>
      <c r="E5363" s="15"/>
      <c r="F5363" s="15"/>
      <c r="G5363" s="15"/>
      <c r="H5363" s="13"/>
      <c r="I5363" s="13"/>
      <c r="J5363" s="16"/>
      <c r="K5363" s="16"/>
      <c r="L5363" s="17" t="str">
        <f aca="false" t="array" ref="L5363:L5363">IFERROR(INDEX(AC5363:AE5363,IF(COUNTA(AC5363:AE5363)=0,"",MAX((AC5363:AE5363&lt;&gt;"")*(COLUMN(AC5363:AE5363)-(COLUMN(AC5363)-2))))-1),"")</f>
        <v/>
      </c>
      <c r="M5363" s="13"/>
      <c r="N5363" s="13"/>
      <c r="O5363" s="13"/>
      <c r="P5363" s="26"/>
      <c r="Q5363" s="20"/>
      <c r="R5363" s="13"/>
      <c r="S5363" s="25"/>
      <c r="T5363" s="13"/>
      <c r="U5363" s="13"/>
      <c r="V5363" s="13"/>
      <c r="W5363" s="13"/>
      <c r="X5363" s="21"/>
      <c r="Y5363" s="22"/>
      <c r="Z5363" s="23"/>
      <c r="AA5363" s="23"/>
      <c r="AB5363" s="15"/>
      <c r="AC5363" s="14"/>
      <c r="AD5363" s="18"/>
      <c r="AE5363" s="18"/>
    </row>
    <row r="5364" customFormat="false" ht="15" hidden="false" customHeight="true" outlineLevel="0" collapsed="false">
      <c r="A5364" s="12"/>
      <c r="B5364" s="13"/>
      <c r="C5364" s="14"/>
      <c r="D5364" s="13"/>
      <c r="E5364" s="15"/>
      <c r="F5364" s="15"/>
      <c r="G5364" s="15"/>
      <c r="H5364" s="13"/>
      <c r="I5364" s="13"/>
      <c r="J5364" s="16"/>
      <c r="K5364" s="16"/>
      <c r="L5364" s="17" t="str">
        <f aca="false" t="array" ref="L5364:L5364">IFERROR(INDEX(AC5364:AE5364,IF(COUNTA(AC5364:AE5364)=0,"",MAX((AC5364:AE5364&lt;&gt;"")*(COLUMN(AC5364:AE5364)-(COLUMN(AC5364)-2))))-1),"")</f>
        <v/>
      </c>
      <c r="M5364" s="13"/>
      <c r="N5364" s="13"/>
      <c r="O5364" s="13"/>
      <c r="P5364" s="26"/>
      <c r="Q5364" s="20"/>
      <c r="R5364" s="13"/>
      <c r="S5364" s="25"/>
      <c r="T5364" s="13"/>
      <c r="U5364" s="13"/>
      <c r="V5364" s="13"/>
      <c r="W5364" s="13"/>
      <c r="X5364" s="21"/>
      <c r="Y5364" s="22"/>
      <c r="Z5364" s="23"/>
      <c r="AA5364" s="23"/>
      <c r="AB5364" s="15"/>
      <c r="AC5364" s="14"/>
      <c r="AD5364" s="18"/>
      <c r="AE5364" s="18"/>
    </row>
    <row r="5365" customFormat="false" ht="15" hidden="false" customHeight="true" outlineLevel="0" collapsed="false">
      <c r="A5365" s="12"/>
      <c r="B5365" s="13"/>
      <c r="C5365" s="14"/>
      <c r="D5365" s="13"/>
      <c r="E5365" s="15"/>
      <c r="F5365" s="15"/>
      <c r="G5365" s="15"/>
      <c r="H5365" s="13"/>
      <c r="I5365" s="13"/>
      <c r="J5365" s="16"/>
      <c r="K5365" s="16"/>
      <c r="L5365" s="17" t="str">
        <f aca="false" t="array" ref="L5365:L5365">IFERROR(INDEX(AC5365:AE5365,IF(COUNTA(AC5365:AE5365)=0,"",MAX((AC5365:AE5365&lt;&gt;"")*(COLUMN(AC5365:AE5365)-(COLUMN(AC5365)-2))))-1),"")</f>
        <v/>
      </c>
      <c r="M5365" s="13"/>
      <c r="N5365" s="13"/>
      <c r="O5365" s="13"/>
      <c r="P5365" s="26"/>
      <c r="Q5365" s="20"/>
      <c r="R5365" s="13"/>
      <c r="S5365" s="25"/>
      <c r="T5365" s="13"/>
      <c r="U5365" s="13"/>
      <c r="V5365" s="13"/>
      <c r="W5365" s="13"/>
      <c r="X5365" s="21"/>
      <c r="Y5365" s="22"/>
      <c r="Z5365" s="23"/>
      <c r="AA5365" s="23"/>
      <c r="AB5365" s="15"/>
      <c r="AC5365" s="14"/>
      <c r="AD5365" s="18"/>
      <c r="AE5365" s="18"/>
    </row>
    <row r="5366" customFormat="false" ht="15" hidden="false" customHeight="true" outlineLevel="0" collapsed="false">
      <c r="A5366" s="12"/>
      <c r="B5366" s="13"/>
      <c r="C5366" s="14"/>
      <c r="D5366" s="13"/>
      <c r="E5366" s="15"/>
      <c r="F5366" s="15"/>
      <c r="G5366" s="15"/>
      <c r="H5366" s="13"/>
      <c r="I5366" s="13"/>
      <c r="J5366" s="16"/>
      <c r="K5366" s="16"/>
      <c r="L5366" s="17" t="str">
        <f aca="false" t="array" ref="L5366:L5366">IFERROR(INDEX(AC5366:AE5366,IF(COUNTA(AC5366:AE5366)=0,"",MAX((AC5366:AE5366&lt;&gt;"")*(COLUMN(AC5366:AE5366)-(COLUMN(AC5366)-2))))-1),"")</f>
        <v/>
      </c>
      <c r="M5366" s="13"/>
      <c r="N5366" s="13"/>
      <c r="O5366" s="13"/>
      <c r="P5366" s="26"/>
      <c r="Q5366" s="20"/>
      <c r="R5366" s="13"/>
      <c r="S5366" s="25"/>
      <c r="T5366" s="13"/>
      <c r="U5366" s="13"/>
      <c r="V5366" s="13"/>
      <c r="W5366" s="13"/>
      <c r="X5366" s="21"/>
      <c r="Y5366" s="22"/>
      <c r="Z5366" s="23"/>
      <c r="AA5366" s="23"/>
      <c r="AB5366" s="15"/>
      <c r="AC5366" s="14"/>
      <c r="AD5366" s="18"/>
      <c r="AE5366" s="18"/>
    </row>
    <row r="5367" customFormat="false" ht="15" hidden="false" customHeight="true" outlineLevel="0" collapsed="false">
      <c r="A5367" s="12"/>
      <c r="B5367" s="13"/>
      <c r="C5367" s="14"/>
      <c r="D5367" s="13"/>
      <c r="E5367" s="15"/>
      <c r="F5367" s="15"/>
      <c r="G5367" s="15"/>
      <c r="H5367" s="13"/>
      <c r="I5367" s="13"/>
      <c r="J5367" s="16"/>
      <c r="K5367" s="16"/>
      <c r="L5367" s="17" t="str">
        <f aca="false" t="array" ref="L5367:L5367">IFERROR(INDEX(AC5367:AE5367,IF(COUNTA(AC5367:AE5367)=0,"",MAX((AC5367:AE5367&lt;&gt;"")*(COLUMN(AC5367:AE5367)-(COLUMN(AC5367)-2))))-1),"")</f>
        <v/>
      </c>
      <c r="M5367" s="13"/>
      <c r="N5367" s="13"/>
      <c r="O5367" s="13"/>
      <c r="P5367" s="26"/>
      <c r="Q5367" s="20"/>
      <c r="R5367" s="13"/>
      <c r="S5367" s="25"/>
      <c r="T5367" s="13"/>
      <c r="U5367" s="13"/>
      <c r="V5367" s="13"/>
      <c r="W5367" s="13"/>
      <c r="X5367" s="21"/>
      <c r="Y5367" s="22"/>
      <c r="Z5367" s="23"/>
      <c r="AA5367" s="23"/>
      <c r="AB5367" s="15"/>
      <c r="AC5367" s="14"/>
      <c r="AD5367" s="18"/>
      <c r="AE5367" s="18"/>
    </row>
    <row r="5368" customFormat="false" ht="15" hidden="false" customHeight="true" outlineLevel="0" collapsed="false">
      <c r="A5368" s="12"/>
      <c r="B5368" s="13"/>
      <c r="C5368" s="14"/>
      <c r="D5368" s="13"/>
      <c r="E5368" s="15"/>
      <c r="F5368" s="15"/>
      <c r="G5368" s="15"/>
      <c r="H5368" s="13"/>
      <c r="I5368" s="13"/>
      <c r="J5368" s="16"/>
      <c r="K5368" s="16"/>
      <c r="L5368" s="17" t="str">
        <f aca="false" t="array" ref="L5368:L5368">IFERROR(INDEX(AC5368:AE5368,IF(COUNTA(AC5368:AE5368)=0,"",MAX((AC5368:AE5368&lt;&gt;"")*(COLUMN(AC5368:AE5368)-(COLUMN(AC5368)-2))))-1),"")</f>
        <v/>
      </c>
      <c r="M5368" s="13"/>
      <c r="N5368" s="13"/>
      <c r="O5368" s="13"/>
      <c r="P5368" s="26"/>
      <c r="Q5368" s="20"/>
      <c r="R5368" s="13"/>
      <c r="S5368" s="25"/>
      <c r="T5368" s="13"/>
      <c r="U5368" s="13"/>
      <c r="V5368" s="13"/>
      <c r="W5368" s="13"/>
      <c r="X5368" s="21"/>
      <c r="Y5368" s="22"/>
      <c r="Z5368" s="23"/>
      <c r="AA5368" s="23"/>
      <c r="AB5368" s="15"/>
      <c r="AC5368" s="14"/>
      <c r="AD5368" s="18"/>
      <c r="AE5368" s="18"/>
    </row>
    <row r="5369" customFormat="false" ht="15" hidden="false" customHeight="true" outlineLevel="0" collapsed="false">
      <c r="A5369" s="12"/>
      <c r="B5369" s="13"/>
      <c r="C5369" s="14"/>
      <c r="D5369" s="13"/>
      <c r="E5369" s="15"/>
      <c r="F5369" s="15"/>
      <c r="G5369" s="15"/>
      <c r="H5369" s="13"/>
      <c r="I5369" s="13"/>
      <c r="J5369" s="16"/>
      <c r="K5369" s="16"/>
      <c r="L5369" s="17" t="str">
        <f aca="false" t="array" ref="L5369:L5369">IFERROR(INDEX(AC5369:AE5369,IF(COUNTA(AC5369:AE5369)=0,"",MAX((AC5369:AE5369&lt;&gt;"")*(COLUMN(AC5369:AE5369)-(COLUMN(AC5369)-2))))-1),"")</f>
        <v/>
      </c>
      <c r="M5369" s="13"/>
      <c r="N5369" s="13"/>
      <c r="O5369" s="13"/>
      <c r="P5369" s="26"/>
      <c r="Q5369" s="20"/>
      <c r="R5369" s="13"/>
      <c r="S5369" s="25"/>
      <c r="T5369" s="13"/>
      <c r="U5369" s="13"/>
      <c r="V5369" s="13"/>
      <c r="W5369" s="13"/>
      <c r="X5369" s="21"/>
      <c r="Y5369" s="22"/>
      <c r="Z5369" s="23"/>
      <c r="AA5369" s="23"/>
      <c r="AB5369" s="15"/>
      <c r="AC5369" s="14"/>
      <c r="AD5369" s="18"/>
      <c r="AE5369" s="18"/>
    </row>
    <row r="5370" customFormat="false" ht="15" hidden="false" customHeight="true" outlineLevel="0" collapsed="false">
      <c r="A5370" s="12"/>
      <c r="B5370" s="13"/>
      <c r="C5370" s="14"/>
      <c r="D5370" s="13"/>
      <c r="E5370" s="15"/>
      <c r="F5370" s="15"/>
      <c r="G5370" s="15"/>
      <c r="H5370" s="13"/>
      <c r="I5370" s="13"/>
      <c r="J5370" s="16"/>
      <c r="K5370" s="16"/>
      <c r="L5370" s="17" t="str">
        <f aca="false" t="array" ref="L5370:L5370">IFERROR(INDEX(AC5370:AE5370,IF(COUNTA(AC5370:AE5370)=0,"",MAX((AC5370:AE5370&lt;&gt;"")*(COLUMN(AC5370:AE5370)-(COLUMN(AC5370)-2))))-1),"")</f>
        <v/>
      </c>
      <c r="M5370" s="13"/>
      <c r="N5370" s="13"/>
      <c r="O5370" s="13"/>
      <c r="P5370" s="26"/>
      <c r="Q5370" s="20"/>
      <c r="R5370" s="13"/>
      <c r="S5370" s="25"/>
      <c r="T5370" s="13"/>
      <c r="U5370" s="13"/>
      <c r="V5370" s="13"/>
      <c r="W5370" s="13"/>
      <c r="X5370" s="21"/>
      <c r="Y5370" s="22"/>
      <c r="Z5370" s="23"/>
      <c r="AA5370" s="23"/>
      <c r="AB5370" s="15"/>
      <c r="AC5370" s="14"/>
      <c r="AD5370" s="18"/>
      <c r="AE5370" s="18"/>
    </row>
    <row r="5371" customFormat="false" ht="15" hidden="false" customHeight="true" outlineLevel="0" collapsed="false">
      <c r="A5371" s="12"/>
      <c r="B5371" s="13"/>
      <c r="C5371" s="14"/>
      <c r="D5371" s="13"/>
      <c r="E5371" s="15"/>
      <c r="F5371" s="15"/>
      <c r="G5371" s="15"/>
      <c r="H5371" s="13"/>
      <c r="I5371" s="13"/>
      <c r="J5371" s="16"/>
      <c r="K5371" s="16"/>
      <c r="L5371" s="17" t="str">
        <f aca="false" t="array" ref="L5371:L5371">IFERROR(INDEX(AC5371:AE5371,IF(COUNTA(AC5371:AE5371)=0,"",MAX((AC5371:AE5371&lt;&gt;"")*(COLUMN(AC5371:AE5371)-(COLUMN(AC5371)-2))))-1),"")</f>
        <v/>
      </c>
      <c r="M5371" s="13"/>
      <c r="N5371" s="13"/>
      <c r="O5371" s="13"/>
      <c r="P5371" s="26"/>
      <c r="Q5371" s="20"/>
      <c r="R5371" s="13"/>
      <c r="S5371" s="25"/>
      <c r="T5371" s="13"/>
      <c r="U5371" s="13"/>
      <c r="V5371" s="13"/>
      <c r="W5371" s="13"/>
      <c r="X5371" s="21"/>
      <c r="Y5371" s="22"/>
      <c r="Z5371" s="23"/>
      <c r="AA5371" s="23"/>
      <c r="AB5371" s="15"/>
      <c r="AC5371" s="14"/>
      <c r="AD5371" s="18"/>
      <c r="AE5371" s="18"/>
    </row>
    <row r="5372" customFormat="false" ht="15" hidden="false" customHeight="true" outlineLevel="0" collapsed="false">
      <c r="A5372" s="12"/>
      <c r="B5372" s="13"/>
      <c r="C5372" s="14"/>
      <c r="D5372" s="13"/>
      <c r="E5372" s="15"/>
      <c r="F5372" s="15"/>
      <c r="G5372" s="15"/>
      <c r="H5372" s="13"/>
      <c r="I5372" s="13"/>
      <c r="J5372" s="16"/>
      <c r="K5372" s="16"/>
      <c r="L5372" s="17" t="str">
        <f aca="false" t="array" ref="L5372:L5372">IFERROR(INDEX(AC5372:AE5372,IF(COUNTA(AC5372:AE5372)=0,"",MAX((AC5372:AE5372&lt;&gt;"")*(COLUMN(AC5372:AE5372)-(COLUMN(AC5372)-2))))-1),"")</f>
        <v/>
      </c>
      <c r="M5372" s="13"/>
      <c r="N5372" s="13"/>
      <c r="O5372" s="13"/>
      <c r="P5372" s="26"/>
      <c r="Q5372" s="20"/>
      <c r="R5372" s="13"/>
      <c r="S5372" s="25"/>
      <c r="T5372" s="13"/>
      <c r="U5372" s="13"/>
      <c r="V5372" s="13"/>
      <c r="W5372" s="13"/>
      <c r="X5372" s="21"/>
      <c r="Y5372" s="22"/>
      <c r="Z5372" s="23"/>
      <c r="AA5372" s="23"/>
      <c r="AB5372" s="15"/>
      <c r="AC5372" s="14"/>
      <c r="AD5372" s="18"/>
      <c r="AE5372" s="18"/>
    </row>
    <row r="5373" customFormat="false" ht="15" hidden="false" customHeight="true" outlineLevel="0" collapsed="false">
      <c r="A5373" s="12"/>
      <c r="B5373" s="13"/>
      <c r="C5373" s="14"/>
      <c r="D5373" s="13"/>
      <c r="E5373" s="15"/>
      <c r="F5373" s="15"/>
      <c r="G5373" s="15"/>
      <c r="H5373" s="13"/>
      <c r="I5373" s="13"/>
      <c r="J5373" s="16"/>
      <c r="K5373" s="16"/>
      <c r="L5373" s="17" t="str">
        <f aca="false" t="array" ref="L5373:L5373">IFERROR(INDEX(AC5373:AE5373,IF(COUNTA(AC5373:AE5373)=0,"",MAX((AC5373:AE5373&lt;&gt;"")*(COLUMN(AC5373:AE5373)-(COLUMN(AC5373)-2))))-1),"")</f>
        <v/>
      </c>
      <c r="M5373" s="13"/>
      <c r="N5373" s="13"/>
      <c r="O5373" s="13"/>
      <c r="P5373" s="26"/>
      <c r="Q5373" s="20"/>
      <c r="R5373" s="13"/>
      <c r="S5373" s="25"/>
      <c r="T5373" s="13"/>
      <c r="U5373" s="13"/>
      <c r="V5373" s="13"/>
      <c r="W5373" s="13"/>
      <c r="X5373" s="21"/>
      <c r="Y5373" s="22"/>
      <c r="Z5373" s="23"/>
      <c r="AA5373" s="23"/>
      <c r="AB5373" s="15"/>
      <c r="AC5373" s="14"/>
      <c r="AD5373" s="18"/>
      <c r="AE5373" s="18"/>
    </row>
    <row r="5374" customFormat="false" ht="15" hidden="false" customHeight="true" outlineLevel="0" collapsed="false">
      <c r="A5374" s="12"/>
      <c r="B5374" s="13"/>
      <c r="C5374" s="14"/>
      <c r="D5374" s="13"/>
      <c r="E5374" s="15"/>
      <c r="F5374" s="15"/>
      <c r="G5374" s="15"/>
      <c r="H5374" s="13"/>
      <c r="I5374" s="13"/>
      <c r="J5374" s="16"/>
      <c r="K5374" s="16"/>
      <c r="L5374" s="17" t="str">
        <f aca="false" t="array" ref="L5374:L5374">IFERROR(INDEX(AC5374:AE5374,IF(COUNTA(AC5374:AE5374)=0,"",MAX((AC5374:AE5374&lt;&gt;"")*(COLUMN(AC5374:AE5374)-(COLUMN(AC5374)-2))))-1),"")</f>
        <v/>
      </c>
      <c r="M5374" s="13"/>
      <c r="N5374" s="13"/>
      <c r="O5374" s="13"/>
      <c r="P5374" s="26"/>
      <c r="Q5374" s="20"/>
      <c r="R5374" s="13"/>
      <c r="S5374" s="25"/>
      <c r="T5374" s="13"/>
      <c r="U5374" s="13"/>
      <c r="V5374" s="13"/>
      <c r="W5374" s="13"/>
      <c r="X5374" s="21"/>
      <c r="Y5374" s="22"/>
      <c r="Z5374" s="23"/>
      <c r="AA5374" s="23"/>
      <c r="AB5374" s="15"/>
      <c r="AC5374" s="14"/>
      <c r="AD5374" s="18"/>
      <c r="AE5374" s="18"/>
    </row>
    <row r="5375" customFormat="false" ht="15" hidden="false" customHeight="true" outlineLevel="0" collapsed="false">
      <c r="A5375" s="12"/>
      <c r="B5375" s="13"/>
      <c r="C5375" s="14"/>
      <c r="D5375" s="13"/>
      <c r="E5375" s="15"/>
      <c r="F5375" s="15"/>
      <c r="G5375" s="15"/>
      <c r="H5375" s="13"/>
      <c r="I5375" s="13"/>
      <c r="J5375" s="16"/>
      <c r="K5375" s="16"/>
      <c r="L5375" s="17" t="str">
        <f aca="false" t="array" ref="L5375:L5375">IFERROR(INDEX(AC5375:AE5375,IF(COUNTA(AC5375:AE5375)=0,"",MAX((AC5375:AE5375&lt;&gt;"")*(COLUMN(AC5375:AE5375)-(COLUMN(AC5375)-2))))-1),"")</f>
        <v/>
      </c>
      <c r="M5375" s="13"/>
      <c r="N5375" s="13"/>
      <c r="O5375" s="13"/>
      <c r="P5375" s="26"/>
      <c r="Q5375" s="20"/>
      <c r="R5375" s="13"/>
      <c r="S5375" s="25"/>
      <c r="T5375" s="13"/>
      <c r="U5375" s="13"/>
      <c r="V5375" s="13"/>
      <c r="W5375" s="13"/>
      <c r="X5375" s="21"/>
      <c r="Y5375" s="22"/>
      <c r="Z5375" s="23"/>
      <c r="AA5375" s="23"/>
      <c r="AB5375" s="15"/>
      <c r="AC5375" s="14"/>
      <c r="AD5375" s="18"/>
      <c r="AE5375" s="18"/>
    </row>
    <row r="5376" customFormat="false" ht="15" hidden="false" customHeight="true" outlineLevel="0" collapsed="false">
      <c r="A5376" s="12"/>
      <c r="B5376" s="13"/>
      <c r="C5376" s="14"/>
      <c r="D5376" s="13"/>
      <c r="E5376" s="15"/>
      <c r="F5376" s="15"/>
      <c r="G5376" s="15"/>
      <c r="H5376" s="13"/>
      <c r="I5376" s="13"/>
      <c r="J5376" s="16"/>
      <c r="K5376" s="16"/>
      <c r="L5376" s="17" t="str">
        <f aca="false" t="array" ref="L5376:L5376">IFERROR(INDEX(AC5376:AE5376,IF(COUNTA(AC5376:AE5376)=0,"",MAX((AC5376:AE5376&lt;&gt;"")*(COLUMN(AC5376:AE5376)-(COLUMN(AC5376)-2))))-1),"")</f>
        <v/>
      </c>
      <c r="M5376" s="13"/>
      <c r="N5376" s="13"/>
      <c r="O5376" s="13"/>
      <c r="P5376" s="26"/>
      <c r="Q5376" s="20"/>
      <c r="R5376" s="13"/>
      <c r="S5376" s="25"/>
      <c r="T5376" s="13"/>
      <c r="U5376" s="13"/>
      <c r="V5376" s="13"/>
      <c r="W5376" s="13"/>
      <c r="X5376" s="21"/>
      <c r="Y5376" s="22"/>
      <c r="Z5376" s="23"/>
      <c r="AA5376" s="23"/>
      <c r="AB5376" s="15"/>
      <c r="AC5376" s="14"/>
      <c r="AD5376" s="18"/>
      <c r="AE5376" s="18"/>
    </row>
    <row r="5377" customFormat="false" ht="15" hidden="false" customHeight="true" outlineLevel="0" collapsed="false">
      <c r="A5377" s="12"/>
      <c r="B5377" s="13"/>
      <c r="C5377" s="14"/>
      <c r="D5377" s="13"/>
      <c r="E5377" s="15"/>
      <c r="F5377" s="15"/>
      <c r="G5377" s="15"/>
      <c r="H5377" s="13"/>
      <c r="I5377" s="13"/>
      <c r="J5377" s="16"/>
      <c r="K5377" s="16"/>
      <c r="L5377" s="17" t="str">
        <f aca="false" t="array" ref="L5377:L5377">IFERROR(INDEX(AC5377:AE5377,IF(COUNTA(AC5377:AE5377)=0,"",MAX((AC5377:AE5377&lt;&gt;"")*(COLUMN(AC5377:AE5377)-(COLUMN(AC5377)-2))))-1),"")</f>
        <v/>
      </c>
      <c r="M5377" s="13"/>
      <c r="N5377" s="13"/>
      <c r="O5377" s="13"/>
      <c r="P5377" s="26"/>
      <c r="Q5377" s="20"/>
      <c r="R5377" s="13"/>
      <c r="S5377" s="25"/>
      <c r="T5377" s="13"/>
      <c r="U5377" s="13"/>
      <c r="V5377" s="13"/>
      <c r="W5377" s="13"/>
      <c r="X5377" s="21"/>
      <c r="Y5377" s="22"/>
      <c r="Z5377" s="23"/>
      <c r="AA5377" s="23"/>
      <c r="AB5377" s="15"/>
      <c r="AC5377" s="14"/>
      <c r="AD5377" s="18"/>
      <c r="AE5377" s="18"/>
    </row>
    <row r="5378" customFormat="false" ht="15" hidden="false" customHeight="true" outlineLevel="0" collapsed="false">
      <c r="A5378" s="12"/>
      <c r="B5378" s="13"/>
      <c r="C5378" s="14"/>
      <c r="D5378" s="13"/>
      <c r="E5378" s="15"/>
      <c r="F5378" s="15"/>
      <c r="G5378" s="15"/>
      <c r="H5378" s="13"/>
      <c r="I5378" s="13"/>
      <c r="J5378" s="16"/>
      <c r="K5378" s="16"/>
      <c r="L5378" s="17" t="str">
        <f aca="false" t="array" ref="L5378:L5378">IFERROR(INDEX(AC5378:AE5378,IF(COUNTA(AC5378:AE5378)=0,"",MAX((AC5378:AE5378&lt;&gt;"")*(COLUMN(AC5378:AE5378)-(COLUMN(AC5378)-2))))-1),"")</f>
        <v/>
      </c>
      <c r="M5378" s="13"/>
      <c r="N5378" s="13"/>
      <c r="O5378" s="13"/>
      <c r="P5378" s="26"/>
      <c r="Q5378" s="20"/>
      <c r="R5378" s="13"/>
      <c r="S5378" s="25"/>
      <c r="T5378" s="13"/>
      <c r="U5378" s="13"/>
      <c r="V5378" s="13"/>
      <c r="W5378" s="13"/>
      <c r="X5378" s="21"/>
      <c r="Y5378" s="22"/>
      <c r="Z5378" s="23"/>
      <c r="AA5378" s="23"/>
      <c r="AB5378" s="15"/>
      <c r="AC5378" s="14"/>
      <c r="AD5378" s="18"/>
      <c r="AE5378" s="18"/>
    </row>
    <row r="5379" customFormat="false" ht="15" hidden="false" customHeight="true" outlineLevel="0" collapsed="false">
      <c r="A5379" s="12"/>
      <c r="B5379" s="13"/>
      <c r="C5379" s="14"/>
      <c r="D5379" s="13"/>
      <c r="E5379" s="15"/>
      <c r="F5379" s="15"/>
      <c r="G5379" s="15"/>
      <c r="H5379" s="13"/>
      <c r="I5379" s="13"/>
      <c r="J5379" s="16"/>
      <c r="K5379" s="16"/>
      <c r="L5379" s="17" t="str">
        <f aca="false" t="array" ref="L5379:L5379">IFERROR(INDEX(AC5379:AE5379,IF(COUNTA(AC5379:AE5379)=0,"",MAX((AC5379:AE5379&lt;&gt;"")*(COLUMN(AC5379:AE5379)-(COLUMN(AC5379)-2))))-1),"")</f>
        <v/>
      </c>
      <c r="M5379" s="13"/>
      <c r="N5379" s="13"/>
      <c r="O5379" s="13"/>
      <c r="P5379" s="26"/>
      <c r="Q5379" s="20"/>
      <c r="R5379" s="13"/>
      <c r="S5379" s="25"/>
      <c r="T5379" s="13"/>
      <c r="U5379" s="13"/>
      <c r="V5379" s="13"/>
      <c r="W5379" s="13"/>
      <c r="X5379" s="21"/>
      <c r="Y5379" s="22"/>
      <c r="Z5379" s="23"/>
      <c r="AA5379" s="23"/>
      <c r="AB5379" s="15"/>
      <c r="AC5379" s="14"/>
      <c r="AD5379" s="18"/>
      <c r="AE5379" s="18"/>
    </row>
    <row r="5380" customFormat="false" ht="15" hidden="false" customHeight="true" outlineLevel="0" collapsed="false">
      <c r="A5380" s="12"/>
      <c r="B5380" s="13"/>
      <c r="C5380" s="14"/>
      <c r="D5380" s="13"/>
      <c r="E5380" s="15"/>
      <c r="F5380" s="15"/>
      <c r="G5380" s="15"/>
      <c r="H5380" s="13"/>
      <c r="I5380" s="13"/>
      <c r="J5380" s="16"/>
      <c r="K5380" s="16"/>
      <c r="L5380" s="17" t="str">
        <f aca="false" t="array" ref="L5380:L5380">IFERROR(INDEX(AC5380:AE5380,IF(COUNTA(AC5380:AE5380)=0,"",MAX((AC5380:AE5380&lt;&gt;"")*(COLUMN(AC5380:AE5380)-(COLUMN(AC5380)-2))))-1),"")</f>
        <v/>
      </c>
      <c r="M5380" s="13"/>
      <c r="N5380" s="13"/>
      <c r="O5380" s="13"/>
      <c r="P5380" s="26"/>
      <c r="Q5380" s="20"/>
      <c r="R5380" s="13"/>
      <c r="S5380" s="25"/>
      <c r="T5380" s="13"/>
      <c r="U5380" s="13"/>
      <c r="V5380" s="13"/>
      <c r="W5380" s="13"/>
      <c r="X5380" s="21"/>
      <c r="Y5380" s="22"/>
      <c r="Z5380" s="23"/>
      <c r="AA5380" s="23"/>
      <c r="AB5380" s="15"/>
      <c r="AC5380" s="14"/>
      <c r="AD5380" s="18"/>
      <c r="AE5380" s="18"/>
    </row>
    <row r="5381" customFormat="false" ht="15" hidden="false" customHeight="true" outlineLevel="0" collapsed="false">
      <c r="A5381" s="12"/>
      <c r="B5381" s="13"/>
      <c r="C5381" s="14"/>
      <c r="D5381" s="13"/>
      <c r="E5381" s="15"/>
      <c r="F5381" s="15"/>
      <c r="G5381" s="15"/>
      <c r="H5381" s="13"/>
      <c r="I5381" s="13"/>
      <c r="J5381" s="16"/>
      <c r="K5381" s="16"/>
      <c r="L5381" s="17" t="str">
        <f aca="false" t="array" ref="L5381:L5381">IFERROR(INDEX(AC5381:AE5381,IF(COUNTA(AC5381:AE5381)=0,"",MAX((AC5381:AE5381&lt;&gt;"")*(COLUMN(AC5381:AE5381)-(COLUMN(AC5381)-2))))-1),"")</f>
        <v/>
      </c>
      <c r="M5381" s="13"/>
      <c r="N5381" s="13"/>
      <c r="O5381" s="13"/>
      <c r="P5381" s="26"/>
      <c r="Q5381" s="20"/>
      <c r="R5381" s="13"/>
      <c r="S5381" s="25"/>
      <c r="T5381" s="13"/>
      <c r="U5381" s="13"/>
      <c r="V5381" s="13"/>
      <c r="W5381" s="13"/>
      <c r="X5381" s="21"/>
      <c r="Y5381" s="22"/>
      <c r="Z5381" s="23"/>
      <c r="AA5381" s="23"/>
      <c r="AB5381" s="15"/>
      <c r="AC5381" s="14"/>
      <c r="AD5381" s="18"/>
      <c r="AE5381" s="18"/>
    </row>
    <row r="5382" customFormat="false" ht="15" hidden="false" customHeight="true" outlineLevel="0" collapsed="false">
      <c r="A5382" s="12"/>
      <c r="B5382" s="13"/>
      <c r="C5382" s="14"/>
      <c r="D5382" s="13"/>
      <c r="E5382" s="15"/>
      <c r="F5382" s="15"/>
      <c r="G5382" s="15"/>
      <c r="H5382" s="13"/>
      <c r="I5382" s="13"/>
      <c r="J5382" s="16"/>
      <c r="K5382" s="16"/>
      <c r="L5382" s="17" t="str">
        <f aca="false" t="array" ref="L5382:L5382">IFERROR(INDEX(AC5382:AE5382,IF(COUNTA(AC5382:AE5382)=0,"",MAX((AC5382:AE5382&lt;&gt;"")*(COLUMN(AC5382:AE5382)-(COLUMN(AC5382)-2))))-1),"")</f>
        <v/>
      </c>
      <c r="M5382" s="13"/>
      <c r="N5382" s="13"/>
      <c r="O5382" s="13"/>
      <c r="P5382" s="26"/>
      <c r="Q5382" s="20"/>
      <c r="R5382" s="13"/>
      <c r="S5382" s="25"/>
      <c r="T5382" s="13"/>
      <c r="U5382" s="13"/>
      <c r="V5382" s="13"/>
      <c r="W5382" s="13"/>
      <c r="X5382" s="21"/>
      <c r="Y5382" s="22"/>
      <c r="Z5382" s="23"/>
      <c r="AA5382" s="23"/>
      <c r="AB5382" s="15"/>
      <c r="AC5382" s="14"/>
      <c r="AD5382" s="18"/>
      <c r="AE5382" s="18"/>
    </row>
    <row r="5383" customFormat="false" ht="15" hidden="false" customHeight="true" outlineLevel="0" collapsed="false">
      <c r="A5383" s="12"/>
      <c r="B5383" s="13"/>
      <c r="C5383" s="14"/>
      <c r="D5383" s="13"/>
      <c r="E5383" s="15"/>
      <c r="F5383" s="15"/>
      <c r="G5383" s="15"/>
      <c r="H5383" s="13"/>
      <c r="I5383" s="13"/>
      <c r="J5383" s="16"/>
      <c r="K5383" s="16"/>
      <c r="L5383" s="17" t="str">
        <f aca="false" t="array" ref="L5383:L5383">IFERROR(INDEX(AC5383:AE5383,IF(COUNTA(AC5383:AE5383)=0,"",MAX((AC5383:AE5383&lt;&gt;"")*(COLUMN(AC5383:AE5383)-(COLUMN(AC5383)-2))))-1),"")</f>
        <v/>
      </c>
      <c r="M5383" s="13"/>
      <c r="N5383" s="13"/>
      <c r="O5383" s="13"/>
      <c r="P5383" s="26"/>
      <c r="Q5383" s="20"/>
      <c r="R5383" s="13"/>
      <c r="S5383" s="25"/>
      <c r="T5383" s="13"/>
      <c r="U5383" s="13"/>
      <c r="V5383" s="13"/>
      <c r="W5383" s="13"/>
      <c r="X5383" s="21"/>
      <c r="Y5383" s="22"/>
      <c r="Z5383" s="23"/>
      <c r="AA5383" s="23"/>
      <c r="AB5383" s="15"/>
      <c r="AC5383" s="14"/>
      <c r="AD5383" s="18"/>
      <c r="AE5383" s="18"/>
    </row>
    <row r="5384" customFormat="false" ht="15" hidden="false" customHeight="true" outlineLevel="0" collapsed="false">
      <c r="A5384" s="12"/>
      <c r="B5384" s="13"/>
      <c r="C5384" s="14"/>
      <c r="D5384" s="13"/>
      <c r="E5384" s="15"/>
      <c r="F5384" s="15"/>
      <c r="G5384" s="15"/>
      <c r="H5384" s="13"/>
      <c r="I5384" s="13"/>
      <c r="J5384" s="16"/>
      <c r="K5384" s="16"/>
      <c r="L5384" s="17" t="str">
        <f aca="false" t="array" ref="L5384:L5384">IFERROR(INDEX(AC5384:AE5384,IF(COUNTA(AC5384:AE5384)=0,"",MAX((AC5384:AE5384&lt;&gt;"")*(COLUMN(AC5384:AE5384)-(COLUMN(AC5384)-2))))-1),"")</f>
        <v/>
      </c>
      <c r="M5384" s="13"/>
      <c r="N5384" s="13"/>
      <c r="O5384" s="13"/>
      <c r="P5384" s="26"/>
      <c r="Q5384" s="20"/>
      <c r="R5384" s="13"/>
      <c r="S5384" s="25"/>
      <c r="T5384" s="13"/>
      <c r="U5384" s="13"/>
      <c r="V5384" s="13"/>
      <c r="W5384" s="13"/>
      <c r="X5384" s="21"/>
      <c r="Y5384" s="22"/>
      <c r="Z5384" s="23"/>
      <c r="AA5384" s="23"/>
      <c r="AB5384" s="15"/>
      <c r="AC5384" s="14"/>
      <c r="AD5384" s="18"/>
      <c r="AE5384" s="18"/>
    </row>
    <row r="5385" customFormat="false" ht="15" hidden="false" customHeight="true" outlineLevel="0" collapsed="false">
      <c r="A5385" s="12"/>
      <c r="B5385" s="13"/>
      <c r="C5385" s="14"/>
      <c r="D5385" s="13"/>
      <c r="E5385" s="15"/>
      <c r="F5385" s="15"/>
      <c r="G5385" s="15"/>
      <c r="H5385" s="13"/>
      <c r="I5385" s="13"/>
      <c r="J5385" s="16"/>
      <c r="K5385" s="16"/>
      <c r="L5385" s="17" t="str">
        <f aca="false" t="array" ref="L5385:L5385">IFERROR(INDEX(AC5385:AE5385,IF(COUNTA(AC5385:AE5385)=0,"",MAX((AC5385:AE5385&lt;&gt;"")*(COLUMN(AC5385:AE5385)-(COLUMN(AC5385)-2))))-1),"")</f>
        <v/>
      </c>
      <c r="M5385" s="13"/>
      <c r="N5385" s="13"/>
      <c r="O5385" s="13"/>
      <c r="P5385" s="26"/>
      <c r="Q5385" s="20"/>
      <c r="R5385" s="13"/>
      <c r="S5385" s="25"/>
      <c r="T5385" s="13"/>
      <c r="U5385" s="13"/>
      <c r="V5385" s="13"/>
      <c r="W5385" s="13"/>
      <c r="X5385" s="21"/>
      <c r="Y5385" s="22"/>
      <c r="Z5385" s="23"/>
      <c r="AA5385" s="23"/>
      <c r="AB5385" s="15"/>
      <c r="AC5385" s="14"/>
      <c r="AD5385" s="18"/>
      <c r="AE5385" s="18"/>
    </row>
    <row r="5386" customFormat="false" ht="15" hidden="false" customHeight="true" outlineLevel="0" collapsed="false">
      <c r="A5386" s="12"/>
      <c r="B5386" s="13"/>
      <c r="C5386" s="14"/>
      <c r="D5386" s="13"/>
      <c r="E5386" s="15"/>
      <c r="F5386" s="15"/>
      <c r="G5386" s="15"/>
      <c r="H5386" s="13"/>
      <c r="I5386" s="13"/>
      <c r="J5386" s="16"/>
      <c r="K5386" s="16"/>
      <c r="L5386" s="17" t="str">
        <f aca="false" t="array" ref="L5386:L5386">IFERROR(INDEX(AC5386:AE5386,IF(COUNTA(AC5386:AE5386)=0,"",MAX((AC5386:AE5386&lt;&gt;"")*(COLUMN(AC5386:AE5386)-(COLUMN(AC5386)-2))))-1),"")</f>
        <v/>
      </c>
      <c r="M5386" s="13"/>
      <c r="N5386" s="13"/>
      <c r="O5386" s="13"/>
      <c r="P5386" s="26"/>
      <c r="Q5386" s="20"/>
      <c r="R5386" s="13"/>
      <c r="S5386" s="25"/>
      <c r="T5386" s="13"/>
      <c r="U5386" s="13"/>
      <c r="V5386" s="13"/>
      <c r="W5386" s="13"/>
      <c r="X5386" s="21"/>
      <c r="Y5386" s="22"/>
      <c r="Z5386" s="23"/>
      <c r="AA5386" s="23"/>
      <c r="AB5386" s="15"/>
      <c r="AC5386" s="14"/>
      <c r="AD5386" s="18"/>
      <c r="AE5386" s="18"/>
    </row>
    <row r="5387" customFormat="false" ht="15" hidden="false" customHeight="true" outlineLevel="0" collapsed="false">
      <c r="A5387" s="12"/>
      <c r="B5387" s="13"/>
      <c r="C5387" s="14"/>
      <c r="D5387" s="13"/>
      <c r="E5387" s="15"/>
      <c r="F5387" s="15"/>
      <c r="G5387" s="15"/>
      <c r="H5387" s="13"/>
      <c r="I5387" s="13"/>
      <c r="J5387" s="16"/>
      <c r="K5387" s="16"/>
      <c r="L5387" s="17" t="str">
        <f aca="false" t="array" ref="L5387:L5387">IFERROR(INDEX(AC5387:AE5387,IF(COUNTA(AC5387:AE5387)=0,"",MAX((AC5387:AE5387&lt;&gt;"")*(COLUMN(AC5387:AE5387)-(COLUMN(AC5387)-2))))-1),"")</f>
        <v/>
      </c>
      <c r="M5387" s="13"/>
      <c r="N5387" s="13"/>
      <c r="O5387" s="13"/>
      <c r="P5387" s="26"/>
      <c r="Q5387" s="20"/>
      <c r="R5387" s="13"/>
      <c r="S5387" s="25"/>
      <c r="T5387" s="13"/>
      <c r="U5387" s="13"/>
      <c r="V5387" s="13"/>
      <c r="W5387" s="13"/>
      <c r="X5387" s="21"/>
      <c r="Y5387" s="22"/>
      <c r="Z5387" s="23"/>
      <c r="AA5387" s="23"/>
      <c r="AB5387" s="15"/>
      <c r="AC5387" s="14"/>
      <c r="AD5387" s="18"/>
      <c r="AE5387" s="18"/>
    </row>
    <row r="5388" customFormat="false" ht="15" hidden="false" customHeight="true" outlineLevel="0" collapsed="false">
      <c r="A5388" s="12"/>
      <c r="B5388" s="13"/>
      <c r="C5388" s="14"/>
      <c r="D5388" s="13"/>
      <c r="E5388" s="15"/>
      <c r="F5388" s="15"/>
      <c r="G5388" s="15"/>
      <c r="H5388" s="13"/>
      <c r="I5388" s="13"/>
      <c r="J5388" s="16"/>
      <c r="K5388" s="16"/>
      <c r="L5388" s="17" t="str">
        <f aca="false" t="array" ref="L5388:L5388">IFERROR(INDEX(AC5388:AE5388,IF(COUNTA(AC5388:AE5388)=0,"",MAX((AC5388:AE5388&lt;&gt;"")*(COLUMN(AC5388:AE5388)-(COLUMN(AC5388)-2))))-1),"")</f>
        <v/>
      </c>
      <c r="M5388" s="13"/>
      <c r="N5388" s="13"/>
      <c r="O5388" s="13"/>
      <c r="P5388" s="26"/>
      <c r="Q5388" s="20"/>
      <c r="R5388" s="13"/>
      <c r="S5388" s="25"/>
      <c r="T5388" s="13"/>
      <c r="U5388" s="13"/>
      <c r="V5388" s="13"/>
      <c r="W5388" s="13"/>
      <c r="X5388" s="21"/>
      <c r="Y5388" s="22"/>
      <c r="Z5388" s="23"/>
      <c r="AA5388" s="23"/>
      <c r="AB5388" s="15"/>
      <c r="AC5388" s="14"/>
      <c r="AD5388" s="18"/>
      <c r="AE5388" s="18"/>
    </row>
    <row r="5389" customFormat="false" ht="15" hidden="false" customHeight="true" outlineLevel="0" collapsed="false">
      <c r="A5389" s="12"/>
      <c r="B5389" s="13"/>
      <c r="C5389" s="14"/>
      <c r="D5389" s="13"/>
      <c r="E5389" s="15"/>
      <c r="F5389" s="15"/>
      <c r="G5389" s="15"/>
      <c r="H5389" s="13"/>
      <c r="I5389" s="13"/>
      <c r="J5389" s="16"/>
      <c r="K5389" s="16"/>
      <c r="L5389" s="17" t="str">
        <f aca="false" t="array" ref="L5389:L5389">IFERROR(INDEX(AC5389:AE5389,IF(COUNTA(AC5389:AE5389)=0,"",MAX((AC5389:AE5389&lt;&gt;"")*(COLUMN(AC5389:AE5389)-(COLUMN(AC5389)-2))))-1),"")</f>
        <v/>
      </c>
      <c r="M5389" s="13"/>
      <c r="N5389" s="13"/>
      <c r="O5389" s="13"/>
      <c r="P5389" s="26"/>
      <c r="Q5389" s="20"/>
      <c r="R5389" s="13"/>
      <c r="S5389" s="25"/>
      <c r="T5389" s="13"/>
      <c r="U5389" s="13"/>
      <c r="V5389" s="13"/>
      <c r="W5389" s="13"/>
      <c r="X5389" s="21"/>
      <c r="Y5389" s="22"/>
      <c r="Z5389" s="23"/>
      <c r="AA5389" s="23"/>
      <c r="AB5389" s="15"/>
      <c r="AC5389" s="14"/>
      <c r="AD5389" s="18"/>
      <c r="AE5389" s="18"/>
    </row>
    <row r="5390" customFormat="false" ht="15" hidden="false" customHeight="true" outlineLevel="0" collapsed="false">
      <c r="A5390" s="12"/>
      <c r="B5390" s="13"/>
      <c r="C5390" s="14"/>
      <c r="D5390" s="13"/>
      <c r="E5390" s="15"/>
      <c r="F5390" s="15"/>
      <c r="G5390" s="15"/>
      <c r="H5390" s="13"/>
      <c r="I5390" s="13"/>
      <c r="J5390" s="16"/>
      <c r="K5390" s="16"/>
      <c r="L5390" s="17" t="str">
        <f aca="false" t="array" ref="L5390:L5390">IFERROR(INDEX(AC5390:AE5390,IF(COUNTA(AC5390:AE5390)=0,"",MAX((AC5390:AE5390&lt;&gt;"")*(COLUMN(AC5390:AE5390)-(COLUMN(AC5390)-2))))-1),"")</f>
        <v/>
      </c>
      <c r="M5390" s="13"/>
      <c r="N5390" s="13"/>
      <c r="O5390" s="13"/>
      <c r="P5390" s="26"/>
      <c r="Q5390" s="20"/>
      <c r="R5390" s="13"/>
      <c r="S5390" s="25"/>
      <c r="T5390" s="13"/>
      <c r="U5390" s="13"/>
      <c r="V5390" s="13"/>
      <c r="W5390" s="13"/>
      <c r="X5390" s="21"/>
      <c r="Y5390" s="22"/>
      <c r="Z5390" s="23"/>
      <c r="AA5390" s="23"/>
      <c r="AB5390" s="15"/>
      <c r="AC5390" s="14"/>
      <c r="AD5390" s="18"/>
      <c r="AE5390" s="18"/>
    </row>
    <row r="5391" customFormat="false" ht="15" hidden="false" customHeight="true" outlineLevel="0" collapsed="false">
      <c r="A5391" s="12"/>
      <c r="B5391" s="13"/>
      <c r="C5391" s="14"/>
      <c r="D5391" s="13"/>
      <c r="E5391" s="15"/>
      <c r="F5391" s="15"/>
      <c r="G5391" s="15"/>
      <c r="H5391" s="13"/>
      <c r="I5391" s="13"/>
      <c r="J5391" s="16"/>
      <c r="K5391" s="16"/>
      <c r="L5391" s="17" t="str">
        <f aca="false" t="array" ref="L5391:L5391">IFERROR(INDEX(AC5391:AE5391,IF(COUNTA(AC5391:AE5391)=0,"",MAX((AC5391:AE5391&lt;&gt;"")*(COLUMN(AC5391:AE5391)-(COLUMN(AC5391)-2))))-1),"")</f>
        <v/>
      </c>
      <c r="M5391" s="13"/>
      <c r="N5391" s="13"/>
      <c r="O5391" s="13"/>
      <c r="P5391" s="26"/>
      <c r="Q5391" s="20"/>
      <c r="R5391" s="13"/>
      <c r="S5391" s="25"/>
      <c r="T5391" s="13"/>
      <c r="U5391" s="13"/>
      <c r="V5391" s="13"/>
      <c r="W5391" s="13"/>
      <c r="X5391" s="21"/>
      <c r="Y5391" s="22"/>
      <c r="Z5391" s="23"/>
      <c r="AA5391" s="23"/>
      <c r="AB5391" s="15"/>
      <c r="AC5391" s="14"/>
      <c r="AD5391" s="18"/>
      <c r="AE5391" s="18"/>
    </row>
    <row r="5392" customFormat="false" ht="15" hidden="false" customHeight="true" outlineLevel="0" collapsed="false">
      <c r="A5392" s="12"/>
      <c r="B5392" s="13"/>
      <c r="C5392" s="14"/>
      <c r="D5392" s="13"/>
      <c r="E5392" s="15"/>
      <c r="F5392" s="15"/>
      <c r="G5392" s="15"/>
      <c r="H5392" s="13"/>
      <c r="I5392" s="13"/>
      <c r="J5392" s="16"/>
      <c r="K5392" s="16"/>
      <c r="L5392" s="17" t="str">
        <f aca="false" t="array" ref="L5392:L5392">IFERROR(INDEX(AC5392:AE5392,IF(COUNTA(AC5392:AE5392)=0,"",MAX((AC5392:AE5392&lt;&gt;"")*(COLUMN(AC5392:AE5392)-(COLUMN(AC5392)-2))))-1),"")</f>
        <v/>
      </c>
      <c r="M5392" s="13"/>
      <c r="N5392" s="13"/>
      <c r="O5392" s="13"/>
      <c r="P5392" s="26"/>
      <c r="Q5392" s="20"/>
      <c r="R5392" s="13"/>
      <c r="S5392" s="25"/>
      <c r="T5392" s="13"/>
      <c r="U5392" s="13"/>
      <c r="V5392" s="13"/>
      <c r="W5392" s="13"/>
      <c r="X5392" s="21"/>
      <c r="Y5392" s="22"/>
      <c r="Z5392" s="23"/>
      <c r="AA5392" s="23"/>
      <c r="AB5392" s="15"/>
      <c r="AC5392" s="14"/>
      <c r="AD5392" s="18"/>
      <c r="AE5392" s="18"/>
    </row>
    <row r="5393" customFormat="false" ht="15" hidden="false" customHeight="true" outlineLevel="0" collapsed="false">
      <c r="A5393" s="12"/>
      <c r="B5393" s="13"/>
      <c r="C5393" s="14"/>
      <c r="D5393" s="13"/>
      <c r="E5393" s="15"/>
      <c r="F5393" s="15"/>
      <c r="G5393" s="15"/>
      <c r="H5393" s="13"/>
      <c r="I5393" s="13"/>
      <c r="J5393" s="16"/>
      <c r="K5393" s="16"/>
      <c r="L5393" s="17" t="str">
        <f aca="false" t="array" ref="L5393:L5393">IFERROR(INDEX(AC5393:AE5393,IF(COUNTA(AC5393:AE5393)=0,"",MAX((AC5393:AE5393&lt;&gt;"")*(COLUMN(AC5393:AE5393)-(COLUMN(AC5393)-2))))-1),"")</f>
        <v/>
      </c>
      <c r="M5393" s="13"/>
      <c r="N5393" s="13"/>
      <c r="O5393" s="13"/>
      <c r="P5393" s="26"/>
      <c r="Q5393" s="20"/>
      <c r="R5393" s="13"/>
      <c r="S5393" s="25"/>
      <c r="T5393" s="13"/>
      <c r="U5393" s="13"/>
      <c r="V5393" s="13"/>
      <c r="W5393" s="13"/>
      <c r="X5393" s="21"/>
      <c r="Y5393" s="22"/>
      <c r="Z5393" s="23"/>
      <c r="AA5393" s="23"/>
      <c r="AB5393" s="15"/>
      <c r="AC5393" s="14"/>
      <c r="AD5393" s="18"/>
      <c r="AE5393" s="18"/>
    </row>
    <row r="5394" customFormat="false" ht="15" hidden="false" customHeight="true" outlineLevel="0" collapsed="false">
      <c r="A5394" s="12"/>
      <c r="B5394" s="13"/>
      <c r="C5394" s="14"/>
      <c r="D5394" s="13"/>
      <c r="E5394" s="15"/>
      <c r="F5394" s="15"/>
      <c r="G5394" s="15"/>
      <c r="H5394" s="13"/>
      <c r="I5394" s="13"/>
      <c r="J5394" s="16"/>
      <c r="K5394" s="16"/>
      <c r="L5394" s="17" t="str">
        <f aca="false" t="array" ref="L5394:L5394">IFERROR(INDEX(AC5394:AE5394,IF(COUNTA(AC5394:AE5394)=0,"",MAX((AC5394:AE5394&lt;&gt;"")*(COLUMN(AC5394:AE5394)-(COLUMN(AC5394)-2))))-1),"")</f>
        <v/>
      </c>
      <c r="M5394" s="13"/>
      <c r="N5394" s="13"/>
      <c r="O5394" s="13"/>
      <c r="P5394" s="26"/>
      <c r="Q5394" s="20"/>
      <c r="R5394" s="13"/>
      <c r="S5394" s="25"/>
      <c r="T5394" s="13"/>
      <c r="U5394" s="13"/>
      <c r="V5394" s="13"/>
      <c r="W5394" s="13"/>
      <c r="X5394" s="21"/>
      <c r="Y5394" s="22"/>
      <c r="Z5394" s="23"/>
      <c r="AA5394" s="23"/>
      <c r="AB5394" s="15"/>
      <c r="AC5394" s="14"/>
      <c r="AD5394" s="18"/>
      <c r="AE5394" s="18"/>
    </row>
    <row r="5395" customFormat="false" ht="15" hidden="false" customHeight="true" outlineLevel="0" collapsed="false">
      <c r="A5395" s="12"/>
      <c r="B5395" s="13"/>
      <c r="C5395" s="14"/>
      <c r="D5395" s="13"/>
      <c r="E5395" s="15"/>
      <c r="F5395" s="15"/>
      <c r="G5395" s="15"/>
      <c r="H5395" s="13"/>
      <c r="I5395" s="13"/>
      <c r="J5395" s="16"/>
      <c r="K5395" s="16"/>
      <c r="L5395" s="17" t="str">
        <f aca="false" t="array" ref="L5395:L5395">IFERROR(INDEX(AC5395:AE5395,IF(COUNTA(AC5395:AE5395)=0,"",MAX((AC5395:AE5395&lt;&gt;"")*(COLUMN(AC5395:AE5395)-(COLUMN(AC5395)-2))))-1),"")</f>
        <v/>
      </c>
      <c r="M5395" s="13"/>
      <c r="N5395" s="13"/>
      <c r="O5395" s="13"/>
      <c r="P5395" s="26"/>
      <c r="Q5395" s="20"/>
      <c r="R5395" s="13"/>
      <c r="S5395" s="25"/>
      <c r="T5395" s="13"/>
      <c r="U5395" s="13"/>
      <c r="V5395" s="13"/>
      <c r="W5395" s="13"/>
      <c r="X5395" s="21"/>
      <c r="Y5395" s="22"/>
      <c r="Z5395" s="23"/>
      <c r="AA5395" s="23"/>
      <c r="AB5395" s="15"/>
      <c r="AC5395" s="14"/>
      <c r="AD5395" s="18"/>
      <c r="AE5395" s="18"/>
    </row>
    <row r="5396" customFormat="false" ht="15" hidden="false" customHeight="true" outlineLevel="0" collapsed="false">
      <c r="A5396" s="12"/>
      <c r="B5396" s="13"/>
      <c r="C5396" s="14"/>
      <c r="D5396" s="13"/>
      <c r="E5396" s="15"/>
      <c r="F5396" s="15"/>
      <c r="G5396" s="15"/>
      <c r="H5396" s="13"/>
      <c r="I5396" s="13"/>
      <c r="J5396" s="16"/>
      <c r="K5396" s="16"/>
      <c r="L5396" s="17" t="str">
        <f aca="false" t="array" ref="L5396:L5396">IFERROR(INDEX(AC5396:AE5396,IF(COUNTA(AC5396:AE5396)=0,"",MAX((AC5396:AE5396&lt;&gt;"")*(COLUMN(AC5396:AE5396)-(COLUMN(AC5396)-2))))-1),"")</f>
        <v/>
      </c>
      <c r="M5396" s="13"/>
      <c r="N5396" s="13"/>
      <c r="O5396" s="13"/>
      <c r="P5396" s="26"/>
      <c r="Q5396" s="20"/>
      <c r="R5396" s="13"/>
      <c r="S5396" s="25"/>
      <c r="T5396" s="13"/>
      <c r="U5396" s="13"/>
      <c r="V5396" s="13"/>
      <c r="W5396" s="13"/>
      <c r="X5396" s="21"/>
      <c r="Y5396" s="22"/>
      <c r="Z5396" s="23"/>
      <c r="AA5396" s="23"/>
      <c r="AB5396" s="15"/>
      <c r="AC5396" s="14"/>
      <c r="AD5396" s="18"/>
      <c r="AE5396" s="18"/>
    </row>
    <row r="5397" customFormat="false" ht="15" hidden="false" customHeight="true" outlineLevel="0" collapsed="false">
      <c r="A5397" s="12"/>
      <c r="B5397" s="13"/>
      <c r="C5397" s="14"/>
      <c r="D5397" s="13"/>
      <c r="E5397" s="15"/>
      <c r="F5397" s="15"/>
      <c r="G5397" s="15"/>
      <c r="H5397" s="13"/>
      <c r="I5397" s="13"/>
      <c r="J5397" s="16"/>
      <c r="K5397" s="16"/>
      <c r="L5397" s="17" t="str">
        <f aca="false" t="array" ref="L5397:L5397">IFERROR(INDEX(AC5397:AE5397,IF(COUNTA(AC5397:AE5397)=0,"",MAX((AC5397:AE5397&lt;&gt;"")*(COLUMN(AC5397:AE5397)-(COLUMN(AC5397)-2))))-1),"")</f>
        <v/>
      </c>
      <c r="M5397" s="13"/>
      <c r="N5397" s="13"/>
      <c r="O5397" s="13"/>
      <c r="P5397" s="26"/>
      <c r="Q5397" s="20"/>
      <c r="R5397" s="13"/>
      <c r="S5397" s="25"/>
      <c r="T5397" s="13"/>
      <c r="U5397" s="13"/>
      <c r="V5397" s="13"/>
      <c r="W5397" s="13"/>
      <c r="X5397" s="21"/>
      <c r="Y5397" s="22"/>
      <c r="Z5397" s="23"/>
      <c r="AA5397" s="23"/>
      <c r="AB5397" s="15"/>
      <c r="AC5397" s="14"/>
      <c r="AD5397" s="18"/>
      <c r="AE5397" s="18"/>
    </row>
    <row r="5398" customFormat="false" ht="15" hidden="false" customHeight="true" outlineLevel="0" collapsed="false">
      <c r="A5398" s="12"/>
      <c r="B5398" s="13"/>
      <c r="C5398" s="14"/>
      <c r="D5398" s="13"/>
      <c r="E5398" s="15"/>
      <c r="F5398" s="15"/>
      <c r="G5398" s="15"/>
      <c r="H5398" s="13"/>
      <c r="I5398" s="13"/>
      <c r="J5398" s="16"/>
      <c r="K5398" s="16"/>
      <c r="L5398" s="17" t="str">
        <f aca="false" t="array" ref="L5398:L5398">IFERROR(INDEX(AC5398:AE5398,IF(COUNTA(AC5398:AE5398)=0,"",MAX((AC5398:AE5398&lt;&gt;"")*(COLUMN(AC5398:AE5398)-(COLUMN(AC5398)-2))))-1),"")</f>
        <v/>
      </c>
      <c r="M5398" s="13"/>
      <c r="N5398" s="13"/>
      <c r="O5398" s="13"/>
      <c r="P5398" s="26"/>
      <c r="Q5398" s="20"/>
      <c r="R5398" s="13"/>
      <c r="S5398" s="25"/>
      <c r="T5398" s="13"/>
      <c r="U5398" s="13"/>
      <c r="V5398" s="13"/>
      <c r="W5398" s="13"/>
      <c r="X5398" s="21"/>
      <c r="Y5398" s="22"/>
      <c r="Z5398" s="23"/>
      <c r="AA5398" s="23"/>
      <c r="AB5398" s="15"/>
      <c r="AC5398" s="14"/>
      <c r="AD5398" s="18"/>
      <c r="AE5398" s="18"/>
    </row>
    <row r="5399" customFormat="false" ht="15" hidden="false" customHeight="true" outlineLevel="0" collapsed="false">
      <c r="A5399" s="12"/>
      <c r="B5399" s="13"/>
      <c r="C5399" s="14"/>
      <c r="D5399" s="13"/>
      <c r="E5399" s="15"/>
      <c r="F5399" s="15"/>
      <c r="G5399" s="15"/>
      <c r="H5399" s="13"/>
      <c r="I5399" s="13"/>
      <c r="J5399" s="16"/>
      <c r="K5399" s="16"/>
      <c r="L5399" s="17" t="str">
        <f aca="false" t="array" ref="L5399:L5399">IFERROR(INDEX(AC5399:AE5399,IF(COUNTA(AC5399:AE5399)=0,"",MAX((AC5399:AE5399&lt;&gt;"")*(COLUMN(AC5399:AE5399)-(COLUMN(AC5399)-2))))-1),"")</f>
        <v/>
      </c>
      <c r="M5399" s="13"/>
      <c r="N5399" s="13"/>
      <c r="O5399" s="13"/>
      <c r="P5399" s="26"/>
      <c r="Q5399" s="20"/>
      <c r="R5399" s="13"/>
      <c r="S5399" s="25"/>
      <c r="T5399" s="13"/>
      <c r="U5399" s="13"/>
      <c r="V5399" s="13"/>
      <c r="W5399" s="13"/>
      <c r="X5399" s="21"/>
      <c r="Y5399" s="22"/>
      <c r="Z5399" s="23"/>
      <c r="AA5399" s="23"/>
      <c r="AB5399" s="15"/>
      <c r="AC5399" s="14"/>
      <c r="AD5399" s="18"/>
      <c r="AE5399" s="18"/>
    </row>
    <row r="5400" customFormat="false" ht="15" hidden="false" customHeight="true" outlineLevel="0" collapsed="false">
      <c r="A5400" s="12"/>
      <c r="B5400" s="13"/>
      <c r="C5400" s="14"/>
      <c r="D5400" s="13"/>
      <c r="E5400" s="15"/>
      <c r="F5400" s="15"/>
      <c r="G5400" s="15"/>
      <c r="H5400" s="13"/>
      <c r="I5400" s="13"/>
      <c r="J5400" s="16"/>
      <c r="K5400" s="16"/>
      <c r="L5400" s="17" t="str">
        <f aca="false" t="array" ref="L5400:L5400">IFERROR(INDEX(AC5400:AE5400,IF(COUNTA(AC5400:AE5400)=0,"",MAX((AC5400:AE5400&lt;&gt;"")*(COLUMN(AC5400:AE5400)-(COLUMN(AC5400)-2))))-1),"")</f>
        <v/>
      </c>
      <c r="M5400" s="13"/>
      <c r="N5400" s="13"/>
      <c r="O5400" s="13"/>
      <c r="P5400" s="26"/>
      <c r="Q5400" s="20"/>
      <c r="R5400" s="13"/>
      <c r="S5400" s="25"/>
      <c r="T5400" s="13"/>
      <c r="U5400" s="13"/>
      <c r="V5400" s="13"/>
      <c r="W5400" s="13"/>
      <c r="X5400" s="21"/>
      <c r="Y5400" s="22"/>
      <c r="Z5400" s="23"/>
      <c r="AA5400" s="23"/>
      <c r="AB5400" s="15"/>
      <c r="AC5400" s="14"/>
      <c r="AD5400" s="18"/>
      <c r="AE5400" s="18"/>
    </row>
    <row r="5401" customFormat="false" ht="15" hidden="false" customHeight="true" outlineLevel="0" collapsed="false">
      <c r="A5401" s="12"/>
      <c r="B5401" s="13"/>
      <c r="C5401" s="14"/>
      <c r="D5401" s="13"/>
      <c r="E5401" s="15"/>
      <c r="F5401" s="15"/>
      <c r="G5401" s="15"/>
      <c r="H5401" s="13"/>
      <c r="I5401" s="13"/>
      <c r="J5401" s="16"/>
      <c r="K5401" s="16"/>
      <c r="L5401" s="17" t="str">
        <f aca="false" t="array" ref="L5401:L5401">IFERROR(INDEX(AC5401:AE5401,IF(COUNTA(AC5401:AE5401)=0,"",MAX((AC5401:AE5401&lt;&gt;"")*(COLUMN(AC5401:AE5401)-(COLUMN(AC5401)-2))))-1),"")</f>
        <v/>
      </c>
      <c r="M5401" s="13"/>
      <c r="N5401" s="13"/>
      <c r="O5401" s="13"/>
      <c r="P5401" s="26"/>
      <c r="Q5401" s="20"/>
      <c r="R5401" s="13"/>
      <c r="S5401" s="25"/>
      <c r="T5401" s="13"/>
      <c r="U5401" s="13"/>
      <c r="V5401" s="13"/>
      <c r="W5401" s="13"/>
      <c r="X5401" s="21"/>
      <c r="Y5401" s="22"/>
      <c r="Z5401" s="23"/>
      <c r="AA5401" s="23"/>
      <c r="AB5401" s="15"/>
      <c r="AC5401" s="14"/>
      <c r="AD5401" s="18"/>
      <c r="AE5401" s="18"/>
    </row>
    <row r="5402" customFormat="false" ht="15" hidden="false" customHeight="true" outlineLevel="0" collapsed="false">
      <c r="A5402" s="12"/>
      <c r="B5402" s="13"/>
      <c r="C5402" s="14"/>
      <c r="D5402" s="13"/>
      <c r="E5402" s="15"/>
      <c r="F5402" s="15"/>
      <c r="G5402" s="15"/>
      <c r="H5402" s="13"/>
      <c r="I5402" s="13"/>
      <c r="J5402" s="16"/>
      <c r="K5402" s="16"/>
      <c r="L5402" s="17" t="str">
        <f aca="false" t="array" ref="L5402:L5402">IFERROR(INDEX(AC5402:AE5402,IF(COUNTA(AC5402:AE5402)=0,"",MAX((AC5402:AE5402&lt;&gt;"")*(COLUMN(AC5402:AE5402)-(COLUMN(AC5402)-2))))-1),"")</f>
        <v/>
      </c>
      <c r="M5402" s="13"/>
      <c r="N5402" s="13"/>
      <c r="O5402" s="13"/>
      <c r="P5402" s="26"/>
      <c r="Q5402" s="20"/>
      <c r="R5402" s="13"/>
      <c r="S5402" s="25"/>
      <c r="T5402" s="13"/>
      <c r="U5402" s="13"/>
      <c r="V5402" s="13"/>
      <c r="W5402" s="13"/>
      <c r="X5402" s="21"/>
      <c r="Y5402" s="22"/>
      <c r="Z5402" s="23"/>
      <c r="AA5402" s="23"/>
      <c r="AB5402" s="15"/>
      <c r="AC5402" s="14"/>
      <c r="AD5402" s="18"/>
      <c r="AE5402" s="18"/>
    </row>
    <row r="5403" customFormat="false" ht="15" hidden="false" customHeight="true" outlineLevel="0" collapsed="false">
      <c r="A5403" s="12"/>
      <c r="B5403" s="13"/>
      <c r="C5403" s="14"/>
      <c r="D5403" s="13"/>
      <c r="E5403" s="15"/>
      <c r="F5403" s="15"/>
      <c r="G5403" s="15"/>
      <c r="H5403" s="13"/>
      <c r="I5403" s="13"/>
      <c r="J5403" s="16"/>
      <c r="K5403" s="16"/>
      <c r="L5403" s="17" t="str">
        <f aca="false" t="array" ref="L5403:L5403">IFERROR(INDEX(AC5403:AE5403,IF(COUNTA(AC5403:AE5403)=0,"",MAX((AC5403:AE5403&lt;&gt;"")*(COLUMN(AC5403:AE5403)-(COLUMN(AC5403)-2))))-1),"")</f>
        <v/>
      </c>
      <c r="M5403" s="13"/>
      <c r="N5403" s="13"/>
      <c r="O5403" s="13"/>
      <c r="P5403" s="26"/>
      <c r="Q5403" s="20"/>
      <c r="R5403" s="13"/>
      <c r="S5403" s="25"/>
      <c r="T5403" s="13"/>
      <c r="U5403" s="13"/>
      <c r="V5403" s="13"/>
      <c r="W5403" s="13"/>
      <c r="X5403" s="21"/>
      <c r="Y5403" s="22"/>
      <c r="Z5403" s="23"/>
      <c r="AA5403" s="23"/>
      <c r="AB5403" s="15"/>
      <c r="AC5403" s="14"/>
      <c r="AD5403" s="18"/>
      <c r="AE5403" s="18"/>
    </row>
    <row r="5404" customFormat="false" ht="15" hidden="false" customHeight="true" outlineLevel="0" collapsed="false">
      <c r="A5404" s="12"/>
      <c r="B5404" s="13"/>
      <c r="C5404" s="14"/>
      <c r="D5404" s="13"/>
      <c r="E5404" s="15"/>
      <c r="F5404" s="15"/>
      <c r="G5404" s="15"/>
      <c r="H5404" s="13"/>
      <c r="I5404" s="13"/>
      <c r="J5404" s="16"/>
      <c r="K5404" s="16"/>
      <c r="L5404" s="17" t="str">
        <f aca="false" t="array" ref="L5404:L5404">IFERROR(INDEX(AC5404:AE5404,IF(COUNTA(AC5404:AE5404)=0,"",MAX((AC5404:AE5404&lt;&gt;"")*(COLUMN(AC5404:AE5404)-(COLUMN(AC5404)-2))))-1),"")</f>
        <v/>
      </c>
      <c r="M5404" s="13"/>
      <c r="N5404" s="13"/>
      <c r="O5404" s="13"/>
      <c r="P5404" s="26"/>
      <c r="Q5404" s="20"/>
      <c r="R5404" s="13"/>
      <c r="S5404" s="25"/>
      <c r="T5404" s="13"/>
      <c r="U5404" s="13"/>
      <c r="V5404" s="13"/>
      <c r="W5404" s="13"/>
      <c r="X5404" s="21"/>
      <c r="Y5404" s="22"/>
      <c r="Z5404" s="23"/>
      <c r="AA5404" s="23"/>
      <c r="AB5404" s="15"/>
      <c r="AC5404" s="14"/>
      <c r="AD5404" s="18"/>
      <c r="AE5404" s="18"/>
    </row>
    <row r="5405" customFormat="false" ht="15" hidden="false" customHeight="true" outlineLevel="0" collapsed="false">
      <c r="A5405" s="12"/>
      <c r="B5405" s="13"/>
      <c r="C5405" s="14"/>
      <c r="D5405" s="13"/>
      <c r="E5405" s="15"/>
      <c r="F5405" s="15"/>
      <c r="G5405" s="15"/>
      <c r="H5405" s="13"/>
      <c r="I5405" s="13"/>
      <c r="J5405" s="16"/>
      <c r="K5405" s="16"/>
      <c r="L5405" s="17" t="str">
        <f aca="false" t="array" ref="L5405:L5405">IFERROR(INDEX(AC5405:AE5405,IF(COUNTA(AC5405:AE5405)=0,"",MAX((AC5405:AE5405&lt;&gt;"")*(COLUMN(AC5405:AE5405)-(COLUMN(AC5405)-2))))-1),"")</f>
        <v/>
      </c>
      <c r="M5405" s="13"/>
      <c r="N5405" s="13"/>
      <c r="O5405" s="13"/>
      <c r="P5405" s="26"/>
      <c r="Q5405" s="20"/>
      <c r="R5405" s="13"/>
      <c r="S5405" s="25"/>
      <c r="T5405" s="13"/>
      <c r="U5405" s="13"/>
      <c r="V5405" s="13"/>
      <c r="W5405" s="13"/>
      <c r="X5405" s="21"/>
      <c r="Y5405" s="22"/>
      <c r="Z5405" s="23"/>
      <c r="AA5405" s="23"/>
      <c r="AB5405" s="15"/>
      <c r="AC5405" s="14"/>
      <c r="AD5405" s="18"/>
      <c r="AE5405" s="18"/>
    </row>
    <row r="5406" customFormat="false" ht="15" hidden="false" customHeight="true" outlineLevel="0" collapsed="false">
      <c r="A5406" s="12"/>
      <c r="B5406" s="13"/>
      <c r="C5406" s="14"/>
      <c r="D5406" s="13"/>
      <c r="E5406" s="15"/>
      <c r="F5406" s="15"/>
      <c r="G5406" s="15"/>
      <c r="H5406" s="13"/>
      <c r="I5406" s="13"/>
      <c r="J5406" s="16"/>
      <c r="K5406" s="16"/>
      <c r="L5406" s="17" t="str">
        <f aca="false" t="array" ref="L5406:L5406">IFERROR(INDEX(AC5406:AE5406,IF(COUNTA(AC5406:AE5406)=0,"",MAX((AC5406:AE5406&lt;&gt;"")*(COLUMN(AC5406:AE5406)-(COLUMN(AC5406)-2))))-1),"")</f>
        <v/>
      </c>
      <c r="M5406" s="13"/>
      <c r="N5406" s="13"/>
      <c r="O5406" s="13"/>
      <c r="P5406" s="26"/>
      <c r="Q5406" s="20"/>
      <c r="R5406" s="13"/>
      <c r="S5406" s="25"/>
      <c r="T5406" s="13"/>
      <c r="U5406" s="13"/>
      <c r="V5406" s="13"/>
      <c r="W5406" s="13"/>
      <c r="X5406" s="21"/>
      <c r="Y5406" s="22"/>
      <c r="Z5406" s="23"/>
      <c r="AA5406" s="23"/>
      <c r="AB5406" s="15"/>
      <c r="AC5406" s="14"/>
      <c r="AD5406" s="18"/>
      <c r="AE5406" s="18"/>
    </row>
    <row r="5407" customFormat="false" ht="15" hidden="false" customHeight="true" outlineLevel="0" collapsed="false">
      <c r="A5407" s="12"/>
      <c r="B5407" s="13"/>
      <c r="C5407" s="14"/>
      <c r="D5407" s="13"/>
      <c r="E5407" s="15"/>
      <c r="F5407" s="15"/>
      <c r="G5407" s="15"/>
      <c r="H5407" s="13"/>
      <c r="I5407" s="13"/>
      <c r="J5407" s="16"/>
      <c r="K5407" s="16"/>
      <c r="L5407" s="17" t="str">
        <f aca="false" t="array" ref="L5407:L5407">IFERROR(INDEX(AC5407:AE5407,IF(COUNTA(AC5407:AE5407)=0,"",MAX((AC5407:AE5407&lt;&gt;"")*(COLUMN(AC5407:AE5407)-(COLUMN(AC5407)-2))))-1),"")</f>
        <v/>
      </c>
      <c r="M5407" s="13"/>
      <c r="N5407" s="13"/>
      <c r="O5407" s="13"/>
      <c r="P5407" s="26"/>
      <c r="Q5407" s="20"/>
      <c r="R5407" s="13"/>
      <c r="S5407" s="25"/>
      <c r="T5407" s="13"/>
      <c r="U5407" s="13"/>
      <c r="V5407" s="13"/>
      <c r="W5407" s="13"/>
      <c r="X5407" s="21"/>
      <c r="Y5407" s="22"/>
      <c r="Z5407" s="23"/>
      <c r="AA5407" s="23"/>
      <c r="AB5407" s="15"/>
      <c r="AC5407" s="14"/>
      <c r="AD5407" s="18"/>
      <c r="AE5407" s="18"/>
    </row>
    <row r="5408" customFormat="false" ht="15" hidden="false" customHeight="true" outlineLevel="0" collapsed="false">
      <c r="A5408" s="12"/>
      <c r="B5408" s="13"/>
      <c r="C5408" s="14"/>
      <c r="D5408" s="13"/>
      <c r="E5408" s="15"/>
      <c r="F5408" s="15"/>
      <c r="G5408" s="15"/>
      <c r="H5408" s="13"/>
      <c r="I5408" s="13"/>
      <c r="J5408" s="16"/>
      <c r="K5408" s="16"/>
      <c r="L5408" s="17" t="str">
        <f aca="false" t="array" ref="L5408:L5408">IFERROR(INDEX(AC5408:AE5408,IF(COUNTA(AC5408:AE5408)=0,"",MAX((AC5408:AE5408&lt;&gt;"")*(COLUMN(AC5408:AE5408)-(COLUMN(AC5408)-2))))-1),"")</f>
        <v/>
      </c>
      <c r="M5408" s="13"/>
      <c r="N5408" s="13"/>
      <c r="O5408" s="13"/>
      <c r="P5408" s="26"/>
      <c r="Q5408" s="20"/>
      <c r="R5408" s="13"/>
      <c r="S5408" s="25"/>
      <c r="T5408" s="13"/>
      <c r="U5408" s="13"/>
      <c r="V5408" s="13"/>
      <c r="W5408" s="13"/>
      <c r="X5408" s="21"/>
      <c r="Y5408" s="22"/>
      <c r="Z5408" s="23"/>
      <c r="AA5408" s="23"/>
      <c r="AB5408" s="15"/>
      <c r="AC5408" s="14"/>
      <c r="AD5408" s="18"/>
      <c r="AE5408" s="18"/>
    </row>
    <row r="5409" customFormat="false" ht="15" hidden="false" customHeight="true" outlineLevel="0" collapsed="false">
      <c r="A5409" s="12"/>
      <c r="B5409" s="13"/>
      <c r="C5409" s="14"/>
      <c r="D5409" s="13"/>
      <c r="E5409" s="15"/>
      <c r="F5409" s="15"/>
      <c r="G5409" s="15"/>
      <c r="H5409" s="13"/>
      <c r="I5409" s="13"/>
      <c r="J5409" s="16"/>
      <c r="K5409" s="16"/>
      <c r="L5409" s="17" t="str">
        <f aca="false" t="array" ref="L5409:L5409">IFERROR(INDEX(AC5409:AE5409,IF(COUNTA(AC5409:AE5409)=0,"",MAX((AC5409:AE5409&lt;&gt;"")*(COLUMN(AC5409:AE5409)-(COLUMN(AC5409)-2))))-1),"")</f>
        <v/>
      </c>
      <c r="M5409" s="13"/>
      <c r="N5409" s="13"/>
      <c r="O5409" s="13"/>
      <c r="P5409" s="26"/>
      <c r="Q5409" s="20"/>
      <c r="R5409" s="13"/>
      <c r="S5409" s="25"/>
      <c r="T5409" s="13"/>
      <c r="U5409" s="13"/>
      <c r="V5409" s="13"/>
      <c r="W5409" s="13"/>
      <c r="X5409" s="21"/>
      <c r="Y5409" s="22"/>
      <c r="Z5409" s="23"/>
      <c r="AA5409" s="23"/>
      <c r="AB5409" s="15"/>
      <c r="AC5409" s="14"/>
      <c r="AD5409" s="18"/>
      <c r="AE5409" s="18"/>
    </row>
    <row r="5410" customFormat="false" ht="15" hidden="false" customHeight="true" outlineLevel="0" collapsed="false">
      <c r="A5410" s="12"/>
      <c r="B5410" s="13"/>
      <c r="C5410" s="14"/>
      <c r="D5410" s="13"/>
      <c r="E5410" s="15"/>
      <c r="F5410" s="15"/>
      <c r="G5410" s="15"/>
      <c r="H5410" s="13"/>
      <c r="I5410" s="13"/>
      <c r="J5410" s="16"/>
      <c r="K5410" s="16"/>
      <c r="L5410" s="17" t="str">
        <f aca="false" t="array" ref="L5410:L5410">IFERROR(INDEX(AC5410:AE5410,IF(COUNTA(AC5410:AE5410)=0,"",MAX((AC5410:AE5410&lt;&gt;"")*(COLUMN(AC5410:AE5410)-(COLUMN(AC5410)-2))))-1),"")</f>
        <v/>
      </c>
      <c r="M5410" s="13"/>
      <c r="N5410" s="13"/>
      <c r="O5410" s="13"/>
      <c r="P5410" s="26"/>
      <c r="Q5410" s="20"/>
      <c r="R5410" s="13"/>
      <c r="S5410" s="25"/>
      <c r="T5410" s="13"/>
      <c r="U5410" s="13"/>
      <c r="V5410" s="13"/>
      <c r="W5410" s="13"/>
      <c r="X5410" s="21"/>
      <c r="Y5410" s="22"/>
      <c r="Z5410" s="23"/>
      <c r="AA5410" s="23"/>
      <c r="AB5410" s="15"/>
      <c r="AC5410" s="14"/>
      <c r="AD5410" s="18"/>
      <c r="AE5410" s="18"/>
    </row>
    <row r="5411" customFormat="false" ht="15" hidden="false" customHeight="true" outlineLevel="0" collapsed="false">
      <c r="A5411" s="12"/>
      <c r="B5411" s="13"/>
      <c r="C5411" s="14"/>
      <c r="D5411" s="13"/>
      <c r="E5411" s="15"/>
      <c r="F5411" s="15"/>
      <c r="G5411" s="15"/>
      <c r="H5411" s="13"/>
      <c r="I5411" s="13"/>
      <c r="J5411" s="16"/>
      <c r="K5411" s="16"/>
      <c r="L5411" s="17" t="str">
        <f aca="false" t="array" ref="L5411:L5411">IFERROR(INDEX(AC5411:AE5411,IF(COUNTA(AC5411:AE5411)=0,"",MAX((AC5411:AE5411&lt;&gt;"")*(COLUMN(AC5411:AE5411)-(COLUMN(AC5411)-2))))-1),"")</f>
        <v/>
      </c>
      <c r="M5411" s="13"/>
      <c r="N5411" s="13"/>
      <c r="O5411" s="13"/>
      <c r="P5411" s="26"/>
      <c r="Q5411" s="20"/>
      <c r="R5411" s="13"/>
      <c r="S5411" s="25"/>
      <c r="T5411" s="13"/>
      <c r="U5411" s="13"/>
      <c r="V5411" s="13"/>
      <c r="W5411" s="13"/>
      <c r="X5411" s="21"/>
      <c r="Y5411" s="22"/>
      <c r="Z5411" s="23"/>
      <c r="AA5411" s="23"/>
      <c r="AB5411" s="15"/>
      <c r="AC5411" s="14"/>
      <c r="AD5411" s="18"/>
      <c r="AE5411" s="18"/>
    </row>
    <row r="5412" customFormat="false" ht="15" hidden="false" customHeight="true" outlineLevel="0" collapsed="false">
      <c r="A5412" s="12"/>
      <c r="B5412" s="13"/>
      <c r="C5412" s="14"/>
      <c r="D5412" s="13"/>
      <c r="E5412" s="15"/>
      <c r="F5412" s="15"/>
      <c r="G5412" s="15"/>
      <c r="H5412" s="13"/>
      <c r="I5412" s="13"/>
      <c r="J5412" s="16"/>
      <c r="K5412" s="16"/>
      <c r="L5412" s="17" t="str">
        <f aca="false" t="array" ref="L5412:L5412">IFERROR(INDEX(AC5412:AE5412,IF(COUNTA(AC5412:AE5412)=0,"",MAX((AC5412:AE5412&lt;&gt;"")*(COLUMN(AC5412:AE5412)-(COLUMN(AC5412)-2))))-1),"")</f>
        <v/>
      </c>
      <c r="M5412" s="13"/>
      <c r="N5412" s="13"/>
      <c r="O5412" s="13"/>
      <c r="P5412" s="26"/>
      <c r="Q5412" s="20"/>
      <c r="R5412" s="13"/>
      <c r="S5412" s="25"/>
      <c r="T5412" s="13"/>
      <c r="U5412" s="13"/>
      <c r="V5412" s="13"/>
      <c r="W5412" s="13"/>
      <c r="X5412" s="21"/>
      <c r="Y5412" s="22"/>
      <c r="Z5412" s="23"/>
      <c r="AA5412" s="23"/>
      <c r="AB5412" s="15"/>
      <c r="AC5412" s="14"/>
      <c r="AD5412" s="18"/>
      <c r="AE5412" s="18"/>
    </row>
    <row r="5413" customFormat="false" ht="15" hidden="false" customHeight="true" outlineLevel="0" collapsed="false">
      <c r="A5413" s="12"/>
      <c r="B5413" s="13"/>
      <c r="C5413" s="14"/>
      <c r="D5413" s="13"/>
      <c r="E5413" s="15"/>
      <c r="F5413" s="15"/>
      <c r="G5413" s="15"/>
      <c r="H5413" s="13"/>
      <c r="I5413" s="13"/>
      <c r="J5413" s="16"/>
      <c r="K5413" s="16"/>
      <c r="L5413" s="17" t="str">
        <f aca="false" t="array" ref="L5413:L5413">IFERROR(INDEX(AC5413:AE5413,IF(COUNTA(AC5413:AE5413)=0,"",MAX((AC5413:AE5413&lt;&gt;"")*(COLUMN(AC5413:AE5413)-(COLUMN(AC5413)-2))))-1),"")</f>
        <v/>
      </c>
      <c r="M5413" s="13"/>
      <c r="N5413" s="13"/>
      <c r="O5413" s="13"/>
      <c r="P5413" s="26"/>
      <c r="Q5413" s="20"/>
      <c r="R5413" s="13"/>
      <c r="S5413" s="25"/>
      <c r="T5413" s="13"/>
      <c r="U5413" s="13"/>
      <c r="V5413" s="13"/>
      <c r="W5413" s="13"/>
      <c r="X5413" s="21"/>
      <c r="Y5413" s="22"/>
      <c r="Z5413" s="23"/>
      <c r="AA5413" s="23"/>
      <c r="AB5413" s="15"/>
      <c r="AC5413" s="14"/>
      <c r="AD5413" s="18"/>
      <c r="AE5413" s="18"/>
    </row>
    <row r="5414" customFormat="false" ht="15" hidden="false" customHeight="true" outlineLevel="0" collapsed="false">
      <c r="A5414" s="12"/>
      <c r="B5414" s="13"/>
      <c r="C5414" s="14"/>
      <c r="D5414" s="13"/>
      <c r="E5414" s="15"/>
      <c r="F5414" s="15"/>
      <c r="G5414" s="15"/>
      <c r="H5414" s="13"/>
      <c r="I5414" s="13"/>
      <c r="J5414" s="16"/>
      <c r="K5414" s="16"/>
      <c r="L5414" s="17" t="str">
        <f aca="false" t="array" ref="L5414:L5414">IFERROR(INDEX(AC5414:AE5414,IF(COUNTA(AC5414:AE5414)=0,"",MAX((AC5414:AE5414&lt;&gt;"")*(COLUMN(AC5414:AE5414)-(COLUMN(AC5414)-2))))-1),"")</f>
        <v/>
      </c>
      <c r="M5414" s="13"/>
      <c r="N5414" s="13"/>
      <c r="O5414" s="13"/>
      <c r="P5414" s="26"/>
      <c r="Q5414" s="20"/>
      <c r="R5414" s="13"/>
      <c r="S5414" s="25"/>
      <c r="T5414" s="13"/>
      <c r="U5414" s="13"/>
      <c r="V5414" s="13"/>
      <c r="W5414" s="13"/>
      <c r="X5414" s="21"/>
      <c r="Y5414" s="22"/>
      <c r="Z5414" s="23"/>
      <c r="AA5414" s="23"/>
      <c r="AB5414" s="15"/>
      <c r="AC5414" s="14"/>
      <c r="AD5414" s="18"/>
      <c r="AE5414" s="18"/>
    </row>
    <row r="5415" customFormat="false" ht="15" hidden="false" customHeight="true" outlineLevel="0" collapsed="false">
      <c r="A5415" s="141"/>
      <c r="B5415" s="131"/>
      <c r="C5415" s="132"/>
      <c r="D5415" s="131"/>
      <c r="E5415" s="110"/>
      <c r="F5415" s="110"/>
      <c r="G5415" s="110"/>
      <c r="H5415" s="131"/>
      <c r="I5415" s="131"/>
      <c r="J5415" s="142"/>
      <c r="K5415" s="142"/>
      <c r="L5415" s="140"/>
      <c r="M5415" s="131"/>
      <c r="N5415" s="131"/>
      <c r="O5415" s="131"/>
      <c r="P5415" s="143"/>
      <c r="Q5415" s="66"/>
      <c r="R5415" s="131"/>
      <c r="S5415" s="144"/>
      <c r="T5415" s="131"/>
      <c r="U5415" s="131"/>
      <c r="V5415" s="131"/>
      <c r="W5415" s="131"/>
      <c r="X5415" s="145"/>
      <c r="Y5415" s="146"/>
      <c r="Z5415" s="147"/>
      <c r="AA5415" s="147"/>
      <c r="AB5415" s="110"/>
      <c r="AC5415" s="132"/>
      <c r="AD5415" s="148"/>
      <c r="AE5415" s="148"/>
    </row>
    <row r="5416" customFormat="false" ht="15" hidden="false" customHeight="true" outlineLevel="0" collapsed="false">
      <c r="A5416" s="141"/>
      <c r="B5416" s="131"/>
      <c r="C5416" s="132"/>
      <c r="D5416" s="131"/>
      <c r="E5416" s="110"/>
      <c r="F5416" s="110"/>
      <c r="G5416" s="110"/>
      <c r="H5416" s="131"/>
      <c r="I5416" s="131"/>
      <c r="J5416" s="142"/>
      <c r="K5416" s="142"/>
      <c r="L5416" s="140"/>
      <c r="M5416" s="131"/>
      <c r="N5416" s="131"/>
      <c r="O5416" s="131"/>
      <c r="P5416" s="143"/>
      <c r="Q5416" s="66"/>
      <c r="R5416" s="131"/>
      <c r="S5416" s="144"/>
      <c r="T5416" s="131"/>
      <c r="U5416" s="131"/>
      <c r="V5416" s="131"/>
      <c r="W5416" s="131"/>
      <c r="X5416" s="145"/>
      <c r="Y5416" s="146"/>
      <c r="Z5416" s="147"/>
      <c r="AA5416" s="147"/>
      <c r="AB5416" s="110"/>
      <c r="AC5416" s="132"/>
      <c r="AD5416" s="148"/>
      <c r="AE5416" s="148"/>
    </row>
    <row r="5417" customFormat="false" ht="15" hidden="false" customHeight="true" outlineLevel="0" collapsed="false">
      <c r="A5417" s="141"/>
      <c r="B5417" s="131"/>
      <c r="C5417" s="132"/>
      <c r="D5417" s="131"/>
      <c r="E5417" s="110"/>
      <c r="F5417" s="110"/>
      <c r="G5417" s="110"/>
      <c r="H5417" s="131"/>
      <c r="I5417" s="131"/>
      <c r="J5417" s="142"/>
      <c r="K5417" s="142"/>
      <c r="L5417" s="140"/>
      <c r="M5417" s="131"/>
      <c r="N5417" s="131"/>
      <c r="O5417" s="131"/>
      <c r="P5417" s="143"/>
      <c r="Q5417" s="66"/>
      <c r="R5417" s="131"/>
      <c r="S5417" s="144"/>
      <c r="T5417" s="131"/>
      <c r="U5417" s="131"/>
      <c r="V5417" s="131"/>
      <c r="W5417" s="131"/>
      <c r="X5417" s="145"/>
      <c r="Y5417" s="146"/>
      <c r="Z5417" s="147"/>
      <c r="AA5417" s="147"/>
      <c r="AB5417" s="110"/>
      <c r="AC5417" s="132"/>
      <c r="AD5417" s="148"/>
      <c r="AE5417" s="148"/>
    </row>
    <row r="5418" customFormat="false" ht="15" hidden="false" customHeight="true" outlineLevel="0" collapsed="false">
      <c r="A5418" s="141"/>
      <c r="B5418" s="131"/>
      <c r="C5418" s="132"/>
      <c r="D5418" s="131"/>
      <c r="E5418" s="110"/>
      <c r="F5418" s="110"/>
      <c r="G5418" s="110"/>
      <c r="H5418" s="131"/>
      <c r="I5418" s="131"/>
      <c r="J5418" s="142"/>
      <c r="K5418" s="142"/>
      <c r="L5418" s="140"/>
      <c r="M5418" s="131"/>
      <c r="N5418" s="131"/>
      <c r="O5418" s="131"/>
      <c r="P5418" s="143"/>
      <c r="Q5418" s="66"/>
      <c r="R5418" s="131"/>
      <c r="S5418" s="144"/>
      <c r="T5418" s="131"/>
      <c r="U5418" s="131"/>
      <c r="V5418" s="131"/>
      <c r="W5418" s="131"/>
      <c r="X5418" s="145"/>
      <c r="Y5418" s="146"/>
      <c r="Z5418" s="147"/>
      <c r="AA5418" s="147"/>
      <c r="AB5418" s="110"/>
      <c r="AC5418" s="132"/>
      <c r="AD5418" s="148"/>
      <c r="AE5418" s="148"/>
    </row>
    <row r="5419" customFormat="false" ht="15" hidden="false" customHeight="true" outlineLevel="0" collapsed="false">
      <c r="A5419" s="141"/>
      <c r="B5419" s="131"/>
      <c r="C5419" s="132"/>
      <c r="D5419" s="131"/>
      <c r="E5419" s="110"/>
      <c r="F5419" s="110"/>
      <c r="G5419" s="110"/>
      <c r="H5419" s="131"/>
      <c r="I5419" s="131"/>
      <c r="J5419" s="142"/>
      <c r="K5419" s="142"/>
      <c r="L5419" s="140"/>
      <c r="M5419" s="131"/>
      <c r="N5419" s="131"/>
      <c r="O5419" s="131"/>
      <c r="P5419" s="143"/>
      <c r="Q5419" s="66"/>
      <c r="R5419" s="131"/>
      <c r="S5419" s="144"/>
      <c r="T5419" s="131"/>
      <c r="U5419" s="131"/>
      <c r="V5419" s="131"/>
      <c r="W5419" s="131"/>
      <c r="X5419" s="145"/>
      <c r="Y5419" s="146"/>
      <c r="Z5419" s="147"/>
      <c r="AA5419" s="147"/>
      <c r="AB5419" s="110"/>
      <c r="AC5419" s="132"/>
      <c r="AD5419" s="148"/>
      <c r="AE5419" s="148"/>
    </row>
    <row r="5420" customFormat="false" ht="15" hidden="false" customHeight="true" outlineLevel="0" collapsed="false">
      <c r="A5420" s="141"/>
      <c r="B5420" s="131"/>
      <c r="C5420" s="132"/>
      <c r="D5420" s="131"/>
      <c r="E5420" s="110"/>
      <c r="F5420" s="110"/>
      <c r="G5420" s="110"/>
      <c r="H5420" s="131"/>
      <c r="I5420" s="131"/>
      <c r="J5420" s="142"/>
      <c r="K5420" s="142"/>
      <c r="L5420" s="140"/>
      <c r="M5420" s="131"/>
      <c r="N5420" s="131"/>
      <c r="O5420" s="131"/>
      <c r="P5420" s="143"/>
      <c r="Q5420" s="66"/>
      <c r="R5420" s="131"/>
      <c r="S5420" s="144"/>
      <c r="T5420" s="131"/>
      <c r="U5420" s="131"/>
      <c r="V5420" s="131"/>
      <c r="W5420" s="131"/>
      <c r="X5420" s="145"/>
      <c r="Y5420" s="146"/>
      <c r="Z5420" s="147"/>
      <c r="AA5420" s="147"/>
      <c r="AB5420" s="110"/>
      <c r="AC5420" s="132"/>
      <c r="AD5420" s="148"/>
      <c r="AE5420" s="148"/>
    </row>
    <row r="5421" customFormat="false" ht="15" hidden="false" customHeight="true" outlineLevel="0" collapsed="false">
      <c r="A5421" s="141"/>
      <c r="B5421" s="131"/>
      <c r="C5421" s="132"/>
      <c r="D5421" s="131"/>
      <c r="E5421" s="110"/>
      <c r="F5421" s="110"/>
      <c r="G5421" s="110"/>
      <c r="H5421" s="131"/>
      <c r="I5421" s="131"/>
      <c r="J5421" s="142"/>
      <c r="K5421" s="142"/>
      <c r="L5421" s="140"/>
      <c r="M5421" s="131"/>
      <c r="N5421" s="131"/>
      <c r="O5421" s="131"/>
      <c r="P5421" s="143"/>
      <c r="Q5421" s="66"/>
      <c r="R5421" s="131"/>
      <c r="S5421" s="144"/>
      <c r="T5421" s="131"/>
      <c r="U5421" s="131"/>
      <c r="V5421" s="131"/>
      <c r="W5421" s="131"/>
      <c r="X5421" s="145"/>
      <c r="Y5421" s="146"/>
      <c r="Z5421" s="147"/>
      <c r="AA5421" s="147"/>
      <c r="AB5421" s="110"/>
      <c r="AC5421" s="132"/>
      <c r="AD5421" s="148"/>
      <c r="AE5421" s="148"/>
    </row>
    <row r="5422" customFormat="false" ht="15" hidden="false" customHeight="true" outlineLevel="0" collapsed="false">
      <c r="A5422" s="141"/>
      <c r="B5422" s="131"/>
      <c r="C5422" s="132"/>
      <c r="D5422" s="131"/>
      <c r="E5422" s="110"/>
      <c r="F5422" s="110"/>
      <c r="G5422" s="110"/>
      <c r="H5422" s="131"/>
      <c r="I5422" s="131"/>
      <c r="J5422" s="142"/>
      <c r="K5422" s="142"/>
      <c r="L5422" s="140"/>
      <c r="M5422" s="131"/>
      <c r="N5422" s="131"/>
      <c r="O5422" s="131"/>
      <c r="P5422" s="143"/>
      <c r="Q5422" s="66"/>
      <c r="R5422" s="131"/>
      <c r="S5422" s="144"/>
      <c r="T5422" s="131"/>
      <c r="U5422" s="131"/>
      <c r="V5422" s="131"/>
      <c r="W5422" s="131"/>
      <c r="X5422" s="145"/>
      <c r="Y5422" s="146"/>
      <c r="Z5422" s="147"/>
      <c r="AA5422" s="147"/>
      <c r="AB5422" s="110"/>
      <c r="AC5422" s="132"/>
      <c r="AD5422" s="148"/>
      <c r="AE5422" s="148"/>
    </row>
    <row r="5423" customFormat="false" ht="15" hidden="false" customHeight="true" outlineLevel="0" collapsed="false">
      <c r="A5423" s="141"/>
      <c r="B5423" s="131"/>
      <c r="C5423" s="132"/>
      <c r="D5423" s="131"/>
      <c r="E5423" s="110"/>
      <c r="F5423" s="110"/>
      <c r="G5423" s="110"/>
      <c r="H5423" s="131"/>
      <c r="I5423" s="131"/>
      <c r="J5423" s="142"/>
      <c r="K5423" s="142"/>
      <c r="L5423" s="140"/>
      <c r="M5423" s="131"/>
      <c r="N5423" s="131"/>
      <c r="O5423" s="131"/>
      <c r="P5423" s="143"/>
      <c r="Q5423" s="66"/>
      <c r="R5423" s="131"/>
      <c r="S5423" s="144"/>
      <c r="T5423" s="131"/>
      <c r="U5423" s="131"/>
      <c r="V5423" s="131"/>
      <c r="W5423" s="131"/>
      <c r="X5423" s="145"/>
      <c r="Y5423" s="146"/>
      <c r="Z5423" s="147"/>
      <c r="AA5423" s="147"/>
      <c r="AB5423" s="110"/>
      <c r="AC5423" s="132"/>
      <c r="AD5423" s="148"/>
      <c r="AE5423" s="148"/>
    </row>
    <row r="5424" customFormat="false" ht="15" hidden="false" customHeight="true" outlineLevel="0" collapsed="false">
      <c r="A5424" s="141"/>
      <c r="B5424" s="131"/>
      <c r="C5424" s="132"/>
      <c r="D5424" s="131"/>
      <c r="E5424" s="110"/>
      <c r="F5424" s="110"/>
      <c r="G5424" s="110"/>
      <c r="H5424" s="131"/>
      <c r="I5424" s="131"/>
      <c r="J5424" s="142"/>
      <c r="K5424" s="142"/>
      <c r="L5424" s="140"/>
      <c r="M5424" s="131"/>
      <c r="N5424" s="131"/>
      <c r="O5424" s="131"/>
      <c r="P5424" s="143"/>
      <c r="Q5424" s="66"/>
      <c r="R5424" s="131"/>
      <c r="S5424" s="144"/>
      <c r="T5424" s="131"/>
      <c r="U5424" s="131"/>
      <c r="V5424" s="131"/>
      <c r="W5424" s="131"/>
      <c r="X5424" s="145"/>
      <c r="Y5424" s="146"/>
      <c r="Z5424" s="147"/>
      <c r="AA5424" s="147"/>
      <c r="AB5424" s="110"/>
      <c r="AC5424" s="132"/>
      <c r="AD5424" s="148"/>
      <c r="AE5424" s="148"/>
    </row>
    <row r="5425" customFormat="false" ht="15" hidden="false" customHeight="true" outlineLevel="0" collapsed="false">
      <c r="A5425" s="141"/>
      <c r="B5425" s="131"/>
      <c r="C5425" s="132"/>
      <c r="D5425" s="131"/>
      <c r="E5425" s="110"/>
      <c r="F5425" s="110"/>
      <c r="G5425" s="110"/>
      <c r="H5425" s="131"/>
      <c r="I5425" s="131"/>
      <c r="J5425" s="142"/>
      <c r="K5425" s="142"/>
      <c r="L5425" s="140"/>
      <c r="M5425" s="131"/>
      <c r="N5425" s="131"/>
      <c r="O5425" s="131"/>
      <c r="P5425" s="143"/>
      <c r="Q5425" s="66"/>
      <c r="R5425" s="131"/>
      <c r="S5425" s="144"/>
      <c r="T5425" s="131"/>
      <c r="U5425" s="131"/>
      <c r="V5425" s="131"/>
      <c r="W5425" s="131"/>
      <c r="X5425" s="145"/>
      <c r="Y5425" s="146"/>
      <c r="Z5425" s="147"/>
      <c r="AA5425" s="147"/>
      <c r="AB5425" s="110"/>
      <c r="AC5425" s="132"/>
      <c r="AD5425" s="148"/>
      <c r="AE5425" s="148"/>
    </row>
    <row r="5426" customFormat="false" ht="15" hidden="false" customHeight="true" outlineLevel="0" collapsed="false">
      <c r="A5426" s="141"/>
      <c r="B5426" s="131"/>
      <c r="C5426" s="132"/>
      <c r="D5426" s="131"/>
      <c r="E5426" s="110"/>
      <c r="F5426" s="110"/>
      <c r="G5426" s="110"/>
      <c r="H5426" s="131"/>
      <c r="I5426" s="131"/>
      <c r="J5426" s="142"/>
      <c r="K5426" s="142"/>
      <c r="L5426" s="140"/>
      <c r="M5426" s="131"/>
      <c r="N5426" s="131"/>
      <c r="O5426" s="131"/>
      <c r="P5426" s="143"/>
      <c r="Q5426" s="66"/>
      <c r="R5426" s="131"/>
      <c r="S5426" s="144"/>
      <c r="T5426" s="131"/>
      <c r="U5426" s="131"/>
      <c r="V5426" s="131"/>
      <c r="W5426" s="131"/>
      <c r="X5426" s="145"/>
      <c r="Y5426" s="146"/>
      <c r="Z5426" s="147"/>
      <c r="AA5426" s="147"/>
      <c r="AB5426" s="110"/>
      <c r="AC5426" s="132"/>
      <c r="AD5426" s="148"/>
      <c r="AE5426" s="148"/>
    </row>
    <row r="5427" customFormat="false" ht="15" hidden="false" customHeight="true" outlineLevel="0" collapsed="false">
      <c r="A5427" s="141"/>
      <c r="B5427" s="131"/>
      <c r="C5427" s="132"/>
      <c r="D5427" s="131"/>
      <c r="E5427" s="110"/>
      <c r="F5427" s="110"/>
      <c r="G5427" s="110"/>
      <c r="H5427" s="131"/>
      <c r="I5427" s="131"/>
      <c r="J5427" s="142"/>
      <c r="K5427" s="142"/>
      <c r="L5427" s="140"/>
      <c r="M5427" s="131"/>
      <c r="N5427" s="131"/>
      <c r="O5427" s="131"/>
      <c r="P5427" s="143"/>
      <c r="Q5427" s="66"/>
      <c r="R5427" s="131"/>
      <c r="S5427" s="144"/>
      <c r="T5427" s="131"/>
      <c r="U5427" s="131"/>
      <c r="V5427" s="131"/>
      <c r="W5427" s="131"/>
      <c r="X5427" s="145"/>
      <c r="Y5427" s="146"/>
      <c r="Z5427" s="147"/>
      <c r="AA5427" s="147"/>
      <c r="AB5427" s="110"/>
      <c r="AC5427" s="132"/>
      <c r="AD5427" s="148"/>
      <c r="AE5427" s="148"/>
    </row>
    <row r="5428" customFormat="false" ht="15" hidden="false" customHeight="true" outlineLevel="0" collapsed="false">
      <c r="A5428" s="141"/>
      <c r="B5428" s="131"/>
      <c r="C5428" s="132"/>
      <c r="D5428" s="131"/>
      <c r="E5428" s="110"/>
      <c r="F5428" s="110"/>
      <c r="G5428" s="110"/>
      <c r="H5428" s="131"/>
      <c r="I5428" s="131"/>
      <c r="J5428" s="142"/>
      <c r="K5428" s="142"/>
      <c r="L5428" s="140"/>
      <c r="M5428" s="131"/>
      <c r="N5428" s="131"/>
      <c r="O5428" s="131"/>
      <c r="P5428" s="143"/>
      <c r="Q5428" s="66"/>
      <c r="R5428" s="131"/>
      <c r="S5428" s="144"/>
      <c r="T5428" s="131"/>
      <c r="U5428" s="131"/>
      <c r="V5428" s="131"/>
      <c r="W5428" s="131"/>
      <c r="X5428" s="145"/>
      <c r="Y5428" s="146"/>
      <c r="Z5428" s="147"/>
      <c r="AA5428" s="147"/>
      <c r="AB5428" s="110"/>
      <c r="AC5428" s="132"/>
      <c r="AD5428" s="148"/>
      <c r="AE5428" s="148"/>
    </row>
    <row r="5429" customFormat="false" ht="15" hidden="false" customHeight="true" outlineLevel="0" collapsed="false">
      <c r="A5429" s="141"/>
      <c r="B5429" s="131"/>
      <c r="C5429" s="132"/>
      <c r="D5429" s="131"/>
      <c r="E5429" s="110"/>
      <c r="F5429" s="110"/>
      <c r="G5429" s="110"/>
      <c r="H5429" s="131"/>
      <c r="I5429" s="131"/>
      <c r="J5429" s="142"/>
      <c r="K5429" s="142"/>
      <c r="L5429" s="140"/>
      <c r="M5429" s="131"/>
      <c r="N5429" s="131"/>
      <c r="O5429" s="131"/>
      <c r="P5429" s="143"/>
      <c r="Q5429" s="66"/>
      <c r="R5429" s="131"/>
      <c r="S5429" s="144"/>
      <c r="T5429" s="131"/>
      <c r="U5429" s="131"/>
      <c r="V5429" s="131"/>
      <c r="W5429" s="131"/>
      <c r="X5429" s="145"/>
      <c r="Y5429" s="146"/>
      <c r="Z5429" s="147"/>
      <c r="AA5429" s="147"/>
      <c r="AB5429" s="110"/>
      <c r="AC5429" s="132"/>
      <c r="AD5429" s="148"/>
      <c r="AE5429" s="148"/>
    </row>
    <row r="5430" customFormat="false" ht="15" hidden="false" customHeight="true" outlineLevel="0" collapsed="false">
      <c r="A5430" s="141"/>
      <c r="B5430" s="131"/>
      <c r="C5430" s="132"/>
      <c r="D5430" s="131"/>
      <c r="E5430" s="110"/>
      <c r="F5430" s="110"/>
      <c r="G5430" s="110"/>
      <c r="H5430" s="131"/>
      <c r="I5430" s="131"/>
      <c r="J5430" s="142"/>
      <c r="K5430" s="142"/>
      <c r="L5430" s="140"/>
      <c r="M5430" s="131"/>
      <c r="N5430" s="131"/>
      <c r="O5430" s="131"/>
      <c r="P5430" s="143"/>
      <c r="Q5430" s="66"/>
      <c r="R5430" s="131"/>
      <c r="S5430" s="144"/>
      <c r="T5430" s="131"/>
      <c r="U5430" s="131"/>
      <c r="V5430" s="131"/>
      <c r="W5430" s="131"/>
      <c r="X5430" s="145"/>
      <c r="Y5430" s="146"/>
      <c r="Z5430" s="147"/>
      <c r="AA5430" s="147"/>
      <c r="AB5430" s="110"/>
      <c r="AC5430" s="132"/>
      <c r="AD5430" s="148"/>
      <c r="AE5430" s="148"/>
    </row>
    <row r="5431" customFormat="false" ht="15" hidden="false" customHeight="true" outlineLevel="0" collapsed="false">
      <c r="A5431" s="141"/>
      <c r="B5431" s="131"/>
      <c r="C5431" s="132"/>
      <c r="D5431" s="131"/>
      <c r="E5431" s="110"/>
      <c r="F5431" s="110"/>
      <c r="G5431" s="110"/>
      <c r="H5431" s="131"/>
      <c r="I5431" s="131"/>
      <c r="J5431" s="142"/>
      <c r="K5431" s="142"/>
      <c r="L5431" s="140"/>
      <c r="M5431" s="131"/>
      <c r="N5431" s="131"/>
      <c r="O5431" s="131"/>
      <c r="P5431" s="143"/>
      <c r="Q5431" s="66"/>
      <c r="R5431" s="131"/>
      <c r="S5431" s="144"/>
      <c r="T5431" s="131"/>
      <c r="U5431" s="131"/>
      <c r="V5431" s="131"/>
      <c r="W5431" s="131"/>
      <c r="X5431" s="145"/>
      <c r="Y5431" s="146"/>
      <c r="Z5431" s="147"/>
      <c r="AA5431" s="147"/>
      <c r="AB5431" s="110"/>
      <c r="AC5431" s="132"/>
      <c r="AD5431" s="148"/>
      <c r="AE5431" s="148"/>
    </row>
    <row r="5432" customFormat="false" ht="15" hidden="false" customHeight="true" outlineLevel="0" collapsed="false">
      <c r="A5432" s="141"/>
      <c r="B5432" s="131"/>
      <c r="C5432" s="132"/>
      <c r="D5432" s="131"/>
      <c r="E5432" s="110"/>
      <c r="F5432" s="110"/>
      <c r="G5432" s="110"/>
      <c r="H5432" s="131"/>
      <c r="I5432" s="131"/>
      <c r="J5432" s="142"/>
      <c r="K5432" s="142"/>
      <c r="L5432" s="140"/>
      <c r="M5432" s="131"/>
      <c r="N5432" s="131"/>
      <c r="O5432" s="131"/>
      <c r="P5432" s="143"/>
      <c r="Q5432" s="66"/>
      <c r="R5432" s="131"/>
      <c r="S5432" s="144"/>
      <c r="T5432" s="131"/>
      <c r="U5432" s="131"/>
      <c r="V5432" s="131"/>
      <c r="W5432" s="131"/>
      <c r="X5432" s="145"/>
      <c r="Y5432" s="146"/>
      <c r="Z5432" s="147"/>
      <c r="AA5432" s="147"/>
      <c r="AB5432" s="110"/>
      <c r="AC5432" s="132"/>
      <c r="AD5432" s="148"/>
      <c r="AE5432" s="148"/>
    </row>
    <row r="5433" customFormat="false" ht="15" hidden="false" customHeight="true" outlineLevel="0" collapsed="false">
      <c r="A5433" s="141"/>
      <c r="B5433" s="131"/>
      <c r="C5433" s="132"/>
      <c r="D5433" s="131"/>
      <c r="E5433" s="110"/>
      <c r="F5433" s="110"/>
      <c r="G5433" s="110"/>
      <c r="H5433" s="131"/>
      <c r="I5433" s="131"/>
      <c r="J5433" s="142"/>
      <c r="K5433" s="142"/>
      <c r="L5433" s="140"/>
      <c r="M5433" s="131"/>
      <c r="N5433" s="131"/>
      <c r="O5433" s="131"/>
      <c r="P5433" s="143"/>
      <c r="Q5433" s="66"/>
      <c r="R5433" s="131"/>
      <c r="S5433" s="144"/>
      <c r="T5433" s="131"/>
      <c r="U5433" s="131"/>
      <c r="V5433" s="131"/>
      <c r="W5433" s="131"/>
      <c r="X5433" s="145"/>
      <c r="Y5433" s="146"/>
      <c r="Z5433" s="147"/>
      <c r="AA5433" s="147"/>
      <c r="AB5433" s="110"/>
      <c r="AC5433" s="132"/>
      <c r="AD5433" s="148"/>
      <c r="AE5433" s="148"/>
    </row>
    <row r="5434" customFormat="false" ht="15" hidden="false" customHeight="true" outlineLevel="0" collapsed="false">
      <c r="A5434" s="141"/>
      <c r="B5434" s="131"/>
      <c r="C5434" s="132"/>
      <c r="D5434" s="131"/>
      <c r="E5434" s="110"/>
      <c r="F5434" s="110"/>
      <c r="G5434" s="110"/>
      <c r="H5434" s="131"/>
      <c r="I5434" s="131"/>
      <c r="J5434" s="142"/>
      <c r="K5434" s="142"/>
      <c r="L5434" s="140"/>
      <c r="M5434" s="131"/>
      <c r="N5434" s="131"/>
      <c r="O5434" s="131"/>
      <c r="P5434" s="143"/>
      <c r="Q5434" s="66"/>
      <c r="R5434" s="131"/>
      <c r="S5434" s="144"/>
      <c r="T5434" s="131"/>
      <c r="U5434" s="131"/>
      <c r="V5434" s="131"/>
      <c r="W5434" s="131"/>
      <c r="X5434" s="145"/>
      <c r="Y5434" s="146"/>
      <c r="Z5434" s="147"/>
      <c r="AA5434" s="147"/>
      <c r="AB5434" s="110"/>
      <c r="AC5434" s="132"/>
      <c r="AD5434" s="148"/>
      <c r="AE5434" s="148"/>
    </row>
    <row r="5435" customFormat="false" ht="15" hidden="false" customHeight="true" outlineLevel="0" collapsed="false">
      <c r="A5435" s="141"/>
      <c r="B5435" s="131"/>
      <c r="C5435" s="132"/>
      <c r="D5435" s="131"/>
      <c r="E5435" s="110"/>
      <c r="F5435" s="110"/>
      <c r="G5435" s="110"/>
      <c r="H5435" s="131"/>
      <c r="I5435" s="131"/>
      <c r="J5435" s="142"/>
      <c r="K5435" s="142"/>
      <c r="L5435" s="140"/>
      <c r="M5435" s="131"/>
      <c r="N5435" s="131"/>
      <c r="O5435" s="131"/>
      <c r="P5435" s="143"/>
      <c r="Q5435" s="66"/>
      <c r="R5435" s="131"/>
      <c r="S5435" s="144"/>
      <c r="T5435" s="131"/>
      <c r="U5435" s="131"/>
      <c r="V5435" s="131"/>
      <c r="W5435" s="131"/>
      <c r="X5435" s="145"/>
      <c r="Y5435" s="146"/>
      <c r="Z5435" s="147"/>
      <c r="AA5435" s="147"/>
      <c r="AB5435" s="110"/>
      <c r="AC5435" s="132"/>
      <c r="AD5435" s="148"/>
      <c r="AE5435" s="148"/>
    </row>
    <row r="5436" customFormat="false" ht="15" hidden="false" customHeight="true" outlineLevel="0" collapsed="false">
      <c r="A5436" s="141"/>
      <c r="B5436" s="131"/>
      <c r="C5436" s="132"/>
      <c r="D5436" s="131"/>
      <c r="E5436" s="110"/>
      <c r="F5436" s="110"/>
      <c r="G5436" s="110"/>
      <c r="H5436" s="131"/>
      <c r="I5436" s="131"/>
      <c r="J5436" s="142"/>
      <c r="K5436" s="142"/>
      <c r="L5436" s="140"/>
      <c r="M5436" s="131"/>
      <c r="N5436" s="131"/>
      <c r="O5436" s="131"/>
      <c r="P5436" s="143"/>
      <c r="Q5436" s="66"/>
      <c r="R5436" s="131"/>
      <c r="S5436" s="144"/>
      <c r="T5436" s="131"/>
      <c r="U5436" s="131"/>
      <c r="V5436" s="131"/>
      <c r="W5436" s="131"/>
      <c r="X5436" s="145"/>
      <c r="Y5436" s="146"/>
      <c r="Z5436" s="147"/>
      <c r="AA5436" s="147"/>
      <c r="AB5436" s="110"/>
      <c r="AC5436" s="132"/>
      <c r="AD5436" s="148"/>
      <c r="AE5436" s="148"/>
    </row>
    <row r="5437" customFormat="false" ht="15" hidden="false" customHeight="true" outlineLevel="0" collapsed="false">
      <c r="A5437" s="141"/>
      <c r="B5437" s="131"/>
      <c r="C5437" s="132"/>
      <c r="D5437" s="131"/>
      <c r="E5437" s="110"/>
      <c r="F5437" s="110"/>
      <c r="G5437" s="110"/>
      <c r="H5437" s="131"/>
      <c r="I5437" s="131"/>
      <c r="J5437" s="142"/>
      <c r="K5437" s="142"/>
      <c r="L5437" s="140"/>
      <c r="M5437" s="131"/>
      <c r="N5437" s="131"/>
      <c r="O5437" s="131"/>
      <c r="P5437" s="143"/>
      <c r="Q5437" s="66"/>
      <c r="R5437" s="131"/>
      <c r="S5437" s="144"/>
      <c r="T5437" s="131"/>
      <c r="U5437" s="131"/>
      <c r="V5437" s="131"/>
      <c r="W5437" s="131"/>
      <c r="X5437" s="145"/>
      <c r="Y5437" s="146"/>
      <c r="Z5437" s="147"/>
      <c r="AA5437" s="147"/>
      <c r="AB5437" s="110"/>
      <c r="AC5437" s="132"/>
      <c r="AD5437" s="148"/>
      <c r="AE5437" s="148"/>
    </row>
    <row r="5438" customFormat="false" ht="15" hidden="false" customHeight="true" outlineLevel="0" collapsed="false">
      <c r="A5438" s="141"/>
      <c r="B5438" s="131"/>
      <c r="C5438" s="132"/>
      <c r="D5438" s="131"/>
      <c r="E5438" s="110"/>
      <c r="F5438" s="110"/>
      <c r="G5438" s="110"/>
      <c r="H5438" s="131"/>
      <c r="I5438" s="131"/>
      <c r="J5438" s="142"/>
      <c r="K5438" s="142"/>
      <c r="L5438" s="140"/>
      <c r="M5438" s="131"/>
      <c r="N5438" s="131"/>
      <c r="O5438" s="131"/>
      <c r="P5438" s="143"/>
      <c r="Q5438" s="66"/>
      <c r="R5438" s="131"/>
      <c r="S5438" s="144"/>
      <c r="T5438" s="131"/>
      <c r="U5438" s="131"/>
      <c r="V5438" s="131"/>
      <c r="W5438" s="131"/>
      <c r="X5438" s="145"/>
      <c r="Y5438" s="146"/>
      <c r="Z5438" s="147"/>
      <c r="AA5438" s="147"/>
      <c r="AB5438" s="110"/>
      <c r="AC5438" s="132"/>
      <c r="AD5438" s="148"/>
      <c r="AE5438" s="148"/>
    </row>
    <row r="5439" customFormat="false" ht="15" hidden="false" customHeight="true" outlineLevel="0" collapsed="false">
      <c r="A5439" s="141"/>
      <c r="B5439" s="131"/>
      <c r="C5439" s="132"/>
      <c r="D5439" s="131"/>
      <c r="E5439" s="110"/>
      <c r="F5439" s="110"/>
      <c r="G5439" s="110"/>
      <c r="H5439" s="131"/>
      <c r="I5439" s="131"/>
      <c r="J5439" s="142"/>
      <c r="K5439" s="142"/>
      <c r="L5439" s="140"/>
      <c r="M5439" s="131"/>
      <c r="N5439" s="131"/>
      <c r="O5439" s="131"/>
      <c r="P5439" s="143"/>
      <c r="Q5439" s="66"/>
      <c r="R5439" s="131"/>
      <c r="S5439" s="144"/>
      <c r="T5439" s="131"/>
      <c r="U5439" s="131"/>
      <c r="V5439" s="131"/>
      <c r="W5439" s="131"/>
      <c r="X5439" s="145"/>
      <c r="Y5439" s="146"/>
      <c r="Z5439" s="147"/>
      <c r="AA5439" s="147"/>
      <c r="AB5439" s="110"/>
      <c r="AC5439" s="132"/>
      <c r="AD5439" s="148"/>
      <c r="AE5439" s="148"/>
    </row>
    <row r="5440" customFormat="false" ht="15" hidden="false" customHeight="true" outlineLevel="0" collapsed="false">
      <c r="A5440" s="141"/>
      <c r="B5440" s="131"/>
      <c r="C5440" s="132"/>
      <c r="D5440" s="131"/>
      <c r="E5440" s="110"/>
      <c r="F5440" s="110"/>
      <c r="G5440" s="110"/>
      <c r="H5440" s="131"/>
      <c r="I5440" s="131"/>
      <c r="J5440" s="142"/>
      <c r="K5440" s="142"/>
      <c r="L5440" s="140"/>
      <c r="M5440" s="131"/>
      <c r="N5440" s="131"/>
      <c r="O5440" s="131"/>
      <c r="P5440" s="143"/>
      <c r="Q5440" s="66"/>
      <c r="R5440" s="131"/>
      <c r="S5440" s="144"/>
      <c r="T5440" s="131"/>
      <c r="U5440" s="131"/>
      <c r="V5440" s="131"/>
      <c r="W5440" s="131"/>
      <c r="X5440" s="145"/>
      <c r="Y5440" s="146"/>
      <c r="Z5440" s="147"/>
      <c r="AA5440" s="147"/>
      <c r="AB5440" s="110"/>
      <c r="AC5440" s="132"/>
      <c r="AD5440" s="148"/>
      <c r="AE5440" s="148"/>
    </row>
    <row r="5441" customFormat="false" ht="15" hidden="false" customHeight="true" outlineLevel="0" collapsed="false">
      <c r="A5441" s="141"/>
      <c r="B5441" s="131"/>
      <c r="C5441" s="132"/>
      <c r="D5441" s="131"/>
      <c r="E5441" s="110"/>
      <c r="F5441" s="110"/>
      <c r="G5441" s="110"/>
      <c r="H5441" s="131"/>
      <c r="I5441" s="131"/>
      <c r="J5441" s="142"/>
      <c r="K5441" s="142"/>
      <c r="L5441" s="140"/>
      <c r="M5441" s="131"/>
      <c r="N5441" s="131"/>
      <c r="O5441" s="131"/>
      <c r="P5441" s="143"/>
      <c r="Q5441" s="66"/>
      <c r="R5441" s="131"/>
      <c r="S5441" s="144"/>
      <c r="T5441" s="131"/>
      <c r="U5441" s="131"/>
      <c r="V5441" s="131"/>
      <c r="W5441" s="131"/>
      <c r="X5441" s="145"/>
      <c r="Y5441" s="146"/>
      <c r="Z5441" s="147"/>
      <c r="AA5441" s="147"/>
      <c r="AB5441" s="110"/>
      <c r="AC5441" s="132"/>
      <c r="AD5441" s="148"/>
      <c r="AE5441" s="148"/>
    </row>
    <row r="5442" customFormat="false" ht="15" hidden="false" customHeight="true" outlineLevel="0" collapsed="false">
      <c r="A5442" s="141"/>
      <c r="B5442" s="131"/>
      <c r="C5442" s="132"/>
      <c r="D5442" s="131"/>
      <c r="E5442" s="110"/>
      <c r="F5442" s="110"/>
      <c r="G5442" s="110"/>
      <c r="H5442" s="131"/>
      <c r="I5442" s="131"/>
      <c r="J5442" s="142"/>
      <c r="K5442" s="142"/>
      <c r="L5442" s="140"/>
      <c r="M5442" s="131"/>
      <c r="N5442" s="131"/>
      <c r="O5442" s="131"/>
      <c r="P5442" s="143"/>
      <c r="Q5442" s="66"/>
      <c r="R5442" s="131"/>
      <c r="S5442" s="144"/>
      <c r="T5442" s="131"/>
      <c r="U5442" s="131"/>
      <c r="V5442" s="131"/>
      <c r="W5442" s="131"/>
      <c r="X5442" s="145"/>
      <c r="Y5442" s="146"/>
      <c r="Z5442" s="147"/>
      <c r="AA5442" s="147"/>
      <c r="AB5442" s="110"/>
      <c r="AC5442" s="132"/>
      <c r="AD5442" s="148"/>
      <c r="AE5442" s="148"/>
    </row>
    <row r="5443" customFormat="false" ht="15" hidden="false" customHeight="true" outlineLevel="0" collapsed="false">
      <c r="A5443" s="141"/>
      <c r="B5443" s="131"/>
      <c r="C5443" s="132"/>
      <c r="D5443" s="131"/>
      <c r="E5443" s="110"/>
      <c r="F5443" s="110"/>
      <c r="G5443" s="110"/>
      <c r="H5443" s="131"/>
      <c r="I5443" s="131"/>
      <c r="J5443" s="142"/>
      <c r="K5443" s="142"/>
      <c r="L5443" s="140"/>
      <c r="M5443" s="131"/>
      <c r="N5443" s="131"/>
      <c r="O5443" s="131"/>
      <c r="P5443" s="143"/>
      <c r="Q5443" s="66"/>
      <c r="R5443" s="131"/>
      <c r="S5443" s="144"/>
      <c r="T5443" s="131"/>
      <c r="U5443" s="131"/>
      <c r="V5443" s="131"/>
      <c r="W5443" s="131"/>
      <c r="X5443" s="145"/>
      <c r="Y5443" s="146"/>
      <c r="Z5443" s="147"/>
      <c r="AA5443" s="147"/>
      <c r="AB5443" s="110"/>
      <c r="AC5443" s="132"/>
      <c r="AD5443" s="148"/>
      <c r="AE5443" s="148"/>
    </row>
    <row r="5444" customFormat="false" ht="15" hidden="false" customHeight="true" outlineLevel="0" collapsed="false">
      <c r="A5444" s="141"/>
      <c r="B5444" s="131"/>
      <c r="C5444" s="132"/>
      <c r="D5444" s="131"/>
      <c r="E5444" s="110"/>
      <c r="F5444" s="110"/>
      <c r="G5444" s="110"/>
      <c r="H5444" s="131"/>
      <c r="I5444" s="131"/>
      <c r="J5444" s="142"/>
      <c r="K5444" s="142"/>
      <c r="L5444" s="140"/>
      <c r="M5444" s="131"/>
      <c r="N5444" s="131"/>
      <c r="O5444" s="131"/>
      <c r="P5444" s="143"/>
      <c r="Q5444" s="66"/>
      <c r="R5444" s="131"/>
      <c r="S5444" s="144"/>
      <c r="T5444" s="131"/>
      <c r="U5444" s="131"/>
      <c r="V5444" s="131"/>
      <c r="W5444" s="131"/>
      <c r="X5444" s="145"/>
      <c r="Y5444" s="146"/>
      <c r="Z5444" s="147"/>
      <c r="AA5444" s="147"/>
      <c r="AB5444" s="110"/>
      <c r="AC5444" s="132"/>
      <c r="AD5444" s="148"/>
      <c r="AE5444" s="148"/>
    </row>
    <row r="5445" customFormat="false" ht="15" hidden="false" customHeight="true" outlineLevel="0" collapsed="false">
      <c r="A5445" s="141"/>
      <c r="B5445" s="131"/>
      <c r="C5445" s="132"/>
      <c r="D5445" s="131"/>
      <c r="E5445" s="110"/>
      <c r="F5445" s="110"/>
      <c r="G5445" s="110"/>
      <c r="H5445" s="131"/>
      <c r="I5445" s="131"/>
      <c r="J5445" s="142"/>
      <c r="K5445" s="142"/>
      <c r="L5445" s="140"/>
      <c r="M5445" s="131"/>
      <c r="N5445" s="131"/>
      <c r="O5445" s="131"/>
      <c r="P5445" s="143"/>
      <c r="Q5445" s="66"/>
      <c r="R5445" s="131"/>
      <c r="S5445" s="144"/>
      <c r="T5445" s="131"/>
      <c r="U5445" s="131"/>
      <c r="V5445" s="131"/>
      <c r="W5445" s="131"/>
      <c r="X5445" s="145"/>
      <c r="Y5445" s="146"/>
      <c r="Z5445" s="147"/>
      <c r="AA5445" s="147"/>
      <c r="AB5445" s="110"/>
      <c r="AC5445" s="132"/>
      <c r="AD5445" s="148"/>
      <c r="AE5445" s="148"/>
    </row>
    <row r="5446" customFormat="false" ht="15" hidden="false" customHeight="true" outlineLevel="0" collapsed="false">
      <c r="A5446" s="141"/>
      <c r="B5446" s="131"/>
      <c r="C5446" s="132"/>
      <c r="D5446" s="131"/>
      <c r="E5446" s="110"/>
      <c r="F5446" s="110"/>
      <c r="G5446" s="110"/>
      <c r="H5446" s="131"/>
      <c r="I5446" s="131"/>
      <c r="J5446" s="142"/>
      <c r="K5446" s="142"/>
      <c r="L5446" s="140"/>
      <c r="M5446" s="131"/>
      <c r="N5446" s="131"/>
      <c r="O5446" s="131"/>
      <c r="P5446" s="143"/>
      <c r="Q5446" s="66"/>
      <c r="R5446" s="131"/>
      <c r="S5446" s="144"/>
      <c r="T5446" s="131"/>
      <c r="U5446" s="131"/>
      <c r="V5446" s="131"/>
      <c r="W5446" s="131"/>
      <c r="X5446" s="145"/>
      <c r="Y5446" s="146"/>
      <c r="Z5446" s="147"/>
      <c r="AA5446" s="147"/>
      <c r="AB5446" s="110"/>
      <c r="AC5446" s="132"/>
      <c r="AD5446" s="148"/>
      <c r="AE5446" s="148"/>
    </row>
    <row r="5447" customFormat="false" ht="15" hidden="false" customHeight="true" outlineLevel="0" collapsed="false">
      <c r="A5447" s="141"/>
      <c r="B5447" s="131"/>
      <c r="C5447" s="132"/>
      <c r="D5447" s="131"/>
      <c r="E5447" s="110"/>
      <c r="F5447" s="110"/>
      <c r="G5447" s="110"/>
      <c r="H5447" s="131"/>
      <c r="I5447" s="131"/>
      <c r="J5447" s="142"/>
      <c r="K5447" s="142"/>
      <c r="L5447" s="140"/>
      <c r="M5447" s="131"/>
      <c r="N5447" s="131"/>
      <c r="O5447" s="131"/>
      <c r="P5447" s="143"/>
      <c r="Q5447" s="66"/>
      <c r="R5447" s="131"/>
      <c r="S5447" s="144"/>
      <c r="T5447" s="131"/>
      <c r="U5447" s="131"/>
      <c r="V5447" s="131"/>
      <c r="W5447" s="131"/>
      <c r="X5447" s="145"/>
      <c r="Y5447" s="146"/>
      <c r="Z5447" s="147"/>
      <c r="AA5447" s="147"/>
      <c r="AB5447" s="110"/>
      <c r="AC5447" s="132"/>
      <c r="AD5447" s="148"/>
      <c r="AE5447" s="148"/>
    </row>
    <row r="5448" customFormat="false" ht="15" hidden="false" customHeight="true" outlineLevel="0" collapsed="false">
      <c r="A5448" s="141"/>
      <c r="B5448" s="131"/>
      <c r="C5448" s="132"/>
      <c r="D5448" s="131"/>
      <c r="E5448" s="110"/>
      <c r="F5448" s="110"/>
      <c r="G5448" s="110"/>
      <c r="H5448" s="131"/>
      <c r="I5448" s="131"/>
      <c r="J5448" s="142"/>
      <c r="K5448" s="142"/>
      <c r="L5448" s="140"/>
      <c r="M5448" s="131"/>
      <c r="N5448" s="131"/>
      <c r="O5448" s="131"/>
      <c r="P5448" s="143"/>
      <c r="Q5448" s="66"/>
      <c r="R5448" s="131"/>
      <c r="S5448" s="144"/>
      <c r="T5448" s="131"/>
      <c r="U5448" s="131"/>
      <c r="V5448" s="131"/>
      <c r="W5448" s="131"/>
      <c r="X5448" s="145"/>
      <c r="Y5448" s="146"/>
      <c r="Z5448" s="147"/>
      <c r="AA5448" s="147"/>
      <c r="AB5448" s="110"/>
      <c r="AC5448" s="132"/>
      <c r="AD5448" s="148"/>
      <c r="AE5448" s="148"/>
    </row>
    <row r="5449" customFormat="false" ht="15" hidden="false" customHeight="true" outlineLevel="0" collapsed="false">
      <c r="A5449" s="141"/>
      <c r="B5449" s="131"/>
      <c r="C5449" s="132"/>
      <c r="D5449" s="131"/>
      <c r="E5449" s="110"/>
      <c r="F5449" s="110"/>
      <c r="G5449" s="110"/>
      <c r="H5449" s="131"/>
      <c r="I5449" s="131"/>
      <c r="J5449" s="142"/>
      <c r="K5449" s="142"/>
      <c r="L5449" s="140"/>
      <c r="M5449" s="131"/>
      <c r="N5449" s="131"/>
      <c r="O5449" s="131"/>
      <c r="P5449" s="143"/>
      <c r="Q5449" s="66"/>
      <c r="R5449" s="131"/>
      <c r="S5449" s="144"/>
      <c r="T5449" s="131"/>
      <c r="U5449" s="131"/>
      <c r="V5449" s="131"/>
      <c r="W5449" s="131"/>
      <c r="X5449" s="145"/>
      <c r="Y5449" s="146"/>
      <c r="Z5449" s="147"/>
      <c r="AA5449" s="147"/>
      <c r="AB5449" s="110"/>
      <c r="AC5449" s="132"/>
      <c r="AD5449" s="148"/>
      <c r="AE5449" s="148"/>
    </row>
    <row r="5450" customFormat="false" ht="15" hidden="false" customHeight="true" outlineLevel="0" collapsed="false">
      <c r="A5450" s="141"/>
      <c r="B5450" s="131"/>
      <c r="C5450" s="132"/>
      <c r="D5450" s="131"/>
      <c r="E5450" s="110"/>
      <c r="F5450" s="110"/>
      <c r="G5450" s="110"/>
      <c r="H5450" s="131"/>
      <c r="I5450" s="131"/>
      <c r="J5450" s="142"/>
      <c r="K5450" s="142"/>
      <c r="L5450" s="140"/>
      <c r="M5450" s="131"/>
      <c r="N5450" s="131"/>
      <c r="O5450" s="131"/>
      <c r="P5450" s="143"/>
      <c r="Q5450" s="66"/>
      <c r="R5450" s="131"/>
      <c r="S5450" s="144"/>
      <c r="T5450" s="131"/>
      <c r="U5450" s="131"/>
      <c r="V5450" s="131"/>
      <c r="W5450" s="131"/>
      <c r="X5450" s="145"/>
      <c r="Y5450" s="146"/>
      <c r="Z5450" s="147"/>
      <c r="AA5450" s="147"/>
      <c r="AB5450" s="110"/>
      <c r="AC5450" s="132"/>
      <c r="AD5450" s="148"/>
      <c r="AE5450" s="148"/>
    </row>
    <row r="5451" customFormat="false" ht="15" hidden="false" customHeight="true" outlineLevel="0" collapsed="false">
      <c r="A5451" s="141"/>
      <c r="B5451" s="131"/>
      <c r="C5451" s="132"/>
      <c r="D5451" s="131"/>
      <c r="E5451" s="110"/>
      <c r="F5451" s="110"/>
      <c r="G5451" s="110"/>
      <c r="H5451" s="131"/>
      <c r="I5451" s="131"/>
      <c r="J5451" s="142"/>
      <c r="K5451" s="142"/>
      <c r="L5451" s="140"/>
      <c r="M5451" s="131"/>
      <c r="N5451" s="131"/>
      <c r="O5451" s="131"/>
      <c r="P5451" s="143"/>
      <c r="Q5451" s="66"/>
      <c r="R5451" s="131"/>
      <c r="S5451" s="144"/>
      <c r="T5451" s="131"/>
      <c r="U5451" s="131"/>
      <c r="V5451" s="131"/>
      <c r="W5451" s="131"/>
      <c r="X5451" s="145"/>
      <c r="Y5451" s="146"/>
      <c r="Z5451" s="147"/>
      <c r="AA5451" s="147"/>
      <c r="AB5451" s="110"/>
      <c r="AC5451" s="132"/>
      <c r="AD5451" s="148"/>
      <c r="AE5451" s="148"/>
    </row>
    <row r="5452" customFormat="false" ht="15" hidden="false" customHeight="true" outlineLevel="0" collapsed="false">
      <c r="A5452" s="141"/>
      <c r="B5452" s="131"/>
      <c r="C5452" s="132"/>
      <c r="D5452" s="131"/>
      <c r="E5452" s="110"/>
      <c r="F5452" s="110"/>
      <c r="G5452" s="110"/>
      <c r="H5452" s="131"/>
      <c r="I5452" s="131"/>
      <c r="J5452" s="142"/>
      <c r="K5452" s="142"/>
      <c r="L5452" s="140"/>
      <c r="M5452" s="131"/>
      <c r="N5452" s="131"/>
      <c r="O5452" s="131"/>
      <c r="P5452" s="143"/>
      <c r="Q5452" s="66"/>
      <c r="R5452" s="131"/>
      <c r="S5452" s="144"/>
      <c r="T5452" s="131"/>
      <c r="U5452" s="131"/>
      <c r="V5452" s="131"/>
      <c r="W5452" s="131"/>
      <c r="X5452" s="145"/>
      <c r="Y5452" s="146"/>
      <c r="Z5452" s="147"/>
      <c r="AA5452" s="147"/>
      <c r="AB5452" s="110"/>
      <c r="AC5452" s="132"/>
      <c r="AD5452" s="148"/>
      <c r="AE5452" s="148"/>
    </row>
    <row r="5453" customFormat="false" ht="15" hidden="false" customHeight="true" outlineLevel="0" collapsed="false">
      <c r="A5453" s="141"/>
      <c r="B5453" s="131"/>
      <c r="C5453" s="132"/>
      <c r="D5453" s="131"/>
      <c r="E5453" s="110"/>
      <c r="F5453" s="110"/>
      <c r="G5453" s="110"/>
      <c r="H5453" s="131"/>
      <c r="I5453" s="131"/>
      <c r="J5453" s="142"/>
      <c r="K5453" s="142"/>
      <c r="L5453" s="140"/>
      <c r="M5453" s="131"/>
      <c r="N5453" s="131"/>
      <c r="O5453" s="131"/>
      <c r="P5453" s="143"/>
      <c r="Q5453" s="66"/>
      <c r="R5453" s="131"/>
      <c r="S5453" s="144"/>
      <c r="T5453" s="131"/>
      <c r="U5453" s="131"/>
      <c r="V5453" s="131"/>
      <c r="W5453" s="131"/>
      <c r="X5453" s="145"/>
      <c r="Y5453" s="146"/>
      <c r="Z5453" s="147"/>
      <c r="AA5453" s="147"/>
      <c r="AB5453" s="110"/>
      <c r="AC5453" s="132"/>
      <c r="AD5453" s="148"/>
      <c r="AE5453" s="148"/>
    </row>
    <row r="5454" customFormat="false" ht="15" hidden="false" customHeight="true" outlineLevel="0" collapsed="false">
      <c r="A5454" s="141"/>
      <c r="B5454" s="131"/>
      <c r="C5454" s="132"/>
      <c r="D5454" s="131"/>
      <c r="E5454" s="110"/>
      <c r="F5454" s="110"/>
      <c r="G5454" s="110"/>
      <c r="H5454" s="131"/>
      <c r="I5454" s="131"/>
      <c r="J5454" s="142"/>
      <c r="K5454" s="142"/>
      <c r="L5454" s="140"/>
      <c r="M5454" s="131"/>
      <c r="N5454" s="131"/>
      <c r="O5454" s="131"/>
      <c r="P5454" s="143"/>
      <c r="Q5454" s="66"/>
      <c r="R5454" s="131"/>
      <c r="S5454" s="144"/>
      <c r="T5454" s="131"/>
      <c r="U5454" s="131"/>
      <c r="V5454" s="131"/>
      <c r="W5454" s="131"/>
      <c r="X5454" s="145"/>
      <c r="Y5454" s="146"/>
      <c r="Z5454" s="147"/>
      <c r="AA5454" s="147"/>
      <c r="AB5454" s="110"/>
      <c r="AC5454" s="132"/>
      <c r="AD5454" s="148"/>
      <c r="AE5454" s="148"/>
    </row>
    <row r="5455" customFormat="false" ht="15" hidden="false" customHeight="true" outlineLevel="0" collapsed="false">
      <c r="A5455" s="141"/>
      <c r="B5455" s="131"/>
      <c r="C5455" s="132"/>
      <c r="D5455" s="131"/>
      <c r="E5455" s="110"/>
      <c r="F5455" s="110"/>
      <c r="G5455" s="110"/>
      <c r="H5455" s="131"/>
      <c r="I5455" s="131"/>
      <c r="J5455" s="142"/>
      <c r="K5455" s="142"/>
      <c r="L5455" s="140"/>
      <c r="M5455" s="131"/>
      <c r="N5455" s="131"/>
      <c r="O5455" s="131"/>
      <c r="P5455" s="143"/>
      <c r="Q5455" s="66"/>
      <c r="R5455" s="131"/>
      <c r="S5455" s="144"/>
      <c r="T5455" s="131"/>
      <c r="U5455" s="131"/>
      <c r="V5455" s="131"/>
      <c r="W5455" s="131"/>
      <c r="X5455" s="145"/>
      <c r="Y5455" s="146"/>
      <c r="Z5455" s="147"/>
      <c r="AA5455" s="147"/>
      <c r="AB5455" s="110"/>
      <c r="AC5455" s="132"/>
      <c r="AD5455" s="148"/>
      <c r="AE5455" s="148"/>
    </row>
    <row r="5456" customFormat="false" ht="15" hidden="false" customHeight="true" outlineLevel="0" collapsed="false">
      <c r="A5456" s="141"/>
      <c r="B5456" s="131"/>
      <c r="C5456" s="132"/>
      <c r="D5456" s="131"/>
      <c r="E5456" s="110"/>
      <c r="F5456" s="110"/>
      <c r="G5456" s="110"/>
      <c r="H5456" s="131"/>
      <c r="I5456" s="131"/>
      <c r="J5456" s="142"/>
      <c r="K5456" s="142"/>
      <c r="L5456" s="140"/>
      <c r="M5456" s="131"/>
      <c r="N5456" s="131"/>
      <c r="O5456" s="131"/>
      <c r="P5456" s="143"/>
      <c r="Q5456" s="66"/>
      <c r="R5456" s="131"/>
      <c r="S5456" s="144"/>
      <c r="T5456" s="131"/>
      <c r="U5456" s="131"/>
      <c r="V5456" s="131"/>
      <c r="W5456" s="131"/>
      <c r="X5456" s="145"/>
      <c r="Y5456" s="146"/>
      <c r="Z5456" s="147"/>
      <c r="AA5456" s="147"/>
      <c r="AB5456" s="110"/>
      <c r="AC5456" s="132"/>
      <c r="AD5456" s="148"/>
      <c r="AE5456" s="148"/>
    </row>
    <row r="5457" customFormat="false" ht="15" hidden="false" customHeight="true" outlineLevel="0" collapsed="false">
      <c r="A5457" s="141"/>
      <c r="B5457" s="131"/>
      <c r="C5457" s="132"/>
      <c r="D5457" s="131"/>
      <c r="E5457" s="110"/>
      <c r="F5457" s="110"/>
      <c r="G5457" s="110"/>
      <c r="H5457" s="131"/>
      <c r="I5457" s="131"/>
      <c r="J5457" s="142"/>
      <c r="K5457" s="142"/>
      <c r="L5457" s="140"/>
      <c r="M5457" s="131"/>
      <c r="N5457" s="131"/>
      <c r="O5457" s="131"/>
      <c r="P5457" s="143"/>
      <c r="Q5457" s="66"/>
      <c r="R5457" s="131"/>
      <c r="S5457" s="144"/>
      <c r="T5457" s="131"/>
      <c r="U5457" s="131"/>
      <c r="V5457" s="131"/>
      <c r="W5457" s="131"/>
      <c r="X5457" s="145"/>
      <c r="Y5457" s="146"/>
      <c r="Z5457" s="147"/>
      <c r="AA5457" s="147"/>
      <c r="AB5457" s="110"/>
      <c r="AC5457" s="132"/>
      <c r="AD5457" s="148"/>
      <c r="AE5457" s="148"/>
    </row>
    <row r="5458" customFormat="false" ht="15" hidden="false" customHeight="true" outlineLevel="0" collapsed="false">
      <c r="A5458" s="141"/>
      <c r="B5458" s="131"/>
      <c r="C5458" s="132"/>
      <c r="D5458" s="131"/>
      <c r="E5458" s="110"/>
      <c r="F5458" s="110"/>
      <c r="G5458" s="110"/>
      <c r="H5458" s="131"/>
      <c r="I5458" s="131"/>
      <c r="J5458" s="142"/>
      <c r="K5458" s="142"/>
      <c r="L5458" s="140"/>
      <c r="M5458" s="131"/>
      <c r="N5458" s="131"/>
      <c r="O5458" s="131"/>
      <c r="P5458" s="143"/>
      <c r="Q5458" s="66"/>
      <c r="R5458" s="131"/>
      <c r="S5458" s="144"/>
      <c r="T5458" s="131"/>
      <c r="U5458" s="131"/>
      <c r="V5458" s="131"/>
      <c r="W5458" s="131"/>
      <c r="X5458" s="145"/>
      <c r="Y5458" s="146"/>
      <c r="Z5458" s="147"/>
      <c r="AA5458" s="147"/>
      <c r="AB5458" s="110"/>
      <c r="AC5458" s="132"/>
      <c r="AD5458" s="148"/>
      <c r="AE5458" s="148"/>
    </row>
    <row r="5459" customFormat="false" ht="15" hidden="false" customHeight="true" outlineLevel="0" collapsed="false">
      <c r="A5459" s="141"/>
      <c r="B5459" s="131"/>
      <c r="C5459" s="132"/>
      <c r="D5459" s="131"/>
      <c r="E5459" s="110"/>
      <c r="F5459" s="110"/>
      <c r="G5459" s="110"/>
      <c r="H5459" s="131"/>
      <c r="I5459" s="131"/>
      <c r="J5459" s="142"/>
      <c r="K5459" s="142"/>
      <c r="L5459" s="140"/>
      <c r="M5459" s="131"/>
      <c r="N5459" s="131"/>
      <c r="O5459" s="131"/>
      <c r="P5459" s="143"/>
      <c r="Q5459" s="66"/>
      <c r="R5459" s="131"/>
      <c r="S5459" s="144"/>
      <c r="T5459" s="131"/>
      <c r="U5459" s="131"/>
      <c r="V5459" s="131"/>
      <c r="W5459" s="131"/>
      <c r="X5459" s="145"/>
      <c r="Y5459" s="146"/>
      <c r="Z5459" s="147"/>
      <c r="AA5459" s="147"/>
      <c r="AB5459" s="110"/>
      <c r="AC5459" s="132"/>
      <c r="AD5459" s="148"/>
      <c r="AE5459" s="148"/>
    </row>
    <row r="5460" customFormat="false" ht="15" hidden="false" customHeight="true" outlineLevel="0" collapsed="false">
      <c r="A5460" s="141"/>
      <c r="B5460" s="131"/>
      <c r="C5460" s="132"/>
      <c r="D5460" s="131"/>
      <c r="E5460" s="110"/>
      <c r="F5460" s="110"/>
      <c r="G5460" s="110"/>
      <c r="H5460" s="131"/>
      <c r="I5460" s="131"/>
      <c r="J5460" s="142"/>
      <c r="K5460" s="142"/>
      <c r="L5460" s="140"/>
      <c r="M5460" s="131"/>
      <c r="N5460" s="131"/>
      <c r="O5460" s="131"/>
      <c r="P5460" s="143"/>
      <c r="Q5460" s="66"/>
      <c r="R5460" s="131"/>
      <c r="S5460" s="144"/>
      <c r="T5460" s="131"/>
      <c r="U5460" s="131"/>
      <c r="V5460" s="131"/>
      <c r="W5460" s="131"/>
      <c r="X5460" s="145"/>
      <c r="Y5460" s="146"/>
      <c r="Z5460" s="147"/>
      <c r="AA5460" s="147"/>
      <c r="AB5460" s="110"/>
      <c r="AC5460" s="132"/>
      <c r="AD5460" s="148"/>
      <c r="AE5460" s="148"/>
    </row>
    <row r="5461" customFormat="false" ht="15" hidden="false" customHeight="true" outlineLevel="0" collapsed="false">
      <c r="A5461" s="141"/>
      <c r="B5461" s="131"/>
      <c r="C5461" s="132"/>
      <c r="D5461" s="131"/>
      <c r="E5461" s="110"/>
      <c r="F5461" s="110"/>
      <c r="G5461" s="110"/>
      <c r="H5461" s="131"/>
      <c r="I5461" s="131"/>
      <c r="J5461" s="142"/>
      <c r="K5461" s="142"/>
      <c r="L5461" s="140"/>
      <c r="M5461" s="131"/>
      <c r="N5461" s="131"/>
      <c r="O5461" s="131"/>
      <c r="P5461" s="143"/>
      <c r="Q5461" s="66"/>
      <c r="R5461" s="131"/>
      <c r="S5461" s="144"/>
      <c r="T5461" s="131"/>
      <c r="U5461" s="131"/>
      <c r="V5461" s="131"/>
      <c r="W5461" s="131"/>
      <c r="X5461" s="145"/>
      <c r="Y5461" s="146"/>
      <c r="Z5461" s="147"/>
      <c r="AA5461" s="147"/>
      <c r="AB5461" s="110"/>
      <c r="AC5461" s="132"/>
      <c r="AD5461" s="148"/>
      <c r="AE5461" s="148"/>
    </row>
    <row r="5462" customFormat="false" ht="15" hidden="false" customHeight="true" outlineLevel="0" collapsed="false">
      <c r="A5462" s="141"/>
      <c r="B5462" s="131"/>
      <c r="C5462" s="132"/>
      <c r="D5462" s="131"/>
      <c r="E5462" s="110"/>
      <c r="F5462" s="110"/>
      <c r="G5462" s="110"/>
      <c r="H5462" s="131"/>
      <c r="I5462" s="131"/>
      <c r="J5462" s="142"/>
      <c r="K5462" s="142"/>
      <c r="L5462" s="140"/>
      <c r="M5462" s="131"/>
      <c r="N5462" s="131"/>
      <c r="O5462" s="131"/>
      <c r="P5462" s="143"/>
      <c r="Q5462" s="66"/>
      <c r="R5462" s="131"/>
      <c r="S5462" s="144"/>
      <c r="T5462" s="131"/>
      <c r="U5462" s="131"/>
      <c r="V5462" s="131"/>
      <c r="W5462" s="131"/>
      <c r="X5462" s="145"/>
      <c r="Y5462" s="146"/>
      <c r="Z5462" s="147"/>
      <c r="AA5462" s="147"/>
      <c r="AB5462" s="110"/>
      <c r="AC5462" s="132"/>
      <c r="AD5462" s="148"/>
      <c r="AE5462" s="148"/>
    </row>
    <row r="5463" customFormat="false" ht="15" hidden="false" customHeight="true" outlineLevel="0" collapsed="false">
      <c r="A5463" s="141"/>
      <c r="B5463" s="131"/>
      <c r="C5463" s="132"/>
      <c r="D5463" s="131"/>
      <c r="E5463" s="110"/>
      <c r="F5463" s="110"/>
      <c r="G5463" s="110"/>
      <c r="H5463" s="131"/>
      <c r="I5463" s="131"/>
      <c r="J5463" s="142"/>
      <c r="K5463" s="142"/>
      <c r="L5463" s="140"/>
      <c r="M5463" s="131"/>
      <c r="N5463" s="131"/>
      <c r="O5463" s="131"/>
      <c r="P5463" s="143"/>
      <c r="Q5463" s="66"/>
      <c r="R5463" s="131"/>
      <c r="S5463" s="144"/>
      <c r="T5463" s="131"/>
      <c r="U5463" s="131"/>
      <c r="V5463" s="131"/>
      <c r="W5463" s="131"/>
      <c r="X5463" s="145"/>
      <c r="Y5463" s="146"/>
      <c r="Z5463" s="147"/>
      <c r="AA5463" s="147"/>
      <c r="AB5463" s="110"/>
      <c r="AC5463" s="132"/>
      <c r="AD5463" s="148"/>
      <c r="AE5463" s="148"/>
    </row>
    <row r="5464" customFormat="false" ht="15" hidden="false" customHeight="true" outlineLevel="0" collapsed="false">
      <c r="A5464" s="141"/>
      <c r="B5464" s="131"/>
      <c r="C5464" s="132"/>
      <c r="D5464" s="131"/>
      <c r="E5464" s="110"/>
      <c r="F5464" s="110"/>
      <c r="G5464" s="110"/>
      <c r="H5464" s="131"/>
      <c r="I5464" s="131"/>
      <c r="J5464" s="142"/>
      <c r="K5464" s="142"/>
      <c r="L5464" s="140"/>
      <c r="M5464" s="131"/>
      <c r="N5464" s="131"/>
      <c r="O5464" s="131"/>
      <c r="P5464" s="143"/>
      <c r="Q5464" s="66"/>
      <c r="R5464" s="131"/>
      <c r="S5464" s="144"/>
      <c r="T5464" s="131"/>
      <c r="U5464" s="131"/>
      <c r="V5464" s="131"/>
      <c r="W5464" s="131"/>
      <c r="X5464" s="145"/>
      <c r="Y5464" s="146"/>
      <c r="Z5464" s="147"/>
      <c r="AA5464" s="147"/>
      <c r="AB5464" s="110"/>
      <c r="AC5464" s="132"/>
      <c r="AD5464" s="148"/>
      <c r="AE5464" s="148"/>
    </row>
    <row r="5465" customFormat="false" ht="15" hidden="false" customHeight="true" outlineLevel="0" collapsed="false">
      <c r="A5465" s="141"/>
      <c r="B5465" s="131"/>
      <c r="C5465" s="132"/>
      <c r="D5465" s="131"/>
      <c r="E5465" s="110"/>
      <c r="F5465" s="110"/>
      <c r="G5465" s="110"/>
      <c r="H5465" s="131"/>
      <c r="I5465" s="131"/>
      <c r="J5465" s="142"/>
      <c r="K5465" s="142"/>
      <c r="L5465" s="140"/>
      <c r="M5465" s="131"/>
      <c r="N5465" s="131"/>
      <c r="O5465" s="131"/>
      <c r="P5465" s="143"/>
      <c r="Q5465" s="66"/>
      <c r="R5465" s="131"/>
      <c r="S5465" s="144"/>
      <c r="T5465" s="131"/>
      <c r="U5465" s="131"/>
      <c r="V5465" s="131"/>
      <c r="W5465" s="131"/>
      <c r="X5465" s="145"/>
      <c r="Y5465" s="146"/>
      <c r="Z5465" s="147"/>
      <c r="AA5465" s="147"/>
      <c r="AB5465" s="110"/>
      <c r="AC5465" s="132"/>
      <c r="AD5465" s="148"/>
      <c r="AE5465" s="148"/>
    </row>
    <row r="5466" customFormat="false" ht="15" hidden="false" customHeight="true" outlineLevel="0" collapsed="false">
      <c r="A5466" s="141"/>
      <c r="B5466" s="131"/>
      <c r="C5466" s="132"/>
      <c r="D5466" s="131"/>
      <c r="E5466" s="110"/>
      <c r="F5466" s="110"/>
      <c r="G5466" s="110"/>
      <c r="H5466" s="131"/>
      <c r="I5466" s="131"/>
      <c r="J5466" s="142"/>
      <c r="K5466" s="142"/>
      <c r="L5466" s="140"/>
      <c r="M5466" s="131"/>
      <c r="N5466" s="131"/>
      <c r="O5466" s="131"/>
      <c r="P5466" s="143"/>
      <c r="Q5466" s="66"/>
      <c r="R5466" s="131"/>
      <c r="S5466" s="144"/>
      <c r="T5466" s="131"/>
      <c r="U5466" s="131"/>
      <c r="V5466" s="131"/>
      <c r="W5466" s="131"/>
      <c r="X5466" s="145"/>
      <c r="Y5466" s="146"/>
      <c r="Z5466" s="147"/>
      <c r="AA5466" s="147"/>
      <c r="AB5466" s="110"/>
      <c r="AC5466" s="132"/>
      <c r="AD5466" s="148"/>
      <c r="AE5466" s="148"/>
    </row>
    <row r="5467" customFormat="false" ht="15" hidden="false" customHeight="true" outlineLevel="0" collapsed="false">
      <c r="A5467" s="141"/>
      <c r="B5467" s="131"/>
      <c r="C5467" s="132"/>
      <c r="D5467" s="131"/>
      <c r="E5467" s="110"/>
      <c r="F5467" s="110"/>
      <c r="G5467" s="110"/>
      <c r="H5467" s="131"/>
      <c r="I5467" s="131"/>
      <c r="J5467" s="142"/>
      <c r="K5467" s="142"/>
      <c r="L5467" s="140"/>
      <c r="M5467" s="131"/>
      <c r="N5467" s="131"/>
      <c r="O5467" s="131"/>
      <c r="P5467" s="143"/>
      <c r="Q5467" s="66"/>
      <c r="R5467" s="131"/>
      <c r="S5467" s="144"/>
      <c r="T5467" s="131"/>
      <c r="U5467" s="131"/>
      <c r="V5467" s="131"/>
      <c r="W5467" s="131"/>
      <c r="X5467" s="145"/>
      <c r="Y5467" s="146"/>
      <c r="Z5467" s="147"/>
      <c r="AA5467" s="147"/>
      <c r="AB5467" s="110"/>
      <c r="AC5467" s="132"/>
      <c r="AD5467" s="148"/>
      <c r="AE5467" s="148"/>
    </row>
    <row r="5468" customFormat="false" ht="15" hidden="false" customHeight="true" outlineLevel="0" collapsed="false">
      <c r="A5468" s="141"/>
      <c r="B5468" s="131"/>
      <c r="C5468" s="132"/>
      <c r="D5468" s="131"/>
      <c r="E5468" s="110"/>
      <c r="F5468" s="110"/>
      <c r="G5468" s="110"/>
      <c r="H5468" s="131"/>
      <c r="I5468" s="131"/>
      <c r="J5468" s="142"/>
      <c r="K5468" s="142"/>
      <c r="L5468" s="140"/>
      <c r="M5468" s="131"/>
      <c r="N5468" s="131"/>
      <c r="O5468" s="131"/>
      <c r="P5468" s="143"/>
      <c r="Q5468" s="66"/>
      <c r="R5468" s="131"/>
      <c r="S5468" s="144"/>
      <c r="T5468" s="131"/>
      <c r="U5468" s="131"/>
      <c r="V5468" s="131"/>
      <c r="W5468" s="131"/>
      <c r="X5468" s="145"/>
      <c r="Y5468" s="146"/>
      <c r="Z5468" s="147"/>
      <c r="AA5468" s="147"/>
      <c r="AB5468" s="110"/>
      <c r="AC5468" s="132"/>
      <c r="AD5468" s="148"/>
      <c r="AE5468" s="148"/>
    </row>
    <row r="5469" customFormat="false" ht="15" hidden="false" customHeight="true" outlineLevel="0" collapsed="false">
      <c r="A5469" s="141"/>
      <c r="B5469" s="131"/>
      <c r="C5469" s="132"/>
      <c r="D5469" s="131"/>
      <c r="E5469" s="110"/>
      <c r="F5469" s="110"/>
      <c r="G5469" s="110"/>
      <c r="H5469" s="131"/>
      <c r="I5469" s="131"/>
      <c r="J5469" s="142"/>
      <c r="K5469" s="142"/>
      <c r="L5469" s="140"/>
      <c r="M5469" s="131"/>
      <c r="N5469" s="131"/>
      <c r="O5469" s="131"/>
      <c r="P5469" s="143"/>
      <c r="Q5469" s="66"/>
      <c r="R5469" s="131"/>
      <c r="S5469" s="144"/>
      <c r="T5469" s="131"/>
      <c r="U5469" s="131"/>
      <c r="V5469" s="131"/>
      <c r="W5469" s="131"/>
      <c r="X5469" s="145"/>
      <c r="Y5469" s="146"/>
      <c r="Z5469" s="147"/>
      <c r="AA5469" s="147"/>
      <c r="AB5469" s="110"/>
      <c r="AC5469" s="132"/>
      <c r="AD5469" s="148"/>
      <c r="AE5469" s="148"/>
    </row>
    <row r="5470" customFormat="false" ht="15" hidden="false" customHeight="true" outlineLevel="0" collapsed="false">
      <c r="A5470" s="141"/>
      <c r="B5470" s="131"/>
      <c r="C5470" s="132"/>
      <c r="D5470" s="131"/>
      <c r="E5470" s="110"/>
      <c r="F5470" s="110"/>
      <c r="G5470" s="110"/>
      <c r="H5470" s="131"/>
      <c r="I5470" s="131"/>
      <c r="J5470" s="142"/>
      <c r="K5470" s="142"/>
      <c r="L5470" s="140"/>
      <c r="M5470" s="131"/>
      <c r="N5470" s="131"/>
      <c r="O5470" s="131"/>
      <c r="P5470" s="143"/>
      <c r="Q5470" s="66"/>
      <c r="R5470" s="131"/>
      <c r="S5470" s="144"/>
      <c r="T5470" s="131"/>
      <c r="U5470" s="131"/>
      <c r="V5470" s="131"/>
      <c r="W5470" s="131"/>
      <c r="X5470" s="145"/>
      <c r="Y5470" s="146"/>
      <c r="Z5470" s="147"/>
      <c r="AA5470" s="147"/>
      <c r="AB5470" s="110"/>
      <c r="AC5470" s="132"/>
      <c r="AD5470" s="148"/>
      <c r="AE5470" s="148"/>
    </row>
    <row r="5471" customFormat="false" ht="15" hidden="false" customHeight="true" outlineLevel="0" collapsed="false">
      <c r="A5471" s="141"/>
      <c r="B5471" s="131"/>
      <c r="C5471" s="132"/>
      <c r="D5471" s="131"/>
      <c r="E5471" s="110"/>
      <c r="F5471" s="110"/>
      <c r="G5471" s="110"/>
      <c r="H5471" s="131"/>
      <c r="I5471" s="131"/>
      <c r="J5471" s="142"/>
      <c r="K5471" s="142"/>
      <c r="L5471" s="140"/>
      <c r="M5471" s="131"/>
      <c r="N5471" s="131"/>
      <c r="O5471" s="131"/>
      <c r="P5471" s="143"/>
      <c r="Q5471" s="66"/>
      <c r="R5471" s="131"/>
      <c r="S5471" s="144"/>
      <c r="T5471" s="131"/>
      <c r="U5471" s="131"/>
      <c r="V5471" s="131"/>
      <c r="W5471" s="131"/>
      <c r="X5471" s="145"/>
      <c r="Y5471" s="146"/>
      <c r="Z5471" s="147"/>
      <c r="AA5471" s="147"/>
      <c r="AB5471" s="110"/>
      <c r="AC5471" s="132"/>
      <c r="AD5471" s="148"/>
      <c r="AE5471" s="148"/>
    </row>
    <row r="5472" customFormat="false" ht="15" hidden="false" customHeight="true" outlineLevel="0" collapsed="false">
      <c r="A5472" s="141"/>
      <c r="B5472" s="131"/>
      <c r="C5472" s="132"/>
      <c r="D5472" s="131"/>
      <c r="E5472" s="110"/>
      <c r="F5472" s="110"/>
      <c r="G5472" s="110"/>
      <c r="H5472" s="131"/>
      <c r="I5472" s="131"/>
      <c r="J5472" s="142"/>
      <c r="K5472" s="142"/>
      <c r="L5472" s="140"/>
      <c r="M5472" s="131"/>
      <c r="N5472" s="131"/>
      <c r="O5472" s="131"/>
      <c r="P5472" s="143"/>
      <c r="Q5472" s="66"/>
      <c r="R5472" s="131"/>
      <c r="S5472" s="144"/>
      <c r="T5472" s="131"/>
      <c r="U5472" s="131"/>
      <c r="V5472" s="131"/>
      <c r="W5472" s="131"/>
      <c r="X5472" s="145"/>
      <c r="Y5472" s="146"/>
      <c r="Z5472" s="147"/>
      <c r="AA5472" s="147"/>
      <c r="AB5472" s="110"/>
      <c r="AC5472" s="132"/>
      <c r="AD5472" s="148"/>
      <c r="AE5472" s="148"/>
    </row>
    <row r="5473" customFormat="false" ht="15" hidden="false" customHeight="true" outlineLevel="0" collapsed="false">
      <c r="A5473" s="141"/>
      <c r="B5473" s="131"/>
      <c r="C5473" s="132"/>
      <c r="D5473" s="131"/>
      <c r="E5473" s="110"/>
      <c r="F5473" s="110"/>
      <c r="G5473" s="110"/>
      <c r="H5473" s="131"/>
      <c r="I5473" s="131"/>
      <c r="J5473" s="142"/>
      <c r="K5473" s="142"/>
      <c r="L5473" s="140"/>
      <c r="M5473" s="131"/>
      <c r="N5473" s="131"/>
      <c r="O5473" s="131"/>
      <c r="P5473" s="143"/>
      <c r="Q5473" s="66"/>
      <c r="R5473" s="131"/>
      <c r="S5473" s="144"/>
      <c r="T5473" s="131"/>
      <c r="U5473" s="131"/>
      <c r="V5473" s="131"/>
      <c r="W5473" s="131"/>
      <c r="X5473" s="145"/>
      <c r="Y5473" s="146"/>
      <c r="Z5473" s="147"/>
      <c r="AA5473" s="147"/>
      <c r="AB5473" s="110"/>
      <c r="AC5473" s="132"/>
      <c r="AD5473" s="148"/>
      <c r="AE5473" s="148"/>
    </row>
    <row r="5474" customFormat="false" ht="15" hidden="false" customHeight="true" outlineLevel="0" collapsed="false">
      <c r="A5474" s="141"/>
      <c r="B5474" s="131"/>
      <c r="C5474" s="132"/>
      <c r="D5474" s="131"/>
      <c r="E5474" s="110"/>
      <c r="F5474" s="110"/>
      <c r="G5474" s="110"/>
      <c r="H5474" s="131"/>
      <c r="I5474" s="131"/>
      <c r="J5474" s="142"/>
      <c r="K5474" s="142"/>
      <c r="L5474" s="140"/>
      <c r="M5474" s="131"/>
      <c r="N5474" s="131"/>
      <c r="O5474" s="131"/>
      <c r="P5474" s="143"/>
      <c r="Q5474" s="66"/>
      <c r="R5474" s="131"/>
      <c r="S5474" s="144"/>
      <c r="T5474" s="131"/>
      <c r="U5474" s="131"/>
      <c r="V5474" s="131"/>
      <c r="W5474" s="131"/>
      <c r="X5474" s="145"/>
      <c r="Y5474" s="146"/>
      <c r="Z5474" s="147"/>
      <c r="AA5474" s="147"/>
      <c r="AB5474" s="110"/>
      <c r="AC5474" s="132"/>
      <c r="AD5474" s="148"/>
      <c r="AE5474" s="148"/>
    </row>
    <row r="5475" customFormat="false" ht="15" hidden="false" customHeight="true" outlineLevel="0" collapsed="false">
      <c r="A5475" s="141"/>
      <c r="B5475" s="131"/>
      <c r="C5475" s="132"/>
      <c r="D5475" s="131"/>
      <c r="E5475" s="110"/>
      <c r="F5475" s="110"/>
      <c r="G5475" s="110"/>
      <c r="H5475" s="131"/>
      <c r="I5475" s="131"/>
      <c r="J5475" s="142"/>
      <c r="K5475" s="142"/>
      <c r="L5475" s="140"/>
      <c r="M5475" s="131"/>
      <c r="N5475" s="131"/>
      <c r="O5475" s="131"/>
      <c r="P5475" s="143"/>
      <c r="Q5475" s="66"/>
      <c r="R5475" s="131"/>
      <c r="S5475" s="144"/>
      <c r="T5475" s="131"/>
      <c r="U5475" s="131"/>
      <c r="V5475" s="131"/>
      <c r="W5475" s="131"/>
      <c r="X5475" s="145"/>
      <c r="Y5475" s="146"/>
      <c r="Z5475" s="147"/>
      <c r="AA5475" s="147"/>
      <c r="AB5475" s="110"/>
      <c r="AC5475" s="132"/>
      <c r="AD5475" s="148"/>
      <c r="AE5475" s="148"/>
    </row>
    <row r="5476" customFormat="false" ht="15" hidden="false" customHeight="true" outlineLevel="0" collapsed="false">
      <c r="A5476" s="141"/>
      <c r="B5476" s="131"/>
      <c r="C5476" s="132"/>
      <c r="D5476" s="131"/>
      <c r="E5476" s="110"/>
      <c r="F5476" s="110"/>
      <c r="G5476" s="110"/>
      <c r="H5476" s="131"/>
      <c r="I5476" s="131"/>
      <c r="J5476" s="142"/>
      <c r="K5476" s="142"/>
      <c r="L5476" s="140"/>
      <c r="M5476" s="131"/>
      <c r="N5476" s="131"/>
      <c r="O5476" s="131"/>
      <c r="P5476" s="143"/>
      <c r="Q5476" s="66"/>
      <c r="R5476" s="131"/>
      <c r="S5476" s="144"/>
      <c r="T5476" s="131"/>
      <c r="U5476" s="131"/>
      <c r="V5476" s="131"/>
      <c r="W5476" s="131"/>
      <c r="X5476" s="145"/>
      <c r="Y5476" s="146"/>
      <c r="Z5476" s="147"/>
      <c r="AA5476" s="147"/>
      <c r="AB5476" s="110"/>
      <c r="AC5476" s="132"/>
      <c r="AD5476" s="148"/>
      <c r="AE5476" s="148"/>
    </row>
    <row r="5477" customFormat="false" ht="15" hidden="false" customHeight="true" outlineLevel="0" collapsed="false">
      <c r="A5477" s="141"/>
      <c r="B5477" s="131"/>
      <c r="C5477" s="132"/>
      <c r="D5477" s="131"/>
      <c r="E5477" s="110"/>
      <c r="F5477" s="110"/>
      <c r="G5477" s="110"/>
      <c r="H5477" s="131"/>
      <c r="I5477" s="131"/>
      <c r="J5477" s="142"/>
      <c r="K5477" s="142"/>
      <c r="L5477" s="140"/>
      <c r="M5477" s="131"/>
      <c r="N5477" s="131"/>
      <c r="O5477" s="131"/>
      <c r="P5477" s="143"/>
      <c r="Q5477" s="66"/>
      <c r="R5477" s="131"/>
      <c r="S5477" s="144"/>
      <c r="T5477" s="131"/>
      <c r="U5477" s="131"/>
      <c r="V5477" s="131"/>
      <c r="W5477" s="131"/>
      <c r="X5477" s="145"/>
      <c r="Y5477" s="146"/>
      <c r="Z5477" s="147"/>
      <c r="AA5477" s="147"/>
      <c r="AB5477" s="110"/>
      <c r="AC5477" s="132"/>
      <c r="AD5477" s="148"/>
      <c r="AE5477" s="148"/>
    </row>
    <row r="5478" customFormat="false" ht="15" hidden="false" customHeight="true" outlineLevel="0" collapsed="false">
      <c r="A5478" s="141"/>
      <c r="B5478" s="131"/>
      <c r="C5478" s="132"/>
      <c r="D5478" s="131"/>
      <c r="E5478" s="110"/>
      <c r="F5478" s="110"/>
      <c r="G5478" s="110"/>
      <c r="H5478" s="131"/>
      <c r="I5478" s="131"/>
      <c r="J5478" s="142"/>
      <c r="K5478" s="142"/>
      <c r="L5478" s="140"/>
      <c r="M5478" s="131"/>
      <c r="N5478" s="131"/>
      <c r="O5478" s="131"/>
      <c r="P5478" s="143"/>
      <c r="Q5478" s="66"/>
      <c r="R5478" s="131"/>
      <c r="S5478" s="144"/>
      <c r="T5478" s="131"/>
      <c r="U5478" s="131"/>
      <c r="V5478" s="131"/>
      <c r="W5478" s="131"/>
      <c r="X5478" s="145"/>
      <c r="Y5478" s="146"/>
      <c r="Z5478" s="147"/>
      <c r="AA5478" s="147"/>
      <c r="AB5478" s="110"/>
      <c r="AC5478" s="132"/>
      <c r="AD5478" s="148"/>
      <c r="AE5478" s="148"/>
    </row>
    <row r="5479" customFormat="false" ht="15" hidden="false" customHeight="true" outlineLevel="0" collapsed="false">
      <c r="A5479" s="141"/>
      <c r="B5479" s="131"/>
      <c r="C5479" s="132"/>
      <c r="D5479" s="131"/>
      <c r="E5479" s="110"/>
      <c r="F5479" s="110"/>
      <c r="G5479" s="110"/>
      <c r="H5479" s="131"/>
      <c r="I5479" s="131"/>
      <c r="J5479" s="142"/>
      <c r="K5479" s="142"/>
      <c r="L5479" s="140"/>
      <c r="M5479" s="131"/>
      <c r="N5479" s="131"/>
      <c r="O5479" s="131"/>
      <c r="P5479" s="143"/>
      <c r="Q5479" s="66"/>
      <c r="R5479" s="131"/>
      <c r="S5479" s="144"/>
      <c r="T5479" s="131"/>
      <c r="U5479" s="131"/>
      <c r="V5479" s="131"/>
      <c r="W5479" s="131"/>
      <c r="X5479" s="145"/>
      <c r="Y5479" s="146"/>
      <c r="Z5479" s="147"/>
      <c r="AA5479" s="147"/>
      <c r="AB5479" s="110"/>
      <c r="AC5479" s="132"/>
      <c r="AD5479" s="148"/>
      <c r="AE5479" s="148"/>
    </row>
    <row r="5480" customFormat="false" ht="15" hidden="false" customHeight="true" outlineLevel="0" collapsed="false">
      <c r="A5480" s="141"/>
      <c r="B5480" s="131"/>
      <c r="C5480" s="132"/>
      <c r="D5480" s="131"/>
      <c r="E5480" s="110"/>
      <c r="F5480" s="110"/>
      <c r="G5480" s="110"/>
      <c r="H5480" s="131"/>
      <c r="I5480" s="131"/>
      <c r="J5480" s="142"/>
      <c r="K5480" s="142"/>
      <c r="L5480" s="140"/>
      <c r="M5480" s="131"/>
      <c r="N5480" s="131"/>
      <c r="O5480" s="131"/>
      <c r="P5480" s="143"/>
      <c r="Q5480" s="66"/>
      <c r="R5480" s="131"/>
      <c r="S5480" s="144"/>
      <c r="T5480" s="131"/>
      <c r="U5480" s="131"/>
      <c r="V5480" s="131"/>
      <c r="W5480" s="131"/>
      <c r="X5480" s="145"/>
      <c r="Y5480" s="146"/>
      <c r="Z5480" s="147"/>
      <c r="AA5480" s="147"/>
      <c r="AB5480" s="110"/>
      <c r="AC5480" s="132"/>
      <c r="AD5480" s="148"/>
      <c r="AE5480" s="148"/>
    </row>
    <row r="5481" customFormat="false" ht="15" hidden="false" customHeight="true" outlineLevel="0" collapsed="false">
      <c r="A5481" s="141"/>
      <c r="B5481" s="131"/>
      <c r="C5481" s="132"/>
      <c r="D5481" s="131"/>
      <c r="E5481" s="110"/>
      <c r="F5481" s="110"/>
      <c r="G5481" s="110"/>
      <c r="H5481" s="131"/>
      <c r="I5481" s="131"/>
      <c r="J5481" s="142"/>
      <c r="K5481" s="142"/>
      <c r="L5481" s="140"/>
      <c r="M5481" s="131"/>
      <c r="N5481" s="131"/>
      <c r="O5481" s="131"/>
      <c r="P5481" s="143"/>
      <c r="Q5481" s="66"/>
      <c r="R5481" s="131"/>
      <c r="S5481" s="144"/>
      <c r="T5481" s="131"/>
      <c r="U5481" s="131"/>
      <c r="V5481" s="131"/>
      <c r="W5481" s="131"/>
      <c r="X5481" s="145"/>
      <c r="Y5481" s="146"/>
      <c r="Z5481" s="147"/>
      <c r="AA5481" s="147"/>
      <c r="AB5481" s="110"/>
      <c r="AC5481" s="132"/>
      <c r="AD5481" s="148"/>
      <c r="AE5481" s="148"/>
    </row>
    <row r="5482" customFormat="false" ht="15" hidden="false" customHeight="true" outlineLevel="0" collapsed="false">
      <c r="A5482" s="141"/>
      <c r="B5482" s="131"/>
      <c r="C5482" s="132"/>
      <c r="D5482" s="131"/>
      <c r="E5482" s="110"/>
      <c r="F5482" s="110"/>
      <c r="G5482" s="110"/>
      <c r="H5482" s="131"/>
      <c r="I5482" s="131"/>
      <c r="J5482" s="142"/>
      <c r="K5482" s="142"/>
      <c r="L5482" s="140"/>
      <c r="M5482" s="131"/>
      <c r="N5482" s="131"/>
      <c r="O5482" s="131"/>
      <c r="P5482" s="143"/>
      <c r="Q5482" s="66"/>
      <c r="R5482" s="131"/>
      <c r="S5482" s="144"/>
      <c r="T5482" s="131"/>
      <c r="U5482" s="131"/>
      <c r="V5482" s="131"/>
      <c r="W5482" s="131"/>
      <c r="X5482" s="145"/>
      <c r="Y5482" s="146"/>
      <c r="Z5482" s="147"/>
      <c r="AA5482" s="147"/>
      <c r="AB5482" s="110"/>
      <c r="AC5482" s="132"/>
      <c r="AD5482" s="148"/>
      <c r="AE5482" s="148"/>
    </row>
    <row r="5483" customFormat="false" ht="15" hidden="false" customHeight="true" outlineLevel="0" collapsed="false">
      <c r="A5483" s="141"/>
      <c r="B5483" s="131"/>
      <c r="C5483" s="132"/>
      <c r="D5483" s="131"/>
      <c r="E5483" s="110"/>
      <c r="F5483" s="110"/>
      <c r="G5483" s="110"/>
      <c r="H5483" s="131"/>
      <c r="I5483" s="131"/>
      <c r="J5483" s="142"/>
      <c r="K5483" s="142"/>
      <c r="L5483" s="140"/>
      <c r="M5483" s="131"/>
      <c r="N5483" s="131"/>
      <c r="O5483" s="131"/>
      <c r="P5483" s="143"/>
      <c r="Q5483" s="66"/>
      <c r="R5483" s="131"/>
      <c r="S5483" s="144"/>
      <c r="T5483" s="131"/>
      <c r="U5483" s="131"/>
      <c r="V5483" s="131"/>
      <c r="W5483" s="131"/>
      <c r="X5483" s="145"/>
      <c r="Y5483" s="146"/>
      <c r="Z5483" s="147"/>
      <c r="AA5483" s="147"/>
      <c r="AB5483" s="110"/>
      <c r="AC5483" s="132"/>
      <c r="AD5483" s="148"/>
      <c r="AE5483" s="148"/>
    </row>
    <row r="5484" customFormat="false" ht="15" hidden="false" customHeight="true" outlineLevel="0" collapsed="false">
      <c r="A5484" s="141"/>
      <c r="B5484" s="131"/>
      <c r="C5484" s="132"/>
      <c r="D5484" s="131"/>
      <c r="E5484" s="110"/>
      <c r="F5484" s="110"/>
      <c r="G5484" s="110"/>
      <c r="H5484" s="131"/>
      <c r="I5484" s="131"/>
      <c r="J5484" s="142"/>
      <c r="K5484" s="142"/>
      <c r="L5484" s="140"/>
      <c r="M5484" s="131"/>
      <c r="N5484" s="131"/>
      <c r="O5484" s="131"/>
      <c r="P5484" s="143"/>
      <c r="Q5484" s="66"/>
      <c r="R5484" s="131"/>
      <c r="S5484" s="144"/>
      <c r="T5484" s="131"/>
      <c r="U5484" s="131"/>
      <c r="V5484" s="131"/>
      <c r="W5484" s="131"/>
      <c r="X5484" s="145"/>
      <c r="Y5484" s="146"/>
      <c r="Z5484" s="147"/>
      <c r="AA5484" s="147"/>
      <c r="AB5484" s="110"/>
      <c r="AC5484" s="132"/>
      <c r="AD5484" s="148"/>
      <c r="AE5484" s="148"/>
    </row>
    <row r="5485" customFormat="false" ht="15" hidden="false" customHeight="true" outlineLevel="0" collapsed="false">
      <c r="A5485" s="141"/>
      <c r="B5485" s="131"/>
      <c r="C5485" s="132"/>
      <c r="D5485" s="131"/>
      <c r="E5485" s="110"/>
      <c r="F5485" s="110"/>
      <c r="G5485" s="110"/>
      <c r="H5485" s="131"/>
      <c r="I5485" s="131"/>
      <c r="J5485" s="142"/>
      <c r="K5485" s="142"/>
      <c r="L5485" s="140"/>
      <c r="M5485" s="131"/>
      <c r="N5485" s="131"/>
      <c r="O5485" s="131"/>
      <c r="P5485" s="143"/>
      <c r="Q5485" s="66"/>
      <c r="R5485" s="131"/>
      <c r="S5485" s="144"/>
      <c r="T5485" s="131"/>
      <c r="U5485" s="131"/>
      <c r="V5485" s="131"/>
      <c r="W5485" s="131"/>
      <c r="X5485" s="145"/>
      <c r="Y5485" s="146"/>
      <c r="Z5485" s="147"/>
      <c r="AA5485" s="147"/>
      <c r="AB5485" s="110"/>
      <c r="AC5485" s="132"/>
      <c r="AD5485" s="148"/>
      <c r="AE5485" s="148"/>
    </row>
    <row r="5486" customFormat="false" ht="15" hidden="false" customHeight="true" outlineLevel="0" collapsed="false">
      <c r="A5486" s="141"/>
      <c r="B5486" s="131"/>
      <c r="C5486" s="132"/>
      <c r="D5486" s="131"/>
      <c r="E5486" s="110"/>
      <c r="F5486" s="110"/>
      <c r="G5486" s="110"/>
      <c r="H5486" s="131"/>
      <c r="I5486" s="131"/>
      <c r="J5486" s="142"/>
      <c r="K5486" s="142"/>
      <c r="L5486" s="140"/>
      <c r="M5486" s="131"/>
      <c r="N5486" s="131"/>
      <c r="O5486" s="131"/>
      <c r="P5486" s="143"/>
      <c r="Q5486" s="66"/>
      <c r="R5486" s="131"/>
      <c r="S5486" s="144"/>
      <c r="T5486" s="131"/>
      <c r="U5486" s="131"/>
      <c r="V5486" s="131"/>
      <c r="W5486" s="131"/>
      <c r="X5486" s="145"/>
      <c r="Y5486" s="146"/>
      <c r="Z5486" s="147"/>
      <c r="AA5486" s="147"/>
      <c r="AB5486" s="110"/>
      <c r="AC5486" s="132"/>
      <c r="AD5486" s="148"/>
      <c r="AE5486" s="148"/>
    </row>
    <row r="5487" customFormat="false" ht="15" hidden="false" customHeight="true" outlineLevel="0" collapsed="false">
      <c r="A5487" s="141"/>
      <c r="B5487" s="131"/>
      <c r="C5487" s="132"/>
      <c r="D5487" s="131"/>
      <c r="E5487" s="110"/>
      <c r="F5487" s="110"/>
      <c r="G5487" s="110"/>
      <c r="H5487" s="131"/>
      <c r="I5487" s="131"/>
      <c r="J5487" s="142"/>
      <c r="K5487" s="142"/>
      <c r="L5487" s="140"/>
      <c r="M5487" s="131"/>
      <c r="N5487" s="131"/>
      <c r="O5487" s="131"/>
      <c r="P5487" s="143"/>
      <c r="Q5487" s="66"/>
      <c r="R5487" s="131"/>
      <c r="S5487" s="144"/>
      <c r="T5487" s="131"/>
      <c r="U5487" s="131"/>
      <c r="V5487" s="131"/>
      <c r="W5487" s="131"/>
      <c r="X5487" s="145"/>
      <c r="Y5487" s="146"/>
      <c r="Z5487" s="147"/>
      <c r="AA5487" s="147"/>
      <c r="AB5487" s="110"/>
      <c r="AC5487" s="132"/>
      <c r="AD5487" s="148"/>
      <c r="AE5487" s="148"/>
    </row>
    <row r="5488" customFormat="false" ht="15" hidden="false" customHeight="true" outlineLevel="0" collapsed="false">
      <c r="A5488" s="141"/>
      <c r="B5488" s="131"/>
      <c r="C5488" s="132"/>
      <c r="D5488" s="131"/>
      <c r="E5488" s="110"/>
      <c r="F5488" s="110"/>
      <c r="G5488" s="110"/>
      <c r="H5488" s="131"/>
      <c r="I5488" s="131"/>
      <c r="J5488" s="142"/>
      <c r="K5488" s="142"/>
      <c r="L5488" s="140"/>
      <c r="M5488" s="131"/>
      <c r="N5488" s="131"/>
      <c r="O5488" s="131"/>
      <c r="P5488" s="143"/>
      <c r="Q5488" s="66"/>
      <c r="R5488" s="131"/>
      <c r="S5488" s="144"/>
      <c r="T5488" s="131"/>
      <c r="U5488" s="131"/>
      <c r="V5488" s="131"/>
      <c r="W5488" s="131"/>
      <c r="X5488" s="145"/>
      <c r="Y5488" s="146"/>
      <c r="Z5488" s="147"/>
      <c r="AA5488" s="147"/>
      <c r="AB5488" s="110"/>
      <c r="AC5488" s="132"/>
      <c r="AD5488" s="148"/>
      <c r="AE5488" s="148"/>
    </row>
    <row r="5489" customFormat="false" ht="15" hidden="false" customHeight="true" outlineLevel="0" collapsed="false">
      <c r="A5489" s="141"/>
      <c r="B5489" s="131"/>
      <c r="C5489" s="132"/>
      <c r="D5489" s="131"/>
      <c r="E5489" s="110"/>
      <c r="F5489" s="110"/>
      <c r="G5489" s="110"/>
      <c r="H5489" s="131"/>
      <c r="I5489" s="131"/>
      <c r="J5489" s="142"/>
      <c r="K5489" s="142"/>
      <c r="L5489" s="140"/>
      <c r="M5489" s="131"/>
      <c r="N5489" s="131"/>
      <c r="O5489" s="131"/>
      <c r="P5489" s="143"/>
      <c r="Q5489" s="66"/>
      <c r="R5489" s="131"/>
      <c r="S5489" s="144"/>
      <c r="T5489" s="131"/>
      <c r="U5489" s="131"/>
      <c r="V5489" s="131"/>
      <c r="W5489" s="131"/>
      <c r="X5489" s="145"/>
      <c r="Y5489" s="146"/>
      <c r="Z5489" s="147"/>
      <c r="AA5489" s="147"/>
      <c r="AB5489" s="110"/>
      <c r="AC5489" s="132"/>
      <c r="AD5489" s="148"/>
      <c r="AE5489" s="148"/>
    </row>
    <row r="5490" customFormat="false" ht="15" hidden="false" customHeight="true" outlineLevel="0" collapsed="false">
      <c r="A5490" s="141"/>
      <c r="B5490" s="131"/>
      <c r="C5490" s="132"/>
      <c r="D5490" s="131"/>
      <c r="E5490" s="110"/>
      <c r="F5490" s="110"/>
      <c r="G5490" s="110"/>
      <c r="H5490" s="131"/>
      <c r="I5490" s="131"/>
      <c r="J5490" s="142"/>
      <c r="K5490" s="142"/>
      <c r="L5490" s="140"/>
      <c r="M5490" s="131"/>
      <c r="N5490" s="131"/>
      <c r="O5490" s="131"/>
      <c r="P5490" s="143"/>
      <c r="Q5490" s="66"/>
      <c r="R5490" s="131"/>
      <c r="S5490" s="144"/>
      <c r="T5490" s="131"/>
      <c r="U5490" s="131"/>
      <c r="V5490" s="131"/>
      <c r="W5490" s="131"/>
      <c r="X5490" s="145"/>
      <c r="Y5490" s="146"/>
      <c r="Z5490" s="147"/>
      <c r="AA5490" s="147"/>
      <c r="AB5490" s="110"/>
      <c r="AC5490" s="132"/>
      <c r="AD5490" s="148"/>
      <c r="AE5490" s="148"/>
    </row>
    <row r="5491" customFormat="false" ht="15" hidden="false" customHeight="true" outlineLevel="0" collapsed="false">
      <c r="A5491" s="141"/>
      <c r="B5491" s="131"/>
      <c r="C5491" s="132"/>
      <c r="D5491" s="131"/>
      <c r="E5491" s="110"/>
      <c r="F5491" s="110"/>
      <c r="G5491" s="110"/>
      <c r="H5491" s="131"/>
      <c r="I5491" s="131"/>
      <c r="J5491" s="142"/>
      <c r="K5491" s="142"/>
      <c r="L5491" s="140"/>
      <c r="M5491" s="131"/>
      <c r="N5491" s="131"/>
      <c r="O5491" s="131"/>
      <c r="P5491" s="143"/>
      <c r="Q5491" s="66"/>
      <c r="R5491" s="131"/>
      <c r="S5491" s="144"/>
      <c r="T5491" s="131"/>
      <c r="U5491" s="131"/>
      <c r="V5491" s="131"/>
      <c r="W5491" s="131"/>
      <c r="X5491" s="145"/>
      <c r="Y5491" s="146"/>
      <c r="Z5491" s="147"/>
      <c r="AA5491" s="147"/>
      <c r="AB5491" s="110"/>
      <c r="AC5491" s="132"/>
      <c r="AD5491" s="148"/>
      <c r="AE5491" s="148"/>
    </row>
    <row r="5492" customFormat="false" ht="15" hidden="false" customHeight="true" outlineLevel="0" collapsed="false">
      <c r="A5492" s="141"/>
      <c r="B5492" s="131"/>
      <c r="C5492" s="132"/>
      <c r="D5492" s="131"/>
      <c r="E5492" s="110"/>
      <c r="F5492" s="110"/>
      <c r="G5492" s="110"/>
      <c r="H5492" s="131"/>
      <c r="I5492" s="131"/>
      <c r="J5492" s="142"/>
      <c r="K5492" s="142"/>
      <c r="L5492" s="140"/>
      <c r="M5492" s="131"/>
      <c r="N5492" s="131"/>
      <c r="O5492" s="131"/>
      <c r="P5492" s="143"/>
      <c r="Q5492" s="66"/>
      <c r="R5492" s="131"/>
      <c r="S5492" s="144"/>
      <c r="T5492" s="131"/>
      <c r="U5492" s="131"/>
      <c r="V5492" s="131"/>
      <c r="W5492" s="131"/>
      <c r="X5492" s="145"/>
      <c r="Y5492" s="146"/>
      <c r="Z5492" s="147"/>
      <c r="AA5492" s="147"/>
      <c r="AB5492" s="110"/>
      <c r="AC5492" s="132"/>
      <c r="AD5492" s="148"/>
      <c r="AE5492" s="148"/>
    </row>
    <row r="5493" customFormat="false" ht="15" hidden="false" customHeight="true" outlineLevel="0" collapsed="false">
      <c r="A5493" s="141"/>
      <c r="B5493" s="131"/>
      <c r="C5493" s="132"/>
      <c r="D5493" s="131"/>
      <c r="E5493" s="110"/>
      <c r="F5493" s="110"/>
      <c r="G5493" s="110"/>
      <c r="H5493" s="131"/>
      <c r="I5493" s="131"/>
      <c r="J5493" s="142"/>
      <c r="K5493" s="142"/>
      <c r="L5493" s="140"/>
      <c r="M5493" s="131"/>
      <c r="N5493" s="131"/>
      <c r="O5493" s="131"/>
      <c r="P5493" s="143"/>
      <c r="Q5493" s="66"/>
      <c r="R5493" s="131"/>
      <c r="S5493" s="144"/>
      <c r="T5493" s="131"/>
      <c r="U5493" s="131"/>
      <c r="V5493" s="131"/>
      <c r="W5493" s="131"/>
      <c r="X5493" s="145"/>
      <c r="Y5493" s="146"/>
      <c r="Z5493" s="147"/>
      <c r="AA5493" s="147"/>
      <c r="AB5493" s="110"/>
      <c r="AC5493" s="132"/>
      <c r="AD5493" s="148"/>
      <c r="AE5493" s="148"/>
    </row>
    <row r="5494" customFormat="false" ht="15" hidden="false" customHeight="true" outlineLevel="0" collapsed="false">
      <c r="A5494" s="141"/>
      <c r="B5494" s="131"/>
      <c r="C5494" s="132"/>
      <c r="D5494" s="131"/>
      <c r="E5494" s="110"/>
      <c r="F5494" s="110"/>
      <c r="G5494" s="110"/>
      <c r="H5494" s="131"/>
      <c r="I5494" s="131"/>
      <c r="J5494" s="142"/>
      <c r="K5494" s="142"/>
      <c r="L5494" s="140"/>
      <c r="M5494" s="131"/>
      <c r="N5494" s="131"/>
      <c r="O5494" s="131"/>
      <c r="P5494" s="143"/>
      <c r="Q5494" s="66"/>
      <c r="R5494" s="131"/>
      <c r="S5494" s="144"/>
      <c r="T5494" s="131"/>
      <c r="U5494" s="131"/>
      <c r="V5494" s="131"/>
      <c r="W5494" s="131"/>
      <c r="X5494" s="145"/>
      <c r="Y5494" s="146"/>
      <c r="Z5494" s="147"/>
      <c r="AA5494" s="147"/>
      <c r="AB5494" s="110"/>
      <c r="AC5494" s="132"/>
      <c r="AD5494" s="148"/>
      <c r="AE5494" s="148"/>
    </row>
    <row r="5495" customFormat="false" ht="15" hidden="false" customHeight="true" outlineLevel="0" collapsed="false">
      <c r="A5495" s="141"/>
      <c r="B5495" s="131"/>
      <c r="C5495" s="132"/>
      <c r="D5495" s="131"/>
      <c r="E5495" s="110"/>
      <c r="F5495" s="110"/>
      <c r="G5495" s="110"/>
      <c r="H5495" s="131"/>
      <c r="I5495" s="131"/>
      <c r="J5495" s="142"/>
      <c r="K5495" s="142"/>
      <c r="L5495" s="140"/>
      <c r="M5495" s="131"/>
      <c r="N5495" s="131"/>
      <c r="O5495" s="131"/>
      <c r="P5495" s="143"/>
      <c r="Q5495" s="66"/>
      <c r="R5495" s="131"/>
      <c r="S5495" s="144"/>
      <c r="T5495" s="131"/>
      <c r="U5495" s="131"/>
      <c r="V5495" s="131"/>
      <c r="W5495" s="131"/>
      <c r="X5495" s="145"/>
      <c r="Y5495" s="146"/>
      <c r="Z5495" s="147"/>
      <c r="AA5495" s="147"/>
      <c r="AB5495" s="110"/>
      <c r="AC5495" s="132"/>
      <c r="AD5495" s="148"/>
      <c r="AE5495" s="148"/>
    </row>
    <row r="5496" customFormat="false" ht="15" hidden="false" customHeight="true" outlineLevel="0" collapsed="false">
      <c r="A5496" s="141"/>
      <c r="B5496" s="131"/>
      <c r="C5496" s="132"/>
      <c r="D5496" s="131"/>
      <c r="E5496" s="110"/>
      <c r="F5496" s="110"/>
      <c r="G5496" s="110"/>
      <c r="H5496" s="131"/>
      <c r="I5496" s="131"/>
      <c r="J5496" s="142"/>
      <c r="K5496" s="142"/>
      <c r="L5496" s="140"/>
      <c r="M5496" s="131"/>
      <c r="N5496" s="131"/>
      <c r="O5496" s="131"/>
      <c r="P5496" s="143"/>
      <c r="Q5496" s="66"/>
      <c r="R5496" s="131"/>
      <c r="S5496" s="144"/>
      <c r="T5496" s="131"/>
      <c r="U5496" s="131"/>
      <c r="V5496" s="131"/>
      <c r="W5496" s="131"/>
      <c r="X5496" s="145"/>
      <c r="Y5496" s="146"/>
      <c r="Z5496" s="147"/>
      <c r="AA5496" s="147"/>
      <c r="AB5496" s="110"/>
      <c r="AC5496" s="132"/>
      <c r="AD5496" s="148"/>
      <c r="AE5496" s="148"/>
    </row>
    <row r="5497" customFormat="false" ht="15" hidden="false" customHeight="true" outlineLevel="0" collapsed="false">
      <c r="A5497" s="141"/>
      <c r="B5497" s="131"/>
      <c r="C5497" s="132"/>
      <c r="D5497" s="131"/>
      <c r="E5497" s="110"/>
      <c r="F5497" s="110"/>
      <c r="G5497" s="110"/>
      <c r="H5497" s="131"/>
      <c r="I5497" s="131"/>
      <c r="J5497" s="142"/>
      <c r="K5497" s="142"/>
      <c r="L5497" s="140"/>
      <c r="M5497" s="131"/>
      <c r="N5497" s="131"/>
      <c r="O5497" s="131"/>
      <c r="P5497" s="143"/>
      <c r="Q5497" s="66"/>
      <c r="R5497" s="131"/>
      <c r="S5497" s="144"/>
      <c r="T5497" s="131"/>
      <c r="U5497" s="131"/>
      <c r="V5497" s="131"/>
      <c r="W5497" s="131"/>
      <c r="X5497" s="145"/>
      <c r="Y5497" s="146"/>
      <c r="Z5497" s="147"/>
      <c r="AA5497" s="147"/>
      <c r="AB5497" s="110"/>
      <c r="AC5497" s="132"/>
      <c r="AD5497" s="148"/>
      <c r="AE5497" s="148"/>
    </row>
    <row r="5498" customFormat="false" ht="15" hidden="false" customHeight="true" outlineLevel="0" collapsed="false">
      <c r="A5498" s="141"/>
      <c r="B5498" s="131"/>
      <c r="C5498" s="132"/>
      <c r="D5498" s="131"/>
      <c r="E5498" s="110"/>
      <c r="F5498" s="110"/>
      <c r="G5498" s="110"/>
      <c r="H5498" s="131"/>
      <c r="I5498" s="131"/>
      <c r="J5498" s="142"/>
      <c r="K5498" s="142"/>
      <c r="L5498" s="140"/>
      <c r="M5498" s="131"/>
      <c r="N5498" s="131"/>
      <c r="O5498" s="131"/>
      <c r="P5498" s="143"/>
      <c r="Q5498" s="66"/>
      <c r="R5498" s="131"/>
      <c r="S5498" s="144"/>
      <c r="T5498" s="131"/>
      <c r="U5498" s="131"/>
      <c r="V5498" s="131"/>
      <c r="W5498" s="131"/>
      <c r="X5498" s="145"/>
      <c r="Y5498" s="146"/>
      <c r="Z5498" s="147"/>
      <c r="AA5498" s="147"/>
      <c r="AB5498" s="110"/>
      <c r="AC5498" s="132"/>
      <c r="AD5498" s="148"/>
      <c r="AE5498" s="148"/>
    </row>
    <row r="5499" customFormat="false" ht="15" hidden="false" customHeight="true" outlineLevel="0" collapsed="false">
      <c r="A5499" s="141"/>
      <c r="B5499" s="131"/>
      <c r="C5499" s="132"/>
      <c r="D5499" s="131"/>
      <c r="E5499" s="110"/>
      <c r="F5499" s="110"/>
      <c r="G5499" s="110"/>
      <c r="H5499" s="131"/>
      <c r="I5499" s="131"/>
      <c r="J5499" s="142"/>
      <c r="K5499" s="142"/>
      <c r="L5499" s="140"/>
      <c r="M5499" s="131"/>
      <c r="N5499" s="131"/>
      <c r="O5499" s="131"/>
      <c r="P5499" s="143"/>
      <c r="Q5499" s="66"/>
      <c r="R5499" s="131"/>
      <c r="S5499" s="144"/>
      <c r="T5499" s="131"/>
      <c r="U5499" s="131"/>
      <c r="V5499" s="131"/>
      <c r="W5499" s="131"/>
      <c r="X5499" s="145"/>
      <c r="Y5499" s="146"/>
      <c r="Z5499" s="147"/>
      <c r="AA5499" s="147"/>
      <c r="AB5499" s="110"/>
      <c r="AC5499" s="132"/>
      <c r="AD5499" s="148"/>
      <c r="AE5499" s="148"/>
    </row>
    <row r="5500" customFormat="false" ht="15" hidden="false" customHeight="true" outlineLevel="0" collapsed="false">
      <c r="A5500" s="141"/>
      <c r="B5500" s="131"/>
      <c r="C5500" s="132"/>
      <c r="D5500" s="131"/>
      <c r="E5500" s="110"/>
      <c r="F5500" s="110"/>
      <c r="G5500" s="110"/>
      <c r="H5500" s="131"/>
      <c r="I5500" s="131"/>
      <c r="J5500" s="142"/>
      <c r="K5500" s="142"/>
      <c r="L5500" s="140"/>
      <c r="M5500" s="131"/>
      <c r="N5500" s="131"/>
      <c r="O5500" s="131"/>
      <c r="P5500" s="143"/>
      <c r="Q5500" s="66"/>
      <c r="R5500" s="131"/>
      <c r="S5500" s="144"/>
      <c r="T5500" s="131"/>
      <c r="U5500" s="131"/>
      <c r="V5500" s="131"/>
      <c r="W5500" s="131"/>
      <c r="X5500" s="145"/>
      <c r="Y5500" s="146"/>
      <c r="Z5500" s="147"/>
      <c r="AA5500" s="147"/>
      <c r="AB5500" s="110"/>
      <c r="AC5500" s="132"/>
      <c r="AD5500" s="148"/>
      <c r="AE5500" s="148"/>
    </row>
    <row r="5501" customFormat="false" ht="15" hidden="false" customHeight="true" outlineLevel="0" collapsed="false">
      <c r="A5501" s="141"/>
      <c r="B5501" s="131"/>
      <c r="C5501" s="132"/>
      <c r="D5501" s="131"/>
      <c r="E5501" s="110"/>
      <c r="F5501" s="110"/>
      <c r="G5501" s="110"/>
      <c r="H5501" s="131"/>
      <c r="I5501" s="131"/>
      <c r="J5501" s="142"/>
      <c r="K5501" s="142"/>
      <c r="L5501" s="140"/>
      <c r="M5501" s="131"/>
      <c r="N5501" s="131"/>
      <c r="O5501" s="131"/>
      <c r="P5501" s="143"/>
      <c r="Q5501" s="66"/>
      <c r="R5501" s="131"/>
      <c r="S5501" s="144"/>
      <c r="T5501" s="131"/>
      <c r="U5501" s="131"/>
      <c r="V5501" s="131"/>
      <c r="W5501" s="131"/>
      <c r="X5501" s="145"/>
      <c r="Y5501" s="146"/>
      <c r="Z5501" s="147"/>
      <c r="AA5501" s="147"/>
      <c r="AB5501" s="110"/>
      <c r="AC5501" s="132"/>
      <c r="AD5501" s="148"/>
      <c r="AE5501" s="148"/>
    </row>
    <row r="5502" customFormat="false" ht="15" hidden="false" customHeight="true" outlineLevel="0" collapsed="false">
      <c r="A5502" s="141"/>
      <c r="B5502" s="131"/>
      <c r="C5502" s="132"/>
      <c r="D5502" s="131"/>
      <c r="E5502" s="110"/>
      <c r="F5502" s="110"/>
      <c r="G5502" s="110"/>
      <c r="H5502" s="131"/>
      <c r="I5502" s="131"/>
      <c r="J5502" s="142"/>
      <c r="K5502" s="142"/>
      <c r="L5502" s="140"/>
      <c r="M5502" s="131"/>
      <c r="N5502" s="131"/>
      <c r="O5502" s="131"/>
      <c r="P5502" s="143"/>
      <c r="Q5502" s="66"/>
      <c r="R5502" s="131"/>
      <c r="S5502" s="144"/>
      <c r="T5502" s="131"/>
      <c r="U5502" s="131"/>
      <c r="V5502" s="131"/>
      <c r="W5502" s="131"/>
      <c r="X5502" s="145"/>
      <c r="Y5502" s="146"/>
      <c r="Z5502" s="147"/>
      <c r="AA5502" s="147"/>
      <c r="AB5502" s="110"/>
      <c r="AC5502" s="132"/>
      <c r="AD5502" s="148"/>
      <c r="AE5502" s="148"/>
    </row>
    <row r="5503" customFormat="false" ht="15" hidden="false" customHeight="true" outlineLevel="0" collapsed="false">
      <c r="A5503" s="141"/>
      <c r="B5503" s="131"/>
      <c r="C5503" s="132"/>
      <c r="D5503" s="131"/>
      <c r="E5503" s="110"/>
      <c r="F5503" s="110"/>
      <c r="G5503" s="110"/>
      <c r="H5503" s="131"/>
      <c r="I5503" s="131"/>
      <c r="J5503" s="142"/>
      <c r="K5503" s="142"/>
      <c r="L5503" s="140"/>
      <c r="M5503" s="131"/>
      <c r="N5503" s="131"/>
      <c r="O5503" s="131"/>
      <c r="P5503" s="143"/>
      <c r="Q5503" s="66"/>
      <c r="R5503" s="131"/>
      <c r="S5503" s="144"/>
      <c r="T5503" s="131"/>
      <c r="U5503" s="131"/>
      <c r="V5503" s="131"/>
      <c r="W5503" s="131"/>
      <c r="X5503" s="145"/>
      <c r="Y5503" s="146"/>
      <c r="Z5503" s="147"/>
      <c r="AA5503" s="147"/>
      <c r="AB5503" s="110"/>
      <c r="AC5503" s="132"/>
      <c r="AD5503" s="148"/>
      <c r="AE5503" s="148"/>
    </row>
    <row r="5504" customFormat="false" ht="15" hidden="false" customHeight="true" outlineLevel="0" collapsed="false">
      <c r="A5504" s="141"/>
      <c r="B5504" s="131"/>
      <c r="C5504" s="132"/>
      <c r="D5504" s="131"/>
      <c r="E5504" s="110"/>
      <c r="F5504" s="110"/>
      <c r="G5504" s="110"/>
      <c r="H5504" s="131"/>
      <c r="I5504" s="131"/>
      <c r="J5504" s="142"/>
      <c r="K5504" s="142"/>
      <c r="L5504" s="140"/>
      <c r="M5504" s="131"/>
      <c r="N5504" s="131"/>
      <c r="O5504" s="131"/>
      <c r="P5504" s="143"/>
      <c r="Q5504" s="66"/>
      <c r="R5504" s="131"/>
      <c r="S5504" s="144"/>
      <c r="T5504" s="131"/>
      <c r="U5504" s="131"/>
      <c r="V5504" s="131"/>
      <c r="W5504" s="131"/>
      <c r="X5504" s="145"/>
      <c r="Y5504" s="146"/>
      <c r="Z5504" s="147"/>
      <c r="AA5504" s="147"/>
      <c r="AB5504" s="110"/>
      <c r="AC5504" s="132"/>
      <c r="AD5504" s="148"/>
      <c r="AE5504" s="148"/>
    </row>
    <row r="5505" customFormat="false" ht="15" hidden="false" customHeight="true" outlineLevel="0" collapsed="false">
      <c r="A5505" s="141"/>
      <c r="B5505" s="131"/>
      <c r="C5505" s="132"/>
      <c r="D5505" s="131"/>
      <c r="E5505" s="110"/>
      <c r="F5505" s="110"/>
      <c r="G5505" s="110"/>
      <c r="H5505" s="131"/>
      <c r="I5505" s="131"/>
      <c r="J5505" s="142"/>
      <c r="K5505" s="142"/>
      <c r="L5505" s="140"/>
      <c r="M5505" s="131"/>
      <c r="N5505" s="131"/>
      <c r="O5505" s="131"/>
      <c r="P5505" s="143"/>
      <c r="Q5505" s="66"/>
      <c r="R5505" s="131"/>
      <c r="S5505" s="144"/>
      <c r="T5505" s="131"/>
      <c r="U5505" s="131"/>
      <c r="V5505" s="131"/>
      <c r="W5505" s="131"/>
      <c r="X5505" s="145"/>
      <c r="Y5505" s="146"/>
      <c r="Z5505" s="147"/>
      <c r="AA5505" s="147"/>
      <c r="AB5505" s="110"/>
      <c r="AC5505" s="132"/>
      <c r="AD5505" s="148"/>
      <c r="AE5505" s="148"/>
    </row>
    <row r="5506" customFormat="false" ht="15" hidden="false" customHeight="true" outlineLevel="0" collapsed="false">
      <c r="A5506" s="141"/>
      <c r="B5506" s="131"/>
      <c r="C5506" s="132"/>
      <c r="D5506" s="131"/>
      <c r="E5506" s="110"/>
      <c r="F5506" s="110"/>
      <c r="G5506" s="110"/>
      <c r="H5506" s="131"/>
      <c r="I5506" s="131"/>
      <c r="J5506" s="142"/>
      <c r="K5506" s="142"/>
      <c r="L5506" s="140"/>
      <c r="M5506" s="131"/>
      <c r="N5506" s="131"/>
      <c r="O5506" s="131"/>
      <c r="P5506" s="143"/>
      <c r="Q5506" s="66"/>
      <c r="R5506" s="131"/>
      <c r="S5506" s="144"/>
      <c r="T5506" s="131"/>
      <c r="U5506" s="131"/>
      <c r="V5506" s="131"/>
      <c r="W5506" s="131"/>
      <c r="X5506" s="145"/>
      <c r="Y5506" s="146"/>
      <c r="Z5506" s="147"/>
      <c r="AA5506" s="147"/>
      <c r="AB5506" s="110"/>
      <c r="AC5506" s="132"/>
      <c r="AD5506" s="148"/>
      <c r="AE5506" s="148"/>
    </row>
    <row r="5507" customFormat="false" ht="15" hidden="false" customHeight="true" outlineLevel="0" collapsed="false">
      <c r="A5507" s="141"/>
      <c r="B5507" s="131"/>
      <c r="C5507" s="132"/>
      <c r="D5507" s="131"/>
      <c r="E5507" s="110"/>
      <c r="F5507" s="110"/>
      <c r="G5507" s="110"/>
      <c r="H5507" s="131"/>
      <c r="I5507" s="131"/>
      <c r="J5507" s="142"/>
      <c r="K5507" s="142"/>
      <c r="L5507" s="140"/>
      <c r="M5507" s="131"/>
      <c r="N5507" s="131"/>
      <c r="O5507" s="131"/>
      <c r="P5507" s="143"/>
      <c r="Q5507" s="66"/>
      <c r="R5507" s="131"/>
      <c r="S5507" s="144"/>
      <c r="T5507" s="131"/>
      <c r="U5507" s="131"/>
      <c r="V5507" s="131"/>
      <c r="W5507" s="131"/>
      <c r="X5507" s="145"/>
      <c r="Y5507" s="146"/>
      <c r="Z5507" s="147"/>
      <c r="AA5507" s="147"/>
      <c r="AB5507" s="110"/>
      <c r="AC5507" s="132"/>
      <c r="AD5507" s="148"/>
      <c r="AE5507" s="148"/>
    </row>
    <row r="5508" customFormat="false" ht="15" hidden="false" customHeight="true" outlineLevel="0" collapsed="false">
      <c r="A5508" s="141"/>
      <c r="B5508" s="131"/>
      <c r="C5508" s="132"/>
      <c r="D5508" s="131"/>
      <c r="E5508" s="110"/>
      <c r="F5508" s="110"/>
      <c r="G5508" s="110"/>
      <c r="H5508" s="131"/>
      <c r="I5508" s="131"/>
      <c r="J5508" s="142"/>
      <c r="K5508" s="142"/>
      <c r="L5508" s="140"/>
      <c r="M5508" s="131"/>
      <c r="N5508" s="131"/>
      <c r="O5508" s="131"/>
      <c r="P5508" s="143"/>
      <c r="Q5508" s="66"/>
      <c r="R5508" s="131"/>
      <c r="S5508" s="144"/>
      <c r="T5508" s="131"/>
      <c r="U5508" s="131"/>
      <c r="V5508" s="131"/>
      <c r="W5508" s="131"/>
      <c r="X5508" s="145"/>
      <c r="Y5508" s="146"/>
      <c r="Z5508" s="147"/>
      <c r="AA5508" s="147"/>
      <c r="AB5508" s="110"/>
      <c r="AC5508" s="132"/>
      <c r="AD5508" s="148"/>
      <c r="AE5508" s="148"/>
    </row>
    <row r="5509" customFormat="false" ht="15" hidden="false" customHeight="true" outlineLevel="0" collapsed="false">
      <c r="A5509" s="141"/>
      <c r="B5509" s="131"/>
      <c r="C5509" s="132"/>
      <c r="D5509" s="131"/>
      <c r="E5509" s="110"/>
      <c r="F5509" s="110"/>
      <c r="G5509" s="110"/>
      <c r="H5509" s="131"/>
      <c r="I5509" s="131"/>
      <c r="J5509" s="142"/>
      <c r="K5509" s="142"/>
      <c r="L5509" s="140"/>
      <c r="M5509" s="131"/>
      <c r="N5509" s="131"/>
      <c r="O5509" s="131"/>
      <c r="P5509" s="143"/>
      <c r="Q5509" s="66"/>
      <c r="R5509" s="131"/>
      <c r="S5509" s="144"/>
      <c r="T5509" s="131"/>
      <c r="U5509" s="131"/>
      <c r="V5509" s="131"/>
      <c r="W5509" s="131"/>
      <c r="X5509" s="145"/>
      <c r="Y5509" s="146"/>
      <c r="Z5509" s="147"/>
      <c r="AA5509" s="147"/>
      <c r="AB5509" s="110"/>
      <c r="AC5509" s="132"/>
      <c r="AD5509" s="148"/>
      <c r="AE5509" s="148"/>
    </row>
    <row r="5510" customFormat="false" ht="15" hidden="false" customHeight="true" outlineLevel="0" collapsed="false">
      <c r="A5510" s="141"/>
      <c r="B5510" s="131"/>
      <c r="C5510" s="132"/>
      <c r="D5510" s="131"/>
      <c r="E5510" s="110"/>
      <c r="F5510" s="110"/>
      <c r="G5510" s="110"/>
      <c r="H5510" s="131"/>
      <c r="I5510" s="131"/>
      <c r="J5510" s="142"/>
      <c r="K5510" s="142"/>
      <c r="L5510" s="140"/>
      <c r="M5510" s="131"/>
      <c r="N5510" s="131"/>
      <c r="O5510" s="131"/>
      <c r="P5510" s="143"/>
      <c r="Q5510" s="66"/>
      <c r="R5510" s="131"/>
      <c r="S5510" s="144"/>
      <c r="T5510" s="131"/>
      <c r="U5510" s="131"/>
      <c r="V5510" s="131"/>
      <c r="W5510" s="131"/>
      <c r="X5510" s="145"/>
      <c r="Y5510" s="146"/>
      <c r="Z5510" s="147"/>
      <c r="AA5510" s="147"/>
      <c r="AB5510" s="110"/>
      <c r="AC5510" s="132"/>
      <c r="AD5510" s="148"/>
      <c r="AE5510" s="148"/>
    </row>
    <row r="5511" customFormat="false" ht="15" hidden="false" customHeight="true" outlineLevel="0" collapsed="false">
      <c r="A5511" s="141"/>
      <c r="B5511" s="131"/>
      <c r="C5511" s="132"/>
      <c r="D5511" s="131"/>
      <c r="E5511" s="110"/>
      <c r="F5511" s="110"/>
      <c r="G5511" s="110"/>
      <c r="H5511" s="131"/>
      <c r="I5511" s="131"/>
      <c r="J5511" s="142"/>
      <c r="K5511" s="142"/>
      <c r="L5511" s="140"/>
      <c r="M5511" s="131"/>
      <c r="N5511" s="131"/>
      <c r="O5511" s="131"/>
      <c r="P5511" s="143"/>
      <c r="Q5511" s="66"/>
      <c r="R5511" s="131"/>
      <c r="S5511" s="144"/>
      <c r="T5511" s="131"/>
      <c r="U5511" s="131"/>
      <c r="V5511" s="131"/>
      <c r="W5511" s="131"/>
      <c r="X5511" s="145"/>
      <c r="Y5511" s="146"/>
      <c r="Z5511" s="147"/>
      <c r="AA5511" s="147"/>
      <c r="AB5511" s="110"/>
      <c r="AC5511" s="132"/>
      <c r="AD5511" s="148"/>
      <c r="AE5511" s="148"/>
    </row>
    <row r="5512" customFormat="false" ht="15" hidden="false" customHeight="true" outlineLevel="0" collapsed="false">
      <c r="A5512" s="141"/>
      <c r="B5512" s="131"/>
      <c r="C5512" s="132"/>
      <c r="D5512" s="131"/>
      <c r="E5512" s="110"/>
      <c r="F5512" s="110"/>
      <c r="G5512" s="110"/>
      <c r="H5512" s="131"/>
      <c r="I5512" s="131"/>
      <c r="J5512" s="142"/>
      <c r="K5512" s="142"/>
      <c r="L5512" s="140"/>
      <c r="M5512" s="131"/>
      <c r="N5512" s="131"/>
      <c r="O5512" s="131"/>
      <c r="P5512" s="143"/>
      <c r="Q5512" s="66"/>
      <c r="R5512" s="131"/>
      <c r="S5512" s="144"/>
      <c r="T5512" s="131"/>
      <c r="U5512" s="131"/>
      <c r="V5512" s="131"/>
      <c r="W5512" s="131"/>
      <c r="X5512" s="145"/>
      <c r="Y5512" s="146"/>
      <c r="Z5512" s="147"/>
      <c r="AA5512" s="147"/>
      <c r="AB5512" s="110"/>
      <c r="AC5512" s="132"/>
      <c r="AD5512" s="148"/>
      <c r="AE5512" s="148"/>
    </row>
    <row r="5513" customFormat="false" ht="15" hidden="false" customHeight="true" outlineLevel="0" collapsed="false">
      <c r="A5513" s="141"/>
      <c r="B5513" s="131"/>
      <c r="C5513" s="132"/>
      <c r="D5513" s="131"/>
      <c r="E5513" s="110"/>
      <c r="F5513" s="110"/>
      <c r="G5513" s="110"/>
      <c r="H5513" s="131"/>
      <c r="I5513" s="131"/>
      <c r="J5513" s="142"/>
      <c r="K5513" s="142"/>
      <c r="L5513" s="140"/>
      <c r="M5513" s="131"/>
      <c r="N5513" s="131"/>
      <c r="O5513" s="131"/>
      <c r="P5513" s="143"/>
      <c r="Q5513" s="66"/>
      <c r="R5513" s="131"/>
      <c r="S5513" s="144"/>
      <c r="T5513" s="131"/>
      <c r="U5513" s="131"/>
      <c r="V5513" s="131"/>
      <c r="W5513" s="131"/>
      <c r="X5513" s="145"/>
      <c r="Y5513" s="146"/>
      <c r="Z5513" s="147"/>
      <c r="AA5513" s="147"/>
      <c r="AB5513" s="110"/>
      <c r="AC5513" s="132"/>
      <c r="AD5513" s="148"/>
      <c r="AE5513" s="148"/>
    </row>
    <row r="5514" customFormat="false" ht="15" hidden="false" customHeight="true" outlineLevel="0" collapsed="false">
      <c r="A5514" s="141"/>
      <c r="B5514" s="131"/>
      <c r="C5514" s="132"/>
      <c r="D5514" s="131"/>
      <c r="E5514" s="110"/>
      <c r="F5514" s="110"/>
      <c r="G5514" s="110"/>
      <c r="H5514" s="131"/>
      <c r="I5514" s="131"/>
      <c r="J5514" s="142"/>
      <c r="K5514" s="142"/>
      <c r="L5514" s="140"/>
      <c r="M5514" s="131"/>
      <c r="N5514" s="131"/>
      <c r="O5514" s="131"/>
      <c r="P5514" s="143"/>
      <c r="Q5514" s="66"/>
      <c r="R5514" s="131"/>
      <c r="S5514" s="144"/>
      <c r="T5514" s="131"/>
      <c r="U5514" s="131"/>
      <c r="V5514" s="131"/>
      <c r="W5514" s="131"/>
      <c r="X5514" s="145"/>
      <c r="Y5514" s="146"/>
      <c r="Z5514" s="147"/>
      <c r="AA5514" s="147"/>
      <c r="AB5514" s="110"/>
      <c r="AC5514" s="132"/>
      <c r="AD5514" s="148"/>
      <c r="AE5514" s="148"/>
    </row>
    <row r="5515" customFormat="false" ht="15" hidden="false" customHeight="true" outlineLevel="0" collapsed="false">
      <c r="A5515" s="141"/>
      <c r="B5515" s="131"/>
      <c r="C5515" s="132"/>
      <c r="D5515" s="131"/>
      <c r="E5515" s="110"/>
      <c r="F5515" s="110"/>
      <c r="G5515" s="110"/>
      <c r="H5515" s="131"/>
      <c r="I5515" s="131"/>
      <c r="J5515" s="142"/>
      <c r="K5515" s="142"/>
      <c r="L5515" s="140"/>
      <c r="M5515" s="131"/>
      <c r="N5515" s="131"/>
      <c r="O5515" s="131"/>
      <c r="P5515" s="143"/>
      <c r="Q5515" s="66"/>
      <c r="R5515" s="131"/>
      <c r="S5515" s="144"/>
      <c r="T5515" s="131"/>
      <c r="U5515" s="131"/>
      <c r="V5515" s="131"/>
      <c r="W5515" s="131"/>
      <c r="X5515" s="145"/>
      <c r="Y5515" s="146"/>
      <c r="Z5515" s="147"/>
      <c r="AA5515" s="147"/>
      <c r="AB5515" s="110"/>
      <c r="AC5515" s="132"/>
      <c r="AD5515" s="148"/>
      <c r="AE5515" s="148"/>
    </row>
    <row r="5516" customFormat="false" ht="15" hidden="false" customHeight="true" outlineLevel="0" collapsed="false">
      <c r="A5516" s="141"/>
      <c r="B5516" s="131"/>
      <c r="C5516" s="132"/>
      <c r="D5516" s="131"/>
      <c r="E5516" s="110"/>
      <c r="F5516" s="110"/>
      <c r="G5516" s="110"/>
      <c r="H5516" s="131"/>
      <c r="I5516" s="131"/>
      <c r="J5516" s="142"/>
      <c r="K5516" s="142"/>
      <c r="L5516" s="140"/>
      <c r="M5516" s="131"/>
      <c r="N5516" s="131"/>
      <c r="O5516" s="131"/>
      <c r="P5516" s="143"/>
      <c r="Q5516" s="66"/>
      <c r="R5516" s="131"/>
      <c r="S5516" s="144"/>
      <c r="T5516" s="131"/>
      <c r="U5516" s="131"/>
      <c r="V5516" s="131"/>
      <c r="W5516" s="131"/>
      <c r="X5516" s="145"/>
      <c r="Y5516" s="146"/>
      <c r="Z5516" s="147"/>
      <c r="AA5516" s="147"/>
      <c r="AB5516" s="110"/>
      <c r="AC5516" s="132"/>
      <c r="AD5516" s="148"/>
      <c r="AE5516" s="148"/>
    </row>
    <row r="5517" customFormat="false" ht="15" hidden="false" customHeight="true" outlineLevel="0" collapsed="false">
      <c r="A5517" s="141"/>
      <c r="B5517" s="131"/>
      <c r="C5517" s="132"/>
      <c r="D5517" s="131"/>
      <c r="E5517" s="110"/>
      <c r="F5517" s="110"/>
      <c r="G5517" s="110"/>
      <c r="H5517" s="131"/>
      <c r="I5517" s="131"/>
      <c r="J5517" s="142"/>
      <c r="K5517" s="142"/>
      <c r="L5517" s="140"/>
      <c r="M5517" s="131"/>
      <c r="N5517" s="131"/>
      <c r="O5517" s="131"/>
      <c r="P5517" s="143"/>
      <c r="Q5517" s="66"/>
      <c r="R5517" s="131"/>
      <c r="S5517" s="144"/>
      <c r="T5517" s="131"/>
      <c r="U5517" s="131"/>
      <c r="V5517" s="131"/>
      <c r="W5517" s="131"/>
      <c r="X5517" s="145"/>
      <c r="Y5517" s="146"/>
      <c r="Z5517" s="147"/>
      <c r="AA5517" s="147"/>
      <c r="AB5517" s="110"/>
      <c r="AC5517" s="132"/>
      <c r="AD5517" s="148"/>
      <c r="AE5517" s="148"/>
    </row>
    <row r="5518" customFormat="false" ht="15" hidden="false" customHeight="true" outlineLevel="0" collapsed="false">
      <c r="A5518" s="141"/>
      <c r="B5518" s="131"/>
      <c r="C5518" s="132"/>
      <c r="D5518" s="131"/>
      <c r="E5518" s="110"/>
      <c r="F5518" s="110"/>
      <c r="G5518" s="110"/>
      <c r="H5518" s="131"/>
      <c r="I5518" s="131"/>
      <c r="J5518" s="142"/>
      <c r="K5518" s="142"/>
      <c r="L5518" s="140"/>
      <c r="M5518" s="131"/>
      <c r="N5518" s="131"/>
      <c r="O5518" s="131"/>
      <c r="P5518" s="143"/>
      <c r="Q5518" s="66"/>
      <c r="R5518" s="131"/>
      <c r="S5518" s="144"/>
      <c r="T5518" s="131"/>
      <c r="U5518" s="131"/>
      <c r="V5518" s="131"/>
      <c r="W5518" s="131"/>
      <c r="X5518" s="145"/>
      <c r="Y5518" s="146"/>
      <c r="Z5518" s="147"/>
      <c r="AA5518" s="147"/>
      <c r="AB5518" s="110"/>
      <c r="AC5518" s="132"/>
      <c r="AD5518" s="148"/>
      <c r="AE5518" s="148"/>
    </row>
    <row r="5519" customFormat="false" ht="15" hidden="false" customHeight="true" outlineLevel="0" collapsed="false">
      <c r="A5519" s="141"/>
      <c r="B5519" s="131"/>
      <c r="C5519" s="132"/>
      <c r="D5519" s="131"/>
      <c r="E5519" s="110"/>
      <c r="F5519" s="110"/>
      <c r="G5519" s="110"/>
      <c r="H5519" s="131"/>
      <c r="I5519" s="131"/>
      <c r="J5519" s="142"/>
      <c r="K5519" s="142"/>
      <c r="L5519" s="140"/>
      <c r="M5519" s="131"/>
      <c r="N5519" s="131"/>
      <c r="O5519" s="131"/>
      <c r="P5519" s="143"/>
      <c r="Q5519" s="66"/>
      <c r="R5519" s="131"/>
      <c r="S5519" s="144"/>
      <c r="T5519" s="131"/>
      <c r="U5519" s="131"/>
      <c r="V5519" s="131"/>
      <c r="W5519" s="131"/>
      <c r="X5519" s="145"/>
      <c r="Y5519" s="146"/>
      <c r="Z5519" s="147"/>
      <c r="AA5519" s="147"/>
      <c r="AB5519" s="110"/>
      <c r="AC5519" s="132"/>
      <c r="AD5519" s="148"/>
      <c r="AE5519" s="148"/>
    </row>
    <row r="5520" customFormat="false" ht="15" hidden="false" customHeight="true" outlineLevel="0" collapsed="false">
      <c r="A5520" s="141"/>
      <c r="B5520" s="131"/>
      <c r="C5520" s="132"/>
      <c r="D5520" s="131"/>
      <c r="E5520" s="110"/>
      <c r="F5520" s="110"/>
      <c r="G5520" s="110"/>
      <c r="H5520" s="131"/>
      <c r="I5520" s="131"/>
      <c r="J5520" s="142"/>
      <c r="K5520" s="142"/>
      <c r="L5520" s="140"/>
      <c r="M5520" s="131"/>
      <c r="N5520" s="131"/>
      <c r="O5520" s="131"/>
      <c r="P5520" s="143"/>
      <c r="Q5520" s="66"/>
      <c r="R5520" s="131"/>
      <c r="S5520" s="144"/>
      <c r="T5520" s="131"/>
      <c r="U5520" s="131"/>
      <c r="V5520" s="131"/>
      <c r="W5520" s="131"/>
      <c r="X5520" s="145"/>
      <c r="Y5520" s="146"/>
      <c r="Z5520" s="147"/>
      <c r="AA5520" s="147"/>
      <c r="AB5520" s="110"/>
      <c r="AC5520" s="132"/>
      <c r="AD5520" s="148"/>
      <c r="AE5520" s="148"/>
    </row>
    <row r="5521" customFormat="false" ht="15" hidden="false" customHeight="true" outlineLevel="0" collapsed="false">
      <c r="A5521" s="141"/>
      <c r="B5521" s="131"/>
      <c r="C5521" s="132"/>
      <c r="D5521" s="131"/>
      <c r="E5521" s="110"/>
      <c r="F5521" s="110"/>
      <c r="G5521" s="110"/>
      <c r="H5521" s="131"/>
      <c r="I5521" s="131"/>
      <c r="J5521" s="142"/>
      <c r="K5521" s="142"/>
      <c r="L5521" s="140"/>
      <c r="M5521" s="131"/>
      <c r="N5521" s="131"/>
      <c r="O5521" s="131"/>
      <c r="P5521" s="143"/>
      <c r="Q5521" s="66"/>
      <c r="R5521" s="131"/>
      <c r="S5521" s="144"/>
      <c r="T5521" s="131"/>
      <c r="U5521" s="131"/>
      <c r="V5521" s="131"/>
      <c r="W5521" s="131"/>
      <c r="X5521" s="145"/>
      <c r="Y5521" s="146"/>
      <c r="Z5521" s="147"/>
      <c r="AA5521" s="147"/>
      <c r="AB5521" s="110"/>
      <c r="AC5521" s="132"/>
      <c r="AD5521" s="148"/>
      <c r="AE5521" s="148"/>
    </row>
    <row r="5522" customFormat="false" ht="15" hidden="false" customHeight="true" outlineLevel="0" collapsed="false">
      <c r="A5522" s="141"/>
      <c r="B5522" s="131"/>
      <c r="C5522" s="132"/>
      <c r="D5522" s="131"/>
      <c r="E5522" s="110"/>
      <c r="F5522" s="110"/>
      <c r="G5522" s="110"/>
      <c r="H5522" s="131"/>
      <c r="I5522" s="131"/>
      <c r="J5522" s="142"/>
      <c r="K5522" s="142"/>
      <c r="L5522" s="140"/>
      <c r="M5522" s="131"/>
      <c r="N5522" s="131"/>
      <c r="O5522" s="131"/>
      <c r="P5522" s="143"/>
      <c r="Q5522" s="66"/>
      <c r="R5522" s="131"/>
      <c r="S5522" s="144"/>
      <c r="T5522" s="131"/>
      <c r="U5522" s="131"/>
      <c r="V5522" s="131"/>
      <c r="W5522" s="131"/>
      <c r="X5522" s="145"/>
      <c r="Y5522" s="146"/>
      <c r="Z5522" s="147"/>
      <c r="AA5522" s="147"/>
      <c r="AB5522" s="110"/>
      <c r="AC5522" s="132"/>
      <c r="AD5522" s="148"/>
      <c r="AE5522" s="148"/>
    </row>
    <row r="5523" customFormat="false" ht="15" hidden="false" customHeight="true" outlineLevel="0" collapsed="false">
      <c r="A5523" s="141"/>
      <c r="B5523" s="131"/>
      <c r="C5523" s="132"/>
      <c r="D5523" s="131"/>
      <c r="E5523" s="110"/>
      <c r="F5523" s="110"/>
      <c r="G5523" s="110"/>
      <c r="H5523" s="131"/>
      <c r="I5523" s="131"/>
      <c r="J5523" s="142"/>
      <c r="K5523" s="142"/>
      <c r="L5523" s="140"/>
      <c r="M5523" s="131"/>
      <c r="N5523" s="131"/>
      <c r="O5523" s="131"/>
      <c r="P5523" s="143"/>
      <c r="Q5523" s="66"/>
      <c r="R5523" s="131"/>
      <c r="S5523" s="144"/>
      <c r="T5523" s="131"/>
      <c r="U5523" s="131"/>
      <c r="V5523" s="131"/>
      <c r="W5523" s="131"/>
      <c r="X5523" s="145"/>
      <c r="Y5523" s="146"/>
      <c r="Z5523" s="147"/>
      <c r="AA5523" s="147"/>
      <c r="AB5523" s="110"/>
      <c r="AC5523" s="132"/>
      <c r="AD5523" s="148"/>
      <c r="AE5523" s="148"/>
    </row>
    <row r="5524" customFormat="false" ht="15" hidden="false" customHeight="true" outlineLevel="0" collapsed="false">
      <c r="A5524" s="141"/>
      <c r="B5524" s="131"/>
      <c r="C5524" s="132"/>
      <c r="D5524" s="131"/>
      <c r="E5524" s="110"/>
      <c r="F5524" s="110"/>
      <c r="G5524" s="110"/>
      <c r="H5524" s="131"/>
      <c r="I5524" s="131"/>
      <c r="J5524" s="142"/>
      <c r="K5524" s="142"/>
      <c r="L5524" s="140"/>
      <c r="M5524" s="131"/>
      <c r="N5524" s="131"/>
      <c r="O5524" s="131"/>
      <c r="P5524" s="143"/>
      <c r="Q5524" s="66"/>
      <c r="R5524" s="131"/>
      <c r="S5524" s="144"/>
      <c r="T5524" s="131"/>
      <c r="U5524" s="131"/>
      <c r="V5524" s="131"/>
      <c r="W5524" s="131"/>
      <c r="X5524" s="145"/>
      <c r="Y5524" s="146"/>
      <c r="Z5524" s="147"/>
      <c r="AA5524" s="147"/>
      <c r="AB5524" s="110"/>
      <c r="AC5524" s="132"/>
      <c r="AD5524" s="148"/>
      <c r="AE5524" s="148"/>
    </row>
    <row r="5525" customFormat="false" ht="15" hidden="false" customHeight="true" outlineLevel="0" collapsed="false">
      <c r="A5525" s="141"/>
      <c r="B5525" s="131"/>
      <c r="C5525" s="132"/>
      <c r="D5525" s="131"/>
      <c r="E5525" s="110"/>
      <c r="F5525" s="110"/>
      <c r="G5525" s="110"/>
      <c r="H5525" s="131"/>
      <c r="I5525" s="131"/>
      <c r="J5525" s="142"/>
      <c r="K5525" s="142"/>
      <c r="L5525" s="140"/>
      <c r="M5525" s="131"/>
      <c r="N5525" s="131"/>
      <c r="O5525" s="131"/>
      <c r="P5525" s="143"/>
      <c r="Q5525" s="66"/>
      <c r="R5525" s="131"/>
      <c r="S5525" s="144"/>
      <c r="T5525" s="131"/>
      <c r="U5525" s="131"/>
      <c r="V5525" s="131"/>
      <c r="W5525" s="131"/>
      <c r="X5525" s="145"/>
      <c r="Y5525" s="146"/>
      <c r="Z5525" s="147"/>
      <c r="AA5525" s="147"/>
      <c r="AB5525" s="110"/>
      <c r="AC5525" s="132"/>
      <c r="AD5525" s="148"/>
      <c r="AE5525" s="148"/>
    </row>
    <row r="5526" customFormat="false" ht="15" hidden="false" customHeight="true" outlineLevel="0" collapsed="false">
      <c r="A5526" s="141"/>
      <c r="B5526" s="131"/>
      <c r="C5526" s="132"/>
      <c r="D5526" s="131"/>
      <c r="E5526" s="110"/>
      <c r="F5526" s="110"/>
      <c r="G5526" s="110"/>
      <c r="H5526" s="131"/>
      <c r="I5526" s="131"/>
      <c r="J5526" s="142"/>
      <c r="K5526" s="142"/>
      <c r="L5526" s="140"/>
      <c r="M5526" s="131"/>
      <c r="N5526" s="131"/>
      <c r="O5526" s="131"/>
      <c r="P5526" s="143"/>
      <c r="Q5526" s="66"/>
      <c r="R5526" s="131"/>
      <c r="S5526" s="144"/>
      <c r="T5526" s="131"/>
      <c r="U5526" s="131"/>
      <c r="V5526" s="131"/>
      <c r="W5526" s="131"/>
      <c r="X5526" s="145"/>
      <c r="Y5526" s="146"/>
      <c r="Z5526" s="147"/>
      <c r="AA5526" s="147"/>
      <c r="AB5526" s="110"/>
      <c r="AC5526" s="132"/>
      <c r="AD5526" s="148"/>
      <c r="AE5526" s="148"/>
    </row>
    <row r="5527" customFormat="false" ht="15" hidden="false" customHeight="true" outlineLevel="0" collapsed="false">
      <c r="A5527" s="141"/>
      <c r="B5527" s="131"/>
      <c r="C5527" s="132"/>
      <c r="D5527" s="131"/>
      <c r="E5527" s="110"/>
      <c r="F5527" s="110"/>
      <c r="G5527" s="110"/>
      <c r="H5527" s="131"/>
      <c r="I5527" s="131"/>
      <c r="J5527" s="142"/>
      <c r="K5527" s="142"/>
      <c r="L5527" s="140"/>
      <c r="M5527" s="131"/>
      <c r="N5527" s="131"/>
      <c r="O5527" s="131"/>
      <c r="P5527" s="143"/>
      <c r="Q5527" s="66"/>
      <c r="R5527" s="131"/>
      <c r="S5527" s="144"/>
      <c r="T5527" s="131"/>
      <c r="U5527" s="131"/>
      <c r="V5527" s="131"/>
      <c r="W5527" s="131"/>
      <c r="X5527" s="145"/>
      <c r="Y5527" s="146"/>
      <c r="Z5527" s="147"/>
      <c r="AA5527" s="147"/>
      <c r="AB5527" s="110"/>
      <c r="AC5527" s="132"/>
      <c r="AD5527" s="148"/>
      <c r="AE5527" s="148"/>
    </row>
    <row r="5528" customFormat="false" ht="15" hidden="false" customHeight="true" outlineLevel="0" collapsed="false">
      <c r="A5528" s="141"/>
      <c r="B5528" s="131"/>
      <c r="C5528" s="132"/>
      <c r="D5528" s="131"/>
      <c r="E5528" s="110"/>
      <c r="F5528" s="110"/>
      <c r="G5528" s="110"/>
      <c r="H5528" s="131"/>
      <c r="I5528" s="131"/>
      <c r="J5528" s="142"/>
      <c r="K5528" s="142"/>
      <c r="L5528" s="140"/>
      <c r="M5528" s="131"/>
      <c r="N5528" s="131"/>
      <c r="O5528" s="131"/>
      <c r="P5528" s="143"/>
      <c r="Q5528" s="66"/>
      <c r="R5528" s="131"/>
      <c r="S5528" s="144"/>
      <c r="T5528" s="131"/>
      <c r="U5528" s="131"/>
      <c r="V5528" s="131"/>
      <c r="W5528" s="131"/>
      <c r="X5528" s="145"/>
      <c r="Y5528" s="146"/>
      <c r="Z5528" s="147"/>
      <c r="AA5528" s="147"/>
      <c r="AB5528" s="110"/>
      <c r="AC5528" s="132"/>
      <c r="AD5528" s="148"/>
      <c r="AE5528" s="148"/>
    </row>
    <row r="5529" customFormat="false" ht="15" hidden="false" customHeight="true" outlineLevel="0" collapsed="false">
      <c r="A5529" s="141"/>
      <c r="B5529" s="131"/>
      <c r="C5529" s="132"/>
      <c r="D5529" s="131"/>
      <c r="E5529" s="110"/>
      <c r="F5529" s="110"/>
      <c r="G5529" s="110"/>
      <c r="H5529" s="131"/>
      <c r="I5529" s="131"/>
      <c r="J5529" s="142"/>
      <c r="K5529" s="142"/>
      <c r="L5529" s="140"/>
      <c r="M5529" s="131"/>
      <c r="N5529" s="131"/>
      <c r="O5529" s="131"/>
      <c r="P5529" s="143"/>
      <c r="Q5529" s="66"/>
      <c r="R5529" s="131"/>
      <c r="S5529" s="144"/>
      <c r="T5529" s="131"/>
      <c r="U5529" s="131"/>
      <c r="V5529" s="131"/>
      <c r="W5529" s="131"/>
      <c r="X5529" s="145"/>
      <c r="Y5529" s="146"/>
      <c r="Z5529" s="147"/>
      <c r="AA5529" s="147"/>
      <c r="AB5529" s="110"/>
      <c r="AC5529" s="132"/>
      <c r="AD5529" s="148"/>
      <c r="AE5529" s="148"/>
    </row>
    <row r="5530" customFormat="false" ht="15" hidden="false" customHeight="true" outlineLevel="0" collapsed="false">
      <c r="A5530" s="141"/>
      <c r="B5530" s="131"/>
      <c r="C5530" s="132"/>
      <c r="D5530" s="131"/>
      <c r="E5530" s="110"/>
      <c r="F5530" s="110"/>
      <c r="G5530" s="110"/>
      <c r="H5530" s="131"/>
      <c r="I5530" s="131"/>
      <c r="J5530" s="142"/>
      <c r="K5530" s="142"/>
      <c r="L5530" s="140"/>
      <c r="M5530" s="131"/>
      <c r="N5530" s="131"/>
      <c r="O5530" s="131"/>
      <c r="P5530" s="143"/>
      <c r="Q5530" s="66"/>
      <c r="R5530" s="131"/>
      <c r="S5530" s="144"/>
      <c r="T5530" s="131"/>
      <c r="U5530" s="131"/>
      <c r="V5530" s="131"/>
      <c r="W5530" s="131"/>
      <c r="X5530" s="145"/>
      <c r="Y5530" s="146"/>
      <c r="Z5530" s="147"/>
      <c r="AA5530" s="147"/>
      <c r="AB5530" s="110"/>
      <c r="AC5530" s="132"/>
      <c r="AD5530" s="148"/>
      <c r="AE5530" s="148"/>
    </row>
    <row r="5531" customFormat="false" ht="15" hidden="false" customHeight="true" outlineLevel="0" collapsed="false">
      <c r="A5531" s="141"/>
      <c r="B5531" s="131"/>
      <c r="C5531" s="132"/>
      <c r="D5531" s="131"/>
      <c r="E5531" s="110"/>
      <c r="F5531" s="110"/>
      <c r="G5531" s="110"/>
      <c r="H5531" s="131"/>
      <c r="I5531" s="131"/>
      <c r="J5531" s="142"/>
      <c r="K5531" s="142"/>
      <c r="L5531" s="140"/>
      <c r="M5531" s="131"/>
      <c r="N5531" s="131"/>
      <c r="O5531" s="131"/>
      <c r="P5531" s="143"/>
      <c r="Q5531" s="66"/>
      <c r="R5531" s="131"/>
      <c r="S5531" s="144"/>
      <c r="T5531" s="131"/>
      <c r="U5531" s="131"/>
      <c r="V5531" s="131"/>
      <c r="W5531" s="131"/>
      <c r="X5531" s="145"/>
      <c r="Y5531" s="146"/>
      <c r="Z5531" s="147"/>
      <c r="AA5531" s="147"/>
      <c r="AB5531" s="110"/>
      <c r="AC5531" s="132"/>
      <c r="AD5531" s="148"/>
      <c r="AE5531" s="148"/>
    </row>
    <row r="5532" customFormat="false" ht="15" hidden="false" customHeight="true" outlineLevel="0" collapsed="false">
      <c r="A5532" s="141"/>
      <c r="B5532" s="131"/>
      <c r="C5532" s="132"/>
      <c r="D5532" s="131"/>
      <c r="E5532" s="110"/>
      <c r="F5532" s="110"/>
      <c r="G5532" s="110"/>
      <c r="H5532" s="131"/>
      <c r="I5532" s="131"/>
      <c r="J5532" s="142"/>
      <c r="K5532" s="142"/>
      <c r="L5532" s="140"/>
      <c r="M5532" s="131"/>
      <c r="N5532" s="131"/>
      <c r="O5532" s="131"/>
      <c r="P5532" s="143"/>
      <c r="Q5532" s="66"/>
      <c r="R5532" s="131"/>
      <c r="S5532" s="144"/>
      <c r="T5532" s="131"/>
      <c r="U5532" s="131"/>
      <c r="V5532" s="131"/>
      <c r="W5532" s="131"/>
      <c r="X5532" s="145"/>
      <c r="Y5532" s="146"/>
      <c r="Z5532" s="147"/>
      <c r="AA5532" s="147"/>
      <c r="AB5532" s="110"/>
      <c r="AC5532" s="132"/>
      <c r="AD5532" s="148"/>
      <c r="AE5532" s="148"/>
    </row>
    <row r="5533" customFormat="false" ht="15" hidden="false" customHeight="true" outlineLevel="0" collapsed="false">
      <c r="A5533" s="141"/>
      <c r="B5533" s="131"/>
      <c r="C5533" s="132"/>
      <c r="D5533" s="131"/>
      <c r="E5533" s="110"/>
      <c r="F5533" s="110"/>
      <c r="G5533" s="110"/>
      <c r="H5533" s="131"/>
      <c r="I5533" s="131"/>
      <c r="J5533" s="142"/>
      <c r="K5533" s="142"/>
      <c r="L5533" s="140"/>
      <c r="M5533" s="131"/>
      <c r="N5533" s="131"/>
      <c r="O5533" s="131"/>
      <c r="P5533" s="143"/>
      <c r="Q5533" s="66"/>
      <c r="R5533" s="131"/>
      <c r="S5533" s="144"/>
      <c r="T5533" s="131"/>
      <c r="U5533" s="131"/>
      <c r="V5533" s="131"/>
      <c r="W5533" s="131"/>
      <c r="X5533" s="145"/>
      <c r="Y5533" s="146"/>
      <c r="Z5533" s="147"/>
      <c r="AA5533" s="147"/>
      <c r="AB5533" s="110"/>
      <c r="AC5533" s="132"/>
      <c r="AD5533" s="148"/>
      <c r="AE5533" s="148"/>
    </row>
    <row r="5534" customFormat="false" ht="15" hidden="false" customHeight="true" outlineLevel="0" collapsed="false">
      <c r="A5534" s="141"/>
      <c r="B5534" s="131"/>
      <c r="C5534" s="132"/>
      <c r="D5534" s="131"/>
      <c r="E5534" s="110"/>
      <c r="F5534" s="110"/>
      <c r="G5534" s="110"/>
      <c r="H5534" s="131"/>
      <c r="I5534" s="131"/>
      <c r="J5534" s="142"/>
      <c r="K5534" s="142"/>
      <c r="L5534" s="140"/>
      <c r="M5534" s="131"/>
      <c r="N5534" s="131"/>
      <c r="O5534" s="131"/>
      <c r="P5534" s="143"/>
      <c r="Q5534" s="66"/>
      <c r="R5534" s="131"/>
      <c r="S5534" s="144"/>
      <c r="T5534" s="131"/>
      <c r="U5534" s="131"/>
      <c r="V5534" s="131"/>
      <c r="W5534" s="131"/>
      <c r="X5534" s="145"/>
      <c r="Y5534" s="146"/>
      <c r="Z5534" s="147"/>
      <c r="AA5534" s="147"/>
      <c r="AB5534" s="110"/>
      <c r="AC5534" s="132"/>
      <c r="AD5534" s="148"/>
      <c r="AE5534" s="148"/>
    </row>
    <row r="5535" customFormat="false" ht="15" hidden="false" customHeight="true" outlineLevel="0" collapsed="false">
      <c r="A5535" s="141"/>
      <c r="B5535" s="131"/>
      <c r="C5535" s="132"/>
      <c r="D5535" s="131"/>
      <c r="E5535" s="110"/>
      <c r="F5535" s="110"/>
      <c r="G5535" s="110"/>
      <c r="H5535" s="131"/>
      <c r="I5535" s="131"/>
      <c r="J5535" s="142"/>
      <c r="K5535" s="142"/>
      <c r="L5535" s="140"/>
      <c r="M5535" s="131"/>
      <c r="N5535" s="131"/>
      <c r="O5535" s="131"/>
      <c r="P5535" s="143"/>
      <c r="Q5535" s="66"/>
      <c r="R5535" s="131"/>
      <c r="S5535" s="144"/>
      <c r="T5535" s="131"/>
      <c r="U5535" s="131"/>
      <c r="V5535" s="131"/>
      <c r="W5535" s="131"/>
      <c r="X5535" s="145"/>
      <c r="Y5535" s="146"/>
      <c r="Z5535" s="147"/>
      <c r="AA5535" s="147"/>
      <c r="AB5535" s="110"/>
      <c r="AC5535" s="132"/>
      <c r="AD5535" s="148"/>
      <c r="AE5535" s="148"/>
    </row>
    <row r="5536" customFormat="false" ht="15" hidden="false" customHeight="true" outlineLevel="0" collapsed="false">
      <c r="A5536" s="141"/>
      <c r="B5536" s="131"/>
      <c r="C5536" s="132"/>
      <c r="D5536" s="131"/>
      <c r="E5536" s="110"/>
      <c r="F5536" s="110"/>
      <c r="G5536" s="110"/>
      <c r="H5536" s="131"/>
      <c r="I5536" s="131"/>
      <c r="J5536" s="142"/>
      <c r="K5536" s="142"/>
      <c r="L5536" s="140"/>
      <c r="M5536" s="131"/>
      <c r="N5536" s="131"/>
      <c r="O5536" s="131"/>
      <c r="P5536" s="143"/>
      <c r="Q5536" s="66"/>
      <c r="R5536" s="131"/>
      <c r="S5536" s="144"/>
      <c r="T5536" s="131"/>
      <c r="U5536" s="131"/>
      <c r="V5536" s="131"/>
      <c r="W5536" s="131"/>
      <c r="X5536" s="145"/>
      <c r="Y5536" s="146"/>
      <c r="Z5536" s="147"/>
      <c r="AA5536" s="147"/>
      <c r="AB5536" s="110"/>
      <c r="AC5536" s="132"/>
      <c r="AD5536" s="148"/>
      <c r="AE5536" s="148"/>
    </row>
    <row r="5537" customFormat="false" ht="15" hidden="false" customHeight="true" outlineLevel="0" collapsed="false">
      <c r="A5537" s="141"/>
      <c r="B5537" s="131"/>
      <c r="C5537" s="132"/>
      <c r="D5537" s="131"/>
      <c r="E5537" s="110"/>
      <c r="F5537" s="110"/>
      <c r="G5537" s="110"/>
      <c r="H5537" s="131"/>
      <c r="I5537" s="131"/>
      <c r="J5537" s="142"/>
      <c r="K5537" s="142"/>
      <c r="L5537" s="140"/>
      <c r="M5537" s="131"/>
      <c r="N5537" s="131"/>
      <c r="O5537" s="131"/>
      <c r="P5537" s="143"/>
      <c r="Q5537" s="66"/>
      <c r="R5537" s="131"/>
      <c r="S5537" s="144"/>
      <c r="T5537" s="131"/>
      <c r="U5537" s="131"/>
      <c r="V5537" s="131"/>
      <c r="W5537" s="131"/>
      <c r="X5537" s="145"/>
      <c r="Y5537" s="146"/>
      <c r="Z5537" s="147"/>
      <c r="AA5537" s="147"/>
      <c r="AB5537" s="110"/>
      <c r="AC5537" s="132"/>
      <c r="AD5537" s="148"/>
      <c r="AE5537" s="148"/>
    </row>
    <row r="5538" customFormat="false" ht="15" hidden="false" customHeight="true" outlineLevel="0" collapsed="false">
      <c r="A5538" s="141"/>
      <c r="B5538" s="131"/>
      <c r="C5538" s="132"/>
      <c r="D5538" s="131"/>
      <c r="E5538" s="110"/>
      <c r="F5538" s="110"/>
      <c r="G5538" s="110"/>
      <c r="H5538" s="131"/>
      <c r="I5538" s="131"/>
      <c r="J5538" s="142"/>
      <c r="K5538" s="142"/>
      <c r="L5538" s="140"/>
      <c r="M5538" s="131"/>
      <c r="N5538" s="131"/>
      <c r="O5538" s="131"/>
      <c r="P5538" s="143"/>
      <c r="Q5538" s="66"/>
      <c r="R5538" s="131"/>
      <c r="S5538" s="144"/>
      <c r="T5538" s="131"/>
      <c r="U5538" s="131"/>
      <c r="V5538" s="131"/>
      <c r="W5538" s="131"/>
      <c r="X5538" s="145"/>
      <c r="Y5538" s="146"/>
      <c r="Z5538" s="147"/>
      <c r="AA5538" s="147"/>
      <c r="AB5538" s="110"/>
      <c r="AC5538" s="132"/>
      <c r="AD5538" s="148"/>
      <c r="AE5538" s="148"/>
    </row>
    <row r="5539" customFormat="false" ht="15" hidden="false" customHeight="true" outlineLevel="0" collapsed="false">
      <c r="A5539" s="141"/>
      <c r="B5539" s="131"/>
      <c r="C5539" s="132"/>
      <c r="D5539" s="131"/>
      <c r="E5539" s="110"/>
      <c r="F5539" s="110"/>
      <c r="G5539" s="110"/>
      <c r="H5539" s="131"/>
      <c r="I5539" s="131"/>
      <c r="J5539" s="142"/>
      <c r="K5539" s="142"/>
      <c r="L5539" s="140"/>
      <c r="M5539" s="131"/>
      <c r="N5539" s="131"/>
      <c r="O5539" s="131"/>
      <c r="P5539" s="143"/>
      <c r="Q5539" s="66"/>
      <c r="R5539" s="131"/>
      <c r="S5539" s="144"/>
      <c r="T5539" s="131"/>
      <c r="U5539" s="131"/>
      <c r="V5539" s="131"/>
      <c r="W5539" s="131"/>
      <c r="X5539" s="145"/>
      <c r="Y5539" s="146"/>
      <c r="Z5539" s="147"/>
      <c r="AA5539" s="147"/>
      <c r="AB5539" s="110"/>
      <c r="AC5539" s="132"/>
      <c r="AD5539" s="148"/>
      <c r="AE5539" s="148"/>
    </row>
    <row r="5540" customFormat="false" ht="15" hidden="false" customHeight="true" outlineLevel="0" collapsed="false">
      <c r="A5540" s="141"/>
      <c r="B5540" s="131"/>
      <c r="C5540" s="132"/>
      <c r="D5540" s="131"/>
      <c r="E5540" s="110"/>
      <c r="F5540" s="110"/>
      <c r="G5540" s="110"/>
      <c r="H5540" s="131"/>
      <c r="I5540" s="131"/>
      <c r="J5540" s="142"/>
      <c r="K5540" s="142"/>
      <c r="L5540" s="140"/>
      <c r="M5540" s="131"/>
      <c r="N5540" s="131"/>
      <c r="O5540" s="131"/>
      <c r="P5540" s="143"/>
      <c r="Q5540" s="66"/>
      <c r="R5540" s="131"/>
      <c r="S5540" s="144"/>
      <c r="T5540" s="131"/>
      <c r="U5540" s="131"/>
      <c r="V5540" s="131"/>
      <c r="W5540" s="131"/>
      <c r="X5540" s="145"/>
      <c r="Y5540" s="146"/>
      <c r="Z5540" s="147"/>
      <c r="AA5540" s="147"/>
      <c r="AB5540" s="110"/>
      <c r="AC5540" s="132"/>
      <c r="AD5540" s="148"/>
      <c r="AE5540" s="148"/>
    </row>
    <row r="5541" customFormat="false" ht="15" hidden="false" customHeight="true" outlineLevel="0" collapsed="false">
      <c r="A5541" s="141"/>
      <c r="B5541" s="131"/>
      <c r="C5541" s="132"/>
      <c r="D5541" s="131"/>
      <c r="E5541" s="110"/>
      <c r="F5541" s="110"/>
      <c r="G5541" s="110"/>
      <c r="H5541" s="131"/>
      <c r="I5541" s="131"/>
      <c r="J5541" s="142"/>
      <c r="K5541" s="142"/>
      <c r="L5541" s="140"/>
      <c r="M5541" s="131"/>
      <c r="N5541" s="131"/>
      <c r="O5541" s="131"/>
      <c r="P5541" s="143"/>
      <c r="Q5541" s="66"/>
      <c r="R5541" s="131"/>
      <c r="S5541" s="144"/>
      <c r="T5541" s="131"/>
      <c r="U5541" s="131"/>
      <c r="V5541" s="131"/>
      <c r="W5541" s="131"/>
      <c r="X5541" s="145"/>
      <c r="Y5541" s="146"/>
      <c r="Z5541" s="147"/>
      <c r="AA5541" s="147"/>
      <c r="AB5541" s="110"/>
      <c r="AC5541" s="132"/>
      <c r="AD5541" s="148"/>
      <c r="AE5541" s="148"/>
    </row>
    <row r="5542" customFormat="false" ht="15" hidden="false" customHeight="true" outlineLevel="0" collapsed="false">
      <c r="A5542" s="141"/>
      <c r="B5542" s="131"/>
      <c r="C5542" s="132"/>
      <c r="D5542" s="131"/>
      <c r="E5542" s="110"/>
      <c r="F5542" s="110"/>
      <c r="G5542" s="110"/>
      <c r="H5542" s="131"/>
      <c r="I5542" s="131"/>
      <c r="J5542" s="142"/>
      <c r="K5542" s="142"/>
      <c r="L5542" s="140"/>
      <c r="M5542" s="131"/>
      <c r="N5542" s="131"/>
      <c r="O5542" s="131"/>
      <c r="P5542" s="143"/>
      <c r="Q5542" s="66"/>
      <c r="R5542" s="131"/>
      <c r="S5542" s="144"/>
      <c r="T5542" s="131"/>
      <c r="U5542" s="131"/>
      <c r="V5542" s="131"/>
      <c r="W5542" s="131"/>
      <c r="X5542" s="145"/>
      <c r="Y5542" s="146"/>
      <c r="Z5542" s="147"/>
      <c r="AA5542" s="147"/>
      <c r="AB5542" s="110"/>
      <c r="AC5542" s="132"/>
      <c r="AD5542" s="148"/>
      <c r="AE5542" s="148"/>
    </row>
    <row r="5543" customFormat="false" ht="15" hidden="false" customHeight="true" outlineLevel="0" collapsed="false">
      <c r="A5543" s="141"/>
      <c r="B5543" s="131"/>
      <c r="C5543" s="132"/>
      <c r="D5543" s="131"/>
      <c r="E5543" s="110"/>
      <c r="F5543" s="110"/>
      <c r="G5543" s="110"/>
      <c r="H5543" s="131"/>
      <c r="I5543" s="131"/>
      <c r="J5543" s="142"/>
      <c r="K5543" s="142"/>
      <c r="L5543" s="140"/>
      <c r="M5543" s="131"/>
      <c r="N5543" s="131"/>
      <c r="O5543" s="131"/>
      <c r="P5543" s="143"/>
      <c r="Q5543" s="66"/>
      <c r="R5543" s="131"/>
      <c r="S5543" s="144"/>
      <c r="T5543" s="131"/>
      <c r="U5543" s="131"/>
      <c r="V5543" s="131"/>
      <c r="W5543" s="131"/>
      <c r="X5543" s="145"/>
      <c r="Y5543" s="146"/>
      <c r="Z5543" s="147"/>
      <c r="AA5543" s="147"/>
      <c r="AB5543" s="110"/>
      <c r="AC5543" s="132"/>
      <c r="AD5543" s="148"/>
      <c r="AE5543" s="148"/>
    </row>
    <row r="5544" customFormat="false" ht="15" hidden="false" customHeight="true" outlineLevel="0" collapsed="false">
      <c r="A5544" s="141"/>
      <c r="B5544" s="131"/>
      <c r="C5544" s="132"/>
      <c r="D5544" s="131"/>
      <c r="E5544" s="110"/>
      <c r="F5544" s="110"/>
      <c r="G5544" s="110"/>
      <c r="H5544" s="131"/>
      <c r="I5544" s="131"/>
      <c r="J5544" s="142"/>
      <c r="K5544" s="142"/>
      <c r="L5544" s="140"/>
      <c r="M5544" s="131"/>
      <c r="N5544" s="131"/>
      <c r="O5544" s="131"/>
      <c r="P5544" s="143"/>
      <c r="Q5544" s="66"/>
      <c r="R5544" s="131"/>
      <c r="S5544" s="144"/>
      <c r="T5544" s="131"/>
      <c r="U5544" s="131"/>
      <c r="V5544" s="131"/>
      <c r="W5544" s="131"/>
      <c r="X5544" s="145"/>
      <c r="Y5544" s="146"/>
      <c r="Z5544" s="147"/>
      <c r="AA5544" s="147"/>
      <c r="AB5544" s="110"/>
      <c r="AC5544" s="132"/>
      <c r="AD5544" s="148"/>
      <c r="AE5544" s="148"/>
    </row>
    <row r="5545" customFormat="false" ht="15" hidden="false" customHeight="true" outlineLevel="0" collapsed="false">
      <c r="A5545" s="141"/>
      <c r="B5545" s="131"/>
      <c r="C5545" s="132"/>
      <c r="D5545" s="131"/>
      <c r="E5545" s="110"/>
      <c r="F5545" s="110"/>
      <c r="G5545" s="110"/>
      <c r="H5545" s="131"/>
      <c r="I5545" s="131"/>
      <c r="J5545" s="142"/>
      <c r="K5545" s="142"/>
      <c r="L5545" s="140"/>
      <c r="M5545" s="131"/>
      <c r="N5545" s="131"/>
      <c r="O5545" s="131"/>
      <c r="P5545" s="143"/>
      <c r="Q5545" s="66"/>
      <c r="R5545" s="131"/>
      <c r="S5545" s="144"/>
      <c r="T5545" s="131"/>
      <c r="U5545" s="131"/>
      <c r="V5545" s="131"/>
      <c r="W5545" s="131"/>
      <c r="X5545" s="145"/>
      <c r="Y5545" s="146"/>
      <c r="Z5545" s="147"/>
      <c r="AA5545" s="147"/>
      <c r="AB5545" s="110"/>
      <c r="AC5545" s="132"/>
      <c r="AD5545" s="148"/>
      <c r="AE5545" s="148"/>
    </row>
    <row r="5546" customFormat="false" ht="15" hidden="false" customHeight="true" outlineLevel="0" collapsed="false">
      <c r="A5546" s="141"/>
      <c r="B5546" s="131"/>
      <c r="C5546" s="132"/>
      <c r="D5546" s="131"/>
      <c r="E5546" s="110"/>
      <c r="F5546" s="110"/>
      <c r="G5546" s="110"/>
      <c r="H5546" s="131"/>
      <c r="I5546" s="131"/>
      <c r="J5546" s="142"/>
      <c r="K5546" s="142"/>
      <c r="L5546" s="140"/>
      <c r="M5546" s="131"/>
      <c r="N5546" s="131"/>
      <c r="O5546" s="131"/>
      <c r="P5546" s="143"/>
      <c r="Q5546" s="66"/>
      <c r="R5546" s="131"/>
      <c r="S5546" s="144"/>
      <c r="T5546" s="131"/>
      <c r="U5546" s="131"/>
      <c r="V5546" s="131"/>
      <c r="W5546" s="131"/>
      <c r="X5546" s="145"/>
      <c r="Y5546" s="146"/>
      <c r="Z5546" s="147"/>
      <c r="AA5546" s="147"/>
      <c r="AB5546" s="110"/>
      <c r="AC5546" s="132"/>
      <c r="AD5546" s="148"/>
      <c r="AE5546" s="148"/>
    </row>
    <row r="5547" customFormat="false" ht="15" hidden="false" customHeight="true" outlineLevel="0" collapsed="false">
      <c r="A5547" s="141"/>
      <c r="B5547" s="131"/>
      <c r="C5547" s="132"/>
      <c r="D5547" s="131"/>
      <c r="E5547" s="110"/>
      <c r="F5547" s="110"/>
      <c r="G5547" s="110"/>
      <c r="H5547" s="131"/>
      <c r="I5547" s="131"/>
      <c r="J5547" s="142"/>
      <c r="K5547" s="142"/>
      <c r="L5547" s="140"/>
      <c r="M5547" s="131"/>
      <c r="N5547" s="131"/>
      <c r="O5547" s="131"/>
      <c r="P5547" s="143"/>
      <c r="Q5547" s="66"/>
      <c r="R5547" s="131"/>
      <c r="S5547" s="144"/>
      <c r="T5547" s="131"/>
      <c r="U5547" s="131"/>
      <c r="V5547" s="131"/>
      <c r="W5547" s="131"/>
      <c r="X5547" s="145"/>
      <c r="Y5547" s="146"/>
      <c r="Z5547" s="147"/>
      <c r="AA5547" s="147"/>
      <c r="AB5547" s="110"/>
      <c r="AC5547" s="132"/>
      <c r="AD5547" s="148"/>
      <c r="AE5547" s="148"/>
    </row>
    <row r="5548" customFormat="false" ht="15" hidden="false" customHeight="true" outlineLevel="0" collapsed="false">
      <c r="A5548" s="141"/>
      <c r="B5548" s="131"/>
      <c r="C5548" s="132"/>
      <c r="D5548" s="131"/>
      <c r="E5548" s="110"/>
      <c r="F5548" s="110"/>
      <c r="G5548" s="110"/>
      <c r="H5548" s="131"/>
      <c r="I5548" s="131"/>
      <c r="J5548" s="142"/>
      <c r="K5548" s="142"/>
      <c r="L5548" s="140"/>
      <c r="M5548" s="131"/>
      <c r="N5548" s="131"/>
      <c r="O5548" s="131"/>
      <c r="P5548" s="143"/>
      <c r="Q5548" s="66"/>
      <c r="R5548" s="131"/>
      <c r="S5548" s="144"/>
      <c r="T5548" s="131"/>
      <c r="U5548" s="131"/>
      <c r="V5548" s="131"/>
      <c r="W5548" s="131"/>
      <c r="X5548" s="145"/>
      <c r="Y5548" s="146"/>
      <c r="Z5548" s="147"/>
      <c r="AA5548" s="147"/>
      <c r="AB5548" s="110"/>
      <c r="AC5548" s="132"/>
      <c r="AD5548" s="148"/>
      <c r="AE5548" s="148"/>
    </row>
    <row r="5549" customFormat="false" ht="15" hidden="false" customHeight="true" outlineLevel="0" collapsed="false">
      <c r="A5549" s="141"/>
      <c r="B5549" s="131"/>
      <c r="C5549" s="132"/>
      <c r="D5549" s="131"/>
      <c r="E5549" s="110"/>
      <c r="F5549" s="110"/>
      <c r="G5549" s="110"/>
      <c r="H5549" s="131"/>
      <c r="I5549" s="131"/>
      <c r="J5549" s="142"/>
      <c r="K5549" s="142"/>
      <c r="L5549" s="140"/>
      <c r="M5549" s="131"/>
      <c r="N5549" s="131"/>
      <c r="O5549" s="131"/>
      <c r="P5549" s="143"/>
      <c r="Q5549" s="66"/>
      <c r="R5549" s="131"/>
      <c r="S5549" s="144"/>
      <c r="T5549" s="131"/>
      <c r="U5549" s="131"/>
      <c r="V5549" s="131"/>
      <c r="W5549" s="131"/>
      <c r="X5549" s="145"/>
      <c r="Y5549" s="146"/>
      <c r="Z5549" s="147"/>
      <c r="AA5549" s="147"/>
      <c r="AB5549" s="110"/>
      <c r="AC5549" s="132"/>
      <c r="AD5549" s="148"/>
      <c r="AE5549" s="148"/>
    </row>
    <row r="5550" customFormat="false" ht="15" hidden="false" customHeight="true" outlineLevel="0" collapsed="false">
      <c r="A5550" s="141"/>
      <c r="B5550" s="131"/>
      <c r="C5550" s="132"/>
      <c r="D5550" s="131"/>
      <c r="E5550" s="110"/>
      <c r="F5550" s="110"/>
      <c r="G5550" s="110"/>
      <c r="H5550" s="131"/>
      <c r="I5550" s="131"/>
      <c r="J5550" s="142"/>
      <c r="K5550" s="142"/>
      <c r="L5550" s="140"/>
      <c r="M5550" s="131"/>
      <c r="N5550" s="131"/>
      <c r="O5550" s="131"/>
      <c r="P5550" s="143"/>
      <c r="Q5550" s="66"/>
      <c r="R5550" s="131"/>
      <c r="S5550" s="144"/>
      <c r="T5550" s="131"/>
      <c r="U5550" s="131"/>
      <c r="V5550" s="131"/>
      <c r="W5550" s="131"/>
      <c r="X5550" s="145"/>
      <c r="Y5550" s="146"/>
      <c r="Z5550" s="147"/>
      <c r="AA5550" s="147"/>
      <c r="AB5550" s="110"/>
      <c r="AC5550" s="132"/>
      <c r="AD5550" s="148"/>
      <c r="AE5550" s="148"/>
    </row>
    <row r="5551" customFormat="false" ht="15" hidden="false" customHeight="true" outlineLevel="0" collapsed="false">
      <c r="A5551" s="141"/>
      <c r="B5551" s="131"/>
      <c r="C5551" s="132"/>
      <c r="D5551" s="131"/>
      <c r="E5551" s="110"/>
      <c r="F5551" s="110"/>
      <c r="G5551" s="110"/>
      <c r="H5551" s="131"/>
      <c r="I5551" s="131"/>
      <c r="J5551" s="142"/>
      <c r="K5551" s="142"/>
      <c r="L5551" s="140"/>
      <c r="M5551" s="131"/>
      <c r="N5551" s="131"/>
      <c r="O5551" s="131"/>
      <c r="P5551" s="143"/>
      <c r="Q5551" s="66"/>
      <c r="R5551" s="131"/>
      <c r="S5551" s="144"/>
      <c r="T5551" s="131"/>
      <c r="U5551" s="131"/>
      <c r="V5551" s="131"/>
      <c r="W5551" s="131"/>
      <c r="X5551" s="145"/>
      <c r="Y5551" s="146"/>
      <c r="Z5551" s="147"/>
      <c r="AA5551" s="147"/>
      <c r="AB5551" s="110"/>
      <c r="AC5551" s="132"/>
      <c r="AD5551" s="148"/>
      <c r="AE5551" s="148"/>
    </row>
    <row r="5552" customFormat="false" ht="15" hidden="false" customHeight="true" outlineLevel="0" collapsed="false">
      <c r="A5552" s="141"/>
      <c r="B5552" s="131"/>
      <c r="C5552" s="132"/>
      <c r="D5552" s="131"/>
      <c r="E5552" s="110"/>
      <c r="F5552" s="110"/>
      <c r="G5552" s="110"/>
      <c r="H5552" s="131"/>
      <c r="I5552" s="131"/>
      <c r="J5552" s="142"/>
      <c r="K5552" s="142"/>
      <c r="L5552" s="140"/>
      <c r="M5552" s="131"/>
      <c r="N5552" s="131"/>
      <c r="O5552" s="131"/>
      <c r="P5552" s="143"/>
      <c r="Q5552" s="66"/>
      <c r="R5552" s="131"/>
      <c r="S5552" s="144"/>
      <c r="T5552" s="131"/>
      <c r="U5552" s="131"/>
      <c r="V5552" s="131"/>
      <c r="W5552" s="131"/>
      <c r="X5552" s="145"/>
      <c r="Y5552" s="146"/>
      <c r="Z5552" s="147"/>
      <c r="AA5552" s="147"/>
      <c r="AB5552" s="110"/>
      <c r="AC5552" s="132"/>
      <c r="AD5552" s="148"/>
      <c r="AE5552" s="148"/>
    </row>
    <row r="5553" customFormat="false" ht="15" hidden="false" customHeight="true" outlineLevel="0" collapsed="false">
      <c r="A5553" s="141"/>
      <c r="B5553" s="131"/>
      <c r="C5553" s="132"/>
      <c r="D5553" s="131"/>
      <c r="E5553" s="110"/>
      <c r="F5553" s="110"/>
      <c r="G5553" s="110"/>
      <c r="H5553" s="131"/>
      <c r="I5553" s="131"/>
      <c r="J5553" s="142"/>
      <c r="K5553" s="142"/>
      <c r="L5553" s="140"/>
      <c r="M5553" s="131"/>
      <c r="N5553" s="131"/>
      <c r="O5553" s="131"/>
      <c r="P5553" s="143"/>
      <c r="Q5553" s="66"/>
      <c r="R5553" s="131"/>
      <c r="S5553" s="144"/>
      <c r="T5553" s="131"/>
      <c r="U5553" s="131"/>
      <c r="V5553" s="131"/>
      <c r="W5553" s="131"/>
      <c r="X5553" s="145"/>
      <c r="Y5553" s="146"/>
      <c r="Z5553" s="147"/>
      <c r="AA5553" s="147"/>
      <c r="AB5553" s="110"/>
      <c r="AC5553" s="132"/>
      <c r="AD5553" s="148"/>
      <c r="AE5553" s="148"/>
    </row>
    <row r="5554" customFormat="false" ht="15" hidden="false" customHeight="true" outlineLevel="0" collapsed="false">
      <c r="A5554" s="141"/>
      <c r="B5554" s="131"/>
      <c r="C5554" s="132"/>
      <c r="D5554" s="131"/>
      <c r="E5554" s="110"/>
      <c r="F5554" s="110"/>
      <c r="G5554" s="110"/>
      <c r="H5554" s="131"/>
      <c r="I5554" s="131"/>
      <c r="J5554" s="142"/>
      <c r="K5554" s="142"/>
      <c r="L5554" s="140"/>
      <c r="M5554" s="131"/>
      <c r="N5554" s="131"/>
      <c r="O5554" s="131"/>
      <c r="P5554" s="143"/>
      <c r="Q5554" s="66"/>
      <c r="R5554" s="131"/>
      <c r="S5554" s="144"/>
      <c r="T5554" s="131"/>
      <c r="U5554" s="131"/>
      <c r="V5554" s="131"/>
      <c r="W5554" s="131"/>
      <c r="X5554" s="145"/>
      <c r="Y5554" s="146"/>
      <c r="Z5554" s="147"/>
      <c r="AA5554" s="147"/>
      <c r="AB5554" s="110"/>
      <c r="AC5554" s="132"/>
      <c r="AD5554" s="148"/>
      <c r="AE5554" s="148"/>
    </row>
    <row r="5555" customFormat="false" ht="15" hidden="false" customHeight="true" outlineLevel="0" collapsed="false">
      <c r="A5555" s="141"/>
      <c r="B5555" s="131"/>
      <c r="C5555" s="132"/>
      <c r="D5555" s="131"/>
      <c r="E5555" s="110"/>
      <c r="F5555" s="110"/>
      <c r="G5555" s="110"/>
      <c r="H5555" s="131"/>
      <c r="I5555" s="131"/>
      <c r="J5555" s="142"/>
      <c r="K5555" s="142"/>
      <c r="L5555" s="140"/>
      <c r="M5555" s="131"/>
      <c r="N5555" s="131"/>
      <c r="O5555" s="131"/>
      <c r="P5555" s="143"/>
      <c r="Q5555" s="66"/>
      <c r="R5555" s="131"/>
      <c r="S5555" s="144"/>
      <c r="T5555" s="131"/>
      <c r="U5555" s="131"/>
      <c r="V5555" s="131"/>
      <c r="W5555" s="131"/>
      <c r="X5555" s="145"/>
      <c r="Y5555" s="146"/>
      <c r="Z5555" s="147"/>
      <c r="AA5555" s="147"/>
      <c r="AB5555" s="110"/>
      <c r="AC5555" s="132"/>
      <c r="AD5555" s="148"/>
      <c r="AE5555" s="148"/>
    </row>
    <row r="5556" customFormat="false" ht="15" hidden="false" customHeight="true" outlineLevel="0" collapsed="false">
      <c r="A5556" s="141"/>
      <c r="B5556" s="131"/>
      <c r="C5556" s="132"/>
      <c r="D5556" s="131"/>
      <c r="E5556" s="110"/>
      <c r="F5556" s="110"/>
      <c r="G5556" s="110"/>
      <c r="H5556" s="131"/>
      <c r="I5556" s="131"/>
      <c r="J5556" s="142"/>
      <c r="K5556" s="142"/>
      <c r="L5556" s="140"/>
      <c r="M5556" s="131"/>
      <c r="N5556" s="131"/>
      <c r="O5556" s="131"/>
      <c r="P5556" s="143"/>
      <c r="Q5556" s="66"/>
      <c r="R5556" s="131"/>
      <c r="S5556" s="144"/>
      <c r="T5556" s="131"/>
      <c r="U5556" s="131"/>
      <c r="V5556" s="131"/>
      <c r="W5556" s="131"/>
      <c r="X5556" s="145"/>
      <c r="Y5556" s="146"/>
      <c r="Z5556" s="147"/>
      <c r="AA5556" s="147"/>
      <c r="AB5556" s="110"/>
      <c r="AC5556" s="132"/>
      <c r="AD5556" s="148"/>
      <c r="AE5556" s="148"/>
    </row>
    <row r="5557" customFormat="false" ht="15" hidden="false" customHeight="true" outlineLevel="0" collapsed="false">
      <c r="A5557" s="141"/>
      <c r="B5557" s="131"/>
      <c r="C5557" s="132"/>
      <c r="D5557" s="131"/>
      <c r="E5557" s="110"/>
      <c r="F5557" s="110"/>
      <c r="G5557" s="110"/>
      <c r="H5557" s="131"/>
      <c r="I5557" s="131"/>
      <c r="J5557" s="142"/>
      <c r="K5557" s="142"/>
      <c r="L5557" s="140"/>
      <c r="M5557" s="131"/>
      <c r="N5557" s="131"/>
      <c r="O5557" s="131"/>
      <c r="P5557" s="143"/>
      <c r="Q5557" s="66"/>
      <c r="R5557" s="131"/>
      <c r="S5557" s="144"/>
      <c r="T5557" s="131"/>
      <c r="U5557" s="131"/>
      <c r="V5557" s="131"/>
      <c r="W5557" s="131"/>
      <c r="X5557" s="145"/>
      <c r="Y5557" s="146"/>
      <c r="Z5557" s="147"/>
      <c r="AA5557" s="147"/>
      <c r="AB5557" s="110"/>
      <c r="AC5557" s="132"/>
      <c r="AD5557" s="148"/>
      <c r="AE5557" s="148"/>
    </row>
    <row r="5558" customFormat="false" ht="15" hidden="false" customHeight="true" outlineLevel="0" collapsed="false">
      <c r="A5558" s="141"/>
      <c r="B5558" s="131"/>
      <c r="C5558" s="132"/>
      <c r="D5558" s="131"/>
      <c r="E5558" s="110"/>
      <c r="F5558" s="110"/>
      <c r="G5558" s="110"/>
      <c r="H5558" s="131"/>
      <c r="I5558" s="131"/>
      <c r="J5558" s="142"/>
      <c r="K5558" s="142"/>
      <c r="L5558" s="140"/>
      <c r="M5558" s="131"/>
      <c r="N5558" s="131"/>
      <c r="O5558" s="131"/>
      <c r="P5558" s="143"/>
      <c r="Q5558" s="66"/>
      <c r="R5558" s="131"/>
      <c r="S5558" s="144"/>
      <c r="T5558" s="131"/>
      <c r="U5558" s="131"/>
      <c r="V5558" s="131"/>
      <c r="W5558" s="131"/>
      <c r="X5558" s="145"/>
      <c r="Y5558" s="146"/>
      <c r="Z5558" s="147"/>
      <c r="AA5558" s="147"/>
      <c r="AB5558" s="110"/>
      <c r="AC5558" s="132"/>
      <c r="AD5558" s="148"/>
      <c r="AE5558" s="148"/>
    </row>
    <row r="5559" customFormat="false" ht="15" hidden="false" customHeight="true" outlineLevel="0" collapsed="false">
      <c r="A5559" s="141"/>
      <c r="B5559" s="131"/>
      <c r="C5559" s="132"/>
      <c r="D5559" s="131"/>
      <c r="E5559" s="110"/>
      <c r="F5559" s="110"/>
      <c r="G5559" s="110"/>
      <c r="H5559" s="131"/>
      <c r="I5559" s="131"/>
      <c r="J5559" s="142"/>
      <c r="K5559" s="142"/>
      <c r="L5559" s="140"/>
      <c r="M5559" s="131"/>
      <c r="N5559" s="131"/>
      <c r="O5559" s="131"/>
      <c r="P5559" s="143"/>
      <c r="Q5559" s="66"/>
      <c r="R5559" s="131"/>
      <c r="S5559" s="144"/>
      <c r="T5559" s="131"/>
      <c r="U5559" s="131"/>
      <c r="V5559" s="131"/>
      <c r="W5559" s="131"/>
      <c r="X5559" s="145"/>
      <c r="Y5559" s="146"/>
      <c r="Z5559" s="147"/>
      <c r="AA5559" s="147"/>
      <c r="AB5559" s="110"/>
      <c r="AC5559" s="132"/>
      <c r="AD5559" s="148"/>
      <c r="AE5559" s="148"/>
    </row>
    <row r="5560" customFormat="false" ht="15" hidden="false" customHeight="true" outlineLevel="0" collapsed="false">
      <c r="A5560" s="141"/>
      <c r="B5560" s="131"/>
      <c r="C5560" s="132"/>
      <c r="D5560" s="131"/>
      <c r="E5560" s="110"/>
      <c r="F5560" s="110"/>
      <c r="G5560" s="110"/>
      <c r="H5560" s="131"/>
      <c r="I5560" s="131"/>
      <c r="J5560" s="142"/>
      <c r="K5560" s="142"/>
      <c r="L5560" s="140"/>
      <c r="M5560" s="131"/>
      <c r="N5560" s="131"/>
      <c r="O5560" s="131"/>
      <c r="P5560" s="143"/>
      <c r="Q5560" s="66"/>
      <c r="R5560" s="131"/>
      <c r="S5560" s="144"/>
      <c r="T5560" s="131"/>
      <c r="U5560" s="131"/>
      <c r="V5560" s="131"/>
      <c r="W5560" s="131"/>
      <c r="X5560" s="145"/>
      <c r="Y5560" s="146"/>
      <c r="Z5560" s="147"/>
      <c r="AA5560" s="147"/>
      <c r="AB5560" s="110"/>
      <c r="AC5560" s="132"/>
      <c r="AD5560" s="148"/>
      <c r="AE5560" s="148"/>
    </row>
    <row r="5561" customFormat="false" ht="15" hidden="false" customHeight="true" outlineLevel="0" collapsed="false">
      <c r="A5561" s="141"/>
      <c r="B5561" s="131"/>
      <c r="C5561" s="132"/>
      <c r="D5561" s="131"/>
      <c r="E5561" s="110"/>
      <c r="F5561" s="110"/>
      <c r="G5561" s="110"/>
      <c r="H5561" s="131"/>
      <c r="I5561" s="131"/>
      <c r="J5561" s="142"/>
      <c r="K5561" s="142"/>
      <c r="L5561" s="140"/>
      <c r="M5561" s="131"/>
      <c r="N5561" s="131"/>
      <c r="O5561" s="131"/>
      <c r="P5561" s="143"/>
      <c r="Q5561" s="66"/>
      <c r="R5561" s="131"/>
      <c r="S5561" s="144"/>
      <c r="T5561" s="131"/>
      <c r="U5561" s="131"/>
      <c r="V5561" s="131"/>
      <c r="W5561" s="131"/>
      <c r="X5561" s="145"/>
      <c r="Y5561" s="146"/>
      <c r="Z5561" s="147"/>
      <c r="AA5561" s="147"/>
      <c r="AB5561" s="110"/>
      <c r="AC5561" s="132"/>
      <c r="AD5561" s="148"/>
      <c r="AE5561" s="148"/>
    </row>
    <row r="5562" customFormat="false" ht="15" hidden="false" customHeight="true" outlineLevel="0" collapsed="false">
      <c r="A5562" s="141"/>
      <c r="B5562" s="131"/>
      <c r="C5562" s="132"/>
      <c r="D5562" s="131"/>
      <c r="E5562" s="110"/>
      <c r="F5562" s="110"/>
      <c r="G5562" s="110"/>
      <c r="H5562" s="131"/>
      <c r="I5562" s="131"/>
      <c r="J5562" s="142"/>
      <c r="K5562" s="142"/>
      <c r="L5562" s="140"/>
      <c r="M5562" s="131"/>
      <c r="N5562" s="131"/>
      <c r="O5562" s="131"/>
      <c r="P5562" s="143"/>
      <c r="Q5562" s="66"/>
      <c r="R5562" s="131"/>
      <c r="S5562" s="144"/>
      <c r="T5562" s="131"/>
      <c r="U5562" s="131"/>
      <c r="V5562" s="131"/>
      <c r="W5562" s="131"/>
      <c r="X5562" s="145"/>
      <c r="Y5562" s="146"/>
      <c r="Z5562" s="147"/>
      <c r="AA5562" s="147"/>
      <c r="AB5562" s="110"/>
      <c r="AC5562" s="132"/>
      <c r="AD5562" s="148"/>
      <c r="AE5562" s="148"/>
    </row>
    <row r="5563" customFormat="false" ht="15" hidden="false" customHeight="true" outlineLevel="0" collapsed="false">
      <c r="A5563" s="141"/>
      <c r="B5563" s="131"/>
      <c r="C5563" s="132"/>
      <c r="D5563" s="131"/>
      <c r="E5563" s="110"/>
      <c r="F5563" s="110"/>
      <c r="G5563" s="110"/>
      <c r="H5563" s="131"/>
      <c r="I5563" s="131"/>
      <c r="J5563" s="142"/>
      <c r="K5563" s="142"/>
      <c r="L5563" s="140"/>
      <c r="M5563" s="131"/>
      <c r="N5563" s="131"/>
      <c r="O5563" s="131"/>
      <c r="P5563" s="143"/>
      <c r="Q5563" s="66"/>
      <c r="R5563" s="131"/>
      <c r="S5563" s="144"/>
      <c r="T5563" s="131"/>
      <c r="U5563" s="131"/>
      <c r="V5563" s="131"/>
      <c r="W5563" s="131"/>
      <c r="X5563" s="145"/>
      <c r="Y5563" s="146"/>
      <c r="Z5563" s="147"/>
      <c r="AA5563" s="147"/>
      <c r="AB5563" s="110"/>
      <c r="AC5563" s="132"/>
      <c r="AD5563" s="148"/>
      <c r="AE5563" s="148"/>
    </row>
    <row r="5564" customFormat="false" ht="15" hidden="false" customHeight="true" outlineLevel="0" collapsed="false">
      <c r="A5564" s="141"/>
      <c r="B5564" s="131"/>
      <c r="C5564" s="132"/>
      <c r="D5564" s="131"/>
      <c r="E5564" s="110"/>
      <c r="F5564" s="110"/>
      <c r="G5564" s="110"/>
      <c r="H5564" s="131"/>
      <c r="I5564" s="131"/>
      <c r="J5564" s="142"/>
      <c r="K5564" s="142"/>
      <c r="L5564" s="140"/>
      <c r="M5564" s="131"/>
      <c r="N5564" s="131"/>
      <c r="O5564" s="131"/>
      <c r="P5564" s="143"/>
      <c r="Q5564" s="66"/>
      <c r="R5564" s="131"/>
      <c r="S5564" s="144"/>
      <c r="T5564" s="131"/>
      <c r="U5564" s="131"/>
      <c r="V5564" s="131"/>
      <c r="W5564" s="131"/>
      <c r="X5564" s="145"/>
      <c r="Y5564" s="146"/>
      <c r="Z5564" s="147"/>
      <c r="AA5564" s="147"/>
      <c r="AB5564" s="110"/>
      <c r="AC5564" s="132"/>
      <c r="AD5564" s="148"/>
      <c r="AE5564" s="148"/>
    </row>
    <row r="5565" customFormat="false" ht="15" hidden="false" customHeight="true" outlineLevel="0" collapsed="false">
      <c r="A5565" s="141"/>
      <c r="B5565" s="131"/>
      <c r="C5565" s="132"/>
      <c r="D5565" s="131"/>
      <c r="E5565" s="110"/>
      <c r="F5565" s="110"/>
      <c r="G5565" s="110"/>
      <c r="H5565" s="131"/>
      <c r="I5565" s="131"/>
      <c r="J5565" s="142"/>
      <c r="K5565" s="142"/>
      <c r="L5565" s="140"/>
      <c r="M5565" s="131"/>
      <c r="N5565" s="131"/>
      <c r="O5565" s="131"/>
      <c r="P5565" s="143"/>
      <c r="Q5565" s="66"/>
      <c r="R5565" s="131"/>
      <c r="S5565" s="144"/>
      <c r="T5565" s="131"/>
      <c r="U5565" s="131"/>
      <c r="V5565" s="131"/>
      <c r="W5565" s="131"/>
      <c r="X5565" s="145"/>
      <c r="Y5565" s="146"/>
      <c r="Z5565" s="147"/>
      <c r="AA5565" s="147"/>
      <c r="AB5565" s="110"/>
      <c r="AC5565" s="132"/>
      <c r="AD5565" s="148"/>
      <c r="AE5565" s="148"/>
    </row>
    <row r="5566" customFormat="false" ht="15" hidden="false" customHeight="true" outlineLevel="0" collapsed="false">
      <c r="A5566" s="141"/>
      <c r="B5566" s="131"/>
      <c r="C5566" s="132"/>
      <c r="D5566" s="131"/>
      <c r="E5566" s="110"/>
      <c r="F5566" s="110"/>
      <c r="G5566" s="110"/>
      <c r="H5566" s="131"/>
      <c r="I5566" s="131"/>
      <c r="J5566" s="142"/>
      <c r="K5566" s="142"/>
      <c r="L5566" s="140"/>
      <c r="M5566" s="131"/>
      <c r="N5566" s="131"/>
      <c r="O5566" s="131"/>
      <c r="P5566" s="143"/>
      <c r="Q5566" s="66"/>
      <c r="R5566" s="131"/>
      <c r="S5566" s="144"/>
      <c r="T5566" s="131"/>
      <c r="U5566" s="131"/>
      <c r="V5566" s="131"/>
      <c r="W5566" s="131"/>
      <c r="X5566" s="145"/>
      <c r="Y5566" s="146"/>
      <c r="Z5566" s="147"/>
      <c r="AA5566" s="147"/>
      <c r="AB5566" s="110"/>
      <c r="AC5566" s="132"/>
      <c r="AD5566" s="148"/>
      <c r="AE5566" s="148"/>
    </row>
    <row r="5567" customFormat="false" ht="15" hidden="false" customHeight="true" outlineLevel="0" collapsed="false">
      <c r="A5567" s="141"/>
      <c r="B5567" s="131"/>
      <c r="C5567" s="132"/>
      <c r="D5567" s="131"/>
      <c r="E5567" s="110"/>
      <c r="F5567" s="110"/>
      <c r="G5567" s="110"/>
      <c r="H5567" s="131"/>
      <c r="I5567" s="131"/>
      <c r="J5567" s="142"/>
      <c r="K5567" s="142"/>
      <c r="L5567" s="140"/>
      <c r="M5567" s="131"/>
      <c r="N5567" s="131"/>
      <c r="O5567" s="131"/>
      <c r="P5567" s="143"/>
      <c r="Q5567" s="66"/>
      <c r="R5567" s="131"/>
      <c r="S5567" s="144"/>
      <c r="T5567" s="131"/>
      <c r="U5567" s="131"/>
      <c r="V5567" s="131"/>
      <c r="W5567" s="131"/>
      <c r="X5567" s="145"/>
      <c r="Y5567" s="146"/>
      <c r="Z5567" s="147"/>
      <c r="AA5567" s="147"/>
      <c r="AB5567" s="110"/>
      <c r="AC5567" s="132"/>
      <c r="AD5567" s="148"/>
      <c r="AE5567" s="148"/>
    </row>
    <row r="5568" customFormat="false" ht="15" hidden="false" customHeight="true" outlineLevel="0" collapsed="false">
      <c r="A5568" s="141"/>
      <c r="B5568" s="131"/>
      <c r="C5568" s="132"/>
      <c r="D5568" s="131"/>
      <c r="E5568" s="110"/>
      <c r="F5568" s="110"/>
      <c r="G5568" s="110"/>
      <c r="H5568" s="131"/>
      <c r="I5568" s="131"/>
      <c r="J5568" s="142"/>
      <c r="K5568" s="142"/>
      <c r="L5568" s="140"/>
      <c r="M5568" s="131"/>
      <c r="N5568" s="131"/>
      <c r="O5568" s="131"/>
      <c r="P5568" s="143"/>
      <c r="Q5568" s="66"/>
      <c r="R5568" s="131"/>
      <c r="S5568" s="144"/>
      <c r="T5568" s="131"/>
      <c r="U5568" s="131"/>
      <c r="V5568" s="131"/>
      <c r="W5568" s="131"/>
      <c r="X5568" s="145"/>
      <c r="Y5568" s="146"/>
      <c r="Z5568" s="147"/>
      <c r="AA5568" s="147"/>
      <c r="AB5568" s="110"/>
      <c r="AC5568" s="132"/>
      <c r="AD5568" s="148"/>
      <c r="AE5568" s="148"/>
    </row>
    <row r="5569" customFormat="false" ht="15" hidden="false" customHeight="true" outlineLevel="0" collapsed="false">
      <c r="A5569" s="141"/>
      <c r="B5569" s="131"/>
      <c r="C5569" s="132"/>
      <c r="D5569" s="131"/>
      <c r="E5569" s="110"/>
      <c r="F5569" s="110"/>
      <c r="G5569" s="110"/>
      <c r="H5569" s="131"/>
      <c r="I5569" s="131"/>
      <c r="J5569" s="142"/>
      <c r="K5569" s="142"/>
      <c r="L5569" s="140"/>
      <c r="M5569" s="131"/>
      <c r="N5569" s="131"/>
      <c r="O5569" s="131"/>
      <c r="P5569" s="143"/>
      <c r="Q5569" s="66"/>
      <c r="R5569" s="131"/>
      <c r="S5569" s="144"/>
      <c r="T5569" s="131"/>
      <c r="U5569" s="131"/>
      <c r="V5569" s="131"/>
      <c r="W5569" s="131"/>
      <c r="X5569" s="145"/>
      <c r="Y5569" s="146"/>
      <c r="Z5569" s="147"/>
      <c r="AA5569" s="147"/>
      <c r="AB5569" s="110"/>
      <c r="AC5569" s="132"/>
      <c r="AD5569" s="148"/>
      <c r="AE5569" s="148"/>
    </row>
    <row r="5570" customFormat="false" ht="15" hidden="false" customHeight="true" outlineLevel="0" collapsed="false">
      <c r="A5570" s="141"/>
      <c r="B5570" s="131"/>
      <c r="C5570" s="132"/>
      <c r="D5570" s="131"/>
      <c r="E5570" s="110"/>
      <c r="F5570" s="110"/>
      <c r="G5570" s="110"/>
      <c r="H5570" s="131"/>
      <c r="I5570" s="131"/>
      <c r="J5570" s="142"/>
      <c r="K5570" s="142"/>
      <c r="L5570" s="140"/>
      <c r="M5570" s="131"/>
      <c r="N5570" s="131"/>
      <c r="O5570" s="131"/>
      <c r="P5570" s="143"/>
      <c r="Q5570" s="66"/>
      <c r="R5570" s="131"/>
      <c r="S5570" s="144"/>
      <c r="T5570" s="131"/>
      <c r="U5570" s="131"/>
      <c r="V5570" s="131"/>
      <c r="W5570" s="131"/>
      <c r="X5570" s="145"/>
      <c r="Y5570" s="146"/>
      <c r="Z5570" s="147"/>
      <c r="AA5570" s="147"/>
      <c r="AB5570" s="110"/>
      <c r="AC5570" s="132"/>
      <c r="AD5570" s="148"/>
      <c r="AE5570" s="148"/>
    </row>
    <row r="5571" customFormat="false" ht="15" hidden="false" customHeight="true" outlineLevel="0" collapsed="false">
      <c r="A5571" s="141"/>
      <c r="B5571" s="131"/>
      <c r="C5571" s="132"/>
      <c r="D5571" s="131"/>
      <c r="E5571" s="110"/>
      <c r="F5571" s="110"/>
      <c r="G5571" s="110"/>
      <c r="H5571" s="131"/>
      <c r="I5571" s="131"/>
      <c r="J5571" s="142"/>
      <c r="K5571" s="142"/>
      <c r="L5571" s="140"/>
      <c r="M5571" s="131"/>
      <c r="N5571" s="131"/>
      <c r="O5571" s="131"/>
      <c r="P5571" s="143"/>
      <c r="Q5571" s="66"/>
      <c r="R5571" s="131"/>
      <c r="S5571" s="144"/>
      <c r="T5571" s="131"/>
      <c r="U5571" s="131"/>
      <c r="V5571" s="131"/>
      <c r="W5571" s="131"/>
      <c r="X5571" s="145"/>
      <c r="Y5571" s="146"/>
      <c r="Z5571" s="147"/>
      <c r="AA5571" s="147"/>
      <c r="AB5571" s="110"/>
      <c r="AC5571" s="132"/>
      <c r="AD5571" s="148"/>
      <c r="AE5571" s="148"/>
    </row>
    <row r="5572" customFormat="false" ht="15" hidden="false" customHeight="true" outlineLevel="0" collapsed="false">
      <c r="A5572" s="141"/>
      <c r="B5572" s="131"/>
      <c r="C5572" s="132"/>
      <c r="D5572" s="131"/>
      <c r="E5572" s="110"/>
      <c r="F5572" s="110"/>
      <c r="G5572" s="110"/>
      <c r="H5572" s="131"/>
      <c r="I5572" s="131"/>
      <c r="J5572" s="142"/>
      <c r="K5572" s="142"/>
      <c r="L5572" s="140"/>
      <c r="M5572" s="131"/>
      <c r="N5572" s="131"/>
      <c r="O5572" s="131"/>
      <c r="P5572" s="143"/>
      <c r="Q5572" s="66"/>
      <c r="R5572" s="131"/>
      <c r="S5572" s="144"/>
      <c r="T5572" s="131"/>
      <c r="U5572" s="131"/>
      <c r="V5572" s="131"/>
      <c r="W5572" s="131"/>
      <c r="X5572" s="145"/>
      <c r="Y5572" s="146"/>
      <c r="Z5572" s="147"/>
      <c r="AA5572" s="147"/>
      <c r="AB5572" s="110"/>
      <c r="AC5572" s="132"/>
      <c r="AD5572" s="148"/>
      <c r="AE5572" s="148"/>
    </row>
    <row r="5573" customFormat="false" ht="15" hidden="false" customHeight="true" outlineLevel="0" collapsed="false">
      <c r="A5573" s="141"/>
      <c r="B5573" s="131"/>
      <c r="C5573" s="132"/>
      <c r="D5573" s="131"/>
      <c r="E5573" s="110"/>
      <c r="F5573" s="110"/>
      <c r="G5573" s="110"/>
      <c r="H5573" s="131"/>
      <c r="I5573" s="131"/>
      <c r="J5573" s="142"/>
      <c r="K5573" s="142"/>
      <c r="L5573" s="140"/>
      <c r="M5573" s="131"/>
      <c r="N5573" s="131"/>
      <c r="O5573" s="131"/>
      <c r="P5573" s="143"/>
      <c r="Q5573" s="66"/>
      <c r="R5573" s="131"/>
      <c r="S5573" s="144"/>
      <c r="T5573" s="131"/>
      <c r="U5573" s="131"/>
      <c r="V5573" s="131"/>
      <c r="W5573" s="131"/>
      <c r="X5573" s="145"/>
      <c r="Y5573" s="146"/>
      <c r="Z5573" s="147"/>
      <c r="AA5573" s="147"/>
      <c r="AB5573" s="110"/>
      <c r="AC5573" s="132"/>
      <c r="AD5573" s="148"/>
      <c r="AE5573" s="148"/>
    </row>
    <row r="5574" customFormat="false" ht="15" hidden="false" customHeight="true" outlineLevel="0" collapsed="false">
      <c r="A5574" s="141"/>
      <c r="B5574" s="131"/>
      <c r="C5574" s="132"/>
      <c r="D5574" s="131"/>
      <c r="E5574" s="110"/>
      <c r="F5574" s="110"/>
      <c r="G5574" s="110"/>
      <c r="H5574" s="131"/>
      <c r="I5574" s="131"/>
      <c r="J5574" s="142"/>
      <c r="K5574" s="142"/>
      <c r="L5574" s="140"/>
      <c r="M5574" s="131"/>
      <c r="N5574" s="131"/>
      <c r="O5574" s="131"/>
      <c r="P5574" s="143"/>
      <c r="Q5574" s="66"/>
      <c r="R5574" s="131"/>
      <c r="S5574" s="144"/>
      <c r="T5574" s="131"/>
      <c r="U5574" s="131"/>
      <c r="V5574" s="131"/>
      <c r="W5574" s="131"/>
      <c r="X5574" s="145"/>
      <c r="Y5574" s="146"/>
      <c r="Z5574" s="147"/>
      <c r="AA5574" s="147"/>
      <c r="AB5574" s="110"/>
      <c r="AC5574" s="132"/>
      <c r="AD5574" s="148"/>
      <c r="AE5574" s="148"/>
    </row>
    <row r="5575" customFormat="false" ht="15" hidden="false" customHeight="true" outlineLevel="0" collapsed="false">
      <c r="A5575" s="141"/>
      <c r="B5575" s="131"/>
      <c r="C5575" s="132"/>
      <c r="D5575" s="131"/>
      <c r="E5575" s="110"/>
      <c r="F5575" s="110"/>
      <c r="G5575" s="110"/>
      <c r="H5575" s="131"/>
      <c r="I5575" s="131"/>
      <c r="J5575" s="142"/>
      <c r="K5575" s="142"/>
      <c r="L5575" s="140"/>
      <c r="M5575" s="131"/>
      <c r="N5575" s="131"/>
      <c r="O5575" s="131"/>
      <c r="P5575" s="143"/>
      <c r="Q5575" s="66"/>
      <c r="R5575" s="131"/>
      <c r="S5575" s="144"/>
      <c r="T5575" s="131"/>
      <c r="U5575" s="131"/>
      <c r="V5575" s="131"/>
      <c r="W5575" s="131"/>
      <c r="X5575" s="145"/>
      <c r="Y5575" s="146"/>
      <c r="Z5575" s="147"/>
      <c r="AA5575" s="147"/>
      <c r="AB5575" s="110"/>
      <c r="AC5575" s="132"/>
      <c r="AD5575" s="148"/>
      <c r="AE5575" s="148"/>
    </row>
    <row r="5576" customFormat="false" ht="15" hidden="false" customHeight="true" outlineLevel="0" collapsed="false">
      <c r="A5576" s="141"/>
      <c r="B5576" s="131"/>
      <c r="C5576" s="132"/>
      <c r="D5576" s="131"/>
      <c r="E5576" s="110"/>
      <c r="F5576" s="110"/>
      <c r="G5576" s="110"/>
      <c r="H5576" s="131"/>
      <c r="I5576" s="131"/>
      <c r="J5576" s="142"/>
      <c r="K5576" s="142"/>
      <c r="L5576" s="140"/>
      <c r="M5576" s="131"/>
      <c r="N5576" s="131"/>
      <c r="O5576" s="131"/>
      <c r="P5576" s="143"/>
      <c r="Q5576" s="66"/>
      <c r="R5576" s="131"/>
      <c r="S5576" s="144"/>
      <c r="T5576" s="131"/>
      <c r="U5576" s="131"/>
      <c r="V5576" s="131"/>
      <c r="W5576" s="131"/>
      <c r="X5576" s="145"/>
      <c r="Y5576" s="146"/>
      <c r="Z5576" s="147"/>
      <c r="AA5576" s="147"/>
      <c r="AB5576" s="110"/>
      <c r="AC5576" s="132"/>
      <c r="AD5576" s="148"/>
      <c r="AE5576" s="148"/>
    </row>
    <row r="5577" customFormat="false" ht="15" hidden="false" customHeight="true" outlineLevel="0" collapsed="false">
      <c r="A5577" s="141"/>
      <c r="B5577" s="131"/>
      <c r="C5577" s="132"/>
      <c r="D5577" s="131"/>
      <c r="E5577" s="110"/>
      <c r="F5577" s="110"/>
      <c r="G5577" s="110"/>
      <c r="H5577" s="131"/>
      <c r="I5577" s="131"/>
      <c r="J5577" s="142"/>
      <c r="K5577" s="142"/>
      <c r="L5577" s="140"/>
      <c r="M5577" s="131"/>
      <c r="N5577" s="131"/>
      <c r="O5577" s="131"/>
      <c r="P5577" s="143"/>
      <c r="Q5577" s="66"/>
      <c r="R5577" s="131"/>
      <c r="S5577" s="144"/>
      <c r="T5577" s="131"/>
      <c r="U5577" s="131"/>
      <c r="V5577" s="131"/>
      <c r="W5577" s="131"/>
      <c r="X5577" s="145"/>
      <c r="Y5577" s="146"/>
      <c r="Z5577" s="147"/>
      <c r="AA5577" s="147"/>
      <c r="AB5577" s="110"/>
      <c r="AC5577" s="132"/>
      <c r="AD5577" s="148"/>
      <c r="AE5577" s="148"/>
    </row>
    <row r="5578" customFormat="false" ht="15" hidden="false" customHeight="true" outlineLevel="0" collapsed="false">
      <c r="A5578" s="141"/>
      <c r="B5578" s="131"/>
      <c r="C5578" s="132"/>
      <c r="D5578" s="131"/>
      <c r="E5578" s="110"/>
      <c r="F5578" s="110"/>
      <c r="G5578" s="110"/>
      <c r="H5578" s="131"/>
      <c r="I5578" s="131"/>
      <c r="J5578" s="142"/>
      <c r="K5578" s="142"/>
      <c r="L5578" s="140"/>
      <c r="M5578" s="131"/>
      <c r="N5578" s="131"/>
      <c r="O5578" s="131"/>
      <c r="P5578" s="143"/>
      <c r="Q5578" s="66"/>
      <c r="R5578" s="131"/>
      <c r="S5578" s="144"/>
      <c r="T5578" s="131"/>
      <c r="U5578" s="131"/>
      <c r="V5578" s="131"/>
      <c r="W5578" s="131"/>
      <c r="X5578" s="145"/>
      <c r="Y5578" s="146"/>
      <c r="Z5578" s="147"/>
      <c r="AA5578" s="147"/>
      <c r="AB5578" s="110"/>
      <c r="AC5578" s="132"/>
      <c r="AD5578" s="148"/>
      <c r="AE5578" s="148"/>
    </row>
    <row r="5579" customFormat="false" ht="15" hidden="false" customHeight="true" outlineLevel="0" collapsed="false">
      <c r="A5579" s="141"/>
      <c r="B5579" s="131"/>
      <c r="C5579" s="132"/>
      <c r="D5579" s="131"/>
      <c r="E5579" s="110"/>
      <c r="F5579" s="110"/>
      <c r="G5579" s="110"/>
      <c r="H5579" s="131"/>
      <c r="I5579" s="131"/>
      <c r="J5579" s="142"/>
      <c r="K5579" s="142"/>
      <c r="L5579" s="140"/>
      <c r="M5579" s="131"/>
      <c r="N5579" s="131"/>
      <c r="O5579" s="131"/>
      <c r="P5579" s="143"/>
      <c r="Q5579" s="66"/>
      <c r="R5579" s="131"/>
      <c r="S5579" s="144"/>
      <c r="T5579" s="131"/>
      <c r="U5579" s="131"/>
      <c r="V5579" s="131"/>
      <c r="W5579" s="131"/>
      <c r="X5579" s="145"/>
      <c r="Y5579" s="146"/>
      <c r="Z5579" s="147"/>
      <c r="AA5579" s="147"/>
      <c r="AB5579" s="110"/>
      <c r="AC5579" s="132"/>
      <c r="AD5579" s="148"/>
      <c r="AE5579" s="148"/>
    </row>
    <row r="5580" customFormat="false" ht="15" hidden="false" customHeight="true" outlineLevel="0" collapsed="false">
      <c r="A5580" s="141"/>
      <c r="B5580" s="131"/>
      <c r="C5580" s="132"/>
      <c r="D5580" s="131"/>
      <c r="E5580" s="110"/>
      <c r="F5580" s="110"/>
      <c r="G5580" s="110"/>
      <c r="H5580" s="131"/>
      <c r="I5580" s="131"/>
      <c r="J5580" s="142"/>
      <c r="K5580" s="142"/>
      <c r="L5580" s="140"/>
      <c r="M5580" s="131"/>
      <c r="N5580" s="131"/>
      <c r="O5580" s="131"/>
      <c r="P5580" s="143"/>
      <c r="Q5580" s="66"/>
      <c r="R5580" s="131"/>
      <c r="S5580" s="144"/>
      <c r="T5580" s="131"/>
      <c r="U5580" s="131"/>
      <c r="V5580" s="131"/>
      <c r="W5580" s="131"/>
      <c r="X5580" s="145"/>
      <c r="Y5580" s="146"/>
      <c r="Z5580" s="147"/>
      <c r="AA5580" s="147"/>
      <c r="AB5580" s="110"/>
      <c r="AC5580" s="132"/>
      <c r="AD5580" s="148"/>
      <c r="AE5580" s="148"/>
    </row>
    <row r="5581" customFormat="false" ht="15" hidden="false" customHeight="true" outlineLevel="0" collapsed="false">
      <c r="A5581" s="141"/>
      <c r="B5581" s="131"/>
      <c r="C5581" s="132"/>
      <c r="D5581" s="131"/>
      <c r="E5581" s="110"/>
      <c r="F5581" s="110"/>
      <c r="G5581" s="110"/>
      <c r="H5581" s="131"/>
      <c r="I5581" s="131"/>
      <c r="J5581" s="142"/>
      <c r="K5581" s="142"/>
      <c r="L5581" s="140"/>
      <c r="M5581" s="131"/>
      <c r="N5581" s="131"/>
      <c r="O5581" s="131"/>
      <c r="P5581" s="143"/>
      <c r="Q5581" s="66"/>
      <c r="R5581" s="131"/>
      <c r="S5581" s="144"/>
      <c r="T5581" s="131"/>
      <c r="U5581" s="131"/>
      <c r="V5581" s="131"/>
      <c r="W5581" s="131"/>
      <c r="X5581" s="145"/>
      <c r="Y5581" s="146"/>
      <c r="Z5581" s="147"/>
      <c r="AA5581" s="147"/>
      <c r="AB5581" s="110"/>
      <c r="AC5581" s="132"/>
      <c r="AD5581" s="148"/>
      <c r="AE5581" s="148"/>
    </row>
    <row r="5582" customFormat="false" ht="15" hidden="false" customHeight="true" outlineLevel="0" collapsed="false">
      <c r="A5582" s="141"/>
      <c r="B5582" s="131"/>
      <c r="C5582" s="132"/>
      <c r="D5582" s="131"/>
      <c r="E5582" s="110"/>
      <c r="F5582" s="110"/>
      <c r="G5582" s="110"/>
      <c r="H5582" s="131"/>
      <c r="I5582" s="131"/>
      <c r="J5582" s="142"/>
      <c r="K5582" s="142"/>
      <c r="L5582" s="140"/>
      <c r="M5582" s="131"/>
      <c r="N5582" s="131"/>
      <c r="O5582" s="131"/>
      <c r="P5582" s="143"/>
      <c r="Q5582" s="66"/>
      <c r="R5582" s="131"/>
      <c r="S5582" s="144"/>
      <c r="T5582" s="131"/>
      <c r="U5582" s="131"/>
      <c r="V5582" s="131"/>
      <c r="W5582" s="131"/>
      <c r="X5582" s="145"/>
      <c r="Y5582" s="146"/>
      <c r="Z5582" s="147"/>
      <c r="AA5582" s="147"/>
      <c r="AB5582" s="110"/>
      <c r="AC5582" s="132"/>
      <c r="AD5582" s="148"/>
      <c r="AE5582" s="148"/>
    </row>
    <row r="5583" customFormat="false" ht="15" hidden="false" customHeight="true" outlineLevel="0" collapsed="false">
      <c r="A5583" s="141"/>
      <c r="B5583" s="131"/>
      <c r="C5583" s="132"/>
      <c r="D5583" s="131"/>
      <c r="E5583" s="110"/>
      <c r="F5583" s="110"/>
      <c r="G5583" s="110"/>
      <c r="H5583" s="131"/>
      <c r="I5583" s="131"/>
      <c r="J5583" s="142"/>
      <c r="K5583" s="142"/>
      <c r="L5583" s="140"/>
      <c r="M5583" s="131"/>
      <c r="N5583" s="131"/>
      <c r="O5583" s="131"/>
      <c r="P5583" s="143"/>
      <c r="Q5583" s="66"/>
      <c r="R5583" s="131"/>
      <c r="S5583" s="144"/>
      <c r="T5583" s="131"/>
      <c r="U5583" s="131"/>
      <c r="V5583" s="131"/>
      <c r="W5583" s="131"/>
      <c r="X5583" s="145"/>
      <c r="Y5583" s="146"/>
      <c r="Z5583" s="147"/>
      <c r="AA5583" s="147"/>
      <c r="AB5583" s="110"/>
      <c r="AC5583" s="132"/>
      <c r="AD5583" s="148"/>
      <c r="AE5583" s="148"/>
    </row>
    <row r="5584" customFormat="false" ht="15" hidden="false" customHeight="true" outlineLevel="0" collapsed="false">
      <c r="A5584" s="141"/>
      <c r="B5584" s="131"/>
      <c r="C5584" s="132"/>
      <c r="D5584" s="131"/>
      <c r="E5584" s="110"/>
      <c r="F5584" s="110"/>
      <c r="G5584" s="110"/>
      <c r="H5584" s="131"/>
      <c r="I5584" s="131"/>
      <c r="J5584" s="142"/>
      <c r="K5584" s="142"/>
      <c r="L5584" s="140"/>
      <c r="M5584" s="131"/>
      <c r="N5584" s="131"/>
      <c r="O5584" s="131"/>
      <c r="P5584" s="143"/>
      <c r="Q5584" s="66"/>
      <c r="R5584" s="131"/>
      <c r="S5584" s="144"/>
      <c r="T5584" s="131"/>
      <c r="U5584" s="131"/>
      <c r="V5584" s="131"/>
      <c r="W5584" s="131"/>
      <c r="X5584" s="145"/>
      <c r="Y5584" s="146"/>
      <c r="Z5584" s="147"/>
      <c r="AA5584" s="147"/>
      <c r="AB5584" s="110"/>
      <c r="AC5584" s="132"/>
      <c r="AD5584" s="148"/>
      <c r="AE5584" s="148"/>
    </row>
    <row r="5585" customFormat="false" ht="15" hidden="false" customHeight="true" outlineLevel="0" collapsed="false">
      <c r="A5585" s="141"/>
      <c r="B5585" s="131"/>
      <c r="C5585" s="132"/>
      <c r="D5585" s="131"/>
      <c r="E5585" s="110"/>
      <c r="F5585" s="110"/>
      <c r="G5585" s="110"/>
      <c r="H5585" s="131"/>
      <c r="I5585" s="131"/>
      <c r="J5585" s="142"/>
      <c r="K5585" s="142"/>
      <c r="L5585" s="140"/>
      <c r="M5585" s="131"/>
      <c r="N5585" s="131"/>
      <c r="O5585" s="131"/>
      <c r="P5585" s="143"/>
      <c r="Q5585" s="66"/>
      <c r="R5585" s="131"/>
      <c r="S5585" s="144"/>
      <c r="T5585" s="131"/>
      <c r="U5585" s="131"/>
      <c r="V5585" s="131"/>
      <c r="W5585" s="131"/>
      <c r="X5585" s="145"/>
      <c r="Y5585" s="146"/>
      <c r="Z5585" s="147"/>
      <c r="AA5585" s="147"/>
      <c r="AB5585" s="110"/>
      <c r="AC5585" s="132"/>
      <c r="AD5585" s="148"/>
      <c r="AE5585" s="148"/>
    </row>
    <row r="5586" customFormat="false" ht="15" hidden="false" customHeight="true" outlineLevel="0" collapsed="false">
      <c r="A5586" s="141"/>
      <c r="B5586" s="131"/>
      <c r="C5586" s="132"/>
      <c r="D5586" s="131"/>
      <c r="E5586" s="110"/>
      <c r="F5586" s="110"/>
      <c r="G5586" s="110"/>
      <c r="H5586" s="131"/>
      <c r="I5586" s="131"/>
      <c r="J5586" s="142"/>
      <c r="K5586" s="142"/>
      <c r="L5586" s="140"/>
      <c r="M5586" s="131"/>
      <c r="N5586" s="131"/>
      <c r="O5586" s="131"/>
      <c r="P5586" s="143"/>
      <c r="Q5586" s="66"/>
      <c r="R5586" s="131"/>
      <c r="S5586" s="144"/>
      <c r="T5586" s="131"/>
      <c r="U5586" s="131"/>
      <c r="V5586" s="131"/>
      <c r="W5586" s="131"/>
      <c r="X5586" s="145"/>
      <c r="Y5586" s="146"/>
      <c r="Z5586" s="147"/>
      <c r="AA5586" s="147"/>
      <c r="AB5586" s="110"/>
      <c r="AC5586" s="132"/>
      <c r="AD5586" s="148"/>
      <c r="AE5586" s="148"/>
    </row>
    <row r="5587" customFormat="false" ht="15" hidden="false" customHeight="true" outlineLevel="0" collapsed="false">
      <c r="A5587" s="141"/>
      <c r="B5587" s="131"/>
      <c r="C5587" s="132"/>
      <c r="D5587" s="131"/>
      <c r="E5587" s="110"/>
      <c r="F5587" s="110"/>
      <c r="G5587" s="110"/>
      <c r="H5587" s="131"/>
      <c r="I5587" s="131"/>
      <c r="J5587" s="142"/>
      <c r="K5587" s="142"/>
      <c r="L5587" s="140"/>
      <c r="M5587" s="131"/>
      <c r="N5587" s="131"/>
      <c r="O5587" s="131"/>
      <c r="P5587" s="143"/>
      <c r="Q5587" s="66"/>
      <c r="R5587" s="131"/>
      <c r="S5587" s="144"/>
      <c r="T5587" s="131"/>
      <c r="U5587" s="131"/>
      <c r="V5587" s="131"/>
      <c r="W5587" s="131"/>
      <c r="X5587" s="145"/>
      <c r="Y5587" s="146"/>
      <c r="Z5587" s="147"/>
      <c r="AA5587" s="147"/>
      <c r="AB5587" s="110"/>
      <c r="AC5587" s="132"/>
      <c r="AD5587" s="148"/>
      <c r="AE5587" s="148"/>
    </row>
    <row r="5588" customFormat="false" ht="15" hidden="false" customHeight="true" outlineLevel="0" collapsed="false">
      <c r="A5588" s="141"/>
      <c r="B5588" s="131"/>
      <c r="C5588" s="132"/>
      <c r="D5588" s="131"/>
      <c r="E5588" s="110"/>
      <c r="F5588" s="110"/>
      <c r="G5588" s="110"/>
      <c r="H5588" s="131"/>
      <c r="I5588" s="131"/>
      <c r="J5588" s="142"/>
      <c r="K5588" s="142"/>
      <c r="L5588" s="140"/>
      <c r="M5588" s="131"/>
      <c r="N5588" s="131"/>
      <c r="O5588" s="131"/>
      <c r="P5588" s="143"/>
      <c r="Q5588" s="66"/>
      <c r="R5588" s="131"/>
      <c r="S5588" s="144"/>
      <c r="T5588" s="131"/>
      <c r="U5588" s="131"/>
      <c r="V5588" s="131"/>
      <c r="W5588" s="131"/>
      <c r="X5588" s="145"/>
      <c r="Y5588" s="146"/>
      <c r="Z5588" s="147"/>
      <c r="AA5588" s="147"/>
      <c r="AB5588" s="110"/>
      <c r="AC5588" s="132"/>
      <c r="AD5588" s="148"/>
      <c r="AE5588" s="148"/>
    </row>
    <row r="5589" customFormat="false" ht="15" hidden="false" customHeight="true" outlineLevel="0" collapsed="false">
      <c r="A5589" s="141"/>
      <c r="B5589" s="131"/>
      <c r="C5589" s="132"/>
      <c r="D5589" s="131"/>
      <c r="E5589" s="110"/>
      <c r="F5589" s="110"/>
      <c r="G5589" s="110"/>
      <c r="H5589" s="131"/>
      <c r="I5589" s="131"/>
      <c r="J5589" s="142"/>
      <c r="K5589" s="142"/>
      <c r="L5589" s="140"/>
      <c r="M5589" s="131"/>
      <c r="N5589" s="131"/>
      <c r="O5589" s="131"/>
      <c r="P5589" s="143"/>
      <c r="Q5589" s="66"/>
      <c r="R5589" s="131"/>
      <c r="S5589" s="144"/>
      <c r="T5589" s="131"/>
      <c r="U5589" s="131"/>
      <c r="V5589" s="131"/>
      <c r="W5589" s="131"/>
      <c r="X5589" s="145"/>
      <c r="Y5589" s="146"/>
      <c r="Z5589" s="147"/>
      <c r="AA5589" s="147"/>
      <c r="AB5589" s="110"/>
      <c r="AC5589" s="132"/>
      <c r="AD5589" s="148"/>
      <c r="AE5589" s="148"/>
    </row>
    <row r="5590" customFormat="false" ht="15" hidden="false" customHeight="true" outlineLevel="0" collapsed="false">
      <c r="A5590" s="141"/>
      <c r="B5590" s="131"/>
      <c r="C5590" s="132"/>
      <c r="D5590" s="131"/>
      <c r="E5590" s="110"/>
      <c r="F5590" s="110"/>
      <c r="G5590" s="110"/>
      <c r="H5590" s="131"/>
      <c r="I5590" s="131"/>
      <c r="J5590" s="142"/>
      <c r="K5590" s="142"/>
      <c r="L5590" s="140"/>
      <c r="M5590" s="131"/>
      <c r="N5590" s="131"/>
      <c r="O5590" s="131"/>
      <c r="P5590" s="143"/>
      <c r="Q5590" s="66"/>
      <c r="R5590" s="131"/>
      <c r="S5590" s="144"/>
      <c r="T5590" s="131"/>
      <c r="U5590" s="131"/>
      <c r="V5590" s="131"/>
      <c r="W5590" s="131"/>
      <c r="X5590" s="145"/>
      <c r="Y5590" s="146"/>
      <c r="Z5590" s="147"/>
      <c r="AA5590" s="147"/>
      <c r="AB5590" s="110"/>
      <c r="AC5590" s="132"/>
      <c r="AD5590" s="148"/>
      <c r="AE5590" s="148"/>
    </row>
    <row r="5591" customFormat="false" ht="15" hidden="false" customHeight="true" outlineLevel="0" collapsed="false">
      <c r="A5591" s="141"/>
      <c r="B5591" s="131"/>
      <c r="C5591" s="132"/>
      <c r="D5591" s="131"/>
      <c r="E5591" s="110"/>
      <c r="F5591" s="110"/>
      <c r="G5591" s="110"/>
      <c r="H5591" s="131"/>
      <c r="I5591" s="131"/>
      <c r="J5591" s="142"/>
      <c r="K5591" s="142"/>
      <c r="L5591" s="140"/>
      <c r="M5591" s="131"/>
      <c r="N5591" s="131"/>
      <c r="O5591" s="131"/>
      <c r="P5591" s="143"/>
      <c r="Q5591" s="66"/>
      <c r="R5591" s="131"/>
      <c r="S5591" s="144"/>
      <c r="T5591" s="131"/>
      <c r="U5591" s="131"/>
      <c r="V5591" s="131"/>
      <c r="W5591" s="131"/>
      <c r="X5591" s="145"/>
      <c r="Y5591" s="146"/>
      <c r="Z5591" s="147"/>
      <c r="AA5591" s="147"/>
      <c r="AB5591" s="110"/>
      <c r="AC5591" s="132"/>
      <c r="AD5591" s="148"/>
      <c r="AE5591" s="148"/>
    </row>
    <row r="5592" customFormat="false" ht="15" hidden="false" customHeight="true" outlineLevel="0" collapsed="false">
      <c r="A5592" s="141"/>
      <c r="B5592" s="131"/>
      <c r="C5592" s="132"/>
      <c r="D5592" s="131"/>
      <c r="E5592" s="110"/>
      <c r="F5592" s="110"/>
      <c r="G5592" s="110"/>
      <c r="H5592" s="131"/>
      <c r="I5592" s="131"/>
      <c r="J5592" s="142"/>
      <c r="K5592" s="142"/>
      <c r="L5592" s="140"/>
      <c r="M5592" s="131"/>
      <c r="N5592" s="131"/>
      <c r="O5592" s="131"/>
      <c r="P5592" s="143"/>
      <c r="Q5592" s="66"/>
      <c r="R5592" s="131"/>
      <c r="S5592" s="144"/>
      <c r="T5592" s="131"/>
      <c r="U5592" s="131"/>
      <c r="V5592" s="131"/>
      <c r="W5592" s="131"/>
      <c r="X5592" s="145"/>
      <c r="Y5592" s="146"/>
      <c r="Z5592" s="147"/>
      <c r="AA5592" s="147"/>
      <c r="AB5592" s="110"/>
      <c r="AC5592" s="132"/>
      <c r="AD5592" s="148"/>
      <c r="AE5592" s="148"/>
    </row>
    <row r="5593" customFormat="false" ht="15" hidden="false" customHeight="true" outlineLevel="0" collapsed="false">
      <c r="A5593" s="141"/>
      <c r="B5593" s="131"/>
      <c r="C5593" s="132"/>
      <c r="D5593" s="131"/>
      <c r="E5593" s="110"/>
      <c r="F5593" s="110"/>
      <c r="G5593" s="110"/>
      <c r="H5593" s="131"/>
      <c r="I5593" s="131"/>
      <c r="J5593" s="142"/>
      <c r="K5593" s="142"/>
      <c r="L5593" s="140"/>
      <c r="M5593" s="131"/>
      <c r="N5593" s="131"/>
      <c r="O5593" s="131"/>
      <c r="P5593" s="143"/>
      <c r="Q5593" s="66"/>
      <c r="R5593" s="131"/>
      <c r="S5593" s="144"/>
      <c r="T5593" s="131"/>
      <c r="U5593" s="131"/>
      <c r="V5593" s="131"/>
      <c r="W5593" s="131"/>
      <c r="X5593" s="145"/>
      <c r="Y5593" s="146"/>
      <c r="Z5593" s="147"/>
      <c r="AA5593" s="147"/>
      <c r="AB5593" s="110"/>
      <c r="AC5593" s="132"/>
      <c r="AD5593" s="148"/>
      <c r="AE5593" s="148"/>
    </row>
    <row r="5594" customFormat="false" ht="15" hidden="false" customHeight="true" outlineLevel="0" collapsed="false">
      <c r="A5594" s="141"/>
      <c r="B5594" s="131"/>
      <c r="C5594" s="132"/>
      <c r="D5594" s="131"/>
      <c r="E5594" s="110"/>
      <c r="F5594" s="110"/>
      <c r="G5594" s="110"/>
      <c r="H5594" s="131"/>
      <c r="I5594" s="131"/>
      <c r="J5594" s="142"/>
      <c r="K5594" s="142"/>
      <c r="L5594" s="140"/>
      <c r="M5594" s="131"/>
      <c r="N5594" s="131"/>
      <c r="O5594" s="131"/>
      <c r="P5594" s="143"/>
      <c r="Q5594" s="66"/>
      <c r="R5594" s="131"/>
      <c r="S5594" s="144"/>
      <c r="T5594" s="131"/>
      <c r="U5594" s="131"/>
      <c r="V5594" s="131"/>
      <c r="W5594" s="131"/>
      <c r="X5594" s="145"/>
      <c r="Y5594" s="146"/>
      <c r="Z5594" s="147"/>
      <c r="AA5594" s="147"/>
      <c r="AB5594" s="110"/>
      <c r="AC5594" s="132"/>
      <c r="AD5594" s="148"/>
      <c r="AE5594" s="148"/>
    </row>
    <row r="5595" customFormat="false" ht="15" hidden="false" customHeight="true" outlineLevel="0" collapsed="false">
      <c r="A5595" s="141"/>
      <c r="B5595" s="131"/>
      <c r="C5595" s="132"/>
      <c r="D5595" s="131"/>
      <c r="E5595" s="110"/>
      <c r="F5595" s="110"/>
      <c r="G5595" s="110"/>
      <c r="H5595" s="131"/>
      <c r="I5595" s="131"/>
      <c r="J5595" s="142"/>
      <c r="K5595" s="142"/>
      <c r="L5595" s="140"/>
      <c r="M5595" s="131"/>
      <c r="N5595" s="131"/>
      <c r="O5595" s="131"/>
      <c r="P5595" s="143"/>
      <c r="Q5595" s="66"/>
      <c r="R5595" s="131"/>
      <c r="S5595" s="144"/>
      <c r="T5595" s="131"/>
      <c r="U5595" s="131"/>
      <c r="V5595" s="131"/>
      <c r="W5595" s="131"/>
      <c r="X5595" s="145"/>
      <c r="Y5595" s="146"/>
      <c r="Z5595" s="147"/>
      <c r="AA5595" s="147"/>
      <c r="AB5595" s="110"/>
      <c r="AC5595" s="132"/>
      <c r="AD5595" s="148"/>
      <c r="AE5595" s="148"/>
    </row>
    <row r="5596" customFormat="false" ht="15" hidden="false" customHeight="true" outlineLevel="0" collapsed="false">
      <c r="A5596" s="141"/>
      <c r="B5596" s="131"/>
      <c r="C5596" s="132"/>
      <c r="D5596" s="131"/>
      <c r="E5596" s="110"/>
      <c r="F5596" s="110"/>
      <c r="G5596" s="110"/>
      <c r="H5596" s="131"/>
      <c r="I5596" s="131"/>
      <c r="J5596" s="142"/>
      <c r="K5596" s="142"/>
      <c r="L5596" s="140"/>
      <c r="M5596" s="131"/>
      <c r="N5596" s="131"/>
      <c r="O5596" s="131"/>
      <c r="P5596" s="143"/>
      <c r="Q5596" s="66"/>
      <c r="R5596" s="131"/>
      <c r="S5596" s="144"/>
      <c r="T5596" s="131"/>
      <c r="U5596" s="131"/>
      <c r="V5596" s="131"/>
      <c r="W5596" s="131"/>
      <c r="X5596" s="145"/>
      <c r="Y5596" s="146"/>
      <c r="Z5596" s="147"/>
      <c r="AA5596" s="147"/>
      <c r="AB5596" s="110"/>
      <c r="AC5596" s="132"/>
      <c r="AD5596" s="148"/>
      <c r="AE5596" s="148"/>
    </row>
    <row r="5597" customFormat="false" ht="15" hidden="false" customHeight="true" outlineLevel="0" collapsed="false">
      <c r="A5597" s="141"/>
      <c r="B5597" s="131"/>
      <c r="C5597" s="132"/>
      <c r="D5597" s="131"/>
      <c r="E5597" s="110"/>
      <c r="F5597" s="110"/>
      <c r="G5597" s="110"/>
      <c r="H5597" s="131"/>
      <c r="I5597" s="131"/>
      <c r="J5597" s="142"/>
      <c r="K5597" s="142"/>
      <c r="L5597" s="140"/>
      <c r="M5597" s="131"/>
      <c r="N5597" s="131"/>
      <c r="O5597" s="131"/>
      <c r="P5597" s="143"/>
      <c r="Q5597" s="66"/>
      <c r="R5597" s="131"/>
      <c r="S5597" s="144"/>
      <c r="T5597" s="131"/>
      <c r="U5597" s="131"/>
      <c r="V5597" s="131"/>
      <c r="W5597" s="131"/>
      <c r="X5597" s="145"/>
      <c r="Y5597" s="146"/>
      <c r="Z5597" s="147"/>
      <c r="AA5597" s="147"/>
      <c r="AB5597" s="110"/>
      <c r="AC5597" s="132"/>
      <c r="AD5597" s="148"/>
      <c r="AE5597" s="148"/>
    </row>
    <row r="5598" customFormat="false" ht="15" hidden="false" customHeight="true" outlineLevel="0" collapsed="false">
      <c r="A5598" s="141"/>
      <c r="B5598" s="131"/>
      <c r="C5598" s="132"/>
      <c r="D5598" s="131"/>
      <c r="E5598" s="110"/>
      <c r="F5598" s="110"/>
      <c r="G5598" s="110"/>
      <c r="H5598" s="131"/>
      <c r="I5598" s="131"/>
      <c r="J5598" s="142"/>
      <c r="K5598" s="142"/>
      <c r="L5598" s="140"/>
      <c r="M5598" s="131"/>
      <c r="N5598" s="131"/>
      <c r="O5598" s="131"/>
      <c r="P5598" s="143"/>
      <c r="Q5598" s="66"/>
      <c r="R5598" s="131"/>
      <c r="S5598" s="144"/>
      <c r="T5598" s="131"/>
      <c r="U5598" s="131"/>
      <c r="V5598" s="131"/>
      <c r="W5598" s="131"/>
      <c r="X5598" s="145"/>
      <c r="Y5598" s="146"/>
      <c r="Z5598" s="147"/>
      <c r="AA5598" s="147"/>
      <c r="AB5598" s="110"/>
      <c r="AC5598" s="132"/>
      <c r="AD5598" s="148"/>
      <c r="AE5598" s="148"/>
    </row>
    <row r="5599" customFormat="false" ht="15" hidden="false" customHeight="true" outlineLevel="0" collapsed="false">
      <c r="A5599" s="141"/>
      <c r="B5599" s="131"/>
      <c r="C5599" s="132"/>
      <c r="D5599" s="131"/>
      <c r="E5599" s="110"/>
      <c r="F5599" s="110"/>
      <c r="G5599" s="110"/>
      <c r="H5599" s="131"/>
      <c r="I5599" s="131"/>
      <c r="J5599" s="142"/>
      <c r="K5599" s="142"/>
      <c r="L5599" s="140"/>
      <c r="M5599" s="131"/>
      <c r="N5599" s="131"/>
      <c r="O5599" s="131"/>
      <c r="P5599" s="143"/>
      <c r="Q5599" s="66"/>
      <c r="R5599" s="131"/>
      <c r="S5599" s="144"/>
      <c r="T5599" s="131"/>
      <c r="U5599" s="131"/>
      <c r="V5599" s="131"/>
      <c r="W5599" s="131"/>
      <c r="X5599" s="145"/>
      <c r="Y5599" s="146"/>
      <c r="Z5599" s="147"/>
      <c r="AA5599" s="147"/>
      <c r="AB5599" s="110"/>
      <c r="AC5599" s="132"/>
      <c r="AD5599" s="148"/>
      <c r="AE5599" s="148"/>
    </row>
    <row r="5600" customFormat="false" ht="15" hidden="false" customHeight="true" outlineLevel="0" collapsed="false">
      <c r="A5600" s="141"/>
      <c r="B5600" s="131"/>
      <c r="C5600" s="132"/>
      <c r="D5600" s="131"/>
      <c r="E5600" s="110"/>
      <c r="F5600" s="110"/>
      <c r="G5600" s="110"/>
      <c r="H5600" s="131"/>
      <c r="I5600" s="131"/>
      <c r="J5600" s="142"/>
      <c r="K5600" s="142"/>
      <c r="L5600" s="140"/>
      <c r="M5600" s="131"/>
      <c r="N5600" s="131"/>
      <c r="O5600" s="131"/>
      <c r="P5600" s="143"/>
      <c r="Q5600" s="66"/>
      <c r="R5600" s="131"/>
      <c r="S5600" s="144"/>
      <c r="T5600" s="131"/>
      <c r="U5600" s="131"/>
      <c r="V5600" s="131"/>
      <c r="W5600" s="131"/>
      <c r="X5600" s="145"/>
      <c r="Y5600" s="146"/>
      <c r="Z5600" s="147"/>
      <c r="AA5600" s="147"/>
      <c r="AB5600" s="110"/>
      <c r="AC5600" s="132"/>
      <c r="AD5600" s="148"/>
      <c r="AE5600" s="148"/>
    </row>
    <row r="5601" customFormat="false" ht="15" hidden="false" customHeight="true" outlineLevel="0" collapsed="false">
      <c r="A5601" s="141"/>
      <c r="B5601" s="131"/>
      <c r="C5601" s="132"/>
      <c r="D5601" s="131"/>
      <c r="E5601" s="110"/>
      <c r="F5601" s="110"/>
      <c r="G5601" s="110"/>
      <c r="H5601" s="131"/>
      <c r="I5601" s="131"/>
      <c r="J5601" s="142"/>
      <c r="K5601" s="142"/>
      <c r="L5601" s="140"/>
      <c r="M5601" s="131"/>
      <c r="N5601" s="131"/>
      <c r="O5601" s="131"/>
      <c r="P5601" s="143"/>
      <c r="Q5601" s="66"/>
      <c r="R5601" s="131"/>
      <c r="S5601" s="144"/>
      <c r="T5601" s="131"/>
      <c r="U5601" s="131"/>
      <c r="V5601" s="131"/>
      <c r="W5601" s="131"/>
      <c r="X5601" s="145"/>
      <c r="Y5601" s="146"/>
      <c r="Z5601" s="147"/>
      <c r="AA5601" s="147"/>
      <c r="AB5601" s="110"/>
      <c r="AC5601" s="132"/>
      <c r="AD5601" s="148"/>
      <c r="AE5601" s="148"/>
    </row>
    <row r="5602" customFormat="false" ht="15" hidden="false" customHeight="true" outlineLevel="0" collapsed="false">
      <c r="A5602" s="141"/>
      <c r="B5602" s="131"/>
      <c r="C5602" s="132"/>
      <c r="D5602" s="131"/>
      <c r="E5602" s="110"/>
      <c r="F5602" s="110"/>
      <c r="G5602" s="110"/>
      <c r="H5602" s="131"/>
      <c r="I5602" s="131"/>
      <c r="J5602" s="142"/>
      <c r="K5602" s="142"/>
      <c r="L5602" s="140"/>
      <c r="M5602" s="131"/>
      <c r="N5602" s="131"/>
      <c r="O5602" s="131"/>
      <c r="P5602" s="143"/>
      <c r="Q5602" s="66"/>
      <c r="R5602" s="131"/>
      <c r="S5602" s="144"/>
      <c r="T5602" s="131"/>
      <c r="U5602" s="131"/>
      <c r="V5602" s="131"/>
      <c r="W5602" s="131"/>
      <c r="X5602" s="145"/>
      <c r="Y5602" s="146"/>
      <c r="Z5602" s="147"/>
      <c r="AA5602" s="147"/>
      <c r="AB5602" s="110"/>
      <c r="AC5602" s="132"/>
      <c r="AD5602" s="148"/>
      <c r="AE5602" s="148"/>
    </row>
    <row r="5603" customFormat="false" ht="15" hidden="false" customHeight="true" outlineLevel="0" collapsed="false">
      <c r="A5603" s="141"/>
      <c r="B5603" s="131"/>
      <c r="C5603" s="132"/>
      <c r="D5603" s="131"/>
      <c r="E5603" s="110"/>
      <c r="F5603" s="110"/>
      <c r="G5603" s="110"/>
      <c r="H5603" s="131"/>
      <c r="I5603" s="131"/>
      <c r="J5603" s="142"/>
      <c r="K5603" s="142"/>
      <c r="L5603" s="140"/>
      <c r="M5603" s="131"/>
      <c r="N5603" s="131"/>
      <c r="O5603" s="131"/>
      <c r="P5603" s="143"/>
      <c r="Q5603" s="66"/>
      <c r="R5603" s="131"/>
      <c r="S5603" s="144"/>
      <c r="T5603" s="131"/>
      <c r="U5603" s="131"/>
      <c r="V5603" s="131"/>
      <c r="W5603" s="131"/>
      <c r="X5603" s="145"/>
      <c r="Y5603" s="146"/>
      <c r="Z5603" s="147"/>
      <c r="AA5603" s="147"/>
      <c r="AB5603" s="110"/>
      <c r="AC5603" s="132"/>
      <c r="AD5603" s="148"/>
      <c r="AE5603" s="148"/>
    </row>
    <row r="5604" customFormat="false" ht="15" hidden="false" customHeight="true" outlineLevel="0" collapsed="false">
      <c r="A5604" s="141"/>
      <c r="B5604" s="131"/>
      <c r="C5604" s="132"/>
      <c r="D5604" s="131"/>
      <c r="E5604" s="110"/>
      <c r="F5604" s="110"/>
      <c r="G5604" s="110"/>
      <c r="H5604" s="131"/>
      <c r="I5604" s="131"/>
      <c r="J5604" s="142"/>
      <c r="K5604" s="142"/>
      <c r="L5604" s="140"/>
      <c r="M5604" s="131"/>
      <c r="N5604" s="131"/>
      <c r="O5604" s="131"/>
      <c r="P5604" s="143"/>
      <c r="Q5604" s="66"/>
      <c r="R5604" s="131"/>
      <c r="S5604" s="144"/>
      <c r="T5604" s="131"/>
      <c r="U5604" s="131"/>
      <c r="V5604" s="131"/>
      <c r="W5604" s="131"/>
      <c r="X5604" s="145"/>
      <c r="Y5604" s="146"/>
      <c r="Z5604" s="147"/>
      <c r="AA5604" s="147"/>
      <c r="AB5604" s="110"/>
      <c r="AC5604" s="132"/>
      <c r="AD5604" s="148"/>
      <c r="AE5604" s="148"/>
    </row>
    <row r="5605" customFormat="false" ht="15" hidden="false" customHeight="true" outlineLevel="0" collapsed="false">
      <c r="A5605" s="141"/>
      <c r="B5605" s="131"/>
      <c r="C5605" s="132"/>
      <c r="D5605" s="131"/>
      <c r="E5605" s="110"/>
      <c r="F5605" s="110"/>
      <c r="G5605" s="110"/>
      <c r="H5605" s="131"/>
      <c r="I5605" s="131"/>
      <c r="J5605" s="142"/>
      <c r="K5605" s="142"/>
      <c r="L5605" s="140"/>
      <c r="M5605" s="131"/>
      <c r="N5605" s="131"/>
      <c r="O5605" s="131"/>
      <c r="P5605" s="143"/>
      <c r="Q5605" s="66"/>
      <c r="R5605" s="131"/>
      <c r="S5605" s="144"/>
      <c r="T5605" s="131"/>
      <c r="U5605" s="131"/>
      <c r="V5605" s="131"/>
      <c r="W5605" s="131"/>
      <c r="X5605" s="145"/>
      <c r="Y5605" s="146"/>
      <c r="Z5605" s="147"/>
      <c r="AA5605" s="147"/>
      <c r="AB5605" s="110"/>
      <c r="AC5605" s="132"/>
      <c r="AD5605" s="148"/>
      <c r="AE5605" s="148"/>
    </row>
    <row r="5606" customFormat="false" ht="15" hidden="false" customHeight="true" outlineLevel="0" collapsed="false">
      <c r="A5606" s="141"/>
      <c r="B5606" s="131"/>
      <c r="C5606" s="132"/>
      <c r="D5606" s="131"/>
      <c r="E5606" s="110"/>
      <c r="F5606" s="110"/>
      <c r="G5606" s="110"/>
      <c r="H5606" s="131"/>
      <c r="I5606" s="131"/>
      <c r="J5606" s="142"/>
      <c r="K5606" s="142"/>
      <c r="L5606" s="140"/>
      <c r="M5606" s="131"/>
      <c r="N5606" s="131"/>
      <c r="O5606" s="131"/>
      <c r="P5606" s="143"/>
      <c r="Q5606" s="66"/>
      <c r="R5606" s="131"/>
      <c r="S5606" s="144"/>
      <c r="T5606" s="131"/>
      <c r="U5606" s="131"/>
      <c r="V5606" s="131"/>
      <c r="W5606" s="131"/>
      <c r="X5606" s="145"/>
      <c r="Y5606" s="146"/>
      <c r="Z5606" s="147"/>
      <c r="AA5606" s="147"/>
      <c r="AB5606" s="110"/>
      <c r="AC5606" s="132"/>
      <c r="AD5606" s="148"/>
      <c r="AE5606" s="148"/>
    </row>
    <row r="5607" customFormat="false" ht="15" hidden="false" customHeight="true" outlineLevel="0" collapsed="false">
      <c r="A5607" s="141"/>
      <c r="B5607" s="131"/>
      <c r="C5607" s="132"/>
      <c r="D5607" s="131"/>
      <c r="E5607" s="110"/>
      <c r="F5607" s="110"/>
      <c r="G5607" s="110"/>
      <c r="H5607" s="131"/>
      <c r="I5607" s="131"/>
      <c r="J5607" s="142"/>
      <c r="K5607" s="142"/>
      <c r="L5607" s="140"/>
      <c r="M5607" s="131"/>
      <c r="N5607" s="131"/>
      <c r="O5607" s="131"/>
      <c r="P5607" s="143"/>
      <c r="Q5607" s="66"/>
      <c r="R5607" s="131"/>
      <c r="S5607" s="144"/>
      <c r="T5607" s="131"/>
      <c r="U5607" s="131"/>
      <c r="V5607" s="131"/>
      <c r="W5607" s="131"/>
      <c r="X5607" s="145"/>
      <c r="Y5607" s="146"/>
      <c r="Z5607" s="147"/>
      <c r="AA5607" s="147"/>
      <c r="AB5607" s="110"/>
      <c r="AC5607" s="132"/>
      <c r="AD5607" s="148"/>
      <c r="AE5607" s="148"/>
    </row>
    <row r="5608" customFormat="false" ht="15" hidden="false" customHeight="true" outlineLevel="0" collapsed="false">
      <c r="A5608" s="141"/>
      <c r="B5608" s="131"/>
      <c r="C5608" s="132"/>
      <c r="D5608" s="131"/>
      <c r="E5608" s="110"/>
      <c r="F5608" s="110"/>
      <c r="G5608" s="110"/>
      <c r="H5608" s="131"/>
      <c r="I5608" s="131"/>
      <c r="J5608" s="142"/>
      <c r="K5608" s="142"/>
      <c r="L5608" s="140"/>
      <c r="M5608" s="131"/>
      <c r="N5608" s="131"/>
      <c r="O5608" s="131"/>
      <c r="P5608" s="143"/>
      <c r="Q5608" s="66"/>
      <c r="R5608" s="131"/>
      <c r="S5608" s="144"/>
      <c r="T5608" s="131"/>
      <c r="U5608" s="131"/>
      <c r="V5608" s="131"/>
      <c r="W5608" s="131"/>
      <c r="X5608" s="145"/>
      <c r="Y5608" s="146"/>
      <c r="Z5608" s="147"/>
      <c r="AA5608" s="147"/>
      <c r="AB5608" s="110"/>
      <c r="AC5608" s="132"/>
      <c r="AD5608" s="148"/>
      <c r="AE5608" s="148"/>
    </row>
    <row r="5609" customFormat="false" ht="15" hidden="false" customHeight="true" outlineLevel="0" collapsed="false">
      <c r="A5609" s="141"/>
      <c r="B5609" s="131"/>
      <c r="C5609" s="132"/>
      <c r="D5609" s="131"/>
      <c r="E5609" s="110"/>
      <c r="F5609" s="110"/>
      <c r="G5609" s="110"/>
      <c r="H5609" s="131"/>
      <c r="I5609" s="131"/>
      <c r="J5609" s="142"/>
      <c r="K5609" s="142"/>
      <c r="L5609" s="140"/>
      <c r="M5609" s="131"/>
      <c r="N5609" s="131"/>
      <c r="O5609" s="131"/>
      <c r="P5609" s="143"/>
      <c r="Q5609" s="66"/>
      <c r="R5609" s="131"/>
      <c r="S5609" s="144"/>
      <c r="T5609" s="131"/>
      <c r="U5609" s="131"/>
      <c r="V5609" s="131"/>
      <c r="W5609" s="131"/>
      <c r="X5609" s="145"/>
      <c r="Y5609" s="146"/>
      <c r="Z5609" s="147"/>
      <c r="AA5609" s="147"/>
      <c r="AB5609" s="110"/>
      <c r="AC5609" s="132"/>
      <c r="AD5609" s="148"/>
      <c r="AE5609" s="148"/>
    </row>
    <row r="5610" customFormat="false" ht="15" hidden="false" customHeight="true" outlineLevel="0" collapsed="false">
      <c r="A5610" s="141"/>
      <c r="B5610" s="131"/>
      <c r="C5610" s="132"/>
      <c r="D5610" s="131"/>
      <c r="E5610" s="110"/>
      <c r="F5610" s="110"/>
      <c r="G5610" s="110"/>
      <c r="H5610" s="131"/>
      <c r="I5610" s="131"/>
      <c r="J5610" s="142"/>
      <c r="K5610" s="142"/>
      <c r="L5610" s="140"/>
      <c r="M5610" s="131"/>
      <c r="N5610" s="131"/>
      <c r="O5610" s="131"/>
      <c r="P5610" s="143"/>
      <c r="Q5610" s="66"/>
      <c r="R5610" s="131"/>
      <c r="S5610" s="144"/>
      <c r="T5610" s="131"/>
      <c r="U5610" s="131"/>
      <c r="V5610" s="131"/>
      <c r="W5610" s="131"/>
      <c r="X5610" s="145"/>
      <c r="Y5610" s="146"/>
      <c r="Z5610" s="147"/>
      <c r="AA5610" s="147"/>
      <c r="AB5610" s="110"/>
      <c r="AC5610" s="132"/>
      <c r="AD5610" s="148"/>
      <c r="AE5610" s="148"/>
    </row>
    <row r="5611" customFormat="false" ht="15" hidden="false" customHeight="true" outlineLevel="0" collapsed="false">
      <c r="A5611" s="141"/>
      <c r="B5611" s="131"/>
      <c r="C5611" s="132"/>
      <c r="D5611" s="131"/>
      <c r="E5611" s="110"/>
      <c r="F5611" s="110"/>
      <c r="G5611" s="110"/>
      <c r="H5611" s="131"/>
      <c r="I5611" s="131"/>
      <c r="J5611" s="142"/>
      <c r="K5611" s="142"/>
      <c r="L5611" s="140"/>
      <c r="M5611" s="131"/>
      <c r="N5611" s="131"/>
      <c r="O5611" s="131"/>
      <c r="P5611" s="143"/>
      <c r="Q5611" s="66"/>
      <c r="R5611" s="131"/>
      <c r="S5611" s="144"/>
      <c r="T5611" s="131"/>
      <c r="U5611" s="131"/>
      <c r="V5611" s="131"/>
      <c r="W5611" s="131"/>
      <c r="X5611" s="145"/>
      <c r="Y5611" s="146"/>
      <c r="Z5611" s="147"/>
      <c r="AA5611" s="147"/>
      <c r="AB5611" s="110"/>
      <c r="AC5611" s="132"/>
      <c r="AD5611" s="148"/>
      <c r="AE5611" s="148"/>
    </row>
    <row r="5612" customFormat="false" ht="15" hidden="false" customHeight="true" outlineLevel="0" collapsed="false">
      <c r="A5612" s="141"/>
      <c r="B5612" s="131"/>
      <c r="C5612" s="132"/>
      <c r="D5612" s="131"/>
      <c r="E5612" s="110"/>
      <c r="F5612" s="110"/>
      <c r="G5612" s="110"/>
      <c r="H5612" s="131"/>
      <c r="I5612" s="131"/>
      <c r="J5612" s="142"/>
      <c r="K5612" s="142"/>
      <c r="L5612" s="140"/>
      <c r="M5612" s="131"/>
      <c r="N5612" s="131"/>
      <c r="O5612" s="131"/>
      <c r="P5612" s="143"/>
      <c r="Q5612" s="66"/>
      <c r="R5612" s="131"/>
      <c r="S5612" s="144"/>
      <c r="T5612" s="131"/>
      <c r="U5612" s="131"/>
      <c r="V5612" s="131"/>
      <c r="W5612" s="131"/>
      <c r="X5612" s="145"/>
      <c r="Y5612" s="146"/>
      <c r="Z5612" s="147"/>
      <c r="AA5612" s="147"/>
      <c r="AB5612" s="110"/>
      <c r="AC5612" s="132"/>
      <c r="AD5612" s="148"/>
      <c r="AE5612" s="148"/>
    </row>
    <row r="5613" customFormat="false" ht="15" hidden="false" customHeight="true" outlineLevel="0" collapsed="false">
      <c r="A5613" s="141"/>
      <c r="B5613" s="131"/>
      <c r="C5613" s="132"/>
      <c r="D5613" s="131"/>
      <c r="E5613" s="110"/>
      <c r="F5613" s="110"/>
      <c r="G5613" s="110"/>
      <c r="H5613" s="131"/>
      <c r="I5613" s="131"/>
      <c r="J5613" s="142"/>
      <c r="K5613" s="142"/>
      <c r="L5613" s="140"/>
      <c r="M5613" s="131"/>
      <c r="N5613" s="131"/>
      <c r="O5613" s="131"/>
      <c r="P5613" s="143"/>
      <c r="Q5613" s="66"/>
      <c r="R5613" s="131"/>
      <c r="S5613" s="144"/>
      <c r="T5613" s="131"/>
      <c r="U5613" s="131"/>
      <c r="V5613" s="131"/>
      <c r="W5613" s="131"/>
      <c r="X5613" s="145"/>
      <c r="Y5613" s="146"/>
      <c r="Z5613" s="147"/>
      <c r="AA5613" s="147"/>
      <c r="AB5613" s="110"/>
      <c r="AC5613" s="132"/>
      <c r="AD5613" s="148"/>
      <c r="AE5613" s="148"/>
    </row>
    <row r="5614" customFormat="false" ht="15" hidden="false" customHeight="true" outlineLevel="0" collapsed="false">
      <c r="A5614" s="141"/>
      <c r="B5614" s="131"/>
      <c r="C5614" s="132"/>
      <c r="D5614" s="131"/>
      <c r="E5614" s="110"/>
      <c r="F5614" s="110"/>
      <c r="G5614" s="110"/>
      <c r="H5614" s="131"/>
      <c r="I5614" s="131"/>
      <c r="J5614" s="142"/>
      <c r="K5614" s="142"/>
      <c r="L5614" s="140"/>
      <c r="M5614" s="131"/>
      <c r="N5614" s="131"/>
      <c r="O5614" s="131"/>
      <c r="P5614" s="143"/>
      <c r="Q5614" s="66"/>
      <c r="R5614" s="131"/>
      <c r="S5614" s="144"/>
      <c r="T5614" s="131"/>
      <c r="U5614" s="131"/>
      <c r="V5614" s="131"/>
      <c r="W5614" s="131"/>
      <c r="X5614" s="145"/>
      <c r="Y5614" s="146"/>
      <c r="Z5614" s="147"/>
      <c r="AA5614" s="147"/>
      <c r="AB5614" s="110"/>
      <c r="AC5614" s="132"/>
      <c r="AD5614" s="148"/>
      <c r="AE5614" s="148"/>
    </row>
    <row r="5615" customFormat="false" ht="15" hidden="false" customHeight="true" outlineLevel="0" collapsed="false">
      <c r="A5615" s="141"/>
      <c r="B5615" s="131"/>
      <c r="C5615" s="132"/>
      <c r="D5615" s="131"/>
      <c r="E5615" s="110"/>
      <c r="F5615" s="110"/>
      <c r="G5615" s="110"/>
      <c r="H5615" s="131"/>
      <c r="I5615" s="131"/>
      <c r="J5615" s="142"/>
      <c r="K5615" s="142"/>
      <c r="L5615" s="140"/>
      <c r="M5615" s="131"/>
      <c r="N5615" s="131"/>
      <c r="O5615" s="131"/>
      <c r="P5615" s="143"/>
      <c r="Q5615" s="66"/>
      <c r="R5615" s="131"/>
      <c r="S5615" s="144"/>
      <c r="T5615" s="131"/>
      <c r="U5615" s="131"/>
      <c r="V5615" s="131"/>
      <c r="W5615" s="131"/>
      <c r="X5615" s="145"/>
      <c r="Y5615" s="146"/>
      <c r="Z5615" s="147"/>
      <c r="AA5615" s="147"/>
      <c r="AB5615" s="110"/>
      <c r="AC5615" s="132"/>
      <c r="AD5615" s="148"/>
      <c r="AE5615" s="148"/>
    </row>
    <row r="5616" customFormat="false" ht="15" hidden="false" customHeight="true" outlineLevel="0" collapsed="false">
      <c r="A5616" s="141"/>
      <c r="B5616" s="131"/>
      <c r="C5616" s="132"/>
      <c r="D5616" s="131"/>
      <c r="E5616" s="110"/>
      <c r="F5616" s="110"/>
      <c r="G5616" s="110"/>
      <c r="H5616" s="131"/>
      <c r="I5616" s="131"/>
      <c r="J5616" s="142"/>
      <c r="K5616" s="142"/>
      <c r="L5616" s="140"/>
      <c r="M5616" s="131"/>
      <c r="N5616" s="131"/>
      <c r="O5616" s="131"/>
      <c r="P5616" s="143"/>
      <c r="Q5616" s="66"/>
      <c r="R5616" s="131"/>
      <c r="S5616" s="144"/>
      <c r="T5616" s="131"/>
      <c r="U5616" s="131"/>
      <c r="V5616" s="131"/>
      <c r="W5616" s="131"/>
      <c r="X5616" s="145"/>
      <c r="Y5616" s="146"/>
      <c r="Z5616" s="147"/>
      <c r="AA5616" s="147"/>
      <c r="AB5616" s="110"/>
      <c r="AC5616" s="132"/>
      <c r="AD5616" s="148"/>
      <c r="AE5616" s="148"/>
    </row>
    <row r="5617" customFormat="false" ht="15" hidden="false" customHeight="true" outlineLevel="0" collapsed="false">
      <c r="A5617" s="141"/>
      <c r="B5617" s="131"/>
      <c r="C5617" s="132"/>
      <c r="D5617" s="131"/>
      <c r="E5617" s="110"/>
      <c r="F5617" s="110"/>
      <c r="G5617" s="110"/>
      <c r="H5617" s="131"/>
      <c r="I5617" s="131"/>
      <c r="J5617" s="142"/>
      <c r="K5617" s="142"/>
      <c r="L5617" s="140"/>
      <c r="M5617" s="131"/>
      <c r="N5617" s="131"/>
      <c r="O5617" s="131"/>
      <c r="P5617" s="143"/>
      <c r="Q5617" s="66"/>
      <c r="R5617" s="131"/>
      <c r="S5617" s="144"/>
      <c r="T5617" s="131"/>
      <c r="U5617" s="131"/>
      <c r="V5617" s="131"/>
      <c r="W5617" s="131"/>
      <c r="X5617" s="145"/>
      <c r="Y5617" s="146"/>
      <c r="Z5617" s="147"/>
      <c r="AA5617" s="147"/>
      <c r="AB5617" s="110"/>
      <c r="AC5617" s="132"/>
      <c r="AD5617" s="148"/>
      <c r="AE5617" s="148"/>
    </row>
    <row r="5618" customFormat="false" ht="15" hidden="false" customHeight="true" outlineLevel="0" collapsed="false">
      <c r="A5618" s="141"/>
      <c r="B5618" s="131"/>
      <c r="C5618" s="132"/>
      <c r="D5618" s="131"/>
      <c r="E5618" s="110"/>
      <c r="F5618" s="110"/>
      <c r="G5618" s="110"/>
      <c r="H5618" s="131"/>
      <c r="I5618" s="131"/>
      <c r="J5618" s="142"/>
      <c r="K5618" s="142"/>
      <c r="L5618" s="140"/>
      <c r="M5618" s="131"/>
      <c r="N5618" s="131"/>
      <c r="O5618" s="131"/>
      <c r="P5618" s="143"/>
      <c r="Q5618" s="66"/>
      <c r="R5618" s="131"/>
      <c r="S5618" s="144"/>
      <c r="T5618" s="131"/>
      <c r="U5618" s="131"/>
      <c r="V5618" s="131"/>
      <c r="W5618" s="131"/>
      <c r="X5618" s="145"/>
      <c r="Y5618" s="146"/>
      <c r="Z5618" s="147"/>
      <c r="AA5618" s="147"/>
      <c r="AB5618" s="110"/>
      <c r="AC5618" s="132"/>
      <c r="AD5618" s="148"/>
      <c r="AE5618" s="148"/>
    </row>
    <row r="5619" customFormat="false" ht="15" hidden="false" customHeight="true" outlineLevel="0" collapsed="false">
      <c r="A5619" s="141"/>
      <c r="B5619" s="131"/>
      <c r="C5619" s="132"/>
      <c r="D5619" s="131"/>
      <c r="E5619" s="110"/>
      <c r="F5619" s="110"/>
      <c r="G5619" s="110"/>
      <c r="H5619" s="131"/>
      <c r="I5619" s="131"/>
      <c r="J5619" s="142"/>
      <c r="K5619" s="142"/>
      <c r="L5619" s="140"/>
      <c r="M5619" s="131"/>
      <c r="N5619" s="131"/>
      <c r="O5619" s="131"/>
      <c r="P5619" s="143"/>
      <c r="Q5619" s="66"/>
      <c r="R5619" s="131"/>
      <c r="S5619" s="144"/>
      <c r="T5619" s="131"/>
      <c r="U5619" s="131"/>
      <c r="V5619" s="131"/>
      <c r="W5619" s="131"/>
      <c r="X5619" s="145"/>
      <c r="Y5619" s="146"/>
      <c r="Z5619" s="147"/>
      <c r="AA5619" s="147"/>
      <c r="AB5619" s="110"/>
      <c r="AC5619" s="132"/>
      <c r="AD5619" s="148"/>
      <c r="AE5619" s="148"/>
    </row>
    <row r="5620" customFormat="false" ht="15" hidden="false" customHeight="true" outlineLevel="0" collapsed="false">
      <c r="A5620" s="141"/>
      <c r="B5620" s="131"/>
      <c r="C5620" s="132"/>
      <c r="D5620" s="131"/>
      <c r="E5620" s="110"/>
      <c r="F5620" s="110"/>
      <c r="G5620" s="110"/>
      <c r="H5620" s="131"/>
      <c r="I5620" s="131"/>
      <c r="J5620" s="142"/>
      <c r="K5620" s="142"/>
      <c r="L5620" s="140"/>
      <c r="M5620" s="131"/>
      <c r="N5620" s="131"/>
      <c r="O5620" s="131"/>
      <c r="P5620" s="143"/>
      <c r="Q5620" s="66"/>
      <c r="R5620" s="131"/>
      <c r="S5620" s="144"/>
      <c r="T5620" s="131"/>
      <c r="U5620" s="131"/>
      <c r="V5620" s="131"/>
      <c r="W5620" s="131"/>
      <c r="X5620" s="145"/>
      <c r="Y5620" s="146"/>
      <c r="Z5620" s="147"/>
      <c r="AA5620" s="147"/>
      <c r="AB5620" s="110"/>
      <c r="AC5620" s="132"/>
      <c r="AD5620" s="148"/>
      <c r="AE5620" s="148"/>
    </row>
    <row r="5621" customFormat="false" ht="15" hidden="false" customHeight="true" outlineLevel="0" collapsed="false">
      <c r="A5621" s="141"/>
      <c r="B5621" s="131"/>
      <c r="C5621" s="132"/>
      <c r="D5621" s="131"/>
      <c r="E5621" s="110"/>
      <c r="F5621" s="110"/>
      <c r="G5621" s="110"/>
      <c r="H5621" s="131"/>
      <c r="I5621" s="131"/>
      <c r="J5621" s="142"/>
      <c r="K5621" s="142"/>
      <c r="L5621" s="140"/>
      <c r="M5621" s="131"/>
      <c r="N5621" s="131"/>
      <c r="O5621" s="131"/>
      <c r="P5621" s="143"/>
      <c r="Q5621" s="66"/>
      <c r="R5621" s="131"/>
      <c r="S5621" s="144"/>
      <c r="T5621" s="131"/>
      <c r="U5621" s="131"/>
      <c r="V5621" s="131"/>
      <c r="W5621" s="131"/>
      <c r="X5621" s="145"/>
      <c r="Y5621" s="146"/>
      <c r="Z5621" s="147"/>
      <c r="AA5621" s="147"/>
      <c r="AB5621" s="110"/>
      <c r="AC5621" s="132"/>
      <c r="AD5621" s="148"/>
      <c r="AE5621" s="148"/>
    </row>
    <row r="5622" customFormat="false" ht="15" hidden="false" customHeight="true" outlineLevel="0" collapsed="false">
      <c r="A5622" s="141"/>
      <c r="B5622" s="131"/>
      <c r="C5622" s="132"/>
      <c r="D5622" s="131"/>
      <c r="E5622" s="110"/>
      <c r="F5622" s="110"/>
      <c r="G5622" s="110"/>
      <c r="H5622" s="131"/>
      <c r="I5622" s="131"/>
      <c r="J5622" s="142"/>
      <c r="K5622" s="142"/>
      <c r="L5622" s="140"/>
      <c r="M5622" s="131"/>
      <c r="N5622" s="131"/>
      <c r="O5622" s="131"/>
      <c r="P5622" s="143"/>
      <c r="Q5622" s="66"/>
      <c r="R5622" s="131"/>
      <c r="S5622" s="144"/>
      <c r="T5622" s="131"/>
      <c r="U5622" s="131"/>
      <c r="V5622" s="131"/>
      <c r="W5622" s="131"/>
      <c r="X5622" s="145"/>
      <c r="Y5622" s="146"/>
      <c r="Z5622" s="147"/>
      <c r="AA5622" s="147"/>
      <c r="AB5622" s="110"/>
      <c r="AC5622" s="132"/>
      <c r="AD5622" s="148"/>
      <c r="AE5622" s="148"/>
    </row>
    <row r="5623" customFormat="false" ht="15" hidden="false" customHeight="true" outlineLevel="0" collapsed="false">
      <c r="A5623" s="141"/>
      <c r="B5623" s="131"/>
      <c r="C5623" s="132"/>
      <c r="D5623" s="131"/>
      <c r="E5623" s="110"/>
      <c r="F5623" s="110"/>
      <c r="G5623" s="110"/>
      <c r="H5623" s="131"/>
      <c r="I5623" s="131"/>
      <c r="J5623" s="142"/>
      <c r="K5623" s="142"/>
      <c r="L5623" s="140"/>
      <c r="M5623" s="131"/>
      <c r="N5623" s="131"/>
      <c r="O5623" s="131"/>
      <c r="P5623" s="143"/>
      <c r="Q5623" s="66"/>
      <c r="R5623" s="131"/>
      <c r="S5623" s="144"/>
      <c r="T5623" s="131"/>
      <c r="U5623" s="131"/>
      <c r="V5623" s="131"/>
      <c r="W5623" s="131"/>
      <c r="X5623" s="145"/>
      <c r="Y5623" s="146"/>
      <c r="Z5623" s="147"/>
      <c r="AA5623" s="147"/>
      <c r="AB5623" s="110"/>
      <c r="AC5623" s="132"/>
      <c r="AD5623" s="148"/>
      <c r="AE5623" s="148"/>
    </row>
    <row r="5624" customFormat="false" ht="15" hidden="false" customHeight="true" outlineLevel="0" collapsed="false">
      <c r="A5624" s="141"/>
      <c r="B5624" s="131"/>
      <c r="C5624" s="132"/>
      <c r="D5624" s="131"/>
      <c r="E5624" s="110"/>
      <c r="F5624" s="110"/>
      <c r="G5624" s="110"/>
      <c r="H5624" s="131"/>
      <c r="I5624" s="131"/>
      <c r="J5624" s="142"/>
      <c r="K5624" s="142"/>
      <c r="L5624" s="140"/>
      <c r="M5624" s="131"/>
      <c r="N5624" s="131"/>
      <c r="O5624" s="131"/>
      <c r="P5624" s="143"/>
      <c r="Q5624" s="66"/>
      <c r="R5624" s="131"/>
      <c r="S5624" s="144"/>
      <c r="T5624" s="131"/>
      <c r="U5624" s="131"/>
      <c r="V5624" s="131"/>
      <c r="W5624" s="131"/>
      <c r="X5624" s="145"/>
      <c r="Y5624" s="146"/>
      <c r="Z5624" s="147"/>
      <c r="AA5624" s="147"/>
      <c r="AB5624" s="110"/>
      <c r="AC5624" s="132"/>
      <c r="AD5624" s="148"/>
      <c r="AE5624" s="148"/>
    </row>
    <row r="5625" customFormat="false" ht="15" hidden="false" customHeight="true" outlineLevel="0" collapsed="false">
      <c r="A5625" s="141"/>
      <c r="B5625" s="131"/>
      <c r="C5625" s="132"/>
      <c r="D5625" s="131"/>
      <c r="E5625" s="110"/>
      <c r="F5625" s="110"/>
      <c r="G5625" s="110"/>
      <c r="H5625" s="131"/>
      <c r="I5625" s="131"/>
      <c r="J5625" s="142"/>
      <c r="K5625" s="142"/>
      <c r="L5625" s="140"/>
      <c r="M5625" s="131"/>
      <c r="N5625" s="131"/>
      <c r="O5625" s="131"/>
      <c r="P5625" s="143"/>
      <c r="Q5625" s="66"/>
      <c r="R5625" s="131"/>
      <c r="S5625" s="144"/>
      <c r="T5625" s="131"/>
      <c r="U5625" s="131"/>
      <c r="V5625" s="131"/>
      <c r="W5625" s="131"/>
      <c r="X5625" s="145"/>
      <c r="Y5625" s="146"/>
      <c r="Z5625" s="147"/>
      <c r="AA5625" s="147"/>
      <c r="AB5625" s="110"/>
      <c r="AC5625" s="132"/>
      <c r="AD5625" s="148"/>
      <c r="AE5625" s="148"/>
    </row>
    <row r="5626" customFormat="false" ht="15" hidden="false" customHeight="true" outlineLevel="0" collapsed="false">
      <c r="A5626" s="141"/>
      <c r="B5626" s="131"/>
      <c r="C5626" s="132"/>
      <c r="D5626" s="131"/>
      <c r="E5626" s="110"/>
      <c r="F5626" s="110"/>
      <c r="G5626" s="110"/>
      <c r="H5626" s="131"/>
      <c r="I5626" s="131"/>
      <c r="J5626" s="142"/>
      <c r="K5626" s="142"/>
      <c r="L5626" s="140"/>
      <c r="M5626" s="131"/>
      <c r="N5626" s="131"/>
      <c r="O5626" s="131"/>
      <c r="P5626" s="143"/>
      <c r="Q5626" s="66"/>
      <c r="R5626" s="131"/>
      <c r="S5626" s="144"/>
      <c r="T5626" s="131"/>
      <c r="U5626" s="131"/>
      <c r="V5626" s="131"/>
      <c r="W5626" s="131"/>
      <c r="X5626" s="145"/>
      <c r="Y5626" s="146"/>
      <c r="Z5626" s="147"/>
      <c r="AA5626" s="147"/>
      <c r="AB5626" s="110"/>
      <c r="AC5626" s="132"/>
      <c r="AD5626" s="148"/>
      <c r="AE5626" s="148"/>
    </row>
    <row r="5627" customFormat="false" ht="15" hidden="false" customHeight="true" outlineLevel="0" collapsed="false">
      <c r="A5627" s="141"/>
      <c r="B5627" s="131"/>
      <c r="C5627" s="132"/>
      <c r="D5627" s="131"/>
      <c r="E5627" s="110"/>
      <c r="F5627" s="110"/>
      <c r="G5627" s="110"/>
      <c r="H5627" s="131"/>
      <c r="I5627" s="131"/>
      <c r="J5627" s="142"/>
      <c r="K5627" s="142"/>
      <c r="L5627" s="140"/>
      <c r="M5627" s="131"/>
      <c r="N5627" s="131"/>
      <c r="O5627" s="131"/>
      <c r="P5627" s="143"/>
      <c r="Q5627" s="66"/>
      <c r="R5627" s="131"/>
      <c r="S5627" s="144"/>
      <c r="T5627" s="131"/>
      <c r="U5627" s="131"/>
      <c r="V5627" s="131"/>
      <c r="W5627" s="131"/>
      <c r="X5627" s="145"/>
      <c r="Y5627" s="146"/>
      <c r="Z5627" s="147"/>
      <c r="AA5627" s="147"/>
      <c r="AB5627" s="110"/>
      <c r="AC5627" s="132"/>
      <c r="AD5627" s="148"/>
      <c r="AE5627" s="148"/>
    </row>
    <row r="5628" customFormat="false" ht="15" hidden="false" customHeight="true" outlineLevel="0" collapsed="false">
      <c r="A5628" s="141"/>
      <c r="B5628" s="131"/>
      <c r="C5628" s="132"/>
      <c r="D5628" s="131"/>
      <c r="E5628" s="110"/>
      <c r="F5628" s="110"/>
      <c r="G5628" s="110"/>
      <c r="H5628" s="131"/>
      <c r="I5628" s="131"/>
      <c r="J5628" s="142"/>
      <c r="K5628" s="142"/>
      <c r="L5628" s="140"/>
      <c r="M5628" s="131"/>
      <c r="N5628" s="131"/>
      <c r="O5628" s="131"/>
      <c r="P5628" s="143"/>
      <c r="Q5628" s="66"/>
      <c r="R5628" s="131"/>
      <c r="S5628" s="144"/>
      <c r="T5628" s="131"/>
      <c r="U5628" s="131"/>
      <c r="V5628" s="131"/>
      <c r="W5628" s="131"/>
      <c r="X5628" s="145"/>
      <c r="Y5628" s="146"/>
      <c r="Z5628" s="147"/>
      <c r="AA5628" s="147"/>
      <c r="AB5628" s="110"/>
      <c r="AC5628" s="132"/>
      <c r="AD5628" s="148"/>
      <c r="AE5628" s="148"/>
    </row>
    <row r="5629" customFormat="false" ht="15" hidden="false" customHeight="true" outlineLevel="0" collapsed="false">
      <c r="A5629" s="141"/>
      <c r="B5629" s="131"/>
      <c r="C5629" s="132"/>
      <c r="D5629" s="131"/>
      <c r="E5629" s="110"/>
      <c r="F5629" s="110"/>
      <c r="G5629" s="110"/>
      <c r="H5629" s="131"/>
      <c r="I5629" s="131"/>
      <c r="J5629" s="142"/>
      <c r="K5629" s="142"/>
      <c r="L5629" s="140"/>
      <c r="M5629" s="131"/>
      <c r="N5629" s="131"/>
      <c r="O5629" s="131"/>
      <c r="P5629" s="143"/>
      <c r="Q5629" s="66"/>
      <c r="R5629" s="131"/>
      <c r="S5629" s="144"/>
      <c r="T5629" s="131"/>
      <c r="U5629" s="131"/>
      <c r="V5629" s="131"/>
      <c r="W5629" s="131"/>
      <c r="X5629" s="145"/>
      <c r="Y5629" s="146"/>
      <c r="Z5629" s="147"/>
      <c r="AA5629" s="147"/>
      <c r="AB5629" s="110"/>
      <c r="AC5629" s="132"/>
      <c r="AD5629" s="148"/>
      <c r="AE5629" s="148"/>
    </row>
    <row r="5630" customFormat="false" ht="15" hidden="false" customHeight="true" outlineLevel="0" collapsed="false">
      <c r="A5630" s="141"/>
      <c r="B5630" s="131"/>
      <c r="C5630" s="132"/>
      <c r="D5630" s="131"/>
      <c r="E5630" s="110"/>
      <c r="F5630" s="110"/>
      <c r="G5630" s="110"/>
      <c r="H5630" s="131"/>
      <c r="I5630" s="131"/>
      <c r="J5630" s="142"/>
      <c r="K5630" s="142"/>
      <c r="L5630" s="140"/>
      <c r="M5630" s="131"/>
      <c r="N5630" s="131"/>
      <c r="O5630" s="131"/>
      <c r="P5630" s="143"/>
      <c r="Q5630" s="66"/>
      <c r="R5630" s="131"/>
      <c r="S5630" s="144"/>
      <c r="T5630" s="131"/>
      <c r="U5630" s="131"/>
      <c r="V5630" s="131"/>
      <c r="W5630" s="131"/>
      <c r="X5630" s="145"/>
      <c r="Y5630" s="146"/>
      <c r="Z5630" s="147"/>
      <c r="AA5630" s="147"/>
      <c r="AB5630" s="110"/>
      <c r="AC5630" s="132"/>
      <c r="AD5630" s="148"/>
      <c r="AE5630" s="148"/>
    </row>
    <row r="5631" customFormat="false" ht="15" hidden="false" customHeight="true" outlineLevel="0" collapsed="false">
      <c r="A5631" s="141"/>
      <c r="B5631" s="131"/>
      <c r="C5631" s="132"/>
      <c r="D5631" s="131"/>
      <c r="E5631" s="110"/>
      <c r="F5631" s="110"/>
      <c r="G5631" s="110"/>
      <c r="H5631" s="131"/>
      <c r="I5631" s="131"/>
      <c r="J5631" s="142"/>
      <c r="K5631" s="142"/>
      <c r="L5631" s="140"/>
      <c r="M5631" s="131"/>
      <c r="N5631" s="131"/>
      <c r="O5631" s="131"/>
      <c r="P5631" s="143"/>
      <c r="Q5631" s="66"/>
      <c r="R5631" s="131"/>
      <c r="S5631" s="144"/>
      <c r="T5631" s="131"/>
      <c r="U5631" s="131"/>
      <c r="V5631" s="131"/>
      <c r="W5631" s="131"/>
      <c r="X5631" s="145"/>
      <c r="Y5631" s="146"/>
      <c r="Z5631" s="147"/>
      <c r="AA5631" s="147"/>
      <c r="AB5631" s="110"/>
      <c r="AC5631" s="132"/>
      <c r="AD5631" s="148"/>
      <c r="AE5631" s="148"/>
    </row>
    <row r="5632" customFormat="false" ht="15" hidden="false" customHeight="true" outlineLevel="0" collapsed="false">
      <c r="A5632" s="141"/>
      <c r="B5632" s="131"/>
      <c r="C5632" s="132"/>
      <c r="D5632" s="131"/>
      <c r="E5632" s="110"/>
      <c r="F5632" s="110"/>
      <c r="G5632" s="110"/>
      <c r="H5632" s="131"/>
      <c r="I5632" s="131"/>
      <c r="J5632" s="142"/>
      <c r="K5632" s="142"/>
      <c r="L5632" s="140"/>
      <c r="M5632" s="131"/>
      <c r="N5632" s="131"/>
      <c r="O5632" s="131"/>
      <c r="P5632" s="143"/>
      <c r="Q5632" s="66"/>
      <c r="R5632" s="131"/>
      <c r="S5632" s="144"/>
      <c r="T5632" s="131"/>
      <c r="U5632" s="131"/>
      <c r="V5632" s="131"/>
      <c r="W5632" s="131"/>
      <c r="X5632" s="145"/>
      <c r="Y5632" s="146"/>
      <c r="Z5632" s="147"/>
      <c r="AA5632" s="147"/>
      <c r="AB5632" s="110"/>
      <c r="AC5632" s="132"/>
      <c r="AD5632" s="148"/>
      <c r="AE5632" s="148"/>
    </row>
    <row r="5633" customFormat="false" ht="15" hidden="false" customHeight="true" outlineLevel="0" collapsed="false">
      <c r="A5633" s="141"/>
      <c r="B5633" s="131"/>
      <c r="C5633" s="132"/>
      <c r="D5633" s="131"/>
      <c r="E5633" s="110"/>
      <c r="F5633" s="110"/>
      <c r="G5633" s="110"/>
      <c r="H5633" s="131"/>
      <c r="I5633" s="131"/>
      <c r="J5633" s="142"/>
      <c r="K5633" s="142"/>
      <c r="L5633" s="140"/>
      <c r="M5633" s="131"/>
      <c r="N5633" s="131"/>
      <c r="O5633" s="131"/>
      <c r="P5633" s="143"/>
      <c r="Q5633" s="66"/>
      <c r="R5633" s="131"/>
      <c r="S5633" s="144"/>
      <c r="T5633" s="131"/>
      <c r="U5633" s="131"/>
      <c r="V5633" s="131"/>
      <c r="W5633" s="131"/>
      <c r="X5633" s="145"/>
      <c r="Y5633" s="146"/>
      <c r="Z5633" s="147"/>
      <c r="AA5633" s="147"/>
      <c r="AB5633" s="110"/>
      <c r="AC5633" s="132"/>
      <c r="AD5633" s="148"/>
      <c r="AE5633" s="148"/>
    </row>
    <row r="5634" customFormat="false" ht="15" hidden="false" customHeight="true" outlineLevel="0" collapsed="false">
      <c r="A5634" s="141"/>
      <c r="B5634" s="131"/>
      <c r="C5634" s="132"/>
      <c r="D5634" s="131"/>
      <c r="E5634" s="110"/>
      <c r="F5634" s="110"/>
      <c r="G5634" s="110"/>
      <c r="H5634" s="131"/>
      <c r="I5634" s="131"/>
      <c r="J5634" s="142"/>
      <c r="K5634" s="142"/>
      <c r="L5634" s="140"/>
      <c r="M5634" s="131"/>
      <c r="N5634" s="131"/>
      <c r="O5634" s="131"/>
      <c r="P5634" s="143"/>
      <c r="Q5634" s="66"/>
      <c r="R5634" s="131"/>
      <c r="S5634" s="144"/>
      <c r="T5634" s="131"/>
      <c r="U5634" s="131"/>
      <c r="V5634" s="131"/>
      <c r="W5634" s="131"/>
      <c r="X5634" s="145"/>
      <c r="Y5634" s="146"/>
      <c r="Z5634" s="147"/>
      <c r="AA5634" s="147"/>
      <c r="AB5634" s="110"/>
      <c r="AC5634" s="132"/>
      <c r="AD5634" s="148"/>
      <c r="AE5634" s="148"/>
    </row>
    <row r="5635" customFormat="false" ht="15" hidden="false" customHeight="true" outlineLevel="0" collapsed="false">
      <c r="A5635" s="141"/>
      <c r="B5635" s="131"/>
      <c r="C5635" s="132"/>
      <c r="D5635" s="131"/>
      <c r="E5635" s="110"/>
      <c r="F5635" s="110"/>
      <c r="G5635" s="110"/>
      <c r="H5635" s="131"/>
      <c r="I5635" s="131"/>
      <c r="J5635" s="142"/>
      <c r="K5635" s="142"/>
      <c r="L5635" s="140"/>
      <c r="M5635" s="131"/>
      <c r="N5635" s="131"/>
      <c r="O5635" s="131"/>
      <c r="P5635" s="143"/>
      <c r="Q5635" s="66"/>
      <c r="R5635" s="131"/>
      <c r="S5635" s="144"/>
      <c r="T5635" s="131"/>
      <c r="U5635" s="131"/>
      <c r="V5635" s="131"/>
      <c r="W5635" s="131"/>
      <c r="X5635" s="145"/>
      <c r="Y5635" s="146"/>
      <c r="Z5635" s="147"/>
      <c r="AA5635" s="147"/>
      <c r="AB5635" s="110"/>
      <c r="AC5635" s="132"/>
      <c r="AD5635" s="148"/>
      <c r="AE5635" s="148"/>
    </row>
    <row r="5636" customFormat="false" ht="15" hidden="false" customHeight="true" outlineLevel="0" collapsed="false">
      <c r="A5636" s="141"/>
      <c r="B5636" s="131"/>
      <c r="C5636" s="132"/>
      <c r="D5636" s="131"/>
      <c r="E5636" s="110"/>
      <c r="F5636" s="110"/>
      <c r="G5636" s="110"/>
      <c r="H5636" s="131"/>
      <c r="I5636" s="131"/>
      <c r="J5636" s="142"/>
      <c r="K5636" s="142"/>
      <c r="L5636" s="140"/>
      <c r="M5636" s="131"/>
      <c r="N5636" s="131"/>
      <c r="O5636" s="131"/>
      <c r="P5636" s="143"/>
      <c r="Q5636" s="66"/>
      <c r="R5636" s="131"/>
      <c r="S5636" s="144"/>
      <c r="T5636" s="131"/>
      <c r="U5636" s="131"/>
      <c r="V5636" s="131"/>
      <c r="W5636" s="131"/>
      <c r="X5636" s="145"/>
      <c r="Y5636" s="146"/>
      <c r="Z5636" s="147"/>
      <c r="AA5636" s="147"/>
      <c r="AB5636" s="110"/>
      <c r="AC5636" s="132"/>
      <c r="AD5636" s="148"/>
      <c r="AE5636" s="148"/>
    </row>
    <row r="5637" customFormat="false" ht="15" hidden="false" customHeight="true" outlineLevel="0" collapsed="false">
      <c r="A5637" s="141"/>
      <c r="B5637" s="131"/>
      <c r="C5637" s="132"/>
      <c r="D5637" s="131"/>
      <c r="E5637" s="110"/>
      <c r="F5637" s="110"/>
      <c r="G5637" s="110"/>
      <c r="H5637" s="131"/>
      <c r="I5637" s="131"/>
      <c r="J5637" s="142"/>
      <c r="K5637" s="142"/>
      <c r="L5637" s="140"/>
      <c r="M5637" s="131"/>
      <c r="N5637" s="131"/>
      <c r="O5637" s="131"/>
      <c r="P5637" s="143"/>
      <c r="Q5637" s="66"/>
      <c r="R5637" s="131"/>
      <c r="S5637" s="144"/>
      <c r="T5637" s="131"/>
      <c r="U5637" s="131"/>
      <c r="V5637" s="131"/>
      <c r="W5637" s="131"/>
      <c r="X5637" s="145"/>
      <c r="Y5637" s="146"/>
      <c r="Z5637" s="147"/>
      <c r="AA5637" s="147"/>
      <c r="AB5637" s="110"/>
      <c r="AC5637" s="132"/>
      <c r="AD5637" s="148"/>
      <c r="AE5637" s="148"/>
    </row>
    <row r="5638" customFormat="false" ht="15" hidden="false" customHeight="true" outlineLevel="0" collapsed="false">
      <c r="A5638" s="141"/>
      <c r="B5638" s="131"/>
      <c r="C5638" s="132"/>
      <c r="D5638" s="131"/>
      <c r="E5638" s="110"/>
      <c r="F5638" s="110"/>
      <c r="G5638" s="110"/>
      <c r="H5638" s="131"/>
      <c r="I5638" s="131"/>
      <c r="J5638" s="142"/>
      <c r="K5638" s="142"/>
      <c r="L5638" s="140"/>
      <c r="M5638" s="131"/>
      <c r="N5638" s="131"/>
      <c r="O5638" s="131"/>
      <c r="P5638" s="143"/>
      <c r="Q5638" s="66"/>
      <c r="R5638" s="131"/>
      <c r="S5638" s="144"/>
      <c r="T5638" s="131"/>
      <c r="U5638" s="131"/>
      <c r="V5638" s="131"/>
      <c r="W5638" s="131"/>
      <c r="X5638" s="145"/>
      <c r="Y5638" s="146"/>
      <c r="Z5638" s="147"/>
      <c r="AA5638" s="147"/>
      <c r="AB5638" s="110"/>
      <c r="AC5638" s="132"/>
      <c r="AD5638" s="148"/>
      <c r="AE5638" s="148"/>
    </row>
    <row r="5639" customFormat="false" ht="15" hidden="false" customHeight="true" outlineLevel="0" collapsed="false">
      <c r="A5639" s="141"/>
      <c r="B5639" s="131"/>
      <c r="C5639" s="132"/>
      <c r="D5639" s="131"/>
      <c r="E5639" s="110"/>
      <c r="F5639" s="110"/>
      <c r="G5639" s="110"/>
      <c r="H5639" s="131"/>
      <c r="I5639" s="131"/>
      <c r="J5639" s="142"/>
      <c r="K5639" s="142"/>
      <c r="L5639" s="140"/>
      <c r="M5639" s="131"/>
      <c r="N5639" s="131"/>
      <c r="O5639" s="131"/>
      <c r="P5639" s="143"/>
      <c r="Q5639" s="66"/>
      <c r="R5639" s="131"/>
      <c r="S5639" s="144"/>
      <c r="T5639" s="131"/>
      <c r="U5639" s="131"/>
      <c r="V5639" s="131"/>
      <c r="W5639" s="131"/>
      <c r="X5639" s="145"/>
      <c r="Y5639" s="146"/>
      <c r="Z5639" s="147"/>
      <c r="AA5639" s="147"/>
      <c r="AB5639" s="110"/>
      <c r="AC5639" s="132"/>
      <c r="AD5639" s="148"/>
      <c r="AE5639" s="148"/>
    </row>
    <row r="5640" customFormat="false" ht="15" hidden="false" customHeight="true" outlineLevel="0" collapsed="false">
      <c r="A5640" s="141"/>
      <c r="B5640" s="131"/>
      <c r="C5640" s="132"/>
      <c r="D5640" s="131"/>
      <c r="E5640" s="110"/>
      <c r="F5640" s="110"/>
      <c r="G5640" s="110"/>
      <c r="H5640" s="131"/>
      <c r="I5640" s="131"/>
      <c r="J5640" s="142"/>
      <c r="K5640" s="142"/>
      <c r="L5640" s="140"/>
      <c r="M5640" s="131"/>
      <c r="N5640" s="131"/>
      <c r="O5640" s="131"/>
      <c r="P5640" s="143"/>
      <c r="Q5640" s="66"/>
      <c r="R5640" s="131"/>
      <c r="S5640" s="144"/>
      <c r="T5640" s="131"/>
      <c r="U5640" s="131"/>
      <c r="V5640" s="131"/>
      <c r="W5640" s="131"/>
      <c r="X5640" s="145"/>
      <c r="Y5640" s="146"/>
      <c r="Z5640" s="147"/>
      <c r="AA5640" s="147"/>
      <c r="AB5640" s="110"/>
      <c r="AC5640" s="132"/>
      <c r="AD5640" s="148"/>
      <c r="AE5640" s="148"/>
    </row>
    <row r="5641" customFormat="false" ht="15" hidden="false" customHeight="true" outlineLevel="0" collapsed="false">
      <c r="A5641" s="141"/>
      <c r="B5641" s="131"/>
      <c r="C5641" s="132"/>
      <c r="D5641" s="131"/>
      <c r="E5641" s="110"/>
      <c r="F5641" s="110"/>
      <c r="G5641" s="110"/>
      <c r="H5641" s="131"/>
      <c r="I5641" s="131"/>
      <c r="J5641" s="142"/>
      <c r="K5641" s="142"/>
      <c r="L5641" s="140"/>
      <c r="M5641" s="131"/>
      <c r="N5641" s="131"/>
      <c r="O5641" s="131"/>
      <c r="P5641" s="143"/>
      <c r="Q5641" s="66"/>
      <c r="R5641" s="131"/>
      <c r="S5641" s="144"/>
      <c r="T5641" s="131"/>
      <c r="U5641" s="131"/>
      <c r="V5641" s="131"/>
      <c r="W5641" s="131"/>
      <c r="X5641" s="145"/>
      <c r="Y5641" s="146"/>
      <c r="Z5641" s="147"/>
      <c r="AA5641" s="147"/>
      <c r="AB5641" s="110"/>
      <c r="AC5641" s="132"/>
      <c r="AD5641" s="148"/>
      <c r="AE5641" s="148"/>
    </row>
    <row r="5642" customFormat="false" ht="15" hidden="false" customHeight="true" outlineLevel="0" collapsed="false">
      <c r="A5642" s="141"/>
      <c r="B5642" s="131"/>
      <c r="C5642" s="132"/>
      <c r="D5642" s="131"/>
      <c r="E5642" s="110"/>
      <c r="F5642" s="110"/>
      <c r="G5642" s="110"/>
      <c r="H5642" s="131"/>
      <c r="I5642" s="131"/>
      <c r="J5642" s="142"/>
      <c r="K5642" s="142"/>
      <c r="L5642" s="140"/>
      <c r="M5642" s="131"/>
      <c r="N5642" s="131"/>
      <c r="O5642" s="131"/>
      <c r="P5642" s="143"/>
      <c r="Q5642" s="66"/>
      <c r="R5642" s="131"/>
      <c r="S5642" s="144"/>
      <c r="T5642" s="131"/>
      <c r="U5642" s="131"/>
      <c r="V5642" s="131"/>
      <c r="W5642" s="131"/>
      <c r="X5642" s="145"/>
      <c r="Y5642" s="146"/>
      <c r="Z5642" s="147"/>
      <c r="AA5642" s="147"/>
      <c r="AB5642" s="110"/>
      <c r="AC5642" s="132"/>
      <c r="AD5642" s="148"/>
      <c r="AE5642" s="148"/>
    </row>
    <row r="5643" customFormat="false" ht="15" hidden="false" customHeight="true" outlineLevel="0" collapsed="false">
      <c r="A5643" s="141"/>
      <c r="B5643" s="131"/>
      <c r="C5643" s="132"/>
      <c r="D5643" s="131"/>
      <c r="E5643" s="110"/>
      <c r="F5643" s="110"/>
      <c r="G5643" s="110"/>
      <c r="H5643" s="131"/>
      <c r="I5643" s="131"/>
      <c r="J5643" s="142"/>
      <c r="K5643" s="142"/>
      <c r="L5643" s="140"/>
      <c r="M5643" s="131"/>
      <c r="N5643" s="131"/>
      <c r="O5643" s="131"/>
      <c r="P5643" s="143"/>
      <c r="Q5643" s="66"/>
      <c r="R5643" s="131"/>
      <c r="S5643" s="144"/>
      <c r="T5643" s="131"/>
      <c r="U5643" s="131"/>
      <c r="V5643" s="131"/>
      <c r="W5643" s="131"/>
      <c r="X5643" s="145"/>
      <c r="Y5643" s="146"/>
      <c r="Z5643" s="147"/>
      <c r="AA5643" s="147"/>
      <c r="AB5643" s="110"/>
      <c r="AC5643" s="132"/>
      <c r="AD5643" s="148"/>
      <c r="AE5643" s="148"/>
    </row>
    <row r="5644" customFormat="false" ht="15" hidden="false" customHeight="true" outlineLevel="0" collapsed="false">
      <c r="A5644" s="141"/>
      <c r="B5644" s="131"/>
      <c r="C5644" s="132"/>
      <c r="D5644" s="131"/>
      <c r="E5644" s="110"/>
      <c r="F5644" s="110"/>
      <c r="G5644" s="110"/>
      <c r="H5644" s="131"/>
      <c r="I5644" s="131"/>
      <c r="J5644" s="142"/>
      <c r="K5644" s="142"/>
      <c r="L5644" s="140"/>
      <c r="M5644" s="131"/>
      <c r="N5644" s="131"/>
      <c r="O5644" s="131"/>
      <c r="P5644" s="143"/>
      <c r="Q5644" s="66"/>
      <c r="R5644" s="131"/>
      <c r="S5644" s="144"/>
      <c r="T5644" s="131"/>
      <c r="U5644" s="131"/>
      <c r="V5644" s="131"/>
      <c r="W5644" s="131"/>
      <c r="X5644" s="145"/>
      <c r="Y5644" s="146"/>
      <c r="Z5644" s="147"/>
      <c r="AA5644" s="147"/>
      <c r="AB5644" s="110"/>
      <c r="AC5644" s="132"/>
      <c r="AD5644" s="148"/>
      <c r="AE5644" s="148"/>
    </row>
    <row r="5645" customFormat="false" ht="15" hidden="false" customHeight="true" outlineLevel="0" collapsed="false">
      <c r="A5645" s="141"/>
      <c r="B5645" s="131"/>
      <c r="C5645" s="132"/>
      <c r="D5645" s="131"/>
      <c r="E5645" s="110"/>
      <c r="F5645" s="110"/>
      <c r="G5645" s="110"/>
      <c r="H5645" s="131"/>
      <c r="I5645" s="131"/>
      <c r="J5645" s="142"/>
      <c r="K5645" s="142"/>
      <c r="L5645" s="140"/>
      <c r="M5645" s="131"/>
      <c r="N5645" s="131"/>
      <c r="O5645" s="131"/>
      <c r="P5645" s="143"/>
      <c r="Q5645" s="66"/>
      <c r="R5645" s="131"/>
      <c r="S5645" s="144"/>
      <c r="T5645" s="131"/>
      <c r="U5645" s="131"/>
      <c r="V5645" s="131"/>
      <c r="W5645" s="131"/>
      <c r="X5645" s="145"/>
      <c r="Y5645" s="146"/>
      <c r="Z5645" s="147"/>
      <c r="AA5645" s="147"/>
      <c r="AB5645" s="110"/>
      <c r="AC5645" s="132"/>
      <c r="AD5645" s="148"/>
      <c r="AE5645" s="148"/>
    </row>
    <row r="5646" customFormat="false" ht="15" hidden="false" customHeight="true" outlineLevel="0" collapsed="false">
      <c r="A5646" s="141"/>
      <c r="B5646" s="131"/>
      <c r="C5646" s="132"/>
      <c r="D5646" s="131"/>
      <c r="E5646" s="110"/>
      <c r="F5646" s="110"/>
      <c r="G5646" s="110"/>
      <c r="H5646" s="131"/>
      <c r="I5646" s="131"/>
      <c r="J5646" s="142"/>
      <c r="K5646" s="142"/>
      <c r="L5646" s="140"/>
      <c r="M5646" s="131"/>
      <c r="N5646" s="131"/>
      <c r="O5646" s="131"/>
      <c r="P5646" s="143"/>
      <c r="Q5646" s="66"/>
      <c r="R5646" s="131"/>
      <c r="S5646" s="144"/>
      <c r="T5646" s="131"/>
      <c r="U5646" s="131"/>
      <c r="V5646" s="131"/>
      <c r="W5646" s="131"/>
      <c r="X5646" s="145"/>
      <c r="Y5646" s="146"/>
      <c r="Z5646" s="147"/>
      <c r="AA5646" s="147"/>
      <c r="AB5646" s="110"/>
      <c r="AC5646" s="132"/>
      <c r="AD5646" s="148"/>
      <c r="AE5646" s="148"/>
    </row>
    <row r="5647" customFormat="false" ht="15" hidden="false" customHeight="true" outlineLevel="0" collapsed="false">
      <c r="A5647" s="141"/>
      <c r="B5647" s="131"/>
      <c r="C5647" s="132"/>
      <c r="D5647" s="131"/>
      <c r="E5647" s="110"/>
      <c r="F5647" s="110"/>
      <c r="G5647" s="110"/>
      <c r="H5647" s="131"/>
      <c r="I5647" s="131"/>
      <c r="J5647" s="142"/>
      <c r="K5647" s="142"/>
      <c r="L5647" s="140"/>
      <c r="M5647" s="131"/>
      <c r="N5647" s="131"/>
      <c r="O5647" s="131"/>
      <c r="P5647" s="143"/>
      <c r="Q5647" s="66"/>
      <c r="R5647" s="131"/>
      <c r="S5647" s="144"/>
      <c r="T5647" s="131"/>
      <c r="U5647" s="131"/>
      <c r="V5647" s="131"/>
      <c r="W5647" s="131"/>
      <c r="X5647" s="145"/>
      <c r="Y5647" s="146"/>
      <c r="Z5647" s="147"/>
      <c r="AA5647" s="147"/>
      <c r="AB5647" s="110"/>
      <c r="AC5647" s="132"/>
      <c r="AD5647" s="148"/>
      <c r="AE5647" s="148"/>
    </row>
    <row r="5648" customFormat="false" ht="15" hidden="false" customHeight="true" outlineLevel="0" collapsed="false">
      <c r="A5648" s="141"/>
      <c r="B5648" s="131"/>
      <c r="C5648" s="132"/>
      <c r="D5648" s="131"/>
      <c r="E5648" s="110"/>
      <c r="F5648" s="110"/>
      <c r="G5648" s="110"/>
      <c r="H5648" s="131"/>
      <c r="I5648" s="131"/>
      <c r="J5648" s="142"/>
      <c r="K5648" s="142"/>
      <c r="L5648" s="140"/>
      <c r="M5648" s="131"/>
      <c r="N5648" s="131"/>
      <c r="O5648" s="131"/>
      <c r="P5648" s="143"/>
      <c r="Q5648" s="66"/>
      <c r="R5648" s="131"/>
      <c r="S5648" s="144"/>
      <c r="T5648" s="131"/>
      <c r="U5648" s="131"/>
      <c r="V5648" s="131"/>
      <c r="W5648" s="131"/>
      <c r="X5648" s="145"/>
      <c r="Y5648" s="146"/>
      <c r="Z5648" s="147"/>
      <c r="AA5648" s="147"/>
      <c r="AB5648" s="110"/>
      <c r="AC5648" s="132"/>
      <c r="AD5648" s="148"/>
      <c r="AE5648" s="148"/>
    </row>
    <row r="5649" customFormat="false" ht="15" hidden="false" customHeight="true" outlineLevel="0" collapsed="false">
      <c r="A5649" s="141"/>
      <c r="B5649" s="131"/>
      <c r="C5649" s="132"/>
      <c r="D5649" s="131"/>
      <c r="E5649" s="110"/>
      <c r="F5649" s="110"/>
      <c r="G5649" s="110"/>
      <c r="H5649" s="131"/>
      <c r="I5649" s="131"/>
      <c r="J5649" s="142"/>
      <c r="K5649" s="142"/>
      <c r="L5649" s="140"/>
      <c r="M5649" s="131"/>
      <c r="N5649" s="131"/>
      <c r="O5649" s="131"/>
      <c r="P5649" s="143"/>
      <c r="Q5649" s="66"/>
      <c r="R5649" s="131"/>
      <c r="S5649" s="144"/>
      <c r="T5649" s="131"/>
      <c r="U5649" s="131"/>
      <c r="V5649" s="131"/>
      <c r="W5649" s="131"/>
      <c r="X5649" s="145"/>
      <c r="Y5649" s="146"/>
      <c r="Z5649" s="147"/>
      <c r="AA5649" s="147"/>
      <c r="AB5649" s="110"/>
      <c r="AC5649" s="132"/>
      <c r="AD5649" s="148"/>
      <c r="AE5649" s="148"/>
    </row>
    <row r="5650" customFormat="false" ht="15" hidden="false" customHeight="true" outlineLevel="0" collapsed="false">
      <c r="A5650" s="141"/>
      <c r="B5650" s="131"/>
      <c r="C5650" s="132"/>
      <c r="D5650" s="131"/>
      <c r="E5650" s="110"/>
      <c r="F5650" s="110"/>
      <c r="G5650" s="110"/>
      <c r="H5650" s="131"/>
      <c r="I5650" s="131"/>
      <c r="J5650" s="142"/>
      <c r="K5650" s="142"/>
      <c r="L5650" s="140"/>
      <c r="M5650" s="131"/>
      <c r="N5650" s="131"/>
      <c r="O5650" s="131"/>
      <c r="P5650" s="143"/>
      <c r="Q5650" s="66"/>
      <c r="R5650" s="131"/>
      <c r="S5650" s="144"/>
      <c r="T5650" s="131"/>
      <c r="U5650" s="131"/>
      <c r="V5650" s="131"/>
      <c r="W5650" s="131"/>
      <c r="X5650" s="145"/>
      <c r="Y5650" s="146"/>
      <c r="Z5650" s="147"/>
      <c r="AA5650" s="147"/>
      <c r="AB5650" s="110"/>
      <c r="AC5650" s="132"/>
      <c r="AD5650" s="148"/>
      <c r="AE5650" s="148"/>
    </row>
    <row r="5651" customFormat="false" ht="15" hidden="false" customHeight="true" outlineLevel="0" collapsed="false">
      <c r="A5651" s="141"/>
      <c r="B5651" s="131"/>
      <c r="C5651" s="132"/>
      <c r="D5651" s="131"/>
      <c r="E5651" s="110"/>
      <c r="F5651" s="110"/>
      <c r="G5651" s="110"/>
      <c r="H5651" s="131"/>
      <c r="I5651" s="131"/>
      <c r="J5651" s="142"/>
      <c r="K5651" s="142"/>
      <c r="L5651" s="140"/>
      <c r="M5651" s="131"/>
      <c r="N5651" s="131"/>
      <c r="O5651" s="131"/>
      <c r="P5651" s="143"/>
      <c r="Q5651" s="66"/>
      <c r="R5651" s="131"/>
      <c r="S5651" s="144"/>
      <c r="T5651" s="131"/>
      <c r="U5651" s="131"/>
      <c r="V5651" s="131"/>
      <c r="W5651" s="131"/>
      <c r="X5651" s="145"/>
      <c r="Y5651" s="146"/>
      <c r="Z5651" s="147"/>
      <c r="AA5651" s="147"/>
      <c r="AB5651" s="110"/>
      <c r="AC5651" s="132"/>
      <c r="AD5651" s="148"/>
      <c r="AE5651" s="148"/>
    </row>
    <row r="5652" customFormat="false" ht="15" hidden="false" customHeight="true" outlineLevel="0" collapsed="false">
      <c r="A5652" s="141"/>
      <c r="B5652" s="131"/>
      <c r="C5652" s="132"/>
      <c r="D5652" s="131"/>
      <c r="E5652" s="110"/>
      <c r="F5652" s="110"/>
      <c r="G5652" s="110"/>
      <c r="H5652" s="131"/>
      <c r="I5652" s="131"/>
      <c r="J5652" s="142"/>
      <c r="K5652" s="142"/>
      <c r="L5652" s="140"/>
      <c r="M5652" s="131"/>
      <c r="N5652" s="131"/>
      <c r="O5652" s="131"/>
      <c r="P5652" s="143"/>
      <c r="Q5652" s="66"/>
      <c r="R5652" s="131"/>
      <c r="S5652" s="144"/>
      <c r="T5652" s="131"/>
      <c r="U5652" s="131"/>
      <c r="V5652" s="131"/>
      <c r="W5652" s="131"/>
      <c r="X5652" s="145"/>
      <c r="Y5652" s="146"/>
      <c r="Z5652" s="147"/>
      <c r="AA5652" s="147"/>
      <c r="AB5652" s="110"/>
      <c r="AC5652" s="132"/>
      <c r="AD5652" s="148"/>
      <c r="AE5652" s="148"/>
    </row>
    <row r="5653" customFormat="false" ht="15" hidden="false" customHeight="true" outlineLevel="0" collapsed="false">
      <c r="A5653" s="141"/>
      <c r="B5653" s="131"/>
      <c r="C5653" s="132"/>
      <c r="D5653" s="131"/>
      <c r="E5653" s="110"/>
      <c r="F5653" s="110"/>
      <c r="G5653" s="110"/>
      <c r="H5653" s="131"/>
      <c r="I5653" s="131"/>
      <c r="J5653" s="142"/>
      <c r="K5653" s="142"/>
      <c r="L5653" s="140"/>
      <c r="M5653" s="131"/>
      <c r="N5653" s="131"/>
      <c r="O5653" s="131"/>
      <c r="P5653" s="143"/>
      <c r="Q5653" s="66"/>
      <c r="R5653" s="131"/>
      <c r="S5653" s="144"/>
      <c r="T5653" s="131"/>
      <c r="U5653" s="131"/>
      <c r="V5653" s="131"/>
      <c r="W5653" s="131"/>
      <c r="X5653" s="145"/>
      <c r="Y5653" s="146"/>
      <c r="Z5653" s="147"/>
      <c r="AA5653" s="147"/>
      <c r="AB5653" s="110"/>
      <c r="AC5653" s="132"/>
      <c r="AD5653" s="148"/>
      <c r="AE5653" s="148"/>
    </row>
    <row r="5654" customFormat="false" ht="15" hidden="false" customHeight="true" outlineLevel="0" collapsed="false">
      <c r="A5654" s="141"/>
      <c r="B5654" s="131"/>
      <c r="C5654" s="132"/>
      <c r="D5654" s="131"/>
      <c r="E5654" s="110"/>
      <c r="F5654" s="110"/>
      <c r="G5654" s="110"/>
      <c r="H5654" s="131"/>
      <c r="I5654" s="131"/>
      <c r="J5654" s="142"/>
      <c r="K5654" s="142"/>
      <c r="L5654" s="140"/>
      <c r="M5654" s="131"/>
      <c r="N5654" s="131"/>
      <c r="O5654" s="131"/>
      <c r="P5654" s="143"/>
      <c r="Q5654" s="66"/>
      <c r="R5654" s="131"/>
      <c r="S5654" s="144"/>
      <c r="T5654" s="131"/>
      <c r="U5654" s="131"/>
      <c r="V5654" s="131"/>
      <c r="W5654" s="131"/>
      <c r="X5654" s="145"/>
      <c r="Y5654" s="146"/>
      <c r="Z5654" s="147"/>
      <c r="AA5654" s="147"/>
      <c r="AB5654" s="110"/>
      <c r="AC5654" s="132"/>
      <c r="AD5654" s="148"/>
      <c r="AE5654" s="148"/>
    </row>
    <row r="5655" customFormat="false" ht="15" hidden="false" customHeight="true" outlineLevel="0" collapsed="false">
      <c r="A5655" s="141"/>
      <c r="B5655" s="131"/>
      <c r="C5655" s="132"/>
      <c r="D5655" s="131"/>
      <c r="E5655" s="110"/>
      <c r="F5655" s="110"/>
      <c r="G5655" s="110"/>
      <c r="H5655" s="131"/>
      <c r="I5655" s="131"/>
      <c r="J5655" s="142"/>
      <c r="K5655" s="142"/>
      <c r="L5655" s="140"/>
      <c r="M5655" s="131"/>
      <c r="N5655" s="131"/>
      <c r="O5655" s="131"/>
      <c r="P5655" s="143"/>
      <c r="Q5655" s="66"/>
      <c r="R5655" s="131"/>
      <c r="S5655" s="144"/>
      <c r="T5655" s="131"/>
      <c r="U5655" s="131"/>
      <c r="V5655" s="131"/>
      <c r="W5655" s="131"/>
      <c r="X5655" s="145"/>
      <c r="Y5655" s="146"/>
      <c r="Z5655" s="147"/>
      <c r="AA5655" s="147"/>
      <c r="AB5655" s="110"/>
      <c r="AC5655" s="132"/>
      <c r="AD5655" s="148"/>
      <c r="AE5655" s="148"/>
    </row>
    <row r="5656" customFormat="false" ht="15" hidden="false" customHeight="true" outlineLevel="0" collapsed="false">
      <c r="A5656" s="141"/>
      <c r="B5656" s="131"/>
      <c r="C5656" s="132"/>
      <c r="D5656" s="131"/>
      <c r="E5656" s="110"/>
      <c r="F5656" s="110"/>
      <c r="G5656" s="110"/>
      <c r="H5656" s="131"/>
      <c r="I5656" s="131"/>
      <c r="J5656" s="142"/>
      <c r="K5656" s="142"/>
      <c r="L5656" s="140"/>
      <c r="M5656" s="131"/>
      <c r="N5656" s="131"/>
      <c r="O5656" s="131"/>
      <c r="P5656" s="143"/>
      <c r="Q5656" s="66"/>
      <c r="R5656" s="131"/>
      <c r="S5656" s="144"/>
      <c r="T5656" s="131"/>
      <c r="U5656" s="131"/>
      <c r="V5656" s="131"/>
      <c r="W5656" s="131"/>
      <c r="X5656" s="145"/>
      <c r="Y5656" s="146"/>
      <c r="Z5656" s="147"/>
      <c r="AA5656" s="147"/>
      <c r="AB5656" s="110"/>
      <c r="AC5656" s="132"/>
      <c r="AD5656" s="148"/>
      <c r="AE5656" s="148"/>
    </row>
    <row r="5657" customFormat="false" ht="15" hidden="false" customHeight="true" outlineLevel="0" collapsed="false">
      <c r="A5657" s="141"/>
      <c r="B5657" s="131"/>
      <c r="C5657" s="132"/>
      <c r="D5657" s="131"/>
      <c r="E5657" s="110"/>
      <c r="F5657" s="110"/>
      <c r="G5657" s="110"/>
      <c r="H5657" s="131"/>
      <c r="I5657" s="131"/>
      <c r="J5657" s="142"/>
      <c r="K5657" s="142"/>
      <c r="L5657" s="140"/>
      <c r="M5657" s="131"/>
      <c r="N5657" s="131"/>
      <c r="O5657" s="131"/>
      <c r="P5657" s="143"/>
      <c r="Q5657" s="66"/>
      <c r="R5657" s="131"/>
      <c r="S5657" s="144"/>
      <c r="T5657" s="131"/>
      <c r="U5657" s="131"/>
      <c r="V5657" s="131"/>
      <c r="W5657" s="131"/>
      <c r="X5657" s="145"/>
      <c r="Y5657" s="146"/>
      <c r="Z5657" s="147"/>
      <c r="AA5657" s="147"/>
      <c r="AB5657" s="110"/>
      <c r="AC5657" s="132"/>
      <c r="AD5657" s="148"/>
      <c r="AE5657" s="148"/>
    </row>
    <row r="5658" customFormat="false" ht="15" hidden="false" customHeight="true" outlineLevel="0" collapsed="false">
      <c r="A5658" s="141"/>
      <c r="B5658" s="131"/>
      <c r="C5658" s="132"/>
      <c r="D5658" s="131"/>
      <c r="E5658" s="110"/>
      <c r="F5658" s="110"/>
      <c r="G5658" s="110"/>
      <c r="H5658" s="131"/>
      <c r="I5658" s="131"/>
      <c r="J5658" s="142"/>
      <c r="K5658" s="142"/>
      <c r="L5658" s="140"/>
      <c r="M5658" s="131"/>
      <c r="N5658" s="131"/>
      <c r="O5658" s="131"/>
      <c r="P5658" s="143"/>
      <c r="Q5658" s="66"/>
      <c r="R5658" s="131"/>
      <c r="S5658" s="144"/>
      <c r="T5658" s="131"/>
      <c r="U5658" s="131"/>
      <c r="V5658" s="131"/>
      <c r="W5658" s="131"/>
      <c r="X5658" s="145"/>
      <c r="Y5658" s="146"/>
      <c r="Z5658" s="147"/>
      <c r="AA5658" s="147"/>
      <c r="AB5658" s="110"/>
      <c r="AC5658" s="132"/>
      <c r="AD5658" s="148"/>
      <c r="AE5658" s="148"/>
    </row>
    <row r="5659" customFormat="false" ht="15" hidden="false" customHeight="true" outlineLevel="0" collapsed="false">
      <c r="A5659" s="141"/>
      <c r="B5659" s="131"/>
      <c r="C5659" s="132"/>
      <c r="D5659" s="131"/>
      <c r="E5659" s="110"/>
      <c r="F5659" s="110"/>
      <c r="G5659" s="110"/>
      <c r="H5659" s="131"/>
      <c r="I5659" s="131"/>
      <c r="J5659" s="142"/>
      <c r="K5659" s="142"/>
      <c r="L5659" s="140"/>
      <c r="M5659" s="131"/>
      <c r="N5659" s="131"/>
      <c r="O5659" s="131"/>
      <c r="P5659" s="143"/>
      <c r="Q5659" s="66"/>
      <c r="R5659" s="131"/>
      <c r="S5659" s="144"/>
      <c r="T5659" s="131"/>
      <c r="U5659" s="131"/>
      <c r="V5659" s="131"/>
      <c r="W5659" s="131"/>
      <c r="X5659" s="145"/>
      <c r="Y5659" s="146"/>
      <c r="Z5659" s="147"/>
      <c r="AA5659" s="147"/>
      <c r="AB5659" s="110"/>
      <c r="AC5659" s="132"/>
      <c r="AD5659" s="148"/>
      <c r="AE5659" s="148"/>
    </row>
    <row r="5660" customFormat="false" ht="15" hidden="false" customHeight="true" outlineLevel="0" collapsed="false">
      <c r="A5660" s="141"/>
      <c r="B5660" s="131"/>
      <c r="C5660" s="132"/>
      <c r="D5660" s="131"/>
      <c r="E5660" s="110"/>
      <c r="F5660" s="110"/>
      <c r="G5660" s="110"/>
      <c r="H5660" s="131"/>
      <c r="I5660" s="131"/>
      <c r="J5660" s="142"/>
      <c r="K5660" s="142"/>
      <c r="L5660" s="140"/>
      <c r="M5660" s="131"/>
      <c r="N5660" s="131"/>
      <c r="O5660" s="131"/>
      <c r="P5660" s="143"/>
      <c r="Q5660" s="66"/>
      <c r="R5660" s="131"/>
      <c r="S5660" s="144"/>
      <c r="T5660" s="131"/>
      <c r="U5660" s="131"/>
      <c r="V5660" s="131"/>
      <c r="W5660" s="131"/>
      <c r="X5660" s="145"/>
      <c r="Y5660" s="146"/>
      <c r="Z5660" s="147"/>
      <c r="AA5660" s="147"/>
      <c r="AB5660" s="110"/>
      <c r="AC5660" s="132"/>
      <c r="AD5660" s="148"/>
      <c r="AE5660" s="148"/>
    </row>
    <row r="5661" customFormat="false" ht="15" hidden="false" customHeight="true" outlineLevel="0" collapsed="false">
      <c r="A5661" s="141"/>
      <c r="B5661" s="131"/>
      <c r="C5661" s="132"/>
      <c r="D5661" s="131"/>
      <c r="E5661" s="110"/>
      <c r="F5661" s="110"/>
      <c r="G5661" s="110"/>
      <c r="H5661" s="131"/>
      <c r="I5661" s="131"/>
      <c r="J5661" s="142"/>
      <c r="K5661" s="142"/>
      <c r="L5661" s="140"/>
      <c r="M5661" s="131"/>
      <c r="N5661" s="131"/>
      <c r="O5661" s="131"/>
      <c r="P5661" s="143"/>
      <c r="Q5661" s="66"/>
      <c r="R5661" s="131"/>
      <c r="S5661" s="144"/>
      <c r="T5661" s="131"/>
      <c r="U5661" s="131"/>
      <c r="V5661" s="131"/>
      <c r="W5661" s="131"/>
      <c r="X5661" s="145"/>
      <c r="Y5661" s="146"/>
      <c r="Z5661" s="147"/>
      <c r="AA5661" s="147"/>
      <c r="AB5661" s="110"/>
      <c r="AC5661" s="132"/>
      <c r="AD5661" s="148"/>
      <c r="AE5661" s="148"/>
    </row>
    <row r="5662" customFormat="false" ht="15" hidden="false" customHeight="true" outlineLevel="0" collapsed="false">
      <c r="A5662" s="141"/>
      <c r="B5662" s="131"/>
      <c r="C5662" s="132"/>
      <c r="D5662" s="131"/>
      <c r="E5662" s="110"/>
      <c r="F5662" s="110"/>
      <c r="G5662" s="110"/>
      <c r="H5662" s="131"/>
      <c r="I5662" s="131"/>
      <c r="J5662" s="142"/>
      <c r="K5662" s="142"/>
      <c r="L5662" s="140"/>
      <c r="M5662" s="131"/>
      <c r="N5662" s="131"/>
      <c r="O5662" s="131"/>
      <c r="P5662" s="143"/>
      <c r="Q5662" s="66"/>
      <c r="R5662" s="131"/>
      <c r="S5662" s="144"/>
      <c r="T5662" s="131"/>
      <c r="U5662" s="131"/>
      <c r="V5662" s="131"/>
      <c r="W5662" s="131"/>
      <c r="X5662" s="145"/>
      <c r="Y5662" s="146"/>
      <c r="Z5662" s="147"/>
      <c r="AA5662" s="147"/>
      <c r="AB5662" s="110"/>
      <c r="AC5662" s="132"/>
      <c r="AD5662" s="148"/>
      <c r="AE5662" s="148"/>
    </row>
    <row r="5663" customFormat="false" ht="15" hidden="false" customHeight="true" outlineLevel="0" collapsed="false">
      <c r="A5663" s="141"/>
      <c r="B5663" s="131"/>
      <c r="C5663" s="132"/>
      <c r="D5663" s="131"/>
      <c r="E5663" s="110"/>
      <c r="F5663" s="110"/>
      <c r="G5663" s="110"/>
      <c r="H5663" s="131"/>
      <c r="I5663" s="131"/>
      <c r="J5663" s="142"/>
      <c r="K5663" s="142"/>
      <c r="L5663" s="140"/>
      <c r="M5663" s="131"/>
      <c r="N5663" s="131"/>
      <c r="O5663" s="131"/>
      <c r="P5663" s="143"/>
      <c r="Q5663" s="66"/>
      <c r="R5663" s="131"/>
      <c r="S5663" s="144"/>
      <c r="T5663" s="131"/>
      <c r="U5663" s="131"/>
      <c r="V5663" s="131"/>
      <c r="W5663" s="131"/>
      <c r="X5663" s="145"/>
      <c r="Y5663" s="146"/>
      <c r="Z5663" s="147"/>
      <c r="AA5663" s="147"/>
      <c r="AB5663" s="110"/>
      <c r="AC5663" s="132"/>
      <c r="AD5663" s="148"/>
      <c r="AE5663" s="148"/>
    </row>
    <row r="5664" customFormat="false" ht="15" hidden="false" customHeight="true" outlineLevel="0" collapsed="false">
      <c r="A5664" s="141"/>
      <c r="B5664" s="131"/>
      <c r="C5664" s="132"/>
      <c r="D5664" s="131"/>
      <c r="E5664" s="110"/>
      <c r="F5664" s="110"/>
      <c r="G5664" s="110"/>
      <c r="H5664" s="131"/>
      <c r="I5664" s="131"/>
      <c r="J5664" s="142"/>
      <c r="K5664" s="142"/>
      <c r="L5664" s="140"/>
      <c r="M5664" s="131"/>
      <c r="N5664" s="131"/>
      <c r="O5664" s="131"/>
      <c r="P5664" s="143"/>
      <c r="Q5664" s="66"/>
      <c r="R5664" s="131"/>
      <c r="S5664" s="144"/>
      <c r="T5664" s="131"/>
      <c r="U5664" s="131"/>
      <c r="V5664" s="131"/>
      <c r="W5664" s="131"/>
      <c r="X5664" s="145"/>
      <c r="Y5664" s="146"/>
      <c r="Z5664" s="147"/>
      <c r="AA5664" s="147"/>
      <c r="AB5664" s="110"/>
      <c r="AC5664" s="132"/>
      <c r="AD5664" s="148"/>
      <c r="AE5664" s="148"/>
    </row>
    <row r="5665" customFormat="false" ht="15" hidden="false" customHeight="true" outlineLevel="0" collapsed="false">
      <c r="A5665" s="141"/>
      <c r="B5665" s="131"/>
      <c r="C5665" s="132"/>
      <c r="D5665" s="131"/>
      <c r="E5665" s="110"/>
      <c r="F5665" s="110"/>
      <c r="G5665" s="110"/>
      <c r="H5665" s="131"/>
      <c r="I5665" s="131"/>
      <c r="J5665" s="142"/>
      <c r="K5665" s="142"/>
      <c r="L5665" s="140"/>
      <c r="M5665" s="131"/>
      <c r="N5665" s="131"/>
      <c r="O5665" s="131"/>
      <c r="P5665" s="143"/>
      <c r="Q5665" s="66"/>
      <c r="R5665" s="131"/>
      <c r="S5665" s="144"/>
      <c r="T5665" s="131"/>
      <c r="U5665" s="131"/>
      <c r="V5665" s="131"/>
      <c r="W5665" s="131"/>
      <c r="X5665" s="145"/>
      <c r="Y5665" s="146"/>
      <c r="Z5665" s="147"/>
      <c r="AA5665" s="147"/>
      <c r="AB5665" s="110"/>
      <c r="AC5665" s="132"/>
      <c r="AD5665" s="148"/>
      <c r="AE5665" s="148"/>
    </row>
    <row r="5666" customFormat="false" ht="15" hidden="false" customHeight="true" outlineLevel="0" collapsed="false">
      <c r="A5666" s="141"/>
      <c r="B5666" s="131"/>
      <c r="C5666" s="132"/>
      <c r="D5666" s="131"/>
      <c r="E5666" s="110"/>
      <c r="F5666" s="110"/>
      <c r="G5666" s="110"/>
      <c r="H5666" s="131"/>
      <c r="I5666" s="131"/>
      <c r="J5666" s="142"/>
      <c r="K5666" s="142"/>
      <c r="L5666" s="140"/>
      <c r="M5666" s="131"/>
      <c r="N5666" s="131"/>
      <c r="O5666" s="131"/>
      <c r="P5666" s="143"/>
      <c r="Q5666" s="66"/>
      <c r="R5666" s="131"/>
      <c r="S5666" s="144"/>
      <c r="T5666" s="131"/>
      <c r="U5666" s="131"/>
      <c r="V5666" s="131"/>
      <c r="W5666" s="131"/>
      <c r="X5666" s="145"/>
      <c r="Y5666" s="146"/>
      <c r="Z5666" s="147"/>
      <c r="AA5666" s="147"/>
      <c r="AB5666" s="110"/>
      <c r="AC5666" s="132"/>
      <c r="AD5666" s="148"/>
      <c r="AE5666" s="148"/>
    </row>
    <row r="5667" customFormat="false" ht="15" hidden="false" customHeight="true" outlineLevel="0" collapsed="false">
      <c r="A5667" s="141"/>
      <c r="B5667" s="131"/>
      <c r="C5667" s="132"/>
      <c r="D5667" s="131"/>
      <c r="E5667" s="110"/>
      <c r="F5667" s="110"/>
      <c r="G5667" s="110"/>
      <c r="H5667" s="131"/>
      <c r="I5667" s="131"/>
      <c r="J5667" s="142"/>
      <c r="K5667" s="142"/>
      <c r="L5667" s="140"/>
      <c r="M5667" s="131"/>
      <c r="N5667" s="131"/>
      <c r="O5667" s="131"/>
      <c r="P5667" s="143"/>
      <c r="Q5667" s="66"/>
      <c r="R5667" s="131"/>
      <c r="S5667" s="144"/>
      <c r="T5667" s="131"/>
      <c r="U5667" s="131"/>
      <c r="V5667" s="131"/>
      <c r="W5667" s="131"/>
      <c r="X5667" s="145"/>
      <c r="Y5667" s="146"/>
      <c r="Z5667" s="147"/>
      <c r="AA5667" s="147"/>
      <c r="AB5667" s="110"/>
      <c r="AC5667" s="132"/>
      <c r="AD5667" s="148"/>
      <c r="AE5667" s="148"/>
    </row>
    <row r="5668" customFormat="false" ht="15" hidden="false" customHeight="true" outlineLevel="0" collapsed="false">
      <c r="A5668" s="141"/>
      <c r="B5668" s="131"/>
      <c r="C5668" s="132"/>
      <c r="D5668" s="131"/>
      <c r="E5668" s="110"/>
      <c r="F5668" s="110"/>
      <c r="G5668" s="110"/>
      <c r="H5668" s="131"/>
      <c r="I5668" s="131"/>
      <c r="J5668" s="142"/>
      <c r="K5668" s="142"/>
      <c r="L5668" s="140"/>
      <c r="M5668" s="131"/>
      <c r="N5668" s="131"/>
      <c r="O5668" s="131"/>
      <c r="P5668" s="143"/>
      <c r="Q5668" s="66"/>
      <c r="R5668" s="131"/>
      <c r="S5668" s="144"/>
      <c r="T5668" s="131"/>
      <c r="U5668" s="131"/>
      <c r="V5668" s="131"/>
      <c r="W5668" s="131"/>
      <c r="X5668" s="145"/>
      <c r="Y5668" s="146"/>
      <c r="Z5668" s="147"/>
      <c r="AA5668" s="147"/>
      <c r="AB5668" s="110"/>
      <c r="AC5668" s="132"/>
      <c r="AD5668" s="148"/>
      <c r="AE5668" s="148"/>
    </row>
    <row r="5669" customFormat="false" ht="15" hidden="false" customHeight="true" outlineLevel="0" collapsed="false">
      <c r="A5669" s="141"/>
      <c r="B5669" s="131"/>
      <c r="C5669" s="132"/>
      <c r="D5669" s="131"/>
      <c r="E5669" s="110"/>
      <c r="F5669" s="110"/>
      <c r="G5669" s="110"/>
      <c r="H5669" s="131"/>
      <c r="I5669" s="131"/>
      <c r="J5669" s="142"/>
      <c r="K5669" s="142"/>
      <c r="L5669" s="140"/>
      <c r="M5669" s="131"/>
      <c r="N5669" s="131"/>
      <c r="O5669" s="131"/>
      <c r="P5669" s="143"/>
      <c r="Q5669" s="66"/>
      <c r="R5669" s="131"/>
      <c r="S5669" s="144"/>
      <c r="T5669" s="131"/>
      <c r="U5669" s="131"/>
      <c r="V5669" s="131"/>
      <c r="W5669" s="131"/>
      <c r="X5669" s="145"/>
      <c r="Y5669" s="146"/>
      <c r="Z5669" s="147"/>
      <c r="AA5669" s="147"/>
      <c r="AB5669" s="110"/>
      <c r="AC5669" s="132"/>
      <c r="AD5669" s="148"/>
      <c r="AE5669" s="148"/>
    </row>
    <row r="5670" customFormat="false" ht="15" hidden="false" customHeight="true" outlineLevel="0" collapsed="false">
      <c r="A5670" s="141"/>
      <c r="B5670" s="131"/>
      <c r="C5670" s="132"/>
      <c r="D5670" s="131"/>
      <c r="E5670" s="110"/>
      <c r="F5670" s="110"/>
      <c r="G5670" s="110"/>
      <c r="H5670" s="131"/>
      <c r="I5670" s="131"/>
      <c r="J5670" s="142"/>
      <c r="K5670" s="142"/>
      <c r="L5670" s="140"/>
      <c r="M5670" s="131"/>
      <c r="N5670" s="131"/>
      <c r="O5670" s="131"/>
      <c r="P5670" s="143"/>
      <c r="Q5670" s="66"/>
      <c r="R5670" s="131"/>
      <c r="S5670" s="144"/>
      <c r="T5670" s="131"/>
      <c r="U5670" s="131"/>
      <c r="V5670" s="131"/>
      <c r="W5670" s="131"/>
      <c r="X5670" s="145"/>
      <c r="Y5670" s="146"/>
      <c r="Z5670" s="147"/>
      <c r="AA5670" s="147"/>
      <c r="AB5670" s="110"/>
      <c r="AC5670" s="132"/>
      <c r="AD5670" s="148"/>
      <c r="AE5670" s="148"/>
    </row>
    <row r="5671" customFormat="false" ht="15" hidden="false" customHeight="true" outlineLevel="0" collapsed="false">
      <c r="A5671" s="141"/>
      <c r="B5671" s="131"/>
      <c r="C5671" s="132"/>
      <c r="D5671" s="131"/>
      <c r="E5671" s="110"/>
      <c r="F5671" s="110"/>
      <c r="G5671" s="110"/>
      <c r="H5671" s="131"/>
      <c r="I5671" s="131"/>
      <c r="J5671" s="142"/>
      <c r="K5671" s="142"/>
      <c r="L5671" s="140"/>
      <c r="M5671" s="131"/>
      <c r="N5671" s="131"/>
      <c r="O5671" s="131"/>
      <c r="P5671" s="143"/>
      <c r="Q5671" s="66"/>
      <c r="R5671" s="131"/>
      <c r="S5671" s="144"/>
      <c r="T5671" s="131"/>
      <c r="U5671" s="131"/>
      <c r="V5671" s="131"/>
      <c r="W5671" s="131"/>
      <c r="X5671" s="145"/>
      <c r="Y5671" s="146"/>
      <c r="Z5671" s="147"/>
      <c r="AA5671" s="147"/>
      <c r="AB5671" s="110"/>
      <c r="AC5671" s="132"/>
      <c r="AD5671" s="148"/>
      <c r="AE5671" s="148"/>
    </row>
    <row r="5672" customFormat="false" ht="15" hidden="false" customHeight="true" outlineLevel="0" collapsed="false">
      <c r="A5672" s="141"/>
      <c r="B5672" s="131"/>
      <c r="C5672" s="132"/>
      <c r="D5672" s="131"/>
      <c r="E5672" s="110"/>
      <c r="F5672" s="110"/>
      <c r="G5672" s="110"/>
      <c r="H5672" s="131"/>
      <c r="I5672" s="131"/>
      <c r="J5672" s="142"/>
      <c r="K5672" s="142"/>
      <c r="L5672" s="140"/>
      <c r="M5672" s="131"/>
      <c r="N5672" s="131"/>
      <c r="O5672" s="131"/>
      <c r="P5672" s="143"/>
      <c r="Q5672" s="66"/>
      <c r="R5672" s="131"/>
      <c r="S5672" s="144"/>
      <c r="T5672" s="131"/>
      <c r="U5672" s="131"/>
      <c r="V5672" s="131"/>
      <c r="W5672" s="131"/>
      <c r="X5672" s="145"/>
      <c r="Y5672" s="146"/>
      <c r="Z5672" s="147"/>
      <c r="AA5672" s="147"/>
      <c r="AB5672" s="110"/>
      <c r="AC5672" s="132"/>
      <c r="AD5672" s="148"/>
      <c r="AE5672" s="148"/>
    </row>
    <row r="5673" customFormat="false" ht="15" hidden="false" customHeight="true" outlineLevel="0" collapsed="false">
      <c r="A5673" s="141"/>
      <c r="B5673" s="131"/>
      <c r="C5673" s="132"/>
      <c r="D5673" s="131"/>
      <c r="E5673" s="110"/>
      <c r="F5673" s="110"/>
      <c r="G5673" s="110"/>
      <c r="H5673" s="131"/>
      <c r="I5673" s="131"/>
      <c r="J5673" s="142"/>
      <c r="K5673" s="142"/>
      <c r="L5673" s="140"/>
      <c r="M5673" s="131"/>
      <c r="N5673" s="131"/>
      <c r="O5673" s="131"/>
      <c r="P5673" s="143"/>
      <c r="Q5673" s="66"/>
      <c r="R5673" s="131"/>
      <c r="S5673" s="144"/>
      <c r="T5673" s="131"/>
      <c r="U5673" s="131"/>
      <c r="V5673" s="131"/>
      <c r="W5673" s="131"/>
      <c r="X5673" s="145"/>
      <c r="Y5673" s="146"/>
      <c r="Z5673" s="147"/>
      <c r="AA5673" s="147"/>
      <c r="AB5673" s="110"/>
      <c r="AC5673" s="132"/>
      <c r="AD5673" s="148"/>
      <c r="AE5673" s="148"/>
    </row>
    <row r="5674" customFormat="false" ht="15" hidden="false" customHeight="true" outlineLevel="0" collapsed="false">
      <c r="A5674" s="141"/>
      <c r="B5674" s="131"/>
      <c r="C5674" s="132"/>
      <c r="D5674" s="131"/>
      <c r="E5674" s="110"/>
      <c r="F5674" s="110"/>
      <c r="G5674" s="110"/>
      <c r="H5674" s="131"/>
      <c r="I5674" s="131"/>
      <c r="J5674" s="142"/>
      <c r="K5674" s="142"/>
      <c r="L5674" s="140"/>
      <c r="M5674" s="131"/>
      <c r="N5674" s="131"/>
      <c r="O5674" s="131"/>
      <c r="P5674" s="143"/>
      <c r="Q5674" s="66"/>
      <c r="R5674" s="131"/>
      <c r="S5674" s="144"/>
      <c r="T5674" s="131"/>
      <c r="U5674" s="131"/>
      <c r="V5674" s="131"/>
      <c r="W5674" s="131"/>
      <c r="X5674" s="145"/>
      <c r="Y5674" s="146"/>
      <c r="Z5674" s="147"/>
      <c r="AA5674" s="147"/>
      <c r="AB5674" s="110"/>
      <c r="AC5674" s="132"/>
      <c r="AD5674" s="148"/>
      <c r="AE5674" s="148"/>
    </row>
    <row r="5675" customFormat="false" ht="15" hidden="false" customHeight="true" outlineLevel="0" collapsed="false">
      <c r="A5675" s="141"/>
      <c r="B5675" s="131"/>
      <c r="C5675" s="132"/>
      <c r="D5675" s="131"/>
      <c r="E5675" s="110"/>
      <c r="F5675" s="110"/>
      <c r="G5675" s="110"/>
      <c r="H5675" s="131"/>
      <c r="I5675" s="131"/>
      <c r="J5675" s="142"/>
      <c r="K5675" s="142"/>
      <c r="L5675" s="140"/>
      <c r="M5675" s="131"/>
      <c r="N5675" s="131"/>
      <c r="O5675" s="131"/>
      <c r="P5675" s="143"/>
      <c r="Q5675" s="66"/>
      <c r="R5675" s="131"/>
      <c r="S5675" s="144"/>
      <c r="T5675" s="131"/>
      <c r="U5675" s="131"/>
      <c r="V5675" s="131"/>
      <c r="W5675" s="131"/>
      <c r="X5675" s="145"/>
      <c r="Y5675" s="146"/>
      <c r="Z5675" s="147"/>
      <c r="AA5675" s="147"/>
      <c r="AB5675" s="110"/>
      <c r="AC5675" s="132"/>
      <c r="AD5675" s="148"/>
      <c r="AE5675" s="148"/>
    </row>
    <row r="5676" customFormat="false" ht="15" hidden="false" customHeight="true" outlineLevel="0" collapsed="false">
      <c r="A5676" s="141"/>
      <c r="B5676" s="131"/>
      <c r="C5676" s="132"/>
      <c r="D5676" s="131"/>
      <c r="E5676" s="110"/>
      <c r="F5676" s="110"/>
      <c r="G5676" s="110"/>
      <c r="H5676" s="131"/>
      <c r="I5676" s="131"/>
      <c r="J5676" s="142"/>
      <c r="K5676" s="142"/>
      <c r="L5676" s="140"/>
      <c r="M5676" s="131"/>
      <c r="N5676" s="131"/>
      <c r="O5676" s="131"/>
      <c r="P5676" s="143"/>
      <c r="Q5676" s="66"/>
      <c r="R5676" s="131"/>
      <c r="S5676" s="144"/>
      <c r="T5676" s="131"/>
      <c r="U5676" s="131"/>
      <c r="V5676" s="131"/>
      <c r="W5676" s="131"/>
      <c r="X5676" s="145"/>
      <c r="Y5676" s="146"/>
      <c r="Z5676" s="147"/>
      <c r="AA5676" s="147"/>
      <c r="AB5676" s="110"/>
      <c r="AC5676" s="132"/>
      <c r="AD5676" s="148"/>
      <c r="AE5676" s="148"/>
    </row>
    <row r="5677" customFormat="false" ht="15" hidden="false" customHeight="true" outlineLevel="0" collapsed="false">
      <c r="A5677" s="141"/>
      <c r="B5677" s="131"/>
      <c r="C5677" s="132"/>
      <c r="D5677" s="131"/>
      <c r="E5677" s="110"/>
      <c r="F5677" s="110"/>
      <c r="G5677" s="110"/>
      <c r="H5677" s="131"/>
      <c r="I5677" s="131"/>
      <c r="J5677" s="142"/>
      <c r="K5677" s="142"/>
      <c r="L5677" s="140"/>
      <c r="M5677" s="131"/>
      <c r="N5677" s="131"/>
      <c r="O5677" s="131"/>
      <c r="P5677" s="143"/>
      <c r="Q5677" s="66"/>
      <c r="R5677" s="131"/>
      <c r="S5677" s="144"/>
      <c r="T5677" s="131"/>
      <c r="U5677" s="131"/>
      <c r="V5677" s="131"/>
      <c r="W5677" s="131"/>
      <c r="X5677" s="145"/>
      <c r="Y5677" s="146"/>
      <c r="Z5677" s="147"/>
      <c r="AA5677" s="147"/>
      <c r="AB5677" s="110"/>
      <c r="AC5677" s="132"/>
      <c r="AD5677" s="148"/>
      <c r="AE5677" s="148"/>
    </row>
    <row r="5678" customFormat="false" ht="15" hidden="false" customHeight="true" outlineLevel="0" collapsed="false">
      <c r="A5678" s="141"/>
      <c r="B5678" s="131"/>
      <c r="C5678" s="132"/>
      <c r="D5678" s="131"/>
      <c r="E5678" s="110"/>
      <c r="F5678" s="110"/>
      <c r="G5678" s="110"/>
      <c r="H5678" s="131"/>
      <c r="I5678" s="131"/>
      <c r="J5678" s="142"/>
      <c r="K5678" s="142"/>
      <c r="L5678" s="140"/>
      <c r="M5678" s="131"/>
      <c r="N5678" s="131"/>
      <c r="O5678" s="131"/>
      <c r="P5678" s="143"/>
      <c r="Q5678" s="66"/>
      <c r="R5678" s="131"/>
      <c r="S5678" s="144"/>
      <c r="T5678" s="131"/>
      <c r="U5678" s="131"/>
      <c r="V5678" s="131"/>
      <c r="W5678" s="131"/>
      <c r="X5678" s="145"/>
      <c r="Y5678" s="146"/>
      <c r="Z5678" s="147"/>
      <c r="AA5678" s="147"/>
      <c r="AB5678" s="110"/>
      <c r="AC5678" s="132"/>
      <c r="AD5678" s="148"/>
      <c r="AE5678" s="148"/>
    </row>
    <row r="5679" customFormat="false" ht="15" hidden="false" customHeight="true" outlineLevel="0" collapsed="false">
      <c r="A5679" s="141"/>
      <c r="B5679" s="131"/>
      <c r="C5679" s="132"/>
      <c r="D5679" s="131"/>
      <c r="E5679" s="110"/>
      <c r="F5679" s="110"/>
      <c r="G5679" s="110"/>
      <c r="H5679" s="131"/>
      <c r="I5679" s="131"/>
      <c r="J5679" s="142"/>
      <c r="K5679" s="142"/>
      <c r="L5679" s="140"/>
      <c r="M5679" s="131"/>
      <c r="N5679" s="131"/>
      <c r="O5679" s="131"/>
      <c r="P5679" s="143"/>
      <c r="Q5679" s="66"/>
      <c r="R5679" s="131"/>
      <c r="S5679" s="144"/>
      <c r="T5679" s="131"/>
      <c r="U5679" s="131"/>
      <c r="V5679" s="131"/>
      <c r="W5679" s="131"/>
      <c r="X5679" s="145"/>
      <c r="Y5679" s="146"/>
      <c r="Z5679" s="147"/>
      <c r="AA5679" s="147"/>
      <c r="AB5679" s="110"/>
      <c r="AC5679" s="132"/>
      <c r="AD5679" s="148"/>
      <c r="AE5679" s="148"/>
    </row>
    <row r="5680" customFormat="false" ht="15" hidden="false" customHeight="true" outlineLevel="0" collapsed="false">
      <c r="A5680" s="141"/>
      <c r="B5680" s="131"/>
      <c r="C5680" s="132"/>
      <c r="D5680" s="131"/>
      <c r="E5680" s="110"/>
      <c r="F5680" s="110"/>
      <c r="G5680" s="110"/>
      <c r="H5680" s="131"/>
      <c r="I5680" s="131"/>
      <c r="J5680" s="142"/>
      <c r="K5680" s="142"/>
      <c r="L5680" s="140"/>
      <c r="M5680" s="131"/>
      <c r="N5680" s="131"/>
      <c r="O5680" s="131"/>
      <c r="P5680" s="143"/>
      <c r="Q5680" s="66"/>
      <c r="R5680" s="131"/>
      <c r="S5680" s="144"/>
      <c r="T5680" s="131"/>
      <c r="U5680" s="131"/>
      <c r="V5680" s="131"/>
      <c r="W5680" s="131"/>
      <c r="X5680" s="145"/>
      <c r="Y5680" s="146"/>
      <c r="Z5680" s="147"/>
      <c r="AA5680" s="147"/>
      <c r="AB5680" s="110"/>
      <c r="AC5680" s="132"/>
      <c r="AD5680" s="148"/>
      <c r="AE5680" s="148"/>
    </row>
    <row r="5681" customFormat="false" ht="15" hidden="false" customHeight="true" outlineLevel="0" collapsed="false">
      <c r="A5681" s="141"/>
      <c r="B5681" s="131"/>
      <c r="C5681" s="132"/>
      <c r="D5681" s="131"/>
      <c r="E5681" s="110"/>
      <c r="F5681" s="110"/>
      <c r="G5681" s="110"/>
      <c r="H5681" s="131"/>
      <c r="I5681" s="131"/>
      <c r="J5681" s="142"/>
      <c r="K5681" s="142"/>
      <c r="L5681" s="140"/>
      <c r="M5681" s="131"/>
      <c r="N5681" s="131"/>
      <c r="O5681" s="131"/>
      <c r="P5681" s="143"/>
      <c r="Q5681" s="66"/>
      <c r="R5681" s="131"/>
      <c r="S5681" s="144"/>
      <c r="T5681" s="131"/>
      <c r="U5681" s="131"/>
      <c r="V5681" s="131"/>
      <c r="W5681" s="131"/>
      <c r="X5681" s="145"/>
      <c r="Y5681" s="146"/>
      <c r="Z5681" s="147"/>
      <c r="AA5681" s="147"/>
      <c r="AB5681" s="110"/>
      <c r="AC5681" s="132"/>
      <c r="AD5681" s="148"/>
      <c r="AE5681" s="148"/>
    </row>
    <row r="5682" customFormat="false" ht="15" hidden="false" customHeight="true" outlineLevel="0" collapsed="false">
      <c r="A5682" s="141"/>
      <c r="B5682" s="131"/>
      <c r="C5682" s="132"/>
      <c r="D5682" s="131"/>
      <c r="E5682" s="110"/>
      <c r="F5682" s="110"/>
      <c r="G5682" s="110"/>
      <c r="H5682" s="131"/>
      <c r="I5682" s="131"/>
      <c r="J5682" s="142"/>
      <c r="K5682" s="142"/>
      <c r="L5682" s="140"/>
      <c r="M5682" s="131"/>
      <c r="N5682" s="131"/>
      <c r="O5682" s="131"/>
      <c r="P5682" s="143"/>
      <c r="Q5682" s="66"/>
      <c r="R5682" s="131"/>
      <c r="S5682" s="144"/>
      <c r="T5682" s="131"/>
      <c r="U5682" s="131"/>
      <c r="V5682" s="131"/>
      <c r="W5682" s="131"/>
      <c r="X5682" s="145"/>
      <c r="Y5682" s="146"/>
      <c r="Z5682" s="147"/>
      <c r="AA5682" s="147"/>
      <c r="AB5682" s="110"/>
      <c r="AC5682" s="132"/>
      <c r="AD5682" s="148"/>
      <c r="AE5682" s="148"/>
    </row>
    <row r="5683" customFormat="false" ht="15" hidden="false" customHeight="true" outlineLevel="0" collapsed="false">
      <c r="A5683" s="141"/>
      <c r="B5683" s="131"/>
      <c r="C5683" s="132"/>
      <c r="D5683" s="131"/>
      <c r="E5683" s="110"/>
      <c r="F5683" s="110"/>
      <c r="G5683" s="110"/>
      <c r="H5683" s="131"/>
      <c r="I5683" s="131"/>
      <c r="J5683" s="142"/>
      <c r="K5683" s="142"/>
      <c r="L5683" s="140"/>
      <c r="M5683" s="131"/>
      <c r="N5683" s="131"/>
      <c r="O5683" s="131"/>
      <c r="P5683" s="143"/>
      <c r="Q5683" s="66"/>
      <c r="R5683" s="131"/>
      <c r="S5683" s="144"/>
      <c r="T5683" s="131"/>
      <c r="U5683" s="131"/>
      <c r="V5683" s="131"/>
      <c r="W5683" s="131"/>
      <c r="X5683" s="145"/>
      <c r="Y5683" s="146"/>
      <c r="Z5683" s="147"/>
      <c r="AA5683" s="147"/>
      <c r="AB5683" s="110"/>
      <c r="AC5683" s="132"/>
      <c r="AD5683" s="148"/>
      <c r="AE5683" s="148"/>
    </row>
    <row r="5684" customFormat="false" ht="15" hidden="false" customHeight="true" outlineLevel="0" collapsed="false">
      <c r="A5684" s="141"/>
      <c r="B5684" s="131"/>
      <c r="C5684" s="132"/>
      <c r="D5684" s="131"/>
      <c r="E5684" s="110"/>
      <c r="F5684" s="110"/>
      <c r="G5684" s="110"/>
      <c r="H5684" s="131"/>
      <c r="I5684" s="131"/>
      <c r="J5684" s="142"/>
      <c r="K5684" s="142"/>
      <c r="L5684" s="140"/>
      <c r="M5684" s="131"/>
      <c r="N5684" s="131"/>
      <c r="O5684" s="131"/>
      <c r="P5684" s="143"/>
      <c r="Q5684" s="66"/>
      <c r="R5684" s="131"/>
      <c r="S5684" s="144"/>
      <c r="T5684" s="131"/>
      <c r="U5684" s="131"/>
      <c r="V5684" s="131"/>
      <c r="W5684" s="131"/>
      <c r="X5684" s="145"/>
      <c r="Y5684" s="146"/>
      <c r="Z5684" s="147"/>
      <c r="AA5684" s="147"/>
      <c r="AB5684" s="110"/>
      <c r="AC5684" s="132"/>
      <c r="AD5684" s="148"/>
      <c r="AE5684" s="148"/>
    </row>
    <row r="5685" customFormat="false" ht="15" hidden="false" customHeight="true" outlineLevel="0" collapsed="false">
      <c r="A5685" s="141"/>
      <c r="B5685" s="131"/>
      <c r="C5685" s="132"/>
      <c r="D5685" s="131"/>
      <c r="E5685" s="110"/>
      <c r="F5685" s="110"/>
      <c r="G5685" s="110"/>
      <c r="H5685" s="131"/>
      <c r="I5685" s="131"/>
      <c r="J5685" s="142"/>
      <c r="K5685" s="142"/>
      <c r="L5685" s="140"/>
      <c r="M5685" s="131"/>
      <c r="N5685" s="131"/>
      <c r="O5685" s="131"/>
      <c r="P5685" s="143"/>
      <c r="Q5685" s="66"/>
      <c r="R5685" s="131"/>
      <c r="S5685" s="144"/>
      <c r="T5685" s="131"/>
      <c r="U5685" s="131"/>
      <c r="V5685" s="131"/>
      <c r="W5685" s="131"/>
      <c r="X5685" s="145"/>
      <c r="Y5685" s="146"/>
      <c r="Z5685" s="147"/>
      <c r="AA5685" s="147"/>
      <c r="AB5685" s="110"/>
      <c r="AC5685" s="132"/>
      <c r="AD5685" s="148"/>
      <c r="AE5685" s="148"/>
    </row>
    <row r="5686" customFormat="false" ht="15" hidden="false" customHeight="true" outlineLevel="0" collapsed="false">
      <c r="A5686" s="141"/>
      <c r="B5686" s="131"/>
      <c r="C5686" s="132"/>
      <c r="D5686" s="131"/>
      <c r="E5686" s="110"/>
      <c r="F5686" s="110"/>
      <c r="G5686" s="110"/>
      <c r="H5686" s="131"/>
      <c r="I5686" s="131"/>
      <c r="J5686" s="142"/>
      <c r="K5686" s="142"/>
      <c r="L5686" s="140"/>
      <c r="M5686" s="131"/>
      <c r="N5686" s="131"/>
      <c r="O5686" s="131"/>
      <c r="P5686" s="143"/>
      <c r="Q5686" s="66"/>
      <c r="R5686" s="131"/>
      <c r="S5686" s="144"/>
      <c r="T5686" s="131"/>
      <c r="U5686" s="131"/>
      <c r="V5686" s="131"/>
      <c r="W5686" s="131"/>
      <c r="X5686" s="145"/>
      <c r="Y5686" s="146"/>
      <c r="Z5686" s="147"/>
      <c r="AA5686" s="147"/>
      <c r="AB5686" s="110"/>
      <c r="AC5686" s="132"/>
      <c r="AD5686" s="148"/>
      <c r="AE5686" s="148"/>
    </row>
    <row r="5687" customFormat="false" ht="15" hidden="false" customHeight="true" outlineLevel="0" collapsed="false">
      <c r="A5687" s="141"/>
      <c r="B5687" s="131"/>
      <c r="C5687" s="132"/>
      <c r="D5687" s="131"/>
      <c r="E5687" s="110"/>
      <c r="F5687" s="110"/>
      <c r="G5687" s="110"/>
      <c r="H5687" s="131"/>
      <c r="I5687" s="131"/>
      <c r="J5687" s="142"/>
      <c r="K5687" s="142"/>
      <c r="L5687" s="140"/>
      <c r="M5687" s="131"/>
      <c r="N5687" s="131"/>
      <c r="O5687" s="131"/>
      <c r="P5687" s="143"/>
      <c r="Q5687" s="66"/>
      <c r="R5687" s="131"/>
      <c r="S5687" s="144"/>
      <c r="T5687" s="131"/>
      <c r="U5687" s="131"/>
      <c r="V5687" s="131"/>
      <c r="W5687" s="131"/>
      <c r="X5687" s="145"/>
      <c r="Y5687" s="146"/>
      <c r="Z5687" s="147"/>
      <c r="AA5687" s="147"/>
      <c r="AB5687" s="110"/>
      <c r="AC5687" s="132"/>
      <c r="AD5687" s="148"/>
      <c r="AE5687" s="148"/>
    </row>
    <row r="5688" customFormat="false" ht="15" hidden="false" customHeight="true" outlineLevel="0" collapsed="false">
      <c r="A5688" s="141"/>
      <c r="B5688" s="131"/>
      <c r="C5688" s="132"/>
      <c r="D5688" s="131"/>
      <c r="E5688" s="110"/>
      <c r="F5688" s="110"/>
      <c r="G5688" s="110"/>
      <c r="H5688" s="131"/>
      <c r="I5688" s="131"/>
      <c r="J5688" s="142"/>
      <c r="K5688" s="142"/>
      <c r="L5688" s="140"/>
      <c r="M5688" s="131"/>
      <c r="N5688" s="131"/>
      <c r="O5688" s="131"/>
      <c r="P5688" s="143"/>
      <c r="Q5688" s="66"/>
      <c r="R5688" s="131"/>
      <c r="S5688" s="144"/>
      <c r="T5688" s="131"/>
      <c r="U5688" s="131"/>
      <c r="V5688" s="131"/>
      <c r="W5688" s="131"/>
      <c r="X5688" s="145"/>
      <c r="Y5688" s="146"/>
      <c r="Z5688" s="147"/>
      <c r="AA5688" s="147"/>
      <c r="AB5688" s="110"/>
      <c r="AC5688" s="132"/>
      <c r="AD5688" s="148"/>
      <c r="AE5688" s="148"/>
    </row>
    <row r="5689" customFormat="false" ht="15" hidden="false" customHeight="true" outlineLevel="0" collapsed="false">
      <c r="A5689" s="141"/>
      <c r="B5689" s="131"/>
      <c r="C5689" s="132"/>
      <c r="D5689" s="131"/>
      <c r="E5689" s="110"/>
      <c r="F5689" s="110"/>
      <c r="G5689" s="110"/>
      <c r="H5689" s="131"/>
      <c r="I5689" s="131"/>
      <c r="J5689" s="142"/>
      <c r="K5689" s="142"/>
      <c r="L5689" s="140"/>
      <c r="M5689" s="131"/>
      <c r="N5689" s="131"/>
      <c r="O5689" s="131"/>
      <c r="P5689" s="143"/>
      <c r="Q5689" s="66"/>
      <c r="R5689" s="131"/>
      <c r="S5689" s="144"/>
      <c r="T5689" s="131"/>
      <c r="U5689" s="131"/>
      <c r="V5689" s="131"/>
      <c r="W5689" s="131"/>
      <c r="X5689" s="145"/>
      <c r="Y5689" s="146"/>
      <c r="Z5689" s="147"/>
      <c r="AA5689" s="147"/>
      <c r="AB5689" s="110"/>
      <c r="AC5689" s="132"/>
      <c r="AD5689" s="148"/>
      <c r="AE5689" s="148"/>
    </row>
    <row r="5690" customFormat="false" ht="15" hidden="false" customHeight="true" outlineLevel="0" collapsed="false">
      <c r="A5690" s="141"/>
      <c r="B5690" s="131"/>
      <c r="C5690" s="132"/>
      <c r="D5690" s="131"/>
      <c r="E5690" s="110"/>
      <c r="F5690" s="110"/>
      <c r="G5690" s="110"/>
      <c r="H5690" s="131"/>
      <c r="I5690" s="131"/>
      <c r="J5690" s="142"/>
      <c r="K5690" s="142"/>
      <c r="L5690" s="140"/>
      <c r="M5690" s="131"/>
      <c r="N5690" s="131"/>
      <c r="O5690" s="131"/>
      <c r="P5690" s="143"/>
      <c r="Q5690" s="66"/>
      <c r="R5690" s="131"/>
      <c r="S5690" s="144"/>
      <c r="T5690" s="131"/>
      <c r="U5690" s="131"/>
      <c r="V5690" s="131"/>
      <c r="W5690" s="131"/>
      <c r="X5690" s="145"/>
      <c r="Y5690" s="146"/>
      <c r="Z5690" s="147"/>
      <c r="AA5690" s="147"/>
      <c r="AB5690" s="110"/>
      <c r="AC5690" s="132"/>
      <c r="AD5690" s="148"/>
      <c r="AE5690" s="148"/>
    </row>
    <row r="5691" customFormat="false" ht="15" hidden="false" customHeight="true" outlineLevel="0" collapsed="false">
      <c r="A5691" s="141"/>
      <c r="B5691" s="131"/>
      <c r="C5691" s="132"/>
      <c r="D5691" s="131"/>
      <c r="E5691" s="110"/>
      <c r="F5691" s="110"/>
      <c r="G5691" s="110"/>
      <c r="H5691" s="131"/>
      <c r="I5691" s="131"/>
      <c r="J5691" s="142"/>
      <c r="K5691" s="142"/>
      <c r="L5691" s="140"/>
      <c r="M5691" s="131"/>
      <c r="N5691" s="131"/>
      <c r="O5691" s="131"/>
      <c r="P5691" s="143"/>
      <c r="Q5691" s="66"/>
      <c r="R5691" s="131"/>
      <c r="S5691" s="144"/>
      <c r="T5691" s="131"/>
      <c r="U5691" s="131"/>
      <c r="V5691" s="131"/>
      <c r="W5691" s="131"/>
      <c r="X5691" s="145"/>
      <c r="Y5691" s="146"/>
      <c r="Z5691" s="147"/>
      <c r="AA5691" s="147"/>
      <c r="AB5691" s="110"/>
      <c r="AC5691" s="132"/>
      <c r="AD5691" s="148"/>
      <c r="AE5691" s="148"/>
    </row>
    <row r="5692" customFormat="false" ht="15" hidden="false" customHeight="true" outlineLevel="0" collapsed="false">
      <c r="A5692" s="141"/>
      <c r="B5692" s="131"/>
      <c r="C5692" s="132"/>
      <c r="D5692" s="131"/>
      <c r="E5692" s="110"/>
      <c r="F5692" s="110"/>
      <c r="G5692" s="110"/>
      <c r="H5692" s="131"/>
      <c r="I5692" s="131"/>
      <c r="J5692" s="142"/>
      <c r="K5692" s="142"/>
      <c r="L5692" s="140"/>
      <c r="M5692" s="131"/>
      <c r="N5692" s="131"/>
      <c r="O5692" s="131"/>
      <c r="P5692" s="143"/>
      <c r="Q5692" s="66"/>
      <c r="R5692" s="131"/>
      <c r="S5692" s="144"/>
      <c r="T5692" s="131"/>
      <c r="U5692" s="131"/>
      <c r="V5692" s="131"/>
      <c r="W5692" s="131"/>
      <c r="X5692" s="145"/>
      <c r="Y5692" s="146"/>
      <c r="Z5692" s="147"/>
      <c r="AA5692" s="147"/>
      <c r="AB5692" s="110"/>
      <c r="AC5692" s="132"/>
      <c r="AD5692" s="148"/>
      <c r="AE5692" s="148"/>
    </row>
    <row r="5693" customFormat="false" ht="15" hidden="false" customHeight="true" outlineLevel="0" collapsed="false">
      <c r="A5693" s="141"/>
      <c r="B5693" s="131"/>
      <c r="C5693" s="132"/>
      <c r="D5693" s="131"/>
      <c r="E5693" s="110"/>
      <c r="F5693" s="110"/>
      <c r="G5693" s="110"/>
      <c r="H5693" s="131"/>
      <c r="I5693" s="131"/>
      <c r="J5693" s="142"/>
      <c r="K5693" s="142"/>
      <c r="L5693" s="140"/>
      <c r="M5693" s="131"/>
      <c r="N5693" s="131"/>
      <c r="O5693" s="131"/>
      <c r="P5693" s="143"/>
      <c r="Q5693" s="66"/>
      <c r="R5693" s="131"/>
      <c r="S5693" s="144"/>
      <c r="T5693" s="131"/>
      <c r="U5693" s="131"/>
      <c r="V5693" s="131"/>
      <c r="W5693" s="131"/>
      <c r="X5693" s="145"/>
      <c r="Y5693" s="146"/>
      <c r="Z5693" s="147"/>
      <c r="AA5693" s="147"/>
      <c r="AB5693" s="110"/>
      <c r="AC5693" s="132"/>
      <c r="AD5693" s="148"/>
      <c r="AE5693" s="148"/>
    </row>
    <row r="5694" customFormat="false" ht="15" hidden="false" customHeight="true" outlineLevel="0" collapsed="false">
      <c r="A5694" s="141"/>
      <c r="B5694" s="131"/>
      <c r="C5694" s="132"/>
      <c r="D5694" s="131"/>
      <c r="E5694" s="110"/>
      <c r="F5694" s="110"/>
      <c r="G5694" s="110"/>
      <c r="H5694" s="131"/>
      <c r="I5694" s="131"/>
      <c r="J5694" s="142"/>
      <c r="K5694" s="142"/>
      <c r="L5694" s="140"/>
      <c r="M5694" s="131"/>
      <c r="N5694" s="131"/>
      <c r="O5694" s="131"/>
      <c r="P5694" s="143"/>
      <c r="Q5694" s="66"/>
      <c r="R5694" s="131"/>
      <c r="S5694" s="144"/>
      <c r="T5694" s="131"/>
      <c r="U5694" s="131"/>
      <c r="V5694" s="131"/>
      <c r="W5694" s="131"/>
      <c r="X5694" s="145"/>
      <c r="Y5694" s="146"/>
      <c r="Z5694" s="147"/>
      <c r="AA5694" s="147"/>
      <c r="AB5694" s="110"/>
      <c r="AC5694" s="132"/>
      <c r="AD5694" s="148"/>
      <c r="AE5694" s="148"/>
    </row>
    <row r="5695" customFormat="false" ht="15" hidden="false" customHeight="true" outlineLevel="0" collapsed="false">
      <c r="A5695" s="141"/>
      <c r="B5695" s="131"/>
      <c r="C5695" s="132"/>
      <c r="D5695" s="131"/>
      <c r="E5695" s="110"/>
      <c r="F5695" s="110"/>
      <c r="G5695" s="110"/>
      <c r="H5695" s="131"/>
      <c r="I5695" s="131"/>
      <c r="J5695" s="142"/>
      <c r="K5695" s="142"/>
      <c r="L5695" s="140"/>
      <c r="M5695" s="131"/>
      <c r="N5695" s="131"/>
      <c r="O5695" s="131"/>
      <c r="P5695" s="143"/>
      <c r="Q5695" s="66"/>
      <c r="R5695" s="131"/>
      <c r="S5695" s="144"/>
      <c r="T5695" s="131"/>
      <c r="U5695" s="131"/>
      <c r="V5695" s="131"/>
      <c r="W5695" s="131"/>
      <c r="X5695" s="145"/>
      <c r="Y5695" s="146"/>
      <c r="Z5695" s="147"/>
      <c r="AA5695" s="147"/>
      <c r="AB5695" s="110"/>
      <c r="AC5695" s="132"/>
      <c r="AD5695" s="148"/>
      <c r="AE5695" s="148"/>
    </row>
    <row r="5696" customFormat="false" ht="15" hidden="false" customHeight="true" outlineLevel="0" collapsed="false">
      <c r="A5696" s="141"/>
      <c r="B5696" s="131"/>
      <c r="C5696" s="132"/>
      <c r="D5696" s="131"/>
      <c r="E5696" s="110"/>
      <c r="F5696" s="110"/>
      <c r="G5696" s="110"/>
      <c r="H5696" s="131"/>
      <c r="I5696" s="131"/>
      <c r="J5696" s="142"/>
      <c r="K5696" s="142"/>
      <c r="L5696" s="140"/>
      <c r="M5696" s="131"/>
      <c r="N5696" s="131"/>
      <c r="O5696" s="131"/>
      <c r="P5696" s="143"/>
      <c r="Q5696" s="66"/>
      <c r="R5696" s="131"/>
      <c r="S5696" s="144"/>
      <c r="T5696" s="131"/>
      <c r="U5696" s="131"/>
      <c r="V5696" s="131"/>
      <c r="W5696" s="131"/>
      <c r="X5696" s="145"/>
      <c r="Y5696" s="146"/>
      <c r="Z5696" s="147"/>
      <c r="AA5696" s="147"/>
      <c r="AB5696" s="110"/>
      <c r="AC5696" s="132"/>
      <c r="AD5696" s="148"/>
      <c r="AE5696" s="148"/>
    </row>
    <row r="5697" customFormat="false" ht="15" hidden="false" customHeight="true" outlineLevel="0" collapsed="false">
      <c r="A5697" s="141"/>
      <c r="B5697" s="131"/>
      <c r="C5697" s="132"/>
      <c r="D5697" s="131"/>
      <c r="E5697" s="110"/>
      <c r="F5697" s="110"/>
      <c r="G5697" s="110"/>
      <c r="H5697" s="131"/>
      <c r="I5697" s="131"/>
      <c r="J5697" s="142"/>
      <c r="K5697" s="142"/>
      <c r="L5697" s="140"/>
      <c r="M5697" s="131"/>
      <c r="N5697" s="131"/>
      <c r="O5697" s="131"/>
      <c r="P5697" s="143"/>
      <c r="Q5697" s="66"/>
      <c r="R5697" s="131"/>
      <c r="S5697" s="144"/>
      <c r="T5697" s="131"/>
      <c r="U5697" s="131"/>
      <c r="V5697" s="131"/>
      <c r="W5697" s="131"/>
      <c r="X5697" s="145"/>
      <c r="Y5697" s="146"/>
      <c r="Z5697" s="147"/>
      <c r="AA5697" s="147"/>
      <c r="AB5697" s="110"/>
      <c r="AC5697" s="132"/>
      <c r="AD5697" s="148"/>
      <c r="AE5697" s="148"/>
    </row>
    <row r="5698" customFormat="false" ht="15" hidden="false" customHeight="true" outlineLevel="0" collapsed="false">
      <c r="A5698" s="141"/>
      <c r="B5698" s="131"/>
      <c r="C5698" s="132"/>
      <c r="D5698" s="131"/>
      <c r="E5698" s="110"/>
      <c r="F5698" s="110"/>
      <c r="G5698" s="110"/>
      <c r="H5698" s="131"/>
      <c r="I5698" s="131"/>
      <c r="J5698" s="142"/>
      <c r="K5698" s="142"/>
      <c r="L5698" s="140"/>
      <c r="M5698" s="131"/>
      <c r="N5698" s="131"/>
      <c r="O5698" s="131"/>
      <c r="P5698" s="143"/>
      <c r="Q5698" s="66"/>
      <c r="R5698" s="131"/>
      <c r="S5698" s="144"/>
      <c r="T5698" s="131"/>
      <c r="U5698" s="131"/>
      <c r="V5698" s="131"/>
      <c r="W5698" s="131"/>
      <c r="X5698" s="145"/>
      <c r="Y5698" s="146"/>
      <c r="Z5698" s="147"/>
      <c r="AA5698" s="147"/>
      <c r="AB5698" s="110"/>
      <c r="AC5698" s="132"/>
      <c r="AD5698" s="148"/>
      <c r="AE5698" s="148"/>
    </row>
    <row r="5699" customFormat="false" ht="15" hidden="false" customHeight="true" outlineLevel="0" collapsed="false">
      <c r="A5699" s="141"/>
      <c r="B5699" s="131"/>
      <c r="C5699" s="132"/>
      <c r="D5699" s="131"/>
      <c r="E5699" s="110"/>
      <c r="F5699" s="110"/>
      <c r="G5699" s="110"/>
      <c r="H5699" s="131"/>
      <c r="I5699" s="131"/>
      <c r="J5699" s="142"/>
      <c r="K5699" s="142"/>
      <c r="L5699" s="140"/>
      <c r="M5699" s="131"/>
      <c r="N5699" s="131"/>
      <c r="O5699" s="131"/>
      <c r="P5699" s="143"/>
      <c r="Q5699" s="66"/>
      <c r="R5699" s="131"/>
      <c r="S5699" s="144"/>
      <c r="T5699" s="131"/>
      <c r="U5699" s="131"/>
      <c r="V5699" s="131"/>
      <c r="W5699" s="131"/>
      <c r="X5699" s="145"/>
      <c r="Y5699" s="146"/>
      <c r="Z5699" s="147"/>
      <c r="AA5699" s="147"/>
      <c r="AB5699" s="110"/>
      <c r="AC5699" s="132"/>
      <c r="AD5699" s="148"/>
      <c r="AE5699" s="148"/>
    </row>
    <row r="5700" customFormat="false" ht="15" hidden="false" customHeight="true" outlineLevel="0" collapsed="false">
      <c r="A5700" s="141"/>
      <c r="B5700" s="131"/>
      <c r="C5700" s="132"/>
      <c r="D5700" s="131"/>
      <c r="E5700" s="110"/>
      <c r="F5700" s="110"/>
      <c r="G5700" s="110"/>
      <c r="H5700" s="131"/>
      <c r="I5700" s="131"/>
      <c r="J5700" s="142"/>
      <c r="K5700" s="142"/>
      <c r="L5700" s="140"/>
      <c r="M5700" s="131"/>
      <c r="N5700" s="131"/>
      <c r="O5700" s="131"/>
      <c r="P5700" s="143"/>
      <c r="Q5700" s="66"/>
      <c r="R5700" s="131"/>
      <c r="S5700" s="144"/>
      <c r="T5700" s="131"/>
      <c r="U5700" s="131"/>
      <c r="V5700" s="131"/>
      <c r="W5700" s="131"/>
      <c r="X5700" s="145"/>
      <c r="Y5700" s="146"/>
      <c r="Z5700" s="147"/>
      <c r="AA5700" s="147"/>
      <c r="AB5700" s="110"/>
      <c r="AC5700" s="132"/>
      <c r="AD5700" s="148"/>
      <c r="AE5700" s="148"/>
    </row>
    <row r="5701" customFormat="false" ht="15" hidden="false" customHeight="true" outlineLevel="0" collapsed="false">
      <c r="A5701" s="141"/>
      <c r="B5701" s="131"/>
      <c r="C5701" s="132"/>
      <c r="D5701" s="131"/>
      <c r="E5701" s="110"/>
      <c r="F5701" s="110"/>
      <c r="G5701" s="110"/>
      <c r="H5701" s="131"/>
      <c r="I5701" s="131"/>
      <c r="J5701" s="142"/>
      <c r="K5701" s="142"/>
      <c r="L5701" s="140"/>
      <c r="M5701" s="131"/>
      <c r="N5701" s="131"/>
      <c r="O5701" s="131"/>
      <c r="P5701" s="143"/>
      <c r="Q5701" s="66"/>
      <c r="R5701" s="131"/>
      <c r="S5701" s="144"/>
      <c r="T5701" s="131"/>
      <c r="U5701" s="131"/>
      <c r="V5701" s="131"/>
      <c r="W5701" s="131"/>
      <c r="X5701" s="145"/>
      <c r="Y5701" s="146"/>
      <c r="Z5701" s="147"/>
      <c r="AA5701" s="147"/>
      <c r="AB5701" s="110"/>
      <c r="AC5701" s="132"/>
      <c r="AD5701" s="148"/>
      <c r="AE5701" s="148"/>
    </row>
    <row r="5702" customFormat="false" ht="15" hidden="false" customHeight="true" outlineLevel="0" collapsed="false">
      <c r="A5702" s="141"/>
      <c r="B5702" s="131"/>
      <c r="C5702" s="132"/>
      <c r="D5702" s="131"/>
      <c r="E5702" s="110"/>
      <c r="F5702" s="110"/>
      <c r="G5702" s="110"/>
      <c r="H5702" s="131"/>
      <c r="I5702" s="131"/>
      <c r="J5702" s="142"/>
      <c r="K5702" s="142"/>
      <c r="L5702" s="140"/>
      <c r="M5702" s="131"/>
      <c r="N5702" s="131"/>
      <c r="O5702" s="131"/>
      <c r="P5702" s="143"/>
      <c r="Q5702" s="66"/>
      <c r="R5702" s="131"/>
      <c r="S5702" s="144"/>
      <c r="T5702" s="131"/>
      <c r="U5702" s="131"/>
      <c r="V5702" s="131"/>
      <c r="W5702" s="131"/>
      <c r="X5702" s="145"/>
      <c r="Y5702" s="146"/>
      <c r="Z5702" s="147"/>
      <c r="AA5702" s="147"/>
      <c r="AB5702" s="110"/>
      <c r="AC5702" s="132"/>
      <c r="AD5702" s="148"/>
      <c r="AE5702" s="148"/>
    </row>
    <row r="5703" customFormat="false" ht="15" hidden="false" customHeight="true" outlineLevel="0" collapsed="false">
      <c r="A5703" s="141"/>
      <c r="B5703" s="131"/>
      <c r="C5703" s="132"/>
      <c r="D5703" s="131"/>
      <c r="E5703" s="110"/>
      <c r="F5703" s="110"/>
      <c r="G5703" s="110"/>
      <c r="H5703" s="131"/>
      <c r="I5703" s="131"/>
      <c r="J5703" s="142"/>
      <c r="K5703" s="142"/>
      <c r="L5703" s="140"/>
      <c r="M5703" s="131"/>
      <c r="N5703" s="131"/>
      <c r="O5703" s="131"/>
      <c r="P5703" s="143"/>
      <c r="Q5703" s="66"/>
      <c r="R5703" s="131"/>
      <c r="S5703" s="144"/>
      <c r="T5703" s="131"/>
      <c r="U5703" s="131"/>
      <c r="V5703" s="131"/>
      <c r="W5703" s="131"/>
      <c r="X5703" s="145"/>
      <c r="Y5703" s="146"/>
      <c r="Z5703" s="147"/>
      <c r="AA5703" s="147"/>
      <c r="AB5703" s="110"/>
      <c r="AC5703" s="132"/>
      <c r="AD5703" s="148"/>
      <c r="AE5703" s="148"/>
    </row>
    <row r="5704" customFormat="false" ht="15" hidden="false" customHeight="true" outlineLevel="0" collapsed="false">
      <c r="A5704" s="141"/>
      <c r="B5704" s="131"/>
      <c r="C5704" s="132"/>
      <c r="D5704" s="131"/>
      <c r="E5704" s="110"/>
      <c r="F5704" s="110"/>
      <c r="G5704" s="110"/>
      <c r="H5704" s="131"/>
      <c r="I5704" s="131"/>
      <c r="J5704" s="142"/>
      <c r="K5704" s="142"/>
      <c r="L5704" s="140"/>
      <c r="M5704" s="131"/>
      <c r="N5704" s="131"/>
      <c r="O5704" s="131"/>
      <c r="P5704" s="143"/>
      <c r="Q5704" s="66"/>
      <c r="R5704" s="131"/>
      <c r="S5704" s="144"/>
      <c r="T5704" s="131"/>
      <c r="U5704" s="131"/>
      <c r="V5704" s="131"/>
      <c r="W5704" s="131"/>
      <c r="X5704" s="145"/>
      <c r="Y5704" s="146"/>
      <c r="Z5704" s="147"/>
      <c r="AA5704" s="147"/>
      <c r="AB5704" s="110"/>
      <c r="AC5704" s="132"/>
      <c r="AD5704" s="148"/>
      <c r="AE5704" s="148"/>
    </row>
    <row r="5705" customFormat="false" ht="15" hidden="false" customHeight="true" outlineLevel="0" collapsed="false">
      <c r="A5705" s="141"/>
      <c r="B5705" s="131"/>
      <c r="C5705" s="132"/>
      <c r="D5705" s="131"/>
      <c r="E5705" s="110"/>
      <c r="F5705" s="110"/>
      <c r="G5705" s="110"/>
      <c r="H5705" s="131"/>
      <c r="I5705" s="131"/>
      <c r="J5705" s="142"/>
      <c r="K5705" s="142"/>
      <c r="L5705" s="140"/>
      <c r="M5705" s="131"/>
      <c r="N5705" s="131"/>
      <c r="O5705" s="131"/>
      <c r="P5705" s="143"/>
      <c r="Q5705" s="66"/>
      <c r="R5705" s="131"/>
      <c r="S5705" s="144"/>
      <c r="T5705" s="131"/>
      <c r="U5705" s="131"/>
      <c r="V5705" s="131"/>
      <c r="W5705" s="131"/>
      <c r="X5705" s="145"/>
      <c r="Y5705" s="146"/>
      <c r="Z5705" s="147"/>
      <c r="AA5705" s="147"/>
      <c r="AB5705" s="110"/>
      <c r="AC5705" s="132"/>
      <c r="AD5705" s="148"/>
      <c r="AE5705" s="148"/>
    </row>
    <row r="5706" customFormat="false" ht="15" hidden="false" customHeight="true" outlineLevel="0" collapsed="false">
      <c r="A5706" s="141"/>
      <c r="B5706" s="131"/>
      <c r="C5706" s="132"/>
      <c r="D5706" s="131"/>
      <c r="E5706" s="110"/>
      <c r="F5706" s="110"/>
      <c r="G5706" s="110"/>
      <c r="H5706" s="131"/>
      <c r="I5706" s="131"/>
      <c r="J5706" s="142"/>
      <c r="K5706" s="142"/>
      <c r="L5706" s="140"/>
      <c r="M5706" s="131"/>
      <c r="N5706" s="131"/>
      <c r="O5706" s="131"/>
      <c r="P5706" s="143"/>
      <c r="Q5706" s="66"/>
      <c r="R5706" s="131"/>
      <c r="S5706" s="144"/>
      <c r="T5706" s="131"/>
      <c r="U5706" s="131"/>
      <c r="V5706" s="131"/>
      <c r="W5706" s="131"/>
      <c r="X5706" s="145"/>
      <c r="Y5706" s="146"/>
      <c r="Z5706" s="147"/>
      <c r="AA5706" s="147"/>
      <c r="AB5706" s="110"/>
      <c r="AC5706" s="132"/>
      <c r="AD5706" s="148"/>
      <c r="AE5706" s="148"/>
    </row>
    <row r="5707" customFormat="false" ht="15" hidden="false" customHeight="true" outlineLevel="0" collapsed="false">
      <c r="A5707" s="141"/>
      <c r="B5707" s="131"/>
      <c r="C5707" s="132"/>
      <c r="D5707" s="131"/>
      <c r="E5707" s="110"/>
      <c r="F5707" s="110"/>
      <c r="G5707" s="110"/>
      <c r="H5707" s="131"/>
      <c r="I5707" s="131"/>
      <c r="J5707" s="142"/>
      <c r="K5707" s="142"/>
      <c r="L5707" s="140"/>
      <c r="M5707" s="131"/>
      <c r="N5707" s="131"/>
      <c r="O5707" s="131"/>
      <c r="P5707" s="143"/>
      <c r="Q5707" s="66"/>
      <c r="R5707" s="131"/>
      <c r="S5707" s="144"/>
      <c r="T5707" s="131"/>
      <c r="U5707" s="131"/>
      <c r="V5707" s="131"/>
      <c r="W5707" s="131"/>
      <c r="X5707" s="145"/>
      <c r="Y5707" s="146"/>
      <c r="Z5707" s="147"/>
      <c r="AA5707" s="147"/>
      <c r="AB5707" s="110"/>
      <c r="AC5707" s="132"/>
      <c r="AD5707" s="148"/>
      <c r="AE5707" s="148"/>
    </row>
    <row r="5708" customFormat="false" ht="15" hidden="false" customHeight="true" outlineLevel="0" collapsed="false">
      <c r="A5708" s="141"/>
      <c r="B5708" s="131"/>
      <c r="C5708" s="132"/>
      <c r="D5708" s="131"/>
      <c r="E5708" s="110"/>
      <c r="F5708" s="110"/>
      <c r="G5708" s="110"/>
      <c r="H5708" s="131"/>
      <c r="I5708" s="131"/>
      <c r="J5708" s="142"/>
      <c r="K5708" s="142"/>
      <c r="L5708" s="140"/>
      <c r="M5708" s="131"/>
      <c r="N5708" s="131"/>
      <c r="O5708" s="131"/>
      <c r="P5708" s="143"/>
      <c r="Q5708" s="66"/>
      <c r="R5708" s="131"/>
      <c r="S5708" s="144"/>
      <c r="T5708" s="131"/>
      <c r="U5708" s="131"/>
      <c r="V5708" s="131"/>
      <c r="W5708" s="131"/>
      <c r="X5708" s="145"/>
      <c r="Y5708" s="146"/>
      <c r="Z5708" s="147"/>
      <c r="AA5708" s="147"/>
      <c r="AB5708" s="110"/>
      <c r="AC5708" s="132"/>
      <c r="AD5708" s="148"/>
      <c r="AE5708" s="148"/>
    </row>
    <row r="5709" customFormat="false" ht="15" hidden="false" customHeight="true" outlineLevel="0" collapsed="false">
      <c r="A5709" s="141"/>
      <c r="B5709" s="131"/>
      <c r="C5709" s="132"/>
      <c r="D5709" s="131"/>
      <c r="E5709" s="110"/>
      <c r="F5709" s="110"/>
      <c r="G5709" s="110"/>
      <c r="H5709" s="131"/>
      <c r="I5709" s="131"/>
      <c r="J5709" s="142"/>
      <c r="K5709" s="142"/>
      <c r="L5709" s="140"/>
      <c r="M5709" s="131"/>
      <c r="N5709" s="131"/>
      <c r="O5709" s="131"/>
      <c r="P5709" s="143"/>
      <c r="Q5709" s="66"/>
      <c r="R5709" s="131"/>
      <c r="S5709" s="144"/>
      <c r="T5709" s="131"/>
      <c r="U5709" s="131"/>
      <c r="V5709" s="131"/>
      <c r="W5709" s="131"/>
      <c r="X5709" s="145"/>
      <c r="Y5709" s="146"/>
      <c r="Z5709" s="147"/>
      <c r="AA5709" s="147"/>
      <c r="AB5709" s="110"/>
      <c r="AC5709" s="132"/>
      <c r="AD5709" s="148"/>
      <c r="AE5709" s="148"/>
    </row>
    <row r="5710" customFormat="false" ht="15" hidden="false" customHeight="true" outlineLevel="0" collapsed="false">
      <c r="A5710" s="141"/>
      <c r="B5710" s="131"/>
      <c r="C5710" s="132"/>
      <c r="D5710" s="131"/>
      <c r="E5710" s="110"/>
      <c r="F5710" s="110"/>
      <c r="G5710" s="110"/>
      <c r="H5710" s="131"/>
      <c r="I5710" s="131"/>
      <c r="J5710" s="142"/>
      <c r="K5710" s="142"/>
      <c r="L5710" s="140"/>
      <c r="M5710" s="131"/>
      <c r="N5710" s="131"/>
      <c r="O5710" s="131"/>
      <c r="P5710" s="143"/>
      <c r="Q5710" s="66"/>
      <c r="R5710" s="131"/>
      <c r="S5710" s="144"/>
      <c r="T5710" s="131"/>
      <c r="U5710" s="131"/>
      <c r="V5710" s="131"/>
      <c r="W5710" s="131"/>
      <c r="X5710" s="145"/>
      <c r="Y5710" s="146"/>
      <c r="Z5710" s="147"/>
      <c r="AA5710" s="147"/>
      <c r="AB5710" s="110"/>
      <c r="AC5710" s="132"/>
      <c r="AD5710" s="148"/>
      <c r="AE5710" s="148"/>
    </row>
    <row r="5711" customFormat="false" ht="15" hidden="false" customHeight="true" outlineLevel="0" collapsed="false">
      <c r="A5711" s="141"/>
      <c r="B5711" s="131"/>
      <c r="C5711" s="132"/>
      <c r="D5711" s="131"/>
      <c r="E5711" s="110"/>
      <c r="F5711" s="110"/>
      <c r="G5711" s="110"/>
      <c r="H5711" s="131"/>
      <c r="I5711" s="131"/>
      <c r="J5711" s="142"/>
      <c r="K5711" s="142"/>
      <c r="L5711" s="140"/>
      <c r="M5711" s="131"/>
      <c r="N5711" s="131"/>
      <c r="O5711" s="131"/>
      <c r="P5711" s="143"/>
      <c r="Q5711" s="66"/>
      <c r="R5711" s="131"/>
      <c r="S5711" s="144"/>
      <c r="T5711" s="131"/>
      <c r="U5711" s="131"/>
      <c r="V5711" s="131"/>
      <c r="W5711" s="131"/>
      <c r="X5711" s="145"/>
      <c r="Y5711" s="146"/>
      <c r="Z5711" s="147"/>
      <c r="AA5711" s="147"/>
      <c r="AB5711" s="110"/>
      <c r="AC5711" s="132"/>
      <c r="AD5711" s="148"/>
      <c r="AE5711" s="148"/>
    </row>
    <row r="5712" customFormat="false" ht="15" hidden="false" customHeight="true" outlineLevel="0" collapsed="false">
      <c r="A5712" s="141"/>
      <c r="B5712" s="131"/>
      <c r="C5712" s="132"/>
      <c r="D5712" s="131"/>
      <c r="E5712" s="110"/>
      <c r="F5712" s="110"/>
      <c r="G5712" s="110"/>
      <c r="H5712" s="131"/>
      <c r="I5712" s="131"/>
      <c r="J5712" s="142"/>
      <c r="K5712" s="142"/>
      <c r="L5712" s="140"/>
      <c r="M5712" s="131"/>
      <c r="N5712" s="131"/>
      <c r="O5712" s="131"/>
      <c r="P5712" s="143"/>
      <c r="Q5712" s="66"/>
      <c r="R5712" s="131"/>
      <c r="S5712" s="144"/>
      <c r="T5712" s="131"/>
      <c r="U5712" s="131"/>
      <c r="V5712" s="131"/>
      <c r="W5712" s="131"/>
      <c r="X5712" s="145"/>
      <c r="Y5712" s="146"/>
      <c r="Z5712" s="147"/>
      <c r="AA5712" s="147"/>
      <c r="AB5712" s="110"/>
      <c r="AC5712" s="132"/>
      <c r="AD5712" s="148"/>
      <c r="AE5712" s="148"/>
    </row>
    <row r="5713" customFormat="false" ht="15" hidden="false" customHeight="true" outlineLevel="0" collapsed="false">
      <c r="A5713" s="141"/>
      <c r="B5713" s="131"/>
      <c r="C5713" s="132"/>
      <c r="D5713" s="131"/>
      <c r="E5713" s="110"/>
      <c r="F5713" s="110"/>
      <c r="G5713" s="110"/>
      <c r="H5713" s="131"/>
      <c r="I5713" s="131"/>
      <c r="J5713" s="142"/>
      <c r="K5713" s="142"/>
      <c r="L5713" s="140"/>
      <c r="M5713" s="131"/>
      <c r="N5713" s="131"/>
      <c r="O5713" s="131"/>
      <c r="P5713" s="143"/>
      <c r="Q5713" s="66"/>
      <c r="R5713" s="131"/>
      <c r="S5713" s="144"/>
      <c r="T5713" s="131"/>
      <c r="U5713" s="131"/>
      <c r="V5713" s="131"/>
      <c r="W5713" s="131"/>
      <c r="X5713" s="145"/>
      <c r="Y5713" s="146"/>
      <c r="Z5713" s="147"/>
      <c r="AA5713" s="147"/>
      <c r="AB5713" s="110"/>
      <c r="AC5713" s="132"/>
      <c r="AD5713" s="148"/>
      <c r="AE5713" s="148"/>
    </row>
    <row r="5714" customFormat="false" ht="15" hidden="false" customHeight="true" outlineLevel="0" collapsed="false">
      <c r="A5714" s="141"/>
      <c r="B5714" s="131"/>
      <c r="C5714" s="132"/>
      <c r="D5714" s="131"/>
      <c r="E5714" s="110"/>
      <c r="F5714" s="110"/>
      <c r="G5714" s="110"/>
      <c r="H5714" s="131"/>
      <c r="I5714" s="131"/>
      <c r="J5714" s="142"/>
      <c r="K5714" s="142"/>
      <c r="L5714" s="140"/>
      <c r="M5714" s="131"/>
      <c r="N5714" s="131"/>
      <c r="O5714" s="131"/>
      <c r="P5714" s="143"/>
      <c r="Q5714" s="66"/>
      <c r="R5714" s="131"/>
      <c r="S5714" s="144"/>
      <c r="T5714" s="131"/>
      <c r="U5714" s="131"/>
      <c r="V5714" s="131"/>
      <c r="W5714" s="131"/>
      <c r="X5714" s="145"/>
      <c r="Y5714" s="146"/>
      <c r="Z5714" s="147"/>
      <c r="AA5714" s="147"/>
      <c r="AB5714" s="110"/>
      <c r="AC5714" s="132"/>
      <c r="AD5714" s="148"/>
      <c r="AE5714" s="148"/>
    </row>
    <row r="5715" customFormat="false" ht="15" hidden="false" customHeight="true" outlineLevel="0" collapsed="false">
      <c r="A5715" s="141"/>
      <c r="B5715" s="131"/>
      <c r="C5715" s="132"/>
      <c r="D5715" s="131"/>
      <c r="E5715" s="110"/>
      <c r="F5715" s="110"/>
      <c r="G5715" s="110"/>
      <c r="H5715" s="131"/>
      <c r="I5715" s="131"/>
      <c r="J5715" s="142"/>
      <c r="K5715" s="142"/>
      <c r="L5715" s="140"/>
      <c r="M5715" s="131"/>
      <c r="N5715" s="131"/>
      <c r="O5715" s="131"/>
      <c r="P5715" s="143"/>
      <c r="Q5715" s="66"/>
      <c r="R5715" s="131"/>
      <c r="S5715" s="144"/>
      <c r="T5715" s="131"/>
      <c r="U5715" s="131"/>
      <c r="V5715" s="131"/>
      <c r="W5715" s="131"/>
      <c r="X5715" s="145"/>
      <c r="Y5715" s="146"/>
      <c r="Z5715" s="147"/>
      <c r="AA5715" s="147"/>
      <c r="AB5715" s="110"/>
      <c r="AC5715" s="132"/>
      <c r="AD5715" s="148"/>
      <c r="AE5715" s="148"/>
    </row>
    <row r="5716" customFormat="false" ht="15" hidden="false" customHeight="true" outlineLevel="0" collapsed="false">
      <c r="A5716" s="141"/>
      <c r="B5716" s="131"/>
      <c r="C5716" s="132"/>
      <c r="D5716" s="131"/>
      <c r="E5716" s="110"/>
      <c r="F5716" s="110"/>
      <c r="G5716" s="110"/>
      <c r="H5716" s="131"/>
      <c r="I5716" s="131"/>
      <c r="J5716" s="142"/>
      <c r="K5716" s="142"/>
      <c r="L5716" s="140"/>
      <c r="M5716" s="131"/>
      <c r="N5716" s="131"/>
      <c r="O5716" s="131"/>
      <c r="P5716" s="143"/>
      <c r="Q5716" s="66"/>
      <c r="R5716" s="131"/>
      <c r="S5716" s="144"/>
      <c r="T5716" s="131"/>
      <c r="U5716" s="131"/>
      <c r="V5716" s="131"/>
      <c r="W5716" s="131"/>
      <c r="X5716" s="145"/>
      <c r="Y5716" s="146"/>
      <c r="Z5716" s="147"/>
      <c r="AA5716" s="147"/>
      <c r="AB5716" s="110"/>
      <c r="AC5716" s="132"/>
      <c r="AD5716" s="148"/>
      <c r="AE5716" s="148"/>
    </row>
    <row r="5717" customFormat="false" ht="15" hidden="false" customHeight="true" outlineLevel="0" collapsed="false">
      <c r="A5717" s="141"/>
      <c r="B5717" s="131"/>
      <c r="C5717" s="132"/>
      <c r="D5717" s="131"/>
      <c r="E5717" s="110"/>
      <c r="F5717" s="110"/>
      <c r="G5717" s="110"/>
      <c r="H5717" s="131"/>
      <c r="I5717" s="131"/>
      <c r="J5717" s="142"/>
      <c r="K5717" s="142"/>
      <c r="L5717" s="140"/>
      <c r="M5717" s="131"/>
      <c r="N5717" s="131"/>
      <c r="O5717" s="131"/>
      <c r="P5717" s="143"/>
      <c r="Q5717" s="66"/>
      <c r="R5717" s="131"/>
      <c r="S5717" s="144"/>
      <c r="T5717" s="131"/>
      <c r="U5717" s="131"/>
      <c r="V5717" s="131"/>
      <c r="W5717" s="131"/>
      <c r="X5717" s="145"/>
      <c r="Y5717" s="146"/>
      <c r="Z5717" s="147"/>
      <c r="AA5717" s="147"/>
      <c r="AB5717" s="110"/>
      <c r="AC5717" s="132"/>
      <c r="AD5717" s="148"/>
      <c r="AE5717" s="148"/>
    </row>
    <row r="5718" customFormat="false" ht="15" hidden="false" customHeight="true" outlineLevel="0" collapsed="false">
      <c r="A5718" s="141"/>
      <c r="B5718" s="131"/>
      <c r="C5718" s="132"/>
      <c r="D5718" s="131"/>
      <c r="E5718" s="110"/>
      <c r="F5718" s="110"/>
      <c r="G5718" s="110"/>
      <c r="H5718" s="131"/>
      <c r="I5718" s="131"/>
      <c r="J5718" s="142"/>
      <c r="K5718" s="142"/>
      <c r="L5718" s="140"/>
      <c r="M5718" s="131"/>
      <c r="N5718" s="131"/>
      <c r="O5718" s="131"/>
      <c r="P5718" s="143"/>
      <c r="Q5718" s="66"/>
      <c r="R5718" s="131"/>
      <c r="S5718" s="144"/>
      <c r="T5718" s="131"/>
      <c r="U5718" s="131"/>
      <c r="V5718" s="131"/>
      <c r="W5718" s="131"/>
      <c r="X5718" s="145"/>
      <c r="Y5718" s="146"/>
      <c r="Z5718" s="147"/>
      <c r="AA5718" s="147"/>
      <c r="AB5718" s="110"/>
      <c r="AC5718" s="132"/>
      <c r="AD5718" s="148"/>
      <c r="AE5718" s="148"/>
    </row>
    <row r="5719" customFormat="false" ht="15" hidden="false" customHeight="true" outlineLevel="0" collapsed="false">
      <c r="A5719" s="141"/>
      <c r="B5719" s="131"/>
      <c r="C5719" s="132"/>
      <c r="D5719" s="131"/>
      <c r="E5719" s="110"/>
      <c r="F5719" s="110"/>
      <c r="G5719" s="110"/>
      <c r="H5719" s="131"/>
      <c r="I5719" s="131"/>
      <c r="J5719" s="142"/>
      <c r="K5719" s="142"/>
      <c r="L5719" s="140"/>
      <c r="M5719" s="131"/>
      <c r="N5719" s="131"/>
      <c r="O5719" s="131"/>
      <c r="P5719" s="143"/>
      <c r="Q5719" s="66"/>
      <c r="R5719" s="131"/>
      <c r="S5719" s="144"/>
      <c r="T5719" s="131"/>
      <c r="U5719" s="131"/>
      <c r="V5719" s="131"/>
      <c r="W5719" s="131"/>
      <c r="X5719" s="145"/>
      <c r="Y5719" s="146"/>
      <c r="Z5719" s="147"/>
      <c r="AA5719" s="147"/>
      <c r="AB5719" s="110"/>
      <c r="AC5719" s="132"/>
      <c r="AD5719" s="148"/>
      <c r="AE5719" s="148"/>
    </row>
    <row r="5720" customFormat="false" ht="15" hidden="false" customHeight="true" outlineLevel="0" collapsed="false">
      <c r="A5720" s="141"/>
      <c r="B5720" s="131"/>
      <c r="C5720" s="132"/>
      <c r="D5720" s="131"/>
      <c r="E5720" s="110"/>
      <c r="F5720" s="110"/>
      <c r="G5720" s="110"/>
      <c r="H5720" s="131"/>
      <c r="I5720" s="131"/>
      <c r="J5720" s="142"/>
      <c r="K5720" s="142"/>
      <c r="L5720" s="140"/>
      <c r="M5720" s="131"/>
      <c r="N5720" s="131"/>
      <c r="O5720" s="131"/>
      <c r="P5720" s="143"/>
      <c r="Q5720" s="66"/>
      <c r="R5720" s="131"/>
      <c r="S5720" s="144"/>
      <c r="T5720" s="131"/>
      <c r="U5720" s="131"/>
      <c r="V5720" s="131"/>
      <c r="W5720" s="131"/>
      <c r="X5720" s="145"/>
      <c r="Y5720" s="146"/>
      <c r="Z5720" s="147"/>
      <c r="AA5720" s="147"/>
      <c r="AB5720" s="110"/>
      <c r="AC5720" s="132"/>
      <c r="AD5720" s="148"/>
      <c r="AE5720" s="148"/>
    </row>
    <row r="5721" customFormat="false" ht="15" hidden="false" customHeight="true" outlineLevel="0" collapsed="false">
      <c r="A5721" s="141"/>
      <c r="B5721" s="131"/>
      <c r="C5721" s="132"/>
      <c r="D5721" s="131"/>
      <c r="E5721" s="110"/>
      <c r="F5721" s="110"/>
      <c r="G5721" s="110"/>
      <c r="H5721" s="131"/>
      <c r="I5721" s="131"/>
      <c r="J5721" s="142"/>
      <c r="K5721" s="142"/>
      <c r="L5721" s="140"/>
      <c r="M5721" s="131"/>
      <c r="N5721" s="131"/>
      <c r="O5721" s="131"/>
      <c r="P5721" s="143"/>
      <c r="Q5721" s="66"/>
      <c r="R5721" s="131"/>
      <c r="S5721" s="144"/>
      <c r="T5721" s="131"/>
      <c r="U5721" s="131"/>
      <c r="V5721" s="131"/>
      <c r="W5721" s="131"/>
      <c r="X5721" s="145"/>
      <c r="Y5721" s="146"/>
      <c r="Z5721" s="147"/>
      <c r="AA5721" s="147"/>
      <c r="AB5721" s="110"/>
      <c r="AC5721" s="132"/>
      <c r="AD5721" s="148"/>
      <c r="AE5721" s="148"/>
    </row>
    <row r="5722" customFormat="false" ht="15" hidden="false" customHeight="true" outlineLevel="0" collapsed="false">
      <c r="A5722" s="141"/>
      <c r="B5722" s="131"/>
      <c r="C5722" s="132"/>
      <c r="D5722" s="131"/>
      <c r="E5722" s="110"/>
      <c r="F5722" s="110"/>
      <c r="G5722" s="110"/>
      <c r="H5722" s="131"/>
      <c r="I5722" s="131"/>
      <c r="J5722" s="142"/>
      <c r="K5722" s="142"/>
      <c r="L5722" s="140"/>
      <c r="M5722" s="131"/>
      <c r="N5722" s="131"/>
      <c r="O5722" s="131"/>
      <c r="P5722" s="143"/>
      <c r="Q5722" s="66"/>
      <c r="R5722" s="131"/>
      <c r="S5722" s="144"/>
      <c r="T5722" s="131"/>
      <c r="U5722" s="131"/>
      <c r="V5722" s="131"/>
      <c r="W5722" s="131"/>
      <c r="X5722" s="145"/>
      <c r="Y5722" s="146"/>
      <c r="Z5722" s="147"/>
      <c r="AA5722" s="147"/>
      <c r="AB5722" s="110"/>
      <c r="AC5722" s="132"/>
      <c r="AD5722" s="148"/>
      <c r="AE5722" s="148"/>
    </row>
    <row r="5723" customFormat="false" ht="15" hidden="false" customHeight="true" outlineLevel="0" collapsed="false">
      <c r="A5723" s="141"/>
      <c r="B5723" s="131"/>
      <c r="C5723" s="132"/>
      <c r="D5723" s="131"/>
      <c r="E5723" s="110"/>
      <c r="F5723" s="110"/>
      <c r="G5723" s="110"/>
      <c r="H5723" s="131"/>
      <c r="I5723" s="131"/>
      <c r="J5723" s="142"/>
      <c r="K5723" s="142"/>
      <c r="L5723" s="140"/>
      <c r="M5723" s="131"/>
      <c r="N5723" s="131"/>
      <c r="O5723" s="131"/>
      <c r="P5723" s="143"/>
      <c r="Q5723" s="66"/>
      <c r="R5723" s="131"/>
      <c r="S5723" s="144"/>
      <c r="T5723" s="131"/>
      <c r="U5723" s="131"/>
      <c r="V5723" s="131"/>
      <c r="W5723" s="131"/>
      <c r="X5723" s="145"/>
      <c r="Y5723" s="146"/>
      <c r="Z5723" s="147"/>
      <c r="AA5723" s="147"/>
      <c r="AB5723" s="110"/>
      <c r="AC5723" s="132"/>
      <c r="AD5723" s="148"/>
      <c r="AE5723" s="148"/>
    </row>
    <row r="5724" customFormat="false" ht="15" hidden="false" customHeight="true" outlineLevel="0" collapsed="false">
      <c r="A5724" s="141"/>
      <c r="B5724" s="131"/>
      <c r="C5724" s="132"/>
      <c r="D5724" s="131"/>
      <c r="E5724" s="110"/>
      <c r="F5724" s="110"/>
      <c r="G5724" s="110"/>
      <c r="H5724" s="131"/>
      <c r="I5724" s="131"/>
      <c r="J5724" s="142"/>
      <c r="K5724" s="142"/>
      <c r="L5724" s="140"/>
      <c r="M5724" s="131"/>
      <c r="N5724" s="131"/>
      <c r="O5724" s="131"/>
      <c r="P5724" s="143"/>
      <c r="Q5724" s="66"/>
      <c r="R5724" s="131"/>
      <c r="S5724" s="144"/>
      <c r="T5724" s="131"/>
      <c r="U5724" s="131"/>
      <c r="V5724" s="131"/>
      <c r="W5724" s="131"/>
      <c r="X5724" s="145"/>
      <c r="Y5724" s="146"/>
      <c r="Z5724" s="147"/>
      <c r="AA5724" s="147"/>
      <c r="AB5724" s="110"/>
      <c r="AC5724" s="132"/>
      <c r="AD5724" s="148"/>
      <c r="AE5724" s="148"/>
    </row>
    <row r="5725" customFormat="false" ht="15" hidden="false" customHeight="true" outlineLevel="0" collapsed="false">
      <c r="A5725" s="141"/>
      <c r="B5725" s="131"/>
      <c r="C5725" s="132"/>
      <c r="D5725" s="131"/>
      <c r="E5725" s="110"/>
      <c r="F5725" s="110"/>
      <c r="G5725" s="110"/>
      <c r="H5725" s="131"/>
      <c r="I5725" s="131"/>
      <c r="J5725" s="142"/>
      <c r="K5725" s="142"/>
      <c r="L5725" s="140"/>
      <c r="M5725" s="131"/>
      <c r="N5725" s="131"/>
      <c r="O5725" s="131"/>
      <c r="P5725" s="143"/>
      <c r="Q5725" s="66"/>
      <c r="R5725" s="131"/>
      <c r="S5725" s="144"/>
      <c r="T5725" s="131"/>
      <c r="U5725" s="131"/>
      <c r="V5725" s="131"/>
      <c r="W5725" s="131"/>
      <c r="X5725" s="145"/>
      <c r="Y5725" s="146"/>
      <c r="Z5725" s="147"/>
      <c r="AA5725" s="147"/>
      <c r="AB5725" s="110"/>
      <c r="AC5725" s="132"/>
      <c r="AD5725" s="148"/>
      <c r="AE5725" s="148"/>
    </row>
    <row r="5726" customFormat="false" ht="15" hidden="false" customHeight="true" outlineLevel="0" collapsed="false">
      <c r="A5726" s="141"/>
      <c r="B5726" s="131"/>
      <c r="C5726" s="132"/>
      <c r="D5726" s="131"/>
      <c r="E5726" s="110"/>
      <c r="F5726" s="110"/>
      <c r="G5726" s="110"/>
      <c r="H5726" s="131"/>
      <c r="I5726" s="131"/>
      <c r="J5726" s="142"/>
      <c r="K5726" s="142"/>
      <c r="L5726" s="140"/>
      <c r="M5726" s="131"/>
      <c r="N5726" s="131"/>
      <c r="O5726" s="131"/>
      <c r="P5726" s="143"/>
      <c r="Q5726" s="66"/>
      <c r="R5726" s="131"/>
      <c r="S5726" s="144"/>
      <c r="T5726" s="131"/>
      <c r="U5726" s="131"/>
      <c r="V5726" s="131"/>
      <c r="W5726" s="131"/>
      <c r="X5726" s="145"/>
      <c r="Y5726" s="146"/>
      <c r="Z5726" s="147"/>
      <c r="AA5726" s="147"/>
      <c r="AB5726" s="110"/>
      <c r="AC5726" s="132"/>
      <c r="AD5726" s="148"/>
      <c r="AE5726" s="148"/>
    </row>
    <row r="5727" customFormat="false" ht="15" hidden="false" customHeight="true" outlineLevel="0" collapsed="false">
      <c r="A5727" s="141"/>
      <c r="B5727" s="131"/>
      <c r="C5727" s="132"/>
      <c r="D5727" s="131"/>
      <c r="E5727" s="110"/>
      <c r="F5727" s="110"/>
      <c r="G5727" s="110"/>
      <c r="H5727" s="131"/>
      <c r="I5727" s="131"/>
      <c r="J5727" s="142"/>
      <c r="K5727" s="142"/>
      <c r="L5727" s="140"/>
      <c r="M5727" s="131"/>
      <c r="N5727" s="131"/>
      <c r="O5727" s="131"/>
      <c r="P5727" s="143"/>
      <c r="Q5727" s="66"/>
      <c r="R5727" s="131"/>
      <c r="S5727" s="144"/>
      <c r="T5727" s="131"/>
      <c r="U5727" s="131"/>
      <c r="V5727" s="131"/>
      <c r="W5727" s="131"/>
      <c r="X5727" s="145"/>
      <c r="Y5727" s="146"/>
      <c r="Z5727" s="147"/>
      <c r="AA5727" s="147"/>
      <c r="AB5727" s="110"/>
      <c r="AC5727" s="132"/>
      <c r="AD5727" s="148"/>
      <c r="AE5727" s="148"/>
    </row>
    <row r="5728" customFormat="false" ht="15" hidden="false" customHeight="true" outlineLevel="0" collapsed="false">
      <c r="A5728" s="141"/>
      <c r="B5728" s="131"/>
      <c r="C5728" s="132"/>
      <c r="D5728" s="131"/>
      <c r="E5728" s="110"/>
      <c r="F5728" s="110"/>
      <c r="G5728" s="110"/>
      <c r="H5728" s="131"/>
      <c r="I5728" s="131"/>
      <c r="J5728" s="142"/>
      <c r="K5728" s="142"/>
      <c r="L5728" s="140"/>
      <c r="M5728" s="131"/>
      <c r="N5728" s="131"/>
      <c r="O5728" s="131"/>
      <c r="P5728" s="143"/>
      <c r="Q5728" s="66"/>
      <c r="R5728" s="131"/>
      <c r="S5728" s="144"/>
      <c r="T5728" s="131"/>
      <c r="U5728" s="131"/>
      <c r="V5728" s="131"/>
      <c r="W5728" s="131"/>
      <c r="X5728" s="145"/>
      <c r="Y5728" s="146"/>
      <c r="Z5728" s="147"/>
      <c r="AA5728" s="147"/>
      <c r="AB5728" s="110"/>
      <c r="AC5728" s="132"/>
      <c r="AD5728" s="148"/>
      <c r="AE5728" s="148"/>
    </row>
    <row r="5729" customFormat="false" ht="15" hidden="false" customHeight="true" outlineLevel="0" collapsed="false">
      <c r="A5729" s="141"/>
      <c r="B5729" s="131"/>
      <c r="C5729" s="132"/>
      <c r="D5729" s="131"/>
      <c r="E5729" s="110"/>
      <c r="F5729" s="110"/>
      <c r="G5729" s="110"/>
      <c r="H5729" s="131"/>
      <c r="I5729" s="131"/>
      <c r="J5729" s="142"/>
      <c r="K5729" s="142"/>
      <c r="L5729" s="140"/>
      <c r="M5729" s="131"/>
      <c r="N5729" s="131"/>
      <c r="O5729" s="131"/>
      <c r="P5729" s="143"/>
      <c r="Q5729" s="66"/>
      <c r="R5729" s="131"/>
      <c r="S5729" s="144"/>
      <c r="T5729" s="131"/>
      <c r="U5729" s="131"/>
      <c r="V5729" s="131"/>
      <c r="W5729" s="131"/>
      <c r="X5729" s="145"/>
      <c r="Y5729" s="146"/>
      <c r="Z5729" s="147"/>
      <c r="AA5729" s="147"/>
      <c r="AB5729" s="110"/>
      <c r="AC5729" s="132"/>
      <c r="AD5729" s="148"/>
      <c r="AE5729" s="148"/>
    </row>
    <row r="5730" customFormat="false" ht="15" hidden="false" customHeight="true" outlineLevel="0" collapsed="false">
      <c r="A5730" s="141"/>
      <c r="B5730" s="131"/>
      <c r="C5730" s="132"/>
      <c r="D5730" s="131"/>
      <c r="E5730" s="110"/>
      <c r="F5730" s="110"/>
      <c r="G5730" s="110"/>
      <c r="H5730" s="131"/>
      <c r="I5730" s="131"/>
      <c r="J5730" s="142"/>
      <c r="K5730" s="142"/>
      <c r="L5730" s="140"/>
      <c r="M5730" s="131"/>
      <c r="N5730" s="131"/>
      <c r="O5730" s="131"/>
      <c r="P5730" s="143"/>
      <c r="Q5730" s="66"/>
      <c r="R5730" s="131"/>
      <c r="S5730" s="144"/>
      <c r="T5730" s="131"/>
      <c r="U5730" s="131"/>
      <c r="V5730" s="131"/>
      <c r="W5730" s="131"/>
      <c r="X5730" s="145"/>
      <c r="Y5730" s="146"/>
      <c r="Z5730" s="147"/>
      <c r="AA5730" s="147"/>
      <c r="AB5730" s="110"/>
      <c r="AC5730" s="132"/>
      <c r="AD5730" s="148"/>
      <c r="AE5730" s="148"/>
    </row>
    <row r="5731" customFormat="false" ht="15" hidden="false" customHeight="true" outlineLevel="0" collapsed="false">
      <c r="A5731" s="141"/>
      <c r="B5731" s="131"/>
      <c r="C5731" s="132"/>
      <c r="D5731" s="131"/>
      <c r="E5731" s="110"/>
      <c r="F5731" s="110"/>
      <c r="G5731" s="110"/>
      <c r="H5731" s="131"/>
      <c r="I5731" s="131"/>
      <c r="J5731" s="142"/>
      <c r="K5731" s="142"/>
      <c r="L5731" s="140"/>
      <c r="M5731" s="131"/>
      <c r="N5731" s="131"/>
      <c r="O5731" s="131"/>
      <c r="P5731" s="143"/>
      <c r="Q5731" s="66"/>
      <c r="R5731" s="131"/>
      <c r="S5731" s="144"/>
      <c r="T5731" s="131"/>
      <c r="U5731" s="131"/>
      <c r="V5731" s="131"/>
      <c r="W5731" s="131"/>
      <c r="X5731" s="145"/>
      <c r="Y5731" s="146"/>
      <c r="Z5731" s="147"/>
      <c r="AA5731" s="147"/>
      <c r="AB5731" s="110"/>
      <c r="AC5731" s="132"/>
      <c r="AD5731" s="148"/>
      <c r="AE5731" s="148"/>
    </row>
    <row r="5732" customFormat="false" ht="15" hidden="false" customHeight="true" outlineLevel="0" collapsed="false">
      <c r="A5732" s="141"/>
      <c r="B5732" s="131"/>
      <c r="C5732" s="132"/>
      <c r="D5732" s="131"/>
      <c r="E5732" s="110"/>
      <c r="F5732" s="110"/>
      <c r="G5732" s="110"/>
      <c r="H5732" s="131"/>
      <c r="I5732" s="131"/>
      <c r="J5732" s="142"/>
      <c r="K5732" s="142"/>
      <c r="L5732" s="140"/>
      <c r="M5732" s="131"/>
      <c r="N5732" s="131"/>
      <c r="O5732" s="131"/>
      <c r="P5732" s="143"/>
      <c r="Q5732" s="66"/>
      <c r="R5732" s="131"/>
      <c r="S5732" s="144"/>
      <c r="T5732" s="131"/>
      <c r="U5732" s="131"/>
      <c r="V5732" s="131"/>
      <c r="W5732" s="131"/>
      <c r="X5732" s="145"/>
      <c r="Y5732" s="146"/>
      <c r="Z5732" s="147"/>
      <c r="AA5732" s="147"/>
      <c r="AB5732" s="110"/>
      <c r="AC5732" s="132"/>
      <c r="AD5732" s="148"/>
      <c r="AE5732" s="148"/>
    </row>
    <row r="5733" customFormat="false" ht="15" hidden="false" customHeight="true" outlineLevel="0" collapsed="false">
      <c r="A5733" s="141"/>
      <c r="B5733" s="131"/>
      <c r="C5733" s="132"/>
      <c r="D5733" s="131"/>
      <c r="E5733" s="110"/>
      <c r="F5733" s="110"/>
      <c r="G5733" s="110"/>
      <c r="H5733" s="131"/>
      <c r="I5733" s="131"/>
      <c r="J5733" s="142"/>
      <c r="K5733" s="142"/>
      <c r="L5733" s="140"/>
      <c r="M5733" s="131"/>
      <c r="N5733" s="131"/>
      <c r="O5733" s="131"/>
      <c r="P5733" s="143"/>
      <c r="Q5733" s="66"/>
      <c r="R5733" s="131"/>
      <c r="S5733" s="144"/>
      <c r="T5733" s="131"/>
      <c r="U5733" s="131"/>
      <c r="V5733" s="131"/>
      <c r="W5733" s="131"/>
      <c r="X5733" s="145"/>
      <c r="Y5733" s="146"/>
      <c r="Z5733" s="147"/>
      <c r="AA5733" s="147"/>
      <c r="AB5733" s="110"/>
      <c r="AC5733" s="132"/>
      <c r="AD5733" s="148"/>
      <c r="AE5733" s="148"/>
    </row>
    <row r="5734" customFormat="false" ht="15" hidden="false" customHeight="true" outlineLevel="0" collapsed="false">
      <c r="A5734" s="141"/>
      <c r="B5734" s="131"/>
      <c r="C5734" s="132"/>
      <c r="D5734" s="131"/>
      <c r="E5734" s="110"/>
      <c r="F5734" s="110"/>
      <c r="G5734" s="110"/>
      <c r="H5734" s="131"/>
      <c r="I5734" s="131"/>
      <c r="J5734" s="142"/>
      <c r="K5734" s="142"/>
      <c r="L5734" s="140"/>
      <c r="M5734" s="131"/>
      <c r="N5734" s="131"/>
      <c r="O5734" s="131"/>
      <c r="P5734" s="143"/>
      <c r="Q5734" s="66"/>
      <c r="R5734" s="131"/>
      <c r="S5734" s="144"/>
      <c r="T5734" s="131"/>
      <c r="U5734" s="131"/>
      <c r="V5734" s="131"/>
      <c r="W5734" s="131"/>
      <c r="X5734" s="145"/>
      <c r="Y5734" s="146"/>
      <c r="Z5734" s="147"/>
      <c r="AA5734" s="147"/>
      <c r="AB5734" s="110"/>
      <c r="AC5734" s="132"/>
      <c r="AD5734" s="148"/>
      <c r="AE5734" s="148"/>
    </row>
    <row r="5735" customFormat="false" ht="15" hidden="false" customHeight="true" outlineLevel="0" collapsed="false">
      <c r="A5735" s="141"/>
      <c r="B5735" s="131"/>
      <c r="C5735" s="132"/>
      <c r="D5735" s="131"/>
      <c r="E5735" s="110"/>
      <c r="F5735" s="110"/>
      <c r="G5735" s="110"/>
      <c r="H5735" s="131"/>
      <c r="I5735" s="131"/>
      <c r="J5735" s="142"/>
      <c r="K5735" s="142"/>
      <c r="L5735" s="140"/>
      <c r="M5735" s="131"/>
      <c r="N5735" s="131"/>
      <c r="O5735" s="131"/>
      <c r="P5735" s="143"/>
      <c r="Q5735" s="66"/>
      <c r="R5735" s="131"/>
      <c r="S5735" s="144"/>
      <c r="T5735" s="131"/>
      <c r="U5735" s="131"/>
      <c r="V5735" s="131"/>
      <c r="W5735" s="131"/>
      <c r="X5735" s="145"/>
      <c r="Y5735" s="146"/>
      <c r="Z5735" s="147"/>
      <c r="AA5735" s="147"/>
      <c r="AB5735" s="110"/>
      <c r="AC5735" s="132"/>
      <c r="AD5735" s="148"/>
      <c r="AE5735" s="148"/>
    </row>
    <row r="5736" customFormat="false" ht="15" hidden="false" customHeight="true" outlineLevel="0" collapsed="false">
      <c r="A5736" s="141"/>
      <c r="B5736" s="131"/>
      <c r="C5736" s="132"/>
      <c r="D5736" s="131"/>
      <c r="E5736" s="110"/>
      <c r="F5736" s="110"/>
      <c r="G5736" s="110"/>
      <c r="H5736" s="131"/>
      <c r="I5736" s="131"/>
      <c r="J5736" s="142"/>
      <c r="K5736" s="142"/>
      <c r="L5736" s="140"/>
      <c r="M5736" s="131"/>
      <c r="N5736" s="131"/>
      <c r="O5736" s="131"/>
      <c r="P5736" s="143"/>
      <c r="Q5736" s="66"/>
      <c r="R5736" s="131"/>
      <c r="S5736" s="144"/>
      <c r="T5736" s="131"/>
      <c r="U5736" s="131"/>
      <c r="V5736" s="131"/>
      <c r="W5736" s="131"/>
      <c r="X5736" s="145"/>
      <c r="Y5736" s="146"/>
      <c r="Z5736" s="147"/>
      <c r="AA5736" s="147"/>
      <c r="AB5736" s="110"/>
      <c r="AC5736" s="132"/>
      <c r="AD5736" s="148"/>
      <c r="AE5736" s="148"/>
    </row>
    <row r="5737" customFormat="false" ht="15" hidden="false" customHeight="true" outlineLevel="0" collapsed="false">
      <c r="A5737" s="141"/>
      <c r="B5737" s="131"/>
      <c r="C5737" s="132"/>
      <c r="D5737" s="131"/>
      <c r="E5737" s="110"/>
      <c r="F5737" s="110"/>
      <c r="G5737" s="110"/>
      <c r="H5737" s="131"/>
      <c r="I5737" s="131"/>
      <c r="J5737" s="142"/>
      <c r="K5737" s="142"/>
      <c r="L5737" s="140"/>
      <c r="M5737" s="131"/>
      <c r="N5737" s="131"/>
      <c r="O5737" s="131"/>
      <c r="P5737" s="143"/>
      <c r="Q5737" s="66"/>
      <c r="R5737" s="131"/>
      <c r="S5737" s="144"/>
      <c r="T5737" s="131"/>
      <c r="U5737" s="131"/>
      <c r="V5737" s="131"/>
      <c r="W5737" s="131"/>
      <c r="X5737" s="145"/>
      <c r="Y5737" s="146"/>
      <c r="Z5737" s="147"/>
      <c r="AA5737" s="147"/>
      <c r="AB5737" s="110"/>
      <c r="AC5737" s="132"/>
      <c r="AD5737" s="148"/>
      <c r="AE5737" s="148"/>
    </row>
    <row r="5738" customFormat="false" ht="15" hidden="false" customHeight="true" outlineLevel="0" collapsed="false">
      <c r="A5738" s="141"/>
      <c r="B5738" s="131"/>
      <c r="C5738" s="132"/>
      <c r="D5738" s="131"/>
      <c r="E5738" s="110"/>
      <c r="F5738" s="110"/>
      <c r="G5738" s="110"/>
      <c r="H5738" s="131"/>
      <c r="I5738" s="131"/>
      <c r="J5738" s="142"/>
      <c r="K5738" s="142"/>
      <c r="L5738" s="140"/>
      <c r="M5738" s="131"/>
      <c r="N5738" s="131"/>
      <c r="O5738" s="131"/>
      <c r="P5738" s="143"/>
      <c r="Q5738" s="66"/>
      <c r="R5738" s="131"/>
      <c r="S5738" s="144"/>
      <c r="T5738" s="131"/>
      <c r="U5738" s="131"/>
      <c r="V5738" s="131"/>
      <c r="W5738" s="131"/>
      <c r="X5738" s="145"/>
      <c r="Y5738" s="146"/>
      <c r="Z5738" s="147"/>
      <c r="AA5738" s="147"/>
      <c r="AB5738" s="110"/>
      <c r="AC5738" s="132"/>
      <c r="AD5738" s="148"/>
      <c r="AE5738" s="148"/>
    </row>
    <row r="5739" customFormat="false" ht="15" hidden="false" customHeight="true" outlineLevel="0" collapsed="false">
      <c r="A5739" s="141"/>
      <c r="B5739" s="131"/>
      <c r="C5739" s="132"/>
      <c r="D5739" s="131"/>
      <c r="E5739" s="110"/>
      <c r="F5739" s="110"/>
      <c r="G5739" s="110"/>
      <c r="H5739" s="131"/>
      <c r="I5739" s="131"/>
      <c r="J5739" s="142"/>
      <c r="K5739" s="142"/>
      <c r="L5739" s="140"/>
      <c r="M5739" s="131"/>
      <c r="N5739" s="131"/>
      <c r="O5739" s="131"/>
      <c r="P5739" s="143"/>
      <c r="Q5739" s="66"/>
      <c r="R5739" s="131"/>
      <c r="S5739" s="144"/>
      <c r="T5739" s="131"/>
      <c r="U5739" s="131"/>
      <c r="V5739" s="131"/>
      <c r="W5739" s="131"/>
      <c r="X5739" s="145"/>
      <c r="Y5739" s="146"/>
      <c r="Z5739" s="147"/>
      <c r="AA5739" s="147"/>
      <c r="AB5739" s="110"/>
      <c r="AC5739" s="132"/>
      <c r="AD5739" s="148"/>
      <c r="AE5739" s="148"/>
    </row>
    <row r="5740" customFormat="false" ht="15" hidden="false" customHeight="true" outlineLevel="0" collapsed="false">
      <c r="A5740" s="141"/>
      <c r="B5740" s="131"/>
      <c r="C5740" s="132"/>
      <c r="D5740" s="131"/>
      <c r="E5740" s="110"/>
      <c r="F5740" s="110"/>
      <c r="G5740" s="110"/>
      <c r="H5740" s="131"/>
      <c r="I5740" s="131"/>
      <c r="J5740" s="142"/>
      <c r="K5740" s="142"/>
      <c r="L5740" s="140"/>
      <c r="M5740" s="131"/>
      <c r="N5740" s="131"/>
      <c r="O5740" s="131"/>
      <c r="P5740" s="143"/>
      <c r="Q5740" s="66"/>
      <c r="R5740" s="131"/>
      <c r="S5740" s="144"/>
      <c r="T5740" s="131"/>
      <c r="U5740" s="131"/>
      <c r="V5740" s="131"/>
      <c r="W5740" s="131"/>
      <c r="X5740" s="145"/>
      <c r="Y5740" s="146"/>
      <c r="Z5740" s="147"/>
      <c r="AA5740" s="147"/>
      <c r="AB5740" s="110"/>
      <c r="AC5740" s="132"/>
      <c r="AD5740" s="148"/>
      <c r="AE5740" s="148"/>
    </row>
    <row r="5741" customFormat="false" ht="15" hidden="false" customHeight="true" outlineLevel="0" collapsed="false">
      <c r="A5741" s="141"/>
      <c r="B5741" s="131"/>
      <c r="C5741" s="132"/>
      <c r="D5741" s="131"/>
      <c r="E5741" s="110"/>
      <c r="F5741" s="110"/>
      <c r="G5741" s="110"/>
      <c r="H5741" s="131"/>
      <c r="I5741" s="131"/>
      <c r="J5741" s="142"/>
      <c r="K5741" s="142"/>
      <c r="L5741" s="140"/>
      <c r="M5741" s="131"/>
      <c r="N5741" s="131"/>
      <c r="O5741" s="131"/>
      <c r="P5741" s="143"/>
      <c r="Q5741" s="66"/>
      <c r="R5741" s="131"/>
      <c r="S5741" s="144"/>
      <c r="T5741" s="131"/>
      <c r="U5741" s="131"/>
      <c r="V5741" s="131"/>
      <c r="W5741" s="131"/>
      <c r="X5741" s="145"/>
      <c r="Y5741" s="146"/>
      <c r="Z5741" s="147"/>
      <c r="AA5741" s="147"/>
      <c r="AB5741" s="110"/>
      <c r="AC5741" s="132"/>
      <c r="AD5741" s="148"/>
      <c r="AE5741" s="148"/>
    </row>
    <row r="5742" customFormat="false" ht="15" hidden="false" customHeight="true" outlineLevel="0" collapsed="false">
      <c r="A5742" s="141"/>
      <c r="B5742" s="131"/>
      <c r="C5742" s="132"/>
      <c r="D5742" s="131"/>
      <c r="E5742" s="110"/>
      <c r="F5742" s="110"/>
      <c r="G5742" s="110"/>
      <c r="H5742" s="131"/>
      <c r="I5742" s="131"/>
      <c r="J5742" s="142"/>
      <c r="K5742" s="142"/>
      <c r="L5742" s="140"/>
      <c r="M5742" s="131"/>
      <c r="N5742" s="131"/>
      <c r="O5742" s="131"/>
      <c r="P5742" s="143"/>
      <c r="Q5742" s="66"/>
      <c r="R5742" s="131"/>
      <c r="S5742" s="144"/>
      <c r="T5742" s="131"/>
      <c r="U5742" s="131"/>
      <c r="V5742" s="131"/>
      <c r="W5742" s="131"/>
      <c r="X5742" s="145"/>
      <c r="Y5742" s="146"/>
      <c r="Z5742" s="147"/>
      <c r="AA5742" s="147"/>
      <c r="AB5742" s="110"/>
      <c r="AC5742" s="132"/>
      <c r="AD5742" s="148"/>
      <c r="AE5742" s="148"/>
    </row>
    <row r="5743" customFormat="false" ht="15" hidden="false" customHeight="true" outlineLevel="0" collapsed="false">
      <c r="A5743" s="141"/>
      <c r="B5743" s="131"/>
      <c r="C5743" s="132"/>
      <c r="D5743" s="131"/>
      <c r="E5743" s="110"/>
      <c r="F5743" s="110"/>
      <c r="G5743" s="110"/>
      <c r="H5743" s="131"/>
      <c r="I5743" s="131"/>
      <c r="J5743" s="142"/>
      <c r="K5743" s="142"/>
      <c r="L5743" s="140"/>
      <c r="M5743" s="131"/>
      <c r="N5743" s="131"/>
      <c r="O5743" s="131"/>
      <c r="P5743" s="143"/>
      <c r="Q5743" s="66"/>
      <c r="R5743" s="131"/>
      <c r="S5743" s="144"/>
      <c r="T5743" s="131"/>
      <c r="U5743" s="131"/>
      <c r="V5743" s="131"/>
      <c r="W5743" s="131"/>
      <c r="X5743" s="145"/>
      <c r="Y5743" s="146"/>
      <c r="Z5743" s="147"/>
      <c r="AA5743" s="147"/>
      <c r="AB5743" s="110"/>
      <c r="AC5743" s="132"/>
      <c r="AD5743" s="148"/>
      <c r="AE5743" s="148"/>
    </row>
    <row r="5744" customFormat="false" ht="15" hidden="false" customHeight="true" outlineLevel="0" collapsed="false">
      <c r="A5744" s="141"/>
      <c r="B5744" s="131"/>
      <c r="C5744" s="132"/>
      <c r="D5744" s="131"/>
      <c r="E5744" s="110"/>
      <c r="F5744" s="110"/>
      <c r="G5744" s="110"/>
      <c r="H5744" s="131"/>
      <c r="I5744" s="131"/>
      <c r="J5744" s="142"/>
      <c r="K5744" s="142"/>
      <c r="L5744" s="140"/>
      <c r="M5744" s="131"/>
      <c r="N5744" s="131"/>
      <c r="O5744" s="131"/>
      <c r="P5744" s="143"/>
      <c r="Q5744" s="66"/>
      <c r="R5744" s="131"/>
      <c r="S5744" s="144"/>
      <c r="T5744" s="131"/>
      <c r="U5744" s="131"/>
      <c r="V5744" s="131"/>
      <c r="W5744" s="131"/>
      <c r="X5744" s="145"/>
      <c r="Y5744" s="146"/>
      <c r="Z5744" s="147"/>
      <c r="AA5744" s="147"/>
      <c r="AB5744" s="110"/>
      <c r="AC5744" s="132"/>
      <c r="AD5744" s="148"/>
      <c r="AE5744" s="148"/>
    </row>
    <row r="5745" customFormat="false" ht="15" hidden="false" customHeight="true" outlineLevel="0" collapsed="false">
      <c r="A5745" s="141"/>
      <c r="B5745" s="131"/>
      <c r="C5745" s="132"/>
      <c r="D5745" s="131"/>
      <c r="E5745" s="110"/>
      <c r="F5745" s="110"/>
      <c r="G5745" s="110"/>
      <c r="H5745" s="131"/>
      <c r="I5745" s="131"/>
      <c r="J5745" s="142"/>
      <c r="K5745" s="142"/>
      <c r="L5745" s="140"/>
      <c r="M5745" s="131"/>
      <c r="N5745" s="131"/>
      <c r="O5745" s="131"/>
      <c r="P5745" s="143"/>
      <c r="Q5745" s="66"/>
      <c r="R5745" s="131"/>
      <c r="S5745" s="144"/>
      <c r="T5745" s="131"/>
      <c r="U5745" s="131"/>
      <c r="V5745" s="131"/>
      <c r="W5745" s="131"/>
      <c r="X5745" s="145"/>
      <c r="Y5745" s="146"/>
      <c r="Z5745" s="147"/>
      <c r="AA5745" s="147"/>
      <c r="AB5745" s="110"/>
      <c r="AC5745" s="132"/>
      <c r="AD5745" s="148"/>
      <c r="AE5745" s="148"/>
    </row>
    <row r="5746" customFormat="false" ht="15" hidden="false" customHeight="true" outlineLevel="0" collapsed="false">
      <c r="A5746" s="141"/>
      <c r="B5746" s="131"/>
      <c r="C5746" s="132"/>
      <c r="D5746" s="131"/>
      <c r="E5746" s="110"/>
      <c r="F5746" s="110"/>
      <c r="G5746" s="110"/>
      <c r="H5746" s="131"/>
      <c r="I5746" s="131"/>
      <c r="J5746" s="142"/>
      <c r="K5746" s="142"/>
      <c r="L5746" s="140"/>
      <c r="M5746" s="131"/>
      <c r="N5746" s="131"/>
      <c r="O5746" s="131"/>
      <c r="P5746" s="143"/>
      <c r="Q5746" s="66"/>
      <c r="R5746" s="131"/>
      <c r="S5746" s="144"/>
      <c r="T5746" s="131"/>
      <c r="U5746" s="131"/>
      <c r="V5746" s="131"/>
      <c r="W5746" s="131"/>
      <c r="X5746" s="145"/>
      <c r="Y5746" s="146"/>
      <c r="Z5746" s="147"/>
      <c r="AA5746" s="147"/>
      <c r="AB5746" s="110"/>
      <c r="AC5746" s="132"/>
      <c r="AD5746" s="148"/>
      <c r="AE5746" s="148"/>
    </row>
    <row r="5747" customFormat="false" ht="15" hidden="false" customHeight="true" outlineLevel="0" collapsed="false">
      <c r="A5747" s="141"/>
      <c r="B5747" s="131"/>
      <c r="C5747" s="132"/>
      <c r="D5747" s="131"/>
      <c r="E5747" s="110"/>
      <c r="F5747" s="110"/>
      <c r="G5747" s="110"/>
      <c r="H5747" s="131"/>
      <c r="I5747" s="131"/>
      <c r="J5747" s="142"/>
      <c r="K5747" s="142"/>
      <c r="L5747" s="140"/>
      <c r="M5747" s="131"/>
      <c r="N5747" s="131"/>
      <c r="O5747" s="131"/>
      <c r="P5747" s="143"/>
      <c r="Q5747" s="66"/>
      <c r="R5747" s="131"/>
      <c r="S5747" s="144"/>
      <c r="T5747" s="131"/>
      <c r="U5747" s="131"/>
      <c r="V5747" s="131"/>
      <c r="W5747" s="131"/>
      <c r="X5747" s="145"/>
      <c r="Y5747" s="146"/>
      <c r="Z5747" s="147"/>
      <c r="AA5747" s="147"/>
      <c r="AB5747" s="110"/>
      <c r="AC5747" s="132"/>
      <c r="AD5747" s="148"/>
      <c r="AE5747" s="148"/>
    </row>
    <row r="5748" customFormat="false" ht="15" hidden="false" customHeight="true" outlineLevel="0" collapsed="false">
      <c r="A5748" s="141"/>
      <c r="B5748" s="131"/>
      <c r="C5748" s="132"/>
      <c r="D5748" s="131"/>
      <c r="E5748" s="110"/>
      <c r="F5748" s="110"/>
      <c r="G5748" s="110"/>
      <c r="H5748" s="131"/>
      <c r="I5748" s="131"/>
      <c r="J5748" s="142"/>
      <c r="K5748" s="142"/>
      <c r="L5748" s="140"/>
      <c r="M5748" s="131"/>
      <c r="N5748" s="131"/>
      <c r="O5748" s="131"/>
      <c r="P5748" s="143"/>
      <c r="Q5748" s="66"/>
      <c r="R5748" s="131"/>
      <c r="S5748" s="144"/>
      <c r="T5748" s="131"/>
      <c r="U5748" s="131"/>
      <c r="V5748" s="131"/>
      <c r="W5748" s="131"/>
      <c r="X5748" s="145"/>
      <c r="Y5748" s="146"/>
      <c r="Z5748" s="147"/>
      <c r="AA5748" s="147"/>
      <c r="AB5748" s="110"/>
      <c r="AC5748" s="132"/>
      <c r="AD5748" s="148"/>
      <c r="AE5748" s="148"/>
    </row>
    <row r="5749" customFormat="false" ht="15" hidden="false" customHeight="true" outlineLevel="0" collapsed="false">
      <c r="A5749" s="141"/>
      <c r="B5749" s="131"/>
      <c r="C5749" s="132"/>
      <c r="D5749" s="131"/>
      <c r="E5749" s="110"/>
      <c r="F5749" s="110"/>
      <c r="G5749" s="110"/>
      <c r="H5749" s="131"/>
      <c r="I5749" s="131"/>
      <c r="J5749" s="142"/>
      <c r="K5749" s="142"/>
      <c r="L5749" s="140"/>
      <c r="M5749" s="131"/>
      <c r="N5749" s="131"/>
      <c r="O5749" s="131"/>
      <c r="P5749" s="143"/>
      <c r="Q5749" s="66"/>
      <c r="R5749" s="131"/>
      <c r="S5749" s="144"/>
      <c r="T5749" s="131"/>
      <c r="U5749" s="131"/>
      <c r="V5749" s="131"/>
      <c r="W5749" s="131"/>
      <c r="X5749" s="145"/>
      <c r="Y5749" s="146"/>
      <c r="Z5749" s="147"/>
      <c r="AA5749" s="147"/>
      <c r="AB5749" s="110"/>
      <c r="AC5749" s="132"/>
      <c r="AD5749" s="148"/>
      <c r="AE5749" s="148"/>
    </row>
    <row r="5750" customFormat="false" ht="15" hidden="false" customHeight="true" outlineLevel="0" collapsed="false">
      <c r="A5750" s="141"/>
      <c r="B5750" s="131"/>
      <c r="C5750" s="132"/>
      <c r="D5750" s="131"/>
      <c r="E5750" s="110"/>
      <c r="F5750" s="110"/>
      <c r="G5750" s="110"/>
      <c r="H5750" s="131"/>
      <c r="I5750" s="131"/>
      <c r="J5750" s="142"/>
      <c r="K5750" s="142"/>
      <c r="L5750" s="140"/>
      <c r="M5750" s="131"/>
      <c r="N5750" s="131"/>
      <c r="O5750" s="131"/>
      <c r="P5750" s="143"/>
      <c r="Q5750" s="66"/>
      <c r="R5750" s="131"/>
      <c r="S5750" s="144"/>
      <c r="T5750" s="131"/>
      <c r="U5750" s="131"/>
      <c r="V5750" s="131"/>
      <c r="W5750" s="131"/>
      <c r="X5750" s="145"/>
      <c r="Y5750" s="146"/>
      <c r="Z5750" s="147"/>
      <c r="AA5750" s="147"/>
      <c r="AB5750" s="110"/>
      <c r="AC5750" s="132"/>
      <c r="AD5750" s="148"/>
      <c r="AE5750" s="148"/>
    </row>
    <row r="5751" customFormat="false" ht="15" hidden="false" customHeight="true" outlineLevel="0" collapsed="false">
      <c r="A5751" s="141"/>
      <c r="B5751" s="131"/>
      <c r="C5751" s="132"/>
      <c r="D5751" s="131"/>
      <c r="E5751" s="110"/>
      <c r="F5751" s="110"/>
      <c r="G5751" s="110"/>
      <c r="H5751" s="131"/>
      <c r="I5751" s="131"/>
      <c r="J5751" s="142"/>
      <c r="K5751" s="142"/>
      <c r="L5751" s="140"/>
      <c r="M5751" s="131"/>
      <c r="N5751" s="131"/>
      <c r="O5751" s="131"/>
      <c r="P5751" s="143"/>
      <c r="Q5751" s="66"/>
      <c r="R5751" s="131"/>
      <c r="S5751" s="144"/>
      <c r="T5751" s="131"/>
      <c r="U5751" s="131"/>
      <c r="V5751" s="131"/>
      <c r="W5751" s="131"/>
      <c r="X5751" s="145"/>
      <c r="Y5751" s="146"/>
      <c r="Z5751" s="147"/>
      <c r="AA5751" s="147"/>
      <c r="AB5751" s="110"/>
      <c r="AC5751" s="132"/>
      <c r="AD5751" s="148"/>
      <c r="AE5751" s="148"/>
    </row>
    <row r="5752" customFormat="false" ht="15" hidden="false" customHeight="true" outlineLevel="0" collapsed="false">
      <c r="A5752" s="141"/>
      <c r="B5752" s="131"/>
      <c r="C5752" s="132"/>
      <c r="D5752" s="131"/>
      <c r="E5752" s="110"/>
      <c r="F5752" s="110"/>
      <c r="G5752" s="110"/>
      <c r="H5752" s="131"/>
      <c r="I5752" s="131"/>
      <c r="J5752" s="142"/>
      <c r="K5752" s="142"/>
      <c r="L5752" s="140"/>
      <c r="M5752" s="131"/>
      <c r="N5752" s="131"/>
      <c r="O5752" s="131"/>
      <c r="P5752" s="143"/>
      <c r="Q5752" s="66"/>
      <c r="R5752" s="131"/>
      <c r="S5752" s="144"/>
      <c r="T5752" s="131"/>
      <c r="U5752" s="131"/>
      <c r="V5752" s="131"/>
      <c r="W5752" s="131"/>
      <c r="X5752" s="145"/>
      <c r="Y5752" s="146"/>
      <c r="Z5752" s="147"/>
      <c r="AA5752" s="147"/>
      <c r="AB5752" s="110"/>
      <c r="AC5752" s="132"/>
      <c r="AD5752" s="148"/>
      <c r="AE5752" s="148"/>
    </row>
    <row r="5753" customFormat="false" ht="15" hidden="false" customHeight="true" outlineLevel="0" collapsed="false">
      <c r="A5753" s="141"/>
      <c r="B5753" s="131"/>
      <c r="C5753" s="132"/>
      <c r="D5753" s="131"/>
      <c r="E5753" s="110"/>
      <c r="F5753" s="110"/>
      <c r="G5753" s="110"/>
      <c r="H5753" s="131"/>
      <c r="I5753" s="131"/>
      <c r="J5753" s="142"/>
      <c r="K5753" s="142"/>
      <c r="L5753" s="140"/>
      <c r="M5753" s="131"/>
      <c r="N5753" s="131"/>
      <c r="O5753" s="131"/>
      <c r="P5753" s="143"/>
      <c r="Q5753" s="66"/>
      <c r="R5753" s="131"/>
      <c r="S5753" s="144"/>
      <c r="T5753" s="131"/>
      <c r="U5753" s="131"/>
      <c r="V5753" s="131"/>
      <c r="W5753" s="131"/>
      <c r="X5753" s="145"/>
      <c r="Y5753" s="146"/>
      <c r="Z5753" s="147"/>
      <c r="AA5753" s="147"/>
      <c r="AB5753" s="110"/>
      <c r="AC5753" s="132"/>
      <c r="AD5753" s="148"/>
      <c r="AE5753" s="148"/>
    </row>
    <row r="5754" customFormat="false" ht="15" hidden="false" customHeight="true" outlineLevel="0" collapsed="false">
      <c r="A5754" s="141"/>
      <c r="B5754" s="131"/>
      <c r="C5754" s="132"/>
      <c r="D5754" s="131"/>
      <c r="E5754" s="110"/>
      <c r="F5754" s="110"/>
      <c r="G5754" s="110"/>
      <c r="H5754" s="131"/>
      <c r="I5754" s="131"/>
      <c r="J5754" s="142"/>
      <c r="K5754" s="142"/>
      <c r="L5754" s="140"/>
      <c r="M5754" s="131"/>
      <c r="N5754" s="131"/>
      <c r="O5754" s="131"/>
      <c r="P5754" s="143"/>
      <c r="Q5754" s="66"/>
      <c r="R5754" s="131"/>
      <c r="S5754" s="144"/>
      <c r="T5754" s="131"/>
      <c r="U5754" s="131"/>
      <c r="V5754" s="131"/>
      <c r="W5754" s="131"/>
      <c r="X5754" s="145"/>
      <c r="Y5754" s="146"/>
      <c r="Z5754" s="147"/>
      <c r="AA5754" s="147"/>
      <c r="AB5754" s="110"/>
      <c r="AC5754" s="132"/>
      <c r="AD5754" s="148"/>
      <c r="AE5754" s="148"/>
    </row>
    <row r="5755" customFormat="false" ht="15" hidden="false" customHeight="true" outlineLevel="0" collapsed="false">
      <c r="A5755" s="141"/>
      <c r="B5755" s="131"/>
      <c r="C5755" s="132"/>
      <c r="D5755" s="131"/>
      <c r="E5755" s="110"/>
      <c r="F5755" s="110"/>
      <c r="G5755" s="110"/>
      <c r="H5755" s="131"/>
      <c r="I5755" s="131"/>
      <c r="J5755" s="142"/>
      <c r="K5755" s="142"/>
      <c r="L5755" s="140"/>
      <c r="M5755" s="131"/>
      <c r="N5755" s="131"/>
      <c r="O5755" s="131"/>
      <c r="P5755" s="143"/>
      <c r="Q5755" s="66"/>
      <c r="R5755" s="131"/>
      <c r="S5755" s="144"/>
      <c r="T5755" s="131"/>
      <c r="U5755" s="131"/>
      <c r="V5755" s="131"/>
      <c r="W5755" s="131"/>
      <c r="X5755" s="145"/>
      <c r="Y5755" s="146"/>
      <c r="Z5755" s="147"/>
      <c r="AA5755" s="147"/>
      <c r="AB5755" s="110"/>
      <c r="AC5755" s="132"/>
      <c r="AD5755" s="148"/>
      <c r="AE5755" s="148"/>
    </row>
    <row r="5756" customFormat="false" ht="15" hidden="false" customHeight="true" outlineLevel="0" collapsed="false">
      <c r="A5756" s="141"/>
      <c r="B5756" s="131"/>
      <c r="C5756" s="132"/>
      <c r="D5756" s="131"/>
      <c r="E5756" s="110"/>
      <c r="F5756" s="110"/>
      <c r="G5756" s="110"/>
      <c r="H5756" s="131"/>
      <c r="I5756" s="131"/>
      <c r="J5756" s="142"/>
      <c r="K5756" s="142"/>
      <c r="L5756" s="140"/>
      <c r="M5756" s="131"/>
      <c r="N5756" s="131"/>
      <c r="O5756" s="131"/>
      <c r="P5756" s="143"/>
      <c r="Q5756" s="66"/>
      <c r="R5756" s="131"/>
      <c r="S5756" s="144"/>
      <c r="T5756" s="131"/>
      <c r="U5756" s="131"/>
      <c r="V5756" s="131"/>
      <c r="W5756" s="131"/>
      <c r="X5756" s="145"/>
      <c r="Y5756" s="146"/>
      <c r="Z5756" s="147"/>
      <c r="AA5756" s="147"/>
      <c r="AB5756" s="110"/>
      <c r="AC5756" s="132"/>
      <c r="AD5756" s="148"/>
      <c r="AE5756" s="148"/>
    </row>
    <row r="5757" customFormat="false" ht="15" hidden="false" customHeight="true" outlineLevel="0" collapsed="false">
      <c r="A5757" s="141"/>
      <c r="B5757" s="131"/>
      <c r="C5757" s="132"/>
      <c r="D5757" s="131"/>
      <c r="E5757" s="110"/>
      <c r="F5757" s="110"/>
      <c r="G5757" s="110"/>
      <c r="H5757" s="131"/>
      <c r="I5757" s="131"/>
      <c r="J5757" s="142"/>
      <c r="K5757" s="142"/>
      <c r="L5757" s="140"/>
      <c r="M5757" s="131"/>
      <c r="N5757" s="131"/>
      <c r="O5757" s="131"/>
      <c r="P5757" s="143"/>
      <c r="Q5757" s="66"/>
      <c r="R5757" s="131"/>
      <c r="S5757" s="144"/>
      <c r="T5757" s="131"/>
      <c r="U5757" s="131"/>
      <c r="V5757" s="131"/>
      <c r="W5757" s="131"/>
      <c r="X5757" s="145"/>
      <c r="Y5757" s="146"/>
      <c r="Z5757" s="147"/>
      <c r="AA5757" s="147"/>
      <c r="AB5757" s="110"/>
      <c r="AC5757" s="132"/>
      <c r="AD5757" s="148"/>
      <c r="AE5757" s="148"/>
    </row>
    <row r="5758" customFormat="false" ht="15" hidden="false" customHeight="true" outlineLevel="0" collapsed="false">
      <c r="A5758" s="141"/>
      <c r="B5758" s="131"/>
      <c r="C5758" s="132"/>
      <c r="D5758" s="131"/>
      <c r="E5758" s="110"/>
      <c r="F5758" s="110"/>
      <c r="G5758" s="110"/>
      <c r="H5758" s="131"/>
      <c r="I5758" s="131"/>
      <c r="J5758" s="142"/>
      <c r="K5758" s="142"/>
      <c r="L5758" s="140"/>
      <c r="M5758" s="131"/>
      <c r="N5758" s="131"/>
      <c r="O5758" s="131"/>
      <c r="P5758" s="143"/>
      <c r="Q5758" s="66"/>
      <c r="R5758" s="131"/>
      <c r="S5758" s="144"/>
      <c r="T5758" s="131"/>
      <c r="U5758" s="131"/>
      <c r="V5758" s="131"/>
      <c r="W5758" s="131"/>
      <c r="X5758" s="145"/>
      <c r="Y5758" s="146"/>
      <c r="Z5758" s="147"/>
      <c r="AA5758" s="147"/>
      <c r="AB5758" s="110"/>
      <c r="AC5758" s="132"/>
      <c r="AD5758" s="148"/>
      <c r="AE5758" s="148"/>
    </row>
    <row r="5759" customFormat="false" ht="15" hidden="false" customHeight="true" outlineLevel="0" collapsed="false">
      <c r="A5759" s="141"/>
      <c r="B5759" s="131"/>
      <c r="C5759" s="132"/>
      <c r="D5759" s="131"/>
      <c r="E5759" s="110"/>
      <c r="F5759" s="110"/>
      <c r="G5759" s="110"/>
      <c r="H5759" s="131"/>
      <c r="I5759" s="131"/>
      <c r="J5759" s="142"/>
      <c r="K5759" s="142"/>
      <c r="L5759" s="140"/>
      <c r="M5759" s="131"/>
      <c r="N5759" s="131"/>
      <c r="O5759" s="131"/>
      <c r="P5759" s="143"/>
      <c r="Q5759" s="66"/>
      <c r="R5759" s="131"/>
      <c r="S5759" s="144"/>
      <c r="T5759" s="131"/>
      <c r="U5759" s="131"/>
      <c r="V5759" s="131"/>
      <c r="W5759" s="131"/>
      <c r="X5759" s="145"/>
      <c r="Y5759" s="146"/>
      <c r="Z5759" s="147"/>
      <c r="AA5759" s="147"/>
      <c r="AB5759" s="110"/>
      <c r="AC5759" s="132"/>
      <c r="AD5759" s="148"/>
      <c r="AE5759" s="148"/>
    </row>
    <row r="5760" customFormat="false" ht="15" hidden="false" customHeight="true" outlineLevel="0" collapsed="false">
      <c r="A5760" s="141"/>
      <c r="B5760" s="131"/>
      <c r="C5760" s="132"/>
      <c r="D5760" s="131"/>
      <c r="E5760" s="110"/>
      <c r="F5760" s="110"/>
      <c r="G5760" s="110"/>
      <c r="H5760" s="131"/>
      <c r="I5760" s="131"/>
      <c r="J5760" s="142"/>
      <c r="K5760" s="142"/>
      <c r="L5760" s="140"/>
      <c r="M5760" s="131"/>
      <c r="N5760" s="131"/>
      <c r="O5760" s="131"/>
      <c r="P5760" s="143"/>
      <c r="Q5760" s="66"/>
      <c r="R5760" s="131"/>
      <c r="S5760" s="144"/>
      <c r="T5760" s="131"/>
      <c r="U5760" s="131"/>
      <c r="V5760" s="131"/>
      <c r="W5760" s="131"/>
      <c r="X5760" s="145"/>
      <c r="Y5760" s="146"/>
      <c r="Z5760" s="147"/>
      <c r="AA5760" s="147"/>
      <c r="AB5760" s="110"/>
      <c r="AC5760" s="132"/>
      <c r="AD5760" s="148"/>
      <c r="AE5760" s="148"/>
    </row>
    <row r="5761" customFormat="false" ht="15" hidden="false" customHeight="true" outlineLevel="0" collapsed="false">
      <c r="A5761" s="141"/>
      <c r="B5761" s="131"/>
      <c r="C5761" s="132"/>
      <c r="D5761" s="131"/>
      <c r="E5761" s="110"/>
      <c r="F5761" s="110"/>
      <c r="G5761" s="110"/>
      <c r="H5761" s="131"/>
      <c r="I5761" s="131"/>
      <c r="J5761" s="142"/>
      <c r="K5761" s="142"/>
      <c r="L5761" s="140"/>
      <c r="M5761" s="131"/>
      <c r="N5761" s="131"/>
      <c r="O5761" s="131"/>
      <c r="P5761" s="143"/>
      <c r="Q5761" s="66"/>
      <c r="R5761" s="131"/>
      <c r="S5761" s="144"/>
      <c r="T5761" s="131"/>
      <c r="U5761" s="131"/>
      <c r="V5761" s="131"/>
      <c r="W5761" s="131"/>
      <c r="X5761" s="145"/>
      <c r="Y5761" s="146"/>
      <c r="Z5761" s="147"/>
      <c r="AA5761" s="147"/>
      <c r="AB5761" s="110"/>
      <c r="AC5761" s="132"/>
      <c r="AD5761" s="148"/>
      <c r="AE5761" s="148"/>
    </row>
    <row r="5762" customFormat="false" ht="15" hidden="false" customHeight="true" outlineLevel="0" collapsed="false">
      <c r="A5762" s="141"/>
      <c r="B5762" s="131"/>
      <c r="C5762" s="132"/>
      <c r="D5762" s="131"/>
      <c r="E5762" s="110"/>
      <c r="F5762" s="110"/>
      <c r="G5762" s="110"/>
      <c r="H5762" s="131"/>
      <c r="I5762" s="131"/>
      <c r="J5762" s="142"/>
      <c r="K5762" s="142"/>
      <c r="L5762" s="140"/>
      <c r="M5762" s="131"/>
      <c r="N5762" s="131"/>
      <c r="O5762" s="131"/>
      <c r="P5762" s="143"/>
      <c r="Q5762" s="66"/>
      <c r="R5762" s="131"/>
      <c r="S5762" s="144"/>
      <c r="T5762" s="131"/>
      <c r="U5762" s="131"/>
      <c r="V5762" s="131"/>
      <c r="W5762" s="131"/>
      <c r="X5762" s="145"/>
      <c r="Y5762" s="146"/>
      <c r="Z5762" s="147"/>
      <c r="AA5762" s="147"/>
      <c r="AB5762" s="110"/>
      <c r="AC5762" s="132"/>
      <c r="AD5762" s="148"/>
      <c r="AE5762" s="148"/>
    </row>
    <row r="5763" customFormat="false" ht="15" hidden="false" customHeight="true" outlineLevel="0" collapsed="false">
      <c r="A5763" s="141"/>
      <c r="B5763" s="131"/>
      <c r="C5763" s="132"/>
      <c r="D5763" s="131"/>
      <c r="E5763" s="110"/>
      <c r="F5763" s="110"/>
      <c r="G5763" s="110"/>
      <c r="H5763" s="131"/>
      <c r="I5763" s="131"/>
      <c r="J5763" s="142"/>
      <c r="K5763" s="142"/>
      <c r="L5763" s="140"/>
      <c r="M5763" s="131"/>
      <c r="N5763" s="131"/>
      <c r="O5763" s="131"/>
      <c r="P5763" s="143"/>
      <c r="Q5763" s="66"/>
      <c r="R5763" s="131"/>
      <c r="S5763" s="144"/>
      <c r="T5763" s="131"/>
      <c r="U5763" s="131"/>
      <c r="V5763" s="131"/>
      <c r="W5763" s="131"/>
      <c r="X5763" s="145"/>
      <c r="Y5763" s="146"/>
      <c r="Z5763" s="147"/>
      <c r="AA5763" s="147"/>
      <c r="AB5763" s="110"/>
      <c r="AC5763" s="132"/>
      <c r="AD5763" s="148"/>
      <c r="AE5763" s="148"/>
    </row>
    <row r="5764" customFormat="false" ht="15" hidden="false" customHeight="true" outlineLevel="0" collapsed="false">
      <c r="A5764" s="141"/>
      <c r="B5764" s="131"/>
      <c r="C5764" s="132"/>
      <c r="D5764" s="131"/>
      <c r="E5764" s="110"/>
      <c r="F5764" s="110"/>
      <c r="G5764" s="110"/>
      <c r="H5764" s="131"/>
      <c r="I5764" s="131"/>
      <c r="J5764" s="142"/>
      <c r="K5764" s="142"/>
      <c r="L5764" s="140"/>
      <c r="M5764" s="131"/>
      <c r="N5764" s="131"/>
      <c r="O5764" s="131"/>
      <c r="P5764" s="143"/>
      <c r="Q5764" s="66"/>
      <c r="R5764" s="131"/>
      <c r="S5764" s="144"/>
      <c r="T5764" s="131"/>
      <c r="U5764" s="131"/>
      <c r="V5764" s="131"/>
      <c r="W5764" s="131"/>
      <c r="X5764" s="145"/>
      <c r="Y5764" s="146"/>
      <c r="Z5764" s="147"/>
      <c r="AA5764" s="147"/>
      <c r="AB5764" s="110"/>
      <c r="AC5764" s="132"/>
      <c r="AD5764" s="148"/>
      <c r="AE5764" s="148"/>
    </row>
    <row r="5765" customFormat="false" ht="15" hidden="false" customHeight="true" outlineLevel="0" collapsed="false">
      <c r="A5765" s="141"/>
      <c r="B5765" s="131"/>
      <c r="C5765" s="132"/>
      <c r="D5765" s="131"/>
      <c r="E5765" s="110"/>
      <c r="F5765" s="110"/>
      <c r="G5765" s="110"/>
      <c r="H5765" s="131"/>
      <c r="I5765" s="131"/>
      <c r="J5765" s="142"/>
      <c r="K5765" s="142"/>
      <c r="L5765" s="140"/>
      <c r="M5765" s="131"/>
      <c r="N5765" s="131"/>
      <c r="O5765" s="131"/>
      <c r="P5765" s="143"/>
      <c r="Q5765" s="66"/>
      <c r="R5765" s="131"/>
      <c r="S5765" s="144"/>
      <c r="T5765" s="131"/>
      <c r="U5765" s="131"/>
      <c r="V5765" s="131"/>
      <c r="W5765" s="131"/>
      <c r="X5765" s="145"/>
      <c r="Y5765" s="146"/>
      <c r="Z5765" s="147"/>
      <c r="AA5765" s="147"/>
      <c r="AB5765" s="110"/>
      <c r="AC5765" s="132"/>
      <c r="AD5765" s="148"/>
      <c r="AE5765" s="148"/>
    </row>
    <row r="5766" customFormat="false" ht="15" hidden="false" customHeight="true" outlineLevel="0" collapsed="false">
      <c r="A5766" s="141"/>
      <c r="B5766" s="131"/>
      <c r="C5766" s="132"/>
      <c r="D5766" s="131"/>
      <c r="E5766" s="110"/>
      <c r="F5766" s="110"/>
      <c r="G5766" s="110"/>
      <c r="H5766" s="131"/>
      <c r="I5766" s="131"/>
      <c r="J5766" s="142"/>
      <c r="K5766" s="142"/>
      <c r="L5766" s="140"/>
      <c r="M5766" s="131"/>
      <c r="N5766" s="131"/>
      <c r="O5766" s="131"/>
      <c r="P5766" s="143"/>
      <c r="Q5766" s="66"/>
      <c r="R5766" s="131"/>
      <c r="S5766" s="144"/>
      <c r="T5766" s="131"/>
      <c r="U5766" s="131"/>
      <c r="V5766" s="131"/>
      <c r="W5766" s="131"/>
      <c r="X5766" s="145"/>
      <c r="Y5766" s="146"/>
      <c r="Z5766" s="147"/>
      <c r="AA5766" s="147"/>
      <c r="AB5766" s="110"/>
      <c r="AC5766" s="132"/>
      <c r="AD5766" s="148"/>
      <c r="AE5766" s="148"/>
    </row>
    <row r="5767" customFormat="false" ht="15" hidden="false" customHeight="true" outlineLevel="0" collapsed="false">
      <c r="A5767" s="141"/>
      <c r="B5767" s="131"/>
      <c r="C5767" s="132"/>
      <c r="D5767" s="131"/>
      <c r="E5767" s="110"/>
      <c r="F5767" s="110"/>
      <c r="G5767" s="110"/>
      <c r="H5767" s="131"/>
      <c r="I5767" s="131"/>
      <c r="J5767" s="142"/>
      <c r="K5767" s="142"/>
      <c r="L5767" s="140"/>
      <c r="M5767" s="131"/>
      <c r="N5767" s="131"/>
      <c r="O5767" s="131"/>
      <c r="P5767" s="143"/>
      <c r="Q5767" s="66"/>
      <c r="R5767" s="131"/>
      <c r="S5767" s="144"/>
      <c r="T5767" s="131"/>
      <c r="U5767" s="131"/>
      <c r="V5767" s="131"/>
      <c r="W5767" s="131"/>
      <c r="X5767" s="145"/>
      <c r="Y5767" s="146"/>
      <c r="Z5767" s="147"/>
      <c r="AA5767" s="147"/>
      <c r="AB5767" s="110"/>
      <c r="AC5767" s="132"/>
      <c r="AD5767" s="148"/>
      <c r="AE5767" s="148"/>
    </row>
    <row r="5768" customFormat="false" ht="15" hidden="false" customHeight="true" outlineLevel="0" collapsed="false">
      <c r="A5768" s="141"/>
      <c r="B5768" s="131"/>
      <c r="C5768" s="132"/>
      <c r="D5768" s="131"/>
      <c r="E5768" s="110"/>
      <c r="F5768" s="110"/>
      <c r="G5768" s="110"/>
      <c r="H5768" s="131"/>
      <c r="I5768" s="131"/>
      <c r="J5768" s="142"/>
      <c r="K5768" s="142"/>
      <c r="L5768" s="140"/>
      <c r="M5768" s="131"/>
      <c r="N5768" s="131"/>
      <c r="O5768" s="131"/>
      <c r="P5768" s="143"/>
      <c r="Q5768" s="66"/>
      <c r="R5768" s="131"/>
      <c r="S5768" s="144"/>
      <c r="T5768" s="131"/>
      <c r="U5768" s="131"/>
      <c r="V5768" s="131"/>
      <c r="W5768" s="131"/>
      <c r="X5768" s="145"/>
      <c r="Y5768" s="146"/>
      <c r="Z5768" s="147"/>
      <c r="AA5768" s="147"/>
      <c r="AB5768" s="110"/>
      <c r="AC5768" s="132"/>
      <c r="AD5768" s="148"/>
      <c r="AE5768" s="148"/>
    </row>
    <row r="5769" customFormat="false" ht="15" hidden="false" customHeight="true" outlineLevel="0" collapsed="false">
      <c r="A5769" s="141"/>
      <c r="B5769" s="131"/>
      <c r="C5769" s="132"/>
      <c r="D5769" s="131"/>
      <c r="E5769" s="110"/>
      <c r="F5769" s="110"/>
      <c r="G5769" s="110"/>
      <c r="H5769" s="131"/>
      <c r="I5769" s="131"/>
      <c r="J5769" s="142"/>
      <c r="K5769" s="142"/>
      <c r="L5769" s="140"/>
      <c r="M5769" s="131"/>
      <c r="N5769" s="131"/>
      <c r="O5769" s="131"/>
      <c r="P5769" s="143"/>
      <c r="Q5769" s="66"/>
      <c r="R5769" s="131"/>
      <c r="S5769" s="144"/>
      <c r="T5769" s="131"/>
      <c r="U5769" s="131"/>
      <c r="V5769" s="131"/>
      <c r="W5769" s="131"/>
      <c r="X5769" s="145"/>
      <c r="Y5769" s="146"/>
      <c r="Z5769" s="147"/>
      <c r="AA5769" s="147"/>
      <c r="AB5769" s="110"/>
      <c r="AC5769" s="132"/>
      <c r="AD5769" s="148"/>
      <c r="AE5769" s="148"/>
    </row>
    <row r="5770" customFormat="false" ht="15" hidden="false" customHeight="true" outlineLevel="0" collapsed="false">
      <c r="A5770" s="141"/>
      <c r="B5770" s="131"/>
      <c r="C5770" s="132"/>
      <c r="D5770" s="131"/>
      <c r="E5770" s="110"/>
      <c r="F5770" s="110"/>
      <c r="G5770" s="110"/>
      <c r="H5770" s="131"/>
      <c r="I5770" s="131"/>
      <c r="J5770" s="142"/>
      <c r="K5770" s="142"/>
      <c r="L5770" s="140"/>
      <c r="M5770" s="131"/>
      <c r="N5770" s="131"/>
      <c r="O5770" s="131"/>
      <c r="P5770" s="143"/>
      <c r="Q5770" s="66"/>
      <c r="R5770" s="131"/>
      <c r="S5770" s="144"/>
      <c r="T5770" s="131"/>
      <c r="U5770" s="131"/>
      <c r="V5770" s="131"/>
      <c r="W5770" s="131"/>
      <c r="X5770" s="145"/>
      <c r="Y5770" s="146"/>
      <c r="Z5770" s="147"/>
      <c r="AA5770" s="147"/>
      <c r="AB5770" s="110"/>
      <c r="AC5770" s="132"/>
      <c r="AD5770" s="148"/>
      <c r="AE5770" s="148"/>
    </row>
    <row r="5771" customFormat="false" ht="15" hidden="false" customHeight="true" outlineLevel="0" collapsed="false">
      <c r="A5771" s="141"/>
      <c r="B5771" s="131"/>
      <c r="C5771" s="132"/>
      <c r="D5771" s="131"/>
      <c r="E5771" s="110"/>
      <c r="F5771" s="110"/>
      <c r="G5771" s="110"/>
      <c r="H5771" s="131"/>
      <c r="I5771" s="131"/>
      <c r="J5771" s="142"/>
      <c r="K5771" s="142"/>
      <c r="L5771" s="140"/>
      <c r="M5771" s="131"/>
      <c r="N5771" s="131"/>
      <c r="O5771" s="131"/>
      <c r="P5771" s="143"/>
      <c r="Q5771" s="66"/>
      <c r="R5771" s="131"/>
      <c r="S5771" s="144"/>
      <c r="T5771" s="131"/>
      <c r="U5771" s="131"/>
      <c r="V5771" s="131"/>
      <c r="W5771" s="131"/>
      <c r="X5771" s="145"/>
      <c r="Y5771" s="146"/>
      <c r="Z5771" s="147"/>
      <c r="AA5771" s="147"/>
      <c r="AB5771" s="110"/>
      <c r="AC5771" s="132"/>
      <c r="AD5771" s="148"/>
      <c r="AE5771" s="148"/>
    </row>
    <row r="5772" customFormat="false" ht="15" hidden="false" customHeight="true" outlineLevel="0" collapsed="false">
      <c r="A5772" s="141"/>
      <c r="B5772" s="131"/>
      <c r="C5772" s="132"/>
      <c r="D5772" s="131"/>
      <c r="E5772" s="110"/>
      <c r="F5772" s="110"/>
      <c r="G5772" s="110"/>
      <c r="H5772" s="131"/>
      <c r="I5772" s="131"/>
      <c r="J5772" s="142"/>
      <c r="K5772" s="142"/>
      <c r="L5772" s="140"/>
      <c r="M5772" s="131"/>
      <c r="N5772" s="131"/>
      <c r="O5772" s="131"/>
      <c r="P5772" s="143"/>
      <c r="Q5772" s="66"/>
      <c r="R5772" s="131"/>
      <c r="S5772" s="144"/>
      <c r="T5772" s="131"/>
      <c r="U5772" s="131"/>
      <c r="V5772" s="131"/>
      <c r="W5772" s="131"/>
      <c r="X5772" s="145"/>
      <c r="Y5772" s="146"/>
      <c r="Z5772" s="147"/>
      <c r="AA5772" s="147"/>
      <c r="AB5772" s="110"/>
      <c r="AC5772" s="132"/>
      <c r="AD5772" s="148"/>
      <c r="AE5772" s="148"/>
    </row>
    <row r="5773" customFormat="false" ht="15" hidden="false" customHeight="true" outlineLevel="0" collapsed="false">
      <c r="A5773" s="141"/>
      <c r="B5773" s="131"/>
      <c r="C5773" s="132"/>
      <c r="D5773" s="131"/>
      <c r="E5773" s="110"/>
      <c r="F5773" s="110"/>
      <c r="G5773" s="110"/>
      <c r="H5773" s="131"/>
      <c r="I5773" s="131"/>
      <c r="J5773" s="142"/>
      <c r="K5773" s="142"/>
      <c r="L5773" s="140"/>
      <c r="M5773" s="131"/>
      <c r="N5773" s="131"/>
      <c r="O5773" s="131"/>
      <c r="P5773" s="143"/>
      <c r="Q5773" s="66"/>
      <c r="R5773" s="131"/>
      <c r="S5773" s="144"/>
      <c r="T5773" s="131"/>
      <c r="U5773" s="131"/>
      <c r="V5773" s="131"/>
      <c r="W5773" s="131"/>
      <c r="X5773" s="145"/>
      <c r="Y5773" s="146"/>
      <c r="Z5773" s="147"/>
      <c r="AA5773" s="147"/>
      <c r="AB5773" s="110"/>
      <c r="AC5773" s="132"/>
      <c r="AD5773" s="148"/>
      <c r="AE5773" s="148"/>
    </row>
    <row r="5774" customFormat="false" ht="15" hidden="false" customHeight="true" outlineLevel="0" collapsed="false">
      <c r="A5774" s="141"/>
      <c r="B5774" s="131"/>
      <c r="C5774" s="132"/>
      <c r="D5774" s="131"/>
      <c r="E5774" s="110"/>
      <c r="F5774" s="110"/>
      <c r="G5774" s="110"/>
      <c r="H5774" s="131"/>
      <c r="I5774" s="131"/>
      <c r="J5774" s="142"/>
      <c r="K5774" s="142"/>
      <c r="L5774" s="140"/>
      <c r="M5774" s="131"/>
      <c r="N5774" s="131"/>
      <c r="O5774" s="131"/>
      <c r="P5774" s="143"/>
      <c r="Q5774" s="66"/>
      <c r="R5774" s="131"/>
      <c r="S5774" s="144"/>
      <c r="T5774" s="131"/>
      <c r="U5774" s="131"/>
      <c r="V5774" s="131"/>
      <c r="W5774" s="131"/>
      <c r="X5774" s="145"/>
      <c r="Y5774" s="146"/>
      <c r="Z5774" s="147"/>
      <c r="AA5774" s="147"/>
      <c r="AB5774" s="110"/>
      <c r="AC5774" s="132"/>
      <c r="AD5774" s="148"/>
      <c r="AE5774" s="148"/>
    </row>
    <row r="5775" customFormat="false" ht="15" hidden="false" customHeight="true" outlineLevel="0" collapsed="false">
      <c r="A5775" s="141"/>
      <c r="B5775" s="131"/>
      <c r="C5775" s="132"/>
      <c r="D5775" s="131"/>
      <c r="E5775" s="110"/>
      <c r="F5775" s="110"/>
      <c r="G5775" s="110"/>
      <c r="H5775" s="131"/>
      <c r="I5775" s="131"/>
      <c r="J5775" s="142"/>
      <c r="K5775" s="142"/>
      <c r="L5775" s="140"/>
      <c r="M5775" s="131"/>
      <c r="N5775" s="131"/>
      <c r="O5775" s="131"/>
      <c r="P5775" s="143"/>
      <c r="Q5775" s="66"/>
      <c r="R5775" s="131"/>
      <c r="S5775" s="144"/>
      <c r="T5775" s="131"/>
      <c r="U5775" s="131"/>
      <c r="V5775" s="131"/>
      <c r="W5775" s="131"/>
      <c r="X5775" s="145"/>
      <c r="Y5775" s="146"/>
      <c r="Z5775" s="147"/>
      <c r="AA5775" s="147"/>
      <c r="AB5775" s="110"/>
      <c r="AC5775" s="132"/>
      <c r="AD5775" s="148"/>
      <c r="AE5775" s="148"/>
    </row>
    <row r="5776" customFormat="false" ht="15" hidden="false" customHeight="true" outlineLevel="0" collapsed="false">
      <c r="A5776" s="141"/>
      <c r="B5776" s="131"/>
      <c r="C5776" s="132"/>
      <c r="D5776" s="131"/>
      <c r="E5776" s="110"/>
      <c r="F5776" s="110"/>
      <c r="G5776" s="110"/>
      <c r="H5776" s="131"/>
      <c r="I5776" s="131"/>
      <c r="J5776" s="142"/>
      <c r="K5776" s="142"/>
      <c r="L5776" s="140"/>
      <c r="M5776" s="131"/>
      <c r="N5776" s="131"/>
      <c r="O5776" s="131"/>
      <c r="P5776" s="143"/>
      <c r="Q5776" s="66"/>
      <c r="R5776" s="131"/>
      <c r="S5776" s="144"/>
      <c r="T5776" s="131"/>
      <c r="U5776" s="131"/>
      <c r="V5776" s="131"/>
      <c r="W5776" s="131"/>
      <c r="X5776" s="145"/>
      <c r="Y5776" s="146"/>
      <c r="Z5776" s="147"/>
      <c r="AA5776" s="147"/>
      <c r="AB5776" s="110"/>
      <c r="AC5776" s="132"/>
      <c r="AD5776" s="148"/>
      <c r="AE5776" s="148"/>
    </row>
    <row r="5777" customFormat="false" ht="15" hidden="false" customHeight="true" outlineLevel="0" collapsed="false">
      <c r="A5777" s="141"/>
      <c r="B5777" s="131"/>
      <c r="C5777" s="132"/>
      <c r="D5777" s="131"/>
      <c r="E5777" s="110"/>
      <c r="F5777" s="110"/>
      <c r="G5777" s="110"/>
      <c r="H5777" s="131"/>
      <c r="I5777" s="131"/>
      <c r="J5777" s="142"/>
      <c r="K5777" s="142"/>
      <c r="L5777" s="140"/>
      <c r="M5777" s="131"/>
      <c r="N5777" s="131"/>
      <c r="O5777" s="131"/>
      <c r="P5777" s="143"/>
      <c r="Q5777" s="66"/>
      <c r="R5777" s="131"/>
      <c r="S5777" s="144"/>
      <c r="T5777" s="131"/>
      <c r="U5777" s="131"/>
      <c r="V5777" s="131"/>
      <c r="W5777" s="131"/>
      <c r="X5777" s="145"/>
      <c r="Y5777" s="146"/>
      <c r="Z5777" s="147"/>
      <c r="AA5777" s="147"/>
      <c r="AB5777" s="110"/>
      <c r="AC5777" s="132"/>
      <c r="AD5777" s="148"/>
      <c r="AE5777" s="148"/>
    </row>
    <row r="5778" customFormat="false" ht="15" hidden="false" customHeight="true" outlineLevel="0" collapsed="false">
      <c r="A5778" s="141"/>
      <c r="B5778" s="131"/>
      <c r="C5778" s="132"/>
      <c r="D5778" s="131"/>
      <c r="E5778" s="110"/>
      <c r="F5778" s="110"/>
      <c r="G5778" s="110"/>
      <c r="H5778" s="131"/>
      <c r="I5778" s="131"/>
      <c r="J5778" s="142"/>
      <c r="K5778" s="142"/>
      <c r="L5778" s="140"/>
      <c r="M5778" s="131"/>
      <c r="N5778" s="131"/>
      <c r="O5778" s="131"/>
      <c r="P5778" s="143"/>
      <c r="Q5778" s="66"/>
      <c r="R5778" s="131"/>
      <c r="S5778" s="144"/>
      <c r="T5778" s="131"/>
      <c r="U5778" s="131"/>
      <c r="V5778" s="131"/>
      <c r="W5778" s="131"/>
      <c r="X5778" s="145"/>
      <c r="Y5778" s="146"/>
      <c r="Z5778" s="147"/>
      <c r="AA5778" s="147"/>
      <c r="AB5778" s="110"/>
      <c r="AC5778" s="132"/>
      <c r="AD5778" s="148"/>
      <c r="AE5778" s="148"/>
    </row>
    <row r="5779" customFormat="false" ht="15" hidden="false" customHeight="true" outlineLevel="0" collapsed="false">
      <c r="A5779" s="141"/>
      <c r="B5779" s="131"/>
      <c r="C5779" s="132"/>
      <c r="D5779" s="131"/>
      <c r="E5779" s="110"/>
      <c r="F5779" s="110"/>
      <c r="G5779" s="110"/>
      <c r="H5779" s="131"/>
      <c r="I5779" s="131"/>
      <c r="J5779" s="142"/>
      <c r="K5779" s="142"/>
      <c r="L5779" s="140"/>
      <c r="M5779" s="131"/>
      <c r="N5779" s="131"/>
      <c r="O5779" s="131"/>
      <c r="P5779" s="143"/>
      <c r="Q5779" s="66"/>
      <c r="R5779" s="131"/>
      <c r="S5779" s="144"/>
      <c r="T5779" s="131"/>
      <c r="U5779" s="131"/>
      <c r="V5779" s="131"/>
      <c r="W5779" s="131"/>
      <c r="X5779" s="145"/>
      <c r="Y5779" s="146"/>
      <c r="Z5779" s="147"/>
      <c r="AA5779" s="147"/>
      <c r="AB5779" s="110"/>
      <c r="AC5779" s="132"/>
      <c r="AD5779" s="148"/>
      <c r="AE5779" s="148"/>
    </row>
    <row r="5780" customFormat="false" ht="15" hidden="false" customHeight="true" outlineLevel="0" collapsed="false">
      <c r="A5780" s="141"/>
      <c r="B5780" s="131"/>
      <c r="C5780" s="132"/>
      <c r="D5780" s="131"/>
      <c r="E5780" s="110"/>
      <c r="F5780" s="110"/>
      <c r="G5780" s="110"/>
      <c r="H5780" s="131"/>
      <c r="I5780" s="131"/>
      <c r="J5780" s="142"/>
      <c r="K5780" s="142"/>
      <c r="L5780" s="140"/>
      <c r="M5780" s="131"/>
      <c r="N5780" s="131"/>
      <c r="O5780" s="131"/>
      <c r="P5780" s="143"/>
      <c r="Q5780" s="66"/>
      <c r="R5780" s="131"/>
      <c r="S5780" s="144"/>
      <c r="T5780" s="131"/>
      <c r="U5780" s="131"/>
      <c r="V5780" s="131"/>
      <c r="W5780" s="131"/>
      <c r="X5780" s="145"/>
      <c r="Y5780" s="146"/>
      <c r="Z5780" s="147"/>
      <c r="AA5780" s="147"/>
      <c r="AB5780" s="110"/>
      <c r="AC5780" s="132"/>
      <c r="AD5780" s="148"/>
      <c r="AE5780" s="148"/>
    </row>
    <row r="5781" customFormat="false" ht="15" hidden="false" customHeight="true" outlineLevel="0" collapsed="false">
      <c r="A5781" s="141"/>
      <c r="B5781" s="131"/>
      <c r="C5781" s="132"/>
      <c r="D5781" s="131"/>
      <c r="E5781" s="110"/>
      <c r="F5781" s="110"/>
      <c r="G5781" s="110"/>
      <c r="H5781" s="131"/>
      <c r="I5781" s="131"/>
      <c r="J5781" s="142"/>
      <c r="K5781" s="142"/>
      <c r="L5781" s="140"/>
      <c r="M5781" s="131"/>
      <c r="N5781" s="131"/>
      <c r="O5781" s="131"/>
      <c r="P5781" s="143"/>
      <c r="Q5781" s="66"/>
      <c r="R5781" s="131"/>
      <c r="S5781" s="144"/>
      <c r="T5781" s="131"/>
      <c r="U5781" s="131"/>
      <c r="V5781" s="131"/>
      <c r="W5781" s="131"/>
      <c r="X5781" s="145"/>
      <c r="Y5781" s="146"/>
      <c r="Z5781" s="147"/>
      <c r="AA5781" s="147"/>
      <c r="AB5781" s="110"/>
      <c r="AC5781" s="132"/>
      <c r="AD5781" s="148"/>
      <c r="AE5781" s="148"/>
    </row>
    <row r="5782" customFormat="false" ht="15" hidden="false" customHeight="true" outlineLevel="0" collapsed="false">
      <c r="A5782" s="141"/>
      <c r="B5782" s="131"/>
      <c r="C5782" s="132"/>
      <c r="D5782" s="131"/>
      <c r="E5782" s="110"/>
      <c r="F5782" s="110"/>
      <c r="G5782" s="110"/>
      <c r="H5782" s="131"/>
      <c r="I5782" s="131"/>
      <c r="J5782" s="142"/>
      <c r="K5782" s="142"/>
      <c r="L5782" s="140"/>
      <c r="M5782" s="131"/>
      <c r="N5782" s="131"/>
      <c r="O5782" s="131"/>
      <c r="P5782" s="143"/>
      <c r="Q5782" s="66"/>
      <c r="R5782" s="131"/>
      <c r="S5782" s="144"/>
      <c r="T5782" s="131"/>
      <c r="U5782" s="131"/>
      <c r="V5782" s="131"/>
      <c r="W5782" s="131"/>
      <c r="X5782" s="145"/>
      <c r="Y5782" s="146"/>
      <c r="Z5782" s="147"/>
      <c r="AA5782" s="147"/>
      <c r="AB5782" s="110"/>
      <c r="AC5782" s="132"/>
      <c r="AD5782" s="148"/>
      <c r="AE5782" s="148"/>
    </row>
    <row r="5783" customFormat="false" ht="15" hidden="false" customHeight="true" outlineLevel="0" collapsed="false">
      <c r="A5783" s="141"/>
      <c r="B5783" s="131"/>
      <c r="C5783" s="132"/>
      <c r="D5783" s="131"/>
      <c r="E5783" s="110"/>
      <c r="F5783" s="110"/>
      <c r="G5783" s="110"/>
      <c r="H5783" s="131"/>
      <c r="I5783" s="131"/>
      <c r="J5783" s="142"/>
      <c r="K5783" s="142"/>
      <c r="L5783" s="140"/>
      <c r="M5783" s="131"/>
      <c r="N5783" s="131"/>
      <c r="O5783" s="131"/>
      <c r="P5783" s="143"/>
      <c r="Q5783" s="66"/>
      <c r="R5783" s="131"/>
      <c r="S5783" s="144"/>
      <c r="T5783" s="131"/>
      <c r="U5783" s="131"/>
      <c r="V5783" s="131"/>
      <c r="W5783" s="131"/>
      <c r="X5783" s="145"/>
      <c r="Y5783" s="146"/>
      <c r="Z5783" s="147"/>
      <c r="AA5783" s="147"/>
      <c r="AB5783" s="110"/>
      <c r="AC5783" s="132"/>
      <c r="AD5783" s="148"/>
      <c r="AE5783" s="148"/>
    </row>
    <row r="5784" customFormat="false" ht="15" hidden="false" customHeight="true" outlineLevel="0" collapsed="false">
      <c r="A5784" s="141"/>
      <c r="B5784" s="131"/>
      <c r="C5784" s="132"/>
      <c r="D5784" s="131"/>
      <c r="E5784" s="110"/>
      <c r="F5784" s="110"/>
      <c r="G5784" s="110"/>
      <c r="H5784" s="131"/>
      <c r="I5784" s="131"/>
      <c r="J5784" s="142"/>
      <c r="K5784" s="142"/>
      <c r="L5784" s="140"/>
      <c r="M5784" s="131"/>
      <c r="N5784" s="131"/>
      <c r="O5784" s="131"/>
      <c r="P5784" s="143"/>
      <c r="Q5784" s="66"/>
      <c r="R5784" s="131"/>
      <c r="S5784" s="144"/>
      <c r="T5784" s="131"/>
      <c r="U5784" s="131"/>
      <c r="V5784" s="131"/>
      <c r="W5784" s="131"/>
      <c r="X5784" s="145"/>
      <c r="Y5784" s="146"/>
      <c r="Z5784" s="147"/>
      <c r="AA5784" s="147"/>
      <c r="AB5784" s="110"/>
      <c r="AC5784" s="132"/>
      <c r="AD5784" s="148"/>
      <c r="AE5784" s="148"/>
    </row>
    <row r="5785" customFormat="false" ht="15" hidden="false" customHeight="true" outlineLevel="0" collapsed="false">
      <c r="A5785" s="141"/>
      <c r="B5785" s="131"/>
      <c r="C5785" s="132"/>
      <c r="D5785" s="131"/>
      <c r="E5785" s="110"/>
      <c r="F5785" s="110"/>
      <c r="G5785" s="110"/>
      <c r="H5785" s="131"/>
      <c r="I5785" s="131"/>
      <c r="J5785" s="142"/>
      <c r="K5785" s="142"/>
      <c r="L5785" s="140"/>
      <c r="M5785" s="131"/>
      <c r="N5785" s="131"/>
      <c r="O5785" s="131"/>
      <c r="P5785" s="143"/>
      <c r="Q5785" s="66"/>
      <c r="R5785" s="131"/>
      <c r="S5785" s="144"/>
      <c r="T5785" s="131"/>
      <c r="U5785" s="131"/>
      <c r="V5785" s="131"/>
      <c r="W5785" s="131"/>
      <c r="X5785" s="145"/>
      <c r="Y5785" s="146"/>
      <c r="Z5785" s="147"/>
      <c r="AA5785" s="147"/>
      <c r="AB5785" s="110"/>
      <c r="AC5785" s="132"/>
      <c r="AD5785" s="148"/>
      <c r="AE5785" s="148"/>
    </row>
    <row r="5786" customFormat="false" ht="15" hidden="false" customHeight="true" outlineLevel="0" collapsed="false">
      <c r="A5786" s="141"/>
      <c r="B5786" s="131"/>
      <c r="C5786" s="132"/>
      <c r="D5786" s="131"/>
      <c r="E5786" s="110"/>
      <c r="F5786" s="110"/>
      <c r="G5786" s="110"/>
      <c r="H5786" s="131"/>
      <c r="I5786" s="131"/>
      <c r="J5786" s="142"/>
      <c r="K5786" s="142"/>
      <c r="L5786" s="140"/>
      <c r="M5786" s="131"/>
      <c r="N5786" s="131"/>
      <c r="O5786" s="131"/>
      <c r="P5786" s="143"/>
      <c r="Q5786" s="66"/>
      <c r="R5786" s="131"/>
      <c r="S5786" s="144"/>
      <c r="T5786" s="131"/>
      <c r="U5786" s="131"/>
      <c r="V5786" s="131"/>
      <c r="W5786" s="131"/>
      <c r="X5786" s="145"/>
      <c r="Y5786" s="146"/>
      <c r="Z5786" s="147"/>
      <c r="AA5786" s="147"/>
      <c r="AB5786" s="110"/>
      <c r="AC5786" s="132"/>
      <c r="AD5786" s="148"/>
      <c r="AE5786" s="148"/>
    </row>
    <row r="5787" customFormat="false" ht="15" hidden="false" customHeight="true" outlineLevel="0" collapsed="false">
      <c r="A5787" s="141"/>
      <c r="B5787" s="131"/>
      <c r="C5787" s="132"/>
      <c r="D5787" s="131"/>
      <c r="E5787" s="110"/>
      <c r="F5787" s="110"/>
      <c r="G5787" s="110"/>
      <c r="H5787" s="131"/>
      <c r="I5787" s="131"/>
      <c r="J5787" s="142"/>
      <c r="K5787" s="142"/>
      <c r="L5787" s="140"/>
      <c r="M5787" s="131"/>
      <c r="N5787" s="131"/>
      <c r="O5787" s="131"/>
      <c r="P5787" s="143"/>
      <c r="Q5787" s="66"/>
      <c r="R5787" s="131"/>
      <c r="S5787" s="144"/>
      <c r="T5787" s="131"/>
      <c r="U5787" s="131"/>
      <c r="V5787" s="131"/>
      <c r="W5787" s="131"/>
      <c r="X5787" s="145"/>
      <c r="Y5787" s="146"/>
      <c r="Z5787" s="147"/>
      <c r="AA5787" s="147"/>
      <c r="AB5787" s="110"/>
      <c r="AC5787" s="132"/>
      <c r="AD5787" s="148"/>
      <c r="AE5787" s="148"/>
    </row>
    <row r="5788" customFormat="false" ht="15" hidden="false" customHeight="true" outlineLevel="0" collapsed="false">
      <c r="A5788" s="141"/>
      <c r="B5788" s="131"/>
      <c r="C5788" s="132"/>
      <c r="D5788" s="131"/>
      <c r="E5788" s="110"/>
      <c r="F5788" s="110"/>
      <c r="G5788" s="110"/>
      <c r="H5788" s="131"/>
      <c r="I5788" s="131"/>
      <c r="J5788" s="142"/>
      <c r="K5788" s="142"/>
      <c r="L5788" s="140"/>
      <c r="M5788" s="131"/>
      <c r="N5788" s="131"/>
      <c r="O5788" s="131"/>
      <c r="P5788" s="143"/>
      <c r="Q5788" s="66"/>
      <c r="R5788" s="131"/>
      <c r="S5788" s="144"/>
      <c r="T5788" s="131"/>
      <c r="U5788" s="131"/>
      <c r="V5788" s="131"/>
      <c r="W5788" s="131"/>
      <c r="X5788" s="145"/>
      <c r="Y5788" s="146"/>
      <c r="Z5788" s="147"/>
      <c r="AA5788" s="147"/>
      <c r="AB5788" s="110"/>
      <c r="AC5788" s="132"/>
      <c r="AD5788" s="148"/>
      <c r="AE5788" s="148"/>
    </row>
    <row r="5789" customFormat="false" ht="15" hidden="false" customHeight="true" outlineLevel="0" collapsed="false">
      <c r="A5789" s="141"/>
      <c r="B5789" s="131"/>
      <c r="C5789" s="132"/>
      <c r="D5789" s="131"/>
      <c r="E5789" s="110"/>
      <c r="F5789" s="110"/>
      <c r="G5789" s="110"/>
      <c r="H5789" s="131"/>
      <c r="I5789" s="131"/>
      <c r="J5789" s="142"/>
      <c r="K5789" s="142"/>
      <c r="L5789" s="140"/>
      <c r="M5789" s="131"/>
      <c r="N5789" s="131"/>
      <c r="O5789" s="131"/>
      <c r="P5789" s="143"/>
      <c r="Q5789" s="66"/>
      <c r="R5789" s="131"/>
      <c r="S5789" s="144"/>
      <c r="T5789" s="131"/>
      <c r="U5789" s="131"/>
      <c r="V5789" s="131"/>
      <c r="W5789" s="131"/>
      <c r="X5789" s="145"/>
      <c r="Y5789" s="146"/>
      <c r="Z5789" s="147"/>
      <c r="AA5789" s="147"/>
      <c r="AB5789" s="110"/>
      <c r="AC5789" s="132"/>
      <c r="AD5789" s="148"/>
      <c r="AE5789" s="148"/>
    </row>
    <row r="5790" customFormat="false" ht="15" hidden="false" customHeight="true" outlineLevel="0" collapsed="false">
      <c r="A5790" s="141"/>
      <c r="B5790" s="131"/>
      <c r="C5790" s="132"/>
      <c r="D5790" s="131"/>
      <c r="E5790" s="110"/>
      <c r="F5790" s="110"/>
      <c r="G5790" s="110"/>
      <c r="H5790" s="131"/>
      <c r="I5790" s="131"/>
      <c r="J5790" s="142"/>
      <c r="K5790" s="142"/>
      <c r="L5790" s="140"/>
      <c r="M5790" s="131"/>
      <c r="N5790" s="131"/>
      <c r="O5790" s="131"/>
      <c r="P5790" s="143"/>
      <c r="Q5790" s="66"/>
      <c r="R5790" s="131"/>
      <c r="S5790" s="144"/>
      <c r="T5790" s="131"/>
      <c r="U5790" s="131"/>
      <c r="V5790" s="131"/>
      <c r="W5790" s="131"/>
      <c r="X5790" s="145"/>
      <c r="Y5790" s="146"/>
      <c r="Z5790" s="147"/>
      <c r="AA5790" s="147"/>
      <c r="AB5790" s="110"/>
      <c r="AC5790" s="132"/>
      <c r="AD5790" s="148"/>
      <c r="AE5790" s="148"/>
    </row>
    <row r="5791" customFormat="false" ht="15" hidden="false" customHeight="true" outlineLevel="0" collapsed="false">
      <c r="A5791" s="141"/>
      <c r="B5791" s="131"/>
      <c r="C5791" s="132"/>
      <c r="D5791" s="131"/>
      <c r="E5791" s="110"/>
      <c r="F5791" s="110"/>
      <c r="G5791" s="110"/>
      <c r="H5791" s="131"/>
      <c r="I5791" s="131"/>
      <c r="J5791" s="142"/>
      <c r="K5791" s="142"/>
      <c r="L5791" s="140"/>
      <c r="M5791" s="131"/>
      <c r="N5791" s="131"/>
      <c r="O5791" s="131"/>
      <c r="P5791" s="143"/>
      <c r="Q5791" s="66"/>
      <c r="R5791" s="131"/>
      <c r="S5791" s="144"/>
      <c r="T5791" s="131"/>
      <c r="U5791" s="131"/>
      <c r="V5791" s="131"/>
      <c r="W5791" s="131"/>
      <c r="X5791" s="145"/>
      <c r="Y5791" s="146"/>
      <c r="Z5791" s="147"/>
      <c r="AA5791" s="147"/>
      <c r="AB5791" s="110"/>
      <c r="AC5791" s="132"/>
      <c r="AD5791" s="148"/>
      <c r="AE5791" s="148"/>
    </row>
    <row r="5792" customFormat="false" ht="15" hidden="false" customHeight="true" outlineLevel="0" collapsed="false">
      <c r="A5792" s="141"/>
      <c r="B5792" s="131"/>
      <c r="C5792" s="132"/>
      <c r="D5792" s="131"/>
      <c r="E5792" s="110"/>
      <c r="F5792" s="110"/>
      <c r="G5792" s="110"/>
      <c r="H5792" s="131"/>
      <c r="I5792" s="131"/>
      <c r="J5792" s="142"/>
      <c r="K5792" s="142"/>
      <c r="L5792" s="140"/>
      <c r="M5792" s="131"/>
      <c r="N5792" s="131"/>
      <c r="O5792" s="131"/>
      <c r="P5792" s="143"/>
      <c r="Q5792" s="66"/>
      <c r="R5792" s="131"/>
      <c r="S5792" s="144"/>
      <c r="T5792" s="131"/>
      <c r="U5792" s="131"/>
      <c r="V5792" s="131"/>
      <c r="W5792" s="131"/>
      <c r="X5792" s="145"/>
      <c r="Y5792" s="146"/>
      <c r="Z5792" s="147"/>
      <c r="AA5792" s="147"/>
      <c r="AB5792" s="110"/>
      <c r="AC5792" s="132"/>
      <c r="AD5792" s="148"/>
      <c r="AE5792" s="148"/>
    </row>
    <row r="5793" customFormat="false" ht="15" hidden="false" customHeight="true" outlineLevel="0" collapsed="false">
      <c r="A5793" s="141"/>
      <c r="B5793" s="131"/>
      <c r="C5793" s="132"/>
      <c r="D5793" s="131"/>
      <c r="E5793" s="110"/>
      <c r="F5793" s="110"/>
      <c r="G5793" s="110"/>
      <c r="H5793" s="131"/>
      <c r="I5793" s="131"/>
      <c r="J5793" s="142"/>
      <c r="K5793" s="142"/>
      <c r="L5793" s="140"/>
      <c r="M5793" s="131"/>
      <c r="N5793" s="131"/>
      <c r="O5793" s="131"/>
      <c r="P5793" s="143"/>
      <c r="Q5793" s="66"/>
      <c r="R5793" s="131"/>
      <c r="S5793" s="144"/>
      <c r="T5793" s="131"/>
      <c r="U5793" s="131"/>
      <c r="V5793" s="131"/>
      <c r="W5793" s="131"/>
      <c r="X5793" s="145"/>
      <c r="Y5793" s="146"/>
      <c r="Z5793" s="147"/>
      <c r="AA5793" s="147"/>
      <c r="AB5793" s="110"/>
      <c r="AC5793" s="132"/>
      <c r="AD5793" s="148"/>
      <c r="AE5793" s="148"/>
    </row>
    <row r="5794" customFormat="false" ht="15" hidden="false" customHeight="true" outlineLevel="0" collapsed="false">
      <c r="A5794" s="141"/>
      <c r="B5794" s="131"/>
      <c r="C5794" s="132"/>
      <c r="D5794" s="131"/>
      <c r="E5794" s="110"/>
      <c r="F5794" s="110"/>
      <c r="G5794" s="110"/>
      <c r="H5794" s="131"/>
      <c r="I5794" s="131"/>
      <c r="J5794" s="142"/>
      <c r="K5794" s="142"/>
      <c r="L5794" s="140"/>
      <c r="M5794" s="131"/>
      <c r="N5794" s="131"/>
      <c r="O5794" s="131"/>
      <c r="P5794" s="143"/>
      <c r="Q5794" s="66"/>
      <c r="R5794" s="131"/>
      <c r="S5794" s="144"/>
      <c r="T5794" s="131"/>
      <c r="U5794" s="131"/>
      <c r="V5794" s="131"/>
      <c r="W5794" s="131"/>
      <c r="X5794" s="145"/>
      <c r="Y5794" s="146"/>
      <c r="Z5794" s="147"/>
      <c r="AA5794" s="147"/>
      <c r="AB5794" s="110"/>
      <c r="AC5794" s="132"/>
      <c r="AD5794" s="148"/>
      <c r="AE5794" s="148"/>
    </row>
    <row r="5795" customFormat="false" ht="15" hidden="false" customHeight="true" outlineLevel="0" collapsed="false">
      <c r="A5795" s="141"/>
      <c r="B5795" s="131"/>
      <c r="C5795" s="132"/>
      <c r="D5795" s="131"/>
      <c r="E5795" s="110"/>
      <c r="F5795" s="110"/>
      <c r="G5795" s="110"/>
      <c r="H5795" s="131"/>
      <c r="I5795" s="131"/>
      <c r="J5795" s="142"/>
      <c r="K5795" s="142"/>
      <c r="L5795" s="140"/>
      <c r="M5795" s="131"/>
      <c r="N5795" s="131"/>
      <c r="O5795" s="131"/>
      <c r="P5795" s="143"/>
      <c r="Q5795" s="66"/>
      <c r="R5795" s="131"/>
      <c r="S5795" s="144"/>
      <c r="T5795" s="131"/>
      <c r="U5795" s="131"/>
      <c r="V5795" s="131"/>
      <c r="W5795" s="131"/>
      <c r="X5795" s="145"/>
      <c r="Y5795" s="146"/>
      <c r="Z5795" s="147"/>
      <c r="AA5795" s="147"/>
      <c r="AB5795" s="110"/>
      <c r="AC5795" s="132"/>
      <c r="AD5795" s="148"/>
      <c r="AE5795" s="148"/>
    </row>
    <row r="5796" customFormat="false" ht="15" hidden="false" customHeight="true" outlineLevel="0" collapsed="false">
      <c r="A5796" s="141"/>
      <c r="B5796" s="131"/>
      <c r="C5796" s="132"/>
      <c r="D5796" s="131"/>
      <c r="E5796" s="110"/>
      <c r="F5796" s="110"/>
      <c r="G5796" s="110"/>
      <c r="H5796" s="131"/>
      <c r="I5796" s="131"/>
      <c r="J5796" s="142"/>
      <c r="K5796" s="142"/>
      <c r="L5796" s="140"/>
      <c r="M5796" s="131"/>
      <c r="N5796" s="131"/>
      <c r="O5796" s="131"/>
      <c r="P5796" s="143"/>
      <c r="Q5796" s="66"/>
      <c r="R5796" s="131"/>
      <c r="S5796" s="144"/>
      <c r="T5796" s="131"/>
      <c r="U5796" s="131"/>
      <c r="V5796" s="131"/>
      <c r="W5796" s="131"/>
      <c r="X5796" s="145"/>
      <c r="Y5796" s="146"/>
      <c r="Z5796" s="147"/>
      <c r="AA5796" s="147"/>
      <c r="AB5796" s="110"/>
      <c r="AC5796" s="132"/>
      <c r="AD5796" s="148"/>
      <c r="AE5796" s="148"/>
    </row>
    <row r="5797" customFormat="false" ht="15" hidden="false" customHeight="true" outlineLevel="0" collapsed="false">
      <c r="A5797" s="141"/>
      <c r="B5797" s="131"/>
      <c r="C5797" s="132"/>
      <c r="D5797" s="131"/>
      <c r="E5797" s="110"/>
      <c r="F5797" s="110"/>
      <c r="G5797" s="110"/>
      <c r="H5797" s="131"/>
      <c r="I5797" s="131"/>
      <c r="J5797" s="142"/>
      <c r="K5797" s="142"/>
      <c r="L5797" s="140"/>
      <c r="M5797" s="131"/>
      <c r="N5797" s="131"/>
      <c r="O5797" s="131"/>
      <c r="P5797" s="143"/>
      <c r="Q5797" s="66"/>
      <c r="R5797" s="131"/>
      <c r="S5797" s="144"/>
      <c r="T5797" s="131"/>
      <c r="U5797" s="131"/>
      <c r="V5797" s="131"/>
      <c r="W5797" s="131"/>
      <c r="X5797" s="145"/>
      <c r="Y5797" s="146"/>
      <c r="Z5797" s="147"/>
      <c r="AA5797" s="147"/>
      <c r="AB5797" s="110"/>
      <c r="AC5797" s="132"/>
      <c r="AD5797" s="148"/>
      <c r="AE5797" s="148"/>
    </row>
    <row r="5798" customFormat="false" ht="15" hidden="false" customHeight="true" outlineLevel="0" collapsed="false">
      <c r="A5798" s="141"/>
      <c r="B5798" s="131"/>
      <c r="C5798" s="132"/>
      <c r="D5798" s="131"/>
      <c r="E5798" s="110"/>
      <c r="F5798" s="110"/>
      <c r="G5798" s="110"/>
      <c r="H5798" s="131"/>
      <c r="I5798" s="131"/>
      <c r="J5798" s="142"/>
      <c r="K5798" s="142"/>
      <c r="L5798" s="140"/>
      <c r="M5798" s="131"/>
      <c r="N5798" s="131"/>
      <c r="O5798" s="131"/>
      <c r="P5798" s="143"/>
      <c r="Q5798" s="66"/>
      <c r="R5798" s="131"/>
      <c r="S5798" s="144"/>
      <c r="T5798" s="131"/>
      <c r="U5798" s="131"/>
      <c r="V5798" s="131"/>
      <c r="W5798" s="131"/>
      <c r="X5798" s="145"/>
      <c r="Y5798" s="146"/>
      <c r="Z5798" s="147"/>
      <c r="AA5798" s="147"/>
      <c r="AB5798" s="110"/>
      <c r="AC5798" s="132"/>
      <c r="AD5798" s="148"/>
      <c r="AE5798" s="148"/>
    </row>
    <row r="5799" customFormat="false" ht="15" hidden="false" customHeight="true" outlineLevel="0" collapsed="false">
      <c r="A5799" s="141"/>
      <c r="B5799" s="131"/>
      <c r="C5799" s="132"/>
      <c r="D5799" s="131"/>
      <c r="E5799" s="110"/>
      <c r="F5799" s="110"/>
      <c r="G5799" s="110"/>
      <c r="H5799" s="131"/>
      <c r="I5799" s="131"/>
      <c r="J5799" s="142"/>
      <c r="K5799" s="142"/>
      <c r="L5799" s="140"/>
      <c r="M5799" s="131"/>
      <c r="N5799" s="131"/>
      <c r="O5799" s="131"/>
      <c r="P5799" s="143"/>
      <c r="Q5799" s="66"/>
      <c r="R5799" s="131"/>
      <c r="S5799" s="144"/>
      <c r="T5799" s="131"/>
      <c r="U5799" s="131"/>
      <c r="V5799" s="131"/>
      <c r="W5799" s="131"/>
      <c r="X5799" s="145"/>
      <c r="Y5799" s="146"/>
      <c r="Z5799" s="147"/>
      <c r="AA5799" s="147"/>
      <c r="AB5799" s="110"/>
      <c r="AC5799" s="132"/>
      <c r="AD5799" s="148"/>
      <c r="AE5799" s="148"/>
    </row>
    <row r="5800" customFormat="false" ht="15" hidden="false" customHeight="true" outlineLevel="0" collapsed="false">
      <c r="A5800" s="141"/>
      <c r="B5800" s="131"/>
      <c r="C5800" s="132"/>
      <c r="D5800" s="131"/>
      <c r="E5800" s="110"/>
      <c r="F5800" s="110"/>
      <c r="G5800" s="110"/>
      <c r="H5800" s="131"/>
      <c r="I5800" s="131"/>
      <c r="J5800" s="142"/>
      <c r="K5800" s="142"/>
      <c r="L5800" s="140"/>
      <c r="M5800" s="131"/>
      <c r="N5800" s="131"/>
      <c r="O5800" s="131"/>
      <c r="P5800" s="143"/>
      <c r="Q5800" s="66"/>
      <c r="R5800" s="131"/>
      <c r="S5800" s="144"/>
      <c r="T5800" s="131"/>
      <c r="U5800" s="131"/>
      <c r="V5800" s="131"/>
      <c r="W5800" s="131"/>
      <c r="X5800" s="145"/>
      <c r="Y5800" s="146"/>
      <c r="Z5800" s="147"/>
      <c r="AA5800" s="147"/>
      <c r="AB5800" s="110"/>
      <c r="AC5800" s="132"/>
      <c r="AD5800" s="148"/>
      <c r="AE5800" s="148"/>
    </row>
    <row r="5801" customFormat="false" ht="15" hidden="false" customHeight="true" outlineLevel="0" collapsed="false">
      <c r="A5801" s="141"/>
      <c r="B5801" s="131"/>
      <c r="C5801" s="132"/>
      <c r="D5801" s="131"/>
      <c r="E5801" s="110"/>
      <c r="F5801" s="110"/>
      <c r="G5801" s="110"/>
      <c r="H5801" s="131"/>
      <c r="I5801" s="131"/>
      <c r="J5801" s="142"/>
      <c r="K5801" s="142"/>
      <c r="L5801" s="140"/>
      <c r="M5801" s="131"/>
      <c r="N5801" s="131"/>
      <c r="O5801" s="131"/>
      <c r="P5801" s="143"/>
      <c r="Q5801" s="66"/>
      <c r="R5801" s="131"/>
      <c r="S5801" s="144"/>
      <c r="T5801" s="131"/>
      <c r="U5801" s="131"/>
      <c r="V5801" s="131"/>
      <c r="W5801" s="131"/>
      <c r="X5801" s="145"/>
      <c r="Y5801" s="146"/>
      <c r="Z5801" s="147"/>
      <c r="AA5801" s="147"/>
      <c r="AB5801" s="110"/>
      <c r="AC5801" s="132"/>
      <c r="AD5801" s="148"/>
      <c r="AE5801" s="148"/>
    </row>
    <row r="5802" customFormat="false" ht="15" hidden="false" customHeight="true" outlineLevel="0" collapsed="false">
      <c r="A5802" s="141"/>
      <c r="B5802" s="131"/>
      <c r="C5802" s="132"/>
      <c r="D5802" s="131"/>
      <c r="E5802" s="110"/>
      <c r="F5802" s="110"/>
      <c r="G5802" s="110"/>
      <c r="H5802" s="131"/>
      <c r="I5802" s="131"/>
      <c r="J5802" s="142"/>
      <c r="K5802" s="142"/>
      <c r="L5802" s="140"/>
      <c r="M5802" s="131"/>
      <c r="N5802" s="131"/>
      <c r="O5802" s="131"/>
      <c r="P5802" s="143"/>
      <c r="Q5802" s="66"/>
      <c r="R5802" s="131"/>
      <c r="S5802" s="144"/>
      <c r="T5802" s="131"/>
      <c r="U5802" s="131"/>
      <c r="V5802" s="131"/>
      <c r="W5802" s="131"/>
      <c r="X5802" s="145"/>
      <c r="Y5802" s="146"/>
      <c r="Z5802" s="147"/>
      <c r="AA5802" s="147"/>
      <c r="AB5802" s="110"/>
      <c r="AC5802" s="132"/>
      <c r="AD5802" s="148"/>
      <c r="AE5802" s="148"/>
    </row>
    <row r="5803" customFormat="false" ht="15" hidden="false" customHeight="true" outlineLevel="0" collapsed="false">
      <c r="A5803" s="141"/>
      <c r="B5803" s="131"/>
      <c r="C5803" s="132"/>
      <c r="D5803" s="131"/>
      <c r="E5803" s="110"/>
      <c r="F5803" s="110"/>
      <c r="G5803" s="110"/>
      <c r="H5803" s="131"/>
      <c r="I5803" s="131"/>
      <c r="J5803" s="142"/>
      <c r="K5803" s="142"/>
      <c r="L5803" s="140"/>
      <c r="M5803" s="131"/>
      <c r="N5803" s="131"/>
      <c r="O5803" s="131"/>
      <c r="P5803" s="143"/>
      <c r="Q5803" s="66"/>
      <c r="R5803" s="131"/>
      <c r="S5803" s="144"/>
      <c r="T5803" s="131"/>
      <c r="U5803" s="131"/>
      <c r="V5803" s="131"/>
      <c r="W5803" s="131"/>
      <c r="X5803" s="145"/>
      <c r="Y5803" s="146"/>
      <c r="Z5803" s="147"/>
      <c r="AA5803" s="147"/>
      <c r="AB5803" s="110"/>
      <c r="AC5803" s="132"/>
      <c r="AD5803" s="148"/>
      <c r="AE5803" s="148"/>
    </row>
    <row r="5804" customFormat="false" ht="15" hidden="false" customHeight="true" outlineLevel="0" collapsed="false">
      <c r="A5804" s="141"/>
      <c r="B5804" s="131"/>
      <c r="C5804" s="132"/>
      <c r="D5804" s="131"/>
      <c r="E5804" s="110"/>
      <c r="F5804" s="110"/>
      <c r="G5804" s="110"/>
      <c r="H5804" s="131"/>
      <c r="I5804" s="131"/>
      <c r="J5804" s="142"/>
      <c r="K5804" s="142"/>
      <c r="L5804" s="140"/>
      <c r="M5804" s="131"/>
      <c r="N5804" s="131"/>
      <c r="O5804" s="131"/>
      <c r="P5804" s="143"/>
      <c r="Q5804" s="66"/>
      <c r="R5804" s="131"/>
      <c r="S5804" s="144"/>
      <c r="T5804" s="131"/>
      <c r="U5804" s="131"/>
      <c r="V5804" s="131"/>
      <c r="W5804" s="131"/>
      <c r="X5804" s="145"/>
      <c r="Y5804" s="146"/>
      <c r="Z5804" s="147"/>
      <c r="AA5804" s="147"/>
      <c r="AB5804" s="110"/>
      <c r="AC5804" s="132"/>
      <c r="AD5804" s="148"/>
      <c r="AE5804" s="148"/>
    </row>
    <row r="5805" customFormat="false" ht="15" hidden="false" customHeight="true" outlineLevel="0" collapsed="false">
      <c r="A5805" s="141"/>
      <c r="B5805" s="131"/>
      <c r="C5805" s="132"/>
      <c r="D5805" s="131"/>
      <c r="E5805" s="110"/>
      <c r="F5805" s="110"/>
      <c r="G5805" s="110"/>
      <c r="H5805" s="131"/>
      <c r="I5805" s="131"/>
      <c r="J5805" s="142"/>
      <c r="K5805" s="142"/>
      <c r="L5805" s="140"/>
      <c r="M5805" s="131"/>
      <c r="N5805" s="131"/>
      <c r="O5805" s="131"/>
      <c r="P5805" s="143"/>
      <c r="Q5805" s="66"/>
      <c r="R5805" s="131"/>
      <c r="S5805" s="144"/>
      <c r="T5805" s="131"/>
      <c r="U5805" s="131"/>
      <c r="V5805" s="131"/>
      <c r="W5805" s="131"/>
      <c r="X5805" s="145"/>
      <c r="Y5805" s="146"/>
      <c r="Z5805" s="147"/>
      <c r="AA5805" s="147"/>
      <c r="AB5805" s="110"/>
      <c r="AC5805" s="132"/>
      <c r="AD5805" s="148"/>
      <c r="AE5805" s="148"/>
    </row>
    <row r="5806" customFormat="false" ht="15" hidden="false" customHeight="true" outlineLevel="0" collapsed="false">
      <c r="A5806" s="141"/>
      <c r="B5806" s="131"/>
      <c r="C5806" s="132"/>
      <c r="D5806" s="131"/>
      <c r="E5806" s="110"/>
      <c r="F5806" s="110"/>
      <c r="G5806" s="110"/>
      <c r="H5806" s="131"/>
      <c r="I5806" s="131"/>
      <c r="J5806" s="142"/>
      <c r="K5806" s="142"/>
      <c r="L5806" s="140"/>
      <c r="M5806" s="131"/>
      <c r="N5806" s="131"/>
      <c r="O5806" s="131"/>
      <c r="P5806" s="143"/>
      <c r="Q5806" s="66"/>
      <c r="R5806" s="131"/>
      <c r="S5806" s="144"/>
      <c r="T5806" s="131"/>
      <c r="U5806" s="131"/>
      <c r="V5806" s="131"/>
      <c r="W5806" s="131"/>
      <c r="X5806" s="145"/>
      <c r="Y5806" s="146"/>
      <c r="Z5806" s="147"/>
      <c r="AA5806" s="147"/>
      <c r="AB5806" s="110"/>
      <c r="AC5806" s="132"/>
      <c r="AD5806" s="148"/>
      <c r="AE5806" s="148"/>
    </row>
    <row r="5807" customFormat="false" ht="15" hidden="false" customHeight="true" outlineLevel="0" collapsed="false">
      <c r="A5807" s="141"/>
      <c r="B5807" s="131"/>
      <c r="C5807" s="132"/>
      <c r="D5807" s="131"/>
      <c r="E5807" s="110"/>
      <c r="F5807" s="110"/>
      <c r="G5807" s="110"/>
      <c r="H5807" s="131"/>
      <c r="I5807" s="131"/>
      <c r="J5807" s="142"/>
      <c r="K5807" s="142"/>
      <c r="L5807" s="140"/>
      <c r="M5807" s="131"/>
      <c r="N5807" s="131"/>
      <c r="O5807" s="131"/>
      <c r="P5807" s="143"/>
      <c r="Q5807" s="66"/>
      <c r="R5807" s="131"/>
      <c r="S5807" s="144"/>
      <c r="T5807" s="131"/>
      <c r="U5807" s="131"/>
      <c r="V5807" s="131"/>
      <c r="W5807" s="131"/>
      <c r="X5807" s="145"/>
      <c r="Y5807" s="146"/>
      <c r="Z5807" s="147"/>
      <c r="AA5807" s="147"/>
      <c r="AB5807" s="110"/>
      <c r="AC5807" s="132"/>
      <c r="AD5807" s="148"/>
      <c r="AE5807" s="148"/>
    </row>
    <row r="5808" customFormat="false" ht="15" hidden="false" customHeight="true" outlineLevel="0" collapsed="false">
      <c r="A5808" s="141"/>
      <c r="B5808" s="131"/>
      <c r="C5808" s="132"/>
      <c r="D5808" s="131"/>
      <c r="E5808" s="110"/>
      <c r="F5808" s="110"/>
      <c r="G5808" s="110"/>
      <c r="H5808" s="131"/>
      <c r="I5808" s="131"/>
      <c r="J5808" s="142"/>
      <c r="K5808" s="142"/>
      <c r="L5808" s="140"/>
      <c r="M5808" s="131"/>
      <c r="N5808" s="131"/>
      <c r="O5808" s="131"/>
      <c r="P5808" s="143"/>
      <c r="Q5808" s="66"/>
      <c r="R5808" s="131"/>
      <c r="S5808" s="144"/>
      <c r="T5808" s="131"/>
      <c r="U5808" s="131"/>
      <c r="V5808" s="131"/>
      <c r="W5808" s="131"/>
      <c r="X5808" s="145"/>
      <c r="Y5808" s="146"/>
      <c r="Z5808" s="147"/>
      <c r="AA5808" s="147"/>
      <c r="AB5808" s="110"/>
      <c r="AC5808" s="132"/>
      <c r="AD5808" s="148"/>
      <c r="AE5808" s="148"/>
    </row>
    <row r="5809" customFormat="false" ht="15" hidden="false" customHeight="true" outlineLevel="0" collapsed="false">
      <c r="A5809" s="141"/>
      <c r="B5809" s="131"/>
      <c r="C5809" s="132"/>
      <c r="D5809" s="131"/>
      <c r="E5809" s="110"/>
      <c r="F5809" s="110"/>
      <c r="G5809" s="110"/>
      <c r="H5809" s="131"/>
      <c r="I5809" s="131"/>
      <c r="J5809" s="142"/>
      <c r="K5809" s="142"/>
      <c r="L5809" s="140"/>
      <c r="M5809" s="131"/>
      <c r="N5809" s="131"/>
      <c r="O5809" s="131"/>
      <c r="P5809" s="143"/>
      <c r="Q5809" s="66"/>
      <c r="R5809" s="131"/>
      <c r="S5809" s="144"/>
      <c r="T5809" s="131"/>
      <c r="U5809" s="131"/>
      <c r="V5809" s="131"/>
      <c r="W5809" s="131"/>
      <c r="X5809" s="145"/>
      <c r="Y5809" s="146"/>
      <c r="Z5809" s="147"/>
      <c r="AA5809" s="147"/>
      <c r="AB5809" s="110"/>
      <c r="AC5809" s="132"/>
      <c r="AD5809" s="148"/>
      <c r="AE5809" s="148"/>
    </row>
    <row r="5810" customFormat="false" ht="15" hidden="false" customHeight="true" outlineLevel="0" collapsed="false">
      <c r="A5810" s="141"/>
      <c r="B5810" s="131"/>
      <c r="C5810" s="132"/>
      <c r="D5810" s="131"/>
      <c r="E5810" s="110"/>
      <c r="F5810" s="110"/>
      <c r="G5810" s="110"/>
      <c r="H5810" s="131"/>
      <c r="I5810" s="131"/>
      <c r="J5810" s="142"/>
      <c r="K5810" s="142"/>
      <c r="L5810" s="140"/>
      <c r="M5810" s="131"/>
      <c r="N5810" s="131"/>
      <c r="O5810" s="131"/>
      <c r="P5810" s="143"/>
      <c r="Q5810" s="66"/>
      <c r="R5810" s="131"/>
      <c r="S5810" s="144"/>
      <c r="T5810" s="131"/>
      <c r="U5810" s="131"/>
      <c r="V5810" s="131"/>
      <c r="W5810" s="131"/>
      <c r="X5810" s="145"/>
      <c r="Y5810" s="146"/>
      <c r="Z5810" s="147"/>
      <c r="AA5810" s="147"/>
      <c r="AB5810" s="110"/>
      <c r="AC5810" s="132"/>
      <c r="AD5810" s="148"/>
      <c r="AE5810" s="148"/>
    </row>
    <row r="5811" customFormat="false" ht="15" hidden="false" customHeight="true" outlineLevel="0" collapsed="false">
      <c r="A5811" s="141"/>
      <c r="B5811" s="131"/>
      <c r="C5811" s="132"/>
      <c r="D5811" s="131"/>
      <c r="E5811" s="110"/>
      <c r="F5811" s="110"/>
      <c r="G5811" s="110"/>
      <c r="H5811" s="131"/>
      <c r="I5811" s="131"/>
      <c r="J5811" s="142"/>
      <c r="K5811" s="142"/>
      <c r="L5811" s="140"/>
      <c r="M5811" s="131"/>
      <c r="N5811" s="131"/>
      <c r="O5811" s="131"/>
      <c r="P5811" s="143"/>
      <c r="Q5811" s="66"/>
      <c r="R5811" s="131"/>
      <c r="S5811" s="144"/>
      <c r="T5811" s="131"/>
      <c r="U5811" s="131"/>
      <c r="V5811" s="131"/>
      <c r="W5811" s="131"/>
      <c r="X5811" s="145"/>
      <c r="Y5811" s="146"/>
      <c r="Z5811" s="147"/>
      <c r="AA5811" s="147"/>
      <c r="AB5811" s="110"/>
      <c r="AC5811" s="132"/>
      <c r="AD5811" s="148"/>
      <c r="AE5811" s="148"/>
    </row>
    <row r="5812" customFormat="false" ht="15" hidden="false" customHeight="true" outlineLevel="0" collapsed="false">
      <c r="A5812" s="141"/>
      <c r="B5812" s="131"/>
      <c r="C5812" s="132"/>
      <c r="D5812" s="131"/>
      <c r="E5812" s="110"/>
      <c r="F5812" s="110"/>
      <c r="G5812" s="110"/>
      <c r="H5812" s="131"/>
      <c r="I5812" s="131"/>
      <c r="J5812" s="142"/>
      <c r="K5812" s="142"/>
      <c r="L5812" s="140"/>
      <c r="M5812" s="131"/>
      <c r="N5812" s="131"/>
      <c r="O5812" s="131"/>
      <c r="P5812" s="143"/>
      <c r="Q5812" s="66"/>
      <c r="R5812" s="131"/>
      <c r="S5812" s="144"/>
      <c r="T5812" s="131"/>
      <c r="U5812" s="131"/>
      <c r="V5812" s="131"/>
      <c r="W5812" s="131"/>
      <c r="X5812" s="145"/>
      <c r="Y5812" s="146"/>
      <c r="Z5812" s="147"/>
      <c r="AA5812" s="147"/>
      <c r="AB5812" s="110"/>
      <c r="AC5812" s="132"/>
      <c r="AD5812" s="148"/>
      <c r="AE5812" s="148"/>
    </row>
    <row r="5813" customFormat="false" ht="15" hidden="false" customHeight="true" outlineLevel="0" collapsed="false">
      <c r="A5813" s="141"/>
      <c r="B5813" s="131"/>
      <c r="C5813" s="132"/>
      <c r="D5813" s="131"/>
      <c r="E5813" s="110"/>
      <c r="F5813" s="110"/>
      <c r="G5813" s="110"/>
      <c r="H5813" s="131"/>
      <c r="I5813" s="131"/>
      <c r="J5813" s="142"/>
      <c r="K5813" s="142"/>
      <c r="L5813" s="140"/>
      <c r="M5813" s="131"/>
      <c r="N5813" s="131"/>
      <c r="O5813" s="131"/>
      <c r="P5813" s="143"/>
      <c r="Q5813" s="66"/>
      <c r="R5813" s="131"/>
      <c r="S5813" s="144"/>
      <c r="T5813" s="131"/>
      <c r="U5813" s="131"/>
      <c r="V5813" s="131"/>
      <c r="W5813" s="131"/>
      <c r="X5813" s="145"/>
      <c r="Y5813" s="146"/>
      <c r="Z5813" s="147"/>
      <c r="AA5813" s="147"/>
      <c r="AB5813" s="110"/>
      <c r="AC5813" s="132"/>
      <c r="AD5813" s="148"/>
      <c r="AE5813" s="148"/>
    </row>
    <row r="5814" customFormat="false" ht="15" hidden="false" customHeight="true" outlineLevel="0" collapsed="false">
      <c r="A5814" s="141"/>
      <c r="B5814" s="131"/>
      <c r="C5814" s="132"/>
      <c r="D5814" s="131"/>
      <c r="E5814" s="110"/>
      <c r="F5814" s="110"/>
      <c r="G5814" s="110"/>
      <c r="H5814" s="131"/>
      <c r="I5814" s="131"/>
      <c r="J5814" s="142"/>
      <c r="K5814" s="142"/>
      <c r="L5814" s="140"/>
      <c r="M5814" s="131"/>
      <c r="N5814" s="131"/>
      <c r="O5814" s="131"/>
      <c r="P5814" s="143"/>
      <c r="Q5814" s="66"/>
      <c r="R5814" s="131"/>
      <c r="S5814" s="144"/>
      <c r="T5814" s="131"/>
      <c r="U5814" s="131"/>
      <c r="V5814" s="131"/>
      <c r="W5814" s="131"/>
      <c r="X5814" s="145"/>
      <c r="Y5814" s="146"/>
      <c r="Z5814" s="147"/>
      <c r="AA5814" s="147"/>
      <c r="AB5814" s="110"/>
      <c r="AC5814" s="132"/>
      <c r="AD5814" s="148"/>
      <c r="AE5814" s="148"/>
    </row>
    <row r="5815" customFormat="false" ht="15" hidden="false" customHeight="true" outlineLevel="0" collapsed="false">
      <c r="A5815" s="141"/>
      <c r="B5815" s="131"/>
      <c r="C5815" s="132"/>
      <c r="D5815" s="131"/>
      <c r="E5815" s="110"/>
      <c r="F5815" s="110"/>
      <c r="G5815" s="110"/>
      <c r="H5815" s="131"/>
      <c r="I5815" s="131"/>
      <c r="J5815" s="142"/>
      <c r="K5815" s="142"/>
      <c r="L5815" s="140"/>
      <c r="M5815" s="131"/>
      <c r="N5815" s="131"/>
      <c r="O5815" s="131"/>
      <c r="P5815" s="143"/>
      <c r="Q5815" s="66"/>
      <c r="R5815" s="131"/>
      <c r="S5815" s="144"/>
      <c r="T5815" s="131"/>
      <c r="U5815" s="131"/>
      <c r="V5815" s="131"/>
      <c r="W5815" s="131"/>
      <c r="X5815" s="145"/>
      <c r="Y5815" s="146"/>
      <c r="Z5815" s="147"/>
      <c r="AA5815" s="147"/>
      <c r="AB5815" s="110"/>
      <c r="AC5815" s="132"/>
      <c r="AD5815" s="148"/>
      <c r="AE5815" s="148"/>
    </row>
    <row r="5816" customFormat="false" ht="15" hidden="false" customHeight="true" outlineLevel="0" collapsed="false">
      <c r="A5816" s="141"/>
      <c r="B5816" s="131"/>
      <c r="C5816" s="132"/>
      <c r="D5816" s="131"/>
      <c r="E5816" s="110"/>
      <c r="F5816" s="110"/>
      <c r="G5816" s="110"/>
      <c r="H5816" s="131"/>
      <c r="I5816" s="131"/>
      <c r="J5816" s="142"/>
      <c r="K5816" s="142"/>
      <c r="L5816" s="140"/>
      <c r="M5816" s="131"/>
      <c r="N5816" s="131"/>
      <c r="O5816" s="131"/>
      <c r="P5816" s="143"/>
      <c r="Q5816" s="66"/>
      <c r="R5816" s="131"/>
      <c r="S5816" s="144"/>
      <c r="T5816" s="131"/>
      <c r="U5816" s="131"/>
      <c r="V5816" s="131"/>
      <c r="W5816" s="131"/>
      <c r="X5816" s="145"/>
      <c r="Y5816" s="146"/>
      <c r="Z5816" s="147"/>
      <c r="AA5816" s="147"/>
      <c r="AB5816" s="110"/>
      <c r="AC5816" s="132"/>
      <c r="AD5816" s="148"/>
      <c r="AE5816" s="148"/>
    </row>
    <row r="5817" customFormat="false" ht="15" hidden="false" customHeight="true" outlineLevel="0" collapsed="false">
      <c r="A5817" s="141"/>
      <c r="B5817" s="131"/>
      <c r="C5817" s="132"/>
      <c r="D5817" s="131"/>
      <c r="E5817" s="110"/>
      <c r="F5817" s="110"/>
      <c r="G5817" s="110"/>
      <c r="H5817" s="131"/>
      <c r="I5817" s="131"/>
      <c r="J5817" s="142"/>
      <c r="K5817" s="142"/>
      <c r="L5817" s="140"/>
      <c r="M5817" s="131"/>
      <c r="N5817" s="131"/>
      <c r="O5817" s="131"/>
      <c r="P5817" s="143"/>
      <c r="Q5817" s="66"/>
      <c r="R5817" s="131"/>
      <c r="S5817" s="144"/>
      <c r="T5817" s="131"/>
      <c r="U5817" s="131"/>
      <c r="V5817" s="131"/>
      <c r="W5817" s="131"/>
      <c r="X5817" s="145"/>
      <c r="Y5817" s="146"/>
      <c r="Z5817" s="147"/>
      <c r="AA5817" s="147"/>
      <c r="AB5817" s="110"/>
      <c r="AC5817" s="132"/>
      <c r="AD5817" s="148"/>
      <c r="AE5817" s="148"/>
    </row>
    <row r="5818" customFormat="false" ht="15" hidden="false" customHeight="true" outlineLevel="0" collapsed="false">
      <c r="A5818" s="141"/>
      <c r="B5818" s="131"/>
      <c r="C5818" s="132"/>
      <c r="D5818" s="131"/>
      <c r="E5818" s="110"/>
      <c r="F5818" s="110"/>
      <c r="G5818" s="110"/>
      <c r="H5818" s="131"/>
      <c r="I5818" s="131"/>
      <c r="J5818" s="142"/>
      <c r="K5818" s="142"/>
      <c r="L5818" s="140"/>
      <c r="M5818" s="131"/>
      <c r="N5818" s="131"/>
      <c r="O5818" s="131"/>
      <c r="P5818" s="143"/>
      <c r="Q5818" s="66"/>
      <c r="R5818" s="131"/>
      <c r="S5818" s="144"/>
      <c r="T5818" s="131"/>
      <c r="U5818" s="131"/>
      <c r="V5818" s="131"/>
      <c r="W5818" s="131"/>
      <c r="X5818" s="145"/>
      <c r="Y5818" s="146"/>
      <c r="Z5818" s="147"/>
      <c r="AA5818" s="147"/>
      <c r="AB5818" s="110"/>
      <c r="AC5818" s="132"/>
      <c r="AD5818" s="148"/>
      <c r="AE5818" s="148"/>
    </row>
    <row r="5819" customFormat="false" ht="15" hidden="false" customHeight="true" outlineLevel="0" collapsed="false">
      <c r="A5819" s="141"/>
      <c r="B5819" s="131"/>
      <c r="C5819" s="132"/>
      <c r="D5819" s="131"/>
      <c r="E5819" s="110"/>
      <c r="F5819" s="110"/>
      <c r="G5819" s="110"/>
      <c r="H5819" s="131"/>
      <c r="I5819" s="131"/>
      <c r="J5819" s="142"/>
      <c r="K5819" s="142"/>
      <c r="L5819" s="140"/>
      <c r="M5819" s="131"/>
      <c r="N5819" s="131"/>
      <c r="O5819" s="131"/>
      <c r="P5819" s="143"/>
      <c r="Q5819" s="66"/>
      <c r="R5819" s="131"/>
      <c r="S5819" s="144"/>
      <c r="T5819" s="131"/>
      <c r="U5819" s="131"/>
      <c r="V5819" s="131"/>
      <c r="W5819" s="131"/>
      <c r="X5819" s="145"/>
      <c r="Y5819" s="146"/>
      <c r="Z5819" s="147"/>
      <c r="AA5819" s="147"/>
      <c r="AB5819" s="110"/>
      <c r="AC5819" s="132"/>
      <c r="AD5819" s="148"/>
      <c r="AE5819" s="148"/>
    </row>
    <row r="5820" customFormat="false" ht="15" hidden="false" customHeight="true" outlineLevel="0" collapsed="false">
      <c r="A5820" s="141"/>
      <c r="B5820" s="131"/>
      <c r="C5820" s="132"/>
      <c r="D5820" s="131"/>
      <c r="E5820" s="110"/>
      <c r="F5820" s="110"/>
      <c r="G5820" s="110"/>
      <c r="H5820" s="131"/>
      <c r="I5820" s="131"/>
      <c r="J5820" s="142"/>
      <c r="K5820" s="142"/>
      <c r="L5820" s="140"/>
      <c r="M5820" s="131"/>
      <c r="N5820" s="131"/>
      <c r="O5820" s="131"/>
      <c r="P5820" s="143"/>
      <c r="Q5820" s="66"/>
      <c r="R5820" s="131"/>
      <c r="S5820" s="144"/>
      <c r="T5820" s="131"/>
      <c r="U5820" s="131"/>
      <c r="V5820" s="131"/>
      <c r="W5820" s="131"/>
      <c r="X5820" s="145"/>
      <c r="Y5820" s="146"/>
      <c r="Z5820" s="147"/>
      <c r="AA5820" s="147"/>
      <c r="AB5820" s="110"/>
      <c r="AC5820" s="132"/>
      <c r="AD5820" s="148"/>
      <c r="AE5820" s="148"/>
    </row>
    <row r="5821" customFormat="false" ht="15" hidden="false" customHeight="true" outlineLevel="0" collapsed="false">
      <c r="A5821" s="141"/>
      <c r="B5821" s="131"/>
      <c r="C5821" s="132"/>
      <c r="D5821" s="131"/>
      <c r="E5821" s="110"/>
      <c r="F5821" s="110"/>
      <c r="G5821" s="110"/>
      <c r="H5821" s="131"/>
      <c r="I5821" s="131"/>
      <c r="J5821" s="142"/>
      <c r="K5821" s="142"/>
      <c r="L5821" s="140"/>
      <c r="M5821" s="131"/>
      <c r="N5821" s="131"/>
      <c r="O5821" s="131"/>
      <c r="P5821" s="143"/>
      <c r="Q5821" s="66"/>
      <c r="R5821" s="131"/>
      <c r="S5821" s="144"/>
      <c r="T5821" s="131"/>
      <c r="U5821" s="131"/>
      <c r="V5821" s="131"/>
      <c r="W5821" s="131"/>
      <c r="X5821" s="145"/>
      <c r="Y5821" s="146"/>
      <c r="Z5821" s="147"/>
      <c r="AA5821" s="147"/>
      <c r="AB5821" s="110"/>
      <c r="AC5821" s="132"/>
      <c r="AD5821" s="148"/>
      <c r="AE5821" s="148"/>
    </row>
    <row r="5822" customFormat="false" ht="15" hidden="false" customHeight="true" outlineLevel="0" collapsed="false">
      <c r="A5822" s="141"/>
      <c r="B5822" s="131"/>
      <c r="C5822" s="132"/>
      <c r="D5822" s="131"/>
      <c r="E5822" s="110"/>
      <c r="F5822" s="110"/>
      <c r="G5822" s="110"/>
      <c r="H5822" s="131"/>
      <c r="I5822" s="131"/>
      <c r="J5822" s="142"/>
      <c r="K5822" s="142"/>
      <c r="L5822" s="140"/>
      <c r="M5822" s="131"/>
      <c r="N5822" s="131"/>
      <c r="O5822" s="131"/>
      <c r="P5822" s="143"/>
      <c r="Q5822" s="66"/>
      <c r="R5822" s="131"/>
      <c r="S5822" s="144"/>
      <c r="T5822" s="131"/>
      <c r="U5822" s="131"/>
      <c r="V5822" s="131"/>
      <c r="W5822" s="131"/>
      <c r="X5822" s="145"/>
      <c r="Y5822" s="146"/>
      <c r="Z5822" s="147"/>
      <c r="AA5822" s="147"/>
      <c r="AB5822" s="110"/>
      <c r="AC5822" s="132"/>
      <c r="AD5822" s="148"/>
      <c r="AE5822" s="148"/>
    </row>
    <row r="5823" customFormat="false" ht="15" hidden="false" customHeight="true" outlineLevel="0" collapsed="false">
      <c r="A5823" s="141"/>
      <c r="B5823" s="131"/>
      <c r="C5823" s="132"/>
      <c r="D5823" s="131"/>
      <c r="E5823" s="110"/>
      <c r="F5823" s="110"/>
      <c r="G5823" s="110"/>
      <c r="H5823" s="131"/>
      <c r="I5823" s="131"/>
      <c r="J5823" s="142"/>
      <c r="K5823" s="142"/>
      <c r="L5823" s="140"/>
      <c r="M5823" s="131"/>
      <c r="N5823" s="131"/>
      <c r="O5823" s="131"/>
      <c r="P5823" s="143"/>
      <c r="Q5823" s="66"/>
      <c r="R5823" s="131"/>
      <c r="S5823" s="144"/>
      <c r="T5823" s="131"/>
      <c r="U5823" s="131"/>
      <c r="V5823" s="131"/>
      <c r="W5823" s="131"/>
      <c r="X5823" s="145"/>
      <c r="Y5823" s="146"/>
      <c r="Z5823" s="147"/>
      <c r="AA5823" s="147"/>
      <c r="AB5823" s="110"/>
      <c r="AC5823" s="132"/>
      <c r="AD5823" s="148"/>
      <c r="AE5823" s="148"/>
    </row>
    <row r="5824" customFormat="false" ht="15" hidden="false" customHeight="true" outlineLevel="0" collapsed="false">
      <c r="A5824" s="141"/>
      <c r="B5824" s="131"/>
      <c r="C5824" s="132"/>
      <c r="D5824" s="131"/>
      <c r="E5824" s="110"/>
      <c r="F5824" s="110"/>
      <c r="G5824" s="110"/>
      <c r="H5824" s="131"/>
      <c r="I5824" s="131"/>
      <c r="J5824" s="142"/>
      <c r="K5824" s="142"/>
      <c r="L5824" s="140"/>
      <c r="M5824" s="131"/>
      <c r="N5824" s="131"/>
      <c r="O5824" s="131"/>
      <c r="P5824" s="143"/>
      <c r="Q5824" s="66"/>
      <c r="R5824" s="131"/>
      <c r="S5824" s="144"/>
      <c r="T5824" s="131"/>
      <c r="U5824" s="131"/>
      <c r="V5824" s="131"/>
      <c r="W5824" s="131"/>
      <c r="X5824" s="145"/>
      <c r="Y5824" s="146"/>
      <c r="Z5824" s="147"/>
      <c r="AA5824" s="147"/>
      <c r="AB5824" s="110"/>
      <c r="AC5824" s="132"/>
      <c r="AD5824" s="148"/>
      <c r="AE5824" s="148"/>
    </row>
    <row r="5825" customFormat="false" ht="15" hidden="false" customHeight="true" outlineLevel="0" collapsed="false">
      <c r="A5825" s="141"/>
      <c r="B5825" s="131"/>
      <c r="C5825" s="132"/>
      <c r="D5825" s="131"/>
      <c r="E5825" s="110"/>
      <c r="F5825" s="110"/>
      <c r="G5825" s="110"/>
      <c r="H5825" s="131"/>
      <c r="I5825" s="131"/>
      <c r="J5825" s="142"/>
      <c r="K5825" s="142"/>
      <c r="L5825" s="140"/>
      <c r="M5825" s="131"/>
      <c r="N5825" s="131"/>
      <c r="O5825" s="131"/>
      <c r="P5825" s="143"/>
      <c r="Q5825" s="66"/>
      <c r="R5825" s="131"/>
      <c r="S5825" s="144"/>
      <c r="T5825" s="131"/>
      <c r="U5825" s="131"/>
      <c r="V5825" s="131"/>
      <c r="W5825" s="131"/>
      <c r="X5825" s="145"/>
      <c r="Y5825" s="146"/>
      <c r="Z5825" s="147"/>
      <c r="AA5825" s="147"/>
      <c r="AB5825" s="110"/>
      <c r="AC5825" s="132"/>
      <c r="AD5825" s="148"/>
      <c r="AE5825" s="148"/>
    </row>
    <row r="5826" customFormat="false" ht="15" hidden="false" customHeight="true" outlineLevel="0" collapsed="false">
      <c r="A5826" s="141"/>
      <c r="B5826" s="131"/>
      <c r="C5826" s="132"/>
      <c r="D5826" s="131"/>
      <c r="E5826" s="110"/>
      <c r="F5826" s="110"/>
      <c r="G5826" s="110"/>
      <c r="H5826" s="131"/>
      <c r="I5826" s="131"/>
      <c r="J5826" s="142"/>
      <c r="K5826" s="142"/>
      <c r="L5826" s="140"/>
      <c r="M5826" s="131"/>
      <c r="N5826" s="131"/>
      <c r="O5826" s="131"/>
      <c r="P5826" s="143"/>
      <c r="Q5826" s="66"/>
      <c r="R5826" s="131"/>
      <c r="S5826" s="144"/>
      <c r="T5826" s="131"/>
      <c r="U5826" s="131"/>
      <c r="V5826" s="131"/>
      <c r="W5826" s="131"/>
      <c r="X5826" s="145"/>
      <c r="Y5826" s="146"/>
      <c r="Z5826" s="147"/>
      <c r="AA5826" s="147"/>
      <c r="AB5826" s="110"/>
      <c r="AC5826" s="132"/>
      <c r="AD5826" s="148"/>
      <c r="AE5826" s="148"/>
    </row>
    <row r="5827" customFormat="false" ht="15" hidden="false" customHeight="true" outlineLevel="0" collapsed="false">
      <c r="A5827" s="141"/>
      <c r="B5827" s="131"/>
      <c r="C5827" s="132"/>
      <c r="D5827" s="131"/>
      <c r="E5827" s="110"/>
      <c r="F5827" s="110"/>
      <c r="G5827" s="110"/>
      <c r="H5827" s="131"/>
      <c r="I5827" s="131"/>
      <c r="J5827" s="142"/>
      <c r="K5827" s="142"/>
      <c r="L5827" s="140"/>
      <c r="M5827" s="131"/>
      <c r="N5827" s="131"/>
      <c r="O5827" s="131"/>
      <c r="P5827" s="143"/>
      <c r="Q5827" s="66"/>
      <c r="R5827" s="131"/>
      <c r="S5827" s="144"/>
      <c r="T5827" s="131"/>
      <c r="U5827" s="131"/>
      <c r="V5827" s="131"/>
      <c r="W5827" s="131"/>
      <c r="X5827" s="145"/>
      <c r="Y5827" s="146"/>
      <c r="Z5827" s="147"/>
      <c r="AA5827" s="147"/>
      <c r="AB5827" s="110"/>
      <c r="AC5827" s="132"/>
      <c r="AD5827" s="148"/>
      <c r="AE5827" s="148"/>
    </row>
    <row r="5828" customFormat="false" ht="15" hidden="false" customHeight="true" outlineLevel="0" collapsed="false">
      <c r="A5828" s="141"/>
      <c r="B5828" s="131"/>
      <c r="C5828" s="132"/>
      <c r="D5828" s="131"/>
      <c r="E5828" s="110"/>
      <c r="F5828" s="110"/>
      <c r="G5828" s="110"/>
      <c r="H5828" s="131"/>
      <c r="I5828" s="131"/>
      <c r="J5828" s="142"/>
      <c r="K5828" s="142"/>
      <c r="L5828" s="140"/>
      <c r="M5828" s="131"/>
      <c r="N5828" s="131"/>
      <c r="O5828" s="131"/>
      <c r="P5828" s="143"/>
      <c r="Q5828" s="66"/>
      <c r="R5828" s="131"/>
      <c r="S5828" s="144"/>
      <c r="T5828" s="131"/>
      <c r="U5828" s="131"/>
      <c r="V5828" s="131"/>
      <c r="W5828" s="131"/>
      <c r="X5828" s="145"/>
      <c r="Y5828" s="146"/>
      <c r="Z5828" s="147"/>
      <c r="AA5828" s="147"/>
      <c r="AB5828" s="110"/>
      <c r="AC5828" s="132"/>
      <c r="AD5828" s="148"/>
      <c r="AE5828" s="148"/>
    </row>
    <row r="5829" customFormat="false" ht="15" hidden="false" customHeight="true" outlineLevel="0" collapsed="false">
      <c r="A5829" s="141"/>
      <c r="B5829" s="131"/>
      <c r="C5829" s="132"/>
      <c r="D5829" s="131"/>
      <c r="E5829" s="110"/>
      <c r="F5829" s="110"/>
      <c r="G5829" s="110"/>
      <c r="H5829" s="131"/>
      <c r="I5829" s="131"/>
      <c r="J5829" s="142"/>
      <c r="K5829" s="142"/>
      <c r="L5829" s="140"/>
      <c r="M5829" s="131"/>
      <c r="N5829" s="131"/>
      <c r="O5829" s="131"/>
      <c r="P5829" s="143"/>
      <c r="Q5829" s="66"/>
      <c r="R5829" s="131"/>
      <c r="S5829" s="144"/>
      <c r="T5829" s="131"/>
      <c r="U5829" s="131"/>
      <c r="V5829" s="131"/>
      <c r="W5829" s="131"/>
      <c r="X5829" s="145"/>
      <c r="Y5829" s="146"/>
      <c r="Z5829" s="147"/>
      <c r="AA5829" s="147"/>
      <c r="AB5829" s="110"/>
      <c r="AC5829" s="132"/>
      <c r="AD5829" s="148"/>
      <c r="AE5829" s="148"/>
    </row>
    <row r="5830" customFormat="false" ht="15" hidden="false" customHeight="true" outlineLevel="0" collapsed="false">
      <c r="A5830" s="141"/>
      <c r="B5830" s="131"/>
      <c r="C5830" s="132"/>
      <c r="D5830" s="131"/>
      <c r="E5830" s="110"/>
      <c r="F5830" s="110"/>
      <c r="G5830" s="110"/>
      <c r="H5830" s="131"/>
      <c r="I5830" s="131"/>
      <c r="J5830" s="142"/>
      <c r="K5830" s="142"/>
      <c r="L5830" s="140"/>
      <c r="M5830" s="131"/>
      <c r="N5830" s="131"/>
      <c r="O5830" s="131"/>
      <c r="P5830" s="143"/>
      <c r="Q5830" s="66"/>
      <c r="R5830" s="131"/>
      <c r="S5830" s="144"/>
      <c r="T5830" s="131"/>
      <c r="U5830" s="131"/>
      <c r="V5830" s="131"/>
      <c r="W5830" s="131"/>
      <c r="X5830" s="145"/>
      <c r="Y5830" s="146"/>
      <c r="Z5830" s="147"/>
      <c r="AA5830" s="147"/>
      <c r="AB5830" s="110"/>
      <c r="AC5830" s="132"/>
      <c r="AD5830" s="148"/>
      <c r="AE5830" s="148"/>
    </row>
    <row r="5831" customFormat="false" ht="15" hidden="false" customHeight="true" outlineLevel="0" collapsed="false">
      <c r="A5831" s="141"/>
      <c r="B5831" s="131"/>
      <c r="C5831" s="132"/>
      <c r="D5831" s="131"/>
      <c r="E5831" s="110"/>
      <c r="F5831" s="110"/>
      <c r="G5831" s="110"/>
      <c r="H5831" s="131"/>
      <c r="I5831" s="131"/>
      <c r="J5831" s="142"/>
      <c r="K5831" s="142"/>
      <c r="L5831" s="140"/>
      <c r="M5831" s="131"/>
      <c r="N5831" s="131"/>
      <c r="O5831" s="131"/>
      <c r="P5831" s="143"/>
      <c r="Q5831" s="66"/>
      <c r="R5831" s="131"/>
      <c r="S5831" s="144"/>
      <c r="T5831" s="131"/>
      <c r="U5831" s="131"/>
      <c r="V5831" s="131"/>
      <c r="W5831" s="131"/>
      <c r="X5831" s="145"/>
      <c r="Y5831" s="146"/>
      <c r="Z5831" s="147"/>
      <c r="AA5831" s="147"/>
      <c r="AB5831" s="110"/>
      <c r="AC5831" s="132"/>
      <c r="AD5831" s="148"/>
      <c r="AE5831" s="148"/>
    </row>
    <row r="5832" customFormat="false" ht="15" hidden="false" customHeight="true" outlineLevel="0" collapsed="false">
      <c r="A5832" s="141"/>
      <c r="B5832" s="131"/>
      <c r="C5832" s="132"/>
      <c r="D5832" s="131"/>
      <c r="E5832" s="110"/>
      <c r="F5832" s="110"/>
      <c r="G5832" s="110"/>
      <c r="H5832" s="131"/>
      <c r="I5832" s="131"/>
      <c r="J5832" s="142"/>
      <c r="K5832" s="142"/>
      <c r="L5832" s="140"/>
      <c r="M5832" s="131"/>
      <c r="N5832" s="131"/>
      <c r="O5832" s="131"/>
      <c r="P5832" s="143"/>
      <c r="Q5832" s="66"/>
      <c r="R5832" s="131"/>
      <c r="S5832" s="144"/>
      <c r="T5832" s="131"/>
      <c r="U5832" s="131"/>
      <c r="V5832" s="131"/>
      <c r="W5832" s="131"/>
      <c r="X5832" s="145"/>
      <c r="Y5832" s="146"/>
      <c r="Z5832" s="147"/>
      <c r="AA5832" s="147"/>
      <c r="AB5832" s="110"/>
      <c r="AC5832" s="132"/>
      <c r="AD5832" s="148"/>
      <c r="AE5832" s="148"/>
    </row>
    <row r="5833" customFormat="false" ht="15" hidden="false" customHeight="true" outlineLevel="0" collapsed="false">
      <c r="A5833" s="141"/>
      <c r="B5833" s="131"/>
      <c r="C5833" s="132"/>
      <c r="D5833" s="131"/>
      <c r="E5833" s="110"/>
      <c r="F5833" s="110"/>
      <c r="G5833" s="110"/>
      <c r="H5833" s="131"/>
      <c r="I5833" s="131"/>
      <c r="J5833" s="142"/>
      <c r="K5833" s="142"/>
      <c r="L5833" s="140"/>
      <c r="M5833" s="131"/>
      <c r="N5833" s="131"/>
      <c r="O5833" s="131"/>
      <c r="P5833" s="143"/>
      <c r="Q5833" s="66"/>
      <c r="R5833" s="131"/>
      <c r="S5833" s="144"/>
      <c r="T5833" s="131"/>
      <c r="U5833" s="131"/>
      <c r="V5833" s="131"/>
      <c r="W5833" s="131"/>
      <c r="X5833" s="145"/>
      <c r="Y5833" s="146"/>
      <c r="Z5833" s="147"/>
      <c r="AA5833" s="147"/>
      <c r="AB5833" s="110"/>
      <c r="AC5833" s="132"/>
      <c r="AD5833" s="148"/>
      <c r="AE5833" s="148"/>
    </row>
    <row r="5834" customFormat="false" ht="15" hidden="false" customHeight="true" outlineLevel="0" collapsed="false">
      <c r="A5834" s="141"/>
      <c r="B5834" s="131"/>
      <c r="C5834" s="132"/>
      <c r="D5834" s="131"/>
      <c r="E5834" s="110"/>
      <c r="F5834" s="110"/>
      <c r="G5834" s="110"/>
      <c r="H5834" s="131"/>
      <c r="I5834" s="131"/>
      <c r="J5834" s="142"/>
      <c r="K5834" s="142"/>
      <c r="L5834" s="140"/>
      <c r="M5834" s="131"/>
      <c r="N5834" s="131"/>
      <c r="O5834" s="131"/>
      <c r="P5834" s="143"/>
      <c r="Q5834" s="66"/>
      <c r="R5834" s="131"/>
      <c r="S5834" s="144"/>
      <c r="T5834" s="131"/>
      <c r="U5834" s="131"/>
      <c r="V5834" s="131"/>
      <c r="W5834" s="131"/>
      <c r="X5834" s="145"/>
      <c r="Y5834" s="146"/>
      <c r="Z5834" s="147"/>
      <c r="AA5834" s="147"/>
      <c r="AB5834" s="110"/>
      <c r="AC5834" s="132"/>
      <c r="AD5834" s="148"/>
      <c r="AE5834" s="148"/>
    </row>
    <row r="5835" customFormat="false" ht="15" hidden="false" customHeight="true" outlineLevel="0" collapsed="false">
      <c r="A5835" s="141"/>
      <c r="B5835" s="131"/>
      <c r="C5835" s="132"/>
      <c r="D5835" s="131"/>
      <c r="E5835" s="110"/>
      <c r="F5835" s="110"/>
      <c r="G5835" s="110"/>
      <c r="H5835" s="131"/>
      <c r="I5835" s="131"/>
      <c r="J5835" s="142"/>
      <c r="K5835" s="142"/>
      <c r="L5835" s="140"/>
      <c r="M5835" s="131"/>
      <c r="N5835" s="131"/>
      <c r="O5835" s="131"/>
      <c r="P5835" s="143"/>
      <c r="Q5835" s="66"/>
      <c r="R5835" s="131"/>
      <c r="S5835" s="144"/>
      <c r="T5835" s="131"/>
      <c r="U5835" s="131"/>
      <c r="V5835" s="131"/>
      <c r="W5835" s="131"/>
      <c r="X5835" s="145"/>
      <c r="Y5835" s="146"/>
      <c r="Z5835" s="147"/>
      <c r="AA5835" s="147"/>
      <c r="AB5835" s="110"/>
      <c r="AC5835" s="132"/>
      <c r="AD5835" s="148"/>
      <c r="AE5835" s="148"/>
    </row>
    <row r="5836" customFormat="false" ht="15" hidden="false" customHeight="true" outlineLevel="0" collapsed="false">
      <c r="A5836" s="141"/>
      <c r="B5836" s="131"/>
      <c r="C5836" s="132"/>
      <c r="D5836" s="131"/>
      <c r="E5836" s="110"/>
      <c r="F5836" s="110"/>
      <c r="G5836" s="110"/>
      <c r="H5836" s="131"/>
      <c r="I5836" s="131"/>
      <c r="J5836" s="142"/>
      <c r="K5836" s="142"/>
      <c r="L5836" s="140"/>
      <c r="M5836" s="131"/>
      <c r="N5836" s="131"/>
      <c r="O5836" s="131"/>
      <c r="P5836" s="143"/>
      <c r="Q5836" s="66"/>
      <c r="R5836" s="131"/>
      <c r="S5836" s="144"/>
      <c r="T5836" s="131"/>
      <c r="U5836" s="131"/>
      <c r="V5836" s="131"/>
      <c r="W5836" s="131"/>
      <c r="X5836" s="145"/>
      <c r="Y5836" s="146"/>
      <c r="Z5836" s="147"/>
      <c r="AA5836" s="147"/>
      <c r="AB5836" s="110"/>
      <c r="AC5836" s="132"/>
      <c r="AD5836" s="148"/>
      <c r="AE5836" s="148"/>
    </row>
    <row r="5837" customFormat="false" ht="15" hidden="false" customHeight="true" outlineLevel="0" collapsed="false">
      <c r="A5837" s="141"/>
      <c r="B5837" s="131"/>
      <c r="C5837" s="132"/>
      <c r="D5837" s="131"/>
      <c r="E5837" s="110"/>
      <c r="F5837" s="110"/>
      <c r="G5837" s="110"/>
      <c r="H5837" s="131"/>
      <c r="I5837" s="131"/>
      <c r="J5837" s="142"/>
      <c r="K5837" s="142"/>
      <c r="L5837" s="140"/>
      <c r="M5837" s="131"/>
      <c r="N5837" s="131"/>
      <c r="O5837" s="131"/>
      <c r="P5837" s="143"/>
      <c r="Q5837" s="66"/>
      <c r="R5837" s="131"/>
      <c r="S5837" s="144"/>
      <c r="T5837" s="131"/>
      <c r="U5837" s="131"/>
      <c r="V5837" s="131"/>
      <c r="W5837" s="131"/>
      <c r="X5837" s="145"/>
      <c r="Y5837" s="146"/>
      <c r="Z5837" s="147"/>
      <c r="AA5837" s="147"/>
      <c r="AB5837" s="110"/>
      <c r="AC5837" s="132"/>
      <c r="AD5837" s="148"/>
      <c r="AE5837" s="148"/>
    </row>
    <row r="5838" customFormat="false" ht="15" hidden="false" customHeight="true" outlineLevel="0" collapsed="false">
      <c r="A5838" s="141"/>
      <c r="B5838" s="131"/>
      <c r="C5838" s="132"/>
      <c r="D5838" s="131"/>
      <c r="E5838" s="110"/>
      <c r="F5838" s="110"/>
      <c r="G5838" s="110"/>
      <c r="H5838" s="131"/>
      <c r="I5838" s="131"/>
      <c r="J5838" s="142"/>
      <c r="K5838" s="142"/>
      <c r="L5838" s="140"/>
      <c r="M5838" s="131"/>
      <c r="N5838" s="131"/>
      <c r="O5838" s="131"/>
      <c r="P5838" s="143"/>
      <c r="Q5838" s="66"/>
      <c r="R5838" s="131"/>
      <c r="S5838" s="144"/>
      <c r="T5838" s="131"/>
      <c r="U5838" s="131"/>
      <c r="V5838" s="131"/>
      <c r="W5838" s="131"/>
      <c r="X5838" s="145"/>
      <c r="Y5838" s="146"/>
      <c r="Z5838" s="147"/>
      <c r="AA5838" s="147"/>
      <c r="AB5838" s="110"/>
      <c r="AC5838" s="132"/>
      <c r="AD5838" s="148"/>
      <c r="AE5838" s="148"/>
    </row>
    <row r="5839" customFormat="false" ht="15" hidden="false" customHeight="true" outlineLevel="0" collapsed="false">
      <c r="A5839" s="141"/>
      <c r="B5839" s="131"/>
      <c r="C5839" s="132"/>
      <c r="D5839" s="131"/>
      <c r="E5839" s="110"/>
      <c r="F5839" s="110"/>
      <c r="G5839" s="110"/>
      <c r="H5839" s="131"/>
      <c r="I5839" s="131"/>
      <c r="J5839" s="142"/>
      <c r="K5839" s="142"/>
      <c r="L5839" s="140"/>
      <c r="M5839" s="131"/>
      <c r="N5839" s="131"/>
      <c r="O5839" s="131"/>
      <c r="P5839" s="143"/>
      <c r="Q5839" s="66"/>
      <c r="R5839" s="131"/>
      <c r="S5839" s="144"/>
      <c r="T5839" s="131"/>
      <c r="U5839" s="131"/>
      <c r="V5839" s="131"/>
      <c r="W5839" s="131"/>
      <c r="X5839" s="145"/>
      <c r="Y5839" s="146"/>
      <c r="Z5839" s="147"/>
      <c r="AA5839" s="147"/>
      <c r="AB5839" s="110"/>
      <c r="AC5839" s="132"/>
      <c r="AD5839" s="148"/>
      <c r="AE5839" s="148"/>
    </row>
    <row r="5840" customFormat="false" ht="15" hidden="false" customHeight="true" outlineLevel="0" collapsed="false">
      <c r="A5840" s="141"/>
      <c r="B5840" s="131"/>
      <c r="C5840" s="132"/>
      <c r="D5840" s="131"/>
      <c r="E5840" s="110"/>
      <c r="F5840" s="110"/>
      <c r="G5840" s="110"/>
      <c r="H5840" s="131"/>
      <c r="I5840" s="131"/>
      <c r="J5840" s="142"/>
      <c r="K5840" s="142"/>
      <c r="L5840" s="140"/>
      <c r="M5840" s="131"/>
      <c r="N5840" s="131"/>
      <c r="O5840" s="131"/>
      <c r="P5840" s="143"/>
      <c r="Q5840" s="66"/>
      <c r="R5840" s="131"/>
      <c r="S5840" s="144"/>
      <c r="T5840" s="131"/>
      <c r="U5840" s="131"/>
      <c r="V5840" s="131"/>
      <c r="W5840" s="131"/>
      <c r="X5840" s="145"/>
      <c r="Y5840" s="146"/>
      <c r="Z5840" s="147"/>
      <c r="AA5840" s="147"/>
      <c r="AB5840" s="110"/>
      <c r="AC5840" s="132"/>
      <c r="AD5840" s="148"/>
      <c r="AE5840" s="148"/>
    </row>
    <row r="5841" customFormat="false" ht="15" hidden="false" customHeight="true" outlineLevel="0" collapsed="false">
      <c r="A5841" s="141"/>
      <c r="B5841" s="131"/>
      <c r="C5841" s="132"/>
      <c r="D5841" s="131"/>
      <c r="E5841" s="110"/>
      <c r="F5841" s="110"/>
      <c r="G5841" s="110"/>
      <c r="H5841" s="131"/>
      <c r="I5841" s="131"/>
      <c r="J5841" s="142"/>
      <c r="K5841" s="142"/>
      <c r="L5841" s="140"/>
      <c r="M5841" s="131"/>
      <c r="N5841" s="131"/>
      <c r="O5841" s="131"/>
      <c r="P5841" s="143"/>
      <c r="Q5841" s="66"/>
      <c r="R5841" s="131"/>
      <c r="S5841" s="144"/>
      <c r="T5841" s="131"/>
      <c r="U5841" s="131"/>
      <c r="V5841" s="131"/>
      <c r="W5841" s="131"/>
      <c r="X5841" s="145"/>
      <c r="Y5841" s="146"/>
      <c r="Z5841" s="147"/>
      <c r="AA5841" s="147"/>
      <c r="AB5841" s="110"/>
      <c r="AC5841" s="132"/>
      <c r="AD5841" s="148"/>
      <c r="AE5841" s="148"/>
    </row>
    <row r="5842" customFormat="false" ht="15" hidden="false" customHeight="true" outlineLevel="0" collapsed="false">
      <c r="A5842" s="141"/>
      <c r="B5842" s="131"/>
      <c r="C5842" s="132"/>
      <c r="D5842" s="131"/>
      <c r="E5842" s="110"/>
      <c r="F5842" s="110"/>
      <c r="G5842" s="110"/>
      <c r="H5842" s="131"/>
      <c r="I5842" s="131"/>
      <c r="J5842" s="142"/>
      <c r="K5842" s="142"/>
      <c r="L5842" s="140"/>
      <c r="M5842" s="131"/>
      <c r="N5842" s="131"/>
      <c r="O5842" s="131"/>
      <c r="P5842" s="143"/>
      <c r="Q5842" s="66"/>
      <c r="R5842" s="131"/>
      <c r="S5842" s="144"/>
      <c r="T5842" s="131"/>
      <c r="U5842" s="131"/>
      <c r="V5842" s="131"/>
      <c r="W5842" s="131"/>
      <c r="X5842" s="145"/>
      <c r="Y5842" s="146"/>
      <c r="Z5842" s="147"/>
      <c r="AA5842" s="147"/>
      <c r="AB5842" s="110"/>
      <c r="AC5842" s="132"/>
      <c r="AD5842" s="148"/>
      <c r="AE5842" s="148"/>
    </row>
    <row r="5843" customFormat="false" ht="15" hidden="false" customHeight="true" outlineLevel="0" collapsed="false">
      <c r="A5843" s="141"/>
      <c r="B5843" s="131"/>
      <c r="C5843" s="132"/>
      <c r="D5843" s="131"/>
      <c r="E5843" s="110"/>
      <c r="F5843" s="110"/>
      <c r="G5843" s="110"/>
      <c r="H5843" s="131"/>
      <c r="I5843" s="131"/>
      <c r="J5843" s="142"/>
      <c r="K5843" s="142"/>
      <c r="L5843" s="140"/>
      <c r="M5843" s="131"/>
      <c r="N5843" s="131"/>
      <c r="O5843" s="131"/>
      <c r="P5843" s="143"/>
      <c r="Q5843" s="66"/>
      <c r="R5843" s="131"/>
      <c r="S5843" s="144"/>
      <c r="T5843" s="131"/>
      <c r="U5843" s="131"/>
      <c r="V5843" s="131"/>
      <c r="W5843" s="131"/>
      <c r="X5843" s="145"/>
      <c r="Y5843" s="146"/>
      <c r="Z5843" s="147"/>
      <c r="AA5843" s="147"/>
      <c r="AB5843" s="110"/>
      <c r="AC5843" s="132"/>
      <c r="AD5843" s="148"/>
      <c r="AE5843" s="148"/>
    </row>
    <row r="5844" customFormat="false" ht="15" hidden="false" customHeight="true" outlineLevel="0" collapsed="false">
      <c r="A5844" s="141"/>
      <c r="B5844" s="131"/>
      <c r="C5844" s="132"/>
      <c r="D5844" s="131"/>
      <c r="E5844" s="110"/>
      <c r="F5844" s="110"/>
      <c r="G5844" s="110"/>
      <c r="H5844" s="131"/>
      <c r="I5844" s="131"/>
      <c r="J5844" s="142"/>
      <c r="K5844" s="142"/>
      <c r="L5844" s="140"/>
      <c r="M5844" s="131"/>
      <c r="N5844" s="131"/>
      <c r="O5844" s="131"/>
      <c r="P5844" s="143"/>
      <c r="Q5844" s="66"/>
      <c r="R5844" s="131"/>
      <c r="S5844" s="144"/>
      <c r="T5844" s="131"/>
      <c r="U5844" s="131"/>
      <c r="V5844" s="131"/>
      <c r="W5844" s="131"/>
      <c r="X5844" s="145"/>
      <c r="Y5844" s="146"/>
      <c r="Z5844" s="147"/>
      <c r="AA5844" s="147"/>
      <c r="AB5844" s="110"/>
      <c r="AC5844" s="132"/>
      <c r="AD5844" s="148"/>
      <c r="AE5844" s="148"/>
    </row>
    <row r="5845" customFormat="false" ht="15" hidden="false" customHeight="true" outlineLevel="0" collapsed="false">
      <c r="A5845" s="141"/>
      <c r="B5845" s="131"/>
      <c r="C5845" s="132"/>
      <c r="D5845" s="131"/>
      <c r="E5845" s="110"/>
      <c r="F5845" s="110"/>
      <c r="G5845" s="110"/>
      <c r="H5845" s="131"/>
      <c r="I5845" s="131"/>
      <c r="J5845" s="142"/>
      <c r="K5845" s="142"/>
      <c r="L5845" s="140"/>
      <c r="M5845" s="131"/>
      <c r="N5845" s="131"/>
      <c r="O5845" s="131"/>
      <c r="P5845" s="143"/>
      <c r="Q5845" s="66"/>
      <c r="R5845" s="131"/>
      <c r="S5845" s="144"/>
      <c r="T5845" s="131"/>
      <c r="U5845" s="131"/>
      <c r="V5845" s="131"/>
      <c r="W5845" s="131"/>
      <c r="X5845" s="145"/>
      <c r="Y5845" s="146"/>
      <c r="Z5845" s="147"/>
      <c r="AA5845" s="147"/>
      <c r="AB5845" s="110"/>
      <c r="AC5845" s="132"/>
      <c r="AD5845" s="148"/>
      <c r="AE5845" s="148"/>
    </row>
    <row r="5846" customFormat="false" ht="15" hidden="false" customHeight="true" outlineLevel="0" collapsed="false">
      <c r="A5846" s="141"/>
      <c r="B5846" s="131"/>
      <c r="C5846" s="132"/>
      <c r="D5846" s="131"/>
      <c r="E5846" s="110"/>
      <c r="F5846" s="110"/>
      <c r="G5846" s="110"/>
      <c r="H5846" s="131"/>
      <c r="I5846" s="131"/>
      <c r="J5846" s="142"/>
      <c r="K5846" s="142"/>
      <c r="L5846" s="140"/>
      <c r="M5846" s="131"/>
      <c r="N5846" s="131"/>
      <c r="O5846" s="131"/>
      <c r="P5846" s="143"/>
      <c r="Q5846" s="66"/>
      <c r="R5846" s="131"/>
      <c r="S5846" s="144"/>
      <c r="T5846" s="131"/>
      <c r="U5846" s="131"/>
      <c r="V5846" s="131"/>
      <c r="W5846" s="131"/>
      <c r="X5846" s="145"/>
      <c r="Y5846" s="146"/>
      <c r="Z5846" s="147"/>
      <c r="AA5846" s="147"/>
      <c r="AB5846" s="110"/>
      <c r="AC5846" s="132"/>
      <c r="AD5846" s="148"/>
      <c r="AE5846" s="148"/>
    </row>
    <row r="5847" customFormat="false" ht="15" hidden="false" customHeight="true" outlineLevel="0" collapsed="false">
      <c r="A5847" s="141"/>
      <c r="B5847" s="131"/>
      <c r="C5847" s="132"/>
      <c r="D5847" s="131"/>
      <c r="E5847" s="110"/>
      <c r="F5847" s="110"/>
      <c r="G5847" s="110"/>
      <c r="H5847" s="131"/>
      <c r="I5847" s="131"/>
      <c r="J5847" s="142"/>
      <c r="K5847" s="142"/>
      <c r="L5847" s="140"/>
      <c r="M5847" s="131"/>
      <c r="N5847" s="131"/>
      <c r="O5847" s="131"/>
      <c r="P5847" s="143"/>
      <c r="Q5847" s="66"/>
      <c r="R5847" s="131"/>
      <c r="S5847" s="144"/>
      <c r="T5847" s="131"/>
      <c r="U5847" s="131"/>
      <c r="V5847" s="131"/>
      <c r="W5847" s="131"/>
      <c r="X5847" s="145"/>
      <c r="Y5847" s="146"/>
      <c r="Z5847" s="147"/>
      <c r="AA5847" s="147"/>
      <c r="AB5847" s="110"/>
      <c r="AC5847" s="132"/>
      <c r="AD5847" s="148"/>
      <c r="AE5847" s="148"/>
    </row>
    <row r="5848" customFormat="false" ht="15" hidden="false" customHeight="true" outlineLevel="0" collapsed="false">
      <c r="A5848" s="141"/>
      <c r="B5848" s="131"/>
      <c r="C5848" s="132"/>
      <c r="D5848" s="131"/>
      <c r="E5848" s="110"/>
      <c r="F5848" s="110"/>
      <c r="G5848" s="110"/>
      <c r="H5848" s="131"/>
      <c r="I5848" s="131"/>
      <c r="J5848" s="142"/>
      <c r="K5848" s="142"/>
      <c r="L5848" s="140"/>
      <c r="M5848" s="131"/>
      <c r="N5848" s="131"/>
      <c r="O5848" s="131"/>
      <c r="P5848" s="143"/>
      <c r="Q5848" s="66"/>
      <c r="R5848" s="131"/>
      <c r="S5848" s="144"/>
      <c r="T5848" s="131"/>
      <c r="U5848" s="131"/>
      <c r="V5848" s="131"/>
      <c r="W5848" s="131"/>
      <c r="X5848" s="145"/>
      <c r="Y5848" s="146"/>
      <c r="Z5848" s="147"/>
      <c r="AA5848" s="147"/>
      <c r="AB5848" s="110"/>
      <c r="AC5848" s="132"/>
      <c r="AD5848" s="148"/>
      <c r="AE5848" s="148"/>
    </row>
    <row r="5849" customFormat="false" ht="15" hidden="false" customHeight="true" outlineLevel="0" collapsed="false">
      <c r="A5849" s="141"/>
      <c r="B5849" s="131"/>
      <c r="C5849" s="132"/>
      <c r="D5849" s="131"/>
      <c r="E5849" s="110"/>
      <c r="F5849" s="110"/>
      <c r="G5849" s="110"/>
      <c r="H5849" s="131"/>
      <c r="I5849" s="131"/>
      <c r="J5849" s="142"/>
      <c r="K5849" s="142"/>
      <c r="L5849" s="140"/>
      <c r="M5849" s="131"/>
      <c r="N5849" s="131"/>
      <c r="O5849" s="131"/>
      <c r="P5849" s="143"/>
      <c r="Q5849" s="66"/>
      <c r="R5849" s="131"/>
      <c r="S5849" s="144"/>
      <c r="T5849" s="131"/>
      <c r="U5849" s="131"/>
      <c r="V5849" s="131"/>
      <c r="W5849" s="131"/>
      <c r="X5849" s="145"/>
      <c r="Y5849" s="146"/>
      <c r="Z5849" s="147"/>
      <c r="AA5849" s="147"/>
      <c r="AB5849" s="110"/>
      <c r="AC5849" s="132"/>
      <c r="AD5849" s="148"/>
      <c r="AE5849" s="148"/>
    </row>
    <row r="5850" customFormat="false" ht="15" hidden="false" customHeight="true" outlineLevel="0" collapsed="false">
      <c r="A5850" s="141"/>
      <c r="B5850" s="131"/>
      <c r="C5850" s="132"/>
      <c r="D5850" s="131"/>
      <c r="E5850" s="110"/>
      <c r="F5850" s="110"/>
      <c r="G5850" s="110"/>
      <c r="H5850" s="131"/>
      <c r="I5850" s="131"/>
      <c r="J5850" s="142"/>
      <c r="K5850" s="142"/>
      <c r="L5850" s="140"/>
      <c r="M5850" s="131"/>
      <c r="N5850" s="131"/>
      <c r="O5850" s="131"/>
      <c r="P5850" s="143"/>
      <c r="Q5850" s="66"/>
      <c r="R5850" s="131"/>
      <c r="S5850" s="144"/>
      <c r="T5850" s="131"/>
      <c r="U5850" s="131"/>
      <c r="V5850" s="131"/>
      <c r="W5850" s="131"/>
      <c r="X5850" s="145"/>
      <c r="Y5850" s="146"/>
      <c r="Z5850" s="147"/>
      <c r="AA5850" s="147"/>
      <c r="AB5850" s="110"/>
      <c r="AC5850" s="132"/>
      <c r="AD5850" s="148"/>
      <c r="AE5850" s="148"/>
    </row>
    <row r="5851" customFormat="false" ht="15" hidden="false" customHeight="true" outlineLevel="0" collapsed="false">
      <c r="A5851" s="141"/>
      <c r="B5851" s="131"/>
      <c r="C5851" s="132"/>
      <c r="D5851" s="131"/>
      <c r="E5851" s="110"/>
      <c r="F5851" s="110"/>
      <c r="G5851" s="110"/>
      <c r="H5851" s="131"/>
      <c r="I5851" s="131"/>
      <c r="J5851" s="142"/>
      <c r="K5851" s="142"/>
      <c r="L5851" s="140"/>
      <c r="M5851" s="131"/>
      <c r="N5851" s="131"/>
      <c r="O5851" s="131"/>
      <c r="P5851" s="143"/>
      <c r="Q5851" s="66"/>
      <c r="R5851" s="131"/>
      <c r="S5851" s="144"/>
      <c r="T5851" s="131"/>
      <c r="U5851" s="131"/>
      <c r="V5851" s="131"/>
      <c r="W5851" s="131"/>
      <c r="X5851" s="145"/>
      <c r="Y5851" s="146"/>
      <c r="Z5851" s="147"/>
      <c r="AA5851" s="147"/>
      <c r="AB5851" s="110"/>
      <c r="AC5851" s="132"/>
      <c r="AD5851" s="148"/>
      <c r="AE5851" s="148"/>
    </row>
    <row r="5852" customFormat="false" ht="15" hidden="false" customHeight="true" outlineLevel="0" collapsed="false">
      <c r="A5852" s="141"/>
      <c r="B5852" s="131"/>
      <c r="C5852" s="132"/>
      <c r="D5852" s="131"/>
      <c r="E5852" s="110"/>
      <c r="F5852" s="110"/>
      <c r="G5852" s="110"/>
      <c r="H5852" s="131"/>
      <c r="I5852" s="131"/>
      <c r="J5852" s="142"/>
      <c r="K5852" s="142"/>
      <c r="L5852" s="140"/>
      <c r="M5852" s="131"/>
      <c r="N5852" s="131"/>
      <c r="O5852" s="131"/>
      <c r="P5852" s="143"/>
      <c r="Q5852" s="66"/>
      <c r="R5852" s="131"/>
      <c r="S5852" s="144"/>
      <c r="T5852" s="131"/>
      <c r="U5852" s="131"/>
      <c r="V5852" s="131"/>
      <c r="W5852" s="131"/>
      <c r="X5852" s="145"/>
      <c r="Y5852" s="146"/>
      <c r="Z5852" s="147"/>
      <c r="AA5852" s="147"/>
      <c r="AB5852" s="110"/>
      <c r="AC5852" s="132"/>
      <c r="AD5852" s="148"/>
      <c r="AE5852" s="148"/>
    </row>
    <row r="5853" customFormat="false" ht="15" hidden="false" customHeight="true" outlineLevel="0" collapsed="false">
      <c r="A5853" s="141"/>
      <c r="B5853" s="131"/>
      <c r="C5853" s="132"/>
      <c r="D5853" s="131"/>
      <c r="E5853" s="110"/>
      <c r="F5853" s="110"/>
      <c r="G5853" s="110"/>
      <c r="H5853" s="131"/>
      <c r="I5853" s="131"/>
      <c r="J5853" s="142"/>
      <c r="K5853" s="142"/>
      <c r="L5853" s="140"/>
      <c r="M5853" s="131"/>
      <c r="N5853" s="131"/>
      <c r="O5853" s="131"/>
      <c r="P5853" s="143"/>
      <c r="Q5853" s="66"/>
      <c r="R5853" s="131"/>
      <c r="S5853" s="144"/>
      <c r="T5853" s="131"/>
      <c r="U5853" s="131"/>
      <c r="V5853" s="131"/>
      <c r="W5853" s="131"/>
      <c r="X5853" s="145"/>
      <c r="Y5853" s="146"/>
      <c r="Z5853" s="147"/>
      <c r="AA5853" s="147"/>
      <c r="AB5853" s="110"/>
      <c r="AC5853" s="132"/>
      <c r="AD5853" s="148"/>
      <c r="AE5853" s="148"/>
    </row>
    <row r="5854" customFormat="false" ht="15" hidden="false" customHeight="true" outlineLevel="0" collapsed="false">
      <c r="A5854" s="141"/>
      <c r="B5854" s="131"/>
      <c r="C5854" s="132"/>
      <c r="D5854" s="131"/>
      <c r="E5854" s="110"/>
      <c r="F5854" s="110"/>
      <c r="G5854" s="110"/>
      <c r="H5854" s="131"/>
      <c r="I5854" s="131"/>
      <c r="J5854" s="142"/>
      <c r="K5854" s="142"/>
      <c r="L5854" s="140"/>
      <c r="M5854" s="131"/>
      <c r="N5854" s="131"/>
      <c r="O5854" s="131"/>
      <c r="P5854" s="143"/>
      <c r="Q5854" s="66"/>
      <c r="R5854" s="131"/>
      <c r="S5854" s="144"/>
      <c r="T5854" s="131"/>
      <c r="U5854" s="131"/>
      <c r="V5854" s="131"/>
      <c r="W5854" s="131"/>
      <c r="X5854" s="145"/>
      <c r="Y5854" s="146"/>
      <c r="Z5854" s="147"/>
      <c r="AA5854" s="147"/>
      <c r="AB5854" s="110"/>
      <c r="AC5854" s="132"/>
      <c r="AD5854" s="148"/>
      <c r="AE5854" s="148"/>
    </row>
    <row r="5855" customFormat="false" ht="15" hidden="false" customHeight="true" outlineLevel="0" collapsed="false">
      <c r="A5855" s="141"/>
      <c r="B5855" s="131"/>
      <c r="C5855" s="132"/>
      <c r="D5855" s="131"/>
      <c r="E5855" s="110"/>
      <c r="F5855" s="110"/>
      <c r="G5855" s="110"/>
      <c r="H5855" s="131"/>
      <c r="I5855" s="131"/>
      <c r="J5855" s="142"/>
      <c r="K5855" s="142"/>
      <c r="L5855" s="140"/>
      <c r="M5855" s="131"/>
      <c r="N5855" s="131"/>
      <c r="O5855" s="131"/>
      <c r="P5855" s="143"/>
      <c r="Q5855" s="66"/>
      <c r="R5855" s="131"/>
      <c r="S5855" s="144"/>
      <c r="T5855" s="131"/>
      <c r="U5855" s="131"/>
      <c r="V5855" s="131"/>
      <c r="W5855" s="131"/>
      <c r="X5855" s="145"/>
      <c r="Y5855" s="146"/>
      <c r="Z5855" s="147"/>
      <c r="AA5855" s="147"/>
      <c r="AB5855" s="110"/>
      <c r="AC5855" s="132"/>
      <c r="AD5855" s="148"/>
      <c r="AE5855" s="148"/>
    </row>
    <row r="5856" customFormat="false" ht="15" hidden="false" customHeight="true" outlineLevel="0" collapsed="false">
      <c r="A5856" s="141"/>
      <c r="B5856" s="131"/>
      <c r="C5856" s="132"/>
      <c r="D5856" s="131"/>
      <c r="E5856" s="110"/>
      <c r="F5856" s="110"/>
      <c r="G5856" s="110"/>
      <c r="H5856" s="131"/>
      <c r="I5856" s="131"/>
      <c r="J5856" s="142"/>
      <c r="K5856" s="142"/>
      <c r="L5856" s="140"/>
      <c r="M5856" s="131"/>
      <c r="N5856" s="131"/>
      <c r="O5856" s="131"/>
      <c r="P5856" s="143"/>
      <c r="Q5856" s="66"/>
      <c r="R5856" s="131"/>
      <c r="S5856" s="144"/>
      <c r="T5856" s="131"/>
      <c r="U5856" s="131"/>
      <c r="V5856" s="131"/>
      <c r="W5856" s="131"/>
      <c r="X5856" s="145"/>
      <c r="Y5856" s="146"/>
      <c r="Z5856" s="147"/>
      <c r="AA5856" s="147"/>
      <c r="AB5856" s="110"/>
      <c r="AC5856" s="132"/>
      <c r="AD5856" s="148"/>
      <c r="AE5856" s="148"/>
    </row>
    <row r="5857" customFormat="false" ht="15" hidden="false" customHeight="true" outlineLevel="0" collapsed="false">
      <c r="A5857" s="141"/>
      <c r="B5857" s="131"/>
      <c r="C5857" s="132"/>
      <c r="D5857" s="131"/>
      <c r="E5857" s="110"/>
      <c r="F5857" s="110"/>
      <c r="G5857" s="110"/>
      <c r="H5857" s="131"/>
      <c r="I5857" s="131"/>
      <c r="J5857" s="142"/>
      <c r="K5857" s="142"/>
      <c r="L5857" s="140"/>
      <c r="M5857" s="131"/>
      <c r="N5857" s="131"/>
      <c r="O5857" s="131"/>
      <c r="P5857" s="143"/>
      <c r="Q5857" s="66"/>
      <c r="R5857" s="131"/>
      <c r="S5857" s="144"/>
      <c r="T5857" s="131"/>
      <c r="U5857" s="131"/>
      <c r="V5857" s="131"/>
      <c r="W5857" s="131"/>
      <c r="X5857" s="145"/>
      <c r="Y5857" s="146"/>
      <c r="Z5857" s="147"/>
      <c r="AA5857" s="147"/>
      <c r="AB5857" s="110"/>
      <c r="AC5857" s="132"/>
      <c r="AD5857" s="148"/>
      <c r="AE5857" s="148"/>
    </row>
    <row r="5858" customFormat="false" ht="15" hidden="false" customHeight="true" outlineLevel="0" collapsed="false">
      <c r="A5858" s="141"/>
      <c r="B5858" s="131"/>
      <c r="C5858" s="132"/>
      <c r="D5858" s="131"/>
      <c r="E5858" s="110"/>
      <c r="F5858" s="110"/>
      <c r="G5858" s="110"/>
      <c r="H5858" s="131"/>
      <c r="I5858" s="131"/>
      <c r="J5858" s="142"/>
      <c r="K5858" s="142"/>
      <c r="L5858" s="140"/>
      <c r="M5858" s="131"/>
      <c r="N5858" s="131"/>
      <c r="O5858" s="131"/>
      <c r="P5858" s="143"/>
      <c r="Q5858" s="66"/>
      <c r="R5858" s="131"/>
      <c r="S5858" s="144"/>
      <c r="T5858" s="131"/>
      <c r="U5858" s="131"/>
      <c r="V5858" s="131"/>
      <c r="W5858" s="131"/>
      <c r="X5858" s="145"/>
      <c r="Y5858" s="146"/>
      <c r="Z5858" s="147"/>
      <c r="AA5858" s="147"/>
      <c r="AB5858" s="110"/>
      <c r="AC5858" s="132"/>
      <c r="AD5858" s="148"/>
      <c r="AE5858" s="148"/>
    </row>
    <row r="5859" customFormat="false" ht="15" hidden="false" customHeight="true" outlineLevel="0" collapsed="false">
      <c r="A5859" s="141"/>
      <c r="B5859" s="131"/>
      <c r="C5859" s="132"/>
      <c r="D5859" s="131"/>
      <c r="E5859" s="110"/>
      <c r="F5859" s="110"/>
      <c r="G5859" s="110"/>
      <c r="H5859" s="131"/>
      <c r="I5859" s="131"/>
      <c r="J5859" s="142"/>
      <c r="K5859" s="142"/>
      <c r="L5859" s="140"/>
      <c r="M5859" s="131"/>
      <c r="N5859" s="131"/>
      <c r="O5859" s="131"/>
      <c r="P5859" s="143"/>
      <c r="Q5859" s="66"/>
      <c r="R5859" s="131"/>
      <c r="S5859" s="144"/>
      <c r="T5859" s="131"/>
      <c r="U5859" s="131"/>
      <c r="V5859" s="131"/>
      <c r="W5859" s="131"/>
      <c r="X5859" s="145"/>
      <c r="Y5859" s="146"/>
      <c r="Z5859" s="147"/>
      <c r="AA5859" s="147"/>
      <c r="AB5859" s="110"/>
      <c r="AC5859" s="132"/>
      <c r="AD5859" s="148"/>
      <c r="AE5859" s="148"/>
    </row>
    <row r="5860" customFormat="false" ht="15" hidden="false" customHeight="true" outlineLevel="0" collapsed="false">
      <c r="A5860" s="141"/>
      <c r="B5860" s="131"/>
      <c r="C5860" s="132"/>
      <c r="D5860" s="131"/>
      <c r="E5860" s="110"/>
      <c r="F5860" s="110"/>
      <c r="G5860" s="110"/>
      <c r="H5860" s="131"/>
      <c r="I5860" s="131"/>
      <c r="J5860" s="142"/>
      <c r="K5860" s="142"/>
      <c r="L5860" s="140"/>
      <c r="M5860" s="131"/>
      <c r="N5860" s="131"/>
      <c r="O5860" s="131"/>
      <c r="P5860" s="143"/>
      <c r="Q5860" s="66"/>
      <c r="R5860" s="131"/>
      <c r="S5860" s="144"/>
      <c r="T5860" s="131"/>
      <c r="U5860" s="131"/>
      <c r="V5860" s="131"/>
      <c r="W5860" s="131"/>
      <c r="X5860" s="145"/>
      <c r="Y5860" s="146"/>
      <c r="Z5860" s="147"/>
      <c r="AA5860" s="147"/>
      <c r="AB5860" s="110"/>
      <c r="AC5860" s="132"/>
      <c r="AD5860" s="148"/>
      <c r="AE5860" s="148"/>
    </row>
    <row r="5861" customFormat="false" ht="15" hidden="false" customHeight="true" outlineLevel="0" collapsed="false">
      <c r="A5861" s="141"/>
      <c r="B5861" s="131"/>
      <c r="C5861" s="132"/>
      <c r="D5861" s="131"/>
      <c r="E5861" s="110"/>
      <c r="F5861" s="110"/>
      <c r="G5861" s="110"/>
      <c r="H5861" s="131"/>
      <c r="I5861" s="131"/>
      <c r="J5861" s="142"/>
      <c r="K5861" s="142"/>
      <c r="L5861" s="140"/>
      <c r="M5861" s="131"/>
      <c r="N5861" s="131"/>
      <c r="O5861" s="131"/>
      <c r="P5861" s="143"/>
      <c r="Q5861" s="66"/>
      <c r="R5861" s="131"/>
      <c r="S5861" s="144"/>
      <c r="T5861" s="131"/>
      <c r="U5861" s="131"/>
      <c r="V5861" s="131"/>
      <c r="W5861" s="131"/>
      <c r="X5861" s="145"/>
      <c r="Y5861" s="146"/>
      <c r="Z5861" s="147"/>
      <c r="AA5861" s="147"/>
      <c r="AB5861" s="110"/>
      <c r="AC5861" s="132"/>
      <c r="AD5861" s="148"/>
      <c r="AE5861" s="148"/>
    </row>
    <row r="5862" customFormat="false" ht="15" hidden="false" customHeight="true" outlineLevel="0" collapsed="false">
      <c r="A5862" s="141"/>
      <c r="B5862" s="131"/>
      <c r="C5862" s="132"/>
      <c r="D5862" s="131"/>
      <c r="E5862" s="110"/>
      <c r="F5862" s="110"/>
      <c r="G5862" s="110"/>
      <c r="H5862" s="131"/>
      <c r="I5862" s="131"/>
      <c r="J5862" s="142"/>
      <c r="K5862" s="142"/>
      <c r="L5862" s="140"/>
      <c r="M5862" s="131"/>
      <c r="N5862" s="131"/>
      <c r="O5862" s="131"/>
      <c r="P5862" s="143"/>
      <c r="Q5862" s="66"/>
      <c r="R5862" s="131"/>
      <c r="S5862" s="144"/>
      <c r="T5862" s="131"/>
      <c r="U5862" s="131"/>
      <c r="V5862" s="131"/>
      <c r="W5862" s="131"/>
      <c r="X5862" s="145"/>
      <c r="Y5862" s="146"/>
      <c r="Z5862" s="147"/>
      <c r="AA5862" s="147"/>
      <c r="AB5862" s="110"/>
      <c r="AC5862" s="132"/>
      <c r="AD5862" s="148"/>
      <c r="AE5862" s="148"/>
    </row>
    <row r="5863" customFormat="false" ht="15" hidden="false" customHeight="true" outlineLevel="0" collapsed="false">
      <c r="A5863" s="141"/>
      <c r="B5863" s="131"/>
      <c r="C5863" s="132"/>
      <c r="D5863" s="131"/>
      <c r="E5863" s="110"/>
      <c r="F5863" s="110"/>
      <c r="G5863" s="110"/>
      <c r="H5863" s="131"/>
      <c r="I5863" s="131"/>
      <c r="J5863" s="142"/>
      <c r="K5863" s="142"/>
      <c r="L5863" s="140"/>
      <c r="M5863" s="131"/>
      <c r="N5863" s="131"/>
      <c r="O5863" s="131"/>
      <c r="P5863" s="143"/>
      <c r="Q5863" s="66"/>
      <c r="R5863" s="131"/>
      <c r="S5863" s="144"/>
      <c r="T5863" s="131"/>
      <c r="U5863" s="131"/>
      <c r="V5863" s="131"/>
      <c r="W5863" s="131"/>
      <c r="X5863" s="145"/>
      <c r="Y5863" s="146"/>
      <c r="Z5863" s="147"/>
      <c r="AA5863" s="147"/>
      <c r="AB5863" s="110"/>
      <c r="AC5863" s="132"/>
      <c r="AD5863" s="148"/>
      <c r="AE5863" s="148"/>
    </row>
    <row r="5864" customFormat="false" ht="15" hidden="false" customHeight="true" outlineLevel="0" collapsed="false">
      <c r="A5864" s="141"/>
      <c r="B5864" s="131"/>
      <c r="C5864" s="132"/>
      <c r="D5864" s="131"/>
      <c r="E5864" s="110"/>
      <c r="F5864" s="110"/>
      <c r="G5864" s="110"/>
      <c r="H5864" s="131"/>
      <c r="I5864" s="131"/>
      <c r="J5864" s="142"/>
      <c r="K5864" s="142"/>
      <c r="L5864" s="140"/>
      <c r="M5864" s="131"/>
      <c r="N5864" s="131"/>
      <c r="O5864" s="131"/>
      <c r="P5864" s="143"/>
      <c r="Q5864" s="66"/>
      <c r="R5864" s="131"/>
      <c r="S5864" s="144"/>
      <c r="T5864" s="131"/>
      <c r="U5864" s="131"/>
      <c r="V5864" s="131"/>
      <c r="W5864" s="131"/>
      <c r="X5864" s="145"/>
      <c r="Y5864" s="146"/>
      <c r="Z5864" s="147"/>
      <c r="AA5864" s="147"/>
      <c r="AB5864" s="110"/>
      <c r="AC5864" s="132"/>
      <c r="AD5864" s="148"/>
      <c r="AE5864" s="148"/>
    </row>
    <row r="5865" customFormat="false" ht="15" hidden="false" customHeight="true" outlineLevel="0" collapsed="false">
      <c r="A5865" s="141"/>
      <c r="B5865" s="131"/>
      <c r="C5865" s="132"/>
      <c r="D5865" s="131"/>
      <c r="E5865" s="110"/>
      <c r="F5865" s="110"/>
      <c r="G5865" s="110"/>
      <c r="H5865" s="131"/>
      <c r="I5865" s="131"/>
      <c r="J5865" s="142"/>
      <c r="K5865" s="142"/>
      <c r="L5865" s="140"/>
      <c r="M5865" s="131"/>
      <c r="N5865" s="131"/>
      <c r="O5865" s="131"/>
      <c r="P5865" s="143"/>
      <c r="Q5865" s="66"/>
      <c r="R5865" s="131"/>
      <c r="S5865" s="144"/>
      <c r="T5865" s="131"/>
      <c r="U5865" s="131"/>
      <c r="V5865" s="131"/>
      <c r="W5865" s="131"/>
      <c r="X5865" s="145"/>
      <c r="Y5865" s="146"/>
      <c r="Z5865" s="147"/>
      <c r="AA5865" s="147"/>
      <c r="AB5865" s="110"/>
      <c r="AC5865" s="132"/>
      <c r="AD5865" s="148"/>
      <c r="AE5865" s="148"/>
    </row>
    <row r="5866" customFormat="false" ht="15" hidden="false" customHeight="true" outlineLevel="0" collapsed="false">
      <c r="A5866" s="141"/>
      <c r="B5866" s="131"/>
      <c r="C5866" s="132"/>
      <c r="D5866" s="131"/>
      <c r="E5866" s="110"/>
      <c r="F5866" s="110"/>
      <c r="G5866" s="110"/>
      <c r="H5866" s="131"/>
      <c r="I5866" s="131"/>
      <c r="J5866" s="142"/>
      <c r="K5866" s="142"/>
      <c r="L5866" s="140"/>
      <c r="M5866" s="131"/>
      <c r="N5866" s="131"/>
      <c r="O5866" s="131"/>
      <c r="P5866" s="143"/>
      <c r="Q5866" s="66"/>
      <c r="R5866" s="131"/>
      <c r="S5866" s="144"/>
      <c r="T5866" s="131"/>
      <c r="U5866" s="131"/>
      <c r="V5866" s="131"/>
      <c r="W5866" s="131"/>
      <c r="X5866" s="145"/>
      <c r="Y5866" s="146"/>
      <c r="Z5866" s="147"/>
      <c r="AA5866" s="147"/>
      <c r="AB5866" s="110"/>
      <c r="AC5866" s="132"/>
      <c r="AD5866" s="148"/>
      <c r="AE5866" s="148"/>
    </row>
    <row r="5867" customFormat="false" ht="15" hidden="false" customHeight="true" outlineLevel="0" collapsed="false">
      <c r="A5867" s="141"/>
      <c r="B5867" s="131"/>
      <c r="C5867" s="132"/>
      <c r="D5867" s="131"/>
      <c r="E5867" s="110"/>
      <c r="F5867" s="110"/>
      <c r="G5867" s="110"/>
      <c r="H5867" s="131"/>
      <c r="I5867" s="131"/>
      <c r="J5867" s="142"/>
      <c r="K5867" s="142"/>
      <c r="L5867" s="140"/>
      <c r="M5867" s="131"/>
      <c r="N5867" s="131"/>
      <c r="O5867" s="131"/>
      <c r="P5867" s="143"/>
      <c r="Q5867" s="66"/>
      <c r="R5867" s="131"/>
      <c r="S5867" s="144"/>
      <c r="T5867" s="131"/>
      <c r="U5867" s="131"/>
      <c r="V5867" s="131"/>
      <c r="W5867" s="131"/>
      <c r="X5867" s="145"/>
      <c r="Y5867" s="146"/>
      <c r="Z5867" s="147"/>
      <c r="AA5867" s="147"/>
      <c r="AB5867" s="110"/>
      <c r="AC5867" s="132"/>
      <c r="AD5867" s="148"/>
      <c r="AE5867" s="148"/>
    </row>
    <row r="5868" customFormat="false" ht="15" hidden="false" customHeight="true" outlineLevel="0" collapsed="false">
      <c r="A5868" s="141"/>
      <c r="B5868" s="131"/>
      <c r="C5868" s="132"/>
      <c r="D5868" s="131"/>
      <c r="E5868" s="110"/>
      <c r="F5868" s="110"/>
      <c r="G5868" s="110"/>
      <c r="H5868" s="131"/>
      <c r="I5868" s="131"/>
      <c r="J5868" s="142"/>
      <c r="K5868" s="142"/>
      <c r="L5868" s="140"/>
      <c r="M5868" s="131"/>
      <c r="N5868" s="131"/>
      <c r="O5868" s="131"/>
      <c r="P5868" s="143"/>
      <c r="Q5868" s="66"/>
      <c r="R5868" s="131"/>
      <c r="S5868" s="144"/>
      <c r="T5868" s="131"/>
      <c r="U5868" s="131"/>
      <c r="V5868" s="131"/>
      <c r="W5868" s="131"/>
      <c r="X5868" s="145"/>
      <c r="Y5868" s="146"/>
      <c r="Z5868" s="147"/>
      <c r="AA5868" s="147"/>
      <c r="AB5868" s="110"/>
      <c r="AC5868" s="132"/>
      <c r="AD5868" s="148"/>
      <c r="AE5868" s="148"/>
    </row>
    <row r="5869" customFormat="false" ht="15" hidden="false" customHeight="true" outlineLevel="0" collapsed="false">
      <c r="A5869" s="141"/>
      <c r="B5869" s="131"/>
      <c r="C5869" s="132"/>
      <c r="D5869" s="131"/>
      <c r="E5869" s="110"/>
      <c r="F5869" s="110"/>
      <c r="G5869" s="110"/>
      <c r="H5869" s="131"/>
      <c r="I5869" s="131"/>
      <c r="J5869" s="142"/>
      <c r="K5869" s="142"/>
      <c r="L5869" s="140"/>
      <c r="M5869" s="131"/>
      <c r="N5869" s="131"/>
      <c r="O5869" s="131"/>
      <c r="P5869" s="143"/>
      <c r="Q5869" s="66"/>
      <c r="R5869" s="131"/>
      <c r="S5869" s="144"/>
      <c r="T5869" s="131"/>
      <c r="U5869" s="131"/>
      <c r="V5869" s="131"/>
      <c r="W5869" s="131"/>
      <c r="X5869" s="145"/>
      <c r="Y5869" s="146"/>
      <c r="Z5869" s="147"/>
      <c r="AA5869" s="147"/>
      <c r="AB5869" s="110"/>
      <c r="AC5869" s="132"/>
      <c r="AD5869" s="148"/>
      <c r="AE5869" s="148"/>
    </row>
    <row r="5870" customFormat="false" ht="15" hidden="false" customHeight="true" outlineLevel="0" collapsed="false">
      <c r="A5870" s="141"/>
      <c r="B5870" s="131"/>
      <c r="C5870" s="132"/>
      <c r="D5870" s="131"/>
      <c r="E5870" s="110"/>
      <c r="F5870" s="110"/>
      <c r="G5870" s="110"/>
      <c r="H5870" s="131"/>
      <c r="I5870" s="131"/>
      <c r="J5870" s="142"/>
      <c r="K5870" s="142"/>
      <c r="L5870" s="140"/>
      <c r="M5870" s="131"/>
      <c r="N5870" s="131"/>
      <c r="O5870" s="131"/>
      <c r="P5870" s="143"/>
      <c r="Q5870" s="66"/>
      <c r="R5870" s="131"/>
      <c r="S5870" s="144"/>
      <c r="T5870" s="131"/>
      <c r="U5870" s="131"/>
      <c r="V5870" s="131"/>
      <c r="W5870" s="131"/>
      <c r="X5870" s="145"/>
      <c r="Y5870" s="146"/>
      <c r="Z5870" s="147"/>
      <c r="AA5870" s="147"/>
      <c r="AB5870" s="110"/>
      <c r="AC5870" s="132"/>
      <c r="AD5870" s="148"/>
      <c r="AE5870" s="148"/>
    </row>
    <row r="5871" customFormat="false" ht="15" hidden="false" customHeight="true" outlineLevel="0" collapsed="false">
      <c r="A5871" s="141"/>
      <c r="B5871" s="131"/>
      <c r="C5871" s="132"/>
      <c r="D5871" s="131"/>
      <c r="E5871" s="110"/>
      <c r="F5871" s="110"/>
      <c r="G5871" s="110"/>
      <c r="H5871" s="131"/>
      <c r="I5871" s="131"/>
      <c r="J5871" s="142"/>
      <c r="K5871" s="142"/>
      <c r="L5871" s="140"/>
      <c r="M5871" s="131"/>
      <c r="N5871" s="131"/>
      <c r="O5871" s="131"/>
      <c r="P5871" s="143"/>
      <c r="Q5871" s="66"/>
      <c r="R5871" s="131"/>
      <c r="S5871" s="144"/>
      <c r="T5871" s="131"/>
      <c r="U5871" s="131"/>
      <c r="V5871" s="131"/>
      <c r="W5871" s="131"/>
      <c r="X5871" s="145"/>
      <c r="Y5871" s="146"/>
      <c r="Z5871" s="147"/>
      <c r="AA5871" s="147"/>
      <c r="AB5871" s="110"/>
      <c r="AC5871" s="132"/>
      <c r="AD5871" s="148"/>
      <c r="AE5871" s="148"/>
    </row>
    <row r="5872" customFormat="false" ht="15" hidden="false" customHeight="true" outlineLevel="0" collapsed="false">
      <c r="A5872" s="141"/>
      <c r="B5872" s="131"/>
      <c r="C5872" s="132"/>
      <c r="D5872" s="131"/>
      <c r="E5872" s="110"/>
      <c r="F5872" s="110"/>
      <c r="G5872" s="110"/>
      <c r="H5872" s="131"/>
      <c r="I5872" s="131"/>
      <c r="J5872" s="142"/>
      <c r="K5872" s="142"/>
      <c r="L5872" s="140"/>
      <c r="M5872" s="131"/>
      <c r="N5872" s="131"/>
      <c r="O5872" s="131"/>
      <c r="P5872" s="143"/>
      <c r="Q5872" s="66"/>
      <c r="R5872" s="131"/>
      <c r="S5872" s="144"/>
      <c r="T5872" s="131"/>
      <c r="U5872" s="131"/>
      <c r="V5872" s="131"/>
      <c r="W5872" s="131"/>
      <c r="X5872" s="145"/>
      <c r="Y5872" s="146"/>
      <c r="Z5872" s="147"/>
      <c r="AA5872" s="147"/>
      <c r="AB5872" s="110"/>
      <c r="AC5872" s="132"/>
      <c r="AD5872" s="148"/>
      <c r="AE5872" s="148"/>
    </row>
    <row r="5873" customFormat="false" ht="15" hidden="false" customHeight="true" outlineLevel="0" collapsed="false">
      <c r="A5873" s="141"/>
      <c r="B5873" s="131"/>
      <c r="C5873" s="132"/>
      <c r="D5873" s="131"/>
      <c r="E5873" s="110"/>
      <c r="F5873" s="110"/>
      <c r="G5873" s="110"/>
      <c r="H5873" s="131"/>
      <c r="I5873" s="131"/>
      <c r="J5873" s="142"/>
      <c r="K5873" s="142"/>
      <c r="L5873" s="140"/>
      <c r="M5873" s="131"/>
      <c r="N5873" s="131"/>
      <c r="O5873" s="131"/>
      <c r="P5873" s="143"/>
      <c r="Q5873" s="66"/>
      <c r="R5873" s="131"/>
      <c r="S5873" s="144"/>
      <c r="T5873" s="131"/>
      <c r="U5873" s="131"/>
      <c r="V5873" s="131"/>
      <c r="W5873" s="131"/>
      <c r="X5873" s="145"/>
      <c r="Y5873" s="146"/>
      <c r="Z5873" s="147"/>
      <c r="AA5873" s="147"/>
      <c r="AB5873" s="110"/>
      <c r="AC5873" s="132"/>
      <c r="AD5873" s="148"/>
      <c r="AE5873" s="148"/>
    </row>
    <row r="5874" customFormat="false" ht="15" hidden="false" customHeight="true" outlineLevel="0" collapsed="false">
      <c r="A5874" s="141"/>
      <c r="B5874" s="131"/>
      <c r="C5874" s="132"/>
      <c r="D5874" s="131"/>
      <c r="E5874" s="110"/>
      <c r="F5874" s="110"/>
      <c r="G5874" s="110"/>
      <c r="H5874" s="131"/>
      <c r="I5874" s="131"/>
      <c r="J5874" s="142"/>
      <c r="K5874" s="142"/>
      <c r="L5874" s="140"/>
      <c r="M5874" s="131"/>
      <c r="N5874" s="131"/>
      <c r="O5874" s="131"/>
      <c r="P5874" s="143"/>
      <c r="Q5874" s="66"/>
      <c r="R5874" s="131"/>
      <c r="S5874" s="144"/>
      <c r="T5874" s="131"/>
      <c r="U5874" s="131"/>
      <c r="V5874" s="131"/>
      <c r="W5874" s="131"/>
      <c r="X5874" s="145"/>
      <c r="Y5874" s="146"/>
      <c r="Z5874" s="147"/>
      <c r="AA5874" s="147"/>
      <c r="AB5874" s="110"/>
      <c r="AC5874" s="132"/>
      <c r="AD5874" s="148"/>
      <c r="AE5874" s="148"/>
    </row>
    <row r="5875" customFormat="false" ht="15" hidden="false" customHeight="true" outlineLevel="0" collapsed="false">
      <c r="A5875" s="141"/>
      <c r="B5875" s="131"/>
      <c r="C5875" s="132"/>
      <c r="D5875" s="131"/>
      <c r="E5875" s="110"/>
      <c r="F5875" s="110"/>
      <c r="G5875" s="110"/>
      <c r="H5875" s="131"/>
      <c r="I5875" s="131"/>
      <c r="J5875" s="142"/>
      <c r="K5875" s="142"/>
      <c r="L5875" s="140"/>
      <c r="M5875" s="131"/>
      <c r="N5875" s="131"/>
      <c r="O5875" s="131"/>
      <c r="P5875" s="143"/>
      <c r="Q5875" s="66"/>
      <c r="R5875" s="131"/>
      <c r="S5875" s="144"/>
      <c r="T5875" s="131"/>
      <c r="U5875" s="131"/>
      <c r="V5875" s="131"/>
      <c r="W5875" s="131"/>
      <c r="X5875" s="145"/>
      <c r="Y5875" s="146"/>
      <c r="Z5875" s="147"/>
      <c r="AA5875" s="147"/>
      <c r="AB5875" s="110"/>
      <c r="AC5875" s="132"/>
      <c r="AD5875" s="148"/>
      <c r="AE5875" s="148"/>
    </row>
    <row r="5876" customFormat="false" ht="15" hidden="false" customHeight="true" outlineLevel="0" collapsed="false">
      <c r="A5876" s="141"/>
      <c r="B5876" s="131"/>
      <c r="C5876" s="132"/>
      <c r="D5876" s="131"/>
      <c r="E5876" s="110"/>
      <c r="F5876" s="110"/>
      <c r="G5876" s="110"/>
      <c r="H5876" s="131"/>
      <c r="I5876" s="131"/>
      <c r="J5876" s="142"/>
      <c r="K5876" s="142"/>
      <c r="L5876" s="140"/>
      <c r="M5876" s="131"/>
      <c r="N5876" s="131"/>
      <c r="O5876" s="131"/>
      <c r="P5876" s="143"/>
      <c r="Q5876" s="66"/>
      <c r="R5876" s="131"/>
      <c r="S5876" s="144"/>
      <c r="T5876" s="131"/>
      <c r="U5876" s="131"/>
      <c r="V5876" s="131"/>
      <c r="W5876" s="131"/>
      <c r="X5876" s="145"/>
      <c r="Y5876" s="146"/>
      <c r="Z5876" s="147"/>
      <c r="AA5876" s="147"/>
      <c r="AB5876" s="110"/>
      <c r="AC5876" s="132"/>
      <c r="AD5876" s="148"/>
      <c r="AE5876" s="148"/>
    </row>
    <row r="5877" customFormat="false" ht="15" hidden="false" customHeight="true" outlineLevel="0" collapsed="false">
      <c r="A5877" s="141"/>
      <c r="B5877" s="131"/>
      <c r="C5877" s="132"/>
      <c r="D5877" s="131"/>
      <c r="E5877" s="110"/>
      <c r="F5877" s="110"/>
      <c r="G5877" s="110"/>
      <c r="H5877" s="131"/>
      <c r="I5877" s="131"/>
      <c r="J5877" s="142"/>
      <c r="K5877" s="142"/>
      <c r="L5877" s="140"/>
      <c r="M5877" s="131"/>
      <c r="N5877" s="131"/>
      <c r="O5877" s="131"/>
      <c r="P5877" s="143"/>
      <c r="Q5877" s="66"/>
      <c r="R5877" s="131"/>
      <c r="S5877" s="144"/>
      <c r="T5877" s="131"/>
      <c r="U5877" s="131"/>
      <c r="V5877" s="131"/>
      <c r="W5877" s="131"/>
      <c r="X5877" s="145"/>
      <c r="Y5877" s="146"/>
      <c r="Z5877" s="147"/>
      <c r="AA5877" s="147"/>
      <c r="AB5877" s="110"/>
      <c r="AC5877" s="132"/>
      <c r="AD5877" s="148"/>
      <c r="AE5877" s="148"/>
    </row>
    <row r="5878" customFormat="false" ht="15" hidden="false" customHeight="true" outlineLevel="0" collapsed="false">
      <c r="A5878" s="141"/>
      <c r="B5878" s="131"/>
      <c r="C5878" s="132"/>
      <c r="D5878" s="131"/>
      <c r="E5878" s="110"/>
      <c r="F5878" s="110"/>
      <c r="G5878" s="110"/>
      <c r="H5878" s="131"/>
      <c r="I5878" s="131"/>
      <c r="J5878" s="142"/>
      <c r="K5878" s="142"/>
      <c r="L5878" s="140"/>
      <c r="M5878" s="131"/>
      <c r="N5878" s="131"/>
      <c r="O5878" s="131"/>
      <c r="P5878" s="143"/>
      <c r="Q5878" s="66"/>
      <c r="R5878" s="131"/>
      <c r="S5878" s="144"/>
      <c r="T5878" s="131"/>
      <c r="U5878" s="131"/>
      <c r="V5878" s="131"/>
      <c r="W5878" s="131"/>
      <c r="X5878" s="145"/>
      <c r="Y5878" s="146"/>
      <c r="Z5878" s="147"/>
      <c r="AA5878" s="147"/>
      <c r="AB5878" s="110"/>
      <c r="AC5878" s="132"/>
      <c r="AD5878" s="148"/>
      <c r="AE5878" s="148"/>
    </row>
    <row r="5879" customFormat="false" ht="15" hidden="false" customHeight="true" outlineLevel="0" collapsed="false">
      <c r="A5879" s="141"/>
      <c r="B5879" s="131"/>
      <c r="C5879" s="132"/>
      <c r="D5879" s="131"/>
      <c r="E5879" s="110"/>
      <c r="F5879" s="110"/>
      <c r="G5879" s="110"/>
      <c r="H5879" s="131"/>
      <c r="I5879" s="131"/>
      <c r="J5879" s="142"/>
      <c r="K5879" s="142"/>
      <c r="L5879" s="140"/>
      <c r="M5879" s="131"/>
      <c r="N5879" s="131"/>
      <c r="O5879" s="131"/>
      <c r="P5879" s="143"/>
      <c r="Q5879" s="66"/>
      <c r="R5879" s="131"/>
      <c r="S5879" s="144"/>
      <c r="T5879" s="131"/>
      <c r="U5879" s="131"/>
      <c r="V5879" s="131"/>
      <c r="W5879" s="131"/>
      <c r="X5879" s="145"/>
      <c r="Y5879" s="146"/>
      <c r="Z5879" s="147"/>
      <c r="AA5879" s="147"/>
      <c r="AB5879" s="110"/>
      <c r="AC5879" s="132"/>
      <c r="AD5879" s="148"/>
      <c r="AE5879" s="148"/>
    </row>
    <row r="5880" customFormat="false" ht="15" hidden="false" customHeight="true" outlineLevel="0" collapsed="false">
      <c r="A5880" s="141"/>
      <c r="B5880" s="131"/>
      <c r="C5880" s="132"/>
      <c r="D5880" s="131"/>
      <c r="E5880" s="110"/>
      <c r="F5880" s="110"/>
      <c r="G5880" s="110"/>
      <c r="H5880" s="131"/>
      <c r="I5880" s="131"/>
      <c r="J5880" s="142"/>
      <c r="K5880" s="142"/>
      <c r="L5880" s="140"/>
      <c r="M5880" s="131"/>
      <c r="N5880" s="131"/>
      <c r="O5880" s="131"/>
      <c r="P5880" s="143"/>
      <c r="Q5880" s="66"/>
      <c r="R5880" s="131"/>
      <c r="S5880" s="144"/>
      <c r="T5880" s="131"/>
      <c r="U5880" s="131"/>
      <c r="V5880" s="131"/>
      <c r="W5880" s="131"/>
      <c r="X5880" s="145"/>
      <c r="Y5880" s="146"/>
      <c r="Z5880" s="147"/>
      <c r="AA5880" s="147"/>
      <c r="AB5880" s="110"/>
      <c r="AC5880" s="132"/>
      <c r="AD5880" s="148"/>
      <c r="AE5880" s="148"/>
    </row>
    <row r="5881" customFormat="false" ht="15" hidden="false" customHeight="true" outlineLevel="0" collapsed="false">
      <c r="A5881" s="141"/>
      <c r="B5881" s="131"/>
      <c r="C5881" s="132"/>
      <c r="D5881" s="131"/>
      <c r="E5881" s="110"/>
      <c r="F5881" s="110"/>
      <c r="G5881" s="110"/>
      <c r="H5881" s="131"/>
      <c r="I5881" s="131"/>
      <c r="J5881" s="142"/>
      <c r="K5881" s="142"/>
      <c r="L5881" s="140"/>
      <c r="M5881" s="131"/>
      <c r="N5881" s="131"/>
      <c r="O5881" s="131"/>
      <c r="P5881" s="143"/>
      <c r="Q5881" s="66"/>
      <c r="R5881" s="131"/>
      <c r="S5881" s="144"/>
      <c r="T5881" s="131"/>
      <c r="U5881" s="131"/>
      <c r="V5881" s="131"/>
      <c r="W5881" s="131"/>
      <c r="X5881" s="145"/>
      <c r="Y5881" s="146"/>
      <c r="Z5881" s="147"/>
      <c r="AA5881" s="147"/>
      <c r="AB5881" s="110"/>
      <c r="AC5881" s="132"/>
      <c r="AD5881" s="148"/>
      <c r="AE5881" s="148"/>
    </row>
    <row r="5882" customFormat="false" ht="15" hidden="false" customHeight="true" outlineLevel="0" collapsed="false">
      <c r="A5882" s="141"/>
      <c r="B5882" s="131"/>
      <c r="C5882" s="132"/>
      <c r="D5882" s="131"/>
      <c r="E5882" s="110"/>
      <c r="F5882" s="110"/>
      <c r="G5882" s="110"/>
      <c r="H5882" s="131"/>
      <c r="I5882" s="131"/>
      <c r="J5882" s="142"/>
      <c r="K5882" s="142"/>
      <c r="L5882" s="140"/>
      <c r="M5882" s="131"/>
      <c r="N5882" s="131"/>
      <c r="O5882" s="131"/>
      <c r="P5882" s="143"/>
      <c r="Q5882" s="66"/>
      <c r="R5882" s="131"/>
      <c r="S5882" s="144"/>
      <c r="T5882" s="131"/>
      <c r="U5882" s="131"/>
      <c r="V5882" s="131"/>
      <c r="W5882" s="131"/>
      <c r="X5882" s="145"/>
      <c r="Y5882" s="146"/>
      <c r="Z5882" s="147"/>
      <c r="AA5882" s="147"/>
      <c r="AB5882" s="110"/>
      <c r="AC5882" s="132"/>
      <c r="AD5882" s="148"/>
      <c r="AE5882" s="148"/>
    </row>
    <row r="5883" customFormat="false" ht="15" hidden="false" customHeight="true" outlineLevel="0" collapsed="false">
      <c r="A5883" s="141"/>
      <c r="B5883" s="131"/>
      <c r="C5883" s="132"/>
      <c r="D5883" s="131"/>
      <c r="E5883" s="110"/>
      <c r="F5883" s="110"/>
      <c r="G5883" s="110"/>
      <c r="H5883" s="131"/>
      <c r="I5883" s="131"/>
      <c r="J5883" s="142"/>
      <c r="K5883" s="142"/>
      <c r="L5883" s="140"/>
      <c r="M5883" s="131"/>
      <c r="N5883" s="131"/>
      <c r="O5883" s="131"/>
      <c r="P5883" s="143"/>
      <c r="Q5883" s="66"/>
      <c r="R5883" s="131"/>
      <c r="S5883" s="144"/>
      <c r="T5883" s="131"/>
      <c r="U5883" s="131"/>
      <c r="V5883" s="131"/>
      <c r="W5883" s="131"/>
      <c r="X5883" s="145"/>
      <c r="Y5883" s="146"/>
      <c r="Z5883" s="147"/>
      <c r="AA5883" s="147"/>
      <c r="AB5883" s="110"/>
      <c r="AC5883" s="132"/>
      <c r="AD5883" s="148"/>
      <c r="AE5883" s="148"/>
    </row>
    <row r="5884" customFormat="false" ht="15" hidden="false" customHeight="true" outlineLevel="0" collapsed="false">
      <c r="A5884" s="141"/>
      <c r="B5884" s="131"/>
      <c r="C5884" s="132"/>
      <c r="D5884" s="131"/>
      <c r="E5884" s="110"/>
      <c r="F5884" s="110"/>
      <c r="G5884" s="110"/>
      <c r="H5884" s="131"/>
      <c r="I5884" s="131"/>
      <c r="J5884" s="142"/>
      <c r="K5884" s="142"/>
      <c r="L5884" s="140"/>
      <c r="M5884" s="131"/>
      <c r="N5884" s="131"/>
      <c r="O5884" s="131"/>
      <c r="P5884" s="143"/>
      <c r="Q5884" s="66"/>
      <c r="R5884" s="131"/>
      <c r="S5884" s="144"/>
      <c r="T5884" s="131"/>
      <c r="U5884" s="131"/>
      <c r="V5884" s="131"/>
      <c r="W5884" s="131"/>
      <c r="X5884" s="145"/>
      <c r="Y5884" s="146"/>
      <c r="Z5884" s="147"/>
      <c r="AA5884" s="147"/>
      <c r="AB5884" s="110"/>
      <c r="AC5884" s="132"/>
      <c r="AD5884" s="148"/>
      <c r="AE5884" s="148"/>
    </row>
    <row r="5885" customFormat="false" ht="15" hidden="false" customHeight="true" outlineLevel="0" collapsed="false">
      <c r="A5885" s="141"/>
      <c r="B5885" s="131"/>
      <c r="C5885" s="132"/>
      <c r="D5885" s="131"/>
      <c r="E5885" s="110"/>
      <c r="F5885" s="110"/>
      <c r="G5885" s="110"/>
      <c r="H5885" s="131"/>
      <c r="I5885" s="131"/>
      <c r="J5885" s="142"/>
      <c r="K5885" s="142"/>
      <c r="L5885" s="140"/>
      <c r="M5885" s="131"/>
      <c r="N5885" s="131"/>
      <c r="O5885" s="131"/>
      <c r="P5885" s="143"/>
      <c r="Q5885" s="66"/>
      <c r="R5885" s="131"/>
      <c r="S5885" s="144"/>
      <c r="T5885" s="131"/>
      <c r="U5885" s="131"/>
      <c r="V5885" s="131"/>
      <c r="W5885" s="131"/>
      <c r="X5885" s="145"/>
      <c r="Y5885" s="146"/>
      <c r="Z5885" s="147"/>
      <c r="AA5885" s="147"/>
      <c r="AB5885" s="110"/>
      <c r="AC5885" s="132"/>
      <c r="AD5885" s="148"/>
      <c r="AE5885" s="148"/>
    </row>
    <row r="5886" customFormat="false" ht="15" hidden="false" customHeight="true" outlineLevel="0" collapsed="false">
      <c r="A5886" s="141"/>
      <c r="B5886" s="131"/>
      <c r="C5886" s="132"/>
      <c r="D5886" s="131"/>
      <c r="E5886" s="110"/>
      <c r="F5886" s="110"/>
      <c r="G5886" s="110"/>
      <c r="H5886" s="131"/>
      <c r="I5886" s="131"/>
      <c r="J5886" s="142"/>
      <c r="K5886" s="142"/>
      <c r="L5886" s="140"/>
      <c r="M5886" s="131"/>
      <c r="N5886" s="131"/>
      <c r="O5886" s="131"/>
      <c r="P5886" s="143"/>
      <c r="Q5886" s="66"/>
      <c r="R5886" s="131"/>
      <c r="S5886" s="144"/>
      <c r="T5886" s="131"/>
      <c r="U5886" s="131"/>
      <c r="V5886" s="131"/>
      <c r="W5886" s="131"/>
      <c r="X5886" s="145"/>
      <c r="Y5886" s="146"/>
      <c r="Z5886" s="147"/>
      <c r="AA5886" s="147"/>
      <c r="AB5886" s="110"/>
      <c r="AC5886" s="132"/>
      <c r="AD5886" s="148"/>
      <c r="AE5886" s="148"/>
    </row>
    <row r="5887" customFormat="false" ht="15" hidden="false" customHeight="true" outlineLevel="0" collapsed="false">
      <c r="A5887" s="141"/>
      <c r="B5887" s="131"/>
      <c r="C5887" s="132"/>
      <c r="D5887" s="131"/>
      <c r="E5887" s="110"/>
      <c r="F5887" s="110"/>
      <c r="G5887" s="110"/>
      <c r="H5887" s="131"/>
      <c r="I5887" s="131"/>
      <c r="J5887" s="142"/>
      <c r="K5887" s="142"/>
      <c r="L5887" s="140"/>
      <c r="M5887" s="131"/>
      <c r="N5887" s="131"/>
      <c r="O5887" s="131"/>
      <c r="P5887" s="143"/>
      <c r="Q5887" s="66"/>
      <c r="R5887" s="131"/>
      <c r="S5887" s="144"/>
      <c r="T5887" s="131"/>
      <c r="U5887" s="131"/>
      <c r="V5887" s="131"/>
      <c r="W5887" s="131"/>
      <c r="X5887" s="145"/>
      <c r="Y5887" s="146"/>
      <c r="Z5887" s="147"/>
      <c r="AA5887" s="147"/>
      <c r="AB5887" s="110"/>
      <c r="AC5887" s="132"/>
      <c r="AD5887" s="148"/>
      <c r="AE5887" s="148"/>
    </row>
    <row r="5888" customFormat="false" ht="15" hidden="false" customHeight="true" outlineLevel="0" collapsed="false">
      <c r="A5888" s="141"/>
      <c r="B5888" s="131"/>
      <c r="C5888" s="132"/>
      <c r="D5888" s="131"/>
      <c r="E5888" s="110"/>
      <c r="F5888" s="110"/>
      <c r="G5888" s="110"/>
      <c r="H5888" s="131"/>
      <c r="I5888" s="131"/>
      <c r="J5888" s="142"/>
      <c r="K5888" s="142"/>
      <c r="L5888" s="140"/>
      <c r="M5888" s="131"/>
      <c r="N5888" s="131"/>
      <c r="O5888" s="131"/>
      <c r="P5888" s="143"/>
      <c r="Q5888" s="66"/>
      <c r="R5888" s="131"/>
      <c r="S5888" s="144"/>
      <c r="T5888" s="131"/>
      <c r="U5888" s="131"/>
      <c r="V5888" s="131"/>
      <c r="W5888" s="131"/>
      <c r="X5888" s="145"/>
      <c r="Y5888" s="146"/>
      <c r="Z5888" s="147"/>
      <c r="AA5888" s="147"/>
      <c r="AB5888" s="110"/>
      <c r="AC5888" s="132"/>
      <c r="AD5888" s="148"/>
      <c r="AE5888" s="148"/>
    </row>
    <row r="5889" customFormat="false" ht="15" hidden="false" customHeight="true" outlineLevel="0" collapsed="false">
      <c r="A5889" s="141"/>
      <c r="B5889" s="131"/>
      <c r="C5889" s="132"/>
      <c r="D5889" s="131"/>
      <c r="E5889" s="110"/>
      <c r="F5889" s="110"/>
      <c r="G5889" s="110"/>
      <c r="H5889" s="131"/>
      <c r="I5889" s="131"/>
      <c r="J5889" s="142"/>
      <c r="K5889" s="142"/>
      <c r="L5889" s="140"/>
      <c r="M5889" s="131"/>
      <c r="N5889" s="131"/>
      <c r="O5889" s="131"/>
      <c r="P5889" s="143"/>
      <c r="Q5889" s="66"/>
      <c r="R5889" s="131"/>
      <c r="S5889" s="144"/>
      <c r="T5889" s="131"/>
      <c r="U5889" s="131"/>
      <c r="V5889" s="131"/>
      <c r="W5889" s="131"/>
      <c r="X5889" s="145"/>
      <c r="Y5889" s="146"/>
      <c r="Z5889" s="147"/>
      <c r="AA5889" s="147"/>
      <c r="AB5889" s="110"/>
      <c r="AC5889" s="132"/>
      <c r="AD5889" s="148"/>
      <c r="AE5889" s="148"/>
    </row>
    <row r="5890" customFormat="false" ht="15" hidden="false" customHeight="true" outlineLevel="0" collapsed="false">
      <c r="A5890" s="141"/>
      <c r="B5890" s="131"/>
      <c r="C5890" s="132"/>
      <c r="D5890" s="131"/>
      <c r="E5890" s="110"/>
      <c r="F5890" s="110"/>
      <c r="G5890" s="110"/>
      <c r="H5890" s="131"/>
      <c r="I5890" s="131"/>
      <c r="J5890" s="142"/>
      <c r="K5890" s="142"/>
      <c r="L5890" s="140"/>
      <c r="M5890" s="131"/>
      <c r="N5890" s="131"/>
      <c r="O5890" s="131"/>
      <c r="P5890" s="143"/>
      <c r="Q5890" s="66"/>
      <c r="R5890" s="131"/>
      <c r="S5890" s="144"/>
      <c r="T5890" s="131"/>
      <c r="U5890" s="131"/>
      <c r="V5890" s="131"/>
      <c r="W5890" s="131"/>
      <c r="X5890" s="145"/>
      <c r="Y5890" s="146"/>
      <c r="Z5890" s="147"/>
      <c r="AA5890" s="147"/>
      <c r="AB5890" s="110"/>
      <c r="AC5890" s="132"/>
      <c r="AD5890" s="148"/>
      <c r="AE5890" s="148"/>
    </row>
    <row r="5891" customFormat="false" ht="15" hidden="false" customHeight="true" outlineLevel="0" collapsed="false">
      <c r="A5891" s="141"/>
      <c r="B5891" s="131"/>
      <c r="C5891" s="132"/>
      <c r="D5891" s="131"/>
      <c r="E5891" s="110"/>
      <c r="F5891" s="110"/>
      <c r="G5891" s="110"/>
      <c r="H5891" s="131"/>
      <c r="I5891" s="131"/>
      <c r="J5891" s="142"/>
      <c r="K5891" s="142"/>
      <c r="L5891" s="140"/>
      <c r="M5891" s="131"/>
      <c r="N5891" s="131"/>
      <c r="O5891" s="131"/>
      <c r="P5891" s="143"/>
      <c r="Q5891" s="66"/>
      <c r="R5891" s="131"/>
      <c r="S5891" s="144"/>
      <c r="T5891" s="131"/>
      <c r="U5891" s="131"/>
      <c r="V5891" s="131"/>
      <c r="W5891" s="131"/>
      <c r="X5891" s="145"/>
      <c r="Y5891" s="146"/>
      <c r="Z5891" s="147"/>
      <c r="AA5891" s="147"/>
      <c r="AB5891" s="110"/>
      <c r="AC5891" s="132"/>
      <c r="AD5891" s="148"/>
      <c r="AE5891" s="148"/>
    </row>
    <row r="5892" customFormat="false" ht="15" hidden="false" customHeight="true" outlineLevel="0" collapsed="false">
      <c r="A5892" s="141"/>
      <c r="B5892" s="131"/>
      <c r="C5892" s="132"/>
      <c r="D5892" s="131"/>
      <c r="E5892" s="110"/>
      <c r="F5892" s="110"/>
      <c r="G5892" s="110"/>
      <c r="H5892" s="131"/>
      <c r="I5892" s="131"/>
      <c r="J5892" s="142"/>
      <c r="K5892" s="142"/>
      <c r="L5892" s="140"/>
      <c r="M5892" s="131"/>
      <c r="N5892" s="131"/>
      <c r="O5892" s="131"/>
      <c r="P5892" s="143"/>
      <c r="Q5892" s="66"/>
      <c r="R5892" s="131"/>
      <c r="S5892" s="144"/>
      <c r="T5892" s="131"/>
      <c r="U5892" s="131"/>
      <c r="V5892" s="131"/>
      <c r="W5892" s="131"/>
      <c r="X5892" s="145"/>
      <c r="Y5892" s="146"/>
      <c r="Z5892" s="147"/>
      <c r="AA5892" s="147"/>
      <c r="AB5892" s="110"/>
      <c r="AC5892" s="132"/>
      <c r="AD5892" s="148"/>
      <c r="AE5892" s="148"/>
    </row>
    <row r="5893" customFormat="false" ht="15" hidden="false" customHeight="true" outlineLevel="0" collapsed="false">
      <c r="A5893" s="141"/>
      <c r="B5893" s="131"/>
      <c r="C5893" s="132"/>
      <c r="D5893" s="131"/>
      <c r="E5893" s="110"/>
      <c r="F5893" s="110"/>
      <c r="G5893" s="110"/>
      <c r="H5893" s="131"/>
      <c r="I5893" s="131"/>
      <c r="J5893" s="142"/>
      <c r="K5893" s="142"/>
      <c r="L5893" s="140"/>
      <c r="M5893" s="131"/>
      <c r="N5893" s="131"/>
      <c r="O5893" s="131"/>
      <c r="P5893" s="143"/>
      <c r="Q5893" s="66"/>
      <c r="R5893" s="131"/>
      <c r="S5893" s="144"/>
      <c r="T5893" s="131"/>
      <c r="U5893" s="131"/>
      <c r="V5893" s="131"/>
      <c r="W5893" s="131"/>
      <c r="X5893" s="145"/>
      <c r="Y5893" s="146"/>
      <c r="Z5893" s="147"/>
      <c r="AA5893" s="147"/>
      <c r="AB5893" s="110"/>
      <c r="AC5893" s="132"/>
      <c r="AD5893" s="148"/>
      <c r="AE5893" s="148"/>
    </row>
    <row r="5894" customFormat="false" ht="15" hidden="false" customHeight="true" outlineLevel="0" collapsed="false">
      <c r="A5894" s="141"/>
      <c r="B5894" s="131"/>
      <c r="C5894" s="132"/>
      <c r="D5894" s="131"/>
      <c r="E5894" s="110"/>
      <c r="F5894" s="110"/>
      <c r="G5894" s="110"/>
      <c r="H5894" s="131"/>
      <c r="I5894" s="131"/>
      <c r="J5894" s="142"/>
      <c r="K5894" s="142"/>
      <c r="L5894" s="140"/>
      <c r="M5894" s="131"/>
      <c r="N5894" s="131"/>
      <c r="O5894" s="131"/>
      <c r="P5894" s="143"/>
      <c r="Q5894" s="66"/>
      <c r="R5894" s="131"/>
      <c r="S5894" s="144"/>
      <c r="T5894" s="131"/>
      <c r="U5894" s="131"/>
      <c r="V5894" s="131"/>
      <c r="W5894" s="131"/>
      <c r="X5894" s="145"/>
      <c r="Y5894" s="146"/>
      <c r="Z5894" s="147"/>
      <c r="AA5894" s="147"/>
      <c r="AB5894" s="110"/>
      <c r="AC5894" s="132"/>
      <c r="AD5894" s="148"/>
      <c r="AE5894" s="148"/>
    </row>
    <row r="5895" customFormat="false" ht="15" hidden="false" customHeight="true" outlineLevel="0" collapsed="false">
      <c r="A5895" s="141"/>
      <c r="B5895" s="131"/>
      <c r="C5895" s="132"/>
      <c r="D5895" s="131"/>
      <c r="E5895" s="110"/>
      <c r="F5895" s="110"/>
      <c r="G5895" s="110"/>
      <c r="H5895" s="131"/>
      <c r="I5895" s="131"/>
      <c r="J5895" s="142"/>
      <c r="K5895" s="142"/>
      <c r="L5895" s="140"/>
      <c r="M5895" s="131"/>
      <c r="N5895" s="131"/>
      <c r="O5895" s="131"/>
      <c r="P5895" s="143"/>
      <c r="Q5895" s="66"/>
      <c r="R5895" s="131"/>
      <c r="S5895" s="144"/>
      <c r="T5895" s="131"/>
      <c r="U5895" s="131"/>
      <c r="V5895" s="131"/>
      <c r="W5895" s="131"/>
      <c r="X5895" s="145"/>
      <c r="Y5895" s="146"/>
      <c r="Z5895" s="147"/>
      <c r="AA5895" s="147"/>
      <c r="AB5895" s="110"/>
      <c r="AC5895" s="132"/>
      <c r="AD5895" s="148"/>
      <c r="AE5895" s="148"/>
    </row>
    <row r="5896" customFormat="false" ht="15" hidden="false" customHeight="true" outlineLevel="0" collapsed="false">
      <c r="A5896" s="141"/>
      <c r="B5896" s="131"/>
      <c r="C5896" s="132"/>
      <c r="D5896" s="131"/>
      <c r="E5896" s="110"/>
      <c r="F5896" s="110"/>
      <c r="G5896" s="110"/>
      <c r="H5896" s="131"/>
      <c r="I5896" s="131"/>
      <c r="J5896" s="142"/>
      <c r="K5896" s="142"/>
      <c r="L5896" s="140"/>
      <c r="M5896" s="131"/>
      <c r="N5896" s="131"/>
      <c r="O5896" s="131"/>
      <c r="P5896" s="143"/>
      <c r="Q5896" s="66"/>
      <c r="R5896" s="131"/>
      <c r="S5896" s="144"/>
      <c r="T5896" s="131"/>
      <c r="U5896" s="131"/>
      <c r="V5896" s="131"/>
      <c r="W5896" s="131"/>
      <c r="X5896" s="145"/>
      <c r="Y5896" s="146"/>
      <c r="Z5896" s="147"/>
      <c r="AA5896" s="147"/>
      <c r="AB5896" s="110"/>
      <c r="AC5896" s="132"/>
      <c r="AD5896" s="148"/>
      <c r="AE5896" s="148"/>
    </row>
    <row r="5897" customFormat="false" ht="15" hidden="false" customHeight="true" outlineLevel="0" collapsed="false">
      <c r="A5897" s="141"/>
      <c r="B5897" s="131"/>
      <c r="C5897" s="132"/>
      <c r="D5897" s="131"/>
      <c r="E5897" s="110"/>
      <c r="F5897" s="110"/>
      <c r="G5897" s="110"/>
      <c r="H5897" s="131"/>
      <c r="I5897" s="131"/>
      <c r="J5897" s="142"/>
      <c r="K5897" s="142"/>
      <c r="L5897" s="140"/>
      <c r="M5897" s="131"/>
      <c r="N5897" s="131"/>
      <c r="O5897" s="131"/>
      <c r="P5897" s="143"/>
      <c r="Q5897" s="66"/>
      <c r="R5897" s="131"/>
      <c r="S5897" s="144"/>
      <c r="T5897" s="131"/>
      <c r="U5897" s="131"/>
      <c r="V5897" s="131"/>
      <c r="W5897" s="131"/>
      <c r="X5897" s="145"/>
      <c r="Y5897" s="146"/>
      <c r="Z5897" s="147"/>
      <c r="AA5897" s="147"/>
      <c r="AB5897" s="110"/>
      <c r="AC5897" s="132"/>
      <c r="AD5897" s="148"/>
      <c r="AE5897" s="148"/>
    </row>
    <row r="5898" customFormat="false" ht="15" hidden="false" customHeight="true" outlineLevel="0" collapsed="false">
      <c r="A5898" s="141"/>
      <c r="B5898" s="131"/>
      <c r="C5898" s="132"/>
      <c r="D5898" s="131"/>
      <c r="E5898" s="110"/>
      <c r="F5898" s="110"/>
      <c r="G5898" s="110"/>
      <c r="H5898" s="131"/>
      <c r="I5898" s="131"/>
      <c r="J5898" s="142"/>
      <c r="K5898" s="142"/>
      <c r="L5898" s="140"/>
      <c r="M5898" s="131"/>
      <c r="N5898" s="131"/>
      <c r="O5898" s="131"/>
      <c r="P5898" s="143"/>
      <c r="Q5898" s="66"/>
      <c r="R5898" s="131"/>
      <c r="S5898" s="144"/>
      <c r="T5898" s="131"/>
      <c r="U5898" s="131"/>
      <c r="V5898" s="131"/>
      <c r="W5898" s="131"/>
      <c r="X5898" s="145"/>
      <c r="Y5898" s="146"/>
      <c r="Z5898" s="147"/>
      <c r="AA5898" s="147"/>
      <c r="AB5898" s="110"/>
      <c r="AC5898" s="132"/>
      <c r="AD5898" s="148"/>
      <c r="AE5898" s="148"/>
    </row>
    <row r="5899" customFormat="false" ht="15" hidden="false" customHeight="true" outlineLevel="0" collapsed="false">
      <c r="A5899" s="141"/>
      <c r="B5899" s="131"/>
      <c r="C5899" s="132"/>
      <c r="D5899" s="131"/>
      <c r="E5899" s="110"/>
      <c r="F5899" s="110"/>
      <c r="G5899" s="110"/>
      <c r="H5899" s="131"/>
      <c r="I5899" s="131"/>
      <c r="J5899" s="142"/>
      <c r="K5899" s="142"/>
      <c r="L5899" s="140"/>
      <c r="M5899" s="131"/>
      <c r="N5899" s="131"/>
      <c r="O5899" s="131"/>
      <c r="P5899" s="143"/>
      <c r="Q5899" s="66"/>
      <c r="R5899" s="131"/>
      <c r="S5899" s="144"/>
      <c r="T5899" s="131"/>
      <c r="U5899" s="131"/>
      <c r="V5899" s="131"/>
      <c r="W5899" s="131"/>
      <c r="X5899" s="145"/>
      <c r="Y5899" s="146"/>
      <c r="Z5899" s="147"/>
      <c r="AA5899" s="147"/>
      <c r="AB5899" s="110"/>
      <c r="AC5899" s="132"/>
      <c r="AD5899" s="148"/>
      <c r="AE5899" s="148"/>
    </row>
    <row r="5900" customFormat="false" ht="15" hidden="false" customHeight="true" outlineLevel="0" collapsed="false">
      <c r="A5900" s="141"/>
      <c r="B5900" s="131"/>
      <c r="C5900" s="132"/>
      <c r="D5900" s="131"/>
      <c r="E5900" s="110"/>
      <c r="F5900" s="110"/>
      <c r="G5900" s="110"/>
      <c r="H5900" s="131"/>
      <c r="I5900" s="131"/>
      <c r="J5900" s="142"/>
      <c r="K5900" s="142"/>
      <c r="L5900" s="140"/>
      <c r="M5900" s="131"/>
      <c r="N5900" s="131"/>
      <c r="O5900" s="131"/>
      <c r="P5900" s="143"/>
      <c r="Q5900" s="66"/>
      <c r="R5900" s="131"/>
      <c r="S5900" s="144"/>
      <c r="T5900" s="131"/>
      <c r="U5900" s="131"/>
      <c r="V5900" s="131"/>
      <c r="W5900" s="131"/>
      <c r="X5900" s="145"/>
      <c r="Y5900" s="146"/>
      <c r="Z5900" s="147"/>
      <c r="AA5900" s="147"/>
      <c r="AB5900" s="110"/>
      <c r="AC5900" s="132"/>
      <c r="AD5900" s="148"/>
      <c r="AE5900" s="148"/>
    </row>
    <row r="5901" customFormat="false" ht="15" hidden="false" customHeight="true" outlineLevel="0" collapsed="false">
      <c r="A5901" s="141"/>
      <c r="B5901" s="131"/>
      <c r="C5901" s="132"/>
      <c r="D5901" s="131"/>
      <c r="E5901" s="110"/>
      <c r="F5901" s="110"/>
      <c r="G5901" s="110"/>
      <c r="H5901" s="131"/>
      <c r="I5901" s="131"/>
      <c r="J5901" s="142"/>
      <c r="K5901" s="142"/>
      <c r="L5901" s="140"/>
      <c r="M5901" s="131"/>
      <c r="N5901" s="131"/>
      <c r="O5901" s="131"/>
      <c r="P5901" s="143"/>
      <c r="Q5901" s="66"/>
      <c r="R5901" s="131"/>
      <c r="S5901" s="144"/>
      <c r="T5901" s="131"/>
      <c r="U5901" s="131"/>
      <c r="V5901" s="131"/>
      <c r="W5901" s="131"/>
      <c r="X5901" s="145"/>
      <c r="Y5901" s="146"/>
      <c r="Z5901" s="147"/>
      <c r="AA5901" s="147"/>
      <c r="AB5901" s="110"/>
      <c r="AC5901" s="132"/>
      <c r="AD5901" s="148"/>
      <c r="AE5901" s="148"/>
    </row>
    <row r="5902" customFormat="false" ht="15" hidden="false" customHeight="true" outlineLevel="0" collapsed="false">
      <c r="A5902" s="141"/>
      <c r="B5902" s="131"/>
      <c r="C5902" s="132"/>
      <c r="D5902" s="131"/>
      <c r="E5902" s="110"/>
      <c r="F5902" s="110"/>
      <c r="G5902" s="110"/>
      <c r="H5902" s="131"/>
      <c r="I5902" s="131"/>
      <c r="J5902" s="142"/>
      <c r="K5902" s="142"/>
      <c r="L5902" s="140"/>
      <c r="M5902" s="131"/>
      <c r="N5902" s="131"/>
      <c r="O5902" s="131"/>
      <c r="P5902" s="143"/>
      <c r="Q5902" s="66"/>
      <c r="R5902" s="131"/>
      <c r="S5902" s="144"/>
      <c r="T5902" s="131"/>
      <c r="U5902" s="131"/>
      <c r="V5902" s="131"/>
      <c r="W5902" s="131"/>
      <c r="X5902" s="145"/>
      <c r="Y5902" s="146"/>
      <c r="Z5902" s="147"/>
      <c r="AA5902" s="147"/>
      <c r="AB5902" s="110"/>
      <c r="AC5902" s="132"/>
      <c r="AD5902" s="148"/>
      <c r="AE5902" s="148"/>
    </row>
    <row r="5903" customFormat="false" ht="15" hidden="false" customHeight="true" outlineLevel="0" collapsed="false">
      <c r="A5903" s="141"/>
      <c r="B5903" s="131"/>
      <c r="C5903" s="132"/>
      <c r="D5903" s="131"/>
      <c r="E5903" s="110"/>
      <c r="F5903" s="110"/>
      <c r="G5903" s="110"/>
      <c r="H5903" s="131"/>
      <c r="I5903" s="131"/>
      <c r="J5903" s="142"/>
      <c r="K5903" s="142"/>
      <c r="L5903" s="140"/>
      <c r="M5903" s="131"/>
      <c r="N5903" s="131"/>
      <c r="O5903" s="131"/>
      <c r="P5903" s="143"/>
      <c r="Q5903" s="66"/>
      <c r="R5903" s="131"/>
      <c r="S5903" s="144"/>
      <c r="T5903" s="131"/>
      <c r="U5903" s="131"/>
      <c r="V5903" s="131"/>
      <c r="W5903" s="131"/>
      <c r="X5903" s="145"/>
      <c r="Y5903" s="146"/>
      <c r="Z5903" s="147"/>
      <c r="AA5903" s="147"/>
      <c r="AB5903" s="110"/>
      <c r="AC5903" s="132"/>
      <c r="AD5903" s="148"/>
      <c r="AE5903" s="148"/>
    </row>
    <row r="5904" customFormat="false" ht="15" hidden="false" customHeight="true" outlineLevel="0" collapsed="false">
      <c r="A5904" s="141"/>
      <c r="B5904" s="131"/>
      <c r="C5904" s="132"/>
      <c r="D5904" s="131"/>
      <c r="E5904" s="110"/>
      <c r="F5904" s="110"/>
      <c r="G5904" s="110"/>
      <c r="H5904" s="131"/>
      <c r="I5904" s="131"/>
      <c r="J5904" s="142"/>
      <c r="K5904" s="142"/>
      <c r="L5904" s="140"/>
      <c r="M5904" s="131"/>
      <c r="N5904" s="131"/>
      <c r="O5904" s="131"/>
      <c r="P5904" s="143"/>
      <c r="Q5904" s="66"/>
      <c r="R5904" s="131"/>
      <c r="S5904" s="144"/>
      <c r="T5904" s="131"/>
      <c r="U5904" s="131"/>
      <c r="V5904" s="131"/>
      <c r="W5904" s="131"/>
      <c r="X5904" s="145"/>
      <c r="Y5904" s="146"/>
      <c r="Z5904" s="147"/>
      <c r="AA5904" s="147"/>
      <c r="AB5904" s="110"/>
      <c r="AC5904" s="132"/>
      <c r="AD5904" s="148"/>
      <c r="AE5904" s="148"/>
    </row>
    <row r="5905" customFormat="false" ht="15" hidden="false" customHeight="true" outlineLevel="0" collapsed="false">
      <c r="A5905" s="141"/>
      <c r="B5905" s="131"/>
      <c r="C5905" s="132"/>
      <c r="D5905" s="131"/>
      <c r="E5905" s="110"/>
      <c r="F5905" s="110"/>
      <c r="G5905" s="110"/>
      <c r="H5905" s="131"/>
      <c r="I5905" s="131"/>
      <c r="J5905" s="142"/>
      <c r="K5905" s="142"/>
      <c r="L5905" s="140"/>
      <c r="M5905" s="131"/>
      <c r="N5905" s="131"/>
      <c r="O5905" s="131"/>
      <c r="P5905" s="143"/>
      <c r="Q5905" s="66"/>
      <c r="R5905" s="131"/>
      <c r="S5905" s="144"/>
      <c r="T5905" s="131"/>
      <c r="U5905" s="131"/>
      <c r="V5905" s="131"/>
      <c r="W5905" s="131"/>
      <c r="X5905" s="145"/>
      <c r="Y5905" s="146"/>
      <c r="Z5905" s="147"/>
      <c r="AA5905" s="147"/>
      <c r="AB5905" s="110"/>
      <c r="AC5905" s="132"/>
      <c r="AD5905" s="148"/>
      <c r="AE5905" s="148"/>
    </row>
    <row r="5906" customFormat="false" ht="15" hidden="false" customHeight="true" outlineLevel="0" collapsed="false">
      <c r="A5906" s="141"/>
      <c r="B5906" s="131"/>
      <c r="C5906" s="132"/>
      <c r="D5906" s="131"/>
      <c r="E5906" s="110"/>
      <c r="F5906" s="110"/>
      <c r="G5906" s="110"/>
      <c r="H5906" s="131"/>
      <c r="I5906" s="131"/>
      <c r="J5906" s="142"/>
      <c r="K5906" s="142"/>
      <c r="L5906" s="140"/>
      <c r="M5906" s="131"/>
      <c r="N5906" s="131"/>
      <c r="O5906" s="131"/>
      <c r="P5906" s="143"/>
      <c r="Q5906" s="66"/>
      <c r="R5906" s="131"/>
      <c r="S5906" s="144"/>
      <c r="T5906" s="131"/>
      <c r="U5906" s="131"/>
      <c r="V5906" s="131"/>
      <c r="W5906" s="131"/>
      <c r="X5906" s="145"/>
      <c r="Y5906" s="146"/>
      <c r="Z5906" s="147"/>
      <c r="AA5906" s="147"/>
      <c r="AB5906" s="110"/>
      <c r="AC5906" s="132"/>
      <c r="AD5906" s="148"/>
      <c r="AE5906" s="148"/>
    </row>
    <row r="5907" customFormat="false" ht="15" hidden="false" customHeight="true" outlineLevel="0" collapsed="false">
      <c r="A5907" s="141"/>
      <c r="B5907" s="131"/>
      <c r="C5907" s="132"/>
      <c r="D5907" s="131"/>
      <c r="E5907" s="110"/>
      <c r="F5907" s="110"/>
      <c r="G5907" s="110"/>
      <c r="H5907" s="131"/>
      <c r="I5907" s="131"/>
      <c r="J5907" s="142"/>
      <c r="K5907" s="142"/>
      <c r="L5907" s="140"/>
      <c r="M5907" s="131"/>
      <c r="N5907" s="131"/>
      <c r="O5907" s="131"/>
      <c r="P5907" s="143"/>
      <c r="Q5907" s="66"/>
      <c r="R5907" s="131"/>
      <c r="S5907" s="144"/>
      <c r="T5907" s="131"/>
      <c r="U5907" s="131"/>
      <c r="V5907" s="131"/>
      <c r="W5907" s="131"/>
      <c r="X5907" s="145"/>
      <c r="Y5907" s="146"/>
      <c r="Z5907" s="147"/>
      <c r="AA5907" s="147"/>
      <c r="AB5907" s="110"/>
      <c r="AC5907" s="132"/>
      <c r="AD5907" s="148"/>
      <c r="AE5907" s="148"/>
    </row>
    <row r="5908" customFormat="false" ht="15" hidden="false" customHeight="true" outlineLevel="0" collapsed="false">
      <c r="A5908" s="141"/>
      <c r="B5908" s="131"/>
      <c r="C5908" s="132"/>
      <c r="D5908" s="131"/>
      <c r="E5908" s="110"/>
      <c r="F5908" s="110"/>
      <c r="G5908" s="110"/>
      <c r="H5908" s="131"/>
      <c r="I5908" s="131"/>
      <c r="J5908" s="142"/>
      <c r="K5908" s="142"/>
      <c r="L5908" s="140"/>
      <c r="M5908" s="131"/>
      <c r="N5908" s="131"/>
      <c r="O5908" s="131"/>
      <c r="P5908" s="143"/>
      <c r="Q5908" s="66"/>
      <c r="R5908" s="131"/>
      <c r="S5908" s="144"/>
      <c r="T5908" s="131"/>
      <c r="U5908" s="131"/>
      <c r="V5908" s="131"/>
      <c r="W5908" s="131"/>
      <c r="X5908" s="145"/>
      <c r="Y5908" s="146"/>
      <c r="Z5908" s="147"/>
      <c r="AA5908" s="147"/>
      <c r="AB5908" s="110"/>
      <c r="AC5908" s="132"/>
      <c r="AD5908" s="148"/>
      <c r="AE5908" s="148"/>
    </row>
    <row r="5909" customFormat="false" ht="15" hidden="false" customHeight="true" outlineLevel="0" collapsed="false">
      <c r="A5909" s="141"/>
      <c r="B5909" s="131"/>
      <c r="C5909" s="132"/>
      <c r="D5909" s="131"/>
      <c r="E5909" s="110"/>
      <c r="F5909" s="110"/>
      <c r="G5909" s="110"/>
      <c r="H5909" s="131"/>
      <c r="I5909" s="131"/>
      <c r="J5909" s="142"/>
      <c r="K5909" s="142"/>
      <c r="L5909" s="140"/>
      <c r="M5909" s="131"/>
      <c r="N5909" s="131"/>
      <c r="O5909" s="131"/>
      <c r="P5909" s="143"/>
      <c r="Q5909" s="66"/>
      <c r="R5909" s="131"/>
      <c r="S5909" s="144"/>
      <c r="T5909" s="131"/>
      <c r="U5909" s="131"/>
      <c r="V5909" s="131"/>
      <c r="W5909" s="131"/>
      <c r="X5909" s="145"/>
      <c r="Y5909" s="146"/>
      <c r="Z5909" s="147"/>
      <c r="AA5909" s="147"/>
      <c r="AB5909" s="110"/>
      <c r="AC5909" s="132"/>
      <c r="AD5909" s="148"/>
      <c r="AE5909" s="148"/>
    </row>
    <row r="5910" customFormat="false" ht="15" hidden="false" customHeight="true" outlineLevel="0" collapsed="false">
      <c r="A5910" s="141"/>
      <c r="B5910" s="131"/>
      <c r="C5910" s="132"/>
      <c r="D5910" s="131"/>
      <c r="E5910" s="110"/>
      <c r="F5910" s="110"/>
      <c r="G5910" s="110"/>
      <c r="H5910" s="131"/>
      <c r="I5910" s="131"/>
      <c r="J5910" s="142"/>
      <c r="K5910" s="142"/>
      <c r="L5910" s="140"/>
      <c r="M5910" s="131"/>
      <c r="N5910" s="131"/>
      <c r="O5910" s="131"/>
      <c r="P5910" s="143"/>
      <c r="Q5910" s="66"/>
      <c r="R5910" s="131"/>
      <c r="S5910" s="144"/>
      <c r="T5910" s="131"/>
      <c r="U5910" s="131"/>
      <c r="V5910" s="131"/>
      <c r="W5910" s="131"/>
      <c r="X5910" s="145"/>
      <c r="Y5910" s="146"/>
      <c r="Z5910" s="147"/>
      <c r="AA5910" s="147"/>
      <c r="AB5910" s="110"/>
      <c r="AC5910" s="132"/>
      <c r="AD5910" s="148"/>
      <c r="AE5910" s="148"/>
    </row>
    <row r="5911" customFormat="false" ht="15" hidden="false" customHeight="true" outlineLevel="0" collapsed="false">
      <c r="A5911" s="141"/>
      <c r="B5911" s="131"/>
      <c r="C5911" s="132"/>
      <c r="D5911" s="131"/>
      <c r="E5911" s="110"/>
      <c r="F5911" s="110"/>
      <c r="G5911" s="110"/>
      <c r="H5911" s="131"/>
      <c r="I5911" s="131"/>
      <c r="J5911" s="142"/>
      <c r="K5911" s="142"/>
      <c r="L5911" s="140"/>
      <c r="M5911" s="131"/>
      <c r="N5911" s="131"/>
      <c r="O5911" s="131"/>
      <c r="P5911" s="143"/>
      <c r="Q5911" s="66"/>
      <c r="R5911" s="131"/>
      <c r="S5911" s="144"/>
      <c r="T5911" s="131"/>
      <c r="U5911" s="131"/>
      <c r="V5911" s="131"/>
      <c r="W5911" s="131"/>
      <c r="X5911" s="145"/>
      <c r="Y5911" s="146"/>
      <c r="Z5911" s="147"/>
      <c r="AA5911" s="147"/>
      <c r="AB5911" s="110"/>
      <c r="AC5911" s="132"/>
      <c r="AD5911" s="148"/>
      <c r="AE5911" s="148"/>
    </row>
    <row r="5912" customFormat="false" ht="15" hidden="false" customHeight="true" outlineLevel="0" collapsed="false">
      <c r="A5912" s="141"/>
      <c r="B5912" s="131"/>
      <c r="C5912" s="132"/>
      <c r="D5912" s="131"/>
      <c r="E5912" s="110"/>
      <c r="F5912" s="110"/>
      <c r="G5912" s="110"/>
      <c r="H5912" s="131"/>
      <c r="I5912" s="131"/>
      <c r="J5912" s="142"/>
      <c r="K5912" s="142"/>
      <c r="L5912" s="140"/>
      <c r="M5912" s="131"/>
      <c r="N5912" s="131"/>
      <c r="O5912" s="131"/>
      <c r="P5912" s="143"/>
      <c r="Q5912" s="66"/>
      <c r="R5912" s="131"/>
      <c r="S5912" s="144"/>
      <c r="T5912" s="131"/>
      <c r="U5912" s="131"/>
      <c r="V5912" s="131"/>
      <c r="W5912" s="131"/>
      <c r="X5912" s="145"/>
      <c r="Y5912" s="146"/>
      <c r="Z5912" s="147"/>
      <c r="AA5912" s="147"/>
      <c r="AB5912" s="110"/>
      <c r="AC5912" s="132"/>
      <c r="AD5912" s="148"/>
      <c r="AE5912" s="148"/>
    </row>
    <row r="5913" customFormat="false" ht="15" hidden="false" customHeight="true" outlineLevel="0" collapsed="false">
      <c r="A5913" s="141"/>
      <c r="B5913" s="131"/>
      <c r="C5913" s="132"/>
      <c r="D5913" s="131"/>
      <c r="E5913" s="110"/>
      <c r="F5913" s="110"/>
      <c r="G5913" s="110"/>
      <c r="H5913" s="131"/>
      <c r="I5913" s="131"/>
      <c r="J5913" s="142"/>
      <c r="K5913" s="142"/>
      <c r="L5913" s="140"/>
      <c r="M5913" s="131"/>
      <c r="N5913" s="131"/>
      <c r="O5913" s="131"/>
      <c r="P5913" s="143"/>
      <c r="Q5913" s="66"/>
      <c r="R5913" s="131"/>
      <c r="S5913" s="144"/>
      <c r="T5913" s="131"/>
      <c r="U5913" s="131"/>
      <c r="V5913" s="131"/>
      <c r="W5913" s="131"/>
      <c r="X5913" s="145"/>
      <c r="Y5913" s="146"/>
      <c r="Z5913" s="147"/>
      <c r="AA5913" s="147"/>
      <c r="AB5913" s="110"/>
      <c r="AC5913" s="132"/>
      <c r="AD5913" s="148"/>
      <c r="AE5913" s="148"/>
    </row>
    <row r="5914" customFormat="false" ht="15" hidden="false" customHeight="true" outlineLevel="0" collapsed="false">
      <c r="A5914" s="141"/>
      <c r="B5914" s="131"/>
      <c r="C5914" s="132"/>
      <c r="D5914" s="131"/>
      <c r="E5914" s="110"/>
      <c r="F5914" s="110"/>
      <c r="G5914" s="110"/>
      <c r="H5914" s="131"/>
      <c r="I5914" s="131"/>
      <c r="J5914" s="142"/>
      <c r="K5914" s="142"/>
      <c r="L5914" s="140"/>
      <c r="M5914" s="131"/>
      <c r="N5914" s="131"/>
      <c r="O5914" s="131"/>
      <c r="P5914" s="143"/>
      <c r="Q5914" s="66"/>
      <c r="R5914" s="131"/>
      <c r="S5914" s="144"/>
      <c r="T5914" s="131"/>
      <c r="U5914" s="131"/>
      <c r="V5914" s="131"/>
      <c r="W5914" s="131"/>
      <c r="X5914" s="145"/>
      <c r="Y5914" s="146"/>
      <c r="Z5914" s="147"/>
      <c r="AA5914" s="147"/>
      <c r="AB5914" s="110"/>
      <c r="AC5914" s="132"/>
      <c r="AD5914" s="148"/>
      <c r="AE5914" s="148"/>
    </row>
    <row r="5915" customFormat="false" ht="15" hidden="false" customHeight="true" outlineLevel="0" collapsed="false">
      <c r="A5915" s="141"/>
      <c r="B5915" s="131"/>
      <c r="C5915" s="132"/>
      <c r="D5915" s="131"/>
      <c r="E5915" s="110"/>
      <c r="F5915" s="110"/>
      <c r="G5915" s="110"/>
      <c r="H5915" s="131"/>
      <c r="I5915" s="131"/>
      <c r="J5915" s="142"/>
      <c r="K5915" s="142"/>
      <c r="L5915" s="140"/>
      <c r="M5915" s="131"/>
      <c r="N5915" s="131"/>
      <c r="O5915" s="131"/>
      <c r="P5915" s="143"/>
      <c r="Q5915" s="66"/>
      <c r="R5915" s="131"/>
      <c r="S5915" s="144"/>
      <c r="T5915" s="131"/>
      <c r="U5915" s="131"/>
      <c r="V5915" s="131"/>
      <c r="W5915" s="131"/>
      <c r="X5915" s="145"/>
      <c r="Y5915" s="146"/>
      <c r="Z5915" s="147"/>
      <c r="AA5915" s="147"/>
      <c r="AB5915" s="110"/>
      <c r="AC5915" s="132"/>
      <c r="AD5915" s="148"/>
      <c r="AE5915" s="148"/>
    </row>
    <row r="5916" customFormat="false" ht="15" hidden="false" customHeight="true" outlineLevel="0" collapsed="false">
      <c r="A5916" s="141"/>
      <c r="B5916" s="131"/>
      <c r="C5916" s="132"/>
      <c r="D5916" s="131"/>
      <c r="E5916" s="110"/>
      <c r="F5916" s="110"/>
      <c r="G5916" s="110"/>
      <c r="H5916" s="131"/>
      <c r="I5916" s="131"/>
      <c r="J5916" s="142"/>
      <c r="K5916" s="142"/>
      <c r="L5916" s="140"/>
      <c r="M5916" s="131"/>
      <c r="N5916" s="131"/>
      <c r="O5916" s="131"/>
      <c r="P5916" s="143"/>
      <c r="Q5916" s="66"/>
      <c r="R5916" s="131"/>
      <c r="S5916" s="144"/>
      <c r="T5916" s="131"/>
      <c r="U5916" s="131"/>
      <c r="V5916" s="131"/>
      <c r="W5916" s="131"/>
      <c r="X5916" s="145"/>
      <c r="Y5916" s="146"/>
      <c r="Z5916" s="147"/>
      <c r="AA5916" s="147"/>
      <c r="AB5916" s="110"/>
      <c r="AC5916" s="132"/>
      <c r="AD5916" s="148"/>
      <c r="AE5916" s="148"/>
    </row>
    <row r="5917" customFormat="false" ht="15" hidden="false" customHeight="true" outlineLevel="0" collapsed="false">
      <c r="A5917" s="141"/>
      <c r="B5917" s="131"/>
      <c r="C5917" s="132"/>
      <c r="D5917" s="131"/>
      <c r="E5917" s="110"/>
      <c r="F5917" s="110"/>
      <c r="G5917" s="110"/>
      <c r="H5917" s="131"/>
      <c r="I5917" s="131"/>
      <c r="J5917" s="142"/>
      <c r="K5917" s="142"/>
      <c r="L5917" s="140"/>
      <c r="M5917" s="131"/>
      <c r="N5917" s="131"/>
      <c r="O5917" s="131"/>
      <c r="P5917" s="143"/>
      <c r="Q5917" s="66"/>
      <c r="R5917" s="131"/>
      <c r="S5917" s="144"/>
      <c r="T5917" s="131"/>
      <c r="U5917" s="131"/>
      <c r="V5917" s="131"/>
      <c r="W5917" s="131"/>
      <c r="X5917" s="145"/>
      <c r="Y5917" s="146"/>
      <c r="Z5917" s="147"/>
      <c r="AA5917" s="147"/>
      <c r="AB5917" s="110"/>
      <c r="AC5917" s="132"/>
      <c r="AD5917" s="148"/>
      <c r="AE5917" s="148"/>
    </row>
    <row r="5918" customFormat="false" ht="15" hidden="false" customHeight="true" outlineLevel="0" collapsed="false">
      <c r="A5918" s="141"/>
      <c r="B5918" s="131"/>
      <c r="C5918" s="132"/>
      <c r="D5918" s="131"/>
      <c r="E5918" s="110"/>
      <c r="F5918" s="110"/>
      <c r="G5918" s="110"/>
      <c r="H5918" s="131"/>
      <c r="I5918" s="131"/>
      <c r="J5918" s="142"/>
      <c r="K5918" s="142"/>
      <c r="L5918" s="140"/>
      <c r="M5918" s="131"/>
      <c r="N5918" s="131"/>
      <c r="O5918" s="131"/>
      <c r="P5918" s="143"/>
      <c r="Q5918" s="66"/>
      <c r="R5918" s="131"/>
      <c r="S5918" s="144"/>
      <c r="T5918" s="131"/>
      <c r="U5918" s="131"/>
      <c r="V5918" s="131"/>
      <c r="W5918" s="131"/>
      <c r="X5918" s="145"/>
      <c r="Y5918" s="146"/>
      <c r="Z5918" s="147"/>
      <c r="AA5918" s="147"/>
      <c r="AB5918" s="110"/>
      <c r="AC5918" s="132"/>
      <c r="AD5918" s="148"/>
      <c r="AE5918" s="148"/>
    </row>
    <row r="5919" customFormat="false" ht="15" hidden="false" customHeight="true" outlineLevel="0" collapsed="false">
      <c r="A5919" s="141"/>
      <c r="B5919" s="131"/>
      <c r="C5919" s="132"/>
      <c r="D5919" s="131"/>
      <c r="E5919" s="110"/>
      <c r="F5919" s="110"/>
      <c r="G5919" s="110"/>
      <c r="H5919" s="131"/>
      <c r="I5919" s="131"/>
      <c r="J5919" s="142"/>
      <c r="K5919" s="142"/>
      <c r="L5919" s="140"/>
      <c r="M5919" s="131"/>
      <c r="N5919" s="131"/>
      <c r="O5919" s="131"/>
      <c r="P5919" s="143"/>
      <c r="Q5919" s="66"/>
      <c r="R5919" s="131"/>
      <c r="S5919" s="144"/>
      <c r="T5919" s="131"/>
      <c r="U5919" s="131"/>
      <c r="V5919" s="131"/>
      <c r="W5919" s="131"/>
      <c r="X5919" s="145"/>
      <c r="Y5919" s="146"/>
      <c r="Z5919" s="147"/>
      <c r="AA5919" s="147"/>
      <c r="AB5919" s="110"/>
      <c r="AC5919" s="132"/>
      <c r="AD5919" s="148"/>
      <c r="AE5919" s="148"/>
    </row>
    <row r="5920" customFormat="false" ht="15" hidden="false" customHeight="true" outlineLevel="0" collapsed="false">
      <c r="A5920" s="141"/>
      <c r="B5920" s="131"/>
      <c r="C5920" s="132"/>
      <c r="D5920" s="131"/>
      <c r="E5920" s="110"/>
      <c r="F5920" s="110"/>
      <c r="G5920" s="110"/>
      <c r="H5920" s="131"/>
      <c r="I5920" s="131"/>
      <c r="J5920" s="142"/>
      <c r="K5920" s="142"/>
      <c r="L5920" s="140"/>
      <c r="M5920" s="131"/>
      <c r="N5920" s="131"/>
      <c r="O5920" s="131"/>
      <c r="P5920" s="143"/>
      <c r="Q5920" s="66"/>
      <c r="R5920" s="131"/>
      <c r="S5920" s="144"/>
      <c r="T5920" s="131"/>
      <c r="U5920" s="131"/>
      <c r="V5920" s="131"/>
      <c r="W5920" s="131"/>
      <c r="X5920" s="145"/>
      <c r="Y5920" s="146"/>
      <c r="Z5920" s="147"/>
      <c r="AA5920" s="147"/>
      <c r="AB5920" s="110"/>
      <c r="AC5920" s="132"/>
      <c r="AD5920" s="148"/>
      <c r="AE5920" s="148"/>
    </row>
    <row r="5921" customFormat="false" ht="15" hidden="false" customHeight="true" outlineLevel="0" collapsed="false">
      <c r="A5921" s="141"/>
      <c r="B5921" s="131"/>
      <c r="C5921" s="132"/>
      <c r="D5921" s="131"/>
      <c r="E5921" s="110"/>
      <c r="F5921" s="110"/>
      <c r="G5921" s="110"/>
      <c r="H5921" s="131"/>
      <c r="I5921" s="131"/>
      <c r="J5921" s="142"/>
      <c r="K5921" s="142"/>
      <c r="L5921" s="140"/>
      <c r="M5921" s="131"/>
      <c r="N5921" s="131"/>
      <c r="O5921" s="131"/>
      <c r="P5921" s="143"/>
      <c r="Q5921" s="66"/>
      <c r="R5921" s="131"/>
      <c r="S5921" s="144"/>
      <c r="T5921" s="131"/>
      <c r="U5921" s="131"/>
      <c r="V5921" s="131"/>
      <c r="W5921" s="131"/>
      <c r="X5921" s="145"/>
      <c r="Y5921" s="146"/>
      <c r="Z5921" s="147"/>
      <c r="AA5921" s="147"/>
      <c r="AB5921" s="110"/>
      <c r="AC5921" s="132"/>
      <c r="AD5921" s="148"/>
      <c r="AE5921" s="148"/>
    </row>
    <row r="5922" customFormat="false" ht="15" hidden="false" customHeight="true" outlineLevel="0" collapsed="false">
      <c r="A5922" s="141"/>
      <c r="B5922" s="131"/>
      <c r="C5922" s="132"/>
      <c r="D5922" s="131"/>
      <c r="E5922" s="110"/>
      <c r="F5922" s="110"/>
      <c r="G5922" s="110"/>
      <c r="H5922" s="131"/>
      <c r="I5922" s="131"/>
      <c r="J5922" s="142"/>
      <c r="K5922" s="142"/>
      <c r="L5922" s="140"/>
      <c r="M5922" s="131"/>
      <c r="N5922" s="131"/>
      <c r="O5922" s="131"/>
      <c r="P5922" s="143"/>
      <c r="Q5922" s="66"/>
      <c r="R5922" s="131"/>
      <c r="S5922" s="144"/>
      <c r="T5922" s="131"/>
      <c r="U5922" s="131"/>
      <c r="V5922" s="131"/>
      <c r="W5922" s="131"/>
      <c r="X5922" s="145"/>
      <c r="Y5922" s="146"/>
      <c r="Z5922" s="147"/>
      <c r="AA5922" s="147"/>
      <c r="AB5922" s="110"/>
      <c r="AC5922" s="132"/>
      <c r="AD5922" s="148"/>
      <c r="AE5922" s="148"/>
    </row>
    <row r="5923" customFormat="false" ht="15" hidden="false" customHeight="true" outlineLevel="0" collapsed="false">
      <c r="A5923" s="141"/>
      <c r="B5923" s="131"/>
      <c r="C5923" s="132"/>
      <c r="D5923" s="131"/>
      <c r="E5923" s="110"/>
      <c r="F5923" s="110"/>
      <c r="G5923" s="110"/>
      <c r="H5923" s="131"/>
      <c r="I5923" s="131"/>
      <c r="J5923" s="142"/>
      <c r="K5923" s="142"/>
      <c r="L5923" s="140"/>
      <c r="M5923" s="131"/>
      <c r="N5923" s="131"/>
      <c r="O5923" s="131"/>
      <c r="P5923" s="143"/>
      <c r="Q5923" s="66"/>
      <c r="R5923" s="131"/>
      <c r="S5923" s="144"/>
      <c r="T5923" s="131"/>
      <c r="U5923" s="131"/>
      <c r="V5923" s="131"/>
      <c r="W5923" s="131"/>
      <c r="X5923" s="145"/>
      <c r="Y5923" s="146"/>
      <c r="Z5923" s="147"/>
      <c r="AA5923" s="147"/>
      <c r="AB5923" s="110"/>
      <c r="AC5923" s="132"/>
      <c r="AD5923" s="148"/>
      <c r="AE5923" s="148"/>
    </row>
    <row r="5924" customFormat="false" ht="15" hidden="false" customHeight="true" outlineLevel="0" collapsed="false">
      <c r="A5924" s="141"/>
      <c r="B5924" s="131"/>
      <c r="C5924" s="132"/>
      <c r="D5924" s="131"/>
      <c r="E5924" s="110"/>
      <c r="F5924" s="110"/>
      <c r="G5924" s="110"/>
      <c r="H5924" s="131"/>
      <c r="I5924" s="131"/>
      <c r="J5924" s="142"/>
      <c r="K5924" s="142"/>
      <c r="L5924" s="140"/>
      <c r="M5924" s="131"/>
      <c r="N5924" s="131"/>
      <c r="O5924" s="131"/>
      <c r="P5924" s="143"/>
      <c r="Q5924" s="66"/>
      <c r="R5924" s="131"/>
      <c r="S5924" s="144"/>
      <c r="T5924" s="131"/>
      <c r="U5924" s="131"/>
      <c r="V5924" s="131"/>
      <c r="W5924" s="131"/>
      <c r="X5924" s="145"/>
      <c r="Y5924" s="146"/>
      <c r="Z5924" s="147"/>
      <c r="AA5924" s="147"/>
      <c r="AB5924" s="110"/>
      <c r="AC5924" s="132"/>
      <c r="AD5924" s="148"/>
      <c r="AE5924" s="148"/>
    </row>
    <row r="5925" customFormat="false" ht="15" hidden="false" customHeight="true" outlineLevel="0" collapsed="false">
      <c r="A5925" s="141"/>
      <c r="B5925" s="131"/>
      <c r="C5925" s="132"/>
      <c r="D5925" s="131"/>
      <c r="E5925" s="110"/>
      <c r="F5925" s="110"/>
      <c r="G5925" s="110"/>
      <c r="H5925" s="131"/>
      <c r="I5925" s="131"/>
      <c r="J5925" s="142"/>
      <c r="K5925" s="142"/>
      <c r="L5925" s="140"/>
      <c r="M5925" s="131"/>
      <c r="N5925" s="131"/>
      <c r="O5925" s="131"/>
      <c r="P5925" s="143"/>
      <c r="Q5925" s="66"/>
      <c r="R5925" s="131"/>
      <c r="S5925" s="144"/>
      <c r="T5925" s="131"/>
      <c r="U5925" s="131"/>
      <c r="V5925" s="131"/>
      <c r="W5925" s="131"/>
      <c r="X5925" s="145"/>
      <c r="Y5925" s="146"/>
      <c r="Z5925" s="147"/>
      <c r="AA5925" s="147"/>
      <c r="AB5925" s="110"/>
      <c r="AC5925" s="132"/>
      <c r="AD5925" s="148"/>
      <c r="AE5925" s="148"/>
    </row>
    <row r="5926" customFormat="false" ht="15" hidden="false" customHeight="true" outlineLevel="0" collapsed="false">
      <c r="A5926" s="141"/>
      <c r="B5926" s="131"/>
      <c r="C5926" s="132"/>
      <c r="D5926" s="131"/>
      <c r="E5926" s="110"/>
      <c r="F5926" s="110"/>
      <c r="G5926" s="110"/>
      <c r="H5926" s="131"/>
      <c r="I5926" s="131"/>
      <c r="J5926" s="142"/>
      <c r="K5926" s="142"/>
      <c r="L5926" s="140"/>
      <c r="M5926" s="131"/>
      <c r="N5926" s="131"/>
      <c r="O5926" s="131"/>
      <c r="P5926" s="143"/>
      <c r="Q5926" s="66"/>
      <c r="R5926" s="131"/>
      <c r="S5926" s="144"/>
      <c r="T5926" s="131"/>
      <c r="U5926" s="131"/>
      <c r="V5926" s="131"/>
      <c r="W5926" s="131"/>
      <c r="X5926" s="145"/>
      <c r="Y5926" s="146"/>
      <c r="Z5926" s="147"/>
      <c r="AA5926" s="147"/>
      <c r="AB5926" s="110"/>
      <c r="AC5926" s="132"/>
      <c r="AD5926" s="148"/>
      <c r="AE5926" s="148"/>
    </row>
    <row r="5927" customFormat="false" ht="15" hidden="false" customHeight="true" outlineLevel="0" collapsed="false">
      <c r="A5927" s="141"/>
      <c r="B5927" s="131"/>
      <c r="C5927" s="132"/>
      <c r="D5927" s="131"/>
      <c r="E5927" s="110"/>
      <c r="F5927" s="110"/>
      <c r="G5927" s="110"/>
      <c r="H5927" s="131"/>
      <c r="I5927" s="131"/>
      <c r="J5927" s="142"/>
      <c r="K5927" s="142"/>
      <c r="L5927" s="140"/>
      <c r="M5927" s="131"/>
      <c r="N5927" s="131"/>
      <c r="O5927" s="131"/>
      <c r="P5927" s="143"/>
      <c r="Q5927" s="66"/>
      <c r="R5927" s="131"/>
      <c r="S5927" s="144"/>
      <c r="T5927" s="131"/>
      <c r="U5927" s="131"/>
      <c r="V5927" s="131"/>
      <c r="W5927" s="131"/>
      <c r="X5927" s="145"/>
      <c r="Y5927" s="146"/>
      <c r="Z5927" s="147"/>
      <c r="AA5927" s="147"/>
      <c r="AB5927" s="110"/>
      <c r="AC5927" s="132"/>
      <c r="AD5927" s="148"/>
      <c r="AE5927" s="148"/>
    </row>
    <row r="5928" customFormat="false" ht="15" hidden="false" customHeight="true" outlineLevel="0" collapsed="false">
      <c r="A5928" s="141"/>
      <c r="B5928" s="131"/>
      <c r="C5928" s="132"/>
      <c r="D5928" s="131"/>
      <c r="E5928" s="110"/>
      <c r="F5928" s="110"/>
      <c r="G5928" s="110"/>
      <c r="H5928" s="131"/>
      <c r="I5928" s="131"/>
      <c r="J5928" s="142"/>
      <c r="K5928" s="142"/>
      <c r="L5928" s="140"/>
      <c r="M5928" s="131"/>
      <c r="N5928" s="131"/>
      <c r="O5928" s="131"/>
      <c r="P5928" s="143"/>
      <c r="Q5928" s="66"/>
      <c r="R5928" s="131"/>
      <c r="S5928" s="144"/>
      <c r="T5928" s="131"/>
      <c r="U5928" s="131"/>
      <c r="V5928" s="131"/>
      <c r="W5928" s="131"/>
      <c r="X5928" s="145"/>
      <c r="Y5928" s="146"/>
      <c r="Z5928" s="147"/>
      <c r="AA5928" s="147"/>
      <c r="AB5928" s="110"/>
      <c r="AC5928" s="132"/>
      <c r="AD5928" s="148"/>
      <c r="AE5928" s="148"/>
    </row>
    <row r="5929" customFormat="false" ht="15" hidden="false" customHeight="true" outlineLevel="0" collapsed="false">
      <c r="A5929" s="141"/>
      <c r="B5929" s="131"/>
      <c r="C5929" s="132"/>
      <c r="D5929" s="131"/>
      <c r="E5929" s="110"/>
      <c r="F5929" s="110"/>
      <c r="G5929" s="110"/>
      <c r="H5929" s="131"/>
      <c r="I5929" s="131"/>
      <c r="J5929" s="142"/>
      <c r="K5929" s="142"/>
      <c r="L5929" s="140"/>
      <c r="M5929" s="131"/>
      <c r="N5929" s="131"/>
      <c r="O5929" s="131"/>
      <c r="P5929" s="143"/>
      <c r="Q5929" s="66"/>
      <c r="R5929" s="131"/>
      <c r="S5929" s="144"/>
      <c r="T5929" s="131"/>
      <c r="U5929" s="131"/>
      <c r="V5929" s="131"/>
      <c r="W5929" s="131"/>
      <c r="X5929" s="145"/>
      <c r="Y5929" s="146"/>
      <c r="Z5929" s="147"/>
      <c r="AA5929" s="147"/>
      <c r="AB5929" s="110"/>
      <c r="AC5929" s="132"/>
      <c r="AD5929" s="148"/>
      <c r="AE5929" s="148"/>
    </row>
    <row r="5930" customFormat="false" ht="15" hidden="false" customHeight="true" outlineLevel="0" collapsed="false">
      <c r="A5930" s="141"/>
      <c r="B5930" s="131"/>
      <c r="C5930" s="132"/>
      <c r="D5930" s="131"/>
      <c r="E5930" s="110"/>
      <c r="F5930" s="110"/>
      <c r="G5930" s="110"/>
      <c r="H5930" s="131"/>
      <c r="I5930" s="131"/>
      <c r="J5930" s="142"/>
      <c r="K5930" s="142"/>
      <c r="L5930" s="140"/>
      <c r="M5930" s="131"/>
      <c r="N5930" s="131"/>
      <c r="O5930" s="131"/>
      <c r="P5930" s="143"/>
      <c r="Q5930" s="66"/>
      <c r="R5930" s="131"/>
      <c r="S5930" s="144"/>
      <c r="T5930" s="131"/>
      <c r="U5930" s="131"/>
      <c r="V5930" s="131"/>
      <c r="W5930" s="131"/>
      <c r="X5930" s="145"/>
      <c r="Y5930" s="146"/>
      <c r="Z5930" s="147"/>
      <c r="AA5930" s="147"/>
      <c r="AB5930" s="110"/>
      <c r="AC5930" s="132"/>
      <c r="AD5930" s="148"/>
      <c r="AE5930" s="148"/>
    </row>
    <row r="5931" customFormat="false" ht="15" hidden="false" customHeight="true" outlineLevel="0" collapsed="false">
      <c r="A5931" s="141"/>
      <c r="B5931" s="131"/>
      <c r="C5931" s="132"/>
      <c r="D5931" s="131"/>
      <c r="E5931" s="110"/>
      <c r="F5931" s="110"/>
      <c r="G5931" s="110"/>
      <c r="H5931" s="131"/>
      <c r="I5931" s="131"/>
      <c r="J5931" s="142"/>
      <c r="K5931" s="142"/>
      <c r="L5931" s="140"/>
      <c r="M5931" s="131"/>
      <c r="N5931" s="131"/>
      <c r="O5931" s="131"/>
      <c r="P5931" s="143"/>
      <c r="Q5931" s="66"/>
      <c r="R5931" s="131"/>
      <c r="S5931" s="144"/>
      <c r="T5931" s="131"/>
      <c r="U5931" s="131"/>
      <c r="V5931" s="131"/>
      <c r="W5931" s="131"/>
      <c r="X5931" s="145"/>
      <c r="Y5931" s="146"/>
      <c r="Z5931" s="147"/>
      <c r="AA5931" s="147"/>
      <c r="AB5931" s="110"/>
      <c r="AC5931" s="132"/>
      <c r="AD5931" s="148"/>
      <c r="AE5931" s="148"/>
    </row>
    <row r="5932" customFormat="false" ht="15" hidden="false" customHeight="true" outlineLevel="0" collapsed="false">
      <c r="A5932" s="141"/>
      <c r="B5932" s="131"/>
      <c r="C5932" s="132"/>
      <c r="D5932" s="131"/>
      <c r="E5932" s="110"/>
      <c r="F5932" s="110"/>
      <c r="G5932" s="110"/>
      <c r="H5932" s="131"/>
      <c r="I5932" s="131"/>
      <c r="J5932" s="142"/>
      <c r="K5932" s="142"/>
      <c r="L5932" s="140"/>
      <c r="M5932" s="131"/>
      <c r="N5932" s="131"/>
      <c r="O5932" s="131"/>
      <c r="P5932" s="143"/>
      <c r="Q5932" s="66"/>
      <c r="R5932" s="131"/>
      <c r="S5932" s="144"/>
      <c r="T5932" s="131"/>
      <c r="U5932" s="131"/>
      <c r="V5932" s="131"/>
      <c r="W5932" s="131"/>
      <c r="X5932" s="145"/>
      <c r="Y5932" s="146"/>
      <c r="Z5932" s="147"/>
      <c r="AA5932" s="147"/>
      <c r="AB5932" s="110"/>
      <c r="AC5932" s="132"/>
      <c r="AD5932" s="148"/>
      <c r="AE5932" s="148"/>
    </row>
    <row r="5933" customFormat="false" ht="15" hidden="false" customHeight="true" outlineLevel="0" collapsed="false">
      <c r="A5933" s="141"/>
      <c r="B5933" s="131"/>
      <c r="C5933" s="132"/>
      <c r="D5933" s="131"/>
      <c r="E5933" s="110"/>
      <c r="F5933" s="110"/>
      <c r="G5933" s="110"/>
      <c r="H5933" s="131"/>
      <c r="I5933" s="131"/>
      <c r="J5933" s="142"/>
      <c r="K5933" s="142"/>
      <c r="L5933" s="140"/>
      <c r="M5933" s="131"/>
      <c r="N5933" s="131"/>
      <c r="O5933" s="131"/>
      <c r="P5933" s="143"/>
      <c r="Q5933" s="66"/>
      <c r="R5933" s="131"/>
      <c r="S5933" s="144"/>
      <c r="T5933" s="131"/>
      <c r="U5933" s="131"/>
      <c r="V5933" s="131"/>
      <c r="W5933" s="131"/>
      <c r="X5933" s="145"/>
      <c r="Y5933" s="146"/>
      <c r="Z5933" s="147"/>
      <c r="AA5933" s="147"/>
      <c r="AB5933" s="110"/>
      <c r="AC5933" s="132"/>
      <c r="AD5933" s="148"/>
      <c r="AE5933" s="148"/>
    </row>
    <row r="5934" customFormat="false" ht="15" hidden="false" customHeight="true" outlineLevel="0" collapsed="false">
      <c r="A5934" s="141"/>
      <c r="B5934" s="131"/>
      <c r="C5934" s="132"/>
      <c r="D5934" s="131"/>
      <c r="E5934" s="110"/>
      <c r="F5934" s="110"/>
      <c r="G5934" s="110"/>
      <c r="H5934" s="131"/>
      <c r="I5934" s="131"/>
      <c r="J5934" s="142"/>
      <c r="K5934" s="142"/>
      <c r="L5934" s="140"/>
      <c r="M5934" s="131"/>
      <c r="N5934" s="131"/>
      <c r="O5934" s="131"/>
      <c r="P5934" s="143"/>
      <c r="Q5934" s="66"/>
      <c r="R5934" s="131"/>
      <c r="S5934" s="144"/>
      <c r="T5934" s="131"/>
      <c r="U5934" s="131"/>
      <c r="V5934" s="131"/>
      <c r="W5934" s="131"/>
      <c r="X5934" s="145"/>
      <c r="Y5934" s="146"/>
      <c r="Z5934" s="147"/>
      <c r="AA5934" s="147"/>
      <c r="AB5934" s="110"/>
      <c r="AC5934" s="132"/>
      <c r="AD5934" s="148"/>
      <c r="AE5934" s="148"/>
    </row>
    <row r="5935" customFormat="false" ht="15" hidden="false" customHeight="true" outlineLevel="0" collapsed="false">
      <c r="A5935" s="141"/>
      <c r="B5935" s="131"/>
      <c r="C5935" s="132"/>
      <c r="D5935" s="131"/>
      <c r="E5935" s="110"/>
      <c r="F5935" s="110"/>
      <c r="G5935" s="110"/>
      <c r="H5935" s="131"/>
      <c r="I5935" s="131"/>
      <c r="J5935" s="142"/>
      <c r="K5935" s="142"/>
      <c r="L5935" s="140"/>
      <c r="M5935" s="131"/>
      <c r="N5935" s="131"/>
      <c r="O5935" s="131"/>
      <c r="P5935" s="143"/>
      <c r="Q5935" s="66"/>
      <c r="R5935" s="131"/>
      <c r="S5935" s="144"/>
      <c r="T5935" s="131"/>
      <c r="U5935" s="131"/>
      <c r="V5935" s="131"/>
      <c r="W5935" s="131"/>
      <c r="X5935" s="145"/>
      <c r="Y5935" s="146"/>
      <c r="Z5935" s="147"/>
      <c r="AA5935" s="147"/>
      <c r="AB5935" s="110"/>
      <c r="AC5935" s="132"/>
      <c r="AD5935" s="148"/>
      <c r="AE5935" s="148"/>
    </row>
    <row r="5936" customFormat="false" ht="15" hidden="false" customHeight="true" outlineLevel="0" collapsed="false">
      <c r="A5936" s="141"/>
      <c r="B5936" s="131"/>
      <c r="C5936" s="132"/>
      <c r="D5936" s="131"/>
      <c r="E5936" s="110"/>
      <c r="F5936" s="110"/>
      <c r="G5936" s="110"/>
      <c r="H5936" s="131"/>
      <c r="I5936" s="131"/>
      <c r="J5936" s="142"/>
      <c r="K5936" s="142"/>
      <c r="L5936" s="140"/>
      <c r="M5936" s="131"/>
      <c r="N5936" s="131"/>
      <c r="O5936" s="131"/>
      <c r="P5936" s="143"/>
      <c r="Q5936" s="66"/>
      <c r="R5936" s="131"/>
      <c r="S5936" s="144"/>
      <c r="T5936" s="131"/>
      <c r="U5936" s="131"/>
      <c r="V5936" s="131"/>
      <c r="W5936" s="131"/>
      <c r="X5936" s="145"/>
      <c r="Y5936" s="146"/>
      <c r="Z5936" s="147"/>
      <c r="AA5936" s="147"/>
      <c r="AB5936" s="110"/>
      <c r="AC5936" s="132"/>
      <c r="AD5936" s="148"/>
      <c r="AE5936" s="148"/>
    </row>
    <row r="5937" customFormat="false" ht="15" hidden="false" customHeight="true" outlineLevel="0" collapsed="false">
      <c r="A5937" s="141"/>
      <c r="B5937" s="131"/>
      <c r="C5937" s="132"/>
      <c r="D5937" s="131"/>
      <c r="E5937" s="110"/>
      <c r="F5937" s="110"/>
      <c r="G5937" s="110"/>
      <c r="H5937" s="131"/>
      <c r="I5937" s="131"/>
      <c r="J5937" s="142"/>
      <c r="K5937" s="142"/>
      <c r="L5937" s="140"/>
      <c r="M5937" s="131"/>
      <c r="N5937" s="131"/>
      <c r="O5937" s="131"/>
      <c r="P5937" s="143"/>
      <c r="Q5937" s="66"/>
      <c r="R5937" s="131"/>
      <c r="S5937" s="144"/>
      <c r="T5937" s="131"/>
      <c r="U5937" s="131"/>
      <c r="V5937" s="131"/>
      <c r="W5937" s="131"/>
      <c r="X5937" s="145"/>
      <c r="Y5937" s="146"/>
      <c r="Z5937" s="147"/>
      <c r="AA5937" s="147"/>
      <c r="AB5937" s="110"/>
      <c r="AC5937" s="132"/>
      <c r="AD5937" s="148"/>
      <c r="AE5937" s="148"/>
    </row>
    <row r="5938" customFormat="false" ht="15" hidden="false" customHeight="true" outlineLevel="0" collapsed="false">
      <c r="A5938" s="141"/>
      <c r="B5938" s="131"/>
      <c r="C5938" s="132"/>
      <c r="D5938" s="131"/>
      <c r="E5938" s="110"/>
      <c r="F5938" s="110"/>
      <c r="G5938" s="110"/>
      <c r="H5938" s="131"/>
      <c r="I5938" s="131"/>
      <c r="J5938" s="142"/>
      <c r="K5938" s="142"/>
      <c r="L5938" s="140"/>
      <c r="M5938" s="131"/>
      <c r="N5938" s="131"/>
      <c r="O5938" s="131"/>
      <c r="P5938" s="143"/>
      <c r="Q5938" s="66"/>
      <c r="R5938" s="131"/>
      <c r="S5938" s="144"/>
      <c r="T5938" s="131"/>
      <c r="U5938" s="131"/>
      <c r="V5938" s="131"/>
      <c r="W5938" s="131"/>
      <c r="X5938" s="145"/>
      <c r="Y5938" s="146"/>
      <c r="Z5938" s="147"/>
      <c r="AA5938" s="147"/>
      <c r="AB5938" s="110"/>
      <c r="AC5938" s="132"/>
      <c r="AD5938" s="148"/>
      <c r="AE5938" s="148"/>
    </row>
    <row r="5939" customFormat="false" ht="15" hidden="false" customHeight="true" outlineLevel="0" collapsed="false">
      <c r="A5939" s="141"/>
      <c r="B5939" s="131"/>
      <c r="C5939" s="132"/>
      <c r="D5939" s="131"/>
      <c r="E5939" s="110"/>
      <c r="F5939" s="110"/>
      <c r="G5939" s="110"/>
      <c r="H5939" s="131"/>
      <c r="I5939" s="131"/>
      <c r="J5939" s="142"/>
      <c r="K5939" s="142"/>
      <c r="L5939" s="140"/>
      <c r="M5939" s="131"/>
      <c r="N5939" s="131"/>
      <c r="O5939" s="131"/>
      <c r="P5939" s="143"/>
      <c r="Q5939" s="66"/>
      <c r="R5939" s="131"/>
      <c r="S5939" s="144"/>
      <c r="T5939" s="131"/>
      <c r="U5939" s="131"/>
      <c r="V5939" s="131"/>
      <c r="W5939" s="131"/>
      <c r="X5939" s="145"/>
      <c r="Y5939" s="146"/>
      <c r="Z5939" s="147"/>
      <c r="AA5939" s="147"/>
      <c r="AB5939" s="110"/>
      <c r="AC5939" s="132"/>
      <c r="AD5939" s="148"/>
      <c r="AE5939" s="148"/>
    </row>
    <row r="5940" customFormat="false" ht="15" hidden="false" customHeight="true" outlineLevel="0" collapsed="false">
      <c r="A5940" s="141"/>
      <c r="B5940" s="131"/>
      <c r="C5940" s="132"/>
      <c r="D5940" s="131"/>
      <c r="E5940" s="110"/>
      <c r="F5940" s="110"/>
      <c r="G5940" s="110"/>
      <c r="H5940" s="131"/>
      <c r="I5940" s="131"/>
      <c r="J5940" s="142"/>
      <c r="K5940" s="142"/>
      <c r="L5940" s="140"/>
      <c r="M5940" s="131"/>
      <c r="N5940" s="131"/>
      <c r="O5940" s="131"/>
      <c r="P5940" s="143"/>
      <c r="Q5940" s="66"/>
      <c r="R5940" s="131"/>
      <c r="S5940" s="144"/>
      <c r="T5940" s="131"/>
      <c r="U5940" s="131"/>
      <c r="V5940" s="131"/>
      <c r="W5940" s="131"/>
      <c r="X5940" s="145"/>
      <c r="Y5940" s="146"/>
      <c r="Z5940" s="147"/>
      <c r="AA5940" s="147"/>
      <c r="AB5940" s="110"/>
      <c r="AC5940" s="132"/>
      <c r="AD5940" s="148"/>
      <c r="AE5940" s="148"/>
    </row>
    <row r="5941" customFormat="false" ht="15" hidden="false" customHeight="true" outlineLevel="0" collapsed="false">
      <c r="A5941" s="141"/>
      <c r="B5941" s="131"/>
      <c r="C5941" s="132"/>
      <c r="D5941" s="131"/>
      <c r="E5941" s="110"/>
      <c r="F5941" s="110"/>
      <c r="G5941" s="110"/>
      <c r="H5941" s="131"/>
      <c r="I5941" s="131"/>
      <c r="J5941" s="142"/>
      <c r="K5941" s="142"/>
      <c r="L5941" s="140"/>
      <c r="M5941" s="131"/>
      <c r="N5941" s="131"/>
      <c r="O5941" s="131"/>
      <c r="P5941" s="143"/>
      <c r="Q5941" s="66"/>
      <c r="R5941" s="131"/>
      <c r="S5941" s="144"/>
      <c r="T5941" s="131"/>
      <c r="U5941" s="131"/>
      <c r="V5941" s="131"/>
      <c r="W5941" s="131"/>
      <c r="X5941" s="145"/>
      <c r="Y5941" s="146"/>
      <c r="Z5941" s="147"/>
      <c r="AA5941" s="147"/>
      <c r="AB5941" s="110"/>
      <c r="AC5941" s="132"/>
      <c r="AD5941" s="148"/>
      <c r="AE5941" s="148"/>
    </row>
    <row r="5942" customFormat="false" ht="15" hidden="false" customHeight="true" outlineLevel="0" collapsed="false">
      <c r="A5942" s="141"/>
      <c r="B5942" s="131"/>
      <c r="C5942" s="132"/>
      <c r="D5942" s="131"/>
      <c r="E5942" s="110"/>
      <c r="F5942" s="110"/>
      <c r="G5942" s="110"/>
      <c r="H5942" s="131"/>
      <c r="I5942" s="131"/>
      <c r="J5942" s="142"/>
      <c r="K5942" s="142"/>
      <c r="L5942" s="140"/>
      <c r="M5942" s="131"/>
      <c r="N5942" s="131"/>
      <c r="O5942" s="131"/>
      <c r="P5942" s="143"/>
      <c r="Q5942" s="66"/>
      <c r="R5942" s="131"/>
      <c r="S5942" s="144"/>
      <c r="T5942" s="131"/>
      <c r="U5942" s="131"/>
      <c r="V5942" s="131"/>
      <c r="W5942" s="131"/>
      <c r="X5942" s="145"/>
      <c r="Y5942" s="146"/>
      <c r="Z5942" s="147"/>
      <c r="AA5942" s="147"/>
      <c r="AB5942" s="110"/>
      <c r="AC5942" s="132"/>
      <c r="AD5942" s="148"/>
      <c r="AE5942" s="148"/>
    </row>
    <row r="5943" customFormat="false" ht="15" hidden="false" customHeight="true" outlineLevel="0" collapsed="false">
      <c r="A5943" s="141"/>
      <c r="B5943" s="131"/>
      <c r="C5943" s="132"/>
      <c r="D5943" s="131"/>
      <c r="E5943" s="110"/>
      <c r="F5943" s="110"/>
      <c r="G5943" s="110"/>
      <c r="H5943" s="131"/>
      <c r="I5943" s="131"/>
      <c r="J5943" s="142"/>
      <c r="K5943" s="142"/>
      <c r="L5943" s="140"/>
      <c r="M5943" s="131"/>
      <c r="N5943" s="131"/>
      <c r="O5943" s="131"/>
      <c r="P5943" s="143"/>
      <c r="Q5943" s="66"/>
      <c r="R5943" s="131"/>
      <c r="S5943" s="144"/>
      <c r="T5943" s="131"/>
      <c r="U5943" s="131"/>
      <c r="V5943" s="131"/>
      <c r="W5943" s="131"/>
      <c r="X5943" s="145"/>
      <c r="Y5943" s="146"/>
      <c r="Z5943" s="147"/>
      <c r="AA5943" s="147"/>
      <c r="AB5943" s="110"/>
      <c r="AC5943" s="132"/>
      <c r="AD5943" s="148"/>
      <c r="AE5943" s="148"/>
    </row>
    <row r="5944" customFormat="false" ht="15" hidden="false" customHeight="true" outlineLevel="0" collapsed="false">
      <c r="A5944" s="141"/>
      <c r="B5944" s="131"/>
      <c r="C5944" s="132"/>
      <c r="D5944" s="131"/>
      <c r="E5944" s="110"/>
      <c r="F5944" s="110"/>
      <c r="G5944" s="110"/>
      <c r="H5944" s="131"/>
      <c r="I5944" s="131"/>
      <c r="J5944" s="142"/>
      <c r="K5944" s="142"/>
      <c r="L5944" s="140"/>
      <c r="M5944" s="131"/>
      <c r="N5944" s="131"/>
      <c r="O5944" s="131"/>
      <c r="P5944" s="143"/>
      <c r="Q5944" s="66"/>
      <c r="R5944" s="131"/>
      <c r="S5944" s="144"/>
      <c r="T5944" s="131"/>
      <c r="U5944" s="131"/>
      <c r="V5944" s="131"/>
      <c r="W5944" s="131"/>
      <c r="X5944" s="145"/>
      <c r="Y5944" s="146"/>
      <c r="Z5944" s="147"/>
      <c r="AA5944" s="147"/>
      <c r="AB5944" s="110"/>
      <c r="AC5944" s="132"/>
      <c r="AD5944" s="148"/>
      <c r="AE5944" s="148"/>
    </row>
    <row r="5945" customFormat="false" ht="15" hidden="false" customHeight="true" outlineLevel="0" collapsed="false">
      <c r="A5945" s="141"/>
      <c r="B5945" s="131"/>
      <c r="C5945" s="132"/>
      <c r="D5945" s="131"/>
      <c r="E5945" s="110"/>
      <c r="F5945" s="110"/>
      <c r="G5945" s="110"/>
      <c r="H5945" s="131"/>
      <c r="I5945" s="131"/>
      <c r="J5945" s="142"/>
      <c r="K5945" s="142"/>
      <c r="L5945" s="140"/>
      <c r="M5945" s="131"/>
      <c r="N5945" s="131"/>
      <c r="O5945" s="131"/>
      <c r="P5945" s="143"/>
      <c r="Q5945" s="66"/>
      <c r="R5945" s="131"/>
      <c r="S5945" s="144"/>
      <c r="T5945" s="131"/>
      <c r="U5945" s="131"/>
      <c r="V5945" s="131"/>
      <c r="W5945" s="131"/>
      <c r="X5945" s="145"/>
      <c r="Y5945" s="146"/>
      <c r="Z5945" s="147"/>
      <c r="AA5945" s="147"/>
      <c r="AB5945" s="110"/>
      <c r="AC5945" s="132"/>
      <c r="AD5945" s="148"/>
      <c r="AE5945" s="148"/>
    </row>
    <row r="5946" customFormat="false" ht="15" hidden="false" customHeight="true" outlineLevel="0" collapsed="false">
      <c r="A5946" s="141"/>
      <c r="B5946" s="131"/>
      <c r="C5946" s="132"/>
      <c r="D5946" s="131"/>
      <c r="E5946" s="110"/>
      <c r="F5946" s="110"/>
      <c r="G5946" s="110"/>
      <c r="H5946" s="131"/>
      <c r="I5946" s="131"/>
      <c r="J5946" s="142"/>
      <c r="K5946" s="142"/>
      <c r="L5946" s="140"/>
      <c r="M5946" s="131"/>
      <c r="N5946" s="131"/>
      <c r="O5946" s="131"/>
      <c r="P5946" s="143"/>
      <c r="Q5946" s="66"/>
      <c r="R5946" s="131"/>
      <c r="S5946" s="144"/>
      <c r="T5946" s="131"/>
      <c r="U5946" s="131"/>
      <c r="V5946" s="131"/>
      <c r="W5946" s="131"/>
      <c r="X5946" s="145"/>
      <c r="Y5946" s="146"/>
      <c r="Z5946" s="147"/>
      <c r="AA5946" s="147"/>
      <c r="AB5946" s="110"/>
      <c r="AC5946" s="132"/>
      <c r="AD5946" s="148"/>
      <c r="AE5946" s="148"/>
    </row>
    <row r="5947" customFormat="false" ht="15" hidden="false" customHeight="true" outlineLevel="0" collapsed="false">
      <c r="A5947" s="141"/>
      <c r="B5947" s="131"/>
      <c r="C5947" s="132"/>
      <c r="D5947" s="131"/>
      <c r="E5947" s="110"/>
      <c r="F5947" s="110"/>
      <c r="G5947" s="110"/>
      <c r="H5947" s="131"/>
      <c r="I5947" s="131"/>
      <c r="J5947" s="142"/>
      <c r="K5947" s="142"/>
      <c r="L5947" s="140"/>
      <c r="M5947" s="131"/>
      <c r="N5947" s="131"/>
      <c r="O5947" s="131"/>
      <c r="P5947" s="143"/>
      <c r="Q5947" s="66"/>
      <c r="R5947" s="131"/>
      <c r="S5947" s="144"/>
      <c r="T5947" s="131"/>
      <c r="U5947" s="131"/>
      <c r="V5947" s="131"/>
      <c r="W5947" s="131"/>
      <c r="X5947" s="145"/>
      <c r="Y5947" s="146"/>
      <c r="Z5947" s="147"/>
      <c r="AA5947" s="147"/>
      <c r="AB5947" s="110"/>
      <c r="AC5947" s="132"/>
      <c r="AD5947" s="148"/>
      <c r="AE5947" s="148"/>
    </row>
    <row r="5948" customFormat="false" ht="15" hidden="false" customHeight="true" outlineLevel="0" collapsed="false">
      <c r="A5948" s="141"/>
      <c r="B5948" s="131"/>
      <c r="C5948" s="132"/>
      <c r="D5948" s="131"/>
      <c r="E5948" s="110"/>
      <c r="F5948" s="110"/>
      <c r="G5948" s="110"/>
      <c r="H5948" s="131"/>
      <c r="I5948" s="131"/>
      <c r="J5948" s="142"/>
      <c r="K5948" s="142"/>
      <c r="L5948" s="140"/>
      <c r="M5948" s="131"/>
      <c r="N5948" s="131"/>
      <c r="O5948" s="131"/>
      <c r="P5948" s="143"/>
      <c r="Q5948" s="66"/>
      <c r="R5948" s="131"/>
      <c r="S5948" s="144"/>
      <c r="T5948" s="131"/>
      <c r="U5948" s="131"/>
      <c r="V5948" s="131"/>
      <c r="W5948" s="131"/>
      <c r="X5948" s="145"/>
      <c r="Y5948" s="146"/>
      <c r="Z5948" s="147"/>
      <c r="AA5948" s="147"/>
      <c r="AB5948" s="110"/>
      <c r="AC5948" s="132"/>
      <c r="AD5948" s="148"/>
      <c r="AE5948" s="148"/>
    </row>
    <row r="5949" customFormat="false" ht="15" hidden="false" customHeight="true" outlineLevel="0" collapsed="false">
      <c r="A5949" s="141"/>
      <c r="B5949" s="131"/>
      <c r="C5949" s="132"/>
      <c r="D5949" s="131"/>
      <c r="E5949" s="110"/>
      <c r="F5949" s="110"/>
      <c r="G5949" s="110"/>
      <c r="H5949" s="131"/>
      <c r="I5949" s="131"/>
      <c r="J5949" s="142"/>
      <c r="K5949" s="142"/>
      <c r="L5949" s="140"/>
      <c r="M5949" s="131"/>
      <c r="N5949" s="131"/>
      <c r="O5949" s="131"/>
      <c r="P5949" s="143"/>
      <c r="Q5949" s="66"/>
      <c r="R5949" s="131"/>
      <c r="S5949" s="144"/>
      <c r="T5949" s="131"/>
      <c r="U5949" s="131"/>
      <c r="V5949" s="131"/>
      <c r="W5949" s="131"/>
      <c r="X5949" s="145"/>
      <c r="Y5949" s="146"/>
      <c r="Z5949" s="147"/>
      <c r="AA5949" s="147"/>
      <c r="AB5949" s="110"/>
      <c r="AC5949" s="132"/>
      <c r="AD5949" s="148"/>
      <c r="AE5949" s="148"/>
    </row>
    <row r="5950" customFormat="false" ht="15" hidden="false" customHeight="true" outlineLevel="0" collapsed="false">
      <c r="A5950" s="141"/>
      <c r="B5950" s="131"/>
      <c r="C5950" s="132"/>
      <c r="D5950" s="131"/>
      <c r="E5950" s="110"/>
      <c r="F5950" s="110"/>
      <c r="G5950" s="110"/>
      <c r="H5950" s="131"/>
      <c r="I5950" s="131"/>
      <c r="J5950" s="142"/>
      <c r="K5950" s="142"/>
      <c r="L5950" s="140"/>
      <c r="M5950" s="131"/>
      <c r="N5950" s="131"/>
      <c r="O5950" s="131"/>
      <c r="P5950" s="143"/>
      <c r="Q5950" s="66"/>
      <c r="R5950" s="131"/>
      <c r="S5950" s="144"/>
      <c r="T5950" s="131"/>
      <c r="U5950" s="131"/>
      <c r="V5950" s="131"/>
      <c r="W5950" s="131"/>
      <c r="X5950" s="145"/>
      <c r="Y5950" s="146"/>
      <c r="Z5950" s="147"/>
      <c r="AA5950" s="147"/>
      <c r="AB5950" s="110"/>
      <c r="AC5950" s="132"/>
      <c r="AD5950" s="148"/>
      <c r="AE5950" s="148"/>
    </row>
    <row r="5951" customFormat="false" ht="15" hidden="false" customHeight="true" outlineLevel="0" collapsed="false">
      <c r="A5951" s="141"/>
      <c r="B5951" s="131"/>
      <c r="C5951" s="132"/>
      <c r="D5951" s="131"/>
      <c r="E5951" s="110"/>
      <c r="F5951" s="110"/>
      <c r="G5951" s="110"/>
      <c r="H5951" s="131"/>
      <c r="I5951" s="131"/>
      <c r="J5951" s="142"/>
      <c r="K5951" s="142"/>
      <c r="L5951" s="140"/>
      <c r="M5951" s="131"/>
      <c r="N5951" s="131"/>
      <c r="O5951" s="131"/>
      <c r="P5951" s="143"/>
      <c r="Q5951" s="66"/>
      <c r="R5951" s="131"/>
      <c r="S5951" s="144"/>
      <c r="T5951" s="131"/>
      <c r="U5951" s="131"/>
      <c r="V5951" s="131"/>
      <c r="W5951" s="131"/>
      <c r="X5951" s="145"/>
      <c r="Y5951" s="146"/>
      <c r="Z5951" s="147"/>
      <c r="AA5951" s="147"/>
      <c r="AB5951" s="110"/>
      <c r="AC5951" s="132"/>
      <c r="AD5951" s="148"/>
      <c r="AE5951" s="148"/>
    </row>
    <row r="5952" customFormat="false" ht="15" hidden="false" customHeight="true" outlineLevel="0" collapsed="false">
      <c r="A5952" s="141"/>
      <c r="B5952" s="131"/>
      <c r="C5952" s="132"/>
      <c r="D5952" s="131"/>
      <c r="E5952" s="110"/>
      <c r="F5952" s="110"/>
      <c r="G5952" s="110"/>
      <c r="H5952" s="131"/>
      <c r="I5952" s="131"/>
      <c r="J5952" s="142"/>
      <c r="K5952" s="142"/>
      <c r="L5952" s="140"/>
      <c r="M5952" s="131"/>
      <c r="N5952" s="131"/>
      <c r="O5952" s="131"/>
      <c r="P5952" s="143"/>
      <c r="Q5952" s="66"/>
      <c r="R5952" s="131"/>
      <c r="S5952" s="144"/>
      <c r="T5952" s="131"/>
      <c r="U5952" s="131"/>
      <c r="V5952" s="131"/>
      <c r="W5952" s="131"/>
      <c r="X5952" s="145"/>
      <c r="Y5952" s="146"/>
      <c r="Z5952" s="147"/>
      <c r="AA5952" s="147"/>
      <c r="AB5952" s="110"/>
      <c r="AC5952" s="132"/>
      <c r="AD5952" s="148"/>
      <c r="AE5952" s="148"/>
    </row>
    <row r="5953" customFormat="false" ht="15" hidden="false" customHeight="true" outlineLevel="0" collapsed="false">
      <c r="A5953" s="141"/>
      <c r="B5953" s="131"/>
      <c r="C5953" s="132"/>
      <c r="D5953" s="131"/>
      <c r="E5953" s="110"/>
      <c r="F5953" s="110"/>
      <c r="G5953" s="110"/>
      <c r="H5953" s="131"/>
      <c r="I5953" s="131"/>
      <c r="J5953" s="142"/>
      <c r="K5953" s="142"/>
      <c r="L5953" s="140"/>
      <c r="M5953" s="131"/>
      <c r="N5953" s="131"/>
      <c r="O5953" s="131"/>
      <c r="P5953" s="143"/>
      <c r="Q5953" s="66"/>
      <c r="R5953" s="131"/>
      <c r="S5953" s="144"/>
      <c r="T5953" s="131"/>
      <c r="U5953" s="131"/>
      <c r="V5953" s="131"/>
      <c r="W5953" s="131"/>
      <c r="X5953" s="145"/>
      <c r="Y5953" s="146"/>
      <c r="Z5953" s="147"/>
      <c r="AA5953" s="147"/>
      <c r="AB5953" s="110"/>
      <c r="AC5953" s="132"/>
      <c r="AD5953" s="148"/>
      <c r="AE5953" s="148"/>
    </row>
    <row r="5954" customFormat="false" ht="15" hidden="false" customHeight="true" outlineLevel="0" collapsed="false">
      <c r="A5954" s="141"/>
      <c r="B5954" s="131"/>
      <c r="C5954" s="132"/>
      <c r="D5954" s="131"/>
      <c r="E5954" s="110"/>
      <c r="F5954" s="110"/>
      <c r="G5954" s="110"/>
      <c r="H5954" s="131"/>
      <c r="I5954" s="131"/>
      <c r="J5954" s="142"/>
      <c r="K5954" s="142"/>
      <c r="L5954" s="140"/>
      <c r="M5954" s="131"/>
      <c r="N5954" s="131"/>
      <c r="O5954" s="131"/>
      <c r="P5954" s="143"/>
      <c r="Q5954" s="66"/>
      <c r="R5954" s="131"/>
      <c r="S5954" s="144"/>
      <c r="T5954" s="131"/>
      <c r="U5954" s="131"/>
      <c r="V5954" s="131"/>
      <c r="W5954" s="131"/>
      <c r="X5954" s="145"/>
      <c r="Y5954" s="146"/>
      <c r="Z5954" s="147"/>
      <c r="AA5954" s="147"/>
      <c r="AB5954" s="110"/>
      <c r="AC5954" s="132"/>
      <c r="AD5954" s="148"/>
      <c r="AE5954" s="148"/>
    </row>
    <row r="5955" customFormat="false" ht="15" hidden="false" customHeight="true" outlineLevel="0" collapsed="false">
      <c r="A5955" s="141"/>
      <c r="B5955" s="131"/>
      <c r="C5955" s="132"/>
      <c r="D5955" s="131"/>
      <c r="E5955" s="110"/>
      <c r="F5955" s="110"/>
      <c r="G5955" s="110"/>
      <c r="H5955" s="131"/>
      <c r="I5955" s="131"/>
      <c r="J5955" s="142"/>
      <c r="K5955" s="142"/>
      <c r="L5955" s="140"/>
      <c r="M5955" s="131"/>
      <c r="N5955" s="131"/>
      <c r="O5955" s="131"/>
      <c r="P5955" s="143"/>
      <c r="Q5955" s="66"/>
      <c r="R5955" s="131"/>
      <c r="S5955" s="144"/>
      <c r="T5955" s="131"/>
      <c r="U5955" s="131"/>
      <c r="V5955" s="131"/>
      <c r="W5955" s="131"/>
      <c r="X5955" s="145"/>
      <c r="Y5955" s="146"/>
      <c r="Z5955" s="147"/>
      <c r="AA5955" s="147"/>
      <c r="AB5955" s="110"/>
      <c r="AC5955" s="132"/>
      <c r="AD5955" s="148"/>
      <c r="AE5955" s="148"/>
    </row>
    <row r="5956" customFormat="false" ht="15" hidden="false" customHeight="true" outlineLevel="0" collapsed="false">
      <c r="A5956" s="141"/>
      <c r="B5956" s="131"/>
      <c r="C5956" s="132"/>
      <c r="D5956" s="131"/>
      <c r="E5956" s="110"/>
      <c r="F5956" s="110"/>
      <c r="G5956" s="110"/>
      <c r="H5956" s="131"/>
      <c r="I5956" s="131"/>
      <c r="J5956" s="142"/>
      <c r="K5956" s="142"/>
      <c r="L5956" s="140"/>
      <c r="M5956" s="131"/>
      <c r="N5956" s="131"/>
      <c r="O5956" s="131"/>
      <c r="P5956" s="143"/>
      <c r="Q5956" s="66"/>
      <c r="R5956" s="131"/>
      <c r="S5956" s="144"/>
      <c r="T5956" s="131"/>
      <c r="U5956" s="131"/>
      <c r="V5956" s="131"/>
      <c r="W5956" s="131"/>
      <c r="X5956" s="145"/>
      <c r="Y5956" s="146"/>
      <c r="Z5956" s="147"/>
      <c r="AA5956" s="147"/>
      <c r="AB5956" s="110"/>
      <c r="AC5956" s="132"/>
      <c r="AD5956" s="148"/>
      <c r="AE5956" s="148"/>
    </row>
    <row r="5957" customFormat="false" ht="15" hidden="false" customHeight="true" outlineLevel="0" collapsed="false">
      <c r="A5957" s="141"/>
      <c r="B5957" s="131"/>
      <c r="C5957" s="132"/>
      <c r="D5957" s="131"/>
      <c r="E5957" s="110"/>
      <c r="F5957" s="110"/>
      <c r="G5957" s="110"/>
      <c r="H5957" s="131"/>
      <c r="I5957" s="131"/>
      <c r="J5957" s="142"/>
      <c r="K5957" s="142"/>
      <c r="L5957" s="140"/>
      <c r="M5957" s="131"/>
      <c r="N5957" s="131"/>
      <c r="O5957" s="131"/>
      <c r="P5957" s="143"/>
      <c r="Q5957" s="66"/>
      <c r="R5957" s="131"/>
      <c r="S5957" s="144"/>
      <c r="T5957" s="131"/>
      <c r="U5957" s="131"/>
      <c r="V5957" s="131"/>
      <c r="W5957" s="131"/>
      <c r="X5957" s="145"/>
      <c r="Y5957" s="146"/>
      <c r="Z5957" s="147"/>
      <c r="AA5957" s="147"/>
      <c r="AB5957" s="110"/>
      <c r="AC5957" s="132"/>
      <c r="AD5957" s="148"/>
      <c r="AE5957" s="148"/>
    </row>
    <row r="5958" customFormat="false" ht="15" hidden="false" customHeight="true" outlineLevel="0" collapsed="false">
      <c r="A5958" s="141"/>
      <c r="B5958" s="131"/>
      <c r="C5958" s="132"/>
      <c r="D5958" s="131"/>
      <c r="E5958" s="110"/>
      <c r="F5958" s="110"/>
      <c r="G5958" s="110"/>
      <c r="H5958" s="131"/>
      <c r="I5958" s="131"/>
      <c r="J5958" s="142"/>
      <c r="K5958" s="142"/>
      <c r="L5958" s="140"/>
      <c r="M5958" s="131"/>
      <c r="N5958" s="131"/>
      <c r="O5958" s="131"/>
      <c r="P5958" s="143"/>
      <c r="Q5958" s="66"/>
      <c r="R5958" s="131"/>
      <c r="S5958" s="144"/>
      <c r="T5958" s="131"/>
      <c r="U5958" s="131"/>
      <c r="V5958" s="131"/>
      <c r="W5958" s="131"/>
      <c r="X5958" s="145"/>
      <c r="Y5958" s="146"/>
      <c r="Z5958" s="147"/>
      <c r="AA5958" s="147"/>
      <c r="AB5958" s="110"/>
      <c r="AC5958" s="132"/>
      <c r="AD5958" s="148"/>
      <c r="AE5958" s="148"/>
    </row>
    <row r="5959" customFormat="false" ht="15" hidden="false" customHeight="true" outlineLevel="0" collapsed="false">
      <c r="A5959" s="141"/>
      <c r="B5959" s="131"/>
      <c r="C5959" s="132"/>
      <c r="D5959" s="131"/>
      <c r="E5959" s="110"/>
      <c r="F5959" s="110"/>
      <c r="G5959" s="110"/>
      <c r="H5959" s="131"/>
      <c r="I5959" s="131"/>
      <c r="J5959" s="142"/>
      <c r="K5959" s="142"/>
      <c r="L5959" s="140"/>
      <c r="M5959" s="131"/>
      <c r="N5959" s="131"/>
      <c r="O5959" s="131"/>
      <c r="P5959" s="143"/>
      <c r="Q5959" s="66"/>
      <c r="R5959" s="131"/>
      <c r="S5959" s="144"/>
      <c r="T5959" s="131"/>
      <c r="U5959" s="131"/>
      <c r="V5959" s="131"/>
      <c r="W5959" s="131"/>
      <c r="X5959" s="145"/>
      <c r="Y5959" s="146"/>
      <c r="Z5959" s="147"/>
      <c r="AA5959" s="147"/>
      <c r="AB5959" s="110"/>
      <c r="AC5959" s="132"/>
      <c r="AD5959" s="148"/>
      <c r="AE5959" s="148"/>
    </row>
    <row r="5960" customFormat="false" ht="15" hidden="false" customHeight="true" outlineLevel="0" collapsed="false">
      <c r="A5960" s="141"/>
      <c r="B5960" s="131"/>
      <c r="C5960" s="132"/>
      <c r="D5960" s="131"/>
      <c r="E5960" s="110"/>
      <c r="F5960" s="110"/>
      <c r="G5960" s="110"/>
      <c r="H5960" s="131"/>
      <c r="I5960" s="131"/>
      <c r="J5960" s="142"/>
      <c r="K5960" s="142"/>
      <c r="L5960" s="140"/>
      <c r="M5960" s="131"/>
      <c r="N5960" s="131"/>
      <c r="O5960" s="131"/>
      <c r="P5960" s="143"/>
      <c r="Q5960" s="66"/>
      <c r="R5960" s="131"/>
      <c r="S5960" s="144"/>
      <c r="T5960" s="131"/>
      <c r="U5960" s="131"/>
      <c r="V5960" s="131"/>
      <c r="W5960" s="131"/>
      <c r="X5960" s="145"/>
      <c r="Y5960" s="146"/>
      <c r="Z5960" s="147"/>
      <c r="AA5960" s="147"/>
      <c r="AB5960" s="110"/>
      <c r="AC5960" s="132"/>
      <c r="AD5960" s="148"/>
      <c r="AE5960" s="148"/>
    </row>
    <row r="5961" customFormat="false" ht="15" hidden="false" customHeight="true" outlineLevel="0" collapsed="false">
      <c r="A5961" s="141"/>
      <c r="B5961" s="131"/>
      <c r="C5961" s="132"/>
      <c r="D5961" s="131"/>
      <c r="E5961" s="110"/>
      <c r="F5961" s="110"/>
      <c r="G5961" s="110"/>
      <c r="H5961" s="131"/>
      <c r="I5961" s="131"/>
      <c r="J5961" s="142"/>
      <c r="K5961" s="142"/>
      <c r="L5961" s="140"/>
      <c r="M5961" s="131"/>
      <c r="N5961" s="131"/>
      <c r="O5961" s="131"/>
      <c r="P5961" s="143"/>
      <c r="Q5961" s="66"/>
      <c r="R5961" s="131"/>
      <c r="S5961" s="144"/>
      <c r="T5961" s="131"/>
      <c r="U5961" s="131"/>
      <c r="V5961" s="131"/>
      <c r="W5961" s="131"/>
      <c r="X5961" s="145"/>
      <c r="Y5961" s="146"/>
      <c r="Z5961" s="147"/>
      <c r="AA5961" s="147"/>
      <c r="AB5961" s="110"/>
      <c r="AC5961" s="132"/>
      <c r="AD5961" s="148"/>
      <c r="AE5961" s="148"/>
    </row>
    <row r="5962" customFormat="false" ht="15" hidden="false" customHeight="true" outlineLevel="0" collapsed="false">
      <c r="A5962" s="141"/>
      <c r="B5962" s="131"/>
      <c r="C5962" s="132"/>
      <c r="D5962" s="131"/>
      <c r="E5962" s="110"/>
      <c r="F5962" s="110"/>
      <c r="G5962" s="110"/>
      <c r="H5962" s="131"/>
      <c r="I5962" s="131"/>
      <c r="J5962" s="142"/>
      <c r="K5962" s="142"/>
      <c r="L5962" s="140"/>
      <c r="M5962" s="131"/>
      <c r="N5962" s="131"/>
      <c r="O5962" s="131"/>
      <c r="P5962" s="143"/>
      <c r="Q5962" s="66"/>
      <c r="R5962" s="131"/>
      <c r="S5962" s="144"/>
      <c r="T5962" s="131"/>
      <c r="U5962" s="131"/>
      <c r="V5962" s="131"/>
      <c r="W5962" s="131"/>
      <c r="X5962" s="145"/>
      <c r="Y5962" s="146"/>
      <c r="Z5962" s="147"/>
      <c r="AA5962" s="147"/>
      <c r="AB5962" s="110"/>
      <c r="AC5962" s="132"/>
      <c r="AD5962" s="148"/>
      <c r="AE5962" s="148"/>
    </row>
    <row r="5963" customFormat="false" ht="15" hidden="false" customHeight="true" outlineLevel="0" collapsed="false">
      <c r="A5963" s="141"/>
      <c r="B5963" s="131"/>
      <c r="C5963" s="132"/>
      <c r="D5963" s="131"/>
      <c r="E5963" s="110"/>
      <c r="F5963" s="110"/>
      <c r="G5963" s="110"/>
      <c r="H5963" s="131"/>
      <c r="I5963" s="131"/>
      <c r="J5963" s="142"/>
      <c r="K5963" s="142"/>
      <c r="L5963" s="140"/>
      <c r="M5963" s="131"/>
      <c r="N5963" s="131"/>
      <c r="O5963" s="131"/>
      <c r="P5963" s="143"/>
      <c r="Q5963" s="66"/>
      <c r="R5963" s="131"/>
      <c r="S5963" s="144"/>
      <c r="T5963" s="131"/>
      <c r="U5963" s="131"/>
      <c r="V5963" s="131"/>
      <c r="W5963" s="131"/>
      <c r="X5963" s="145"/>
      <c r="Y5963" s="146"/>
      <c r="Z5963" s="147"/>
      <c r="AA5963" s="147"/>
      <c r="AB5963" s="110"/>
      <c r="AC5963" s="132"/>
      <c r="AD5963" s="148"/>
      <c r="AE5963" s="148"/>
    </row>
    <row r="5964" customFormat="false" ht="15" hidden="false" customHeight="true" outlineLevel="0" collapsed="false">
      <c r="A5964" s="141"/>
      <c r="B5964" s="131"/>
      <c r="C5964" s="132"/>
      <c r="D5964" s="131"/>
      <c r="E5964" s="110"/>
      <c r="F5964" s="110"/>
      <c r="G5964" s="110"/>
      <c r="H5964" s="131"/>
      <c r="I5964" s="131"/>
      <c r="J5964" s="142"/>
      <c r="K5964" s="142"/>
      <c r="L5964" s="140"/>
      <c r="M5964" s="131"/>
      <c r="N5964" s="131"/>
      <c r="O5964" s="131"/>
      <c r="P5964" s="143"/>
      <c r="Q5964" s="66"/>
      <c r="R5964" s="131"/>
      <c r="S5964" s="144"/>
      <c r="T5964" s="131"/>
      <c r="U5964" s="131"/>
      <c r="V5964" s="131"/>
      <c r="W5964" s="131"/>
      <c r="X5964" s="145"/>
      <c r="Y5964" s="146"/>
      <c r="Z5964" s="147"/>
      <c r="AA5964" s="147"/>
      <c r="AB5964" s="110"/>
      <c r="AC5964" s="132"/>
      <c r="AD5964" s="148"/>
      <c r="AE5964" s="148"/>
    </row>
    <row r="5965" customFormat="false" ht="15" hidden="false" customHeight="true" outlineLevel="0" collapsed="false">
      <c r="A5965" s="141"/>
      <c r="B5965" s="131"/>
      <c r="C5965" s="132"/>
      <c r="D5965" s="131"/>
      <c r="E5965" s="110"/>
      <c r="F5965" s="110"/>
      <c r="G5965" s="110"/>
      <c r="H5965" s="131"/>
      <c r="I5965" s="131"/>
      <c r="J5965" s="142"/>
      <c r="K5965" s="142"/>
      <c r="L5965" s="140"/>
      <c r="M5965" s="131"/>
      <c r="N5965" s="131"/>
      <c r="O5965" s="131"/>
      <c r="P5965" s="143"/>
      <c r="Q5965" s="66"/>
      <c r="R5965" s="131"/>
      <c r="S5965" s="144"/>
      <c r="T5965" s="131"/>
      <c r="U5965" s="131"/>
      <c r="V5965" s="131"/>
      <c r="W5965" s="131"/>
      <c r="X5965" s="145"/>
      <c r="Y5965" s="146"/>
      <c r="Z5965" s="147"/>
      <c r="AA5965" s="147"/>
      <c r="AB5965" s="110"/>
      <c r="AC5965" s="132"/>
      <c r="AD5965" s="148"/>
      <c r="AE5965" s="148"/>
    </row>
    <row r="5966" customFormat="false" ht="15" hidden="false" customHeight="true" outlineLevel="0" collapsed="false">
      <c r="A5966" s="141"/>
      <c r="B5966" s="131"/>
      <c r="C5966" s="132"/>
      <c r="D5966" s="131"/>
      <c r="E5966" s="110"/>
      <c r="F5966" s="110"/>
      <c r="G5966" s="110"/>
      <c r="H5966" s="131"/>
      <c r="I5966" s="131"/>
      <c r="J5966" s="142"/>
      <c r="K5966" s="142"/>
      <c r="L5966" s="140"/>
      <c r="M5966" s="131"/>
      <c r="N5966" s="131"/>
      <c r="O5966" s="131"/>
      <c r="P5966" s="143"/>
      <c r="Q5966" s="66"/>
      <c r="R5966" s="131"/>
      <c r="S5966" s="144"/>
      <c r="T5966" s="131"/>
      <c r="U5966" s="131"/>
      <c r="V5966" s="131"/>
      <c r="W5966" s="131"/>
      <c r="X5966" s="145"/>
      <c r="Y5966" s="146"/>
      <c r="Z5966" s="147"/>
      <c r="AA5966" s="147"/>
      <c r="AB5966" s="110"/>
      <c r="AC5966" s="132"/>
      <c r="AD5966" s="148"/>
      <c r="AE5966" s="148"/>
    </row>
    <row r="5967" customFormat="false" ht="15" hidden="false" customHeight="true" outlineLevel="0" collapsed="false">
      <c r="A5967" s="141"/>
      <c r="B5967" s="131"/>
      <c r="C5967" s="132"/>
      <c r="D5967" s="131"/>
      <c r="E5967" s="110"/>
      <c r="F5967" s="110"/>
      <c r="G5967" s="110"/>
      <c r="H5967" s="131"/>
      <c r="I5967" s="131"/>
      <c r="J5967" s="142"/>
      <c r="K5967" s="142"/>
      <c r="L5967" s="140"/>
      <c r="M5967" s="131"/>
      <c r="N5967" s="131"/>
      <c r="O5967" s="131"/>
      <c r="P5967" s="143"/>
      <c r="Q5967" s="66"/>
      <c r="R5967" s="131"/>
      <c r="S5967" s="144"/>
      <c r="T5967" s="131"/>
      <c r="U5967" s="131"/>
      <c r="V5967" s="131"/>
      <c r="W5967" s="131"/>
      <c r="X5967" s="145"/>
      <c r="Y5967" s="146"/>
      <c r="Z5967" s="147"/>
      <c r="AA5967" s="147"/>
      <c r="AB5967" s="110"/>
      <c r="AC5967" s="132"/>
      <c r="AD5967" s="148"/>
      <c r="AE5967" s="148"/>
    </row>
    <row r="5968" customFormat="false" ht="15" hidden="false" customHeight="true" outlineLevel="0" collapsed="false">
      <c r="A5968" s="141"/>
      <c r="B5968" s="131"/>
      <c r="C5968" s="132"/>
      <c r="D5968" s="131"/>
      <c r="E5968" s="110"/>
      <c r="F5968" s="110"/>
      <c r="G5968" s="110"/>
      <c r="H5968" s="131"/>
      <c r="I5968" s="131"/>
      <c r="J5968" s="142"/>
      <c r="K5968" s="142"/>
      <c r="L5968" s="140"/>
      <c r="M5968" s="131"/>
      <c r="N5968" s="131"/>
      <c r="O5968" s="131"/>
      <c r="P5968" s="143"/>
      <c r="Q5968" s="66"/>
      <c r="R5968" s="131"/>
      <c r="S5968" s="144"/>
      <c r="T5968" s="131"/>
      <c r="U5968" s="131"/>
      <c r="V5968" s="131"/>
      <c r="W5968" s="131"/>
      <c r="X5968" s="145"/>
      <c r="Y5968" s="146"/>
      <c r="Z5968" s="147"/>
      <c r="AA5968" s="147"/>
      <c r="AB5968" s="110"/>
      <c r="AC5968" s="132"/>
      <c r="AD5968" s="148"/>
      <c r="AE5968" s="148"/>
    </row>
    <row r="5969" customFormat="false" ht="15" hidden="false" customHeight="true" outlineLevel="0" collapsed="false">
      <c r="A5969" s="141"/>
      <c r="B5969" s="131"/>
      <c r="C5969" s="132"/>
      <c r="D5969" s="131"/>
      <c r="E5969" s="110"/>
      <c r="F5969" s="110"/>
      <c r="G5969" s="110"/>
      <c r="H5969" s="131"/>
      <c r="I5969" s="131"/>
      <c r="J5969" s="142"/>
      <c r="K5969" s="142"/>
      <c r="L5969" s="140"/>
      <c r="M5969" s="131"/>
      <c r="N5969" s="131"/>
      <c r="O5969" s="131"/>
      <c r="P5969" s="143"/>
      <c r="Q5969" s="66"/>
      <c r="R5969" s="131"/>
      <c r="S5969" s="144"/>
      <c r="T5969" s="131"/>
      <c r="U5969" s="131"/>
      <c r="V5969" s="131"/>
      <c r="W5969" s="131"/>
      <c r="X5969" s="145"/>
      <c r="Y5969" s="146"/>
      <c r="Z5969" s="147"/>
      <c r="AA5969" s="147"/>
      <c r="AB5969" s="110"/>
      <c r="AC5969" s="132"/>
      <c r="AD5969" s="148"/>
      <c r="AE5969" s="148"/>
    </row>
    <row r="5970" customFormat="false" ht="15" hidden="false" customHeight="true" outlineLevel="0" collapsed="false">
      <c r="A5970" s="141"/>
      <c r="B5970" s="131"/>
      <c r="C5970" s="132"/>
      <c r="D5970" s="131"/>
      <c r="E5970" s="110"/>
      <c r="F5970" s="110"/>
      <c r="G5970" s="110"/>
      <c r="H5970" s="131"/>
      <c r="I5970" s="131"/>
      <c r="J5970" s="142"/>
      <c r="K5970" s="142"/>
      <c r="L5970" s="140"/>
      <c r="M5970" s="131"/>
      <c r="N5970" s="131"/>
      <c r="O5970" s="131"/>
      <c r="P5970" s="143"/>
      <c r="Q5970" s="66"/>
      <c r="R5970" s="131"/>
      <c r="S5970" s="144"/>
      <c r="T5970" s="131"/>
      <c r="U5970" s="131"/>
      <c r="V5970" s="131"/>
      <c r="W5970" s="131"/>
      <c r="X5970" s="145"/>
      <c r="Y5970" s="146"/>
      <c r="Z5970" s="147"/>
      <c r="AA5970" s="147"/>
      <c r="AB5970" s="110"/>
      <c r="AC5970" s="132"/>
      <c r="AD5970" s="148"/>
      <c r="AE5970" s="148"/>
    </row>
    <row r="5971" customFormat="false" ht="15" hidden="false" customHeight="true" outlineLevel="0" collapsed="false">
      <c r="A5971" s="141"/>
      <c r="B5971" s="131"/>
      <c r="C5971" s="132"/>
      <c r="D5971" s="131"/>
      <c r="E5971" s="110"/>
      <c r="F5971" s="110"/>
      <c r="G5971" s="110"/>
      <c r="H5971" s="131"/>
      <c r="I5971" s="131"/>
      <c r="J5971" s="142"/>
      <c r="K5971" s="142"/>
      <c r="L5971" s="140"/>
      <c r="M5971" s="131"/>
      <c r="N5971" s="131"/>
      <c r="O5971" s="131"/>
      <c r="P5971" s="143"/>
      <c r="Q5971" s="66"/>
      <c r="R5971" s="131"/>
      <c r="S5971" s="144"/>
      <c r="T5971" s="131"/>
      <c r="U5971" s="131"/>
      <c r="V5971" s="131"/>
      <c r="W5971" s="131"/>
      <c r="X5971" s="145"/>
      <c r="Y5971" s="146"/>
      <c r="Z5971" s="147"/>
      <c r="AA5971" s="147"/>
      <c r="AB5971" s="110"/>
      <c r="AC5971" s="132"/>
      <c r="AD5971" s="148"/>
      <c r="AE5971" s="148"/>
    </row>
    <row r="5972" customFormat="false" ht="15" hidden="false" customHeight="true" outlineLevel="0" collapsed="false">
      <c r="A5972" s="141"/>
      <c r="B5972" s="131"/>
      <c r="C5972" s="132"/>
      <c r="D5972" s="131"/>
      <c r="E5972" s="110"/>
      <c r="F5972" s="110"/>
      <c r="G5972" s="110"/>
      <c r="H5972" s="131"/>
      <c r="I5972" s="131"/>
      <c r="J5972" s="142"/>
      <c r="K5972" s="142"/>
      <c r="L5972" s="140"/>
      <c r="M5972" s="131"/>
      <c r="N5972" s="131"/>
      <c r="O5972" s="131"/>
      <c r="P5972" s="143"/>
      <c r="Q5972" s="66"/>
      <c r="R5972" s="131"/>
      <c r="S5972" s="144"/>
      <c r="T5972" s="131"/>
      <c r="U5972" s="131"/>
      <c r="V5972" s="131"/>
      <c r="W5972" s="131"/>
      <c r="X5972" s="145"/>
      <c r="Y5972" s="146"/>
      <c r="Z5972" s="147"/>
      <c r="AA5972" s="147"/>
      <c r="AB5972" s="110"/>
      <c r="AC5972" s="132"/>
      <c r="AD5972" s="148"/>
      <c r="AE5972" s="148"/>
    </row>
    <row r="5973" customFormat="false" ht="15" hidden="false" customHeight="true" outlineLevel="0" collapsed="false">
      <c r="A5973" s="141"/>
      <c r="B5973" s="131"/>
      <c r="C5973" s="132"/>
      <c r="D5973" s="131"/>
      <c r="E5973" s="110"/>
      <c r="F5973" s="110"/>
      <c r="G5973" s="110"/>
      <c r="H5973" s="131"/>
      <c r="I5973" s="131"/>
      <c r="J5973" s="142"/>
      <c r="K5973" s="142"/>
      <c r="L5973" s="140"/>
      <c r="M5973" s="131"/>
      <c r="N5973" s="131"/>
      <c r="O5973" s="131"/>
      <c r="P5973" s="143"/>
      <c r="Q5973" s="66"/>
      <c r="R5973" s="131"/>
      <c r="S5973" s="144"/>
      <c r="T5973" s="131"/>
      <c r="U5973" s="131"/>
      <c r="V5973" s="131"/>
      <c r="W5973" s="131"/>
      <c r="X5973" s="145"/>
      <c r="Y5973" s="146"/>
      <c r="Z5973" s="147"/>
      <c r="AA5973" s="147"/>
      <c r="AB5973" s="110"/>
      <c r="AC5973" s="132"/>
      <c r="AD5973" s="148"/>
      <c r="AE5973" s="148"/>
    </row>
    <row r="5974" customFormat="false" ht="15" hidden="false" customHeight="true" outlineLevel="0" collapsed="false">
      <c r="A5974" s="141"/>
      <c r="B5974" s="131"/>
      <c r="C5974" s="132"/>
      <c r="D5974" s="131"/>
      <c r="E5974" s="110"/>
      <c r="F5974" s="110"/>
      <c r="G5974" s="110"/>
      <c r="H5974" s="131"/>
      <c r="I5974" s="131"/>
      <c r="J5974" s="142"/>
      <c r="K5974" s="142"/>
      <c r="L5974" s="140"/>
      <c r="M5974" s="131"/>
      <c r="N5974" s="131"/>
      <c r="O5974" s="131"/>
      <c r="P5974" s="143"/>
      <c r="Q5974" s="66"/>
      <c r="R5974" s="131"/>
      <c r="S5974" s="144"/>
      <c r="T5974" s="131"/>
      <c r="U5974" s="131"/>
      <c r="V5974" s="131"/>
      <c r="W5974" s="131"/>
      <c r="X5974" s="145"/>
      <c r="Y5974" s="146"/>
      <c r="Z5974" s="147"/>
      <c r="AA5974" s="147"/>
      <c r="AB5974" s="110"/>
      <c r="AC5974" s="132"/>
      <c r="AD5974" s="148"/>
      <c r="AE5974" s="148"/>
    </row>
    <row r="5975" customFormat="false" ht="15" hidden="false" customHeight="true" outlineLevel="0" collapsed="false">
      <c r="A5975" s="141"/>
      <c r="B5975" s="131"/>
      <c r="C5975" s="132"/>
      <c r="D5975" s="131"/>
      <c r="E5975" s="110"/>
      <c r="F5975" s="110"/>
      <c r="G5975" s="110"/>
      <c r="H5975" s="131"/>
      <c r="I5975" s="131"/>
      <c r="J5975" s="142"/>
      <c r="K5975" s="142"/>
      <c r="L5975" s="140"/>
      <c r="M5975" s="131"/>
      <c r="N5975" s="131"/>
      <c r="O5975" s="131"/>
      <c r="P5975" s="143"/>
      <c r="Q5975" s="66"/>
      <c r="R5975" s="131"/>
      <c r="S5975" s="144"/>
      <c r="T5975" s="131"/>
      <c r="U5975" s="131"/>
      <c r="V5975" s="131"/>
      <c r="W5975" s="131"/>
      <c r="X5975" s="145"/>
      <c r="Y5975" s="146"/>
      <c r="Z5975" s="147"/>
      <c r="AA5975" s="147"/>
      <c r="AB5975" s="110"/>
      <c r="AC5975" s="132"/>
      <c r="AD5975" s="148"/>
      <c r="AE5975" s="148"/>
    </row>
    <row r="5976" customFormat="false" ht="15" hidden="false" customHeight="true" outlineLevel="0" collapsed="false">
      <c r="A5976" s="141"/>
      <c r="B5976" s="131"/>
      <c r="C5976" s="132"/>
      <c r="D5976" s="131"/>
      <c r="E5976" s="110"/>
      <c r="F5976" s="110"/>
      <c r="G5976" s="110"/>
      <c r="H5976" s="131"/>
      <c r="I5976" s="131"/>
      <c r="J5976" s="142"/>
      <c r="K5976" s="142"/>
      <c r="L5976" s="140"/>
      <c r="M5976" s="131"/>
      <c r="N5976" s="131"/>
      <c r="O5976" s="131"/>
      <c r="P5976" s="143"/>
      <c r="Q5976" s="66"/>
      <c r="R5976" s="131"/>
      <c r="S5976" s="144"/>
      <c r="T5976" s="131"/>
      <c r="U5976" s="131"/>
      <c r="V5976" s="131"/>
      <c r="W5976" s="131"/>
      <c r="X5976" s="145"/>
      <c r="Y5976" s="146"/>
      <c r="Z5976" s="147"/>
      <c r="AA5976" s="147"/>
      <c r="AB5976" s="110"/>
      <c r="AC5976" s="132"/>
      <c r="AD5976" s="148"/>
      <c r="AE5976" s="148"/>
    </row>
    <row r="5977" customFormat="false" ht="15" hidden="false" customHeight="true" outlineLevel="0" collapsed="false">
      <c r="A5977" s="141"/>
      <c r="B5977" s="131"/>
      <c r="C5977" s="132"/>
      <c r="D5977" s="131"/>
      <c r="E5977" s="110"/>
      <c r="F5977" s="110"/>
      <c r="G5977" s="110"/>
      <c r="H5977" s="131"/>
      <c r="I5977" s="131"/>
      <c r="J5977" s="142"/>
      <c r="K5977" s="142"/>
      <c r="L5977" s="140"/>
      <c r="M5977" s="131"/>
      <c r="N5977" s="131"/>
      <c r="O5977" s="131"/>
      <c r="P5977" s="143"/>
      <c r="Q5977" s="66"/>
      <c r="R5977" s="131"/>
      <c r="S5977" s="144"/>
      <c r="T5977" s="131"/>
      <c r="U5977" s="131"/>
      <c r="V5977" s="131"/>
      <c r="W5977" s="131"/>
      <c r="X5977" s="145"/>
      <c r="Y5977" s="146"/>
      <c r="Z5977" s="147"/>
      <c r="AA5977" s="147"/>
      <c r="AB5977" s="110"/>
      <c r="AC5977" s="132"/>
      <c r="AD5977" s="148"/>
      <c r="AE5977" s="148"/>
    </row>
    <row r="5978" customFormat="false" ht="15" hidden="false" customHeight="true" outlineLevel="0" collapsed="false">
      <c r="A5978" s="141"/>
      <c r="B5978" s="131"/>
      <c r="C5978" s="132"/>
      <c r="D5978" s="131"/>
      <c r="E5978" s="110"/>
      <c r="F5978" s="110"/>
      <c r="G5978" s="110"/>
      <c r="H5978" s="131"/>
      <c r="I5978" s="131"/>
      <c r="J5978" s="142"/>
      <c r="K5978" s="142"/>
      <c r="L5978" s="140"/>
      <c r="M5978" s="131"/>
      <c r="N5978" s="131"/>
      <c r="O5978" s="131"/>
      <c r="P5978" s="143"/>
      <c r="Q5978" s="66"/>
      <c r="R5978" s="131"/>
      <c r="S5978" s="144"/>
      <c r="T5978" s="131"/>
      <c r="U5978" s="131"/>
      <c r="V5978" s="131"/>
      <c r="W5978" s="131"/>
      <c r="X5978" s="145"/>
      <c r="Y5978" s="146"/>
      <c r="Z5978" s="147"/>
      <c r="AA5978" s="147"/>
      <c r="AB5978" s="110"/>
      <c r="AC5978" s="132"/>
      <c r="AD5978" s="148"/>
      <c r="AE5978" s="148"/>
    </row>
    <row r="5979" customFormat="false" ht="15" hidden="false" customHeight="true" outlineLevel="0" collapsed="false">
      <c r="A5979" s="141"/>
      <c r="B5979" s="131"/>
      <c r="C5979" s="132"/>
      <c r="D5979" s="131"/>
      <c r="E5979" s="110"/>
      <c r="F5979" s="110"/>
      <c r="G5979" s="110"/>
      <c r="H5979" s="131"/>
      <c r="I5979" s="131"/>
      <c r="J5979" s="142"/>
      <c r="K5979" s="142"/>
      <c r="L5979" s="140"/>
      <c r="M5979" s="131"/>
      <c r="N5979" s="131"/>
      <c r="O5979" s="131"/>
      <c r="P5979" s="143"/>
      <c r="Q5979" s="66"/>
      <c r="R5979" s="131"/>
      <c r="S5979" s="144"/>
      <c r="T5979" s="131"/>
      <c r="U5979" s="131"/>
      <c r="V5979" s="131"/>
      <c r="W5979" s="131"/>
      <c r="X5979" s="145"/>
      <c r="Y5979" s="146"/>
      <c r="Z5979" s="147"/>
      <c r="AA5979" s="147"/>
      <c r="AB5979" s="110"/>
      <c r="AC5979" s="132"/>
      <c r="AD5979" s="148"/>
      <c r="AE5979" s="148"/>
    </row>
    <row r="5980" customFormat="false" ht="15" hidden="false" customHeight="true" outlineLevel="0" collapsed="false">
      <c r="A5980" s="141"/>
      <c r="B5980" s="131"/>
      <c r="C5980" s="132"/>
      <c r="D5980" s="131"/>
      <c r="E5980" s="110"/>
      <c r="F5980" s="110"/>
      <c r="G5980" s="110"/>
      <c r="H5980" s="131"/>
      <c r="I5980" s="131"/>
      <c r="J5980" s="142"/>
      <c r="K5980" s="142"/>
      <c r="L5980" s="140"/>
      <c r="M5980" s="131"/>
      <c r="N5980" s="131"/>
      <c r="O5980" s="131"/>
      <c r="P5980" s="143"/>
      <c r="Q5980" s="66"/>
      <c r="R5980" s="131"/>
      <c r="S5980" s="144"/>
      <c r="T5980" s="131"/>
      <c r="U5980" s="131"/>
      <c r="V5980" s="131"/>
      <c r="W5980" s="131"/>
      <c r="X5980" s="145"/>
      <c r="Y5980" s="146"/>
      <c r="Z5980" s="147"/>
      <c r="AA5980" s="147"/>
      <c r="AB5980" s="110"/>
      <c r="AC5980" s="132"/>
      <c r="AD5980" s="148"/>
      <c r="AE5980" s="148"/>
    </row>
    <row r="5981" customFormat="false" ht="15" hidden="false" customHeight="true" outlineLevel="0" collapsed="false">
      <c r="A5981" s="141"/>
      <c r="B5981" s="131"/>
      <c r="C5981" s="132"/>
      <c r="D5981" s="131"/>
      <c r="E5981" s="110"/>
      <c r="F5981" s="110"/>
      <c r="G5981" s="110"/>
      <c r="H5981" s="131"/>
      <c r="I5981" s="131"/>
      <c r="J5981" s="142"/>
      <c r="K5981" s="142"/>
      <c r="L5981" s="140"/>
      <c r="M5981" s="131"/>
      <c r="N5981" s="131"/>
      <c r="O5981" s="131"/>
      <c r="P5981" s="143"/>
      <c r="Q5981" s="66"/>
      <c r="R5981" s="131"/>
      <c r="S5981" s="144"/>
      <c r="T5981" s="131"/>
      <c r="U5981" s="131"/>
      <c r="V5981" s="131"/>
      <c r="W5981" s="131"/>
      <c r="X5981" s="145"/>
      <c r="Y5981" s="146"/>
      <c r="Z5981" s="147"/>
      <c r="AA5981" s="147"/>
      <c r="AB5981" s="110"/>
      <c r="AC5981" s="132"/>
      <c r="AD5981" s="148"/>
      <c r="AE5981" s="148"/>
    </row>
    <row r="5982" customFormat="false" ht="15" hidden="false" customHeight="true" outlineLevel="0" collapsed="false">
      <c r="A5982" s="141"/>
      <c r="B5982" s="131"/>
      <c r="C5982" s="132"/>
      <c r="D5982" s="131"/>
      <c r="E5982" s="110"/>
      <c r="F5982" s="110"/>
      <c r="G5982" s="110"/>
      <c r="H5982" s="131"/>
      <c r="I5982" s="131"/>
      <c r="J5982" s="142"/>
      <c r="K5982" s="142"/>
      <c r="L5982" s="140"/>
      <c r="M5982" s="131"/>
      <c r="N5982" s="131"/>
      <c r="O5982" s="131"/>
      <c r="P5982" s="143"/>
      <c r="Q5982" s="66"/>
      <c r="R5982" s="131"/>
      <c r="S5982" s="144"/>
      <c r="T5982" s="131"/>
      <c r="U5982" s="131"/>
      <c r="V5982" s="131"/>
      <c r="W5982" s="131"/>
      <c r="X5982" s="145"/>
      <c r="Y5982" s="146"/>
      <c r="Z5982" s="147"/>
      <c r="AA5982" s="147"/>
      <c r="AB5982" s="110"/>
      <c r="AC5982" s="132"/>
      <c r="AD5982" s="148"/>
      <c r="AE5982" s="148"/>
    </row>
    <row r="5983" customFormat="false" ht="15" hidden="false" customHeight="true" outlineLevel="0" collapsed="false">
      <c r="A5983" s="141"/>
      <c r="B5983" s="131"/>
      <c r="C5983" s="132"/>
      <c r="D5983" s="131"/>
      <c r="E5983" s="110"/>
      <c r="F5983" s="110"/>
      <c r="G5983" s="110"/>
      <c r="H5983" s="131"/>
      <c r="I5983" s="131"/>
      <c r="J5983" s="142"/>
      <c r="K5983" s="142"/>
      <c r="L5983" s="140"/>
      <c r="M5983" s="131"/>
      <c r="N5983" s="131"/>
      <c r="O5983" s="131"/>
      <c r="P5983" s="143"/>
      <c r="Q5983" s="66"/>
      <c r="R5983" s="131"/>
      <c r="S5983" s="144"/>
      <c r="T5983" s="131"/>
      <c r="U5983" s="131"/>
      <c r="V5983" s="131"/>
      <c r="W5983" s="131"/>
      <c r="X5983" s="145"/>
      <c r="Y5983" s="146"/>
      <c r="Z5983" s="147"/>
      <c r="AA5983" s="147"/>
      <c r="AB5983" s="110"/>
      <c r="AC5983" s="132"/>
      <c r="AD5983" s="148"/>
      <c r="AE5983" s="148"/>
    </row>
    <row r="5984" customFormat="false" ht="15" hidden="false" customHeight="true" outlineLevel="0" collapsed="false">
      <c r="A5984" s="141"/>
      <c r="B5984" s="131"/>
      <c r="C5984" s="132"/>
      <c r="D5984" s="131"/>
      <c r="E5984" s="110"/>
      <c r="F5984" s="110"/>
      <c r="G5984" s="110"/>
      <c r="H5984" s="131"/>
      <c r="I5984" s="131"/>
      <c r="J5984" s="142"/>
      <c r="K5984" s="142"/>
      <c r="L5984" s="140"/>
      <c r="M5984" s="131"/>
      <c r="N5984" s="131"/>
      <c r="O5984" s="131"/>
      <c r="P5984" s="143"/>
      <c r="Q5984" s="66"/>
      <c r="R5984" s="131"/>
      <c r="S5984" s="144"/>
      <c r="T5984" s="131"/>
      <c r="U5984" s="131"/>
      <c r="V5984" s="131"/>
      <c r="W5984" s="131"/>
      <c r="X5984" s="145"/>
      <c r="Y5984" s="146"/>
      <c r="Z5984" s="147"/>
      <c r="AA5984" s="147"/>
      <c r="AB5984" s="110"/>
      <c r="AC5984" s="132"/>
      <c r="AD5984" s="148"/>
      <c r="AE5984" s="148"/>
    </row>
    <row r="5985" customFormat="false" ht="15" hidden="false" customHeight="true" outlineLevel="0" collapsed="false">
      <c r="A5985" s="141"/>
      <c r="B5985" s="131"/>
      <c r="C5985" s="132"/>
      <c r="D5985" s="131"/>
      <c r="E5985" s="110"/>
      <c r="F5985" s="110"/>
      <c r="G5985" s="110"/>
      <c r="H5985" s="131"/>
      <c r="I5985" s="131"/>
      <c r="J5985" s="142"/>
      <c r="K5985" s="142"/>
      <c r="L5985" s="140"/>
      <c r="M5985" s="131"/>
      <c r="N5985" s="131"/>
      <c r="O5985" s="131"/>
      <c r="P5985" s="143"/>
      <c r="Q5985" s="66"/>
      <c r="R5985" s="131"/>
      <c r="S5985" s="144"/>
      <c r="T5985" s="131"/>
      <c r="U5985" s="131"/>
      <c r="V5985" s="131"/>
      <c r="W5985" s="131"/>
      <c r="X5985" s="145"/>
      <c r="Y5985" s="146"/>
      <c r="Z5985" s="147"/>
      <c r="AA5985" s="147"/>
      <c r="AB5985" s="110"/>
      <c r="AC5985" s="132"/>
      <c r="AD5985" s="148"/>
      <c r="AE5985" s="148"/>
    </row>
    <row r="5986" customFormat="false" ht="15" hidden="false" customHeight="true" outlineLevel="0" collapsed="false">
      <c r="A5986" s="141"/>
      <c r="B5986" s="131"/>
      <c r="C5986" s="132"/>
      <c r="D5986" s="131"/>
      <c r="E5986" s="110"/>
      <c r="F5986" s="110"/>
      <c r="G5986" s="110"/>
      <c r="H5986" s="131"/>
      <c r="I5986" s="131"/>
      <c r="J5986" s="142"/>
      <c r="K5986" s="142"/>
      <c r="L5986" s="140"/>
      <c r="M5986" s="131"/>
      <c r="N5986" s="131"/>
      <c r="O5986" s="131"/>
      <c r="P5986" s="143"/>
      <c r="Q5986" s="66"/>
      <c r="R5986" s="131"/>
      <c r="S5986" s="144"/>
      <c r="T5986" s="131"/>
      <c r="U5986" s="131"/>
      <c r="V5986" s="131"/>
      <c r="W5986" s="131"/>
      <c r="X5986" s="145"/>
      <c r="Y5986" s="146"/>
      <c r="Z5986" s="147"/>
      <c r="AA5986" s="147"/>
      <c r="AB5986" s="110"/>
      <c r="AC5986" s="132"/>
      <c r="AD5986" s="148"/>
      <c r="AE5986" s="148"/>
    </row>
    <row r="5987" customFormat="false" ht="15" hidden="false" customHeight="true" outlineLevel="0" collapsed="false">
      <c r="A5987" s="141"/>
      <c r="B5987" s="131"/>
      <c r="C5987" s="132"/>
      <c r="D5987" s="131"/>
      <c r="E5987" s="110"/>
      <c r="F5987" s="110"/>
      <c r="G5987" s="110"/>
      <c r="H5987" s="131"/>
      <c r="I5987" s="131"/>
      <c r="J5987" s="142"/>
      <c r="K5987" s="142"/>
      <c r="L5987" s="140"/>
      <c r="M5987" s="131"/>
      <c r="N5987" s="131"/>
      <c r="O5987" s="131"/>
      <c r="P5987" s="143"/>
      <c r="Q5987" s="66"/>
      <c r="R5987" s="131"/>
      <c r="S5987" s="144"/>
      <c r="T5987" s="131"/>
      <c r="U5987" s="131"/>
      <c r="V5987" s="131"/>
      <c r="W5987" s="131"/>
      <c r="X5987" s="145"/>
      <c r="Y5987" s="146"/>
      <c r="Z5987" s="147"/>
      <c r="AA5987" s="147"/>
      <c r="AB5987" s="110"/>
      <c r="AC5987" s="132"/>
      <c r="AD5987" s="148"/>
      <c r="AE5987" s="148"/>
    </row>
    <row r="5988" customFormat="false" ht="15" hidden="false" customHeight="true" outlineLevel="0" collapsed="false">
      <c r="A5988" s="141"/>
      <c r="B5988" s="131"/>
      <c r="C5988" s="132"/>
      <c r="D5988" s="131"/>
      <c r="E5988" s="110"/>
      <c r="F5988" s="110"/>
      <c r="G5988" s="110"/>
      <c r="H5988" s="131"/>
      <c r="I5988" s="131"/>
      <c r="J5988" s="142"/>
      <c r="K5988" s="142"/>
      <c r="L5988" s="140"/>
      <c r="M5988" s="131"/>
      <c r="N5988" s="131"/>
      <c r="O5988" s="131"/>
      <c r="P5988" s="143"/>
      <c r="Q5988" s="66"/>
      <c r="R5988" s="131"/>
      <c r="S5988" s="144"/>
      <c r="T5988" s="131"/>
      <c r="U5988" s="131"/>
      <c r="V5988" s="131"/>
      <c r="W5988" s="131"/>
      <c r="X5988" s="145"/>
      <c r="Y5988" s="146"/>
      <c r="Z5988" s="147"/>
      <c r="AA5988" s="147"/>
      <c r="AB5988" s="110"/>
      <c r="AC5988" s="132"/>
      <c r="AD5988" s="148"/>
      <c r="AE5988" s="148"/>
    </row>
    <row r="5989" customFormat="false" ht="15" hidden="false" customHeight="true" outlineLevel="0" collapsed="false">
      <c r="A5989" s="141"/>
      <c r="B5989" s="131"/>
      <c r="C5989" s="132"/>
      <c r="D5989" s="131"/>
      <c r="E5989" s="110"/>
      <c r="F5989" s="110"/>
      <c r="G5989" s="110"/>
      <c r="H5989" s="131"/>
      <c r="I5989" s="131"/>
      <c r="J5989" s="142"/>
      <c r="K5989" s="142"/>
      <c r="L5989" s="140"/>
      <c r="M5989" s="131"/>
      <c r="N5989" s="131"/>
      <c r="O5989" s="131"/>
      <c r="P5989" s="143"/>
      <c r="Q5989" s="66"/>
      <c r="R5989" s="131"/>
      <c r="S5989" s="144"/>
      <c r="T5989" s="131"/>
      <c r="U5989" s="131"/>
      <c r="V5989" s="131"/>
      <c r="W5989" s="131"/>
      <c r="X5989" s="145"/>
      <c r="Y5989" s="146"/>
      <c r="Z5989" s="147"/>
      <c r="AA5989" s="147"/>
      <c r="AB5989" s="110"/>
      <c r="AC5989" s="132"/>
      <c r="AD5989" s="148"/>
      <c r="AE5989" s="148"/>
    </row>
    <row r="5990" customFormat="false" ht="15" hidden="false" customHeight="true" outlineLevel="0" collapsed="false">
      <c r="A5990" s="141"/>
      <c r="B5990" s="131"/>
      <c r="C5990" s="132"/>
      <c r="D5990" s="131"/>
      <c r="E5990" s="110"/>
      <c r="F5990" s="110"/>
      <c r="G5990" s="110"/>
      <c r="H5990" s="131"/>
      <c r="I5990" s="131"/>
      <c r="J5990" s="142"/>
      <c r="K5990" s="142"/>
      <c r="L5990" s="140"/>
      <c r="M5990" s="131"/>
      <c r="N5990" s="131"/>
      <c r="O5990" s="131"/>
      <c r="P5990" s="143"/>
      <c r="Q5990" s="66"/>
      <c r="R5990" s="131"/>
      <c r="S5990" s="144"/>
      <c r="T5990" s="131"/>
      <c r="U5990" s="131"/>
      <c r="V5990" s="131"/>
      <c r="W5990" s="131"/>
      <c r="X5990" s="145"/>
      <c r="Y5990" s="146"/>
      <c r="Z5990" s="147"/>
      <c r="AA5990" s="147"/>
      <c r="AB5990" s="110"/>
      <c r="AC5990" s="132"/>
      <c r="AD5990" s="148"/>
      <c r="AE5990" s="148"/>
    </row>
    <row r="5991" customFormat="false" ht="15" hidden="false" customHeight="true" outlineLevel="0" collapsed="false">
      <c r="A5991" s="141"/>
      <c r="B5991" s="131"/>
      <c r="C5991" s="132"/>
      <c r="D5991" s="131"/>
      <c r="E5991" s="110"/>
      <c r="F5991" s="110"/>
      <c r="G5991" s="110"/>
      <c r="H5991" s="131"/>
      <c r="I5991" s="131"/>
      <c r="J5991" s="142"/>
      <c r="K5991" s="142"/>
      <c r="L5991" s="140"/>
      <c r="M5991" s="131"/>
      <c r="N5991" s="131"/>
      <c r="O5991" s="131"/>
      <c r="P5991" s="143"/>
      <c r="Q5991" s="66"/>
      <c r="R5991" s="131"/>
      <c r="S5991" s="144"/>
      <c r="T5991" s="131"/>
      <c r="U5991" s="131"/>
      <c r="V5991" s="131"/>
      <c r="W5991" s="131"/>
      <c r="X5991" s="145"/>
      <c r="Y5991" s="146"/>
      <c r="Z5991" s="147"/>
      <c r="AA5991" s="147"/>
      <c r="AB5991" s="110"/>
      <c r="AC5991" s="132"/>
      <c r="AD5991" s="148"/>
      <c r="AE5991" s="148"/>
    </row>
    <row r="5992" customFormat="false" ht="15" hidden="false" customHeight="true" outlineLevel="0" collapsed="false">
      <c r="A5992" s="141"/>
      <c r="B5992" s="131"/>
      <c r="C5992" s="132"/>
      <c r="D5992" s="131"/>
      <c r="E5992" s="110"/>
      <c r="F5992" s="110"/>
      <c r="G5992" s="110"/>
      <c r="H5992" s="131"/>
      <c r="I5992" s="131"/>
      <c r="J5992" s="142"/>
      <c r="K5992" s="142"/>
      <c r="L5992" s="140"/>
      <c r="M5992" s="131"/>
      <c r="N5992" s="131"/>
      <c r="O5992" s="131"/>
      <c r="P5992" s="143"/>
      <c r="Q5992" s="66"/>
      <c r="R5992" s="131"/>
      <c r="S5992" s="144"/>
      <c r="T5992" s="131"/>
      <c r="U5992" s="131"/>
      <c r="V5992" s="131"/>
      <c r="W5992" s="131"/>
      <c r="X5992" s="145"/>
      <c r="Y5992" s="146"/>
      <c r="Z5992" s="147"/>
      <c r="AA5992" s="147"/>
      <c r="AB5992" s="110"/>
      <c r="AC5992" s="132"/>
      <c r="AD5992" s="148"/>
      <c r="AE5992" s="148"/>
    </row>
    <row r="5993" customFormat="false" ht="15" hidden="false" customHeight="true" outlineLevel="0" collapsed="false">
      <c r="A5993" s="141"/>
      <c r="B5993" s="131"/>
      <c r="C5993" s="132"/>
      <c r="D5993" s="131"/>
      <c r="E5993" s="110"/>
      <c r="F5993" s="110"/>
      <c r="G5993" s="110"/>
      <c r="H5993" s="131"/>
      <c r="I5993" s="131"/>
      <c r="J5993" s="142"/>
      <c r="K5993" s="142"/>
      <c r="L5993" s="140"/>
      <c r="M5993" s="131"/>
      <c r="N5993" s="131"/>
      <c r="O5993" s="131"/>
      <c r="P5993" s="143"/>
      <c r="Q5993" s="66"/>
      <c r="R5993" s="131"/>
      <c r="S5993" s="144"/>
      <c r="T5993" s="131"/>
      <c r="U5993" s="131"/>
      <c r="V5993" s="131"/>
      <c r="W5993" s="131"/>
      <c r="X5993" s="145"/>
      <c r="Y5993" s="146"/>
      <c r="Z5993" s="147"/>
      <c r="AA5993" s="147"/>
      <c r="AB5993" s="110"/>
      <c r="AC5993" s="132"/>
      <c r="AD5993" s="148"/>
      <c r="AE5993" s="148"/>
    </row>
    <row r="5994" customFormat="false" ht="15" hidden="false" customHeight="true" outlineLevel="0" collapsed="false">
      <c r="A5994" s="141"/>
      <c r="B5994" s="131"/>
      <c r="C5994" s="132"/>
      <c r="D5994" s="131"/>
      <c r="E5994" s="110"/>
      <c r="F5994" s="110"/>
      <c r="G5994" s="110"/>
      <c r="H5994" s="131"/>
      <c r="I5994" s="131"/>
      <c r="J5994" s="142"/>
      <c r="K5994" s="142"/>
      <c r="L5994" s="140"/>
      <c r="M5994" s="131"/>
      <c r="N5994" s="131"/>
      <c r="O5994" s="131"/>
      <c r="P5994" s="143"/>
      <c r="Q5994" s="66"/>
      <c r="R5994" s="131"/>
      <c r="S5994" s="144"/>
      <c r="T5994" s="131"/>
      <c r="U5994" s="131"/>
      <c r="V5994" s="131"/>
      <c r="W5994" s="131"/>
      <c r="X5994" s="145"/>
      <c r="Y5994" s="146"/>
      <c r="Z5994" s="147"/>
      <c r="AA5994" s="147"/>
      <c r="AB5994" s="110"/>
      <c r="AC5994" s="132"/>
      <c r="AD5994" s="148"/>
      <c r="AE5994" s="148"/>
    </row>
    <row r="5995" customFormat="false" ht="15" hidden="false" customHeight="true" outlineLevel="0" collapsed="false">
      <c r="A5995" s="141"/>
      <c r="B5995" s="131"/>
      <c r="C5995" s="132"/>
      <c r="D5995" s="131"/>
      <c r="E5995" s="110"/>
      <c r="F5995" s="110"/>
      <c r="G5995" s="110"/>
      <c r="H5995" s="131"/>
      <c r="I5995" s="131"/>
      <c r="J5995" s="142"/>
      <c r="K5995" s="142"/>
      <c r="L5995" s="140"/>
      <c r="M5995" s="131"/>
      <c r="N5995" s="131"/>
      <c r="O5995" s="131"/>
      <c r="P5995" s="143"/>
      <c r="Q5995" s="66"/>
      <c r="R5995" s="131"/>
      <c r="S5995" s="144"/>
      <c r="T5995" s="131"/>
      <c r="U5995" s="131"/>
      <c r="V5995" s="131"/>
      <c r="W5995" s="131"/>
      <c r="X5995" s="145"/>
      <c r="Y5995" s="146"/>
      <c r="Z5995" s="147"/>
      <c r="AA5995" s="147"/>
      <c r="AB5995" s="110"/>
      <c r="AC5995" s="132"/>
      <c r="AD5995" s="148"/>
      <c r="AE5995" s="148"/>
    </row>
    <row r="5996" customFormat="false" ht="15" hidden="false" customHeight="true" outlineLevel="0" collapsed="false">
      <c r="A5996" s="141"/>
      <c r="B5996" s="131"/>
      <c r="C5996" s="132"/>
      <c r="D5996" s="131"/>
      <c r="E5996" s="110"/>
      <c r="F5996" s="110"/>
      <c r="G5996" s="110"/>
      <c r="H5996" s="131"/>
      <c r="I5996" s="131"/>
      <c r="J5996" s="142"/>
      <c r="K5996" s="142"/>
      <c r="L5996" s="140"/>
      <c r="M5996" s="131"/>
      <c r="N5996" s="131"/>
      <c r="O5996" s="131"/>
      <c r="P5996" s="143"/>
      <c r="Q5996" s="66"/>
      <c r="R5996" s="131"/>
      <c r="S5996" s="144"/>
      <c r="T5996" s="131"/>
      <c r="U5996" s="131"/>
      <c r="V5996" s="131"/>
      <c r="W5996" s="131"/>
      <c r="X5996" s="145"/>
      <c r="Y5996" s="146"/>
      <c r="Z5996" s="147"/>
      <c r="AA5996" s="147"/>
      <c r="AB5996" s="110"/>
      <c r="AC5996" s="132"/>
      <c r="AD5996" s="148"/>
      <c r="AE5996" s="148"/>
    </row>
    <row r="5997" customFormat="false" ht="15" hidden="false" customHeight="true" outlineLevel="0" collapsed="false">
      <c r="A5997" s="141"/>
      <c r="B5997" s="131"/>
      <c r="C5997" s="132"/>
      <c r="D5997" s="131"/>
      <c r="E5997" s="110"/>
      <c r="F5997" s="110"/>
      <c r="G5997" s="110"/>
      <c r="H5997" s="131"/>
      <c r="I5997" s="131"/>
      <c r="J5997" s="142"/>
      <c r="K5997" s="142"/>
      <c r="L5997" s="140"/>
      <c r="M5997" s="131"/>
      <c r="N5997" s="131"/>
      <c r="O5997" s="131"/>
      <c r="P5997" s="143"/>
      <c r="Q5997" s="66"/>
      <c r="R5997" s="131"/>
      <c r="S5997" s="144"/>
      <c r="T5997" s="131"/>
      <c r="U5997" s="131"/>
      <c r="V5997" s="131"/>
      <c r="W5997" s="131"/>
      <c r="X5997" s="145"/>
      <c r="Y5997" s="146"/>
      <c r="Z5997" s="147"/>
      <c r="AA5997" s="147"/>
      <c r="AB5997" s="110"/>
      <c r="AC5997" s="132"/>
      <c r="AD5997" s="148"/>
      <c r="AE5997" s="148"/>
    </row>
    <row r="5998" customFormat="false" ht="15" hidden="false" customHeight="true" outlineLevel="0" collapsed="false">
      <c r="A5998" s="141"/>
      <c r="B5998" s="131"/>
      <c r="C5998" s="132"/>
      <c r="D5998" s="131"/>
      <c r="E5998" s="110"/>
      <c r="F5998" s="110"/>
      <c r="G5998" s="110"/>
      <c r="H5998" s="131"/>
      <c r="I5998" s="131"/>
      <c r="J5998" s="142"/>
      <c r="K5998" s="142"/>
      <c r="L5998" s="140"/>
      <c r="M5998" s="131"/>
      <c r="N5998" s="131"/>
      <c r="O5998" s="131"/>
      <c r="P5998" s="143"/>
      <c r="Q5998" s="66"/>
      <c r="R5998" s="131"/>
      <c r="S5998" s="144"/>
      <c r="T5998" s="131"/>
      <c r="U5998" s="131"/>
      <c r="V5998" s="131"/>
      <c r="W5998" s="131"/>
      <c r="X5998" s="145"/>
      <c r="Y5998" s="146"/>
      <c r="Z5998" s="147"/>
      <c r="AA5998" s="147"/>
      <c r="AB5998" s="110"/>
      <c r="AC5998" s="132"/>
      <c r="AD5998" s="148"/>
      <c r="AE5998" s="148"/>
    </row>
    <row r="5999" customFormat="false" ht="15" hidden="false" customHeight="true" outlineLevel="0" collapsed="false">
      <c r="A5999" s="141"/>
      <c r="B5999" s="131"/>
      <c r="C5999" s="132"/>
      <c r="D5999" s="131"/>
      <c r="E5999" s="110"/>
      <c r="F5999" s="110"/>
      <c r="G5999" s="110"/>
      <c r="H5999" s="131"/>
      <c r="I5999" s="131"/>
      <c r="J5999" s="142"/>
      <c r="K5999" s="142"/>
      <c r="L5999" s="140"/>
      <c r="M5999" s="131"/>
      <c r="N5999" s="131"/>
      <c r="O5999" s="131"/>
      <c r="P5999" s="143"/>
      <c r="Q5999" s="66"/>
      <c r="R5999" s="131"/>
      <c r="S5999" s="144"/>
      <c r="T5999" s="131"/>
      <c r="U5999" s="131"/>
      <c r="V5999" s="131"/>
      <c r="W5999" s="131"/>
      <c r="X5999" s="145"/>
      <c r="Y5999" s="146"/>
      <c r="Z5999" s="147"/>
      <c r="AA5999" s="147"/>
      <c r="AB5999" s="110"/>
      <c r="AC5999" s="132"/>
      <c r="AD5999" s="148"/>
      <c r="AE5999" s="148"/>
    </row>
    <row r="6000" customFormat="false" ht="15" hidden="false" customHeight="true" outlineLevel="0" collapsed="false">
      <c r="A6000" s="141"/>
      <c r="B6000" s="131"/>
      <c r="C6000" s="132"/>
      <c r="D6000" s="131"/>
      <c r="E6000" s="110"/>
      <c r="F6000" s="110"/>
      <c r="G6000" s="110"/>
      <c r="H6000" s="131"/>
      <c r="I6000" s="131"/>
      <c r="J6000" s="142"/>
      <c r="K6000" s="142"/>
      <c r="L6000" s="140"/>
      <c r="M6000" s="131"/>
      <c r="N6000" s="131"/>
      <c r="O6000" s="131"/>
      <c r="P6000" s="143"/>
      <c r="Q6000" s="66"/>
      <c r="R6000" s="131"/>
      <c r="S6000" s="144"/>
      <c r="T6000" s="131"/>
      <c r="U6000" s="131"/>
      <c r="V6000" s="131"/>
      <c r="W6000" s="131"/>
      <c r="X6000" s="145"/>
      <c r="Y6000" s="146"/>
      <c r="Z6000" s="147"/>
      <c r="AA6000" s="147"/>
      <c r="AB6000" s="110"/>
      <c r="AC6000" s="132"/>
      <c r="AD6000" s="148"/>
      <c r="AE6000" s="148"/>
    </row>
    <row r="6001" customFormat="false" ht="15" hidden="false" customHeight="true" outlineLevel="0" collapsed="false">
      <c r="A6001" s="141"/>
      <c r="B6001" s="131"/>
      <c r="C6001" s="132"/>
      <c r="D6001" s="131"/>
      <c r="E6001" s="110"/>
      <c r="F6001" s="110"/>
      <c r="G6001" s="110"/>
      <c r="H6001" s="131"/>
      <c r="I6001" s="131"/>
      <c r="J6001" s="142"/>
      <c r="K6001" s="142"/>
      <c r="L6001" s="140"/>
      <c r="M6001" s="131"/>
      <c r="N6001" s="131"/>
      <c r="O6001" s="131"/>
      <c r="P6001" s="143"/>
      <c r="Q6001" s="66"/>
      <c r="R6001" s="131"/>
      <c r="S6001" s="144"/>
      <c r="T6001" s="131"/>
      <c r="U6001" s="131"/>
      <c r="V6001" s="131"/>
      <c r="W6001" s="131"/>
      <c r="X6001" s="145"/>
      <c r="Y6001" s="146"/>
      <c r="Z6001" s="147"/>
      <c r="AA6001" s="147"/>
      <c r="AB6001" s="110"/>
      <c r="AC6001" s="132"/>
      <c r="AD6001" s="148"/>
      <c r="AE6001" s="148"/>
    </row>
    <row r="6002" customFormat="false" ht="15" hidden="false" customHeight="true" outlineLevel="0" collapsed="false">
      <c r="A6002" s="141"/>
      <c r="B6002" s="131"/>
      <c r="C6002" s="132"/>
      <c r="D6002" s="131"/>
      <c r="E6002" s="110"/>
      <c r="F6002" s="110"/>
      <c r="G6002" s="110"/>
      <c r="H6002" s="131"/>
      <c r="I6002" s="131"/>
      <c r="J6002" s="142"/>
      <c r="K6002" s="142"/>
      <c r="L6002" s="140"/>
      <c r="M6002" s="131"/>
      <c r="N6002" s="131"/>
      <c r="O6002" s="131"/>
      <c r="P6002" s="143"/>
      <c r="Q6002" s="66"/>
      <c r="R6002" s="131"/>
      <c r="S6002" s="144"/>
      <c r="T6002" s="131"/>
      <c r="U6002" s="131"/>
      <c r="V6002" s="131"/>
      <c r="W6002" s="131"/>
      <c r="X6002" s="145"/>
      <c r="Y6002" s="146"/>
      <c r="Z6002" s="147"/>
      <c r="AA6002" s="147"/>
      <c r="AB6002" s="110"/>
      <c r="AC6002" s="132"/>
      <c r="AD6002" s="148"/>
      <c r="AE6002" s="148"/>
    </row>
    <row r="6003" customFormat="false" ht="15" hidden="false" customHeight="true" outlineLevel="0" collapsed="false">
      <c r="A6003" s="141"/>
      <c r="B6003" s="131"/>
      <c r="C6003" s="132"/>
      <c r="D6003" s="131"/>
      <c r="E6003" s="110"/>
      <c r="F6003" s="110"/>
      <c r="G6003" s="110"/>
      <c r="H6003" s="131"/>
      <c r="I6003" s="131"/>
      <c r="J6003" s="142"/>
      <c r="K6003" s="142"/>
      <c r="L6003" s="140"/>
      <c r="M6003" s="131"/>
      <c r="N6003" s="131"/>
      <c r="O6003" s="131"/>
      <c r="P6003" s="143"/>
      <c r="Q6003" s="66"/>
      <c r="R6003" s="131"/>
      <c r="S6003" s="144"/>
      <c r="T6003" s="131"/>
      <c r="U6003" s="131"/>
      <c r="V6003" s="131"/>
      <c r="W6003" s="131"/>
      <c r="X6003" s="145"/>
      <c r="Y6003" s="146"/>
      <c r="Z6003" s="147"/>
      <c r="AA6003" s="147"/>
      <c r="AB6003" s="110"/>
      <c r="AC6003" s="132"/>
      <c r="AD6003" s="148"/>
      <c r="AE6003" s="148"/>
    </row>
    <row r="6004" customFormat="false" ht="15" hidden="false" customHeight="true" outlineLevel="0" collapsed="false">
      <c r="A6004" s="141"/>
      <c r="B6004" s="131"/>
      <c r="C6004" s="132"/>
      <c r="D6004" s="131"/>
      <c r="E6004" s="110"/>
      <c r="F6004" s="110"/>
      <c r="G6004" s="110"/>
      <c r="H6004" s="131"/>
      <c r="I6004" s="131"/>
      <c r="J6004" s="142"/>
      <c r="K6004" s="142"/>
      <c r="L6004" s="140"/>
      <c r="M6004" s="131"/>
      <c r="N6004" s="131"/>
      <c r="O6004" s="131"/>
      <c r="P6004" s="143"/>
      <c r="Q6004" s="66"/>
      <c r="R6004" s="131"/>
      <c r="S6004" s="144"/>
      <c r="T6004" s="131"/>
      <c r="U6004" s="131"/>
      <c r="V6004" s="131"/>
      <c r="W6004" s="131"/>
      <c r="X6004" s="145"/>
      <c r="Y6004" s="146"/>
      <c r="Z6004" s="147"/>
      <c r="AA6004" s="147"/>
      <c r="AB6004" s="110"/>
      <c r="AC6004" s="132"/>
      <c r="AD6004" s="148"/>
      <c r="AE6004" s="148"/>
    </row>
    <row r="6005" customFormat="false" ht="15" hidden="false" customHeight="true" outlineLevel="0" collapsed="false">
      <c r="A6005" s="141"/>
      <c r="B6005" s="131"/>
      <c r="C6005" s="132"/>
      <c r="D6005" s="131"/>
      <c r="E6005" s="110"/>
      <c r="F6005" s="110"/>
      <c r="G6005" s="110"/>
      <c r="H6005" s="131"/>
      <c r="I6005" s="131"/>
      <c r="J6005" s="142"/>
      <c r="K6005" s="142"/>
      <c r="L6005" s="140"/>
      <c r="M6005" s="131"/>
      <c r="N6005" s="131"/>
      <c r="O6005" s="131"/>
      <c r="P6005" s="143"/>
      <c r="Q6005" s="66"/>
      <c r="R6005" s="131"/>
      <c r="S6005" s="144"/>
      <c r="T6005" s="131"/>
      <c r="U6005" s="131"/>
      <c r="V6005" s="131"/>
      <c r="W6005" s="131"/>
      <c r="X6005" s="145"/>
      <c r="Y6005" s="146"/>
      <c r="Z6005" s="147"/>
      <c r="AA6005" s="147"/>
      <c r="AB6005" s="110"/>
      <c r="AC6005" s="132"/>
      <c r="AD6005" s="148"/>
      <c r="AE6005" s="148"/>
    </row>
    <row r="6006" customFormat="false" ht="15" hidden="false" customHeight="true" outlineLevel="0" collapsed="false">
      <c r="A6006" s="141"/>
      <c r="B6006" s="131"/>
      <c r="C6006" s="132"/>
      <c r="D6006" s="131"/>
      <c r="E6006" s="110"/>
      <c r="F6006" s="110"/>
      <c r="G6006" s="110"/>
      <c r="H6006" s="131"/>
      <c r="I6006" s="131"/>
      <c r="J6006" s="142"/>
      <c r="K6006" s="142"/>
      <c r="L6006" s="140"/>
      <c r="M6006" s="131"/>
      <c r="N6006" s="131"/>
      <c r="O6006" s="131"/>
      <c r="P6006" s="143"/>
      <c r="Q6006" s="66"/>
      <c r="R6006" s="131"/>
      <c r="S6006" s="144"/>
      <c r="T6006" s="131"/>
      <c r="U6006" s="131"/>
      <c r="V6006" s="131"/>
      <c r="W6006" s="131"/>
      <c r="X6006" s="145"/>
      <c r="Y6006" s="146"/>
      <c r="Z6006" s="147"/>
      <c r="AA6006" s="147"/>
      <c r="AB6006" s="110"/>
      <c r="AC6006" s="132"/>
      <c r="AD6006" s="148"/>
      <c r="AE6006" s="148"/>
    </row>
    <row r="6007" customFormat="false" ht="15" hidden="false" customHeight="true" outlineLevel="0" collapsed="false">
      <c r="A6007" s="141"/>
      <c r="B6007" s="131"/>
      <c r="C6007" s="132"/>
      <c r="D6007" s="131"/>
      <c r="E6007" s="110"/>
      <c r="F6007" s="110"/>
      <c r="G6007" s="110"/>
      <c r="H6007" s="131"/>
      <c r="I6007" s="131"/>
      <c r="J6007" s="142"/>
      <c r="K6007" s="142"/>
      <c r="L6007" s="140"/>
      <c r="M6007" s="131"/>
      <c r="N6007" s="131"/>
      <c r="O6007" s="131"/>
      <c r="P6007" s="143"/>
      <c r="Q6007" s="66"/>
      <c r="R6007" s="131"/>
      <c r="S6007" s="144"/>
      <c r="T6007" s="131"/>
      <c r="U6007" s="131"/>
      <c r="V6007" s="131"/>
      <c r="W6007" s="131"/>
      <c r="X6007" s="145"/>
      <c r="Y6007" s="146"/>
      <c r="Z6007" s="147"/>
      <c r="AA6007" s="147"/>
      <c r="AB6007" s="110"/>
      <c r="AC6007" s="132"/>
      <c r="AD6007" s="148"/>
      <c r="AE6007" s="148"/>
    </row>
    <row r="6008" customFormat="false" ht="15" hidden="false" customHeight="true" outlineLevel="0" collapsed="false">
      <c r="A6008" s="141"/>
      <c r="B6008" s="131"/>
      <c r="C6008" s="132"/>
      <c r="D6008" s="131"/>
      <c r="E6008" s="110"/>
      <c r="F6008" s="110"/>
      <c r="G6008" s="110"/>
      <c r="H6008" s="131"/>
      <c r="I6008" s="131"/>
      <c r="J6008" s="142"/>
      <c r="K6008" s="142"/>
      <c r="L6008" s="140"/>
      <c r="M6008" s="131"/>
      <c r="N6008" s="131"/>
      <c r="O6008" s="131"/>
      <c r="P6008" s="143"/>
      <c r="Q6008" s="66"/>
      <c r="R6008" s="131"/>
      <c r="S6008" s="144"/>
      <c r="T6008" s="131"/>
      <c r="U6008" s="131"/>
      <c r="V6008" s="131"/>
      <c r="W6008" s="131"/>
      <c r="X6008" s="145"/>
      <c r="Y6008" s="146"/>
      <c r="Z6008" s="147"/>
      <c r="AA6008" s="147"/>
      <c r="AB6008" s="110"/>
      <c r="AC6008" s="132"/>
      <c r="AD6008" s="148"/>
      <c r="AE6008" s="148"/>
    </row>
    <row r="6009" customFormat="false" ht="15" hidden="false" customHeight="true" outlineLevel="0" collapsed="false">
      <c r="A6009" s="141"/>
      <c r="B6009" s="131"/>
      <c r="C6009" s="132"/>
      <c r="D6009" s="131"/>
      <c r="E6009" s="110"/>
      <c r="F6009" s="110"/>
      <c r="G6009" s="110"/>
      <c r="H6009" s="131"/>
      <c r="I6009" s="131"/>
      <c r="J6009" s="142"/>
      <c r="K6009" s="142"/>
      <c r="L6009" s="140"/>
      <c r="M6009" s="131"/>
      <c r="N6009" s="131"/>
      <c r="O6009" s="131"/>
      <c r="P6009" s="143"/>
      <c r="Q6009" s="66"/>
      <c r="R6009" s="131"/>
      <c r="S6009" s="144"/>
      <c r="T6009" s="131"/>
      <c r="U6009" s="131"/>
      <c r="V6009" s="131"/>
      <c r="W6009" s="131"/>
      <c r="X6009" s="145"/>
      <c r="Y6009" s="146"/>
      <c r="Z6009" s="147"/>
      <c r="AA6009" s="147"/>
      <c r="AB6009" s="110"/>
      <c r="AC6009" s="132"/>
      <c r="AD6009" s="148"/>
      <c r="AE6009" s="148"/>
    </row>
    <row r="6010" customFormat="false" ht="15" hidden="false" customHeight="true" outlineLevel="0" collapsed="false">
      <c r="A6010" s="141"/>
      <c r="B6010" s="131"/>
      <c r="C6010" s="132"/>
      <c r="D6010" s="131"/>
      <c r="E6010" s="110"/>
      <c r="F6010" s="110"/>
      <c r="G6010" s="110"/>
      <c r="H6010" s="131"/>
      <c r="I6010" s="131"/>
      <c r="J6010" s="142"/>
      <c r="K6010" s="142"/>
      <c r="L6010" s="140"/>
      <c r="M6010" s="131"/>
      <c r="N6010" s="131"/>
      <c r="O6010" s="131"/>
      <c r="P6010" s="143"/>
      <c r="Q6010" s="66"/>
      <c r="R6010" s="131"/>
      <c r="S6010" s="144"/>
      <c r="T6010" s="131"/>
      <c r="U6010" s="131"/>
      <c r="V6010" s="131"/>
      <c r="W6010" s="131"/>
      <c r="X6010" s="145"/>
      <c r="Y6010" s="146"/>
      <c r="Z6010" s="147"/>
      <c r="AA6010" s="147"/>
      <c r="AB6010" s="110"/>
      <c r="AC6010" s="132"/>
      <c r="AD6010" s="148"/>
      <c r="AE6010" s="148"/>
    </row>
    <row r="6011" customFormat="false" ht="15" hidden="false" customHeight="true" outlineLevel="0" collapsed="false">
      <c r="A6011" s="141"/>
      <c r="B6011" s="131"/>
      <c r="C6011" s="132"/>
      <c r="D6011" s="131"/>
      <c r="E6011" s="110"/>
      <c r="F6011" s="110"/>
      <c r="G6011" s="110"/>
      <c r="H6011" s="131"/>
      <c r="I6011" s="131"/>
      <c r="J6011" s="142"/>
      <c r="K6011" s="142"/>
      <c r="L6011" s="140"/>
      <c r="M6011" s="131"/>
      <c r="N6011" s="131"/>
      <c r="O6011" s="131"/>
      <c r="P6011" s="143"/>
      <c r="Q6011" s="66"/>
      <c r="R6011" s="131"/>
      <c r="S6011" s="144"/>
      <c r="T6011" s="131"/>
      <c r="U6011" s="131"/>
      <c r="V6011" s="131"/>
      <c r="W6011" s="131"/>
      <c r="X6011" s="145"/>
      <c r="Y6011" s="146"/>
      <c r="Z6011" s="147"/>
      <c r="AA6011" s="147"/>
      <c r="AB6011" s="110"/>
      <c r="AC6011" s="132"/>
      <c r="AD6011" s="148"/>
      <c r="AE6011" s="148"/>
    </row>
    <row r="6012" customFormat="false" ht="15" hidden="false" customHeight="true" outlineLevel="0" collapsed="false">
      <c r="A6012" s="141"/>
      <c r="B6012" s="131"/>
      <c r="C6012" s="132"/>
      <c r="D6012" s="131"/>
      <c r="E6012" s="110"/>
      <c r="F6012" s="110"/>
      <c r="G6012" s="110"/>
      <c r="H6012" s="131"/>
      <c r="I6012" s="131"/>
      <c r="J6012" s="142"/>
      <c r="K6012" s="142"/>
      <c r="L6012" s="140"/>
      <c r="M6012" s="131"/>
      <c r="N6012" s="131"/>
      <c r="O6012" s="131"/>
      <c r="P6012" s="143"/>
      <c r="Q6012" s="66"/>
      <c r="R6012" s="131"/>
      <c r="S6012" s="144"/>
      <c r="T6012" s="131"/>
      <c r="U6012" s="131"/>
      <c r="V6012" s="131"/>
      <c r="W6012" s="131"/>
      <c r="X6012" s="145"/>
      <c r="Y6012" s="146"/>
      <c r="Z6012" s="147"/>
      <c r="AA6012" s="147"/>
      <c r="AB6012" s="110"/>
      <c r="AC6012" s="132"/>
      <c r="AD6012" s="148"/>
      <c r="AE6012" s="148"/>
    </row>
    <row r="6013" customFormat="false" ht="15" hidden="false" customHeight="true" outlineLevel="0" collapsed="false">
      <c r="A6013" s="141"/>
      <c r="B6013" s="131"/>
      <c r="C6013" s="132"/>
      <c r="D6013" s="131"/>
      <c r="E6013" s="110"/>
      <c r="F6013" s="110"/>
      <c r="G6013" s="110"/>
      <c r="H6013" s="131"/>
      <c r="I6013" s="131"/>
      <c r="J6013" s="142"/>
      <c r="K6013" s="142"/>
      <c r="L6013" s="140"/>
      <c r="M6013" s="131"/>
      <c r="N6013" s="131"/>
      <c r="O6013" s="131"/>
      <c r="P6013" s="143"/>
      <c r="Q6013" s="66"/>
      <c r="R6013" s="131"/>
      <c r="S6013" s="144"/>
      <c r="T6013" s="131"/>
      <c r="U6013" s="131"/>
      <c r="V6013" s="131"/>
      <c r="W6013" s="131"/>
      <c r="X6013" s="145"/>
      <c r="Y6013" s="146"/>
      <c r="Z6013" s="147"/>
      <c r="AA6013" s="147"/>
      <c r="AB6013" s="110"/>
      <c r="AC6013" s="132"/>
      <c r="AD6013" s="148"/>
      <c r="AE6013" s="148"/>
    </row>
    <row r="6014" customFormat="false" ht="15" hidden="false" customHeight="true" outlineLevel="0" collapsed="false">
      <c r="A6014" s="141"/>
      <c r="B6014" s="131"/>
      <c r="C6014" s="132"/>
      <c r="D6014" s="131"/>
      <c r="E6014" s="110"/>
      <c r="F6014" s="110"/>
      <c r="G6014" s="110"/>
      <c r="H6014" s="131"/>
      <c r="I6014" s="131"/>
      <c r="J6014" s="142"/>
      <c r="K6014" s="142"/>
      <c r="L6014" s="140"/>
      <c r="M6014" s="131"/>
      <c r="N6014" s="131"/>
      <c r="O6014" s="131"/>
      <c r="P6014" s="143"/>
      <c r="Q6014" s="66"/>
      <c r="R6014" s="131"/>
      <c r="S6014" s="144"/>
      <c r="T6014" s="131"/>
      <c r="U6014" s="131"/>
      <c r="V6014" s="131"/>
      <c r="W6014" s="131"/>
      <c r="X6014" s="145"/>
      <c r="Y6014" s="146"/>
      <c r="Z6014" s="147"/>
      <c r="AA6014" s="147"/>
      <c r="AB6014" s="110"/>
      <c r="AC6014" s="132"/>
      <c r="AD6014" s="148"/>
      <c r="AE6014" s="148"/>
    </row>
    <row r="6015" customFormat="false" ht="15" hidden="false" customHeight="true" outlineLevel="0" collapsed="false">
      <c r="A6015" s="141"/>
      <c r="B6015" s="131"/>
      <c r="C6015" s="132"/>
      <c r="D6015" s="131"/>
      <c r="E6015" s="110"/>
      <c r="F6015" s="110"/>
      <c r="G6015" s="110"/>
      <c r="H6015" s="131"/>
      <c r="I6015" s="131"/>
      <c r="J6015" s="142"/>
      <c r="K6015" s="142"/>
      <c r="L6015" s="140"/>
      <c r="M6015" s="131"/>
      <c r="N6015" s="131"/>
      <c r="O6015" s="131"/>
      <c r="P6015" s="143"/>
      <c r="Q6015" s="66"/>
      <c r="R6015" s="131"/>
      <c r="S6015" s="144"/>
      <c r="T6015" s="131"/>
      <c r="U6015" s="131"/>
      <c r="V6015" s="131"/>
      <c r="W6015" s="131"/>
      <c r="X6015" s="145"/>
      <c r="Y6015" s="146"/>
      <c r="Z6015" s="147"/>
      <c r="AA6015" s="147"/>
      <c r="AB6015" s="110"/>
      <c r="AC6015" s="132"/>
      <c r="AD6015" s="148"/>
      <c r="AE6015" s="148"/>
    </row>
    <row r="6016" customFormat="false" ht="15" hidden="false" customHeight="true" outlineLevel="0" collapsed="false">
      <c r="A6016" s="141"/>
      <c r="B6016" s="131"/>
      <c r="C6016" s="132"/>
      <c r="D6016" s="131"/>
      <c r="E6016" s="110"/>
      <c r="F6016" s="110"/>
      <c r="G6016" s="110"/>
      <c r="H6016" s="131"/>
      <c r="I6016" s="131"/>
      <c r="J6016" s="142"/>
      <c r="K6016" s="142"/>
      <c r="L6016" s="140"/>
      <c r="M6016" s="131"/>
      <c r="N6016" s="131"/>
      <c r="O6016" s="131"/>
      <c r="P6016" s="143"/>
      <c r="Q6016" s="66"/>
      <c r="R6016" s="131"/>
      <c r="S6016" s="144"/>
      <c r="T6016" s="131"/>
      <c r="U6016" s="131"/>
      <c r="V6016" s="131"/>
      <c r="W6016" s="131"/>
      <c r="X6016" s="145"/>
      <c r="Y6016" s="146"/>
      <c r="Z6016" s="147"/>
      <c r="AA6016" s="147"/>
      <c r="AB6016" s="110"/>
      <c r="AC6016" s="132"/>
      <c r="AD6016" s="148"/>
      <c r="AE6016" s="148"/>
    </row>
    <row r="6017" customFormat="false" ht="15" hidden="false" customHeight="true" outlineLevel="0" collapsed="false">
      <c r="A6017" s="141"/>
      <c r="B6017" s="131"/>
      <c r="C6017" s="132"/>
      <c r="D6017" s="131"/>
      <c r="E6017" s="110"/>
      <c r="F6017" s="110"/>
      <c r="G6017" s="110"/>
      <c r="H6017" s="131"/>
      <c r="I6017" s="131"/>
      <c r="J6017" s="142"/>
      <c r="K6017" s="142"/>
      <c r="L6017" s="140"/>
      <c r="M6017" s="131"/>
      <c r="N6017" s="131"/>
      <c r="O6017" s="131"/>
      <c r="P6017" s="143"/>
      <c r="Q6017" s="66"/>
      <c r="R6017" s="131"/>
      <c r="S6017" s="144"/>
      <c r="T6017" s="131"/>
      <c r="U6017" s="131"/>
      <c r="V6017" s="131"/>
      <c r="W6017" s="131"/>
      <c r="X6017" s="145"/>
      <c r="Y6017" s="146"/>
      <c r="Z6017" s="147"/>
      <c r="AA6017" s="147"/>
      <c r="AB6017" s="110"/>
      <c r="AC6017" s="132"/>
      <c r="AD6017" s="148"/>
      <c r="AE6017" s="148"/>
    </row>
    <row r="6018" customFormat="false" ht="15" hidden="false" customHeight="true" outlineLevel="0" collapsed="false">
      <c r="A6018" s="141"/>
      <c r="B6018" s="131"/>
      <c r="C6018" s="132"/>
      <c r="D6018" s="131"/>
      <c r="E6018" s="110"/>
      <c r="F6018" s="110"/>
      <c r="G6018" s="110"/>
      <c r="H6018" s="131"/>
      <c r="I6018" s="131"/>
      <c r="J6018" s="142"/>
      <c r="K6018" s="142"/>
      <c r="L6018" s="140"/>
      <c r="M6018" s="131"/>
      <c r="N6018" s="131"/>
      <c r="O6018" s="131"/>
      <c r="P6018" s="143"/>
      <c r="Q6018" s="66"/>
      <c r="R6018" s="131"/>
      <c r="S6018" s="144"/>
      <c r="T6018" s="131"/>
      <c r="U6018" s="131"/>
      <c r="V6018" s="131"/>
      <c r="W6018" s="131"/>
      <c r="X6018" s="145"/>
      <c r="Y6018" s="146"/>
      <c r="Z6018" s="147"/>
      <c r="AA6018" s="147"/>
      <c r="AB6018" s="110"/>
      <c r="AC6018" s="132"/>
      <c r="AD6018" s="148"/>
      <c r="AE6018" s="148"/>
    </row>
    <row r="6019" customFormat="false" ht="15" hidden="false" customHeight="true" outlineLevel="0" collapsed="false">
      <c r="A6019" s="141"/>
      <c r="B6019" s="131"/>
      <c r="C6019" s="132"/>
      <c r="D6019" s="131"/>
      <c r="E6019" s="110"/>
      <c r="F6019" s="110"/>
      <c r="G6019" s="110"/>
      <c r="H6019" s="131"/>
      <c r="I6019" s="131"/>
      <c r="J6019" s="142"/>
      <c r="K6019" s="142"/>
      <c r="L6019" s="140"/>
      <c r="M6019" s="131"/>
      <c r="N6019" s="131"/>
      <c r="O6019" s="131"/>
      <c r="P6019" s="143"/>
      <c r="Q6019" s="66"/>
      <c r="R6019" s="131"/>
      <c r="S6019" s="144"/>
      <c r="T6019" s="131"/>
      <c r="U6019" s="131"/>
      <c r="V6019" s="131"/>
      <c r="W6019" s="131"/>
      <c r="X6019" s="145"/>
      <c r="Y6019" s="146"/>
      <c r="Z6019" s="147"/>
      <c r="AA6019" s="147"/>
      <c r="AB6019" s="110"/>
      <c r="AC6019" s="132"/>
      <c r="AD6019" s="148"/>
      <c r="AE6019" s="148"/>
    </row>
    <row r="6020" customFormat="false" ht="15" hidden="false" customHeight="true" outlineLevel="0" collapsed="false">
      <c r="A6020" s="141"/>
      <c r="B6020" s="131"/>
      <c r="C6020" s="132"/>
      <c r="D6020" s="131"/>
      <c r="E6020" s="110"/>
      <c r="F6020" s="110"/>
      <c r="G6020" s="110"/>
      <c r="H6020" s="131"/>
      <c r="I6020" s="131"/>
      <c r="J6020" s="142"/>
      <c r="K6020" s="142"/>
      <c r="L6020" s="140"/>
      <c r="M6020" s="131"/>
      <c r="N6020" s="131"/>
      <c r="O6020" s="131"/>
      <c r="P6020" s="143"/>
      <c r="Q6020" s="66"/>
      <c r="R6020" s="131"/>
      <c r="S6020" s="144"/>
      <c r="T6020" s="131"/>
      <c r="U6020" s="131"/>
      <c r="V6020" s="131"/>
      <c r="W6020" s="131"/>
      <c r="X6020" s="145"/>
      <c r="Y6020" s="146"/>
      <c r="Z6020" s="147"/>
      <c r="AA6020" s="147"/>
      <c r="AB6020" s="110"/>
      <c r="AC6020" s="132"/>
      <c r="AD6020" s="148"/>
      <c r="AE6020" s="148"/>
    </row>
    <row r="6021" customFormat="false" ht="15" hidden="false" customHeight="true" outlineLevel="0" collapsed="false">
      <c r="A6021" s="141"/>
      <c r="B6021" s="131"/>
      <c r="C6021" s="132"/>
      <c r="D6021" s="131"/>
      <c r="E6021" s="110"/>
      <c r="F6021" s="110"/>
      <c r="G6021" s="110"/>
      <c r="H6021" s="131"/>
      <c r="I6021" s="131"/>
      <c r="J6021" s="142"/>
      <c r="K6021" s="142"/>
      <c r="L6021" s="140"/>
      <c r="M6021" s="131"/>
      <c r="N6021" s="131"/>
      <c r="O6021" s="131"/>
      <c r="P6021" s="143"/>
      <c r="Q6021" s="66"/>
      <c r="R6021" s="131"/>
      <c r="S6021" s="144"/>
      <c r="T6021" s="131"/>
      <c r="U6021" s="131"/>
      <c r="V6021" s="131"/>
      <c r="W6021" s="131"/>
      <c r="X6021" s="145"/>
      <c r="Y6021" s="146"/>
      <c r="Z6021" s="147"/>
      <c r="AA6021" s="147"/>
      <c r="AB6021" s="110"/>
      <c r="AC6021" s="132"/>
      <c r="AD6021" s="148"/>
      <c r="AE6021" s="148"/>
    </row>
    <row r="6022" customFormat="false" ht="15" hidden="false" customHeight="true" outlineLevel="0" collapsed="false">
      <c r="A6022" s="141"/>
      <c r="B6022" s="131"/>
      <c r="C6022" s="132"/>
      <c r="D6022" s="131"/>
      <c r="E6022" s="110"/>
      <c r="F6022" s="110"/>
      <c r="G6022" s="110"/>
      <c r="H6022" s="131"/>
      <c r="I6022" s="131"/>
      <c r="J6022" s="142"/>
      <c r="K6022" s="142"/>
      <c r="L6022" s="140"/>
      <c r="M6022" s="131"/>
      <c r="N6022" s="131"/>
      <c r="O6022" s="131"/>
      <c r="P6022" s="143"/>
      <c r="Q6022" s="66"/>
      <c r="R6022" s="131"/>
      <c r="S6022" s="144"/>
      <c r="T6022" s="131"/>
      <c r="U6022" s="131"/>
      <c r="V6022" s="131"/>
      <c r="W6022" s="131"/>
      <c r="X6022" s="145"/>
      <c r="Y6022" s="146"/>
      <c r="Z6022" s="147"/>
      <c r="AA6022" s="147"/>
      <c r="AB6022" s="110"/>
      <c r="AC6022" s="132"/>
      <c r="AD6022" s="148"/>
      <c r="AE6022" s="148"/>
    </row>
    <row r="6023" customFormat="false" ht="15" hidden="false" customHeight="true" outlineLevel="0" collapsed="false">
      <c r="A6023" s="141"/>
      <c r="B6023" s="131"/>
      <c r="C6023" s="132"/>
      <c r="D6023" s="131"/>
      <c r="E6023" s="110"/>
      <c r="F6023" s="110"/>
      <c r="G6023" s="110"/>
      <c r="H6023" s="131"/>
      <c r="I6023" s="131"/>
      <c r="J6023" s="142"/>
      <c r="K6023" s="142"/>
      <c r="L6023" s="140"/>
      <c r="M6023" s="131"/>
      <c r="N6023" s="131"/>
      <c r="O6023" s="131"/>
      <c r="P6023" s="143"/>
      <c r="Q6023" s="66"/>
      <c r="R6023" s="131"/>
      <c r="S6023" s="144"/>
      <c r="T6023" s="131"/>
      <c r="U6023" s="131"/>
      <c r="V6023" s="131"/>
      <c r="W6023" s="131"/>
      <c r="X6023" s="145"/>
      <c r="Y6023" s="146"/>
      <c r="Z6023" s="147"/>
      <c r="AA6023" s="147"/>
      <c r="AB6023" s="110"/>
      <c r="AC6023" s="132"/>
      <c r="AD6023" s="148"/>
      <c r="AE6023" s="148"/>
    </row>
    <row r="6024" customFormat="false" ht="15" hidden="false" customHeight="true" outlineLevel="0" collapsed="false">
      <c r="A6024" s="141"/>
      <c r="B6024" s="131"/>
      <c r="C6024" s="132"/>
      <c r="D6024" s="131"/>
      <c r="E6024" s="110"/>
      <c r="F6024" s="110"/>
      <c r="G6024" s="110"/>
      <c r="H6024" s="131"/>
      <c r="I6024" s="131"/>
      <c r="J6024" s="142"/>
      <c r="K6024" s="142"/>
      <c r="L6024" s="140"/>
      <c r="M6024" s="131"/>
      <c r="N6024" s="131"/>
      <c r="O6024" s="131"/>
      <c r="P6024" s="143"/>
      <c r="Q6024" s="66"/>
      <c r="R6024" s="131"/>
      <c r="S6024" s="144"/>
      <c r="T6024" s="131"/>
      <c r="U6024" s="131"/>
      <c r="V6024" s="131"/>
      <c r="W6024" s="131"/>
      <c r="X6024" s="145"/>
      <c r="Y6024" s="146"/>
      <c r="Z6024" s="147"/>
      <c r="AA6024" s="147"/>
      <c r="AB6024" s="110"/>
      <c r="AC6024" s="132"/>
      <c r="AD6024" s="148"/>
      <c r="AE6024" s="148"/>
    </row>
    <row r="6025" customFormat="false" ht="15" hidden="false" customHeight="true" outlineLevel="0" collapsed="false">
      <c r="A6025" s="141"/>
      <c r="B6025" s="131"/>
      <c r="C6025" s="132"/>
      <c r="D6025" s="131"/>
      <c r="E6025" s="110"/>
      <c r="F6025" s="110"/>
      <c r="G6025" s="110"/>
      <c r="H6025" s="131"/>
      <c r="I6025" s="131"/>
      <c r="J6025" s="142"/>
      <c r="K6025" s="142"/>
      <c r="L6025" s="140"/>
      <c r="M6025" s="131"/>
      <c r="N6025" s="131"/>
      <c r="O6025" s="131"/>
      <c r="P6025" s="143"/>
      <c r="Q6025" s="66"/>
      <c r="R6025" s="131"/>
      <c r="S6025" s="144"/>
      <c r="T6025" s="131"/>
      <c r="U6025" s="131"/>
      <c r="V6025" s="131"/>
      <c r="W6025" s="131"/>
      <c r="X6025" s="145"/>
      <c r="Y6025" s="146"/>
      <c r="Z6025" s="147"/>
      <c r="AA6025" s="147"/>
      <c r="AB6025" s="110"/>
      <c r="AC6025" s="132"/>
      <c r="AD6025" s="148"/>
      <c r="AE6025" s="148"/>
    </row>
    <row r="6026" customFormat="false" ht="15" hidden="false" customHeight="true" outlineLevel="0" collapsed="false">
      <c r="A6026" s="141"/>
      <c r="B6026" s="131"/>
      <c r="C6026" s="132"/>
      <c r="D6026" s="131"/>
      <c r="E6026" s="110"/>
      <c r="F6026" s="110"/>
      <c r="G6026" s="110"/>
      <c r="H6026" s="131"/>
      <c r="I6026" s="131"/>
      <c r="J6026" s="142"/>
      <c r="K6026" s="142"/>
      <c r="L6026" s="140"/>
      <c r="M6026" s="131"/>
      <c r="N6026" s="131"/>
      <c r="O6026" s="131"/>
      <c r="P6026" s="143"/>
      <c r="Q6026" s="66"/>
      <c r="R6026" s="131"/>
      <c r="S6026" s="144"/>
      <c r="T6026" s="131"/>
      <c r="U6026" s="131"/>
      <c r="V6026" s="131"/>
      <c r="W6026" s="131"/>
      <c r="X6026" s="145"/>
      <c r="Y6026" s="146"/>
      <c r="Z6026" s="147"/>
      <c r="AA6026" s="147"/>
      <c r="AB6026" s="110"/>
      <c r="AC6026" s="132"/>
      <c r="AD6026" s="148"/>
      <c r="AE6026" s="148"/>
    </row>
    <row r="6027" customFormat="false" ht="15" hidden="false" customHeight="true" outlineLevel="0" collapsed="false">
      <c r="A6027" s="141"/>
      <c r="B6027" s="131"/>
      <c r="C6027" s="132"/>
      <c r="D6027" s="131"/>
      <c r="E6027" s="110"/>
      <c r="F6027" s="110"/>
      <c r="G6027" s="110"/>
      <c r="H6027" s="131"/>
      <c r="I6027" s="131"/>
      <c r="J6027" s="142"/>
      <c r="K6027" s="142"/>
      <c r="L6027" s="140"/>
      <c r="M6027" s="131"/>
      <c r="N6027" s="131"/>
      <c r="O6027" s="131"/>
      <c r="P6027" s="143"/>
      <c r="Q6027" s="66"/>
      <c r="R6027" s="131"/>
      <c r="S6027" s="144"/>
      <c r="T6027" s="131"/>
      <c r="U6027" s="131"/>
      <c r="V6027" s="131"/>
      <c r="W6027" s="131"/>
      <c r="X6027" s="145"/>
      <c r="Y6027" s="146"/>
      <c r="Z6027" s="147"/>
      <c r="AA6027" s="147"/>
      <c r="AB6027" s="110"/>
      <c r="AC6027" s="132"/>
      <c r="AD6027" s="148"/>
      <c r="AE6027" s="148"/>
    </row>
    <row r="6028" customFormat="false" ht="15" hidden="false" customHeight="true" outlineLevel="0" collapsed="false">
      <c r="A6028" s="141"/>
      <c r="B6028" s="131"/>
      <c r="C6028" s="132"/>
      <c r="D6028" s="131"/>
      <c r="E6028" s="110"/>
      <c r="F6028" s="110"/>
      <c r="G6028" s="110"/>
      <c r="H6028" s="131"/>
      <c r="I6028" s="131"/>
      <c r="J6028" s="142"/>
      <c r="K6028" s="142"/>
      <c r="L6028" s="140"/>
      <c r="M6028" s="131"/>
      <c r="N6028" s="131"/>
      <c r="O6028" s="131"/>
      <c r="P6028" s="143"/>
      <c r="Q6028" s="66"/>
      <c r="R6028" s="131"/>
      <c r="S6028" s="144"/>
      <c r="T6028" s="131"/>
      <c r="U6028" s="131"/>
      <c r="V6028" s="131"/>
      <c r="W6028" s="131"/>
      <c r="X6028" s="145"/>
      <c r="Y6028" s="146"/>
      <c r="Z6028" s="147"/>
      <c r="AA6028" s="147"/>
      <c r="AB6028" s="110"/>
      <c r="AC6028" s="132"/>
      <c r="AD6028" s="148"/>
      <c r="AE6028" s="148"/>
    </row>
    <row r="6029" customFormat="false" ht="15" hidden="false" customHeight="true" outlineLevel="0" collapsed="false">
      <c r="A6029" s="141"/>
      <c r="B6029" s="131"/>
      <c r="C6029" s="132"/>
      <c r="D6029" s="131"/>
      <c r="E6029" s="110"/>
      <c r="F6029" s="110"/>
      <c r="G6029" s="110"/>
      <c r="H6029" s="131"/>
      <c r="I6029" s="131"/>
      <c r="J6029" s="142"/>
      <c r="K6029" s="142"/>
      <c r="L6029" s="140"/>
      <c r="M6029" s="131"/>
      <c r="N6029" s="131"/>
      <c r="O6029" s="131"/>
      <c r="P6029" s="143"/>
      <c r="Q6029" s="66"/>
      <c r="R6029" s="131"/>
      <c r="S6029" s="144"/>
      <c r="T6029" s="131"/>
      <c r="U6029" s="131"/>
      <c r="V6029" s="131"/>
      <c r="W6029" s="131"/>
      <c r="X6029" s="145"/>
      <c r="Y6029" s="146"/>
      <c r="Z6029" s="147"/>
      <c r="AA6029" s="147"/>
      <c r="AB6029" s="110"/>
      <c r="AC6029" s="132"/>
      <c r="AD6029" s="148"/>
      <c r="AE6029" s="148"/>
    </row>
    <row r="6030" customFormat="false" ht="15" hidden="false" customHeight="true" outlineLevel="0" collapsed="false">
      <c r="A6030" s="141"/>
      <c r="B6030" s="131"/>
      <c r="C6030" s="132"/>
      <c r="D6030" s="131"/>
      <c r="E6030" s="110"/>
      <c r="F6030" s="110"/>
      <c r="G6030" s="110"/>
      <c r="H6030" s="131"/>
      <c r="I6030" s="131"/>
      <c r="J6030" s="142"/>
      <c r="K6030" s="142"/>
      <c r="L6030" s="140"/>
      <c r="M6030" s="131"/>
      <c r="N6030" s="131"/>
      <c r="O6030" s="131"/>
      <c r="P6030" s="143"/>
      <c r="Q6030" s="66"/>
      <c r="R6030" s="131"/>
      <c r="S6030" s="144"/>
      <c r="T6030" s="131"/>
      <c r="U6030" s="131"/>
      <c r="V6030" s="131"/>
      <c r="W6030" s="131"/>
      <c r="X6030" s="145"/>
      <c r="Y6030" s="146"/>
      <c r="Z6030" s="147"/>
      <c r="AA6030" s="147"/>
      <c r="AB6030" s="110"/>
      <c r="AC6030" s="132"/>
      <c r="AD6030" s="148"/>
      <c r="AE6030" s="148"/>
    </row>
    <row r="6031" customFormat="false" ht="15" hidden="false" customHeight="true" outlineLevel="0" collapsed="false">
      <c r="A6031" s="141"/>
      <c r="B6031" s="131"/>
      <c r="C6031" s="132"/>
      <c r="D6031" s="131"/>
      <c r="E6031" s="110"/>
      <c r="F6031" s="110"/>
      <c r="G6031" s="110"/>
      <c r="H6031" s="131"/>
      <c r="I6031" s="131"/>
      <c r="J6031" s="142"/>
      <c r="K6031" s="142"/>
      <c r="L6031" s="140"/>
      <c r="M6031" s="131"/>
      <c r="N6031" s="131"/>
      <c r="O6031" s="131"/>
      <c r="P6031" s="143"/>
      <c r="Q6031" s="66"/>
      <c r="R6031" s="131"/>
      <c r="S6031" s="144"/>
      <c r="T6031" s="131"/>
      <c r="U6031" s="131"/>
      <c r="V6031" s="131"/>
      <c r="W6031" s="131"/>
      <c r="X6031" s="145"/>
      <c r="Y6031" s="146"/>
      <c r="Z6031" s="147"/>
      <c r="AA6031" s="147"/>
      <c r="AB6031" s="110"/>
      <c r="AC6031" s="132"/>
      <c r="AD6031" s="148"/>
      <c r="AE6031" s="148"/>
    </row>
    <row r="6032" customFormat="false" ht="15" hidden="false" customHeight="true" outlineLevel="0" collapsed="false">
      <c r="A6032" s="141"/>
      <c r="B6032" s="131"/>
      <c r="C6032" s="132"/>
      <c r="D6032" s="131"/>
      <c r="E6032" s="110"/>
      <c r="F6032" s="110"/>
      <c r="G6032" s="110"/>
      <c r="H6032" s="131"/>
      <c r="I6032" s="131"/>
      <c r="J6032" s="142"/>
      <c r="K6032" s="142"/>
      <c r="L6032" s="140"/>
      <c r="M6032" s="131"/>
      <c r="N6032" s="131"/>
      <c r="O6032" s="131"/>
      <c r="P6032" s="143"/>
      <c r="Q6032" s="66"/>
      <c r="R6032" s="131"/>
      <c r="S6032" s="144"/>
      <c r="T6032" s="131"/>
      <c r="U6032" s="131"/>
      <c r="V6032" s="131"/>
      <c r="W6032" s="131"/>
      <c r="X6032" s="145"/>
      <c r="Y6032" s="146"/>
      <c r="Z6032" s="147"/>
      <c r="AA6032" s="147"/>
      <c r="AB6032" s="110"/>
      <c r="AC6032" s="132"/>
      <c r="AD6032" s="148"/>
      <c r="AE6032" s="148"/>
    </row>
    <row r="6033" customFormat="false" ht="15" hidden="false" customHeight="true" outlineLevel="0" collapsed="false">
      <c r="A6033" s="141"/>
      <c r="B6033" s="131"/>
      <c r="C6033" s="132"/>
      <c r="D6033" s="131"/>
      <c r="E6033" s="110"/>
      <c r="F6033" s="110"/>
      <c r="G6033" s="110"/>
      <c r="H6033" s="131"/>
      <c r="I6033" s="131"/>
      <c r="J6033" s="142"/>
      <c r="K6033" s="142"/>
      <c r="L6033" s="140"/>
      <c r="M6033" s="131"/>
      <c r="N6033" s="131"/>
      <c r="O6033" s="131"/>
      <c r="P6033" s="143"/>
      <c r="Q6033" s="66"/>
      <c r="R6033" s="131"/>
      <c r="S6033" s="144"/>
      <c r="T6033" s="131"/>
      <c r="U6033" s="131"/>
      <c r="V6033" s="131"/>
      <c r="W6033" s="131"/>
      <c r="X6033" s="145"/>
      <c r="Y6033" s="146"/>
      <c r="Z6033" s="147"/>
      <c r="AA6033" s="147"/>
      <c r="AB6033" s="110"/>
      <c r="AC6033" s="132"/>
      <c r="AD6033" s="148"/>
      <c r="AE6033" s="148"/>
    </row>
    <row r="6034" customFormat="false" ht="15" hidden="false" customHeight="true" outlineLevel="0" collapsed="false">
      <c r="A6034" s="141"/>
      <c r="B6034" s="131"/>
      <c r="C6034" s="132"/>
      <c r="D6034" s="131"/>
      <c r="E6034" s="110"/>
      <c r="F6034" s="110"/>
      <c r="G6034" s="110"/>
      <c r="H6034" s="131"/>
      <c r="I6034" s="131"/>
      <c r="J6034" s="142"/>
      <c r="K6034" s="142"/>
      <c r="L6034" s="140"/>
      <c r="M6034" s="131"/>
      <c r="N6034" s="131"/>
      <c r="O6034" s="131"/>
      <c r="P6034" s="143"/>
      <c r="Q6034" s="66"/>
      <c r="R6034" s="131"/>
      <c r="S6034" s="144"/>
      <c r="T6034" s="131"/>
      <c r="U6034" s="131"/>
      <c r="V6034" s="131"/>
      <c r="W6034" s="131"/>
      <c r="X6034" s="145"/>
      <c r="Y6034" s="146"/>
      <c r="Z6034" s="147"/>
      <c r="AA6034" s="147"/>
      <c r="AB6034" s="110"/>
      <c r="AC6034" s="132"/>
      <c r="AD6034" s="148"/>
      <c r="AE6034" s="148"/>
    </row>
    <row r="6035" customFormat="false" ht="15" hidden="false" customHeight="true" outlineLevel="0" collapsed="false">
      <c r="A6035" s="141"/>
      <c r="B6035" s="131"/>
      <c r="C6035" s="132"/>
      <c r="D6035" s="131"/>
      <c r="E6035" s="110"/>
      <c r="F6035" s="110"/>
      <c r="G6035" s="110"/>
      <c r="H6035" s="131"/>
      <c r="I6035" s="131"/>
      <c r="J6035" s="142"/>
      <c r="K6035" s="142"/>
      <c r="L6035" s="140"/>
      <c r="M6035" s="131"/>
      <c r="N6035" s="131"/>
      <c r="O6035" s="131"/>
      <c r="P6035" s="143"/>
      <c r="Q6035" s="66"/>
      <c r="R6035" s="131"/>
      <c r="S6035" s="144"/>
      <c r="T6035" s="131"/>
      <c r="U6035" s="131"/>
      <c r="V6035" s="131"/>
      <c r="W6035" s="131"/>
      <c r="X6035" s="145"/>
      <c r="Y6035" s="146"/>
      <c r="Z6035" s="147"/>
      <c r="AA6035" s="147"/>
      <c r="AB6035" s="110"/>
      <c r="AC6035" s="132"/>
      <c r="AD6035" s="148"/>
      <c r="AE6035" s="148"/>
    </row>
    <row r="6036" customFormat="false" ht="15" hidden="false" customHeight="true" outlineLevel="0" collapsed="false">
      <c r="A6036" s="141"/>
      <c r="B6036" s="131"/>
      <c r="C6036" s="132"/>
      <c r="D6036" s="131"/>
      <c r="E6036" s="110"/>
      <c r="F6036" s="110"/>
      <c r="G6036" s="110"/>
      <c r="H6036" s="131"/>
      <c r="I6036" s="131"/>
      <c r="J6036" s="142"/>
      <c r="K6036" s="142"/>
      <c r="L6036" s="140"/>
      <c r="M6036" s="131"/>
      <c r="N6036" s="131"/>
      <c r="O6036" s="131"/>
      <c r="P6036" s="143"/>
      <c r="Q6036" s="66"/>
      <c r="R6036" s="131"/>
      <c r="S6036" s="144"/>
      <c r="T6036" s="131"/>
      <c r="U6036" s="131"/>
      <c r="V6036" s="131"/>
      <c r="W6036" s="131"/>
      <c r="X6036" s="145"/>
      <c r="Y6036" s="146"/>
      <c r="Z6036" s="147"/>
      <c r="AA6036" s="147"/>
      <c r="AB6036" s="110"/>
      <c r="AC6036" s="132"/>
      <c r="AD6036" s="148"/>
      <c r="AE6036" s="148"/>
    </row>
    <row r="6037" customFormat="false" ht="15" hidden="false" customHeight="true" outlineLevel="0" collapsed="false">
      <c r="A6037" s="141"/>
      <c r="B6037" s="131"/>
      <c r="C6037" s="132"/>
      <c r="D6037" s="131"/>
      <c r="E6037" s="110"/>
      <c r="F6037" s="110"/>
      <c r="G6037" s="110"/>
      <c r="H6037" s="131"/>
      <c r="I6037" s="131"/>
      <c r="J6037" s="142"/>
      <c r="K6037" s="142"/>
      <c r="L6037" s="140"/>
      <c r="M6037" s="131"/>
      <c r="N6037" s="131"/>
      <c r="O6037" s="131"/>
      <c r="P6037" s="143"/>
      <c r="Q6037" s="66"/>
      <c r="R6037" s="131"/>
      <c r="S6037" s="144"/>
      <c r="T6037" s="131"/>
      <c r="U6037" s="131"/>
      <c r="V6037" s="131"/>
      <c r="W6037" s="131"/>
      <c r="X6037" s="145"/>
      <c r="Y6037" s="146"/>
      <c r="Z6037" s="147"/>
      <c r="AA6037" s="147"/>
      <c r="AB6037" s="110"/>
      <c r="AC6037" s="132"/>
      <c r="AD6037" s="148"/>
      <c r="AE6037" s="148"/>
    </row>
    <row r="6038" customFormat="false" ht="15" hidden="false" customHeight="true" outlineLevel="0" collapsed="false">
      <c r="A6038" s="141"/>
      <c r="B6038" s="131"/>
      <c r="C6038" s="132"/>
      <c r="D6038" s="131"/>
      <c r="E6038" s="110"/>
      <c r="F6038" s="110"/>
      <c r="G6038" s="110"/>
      <c r="H6038" s="131"/>
      <c r="I6038" s="131"/>
      <c r="J6038" s="142"/>
      <c r="K6038" s="142"/>
      <c r="L6038" s="140"/>
      <c r="M6038" s="131"/>
      <c r="N6038" s="131"/>
      <c r="O6038" s="131"/>
      <c r="P6038" s="143"/>
      <c r="Q6038" s="66"/>
      <c r="R6038" s="131"/>
      <c r="S6038" s="144"/>
      <c r="T6038" s="131"/>
      <c r="U6038" s="131"/>
      <c r="V6038" s="131"/>
      <c r="W6038" s="131"/>
      <c r="X6038" s="145"/>
      <c r="Y6038" s="146"/>
      <c r="Z6038" s="147"/>
      <c r="AA6038" s="147"/>
      <c r="AB6038" s="110"/>
      <c r="AC6038" s="132"/>
      <c r="AD6038" s="148"/>
      <c r="AE6038" s="148"/>
    </row>
    <row r="6039" customFormat="false" ht="15" hidden="false" customHeight="true" outlineLevel="0" collapsed="false">
      <c r="A6039" s="141"/>
      <c r="B6039" s="131"/>
      <c r="C6039" s="132"/>
      <c r="D6039" s="131"/>
      <c r="E6039" s="110"/>
      <c r="F6039" s="110"/>
      <c r="G6039" s="110"/>
      <c r="H6039" s="131"/>
      <c r="I6039" s="131"/>
      <c r="J6039" s="142"/>
      <c r="K6039" s="142"/>
      <c r="L6039" s="140"/>
      <c r="M6039" s="131"/>
      <c r="N6039" s="131"/>
      <c r="O6039" s="131"/>
      <c r="P6039" s="143"/>
      <c r="Q6039" s="66"/>
      <c r="R6039" s="131"/>
      <c r="S6039" s="144"/>
      <c r="T6039" s="131"/>
      <c r="U6039" s="131"/>
      <c r="V6039" s="131"/>
      <c r="W6039" s="131"/>
      <c r="X6039" s="145"/>
      <c r="Y6039" s="146"/>
      <c r="Z6039" s="147"/>
      <c r="AA6039" s="147"/>
      <c r="AB6039" s="110"/>
      <c r="AC6039" s="132"/>
      <c r="AD6039" s="148"/>
      <c r="AE6039" s="148"/>
    </row>
    <row r="6040" customFormat="false" ht="15" hidden="false" customHeight="true" outlineLevel="0" collapsed="false">
      <c r="A6040" s="141"/>
      <c r="B6040" s="131"/>
      <c r="C6040" s="132"/>
      <c r="D6040" s="131"/>
      <c r="E6040" s="110"/>
      <c r="F6040" s="110"/>
      <c r="G6040" s="110"/>
      <c r="H6040" s="131"/>
      <c r="I6040" s="131"/>
      <c r="J6040" s="142"/>
      <c r="K6040" s="142"/>
      <c r="L6040" s="140"/>
      <c r="M6040" s="131"/>
      <c r="N6040" s="131"/>
      <c r="O6040" s="131"/>
      <c r="P6040" s="143"/>
      <c r="Q6040" s="66"/>
      <c r="R6040" s="131"/>
      <c r="S6040" s="144"/>
      <c r="T6040" s="131"/>
      <c r="U6040" s="131"/>
      <c r="V6040" s="131"/>
      <c r="W6040" s="131"/>
      <c r="X6040" s="145"/>
      <c r="Y6040" s="146"/>
      <c r="Z6040" s="147"/>
      <c r="AA6040" s="147"/>
      <c r="AB6040" s="110"/>
      <c r="AC6040" s="132"/>
      <c r="AD6040" s="148"/>
      <c r="AE6040" s="148"/>
    </row>
    <row r="6041" customFormat="false" ht="15" hidden="false" customHeight="true" outlineLevel="0" collapsed="false">
      <c r="A6041" s="141"/>
      <c r="B6041" s="131"/>
      <c r="C6041" s="132"/>
      <c r="D6041" s="131"/>
      <c r="E6041" s="110"/>
      <c r="F6041" s="110"/>
      <c r="G6041" s="110"/>
      <c r="H6041" s="131"/>
      <c r="I6041" s="131"/>
      <c r="J6041" s="142"/>
      <c r="K6041" s="142"/>
      <c r="L6041" s="140"/>
      <c r="M6041" s="131"/>
      <c r="N6041" s="131"/>
      <c r="O6041" s="131"/>
      <c r="P6041" s="143"/>
      <c r="Q6041" s="66"/>
      <c r="R6041" s="131"/>
      <c r="S6041" s="144"/>
      <c r="T6041" s="131"/>
      <c r="U6041" s="131"/>
      <c r="V6041" s="131"/>
      <c r="W6041" s="131"/>
      <c r="X6041" s="145"/>
      <c r="Y6041" s="146"/>
      <c r="Z6041" s="147"/>
      <c r="AA6041" s="147"/>
      <c r="AB6041" s="110"/>
      <c r="AC6041" s="132"/>
      <c r="AD6041" s="148"/>
      <c r="AE6041" s="148"/>
    </row>
    <row r="6042" customFormat="false" ht="15" hidden="false" customHeight="true" outlineLevel="0" collapsed="false">
      <c r="A6042" s="141"/>
      <c r="B6042" s="131"/>
      <c r="C6042" s="132"/>
      <c r="D6042" s="131"/>
      <c r="E6042" s="110"/>
      <c r="F6042" s="110"/>
      <c r="G6042" s="110"/>
      <c r="H6042" s="131"/>
      <c r="I6042" s="131"/>
      <c r="J6042" s="142"/>
      <c r="K6042" s="142"/>
      <c r="L6042" s="140"/>
      <c r="M6042" s="131"/>
      <c r="N6042" s="131"/>
      <c r="O6042" s="131"/>
      <c r="P6042" s="143"/>
      <c r="Q6042" s="66"/>
      <c r="R6042" s="131"/>
      <c r="S6042" s="144"/>
      <c r="T6042" s="131"/>
      <c r="U6042" s="131"/>
      <c r="V6042" s="131"/>
      <c r="W6042" s="131"/>
      <c r="X6042" s="145"/>
      <c r="Y6042" s="146"/>
      <c r="Z6042" s="147"/>
      <c r="AA6042" s="147"/>
      <c r="AB6042" s="110"/>
      <c r="AC6042" s="132"/>
      <c r="AD6042" s="148"/>
      <c r="AE6042" s="148"/>
    </row>
    <row r="6043" customFormat="false" ht="15" hidden="false" customHeight="true" outlineLevel="0" collapsed="false">
      <c r="A6043" s="141"/>
      <c r="B6043" s="131"/>
      <c r="C6043" s="132"/>
      <c r="D6043" s="131"/>
      <c r="E6043" s="110"/>
      <c r="F6043" s="110"/>
      <c r="G6043" s="110"/>
      <c r="H6043" s="131"/>
      <c r="I6043" s="131"/>
      <c r="J6043" s="142"/>
      <c r="K6043" s="142"/>
      <c r="L6043" s="140"/>
      <c r="M6043" s="131"/>
      <c r="N6043" s="131"/>
      <c r="O6043" s="131"/>
      <c r="P6043" s="143"/>
      <c r="Q6043" s="66"/>
      <c r="R6043" s="131"/>
      <c r="S6043" s="144"/>
      <c r="T6043" s="131"/>
      <c r="U6043" s="131"/>
      <c r="V6043" s="131"/>
      <c r="W6043" s="131"/>
      <c r="X6043" s="145"/>
      <c r="Y6043" s="146"/>
      <c r="Z6043" s="147"/>
      <c r="AA6043" s="147"/>
      <c r="AB6043" s="110"/>
      <c r="AC6043" s="132"/>
      <c r="AD6043" s="148"/>
      <c r="AE6043" s="148"/>
    </row>
    <row r="6044" customFormat="false" ht="15" hidden="false" customHeight="true" outlineLevel="0" collapsed="false">
      <c r="A6044" s="141"/>
      <c r="B6044" s="131"/>
      <c r="C6044" s="132"/>
      <c r="D6044" s="131"/>
      <c r="E6044" s="110"/>
      <c r="F6044" s="110"/>
      <c r="G6044" s="110"/>
      <c r="H6044" s="131"/>
      <c r="I6044" s="131"/>
      <c r="J6044" s="142"/>
      <c r="K6044" s="142"/>
      <c r="L6044" s="140"/>
      <c r="M6044" s="131"/>
      <c r="N6044" s="131"/>
      <c r="O6044" s="131"/>
      <c r="P6044" s="143"/>
      <c r="Q6044" s="66"/>
      <c r="R6044" s="131"/>
      <c r="S6044" s="144"/>
      <c r="T6044" s="131"/>
      <c r="U6044" s="131"/>
      <c r="V6044" s="131"/>
      <c r="W6044" s="131"/>
      <c r="X6044" s="145"/>
      <c r="Y6044" s="146"/>
      <c r="Z6044" s="147"/>
      <c r="AA6044" s="147"/>
      <c r="AB6044" s="110"/>
      <c r="AC6044" s="132"/>
      <c r="AD6044" s="148"/>
      <c r="AE6044" s="148"/>
    </row>
    <row r="6045" customFormat="false" ht="15" hidden="false" customHeight="true" outlineLevel="0" collapsed="false">
      <c r="A6045" s="141"/>
      <c r="B6045" s="131"/>
      <c r="C6045" s="132"/>
      <c r="D6045" s="131"/>
      <c r="E6045" s="110"/>
      <c r="F6045" s="110"/>
      <c r="G6045" s="110"/>
      <c r="H6045" s="131"/>
      <c r="I6045" s="131"/>
      <c r="J6045" s="142"/>
      <c r="K6045" s="142"/>
      <c r="L6045" s="140"/>
      <c r="M6045" s="131"/>
      <c r="N6045" s="131"/>
      <c r="O6045" s="131"/>
      <c r="P6045" s="143"/>
      <c r="Q6045" s="66"/>
      <c r="R6045" s="131"/>
      <c r="S6045" s="144"/>
      <c r="T6045" s="131"/>
      <c r="U6045" s="131"/>
      <c r="V6045" s="131"/>
      <c r="W6045" s="131"/>
      <c r="X6045" s="145"/>
      <c r="Y6045" s="146"/>
      <c r="Z6045" s="147"/>
      <c r="AA6045" s="147"/>
      <c r="AB6045" s="110"/>
      <c r="AC6045" s="132"/>
      <c r="AD6045" s="148"/>
      <c r="AE6045" s="148"/>
    </row>
    <row r="6046" customFormat="false" ht="15" hidden="false" customHeight="true" outlineLevel="0" collapsed="false">
      <c r="A6046" s="141"/>
      <c r="B6046" s="131"/>
      <c r="C6046" s="132"/>
      <c r="D6046" s="131"/>
      <c r="E6046" s="110"/>
      <c r="F6046" s="110"/>
      <c r="G6046" s="110"/>
      <c r="H6046" s="131"/>
      <c r="I6046" s="131"/>
      <c r="J6046" s="142"/>
      <c r="K6046" s="142"/>
      <c r="L6046" s="140"/>
      <c r="M6046" s="131"/>
      <c r="N6046" s="131"/>
      <c r="O6046" s="131"/>
      <c r="P6046" s="143"/>
      <c r="Q6046" s="66"/>
      <c r="R6046" s="131"/>
      <c r="S6046" s="144"/>
      <c r="T6046" s="131"/>
      <c r="U6046" s="131"/>
      <c r="V6046" s="131"/>
      <c r="W6046" s="131"/>
      <c r="X6046" s="145"/>
      <c r="Y6046" s="146"/>
      <c r="Z6046" s="147"/>
      <c r="AA6046" s="147"/>
      <c r="AB6046" s="110"/>
      <c r="AC6046" s="132"/>
      <c r="AD6046" s="148"/>
      <c r="AE6046" s="148"/>
    </row>
    <row r="6047" customFormat="false" ht="15" hidden="false" customHeight="true" outlineLevel="0" collapsed="false">
      <c r="A6047" s="141"/>
      <c r="B6047" s="131"/>
      <c r="C6047" s="132"/>
      <c r="D6047" s="131"/>
      <c r="E6047" s="110"/>
      <c r="F6047" s="110"/>
      <c r="G6047" s="110"/>
      <c r="H6047" s="131"/>
      <c r="I6047" s="131"/>
      <c r="J6047" s="142"/>
      <c r="K6047" s="142"/>
      <c r="L6047" s="140"/>
      <c r="M6047" s="131"/>
      <c r="N6047" s="131"/>
      <c r="O6047" s="131"/>
      <c r="P6047" s="143"/>
      <c r="Q6047" s="66"/>
      <c r="R6047" s="131"/>
      <c r="S6047" s="144"/>
      <c r="T6047" s="131"/>
      <c r="U6047" s="131"/>
      <c r="V6047" s="131"/>
      <c r="W6047" s="131"/>
      <c r="X6047" s="145"/>
      <c r="Y6047" s="146"/>
      <c r="Z6047" s="147"/>
      <c r="AA6047" s="147"/>
      <c r="AB6047" s="110"/>
      <c r="AC6047" s="132"/>
      <c r="AD6047" s="148"/>
      <c r="AE6047" s="148"/>
    </row>
    <row r="6048" customFormat="false" ht="15" hidden="false" customHeight="true" outlineLevel="0" collapsed="false">
      <c r="A6048" s="141"/>
      <c r="B6048" s="131"/>
      <c r="C6048" s="132"/>
      <c r="D6048" s="131"/>
      <c r="E6048" s="110"/>
      <c r="F6048" s="110"/>
      <c r="G6048" s="110"/>
      <c r="H6048" s="131"/>
      <c r="I6048" s="131"/>
      <c r="J6048" s="142"/>
      <c r="K6048" s="142"/>
      <c r="L6048" s="140"/>
      <c r="M6048" s="131"/>
      <c r="N6048" s="131"/>
      <c r="O6048" s="131"/>
      <c r="P6048" s="143"/>
      <c r="Q6048" s="66"/>
      <c r="R6048" s="131"/>
      <c r="S6048" s="144"/>
      <c r="T6048" s="131"/>
      <c r="U6048" s="131"/>
      <c r="V6048" s="131"/>
      <c r="W6048" s="131"/>
      <c r="X6048" s="145"/>
      <c r="Y6048" s="146"/>
      <c r="Z6048" s="147"/>
      <c r="AA6048" s="147"/>
      <c r="AB6048" s="110"/>
      <c r="AC6048" s="132"/>
      <c r="AD6048" s="148"/>
      <c r="AE6048" s="148"/>
    </row>
    <row r="6049" customFormat="false" ht="15" hidden="false" customHeight="true" outlineLevel="0" collapsed="false">
      <c r="A6049" s="141"/>
      <c r="B6049" s="131"/>
      <c r="C6049" s="132"/>
      <c r="D6049" s="131"/>
      <c r="E6049" s="110"/>
      <c r="F6049" s="110"/>
      <c r="G6049" s="110"/>
      <c r="H6049" s="131"/>
      <c r="I6049" s="131"/>
      <c r="J6049" s="142"/>
      <c r="K6049" s="142"/>
      <c r="L6049" s="140"/>
      <c r="M6049" s="131"/>
      <c r="N6049" s="131"/>
      <c r="O6049" s="131"/>
      <c r="P6049" s="143"/>
      <c r="Q6049" s="66"/>
      <c r="R6049" s="131"/>
      <c r="S6049" s="144"/>
      <c r="T6049" s="131"/>
      <c r="U6049" s="131"/>
      <c r="V6049" s="131"/>
      <c r="W6049" s="131"/>
      <c r="X6049" s="145"/>
      <c r="Y6049" s="146"/>
      <c r="Z6049" s="147"/>
      <c r="AA6049" s="147"/>
      <c r="AB6049" s="110"/>
      <c r="AC6049" s="132"/>
      <c r="AD6049" s="148"/>
      <c r="AE6049" s="148"/>
    </row>
    <row r="6050" customFormat="false" ht="15" hidden="false" customHeight="true" outlineLevel="0" collapsed="false">
      <c r="A6050" s="141"/>
      <c r="B6050" s="131"/>
      <c r="C6050" s="132"/>
      <c r="D6050" s="131"/>
      <c r="E6050" s="110"/>
      <c r="F6050" s="110"/>
      <c r="G6050" s="110"/>
      <c r="H6050" s="131"/>
      <c r="I6050" s="131"/>
      <c r="J6050" s="142"/>
      <c r="K6050" s="142"/>
      <c r="L6050" s="140"/>
      <c r="M6050" s="131"/>
      <c r="N6050" s="131"/>
      <c r="O6050" s="131"/>
      <c r="P6050" s="143"/>
      <c r="Q6050" s="66"/>
      <c r="R6050" s="131"/>
      <c r="S6050" s="144"/>
      <c r="T6050" s="131"/>
      <c r="U6050" s="131"/>
      <c r="V6050" s="131"/>
      <c r="W6050" s="131"/>
      <c r="X6050" s="145"/>
      <c r="Y6050" s="146"/>
      <c r="Z6050" s="147"/>
      <c r="AA6050" s="147"/>
      <c r="AB6050" s="110"/>
      <c r="AC6050" s="132"/>
      <c r="AD6050" s="148"/>
      <c r="AE6050" s="148"/>
    </row>
    <row r="6051" customFormat="false" ht="15" hidden="false" customHeight="true" outlineLevel="0" collapsed="false">
      <c r="A6051" s="141"/>
      <c r="B6051" s="131"/>
      <c r="C6051" s="132"/>
      <c r="D6051" s="131"/>
      <c r="E6051" s="110"/>
      <c r="F6051" s="110"/>
      <c r="G6051" s="110"/>
      <c r="H6051" s="131"/>
      <c r="I6051" s="131"/>
      <c r="J6051" s="142"/>
      <c r="K6051" s="142"/>
      <c r="L6051" s="140"/>
      <c r="M6051" s="131"/>
      <c r="N6051" s="131"/>
      <c r="O6051" s="131"/>
      <c r="P6051" s="143"/>
      <c r="Q6051" s="66"/>
      <c r="R6051" s="131"/>
      <c r="S6051" s="144"/>
      <c r="T6051" s="131"/>
      <c r="U6051" s="131"/>
      <c r="V6051" s="131"/>
      <c r="W6051" s="131"/>
      <c r="X6051" s="145"/>
      <c r="Y6051" s="146"/>
      <c r="Z6051" s="147"/>
      <c r="AA6051" s="147"/>
      <c r="AB6051" s="110"/>
      <c r="AC6051" s="132"/>
      <c r="AD6051" s="148"/>
      <c r="AE6051" s="148"/>
    </row>
    <row r="6052" customFormat="false" ht="15" hidden="false" customHeight="true" outlineLevel="0" collapsed="false">
      <c r="A6052" s="141"/>
      <c r="B6052" s="131"/>
      <c r="C6052" s="132"/>
      <c r="D6052" s="131"/>
      <c r="E6052" s="110"/>
      <c r="F6052" s="110"/>
      <c r="G6052" s="110"/>
      <c r="H6052" s="131"/>
      <c r="I6052" s="131"/>
      <c r="J6052" s="142"/>
      <c r="K6052" s="142"/>
      <c r="L6052" s="140"/>
      <c r="M6052" s="131"/>
      <c r="N6052" s="131"/>
      <c r="O6052" s="131"/>
      <c r="P6052" s="143"/>
      <c r="Q6052" s="66"/>
      <c r="R6052" s="131"/>
      <c r="S6052" s="144"/>
      <c r="T6052" s="131"/>
      <c r="U6052" s="131"/>
      <c r="V6052" s="131"/>
      <c r="W6052" s="131"/>
      <c r="X6052" s="145"/>
      <c r="Y6052" s="146"/>
      <c r="Z6052" s="147"/>
      <c r="AA6052" s="147"/>
      <c r="AB6052" s="110"/>
      <c r="AC6052" s="132"/>
      <c r="AD6052" s="148"/>
      <c r="AE6052" s="148"/>
    </row>
    <row r="6053" customFormat="false" ht="15" hidden="false" customHeight="true" outlineLevel="0" collapsed="false">
      <c r="A6053" s="141"/>
      <c r="B6053" s="131"/>
      <c r="C6053" s="132"/>
      <c r="D6053" s="131"/>
      <c r="E6053" s="110"/>
      <c r="F6053" s="110"/>
      <c r="G6053" s="110"/>
      <c r="H6053" s="131"/>
      <c r="I6053" s="131"/>
      <c r="J6053" s="142"/>
      <c r="K6053" s="142"/>
      <c r="L6053" s="140"/>
      <c r="M6053" s="131"/>
      <c r="N6053" s="131"/>
      <c r="O6053" s="131"/>
      <c r="P6053" s="143"/>
      <c r="Q6053" s="66"/>
      <c r="R6053" s="131"/>
      <c r="S6053" s="144"/>
      <c r="T6053" s="131"/>
      <c r="U6053" s="131"/>
      <c r="V6053" s="131"/>
      <c r="W6053" s="131"/>
      <c r="X6053" s="145"/>
      <c r="Y6053" s="146"/>
      <c r="Z6053" s="147"/>
      <c r="AA6053" s="147"/>
      <c r="AB6053" s="110"/>
      <c r="AC6053" s="132"/>
      <c r="AD6053" s="148"/>
      <c r="AE6053" s="148"/>
    </row>
    <row r="6054" customFormat="false" ht="15" hidden="false" customHeight="true" outlineLevel="0" collapsed="false">
      <c r="A6054" s="141"/>
      <c r="B6054" s="131"/>
      <c r="C6054" s="132"/>
      <c r="D6054" s="131"/>
      <c r="E6054" s="110"/>
      <c r="F6054" s="110"/>
      <c r="G6054" s="110"/>
      <c r="H6054" s="131"/>
      <c r="I6054" s="131"/>
      <c r="J6054" s="142"/>
      <c r="K6054" s="142"/>
      <c r="L6054" s="140"/>
      <c r="M6054" s="131"/>
      <c r="N6054" s="131"/>
      <c r="O6054" s="131"/>
      <c r="P6054" s="143"/>
      <c r="Q6054" s="66"/>
      <c r="R6054" s="131"/>
      <c r="S6054" s="144"/>
      <c r="T6054" s="131"/>
      <c r="U6054" s="131"/>
      <c r="V6054" s="131"/>
      <c r="W6054" s="131"/>
      <c r="X6054" s="145"/>
      <c r="Y6054" s="146"/>
      <c r="Z6054" s="147"/>
      <c r="AA6054" s="147"/>
      <c r="AB6054" s="110"/>
      <c r="AC6054" s="132"/>
      <c r="AD6054" s="148"/>
      <c r="AE6054" s="148"/>
    </row>
    <row r="6055" customFormat="false" ht="15" hidden="false" customHeight="true" outlineLevel="0" collapsed="false">
      <c r="A6055" s="141"/>
      <c r="B6055" s="131"/>
      <c r="C6055" s="132"/>
      <c r="D6055" s="131"/>
      <c r="E6055" s="110"/>
      <c r="F6055" s="110"/>
      <c r="G6055" s="110"/>
      <c r="H6055" s="131"/>
      <c r="I6055" s="131"/>
      <c r="J6055" s="142"/>
      <c r="K6055" s="142"/>
      <c r="L6055" s="140"/>
      <c r="M6055" s="131"/>
      <c r="N6055" s="131"/>
      <c r="O6055" s="131"/>
      <c r="P6055" s="143"/>
      <c r="Q6055" s="66"/>
      <c r="R6055" s="131"/>
      <c r="S6055" s="144"/>
      <c r="T6055" s="131"/>
      <c r="U6055" s="131"/>
      <c r="V6055" s="131"/>
      <c r="W6055" s="131"/>
      <c r="X6055" s="145"/>
      <c r="Y6055" s="146"/>
      <c r="Z6055" s="147"/>
      <c r="AA6055" s="147"/>
      <c r="AB6055" s="110"/>
      <c r="AC6055" s="132"/>
      <c r="AD6055" s="148"/>
      <c r="AE6055" s="148"/>
    </row>
    <row r="6056" customFormat="false" ht="15" hidden="false" customHeight="true" outlineLevel="0" collapsed="false">
      <c r="A6056" s="141"/>
      <c r="B6056" s="131"/>
      <c r="C6056" s="132"/>
      <c r="D6056" s="131"/>
      <c r="E6056" s="110"/>
      <c r="F6056" s="110"/>
      <c r="G6056" s="110"/>
      <c r="H6056" s="131"/>
      <c r="I6056" s="131"/>
      <c r="J6056" s="142"/>
      <c r="K6056" s="142"/>
      <c r="L6056" s="140"/>
      <c r="M6056" s="131"/>
      <c r="N6056" s="131"/>
      <c r="O6056" s="131"/>
      <c r="P6056" s="143"/>
      <c r="Q6056" s="66"/>
      <c r="R6056" s="131"/>
      <c r="S6056" s="144"/>
      <c r="T6056" s="131"/>
      <c r="U6056" s="131"/>
      <c r="V6056" s="131"/>
      <c r="W6056" s="131"/>
      <c r="X6056" s="145"/>
      <c r="Y6056" s="146"/>
      <c r="Z6056" s="147"/>
      <c r="AA6056" s="147"/>
      <c r="AB6056" s="110"/>
      <c r="AC6056" s="132"/>
      <c r="AD6056" s="148"/>
      <c r="AE6056" s="148"/>
    </row>
    <row r="6057" customFormat="false" ht="15" hidden="false" customHeight="true" outlineLevel="0" collapsed="false">
      <c r="A6057" s="141"/>
      <c r="B6057" s="131"/>
      <c r="C6057" s="132"/>
      <c r="D6057" s="131"/>
      <c r="E6057" s="110"/>
      <c r="F6057" s="110"/>
      <c r="G6057" s="110"/>
      <c r="H6057" s="131"/>
      <c r="I6057" s="131"/>
      <c r="J6057" s="142"/>
      <c r="K6057" s="142"/>
      <c r="L6057" s="140"/>
      <c r="M6057" s="131"/>
      <c r="N6057" s="131"/>
      <c r="O6057" s="131"/>
      <c r="P6057" s="143"/>
      <c r="Q6057" s="66"/>
      <c r="R6057" s="131"/>
      <c r="S6057" s="144"/>
      <c r="T6057" s="131"/>
      <c r="U6057" s="131"/>
      <c r="V6057" s="131"/>
      <c r="W6057" s="131"/>
      <c r="X6057" s="145"/>
      <c r="Y6057" s="146"/>
      <c r="Z6057" s="147"/>
      <c r="AA6057" s="147"/>
      <c r="AB6057" s="110"/>
      <c r="AC6057" s="132"/>
      <c r="AD6057" s="148"/>
      <c r="AE6057" s="148"/>
    </row>
    <row r="6058" customFormat="false" ht="15" hidden="false" customHeight="true" outlineLevel="0" collapsed="false">
      <c r="A6058" s="141"/>
      <c r="B6058" s="131"/>
      <c r="C6058" s="132"/>
      <c r="D6058" s="131"/>
      <c r="E6058" s="110"/>
      <c r="F6058" s="110"/>
      <c r="G6058" s="110"/>
      <c r="H6058" s="131"/>
      <c r="I6058" s="131"/>
      <c r="J6058" s="142"/>
      <c r="K6058" s="142"/>
      <c r="L6058" s="140"/>
      <c r="M6058" s="131"/>
      <c r="N6058" s="131"/>
      <c r="O6058" s="131"/>
      <c r="P6058" s="143"/>
      <c r="Q6058" s="66"/>
      <c r="R6058" s="131"/>
      <c r="S6058" s="144"/>
      <c r="T6058" s="131"/>
      <c r="U6058" s="131"/>
      <c r="V6058" s="131"/>
      <c r="W6058" s="131"/>
      <c r="X6058" s="145"/>
      <c r="Y6058" s="146"/>
      <c r="Z6058" s="147"/>
      <c r="AA6058" s="147"/>
      <c r="AB6058" s="110"/>
      <c r="AC6058" s="132"/>
      <c r="AD6058" s="148"/>
      <c r="AE6058" s="148"/>
    </row>
    <row r="6059" customFormat="false" ht="15" hidden="false" customHeight="true" outlineLevel="0" collapsed="false">
      <c r="A6059" s="141"/>
      <c r="B6059" s="131"/>
      <c r="C6059" s="132"/>
      <c r="D6059" s="131"/>
      <c r="E6059" s="110"/>
      <c r="F6059" s="110"/>
      <c r="G6059" s="110"/>
      <c r="H6059" s="131"/>
      <c r="I6059" s="131"/>
      <c r="J6059" s="142"/>
      <c r="K6059" s="142"/>
      <c r="L6059" s="140"/>
      <c r="M6059" s="131"/>
      <c r="N6059" s="131"/>
      <c r="O6059" s="131"/>
      <c r="P6059" s="143"/>
      <c r="Q6059" s="66"/>
      <c r="R6059" s="131"/>
      <c r="S6059" s="144"/>
      <c r="T6059" s="131"/>
      <c r="U6059" s="131"/>
      <c r="V6059" s="131"/>
      <c r="W6059" s="131"/>
      <c r="X6059" s="145"/>
      <c r="Y6059" s="146"/>
      <c r="Z6059" s="147"/>
      <c r="AA6059" s="147"/>
      <c r="AB6059" s="110"/>
      <c r="AC6059" s="132"/>
      <c r="AD6059" s="148"/>
      <c r="AE6059" s="148"/>
    </row>
    <row r="6060" customFormat="false" ht="15" hidden="false" customHeight="true" outlineLevel="0" collapsed="false">
      <c r="A6060" s="141"/>
      <c r="B6060" s="131"/>
      <c r="C6060" s="132"/>
      <c r="D6060" s="131"/>
      <c r="E6060" s="110"/>
      <c r="F6060" s="110"/>
      <c r="G6060" s="110"/>
      <c r="H6060" s="131"/>
      <c r="I6060" s="131"/>
      <c r="J6060" s="142"/>
      <c r="K6060" s="142"/>
      <c r="L6060" s="140"/>
      <c r="M6060" s="131"/>
      <c r="N6060" s="131"/>
      <c r="O6060" s="131"/>
      <c r="P6060" s="143"/>
      <c r="Q6060" s="66"/>
      <c r="R6060" s="131"/>
      <c r="S6060" s="144"/>
      <c r="T6060" s="131"/>
      <c r="U6060" s="131"/>
      <c r="V6060" s="131"/>
      <c r="W6060" s="131"/>
      <c r="X6060" s="145"/>
      <c r="Y6060" s="146"/>
      <c r="Z6060" s="147"/>
      <c r="AA6060" s="147"/>
      <c r="AB6060" s="110"/>
      <c r="AC6060" s="132"/>
      <c r="AD6060" s="148"/>
      <c r="AE6060" s="148"/>
    </row>
    <row r="6061" customFormat="false" ht="15" hidden="false" customHeight="true" outlineLevel="0" collapsed="false">
      <c r="A6061" s="141"/>
      <c r="B6061" s="131"/>
      <c r="C6061" s="132"/>
      <c r="D6061" s="131"/>
      <c r="E6061" s="110"/>
      <c r="F6061" s="110"/>
      <c r="G6061" s="110"/>
      <c r="H6061" s="131"/>
      <c r="I6061" s="131"/>
      <c r="J6061" s="142"/>
      <c r="K6061" s="142"/>
      <c r="L6061" s="140"/>
      <c r="M6061" s="131"/>
      <c r="N6061" s="131"/>
      <c r="O6061" s="131"/>
      <c r="P6061" s="143"/>
      <c r="Q6061" s="66"/>
      <c r="R6061" s="131"/>
      <c r="S6061" s="144"/>
      <c r="T6061" s="131"/>
      <c r="U6061" s="131"/>
      <c r="V6061" s="131"/>
      <c r="W6061" s="131"/>
      <c r="X6061" s="145"/>
      <c r="Y6061" s="146"/>
      <c r="Z6061" s="147"/>
      <c r="AA6061" s="147"/>
      <c r="AB6061" s="110"/>
      <c r="AC6061" s="132"/>
      <c r="AD6061" s="148"/>
      <c r="AE6061" s="148"/>
    </row>
    <row r="6062" customFormat="false" ht="15" hidden="false" customHeight="true" outlineLevel="0" collapsed="false">
      <c r="A6062" s="141"/>
      <c r="B6062" s="131"/>
      <c r="C6062" s="132"/>
      <c r="D6062" s="131"/>
      <c r="E6062" s="110"/>
      <c r="F6062" s="110"/>
      <c r="G6062" s="110"/>
      <c r="H6062" s="131"/>
      <c r="I6062" s="131"/>
      <c r="J6062" s="142"/>
      <c r="K6062" s="142"/>
      <c r="L6062" s="140"/>
      <c r="M6062" s="131"/>
      <c r="N6062" s="131"/>
      <c r="O6062" s="131"/>
      <c r="P6062" s="143"/>
      <c r="Q6062" s="66"/>
      <c r="R6062" s="131"/>
      <c r="S6062" s="144"/>
      <c r="T6062" s="131"/>
      <c r="U6062" s="131"/>
      <c r="V6062" s="131"/>
      <c r="W6062" s="131"/>
      <c r="X6062" s="145"/>
      <c r="Y6062" s="146"/>
      <c r="Z6062" s="147"/>
      <c r="AA6062" s="147"/>
      <c r="AB6062" s="110"/>
      <c r="AC6062" s="132"/>
      <c r="AD6062" s="148"/>
      <c r="AE6062" s="148"/>
    </row>
    <row r="6063" customFormat="false" ht="15" hidden="false" customHeight="true" outlineLevel="0" collapsed="false">
      <c r="A6063" s="141"/>
      <c r="B6063" s="131"/>
      <c r="C6063" s="132"/>
      <c r="D6063" s="131"/>
      <c r="E6063" s="110"/>
      <c r="F6063" s="110"/>
      <c r="G6063" s="110"/>
      <c r="H6063" s="131"/>
      <c r="I6063" s="131"/>
      <c r="J6063" s="142"/>
      <c r="K6063" s="142"/>
      <c r="L6063" s="140"/>
      <c r="M6063" s="131"/>
      <c r="N6063" s="131"/>
      <c r="O6063" s="131"/>
      <c r="P6063" s="143"/>
      <c r="Q6063" s="66"/>
      <c r="R6063" s="131"/>
      <c r="S6063" s="144"/>
      <c r="T6063" s="131"/>
      <c r="U6063" s="131"/>
      <c r="V6063" s="131"/>
      <c r="W6063" s="131"/>
      <c r="X6063" s="145"/>
      <c r="Y6063" s="146"/>
      <c r="Z6063" s="147"/>
      <c r="AA6063" s="147"/>
      <c r="AB6063" s="110"/>
      <c r="AC6063" s="132"/>
      <c r="AD6063" s="148"/>
      <c r="AE6063" s="148"/>
    </row>
    <row r="6064" customFormat="false" ht="15" hidden="false" customHeight="true" outlineLevel="0" collapsed="false">
      <c r="A6064" s="141"/>
      <c r="B6064" s="131"/>
      <c r="C6064" s="132"/>
      <c r="D6064" s="131"/>
      <c r="E6064" s="110"/>
      <c r="F6064" s="110"/>
      <c r="G6064" s="110"/>
      <c r="H6064" s="131"/>
      <c r="I6064" s="131"/>
      <c r="J6064" s="142"/>
      <c r="K6064" s="142"/>
      <c r="L6064" s="140"/>
      <c r="M6064" s="131"/>
      <c r="N6064" s="131"/>
      <c r="O6064" s="131"/>
      <c r="P6064" s="143"/>
      <c r="Q6064" s="66"/>
      <c r="R6064" s="131"/>
      <c r="S6064" s="144"/>
      <c r="T6064" s="131"/>
      <c r="U6064" s="131"/>
      <c r="V6064" s="131"/>
      <c r="W6064" s="131"/>
      <c r="X6064" s="145"/>
      <c r="Y6064" s="146"/>
      <c r="Z6064" s="147"/>
      <c r="AA6064" s="147"/>
      <c r="AB6064" s="110"/>
      <c r="AC6064" s="132"/>
      <c r="AD6064" s="148"/>
      <c r="AE6064" s="148"/>
    </row>
    <row r="6065" customFormat="false" ht="15" hidden="false" customHeight="true" outlineLevel="0" collapsed="false">
      <c r="A6065" s="141"/>
      <c r="B6065" s="131"/>
      <c r="C6065" s="132"/>
      <c r="D6065" s="131"/>
      <c r="E6065" s="110"/>
      <c r="F6065" s="110"/>
      <c r="G6065" s="110"/>
      <c r="H6065" s="131"/>
      <c r="I6065" s="131"/>
      <c r="J6065" s="142"/>
      <c r="K6065" s="142"/>
      <c r="L6065" s="140"/>
      <c r="M6065" s="131"/>
      <c r="N6065" s="131"/>
      <c r="O6065" s="131"/>
      <c r="P6065" s="143"/>
      <c r="Q6065" s="66"/>
      <c r="R6065" s="131"/>
      <c r="S6065" s="144"/>
      <c r="T6065" s="131"/>
      <c r="U6065" s="131"/>
      <c r="V6065" s="131"/>
      <c r="W6065" s="131"/>
      <c r="X6065" s="145"/>
      <c r="Y6065" s="146"/>
      <c r="Z6065" s="147"/>
      <c r="AA6065" s="147"/>
      <c r="AB6065" s="110"/>
      <c r="AC6065" s="132"/>
      <c r="AD6065" s="148"/>
      <c r="AE6065" s="148"/>
    </row>
    <row r="6066" customFormat="false" ht="15" hidden="false" customHeight="true" outlineLevel="0" collapsed="false">
      <c r="A6066" s="141"/>
      <c r="B6066" s="131"/>
      <c r="C6066" s="132"/>
      <c r="D6066" s="131"/>
      <c r="E6066" s="110"/>
      <c r="F6066" s="110"/>
      <c r="G6066" s="110"/>
      <c r="H6066" s="131"/>
      <c r="I6066" s="131"/>
      <c r="J6066" s="142"/>
      <c r="K6066" s="142"/>
      <c r="L6066" s="140"/>
      <c r="M6066" s="131"/>
      <c r="N6066" s="131"/>
      <c r="O6066" s="131"/>
      <c r="P6066" s="143"/>
      <c r="Q6066" s="66"/>
      <c r="R6066" s="131"/>
      <c r="S6066" s="144"/>
      <c r="T6066" s="131"/>
      <c r="U6066" s="131"/>
      <c r="V6066" s="131"/>
      <c r="W6066" s="131"/>
      <c r="X6066" s="145"/>
      <c r="Y6066" s="146"/>
      <c r="Z6066" s="147"/>
      <c r="AA6066" s="147"/>
      <c r="AB6066" s="110"/>
      <c r="AC6066" s="132"/>
      <c r="AD6066" s="148"/>
      <c r="AE6066" s="148"/>
    </row>
    <row r="6067" customFormat="false" ht="15" hidden="false" customHeight="true" outlineLevel="0" collapsed="false">
      <c r="A6067" s="141"/>
      <c r="B6067" s="131"/>
      <c r="C6067" s="132"/>
      <c r="D6067" s="131"/>
      <c r="E6067" s="110"/>
      <c r="F6067" s="110"/>
      <c r="G6067" s="110"/>
      <c r="H6067" s="131"/>
      <c r="I6067" s="131"/>
      <c r="J6067" s="142"/>
      <c r="K6067" s="142"/>
      <c r="L6067" s="140"/>
      <c r="M6067" s="131"/>
      <c r="N6067" s="131"/>
      <c r="O6067" s="131"/>
      <c r="P6067" s="143"/>
      <c r="Q6067" s="66"/>
      <c r="R6067" s="131"/>
      <c r="S6067" s="144"/>
      <c r="T6067" s="131"/>
      <c r="U6067" s="131"/>
      <c r="V6067" s="131"/>
      <c r="W6067" s="131"/>
      <c r="X6067" s="145"/>
      <c r="Y6067" s="146"/>
      <c r="Z6067" s="147"/>
      <c r="AA6067" s="147"/>
      <c r="AB6067" s="110"/>
      <c r="AC6067" s="132"/>
      <c r="AD6067" s="148"/>
      <c r="AE6067" s="148"/>
    </row>
    <row r="6068" customFormat="false" ht="15" hidden="false" customHeight="true" outlineLevel="0" collapsed="false">
      <c r="A6068" s="141"/>
      <c r="B6068" s="131"/>
      <c r="C6068" s="132"/>
      <c r="D6068" s="131"/>
      <c r="E6068" s="110"/>
      <c r="F6068" s="110"/>
      <c r="G6068" s="110"/>
      <c r="H6068" s="131"/>
      <c r="I6068" s="131"/>
      <c r="J6068" s="142"/>
      <c r="K6068" s="142"/>
      <c r="L6068" s="140"/>
      <c r="M6068" s="131"/>
      <c r="N6068" s="131"/>
      <c r="O6068" s="131"/>
      <c r="P6068" s="143"/>
      <c r="Q6068" s="66"/>
      <c r="R6068" s="131"/>
      <c r="S6068" s="144"/>
      <c r="T6068" s="131"/>
      <c r="U6068" s="131"/>
      <c r="V6068" s="131"/>
      <c r="W6068" s="131"/>
      <c r="X6068" s="145"/>
      <c r="Y6068" s="146"/>
      <c r="Z6068" s="147"/>
      <c r="AA6068" s="147"/>
      <c r="AB6068" s="110"/>
      <c r="AC6068" s="132"/>
      <c r="AD6068" s="148"/>
      <c r="AE6068" s="148"/>
    </row>
    <row r="6069" customFormat="false" ht="15" hidden="false" customHeight="true" outlineLevel="0" collapsed="false">
      <c r="A6069" s="141"/>
      <c r="B6069" s="131"/>
      <c r="C6069" s="132"/>
      <c r="D6069" s="131"/>
      <c r="E6069" s="110"/>
      <c r="F6069" s="110"/>
      <c r="G6069" s="110"/>
      <c r="H6069" s="131"/>
      <c r="I6069" s="131"/>
      <c r="J6069" s="142"/>
      <c r="K6069" s="142"/>
      <c r="L6069" s="140"/>
      <c r="M6069" s="131"/>
      <c r="N6069" s="131"/>
      <c r="O6069" s="131"/>
      <c r="P6069" s="143"/>
      <c r="Q6069" s="66"/>
      <c r="R6069" s="131"/>
      <c r="S6069" s="144"/>
      <c r="T6069" s="131"/>
      <c r="U6069" s="131"/>
      <c r="V6069" s="131"/>
      <c r="W6069" s="131"/>
      <c r="X6069" s="145"/>
      <c r="Y6069" s="146"/>
      <c r="Z6069" s="147"/>
      <c r="AA6069" s="147"/>
      <c r="AB6069" s="110"/>
      <c r="AC6069" s="132"/>
      <c r="AD6069" s="148"/>
      <c r="AE6069" s="148"/>
    </row>
    <row r="6070" customFormat="false" ht="15" hidden="false" customHeight="true" outlineLevel="0" collapsed="false">
      <c r="A6070" s="141"/>
      <c r="B6070" s="131"/>
      <c r="C6070" s="132"/>
      <c r="D6070" s="131"/>
      <c r="E6070" s="110"/>
      <c r="F6070" s="110"/>
      <c r="G6070" s="110"/>
      <c r="H6070" s="131"/>
      <c r="I6070" s="131"/>
      <c r="J6070" s="142"/>
      <c r="K6070" s="142"/>
      <c r="L6070" s="140"/>
      <c r="M6070" s="131"/>
      <c r="N6070" s="131"/>
      <c r="O6070" s="131"/>
      <c r="P6070" s="143"/>
      <c r="Q6070" s="66"/>
      <c r="R6070" s="131"/>
      <c r="S6070" s="144"/>
      <c r="T6070" s="131"/>
      <c r="U6070" s="131"/>
      <c r="V6070" s="131"/>
      <c r="W6070" s="131"/>
      <c r="X6070" s="145"/>
      <c r="Y6070" s="146"/>
      <c r="Z6070" s="147"/>
      <c r="AA6070" s="147"/>
      <c r="AB6070" s="110"/>
      <c r="AC6070" s="132"/>
      <c r="AD6070" s="148"/>
      <c r="AE6070" s="148"/>
    </row>
    <row r="6071" customFormat="false" ht="15" hidden="false" customHeight="true" outlineLevel="0" collapsed="false">
      <c r="A6071" s="141"/>
      <c r="B6071" s="131"/>
      <c r="C6071" s="132"/>
      <c r="D6071" s="131"/>
      <c r="E6071" s="110"/>
      <c r="F6071" s="110"/>
      <c r="G6071" s="110"/>
      <c r="H6071" s="131"/>
      <c r="I6071" s="131"/>
      <c r="J6071" s="142"/>
      <c r="K6071" s="142"/>
      <c r="L6071" s="140"/>
      <c r="M6071" s="131"/>
      <c r="N6071" s="131"/>
      <c r="O6071" s="131"/>
      <c r="P6071" s="143"/>
      <c r="Q6071" s="66"/>
      <c r="R6071" s="131"/>
      <c r="S6071" s="144"/>
      <c r="T6071" s="131"/>
      <c r="U6071" s="131"/>
      <c r="V6071" s="131"/>
      <c r="W6071" s="131"/>
      <c r="X6071" s="145"/>
      <c r="Y6071" s="146"/>
      <c r="Z6071" s="147"/>
      <c r="AA6071" s="147"/>
      <c r="AB6071" s="110"/>
      <c r="AC6071" s="132"/>
      <c r="AD6071" s="148"/>
      <c r="AE6071" s="148"/>
    </row>
    <row r="6072" customFormat="false" ht="15" hidden="false" customHeight="true" outlineLevel="0" collapsed="false">
      <c r="A6072" s="141"/>
      <c r="B6072" s="131"/>
      <c r="C6072" s="132"/>
      <c r="D6072" s="131"/>
      <c r="E6072" s="110"/>
      <c r="F6072" s="110"/>
      <c r="G6072" s="110"/>
      <c r="H6072" s="131"/>
      <c r="I6072" s="131"/>
      <c r="J6072" s="142"/>
      <c r="K6072" s="142"/>
      <c r="L6072" s="140"/>
      <c r="M6072" s="131"/>
      <c r="N6072" s="131"/>
      <c r="O6072" s="131"/>
      <c r="P6072" s="143"/>
      <c r="Q6072" s="66"/>
      <c r="R6072" s="131"/>
      <c r="S6072" s="144"/>
      <c r="T6072" s="131"/>
      <c r="U6072" s="131"/>
      <c r="V6072" s="131"/>
      <c r="W6072" s="131"/>
      <c r="X6072" s="145"/>
      <c r="Y6072" s="146"/>
      <c r="Z6072" s="147"/>
      <c r="AA6072" s="147"/>
      <c r="AB6072" s="110"/>
      <c r="AC6072" s="132"/>
      <c r="AD6072" s="148"/>
      <c r="AE6072" s="148"/>
    </row>
    <row r="6073" customFormat="false" ht="15" hidden="false" customHeight="true" outlineLevel="0" collapsed="false">
      <c r="A6073" s="141"/>
      <c r="B6073" s="131"/>
      <c r="C6073" s="132"/>
      <c r="D6073" s="131"/>
      <c r="E6073" s="110"/>
      <c r="F6073" s="110"/>
      <c r="G6073" s="110"/>
      <c r="H6073" s="131"/>
      <c r="I6073" s="131"/>
      <c r="J6073" s="142"/>
      <c r="K6073" s="142"/>
      <c r="L6073" s="140"/>
      <c r="M6073" s="131"/>
      <c r="N6073" s="131"/>
      <c r="O6073" s="131"/>
      <c r="P6073" s="143"/>
      <c r="Q6073" s="66"/>
      <c r="R6073" s="131"/>
      <c r="S6073" s="144"/>
      <c r="T6073" s="131"/>
      <c r="U6073" s="131"/>
      <c r="V6073" s="131"/>
      <c r="W6073" s="131"/>
      <c r="X6073" s="145"/>
      <c r="Y6073" s="146"/>
      <c r="Z6073" s="147"/>
      <c r="AA6073" s="147"/>
      <c r="AB6073" s="110"/>
      <c r="AC6073" s="132"/>
      <c r="AD6073" s="148"/>
      <c r="AE6073" s="148"/>
    </row>
    <row r="6074" customFormat="false" ht="15" hidden="false" customHeight="true" outlineLevel="0" collapsed="false">
      <c r="A6074" s="141"/>
      <c r="B6074" s="131"/>
      <c r="C6074" s="132"/>
      <c r="D6074" s="131"/>
      <c r="E6074" s="110"/>
      <c r="F6074" s="110"/>
      <c r="G6074" s="110"/>
      <c r="H6074" s="131"/>
      <c r="I6074" s="131"/>
      <c r="J6074" s="142"/>
      <c r="K6074" s="142"/>
      <c r="L6074" s="140"/>
      <c r="M6074" s="131"/>
      <c r="N6074" s="131"/>
      <c r="O6074" s="131"/>
      <c r="P6074" s="143"/>
      <c r="Q6074" s="66"/>
      <c r="R6074" s="131"/>
      <c r="S6074" s="144"/>
      <c r="T6074" s="131"/>
      <c r="U6074" s="131"/>
      <c r="V6074" s="131"/>
      <c r="W6074" s="131"/>
      <c r="X6074" s="145"/>
      <c r="Y6074" s="146"/>
      <c r="Z6074" s="147"/>
      <c r="AA6074" s="147"/>
      <c r="AB6074" s="110"/>
      <c r="AC6074" s="132"/>
      <c r="AD6074" s="148"/>
      <c r="AE6074" s="148"/>
    </row>
    <row r="6075" customFormat="false" ht="15" hidden="false" customHeight="true" outlineLevel="0" collapsed="false">
      <c r="A6075" s="141"/>
      <c r="B6075" s="131"/>
      <c r="C6075" s="132"/>
      <c r="D6075" s="131"/>
      <c r="E6075" s="110"/>
      <c r="F6075" s="110"/>
      <c r="G6075" s="110"/>
      <c r="H6075" s="131"/>
      <c r="I6075" s="131"/>
      <c r="J6075" s="142"/>
      <c r="K6075" s="142"/>
      <c r="L6075" s="140"/>
      <c r="M6075" s="131"/>
      <c r="N6075" s="131"/>
      <c r="O6075" s="131"/>
      <c r="P6075" s="143"/>
      <c r="Q6075" s="66"/>
      <c r="R6075" s="131"/>
      <c r="S6075" s="144"/>
      <c r="T6075" s="131"/>
      <c r="U6075" s="131"/>
      <c r="V6075" s="131"/>
      <c r="W6075" s="131"/>
      <c r="X6075" s="145"/>
      <c r="Y6075" s="146"/>
      <c r="Z6075" s="147"/>
      <c r="AA6075" s="147"/>
      <c r="AB6075" s="110"/>
      <c r="AC6075" s="132"/>
      <c r="AD6075" s="148"/>
      <c r="AE6075" s="148"/>
    </row>
    <row r="6076" customFormat="false" ht="15" hidden="false" customHeight="true" outlineLevel="0" collapsed="false">
      <c r="A6076" s="141"/>
      <c r="B6076" s="131"/>
      <c r="C6076" s="132"/>
      <c r="D6076" s="131"/>
      <c r="E6076" s="110"/>
      <c r="F6076" s="110"/>
      <c r="G6076" s="110"/>
      <c r="H6076" s="131"/>
      <c r="I6076" s="131"/>
      <c r="J6076" s="142"/>
      <c r="K6076" s="142"/>
      <c r="L6076" s="140"/>
      <c r="M6076" s="131"/>
      <c r="N6076" s="131"/>
      <c r="O6076" s="131"/>
      <c r="P6076" s="143"/>
      <c r="Q6076" s="66"/>
      <c r="R6076" s="131"/>
      <c r="S6076" s="144"/>
      <c r="T6076" s="131"/>
      <c r="U6076" s="131"/>
      <c r="V6076" s="131"/>
      <c r="W6076" s="131"/>
      <c r="X6076" s="145"/>
      <c r="Y6076" s="146"/>
      <c r="Z6076" s="147"/>
      <c r="AA6076" s="147"/>
      <c r="AB6076" s="110"/>
      <c r="AC6076" s="132"/>
      <c r="AD6076" s="148"/>
      <c r="AE6076" s="148"/>
    </row>
    <row r="6077" customFormat="false" ht="15" hidden="false" customHeight="true" outlineLevel="0" collapsed="false">
      <c r="A6077" s="141"/>
      <c r="B6077" s="131"/>
      <c r="C6077" s="132"/>
      <c r="D6077" s="131"/>
      <c r="E6077" s="110"/>
      <c r="F6077" s="110"/>
      <c r="G6077" s="110"/>
      <c r="H6077" s="131"/>
      <c r="I6077" s="131"/>
      <c r="J6077" s="142"/>
      <c r="K6077" s="142"/>
      <c r="L6077" s="140"/>
      <c r="M6077" s="131"/>
      <c r="N6077" s="131"/>
      <c r="O6077" s="131"/>
      <c r="P6077" s="143"/>
      <c r="Q6077" s="66"/>
      <c r="R6077" s="131"/>
      <c r="S6077" s="144"/>
      <c r="T6077" s="131"/>
      <c r="U6077" s="131"/>
      <c r="V6077" s="131"/>
      <c r="W6077" s="131"/>
      <c r="X6077" s="145"/>
      <c r="Y6077" s="146"/>
      <c r="Z6077" s="147"/>
      <c r="AA6077" s="147"/>
      <c r="AB6077" s="110"/>
      <c r="AC6077" s="132"/>
      <c r="AD6077" s="148"/>
      <c r="AE6077" s="148"/>
    </row>
    <row r="6078" customFormat="false" ht="15" hidden="false" customHeight="true" outlineLevel="0" collapsed="false">
      <c r="A6078" s="141"/>
      <c r="B6078" s="131"/>
      <c r="C6078" s="132"/>
      <c r="D6078" s="131"/>
      <c r="E6078" s="110"/>
      <c r="F6078" s="110"/>
      <c r="G6078" s="110"/>
      <c r="H6078" s="131"/>
      <c r="I6078" s="131"/>
      <c r="J6078" s="142"/>
      <c r="K6078" s="142"/>
      <c r="L6078" s="140"/>
      <c r="M6078" s="131"/>
      <c r="N6078" s="131"/>
      <c r="O6078" s="131"/>
      <c r="P6078" s="143"/>
      <c r="Q6078" s="66"/>
      <c r="R6078" s="131"/>
      <c r="S6078" s="144"/>
      <c r="T6078" s="131"/>
      <c r="U6078" s="131"/>
      <c r="V6078" s="131"/>
      <c r="W6078" s="131"/>
      <c r="X6078" s="145"/>
      <c r="Y6078" s="146"/>
      <c r="Z6078" s="147"/>
      <c r="AA6078" s="147"/>
      <c r="AB6078" s="110"/>
      <c r="AC6078" s="132"/>
      <c r="AD6078" s="148"/>
      <c r="AE6078" s="148"/>
    </row>
    <row r="6079" customFormat="false" ht="15" hidden="false" customHeight="true" outlineLevel="0" collapsed="false">
      <c r="A6079" s="141"/>
      <c r="B6079" s="131"/>
      <c r="C6079" s="132"/>
      <c r="D6079" s="131"/>
      <c r="E6079" s="110"/>
      <c r="F6079" s="110"/>
      <c r="G6079" s="110"/>
      <c r="H6079" s="131"/>
      <c r="I6079" s="131"/>
      <c r="J6079" s="142"/>
      <c r="K6079" s="142"/>
      <c r="L6079" s="140"/>
      <c r="M6079" s="131"/>
      <c r="N6079" s="131"/>
      <c r="O6079" s="131"/>
      <c r="P6079" s="143"/>
      <c r="Q6079" s="66"/>
      <c r="R6079" s="131"/>
      <c r="S6079" s="144"/>
      <c r="T6079" s="131"/>
      <c r="U6079" s="131"/>
      <c r="V6079" s="131"/>
      <c r="W6079" s="131"/>
      <c r="X6079" s="145"/>
      <c r="Y6079" s="146"/>
      <c r="Z6079" s="147"/>
      <c r="AA6079" s="147"/>
      <c r="AB6079" s="110"/>
      <c r="AC6079" s="132"/>
      <c r="AD6079" s="148"/>
      <c r="AE6079" s="148"/>
    </row>
    <row r="6080" customFormat="false" ht="15" hidden="false" customHeight="true" outlineLevel="0" collapsed="false">
      <c r="A6080" s="141"/>
      <c r="B6080" s="131"/>
      <c r="C6080" s="132"/>
      <c r="D6080" s="131"/>
      <c r="E6080" s="110"/>
      <c r="F6080" s="110"/>
      <c r="G6080" s="110"/>
      <c r="H6080" s="131"/>
      <c r="I6080" s="131"/>
      <c r="J6080" s="142"/>
      <c r="K6080" s="142"/>
      <c r="L6080" s="140"/>
      <c r="M6080" s="131"/>
      <c r="N6080" s="131"/>
      <c r="O6080" s="131"/>
      <c r="P6080" s="143"/>
      <c r="Q6080" s="66"/>
      <c r="R6080" s="131"/>
      <c r="S6080" s="144"/>
      <c r="T6080" s="131"/>
      <c r="U6080" s="131"/>
      <c r="V6080" s="131"/>
      <c r="W6080" s="131"/>
      <c r="X6080" s="145"/>
      <c r="Y6080" s="146"/>
      <c r="Z6080" s="147"/>
      <c r="AA6080" s="147"/>
      <c r="AB6080" s="110"/>
      <c r="AC6080" s="132"/>
      <c r="AD6080" s="148"/>
      <c r="AE6080" s="148"/>
    </row>
    <row r="6081" customFormat="false" ht="15" hidden="false" customHeight="true" outlineLevel="0" collapsed="false">
      <c r="A6081" s="141"/>
      <c r="B6081" s="131"/>
      <c r="C6081" s="132"/>
      <c r="D6081" s="131"/>
      <c r="E6081" s="110"/>
      <c r="F6081" s="110"/>
      <c r="G6081" s="110"/>
      <c r="H6081" s="131"/>
      <c r="I6081" s="131"/>
      <c r="J6081" s="142"/>
      <c r="K6081" s="142"/>
      <c r="L6081" s="140"/>
      <c r="M6081" s="131"/>
      <c r="N6081" s="131"/>
      <c r="O6081" s="131"/>
      <c r="P6081" s="143"/>
      <c r="Q6081" s="66"/>
      <c r="R6081" s="131"/>
      <c r="S6081" s="144"/>
      <c r="T6081" s="131"/>
      <c r="U6081" s="131"/>
      <c r="V6081" s="131"/>
      <c r="W6081" s="131"/>
      <c r="X6081" s="145"/>
      <c r="Y6081" s="146"/>
      <c r="Z6081" s="147"/>
      <c r="AA6081" s="147"/>
      <c r="AB6081" s="110"/>
      <c r="AC6081" s="132"/>
      <c r="AD6081" s="148"/>
      <c r="AE6081" s="148"/>
    </row>
    <row r="6082" customFormat="false" ht="15" hidden="false" customHeight="true" outlineLevel="0" collapsed="false">
      <c r="A6082" s="141"/>
      <c r="B6082" s="131"/>
      <c r="C6082" s="132"/>
      <c r="D6082" s="131"/>
      <c r="E6082" s="110"/>
      <c r="F6082" s="110"/>
      <c r="G6082" s="110"/>
      <c r="H6082" s="131"/>
      <c r="I6082" s="131"/>
      <c r="J6082" s="142"/>
      <c r="K6082" s="142"/>
      <c r="L6082" s="140"/>
      <c r="M6082" s="131"/>
      <c r="N6082" s="131"/>
      <c r="O6082" s="131"/>
      <c r="P6082" s="143"/>
      <c r="Q6082" s="66"/>
      <c r="R6082" s="131"/>
      <c r="S6082" s="144"/>
      <c r="T6082" s="131"/>
      <c r="U6082" s="131"/>
      <c r="V6082" s="131"/>
      <c r="W6082" s="131"/>
      <c r="X6082" s="145"/>
      <c r="Y6082" s="146"/>
      <c r="Z6082" s="147"/>
      <c r="AA6082" s="147"/>
      <c r="AB6082" s="110"/>
      <c r="AC6082" s="132"/>
      <c r="AD6082" s="148"/>
      <c r="AE6082" s="148"/>
    </row>
    <row r="6083" customFormat="false" ht="15" hidden="false" customHeight="true" outlineLevel="0" collapsed="false">
      <c r="A6083" s="141"/>
      <c r="B6083" s="131"/>
      <c r="C6083" s="132"/>
      <c r="D6083" s="131"/>
      <c r="E6083" s="110"/>
      <c r="F6083" s="110"/>
      <c r="G6083" s="110"/>
      <c r="H6083" s="131"/>
      <c r="I6083" s="131"/>
      <c r="J6083" s="142"/>
      <c r="K6083" s="142"/>
      <c r="L6083" s="140"/>
      <c r="M6083" s="131"/>
      <c r="N6083" s="131"/>
      <c r="O6083" s="131"/>
      <c r="P6083" s="143"/>
      <c r="Q6083" s="66"/>
      <c r="R6083" s="131"/>
      <c r="S6083" s="144"/>
      <c r="T6083" s="131"/>
      <c r="U6083" s="131"/>
      <c r="V6083" s="131"/>
      <c r="W6083" s="131"/>
      <c r="X6083" s="145"/>
      <c r="Y6083" s="146"/>
      <c r="Z6083" s="147"/>
      <c r="AA6083" s="147"/>
      <c r="AB6083" s="110"/>
      <c r="AC6083" s="132"/>
      <c r="AD6083" s="148"/>
      <c r="AE6083" s="148"/>
    </row>
    <row r="6084" customFormat="false" ht="15" hidden="false" customHeight="true" outlineLevel="0" collapsed="false">
      <c r="A6084" s="141"/>
      <c r="B6084" s="131"/>
      <c r="C6084" s="132"/>
      <c r="D6084" s="131"/>
      <c r="E6084" s="110"/>
      <c r="F6084" s="110"/>
      <c r="G6084" s="110"/>
      <c r="H6084" s="131"/>
      <c r="I6084" s="131"/>
      <c r="J6084" s="142"/>
      <c r="K6084" s="142"/>
      <c r="L6084" s="140"/>
      <c r="M6084" s="131"/>
      <c r="N6084" s="131"/>
      <c r="O6084" s="131"/>
      <c r="P6084" s="143"/>
      <c r="Q6084" s="66"/>
      <c r="R6084" s="131"/>
      <c r="S6084" s="144"/>
      <c r="T6084" s="131"/>
      <c r="U6084" s="131"/>
      <c r="V6084" s="131"/>
      <c r="W6084" s="131"/>
      <c r="X6084" s="145"/>
      <c r="Y6084" s="146"/>
      <c r="Z6084" s="147"/>
      <c r="AA6084" s="147"/>
      <c r="AB6084" s="110"/>
      <c r="AC6084" s="132"/>
      <c r="AD6084" s="148"/>
      <c r="AE6084" s="148"/>
    </row>
    <row r="6085" customFormat="false" ht="15" hidden="false" customHeight="true" outlineLevel="0" collapsed="false">
      <c r="A6085" s="141"/>
      <c r="B6085" s="131"/>
      <c r="C6085" s="132"/>
      <c r="D6085" s="131"/>
      <c r="E6085" s="110"/>
      <c r="F6085" s="110"/>
      <c r="G6085" s="110"/>
      <c r="H6085" s="131"/>
      <c r="I6085" s="131"/>
      <c r="J6085" s="142"/>
      <c r="K6085" s="142"/>
      <c r="L6085" s="140"/>
      <c r="M6085" s="131"/>
      <c r="N6085" s="131"/>
      <c r="O6085" s="131"/>
      <c r="P6085" s="143"/>
      <c r="Q6085" s="66"/>
      <c r="R6085" s="131"/>
      <c r="S6085" s="144"/>
      <c r="T6085" s="131"/>
      <c r="U6085" s="131"/>
      <c r="V6085" s="131"/>
      <c r="W6085" s="131"/>
      <c r="X6085" s="145"/>
      <c r="Y6085" s="146"/>
      <c r="Z6085" s="147"/>
      <c r="AA6085" s="147"/>
      <c r="AB6085" s="110"/>
      <c r="AC6085" s="132"/>
      <c r="AD6085" s="148"/>
      <c r="AE6085" s="148"/>
    </row>
    <row r="6086" customFormat="false" ht="15" hidden="false" customHeight="true" outlineLevel="0" collapsed="false">
      <c r="A6086" s="141"/>
      <c r="B6086" s="131"/>
      <c r="C6086" s="132"/>
      <c r="D6086" s="131"/>
      <c r="E6086" s="110"/>
      <c r="F6086" s="110"/>
      <c r="G6086" s="110"/>
      <c r="H6086" s="131"/>
      <c r="I6086" s="131"/>
      <c r="J6086" s="142"/>
      <c r="K6086" s="142"/>
      <c r="L6086" s="140"/>
      <c r="M6086" s="131"/>
      <c r="N6086" s="131"/>
      <c r="O6086" s="131"/>
      <c r="P6086" s="143"/>
      <c r="Q6086" s="66"/>
      <c r="R6086" s="131"/>
      <c r="S6086" s="144"/>
      <c r="T6086" s="131"/>
      <c r="U6086" s="131"/>
      <c r="V6086" s="131"/>
      <c r="W6086" s="131"/>
      <c r="X6086" s="145"/>
      <c r="Y6086" s="146"/>
      <c r="Z6086" s="147"/>
      <c r="AA6086" s="147"/>
      <c r="AB6086" s="110"/>
      <c r="AC6086" s="132"/>
      <c r="AD6086" s="148"/>
      <c r="AE6086" s="148"/>
    </row>
    <row r="6087" customFormat="false" ht="15" hidden="false" customHeight="true" outlineLevel="0" collapsed="false">
      <c r="A6087" s="141"/>
      <c r="B6087" s="131"/>
      <c r="C6087" s="132"/>
      <c r="D6087" s="131"/>
      <c r="E6087" s="110"/>
      <c r="F6087" s="110"/>
      <c r="G6087" s="110"/>
      <c r="H6087" s="131"/>
      <c r="I6087" s="131"/>
      <c r="J6087" s="142"/>
      <c r="K6087" s="142"/>
      <c r="L6087" s="140"/>
      <c r="M6087" s="131"/>
      <c r="N6087" s="131"/>
      <c r="O6087" s="131"/>
      <c r="P6087" s="143"/>
      <c r="Q6087" s="66"/>
      <c r="R6087" s="131"/>
      <c r="S6087" s="144"/>
      <c r="T6087" s="131"/>
      <c r="U6087" s="131"/>
      <c r="V6087" s="131"/>
      <c r="W6087" s="131"/>
      <c r="X6087" s="145"/>
      <c r="Y6087" s="146"/>
      <c r="Z6087" s="147"/>
      <c r="AA6087" s="147"/>
      <c r="AB6087" s="110"/>
      <c r="AC6087" s="132"/>
      <c r="AD6087" s="148"/>
      <c r="AE6087" s="148"/>
    </row>
    <row r="6088" customFormat="false" ht="15" hidden="false" customHeight="true" outlineLevel="0" collapsed="false">
      <c r="A6088" s="141"/>
      <c r="B6088" s="131"/>
      <c r="C6088" s="132"/>
      <c r="D6088" s="131"/>
      <c r="E6088" s="110"/>
      <c r="F6088" s="110"/>
      <c r="G6088" s="110"/>
      <c r="H6088" s="131"/>
      <c r="I6088" s="131"/>
      <c r="J6088" s="142"/>
      <c r="K6088" s="142"/>
      <c r="L6088" s="140"/>
      <c r="M6088" s="131"/>
      <c r="N6088" s="131"/>
      <c r="O6088" s="131"/>
      <c r="P6088" s="143"/>
      <c r="Q6088" s="66"/>
      <c r="R6088" s="131"/>
      <c r="S6088" s="144"/>
      <c r="T6088" s="131"/>
      <c r="U6088" s="131"/>
      <c r="V6088" s="131"/>
      <c r="W6088" s="131"/>
      <c r="X6088" s="145"/>
      <c r="Y6088" s="146"/>
      <c r="Z6088" s="147"/>
      <c r="AA6088" s="147"/>
      <c r="AB6088" s="110"/>
      <c r="AC6088" s="132"/>
      <c r="AD6088" s="148"/>
      <c r="AE6088" s="148"/>
    </row>
    <row r="6089" customFormat="false" ht="15" hidden="false" customHeight="true" outlineLevel="0" collapsed="false">
      <c r="A6089" s="141"/>
      <c r="B6089" s="131"/>
      <c r="C6089" s="132"/>
      <c r="D6089" s="131"/>
      <c r="E6089" s="110"/>
      <c r="F6089" s="110"/>
      <c r="G6089" s="110"/>
      <c r="H6089" s="131"/>
      <c r="I6089" s="131"/>
      <c r="J6089" s="142"/>
      <c r="K6089" s="142"/>
      <c r="L6089" s="140"/>
      <c r="M6089" s="131"/>
      <c r="N6089" s="131"/>
      <c r="O6089" s="131"/>
      <c r="P6089" s="143"/>
      <c r="Q6089" s="66"/>
      <c r="R6089" s="131"/>
      <c r="S6089" s="144"/>
      <c r="T6089" s="131"/>
      <c r="U6089" s="131"/>
      <c r="V6089" s="131"/>
      <c r="W6089" s="131"/>
      <c r="X6089" s="145"/>
      <c r="Y6089" s="146"/>
      <c r="Z6089" s="147"/>
      <c r="AA6089" s="147"/>
      <c r="AB6089" s="110"/>
      <c r="AC6089" s="132"/>
      <c r="AD6089" s="148"/>
      <c r="AE6089" s="148"/>
    </row>
    <row r="6090" customFormat="false" ht="15" hidden="false" customHeight="true" outlineLevel="0" collapsed="false">
      <c r="A6090" s="141"/>
      <c r="B6090" s="131"/>
      <c r="C6090" s="132"/>
      <c r="D6090" s="131"/>
      <c r="E6090" s="110"/>
      <c r="F6090" s="110"/>
      <c r="G6090" s="110"/>
      <c r="H6090" s="131"/>
      <c r="I6090" s="131"/>
      <c r="J6090" s="142"/>
      <c r="K6090" s="142"/>
      <c r="L6090" s="140"/>
      <c r="M6090" s="131"/>
      <c r="N6090" s="131"/>
      <c r="O6090" s="131"/>
      <c r="P6090" s="143"/>
      <c r="Q6090" s="66"/>
      <c r="R6090" s="131"/>
      <c r="S6090" s="144"/>
      <c r="T6090" s="131"/>
      <c r="U6090" s="131"/>
      <c r="V6090" s="131"/>
      <c r="W6090" s="131"/>
      <c r="X6090" s="145"/>
      <c r="Y6090" s="146"/>
      <c r="Z6090" s="147"/>
      <c r="AA6090" s="147"/>
      <c r="AB6090" s="110"/>
      <c r="AC6090" s="132"/>
      <c r="AD6090" s="148"/>
      <c r="AE6090" s="148"/>
    </row>
    <row r="6091" customFormat="false" ht="15" hidden="false" customHeight="true" outlineLevel="0" collapsed="false">
      <c r="A6091" s="141"/>
      <c r="B6091" s="131"/>
      <c r="C6091" s="132"/>
      <c r="D6091" s="131"/>
      <c r="E6091" s="110"/>
      <c r="F6091" s="110"/>
      <c r="G6091" s="110"/>
      <c r="H6091" s="131"/>
      <c r="I6091" s="131"/>
      <c r="J6091" s="142"/>
      <c r="K6091" s="142"/>
      <c r="L6091" s="140"/>
      <c r="M6091" s="131"/>
      <c r="N6091" s="131"/>
      <c r="O6091" s="131"/>
      <c r="P6091" s="143"/>
      <c r="Q6091" s="66"/>
      <c r="R6091" s="131"/>
      <c r="S6091" s="144"/>
      <c r="T6091" s="131"/>
      <c r="U6091" s="131"/>
      <c r="V6091" s="131"/>
      <c r="W6091" s="131"/>
      <c r="X6091" s="145"/>
      <c r="Y6091" s="146"/>
      <c r="Z6091" s="147"/>
      <c r="AA6091" s="147"/>
      <c r="AB6091" s="110"/>
      <c r="AC6091" s="132"/>
      <c r="AD6091" s="148"/>
      <c r="AE6091" s="148"/>
    </row>
    <row r="6092" customFormat="false" ht="15" hidden="false" customHeight="true" outlineLevel="0" collapsed="false">
      <c r="A6092" s="141"/>
      <c r="B6092" s="131"/>
      <c r="C6092" s="132"/>
      <c r="D6092" s="131"/>
      <c r="E6092" s="110"/>
      <c r="F6092" s="110"/>
      <c r="G6092" s="110"/>
      <c r="H6092" s="131"/>
      <c r="I6092" s="131"/>
      <c r="J6092" s="142"/>
      <c r="K6092" s="142"/>
      <c r="L6092" s="140"/>
      <c r="M6092" s="131"/>
      <c r="N6092" s="131"/>
      <c r="O6092" s="131"/>
      <c r="P6092" s="143"/>
      <c r="Q6092" s="66"/>
      <c r="R6092" s="131"/>
      <c r="S6092" s="144"/>
      <c r="T6092" s="131"/>
      <c r="U6092" s="131"/>
      <c r="V6092" s="131"/>
      <c r="W6092" s="131"/>
      <c r="X6092" s="145"/>
      <c r="Y6092" s="146"/>
      <c r="Z6092" s="147"/>
      <c r="AA6092" s="147"/>
      <c r="AB6092" s="110"/>
      <c r="AC6092" s="132"/>
      <c r="AD6092" s="148"/>
      <c r="AE6092" s="148"/>
    </row>
    <row r="6093" customFormat="false" ht="15" hidden="false" customHeight="true" outlineLevel="0" collapsed="false">
      <c r="A6093" s="141"/>
      <c r="B6093" s="131"/>
      <c r="C6093" s="132"/>
      <c r="D6093" s="131"/>
      <c r="E6093" s="110"/>
      <c r="F6093" s="110"/>
      <c r="G6093" s="110"/>
      <c r="H6093" s="131"/>
      <c r="I6093" s="131"/>
      <c r="J6093" s="142"/>
      <c r="K6093" s="142"/>
      <c r="L6093" s="140"/>
      <c r="M6093" s="131"/>
      <c r="N6093" s="131"/>
      <c r="O6093" s="131"/>
      <c r="P6093" s="143"/>
      <c r="Q6093" s="66"/>
      <c r="R6093" s="131"/>
      <c r="S6093" s="144"/>
      <c r="T6093" s="131"/>
      <c r="U6093" s="131"/>
      <c r="V6093" s="131"/>
      <c r="W6093" s="131"/>
      <c r="X6093" s="145"/>
      <c r="Y6093" s="146"/>
      <c r="Z6093" s="147"/>
      <c r="AA6093" s="147"/>
      <c r="AB6093" s="110"/>
      <c r="AC6093" s="132"/>
      <c r="AD6093" s="148"/>
      <c r="AE6093" s="148"/>
    </row>
    <row r="6094" customFormat="false" ht="15" hidden="false" customHeight="true" outlineLevel="0" collapsed="false">
      <c r="A6094" s="141"/>
      <c r="B6094" s="131"/>
      <c r="C6094" s="132"/>
      <c r="D6094" s="131"/>
      <c r="E6094" s="110"/>
      <c r="F6094" s="110"/>
      <c r="G6094" s="110"/>
      <c r="H6094" s="131"/>
      <c r="I6094" s="131"/>
      <c r="J6094" s="142"/>
      <c r="K6094" s="142"/>
      <c r="L6094" s="140"/>
      <c r="M6094" s="131"/>
      <c r="N6094" s="131"/>
      <c r="O6094" s="131"/>
      <c r="P6094" s="143"/>
      <c r="Q6094" s="66"/>
      <c r="R6094" s="131"/>
      <c r="S6094" s="144"/>
      <c r="T6094" s="131"/>
      <c r="U6094" s="131"/>
      <c r="V6094" s="131"/>
      <c r="W6094" s="131"/>
      <c r="X6094" s="145"/>
      <c r="Y6094" s="146"/>
      <c r="Z6094" s="147"/>
      <c r="AA6094" s="147"/>
      <c r="AB6094" s="110"/>
      <c r="AC6094" s="132"/>
      <c r="AD6094" s="148"/>
      <c r="AE6094" s="148"/>
    </row>
    <row r="6095" customFormat="false" ht="15" hidden="false" customHeight="true" outlineLevel="0" collapsed="false">
      <c r="A6095" s="141"/>
      <c r="B6095" s="131"/>
      <c r="C6095" s="132"/>
      <c r="D6095" s="131"/>
      <c r="E6095" s="110"/>
      <c r="F6095" s="110"/>
      <c r="G6095" s="110"/>
      <c r="H6095" s="131"/>
      <c r="I6095" s="131"/>
      <c r="J6095" s="142"/>
      <c r="K6095" s="142"/>
      <c r="L6095" s="140"/>
      <c r="M6095" s="131"/>
      <c r="N6095" s="131"/>
      <c r="O6095" s="131"/>
      <c r="P6095" s="143"/>
      <c r="Q6095" s="66"/>
      <c r="R6095" s="131"/>
      <c r="S6095" s="144"/>
      <c r="T6095" s="131"/>
      <c r="U6095" s="131"/>
      <c r="V6095" s="131"/>
      <c r="W6095" s="131"/>
      <c r="X6095" s="145"/>
      <c r="Y6095" s="146"/>
      <c r="Z6095" s="147"/>
      <c r="AA6095" s="147"/>
      <c r="AB6095" s="110"/>
      <c r="AC6095" s="132"/>
      <c r="AD6095" s="148"/>
      <c r="AE6095" s="148"/>
    </row>
    <row r="6096" customFormat="false" ht="15" hidden="false" customHeight="true" outlineLevel="0" collapsed="false">
      <c r="A6096" s="141"/>
      <c r="B6096" s="131"/>
      <c r="C6096" s="132"/>
      <c r="D6096" s="131"/>
      <c r="E6096" s="110"/>
      <c r="F6096" s="110"/>
      <c r="G6096" s="110"/>
      <c r="H6096" s="131"/>
      <c r="I6096" s="131"/>
      <c r="J6096" s="142"/>
      <c r="K6096" s="142"/>
      <c r="L6096" s="140"/>
      <c r="M6096" s="131"/>
      <c r="N6096" s="131"/>
      <c r="O6096" s="131"/>
      <c r="P6096" s="143"/>
      <c r="Q6096" s="66"/>
      <c r="R6096" s="131"/>
      <c r="S6096" s="144"/>
      <c r="T6096" s="131"/>
      <c r="U6096" s="131"/>
      <c r="V6096" s="131"/>
      <c r="W6096" s="131"/>
      <c r="X6096" s="145"/>
      <c r="Y6096" s="146"/>
      <c r="Z6096" s="147"/>
      <c r="AA6096" s="147"/>
      <c r="AB6096" s="110"/>
      <c r="AC6096" s="132"/>
      <c r="AD6096" s="148"/>
      <c r="AE6096" s="148"/>
    </row>
    <row r="6097" customFormat="false" ht="15" hidden="false" customHeight="true" outlineLevel="0" collapsed="false">
      <c r="A6097" s="141"/>
      <c r="B6097" s="131"/>
      <c r="C6097" s="132"/>
      <c r="D6097" s="131"/>
      <c r="E6097" s="110"/>
      <c r="F6097" s="110"/>
      <c r="G6097" s="110"/>
      <c r="H6097" s="131"/>
      <c r="I6097" s="131"/>
      <c r="J6097" s="142"/>
      <c r="K6097" s="142"/>
      <c r="L6097" s="140"/>
      <c r="M6097" s="131"/>
      <c r="N6097" s="131"/>
      <c r="O6097" s="131"/>
      <c r="P6097" s="143"/>
      <c r="Q6097" s="66"/>
      <c r="R6097" s="131"/>
      <c r="S6097" s="144"/>
      <c r="T6097" s="131"/>
      <c r="U6097" s="131"/>
      <c r="V6097" s="131"/>
      <c r="W6097" s="131"/>
      <c r="X6097" s="145"/>
      <c r="Y6097" s="146"/>
      <c r="Z6097" s="147"/>
      <c r="AA6097" s="147"/>
      <c r="AB6097" s="110"/>
      <c r="AC6097" s="132"/>
      <c r="AD6097" s="148"/>
      <c r="AE6097" s="148"/>
    </row>
    <row r="6098" customFormat="false" ht="15" hidden="false" customHeight="true" outlineLevel="0" collapsed="false">
      <c r="A6098" s="141"/>
      <c r="B6098" s="131"/>
      <c r="C6098" s="132"/>
      <c r="D6098" s="131"/>
      <c r="E6098" s="110"/>
      <c r="F6098" s="110"/>
      <c r="G6098" s="110"/>
      <c r="H6098" s="131"/>
      <c r="I6098" s="131"/>
      <c r="J6098" s="142"/>
      <c r="K6098" s="142"/>
      <c r="L6098" s="140"/>
      <c r="M6098" s="131"/>
      <c r="N6098" s="131"/>
      <c r="O6098" s="131"/>
      <c r="P6098" s="143"/>
      <c r="Q6098" s="66"/>
      <c r="R6098" s="131"/>
      <c r="S6098" s="144"/>
      <c r="T6098" s="131"/>
      <c r="U6098" s="131"/>
      <c r="V6098" s="131"/>
      <c r="W6098" s="131"/>
      <c r="X6098" s="145"/>
      <c r="Y6098" s="146"/>
      <c r="Z6098" s="147"/>
      <c r="AA6098" s="147"/>
      <c r="AB6098" s="110"/>
      <c r="AC6098" s="132"/>
      <c r="AD6098" s="148"/>
      <c r="AE6098" s="148"/>
    </row>
    <row r="6099" customFormat="false" ht="15" hidden="false" customHeight="true" outlineLevel="0" collapsed="false">
      <c r="A6099" s="141"/>
      <c r="B6099" s="131"/>
      <c r="C6099" s="132"/>
      <c r="D6099" s="131"/>
      <c r="E6099" s="110"/>
      <c r="F6099" s="110"/>
      <c r="G6099" s="110"/>
      <c r="H6099" s="131"/>
      <c r="I6099" s="131"/>
      <c r="J6099" s="142"/>
      <c r="K6099" s="142"/>
      <c r="L6099" s="140"/>
      <c r="M6099" s="131"/>
      <c r="N6099" s="131"/>
      <c r="O6099" s="131"/>
      <c r="P6099" s="143"/>
      <c r="Q6099" s="66"/>
      <c r="R6099" s="131"/>
      <c r="S6099" s="144"/>
      <c r="T6099" s="131"/>
      <c r="U6099" s="131"/>
      <c r="V6099" s="131"/>
      <c r="W6099" s="131"/>
      <c r="X6099" s="145"/>
      <c r="Y6099" s="146"/>
      <c r="Z6099" s="147"/>
      <c r="AA6099" s="147"/>
      <c r="AB6099" s="110"/>
      <c r="AC6099" s="132"/>
      <c r="AD6099" s="148"/>
      <c r="AE6099" s="148"/>
    </row>
    <row r="6100" customFormat="false" ht="15" hidden="false" customHeight="true" outlineLevel="0" collapsed="false">
      <c r="A6100" s="141"/>
      <c r="B6100" s="131"/>
      <c r="C6100" s="132"/>
      <c r="D6100" s="131"/>
      <c r="E6100" s="110"/>
      <c r="F6100" s="110"/>
      <c r="G6100" s="110"/>
      <c r="H6100" s="131"/>
      <c r="I6100" s="131"/>
      <c r="J6100" s="142"/>
      <c r="K6100" s="142"/>
      <c r="L6100" s="140"/>
      <c r="M6100" s="131"/>
      <c r="N6100" s="131"/>
      <c r="O6100" s="131"/>
      <c r="P6100" s="143"/>
      <c r="Q6100" s="66"/>
      <c r="R6100" s="131"/>
      <c r="S6100" s="144"/>
      <c r="T6100" s="131"/>
      <c r="U6100" s="131"/>
      <c r="V6100" s="131"/>
      <c r="W6100" s="131"/>
      <c r="X6100" s="145"/>
      <c r="Y6100" s="146"/>
      <c r="Z6100" s="147"/>
      <c r="AA6100" s="147"/>
      <c r="AB6100" s="110"/>
      <c r="AC6100" s="132"/>
      <c r="AD6100" s="148"/>
      <c r="AE6100" s="148"/>
    </row>
    <row r="6101" customFormat="false" ht="15" hidden="false" customHeight="true" outlineLevel="0" collapsed="false">
      <c r="A6101" s="141"/>
      <c r="B6101" s="131"/>
      <c r="C6101" s="132"/>
      <c r="D6101" s="131"/>
      <c r="E6101" s="110"/>
      <c r="F6101" s="110"/>
      <c r="G6101" s="110"/>
      <c r="H6101" s="131"/>
      <c r="I6101" s="131"/>
      <c r="J6101" s="142"/>
      <c r="K6101" s="142"/>
      <c r="L6101" s="140"/>
      <c r="M6101" s="131"/>
      <c r="N6101" s="131"/>
      <c r="O6101" s="131"/>
      <c r="P6101" s="143"/>
      <c r="Q6101" s="66"/>
      <c r="R6101" s="131"/>
      <c r="S6101" s="144"/>
      <c r="T6101" s="131"/>
      <c r="U6101" s="131"/>
      <c r="V6101" s="131"/>
      <c r="W6101" s="131"/>
      <c r="X6101" s="145"/>
      <c r="Y6101" s="146"/>
      <c r="Z6101" s="147"/>
      <c r="AA6101" s="147"/>
      <c r="AB6101" s="110"/>
      <c r="AC6101" s="132"/>
      <c r="AD6101" s="148"/>
      <c r="AE6101" s="148"/>
    </row>
    <row r="6102" customFormat="false" ht="15" hidden="false" customHeight="true" outlineLevel="0" collapsed="false">
      <c r="A6102" s="141"/>
      <c r="B6102" s="131"/>
      <c r="C6102" s="132"/>
      <c r="D6102" s="131"/>
      <c r="E6102" s="110"/>
      <c r="F6102" s="110"/>
      <c r="G6102" s="110"/>
      <c r="H6102" s="131"/>
      <c r="I6102" s="131"/>
      <c r="J6102" s="142"/>
      <c r="K6102" s="142"/>
      <c r="L6102" s="140"/>
      <c r="M6102" s="131"/>
      <c r="N6102" s="131"/>
      <c r="O6102" s="131"/>
      <c r="P6102" s="143"/>
      <c r="Q6102" s="66"/>
      <c r="R6102" s="131"/>
      <c r="S6102" s="144"/>
      <c r="T6102" s="131"/>
      <c r="U6102" s="131"/>
      <c r="V6102" s="131"/>
      <c r="W6102" s="131"/>
      <c r="X6102" s="145"/>
      <c r="Y6102" s="146"/>
      <c r="Z6102" s="147"/>
      <c r="AA6102" s="147"/>
      <c r="AB6102" s="110"/>
      <c r="AC6102" s="132"/>
      <c r="AD6102" s="148"/>
      <c r="AE6102" s="148"/>
    </row>
    <row r="6103" customFormat="false" ht="15" hidden="false" customHeight="true" outlineLevel="0" collapsed="false">
      <c r="A6103" s="141"/>
      <c r="B6103" s="131"/>
      <c r="C6103" s="132"/>
      <c r="D6103" s="131"/>
      <c r="E6103" s="110"/>
      <c r="F6103" s="110"/>
      <c r="G6103" s="110"/>
      <c r="H6103" s="131"/>
      <c r="I6103" s="131"/>
      <c r="J6103" s="142"/>
      <c r="K6103" s="142"/>
      <c r="L6103" s="140"/>
      <c r="M6103" s="131"/>
      <c r="N6103" s="131"/>
      <c r="O6103" s="131"/>
      <c r="P6103" s="143"/>
      <c r="Q6103" s="66"/>
      <c r="R6103" s="131"/>
      <c r="S6103" s="144"/>
      <c r="T6103" s="131"/>
      <c r="U6103" s="131"/>
      <c r="V6103" s="131"/>
      <c r="W6103" s="131"/>
      <c r="X6103" s="145"/>
      <c r="Y6103" s="146"/>
      <c r="Z6103" s="147"/>
      <c r="AA6103" s="147"/>
      <c r="AB6103" s="110"/>
      <c r="AC6103" s="132"/>
      <c r="AD6103" s="148"/>
      <c r="AE6103" s="148"/>
    </row>
    <row r="6104" customFormat="false" ht="15" hidden="false" customHeight="true" outlineLevel="0" collapsed="false">
      <c r="A6104" s="141"/>
      <c r="B6104" s="131"/>
      <c r="C6104" s="132"/>
      <c r="D6104" s="131"/>
      <c r="E6104" s="110"/>
      <c r="F6104" s="110"/>
      <c r="G6104" s="110"/>
      <c r="H6104" s="131"/>
      <c r="I6104" s="131"/>
      <c r="J6104" s="142"/>
      <c r="K6104" s="142"/>
      <c r="L6104" s="140"/>
      <c r="M6104" s="131"/>
      <c r="N6104" s="131"/>
      <c r="O6104" s="131"/>
      <c r="P6104" s="143"/>
      <c r="Q6104" s="66"/>
      <c r="R6104" s="131"/>
      <c r="S6104" s="144"/>
      <c r="T6104" s="131"/>
      <c r="U6104" s="131"/>
      <c r="V6104" s="131"/>
      <c r="W6104" s="131"/>
      <c r="X6104" s="145"/>
      <c r="Y6104" s="146"/>
      <c r="Z6104" s="147"/>
      <c r="AA6104" s="147"/>
      <c r="AB6104" s="110"/>
      <c r="AC6104" s="132"/>
      <c r="AD6104" s="148"/>
      <c r="AE6104" s="148"/>
    </row>
    <row r="6105" customFormat="false" ht="15" hidden="false" customHeight="true" outlineLevel="0" collapsed="false">
      <c r="A6105" s="141"/>
      <c r="B6105" s="131"/>
      <c r="C6105" s="132"/>
      <c r="D6105" s="131"/>
      <c r="E6105" s="110"/>
      <c r="F6105" s="110"/>
      <c r="G6105" s="110"/>
      <c r="H6105" s="131"/>
      <c r="I6105" s="131"/>
      <c r="J6105" s="142"/>
      <c r="K6105" s="142"/>
      <c r="L6105" s="140"/>
      <c r="M6105" s="131"/>
      <c r="N6105" s="131"/>
      <c r="O6105" s="131"/>
      <c r="P6105" s="143"/>
      <c r="Q6105" s="66"/>
      <c r="R6105" s="131"/>
      <c r="S6105" s="144"/>
      <c r="T6105" s="131"/>
      <c r="U6105" s="131"/>
      <c r="V6105" s="131"/>
      <c r="W6105" s="131"/>
      <c r="X6105" s="145"/>
      <c r="Y6105" s="146"/>
      <c r="Z6105" s="147"/>
      <c r="AA6105" s="147"/>
      <c r="AB6105" s="110"/>
      <c r="AC6105" s="132"/>
      <c r="AD6105" s="148"/>
      <c r="AE6105" s="148"/>
    </row>
    <row r="6106" customFormat="false" ht="15" hidden="false" customHeight="true" outlineLevel="0" collapsed="false">
      <c r="A6106" s="141"/>
      <c r="B6106" s="131"/>
      <c r="C6106" s="132"/>
      <c r="D6106" s="131"/>
      <c r="E6106" s="110"/>
      <c r="F6106" s="110"/>
      <c r="G6106" s="110"/>
      <c r="H6106" s="131"/>
      <c r="I6106" s="131"/>
      <c r="J6106" s="142"/>
      <c r="K6106" s="142"/>
      <c r="L6106" s="140"/>
      <c r="M6106" s="131"/>
      <c r="N6106" s="131"/>
      <c r="O6106" s="131"/>
      <c r="P6106" s="143"/>
      <c r="Q6106" s="66"/>
      <c r="R6106" s="131"/>
      <c r="S6106" s="144"/>
      <c r="T6106" s="131"/>
      <c r="U6106" s="131"/>
      <c r="V6106" s="131"/>
      <c r="W6106" s="131"/>
      <c r="X6106" s="145"/>
      <c r="Y6106" s="146"/>
      <c r="Z6106" s="147"/>
      <c r="AA6106" s="147"/>
      <c r="AB6106" s="110"/>
      <c r="AC6106" s="132"/>
      <c r="AD6106" s="148"/>
      <c r="AE6106" s="148"/>
    </row>
    <row r="6107" customFormat="false" ht="15" hidden="false" customHeight="true" outlineLevel="0" collapsed="false">
      <c r="A6107" s="141"/>
      <c r="B6107" s="131"/>
      <c r="C6107" s="132"/>
      <c r="D6107" s="131"/>
      <c r="E6107" s="110"/>
      <c r="F6107" s="110"/>
      <c r="G6107" s="110"/>
      <c r="H6107" s="131"/>
      <c r="I6107" s="131"/>
      <c r="J6107" s="142"/>
      <c r="K6107" s="142"/>
      <c r="L6107" s="140"/>
      <c r="M6107" s="131"/>
      <c r="N6107" s="131"/>
      <c r="O6107" s="131"/>
      <c r="P6107" s="143"/>
      <c r="Q6107" s="66"/>
      <c r="R6107" s="131"/>
      <c r="S6107" s="144"/>
      <c r="T6107" s="131"/>
      <c r="U6107" s="131"/>
      <c r="V6107" s="131"/>
      <c r="W6107" s="131"/>
      <c r="X6107" s="145"/>
      <c r="Y6107" s="146"/>
      <c r="Z6107" s="147"/>
      <c r="AA6107" s="147"/>
      <c r="AB6107" s="110"/>
      <c r="AC6107" s="132"/>
      <c r="AD6107" s="148"/>
      <c r="AE6107" s="148"/>
    </row>
    <row r="6108" customFormat="false" ht="15" hidden="false" customHeight="true" outlineLevel="0" collapsed="false">
      <c r="A6108" s="141"/>
      <c r="B6108" s="131"/>
      <c r="C6108" s="132"/>
      <c r="D6108" s="131"/>
      <c r="E6108" s="110"/>
      <c r="F6108" s="110"/>
      <c r="G6108" s="110"/>
      <c r="H6108" s="131"/>
      <c r="I6108" s="131"/>
      <c r="J6108" s="142"/>
      <c r="K6108" s="142"/>
      <c r="L6108" s="140"/>
      <c r="M6108" s="131"/>
      <c r="N6108" s="131"/>
      <c r="O6108" s="131"/>
      <c r="P6108" s="143"/>
      <c r="Q6108" s="66"/>
      <c r="R6108" s="131"/>
      <c r="S6108" s="144"/>
      <c r="T6108" s="131"/>
      <c r="U6108" s="131"/>
      <c r="V6108" s="131"/>
      <c r="W6108" s="131"/>
      <c r="X6108" s="145"/>
      <c r="Y6108" s="146"/>
      <c r="Z6108" s="147"/>
      <c r="AA6108" s="147"/>
      <c r="AB6108" s="110"/>
      <c r="AC6108" s="132"/>
      <c r="AD6108" s="148"/>
      <c r="AE6108" s="148"/>
    </row>
    <row r="6109" customFormat="false" ht="15" hidden="false" customHeight="true" outlineLevel="0" collapsed="false">
      <c r="A6109" s="141"/>
      <c r="B6109" s="131"/>
      <c r="C6109" s="132"/>
      <c r="D6109" s="131"/>
      <c r="E6109" s="110"/>
      <c r="F6109" s="110"/>
      <c r="G6109" s="110"/>
      <c r="H6109" s="131"/>
      <c r="I6109" s="131"/>
      <c r="J6109" s="142"/>
      <c r="K6109" s="142"/>
      <c r="L6109" s="140"/>
      <c r="M6109" s="131"/>
      <c r="N6109" s="131"/>
      <c r="O6109" s="131"/>
      <c r="P6109" s="143"/>
      <c r="Q6109" s="66"/>
      <c r="R6109" s="131"/>
      <c r="S6109" s="144"/>
      <c r="T6109" s="131"/>
      <c r="U6109" s="131"/>
      <c r="V6109" s="131"/>
      <c r="W6109" s="131"/>
      <c r="X6109" s="145"/>
      <c r="Y6109" s="146"/>
      <c r="Z6109" s="147"/>
      <c r="AA6109" s="147"/>
      <c r="AB6109" s="110"/>
      <c r="AC6109" s="132"/>
      <c r="AD6109" s="148"/>
      <c r="AE6109" s="148"/>
    </row>
    <row r="6110" customFormat="false" ht="15" hidden="false" customHeight="true" outlineLevel="0" collapsed="false">
      <c r="A6110" s="141"/>
      <c r="B6110" s="131"/>
      <c r="C6110" s="132"/>
      <c r="D6110" s="131"/>
      <c r="E6110" s="110"/>
      <c r="F6110" s="110"/>
      <c r="G6110" s="110"/>
      <c r="H6110" s="131"/>
      <c r="I6110" s="131"/>
      <c r="J6110" s="142"/>
      <c r="K6110" s="142"/>
      <c r="L6110" s="140"/>
      <c r="M6110" s="131"/>
      <c r="N6110" s="131"/>
      <c r="O6110" s="131"/>
      <c r="P6110" s="143"/>
      <c r="Q6110" s="66"/>
      <c r="R6110" s="131"/>
      <c r="S6110" s="144"/>
      <c r="T6110" s="131"/>
      <c r="U6110" s="131"/>
      <c r="V6110" s="131"/>
      <c r="W6110" s="131"/>
      <c r="X6110" s="145"/>
      <c r="Y6110" s="146"/>
      <c r="Z6110" s="147"/>
      <c r="AA6110" s="147"/>
      <c r="AB6110" s="110"/>
      <c r="AC6110" s="132"/>
      <c r="AD6110" s="148"/>
      <c r="AE6110" s="148"/>
    </row>
    <row r="6111" customFormat="false" ht="15" hidden="false" customHeight="true" outlineLevel="0" collapsed="false">
      <c r="A6111" s="141"/>
      <c r="B6111" s="131"/>
      <c r="C6111" s="132"/>
      <c r="D6111" s="131"/>
      <c r="E6111" s="110"/>
      <c r="F6111" s="110"/>
      <c r="G6111" s="110"/>
      <c r="H6111" s="131"/>
      <c r="I6111" s="131"/>
      <c r="J6111" s="142"/>
      <c r="K6111" s="142"/>
      <c r="L6111" s="140"/>
      <c r="M6111" s="131"/>
      <c r="N6111" s="131"/>
      <c r="O6111" s="131"/>
      <c r="P6111" s="143"/>
      <c r="Q6111" s="66"/>
      <c r="R6111" s="131"/>
      <c r="S6111" s="144"/>
      <c r="T6111" s="131"/>
      <c r="U6111" s="131"/>
      <c r="V6111" s="131"/>
      <c r="W6111" s="131"/>
      <c r="X6111" s="145"/>
      <c r="Y6111" s="146"/>
      <c r="Z6111" s="147"/>
      <c r="AA6111" s="147"/>
      <c r="AB6111" s="110"/>
      <c r="AC6111" s="132"/>
      <c r="AD6111" s="148"/>
      <c r="AE6111" s="148"/>
    </row>
    <row r="6112" customFormat="false" ht="15" hidden="false" customHeight="true" outlineLevel="0" collapsed="false">
      <c r="A6112" s="141"/>
      <c r="B6112" s="131"/>
      <c r="C6112" s="132"/>
      <c r="D6112" s="131"/>
      <c r="E6112" s="110"/>
      <c r="F6112" s="110"/>
      <c r="G6112" s="110"/>
      <c r="H6112" s="131"/>
      <c r="I6112" s="131"/>
      <c r="J6112" s="142"/>
      <c r="K6112" s="142"/>
      <c r="L6112" s="140"/>
      <c r="M6112" s="131"/>
      <c r="N6112" s="131"/>
      <c r="O6112" s="131"/>
      <c r="P6112" s="143"/>
      <c r="Q6112" s="66"/>
      <c r="R6112" s="131"/>
      <c r="S6112" s="144"/>
      <c r="T6112" s="131"/>
      <c r="U6112" s="131"/>
      <c r="V6112" s="131"/>
      <c r="W6112" s="131"/>
      <c r="X6112" s="145"/>
      <c r="Y6112" s="146"/>
      <c r="Z6112" s="147"/>
      <c r="AA6112" s="147"/>
      <c r="AB6112" s="110"/>
      <c r="AC6112" s="132"/>
      <c r="AD6112" s="148"/>
      <c r="AE6112" s="148"/>
    </row>
    <row r="6113" customFormat="false" ht="15" hidden="false" customHeight="true" outlineLevel="0" collapsed="false">
      <c r="A6113" s="141"/>
      <c r="B6113" s="131"/>
      <c r="C6113" s="132"/>
      <c r="D6113" s="131"/>
      <c r="E6113" s="110"/>
      <c r="F6113" s="110"/>
      <c r="G6113" s="110"/>
      <c r="H6113" s="131"/>
      <c r="I6113" s="131"/>
      <c r="J6113" s="142"/>
      <c r="K6113" s="142"/>
      <c r="L6113" s="140"/>
      <c r="M6113" s="131"/>
      <c r="N6113" s="131"/>
      <c r="O6113" s="131"/>
      <c r="P6113" s="143"/>
      <c r="Q6113" s="66"/>
      <c r="R6113" s="131"/>
      <c r="S6113" s="144"/>
      <c r="T6113" s="131"/>
      <c r="U6113" s="131"/>
      <c r="V6113" s="131"/>
      <c r="W6113" s="131"/>
      <c r="X6113" s="145"/>
      <c r="Y6113" s="146"/>
      <c r="Z6113" s="147"/>
      <c r="AA6113" s="147"/>
      <c r="AB6113" s="110"/>
      <c r="AC6113" s="132"/>
      <c r="AD6113" s="148"/>
      <c r="AE6113" s="148"/>
    </row>
    <row r="6114" customFormat="false" ht="15" hidden="false" customHeight="true" outlineLevel="0" collapsed="false">
      <c r="A6114" s="141"/>
      <c r="B6114" s="131"/>
      <c r="C6114" s="132"/>
      <c r="D6114" s="131"/>
      <c r="E6114" s="110"/>
      <c r="F6114" s="110"/>
      <c r="G6114" s="110"/>
      <c r="H6114" s="131"/>
      <c r="I6114" s="131"/>
      <c r="J6114" s="142"/>
      <c r="K6114" s="142"/>
      <c r="L6114" s="140"/>
      <c r="M6114" s="131"/>
      <c r="N6114" s="131"/>
      <c r="O6114" s="131"/>
      <c r="P6114" s="143"/>
      <c r="Q6114" s="66"/>
      <c r="R6114" s="131"/>
      <c r="S6114" s="144"/>
      <c r="T6114" s="131"/>
      <c r="U6114" s="131"/>
      <c r="V6114" s="131"/>
      <c r="W6114" s="131"/>
      <c r="X6114" s="145"/>
      <c r="Y6114" s="146"/>
      <c r="Z6114" s="147"/>
      <c r="AA6114" s="147"/>
      <c r="AB6114" s="110"/>
      <c r="AC6114" s="132"/>
      <c r="AD6114" s="148"/>
      <c r="AE6114" s="148"/>
    </row>
    <row r="6115" customFormat="false" ht="15" hidden="false" customHeight="true" outlineLevel="0" collapsed="false">
      <c r="A6115" s="141"/>
      <c r="B6115" s="131"/>
      <c r="C6115" s="132"/>
      <c r="D6115" s="131"/>
      <c r="E6115" s="110"/>
      <c r="F6115" s="110"/>
      <c r="G6115" s="110"/>
      <c r="H6115" s="131"/>
      <c r="I6115" s="131"/>
      <c r="J6115" s="142"/>
      <c r="K6115" s="142"/>
      <c r="L6115" s="140"/>
      <c r="M6115" s="131"/>
      <c r="N6115" s="131"/>
      <c r="O6115" s="131"/>
      <c r="P6115" s="143"/>
      <c r="Q6115" s="66"/>
      <c r="R6115" s="131"/>
      <c r="S6115" s="144"/>
      <c r="T6115" s="131"/>
      <c r="U6115" s="131"/>
      <c r="V6115" s="131"/>
      <c r="W6115" s="131"/>
      <c r="X6115" s="145"/>
      <c r="Y6115" s="146"/>
      <c r="Z6115" s="147"/>
      <c r="AA6115" s="147"/>
      <c r="AB6115" s="110"/>
      <c r="AC6115" s="132"/>
      <c r="AD6115" s="148"/>
      <c r="AE6115" s="148"/>
    </row>
    <row r="6116" customFormat="false" ht="15" hidden="false" customHeight="true" outlineLevel="0" collapsed="false">
      <c r="A6116" s="141"/>
      <c r="B6116" s="131"/>
      <c r="C6116" s="132"/>
      <c r="D6116" s="131"/>
      <c r="E6116" s="110"/>
      <c r="F6116" s="110"/>
      <c r="G6116" s="110"/>
      <c r="H6116" s="131"/>
      <c r="I6116" s="131"/>
      <c r="J6116" s="142"/>
      <c r="K6116" s="142"/>
      <c r="L6116" s="140"/>
      <c r="M6116" s="131"/>
      <c r="N6116" s="131"/>
      <c r="O6116" s="131"/>
      <c r="P6116" s="143"/>
      <c r="Q6116" s="66"/>
      <c r="R6116" s="131"/>
      <c r="S6116" s="144"/>
      <c r="T6116" s="131"/>
      <c r="U6116" s="131"/>
      <c r="V6116" s="131"/>
      <c r="W6116" s="131"/>
      <c r="X6116" s="145"/>
      <c r="Y6116" s="146"/>
      <c r="Z6116" s="147"/>
      <c r="AA6116" s="147"/>
      <c r="AB6116" s="110"/>
      <c r="AC6116" s="132"/>
      <c r="AD6116" s="148"/>
      <c r="AE6116" s="148"/>
    </row>
    <row r="6117" customFormat="false" ht="15" hidden="false" customHeight="true" outlineLevel="0" collapsed="false">
      <c r="A6117" s="141"/>
      <c r="B6117" s="131"/>
      <c r="C6117" s="132"/>
      <c r="D6117" s="131"/>
      <c r="E6117" s="110"/>
      <c r="F6117" s="110"/>
      <c r="G6117" s="110"/>
      <c r="H6117" s="131"/>
      <c r="I6117" s="131"/>
      <c r="J6117" s="142"/>
      <c r="K6117" s="142"/>
      <c r="L6117" s="140"/>
      <c r="M6117" s="131"/>
      <c r="N6117" s="131"/>
      <c r="O6117" s="131"/>
      <c r="P6117" s="143"/>
      <c r="Q6117" s="66"/>
      <c r="R6117" s="131"/>
      <c r="S6117" s="144"/>
      <c r="T6117" s="131"/>
      <c r="U6117" s="131"/>
      <c r="V6117" s="131"/>
      <c r="W6117" s="131"/>
      <c r="X6117" s="145"/>
      <c r="Y6117" s="146"/>
      <c r="Z6117" s="147"/>
      <c r="AA6117" s="147"/>
      <c r="AB6117" s="110"/>
      <c r="AC6117" s="132"/>
      <c r="AD6117" s="148"/>
      <c r="AE6117" s="148"/>
    </row>
    <row r="6118" customFormat="false" ht="15" hidden="false" customHeight="true" outlineLevel="0" collapsed="false">
      <c r="A6118" s="141"/>
      <c r="B6118" s="131"/>
      <c r="C6118" s="132"/>
      <c r="D6118" s="131"/>
      <c r="E6118" s="110"/>
      <c r="F6118" s="110"/>
      <c r="G6118" s="110"/>
      <c r="H6118" s="131"/>
      <c r="I6118" s="131"/>
      <c r="J6118" s="142"/>
      <c r="K6118" s="142"/>
      <c r="L6118" s="140"/>
      <c r="M6118" s="131"/>
      <c r="N6118" s="131"/>
      <c r="O6118" s="131"/>
      <c r="P6118" s="143"/>
      <c r="Q6118" s="66"/>
      <c r="R6118" s="131"/>
      <c r="S6118" s="144"/>
      <c r="T6118" s="131"/>
      <c r="U6118" s="131"/>
      <c r="V6118" s="131"/>
      <c r="W6118" s="131"/>
      <c r="X6118" s="145"/>
      <c r="Y6118" s="146"/>
      <c r="Z6118" s="147"/>
      <c r="AA6118" s="147"/>
      <c r="AB6118" s="110"/>
      <c r="AC6118" s="132"/>
      <c r="AD6118" s="148"/>
      <c r="AE6118" s="148"/>
    </row>
    <row r="6119" customFormat="false" ht="15" hidden="false" customHeight="true" outlineLevel="0" collapsed="false">
      <c r="A6119" s="141"/>
      <c r="B6119" s="131"/>
      <c r="C6119" s="132"/>
      <c r="D6119" s="131"/>
      <c r="E6119" s="110"/>
      <c r="F6119" s="110"/>
      <c r="G6119" s="110"/>
      <c r="H6119" s="131"/>
      <c r="I6119" s="131"/>
      <c r="J6119" s="142"/>
      <c r="K6119" s="142"/>
      <c r="L6119" s="140"/>
      <c r="M6119" s="131"/>
      <c r="N6119" s="131"/>
      <c r="O6119" s="131"/>
      <c r="P6119" s="143"/>
      <c r="Q6119" s="66"/>
      <c r="R6119" s="131"/>
      <c r="S6119" s="144"/>
      <c r="T6119" s="131"/>
      <c r="U6119" s="131"/>
      <c r="V6119" s="131"/>
      <c r="W6119" s="131"/>
      <c r="X6119" s="145"/>
      <c r="Y6119" s="146"/>
      <c r="Z6119" s="147"/>
      <c r="AA6119" s="147"/>
      <c r="AB6119" s="110"/>
      <c r="AC6119" s="132"/>
      <c r="AD6119" s="148"/>
      <c r="AE6119" s="148"/>
    </row>
    <row r="6120" customFormat="false" ht="15" hidden="false" customHeight="true" outlineLevel="0" collapsed="false">
      <c r="A6120" s="141"/>
      <c r="B6120" s="131"/>
      <c r="C6120" s="132"/>
      <c r="D6120" s="131"/>
      <c r="E6120" s="110"/>
      <c r="F6120" s="110"/>
      <c r="G6120" s="110"/>
      <c r="H6120" s="131"/>
      <c r="I6120" s="131"/>
      <c r="J6120" s="142"/>
      <c r="K6120" s="142"/>
      <c r="L6120" s="140"/>
      <c r="M6120" s="131"/>
      <c r="N6120" s="131"/>
      <c r="O6120" s="131"/>
      <c r="P6120" s="143"/>
      <c r="Q6120" s="66"/>
      <c r="R6120" s="131"/>
      <c r="S6120" s="144"/>
      <c r="T6120" s="131"/>
      <c r="U6120" s="131"/>
      <c r="V6120" s="131"/>
      <c r="W6120" s="131"/>
      <c r="X6120" s="145"/>
      <c r="Y6120" s="146"/>
      <c r="Z6120" s="147"/>
      <c r="AA6120" s="147"/>
      <c r="AB6120" s="110"/>
      <c r="AC6120" s="132"/>
      <c r="AD6120" s="148"/>
      <c r="AE6120" s="148"/>
    </row>
    <row r="6121" customFormat="false" ht="15" hidden="false" customHeight="true" outlineLevel="0" collapsed="false">
      <c r="A6121" s="141"/>
      <c r="B6121" s="131"/>
      <c r="C6121" s="132"/>
      <c r="D6121" s="131"/>
      <c r="E6121" s="110"/>
      <c r="F6121" s="110"/>
      <c r="G6121" s="110"/>
      <c r="H6121" s="131"/>
      <c r="I6121" s="131"/>
      <c r="J6121" s="142"/>
      <c r="K6121" s="142"/>
      <c r="L6121" s="140"/>
      <c r="M6121" s="131"/>
      <c r="N6121" s="131"/>
      <c r="O6121" s="131"/>
      <c r="P6121" s="143"/>
      <c r="Q6121" s="66"/>
      <c r="R6121" s="131"/>
      <c r="S6121" s="144"/>
      <c r="T6121" s="131"/>
      <c r="U6121" s="131"/>
      <c r="V6121" s="131"/>
      <c r="W6121" s="131"/>
      <c r="X6121" s="145"/>
      <c r="Y6121" s="146"/>
      <c r="Z6121" s="147"/>
      <c r="AA6121" s="147"/>
      <c r="AB6121" s="110"/>
      <c r="AC6121" s="132"/>
      <c r="AD6121" s="148"/>
      <c r="AE6121" s="148"/>
    </row>
    <row r="6122" customFormat="false" ht="15" hidden="false" customHeight="true" outlineLevel="0" collapsed="false">
      <c r="A6122" s="141"/>
      <c r="B6122" s="131"/>
      <c r="C6122" s="132"/>
      <c r="D6122" s="131"/>
      <c r="E6122" s="110"/>
      <c r="F6122" s="110"/>
      <c r="G6122" s="110"/>
      <c r="H6122" s="131"/>
      <c r="I6122" s="131"/>
      <c r="J6122" s="142"/>
      <c r="K6122" s="142"/>
      <c r="L6122" s="140"/>
      <c r="M6122" s="131"/>
      <c r="N6122" s="131"/>
      <c r="O6122" s="131"/>
      <c r="P6122" s="143"/>
      <c r="Q6122" s="66"/>
      <c r="R6122" s="131"/>
      <c r="S6122" s="144"/>
      <c r="T6122" s="131"/>
      <c r="U6122" s="131"/>
      <c r="V6122" s="131"/>
      <c r="W6122" s="131"/>
      <c r="X6122" s="145"/>
      <c r="Y6122" s="146"/>
      <c r="Z6122" s="147"/>
      <c r="AA6122" s="147"/>
      <c r="AB6122" s="110"/>
      <c r="AC6122" s="132"/>
      <c r="AD6122" s="148"/>
      <c r="AE6122" s="148"/>
    </row>
    <row r="6123" customFormat="false" ht="15" hidden="false" customHeight="true" outlineLevel="0" collapsed="false">
      <c r="A6123" s="141"/>
      <c r="B6123" s="131"/>
      <c r="C6123" s="132"/>
      <c r="D6123" s="131"/>
      <c r="E6123" s="110"/>
      <c r="F6123" s="110"/>
      <c r="G6123" s="110"/>
      <c r="H6123" s="131"/>
      <c r="I6123" s="131"/>
      <c r="J6123" s="142"/>
      <c r="K6123" s="142"/>
      <c r="L6123" s="140"/>
      <c r="M6123" s="131"/>
      <c r="N6123" s="131"/>
      <c r="O6123" s="131"/>
      <c r="P6123" s="143"/>
      <c r="Q6123" s="66"/>
      <c r="R6123" s="131"/>
      <c r="S6123" s="144"/>
      <c r="T6123" s="131"/>
      <c r="U6123" s="131"/>
      <c r="V6123" s="131"/>
      <c r="W6123" s="131"/>
      <c r="X6123" s="145"/>
      <c r="Y6123" s="146"/>
      <c r="Z6123" s="147"/>
      <c r="AA6123" s="147"/>
      <c r="AB6123" s="110"/>
      <c r="AC6123" s="132"/>
      <c r="AD6123" s="148"/>
      <c r="AE6123" s="148"/>
    </row>
    <row r="6124" customFormat="false" ht="15" hidden="false" customHeight="true" outlineLevel="0" collapsed="false">
      <c r="A6124" s="141"/>
      <c r="B6124" s="131"/>
      <c r="C6124" s="132"/>
      <c r="D6124" s="131"/>
      <c r="E6124" s="110"/>
      <c r="F6124" s="110"/>
      <c r="G6124" s="110"/>
      <c r="H6124" s="131"/>
      <c r="I6124" s="131"/>
      <c r="J6124" s="142"/>
      <c r="K6124" s="142"/>
      <c r="L6124" s="140"/>
      <c r="M6124" s="131"/>
      <c r="N6124" s="131"/>
      <c r="O6124" s="131"/>
      <c r="P6124" s="143"/>
      <c r="Q6124" s="66"/>
      <c r="R6124" s="131"/>
      <c r="S6124" s="144"/>
      <c r="T6124" s="131"/>
      <c r="U6124" s="131"/>
      <c r="V6124" s="131"/>
      <c r="W6124" s="131"/>
      <c r="X6124" s="145"/>
      <c r="Y6124" s="146"/>
      <c r="Z6124" s="147"/>
      <c r="AA6124" s="147"/>
      <c r="AB6124" s="110"/>
      <c r="AC6124" s="132"/>
      <c r="AD6124" s="148"/>
      <c r="AE6124" s="148"/>
    </row>
    <row r="6125" customFormat="false" ht="15" hidden="false" customHeight="true" outlineLevel="0" collapsed="false">
      <c r="A6125" s="141"/>
      <c r="B6125" s="131"/>
      <c r="C6125" s="132"/>
      <c r="D6125" s="131"/>
      <c r="E6125" s="110"/>
      <c r="F6125" s="110"/>
      <c r="G6125" s="110"/>
      <c r="H6125" s="131"/>
      <c r="I6125" s="131"/>
      <c r="J6125" s="142"/>
      <c r="K6125" s="142"/>
      <c r="L6125" s="140"/>
      <c r="M6125" s="131"/>
      <c r="N6125" s="131"/>
      <c r="O6125" s="131"/>
      <c r="P6125" s="143"/>
      <c r="Q6125" s="66"/>
      <c r="R6125" s="131"/>
      <c r="S6125" s="144"/>
      <c r="T6125" s="131"/>
      <c r="U6125" s="131"/>
      <c r="V6125" s="131"/>
      <c r="W6125" s="131"/>
      <c r="X6125" s="145"/>
      <c r="Y6125" s="146"/>
      <c r="Z6125" s="147"/>
      <c r="AA6125" s="147"/>
      <c r="AB6125" s="110"/>
      <c r="AC6125" s="132"/>
      <c r="AD6125" s="148"/>
      <c r="AE6125" s="148"/>
    </row>
    <row r="6126" customFormat="false" ht="15" hidden="false" customHeight="true" outlineLevel="0" collapsed="false">
      <c r="A6126" s="141"/>
      <c r="B6126" s="131"/>
      <c r="C6126" s="132"/>
      <c r="D6126" s="131"/>
      <c r="E6126" s="110"/>
      <c r="F6126" s="110"/>
      <c r="G6126" s="110"/>
      <c r="H6126" s="131"/>
      <c r="I6126" s="131"/>
      <c r="J6126" s="142"/>
      <c r="K6126" s="142"/>
      <c r="L6126" s="140"/>
      <c r="M6126" s="131"/>
      <c r="N6126" s="131"/>
      <c r="O6126" s="131"/>
      <c r="P6126" s="143"/>
      <c r="Q6126" s="66"/>
      <c r="R6126" s="131"/>
      <c r="S6126" s="144"/>
      <c r="T6126" s="131"/>
      <c r="U6126" s="131"/>
      <c r="V6126" s="131"/>
      <c r="W6126" s="131"/>
      <c r="X6126" s="145"/>
      <c r="Y6126" s="146"/>
      <c r="Z6126" s="147"/>
      <c r="AA6126" s="147"/>
      <c r="AB6126" s="110"/>
      <c r="AC6126" s="132"/>
      <c r="AD6126" s="148"/>
      <c r="AE6126" s="148"/>
    </row>
    <row r="6127" customFormat="false" ht="15" hidden="false" customHeight="true" outlineLevel="0" collapsed="false">
      <c r="A6127" s="141"/>
      <c r="B6127" s="131"/>
      <c r="C6127" s="132"/>
      <c r="D6127" s="131"/>
      <c r="E6127" s="110"/>
      <c r="F6127" s="110"/>
      <c r="G6127" s="110"/>
      <c r="H6127" s="131"/>
      <c r="I6127" s="131"/>
      <c r="J6127" s="142"/>
      <c r="K6127" s="142"/>
      <c r="L6127" s="140"/>
      <c r="M6127" s="131"/>
      <c r="N6127" s="131"/>
      <c r="O6127" s="131"/>
      <c r="P6127" s="143"/>
      <c r="Q6127" s="66"/>
      <c r="R6127" s="131"/>
      <c r="S6127" s="144"/>
      <c r="T6127" s="131"/>
      <c r="U6127" s="131"/>
      <c r="V6127" s="131"/>
      <c r="W6127" s="131"/>
      <c r="X6127" s="145"/>
      <c r="Y6127" s="146"/>
      <c r="Z6127" s="147"/>
      <c r="AA6127" s="147"/>
      <c r="AB6127" s="110"/>
      <c r="AC6127" s="132"/>
      <c r="AD6127" s="148"/>
      <c r="AE6127" s="148"/>
    </row>
    <row r="6128" customFormat="false" ht="15" hidden="false" customHeight="true" outlineLevel="0" collapsed="false">
      <c r="A6128" s="141"/>
      <c r="B6128" s="131"/>
      <c r="C6128" s="132"/>
      <c r="D6128" s="131"/>
      <c r="E6128" s="110"/>
      <c r="F6128" s="110"/>
      <c r="G6128" s="110"/>
      <c r="H6128" s="131"/>
      <c r="I6128" s="131"/>
      <c r="J6128" s="142"/>
      <c r="K6128" s="142"/>
      <c r="L6128" s="140"/>
      <c r="M6128" s="131"/>
      <c r="N6128" s="131"/>
      <c r="O6128" s="131"/>
      <c r="P6128" s="143"/>
      <c r="Q6128" s="66"/>
      <c r="R6128" s="131"/>
      <c r="S6128" s="144"/>
      <c r="T6128" s="131"/>
      <c r="U6128" s="131"/>
      <c r="V6128" s="131"/>
      <c r="W6128" s="131"/>
      <c r="X6128" s="145"/>
      <c r="Y6128" s="146"/>
      <c r="Z6128" s="147"/>
      <c r="AA6128" s="147"/>
      <c r="AB6128" s="110"/>
      <c r="AC6128" s="132"/>
      <c r="AD6128" s="148"/>
      <c r="AE6128" s="148"/>
    </row>
    <row r="6129" customFormat="false" ht="15" hidden="false" customHeight="true" outlineLevel="0" collapsed="false">
      <c r="A6129" s="141"/>
      <c r="B6129" s="131"/>
      <c r="C6129" s="132"/>
      <c r="D6129" s="131"/>
      <c r="E6129" s="110"/>
      <c r="F6129" s="110"/>
      <c r="G6129" s="110"/>
      <c r="H6129" s="131"/>
      <c r="I6129" s="131"/>
      <c r="J6129" s="142"/>
      <c r="K6129" s="142"/>
      <c r="L6129" s="140"/>
      <c r="M6129" s="131"/>
      <c r="N6129" s="131"/>
      <c r="O6129" s="131"/>
      <c r="P6129" s="143"/>
      <c r="Q6129" s="66"/>
      <c r="R6129" s="131"/>
      <c r="S6129" s="144"/>
      <c r="T6129" s="131"/>
      <c r="U6129" s="131"/>
      <c r="V6129" s="131"/>
      <c r="W6129" s="131"/>
      <c r="X6129" s="145"/>
      <c r="Y6129" s="146"/>
      <c r="Z6129" s="147"/>
      <c r="AA6129" s="147"/>
      <c r="AB6129" s="110"/>
      <c r="AC6129" s="132"/>
      <c r="AD6129" s="148"/>
      <c r="AE6129" s="148"/>
    </row>
    <row r="6130" customFormat="false" ht="15" hidden="false" customHeight="true" outlineLevel="0" collapsed="false">
      <c r="A6130" s="141"/>
      <c r="B6130" s="131"/>
      <c r="C6130" s="132"/>
      <c r="D6130" s="131"/>
      <c r="E6130" s="110"/>
      <c r="F6130" s="110"/>
      <c r="G6130" s="110"/>
      <c r="H6130" s="131"/>
      <c r="I6130" s="131"/>
      <c r="J6130" s="142"/>
      <c r="K6130" s="142"/>
      <c r="L6130" s="140"/>
      <c r="M6130" s="131"/>
      <c r="N6130" s="131"/>
      <c r="O6130" s="131"/>
      <c r="P6130" s="143"/>
      <c r="Q6130" s="66"/>
      <c r="R6130" s="131"/>
      <c r="S6130" s="144"/>
      <c r="T6130" s="131"/>
      <c r="U6130" s="131"/>
      <c r="V6130" s="131"/>
      <c r="W6130" s="131"/>
      <c r="X6130" s="145"/>
      <c r="Y6130" s="146"/>
      <c r="Z6130" s="147"/>
      <c r="AA6130" s="147"/>
      <c r="AB6130" s="110"/>
      <c r="AC6130" s="132"/>
      <c r="AD6130" s="148"/>
      <c r="AE6130" s="148"/>
    </row>
    <row r="6131" customFormat="false" ht="15" hidden="false" customHeight="true" outlineLevel="0" collapsed="false">
      <c r="A6131" s="141"/>
      <c r="B6131" s="131"/>
      <c r="C6131" s="132"/>
      <c r="D6131" s="131"/>
      <c r="E6131" s="110"/>
      <c r="F6131" s="110"/>
      <c r="G6131" s="110"/>
      <c r="H6131" s="131"/>
      <c r="I6131" s="131"/>
      <c r="J6131" s="142"/>
      <c r="K6131" s="142"/>
      <c r="L6131" s="140"/>
      <c r="M6131" s="131"/>
      <c r="N6131" s="131"/>
      <c r="O6131" s="131"/>
      <c r="P6131" s="143"/>
      <c r="Q6131" s="66"/>
      <c r="R6131" s="131"/>
      <c r="S6131" s="144"/>
      <c r="T6131" s="131"/>
      <c r="U6131" s="131"/>
      <c r="V6131" s="131"/>
      <c r="W6131" s="131"/>
      <c r="X6131" s="145"/>
      <c r="Y6131" s="146"/>
      <c r="Z6131" s="147"/>
      <c r="AA6131" s="147"/>
      <c r="AB6131" s="110"/>
      <c r="AC6131" s="132"/>
      <c r="AD6131" s="148"/>
      <c r="AE6131" s="148"/>
    </row>
    <row r="6132" customFormat="false" ht="15" hidden="false" customHeight="true" outlineLevel="0" collapsed="false">
      <c r="A6132" s="141"/>
      <c r="B6132" s="131"/>
      <c r="C6132" s="132"/>
      <c r="D6132" s="131"/>
      <c r="E6132" s="110"/>
      <c r="F6132" s="110"/>
      <c r="G6132" s="110"/>
      <c r="H6132" s="131"/>
      <c r="I6132" s="131"/>
      <c r="J6132" s="142"/>
      <c r="K6132" s="142"/>
      <c r="L6132" s="140"/>
      <c r="M6132" s="131"/>
      <c r="N6132" s="131"/>
      <c r="O6132" s="131"/>
      <c r="P6132" s="143"/>
      <c r="Q6132" s="66"/>
      <c r="R6132" s="131"/>
      <c r="S6132" s="144"/>
      <c r="T6132" s="131"/>
      <c r="U6132" s="131"/>
      <c r="V6132" s="131"/>
      <c r="W6132" s="131"/>
      <c r="X6132" s="145"/>
      <c r="Y6132" s="146"/>
      <c r="Z6132" s="147"/>
      <c r="AA6132" s="147"/>
      <c r="AB6132" s="110"/>
      <c r="AC6132" s="132"/>
      <c r="AD6132" s="148"/>
      <c r="AE6132" s="148"/>
    </row>
    <row r="6133" customFormat="false" ht="15" hidden="false" customHeight="true" outlineLevel="0" collapsed="false">
      <c r="A6133" s="141"/>
      <c r="B6133" s="131"/>
      <c r="C6133" s="132"/>
      <c r="D6133" s="131"/>
      <c r="E6133" s="110"/>
      <c r="F6133" s="110"/>
      <c r="G6133" s="110"/>
      <c r="H6133" s="131"/>
      <c r="I6133" s="131"/>
      <c r="J6133" s="142"/>
      <c r="K6133" s="142"/>
      <c r="L6133" s="140"/>
      <c r="M6133" s="131"/>
      <c r="N6133" s="131"/>
      <c r="O6133" s="131"/>
      <c r="P6133" s="143"/>
      <c r="Q6133" s="66"/>
      <c r="R6133" s="131"/>
      <c r="S6133" s="144"/>
      <c r="T6133" s="131"/>
      <c r="U6133" s="131"/>
      <c r="V6133" s="131"/>
      <c r="W6133" s="131"/>
      <c r="X6133" s="145"/>
      <c r="Y6133" s="146"/>
      <c r="Z6133" s="147"/>
      <c r="AA6133" s="147"/>
      <c r="AB6133" s="110"/>
      <c r="AC6133" s="132"/>
      <c r="AD6133" s="148"/>
      <c r="AE6133" s="148"/>
    </row>
    <row r="6134" customFormat="false" ht="15" hidden="false" customHeight="true" outlineLevel="0" collapsed="false">
      <c r="A6134" s="141"/>
      <c r="B6134" s="131"/>
      <c r="C6134" s="132"/>
      <c r="D6134" s="131"/>
      <c r="E6134" s="110"/>
      <c r="F6134" s="110"/>
      <c r="G6134" s="110"/>
      <c r="H6134" s="131"/>
      <c r="I6134" s="131"/>
      <c r="J6134" s="142"/>
      <c r="K6134" s="142"/>
      <c r="L6134" s="140"/>
      <c r="M6134" s="131"/>
      <c r="N6134" s="131"/>
      <c r="O6134" s="131"/>
      <c r="P6134" s="143"/>
      <c r="Q6134" s="66"/>
      <c r="R6134" s="131"/>
      <c r="S6134" s="144"/>
      <c r="T6134" s="131"/>
      <c r="U6134" s="131"/>
      <c r="V6134" s="131"/>
      <c r="W6134" s="131"/>
      <c r="X6134" s="145"/>
      <c r="Y6134" s="146"/>
      <c r="Z6134" s="147"/>
      <c r="AA6134" s="147"/>
      <c r="AB6134" s="110"/>
      <c r="AC6134" s="132"/>
      <c r="AD6134" s="148"/>
      <c r="AE6134" s="148"/>
    </row>
    <row r="6135" customFormat="false" ht="15" hidden="false" customHeight="true" outlineLevel="0" collapsed="false">
      <c r="A6135" s="141"/>
      <c r="B6135" s="131"/>
      <c r="C6135" s="132"/>
      <c r="D6135" s="131"/>
      <c r="E6135" s="110"/>
      <c r="F6135" s="110"/>
      <c r="G6135" s="110"/>
      <c r="H6135" s="131"/>
      <c r="I6135" s="131"/>
      <c r="J6135" s="142"/>
      <c r="K6135" s="142"/>
      <c r="L6135" s="140"/>
      <c r="M6135" s="131"/>
      <c r="N6135" s="131"/>
      <c r="O6135" s="131"/>
      <c r="P6135" s="143"/>
      <c r="Q6135" s="66"/>
      <c r="R6135" s="131"/>
      <c r="S6135" s="144"/>
      <c r="T6135" s="131"/>
      <c r="U6135" s="131"/>
      <c r="V6135" s="131"/>
      <c r="W6135" s="131"/>
      <c r="X6135" s="145"/>
      <c r="Y6135" s="146"/>
      <c r="Z6135" s="147"/>
      <c r="AA6135" s="147"/>
      <c r="AB6135" s="110"/>
      <c r="AC6135" s="132"/>
      <c r="AD6135" s="148"/>
      <c r="AE6135" s="148"/>
    </row>
    <row r="6136" customFormat="false" ht="15" hidden="false" customHeight="true" outlineLevel="0" collapsed="false">
      <c r="A6136" s="141"/>
      <c r="B6136" s="131"/>
      <c r="C6136" s="132"/>
      <c r="D6136" s="131"/>
      <c r="E6136" s="110"/>
      <c r="F6136" s="110"/>
      <c r="G6136" s="110"/>
      <c r="H6136" s="131"/>
      <c r="I6136" s="131"/>
      <c r="J6136" s="142"/>
      <c r="K6136" s="142"/>
      <c r="L6136" s="140"/>
      <c r="M6136" s="131"/>
      <c r="N6136" s="131"/>
      <c r="O6136" s="131"/>
      <c r="P6136" s="143"/>
      <c r="Q6136" s="66"/>
      <c r="R6136" s="131"/>
      <c r="S6136" s="144"/>
      <c r="T6136" s="131"/>
      <c r="U6136" s="131"/>
      <c r="V6136" s="131"/>
      <c r="W6136" s="131"/>
      <c r="X6136" s="145"/>
      <c r="Y6136" s="146"/>
      <c r="Z6136" s="147"/>
      <c r="AA6136" s="147"/>
      <c r="AB6136" s="110"/>
      <c r="AC6136" s="132"/>
      <c r="AD6136" s="148"/>
      <c r="AE6136" s="148"/>
    </row>
    <row r="6137" customFormat="false" ht="15" hidden="false" customHeight="true" outlineLevel="0" collapsed="false">
      <c r="A6137" s="141"/>
      <c r="B6137" s="131"/>
      <c r="C6137" s="132"/>
      <c r="D6137" s="131"/>
      <c r="E6137" s="110"/>
      <c r="F6137" s="110"/>
      <c r="G6137" s="110"/>
      <c r="H6137" s="131"/>
      <c r="I6137" s="131"/>
      <c r="J6137" s="142"/>
      <c r="K6137" s="142"/>
      <c r="L6137" s="140"/>
      <c r="M6137" s="131"/>
      <c r="N6137" s="131"/>
      <c r="O6137" s="131"/>
      <c r="P6137" s="143"/>
      <c r="Q6137" s="66"/>
      <c r="R6137" s="131"/>
      <c r="S6137" s="144"/>
      <c r="T6137" s="131"/>
      <c r="U6137" s="131"/>
      <c r="V6137" s="131"/>
      <c r="W6137" s="131"/>
      <c r="X6137" s="145"/>
      <c r="Y6137" s="146"/>
      <c r="Z6137" s="147"/>
      <c r="AA6137" s="147"/>
      <c r="AB6137" s="110"/>
      <c r="AC6137" s="132"/>
      <c r="AD6137" s="148"/>
      <c r="AE6137" s="148"/>
    </row>
    <row r="6138" customFormat="false" ht="15" hidden="false" customHeight="true" outlineLevel="0" collapsed="false">
      <c r="A6138" s="141"/>
      <c r="B6138" s="131"/>
      <c r="C6138" s="132"/>
      <c r="D6138" s="131"/>
      <c r="E6138" s="110"/>
      <c r="F6138" s="110"/>
      <c r="G6138" s="110"/>
      <c r="H6138" s="131"/>
      <c r="I6138" s="131"/>
      <c r="J6138" s="142"/>
      <c r="K6138" s="142"/>
      <c r="L6138" s="140"/>
      <c r="M6138" s="131"/>
      <c r="N6138" s="131"/>
      <c r="O6138" s="131"/>
      <c r="P6138" s="143"/>
      <c r="Q6138" s="66"/>
      <c r="R6138" s="131"/>
      <c r="S6138" s="144"/>
      <c r="T6138" s="131"/>
      <c r="U6138" s="131"/>
      <c r="V6138" s="131"/>
      <c r="W6138" s="131"/>
      <c r="X6138" s="145"/>
      <c r="Y6138" s="146"/>
      <c r="Z6138" s="147"/>
      <c r="AA6138" s="147"/>
      <c r="AB6138" s="110"/>
      <c r="AC6138" s="132"/>
      <c r="AD6138" s="148"/>
      <c r="AE6138" s="148"/>
    </row>
    <row r="6139" customFormat="false" ht="15" hidden="false" customHeight="true" outlineLevel="0" collapsed="false">
      <c r="A6139" s="141"/>
      <c r="B6139" s="131"/>
      <c r="C6139" s="132"/>
      <c r="D6139" s="131"/>
      <c r="E6139" s="110"/>
      <c r="F6139" s="110"/>
      <c r="G6139" s="110"/>
      <c r="H6139" s="131"/>
      <c r="I6139" s="131"/>
      <c r="J6139" s="142"/>
      <c r="K6139" s="142"/>
      <c r="L6139" s="140"/>
      <c r="M6139" s="131"/>
      <c r="N6139" s="131"/>
      <c r="O6139" s="131"/>
      <c r="P6139" s="143"/>
      <c r="Q6139" s="66"/>
      <c r="R6139" s="131"/>
      <c r="S6139" s="144"/>
      <c r="T6139" s="131"/>
      <c r="U6139" s="131"/>
      <c r="V6139" s="131"/>
      <c r="W6139" s="131"/>
      <c r="X6139" s="145"/>
      <c r="Y6139" s="146"/>
      <c r="Z6139" s="147"/>
      <c r="AA6139" s="147"/>
      <c r="AB6139" s="110"/>
      <c r="AC6139" s="132"/>
      <c r="AD6139" s="148"/>
      <c r="AE6139" s="148"/>
    </row>
    <row r="6140" customFormat="false" ht="15" hidden="false" customHeight="true" outlineLevel="0" collapsed="false">
      <c r="A6140" s="141"/>
      <c r="B6140" s="131"/>
      <c r="C6140" s="132"/>
      <c r="D6140" s="131"/>
      <c r="E6140" s="110"/>
      <c r="F6140" s="110"/>
      <c r="G6140" s="110"/>
      <c r="H6140" s="131"/>
      <c r="I6140" s="131"/>
      <c r="J6140" s="142"/>
      <c r="K6140" s="142"/>
      <c r="L6140" s="140"/>
      <c r="M6140" s="131"/>
      <c r="N6140" s="131"/>
      <c r="O6140" s="131"/>
      <c r="P6140" s="143"/>
      <c r="Q6140" s="66"/>
      <c r="R6140" s="131"/>
      <c r="S6140" s="144"/>
      <c r="T6140" s="131"/>
      <c r="U6140" s="131"/>
      <c r="V6140" s="131"/>
      <c r="W6140" s="131"/>
      <c r="X6140" s="145"/>
      <c r="Y6140" s="146"/>
      <c r="Z6140" s="147"/>
      <c r="AA6140" s="147"/>
      <c r="AB6140" s="110"/>
      <c r="AC6140" s="132"/>
      <c r="AD6140" s="148"/>
      <c r="AE6140" s="148"/>
    </row>
    <row r="6141" customFormat="false" ht="15" hidden="false" customHeight="true" outlineLevel="0" collapsed="false">
      <c r="A6141" s="141"/>
      <c r="B6141" s="131"/>
      <c r="C6141" s="132"/>
      <c r="D6141" s="131"/>
      <c r="E6141" s="110"/>
      <c r="F6141" s="110"/>
      <c r="G6141" s="110"/>
      <c r="H6141" s="131"/>
      <c r="I6141" s="131"/>
      <c r="J6141" s="142"/>
      <c r="K6141" s="142"/>
      <c r="L6141" s="140"/>
      <c r="M6141" s="131"/>
      <c r="N6141" s="131"/>
      <c r="O6141" s="131"/>
      <c r="P6141" s="143"/>
      <c r="Q6141" s="66"/>
      <c r="R6141" s="131"/>
      <c r="S6141" s="144"/>
      <c r="T6141" s="131"/>
      <c r="U6141" s="131"/>
      <c r="V6141" s="131"/>
      <c r="W6141" s="131"/>
      <c r="X6141" s="145"/>
      <c r="Y6141" s="146"/>
      <c r="Z6141" s="147"/>
      <c r="AA6141" s="147"/>
      <c r="AB6141" s="110"/>
      <c r="AC6141" s="132"/>
      <c r="AD6141" s="148"/>
      <c r="AE6141" s="148"/>
    </row>
    <row r="6142" customFormat="false" ht="15" hidden="false" customHeight="true" outlineLevel="0" collapsed="false">
      <c r="A6142" s="141"/>
      <c r="B6142" s="131"/>
      <c r="C6142" s="132"/>
      <c r="D6142" s="131"/>
      <c r="E6142" s="110"/>
      <c r="F6142" s="110"/>
      <c r="G6142" s="110"/>
      <c r="H6142" s="131"/>
      <c r="I6142" s="131"/>
      <c r="J6142" s="142"/>
      <c r="K6142" s="142"/>
      <c r="L6142" s="140"/>
      <c r="M6142" s="131"/>
      <c r="N6142" s="131"/>
      <c r="O6142" s="131"/>
      <c r="P6142" s="143"/>
      <c r="Q6142" s="66"/>
      <c r="R6142" s="131"/>
      <c r="S6142" s="144"/>
      <c r="T6142" s="131"/>
      <c r="U6142" s="131"/>
      <c r="V6142" s="131"/>
      <c r="W6142" s="131"/>
      <c r="X6142" s="145"/>
      <c r="Y6142" s="146"/>
      <c r="Z6142" s="147"/>
      <c r="AA6142" s="147"/>
      <c r="AB6142" s="110"/>
      <c r="AC6142" s="132"/>
      <c r="AD6142" s="148"/>
      <c r="AE6142" s="148"/>
    </row>
    <row r="6143" customFormat="false" ht="15" hidden="false" customHeight="true" outlineLevel="0" collapsed="false">
      <c r="A6143" s="141"/>
      <c r="B6143" s="131"/>
      <c r="C6143" s="132"/>
      <c r="D6143" s="131"/>
      <c r="E6143" s="110"/>
      <c r="F6143" s="110"/>
      <c r="G6143" s="110"/>
      <c r="H6143" s="131"/>
      <c r="I6143" s="131"/>
      <c r="J6143" s="142"/>
      <c r="K6143" s="142"/>
      <c r="L6143" s="140"/>
      <c r="M6143" s="131"/>
      <c r="N6143" s="131"/>
      <c r="O6143" s="131"/>
      <c r="P6143" s="143"/>
      <c r="Q6143" s="66"/>
      <c r="R6143" s="131"/>
      <c r="S6143" s="144"/>
      <c r="T6143" s="131"/>
      <c r="U6143" s="131"/>
      <c r="V6143" s="131"/>
      <c r="W6143" s="131"/>
      <c r="X6143" s="145"/>
      <c r="Y6143" s="146"/>
      <c r="Z6143" s="147"/>
      <c r="AA6143" s="147"/>
      <c r="AB6143" s="110"/>
      <c r="AC6143" s="132"/>
      <c r="AD6143" s="148"/>
      <c r="AE6143" s="148"/>
    </row>
    <row r="6144" customFormat="false" ht="15" hidden="false" customHeight="true" outlineLevel="0" collapsed="false">
      <c r="A6144" s="141"/>
      <c r="B6144" s="131"/>
      <c r="C6144" s="132"/>
      <c r="D6144" s="131"/>
      <c r="E6144" s="110"/>
      <c r="F6144" s="110"/>
      <c r="G6144" s="110"/>
      <c r="H6144" s="131"/>
      <c r="I6144" s="131"/>
      <c r="J6144" s="142"/>
      <c r="K6144" s="142"/>
      <c r="L6144" s="140"/>
      <c r="M6144" s="131"/>
      <c r="N6144" s="131"/>
      <c r="O6144" s="131"/>
      <c r="P6144" s="143"/>
      <c r="Q6144" s="66"/>
      <c r="R6144" s="131"/>
      <c r="S6144" s="144"/>
      <c r="T6144" s="131"/>
      <c r="U6144" s="131"/>
      <c r="V6144" s="131"/>
      <c r="W6144" s="131"/>
      <c r="X6144" s="145"/>
      <c r="Y6144" s="146"/>
      <c r="Z6144" s="147"/>
      <c r="AA6144" s="147"/>
      <c r="AB6144" s="110"/>
      <c r="AC6144" s="132"/>
      <c r="AD6144" s="148"/>
      <c r="AE6144" s="148"/>
    </row>
    <row r="6145" customFormat="false" ht="15" hidden="false" customHeight="true" outlineLevel="0" collapsed="false">
      <c r="A6145" s="141"/>
      <c r="B6145" s="131"/>
      <c r="C6145" s="132"/>
      <c r="D6145" s="131"/>
      <c r="E6145" s="110"/>
      <c r="F6145" s="110"/>
      <c r="G6145" s="110"/>
      <c r="H6145" s="131"/>
      <c r="I6145" s="131"/>
      <c r="J6145" s="142"/>
      <c r="K6145" s="142"/>
      <c r="L6145" s="140"/>
      <c r="M6145" s="131"/>
      <c r="N6145" s="131"/>
      <c r="O6145" s="131"/>
      <c r="P6145" s="143"/>
      <c r="Q6145" s="66"/>
      <c r="R6145" s="131"/>
      <c r="S6145" s="144"/>
      <c r="T6145" s="131"/>
      <c r="U6145" s="131"/>
      <c r="V6145" s="131"/>
      <c r="W6145" s="131"/>
      <c r="X6145" s="145"/>
      <c r="Y6145" s="146"/>
      <c r="Z6145" s="147"/>
      <c r="AA6145" s="147"/>
      <c r="AB6145" s="110"/>
      <c r="AC6145" s="132"/>
      <c r="AD6145" s="148"/>
      <c r="AE6145" s="148"/>
    </row>
    <row r="6146" customFormat="false" ht="15" hidden="false" customHeight="true" outlineLevel="0" collapsed="false">
      <c r="A6146" s="141"/>
      <c r="B6146" s="131"/>
      <c r="C6146" s="132"/>
      <c r="D6146" s="131"/>
      <c r="E6146" s="110"/>
      <c r="F6146" s="110"/>
      <c r="G6146" s="110"/>
      <c r="H6146" s="131"/>
      <c r="I6146" s="131"/>
      <c r="J6146" s="142"/>
      <c r="K6146" s="142"/>
      <c r="L6146" s="140"/>
      <c r="M6146" s="131"/>
      <c r="N6146" s="131"/>
      <c r="O6146" s="131"/>
      <c r="P6146" s="143"/>
      <c r="Q6146" s="66"/>
      <c r="R6146" s="131"/>
      <c r="S6146" s="144"/>
      <c r="T6146" s="131"/>
      <c r="U6146" s="131"/>
      <c r="V6146" s="131"/>
      <c r="W6146" s="131"/>
      <c r="X6146" s="145"/>
      <c r="Y6146" s="146"/>
      <c r="Z6146" s="147"/>
      <c r="AA6146" s="147"/>
      <c r="AB6146" s="110"/>
      <c r="AC6146" s="132"/>
      <c r="AD6146" s="148"/>
      <c r="AE6146" s="148"/>
    </row>
    <row r="6147" customFormat="false" ht="15" hidden="false" customHeight="true" outlineLevel="0" collapsed="false">
      <c r="A6147" s="141"/>
      <c r="B6147" s="131"/>
      <c r="C6147" s="132"/>
      <c r="D6147" s="131"/>
      <c r="E6147" s="110"/>
      <c r="F6147" s="110"/>
      <c r="G6147" s="110"/>
      <c r="H6147" s="131"/>
      <c r="I6147" s="131"/>
      <c r="J6147" s="142"/>
      <c r="K6147" s="142"/>
      <c r="L6147" s="140"/>
      <c r="M6147" s="131"/>
      <c r="N6147" s="131"/>
      <c r="O6147" s="131"/>
      <c r="P6147" s="143"/>
      <c r="Q6147" s="66"/>
      <c r="R6147" s="131"/>
      <c r="S6147" s="144"/>
      <c r="T6147" s="131"/>
      <c r="U6147" s="131"/>
      <c r="V6147" s="131"/>
      <c r="W6147" s="131"/>
      <c r="X6147" s="145"/>
      <c r="Y6147" s="146"/>
      <c r="Z6147" s="147"/>
      <c r="AA6147" s="147"/>
      <c r="AB6147" s="110"/>
      <c r="AC6147" s="132"/>
      <c r="AD6147" s="148"/>
      <c r="AE6147" s="148"/>
    </row>
    <row r="6148" customFormat="false" ht="15" hidden="false" customHeight="true" outlineLevel="0" collapsed="false">
      <c r="A6148" s="141"/>
      <c r="B6148" s="131"/>
      <c r="C6148" s="132"/>
      <c r="D6148" s="131"/>
      <c r="E6148" s="110"/>
      <c r="F6148" s="110"/>
      <c r="G6148" s="110"/>
      <c r="H6148" s="131"/>
      <c r="I6148" s="131"/>
      <c r="J6148" s="142"/>
      <c r="K6148" s="142"/>
      <c r="L6148" s="140"/>
      <c r="M6148" s="131"/>
      <c r="N6148" s="131"/>
      <c r="O6148" s="131"/>
      <c r="P6148" s="143"/>
      <c r="Q6148" s="66"/>
      <c r="R6148" s="131"/>
      <c r="S6148" s="144"/>
      <c r="T6148" s="131"/>
      <c r="U6148" s="131"/>
      <c r="V6148" s="131"/>
      <c r="W6148" s="131"/>
      <c r="X6148" s="145"/>
      <c r="Y6148" s="146"/>
      <c r="Z6148" s="147"/>
      <c r="AA6148" s="147"/>
      <c r="AB6148" s="110"/>
      <c r="AC6148" s="132"/>
      <c r="AD6148" s="148"/>
      <c r="AE6148" s="148"/>
    </row>
    <row r="6149" customFormat="false" ht="15" hidden="false" customHeight="true" outlineLevel="0" collapsed="false">
      <c r="A6149" s="141"/>
      <c r="B6149" s="131"/>
      <c r="C6149" s="132"/>
      <c r="D6149" s="131"/>
      <c r="E6149" s="110"/>
      <c r="F6149" s="110"/>
      <c r="G6149" s="110"/>
      <c r="H6149" s="131"/>
      <c r="I6149" s="131"/>
      <c r="J6149" s="142"/>
      <c r="K6149" s="142"/>
      <c r="L6149" s="140"/>
      <c r="M6149" s="131"/>
      <c r="N6149" s="131"/>
      <c r="O6149" s="131"/>
      <c r="P6149" s="143"/>
      <c r="Q6149" s="66"/>
      <c r="R6149" s="131"/>
      <c r="S6149" s="144"/>
      <c r="T6149" s="131"/>
      <c r="U6149" s="131"/>
      <c r="V6149" s="131"/>
      <c r="W6149" s="131"/>
      <c r="X6149" s="145"/>
      <c r="Y6149" s="146"/>
      <c r="Z6149" s="147"/>
      <c r="AA6149" s="147"/>
      <c r="AB6149" s="110"/>
      <c r="AC6149" s="132"/>
      <c r="AD6149" s="148"/>
      <c r="AE6149" s="148"/>
    </row>
    <row r="6150" customFormat="false" ht="15" hidden="false" customHeight="true" outlineLevel="0" collapsed="false">
      <c r="A6150" s="141"/>
      <c r="B6150" s="131"/>
      <c r="C6150" s="132"/>
      <c r="D6150" s="131"/>
      <c r="E6150" s="110"/>
      <c r="F6150" s="110"/>
      <c r="G6150" s="110"/>
      <c r="H6150" s="131"/>
      <c r="I6150" s="131"/>
      <c r="J6150" s="142"/>
      <c r="K6150" s="142"/>
      <c r="L6150" s="140"/>
      <c r="M6150" s="131"/>
      <c r="N6150" s="131"/>
      <c r="O6150" s="131"/>
      <c r="P6150" s="143"/>
      <c r="Q6150" s="66"/>
      <c r="R6150" s="131"/>
      <c r="S6150" s="144"/>
      <c r="T6150" s="131"/>
      <c r="U6150" s="131"/>
      <c r="V6150" s="131"/>
      <c r="W6150" s="131"/>
      <c r="X6150" s="145"/>
      <c r="Y6150" s="146"/>
      <c r="Z6150" s="147"/>
      <c r="AA6150" s="147"/>
      <c r="AB6150" s="110"/>
      <c r="AC6150" s="132"/>
      <c r="AD6150" s="148"/>
      <c r="AE6150" s="148"/>
    </row>
    <row r="6151" customFormat="false" ht="15" hidden="false" customHeight="true" outlineLevel="0" collapsed="false">
      <c r="A6151" s="141"/>
      <c r="B6151" s="131"/>
      <c r="C6151" s="132"/>
      <c r="D6151" s="131"/>
      <c r="E6151" s="110"/>
      <c r="F6151" s="110"/>
      <c r="G6151" s="110"/>
      <c r="H6151" s="131"/>
      <c r="I6151" s="131"/>
      <c r="J6151" s="142"/>
      <c r="K6151" s="142"/>
      <c r="L6151" s="140"/>
      <c r="M6151" s="131"/>
      <c r="N6151" s="131"/>
      <c r="O6151" s="131"/>
      <c r="P6151" s="143"/>
      <c r="Q6151" s="66"/>
      <c r="R6151" s="131"/>
      <c r="S6151" s="144"/>
      <c r="T6151" s="131"/>
      <c r="U6151" s="131"/>
      <c r="V6151" s="131"/>
      <c r="W6151" s="131"/>
      <c r="X6151" s="145"/>
      <c r="Y6151" s="146"/>
      <c r="Z6151" s="147"/>
      <c r="AA6151" s="147"/>
      <c r="AB6151" s="110"/>
      <c r="AC6151" s="132"/>
      <c r="AD6151" s="148"/>
      <c r="AE6151" s="148"/>
    </row>
    <row r="6152" customFormat="false" ht="15" hidden="false" customHeight="true" outlineLevel="0" collapsed="false">
      <c r="A6152" s="141"/>
      <c r="B6152" s="131"/>
      <c r="C6152" s="132"/>
      <c r="D6152" s="131"/>
      <c r="E6152" s="110"/>
      <c r="F6152" s="110"/>
      <c r="G6152" s="110"/>
      <c r="H6152" s="131"/>
      <c r="I6152" s="131"/>
      <c r="J6152" s="142"/>
      <c r="K6152" s="142"/>
      <c r="L6152" s="140"/>
      <c r="M6152" s="131"/>
      <c r="N6152" s="131"/>
      <c r="O6152" s="131"/>
      <c r="P6152" s="143"/>
      <c r="Q6152" s="66"/>
      <c r="R6152" s="131"/>
      <c r="S6152" s="144"/>
      <c r="T6152" s="131"/>
      <c r="U6152" s="131"/>
      <c r="V6152" s="131"/>
      <c r="W6152" s="131"/>
      <c r="X6152" s="145"/>
      <c r="Y6152" s="146"/>
      <c r="Z6152" s="147"/>
      <c r="AA6152" s="147"/>
      <c r="AB6152" s="110"/>
      <c r="AC6152" s="132"/>
      <c r="AD6152" s="148"/>
      <c r="AE6152" s="148"/>
    </row>
    <row r="6153" customFormat="false" ht="15" hidden="false" customHeight="true" outlineLevel="0" collapsed="false">
      <c r="A6153" s="141"/>
      <c r="B6153" s="131"/>
      <c r="C6153" s="132"/>
      <c r="D6153" s="131"/>
      <c r="E6153" s="110"/>
      <c r="F6153" s="110"/>
      <c r="G6153" s="110"/>
      <c r="H6153" s="131"/>
      <c r="I6153" s="131"/>
      <c r="J6153" s="142"/>
      <c r="K6153" s="142"/>
      <c r="L6153" s="140"/>
      <c r="M6153" s="131"/>
      <c r="N6153" s="131"/>
      <c r="O6153" s="131"/>
      <c r="P6153" s="143"/>
      <c r="Q6153" s="66"/>
      <c r="R6153" s="131"/>
      <c r="S6153" s="144"/>
      <c r="T6153" s="131"/>
      <c r="U6153" s="131"/>
      <c r="V6153" s="131"/>
      <c r="W6153" s="131"/>
      <c r="X6153" s="145"/>
      <c r="Y6153" s="146"/>
      <c r="Z6153" s="147"/>
      <c r="AA6153" s="147"/>
      <c r="AB6153" s="110"/>
      <c r="AC6153" s="132"/>
      <c r="AD6153" s="148"/>
      <c r="AE6153" s="148"/>
    </row>
    <row r="6154" customFormat="false" ht="15" hidden="false" customHeight="true" outlineLevel="0" collapsed="false">
      <c r="A6154" s="141"/>
      <c r="B6154" s="131"/>
      <c r="C6154" s="132"/>
      <c r="D6154" s="131"/>
      <c r="E6154" s="110"/>
      <c r="F6154" s="110"/>
      <c r="G6154" s="110"/>
      <c r="H6154" s="131"/>
      <c r="I6154" s="131"/>
      <c r="J6154" s="142"/>
      <c r="K6154" s="142"/>
      <c r="L6154" s="140"/>
      <c r="M6154" s="131"/>
      <c r="N6154" s="131"/>
      <c r="O6154" s="131"/>
      <c r="P6154" s="143"/>
      <c r="Q6154" s="66"/>
      <c r="R6154" s="131"/>
      <c r="S6154" s="144"/>
      <c r="T6154" s="131"/>
      <c r="U6154" s="131"/>
      <c r="V6154" s="131"/>
      <c r="W6154" s="131"/>
      <c r="X6154" s="145"/>
      <c r="Y6154" s="146"/>
      <c r="Z6154" s="147"/>
      <c r="AA6154" s="147"/>
      <c r="AB6154" s="110"/>
      <c r="AC6154" s="132"/>
      <c r="AD6154" s="148"/>
      <c r="AE6154" s="148"/>
    </row>
    <row r="6155" customFormat="false" ht="15" hidden="false" customHeight="true" outlineLevel="0" collapsed="false">
      <c r="A6155" s="141"/>
      <c r="B6155" s="131"/>
      <c r="C6155" s="132"/>
      <c r="D6155" s="131"/>
      <c r="E6155" s="110"/>
      <c r="F6155" s="110"/>
      <c r="G6155" s="110"/>
      <c r="H6155" s="131"/>
      <c r="I6155" s="131"/>
      <c r="J6155" s="142"/>
      <c r="K6155" s="142"/>
      <c r="L6155" s="140"/>
      <c r="M6155" s="131"/>
      <c r="N6155" s="131"/>
      <c r="O6155" s="131"/>
      <c r="P6155" s="143"/>
      <c r="Q6155" s="66"/>
      <c r="R6155" s="131"/>
      <c r="S6155" s="144"/>
      <c r="T6155" s="131"/>
      <c r="U6155" s="131"/>
      <c r="V6155" s="131"/>
      <c r="W6155" s="131"/>
      <c r="X6155" s="145"/>
      <c r="Y6155" s="146"/>
      <c r="Z6155" s="147"/>
      <c r="AA6155" s="147"/>
      <c r="AB6155" s="110"/>
      <c r="AC6155" s="132"/>
      <c r="AD6155" s="148"/>
      <c r="AE6155" s="148"/>
    </row>
    <row r="6156" customFormat="false" ht="15" hidden="false" customHeight="true" outlineLevel="0" collapsed="false">
      <c r="A6156" s="141"/>
      <c r="B6156" s="131"/>
      <c r="C6156" s="132"/>
      <c r="D6156" s="131"/>
      <c r="E6156" s="110"/>
      <c r="F6156" s="110"/>
      <c r="G6156" s="110"/>
      <c r="H6156" s="131"/>
      <c r="I6156" s="131"/>
      <c r="J6156" s="142"/>
      <c r="K6156" s="142"/>
      <c r="L6156" s="140"/>
      <c r="M6156" s="131"/>
      <c r="N6156" s="131"/>
      <c r="O6156" s="131"/>
      <c r="P6156" s="143"/>
      <c r="Q6156" s="66"/>
      <c r="R6156" s="131"/>
      <c r="S6156" s="144"/>
      <c r="T6156" s="131"/>
      <c r="U6156" s="131"/>
      <c r="V6156" s="131"/>
      <c r="W6156" s="131"/>
      <c r="X6156" s="145"/>
      <c r="Y6156" s="146"/>
      <c r="Z6156" s="147"/>
      <c r="AA6156" s="147"/>
      <c r="AB6156" s="110"/>
      <c r="AC6156" s="132"/>
      <c r="AD6156" s="148"/>
      <c r="AE6156" s="148"/>
    </row>
    <row r="6157" customFormat="false" ht="15" hidden="false" customHeight="true" outlineLevel="0" collapsed="false">
      <c r="A6157" s="141"/>
      <c r="B6157" s="131"/>
      <c r="C6157" s="132"/>
      <c r="D6157" s="131"/>
      <c r="E6157" s="110"/>
      <c r="F6157" s="110"/>
      <c r="G6157" s="110"/>
      <c r="H6157" s="131"/>
      <c r="I6157" s="131"/>
      <c r="J6157" s="142"/>
      <c r="K6157" s="142"/>
      <c r="L6157" s="140"/>
      <c r="M6157" s="131"/>
      <c r="N6157" s="131"/>
      <c r="O6157" s="131"/>
      <c r="P6157" s="143"/>
      <c r="Q6157" s="66"/>
      <c r="R6157" s="131"/>
      <c r="S6157" s="144"/>
      <c r="T6157" s="131"/>
      <c r="U6157" s="131"/>
      <c r="V6157" s="131"/>
      <c r="W6157" s="131"/>
      <c r="X6157" s="145"/>
      <c r="Y6157" s="146"/>
      <c r="Z6157" s="147"/>
      <c r="AA6157" s="147"/>
      <c r="AB6157" s="110"/>
      <c r="AC6157" s="132"/>
      <c r="AD6157" s="148"/>
      <c r="AE6157" s="148"/>
    </row>
    <row r="6158" customFormat="false" ht="15" hidden="false" customHeight="true" outlineLevel="0" collapsed="false">
      <c r="A6158" s="141"/>
      <c r="B6158" s="131"/>
      <c r="C6158" s="132"/>
      <c r="D6158" s="131"/>
      <c r="E6158" s="110"/>
      <c r="F6158" s="110"/>
      <c r="G6158" s="110"/>
      <c r="H6158" s="131"/>
      <c r="I6158" s="131"/>
      <c r="J6158" s="142"/>
      <c r="K6158" s="142"/>
      <c r="L6158" s="140"/>
      <c r="M6158" s="131"/>
      <c r="N6158" s="131"/>
      <c r="O6158" s="131"/>
      <c r="P6158" s="143"/>
      <c r="Q6158" s="66"/>
      <c r="R6158" s="131"/>
      <c r="S6158" s="144"/>
      <c r="T6158" s="131"/>
      <c r="U6158" s="131"/>
      <c r="V6158" s="131"/>
      <c r="W6158" s="131"/>
      <c r="X6158" s="145"/>
      <c r="Y6158" s="146"/>
      <c r="Z6158" s="147"/>
      <c r="AA6158" s="147"/>
      <c r="AB6158" s="110"/>
      <c r="AC6158" s="132"/>
      <c r="AD6158" s="148"/>
      <c r="AE6158" s="148"/>
    </row>
    <row r="6159" customFormat="false" ht="15" hidden="false" customHeight="true" outlineLevel="0" collapsed="false">
      <c r="A6159" s="141"/>
      <c r="B6159" s="131"/>
      <c r="C6159" s="132"/>
      <c r="D6159" s="131"/>
      <c r="E6159" s="110"/>
      <c r="F6159" s="110"/>
      <c r="G6159" s="110"/>
      <c r="H6159" s="131"/>
      <c r="I6159" s="131"/>
      <c r="J6159" s="142"/>
      <c r="K6159" s="142"/>
      <c r="L6159" s="140"/>
      <c r="M6159" s="131"/>
      <c r="N6159" s="131"/>
      <c r="O6159" s="131"/>
      <c r="P6159" s="143"/>
      <c r="Q6159" s="66"/>
      <c r="R6159" s="131"/>
      <c r="S6159" s="144"/>
      <c r="T6159" s="131"/>
      <c r="U6159" s="131"/>
      <c r="V6159" s="131"/>
      <c r="W6159" s="131"/>
      <c r="X6159" s="145"/>
      <c r="Y6159" s="146"/>
      <c r="Z6159" s="147"/>
      <c r="AA6159" s="147"/>
      <c r="AB6159" s="110"/>
      <c r="AC6159" s="132"/>
      <c r="AD6159" s="148"/>
      <c r="AE6159" s="148"/>
    </row>
    <row r="6160" customFormat="false" ht="15" hidden="false" customHeight="true" outlineLevel="0" collapsed="false">
      <c r="A6160" s="141"/>
      <c r="B6160" s="131"/>
      <c r="C6160" s="132"/>
      <c r="D6160" s="131"/>
      <c r="E6160" s="110"/>
      <c r="F6160" s="110"/>
      <c r="G6160" s="110"/>
      <c r="H6160" s="131"/>
      <c r="I6160" s="131"/>
      <c r="J6160" s="142"/>
      <c r="K6160" s="142"/>
      <c r="L6160" s="140"/>
      <c r="M6160" s="131"/>
      <c r="N6160" s="131"/>
      <c r="O6160" s="131"/>
      <c r="P6160" s="143"/>
      <c r="Q6160" s="66"/>
      <c r="R6160" s="131"/>
      <c r="S6160" s="144"/>
      <c r="T6160" s="131"/>
      <c r="U6160" s="131"/>
      <c r="V6160" s="131"/>
      <c r="W6160" s="131"/>
      <c r="X6160" s="145"/>
      <c r="Y6160" s="146"/>
      <c r="Z6160" s="147"/>
      <c r="AA6160" s="147"/>
      <c r="AB6160" s="110"/>
      <c r="AC6160" s="132"/>
      <c r="AD6160" s="148"/>
      <c r="AE6160" s="148"/>
    </row>
    <row r="6161" customFormat="false" ht="15" hidden="false" customHeight="true" outlineLevel="0" collapsed="false">
      <c r="A6161" s="141"/>
      <c r="B6161" s="131"/>
      <c r="C6161" s="132"/>
      <c r="D6161" s="131"/>
      <c r="E6161" s="110"/>
      <c r="F6161" s="110"/>
      <c r="G6161" s="110"/>
      <c r="H6161" s="131"/>
      <c r="I6161" s="131"/>
      <c r="J6161" s="142"/>
      <c r="K6161" s="142"/>
      <c r="L6161" s="140"/>
      <c r="M6161" s="131"/>
      <c r="N6161" s="131"/>
      <c r="O6161" s="131"/>
      <c r="P6161" s="143"/>
      <c r="Q6161" s="66"/>
      <c r="R6161" s="131"/>
      <c r="S6161" s="144"/>
      <c r="T6161" s="131"/>
      <c r="U6161" s="131"/>
      <c r="V6161" s="131"/>
      <c r="W6161" s="131"/>
      <c r="X6161" s="145"/>
      <c r="Y6161" s="146"/>
      <c r="Z6161" s="147"/>
      <c r="AA6161" s="147"/>
      <c r="AB6161" s="110"/>
      <c r="AC6161" s="132"/>
      <c r="AD6161" s="148"/>
      <c r="AE6161" s="148"/>
    </row>
    <row r="6162" customFormat="false" ht="15" hidden="false" customHeight="true" outlineLevel="0" collapsed="false">
      <c r="A6162" s="141"/>
      <c r="B6162" s="131"/>
      <c r="C6162" s="132"/>
      <c r="D6162" s="131"/>
      <c r="E6162" s="110"/>
      <c r="F6162" s="110"/>
      <c r="G6162" s="110"/>
      <c r="H6162" s="131"/>
      <c r="I6162" s="131"/>
      <c r="J6162" s="142"/>
      <c r="K6162" s="142"/>
      <c r="L6162" s="140"/>
      <c r="M6162" s="131"/>
      <c r="N6162" s="131"/>
      <c r="O6162" s="131"/>
      <c r="P6162" s="143"/>
      <c r="Q6162" s="66"/>
      <c r="R6162" s="131"/>
      <c r="S6162" s="144"/>
      <c r="T6162" s="131"/>
      <c r="U6162" s="131"/>
      <c r="V6162" s="131"/>
      <c r="W6162" s="131"/>
      <c r="X6162" s="145"/>
      <c r="Y6162" s="146"/>
      <c r="Z6162" s="147"/>
      <c r="AA6162" s="147"/>
      <c r="AB6162" s="110"/>
      <c r="AC6162" s="132"/>
      <c r="AD6162" s="148"/>
      <c r="AE6162" s="148"/>
    </row>
    <row r="6163" customFormat="false" ht="15" hidden="false" customHeight="true" outlineLevel="0" collapsed="false">
      <c r="A6163" s="141"/>
      <c r="B6163" s="131"/>
      <c r="C6163" s="132"/>
      <c r="D6163" s="131"/>
      <c r="E6163" s="110"/>
      <c r="F6163" s="110"/>
      <c r="G6163" s="110"/>
      <c r="H6163" s="131"/>
      <c r="I6163" s="131"/>
      <c r="J6163" s="142"/>
      <c r="K6163" s="142"/>
      <c r="L6163" s="140"/>
      <c r="M6163" s="131"/>
      <c r="N6163" s="131"/>
      <c r="O6163" s="131"/>
      <c r="P6163" s="143"/>
      <c r="Q6163" s="66"/>
      <c r="R6163" s="131"/>
      <c r="S6163" s="144"/>
      <c r="T6163" s="131"/>
      <c r="U6163" s="131"/>
      <c r="V6163" s="131"/>
      <c r="W6163" s="131"/>
      <c r="X6163" s="145"/>
      <c r="Y6163" s="146"/>
      <c r="Z6163" s="147"/>
      <c r="AA6163" s="147"/>
      <c r="AB6163" s="110"/>
      <c r="AC6163" s="132"/>
      <c r="AD6163" s="148"/>
      <c r="AE6163" s="148"/>
    </row>
    <row r="6164" customFormat="false" ht="15" hidden="false" customHeight="true" outlineLevel="0" collapsed="false">
      <c r="A6164" s="141"/>
      <c r="B6164" s="131"/>
      <c r="C6164" s="132"/>
      <c r="D6164" s="131"/>
      <c r="E6164" s="110"/>
      <c r="F6164" s="110"/>
      <c r="G6164" s="110"/>
      <c r="H6164" s="131"/>
      <c r="I6164" s="131"/>
      <c r="J6164" s="142"/>
      <c r="K6164" s="142"/>
      <c r="L6164" s="140"/>
      <c r="M6164" s="131"/>
      <c r="N6164" s="131"/>
      <c r="O6164" s="131"/>
      <c r="P6164" s="143"/>
      <c r="Q6164" s="66"/>
      <c r="R6164" s="131"/>
      <c r="S6164" s="144"/>
      <c r="T6164" s="131"/>
      <c r="U6164" s="131"/>
      <c r="V6164" s="131"/>
      <c r="W6164" s="131"/>
      <c r="X6164" s="145"/>
      <c r="Y6164" s="146"/>
      <c r="Z6164" s="147"/>
      <c r="AA6164" s="147"/>
      <c r="AB6164" s="110"/>
      <c r="AC6164" s="132"/>
      <c r="AD6164" s="148"/>
      <c r="AE6164" s="148"/>
    </row>
    <row r="6165" customFormat="false" ht="15" hidden="false" customHeight="true" outlineLevel="0" collapsed="false">
      <c r="A6165" s="141"/>
      <c r="B6165" s="131"/>
      <c r="C6165" s="132"/>
      <c r="D6165" s="131"/>
      <c r="E6165" s="110"/>
      <c r="F6165" s="110"/>
      <c r="G6165" s="110"/>
      <c r="H6165" s="131"/>
      <c r="I6165" s="131"/>
      <c r="J6165" s="142"/>
      <c r="K6165" s="142"/>
      <c r="L6165" s="140"/>
      <c r="M6165" s="131"/>
      <c r="N6165" s="131"/>
      <c r="O6165" s="131"/>
      <c r="P6165" s="143"/>
      <c r="Q6165" s="66"/>
      <c r="R6165" s="131"/>
      <c r="S6165" s="144"/>
      <c r="T6165" s="131"/>
      <c r="U6165" s="131"/>
      <c r="V6165" s="131"/>
      <c r="W6165" s="131"/>
      <c r="X6165" s="145"/>
      <c r="Y6165" s="146"/>
      <c r="Z6165" s="147"/>
      <c r="AA6165" s="147"/>
      <c r="AB6165" s="110"/>
      <c r="AC6165" s="132"/>
      <c r="AD6165" s="148"/>
      <c r="AE6165" s="148"/>
    </row>
    <row r="6166" customFormat="false" ht="15" hidden="false" customHeight="true" outlineLevel="0" collapsed="false">
      <c r="A6166" s="141"/>
      <c r="B6166" s="131"/>
      <c r="C6166" s="132"/>
      <c r="D6166" s="131"/>
      <c r="E6166" s="110"/>
      <c r="F6166" s="110"/>
      <c r="G6166" s="110"/>
      <c r="H6166" s="131"/>
      <c r="I6166" s="131"/>
      <c r="J6166" s="142"/>
      <c r="K6166" s="142"/>
      <c r="L6166" s="140"/>
      <c r="M6166" s="131"/>
      <c r="N6166" s="131"/>
      <c r="O6166" s="131"/>
      <c r="P6166" s="143"/>
      <c r="Q6166" s="66"/>
      <c r="R6166" s="131"/>
      <c r="S6166" s="144"/>
      <c r="T6166" s="131"/>
      <c r="U6166" s="131"/>
      <c r="V6166" s="131"/>
      <c r="W6166" s="131"/>
      <c r="X6166" s="145"/>
      <c r="Y6166" s="146"/>
      <c r="Z6166" s="147"/>
      <c r="AA6166" s="147"/>
      <c r="AB6166" s="110"/>
      <c r="AC6166" s="132"/>
      <c r="AD6166" s="148"/>
      <c r="AE6166" s="148"/>
    </row>
    <row r="6167" customFormat="false" ht="15" hidden="false" customHeight="true" outlineLevel="0" collapsed="false">
      <c r="A6167" s="141"/>
      <c r="B6167" s="131"/>
      <c r="C6167" s="132"/>
      <c r="D6167" s="131"/>
      <c r="E6167" s="110"/>
      <c r="F6167" s="110"/>
      <c r="G6167" s="110"/>
      <c r="H6167" s="131"/>
      <c r="I6167" s="131"/>
      <c r="J6167" s="142"/>
      <c r="K6167" s="142"/>
      <c r="L6167" s="140"/>
      <c r="M6167" s="131"/>
      <c r="N6167" s="131"/>
      <c r="O6167" s="131"/>
      <c r="P6167" s="143"/>
      <c r="Q6167" s="66"/>
      <c r="R6167" s="131"/>
      <c r="S6167" s="144"/>
      <c r="T6167" s="131"/>
      <c r="U6167" s="131"/>
      <c r="V6167" s="131"/>
      <c r="W6167" s="131"/>
      <c r="X6167" s="145"/>
      <c r="Y6167" s="146"/>
      <c r="Z6167" s="147"/>
      <c r="AA6167" s="147"/>
      <c r="AB6167" s="110"/>
      <c r="AC6167" s="132"/>
      <c r="AD6167" s="148"/>
      <c r="AE6167" s="148"/>
    </row>
    <row r="6168" customFormat="false" ht="15" hidden="false" customHeight="true" outlineLevel="0" collapsed="false">
      <c r="A6168" s="141"/>
      <c r="B6168" s="131"/>
      <c r="C6168" s="132"/>
      <c r="D6168" s="131"/>
      <c r="E6168" s="110"/>
      <c r="F6168" s="110"/>
      <c r="G6168" s="110"/>
      <c r="H6168" s="131"/>
      <c r="I6168" s="131"/>
      <c r="J6168" s="142"/>
      <c r="K6168" s="142"/>
      <c r="L6168" s="140"/>
      <c r="M6168" s="131"/>
      <c r="N6168" s="131"/>
      <c r="O6168" s="131"/>
      <c r="P6168" s="143"/>
      <c r="Q6168" s="66"/>
      <c r="R6168" s="131"/>
      <c r="S6168" s="144"/>
      <c r="T6168" s="131"/>
      <c r="U6168" s="131"/>
      <c r="V6168" s="131"/>
      <c r="W6168" s="131"/>
      <c r="X6168" s="145"/>
      <c r="Y6168" s="146"/>
      <c r="Z6168" s="147"/>
      <c r="AA6168" s="147"/>
      <c r="AB6168" s="110"/>
      <c r="AC6168" s="132"/>
      <c r="AD6168" s="148"/>
      <c r="AE6168" s="148"/>
    </row>
    <row r="6169" customFormat="false" ht="15" hidden="false" customHeight="true" outlineLevel="0" collapsed="false">
      <c r="A6169" s="141"/>
      <c r="B6169" s="131"/>
      <c r="C6169" s="132"/>
      <c r="D6169" s="131"/>
      <c r="E6169" s="110"/>
      <c r="F6169" s="110"/>
      <c r="G6169" s="110"/>
      <c r="H6169" s="131"/>
      <c r="I6169" s="131"/>
      <c r="J6169" s="142"/>
      <c r="K6169" s="142"/>
      <c r="L6169" s="140"/>
      <c r="M6169" s="131"/>
      <c r="N6169" s="131"/>
      <c r="O6169" s="131"/>
      <c r="P6169" s="143"/>
      <c r="Q6169" s="66"/>
      <c r="R6169" s="131"/>
      <c r="S6169" s="144"/>
      <c r="T6169" s="131"/>
      <c r="U6169" s="131"/>
      <c r="V6169" s="131"/>
      <c r="W6169" s="131"/>
      <c r="X6169" s="145"/>
      <c r="Y6169" s="146"/>
      <c r="Z6169" s="147"/>
      <c r="AA6169" s="147"/>
      <c r="AB6169" s="110"/>
      <c r="AC6169" s="132"/>
      <c r="AD6169" s="148"/>
      <c r="AE6169" s="148"/>
    </row>
    <row r="6170" customFormat="false" ht="15" hidden="false" customHeight="true" outlineLevel="0" collapsed="false">
      <c r="A6170" s="141"/>
      <c r="B6170" s="131"/>
      <c r="C6170" s="132"/>
      <c r="D6170" s="131"/>
      <c r="E6170" s="110"/>
      <c r="F6170" s="110"/>
      <c r="G6170" s="110"/>
      <c r="H6170" s="131"/>
      <c r="I6170" s="131"/>
      <c r="J6170" s="142"/>
      <c r="K6170" s="142"/>
      <c r="L6170" s="140"/>
      <c r="M6170" s="131"/>
      <c r="N6170" s="131"/>
      <c r="O6170" s="131"/>
      <c r="P6170" s="143"/>
      <c r="Q6170" s="66"/>
      <c r="R6170" s="131"/>
      <c r="S6170" s="144"/>
      <c r="T6170" s="131"/>
      <c r="U6170" s="131"/>
      <c r="V6170" s="131"/>
      <c r="W6170" s="131"/>
      <c r="X6170" s="145"/>
      <c r="Y6170" s="146"/>
      <c r="Z6170" s="147"/>
      <c r="AA6170" s="147"/>
      <c r="AB6170" s="110"/>
      <c r="AC6170" s="132"/>
      <c r="AD6170" s="148"/>
      <c r="AE6170" s="148"/>
    </row>
    <row r="6171" customFormat="false" ht="15" hidden="false" customHeight="true" outlineLevel="0" collapsed="false">
      <c r="A6171" s="141"/>
      <c r="B6171" s="131"/>
      <c r="C6171" s="132"/>
      <c r="D6171" s="131"/>
      <c r="E6171" s="110"/>
      <c r="F6171" s="110"/>
      <c r="G6171" s="110"/>
      <c r="H6171" s="131"/>
      <c r="I6171" s="131"/>
      <c r="J6171" s="142"/>
      <c r="K6171" s="142"/>
      <c r="L6171" s="140"/>
      <c r="M6171" s="131"/>
      <c r="N6171" s="131"/>
      <c r="O6171" s="131"/>
      <c r="P6171" s="143"/>
      <c r="Q6171" s="66"/>
      <c r="R6171" s="131"/>
      <c r="S6171" s="144"/>
      <c r="T6171" s="131"/>
      <c r="U6171" s="131"/>
      <c r="V6171" s="131"/>
      <c r="W6171" s="131"/>
      <c r="X6171" s="145"/>
      <c r="Y6171" s="146"/>
      <c r="Z6171" s="147"/>
      <c r="AA6171" s="147"/>
      <c r="AB6171" s="110"/>
      <c r="AC6171" s="132"/>
      <c r="AD6171" s="148"/>
      <c r="AE6171" s="148"/>
    </row>
    <row r="6172" customFormat="false" ht="15" hidden="false" customHeight="true" outlineLevel="0" collapsed="false">
      <c r="A6172" s="141"/>
      <c r="B6172" s="131"/>
      <c r="C6172" s="132"/>
      <c r="D6172" s="131"/>
      <c r="E6172" s="110"/>
      <c r="F6172" s="110"/>
      <c r="G6172" s="110"/>
      <c r="H6172" s="131"/>
      <c r="I6172" s="131"/>
      <c r="J6172" s="142"/>
      <c r="K6172" s="142"/>
      <c r="L6172" s="140"/>
      <c r="M6172" s="131"/>
      <c r="N6172" s="131"/>
      <c r="O6172" s="131"/>
      <c r="P6172" s="143"/>
      <c r="Q6172" s="66"/>
      <c r="R6172" s="131"/>
      <c r="S6172" s="144"/>
      <c r="T6172" s="131"/>
      <c r="U6172" s="131"/>
      <c r="V6172" s="131"/>
      <c r="W6172" s="131"/>
      <c r="X6172" s="145"/>
      <c r="Y6172" s="146"/>
      <c r="Z6172" s="147"/>
      <c r="AA6172" s="147"/>
      <c r="AB6172" s="110"/>
      <c r="AC6172" s="132"/>
      <c r="AD6172" s="148"/>
      <c r="AE6172" s="148"/>
    </row>
    <row r="6173" customFormat="false" ht="15" hidden="false" customHeight="true" outlineLevel="0" collapsed="false">
      <c r="A6173" s="141"/>
      <c r="B6173" s="131"/>
      <c r="C6173" s="132"/>
      <c r="D6173" s="131"/>
      <c r="E6173" s="110"/>
      <c r="F6173" s="110"/>
      <c r="G6173" s="110"/>
      <c r="H6173" s="131"/>
      <c r="I6173" s="131"/>
      <c r="J6173" s="142"/>
      <c r="K6173" s="142"/>
      <c r="L6173" s="140"/>
      <c r="M6173" s="131"/>
      <c r="N6173" s="131"/>
      <c r="O6173" s="131"/>
      <c r="P6173" s="143"/>
      <c r="Q6173" s="66"/>
      <c r="R6173" s="131"/>
      <c r="S6173" s="144"/>
      <c r="T6173" s="131"/>
      <c r="U6173" s="131"/>
      <c r="V6173" s="131"/>
      <c r="W6173" s="131"/>
      <c r="X6173" s="145"/>
      <c r="Y6173" s="146"/>
      <c r="Z6173" s="147"/>
      <c r="AA6173" s="147"/>
      <c r="AB6173" s="110"/>
      <c r="AC6173" s="132"/>
      <c r="AD6173" s="148"/>
      <c r="AE6173" s="148"/>
    </row>
    <row r="6174" customFormat="false" ht="15" hidden="false" customHeight="true" outlineLevel="0" collapsed="false">
      <c r="A6174" s="141"/>
      <c r="B6174" s="131"/>
      <c r="C6174" s="132"/>
      <c r="D6174" s="131"/>
      <c r="E6174" s="110"/>
      <c r="F6174" s="110"/>
      <c r="G6174" s="110"/>
      <c r="H6174" s="131"/>
      <c r="I6174" s="131"/>
      <c r="J6174" s="142"/>
      <c r="K6174" s="142"/>
      <c r="L6174" s="140"/>
      <c r="M6174" s="131"/>
      <c r="N6174" s="131"/>
      <c r="O6174" s="131"/>
      <c r="P6174" s="143"/>
      <c r="Q6174" s="66"/>
      <c r="R6174" s="131"/>
      <c r="S6174" s="144"/>
      <c r="T6174" s="131"/>
      <c r="U6174" s="131"/>
      <c r="V6174" s="131"/>
      <c r="W6174" s="131"/>
      <c r="X6174" s="145"/>
      <c r="Y6174" s="146"/>
      <c r="Z6174" s="147"/>
      <c r="AA6174" s="147"/>
      <c r="AB6174" s="110"/>
      <c r="AC6174" s="132"/>
      <c r="AD6174" s="148"/>
      <c r="AE6174" s="148"/>
    </row>
    <row r="6175" customFormat="false" ht="15" hidden="false" customHeight="true" outlineLevel="0" collapsed="false">
      <c r="A6175" s="141"/>
      <c r="B6175" s="131"/>
      <c r="C6175" s="132"/>
      <c r="D6175" s="131"/>
      <c r="E6175" s="110"/>
      <c r="F6175" s="110"/>
      <c r="G6175" s="110"/>
      <c r="H6175" s="131"/>
      <c r="I6175" s="131"/>
      <c r="J6175" s="142"/>
      <c r="K6175" s="142"/>
      <c r="L6175" s="140"/>
      <c r="M6175" s="131"/>
      <c r="N6175" s="131"/>
      <c r="O6175" s="131"/>
      <c r="P6175" s="143"/>
      <c r="Q6175" s="66"/>
      <c r="R6175" s="131"/>
      <c r="S6175" s="144"/>
      <c r="T6175" s="131"/>
      <c r="U6175" s="131"/>
      <c r="V6175" s="131"/>
      <c r="W6175" s="131"/>
      <c r="X6175" s="145"/>
      <c r="Y6175" s="146"/>
      <c r="Z6175" s="147"/>
      <c r="AA6175" s="147"/>
      <c r="AB6175" s="110"/>
      <c r="AC6175" s="132"/>
      <c r="AD6175" s="148"/>
      <c r="AE6175" s="148"/>
    </row>
    <row r="6176" customFormat="false" ht="15" hidden="false" customHeight="true" outlineLevel="0" collapsed="false">
      <c r="A6176" s="141"/>
      <c r="B6176" s="131"/>
      <c r="C6176" s="132"/>
      <c r="D6176" s="131"/>
      <c r="E6176" s="110"/>
      <c r="F6176" s="110"/>
      <c r="G6176" s="110"/>
      <c r="H6176" s="131"/>
      <c r="I6176" s="131"/>
      <c r="J6176" s="142"/>
      <c r="K6176" s="142"/>
      <c r="L6176" s="140"/>
      <c r="M6176" s="131"/>
      <c r="N6176" s="131"/>
      <c r="O6176" s="131"/>
      <c r="P6176" s="143"/>
      <c r="Q6176" s="66"/>
      <c r="R6176" s="131"/>
      <c r="S6176" s="144"/>
      <c r="T6176" s="131"/>
      <c r="U6176" s="131"/>
      <c r="V6176" s="131"/>
      <c r="W6176" s="131"/>
      <c r="X6176" s="145"/>
      <c r="Y6176" s="146"/>
      <c r="Z6176" s="147"/>
      <c r="AA6176" s="147"/>
      <c r="AB6176" s="110"/>
      <c r="AC6176" s="132"/>
      <c r="AD6176" s="148"/>
      <c r="AE6176" s="148"/>
    </row>
    <row r="6177" customFormat="false" ht="15" hidden="false" customHeight="true" outlineLevel="0" collapsed="false">
      <c r="A6177" s="141"/>
      <c r="B6177" s="131"/>
      <c r="C6177" s="132"/>
      <c r="D6177" s="131"/>
      <c r="E6177" s="110"/>
      <c r="F6177" s="110"/>
      <c r="G6177" s="110"/>
      <c r="H6177" s="131"/>
      <c r="I6177" s="131"/>
      <c r="J6177" s="142"/>
      <c r="K6177" s="142"/>
      <c r="L6177" s="140"/>
      <c r="M6177" s="131"/>
      <c r="N6177" s="131"/>
      <c r="O6177" s="131"/>
      <c r="P6177" s="143"/>
      <c r="Q6177" s="66"/>
      <c r="R6177" s="131"/>
      <c r="S6177" s="144"/>
      <c r="T6177" s="131"/>
      <c r="U6177" s="131"/>
      <c r="V6177" s="131"/>
      <c r="W6177" s="131"/>
      <c r="X6177" s="145"/>
      <c r="Y6177" s="146"/>
      <c r="Z6177" s="147"/>
      <c r="AA6177" s="147"/>
      <c r="AB6177" s="110"/>
      <c r="AC6177" s="132"/>
      <c r="AD6177" s="148"/>
      <c r="AE6177" s="148"/>
    </row>
    <row r="6178" customFormat="false" ht="15" hidden="false" customHeight="true" outlineLevel="0" collapsed="false">
      <c r="A6178" s="141"/>
      <c r="B6178" s="131"/>
      <c r="C6178" s="132"/>
      <c r="D6178" s="131"/>
      <c r="E6178" s="110"/>
      <c r="F6178" s="110"/>
      <c r="G6178" s="110"/>
      <c r="H6178" s="131"/>
      <c r="I6178" s="131"/>
      <c r="J6178" s="142"/>
      <c r="K6178" s="142"/>
      <c r="L6178" s="140"/>
      <c r="M6178" s="131"/>
      <c r="N6178" s="131"/>
      <c r="O6178" s="131"/>
      <c r="P6178" s="143"/>
      <c r="Q6178" s="66"/>
      <c r="R6178" s="131"/>
      <c r="S6178" s="144"/>
      <c r="T6178" s="131"/>
      <c r="U6178" s="131"/>
      <c r="V6178" s="131"/>
      <c r="W6178" s="131"/>
      <c r="X6178" s="145"/>
      <c r="Y6178" s="146"/>
      <c r="Z6178" s="147"/>
      <c r="AA6178" s="147"/>
      <c r="AB6178" s="110"/>
      <c r="AC6178" s="132"/>
      <c r="AD6178" s="148"/>
      <c r="AE6178" s="148"/>
    </row>
    <row r="6179" customFormat="false" ht="15" hidden="false" customHeight="true" outlineLevel="0" collapsed="false">
      <c r="A6179" s="141"/>
      <c r="B6179" s="131"/>
      <c r="C6179" s="132"/>
      <c r="D6179" s="131"/>
      <c r="E6179" s="110"/>
      <c r="F6179" s="110"/>
      <c r="G6179" s="110"/>
      <c r="H6179" s="131"/>
      <c r="I6179" s="131"/>
      <c r="J6179" s="142"/>
      <c r="K6179" s="142"/>
      <c r="L6179" s="140"/>
      <c r="M6179" s="131"/>
      <c r="N6179" s="131"/>
      <c r="O6179" s="131"/>
      <c r="P6179" s="143"/>
      <c r="Q6179" s="66"/>
      <c r="R6179" s="131"/>
      <c r="S6179" s="144"/>
      <c r="T6179" s="131"/>
      <c r="U6179" s="131"/>
      <c r="V6179" s="131"/>
      <c r="W6179" s="131"/>
      <c r="X6179" s="145"/>
      <c r="Y6179" s="146"/>
      <c r="Z6179" s="147"/>
      <c r="AA6179" s="147"/>
      <c r="AB6179" s="110"/>
      <c r="AC6179" s="132"/>
      <c r="AD6179" s="148"/>
      <c r="AE6179" s="148"/>
    </row>
    <row r="6180" customFormat="false" ht="15" hidden="false" customHeight="true" outlineLevel="0" collapsed="false">
      <c r="A6180" s="141"/>
      <c r="B6180" s="131"/>
      <c r="C6180" s="132"/>
      <c r="D6180" s="131"/>
      <c r="E6180" s="110"/>
      <c r="F6180" s="110"/>
      <c r="G6180" s="110"/>
      <c r="H6180" s="131"/>
      <c r="I6180" s="131"/>
      <c r="J6180" s="142"/>
      <c r="K6180" s="142"/>
      <c r="L6180" s="140"/>
      <c r="M6180" s="131"/>
      <c r="N6180" s="131"/>
      <c r="O6180" s="131"/>
      <c r="P6180" s="143"/>
      <c r="Q6180" s="66"/>
      <c r="R6180" s="131"/>
      <c r="S6180" s="144"/>
      <c r="T6180" s="131"/>
      <c r="U6180" s="131"/>
      <c r="V6180" s="131"/>
      <c r="W6180" s="131"/>
      <c r="X6180" s="145"/>
      <c r="Y6180" s="146"/>
      <c r="Z6180" s="147"/>
      <c r="AA6180" s="147"/>
      <c r="AB6180" s="110"/>
      <c r="AC6180" s="132"/>
      <c r="AD6180" s="148"/>
      <c r="AE6180" s="148"/>
    </row>
    <row r="6181" customFormat="false" ht="15" hidden="false" customHeight="true" outlineLevel="0" collapsed="false">
      <c r="A6181" s="141"/>
      <c r="B6181" s="131"/>
      <c r="C6181" s="132"/>
      <c r="D6181" s="131"/>
      <c r="E6181" s="110"/>
      <c r="F6181" s="110"/>
      <c r="G6181" s="110"/>
      <c r="H6181" s="131"/>
      <c r="I6181" s="131"/>
      <c r="J6181" s="142"/>
      <c r="K6181" s="142"/>
      <c r="L6181" s="140"/>
      <c r="M6181" s="131"/>
      <c r="N6181" s="131"/>
      <c r="O6181" s="131"/>
      <c r="P6181" s="143"/>
      <c r="Q6181" s="66"/>
      <c r="R6181" s="131"/>
      <c r="S6181" s="144"/>
      <c r="T6181" s="131"/>
      <c r="U6181" s="131"/>
      <c r="V6181" s="131"/>
      <c r="W6181" s="131"/>
      <c r="X6181" s="145"/>
      <c r="Y6181" s="146"/>
      <c r="Z6181" s="147"/>
      <c r="AA6181" s="147"/>
      <c r="AB6181" s="110"/>
      <c r="AC6181" s="132"/>
      <c r="AD6181" s="148"/>
      <c r="AE6181" s="148"/>
    </row>
    <row r="6182" customFormat="false" ht="15" hidden="false" customHeight="true" outlineLevel="0" collapsed="false">
      <c r="A6182" s="141"/>
      <c r="B6182" s="131"/>
      <c r="C6182" s="132"/>
      <c r="D6182" s="131"/>
      <c r="E6182" s="110"/>
      <c r="F6182" s="110"/>
      <c r="G6182" s="110"/>
      <c r="H6182" s="131"/>
      <c r="I6182" s="131"/>
      <c r="J6182" s="142"/>
      <c r="K6182" s="142"/>
      <c r="L6182" s="140"/>
      <c r="M6182" s="131"/>
      <c r="N6182" s="131"/>
      <c r="O6182" s="131"/>
      <c r="P6182" s="143"/>
      <c r="Q6182" s="66"/>
      <c r="R6182" s="131"/>
      <c r="S6182" s="144"/>
      <c r="T6182" s="131"/>
      <c r="U6182" s="131"/>
      <c r="V6182" s="131"/>
      <c r="W6182" s="131"/>
      <c r="X6182" s="145"/>
      <c r="Y6182" s="146"/>
      <c r="Z6182" s="147"/>
      <c r="AA6182" s="147"/>
      <c r="AB6182" s="110"/>
      <c r="AC6182" s="132"/>
      <c r="AD6182" s="148"/>
      <c r="AE6182" s="148"/>
    </row>
    <row r="6183" customFormat="false" ht="15" hidden="false" customHeight="true" outlineLevel="0" collapsed="false">
      <c r="A6183" s="141"/>
      <c r="B6183" s="131"/>
      <c r="C6183" s="132"/>
      <c r="D6183" s="131"/>
      <c r="E6183" s="110"/>
      <c r="F6183" s="110"/>
      <c r="G6183" s="110"/>
      <c r="H6183" s="131"/>
      <c r="I6183" s="131"/>
      <c r="J6183" s="142"/>
      <c r="K6183" s="142"/>
      <c r="L6183" s="140"/>
      <c r="M6183" s="131"/>
      <c r="N6183" s="131"/>
      <c r="O6183" s="131"/>
      <c r="P6183" s="143"/>
      <c r="Q6183" s="66"/>
      <c r="R6183" s="131"/>
      <c r="S6183" s="144"/>
      <c r="T6183" s="131"/>
      <c r="U6183" s="131"/>
      <c r="V6183" s="131"/>
      <c r="W6183" s="131"/>
      <c r="X6183" s="145"/>
      <c r="Y6183" s="146"/>
      <c r="Z6183" s="147"/>
      <c r="AA6183" s="147"/>
      <c r="AB6183" s="110"/>
      <c r="AC6183" s="132"/>
      <c r="AD6183" s="148"/>
      <c r="AE6183" s="148"/>
    </row>
    <row r="6184" customFormat="false" ht="15" hidden="false" customHeight="true" outlineLevel="0" collapsed="false">
      <c r="A6184" s="141"/>
      <c r="B6184" s="131"/>
      <c r="C6184" s="132"/>
      <c r="D6184" s="131"/>
      <c r="E6184" s="110"/>
      <c r="F6184" s="110"/>
      <c r="G6184" s="110"/>
      <c r="H6184" s="131"/>
      <c r="I6184" s="131"/>
      <c r="J6184" s="142"/>
      <c r="K6184" s="142"/>
      <c r="L6184" s="140"/>
      <c r="M6184" s="131"/>
      <c r="N6184" s="131"/>
      <c r="O6184" s="131"/>
      <c r="P6184" s="143"/>
      <c r="Q6184" s="66"/>
      <c r="R6184" s="131"/>
      <c r="S6184" s="144"/>
      <c r="T6184" s="131"/>
      <c r="U6184" s="131"/>
      <c r="V6184" s="131"/>
      <c r="W6184" s="131"/>
      <c r="X6184" s="145"/>
      <c r="Y6184" s="146"/>
      <c r="Z6184" s="147"/>
      <c r="AA6184" s="147"/>
      <c r="AB6184" s="110"/>
      <c r="AC6184" s="132"/>
      <c r="AD6184" s="148"/>
      <c r="AE6184" s="148"/>
    </row>
    <row r="6185" customFormat="false" ht="15" hidden="false" customHeight="true" outlineLevel="0" collapsed="false">
      <c r="A6185" s="141"/>
      <c r="B6185" s="131"/>
      <c r="C6185" s="132"/>
      <c r="D6185" s="131"/>
      <c r="E6185" s="110"/>
      <c r="F6185" s="110"/>
      <c r="G6185" s="110"/>
      <c r="H6185" s="131"/>
      <c r="I6185" s="131"/>
      <c r="J6185" s="142"/>
      <c r="K6185" s="142"/>
      <c r="L6185" s="140"/>
      <c r="M6185" s="131"/>
      <c r="N6185" s="131"/>
      <c r="O6185" s="131"/>
      <c r="P6185" s="143"/>
      <c r="Q6185" s="66"/>
      <c r="R6185" s="131"/>
      <c r="S6185" s="144"/>
      <c r="T6185" s="131"/>
      <c r="U6185" s="131"/>
      <c r="V6185" s="131"/>
      <c r="W6185" s="131"/>
      <c r="X6185" s="145"/>
      <c r="Y6185" s="146"/>
      <c r="Z6185" s="147"/>
      <c r="AA6185" s="147"/>
      <c r="AB6185" s="110"/>
      <c r="AC6185" s="132"/>
      <c r="AD6185" s="148"/>
      <c r="AE6185" s="148"/>
    </row>
    <row r="6186" customFormat="false" ht="15" hidden="false" customHeight="true" outlineLevel="0" collapsed="false">
      <c r="A6186" s="141"/>
      <c r="B6186" s="131"/>
      <c r="C6186" s="132"/>
      <c r="D6186" s="131"/>
      <c r="E6186" s="110"/>
      <c r="F6186" s="110"/>
      <c r="G6186" s="110"/>
      <c r="H6186" s="131"/>
      <c r="I6186" s="131"/>
      <c r="J6186" s="142"/>
      <c r="K6186" s="142"/>
      <c r="L6186" s="140"/>
      <c r="M6186" s="131"/>
      <c r="N6186" s="131"/>
      <c r="O6186" s="131"/>
      <c r="P6186" s="143"/>
      <c r="Q6186" s="66"/>
      <c r="R6186" s="131"/>
      <c r="S6186" s="144"/>
      <c r="T6186" s="131"/>
      <c r="U6186" s="131"/>
      <c r="V6186" s="131"/>
      <c r="W6186" s="131"/>
      <c r="X6186" s="145"/>
      <c r="Y6186" s="146"/>
      <c r="Z6186" s="147"/>
      <c r="AA6186" s="147"/>
      <c r="AB6186" s="110"/>
      <c r="AC6186" s="132"/>
      <c r="AD6186" s="148"/>
      <c r="AE6186" s="148"/>
    </row>
    <row r="6187" customFormat="false" ht="15" hidden="false" customHeight="true" outlineLevel="0" collapsed="false">
      <c r="A6187" s="141"/>
      <c r="B6187" s="131"/>
      <c r="C6187" s="132"/>
      <c r="D6187" s="131"/>
      <c r="E6187" s="110"/>
      <c r="F6187" s="110"/>
      <c r="G6187" s="110"/>
      <c r="H6187" s="131"/>
      <c r="I6187" s="131"/>
      <c r="J6187" s="142"/>
      <c r="K6187" s="142"/>
      <c r="L6187" s="140"/>
      <c r="M6187" s="131"/>
      <c r="N6187" s="131"/>
      <c r="O6187" s="131"/>
      <c r="P6187" s="143"/>
      <c r="Q6187" s="66"/>
      <c r="R6187" s="131"/>
      <c r="S6187" s="144"/>
      <c r="T6187" s="131"/>
      <c r="U6187" s="131"/>
      <c r="V6187" s="131"/>
      <c r="W6187" s="131"/>
      <c r="X6187" s="145"/>
      <c r="Y6187" s="146"/>
      <c r="Z6187" s="147"/>
      <c r="AA6187" s="147"/>
      <c r="AB6187" s="110"/>
      <c r="AC6187" s="132"/>
      <c r="AD6187" s="148"/>
      <c r="AE6187" s="148"/>
    </row>
    <row r="6188" customFormat="false" ht="15" hidden="false" customHeight="true" outlineLevel="0" collapsed="false">
      <c r="A6188" s="141"/>
      <c r="B6188" s="131"/>
      <c r="C6188" s="132"/>
      <c r="D6188" s="131"/>
      <c r="E6188" s="110"/>
      <c r="F6188" s="110"/>
      <c r="G6188" s="110"/>
      <c r="H6188" s="131"/>
      <c r="I6188" s="131"/>
      <c r="J6188" s="142"/>
      <c r="K6188" s="142"/>
      <c r="L6188" s="140"/>
      <c r="M6188" s="131"/>
      <c r="N6188" s="131"/>
      <c r="O6188" s="131"/>
      <c r="P6188" s="143"/>
      <c r="Q6188" s="66"/>
      <c r="R6188" s="131"/>
      <c r="S6188" s="144"/>
      <c r="T6188" s="131"/>
      <c r="U6188" s="131"/>
      <c r="V6188" s="131"/>
      <c r="W6188" s="131"/>
      <c r="X6188" s="145"/>
      <c r="Y6188" s="146"/>
      <c r="Z6188" s="147"/>
      <c r="AA6188" s="147"/>
      <c r="AB6188" s="110"/>
      <c r="AC6188" s="132"/>
      <c r="AD6188" s="148"/>
      <c r="AE6188" s="148"/>
    </row>
    <row r="6189" customFormat="false" ht="15" hidden="false" customHeight="true" outlineLevel="0" collapsed="false">
      <c r="A6189" s="141"/>
      <c r="B6189" s="131"/>
      <c r="C6189" s="132"/>
      <c r="D6189" s="131"/>
      <c r="E6189" s="110"/>
      <c r="F6189" s="110"/>
      <c r="G6189" s="110"/>
      <c r="H6189" s="131"/>
      <c r="I6189" s="131"/>
      <c r="J6189" s="142"/>
      <c r="K6189" s="142"/>
      <c r="L6189" s="140"/>
      <c r="M6189" s="131"/>
      <c r="N6189" s="131"/>
      <c r="O6189" s="131"/>
      <c r="P6189" s="143"/>
      <c r="Q6189" s="66"/>
      <c r="R6189" s="131"/>
      <c r="S6189" s="144"/>
      <c r="T6189" s="131"/>
      <c r="U6189" s="131"/>
      <c r="V6189" s="131"/>
      <c r="W6189" s="131"/>
      <c r="X6189" s="145"/>
      <c r="Y6189" s="146"/>
      <c r="Z6189" s="147"/>
      <c r="AA6189" s="147"/>
      <c r="AB6189" s="110"/>
      <c r="AC6189" s="132"/>
      <c r="AD6189" s="148"/>
      <c r="AE6189" s="148"/>
    </row>
    <row r="6190" customFormat="false" ht="15" hidden="false" customHeight="true" outlineLevel="0" collapsed="false">
      <c r="A6190" s="141"/>
      <c r="B6190" s="131"/>
      <c r="C6190" s="132"/>
      <c r="D6190" s="131"/>
      <c r="E6190" s="110"/>
      <c r="F6190" s="110"/>
      <c r="G6190" s="110"/>
      <c r="H6190" s="131"/>
      <c r="I6190" s="131"/>
      <c r="J6190" s="142"/>
      <c r="K6190" s="142"/>
      <c r="L6190" s="140"/>
      <c r="M6190" s="131"/>
      <c r="N6190" s="131"/>
      <c r="O6190" s="131"/>
      <c r="P6190" s="143"/>
      <c r="Q6190" s="66"/>
      <c r="R6190" s="131"/>
      <c r="S6190" s="144"/>
      <c r="T6190" s="131"/>
      <c r="U6190" s="131"/>
      <c r="V6190" s="131"/>
      <c r="W6190" s="131"/>
      <c r="X6190" s="145"/>
      <c r="Y6190" s="146"/>
      <c r="Z6190" s="147"/>
      <c r="AA6190" s="147"/>
      <c r="AB6190" s="110"/>
      <c r="AC6190" s="132"/>
      <c r="AD6190" s="148"/>
      <c r="AE6190" s="148"/>
    </row>
    <row r="6191" customFormat="false" ht="15" hidden="false" customHeight="true" outlineLevel="0" collapsed="false">
      <c r="A6191" s="141"/>
      <c r="B6191" s="131"/>
      <c r="C6191" s="132"/>
      <c r="D6191" s="131"/>
      <c r="E6191" s="110"/>
      <c r="F6191" s="110"/>
      <c r="G6191" s="110"/>
      <c r="H6191" s="131"/>
      <c r="I6191" s="131"/>
      <c r="J6191" s="142"/>
      <c r="K6191" s="142"/>
      <c r="L6191" s="140"/>
      <c r="M6191" s="131"/>
      <c r="N6191" s="131"/>
      <c r="O6191" s="131"/>
      <c r="P6191" s="143"/>
      <c r="Q6191" s="66"/>
      <c r="R6191" s="131"/>
      <c r="S6191" s="144"/>
      <c r="T6191" s="131"/>
      <c r="U6191" s="131"/>
      <c r="V6191" s="131"/>
      <c r="W6191" s="131"/>
      <c r="X6191" s="145"/>
      <c r="Y6191" s="146"/>
      <c r="Z6191" s="147"/>
      <c r="AA6191" s="147"/>
      <c r="AB6191" s="110"/>
      <c r="AC6191" s="132"/>
      <c r="AD6191" s="148"/>
      <c r="AE6191" s="148"/>
    </row>
    <row r="6192" customFormat="false" ht="15" hidden="false" customHeight="true" outlineLevel="0" collapsed="false">
      <c r="A6192" s="141"/>
      <c r="B6192" s="131"/>
      <c r="C6192" s="132"/>
      <c r="D6192" s="131"/>
      <c r="E6192" s="110"/>
      <c r="F6192" s="110"/>
      <c r="G6192" s="110"/>
      <c r="H6192" s="131"/>
      <c r="I6192" s="131"/>
      <c r="J6192" s="142"/>
      <c r="K6192" s="142"/>
      <c r="L6192" s="140"/>
      <c r="M6192" s="131"/>
      <c r="N6192" s="131"/>
      <c r="O6192" s="131"/>
      <c r="P6192" s="143"/>
      <c r="Q6192" s="66"/>
      <c r="R6192" s="131"/>
      <c r="S6192" s="144"/>
      <c r="T6192" s="131"/>
      <c r="U6192" s="131"/>
      <c r="V6192" s="131"/>
      <c r="W6192" s="131"/>
      <c r="X6192" s="145"/>
      <c r="Y6192" s="146"/>
      <c r="Z6192" s="147"/>
      <c r="AA6192" s="147"/>
      <c r="AB6192" s="110"/>
      <c r="AC6192" s="132"/>
      <c r="AD6192" s="148"/>
      <c r="AE6192" s="148"/>
    </row>
    <row r="6193" customFormat="false" ht="15" hidden="false" customHeight="true" outlineLevel="0" collapsed="false">
      <c r="A6193" s="141"/>
      <c r="B6193" s="131"/>
      <c r="C6193" s="132"/>
      <c r="D6193" s="131"/>
      <c r="E6193" s="110"/>
      <c r="F6193" s="110"/>
      <c r="G6193" s="110"/>
      <c r="H6193" s="131"/>
      <c r="I6193" s="131"/>
      <c r="J6193" s="142"/>
      <c r="K6193" s="142"/>
      <c r="L6193" s="140"/>
      <c r="M6193" s="131"/>
      <c r="N6193" s="131"/>
      <c r="O6193" s="131"/>
      <c r="P6193" s="143"/>
      <c r="Q6193" s="66"/>
      <c r="R6193" s="131"/>
      <c r="S6193" s="144"/>
      <c r="T6193" s="131"/>
      <c r="U6193" s="131"/>
      <c r="V6193" s="131"/>
      <c r="W6193" s="131"/>
      <c r="X6193" s="145"/>
      <c r="Y6193" s="146"/>
      <c r="Z6193" s="147"/>
      <c r="AA6193" s="147"/>
      <c r="AB6193" s="110"/>
      <c r="AC6193" s="132"/>
      <c r="AD6193" s="148"/>
      <c r="AE6193" s="148"/>
    </row>
    <row r="6194" customFormat="false" ht="15" hidden="false" customHeight="true" outlineLevel="0" collapsed="false">
      <c r="A6194" s="141"/>
      <c r="B6194" s="131"/>
      <c r="C6194" s="132"/>
      <c r="D6194" s="131"/>
      <c r="E6194" s="110"/>
      <c r="F6194" s="110"/>
      <c r="G6194" s="110"/>
      <c r="H6194" s="131"/>
      <c r="I6194" s="131"/>
      <c r="J6194" s="142"/>
      <c r="K6194" s="142"/>
      <c r="L6194" s="140"/>
      <c r="M6194" s="131"/>
      <c r="N6194" s="131"/>
      <c r="O6194" s="131"/>
      <c r="P6194" s="143"/>
      <c r="Q6194" s="66"/>
      <c r="R6194" s="131"/>
      <c r="S6194" s="144"/>
      <c r="T6194" s="131"/>
      <c r="U6194" s="131"/>
      <c r="V6194" s="131"/>
      <c r="W6194" s="131"/>
      <c r="X6194" s="145"/>
      <c r="Y6194" s="146"/>
      <c r="Z6194" s="147"/>
      <c r="AA6194" s="147"/>
      <c r="AB6194" s="110"/>
      <c r="AC6194" s="132"/>
      <c r="AD6194" s="148"/>
      <c r="AE6194" s="148"/>
    </row>
    <row r="6195" customFormat="false" ht="15" hidden="false" customHeight="true" outlineLevel="0" collapsed="false">
      <c r="A6195" s="141"/>
      <c r="B6195" s="131"/>
      <c r="C6195" s="132"/>
      <c r="D6195" s="131"/>
      <c r="E6195" s="110"/>
      <c r="F6195" s="110"/>
      <c r="G6195" s="110"/>
      <c r="H6195" s="131"/>
      <c r="I6195" s="131"/>
      <c r="J6195" s="142"/>
      <c r="K6195" s="142"/>
      <c r="L6195" s="140"/>
      <c r="M6195" s="131"/>
      <c r="N6195" s="131"/>
      <c r="O6195" s="131"/>
      <c r="P6195" s="143"/>
      <c r="Q6195" s="66"/>
      <c r="R6195" s="131"/>
      <c r="S6195" s="144"/>
      <c r="T6195" s="131"/>
      <c r="U6195" s="131"/>
      <c r="V6195" s="131"/>
      <c r="W6195" s="131"/>
      <c r="X6195" s="145"/>
      <c r="Y6195" s="146"/>
      <c r="Z6195" s="147"/>
      <c r="AA6195" s="147"/>
      <c r="AB6195" s="110"/>
      <c r="AC6195" s="132"/>
      <c r="AD6195" s="148"/>
      <c r="AE6195" s="148"/>
    </row>
    <row r="6196" customFormat="false" ht="15" hidden="false" customHeight="true" outlineLevel="0" collapsed="false">
      <c r="A6196" s="141"/>
      <c r="B6196" s="131"/>
      <c r="C6196" s="132"/>
      <c r="D6196" s="131"/>
      <c r="E6196" s="110"/>
      <c r="F6196" s="110"/>
      <c r="G6196" s="110"/>
      <c r="H6196" s="131"/>
      <c r="I6196" s="131"/>
      <c r="J6196" s="142"/>
      <c r="K6196" s="142"/>
      <c r="L6196" s="140"/>
      <c r="M6196" s="131"/>
      <c r="N6196" s="131"/>
      <c r="O6196" s="131"/>
      <c r="P6196" s="143"/>
      <c r="Q6196" s="66"/>
      <c r="R6196" s="131"/>
      <c r="S6196" s="144"/>
      <c r="T6196" s="131"/>
      <c r="U6196" s="131"/>
      <c r="V6196" s="131"/>
      <c r="W6196" s="131"/>
      <c r="X6196" s="145"/>
      <c r="Y6196" s="146"/>
      <c r="Z6196" s="147"/>
      <c r="AA6196" s="147"/>
      <c r="AB6196" s="110"/>
      <c r="AC6196" s="132"/>
      <c r="AD6196" s="148"/>
      <c r="AE6196" s="148"/>
    </row>
    <row r="6197" customFormat="false" ht="15" hidden="false" customHeight="true" outlineLevel="0" collapsed="false">
      <c r="A6197" s="141"/>
      <c r="B6197" s="131"/>
      <c r="C6197" s="132"/>
      <c r="D6197" s="131"/>
      <c r="E6197" s="110"/>
      <c r="F6197" s="110"/>
      <c r="G6197" s="110"/>
      <c r="H6197" s="131"/>
      <c r="I6197" s="131"/>
      <c r="J6197" s="142"/>
      <c r="K6197" s="142"/>
      <c r="L6197" s="140"/>
      <c r="M6197" s="131"/>
      <c r="N6197" s="131"/>
      <c r="O6197" s="131"/>
      <c r="P6197" s="143"/>
      <c r="Q6197" s="66"/>
      <c r="R6197" s="131"/>
      <c r="S6197" s="144"/>
      <c r="T6197" s="131"/>
      <c r="U6197" s="131"/>
      <c r="V6197" s="131"/>
      <c r="W6197" s="131"/>
      <c r="X6197" s="145"/>
      <c r="Y6197" s="146"/>
      <c r="Z6197" s="147"/>
      <c r="AA6197" s="147"/>
      <c r="AB6197" s="110"/>
      <c r="AC6197" s="132"/>
      <c r="AD6197" s="148"/>
      <c r="AE6197" s="148"/>
    </row>
    <row r="6198" customFormat="false" ht="15" hidden="false" customHeight="true" outlineLevel="0" collapsed="false">
      <c r="A6198" s="141"/>
      <c r="B6198" s="131"/>
      <c r="C6198" s="132"/>
      <c r="D6198" s="131"/>
      <c r="E6198" s="110"/>
      <c r="F6198" s="110"/>
      <c r="G6198" s="110"/>
      <c r="H6198" s="131"/>
      <c r="I6198" s="131"/>
      <c r="J6198" s="142"/>
      <c r="K6198" s="142"/>
      <c r="L6198" s="140"/>
      <c r="M6198" s="131"/>
      <c r="N6198" s="131"/>
      <c r="O6198" s="131"/>
      <c r="P6198" s="143"/>
      <c r="Q6198" s="66"/>
      <c r="R6198" s="131"/>
      <c r="S6198" s="144"/>
      <c r="T6198" s="131"/>
      <c r="U6198" s="131"/>
      <c r="V6198" s="131"/>
      <c r="W6198" s="131"/>
      <c r="X6198" s="145"/>
      <c r="Y6198" s="146"/>
      <c r="Z6198" s="147"/>
      <c r="AA6198" s="147"/>
      <c r="AB6198" s="110"/>
      <c r="AC6198" s="132"/>
      <c r="AD6198" s="148"/>
      <c r="AE6198" s="148"/>
    </row>
    <row r="6199" customFormat="false" ht="15" hidden="false" customHeight="true" outlineLevel="0" collapsed="false">
      <c r="A6199" s="141"/>
      <c r="B6199" s="131"/>
      <c r="C6199" s="132"/>
      <c r="D6199" s="131"/>
      <c r="E6199" s="110"/>
      <c r="F6199" s="110"/>
      <c r="G6199" s="110"/>
      <c r="H6199" s="131"/>
      <c r="I6199" s="131"/>
      <c r="J6199" s="142"/>
      <c r="K6199" s="142"/>
      <c r="L6199" s="140"/>
      <c r="M6199" s="131"/>
      <c r="N6199" s="131"/>
      <c r="O6199" s="131"/>
      <c r="P6199" s="143"/>
      <c r="Q6199" s="66"/>
      <c r="R6199" s="131"/>
      <c r="S6199" s="144"/>
      <c r="T6199" s="131"/>
      <c r="U6199" s="131"/>
      <c r="V6199" s="131"/>
      <c r="W6199" s="131"/>
      <c r="X6199" s="145"/>
      <c r="Y6199" s="146"/>
      <c r="Z6199" s="147"/>
      <c r="AA6199" s="147"/>
      <c r="AB6199" s="110"/>
      <c r="AC6199" s="132"/>
      <c r="AD6199" s="148"/>
      <c r="AE6199" s="148"/>
    </row>
    <row r="6200" customFormat="false" ht="15" hidden="false" customHeight="true" outlineLevel="0" collapsed="false">
      <c r="A6200" s="141"/>
      <c r="B6200" s="131"/>
      <c r="C6200" s="132"/>
      <c r="D6200" s="131"/>
      <c r="E6200" s="110"/>
      <c r="F6200" s="110"/>
      <c r="G6200" s="110"/>
      <c r="H6200" s="131"/>
      <c r="I6200" s="131"/>
      <c r="J6200" s="142"/>
      <c r="K6200" s="142"/>
      <c r="L6200" s="140"/>
      <c r="M6200" s="131"/>
      <c r="N6200" s="131"/>
      <c r="O6200" s="131"/>
      <c r="P6200" s="143"/>
      <c r="Q6200" s="66"/>
      <c r="R6200" s="131"/>
      <c r="S6200" s="144"/>
      <c r="T6200" s="131"/>
      <c r="U6200" s="131"/>
      <c r="V6200" s="131"/>
      <c r="W6200" s="131"/>
      <c r="X6200" s="145"/>
      <c r="Y6200" s="146"/>
      <c r="Z6200" s="147"/>
      <c r="AA6200" s="147"/>
      <c r="AB6200" s="110"/>
      <c r="AC6200" s="132"/>
      <c r="AD6200" s="148"/>
      <c r="AE6200" s="148"/>
    </row>
    <row r="6201" customFormat="false" ht="15" hidden="false" customHeight="true" outlineLevel="0" collapsed="false">
      <c r="A6201" s="141"/>
      <c r="B6201" s="131"/>
      <c r="C6201" s="132"/>
      <c r="D6201" s="131"/>
      <c r="E6201" s="110"/>
      <c r="F6201" s="110"/>
      <c r="G6201" s="110"/>
      <c r="H6201" s="131"/>
      <c r="I6201" s="131"/>
      <c r="J6201" s="142"/>
      <c r="K6201" s="142"/>
      <c r="L6201" s="140"/>
      <c r="M6201" s="131"/>
      <c r="N6201" s="131"/>
      <c r="O6201" s="131"/>
      <c r="P6201" s="143"/>
      <c r="Q6201" s="66"/>
      <c r="R6201" s="131"/>
      <c r="S6201" s="144"/>
      <c r="T6201" s="131"/>
      <c r="U6201" s="131"/>
      <c r="V6201" s="131"/>
      <c r="W6201" s="131"/>
      <c r="X6201" s="145"/>
      <c r="Y6201" s="146"/>
      <c r="Z6201" s="147"/>
      <c r="AA6201" s="147"/>
      <c r="AB6201" s="110"/>
      <c r="AC6201" s="132"/>
      <c r="AD6201" s="148"/>
      <c r="AE6201" s="148"/>
    </row>
    <row r="6202" customFormat="false" ht="15" hidden="false" customHeight="true" outlineLevel="0" collapsed="false">
      <c r="A6202" s="141"/>
      <c r="B6202" s="131"/>
      <c r="C6202" s="132"/>
      <c r="D6202" s="131"/>
      <c r="E6202" s="110"/>
      <c r="F6202" s="110"/>
      <c r="G6202" s="110"/>
      <c r="H6202" s="131"/>
      <c r="I6202" s="131"/>
      <c r="J6202" s="142"/>
      <c r="K6202" s="142"/>
      <c r="L6202" s="140"/>
      <c r="M6202" s="131"/>
      <c r="N6202" s="131"/>
      <c r="O6202" s="131"/>
      <c r="P6202" s="143"/>
      <c r="Q6202" s="66"/>
      <c r="R6202" s="131"/>
      <c r="S6202" s="144"/>
      <c r="T6202" s="131"/>
      <c r="U6202" s="131"/>
      <c r="V6202" s="131"/>
      <c r="W6202" s="131"/>
      <c r="X6202" s="145"/>
      <c r="Y6202" s="146"/>
      <c r="Z6202" s="147"/>
      <c r="AA6202" s="147"/>
      <c r="AB6202" s="110"/>
      <c r="AC6202" s="132"/>
      <c r="AD6202" s="148"/>
      <c r="AE6202" s="148"/>
    </row>
    <row r="6203" customFormat="false" ht="15" hidden="false" customHeight="true" outlineLevel="0" collapsed="false">
      <c r="A6203" s="141"/>
      <c r="B6203" s="131"/>
      <c r="C6203" s="132"/>
      <c r="D6203" s="131"/>
      <c r="E6203" s="110"/>
      <c r="F6203" s="110"/>
      <c r="G6203" s="110"/>
      <c r="H6203" s="131"/>
      <c r="I6203" s="131"/>
      <c r="J6203" s="142"/>
      <c r="K6203" s="142"/>
      <c r="L6203" s="140"/>
      <c r="M6203" s="131"/>
      <c r="N6203" s="131"/>
      <c r="O6203" s="131"/>
      <c r="P6203" s="143"/>
      <c r="Q6203" s="66"/>
      <c r="R6203" s="131"/>
      <c r="S6203" s="144"/>
      <c r="T6203" s="131"/>
      <c r="U6203" s="131"/>
      <c r="V6203" s="131"/>
      <c r="W6203" s="131"/>
      <c r="X6203" s="145"/>
      <c r="Y6203" s="146"/>
      <c r="Z6203" s="147"/>
      <c r="AA6203" s="147"/>
      <c r="AB6203" s="110"/>
      <c r="AC6203" s="132"/>
      <c r="AD6203" s="148"/>
      <c r="AE6203" s="148"/>
    </row>
    <row r="6204" customFormat="false" ht="15" hidden="false" customHeight="true" outlineLevel="0" collapsed="false">
      <c r="A6204" s="141"/>
      <c r="B6204" s="131"/>
      <c r="C6204" s="132"/>
      <c r="D6204" s="131"/>
      <c r="E6204" s="110"/>
      <c r="F6204" s="110"/>
      <c r="G6204" s="110"/>
      <c r="H6204" s="131"/>
      <c r="I6204" s="131"/>
      <c r="J6204" s="142"/>
      <c r="K6204" s="142"/>
      <c r="L6204" s="140"/>
      <c r="M6204" s="131"/>
      <c r="N6204" s="131"/>
      <c r="O6204" s="131"/>
      <c r="P6204" s="143"/>
      <c r="Q6204" s="66"/>
      <c r="R6204" s="131"/>
      <c r="S6204" s="144"/>
      <c r="T6204" s="131"/>
      <c r="U6204" s="131"/>
      <c r="V6204" s="131"/>
      <c r="W6204" s="131"/>
      <c r="X6204" s="145"/>
      <c r="Y6204" s="146"/>
      <c r="Z6204" s="147"/>
      <c r="AA6204" s="147"/>
      <c r="AB6204" s="110"/>
      <c r="AC6204" s="132"/>
      <c r="AD6204" s="148"/>
      <c r="AE6204" s="148"/>
    </row>
    <row r="6205" customFormat="false" ht="15" hidden="false" customHeight="true" outlineLevel="0" collapsed="false">
      <c r="A6205" s="141"/>
      <c r="B6205" s="131"/>
      <c r="C6205" s="132"/>
      <c r="D6205" s="131"/>
      <c r="E6205" s="110"/>
      <c r="F6205" s="110"/>
      <c r="G6205" s="110"/>
      <c r="H6205" s="131"/>
      <c r="I6205" s="131"/>
      <c r="J6205" s="142"/>
      <c r="K6205" s="142"/>
      <c r="L6205" s="140"/>
      <c r="M6205" s="131"/>
      <c r="N6205" s="131"/>
      <c r="O6205" s="131"/>
      <c r="P6205" s="143"/>
      <c r="Q6205" s="66"/>
      <c r="R6205" s="131"/>
      <c r="S6205" s="144"/>
      <c r="T6205" s="131"/>
      <c r="U6205" s="131"/>
      <c r="V6205" s="131"/>
      <c r="W6205" s="131"/>
      <c r="X6205" s="145"/>
      <c r="Y6205" s="146"/>
      <c r="Z6205" s="147"/>
      <c r="AA6205" s="147"/>
      <c r="AB6205" s="110"/>
      <c r="AC6205" s="132"/>
      <c r="AD6205" s="148"/>
      <c r="AE6205" s="148"/>
    </row>
    <row r="6206" customFormat="false" ht="15" hidden="false" customHeight="true" outlineLevel="0" collapsed="false">
      <c r="A6206" s="141"/>
      <c r="B6206" s="131"/>
      <c r="C6206" s="132"/>
      <c r="D6206" s="131"/>
      <c r="E6206" s="110"/>
      <c r="F6206" s="110"/>
      <c r="G6206" s="110"/>
      <c r="H6206" s="131"/>
      <c r="I6206" s="131"/>
      <c r="J6206" s="142"/>
      <c r="K6206" s="142"/>
      <c r="L6206" s="140"/>
      <c r="M6206" s="131"/>
      <c r="N6206" s="131"/>
      <c r="O6206" s="131"/>
      <c r="P6206" s="143"/>
      <c r="Q6206" s="66"/>
      <c r="R6206" s="131"/>
      <c r="S6206" s="144"/>
      <c r="T6206" s="131"/>
      <c r="U6206" s="131"/>
      <c r="V6206" s="131"/>
      <c r="W6206" s="131"/>
      <c r="X6206" s="145"/>
      <c r="Y6206" s="146"/>
      <c r="Z6206" s="147"/>
      <c r="AA6206" s="147"/>
      <c r="AB6206" s="110"/>
      <c r="AC6206" s="132"/>
      <c r="AD6206" s="148"/>
      <c r="AE6206" s="148"/>
    </row>
    <row r="6207" customFormat="false" ht="15" hidden="false" customHeight="true" outlineLevel="0" collapsed="false">
      <c r="A6207" s="141"/>
      <c r="B6207" s="131"/>
      <c r="C6207" s="132"/>
      <c r="D6207" s="131"/>
      <c r="E6207" s="110"/>
      <c r="F6207" s="110"/>
      <c r="G6207" s="110"/>
      <c r="H6207" s="131"/>
      <c r="I6207" s="131"/>
      <c r="J6207" s="142"/>
      <c r="K6207" s="142"/>
      <c r="L6207" s="140"/>
      <c r="M6207" s="131"/>
      <c r="N6207" s="131"/>
      <c r="O6207" s="131"/>
      <c r="P6207" s="143"/>
      <c r="Q6207" s="66"/>
      <c r="R6207" s="131"/>
      <c r="S6207" s="144"/>
      <c r="T6207" s="131"/>
      <c r="U6207" s="131"/>
      <c r="V6207" s="131"/>
      <c r="W6207" s="131"/>
      <c r="X6207" s="145"/>
      <c r="Y6207" s="146"/>
      <c r="Z6207" s="147"/>
      <c r="AA6207" s="147"/>
      <c r="AB6207" s="110"/>
      <c r="AC6207" s="132"/>
      <c r="AD6207" s="148"/>
      <c r="AE6207" s="148"/>
    </row>
    <row r="6208" customFormat="false" ht="15" hidden="false" customHeight="true" outlineLevel="0" collapsed="false">
      <c r="A6208" s="141"/>
      <c r="B6208" s="131"/>
      <c r="C6208" s="132"/>
      <c r="D6208" s="131"/>
      <c r="E6208" s="110"/>
      <c r="F6208" s="110"/>
      <c r="G6208" s="110"/>
      <c r="H6208" s="131"/>
      <c r="I6208" s="131"/>
      <c r="J6208" s="142"/>
      <c r="K6208" s="142"/>
      <c r="L6208" s="140"/>
      <c r="M6208" s="131"/>
      <c r="N6208" s="131"/>
      <c r="O6208" s="131"/>
      <c r="P6208" s="143"/>
      <c r="Q6208" s="66"/>
      <c r="R6208" s="131"/>
      <c r="S6208" s="144"/>
      <c r="T6208" s="131"/>
      <c r="U6208" s="131"/>
      <c r="V6208" s="131"/>
      <c r="W6208" s="131"/>
      <c r="X6208" s="145"/>
      <c r="Y6208" s="146"/>
      <c r="Z6208" s="147"/>
      <c r="AA6208" s="147"/>
      <c r="AB6208" s="110"/>
      <c r="AC6208" s="132"/>
      <c r="AD6208" s="148"/>
      <c r="AE6208" s="148"/>
    </row>
    <row r="6209" customFormat="false" ht="15" hidden="false" customHeight="true" outlineLevel="0" collapsed="false">
      <c r="A6209" s="141"/>
      <c r="B6209" s="131"/>
      <c r="C6209" s="132"/>
      <c r="D6209" s="131"/>
      <c r="E6209" s="110"/>
      <c r="F6209" s="110"/>
      <c r="G6209" s="110"/>
      <c r="H6209" s="131"/>
      <c r="I6209" s="131"/>
      <c r="J6209" s="142"/>
      <c r="K6209" s="142"/>
      <c r="L6209" s="140"/>
      <c r="M6209" s="131"/>
      <c r="N6209" s="131"/>
      <c r="O6209" s="131"/>
      <c r="P6209" s="143"/>
      <c r="Q6209" s="66"/>
      <c r="R6209" s="131"/>
      <c r="S6209" s="144"/>
      <c r="T6209" s="131"/>
      <c r="U6209" s="131"/>
      <c r="V6209" s="131"/>
      <c r="W6209" s="131"/>
      <c r="X6209" s="145"/>
      <c r="Y6209" s="146"/>
      <c r="Z6209" s="147"/>
      <c r="AA6209" s="147"/>
      <c r="AB6209" s="110"/>
      <c r="AC6209" s="132"/>
      <c r="AD6209" s="148"/>
      <c r="AE6209" s="148"/>
    </row>
    <row r="6210" customFormat="false" ht="15" hidden="false" customHeight="true" outlineLevel="0" collapsed="false">
      <c r="A6210" s="141"/>
      <c r="B6210" s="131"/>
      <c r="C6210" s="132"/>
      <c r="D6210" s="131"/>
      <c r="E6210" s="110"/>
      <c r="F6210" s="110"/>
      <c r="G6210" s="110"/>
      <c r="H6210" s="131"/>
      <c r="I6210" s="131"/>
      <c r="J6210" s="142"/>
      <c r="K6210" s="142"/>
      <c r="L6210" s="140"/>
      <c r="M6210" s="131"/>
      <c r="N6210" s="131"/>
      <c r="O6210" s="131"/>
      <c r="P6210" s="143"/>
      <c r="Q6210" s="66"/>
      <c r="R6210" s="131"/>
      <c r="S6210" s="144"/>
      <c r="T6210" s="131"/>
      <c r="U6210" s="131"/>
      <c r="V6210" s="131"/>
      <c r="W6210" s="131"/>
      <c r="X6210" s="145"/>
      <c r="Y6210" s="146"/>
      <c r="Z6210" s="147"/>
      <c r="AA6210" s="147"/>
      <c r="AB6210" s="110"/>
      <c r="AC6210" s="132"/>
      <c r="AD6210" s="148"/>
      <c r="AE6210" s="148"/>
    </row>
    <row r="6211" customFormat="false" ht="15" hidden="false" customHeight="true" outlineLevel="0" collapsed="false">
      <c r="A6211" s="141"/>
      <c r="B6211" s="131"/>
      <c r="C6211" s="132"/>
      <c r="D6211" s="131"/>
      <c r="E6211" s="110"/>
      <c r="F6211" s="110"/>
      <c r="G6211" s="110"/>
      <c r="H6211" s="131"/>
      <c r="I6211" s="131"/>
      <c r="J6211" s="142"/>
      <c r="K6211" s="142"/>
      <c r="L6211" s="140"/>
      <c r="M6211" s="131"/>
      <c r="N6211" s="131"/>
      <c r="O6211" s="131"/>
      <c r="P6211" s="143"/>
      <c r="Q6211" s="66"/>
      <c r="R6211" s="131"/>
      <c r="S6211" s="144"/>
      <c r="T6211" s="131"/>
      <c r="U6211" s="131"/>
      <c r="V6211" s="131"/>
      <c r="W6211" s="131"/>
      <c r="X6211" s="145"/>
      <c r="Y6211" s="146"/>
      <c r="Z6211" s="147"/>
      <c r="AA6211" s="147"/>
      <c r="AB6211" s="110"/>
      <c r="AC6211" s="132"/>
      <c r="AD6211" s="148"/>
      <c r="AE6211" s="148"/>
    </row>
    <row r="6212" customFormat="false" ht="15" hidden="false" customHeight="true" outlineLevel="0" collapsed="false">
      <c r="A6212" s="141"/>
      <c r="B6212" s="131"/>
      <c r="C6212" s="132"/>
      <c r="D6212" s="131"/>
      <c r="E6212" s="110"/>
      <c r="F6212" s="110"/>
      <c r="G6212" s="110"/>
      <c r="H6212" s="131"/>
      <c r="I6212" s="131"/>
      <c r="J6212" s="142"/>
      <c r="K6212" s="142"/>
      <c r="L6212" s="140"/>
      <c r="M6212" s="131"/>
      <c r="N6212" s="131"/>
      <c r="O6212" s="131"/>
      <c r="P6212" s="143"/>
      <c r="Q6212" s="66"/>
      <c r="R6212" s="131"/>
      <c r="S6212" s="144"/>
      <c r="T6212" s="131"/>
      <c r="U6212" s="131"/>
      <c r="V6212" s="131"/>
      <c r="W6212" s="131"/>
      <c r="X6212" s="145"/>
      <c r="Y6212" s="146"/>
      <c r="Z6212" s="147"/>
      <c r="AA6212" s="147"/>
      <c r="AB6212" s="110"/>
      <c r="AC6212" s="132"/>
      <c r="AD6212" s="148"/>
      <c r="AE6212" s="148"/>
    </row>
    <row r="6213" customFormat="false" ht="15" hidden="false" customHeight="true" outlineLevel="0" collapsed="false">
      <c r="A6213" s="141"/>
      <c r="B6213" s="131"/>
      <c r="C6213" s="132"/>
      <c r="D6213" s="131"/>
      <c r="E6213" s="110"/>
      <c r="F6213" s="110"/>
      <c r="G6213" s="110"/>
      <c r="H6213" s="131"/>
      <c r="I6213" s="131"/>
      <c r="J6213" s="142"/>
      <c r="K6213" s="142"/>
      <c r="L6213" s="140"/>
      <c r="M6213" s="131"/>
      <c r="N6213" s="131"/>
      <c r="O6213" s="131"/>
      <c r="P6213" s="143"/>
      <c r="Q6213" s="66"/>
      <c r="R6213" s="131"/>
      <c r="S6213" s="144"/>
      <c r="T6213" s="131"/>
      <c r="U6213" s="131"/>
      <c r="V6213" s="131"/>
      <c r="W6213" s="131"/>
      <c r="X6213" s="145"/>
      <c r="Y6213" s="146"/>
      <c r="Z6213" s="147"/>
      <c r="AA6213" s="147"/>
      <c r="AB6213" s="110"/>
      <c r="AC6213" s="132"/>
      <c r="AD6213" s="148"/>
      <c r="AE6213" s="148"/>
    </row>
    <row r="6214" customFormat="false" ht="15" hidden="false" customHeight="true" outlineLevel="0" collapsed="false">
      <c r="A6214" s="141"/>
      <c r="B6214" s="131"/>
      <c r="C6214" s="132"/>
      <c r="D6214" s="131"/>
      <c r="E6214" s="110"/>
      <c r="F6214" s="110"/>
      <c r="G6214" s="110"/>
      <c r="H6214" s="131"/>
      <c r="I6214" s="131"/>
      <c r="J6214" s="142"/>
      <c r="K6214" s="142"/>
      <c r="L6214" s="140"/>
      <c r="M6214" s="131"/>
      <c r="N6214" s="131"/>
      <c r="O6214" s="131"/>
      <c r="P6214" s="143"/>
      <c r="Q6214" s="66"/>
      <c r="R6214" s="131"/>
      <c r="S6214" s="144"/>
      <c r="T6214" s="131"/>
      <c r="U6214" s="131"/>
      <c r="V6214" s="131"/>
      <c r="W6214" s="131"/>
      <c r="X6214" s="145"/>
      <c r="Y6214" s="146"/>
      <c r="Z6214" s="147"/>
      <c r="AA6214" s="147"/>
      <c r="AB6214" s="110"/>
      <c r="AC6214" s="132"/>
      <c r="AD6214" s="148"/>
      <c r="AE6214" s="148"/>
    </row>
    <row r="6215" customFormat="false" ht="15" hidden="false" customHeight="true" outlineLevel="0" collapsed="false">
      <c r="A6215" s="141"/>
      <c r="B6215" s="131"/>
      <c r="C6215" s="132"/>
      <c r="D6215" s="131"/>
      <c r="E6215" s="110"/>
      <c r="F6215" s="110"/>
      <c r="G6215" s="110"/>
      <c r="H6215" s="131"/>
      <c r="I6215" s="131"/>
      <c r="J6215" s="142"/>
      <c r="K6215" s="142"/>
      <c r="L6215" s="140"/>
      <c r="M6215" s="131"/>
      <c r="N6215" s="131"/>
      <c r="O6215" s="131"/>
      <c r="P6215" s="143"/>
      <c r="Q6215" s="66"/>
      <c r="R6215" s="131"/>
      <c r="S6215" s="144"/>
      <c r="T6215" s="131"/>
      <c r="U6215" s="131"/>
      <c r="V6215" s="131"/>
      <c r="W6215" s="131"/>
      <c r="X6215" s="145"/>
      <c r="Y6215" s="146"/>
      <c r="Z6215" s="147"/>
      <c r="AA6215" s="147"/>
      <c r="AB6215" s="110"/>
      <c r="AC6215" s="132"/>
      <c r="AD6215" s="148"/>
      <c r="AE6215" s="148"/>
    </row>
    <row r="6216" customFormat="false" ht="15" hidden="false" customHeight="true" outlineLevel="0" collapsed="false">
      <c r="A6216" s="141"/>
      <c r="B6216" s="131"/>
      <c r="C6216" s="132"/>
      <c r="D6216" s="131"/>
      <c r="E6216" s="110"/>
      <c r="F6216" s="110"/>
      <c r="G6216" s="110"/>
      <c r="H6216" s="131"/>
      <c r="I6216" s="131"/>
      <c r="J6216" s="142"/>
      <c r="K6216" s="142"/>
      <c r="L6216" s="140"/>
      <c r="M6216" s="131"/>
      <c r="N6216" s="131"/>
      <c r="O6216" s="131"/>
      <c r="P6216" s="143"/>
      <c r="Q6216" s="66"/>
      <c r="R6216" s="131"/>
      <c r="S6216" s="144"/>
      <c r="T6216" s="131"/>
      <c r="U6216" s="131"/>
      <c r="V6216" s="131"/>
      <c r="W6216" s="131"/>
      <c r="X6216" s="145"/>
      <c r="Y6216" s="146"/>
      <c r="Z6216" s="147"/>
      <c r="AA6216" s="147"/>
      <c r="AB6216" s="110"/>
      <c r="AC6216" s="132"/>
      <c r="AD6216" s="148"/>
      <c r="AE6216" s="148"/>
    </row>
    <row r="6217" customFormat="false" ht="15" hidden="false" customHeight="true" outlineLevel="0" collapsed="false">
      <c r="A6217" s="141"/>
      <c r="B6217" s="131"/>
      <c r="C6217" s="132"/>
      <c r="D6217" s="131"/>
      <c r="E6217" s="110"/>
      <c r="F6217" s="110"/>
      <c r="G6217" s="110"/>
      <c r="H6217" s="131"/>
      <c r="I6217" s="131"/>
      <c r="J6217" s="142"/>
      <c r="K6217" s="142"/>
      <c r="L6217" s="140"/>
      <c r="M6217" s="131"/>
      <c r="N6217" s="131"/>
      <c r="O6217" s="131"/>
      <c r="P6217" s="143"/>
      <c r="Q6217" s="66"/>
      <c r="R6217" s="131"/>
      <c r="S6217" s="144"/>
      <c r="T6217" s="131"/>
      <c r="U6217" s="131"/>
      <c r="V6217" s="131"/>
      <c r="W6217" s="131"/>
      <c r="X6217" s="145"/>
      <c r="Y6217" s="146"/>
      <c r="Z6217" s="147"/>
      <c r="AA6217" s="147"/>
      <c r="AB6217" s="110"/>
      <c r="AC6217" s="132"/>
      <c r="AD6217" s="148"/>
      <c r="AE6217" s="148"/>
    </row>
    <row r="6218" customFormat="false" ht="15" hidden="false" customHeight="true" outlineLevel="0" collapsed="false">
      <c r="A6218" s="141"/>
      <c r="B6218" s="131"/>
      <c r="C6218" s="132"/>
      <c r="D6218" s="131"/>
      <c r="E6218" s="110"/>
      <c r="F6218" s="110"/>
      <c r="G6218" s="110"/>
      <c r="H6218" s="131"/>
      <c r="I6218" s="131"/>
      <c r="J6218" s="142"/>
      <c r="K6218" s="142"/>
      <c r="L6218" s="140"/>
      <c r="M6218" s="131"/>
      <c r="N6218" s="131"/>
      <c r="O6218" s="131"/>
      <c r="P6218" s="143"/>
      <c r="Q6218" s="66"/>
      <c r="R6218" s="131"/>
      <c r="S6218" s="144"/>
      <c r="T6218" s="131"/>
      <c r="U6218" s="131"/>
      <c r="V6218" s="131"/>
      <c r="W6218" s="131"/>
      <c r="X6218" s="145"/>
      <c r="Y6218" s="146"/>
      <c r="Z6218" s="147"/>
      <c r="AA6218" s="147"/>
      <c r="AB6218" s="110"/>
      <c r="AC6218" s="132"/>
      <c r="AD6218" s="148"/>
      <c r="AE6218" s="148"/>
    </row>
    <row r="6219" customFormat="false" ht="15" hidden="false" customHeight="true" outlineLevel="0" collapsed="false">
      <c r="A6219" s="141"/>
      <c r="B6219" s="131"/>
      <c r="C6219" s="132"/>
      <c r="D6219" s="131"/>
      <c r="E6219" s="110"/>
      <c r="F6219" s="110"/>
      <c r="G6219" s="110"/>
      <c r="H6219" s="131"/>
      <c r="I6219" s="131"/>
      <c r="J6219" s="142"/>
      <c r="K6219" s="142"/>
      <c r="L6219" s="140"/>
      <c r="M6219" s="131"/>
      <c r="N6219" s="131"/>
      <c r="O6219" s="131"/>
      <c r="P6219" s="143"/>
      <c r="Q6219" s="66"/>
      <c r="R6219" s="131"/>
      <c r="S6219" s="144"/>
      <c r="T6219" s="131"/>
      <c r="U6219" s="131"/>
      <c r="V6219" s="131"/>
      <c r="W6219" s="131"/>
      <c r="X6219" s="145"/>
      <c r="Y6219" s="146"/>
      <c r="Z6219" s="147"/>
      <c r="AA6219" s="147"/>
      <c r="AB6219" s="110"/>
      <c r="AC6219" s="132"/>
      <c r="AD6219" s="148"/>
      <c r="AE6219" s="148"/>
    </row>
    <row r="6220" customFormat="false" ht="15" hidden="false" customHeight="true" outlineLevel="0" collapsed="false">
      <c r="A6220" s="141"/>
      <c r="B6220" s="131"/>
      <c r="C6220" s="132"/>
      <c r="D6220" s="131"/>
      <c r="E6220" s="110"/>
      <c r="F6220" s="110"/>
      <c r="G6220" s="110"/>
      <c r="H6220" s="131"/>
      <c r="I6220" s="131"/>
      <c r="J6220" s="142"/>
      <c r="K6220" s="142"/>
      <c r="L6220" s="140"/>
      <c r="M6220" s="131"/>
      <c r="N6220" s="131"/>
      <c r="O6220" s="131"/>
      <c r="P6220" s="143"/>
      <c r="Q6220" s="66"/>
      <c r="R6220" s="131"/>
      <c r="S6220" s="144"/>
      <c r="T6220" s="131"/>
      <c r="U6220" s="131"/>
      <c r="V6220" s="131"/>
      <c r="W6220" s="131"/>
      <c r="X6220" s="145"/>
      <c r="Y6220" s="146"/>
      <c r="Z6220" s="147"/>
      <c r="AA6220" s="147"/>
      <c r="AB6220" s="110"/>
      <c r="AC6220" s="132"/>
      <c r="AD6220" s="148"/>
      <c r="AE6220" s="148"/>
    </row>
    <row r="6221" customFormat="false" ht="15" hidden="false" customHeight="true" outlineLevel="0" collapsed="false">
      <c r="A6221" s="141"/>
      <c r="B6221" s="131"/>
      <c r="C6221" s="132"/>
      <c r="D6221" s="131"/>
      <c r="E6221" s="110"/>
      <c r="F6221" s="110"/>
      <c r="G6221" s="110"/>
      <c r="H6221" s="131"/>
      <c r="I6221" s="131"/>
      <c r="J6221" s="142"/>
      <c r="K6221" s="142"/>
      <c r="L6221" s="140"/>
      <c r="M6221" s="131"/>
      <c r="N6221" s="131"/>
      <c r="O6221" s="131"/>
      <c r="P6221" s="143"/>
      <c r="Q6221" s="66"/>
      <c r="R6221" s="131"/>
      <c r="S6221" s="144"/>
      <c r="T6221" s="131"/>
      <c r="U6221" s="131"/>
      <c r="V6221" s="131"/>
      <c r="W6221" s="131"/>
      <c r="X6221" s="145"/>
      <c r="Y6221" s="146"/>
      <c r="Z6221" s="147"/>
      <c r="AA6221" s="147"/>
      <c r="AB6221" s="110"/>
      <c r="AC6221" s="132"/>
      <c r="AD6221" s="148"/>
      <c r="AE6221" s="148"/>
    </row>
    <row r="6222" customFormat="false" ht="15" hidden="false" customHeight="true" outlineLevel="0" collapsed="false">
      <c r="A6222" s="141"/>
      <c r="B6222" s="131"/>
      <c r="C6222" s="132"/>
      <c r="D6222" s="131"/>
      <c r="E6222" s="110"/>
      <c r="F6222" s="110"/>
      <c r="G6222" s="110"/>
      <c r="H6222" s="131"/>
      <c r="I6222" s="131"/>
      <c r="J6222" s="142"/>
      <c r="K6222" s="142"/>
      <c r="L6222" s="140"/>
      <c r="M6222" s="131"/>
      <c r="N6222" s="131"/>
      <c r="O6222" s="131"/>
      <c r="P6222" s="143"/>
      <c r="Q6222" s="66"/>
      <c r="R6222" s="131"/>
      <c r="S6222" s="144"/>
      <c r="T6222" s="131"/>
      <c r="U6222" s="131"/>
      <c r="V6222" s="131"/>
      <c r="W6222" s="131"/>
      <c r="X6222" s="145"/>
      <c r="Y6222" s="146"/>
      <c r="Z6222" s="147"/>
      <c r="AA6222" s="147"/>
      <c r="AB6222" s="110"/>
      <c r="AC6222" s="132"/>
      <c r="AD6222" s="148"/>
      <c r="AE6222" s="148"/>
    </row>
    <row r="6223" customFormat="false" ht="15" hidden="false" customHeight="true" outlineLevel="0" collapsed="false">
      <c r="A6223" s="141"/>
      <c r="B6223" s="131"/>
      <c r="C6223" s="132"/>
      <c r="D6223" s="131"/>
      <c r="E6223" s="110"/>
      <c r="F6223" s="110"/>
      <c r="G6223" s="110"/>
      <c r="H6223" s="131"/>
      <c r="I6223" s="131"/>
      <c r="J6223" s="142"/>
      <c r="K6223" s="142"/>
      <c r="L6223" s="140"/>
      <c r="M6223" s="131"/>
      <c r="N6223" s="131"/>
      <c r="O6223" s="131"/>
      <c r="P6223" s="143"/>
      <c r="Q6223" s="66"/>
      <c r="R6223" s="131"/>
      <c r="S6223" s="144"/>
      <c r="T6223" s="131"/>
      <c r="U6223" s="131"/>
      <c r="V6223" s="131"/>
      <c r="W6223" s="131"/>
      <c r="X6223" s="145"/>
      <c r="Y6223" s="146"/>
      <c r="Z6223" s="147"/>
      <c r="AA6223" s="147"/>
      <c r="AB6223" s="110"/>
      <c r="AC6223" s="132"/>
      <c r="AD6223" s="148"/>
      <c r="AE6223" s="148"/>
    </row>
    <row r="6224" customFormat="false" ht="15" hidden="false" customHeight="true" outlineLevel="0" collapsed="false">
      <c r="A6224" s="141"/>
      <c r="B6224" s="131"/>
      <c r="C6224" s="132"/>
      <c r="D6224" s="131"/>
      <c r="E6224" s="110"/>
      <c r="F6224" s="110"/>
      <c r="G6224" s="110"/>
      <c r="H6224" s="131"/>
      <c r="I6224" s="131"/>
      <c r="J6224" s="142"/>
      <c r="K6224" s="142"/>
      <c r="L6224" s="140"/>
      <c r="M6224" s="131"/>
      <c r="N6224" s="131"/>
      <c r="O6224" s="131"/>
      <c r="P6224" s="143"/>
      <c r="Q6224" s="66"/>
      <c r="R6224" s="131"/>
      <c r="S6224" s="144"/>
      <c r="T6224" s="131"/>
      <c r="U6224" s="131"/>
      <c r="V6224" s="131"/>
      <c r="W6224" s="131"/>
      <c r="X6224" s="145"/>
      <c r="Y6224" s="146"/>
      <c r="Z6224" s="147"/>
      <c r="AA6224" s="147"/>
      <c r="AB6224" s="110"/>
      <c r="AC6224" s="132"/>
      <c r="AD6224" s="148"/>
      <c r="AE6224" s="148"/>
    </row>
    <row r="6225" customFormat="false" ht="15" hidden="false" customHeight="true" outlineLevel="0" collapsed="false">
      <c r="A6225" s="141"/>
      <c r="B6225" s="131"/>
      <c r="C6225" s="132"/>
      <c r="D6225" s="131"/>
      <c r="E6225" s="110"/>
      <c r="F6225" s="110"/>
      <c r="G6225" s="110"/>
      <c r="H6225" s="131"/>
      <c r="I6225" s="131"/>
      <c r="J6225" s="142"/>
      <c r="K6225" s="142"/>
      <c r="L6225" s="140"/>
      <c r="M6225" s="131"/>
      <c r="N6225" s="131"/>
      <c r="O6225" s="131"/>
      <c r="P6225" s="143"/>
      <c r="Q6225" s="66"/>
      <c r="R6225" s="131"/>
      <c r="S6225" s="144"/>
      <c r="T6225" s="131"/>
      <c r="U6225" s="131"/>
      <c r="V6225" s="131"/>
      <c r="W6225" s="131"/>
      <c r="X6225" s="145"/>
      <c r="Y6225" s="146"/>
      <c r="Z6225" s="147"/>
      <c r="AA6225" s="147"/>
      <c r="AB6225" s="110"/>
      <c r="AC6225" s="132"/>
      <c r="AD6225" s="148"/>
      <c r="AE6225" s="148"/>
    </row>
    <row r="6226" customFormat="false" ht="15" hidden="false" customHeight="true" outlineLevel="0" collapsed="false">
      <c r="A6226" s="141"/>
      <c r="B6226" s="131"/>
      <c r="C6226" s="132"/>
      <c r="D6226" s="131"/>
      <c r="E6226" s="110"/>
      <c r="F6226" s="110"/>
      <c r="G6226" s="110"/>
      <c r="H6226" s="131"/>
      <c r="I6226" s="131"/>
      <c r="J6226" s="142"/>
      <c r="K6226" s="142"/>
      <c r="L6226" s="140"/>
      <c r="M6226" s="131"/>
      <c r="N6226" s="131"/>
      <c r="O6226" s="131"/>
      <c r="P6226" s="143"/>
      <c r="Q6226" s="66"/>
      <c r="R6226" s="131"/>
      <c r="S6226" s="144"/>
      <c r="T6226" s="131"/>
      <c r="U6226" s="131"/>
      <c r="V6226" s="131"/>
      <c r="W6226" s="131"/>
      <c r="X6226" s="145"/>
      <c r="Y6226" s="146"/>
      <c r="Z6226" s="147"/>
      <c r="AA6226" s="147"/>
      <c r="AB6226" s="110"/>
      <c r="AC6226" s="132"/>
      <c r="AD6226" s="148"/>
      <c r="AE6226" s="148"/>
    </row>
    <row r="6227" customFormat="false" ht="15" hidden="false" customHeight="true" outlineLevel="0" collapsed="false">
      <c r="A6227" s="141"/>
      <c r="B6227" s="131"/>
      <c r="C6227" s="132"/>
      <c r="D6227" s="131"/>
      <c r="E6227" s="110"/>
      <c r="F6227" s="110"/>
      <c r="G6227" s="110"/>
      <c r="H6227" s="131"/>
      <c r="I6227" s="131"/>
      <c r="J6227" s="142"/>
      <c r="K6227" s="142"/>
      <c r="L6227" s="140"/>
      <c r="M6227" s="131"/>
      <c r="N6227" s="131"/>
      <c r="O6227" s="131"/>
      <c r="P6227" s="143"/>
      <c r="Q6227" s="66"/>
      <c r="R6227" s="131"/>
      <c r="S6227" s="144"/>
      <c r="T6227" s="131"/>
      <c r="U6227" s="131"/>
      <c r="V6227" s="131"/>
      <c r="W6227" s="131"/>
      <c r="X6227" s="145"/>
      <c r="Y6227" s="146"/>
      <c r="Z6227" s="147"/>
      <c r="AA6227" s="147"/>
      <c r="AB6227" s="110"/>
      <c r="AC6227" s="132"/>
      <c r="AD6227" s="148"/>
      <c r="AE6227" s="148"/>
    </row>
    <row r="6228" customFormat="false" ht="15" hidden="false" customHeight="true" outlineLevel="0" collapsed="false">
      <c r="A6228" s="141"/>
      <c r="B6228" s="131"/>
      <c r="C6228" s="132"/>
      <c r="D6228" s="131"/>
      <c r="E6228" s="110"/>
      <c r="F6228" s="110"/>
      <c r="G6228" s="110"/>
      <c r="H6228" s="131"/>
      <c r="I6228" s="131"/>
      <c r="J6228" s="142"/>
      <c r="K6228" s="142"/>
      <c r="L6228" s="140"/>
      <c r="M6228" s="131"/>
      <c r="N6228" s="131"/>
      <c r="O6228" s="131"/>
      <c r="P6228" s="143"/>
      <c r="Q6228" s="66"/>
      <c r="R6228" s="131"/>
      <c r="S6228" s="144"/>
      <c r="T6228" s="131"/>
      <c r="U6228" s="131"/>
      <c r="V6228" s="131"/>
      <c r="W6228" s="131"/>
      <c r="X6228" s="145"/>
      <c r="Y6228" s="146"/>
      <c r="Z6228" s="147"/>
      <c r="AA6228" s="147"/>
      <c r="AB6228" s="110"/>
      <c r="AC6228" s="132"/>
      <c r="AD6228" s="148"/>
      <c r="AE6228" s="148"/>
    </row>
    <row r="6229" customFormat="false" ht="15" hidden="false" customHeight="true" outlineLevel="0" collapsed="false">
      <c r="A6229" s="141"/>
      <c r="B6229" s="131"/>
      <c r="C6229" s="132"/>
      <c r="D6229" s="131"/>
      <c r="E6229" s="110"/>
      <c r="F6229" s="110"/>
      <c r="G6229" s="110"/>
      <c r="H6229" s="131"/>
      <c r="I6229" s="131"/>
      <c r="J6229" s="142"/>
      <c r="K6229" s="142"/>
      <c r="L6229" s="140"/>
      <c r="M6229" s="131"/>
      <c r="N6229" s="131"/>
      <c r="O6229" s="131"/>
      <c r="P6229" s="143"/>
      <c r="Q6229" s="66"/>
      <c r="R6229" s="131"/>
      <c r="S6229" s="144"/>
      <c r="T6229" s="131"/>
      <c r="U6229" s="131"/>
      <c r="V6229" s="131"/>
      <c r="W6229" s="131"/>
      <c r="X6229" s="145"/>
      <c r="Y6229" s="146"/>
      <c r="Z6229" s="147"/>
      <c r="AA6229" s="147"/>
      <c r="AB6229" s="110"/>
      <c r="AC6229" s="132"/>
      <c r="AD6229" s="148"/>
      <c r="AE6229" s="148"/>
    </row>
    <row r="6230" customFormat="false" ht="15" hidden="false" customHeight="true" outlineLevel="0" collapsed="false">
      <c r="A6230" s="141"/>
      <c r="B6230" s="131"/>
      <c r="C6230" s="132"/>
      <c r="D6230" s="131"/>
      <c r="E6230" s="110"/>
      <c r="F6230" s="110"/>
      <c r="G6230" s="110"/>
      <c r="H6230" s="131"/>
      <c r="I6230" s="131"/>
      <c r="J6230" s="142"/>
      <c r="K6230" s="142"/>
      <c r="L6230" s="140"/>
      <c r="M6230" s="131"/>
      <c r="N6230" s="131"/>
      <c r="O6230" s="131"/>
      <c r="P6230" s="143"/>
      <c r="Q6230" s="66"/>
      <c r="R6230" s="131"/>
      <c r="S6230" s="144"/>
      <c r="T6230" s="131"/>
      <c r="U6230" s="131"/>
      <c r="V6230" s="131"/>
      <c r="W6230" s="131"/>
      <c r="X6230" s="145"/>
      <c r="Y6230" s="146"/>
      <c r="Z6230" s="147"/>
      <c r="AA6230" s="147"/>
      <c r="AB6230" s="110"/>
      <c r="AC6230" s="132"/>
      <c r="AD6230" s="148"/>
      <c r="AE6230" s="148"/>
    </row>
    <row r="6231" customFormat="false" ht="15" hidden="false" customHeight="true" outlineLevel="0" collapsed="false">
      <c r="A6231" s="141"/>
      <c r="B6231" s="131"/>
      <c r="C6231" s="132"/>
      <c r="D6231" s="131"/>
      <c r="E6231" s="110"/>
      <c r="F6231" s="110"/>
      <c r="G6231" s="110"/>
      <c r="H6231" s="131"/>
      <c r="I6231" s="131"/>
      <c r="J6231" s="142"/>
      <c r="K6231" s="142"/>
      <c r="L6231" s="140"/>
      <c r="M6231" s="131"/>
      <c r="N6231" s="131"/>
      <c r="O6231" s="131"/>
      <c r="P6231" s="143"/>
      <c r="Q6231" s="66"/>
      <c r="R6231" s="131"/>
      <c r="S6231" s="144"/>
      <c r="T6231" s="131"/>
      <c r="U6231" s="131"/>
      <c r="V6231" s="131"/>
      <c r="W6231" s="131"/>
      <c r="X6231" s="145"/>
      <c r="Y6231" s="146"/>
      <c r="Z6231" s="147"/>
      <c r="AA6231" s="147"/>
      <c r="AB6231" s="110"/>
      <c r="AC6231" s="132"/>
      <c r="AD6231" s="148"/>
      <c r="AE6231" s="148"/>
    </row>
    <row r="6232" customFormat="false" ht="15" hidden="false" customHeight="true" outlineLevel="0" collapsed="false">
      <c r="A6232" s="141"/>
      <c r="B6232" s="131"/>
      <c r="C6232" s="132"/>
      <c r="D6232" s="131"/>
      <c r="E6232" s="110"/>
      <c r="F6232" s="110"/>
      <c r="G6232" s="110"/>
      <c r="H6232" s="131"/>
      <c r="I6232" s="131"/>
      <c r="J6232" s="142"/>
      <c r="K6232" s="142"/>
      <c r="L6232" s="140"/>
      <c r="M6232" s="131"/>
      <c r="N6232" s="131"/>
      <c r="O6232" s="131"/>
      <c r="P6232" s="143"/>
      <c r="Q6232" s="66"/>
      <c r="R6232" s="131"/>
      <c r="S6232" s="144"/>
      <c r="T6232" s="131"/>
      <c r="U6232" s="131"/>
      <c r="V6232" s="131"/>
      <c r="W6232" s="131"/>
      <c r="X6232" s="145"/>
      <c r="Y6232" s="146"/>
      <c r="Z6232" s="147"/>
      <c r="AA6232" s="147"/>
      <c r="AB6232" s="110"/>
      <c r="AC6232" s="132"/>
      <c r="AD6232" s="148"/>
      <c r="AE6232" s="148"/>
    </row>
    <row r="6233" customFormat="false" ht="15" hidden="false" customHeight="true" outlineLevel="0" collapsed="false">
      <c r="A6233" s="141"/>
      <c r="B6233" s="131"/>
      <c r="C6233" s="132"/>
      <c r="D6233" s="131"/>
      <c r="E6233" s="110"/>
      <c r="F6233" s="110"/>
      <c r="G6233" s="110"/>
      <c r="H6233" s="131"/>
      <c r="I6233" s="131"/>
      <c r="J6233" s="142"/>
      <c r="K6233" s="142"/>
      <c r="L6233" s="140"/>
      <c r="M6233" s="131"/>
      <c r="N6233" s="131"/>
      <c r="O6233" s="131"/>
      <c r="P6233" s="143"/>
      <c r="Q6233" s="66"/>
      <c r="R6233" s="131"/>
      <c r="S6233" s="144"/>
      <c r="T6233" s="131"/>
      <c r="U6233" s="131"/>
      <c r="V6233" s="131"/>
      <c r="W6233" s="131"/>
      <c r="X6233" s="145"/>
      <c r="Y6233" s="146"/>
      <c r="Z6233" s="147"/>
      <c r="AA6233" s="147"/>
      <c r="AB6233" s="110"/>
      <c r="AC6233" s="132"/>
      <c r="AD6233" s="148"/>
      <c r="AE6233" s="148"/>
    </row>
    <row r="6234" customFormat="false" ht="15" hidden="false" customHeight="true" outlineLevel="0" collapsed="false">
      <c r="A6234" s="141"/>
      <c r="B6234" s="131"/>
      <c r="C6234" s="132"/>
      <c r="D6234" s="131"/>
      <c r="E6234" s="110"/>
      <c r="F6234" s="110"/>
      <c r="G6234" s="110"/>
      <c r="H6234" s="131"/>
      <c r="I6234" s="131"/>
      <c r="J6234" s="142"/>
      <c r="K6234" s="142"/>
      <c r="L6234" s="140"/>
      <c r="M6234" s="131"/>
      <c r="N6234" s="131"/>
      <c r="O6234" s="131"/>
      <c r="P6234" s="143"/>
      <c r="Q6234" s="66"/>
      <c r="R6234" s="131"/>
      <c r="S6234" s="144"/>
      <c r="T6234" s="131"/>
      <c r="U6234" s="131"/>
      <c r="V6234" s="131"/>
      <c r="W6234" s="131"/>
      <c r="X6234" s="145"/>
      <c r="Y6234" s="146"/>
      <c r="Z6234" s="147"/>
      <c r="AA6234" s="147"/>
      <c r="AB6234" s="110"/>
      <c r="AC6234" s="132"/>
      <c r="AD6234" s="148"/>
      <c r="AE6234" s="148"/>
    </row>
    <row r="6235" customFormat="false" ht="15" hidden="false" customHeight="true" outlineLevel="0" collapsed="false">
      <c r="A6235" s="141"/>
      <c r="B6235" s="131"/>
      <c r="C6235" s="132"/>
      <c r="D6235" s="131"/>
      <c r="E6235" s="110"/>
      <c r="F6235" s="110"/>
      <c r="G6235" s="110"/>
      <c r="H6235" s="131"/>
      <c r="I6235" s="131"/>
      <c r="J6235" s="142"/>
      <c r="K6235" s="142"/>
      <c r="L6235" s="140"/>
      <c r="M6235" s="131"/>
      <c r="N6235" s="131"/>
      <c r="O6235" s="131"/>
      <c r="P6235" s="143"/>
      <c r="Q6235" s="66"/>
      <c r="R6235" s="131"/>
      <c r="S6235" s="144"/>
      <c r="T6235" s="131"/>
      <c r="U6235" s="131"/>
      <c r="V6235" s="131"/>
      <c r="W6235" s="131"/>
      <c r="X6235" s="145"/>
      <c r="Y6235" s="146"/>
      <c r="Z6235" s="147"/>
      <c r="AA6235" s="147"/>
      <c r="AB6235" s="110"/>
      <c r="AC6235" s="132"/>
      <c r="AD6235" s="148"/>
      <c r="AE6235" s="148"/>
    </row>
    <row r="6236" customFormat="false" ht="15" hidden="false" customHeight="true" outlineLevel="0" collapsed="false">
      <c r="A6236" s="141"/>
      <c r="B6236" s="131"/>
      <c r="C6236" s="132"/>
      <c r="D6236" s="131"/>
      <c r="E6236" s="110"/>
      <c r="F6236" s="110"/>
      <c r="G6236" s="110"/>
      <c r="H6236" s="131"/>
      <c r="I6236" s="131"/>
      <c r="J6236" s="142"/>
      <c r="K6236" s="142"/>
      <c r="L6236" s="140"/>
      <c r="M6236" s="131"/>
      <c r="N6236" s="131"/>
      <c r="O6236" s="131"/>
      <c r="P6236" s="143"/>
      <c r="Q6236" s="66"/>
      <c r="R6236" s="131"/>
      <c r="S6236" s="144"/>
      <c r="T6236" s="131"/>
      <c r="U6236" s="131"/>
      <c r="V6236" s="131"/>
      <c r="W6236" s="131"/>
      <c r="X6236" s="145"/>
      <c r="Y6236" s="146"/>
      <c r="Z6236" s="147"/>
      <c r="AA6236" s="147"/>
      <c r="AB6236" s="110"/>
      <c r="AC6236" s="132"/>
      <c r="AD6236" s="148"/>
      <c r="AE6236" s="148"/>
    </row>
    <row r="6237" customFormat="false" ht="15" hidden="false" customHeight="true" outlineLevel="0" collapsed="false">
      <c r="A6237" s="141"/>
      <c r="B6237" s="131"/>
      <c r="C6237" s="132"/>
      <c r="D6237" s="131"/>
      <c r="E6237" s="110"/>
      <c r="F6237" s="110"/>
      <c r="G6237" s="110"/>
      <c r="H6237" s="131"/>
      <c r="I6237" s="131"/>
      <c r="J6237" s="142"/>
      <c r="K6237" s="142"/>
      <c r="L6237" s="140"/>
      <c r="M6237" s="131"/>
      <c r="N6237" s="131"/>
      <c r="O6237" s="131"/>
      <c r="P6237" s="143"/>
      <c r="Q6237" s="66"/>
      <c r="R6237" s="131"/>
      <c r="S6237" s="144"/>
      <c r="T6237" s="131"/>
      <c r="U6237" s="131"/>
      <c r="V6237" s="131"/>
      <c r="W6237" s="131"/>
      <c r="X6237" s="145"/>
      <c r="Y6237" s="146"/>
      <c r="Z6237" s="147"/>
      <c r="AA6237" s="147"/>
      <c r="AB6237" s="110"/>
      <c r="AC6237" s="132"/>
      <c r="AD6237" s="148"/>
      <c r="AE6237" s="148"/>
    </row>
    <row r="6238" customFormat="false" ht="15" hidden="false" customHeight="true" outlineLevel="0" collapsed="false">
      <c r="A6238" s="141"/>
      <c r="B6238" s="131"/>
      <c r="C6238" s="132"/>
      <c r="D6238" s="131"/>
      <c r="E6238" s="110"/>
      <c r="F6238" s="110"/>
      <c r="G6238" s="110"/>
      <c r="H6238" s="131"/>
      <c r="I6238" s="131"/>
      <c r="J6238" s="142"/>
      <c r="K6238" s="142"/>
      <c r="L6238" s="140"/>
      <c r="M6238" s="131"/>
      <c r="N6238" s="131"/>
      <c r="O6238" s="131"/>
      <c r="P6238" s="143"/>
      <c r="Q6238" s="66"/>
      <c r="R6238" s="131"/>
      <c r="S6238" s="144"/>
      <c r="T6238" s="131"/>
      <c r="U6238" s="131"/>
      <c r="V6238" s="131"/>
      <c r="W6238" s="131"/>
      <c r="X6238" s="145"/>
      <c r="Y6238" s="146"/>
      <c r="Z6238" s="147"/>
      <c r="AA6238" s="147"/>
      <c r="AB6238" s="110"/>
      <c r="AC6238" s="132"/>
      <c r="AD6238" s="148"/>
      <c r="AE6238" s="148"/>
    </row>
    <row r="6239" customFormat="false" ht="15" hidden="false" customHeight="true" outlineLevel="0" collapsed="false">
      <c r="A6239" s="141"/>
      <c r="B6239" s="131"/>
      <c r="C6239" s="132"/>
      <c r="D6239" s="131"/>
      <c r="E6239" s="110"/>
      <c r="F6239" s="110"/>
      <c r="G6239" s="110"/>
      <c r="H6239" s="131"/>
      <c r="I6239" s="131"/>
      <c r="J6239" s="142"/>
      <c r="K6239" s="142"/>
      <c r="L6239" s="140"/>
      <c r="M6239" s="131"/>
      <c r="N6239" s="131"/>
      <c r="O6239" s="131"/>
      <c r="P6239" s="143"/>
      <c r="Q6239" s="66"/>
      <c r="R6239" s="131"/>
      <c r="S6239" s="144"/>
      <c r="T6239" s="131"/>
      <c r="U6239" s="131"/>
      <c r="V6239" s="131"/>
      <c r="W6239" s="131"/>
      <c r="X6239" s="145"/>
      <c r="Y6239" s="146"/>
      <c r="Z6239" s="147"/>
      <c r="AA6239" s="147"/>
      <c r="AB6239" s="110"/>
      <c r="AC6239" s="132"/>
      <c r="AD6239" s="148"/>
      <c r="AE6239" s="148"/>
    </row>
    <row r="6240" customFormat="false" ht="15" hidden="false" customHeight="true" outlineLevel="0" collapsed="false">
      <c r="A6240" s="141"/>
      <c r="B6240" s="131"/>
      <c r="C6240" s="132"/>
      <c r="D6240" s="131"/>
      <c r="E6240" s="110"/>
      <c r="F6240" s="110"/>
      <c r="G6240" s="110"/>
      <c r="H6240" s="131"/>
      <c r="I6240" s="131"/>
      <c r="J6240" s="142"/>
      <c r="K6240" s="142"/>
      <c r="L6240" s="140"/>
      <c r="M6240" s="131"/>
      <c r="N6240" s="131"/>
      <c r="O6240" s="131"/>
      <c r="P6240" s="143"/>
      <c r="Q6240" s="66"/>
      <c r="R6240" s="131"/>
      <c r="S6240" s="144"/>
      <c r="T6240" s="131"/>
      <c r="U6240" s="131"/>
      <c r="V6240" s="131"/>
      <c r="W6240" s="131"/>
      <c r="X6240" s="145"/>
      <c r="Y6240" s="146"/>
      <c r="Z6240" s="147"/>
      <c r="AA6240" s="147"/>
      <c r="AB6240" s="110"/>
      <c r="AC6240" s="132"/>
      <c r="AD6240" s="148"/>
      <c r="AE6240" s="148"/>
    </row>
    <row r="6241" customFormat="false" ht="15" hidden="false" customHeight="true" outlineLevel="0" collapsed="false">
      <c r="A6241" s="141"/>
      <c r="B6241" s="131"/>
      <c r="C6241" s="132"/>
      <c r="D6241" s="131"/>
      <c r="E6241" s="110"/>
      <c r="F6241" s="110"/>
      <c r="G6241" s="110"/>
      <c r="H6241" s="131"/>
      <c r="I6241" s="131"/>
      <c r="J6241" s="142"/>
      <c r="K6241" s="142"/>
      <c r="L6241" s="140"/>
      <c r="M6241" s="131"/>
      <c r="N6241" s="131"/>
      <c r="O6241" s="131"/>
      <c r="P6241" s="143"/>
      <c r="Q6241" s="66"/>
      <c r="R6241" s="131"/>
      <c r="S6241" s="144"/>
      <c r="T6241" s="131"/>
      <c r="U6241" s="131"/>
      <c r="V6241" s="131"/>
      <c r="W6241" s="131"/>
      <c r="X6241" s="145"/>
      <c r="Y6241" s="146"/>
      <c r="Z6241" s="147"/>
      <c r="AA6241" s="147"/>
      <c r="AB6241" s="110"/>
      <c r="AC6241" s="132"/>
      <c r="AD6241" s="148"/>
      <c r="AE6241" s="148"/>
    </row>
    <row r="6242" customFormat="false" ht="15" hidden="false" customHeight="true" outlineLevel="0" collapsed="false">
      <c r="A6242" s="141"/>
      <c r="B6242" s="131"/>
      <c r="C6242" s="132"/>
      <c r="D6242" s="131"/>
      <c r="E6242" s="110"/>
      <c r="F6242" s="110"/>
      <c r="G6242" s="110"/>
      <c r="H6242" s="131"/>
      <c r="I6242" s="131"/>
      <c r="J6242" s="142"/>
      <c r="K6242" s="142"/>
      <c r="L6242" s="140"/>
      <c r="M6242" s="131"/>
      <c r="N6242" s="131"/>
      <c r="O6242" s="131"/>
      <c r="P6242" s="143"/>
      <c r="Q6242" s="66"/>
      <c r="R6242" s="131"/>
      <c r="S6242" s="144"/>
      <c r="T6242" s="131"/>
      <c r="U6242" s="131"/>
      <c r="V6242" s="131"/>
      <c r="W6242" s="131"/>
      <c r="X6242" s="145"/>
      <c r="Y6242" s="146"/>
      <c r="Z6242" s="147"/>
      <c r="AA6242" s="147"/>
      <c r="AB6242" s="110"/>
      <c r="AC6242" s="132"/>
      <c r="AD6242" s="148"/>
      <c r="AE6242" s="148"/>
    </row>
    <row r="6243" customFormat="false" ht="15" hidden="false" customHeight="true" outlineLevel="0" collapsed="false">
      <c r="A6243" s="141"/>
      <c r="B6243" s="131"/>
      <c r="C6243" s="132"/>
      <c r="D6243" s="131"/>
      <c r="E6243" s="110"/>
      <c r="F6243" s="110"/>
      <c r="G6243" s="110"/>
      <c r="H6243" s="131"/>
      <c r="I6243" s="131"/>
      <c r="J6243" s="142"/>
      <c r="K6243" s="142"/>
      <c r="L6243" s="140"/>
      <c r="M6243" s="131"/>
      <c r="N6243" s="131"/>
      <c r="O6243" s="131"/>
      <c r="P6243" s="143"/>
      <c r="Q6243" s="66"/>
      <c r="R6243" s="131"/>
      <c r="S6243" s="144"/>
      <c r="T6243" s="131"/>
      <c r="U6243" s="131"/>
      <c r="V6243" s="131"/>
      <c r="W6243" s="131"/>
      <c r="X6243" s="145"/>
      <c r="Y6243" s="146"/>
      <c r="Z6243" s="147"/>
      <c r="AA6243" s="147"/>
      <c r="AB6243" s="110"/>
      <c r="AC6243" s="132"/>
      <c r="AD6243" s="148"/>
      <c r="AE6243" s="148"/>
    </row>
    <row r="6244" customFormat="false" ht="15" hidden="false" customHeight="true" outlineLevel="0" collapsed="false">
      <c r="A6244" s="141"/>
      <c r="B6244" s="131"/>
      <c r="C6244" s="132"/>
      <c r="D6244" s="131"/>
      <c r="E6244" s="110"/>
      <c r="F6244" s="110"/>
      <c r="G6244" s="110"/>
      <c r="H6244" s="131"/>
      <c r="I6244" s="131"/>
      <c r="J6244" s="142"/>
      <c r="K6244" s="142"/>
      <c r="L6244" s="140"/>
      <c r="M6244" s="131"/>
      <c r="N6244" s="131"/>
      <c r="O6244" s="131"/>
      <c r="P6244" s="143"/>
      <c r="Q6244" s="66"/>
      <c r="R6244" s="131"/>
      <c r="S6244" s="144"/>
      <c r="T6244" s="131"/>
      <c r="U6244" s="131"/>
      <c r="V6244" s="131"/>
      <c r="W6244" s="131"/>
      <c r="X6244" s="145"/>
      <c r="Y6244" s="146"/>
      <c r="Z6244" s="147"/>
      <c r="AA6244" s="147"/>
      <c r="AB6244" s="110"/>
      <c r="AC6244" s="132"/>
      <c r="AD6244" s="148"/>
      <c r="AE6244" s="148"/>
    </row>
    <row r="6245" customFormat="false" ht="15" hidden="false" customHeight="true" outlineLevel="0" collapsed="false">
      <c r="A6245" s="141"/>
      <c r="B6245" s="131"/>
      <c r="C6245" s="132"/>
      <c r="D6245" s="131"/>
      <c r="E6245" s="110"/>
      <c r="F6245" s="110"/>
      <c r="G6245" s="110"/>
      <c r="H6245" s="131"/>
      <c r="I6245" s="131"/>
      <c r="J6245" s="142"/>
      <c r="K6245" s="142"/>
      <c r="L6245" s="140"/>
      <c r="M6245" s="131"/>
      <c r="N6245" s="131"/>
      <c r="O6245" s="131"/>
      <c r="P6245" s="143"/>
      <c r="Q6245" s="66"/>
      <c r="R6245" s="131"/>
      <c r="S6245" s="144"/>
      <c r="T6245" s="131"/>
      <c r="U6245" s="131"/>
      <c r="V6245" s="131"/>
      <c r="W6245" s="131"/>
      <c r="X6245" s="145"/>
      <c r="Y6245" s="146"/>
      <c r="Z6245" s="147"/>
      <c r="AA6245" s="147"/>
      <c r="AB6245" s="110"/>
      <c r="AC6245" s="132"/>
      <c r="AD6245" s="148"/>
      <c r="AE6245" s="148"/>
    </row>
    <row r="6246" customFormat="false" ht="15" hidden="false" customHeight="true" outlineLevel="0" collapsed="false">
      <c r="A6246" s="141"/>
      <c r="B6246" s="131"/>
      <c r="C6246" s="132"/>
      <c r="D6246" s="131"/>
      <c r="E6246" s="110"/>
      <c r="F6246" s="110"/>
      <c r="G6246" s="110"/>
      <c r="H6246" s="131"/>
      <c r="I6246" s="131"/>
      <c r="J6246" s="142"/>
      <c r="K6246" s="142"/>
      <c r="L6246" s="140"/>
      <c r="M6246" s="131"/>
      <c r="N6246" s="131"/>
      <c r="O6246" s="131"/>
      <c r="P6246" s="143"/>
      <c r="Q6246" s="66"/>
      <c r="R6246" s="131"/>
      <c r="S6246" s="144"/>
      <c r="T6246" s="131"/>
      <c r="U6246" s="131"/>
      <c r="V6246" s="131"/>
      <c r="W6246" s="131"/>
      <c r="X6246" s="145"/>
      <c r="Y6246" s="146"/>
      <c r="Z6246" s="147"/>
      <c r="AA6246" s="147"/>
      <c r="AB6246" s="110"/>
      <c r="AC6246" s="132"/>
      <c r="AD6246" s="148"/>
      <c r="AE6246" s="148"/>
    </row>
    <row r="6247" customFormat="false" ht="15" hidden="false" customHeight="true" outlineLevel="0" collapsed="false">
      <c r="A6247" s="141"/>
      <c r="B6247" s="131"/>
      <c r="C6247" s="132"/>
      <c r="D6247" s="131"/>
      <c r="E6247" s="110"/>
      <c r="F6247" s="110"/>
      <c r="G6247" s="110"/>
      <c r="H6247" s="131"/>
      <c r="I6247" s="131"/>
      <c r="J6247" s="142"/>
      <c r="K6247" s="142"/>
      <c r="L6247" s="140"/>
      <c r="M6247" s="131"/>
      <c r="N6247" s="131"/>
      <c r="O6247" s="131"/>
      <c r="P6247" s="143"/>
      <c r="Q6247" s="66"/>
      <c r="R6247" s="131"/>
      <c r="S6247" s="144"/>
      <c r="T6247" s="131"/>
      <c r="U6247" s="131"/>
      <c r="V6247" s="131"/>
      <c r="W6247" s="131"/>
      <c r="X6247" s="145"/>
      <c r="Y6247" s="146"/>
      <c r="Z6247" s="147"/>
      <c r="AA6247" s="147"/>
      <c r="AB6247" s="110"/>
      <c r="AC6247" s="132"/>
      <c r="AD6247" s="148"/>
      <c r="AE6247" s="148"/>
    </row>
    <row r="6248" customFormat="false" ht="15" hidden="false" customHeight="true" outlineLevel="0" collapsed="false">
      <c r="A6248" s="141"/>
      <c r="B6248" s="131"/>
      <c r="C6248" s="132"/>
      <c r="D6248" s="131"/>
      <c r="E6248" s="110"/>
      <c r="F6248" s="110"/>
      <c r="G6248" s="110"/>
      <c r="H6248" s="131"/>
      <c r="I6248" s="131"/>
      <c r="J6248" s="142"/>
      <c r="K6248" s="142"/>
      <c r="L6248" s="140"/>
      <c r="M6248" s="131"/>
      <c r="N6248" s="131"/>
      <c r="O6248" s="131"/>
      <c r="P6248" s="143"/>
      <c r="Q6248" s="66"/>
      <c r="R6248" s="131"/>
      <c r="S6248" s="144"/>
      <c r="T6248" s="131"/>
      <c r="U6248" s="131"/>
      <c r="V6248" s="131"/>
      <c r="W6248" s="131"/>
      <c r="X6248" s="145"/>
      <c r="Y6248" s="146"/>
      <c r="Z6248" s="147"/>
      <c r="AA6248" s="147"/>
      <c r="AB6248" s="110"/>
      <c r="AC6248" s="132"/>
      <c r="AD6248" s="148"/>
      <c r="AE6248" s="148"/>
    </row>
    <row r="6249" customFormat="false" ht="15" hidden="false" customHeight="true" outlineLevel="0" collapsed="false">
      <c r="A6249" s="141"/>
      <c r="B6249" s="131"/>
      <c r="C6249" s="132"/>
      <c r="D6249" s="131"/>
      <c r="E6249" s="110"/>
      <c r="F6249" s="110"/>
      <c r="G6249" s="110"/>
      <c r="H6249" s="131"/>
      <c r="I6249" s="131"/>
      <c r="J6249" s="142"/>
      <c r="K6249" s="142"/>
      <c r="L6249" s="140"/>
      <c r="M6249" s="131"/>
      <c r="N6249" s="131"/>
      <c r="O6249" s="131"/>
      <c r="P6249" s="143"/>
      <c r="Q6249" s="66"/>
      <c r="R6249" s="131"/>
      <c r="S6249" s="144"/>
      <c r="T6249" s="131"/>
      <c r="U6249" s="131"/>
      <c r="V6249" s="131"/>
      <c r="W6249" s="131"/>
      <c r="X6249" s="145"/>
      <c r="Y6249" s="146"/>
      <c r="Z6249" s="147"/>
      <c r="AA6249" s="147"/>
      <c r="AB6249" s="110"/>
      <c r="AC6249" s="132"/>
      <c r="AD6249" s="148"/>
      <c r="AE6249" s="148"/>
    </row>
    <row r="6250" customFormat="false" ht="15" hidden="false" customHeight="true" outlineLevel="0" collapsed="false">
      <c r="A6250" s="141"/>
      <c r="B6250" s="131"/>
      <c r="C6250" s="132"/>
      <c r="D6250" s="131"/>
      <c r="E6250" s="110"/>
      <c r="F6250" s="110"/>
      <c r="G6250" s="110"/>
      <c r="H6250" s="131"/>
      <c r="I6250" s="131"/>
      <c r="J6250" s="142"/>
      <c r="K6250" s="142"/>
      <c r="L6250" s="140"/>
      <c r="M6250" s="131"/>
      <c r="N6250" s="131"/>
      <c r="O6250" s="131"/>
      <c r="P6250" s="143"/>
      <c r="Q6250" s="66"/>
      <c r="R6250" s="131"/>
      <c r="S6250" s="144"/>
      <c r="T6250" s="131"/>
      <c r="U6250" s="131"/>
      <c r="V6250" s="131"/>
      <c r="W6250" s="131"/>
      <c r="X6250" s="145"/>
      <c r="Y6250" s="146"/>
      <c r="Z6250" s="147"/>
      <c r="AA6250" s="147"/>
      <c r="AB6250" s="110"/>
      <c r="AC6250" s="132"/>
      <c r="AD6250" s="148"/>
      <c r="AE6250" s="148"/>
    </row>
    <row r="6251" customFormat="false" ht="15" hidden="false" customHeight="true" outlineLevel="0" collapsed="false">
      <c r="A6251" s="141"/>
      <c r="B6251" s="131"/>
      <c r="C6251" s="132"/>
      <c r="D6251" s="131"/>
      <c r="E6251" s="110"/>
      <c r="F6251" s="110"/>
      <c r="G6251" s="110"/>
      <c r="H6251" s="131"/>
      <c r="I6251" s="131"/>
      <c r="J6251" s="142"/>
      <c r="K6251" s="142"/>
      <c r="L6251" s="140"/>
      <c r="M6251" s="131"/>
      <c r="N6251" s="131"/>
      <c r="O6251" s="131"/>
      <c r="P6251" s="143"/>
      <c r="Q6251" s="66"/>
      <c r="R6251" s="131"/>
      <c r="S6251" s="144"/>
      <c r="T6251" s="131"/>
      <c r="U6251" s="131"/>
      <c r="V6251" s="131"/>
      <c r="W6251" s="131"/>
      <c r="X6251" s="145"/>
      <c r="Y6251" s="146"/>
      <c r="Z6251" s="147"/>
      <c r="AA6251" s="147"/>
      <c r="AB6251" s="110"/>
      <c r="AC6251" s="132"/>
      <c r="AD6251" s="148"/>
      <c r="AE6251" s="148"/>
    </row>
    <row r="6252" customFormat="false" ht="15" hidden="false" customHeight="true" outlineLevel="0" collapsed="false">
      <c r="A6252" s="141"/>
      <c r="B6252" s="131"/>
      <c r="C6252" s="132"/>
      <c r="D6252" s="131"/>
      <c r="E6252" s="110"/>
      <c r="F6252" s="110"/>
      <c r="G6252" s="110"/>
      <c r="H6252" s="131"/>
      <c r="I6252" s="131"/>
      <c r="J6252" s="142"/>
      <c r="K6252" s="142"/>
      <c r="L6252" s="140"/>
      <c r="M6252" s="131"/>
      <c r="N6252" s="131"/>
      <c r="O6252" s="131"/>
      <c r="P6252" s="143"/>
      <c r="Q6252" s="66"/>
      <c r="R6252" s="131"/>
      <c r="S6252" s="144"/>
      <c r="T6252" s="131"/>
      <c r="U6252" s="131"/>
      <c r="V6252" s="131"/>
      <c r="W6252" s="131"/>
      <c r="X6252" s="145"/>
      <c r="Y6252" s="146"/>
      <c r="Z6252" s="147"/>
      <c r="AA6252" s="147"/>
      <c r="AB6252" s="110"/>
      <c r="AC6252" s="132"/>
      <c r="AD6252" s="148"/>
      <c r="AE6252" s="148"/>
    </row>
    <row r="6253" customFormat="false" ht="15" hidden="false" customHeight="true" outlineLevel="0" collapsed="false">
      <c r="A6253" s="141"/>
      <c r="B6253" s="131"/>
      <c r="C6253" s="132"/>
      <c r="D6253" s="131"/>
      <c r="E6253" s="110"/>
      <c r="F6253" s="110"/>
      <c r="G6253" s="110"/>
      <c r="H6253" s="131"/>
      <c r="I6253" s="131"/>
      <c r="J6253" s="142"/>
      <c r="K6253" s="142"/>
      <c r="L6253" s="140"/>
      <c r="M6253" s="131"/>
      <c r="N6253" s="131"/>
      <c r="O6253" s="131"/>
      <c r="P6253" s="143"/>
      <c r="Q6253" s="66"/>
      <c r="R6253" s="131"/>
      <c r="S6253" s="144"/>
      <c r="T6253" s="131"/>
      <c r="U6253" s="131"/>
      <c r="V6253" s="131"/>
      <c r="W6253" s="131"/>
      <c r="X6253" s="145"/>
      <c r="Y6253" s="146"/>
      <c r="Z6253" s="147"/>
      <c r="AA6253" s="147"/>
      <c r="AB6253" s="110"/>
      <c r="AC6253" s="132"/>
      <c r="AD6253" s="148"/>
      <c r="AE6253" s="148"/>
    </row>
    <row r="6254" customFormat="false" ht="15" hidden="false" customHeight="true" outlineLevel="0" collapsed="false">
      <c r="A6254" s="141"/>
      <c r="B6254" s="131"/>
      <c r="C6254" s="132"/>
      <c r="D6254" s="131"/>
      <c r="E6254" s="110"/>
      <c r="F6254" s="110"/>
      <c r="G6254" s="110"/>
      <c r="H6254" s="131"/>
      <c r="I6254" s="131"/>
      <c r="J6254" s="142"/>
      <c r="K6254" s="142"/>
      <c r="L6254" s="140"/>
      <c r="M6254" s="131"/>
      <c r="N6254" s="131"/>
      <c r="O6254" s="131"/>
      <c r="P6254" s="143"/>
      <c r="Q6254" s="66"/>
      <c r="R6254" s="131"/>
      <c r="S6254" s="144"/>
      <c r="T6254" s="131"/>
      <c r="U6254" s="131"/>
      <c r="V6254" s="131"/>
      <c r="W6254" s="131"/>
      <c r="X6254" s="145"/>
      <c r="Y6254" s="146"/>
      <c r="Z6254" s="147"/>
      <c r="AA6254" s="147"/>
      <c r="AB6254" s="110"/>
      <c r="AC6254" s="132"/>
      <c r="AD6254" s="148"/>
      <c r="AE6254" s="148"/>
    </row>
    <row r="6255" customFormat="false" ht="15" hidden="false" customHeight="true" outlineLevel="0" collapsed="false">
      <c r="A6255" s="141"/>
      <c r="B6255" s="131"/>
      <c r="C6255" s="132"/>
      <c r="D6255" s="131"/>
      <c r="E6255" s="110"/>
      <c r="F6255" s="110"/>
      <c r="G6255" s="110"/>
      <c r="H6255" s="131"/>
      <c r="I6255" s="131"/>
      <c r="J6255" s="142"/>
      <c r="K6255" s="142"/>
      <c r="L6255" s="140"/>
      <c r="M6255" s="131"/>
      <c r="N6255" s="131"/>
      <c r="O6255" s="131"/>
      <c r="P6255" s="143"/>
      <c r="Q6255" s="66"/>
      <c r="R6255" s="131"/>
      <c r="S6255" s="144"/>
      <c r="T6255" s="131"/>
      <c r="U6255" s="131"/>
      <c r="V6255" s="131"/>
      <c r="W6255" s="131"/>
      <c r="X6255" s="145"/>
      <c r="Y6255" s="146"/>
      <c r="Z6255" s="147"/>
      <c r="AA6255" s="147"/>
      <c r="AB6255" s="110"/>
      <c r="AC6255" s="132"/>
      <c r="AD6255" s="148"/>
      <c r="AE6255" s="148"/>
    </row>
    <row r="6256" customFormat="false" ht="15" hidden="false" customHeight="true" outlineLevel="0" collapsed="false">
      <c r="A6256" s="141"/>
      <c r="B6256" s="131"/>
      <c r="C6256" s="132"/>
      <c r="D6256" s="131"/>
      <c r="E6256" s="110"/>
      <c r="F6256" s="110"/>
      <c r="G6256" s="110"/>
      <c r="H6256" s="131"/>
      <c r="I6256" s="131"/>
      <c r="J6256" s="142"/>
      <c r="K6256" s="142"/>
      <c r="L6256" s="140"/>
      <c r="M6256" s="131"/>
      <c r="N6256" s="131"/>
      <c r="O6256" s="131"/>
      <c r="P6256" s="143"/>
      <c r="Q6256" s="66"/>
      <c r="R6256" s="131"/>
      <c r="S6256" s="144"/>
      <c r="T6256" s="131"/>
      <c r="U6256" s="131"/>
      <c r="V6256" s="131"/>
      <c r="W6256" s="131"/>
      <c r="X6256" s="145"/>
      <c r="Y6256" s="146"/>
      <c r="Z6256" s="147"/>
      <c r="AA6256" s="147"/>
      <c r="AB6256" s="110"/>
      <c r="AC6256" s="132"/>
      <c r="AD6256" s="148"/>
      <c r="AE6256" s="148"/>
    </row>
    <row r="6257" customFormat="false" ht="15" hidden="false" customHeight="true" outlineLevel="0" collapsed="false">
      <c r="A6257" s="141"/>
      <c r="B6257" s="131"/>
      <c r="C6257" s="132"/>
      <c r="D6257" s="131"/>
      <c r="E6257" s="110"/>
      <c r="F6257" s="110"/>
      <c r="G6257" s="110"/>
      <c r="H6257" s="131"/>
      <c r="I6257" s="131"/>
      <c r="J6257" s="142"/>
      <c r="K6257" s="142"/>
      <c r="L6257" s="140"/>
      <c r="M6257" s="131"/>
      <c r="N6257" s="131"/>
      <c r="O6257" s="131"/>
      <c r="P6257" s="143"/>
      <c r="Q6257" s="66"/>
      <c r="R6257" s="131"/>
      <c r="S6257" s="144"/>
      <c r="T6257" s="131"/>
      <c r="U6257" s="131"/>
      <c r="V6257" s="131"/>
      <c r="W6257" s="131"/>
      <c r="X6257" s="145"/>
      <c r="Y6257" s="146"/>
      <c r="Z6257" s="147"/>
      <c r="AA6257" s="147"/>
      <c r="AB6257" s="110"/>
      <c r="AC6257" s="132"/>
      <c r="AD6257" s="148"/>
      <c r="AE6257" s="148"/>
    </row>
    <row r="6258" customFormat="false" ht="15" hidden="false" customHeight="true" outlineLevel="0" collapsed="false">
      <c r="A6258" s="141"/>
      <c r="B6258" s="131"/>
      <c r="C6258" s="132"/>
      <c r="D6258" s="131"/>
      <c r="E6258" s="110"/>
      <c r="F6258" s="110"/>
      <c r="G6258" s="110"/>
      <c r="H6258" s="131"/>
      <c r="I6258" s="131"/>
      <c r="J6258" s="142"/>
      <c r="K6258" s="142"/>
      <c r="L6258" s="140"/>
      <c r="M6258" s="131"/>
      <c r="N6258" s="131"/>
      <c r="O6258" s="131"/>
      <c r="P6258" s="143"/>
      <c r="Q6258" s="66"/>
      <c r="R6258" s="131"/>
      <c r="S6258" s="144"/>
      <c r="T6258" s="131"/>
      <c r="U6258" s="131"/>
      <c r="V6258" s="131"/>
      <c r="W6258" s="131"/>
      <c r="X6258" s="145"/>
      <c r="Y6258" s="146"/>
      <c r="Z6258" s="147"/>
      <c r="AA6258" s="147"/>
      <c r="AB6258" s="110"/>
      <c r="AC6258" s="132"/>
      <c r="AD6258" s="148"/>
      <c r="AE6258" s="148"/>
    </row>
    <row r="6259" customFormat="false" ht="15" hidden="false" customHeight="true" outlineLevel="0" collapsed="false">
      <c r="A6259" s="141"/>
      <c r="B6259" s="131"/>
      <c r="C6259" s="132"/>
      <c r="D6259" s="131"/>
      <c r="E6259" s="110"/>
      <c r="F6259" s="110"/>
      <c r="G6259" s="110"/>
      <c r="H6259" s="131"/>
      <c r="I6259" s="131"/>
      <c r="J6259" s="142"/>
      <c r="K6259" s="142"/>
      <c r="L6259" s="140"/>
      <c r="M6259" s="131"/>
      <c r="N6259" s="131"/>
      <c r="O6259" s="131"/>
      <c r="P6259" s="143"/>
      <c r="Q6259" s="66"/>
      <c r="R6259" s="131"/>
      <c r="S6259" s="144"/>
      <c r="T6259" s="131"/>
      <c r="U6259" s="131"/>
      <c r="V6259" s="131"/>
      <c r="W6259" s="131"/>
      <c r="X6259" s="145"/>
      <c r="Y6259" s="146"/>
      <c r="Z6259" s="147"/>
      <c r="AA6259" s="147"/>
      <c r="AB6259" s="110"/>
      <c r="AC6259" s="132"/>
      <c r="AD6259" s="148"/>
      <c r="AE6259" s="148"/>
    </row>
    <row r="6260" customFormat="false" ht="15" hidden="false" customHeight="true" outlineLevel="0" collapsed="false">
      <c r="A6260" s="141"/>
      <c r="B6260" s="131"/>
      <c r="C6260" s="132"/>
      <c r="D6260" s="131"/>
      <c r="E6260" s="110"/>
      <c r="F6260" s="110"/>
      <c r="G6260" s="110"/>
      <c r="H6260" s="131"/>
      <c r="I6260" s="131"/>
      <c r="J6260" s="142"/>
      <c r="K6260" s="142"/>
      <c r="L6260" s="140"/>
      <c r="M6260" s="131"/>
      <c r="N6260" s="131"/>
      <c r="O6260" s="131"/>
      <c r="P6260" s="143"/>
      <c r="Q6260" s="66"/>
      <c r="R6260" s="131"/>
      <c r="S6260" s="144"/>
      <c r="T6260" s="131"/>
      <c r="U6260" s="131"/>
      <c r="V6260" s="131"/>
      <c r="W6260" s="131"/>
      <c r="X6260" s="145"/>
      <c r="Y6260" s="146"/>
      <c r="Z6260" s="147"/>
      <c r="AA6260" s="147"/>
      <c r="AB6260" s="110"/>
      <c r="AC6260" s="132"/>
      <c r="AD6260" s="148"/>
      <c r="AE6260" s="148"/>
    </row>
    <row r="6261" customFormat="false" ht="15" hidden="false" customHeight="true" outlineLevel="0" collapsed="false">
      <c r="A6261" s="141"/>
      <c r="B6261" s="131"/>
      <c r="C6261" s="132"/>
      <c r="D6261" s="131"/>
      <c r="E6261" s="110"/>
      <c r="F6261" s="110"/>
      <c r="G6261" s="110"/>
      <c r="H6261" s="131"/>
      <c r="I6261" s="131"/>
      <c r="J6261" s="142"/>
      <c r="K6261" s="142"/>
      <c r="L6261" s="140"/>
      <c r="M6261" s="131"/>
      <c r="N6261" s="131"/>
      <c r="O6261" s="131"/>
      <c r="P6261" s="143"/>
      <c r="Q6261" s="66"/>
      <c r="R6261" s="131"/>
      <c r="S6261" s="144"/>
      <c r="T6261" s="131"/>
      <c r="U6261" s="131"/>
      <c r="V6261" s="131"/>
      <c r="W6261" s="131"/>
      <c r="X6261" s="145"/>
      <c r="Y6261" s="146"/>
      <c r="Z6261" s="147"/>
      <c r="AA6261" s="147"/>
      <c r="AB6261" s="110"/>
      <c r="AC6261" s="132"/>
      <c r="AD6261" s="148"/>
      <c r="AE6261" s="148"/>
    </row>
    <row r="6262" customFormat="false" ht="15" hidden="false" customHeight="true" outlineLevel="0" collapsed="false">
      <c r="A6262" s="141"/>
      <c r="B6262" s="131"/>
      <c r="C6262" s="132"/>
      <c r="D6262" s="131"/>
      <c r="E6262" s="110"/>
      <c r="F6262" s="110"/>
      <c r="G6262" s="110"/>
      <c r="H6262" s="131"/>
      <c r="I6262" s="131"/>
      <c r="J6262" s="142"/>
      <c r="K6262" s="142"/>
      <c r="L6262" s="140"/>
      <c r="M6262" s="131"/>
      <c r="N6262" s="131"/>
      <c r="O6262" s="131"/>
      <c r="P6262" s="143"/>
      <c r="Q6262" s="66"/>
      <c r="R6262" s="131"/>
      <c r="S6262" s="144"/>
      <c r="T6262" s="131"/>
      <c r="U6262" s="131"/>
      <c r="V6262" s="131"/>
      <c r="W6262" s="131"/>
      <c r="X6262" s="145"/>
      <c r="Y6262" s="146"/>
      <c r="Z6262" s="147"/>
      <c r="AA6262" s="147"/>
      <c r="AB6262" s="110"/>
      <c r="AC6262" s="132"/>
      <c r="AD6262" s="148"/>
      <c r="AE6262" s="148"/>
    </row>
    <row r="6263" customFormat="false" ht="15" hidden="false" customHeight="true" outlineLevel="0" collapsed="false">
      <c r="A6263" s="141"/>
      <c r="B6263" s="131"/>
      <c r="C6263" s="132"/>
      <c r="D6263" s="131"/>
      <c r="E6263" s="110"/>
      <c r="F6263" s="110"/>
      <c r="G6263" s="110"/>
      <c r="H6263" s="131"/>
      <c r="I6263" s="131"/>
      <c r="J6263" s="142"/>
      <c r="K6263" s="142"/>
      <c r="L6263" s="140"/>
      <c r="M6263" s="131"/>
      <c r="N6263" s="131"/>
      <c r="O6263" s="131"/>
      <c r="P6263" s="143"/>
      <c r="Q6263" s="66"/>
      <c r="R6263" s="131"/>
      <c r="S6263" s="144"/>
      <c r="T6263" s="131"/>
      <c r="U6263" s="131"/>
      <c r="V6263" s="131"/>
      <c r="W6263" s="131"/>
      <c r="X6263" s="145"/>
      <c r="Y6263" s="146"/>
      <c r="Z6263" s="147"/>
      <c r="AA6263" s="147"/>
      <c r="AB6263" s="110"/>
      <c r="AC6263" s="132"/>
      <c r="AD6263" s="148"/>
      <c r="AE6263" s="148"/>
    </row>
    <row r="6264" customFormat="false" ht="15" hidden="false" customHeight="true" outlineLevel="0" collapsed="false">
      <c r="A6264" s="141"/>
      <c r="B6264" s="131"/>
      <c r="C6264" s="132"/>
      <c r="D6264" s="131"/>
      <c r="E6264" s="110"/>
      <c r="F6264" s="110"/>
      <c r="G6264" s="110"/>
      <c r="H6264" s="131"/>
      <c r="I6264" s="131"/>
      <c r="J6264" s="142"/>
      <c r="K6264" s="142"/>
      <c r="L6264" s="140"/>
      <c r="M6264" s="131"/>
      <c r="N6264" s="131"/>
      <c r="O6264" s="131"/>
      <c r="P6264" s="143"/>
      <c r="Q6264" s="66"/>
      <c r="R6264" s="131"/>
      <c r="S6264" s="144"/>
      <c r="T6264" s="131"/>
      <c r="U6264" s="131"/>
      <c r="V6264" s="131"/>
      <c r="W6264" s="131"/>
      <c r="X6264" s="145"/>
      <c r="Y6264" s="146"/>
      <c r="Z6264" s="147"/>
      <c r="AA6264" s="147"/>
      <c r="AB6264" s="110"/>
      <c r="AC6264" s="132"/>
      <c r="AD6264" s="148"/>
      <c r="AE6264" s="148"/>
    </row>
    <row r="6265" customFormat="false" ht="15" hidden="false" customHeight="true" outlineLevel="0" collapsed="false">
      <c r="A6265" s="141"/>
      <c r="B6265" s="131"/>
      <c r="C6265" s="132"/>
      <c r="D6265" s="131"/>
      <c r="E6265" s="110"/>
      <c r="F6265" s="110"/>
      <c r="G6265" s="110"/>
      <c r="H6265" s="131"/>
      <c r="I6265" s="131"/>
      <c r="J6265" s="142"/>
      <c r="K6265" s="142"/>
      <c r="L6265" s="140"/>
      <c r="M6265" s="131"/>
      <c r="N6265" s="131"/>
      <c r="O6265" s="131"/>
      <c r="P6265" s="143"/>
      <c r="Q6265" s="66"/>
      <c r="R6265" s="131"/>
      <c r="S6265" s="144"/>
      <c r="T6265" s="131"/>
      <c r="U6265" s="131"/>
      <c r="V6265" s="131"/>
      <c r="W6265" s="131"/>
      <c r="X6265" s="145"/>
      <c r="Y6265" s="146"/>
      <c r="Z6265" s="147"/>
      <c r="AA6265" s="147"/>
      <c r="AB6265" s="110"/>
      <c r="AC6265" s="132"/>
      <c r="AD6265" s="148"/>
      <c r="AE6265" s="148"/>
    </row>
    <row r="6266" customFormat="false" ht="15" hidden="false" customHeight="true" outlineLevel="0" collapsed="false">
      <c r="A6266" s="141"/>
      <c r="B6266" s="131"/>
      <c r="C6266" s="132"/>
      <c r="D6266" s="131"/>
      <c r="E6266" s="110"/>
      <c r="F6266" s="110"/>
      <c r="G6266" s="110"/>
      <c r="H6266" s="131"/>
      <c r="I6266" s="131"/>
      <c r="J6266" s="142"/>
      <c r="K6266" s="142"/>
      <c r="L6266" s="140"/>
      <c r="M6266" s="131"/>
      <c r="N6266" s="131"/>
      <c r="O6266" s="131"/>
      <c r="P6266" s="143"/>
      <c r="Q6266" s="66"/>
      <c r="R6266" s="131"/>
      <c r="S6266" s="144"/>
      <c r="T6266" s="131"/>
      <c r="U6266" s="131"/>
      <c r="V6266" s="131"/>
      <c r="W6266" s="131"/>
      <c r="X6266" s="145"/>
      <c r="Y6266" s="146"/>
      <c r="Z6266" s="147"/>
      <c r="AA6266" s="147"/>
      <c r="AB6266" s="110"/>
      <c r="AC6266" s="132"/>
      <c r="AD6266" s="148"/>
      <c r="AE6266" s="148"/>
    </row>
    <row r="6267" customFormat="false" ht="15" hidden="false" customHeight="true" outlineLevel="0" collapsed="false">
      <c r="A6267" s="141"/>
      <c r="B6267" s="131"/>
      <c r="C6267" s="132"/>
      <c r="D6267" s="131"/>
      <c r="E6267" s="110"/>
      <c r="F6267" s="110"/>
      <c r="G6267" s="110"/>
      <c r="H6267" s="131"/>
      <c r="I6267" s="131"/>
      <c r="J6267" s="142"/>
      <c r="K6267" s="142"/>
      <c r="L6267" s="140"/>
      <c r="M6267" s="131"/>
      <c r="N6267" s="131"/>
      <c r="O6267" s="131"/>
      <c r="P6267" s="143"/>
      <c r="Q6267" s="66"/>
      <c r="R6267" s="131"/>
      <c r="S6267" s="144"/>
      <c r="T6267" s="131"/>
      <c r="U6267" s="131"/>
      <c r="V6267" s="131"/>
      <c r="W6267" s="131"/>
      <c r="X6267" s="145"/>
      <c r="Y6267" s="146"/>
      <c r="Z6267" s="147"/>
      <c r="AA6267" s="147"/>
      <c r="AB6267" s="110"/>
      <c r="AC6267" s="132"/>
      <c r="AD6267" s="148"/>
      <c r="AE6267" s="148"/>
    </row>
    <row r="6268" customFormat="false" ht="15" hidden="false" customHeight="true" outlineLevel="0" collapsed="false">
      <c r="A6268" s="141"/>
      <c r="B6268" s="131"/>
      <c r="C6268" s="132"/>
      <c r="D6268" s="131"/>
      <c r="E6268" s="110"/>
      <c r="F6268" s="110"/>
      <c r="G6268" s="110"/>
      <c r="H6268" s="131"/>
      <c r="I6268" s="131"/>
      <c r="J6268" s="142"/>
      <c r="K6268" s="142"/>
      <c r="L6268" s="140"/>
      <c r="M6268" s="131"/>
      <c r="N6268" s="131"/>
      <c r="O6268" s="131"/>
      <c r="P6268" s="143"/>
      <c r="Q6268" s="66"/>
      <c r="R6268" s="131"/>
      <c r="S6268" s="144"/>
      <c r="T6268" s="131"/>
      <c r="U6268" s="131"/>
      <c r="V6268" s="131"/>
      <c r="W6268" s="131"/>
      <c r="X6268" s="145"/>
      <c r="Y6268" s="146"/>
      <c r="Z6268" s="147"/>
      <c r="AA6268" s="147"/>
      <c r="AB6268" s="110"/>
      <c r="AC6268" s="132"/>
      <c r="AD6268" s="148"/>
      <c r="AE6268" s="148"/>
    </row>
    <row r="6269" customFormat="false" ht="15" hidden="false" customHeight="true" outlineLevel="0" collapsed="false">
      <c r="A6269" s="141"/>
      <c r="B6269" s="131"/>
      <c r="C6269" s="132"/>
      <c r="D6269" s="131"/>
      <c r="E6269" s="110"/>
      <c r="F6269" s="110"/>
      <c r="G6269" s="110"/>
      <c r="H6269" s="131"/>
      <c r="I6269" s="131"/>
      <c r="J6269" s="142"/>
      <c r="K6269" s="142"/>
      <c r="L6269" s="140"/>
      <c r="M6269" s="131"/>
      <c r="N6269" s="131"/>
      <c r="O6269" s="131"/>
      <c r="P6269" s="143"/>
      <c r="Q6269" s="66"/>
      <c r="R6269" s="131"/>
      <c r="S6269" s="144"/>
      <c r="T6269" s="131"/>
      <c r="U6269" s="131"/>
      <c r="V6269" s="131"/>
      <c r="W6269" s="131"/>
      <c r="X6269" s="145"/>
      <c r="Y6269" s="146"/>
      <c r="Z6269" s="147"/>
      <c r="AA6269" s="147"/>
      <c r="AB6269" s="110"/>
      <c r="AC6269" s="132"/>
      <c r="AD6269" s="148"/>
      <c r="AE6269" s="148"/>
    </row>
    <row r="6270" customFormat="false" ht="15" hidden="false" customHeight="true" outlineLevel="0" collapsed="false">
      <c r="A6270" s="141"/>
      <c r="B6270" s="131"/>
      <c r="C6270" s="132"/>
      <c r="D6270" s="131"/>
      <c r="E6270" s="110"/>
      <c r="F6270" s="110"/>
      <c r="G6270" s="110"/>
      <c r="H6270" s="131"/>
      <c r="I6270" s="131"/>
      <c r="J6270" s="142"/>
      <c r="K6270" s="142"/>
      <c r="L6270" s="140"/>
      <c r="M6270" s="131"/>
      <c r="N6270" s="131"/>
      <c r="O6270" s="131"/>
      <c r="P6270" s="143"/>
      <c r="Q6270" s="66"/>
      <c r="R6270" s="131"/>
      <c r="S6270" s="144"/>
      <c r="T6270" s="131"/>
      <c r="U6270" s="131"/>
      <c r="V6270" s="131"/>
      <c r="W6270" s="131"/>
      <c r="X6270" s="145"/>
      <c r="Y6270" s="146"/>
      <c r="Z6270" s="147"/>
      <c r="AA6270" s="147"/>
      <c r="AB6270" s="110"/>
      <c r="AC6270" s="132"/>
      <c r="AD6270" s="148"/>
      <c r="AE6270" s="148"/>
    </row>
    <row r="6271" customFormat="false" ht="15" hidden="false" customHeight="true" outlineLevel="0" collapsed="false">
      <c r="A6271" s="141"/>
      <c r="B6271" s="131"/>
      <c r="C6271" s="132"/>
      <c r="D6271" s="131"/>
      <c r="E6271" s="110"/>
      <c r="F6271" s="110"/>
      <c r="G6271" s="110"/>
      <c r="H6271" s="131"/>
      <c r="I6271" s="131"/>
      <c r="J6271" s="142"/>
      <c r="K6271" s="142"/>
      <c r="L6271" s="140"/>
      <c r="M6271" s="131"/>
      <c r="N6271" s="131"/>
      <c r="O6271" s="131"/>
      <c r="P6271" s="143"/>
      <c r="Q6271" s="66"/>
      <c r="R6271" s="131"/>
      <c r="S6271" s="144"/>
      <c r="T6271" s="131"/>
      <c r="U6271" s="131"/>
      <c r="V6271" s="131"/>
      <c r="W6271" s="131"/>
      <c r="X6271" s="145"/>
      <c r="Y6271" s="146"/>
      <c r="Z6271" s="147"/>
      <c r="AA6271" s="147"/>
      <c r="AB6271" s="110"/>
      <c r="AC6271" s="132"/>
      <c r="AD6271" s="148"/>
      <c r="AE6271" s="148"/>
    </row>
    <row r="6272" customFormat="false" ht="15" hidden="false" customHeight="true" outlineLevel="0" collapsed="false">
      <c r="A6272" s="141"/>
      <c r="B6272" s="131"/>
      <c r="C6272" s="132"/>
      <c r="D6272" s="131"/>
      <c r="E6272" s="110"/>
      <c r="F6272" s="110"/>
      <c r="G6272" s="110"/>
      <c r="H6272" s="131"/>
      <c r="I6272" s="131"/>
      <c r="J6272" s="142"/>
      <c r="K6272" s="142"/>
      <c r="L6272" s="140"/>
      <c r="M6272" s="131"/>
      <c r="N6272" s="131"/>
      <c r="O6272" s="131"/>
      <c r="P6272" s="143"/>
      <c r="Q6272" s="66"/>
      <c r="R6272" s="131"/>
      <c r="S6272" s="144"/>
      <c r="T6272" s="131"/>
      <c r="U6272" s="131"/>
      <c r="V6272" s="131"/>
      <c r="W6272" s="131"/>
      <c r="X6272" s="145"/>
      <c r="Y6272" s="146"/>
      <c r="Z6272" s="147"/>
      <c r="AA6272" s="147"/>
      <c r="AB6272" s="110"/>
      <c r="AC6272" s="132"/>
      <c r="AD6272" s="148"/>
      <c r="AE6272" s="148"/>
    </row>
    <row r="6273" customFormat="false" ht="15" hidden="false" customHeight="true" outlineLevel="0" collapsed="false">
      <c r="A6273" s="141"/>
      <c r="B6273" s="131"/>
      <c r="C6273" s="132"/>
      <c r="D6273" s="131"/>
      <c r="E6273" s="110"/>
      <c r="F6273" s="110"/>
      <c r="G6273" s="110"/>
      <c r="H6273" s="131"/>
      <c r="I6273" s="131"/>
      <c r="J6273" s="142"/>
      <c r="K6273" s="142"/>
      <c r="L6273" s="140"/>
      <c r="M6273" s="131"/>
      <c r="N6273" s="131"/>
      <c r="O6273" s="131"/>
      <c r="P6273" s="143"/>
      <c r="Q6273" s="66"/>
      <c r="R6273" s="131"/>
      <c r="S6273" s="144"/>
      <c r="T6273" s="131"/>
      <c r="U6273" s="131"/>
      <c r="V6273" s="131"/>
      <c r="W6273" s="131"/>
      <c r="X6273" s="145"/>
      <c r="Y6273" s="146"/>
      <c r="Z6273" s="147"/>
      <c r="AA6273" s="147"/>
      <c r="AB6273" s="110"/>
      <c r="AC6273" s="132"/>
      <c r="AD6273" s="148"/>
      <c r="AE6273" s="148"/>
    </row>
    <row r="6274" customFormat="false" ht="15" hidden="false" customHeight="true" outlineLevel="0" collapsed="false">
      <c r="A6274" s="141"/>
      <c r="B6274" s="131"/>
      <c r="C6274" s="132"/>
      <c r="D6274" s="131"/>
      <c r="E6274" s="110"/>
      <c r="F6274" s="110"/>
      <c r="G6274" s="110"/>
      <c r="H6274" s="131"/>
      <c r="I6274" s="131"/>
      <c r="J6274" s="142"/>
      <c r="K6274" s="142"/>
      <c r="L6274" s="140"/>
      <c r="M6274" s="131"/>
      <c r="N6274" s="131"/>
      <c r="O6274" s="131"/>
      <c r="P6274" s="143"/>
      <c r="Q6274" s="66"/>
      <c r="R6274" s="131"/>
      <c r="S6274" s="144"/>
      <c r="T6274" s="131"/>
      <c r="U6274" s="131"/>
      <c r="V6274" s="131"/>
      <c r="W6274" s="131"/>
      <c r="X6274" s="145"/>
      <c r="Y6274" s="146"/>
      <c r="Z6274" s="147"/>
      <c r="AA6274" s="147"/>
      <c r="AB6274" s="110"/>
      <c r="AC6274" s="132"/>
      <c r="AD6274" s="148"/>
      <c r="AE6274" s="148"/>
    </row>
    <row r="6275" customFormat="false" ht="15" hidden="false" customHeight="true" outlineLevel="0" collapsed="false">
      <c r="A6275" s="141"/>
      <c r="B6275" s="131"/>
      <c r="C6275" s="132"/>
      <c r="D6275" s="131"/>
      <c r="E6275" s="110"/>
      <c r="F6275" s="110"/>
      <c r="G6275" s="110"/>
      <c r="H6275" s="131"/>
      <c r="I6275" s="131"/>
      <c r="J6275" s="142"/>
      <c r="K6275" s="142"/>
      <c r="L6275" s="140"/>
      <c r="M6275" s="131"/>
      <c r="N6275" s="131"/>
      <c r="O6275" s="131"/>
      <c r="P6275" s="143"/>
      <c r="Q6275" s="66"/>
      <c r="R6275" s="131"/>
      <c r="S6275" s="144"/>
      <c r="T6275" s="131"/>
      <c r="U6275" s="131"/>
      <c r="V6275" s="131"/>
      <c r="W6275" s="131"/>
      <c r="X6275" s="145"/>
      <c r="Y6275" s="146"/>
      <c r="Z6275" s="147"/>
      <c r="AA6275" s="147"/>
      <c r="AB6275" s="110"/>
      <c r="AC6275" s="132"/>
      <c r="AD6275" s="148"/>
      <c r="AE6275" s="148"/>
    </row>
    <row r="6276" customFormat="false" ht="15" hidden="false" customHeight="true" outlineLevel="0" collapsed="false">
      <c r="A6276" s="141"/>
      <c r="B6276" s="131"/>
      <c r="C6276" s="132"/>
      <c r="D6276" s="131"/>
      <c r="E6276" s="110"/>
      <c r="F6276" s="110"/>
      <c r="G6276" s="110"/>
      <c r="H6276" s="131"/>
      <c r="I6276" s="131"/>
      <c r="J6276" s="142"/>
      <c r="K6276" s="142"/>
      <c r="L6276" s="140"/>
      <c r="M6276" s="131"/>
      <c r="N6276" s="131"/>
      <c r="O6276" s="131"/>
      <c r="P6276" s="143"/>
      <c r="Q6276" s="66"/>
      <c r="R6276" s="131"/>
      <c r="S6276" s="144"/>
      <c r="T6276" s="131"/>
      <c r="U6276" s="131"/>
      <c r="V6276" s="131"/>
      <c r="W6276" s="131"/>
      <c r="X6276" s="145"/>
      <c r="Y6276" s="146"/>
      <c r="Z6276" s="147"/>
      <c r="AA6276" s="147"/>
      <c r="AB6276" s="110"/>
      <c r="AC6276" s="132"/>
      <c r="AD6276" s="148"/>
      <c r="AE6276" s="148"/>
    </row>
    <row r="6277" customFormat="false" ht="15" hidden="false" customHeight="true" outlineLevel="0" collapsed="false">
      <c r="A6277" s="141"/>
      <c r="B6277" s="131"/>
      <c r="C6277" s="132"/>
      <c r="D6277" s="131"/>
      <c r="E6277" s="110"/>
      <c r="F6277" s="110"/>
      <c r="G6277" s="110"/>
      <c r="H6277" s="131"/>
      <c r="I6277" s="131"/>
      <c r="J6277" s="142"/>
      <c r="K6277" s="142"/>
      <c r="L6277" s="140"/>
      <c r="M6277" s="131"/>
      <c r="N6277" s="131"/>
      <c r="O6277" s="131"/>
      <c r="P6277" s="143"/>
      <c r="Q6277" s="66"/>
      <c r="R6277" s="131"/>
      <c r="S6277" s="144"/>
      <c r="T6277" s="131"/>
      <c r="U6277" s="131"/>
      <c r="V6277" s="131"/>
      <c r="W6277" s="131"/>
      <c r="X6277" s="145"/>
      <c r="Y6277" s="146"/>
      <c r="Z6277" s="147"/>
      <c r="AA6277" s="147"/>
      <c r="AB6277" s="110"/>
      <c r="AC6277" s="132"/>
      <c r="AD6277" s="148"/>
      <c r="AE6277" s="148"/>
    </row>
    <row r="6278" customFormat="false" ht="15" hidden="false" customHeight="true" outlineLevel="0" collapsed="false">
      <c r="A6278" s="141"/>
      <c r="B6278" s="131"/>
      <c r="C6278" s="132"/>
      <c r="D6278" s="131"/>
      <c r="E6278" s="110"/>
      <c r="F6278" s="110"/>
      <c r="G6278" s="110"/>
      <c r="H6278" s="131"/>
      <c r="I6278" s="131"/>
      <c r="J6278" s="142"/>
      <c r="K6278" s="142"/>
      <c r="L6278" s="140"/>
      <c r="M6278" s="131"/>
      <c r="N6278" s="131"/>
      <c r="O6278" s="131"/>
      <c r="P6278" s="143"/>
      <c r="Q6278" s="66"/>
      <c r="R6278" s="131"/>
      <c r="S6278" s="144"/>
      <c r="T6278" s="131"/>
      <c r="U6278" s="131"/>
      <c r="V6278" s="131"/>
      <c r="W6278" s="131"/>
      <c r="X6278" s="145"/>
      <c r="Y6278" s="146"/>
      <c r="Z6278" s="147"/>
      <c r="AA6278" s="147"/>
      <c r="AB6278" s="110"/>
      <c r="AC6278" s="132"/>
      <c r="AD6278" s="148"/>
      <c r="AE6278" s="148"/>
    </row>
    <row r="6279" customFormat="false" ht="15" hidden="false" customHeight="true" outlineLevel="0" collapsed="false">
      <c r="A6279" s="141"/>
      <c r="B6279" s="131"/>
      <c r="C6279" s="132"/>
      <c r="D6279" s="131"/>
      <c r="E6279" s="110"/>
      <c r="F6279" s="110"/>
      <c r="G6279" s="110"/>
      <c r="H6279" s="131"/>
      <c r="I6279" s="131"/>
      <c r="J6279" s="142"/>
      <c r="K6279" s="142"/>
      <c r="L6279" s="140"/>
      <c r="M6279" s="131"/>
      <c r="N6279" s="131"/>
      <c r="O6279" s="131"/>
      <c r="P6279" s="143"/>
      <c r="Q6279" s="66"/>
      <c r="R6279" s="131"/>
      <c r="S6279" s="144"/>
      <c r="T6279" s="131"/>
      <c r="U6279" s="131"/>
      <c r="V6279" s="131"/>
      <c r="W6279" s="131"/>
      <c r="X6279" s="145"/>
      <c r="Y6279" s="146"/>
      <c r="Z6279" s="147"/>
      <c r="AA6279" s="147"/>
      <c r="AB6279" s="110"/>
      <c r="AC6279" s="132"/>
      <c r="AD6279" s="148"/>
      <c r="AE6279" s="148"/>
    </row>
    <row r="6280" customFormat="false" ht="15" hidden="false" customHeight="true" outlineLevel="0" collapsed="false">
      <c r="A6280" s="141"/>
      <c r="B6280" s="131"/>
      <c r="C6280" s="132"/>
      <c r="D6280" s="131"/>
      <c r="E6280" s="110"/>
      <c r="F6280" s="110"/>
      <c r="G6280" s="110"/>
      <c r="H6280" s="131"/>
      <c r="I6280" s="131"/>
      <c r="J6280" s="142"/>
      <c r="K6280" s="142"/>
      <c r="L6280" s="140"/>
      <c r="M6280" s="131"/>
      <c r="N6280" s="131"/>
      <c r="O6280" s="131"/>
      <c r="P6280" s="143"/>
      <c r="Q6280" s="66"/>
      <c r="R6280" s="131"/>
      <c r="S6280" s="144"/>
      <c r="T6280" s="131"/>
      <c r="U6280" s="131"/>
      <c r="V6280" s="131"/>
      <c r="W6280" s="131"/>
      <c r="X6280" s="145"/>
      <c r="Y6280" s="146"/>
      <c r="Z6280" s="147"/>
      <c r="AA6280" s="147"/>
      <c r="AB6280" s="110"/>
      <c r="AC6280" s="132"/>
      <c r="AD6280" s="148"/>
      <c r="AE6280" s="148"/>
    </row>
    <row r="6281" customFormat="false" ht="15" hidden="false" customHeight="true" outlineLevel="0" collapsed="false">
      <c r="A6281" s="141"/>
      <c r="B6281" s="131"/>
      <c r="C6281" s="132"/>
      <c r="D6281" s="131"/>
      <c r="E6281" s="110"/>
      <c r="F6281" s="110"/>
      <c r="G6281" s="110"/>
      <c r="H6281" s="131"/>
      <c r="I6281" s="131"/>
      <c r="J6281" s="142"/>
      <c r="K6281" s="142"/>
      <c r="L6281" s="140"/>
      <c r="M6281" s="131"/>
      <c r="N6281" s="131"/>
      <c r="O6281" s="131"/>
      <c r="P6281" s="143"/>
      <c r="Q6281" s="66"/>
      <c r="R6281" s="131"/>
      <c r="S6281" s="144"/>
      <c r="T6281" s="131"/>
      <c r="U6281" s="131"/>
      <c r="V6281" s="131"/>
      <c r="W6281" s="131"/>
      <c r="X6281" s="145"/>
      <c r="Y6281" s="146"/>
      <c r="Z6281" s="147"/>
      <c r="AA6281" s="147"/>
      <c r="AB6281" s="110"/>
      <c r="AC6281" s="132"/>
      <c r="AD6281" s="148"/>
      <c r="AE6281" s="148"/>
    </row>
    <row r="6282" customFormat="false" ht="15" hidden="false" customHeight="true" outlineLevel="0" collapsed="false">
      <c r="A6282" s="141"/>
      <c r="B6282" s="131"/>
      <c r="C6282" s="132"/>
      <c r="D6282" s="131"/>
      <c r="E6282" s="110"/>
      <c r="F6282" s="110"/>
      <c r="G6282" s="110"/>
      <c r="H6282" s="131"/>
      <c r="I6282" s="131"/>
      <c r="J6282" s="142"/>
      <c r="K6282" s="142"/>
      <c r="L6282" s="140"/>
      <c r="M6282" s="131"/>
      <c r="N6282" s="131"/>
      <c r="O6282" s="131"/>
      <c r="P6282" s="143"/>
      <c r="Q6282" s="66"/>
      <c r="R6282" s="131"/>
      <c r="S6282" s="144"/>
      <c r="T6282" s="131"/>
      <c r="U6282" s="131"/>
      <c r="V6282" s="131"/>
      <c r="W6282" s="131"/>
      <c r="X6282" s="145"/>
      <c r="Y6282" s="146"/>
      <c r="Z6282" s="147"/>
      <c r="AA6282" s="147"/>
      <c r="AB6282" s="110"/>
      <c r="AC6282" s="132"/>
      <c r="AD6282" s="148"/>
      <c r="AE6282" s="148"/>
    </row>
    <row r="6283" customFormat="false" ht="15" hidden="false" customHeight="true" outlineLevel="0" collapsed="false">
      <c r="A6283" s="141"/>
      <c r="B6283" s="131"/>
      <c r="C6283" s="132"/>
      <c r="D6283" s="131"/>
      <c r="E6283" s="110"/>
      <c r="F6283" s="110"/>
      <c r="G6283" s="110"/>
      <c r="H6283" s="131"/>
      <c r="I6283" s="131"/>
      <c r="J6283" s="142"/>
      <c r="K6283" s="142"/>
      <c r="L6283" s="140"/>
      <c r="M6283" s="131"/>
      <c r="N6283" s="131"/>
      <c r="O6283" s="131"/>
      <c r="P6283" s="143"/>
      <c r="Q6283" s="66"/>
      <c r="R6283" s="131"/>
      <c r="S6283" s="144"/>
      <c r="T6283" s="131"/>
      <c r="U6283" s="131"/>
      <c r="V6283" s="131"/>
      <c r="W6283" s="131"/>
      <c r="X6283" s="145"/>
      <c r="Y6283" s="146"/>
      <c r="Z6283" s="147"/>
      <c r="AA6283" s="147"/>
      <c r="AB6283" s="110"/>
      <c r="AC6283" s="132"/>
      <c r="AD6283" s="148"/>
      <c r="AE6283" s="148"/>
    </row>
    <row r="6284" customFormat="false" ht="15" hidden="false" customHeight="true" outlineLevel="0" collapsed="false">
      <c r="A6284" s="141"/>
      <c r="B6284" s="131"/>
      <c r="C6284" s="132"/>
      <c r="D6284" s="131"/>
      <c r="E6284" s="110"/>
      <c r="F6284" s="110"/>
      <c r="G6284" s="110"/>
      <c r="H6284" s="131"/>
      <c r="I6284" s="131"/>
      <c r="J6284" s="142"/>
      <c r="K6284" s="142"/>
      <c r="L6284" s="140"/>
      <c r="M6284" s="131"/>
      <c r="N6284" s="131"/>
      <c r="O6284" s="131"/>
      <c r="P6284" s="143"/>
      <c r="Q6284" s="66"/>
      <c r="R6284" s="131"/>
      <c r="S6284" s="144"/>
      <c r="T6284" s="131"/>
      <c r="U6284" s="131"/>
      <c r="V6284" s="131"/>
      <c r="W6284" s="131"/>
      <c r="X6284" s="145"/>
      <c r="Y6284" s="146"/>
      <c r="Z6284" s="147"/>
      <c r="AA6284" s="147"/>
      <c r="AB6284" s="110"/>
      <c r="AC6284" s="132"/>
      <c r="AD6284" s="148"/>
      <c r="AE6284" s="148"/>
    </row>
    <row r="6285" customFormat="false" ht="15" hidden="false" customHeight="true" outlineLevel="0" collapsed="false">
      <c r="A6285" s="141"/>
      <c r="B6285" s="131"/>
      <c r="C6285" s="132"/>
      <c r="D6285" s="131"/>
      <c r="E6285" s="110"/>
      <c r="F6285" s="110"/>
      <c r="G6285" s="110"/>
      <c r="H6285" s="131"/>
      <c r="I6285" s="131"/>
      <c r="J6285" s="142"/>
      <c r="K6285" s="142"/>
      <c r="L6285" s="140"/>
      <c r="M6285" s="131"/>
      <c r="N6285" s="131"/>
      <c r="O6285" s="131"/>
      <c r="P6285" s="143"/>
      <c r="Q6285" s="66"/>
      <c r="R6285" s="131"/>
      <c r="S6285" s="144"/>
      <c r="T6285" s="131"/>
      <c r="U6285" s="131"/>
      <c r="V6285" s="131"/>
      <c r="W6285" s="131"/>
      <c r="X6285" s="145"/>
      <c r="Y6285" s="146"/>
      <c r="Z6285" s="147"/>
      <c r="AA6285" s="147"/>
      <c r="AB6285" s="110"/>
      <c r="AC6285" s="132"/>
      <c r="AD6285" s="148"/>
      <c r="AE6285" s="148"/>
    </row>
    <row r="6286" customFormat="false" ht="15" hidden="false" customHeight="true" outlineLevel="0" collapsed="false">
      <c r="A6286" s="141"/>
      <c r="B6286" s="131"/>
      <c r="C6286" s="132"/>
      <c r="D6286" s="131"/>
      <c r="E6286" s="110"/>
      <c r="F6286" s="110"/>
      <c r="G6286" s="110"/>
      <c r="H6286" s="131"/>
      <c r="I6286" s="131"/>
      <c r="J6286" s="142"/>
      <c r="K6286" s="142"/>
      <c r="L6286" s="140"/>
      <c r="M6286" s="131"/>
      <c r="N6286" s="131"/>
      <c r="O6286" s="131"/>
      <c r="P6286" s="143"/>
      <c r="Q6286" s="66"/>
      <c r="R6286" s="131"/>
      <c r="S6286" s="144"/>
      <c r="T6286" s="131"/>
      <c r="U6286" s="131"/>
      <c r="V6286" s="131"/>
      <c r="W6286" s="131"/>
      <c r="X6286" s="145"/>
      <c r="Y6286" s="146"/>
      <c r="Z6286" s="147"/>
      <c r="AA6286" s="147"/>
      <c r="AB6286" s="110"/>
      <c r="AC6286" s="132"/>
      <c r="AD6286" s="148"/>
      <c r="AE6286" s="148"/>
    </row>
    <row r="6287" customFormat="false" ht="15" hidden="false" customHeight="true" outlineLevel="0" collapsed="false">
      <c r="A6287" s="141"/>
      <c r="B6287" s="131"/>
      <c r="C6287" s="132"/>
      <c r="D6287" s="131"/>
      <c r="E6287" s="110"/>
      <c r="F6287" s="110"/>
      <c r="G6287" s="110"/>
      <c r="H6287" s="131"/>
      <c r="I6287" s="131"/>
      <c r="J6287" s="142"/>
      <c r="K6287" s="142"/>
      <c r="L6287" s="140"/>
      <c r="M6287" s="131"/>
      <c r="N6287" s="131"/>
      <c r="O6287" s="131"/>
      <c r="P6287" s="143"/>
      <c r="Q6287" s="66"/>
      <c r="R6287" s="131"/>
      <c r="S6287" s="144"/>
      <c r="T6287" s="131"/>
      <c r="U6287" s="131"/>
      <c r="V6287" s="131"/>
      <c r="W6287" s="131"/>
      <c r="X6287" s="145"/>
      <c r="Y6287" s="146"/>
      <c r="Z6287" s="147"/>
      <c r="AA6287" s="147"/>
      <c r="AB6287" s="110"/>
      <c r="AC6287" s="132"/>
      <c r="AD6287" s="148"/>
      <c r="AE6287" s="148"/>
    </row>
    <row r="6288" customFormat="false" ht="15" hidden="false" customHeight="true" outlineLevel="0" collapsed="false">
      <c r="A6288" s="141"/>
      <c r="B6288" s="131"/>
      <c r="C6288" s="132"/>
      <c r="D6288" s="131"/>
      <c r="E6288" s="110"/>
      <c r="F6288" s="110"/>
      <c r="G6288" s="110"/>
      <c r="H6288" s="131"/>
      <c r="I6288" s="131"/>
      <c r="J6288" s="142"/>
      <c r="K6288" s="142"/>
      <c r="L6288" s="140"/>
      <c r="M6288" s="131"/>
      <c r="N6288" s="131"/>
      <c r="O6288" s="131"/>
      <c r="P6288" s="143"/>
      <c r="Q6288" s="66"/>
      <c r="R6288" s="131"/>
      <c r="S6288" s="144"/>
      <c r="T6288" s="131"/>
      <c r="U6288" s="131"/>
      <c r="V6288" s="131"/>
      <c r="W6288" s="131"/>
      <c r="X6288" s="145"/>
      <c r="Y6288" s="146"/>
      <c r="Z6288" s="147"/>
      <c r="AA6288" s="147"/>
      <c r="AB6288" s="110"/>
      <c r="AC6288" s="132"/>
      <c r="AD6288" s="148"/>
      <c r="AE6288" s="148"/>
    </row>
    <row r="6289" customFormat="false" ht="15" hidden="false" customHeight="true" outlineLevel="0" collapsed="false">
      <c r="A6289" s="141"/>
      <c r="B6289" s="131"/>
      <c r="C6289" s="132"/>
      <c r="D6289" s="131"/>
      <c r="E6289" s="110"/>
      <c r="F6289" s="110"/>
      <c r="G6289" s="110"/>
      <c r="H6289" s="131"/>
      <c r="I6289" s="131"/>
      <c r="J6289" s="142"/>
      <c r="K6289" s="142"/>
      <c r="L6289" s="140"/>
      <c r="M6289" s="131"/>
      <c r="N6289" s="131"/>
      <c r="O6289" s="131"/>
      <c r="P6289" s="143"/>
      <c r="Q6289" s="66"/>
      <c r="R6289" s="131"/>
      <c r="S6289" s="144"/>
      <c r="T6289" s="131"/>
      <c r="U6289" s="131"/>
      <c r="V6289" s="131"/>
      <c r="W6289" s="131"/>
      <c r="X6289" s="145"/>
      <c r="Y6289" s="146"/>
      <c r="Z6289" s="147"/>
      <c r="AA6289" s="147"/>
      <c r="AB6289" s="110"/>
      <c r="AC6289" s="132"/>
      <c r="AD6289" s="148"/>
      <c r="AE6289" s="148"/>
    </row>
    <row r="6290" customFormat="false" ht="15" hidden="false" customHeight="true" outlineLevel="0" collapsed="false">
      <c r="A6290" s="141"/>
      <c r="B6290" s="131"/>
      <c r="C6290" s="132"/>
      <c r="D6290" s="131"/>
      <c r="E6290" s="110"/>
      <c r="F6290" s="110"/>
      <c r="G6290" s="110"/>
      <c r="H6290" s="131"/>
      <c r="I6290" s="131"/>
      <c r="J6290" s="142"/>
      <c r="K6290" s="142"/>
      <c r="L6290" s="140"/>
      <c r="M6290" s="131"/>
      <c r="N6290" s="131"/>
      <c r="O6290" s="131"/>
      <c r="P6290" s="143"/>
      <c r="Q6290" s="66"/>
      <c r="R6290" s="131"/>
      <c r="S6290" s="144"/>
      <c r="T6290" s="131"/>
      <c r="U6290" s="131"/>
      <c r="V6290" s="131"/>
      <c r="W6290" s="131"/>
      <c r="X6290" s="145"/>
      <c r="Y6290" s="146"/>
      <c r="Z6290" s="147"/>
      <c r="AA6290" s="147"/>
      <c r="AB6290" s="110"/>
      <c r="AC6290" s="132"/>
      <c r="AD6290" s="148"/>
      <c r="AE6290" s="148"/>
    </row>
    <row r="6291" customFormat="false" ht="15" hidden="false" customHeight="true" outlineLevel="0" collapsed="false">
      <c r="A6291" s="141"/>
      <c r="B6291" s="131"/>
      <c r="C6291" s="132"/>
      <c r="D6291" s="131"/>
      <c r="E6291" s="110"/>
      <c r="F6291" s="110"/>
      <c r="G6291" s="110"/>
      <c r="H6291" s="131"/>
      <c r="I6291" s="131"/>
      <c r="J6291" s="142"/>
      <c r="K6291" s="142"/>
      <c r="L6291" s="140"/>
      <c r="M6291" s="131"/>
      <c r="N6291" s="131"/>
      <c r="O6291" s="131"/>
      <c r="P6291" s="143"/>
      <c r="Q6291" s="66"/>
      <c r="R6291" s="131"/>
      <c r="S6291" s="144"/>
      <c r="T6291" s="131"/>
      <c r="U6291" s="131"/>
      <c r="V6291" s="131"/>
      <c r="W6291" s="131"/>
      <c r="X6291" s="145"/>
      <c r="Y6291" s="146"/>
      <c r="Z6291" s="147"/>
      <c r="AA6291" s="147"/>
      <c r="AB6291" s="110"/>
      <c r="AC6291" s="132"/>
      <c r="AD6291" s="148"/>
      <c r="AE6291" s="148"/>
    </row>
    <row r="6292" customFormat="false" ht="15" hidden="false" customHeight="true" outlineLevel="0" collapsed="false">
      <c r="A6292" s="141"/>
      <c r="B6292" s="131"/>
      <c r="C6292" s="132"/>
      <c r="D6292" s="131"/>
      <c r="E6292" s="110"/>
      <c r="F6292" s="110"/>
      <c r="G6292" s="110"/>
      <c r="H6292" s="131"/>
      <c r="I6292" s="131"/>
      <c r="J6292" s="142"/>
      <c r="K6292" s="142"/>
      <c r="L6292" s="140"/>
      <c r="M6292" s="131"/>
      <c r="N6292" s="131"/>
      <c r="O6292" s="131"/>
      <c r="P6292" s="143"/>
      <c r="Q6292" s="66"/>
      <c r="R6292" s="131"/>
      <c r="S6292" s="144"/>
      <c r="T6292" s="131"/>
      <c r="U6292" s="131"/>
      <c r="V6292" s="131"/>
      <c r="W6292" s="131"/>
      <c r="X6292" s="145"/>
      <c r="Y6292" s="146"/>
      <c r="Z6292" s="147"/>
      <c r="AA6292" s="147"/>
      <c r="AB6292" s="110"/>
      <c r="AC6292" s="132"/>
      <c r="AD6292" s="148"/>
      <c r="AE6292" s="148"/>
    </row>
    <row r="6293" customFormat="false" ht="15" hidden="false" customHeight="true" outlineLevel="0" collapsed="false">
      <c r="A6293" s="141"/>
      <c r="B6293" s="131"/>
      <c r="C6293" s="132"/>
      <c r="D6293" s="131"/>
      <c r="E6293" s="110"/>
      <c r="F6293" s="110"/>
      <c r="G6293" s="110"/>
      <c r="H6293" s="131"/>
      <c r="I6293" s="131"/>
      <c r="J6293" s="142"/>
      <c r="K6293" s="142"/>
      <c r="L6293" s="140"/>
      <c r="M6293" s="131"/>
      <c r="N6293" s="131"/>
      <c r="O6293" s="131"/>
      <c r="P6293" s="143"/>
      <c r="Q6293" s="66"/>
      <c r="R6293" s="131"/>
      <c r="S6293" s="144"/>
      <c r="T6293" s="131"/>
      <c r="U6293" s="131"/>
      <c r="V6293" s="131"/>
      <c r="W6293" s="131"/>
      <c r="X6293" s="145"/>
      <c r="Y6293" s="146"/>
      <c r="Z6293" s="147"/>
      <c r="AA6293" s="147"/>
      <c r="AB6293" s="110"/>
      <c r="AC6293" s="132"/>
      <c r="AD6293" s="148"/>
      <c r="AE6293" s="148"/>
    </row>
    <row r="6294" customFormat="false" ht="15" hidden="false" customHeight="true" outlineLevel="0" collapsed="false">
      <c r="A6294" s="141"/>
      <c r="B6294" s="131"/>
      <c r="C6294" s="132"/>
      <c r="D6294" s="131"/>
      <c r="E6294" s="110"/>
      <c r="F6294" s="110"/>
      <c r="G6294" s="110"/>
      <c r="H6294" s="131"/>
      <c r="I6294" s="131"/>
      <c r="J6294" s="142"/>
      <c r="K6294" s="142"/>
      <c r="L6294" s="140"/>
      <c r="M6294" s="131"/>
      <c r="N6294" s="131"/>
      <c r="O6294" s="131"/>
      <c r="P6294" s="143"/>
      <c r="Q6294" s="66"/>
      <c r="R6294" s="131"/>
      <c r="S6294" s="144"/>
      <c r="T6294" s="131"/>
      <c r="U6294" s="131"/>
      <c r="V6294" s="131"/>
      <c r="W6294" s="131"/>
      <c r="X6294" s="145"/>
      <c r="Y6294" s="146"/>
      <c r="Z6294" s="147"/>
      <c r="AA6294" s="147"/>
      <c r="AB6294" s="110"/>
      <c r="AC6294" s="132"/>
      <c r="AD6294" s="148"/>
      <c r="AE6294" s="148"/>
    </row>
    <row r="6295" customFormat="false" ht="15" hidden="false" customHeight="true" outlineLevel="0" collapsed="false">
      <c r="A6295" s="141"/>
      <c r="B6295" s="131"/>
      <c r="C6295" s="132"/>
      <c r="D6295" s="131"/>
      <c r="E6295" s="110"/>
      <c r="F6295" s="110"/>
      <c r="G6295" s="110"/>
      <c r="H6295" s="131"/>
      <c r="I6295" s="131"/>
      <c r="J6295" s="142"/>
      <c r="K6295" s="142"/>
      <c r="L6295" s="140"/>
      <c r="M6295" s="131"/>
      <c r="N6295" s="131"/>
      <c r="O6295" s="131"/>
      <c r="P6295" s="143"/>
      <c r="Q6295" s="66"/>
      <c r="R6295" s="131"/>
      <c r="S6295" s="144"/>
      <c r="T6295" s="131"/>
      <c r="U6295" s="131"/>
      <c r="V6295" s="131"/>
      <c r="W6295" s="131"/>
      <c r="X6295" s="145"/>
      <c r="Y6295" s="146"/>
      <c r="Z6295" s="147"/>
      <c r="AA6295" s="147"/>
      <c r="AB6295" s="110"/>
      <c r="AC6295" s="132"/>
      <c r="AD6295" s="148"/>
      <c r="AE6295" s="148"/>
    </row>
    <row r="6296" customFormat="false" ht="15" hidden="false" customHeight="true" outlineLevel="0" collapsed="false">
      <c r="A6296" s="141"/>
      <c r="B6296" s="131"/>
      <c r="C6296" s="132"/>
      <c r="D6296" s="131"/>
      <c r="E6296" s="110"/>
      <c r="F6296" s="110"/>
      <c r="G6296" s="110"/>
      <c r="H6296" s="131"/>
      <c r="I6296" s="131"/>
      <c r="J6296" s="142"/>
      <c r="K6296" s="142"/>
      <c r="L6296" s="140"/>
      <c r="M6296" s="131"/>
      <c r="N6296" s="131"/>
      <c r="O6296" s="131"/>
      <c r="P6296" s="143"/>
      <c r="Q6296" s="66"/>
      <c r="R6296" s="131"/>
      <c r="S6296" s="144"/>
      <c r="T6296" s="131"/>
      <c r="U6296" s="131"/>
      <c r="V6296" s="131"/>
      <c r="W6296" s="131"/>
      <c r="X6296" s="145"/>
      <c r="Y6296" s="146"/>
      <c r="Z6296" s="147"/>
      <c r="AA6296" s="147"/>
      <c r="AB6296" s="110"/>
      <c r="AC6296" s="132"/>
      <c r="AD6296" s="148"/>
      <c r="AE6296" s="148"/>
    </row>
    <row r="6297" customFormat="false" ht="15" hidden="false" customHeight="true" outlineLevel="0" collapsed="false">
      <c r="A6297" s="141"/>
      <c r="B6297" s="131"/>
      <c r="C6297" s="132"/>
      <c r="D6297" s="131"/>
      <c r="E6297" s="110"/>
      <c r="F6297" s="110"/>
      <c r="G6297" s="110"/>
      <c r="H6297" s="131"/>
      <c r="I6297" s="131"/>
      <c r="J6297" s="142"/>
      <c r="K6297" s="142"/>
      <c r="L6297" s="140"/>
      <c r="M6297" s="131"/>
      <c r="N6297" s="131"/>
      <c r="O6297" s="131"/>
      <c r="P6297" s="143"/>
      <c r="Q6297" s="66"/>
      <c r="R6297" s="131"/>
      <c r="S6297" s="144"/>
      <c r="T6297" s="131"/>
      <c r="U6297" s="131"/>
      <c r="V6297" s="131"/>
      <c r="W6297" s="131"/>
      <c r="X6297" s="145"/>
      <c r="Y6297" s="146"/>
      <c r="Z6297" s="147"/>
      <c r="AA6297" s="147"/>
      <c r="AB6297" s="110"/>
      <c r="AC6297" s="132"/>
      <c r="AD6297" s="148"/>
      <c r="AE6297" s="148"/>
    </row>
    <row r="6298" customFormat="false" ht="15" hidden="false" customHeight="true" outlineLevel="0" collapsed="false">
      <c r="A6298" s="141"/>
      <c r="B6298" s="131"/>
      <c r="C6298" s="132"/>
      <c r="D6298" s="131"/>
      <c r="E6298" s="110"/>
      <c r="F6298" s="110"/>
      <c r="G6298" s="110"/>
      <c r="H6298" s="131"/>
      <c r="I6298" s="131"/>
      <c r="J6298" s="142"/>
      <c r="K6298" s="142"/>
      <c r="L6298" s="140"/>
      <c r="M6298" s="131"/>
      <c r="N6298" s="131"/>
      <c r="O6298" s="131"/>
      <c r="P6298" s="143"/>
      <c r="Q6298" s="66"/>
      <c r="R6298" s="131"/>
      <c r="S6298" s="144"/>
      <c r="T6298" s="131"/>
      <c r="U6298" s="131"/>
      <c r="V6298" s="131"/>
      <c r="W6298" s="131"/>
      <c r="X6298" s="145"/>
      <c r="Y6298" s="146"/>
      <c r="Z6298" s="147"/>
      <c r="AA6298" s="147"/>
      <c r="AB6298" s="110"/>
      <c r="AC6298" s="132"/>
      <c r="AD6298" s="148"/>
      <c r="AE6298" s="148"/>
    </row>
    <row r="6299" customFormat="false" ht="15" hidden="false" customHeight="true" outlineLevel="0" collapsed="false">
      <c r="A6299" s="141"/>
      <c r="B6299" s="131"/>
      <c r="C6299" s="132"/>
      <c r="D6299" s="131"/>
      <c r="E6299" s="110"/>
      <c r="F6299" s="110"/>
      <c r="G6299" s="110"/>
      <c r="H6299" s="131"/>
      <c r="I6299" s="131"/>
      <c r="J6299" s="142"/>
      <c r="K6299" s="142"/>
      <c r="L6299" s="140"/>
      <c r="M6299" s="131"/>
      <c r="N6299" s="131"/>
      <c r="O6299" s="131"/>
      <c r="P6299" s="143"/>
      <c r="Q6299" s="66"/>
      <c r="R6299" s="131"/>
      <c r="S6299" s="144"/>
      <c r="T6299" s="131"/>
      <c r="U6299" s="131"/>
      <c r="V6299" s="131"/>
      <c r="W6299" s="131"/>
      <c r="X6299" s="145"/>
      <c r="Y6299" s="146"/>
      <c r="Z6299" s="147"/>
      <c r="AA6299" s="147"/>
      <c r="AB6299" s="110"/>
      <c r="AC6299" s="132"/>
      <c r="AD6299" s="148"/>
      <c r="AE6299" s="148"/>
    </row>
    <row r="6300" customFormat="false" ht="15" hidden="false" customHeight="true" outlineLevel="0" collapsed="false">
      <c r="A6300" s="141"/>
      <c r="B6300" s="131"/>
      <c r="C6300" s="132"/>
      <c r="D6300" s="131"/>
      <c r="E6300" s="110"/>
      <c r="F6300" s="110"/>
      <c r="G6300" s="110"/>
      <c r="H6300" s="131"/>
      <c r="I6300" s="131"/>
      <c r="J6300" s="142"/>
      <c r="K6300" s="142"/>
      <c r="L6300" s="140"/>
      <c r="M6300" s="131"/>
      <c r="N6300" s="131"/>
      <c r="O6300" s="131"/>
      <c r="P6300" s="143"/>
      <c r="Q6300" s="66"/>
      <c r="R6300" s="131"/>
      <c r="S6300" s="144"/>
      <c r="T6300" s="131"/>
      <c r="U6300" s="131"/>
      <c r="V6300" s="131"/>
      <c r="W6300" s="131"/>
      <c r="X6300" s="145"/>
      <c r="Y6300" s="146"/>
      <c r="Z6300" s="147"/>
      <c r="AA6300" s="147"/>
      <c r="AB6300" s="110"/>
      <c r="AC6300" s="132"/>
      <c r="AD6300" s="148"/>
      <c r="AE6300" s="148"/>
    </row>
    <row r="6301" customFormat="false" ht="15" hidden="false" customHeight="true" outlineLevel="0" collapsed="false">
      <c r="A6301" s="141"/>
      <c r="B6301" s="131"/>
      <c r="C6301" s="132"/>
      <c r="D6301" s="131"/>
      <c r="E6301" s="110"/>
      <c r="F6301" s="110"/>
      <c r="G6301" s="110"/>
      <c r="H6301" s="131"/>
      <c r="I6301" s="131"/>
      <c r="J6301" s="142"/>
      <c r="K6301" s="142"/>
      <c r="L6301" s="140"/>
      <c r="M6301" s="131"/>
      <c r="N6301" s="131"/>
      <c r="O6301" s="131"/>
      <c r="P6301" s="143"/>
      <c r="Q6301" s="66"/>
      <c r="R6301" s="131"/>
      <c r="S6301" s="144"/>
      <c r="T6301" s="131"/>
      <c r="U6301" s="131"/>
      <c r="V6301" s="131"/>
      <c r="W6301" s="131"/>
      <c r="X6301" s="145"/>
      <c r="Y6301" s="146"/>
      <c r="Z6301" s="147"/>
      <c r="AA6301" s="147"/>
      <c r="AB6301" s="110"/>
      <c r="AC6301" s="132"/>
      <c r="AD6301" s="148"/>
      <c r="AE6301" s="148"/>
    </row>
    <row r="6302" customFormat="false" ht="15" hidden="false" customHeight="true" outlineLevel="0" collapsed="false">
      <c r="A6302" s="141"/>
      <c r="B6302" s="131"/>
      <c r="C6302" s="132"/>
      <c r="D6302" s="131"/>
      <c r="E6302" s="110"/>
      <c r="F6302" s="110"/>
      <c r="G6302" s="110"/>
      <c r="H6302" s="131"/>
      <c r="I6302" s="131"/>
      <c r="J6302" s="142"/>
      <c r="K6302" s="142"/>
      <c r="L6302" s="140"/>
      <c r="M6302" s="131"/>
      <c r="N6302" s="131"/>
      <c r="O6302" s="131"/>
      <c r="P6302" s="143"/>
      <c r="Q6302" s="66"/>
      <c r="R6302" s="131"/>
      <c r="S6302" s="144"/>
      <c r="T6302" s="131"/>
      <c r="U6302" s="131"/>
      <c r="V6302" s="131"/>
      <c r="W6302" s="131"/>
      <c r="X6302" s="145"/>
      <c r="Y6302" s="146"/>
      <c r="Z6302" s="147"/>
      <c r="AA6302" s="147"/>
      <c r="AB6302" s="110"/>
      <c r="AC6302" s="132"/>
      <c r="AD6302" s="148"/>
      <c r="AE6302" s="148"/>
    </row>
    <row r="6303" customFormat="false" ht="15" hidden="false" customHeight="true" outlineLevel="0" collapsed="false">
      <c r="A6303" s="141"/>
      <c r="B6303" s="131"/>
      <c r="C6303" s="132"/>
      <c r="D6303" s="131"/>
      <c r="E6303" s="110"/>
      <c r="F6303" s="110"/>
      <c r="G6303" s="110"/>
      <c r="H6303" s="131"/>
      <c r="I6303" s="131"/>
      <c r="J6303" s="142"/>
      <c r="K6303" s="142"/>
      <c r="L6303" s="140"/>
      <c r="M6303" s="131"/>
      <c r="N6303" s="131"/>
      <c r="O6303" s="131"/>
      <c r="P6303" s="143"/>
      <c r="Q6303" s="66"/>
      <c r="R6303" s="131"/>
      <c r="S6303" s="144"/>
      <c r="T6303" s="131"/>
      <c r="U6303" s="131"/>
      <c r="V6303" s="131"/>
      <c r="W6303" s="131"/>
      <c r="X6303" s="145"/>
      <c r="Y6303" s="146"/>
      <c r="Z6303" s="147"/>
      <c r="AA6303" s="147"/>
      <c r="AB6303" s="110"/>
      <c r="AC6303" s="132"/>
      <c r="AD6303" s="148"/>
      <c r="AE6303" s="148"/>
    </row>
    <row r="6304" customFormat="false" ht="15" hidden="false" customHeight="true" outlineLevel="0" collapsed="false">
      <c r="A6304" s="141"/>
      <c r="B6304" s="131"/>
      <c r="C6304" s="132"/>
      <c r="D6304" s="131"/>
      <c r="E6304" s="110"/>
      <c r="F6304" s="110"/>
      <c r="G6304" s="110"/>
      <c r="H6304" s="131"/>
      <c r="I6304" s="131"/>
      <c r="J6304" s="142"/>
      <c r="K6304" s="142"/>
      <c r="L6304" s="140"/>
      <c r="M6304" s="131"/>
      <c r="N6304" s="131"/>
      <c r="O6304" s="131"/>
      <c r="P6304" s="143"/>
      <c r="Q6304" s="66"/>
      <c r="R6304" s="131"/>
      <c r="S6304" s="144"/>
      <c r="T6304" s="131"/>
      <c r="U6304" s="131"/>
      <c r="V6304" s="131"/>
      <c r="W6304" s="131"/>
      <c r="X6304" s="145"/>
      <c r="Y6304" s="146"/>
      <c r="Z6304" s="147"/>
      <c r="AA6304" s="147"/>
      <c r="AB6304" s="110"/>
      <c r="AC6304" s="132"/>
      <c r="AD6304" s="148"/>
      <c r="AE6304" s="148"/>
    </row>
    <row r="6305" customFormat="false" ht="15" hidden="false" customHeight="true" outlineLevel="0" collapsed="false">
      <c r="A6305" s="141"/>
      <c r="B6305" s="131"/>
      <c r="C6305" s="132"/>
      <c r="D6305" s="131"/>
      <c r="E6305" s="110"/>
      <c r="F6305" s="110"/>
      <c r="G6305" s="110"/>
      <c r="H6305" s="131"/>
      <c r="I6305" s="131"/>
      <c r="J6305" s="142"/>
      <c r="K6305" s="142"/>
      <c r="L6305" s="140"/>
      <c r="M6305" s="131"/>
      <c r="N6305" s="131"/>
      <c r="O6305" s="131"/>
      <c r="P6305" s="143"/>
      <c r="Q6305" s="66"/>
      <c r="R6305" s="131"/>
      <c r="S6305" s="144"/>
      <c r="T6305" s="131"/>
      <c r="U6305" s="131"/>
      <c r="V6305" s="131"/>
      <c r="W6305" s="131"/>
      <c r="X6305" s="145"/>
      <c r="Y6305" s="146"/>
      <c r="Z6305" s="147"/>
      <c r="AA6305" s="147"/>
      <c r="AB6305" s="110"/>
      <c r="AC6305" s="132"/>
      <c r="AD6305" s="148"/>
      <c r="AE6305" s="148"/>
    </row>
    <row r="6306" customFormat="false" ht="15" hidden="false" customHeight="true" outlineLevel="0" collapsed="false">
      <c r="A6306" s="141"/>
      <c r="B6306" s="131"/>
      <c r="C6306" s="132"/>
      <c r="D6306" s="131"/>
      <c r="E6306" s="110"/>
      <c r="F6306" s="110"/>
      <c r="G6306" s="110"/>
      <c r="H6306" s="131"/>
      <c r="I6306" s="131"/>
      <c r="J6306" s="142"/>
      <c r="K6306" s="142"/>
      <c r="L6306" s="140"/>
      <c r="M6306" s="131"/>
      <c r="N6306" s="131"/>
      <c r="O6306" s="131"/>
      <c r="P6306" s="143"/>
      <c r="Q6306" s="66"/>
      <c r="R6306" s="131"/>
      <c r="S6306" s="144"/>
      <c r="T6306" s="131"/>
      <c r="U6306" s="131"/>
      <c r="V6306" s="131"/>
      <c r="W6306" s="131"/>
      <c r="X6306" s="145"/>
      <c r="Y6306" s="146"/>
      <c r="Z6306" s="147"/>
      <c r="AA6306" s="147"/>
      <c r="AB6306" s="110"/>
      <c r="AC6306" s="132"/>
      <c r="AD6306" s="148"/>
      <c r="AE6306" s="148"/>
    </row>
    <row r="6307" customFormat="false" ht="15" hidden="false" customHeight="true" outlineLevel="0" collapsed="false">
      <c r="A6307" s="141"/>
      <c r="B6307" s="131"/>
      <c r="C6307" s="132"/>
      <c r="D6307" s="131"/>
      <c r="E6307" s="110"/>
      <c r="F6307" s="110"/>
      <c r="G6307" s="110"/>
      <c r="H6307" s="131"/>
      <c r="I6307" s="131"/>
      <c r="J6307" s="142"/>
      <c r="K6307" s="142"/>
      <c r="L6307" s="140"/>
      <c r="M6307" s="131"/>
      <c r="N6307" s="131"/>
      <c r="O6307" s="131"/>
      <c r="P6307" s="143"/>
      <c r="Q6307" s="66"/>
      <c r="R6307" s="131"/>
      <c r="S6307" s="144"/>
      <c r="T6307" s="131"/>
      <c r="U6307" s="131"/>
      <c r="V6307" s="131"/>
      <c r="W6307" s="131"/>
      <c r="X6307" s="145"/>
      <c r="Y6307" s="146"/>
      <c r="Z6307" s="147"/>
      <c r="AA6307" s="147"/>
      <c r="AB6307" s="110"/>
      <c r="AC6307" s="132"/>
      <c r="AD6307" s="148"/>
      <c r="AE6307" s="148"/>
    </row>
    <row r="6308" customFormat="false" ht="15" hidden="false" customHeight="true" outlineLevel="0" collapsed="false">
      <c r="A6308" s="141"/>
      <c r="B6308" s="131"/>
      <c r="C6308" s="132"/>
      <c r="D6308" s="131"/>
      <c r="E6308" s="110"/>
      <c r="F6308" s="110"/>
      <c r="G6308" s="110"/>
      <c r="H6308" s="131"/>
      <c r="I6308" s="131"/>
      <c r="J6308" s="142"/>
      <c r="K6308" s="142"/>
      <c r="L6308" s="140"/>
      <c r="M6308" s="131"/>
      <c r="N6308" s="131"/>
      <c r="O6308" s="131"/>
      <c r="P6308" s="143"/>
      <c r="Q6308" s="66"/>
      <c r="R6308" s="131"/>
      <c r="S6308" s="144"/>
      <c r="T6308" s="131"/>
      <c r="U6308" s="131"/>
      <c r="V6308" s="131"/>
      <c r="W6308" s="131"/>
      <c r="X6308" s="145"/>
      <c r="Y6308" s="146"/>
      <c r="Z6308" s="147"/>
      <c r="AA6308" s="147"/>
      <c r="AB6308" s="110"/>
      <c r="AC6308" s="132"/>
      <c r="AD6308" s="148"/>
      <c r="AE6308" s="148"/>
    </row>
    <row r="6309" customFormat="false" ht="15" hidden="false" customHeight="true" outlineLevel="0" collapsed="false">
      <c r="A6309" s="141"/>
      <c r="B6309" s="131"/>
      <c r="C6309" s="132"/>
      <c r="D6309" s="131"/>
      <c r="E6309" s="110"/>
      <c r="F6309" s="110"/>
      <c r="G6309" s="110"/>
      <c r="H6309" s="131"/>
      <c r="I6309" s="131"/>
      <c r="J6309" s="142"/>
      <c r="K6309" s="142"/>
      <c r="L6309" s="140"/>
      <c r="M6309" s="131"/>
      <c r="N6309" s="131"/>
      <c r="O6309" s="131"/>
      <c r="P6309" s="143"/>
      <c r="Q6309" s="66"/>
      <c r="R6309" s="131"/>
      <c r="S6309" s="144"/>
      <c r="T6309" s="131"/>
      <c r="U6309" s="131"/>
      <c r="V6309" s="131"/>
      <c r="W6309" s="131"/>
      <c r="X6309" s="145"/>
      <c r="Y6309" s="146"/>
      <c r="Z6309" s="147"/>
      <c r="AA6309" s="147"/>
      <c r="AB6309" s="110"/>
      <c r="AC6309" s="132"/>
      <c r="AD6309" s="148"/>
      <c r="AE6309" s="148"/>
    </row>
    <row r="6310" customFormat="false" ht="15" hidden="false" customHeight="true" outlineLevel="0" collapsed="false">
      <c r="A6310" s="141"/>
      <c r="B6310" s="131"/>
      <c r="C6310" s="132"/>
      <c r="D6310" s="131"/>
      <c r="E6310" s="110"/>
      <c r="F6310" s="110"/>
      <c r="G6310" s="110"/>
      <c r="H6310" s="131"/>
      <c r="I6310" s="131"/>
      <c r="J6310" s="142"/>
      <c r="K6310" s="142"/>
      <c r="L6310" s="140"/>
      <c r="M6310" s="131"/>
      <c r="N6310" s="131"/>
      <c r="O6310" s="131"/>
      <c r="P6310" s="143"/>
      <c r="Q6310" s="66"/>
      <c r="R6310" s="131"/>
      <c r="S6310" s="144"/>
      <c r="T6310" s="131"/>
      <c r="U6310" s="131"/>
      <c r="V6310" s="131"/>
      <c r="W6310" s="131"/>
      <c r="X6310" s="145"/>
      <c r="Y6310" s="146"/>
      <c r="Z6310" s="147"/>
      <c r="AA6310" s="147"/>
      <c r="AB6310" s="110"/>
      <c r="AC6310" s="132"/>
      <c r="AD6310" s="148"/>
      <c r="AE6310" s="148"/>
    </row>
    <row r="6311" customFormat="false" ht="15" hidden="false" customHeight="true" outlineLevel="0" collapsed="false">
      <c r="A6311" s="141"/>
      <c r="B6311" s="131"/>
      <c r="C6311" s="132"/>
      <c r="D6311" s="131"/>
      <c r="E6311" s="110"/>
      <c r="F6311" s="110"/>
      <c r="G6311" s="110"/>
      <c r="H6311" s="131"/>
      <c r="I6311" s="131"/>
      <c r="J6311" s="142"/>
      <c r="K6311" s="142"/>
      <c r="L6311" s="140"/>
      <c r="M6311" s="131"/>
      <c r="N6311" s="131"/>
      <c r="O6311" s="131"/>
      <c r="P6311" s="143"/>
      <c r="Q6311" s="66"/>
      <c r="R6311" s="131"/>
      <c r="S6311" s="144"/>
      <c r="T6311" s="131"/>
      <c r="U6311" s="131"/>
      <c r="V6311" s="131"/>
      <c r="W6311" s="131"/>
      <c r="X6311" s="145"/>
      <c r="Y6311" s="146"/>
      <c r="Z6311" s="147"/>
      <c r="AA6311" s="147"/>
      <c r="AB6311" s="110"/>
      <c r="AC6311" s="132"/>
      <c r="AD6311" s="148"/>
      <c r="AE6311" s="148"/>
    </row>
    <row r="6312" customFormat="false" ht="15" hidden="false" customHeight="true" outlineLevel="0" collapsed="false">
      <c r="A6312" s="141"/>
      <c r="B6312" s="131"/>
      <c r="C6312" s="132"/>
      <c r="D6312" s="131"/>
      <c r="E6312" s="110"/>
      <c r="F6312" s="110"/>
      <c r="G6312" s="110"/>
      <c r="H6312" s="131"/>
      <c r="I6312" s="131"/>
      <c r="J6312" s="142"/>
      <c r="K6312" s="142"/>
      <c r="L6312" s="140"/>
      <c r="M6312" s="131"/>
      <c r="N6312" s="131"/>
      <c r="O6312" s="131"/>
      <c r="P6312" s="143"/>
      <c r="Q6312" s="66"/>
      <c r="R6312" s="131"/>
      <c r="S6312" s="144"/>
      <c r="T6312" s="131"/>
      <c r="U6312" s="131"/>
      <c r="V6312" s="131"/>
      <c r="W6312" s="131"/>
      <c r="X6312" s="145"/>
      <c r="Y6312" s="146"/>
      <c r="Z6312" s="147"/>
      <c r="AA6312" s="147"/>
      <c r="AB6312" s="110"/>
      <c r="AC6312" s="132"/>
      <c r="AD6312" s="148"/>
      <c r="AE6312" s="148"/>
    </row>
    <row r="6313" customFormat="false" ht="15" hidden="false" customHeight="true" outlineLevel="0" collapsed="false">
      <c r="A6313" s="141"/>
      <c r="B6313" s="131"/>
      <c r="C6313" s="132"/>
      <c r="D6313" s="131"/>
      <c r="E6313" s="110"/>
      <c r="F6313" s="110"/>
      <c r="G6313" s="110"/>
      <c r="H6313" s="131"/>
      <c r="I6313" s="131"/>
      <c r="J6313" s="142"/>
      <c r="K6313" s="142"/>
      <c r="L6313" s="140"/>
      <c r="M6313" s="131"/>
      <c r="N6313" s="131"/>
      <c r="O6313" s="131"/>
      <c r="P6313" s="143"/>
      <c r="Q6313" s="66"/>
      <c r="R6313" s="131"/>
      <c r="S6313" s="144"/>
      <c r="T6313" s="131"/>
      <c r="U6313" s="131"/>
      <c r="V6313" s="131"/>
      <c r="W6313" s="131"/>
      <c r="X6313" s="145"/>
      <c r="Y6313" s="146"/>
      <c r="Z6313" s="147"/>
      <c r="AA6313" s="147"/>
      <c r="AB6313" s="110"/>
      <c r="AC6313" s="132"/>
      <c r="AD6313" s="148"/>
      <c r="AE6313" s="148"/>
    </row>
    <row r="6314" customFormat="false" ht="15" hidden="false" customHeight="true" outlineLevel="0" collapsed="false">
      <c r="A6314" s="141"/>
      <c r="B6314" s="131"/>
      <c r="C6314" s="132"/>
      <c r="D6314" s="131"/>
      <c r="E6314" s="110"/>
      <c r="F6314" s="110"/>
      <c r="G6314" s="110"/>
      <c r="H6314" s="131"/>
      <c r="I6314" s="131"/>
      <c r="J6314" s="142"/>
      <c r="K6314" s="142"/>
      <c r="L6314" s="140"/>
      <c r="M6314" s="131"/>
      <c r="N6314" s="131"/>
      <c r="O6314" s="131"/>
      <c r="P6314" s="143"/>
      <c r="Q6314" s="66"/>
      <c r="R6314" s="131"/>
      <c r="S6314" s="144"/>
      <c r="T6314" s="131"/>
      <c r="U6314" s="131"/>
      <c r="V6314" s="131"/>
      <c r="W6314" s="131"/>
      <c r="X6314" s="145"/>
      <c r="Y6314" s="146"/>
      <c r="Z6314" s="147"/>
      <c r="AA6314" s="147"/>
      <c r="AB6314" s="110"/>
      <c r="AC6314" s="132"/>
      <c r="AD6314" s="148"/>
      <c r="AE6314" s="148"/>
    </row>
    <row r="6315" customFormat="false" ht="15" hidden="false" customHeight="true" outlineLevel="0" collapsed="false">
      <c r="A6315" s="141"/>
      <c r="B6315" s="131"/>
      <c r="C6315" s="132"/>
      <c r="D6315" s="131"/>
      <c r="E6315" s="110"/>
      <c r="F6315" s="110"/>
      <c r="G6315" s="110"/>
      <c r="H6315" s="131"/>
      <c r="I6315" s="131"/>
      <c r="J6315" s="142"/>
      <c r="K6315" s="142"/>
      <c r="L6315" s="140"/>
      <c r="M6315" s="131"/>
      <c r="N6315" s="131"/>
      <c r="O6315" s="131"/>
      <c r="P6315" s="143"/>
      <c r="Q6315" s="66"/>
      <c r="R6315" s="131"/>
      <c r="S6315" s="144"/>
      <c r="T6315" s="131"/>
      <c r="U6315" s="131"/>
      <c r="V6315" s="131"/>
      <c r="W6315" s="131"/>
      <c r="X6315" s="145"/>
      <c r="Y6315" s="146"/>
      <c r="Z6315" s="147"/>
      <c r="AA6315" s="147"/>
      <c r="AB6315" s="110"/>
      <c r="AC6315" s="132"/>
      <c r="AD6315" s="148"/>
      <c r="AE6315" s="148"/>
    </row>
    <row r="6316" customFormat="false" ht="15" hidden="false" customHeight="true" outlineLevel="0" collapsed="false">
      <c r="A6316" s="141"/>
      <c r="B6316" s="131"/>
      <c r="C6316" s="132"/>
      <c r="D6316" s="131"/>
      <c r="E6316" s="110"/>
      <c r="F6316" s="110"/>
      <c r="G6316" s="110"/>
      <c r="H6316" s="131"/>
      <c r="I6316" s="131"/>
      <c r="J6316" s="142"/>
      <c r="K6316" s="142"/>
      <c r="L6316" s="140"/>
      <c r="M6316" s="131"/>
      <c r="N6316" s="131"/>
      <c r="O6316" s="131"/>
      <c r="P6316" s="143"/>
      <c r="Q6316" s="66"/>
      <c r="R6316" s="131"/>
      <c r="S6316" s="144"/>
      <c r="T6316" s="131"/>
      <c r="U6316" s="131"/>
      <c r="V6316" s="131"/>
      <c r="W6316" s="131"/>
      <c r="X6316" s="145"/>
      <c r="Y6316" s="146"/>
      <c r="Z6316" s="147"/>
      <c r="AA6316" s="147"/>
      <c r="AB6316" s="110"/>
      <c r="AC6316" s="132"/>
      <c r="AD6316" s="148"/>
      <c r="AE6316" s="148"/>
    </row>
    <row r="6317" customFormat="false" ht="15" hidden="false" customHeight="true" outlineLevel="0" collapsed="false">
      <c r="A6317" s="141"/>
      <c r="B6317" s="131"/>
      <c r="C6317" s="132"/>
      <c r="D6317" s="131"/>
      <c r="E6317" s="110"/>
      <c r="F6317" s="110"/>
      <c r="G6317" s="110"/>
      <c r="H6317" s="131"/>
      <c r="I6317" s="131"/>
      <c r="J6317" s="142"/>
      <c r="K6317" s="142"/>
      <c r="L6317" s="140"/>
      <c r="M6317" s="131"/>
      <c r="N6317" s="131"/>
      <c r="O6317" s="131"/>
      <c r="P6317" s="143"/>
      <c r="Q6317" s="66"/>
      <c r="R6317" s="131"/>
      <c r="S6317" s="144"/>
      <c r="T6317" s="131"/>
      <c r="U6317" s="131"/>
      <c r="V6317" s="131"/>
      <c r="W6317" s="131"/>
      <c r="X6317" s="145"/>
      <c r="Y6317" s="146"/>
      <c r="Z6317" s="147"/>
      <c r="AA6317" s="147"/>
      <c r="AB6317" s="110"/>
      <c r="AC6317" s="132"/>
      <c r="AD6317" s="148"/>
      <c r="AE6317" s="148"/>
    </row>
    <row r="6318" customFormat="false" ht="15" hidden="false" customHeight="true" outlineLevel="0" collapsed="false">
      <c r="A6318" s="141"/>
      <c r="B6318" s="131"/>
      <c r="C6318" s="132"/>
      <c r="D6318" s="131"/>
      <c r="E6318" s="110"/>
      <c r="F6318" s="110"/>
      <c r="G6318" s="110"/>
      <c r="H6318" s="131"/>
      <c r="I6318" s="131"/>
      <c r="J6318" s="142"/>
      <c r="K6318" s="142"/>
      <c r="L6318" s="140"/>
      <c r="M6318" s="131"/>
      <c r="N6318" s="131"/>
      <c r="O6318" s="131"/>
      <c r="P6318" s="143"/>
      <c r="Q6318" s="66"/>
      <c r="R6318" s="131"/>
      <c r="S6318" s="144"/>
      <c r="T6318" s="131"/>
      <c r="U6318" s="131"/>
      <c r="V6318" s="131"/>
      <c r="W6318" s="131"/>
      <c r="X6318" s="145"/>
      <c r="Y6318" s="146"/>
      <c r="Z6318" s="147"/>
      <c r="AA6318" s="147"/>
      <c r="AB6318" s="110"/>
      <c r="AC6318" s="132"/>
      <c r="AD6318" s="148"/>
      <c r="AE6318" s="148"/>
    </row>
    <row r="6319" customFormat="false" ht="15" hidden="false" customHeight="true" outlineLevel="0" collapsed="false">
      <c r="A6319" s="141"/>
      <c r="B6319" s="131"/>
      <c r="C6319" s="132"/>
      <c r="D6319" s="131"/>
      <c r="E6319" s="110"/>
      <c r="F6319" s="110"/>
      <c r="G6319" s="110"/>
      <c r="H6319" s="131"/>
      <c r="I6319" s="131"/>
      <c r="J6319" s="142"/>
      <c r="K6319" s="142"/>
      <c r="L6319" s="140"/>
      <c r="M6319" s="131"/>
      <c r="N6319" s="131"/>
      <c r="O6319" s="131"/>
      <c r="P6319" s="143"/>
      <c r="Q6319" s="66"/>
      <c r="R6319" s="131"/>
      <c r="S6319" s="144"/>
      <c r="T6319" s="131"/>
      <c r="U6319" s="131"/>
      <c r="V6319" s="131"/>
      <c r="W6319" s="131"/>
      <c r="X6319" s="145"/>
      <c r="Y6319" s="146"/>
      <c r="Z6319" s="147"/>
      <c r="AA6319" s="147"/>
      <c r="AB6319" s="110"/>
      <c r="AC6319" s="132"/>
      <c r="AD6319" s="148"/>
      <c r="AE6319" s="148"/>
    </row>
    <row r="6320" customFormat="false" ht="15" hidden="false" customHeight="true" outlineLevel="0" collapsed="false">
      <c r="A6320" s="141"/>
      <c r="B6320" s="131"/>
      <c r="C6320" s="132"/>
      <c r="D6320" s="131"/>
      <c r="E6320" s="110"/>
      <c r="F6320" s="110"/>
      <c r="G6320" s="110"/>
      <c r="H6320" s="131"/>
      <c r="I6320" s="131"/>
      <c r="J6320" s="142"/>
      <c r="K6320" s="142"/>
      <c r="L6320" s="140"/>
      <c r="M6320" s="131"/>
      <c r="N6320" s="131"/>
      <c r="O6320" s="131"/>
      <c r="P6320" s="143"/>
      <c r="Q6320" s="66"/>
      <c r="R6320" s="131"/>
      <c r="S6320" s="144"/>
      <c r="T6320" s="131"/>
      <c r="U6320" s="131"/>
      <c r="V6320" s="131"/>
      <c r="W6320" s="131"/>
      <c r="X6320" s="145"/>
      <c r="Y6320" s="146"/>
      <c r="Z6320" s="147"/>
      <c r="AA6320" s="147"/>
      <c r="AB6320" s="110"/>
      <c r="AC6320" s="132"/>
      <c r="AD6320" s="148"/>
      <c r="AE6320" s="148"/>
    </row>
    <row r="6321" customFormat="false" ht="15" hidden="false" customHeight="true" outlineLevel="0" collapsed="false">
      <c r="A6321" s="141"/>
      <c r="B6321" s="131"/>
      <c r="C6321" s="132"/>
      <c r="D6321" s="131"/>
      <c r="E6321" s="110"/>
      <c r="F6321" s="110"/>
      <c r="G6321" s="110"/>
      <c r="H6321" s="131"/>
      <c r="I6321" s="131"/>
      <c r="J6321" s="142"/>
      <c r="K6321" s="142"/>
      <c r="L6321" s="140"/>
      <c r="M6321" s="131"/>
      <c r="N6321" s="131"/>
      <c r="O6321" s="131"/>
      <c r="P6321" s="143"/>
      <c r="Q6321" s="66"/>
      <c r="R6321" s="131"/>
      <c r="S6321" s="144"/>
      <c r="T6321" s="131"/>
      <c r="U6321" s="131"/>
      <c r="V6321" s="131"/>
      <c r="W6321" s="131"/>
      <c r="X6321" s="145"/>
      <c r="Y6321" s="146"/>
      <c r="Z6321" s="147"/>
      <c r="AA6321" s="147"/>
      <c r="AB6321" s="110"/>
      <c r="AC6321" s="132"/>
      <c r="AD6321" s="148"/>
      <c r="AE6321" s="148"/>
    </row>
    <row r="6322" customFormat="false" ht="15" hidden="false" customHeight="true" outlineLevel="0" collapsed="false">
      <c r="A6322" s="141"/>
      <c r="B6322" s="131"/>
      <c r="C6322" s="132"/>
      <c r="D6322" s="131"/>
      <c r="E6322" s="110"/>
      <c r="F6322" s="110"/>
      <c r="G6322" s="110"/>
      <c r="H6322" s="131"/>
      <c r="I6322" s="131"/>
      <c r="J6322" s="142"/>
      <c r="K6322" s="142"/>
      <c r="L6322" s="140"/>
      <c r="M6322" s="131"/>
      <c r="N6322" s="131"/>
      <c r="O6322" s="131"/>
      <c r="P6322" s="143"/>
      <c r="Q6322" s="66"/>
      <c r="R6322" s="131"/>
      <c r="S6322" s="144"/>
      <c r="T6322" s="131"/>
      <c r="U6322" s="131"/>
      <c r="V6322" s="131"/>
      <c r="W6322" s="131"/>
      <c r="X6322" s="145"/>
      <c r="Y6322" s="146"/>
      <c r="Z6322" s="147"/>
      <c r="AA6322" s="147"/>
      <c r="AB6322" s="110"/>
      <c r="AC6322" s="132"/>
      <c r="AD6322" s="148"/>
      <c r="AE6322" s="148"/>
    </row>
    <row r="6323" customFormat="false" ht="15" hidden="false" customHeight="true" outlineLevel="0" collapsed="false">
      <c r="A6323" s="141"/>
      <c r="B6323" s="131"/>
      <c r="C6323" s="132"/>
      <c r="D6323" s="131"/>
      <c r="E6323" s="110"/>
      <c r="F6323" s="110"/>
      <c r="G6323" s="110"/>
      <c r="H6323" s="131"/>
      <c r="I6323" s="131"/>
      <c r="J6323" s="142"/>
      <c r="K6323" s="142"/>
      <c r="L6323" s="140"/>
      <c r="M6323" s="131"/>
      <c r="N6323" s="131"/>
      <c r="O6323" s="131"/>
      <c r="P6323" s="143"/>
      <c r="Q6323" s="66"/>
      <c r="R6323" s="131"/>
      <c r="S6323" s="144"/>
      <c r="T6323" s="131"/>
      <c r="U6323" s="131"/>
      <c r="V6323" s="131"/>
      <c r="W6323" s="131"/>
      <c r="X6323" s="145"/>
      <c r="Y6323" s="146"/>
      <c r="Z6323" s="147"/>
      <c r="AA6323" s="147"/>
      <c r="AB6323" s="110"/>
      <c r="AC6323" s="132"/>
      <c r="AD6323" s="148"/>
      <c r="AE6323" s="148"/>
    </row>
    <row r="6324" customFormat="false" ht="15" hidden="false" customHeight="true" outlineLevel="0" collapsed="false">
      <c r="A6324" s="141"/>
      <c r="B6324" s="131"/>
      <c r="C6324" s="132"/>
      <c r="D6324" s="131"/>
      <c r="E6324" s="110"/>
      <c r="F6324" s="110"/>
      <c r="G6324" s="110"/>
      <c r="H6324" s="131"/>
      <c r="I6324" s="131"/>
      <c r="J6324" s="142"/>
      <c r="K6324" s="142"/>
      <c r="L6324" s="140"/>
      <c r="M6324" s="131"/>
      <c r="N6324" s="131"/>
      <c r="O6324" s="131"/>
      <c r="P6324" s="143"/>
      <c r="Q6324" s="66"/>
      <c r="R6324" s="131"/>
      <c r="S6324" s="144"/>
      <c r="T6324" s="131"/>
      <c r="U6324" s="131"/>
      <c r="V6324" s="131"/>
      <c r="W6324" s="131"/>
      <c r="X6324" s="145"/>
      <c r="Y6324" s="146"/>
      <c r="Z6324" s="147"/>
      <c r="AA6324" s="147"/>
      <c r="AB6324" s="110"/>
      <c r="AC6324" s="132"/>
      <c r="AD6324" s="148"/>
      <c r="AE6324" s="148"/>
    </row>
    <row r="6325" customFormat="false" ht="15" hidden="false" customHeight="true" outlineLevel="0" collapsed="false">
      <c r="A6325" s="141"/>
      <c r="B6325" s="131"/>
      <c r="C6325" s="132"/>
      <c r="D6325" s="131"/>
      <c r="E6325" s="110"/>
      <c r="F6325" s="110"/>
      <c r="G6325" s="110"/>
      <c r="H6325" s="131"/>
      <c r="I6325" s="131"/>
      <c r="J6325" s="142"/>
      <c r="K6325" s="142"/>
      <c r="L6325" s="140"/>
      <c r="M6325" s="131"/>
      <c r="N6325" s="131"/>
      <c r="O6325" s="131"/>
      <c r="P6325" s="143"/>
      <c r="Q6325" s="66"/>
      <c r="R6325" s="131"/>
      <c r="S6325" s="144"/>
      <c r="T6325" s="131"/>
      <c r="U6325" s="131"/>
      <c r="V6325" s="131"/>
      <c r="W6325" s="131"/>
      <c r="X6325" s="145"/>
      <c r="Y6325" s="146"/>
      <c r="Z6325" s="147"/>
      <c r="AA6325" s="147"/>
      <c r="AB6325" s="110"/>
      <c r="AC6325" s="132"/>
      <c r="AD6325" s="148"/>
      <c r="AE6325" s="148"/>
    </row>
    <row r="6326" customFormat="false" ht="15" hidden="false" customHeight="true" outlineLevel="0" collapsed="false">
      <c r="A6326" s="141"/>
      <c r="B6326" s="131"/>
      <c r="C6326" s="132"/>
      <c r="D6326" s="131"/>
      <c r="E6326" s="110"/>
      <c r="F6326" s="110"/>
      <c r="G6326" s="110"/>
      <c r="H6326" s="131"/>
      <c r="I6326" s="131"/>
      <c r="J6326" s="142"/>
      <c r="K6326" s="142"/>
      <c r="L6326" s="140"/>
      <c r="M6326" s="131"/>
      <c r="N6326" s="131"/>
      <c r="O6326" s="131"/>
      <c r="P6326" s="143"/>
      <c r="Q6326" s="66"/>
      <c r="R6326" s="131"/>
      <c r="S6326" s="144"/>
      <c r="T6326" s="131"/>
      <c r="U6326" s="131"/>
      <c r="V6326" s="131"/>
      <c r="W6326" s="131"/>
      <c r="X6326" s="145"/>
      <c r="Y6326" s="146"/>
      <c r="Z6326" s="147"/>
      <c r="AA6326" s="147"/>
      <c r="AB6326" s="110"/>
      <c r="AC6326" s="132"/>
      <c r="AD6326" s="148"/>
      <c r="AE6326" s="148"/>
    </row>
    <row r="6327" customFormat="false" ht="15" hidden="false" customHeight="true" outlineLevel="0" collapsed="false">
      <c r="A6327" s="141"/>
      <c r="B6327" s="131"/>
      <c r="C6327" s="132"/>
      <c r="D6327" s="131"/>
      <c r="E6327" s="110"/>
      <c r="F6327" s="110"/>
      <c r="G6327" s="110"/>
      <c r="H6327" s="131"/>
      <c r="I6327" s="131"/>
      <c r="J6327" s="142"/>
      <c r="K6327" s="142"/>
      <c r="L6327" s="140"/>
      <c r="M6327" s="131"/>
      <c r="N6327" s="131"/>
      <c r="O6327" s="131"/>
      <c r="P6327" s="143"/>
      <c r="Q6327" s="66"/>
      <c r="R6327" s="131"/>
      <c r="S6327" s="144"/>
      <c r="T6327" s="131"/>
      <c r="U6327" s="131"/>
      <c r="V6327" s="131"/>
      <c r="W6327" s="131"/>
      <c r="X6327" s="145"/>
      <c r="Y6327" s="146"/>
      <c r="Z6327" s="147"/>
      <c r="AA6327" s="147"/>
      <c r="AB6327" s="110"/>
      <c r="AC6327" s="132"/>
      <c r="AD6327" s="148"/>
      <c r="AE6327" s="148"/>
    </row>
    <row r="6328" customFormat="false" ht="15" hidden="false" customHeight="true" outlineLevel="0" collapsed="false">
      <c r="A6328" s="141"/>
      <c r="B6328" s="131"/>
      <c r="C6328" s="132"/>
      <c r="D6328" s="131"/>
      <c r="E6328" s="110"/>
      <c r="F6328" s="110"/>
      <c r="G6328" s="110"/>
      <c r="H6328" s="131"/>
      <c r="I6328" s="131"/>
      <c r="J6328" s="142"/>
      <c r="K6328" s="142"/>
      <c r="L6328" s="140"/>
      <c r="M6328" s="131"/>
      <c r="N6328" s="131"/>
      <c r="O6328" s="131"/>
      <c r="P6328" s="143"/>
      <c r="Q6328" s="66"/>
      <c r="R6328" s="131"/>
      <c r="S6328" s="144"/>
      <c r="T6328" s="131"/>
      <c r="U6328" s="131"/>
      <c r="V6328" s="131"/>
      <c r="W6328" s="131"/>
      <c r="X6328" s="145"/>
      <c r="Y6328" s="146"/>
      <c r="Z6328" s="147"/>
      <c r="AA6328" s="147"/>
      <c r="AB6328" s="110"/>
      <c r="AC6328" s="132"/>
      <c r="AD6328" s="148"/>
      <c r="AE6328" s="148"/>
    </row>
    <row r="6329" customFormat="false" ht="15" hidden="false" customHeight="true" outlineLevel="0" collapsed="false">
      <c r="A6329" s="141"/>
      <c r="B6329" s="131"/>
      <c r="C6329" s="132"/>
      <c r="D6329" s="131"/>
      <c r="E6329" s="110"/>
      <c r="F6329" s="110"/>
      <c r="G6329" s="110"/>
      <c r="H6329" s="131"/>
      <c r="I6329" s="131"/>
      <c r="J6329" s="142"/>
      <c r="K6329" s="142"/>
      <c r="L6329" s="140"/>
      <c r="M6329" s="131"/>
      <c r="N6329" s="131"/>
      <c r="O6329" s="131"/>
      <c r="P6329" s="143"/>
      <c r="Q6329" s="66"/>
      <c r="R6329" s="131"/>
      <c r="S6329" s="144"/>
      <c r="T6329" s="131"/>
      <c r="U6329" s="131"/>
      <c r="V6329" s="131"/>
      <c r="W6329" s="131"/>
      <c r="X6329" s="145"/>
      <c r="Y6329" s="146"/>
      <c r="Z6329" s="147"/>
      <c r="AA6329" s="147"/>
      <c r="AB6329" s="110"/>
      <c r="AC6329" s="132"/>
      <c r="AD6329" s="148"/>
      <c r="AE6329" s="148"/>
    </row>
    <row r="6330" customFormat="false" ht="15" hidden="false" customHeight="true" outlineLevel="0" collapsed="false">
      <c r="A6330" s="141"/>
      <c r="B6330" s="131"/>
      <c r="C6330" s="132"/>
      <c r="D6330" s="131"/>
      <c r="E6330" s="110"/>
      <c r="F6330" s="110"/>
      <c r="G6330" s="110"/>
      <c r="H6330" s="131"/>
      <c r="I6330" s="131"/>
      <c r="J6330" s="142"/>
      <c r="K6330" s="142"/>
      <c r="L6330" s="140"/>
      <c r="M6330" s="131"/>
      <c r="N6330" s="131"/>
      <c r="O6330" s="131"/>
      <c r="P6330" s="143"/>
      <c r="Q6330" s="66"/>
      <c r="R6330" s="131"/>
      <c r="S6330" s="144"/>
      <c r="T6330" s="131"/>
      <c r="U6330" s="131"/>
      <c r="V6330" s="131"/>
      <c r="W6330" s="131"/>
      <c r="X6330" s="145"/>
      <c r="Y6330" s="146"/>
      <c r="Z6330" s="147"/>
      <c r="AA6330" s="147"/>
      <c r="AB6330" s="110"/>
      <c r="AC6330" s="132"/>
      <c r="AD6330" s="148"/>
      <c r="AE6330" s="148"/>
    </row>
    <row r="6331" customFormat="false" ht="15" hidden="false" customHeight="true" outlineLevel="0" collapsed="false">
      <c r="A6331" s="141"/>
      <c r="B6331" s="131"/>
      <c r="C6331" s="132"/>
      <c r="D6331" s="131"/>
      <c r="E6331" s="110"/>
      <c r="F6331" s="110"/>
      <c r="G6331" s="110"/>
      <c r="H6331" s="131"/>
      <c r="I6331" s="131"/>
      <c r="J6331" s="142"/>
      <c r="K6331" s="142"/>
      <c r="L6331" s="140"/>
      <c r="M6331" s="131"/>
      <c r="N6331" s="131"/>
      <c r="O6331" s="131"/>
      <c r="P6331" s="143"/>
      <c r="Q6331" s="66"/>
      <c r="R6331" s="131"/>
      <c r="S6331" s="144"/>
      <c r="T6331" s="131"/>
      <c r="U6331" s="131"/>
      <c r="V6331" s="131"/>
      <c r="W6331" s="131"/>
      <c r="X6331" s="145"/>
      <c r="Y6331" s="146"/>
      <c r="Z6331" s="147"/>
      <c r="AA6331" s="147"/>
      <c r="AB6331" s="110"/>
      <c r="AC6331" s="132"/>
      <c r="AD6331" s="148"/>
      <c r="AE6331" s="148"/>
    </row>
    <row r="6332" customFormat="false" ht="15" hidden="false" customHeight="true" outlineLevel="0" collapsed="false">
      <c r="A6332" s="141"/>
      <c r="B6332" s="131"/>
      <c r="C6332" s="132"/>
      <c r="D6332" s="131"/>
      <c r="E6332" s="110"/>
      <c r="F6332" s="110"/>
      <c r="G6332" s="110"/>
      <c r="H6332" s="131"/>
      <c r="I6332" s="131"/>
      <c r="J6332" s="142"/>
      <c r="K6332" s="142"/>
      <c r="L6332" s="140"/>
      <c r="M6332" s="131"/>
      <c r="N6332" s="131"/>
      <c r="O6332" s="131"/>
      <c r="P6332" s="143"/>
      <c r="Q6332" s="66"/>
      <c r="R6332" s="131"/>
      <c r="S6332" s="144"/>
      <c r="T6332" s="131"/>
      <c r="U6332" s="131"/>
      <c r="V6332" s="131"/>
      <c r="W6332" s="131"/>
      <c r="X6332" s="145"/>
      <c r="Y6332" s="146"/>
      <c r="Z6332" s="147"/>
      <c r="AA6332" s="147"/>
      <c r="AB6332" s="110"/>
      <c r="AC6332" s="132"/>
      <c r="AD6332" s="148"/>
      <c r="AE6332" s="148"/>
    </row>
    <row r="6333" customFormat="false" ht="15" hidden="false" customHeight="true" outlineLevel="0" collapsed="false">
      <c r="A6333" s="141"/>
      <c r="B6333" s="131"/>
      <c r="C6333" s="132"/>
      <c r="D6333" s="131"/>
      <c r="E6333" s="110"/>
      <c r="F6333" s="110"/>
      <c r="G6333" s="110"/>
      <c r="H6333" s="131"/>
      <c r="I6333" s="131"/>
      <c r="J6333" s="142"/>
      <c r="K6333" s="142"/>
      <c r="L6333" s="140"/>
      <c r="M6333" s="131"/>
      <c r="N6333" s="131"/>
      <c r="O6333" s="131"/>
      <c r="P6333" s="143"/>
      <c r="Q6333" s="66"/>
      <c r="R6333" s="131"/>
      <c r="S6333" s="144"/>
      <c r="T6333" s="131"/>
      <c r="U6333" s="131"/>
      <c r="V6333" s="131"/>
      <c r="W6333" s="131"/>
      <c r="X6333" s="145"/>
      <c r="Y6333" s="146"/>
      <c r="Z6333" s="147"/>
      <c r="AA6333" s="147"/>
      <c r="AB6333" s="110"/>
      <c r="AC6333" s="132"/>
      <c r="AD6333" s="148"/>
      <c r="AE6333" s="148"/>
    </row>
    <row r="6334" customFormat="false" ht="15" hidden="false" customHeight="true" outlineLevel="0" collapsed="false">
      <c r="A6334" s="141"/>
      <c r="B6334" s="131"/>
      <c r="C6334" s="132"/>
      <c r="D6334" s="131"/>
      <c r="E6334" s="110"/>
      <c r="F6334" s="110"/>
      <c r="G6334" s="110"/>
      <c r="H6334" s="131"/>
      <c r="I6334" s="131"/>
      <c r="J6334" s="142"/>
      <c r="K6334" s="142"/>
      <c r="L6334" s="140"/>
      <c r="M6334" s="131"/>
      <c r="N6334" s="131"/>
      <c r="O6334" s="131"/>
      <c r="P6334" s="143"/>
      <c r="Q6334" s="66"/>
      <c r="R6334" s="131"/>
      <c r="S6334" s="144"/>
      <c r="T6334" s="131"/>
      <c r="U6334" s="131"/>
      <c r="V6334" s="131"/>
      <c r="W6334" s="131"/>
      <c r="X6334" s="145"/>
      <c r="Y6334" s="146"/>
      <c r="Z6334" s="147"/>
      <c r="AA6334" s="147"/>
      <c r="AB6334" s="110"/>
      <c r="AC6334" s="132"/>
      <c r="AD6334" s="148"/>
      <c r="AE6334" s="148"/>
    </row>
    <row r="6335" customFormat="false" ht="15" hidden="false" customHeight="true" outlineLevel="0" collapsed="false">
      <c r="A6335" s="141"/>
      <c r="B6335" s="131"/>
      <c r="C6335" s="132"/>
      <c r="D6335" s="131"/>
      <c r="E6335" s="110"/>
      <c r="F6335" s="110"/>
      <c r="G6335" s="110"/>
      <c r="H6335" s="131"/>
      <c r="I6335" s="131"/>
      <c r="J6335" s="142"/>
      <c r="K6335" s="142"/>
      <c r="L6335" s="140"/>
      <c r="M6335" s="131"/>
      <c r="N6335" s="131"/>
      <c r="O6335" s="131"/>
      <c r="P6335" s="143"/>
      <c r="Q6335" s="66"/>
      <c r="R6335" s="131"/>
      <c r="S6335" s="144"/>
      <c r="T6335" s="131"/>
      <c r="U6335" s="131"/>
      <c r="V6335" s="131"/>
      <c r="W6335" s="131"/>
      <c r="X6335" s="145"/>
      <c r="Y6335" s="146"/>
      <c r="Z6335" s="147"/>
      <c r="AA6335" s="147"/>
      <c r="AB6335" s="110"/>
      <c r="AC6335" s="132"/>
      <c r="AD6335" s="148"/>
      <c r="AE6335" s="148"/>
    </row>
    <row r="6336" customFormat="false" ht="15" hidden="false" customHeight="true" outlineLevel="0" collapsed="false">
      <c r="A6336" s="141"/>
      <c r="B6336" s="131"/>
      <c r="C6336" s="132"/>
      <c r="D6336" s="131"/>
      <c r="E6336" s="110"/>
      <c r="F6336" s="110"/>
      <c r="G6336" s="110"/>
      <c r="H6336" s="131"/>
      <c r="I6336" s="131"/>
      <c r="J6336" s="142"/>
      <c r="K6336" s="142"/>
      <c r="L6336" s="140"/>
      <c r="M6336" s="131"/>
      <c r="N6336" s="131"/>
      <c r="O6336" s="131"/>
      <c r="P6336" s="143"/>
      <c r="Q6336" s="66"/>
      <c r="R6336" s="131"/>
      <c r="S6336" s="144"/>
      <c r="T6336" s="131"/>
      <c r="U6336" s="131"/>
      <c r="V6336" s="131"/>
      <c r="W6336" s="131"/>
      <c r="X6336" s="145"/>
      <c r="Y6336" s="146"/>
      <c r="Z6336" s="147"/>
      <c r="AA6336" s="147"/>
      <c r="AB6336" s="110"/>
      <c r="AC6336" s="132"/>
      <c r="AD6336" s="148"/>
      <c r="AE6336" s="148"/>
    </row>
    <row r="6337" customFormat="false" ht="15" hidden="false" customHeight="true" outlineLevel="0" collapsed="false">
      <c r="A6337" s="141"/>
      <c r="B6337" s="131"/>
      <c r="C6337" s="132"/>
      <c r="D6337" s="131"/>
      <c r="E6337" s="110"/>
      <c r="F6337" s="110"/>
      <c r="G6337" s="110"/>
      <c r="H6337" s="131"/>
      <c r="I6337" s="131"/>
      <c r="J6337" s="142"/>
      <c r="K6337" s="142"/>
      <c r="L6337" s="140"/>
      <c r="M6337" s="131"/>
      <c r="N6337" s="131"/>
      <c r="O6337" s="131"/>
      <c r="P6337" s="143"/>
      <c r="Q6337" s="66"/>
      <c r="R6337" s="131"/>
      <c r="S6337" s="144"/>
      <c r="T6337" s="131"/>
      <c r="U6337" s="131"/>
      <c r="V6337" s="131"/>
      <c r="W6337" s="131"/>
      <c r="X6337" s="145"/>
      <c r="Y6337" s="146"/>
      <c r="Z6337" s="147"/>
      <c r="AA6337" s="147"/>
      <c r="AB6337" s="110"/>
      <c r="AC6337" s="132"/>
      <c r="AD6337" s="148"/>
      <c r="AE6337" s="148"/>
    </row>
    <row r="6338" customFormat="false" ht="15" hidden="false" customHeight="true" outlineLevel="0" collapsed="false">
      <c r="A6338" s="141"/>
      <c r="B6338" s="131"/>
      <c r="C6338" s="132"/>
      <c r="D6338" s="131"/>
      <c r="E6338" s="110"/>
      <c r="F6338" s="110"/>
      <c r="G6338" s="110"/>
      <c r="H6338" s="131"/>
      <c r="I6338" s="131"/>
      <c r="J6338" s="142"/>
      <c r="K6338" s="142"/>
      <c r="L6338" s="140"/>
      <c r="M6338" s="131"/>
      <c r="N6338" s="131"/>
      <c r="O6338" s="131"/>
      <c r="P6338" s="143"/>
      <c r="Q6338" s="66"/>
      <c r="R6338" s="131"/>
      <c r="S6338" s="144"/>
      <c r="T6338" s="131"/>
      <c r="U6338" s="131"/>
      <c r="V6338" s="131"/>
      <c r="W6338" s="131"/>
      <c r="X6338" s="145"/>
      <c r="Y6338" s="146"/>
      <c r="Z6338" s="147"/>
      <c r="AA6338" s="147"/>
      <c r="AB6338" s="110"/>
      <c r="AC6338" s="132"/>
      <c r="AD6338" s="148"/>
      <c r="AE6338" s="148"/>
    </row>
    <row r="6339" customFormat="false" ht="15" hidden="false" customHeight="true" outlineLevel="0" collapsed="false">
      <c r="A6339" s="141"/>
      <c r="B6339" s="131"/>
      <c r="C6339" s="132"/>
      <c r="D6339" s="131"/>
      <c r="E6339" s="110"/>
      <c r="F6339" s="110"/>
      <c r="G6339" s="110"/>
      <c r="H6339" s="131"/>
      <c r="I6339" s="131"/>
      <c r="J6339" s="142"/>
      <c r="K6339" s="142"/>
      <c r="L6339" s="140"/>
      <c r="M6339" s="131"/>
      <c r="N6339" s="131"/>
      <c r="O6339" s="131"/>
      <c r="P6339" s="143"/>
      <c r="Q6339" s="66"/>
      <c r="R6339" s="131"/>
      <c r="S6339" s="144"/>
      <c r="T6339" s="131"/>
      <c r="U6339" s="131"/>
      <c r="V6339" s="131"/>
      <c r="W6339" s="131"/>
      <c r="X6339" s="145"/>
      <c r="Y6339" s="146"/>
      <c r="Z6339" s="147"/>
      <c r="AA6339" s="147"/>
      <c r="AB6339" s="110"/>
      <c r="AC6339" s="132"/>
      <c r="AD6339" s="148"/>
      <c r="AE6339" s="148"/>
    </row>
    <row r="6340" customFormat="false" ht="15" hidden="false" customHeight="true" outlineLevel="0" collapsed="false">
      <c r="A6340" s="141"/>
      <c r="B6340" s="131"/>
      <c r="C6340" s="132"/>
      <c r="D6340" s="131"/>
      <c r="E6340" s="110"/>
      <c r="F6340" s="110"/>
      <c r="G6340" s="110"/>
      <c r="H6340" s="131"/>
      <c r="I6340" s="131"/>
      <c r="J6340" s="142"/>
      <c r="K6340" s="142"/>
      <c r="L6340" s="140"/>
      <c r="M6340" s="131"/>
      <c r="N6340" s="131"/>
      <c r="O6340" s="131"/>
      <c r="P6340" s="143"/>
      <c r="Q6340" s="66"/>
      <c r="R6340" s="131"/>
      <c r="S6340" s="144"/>
      <c r="T6340" s="131"/>
      <c r="U6340" s="131"/>
      <c r="V6340" s="131"/>
      <c r="W6340" s="131"/>
      <c r="X6340" s="145"/>
      <c r="Y6340" s="146"/>
      <c r="Z6340" s="147"/>
      <c r="AA6340" s="147"/>
      <c r="AB6340" s="110"/>
      <c r="AC6340" s="132"/>
      <c r="AD6340" s="148"/>
      <c r="AE6340" s="148"/>
    </row>
    <row r="6341" customFormat="false" ht="15" hidden="false" customHeight="true" outlineLevel="0" collapsed="false">
      <c r="A6341" s="141"/>
      <c r="B6341" s="131"/>
      <c r="C6341" s="132"/>
      <c r="D6341" s="131"/>
      <c r="E6341" s="110"/>
      <c r="F6341" s="110"/>
      <c r="G6341" s="110"/>
      <c r="H6341" s="131"/>
      <c r="I6341" s="131"/>
      <c r="J6341" s="142"/>
      <c r="K6341" s="142"/>
      <c r="L6341" s="140"/>
      <c r="M6341" s="131"/>
      <c r="N6341" s="131"/>
      <c r="O6341" s="131"/>
      <c r="P6341" s="143"/>
      <c r="Q6341" s="66"/>
      <c r="R6341" s="131"/>
      <c r="S6341" s="144"/>
      <c r="T6341" s="131"/>
      <c r="U6341" s="131"/>
      <c r="V6341" s="131"/>
      <c r="W6341" s="131"/>
      <c r="X6341" s="145"/>
      <c r="Y6341" s="146"/>
      <c r="Z6341" s="147"/>
      <c r="AA6341" s="147"/>
      <c r="AB6341" s="110"/>
      <c r="AC6341" s="132"/>
      <c r="AD6341" s="148"/>
      <c r="AE6341" s="148"/>
    </row>
    <row r="6342" customFormat="false" ht="15" hidden="false" customHeight="true" outlineLevel="0" collapsed="false">
      <c r="A6342" s="141"/>
      <c r="B6342" s="131"/>
      <c r="C6342" s="132"/>
      <c r="D6342" s="131"/>
      <c r="E6342" s="110"/>
      <c r="F6342" s="110"/>
      <c r="G6342" s="110"/>
      <c r="H6342" s="131"/>
      <c r="I6342" s="131"/>
      <c r="J6342" s="142"/>
      <c r="K6342" s="142"/>
      <c r="L6342" s="140"/>
      <c r="M6342" s="131"/>
      <c r="N6342" s="131"/>
      <c r="O6342" s="131"/>
      <c r="P6342" s="143"/>
      <c r="Q6342" s="66"/>
      <c r="R6342" s="131"/>
      <c r="S6342" s="144"/>
      <c r="T6342" s="131"/>
      <c r="U6342" s="131"/>
      <c r="V6342" s="131"/>
      <c r="W6342" s="131"/>
      <c r="X6342" s="145"/>
      <c r="Y6342" s="146"/>
      <c r="Z6342" s="147"/>
      <c r="AA6342" s="147"/>
      <c r="AB6342" s="110"/>
      <c r="AC6342" s="132"/>
      <c r="AD6342" s="148"/>
      <c r="AE6342" s="148"/>
    </row>
    <row r="6343" customFormat="false" ht="15" hidden="false" customHeight="true" outlineLevel="0" collapsed="false">
      <c r="A6343" s="141"/>
      <c r="B6343" s="131"/>
      <c r="C6343" s="132"/>
      <c r="D6343" s="131"/>
      <c r="E6343" s="110"/>
      <c r="F6343" s="110"/>
      <c r="G6343" s="110"/>
      <c r="H6343" s="131"/>
      <c r="I6343" s="131"/>
      <c r="J6343" s="142"/>
      <c r="K6343" s="142"/>
      <c r="L6343" s="140"/>
      <c r="M6343" s="131"/>
      <c r="N6343" s="131"/>
      <c r="O6343" s="131"/>
      <c r="P6343" s="143"/>
      <c r="Q6343" s="66"/>
      <c r="R6343" s="131"/>
      <c r="S6343" s="144"/>
      <c r="T6343" s="131"/>
      <c r="U6343" s="131"/>
      <c r="V6343" s="131"/>
      <c r="W6343" s="131"/>
      <c r="X6343" s="145"/>
      <c r="Y6343" s="146"/>
      <c r="Z6343" s="147"/>
      <c r="AA6343" s="147"/>
      <c r="AB6343" s="110"/>
      <c r="AC6343" s="132"/>
      <c r="AD6343" s="148"/>
      <c r="AE6343" s="148"/>
    </row>
    <row r="6344" customFormat="false" ht="15" hidden="false" customHeight="true" outlineLevel="0" collapsed="false">
      <c r="A6344" s="141"/>
      <c r="B6344" s="131"/>
      <c r="C6344" s="132"/>
      <c r="D6344" s="131"/>
      <c r="E6344" s="110"/>
      <c r="F6344" s="110"/>
      <c r="G6344" s="110"/>
      <c r="H6344" s="131"/>
      <c r="I6344" s="131"/>
      <c r="J6344" s="142"/>
      <c r="K6344" s="142"/>
      <c r="L6344" s="140"/>
      <c r="M6344" s="131"/>
      <c r="N6344" s="131"/>
      <c r="O6344" s="131"/>
      <c r="P6344" s="143"/>
      <c r="Q6344" s="66"/>
      <c r="R6344" s="131"/>
      <c r="S6344" s="144"/>
      <c r="T6344" s="131"/>
      <c r="U6344" s="131"/>
      <c r="V6344" s="131"/>
      <c r="W6344" s="131"/>
      <c r="X6344" s="145"/>
      <c r="Y6344" s="146"/>
      <c r="Z6344" s="147"/>
      <c r="AA6344" s="147"/>
      <c r="AB6344" s="110"/>
      <c r="AC6344" s="132"/>
      <c r="AD6344" s="148"/>
      <c r="AE6344" s="148"/>
    </row>
    <row r="6345" customFormat="false" ht="15" hidden="false" customHeight="true" outlineLevel="0" collapsed="false">
      <c r="A6345" s="141"/>
      <c r="B6345" s="131"/>
      <c r="C6345" s="132"/>
      <c r="D6345" s="131"/>
      <c r="E6345" s="110"/>
      <c r="F6345" s="110"/>
      <c r="G6345" s="110"/>
      <c r="H6345" s="131"/>
      <c r="I6345" s="131"/>
      <c r="J6345" s="142"/>
      <c r="K6345" s="142"/>
      <c r="L6345" s="140"/>
      <c r="M6345" s="131"/>
      <c r="N6345" s="131"/>
      <c r="O6345" s="131"/>
      <c r="P6345" s="143"/>
      <c r="Q6345" s="66"/>
      <c r="R6345" s="131"/>
      <c r="S6345" s="144"/>
      <c r="T6345" s="131"/>
      <c r="U6345" s="131"/>
      <c r="V6345" s="131"/>
      <c r="W6345" s="131"/>
      <c r="X6345" s="145"/>
      <c r="Y6345" s="146"/>
      <c r="Z6345" s="147"/>
      <c r="AA6345" s="147"/>
      <c r="AB6345" s="110"/>
      <c r="AC6345" s="132"/>
      <c r="AD6345" s="148"/>
      <c r="AE6345" s="148"/>
    </row>
    <row r="6346" customFormat="false" ht="15" hidden="false" customHeight="true" outlineLevel="0" collapsed="false">
      <c r="A6346" s="141"/>
      <c r="B6346" s="131"/>
      <c r="C6346" s="132"/>
      <c r="D6346" s="131"/>
      <c r="E6346" s="110"/>
      <c r="F6346" s="110"/>
      <c r="G6346" s="110"/>
      <c r="H6346" s="131"/>
      <c r="I6346" s="131"/>
      <c r="J6346" s="142"/>
      <c r="K6346" s="142"/>
      <c r="L6346" s="140"/>
      <c r="M6346" s="131"/>
      <c r="N6346" s="131"/>
      <c r="O6346" s="131"/>
      <c r="P6346" s="143"/>
      <c r="Q6346" s="66"/>
      <c r="R6346" s="131"/>
      <c r="S6346" s="144"/>
      <c r="T6346" s="131"/>
      <c r="U6346" s="131"/>
      <c r="V6346" s="131"/>
      <c r="W6346" s="131"/>
      <c r="X6346" s="145"/>
      <c r="Y6346" s="146"/>
      <c r="Z6346" s="147"/>
      <c r="AA6346" s="147"/>
      <c r="AB6346" s="110"/>
      <c r="AC6346" s="132"/>
      <c r="AD6346" s="148"/>
      <c r="AE6346" s="148"/>
    </row>
    <row r="6347" customFormat="false" ht="15" hidden="false" customHeight="true" outlineLevel="0" collapsed="false">
      <c r="A6347" s="141"/>
      <c r="B6347" s="131"/>
      <c r="C6347" s="132"/>
      <c r="D6347" s="131"/>
      <c r="E6347" s="110"/>
      <c r="F6347" s="110"/>
      <c r="G6347" s="110"/>
      <c r="H6347" s="131"/>
      <c r="I6347" s="131"/>
      <c r="J6347" s="142"/>
      <c r="K6347" s="142"/>
      <c r="L6347" s="140"/>
      <c r="M6347" s="131"/>
      <c r="N6347" s="131"/>
      <c r="O6347" s="131"/>
      <c r="P6347" s="143"/>
      <c r="Q6347" s="66"/>
      <c r="R6347" s="131"/>
      <c r="S6347" s="144"/>
      <c r="T6347" s="131"/>
      <c r="U6347" s="131"/>
      <c r="V6347" s="131"/>
      <c r="W6347" s="131"/>
      <c r="X6347" s="145"/>
      <c r="Y6347" s="146"/>
      <c r="Z6347" s="147"/>
      <c r="AA6347" s="147"/>
      <c r="AB6347" s="110"/>
      <c r="AC6347" s="132"/>
      <c r="AD6347" s="148"/>
      <c r="AE6347" s="148"/>
    </row>
    <row r="6348" customFormat="false" ht="15" hidden="false" customHeight="true" outlineLevel="0" collapsed="false">
      <c r="A6348" s="141"/>
      <c r="B6348" s="131"/>
      <c r="C6348" s="132"/>
      <c r="D6348" s="131"/>
      <c r="E6348" s="110"/>
      <c r="F6348" s="110"/>
      <c r="G6348" s="110"/>
      <c r="H6348" s="131"/>
      <c r="I6348" s="131"/>
      <c r="J6348" s="142"/>
      <c r="K6348" s="142"/>
      <c r="L6348" s="140"/>
      <c r="M6348" s="131"/>
      <c r="N6348" s="131"/>
      <c r="O6348" s="131"/>
      <c r="P6348" s="143"/>
      <c r="Q6348" s="66"/>
      <c r="R6348" s="131"/>
      <c r="S6348" s="144"/>
      <c r="T6348" s="131"/>
      <c r="U6348" s="131"/>
      <c r="V6348" s="131"/>
      <c r="W6348" s="131"/>
      <c r="X6348" s="145"/>
      <c r="Y6348" s="146"/>
      <c r="Z6348" s="147"/>
      <c r="AA6348" s="147"/>
      <c r="AB6348" s="110"/>
      <c r="AC6348" s="132"/>
      <c r="AD6348" s="148"/>
      <c r="AE6348" s="148"/>
    </row>
    <row r="6349" customFormat="false" ht="15" hidden="false" customHeight="true" outlineLevel="0" collapsed="false">
      <c r="A6349" s="141"/>
      <c r="B6349" s="131"/>
      <c r="C6349" s="132"/>
      <c r="D6349" s="131"/>
      <c r="E6349" s="110"/>
      <c r="F6349" s="110"/>
      <c r="G6349" s="110"/>
      <c r="H6349" s="131"/>
      <c r="I6349" s="131"/>
      <c r="J6349" s="142"/>
      <c r="K6349" s="142"/>
      <c r="L6349" s="140"/>
      <c r="M6349" s="131"/>
      <c r="N6349" s="131"/>
      <c r="O6349" s="131"/>
      <c r="P6349" s="143"/>
      <c r="Q6349" s="66"/>
      <c r="R6349" s="131"/>
      <c r="S6349" s="144"/>
      <c r="T6349" s="131"/>
      <c r="U6349" s="131"/>
      <c r="V6349" s="131"/>
      <c r="W6349" s="131"/>
      <c r="X6349" s="145"/>
      <c r="Y6349" s="146"/>
      <c r="Z6349" s="147"/>
      <c r="AA6349" s="147"/>
      <c r="AB6349" s="110"/>
      <c r="AC6349" s="132"/>
      <c r="AD6349" s="148"/>
      <c r="AE6349" s="148"/>
    </row>
    <row r="6350" customFormat="false" ht="15" hidden="false" customHeight="true" outlineLevel="0" collapsed="false">
      <c r="A6350" s="141"/>
      <c r="B6350" s="131"/>
      <c r="C6350" s="132"/>
      <c r="D6350" s="131"/>
      <c r="E6350" s="110"/>
      <c r="F6350" s="110"/>
      <c r="G6350" s="110"/>
      <c r="H6350" s="131"/>
      <c r="I6350" s="131"/>
      <c r="J6350" s="142"/>
      <c r="K6350" s="142"/>
      <c r="L6350" s="140"/>
      <c r="M6350" s="131"/>
      <c r="N6350" s="131"/>
      <c r="O6350" s="131"/>
      <c r="P6350" s="143"/>
      <c r="Q6350" s="66"/>
      <c r="R6350" s="131"/>
      <c r="S6350" s="144"/>
      <c r="T6350" s="131"/>
      <c r="U6350" s="131"/>
      <c r="V6350" s="131"/>
      <c r="W6350" s="131"/>
      <c r="X6350" s="145"/>
      <c r="Y6350" s="146"/>
      <c r="Z6350" s="147"/>
      <c r="AA6350" s="147"/>
      <c r="AB6350" s="110"/>
      <c r="AC6350" s="132"/>
      <c r="AD6350" s="148"/>
      <c r="AE6350" s="148"/>
    </row>
    <row r="6351" customFormat="false" ht="15" hidden="false" customHeight="true" outlineLevel="0" collapsed="false">
      <c r="A6351" s="141"/>
      <c r="B6351" s="131"/>
      <c r="C6351" s="132"/>
      <c r="D6351" s="131"/>
      <c r="E6351" s="110"/>
      <c r="F6351" s="110"/>
      <c r="G6351" s="110"/>
      <c r="H6351" s="131"/>
      <c r="I6351" s="131"/>
      <c r="J6351" s="142"/>
      <c r="K6351" s="142"/>
      <c r="L6351" s="140"/>
      <c r="M6351" s="131"/>
      <c r="N6351" s="131"/>
      <c r="O6351" s="131"/>
      <c r="P6351" s="143"/>
      <c r="Q6351" s="66"/>
      <c r="R6351" s="131"/>
      <c r="S6351" s="144"/>
      <c r="T6351" s="131"/>
      <c r="U6351" s="131"/>
      <c r="V6351" s="131"/>
      <c r="W6351" s="131"/>
      <c r="X6351" s="145"/>
      <c r="Y6351" s="146"/>
      <c r="Z6351" s="147"/>
      <c r="AA6351" s="147"/>
      <c r="AB6351" s="110"/>
      <c r="AC6351" s="132"/>
      <c r="AD6351" s="148"/>
      <c r="AE6351" s="148"/>
    </row>
    <row r="6352" customFormat="false" ht="15" hidden="false" customHeight="true" outlineLevel="0" collapsed="false">
      <c r="A6352" s="141"/>
      <c r="B6352" s="131"/>
      <c r="C6352" s="132"/>
      <c r="D6352" s="131"/>
      <c r="E6352" s="110"/>
      <c r="F6352" s="110"/>
      <c r="G6352" s="110"/>
      <c r="H6352" s="131"/>
      <c r="I6352" s="131"/>
      <c r="J6352" s="142"/>
      <c r="K6352" s="142"/>
      <c r="L6352" s="140"/>
      <c r="M6352" s="131"/>
      <c r="N6352" s="131"/>
      <c r="O6352" s="131"/>
      <c r="P6352" s="143"/>
      <c r="Q6352" s="66"/>
      <c r="R6352" s="131"/>
      <c r="S6352" s="144"/>
      <c r="T6352" s="131"/>
      <c r="U6352" s="131"/>
      <c r="V6352" s="131"/>
      <c r="W6352" s="131"/>
      <c r="X6352" s="145"/>
      <c r="Y6352" s="146"/>
      <c r="Z6352" s="147"/>
      <c r="AA6352" s="147"/>
      <c r="AB6352" s="110"/>
      <c r="AC6352" s="132"/>
      <c r="AD6352" s="148"/>
      <c r="AE6352" s="148"/>
    </row>
    <row r="6353" customFormat="false" ht="15" hidden="false" customHeight="true" outlineLevel="0" collapsed="false">
      <c r="A6353" s="141"/>
      <c r="B6353" s="131"/>
      <c r="C6353" s="132"/>
      <c r="D6353" s="131"/>
      <c r="E6353" s="110"/>
      <c r="F6353" s="110"/>
      <c r="G6353" s="110"/>
      <c r="H6353" s="131"/>
      <c r="I6353" s="131"/>
      <c r="J6353" s="142"/>
      <c r="K6353" s="142"/>
      <c r="L6353" s="140"/>
      <c r="M6353" s="131"/>
      <c r="N6353" s="131"/>
      <c r="O6353" s="131"/>
      <c r="P6353" s="143"/>
      <c r="Q6353" s="66"/>
      <c r="R6353" s="131"/>
      <c r="S6353" s="144"/>
      <c r="T6353" s="131"/>
      <c r="U6353" s="131"/>
      <c r="V6353" s="131"/>
      <c r="W6353" s="131"/>
      <c r="X6353" s="145"/>
      <c r="Y6353" s="146"/>
      <c r="Z6353" s="147"/>
      <c r="AA6353" s="147"/>
      <c r="AB6353" s="110"/>
      <c r="AC6353" s="132"/>
      <c r="AD6353" s="148"/>
      <c r="AE6353" s="148"/>
    </row>
    <row r="6354" customFormat="false" ht="15" hidden="false" customHeight="true" outlineLevel="0" collapsed="false">
      <c r="A6354" s="141"/>
      <c r="B6354" s="131"/>
      <c r="C6354" s="132"/>
      <c r="D6354" s="131"/>
      <c r="E6354" s="110"/>
      <c r="F6354" s="110"/>
      <c r="G6354" s="110"/>
      <c r="H6354" s="131"/>
      <c r="I6354" s="131"/>
      <c r="J6354" s="142"/>
      <c r="K6354" s="142"/>
      <c r="L6354" s="140"/>
      <c r="M6354" s="131"/>
      <c r="N6354" s="131"/>
      <c r="O6354" s="131"/>
      <c r="P6354" s="143"/>
      <c r="Q6354" s="66"/>
      <c r="R6354" s="131"/>
      <c r="S6354" s="144"/>
      <c r="T6354" s="131"/>
      <c r="U6354" s="131"/>
      <c r="V6354" s="131"/>
      <c r="W6354" s="131"/>
      <c r="X6354" s="145"/>
      <c r="Y6354" s="146"/>
      <c r="Z6354" s="147"/>
      <c r="AA6354" s="147"/>
      <c r="AB6354" s="110"/>
      <c r="AC6354" s="132"/>
      <c r="AD6354" s="148"/>
      <c r="AE6354" s="148"/>
    </row>
    <row r="6355" customFormat="false" ht="15" hidden="false" customHeight="true" outlineLevel="0" collapsed="false">
      <c r="A6355" s="141"/>
      <c r="B6355" s="131"/>
      <c r="C6355" s="132"/>
      <c r="D6355" s="131"/>
      <c r="E6355" s="110"/>
      <c r="F6355" s="110"/>
      <c r="G6355" s="110"/>
      <c r="H6355" s="131"/>
      <c r="I6355" s="131"/>
      <c r="J6355" s="142"/>
      <c r="K6355" s="142"/>
      <c r="L6355" s="140"/>
      <c r="M6355" s="131"/>
      <c r="N6355" s="131"/>
      <c r="O6355" s="131"/>
      <c r="P6355" s="143"/>
      <c r="Q6355" s="66"/>
      <c r="R6355" s="131"/>
      <c r="S6355" s="144"/>
      <c r="T6355" s="131"/>
      <c r="U6355" s="131"/>
      <c r="V6355" s="131"/>
      <c r="W6355" s="131"/>
      <c r="X6355" s="145"/>
      <c r="Y6355" s="146"/>
      <c r="Z6355" s="147"/>
      <c r="AA6355" s="147"/>
      <c r="AB6355" s="110"/>
      <c r="AC6355" s="132"/>
      <c r="AD6355" s="148"/>
      <c r="AE6355" s="148"/>
    </row>
    <row r="6356" customFormat="false" ht="15" hidden="false" customHeight="true" outlineLevel="0" collapsed="false">
      <c r="A6356" s="141"/>
      <c r="B6356" s="131"/>
      <c r="C6356" s="132"/>
      <c r="D6356" s="131"/>
      <c r="E6356" s="110"/>
      <c r="F6356" s="110"/>
      <c r="G6356" s="110"/>
      <c r="H6356" s="131"/>
      <c r="I6356" s="131"/>
      <c r="J6356" s="142"/>
      <c r="K6356" s="142"/>
      <c r="L6356" s="140"/>
      <c r="M6356" s="131"/>
      <c r="N6356" s="131"/>
      <c r="O6356" s="131"/>
      <c r="P6356" s="143"/>
      <c r="Q6356" s="66"/>
      <c r="R6356" s="131"/>
      <c r="S6356" s="144"/>
      <c r="T6356" s="131"/>
      <c r="U6356" s="131"/>
      <c r="V6356" s="131"/>
      <c r="W6356" s="131"/>
      <c r="X6356" s="145"/>
      <c r="Y6356" s="146"/>
      <c r="Z6356" s="147"/>
      <c r="AA6356" s="147"/>
      <c r="AB6356" s="110"/>
      <c r="AC6356" s="132"/>
      <c r="AD6356" s="148"/>
      <c r="AE6356" s="148"/>
    </row>
    <row r="6357" customFormat="false" ht="15" hidden="false" customHeight="true" outlineLevel="0" collapsed="false">
      <c r="A6357" s="141"/>
      <c r="B6357" s="131"/>
      <c r="C6357" s="132"/>
      <c r="D6357" s="131"/>
      <c r="E6357" s="110"/>
      <c r="F6357" s="110"/>
      <c r="G6357" s="110"/>
      <c r="H6357" s="131"/>
      <c r="I6357" s="131"/>
      <c r="J6357" s="142"/>
      <c r="K6357" s="142"/>
      <c r="L6357" s="140"/>
      <c r="M6357" s="131"/>
      <c r="N6357" s="131"/>
      <c r="O6357" s="131"/>
      <c r="P6357" s="143"/>
      <c r="Q6357" s="66"/>
      <c r="R6357" s="131"/>
      <c r="S6357" s="144"/>
      <c r="T6357" s="131"/>
      <c r="U6357" s="131"/>
      <c r="V6357" s="131"/>
      <c r="W6357" s="131"/>
      <c r="X6357" s="145"/>
      <c r="Y6357" s="146"/>
      <c r="Z6357" s="147"/>
      <c r="AA6357" s="147"/>
      <c r="AB6357" s="110"/>
      <c r="AC6357" s="132"/>
      <c r="AD6357" s="148"/>
      <c r="AE6357" s="148"/>
    </row>
    <row r="6358" customFormat="false" ht="15" hidden="false" customHeight="true" outlineLevel="0" collapsed="false">
      <c r="A6358" s="141"/>
      <c r="B6358" s="131"/>
      <c r="C6358" s="132"/>
      <c r="D6358" s="131"/>
      <c r="E6358" s="110"/>
      <c r="F6358" s="110"/>
      <c r="G6358" s="110"/>
      <c r="H6358" s="131"/>
      <c r="I6358" s="131"/>
      <c r="J6358" s="142"/>
      <c r="K6358" s="142"/>
      <c r="L6358" s="140"/>
      <c r="M6358" s="131"/>
      <c r="N6358" s="131"/>
      <c r="O6358" s="131"/>
      <c r="P6358" s="143"/>
      <c r="Q6358" s="66"/>
      <c r="R6358" s="131"/>
      <c r="S6358" s="144"/>
      <c r="T6358" s="131"/>
      <c r="U6358" s="131"/>
      <c r="V6358" s="131"/>
      <c r="W6358" s="131"/>
      <c r="X6358" s="145"/>
      <c r="Y6358" s="146"/>
      <c r="Z6358" s="147"/>
      <c r="AA6358" s="147"/>
      <c r="AB6358" s="110"/>
      <c r="AC6358" s="132"/>
      <c r="AD6358" s="148"/>
      <c r="AE6358" s="148"/>
    </row>
    <row r="6359" customFormat="false" ht="15" hidden="false" customHeight="true" outlineLevel="0" collapsed="false">
      <c r="A6359" s="141"/>
      <c r="B6359" s="131"/>
      <c r="C6359" s="132"/>
      <c r="D6359" s="131"/>
      <c r="E6359" s="110"/>
      <c r="F6359" s="110"/>
      <c r="G6359" s="110"/>
      <c r="H6359" s="131"/>
      <c r="I6359" s="131"/>
      <c r="J6359" s="142"/>
      <c r="K6359" s="142"/>
      <c r="L6359" s="140"/>
      <c r="M6359" s="131"/>
      <c r="N6359" s="131"/>
      <c r="O6359" s="131"/>
      <c r="P6359" s="143"/>
      <c r="Q6359" s="66"/>
      <c r="R6359" s="131"/>
      <c r="S6359" s="144"/>
      <c r="T6359" s="131"/>
      <c r="U6359" s="131"/>
      <c r="V6359" s="131"/>
      <c r="W6359" s="131"/>
      <c r="X6359" s="145"/>
      <c r="Y6359" s="146"/>
      <c r="Z6359" s="147"/>
      <c r="AA6359" s="147"/>
      <c r="AB6359" s="110"/>
      <c r="AC6359" s="132"/>
      <c r="AD6359" s="148"/>
      <c r="AE6359" s="148"/>
    </row>
    <row r="6360" customFormat="false" ht="15" hidden="false" customHeight="true" outlineLevel="0" collapsed="false">
      <c r="A6360" s="141"/>
      <c r="B6360" s="131"/>
      <c r="C6360" s="132"/>
      <c r="D6360" s="131"/>
      <c r="E6360" s="110"/>
      <c r="F6360" s="110"/>
      <c r="G6360" s="110"/>
      <c r="H6360" s="131"/>
      <c r="I6360" s="131"/>
      <c r="J6360" s="142"/>
      <c r="K6360" s="142"/>
      <c r="L6360" s="140"/>
      <c r="M6360" s="131"/>
      <c r="N6360" s="131"/>
      <c r="O6360" s="131"/>
      <c r="P6360" s="143"/>
      <c r="Q6360" s="66"/>
      <c r="R6360" s="131"/>
      <c r="S6360" s="144"/>
      <c r="T6360" s="131"/>
      <c r="U6360" s="131"/>
      <c r="V6360" s="131"/>
      <c r="W6360" s="131"/>
      <c r="X6360" s="145"/>
      <c r="Y6360" s="146"/>
      <c r="Z6360" s="147"/>
      <c r="AA6360" s="147"/>
      <c r="AB6360" s="110"/>
      <c r="AC6360" s="132"/>
      <c r="AD6360" s="148"/>
      <c r="AE6360" s="148"/>
    </row>
    <row r="6361" customFormat="false" ht="15" hidden="false" customHeight="true" outlineLevel="0" collapsed="false">
      <c r="A6361" s="141"/>
      <c r="B6361" s="131"/>
      <c r="C6361" s="132"/>
      <c r="D6361" s="131"/>
      <c r="E6361" s="110"/>
      <c r="F6361" s="110"/>
      <c r="G6361" s="110"/>
      <c r="H6361" s="131"/>
      <c r="I6361" s="131"/>
      <c r="J6361" s="142"/>
      <c r="K6361" s="142"/>
      <c r="L6361" s="140"/>
      <c r="M6361" s="131"/>
      <c r="N6361" s="131"/>
      <c r="O6361" s="131"/>
      <c r="P6361" s="143"/>
      <c r="Q6361" s="66"/>
      <c r="R6361" s="131"/>
      <c r="S6361" s="144"/>
      <c r="T6361" s="131"/>
      <c r="U6361" s="131"/>
      <c r="V6361" s="131"/>
      <c r="W6361" s="131"/>
      <c r="X6361" s="145"/>
      <c r="Y6361" s="146"/>
      <c r="Z6361" s="147"/>
      <c r="AA6361" s="147"/>
      <c r="AB6361" s="110"/>
      <c r="AC6361" s="132"/>
      <c r="AD6361" s="148"/>
      <c r="AE6361" s="148"/>
    </row>
    <row r="6362" customFormat="false" ht="15" hidden="false" customHeight="true" outlineLevel="0" collapsed="false">
      <c r="A6362" s="141"/>
      <c r="B6362" s="131"/>
      <c r="C6362" s="132"/>
      <c r="D6362" s="131"/>
      <c r="E6362" s="110"/>
      <c r="F6362" s="110"/>
      <c r="G6362" s="110"/>
      <c r="H6362" s="131"/>
      <c r="I6362" s="131"/>
      <c r="J6362" s="142"/>
      <c r="K6362" s="142"/>
      <c r="L6362" s="140"/>
      <c r="M6362" s="131"/>
      <c r="N6362" s="131"/>
      <c r="O6362" s="131"/>
      <c r="P6362" s="143"/>
      <c r="Q6362" s="66"/>
      <c r="R6362" s="131"/>
      <c r="S6362" s="144"/>
      <c r="T6362" s="131"/>
      <c r="U6362" s="131"/>
      <c r="V6362" s="131"/>
      <c r="W6362" s="131"/>
      <c r="X6362" s="145"/>
      <c r="Y6362" s="146"/>
      <c r="Z6362" s="147"/>
      <c r="AA6362" s="147"/>
      <c r="AB6362" s="110"/>
      <c r="AC6362" s="132"/>
      <c r="AD6362" s="148"/>
      <c r="AE6362" s="148"/>
    </row>
    <row r="6363" customFormat="false" ht="15" hidden="false" customHeight="true" outlineLevel="0" collapsed="false">
      <c r="A6363" s="141"/>
      <c r="B6363" s="131"/>
      <c r="C6363" s="132"/>
      <c r="D6363" s="131"/>
      <c r="E6363" s="110"/>
      <c r="F6363" s="110"/>
      <c r="G6363" s="110"/>
      <c r="H6363" s="131"/>
      <c r="I6363" s="131"/>
      <c r="J6363" s="142"/>
      <c r="K6363" s="142"/>
      <c r="L6363" s="140"/>
      <c r="M6363" s="131"/>
      <c r="N6363" s="131"/>
      <c r="O6363" s="131"/>
      <c r="P6363" s="143"/>
      <c r="Q6363" s="66"/>
      <c r="R6363" s="131"/>
      <c r="S6363" s="144"/>
      <c r="T6363" s="131"/>
      <c r="U6363" s="131"/>
      <c r="V6363" s="131"/>
      <c r="W6363" s="131"/>
      <c r="X6363" s="145"/>
      <c r="Y6363" s="146"/>
      <c r="Z6363" s="147"/>
      <c r="AA6363" s="147"/>
      <c r="AB6363" s="110"/>
      <c r="AC6363" s="132"/>
      <c r="AD6363" s="148"/>
      <c r="AE6363" s="148"/>
    </row>
    <row r="6364" customFormat="false" ht="15" hidden="false" customHeight="true" outlineLevel="0" collapsed="false">
      <c r="A6364" s="141"/>
      <c r="B6364" s="131"/>
      <c r="C6364" s="132"/>
      <c r="D6364" s="131"/>
      <c r="E6364" s="110"/>
      <c r="F6364" s="110"/>
      <c r="G6364" s="110"/>
      <c r="H6364" s="131"/>
      <c r="I6364" s="131"/>
      <c r="J6364" s="142"/>
      <c r="K6364" s="142"/>
      <c r="L6364" s="140"/>
      <c r="M6364" s="131"/>
      <c r="N6364" s="131"/>
      <c r="O6364" s="131"/>
      <c r="P6364" s="143"/>
      <c r="Q6364" s="66"/>
      <c r="R6364" s="131"/>
      <c r="S6364" s="144"/>
      <c r="T6364" s="131"/>
      <c r="U6364" s="131"/>
      <c r="V6364" s="131"/>
      <c r="W6364" s="131"/>
      <c r="X6364" s="145"/>
      <c r="Y6364" s="146"/>
      <c r="Z6364" s="147"/>
      <c r="AA6364" s="147"/>
      <c r="AB6364" s="110"/>
      <c r="AC6364" s="132"/>
      <c r="AD6364" s="148"/>
      <c r="AE6364" s="148"/>
    </row>
    <row r="6365" customFormat="false" ht="15" hidden="false" customHeight="true" outlineLevel="0" collapsed="false">
      <c r="A6365" s="141"/>
      <c r="B6365" s="131"/>
      <c r="C6365" s="132"/>
      <c r="D6365" s="131"/>
      <c r="E6365" s="110"/>
      <c r="F6365" s="110"/>
      <c r="G6365" s="110"/>
      <c r="H6365" s="131"/>
      <c r="I6365" s="131"/>
      <c r="J6365" s="142"/>
      <c r="K6365" s="142"/>
      <c r="L6365" s="140"/>
      <c r="M6365" s="131"/>
      <c r="N6365" s="131"/>
      <c r="O6365" s="131"/>
      <c r="P6365" s="143"/>
      <c r="Q6365" s="66"/>
      <c r="R6365" s="131"/>
      <c r="S6365" s="144"/>
      <c r="T6365" s="131"/>
      <c r="U6365" s="131"/>
      <c r="V6365" s="131"/>
      <c r="W6365" s="131"/>
      <c r="X6365" s="145"/>
      <c r="Y6365" s="146"/>
      <c r="Z6365" s="147"/>
      <c r="AA6365" s="147"/>
      <c r="AB6365" s="110"/>
      <c r="AC6365" s="132"/>
      <c r="AD6365" s="148"/>
      <c r="AE6365" s="148"/>
    </row>
    <row r="6366" customFormat="false" ht="15" hidden="false" customHeight="true" outlineLevel="0" collapsed="false">
      <c r="A6366" s="141"/>
      <c r="B6366" s="131"/>
      <c r="C6366" s="132"/>
      <c r="D6366" s="131"/>
      <c r="E6366" s="110"/>
      <c r="F6366" s="110"/>
      <c r="G6366" s="110"/>
      <c r="H6366" s="131"/>
      <c r="I6366" s="131"/>
      <c r="J6366" s="142"/>
      <c r="K6366" s="142"/>
      <c r="L6366" s="140"/>
      <c r="M6366" s="131"/>
      <c r="N6366" s="131"/>
      <c r="O6366" s="131"/>
      <c r="P6366" s="143"/>
      <c r="Q6366" s="66"/>
      <c r="R6366" s="131"/>
      <c r="S6366" s="144"/>
      <c r="T6366" s="131"/>
      <c r="U6366" s="131"/>
      <c r="V6366" s="131"/>
      <c r="W6366" s="131"/>
      <c r="X6366" s="145"/>
      <c r="Y6366" s="146"/>
      <c r="Z6366" s="147"/>
      <c r="AA6366" s="147"/>
      <c r="AB6366" s="110"/>
      <c r="AC6366" s="132"/>
      <c r="AD6366" s="148"/>
      <c r="AE6366" s="148"/>
    </row>
    <row r="6367" customFormat="false" ht="15" hidden="false" customHeight="true" outlineLevel="0" collapsed="false">
      <c r="A6367" s="141"/>
      <c r="B6367" s="131"/>
      <c r="C6367" s="132"/>
      <c r="D6367" s="131"/>
      <c r="E6367" s="110"/>
      <c r="F6367" s="110"/>
      <c r="G6367" s="110"/>
      <c r="H6367" s="131"/>
      <c r="I6367" s="131"/>
      <c r="J6367" s="142"/>
      <c r="K6367" s="142"/>
      <c r="L6367" s="140"/>
      <c r="M6367" s="131"/>
      <c r="N6367" s="131"/>
      <c r="O6367" s="131"/>
      <c r="P6367" s="143"/>
      <c r="Q6367" s="66"/>
      <c r="R6367" s="131"/>
      <c r="S6367" s="144"/>
      <c r="T6367" s="131"/>
      <c r="U6367" s="131"/>
      <c r="V6367" s="131"/>
      <c r="W6367" s="131"/>
      <c r="X6367" s="145"/>
      <c r="Y6367" s="146"/>
      <c r="Z6367" s="147"/>
      <c r="AA6367" s="147"/>
      <c r="AB6367" s="110"/>
      <c r="AC6367" s="132"/>
      <c r="AD6367" s="148"/>
      <c r="AE6367" s="148"/>
    </row>
    <row r="6368" customFormat="false" ht="15" hidden="false" customHeight="true" outlineLevel="0" collapsed="false">
      <c r="A6368" s="141"/>
      <c r="B6368" s="131"/>
      <c r="C6368" s="132"/>
      <c r="D6368" s="131"/>
      <c r="E6368" s="110"/>
      <c r="F6368" s="110"/>
      <c r="G6368" s="110"/>
      <c r="H6368" s="131"/>
      <c r="I6368" s="131"/>
      <c r="J6368" s="142"/>
      <c r="K6368" s="142"/>
      <c r="L6368" s="140"/>
      <c r="M6368" s="131"/>
      <c r="N6368" s="131"/>
      <c r="O6368" s="131"/>
      <c r="P6368" s="143"/>
      <c r="Q6368" s="66"/>
      <c r="R6368" s="131"/>
      <c r="S6368" s="144"/>
      <c r="T6368" s="131"/>
      <c r="U6368" s="131"/>
      <c r="V6368" s="131"/>
      <c r="W6368" s="131"/>
      <c r="X6368" s="145"/>
      <c r="Y6368" s="146"/>
      <c r="Z6368" s="147"/>
      <c r="AA6368" s="147"/>
      <c r="AB6368" s="110"/>
      <c r="AC6368" s="132"/>
      <c r="AD6368" s="148"/>
      <c r="AE6368" s="148"/>
    </row>
    <row r="6369" customFormat="false" ht="15" hidden="false" customHeight="true" outlineLevel="0" collapsed="false">
      <c r="A6369" s="141"/>
      <c r="B6369" s="131"/>
      <c r="C6369" s="132"/>
      <c r="D6369" s="131"/>
      <c r="E6369" s="110"/>
      <c r="F6369" s="110"/>
      <c r="G6369" s="110"/>
      <c r="H6369" s="131"/>
      <c r="I6369" s="131"/>
      <c r="J6369" s="142"/>
      <c r="K6369" s="142"/>
      <c r="L6369" s="140"/>
      <c r="M6369" s="131"/>
      <c r="N6369" s="131"/>
      <c r="O6369" s="131"/>
      <c r="P6369" s="143"/>
      <c r="Q6369" s="66"/>
      <c r="R6369" s="131"/>
      <c r="S6369" s="144"/>
      <c r="T6369" s="131"/>
      <c r="U6369" s="131"/>
      <c r="V6369" s="131"/>
      <c r="W6369" s="131"/>
      <c r="X6369" s="145"/>
      <c r="Y6369" s="146"/>
      <c r="Z6369" s="147"/>
      <c r="AA6369" s="147"/>
      <c r="AB6369" s="110"/>
      <c r="AC6369" s="132"/>
      <c r="AD6369" s="148"/>
      <c r="AE6369" s="148"/>
    </row>
    <row r="6370" customFormat="false" ht="15" hidden="false" customHeight="true" outlineLevel="0" collapsed="false">
      <c r="A6370" s="141"/>
      <c r="B6370" s="131"/>
      <c r="C6370" s="132"/>
      <c r="D6370" s="131"/>
      <c r="E6370" s="110"/>
      <c r="F6370" s="110"/>
      <c r="G6370" s="110"/>
      <c r="H6370" s="131"/>
      <c r="I6370" s="131"/>
      <c r="J6370" s="142"/>
      <c r="K6370" s="142"/>
      <c r="L6370" s="140"/>
      <c r="M6370" s="131"/>
      <c r="N6370" s="131"/>
      <c r="O6370" s="131"/>
      <c r="P6370" s="143"/>
      <c r="Q6370" s="66"/>
      <c r="R6370" s="131"/>
      <c r="S6370" s="144"/>
      <c r="T6370" s="131"/>
      <c r="U6370" s="131"/>
      <c r="V6370" s="131"/>
      <c r="W6370" s="131"/>
      <c r="X6370" s="145"/>
      <c r="Y6370" s="146"/>
      <c r="Z6370" s="147"/>
      <c r="AA6370" s="147"/>
      <c r="AB6370" s="110"/>
      <c r="AC6370" s="132"/>
      <c r="AD6370" s="148"/>
      <c r="AE6370" s="148"/>
    </row>
    <row r="6371" customFormat="false" ht="15" hidden="false" customHeight="true" outlineLevel="0" collapsed="false">
      <c r="A6371" s="141"/>
      <c r="B6371" s="131"/>
      <c r="C6371" s="132"/>
      <c r="D6371" s="131"/>
      <c r="E6371" s="110"/>
      <c r="F6371" s="110"/>
      <c r="G6371" s="110"/>
      <c r="H6371" s="131"/>
      <c r="I6371" s="131"/>
      <c r="J6371" s="142"/>
      <c r="K6371" s="142"/>
      <c r="L6371" s="140"/>
      <c r="M6371" s="131"/>
      <c r="N6371" s="131"/>
      <c r="O6371" s="131"/>
      <c r="P6371" s="143"/>
      <c r="Q6371" s="66"/>
      <c r="R6371" s="131"/>
      <c r="S6371" s="144"/>
      <c r="T6371" s="131"/>
      <c r="U6371" s="131"/>
      <c r="V6371" s="131"/>
      <c r="W6371" s="131"/>
      <c r="X6371" s="145"/>
      <c r="Y6371" s="146"/>
      <c r="Z6371" s="147"/>
      <c r="AA6371" s="147"/>
      <c r="AB6371" s="110"/>
      <c r="AC6371" s="132"/>
      <c r="AD6371" s="148"/>
      <c r="AE6371" s="148"/>
    </row>
    <row r="6372" customFormat="false" ht="15" hidden="false" customHeight="true" outlineLevel="0" collapsed="false">
      <c r="A6372" s="141"/>
      <c r="B6372" s="131"/>
      <c r="C6372" s="132"/>
      <c r="D6372" s="131"/>
      <c r="E6372" s="110"/>
      <c r="F6372" s="110"/>
      <c r="G6372" s="110"/>
      <c r="H6372" s="131"/>
      <c r="I6372" s="131"/>
      <c r="J6372" s="142"/>
      <c r="K6372" s="142"/>
      <c r="L6372" s="140"/>
      <c r="M6372" s="131"/>
      <c r="N6372" s="131"/>
      <c r="O6372" s="131"/>
      <c r="P6372" s="143"/>
      <c r="Q6372" s="66"/>
      <c r="R6372" s="131"/>
      <c r="S6372" s="144"/>
      <c r="T6372" s="131"/>
      <c r="U6372" s="131"/>
      <c r="V6372" s="131"/>
      <c r="W6372" s="131"/>
      <c r="X6372" s="145"/>
      <c r="Y6372" s="146"/>
      <c r="Z6372" s="147"/>
      <c r="AA6372" s="147"/>
      <c r="AB6372" s="110"/>
      <c r="AC6372" s="132"/>
      <c r="AD6372" s="148"/>
      <c r="AE6372" s="148"/>
    </row>
    <row r="6373" customFormat="false" ht="15" hidden="false" customHeight="true" outlineLevel="0" collapsed="false">
      <c r="A6373" s="141"/>
      <c r="B6373" s="131"/>
      <c r="C6373" s="132"/>
      <c r="D6373" s="131"/>
      <c r="E6373" s="110"/>
      <c r="F6373" s="110"/>
      <c r="G6373" s="110"/>
      <c r="H6373" s="131"/>
      <c r="I6373" s="131"/>
      <c r="J6373" s="142"/>
      <c r="K6373" s="142"/>
      <c r="L6373" s="140"/>
      <c r="M6373" s="131"/>
      <c r="N6373" s="131"/>
      <c r="O6373" s="131"/>
      <c r="P6373" s="143"/>
      <c r="Q6373" s="66"/>
      <c r="R6373" s="131"/>
      <c r="S6373" s="144"/>
      <c r="T6373" s="131"/>
      <c r="U6373" s="131"/>
      <c r="V6373" s="131"/>
      <c r="W6373" s="131"/>
      <c r="X6373" s="145"/>
      <c r="Y6373" s="146"/>
      <c r="Z6373" s="147"/>
      <c r="AA6373" s="147"/>
      <c r="AB6373" s="110"/>
      <c r="AC6373" s="132"/>
      <c r="AD6373" s="148"/>
      <c r="AE6373" s="148"/>
    </row>
    <row r="6374" customFormat="false" ht="15" hidden="false" customHeight="true" outlineLevel="0" collapsed="false">
      <c r="A6374" s="141"/>
      <c r="B6374" s="131"/>
      <c r="C6374" s="132"/>
      <c r="D6374" s="131"/>
      <c r="E6374" s="110"/>
      <c r="F6374" s="110"/>
      <c r="G6374" s="110"/>
      <c r="H6374" s="131"/>
      <c r="I6374" s="131"/>
      <c r="J6374" s="142"/>
      <c r="K6374" s="142"/>
      <c r="L6374" s="140"/>
      <c r="M6374" s="131"/>
      <c r="N6374" s="131"/>
      <c r="O6374" s="131"/>
      <c r="P6374" s="143"/>
      <c r="Q6374" s="66"/>
      <c r="R6374" s="131"/>
      <c r="S6374" s="144"/>
      <c r="T6374" s="131"/>
      <c r="U6374" s="131"/>
      <c r="V6374" s="131"/>
      <c r="W6374" s="131"/>
      <c r="X6374" s="145"/>
      <c r="Y6374" s="146"/>
      <c r="Z6374" s="147"/>
      <c r="AA6374" s="147"/>
      <c r="AB6374" s="110"/>
      <c r="AC6374" s="132"/>
      <c r="AD6374" s="148"/>
      <c r="AE6374" s="148"/>
    </row>
    <row r="6375" customFormat="false" ht="15" hidden="false" customHeight="true" outlineLevel="0" collapsed="false">
      <c r="A6375" s="141"/>
      <c r="B6375" s="131"/>
      <c r="C6375" s="132"/>
      <c r="D6375" s="131"/>
      <c r="E6375" s="110"/>
      <c r="F6375" s="110"/>
      <c r="G6375" s="110"/>
      <c r="H6375" s="131"/>
      <c r="I6375" s="131"/>
      <c r="J6375" s="142"/>
      <c r="K6375" s="142"/>
      <c r="L6375" s="140"/>
      <c r="M6375" s="131"/>
      <c r="N6375" s="131"/>
      <c r="O6375" s="131"/>
      <c r="P6375" s="143"/>
      <c r="Q6375" s="66"/>
      <c r="R6375" s="131"/>
      <c r="S6375" s="144"/>
      <c r="T6375" s="131"/>
      <c r="U6375" s="131"/>
      <c r="V6375" s="131"/>
      <c r="W6375" s="131"/>
      <c r="X6375" s="145"/>
      <c r="Y6375" s="146"/>
      <c r="Z6375" s="147"/>
      <c r="AA6375" s="147"/>
      <c r="AB6375" s="110"/>
      <c r="AC6375" s="132"/>
      <c r="AD6375" s="148"/>
      <c r="AE6375" s="148"/>
    </row>
    <row r="6376" customFormat="false" ht="15" hidden="false" customHeight="true" outlineLevel="0" collapsed="false">
      <c r="A6376" s="141"/>
      <c r="B6376" s="131"/>
      <c r="C6376" s="132"/>
      <c r="D6376" s="131"/>
      <c r="E6376" s="110"/>
      <c r="F6376" s="110"/>
      <c r="G6376" s="110"/>
      <c r="H6376" s="131"/>
      <c r="I6376" s="131"/>
      <c r="J6376" s="142"/>
      <c r="K6376" s="142"/>
      <c r="L6376" s="140"/>
      <c r="M6376" s="131"/>
      <c r="N6376" s="131"/>
      <c r="O6376" s="131"/>
      <c r="P6376" s="143"/>
      <c r="Q6376" s="66"/>
      <c r="R6376" s="131"/>
      <c r="S6376" s="144"/>
      <c r="T6376" s="131"/>
      <c r="U6376" s="131"/>
      <c r="V6376" s="131"/>
      <c r="W6376" s="131"/>
      <c r="X6376" s="145"/>
      <c r="Y6376" s="146"/>
      <c r="Z6376" s="147"/>
      <c r="AA6376" s="147"/>
      <c r="AB6376" s="110"/>
      <c r="AC6376" s="132"/>
      <c r="AD6376" s="148"/>
      <c r="AE6376" s="148"/>
    </row>
    <row r="6377" customFormat="false" ht="15" hidden="false" customHeight="true" outlineLevel="0" collapsed="false">
      <c r="A6377" s="141"/>
      <c r="B6377" s="131"/>
      <c r="C6377" s="132"/>
      <c r="D6377" s="131"/>
      <c r="E6377" s="110"/>
      <c r="F6377" s="110"/>
      <c r="G6377" s="110"/>
      <c r="H6377" s="131"/>
      <c r="I6377" s="131"/>
      <c r="J6377" s="142"/>
      <c r="K6377" s="142"/>
      <c r="L6377" s="140"/>
      <c r="M6377" s="131"/>
      <c r="N6377" s="131"/>
      <c r="O6377" s="131"/>
      <c r="P6377" s="143"/>
      <c r="Q6377" s="66"/>
      <c r="R6377" s="131"/>
      <c r="S6377" s="144"/>
      <c r="T6377" s="131"/>
      <c r="U6377" s="131"/>
      <c r="V6377" s="131"/>
      <c r="W6377" s="131"/>
      <c r="X6377" s="145"/>
      <c r="Y6377" s="146"/>
      <c r="Z6377" s="147"/>
      <c r="AA6377" s="147"/>
      <c r="AB6377" s="110"/>
      <c r="AC6377" s="132"/>
      <c r="AD6377" s="148"/>
      <c r="AE6377" s="148"/>
    </row>
    <row r="6378" customFormat="false" ht="15" hidden="false" customHeight="true" outlineLevel="0" collapsed="false">
      <c r="A6378" s="141"/>
      <c r="B6378" s="131"/>
      <c r="C6378" s="132"/>
      <c r="D6378" s="131"/>
      <c r="E6378" s="110"/>
      <c r="F6378" s="110"/>
      <c r="G6378" s="110"/>
      <c r="H6378" s="131"/>
      <c r="I6378" s="131"/>
      <c r="J6378" s="142"/>
      <c r="K6378" s="142"/>
      <c r="L6378" s="140"/>
      <c r="M6378" s="131"/>
      <c r="N6378" s="131"/>
      <c r="O6378" s="131"/>
      <c r="P6378" s="143"/>
      <c r="Q6378" s="66"/>
      <c r="R6378" s="131"/>
      <c r="S6378" s="144"/>
      <c r="T6378" s="131"/>
      <c r="U6378" s="131"/>
      <c r="V6378" s="131"/>
      <c r="W6378" s="131"/>
      <c r="X6378" s="145"/>
      <c r="Y6378" s="146"/>
      <c r="Z6378" s="147"/>
      <c r="AA6378" s="147"/>
      <c r="AB6378" s="110"/>
      <c r="AC6378" s="132"/>
      <c r="AD6378" s="148"/>
      <c r="AE6378" s="148"/>
    </row>
    <row r="6379" customFormat="false" ht="15" hidden="false" customHeight="true" outlineLevel="0" collapsed="false">
      <c r="A6379" s="141"/>
      <c r="B6379" s="131"/>
      <c r="C6379" s="132"/>
      <c r="D6379" s="131"/>
      <c r="E6379" s="110"/>
      <c r="F6379" s="110"/>
      <c r="G6379" s="110"/>
      <c r="H6379" s="131"/>
      <c r="I6379" s="131"/>
      <c r="J6379" s="142"/>
      <c r="K6379" s="142"/>
      <c r="L6379" s="140"/>
      <c r="M6379" s="131"/>
      <c r="N6379" s="131"/>
      <c r="O6379" s="131"/>
      <c r="P6379" s="143"/>
      <c r="Q6379" s="66"/>
      <c r="R6379" s="131"/>
      <c r="S6379" s="144"/>
      <c r="T6379" s="131"/>
      <c r="U6379" s="131"/>
      <c r="V6379" s="131"/>
      <c r="W6379" s="131"/>
      <c r="X6379" s="145"/>
      <c r="Y6379" s="146"/>
      <c r="Z6379" s="147"/>
      <c r="AA6379" s="147"/>
      <c r="AB6379" s="110"/>
      <c r="AC6379" s="132"/>
      <c r="AD6379" s="148"/>
      <c r="AE6379" s="148"/>
    </row>
    <row r="6380" customFormat="false" ht="15" hidden="false" customHeight="true" outlineLevel="0" collapsed="false">
      <c r="A6380" s="141"/>
      <c r="B6380" s="131"/>
      <c r="C6380" s="132"/>
      <c r="D6380" s="131"/>
      <c r="E6380" s="110"/>
      <c r="F6380" s="110"/>
      <c r="G6380" s="110"/>
      <c r="H6380" s="131"/>
      <c r="I6380" s="131"/>
      <c r="J6380" s="142"/>
      <c r="K6380" s="142"/>
      <c r="L6380" s="140"/>
      <c r="M6380" s="131"/>
      <c r="N6380" s="131"/>
      <c r="O6380" s="131"/>
      <c r="P6380" s="143"/>
      <c r="Q6380" s="66"/>
      <c r="R6380" s="131"/>
      <c r="S6380" s="144"/>
      <c r="T6380" s="131"/>
      <c r="U6380" s="131"/>
      <c r="V6380" s="131"/>
      <c r="W6380" s="131"/>
      <c r="X6380" s="145"/>
      <c r="Y6380" s="146"/>
      <c r="Z6380" s="147"/>
      <c r="AA6380" s="147"/>
      <c r="AB6380" s="110"/>
      <c r="AC6380" s="132"/>
      <c r="AD6380" s="148"/>
      <c r="AE6380" s="148"/>
    </row>
    <row r="6381" customFormat="false" ht="15" hidden="false" customHeight="true" outlineLevel="0" collapsed="false">
      <c r="A6381" s="141"/>
      <c r="B6381" s="131"/>
      <c r="C6381" s="132"/>
      <c r="D6381" s="131"/>
      <c r="E6381" s="110"/>
      <c r="F6381" s="110"/>
      <c r="G6381" s="110"/>
      <c r="H6381" s="131"/>
      <c r="I6381" s="131"/>
      <c r="J6381" s="142"/>
      <c r="K6381" s="142"/>
      <c r="L6381" s="140"/>
      <c r="M6381" s="131"/>
      <c r="N6381" s="131"/>
      <c r="O6381" s="131"/>
      <c r="P6381" s="143"/>
      <c r="Q6381" s="66"/>
      <c r="R6381" s="131"/>
      <c r="S6381" s="144"/>
      <c r="T6381" s="131"/>
      <c r="U6381" s="131"/>
      <c r="V6381" s="131"/>
      <c r="W6381" s="131"/>
      <c r="X6381" s="145"/>
      <c r="Y6381" s="146"/>
      <c r="Z6381" s="147"/>
      <c r="AA6381" s="147"/>
      <c r="AB6381" s="110"/>
      <c r="AC6381" s="132"/>
      <c r="AD6381" s="148"/>
      <c r="AE6381" s="148"/>
    </row>
    <row r="6382" customFormat="false" ht="15" hidden="false" customHeight="true" outlineLevel="0" collapsed="false">
      <c r="A6382" s="141"/>
      <c r="B6382" s="131"/>
      <c r="C6382" s="132"/>
      <c r="D6382" s="131"/>
      <c r="E6382" s="110"/>
      <c r="F6382" s="110"/>
      <c r="G6382" s="110"/>
      <c r="H6382" s="131"/>
      <c r="I6382" s="131"/>
      <c r="J6382" s="142"/>
      <c r="K6382" s="142"/>
      <c r="L6382" s="140"/>
      <c r="M6382" s="131"/>
      <c r="N6382" s="131"/>
      <c r="O6382" s="131"/>
      <c r="P6382" s="143"/>
      <c r="Q6382" s="66"/>
      <c r="R6382" s="131"/>
      <c r="S6382" s="144"/>
      <c r="T6382" s="131"/>
      <c r="U6382" s="131"/>
      <c r="V6382" s="131"/>
      <c r="W6382" s="131"/>
      <c r="X6382" s="145"/>
      <c r="Y6382" s="146"/>
      <c r="Z6382" s="147"/>
      <c r="AA6382" s="147"/>
      <c r="AB6382" s="110"/>
      <c r="AC6382" s="132"/>
      <c r="AD6382" s="148"/>
      <c r="AE6382" s="148"/>
    </row>
    <row r="6383" customFormat="false" ht="15" hidden="false" customHeight="true" outlineLevel="0" collapsed="false">
      <c r="A6383" s="141"/>
      <c r="B6383" s="131"/>
      <c r="C6383" s="132"/>
      <c r="D6383" s="131"/>
      <c r="E6383" s="110"/>
      <c r="F6383" s="110"/>
      <c r="G6383" s="110"/>
      <c r="H6383" s="131"/>
      <c r="I6383" s="131"/>
      <c r="J6383" s="142"/>
      <c r="K6383" s="142"/>
      <c r="L6383" s="140"/>
      <c r="M6383" s="131"/>
      <c r="N6383" s="131"/>
      <c r="O6383" s="131"/>
      <c r="P6383" s="143"/>
      <c r="Q6383" s="66"/>
      <c r="R6383" s="131"/>
      <c r="S6383" s="144"/>
      <c r="T6383" s="131"/>
      <c r="U6383" s="131"/>
      <c r="V6383" s="131"/>
      <c r="W6383" s="131"/>
      <c r="X6383" s="145"/>
      <c r="Y6383" s="146"/>
      <c r="Z6383" s="147"/>
      <c r="AA6383" s="147"/>
      <c r="AB6383" s="110"/>
      <c r="AC6383" s="132"/>
      <c r="AD6383" s="148"/>
      <c r="AE6383" s="148"/>
    </row>
    <row r="6384" customFormat="false" ht="15" hidden="false" customHeight="true" outlineLevel="0" collapsed="false">
      <c r="A6384" s="141"/>
      <c r="B6384" s="131"/>
      <c r="C6384" s="132"/>
      <c r="D6384" s="131"/>
      <c r="E6384" s="110"/>
      <c r="F6384" s="110"/>
      <c r="G6384" s="110"/>
      <c r="H6384" s="131"/>
      <c r="I6384" s="131"/>
      <c r="J6384" s="142"/>
      <c r="K6384" s="142"/>
      <c r="L6384" s="140"/>
      <c r="M6384" s="131"/>
      <c r="N6384" s="131"/>
      <c r="O6384" s="131"/>
      <c r="P6384" s="143"/>
      <c r="Q6384" s="66"/>
      <c r="R6384" s="131"/>
      <c r="S6384" s="144"/>
      <c r="T6384" s="131"/>
      <c r="U6384" s="131"/>
      <c r="V6384" s="131"/>
      <c r="W6384" s="131"/>
      <c r="X6384" s="145"/>
      <c r="Y6384" s="146"/>
      <c r="Z6384" s="147"/>
      <c r="AA6384" s="147"/>
      <c r="AB6384" s="110"/>
      <c r="AC6384" s="132"/>
      <c r="AD6384" s="148"/>
      <c r="AE6384" s="148"/>
    </row>
    <row r="6385" customFormat="false" ht="15" hidden="false" customHeight="true" outlineLevel="0" collapsed="false">
      <c r="A6385" s="141"/>
      <c r="B6385" s="131"/>
      <c r="C6385" s="132"/>
      <c r="D6385" s="131"/>
      <c r="E6385" s="110"/>
      <c r="F6385" s="110"/>
      <c r="G6385" s="110"/>
      <c r="H6385" s="131"/>
      <c r="I6385" s="131"/>
      <c r="J6385" s="142"/>
      <c r="K6385" s="142"/>
      <c r="L6385" s="140"/>
      <c r="M6385" s="131"/>
      <c r="N6385" s="131"/>
      <c r="O6385" s="131"/>
      <c r="P6385" s="143"/>
      <c r="Q6385" s="66"/>
      <c r="R6385" s="131"/>
      <c r="S6385" s="144"/>
      <c r="T6385" s="131"/>
      <c r="U6385" s="131"/>
      <c r="V6385" s="131"/>
      <c r="W6385" s="131"/>
      <c r="X6385" s="145"/>
      <c r="Y6385" s="146"/>
      <c r="Z6385" s="147"/>
      <c r="AA6385" s="147"/>
      <c r="AB6385" s="110"/>
      <c r="AC6385" s="132"/>
      <c r="AD6385" s="148"/>
      <c r="AE6385" s="148"/>
    </row>
    <row r="6386" customFormat="false" ht="15" hidden="false" customHeight="true" outlineLevel="0" collapsed="false">
      <c r="A6386" s="141"/>
      <c r="B6386" s="131"/>
      <c r="C6386" s="132"/>
      <c r="D6386" s="131"/>
      <c r="E6386" s="110"/>
      <c r="F6386" s="110"/>
      <c r="G6386" s="110"/>
      <c r="H6386" s="131"/>
      <c r="I6386" s="131"/>
      <c r="J6386" s="142"/>
      <c r="K6386" s="142"/>
      <c r="L6386" s="140"/>
      <c r="M6386" s="131"/>
      <c r="N6386" s="131"/>
      <c r="O6386" s="131"/>
      <c r="P6386" s="143"/>
      <c r="Q6386" s="66"/>
      <c r="R6386" s="131"/>
      <c r="S6386" s="144"/>
      <c r="T6386" s="131"/>
      <c r="U6386" s="131"/>
      <c r="V6386" s="131"/>
      <c r="W6386" s="131"/>
      <c r="X6386" s="145"/>
      <c r="Y6386" s="146"/>
      <c r="Z6386" s="147"/>
      <c r="AA6386" s="147"/>
      <c r="AB6386" s="110"/>
      <c r="AC6386" s="132"/>
      <c r="AD6386" s="148"/>
      <c r="AE6386" s="148"/>
    </row>
    <row r="6387" customFormat="false" ht="15" hidden="false" customHeight="true" outlineLevel="0" collapsed="false">
      <c r="A6387" s="141"/>
      <c r="B6387" s="131"/>
      <c r="C6387" s="132"/>
      <c r="D6387" s="131"/>
      <c r="E6387" s="110"/>
      <c r="F6387" s="110"/>
      <c r="G6387" s="110"/>
      <c r="H6387" s="131"/>
      <c r="I6387" s="131"/>
      <c r="J6387" s="142"/>
      <c r="K6387" s="142"/>
      <c r="L6387" s="140"/>
      <c r="M6387" s="131"/>
      <c r="N6387" s="131"/>
      <c r="O6387" s="131"/>
      <c r="P6387" s="143"/>
      <c r="Q6387" s="66"/>
      <c r="R6387" s="131"/>
      <c r="S6387" s="144"/>
      <c r="T6387" s="131"/>
      <c r="U6387" s="131"/>
      <c r="V6387" s="131"/>
      <c r="W6387" s="131"/>
      <c r="X6387" s="145"/>
      <c r="Y6387" s="146"/>
      <c r="Z6387" s="147"/>
      <c r="AA6387" s="147"/>
      <c r="AB6387" s="110"/>
      <c r="AC6387" s="132"/>
      <c r="AD6387" s="148"/>
      <c r="AE6387" s="148"/>
    </row>
    <row r="6388" customFormat="false" ht="15" hidden="false" customHeight="true" outlineLevel="0" collapsed="false">
      <c r="A6388" s="141"/>
      <c r="B6388" s="131"/>
      <c r="C6388" s="132"/>
      <c r="D6388" s="131"/>
      <c r="E6388" s="110"/>
      <c r="F6388" s="110"/>
      <c r="G6388" s="110"/>
      <c r="H6388" s="131"/>
      <c r="I6388" s="131"/>
      <c r="J6388" s="142"/>
      <c r="K6388" s="142"/>
      <c r="L6388" s="140"/>
      <c r="M6388" s="131"/>
      <c r="N6388" s="131"/>
      <c r="O6388" s="131"/>
      <c r="P6388" s="143"/>
      <c r="Q6388" s="66"/>
      <c r="R6388" s="131"/>
      <c r="S6388" s="144"/>
      <c r="T6388" s="131"/>
      <c r="U6388" s="131"/>
      <c r="V6388" s="131"/>
      <c r="W6388" s="131"/>
      <c r="X6388" s="145"/>
      <c r="Y6388" s="146"/>
      <c r="Z6388" s="147"/>
      <c r="AA6388" s="147"/>
      <c r="AB6388" s="110"/>
      <c r="AC6388" s="132"/>
      <c r="AD6388" s="148"/>
      <c r="AE6388" s="148"/>
    </row>
    <row r="6389" customFormat="false" ht="15" hidden="false" customHeight="true" outlineLevel="0" collapsed="false">
      <c r="A6389" s="141"/>
      <c r="B6389" s="131"/>
      <c r="C6389" s="132"/>
      <c r="D6389" s="131"/>
      <c r="E6389" s="110"/>
      <c r="F6389" s="110"/>
      <c r="G6389" s="110"/>
      <c r="H6389" s="131"/>
      <c r="I6389" s="131"/>
      <c r="J6389" s="142"/>
      <c r="K6389" s="142"/>
      <c r="L6389" s="140"/>
      <c r="M6389" s="131"/>
      <c r="N6389" s="131"/>
      <c r="O6389" s="131"/>
      <c r="P6389" s="143"/>
      <c r="Q6389" s="66"/>
      <c r="R6389" s="131"/>
      <c r="S6389" s="144"/>
      <c r="T6389" s="131"/>
      <c r="U6389" s="131"/>
      <c r="V6389" s="131"/>
      <c r="W6389" s="131"/>
      <c r="X6389" s="145"/>
      <c r="Y6389" s="146"/>
      <c r="Z6389" s="147"/>
      <c r="AA6389" s="147"/>
      <c r="AB6389" s="110"/>
      <c r="AC6389" s="132"/>
      <c r="AD6389" s="148"/>
      <c r="AE6389" s="148"/>
    </row>
    <row r="6390" customFormat="false" ht="15" hidden="false" customHeight="true" outlineLevel="0" collapsed="false">
      <c r="A6390" s="141"/>
      <c r="B6390" s="131"/>
      <c r="C6390" s="132"/>
      <c r="D6390" s="131"/>
      <c r="E6390" s="110"/>
      <c r="F6390" s="110"/>
      <c r="G6390" s="110"/>
      <c r="H6390" s="131"/>
      <c r="I6390" s="131"/>
      <c r="J6390" s="142"/>
      <c r="K6390" s="142"/>
      <c r="L6390" s="140"/>
      <c r="M6390" s="131"/>
      <c r="N6390" s="131"/>
      <c r="O6390" s="131"/>
      <c r="P6390" s="143"/>
      <c r="Q6390" s="66"/>
      <c r="R6390" s="131"/>
      <c r="S6390" s="144"/>
      <c r="T6390" s="131"/>
      <c r="U6390" s="131"/>
      <c r="V6390" s="131"/>
      <c r="W6390" s="131"/>
      <c r="X6390" s="145"/>
      <c r="Y6390" s="146"/>
      <c r="Z6390" s="147"/>
      <c r="AA6390" s="147"/>
      <c r="AB6390" s="110"/>
      <c r="AC6390" s="132"/>
      <c r="AD6390" s="148"/>
      <c r="AE6390" s="148"/>
    </row>
    <row r="6391" customFormat="false" ht="15" hidden="false" customHeight="true" outlineLevel="0" collapsed="false">
      <c r="A6391" s="141"/>
      <c r="B6391" s="131"/>
      <c r="C6391" s="132"/>
      <c r="D6391" s="131"/>
      <c r="E6391" s="110"/>
      <c r="F6391" s="110"/>
      <c r="G6391" s="110"/>
      <c r="H6391" s="131"/>
      <c r="I6391" s="131"/>
      <c r="J6391" s="142"/>
      <c r="K6391" s="142"/>
      <c r="L6391" s="140"/>
      <c r="M6391" s="131"/>
      <c r="N6391" s="131"/>
      <c r="O6391" s="131"/>
      <c r="P6391" s="143"/>
      <c r="Q6391" s="66"/>
      <c r="R6391" s="131"/>
      <c r="S6391" s="144"/>
      <c r="T6391" s="131"/>
      <c r="U6391" s="131"/>
      <c r="V6391" s="131"/>
      <c r="W6391" s="131"/>
      <c r="X6391" s="145"/>
      <c r="Y6391" s="146"/>
      <c r="Z6391" s="147"/>
      <c r="AA6391" s="147"/>
      <c r="AB6391" s="110"/>
      <c r="AC6391" s="132"/>
      <c r="AD6391" s="148"/>
      <c r="AE6391" s="148"/>
    </row>
    <row r="6392" customFormat="false" ht="15" hidden="false" customHeight="true" outlineLevel="0" collapsed="false">
      <c r="A6392" s="141"/>
      <c r="B6392" s="131"/>
      <c r="C6392" s="132"/>
      <c r="D6392" s="131"/>
      <c r="E6392" s="110"/>
      <c r="F6392" s="110"/>
      <c r="G6392" s="110"/>
      <c r="H6392" s="131"/>
      <c r="I6392" s="131"/>
      <c r="J6392" s="142"/>
      <c r="K6392" s="142"/>
      <c r="L6392" s="140"/>
      <c r="M6392" s="131"/>
      <c r="N6392" s="131"/>
      <c r="O6392" s="131"/>
      <c r="P6392" s="143"/>
      <c r="Q6392" s="66"/>
      <c r="R6392" s="131"/>
      <c r="S6392" s="144"/>
      <c r="T6392" s="131"/>
      <c r="U6392" s="131"/>
      <c r="V6392" s="131"/>
      <c r="W6392" s="131"/>
      <c r="X6392" s="145"/>
      <c r="Y6392" s="146"/>
      <c r="Z6392" s="147"/>
      <c r="AA6392" s="147"/>
      <c r="AB6392" s="110"/>
      <c r="AC6392" s="132"/>
      <c r="AD6392" s="148"/>
      <c r="AE6392" s="148"/>
    </row>
    <row r="6393" customFormat="false" ht="15" hidden="false" customHeight="true" outlineLevel="0" collapsed="false">
      <c r="A6393" s="141"/>
      <c r="B6393" s="131"/>
      <c r="C6393" s="132"/>
      <c r="D6393" s="131"/>
      <c r="E6393" s="110"/>
      <c r="F6393" s="110"/>
      <c r="G6393" s="110"/>
      <c r="H6393" s="131"/>
      <c r="I6393" s="131"/>
      <c r="J6393" s="142"/>
      <c r="K6393" s="142"/>
      <c r="L6393" s="140"/>
      <c r="M6393" s="131"/>
      <c r="N6393" s="131"/>
      <c r="O6393" s="131"/>
      <c r="P6393" s="143"/>
      <c r="Q6393" s="66"/>
      <c r="R6393" s="131"/>
      <c r="S6393" s="144"/>
      <c r="T6393" s="131"/>
      <c r="U6393" s="131"/>
      <c r="V6393" s="131"/>
      <c r="W6393" s="131"/>
      <c r="X6393" s="145"/>
      <c r="Y6393" s="146"/>
      <c r="Z6393" s="147"/>
      <c r="AA6393" s="147"/>
      <c r="AB6393" s="110"/>
      <c r="AC6393" s="132"/>
      <c r="AD6393" s="148"/>
      <c r="AE6393" s="148"/>
    </row>
    <row r="6394" customFormat="false" ht="15" hidden="false" customHeight="true" outlineLevel="0" collapsed="false">
      <c r="A6394" s="141"/>
      <c r="B6394" s="131"/>
      <c r="C6394" s="132"/>
      <c r="D6394" s="131"/>
      <c r="E6394" s="110"/>
      <c r="F6394" s="110"/>
      <c r="G6394" s="110"/>
      <c r="H6394" s="131"/>
      <c r="I6394" s="131"/>
      <c r="J6394" s="142"/>
      <c r="K6394" s="142"/>
      <c r="L6394" s="140"/>
      <c r="M6394" s="131"/>
      <c r="N6394" s="131"/>
      <c r="O6394" s="131"/>
      <c r="P6394" s="143"/>
      <c r="Q6394" s="66"/>
      <c r="R6394" s="131"/>
      <c r="S6394" s="144"/>
      <c r="T6394" s="131"/>
      <c r="U6394" s="131"/>
      <c r="V6394" s="131"/>
      <c r="W6394" s="131"/>
      <c r="X6394" s="145"/>
      <c r="Y6394" s="146"/>
      <c r="Z6394" s="147"/>
      <c r="AA6394" s="147"/>
      <c r="AB6394" s="110"/>
      <c r="AC6394" s="132"/>
      <c r="AD6394" s="148"/>
      <c r="AE6394" s="148"/>
    </row>
    <row r="6395" customFormat="false" ht="15" hidden="false" customHeight="true" outlineLevel="0" collapsed="false">
      <c r="A6395" s="141"/>
      <c r="B6395" s="131"/>
      <c r="C6395" s="132"/>
      <c r="D6395" s="131"/>
      <c r="E6395" s="110"/>
      <c r="F6395" s="110"/>
      <c r="G6395" s="110"/>
      <c r="H6395" s="131"/>
      <c r="I6395" s="131"/>
      <c r="J6395" s="142"/>
      <c r="K6395" s="142"/>
      <c r="L6395" s="140"/>
      <c r="M6395" s="131"/>
      <c r="N6395" s="131"/>
      <c r="O6395" s="131"/>
      <c r="P6395" s="143"/>
      <c r="Q6395" s="66"/>
      <c r="R6395" s="131"/>
      <c r="S6395" s="144"/>
      <c r="T6395" s="131"/>
      <c r="U6395" s="131"/>
      <c r="V6395" s="131"/>
      <c r="W6395" s="131"/>
      <c r="X6395" s="145"/>
      <c r="Y6395" s="146"/>
      <c r="Z6395" s="147"/>
      <c r="AA6395" s="147"/>
      <c r="AB6395" s="110"/>
      <c r="AC6395" s="132"/>
      <c r="AD6395" s="148"/>
      <c r="AE6395" s="148"/>
    </row>
    <row r="6396" customFormat="false" ht="15" hidden="false" customHeight="true" outlineLevel="0" collapsed="false">
      <c r="A6396" s="141"/>
      <c r="B6396" s="131"/>
      <c r="C6396" s="132"/>
      <c r="D6396" s="131"/>
      <c r="E6396" s="110"/>
      <c r="F6396" s="110"/>
      <c r="G6396" s="110"/>
      <c r="H6396" s="131"/>
      <c r="I6396" s="131"/>
      <c r="J6396" s="142"/>
      <c r="K6396" s="142"/>
      <c r="L6396" s="140"/>
      <c r="M6396" s="131"/>
      <c r="N6396" s="131"/>
      <c r="O6396" s="131"/>
      <c r="P6396" s="143"/>
      <c r="Q6396" s="66"/>
      <c r="R6396" s="131"/>
      <c r="S6396" s="144"/>
      <c r="T6396" s="131"/>
      <c r="U6396" s="131"/>
      <c r="V6396" s="131"/>
      <c r="W6396" s="131"/>
      <c r="X6396" s="145"/>
      <c r="Y6396" s="146"/>
      <c r="Z6396" s="147"/>
      <c r="AA6396" s="147"/>
      <c r="AB6396" s="110"/>
      <c r="AC6396" s="132"/>
      <c r="AD6396" s="148"/>
      <c r="AE6396" s="148"/>
    </row>
    <row r="6397" customFormat="false" ht="15" hidden="false" customHeight="true" outlineLevel="0" collapsed="false">
      <c r="A6397" s="141"/>
      <c r="B6397" s="131"/>
      <c r="C6397" s="132"/>
      <c r="D6397" s="131"/>
      <c r="E6397" s="110"/>
      <c r="F6397" s="110"/>
      <c r="G6397" s="110"/>
      <c r="H6397" s="131"/>
      <c r="I6397" s="131"/>
      <c r="J6397" s="142"/>
      <c r="K6397" s="142"/>
      <c r="L6397" s="140"/>
      <c r="M6397" s="131"/>
      <c r="N6397" s="131"/>
      <c r="O6397" s="131"/>
      <c r="P6397" s="143"/>
      <c r="Q6397" s="66"/>
      <c r="R6397" s="131"/>
      <c r="S6397" s="144"/>
      <c r="T6397" s="131"/>
      <c r="U6397" s="131"/>
      <c r="V6397" s="131"/>
      <c r="W6397" s="131"/>
      <c r="X6397" s="145"/>
      <c r="Y6397" s="146"/>
      <c r="Z6397" s="147"/>
      <c r="AA6397" s="147"/>
      <c r="AB6397" s="110"/>
      <c r="AC6397" s="132"/>
      <c r="AD6397" s="148"/>
      <c r="AE6397" s="148"/>
    </row>
    <row r="6398" customFormat="false" ht="15" hidden="false" customHeight="true" outlineLevel="0" collapsed="false">
      <c r="A6398" s="141"/>
      <c r="B6398" s="131"/>
      <c r="C6398" s="132"/>
      <c r="D6398" s="131"/>
      <c r="E6398" s="110"/>
      <c r="F6398" s="110"/>
      <c r="G6398" s="110"/>
      <c r="H6398" s="131"/>
      <c r="I6398" s="131"/>
      <c r="J6398" s="142"/>
      <c r="K6398" s="142"/>
      <c r="L6398" s="140"/>
      <c r="M6398" s="131"/>
      <c r="N6398" s="131"/>
      <c r="O6398" s="131"/>
      <c r="P6398" s="143"/>
      <c r="Q6398" s="66"/>
      <c r="R6398" s="131"/>
      <c r="S6398" s="144"/>
      <c r="T6398" s="131"/>
      <c r="U6398" s="131"/>
      <c r="V6398" s="131"/>
      <c r="W6398" s="131"/>
      <c r="X6398" s="145"/>
      <c r="Y6398" s="146"/>
      <c r="Z6398" s="147"/>
      <c r="AA6398" s="147"/>
      <c r="AB6398" s="110"/>
      <c r="AC6398" s="132"/>
      <c r="AD6398" s="148"/>
      <c r="AE6398" s="148"/>
    </row>
    <row r="6399" customFormat="false" ht="15" hidden="false" customHeight="true" outlineLevel="0" collapsed="false">
      <c r="A6399" s="141"/>
      <c r="B6399" s="131"/>
      <c r="C6399" s="132"/>
      <c r="D6399" s="131"/>
      <c r="E6399" s="110"/>
      <c r="F6399" s="110"/>
      <c r="G6399" s="110"/>
      <c r="H6399" s="131"/>
      <c r="I6399" s="131"/>
      <c r="J6399" s="142"/>
      <c r="K6399" s="142"/>
      <c r="L6399" s="140"/>
      <c r="M6399" s="131"/>
      <c r="N6399" s="131"/>
      <c r="O6399" s="131"/>
      <c r="P6399" s="143"/>
      <c r="Q6399" s="66"/>
      <c r="R6399" s="131"/>
      <c r="S6399" s="144"/>
      <c r="T6399" s="131"/>
      <c r="U6399" s="131"/>
      <c r="V6399" s="131"/>
      <c r="W6399" s="131"/>
      <c r="X6399" s="145"/>
      <c r="Y6399" s="146"/>
      <c r="Z6399" s="147"/>
      <c r="AA6399" s="147"/>
      <c r="AB6399" s="110"/>
      <c r="AC6399" s="132"/>
      <c r="AD6399" s="148"/>
      <c r="AE6399" s="148"/>
    </row>
    <row r="6400" customFormat="false" ht="15" hidden="false" customHeight="true" outlineLevel="0" collapsed="false">
      <c r="A6400" s="141"/>
      <c r="B6400" s="131"/>
      <c r="C6400" s="132"/>
      <c r="D6400" s="131"/>
      <c r="E6400" s="110"/>
      <c r="F6400" s="110"/>
      <c r="G6400" s="110"/>
      <c r="H6400" s="131"/>
      <c r="I6400" s="131"/>
      <c r="J6400" s="142"/>
      <c r="K6400" s="142"/>
      <c r="L6400" s="140"/>
      <c r="M6400" s="131"/>
      <c r="N6400" s="131"/>
      <c r="O6400" s="131"/>
      <c r="P6400" s="143"/>
      <c r="Q6400" s="66"/>
      <c r="R6400" s="131"/>
      <c r="S6400" s="144"/>
      <c r="T6400" s="131"/>
      <c r="U6400" s="131"/>
      <c r="V6400" s="131"/>
      <c r="W6400" s="131"/>
      <c r="X6400" s="145"/>
      <c r="Y6400" s="146"/>
      <c r="Z6400" s="147"/>
      <c r="AA6400" s="147"/>
      <c r="AB6400" s="110"/>
      <c r="AC6400" s="132"/>
      <c r="AD6400" s="148"/>
      <c r="AE6400" s="148"/>
    </row>
    <row r="6401" customFormat="false" ht="15" hidden="false" customHeight="true" outlineLevel="0" collapsed="false">
      <c r="A6401" s="141"/>
      <c r="B6401" s="131"/>
      <c r="C6401" s="132"/>
      <c r="D6401" s="131"/>
      <c r="E6401" s="110"/>
      <c r="F6401" s="110"/>
      <c r="G6401" s="110"/>
      <c r="H6401" s="131"/>
      <c r="I6401" s="131"/>
      <c r="J6401" s="142"/>
      <c r="K6401" s="142"/>
      <c r="L6401" s="140"/>
      <c r="M6401" s="131"/>
      <c r="N6401" s="131"/>
      <c r="O6401" s="131"/>
      <c r="P6401" s="143"/>
      <c r="Q6401" s="66"/>
      <c r="R6401" s="131"/>
      <c r="S6401" s="144"/>
      <c r="T6401" s="131"/>
      <c r="U6401" s="131"/>
      <c r="V6401" s="131"/>
      <c r="W6401" s="131"/>
      <c r="X6401" s="145"/>
      <c r="Y6401" s="146"/>
      <c r="Z6401" s="147"/>
      <c r="AA6401" s="147"/>
      <c r="AB6401" s="110"/>
      <c r="AC6401" s="132"/>
      <c r="AD6401" s="148"/>
      <c r="AE6401" s="148"/>
    </row>
    <row r="6402" customFormat="false" ht="15" hidden="false" customHeight="true" outlineLevel="0" collapsed="false">
      <c r="A6402" s="141"/>
      <c r="B6402" s="131"/>
      <c r="C6402" s="132"/>
      <c r="D6402" s="131"/>
      <c r="E6402" s="110"/>
      <c r="F6402" s="110"/>
      <c r="G6402" s="110"/>
      <c r="H6402" s="131"/>
      <c r="I6402" s="131"/>
      <c r="J6402" s="142"/>
      <c r="K6402" s="142"/>
      <c r="L6402" s="140"/>
      <c r="M6402" s="131"/>
      <c r="N6402" s="131"/>
      <c r="O6402" s="131"/>
      <c r="P6402" s="143"/>
      <c r="Q6402" s="66"/>
      <c r="R6402" s="131"/>
      <c r="S6402" s="144"/>
      <c r="T6402" s="131"/>
      <c r="U6402" s="131"/>
      <c r="V6402" s="131"/>
      <c r="W6402" s="131"/>
      <c r="X6402" s="145"/>
      <c r="Y6402" s="146"/>
      <c r="Z6402" s="147"/>
      <c r="AA6402" s="147"/>
      <c r="AB6402" s="110"/>
      <c r="AC6402" s="132"/>
      <c r="AD6402" s="148"/>
      <c r="AE6402" s="148"/>
    </row>
    <row r="6403" customFormat="false" ht="15" hidden="false" customHeight="true" outlineLevel="0" collapsed="false">
      <c r="A6403" s="141"/>
      <c r="B6403" s="131"/>
      <c r="C6403" s="132"/>
      <c r="D6403" s="131"/>
      <c r="E6403" s="110"/>
      <c r="F6403" s="110"/>
      <c r="G6403" s="110"/>
      <c r="H6403" s="131"/>
      <c r="I6403" s="131"/>
      <c r="J6403" s="142"/>
      <c r="K6403" s="142"/>
      <c r="L6403" s="140"/>
      <c r="M6403" s="131"/>
      <c r="N6403" s="131"/>
      <c r="O6403" s="131"/>
      <c r="P6403" s="143"/>
      <c r="Q6403" s="66"/>
      <c r="R6403" s="131"/>
      <c r="S6403" s="144"/>
      <c r="T6403" s="131"/>
      <c r="U6403" s="131"/>
      <c r="V6403" s="131"/>
      <c r="W6403" s="131"/>
      <c r="X6403" s="145"/>
      <c r="Y6403" s="146"/>
      <c r="Z6403" s="147"/>
      <c r="AA6403" s="147"/>
      <c r="AB6403" s="110"/>
      <c r="AC6403" s="132"/>
      <c r="AD6403" s="148"/>
      <c r="AE6403" s="148"/>
    </row>
    <row r="6404" customFormat="false" ht="15" hidden="false" customHeight="true" outlineLevel="0" collapsed="false">
      <c r="A6404" s="141"/>
      <c r="B6404" s="131"/>
      <c r="C6404" s="132"/>
      <c r="D6404" s="131"/>
      <c r="E6404" s="110"/>
      <c r="F6404" s="110"/>
      <c r="G6404" s="110"/>
      <c r="H6404" s="131"/>
      <c r="I6404" s="131"/>
      <c r="J6404" s="142"/>
      <c r="K6404" s="142"/>
      <c r="L6404" s="140"/>
      <c r="M6404" s="131"/>
      <c r="N6404" s="131"/>
      <c r="O6404" s="131"/>
      <c r="P6404" s="143"/>
      <c r="Q6404" s="66"/>
      <c r="R6404" s="131"/>
      <c r="S6404" s="144"/>
      <c r="T6404" s="131"/>
      <c r="U6404" s="131"/>
      <c r="V6404" s="131"/>
      <c r="W6404" s="131"/>
      <c r="X6404" s="145"/>
      <c r="Y6404" s="146"/>
      <c r="Z6404" s="147"/>
      <c r="AA6404" s="147"/>
      <c r="AB6404" s="110"/>
      <c r="AC6404" s="132"/>
      <c r="AD6404" s="148"/>
      <c r="AE6404" s="148"/>
    </row>
    <row r="6405" customFormat="false" ht="15" hidden="false" customHeight="true" outlineLevel="0" collapsed="false">
      <c r="A6405" s="141"/>
      <c r="B6405" s="131"/>
      <c r="C6405" s="132"/>
      <c r="D6405" s="131"/>
      <c r="E6405" s="110"/>
      <c r="F6405" s="110"/>
      <c r="G6405" s="110"/>
      <c r="H6405" s="131"/>
      <c r="I6405" s="131"/>
      <c r="J6405" s="142"/>
      <c r="K6405" s="142"/>
      <c r="L6405" s="140"/>
      <c r="M6405" s="131"/>
      <c r="N6405" s="131"/>
      <c r="O6405" s="131"/>
      <c r="P6405" s="143"/>
      <c r="Q6405" s="66"/>
      <c r="R6405" s="131"/>
      <c r="S6405" s="144"/>
      <c r="T6405" s="131"/>
      <c r="U6405" s="131"/>
      <c r="V6405" s="131"/>
      <c r="W6405" s="131"/>
      <c r="X6405" s="145"/>
      <c r="Y6405" s="146"/>
      <c r="Z6405" s="147"/>
      <c r="AA6405" s="147"/>
      <c r="AB6405" s="110"/>
      <c r="AC6405" s="132"/>
      <c r="AD6405" s="148"/>
      <c r="AE6405" s="148"/>
    </row>
    <row r="6406" customFormat="false" ht="15" hidden="false" customHeight="true" outlineLevel="0" collapsed="false">
      <c r="A6406" s="141"/>
      <c r="B6406" s="131"/>
      <c r="C6406" s="132"/>
      <c r="D6406" s="131"/>
      <c r="E6406" s="110"/>
      <c r="F6406" s="110"/>
      <c r="G6406" s="110"/>
      <c r="H6406" s="131"/>
      <c r="I6406" s="131"/>
      <c r="J6406" s="142"/>
      <c r="K6406" s="142"/>
      <c r="L6406" s="140"/>
      <c r="M6406" s="131"/>
      <c r="N6406" s="131"/>
      <c r="O6406" s="131"/>
      <c r="P6406" s="143"/>
      <c r="Q6406" s="66"/>
      <c r="R6406" s="131"/>
      <c r="S6406" s="144"/>
      <c r="T6406" s="131"/>
      <c r="U6406" s="131"/>
      <c r="V6406" s="131"/>
      <c r="W6406" s="131"/>
      <c r="X6406" s="145"/>
      <c r="Y6406" s="146"/>
      <c r="Z6406" s="147"/>
      <c r="AA6406" s="147"/>
      <c r="AB6406" s="110"/>
      <c r="AC6406" s="132"/>
      <c r="AD6406" s="148"/>
      <c r="AE6406" s="148"/>
    </row>
    <row r="6407" customFormat="false" ht="15" hidden="false" customHeight="true" outlineLevel="0" collapsed="false">
      <c r="A6407" s="141"/>
      <c r="B6407" s="131"/>
      <c r="C6407" s="132"/>
      <c r="D6407" s="131"/>
      <c r="E6407" s="110"/>
      <c r="F6407" s="110"/>
      <c r="G6407" s="110"/>
      <c r="H6407" s="131"/>
      <c r="I6407" s="131"/>
      <c r="J6407" s="142"/>
      <c r="K6407" s="142"/>
      <c r="L6407" s="140"/>
      <c r="M6407" s="131"/>
      <c r="N6407" s="131"/>
      <c r="O6407" s="131"/>
      <c r="P6407" s="143"/>
      <c r="Q6407" s="66"/>
      <c r="R6407" s="131"/>
      <c r="S6407" s="144"/>
      <c r="T6407" s="131"/>
      <c r="U6407" s="131"/>
      <c r="V6407" s="131"/>
      <c r="W6407" s="131"/>
      <c r="X6407" s="145"/>
      <c r="Y6407" s="146"/>
      <c r="Z6407" s="147"/>
      <c r="AA6407" s="147"/>
      <c r="AB6407" s="110"/>
      <c r="AC6407" s="132"/>
      <c r="AD6407" s="148"/>
      <c r="AE6407" s="148"/>
    </row>
    <row r="6408" customFormat="false" ht="15" hidden="false" customHeight="true" outlineLevel="0" collapsed="false">
      <c r="A6408" s="141"/>
      <c r="B6408" s="131"/>
      <c r="C6408" s="132"/>
      <c r="D6408" s="131"/>
      <c r="E6408" s="110"/>
      <c r="F6408" s="110"/>
      <c r="G6408" s="110"/>
      <c r="H6408" s="131"/>
      <c r="I6408" s="131"/>
      <c r="J6408" s="142"/>
      <c r="K6408" s="142"/>
      <c r="L6408" s="140"/>
      <c r="M6408" s="131"/>
      <c r="N6408" s="131"/>
      <c r="O6408" s="131"/>
      <c r="P6408" s="143"/>
      <c r="Q6408" s="66"/>
      <c r="R6408" s="131"/>
      <c r="S6408" s="144"/>
      <c r="T6408" s="131"/>
      <c r="U6408" s="131"/>
      <c r="V6408" s="131"/>
      <c r="W6408" s="131"/>
      <c r="X6408" s="145"/>
      <c r="Y6408" s="146"/>
      <c r="Z6408" s="147"/>
      <c r="AA6408" s="147"/>
      <c r="AB6408" s="110"/>
      <c r="AC6408" s="132"/>
      <c r="AD6408" s="148"/>
      <c r="AE6408" s="148"/>
    </row>
    <row r="6409" customFormat="false" ht="15" hidden="false" customHeight="true" outlineLevel="0" collapsed="false">
      <c r="A6409" s="141"/>
      <c r="B6409" s="131"/>
      <c r="C6409" s="132"/>
      <c r="D6409" s="131"/>
      <c r="E6409" s="110"/>
      <c r="F6409" s="110"/>
      <c r="G6409" s="110"/>
      <c r="H6409" s="131"/>
      <c r="I6409" s="131"/>
      <c r="J6409" s="142"/>
      <c r="K6409" s="142"/>
      <c r="L6409" s="140"/>
      <c r="M6409" s="131"/>
      <c r="N6409" s="131"/>
      <c r="O6409" s="131"/>
      <c r="P6409" s="143"/>
      <c r="Q6409" s="66"/>
      <c r="R6409" s="131"/>
      <c r="S6409" s="144"/>
      <c r="T6409" s="131"/>
      <c r="U6409" s="131"/>
      <c r="V6409" s="131"/>
      <c r="W6409" s="131"/>
      <c r="X6409" s="145"/>
      <c r="Y6409" s="146"/>
      <c r="Z6409" s="147"/>
      <c r="AA6409" s="147"/>
      <c r="AB6409" s="110"/>
      <c r="AC6409" s="132"/>
      <c r="AD6409" s="148"/>
      <c r="AE6409" s="148"/>
    </row>
    <row r="6410" customFormat="false" ht="15" hidden="false" customHeight="true" outlineLevel="0" collapsed="false">
      <c r="A6410" s="141"/>
      <c r="B6410" s="131"/>
      <c r="C6410" s="132"/>
      <c r="D6410" s="131"/>
      <c r="E6410" s="110"/>
      <c r="F6410" s="110"/>
      <c r="G6410" s="110"/>
      <c r="H6410" s="131"/>
      <c r="I6410" s="131"/>
      <c r="J6410" s="142"/>
      <c r="K6410" s="142"/>
      <c r="L6410" s="140"/>
      <c r="M6410" s="131"/>
      <c r="N6410" s="131"/>
      <c r="O6410" s="131"/>
      <c r="P6410" s="143"/>
      <c r="Q6410" s="66"/>
      <c r="R6410" s="131"/>
      <c r="S6410" s="144"/>
      <c r="T6410" s="131"/>
      <c r="U6410" s="131"/>
      <c r="V6410" s="131"/>
      <c r="W6410" s="131"/>
      <c r="X6410" s="145"/>
      <c r="Y6410" s="146"/>
      <c r="Z6410" s="147"/>
      <c r="AA6410" s="147"/>
      <c r="AB6410" s="110"/>
      <c r="AC6410" s="132"/>
      <c r="AD6410" s="148"/>
      <c r="AE6410" s="148"/>
    </row>
    <row r="6411" customFormat="false" ht="15" hidden="false" customHeight="true" outlineLevel="0" collapsed="false">
      <c r="A6411" s="141"/>
      <c r="B6411" s="131"/>
      <c r="C6411" s="132"/>
      <c r="D6411" s="131"/>
      <c r="E6411" s="110"/>
      <c r="F6411" s="110"/>
      <c r="G6411" s="110"/>
      <c r="H6411" s="131"/>
      <c r="I6411" s="131"/>
      <c r="J6411" s="142"/>
      <c r="K6411" s="142"/>
      <c r="L6411" s="140"/>
      <c r="M6411" s="131"/>
      <c r="N6411" s="131"/>
      <c r="O6411" s="131"/>
      <c r="P6411" s="143"/>
      <c r="Q6411" s="66"/>
      <c r="R6411" s="131"/>
      <c r="S6411" s="144"/>
      <c r="T6411" s="131"/>
      <c r="U6411" s="131"/>
      <c r="V6411" s="131"/>
      <c r="W6411" s="131"/>
      <c r="X6411" s="145"/>
      <c r="Y6411" s="146"/>
      <c r="Z6411" s="147"/>
      <c r="AA6411" s="147"/>
      <c r="AB6411" s="110"/>
      <c r="AC6411" s="132"/>
      <c r="AD6411" s="148"/>
      <c r="AE6411" s="148"/>
    </row>
    <row r="6412" customFormat="false" ht="15" hidden="false" customHeight="true" outlineLevel="0" collapsed="false">
      <c r="A6412" s="141"/>
      <c r="B6412" s="131"/>
      <c r="C6412" s="132"/>
      <c r="D6412" s="131"/>
      <c r="E6412" s="110"/>
      <c r="F6412" s="110"/>
      <c r="G6412" s="110"/>
      <c r="H6412" s="131"/>
      <c r="I6412" s="131"/>
      <c r="J6412" s="142"/>
      <c r="K6412" s="142"/>
      <c r="L6412" s="140"/>
      <c r="M6412" s="131"/>
      <c r="N6412" s="131"/>
      <c r="O6412" s="131"/>
      <c r="P6412" s="143"/>
      <c r="Q6412" s="66"/>
      <c r="R6412" s="131"/>
      <c r="S6412" s="144"/>
      <c r="T6412" s="131"/>
      <c r="U6412" s="131"/>
      <c r="V6412" s="131"/>
      <c r="W6412" s="131"/>
      <c r="X6412" s="145"/>
      <c r="Y6412" s="146"/>
      <c r="Z6412" s="147"/>
      <c r="AA6412" s="147"/>
      <c r="AB6412" s="110"/>
      <c r="AC6412" s="132"/>
      <c r="AD6412" s="148"/>
      <c r="AE6412" s="148"/>
    </row>
    <row r="6413" customFormat="false" ht="15" hidden="false" customHeight="true" outlineLevel="0" collapsed="false">
      <c r="A6413" s="141"/>
      <c r="B6413" s="131"/>
      <c r="C6413" s="132"/>
      <c r="D6413" s="131"/>
      <c r="E6413" s="110"/>
      <c r="F6413" s="110"/>
      <c r="G6413" s="110"/>
      <c r="H6413" s="131"/>
      <c r="I6413" s="131"/>
      <c r="J6413" s="142"/>
      <c r="K6413" s="142"/>
      <c r="L6413" s="140"/>
      <c r="M6413" s="131"/>
      <c r="N6413" s="131"/>
      <c r="O6413" s="131"/>
      <c r="P6413" s="143"/>
      <c r="Q6413" s="66"/>
      <c r="R6413" s="131"/>
      <c r="S6413" s="144"/>
      <c r="T6413" s="131"/>
      <c r="U6413" s="131"/>
      <c r="V6413" s="131"/>
      <c r="W6413" s="131"/>
      <c r="X6413" s="145"/>
      <c r="Y6413" s="146"/>
      <c r="Z6413" s="147"/>
      <c r="AA6413" s="147"/>
      <c r="AB6413" s="110"/>
      <c r="AC6413" s="132"/>
      <c r="AD6413" s="148"/>
      <c r="AE6413" s="148"/>
    </row>
    <row r="6414" customFormat="false" ht="15" hidden="false" customHeight="true" outlineLevel="0" collapsed="false">
      <c r="A6414" s="141"/>
      <c r="B6414" s="131"/>
      <c r="C6414" s="132"/>
      <c r="D6414" s="131"/>
      <c r="E6414" s="110"/>
      <c r="F6414" s="110"/>
      <c r="G6414" s="110"/>
      <c r="H6414" s="131"/>
      <c r="I6414" s="131"/>
      <c r="J6414" s="142"/>
      <c r="K6414" s="142"/>
      <c r="L6414" s="140"/>
      <c r="M6414" s="131"/>
      <c r="N6414" s="131"/>
      <c r="O6414" s="131"/>
      <c r="P6414" s="143"/>
      <c r="Q6414" s="66"/>
      <c r="R6414" s="131"/>
      <c r="S6414" s="144"/>
      <c r="T6414" s="131"/>
      <c r="U6414" s="131"/>
      <c r="V6414" s="131"/>
      <c r="W6414" s="131"/>
      <c r="X6414" s="145"/>
      <c r="Y6414" s="146"/>
      <c r="Z6414" s="147"/>
      <c r="AA6414" s="147"/>
      <c r="AB6414" s="110"/>
      <c r="AC6414" s="132"/>
      <c r="AD6414" s="148"/>
      <c r="AE6414" s="148"/>
    </row>
  </sheetData>
  <autoFilter ref="A1:DF4033">
    <filterColumn colId="5">
      <filters>
        <filter val="PT KOBIN KERAMIK INDUSTRI (KARAWANG)"/>
        <filter val="PT NIPSEA PAINT AND CHEMICALS"/>
      </filters>
    </filterColumn>
    <filterColumn colId="6">
      <filters>
        <filter val="AKTIF"/>
        <filter val="BATAL"/>
        <filter val="BATAL JOIN"/>
        <filter val="BELUM JOIN"/>
        <filter val="BLACKLIST"/>
        <filter val="BOSAN"/>
        <filter val="CANCEL JOIN"/>
        <filter val="CUTI HAMIL"/>
        <filter val="DI CUT"/>
        <filter val="DIKEMBALIKAN"/>
        <filter val="DIRUMAHKAN"/>
        <filter val="DITARIK KLIEN"/>
        <filter val="EFISIENSI"/>
        <filter val="HAMIL"/>
        <filter val="INDISIPLINER"/>
        <filter val="MANGKIR"/>
        <filter val="MENINGGAL"/>
        <filter val="MENINGGAL DUNIA"/>
        <filter val="MUTASI"/>
        <filter val="NON AKTIF"/>
        <filter val="OFF"/>
        <filter val="OFFBOARDING"/>
        <filter val="PELANGGARAN"/>
        <filter val="PENDING"/>
        <filter val="PENGURANGAN"/>
        <filter val="Putus PKS"/>
        <filter val="SAKIT"/>
        <filter val="TIDAK PERFORM"/>
      </filters>
    </filterColumn>
  </autoFilter>
  <conditionalFormatting sqref="D2525:D3111">
    <cfRule type="expression" priority="2" aboveAverage="0" equalAverage="0" bottom="0" percent="0" rank="0" text="" dxfId="12">
      <formula>COUNTIF(#ref!,D2525)&gt;1</formula>
    </cfRule>
  </conditionalFormatting>
  <conditionalFormatting sqref="Q464:Q2820">
    <cfRule type="expression" priority="3" aboveAverage="0" equalAverage="0" bottom="0" percent="0" rank="0" text="" dxfId="13">
      <formula>COUNTIFS(#ref!,Q464)&gt;1</formula>
    </cfRule>
  </conditionalFormatting>
  <conditionalFormatting sqref="E2474:E2475">
    <cfRule type="cellIs" priority="4" operator="equal" aboveAverage="0" equalAverage="0" bottom="0" percent="0" rank="0" text="" dxfId="14">
      <formula>0</formula>
    </cfRule>
  </conditionalFormatting>
  <conditionalFormatting sqref="D1784:D2523">
    <cfRule type="expression" priority="5" aboveAverage="0" equalAverage="0" bottom="0" percent="0" rank="0" text="" dxfId="12">
      <formula>COUNTIF(#ref!,D1784)&gt;1</formula>
    </cfRule>
  </conditionalFormatting>
  <conditionalFormatting sqref="D4182">
    <cfRule type="expression" priority="6" aboveAverage="0" equalAverage="0" bottom="0" percent="0" rank="0" text="" dxfId="12">
      <formula>COUNTIF(#ref!,D4182)&gt;1</formula>
    </cfRule>
  </conditionalFormatting>
  <conditionalFormatting sqref="D3912">
    <cfRule type="expression" priority="7" aboveAverage="0" equalAverage="0" bottom="0" percent="0" rank="0" text="" dxfId="12">
      <formula>COUNTIF(#ref!,D3912)&gt;1</formula>
    </cfRule>
  </conditionalFormatting>
  <conditionalFormatting sqref="D1705">
    <cfRule type="expression" priority="8" aboveAverage="0" equalAverage="0" bottom="0" percent="0" rank="0" text="" dxfId="12">
      <formula>COUNTIF(#ref!,D1705)&gt;1</formula>
    </cfRule>
  </conditionalFormatting>
  <conditionalFormatting sqref="D1364">
    <cfRule type="expression" priority="9" aboveAverage="0" equalAverage="0" bottom="0" percent="0" rank="0" text="" dxfId="12">
      <formula>COUNTIF(#ref!,D1364)&gt;1</formula>
    </cfRule>
  </conditionalFormatting>
  <conditionalFormatting sqref="D1179">
    <cfRule type="expression" priority="10" aboveAverage="0" equalAverage="0" bottom="0" percent="0" rank="0" text="" dxfId="12">
      <formula>COUNTIF(#ref!,D1179)&gt;1</formula>
    </cfRule>
  </conditionalFormatting>
  <conditionalFormatting sqref="D1017">
    <cfRule type="expression" priority="11" aboveAverage="0" equalAverage="0" bottom="0" percent="0" rank="0" text="" dxfId="12">
      <formula>COUNTIF(#ref!,D1017)&gt;1</formula>
    </cfRule>
  </conditionalFormatting>
  <conditionalFormatting sqref="D1000 D3185:D3686 D3688:D3704 D3706:D3731 D3733:D3736 D3738:D3760 D3762:D3800 D3804:D3826 D3829 D3832:D3833 D3835:D3836 D3838:D3846 D3848 D3861 D3868 D3870 D3882 D3884 D3904 D3914:D3916 D3919 D3971 D4117 D4128:D4130 D4158 D4164 D4189 D4191 D4281:D4283 D4311 D4387:D4388 D4392:D4394">
    <cfRule type="expression" priority="12" aboveAverage="0" equalAverage="0" bottom="0" percent="0" rank="0" text="" dxfId="12">
      <formula>COUNTIF(#ref!,D1000)&gt;1</formula>
    </cfRule>
  </conditionalFormatting>
  <conditionalFormatting sqref="D3113:D3183">
    <cfRule type="expression" priority="13" aboveAverage="0" equalAverage="0" bottom="0" percent="0" rank="0" text="" dxfId="12">
      <formula>COUNTIF(#ref!,D3113)&gt;1</formula>
    </cfRule>
  </conditionalFormatting>
  <conditionalFormatting sqref="Q1:Q463 Q2821:Q7414">
    <cfRule type="expression" priority="14" aboveAverage="0" equalAverage="0" bottom="0" percent="0" rank="0" text="" dxfId="13">
      <formula>COUNTIFS(Q:Q,Q1)&gt;1</formula>
    </cfRule>
  </conditionalFormatting>
  <printOptions headings="false" gridLines="false" gridLinesSet="true" horizontalCentered="false" verticalCentered="false"/>
  <pageMargins left="0.708333333333333" right="0.708333333333333" top="0.551388888888889" bottom="0.55138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5" min="5" style="0" width="30"/>
    <col collapsed="false" customWidth="true" hidden="false" outlineLevel="0" max="6" min="6" style="0" width="34"/>
    <col collapsed="false" customWidth="true" hidden="false" outlineLevel="0" max="7" min="7" style="0" width="52"/>
  </cols>
  <sheetData>
    <row r="1" customFormat="false" ht="15" hidden="false" customHeight="false" outlineLevel="0" collapsed="false">
      <c r="A1" s="149" t="s">
        <v>18046</v>
      </c>
      <c r="B1" s="149" t="s">
        <v>0</v>
      </c>
      <c r="C1" s="149" t="s">
        <v>1</v>
      </c>
      <c r="D1" s="149" t="s">
        <v>18047</v>
      </c>
      <c r="E1" s="149" t="s">
        <v>18048</v>
      </c>
      <c r="F1" s="149" t="s">
        <v>18049</v>
      </c>
      <c r="G1" s="149" t="s">
        <v>18050</v>
      </c>
    </row>
    <row r="2" customFormat="false" ht="15" hidden="false" customHeight="false" outlineLevel="0" collapsed="false">
      <c r="A2" s="0" t="n">
        <v>265</v>
      </c>
      <c r="B2" s="0" t="n">
        <v>1649</v>
      </c>
      <c r="C2" s="0" t="s">
        <v>1210</v>
      </c>
      <c r="D2" s="0" t="s">
        <v>21</v>
      </c>
      <c r="E2" s="0" t="s">
        <v>18051</v>
      </c>
      <c r="F2" s="0" t="s">
        <v>1216</v>
      </c>
      <c r="G2" s="0" t="s">
        <v>18052</v>
      </c>
    </row>
    <row r="3" customFormat="false" ht="15" hidden="false" customHeight="false" outlineLevel="0" collapsed="false">
      <c r="A3" s="0" t="n">
        <v>383</v>
      </c>
      <c r="B3" s="0" t="n">
        <v>21700</v>
      </c>
      <c r="C3" s="0" t="s">
        <v>1720</v>
      </c>
      <c r="D3" s="0" t="s">
        <v>19</v>
      </c>
      <c r="E3" s="0" t="s">
        <v>18053</v>
      </c>
      <c r="F3" s="0" t="s">
        <v>40</v>
      </c>
      <c r="G3" s="0" t="s">
        <v>18054</v>
      </c>
    </row>
    <row r="4" customFormat="false" ht="15" hidden="false" customHeight="false" outlineLevel="0" collapsed="false">
      <c r="A4" s="0" t="n">
        <v>384</v>
      </c>
      <c r="B4" s="0" t="n">
        <v>22426</v>
      </c>
      <c r="C4" s="0" t="s">
        <v>1726</v>
      </c>
      <c r="D4" s="0" t="s">
        <v>19</v>
      </c>
      <c r="E4" s="0" t="s">
        <v>18053</v>
      </c>
      <c r="F4" s="0" t="s">
        <v>40</v>
      </c>
      <c r="G4" s="0" t="s">
        <v>18054</v>
      </c>
    </row>
    <row r="5" customFormat="false" ht="15" hidden="false" customHeight="false" outlineLevel="0" collapsed="false">
      <c r="A5" s="0" t="n">
        <v>385</v>
      </c>
      <c r="B5" s="0" t="n">
        <v>22835</v>
      </c>
      <c r="C5" s="0" t="s">
        <v>1730</v>
      </c>
      <c r="D5" s="0" t="s">
        <v>22</v>
      </c>
      <c r="E5" s="0" t="s">
        <v>18055</v>
      </c>
      <c r="F5" s="0" t="s">
        <v>43</v>
      </c>
      <c r="G5" s="0" t="s">
        <v>18054</v>
      </c>
    </row>
    <row r="6" customFormat="false" ht="15" hidden="false" customHeight="false" outlineLevel="0" collapsed="false">
      <c r="A6" s="0" t="n">
        <v>389</v>
      </c>
      <c r="B6" s="0" t="n">
        <v>22847</v>
      </c>
      <c r="C6" s="0" t="s">
        <v>1753</v>
      </c>
      <c r="D6" s="0" t="s">
        <v>22</v>
      </c>
      <c r="E6" s="0" t="s">
        <v>18056</v>
      </c>
      <c r="F6" s="0" t="s">
        <v>43</v>
      </c>
      <c r="G6" s="0" t="s">
        <v>18054</v>
      </c>
    </row>
    <row r="7" customFormat="false" ht="15" hidden="false" customHeight="false" outlineLevel="0" collapsed="false">
      <c r="A7" s="0" t="n">
        <v>393</v>
      </c>
      <c r="B7" s="0" t="n">
        <v>21710</v>
      </c>
      <c r="C7" s="0" t="s">
        <v>1772</v>
      </c>
      <c r="D7" s="0" t="s">
        <v>19</v>
      </c>
      <c r="E7" s="0" t="s">
        <v>18053</v>
      </c>
      <c r="F7" s="0" t="s">
        <v>40</v>
      </c>
      <c r="G7" s="0" t="s">
        <v>18054</v>
      </c>
    </row>
    <row r="8" customFormat="false" ht="15" hidden="false" customHeight="false" outlineLevel="0" collapsed="false">
      <c r="A8" s="0" t="n">
        <v>397</v>
      </c>
      <c r="B8" s="0" t="n">
        <v>20359</v>
      </c>
      <c r="C8" s="0" t="s">
        <v>1792</v>
      </c>
      <c r="D8" s="0" t="s">
        <v>19</v>
      </c>
      <c r="E8" s="0" t="s">
        <v>18053</v>
      </c>
      <c r="F8" s="0" t="s">
        <v>40</v>
      </c>
      <c r="G8" s="0" t="s">
        <v>18054</v>
      </c>
    </row>
    <row r="9" customFormat="false" ht="15" hidden="false" customHeight="false" outlineLevel="0" collapsed="false">
      <c r="A9" s="0" t="n">
        <v>412</v>
      </c>
      <c r="B9" s="0" t="n">
        <v>22862</v>
      </c>
      <c r="C9" s="0" t="s">
        <v>1860</v>
      </c>
      <c r="D9" s="0" t="s">
        <v>22</v>
      </c>
      <c r="E9" s="0" t="s">
        <v>18055</v>
      </c>
      <c r="F9" s="0" t="s">
        <v>43</v>
      </c>
      <c r="G9" s="0" t="s">
        <v>18054</v>
      </c>
    </row>
    <row r="10" customFormat="false" ht="15" hidden="false" customHeight="false" outlineLevel="0" collapsed="false">
      <c r="A10" s="0" t="n">
        <v>415</v>
      </c>
      <c r="B10" s="0" t="n">
        <v>22856</v>
      </c>
      <c r="C10" s="0" t="s">
        <v>1873</v>
      </c>
      <c r="D10" s="0" t="s">
        <v>22</v>
      </c>
      <c r="E10" s="0" t="s">
        <v>18057</v>
      </c>
      <c r="F10" s="0" t="s">
        <v>54</v>
      </c>
      <c r="G10" s="0" t="s">
        <v>18054</v>
      </c>
    </row>
    <row r="11" customFormat="false" ht="15" hidden="false" customHeight="false" outlineLevel="0" collapsed="false">
      <c r="A11" s="0" t="n">
        <v>425</v>
      </c>
      <c r="B11" s="0" t="n">
        <v>21691</v>
      </c>
      <c r="C11" s="0" t="s">
        <v>1917</v>
      </c>
      <c r="D11" s="0" t="s">
        <v>19</v>
      </c>
      <c r="E11" s="0" t="s">
        <v>18053</v>
      </c>
      <c r="F11" s="0" t="s">
        <v>40</v>
      </c>
      <c r="G11" s="0" t="s">
        <v>18054</v>
      </c>
    </row>
    <row r="12" customFormat="false" ht="15" hidden="false" customHeight="false" outlineLevel="0" collapsed="false">
      <c r="A12" s="0" t="n">
        <v>572</v>
      </c>
      <c r="B12" s="0" t="n">
        <v>3331</v>
      </c>
      <c r="C12" s="0" t="s">
        <v>2577</v>
      </c>
      <c r="D12" s="0" t="s">
        <v>1</v>
      </c>
      <c r="E12" s="0" t="s">
        <v>18058</v>
      </c>
      <c r="F12" s="0" t="s">
        <v>2577</v>
      </c>
      <c r="G12" s="0" t="s">
        <v>18059</v>
      </c>
    </row>
    <row r="13" customFormat="false" ht="15" hidden="false" customHeight="false" outlineLevel="0" collapsed="false">
      <c r="A13" s="0" t="n">
        <v>641</v>
      </c>
      <c r="B13" s="0" t="n">
        <v>22832</v>
      </c>
      <c r="C13" s="0" t="s">
        <v>2870</v>
      </c>
      <c r="D13" s="0" t="s">
        <v>22</v>
      </c>
      <c r="E13" s="0" t="s">
        <v>18055</v>
      </c>
      <c r="F13" s="0" t="s">
        <v>43</v>
      </c>
      <c r="G13" s="0" t="s">
        <v>18054</v>
      </c>
    </row>
    <row r="14" customFormat="false" ht="15" hidden="false" customHeight="false" outlineLevel="0" collapsed="false">
      <c r="A14" s="0" t="n">
        <v>646</v>
      </c>
      <c r="B14" s="0" t="n">
        <v>22842</v>
      </c>
      <c r="C14" s="0" t="s">
        <v>2890</v>
      </c>
      <c r="D14" s="0" t="s">
        <v>22</v>
      </c>
      <c r="E14" s="0" t="s">
        <v>18055</v>
      </c>
      <c r="F14" s="0" t="s">
        <v>43</v>
      </c>
      <c r="G14" s="0" t="s">
        <v>18054</v>
      </c>
    </row>
    <row r="15" customFormat="false" ht="15" hidden="false" customHeight="false" outlineLevel="0" collapsed="false">
      <c r="A15" s="0" t="n">
        <v>647</v>
      </c>
      <c r="B15" s="0" t="n">
        <v>22874</v>
      </c>
      <c r="C15" s="0" t="s">
        <v>2894</v>
      </c>
      <c r="D15" s="0" t="s">
        <v>22</v>
      </c>
      <c r="E15" s="0" t="s">
        <v>18057</v>
      </c>
      <c r="F15" s="0" t="s">
        <v>54</v>
      </c>
      <c r="G15" s="0" t="s">
        <v>18054</v>
      </c>
    </row>
    <row r="16" customFormat="false" ht="15" hidden="false" customHeight="false" outlineLevel="0" collapsed="false">
      <c r="A16" s="0" t="n">
        <v>689</v>
      </c>
      <c r="B16" s="0" t="n">
        <v>22864</v>
      </c>
      <c r="C16" s="0" t="s">
        <v>3067</v>
      </c>
      <c r="D16" s="0" t="s">
        <v>22</v>
      </c>
      <c r="E16" s="0" t="s">
        <v>18055</v>
      </c>
      <c r="F16" s="0" t="s">
        <v>43</v>
      </c>
      <c r="G16" s="0" t="s">
        <v>18054</v>
      </c>
    </row>
    <row r="17" customFormat="false" ht="15" hidden="false" customHeight="false" outlineLevel="0" collapsed="false">
      <c r="A17" s="0" t="n">
        <v>717</v>
      </c>
      <c r="B17" s="0" t="n">
        <v>22859</v>
      </c>
      <c r="C17" s="0" t="s">
        <v>3187</v>
      </c>
      <c r="D17" s="0" t="s">
        <v>22</v>
      </c>
      <c r="E17" s="0" t="s">
        <v>18055</v>
      </c>
      <c r="F17" s="0" t="s">
        <v>43</v>
      </c>
      <c r="G17" s="0" t="s">
        <v>18054</v>
      </c>
    </row>
    <row r="18" customFormat="false" ht="15" hidden="false" customHeight="false" outlineLevel="0" collapsed="false">
      <c r="A18" s="0" t="n">
        <v>811</v>
      </c>
      <c r="B18" s="0" t="n">
        <v>22855</v>
      </c>
      <c r="C18" s="0" t="s">
        <v>3607</v>
      </c>
      <c r="D18" s="0" t="s">
        <v>22</v>
      </c>
      <c r="E18" s="0" t="s">
        <v>18055</v>
      </c>
      <c r="F18" s="0" t="s">
        <v>43</v>
      </c>
      <c r="G18" s="0" t="s">
        <v>18054</v>
      </c>
    </row>
    <row r="19" customFormat="false" ht="15" hidden="false" customHeight="false" outlineLevel="0" collapsed="false">
      <c r="A19" s="0" t="n">
        <v>850</v>
      </c>
      <c r="B19" s="0" t="n">
        <v>9093</v>
      </c>
      <c r="C19" s="0" t="s">
        <v>3781</v>
      </c>
      <c r="D19" s="0" t="s">
        <v>21</v>
      </c>
      <c r="E19" s="0" t="s">
        <v>18051</v>
      </c>
      <c r="F19" s="0" t="s">
        <v>1216</v>
      </c>
      <c r="G19" s="0" t="s">
        <v>18052</v>
      </c>
    </row>
    <row r="20" customFormat="false" ht="15" hidden="false" customHeight="false" outlineLevel="0" collapsed="false">
      <c r="A20" s="0" t="n">
        <v>937</v>
      </c>
      <c r="B20" s="0" t="n">
        <v>22839</v>
      </c>
      <c r="C20" s="0" t="s">
        <v>4154</v>
      </c>
      <c r="D20" s="0" t="s">
        <v>22</v>
      </c>
      <c r="E20" s="0" t="s">
        <v>18057</v>
      </c>
      <c r="F20" s="0" t="s">
        <v>54</v>
      </c>
      <c r="G20" s="0" t="s">
        <v>18054</v>
      </c>
    </row>
    <row r="21" customFormat="false" ht="15" hidden="false" customHeight="false" outlineLevel="0" collapsed="false">
      <c r="A21" s="0" t="n">
        <v>940</v>
      </c>
      <c r="B21" s="0" t="n">
        <v>22834</v>
      </c>
      <c r="C21" s="0" t="s">
        <v>4166</v>
      </c>
      <c r="D21" s="0" t="s">
        <v>22</v>
      </c>
      <c r="E21" s="0" t="s">
        <v>18057</v>
      </c>
      <c r="F21" s="0" t="s">
        <v>54</v>
      </c>
      <c r="G21" s="0" t="s">
        <v>18054</v>
      </c>
    </row>
    <row r="22" customFormat="false" ht="15" hidden="false" customHeight="false" outlineLevel="0" collapsed="false">
      <c r="A22" s="0" t="n">
        <v>1032</v>
      </c>
      <c r="B22" s="0" t="n">
        <v>6411</v>
      </c>
      <c r="C22" s="0" t="s">
        <v>4555</v>
      </c>
      <c r="D22" s="0" t="s">
        <v>21</v>
      </c>
      <c r="E22" s="0" t="s">
        <v>18051</v>
      </c>
      <c r="F22" s="0" t="s">
        <v>1216</v>
      </c>
      <c r="G22" s="0" t="s">
        <v>18052</v>
      </c>
    </row>
    <row r="23" customFormat="false" ht="15" hidden="false" customHeight="false" outlineLevel="0" collapsed="false">
      <c r="A23" s="0" t="n">
        <v>1081</v>
      </c>
      <c r="B23" s="0" t="n">
        <v>12013</v>
      </c>
      <c r="C23" s="0" t="s">
        <v>4763</v>
      </c>
      <c r="D23" s="0" t="s">
        <v>21</v>
      </c>
      <c r="E23" s="0" t="s">
        <v>18051</v>
      </c>
      <c r="F23" s="0" t="s">
        <v>1216</v>
      </c>
      <c r="G23" s="0" t="s">
        <v>18052</v>
      </c>
    </row>
    <row r="24" customFormat="false" ht="15" hidden="false" customHeight="false" outlineLevel="0" collapsed="false">
      <c r="A24" s="0" t="n">
        <v>1113</v>
      </c>
      <c r="B24" s="0" t="n">
        <v>22481</v>
      </c>
      <c r="C24" s="0" t="s">
        <v>4902</v>
      </c>
      <c r="D24" s="0" t="s">
        <v>19</v>
      </c>
      <c r="E24" s="0" t="s">
        <v>18060</v>
      </c>
      <c r="F24" s="0" t="s">
        <v>108</v>
      </c>
      <c r="G24" s="0" t="s">
        <v>18054</v>
      </c>
    </row>
    <row r="25" customFormat="false" ht="15" hidden="false" customHeight="false" outlineLevel="0" collapsed="false">
      <c r="A25" s="0" t="n">
        <v>1113</v>
      </c>
      <c r="B25" s="0" t="n">
        <v>22481</v>
      </c>
      <c r="C25" s="0" t="s">
        <v>4902</v>
      </c>
      <c r="D25" s="0" t="s">
        <v>21</v>
      </c>
      <c r="E25" s="0" t="s">
        <v>18061</v>
      </c>
      <c r="F25" s="0" t="s">
        <v>99</v>
      </c>
      <c r="G25" s="0" t="s">
        <v>18052</v>
      </c>
    </row>
    <row r="26" customFormat="false" ht="15" hidden="false" customHeight="false" outlineLevel="0" collapsed="false">
      <c r="A26" s="0" t="n">
        <v>1323</v>
      </c>
      <c r="B26" s="0" t="n">
        <v>22403</v>
      </c>
      <c r="C26" s="0" t="s">
        <v>5804</v>
      </c>
      <c r="D26" s="0" t="s">
        <v>21</v>
      </c>
      <c r="E26" s="0" t="s">
        <v>18062</v>
      </c>
      <c r="F26" s="0" t="s">
        <v>42</v>
      </c>
      <c r="G26" s="0" t="s">
        <v>18052</v>
      </c>
    </row>
    <row r="27" customFormat="false" ht="15" hidden="false" customHeight="false" outlineLevel="0" collapsed="false">
      <c r="A27" s="0" t="n">
        <v>1387</v>
      </c>
      <c r="B27" s="0" t="n">
        <v>14978</v>
      </c>
      <c r="C27" s="0" t="s">
        <v>6084</v>
      </c>
      <c r="D27" s="0" t="s">
        <v>21</v>
      </c>
      <c r="E27" s="0" t="s">
        <v>18051</v>
      </c>
      <c r="F27" s="0" t="s">
        <v>1216</v>
      </c>
      <c r="G27" s="0" t="s">
        <v>18052</v>
      </c>
    </row>
    <row r="28" customFormat="false" ht="15" hidden="false" customHeight="false" outlineLevel="0" collapsed="false">
      <c r="A28" s="0" t="n">
        <v>1441</v>
      </c>
      <c r="B28" s="0" t="n">
        <v>21678</v>
      </c>
      <c r="C28" s="0" t="s">
        <v>6316</v>
      </c>
      <c r="D28" s="0" t="s">
        <v>19</v>
      </c>
      <c r="E28" s="0" t="s">
        <v>18053</v>
      </c>
      <c r="F28" s="0" t="s">
        <v>40</v>
      </c>
      <c r="G28" s="0" t="s">
        <v>18054</v>
      </c>
    </row>
    <row r="29" customFormat="false" ht="15" hidden="false" customHeight="false" outlineLevel="0" collapsed="false">
      <c r="A29" s="0" t="n">
        <v>1442</v>
      </c>
      <c r="B29" s="0" t="n">
        <v>22830</v>
      </c>
      <c r="C29" s="0" t="s">
        <v>6321</v>
      </c>
      <c r="D29" s="0" t="s">
        <v>22</v>
      </c>
      <c r="E29" s="0" t="s">
        <v>18055</v>
      </c>
      <c r="F29" s="0" t="s">
        <v>43</v>
      </c>
      <c r="G29" s="0" t="s">
        <v>18054</v>
      </c>
    </row>
    <row r="30" customFormat="false" ht="15" hidden="false" customHeight="false" outlineLevel="0" collapsed="false">
      <c r="A30" s="0" t="n">
        <v>1454</v>
      </c>
      <c r="B30" s="0" t="n">
        <v>22833</v>
      </c>
      <c r="C30" s="0" t="s">
        <v>6369</v>
      </c>
      <c r="D30" s="0" t="s">
        <v>22</v>
      </c>
      <c r="E30" s="0" t="s">
        <v>18057</v>
      </c>
      <c r="F30" s="0" t="s">
        <v>54</v>
      </c>
      <c r="G30" s="0" t="s">
        <v>18054</v>
      </c>
    </row>
    <row r="31" customFormat="false" ht="15" hidden="false" customHeight="false" outlineLevel="0" collapsed="false">
      <c r="A31" s="0" t="n">
        <v>1456</v>
      </c>
      <c r="B31" s="0" t="n">
        <v>22875</v>
      </c>
      <c r="C31" s="0" t="s">
        <v>6377</v>
      </c>
      <c r="D31" s="0" t="s">
        <v>22</v>
      </c>
      <c r="E31" s="0" t="s">
        <v>18057</v>
      </c>
      <c r="F31" s="0" t="s">
        <v>54</v>
      </c>
      <c r="G31" s="0" t="s">
        <v>18054</v>
      </c>
    </row>
    <row r="32" customFormat="false" ht="15" hidden="false" customHeight="false" outlineLevel="0" collapsed="false">
      <c r="A32" s="0" t="n">
        <v>1509</v>
      </c>
      <c r="B32" s="0" t="n">
        <v>16179</v>
      </c>
      <c r="C32" s="0" t="s">
        <v>6609</v>
      </c>
      <c r="D32" s="0" t="s">
        <v>21</v>
      </c>
      <c r="E32" s="0" t="s">
        <v>18051</v>
      </c>
      <c r="F32" s="0" t="s">
        <v>1216</v>
      </c>
      <c r="G32" s="0" t="s">
        <v>18052</v>
      </c>
    </row>
    <row r="33" customFormat="false" ht="15" hidden="false" customHeight="false" outlineLevel="0" collapsed="false">
      <c r="A33" s="0" t="n">
        <v>1541</v>
      </c>
      <c r="B33" s="0" t="n">
        <v>22845</v>
      </c>
      <c r="C33" s="0" t="s">
        <v>6755</v>
      </c>
      <c r="D33" s="0" t="s">
        <v>22</v>
      </c>
      <c r="E33" s="0" t="s">
        <v>18057</v>
      </c>
      <c r="F33" s="0" t="s">
        <v>54</v>
      </c>
      <c r="G33" s="0" t="s">
        <v>18054</v>
      </c>
    </row>
    <row r="34" customFormat="false" ht="15" hidden="false" customHeight="false" outlineLevel="0" collapsed="false">
      <c r="A34" s="0" t="n">
        <v>1552</v>
      </c>
      <c r="B34" s="0" t="n">
        <v>22831</v>
      </c>
      <c r="C34" s="0" t="s">
        <v>6800</v>
      </c>
      <c r="D34" s="0" t="s">
        <v>22</v>
      </c>
      <c r="E34" s="0" t="s">
        <v>18055</v>
      </c>
      <c r="F34" s="0" t="s">
        <v>43</v>
      </c>
      <c r="G34" s="0" t="s">
        <v>18054</v>
      </c>
    </row>
    <row r="35" customFormat="false" ht="15" hidden="false" customHeight="false" outlineLevel="0" collapsed="false">
      <c r="A35" s="0" t="n">
        <v>1736</v>
      </c>
      <c r="B35" s="0" t="n">
        <v>17975</v>
      </c>
      <c r="C35" s="0" t="s">
        <v>7554</v>
      </c>
      <c r="D35" s="0" t="s">
        <v>4</v>
      </c>
      <c r="E35" s="0" t="s">
        <v>18063</v>
      </c>
      <c r="F35" s="0" t="s">
        <v>7556</v>
      </c>
      <c r="G35" s="0" t="s">
        <v>18054</v>
      </c>
    </row>
    <row r="36" customFormat="false" ht="15" hidden="false" customHeight="false" outlineLevel="0" collapsed="false">
      <c r="A36" s="0" t="n">
        <v>1807</v>
      </c>
      <c r="B36" s="0" t="n">
        <v>18415</v>
      </c>
      <c r="C36" s="0" t="s">
        <v>7850</v>
      </c>
      <c r="D36" s="0" t="s">
        <v>19</v>
      </c>
      <c r="E36" s="0" t="s">
        <v>18053</v>
      </c>
      <c r="F36" s="0" t="s">
        <v>40</v>
      </c>
      <c r="G36" s="0" t="s">
        <v>18054</v>
      </c>
    </row>
    <row r="37" customFormat="false" ht="15" hidden="false" customHeight="false" outlineLevel="0" collapsed="false">
      <c r="A37" s="0" t="n">
        <v>1814</v>
      </c>
      <c r="B37" s="0" t="n">
        <v>12363</v>
      </c>
      <c r="C37" s="0" t="s">
        <v>7877</v>
      </c>
      <c r="D37" s="0" t="s">
        <v>21</v>
      </c>
      <c r="E37" s="0" t="s">
        <v>18051</v>
      </c>
      <c r="F37" s="0" t="s">
        <v>1216</v>
      </c>
      <c r="G37" s="0" t="s">
        <v>18052</v>
      </c>
    </row>
    <row r="38" customFormat="false" ht="15" hidden="false" customHeight="false" outlineLevel="0" collapsed="false">
      <c r="A38" s="0" t="n">
        <v>1826</v>
      </c>
      <c r="B38" s="0" t="n">
        <v>18500</v>
      </c>
      <c r="C38" s="0" t="s">
        <v>7935</v>
      </c>
      <c r="D38" s="0" t="s">
        <v>19</v>
      </c>
      <c r="E38" s="0" t="s">
        <v>18053</v>
      </c>
      <c r="F38" s="0" t="s">
        <v>40</v>
      </c>
      <c r="G38" s="0" t="s">
        <v>18054</v>
      </c>
    </row>
    <row r="39" customFormat="false" ht="15" hidden="false" customHeight="false" outlineLevel="0" collapsed="false">
      <c r="A39" s="0" t="n">
        <v>1833</v>
      </c>
      <c r="B39" s="0" t="n">
        <v>18534</v>
      </c>
      <c r="C39" s="0" t="s">
        <v>7964</v>
      </c>
      <c r="D39" s="0" t="s">
        <v>19</v>
      </c>
      <c r="E39" s="0" t="s">
        <v>18053</v>
      </c>
      <c r="F39" s="0" t="s">
        <v>40</v>
      </c>
      <c r="G39" s="0" t="s">
        <v>18054</v>
      </c>
    </row>
    <row r="40" customFormat="false" ht="15" hidden="false" customHeight="false" outlineLevel="0" collapsed="false">
      <c r="A40" s="0" t="n">
        <v>1834</v>
      </c>
      <c r="B40" s="0" t="n">
        <v>18538</v>
      </c>
      <c r="C40" s="0" t="s">
        <v>7967</v>
      </c>
      <c r="D40" s="0" t="s">
        <v>19</v>
      </c>
      <c r="E40" s="0" t="s">
        <v>18053</v>
      </c>
      <c r="F40" s="0" t="s">
        <v>40</v>
      </c>
      <c r="G40" s="0" t="s">
        <v>18054</v>
      </c>
    </row>
    <row r="41" customFormat="false" ht="15" hidden="false" customHeight="false" outlineLevel="0" collapsed="false">
      <c r="A41" s="0" t="n">
        <v>1836</v>
      </c>
      <c r="B41" s="0" t="n">
        <v>18540</v>
      </c>
      <c r="C41" s="0" t="s">
        <v>7977</v>
      </c>
      <c r="D41" s="0" t="s">
        <v>19</v>
      </c>
      <c r="E41" s="0" t="s">
        <v>18053</v>
      </c>
      <c r="F41" s="0" t="s">
        <v>40</v>
      </c>
      <c r="G41" s="0" t="s">
        <v>18054</v>
      </c>
    </row>
    <row r="42" customFormat="false" ht="15" hidden="false" customHeight="false" outlineLevel="0" collapsed="false">
      <c r="A42" s="0" t="n">
        <v>1837</v>
      </c>
      <c r="B42" s="0" t="n">
        <v>18541</v>
      </c>
      <c r="C42" s="0" t="s">
        <v>7983</v>
      </c>
      <c r="D42" s="0" t="s">
        <v>19</v>
      </c>
      <c r="E42" s="0" t="s">
        <v>18053</v>
      </c>
      <c r="F42" s="0" t="s">
        <v>40</v>
      </c>
      <c r="G42" s="0" t="s">
        <v>18054</v>
      </c>
    </row>
    <row r="43" customFormat="false" ht="15" hidden="false" customHeight="false" outlineLevel="0" collapsed="false">
      <c r="A43" s="0" t="n">
        <v>1838</v>
      </c>
      <c r="B43" s="0" t="n">
        <v>18542</v>
      </c>
      <c r="C43" s="0" t="s">
        <v>7987</v>
      </c>
      <c r="D43" s="0" t="s">
        <v>19</v>
      </c>
      <c r="E43" s="0" t="s">
        <v>18053</v>
      </c>
      <c r="F43" s="0" t="s">
        <v>40</v>
      </c>
      <c r="G43" s="0" t="s">
        <v>18054</v>
      </c>
    </row>
    <row r="44" customFormat="false" ht="15" hidden="false" customHeight="false" outlineLevel="0" collapsed="false">
      <c r="A44" s="0" t="n">
        <v>1839</v>
      </c>
      <c r="B44" s="0" t="n">
        <v>18543</v>
      </c>
      <c r="C44" s="0" t="s">
        <v>7992</v>
      </c>
      <c r="D44" s="0" t="s">
        <v>19</v>
      </c>
      <c r="E44" s="0" t="s">
        <v>18053</v>
      </c>
      <c r="F44" s="0" t="s">
        <v>40</v>
      </c>
      <c r="G44" s="0" t="s">
        <v>18054</v>
      </c>
    </row>
    <row r="45" customFormat="false" ht="15" hidden="false" customHeight="false" outlineLevel="0" collapsed="false">
      <c r="A45" s="0" t="n">
        <v>1840</v>
      </c>
      <c r="B45" s="0" t="n">
        <v>18544</v>
      </c>
      <c r="C45" s="0" t="s">
        <v>7996</v>
      </c>
      <c r="D45" s="0" t="s">
        <v>19</v>
      </c>
      <c r="E45" s="0" t="s">
        <v>18053</v>
      </c>
      <c r="F45" s="0" t="s">
        <v>40</v>
      </c>
      <c r="G45" s="0" t="s">
        <v>18054</v>
      </c>
    </row>
    <row r="46" customFormat="false" ht="15" hidden="false" customHeight="false" outlineLevel="0" collapsed="false">
      <c r="A46" s="0" t="n">
        <v>1841</v>
      </c>
      <c r="B46" s="0" t="n">
        <v>18545</v>
      </c>
      <c r="C46" s="0" t="s">
        <v>8000</v>
      </c>
      <c r="D46" s="0" t="s">
        <v>19</v>
      </c>
      <c r="E46" s="0" t="s">
        <v>18053</v>
      </c>
      <c r="F46" s="0" t="s">
        <v>40</v>
      </c>
      <c r="G46" s="0" t="s">
        <v>18054</v>
      </c>
    </row>
    <row r="47" customFormat="false" ht="15" hidden="false" customHeight="false" outlineLevel="0" collapsed="false">
      <c r="A47" s="0" t="n">
        <v>1842</v>
      </c>
      <c r="B47" s="0" t="n">
        <v>18546</v>
      </c>
      <c r="C47" s="0" t="s">
        <v>8004</v>
      </c>
      <c r="D47" s="0" t="s">
        <v>19</v>
      </c>
      <c r="E47" s="0" t="s">
        <v>18053</v>
      </c>
      <c r="F47" s="0" t="s">
        <v>40</v>
      </c>
      <c r="G47" s="0" t="s">
        <v>18054</v>
      </c>
    </row>
    <row r="48" customFormat="false" ht="15" hidden="false" customHeight="false" outlineLevel="0" collapsed="false">
      <c r="A48" s="0" t="n">
        <v>1843</v>
      </c>
      <c r="B48" s="0" t="n">
        <v>18547</v>
      </c>
      <c r="C48" s="0" t="s">
        <v>8010</v>
      </c>
      <c r="D48" s="0" t="s">
        <v>19</v>
      </c>
      <c r="E48" s="0" t="s">
        <v>18053</v>
      </c>
      <c r="F48" s="0" t="s">
        <v>40</v>
      </c>
      <c r="G48" s="0" t="s">
        <v>18054</v>
      </c>
    </row>
    <row r="49" customFormat="false" ht="15" hidden="false" customHeight="false" outlineLevel="0" collapsed="false">
      <c r="A49" s="0" t="n">
        <v>1844</v>
      </c>
      <c r="B49" s="0" t="n">
        <v>18548</v>
      </c>
      <c r="C49" s="0" t="s">
        <v>8014</v>
      </c>
      <c r="D49" s="0" t="s">
        <v>19</v>
      </c>
      <c r="E49" s="0" t="s">
        <v>18053</v>
      </c>
      <c r="F49" s="0" t="s">
        <v>40</v>
      </c>
      <c r="G49" s="0" t="s">
        <v>18054</v>
      </c>
    </row>
    <row r="50" customFormat="false" ht="15" hidden="false" customHeight="false" outlineLevel="0" collapsed="false">
      <c r="A50" s="0" t="n">
        <v>1845</v>
      </c>
      <c r="B50" s="0" t="n">
        <v>18549</v>
      </c>
      <c r="C50" s="0" t="s">
        <v>8018</v>
      </c>
      <c r="D50" s="0" t="s">
        <v>19</v>
      </c>
      <c r="E50" s="0" t="s">
        <v>18053</v>
      </c>
      <c r="F50" s="0" t="s">
        <v>40</v>
      </c>
      <c r="G50" s="0" t="s">
        <v>18054</v>
      </c>
    </row>
    <row r="51" customFormat="false" ht="15" hidden="false" customHeight="false" outlineLevel="0" collapsed="false">
      <c r="A51" s="0" t="n">
        <v>1846</v>
      </c>
      <c r="B51" s="0" t="n">
        <v>18550</v>
      </c>
      <c r="C51" s="0" t="s">
        <v>8022</v>
      </c>
      <c r="D51" s="0" t="s">
        <v>19</v>
      </c>
      <c r="E51" s="0" t="s">
        <v>18053</v>
      </c>
      <c r="F51" s="0" t="s">
        <v>40</v>
      </c>
      <c r="G51" s="0" t="s">
        <v>18054</v>
      </c>
    </row>
    <row r="52" customFormat="false" ht="15" hidden="false" customHeight="false" outlineLevel="0" collapsed="false">
      <c r="A52" s="0" t="n">
        <v>1848</v>
      </c>
      <c r="B52" s="0" t="n">
        <v>18552</v>
      </c>
      <c r="C52" s="0" t="s">
        <v>8030</v>
      </c>
      <c r="D52" s="0" t="s">
        <v>19</v>
      </c>
      <c r="E52" s="0" t="s">
        <v>18053</v>
      </c>
      <c r="F52" s="0" t="s">
        <v>40</v>
      </c>
      <c r="G52" s="0" t="s">
        <v>18054</v>
      </c>
    </row>
    <row r="53" customFormat="false" ht="15" hidden="false" customHeight="false" outlineLevel="0" collapsed="false">
      <c r="A53" s="0" t="n">
        <v>1849</v>
      </c>
      <c r="B53" s="0" t="n">
        <v>18553</v>
      </c>
      <c r="C53" s="0" t="s">
        <v>8034</v>
      </c>
      <c r="D53" s="0" t="s">
        <v>19</v>
      </c>
      <c r="E53" s="0" t="s">
        <v>18053</v>
      </c>
      <c r="F53" s="0" t="s">
        <v>40</v>
      </c>
      <c r="G53" s="0" t="s">
        <v>18054</v>
      </c>
    </row>
    <row r="54" customFormat="false" ht="15" hidden="false" customHeight="false" outlineLevel="0" collapsed="false">
      <c r="A54" s="0" t="n">
        <v>1850</v>
      </c>
      <c r="B54" s="0" t="n">
        <v>18554</v>
      </c>
      <c r="C54" s="0" t="s">
        <v>8038</v>
      </c>
      <c r="D54" s="0" t="s">
        <v>19</v>
      </c>
      <c r="E54" s="0" t="s">
        <v>18053</v>
      </c>
      <c r="F54" s="0" t="s">
        <v>40</v>
      </c>
      <c r="G54" s="0" t="s">
        <v>18054</v>
      </c>
    </row>
    <row r="55" customFormat="false" ht="15" hidden="false" customHeight="false" outlineLevel="0" collapsed="false">
      <c r="A55" s="0" t="n">
        <v>1851</v>
      </c>
      <c r="B55" s="0" t="n">
        <v>18555</v>
      </c>
      <c r="C55" s="0" t="s">
        <v>8042</v>
      </c>
      <c r="D55" s="0" t="s">
        <v>19</v>
      </c>
      <c r="E55" s="0" t="s">
        <v>18053</v>
      </c>
      <c r="F55" s="0" t="s">
        <v>40</v>
      </c>
      <c r="G55" s="0" t="s">
        <v>18054</v>
      </c>
    </row>
    <row r="56" customFormat="false" ht="15" hidden="false" customHeight="false" outlineLevel="0" collapsed="false">
      <c r="A56" s="0" t="n">
        <v>1854</v>
      </c>
      <c r="B56" s="0" t="n">
        <v>18558</v>
      </c>
      <c r="C56" s="0" t="s">
        <v>8054</v>
      </c>
      <c r="D56" s="0" t="s">
        <v>19</v>
      </c>
      <c r="E56" s="0" t="s">
        <v>18053</v>
      </c>
      <c r="F56" s="0" t="s">
        <v>40</v>
      </c>
      <c r="G56" s="0" t="s">
        <v>18054</v>
      </c>
    </row>
    <row r="57" customFormat="false" ht="15" hidden="false" customHeight="false" outlineLevel="0" collapsed="false">
      <c r="A57" s="0" t="n">
        <v>1855</v>
      </c>
      <c r="B57" s="0" t="n">
        <v>18559</v>
      </c>
      <c r="C57" s="0" t="s">
        <v>8058</v>
      </c>
      <c r="D57" s="0" t="s">
        <v>19</v>
      </c>
      <c r="E57" s="0" t="s">
        <v>18053</v>
      </c>
      <c r="F57" s="0" t="s">
        <v>40</v>
      </c>
      <c r="G57" s="0" t="s">
        <v>18054</v>
      </c>
    </row>
    <row r="58" customFormat="false" ht="15" hidden="false" customHeight="false" outlineLevel="0" collapsed="false">
      <c r="A58" s="0" t="n">
        <v>1856</v>
      </c>
      <c r="B58" s="0" t="n">
        <v>18560</v>
      </c>
      <c r="C58" s="0" t="s">
        <v>8062</v>
      </c>
      <c r="D58" s="0" t="s">
        <v>19</v>
      </c>
      <c r="E58" s="0" t="s">
        <v>18053</v>
      </c>
      <c r="F58" s="0" t="s">
        <v>40</v>
      </c>
      <c r="G58" s="0" t="s">
        <v>18054</v>
      </c>
    </row>
    <row r="59" customFormat="false" ht="15" hidden="false" customHeight="false" outlineLevel="0" collapsed="false">
      <c r="A59" s="0" t="n">
        <v>1872</v>
      </c>
      <c r="B59" s="0" t="n">
        <v>18627</v>
      </c>
      <c r="C59" s="0" t="s">
        <v>8129</v>
      </c>
      <c r="D59" s="0" t="s">
        <v>19</v>
      </c>
      <c r="E59" s="0" t="s">
        <v>18053</v>
      </c>
      <c r="F59" s="0" t="s">
        <v>40</v>
      </c>
      <c r="G59" s="0" t="s">
        <v>18054</v>
      </c>
    </row>
    <row r="60" customFormat="false" ht="15" hidden="false" customHeight="false" outlineLevel="0" collapsed="false">
      <c r="A60" s="0" t="n">
        <v>1873</v>
      </c>
      <c r="B60" s="0" t="n">
        <v>18628</v>
      </c>
      <c r="C60" s="0" t="s">
        <v>8134</v>
      </c>
      <c r="D60" s="0" t="s">
        <v>19</v>
      </c>
      <c r="E60" s="0" t="s">
        <v>18053</v>
      </c>
      <c r="F60" s="0" t="s">
        <v>40</v>
      </c>
      <c r="G60" s="0" t="s">
        <v>18054</v>
      </c>
    </row>
    <row r="61" customFormat="false" ht="15" hidden="false" customHeight="false" outlineLevel="0" collapsed="false">
      <c r="A61" s="0" t="n">
        <v>1874</v>
      </c>
      <c r="B61" s="0" t="n">
        <v>18629</v>
      </c>
      <c r="C61" s="0" t="s">
        <v>8139</v>
      </c>
      <c r="D61" s="0" t="s">
        <v>19</v>
      </c>
      <c r="E61" s="0" t="s">
        <v>18053</v>
      </c>
      <c r="F61" s="0" t="s">
        <v>40</v>
      </c>
      <c r="G61" s="0" t="s">
        <v>18054</v>
      </c>
    </row>
    <row r="62" customFormat="false" ht="15" hidden="false" customHeight="false" outlineLevel="0" collapsed="false">
      <c r="A62" s="0" t="n">
        <v>1875</v>
      </c>
      <c r="B62" s="0" t="n">
        <v>18631</v>
      </c>
      <c r="C62" s="0" t="s">
        <v>8143</v>
      </c>
      <c r="D62" s="0" t="s">
        <v>19</v>
      </c>
      <c r="E62" s="0" t="s">
        <v>18053</v>
      </c>
      <c r="F62" s="0" t="s">
        <v>40</v>
      </c>
      <c r="G62" s="0" t="s">
        <v>18054</v>
      </c>
    </row>
    <row r="63" customFormat="false" ht="15" hidden="false" customHeight="false" outlineLevel="0" collapsed="false">
      <c r="A63" s="0" t="n">
        <v>1876</v>
      </c>
      <c r="B63" s="0" t="n">
        <v>18632</v>
      </c>
      <c r="C63" s="0" t="s">
        <v>8147</v>
      </c>
      <c r="D63" s="0" t="s">
        <v>19</v>
      </c>
      <c r="E63" s="0" t="s">
        <v>18053</v>
      </c>
      <c r="F63" s="0" t="s">
        <v>40</v>
      </c>
      <c r="G63" s="0" t="s">
        <v>18054</v>
      </c>
    </row>
    <row r="64" customFormat="false" ht="15" hidden="false" customHeight="false" outlineLevel="0" collapsed="false">
      <c r="A64" s="0" t="n">
        <v>1877</v>
      </c>
      <c r="B64" s="0" t="n">
        <v>18633</v>
      </c>
      <c r="C64" s="0" t="s">
        <v>8151</v>
      </c>
      <c r="D64" s="0" t="s">
        <v>19</v>
      </c>
      <c r="E64" s="0" t="s">
        <v>18053</v>
      </c>
      <c r="F64" s="0" t="s">
        <v>40</v>
      </c>
      <c r="G64" s="0" t="s">
        <v>18054</v>
      </c>
    </row>
    <row r="65" customFormat="false" ht="15" hidden="false" customHeight="false" outlineLevel="0" collapsed="false">
      <c r="A65" s="0" t="n">
        <v>1878</v>
      </c>
      <c r="B65" s="0" t="n">
        <v>22556</v>
      </c>
      <c r="C65" s="0" t="s">
        <v>8155</v>
      </c>
      <c r="D65" s="0" t="s">
        <v>19</v>
      </c>
      <c r="E65" s="0" t="s">
        <v>18053</v>
      </c>
      <c r="F65" s="0" t="s">
        <v>40</v>
      </c>
      <c r="G65" s="0" t="s">
        <v>18054</v>
      </c>
    </row>
    <row r="66" customFormat="false" ht="15" hidden="false" customHeight="false" outlineLevel="0" collapsed="false">
      <c r="A66" s="0" t="n">
        <v>1879</v>
      </c>
      <c r="B66" s="0" t="n">
        <v>18637</v>
      </c>
      <c r="C66" s="0" t="s">
        <v>8159</v>
      </c>
      <c r="D66" s="0" t="s">
        <v>19</v>
      </c>
      <c r="E66" s="0" t="s">
        <v>18053</v>
      </c>
      <c r="F66" s="0" t="s">
        <v>40</v>
      </c>
      <c r="G66" s="0" t="s">
        <v>18054</v>
      </c>
    </row>
    <row r="67" customFormat="false" ht="15" hidden="false" customHeight="false" outlineLevel="0" collapsed="false">
      <c r="A67" s="0" t="n">
        <v>1880</v>
      </c>
      <c r="B67" s="0" t="n">
        <v>18638</v>
      </c>
      <c r="C67" s="0" t="s">
        <v>8163</v>
      </c>
      <c r="D67" s="0" t="s">
        <v>19</v>
      </c>
      <c r="E67" s="0" t="s">
        <v>18053</v>
      </c>
      <c r="F67" s="0" t="s">
        <v>40</v>
      </c>
      <c r="G67" s="0" t="s">
        <v>18054</v>
      </c>
    </row>
    <row r="68" customFormat="false" ht="15" hidden="false" customHeight="false" outlineLevel="0" collapsed="false">
      <c r="A68" s="0" t="n">
        <v>1881</v>
      </c>
      <c r="B68" s="0" t="n">
        <v>18639</v>
      </c>
      <c r="C68" s="0" t="s">
        <v>8167</v>
      </c>
      <c r="D68" s="0" t="s">
        <v>19</v>
      </c>
      <c r="E68" s="0" t="s">
        <v>18053</v>
      </c>
      <c r="F68" s="0" t="s">
        <v>40</v>
      </c>
      <c r="G68" s="0" t="s">
        <v>18054</v>
      </c>
    </row>
    <row r="69" customFormat="false" ht="15" hidden="false" customHeight="false" outlineLevel="0" collapsed="false">
      <c r="A69" s="0" t="n">
        <v>1882</v>
      </c>
      <c r="B69" s="0" t="n">
        <v>18640</v>
      </c>
      <c r="C69" s="0" t="s">
        <v>8172</v>
      </c>
      <c r="D69" s="0" t="s">
        <v>19</v>
      </c>
      <c r="E69" s="0" t="s">
        <v>18053</v>
      </c>
      <c r="F69" s="0" t="s">
        <v>40</v>
      </c>
      <c r="G69" s="0" t="s">
        <v>18054</v>
      </c>
    </row>
    <row r="70" customFormat="false" ht="15" hidden="false" customHeight="false" outlineLevel="0" collapsed="false">
      <c r="A70" s="0" t="n">
        <v>1895</v>
      </c>
      <c r="B70" s="0" t="n">
        <v>18690</v>
      </c>
      <c r="C70" s="0" t="s">
        <v>8232</v>
      </c>
      <c r="D70" s="0" t="s">
        <v>19</v>
      </c>
      <c r="E70" s="0" t="s">
        <v>18053</v>
      </c>
      <c r="F70" s="0" t="s">
        <v>40</v>
      </c>
      <c r="G70" s="0" t="s">
        <v>18054</v>
      </c>
    </row>
    <row r="71" customFormat="false" ht="15" hidden="false" customHeight="false" outlineLevel="0" collapsed="false">
      <c r="A71" s="0" t="n">
        <v>1896</v>
      </c>
      <c r="B71" s="0" t="n">
        <v>18692</v>
      </c>
      <c r="C71" s="0" t="s">
        <v>8236</v>
      </c>
      <c r="D71" s="0" t="s">
        <v>19</v>
      </c>
      <c r="E71" s="0" t="s">
        <v>18053</v>
      </c>
      <c r="F71" s="0" t="s">
        <v>40</v>
      </c>
      <c r="G71" s="0" t="s">
        <v>18054</v>
      </c>
    </row>
    <row r="72" customFormat="false" ht="15" hidden="false" customHeight="false" outlineLevel="0" collapsed="false">
      <c r="A72" s="0" t="n">
        <v>1897</v>
      </c>
      <c r="B72" s="0" t="n">
        <v>18693</v>
      </c>
      <c r="C72" s="0" t="s">
        <v>8239</v>
      </c>
      <c r="D72" s="0" t="s">
        <v>19</v>
      </c>
      <c r="E72" s="0" t="s">
        <v>18053</v>
      </c>
      <c r="F72" s="0" t="s">
        <v>40</v>
      </c>
      <c r="G72" s="0" t="s">
        <v>18054</v>
      </c>
    </row>
    <row r="73" customFormat="false" ht="15" hidden="false" customHeight="false" outlineLevel="0" collapsed="false">
      <c r="A73" s="0" t="n">
        <v>1898</v>
      </c>
      <c r="B73" s="0" t="n">
        <v>18694</v>
      </c>
      <c r="C73" s="0" t="s">
        <v>8244</v>
      </c>
      <c r="D73" s="0" t="s">
        <v>19</v>
      </c>
      <c r="E73" s="0" t="s">
        <v>18053</v>
      </c>
      <c r="F73" s="0" t="s">
        <v>40</v>
      </c>
      <c r="G73" s="0" t="s">
        <v>18054</v>
      </c>
    </row>
    <row r="74" customFormat="false" ht="15" hidden="false" customHeight="false" outlineLevel="0" collapsed="false">
      <c r="A74" s="0" t="n">
        <v>1899</v>
      </c>
      <c r="B74" s="0" t="n">
        <v>18695</v>
      </c>
      <c r="C74" s="0" t="s">
        <v>8247</v>
      </c>
      <c r="D74" s="0" t="s">
        <v>19</v>
      </c>
      <c r="E74" s="0" t="s">
        <v>18053</v>
      </c>
      <c r="F74" s="0" t="s">
        <v>40</v>
      </c>
      <c r="G74" s="0" t="s">
        <v>18054</v>
      </c>
    </row>
    <row r="75" customFormat="false" ht="15" hidden="false" customHeight="false" outlineLevel="0" collapsed="false">
      <c r="A75" s="0" t="n">
        <v>1900</v>
      </c>
      <c r="B75" s="0" t="n">
        <v>18697</v>
      </c>
      <c r="C75" s="0" t="s">
        <v>8250</v>
      </c>
      <c r="D75" s="0" t="s">
        <v>19</v>
      </c>
      <c r="E75" s="0" t="s">
        <v>18053</v>
      </c>
      <c r="F75" s="0" t="s">
        <v>40</v>
      </c>
      <c r="G75" s="0" t="s">
        <v>18054</v>
      </c>
    </row>
    <row r="76" customFormat="false" ht="15" hidden="false" customHeight="false" outlineLevel="0" collapsed="false">
      <c r="A76" s="0" t="n">
        <v>1901</v>
      </c>
      <c r="B76" s="0" t="n">
        <v>18698</v>
      </c>
      <c r="C76" s="0" t="s">
        <v>8253</v>
      </c>
      <c r="D76" s="0" t="s">
        <v>19</v>
      </c>
      <c r="E76" s="0" t="s">
        <v>18053</v>
      </c>
      <c r="F76" s="0" t="s">
        <v>40</v>
      </c>
      <c r="G76" s="0" t="s">
        <v>18054</v>
      </c>
    </row>
    <row r="77" customFormat="false" ht="15" hidden="false" customHeight="false" outlineLevel="0" collapsed="false">
      <c r="A77" s="0" t="n">
        <v>1902</v>
      </c>
      <c r="B77" s="0" t="n">
        <v>18700</v>
      </c>
      <c r="C77" s="0" t="s">
        <v>8257</v>
      </c>
      <c r="D77" s="0" t="s">
        <v>19</v>
      </c>
      <c r="E77" s="0" t="s">
        <v>18053</v>
      </c>
      <c r="F77" s="0" t="s">
        <v>40</v>
      </c>
      <c r="G77" s="0" t="s">
        <v>18054</v>
      </c>
    </row>
    <row r="78" customFormat="false" ht="15" hidden="false" customHeight="false" outlineLevel="0" collapsed="false">
      <c r="A78" s="0" t="n">
        <v>1903</v>
      </c>
      <c r="B78" s="0" t="n">
        <v>18701</v>
      </c>
      <c r="C78" s="0" t="s">
        <v>8261</v>
      </c>
      <c r="D78" s="0" t="s">
        <v>19</v>
      </c>
      <c r="E78" s="0" t="s">
        <v>18053</v>
      </c>
      <c r="F78" s="0" t="s">
        <v>40</v>
      </c>
      <c r="G78" s="0" t="s">
        <v>18054</v>
      </c>
    </row>
    <row r="79" customFormat="false" ht="15" hidden="false" customHeight="false" outlineLevel="0" collapsed="false">
      <c r="A79" s="0" t="n">
        <v>1904</v>
      </c>
      <c r="B79" s="0" t="n">
        <v>18710</v>
      </c>
      <c r="C79" s="0" t="s">
        <v>8265</v>
      </c>
      <c r="D79" s="0" t="s">
        <v>19</v>
      </c>
      <c r="E79" s="0" t="s">
        <v>18053</v>
      </c>
      <c r="F79" s="0" t="s">
        <v>40</v>
      </c>
      <c r="G79" s="0" t="s">
        <v>18054</v>
      </c>
    </row>
    <row r="80" customFormat="false" ht="15" hidden="false" customHeight="false" outlineLevel="0" collapsed="false">
      <c r="A80" s="0" t="n">
        <v>1917</v>
      </c>
      <c r="B80" s="0" t="n">
        <v>18749</v>
      </c>
      <c r="C80" s="0" t="s">
        <v>8315</v>
      </c>
      <c r="D80" s="0" t="s">
        <v>19</v>
      </c>
      <c r="E80" s="0" t="s">
        <v>18053</v>
      </c>
      <c r="F80" s="0" t="s">
        <v>40</v>
      </c>
      <c r="G80" s="0" t="s">
        <v>18054</v>
      </c>
    </row>
    <row r="81" customFormat="false" ht="15" hidden="false" customHeight="false" outlineLevel="0" collapsed="false">
      <c r="A81" s="0" t="n">
        <v>1918</v>
      </c>
      <c r="B81" s="0" t="n">
        <v>18750</v>
      </c>
      <c r="C81" s="0" t="s">
        <v>8319</v>
      </c>
      <c r="D81" s="0" t="s">
        <v>19</v>
      </c>
      <c r="E81" s="0" t="s">
        <v>18053</v>
      </c>
      <c r="F81" s="0" t="s">
        <v>40</v>
      </c>
      <c r="G81" s="0" t="s">
        <v>18054</v>
      </c>
    </row>
    <row r="82" customFormat="false" ht="15" hidden="false" customHeight="false" outlineLevel="0" collapsed="false">
      <c r="A82" s="0" t="n">
        <v>1926</v>
      </c>
      <c r="B82" s="0" t="n">
        <v>18787</v>
      </c>
      <c r="C82" s="0" t="s">
        <v>8349</v>
      </c>
      <c r="D82" s="0" t="s">
        <v>19</v>
      </c>
      <c r="E82" s="0" t="s">
        <v>18053</v>
      </c>
      <c r="F82" s="0" t="s">
        <v>40</v>
      </c>
      <c r="G82" s="0" t="s">
        <v>18054</v>
      </c>
    </row>
    <row r="83" customFormat="false" ht="15" hidden="false" customHeight="false" outlineLevel="0" collapsed="false">
      <c r="A83" s="0" t="n">
        <v>1928</v>
      </c>
      <c r="B83" s="0" t="n">
        <v>18797</v>
      </c>
      <c r="C83" s="0" t="s">
        <v>8359</v>
      </c>
      <c r="D83" s="0" t="s">
        <v>19</v>
      </c>
      <c r="E83" s="0" t="s">
        <v>18053</v>
      </c>
      <c r="F83" s="0" t="s">
        <v>40</v>
      </c>
      <c r="G83" s="0" t="s">
        <v>18054</v>
      </c>
    </row>
    <row r="84" customFormat="false" ht="15" hidden="false" customHeight="false" outlineLevel="0" collapsed="false">
      <c r="A84" s="0" t="n">
        <v>1938</v>
      </c>
      <c r="B84" s="0" t="n">
        <v>18834</v>
      </c>
      <c r="C84" s="0" t="s">
        <v>8392</v>
      </c>
      <c r="D84" s="0" t="s">
        <v>19</v>
      </c>
      <c r="E84" s="0" t="s">
        <v>18053</v>
      </c>
      <c r="F84" s="0" t="s">
        <v>40</v>
      </c>
      <c r="G84" s="0" t="s">
        <v>18054</v>
      </c>
    </row>
    <row r="85" customFormat="false" ht="15" hidden="false" customHeight="false" outlineLevel="0" collapsed="false">
      <c r="A85" s="0" t="n">
        <v>1942</v>
      </c>
      <c r="B85" s="0" t="n">
        <v>18845</v>
      </c>
      <c r="C85" s="0" t="s">
        <v>8410</v>
      </c>
      <c r="D85" s="0" t="s">
        <v>19</v>
      </c>
      <c r="E85" s="0" t="s">
        <v>18053</v>
      </c>
      <c r="F85" s="0" t="s">
        <v>40</v>
      </c>
      <c r="G85" s="0" t="s">
        <v>18054</v>
      </c>
    </row>
    <row r="86" customFormat="false" ht="15" hidden="false" customHeight="false" outlineLevel="0" collapsed="false">
      <c r="A86" s="0" t="n">
        <v>1943</v>
      </c>
      <c r="B86" s="0" t="n">
        <v>18846</v>
      </c>
      <c r="C86" s="0" t="s">
        <v>7482</v>
      </c>
      <c r="D86" s="0" t="s">
        <v>19</v>
      </c>
      <c r="E86" s="0" t="s">
        <v>18053</v>
      </c>
      <c r="F86" s="0" t="s">
        <v>40</v>
      </c>
      <c r="G86" s="0" t="s">
        <v>18054</v>
      </c>
    </row>
    <row r="87" customFormat="false" ht="15" hidden="false" customHeight="false" outlineLevel="0" collapsed="false">
      <c r="A87" s="0" t="n">
        <v>1944</v>
      </c>
      <c r="B87" s="0" t="n">
        <v>18847</v>
      </c>
      <c r="C87" s="0" t="s">
        <v>8418</v>
      </c>
      <c r="D87" s="0" t="s">
        <v>19</v>
      </c>
      <c r="E87" s="0" t="s">
        <v>18053</v>
      </c>
      <c r="F87" s="0" t="s">
        <v>40</v>
      </c>
      <c r="G87" s="0" t="s">
        <v>18054</v>
      </c>
    </row>
    <row r="88" customFormat="false" ht="15" hidden="false" customHeight="false" outlineLevel="0" collapsed="false">
      <c r="A88" s="0" t="n">
        <v>1945</v>
      </c>
      <c r="B88" s="0" t="n">
        <v>18848</v>
      </c>
      <c r="C88" s="0" t="s">
        <v>8422</v>
      </c>
      <c r="D88" s="0" t="s">
        <v>19</v>
      </c>
      <c r="E88" s="0" t="s">
        <v>18053</v>
      </c>
      <c r="F88" s="0" t="s">
        <v>40</v>
      </c>
      <c r="G88" s="0" t="s">
        <v>18054</v>
      </c>
    </row>
    <row r="89" customFormat="false" ht="15" hidden="false" customHeight="false" outlineLevel="0" collapsed="false">
      <c r="A89" s="0" t="n">
        <v>1946</v>
      </c>
      <c r="B89" s="0" t="n">
        <v>18849</v>
      </c>
      <c r="C89" s="0" t="s">
        <v>8425</v>
      </c>
      <c r="D89" s="0" t="s">
        <v>19</v>
      </c>
      <c r="E89" s="0" t="s">
        <v>18053</v>
      </c>
      <c r="F89" s="0" t="s">
        <v>40</v>
      </c>
      <c r="G89" s="0" t="s">
        <v>18054</v>
      </c>
    </row>
    <row r="90" customFormat="false" ht="15" hidden="false" customHeight="false" outlineLevel="0" collapsed="false">
      <c r="A90" s="0" t="n">
        <v>1947</v>
      </c>
      <c r="B90" s="0" t="n">
        <v>18850</v>
      </c>
      <c r="C90" s="0" t="s">
        <v>6304</v>
      </c>
      <c r="D90" s="0" t="s">
        <v>19</v>
      </c>
      <c r="E90" s="0" t="s">
        <v>18053</v>
      </c>
      <c r="F90" s="0" t="s">
        <v>40</v>
      </c>
      <c r="G90" s="0" t="s">
        <v>18054</v>
      </c>
    </row>
    <row r="91" customFormat="false" ht="15" hidden="false" customHeight="false" outlineLevel="0" collapsed="false">
      <c r="A91" s="0" t="n">
        <v>1948</v>
      </c>
      <c r="B91" s="0" t="n">
        <v>18851</v>
      </c>
      <c r="C91" s="0" t="s">
        <v>8430</v>
      </c>
      <c r="D91" s="0" t="s">
        <v>19</v>
      </c>
      <c r="E91" s="0" t="s">
        <v>18053</v>
      </c>
      <c r="F91" s="0" t="s">
        <v>40</v>
      </c>
      <c r="G91" s="0" t="s">
        <v>18054</v>
      </c>
    </row>
    <row r="92" customFormat="false" ht="15" hidden="false" customHeight="false" outlineLevel="0" collapsed="false">
      <c r="A92" s="0" t="n">
        <v>1955</v>
      </c>
      <c r="B92" s="0" t="n">
        <v>18882</v>
      </c>
      <c r="C92" s="0" t="s">
        <v>8460</v>
      </c>
      <c r="D92" s="0" t="s">
        <v>19</v>
      </c>
      <c r="E92" s="0" t="s">
        <v>18053</v>
      </c>
      <c r="F92" s="0" t="s">
        <v>40</v>
      </c>
      <c r="G92" s="0" t="s">
        <v>18054</v>
      </c>
    </row>
    <row r="93" customFormat="false" ht="15" hidden="false" customHeight="false" outlineLevel="0" collapsed="false">
      <c r="A93" s="0" t="n">
        <v>1956</v>
      </c>
      <c r="B93" s="0" t="n">
        <v>18883</v>
      </c>
      <c r="C93" s="0" t="s">
        <v>8463</v>
      </c>
      <c r="D93" s="0" t="s">
        <v>19</v>
      </c>
      <c r="E93" s="0" t="s">
        <v>18053</v>
      </c>
      <c r="F93" s="0" t="s">
        <v>40</v>
      </c>
      <c r="G93" s="0" t="s">
        <v>18054</v>
      </c>
    </row>
    <row r="94" customFormat="false" ht="15" hidden="false" customHeight="false" outlineLevel="0" collapsed="false">
      <c r="A94" s="0" t="n">
        <v>1957</v>
      </c>
      <c r="B94" s="0" t="n">
        <v>18884</v>
      </c>
      <c r="C94" s="0" t="s">
        <v>8466</v>
      </c>
      <c r="D94" s="0" t="s">
        <v>19</v>
      </c>
      <c r="E94" s="0" t="s">
        <v>18053</v>
      </c>
      <c r="F94" s="0" t="s">
        <v>40</v>
      </c>
      <c r="G94" s="0" t="s">
        <v>18054</v>
      </c>
    </row>
    <row r="95" customFormat="false" ht="15" hidden="false" customHeight="false" outlineLevel="0" collapsed="false">
      <c r="A95" s="0" t="n">
        <v>1958</v>
      </c>
      <c r="B95" s="0" t="n">
        <v>18885</v>
      </c>
      <c r="C95" s="0" t="s">
        <v>8469</v>
      </c>
      <c r="D95" s="0" t="s">
        <v>19</v>
      </c>
      <c r="E95" s="0" t="s">
        <v>18053</v>
      </c>
      <c r="F95" s="0" t="s">
        <v>40</v>
      </c>
      <c r="G95" s="0" t="s">
        <v>18054</v>
      </c>
    </row>
    <row r="96" customFormat="false" ht="15" hidden="false" customHeight="false" outlineLevel="0" collapsed="false">
      <c r="A96" s="0" t="n">
        <v>1959</v>
      </c>
      <c r="B96" s="0" t="n">
        <v>18891</v>
      </c>
      <c r="C96" s="0" t="s">
        <v>8471</v>
      </c>
      <c r="D96" s="0" t="s">
        <v>19</v>
      </c>
      <c r="E96" s="0" t="s">
        <v>18053</v>
      </c>
      <c r="F96" s="0" t="s">
        <v>40</v>
      </c>
      <c r="G96" s="0" t="s">
        <v>18054</v>
      </c>
    </row>
    <row r="97" customFormat="false" ht="15" hidden="false" customHeight="false" outlineLevel="0" collapsed="false">
      <c r="A97" s="0" t="n">
        <v>1967</v>
      </c>
      <c r="B97" s="0" t="n">
        <v>18932</v>
      </c>
      <c r="C97" s="0" t="s">
        <v>8504</v>
      </c>
      <c r="D97" s="0" t="s">
        <v>19</v>
      </c>
      <c r="E97" s="0" t="s">
        <v>18053</v>
      </c>
      <c r="F97" s="0" t="s">
        <v>40</v>
      </c>
      <c r="G97" s="0" t="s">
        <v>18054</v>
      </c>
    </row>
    <row r="98" customFormat="false" ht="15" hidden="false" customHeight="false" outlineLevel="0" collapsed="false">
      <c r="A98" s="0" t="n">
        <v>1968</v>
      </c>
      <c r="B98" s="0" t="n">
        <v>18934</v>
      </c>
      <c r="C98" s="0" t="s">
        <v>8510</v>
      </c>
      <c r="D98" s="0" t="s">
        <v>19</v>
      </c>
      <c r="E98" s="0" t="s">
        <v>18053</v>
      </c>
      <c r="F98" s="0" t="s">
        <v>40</v>
      </c>
      <c r="G98" s="0" t="s">
        <v>18054</v>
      </c>
    </row>
    <row r="99" customFormat="false" ht="15" hidden="false" customHeight="false" outlineLevel="0" collapsed="false">
      <c r="A99" s="0" t="n">
        <v>1969</v>
      </c>
      <c r="B99" s="0" t="n">
        <v>18937</v>
      </c>
      <c r="C99" s="0" t="s">
        <v>8514</v>
      </c>
      <c r="D99" s="0" t="s">
        <v>19</v>
      </c>
      <c r="E99" s="0" t="s">
        <v>18053</v>
      </c>
      <c r="F99" s="0" t="s">
        <v>40</v>
      </c>
      <c r="G99" s="0" t="s">
        <v>18054</v>
      </c>
    </row>
    <row r="100" customFormat="false" ht="15" hidden="false" customHeight="false" outlineLevel="0" collapsed="false">
      <c r="A100" s="0" t="n">
        <v>1993</v>
      </c>
      <c r="B100" s="0" t="n">
        <v>19032</v>
      </c>
      <c r="C100" s="0" t="s">
        <v>8596</v>
      </c>
      <c r="D100" s="0" t="s">
        <v>19</v>
      </c>
      <c r="E100" s="0" t="s">
        <v>18053</v>
      </c>
      <c r="F100" s="0" t="s">
        <v>40</v>
      </c>
      <c r="G100" s="0" t="s">
        <v>18054</v>
      </c>
    </row>
    <row r="101" customFormat="false" ht="15" hidden="false" customHeight="false" outlineLevel="0" collapsed="false">
      <c r="A101" s="0" t="n">
        <v>1994</v>
      </c>
      <c r="B101" s="0" t="n">
        <v>19033</v>
      </c>
      <c r="C101" s="0" t="s">
        <v>8602</v>
      </c>
      <c r="D101" s="0" t="s">
        <v>19</v>
      </c>
      <c r="E101" s="0" t="s">
        <v>18053</v>
      </c>
      <c r="F101" s="0" t="s">
        <v>40</v>
      </c>
      <c r="G101" s="0" t="s">
        <v>18054</v>
      </c>
    </row>
    <row r="102" customFormat="false" ht="15" hidden="false" customHeight="false" outlineLevel="0" collapsed="false">
      <c r="A102" s="0" t="n">
        <v>1998</v>
      </c>
      <c r="B102" s="0" t="n">
        <v>19042</v>
      </c>
      <c r="C102" s="0" t="s">
        <v>8622</v>
      </c>
      <c r="D102" s="0" t="s">
        <v>19</v>
      </c>
      <c r="E102" s="0" t="s">
        <v>18053</v>
      </c>
      <c r="F102" s="0" t="s">
        <v>40</v>
      </c>
      <c r="G102" s="0" t="s">
        <v>18054</v>
      </c>
    </row>
    <row r="103" customFormat="false" ht="15" hidden="false" customHeight="false" outlineLevel="0" collapsed="false">
      <c r="A103" s="0" t="n">
        <v>2012</v>
      </c>
      <c r="B103" s="0" t="n">
        <v>19065</v>
      </c>
      <c r="C103" s="0" t="s">
        <v>8683</v>
      </c>
      <c r="D103" s="0" t="s">
        <v>19</v>
      </c>
      <c r="E103" s="0" t="s">
        <v>18053</v>
      </c>
      <c r="F103" s="0" t="s">
        <v>40</v>
      </c>
      <c r="G103" s="0" t="s">
        <v>18054</v>
      </c>
    </row>
    <row r="104" customFormat="false" ht="15" hidden="false" customHeight="false" outlineLevel="0" collapsed="false">
      <c r="A104" s="0" t="n">
        <v>2024</v>
      </c>
      <c r="B104" s="0" t="n">
        <v>19132</v>
      </c>
      <c r="C104" s="0" t="s">
        <v>8734</v>
      </c>
      <c r="D104" s="0" t="s">
        <v>19</v>
      </c>
      <c r="E104" s="0" t="s">
        <v>18053</v>
      </c>
      <c r="F104" s="0" t="s">
        <v>40</v>
      </c>
      <c r="G104" s="0" t="s">
        <v>18054</v>
      </c>
    </row>
    <row r="105" customFormat="false" ht="15" hidden="false" customHeight="false" outlineLevel="0" collapsed="false">
      <c r="A105" s="0" t="n">
        <v>2026</v>
      </c>
      <c r="B105" s="0" t="n">
        <v>19085</v>
      </c>
      <c r="C105" s="0" t="s">
        <v>8743</v>
      </c>
      <c r="D105" s="0" t="s">
        <v>19</v>
      </c>
      <c r="E105" s="0" t="s">
        <v>18053</v>
      </c>
      <c r="F105" s="0" t="s">
        <v>40</v>
      </c>
      <c r="G105" s="0" t="s">
        <v>18054</v>
      </c>
    </row>
    <row r="106" customFormat="false" ht="15" hidden="false" customHeight="false" outlineLevel="0" collapsed="false">
      <c r="A106" s="0" t="n">
        <v>2048</v>
      </c>
      <c r="B106" s="0" t="n">
        <v>19170</v>
      </c>
      <c r="C106" s="0" t="s">
        <v>8836</v>
      </c>
      <c r="D106" s="0" t="s">
        <v>19</v>
      </c>
      <c r="E106" s="0" t="s">
        <v>18053</v>
      </c>
      <c r="F106" s="0" t="s">
        <v>40</v>
      </c>
      <c r="G106" s="0" t="s">
        <v>18054</v>
      </c>
    </row>
    <row r="107" customFormat="false" ht="15" hidden="false" customHeight="false" outlineLevel="0" collapsed="false">
      <c r="A107" s="0" t="n">
        <v>2050</v>
      </c>
      <c r="B107" s="0" t="n">
        <v>19166</v>
      </c>
      <c r="C107" s="0" t="s">
        <v>8844</v>
      </c>
      <c r="D107" s="0" t="s">
        <v>19</v>
      </c>
      <c r="E107" s="0" t="s">
        <v>18053</v>
      </c>
      <c r="F107" s="0" t="s">
        <v>40</v>
      </c>
      <c r="G107" s="0" t="s">
        <v>18054</v>
      </c>
    </row>
    <row r="108" customFormat="false" ht="15" hidden="false" customHeight="false" outlineLevel="0" collapsed="false">
      <c r="A108" s="0" t="n">
        <v>2051</v>
      </c>
      <c r="B108" s="0" t="n">
        <v>19169</v>
      </c>
      <c r="C108" s="0" t="s">
        <v>8848</v>
      </c>
      <c r="D108" s="0" t="s">
        <v>19</v>
      </c>
      <c r="E108" s="0" t="s">
        <v>18053</v>
      </c>
      <c r="F108" s="0" t="s">
        <v>40</v>
      </c>
      <c r="G108" s="0" t="s">
        <v>18054</v>
      </c>
    </row>
    <row r="109" customFormat="false" ht="15" hidden="false" customHeight="false" outlineLevel="0" collapsed="false">
      <c r="A109" s="0" t="n">
        <v>2052</v>
      </c>
      <c r="B109" s="0" t="n">
        <v>19173</v>
      </c>
      <c r="C109" s="0" t="s">
        <v>8852</v>
      </c>
      <c r="D109" s="0" t="s">
        <v>19</v>
      </c>
      <c r="E109" s="0" t="s">
        <v>18053</v>
      </c>
      <c r="F109" s="0" t="s">
        <v>40</v>
      </c>
      <c r="G109" s="0" t="s">
        <v>18054</v>
      </c>
    </row>
    <row r="110" customFormat="false" ht="15" hidden="false" customHeight="false" outlineLevel="0" collapsed="false">
      <c r="A110" s="0" t="n">
        <v>2053</v>
      </c>
      <c r="B110" s="0" t="n">
        <v>19171</v>
      </c>
      <c r="C110" s="0" t="s">
        <v>8855</v>
      </c>
      <c r="D110" s="0" t="s">
        <v>19</v>
      </c>
      <c r="E110" s="0" t="s">
        <v>18053</v>
      </c>
      <c r="F110" s="0" t="s">
        <v>40</v>
      </c>
      <c r="G110" s="0" t="s">
        <v>18054</v>
      </c>
    </row>
    <row r="111" customFormat="false" ht="15" hidden="false" customHeight="false" outlineLevel="0" collapsed="false">
      <c r="A111" s="0" t="n">
        <v>2054</v>
      </c>
      <c r="B111" s="0" t="n">
        <v>19172</v>
      </c>
      <c r="C111" s="0" t="s">
        <v>8859</v>
      </c>
      <c r="D111" s="0" t="s">
        <v>19</v>
      </c>
      <c r="E111" s="0" t="s">
        <v>18053</v>
      </c>
      <c r="F111" s="0" t="s">
        <v>40</v>
      </c>
      <c r="G111" s="0" t="s">
        <v>18054</v>
      </c>
    </row>
    <row r="112" customFormat="false" ht="15" hidden="false" customHeight="false" outlineLevel="0" collapsed="false">
      <c r="A112" s="0" t="n">
        <v>2059</v>
      </c>
      <c r="B112" s="0" t="n">
        <v>19186</v>
      </c>
      <c r="C112" s="0" t="s">
        <v>8879</v>
      </c>
      <c r="D112" s="0" t="s">
        <v>19</v>
      </c>
      <c r="E112" s="0" t="s">
        <v>18053</v>
      </c>
      <c r="F112" s="0" t="s">
        <v>40</v>
      </c>
      <c r="G112" s="0" t="s">
        <v>18054</v>
      </c>
    </row>
    <row r="113" customFormat="false" ht="15" hidden="false" customHeight="false" outlineLevel="0" collapsed="false">
      <c r="A113" s="0" t="n">
        <v>2061</v>
      </c>
      <c r="B113" s="0" t="n">
        <v>19182</v>
      </c>
      <c r="C113" s="0" t="s">
        <v>8887</v>
      </c>
      <c r="D113" s="0" t="s">
        <v>19</v>
      </c>
      <c r="E113" s="0" t="s">
        <v>18053</v>
      </c>
      <c r="F113" s="0" t="s">
        <v>40</v>
      </c>
      <c r="G113" s="0" t="s">
        <v>18054</v>
      </c>
    </row>
    <row r="114" customFormat="false" ht="15" hidden="false" customHeight="false" outlineLevel="0" collapsed="false">
      <c r="A114" s="0" t="n">
        <v>2062</v>
      </c>
      <c r="B114" s="0" t="n">
        <v>19183</v>
      </c>
      <c r="C114" s="0" t="s">
        <v>8890</v>
      </c>
      <c r="D114" s="0" t="s">
        <v>19</v>
      </c>
      <c r="E114" s="0" t="s">
        <v>18053</v>
      </c>
      <c r="F114" s="0" t="s">
        <v>40</v>
      </c>
      <c r="G114" s="0" t="s">
        <v>18054</v>
      </c>
    </row>
    <row r="115" customFormat="false" ht="15" hidden="false" customHeight="false" outlineLevel="0" collapsed="false">
      <c r="A115" s="0" t="n">
        <v>2063</v>
      </c>
      <c r="B115" s="0" t="n">
        <v>19196</v>
      </c>
      <c r="C115" s="0" t="s">
        <v>8895</v>
      </c>
      <c r="D115" s="0" t="s">
        <v>19</v>
      </c>
      <c r="E115" s="0" t="s">
        <v>18053</v>
      </c>
      <c r="F115" s="0" t="s">
        <v>40</v>
      </c>
      <c r="G115" s="0" t="s">
        <v>18054</v>
      </c>
    </row>
    <row r="116" customFormat="false" ht="15" hidden="false" customHeight="false" outlineLevel="0" collapsed="false">
      <c r="A116" s="0" t="n">
        <v>2064</v>
      </c>
      <c r="B116" s="0" t="n">
        <v>19187</v>
      </c>
      <c r="C116" s="0" t="s">
        <v>8899</v>
      </c>
      <c r="D116" s="0" t="s">
        <v>19</v>
      </c>
      <c r="E116" s="0" t="s">
        <v>18053</v>
      </c>
      <c r="F116" s="0" t="s">
        <v>40</v>
      </c>
      <c r="G116" s="0" t="s">
        <v>18054</v>
      </c>
    </row>
    <row r="117" customFormat="false" ht="15" hidden="false" customHeight="false" outlineLevel="0" collapsed="false">
      <c r="A117" s="0" t="n">
        <v>2066</v>
      </c>
      <c r="B117" s="0" t="n">
        <v>19202</v>
      </c>
      <c r="C117" s="0" t="s">
        <v>8907</v>
      </c>
      <c r="D117" s="0" t="s">
        <v>19</v>
      </c>
      <c r="E117" s="0" t="s">
        <v>18053</v>
      </c>
      <c r="F117" s="0" t="s">
        <v>40</v>
      </c>
      <c r="G117" s="0" t="s">
        <v>18054</v>
      </c>
    </row>
    <row r="118" customFormat="false" ht="15" hidden="false" customHeight="false" outlineLevel="0" collapsed="false">
      <c r="A118" s="0" t="n">
        <v>2067</v>
      </c>
      <c r="B118" s="0" t="n">
        <v>19198</v>
      </c>
      <c r="C118" s="0" t="s">
        <v>8911</v>
      </c>
      <c r="D118" s="0" t="s">
        <v>19</v>
      </c>
      <c r="E118" s="0" t="s">
        <v>18053</v>
      </c>
      <c r="F118" s="0" t="s">
        <v>40</v>
      </c>
      <c r="G118" s="0" t="s">
        <v>18054</v>
      </c>
    </row>
    <row r="119" customFormat="false" ht="15" hidden="false" customHeight="false" outlineLevel="0" collapsed="false">
      <c r="A119" s="0" t="n">
        <v>2068</v>
      </c>
      <c r="B119" s="0" t="n">
        <v>19199</v>
      </c>
      <c r="C119" s="0" t="s">
        <v>8916</v>
      </c>
      <c r="D119" s="0" t="s">
        <v>19</v>
      </c>
      <c r="E119" s="0" t="s">
        <v>18053</v>
      </c>
      <c r="F119" s="0" t="s">
        <v>40</v>
      </c>
      <c r="G119" s="0" t="s">
        <v>18054</v>
      </c>
    </row>
    <row r="120" customFormat="false" ht="15" hidden="false" customHeight="false" outlineLevel="0" collapsed="false">
      <c r="A120" s="0" t="n">
        <v>2069</v>
      </c>
      <c r="B120" s="0" t="n">
        <v>19216</v>
      </c>
      <c r="C120" s="0" t="s">
        <v>8918</v>
      </c>
      <c r="D120" s="0" t="s">
        <v>19</v>
      </c>
      <c r="E120" s="0" t="s">
        <v>18053</v>
      </c>
      <c r="F120" s="0" t="s">
        <v>40</v>
      </c>
      <c r="G120" s="0" t="s">
        <v>18054</v>
      </c>
    </row>
    <row r="121" customFormat="false" ht="15" hidden="false" customHeight="false" outlineLevel="0" collapsed="false">
      <c r="A121" s="0" t="n">
        <v>2070</v>
      </c>
      <c r="B121" s="0" t="n">
        <v>19211</v>
      </c>
      <c r="C121" s="0" t="s">
        <v>8922</v>
      </c>
      <c r="D121" s="0" t="s">
        <v>19</v>
      </c>
      <c r="E121" s="0" t="s">
        <v>18053</v>
      </c>
      <c r="F121" s="0" t="s">
        <v>40</v>
      </c>
      <c r="G121" s="0" t="s">
        <v>18054</v>
      </c>
    </row>
    <row r="122" customFormat="false" ht="15" hidden="false" customHeight="false" outlineLevel="0" collapsed="false">
      <c r="A122" s="0" t="n">
        <v>2071</v>
      </c>
      <c r="B122" s="0" t="n">
        <v>19212</v>
      </c>
      <c r="C122" s="0" t="s">
        <v>8927</v>
      </c>
      <c r="D122" s="0" t="s">
        <v>19</v>
      </c>
      <c r="E122" s="0" t="s">
        <v>18053</v>
      </c>
      <c r="F122" s="0" t="s">
        <v>40</v>
      </c>
      <c r="G122" s="0" t="s">
        <v>18054</v>
      </c>
    </row>
    <row r="123" customFormat="false" ht="15" hidden="false" customHeight="false" outlineLevel="0" collapsed="false">
      <c r="A123" s="0" t="n">
        <v>2072</v>
      </c>
      <c r="B123" s="0" t="n">
        <v>19213</v>
      </c>
      <c r="C123" s="0" t="s">
        <v>8932</v>
      </c>
      <c r="D123" s="0" t="s">
        <v>19</v>
      </c>
      <c r="E123" s="0" t="s">
        <v>18053</v>
      </c>
      <c r="F123" s="0" t="s">
        <v>40</v>
      </c>
      <c r="G123" s="0" t="s">
        <v>18054</v>
      </c>
    </row>
    <row r="124" customFormat="false" ht="15" hidden="false" customHeight="false" outlineLevel="0" collapsed="false">
      <c r="A124" s="0" t="n">
        <v>2073</v>
      </c>
      <c r="B124" s="0" t="n">
        <v>19214</v>
      </c>
      <c r="C124" s="0" t="s">
        <v>8936</v>
      </c>
      <c r="D124" s="0" t="s">
        <v>19</v>
      </c>
      <c r="E124" s="0" t="s">
        <v>18053</v>
      </c>
      <c r="F124" s="0" t="s">
        <v>40</v>
      </c>
      <c r="G124" s="0" t="s">
        <v>18054</v>
      </c>
    </row>
    <row r="125" customFormat="false" ht="15" hidden="false" customHeight="false" outlineLevel="0" collapsed="false">
      <c r="A125" s="0" t="n">
        <v>2074</v>
      </c>
      <c r="B125" s="0" t="n">
        <v>19218</v>
      </c>
      <c r="C125" s="0" t="s">
        <v>8940</v>
      </c>
      <c r="D125" s="0" t="s">
        <v>19</v>
      </c>
      <c r="E125" s="0" t="s">
        <v>18053</v>
      </c>
      <c r="F125" s="0" t="s">
        <v>40</v>
      </c>
      <c r="G125" s="0" t="s">
        <v>18054</v>
      </c>
    </row>
    <row r="126" customFormat="false" ht="15" hidden="false" customHeight="false" outlineLevel="0" collapsed="false">
      <c r="A126" s="0" t="n">
        <v>2075</v>
      </c>
      <c r="B126" s="0" t="n">
        <v>19217</v>
      </c>
      <c r="C126" s="0" t="s">
        <v>8944</v>
      </c>
      <c r="D126" s="0" t="s">
        <v>19</v>
      </c>
      <c r="E126" s="0" t="s">
        <v>18053</v>
      </c>
      <c r="F126" s="0" t="s">
        <v>40</v>
      </c>
      <c r="G126" s="0" t="s">
        <v>18054</v>
      </c>
    </row>
    <row r="127" customFormat="false" ht="15" hidden="false" customHeight="false" outlineLevel="0" collapsed="false">
      <c r="A127" s="0" t="n">
        <v>2076</v>
      </c>
      <c r="B127" s="0" t="n">
        <v>19220</v>
      </c>
      <c r="C127" s="0" t="s">
        <v>8948</v>
      </c>
      <c r="D127" s="0" t="s">
        <v>19</v>
      </c>
      <c r="E127" s="0" t="s">
        <v>18053</v>
      </c>
      <c r="F127" s="0" t="s">
        <v>40</v>
      </c>
      <c r="G127" s="0" t="s">
        <v>18054</v>
      </c>
    </row>
    <row r="128" customFormat="false" ht="15" hidden="false" customHeight="false" outlineLevel="0" collapsed="false">
      <c r="A128" s="0" t="n">
        <v>2077</v>
      </c>
      <c r="B128" s="0" t="n">
        <v>19219</v>
      </c>
      <c r="C128" s="0" t="s">
        <v>8952</v>
      </c>
      <c r="D128" s="0" t="s">
        <v>19</v>
      </c>
      <c r="E128" s="0" t="s">
        <v>18053</v>
      </c>
      <c r="F128" s="0" t="s">
        <v>40</v>
      </c>
      <c r="G128" s="0" t="s">
        <v>18054</v>
      </c>
    </row>
    <row r="129" customFormat="false" ht="15" hidden="false" customHeight="false" outlineLevel="0" collapsed="false">
      <c r="A129" s="0" t="n">
        <v>2078</v>
      </c>
      <c r="B129" s="0" t="n">
        <v>19223</v>
      </c>
      <c r="C129" s="0" t="s">
        <v>8956</v>
      </c>
      <c r="D129" s="0" t="s">
        <v>19</v>
      </c>
      <c r="E129" s="0" t="s">
        <v>18053</v>
      </c>
      <c r="F129" s="0" t="s">
        <v>40</v>
      </c>
      <c r="G129" s="0" t="s">
        <v>18054</v>
      </c>
    </row>
    <row r="130" customFormat="false" ht="15" hidden="false" customHeight="false" outlineLevel="0" collapsed="false">
      <c r="A130" s="0" t="n">
        <v>2079</v>
      </c>
      <c r="B130" s="0" t="n">
        <v>19221</v>
      </c>
      <c r="C130" s="0" t="s">
        <v>8960</v>
      </c>
      <c r="D130" s="0" t="s">
        <v>19</v>
      </c>
      <c r="E130" s="0" t="s">
        <v>18053</v>
      </c>
      <c r="F130" s="0" t="s">
        <v>40</v>
      </c>
      <c r="G130" s="0" t="s">
        <v>18054</v>
      </c>
    </row>
    <row r="131" customFormat="false" ht="15" hidden="false" customHeight="false" outlineLevel="0" collapsed="false">
      <c r="A131" s="0" t="n">
        <v>2080</v>
      </c>
      <c r="B131" s="0" t="n">
        <v>19224</v>
      </c>
      <c r="C131" s="0" t="s">
        <v>8964</v>
      </c>
      <c r="D131" s="0" t="s">
        <v>19</v>
      </c>
      <c r="E131" s="0" t="s">
        <v>18053</v>
      </c>
      <c r="F131" s="0" t="s">
        <v>40</v>
      </c>
      <c r="G131" s="0" t="s">
        <v>18054</v>
      </c>
    </row>
    <row r="132" customFormat="false" ht="15" hidden="false" customHeight="false" outlineLevel="0" collapsed="false">
      <c r="A132" s="0" t="n">
        <v>2088</v>
      </c>
      <c r="B132" s="0" t="n">
        <v>19245</v>
      </c>
      <c r="C132" s="0" t="s">
        <v>9006</v>
      </c>
      <c r="D132" s="0" t="s">
        <v>19</v>
      </c>
      <c r="E132" s="0" t="s">
        <v>18053</v>
      </c>
      <c r="F132" s="0" t="s">
        <v>40</v>
      </c>
      <c r="G132" s="0" t="s">
        <v>18054</v>
      </c>
    </row>
    <row r="133" customFormat="false" ht="15" hidden="false" customHeight="false" outlineLevel="0" collapsed="false">
      <c r="A133" s="0" t="n">
        <v>2089</v>
      </c>
      <c r="B133" s="0" t="n">
        <v>19246</v>
      </c>
      <c r="C133" s="0" t="s">
        <v>2965</v>
      </c>
      <c r="D133" s="0" t="s">
        <v>19</v>
      </c>
      <c r="E133" s="0" t="s">
        <v>18053</v>
      </c>
      <c r="F133" s="0" t="s">
        <v>40</v>
      </c>
      <c r="G133" s="0" t="s">
        <v>18054</v>
      </c>
    </row>
    <row r="134" customFormat="false" ht="15" hidden="false" customHeight="false" outlineLevel="0" collapsed="false">
      <c r="A134" s="0" t="n">
        <v>2095</v>
      </c>
      <c r="B134" s="0" t="n">
        <v>19265</v>
      </c>
      <c r="C134" s="0" t="s">
        <v>9032</v>
      </c>
      <c r="D134" s="0" t="s">
        <v>19</v>
      </c>
      <c r="E134" s="0" t="s">
        <v>18053</v>
      </c>
      <c r="F134" s="0" t="s">
        <v>40</v>
      </c>
      <c r="G134" s="0" t="s">
        <v>18054</v>
      </c>
    </row>
    <row r="135" customFormat="false" ht="15" hidden="false" customHeight="false" outlineLevel="0" collapsed="false">
      <c r="A135" s="0" t="n">
        <v>2096</v>
      </c>
      <c r="B135" s="0" t="n">
        <v>19263</v>
      </c>
      <c r="C135" s="0" t="s">
        <v>9034</v>
      </c>
      <c r="D135" s="0" t="s">
        <v>19</v>
      </c>
      <c r="E135" s="0" t="s">
        <v>18053</v>
      </c>
      <c r="F135" s="0" t="s">
        <v>40</v>
      </c>
      <c r="G135" s="0" t="s">
        <v>18054</v>
      </c>
    </row>
    <row r="136" customFormat="false" ht="15" hidden="false" customHeight="false" outlineLevel="0" collapsed="false">
      <c r="A136" s="0" t="n">
        <v>2097</v>
      </c>
      <c r="B136" s="0" t="n">
        <v>19268</v>
      </c>
      <c r="C136" s="0" t="s">
        <v>9038</v>
      </c>
      <c r="D136" s="0" t="s">
        <v>19</v>
      </c>
      <c r="E136" s="0" t="s">
        <v>18053</v>
      </c>
      <c r="F136" s="0" t="s">
        <v>40</v>
      </c>
      <c r="G136" s="0" t="s">
        <v>18054</v>
      </c>
    </row>
    <row r="137" customFormat="false" ht="15" hidden="false" customHeight="false" outlineLevel="0" collapsed="false">
      <c r="A137" s="0" t="n">
        <v>2099</v>
      </c>
      <c r="B137" s="0" t="n">
        <v>19270</v>
      </c>
      <c r="C137" s="0" t="s">
        <v>9048</v>
      </c>
      <c r="D137" s="0" t="s">
        <v>19</v>
      </c>
      <c r="E137" s="0" t="s">
        <v>18053</v>
      </c>
      <c r="F137" s="0" t="s">
        <v>40</v>
      </c>
      <c r="G137" s="0" t="s">
        <v>18054</v>
      </c>
    </row>
    <row r="138" customFormat="false" ht="15" hidden="false" customHeight="false" outlineLevel="0" collapsed="false">
      <c r="A138" s="0" t="n">
        <v>2107</v>
      </c>
      <c r="B138" s="0" t="n">
        <v>19312</v>
      </c>
      <c r="C138" s="0" t="s">
        <v>9084</v>
      </c>
      <c r="D138" s="0" t="s">
        <v>19</v>
      </c>
      <c r="E138" s="0" t="s">
        <v>18053</v>
      </c>
      <c r="F138" s="0" t="s">
        <v>40</v>
      </c>
      <c r="G138" s="0" t="s">
        <v>18054</v>
      </c>
    </row>
    <row r="139" customFormat="false" ht="15" hidden="false" customHeight="false" outlineLevel="0" collapsed="false">
      <c r="A139" s="0" t="n">
        <v>2108</v>
      </c>
      <c r="B139" s="0" t="n">
        <v>19300</v>
      </c>
      <c r="C139" s="0" t="s">
        <v>9087</v>
      </c>
      <c r="D139" s="0" t="s">
        <v>19</v>
      </c>
      <c r="E139" s="0" t="s">
        <v>18053</v>
      </c>
      <c r="F139" s="0" t="s">
        <v>40</v>
      </c>
      <c r="G139" s="0" t="s">
        <v>18054</v>
      </c>
    </row>
    <row r="140" customFormat="false" ht="15" hidden="false" customHeight="false" outlineLevel="0" collapsed="false">
      <c r="A140" s="0" t="n">
        <v>2109</v>
      </c>
      <c r="B140" s="0" t="n">
        <v>19301</v>
      </c>
      <c r="C140" s="0" t="s">
        <v>9090</v>
      </c>
      <c r="D140" s="0" t="s">
        <v>19</v>
      </c>
      <c r="E140" s="0" t="s">
        <v>18053</v>
      </c>
      <c r="F140" s="0" t="s">
        <v>40</v>
      </c>
      <c r="G140" s="0" t="s">
        <v>18054</v>
      </c>
    </row>
    <row r="141" customFormat="false" ht="15" hidden="false" customHeight="false" outlineLevel="0" collapsed="false">
      <c r="A141" s="0" t="n">
        <v>2110</v>
      </c>
      <c r="B141" s="0" t="n">
        <v>19302</v>
      </c>
      <c r="C141" s="0" t="s">
        <v>9093</v>
      </c>
      <c r="D141" s="0" t="s">
        <v>19</v>
      </c>
      <c r="E141" s="0" t="s">
        <v>18053</v>
      </c>
      <c r="F141" s="0" t="s">
        <v>40</v>
      </c>
      <c r="G141" s="0" t="s">
        <v>18054</v>
      </c>
    </row>
    <row r="142" customFormat="false" ht="15" hidden="false" customHeight="false" outlineLevel="0" collapsed="false">
      <c r="A142" s="0" t="n">
        <v>2111</v>
      </c>
      <c r="B142" s="0" t="n">
        <v>19303</v>
      </c>
      <c r="C142" s="0" t="s">
        <v>9096</v>
      </c>
      <c r="D142" s="0" t="s">
        <v>19</v>
      </c>
      <c r="E142" s="0" t="s">
        <v>18053</v>
      </c>
      <c r="F142" s="0" t="s">
        <v>40</v>
      </c>
      <c r="G142" s="0" t="s">
        <v>18054</v>
      </c>
    </row>
    <row r="143" customFormat="false" ht="15" hidden="false" customHeight="false" outlineLevel="0" collapsed="false">
      <c r="A143" s="0" t="n">
        <v>2112</v>
      </c>
      <c r="B143" s="0" t="n">
        <v>19304</v>
      </c>
      <c r="C143" s="0" t="s">
        <v>9099</v>
      </c>
      <c r="D143" s="0" t="s">
        <v>19</v>
      </c>
      <c r="E143" s="0" t="s">
        <v>18053</v>
      </c>
      <c r="F143" s="0" t="s">
        <v>40</v>
      </c>
      <c r="G143" s="0" t="s">
        <v>18054</v>
      </c>
    </row>
    <row r="144" customFormat="false" ht="15" hidden="false" customHeight="false" outlineLevel="0" collapsed="false">
      <c r="A144" s="0" t="n">
        <v>2113</v>
      </c>
      <c r="B144" s="0" t="n">
        <v>19305</v>
      </c>
      <c r="C144" s="0" t="s">
        <v>9102</v>
      </c>
      <c r="D144" s="0" t="s">
        <v>19</v>
      </c>
      <c r="E144" s="0" t="s">
        <v>18053</v>
      </c>
      <c r="F144" s="0" t="s">
        <v>40</v>
      </c>
      <c r="G144" s="0" t="s">
        <v>18054</v>
      </c>
    </row>
    <row r="145" customFormat="false" ht="15" hidden="false" customHeight="false" outlineLevel="0" collapsed="false">
      <c r="A145" s="0" t="n">
        <v>2114</v>
      </c>
      <c r="B145" s="0" t="n">
        <v>19306</v>
      </c>
      <c r="C145" s="0" t="s">
        <v>9105</v>
      </c>
      <c r="D145" s="0" t="s">
        <v>19</v>
      </c>
      <c r="E145" s="0" t="s">
        <v>18053</v>
      </c>
      <c r="F145" s="0" t="s">
        <v>40</v>
      </c>
      <c r="G145" s="0" t="s">
        <v>18054</v>
      </c>
    </row>
    <row r="146" customFormat="false" ht="15" hidden="false" customHeight="false" outlineLevel="0" collapsed="false">
      <c r="A146" s="0" t="n">
        <v>2115</v>
      </c>
      <c r="B146" s="0" t="n">
        <v>19307</v>
      </c>
      <c r="C146" s="0" t="s">
        <v>9109</v>
      </c>
      <c r="D146" s="0" t="s">
        <v>19</v>
      </c>
      <c r="E146" s="0" t="s">
        <v>18053</v>
      </c>
      <c r="F146" s="0" t="s">
        <v>40</v>
      </c>
      <c r="G146" s="0" t="s">
        <v>18054</v>
      </c>
    </row>
    <row r="147" customFormat="false" ht="15" hidden="false" customHeight="false" outlineLevel="0" collapsed="false">
      <c r="A147" s="0" t="n">
        <v>2116</v>
      </c>
      <c r="B147" s="0" t="n">
        <v>19308</v>
      </c>
      <c r="C147" s="0" t="s">
        <v>527</v>
      </c>
      <c r="D147" s="0" t="s">
        <v>19</v>
      </c>
      <c r="E147" s="0" t="s">
        <v>18053</v>
      </c>
      <c r="F147" s="0" t="s">
        <v>40</v>
      </c>
      <c r="G147" s="0" t="s">
        <v>18054</v>
      </c>
    </row>
    <row r="148" customFormat="false" ht="15" hidden="false" customHeight="false" outlineLevel="0" collapsed="false">
      <c r="A148" s="0" t="n">
        <v>2117</v>
      </c>
      <c r="B148" s="0" t="n">
        <v>19309</v>
      </c>
      <c r="C148" s="0" t="s">
        <v>9114</v>
      </c>
      <c r="D148" s="0" t="s">
        <v>19</v>
      </c>
      <c r="E148" s="0" t="s">
        <v>18053</v>
      </c>
      <c r="F148" s="0" t="s">
        <v>40</v>
      </c>
      <c r="G148" s="0" t="s">
        <v>18054</v>
      </c>
    </row>
    <row r="149" customFormat="false" ht="15" hidden="false" customHeight="false" outlineLevel="0" collapsed="false">
      <c r="A149" s="0" t="n">
        <v>2118</v>
      </c>
      <c r="B149" s="0" t="n">
        <v>19315</v>
      </c>
      <c r="C149" s="0" t="s">
        <v>9117</v>
      </c>
      <c r="D149" s="0" t="s">
        <v>19</v>
      </c>
      <c r="E149" s="0" t="s">
        <v>18053</v>
      </c>
      <c r="F149" s="0" t="s">
        <v>40</v>
      </c>
      <c r="G149" s="0" t="s">
        <v>18054</v>
      </c>
    </row>
    <row r="150" customFormat="false" ht="15" hidden="false" customHeight="false" outlineLevel="0" collapsed="false">
      <c r="A150" s="0" t="n">
        <v>2119</v>
      </c>
      <c r="B150" s="0" t="n">
        <v>19313</v>
      </c>
      <c r="C150" s="0" t="s">
        <v>9120</v>
      </c>
      <c r="D150" s="0" t="s">
        <v>19</v>
      </c>
      <c r="E150" s="0" t="s">
        <v>18053</v>
      </c>
      <c r="F150" s="0" t="s">
        <v>40</v>
      </c>
      <c r="G150" s="0" t="s">
        <v>18054</v>
      </c>
    </row>
    <row r="151" customFormat="false" ht="15" hidden="false" customHeight="false" outlineLevel="0" collapsed="false">
      <c r="A151" s="0" t="n">
        <v>2120</v>
      </c>
      <c r="B151" s="0" t="n">
        <v>19314</v>
      </c>
      <c r="C151" s="0" t="s">
        <v>9123</v>
      </c>
      <c r="D151" s="0" t="s">
        <v>19</v>
      </c>
      <c r="E151" s="0" t="s">
        <v>18053</v>
      </c>
      <c r="F151" s="0" t="s">
        <v>40</v>
      </c>
      <c r="G151" s="0" t="s">
        <v>18054</v>
      </c>
    </row>
    <row r="152" customFormat="false" ht="15" hidden="false" customHeight="false" outlineLevel="0" collapsed="false">
      <c r="A152" s="0" t="n">
        <v>2121</v>
      </c>
      <c r="B152" s="0" t="n">
        <v>19327</v>
      </c>
      <c r="C152" s="0" t="s">
        <v>9127</v>
      </c>
      <c r="D152" s="0" t="s">
        <v>19</v>
      </c>
      <c r="E152" s="0" t="s">
        <v>18053</v>
      </c>
      <c r="F152" s="0" t="s">
        <v>40</v>
      </c>
      <c r="G152" s="0" t="s">
        <v>18054</v>
      </c>
    </row>
    <row r="153" customFormat="false" ht="15" hidden="false" customHeight="false" outlineLevel="0" collapsed="false">
      <c r="A153" s="0" t="n">
        <v>2122</v>
      </c>
      <c r="B153" s="0" t="n">
        <v>19322</v>
      </c>
      <c r="C153" s="0" t="s">
        <v>9131</v>
      </c>
      <c r="D153" s="0" t="s">
        <v>19</v>
      </c>
      <c r="E153" s="0" t="s">
        <v>18053</v>
      </c>
      <c r="F153" s="0" t="s">
        <v>40</v>
      </c>
      <c r="G153" s="0" t="s">
        <v>18054</v>
      </c>
    </row>
    <row r="154" customFormat="false" ht="15" hidden="false" customHeight="false" outlineLevel="0" collapsed="false">
      <c r="A154" s="0" t="n">
        <v>2123</v>
      </c>
      <c r="B154" s="0" t="n">
        <v>19324</v>
      </c>
      <c r="C154" s="0" t="s">
        <v>9135</v>
      </c>
      <c r="D154" s="0" t="s">
        <v>19</v>
      </c>
      <c r="E154" s="0" t="s">
        <v>18053</v>
      </c>
      <c r="F154" s="0" t="s">
        <v>40</v>
      </c>
      <c r="G154" s="0" t="s">
        <v>18054</v>
      </c>
    </row>
    <row r="155" customFormat="false" ht="15" hidden="false" customHeight="false" outlineLevel="0" collapsed="false">
      <c r="A155" s="0" t="n">
        <v>2124</v>
      </c>
      <c r="B155" s="0" t="n">
        <v>19325</v>
      </c>
      <c r="C155" s="0" t="s">
        <v>3113</v>
      </c>
      <c r="D155" s="0" t="s">
        <v>19</v>
      </c>
      <c r="E155" s="0" t="s">
        <v>18053</v>
      </c>
      <c r="F155" s="0" t="s">
        <v>40</v>
      </c>
      <c r="G155" s="0" t="s">
        <v>18054</v>
      </c>
    </row>
    <row r="156" customFormat="false" ht="15" hidden="false" customHeight="false" outlineLevel="0" collapsed="false">
      <c r="A156" s="0" t="n">
        <v>2125</v>
      </c>
      <c r="B156" s="0" t="n">
        <v>19326</v>
      </c>
      <c r="C156" s="0" t="s">
        <v>9140</v>
      </c>
      <c r="D156" s="0" t="s">
        <v>19</v>
      </c>
      <c r="E156" s="0" t="s">
        <v>18053</v>
      </c>
      <c r="F156" s="0" t="s">
        <v>40</v>
      </c>
      <c r="G156" s="0" t="s">
        <v>18054</v>
      </c>
    </row>
    <row r="157" customFormat="false" ht="15" hidden="false" customHeight="false" outlineLevel="0" collapsed="false">
      <c r="A157" s="0" t="n">
        <v>2127</v>
      </c>
      <c r="B157" s="0" t="n">
        <v>19382</v>
      </c>
      <c r="C157" s="0" t="s">
        <v>9148</v>
      </c>
      <c r="D157" s="0" t="s">
        <v>19</v>
      </c>
      <c r="E157" s="0" t="s">
        <v>18053</v>
      </c>
      <c r="F157" s="0" t="s">
        <v>40</v>
      </c>
      <c r="G157" s="0" t="s">
        <v>18054</v>
      </c>
    </row>
    <row r="158" customFormat="false" ht="15" hidden="false" customHeight="false" outlineLevel="0" collapsed="false">
      <c r="A158" s="0" t="n">
        <v>2129</v>
      </c>
      <c r="B158" s="0" t="n">
        <v>19383</v>
      </c>
      <c r="C158" s="0" t="s">
        <v>9156</v>
      </c>
      <c r="D158" s="0" t="s">
        <v>19</v>
      </c>
      <c r="E158" s="0" t="s">
        <v>18053</v>
      </c>
      <c r="F158" s="0" t="s">
        <v>40</v>
      </c>
      <c r="G158" s="0" t="s">
        <v>18054</v>
      </c>
    </row>
    <row r="159" customFormat="false" ht="15" hidden="false" customHeight="false" outlineLevel="0" collapsed="false">
      <c r="A159" s="0" t="n">
        <v>2131</v>
      </c>
      <c r="B159" s="0" t="n">
        <v>19432</v>
      </c>
      <c r="C159" s="0" t="s">
        <v>9164</v>
      </c>
      <c r="D159" s="0" t="s">
        <v>19</v>
      </c>
      <c r="E159" s="0" t="s">
        <v>18053</v>
      </c>
      <c r="F159" s="0" t="s">
        <v>40</v>
      </c>
      <c r="G159" s="0" t="s">
        <v>18054</v>
      </c>
    </row>
    <row r="160" customFormat="false" ht="15" hidden="false" customHeight="false" outlineLevel="0" collapsed="false">
      <c r="A160" s="0" t="n">
        <v>2132</v>
      </c>
      <c r="B160" s="0" t="n">
        <v>19396</v>
      </c>
      <c r="C160" s="0" t="s">
        <v>9168</v>
      </c>
      <c r="D160" s="0" t="s">
        <v>19</v>
      </c>
      <c r="E160" s="0" t="s">
        <v>18053</v>
      </c>
      <c r="F160" s="0" t="s">
        <v>40</v>
      </c>
      <c r="G160" s="0" t="s">
        <v>18054</v>
      </c>
    </row>
    <row r="161" customFormat="false" ht="15" hidden="false" customHeight="false" outlineLevel="0" collapsed="false">
      <c r="A161" s="0" t="n">
        <v>2133</v>
      </c>
      <c r="B161" s="0" t="n">
        <v>19398</v>
      </c>
      <c r="C161" s="0" t="s">
        <v>9172</v>
      </c>
      <c r="D161" s="0" t="s">
        <v>19</v>
      </c>
      <c r="E161" s="0" t="s">
        <v>18053</v>
      </c>
      <c r="F161" s="0" t="s">
        <v>40</v>
      </c>
      <c r="G161" s="0" t="s">
        <v>18054</v>
      </c>
    </row>
    <row r="162" customFormat="false" ht="15" hidden="false" customHeight="false" outlineLevel="0" collapsed="false">
      <c r="A162" s="0" t="n">
        <v>2134</v>
      </c>
      <c r="B162" s="0" t="n">
        <v>19400</v>
      </c>
      <c r="C162" s="0" t="s">
        <v>9176</v>
      </c>
      <c r="D162" s="0" t="s">
        <v>19</v>
      </c>
      <c r="E162" s="0" t="s">
        <v>18053</v>
      </c>
      <c r="F162" s="0" t="s">
        <v>40</v>
      </c>
      <c r="G162" s="0" t="s">
        <v>18054</v>
      </c>
    </row>
    <row r="163" customFormat="false" ht="15" hidden="false" customHeight="false" outlineLevel="0" collapsed="false">
      <c r="A163" s="0" t="n">
        <v>2135</v>
      </c>
      <c r="B163" s="0" t="n">
        <v>19402</v>
      </c>
      <c r="C163" s="0" t="s">
        <v>9181</v>
      </c>
      <c r="D163" s="0" t="s">
        <v>19</v>
      </c>
      <c r="E163" s="0" t="s">
        <v>18053</v>
      </c>
      <c r="F163" s="0" t="s">
        <v>40</v>
      </c>
      <c r="G163" s="0" t="s">
        <v>18054</v>
      </c>
    </row>
    <row r="164" customFormat="false" ht="15" hidden="false" customHeight="false" outlineLevel="0" collapsed="false">
      <c r="A164" s="0" t="n">
        <v>2136</v>
      </c>
      <c r="B164" s="0" t="n">
        <v>19418</v>
      </c>
      <c r="C164" s="0" t="s">
        <v>9186</v>
      </c>
      <c r="D164" s="0" t="s">
        <v>19</v>
      </c>
      <c r="E164" s="0" t="s">
        <v>18053</v>
      </c>
      <c r="F164" s="0" t="s">
        <v>40</v>
      </c>
      <c r="G164" s="0" t="s">
        <v>18054</v>
      </c>
    </row>
    <row r="165" customFormat="false" ht="15" hidden="false" customHeight="false" outlineLevel="0" collapsed="false">
      <c r="A165" s="0" t="n">
        <v>2137</v>
      </c>
      <c r="B165" s="0" t="n">
        <v>19433</v>
      </c>
      <c r="C165" s="0" t="s">
        <v>9189</v>
      </c>
      <c r="D165" s="0" t="s">
        <v>19</v>
      </c>
      <c r="E165" s="0" t="s">
        <v>18053</v>
      </c>
      <c r="F165" s="0" t="s">
        <v>40</v>
      </c>
      <c r="G165" s="0" t="s">
        <v>18054</v>
      </c>
    </row>
    <row r="166" customFormat="false" ht="15" hidden="false" customHeight="false" outlineLevel="0" collapsed="false">
      <c r="A166" s="0" t="n">
        <v>2138</v>
      </c>
      <c r="B166" s="0" t="n">
        <v>19435</v>
      </c>
      <c r="C166" s="0" t="s">
        <v>9193</v>
      </c>
      <c r="D166" s="0" t="s">
        <v>19</v>
      </c>
      <c r="E166" s="0" t="s">
        <v>18053</v>
      </c>
      <c r="F166" s="0" t="s">
        <v>40</v>
      </c>
      <c r="G166" s="0" t="s">
        <v>18054</v>
      </c>
    </row>
    <row r="167" customFormat="false" ht="15" hidden="false" customHeight="false" outlineLevel="0" collapsed="false">
      <c r="A167" s="0" t="n">
        <v>2139</v>
      </c>
      <c r="B167" s="0" t="n">
        <v>19434</v>
      </c>
      <c r="C167" s="0" t="s">
        <v>9197</v>
      </c>
      <c r="D167" s="0" t="s">
        <v>19</v>
      </c>
      <c r="E167" s="0" t="s">
        <v>18053</v>
      </c>
      <c r="F167" s="0" t="s">
        <v>40</v>
      </c>
      <c r="G167" s="0" t="s">
        <v>18054</v>
      </c>
    </row>
    <row r="168" customFormat="false" ht="15" hidden="false" customHeight="false" outlineLevel="0" collapsed="false">
      <c r="A168" s="0" t="n">
        <v>2140</v>
      </c>
      <c r="B168" s="0" t="n">
        <v>19439</v>
      </c>
      <c r="C168" s="0" t="s">
        <v>9203</v>
      </c>
      <c r="D168" s="0" t="s">
        <v>19</v>
      </c>
      <c r="E168" s="0" t="s">
        <v>18053</v>
      </c>
      <c r="F168" s="0" t="s">
        <v>40</v>
      </c>
      <c r="G168" s="0" t="s">
        <v>18054</v>
      </c>
    </row>
    <row r="169" customFormat="false" ht="15" hidden="false" customHeight="false" outlineLevel="0" collapsed="false">
      <c r="A169" s="0" t="n">
        <v>2141</v>
      </c>
      <c r="B169" s="0" t="n">
        <v>19436</v>
      </c>
      <c r="C169" s="0" t="s">
        <v>9207</v>
      </c>
      <c r="D169" s="0" t="s">
        <v>19</v>
      </c>
      <c r="E169" s="0" t="s">
        <v>18053</v>
      </c>
      <c r="F169" s="0" t="s">
        <v>40</v>
      </c>
      <c r="G169" s="0" t="s">
        <v>18054</v>
      </c>
    </row>
    <row r="170" customFormat="false" ht="15" hidden="false" customHeight="false" outlineLevel="0" collapsed="false">
      <c r="A170" s="0" t="n">
        <v>2142</v>
      </c>
      <c r="B170" s="0" t="n">
        <v>19437</v>
      </c>
      <c r="C170" s="0" t="s">
        <v>9213</v>
      </c>
      <c r="D170" s="0" t="s">
        <v>19</v>
      </c>
      <c r="E170" s="0" t="s">
        <v>18053</v>
      </c>
      <c r="F170" s="0" t="s">
        <v>40</v>
      </c>
      <c r="G170" s="0" t="s">
        <v>18054</v>
      </c>
    </row>
    <row r="171" customFormat="false" ht="15" hidden="false" customHeight="false" outlineLevel="0" collapsed="false">
      <c r="A171" s="0" t="n">
        <v>2143</v>
      </c>
      <c r="B171" s="0" t="n">
        <v>19438</v>
      </c>
      <c r="C171" s="0" t="s">
        <v>9218</v>
      </c>
      <c r="D171" s="0" t="s">
        <v>19</v>
      </c>
      <c r="E171" s="0" t="s">
        <v>18053</v>
      </c>
      <c r="F171" s="0" t="s">
        <v>40</v>
      </c>
      <c r="G171" s="0" t="s">
        <v>18054</v>
      </c>
    </row>
    <row r="172" customFormat="false" ht="15" hidden="false" customHeight="false" outlineLevel="0" collapsed="false">
      <c r="A172" s="0" t="n">
        <v>2144</v>
      </c>
      <c r="B172" s="0" t="n">
        <v>19440</v>
      </c>
      <c r="C172" s="0" t="s">
        <v>9223</v>
      </c>
      <c r="D172" s="0" t="s">
        <v>19</v>
      </c>
      <c r="E172" s="0" t="s">
        <v>18053</v>
      </c>
      <c r="F172" s="0" t="s">
        <v>40</v>
      </c>
      <c r="G172" s="0" t="s">
        <v>18054</v>
      </c>
    </row>
    <row r="173" customFormat="false" ht="15" hidden="false" customHeight="false" outlineLevel="0" collapsed="false">
      <c r="A173" s="0" t="n">
        <v>2145</v>
      </c>
      <c r="B173" s="0" t="n">
        <v>19465</v>
      </c>
      <c r="C173" s="0" t="s">
        <v>9228</v>
      </c>
      <c r="D173" s="0" t="s">
        <v>19</v>
      </c>
      <c r="E173" s="0" t="s">
        <v>18053</v>
      </c>
      <c r="F173" s="0" t="s">
        <v>40</v>
      </c>
      <c r="G173" s="0" t="s">
        <v>18054</v>
      </c>
    </row>
    <row r="174" customFormat="false" ht="15" hidden="false" customHeight="false" outlineLevel="0" collapsed="false">
      <c r="A174" s="0" t="n">
        <v>2146</v>
      </c>
      <c r="B174" s="0" t="n">
        <v>19442</v>
      </c>
      <c r="C174" s="0" t="s">
        <v>9231</v>
      </c>
      <c r="D174" s="0" t="s">
        <v>19</v>
      </c>
      <c r="E174" s="0" t="s">
        <v>18053</v>
      </c>
      <c r="F174" s="0" t="s">
        <v>40</v>
      </c>
      <c r="G174" s="0" t="s">
        <v>18054</v>
      </c>
    </row>
    <row r="175" customFormat="false" ht="15" hidden="false" customHeight="false" outlineLevel="0" collapsed="false">
      <c r="A175" s="0" t="n">
        <v>2148</v>
      </c>
      <c r="B175" s="0" t="n">
        <v>19444</v>
      </c>
      <c r="C175" s="0" t="s">
        <v>9238</v>
      </c>
      <c r="D175" s="0" t="s">
        <v>19</v>
      </c>
      <c r="E175" s="0" t="s">
        <v>18053</v>
      </c>
      <c r="F175" s="0" t="s">
        <v>40</v>
      </c>
      <c r="G175" s="0" t="s">
        <v>18054</v>
      </c>
    </row>
    <row r="176" customFormat="false" ht="15" hidden="false" customHeight="false" outlineLevel="0" collapsed="false">
      <c r="A176" s="0" t="n">
        <v>2149</v>
      </c>
      <c r="B176" s="0" t="n">
        <v>19445</v>
      </c>
      <c r="C176" s="0" t="s">
        <v>9242</v>
      </c>
      <c r="D176" s="0" t="s">
        <v>19</v>
      </c>
      <c r="E176" s="0" t="s">
        <v>18053</v>
      </c>
      <c r="F176" s="0" t="s">
        <v>40</v>
      </c>
      <c r="G176" s="0" t="s">
        <v>18054</v>
      </c>
    </row>
    <row r="177" customFormat="false" ht="15" hidden="false" customHeight="false" outlineLevel="0" collapsed="false">
      <c r="A177" s="0" t="n">
        <v>2150</v>
      </c>
      <c r="B177" s="0" t="n">
        <v>19446</v>
      </c>
      <c r="C177" s="0" t="s">
        <v>9246</v>
      </c>
      <c r="D177" s="0" t="s">
        <v>19</v>
      </c>
      <c r="E177" s="0" t="s">
        <v>18053</v>
      </c>
      <c r="F177" s="0" t="s">
        <v>40</v>
      </c>
      <c r="G177" s="0" t="s">
        <v>18054</v>
      </c>
    </row>
    <row r="178" customFormat="false" ht="15" hidden="false" customHeight="false" outlineLevel="0" collapsed="false">
      <c r="A178" s="0" t="n">
        <v>2151</v>
      </c>
      <c r="B178" s="0" t="n">
        <v>19447</v>
      </c>
      <c r="C178" s="0" t="s">
        <v>9251</v>
      </c>
      <c r="D178" s="0" t="s">
        <v>19</v>
      </c>
      <c r="E178" s="0" t="s">
        <v>18053</v>
      </c>
      <c r="F178" s="0" t="s">
        <v>40</v>
      </c>
      <c r="G178" s="0" t="s">
        <v>18054</v>
      </c>
    </row>
    <row r="179" customFormat="false" ht="15" hidden="false" customHeight="false" outlineLevel="0" collapsed="false">
      <c r="A179" s="0" t="n">
        <v>2152</v>
      </c>
      <c r="B179" s="0" t="n">
        <v>19448</v>
      </c>
      <c r="C179" s="0" t="s">
        <v>9256</v>
      </c>
      <c r="D179" s="0" t="s">
        <v>19</v>
      </c>
      <c r="E179" s="0" t="s">
        <v>18053</v>
      </c>
      <c r="F179" s="0" t="s">
        <v>40</v>
      </c>
      <c r="G179" s="0" t="s">
        <v>18054</v>
      </c>
    </row>
    <row r="180" customFormat="false" ht="15" hidden="false" customHeight="false" outlineLevel="0" collapsed="false">
      <c r="A180" s="0" t="n">
        <v>2153</v>
      </c>
      <c r="B180" s="0" t="n">
        <v>19449</v>
      </c>
      <c r="C180" s="0" t="s">
        <v>9260</v>
      </c>
      <c r="D180" s="0" t="s">
        <v>19</v>
      </c>
      <c r="E180" s="0" t="s">
        <v>18053</v>
      </c>
      <c r="F180" s="0" t="s">
        <v>40</v>
      </c>
      <c r="G180" s="0" t="s">
        <v>18054</v>
      </c>
    </row>
    <row r="181" customFormat="false" ht="15" hidden="false" customHeight="false" outlineLevel="0" collapsed="false">
      <c r="A181" s="0" t="n">
        <v>2155</v>
      </c>
      <c r="B181" s="0" t="n">
        <v>19452</v>
      </c>
      <c r="C181" s="0" t="s">
        <v>9270</v>
      </c>
      <c r="D181" s="0" t="s">
        <v>19</v>
      </c>
      <c r="E181" s="0" t="s">
        <v>18053</v>
      </c>
      <c r="F181" s="0" t="s">
        <v>40</v>
      </c>
      <c r="G181" s="0" t="s">
        <v>18054</v>
      </c>
    </row>
    <row r="182" customFormat="false" ht="15" hidden="false" customHeight="false" outlineLevel="0" collapsed="false">
      <c r="A182" s="0" t="n">
        <v>2156</v>
      </c>
      <c r="B182" s="0" t="n">
        <v>19466</v>
      </c>
      <c r="C182" s="0" t="s">
        <v>9274</v>
      </c>
      <c r="D182" s="0" t="s">
        <v>19</v>
      </c>
      <c r="E182" s="0" t="s">
        <v>18053</v>
      </c>
      <c r="F182" s="0" t="s">
        <v>40</v>
      </c>
      <c r="G182" s="0" t="s">
        <v>18054</v>
      </c>
    </row>
    <row r="183" customFormat="false" ht="15" hidden="false" customHeight="false" outlineLevel="0" collapsed="false">
      <c r="A183" s="0" t="n">
        <v>2157</v>
      </c>
      <c r="B183" s="0" t="n">
        <v>19468</v>
      </c>
      <c r="C183" s="0" t="s">
        <v>9277</v>
      </c>
      <c r="D183" s="0" t="s">
        <v>19</v>
      </c>
      <c r="E183" s="0" t="s">
        <v>18053</v>
      </c>
      <c r="F183" s="0" t="s">
        <v>40</v>
      </c>
      <c r="G183" s="0" t="s">
        <v>18054</v>
      </c>
    </row>
    <row r="184" customFormat="false" ht="15" hidden="false" customHeight="false" outlineLevel="0" collapsed="false">
      <c r="A184" s="0" t="n">
        <v>2158</v>
      </c>
      <c r="B184" s="0" t="n">
        <v>19518</v>
      </c>
      <c r="C184" s="0" t="s">
        <v>9282</v>
      </c>
      <c r="D184" s="0" t="s">
        <v>19</v>
      </c>
      <c r="E184" s="0" t="s">
        <v>18053</v>
      </c>
      <c r="F184" s="0" t="s">
        <v>40</v>
      </c>
      <c r="G184" s="0" t="s">
        <v>18054</v>
      </c>
    </row>
    <row r="185" customFormat="false" ht="15" hidden="false" customHeight="false" outlineLevel="0" collapsed="false">
      <c r="A185" s="0" t="n">
        <v>2159</v>
      </c>
      <c r="B185" s="0" t="n">
        <v>19469</v>
      </c>
      <c r="C185" s="0" t="s">
        <v>9286</v>
      </c>
      <c r="D185" s="0" t="s">
        <v>19</v>
      </c>
      <c r="E185" s="0" t="s">
        <v>18053</v>
      </c>
      <c r="F185" s="0" t="s">
        <v>40</v>
      </c>
      <c r="G185" s="0" t="s">
        <v>18054</v>
      </c>
    </row>
    <row r="186" customFormat="false" ht="15" hidden="false" customHeight="false" outlineLevel="0" collapsed="false">
      <c r="A186" s="0" t="n">
        <v>2160</v>
      </c>
      <c r="B186" s="0" t="n">
        <v>19476</v>
      </c>
      <c r="C186" s="0" t="s">
        <v>9290</v>
      </c>
      <c r="D186" s="0" t="s">
        <v>19</v>
      </c>
      <c r="E186" s="0" t="s">
        <v>18053</v>
      </c>
      <c r="F186" s="0" t="s">
        <v>40</v>
      </c>
      <c r="G186" s="0" t="s">
        <v>18054</v>
      </c>
    </row>
    <row r="187" customFormat="false" ht="15" hidden="false" customHeight="false" outlineLevel="0" collapsed="false">
      <c r="A187" s="0" t="n">
        <v>2161</v>
      </c>
      <c r="B187" s="0" t="n">
        <v>19482</v>
      </c>
      <c r="C187" s="0" t="s">
        <v>9295</v>
      </c>
      <c r="D187" s="0" t="s">
        <v>19</v>
      </c>
      <c r="E187" s="0" t="s">
        <v>18053</v>
      </c>
      <c r="F187" s="0" t="s">
        <v>40</v>
      </c>
      <c r="G187" s="0" t="s">
        <v>18054</v>
      </c>
    </row>
    <row r="188" customFormat="false" ht="15" hidden="false" customHeight="false" outlineLevel="0" collapsed="false">
      <c r="A188" s="0" t="n">
        <v>2163</v>
      </c>
      <c r="B188" s="0" t="n">
        <v>19494</v>
      </c>
      <c r="C188" s="0" t="s">
        <v>9307</v>
      </c>
      <c r="D188" s="0" t="s">
        <v>19</v>
      </c>
      <c r="E188" s="0" t="s">
        <v>18053</v>
      </c>
      <c r="F188" s="0" t="s">
        <v>40</v>
      </c>
      <c r="G188" s="0" t="s">
        <v>18054</v>
      </c>
    </row>
    <row r="189" customFormat="false" ht="15" hidden="false" customHeight="false" outlineLevel="0" collapsed="false">
      <c r="A189" s="0" t="n">
        <v>2164</v>
      </c>
      <c r="B189" s="0" t="n">
        <v>19495</v>
      </c>
      <c r="C189" s="0" t="s">
        <v>9311</v>
      </c>
      <c r="D189" s="0" t="s">
        <v>19</v>
      </c>
      <c r="E189" s="0" t="s">
        <v>18053</v>
      </c>
      <c r="F189" s="0" t="s">
        <v>40</v>
      </c>
      <c r="G189" s="0" t="s">
        <v>18054</v>
      </c>
    </row>
    <row r="190" customFormat="false" ht="15" hidden="false" customHeight="false" outlineLevel="0" collapsed="false">
      <c r="A190" s="0" t="n">
        <v>2165</v>
      </c>
      <c r="B190" s="0" t="n">
        <v>19496</v>
      </c>
      <c r="C190" s="0" t="s">
        <v>9314</v>
      </c>
      <c r="D190" s="0" t="s">
        <v>19</v>
      </c>
      <c r="E190" s="0" t="s">
        <v>18053</v>
      </c>
      <c r="F190" s="0" t="s">
        <v>40</v>
      </c>
      <c r="G190" s="0" t="s">
        <v>18054</v>
      </c>
    </row>
    <row r="191" customFormat="false" ht="15" hidden="false" customHeight="false" outlineLevel="0" collapsed="false">
      <c r="A191" s="0" t="n">
        <v>2166</v>
      </c>
      <c r="B191" s="0" t="n">
        <v>19498</v>
      </c>
      <c r="C191" s="0" t="s">
        <v>9318</v>
      </c>
      <c r="D191" s="0" t="s">
        <v>19</v>
      </c>
      <c r="E191" s="0" t="s">
        <v>18053</v>
      </c>
      <c r="F191" s="0" t="s">
        <v>40</v>
      </c>
      <c r="G191" s="0" t="s">
        <v>18054</v>
      </c>
    </row>
    <row r="192" customFormat="false" ht="15" hidden="false" customHeight="false" outlineLevel="0" collapsed="false">
      <c r="A192" s="0" t="n">
        <v>2167</v>
      </c>
      <c r="B192" s="0" t="n">
        <v>19499</v>
      </c>
      <c r="C192" s="0" t="s">
        <v>9321</v>
      </c>
      <c r="D192" s="0" t="s">
        <v>19</v>
      </c>
      <c r="E192" s="0" t="s">
        <v>18053</v>
      </c>
      <c r="F192" s="0" t="s">
        <v>40</v>
      </c>
      <c r="G192" s="0" t="s">
        <v>18054</v>
      </c>
    </row>
    <row r="193" customFormat="false" ht="15" hidden="false" customHeight="false" outlineLevel="0" collapsed="false">
      <c r="A193" s="0" t="n">
        <v>2168</v>
      </c>
      <c r="B193" s="0" t="n">
        <v>19500</v>
      </c>
      <c r="C193" s="0" t="s">
        <v>9324</v>
      </c>
      <c r="D193" s="0" t="s">
        <v>19</v>
      </c>
      <c r="E193" s="0" t="s">
        <v>18053</v>
      </c>
      <c r="F193" s="0" t="s">
        <v>40</v>
      </c>
      <c r="G193" s="0" t="s">
        <v>18054</v>
      </c>
    </row>
    <row r="194" customFormat="false" ht="15" hidden="false" customHeight="false" outlineLevel="0" collapsed="false">
      <c r="A194" s="0" t="n">
        <v>2169</v>
      </c>
      <c r="B194" s="0" t="n">
        <v>19501</v>
      </c>
      <c r="C194" s="0" t="s">
        <v>9327</v>
      </c>
      <c r="D194" s="0" t="s">
        <v>19</v>
      </c>
      <c r="E194" s="0" t="s">
        <v>18053</v>
      </c>
      <c r="F194" s="0" t="s">
        <v>40</v>
      </c>
      <c r="G194" s="0" t="s">
        <v>18054</v>
      </c>
    </row>
    <row r="195" customFormat="false" ht="15" hidden="false" customHeight="false" outlineLevel="0" collapsed="false">
      <c r="A195" s="0" t="n">
        <v>2170</v>
      </c>
      <c r="B195" s="0" t="n">
        <v>19502</v>
      </c>
      <c r="C195" s="0" t="s">
        <v>9330</v>
      </c>
      <c r="D195" s="0" t="s">
        <v>19</v>
      </c>
      <c r="E195" s="0" t="s">
        <v>18053</v>
      </c>
      <c r="F195" s="0" t="s">
        <v>40</v>
      </c>
      <c r="G195" s="0" t="s">
        <v>18054</v>
      </c>
    </row>
    <row r="196" customFormat="false" ht="15" hidden="false" customHeight="false" outlineLevel="0" collapsed="false">
      <c r="A196" s="0" t="n">
        <v>2171</v>
      </c>
      <c r="B196" s="0" t="n">
        <v>19503</v>
      </c>
      <c r="C196" s="0" t="s">
        <v>9333</v>
      </c>
      <c r="D196" s="0" t="s">
        <v>19</v>
      </c>
      <c r="E196" s="0" t="s">
        <v>18053</v>
      </c>
      <c r="F196" s="0" t="s">
        <v>40</v>
      </c>
      <c r="G196" s="0" t="s">
        <v>18054</v>
      </c>
    </row>
    <row r="197" customFormat="false" ht="15" hidden="false" customHeight="false" outlineLevel="0" collapsed="false">
      <c r="A197" s="0" t="n">
        <v>2172</v>
      </c>
      <c r="B197" s="0" t="n">
        <v>19505</v>
      </c>
      <c r="C197" s="0" t="s">
        <v>9336</v>
      </c>
      <c r="D197" s="0" t="s">
        <v>19</v>
      </c>
      <c r="E197" s="0" t="s">
        <v>18053</v>
      </c>
      <c r="F197" s="0" t="s">
        <v>40</v>
      </c>
      <c r="G197" s="0" t="s">
        <v>18054</v>
      </c>
    </row>
    <row r="198" customFormat="false" ht="15" hidden="false" customHeight="false" outlineLevel="0" collapsed="false">
      <c r="A198" s="0" t="n">
        <v>2173</v>
      </c>
      <c r="B198" s="0" t="n">
        <v>19514</v>
      </c>
      <c r="C198" s="0" t="s">
        <v>9339</v>
      </c>
      <c r="D198" s="0" t="s">
        <v>19</v>
      </c>
      <c r="E198" s="0" t="s">
        <v>18053</v>
      </c>
      <c r="F198" s="0" t="s">
        <v>40</v>
      </c>
      <c r="G198" s="0" t="s">
        <v>18054</v>
      </c>
    </row>
    <row r="199" customFormat="false" ht="15" hidden="false" customHeight="false" outlineLevel="0" collapsed="false">
      <c r="A199" s="0" t="n">
        <v>2174</v>
      </c>
      <c r="B199" s="0" t="n">
        <v>19516</v>
      </c>
      <c r="C199" s="0" t="s">
        <v>9343</v>
      </c>
      <c r="D199" s="0" t="s">
        <v>19</v>
      </c>
      <c r="E199" s="0" t="s">
        <v>18053</v>
      </c>
      <c r="F199" s="0" t="s">
        <v>40</v>
      </c>
      <c r="G199" s="0" t="s">
        <v>18054</v>
      </c>
    </row>
    <row r="200" customFormat="false" ht="15" hidden="false" customHeight="false" outlineLevel="0" collapsed="false">
      <c r="A200" s="0" t="n">
        <v>2177</v>
      </c>
      <c r="B200" s="0" t="n">
        <v>19536</v>
      </c>
      <c r="C200" s="0" t="s">
        <v>9357</v>
      </c>
      <c r="D200" s="0" t="s">
        <v>19</v>
      </c>
      <c r="E200" s="0" t="s">
        <v>18053</v>
      </c>
      <c r="F200" s="0" t="s">
        <v>40</v>
      </c>
      <c r="G200" s="0" t="s">
        <v>18054</v>
      </c>
    </row>
    <row r="201" customFormat="false" ht="15" hidden="false" customHeight="false" outlineLevel="0" collapsed="false">
      <c r="A201" s="0" t="n">
        <v>2178</v>
      </c>
      <c r="B201" s="0" t="n">
        <v>19523</v>
      </c>
      <c r="C201" s="0" t="s">
        <v>9360</v>
      </c>
      <c r="D201" s="0" t="s">
        <v>19</v>
      </c>
      <c r="E201" s="0" t="s">
        <v>18053</v>
      </c>
      <c r="F201" s="0" t="s">
        <v>40</v>
      </c>
      <c r="G201" s="0" t="s">
        <v>18054</v>
      </c>
    </row>
    <row r="202" customFormat="false" ht="15" hidden="false" customHeight="false" outlineLevel="0" collapsed="false">
      <c r="A202" s="0" t="n">
        <v>2181</v>
      </c>
      <c r="B202" s="0" t="n">
        <v>19528</v>
      </c>
      <c r="C202" s="0" t="s">
        <v>9375</v>
      </c>
      <c r="D202" s="0" t="s">
        <v>19</v>
      </c>
      <c r="E202" s="0" t="s">
        <v>18053</v>
      </c>
      <c r="F202" s="0" t="s">
        <v>40</v>
      </c>
      <c r="G202" s="0" t="s">
        <v>18054</v>
      </c>
    </row>
    <row r="203" customFormat="false" ht="15" hidden="false" customHeight="false" outlineLevel="0" collapsed="false">
      <c r="A203" s="0" t="n">
        <v>2182</v>
      </c>
      <c r="B203" s="0" t="n">
        <v>19529</v>
      </c>
      <c r="C203" s="0" t="s">
        <v>9378</v>
      </c>
      <c r="D203" s="0" t="s">
        <v>19</v>
      </c>
      <c r="E203" s="0" t="s">
        <v>18053</v>
      </c>
      <c r="F203" s="0" t="s">
        <v>40</v>
      </c>
      <c r="G203" s="0" t="s">
        <v>18054</v>
      </c>
    </row>
    <row r="204" customFormat="false" ht="15" hidden="false" customHeight="false" outlineLevel="0" collapsed="false">
      <c r="A204" s="0" t="n">
        <v>2183</v>
      </c>
      <c r="B204" s="0" t="n">
        <v>19531</v>
      </c>
      <c r="C204" s="0" t="s">
        <v>9382</v>
      </c>
      <c r="D204" s="0" t="s">
        <v>19</v>
      </c>
      <c r="E204" s="0" t="s">
        <v>18053</v>
      </c>
      <c r="F204" s="0" t="s">
        <v>40</v>
      </c>
      <c r="G204" s="0" t="s">
        <v>18054</v>
      </c>
    </row>
    <row r="205" customFormat="false" ht="15" hidden="false" customHeight="false" outlineLevel="0" collapsed="false">
      <c r="A205" s="0" t="n">
        <v>2184</v>
      </c>
      <c r="B205" s="0" t="n">
        <v>19537</v>
      </c>
      <c r="C205" s="0" t="s">
        <v>9386</v>
      </c>
      <c r="D205" s="0" t="s">
        <v>19</v>
      </c>
      <c r="E205" s="0" t="s">
        <v>18053</v>
      </c>
      <c r="F205" s="0" t="s">
        <v>40</v>
      </c>
      <c r="G205" s="0" t="s">
        <v>18054</v>
      </c>
    </row>
    <row r="206" customFormat="false" ht="15" hidden="false" customHeight="false" outlineLevel="0" collapsed="false">
      <c r="A206" s="0" t="n">
        <v>2185</v>
      </c>
      <c r="B206" s="0" t="n">
        <v>19538</v>
      </c>
      <c r="C206" s="0" t="s">
        <v>9391</v>
      </c>
      <c r="D206" s="0" t="s">
        <v>19</v>
      </c>
      <c r="E206" s="0" t="s">
        <v>18053</v>
      </c>
      <c r="F206" s="0" t="s">
        <v>40</v>
      </c>
      <c r="G206" s="0" t="s">
        <v>18054</v>
      </c>
    </row>
    <row r="207" customFormat="false" ht="15" hidden="false" customHeight="false" outlineLevel="0" collapsed="false">
      <c r="A207" s="0" t="n">
        <v>2186</v>
      </c>
      <c r="B207" s="0" t="n">
        <v>19539</v>
      </c>
      <c r="C207" s="0" t="s">
        <v>9394</v>
      </c>
      <c r="D207" s="0" t="s">
        <v>19</v>
      </c>
      <c r="E207" s="0" t="s">
        <v>18053</v>
      </c>
      <c r="F207" s="0" t="s">
        <v>40</v>
      </c>
      <c r="G207" s="0" t="s">
        <v>18054</v>
      </c>
    </row>
    <row r="208" customFormat="false" ht="15" hidden="false" customHeight="false" outlineLevel="0" collapsed="false">
      <c r="A208" s="0" t="n">
        <v>2187</v>
      </c>
      <c r="B208" s="0" t="n">
        <v>19540</v>
      </c>
      <c r="C208" s="0" t="s">
        <v>9397</v>
      </c>
      <c r="D208" s="0" t="s">
        <v>19</v>
      </c>
      <c r="E208" s="0" t="s">
        <v>18053</v>
      </c>
      <c r="F208" s="0" t="s">
        <v>40</v>
      </c>
      <c r="G208" s="0" t="s">
        <v>18054</v>
      </c>
    </row>
    <row r="209" customFormat="false" ht="15" hidden="false" customHeight="false" outlineLevel="0" collapsed="false">
      <c r="A209" s="0" t="n">
        <v>2188</v>
      </c>
      <c r="B209" s="0" t="n">
        <v>19541</v>
      </c>
      <c r="C209" s="0" t="s">
        <v>9401</v>
      </c>
      <c r="D209" s="0" t="s">
        <v>19</v>
      </c>
      <c r="E209" s="0" t="s">
        <v>18053</v>
      </c>
      <c r="F209" s="0" t="s">
        <v>40</v>
      </c>
      <c r="G209" s="0" t="s">
        <v>18054</v>
      </c>
    </row>
    <row r="210" customFormat="false" ht="15" hidden="false" customHeight="false" outlineLevel="0" collapsed="false">
      <c r="A210" s="0" t="n">
        <v>2189</v>
      </c>
      <c r="B210" s="0" t="n">
        <v>19542</v>
      </c>
      <c r="C210" s="0" t="s">
        <v>9405</v>
      </c>
      <c r="D210" s="0" t="s">
        <v>19</v>
      </c>
      <c r="E210" s="0" t="s">
        <v>18053</v>
      </c>
      <c r="F210" s="0" t="s">
        <v>40</v>
      </c>
      <c r="G210" s="0" t="s">
        <v>18054</v>
      </c>
    </row>
    <row r="211" customFormat="false" ht="15" hidden="false" customHeight="false" outlineLevel="0" collapsed="false">
      <c r="A211" s="0" t="n">
        <v>2190</v>
      </c>
      <c r="B211" s="0" t="n">
        <v>19543</v>
      </c>
      <c r="C211" s="0" t="s">
        <v>9408</v>
      </c>
      <c r="D211" s="0" t="s">
        <v>19</v>
      </c>
      <c r="E211" s="0" t="s">
        <v>18053</v>
      </c>
      <c r="F211" s="0" t="s">
        <v>40</v>
      </c>
      <c r="G211" s="0" t="s">
        <v>18054</v>
      </c>
    </row>
    <row r="212" customFormat="false" ht="15" hidden="false" customHeight="false" outlineLevel="0" collapsed="false">
      <c r="A212" s="0" t="n">
        <v>2191</v>
      </c>
      <c r="B212" s="0" t="n">
        <v>19545</v>
      </c>
      <c r="C212" s="0" t="s">
        <v>9411</v>
      </c>
      <c r="D212" s="0" t="s">
        <v>19</v>
      </c>
      <c r="E212" s="0" t="s">
        <v>18053</v>
      </c>
      <c r="F212" s="0" t="s">
        <v>40</v>
      </c>
      <c r="G212" s="0" t="s">
        <v>18054</v>
      </c>
    </row>
    <row r="213" customFormat="false" ht="15" hidden="false" customHeight="false" outlineLevel="0" collapsed="false">
      <c r="A213" s="0" t="n">
        <v>2192</v>
      </c>
      <c r="B213" s="0" t="n">
        <v>19544</v>
      </c>
      <c r="C213" s="0" t="s">
        <v>9414</v>
      </c>
      <c r="D213" s="0" t="s">
        <v>19</v>
      </c>
      <c r="E213" s="0" t="s">
        <v>18053</v>
      </c>
      <c r="F213" s="0" t="s">
        <v>40</v>
      </c>
      <c r="G213" s="0" t="s">
        <v>18054</v>
      </c>
    </row>
    <row r="214" customFormat="false" ht="15" hidden="false" customHeight="false" outlineLevel="0" collapsed="false">
      <c r="A214" s="0" t="n">
        <v>2192</v>
      </c>
      <c r="B214" s="0" t="n">
        <v>19544</v>
      </c>
      <c r="C214" s="0" t="s">
        <v>9414</v>
      </c>
      <c r="D214" s="0" t="s">
        <v>4</v>
      </c>
      <c r="E214" s="0" t="s">
        <v>18064</v>
      </c>
      <c r="F214" s="0" t="s">
        <v>9415</v>
      </c>
      <c r="G214" s="0" t="s">
        <v>18054</v>
      </c>
    </row>
    <row r="215" customFormat="false" ht="15" hidden="false" customHeight="false" outlineLevel="0" collapsed="false">
      <c r="A215" s="0" t="n">
        <v>2193</v>
      </c>
      <c r="B215" s="0" t="n">
        <v>19546</v>
      </c>
      <c r="C215" s="0" t="s">
        <v>9419</v>
      </c>
      <c r="D215" s="0" t="s">
        <v>19</v>
      </c>
      <c r="E215" s="0" t="s">
        <v>18053</v>
      </c>
      <c r="F215" s="0" t="s">
        <v>40</v>
      </c>
      <c r="G215" s="0" t="s">
        <v>18054</v>
      </c>
    </row>
    <row r="216" customFormat="false" ht="15" hidden="false" customHeight="false" outlineLevel="0" collapsed="false">
      <c r="A216" s="0" t="n">
        <v>2194</v>
      </c>
      <c r="B216" s="0" t="n">
        <v>19547</v>
      </c>
      <c r="C216" s="0" t="s">
        <v>9422</v>
      </c>
      <c r="D216" s="0" t="s">
        <v>19</v>
      </c>
      <c r="E216" s="0" t="s">
        <v>18053</v>
      </c>
      <c r="F216" s="0" t="s">
        <v>40</v>
      </c>
      <c r="G216" s="0" t="s">
        <v>18054</v>
      </c>
    </row>
    <row r="217" customFormat="false" ht="15" hidden="false" customHeight="false" outlineLevel="0" collapsed="false">
      <c r="A217" s="0" t="n">
        <v>2195</v>
      </c>
      <c r="B217" s="0" t="n">
        <v>19548</v>
      </c>
      <c r="C217" s="0" t="s">
        <v>9425</v>
      </c>
      <c r="D217" s="0" t="s">
        <v>19</v>
      </c>
      <c r="E217" s="0" t="s">
        <v>18053</v>
      </c>
      <c r="F217" s="0" t="s">
        <v>40</v>
      </c>
      <c r="G217" s="0" t="s">
        <v>18054</v>
      </c>
    </row>
    <row r="218" customFormat="false" ht="15" hidden="false" customHeight="false" outlineLevel="0" collapsed="false">
      <c r="A218" s="0" t="n">
        <v>2196</v>
      </c>
      <c r="B218" s="0" t="n">
        <v>19549</v>
      </c>
      <c r="C218" s="0" t="s">
        <v>9428</v>
      </c>
      <c r="D218" s="0" t="s">
        <v>19</v>
      </c>
      <c r="E218" s="0" t="s">
        <v>18053</v>
      </c>
      <c r="F218" s="0" t="s">
        <v>40</v>
      </c>
      <c r="G218" s="0" t="s">
        <v>18054</v>
      </c>
    </row>
    <row r="219" customFormat="false" ht="15" hidden="false" customHeight="false" outlineLevel="0" collapsed="false">
      <c r="A219" s="0" t="n">
        <v>2197</v>
      </c>
      <c r="B219" s="0" t="n">
        <v>19550</v>
      </c>
      <c r="C219" s="0" t="s">
        <v>9430</v>
      </c>
      <c r="D219" s="0" t="s">
        <v>19</v>
      </c>
      <c r="E219" s="0" t="s">
        <v>18053</v>
      </c>
      <c r="F219" s="0" t="s">
        <v>40</v>
      </c>
      <c r="G219" s="0" t="s">
        <v>18054</v>
      </c>
    </row>
    <row r="220" customFormat="false" ht="15" hidden="false" customHeight="false" outlineLevel="0" collapsed="false">
      <c r="A220" s="0" t="n">
        <v>2198</v>
      </c>
      <c r="B220" s="0" t="n">
        <v>19552</v>
      </c>
      <c r="C220" s="0" t="s">
        <v>9432</v>
      </c>
      <c r="D220" s="0" t="s">
        <v>19</v>
      </c>
      <c r="E220" s="0" t="s">
        <v>18053</v>
      </c>
      <c r="F220" s="0" t="s">
        <v>40</v>
      </c>
      <c r="G220" s="0" t="s">
        <v>18054</v>
      </c>
    </row>
    <row r="221" customFormat="false" ht="15" hidden="false" customHeight="false" outlineLevel="0" collapsed="false">
      <c r="A221" s="0" t="n">
        <v>2199</v>
      </c>
      <c r="B221" s="0" t="n">
        <v>19551</v>
      </c>
      <c r="C221" s="0" t="s">
        <v>9435</v>
      </c>
      <c r="D221" s="0" t="s">
        <v>19</v>
      </c>
      <c r="E221" s="0" t="s">
        <v>18053</v>
      </c>
      <c r="F221" s="0" t="s">
        <v>40</v>
      </c>
      <c r="G221" s="0" t="s">
        <v>18054</v>
      </c>
    </row>
    <row r="222" customFormat="false" ht="15" hidden="false" customHeight="false" outlineLevel="0" collapsed="false">
      <c r="A222" s="0" t="n">
        <v>2200</v>
      </c>
      <c r="B222" s="0" t="n">
        <v>19554</v>
      </c>
      <c r="C222" s="0" t="s">
        <v>9439</v>
      </c>
      <c r="D222" s="0" t="s">
        <v>19</v>
      </c>
      <c r="E222" s="0" t="s">
        <v>18053</v>
      </c>
      <c r="F222" s="0" t="s">
        <v>40</v>
      </c>
      <c r="G222" s="0" t="s">
        <v>18054</v>
      </c>
    </row>
    <row r="223" customFormat="false" ht="15" hidden="false" customHeight="false" outlineLevel="0" collapsed="false">
      <c r="A223" s="0" t="n">
        <v>2201</v>
      </c>
      <c r="B223" s="0" t="n">
        <v>19555</v>
      </c>
      <c r="C223" s="0" t="s">
        <v>9442</v>
      </c>
      <c r="D223" s="0" t="s">
        <v>19</v>
      </c>
      <c r="E223" s="0" t="s">
        <v>18053</v>
      </c>
      <c r="F223" s="0" t="s">
        <v>40</v>
      </c>
      <c r="G223" s="0" t="s">
        <v>18054</v>
      </c>
    </row>
    <row r="224" customFormat="false" ht="15" hidden="false" customHeight="false" outlineLevel="0" collapsed="false">
      <c r="A224" s="0" t="n">
        <v>2202</v>
      </c>
      <c r="B224" s="0" t="n">
        <v>19556</v>
      </c>
      <c r="C224" s="0" t="s">
        <v>9445</v>
      </c>
      <c r="D224" s="0" t="s">
        <v>19</v>
      </c>
      <c r="E224" s="0" t="s">
        <v>18053</v>
      </c>
      <c r="F224" s="0" t="s">
        <v>40</v>
      </c>
      <c r="G224" s="0" t="s">
        <v>18054</v>
      </c>
    </row>
    <row r="225" customFormat="false" ht="15" hidden="false" customHeight="false" outlineLevel="0" collapsed="false">
      <c r="A225" s="0" t="n">
        <v>2203</v>
      </c>
      <c r="B225" s="0" t="n">
        <v>19557</v>
      </c>
      <c r="C225" s="0" t="s">
        <v>9448</v>
      </c>
      <c r="D225" s="0" t="s">
        <v>19</v>
      </c>
      <c r="E225" s="0" t="s">
        <v>18053</v>
      </c>
      <c r="F225" s="0" t="s">
        <v>40</v>
      </c>
      <c r="G225" s="0" t="s">
        <v>18054</v>
      </c>
    </row>
    <row r="226" customFormat="false" ht="15" hidden="false" customHeight="false" outlineLevel="0" collapsed="false">
      <c r="A226" s="0" t="n">
        <v>2204</v>
      </c>
      <c r="B226" s="0" t="n">
        <v>19558</v>
      </c>
      <c r="C226" s="0" t="s">
        <v>9451</v>
      </c>
      <c r="D226" s="0" t="s">
        <v>19</v>
      </c>
      <c r="E226" s="0" t="s">
        <v>18053</v>
      </c>
      <c r="F226" s="0" t="s">
        <v>40</v>
      </c>
      <c r="G226" s="0" t="s">
        <v>18054</v>
      </c>
    </row>
    <row r="227" customFormat="false" ht="15" hidden="false" customHeight="false" outlineLevel="0" collapsed="false">
      <c r="A227" s="0" t="n">
        <v>2205</v>
      </c>
      <c r="B227" s="0" t="n">
        <v>19559</v>
      </c>
      <c r="C227" s="0" t="s">
        <v>9453</v>
      </c>
      <c r="D227" s="0" t="s">
        <v>19</v>
      </c>
      <c r="E227" s="0" t="s">
        <v>18053</v>
      </c>
      <c r="F227" s="0" t="s">
        <v>40</v>
      </c>
      <c r="G227" s="0" t="s">
        <v>18054</v>
      </c>
    </row>
    <row r="228" customFormat="false" ht="15" hidden="false" customHeight="false" outlineLevel="0" collapsed="false">
      <c r="A228" s="0" t="n">
        <v>2206</v>
      </c>
      <c r="B228" s="0" t="n">
        <v>19560</v>
      </c>
      <c r="C228" s="0" t="s">
        <v>862</v>
      </c>
      <c r="D228" s="0" t="s">
        <v>19</v>
      </c>
      <c r="E228" s="0" t="s">
        <v>18053</v>
      </c>
      <c r="F228" s="0" t="s">
        <v>40</v>
      </c>
      <c r="G228" s="0" t="s">
        <v>18054</v>
      </c>
    </row>
    <row r="229" customFormat="false" ht="15" hidden="false" customHeight="false" outlineLevel="0" collapsed="false">
      <c r="A229" s="0" t="n">
        <v>2207</v>
      </c>
      <c r="B229" s="0" t="n">
        <v>19561</v>
      </c>
      <c r="C229" s="0" t="s">
        <v>9458</v>
      </c>
      <c r="D229" s="0" t="s">
        <v>19</v>
      </c>
      <c r="E229" s="0" t="s">
        <v>18053</v>
      </c>
      <c r="F229" s="0" t="s">
        <v>40</v>
      </c>
      <c r="G229" s="0" t="s">
        <v>18054</v>
      </c>
    </row>
    <row r="230" customFormat="false" ht="15" hidden="false" customHeight="false" outlineLevel="0" collapsed="false">
      <c r="A230" s="0" t="n">
        <v>2208</v>
      </c>
      <c r="B230" s="0" t="n">
        <v>19562</v>
      </c>
      <c r="C230" s="0" t="s">
        <v>9461</v>
      </c>
      <c r="D230" s="0" t="s">
        <v>19</v>
      </c>
      <c r="E230" s="0" t="s">
        <v>18053</v>
      </c>
      <c r="F230" s="0" t="s">
        <v>40</v>
      </c>
      <c r="G230" s="0" t="s">
        <v>18054</v>
      </c>
    </row>
    <row r="231" customFormat="false" ht="15" hidden="false" customHeight="false" outlineLevel="0" collapsed="false">
      <c r="A231" s="0" t="n">
        <v>2209</v>
      </c>
      <c r="B231" s="0" t="n">
        <v>19566</v>
      </c>
      <c r="C231" s="0" t="s">
        <v>9464</v>
      </c>
      <c r="D231" s="0" t="s">
        <v>19</v>
      </c>
      <c r="E231" s="0" t="s">
        <v>18053</v>
      </c>
      <c r="F231" s="0" t="s">
        <v>40</v>
      </c>
      <c r="G231" s="0" t="s">
        <v>18054</v>
      </c>
    </row>
    <row r="232" customFormat="false" ht="15" hidden="false" customHeight="false" outlineLevel="0" collapsed="false">
      <c r="A232" s="0" t="n">
        <v>2210</v>
      </c>
      <c r="B232" s="0" t="n">
        <v>19563</v>
      </c>
      <c r="C232" s="0" t="s">
        <v>4585</v>
      </c>
      <c r="D232" s="0" t="s">
        <v>19</v>
      </c>
      <c r="E232" s="0" t="s">
        <v>18053</v>
      </c>
      <c r="F232" s="0" t="s">
        <v>40</v>
      </c>
      <c r="G232" s="0" t="s">
        <v>18054</v>
      </c>
    </row>
    <row r="233" customFormat="false" ht="15" hidden="false" customHeight="false" outlineLevel="0" collapsed="false">
      <c r="A233" s="0" t="n">
        <v>2211</v>
      </c>
      <c r="B233" s="0" t="n">
        <v>19564</v>
      </c>
      <c r="C233" s="0" t="s">
        <v>9468</v>
      </c>
      <c r="D233" s="0" t="s">
        <v>19</v>
      </c>
      <c r="E233" s="0" t="s">
        <v>18053</v>
      </c>
      <c r="F233" s="0" t="s">
        <v>40</v>
      </c>
      <c r="G233" s="0" t="s">
        <v>18054</v>
      </c>
    </row>
    <row r="234" customFormat="false" ht="15" hidden="false" customHeight="false" outlineLevel="0" collapsed="false">
      <c r="A234" s="0" t="n">
        <v>2212</v>
      </c>
      <c r="B234" s="0" t="n">
        <v>19565</v>
      </c>
      <c r="C234" s="0" t="s">
        <v>9472</v>
      </c>
      <c r="D234" s="0" t="s">
        <v>19</v>
      </c>
      <c r="E234" s="0" t="s">
        <v>18053</v>
      </c>
      <c r="F234" s="0" t="s">
        <v>40</v>
      </c>
      <c r="G234" s="0" t="s">
        <v>18054</v>
      </c>
    </row>
    <row r="235" customFormat="false" ht="15" hidden="false" customHeight="false" outlineLevel="0" collapsed="false">
      <c r="A235" s="0" t="n">
        <v>2213</v>
      </c>
      <c r="B235" s="0" t="n">
        <v>19567</v>
      </c>
      <c r="C235" s="0" t="s">
        <v>9476</v>
      </c>
      <c r="D235" s="0" t="s">
        <v>19</v>
      </c>
      <c r="E235" s="0" t="s">
        <v>18053</v>
      </c>
      <c r="F235" s="0" t="s">
        <v>40</v>
      </c>
      <c r="G235" s="0" t="s">
        <v>18054</v>
      </c>
    </row>
    <row r="236" customFormat="false" ht="15" hidden="false" customHeight="false" outlineLevel="0" collapsed="false">
      <c r="A236" s="0" t="n">
        <v>2214</v>
      </c>
      <c r="B236" s="0" t="n">
        <v>19568</v>
      </c>
      <c r="C236" s="0" t="s">
        <v>9479</v>
      </c>
      <c r="D236" s="0" t="s">
        <v>19</v>
      </c>
      <c r="E236" s="0" t="s">
        <v>18053</v>
      </c>
      <c r="F236" s="0" t="s">
        <v>40</v>
      </c>
      <c r="G236" s="0" t="s">
        <v>18054</v>
      </c>
    </row>
    <row r="237" customFormat="false" ht="15" hidden="false" customHeight="false" outlineLevel="0" collapsed="false">
      <c r="A237" s="0" t="n">
        <v>2216</v>
      </c>
      <c r="B237" s="0" t="n">
        <v>19572</v>
      </c>
      <c r="C237" s="0" t="s">
        <v>9486</v>
      </c>
      <c r="D237" s="0" t="s">
        <v>19</v>
      </c>
      <c r="E237" s="0" t="s">
        <v>18053</v>
      </c>
      <c r="F237" s="0" t="s">
        <v>40</v>
      </c>
      <c r="G237" s="0" t="s">
        <v>18054</v>
      </c>
    </row>
    <row r="238" customFormat="false" ht="15" hidden="false" customHeight="false" outlineLevel="0" collapsed="false">
      <c r="A238" s="0" t="n">
        <v>2219</v>
      </c>
      <c r="B238" s="0" t="n">
        <v>19642</v>
      </c>
      <c r="C238" s="0" t="s">
        <v>9498</v>
      </c>
      <c r="D238" s="0" t="s">
        <v>19</v>
      </c>
      <c r="E238" s="0" t="s">
        <v>18053</v>
      </c>
      <c r="F238" s="0" t="s">
        <v>40</v>
      </c>
      <c r="G238" s="0" t="s">
        <v>18054</v>
      </c>
    </row>
    <row r="239" customFormat="false" ht="15" hidden="false" customHeight="false" outlineLevel="0" collapsed="false">
      <c r="A239" s="0" t="n">
        <v>2220</v>
      </c>
      <c r="B239" s="0" t="n">
        <v>19600</v>
      </c>
      <c r="C239" s="0" t="s">
        <v>9502</v>
      </c>
      <c r="D239" s="0" t="s">
        <v>19</v>
      </c>
      <c r="E239" s="0" t="s">
        <v>18053</v>
      </c>
      <c r="F239" s="0" t="s">
        <v>40</v>
      </c>
      <c r="G239" s="0" t="s">
        <v>18054</v>
      </c>
    </row>
    <row r="240" customFormat="false" ht="15" hidden="false" customHeight="false" outlineLevel="0" collapsed="false">
      <c r="A240" s="0" t="n">
        <v>2221</v>
      </c>
      <c r="B240" s="0" t="n">
        <v>19603</v>
      </c>
      <c r="C240" s="0" t="s">
        <v>9505</v>
      </c>
      <c r="D240" s="0" t="s">
        <v>19</v>
      </c>
      <c r="E240" s="0" t="s">
        <v>18053</v>
      </c>
      <c r="F240" s="0" t="s">
        <v>40</v>
      </c>
      <c r="G240" s="0" t="s">
        <v>18054</v>
      </c>
    </row>
    <row r="241" customFormat="false" ht="15" hidden="false" customHeight="false" outlineLevel="0" collapsed="false">
      <c r="A241" s="0" t="n">
        <v>2222</v>
      </c>
      <c r="B241" s="0" t="n">
        <v>19604</v>
      </c>
      <c r="C241" s="0" t="s">
        <v>9508</v>
      </c>
      <c r="D241" s="0" t="s">
        <v>19</v>
      </c>
      <c r="E241" s="0" t="s">
        <v>18053</v>
      </c>
      <c r="F241" s="0" t="s">
        <v>40</v>
      </c>
      <c r="G241" s="0" t="s">
        <v>18054</v>
      </c>
    </row>
    <row r="242" customFormat="false" ht="15" hidden="false" customHeight="false" outlineLevel="0" collapsed="false">
      <c r="A242" s="0" t="n">
        <v>2223</v>
      </c>
      <c r="B242" s="0" t="n">
        <v>19605</v>
      </c>
      <c r="C242" s="0" t="s">
        <v>9511</v>
      </c>
      <c r="D242" s="0" t="s">
        <v>19</v>
      </c>
      <c r="E242" s="0" t="s">
        <v>18053</v>
      </c>
      <c r="F242" s="0" t="s">
        <v>40</v>
      </c>
      <c r="G242" s="0" t="s">
        <v>18054</v>
      </c>
    </row>
    <row r="243" customFormat="false" ht="15" hidden="false" customHeight="false" outlineLevel="0" collapsed="false">
      <c r="A243" s="0" t="n">
        <v>2224</v>
      </c>
      <c r="B243" s="0" t="n">
        <v>19607</v>
      </c>
      <c r="C243" s="0" t="s">
        <v>9514</v>
      </c>
      <c r="D243" s="0" t="s">
        <v>19</v>
      </c>
      <c r="E243" s="0" t="s">
        <v>18053</v>
      </c>
      <c r="F243" s="0" t="s">
        <v>40</v>
      </c>
      <c r="G243" s="0" t="s">
        <v>18054</v>
      </c>
    </row>
    <row r="244" customFormat="false" ht="15" hidden="false" customHeight="false" outlineLevel="0" collapsed="false">
      <c r="A244" s="0" t="n">
        <v>2225</v>
      </c>
      <c r="B244" s="0" t="n">
        <v>19608</v>
      </c>
      <c r="C244" s="0" t="s">
        <v>9517</v>
      </c>
      <c r="D244" s="0" t="s">
        <v>19</v>
      </c>
      <c r="E244" s="0" t="s">
        <v>18053</v>
      </c>
      <c r="F244" s="0" t="s">
        <v>40</v>
      </c>
      <c r="G244" s="0" t="s">
        <v>18054</v>
      </c>
    </row>
    <row r="245" customFormat="false" ht="15" hidden="false" customHeight="false" outlineLevel="0" collapsed="false">
      <c r="A245" s="0" t="n">
        <v>2226</v>
      </c>
      <c r="B245" s="0" t="n">
        <v>19609</v>
      </c>
      <c r="C245" s="0" t="s">
        <v>9521</v>
      </c>
      <c r="D245" s="0" t="s">
        <v>19</v>
      </c>
      <c r="E245" s="0" t="s">
        <v>18053</v>
      </c>
      <c r="F245" s="0" t="s">
        <v>40</v>
      </c>
      <c r="G245" s="0" t="s">
        <v>18054</v>
      </c>
    </row>
    <row r="246" customFormat="false" ht="15" hidden="false" customHeight="false" outlineLevel="0" collapsed="false">
      <c r="A246" s="0" t="n">
        <v>2227</v>
      </c>
      <c r="B246" s="0" t="n">
        <v>19610</v>
      </c>
      <c r="C246" s="0" t="s">
        <v>9525</v>
      </c>
      <c r="D246" s="0" t="s">
        <v>19</v>
      </c>
      <c r="E246" s="0" t="s">
        <v>18053</v>
      </c>
      <c r="F246" s="0" t="s">
        <v>40</v>
      </c>
      <c r="G246" s="0" t="s">
        <v>18054</v>
      </c>
    </row>
    <row r="247" customFormat="false" ht="15" hidden="false" customHeight="false" outlineLevel="0" collapsed="false">
      <c r="A247" s="0" t="n">
        <v>2228</v>
      </c>
      <c r="B247" s="0" t="n">
        <v>19613</v>
      </c>
      <c r="C247" s="0" t="s">
        <v>9528</v>
      </c>
      <c r="D247" s="0" t="s">
        <v>19</v>
      </c>
      <c r="E247" s="0" t="s">
        <v>18053</v>
      </c>
      <c r="F247" s="0" t="s">
        <v>40</v>
      </c>
      <c r="G247" s="0" t="s">
        <v>18054</v>
      </c>
    </row>
    <row r="248" customFormat="false" ht="15" hidden="false" customHeight="false" outlineLevel="0" collapsed="false">
      <c r="A248" s="0" t="n">
        <v>2229</v>
      </c>
      <c r="B248" s="0" t="n">
        <v>19617</v>
      </c>
      <c r="C248" s="0" t="s">
        <v>9531</v>
      </c>
      <c r="D248" s="0" t="s">
        <v>19</v>
      </c>
      <c r="E248" s="0" t="s">
        <v>18053</v>
      </c>
      <c r="F248" s="0" t="s">
        <v>40</v>
      </c>
      <c r="G248" s="0" t="s">
        <v>18054</v>
      </c>
    </row>
    <row r="249" customFormat="false" ht="15" hidden="false" customHeight="false" outlineLevel="0" collapsed="false">
      <c r="A249" s="0" t="n">
        <v>2230</v>
      </c>
      <c r="B249" s="0" t="n">
        <v>19619</v>
      </c>
      <c r="C249" s="0" t="s">
        <v>238</v>
      </c>
      <c r="D249" s="0" t="s">
        <v>19</v>
      </c>
      <c r="E249" s="0" t="s">
        <v>18053</v>
      </c>
      <c r="F249" s="0" t="s">
        <v>40</v>
      </c>
      <c r="G249" s="0" t="s">
        <v>18054</v>
      </c>
    </row>
    <row r="250" customFormat="false" ht="15" hidden="false" customHeight="false" outlineLevel="0" collapsed="false">
      <c r="A250" s="0" t="n">
        <v>2232</v>
      </c>
      <c r="B250" s="0" t="n">
        <v>19643</v>
      </c>
      <c r="C250" s="0" t="s">
        <v>9542</v>
      </c>
      <c r="D250" s="0" t="s">
        <v>19</v>
      </c>
      <c r="E250" s="0" t="s">
        <v>18053</v>
      </c>
      <c r="F250" s="0" t="s">
        <v>40</v>
      </c>
      <c r="G250" s="0" t="s">
        <v>18054</v>
      </c>
    </row>
    <row r="251" customFormat="false" ht="15" hidden="false" customHeight="false" outlineLevel="0" collapsed="false">
      <c r="A251" s="0" t="n">
        <v>2234</v>
      </c>
      <c r="B251" s="0" t="n">
        <v>19651</v>
      </c>
      <c r="C251" s="0" t="s">
        <v>9551</v>
      </c>
      <c r="D251" s="0" t="s">
        <v>19</v>
      </c>
      <c r="E251" s="0" t="s">
        <v>18053</v>
      </c>
      <c r="F251" s="0" t="s">
        <v>40</v>
      </c>
      <c r="G251" s="0" t="s">
        <v>18054</v>
      </c>
    </row>
    <row r="252" customFormat="false" ht="15" hidden="false" customHeight="false" outlineLevel="0" collapsed="false">
      <c r="A252" s="0" t="n">
        <v>2238</v>
      </c>
      <c r="B252" s="0" t="n">
        <v>19652</v>
      </c>
      <c r="C252" s="0" t="s">
        <v>9569</v>
      </c>
      <c r="D252" s="0" t="s">
        <v>19</v>
      </c>
      <c r="E252" s="0" t="s">
        <v>18053</v>
      </c>
      <c r="F252" s="0" t="s">
        <v>40</v>
      </c>
      <c r="G252" s="0" t="s">
        <v>18054</v>
      </c>
    </row>
    <row r="253" customFormat="false" ht="15" hidden="false" customHeight="false" outlineLevel="0" collapsed="false">
      <c r="A253" s="0" t="n">
        <v>2239</v>
      </c>
      <c r="B253" s="0" t="n">
        <v>19656</v>
      </c>
      <c r="C253" s="0" t="s">
        <v>9572</v>
      </c>
      <c r="D253" s="0" t="s">
        <v>19</v>
      </c>
      <c r="E253" s="0" t="s">
        <v>18053</v>
      </c>
      <c r="F253" s="0" t="s">
        <v>40</v>
      </c>
      <c r="G253" s="0" t="s">
        <v>18054</v>
      </c>
    </row>
    <row r="254" customFormat="false" ht="15" hidden="false" customHeight="false" outlineLevel="0" collapsed="false">
      <c r="A254" s="0" t="n">
        <v>2242</v>
      </c>
      <c r="B254" s="0" t="n">
        <v>19657</v>
      </c>
      <c r="C254" s="0" t="s">
        <v>9583</v>
      </c>
      <c r="D254" s="0" t="s">
        <v>19</v>
      </c>
      <c r="E254" s="0" t="s">
        <v>18053</v>
      </c>
      <c r="F254" s="0" t="s">
        <v>40</v>
      </c>
      <c r="G254" s="0" t="s">
        <v>18054</v>
      </c>
    </row>
    <row r="255" customFormat="false" ht="15" hidden="false" customHeight="false" outlineLevel="0" collapsed="false">
      <c r="A255" s="0" t="n">
        <v>2243</v>
      </c>
      <c r="B255" s="0" t="n">
        <v>19662</v>
      </c>
      <c r="C255" s="0" t="s">
        <v>9586</v>
      </c>
      <c r="D255" s="0" t="s">
        <v>19</v>
      </c>
      <c r="E255" s="0" t="s">
        <v>18053</v>
      </c>
      <c r="F255" s="0" t="s">
        <v>40</v>
      </c>
      <c r="G255" s="0" t="s">
        <v>18054</v>
      </c>
    </row>
    <row r="256" customFormat="false" ht="15" hidden="false" customHeight="false" outlineLevel="0" collapsed="false">
      <c r="A256" s="0" t="n">
        <v>2245</v>
      </c>
      <c r="B256" s="0" t="n">
        <v>19669</v>
      </c>
      <c r="C256" s="0" t="s">
        <v>9596</v>
      </c>
      <c r="D256" s="0" t="s">
        <v>19</v>
      </c>
      <c r="E256" s="0" t="s">
        <v>18053</v>
      </c>
      <c r="F256" s="0" t="s">
        <v>40</v>
      </c>
      <c r="G256" s="0" t="s">
        <v>18054</v>
      </c>
    </row>
    <row r="257" customFormat="false" ht="15" hidden="false" customHeight="false" outlineLevel="0" collapsed="false">
      <c r="A257" s="0" t="n">
        <v>2245</v>
      </c>
      <c r="B257" s="0" t="n">
        <v>19669</v>
      </c>
      <c r="C257" s="0" t="s">
        <v>9596</v>
      </c>
      <c r="D257" s="0" t="s">
        <v>21</v>
      </c>
      <c r="E257" s="0" t="s">
        <v>18051</v>
      </c>
      <c r="F257" s="0" t="s">
        <v>1216</v>
      </c>
      <c r="G257" s="0" t="s">
        <v>18052</v>
      </c>
    </row>
    <row r="258" customFormat="false" ht="15" hidden="false" customHeight="false" outlineLevel="0" collapsed="false">
      <c r="A258" s="0" t="n">
        <v>2259</v>
      </c>
      <c r="B258" s="0" t="n">
        <v>19708</v>
      </c>
      <c r="C258" s="0" t="s">
        <v>9668</v>
      </c>
      <c r="D258" s="0" t="s">
        <v>19</v>
      </c>
      <c r="E258" s="0" t="s">
        <v>18053</v>
      </c>
      <c r="F258" s="0" t="s">
        <v>40</v>
      </c>
      <c r="G258" s="0" t="s">
        <v>18054</v>
      </c>
    </row>
    <row r="259" customFormat="false" ht="15" hidden="false" customHeight="false" outlineLevel="0" collapsed="false">
      <c r="A259" s="0" t="n">
        <v>2260</v>
      </c>
      <c r="B259" s="0" t="n">
        <v>19702</v>
      </c>
      <c r="C259" s="0" t="s">
        <v>9671</v>
      </c>
      <c r="D259" s="0" t="s">
        <v>19</v>
      </c>
      <c r="E259" s="0" t="s">
        <v>18053</v>
      </c>
      <c r="F259" s="0" t="s">
        <v>40</v>
      </c>
      <c r="G259" s="0" t="s">
        <v>18054</v>
      </c>
    </row>
    <row r="260" customFormat="false" ht="15" hidden="false" customHeight="false" outlineLevel="0" collapsed="false">
      <c r="A260" s="0" t="n">
        <v>2261</v>
      </c>
      <c r="B260" s="0" t="n">
        <v>19703</v>
      </c>
      <c r="C260" s="0" t="s">
        <v>9675</v>
      </c>
      <c r="D260" s="0" t="s">
        <v>19</v>
      </c>
      <c r="E260" s="0" t="s">
        <v>18053</v>
      </c>
      <c r="F260" s="0" t="s">
        <v>40</v>
      </c>
      <c r="G260" s="0" t="s">
        <v>18054</v>
      </c>
    </row>
    <row r="261" customFormat="false" ht="15" hidden="false" customHeight="false" outlineLevel="0" collapsed="false">
      <c r="A261" s="0" t="n">
        <v>2262</v>
      </c>
      <c r="B261" s="0" t="n">
        <v>19705</v>
      </c>
      <c r="C261" s="0" t="s">
        <v>9678</v>
      </c>
      <c r="D261" s="0" t="s">
        <v>19</v>
      </c>
      <c r="E261" s="0" t="s">
        <v>18053</v>
      </c>
      <c r="F261" s="0" t="s">
        <v>40</v>
      </c>
      <c r="G261" s="0" t="s">
        <v>18054</v>
      </c>
    </row>
    <row r="262" customFormat="false" ht="15" hidden="false" customHeight="false" outlineLevel="0" collapsed="false">
      <c r="A262" s="0" t="n">
        <v>2263</v>
      </c>
      <c r="B262" s="0" t="n">
        <v>19706</v>
      </c>
      <c r="C262" s="0" t="s">
        <v>9681</v>
      </c>
      <c r="D262" s="0" t="s">
        <v>19</v>
      </c>
      <c r="E262" s="0" t="s">
        <v>18053</v>
      </c>
      <c r="F262" s="0" t="s">
        <v>40</v>
      </c>
      <c r="G262" s="0" t="s">
        <v>18054</v>
      </c>
    </row>
    <row r="263" customFormat="false" ht="15" hidden="false" customHeight="false" outlineLevel="0" collapsed="false">
      <c r="A263" s="0" t="n">
        <v>2265</v>
      </c>
      <c r="B263" s="0" t="n">
        <v>20956</v>
      </c>
      <c r="C263" s="0" t="s">
        <v>9691</v>
      </c>
      <c r="D263" s="0" t="s">
        <v>19</v>
      </c>
      <c r="E263" s="0" t="s">
        <v>18053</v>
      </c>
      <c r="F263" s="0" t="s">
        <v>40</v>
      </c>
      <c r="G263" s="0" t="s">
        <v>18054</v>
      </c>
    </row>
    <row r="264" customFormat="false" ht="15" hidden="false" customHeight="false" outlineLevel="0" collapsed="false">
      <c r="A264" s="0" t="n">
        <v>2266</v>
      </c>
      <c r="B264" s="0" t="n">
        <v>19717</v>
      </c>
      <c r="C264" s="0" t="s">
        <v>9694</v>
      </c>
      <c r="D264" s="0" t="s">
        <v>19</v>
      </c>
      <c r="E264" s="0" t="s">
        <v>18053</v>
      </c>
      <c r="F264" s="0" t="s">
        <v>40</v>
      </c>
      <c r="G264" s="0" t="s">
        <v>18054</v>
      </c>
    </row>
    <row r="265" customFormat="false" ht="15" hidden="false" customHeight="false" outlineLevel="0" collapsed="false">
      <c r="A265" s="0" t="n">
        <v>2271</v>
      </c>
      <c r="B265" s="0" t="n">
        <v>19732</v>
      </c>
      <c r="C265" s="0" t="s">
        <v>9718</v>
      </c>
      <c r="D265" s="0" t="s">
        <v>19</v>
      </c>
      <c r="E265" s="0" t="s">
        <v>18053</v>
      </c>
      <c r="F265" s="0" t="s">
        <v>40</v>
      </c>
      <c r="G265" s="0" t="s">
        <v>18054</v>
      </c>
    </row>
    <row r="266" customFormat="false" ht="15" hidden="false" customHeight="false" outlineLevel="0" collapsed="false">
      <c r="A266" s="0" t="n">
        <v>2271</v>
      </c>
      <c r="B266" s="0" t="n">
        <v>19732</v>
      </c>
      <c r="C266" s="0" t="s">
        <v>9718</v>
      </c>
      <c r="D266" s="0" t="s">
        <v>21</v>
      </c>
      <c r="E266" s="0" t="s">
        <v>18051</v>
      </c>
      <c r="F266" s="0" t="s">
        <v>1216</v>
      </c>
      <c r="G266" s="0" t="s">
        <v>18052</v>
      </c>
    </row>
    <row r="267" customFormat="false" ht="15" hidden="false" customHeight="false" outlineLevel="0" collapsed="false">
      <c r="A267" s="0" t="n">
        <v>2272</v>
      </c>
      <c r="B267" s="0" t="n">
        <v>19731</v>
      </c>
      <c r="C267" s="0" t="s">
        <v>9723</v>
      </c>
      <c r="D267" s="0" t="s">
        <v>19</v>
      </c>
      <c r="E267" s="0" t="s">
        <v>18053</v>
      </c>
      <c r="F267" s="0" t="s">
        <v>40</v>
      </c>
      <c r="G267" s="0" t="s">
        <v>18054</v>
      </c>
    </row>
    <row r="268" customFormat="false" ht="15" hidden="false" customHeight="false" outlineLevel="0" collapsed="false">
      <c r="A268" s="0" t="n">
        <v>2274</v>
      </c>
      <c r="B268" s="0" t="n">
        <v>19734</v>
      </c>
      <c r="C268" s="0" t="s">
        <v>9732</v>
      </c>
      <c r="D268" s="0" t="s">
        <v>19</v>
      </c>
      <c r="E268" s="0" t="s">
        <v>18053</v>
      </c>
      <c r="F268" s="0" t="s">
        <v>40</v>
      </c>
      <c r="G268" s="0" t="s">
        <v>18054</v>
      </c>
    </row>
    <row r="269" customFormat="false" ht="15" hidden="false" customHeight="false" outlineLevel="0" collapsed="false">
      <c r="A269" s="0" t="n">
        <v>2275</v>
      </c>
      <c r="B269" s="0" t="n">
        <v>19736</v>
      </c>
      <c r="C269" s="0" t="s">
        <v>9736</v>
      </c>
      <c r="D269" s="0" t="s">
        <v>19</v>
      </c>
      <c r="E269" s="0" t="s">
        <v>18053</v>
      </c>
      <c r="F269" s="0" t="s">
        <v>40</v>
      </c>
      <c r="G269" s="0" t="s">
        <v>18054</v>
      </c>
    </row>
    <row r="270" customFormat="false" ht="15" hidden="false" customHeight="false" outlineLevel="0" collapsed="false">
      <c r="A270" s="0" t="n">
        <v>2276</v>
      </c>
      <c r="B270" s="0" t="n">
        <v>19741</v>
      </c>
      <c r="C270" s="0" t="s">
        <v>9740</v>
      </c>
      <c r="D270" s="0" t="s">
        <v>19</v>
      </c>
      <c r="E270" s="0" t="s">
        <v>18053</v>
      </c>
      <c r="F270" s="0" t="s">
        <v>40</v>
      </c>
      <c r="G270" s="0" t="s">
        <v>18054</v>
      </c>
    </row>
    <row r="271" customFormat="false" ht="15" hidden="false" customHeight="false" outlineLevel="0" collapsed="false">
      <c r="A271" s="0" t="n">
        <v>2278</v>
      </c>
      <c r="B271" s="0" t="n">
        <v>19747</v>
      </c>
      <c r="C271" s="0" t="s">
        <v>9750</v>
      </c>
      <c r="D271" s="0" t="s">
        <v>19</v>
      </c>
      <c r="E271" s="0" t="s">
        <v>18053</v>
      </c>
      <c r="F271" s="0" t="s">
        <v>40</v>
      </c>
      <c r="G271" s="0" t="s">
        <v>18054</v>
      </c>
    </row>
    <row r="272" customFormat="false" ht="15" hidden="false" customHeight="false" outlineLevel="0" collapsed="false">
      <c r="A272" s="0" t="n">
        <v>2279</v>
      </c>
      <c r="B272" s="0" t="n">
        <v>19744</v>
      </c>
      <c r="C272" s="0" t="s">
        <v>9754</v>
      </c>
      <c r="D272" s="0" t="s">
        <v>19</v>
      </c>
      <c r="E272" s="0" t="s">
        <v>18053</v>
      </c>
      <c r="F272" s="0" t="s">
        <v>40</v>
      </c>
      <c r="G272" s="0" t="s">
        <v>18054</v>
      </c>
    </row>
    <row r="273" customFormat="false" ht="15" hidden="false" customHeight="false" outlineLevel="0" collapsed="false">
      <c r="A273" s="0" t="n">
        <v>2280</v>
      </c>
      <c r="B273" s="0" t="n">
        <v>19745</v>
      </c>
      <c r="C273" s="0" t="s">
        <v>9757</v>
      </c>
      <c r="D273" s="0" t="s">
        <v>19</v>
      </c>
      <c r="E273" s="0" t="s">
        <v>18053</v>
      </c>
      <c r="F273" s="0" t="s">
        <v>40</v>
      </c>
      <c r="G273" s="0" t="s">
        <v>18054</v>
      </c>
    </row>
    <row r="274" customFormat="false" ht="15" hidden="false" customHeight="false" outlineLevel="0" collapsed="false">
      <c r="A274" s="0" t="n">
        <v>2281</v>
      </c>
      <c r="B274" s="0" t="n">
        <v>19746</v>
      </c>
      <c r="C274" s="0" t="s">
        <v>7168</v>
      </c>
      <c r="D274" s="0" t="s">
        <v>19</v>
      </c>
      <c r="E274" s="0" t="s">
        <v>18053</v>
      </c>
      <c r="F274" s="0" t="s">
        <v>40</v>
      </c>
      <c r="G274" s="0" t="s">
        <v>18054</v>
      </c>
    </row>
    <row r="275" customFormat="false" ht="15" hidden="false" customHeight="false" outlineLevel="0" collapsed="false">
      <c r="A275" s="0" t="n">
        <v>2282</v>
      </c>
      <c r="B275" s="0" t="n">
        <v>19751</v>
      </c>
      <c r="C275" s="0" t="s">
        <v>9765</v>
      </c>
      <c r="D275" s="0" t="s">
        <v>19</v>
      </c>
      <c r="E275" s="0" t="s">
        <v>18053</v>
      </c>
      <c r="F275" s="0" t="s">
        <v>40</v>
      </c>
      <c r="G275" s="0" t="s">
        <v>18054</v>
      </c>
    </row>
    <row r="276" customFormat="false" ht="15" hidden="false" customHeight="false" outlineLevel="0" collapsed="false">
      <c r="A276" s="0" t="n">
        <v>2283</v>
      </c>
      <c r="B276" s="0" t="n">
        <v>19752</v>
      </c>
      <c r="C276" s="0" t="s">
        <v>9768</v>
      </c>
      <c r="D276" s="0" t="s">
        <v>19</v>
      </c>
      <c r="E276" s="0" t="s">
        <v>18053</v>
      </c>
      <c r="F276" s="0" t="s">
        <v>40</v>
      </c>
      <c r="G276" s="0" t="s">
        <v>18054</v>
      </c>
    </row>
    <row r="277" customFormat="false" ht="15" hidden="false" customHeight="false" outlineLevel="0" collapsed="false">
      <c r="A277" s="0" t="n">
        <v>2284</v>
      </c>
      <c r="B277" s="0" t="n">
        <v>19755</v>
      </c>
      <c r="C277" s="0" t="s">
        <v>9772</v>
      </c>
      <c r="D277" s="0" t="s">
        <v>19</v>
      </c>
      <c r="E277" s="0" t="s">
        <v>18053</v>
      </c>
      <c r="F277" s="0" t="s">
        <v>40</v>
      </c>
      <c r="G277" s="0" t="s">
        <v>18054</v>
      </c>
    </row>
    <row r="278" customFormat="false" ht="15" hidden="false" customHeight="false" outlineLevel="0" collapsed="false">
      <c r="A278" s="0" t="n">
        <v>2285</v>
      </c>
      <c r="B278" s="0" t="n">
        <v>19756</v>
      </c>
      <c r="C278" s="0" t="s">
        <v>9776</v>
      </c>
      <c r="D278" s="0" t="s">
        <v>19</v>
      </c>
      <c r="E278" s="0" t="s">
        <v>18053</v>
      </c>
      <c r="F278" s="0" t="s">
        <v>40</v>
      </c>
      <c r="G278" s="0" t="s">
        <v>18054</v>
      </c>
    </row>
    <row r="279" customFormat="false" ht="15" hidden="false" customHeight="false" outlineLevel="0" collapsed="false">
      <c r="A279" s="0" t="n">
        <v>2287</v>
      </c>
      <c r="B279" s="0" t="n">
        <v>19757</v>
      </c>
      <c r="C279" s="0" t="s">
        <v>9784</v>
      </c>
      <c r="D279" s="0" t="s">
        <v>19</v>
      </c>
      <c r="E279" s="0" t="s">
        <v>18053</v>
      </c>
      <c r="F279" s="0" t="s">
        <v>40</v>
      </c>
      <c r="G279" s="0" t="s">
        <v>18054</v>
      </c>
    </row>
    <row r="280" customFormat="false" ht="15" hidden="false" customHeight="false" outlineLevel="0" collapsed="false">
      <c r="A280" s="0" t="n">
        <v>2288</v>
      </c>
      <c r="B280" s="0" t="n">
        <v>19773</v>
      </c>
      <c r="C280" s="0" t="s">
        <v>9788</v>
      </c>
      <c r="D280" s="0" t="s">
        <v>19</v>
      </c>
      <c r="E280" s="0" t="s">
        <v>18053</v>
      </c>
      <c r="F280" s="0" t="s">
        <v>40</v>
      </c>
      <c r="G280" s="0" t="s">
        <v>18054</v>
      </c>
    </row>
    <row r="281" customFormat="false" ht="15" hidden="false" customHeight="false" outlineLevel="0" collapsed="false">
      <c r="A281" s="0" t="n">
        <v>2289</v>
      </c>
      <c r="B281" s="0" t="n">
        <v>19760</v>
      </c>
      <c r="C281" s="0" t="s">
        <v>9793</v>
      </c>
      <c r="D281" s="0" t="s">
        <v>19</v>
      </c>
      <c r="E281" s="0" t="s">
        <v>18053</v>
      </c>
      <c r="F281" s="0" t="s">
        <v>40</v>
      </c>
      <c r="G281" s="0" t="s">
        <v>18054</v>
      </c>
    </row>
    <row r="282" customFormat="false" ht="15" hidden="false" customHeight="false" outlineLevel="0" collapsed="false">
      <c r="A282" s="0" t="n">
        <v>2291</v>
      </c>
      <c r="B282" s="0" t="n">
        <v>19762</v>
      </c>
      <c r="C282" s="0" t="s">
        <v>9804</v>
      </c>
      <c r="D282" s="0" t="s">
        <v>19</v>
      </c>
      <c r="E282" s="0" t="s">
        <v>18053</v>
      </c>
      <c r="F282" s="0" t="s">
        <v>40</v>
      </c>
      <c r="G282" s="0" t="s">
        <v>18054</v>
      </c>
    </row>
    <row r="283" customFormat="false" ht="15" hidden="false" customHeight="false" outlineLevel="0" collapsed="false">
      <c r="A283" s="0" t="n">
        <v>2292</v>
      </c>
      <c r="B283" s="0" t="n">
        <v>19775</v>
      </c>
      <c r="C283" s="0" t="s">
        <v>9808</v>
      </c>
      <c r="D283" s="0" t="s">
        <v>19</v>
      </c>
      <c r="E283" s="0" t="s">
        <v>18053</v>
      </c>
      <c r="F283" s="0" t="s">
        <v>40</v>
      </c>
      <c r="G283" s="0" t="s">
        <v>18054</v>
      </c>
    </row>
    <row r="284" customFormat="false" ht="15" hidden="false" customHeight="false" outlineLevel="0" collapsed="false">
      <c r="A284" s="0" t="n">
        <v>2293</v>
      </c>
      <c r="B284" s="0" t="n">
        <v>19774</v>
      </c>
      <c r="C284" s="0" t="s">
        <v>9811</v>
      </c>
      <c r="D284" s="0" t="s">
        <v>19</v>
      </c>
      <c r="E284" s="0" t="s">
        <v>18053</v>
      </c>
      <c r="F284" s="0" t="s">
        <v>40</v>
      </c>
      <c r="G284" s="0" t="s">
        <v>18054</v>
      </c>
    </row>
    <row r="285" customFormat="false" ht="15" hidden="false" customHeight="false" outlineLevel="0" collapsed="false">
      <c r="A285" s="0" t="n">
        <v>2294</v>
      </c>
      <c r="B285" s="0" t="n">
        <v>19778</v>
      </c>
      <c r="C285" s="0" t="s">
        <v>9815</v>
      </c>
      <c r="D285" s="0" t="s">
        <v>19</v>
      </c>
      <c r="E285" s="0" t="s">
        <v>18053</v>
      </c>
      <c r="F285" s="0" t="s">
        <v>40</v>
      </c>
      <c r="G285" s="0" t="s">
        <v>18054</v>
      </c>
    </row>
    <row r="286" customFormat="false" ht="15" hidden="false" customHeight="false" outlineLevel="0" collapsed="false">
      <c r="A286" s="0" t="n">
        <v>2295</v>
      </c>
      <c r="B286" s="0" t="n">
        <v>19776</v>
      </c>
      <c r="C286" s="0" t="s">
        <v>9818</v>
      </c>
      <c r="D286" s="0" t="s">
        <v>19</v>
      </c>
      <c r="E286" s="0" t="s">
        <v>18053</v>
      </c>
      <c r="F286" s="0" t="s">
        <v>40</v>
      </c>
      <c r="G286" s="0" t="s">
        <v>18054</v>
      </c>
    </row>
    <row r="287" customFormat="false" ht="15" hidden="false" customHeight="false" outlineLevel="0" collapsed="false">
      <c r="A287" s="0" t="n">
        <v>2296</v>
      </c>
      <c r="B287" s="0" t="n">
        <v>19784</v>
      </c>
      <c r="C287" s="0" t="s">
        <v>9822</v>
      </c>
      <c r="D287" s="0" t="s">
        <v>19</v>
      </c>
      <c r="E287" s="0" t="s">
        <v>18053</v>
      </c>
      <c r="F287" s="0" t="s">
        <v>40</v>
      </c>
      <c r="G287" s="0" t="s">
        <v>18054</v>
      </c>
    </row>
    <row r="288" customFormat="false" ht="15" hidden="false" customHeight="false" outlineLevel="0" collapsed="false">
      <c r="A288" s="0" t="n">
        <v>2300</v>
      </c>
      <c r="B288" s="0" t="n">
        <v>19807</v>
      </c>
      <c r="C288" s="0" t="s">
        <v>9840</v>
      </c>
      <c r="D288" s="0" t="s">
        <v>19</v>
      </c>
      <c r="E288" s="0" t="s">
        <v>18053</v>
      </c>
      <c r="F288" s="0" t="s">
        <v>40</v>
      </c>
      <c r="G288" s="0" t="s">
        <v>18054</v>
      </c>
    </row>
    <row r="289" customFormat="false" ht="15" hidden="false" customHeight="false" outlineLevel="0" collapsed="false">
      <c r="A289" s="0" t="n">
        <v>2301</v>
      </c>
      <c r="B289" s="0" t="n">
        <v>19785</v>
      </c>
      <c r="C289" s="0" t="s">
        <v>9843</v>
      </c>
      <c r="D289" s="0" t="s">
        <v>19</v>
      </c>
      <c r="E289" s="0" t="s">
        <v>18053</v>
      </c>
      <c r="F289" s="0" t="s">
        <v>40</v>
      </c>
      <c r="G289" s="0" t="s">
        <v>18054</v>
      </c>
    </row>
    <row r="290" customFormat="false" ht="15" hidden="false" customHeight="false" outlineLevel="0" collapsed="false">
      <c r="A290" s="0" t="n">
        <v>2303</v>
      </c>
      <c r="B290" s="0" t="n">
        <v>21957</v>
      </c>
      <c r="C290" s="0" t="s">
        <v>9853</v>
      </c>
      <c r="D290" s="0" t="s">
        <v>21</v>
      </c>
      <c r="E290" s="0" t="s">
        <v>18051</v>
      </c>
      <c r="F290" s="0" t="s">
        <v>1216</v>
      </c>
      <c r="G290" s="0" t="s">
        <v>18052</v>
      </c>
    </row>
    <row r="291" customFormat="false" ht="15" hidden="false" customHeight="false" outlineLevel="0" collapsed="false">
      <c r="A291" s="0" t="n">
        <v>2307</v>
      </c>
      <c r="B291" s="0" t="n">
        <v>19827</v>
      </c>
      <c r="C291" s="0" t="s">
        <v>9875</v>
      </c>
      <c r="D291" s="0" t="s">
        <v>19</v>
      </c>
      <c r="E291" s="0" t="s">
        <v>18053</v>
      </c>
      <c r="F291" s="0" t="s">
        <v>40</v>
      </c>
      <c r="G291" s="0" t="s">
        <v>18054</v>
      </c>
    </row>
    <row r="292" customFormat="false" ht="15" hidden="false" customHeight="false" outlineLevel="0" collapsed="false">
      <c r="A292" s="0" t="n">
        <v>2313</v>
      </c>
      <c r="B292" s="0" t="n">
        <v>19825</v>
      </c>
      <c r="C292" s="0" t="s">
        <v>9904</v>
      </c>
      <c r="D292" s="0" t="s">
        <v>19</v>
      </c>
      <c r="E292" s="0" t="s">
        <v>18053</v>
      </c>
      <c r="F292" s="0" t="s">
        <v>40</v>
      </c>
      <c r="G292" s="0" t="s">
        <v>18054</v>
      </c>
    </row>
    <row r="293" customFormat="false" ht="15" hidden="false" customHeight="false" outlineLevel="0" collapsed="false">
      <c r="A293" s="0" t="n">
        <v>2314</v>
      </c>
      <c r="B293" s="0" t="n">
        <v>19830</v>
      </c>
      <c r="C293" s="0" t="s">
        <v>9908</v>
      </c>
      <c r="D293" s="0" t="s">
        <v>19</v>
      </c>
      <c r="E293" s="0" t="s">
        <v>18053</v>
      </c>
      <c r="F293" s="0" t="s">
        <v>40</v>
      </c>
      <c r="G293" s="0" t="s">
        <v>18054</v>
      </c>
    </row>
    <row r="294" customFormat="false" ht="15" hidden="false" customHeight="false" outlineLevel="0" collapsed="false">
      <c r="A294" s="0" t="n">
        <v>2315</v>
      </c>
      <c r="B294" s="0" t="n">
        <v>19831</v>
      </c>
      <c r="C294" s="0" t="s">
        <v>9912</v>
      </c>
      <c r="D294" s="0" t="s">
        <v>19</v>
      </c>
      <c r="E294" s="0" t="s">
        <v>18053</v>
      </c>
      <c r="F294" s="0" t="s">
        <v>40</v>
      </c>
      <c r="G294" s="0" t="s">
        <v>18054</v>
      </c>
    </row>
    <row r="295" customFormat="false" ht="15" hidden="false" customHeight="false" outlineLevel="0" collapsed="false">
      <c r="A295" s="0" t="n">
        <v>2316</v>
      </c>
      <c r="B295" s="0" t="n">
        <v>19832</v>
      </c>
      <c r="C295" s="0" t="s">
        <v>9916</v>
      </c>
      <c r="D295" s="0" t="s">
        <v>19</v>
      </c>
      <c r="E295" s="0" t="s">
        <v>18053</v>
      </c>
      <c r="F295" s="0" t="s">
        <v>40</v>
      </c>
      <c r="G295" s="0" t="s">
        <v>18054</v>
      </c>
    </row>
    <row r="296" customFormat="false" ht="15" hidden="false" customHeight="false" outlineLevel="0" collapsed="false">
      <c r="A296" s="0" t="n">
        <v>2317</v>
      </c>
      <c r="B296" s="0" t="n">
        <v>19867</v>
      </c>
      <c r="C296" s="0" t="s">
        <v>9920</v>
      </c>
      <c r="D296" s="0" t="s">
        <v>19</v>
      </c>
      <c r="E296" s="0" t="s">
        <v>18053</v>
      </c>
      <c r="F296" s="0" t="s">
        <v>40</v>
      </c>
      <c r="G296" s="0" t="s">
        <v>18054</v>
      </c>
    </row>
    <row r="297" customFormat="false" ht="15" hidden="false" customHeight="false" outlineLevel="0" collapsed="false">
      <c r="A297" s="0" t="n">
        <v>2318</v>
      </c>
      <c r="B297" s="0" t="n">
        <v>19833</v>
      </c>
      <c r="C297" s="0" t="s">
        <v>9923</v>
      </c>
      <c r="D297" s="0" t="s">
        <v>19</v>
      </c>
      <c r="E297" s="0" t="s">
        <v>18053</v>
      </c>
      <c r="F297" s="0" t="s">
        <v>40</v>
      </c>
      <c r="G297" s="0" t="s">
        <v>18054</v>
      </c>
    </row>
    <row r="298" customFormat="false" ht="15" hidden="false" customHeight="false" outlineLevel="0" collapsed="false">
      <c r="A298" s="0" t="n">
        <v>2319</v>
      </c>
      <c r="B298" s="0" t="n">
        <v>19834</v>
      </c>
      <c r="C298" s="0" t="s">
        <v>9928</v>
      </c>
      <c r="D298" s="0" t="s">
        <v>19</v>
      </c>
      <c r="E298" s="0" t="s">
        <v>18053</v>
      </c>
      <c r="F298" s="0" t="s">
        <v>40</v>
      </c>
      <c r="G298" s="0" t="s">
        <v>18054</v>
      </c>
    </row>
    <row r="299" customFormat="false" ht="15" hidden="false" customHeight="false" outlineLevel="0" collapsed="false">
      <c r="A299" s="0" t="n">
        <v>2321</v>
      </c>
      <c r="B299" s="0" t="n">
        <v>19837</v>
      </c>
      <c r="C299" s="0" t="s">
        <v>9936</v>
      </c>
      <c r="D299" s="0" t="s">
        <v>19</v>
      </c>
      <c r="E299" s="0" t="s">
        <v>18053</v>
      </c>
      <c r="F299" s="0" t="s">
        <v>40</v>
      </c>
      <c r="G299" s="0" t="s">
        <v>18054</v>
      </c>
    </row>
    <row r="300" customFormat="false" ht="15" hidden="false" customHeight="false" outlineLevel="0" collapsed="false">
      <c r="A300" s="0" t="n">
        <v>2322</v>
      </c>
      <c r="B300" s="0" t="n">
        <v>19865</v>
      </c>
      <c r="C300" s="0" t="s">
        <v>9940</v>
      </c>
      <c r="D300" s="0" t="s">
        <v>19</v>
      </c>
      <c r="E300" s="0" t="s">
        <v>18053</v>
      </c>
      <c r="F300" s="0" t="s">
        <v>40</v>
      </c>
      <c r="G300" s="0" t="s">
        <v>18054</v>
      </c>
    </row>
    <row r="301" customFormat="false" ht="15" hidden="false" customHeight="false" outlineLevel="0" collapsed="false">
      <c r="A301" s="0" t="n">
        <v>2323</v>
      </c>
      <c r="B301" s="0" t="n">
        <v>19868</v>
      </c>
      <c r="C301" s="0" t="s">
        <v>9944</v>
      </c>
      <c r="D301" s="0" t="s">
        <v>19</v>
      </c>
      <c r="E301" s="0" t="s">
        <v>18053</v>
      </c>
      <c r="F301" s="0" t="s">
        <v>40</v>
      </c>
      <c r="G301" s="0" t="s">
        <v>18054</v>
      </c>
    </row>
    <row r="302" customFormat="false" ht="15" hidden="false" customHeight="false" outlineLevel="0" collapsed="false">
      <c r="A302" s="0" t="n">
        <v>2324</v>
      </c>
      <c r="B302" s="0" t="n">
        <v>19869</v>
      </c>
      <c r="C302" s="0" t="s">
        <v>9948</v>
      </c>
      <c r="D302" s="0" t="s">
        <v>19</v>
      </c>
      <c r="E302" s="0" t="s">
        <v>18053</v>
      </c>
      <c r="F302" s="0" t="s">
        <v>40</v>
      </c>
      <c r="G302" s="0" t="s">
        <v>18054</v>
      </c>
    </row>
    <row r="303" customFormat="false" ht="15" hidden="false" customHeight="false" outlineLevel="0" collapsed="false">
      <c r="A303" s="0" t="n">
        <v>2325</v>
      </c>
      <c r="B303" s="0" t="n">
        <v>19871</v>
      </c>
      <c r="C303" s="0" t="s">
        <v>9952</v>
      </c>
      <c r="D303" s="0" t="s">
        <v>19</v>
      </c>
      <c r="E303" s="0" t="s">
        <v>18053</v>
      </c>
      <c r="F303" s="0" t="s">
        <v>40</v>
      </c>
      <c r="G303" s="0" t="s">
        <v>18054</v>
      </c>
    </row>
    <row r="304" customFormat="false" ht="15" hidden="false" customHeight="false" outlineLevel="0" collapsed="false">
      <c r="A304" s="0" t="n">
        <v>2329</v>
      </c>
      <c r="B304" s="0" t="n">
        <v>19875</v>
      </c>
      <c r="C304" s="0" t="s">
        <v>9969</v>
      </c>
      <c r="D304" s="0" t="s">
        <v>19</v>
      </c>
      <c r="E304" s="0" t="s">
        <v>18053</v>
      </c>
      <c r="F304" s="0" t="s">
        <v>40</v>
      </c>
      <c r="G304" s="0" t="s">
        <v>18054</v>
      </c>
    </row>
    <row r="305" customFormat="false" ht="15" hidden="false" customHeight="false" outlineLevel="0" collapsed="false">
      <c r="A305" s="0" t="n">
        <v>2330</v>
      </c>
      <c r="B305" s="0" t="n">
        <v>19876</v>
      </c>
      <c r="C305" s="0" t="s">
        <v>9973</v>
      </c>
      <c r="D305" s="0" t="s">
        <v>19</v>
      </c>
      <c r="E305" s="0" t="s">
        <v>18053</v>
      </c>
      <c r="F305" s="0" t="s">
        <v>40</v>
      </c>
      <c r="G305" s="0" t="s">
        <v>18054</v>
      </c>
    </row>
    <row r="306" customFormat="false" ht="15" hidden="false" customHeight="false" outlineLevel="0" collapsed="false">
      <c r="A306" s="0" t="n">
        <v>2331</v>
      </c>
      <c r="B306" s="0" t="n">
        <v>19878</v>
      </c>
      <c r="C306" s="0" t="s">
        <v>9977</v>
      </c>
      <c r="D306" s="0" t="s">
        <v>19</v>
      </c>
      <c r="E306" s="0" t="s">
        <v>18053</v>
      </c>
      <c r="F306" s="0" t="s">
        <v>40</v>
      </c>
      <c r="G306" s="0" t="s">
        <v>18054</v>
      </c>
    </row>
    <row r="307" customFormat="false" ht="15" hidden="false" customHeight="false" outlineLevel="0" collapsed="false">
      <c r="A307" s="0" t="n">
        <v>2332</v>
      </c>
      <c r="B307" s="0" t="n">
        <v>19877</v>
      </c>
      <c r="C307" s="0" t="s">
        <v>9981</v>
      </c>
      <c r="D307" s="0" t="s">
        <v>19</v>
      </c>
      <c r="E307" s="0" t="s">
        <v>18053</v>
      </c>
      <c r="F307" s="0" t="s">
        <v>40</v>
      </c>
      <c r="G307" s="0" t="s">
        <v>18054</v>
      </c>
    </row>
    <row r="308" customFormat="false" ht="15" hidden="false" customHeight="false" outlineLevel="0" collapsed="false">
      <c r="A308" s="0" t="n">
        <v>2333</v>
      </c>
      <c r="B308" s="0" t="n">
        <v>19880</v>
      </c>
      <c r="C308" s="0" t="s">
        <v>9985</v>
      </c>
      <c r="D308" s="0" t="s">
        <v>19</v>
      </c>
      <c r="E308" s="0" t="s">
        <v>18053</v>
      </c>
      <c r="F308" s="0" t="s">
        <v>40</v>
      </c>
      <c r="G308" s="0" t="s">
        <v>18054</v>
      </c>
    </row>
    <row r="309" customFormat="false" ht="15" hidden="false" customHeight="false" outlineLevel="0" collapsed="false">
      <c r="A309" s="0" t="n">
        <v>2334</v>
      </c>
      <c r="B309" s="0" t="n">
        <v>19879</v>
      </c>
      <c r="C309" s="0" t="s">
        <v>9989</v>
      </c>
      <c r="D309" s="0" t="s">
        <v>19</v>
      </c>
      <c r="E309" s="0" t="s">
        <v>18053</v>
      </c>
      <c r="F309" s="0" t="s">
        <v>40</v>
      </c>
      <c r="G309" s="0" t="s">
        <v>18054</v>
      </c>
    </row>
    <row r="310" customFormat="false" ht="15" hidden="false" customHeight="false" outlineLevel="0" collapsed="false">
      <c r="A310" s="0" t="n">
        <v>2335</v>
      </c>
      <c r="B310" s="0" t="n">
        <v>19895</v>
      </c>
      <c r="C310" s="0" t="s">
        <v>9993</v>
      </c>
      <c r="D310" s="0" t="s">
        <v>19</v>
      </c>
      <c r="E310" s="0" t="s">
        <v>18053</v>
      </c>
      <c r="F310" s="0" t="s">
        <v>40</v>
      </c>
      <c r="G310" s="0" t="s">
        <v>18054</v>
      </c>
    </row>
    <row r="311" customFormat="false" ht="15" hidden="false" customHeight="false" outlineLevel="0" collapsed="false">
      <c r="A311" s="0" t="n">
        <v>2337</v>
      </c>
      <c r="B311" s="0" t="n">
        <v>19891</v>
      </c>
      <c r="C311" s="0" t="s">
        <v>10002</v>
      </c>
      <c r="D311" s="0" t="s">
        <v>19</v>
      </c>
      <c r="E311" s="0" t="s">
        <v>18053</v>
      </c>
      <c r="F311" s="0" t="s">
        <v>40</v>
      </c>
      <c r="G311" s="0" t="s">
        <v>18054</v>
      </c>
    </row>
    <row r="312" customFormat="false" ht="15" hidden="false" customHeight="false" outlineLevel="0" collapsed="false">
      <c r="A312" s="0" t="n">
        <v>2338</v>
      </c>
      <c r="B312" s="0" t="n">
        <v>19892</v>
      </c>
      <c r="C312" s="0" t="s">
        <v>10008</v>
      </c>
      <c r="D312" s="0" t="s">
        <v>19</v>
      </c>
      <c r="E312" s="0" t="s">
        <v>18053</v>
      </c>
      <c r="F312" s="0" t="s">
        <v>40</v>
      </c>
      <c r="G312" s="0" t="s">
        <v>18054</v>
      </c>
    </row>
    <row r="313" customFormat="false" ht="15" hidden="false" customHeight="false" outlineLevel="0" collapsed="false">
      <c r="A313" s="0" t="n">
        <v>2339</v>
      </c>
      <c r="B313" s="0" t="n">
        <v>19893</v>
      </c>
      <c r="C313" s="0" t="s">
        <v>10012</v>
      </c>
      <c r="D313" s="0" t="s">
        <v>19</v>
      </c>
      <c r="E313" s="0" t="s">
        <v>18053</v>
      </c>
      <c r="F313" s="0" t="s">
        <v>40</v>
      </c>
      <c r="G313" s="0" t="s">
        <v>18054</v>
      </c>
    </row>
    <row r="314" customFormat="false" ht="15" hidden="false" customHeight="false" outlineLevel="0" collapsed="false">
      <c r="A314" s="0" t="n">
        <v>2340</v>
      </c>
      <c r="B314" s="0" t="n">
        <v>19894</v>
      </c>
      <c r="C314" s="0" t="s">
        <v>10016</v>
      </c>
      <c r="D314" s="0" t="s">
        <v>19</v>
      </c>
      <c r="E314" s="0" t="s">
        <v>18053</v>
      </c>
      <c r="F314" s="0" t="s">
        <v>40</v>
      </c>
      <c r="G314" s="0" t="s">
        <v>18054</v>
      </c>
    </row>
    <row r="315" customFormat="false" ht="15" hidden="false" customHeight="false" outlineLevel="0" collapsed="false">
      <c r="A315" s="0" t="n">
        <v>2345</v>
      </c>
      <c r="B315" s="0" t="n">
        <v>19915</v>
      </c>
      <c r="C315" s="0" t="s">
        <v>10039</v>
      </c>
      <c r="D315" s="0" t="s">
        <v>19</v>
      </c>
      <c r="E315" s="0" t="s">
        <v>18053</v>
      </c>
      <c r="F315" s="0" t="s">
        <v>40</v>
      </c>
      <c r="G315" s="0" t="s">
        <v>18054</v>
      </c>
    </row>
    <row r="316" customFormat="false" ht="15" hidden="false" customHeight="false" outlineLevel="0" collapsed="false">
      <c r="A316" s="0" t="n">
        <v>2346</v>
      </c>
      <c r="B316" s="0" t="n">
        <v>19917</v>
      </c>
      <c r="C316" s="0" t="s">
        <v>10042</v>
      </c>
      <c r="D316" s="0" t="s">
        <v>19</v>
      </c>
      <c r="E316" s="0" t="s">
        <v>18053</v>
      </c>
      <c r="F316" s="0" t="s">
        <v>40</v>
      </c>
      <c r="G316" s="0" t="s">
        <v>18054</v>
      </c>
    </row>
    <row r="317" customFormat="false" ht="15" hidden="false" customHeight="false" outlineLevel="0" collapsed="false">
      <c r="A317" s="0" t="n">
        <v>2351</v>
      </c>
      <c r="B317" s="0" t="n">
        <v>19951</v>
      </c>
      <c r="C317" s="0" t="s">
        <v>10062</v>
      </c>
      <c r="D317" s="0" t="s">
        <v>19</v>
      </c>
      <c r="E317" s="0" t="s">
        <v>18053</v>
      </c>
      <c r="F317" s="0" t="s">
        <v>40</v>
      </c>
      <c r="G317" s="0" t="s">
        <v>18054</v>
      </c>
    </row>
    <row r="318" customFormat="false" ht="15" hidden="false" customHeight="false" outlineLevel="0" collapsed="false">
      <c r="A318" s="0" t="n">
        <v>2352</v>
      </c>
      <c r="B318" s="0" t="n">
        <v>19952</v>
      </c>
      <c r="C318" s="0" t="s">
        <v>10066</v>
      </c>
      <c r="D318" s="0" t="s">
        <v>19</v>
      </c>
      <c r="E318" s="0" t="s">
        <v>18053</v>
      </c>
      <c r="F318" s="0" t="s">
        <v>40</v>
      </c>
      <c r="G318" s="0" t="s">
        <v>18054</v>
      </c>
    </row>
    <row r="319" customFormat="false" ht="15" hidden="false" customHeight="false" outlineLevel="0" collapsed="false">
      <c r="A319" s="0" t="n">
        <v>2353</v>
      </c>
      <c r="B319" s="0" t="n">
        <v>19965</v>
      </c>
      <c r="C319" s="0" t="s">
        <v>10070</v>
      </c>
      <c r="D319" s="0" t="s">
        <v>19</v>
      </c>
      <c r="E319" s="0" t="s">
        <v>18053</v>
      </c>
      <c r="F319" s="0" t="s">
        <v>40</v>
      </c>
      <c r="G319" s="0" t="s">
        <v>18054</v>
      </c>
    </row>
    <row r="320" customFormat="false" ht="15" hidden="false" customHeight="false" outlineLevel="0" collapsed="false">
      <c r="A320" s="0" t="n">
        <v>2354</v>
      </c>
      <c r="B320" s="0" t="n">
        <v>19954</v>
      </c>
      <c r="C320" s="0" t="s">
        <v>10074</v>
      </c>
      <c r="D320" s="0" t="s">
        <v>19</v>
      </c>
      <c r="E320" s="0" t="s">
        <v>18053</v>
      </c>
      <c r="F320" s="0" t="s">
        <v>40</v>
      </c>
      <c r="G320" s="0" t="s">
        <v>18054</v>
      </c>
    </row>
    <row r="321" customFormat="false" ht="15" hidden="false" customHeight="false" outlineLevel="0" collapsed="false">
      <c r="A321" s="0" t="n">
        <v>2355</v>
      </c>
      <c r="B321" s="0" t="n">
        <v>19955</v>
      </c>
      <c r="C321" s="0" t="s">
        <v>10078</v>
      </c>
      <c r="D321" s="0" t="s">
        <v>19</v>
      </c>
      <c r="E321" s="0" t="s">
        <v>18053</v>
      </c>
      <c r="F321" s="0" t="s">
        <v>40</v>
      </c>
      <c r="G321" s="0" t="s">
        <v>18054</v>
      </c>
    </row>
    <row r="322" customFormat="false" ht="15" hidden="false" customHeight="false" outlineLevel="0" collapsed="false">
      <c r="A322" s="0" t="n">
        <v>2356</v>
      </c>
      <c r="B322" s="0" t="n">
        <v>19956</v>
      </c>
      <c r="C322" s="0" t="s">
        <v>10083</v>
      </c>
      <c r="D322" s="0" t="s">
        <v>19</v>
      </c>
      <c r="E322" s="0" t="s">
        <v>18053</v>
      </c>
      <c r="F322" s="0" t="s">
        <v>40</v>
      </c>
      <c r="G322" s="0" t="s">
        <v>18054</v>
      </c>
    </row>
    <row r="323" customFormat="false" ht="15" hidden="false" customHeight="false" outlineLevel="0" collapsed="false">
      <c r="A323" s="0" t="n">
        <v>2357</v>
      </c>
      <c r="B323" s="0" t="n">
        <v>19967</v>
      </c>
      <c r="C323" s="0" t="s">
        <v>10088</v>
      </c>
      <c r="D323" s="0" t="s">
        <v>19</v>
      </c>
      <c r="E323" s="0" t="s">
        <v>18053</v>
      </c>
      <c r="F323" s="0" t="s">
        <v>40</v>
      </c>
      <c r="G323" s="0" t="s">
        <v>18054</v>
      </c>
    </row>
    <row r="324" customFormat="false" ht="15" hidden="false" customHeight="false" outlineLevel="0" collapsed="false">
      <c r="A324" s="0" t="n">
        <v>2358</v>
      </c>
      <c r="B324" s="0" t="n">
        <v>19966</v>
      </c>
      <c r="C324" s="0" t="s">
        <v>10092</v>
      </c>
      <c r="D324" s="0" t="s">
        <v>19</v>
      </c>
      <c r="E324" s="0" t="s">
        <v>18053</v>
      </c>
      <c r="F324" s="0" t="s">
        <v>40</v>
      </c>
      <c r="G324" s="0" t="s">
        <v>18054</v>
      </c>
    </row>
    <row r="325" customFormat="false" ht="15" hidden="false" customHeight="false" outlineLevel="0" collapsed="false">
      <c r="A325" s="0" t="n">
        <v>2359</v>
      </c>
      <c r="B325" s="0" t="n">
        <v>19969</v>
      </c>
      <c r="C325" s="0" t="s">
        <v>10097</v>
      </c>
      <c r="D325" s="0" t="s">
        <v>19</v>
      </c>
      <c r="E325" s="0" t="s">
        <v>18053</v>
      </c>
      <c r="F325" s="0" t="s">
        <v>40</v>
      </c>
      <c r="G325" s="0" t="s">
        <v>18054</v>
      </c>
    </row>
    <row r="326" customFormat="false" ht="15" hidden="false" customHeight="false" outlineLevel="0" collapsed="false">
      <c r="A326" s="0" t="n">
        <v>2362</v>
      </c>
      <c r="B326" s="0" t="n">
        <v>19973</v>
      </c>
      <c r="C326" s="0" t="s">
        <v>10110</v>
      </c>
      <c r="D326" s="0" t="s">
        <v>19</v>
      </c>
      <c r="E326" s="0" t="s">
        <v>18053</v>
      </c>
      <c r="F326" s="0" t="s">
        <v>40</v>
      </c>
      <c r="G326" s="0" t="s">
        <v>18054</v>
      </c>
    </row>
    <row r="327" customFormat="false" ht="15" hidden="false" customHeight="false" outlineLevel="0" collapsed="false">
      <c r="A327" s="0" t="n">
        <v>2363</v>
      </c>
      <c r="B327" s="0" t="n">
        <v>19972</v>
      </c>
      <c r="C327" s="0" t="s">
        <v>10114</v>
      </c>
      <c r="D327" s="0" t="s">
        <v>19</v>
      </c>
      <c r="E327" s="0" t="s">
        <v>18053</v>
      </c>
      <c r="F327" s="0" t="s">
        <v>40</v>
      </c>
      <c r="G327" s="0" t="s">
        <v>18054</v>
      </c>
    </row>
    <row r="328" customFormat="false" ht="15" hidden="false" customHeight="false" outlineLevel="0" collapsed="false">
      <c r="A328" s="0" t="n">
        <v>2366</v>
      </c>
      <c r="B328" s="0" t="n">
        <v>19977</v>
      </c>
      <c r="C328" s="0" t="s">
        <v>10127</v>
      </c>
      <c r="D328" s="0" t="s">
        <v>19</v>
      </c>
      <c r="E328" s="0" t="s">
        <v>18053</v>
      </c>
      <c r="F328" s="0" t="s">
        <v>40</v>
      </c>
      <c r="G328" s="0" t="s">
        <v>18054</v>
      </c>
    </row>
    <row r="329" customFormat="false" ht="15" hidden="false" customHeight="false" outlineLevel="0" collapsed="false">
      <c r="A329" s="0" t="n">
        <v>2368</v>
      </c>
      <c r="B329" s="0" t="n">
        <v>19978</v>
      </c>
      <c r="C329" s="0" t="s">
        <v>10135</v>
      </c>
      <c r="D329" s="0" t="s">
        <v>19</v>
      </c>
      <c r="E329" s="0" t="s">
        <v>18053</v>
      </c>
      <c r="F329" s="0" t="s">
        <v>40</v>
      </c>
      <c r="G329" s="0" t="s">
        <v>18054</v>
      </c>
    </row>
    <row r="330" customFormat="false" ht="15" hidden="false" customHeight="false" outlineLevel="0" collapsed="false">
      <c r="A330" s="0" t="n">
        <v>2370</v>
      </c>
      <c r="B330" s="0" t="n">
        <v>19980</v>
      </c>
      <c r="C330" s="0" t="s">
        <v>10145</v>
      </c>
      <c r="D330" s="0" t="s">
        <v>19</v>
      </c>
      <c r="E330" s="0" t="s">
        <v>18053</v>
      </c>
      <c r="F330" s="0" t="s">
        <v>40</v>
      </c>
      <c r="G330" s="0" t="s">
        <v>18054</v>
      </c>
    </row>
    <row r="331" customFormat="false" ht="15" hidden="false" customHeight="false" outlineLevel="0" collapsed="false">
      <c r="A331" s="0" t="n">
        <v>2373</v>
      </c>
      <c r="B331" s="0" t="n">
        <v>19983</v>
      </c>
      <c r="C331" s="0" t="s">
        <v>10160</v>
      </c>
      <c r="D331" s="0" t="s">
        <v>19</v>
      </c>
      <c r="E331" s="0" t="s">
        <v>18053</v>
      </c>
      <c r="F331" s="0" t="s">
        <v>40</v>
      </c>
      <c r="G331" s="0" t="s">
        <v>18054</v>
      </c>
    </row>
    <row r="332" customFormat="false" ht="15" hidden="false" customHeight="false" outlineLevel="0" collapsed="false">
      <c r="A332" s="0" t="n">
        <v>2425</v>
      </c>
      <c r="B332" s="0" t="n">
        <v>20045</v>
      </c>
      <c r="C332" s="0" t="s">
        <v>10406</v>
      </c>
      <c r="D332" s="0" t="s">
        <v>19</v>
      </c>
      <c r="E332" s="0" t="s">
        <v>18053</v>
      </c>
      <c r="F332" s="0" t="s">
        <v>40</v>
      </c>
      <c r="G332" s="0" t="s">
        <v>18054</v>
      </c>
    </row>
    <row r="333" customFormat="false" ht="15" hidden="false" customHeight="false" outlineLevel="0" collapsed="false">
      <c r="A333" s="0" t="n">
        <v>2426</v>
      </c>
      <c r="B333" s="0" t="n">
        <v>20047</v>
      </c>
      <c r="C333" s="0" t="s">
        <v>10410</v>
      </c>
      <c r="D333" s="0" t="s">
        <v>19</v>
      </c>
      <c r="E333" s="0" t="s">
        <v>18053</v>
      </c>
      <c r="F333" s="0" t="s">
        <v>40</v>
      </c>
      <c r="G333" s="0" t="s">
        <v>18054</v>
      </c>
    </row>
    <row r="334" customFormat="false" ht="15" hidden="false" customHeight="false" outlineLevel="0" collapsed="false">
      <c r="A334" s="0" t="n">
        <v>2427</v>
      </c>
      <c r="B334" s="0" t="n">
        <v>20048</v>
      </c>
      <c r="C334" s="0" t="s">
        <v>10414</v>
      </c>
      <c r="D334" s="0" t="s">
        <v>19</v>
      </c>
      <c r="E334" s="0" t="s">
        <v>18053</v>
      </c>
      <c r="F334" s="0" t="s">
        <v>40</v>
      </c>
      <c r="G334" s="0" t="s">
        <v>18054</v>
      </c>
    </row>
    <row r="335" customFormat="false" ht="15" hidden="false" customHeight="false" outlineLevel="0" collapsed="false">
      <c r="A335" s="0" t="n">
        <v>2429</v>
      </c>
      <c r="B335" s="0" t="n">
        <v>20052</v>
      </c>
      <c r="C335" s="0" t="s">
        <v>10422</v>
      </c>
      <c r="D335" s="0" t="s">
        <v>19</v>
      </c>
      <c r="E335" s="0" t="s">
        <v>18053</v>
      </c>
      <c r="F335" s="0" t="s">
        <v>40</v>
      </c>
      <c r="G335" s="0" t="s">
        <v>18054</v>
      </c>
    </row>
    <row r="336" customFormat="false" ht="15" hidden="false" customHeight="false" outlineLevel="0" collapsed="false">
      <c r="A336" s="0" t="n">
        <v>2430</v>
      </c>
      <c r="B336" s="0" t="n">
        <v>20061</v>
      </c>
      <c r="C336" s="0" t="s">
        <v>10425</v>
      </c>
      <c r="D336" s="0" t="s">
        <v>19</v>
      </c>
      <c r="E336" s="0" t="s">
        <v>18053</v>
      </c>
      <c r="F336" s="0" t="s">
        <v>40</v>
      </c>
      <c r="G336" s="0" t="s">
        <v>18054</v>
      </c>
    </row>
    <row r="337" customFormat="false" ht="15" hidden="false" customHeight="false" outlineLevel="0" collapsed="false">
      <c r="A337" s="0" t="n">
        <v>2433</v>
      </c>
      <c r="B337" s="0" t="n">
        <v>20072</v>
      </c>
      <c r="C337" s="0" t="s">
        <v>10437</v>
      </c>
      <c r="D337" s="0" t="s">
        <v>19</v>
      </c>
      <c r="E337" s="0" t="s">
        <v>18053</v>
      </c>
      <c r="F337" s="0" t="s">
        <v>40</v>
      </c>
      <c r="G337" s="0" t="s">
        <v>18054</v>
      </c>
    </row>
    <row r="338" customFormat="false" ht="15" hidden="false" customHeight="false" outlineLevel="0" collapsed="false">
      <c r="A338" s="0" t="n">
        <v>2434</v>
      </c>
      <c r="B338" s="0" t="n">
        <v>20062</v>
      </c>
      <c r="C338" s="0" t="s">
        <v>10439</v>
      </c>
      <c r="D338" s="0" t="s">
        <v>19</v>
      </c>
      <c r="E338" s="0" t="s">
        <v>18053</v>
      </c>
      <c r="F338" s="0" t="s">
        <v>40</v>
      </c>
      <c r="G338" s="0" t="s">
        <v>18054</v>
      </c>
    </row>
    <row r="339" customFormat="false" ht="15" hidden="false" customHeight="false" outlineLevel="0" collapsed="false">
      <c r="A339" s="0" t="n">
        <v>2435</v>
      </c>
      <c r="B339" s="0" t="n">
        <v>20063</v>
      </c>
      <c r="C339" s="0" t="s">
        <v>4831</v>
      </c>
      <c r="D339" s="0" t="s">
        <v>19</v>
      </c>
      <c r="E339" s="0" t="s">
        <v>18053</v>
      </c>
      <c r="F339" s="0" t="s">
        <v>40</v>
      </c>
      <c r="G339" s="0" t="s">
        <v>18054</v>
      </c>
    </row>
    <row r="340" customFormat="false" ht="15" hidden="false" customHeight="false" outlineLevel="0" collapsed="false">
      <c r="A340" s="0" t="n">
        <v>2436</v>
      </c>
      <c r="B340" s="0" t="n">
        <v>20064</v>
      </c>
      <c r="C340" s="0" t="s">
        <v>10448</v>
      </c>
      <c r="D340" s="0" t="s">
        <v>19</v>
      </c>
      <c r="E340" s="0" t="s">
        <v>18053</v>
      </c>
      <c r="F340" s="0" t="s">
        <v>40</v>
      </c>
      <c r="G340" s="0" t="s">
        <v>18054</v>
      </c>
    </row>
    <row r="341" customFormat="false" ht="15" hidden="false" customHeight="false" outlineLevel="0" collapsed="false">
      <c r="A341" s="0" t="n">
        <v>2438</v>
      </c>
      <c r="B341" s="0" t="n">
        <v>20071</v>
      </c>
      <c r="C341" s="0" t="s">
        <v>10457</v>
      </c>
      <c r="D341" s="0" t="s">
        <v>19</v>
      </c>
      <c r="E341" s="0" t="s">
        <v>18053</v>
      </c>
      <c r="F341" s="0" t="s">
        <v>40</v>
      </c>
      <c r="G341" s="0" t="s">
        <v>18054</v>
      </c>
    </row>
    <row r="342" customFormat="false" ht="15" hidden="false" customHeight="false" outlineLevel="0" collapsed="false">
      <c r="A342" s="0" t="n">
        <v>2439</v>
      </c>
      <c r="B342" s="0" t="n">
        <v>20074</v>
      </c>
      <c r="C342" s="0" t="s">
        <v>10461</v>
      </c>
      <c r="D342" s="0" t="s">
        <v>19</v>
      </c>
      <c r="E342" s="0" t="s">
        <v>18053</v>
      </c>
      <c r="F342" s="0" t="s">
        <v>40</v>
      </c>
      <c r="G342" s="0" t="s">
        <v>18054</v>
      </c>
    </row>
    <row r="343" customFormat="false" ht="15" hidden="false" customHeight="false" outlineLevel="0" collapsed="false">
      <c r="A343" s="0" t="n">
        <v>2440</v>
      </c>
      <c r="B343" s="0" t="n">
        <v>20073</v>
      </c>
      <c r="C343" s="0" t="s">
        <v>10464</v>
      </c>
      <c r="D343" s="0" t="s">
        <v>19</v>
      </c>
      <c r="E343" s="0" t="s">
        <v>18053</v>
      </c>
      <c r="F343" s="0" t="s">
        <v>40</v>
      </c>
      <c r="G343" s="0" t="s">
        <v>18054</v>
      </c>
    </row>
    <row r="344" customFormat="false" ht="15" hidden="false" customHeight="false" outlineLevel="0" collapsed="false">
      <c r="A344" s="0" t="n">
        <v>2442</v>
      </c>
      <c r="B344" s="0" t="n">
        <v>20076</v>
      </c>
      <c r="C344" s="0" t="s">
        <v>10472</v>
      </c>
      <c r="D344" s="0" t="s">
        <v>19</v>
      </c>
      <c r="E344" s="0" t="s">
        <v>18053</v>
      </c>
      <c r="F344" s="0" t="s">
        <v>40</v>
      </c>
      <c r="G344" s="0" t="s">
        <v>18054</v>
      </c>
    </row>
    <row r="345" customFormat="false" ht="15" hidden="false" customHeight="false" outlineLevel="0" collapsed="false">
      <c r="A345" s="0" t="n">
        <v>2473</v>
      </c>
      <c r="B345" s="0" t="n">
        <v>20130</v>
      </c>
      <c r="C345" s="0" t="s">
        <v>10607</v>
      </c>
      <c r="D345" s="0" t="s">
        <v>19</v>
      </c>
      <c r="E345" s="0" t="s">
        <v>18053</v>
      </c>
      <c r="F345" s="0" t="s">
        <v>40</v>
      </c>
      <c r="G345" s="0" t="s">
        <v>18054</v>
      </c>
    </row>
    <row r="346" customFormat="false" ht="15" hidden="false" customHeight="false" outlineLevel="0" collapsed="false">
      <c r="A346" s="0" t="n">
        <v>2475</v>
      </c>
      <c r="B346" s="0" t="n">
        <v>20131</v>
      </c>
      <c r="C346" s="0" t="s">
        <v>10617</v>
      </c>
      <c r="D346" s="0" t="s">
        <v>19</v>
      </c>
      <c r="E346" s="0" t="s">
        <v>18053</v>
      </c>
      <c r="F346" s="0" t="s">
        <v>40</v>
      </c>
      <c r="G346" s="0" t="s">
        <v>18054</v>
      </c>
    </row>
    <row r="347" customFormat="false" ht="15" hidden="false" customHeight="false" outlineLevel="0" collapsed="false">
      <c r="A347" s="0" t="n">
        <v>2476</v>
      </c>
      <c r="B347" s="0" t="n">
        <v>20138</v>
      </c>
      <c r="C347" s="0" t="s">
        <v>10621</v>
      </c>
      <c r="D347" s="0" t="s">
        <v>19</v>
      </c>
      <c r="E347" s="0" t="s">
        <v>18053</v>
      </c>
      <c r="F347" s="0" t="s">
        <v>40</v>
      </c>
      <c r="G347" s="0" t="s">
        <v>18054</v>
      </c>
    </row>
    <row r="348" customFormat="false" ht="15" hidden="false" customHeight="false" outlineLevel="0" collapsed="false">
      <c r="A348" s="0" t="n">
        <v>2477</v>
      </c>
      <c r="B348" s="0" t="n">
        <v>20135</v>
      </c>
      <c r="C348" s="0" t="s">
        <v>10624</v>
      </c>
      <c r="D348" s="0" t="s">
        <v>19</v>
      </c>
      <c r="E348" s="0" t="s">
        <v>18053</v>
      </c>
      <c r="F348" s="0" t="s">
        <v>40</v>
      </c>
      <c r="G348" s="0" t="s">
        <v>18054</v>
      </c>
    </row>
    <row r="349" customFormat="false" ht="15" hidden="false" customHeight="false" outlineLevel="0" collapsed="false">
      <c r="A349" s="0" t="n">
        <v>2478</v>
      </c>
      <c r="B349" s="0" t="n">
        <v>20136</v>
      </c>
      <c r="C349" s="0" t="s">
        <v>10627</v>
      </c>
      <c r="D349" s="0" t="s">
        <v>19</v>
      </c>
      <c r="E349" s="0" t="s">
        <v>18053</v>
      </c>
      <c r="F349" s="0" t="s">
        <v>40</v>
      </c>
      <c r="G349" s="0" t="s">
        <v>18054</v>
      </c>
    </row>
    <row r="350" customFormat="false" ht="15" hidden="false" customHeight="false" outlineLevel="0" collapsed="false">
      <c r="A350" s="0" t="n">
        <v>2479</v>
      </c>
      <c r="B350" s="0" t="n">
        <v>20137</v>
      </c>
      <c r="C350" s="0" t="s">
        <v>10630</v>
      </c>
      <c r="D350" s="0" t="s">
        <v>19</v>
      </c>
      <c r="E350" s="0" t="s">
        <v>18053</v>
      </c>
      <c r="F350" s="0" t="s">
        <v>40</v>
      </c>
      <c r="G350" s="0" t="s">
        <v>18054</v>
      </c>
    </row>
    <row r="351" customFormat="false" ht="15" hidden="false" customHeight="false" outlineLevel="0" collapsed="false">
      <c r="A351" s="0" t="n">
        <v>2480</v>
      </c>
      <c r="B351" s="0" t="n">
        <v>20139</v>
      </c>
      <c r="C351" s="0" t="s">
        <v>10634</v>
      </c>
      <c r="D351" s="0" t="s">
        <v>19</v>
      </c>
      <c r="E351" s="0" t="s">
        <v>18053</v>
      </c>
      <c r="F351" s="0" t="s">
        <v>40</v>
      </c>
      <c r="G351" s="0" t="s">
        <v>18054</v>
      </c>
    </row>
    <row r="352" customFormat="false" ht="15" hidden="false" customHeight="false" outlineLevel="0" collapsed="false">
      <c r="A352" s="0" t="n">
        <v>2482</v>
      </c>
      <c r="B352" s="0" t="n">
        <v>20140</v>
      </c>
      <c r="C352" s="0" t="s">
        <v>10642</v>
      </c>
      <c r="D352" s="0" t="s">
        <v>19</v>
      </c>
      <c r="E352" s="0" t="s">
        <v>18053</v>
      </c>
      <c r="F352" s="0" t="s">
        <v>40</v>
      </c>
      <c r="G352" s="0" t="s">
        <v>18054</v>
      </c>
    </row>
    <row r="353" customFormat="false" ht="15" hidden="false" customHeight="false" outlineLevel="0" collapsed="false">
      <c r="A353" s="0" t="n">
        <v>2486</v>
      </c>
      <c r="B353" s="0" t="n">
        <v>20151</v>
      </c>
      <c r="C353" s="0" t="s">
        <v>10660</v>
      </c>
      <c r="D353" s="0" t="s">
        <v>19</v>
      </c>
      <c r="E353" s="0" t="s">
        <v>18053</v>
      </c>
      <c r="F353" s="0" t="s">
        <v>40</v>
      </c>
      <c r="G353" s="0" t="s">
        <v>18054</v>
      </c>
    </row>
    <row r="354" customFormat="false" ht="15" hidden="false" customHeight="false" outlineLevel="0" collapsed="false">
      <c r="A354" s="0" t="n">
        <v>2487</v>
      </c>
      <c r="B354" s="0" t="n">
        <v>20152</v>
      </c>
      <c r="C354" s="0" t="s">
        <v>10665</v>
      </c>
      <c r="D354" s="0" t="s">
        <v>19</v>
      </c>
      <c r="E354" s="0" t="s">
        <v>18053</v>
      </c>
      <c r="F354" s="0" t="s">
        <v>40</v>
      </c>
      <c r="G354" s="0" t="s">
        <v>18054</v>
      </c>
    </row>
    <row r="355" customFormat="false" ht="15" hidden="false" customHeight="false" outlineLevel="0" collapsed="false">
      <c r="A355" s="0" t="n">
        <v>2488</v>
      </c>
      <c r="B355" s="0" t="n">
        <v>20153</v>
      </c>
      <c r="C355" s="0" t="s">
        <v>7653</v>
      </c>
      <c r="D355" s="0" t="s">
        <v>19</v>
      </c>
      <c r="E355" s="0" t="s">
        <v>18053</v>
      </c>
      <c r="F355" s="0" t="s">
        <v>40</v>
      </c>
      <c r="G355" s="0" t="s">
        <v>18054</v>
      </c>
    </row>
    <row r="356" customFormat="false" ht="15" hidden="false" customHeight="false" outlineLevel="0" collapsed="false">
      <c r="A356" s="0" t="n">
        <v>2489</v>
      </c>
      <c r="B356" s="0" t="n">
        <v>20154</v>
      </c>
      <c r="C356" s="0" t="s">
        <v>10672</v>
      </c>
      <c r="D356" s="0" t="s">
        <v>19</v>
      </c>
      <c r="E356" s="0" t="s">
        <v>18053</v>
      </c>
      <c r="F356" s="0" t="s">
        <v>40</v>
      </c>
      <c r="G356" s="0" t="s">
        <v>18054</v>
      </c>
    </row>
    <row r="357" customFormat="false" ht="15" hidden="false" customHeight="false" outlineLevel="0" collapsed="false">
      <c r="A357" s="0" t="n">
        <v>2490</v>
      </c>
      <c r="B357" s="0" t="n">
        <v>20155</v>
      </c>
      <c r="C357" s="0" t="s">
        <v>10676</v>
      </c>
      <c r="D357" s="0" t="s">
        <v>19</v>
      </c>
      <c r="E357" s="0" t="s">
        <v>18053</v>
      </c>
      <c r="F357" s="0" t="s">
        <v>40</v>
      </c>
      <c r="G357" s="0" t="s">
        <v>18054</v>
      </c>
    </row>
    <row r="358" customFormat="false" ht="15" hidden="false" customHeight="false" outlineLevel="0" collapsed="false">
      <c r="A358" s="0" t="n">
        <v>2491</v>
      </c>
      <c r="B358" s="0" t="n">
        <v>20156</v>
      </c>
      <c r="C358" s="0" t="s">
        <v>10680</v>
      </c>
      <c r="D358" s="0" t="s">
        <v>19</v>
      </c>
      <c r="E358" s="0" t="s">
        <v>18053</v>
      </c>
      <c r="F358" s="0" t="s">
        <v>40</v>
      </c>
      <c r="G358" s="0" t="s">
        <v>18054</v>
      </c>
    </row>
    <row r="359" customFormat="false" ht="15" hidden="false" customHeight="false" outlineLevel="0" collapsed="false">
      <c r="A359" s="0" t="n">
        <v>2492</v>
      </c>
      <c r="B359" s="0" t="n">
        <v>20157</v>
      </c>
      <c r="C359" s="0" t="s">
        <v>10683</v>
      </c>
      <c r="D359" s="0" t="s">
        <v>19</v>
      </c>
      <c r="E359" s="0" t="s">
        <v>18053</v>
      </c>
      <c r="F359" s="0" t="s">
        <v>40</v>
      </c>
      <c r="G359" s="0" t="s">
        <v>18054</v>
      </c>
    </row>
    <row r="360" customFormat="false" ht="15" hidden="false" customHeight="false" outlineLevel="0" collapsed="false">
      <c r="A360" s="0" t="n">
        <v>2493</v>
      </c>
      <c r="B360" s="0" t="n">
        <v>20158</v>
      </c>
      <c r="C360" s="0" t="s">
        <v>238</v>
      </c>
      <c r="D360" s="0" t="s">
        <v>19</v>
      </c>
      <c r="E360" s="0" t="s">
        <v>18053</v>
      </c>
      <c r="F360" s="0" t="s">
        <v>40</v>
      </c>
      <c r="G360" s="0" t="s">
        <v>18054</v>
      </c>
    </row>
    <row r="361" customFormat="false" ht="15" hidden="false" customHeight="false" outlineLevel="0" collapsed="false">
      <c r="A361" s="0" t="n">
        <v>2494</v>
      </c>
      <c r="B361" s="0" t="n">
        <v>20159</v>
      </c>
      <c r="C361" s="0" t="s">
        <v>10691</v>
      </c>
      <c r="D361" s="0" t="s">
        <v>19</v>
      </c>
      <c r="E361" s="0" t="s">
        <v>18053</v>
      </c>
      <c r="F361" s="0" t="s">
        <v>40</v>
      </c>
      <c r="G361" s="0" t="s">
        <v>18054</v>
      </c>
    </row>
    <row r="362" customFormat="false" ht="15" hidden="false" customHeight="false" outlineLevel="0" collapsed="false">
      <c r="A362" s="0" t="n">
        <v>2495</v>
      </c>
      <c r="B362" s="0" t="n">
        <v>20160</v>
      </c>
      <c r="C362" s="0" t="s">
        <v>10696</v>
      </c>
      <c r="D362" s="0" t="s">
        <v>19</v>
      </c>
      <c r="E362" s="0" t="s">
        <v>18053</v>
      </c>
      <c r="F362" s="0" t="s">
        <v>40</v>
      </c>
      <c r="G362" s="0" t="s">
        <v>18054</v>
      </c>
    </row>
    <row r="363" customFormat="false" ht="15" hidden="false" customHeight="false" outlineLevel="0" collapsed="false">
      <c r="A363" s="0" t="n">
        <v>2496</v>
      </c>
      <c r="B363" s="0" t="n">
        <v>20161</v>
      </c>
      <c r="C363" s="0" t="s">
        <v>10700</v>
      </c>
      <c r="D363" s="0" t="s">
        <v>19</v>
      </c>
      <c r="E363" s="0" t="s">
        <v>18053</v>
      </c>
      <c r="F363" s="0" t="s">
        <v>40</v>
      </c>
      <c r="G363" s="0" t="s">
        <v>18054</v>
      </c>
    </row>
    <row r="364" customFormat="false" ht="15" hidden="false" customHeight="false" outlineLevel="0" collapsed="false">
      <c r="A364" s="0" t="n">
        <v>2497</v>
      </c>
      <c r="B364" s="0" t="n">
        <v>20162</v>
      </c>
      <c r="C364" s="0" t="s">
        <v>10704</v>
      </c>
      <c r="D364" s="0" t="s">
        <v>19</v>
      </c>
      <c r="E364" s="0" t="s">
        <v>18053</v>
      </c>
      <c r="F364" s="0" t="s">
        <v>40</v>
      </c>
      <c r="G364" s="0" t="s">
        <v>18054</v>
      </c>
    </row>
    <row r="365" customFormat="false" ht="15" hidden="false" customHeight="false" outlineLevel="0" collapsed="false">
      <c r="A365" s="0" t="n">
        <v>2498</v>
      </c>
      <c r="B365" s="0" t="n">
        <v>20163</v>
      </c>
      <c r="C365" s="0" t="s">
        <v>10708</v>
      </c>
      <c r="D365" s="0" t="s">
        <v>19</v>
      </c>
      <c r="E365" s="0" t="s">
        <v>18053</v>
      </c>
      <c r="F365" s="0" t="s">
        <v>40</v>
      </c>
      <c r="G365" s="0" t="s">
        <v>18054</v>
      </c>
    </row>
    <row r="366" customFormat="false" ht="15" hidden="false" customHeight="false" outlineLevel="0" collapsed="false">
      <c r="A366" s="0" t="n">
        <v>2499</v>
      </c>
      <c r="B366" s="0" t="n">
        <v>20166</v>
      </c>
      <c r="C366" s="0" t="s">
        <v>10713</v>
      </c>
      <c r="D366" s="0" t="s">
        <v>19</v>
      </c>
      <c r="E366" s="0" t="s">
        <v>18053</v>
      </c>
      <c r="F366" s="0" t="s">
        <v>40</v>
      </c>
      <c r="G366" s="0" t="s">
        <v>18054</v>
      </c>
    </row>
    <row r="367" customFormat="false" ht="15" hidden="false" customHeight="false" outlineLevel="0" collapsed="false">
      <c r="A367" s="0" t="n">
        <v>2500</v>
      </c>
      <c r="B367" s="0" t="n">
        <v>20164</v>
      </c>
      <c r="C367" s="0" t="s">
        <v>10718</v>
      </c>
      <c r="D367" s="0" t="s">
        <v>19</v>
      </c>
      <c r="E367" s="0" t="s">
        <v>18053</v>
      </c>
      <c r="F367" s="0" t="s">
        <v>40</v>
      </c>
      <c r="G367" s="0" t="s">
        <v>18054</v>
      </c>
    </row>
    <row r="368" customFormat="false" ht="15" hidden="false" customHeight="false" outlineLevel="0" collapsed="false">
      <c r="A368" s="0" t="n">
        <v>2501</v>
      </c>
      <c r="B368" s="0" t="n">
        <v>20165</v>
      </c>
      <c r="C368" s="0" t="s">
        <v>10724</v>
      </c>
      <c r="D368" s="0" t="s">
        <v>19</v>
      </c>
      <c r="E368" s="0" t="s">
        <v>18053</v>
      </c>
      <c r="F368" s="0" t="s">
        <v>40</v>
      </c>
      <c r="G368" s="0" t="s">
        <v>18054</v>
      </c>
    </row>
    <row r="369" customFormat="false" ht="15" hidden="false" customHeight="false" outlineLevel="0" collapsed="false">
      <c r="A369" s="0" t="n">
        <v>2502</v>
      </c>
      <c r="B369" s="0" t="n">
        <v>20168</v>
      </c>
      <c r="C369" s="0" t="s">
        <v>10729</v>
      </c>
      <c r="D369" s="0" t="s">
        <v>19</v>
      </c>
      <c r="E369" s="0" t="s">
        <v>18053</v>
      </c>
      <c r="F369" s="0" t="s">
        <v>40</v>
      </c>
      <c r="G369" s="0" t="s">
        <v>18054</v>
      </c>
    </row>
    <row r="370" customFormat="false" ht="15" hidden="false" customHeight="false" outlineLevel="0" collapsed="false">
      <c r="A370" s="0" t="n">
        <v>2503</v>
      </c>
      <c r="B370" s="0" t="n">
        <v>20167</v>
      </c>
      <c r="C370" s="0" t="s">
        <v>10734</v>
      </c>
      <c r="D370" s="0" t="s">
        <v>19</v>
      </c>
      <c r="E370" s="0" t="s">
        <v>18053</v>
      </c>
      <c r="F370" s="0" t="s">
        <v>40</v>
      </c>
      <c r="G370" s="0" t="s">
        <v>18054</v>
      </c>
    </row>
    <row r="371" customFormat="false" ht="15" hidden="false" customHeight="false" outlineLevel="0" collapsed="false">
      <c r="A371" s="0" t="n">
        <v>2504</v>
      </c>
      <c r="B371" s="0" t="n">
        <v>20171</v>
      </c>
      <c r="C371" s="0" t="s">
        <v>10740</v>
      </c>
      <c r="D371" s="0" t="s">
        <v>19</v>
      </c>
      <c r="E371" s="0" t="s">
        <v>18053</v>
      </c>
      <c r="F371" s="0" t="s">
        <v>40</v>
      </c>
      <c r="G371" s="0" t="s">
        <v>18054</v>
      </c>
    </row>
    <row r="372" customFormat="false" ht="15" hidden="false" customHeight="false" outlineLevel="0" collapsed="false">
      <c r="A372" s="0" t="n">
        <v>2505</v>
      </c>
      <c r="B372" s="0" t="n">
        <v>20169</v>
      </c>
      <c r="C372" s="0" t="s">
        <v>10744</v>
      </c>
      <c r="D372" s="0" t="s">
        <v>19</v>
      </c>
      <c r="E372" s="0" t="s">
        <v>18053</v>
      </c>
      <c r="F372" s="0" t="s">
        <v>40</v>
      </c>
      <c r="G372" s="0" t="s">
        <v>18054</v>
      </c>
    </row>
    <row r="373" customFormat="false" ht="15" hidden="false" customHeight="false" outlineLevel="0" collapsed="false">
      <c r="A373" s="0" t="n">
        <v>2506</v>
      </c>
      <c r="B373" s="0" t="n">
        <v>20174</v>
      </c>
      <c r="C373" s="0" t="s">
        <v>10749</v>
      </c>
      <c r="D373" s="0" t="s">
        <v>19</v>
      </c>
      <c r="E373" s="0" t="s">
        <v>18053</v>
      </c>
      <c r="F373" s="0" t="s">
        <v>40</v>
      </c>
      <c r="G373" s="0" t="s">
        <v>18054</v>
      </c>
    </row>
    <row r="374" customFormat="false" ht="15" hidden="false" customHeight="false" outlineLevel="0" collapsed="false">
      <c r="A374" s="0" t="n">
        <v>2507</v>
      </c>
      <c r="B374" s="0" t="n">
        <v>20176</v>
      </c>
      <c r="C374" s="0" t="s">
        <v>10753</v>
      </c>
      <c r="D374" s="0" t="s">
        <v>19</v>
      </c>
      <c r="E374" s="0" t="s">
        <v>18053</v>
      </c>
      <c r="F374" s="0" t="s">
        <v>40</v>
      </c>
      <c r="G374" s="0" t="s">
        <v>18054</v>
      </c>
    </row>
    <row r="375" customFormat="false" ht="15" hidden="false" customHeight="false" outlineLevel="0" collapsed="false">
      <c r="A375" s="0" t="n">
        <v>2508</v>
      </c>
      <c r="B375" s="0" t="n">
        <v>20175</v>
      </c>
      <c r="C375" s="0" t="s">
        <v>10757</v>
      </c>
      <c r="D375" s="0" t="s">
        <v>19</v>
      </c>
      <c r="E375" s="0" t="s">
        <v>18053</v>
      </c>
      <c r="F375" s="0" t="s">
        <v>40</v>
      </c>
      <c r="G375" s="0" t="s">
        <v>18054</v>
      </c>
    </row>
    <row r="376" customFormat="false" ht="15" hidden="false" customHeight="false" outlineLevel="0" collapsed="false">
      <c r="A376" s="0" t="n">
        <v>2510</v>
      </c>
      <c r="B376" s="0" t="n">
        <v>20177</v>
      </c>
      <c r="C376" s="0" t="s">
        <v>10768</v>
      </c>
      <c r="D376" s="0" t="s">
        <v>19</v>
      </c>
      <c r="E376" s="0" t="s">
        <v>18053</v>
      </c>
      <c r="F376" s="0" t="s">
        <v>40</v>
      </c>
      <c r="G376" s="0" t="s">
        <v>18054</v>
      </c>
    </row>
    <row r="377" customFormat="false" ht="15" hidden="false" customHeight="false" outlineLevel="0" collapsed="false">
      <c r="A377" s="0" t="n">
        <v>2512</v>
      </c>
      <c r="B377" s="0" t="n">
        <v>20269</v>
      </c>
      <c r="C377" s="0" t="s">
        <v>10779</v>
      </c>
      <c r="D377" s="0" t="s">
        <v>19</v>
      </c>
      <c r="E377" s="0" t="s">
        <v>18053</v>
      </c>
      <c r="F377" s="0" t="s">
        <v>40</v>
      </c>
      <c r="G377" s="0" t="s">
        <v>18054</v>
      </c>
    </row>
    <row r="378" customFormat="false" ht="15" hidden="false" customHeight="false" outlineLevel="0" collapsed="false">
      <c r="A378" s="0" t="n">
        <v>2515</v>
      </c>
      <c r="B378" s="0" t="n">
        <v>20264</v>
      </c>
      <c r="C378" s="0" t="s">
        <v>10790</v>
      </c>
      <c r="D378" s="0" t="s">
        <v>19</v>
      </c>
      <c r="E378" s="0" t="s">
        <v>18053</v>
      </c>
      <c r="F378" s="0" t="s">
        <v>40</v>
      </c>
      <c r="G378" s="0" t="s">
        <v>18054</v>
      </c>
    </row>
    <row r="379" customFormat="false" ht="15" hidden="false" customHeight="false" outlineLevel="0" collapsed="false">
      <c r="A379" s="0" t="n">
        <v>2554</v>
      </c>
      <c r="B379" s="0" t="n">
        <v>20324</v>
      </c>
      <c r="C379" s="0" t="s">
        <v>10952</v>
      </c>
      <c r="D379" s="0" t="s">
        <v>19</v>
      </c>
      <c r="E379" s="0" t="s">
        <v>18053</v>
      </c>
      <c r="F379" s="0" t="s">
        <v>40</v>
      </c>
      <c r="G379" s="0" t="s">
        <v>18054</v>
      </c>
    </row>
    <row r="380" customFormat="false" ht="15" hidden="false" customHeight="false" outlineLevel="0" collapsed="false">
      <c r="A380" s="0" t="n">
        <v>2555</v>
      </c>
      <c r="B380" s="0" t="n">
        <v>20325</v>
      </c>
      <c r="C380" s="0" t="s">
        <v>10956</v>
      </c>
      <c r="D380" s="0" t="s">
        <v>19</v>
      </c>
      <c r="E380" s="0" t="s">
        <v>18053</v>
      </c>
      <c r="F380" s="0" t="s">
        <v>40</v>
      </c>
      <c r="G380" s="0" t="s">
        <v>18054</v>
      </c>
    </row>
    <row r="381" customFormat="false" ht="15" hidden="false" customHeight="false" outlineLevel="0" collapsed="false">
      <c r="A381" s="0" t="n">
        <v>2558</v>
      </c>
      <c r="B381" s="0" t="n">
        <v>20329</v>
      </c>
      <c r="C381" s="0" t="s">
        <v>10967</v>
      </c>
      <c r="D381" s="0" t="s">
        <v>19</v>
      </c>
      <c r="E381" s="0" t="s">
        <v>18053</v>
      </c>
      <c r="F381" s="0" t="s">
        <v>40</v>
      </c>
      <c r="G381" s="0" t="s">
        <v>18054</v>
      </c>
    </row>
    <row r="382" customFormat="false" ht="15" hidden="false" customHeight="false" outlineLevel="0" collapsed="false">
      <c r="A382" s="0" t="n">
        <v>2559</v>
      </c>
      <c r="B382" s="0" t="n">
        <v>20330</v>
      </c>
      <c r="C382" s="0" t="s">
        <v>10971</v>
      </c>
      <c r="D382" s="0" t="s">
        <v>19</v>
      </c>
      <c r="E382" s="0" t="s">
        <v>18053</v>
      </c>
      <c r="F382" s="0" t="s">
        <v>40</v>
      </c>
      <c r="G382" s="0" t="s">
        <v>18054</v>
      </c>
    </row>
    <row r="383" customFormat="false" ht="15" hidden="false" customHeight="false" outlineLevel="0" collapsed="false">
      <c r="A383" s="0" t="n">
        <v>2560</v>
      </c>
      <c r="B383" s="0" t="n">
        <v>20331</v>
      </c>
      <c r="C383" s="0" t="s">
        <v>10975</v>
      </c>
      <c r="D383" s="0" t="s">
        <v>19</v>
      </c>
      <c r="E383" s="0" t="s">
        <v>18053</v>
      </c>
      <c r="F383" s="0" t="s">
        <v>40</v>
      </c>
      <c r="G383" s="0" t="s">
        <v>18054</v>
      </c>
    </row>
    <row r="384" customFormat="false" ht="15" hidden="false" customHeight="false" outlineLevel="0" collapsed="false">
      <c r="A384" s="0" t="n">
        <v>2561</v>
      </c>
      <c r="B384" s="0" t="n">
        <v>20332</v>
      </c>
      <c r="C384" s="0" t="s">
        <v>10979</v>
      </c>
      <c r="D384" s="0" t="s">
        <v>19</v>
      </c>
      <c r="E384" s="0" t="s">
        <v>18053</v>
      </c>
      <c r="F384" s="0" t="s">
        <v>40</v>
      </c>
      <c r="G384" s="0" t="s">
        <v>18054</v>
      </c>
    </row>
    <row r="385" customFormat="false" ht="15" hidden="false" customHeight="false" outlineLevel="0" collapsed="false">
      <c r="A385" s="0" t="n">
        <v>2563</v>
      </c>
      <c r="B385" s="0" t="n">
        <v>20336</v>
      </c>
      <c r="C385" s="0" t="s">
        <v>10987</v>
      </c>
      <c r="D385" s="0" t="s">
        <v>19</v>
      </c>
      <c r="E385" s="0" t="s">
        <v>18053</v>
      </c>
      <c r="F385" s="0" t="s">
        <v>40</v>
      </c>
      <c r="G385" s="0" t="s">
        <v>18054</v>
      </c>
    </row>
    <row r="386" customFormat="false" ht="15" hidden="false" customHeight="false" outlineLevel="0" collapsed="false">
      <c r="A386" s="0" t="n">
        <v>2564</v>
      </c>
      <c r="B386" s="0" t="n">
        <v>20346</v>
      </c>
      <c r="C386" s="0" t="s">
        <v>10990</v>
      </c>
      <c r="D386" s="0" t="s">
        <v>19</v>
      </c>
      <c r="E386" s="0" t="s">
        <v>18053</v>
      </c>
      <c r="F386" s="0" t="s">
        <v>40</v>
      </c>
      <c r="G386" s="0" t="s">
        <v>18054</v>
      </c>
    </row>
    <row r="387" customFormat="false" ht="15" hidden="false" customHeight="false" outlineLevel="0" collapsed="false">
      <c r="A387" s="0" t="n">
        <v>2565</v>
      </c>
      <c r="B387" s="0" t="n">
        <v>20347</v>
      </c>
      <c r="C387" s="0" t="s">
        <v>10993</v>
      </c>
      <c r="D387" s="0" t="s">
        <v>19</v>
      </c>
      <c r="E387" s="0" t="s">
        <v>18053</v>
      </c>
      <c r="F387" s="0" t="s">
        <v>40</v>
      </c>
      <c r="G387" s="0" t="s">
        <v>18054</v>
      </c>
    </row>
    <row r="388" customFormat="false" ht="15" hidden="false" customHeight="false" outlineLevel="0" collapsed="false">
      <c r="A388" s="0" t="n">
        <v>2566</v>
      </c>
      <c r="B388" s="0" t="n">
        <v>20348</v>
      </c>
      <c r="C388" s="0" t="s">
        <v>10997</v>
      </c>
      <c r="D388" s="0" t="s">
        <v>19</v>
      </c>
      <c r="E388" s="0" t="s">
        <v>18053</v>
      </c>
      <c r="F388" s="0" t="s">
        <v>40</v>
      </c>
      <c r="G388" s="0" t="s">
        <v>18054</v>
      </c>
    </row>
    <row r="389" customFormat="false" ht="15" hidden="false" customHeight="false" outlineLevel="0" collapsed="false">
      <c r="A389" s="0" t="n">
        <v>2567</v>
      </c>
      <c r="B389" s="0" t="n">
        <v>20350</v>
      </c>
      <c r="C389" s="0" t="s">
        <v>11001</v>
      </c>
      <c r="D389" s="0" t="s">
        <v>19</v>
      </c>
      <c r="E389" s="0" t="s">
        <v>18053</v>
      </c>
      <c r="F389" s="0" t="s">
        <v>40</v>
      </c>
      <c r="G389" s="0" t="s">
        <v>18054</v>
      </c>
    </row>
    <row r="390" customFormat="false" ht="15" hidden="false" customHeight="false" outlineLevel="0" collapsed="false">
      <c r="A390" s="0" t="n">
        <v>2568</v>
      </c>
      <c r="B390" s="0" t="n">
        <v>20349</v>
      </c>
      <c r="C390" s="0" t="s">
        <v>11005</v>
      </c>
      <c r="D390" s="0" t="s">
        <v>19</v>
      </c>
      <c r="E390" s="0" t="s">
        <v>18053</v>
      </c>
      <c r="F390" s="0" t="s">
        <v>40</v>
      </c>
      <c r="G390" s="0" t="s">
        <v>18054</v>
      </c>
    </row>
    <row r="391" customFormat="false" ht="15" hidden="false" customHeight="false" outlineLevel="0" collapsed="false">
      <c r="A391" s="0" t="n">
        <v>2570</v>
      </c>
      <c r="B391" s="0" t="n">
        <v>20351</v>
      </c>
      <c r="C391" s="0" t="s">
        <v>11013</v>
      </c>
      <c r="D391" s="0" t="s">
        <v>19</v>
      </c>
      <c r="E391" s="0" t="s">
        <v>18053</v>
      </c>
      <c r="F391" s="0" t="s">
        <v>40</v>
      </c>
      <c r="G391" s="0" t="s">
        <v>18054</v>
      </c>
    </row>
    <row r="392" customFormat="false" ht="15" hidden="false" customHeight="false" outlineLevel="0" collapsed="false">
      <c r="A392" s="0" t="n">
        <v>2571</v>
      </c>
      <c r="B392" s="0" t="n">
        <v>20352</v>
      </c>
      <c r="C392" s="0" t="s">
        <v>11017</v>
      </c>
      <c r="D392" s="0" t="s">
        <v>19</v>
      </c>
      <c r="E392" s="0" t="s">
        <v>18053</v>
      </c>
      <c r="F392" s="0" t="s">
        <v>40</v>
      </c>
      <c r="G392" s="0" t="s">
        <v>18054</v>
      </c>
    </row>
    <row r="393" customFormat="false" ht="15" hidden="false" customHeight="false" outlineLevel="0" collapsed="false">
      <c r="A393" s="0" t="n">
        <v>2613</v>
      </c>
      <c r="B393" s="0" t="n">
        <v>20421</v>
      </c>
      <c r="C393" s="0" t="s">
        <v>11180</v>
      </c>
      <c r="D393" s="0" t="s">
        <v>19</v>
      </c>
      <c r="E393" s="0" t="s">
        <v>18053</v>
      </c>
      <c r="F393" s="0" t="s">
        <v>40</v>
      </c>
      <c r="G393" s="0" t="s">
        <v>18054</v>
      </c>
    </row>
    <row r="394" customFormat="false" ht="15" hidden="false" customHeight="false" outlineLevel="0" collapsed="false">
      <c r="A394" s="0" t="n">
        <v>2615</v>
      </c>
      <c r="B394" s="0" t="n">
        <v>20423</v>
      </c>
      <c r="C394" s="0" t="s">
        <v>11190</v>
      </c>
      <c r="D394" s="0" t="s">
        <v>19</v>
      </c>
      <c r="E394" s="0" t="s">
        <v>18053</v>
      </c>
      <c r="F394" s="0" t="s">
        <v>40</v>
      </c>
      <c r="G394" s="0" t="s">
        <v>18054</v>
      </c>
    </row>
    <row r="395" customFormat="false" ht="15" hidden="false" customHeight="false" outlineLevel="0" collapsed="false">
      <c r="A395" s="0" t="n">
        <v>2616</v>
      </c>
      <c r="B395" s="0" t="n">
        <v>20429</v>
      </c>
      <c r="C395" s="0" t="s">
        <v>11193</v>
      </c>
      <c r="D395" s="0" t="s">
        <v>19</v>
      </c>
      <c r="E395" s="0" t="s">
        <v>18053</v>
      </c>
      <c r="F395" s="0" t="s">
        <v>40</v>
      </c>
      <c r="G395" s="0" t="s">
        <v>18054</v>
      </c>
    </row>
    <row r="396" customFormat="false" ht="15" hidden="false" customHeight="false" outlineLevel="0" collapsed="false">
      <c r="A396" s="0" t="n">
        <v>2618</v>
      </c>
      <c r="B396" s="0" t="n">
        <v>20425</v>
      </c>
      <c r="C396" s="0" t="s">
        <v>11204</v>
      </c>
      <c r="D396" s="0" t="s">
        <v>19</v>
      </c>
      <c r="E396" s="0" t="s">
        <v>18053</v>
      </c>
      <c r="F396" s="0" t="s">
        <v>40</v>
      </c>
      <c r="G396" s="0" t="s">
        <v>18054</v>
      </c>
    </row>
    <row r="397" customFormat="false" ht="15" hidden="false" customHeight="false" outlineLevel="0" collapsed="false">
      <c r="A397" s="0" t="n">
        <v>2619</v>
      </c>
      <c r="B397" s="0" t="n">
        <v>20426</v>
      </c>
      <c r="C397" s="0" t="s">
        <v>11209</v>
      </c>
      <c r="D397" s="0" t="s">
        <v>19</v>
      </c>
      <c r="E397" s="0" t="s">
        <v>18053</v>
      </c>
      <c r="F397" s="0" t="s">
        <v>40</v>
      </c>
      <c r="G397" s="0" t="s">
        <v>18054</v>
      </c>
    </row>
    <row r="398" customFormat="false" ht="15" hidden="false" customHeight="false" outlineLevel="0" collapsed="false">
      <c r="A398" s="0" t="n">
        <v>2620</v>
      </c>
      <c r="B398" s="0" t="n">
        <v>20433</v>
      </c>
      <c r="C398" s="0" t="s">
        <v>11215</v>
      </c>
      <c r="D398" s="0" t="s">
        <v>19</v>
      </c>
      <c r="E398" s="0" t="s">
        <v>18053</v>
      </c>
      <c r="F398" s="0" t="s">
        <v>40</v>
      </c>
      <c r="G398" s="0" t="s">
        <v>18054</v>
      </c>
    </row>
    <row r="399" customFormat="false" ht="15" hidden="false" customHeight="false" outlineLevel="0" collapsed="false">
      <c r="A399" s="0" t="n">
        <v>2630</v>
      </c>
      <c r="B399" s="0" t="n">
        <v>20549</v>
      </c>
      <c r="C399" s="0" t="s">
        <v>11256</v>
      </c>
      <c r="D399" s="0" t="s">
        <v>19</v>
      </c>
      <c r="E399" s="0" t="s">
        <v>18053</v>
      </c>
      <c r="F399" s="0" t="s">
        <v>40</v>
      </c>
      <c r="G399" s="0" t="s">
        <v>18054</v>
      </c>
    </row>
    <row r="400" customFormat="false" ht="15" hidden="false" customHeight="false" outlineLevel="0" collapsed="false">
      <c r="A400" s="0" t="n">
        <v>2631</v>
      </c>
      <c r="B400" s="0" t="n">
        <v>20550</v>
      </c>
      <c r="C400" s="0" t="s">
        <v>11260</v>
      </c>
      <c r="D400" s="0" t="s">
        <v>19</v>
      </c>
      <c r="E400" s="0" t="s">
        <v>18053</v>
      </c>
      <c r="F400" s="0" t="s">
        <v>40</v>
      </c>
      <c r="G400" s="0" t="s">
        <v>18054</v>
      </c>
    </row>
    <row r="401" customFormat="false" ht="15" hidden="false" customHeight="false" outlineLevel="0" collapsed="false">
      <c r="A401" s="0" t="n">
        <v>2632</v>
      </c>
      <c r="B401" s="0" t="n">
        <v>20551</v>
      </c>
      <c r="C401" s="0" t="s">
        <v>11265</v>
      </c>
      <c r="D401" s="0" t="s">
        <v>19</v>
      </c>
      <c r="E401" s="0" t="s">
        <v>18053</v>
      </c>
      <c r="F401" s="0" t="s">
        <v>40</v>
      </c>
      <c r="G401" s="0" t="s">
        <v>18054</v>
      </c>
    </row>
    <row r="402" customFormat="false" ht="15" hidden="false" customHeight="false" outlineLevel="0" collapsed="false">
      <c r="A402" s="0" t="n">
        <v>2633</v>
      </c>
      <c r="B402" s="0" t="n">
        <v>20552</v>
      </c>
      <c r="C402" s="0" t="s">
        <v>11269</v>
      </c>
      <c r="D402" s="0" t="s">
        <v>19</v>
      </c>
      <c r="E402" s="0" t="s">
        <v>18053</v>
      </c>
      <c r="F402" s="0" t="s">
        <v>40</v>
      </c>
      <c r="G402" s="0" t="s">
        <v>18054</v>
      </c>
    </row>
    <row r="403" customFormat="false" ht="15" hidden="false" customHeight="false" outlineLevel="0" collapsed="false">
      <c r="A403" s="0" t="n">
        <v>2634</v>
      </c>
      <c r="B403" s="0" t="n">
        <v>20553</v>
      </c>
      <c r="C403" s="0" t="s">
        <v>11272</v>
      </c>
      <c r="D403" s="0" t="s">
        <v>19</v>
      </c>
      <c r="E403" s="0" t="s">
        <v>18053</v>
      </c>
      <c r="F403" s="0" t="s">
        <v>40</v>
      </c>
      <c r="G403" s="0" t="s">
        <v>18054</v>
      </c>
    </row>
    <row r="404" customFormat="false" ht="15" hidden="false" customHeight="false" outlineLevel="0" collapsed="false">
      <c r="A404" s="0" t="n">
        <v>2635</v>
      </c>
      <c r="B404" s="0" t="n">
        <v>20554</v>
      </c>
      <c r="C404" s="0" t="s">
        <v>11275</v>
      </c>
      <c r="D404" s="0" t="s">
        <v>19</v>
      </c>
      <c r="E404" s="0" t="s">
        <v>18053</v>
      </c>
      <c r="F404" s="0" t="s">
        <v>40</v>
      </c>
      <c r="G404" s="0" t="s">
        <v>18054</v>
      </c>
    </row>
    <row r="405" customFormat="false" ht="15" hidden="false" customHeight="false" outlineLevel="0" collapsed="false">
      <c r="A405" s="0" t="n">
        <v>2636</v>
      </c>
      <c r="B405" s="0" t="n">
        <v>20555</v>
      </c>
      <c r="C405" s="0" t="s">
        <v>11279</v>
      </c>
      <c r="D405" s="0" t="s">
        <v>19</v>
      </c>
      <c r="E405" s="0" t="s">
        <v>18053</v>
      </c>
      <c r="F405" s="0" t="s">
        <v>40</v>
      </c>
      <c r="G405" s="0" t="s">
        <v>18054</v>
      </c>
    </row>
    <row r="406" customFormat="false" ht="15" hidden="false" customHeight="false" outlineLevel="0" collapsed="false">
      <c r="A406" s="0" t="n">
        <v>2637</v>
      </c>
      <c r="B406" s="0" t="n">
        <v>20556</v>
      </c>
      <c r="C406" s="0" t="s">
        <v>11282</v>
      </c>
      <c r="D406" s="0" t="s">
        <v>19</v>
      </c>
      <c r="E406" s="0" t="s">
        <v>18053</v>
      </c>
      <c r="F406" s="0" t="s">
        <v>40</v>
      </c>
      <c r="G406" s="0" t="s">
        <v>18054</v>
      </c>
    </row>
    <row r="407" customFormat="false" ht="15" hidden="false" customHeight="false" outlineLevel="0" collapsed="false">
      <c r="A407" s="0" t="n">
        <v>2638</v>
      </c>
      <c r="B407" s="0" t="n">
        <v>20557</v>
      </c>
      <c r="C407" s="0" t="s">
        <v>11286</v>
      </c>
      <c r="D407" s="0" t="s">
        <v>19</v>
      </c>
      <c r="E407" s="0" t="s">
        <v>18053</v>
      </c>
      <c r="F407" s="0" t="s">
        <v>40</v>
      </c>
      <c r="G407" s="0" t="s">
        <v>18054</v>
      </c>
    </row>
    <row r="408" customFormat="false" ht="15" hidden="false" customHeight="false" outlineLevel="0" collapsed="false">
      <c r="A408" s="0" t="n">
        <v>2639</v>
      </c>
      <c r="B408" s="0" t="n">
        <v>20558</v>
      </c>
      <c r="C408" s="0" t="s">
        <v>3593</v>
      </c>
      <c r="D408" s="0" t="s">
        <v>19</v>
      </c>
      <c r="E408" s="0" t="s">
        <v>18053</v>
      </c>
      <c r="F408" s="0" t="s">
        <v>40</v>
      </c>
      <c r="G408" s="0" t="s">
        <v>18054</v>
      </c>
    </row>
    <row r="409" customFormat="false" ht="15" hidden="false" customHeight="false" outlineLevel="0" collapsed="false">
      <c r="A409" s="0" t="n">
        <v>2640</v>
      </c>
      <c r="B409" s="0" t="n">
        <v>20559</v>
      </c>
      <c r="C409" s="0" t="s">
        <v>11292</v>
      </c>
      <c r="D409" s="0" t="s">
        <v>19</v>
      </c>
      <c r="E409" s="0" t="s">
        <v>18053</v>
      </c>
      <c r="F409" s="0" t="s">
        <v>40</v>
      </c>
      <c r="G409" s="0" t="s">
        <v>18054</v>
      </c>
    </row>
    <row r="410" customFormat="false" ht="15" hidden="false" customHeight="false" outlineLevel="0" collapsed="false">
      <c r="A410" s="0" t="n">
        <v>2641</v>
      </c>
      <c r="B410" s="0" t="n">
        <v>20562</v>
      </c>
      <c r="C410" s="0" t="s">
        <v>11297</v>
      </c>
      <c r="D410" s="0" t="s">
        <v>19</v>
      </c>
      <c r="E410" s="0" t="s">
        <v>18053</v>
      </c>
      <c r="F410" s="0" t="s">
        <v>40</v>
      </c>
      <c r="G410" s="0" t="s">
        <v>18054</v>
      </c>
    </row>
    <row r="411" customFormat="false" ht="15" hidden="false" customHeight="false" outlineLevel="0" collapsed="false">
      <c r="A411" s="0" t="n">
        <v>2642</v>
      </c>
      <c r="B411" s="0" t="n">
        <v>20569</v>
      </c>
      <c r="C411" s="0" t="s">
        <v>11301</v>
      </c>
      <c r="D411" s="0" t="s">
        <v>19</v>
      </c>
      <c r="E411" s="0" t="s">
        <v>18053</v>
      </c>
      <c r="F411" s="0" t="s">
        <v>40</v>
      </c>
      <c r="G411" s="0" t="s">
        <v>18054</v>
      </c>
    </row>
    <row r="412" customFormat="false" ht="15" hidden="false" customHeight="false" outlineLevel="0" collapsed="false">
      <c r="A412" s="0" t="n">
        <v>2644</v>
      </c>
      <c r="B412" s="0" t="n">
        <v>20567</v>
      </c>
      <c r="C412" s="0" t="s">
        <v>11308</v>
      </c>
      <c r="D412" s="0" t="s">
        <v>19</v>
      </c>
      <c r="E412" s="0" t="s">
        <v>18053</v>
      </c>
      <c r="F412" s="0" t="s">
        <v>40</v>
      </c>
      <c r="G412" s="0" t="s">
        <v>18054</v>
      </c>
    </row>
    <row r="413" customFormat="false" ht="15" hidden="false" customHeight="false" outlineLevel="0" collapsed="false">
      <c r="A413" s="0" t="n">
        <v>2649</v>
      </c>
      <c r="B413" s="0" t="n">
        <v>20579</v>
      </c>
      <c r="C413" s="0" t="s">
        <v>11327</v>
      </c>
      <c r="D413" s="0" t="s">
        <v>19</v>
      </c>
      <c r="E413" s="0" t="s">
        <v>18053</v>
      </c>
      <c r="F413" s="0" t="s">
        <v>40</v>
      </c>
      <c r="G413" s="0" t="s">
        <v>18054</v>
      </c>
    </row>
    <row r="414" customFormat="false" ht="15" hidden="false" customHeight="false" outlineLevel="0" collapsed="false">
      <c r="A414" s="0" t="n">
        <v>2651</v>
      </c>
      <c r="B414" s="0" t="n">
        <v>20575</v>
      </c>
      <c r="C414" s="0" t="s">
        <v>11334</v>
      </c>
      <c r="D414" s="0" t="s">
        <v>19</v>
      </c>
      <c r="E414" s="0" t="s">
        <v>18053</v>
      </c>
      <c r="F414" s="0" t="s">
        <v>40</v>
      </c>
      <c r="G414" s="0" t="s">
        <v>18054</v>
      </c>
    </row>
    <row r="415" customFormat="false" ht="15" hidden="false" customHeight="false" outlineLevel="0" collapsed="false">
      <c r="A415" s="0" t="n">
        <v>2652</v>
      </c>
      <c r="B415" s="0" t="n">
        <v>20577</v>
      </c>
      <c r="C415" s="0" t="s">
        <v>11338</v>
      </c>
      <c r="D415" s="0" t="s">
        <v>19</v>
      </c>
      <c r="E415" s="0" t="s">
        <v>18053</v>
      </c>
      <c r="F415" s="0" t="s">
        <v>40</v>
      </c>
      <c r="G415" s="0" t="s">
        <v>18054</v>
      </c>
    </row>
    <row r="416" customFormat="false" ht="15" hidden="false" customHeight="false" outlineLevel="0" collapsed="false">
      <c r="A416" s="0" t="n">
        <v>2653</v>
      </c>
      <c r="B416" s="0" t="n">
        <v>20581</v>
      </c>
      <c r="C416" s="0" t="s">
        <v>11341</v>
      </c>
      <c r="D416" s="0" t="s">
        <v>19</v>
      </c>
      <c r="E416" s="0" t="s">
        <v>18053</v>
      </c>
      <c r="F416" s="0" t="s">
        <v>40</v>
      </c>
      <c r="G416" s="0" t="s">
        <v>18054</v>
      </c>
    </row>
    <row r="417" customFormat="false" ht="15" hidden="false" customHeight="false" outlineLevel="0" collapsed="false">
      <c r="A417" s="0" t="n">
        <v>2654</v>
      </c>
      <c r="B417" s="0" t="n">
        <v>20582</v>
      </c>
      <c r="C417" s="0" t="s">
        <v>11344</v>
      </c>
      <c r="D417" s="0" t="s">
        <v>19</v>
      </c>
      <c r="E417" s="0" t="s">
        <v>18053</v>
      </c>
      <c r="F417" s="0" t="s">
        <v>40</v>
      </c>
      <c r="G417" s="0" t="s">
        <v>18054</v>
      </c>
    </row>
    <row r="418" customFormat="false" ht="15" hidden="false" customHeight="false" outlineLevel="0" collapsed="false">
      <c r="A418" s="0" t="n">
        <v>2655</v>
      </c>
      <c r="B418" s="0" t="n">
        <v>20585</v>
      </c>
      <c r="C418" s="0" t="s">
        <v>11347</v>
      </c>
      <c r="D418" s="0" t="s">
        <v>19</v>
      </c>
      <c r="E418" s="0" t="s">
        <v>18053</v>
      </c>
      <c r="F418" s="0" t="s">
        <v>40</v>
      </c>
      <c r="G418" s="0" t="s">
        <v>18054</v>
      </c>
    </row>
    <row r="419" customFormat="false" ht="15" hidden="false" customHeight="false" outlineLevel="0" collapsed="false">
      <c r="A419" s="0" t="n">
        <v>2656</v>
      </c>
      <c r="B419" s="0" t="n">
        <v>20583</v>
      </c>
      <c r="C419" s="0" t="s">
        <v>11350</v>
      </c>
      <c r="D419" s="0" t="s">
        <v>19</v>
      </c>
      <c r="E419" s="0" t="s">
        <v>18053</v>
      </c>
      <c r="F419" s="0" t="s">
        <v>40</v>
      </c>
      <c r="G419" s="0" t="s">
        <v>18054</v>
      </c>
    </row>
    <row r="420" customFormat="false" ht="15" hidden="false" customHeight="false" outlineLevel="0" collapsed="false">
      <c r="A420" s="0" t="n">
        <v>2657</v>
      </c>
      <c r="B420" s="0" t="n">
        <v>20584</v>
      </c>
      <c r="C420" s="0" t="s">
        <v>11354</v>
      </c>
      <c r="D420" s="0" t="s">
        <v>19</v>
      </c>
      <c r="E420" s="0" t="s">
        <v>18053</v>
      </c>
      <c r="F420" s="0" t="s">
        <v>40</v>
      </c>
      <c r="G420" s="0" t="s">
        <v>18054</v>
      </c>
    </row>
    <row r="421" customFormat="false" ht="15" hidden="false" customHeight="false" outlineLevel="0" collapsed="false">
      <c r="A421" s="0" t="n">
        <v>2659</v>
      </c>
      <c r="B421" s="0" t="n">
        <v>20587</v>
      </c>
      <c r="C421" s="0" t="s">
        <v>11361</v>
      </c>
      <c r="D421" s="0" t="s">
        <v>19</v>
      </c>
      <c r="E421" s="0" t="s">
        <v>18053</v>
      </c>
      <c r="F421" s="0" t="s">
        <v>40</v>
      </c>
      <c r="G421" s="0" t="s">
        <v>18054</v>
      </c>
    </row>
    <row r="422" customFormat="false" ht="15" hidden="false" customHeight="false" outlineLevel="0" collapsed="false">
      <c r="A422" s="0" t="n">
        <v>2661</v>
      </c>
      <c r="B422" s="0" t="n">
        <v>20588</v>
      </c>
      <c r="C422" s="0" t="s">
        <v>11368</v>
      </c>
      <c r="D422" s="0" t="s">
        <v>19</v>
      </c>
      <c r="E422" s="0" t="s">
        <v>18053</v>
      </c>
      <c r="F422" s="0" t="s">
        <v>40</v>
      </c>
      <c r="G422" s="0" t="s">
        <v>18054</v>
      </c>
    </row>
    <row r="423" customFormat="false" ht="15" hidden="false" customHeight="false" outlineLevel="0" collapsed="false">
      <c r="A423" s="0" t="n">
        <v>2662</v>
      </c>
      <c r="B423" s="0" t="n">
        <v>20589</v>
      </c>
      <c r="C423" s="0" t="s">
        <v>11371</v>
      </c>
      <c r="D423" s="0" t="s">
        <v>19</v>
      </c>
      <c r="E423" s="0" t="s">
        <v>18053</v>
      </c>
      <c r="F423" s="0" t="s">
        <v>40</v>
      </c>
      <c r="G423" s="0" t="s">
        <v>18054</v>
      </c>
    </row>
    <row r="424" customFormat="false" ht="15" hidden="false" customHeight="false" outlineLevel="0" collapsed="false">
      <c r="A424" s="0" t="n">
        <v>2663</v>
      </c>
      <c r="B424" s="0" t="n">
        <v>20596</v>
      </c>
      <c r="C424" s="0" t="s">
        <v>7188</v>
      </c>
      <c r="D424" s="0" t="s">
        <v>19</v>
      </c>
      <c r="E424" s="0" t="s">
        <v>18053</v>
      </c>
      <c r="F424" s="0" t="s">
        <v>40</v>
      </c>
      <c r="G424" s="0" t="s">
        <v>18054</v>
      </c>
    </row>
    <row r="425" customFormat="false" ht="15" hidden="false" customHeight="false" outlineLevel="0" collapsed="false">
      <c r="A425" s="0" t="n">
        <v>2664</v>
      </c>
      <c r="B425" s="0" t="n">
        <v>20597</v>
      </c>
      <c r="C425" s="0" t="s">
        <v>11375</v>
      </c>
      <c r="D425" s="0" t="s">
        <v>19</v>
      </c>
      <c r="E425" s="0" t="s">
        <v>18053</v>
      </c>
      <c r="F425" s="0" t="s">
        <v>40</v>
      </c>
      <c r="G425" s="0" t="s">
        <v>18054</v>
      </c>
    </row>
    <row r="426" customFormat="false" ht="15" hidden="false" customHeight="false" outlineLevel="0" collapsed="false">
      <c r="A426" s="0" t="n">
        <v>2665</v>
      </c>
      <c r="B426" s="0" t="n">
        <v>20598</v>
      </c>
      <c r="C426" s="0" t="s">
        <v>11378</v>
      </c>
      <c r="D426" s="0" t="s">
        <v>19</v>
      </c>
      <c r="E426" s="0" t="s">
        <v>18053</v>
      </c>
      <c r="F426" s="0" t="s">
        <v>40</v>
      </c>
      <c r="G426" s="0" t="s">
        <v>18054</v>
      </c>
    </row>
    <row r="427" customFormat="false" ht="15" hidden="false" customHeight="false" outlineLevel="0" collapsed="false">
      <c r="A427" s="0" t="n">
        <v>2665</v>
      </c>
      <c r="B427" s="0" t="n">
        <v>20598</v>
      </c>
      <c r="C427" s="0" t="s">
        <v>11378</v>
      </c>
      <c r="D427" s="0" t="s">
        <v>21</v>
      </c>
      <c r="E427" s="0" t="s">
        <v>18051</v>
      </c>
      <c r="F427" s="0" t="s">
        <v>1216</v>
      </c>
      <c r="G427" s="0" t="s">
        <v>18052</v>
      </c>
    </row>
    <row r="428" customFormat="false" ht="15" hidden="false" customHeight="false" outlineLevel="0" collapsed="false">
      <c r="A428" s="0" t="n">
        <v>2666</v>
      </c>
      <c r="B428" s="0" t="n">
        <v>20599</v>
      </c>
      <c r="C428" s="0" t="s">
        <v>11383</v>
      </c>
      <c r="D428" s="0" t="s">
        <v>19</v>
      </c>
      <c r="E428" s="0" t="s">
        <v>18053</v>
      </c>
      <c r="F428" s="0" t="s">
        <v>40</v>
      </c>
      <c r="G428" s="0" t="s">
        <v>18054</v>
      </c>
    </row>
    <row r="429" customFormat="false" ht="15" hidden="false" customHeight="false" outlineLevel="0" collapsed="false">
      <c r="A429" s="0" t="n">
        <v>2667</v>
      </c>
      <c r="B429" s="0" t="n">
        <v>20623</v>
      </c>
      <c r="C429" s="0" t="s">
        <v>11386</v>
      </c>
      <c r="D429" s="0" t="s">
        <v>19</v>
      </c>
      <c r="E429" s="0" t="s">
        <v>18053</v>
      </c>
      <c r="F429" s="0" t="s">
        <v>40</v>
      </c>
      <c r="G429" s="0" t="s">
        <v>18054</v>
      </c>
    </row>
    <row r="430" customFormat="false" ht="15" hidden="false" customHeight="false" outlineLevel="0" collapsed="false">
      <c r="A430" s="0" t="n">
        <v>2670</v>
      </c>
      <c r="B430" s="0" t="n">
        <v>20629</v>
      </c>
      <c r="C430" s="0" t="s">
        <v>11397</v>
      </c>
      <c r="D430" s="0" t="s">
        <v>19</v>
      </c>
      <c r="E430" s="0" t="s">
        <v>18053</v>
      </c>
      <c r="F430" s="0" t="s">
        <v>40</v>
      </c>
      <c r="G430" s="0" t="s">
        <v>18054</v>
      </c>
    </row>
    <row r="431" customFormat="false" ht="15" hidden="false" customHeight="false" outlineLevel="0" collapsed="false">
      <c r="A431" s="0" t="n">
        <v>2671</v>
      </c>
      <c r="B431" s="0" t="n">
        <v>20630</v>
      </c>
      <c r="C431" s="0" t="s">
        <v>11400</v>
      </c>
      <c r="D431" s="0" t="s">
        <v>19</v>
      </c>
      <c r="E431" s="0" t="s">
        <v>18053</v>
      </c>
      <c r="F431" s="0" t="s">
        <v>40</v>
      </c>
      <c r="G431" s="0" t="s">
        <v>18054</v>
      </c>
    </row>
    <row r="432" customFormat="false" ht="15" hidden="false" customHeight="false" outlineLevel="0" collapsed="false">
      <c r="A432" s="0" t="n">
        <v>2672</v>
      </c>
      <c r="B432" s="0" t="n">
        <v>20631</v>
      </c>
      <c r="C432" s="0" t="s">
        <v>11403</v>
      </c>
      <c r="D432" s="0" t="s">
        <v>19</v>
      </c>
      <c r="E432" s="0" t="s">
        <v>18053</v>
      </c>
      <c r="F432" s="0" t="s">
        <v>40</v>
      </c>
      <c r="G432" s="0" t="s">
        <v>18054</v>
      </c>
    </row>
    <row r="433" customFormat="false" ht="15" hidden="false" customHeight="false" outlineLevel="0" collapsed="false">
      <c r="A433" s="0" t="n">
        <v>2673</v>
      </c>
      <c r="B433" s="0" t="n">
        <v>20633</v>
      </c>
      <c r="C433" s="0" t="s">
        <v>11408</v>
      </c>
      <c r="D433" s="0" t="s">
        <v>19</v>
      </c>
      <c r="E433" s="0" t="s">
        <v>18053</v>
      </c>
      <c r="F433" s="0" t="s">
        <v>40</v>
      </c>
      <c r="G433" s="0" t="s">
        <v>18054</v>
      </c>
    </row>
    <row r="434" customFormat="false" ht="15" hidden="false" customHeight="false" outlineLevel="0" collapsed="false">
      <c r="A434" s="0" t="n">
        <v>2674</v>
      </c>
      <c r="B434" s="0" t="n">
        <v>20634</v>
      </c>
      <c r="C434" s="0" t="s">
        <v>11412</v>
      </c>
      <c r="D434" s="0" t="s">
        <v>19</v>
      </c>
      <c r="E434" s="0" t="s">
        <v>18053</v>
      </c>
      <c r="F434" s="0" t="s">
        <v>40</v>
      </c>
      <c r="G434" s="0" t="s">
        <v>18054</v>
      </c>
    </row>
    <row r="435" customFormat="false" ht="15" hidden="false" customHeight="false" outlineLevel="0" collapsed="false">
      <c r="A435" s="0" t="n">
        <v>2675</v>
      </c>
      <c r="B435" s="0" t="n">
        <v>20638</v>
      </c>
      <c r="C435" s="0" t="s">
        <v>11417</v>
      </c>
      <c r="D435" s="0" t="s">
        <v>19</v>
      </c>
      <c r="E435" s="0" t="s">
        <v>18053</v>
      </c>
      <c r="F435" s="0" t="s">
        <v>40</v>
      </c>
      <c r="G435" s="0" t="s">
        <v>18054</v>
      </c>
    </row>
    <row r="436" customFormat="false" ht="15" hidden="false" customHeight="false" outlineLevel="0" collapsed="false">
      <c r="A436" s="0" t="n">
        <v>2676</v>
      </c>
      <c r="B436" s="0" t="n">
        <v>20639</v>
      </c>
      <c r="C436" s="0" t="s">
        <v>11420</v>
      </c>
      <c r="D436" s="0" t="s">
        <v>19</v>
      </c>
      <c r="E436" s="0" t="s">
        <v>18053</v>
      </c>
      <c r="F436" s="0" t="s">
        <v>40</v>
      </c>
      <c r="G436" s="0" t="s">
        <v>18054</v>
      </c>
    </row>
    <row r="437" customFormat="false" ht="15" hidden="false" customHeight="false" outlineLevel="0" collapsed="false">
      <c r="A437" s="0" t="n">
        <v>2677</v>
      </c>
      <c r="B437" s="0" t="n">
        <v>20640</v>
      </c>
      <c r="C437" s="0" t="s">
        <v>3827</v>
      </c>
      <c r="D437" s="0" t="s">
        <v>19</v>
      </c>
      <c r="E437" s="0" t="s">
        <v>18053</v>
      </c>
      <c r="F437" s="0" t="s">
        <v>40</v>
      </c>
      <c r="G437" s="0" t="s">
        <v>18054</v>
      </c>
    </row>
    <row r="438" customFormat="false" ht="15" hidden="false" customHeight="false" outlineLevel="0" collapsed="false">
      <c r="A438" s="0" t="n">
        <v>2678</v>
      </c>
      <c r="B438" s="0" t="n">
        <v>20641</v>
      </c>
      <c r="C438" s="0" t="s">
        <v>11425</v>
      </c>
      <c r="D438" s="0" t="s">
        <v>19</v>
      </c>
      <c r="E438" s="0" t="s">
        <v>18053</v>
      </c>
      <c r="F438" s="0" t="s">
        <v>40</v>
      </c>
      <c r="G438" s="0" t="s">
        <v>18054</v>
      </c>
    </row>
    <row r="439" customFormat="false" ht="15" hidden="false" customHeight="false" outlineLevel="0" collapsed="false">
      <c r="A439" s="0" t="n">
        <v>2679</v>
      </c>
      <c r="B439" s="0" t="n">
        <v>20642</v>
      </c>
      <c r="C439" s="0" t="s">
        <v>11428</v>
      </c>
      <c r="D439" s="0" t="s">
        <v>19</v>
      </c>
      <c r="E439" s="0" t="s">
        <v>18053</v>
      </c>
      <c r="F439" s="0" t="s">
        <v>40</v>
      </c>
      <c r="G439" s="0" t="s">
        <v>18054</v>
      </c>
    </row>
    <row r="440" customFormat="false" ht="15" hidden="false" customHeight="false" outlineLevel="0" collapsed="false">
      <c r="A440" s="0" t="n">
        <v>2680</v>
      </c>
      <c r="B440" s="0" t="n">
        <v>20643</v>
      </c>
      <c r="C440" s="0" t="s">
        <v>11432</v>
      </c>
      <c r="D440" s="0" t="s">
        <v>19</v>
      </c>
      <c r="E440" s="0" t="s">
        <v>18053</v>
      </c>
      <c r="F440" s="0" t="s">
        <v>40</v>
      </c>
      <c r="G440" s="0" t="s">
        <v>18054</v>
      </c>
    </row>
    <row r="441" customFormat="false" ht="15" hidden="false" customHeight="false" outlineLevel="0" collapsed="false">
      <c r="A441" s="0" t="n">
        <v>2683</v>
      </c>
      <c r="B441" s="0" t="n">
        <v>20646</v>
      </c>
      <c r="C441" s="0" t="s">
        <v>11441</v>
      </c>
      <c r="D441" s="0" t="s">
        <v>19</v>
      </c>
      <c r="E441" s="0" t="s">
        <v>18053</v>
      </c>
      <c r="F441" s="0" t="s">
        <v>40</v>
      </c>
      <c r="G441" s="0" t="s">
        <v>18054</v>
      </c>
    </row>
    <row r="442" customFormat="false" ht="15" hidden="false" customHeight="false" outlineLevel="0" collapsed="false">
      <c r="A442" s="0" t="n">
        <v>2684</v>
      </c>
      <c r="B442" s="0" t="n">
        <v>20769</v>
      </c>
      <c r="C442" s="0" t="s">
        <v>11445</v>
      </c>
      <c r="D442" s="0" t="s">
        <v>19</v>
      </c>
      <c r="E442" s="0" t="s">
        <v>18053</v>
      </c>
      <c r="F442" s="0" t="s">
        <v>40</v>
      </c>
      <c r="G442" s="0" t="s">
        <v>18054</v>
      </c>
    </row>
    <row r="443" customFormat="false" ht="15" hidden="false" customHeight="false" outlineLevel="0" collapsed="false">
      <c r="A443" s="0" t="n">
        <v>2685</v>
      </c>
      <c r="B443" s="0" t="n">
        <v>20770</v>
      </c>
      <c r="C443" s="0" t="s">
        <v>11449</v>
      </c>
      <c r="D443" s="0" t="s">
        <v>19</v>
      </c>
      <c r="E443" s="0" t="s">
        <v>18053</v>
      </c>
      <c r="F443" s="0" t="s">
        <v>40</v>
      </c>
      <c r="G443" s="0" t="s">
        <v>18054</v>
      </c>
    </row>
    <row r="444" customFormat="false" ht="15" hidden="false" customHeight="false" outlineLevel="0" collapsed="false">
      <c r="A444" s="0" t="n">
        <v>2686</v>
      </c>
      <c r="B444" s="0" t="n">
        <v>20771</v>
      </c>
      <c r="C444" s="0" t="s">
        <v>11453</v>
      </c>
      <c r="D444" s="0" t="s">
        <v>19</v>
      </c>
      <c r="E444" s="0" t="s">
        <v>18053</v>
      </c>
      <c r="F444" s="0" t="s">
        <v>40</v>
      </c>
      <c r="G444" s="0" t="s">
        <v>18054</v>
      </c>
    </row>
    <row r="445" customFormat="false" ht="15" hidden="false" customHeight="false" outlineLevel="0" collapsed="false">
      <c r="A445" s="0" t="n">
        <v>2687</v>
      </c>
      <c r="B445" s="0" t="n">
        <v>20772</v>
      </c>
      <c r="C445" s="0" t="s">
        <v>11456</v>
      </c>
      <c r="D445" s="0" t="s">
        <v>19</v>
      </c>
      <c r="E445" s="0" t="s">
        <v>18053</v>
      </c>
      <c r="F445" s="0" t="s">
        <v>40</v>
      </c>
      <c r="G445" s="0" t="s">
        <v>18054</v>
      </c>
    </row>
    <row r="446" customFormat="false" ht="15" hidden="false" customHeight="false" outlineLevel="0" collapsed="false">
      <c r="A446" s="0" t="n">
        <v>2688</v>
      </c>
      <c r="B446" s="0" t="n">
        <v>20773</v>
      </c>
      <c r="C446" s="0" t="s">
        <v>11459</v>
      </c>
      <c r="D446" s="0" t="s">
        <v>19</v>
      </c>
      <c r="E446" s="0" t="s">
        <v>18053</v>
      </c>
      <c r="F446" s="0" t="s">
        <v>40</v>
      </c>
      <c r="G446" s="0" t="s">
        <v>18054</v>
      </c>
    </row>
    <row r="447" customFormat="false" ht="15" hidden="false" customHeight="false" outlineLevel="0" collapsed="false">
      <c r="A447" s="0" t="n">
        <v>2689</v>
      </c>
      <c r="B447" s="0" t="n">
        <v>20781</v>
      </c>
      <c r="C447" s="0" t="s">
        <v>11463</v>
      </c>
      <c r="D447" s="0" t="s">
        <v>19</v>
      </c>
      <c r="E447" s="0" t="s">
        <v>18053</v>
      </c>
      <c r="F447" s="0" t="s">
        <v>40</v>
      </c>
      <c r="G447" s="0" t="s">
        <v>18054</v>
      </c>
    </row>
    <row r="448" customFormat="false" ht="15" hidden="false" customHeight="false" outlineLevel="0" collapsed="false">
      <c r="A448" s="0" t="n">
        <v>2690</v>
      </c>
      <c r="B448" s="0" t="n">
        <v>20783</v>
      </c>
      <c r="C448" s="0" t="s">
        <v>11466</v>
      </c>
      <c r="D448" s="0" t="s">
        <v>19</v>
      </c>
      <c r="E448" s="0" t="s">
        <v>18053</v>
      </c>
      <c r="F448" s="0" t="s">
        <v>40</v>
      </c>
      <c r="G448" s="0" t="s">
        <v>18054</v>
      </c>
    </row>
    <row r="449" customFormat="false" ht="15" hidden="false" customHeight="false" outlineLevel="0" collapsed="false">
      <c r="A449" s="0" t="n">
        <v>2691</v>
      </c>
      <c r="B449" s="0" t="n">
        <v>20784</v>
      </c>
      <c r="C449" s="0" t="s">
        <v>11469</v>
      </c>
      <c r="D449" s="0" t="s">
        <v>19</v>
      </c>
      <c r="E449" s="0" t="s">
        <v>18053</v>
      </c>
      <c r="F449" s="0" t="s">
        <v>40</v>
      </c>
      <c r="G449" s="0" t="s">
        <v>18054</v>
      </c>
    </row>
    <row r="450" customFormat="false" ht="15" hidden="false" customHeight="false" outlineLevel="0" collapsed="false">
      <c r="A450" s="0" t="n">
        <v>2703</v>
      </c>
      <c r="B450" s="0" t="n">
        <v>20804</v>
      </c>
      <c r="C450" s="0" t="s">
        <v>11515</v>
      </c>
      <c r="D450" s="0" t="s">
        <v>19</v>
      </c>
      <c r="E450" s="0" t="s">
        <v>18053</v>
      </c>
      <c r="F450" s="0" t="s">
        <v>40</v>
      </c>
      <c r="G450" s="0" t="s">
        <v>18054</v>
      </c>
    </row>
    <row r="451" customFormat="false" ht="15" hidden="false" customHeight="false" outlineLevel="0" collapsed="false">
      <c r="A451" s="0" t="n">
        <v>2704</v>
      </c>
      <c r="B451" s="0" t="n">
        <v>20805</v>
      </c>
      <c r="C451" s="0" t="s">
        <v>11519</v>
      </c>
      <c r="D451" s="0" t="s">
        <v>19</v>
      </c>
      <c r="E451" s="0" t="s">
        <v>18053</v>
      </c>
      <c r="F451" s="0" t="s">
        <v>40</v>
      </c>
      <c r="G451" s="0" t="s">
        <v>18054</v>
      </c>
    </row>
    <row r="452" customFormat="false" ht="15" hidden="false" customHeight="false" outlineLevel="0" collapsed="false">
      <c r="A452" s="0" t="n">
        <v>2705</v>
      </c>
      <c r="B452" s="0" t="n">
        <v>20806</v>
      </c>
      <c r="C452" s="0" t="s">
        <v>11523</v>
      </c>
      <c r="D452" s="0" t="s">
        <v>19</v>
      </c>
      <c r="E452" s="0" t="s">
        <v>18053</v>
      </c>
      <c r="F452" s="0" t="s">
        <v>40</v>
      </c>
      <c r="G452" s="0" t="s">
        <v>18054</v>
      </c>
    </row>
    <row r="453" customFormat="false" ht="15" hidden="false" customHeight="false" outlineLevel="0" collapsed="false">
      <c r="A453" s="0" t="n">
        <v>2706</v>
      </c>
      <c r="B453" s="0" t="n">
        <v>20807</v>
      </c>
      <c r="C453" s="0" t="s">
        <v>11527</v>
      </c>
      <c r="D453" s="0" t="s">
        <v>19</v>
      </c>
      <c r="E453" s="0" t="s">
        <v>18053</v>
      </c>
      <c r="F453" s="0" t="s">
        <v>40</v>
      </c>
      <c r="G453" s="0" t="s">
        <v>18054</v>
      </c>
    </row>
    <row r="454" customFormat="false" ht="15" hidden="false" customHeight="false" outlineLevel="0" collapsed="false">
      <c r="A454" s="0" t="n">
        <v>2707</v>
      </c>
      <c r="B454" s="0" t="n">
        <v>20808</v>
      </c>
      <c r="C454" s="0" t="s">
        <v>11530</v>
      </c>
      <c r="D454" s="0" t="s">
        <v>19</v>
      </c>
      <c r="E454" s="0" t="s">
        <v>18053</v>
      </c>
      <c r="F454" s="0" t="s">
        <v>40</v>
      </c>
      <c r="G454" s="0" t="s">
        <v>18054</v>
      </c>
    </row>
    <row r="455" customFormat="false" ht="15" hidden="false" customHeight="false" outlineLevel="0" collapsed="false">
      <c r="A455" s="0" t="n">
        <v>2708</v>
      </c>
      <c r="B455" s="0" t="n">
        <v>20809</v>
      </c>
      <c r="C455" s="0" t="s">
        <v>11534</v>
      </c>
      <c r="D455" s="0" t="s">
        <v>19</v>
      </c>
      <c r="E455" s="0" t="s">
        <v>18053</v>
      </c>
      <c r="F455" s="0" t="s">
        <v>40</v>
      </c>
      <c r="G455" s="0" t="s">
        <v>18054</v>
      </c>
    </row>
    <row r="456" customFormat="false" ht="15" hidden="false" customHeight="false" outlineLevel="0" collapsed="false">
      <c r="A456" s="0" t="n">
        <v>2709</v>
      </c>
      <c r="B456" s="0" t="n">
        <v>20810</v>
      </c>
      <c r="C456" s="0" t="s">
        <v>11538</v>
      </c>
      <c r="D456" s="0" t="s">
        <v>19</v>
      </c>
      <c r="E456" s="0" t="s">
        <v>18053</v>
      </c>
      <c r="F456" s="0" t="s">
        <v>40</v>
      </c>
      <c r="G456" s="0" t="s">
        <v>18054</v>
      </c>
    </row>
    <row r="457" customFormat="false" ht="15" hidden="false" customHeight="false" outlineLevel="0" collapsed="false">
      <c r="A457" s="0" t="n">
        <v>2710</v>
      </c>
      <c r="B457" s="0" t="n">
        <v>20811</v>
      </c>
      <c r="C457" s="0" t="s">
        <v>11541</v>
      </c>
      <c r="D457" s="0" t="s">
        <v>19</v>
      </c>
      <c r="E457" s="0" t="s">
        <v>18053</v>
      </c>
      <c r="F457" s="0" t="s">
        <v>40</v>
      </c>
      <c r="G457" s="0" t="s">
        <v>18054</v>
      </c>
    </row>
    <row r="458" customFormat="false" ht="15" hidden="false" customHeight="false" outlineLevel="0" collapsed="false">
      <c r="A458" s="0" t="n">
        <v>2711</v>
      </c>
      <c r="B458" s="0" t="n">
        <v>20812</v>
      </c>
      <c r="C458" s="0" t="s">
        <v>11545</v>
      </c>
      <c r="D458" s="0" t="s">
        <v>19</v>
      </c>
      <c r="E458" s="0" t="s">
        <v>18053</v>
      </c>
      <c r="F458" s="0" t="s">
        <v>40</v>
      </c>
      <c r="G458" s="0" t="s">
        <v>18054</v>
      </c>
    </row>
    <row r="459" customFormat="false" ht="15" hidden="false" customHeight="false" outlineLevel="0" collapsed="false">
      <c r="A459" s="0" t="n">
        <v>2712</v>
      </c>
      <c r="B459" s="0" t="n">
        <v>20813</v>
      </c>
      <c r="C459" s="0" t="s">
        <v>11549</v>
      </c>
      <c r="D459" s="0" t="s">
        <v>19</v>
      </c>
      <c r="E459" s="0" t="s">
        <v>18053</v>
      </c>
      <c r="F459" s="0" t="s">
        <v>40</v>
      </c>
      <c r="G459" s="0" t="s">
        <v>18054</v>
      </c>
    </row>
    <row r="460" customFormat="false" ht="15" hidden="false" customHeight="false" outlineLevel="0" collapsed="false">
      <c r="A460" s="0" t="n">
        <v>2713</v>
      </c>
      <c r="B460" s="0" t="n">
        <v>20814</v>
      </c>
      <c r="C460" s="0" t="s">
        <v>11553</v>
      </c>
      <c r="D460" s="0" t="s">
        <v>19</v>
      </c>
      <c r="E460" s="0" t="s">
        <v>18053</v>
      </c>
      <c r="F460" s="0" t="s">
        <v>40</v>
      </c>
      <c r="G460" s="0" t="s">
        <v>18054</v>
      </c>
    </row>
    <row r="461" customFormat="false" ht="15" hidden="false" customHeight="false" outlineLevel="0" collapsed="false">
      <c r="A461" s="0" t="n">
        <v>2714</v>
      </c>
      <c r="B461" s="0" t="n">
        <v>20816</v>
      </c>
      <c r="C461" s="0" t="s">
        <v>11557</v>
      </c>
      <c r="D461" s="0" t="s">
        <v>19</v>
      </c>
      <c r="E461" s="0" t="s">
        <v>18053</v>
      </c>
      <c r="F461" s="0" t="s">
        <v>40</v>
      </c>
      <c r="G461" s="0" t="s">
        <v>18054</v>
      </c>
    </row>
    <row r="462" customFormat="false" ht="15" hidden="false" customHeight="false" outlineLevel="0" collapsed="false">
      <c r="A462" s="0" t="n">
        <v>2718</v>
      </c>
      <c r="B462" s="0" t="n">
        <v>20820</v>
      </c>
      <c r="C462" s="0" t="s">
        <v>11570</v>
      </c>
      <c r="D462" s="0" t="s">
        <v>19</v>
      </c>
      <c r="E462" s="0" t="s">
        <v>18053</v>
      </c>
      <c r="F462" s="0" t="s">
        <v>40</v>
      </c>
      <c r="G462" s="0" t="s">
        <v>18054</v>
      </c>
    </row>
    <row r="463" customFormat="false" ht="15" hidden="false" customHeight="false" outlineLevel="0" collapsed="false">
      <c r="A463" s="0" t="n">
        <v>2719</v>
      </c>
      <c r="B463" s="0" t="n">
        <v>20830</v>
      </c>
      <c r="C463" s="0" t="s">
        <v>11575</v>
      </c>
      <c r="D463" s="0" t="s">
        <v>19</v>
      </c>
      <c r="E463" s="0" t="s">
        <v>18053</v>
      </c>
      <c r="F463" s="0" t="s">
        <v>40</v>
      </c>
      <c r="G463" s="0" t="s">
        <v>18054</v>
      </c>
    </row>
    <row r="464" customFormat="false" ht="15" hidden="false" customHeight="false" outlineLevel="0" collapsed="false">
      <c r="A464" s="0" t="n">
        <v>2720</v>
      </c>
      <c r="B464" s="0" t="n">
        <v>20831</v>
      </c>
      <c r="C464" s="0" t="s">
        <v>11579</v>
      </c>
      <c r="D464" s="0" t="s">
        <v>19</v>
      </c>
      <c r="E464" s="0" t="s">
        <v>18053</v>
      </c>
      <c r="F464" s="0" t="s">
        <v>40</v>
      </c>
      <c r="G464" s="0" t="s">
        <v>18054</v>
      </c>
    </row>
    <row r="465" customFormat="false" ht="15" hidden="false" customHeight="false" outlineLevel="0" collapsed="false">
      <c r="A465" s="0" t="n">
        <v>2721</v>
      </c>
      <c r="B465" s="0" t="n">
        <v>20832</v>
      </c>
      <c r="C465" s="0" t="s">
        <v>11582</v>
      </c>
      <c r="D465" s="0" t="s">
        <v>19</v>
      </c>
      <c r="E465" s="0" t="s">
        <v>18053</v>
      </c>
      <c r="F465" s="0" t="s">
        <v>40</v>
      </c>
      <c r="G465" s="0" t="s">
        <v>18054</v>
      </c>
    </row>
    <row r="466" customFormat="false" ht="15" hidden="false" customHeight="false" outlineLevel="0" collapsed="false">
      <c r="A466" s="0" t="n">
        <v>2722</v>
      </c>
      <c r="B466" s="0" t="n">
        <v>20833</v>
      </c>
      <c r="C466" s="0" t="s">
        <v>11587</v>
      </c>
      <c r="D466" s="0" t="s">
        <v>19</v>
      </c>
      <c r="E466" s="0" t="s">
        <v>18053</v>
      </c>
      <c r="F466" s="0" t="s">
        <v>40</v>
      </c>
      <c r="G466" s="0" t="s">
        <v>18054</v>
      </c>
    </row>
    <row r="467" customFormat="false" ht="15" hidden="false" customHeight="false" outlineLevel="0" collapsed="false">
      <c r="A467" s="0" t="n">
        <v>2723</v>
      </c>
      <c r="B467" s="0" t="n">
        <v>20835</v>
      </c>
      <c r="C467" s="0" t="s">
        <v>11591</v>
      </c>
      <c r="D467" s="0" t="s">
        <v>19</v>
      </c>
      <c r="E467" s="0" t="s">
        <v>18053</v>
      </c>
      <c r="F467" s="0" t="s">
        <v>40</v>
      </c>
      <c r="G467" s="0" t="s">
        <v>18054</v>
      </c>
    </row>
    <row r="468" customFormat="false" ht="15" hidden="false" customHeight="false" outlineLevel="0" collapsed="false">
      <c r="A468" s="0" t="n">
        <v>2724</v>
      </c>
      <c r="B468" s="0" t="n">
        <v>20855</v>
      </c>
      <c r="C468" s="0" t="s">
        <v>11596</v>
      </c>
      <c r="D468" s="0" t="s">
        <v>19</v>
      </c>
      <c r="E468" s="0" t="s">
        <v>18053</v>
      </c>
      <c r="F468" s="0" t="s">
        <v>40</v>
      </c>
      <c r="G468" s="0" t="s">
        <v>18054</v>
      </c>
    </row>
    <row r="469" customFormat="false" ht="15" hidden="false" customHeight="false" outlineLevel="0" collapsed="false">
      <c r="A469" s="0" t="n">
        <v>2727</v>
      </c>
      <c r="B469" s="0" t="n">
        <v>20865</v>
      </c>
      <c r="C469" s="0" t="s">
        <v>11607</v>
      </c>
      <c r="D469" s="0" t="s">
        <v>19</v>
      </c>
      <c r="E469" s="0" t="s">
        <v>18053</v>
      </c>
      <c r="F469" s="0" t="s">
        <v>40</v>
      </c>
      <c r="G469" s="0" t="s">
        <v>18054</v>
      </c>
    </row>
    <row r="470" customFormat="false" ht="15" hidden="false" customHeight="false" outlineLevel="0" collapsed="false">
      <c r="A470" s="0" t="n">
        <v>2728</v>
      </c>
      <c r="B470" s="0" t="n">
        <v>20866</v>
      </c>
      <c r="C470" s="0" t="s">
        <v>11612</v>
      </c>
      <c r="D470" s="0" t="s">
        <v>19</v>
      </c>
      <c r="E470" s="0" t="s">
        <v>18053</v>
      </c>
      <c r="F470" s="0" t="s">
        <v>40</v>
      </c>
      <c r="G470" s="0" t="s">
        <v>18054</v>
      </c>
    </row>
    <row r="471" customFormat="false" ht="15" hidden="false" customHeight="false" outlineLevel="0" collapsed="false">
      <c r="A471" s="0" t="n">
        <v>2730</v>
      </c>
      <c r="B471" s="0" t="n">
        <v>20868</v>
      </c>
      <c r="C471" s="0" t="s">
        <v>11619</v>
      </c>
      <c r="D471" s="0" t="s">
        <v>19</v>
      </c>
      <c r="E471" s="0" t="s">
        <v>18053</v>
      </c>
      <c r="F471" s="0" t="s">
        <v>40</v>
      </c>
      <c r="G471" s="0" t="s">
        <v>18054</v>
      </c>
    </row>
    <row r="472" customFormat="false" ht="15" hidden="false" customHeight="false" outlineLevel="0" collapsed="false">
      <c r="A472" s="0" t="n">
        <v>2731</v>
      </c>
      <c r="B472" s="0" t="n">
        <v>20869</v>
      </c>
      <c r="C472" s="0" t="s">
        <v>11624</v>
      </c>
      <c r="D472" s="0" t="s">
        <v>19</v>
      </c>
      <c r="E472" s="0" t="s">
        <v>18053</v>
      </c>
      <c r="F472" s="0" t="s">
        <v>40</v>
      </c>
      <c r="G472" s="0" t="s">
        <v>18054</v>
      </c>
    </row>
    <row r="473" customFormat="false" ht="15" hidden="false" customHeight="false" outlineLevel="0" collapsed="false">
      <c r="A473" s="0" t="n">
        <v>2732</v>
      </c>
      <c r="B473" s="0" t="n">
        <v>20870</v>
      </c>
      <c r="C473" s="0" t="s">
        <v>11628</v>
      </c>
      <c r="D473" s="0" t="s">
        <v>19</v>
      </c>
      <c r="E473" s="0" t="s">
        <v>18053</v>
      </c>
      <c r="F473" s="0" t="s">
        <v>40</v>
      </c>
      <c r="G473" s="0" t="s">
        <v>18054</v>
      </c>
    </row>
    <row r="474" customFormat="false" ht="15" hidden="false" customHeight="false" outlineLevel="0" collapsed="false">
      <c r="A474" s="0" t="n">
        <v>2733</v>
      </c>
      <c r="B474" s="0" t="n">
        <v>20871</v>
      </c>
      <c r="C474" s="0" t="s">
        <v>11632</v>
      </c>
      <c r="D474" s="0" t="s">
        <v>19</v>
      </c>
      <c r="E474" s="0" t="s">
        <v>18053</v>
      </c>
      <c r="F474" s="0" t="s">
        <v>40</v>
      </c>
      <c r="G474" s="0" t="s">
        <v>18054</v>
      </c>
    </row>
    <row r="475" customFormat="false" ht="15" hidden="false" customHeight="false" outlineLevel="0" collapsed="false">
      <c r="A475" s="0" t="n">
        <v>2734</v>
      </c>
      <c r="B475" s="0" t="n">
        <v>20872</v>
      </c>
      <c r="C475" s="0" t="s">
        <v>11635</v>
      </c>
      <c r="D475" s="0" t="s">
        <v>19</v>
      </c>
      <c r="E475" s="0" t="s">
        <v>18053</v>
      </c>
      <c r="F475" s="0" t="s">
        <v>40</v>
      </c>
      <c r="G475" s="0" t="s">
        <v>18054</v>
      </c>
    </row>
    <row r="476" customFormat="false" ht="15" hidden="false" customHeight="false" outlineLevel="0" collapsed="false">
      <c r="A476" s="0" t="n">
        <v>2735</v>
      </c>
      <c r="B476" s="0" t="n">
        <v>20873</v>
      </c>
      <c r="C476" s="0" t="s">
        <v>11639</v>
      </c>
      <c r="D476" s="0" t="s">
        <v>19</v>
      </c>
      <c r="E476" s="0" t="s">
        <v>18053</v>
      </c>
      <c r="F476" s="0" t="s">
        <v>40</v>
      </c>
      <c r="G476" s="0" t="s">
        <v>18054</v>
      </c>
    </row>
    <row r="477" customFormat="false" ht="15" hidden="false" customHeight="false" outlineLevel="0" collapsed="false">
      <c r="A477" s="0" t="n">
        <v>2736</v>
      </c>
      <c r="B477" s="0" t="n">
        <v>20874</v>
      </c>
      <c r="C477" s="0" t="s">
        <v>11643</v>
      </c>
      <c r="D477" s="0" t="s">
        <v>19</v>
      </c>
      <c r="E477" s="0" t="s">
        <v>18053</v>
      </c>
      <c r="F477" s="0" t="s">
        <v>40</v>
      </c>
      <c r="G477" s="0" t="s">
        <v>18054</v>
      </c>
    </row>
    <row r="478" customFormat="false" ht="15" hidden="false" customHeight="false" outlineLevel="0" collapsed="false">
      <c r="A478" s="0" t="n">
        <v>2737</v>
      </c>
      <c r="B478" s="0" t="n">
        <v>20875</v>
      </c>
      <c r="C478" s="0" t="s">
        <v>11646</v>
      </c>
      <c r="D478" s="0" t="s">
        <v>19</v>
      </c>
      <c r="E478" s="0" t="s">
        <v>18053</v>
      </c>
      <c r="F478" s="0" t="s">
        <v>40</v>
      </c>
      <c r="G478" s="0" t="s">
        <v>18054</v>
      </c>
    </row>
    <row r="479" customFormat="false" ht="15" hidden="false" customHeight="false" outlineLevel="0" collapsed="false">
      <c r="A479" s="0" t="n">
        <v>2738</v>
      </c>
      <c r="B479" s="0" t="n">
        <v>20876</v>
      </c>
      <c r="C479" s="0" t="s">
        <v>7692</v>
      </c>
      <c r="D479" s="0" t="s">
        <v>19</v>
      </c>
      <c r="E479" s="0" t="s">
        <v>18053</v>
      </c>
      <c r="F479" s="0" t="s">
        <v>40</v>
      </c>
      <c r="G479" s="0" t="s">
        <v>18054</v>
      </c>
    </row>
    <row r="480" customFormat="false" ht="15" hidden="false" customHeight="false" outlineLevel="0" collapsed="false">
      <c r="A480" s="0" t="n">
        <v>2739</v>
      </c>
      <c r="B480" s="0" t="n">
        <v>20877</v>
      </c>
      <c r="C480" s="0" t="s">
        <v>11651</v>
      </c>
      <c r="D480" s="0" t="s">
        <v>19</v>
      </c>
      <c r="E480" s="0" t="s">
        <v>18053</v>
      </c>
      <c r="F480" s="0" t="s">
        <v>40</v>
      </c>
      <c r="G480" s="0" t="s">
        <v>18054</v>
      </c>
    </row>
    <row r="481" customFormat="false" ht="15" hidden="false" customHeight="false" outlineLevel="0" collapsed="false">
      <c r="A481" s="0" t="n">
        <v>2740</v>
      </c>
      <c r="B481" s="0" t="n">
        <v>20878</v>
      </c>
      <c r="C481" s="0" t="s">
        <v>11655</v>
      </c>
      <c r="D481" s="0" t="s">
        <v>19</v>
      </c>
      <c r="E481" s="0" t="s">
        <v>18053</v>
      </c>
      <c r="F481" s="0" t="s">
        <v>40</v>
      </c>
      <c r="G481" s="0" t="s">
        <v>18054</v>
      </c>
    </row>
    <row r="482" customFormat="false" ht="15" hidden="false" customHeight="false" outlineLevel="0" collapsed="false">
      <c r="A482" s="0" t="n">
        <v>2741</v>
      </c>
      <c r="B482" s="0" t="n">
        <v>20879</v>
      </c>
      <c r="C482" s="0" t="s">
        <v>11658</v>
      </c>
      <c r="D482" s="0" t="s">
        <v>19</v>
      </c>
      <c r="E482" s="0" t="s">
        <v>18053</v>
      </c>
      <c r="F482" s="0" t="s">
        <v>40</v>
      </c>
      <c r="G482" s="0" t="s">
        <v>18054</v>
      </c>
    </row>
    <row r="483" customFormat="false" ht="15" hidden="false" customHeight="false" outlineLevel="0" collapsed="false">
      <c r="A483" s="0" t="n">
        <v>2742</v>
      </c>
      <c r="B483" s="0" t="n">
        <v>20881</v>
      </c>
      <c r="C483" s="0" t="s">
        <v>11662</v>
      </c>
      <c r="D483" s="0" t="s">
        <v>19</v>
      </c>
      <c r="E483" s="0" t="s">
        <v>18053</v>
      </c>
      <c r="F483" s="0" t="s">
        <v>40</v>
      </c>
      <c r="G483" s="0" t="s">
        <v>18054</v>
      </c>
    </row>
    <row r="484" customFormat="false" ht="15" hidden="false" customHeight="false" outlineLevel="0" collapsed="false">
      <c r="A484" s="0" t="n">
        <v>2743</v>
      </c>
      <c r="B484" s="0" t="n">
        <v>20882</v>
      </c>
      <c r="C484" s="0" t="s">
        <v>11666</v>
      </c>
      <c r="D484" s="0" t="s">
        <v>19</v>
      </c>
      <c r="E484" s="0" t="s">
        <v>18053</v>
      </c>
      <c r="F484" s="0" t="s">
        <v>40</v>
      </c>
      <c r="G484" s="0" t="s">
        <v>18054</v>
      </c>
    </row>
    <row r="485" customFormat="false" ht="15" hidden="false" customHeight="false" outlineLevel="0" collapsed="false">
      <c r="A485" s="0" t="n">
        <v>2744</v>
      </c>
      <c r="B485" s="0" t="n">
        <v>20884</v>
      </c>
      <c r="C485" s="0" t="s">
        <v>11669</v>
      </c>
      <c r="D485" s="0" t="s">
        <v>19</v>
      </c>
      <c r="E485" s="0" t="s">
        <v>18053</v>
      </c>
      <c r="F485" s="0" t="s">
        <v>40</v>
      </c>
      <c r="G485" s="0" t="s">
        <v>18054</v>
      </c>
    </row>
    <row r="486" customFormat="false" ht="15" hidden="false" customHeight="false" outlineLevel="0" collapsed="false">
      <c r="A486" s="0" t="n">
        <v>2745</v>
      </c>
      <c r="B486" s="0" t="n">
        <v>20885</v>
      </c>
      <c r="C486" s="0" t="s">
        <v>11673</v>
      </c>
      <c r="D486" s="0" t="s">
        <v>19</v>
      </c>
      <c r="E486" s="0" t="s">
        <v>18053</v>
      </c>
      <c r="F486" s="0" t="s">
        <v>40</v>
      </c>
      <c r="G486" s="0" t="s">
        <v>18054</v>
      </c>
    </row>
    <row r="487" customFormat="false" ht="15" hidden="false" customHeight="false" outlineLevel="0" collapsed="false">
      <c r="A487" s="0" t="n">
        <v>2746</v>
      </c>
      <c r="B487" s="0" t="n">
        <v>20886</v>
      </c>
      <c r="C487" s="0" t="s">
        <v>11676</v>
      </c>
      <c r="D487" s="0" t="s">
        <v>19</v>
      </c>
      <c r="E487" s="0" t="s">
        <v>18053</v>
      </c>
      <c r="F487" s="0" t="s">
        <v>40</v>
      </c>
      <c r="G487" s="0" t="s">
        <v>18054</v>
      </c>
    </row>
    <row r="488" customFormat="false" ht="15" hidden="false" customHeight="false" outlineLevel="0" collapsed="false">
      <c r="A488" s="0" t="n">
        <v>2747</v>
      </c>
      <c r="B488" s="0" t="n">
        <v>20887</v>
      </c>
      <c r="C488" s="0" t="s">
        <v>11678</v>
      </c>
      <c r="D488" s="0" t="s">
        <v>19</v>
      </c>
      <c r="E488" s="0" t="s">
        <v>18053</v>
      </c>
      <c r="F488" s="0" t="s">
        <v>40</v>
      </c>
      <c r="G488" s="0" t="s">
        <v>18054</v>
      </c>
    </row>
    <row r="489" customFormat="false" ht="15" hidden="false" customHeight="false" outlineLevel="0" collapsed="false">
      <c r="A489" s="0" t="n">
        <v>2748</v>
      </c>
      <c r="B489" s="0" t="n">
        <v>20888</v>
      </c>
      <c r="C489" s="0" t="s">
        <v>11682</v>
      </c>
      <c r="D489" s="0" t="s">
        <v>19</v>
      </c>
      <c r="E489" s="0" t="s">
        <v>18053</v>
      </c>
      <c r="F489" s="0" t="s">
        <v>40</v>
      </c>
      <c r="G489" s="0" t="s">
        <v>18054</v>
      </c>
    </row>
    <row r="490" customFormat="false" ht="15" hidden="false" customHeight="false" outlineLevel="0" collapsed="false">
      <c r="A490" s="0" t="n">
        <v>2749</v>
      </c>
      <c r="B490" s="0" t="n">
        <v>20889</v>
      </c>
      <c r="C490" s="0" t="s">
        <v>11686</v>
      </c>
      <c r="D490" s="0" t="s">
        <v>19</v>
      </c>
      <c r="E490" s="0" t="s">
        <v>18053</v>
      </c>
      <c r="F490" s="0" t="s">
        <v>40</v>
      </c>
      <c r="G490" s="0" t="s">
        <v>18054</v>
      </c>
    </row>
    <row r="491" customFormat="false" ht="15" hidden="false" customHeight="false" outlineLevel="0" collapsed="false">
      <c r="A491" s="0" t="n">
        <v>2750</v>
      </c>
      <c r="B491" s="0" t="n">
        <v>20890</v>
      </c>
      <c r="C491" s="0" t="s">
        <v>11689</v>
      </c>
      <c r="D491" s="0" t="s">
        <v>19</v>
      </c>
      <c r="E491" s="0" t="s">
        <v>18053</v>
      </c>
      <c r="F491" s="0" t="s">
        <v>40</v>
      </c>
      <c r="G491" s="0" t="s">
        <v>18054</v>
      </c>
    </row>
    <row r="492" customFormat="false" ht="15" hidden="false" customHeight="false" outlineLevel="0" collapsed="false">
      <c r="A492" s="0" t="n">
        <v>2751</v>
      </c>
      <c r="B492" s="0" t="n">
        <v>20891</v>
      </c>
      <c r="C492" s="0" t="s">
        <v>11692</v>
      </c>
      <c r="D492" s="0" t="s">
        <v>19</v>
      </c>
      <c r="E492" s="0" t="s">
        <v>18053</v>
      </c>
      <c r="F492" s="0" t="s">
        <v>40</v>
      </c>
      <c r="G492" s="0" t="s">
        <v>18054</v>
      </c>
    </row>
    <row r="493" customFormat="false" ht="15" hidden="false" customHeight="false" outlineLevel="0" collapsed="false">
      <c r="A493" s="0" t="n">
        <v>2752</v>
      </c>
      <c r="B493" s="0" t="n">
        <v>20892</v>
      </c>
      <c r="C493" s="0" t="s">
        <v>2348</v>
      </c>
      <c r="D493" s="0" t="s">
        <v>19</v>
      </c>
      <c r="E493" s="0" t="s">
        <v>18053</v>
      </c>
      <c r="F493" s="0" t="s">
        <v>40</v>
      </c>
      <c r="G493" s="0" t="s">
        <v>18054</v>
      </c>
    </row>
    <row r="494" customFormat="false" ht="15" hidden="false" customHeight="false" outlineLevel="0" collapsed="false">
      <c r="A494" s="0" t="n">
        <v>2753</v>
      </c>
      <c r="B494" s="0" t="n">
        <v>20893</v>
      </c>
      <c r="C494" s="0" t="s">
        <v>11697</v>
      </c>
      <c r="D494" s="0" t="s">
        <v>19</v>
      </c>
      <c r="E494" s="0" t="s">
        <v>18053</v>
      </c>
      <c r="F494" s="0" t="s">
        <v>40</v>
      </c>
      <c r="G494" s="0" t="s">
        <v>18054</v>
      </c>
    </row>
    <row r="495" customFormat="false" ht="15" hidden="false" customHeight="false" outlineLevel="0" collapsed="false">
      <c r="A495" s="0" t="n">
        <v>2754</v>
      </c>
      <c r="B495" s="0" t="n">
        <v>20894</v>
      </c>
      <c r="C495" s="0" t="s">
        <v>11701</v>
      </c>
      <c r="D495" s="0" t="s">
        <v>19</v>
      </c>
      <c r="E495" s="0" t="s">
        <v>18053</v>
      </c>
      <c r="F495" s="0" t="s">
        <v>40</v>
      </c>
      <c r="G495" s="0" t="s">
        <v>18054</v>
      </c>
    </row>
    <row r="496" customFormat="false" ht="15" hidden="false" customHeight="false" outlineLevel="0" collapsed="false">
      <c r="A496" s="0" t="n">
        <v>2755</v>
      </c>
      <c r="B496" s="0" t="n">
        <v>20895</v>
      </c>
      <c r="C496" s="0" t="s">
        <v>11704</v>
      </c>
      <c r="D496" s="0" t="s">
        <v>19</v>
      </c>
      <c r="E496" s="0" t="s">
        <v>18053</v>
      </c>
      <c r="F496" s="0" t="s">
        <v>40</v>
      </c>
      <c r="G496" s="0" t="s">
        <v>18054</v>
      </c>
    </row>
    <row r="497" customFormat="false" ht="15" hidden="false" customHeight="false" outlineLevel="0" collapsed="false">
      <c r="A497" s="0" t="n">
        <v>2756</v>
      </c>
      <c r="B497" s="0" t="n">
        <v>20896</v>
      </c>
      <c r="C497" s="0" t="s">
        <v>11708</v>
      </c>
      <c r="D497" s="0" t="s">
        <v>19</v>
      </c>
      <c r="E497" s="0" t="s">
        <v>18053</v>
      </c>
      <c r="F497" s="0" t="s">
        <v>40</v>
      </c>
      <c r="G497" s="0" t="s">
        <v>18054</v>
      </c>
    </row>
    <row r="498" customFormat="false" ht="15" hidden="false" customHeight="false" outlineLevel="0" collapsed="false">
      <c r="A498" s="0" t="n">
        <v>2757</v>
      </c>
      <c r="B498" s="0" t="n">
        <v>20897</v>
      </c>
      <c r="C498" s="0" t="s">
        <v>11713</v>
      </c>
      <c r="D498" s="0" t="s">
        <v>19</v>
      </c>
      <c r="E498" s="0" t="s">
        <v>18053</v>
      </c>
      <c r="F498" s="0" t="s">
        <v>40</v>
      </c>
      <c r="G498" s="0" t="s">
        <v>18054</v>
      </c>
    </row>
    <row r="499" customFormat="false" ht="15" hidden="false" customHeight="false" outlineLevel="0" collapsed="false">
      <c r="A499" s="0" t="n">
        <v>2758</v>
      </c>
      <c r="B499" s="0" t="n">
        <v>20898</v>
      </c>
      <c r="C499" s="0" t="s">
        <v>11716</v>
      </c>
      <c r="D499" s="0" t="s">
        <v>19</v>
      </c>
      <c r="E499" s="0" t="s">
        <v>18053</v>
      </c>
      <c r="F499" s="0" t="s">
        <v>40</v>
      </c>
      <c r="G499" s="0" t="s">
        <v>18054</v>
      </c>
    </row>
    <row r="500" customFormat="false" ht="15" hidden="false" customHeight="false" outlineLevel="0" collapsed="false">
      <c r="A500" s="0" t="n">
        <v>2759</v>
      </c>
      <c r="B500" s="0" t="n">
        <v>20899</v>
      </c>
      <c r="C500" s="0" t="s">
        <v>11719</v>
      </c>
      <c r="D500" s="0" t="s">
        <v>19</v>
      </c>
      <c r="E500" s="0" t="s">
        <v>18053</v>
      </c>
      <c r="F500" s="0" t="s">
        <v>40</v>
      </c>
      <c r="G500" s="0" t="s">
        <v>18054</v>
      </c>
    </row>
    <row r="501" customFormat="false" ht="15" hidden="false" customHeight="false" outlineLevel="0" collapsed="false">
      <c r="A501" s="0" t="n">
        <v>2761</v>
      </c>
      <c r="B501" s="0" t="n">
        <v>20901</v>
      </c>
      <c r="C501" s="0" t="s">
        <v>11727</v>
      </c>
      <c r="D501" s="0" t="s">
        <v>19</v>
      </c>
      <c r="E501" s="0" t="s">
        <v>18053</v>
      </c>
      <c r="F501" s="0" t="s">
        <v>40</v>
      </c>
      <c r="G501" s="0" t="s">
        <v>18054</v>
      </c>
    </row>
    <row r="502" customFormat="false" ht="15" hidden="false" customHeight="false" outlineLevel="0" collapsed="false">
      <c r="A502" s="0" t="n">
        <v>2763</v>
      </c>
      <c r="B502" s="0" t="n">
        <v>20912</v>
      </c>
      <c r="C502" s="0" t="s">
        <v>11733</v>
      </c>
      <c r="D502" s="0" t="s">
        <v>19</v>
      </c>
      <c r="E502" s="0" t="s">
        <v>18053</v>
      </c>
      <c r="F502" s="0" t="s">
        <v>40</v>
      </c>
      <c r="G502" s="0" t="s">
        <v>18054</v>
      </c>
    </row>
    <row r="503" customFormat="false" ht="15" hidden="false" customHeight="false" outlineLevel="0" collapsed="false">
      <c r="A503" s="0" t="n">
        <v>2764</v>
      </c>
      <c r="B503" s="0" t="n">
        <v>20913</v>
      </c>
      <c r="C503" s="0" t="s">
        <v>11736</v>
      </c>
      <c r="D503" s="0" t="s">
        <v>19</v>
      </c>
      <c r="E503" s="0" t="s">
        <v>18053</v>
      </c>
      <c r="F503" s="0" t="s">
        <v>40</v>
      </c>
      <c r="G503" s="0" t="s">
        <v>18054</v>
      </c>
    </row>
    <row r="504" customFormat="false" ht="15" hidden="false" customHeight="false" outlineLevel="0" collapsed="false">
      <c r="A504" s="0" t="n">
        <v>2765</v>
      </c>
      <c r="B504" s="0" t="n">
        <v>20914</v>
      </c>
      <c r="C504" s="0" t="s">
        <v>11739</v>
      </c>
      <c r="D504" s="0" t="s">
        <v>19</v>
      </c>
      <c r="E504" s="0" t="s">
        <v>18053</v>
      </c>
      <c r="F504" s="0" t="s">
        <v>40</v>
      </c>
      <c r="G504" s="0" t="s">
        <v>18054</v>
      </c>
    </row>
    <row r="505" customFormat="false" ht="15" hidden="false" customHeight="false" outlineLevel="0" collapsed="false">
      <c r="A505" s="0" t="n">
        <v>2767</v>
      </c>
      <c r="B505" s="0" t="n">
        <v>20931</v>
      </c>
      <c r="C505" s="0" t="s">
        <v>11747</v>
      </c>
      <c r="D505" s="0" t="s">
        <v>19</v>
      </c>
      <c r="E505" s="0" t="s">
        <v>18053</v>
      </c>
      <c r="F505" s="0" t="s">
        <v>40</v>
      </c>
      <c r="G505" s="0" t="s">
        <v>18054</v>
      </c>
    </row>
    <row r="506" customFormat="false" ht="15" hidden="false" customHeight="false" outlineLevel="0" collapsed="false">
      <c r="A506" s="0" t="n">
        <v>2768</v>
      </c>
      <c r="B506" s="0" t="n">
        <v>20952</v>
      </c>
      <c r="C506" s="0" t="s">
        <v>11750</v>
      </c>
      <c r="D506" s="0" t="s">
        <v>19</v>
      </c>
      <c r="E506" s="0" t="s">
        <v>18053</v>
      </c>
      <c r="F506" s="0" t="s">
        <v>40</v>
      </c>
      <c r="G506" s="0" t="s">
        <v>18054</v>
      </c>
    </row>
    <row r="507" customFormat="false" ht="15" hidden="false" customHeight="false" outlineLevel="0" collapsed="false">
      <c r="A507" s="0" t="n">
        <v>2770</v>
      </c>
      <c r="B507" s="0" t="n">
        <v>20954</v>
      </c>
      <c r="C507" s="0" t="s">
        <v>11757</v>
      </c>
      <c r="D507" s="0" t="s">
        <v>19</v>
      </c>
      <c r="E507" s="0" t="s">
        <v>18053</v>
      </c>
      <c r="F507" s="0" t="s">
        <v>40</v>
      </c>
      <c r="G507" s="0" t="s">
        <v>18054</v>
      </c>
    </row>
    <row r="508" customFormat="false" ht="15" hidden="false" customHeight="false" outlineLevel="0" collapsed="false">
      <c r="A508" s="0" t="n">
        <v>2775</v>
      </c>
      <c r="B508" s="0" t="n">
        <v>20959</v>
      </c>
      <c r="C508" s="0" t="s">
        <v>11778</v>
      </c>
      <c r="D508" s="0" t="s">
        <v>19</v>
      </c>
      <c r="E508" s="0" t="s">
        <v>18053</v>
      </c>
      <c r="F508" s="0" t="s">
        <v>40</v>
      </c>
      <c r="G508" s="0" t="s">
        <v>18054</v>
      </c>
    </row>
    <row r="509" customFormat="false" ht="15" hidden="false" customHeight="false" outlineLevel="0" collapsed="false">
      <c r="A509" s="0" t="n">
        <v>2776</v>
      </c>
      <c r="B509" s="0" t="n">
        <v>20969</v>
      </c>
      <c r="C509" s="0" t="s">
        <v>11783</v>
      </c>
      <c r="D509" s="0" t="s">
        <v>19</v>
      </c>
      <c r="E509" s="0" t="s">
        <v>18053</v>
      </c>
      <c r="F509" s="0" t="s">
        <v>40</v>
      </c>
      <c r="G509" s="0" t="s">
        <v>18054</v>
      </c>
    </row>
    <row r="510" customFormat="false" ht="15" hidden="false" customHeight="false" outlineLevel="0" collapsed="false">
      <c r="A510" s="0" t="n">
        <v>2777</v>
      </c>
      <c r="B510" s="0" t="n">
        <v>20970</v>
      </c>
      <c r="C510" s="0" t="s">
        <v>11786</v>
      </c>
      <c r="D510" s="0" t="s">
        <v>19</v>
      </c>
      <c r="E510" s="0" t="s">
        <v>18053</v>
      </c>
      <c r="F510" s="0" t="s">
        <v>40</v>
      </c>
      <c r="G510" s="0" t="s">
        <v>18054</v>
      </c>
    </row>
    <row r="511" customFormat="false" ht="15" hidden="false" customHeight="false" outlineLevel="0" collapsed="false">
      <c r="A511" s="0" t="n">
        <v>2778</v>
      </c>
      <c r="B511" s="0" t="n">
        <v>20971</v>
      </c>
      <c r="C511" s="0" t="s">
        <v>11789</v>
      </c>
      <c r="D511" s="0" t="s">
        <v>19</v>
      </c>
      <c r="E511" s="0" t="s">
        <v>18053</v>
      </c>
      <c r="F511" s="0" t="s">
        <v>40</v>
      </c>
      <c r="G511" s="0" t="s">
        <v>18054</v>
      </c>
    </row>
    <row r="512" customFormat="false" ht="15" hidden="false" customHeight="false" outlineLevel="0" collapsed="false">
      <c r="A512" s="0" t="n">
        <v>2779</v>
      </c>
      <c r="B512" s="0" t="n">
        <v>20973</v>
      </c>
      <c r="C512" s="0" t="s">
        <v>11793</v>
      </c>
      <c r="D512" s="0" t="s">
        <v>19</v>
      </c>
      <c r="E512" s="0" t="s">
        <v>18053</v>
      </c>
      <c r="F512" s="0" t="s">
        <v>40</v>
      </c>
      <c r="G512" s="0" t="s">
        <v>18054</v>
      </c>
    </row>
    <row r="513" customFormat="false" ht="15" hidden="false" customHeight="false" outlineLevel="0" collapsed="false">
      <c r="A513" s="0" t="n">
        <v>2780</v>
      </c>
      <c r="B513" s="0" t="n">
        <v>20974</v>
      </c>
      <c r="C513" s="0" t="s">
        <v>11797</v>
      </c>
      <c r="D513" s="0" t="s">
        <v>19</v>
      </c>
      <c r="E513" s="0" t="s">
        <v>18053</v>
      </c>
      <c r="F513" s="0" t="s">
        <v>40</v>
      </c>
      <c r="G513" s="0" t="s">
        <v>18054</v>
      </c>
    </row>
    <row r="514" customFormat="false" ht="15" hidden="false" customHeight="false" outlineLevel="0" collapsed="false">
      <c r="A514" s="0" t="n">
        <v>2781</v>
      </c>
      <c r="B514" s="0" t="n">
        <v>20975</v>
      </c>
      <c r="C514" s="0" t="s">
        <v>11800</v>
      </c>
      <c r="D514" s="0" t="s">
        <v>19</v>
      </c>
      <c r="E514" s="0" t="s">
        <v>18053</v>
      </c>
      <c r="F514" s="0" t="s">
        <v>40</v>
      </c>
      <c r="G514" s="0" t="s">
        <v>18054</v>
      </c>
    </row>
    <row r="515" customFormat="false" ht="15" hidden="false" customHeight="false" outlineLevel="0" collapsed="false">
      <c r="A515" s="0" t="n">
        <v>2782</v>
      </c>
      <c r="B515" s="0" t="n">
        <v>20978</v>
      </c>
      <c r="C515" s="0" t="s">
        <v>11804</v>
      </c>
      <c r="D515" s="0" t="s">
        <v>19</v>
      </c>
      <c r="E515" s="0" t="s">
        <v>18053</v>
      </c>
      <c r="F515" s="0" t="s">
        <v>40</v>
      </c>
      <c r="G515" s="0" t="s">
        <v>18054</v>
      </c>
    </row>
    <row r="516" customFormat="false" ht="15" hidden="false" customHeight="false" outlineLevel="0" collapsed="false">
      <c r="A516" s="0" t="n">
        <v>2783</v>
      </c>
      <c r="B516" s="0" t="n">
        <v>20979</v>
      </c>
      <c r="C516" s="0" t="s">
        <v>11808</v>
      </c>
      <c r="D516" s="0" t="s">
        <v>19</v>
      </c>
      <c r="E516" s="0" t="s">
        <v>18053</v>
      </c>
      <c r="F516" s="0" t="s">
        <v>40</v>
      </c>
      <c r="G516" s="0" t="s">
        <v>18054</v>
      </c>
    </row>
    <row r="517" customFormat="false" ht="15" hidden="false" customHeight="false" outlineLevel="0" collapsed="false">
      <c r="A517" s="0" t="n">
        <v>2784</v>
      </c>
      <c r="B517" s="0" t="n">
        <v>20980</v>
      </c>
      <c r="C517" s="0" t="s">
        <v>11812</v>
      </c>
      <c r="D517" s="0" t="s">
        <v>19</v>
      </c>
      <c r="E517" s="0" t="s">
        <v>18053</v>
      </c>
      <c r="F517" s="0" t="s">
        <v>40</v>
      </c>
      <c r="G517" s="0" t="s">
        <v>18054</v>
      </c>
    </row>
    <row r="518" customFormat="false" ht="15" hidden="false" customHeight="false" outlineLevel="0" collapsed="false">
      <c r="A518" s="0" t="n">
        <v>2785</v>
      </c>
      <c r="B518" s="0" t="n">
        <v>20981</v>
      </c>
      <c r="C518" s="0" t="s">
        <v>11816</v>
      </c>
      <c r="D518" s="0" t="s">
        <v>19</v>
      </c>
      <c r="E518" s="0" t="s">
        <v>18053</v>
      </c>
      <c r="F518" s="0" t="s">
        <v>40</v>
      </c>
      <c r="G518" s="0" t="s">
        <v>18054</v>
      </c>
    </row>
    <row r="519" customFormat="false" ht="15" hidden="false" customHeight="false" outlineLevel="0" collapsed="false">
      <c r="A519" s="0" t="n">
        <v>2786</v>
      </c>
      <c r="B519" s="0" t="n">
        <v>20986</v>
      </c>
      <c r="C519" s="0" t="s">
        <v>11819</v>
      </c>
      <c r="D519" s="0" t="s">
        <v>19</v>
      </c>
      <c r="E519" s="0" t="s">
        <v>18053</v>
      </c>
      <c r="F519" s="0" t="s">
        <v>40</v>
      </c>
      <c r="G519" s="0" t="s">
        <v>18054</v>
      </c>
    </row>
    <row r="520" customFormat="false" ht="15" hidden="false" customHeight="false" outlineLevel="0" collapsed="false">
      <c r="A520" s="0" t="n">
        <v>2787</v>
      </c>
      <c r="B520" s="0" t="n">
        <v>20988</v>
      </c>
      <c r="C520" s="0" t="s">
        <v>11824</v>
      </c>
      <c r="D520" s="0" t="s">
        <v>19</v>
      </c>
      <c r="E520" s="0" t="s">
        <v>18053</v>
      </c>
      <c r="F520" s="0" t="s">
        <v>40</v>
      </c>
      <c r="G520" s="0" t="s">
        <v>18054</v>
      </c>
    </row>
    <row r="521" customFormat="false" ht="15" hidden="false" customHeight="false" outlineLevel="0" collapsed="false">
      <c r="A521" s="0" t="n">
        <v>2788</v>
      </c>
      <c r="B521" s="0" t="n">
        <v>20994</v>
      </c>
      <c r="C521" s="0" t="s">
        <v>11828</v>
      </c>
      <c r="D521" s="0" t="s">
        <v>19</v>
      </c>
      <c r="E521" s="0" t="s">
        <v>18053</v>
      </c>
      <c r="F521" s="0" t="s">
        <v>40</v>
      </c>
      <c r="G521" s="0" t="s">
        <v>18054</v>
      </c>
    </row>
    <row r="522" customFormat="false" ht="15" hidden="false" customHeight="false" outlineLevel="0" collapsed="false">
      <c r="A522" s="0" t="n">
        <v>2789</v>
      </c>
      <c r="B522" s="0" t="n">
        <v>20995</v>
      </c>
      <c r="C522" s="0" t="s">
        <v>11832</v>
      </c>
      <c r="D522" s="0" t="s">
        <v>19</v>
      </c>
      <c r="E522" s="0" t="s">
        <v>18053</v>
      </c>
      <c r="F522" s="0" t="s">
        <v>40</v>
      </c>
      <c r="G522" s="0" t="s">
        <v>18054</v>
      </c>
    </row>
    <row r="523" customFormat="false" ht="15" hidden="false" customHeight="false" outlineLevel="0" collapsed="false">
      <c r="A523" s="0" t="n">
        <v>2790</v>
      </c>
      <c r="B523" s="0" t="n">
        <v>20996</v>
      </c>
      <c r="C523" s="0" t="s">
        <v>11835</v>
      </c>
      <c r="D523" s="0" t="s">
        <v>19</v>
      </c>
      <c r="E523" s="0" t="s">
        <v>18053</v>
      </c>
      <c r="F523" s="0" t="s">
        <v>40</v>
      </c>
      <c r="G523" s="0" t="s">
        <v>18054</v>
      </c>
    </row>
    <row r="524" customFormat="false" ht="15" hidden="false" customHeight="false" outlineLevel="0" collapsed="false">
      <c r="A524" s="0" t="n">
        <v>2796</v>
      </c>
      <c r="B524" s="0" t="n">
        <v>21025</v>
      </c>
      <c r="C524" s="0" t="s">
        <v>11854</v>
      </c>
      <c r="D524" s="0" t="s">
        <v>19</v>
      </c>
      <c r="E524" s="0" t="s">
        <v>18053</v>
      </c>
      <c r="F524" s="0" t="s">
        <v>40</v>
      </c>
      <c r="G524" s="0" t="s">
        <v>18054</v>
      </c>
    </row>
    <row r="525" customFormat="false" ht="15" hidden="false" customHeight="false" outlineLevel="0" collapsed="false">
      <c r="A525" s="0" t="n">
        <v>2797</v>
      </c>
      <c r="B525" s="0" t="n">
        <v>21026</v>
      </c>
      <c r="C525" s="0" t="s">
        <v>11857</v>
      </c>
      <c r="D525" s="0" t="s">
        <v>19</v>
      </c>
      <c r="E525" s="0" t="s">
        <v>18053</v>
      </c>
      <c r="F525" s="0" t="s">
        <v>40</v>
      </c>
      <c r="G525" s="0" t="s">
        <v>18054</v>
      </c>
    </row>
    <row r="526" customFormat="false" ht="15" hidden="false" customHeight="false" outlineLevel="0" collapsed="false">
      <c r="A526" s="0" t="n">
        <v>2797</v>
      </c>
      <c r="B526" s="0" t="n">
        <v>21026</v>
      </c>
      <c r="C526" s="0" t="s">
        <v>11857</v>
      </c>
      <c r="D526" s="0" t="s">
        <v>21</v>
      </c>
      <c r="E526" s="0" t="s">
        <v>18051</v>
      </c>
      <c r="F526" s="0" t="s">
        <v>1216</v>
      </c>
      <c r="G526" s="0" t="s">
        <v>18052</v>
      </c>
    </row>
    <row r="527" customFormat="false" ht="15" hidden="false" customHeight="false" outlineLevel="0" collapsed="false">
      <c r="A527" s="0" t="n">
        <v>2798</v>
      </c>
      <c r="B527" s="0" t="n">
        <v>21027</v>
      </c>
      <c r="C527" s="0" t="s">
        <v>11860</v>
      </c>
      <c r="D527" s="0" t="s">
        <v>19</v>
      </c>
      <c r="E527" s="0" t="s">
        <v>18053</v>
      </c>
      <c r="F527" s="0" t="s">
        <v>40</v>
      </c>
      <c r="G527" s="0" t="s">
        <v>18054</v>
      </c>
    </row>
    <row r="528" customFormat="false" ht="15" hidden="false" customHeight="false" outlineLevel="0" collapsed="false">
      <c r="A528" s="0" t="n">
        <v>2799</v>
      </c>
      <c r="B528" s="0" t="n">
        <v>21028</v>
      </c>
      <c r="C528" s="0" t="s">
        <v>11864</v>
      </c>
      <c r="D528" s="0" t="s">
        <v>19</v>
      </c>
      <c r="E528" s="0" t="s">
        <v>18053</v>
      </c>
      <c r="F528" s="0" t="s">
        <v>40</v>
      </c>
      <c r="G528" s="0" t="s">
        <v>18054</v>
      </c>
    </row>
    <row r="529" customFormat="false" ht="15" hidden="false" customHeight="false" outlineLevel="0" collapsed="false">
      <c r="A529" s="0" t="n">
        <v>2800</v>
      </c>
      <c r="B529" s="0" t="n">
        <v>21030</v>
      </c>
      <c r="C529" s="0" t="s">
        <v>11867</v>
      </c>
      <c r="D529" s="0" t="s">
        <v>19</v>
      </c>
      <c r="E529" s="0" t="s">
        <v>18053</v>
      </c>
      <c r="F529" s="0" t="s">
        <v>40</v>
      </c>
      <c r="G529" s="0" t="s">
        <v>18054</v>
      </c>
    </row>
    <row r="530" customFormat="false" ht="15" hidden="false" customHeight="false" outlineLevel="0" collapsed="false">
      <c r="A530" s="0" t="n">
        <v>2801</v>
      </c>
      <c r="B530" s="0" t="n">
        <v>21031</v>
      </c>
      <c r="C530" s="0" t="s">
        <v>11870</v>
      </c>
      <c r="D530" s="0" t="s">
        <v>19</v>
      </c>
      <c r="E530" s="0" t="s">
        <v>18053</v>
      </c>
      <c r="F530" s="0" t="s">
        <v>40</v>
      </c>
      <c r="G530" s="0" t="s">
        <v>18054</v>
      </c>
    </row>
    <row r="531" customFormat="false" ht="15" hidden="false" customHeight="false" outlineLevel="0" collapsed="false">
      <c r="A531" s="0" t="n">
        <v>2802</v>
      </c>
      <c r="B531" s="0" t="n">
        <v>21033</v>
      </c>
      <c r="C531" s="0" t="s">
        <v>11874</v>
      </c>
      <c r="D531" s="0" t="s">
        <v>19</v>
      </c>
      <c r="E531" s="0" t="s">
        <v>18053</v>
      </c>
      <c r="F531" s="0" t="s">
        <v>40</v>
      </c>
      <c r="G531" s="0" t="s">
        <v>18054</v>
      </c>
    </row>
    <row r="532" customFormat="false" ht="15" hidden="false" customHeight="false" outlineLevel="0" collapsed="false">
      <c r="A532" s="0" t="n">
        <v>2803</v>
      </c>
      <c r="B532" s="0" t="n">
        <v>21034</v>
      </c>
      <c r="C532" s="0" t="s">
        <v>11877</v>
      </c>
      <c r="D532" s="0" t="s">
        <v>19</v>
      </c>
      <c r="E532" s="0" t="s">
        <v>18053</v>
      </c>
      <c r="F532" s="0" t="s">
        <v>40</v>
      </c>
      <c r="G532" s="0" t="s">
        <v>18054</v>
      </c>
    </row>
    <row r="533" customFormat="false" ht="15" hidden="false" customHeight="false" outlineLevel="0" collapsed="false">
      <c r="A533" s="0" t="n">
        <v>2804</v>
      </c>
      <c r="B533" s="0" t="n">
        <v>21035</v>
      </c>
      <c r="C533" s="0" t="s">
        <v>11880</v>
      </c>
      <c r="D533" s="0" t="s">
        <v>19</v>
      </c>
      <c r="E533" s="0" t="s">
        <v>18053</v>
      </c>
      <c r="F533" s="0" t="s">
        <v>40</v>
      </c>
      <c r="G533" s="0" t="s">
        <v>18054</v>
      </c>
    </row>
    <row r="534" customFormat="false" ht="15" hidden="false" customHeight="false" outlineLevel="0" collapsed="false">
      <c r="A534" s="0" t="n">
        <v>2805</v>
      </c>
      <c r="B534" s="0" t="n">
        <v>21036</v>
      </c>
      <c r="C534" s="0" t="s">
        <v>11883</v>
      </c>
      <c r="D534" s="0" t="s">
        <v>19</v>
      </c>
      <c r="E534" s="0" t="s">
        <v>18053</v>
      </c>
      <c r="F534" s="0" t="s">
        <v>40</v>
      </c>
      <c r="G534" s="0" t="s">
        <v>18054</v>
      </c>
    </row>
    <row r="535" customFormat="false" ht="15" hidden="false" customHeight="false" outlineLevel="0" collapsed="false">
      <c r="A535" s="0" t="n">
        <v>2806</v>
      </c>
      <c r="B535" s="0" t="n">
        <v>21038</v>
      </c>
      <c r="C535" s="0" t="s">
        <v>11887</v>
      </c>
      <c r="D535" s="0" t="s">
        <v>21</v>
      </c>
      <c r="E535" s="0" t="s">
        <v>18051</v>
      </c>
      <c r="F535" s="0" t="s">
        <v>1216</v>
      </c>
      <c r="G535" s="0" t="s">
        <v>18052</v>
      </c>
    </row>
    <row r="536" customFormat="false" ht="15" hidden="false" customHeight="false" outlineLevel="0" collapsed="false">
      <c r="A536" s="0" t="n">
        <v>2807</v>
      </c>
      <c r="B536" s="0" t="n">
        <v>21039</v>
      </c>
      <c r="C536" s="0" t="s">
        <v>11891</v>
      </c>
      <c r="D536" s="0" t="s">
        <v>19</v>
      </c>
      <c r="E536" s="0" t="s">
        <v>18053</v>
      </c>
      <c r="F536" s="0" t="s">
        <v>40</v>
      </c>
      <c r="G536" s="0" t="s">
        <v>18054</v>
      </c>
    </row>
    <row r="537" customFormat="false" ht="15" hidden="false" customHeight="false" outlineLevel="0" collapsed="false">
      <c r="A537" s="0" t="n">
        <v>2808</v>
      </c>
      <c r="B537" s="0" t="n">
        <v>21040</v>
      </c>
      <c r="C537" s="0" t="s">
        <v>11895</v>
      </c>
      <c r="D537" s="0" t="s">
        <v>19</v>
      </c>
      <c r="E537" s="0" t="s">
        <v>18053</v>
      </c>
      <c r="F537" s="0" t="s">
        <v>40</v>
      </c>
      <c r="G537" s="0" t="s">
        <v>18054</v>
      </c>
    </row>
    <row r="538" customFormat="false" ht="15" hidden="false" customHeight="false" outlineLevel="0" collapsed="false">
      <c r="A538" s="0" t="n">
        <v>2815</v>
      </c>
      <c r="B538" s="0" t="n">
        <v>21048</v>
      </c>
      <c r="C538" s="0" t="s">
        <v>11927</v>
      </c>
      <c r="D538" s="0" t="s">
        <v>19</v>
      </c>
      <c r="E538" s="0" t="s">
        <v>18053</v>
      </c>
      <c r="F538" s="0" t="s">
        <v>40</v>
      </c>
      <c r="G538" s="0" t="s">
        <v>18054</v>
      </c>
    </row>
    <row r="539" customFormat="false" ht="15" hidden="false" customHeight="false" outlineLevel="0" collapsed="false">
      <c r="A539" s="0" t="n">
        <v>2816</v>
      </c>
      <c r="B539" s="0" t="n">
        <v>21049</v>
      </c>
      <c r="C539" s="0" t="s">
        <v>11930</v>
      </c>
      <c r="D539" s="0" t="s">
        <v>19</v>
      </c>
      <c r="E539" s="0" t="s">
        <v>18053</v>
      </c>
      <c r="F539" s="0" t="s">
        <v>40</v>
      </c>
      <c r="G539" s="0" t="s">
        <v>18054</v>
      </c>
    </row>
    <row r="540" customFormat="false" ht="15" hidden="false" customHeight="false" outlineLevel="0" collapsed="false">
      <c r="A540" s="0" t="n">
        <v>2817</v>
      </c>
      <c r="B540" s="0" t="n">
        <v>21050</v>
      </c>
      <c r="C540" s="0" t="s">
        <v>11936</v>
      </c>
      <c r="D540" s="0" t="s">
        <v>19</v>
      </c>
      <c r="E540" s="0" t="s">
        <v>18053</v>
      </c>
      <c r="F540" s="0" t="s">
        <v>40</v>
      </c>
      <c r="G540" s="0" t="s">
        <v>18054</v>
      </c>
    </row>
    <row r="541" customFormat="false" ht="15" hidden="false" customHeight="false" outlineLevel="0" collapsed="false">
      <c r="A541" s="0" t="n">
        <v>2818</v>
      </c>
      <c r="B541" s="0" t="n">
        <v>21053</v>
      </c>
      <c r="C541" s="0" t="s">
        <v>11939</v>
      </c>
      <c r="D541" s="0" t="s">
        <v>19</v>
      </c>
      <c r="E541" s="0" t="s">
        <v>18053</v>
      </c>
      <c r="F541" s="0" t="s">
        <v>40</v>
      </c>
      <c r="G541" s="0" t="s">
        <v>18054</v>
      </c>
    </row>
    <row r="542" customFormat="false" ht="15" hidden="false" customHeight="false" outlineLevel="0" collapsed="false">
      <c r="A542" s="0" t="n">
        <v>2820</v>
      </c>
      <c r="B542" s="0" t="n">
        <v>21133</v>
      </c>
      <c r="C542" s="0" t="s">
        <v>11945</v>
      </c>
      <c r="D542" s="0" t="s">
        <v>19</v>
      </c>
      <c r="E542" s="0" t="s">
        <v>18053</v>
      </c>
      <c r="F542" s="0" t="s">
        <v>40</v>
      </c>
      <c r="G542" s="0" t="s">
        <v>18054</v>
      </c>
    </row>
    <row r="543" customFormat="false" ht="15" hidden="false" customHeight="false" outlineLevel="0" collapsed="false">
      <c r="A543" s="0" t="n">
        <v>2821</v>
      </c>
      <c r="B543" s="0" t="n">
        <v>21134</v>
      </c>
      <c r="C543" s="0" t="s">
        <v>11948</v>
      </c>
      <c r="D543" s="0" t="s">
        <v>19</v>
      </c>
      <c r="E543" s="0" t="s">
        <v>18053</v>
      </c>
      <c r="F543" s="0" t="s">
        <v>40</v>
      </c>
      <c r="G543" s="0" t="s">
        <v>18054</v>
      </c>
    </row>
    <row r="544" customFormat="false" ht="15" hidden="false" customHeight="false" outlineLevel="0" collapsed="false">
      <c r="A544" s="0" t="n">
        <v>2822</v>
      </c>
      <c r="B544" s="0" t="n">
        <v>21136</v>
      </c>
      <c r="C544" s="0" t="s">
        <v>11951</v>
      </c>
      <c r="D544" s="0" t="s">
        <v>19</v>
      </c>
      <c r="E544" s="0" t="s">
        <v>18053</v>
      </c>
      <c r="F544" s="0" t="s">
        <v>40</v>
      </c>
      <c r="G544" s="0" t="s">
        <v>18054</v>
      </c>
    </row>
    <row r="545" customFormat="false" ht="15" hidden="false" customHeight="false" outlineLevel="0" collapsed="false">
      <c r="A545" s="0" t="n">
        <v>2823</v>
      </c>
      <c r="B545" s="0" t="n">
        <v>21137</v>
      </c>
      <c r="C545" s="0" t="s">
        <v>11956</v>
      </c>
      <c r="D545" s="0" t="s">
        <v>19</v>
      </c>
      <c r="E545" s="0" t="s">
        <v>18053</v>
      </c>
      <c r="F545" s="0" t="s">
        <v>40</v>
      </c>
      <c r="G545" s="0" t="s">
        <v>18054</v>
      </c>
    </row>
    <row r="546" customFormat="false" ht="15" hidden="false" customHeight="false" outlineLevel="0" collapsed="false">
      <c r="A546" s="0" t="n">
        <v>2828</v>
      </c>
      <c r="B546" s="0" t="n">
        <v>21145</v>
      </c>
      <c r="C546" s="0" t="s">
        <v>11976</v>
      </c>
      <c r="D546" s="0" t="s">
        <v>19</v>
      </c>
      <c r="E546" s="0" t="s">
        <v>18053</v>
      </c>
      <c r="F546" s="0" t="s">
        <v>40</v>
      </c>
      <c r="G546" s="0" t="s">
        <v>18054</v>
      </c>
    </row>
    <row r="547" customFormat="false" ht="15" hidden="false" customHeight="false" outlineLevel="0" collapsed="false">
      <c r="A547" s="0" t="n">
        <v>2829</v>
      </c>
      <c r="B547" s="0" t="n">
        <v>21146</v>
      </c>
      <c r="C547" s="0" t="s">
        <v>11979</v>
      </c>
      <c r="D547" s="0" t="s">
        <v>19</v>
      </c>
      <c r="E547" s="0" t="s">
        <v>18053</v>
      </c>
      <c r="F547" s="0" t="s">
        <v>40</v>
      </c>
      <c r="G547" s="0" t="s">
        <v>18054</v>
      </c>
    </row>
    <row r="548" customFormat="false" ht="15" hidden="false" customHeight="false" outlineLevel="0" collapsed="false">
      <c r="A548" s="0" t="n">
        <v>2831</v>
      </c>
      <c r="B548" s="0" t="n">
        <v>21148</v>
      </c>
      <c r="C548" s="0" t="s">
        <v>11988</v>
      </c>
      <c r="D548" s="0" t="s">
        <v>19</v>
      </c>
      <c r="E548" s="0" t="s">
        <v>18053</v>
      </c>
      <c r="F548" s="0" t="s">
        <v>40</v>
      </c>
      <c r="G548" s="0" t="s">
        <v>18054</v>
      </c>
    </row>
    <row r="549" customFormat="false" ht="15" hidden="false" customHeight="false" outlineLevel="0" collapsed="false">
      <c r="A549" s="0" t="n">
        <v>2832</v>
      </c>
      <c r="B549" s="0" t="n">
        <v>21149</v>
      </c>
      <c r="C549" s="0" t="s">
        <v>11991</v>
      </c>
      <c r="D549" s="0" t="s">
        <v>19</v>
      </c>
      <c r="E549" s="0" t="s">
        <v>18053</v>
      </c>
      <c r="F549" s="0" t="s">
        <v>40</v>
      </c>
      <c r="G549" s="0" t="s">
        <v>18054</v>
      </c>
    </row>
    <row r="550" customFormat="false" ht="15" hidden="false" customHeight="false" outlineLevel="0" collapsed="false">
      <c r="A550" s="0" t="n">
        <v>2834</v>
      </c>
      <c r="B550" s="0" t="n">
        <v>21151</v>
      </c>
      <c r="C550" s="0" t="s">
        <v>11998</v>
      </c>
      <c r="D550" s="0" t="s">
        <v>19</v>
      </c>
      <c r="E550" s="0" t="s">
        <v>18053</v>
      </c>
      <c r="F550" s="0" t="s">
        <v>40</v>
      </c>
      <c r="G550" s="0" t="s">
        <v>18054</v>
      </c>
    </row>
    <row r="551" customFormat="false" ht="15" hidden="false" customHeight="false" outlineLevel="0" collapsed="false">
      <c r="A551" s="0" t="n">
        <v>2840</v>
      </c>
      <c r="B551" s="0" t="n">
        <v>21157</v>
      </c>
      <c r="C551" s="0" t="s">
        <v>12020</v>
      </c>
      <c r="D551" s="0" t="s">
        <v>19</v>
      </c>
      <c r="E551" s="0" t="s">
        <v>18053</v>
      </c>
      <c r="F551" s="0" t="s">
        <v>40</v>
      </c>
      <c r="G551" s="0" t="s">
        <v>18054</v>
      </c>
    </row>
    <row r="552" customFormat="false" ht="15" hidden="false" customHeight="false" outlineLevel="0" collapsed="false">
      <c r="A552" s="0" t="n">
        <v>2841</v>
      </c>
      <c r="B552" s="0" t="n">
        <v>21158</v>
      </c>
      <c r="C552" s="0" t="s">
        <v>12023</v>
      </c>
      <c r="D552" s="0" t="s">
        <v>19</v>
      </c>
      <c r="E552" s="0" t="s">
        <v>18053</v>
      </c>
      <c r="F552" s="0" t="s">
        <v>40</v>
      </c>
      <c r="G552" s="0" t="s">
        <v>18054</v>
      </c>
    </row>
    <row r="553" customFormat="false" ht="15" hidden="false" customHeight="false" outlineLevel="0" collapsed="false">
      <c r="A553" s="0" t="n">
        <v>2842</v>
      </c>
      <c r="B553" s="0" t="n">
        <v>21159</v>
      </c>
      <c r="C553" s="0" t="s">
        <v>12027</v>
      </c>
      <c r="D553" s="0" t="s">
        <v>19</v>
      </c>
      <c r="E553" s="0" t="s">
        <v>18053</v>
      </c>
      <c r="F553" s="0" t="s">
        <v>40</v>
      </c>
      <c r="G553" s="0" t="s">
        <v>18054</v>
      </c>
    </row>
    <row r="554" customFormat="false" ht="15" hidden="false" customHeight="false" outlineLevel="0" collapsed="false">
      <c r="A554" s="0" t="n">
        <v>2843</v>
      </c>
      <c r="B554" s="0" t="n">
        <v>21160</v>
      </c>
      <c r="C554" s="0" t="s">
        <v>12030</v>
      </c>
      <c r="D554" s="0" t="s">
        <v>19</v>
      </c>
      <c r="E554" s="0" t="s">
        <v>18053</v>
      </c>
      <c r="F554" s="0" t="s">
        <v>40</v>
      </c>
      <c r="G554" s="0" t="s">
        <v>18054</v>
      </c>
    </row>
    <row r="555" customFormat="false" ht="15" hidden="false" customHeight="false" outlineLevel="0" collapsed="false">
      <c r="A555" s="0" t="n">
        <v>2844</v>
      </c>
      <c r="B555" s="0" t="n">
        <v>21161</v>
      </c>
      <c r="C555" s="0" t="s">
        <v>12033</v>
      </c>
      <c r="D555" s="0" t="s">
        <v>19</v>
      </c>
      <c r="E555" s="0" t="s">
        <v>18053</v>
      </c>
      <c r="F555" s="0" t="s">
        <v>40</v>
      </c>
      <c r="G555" s="0" t="s">
        <v>18054</v>
      </c>
    </row>
    <row r="556" customFormat="false" ht="15" hidden="false" customHeight="false" outlineLevel="0" collapsed="false">
      <c r="A556" s="0" t="n">
        <v>2845</v>
      </c>
      <c r="B556" s="0" t="n">
        <v>21162</v>
      </c>
      <c r="C556" s="0" t="s">
        <v>12037</v>
      </c>
      <c r="D556" s="0" t="s">
        <v>19</v>
      </c>
      <c r="E556" s="0" t="s">
        <v>18053</v>
      </c>
      <c r="F556" s="0" t="s">
        <v>40</v>
      </c>
      <c r="G556" s="0" t="s">
        <v>18054</v>
      </c>
    </row>
    <row r="557" customFormat="false" ht="15" hidden="false" customHeight="false" outlineLevel="0" collapsed="false">
      <c r="A557" s="0" t="n">
        <v>2846</v>
      </c>
      <c r="B557" s="0" t="n">
        <v>21163</v>
      </c>
      <c r="C557" s="0" t="s">
        <v>12040</v>
      </c>
      <c r="D557" s="0" t="s">
        <v>19</v>
      </c>
      <c r="E557" s="0" t="s">
        <v>18053</v>
      </c>
      <c r="F557" s="0" t="s">
        <v>40</v>
      </c>
      <c r="G557" s="0" t="s">
        <v>18054</v>
      </c>
    </row>
    <row r="558" customFormat="false" ht="15" hidden="false" customHeight="false" outlineLevel="0" collapsed="false">
      <c r="A558" s="0" t="n">
        <v>2847</v>
      </c>
      <c r="B558" s="0" t="n">
        <v>21164</v>
      </c>
      <c r="C558" s="0" t="s">
        <v>12043</v>
      </c>
      <c r="D558" s="0" t="s">
        <v>19</v>
      </c>
      <c r="E558" s="0" t="s">
        <v>18053</v>
      </c>
      <c r="F558" s="0" t="s">
        <v>40</v>
      </c>
      <c r="G558" s="0" t="s">
        <v>18054</v>
      </c>
    </row>
    <row r="559" customFormat="false" ht="15" hidden="false" customHeight="false" outlineLevel="0" collapsed="false">
      <c r="A559" s="0" t="n">
        <v>2848</v>
      </c>
      <c r="B559" s="0" t="n">
        <v>21165</v>
      </c>
      <c r="C559" s="0" t="s">
        <v>12046</v>
      </c>
      <c r="D559" s="0" t="s">
        <v>19</v>
      </c>
      <c r="E559" s="0" t="s">
        <v>18053</v>
      </c>
      <c r="F559" s="0" t="s">
        <v>40</v>
      </c>
      <c r="G559" s="0" t="s">
        <v>18054</v>
      </c>
    </row>
    <row r="560" customFormat="false" ht="15" hidden="false" customHeight="false" outlineLevel="0" collapsed="false">
      <c r="A560" s="0" t="n">
        <v>2849</v>
      </c>
      <c r="B560" s="0" t="n">
        <v>21169</v>
      </c>
      <c r="C560" s="0" t="s">
        <v>12049</v>
      </c>
      <c r="D560" s="0" t="s">
        <v>19</v>
      </c>
      <c r="E560" s="0" t="s">
        <v>18053</v>
      </c>
      <c r="F560" s="0" t="s">
        <v>40</v>
      </c>
      <c r="G560" s="0" t="s">
        <v>18054</v>
      </c>
    </row>
    <row r="561" customFormat="false" ht="15" hidden="false" customHeight="false" outlineLevel="0" collapsed="false">
      <c r="A561" s="0" t="n">
        <v>2852</v>
      </c>
      <c r="B561" s="0" t="n">
        <v>21204</v>
      </c>
      <c r="C561" s="0" t="s">
        <v>12057</v>
      </c>
      <c r="D561" s="0" t="s">
        <v>19</v>
      </c>
      <c r="E561" s="0" t="s">
        <v>18053</v>
      </c>
      <c r="F561" s="0" t="s">
        <v>40</v>
      </c>
      <c r="G561" s="0" t="s">
        <v>18054</v>
      </c>
    </row>
    <row r="562" customFormat="false" ht="15" hidden="false" customHeight="false" outlineLevel="0" collapsed="false">
      <c r="A562" s="0" t="n">
        <v>2853</v>
      </c>
      <c r="B562" s="0" t="n">
        <v>21205</v>
      </c>
      <c r="C562" s="0" t="s">
        <v>12060</v>
      </c>
      <c r="D562" s="0" t="s">
        <v>19</v>
      </c>
      <c r="E562" s="0" t="s">
        <v>18053</v>
      </c>
      <c r="F562" s="0" t="s">
        <v>40</v>
      </c>
      <c r="G562" s="0" t="s">
        <v>18054</v>
      </c>
    </row>
    <row r="563" customFormat="false" ht="15" hidden="false" customHeight="false" outlineLevel="0" collapsed="false">
      <c r="A563" s="0" t="n">
        <v>2854</v>
      </c>
      <c r="B563" s="0" t="n">
        <v>21217</v>
      </c>
      <c r="C563" s="0" t="s">
        <v>11733</v>
      </c>
      <c r="D563" s="0" t="s">
        <v>19</v>
      </c>
      <c r="E563" s="0" t="s">
        <v>18053</v>
      </c>
      <c r="F563" s="0" t="s">
        <v>40</v>
      </c>
      <c r="G563" s="0" t="s">
        <v>18054</v>
      </c>
    </row>
    <row r="564" customFormat="false" ht="15" hidden="false" customHeight="false" outlineLevel="0" collapsed="false">
      <c r="A564" s="0" t="n">
        <v>2855</v>
      </c>
      <c r="B564" s="0" t="n">
        <v>21218</v>
      </c>
      <c r="C564" s="0" t="s">
        <v>12066</v>
      </c>
      <c r="D564" s="0" t="s">
        <v>19</v>
      </c>
      <c r="E564" s="0" t="s">
        <v>18053</v>
      </c>
      <c r="F564" s="0" t="s">
        <v>40</v>
      </c>
      <c r="G564" s="0" t="s">
        <v>18054</v>
      </c>
    </row>
    <row r="565" customFormat="false" ht="15" hidden="false" customHeight="false" outlineLevel="0" collapsed="false">
      <c r="A565" s="0" t="n">
        <v>2856</v>
      </c>
      <c r="B565" s="0" t="n">
        <v>21219</v>
      </c>
      <c r="C565" s="0" t="s">
        <v>12068</v>
      </c>
      <c r="D565" s="0" t="s">
        <v>19</v>
      </c>
      <c r="E565" s="0" t="s">
        <v>18053</v>
      </c>
      <c r="F565" s="0" t="s">
        <v>40</v>
      </c>
      <c r="G565" s="0" t="s">
        <v>18054</v>
      </c>
    </row>
    <row r="566" customFormat="false" ht="15" hidden="false" customHeight="false" outlineLevel="0" collapsed="false">
      <c r="A566" s="0" t="n">
        <v>2858</v>
      </c>
      <c r="B566" s="0" t="n">
        <v>21224</v>
      </c>
      <c r="C566" s="0" t="s">
        <v>12075</v>
      </c>
      <c r="D566" s="0" t="s">
        <v>19</v>
      </c>
      <c r="E566" s="0" t="s">
        <v>18053</v>
      </c>
      <c r="F566" s="0" t="s">
        <v>40</v>
      </c>
      <c r="G566" s="0" t="s">
        <v>18054</v>
      </c>
    </row>
    <row r="567" customFormat="false" ht="15" hidden="false" customHeight="false" outlineLevel="0" collapsed="false">
      <c r="A567" s="0" t="n">
        <v>2859</v>
      </c>
      <c r="B567" s="0" t="n">
        <v>21225</v>
      </c>
      <c r="C567" s="0" t="s">
        <v>12078</v>
      </c>
      <c r="D567" s="0" t="s">
        <v>19</v>
      </c>
      <c r="E567" s="0" t="s">
        <v>18053</v>
      </c>
      <c r="F567" s="0" t="s">
        <v>40</v>
      </c>
      <c r="G567" s="0" t="s">
        <v>18054</v>
      </c>
    </row>
    <row r="568" customFormat="false" ht="15" hidden="false" customHeight="false" outlineLevel="0" collapsed="false">
      <c r="A568" s="0" t="n">
        <v>2868</v>
      </c>
      <c r="B568" s="0" t="n">
        <v>21253</v>
      </c>
      <c r="C568" s="0" t="s">
        <v>12107</v>
      </c>
      <c r="D568" s="0" t="s">
        <v>19</v>
      </c>
      <c r="E568" s="0" t="s">
        <v>18053</v>
      </c>
      <c r="F568" s="0" t="s">
        <v>40</v>
      </c>
      <c r="G568" s="0" t="s">
        <v>18054</v>
      </c>
    </row>
    <row r="569" customFormat="false" ht="15" hidden="false" customHeight="false" outlineLevel="0" collapsed="false">
      <c r="A569" s="0" t="n">
        <v>2869</v>
      </c>
      <c r="B569" s="0" t="n">
        <v>21255</v>
      </c>
      <c r="C569" s="0" t="s">
        <v>12110</v>
      </c>
      <c r="D569" s="0" t="s">
        <v>19</v>
      </c>
      <c r="E569" s="0" t="s">
        <v>18053</v>
      </c>
      <c r="F569" s="0" t="s">
        <v>40</v>
      </c>
      <c r="G569" s="0" t="s">
        <v>18054</v>
      </c>
    </row>
    <row r="570" customFormat="false" ht="15" hidden="false" customHeight="false" outlineLevel="0" collapsed="false">
      <c r="A570" s="0" t="n">
        <v>2870</v>
      </c>
      <c r="B570" s="0" t="n">
        <v>21261</v>
      </c>
      <c r="C570" s="0" t="s">
        <v>4205</v>
      </c>
      <c r="D570" s="0" t="s">
        <v>19</v>
      </c>
      <c r="E570" s="0" t="s">
        <v>18053</v>
      </c>
      <c r="F570" s="0" t="s">
        <v>40</v>
      </c>
      <c r="G570" s="0" t="s">
        <v>18054</v>
      </c>
    </row>
    <row r="571" customFormat="false" ht="15" hidden="false" customHeight="false" outlineLevel="0" collapsed="false">
      <c r="A571" s="0" t="n">
        <v>2871</v>
      </c>
      <c r="B571" s="0" t="n">
        <v>21269</v>
      </c>
      <c r="C571" s="0" t="s">
        <v>12117</v>
      </c>
      <c r="D571" s="0" t="s">
        <v>19</v>
      </c>
      <c r="E571" s="0" t="s">
        <v>18053</v>
      </c>
      <c r="F571" s="0" t="s">
        <v>40</v>
      </c>
      <c r="G571" s="0" t="s">
        <v>18054</v>
      </c>
    </row>
    <row r="572" customFormat="false" ht="15" hidden="false" customHeight="false" outlineLevel="0" collapsed="false">
      <c r="A572" s="0" t="n">
        <v>2872</v>
      </c>
      <c r="B572" s="0" t="n">
        <v>21270</v>
      </c>
      <c r="C572" s="0" t="s">
        <v>12122</v>
      </c>
      <c r="D572" s="0" t="s">
        <v>19</v>
      </c>
      <c r="E572" s="0" t="s">
        <v>18053</v>
      </c>
      <c r="F572" s="0" t="s">
        <v>40</v>
      </c>
      <c r="G572" s="0" t="s">
        <v>18054</v>
      </c>
    </row>
    <row r="573" customFormat="false" ht="15" hidden="false" customHeight="false" outlineLevel="0" collapsed="false">
      <c r="A573" s="0" t="n">
        <v>2874</v>
      </c>
      <c r="B573" s="0" t="n">
        <v>21273</v>
      </c>
      <c r="C573" s="0" t="s">
        <v>12130</v>
      </c>
      <c r="D573" s="0" t="s">
        <v>19</v>
      </c>
      <c r="E573" s="0" t="s">
        <v>18053</v>
      </c>
      <c r="F573" s="0" t="s">
        <v>40</v>
      </c>
      <c r="G573" s="0" t="s">
        <v>18054</v>
      </c>
    </row>
    <row r="574" customFormat="false" ht="15" hidden="false" customHeight="false" outlineLevel="0" collapsed="false">
      <c r="A574" s="0" t="n">
        <v>2875</v>
      </c>
      <c r="B574" s="0" t="n">
        <v>22230</v>
      </c>
      <c r="C574" s="0" t="s">
        <v>12134</v>
      </c>
      <c r="D574" s="0" t="s">
        <v>19</v>
      </c>
      <c r="E574" s="0" t="s">
        <v>18053</v>
      </c>
      <c r="F574" s="0" t="s">
        <v>40</v>
      </c>
      <c r="G574" s="0" t="s">
        <v>18054</v>
      </c>
    </row>
    <row r="575" customFormat="false" ht="15" hidden="false" customHeight="false" outlineLevel="0" collapsed="false">
      <c r="A575" s="0" t="n">
        <v>2892</v>
      </c>
      <c r="B575" s="0" t="n">
        <v>21308</v>
      </c>
      <c r="C575" s="0" t="s">
        <v>12201</v>
      </c>
      <c r="D575" s="0" t="s">
        <v>19</v>
      </c>
      <c r="E575" s="0" t="s">
        <v>18053</v>
      </c>
      <c r="F575" s="0" t="s">
        <v>40</v>
      </c>
      <c r="G575" s="0" t="s">
        <v>18054</v>
      </c>
    </row>
    <row r="576" customFormat="false" ht="15" hidden="false" customHeight="false" outlineLevel="0" collapsed="false">
      <c r="A576" s="0" t="n">
        <v>2911</v>
      </c>
      <c r="B576" s="0" t="n">
        <v>21343</v>
      </c>
      <c r="C576" s="0" t="s">
        <v>12273</v>
      </c>
      <c r="D576" s="0" t="s">
        <v>19</v>
      </c>
      <c r="E576" s="0" t="s">
        <v>18053</v>
      </c>
      <c r="F576" s="0" t="s">
        <v>40</v>
      </c>
      <c r="G576" s="0" t="s">
        <v>18054</v>
      </c>
    </row>
    <row r="577" customFormat="false" ht="15" hidden="false" customHeight="false" outlineLevel="0" collapsed="false">
      <c r="A577" s="0" t="n">
        <v>2912</v>
      </c>
      <c r="B577" s="0" t="n">
        <v>21344</v>
      </c>
      <c r="C577" s="0" t="s">
        <v>12275</v>
      </c>
      <c r="D577" s="0" t="s">
        <v>19</v>
      </c>
      <c r="E577" s="0" t="s">
        <v>18053</v>
      </c>
      <c r="F577" s="0" t="s">
        <v>40</v>
      </c>
      <c r="G577" s="0" t="s">
        <v>18054</v>
      </c>
    </row>
    <row r="578" customFormat="false" ht="15" hidden="false" customHeight="false" outlineLevel="0" collapsed="false">
      <c r="A578" s="0" t="n">
        <v>2913</v>
      </c>
      <c r="B578" s="0" t="n">
        <v>21345</v>
      </c>
      <c r="C578" s="0" t="s">
        <v>12278</v>
      </c>
      <c r="D578" s="0" t="s">
        <v>19</v>
      </c>
      <c r="E578" s="0" t="s">
        <v>18053</v>
      </c>
      <c r="F578" s="0" t="s">
        <v>40</v>
      </c>
      <c r="G578" s="0" t="s">
        <v>18054</v>
      </c>
    </row>
    <row r="579" customFormat="false" ht="15" hidden="false" customHeight="false" outlineLevel="0" collapsed="false">
      <c r="A579" s="0" t="n">
        <v>2914</v>
      </c>
      <c r="B579" s="0" t="n">
        <v>21346</v>
      </c>
      <c r="C579" s="0" t="s">
        <v>12280</v>
      </c>
      <c r="D579" s="0" t="s">
        <v>19</v>
      </c>
      <c r="E579" s="0" t="s">
        <v>18053</v>
      </c>
      <c r="F579" s="0" t="s">
        <v>40</v>
      </c>
      <c r="G579" s="0" t="s">
        <v>18054</v>
      </c>
    </row>
    <row r="580" customFormat="false" ht="15" hidden="false" customHeight="false" outlineLevel="0" collapsed="false">
      <c r="A580" s="0" t="n">
        <v>2915</v>
      </c>
      <c r="B580" s="0" t="n">
        <v>21347</v>
      </c>
      <c r="C580" s="0" t="s">
        <v>12283</v>
      </c>
      <c r="D580" s="0" t="s">
        <v>19</v>
      </c>
      <c r="E580" s="0" t="s">
        <v>18053</v>
      </c>
      <c r="F580" s="0" t="s">
        <v>40</v>
      </c>
      <c r="G580" s="0" t="s">
        <v>18054</v>
      </c>
    </row>
    <row r="581" customFormat="false" ht="15" hidden="false" customHeight="false" outlineLevel="0" collapsed="false">
      <c r="A581" s="0" t="n">
        <v>2924</v>
      </c>
      <c r="B581" s="0" t="n">
        <v>22475</v>
      </c>
      <c r="C581" s="0" t="s">
        <v>12312</v>
      </c>
      <c r="D581" s="0" t="s">
        <v>19</v>
      </c>
      <c r="E581" s="0" t="s">
        <v>18065</v>
      </c>
      <c r="F581" s="0" t="s">
        <v>40</v>
      </c>
      <c r="G581" s="0" t="s">
        <v>18054</v>
      </c>
    </row>
    <row r="582" customFormat="false" ht="15" hidden="false" customHeight="false" outlineLevel="0" collapsed="false">
      <c r="A582" s="0" t="n">
        <v>2924</v>
      </c>
      <c r="B582" s="0" t="n">
        <v>22475</v>
      </c>
      <c r="C582" s="0" t="s">
        <v>12312</v>
      </c>
      <c r="D582" s="0" t="s">
        <v>21</v>
      </c>
      <c r="E582" s="0" t="s">
        <v>18062</v>
      </c>
      <c r="F582" s="0" t="s">
        <v>42</v>
      </c>
      <c r="G582" s="0" t="s">
        <v>18052</v>
      </c>
    </row>
    <row r="583" customFormat="false" ht="15" hidden="false" customHeight="false" outlineLevel="0" collapsed="false">
      <c r="A583" s="0" t="n">
        <v>2924</v>
      </c>
      <c r="B583" s="0" t="n">
        <v>22475</v>
      </c>
      <c r="C583" s="0" t="s">
        <v>12312</v>
      </c>
      <c r="D583" s="0" t="s">
        <v>22</v>
      </c>
      <c r="E583" s="0" t="s">
        <v>18066</v>
      </c>
      <c r="F583" s="0" t="s">
        <v>43</v>
      </c>
      <c r="G583" s="0" t="s">
        <v>18054</v>
      </c>
    </row>
    <row r="584" customFormat="false" ht="15" hidden="false" customHeight="false" outlineLevel="0" collapsed="false">
      <c r="A584" s="0" t="n">
        <v>2925</v>
      </c>
      <c r="B584" s="0" t="n">
        <v>22558</v>
      </c>
      <c r="C584" s="0" t="s">
        <v>12318</v>
      </c>
      <c r="D584" s="0" t="s">
        <v>19</v>
      </c>
      <c r="E584" s="0" t="s">
        <v>18053</v>
      </c>
      <c r="F584" s="0" t="s">
        <v>40</v>
      </c>
      <c r="G584" s="0" t="s">
        <v>18054</v>
      </c>
    </row>
    <row r="585" customFormat="false" ht="15" hidden="false" customHeight="false" outlineLevel="0" collapsed="false">
      <c r="A585" s="0" t="n">
        <v>2926</v>
      </c>
      <c r="B585" s="0" t="n">
        <v>21376</v>
      </c>
      <c r="C585" s="0" t="s">
        <v>12322</v>
      </c>
      <c r="D585" s="0" t="s">
        <v>19</v>
      </c>
      <c r="E585" s="0" t="s">
        <v>18053</v>
      </c>
      <c r="F585" s="0" t="s">
        <v>40</v>
      </c>
      <c r="G585" s="0" t="s">
        <v>18054</v>
      </c>
    </row>
    <row r="586" customFormat="false" ht="15" hidden="false" customHeight="false" outlineLevel="0" collapsed="false">
      <c r="A586" s="0" t="n">
        <v>2926</v>
      </c>
      <c r="B586" s="0" t="n">
        <v>21376</v>
      </c>
      <c r="C586" s="0" t="s">
        <v>12322</v>
      </c>
      <c r="D586" s="0" t="s">
        <v>21</v>
      </c>
      <c r="E586" s="0" t="s">
        <v>18051</v>
      </c>
      <c r="F586" s="0" t="s">
        <v>1216</v>
      </c>
      <c r="G586" s="0" t="s">
        <v>18052</v>
      </c>
    </row>
    <row r="587" customFormat="false" ht="15" hidden="false" customHeight="false" outlineLevel="0" collapsed="false">
      <c r="A587" s="0" t="n">
        <v>2927</v>
      </c>
      <c r="B587" s="0" t="n">
        <v>21383</v>
      </c>
      <c r="C587" s="0" t="s">
        <v>12325</v>
      </c>
      <c r="D587" s="0" t="s">
        <v>19</v>
      </c>
      <c r="E587" s="0" t="s">
        <v>18053</v>
      </c>
      <c r="F587" s="0" t="s">
        <v>40</v>
      </c>
      <c r="G587" s="0" t="s">
        <v>18054</v>
      </c>
    </row>
    <row r="588" customFormat="false" ht="15" hidden="false" customHeight="false" outlineLevel="0" collapsed="false">
      <c r="A588" s="0" t="n">
        <v>2933</v>
      </c>
      <c r="B588" s="0" t="n">
        <v>21416</v>
      </c>
      <c r="C588" s="0" t="s">
        <v>12346</v>
      </c>
      <c r="D588" s="0" t="s">
        <v>21</v>
      </c>
      <c r="E588" s="0" t="s">
        <v>18051</v>
      </c>
      <c r="F588" s="0" t="s">
        <v>1216</v>
      </c>
      <c r="G588" s="0" t="s">
        <v>18052</v>
      </c>
    </row>
    <row r="589" customFormat="false" ht="15" hidden="false" customHeight="false" outlineLevel="0" collapsed="false">
      <c r="A589" s="0" t="n">
        <v>2938</v>
      </c>
      <c r="B589" s="0" t="n">
        <v>21431</v>
      </c>
      <c r="C589" s="0" t="s">
        <v>12363</v>
      </c>
      <c r="D589" s="0" t="s">
        <v>19</v>
      </c>
      <c r="E589" s="0" t="s">
        <v>18053</v>
      </c>
      <c r="F589" s="0" t="s">
        <v>40</v>
      </c>
      <c r="G589" s="0" t="s">
        <v>18054</v>
      </c>
    </row>
    <row r="590" customFormat="false" ht="15" hidden="false" customHeight="false" outlineLevel="0" collapsed="false">
      <c r="A590" s="0" t="n">
        <v>2939</v>
      </c>
      <c r="B590" s="0" t="n">
        <v>21432</v>
      </c>
      <c r="C590" s="0" t="s">
        <v>12367</v>
      </c>
      <c r="D590" s="0" t="s">
        <v>19</v>
      </c>
      <c r="E590" s="0" t="s">
        <v>18053</v>
      </c>
      <c r="F590" s="0" t="s">
        <v>40</v>
      </c>
      <c r="G590" s="0" t="s">
        <v>18054</v>
      </c>
    </row>
    <row r="591" customFormat="false" ht="15" hidden="false" customHeight="false" outlineLevel="0" collapsed="false">
      <c r="A591" s="0" t="n">
        <v>2940</v>
      </c>
      <c r="B591" s="0" t="n">
        <v>21434</v>
      </c>
      <c r="C591" s="0" t="s">
        <v>12371</v>
      </c>
      <c r="D591" s="0" t="s">
        <v>19</v>
      </c>
      <c r="E591" s="0" t="s">
        <v>18053</v>
      </c>
      <c r="F591" s="0" t="s">
        <v>40</v>
      </c>
      <c r="G591" s="0" t="s">
        <v>18054</v>
      </c>
    </row>
    <row r="592" customFormat="false" ht="15" hidden="false" customHeight="false" outlineLevel="0" collapsed="false">
      <c r="A592" s="0" t="n">
        <v>2943</v>
      </c>
      <c r="B592" s="0" t="n">
        <v>21447</v>
      </c>
      <c r="C592" s="0" t="s">
        <v>12380</v>
      </c>
      <c r="D592" s="0" t="s">
        <v>19</v>
      </c>
      <c r="E592" s="0" t="s">
        <v>18053</v>
      </c>
      <c r="F592" s="0" t="s">
        <v>40</v>
      </c>
      <c r="G592" s="0" t="s">
        <v>18054</v>
      </c>
    </row>
    <row r="593" customFormat="false" ht="15" hidden="false" customHeight="false" outlineLevel="0" collapsed="false">
      <c r="A593" s="0" t="n">
        <v>2954</v>
      </c>
      <c r="B593" s="0" t="n">
        <v>21465</v>
      </c>
      <c r="C593" s="0" t="s">
        <v>12418</v>
      </c>
      <c r="D593" s="0" t="s">
        <v>19</v>
      </c>
      <c r="E593" s="0" t="s">
        <v>18053</v>
      </c>
      <c r="F593" s="0" t="s">
        <v>40</v>
      </c>
      <c r="G593" s="0" t="s">
        <v>18054</v>
      </c>
    </row>
    <row r="594" customFormat="false" ht="15" hidden="false" customHeight="false" outlineLevel="0" collapsed="false">
      <c r="A594" s="0" t="n">
        <v>2959</v>
      </c>
      <c r="B594" s="0" t="n">
        <v>22477</v>
      </c>
      <c r="C594" s="0" t="s">
        <v>12441</v>
      </c>
      <c r="D594" s="0" t="s">
        <v>21</v>
      </c>
      <c r="E594" s="0" t="s">
        <v>18062</v>
      </c>
      <c r="F594" s="0" t="s">
        <v>42</v>
      </c>
      <c r="G594" s="0" t="s">
        <v>18052</v>
      </c>
    </row>
    <row r="595" customFormat="false" ht="15" hidden="false" customHeight="false" outlineLevel="0" collapsed="false">
      <c r="A595" s="0" t="n">
        <v>2960</v>
      </c>
      <c r="B595" s="0" t="n">
        <v>21471</v>
      </c>
      <c r="C595" s="0" t="s">
        <v>12447</v>
      </c>
      <c r="D595" s="0" t="s">
        <v>19</v>
      </c>
      <c r="E595" s="0" t="s">
        <v>18053</v>
      </c>
      <c r="F595" s="0" t="s">
        <v>40</v>
      </c>
      <c r="G595" s="0" t="s">
        <v>18054</v>
      </c>
    </row>
    <row r="596" customFormat="false" ht="15" hidden="false" customHeight="false" outlineLevel="0" collapsed="false">
      <c r="A596" s="0" t="n">
        <v>2961</v>
      </c>
      <c r="B596" s="0" t="n">
        <v>21472</v>
      </c>
      <c r="C596" s="0" t="s">
        <v>12450</v>
      </c>
      <c r="D596" s="0" t="s">
        <v>19</v>
      </c>
      <c r="E596" s="0" t="s">
        <v>18053</v>
      </c>
      <c r="F596" s="0" t="s">
        <v>40</v>
      </c>
      <c r="G596" s="0" t="s">
        <v>18054</v>
      </c>
    </row>
    <row r="597" customFormat="false" ht="15" hidden="false" customHeight="false" outlineLevel="0" collapsed="false">
      <c r="A597" s="0" t="n">
        <v>2962</v>
      </c>
      <c r="B597" s="0" t="n">
        <v>21473</v>
      </c>
      <c r="C597" s="0" t="s">
        <v>12453</v>
      </c>
      <c r="D597" s="0" t="s">
        <v>19</v>
      </c>
      <c r="E597" s="0" t="s">
        <v>18053</v>
      </c>
      <c r="F597" s="0" t="s">
        <v>40</v>
      </c>
      <c r="G597" s="0" t="s">
        <v>18054</v>
      </c>
    </row>
    <row r="598" customFormat="false" ht="15" hidden="false" customHeight="false" outlineLevel="0" collapsed="false">
      <c r="A598" s="0" t="n">
        <v>2973</v>
      </c>
      <c r="B598" s="0" t="n">
        <v>21500</v>
      </c>
      <c r="C598" s="0" t="s">
        <v>12492</v>
      </c>
      <c r="D598" s="0" t="s">
        <v>21</v>
      </c>
      <c r="E598" s="0" t="s">
        <v>18051</v>
      </c>
      <c r="F598" s="0" t="s">
        <v>1216</v>
      </c>
      <c r="G598" s="0" t="s">
        <v>18052</v>
      </c>
    </row>
    <row r="599" customFormat="false" ht="15" hidden="false" customHeight="false" outlineLevel="0" collapsed="false">
      <c r="A599" s="0" t="n">
        <v>2991</v>
      </c>
      <c r="B599" s="0" t="n">
        <v>21529</v>
      </c>
      <c r="C599" s="0" t="s">
        <v>12546</v>
      </c>
      <c r="D599" s="0" t="s">
        <v>19</v>
      </c>
      <c r="E599" s="0" t="s">
        <v>18053</v>
      </c>
      <c r="F599" s="0" t="s">
        <v>40</v>
      </c>
      <c r="G599" s="0" t="s">
        <v>18054</v>
      </c>
    </row>
    <row r="600" customFormat="false" ht="15" hidden="false" customHeight="false" outlineLevel="0" collapsed="false">
      <c r="A600" s="0" t="n">
        <v>2992</v>
      </c>
      <c r="B600" s="0" t="n">
        <v>21535</v>
      </c>
      <c r="C600" s="0" t="s">
        <v>12551</v>
      </c>
      <c r="D600" s="0" t="s">
        <v>19</v>
      </c>
      <c r="E600" s="0" t="s">
        <v>18053</v>
      </c>
      <c r="F600" s="0" t="s">
        <v>40</v>
      </c>
      <c r="G600" s="0" t="s">
        <v>18054</v>
      </c>
    </row>
    <row r="601" customFormat="false" ht="15" hidden="false" customHeight="false" outlineLevel="0" collapsed="false">
      <c r="A601" s="0" t="n">
        <v>2995</v>
      </c>
      <c r="B601" s="0" t="n">
        <v>21538</v>
      </c>
      <c r="C601" s="0" t="s">
        <v>12562</v>
      </c>
      <c r="D601" s="0" t="s">
        <v>19</v>
      </c>
      <c r="E601" s="0" t="s">
        <v>18053</v>
      </c>
      <c r="F601" s="0" t="s">
        <v>40</v>
      </c>
      <c r="G601" s="0" t="s">
        <v>18054</v>
      </c>
    </row>
    <row r="602" customFormat="false" ht="15" hidden="false" customHeight="false" outlineLevel="0" collapsed="false">
      <c r="A602" s="0" t="n">
        <v>2996</v>
      </c>
      <c r="B602" s="0" t="n">
        <v>21539</v>
      </c>
      <c r="C602" s="0" t="s">
        <v>12566</v>
      </c>
      <c r="D602" s="0" t="s">
        <v>19</v>
      </c>
      <c r="E602" s="0" t="s">
        <v>18053</v>
      </c>
      <c r="F602" s="0" t="s">
        <v>40</v>
      </c>
      <c r="G602" s="0" t="s">
        <v>18054</v>
      </c>
    </row>
    <row r="603" customFormat="false" ht="15" hidden="false" customHeight="false" outlineLevel="0" collapsed="false">
      <c r="A603" s="0" t="n">
        <v>2997</v>
      </c>
      <c r="B603" s="0" t="n">
        <v>21540</v>
      </c>
      <c r="C603" s="0" t="s">
        <v>12569</v>
      </c>
      <c r="D603" s="0" t="s">
        <v>19</v>
      </c>
      <c r="E603" s="0" t="s">
        <v>18053</v>
      </c>
      <c r="F603" s="0" t="s">
        <v>40</v>
      </c>
      <c r="G603" s="0" t="s">
        <v>18054</v>
      </c>
    </row>
    <row r="604" customFormat="false" ht="15" hidden="false" customHeight="false" outlineLevel="0" collapsed="false">
      <c r="A604" s="0" t="n">
        <v>2998</v>
      </c>
      <c r="B604" s="0" t="n">
        <v>21541</v>
      </c>
      <c r="C604" s="0" t="s">
        <v>12572</v>
      </c>
      <c r="D604" s="0" t="s">
        <v>19</v>
      </c>
      <c r="E604" s="0" t="s">
        <v>18053</v>
      </c>
      <c r="F604" s="0" t="s">
        <v>40</v>
      </c>
      <c r="G604" s="0" t="s">
        <v>18054</v>
      </c>
    </row>
    <row r="605" customFormat="false" ht="15" hidden="false" customHeight="false" outlineLevel="0" collapsed="false">
      <c r="A605" s="0" t="n">
        <v>2999</v>
      </c>
      <c r="B605" s="0" t="n">
        <v>21542</v>
      </c>
      <c r="C605" s="0" t="s">
        <v>12576</v>
      </c>
      <c r="D605" s="0" t="s">
        <v>19</v>
      </c>
      <c r="E605" s="0" t="s">
        <v>18053</v>
      </c>
      <c r="F605" s="0" t="s">
        <v>40</v>
      </c>
      <c r="G605" s="0" t="s">
        <v>18054</v>
      </c>
    </row>
    <row r="606" customFormat="false" ht="15" hidden="false" customHeight="false" outlineLevel="0" collapsed="false">
      <c r="A606" s="0" t="n">
        <v>3000</v>
      </c>
      <c r="B606" s="0" t="n">
        <v>21543</v>
      </c>
      <c r="C606" s="0" t="s">
        <v>12581</v>
      </c>
      <c r="D606" s="0" t="s">
        <v>19</v>
      </c>
      <c r="E606" s="0" t="s">
        <v>18053</v>
      </c>
      <c r="F606" s="0" t="s">
        <v>40</v>
      </c>
      <c r="G606" s="0" t="s">
        <v>18054</v>
      </c>
    </row>
    <row r="607" customFormat="false" ht="15" hidden="false" customHeight="false" outlineLevel="0" collapsed="false">
      <c r="A607" s="0" t="n">
        <v>3001</v>
      </c>
      <c r="B607" s="0" t="n">
        <v>21544</v>
      </c>
      <c r="C607" s="0" t="s">
        <v>12585</v>
      </c>
      <c r="D607" s="0" t="s">
        <v>19</v>
      </c>
      <c r="E607" s="0" t="s">
        <v>18053</v>
      </c>
      <c r="F607" s="0" t="s">
        <v>40</v>
      </c>
      <c r="G607" s="0" t="s">
        <v>18054</v>
      </c>
    </row>
    <row r="608" customFormat="false" ht="15" hidden="false" customHeight="false" outlineLevel="0" collapsed="false">
      <c r="A608" s="0" t="n">
        <v>3002</v>
      </c>
      <c r="B608" s="0" t="n">
        <v>21545</v>
      </c>
      <c r="C608" s="0" t="s">
        <v>9430</v>
      </c>
      <c r="D608" s="0" t="s">
        <v>19</v>
      </c>
      <c r="E608" s="0" t="s">
        <v>18053</v>
      </c>
      <c r="F608" s="0" t="s">
        <v>40</v>
      </c>
      <c r="G608" s="0" t="s">
        <v>18054</v>
      </c>
    </row>
    <row r="609" customFormat="false" ht="15" hidden="false" customHeight="false" outlineLevel="0" collapsed="false">
      <c r="A609" s="0" t="n">
        <v>3003</v>
      </c>
      <c r="B609" s="0" t="n">
        <v>21546</v>
      </c>
      <c r="C609" s="0" t="s">
        <v>7637</v>
      </c>
      <c r="D609" s="0" t="s">
        <v>19</v>
      </c>
      <c r="E609" s="0" t="s">
        <v>18053</v>
      </c>
      <c r="F609" s="0" t="s">
        <v>40</v>
      </c>
      <c r="G609" s="0" t="s">
        <v>18054</v>
      </c>
    </row>
    <row r="610" customFormat="false" ht="15" hidden="false" customHeight="false" outlineLevel="0" collapsed="false">
      <c r="A610" s="0" t="n">
        <v>3006</v>
      </c>
      <c r="B610" s="0" t="n">
        <v>21561</v>
      </c>
      <c r="C610" s="0" t="s">
        <v>12604</v>
      </c>
      <c r="D610" s="0" t="s">
        <v>19</v>
      </c>
      <c r="E610" s="0" t="s">
        <v>18053</v>
      </c>
      <c r="F610" s="0" t="s">
        <v>40</v>
      </c>
      <c r="G610" s="0" t="s">
        <v>18054</v>
      </c>
    </row>
    <row r="611" customFormat="false" ht="15" hidden="false" customHeight="false" outlineLevel="0" collapsed="false">
      <c r="A611" s="0" t="n">
        <v>3007</v>
      </c>
      <c r="B611" s="0" t="n">
        <v>21562</v>
      </c>
      <c r="C611" s="0" t="s">
        <v>12607</v>
      </c>
      <c r="D611" s="0" t="s">
        <v>19</v>
      </c>
      <c r="E611" s="0" t="s">
        <v>18053</v>
      </c>
      <c r="F611" s="0" t="s">
        <v>40</v>
      </c>
      <c r="G611" s="0" t="s">
        <v>18054</v>
      </c>
    </row>
    <row r="612" customFormat="false" ht="15" hidden="false" customHeight="false" outlineLevel="0" collapsed="false">
      <c r="A612" s="0" t="n">
        <v>3008</v>
      </c>
      <c r="B612" s="0" t="n">
        <v>21563</v>
      </c>
      <c r="C612" s="0" t="s">
        <v>12610</v>
      </c>
      <c r="D612" s="0" t="s">
        <v>19</v>
      </c>
      <c r="E612" s="0" t="s">
        <v>18053</v>
      </c>
      <c r="F612" s="0" t="s">
        <v>40</v>
      </c>
      <c r="G612" s="0" t="s">
        <v>18054</v>
      </c>
    </row>
    <row r="613" customFormat="false" ht="15" hidden="false" customHeight="false" outlineLevel="0" collapsed="false">
      <c r="A613" s="0" t="n">
        <v>3009</v>
      </c>
      <c r="B613" s="0" t="n">
        <v>21564</v>
      </c>
      <c r="C613" s="0" t="s">
        <v>12613</v>
      </c>
      <c r="D613" s="0" t="s">
        <v>19</v>
      </c>
      <c r="E613" s="0" t="s">
        <v>18053</v>
      </c>
      <c r="F613" s="0" t="s">
        <v>40</v>
      </c>
      <c r="G613" s="0" t="s">
        <v>18054</v>
      </c>
    </row>
    <row r="614" customFormat="false" ht="15" hidden="false" customHeight="false" outlineLevel="0" collapsed="false">
      <c r="A614" s="0" t="n">
        <v>3010</v>
      </c>
      <c r="B614" s="0" t="n">
        <v>21566</v>
      </c>
      <c r="C614" s="0" t="s">
        <v>12616</v>
      </c>
      <c r="D614" s="0" t="s">
        <v>19</v>
      </c>
      <c r="E614" s="0" t="s">
        <v>18053</v>
      </c>
      <c r="F614" s="0" t="s">
        <v>40</v>
      </c>
      <c r="G614" s="0" t="s">
        <v>18054</v>
      </c>
    </row>
    <row r="615" customFormat="false" ht="15" hidden="false" customHeight="false" outlineLevel="0" collapsed="false">
      <c r="A615" s="0" t="n">
        <v>3011</v>
      </c>
      <c r="B615" s="0" t="n">
        <v>21567</v>
      </c>
      <c r="C615" s="0" t="s">
        <v>12619</v>
      </c>
      <c r="D615" s="0" t="s">
        <v>19</v>
      </c>
      <c r="E615" s="0" t="s">
        <v>18053</v>
      </c>
      <c r="F615" s="0" t="s">
        <v>40</v>
      </c>
      <c r="G615" s="0" t="s">
        <v>18054</v>
      </c>
    </row>
    <row r="616" customFormat="false" ht="15" hidden="false" customHeight="false" outlineLevel="0" collapsed="false">
      <c r="A616" s="0" t="n">
        <v>3030</v>
      </c>
      <c r="B616" s="0" t="n">
        <v>21588</v>
      </c>
      <c r="C616" s="0" t="s">
        <v>12684</v>
      </c>
      <c r="D616" s="0" t="s">
        <v>19</v>
      </c>
      <c r="E616" s="0" t="s">
        <v>18053</v>
      </c>
      <c r="F616" s="0" t="s">
        <v>40</v>
      </c>
      <c r="G616" s="0" t="s">
        <v>18054</v>
      </c>
    </row>
    <row r="617" customFormat="false" ht="15" hidden="false" customHeight="false" outlineLevel="0" collapsed="false">
      <c r="A617" s="0" t="n">
        <v>3031</v>
      </c>
      <c r="B617" s="0" t="n">
        <v>21589</v>
      </c>
      <c r="C617" s="0" t="s">
        <v>12687</v>
      </c>
      <c r="D617" s="0" t="s">
        <v>19</v>
      </c>
      <c r="E617" s="0" t="s">
        <v>18053</v>
      </c>
      <c r="F617" s="0" t="s">
        <v>40</v>
      </c>
      <c r="G617" s="0" t="s">
        <v>18054</v>
      </c>
    </row>
    <row r="618" customFormat="false" ht="15" hidden="false" customHeight="false" outlineLevel="0" collapsed="false">
      <c r="A618" s="0" t="n">
        <v>3032</v>
      </c>
      <c r="B618" s="0" t="n">
        <v>21590</v>
      </c>
      <c r="C618" s="0" t="s">
        <v>12691</v>
      </c>
      <c r="D618" s="0" t="s">
        <v>19</v>
      </c>
      <c r="E618" s="0" t="s">
        <v>18053</v>
      </c>
      <c r="F618" s="0" t="s">
        <v>40</v>
      </c>
      <c r="G618" s="0" t="s">
        <v>18054</v>
      </c>
    </row>
    <row r="619" customFormat="false" ht="15" hidden="false" customHeight="false" outlineLevel="0" collapsed="false">
      <c r="A619" s="0" t="n">
        <v>3034</v>
      </c>
      <c r="B619" s="0" t="n">
        <v>21592</v>
      </c>
      <c r="C619" s="0" t="s">
        <v>12699</v>
      </c>
      <c r="D619" s="0" t="s">
        <v>19</v>
      </c>
      <c r="E619" s="0" t="s">
        <v>18053</v>
      </c>
      <c r="F619" s="0" t="s">
        <v>40</v>
      </c>
      <c r="G619" s="0" t="s">
        <v>18054</v>
      </c>
    </row>
    <row r="620" customFormat="false" ht="15" hidden="false" customHeight="false" outlineLevel="0" collapsed="false">
      <c r="A620" s="0" t="n">
        <v>3035</v>
      </c>
      <c r="B620" s="0" t="n">
        <v>21594</v>
      </c>
      <c r="C620" s="0" t="s">
        <v>12702</v>
      </c>
      <c r="D620" s="0" t="s">
        <v>19</v>
      </c>
      <c r="E620" s="0" t="s">
        <v>18053</v>
      </c>
      <c r="F620" s="0" t="s">
        <v>40</v>
      </c>
      <c r="G620" s="0" t="s">
        <v>18054</v>
      </c>
    </row>
    <row r="621" customFormat="false" ht="15" hidden="false" customHeight="false" outlineLevel="0" collapsed="false">
      <c r="A621" s="0" t="n">
        <v>3036</v>
      </c>
      <c r="B621" s="0" t="n">
        <v>21595</v>
      </c>
      <c r="C621" s="0" t="s">
        <v>12706</v>
      </c>
      <c r="D621" s="0" t="s">
        <v>19</v>
      </c>
      <c r="E621" s="0" t="s">
        <v>18053</v>
      </c>
      <c r="F621" s="0" t="s">
        <v>40</v>
      </c>
      <c r="G621" s="0" t="s">
        <v>18054</v>
      </c>
    </row>
    <row r="622" customFormat="false" ht="15" hidden="false" customHeight="false" outlineLevel="0" collapsed="false">
      <c r="A622" s="0" t="n">
        <v>3037</v>
      </c>
      <c r="B622" s="0" t="n">
        <v>21596</v>
      </c>
      <c r="C622" s="0" t="s">
        <v>12709</v>
      </c>
      <c r="D622" s="0" t="s">
        <v>19</v>
      </c>
      <c r="E622" s="0" t="s">
        <v>18053</v>
      </c>
      <c r="F622" s="0" t="s">
        <v>40</v>
      </c>
      <c r="G622" s="0" t="s">
        <v>18054</v>
      </c>
    </row>
    <row r="623" customFormat="false" ht="15" hidden="false" customHeight="false" outlineLevel="0" collapsed="false">
      <c r="A623" s="0" t="n">
        <v>3038</v>
      </c>
      <c r="B623" s="0" t="n">
        <v>21597</v>
      </c>
      <c r="C623" s="0" t="s">
        <v>12713</v>
      </c>
      <c r="D623" s="0" t="s">
        <v>19</v>
      </c>
      <c r="E623" s="0" t="s">
        <v>18053</v>
      </c>
      <c r="F623" s="0" t="s">
        <v>40</v>
      </c>
      <c r="G623" s="0" t="s">
        <v>18054</v>
      </c>
    </row>
    <row r="624" customFormat="false" ht="15" hidden="false" customHeight="false" outlineLevel="0" collapsed="false">
      <c r="A624" s="0" t="n">
        <v>3039</v>
      </c>
      <c r="B624" s="0" t="n">
        <v>21598</v>
      </c>
      <c r="C624" s="0" t="s">
        <v>12716</v>
      </c>
      <c r="D624" s="0" t="s">
        <v>19</v>
      </c>
      <c r="E624" s="0" t="s">
        <v>18053</v>
      </c>
      <c r="F624" s="0" t="s">
        <v>40</v>
      </c>
      <c r="G624" s="0" t="s">
        <v>18054</v>
      </c>
    </row>
    <row r="625" customFormat="false" ht="15" hidden="false" customHeight="false" outlineLevel="0" collapsed="false">
      <c r="A625" s="0" t="n">
        <v>3040</v>
      </c>
      <c r="B625" s="0" t="n">
        <v>21599</v>
      </c>
      <c r="C625" s="0" t="s">
        <v>12719</v>
      </c>
      <c r="D625" s="0" t="s">
        <v>19</v>
      </c>
      <c r="E625" s="0" t="s">
        <v>18053</v>
      </c>
      <c r="F625" s="0" t="s">
        <v>40</v>
      </c>
      <c r="G625" s="0" t="s">
        <v>18054</v>
      </c>
    </row>
    <row r="626" customFormat="false" ht="15" hidden="false" customHeight="false" outlineLevel="0" collapsed="false">
      <c r="A626" s="0" t="n">
        <v>3041</v>
      </c>
      <c r="B626" s="0" t="n">
        <v>21600</v>
      </c>
      <c r="C626" s="0" t="s">
        <v>12723</v>
      </c>
      <c r="D626" s="0" t="s">
        <v>19</v>
      </c>
      <c r="E626" s="0" t="s">
        <v>18053</v>
      </c>
      <c r="F626" s="0" t="s">
        <v>40</v>
      </c>
      <c r="G626" s="0" t="s">
        <v>18054</v>
      </c>
    </row>
    <row r="627" customFormat="false" ht="15" hidden="false" customHeight="false" outlineLevel="0" collapsed="false">
      <c r="A627" s="0" t="n">
        <v>3042</v>
      </c>
      <c r="B627" s="0" t="n">
        <v>21601</v>
      </c>
      <c r="C627" s="0" t="s">
        <v>12726</v>
      </c>
      <c r="D627" s="0" t="s">
        <v>19</v>
      </c>
      <c r="E627" s="0" t="s">
        <v>18053</v>
      </c>
      <c r="F627" s="0" t="s">
        <v>40</v>
      </c>
      <c r="G627" s="0" t="s">
        <v>18054</v>
      </c>
    </row>
    <row r="628" customFormat="false" ht="15" hidden="false" customHeight="false" outlineLevel="0" collapsed="false">
      <c r="A628" s="0" t="n">
        <v>3043</v>
      </c>
      <c r="B628" s="0" t="n">
        <v>21602</v>
      </c>
      <c r="C628" s="0" t="s">
        <v>12729</v>
      </c>
      <c r="D628" s="0" t="s">
        <v>19</v>
      </c>
      <c r="E628" s="0" t="s">
        <v>18053</v>
      </c>
      <c r="F628" s="0" t="s">
        <v>40</v>
      </c>
      <c r="G628" s="0" t="s">
        <v>18054</v>
      </c>
    </row>
    <row r="629" customFormat="false" ht="15" hidden="false" customHeight="false" outlineLevel="0" collapsed="false">
      <c r="A629" s="0" t="n">
        <v>3044</v>
      </c>
      <c r="B629" s="0" t="n">
        <v>21603</v>
      </c>
      <c r="C629" s="0" t="s">
        <v>12732</v>
      </c>
      <c r="D629" s="0" t="s">
        <v>19</v>
      </c>
      <c r="E629" s="0" t="s">
        <v>18053</v>
      </c>
      <c r="F629" s="0" t="s">
        <v>40</v>
      </c>
      <c r="G629" s="0" t="s">
        <v>18054</v>
      </c>
    </row>
    <row r="630" customFormat="false" ht="15" hidden="false" customHeight="false" outlineLevel="0" collapsed="false">
      <c r="A630" s="0" t="n">
        <v>3045</v>
      </c>
      <c r="B630" s="0" t="n">
        <v>21604</v>
      </c>
      <c r="C630" s="0" t="s">
        <v>12735</v>
      </c>
      <c r="D630" s="0" t="s">
        <v>19</v>
      </c>
      <c r="E630" s="0" t="s">
        <v>18053</v>
      </c>
      <c r="F630" s="0" t="s">
        <v>40</v>
      </c>
      <c r="G630" s="0" t="s">
        <v>18054</v>
      </c>
    </row>
    <row r="631" customFormat="false" ht="15" hidden="false" customHeight="false" outlineLevel="0" collapsed="false">
      <c r="A631" s="0" t="n">
        <v>3046</v>
      </c>
      <c r="B631" s="0" t="n">
        <v>21605</v>
      </c>
      <c r="C631" s="0" t="s">
        <v>12738</v>
      </c>
      <c r="D631" s="0" t="s">
        <v>19</v>
      </c>
      <c r="E631" s="0" t="s">
        <v>18053</v>
      </c>
      <c r="F631" s="0" t="s">
        <v>40</v>
      </c>
      <c r="G631" s="0" t="s">
        <v>18054</v>
      </c>
    </row>
    <row r="632" customFormat="false" ht="15" hidden="false" customHeight="false" outlineLevel="0" collapsed="false">
      <c r="A632" s="0" t="n">
        <v>3047</v>
      </c>
      <c r="B632" s="0" t="n">
        <v>21606</v>
      </c>
      <c r="C632" s="0" t="s">
        <v>12742</v>
      </c>
      <c r="D632" s="0" t="s">
        <v>19</v>
      </c>
      <c r="E632" s="0" t="s">
        <v>18053</v>
      </c>
      <c r="F632" s="0" t="s">
        <v>40</v>
      </c>
      <c r="G632" s="0" t="s">
        <v>18054</v>
      </c>
    </row>
    <row r="633" customFormat="false" ht="15" hidden="false" customHeight="false" outlineLevel="0" collapsed="false">
      <c r="A633" s="0" t="n">
        <v>3048</v>
      </c>
      <c r="B633" s="0" t="n">
        <v>21607</v>
      </c>
      <c r="C633" s="0" t="s">
        <v>12745</v>
      </c>
      <c r="D633" s="0" t="s">
        <v>19</v>
      </c>
      <c r="E633" s="0" t="s">
        <v>18053</v>
      </c>
      <c r="F633" s="0" t="s">
        <v>40</v>
      </c>
      <c r="G633" s="0" t="s">
        <v>18054</v>
      </c>
    </row>
    <row r="634" customFormat="false" ht="15" hidden="false" customHeight="false" outlineLevel="0" collapsed="false">
      <c r="A634" s="0" t="n">
        <v>3049</v>
      </c>
      <c r="B634" s="0" t="n">
        <v>21608</v>
      </c>
      <c r="C634" s="0" t="s">
        <v>12748</v>
      </c>
      <c r="D634" s="0" t="s">
        <v>19</v>
      </c>
      <c r="E634" s="0" t="s">
        <v>18053</v>
      </c>
      <c r="F634" s="0" t="s">
        <v>40</v>
      </c>
      <c r="G634" s="0" t="s">
        <v>18054</v>
      </c>
    </row>
    <row r="635" customFormat="false" ht="15" hidden="false" customHeight="false" outlineLevel="0" collapsed="false">
      <c r="A635" s="0" t="n">
        <v>3050</v>
      </c>
      <c r="B635" s="0" t="n">
        <v>21609</v>
      </c>
      <c r="C635" s="0" t="s">
        <v>12752</v>
      </c>
      <c r="D635" s="0" t="s">
        <v>19</v>
      </c>
      <c r="E635" s="0" t="s">
        <v>18053</v>
      </c>
      <c r="F635" s="0" t="s">
        <v>40</v>
      </c>
      <c r="G635" s="0" t="s">
        <v>18054</v>
      </c>
    </row>
    <row r="636" customFormat="false" ht="15" hidden="false" customHeight="false" outlineLevel="0" collapsed="false">
      <c r="A636" s="0" t="n">
        <v>3051</v>
      </c>
      <c r="B636" s="0" t="n">
        <v>21610</v>
      </c>
      <c r="C636" s="0" t="s">
        <v>12755</v>
      </c>
      <c r="D636" s="0" t="s">
        <v>19</v>
      </c>
      <c r="E636" s="0" t="s">
        <v>18053</v>
      </c>
      <c r="F636" s="0" t="s">
        <v>40</v>
      </c>
      <c r="G636" s="0" t="s">
        <v>18054</v>
      </c>
    </row>
    <row r="637" customFormat="false" ht="15" hidden="false" customHeight="false" outlineLevel="0" collapsed="false">
      <c r="A637" s="0" t="n">
        <v>3052</v>
      </c>
      <c r="B637" s="0" t="n">
        <v>21611</v>
      </c>
      <c r="C637" s="0" t="s">
        <v>12758</v>
      </c>
      <c r="D637" s="0" t="s">
        <v>19</v>
      </c>
      <c r="E637" s="0" t="s">
        <v>18053</v>
      </c>
      <c r="F637" s="0" t="s">
        <v>40</v>
      </c>
      <c r="G637" s="0" t="s">
        <v>18054</v>
      </c>
    </row>
    <row r="638" customFormat="false" ht="15" hidden="false" customHeight="false" outlineLevel="0" collapsed="false">
      <c r="A638" s="0" t="n">
        <v>3053</v>
      </c>
      <c r="B638" s="0" t="n">
        <v>21612</v>
      </c>
      <c r="C638" s="0" t="s">
        <v>12761</v>
      </c>
      <c r="D638" s="0" t="s">
        <v>19</v>
      </c>
      <c r="E638" s="0" t="s">
        <v>18053</v>
      </c>
      <c r="F638" s="0" t="s">
        <v>40</v>
      </c>
      <c r="G638" s="0" t="s">
        <v>18054</v>
      </c>
    </row>
    <row r="639" customFormat="false" ht="15" hidden="false" customHeight="false" outlineLevel="0" collapsed="false">
      <c r="A639" s="0" t="n">
        <v>3054</v>
      </c>
      <c r="B639" s="0" t="n">
        <v>21613</v>
      </c>
      <c r="C639" s="0" t="s">
        <v>12764</v>
      </c>
      <c r="D639" s="0" t="s">
        <v>19</v>
      </c>
      <c r="E639" s="0" t="s">
        <v>18053</v>
      </c>
      <c r="F639" s="0" t="s">
        <v>40</v>
      </c>
      <c r="G639" s="0" t="s">
        <v>18054</v>
      </c>
    </row>
    <row r="640" customFormat="false" ht="15" hidden="false" customHeight="false" outlineLevel="0" collapsed="false">
      <c r="A640" s="0" t="n">
        <v>3055</v>
      </c>
      <c r="B640" s="0" t="n">
        <v>21614</v>
      </c>
      <c r="C640" s="0" t="s">
        <v>12767</v>
      </c>
      <c r="D640" s="0" t="s">
        <v>19</v>
      </c>
      <c r="E640" s="0" t="s">
        <v>18053</v>
      </c>
      <c r="F640" s="0" t="s">
        <v>40</v>
      </c>
      <c r="G640" s="0" t="s">
        <v>18054</v>
      </c>
    </row>
    <row r="641" customFormat="false" ht="15" hidden="false" customHeight="false" outlineLevel="0" collapsed="false">
      <c r="A641" s="0" t="n">
        <v>3056</v>
      </c>
      <c r="B641" s="0" t="n">
        <v>21615</v>
      </c>
      <c r="C641" s="0" t="s">
        <v>12771</v>
      </c>
      <c r="D641" s="0" t="s">
        <v>19</v>
      </c>
      <c r="E641" s="0" t="s">
        <v>18053</v>
      </c>
      <c r="F641" s="0" t="s">
        <v>40</v>
      </c>
      <c r="G641" s="0" t="s">
        <v>18054</v>
      </c>
    </row>
    <row r="642" customFormat="false" ht="15" hidden="false" customHeight="false" outlineLevel="0" collapsed="false">
      <c r="A642" s="0" t="n">
        <v>3057</v>
      </c>
      <c r="B642" s="0" t="n">
        <v>21616</v>
      </c>
      <c r="C642" s="0" t="s">
        <v>12774</v>
      </c>
      <c r="D642" s="0" t="s">
        <v>19</v>
      </c>
      <c r="E642" s="0" t="s">
        <v>18053</v>
      </c>
      <c r="F642" s="0" t="s">
        <v>40</v>
      </c>
      <c r="G642" s="0" t="s">
        <v>18054</v>
      </c>
    </row>
    <row r="643" customFormat="false" ht="15" hidden="false" customHeight="false" outlineLevel="0" collapsed="false">
      <c r="A643" s="0" t="n">
        <v>3058</v>
      </c>
      <c r="B643" s="0" t="n">
        <v>21617</v>
      </c>
      <c r="C643" s="0" t="s">
        <v>12780</v>
      </c>
      <c r="D643" s="0" t="s">
        <v>19</v>
      </c>
      <c r="E643" s="0" t="s">
        <v>18053</v>
      </c>
      <c r="F643" s="0" t="s">
        <v>40</v>
      </c>
      <c r="G643" s="0" t="s">
        <v>18054</v>
      </c>
    </row>
    <row r="644" customFormat="false" ht="15" hidden="false" customHeight="false" outlineLevel="0" collapsed="false">
      <c r="A644" s="0" t="n">
        <v>3059</v>
      </c>
      <c r="B644" s="0" t="n">
        <v>21618</v>
      </c>
      <c r="C644" s="0" t="s">
        <v>12784</v>
      </c>
      <c r="D644" s="0" t="s">
        <v>19</v>
      </c>
      <c r="E644" s="0" t="s">
        <v>18053</v>
      </c>
      <c r="F644" s="0" t="s">
        <v>40</v>
      </c>
      <c r="G644" s="0" t="s">
        <v>18054</v>
      </c>
    </row>
    <row r="645" customFormat="false" ht="15" hidden="false" customHeight="false" outlineLevel="0" collapsed="false">
      <c r="A645" s="0" t="n">
        <v>3060</v>
      </c>
      <c r="B645" s="0" t="n">
        <v>21619</v>
      </c>
      <c r="C645" s="0" t="s">
        <v>12787</v>
      </c>
      <c r="D645" s="0" t="s">
        <v>19</v>
      </c>
      <c r="E645" s="0" t="s">
        <v>18053</v>
      </c>
      <c r="F645" s="0" t="s">
        <v>40</v>
      </c>
      <c r="G645" s="0" t="s">
        <v>18054</v>
      </c>
    </row>
    <row r="646" customFormat="false" ht="15" hidden="false" customHeight="false" outlineLevel="0" collapsed="false">
      <c r="A646" s="0" t="n">
        <v>3083</v>
      </c>
      <c r="B646" s="0" t="n">
        <v>21642</v>
      </c>
      <c r="C646" s="0" t="s">
        <v>12868</v>
      </c>
      <c r="D646" s="0" t="s">
        <v>19</v>
      </c>
      <c r="E646" s="0" t="s">
        <v>18053</v>
      </c>
      <c r="F646" s="0" t="s">
        <v>40</v>
      </c>
      <c r="G646" s="0" t="s">
        <v>18054</v>
      </c>
    </row>
    <row r="647" customFormat="false" ht="15" hidden="false" customHeight="false" outlineLevel="0" collapsed="false">
      <c r="A647" s="0" t="n">
        <v>3084</v>
      </c>
      <c r="B647" s="0" t="n">
        <v>21643</v>
      </c>
      <c r="C647" s="0" t="s">
        <v>12871</v>
      </c>
      <c r="D647" s="0" t="s">
        <v>19</v>
      </c>
      <c r="E647" s="0" t="s">
        <v>18053</v>
      </c>
      <c r="F647" s="0" t="s">
        <v>40</v>
      </c>
      <c r="G647" s="0" t="s">
        <v>18054</v>
      </c>
    </row>
    <row r="648" customFormat="false" ht="15" hidden="false" customHeight="false" outlineLevel="0" collapsed="false">
      <c r="A648" s="0" t="n">
        <v>3086</v>
      </c>
      <c r="B648" s="0" t="n">
        <v>21647</v>
      </c>
      <c r="C648" s="0" t="s">
        <v>12878</v>
      </c>
      <c r="D648" s="0" t="s">
        <v>19</v>
      </c>
      <c r="E648" s="0" t="s">
        <v>18053</v>
      </c>
      <c r="F648" s="0" t="s">
        <v>40</v>
      </c>
      <c r="G648" s="0" t="s">
        <v>18054</v>
      </c>
    </row>
    <row r="649" customFormat="false" ht="15" hidden="false" customHeight="false" outlineLevel="0" collapsed="false">
      <c r="A649" s="0" t="n">
        <v>3087</v>
      </c>
      <c r="B649" s="0" t="n">
        <v>21648</v>
      </c>
      <c r="C649" s="0" t="s">
        <v>12882</v>
      </c>
      <c r="D649" s="0" t="s">
        <v>19</v>
      </c>
      <c r="E649" s="0" t="s">
        <v>18053</v>
      </c>
      <c r="F649" s="0" t="s">
        <v>40</v>
      </c>
      <c r="G649" s="0" t="s">
        <v>18054</v>
      </c>
    </row>
    <row r="650" customFormat="false" ht="15" hidden="false" customHeight="false" outlineLevel="0" collapsed="false">
      <c r="A650" s="0" t="n">
        <v>3088</v>
      </c>
      <c r="B650" s="0" t="n">
        <v>21649</v>
      </c>
      <c r="C650" s="0" t="s">
        <v>12885</v>
      </c>
      <c r="D650" s="0" t="s">
        <v>19</v>
      </c>
      <c r="E650" s="0" t="s">
        <v>18053</v>
      </c>
      <c r="F650" s="0" t="s">
        <v>40</v>
      </c>
      <c r="G650" s="0" t="s">
        <v>18054</v>
      </c>
    </row>
    <row r="651" customFormat="false" ht="15" hidden="false" customHeight="false" outlineLevel="0" collapsed="false">
      <c r="A651" s="0" t="n">
        <v>3089</v>
      </c>
      <c r="B651" s="0" t="n">
        <v>21650</v>
      </c>
      <c r="C651" s="0" t="s">
        <v>12889</v>
      </c>
      <c r="D651" s="0" t="s">
        <v>19</v>
      </c>
      <c r="E651" s="0" t="s">
        <v>18053</v>
      </c>
      <c r="F651" s="0" t="s">
        <v>40</v>
      </c>
      <c r="G651" s="0" t="s">
        <v>18054</v>
      </c>
    </row>
    <row r="652" customFormat="false" ht="15" hidden="false" customHeight="false" outlineLevel="0" collapsed="false">
      <c r="A652" s="0" t="n">
        <v>3090</v>
      </c>
      <c r="B652" s="0" t="n">
        <v>21651</v>
      </c>
      <c r="C652" s="0" t="s">
        <v>12892</v>
      </c>
      <c r="D652" s="0" t="s">
        <v>19</v>
      </c>
      <c r="E652" s="0" t="s">
        <v>18053</v>
      </c>
      <c r="F652" s="0" t="s">
        <v>40</v>
      </c>
      <c r="G652" s="0" t="s">
        <v>18054</v>
      </c>
    </row>
    <row r="653" customFormat="false" ht="15" hidden="false" customHeight="false" outlineLevel="0" collapsed="false">
      <c r="A653" s="0" t="n">
        <v>3091</v>
      </c>
      <c r="B653" s="0" t="n">
        <v>21652</v>
      </c>
      <c r="C653" s="0" t="s">
        <v>12897</v>
      </c>
      <c r="D653" s="0" t="s">
        <v>19</v>
      </c>
      <c r="E653" s="0" t="s">
        <v>18053</v>
      </c>
      <c r="F653" s="0" t="s">
        <v>40</v>
      </c>
      <c r="G653" s="0" t="s">
        <v>18054</v>
      </c>
    </row>
    <row r="654" customFormat="false" ht="15" hidden="false" customHeight="false" outlineLevel="0" collapsed="false">
      <c r="A654" s="0" t="n">
        <v>3093</v>
      </c>
      <c r="B654" s="0" t="n">
        <v>21654</v>
      </c>
      <c r="C654" s="0" t="s">
        <v>12906</v>
      </c>
      <c r="D654" s="0" t="s">
        <v>19</v>
      </c>
      <c r="E654" s="0" t="s">
        <v>18053</v>
      </c>
      <c r="F654" s="0" t="s">
        <v>40</v>
      </c>
      <c r="G654" s="0" t="s">
        <v>18054</v>
      </c>
    </row>
    <row r="655" customFormat="false" ht="15" hidden="false" customHeight="false" outlineLevel="0" collapsed="false">
      <c r="A655" s="0" t="n">
        <v>3094</v>
      </c>
      <c r="B655" s="0" t="n">
        <v>21655</v>
      </c>
      <c r="C655" s="0" t="s">
        <v>12910</v>
      </c>
      <c r="D655" s="0" t="s">
        <v>19</v>
      </c>
      <c r="E655" s="0" t="s">
        <v>18053</v>
      </c>
      <c r="F655" s="0" t="s">
        <v>40</v>
      </c>
      <c r="G655" s="0" t="s">
        <v>18054</v>
      </c>
    </row>
    <row r="656" customFormat="false" ht="15" hidden="false" customHeight="false" outlineLevel="0" collapsed="false">
      <c r="A656" s="0" t="n">
        <v>3095</v>
      </c>
      <c r="B656" s="0" t="n">
        <v>21656</v>
      </c>
      <c r="C656" s="0" t="s">
        <v>12912</v>
      </c>
      <c r="D656" s="0" t="s">
        <v>19</v>
      </c>
      <c r="E656" s="0" t="s">
        <v>18053</v>
      </c>
      <c r="F656" s="0" t="s">
        <v>40</v>
      </c>
      <c r="G656" s="0" t="s">
        <v>18054</v>
      </c>
    </row>
    <row r="657" customFormat="false" ht="15" hidden="false" customHeight="false" outlineLevel="0" collapsed="false">
      <c r="A657" s="0" t="n">
        <v>3097</v>
      </c>
      <c r="B657" s="0" t="n">
        <v>21658</v>
      </c>
      <c r="C657" s="0" t="s">
        <v>12919</v>
      </c>
      <c r="D657" s="0" t="s">
        <v>19</v>
      </c>
      <c r="E657" s="0" t="s">
        <v>18053</v>
      </c>
      <c r="F657" s="0" t="s">
        <v>40</v>
      </c>
      <c r="G657" s="0" t="s">
        <v>18054</v>
      </c>
    </row>
    <row r="658" customFormat="false" ht="15" hidden="false" customHeight="false" outlineLevel="0" collapsed="false">
      <c r="A658" s="0" t="n">
        <v>3098</v>
      </c>
      <c r="B658" s="0" t="n">
        <v>21659</v>
      </c>
      <c r="C658" s="0" t="s">
        <v>12923</v>
      </c>
      <c r="D658" s="0" t="s">
        <v>19</v>
      </c>
      <c r="E658" s="0" t="s">
        <v>18053</v>
      </c>
      <c r="F658" s="0" t="s">
        <v>40</v>
      </c>
      <c r="G658" s="0" t="s">
        <v>18054</v>
      </c>
    </row>
    <row r="659" customFormat="false" ht="15" hidden="false" customHeight="false" outlineLevel="0" collapsed="false">
      <c r="A659" s="0" t="n">
        <v>3099</v>
      </c>
      <c r="B659" s="0" t="n">
        <v>21660</v>
      </c>
      <c r="C659" s="0" t="s">
        <v>12926</v>
      </c>
      <c r="D659" s="0" t="s">
        <v>19</v>
      </c>
      <c r="E659" s="0" t="s">
        <v>18053</v>
      </c>
      <c r="F659" s="0" t="s">
        <v>40</v>
      </c>
      <c r="G659" s="0" t="s">
        <v>18054</v>
      </c>
    </row>
    <row r="660" customFormat="false" ht="15" hidden="false" customHeight="false" outlineLevel="0" collapsed="false">
      <c r="A660" s="0" t="n">
        <v>3100</v>
      </c>
      <c r="B660" s="0" t="n">
        <v>21661</v>
      </c>
      <c r="C660" s="0" t="s">
        <v>12930</v>
      </c>
      <c r="D660" s="0" t="s">
        <v>19</v>
      </c>
      <c r="E660" s="0" t="s">
        <v>18053</v>
      </c>
      <c r="F660" s="0" t="s">
        <v>40</v>
      </c>
      <c r="G660" s="0" t="s">
        <v>18054</v>
      </c>
    </row>
    <row r="661" customFormat="false" ht="15" hidden="false" customHeight="false" outlineLevel="0" collapsed="false">
      <c r="A661" s="0" t="n">
        <v>3110</v>
      </c>
      <c r="B661" s="0" t="n">
        <v>22872</v>
      </c>
      <c r="C661" s="0" t="s">
        <v>12972</v>
      </c>
      <c r="D661" s="0" t="s">
        <v>22</v>
      </c>
      <c r="E661" s="0" t="s">
        <v>18055</v>
      </c>
      <c r="F661" s="0" t="s">
        <v>43</v>
      </c>
      <c r="G661" s="0" t="s">
        <v>18054</v>
      </c>
    </row>
    <row r="662" customFormat="false" ht="15" hidden="false" customHeight="false" outlineLevel="0" collapsed="false">
      <c r="A662" s="0" t="n">
        <v>3112</v>
      </c>
      <c r="B662" s="0" t="n">
        <v>22838</v>
      </c>
      <c r="C662" s="0" t="s">
        <v>12980</v>
      </c>
      <c r="D662" s="0" t="s">
        <v>22</v>
      </c>
      <c r="E662" s="0" t="s">
        <v>18057</v>
      </c>
      <c r="F662" s="0" t="s">
        <v>54</v>
      </c>
      <c r="G662" s="0" t="s">
        <v>18054</v>
      </c>
    </row>
    <row r="663" customFormat="false" ht="15" hidden="false" customHeight="false" outlineLevel="0" collapsed="false">
      <c r="A663" s="0" t="n">
        <v>3122</v>
      </c>
      <c r="B663" s="0" t="n">
        <v>21711</v>
      </c>
      <c r="C663" s="0" t="s">
        <v>13028</v>
      </c>
      <c r="D663" s="0" t="s">
        <v>19</v>
      </c>
      <c r="E663" s="0" t="s">
        <v>18053</v>
      </c>
      <c r="F663" s="0" t="s">
        <v>40</v>
      </c>
      <c r="G663" s="0" t="s">
        <v>18054</v>
      </c>
    </row>
    <row r="664" customFormat="false" ht="15" hidden="false" customHeight="false" outlineLevel="0" collapsed="false">
      <c r="A664" s="0" t="n">
        <v>3123</v>
      </c>
      <c r="B664" s="0" t="n">
        <v>21712</v>
      </c>
      <c r="C664" s="0" t="s">
        <v>13031</v>
      </c>
      <c r="D664" s="0" t="s">
        <v>19</v>
      </c>
      <c r="E664" s="0" t="s">
        <v>18053</v>
      </c>
      <c r="F664" s="0" t="s">
        <v>40</v>
      </c>
      <c r="G664" s="0" t="s">
        <v>18054</v>
      </c>
    </row>
    <row r="665" customFormat="false" ht="15" hidden="false" customHeight="false" outlineLevel="0" collapsed="false">
      <c r="A665" s="0" t="n">
        <v>3124</v>
      </c>
      <c r="B665" s="0" t="n">
        <v>21713</v>
      </c>
      <c r="C665" s="0" t="s">
        <v>13034</v>
      </c>
      <c r="D665" s="0" t="s">
        <v>19</v>
      </c>
      <c r="E665" s="0" t="s">
        <v>18053</v>
      </c>
      <c r="F665" s="0" t="s">
        <v>40</v>
      </c>
      <c r="G665" s="0" t="s">
        <v>18054</v>
      </c>
    </row>
    <row r="666" customFormat="false" ht="15" hidden="false" customHeight="false" outlineLevel="0" collapsed="false">
      <c r="A666" s="0" t="n">
        <v>3148</v>
      </c>
      <c r="B666" s="0" t="n">
        <v>21737</v>
      </c>
      <c r="C666" s="0" t="s">
        <v>13117</v>
      </c>
      <c r="D666" s="0" t="s">
        <v>19</v>
      </c>
      <c r="E666" s="0" t="s">
        <v>18053</v>
      </c>
      <c r="F666" s="0" t="s">
        <v>40</v>
      </c>
      <c r="G666" s="0" t="s">
        <v>18054</v>
      </c>
    </row>
    <row r="667" customFormat="false" ht="15" hidden="false" customHeight="false" outlineLevel="0" collapsed="false">
      <c r="A667" s="0" t="n">
        <v>3149</v>
      </c>
      <c r="B667" s="0" t="n">
        <v>21738</v>
      </c>
      <c r="C667" s="0" t="s">
        <v>13121</v>
      </c>
      <c r="D667" s="0" t="s">
        <v>19</v>
      </c>
      <c r="E667" s="0" t="s">
        <v>18053</v>
      </c>
      <c r="F667" s="0" t="s">
        <v>40</v>
      </c>
      <c r="G667" s="0" t="s">
        <v>18054</v>
      </c>
    </row>
    <row r="668" customFormat="false" ht="15" hidden="false" customHeight="false" outlineLevel="0" collapsed="false">
      <c r="A668" s="0" t="n">
        <v>3150</v>
      </c>
      <c r="B668" s="0" t="n">
        <v>21739</v>
      </c>
      <c r="C668" s="0" t="s">
        <v>13125</v>
      </c>
      <c r="D668" s="0" t="s">
        <v>19</v>
      </c>
      <c r="E668" s="0" t="s">
        <v>18053</v>
      </c>
      <c r="F668" s="0" t="s">
        <v>40</v>
      </c>
      <c r="G668" s="0" t="s">
        <v>18054</v>
      </c>
    </row>
    <row r="669" customFormat="false" ht="15" hidden="false" customHeight="false" outlineLevel="0" collapsed="false">
      <c r="A669" s="0" t="n">
        <v>3151</v>
      </c>
      <c r="B669" s="0" t="n">
        <v>21740</v>
      </c>
      <c r="C669" s="0" t="s">
        <v>13128</v>
      </c>
      <c r="D669" s="0" t="s">
        <v>19</v>
      </c>
      <c r="E669" s="0" t="s">
        <v>18053</v>
      </c>
      <c r="F669" s="0" t="s">
        <v>40</v>
      </c>
      <c r="G669" s="0" t="s">
        <v>18054</v>
      </c>
    </row>
    <row r="670" customFormat="false" ht="15" hidden="false" customHeight="false" outlineLevel="0" collapsed="false">
      <c r="A670" s="0" t="n">
        <v>3152</v>
      </c>
      <c r="B670" s="0" t="n">
        <v>21741</v>
      </c>
      <c r="C670" s="0" t="s">
        <v>13132</v>
      </c>
      <c r="D670" s="0" t="s">
        <v>19</v>
      </c>
      <c r="E670" s="0" t="s">
        <v>18053</v>
      </c>
      <c r="F670" s="0" t="s">
        <v>40</v>
      </c>
      <c r="G670" s="0" t="s">
        <v>18054</v>
      </c>
    </row>
    <row r="671" customFormat="false" ht="15" hidden="false" customHeight="false" outlineLevel="0" collapsed="false">
      <c r="A671" s="0" t="n">
        <v>3153</v>
      </c>
      <c r="B671" s="0" t="n">
        <v>21742</v>
      </c>
      <c r="C671" s="0" t="s">
        <v>13135</v>
      </c>
      <c r="D671" s="0" t="s">
        <v>19</v>
      </c>
      <c r="E671" s="0" t="s">
        <v>18053</v>
      </c>
      <c r="F671" s="0" t="s">
        <v>40</v>
      </c>
      <c r="G671" s="0" t="s">
        <v>18054</v>
      </c>
    </row>
    <row r="672" customFormat="false" ht="15" hidden="false" customHeight="false" outlineLevel="0" collapsed="false">
      <c r="A672" s="0" t="n">
        <v>3154</v>
      </c>
      <c r="B672" s="0" t="n">
        <v>21743</v>
      </c>
      <c r="C672" s="0" t="s">
        <v>13138</v>
      </c>
      <c r="D672" s="0" t="s">
        <v>19</v>
      </c>
      <c r="E672" s="0" t="s">
        <v>18053</v>
      </c>
      <c r="F672" s="0" t="s">
        <v>40</v>
      </c>
      <c r="G672" s="0" t="s">
        <v>18054</v>
      </c>
    </row>
    <row r="673" customFormat="false" ht="15" hidden="false" customHeight="false" outlineLevel="0" collapsed="false">
      <c r="A673" s="0" t="n">
        <v>3155</v>
      </c>
      <c r="B673" s="0" t="n">
        <v>21744</v>
      </c>
      <c r="C673" s="0" t="s">
        <v>13141</v>
      </c>
      <c r="D673" s="0" t="s">
        <v>19</v>
      </c>
      <c r="E673" s="0" t="s">
        <v>18053</v>
      </c>
      <c r="F673" s="0" t="s">
        <v>40</v>
      </c>
      <c r="G673" s="0" t="s">
        <v>18054</v>
      </c>
    </row>
    <row r="674" customFormat="false" ht="15" hidden="false" customHeight="false" outlineLevel="0" collapsed="false">
      <c r="A674" s="0" t="n">
        <v>3156</v>
      </c>
      <c r="B674" s="0" t="n">
        <v>21745</v>
      </c>
      <c r="C674" s="0" t="s">
        <v>13145</v>
      </c>
      <c r="D674" s="0" t="s">
        <v>19</v>
      </c>
      <c r="E674" s="0" t="s">
        <v>18053</v>
      </c>
      <c r="F674" s="0" t="s">
        <v>40</v>
      </c>
      <c r="G674" s="0" t="s">
        <v>18054</v>
      </c>
    </row>
    <row r="675" customFormat="false" ht="15" hidden="false" customHeight="false" outlineLevel="0" collapsed="false">
      <c r="A675" s="0" t="n">
        <v>3157</v>
      </c>
      <c r="B675" s="0" t="n">
        <v>21746</v>
      </c>
      <c r="C675" s="0" t="s">
        <v>13149</v>
      </c>
      <c r="D675" s="0" t="s">
        <v>19</v>
      </c>
      <c r="E675" s="0" t="s">
        <v>18053</v>
      </c>
      <c r="F675" s="0" t="s">
        <v>40</v>
      </c>
      <c r="G675" s="0" t="s">
        <v>18054</v>
      </c>
    </row>
    <row r="676" customFormat="false" ht="15" hidden="false" customHeight="false" outlineLevel="0" collapsed="false">
      <c r="A676" s="0" t="n">
        <v>3158</v>
      </c>
      <c r="B676" s="0" t="n">
        <v>21747</v>
      </c>
      <c r="C676" s="0" t="s">
        <v>13151</v>
      </c>
      <c r="D676" s="0" t="s">
        <v>19</v>
      </c>
      <c r="E676" s="0" t="s">
        <v>18053</v>
      </c>
      <c r="F676" s="0" t="s">
        <v>40</v>
      </c>
      <c r="G676" s="0" t="s">
        <v>18054</v>
      </c>
    </row>
    <row r="677" customFormat="false" ht="15" hidden="false" customHeight="false" outlineLevel="0" collapsed="false">
      <c r="A677" s="0" t="n">
        <v>3159</v>
      </c>
      <c r="B677" s="0" t="n">
        <v>21748</v>
      </c>
      <c r="C677" s="0" t="s">
        <v>13154</v>
      </c>
      <c r="D677" s="0" t="s">
        <v>19</v>
      </c>
      <c r="E677" s="0" t="s">
        <v>18053</v>
      </c>
      <c r="F677" s="0" t="s">
        <v>40</v>
      </c>
      <c r="G677" s="0" t="s">
        <v>18054</v>
      </c>
    </row>
    <row r="678" customFormat="false" ht="15" hidden="false" customHeight="false" outlineLevel="0" collapsed="false">
      <c r="A678" s="0" t="n">
        <v>3160</v>
      </c>
      <c r="B678" s="0" t="n">
        <v>21749</v>
      </c>
      <c r="C678" s="0" t="s">
        <v>13157</v>
      </c>
      <c r="D678" s="0" t="s">
        <v>19</v>
      </c>
      <c r="E678" s="0" t="s">
        <v>18053</v>
      </c>
      <c r="F678" s="0" t="s">
        <v>40</v>
      </c>
      <c r="G678" s="0" t="s">
        <v>18054</v>
      </c>
    </row>
    <row r="679" customFormat="false" ht="15" hidden="false" customHeight="false" outlineLevel="0" collapsed="false">
      <c r="A679" s="0" t="n">
        <v>3161</v>
      </c>
      <c r="B679" s="0" t="n">
        <v>21750</v>
      </c>
      <c r="C679" s="0" t="s">
        <v>13161</v>
      </c>
      <c r="D679" s="0" t="s">
        <v>19</v>
      </c>
      <c r="E679" s="0" t="s">
        <v>18053</v>
      </c>
      <c r="F679" s="0" t="s">
        <v>40</v>
      </c>
      <c r="G679" s="0" t="s">
        <v>18054</v>
      </c>
    </row>
    <row r="680" customFormat="false" ht="15" hidden="false" customHeight="false" outlineLevel="0" collapsed="false">
      <c r="A680" s="0" t="n">
        <v>3162</v>
      </c>
      <c r="B680" s="0" t="n">
        <v>21751</v>
      </c>
      <c r="C680" s="0" t="s">
        <v>13165</v>
      </c>
      <c r="D680" s="0" t="s">
        <v>19</v>
      </c>
      <c r="E680" s="0" t="s">
        <v>18053</v>
      </c>
      <c r="F680" s="0" t="s">
        <v>40</v>
      </c>
      <c r="G680" s="0" t="s">
        <v>18054</v>
      </c>
    </row>
    <row r="681" customFormat="false" ht="15" hidden="false" customHeight="false" outlineLevel="0" collapsed="false">
      <c r="A681" s="0" t="n">
        <v>3163</v>
      </c>
      <c r="B681" s="0" t="n">
        <v>21752</v>
      </c>
      <c r="C681" s="0" t="s">
        <v>13168</v>
      </c>
      <c r="D681" s="0" t="s">
        <v>19</v>
      </c>
      <c r="E681" s="0" t="s">
        <v>18053</v>
      </c>
      <c r="F681" s="0" t="s">
        <v>40</v>
      </c>
      <c r="G681" s="0" t="s">
        <v>18054</v>
      </c>
    </row>
    <row r="682" customFormat="false" ht="15" hidden="false" customHeight="false" outlineLevel="0" collapsed="false">
      <c r="A682" s="0" t="n">
        <v>3164</v>
      </c>
      <c r="B682" s="0" t="n">
        <v>21753</v>
      </c>
      <c r="C682" s="0" t="s">
        <v>13172</v>
      </c>
      <c r="D682" s="0" t="s">
        <v>19</v>
      </c>
      <c r="E682" s="0" t="s">
        <v>18053</v>
      </c>
      <c r="F682" s="0" t="s">
        <v>40</v>
      </c>
      <c r="G682" s="0" t="s">
        <v>18054</v>
      </c>
    </row>
    <row r="683" customFormat="false" ht="15" hidden="false" customHeight="false" outlineLevel="0" collapsed="false">
      <c r="A683" s="0" t="n">
        <v>3168</v>
      </c>
      <c r="B683" s="0" t="n">
        <v>21758</v>
      </c>
      <c r="C683" s="0" t="s">
        <v>13187</v>
      </c>
      <c r="D683" s="0" t="s">
        <v>19</v>
      </c>
      <c r="E683" s="0" t="s">
        <v>18053</v>
      </c>
      <c r="F683" s="0" t="s">
        <v>40</v>
      </c>
      <c r="G683" s="0" t="s">
        <v>18054</v>
      </c>
    </row>
    <row r="684" customFormat="false" ht="15" hidden="false" customHeight="false" outlineLevel="0" collapsed="false">
      <c r="A684" s="0" t="n">
        <v>3169</v>
      </c>
      <c r="B684" s="0" t="n">
        <v>21759</v>
      </c>
      <c r="C684" s="0" t="s">
        <v>13191</v>
      </c>
      <c r="D684" s="0" t="s">
        <v>19</v>
      </c>
      <c r="E684" s="0" t="s">
        <v>18053</v>
      </c>
      <c r="F684" s="0" t="s">
        <v>40</v>
      </c>
      <c r="G684" s="0" t="s">
        <v>18054</v>
      </c>
    </row>
    <row r="685" customFormat="false" ht="15" hidden="false" customHeight="false" outlineLevel="0" collapsed="false">
      <c r="A685" s="0" t="n">
        <v>3170</v>
      </c>
      <c r="B685" s="0" t="n">
        <v>21760</v>
      </c>
      <c r="C685" s="0" t="s">
        <v>13194</v>
      </c>
      <c r="D685" s="0" t="s">
        <v>19</v>
      </c>
      <c r="E685" s="0" t="s">
        <v>18053</v>
      </c>
      <c r="F685" s="0" t="s">
        <v>40</v>
      </c>
      <c r="G685" s="0" t="s">
        <v>18054</v>
      </c>
    </row>
    <row r="686" customFormat="false" ht="15" hidden="false" customHeight="false" outlineLevel="0" collapsed="false">
      <c r="A686" s="0" t="n">
        <v>3171</v>
      </c>
      <c r="B686" s="0" t="n">
        <v>21761</v>
      </c>
      <c r="C686" s="0" t="s">
        <v>13197</v>
      </c>
      <c r="D686" s="0" t="s">
        <v>19</v>
      </c>
      <c r="E686" s="0" t="s">
        <v>18053</v>
      </c>
      <c r="F686" s="0" t="s">
        <v>40</v>
      </c>
      <c r="G686" s="0" t="s">
        <v>18054</v>
      </c>
    </row>
    <row r="687" customFormat="false" ht="15" hidden="false" customHeight="false" outlineLevel="0" collapsed="false">
      <c r="A687" s="0" t="n">
        <v>3172</v>
      </c>
      <c r="B687" s="0" t="n">
        <v>21762</v>
      </c>
      <c r="C687" s="0" t="s">
        <v>13200</v>
      </c>
      <c r="D687" s="0" t="s">
        <v>19</v>
      </c>
      <c r="E687" s="0" t="s">
        <v>18053</v>
      </c>
      <c r="F687" s="0" t="s">
        <v>40</v>
      </c>
      <c r="G687" s="0" t="s">
        <v>18054</v>
      </c>
    </row>
    <row r="688" customFormat="false" ht="15" hidden="false" customHeight="false" outlineLevel="0" collapsed="false">
      <c r="A688" s="0" t="n">
        <v>3173</v>
      </c>
      <c r="B688" s="0" t="n">
        <v>21763</v>
      </c>
      <c r="C688" s="0" t="s">
        <v>13204</v>
      </c>
      <c r="D688" s="0" t="s">
        <v>19</v>
      </c>
      <c r="E688" s="0" t="s">
        <v>18053</v>
      </c>
      <c r="F688" s="0" t="s">
        <v>40</v>
      </c>
      <c r="G688" s="0" t="s">
        <v>18054</v>
      </c>
    </row>
    <row r="689" customFormat="false" ht="15" hidden="false" customHeight="false" outlineLevel="0" collapsed="false">
      <c r="A689" s="0" t="n">
        <v>3174</v>
      </c>
      <c r="B689" s="0" t="n">
        <v>21764</v>
      </c>
      <c r="C689" s="0" t="s">
        <v>13207</v>
      </c>
      <c r="D689" s="0" t="s">
        <v>19</v>
      </c>
      <c r="E689" s="0" t="s">
        <v>18053</v>
      </c>
      <c r="F689" s="0" t="s">
        <v>40</v>
      </c>
      <c r="G689" s="0" t="s">
        <v>18054</v>
      </c>
    </row>
    <row r="690" customFormat="false" ht="15" hidden="false" customHeight="false" outlineLevel="0" collapsed="false">
      <c r="A690" s="0" t="n">
        <v>3175</v>
      </c>
      <c r="B690" s="0" t="n">
        <v>21765</v>
      </c>
      <c r="C690" s="0" t="s">
        <v>13210</v>
      </c>
      <c r="D690" s="0" t="s">
        <v>19</v>
      </c>
      <c r="E690" s="0" t="s">
        <v>18053</v>
      </c>
      <c r="F690" s="0" t="s">
        <v>40</v>
      </c>
      <c r="G690" s="0" t="s">
        <v>18054</v>
      </c>
    </row>
    <row r="691" customFormat="false" ht="15" hidden="false" customHeight="false" outlineLevel="0" collapsed="false">
      <c r="A691" s="0" t="n">
        <v>3176</v>
      </c>
      <c r="B691" s="0" t="n">
        <v>21768</v>
      </c>
      <c r="C691" s="0" t="s">
        <v>13214</v>
      </c>
      <c r="D691" s="0" t="s">
        <v>19</v>
      </c>
      <c r="E691" s="0" t="s">
        <v>18053</v>
      </c>
      <c r="F691" s="0" t="s">
        <v>40</v>
      </c>
      <c r="G691" s="0" t="s">
        <v>18054</v>
      </c>
    </row>
    <row r="692" customFormat="false" ht="15" hidden="false" customHeight="false" outlineLevel="0" collapsed="false">
      <c r="A692" s="0" t="n">
        <v>3177</v>
      </c>
      <c r="B692" s="0" t="n">
        <v>21769</v>
      </c>
      <c r="C692" s="0" t="s">
        <v>13218</v>
      </c>
      <c r="D692" s="0" t="s">
        <v>19</v>
      </c>
      <c r="E692" s="0" t="s">
        <v>18053</v>
      </c>
      <c r="F692" s="0" t="s">
        <v>40</v>
      </c>
      <c r="G692" s="0" t="s">
        <v>18054</v>
      </c>
    </row>
    <row r="693" customFormat="false" ht="15" hidden="false" customHeight="false" outlineLevel="0" collapsed="false">
      <c r="A693" s="0" t="n">
        <v>3178</v>
      </c>
      <c r="B693" s="0" t="n">
        <v>21771</v>
      </c>
      <c r="C693" s="0" t="s">
        <v>13222</v>
      </c>
      <c r="D693" s="0" t="s">
        <v>19</v>
      </c>
      <c r="E693" s="0" t="s">
        <v>18053</v>
      </c>
      <c r="F693" s="0" t="s">
        <v>40</v>
      </c>
      <c r="G693" s="0" t="s">
        <v>18054</v>
      </c>
    </row>
    <row r="694" customFormat="false" ht="15" hidden="false" customHeight="false" outlineLevel="0" collapsed="false">
      <c r="A694" s="0" t="n">
        <v>3179</v>
      </c>
      <c r="B694" s="0" t="n">
        <v>21772</v>
      </c>
      <c r="C694" s="0" t="s">
        <v>13225</v>
      </c>
      <c r="D694" s="0" t="s">
        <v>19</v>
      </c>
      <c r="E694" s="0" t="s">
        <v>18053</v>
      </c>
      <c r="F694" s="0" t="s">
        <v>40</v>
      </c>
      <c r="G694" s="0" t="s">
        <v>18054</v>
      </c>
    </row>
    <row r="695" customFormat="false" ht="15" hidden="false" customHeight="false" outlineLevel="0" collapsed="false">
      <c r="A695" s="0" t="n">
        <v>3180</v>
      </c>
      <c r="B695" s="0" t="n">
        <v>21773</v>
      </c>
      <c r="C695" s="0" t="s">
        <v>13228</v>
      </c>
      <c r="D695" s="0" t="s">
        <v>19</v>
      </c>
      <c r="E695" s="0" t="s">
        <v>18053</v>
      </c>
      <c r="F695" s="0" t="s">
        <v>40</v>
      </c>
      <c r="G695" s="0" t="s">
        <v>18054</v>
      </c>
    </row>
    <row r="696" customFormat="false" ht="15" hidden="false" customHeight="false" outlineLevel="0" collapsed="false">
      <c r="A696" s="0" t="n">
        <v>3181</v>
      </c>
      <c r="B696" s="0" t="n">
        <v>21774</v>
      </c>
      <c r="C696" s="0" t="s">
        <v>13231</v>
      </c>
      <c r="D696" s="0" t="s">
        <v>19</v>
      </c>
      <c r="E696" s="0" t="s">
        <v>18053</v>
      </c>
      <c r="F696" s="0" t="s">
        <v>40</v>
      </c>
      <c r="G696" s="0" t="s">
        <v>18054</v>
      </c>
    </row>
    <row r="697" customFormat="false" ht="15" hidden="false" customHeight="false" outlineLevel="0" collapsed="false">
      <c r="A697" s="0" t="n">
        <v>3182</v>
      </c>
      <c r="B697" s="0" t="n">
        <v>21775</v>
      </c>
      <c r="C697" s="0" t="s">
        <v>13235</v>
      </c>
      <c r="D697" s="0" t="s">
        <v>19</v>
      </c>
      <c r="E697" s="0" t="s">
        <v>18053</v>
      </c>
      <c r="F697" s="0" t="s">
        <v>40</v>
      </c>
      <c r="G697" s="0" t="s">
        <v>18054</v>
      </c>
    </row>
    <row r="698" customFormat="false" ht="15" hidden="false" customHeight="false" outlineLevel="0" collapsed="false">
      <c r="A698" s="0" t="n">
        <v>3183</v>
      </c>
      <c r="B698" s="0" t="n">
        <v>21776</v>
      </c>
      <c r="C698" s="0" t="s">
        <v>9772</v>
      </c>
      <c r="D698" s="0" t="s">
        <v>19</v>
      </c>
      <c r="E698" s="0" t="s">
        <v>18053</v>
      </c>
      <c r="F698" s="0" t="s">
        <v>40</v>
      </c>
      <c r="G698" s="0" t="s">
        <v>18054</v>
      </c>
    </row>
    <row r="699" customFormat="false" ht="15" hidden="false" customHeight="false" outlineLevel="0" collapsed="false">
      <c r="A699" s="0" t="n">
        <v>3184</v>
      </c>
      <c r="B699" s="0" t="n">
        <v>21777</v>
      </c>
      <c r="C699" s="0" t="s">
        <v>13240</v>
      </c>
      <c r="D699" s="0" t="s">
        <v>19</v>
      </c>
      <c r="E699" s="0" t="s">
        <v>18053</v>
      </c>
      <c r="F699" s="0" t="s">
        <v>40</v>
      </c>
      <c r="G699" s="0" t="s">
        <v>18054</v>
      </c>
    </row>
    <row r="700" customFormat="false" ht="15" hidden="false" customHeight="false" outlineLevel="0" collapsed="false">
      <c r="A700" s="0" t="n">
        <v>3185</v>
      </c>
      <c r="B700" s="0" t="n">
        <v>21778</v>
      </c>
      <c r="C700" s="0" t="s">
        <v>3373</v>
      </c>
      <c r="D700" s="0" t="s">
        <v>19</v>
      </c>
      <c r="E700" s="0" t="s">
        <v>18053</v>
      </c>
      <c r="F700" s="0" t="s">
        <v>40</v>
      </c>
      <c r="G700" s="0" t="s">
        <v>18054</v>
      </c>
    </row>
    <row r="701" customFormat="false" ht="15" hidden="false" customHeight="false" outlineLevel="0" collapsed="false">
      <c r="A701" s="0" t="n">
        <v>3186</v>
      </c>
      <c r="B701" s="0" t="n">
        <v>21779</v>
      </c>
      <c r="C701" s="0" t="s">
        <v>13245</v>
      </c>
      <c r="D701" s="0" t="s">
        <v>19</v>
      </c>
      <c r="E701" s="0" t="s">
        <v>18053</v>
      </c>
      <c r="F701" s="0" t="s">
        <v>40</v>
      </c>
      <c r="G701" s="0" t="s">
        <v>18054</v>
      </c>
    </row>
    <row r="702" customFormat="false" ht="15" hidden="false" customHeight="false" outlineLevel="0" collapsed="false">
      <c r="A702" s="0" t="n">
        <v>3187</v>
      </c>
      <c r="B702" s="0" t="n">
        <v>21780</v>
      </c>
      <c r="C702" s="0" t="s">
        <v>13248</v>
      </c>
      <c r="D702" s="0" t="s">
        <v>19</v>
      </c>
      <c r="E702" s="0" t="s">
        <v>18053</v>
      </c>
      <c r="F702" s="0" t="s">
        <v>40</v>
      </c>
      <c r="G702" s="0" t="s">
        <v>18054</v>
      </c>
    </row>
    <row r="703" customFormat="false" ht="15" hidden="false" customHeight="false" outlineLevel="0" collapsed="false">
      <c r="A703" s="0" t="n">
        <v>3188</v>
      </c>
      <c r="B703" s="0" t="n">
        <v>21781</v>
      </c>
      <c r="C703" s="0" t="s">
        <v>13251</v>
      </c>
      <c r="D703" s="0" t="s">
        <v>19</v>
      </c>
      <c r="E703" s="0" t="s">
        <v>18053</v>
      </c>
      <c r="F703" s="0" t="s">
        <v>40</v>
      </c>
      <c r="G703" s="0" t="s">
        <v>18054</v>
      </c>
    </row>
    <row r="704" customFormat="false" ht="15" hidden="false" customHeight="false" outlineLevel="0" collapsed="false">
      <c r="A704" s="0" t="n">
        <v>3190</v>
      </c>
      <c r="B704" s="0" t="n">
        <v>21783</v>
      </c>
      <c r="C704" s="0" t="s">
        <v>13257</v>
      </c>
      <c r="D704" s="0" t="s">
        <v>19</v>
      </c>
      <c r="E704" s="0" t="s">
        <v>18053</v>
      </c>
      <c r="F704" s="0" t="s">
        <v>40</v>
      </c>
      <c r="G704" s="0" t="s">
        <v>18054</v>
      </c>
    </row>
    <row r="705" customFormat="false" ht="15" hidden="false" customHeight="false" outlineLevel="0" collapsed="false">
      <c r="A705" s="0" t="n">
        <v>3191</v>
      </c>
      <c r="B705" s="0" t="n">
        <v>21784</v>
      </c>
      <c r="C705" s="0" t="s">
        <v>13260</v>
      </c>
      <c r="D705" s="0" t="s">
        <v>19</v>
      </c>
      <c r="E705" s="0" t="s">
        <v>18053</v>
      </c>
      <c r="F705" s="0" t="s">
        <v>40</v>
      </c>
      <c r="G705" s="0" t="s">
        <v>18054</v>
      </c>
    </row>
    <row r="706" customFormat="false" ht="15" hidden="false" customHeight="false" outlineLevel="0" collapsed="false">
      <c r="A706" s="0" t="n">
        <v>3193</v>
      </c>
      <c r="B706" s="0" t="n">
        <v>21787</v>
      </c>
      <c r="C706" s="0" t="s">
        <v>13268</v>
      </c>
      <c r="D706" s="0" t="s">
        <v>19</v>
      </c>
      <c r="E706" s="0" t="s">
        <v>18053</v>
      </c>
      <c r="F706" s="0" t="s">
        <v>40</v>
      </c>
      <c r="G706" s="0" t="s">
        <v>18054</v>
      </c>
    </row>
    <row r="707" customFormat="false" ht="15" hidden="false" customHeight="false" outlineLevel="0" collapsed="false">
      <c r="A707" s="0" t="n">
        <v>3201</v>
      </c>
      <c r="B707" s="0" t="n">
        <v>21795</v>
      </c>
      <c r="C707" s="0" t="s">
        <v>13293</v>
      </c>
      <c r="D707" s="0" t="s">
        <v>19</v>
      </c>
      <c r="E707" s="0" t="s">
        <v>18053</v>
      </c>
      <c r="F707" s="0" t="s">
        <v>40</v>
      </c>
      <c r="G707" s="0" t="s">
        <v>18054</v>
      </c>
    </row>
    <row r="708" customFormat="false" ht="15" hidden="false" customHeight="false" outlineLevel="0" collapsed="false">
      <c r="A708" s="0" t="n">
        <v>3202</v>
      </c>
      <c r="B708" s="0" t="n">
        <v>21796</v>
      </c>
      <c r="C708" s="0" t="s">
        <v>13298</v>
      </c>
      <c r="D708" s="0" t="s">
        <v>19</v>
      </c>
      <c r="E708" s="0" t="s">
        <v>18053</v>
      </c>
      <c r="F708" s="0" t="s">
        <v>40</v>
      </c>
      <c r="G708" s="0" t="s">
        <v>18054</v>
      </c>
    </row>
    <row r="709" customFormat="false" ht="15" hidden="false" customHeight="false" outlineLevel="0" collapsed="false">
      <c r="A709" s="0" t="n">
        <v>3203</v>
      </c>
      <c r="B709" s="0" t="n">
        <v>21801</v>
      </c>
      <c r="C709" s="0" t="s">
        <v>13301</v>
      </c>
      <c r="D709" s="0" t="s">
        <v>19</v>
      </c>
      <c r="E709" s="0" t="s">
        <v>18053</v>
      </c>
      <c r="F709" s="0" t="s">
        <v>40</v>
      </c>
      <c r="G709" s="0" t="s">
        <v>18054</v>
      </c>
    </row>
    <row r="710" customFormat="false" ht="15" hidden="false" customHeight="false" outlineLevel="0" collapsed="false">
      <c r="A710" s="0" t="n">
        <v>3204</v>
      </c>
      <c r="B710" s="0" t="n">
        <v>21802</v>
      </c>
      <c r="C710" s="0" t="s">
        <v>13305</v>
      </c>
      <c r="D710" s="0" t="s">
        <v>19</v>
      </c>
      <c r="E710" s="0" t="s">
        <v>18053</v>
      </c>
      <c r="F710" s="0" t="s">
        <v>40</v>
      </c>
      <c r="G710" s="0" t="s">
        <v>18054</v>
      </c>
    </row>
    <row r="711" customFormat="false" ht="15" hidden="false" customHeight="false" outlineLevel="0" collapsed="false">
      <c r="A711" s="0" t="n">
        <v>3205</v>
      </c>
      <c r="B711" s="0" t="n">
        <v>21803</v>
      </c>
      <c r="C711" s="0" t="s">
        <v>13307</v>
      </c>
      <c r="D711" s="0" t="s">
        <v>19</v>
      </c>
      <c r="E711" s="0" t="s">
        <v>18053</v>
      </c>
      <c r="F711" s="0" t="s">
        <v>40</v>
      </c>
      <c r="G711" s="0" t="s">
        <v>18054</v>
      </c>
    </row>
    <row r="712" customFormat="false" ht="15" hidden="false" customHeight="false" outlineLevel="0" collapsed="false">
      <c r="A712" s="0" t="n">
        <v>3206</v>
      </c>
      <c r="B712" s="0" t="n">
        <v>21804</v>
      </c>
      <c r="C712" s="0" t="s">
        <v>13311</v>
      </c>
      <c r="D712" s="0" t="s">
        <v>19</v>
      </c>
      <c r="E712" s="0" t="s">
        <v>18053</v>
      </c>
      <c r="F712" s="0" t="s">
        <v>40</v>
      </c>
      <c r="G712" s="0" t="s">
        <v>18054</v>
      </c>
    </row>
    <row r="713" customFormat="false" ht="15" hidden="false" customHeight="false" outlineLevel="0" collapsed="false">
      <c r="A713" s="0" t="n">
        <v>3207</v>
      </c>
      <c r="B713" s="0" t="n">
        <v>21805</v>
      </c>
      <c r="C713" s="0" t="s">
        <v>13315</v>
      </c>
      <c r="D713" s="0" t="s">
        <v>19</v>
      </c>
      <c r="E713" s="0" t="s">
        <v>18053</v>
      </c>
      <c r="F713" s="0" t="s">
        <v>40</v>
      </c>
      <c r="G713" s="0" t="s">
        <v>18054</v>
      </c>
    </row>
    <row r="714" customFormat="false" ht="15" hidden="false" customHeight="false" outlineLevel="0" collapsed="false">
      <c r="A714" s="0" t="n">
        <v>3208</v>
      </c>
      <c r="B714" s="0" t="n">
        <v>21806</v>
      </c>
      <c r="C714" s="0" t="s">
        <v>13320</v>
      </c>
      <c r="D714" s="0" t="s">
        <v>19</v>
      </c>
      <c r="E714" s="0" t="s">
        <v>18053</v>
      </c>
      <c r="F714" s="0" t="s">
        <v>40</v>
      </c>
      <c r="G714" s="0" t="s">
        <v>18054</v>
      </c>
    </row>
    <row r="715" customFormat="false" ht="15" hidden="false" customHeight="false" outlineLevel="0" collapsed="false">
      <c r="A715" s="0" t="n">
        <v>3209</v>
      </c>
      <c r="B715" s="0" t="n">
        <v>21807</v>
      </c>
      <c r="C715" s="0" t="s">
        <v>13323</v>
      </c>
      <c r="D715" s="0" t="s">
        <v>19</v>
      </c>
      <c r="E715" s="0" t="s">
        <v>18053</v>
      </c>
      <c r="F715" s="0" t="s">
        <v>40</v>
      </c>
      <c r="G715" s="0" t="s">
        <v>18054</v>
      </c>
    </row>
    <row r="716" customFormat="false" ht="15" hidden="false" customHeight="false" outlineLevel="0" collapsed="false">
      <c r="A716" s="0" t="n">
        <v>3210</v>
      </c>
      <c r="B716" s="0" t="n">
        <v>21808</v>
      </c>
      <c r="C716" s="0" t="s">
        <v>13326</v>
      </c>
      <c r="D716" s="0" t="s">
        <v>19</v>
      </c>
      <c r="E716" s="0" t="s">
        <v>18053</v>
      </c>
      <c r="F716" s="0" t="s">
        <v>40</v>
      </c>
      <c r="G716" s="0" t="s">
        <v>18054</v>
      </c>
    </row>
    <row r="717" customFormat="false" ht="15" hidden="false" customHeight="false" outlineLevel="0" collapsed="false">
      <c r="A717" s="0" t="n">
        <v>3211</v>
      </c>
      <c r="B717" s="0" t="n">
        <v>21809</v>
      </c>
      <c r="C717" s="0" t="s">
        <v>13329</v>
      </c>
      <c r="D717" s="0" t="s">
        <v>19</v>
      </c>
      <c r="E717" s="0" t="s">
        <v>18053</v>
      </c>
      <c r="F717" s="0" t="s">
        <v>40</v>
      </c>
      <c r="G717" s="0" t="s">
        <v>18054</v>
      </c>
    </row>
    <row r="718" customFormat="false" ht="15" hidden="false" customHeight="false" outlineLevel="0" collapsed="false">
      <c r="A718" s="0" t="n">
        <v>3220</v>
      </c>
      <c r="B718" s="0" t="n">
        <v>22405</v>
      </c>
      <c r="C718" s="0" t="s">
        <v>13362</v>
      </c>
      <c r="D718" s="0" t="s">
        <v>21</v>
      </c>
      <c r="E718" s="0" t="s">
        <v>18062</v>
      </c>
      <c r="F718" s="0" t="s">
        <v>42</v>
      </c>
      <c r="G718" s="0" t="s">
        <v>18052</v>
      </c>
    </row>
    <row r="719" customFormat="false" ht="15" hidden="false" customHeight="false" outlineLevel="0" collapsed="false">
      <c r="A719" s="0" t="n">
        <v>3226</v>
      </c>
      <c r="B719" s="0" t="n">
        <v>21824</v>
      </c>
      <c r="C719" s="0" t="s">
        <v>13384</v>
      </c>
      <c r="D719" s="0" t="s">
        <v>19</v>
      </c>
      <c r="E719" s="0" t="s">
        <v>18053</v>
      </c>
      <c r="F719" s="0" t="s">
        <v>40</v>
      </c>
      <c r="G719" s="0" t="s">
        <v>18054</v>
      </c>
    </row>
    <row r="720" customFormat="false" ht="15" hidden="false" customHeight="false" outlineLevel="0" collapsed="false">
      <c r="A720" s="0" t="n">
        <v>3232</v>
      </c>
      <c r="B720" s="0" t="n">
        <v>21830</v>
      </c>
      <c r="C720" s="0" t="s">
        <v>13408</v>
      </c>
      <c r="D720" s="0" t="s">
        <v>19</v>
      </c>
      <c r="E720" s="0" t="s">
        <v>18053</v>
      </c>
      <c r="F720" s="0" t="s">
        <v>40</v>
      </c>
      <c r="G720" s="0" t="s">
        <v>18054</v>
      </c>
    </row>
    <row r="721" customFormat="false" ht="15" hidden="false" customHeight="false" outlineLevel="0" collapsed="false">
      <c r="A721" s="0" t="n">
        <v>3233</v>
      </c>
      <c r="B721" s="0" t="n">
        <v>21831</v>
      </c>
      <c r="C721" s="0" t="s">
        <v>13411</v>
      </c>
      <c r="D721" s="0" t="s">
        <v>19</v>
      </c>
      <c r="E721" s="0" t="s">
        <v>18053</v>
      </c>
      <c r="F721" s="0" t="s">
        <v>40</v>
      </c>
      <c r="G721" s="0" t="s">
        <v>18054</v>
      </c>
    </row>
    <row r="722" customFormat="false" ht="15" hidden="false" customHeight="false" outlineLevel="0" collapsed="false">
      <c r="A722" s="0" t="n">
        <v>3234</v>
      </c>
      <c r="B722" s="0" t="n">
        <v>21832</v>
      </c>
      <c r="C722" s="0" t="s">
        <v>13414</v>
      </c>
      <c r="D722" s="0" t="s">
        <v>19</v>
      </c>
      <c r="E722" s="0" t="s">
        <v>18053</v>
      </c>
      <c r="F722" s="0" t="s">
        <v>40</v>
      </c>
      <c r="G722" s="0" t="s">
        <v>18054</v>
      </c>
    </row>
    <row r="723" customFormat="false" ht="15" hidden="false" customHeight="false" outlineLevel="0" collapsed="false">
      <c r="A723" s="0" t="n">
        <v>3235</v>
      </c>
      <c r="B723" s="0" t="n">
        <v>21833</v>
      </c>
      <c r="C723" s="0" t="s">
        <v>8366</v>
      </c>
      <c r="D723" s="0" t="s">
        <v>19</v>
      </c>
      <c r="E723" s="0" t="s">
        <v>18053</v>
      </c>
      <c r="F723" s="0" t="s">
        <v>40</v>
      </c>
      <c r="G723" s="0" t="s">
        <v>18054</v>
      </c>
    </row>
    <row r="724" customFormat="false" ht="15" hidden="false" customHeight="false" outlineLevel="0" collapsed="false">
      <c r="A724" s="0" t="n">
        <v>3236</v>
      </c>
      <c r="B724" s="0" t="n">
        <v>21834</v>
      </c>
      <c r="C724" s="0" t="s">
        <v>13419</v>
      </c>
      <c r="D724" s="0" t="s">
        <v>19</v>
      </c>
      <c r="E724" s="0" t="s">
        <v>18053</v>
      </c>
      <c r="F724" s="0" t="s">
        <v>40</v>
      </c>
      <c r="G724" s="0" t="s">
        <v>18054</v>
      </c>
    </row>
    <row r="725" customFormat="false" ht="15" hidden="false" customHeight="false" outlineLevel="0" collapsed="false">
      <c r="A725" s="0" t="n">
        <v>3237</v>
      </c>
      <c r="B725" s="0" t="n">
        <v>21835</v>
      </c>
      <c r="C725" s="0" t="s">
        <v>13422</v>
      </c>
      <c r="D725" s="0" t="s">
        <v>19</v>
      </c>
      <c r="E725" s="0" t="s">
        <v>18053</v>
      </c>
      <c r="F725" s="0" t="s">
        <v>40</v>
      </c>
      <c r="G725" s="0" t="s">
        <v>18054</v>
      </c>
    </row>
    <row r="726" customFormat="false" ht="15" hidden="false" customHeight="false" outlineLevel="0" collapsed="false">
      <c r="A726" s="0" t="n">
        <v>3238</v>
      </c>
      <c r="B726" s="0" t="n">
        <v>21836</v>
      </c>
      <c r="C726" s="0" t="s">
        <v>13425</v>
      </c>
      <c r="D726" s="0" t="s">
        <v>19</v>
      </c>
      <c r="E726" s="0" t="s">
        <v>18053</v>
      </c>
      <c r="F726" s="0" t="s">
        <v>40</v>
      </c>
      <c r="G726" s="0" t="s">
        <v>18054</v>
      </c>
    </row>
    <row r="727" customFormat="false" ht="15" hidden="false" customHeight="false" outlineLevel="0" collapsed="false">
      <c r="A727" s="0" t="n">
        <v>3239</v>
      </c>
      <c r="B727" s="0" t="n">
        <v>21837</v>
      </c>
      <c r="C727" s="0" t="s">
        <v>13429</v>
      </c>
      <c r="D727" s="0" t="s">
        <v>19</v>
      </c>
      <c r="E727" s="0" t="s">
        <v>18053</v>
      </c>
      <c r="F727" s="0" t="s">
        <v>40</v>
      </c>
      <c r="G727" s="0" t="s">
        <v>18054</v>
      </c>
    </row>
    <row r="728" customFormat="false" ht="15" hidden="false" customHeight="false" outlineLevel="0" collapsed="false">
      <c r="A728" s="0" t="n">
        <v>3240</v>
      </c>
      <c r="B728" s="0" t="n">
        <v>21838</v>
      </c>
      <c r="C728" s="0" t="s">
        <v>13432</v>
      </c>
      <c r="D728" s="0" t="s">
        <v>19</v>
      </c>
      <c r="E728" s="0" t="s">
        <v>18053</v>
      </c>
      <c r="F728" s="0" t="s">
        <v>40</v>
      </c>
      <c r="G728" s="0" t="s">
        <v>18054</v>
      </c>
    </row>
    <row r="729" customFormat="false" ht="15" hidden="false" customHeight="false" outlineLevel="0" collapsed="false">
      <c r="A729" s="0" t="n">
        <v>3241</v>
      </c>
      <c r="B729" s="0" t="n">
        <v>21839</v>
      </c>
      <c r="C729" s="0" t="s">
        <v>13434</v>
      </c>
      <c r="D729" s="0" t="s">
        <v>19</v>
      </c>
      <c r="E729" s="0" t="s">
        <v>18053</v>
      </c>
      <c r="F729" s="0" t="s">
        <v>40</v>
      </c>
      <c r="G729" s="0" t="s">
        <v>18054</v>
      </c>
    </row>
    <row r="730" customFormat="false" ht="15" hidden="false" customHeight="false" outlineLevel="0" collapsed="false">
      <c r="A730" s="0" t="n">
        <v>3243</v>
      </c>
      <c r="B730" s="0" t="n">
        <v>21841</v>
      </c>
      <c r="C730" s="0" t="s">
        <v>13440</v>
      </c>
      <c r="D730" s="0" t="s">
        <v>19</v>
      </c>
      <c r="E730" s="0" t="s">
        <v>18053</v>
      </c>
      <c r="F730" s="0" t="s">
        <v>40</v>
      </c>
      <c r="G730" s="0" t="s">
        <v>18054</v>
      </c>
    </row>
    <row r="731" customFormat="false" ht="15" hidden="false" customHeight="false" outlineLevel="0" collapsed="false">
      <c r="A731" s="0" t="n">
        <v>3244</v>
      </c>
      <c r="B731" s="0" t="n">
        <v>21842</v>
      </c>
      <c r="C731" s="0" t="s">
        <v>13444</v>
      </c>
      <c r="D731" s="0" t="s">
        <v>19</v>
      </c>
      <c r="E731" s="0" t="s">
        <v>18053</v>
      </c>
      <c r="F731" s="0" t="s">
        <v>40</v>
      </c>
      <c r="G731" s="0" t="s">
        <v>18054</v>
      </c>
    </row>
    <row r="732" customFormat="false" ht="15" hidden="false" customHeight="false" outlineLevel="0" collapsed="false">
      <c r="A732" s="0" t="n">
        <v>3245</v>
      </c>
      <c r="B732" s="0" t="n">
        <v>21843</v>
      </c>
      <c r="C732" s="0" t="s">
        <v>13448</v>
      </c>
      <c r="D732" s="0" t="s">
        <v>19</v>
      </c>
      <c r="E732" s="0" t="s">
        <v>18053</v>
      </c>
      <c r="F732" s="0" t="s">
        <v>40</v>
      </c>
      <c r="G732" s="0" t="s">
        <v>18054</v>
      </c>
    </row>
    <row r="733" customFormat="false" ht="15" hidden="false" customHeight="false" outlineLevel="0" collapsed="false">
      <c r="A733" s="0" t="n">
        <v>3246</v>
      </c>
      <c r="B733" s="0" t="n">
        <v>21845</v>
      </c>
      <c r="C733" s="0" t="s">
        <v>13451</v>
      </c>
      <c r="D733" s="0" t="s">
        <v>19</v>
      </c>
      <c r="E733" s="0" t="s">
        <v>18053</v>
      </c>
      <c r="F733" s="0" t="s">
        <v>40</v>
      </c>
      <c r="G733" s="0" t="s">
        <v>18054</v>
      </c>
    </row>
    <row r="734" customFormat="false" ht="15" hidden="false" customHeight="false" outlineLevel="0" collapsed="false">
      <c r="A734" s="0" t="n">
        <v>3248</v>
      </c>
      <c r="B734" s="0" t="n">
        <v>21847</v>
      </c>
      <c r="C734" s="0" t="s">
        <v>13459</v>
      </c>
      <c r="D734" s="0" t="s">
        <v>19</v>
      </c>
      <c r="E734" s="0" t="s">
        <v>18053</v>
      </c>
      <c r="F734" s="0" t="s">
        <v>40</v>
      </c>
      <c r="G734" s="0" t="s">
        <v>18054</v>
      </c>
    </row>
    <row r="735" customFormat="false" ht="15" hidden="false" customHeight="false" outlineLevel="0" collapsed="false">
      <c r="A735" s="0" t="n">
        <v>3249</v>
      </c>
      <c r="B735" s="0" t="n">
        <v>21848</v>
      </c>
      <c r="C735" s="0" t="s">
        <v>13462</v>
      </c>
      <c r="D735" s="0" t="s">
        <v>19</v>
      </c>
      <c r="E735" s="0" t="s">
        <v>18053</v>
      </c>
      <c r="F735" s="0" t="s">
        <v>40</v>
      </c>
      <c r="G735" s="0" t="s">
        <v>18054</v>
      </c>
    </row>
    <row r="736" customFormat="false" ht="15" hidden="false" customHeight="false" outlineLevel="0" collapsed="false">
      <c r="A736" s="0" t="n">
        <v>3250</v>
      </c>
      <c r="B736" s="0" t="n">
        <v>21849</v>
      </c>
      <c r="C736" s="0" t="s">
        <v>13467</v>
      </c>
      <c r="D736" s="0" t="s">
        <v>19</v>
      </c>
      <c r="E736" s="0" t="s">
        <v>18053</v>
      </c>
      <c r="F736" s="0" t="s">
        <v>40</v>
      </c>
      <c r="G736" s="0" t="s">
        <v>18054</v>
      </c>
    </row>
    <row r="737" customFormat="false" ht="15" hidden="false" customHeight="false" outlineLevel="0" collapsed="false">
      <c r="A737" s="0" t="n">
        <v>3251</v>
      </c>
      <c r="B737" s="0" t="n">
        <v>21850</v>
      </c>
      <c r="C737" s="0" t="s">
        <v>13470</v>
      </c>
      <c r="D737" s="0" t="s">
        <v>19</v>
      </c>
      <c r="E737" s="0" t="s">
        <v>18053</v>
      </c>
      <c r="F737" s="0" t="s">
        <v>40</v>
      </c>
      <c r="G737" s="0" t="s">
        <v>18054</v>
      </c>
    </row>
    <row r="738" customFormat="false" ht="15" hidden="false" customHeight="false" outlineLevel="0" collapsed="false">
      <c r="A738" s="0" t="n">
        <v>3252</v>
      </c>
      <c r="B738" s="0" t="n">
        <v>21851</v>
      </c>
      <c r="C738" s="0" t="s">
        <v>13473</v>
      </c>
      <c r="D738" s="0" t="s">
        <v>19</v>
      </c>
      <c r="E738" s="0" t="s">
        <v>18053</v>
      </c>
      <c r="F738" s="0" t="s">
        <v>40</v>
      </c>
      <c r="G738" s="0" t="s">
        <v>18054</v>
      </c>
    </row>
    <row r="739" customFormat="false" ht="15" hidden="false" customHeight="false" outlineLevel="0" collapsed="false">
      <c r="A739" s="0" t="n">
        <v>3253</v>
      </c>
      <c r="B739" s="0" t="n">
        <v>21852</v>
      </c>
      <c r="C739" s="0" t="s">
        <v>13477</v>
      </c>
      <c r="D739" s="0" t="s">
        <v>19</v>
      </c>
      <c r="E739" s="0" t="s">
        <v>18053</v>
      </c>
      <c r="F739" s="0" t="s">
        <v>40</v>
      </c>
      <c r="G739" s="0" t="s">
        <v>18054</v>
      </c>
    </row>
    <row r="740" customFormat="false" ht="15" hidden="false" customHeight="false" outlineLevel="0" collapsed="false">
      <c r="A740" s="0" t="n">
        <v>3254</v>
      </c>
      <c r="B740" s="0" t="n">
        <v>21853</v>
      </c>
      <c r="C740" s="0" t="s">
        <v>13481</v>
      </c>
      <c r="D740" s="0" t="s">
        <v>19</v>
      </c>
      <c r="E740" s="0" t="s">
        <v>18053</v>
      </c>
      <c r="F740" s="0" t="s">
        <v>40</v>
      </c>
      <c r="G740" s="0" t="s">
        <v>18054</v>
      </c>
    </row>
    <row r="741" customFormat="false" ht="15" hidden="false" customHeight="false" outlineLevel="0" collapsed="false">
      <c r="A741" s="0" t="n">
        <v>3255</v>
      </c>
      <c r="B741" s="0" t="n">
        <v>21854</v>
      </c>
      <c r="C741" s="0" t="s">
        <v>13484</v>
      </c>
      <c r="D741" s="0" t="s">
        <v>19</v>
      </c>
      <c r="E741" s="0" t="s">
        <v>18053</v>
      </c>
      <c r="F741" s="0" t="s">
        <v>40</v>
      </c>
      <c r="G741" s="0" t="s">
        <v>18054</v>
      </c>
    </row>
    <row r="742" customFormat="false" ht="15" hidden="false" customHeight="false" outlineLevel="0" collapsed="false">
      <c r="A742" s="0" t="n">
        <v>3256</v>
      </c>
      <c r="B742" s="0" t="n">
        <v>21855</v>
      </c>
      <c r="C742" s="0" t="s">
        <v>13488</v>
      </c>
      <c r="D742" s="0" t="s">
        <v>19</v>
      </c>
      <c r="E742" s="0" t="s">
        <v>18053</v>
      </c>
      <c r="F742" s="0" t="s">
        <v>40</v>
      </c>
      <c r="G742" s="0" t="s">
        <v>18054</v>
      </c>
    </row>
    <row r="743" customFormat="false" ht="15" hidden="false" customHeight="false" outlineLevel="0" collapsed="false">
      <c r="A743" s="0" t="n">
        <v>3257</v>
      </c>
      <c r="B743" s="0" t="n">
        <v>21856</v>
      </c>
      <c r="C743" s="0" t="s">
        <v>13492</v>
      </c>
      <c r="D743" s="0" t="s">
        <v>19</v>
      </c>
      <c r="E743" s="0" t="s">
        <v>18053</v>
      </c>
      <c r="F743" s="0" t="s">
        <v>40</v>
      </c>
      <c r="G743" s="0" t="s">
        <v>18054</v>
      </c>
    </row>
    <row r="744" customFormat="false" ht="15" hidden="false" customHeight="false" outlineLevel="0" collapsed="false">
      <c r="A744" s="0" t="n">
        <v>3258</v>
      </c>
      <c r="B744" s="0" t="n">
        <v>21857</v>
      </c>
      <c r="C744" s="0" t="s">
        <v>13496</v>
      </c>
      <c r="D744" s="0" t="s">
        <v>19</v>
      </c>
      <c r="E744" s="0" t="s">
        <v>18053</v>
      </c>
      <c r="F744" s="0" t="s">
        <v>40</v>
      </c>
      <c r="G744" s="0" t="s">
        <v>18054</v>
      </c>
    </row>
    <row r="745" customFormat="false" ht="15" hidden="false" customHeight="false" outlineLevel="0" collapsed="false">
      <c r="A745" s="0" t="n">
        <v>3259</v>
      </c>
      <c r="B745" s="0" t="n">
        <v>21858</v>
      </c>
      <c r="C745" s="0" t="s">
        <v>13500</v>
      </c>
      <c r="D745" s="0" t="s">
        <v>19</v>
      </c>
      <c r="E745" s="0" t="s">
        <v>18053</v>
      </c>
      <c r="F745" s="0" t="s">
        <v>40</v>
      </c>
      <c r="G745" s="0" t="s">
        <v>18054</v>
      </c>
    </row>
    <row r="746" customFormat="false" ht="15" hidden="false" customHeight="false" outlineLevel="0" collapsed="false">
      <c r="A746" s="0" t="n">
        <v>3260</v>
      </c>
      <c r="B746" s="0" t="n">
        <v>21859</v>
      </c>
      <c r="C746" s="0" t="s">
        <v>13503</v>
      </c>
      <c r="D746" s="0" t="s">
        <v>19</v>
      </c>
      <c r="E746" s="0" t="s">
        <v>18053</v>
      </c>
      <c r="F746" s="0" t="s">
        <v>40</v>
      </c>
      <c r="G746" s="0" t="s">
        <v>18054</v>
      </c>
    </row>
    <row r="747" customFormat="false" ht="15" hidden="false" customHeight="false" outlineLevel="0" collapsed="false">
      <c r="A747" s="0" t="n">
        <v>3262</v>
      </c>
      <c r="B747" s="0" t="n">
        <v>21861</v>
      </c>
      <c r="C747" s="0" t="s">
        <v>13509</v>
      </c>
      <c r="D747" s="0" t="s">
        <v>19</v>
      </c>
      <c r="E747" s="0" t="s">
        <v>18053</v>
      </c>
      <c r="F747" s="0" t="s">
        <v>40</v>
      </c>
      <c r="G747" s="0" t="s">
        <v>18054</v>
      </c>
    </row>
    <row r="748" customFormat="false" ht="15" hidden="false" customHeight="false" outlineLevel="0" collapsed="false">
      <c r="A748" s="0" t="n">
        <v>3263</v>
      </c>
      <c r="B748" s="0" t="n">
        <v>21862</v>
      </c>
      <c r="C748" s="0" t="s">
        <v>13513</v>
      </c>
      <c r="D748" s="0" t="s">
        <v>19</v>
      </c>
      <c r="E748" s="0" t="s">
        <v>18053</v>
      </c>
      <c r="F748" s="0" t="s">
        <v>40</v>
      </c>
      <c r="G748" s="0" t="s">
        <v>18054</v>
      </c>
    </row>
    <row r="749" customFormat="false" ht="15" hidden="false" customHeight="false" outlineLevel="0" collapsed="false">
      <c r="A749" s="0" t="n">
        <v>3264</v>
      </c>
      <c r="B749" s="0" t="n">
        <v>21863</v>
      </c>
      <c r="C749" s="0" t="s">
        <v>13517</v>
      </c>
      <c r="D749" s="0" t="s">
        <v>19</v>
      </c>
      <c r="E749" s="0" t="s">
        <v>18053</v>
      </c>
      <c r="F749" s="0" t="s">
        <v>40</v>
      </c>
      <c r="G749" s="0" t="s">
        <v>18054</v>
      </c>
    </row>
    <row r="750" customFormat="false" ht="15" hidden="false" customHeight="false" outlineLevel="0" collapsed="false">
      <c r="A750" s="0" t="n">
        <v>3265</v>
      </c>
      <c r="B750" s="0" t="n">
        <v>21864</v>
      </c>
      <c r="C750" s="0" t="s">
        <v>13522</v>
      </c>
      <c r="D750" s="0" t="s">
        <v>19</v>
      </c>
      <c r="E750" s="0" t="s">
        <v>18053</v>
      </c>
      <c r="F750" s="0" t="s">
        <v>40</v>
      </c>
      <c r="G750" s="0" t="s">
        <v>18054</v>
      </c>
    </row>
    <row r="751" customFormat="false" ht="15" hidden="false" customHeight="false" outlineLevel="0" collapsed="false">
      <c r="A751" s="0" t="n">
        <v>3269</v>
      </c>
      <c r="B751" s="0" t="n">
        <v>21868</v>
      </c>
      <c r="C751" s="0" t="s">
        <v>13540</v>
      </c>
      <c r="D751" s="0" t="s">
        <v>21</v>
      </c>
      <c r="E751" s="0" t="s">
        <v>18051</v>
      </c>
      <c r="F751" s="0" t="s">
        <v>1216</v>
      </c>
      <c r="G751" s="0" t="s">
        <v>18052</v>
      </c>
    </row>
    <row r="752" customFormat="false" ht="15" hidden="false" customHeight="false" outlineLevel="0" collapsed="false">
      <c r="A752" s="0" t="n">
        <v>3274</v>
      </c>
      <c r="B752" s="0" t="n">
        <v>21874</v>
      </c>
      <c r="C752" s="0" t="s">
        <v>13562</v>
      </c>
      <c r="D752" s="0" t="s">
        <v>19</v>
      </c>
      <c r="E752" s="0" t="s">
        <v>18053</v>
      </c>
      <c r="F752" s="0" t="s">
        <v>40</v>
      </c>
      <c r="G752" s="0" t="s">
        <v>18054</v>
      </c>
    </row>
    <row r="753" customFormat="false" ht="15" hidden="false" customHeight="false" outlineLevel="0" collapsed="false">
      <c r="A753" s="0" t="n">
        <v>3275</v>
      </c>
      <c r="B753" s="0" t="n">
        <v>21875</v>
      </c>
      <c r="C753" s="0" t="s">
        <v>13565</v>
      </c>
      <c r="D753" s="0" t="s">
        <v>19</v>
      </c>
      <c r="E753" s="0" t="s">
        <v>18053</v>
      </c>
      <c r="F753" s="0" t="s">
        <v>40</v>
      </c>
      <c r="G753" s="0" t="s">
        <v>18054</v>
      </c>
    </row>
    <row r="754" customFormat="false" ht="15" hidden="false" customHeight="false" outlineLevel="0" collapsed="false">
      <c r="A754" s="0" t="n">
        <v>3276</v>
      </c>
      <c r="B754" s="0" t="n">
        <v>21876</v>
      </c>
      <c r="C754" s="0" t="s">
        <v>13568</v>
      </c>
      <c r="D754" s="0" t="s">
        <v>19</v>
      </c>
      <c r="E754" s="0" t="s">
        <v>18053</v>
      </c>
      <c r="F754" s="0" t="s">
        <v>40</v>
      </c>
      <c r="G754" s="0" t="s">
        <v>18054</v>
      </c>
    </row>
    <row r="755" customFormat="false" ht="15" hidden="false" customHeight="false" outlineLevel="0" collapsed="false">
      <c r="A755" s="0" t="n">
        <v>3277</v>
      </c>
      <c r="B755" s="0" t="n">
        <v>21878</v>
      </c>
      <c r="C755" s="0" t="s">
        <v>13571</v>
      </c>
      <c r="D755" s="0" t="s">
        <v>19</v>
      </c>
      <c r="E755" s="0" t="s">
        <v>18053</v>
      </c>
      <c r="F755" s="0" t="s">
        <v>40</v>
      </c>
      <c r="G755" s="0" t="s">
        <v>18054</v>
      </c>
    </row>
    <row r="756" customFormat="false" ht="15" hidden="false" customHeight="false" outlineLevel="0" collapsed="false">
      <c r="A756" s="0" t="n">
        <v>3288</v>
      </c>
      <c r="B756" s="0" t="n">
        <v>21895</v>
      </c>
      <c r="C756" s="0" t="s">
        <v>13608</v>
      </c>
      <c r="D756" s="0" t="s">
        <v>19</v>
      </c>
      <c r="E756" s="0" t="s">
        <v>18053</v>
      </c>
      <c r="F756" s="0" t="s">
        <v>40</v>
      </c>
      <c r="G756" s="0" t="s">
        <v>18054</v>
      </c>
    </row>
    <row r="757" customFormat="false" ht="15" hidden="false" customHeight="false" outlineLevel="0" collapsed="false">
      <c r="A757" s="0" t="n">
        <v>3289</v>
      </c>
      <c r="B757" s="0" t="n">
        <v>21896</v>
      </c>
      <c r="C757" s="0" t="s">
        <v>13612</v>
      </c>
      <c r="D757" s="0" t="s">
        <v>19</v>
      </c>
      <c r="E757" s="0" t="s">
        <v>18053</v>
      </c>
      <c r="F757" s="0" t="s">
        <v>40</v>
      </c>
      <c r="G757" s="0" t="s">
        <v>18054</v>
      </c>
    </row>
    <row r="758" customFormat="false" ht="15" hidden="false" customHeight="false" outlineLevel="0" collapsed="false">
      <c r="A758" s="0" t="n">
        <v>3292</v>
      </c>
      <c r="B758" s="0" t="n">
        <v>21899</v>
      </c>
      <c r="C758" s="0" t="s">
        <v>13622</v>
      </c>
      <c r="D758" s="0" t="s">
        <v>19</v>
      </c>
      <c r="E758" s="0" t="s">
        <v>18053</v>
      </c>
      <c r="F758" s="0" t="s">
        <v>40</v>
      </c>
      <c r="G758" s="0" t="s">
        <v>18054</v>
      </c>
    </row>
    <row r="759" customFormat="false" ht="15" hidden="false" customHeight="false" outlineLevel="0" collapsed="false">
      <c r="A759" s="0" t="n">
        <v>3293</v>
      </c>
      <c r="B759" s="0" t="n">
        <v>21901</v>
      </c>
      <c r="C759" s="0" t="s">
        <v>13626</v>
      </c>
      <c r="D759" s="0" t="s">
        <v>19</v>
      </c>
      <c r="E759" s="0" t="s">
        <v>18053</v>
      </c>
      <c r="F759" s="0" t="s">
        <v>40</v>
      </c>
      <c r="G759" s="0" t="s">
        <v>18054</v>
      </c>
    </row>
    <row r="760" customFormat="false" ht="15" hidden="false" customHeight="false" outlineLevel="0" collapsed="false">
      <c r="A760" s="0" t="n">
        <v>3298</v>
      </c>
      <c r="B760" s="0" t="n">
        <v>21906</v>
      </c>
      <c r="C760" s="0" t="s">
        <v>13643</v>
      </c>
      <c r="D760" s="0" t="s">
        <v>19</v>
      </c>
      <c r="E760" s="0" t="s">
        <v>18053</v>
      </c>
      <c r="F760" s="0" t="s">
        <v>40</v>
      </c>
      <c r="G760" s="0" t="s">
        <v>18054</v>
      </c>
    </row>
    <row r="761" customFormat="false" ht="15" hidden="false" customHeight="false" outlineLevel="0" collapsed="false">
      <c r="A761" s="0" t="n">
        <v>3300</v>
      </c>
      <c r="B761" s="0" t="n">
        <v>21908</v>
      </c>
      <c r="C761" s="0" t="s">
        <v>13648</v>
      </c>
      <c r="D761" s="0" t="s">
        <v>19</v>
      </c>
      <c r="E761" s="0" t="s">
        <v>18053</v>
      </c>
      <c r="F761" s="0" t="s">
        <v>40</v>
      </c>
      <c r="G761" s="0" t="s">
        <v>18054</v>
      </c>
    </row>
    <row r="762" customFormat="false" ht="15" hidden="false" customHeight="false" outlineLevel="0" collapsed="false">
      <c r="A762" s="0" t="n">
        <v>3301</v>
      </c>
      <c r="B762" s="0" t="n">
        <v>21909</v>
      </c>
      <c r="C762" s="0" t="s">
        <v>13650</v>
      </c>
      <c r="D762" s="0" t="s">
        <v>19</v>
      </c>
      <c r="E762" s="0" t="s">
        <v>18053</v>
      </c>
      <c r="F762" s="0" t="s">
        <v>40</v>
      </c>
      <c r="G762" s="0" t="s">
        <v>18054</v>
      </c>
    </row>
    <row r="763" customFormat="false" ht="15" hidden="false" customHeight="false" outlineLevel="0" collapsed="false">
      <c r="A763" s="0" t="n">
        <v>3310</v>
      </c>
      <c r="B763" s="0" t="n">
        <v>21918</v>
      </c>
      <c r="C763" s="0" t="s">
        <v>13680</v>
      </c>
      <c r="D763" s="0" t="s">
        <v>19</v>
      </c>
      <c r="E763" s="0" t="s">
        <v>18053</v>
      </c>
      <c r="F763" s="0" t="s">
        <v>40</v>
      </c>
      <c r="G763" s="0" t="s">
        <v>18054</v>
      </c>
    </row>
    <row r="764" customFormat="false" ht="15" hidden="false" customHeight="false" outlineLevel="0" collapsed="false">
      <c r="A764" s="0" t="n">
        <v>3314</v>
      </c>
      <c r="B764" s="0" t="n">
        <v>21922</v>
      </c>
      <c r="C764" s="0" t="s">
        <v>13693</v>
      </c>
      <c r="D764" s="0" t="s">
        <v>19</v>
      </c>
      <c r="E764" s="0" t="s">
        <v>18053</v>
      </c>
      <c r="F764" s="0" t="s">
        <v>40</v>
      </c>
      <c r="G764" s="0" t="s">
        <v>18054</v>
      </c>
    </row>
    <row r="765" customFormat="false" ht="15" hidden="false" customHeight="false" outlineLevel="0" collapsed="false">
      <c r="A765" s="0" t="n">
        <v>3315</v>
      </c>
      <c r="B765" s="0" t="n">
        <v>21923</v>
      </c>
      <c r="C765" s="0" t="s">
        <v>13696</v>
      </c>
      <c r="D765" s="0" t="s">
        <v>19</v>
      </c>
      <c r="E765" s="0" t="s">
        <v>18053</v>
      </c>
      <c r="F765" s="0" t="s">
        <v>40</v>
      </c>
      <c r="G765" s="0" t="s">
        <v>18054</v>
      </c>
    </row>
    <row r="766" customFormat="false" ht="15" hidden="false" customHeight="false" outlineLevel="0" collapsed="false">
      <c r="A766" s="0" t="n">
        <v>3316</v>
      </c>
      <c r="B766" s="0" t="n">
        <v>21924</v>
      </c>
      <c r="C766" s="0" t="s">
        <v>13699</v>
      </c>
      <c r="D766" s="0" t="s">
        <v>19</v>
      </c>
      <c r="E766" s="0" t="s">
        <v>18053</v>
      </c>
      <c r="F766" s="0" t="s">
        <v>40</v>
      </c>
      <c r="G766" s="0" t="s">
        <v>18054</v>
      </c>
    </row>
    <row r="767" customFormat="false" ht="15" hidden="false" customHeight="false" outlineLevel="0" collapsed="false">
      <c r="A767" s="0" t="n">
        <v>3317</v>
      </c>
      <c r="B767" s="0" t="n">
        <v>21925</v>
      </c>
      <c r="C767" s="0" t="s">
        <v>13702</v>
      </c>
      <c r="D767" s="0" t="s">
        <v>19</v>
      </c>
      <c r="E767" s="0" t="s">
        <v>18053</v>
      </c>
      <c r="F767" s="0" t="s">
        <v>40</v>
      </c>
      <c r="G767" s="0" t="s">
        <v>18054</v>
      </c>
    </row>
    <row r="768" customFormat="false" ht="15" hidden="false" customHeight="false" outlineLevel="0" collapsed="false">
      <c r="A768" s="0" t="n">
        <v>3318</v>
      </c>
      <c r="B768" s="0" t="n">
        <v>21926</v>
      </c>
      <c r="C768" s="0" t="s">
        <v>13705</v>
      </c>
      <c r="D768" s="0" t="s">
        <v>19</v>
      </c>
      <c r="E768" s="0" t="s">
        <v>18053</v>
      </c>
      <c r="F768" s="0" t="s">
        <v>40</v>
      </c>
      <c r="G768" s="0" t="s">
        <v>18054</v>
      </c>
    </row>
    <row r="769" customFormat="false" ht="15" hidden="false" customHeight="false" outlineLevel="0" collapsed="false">
      <c r="A769" s="0" t="n">
        <v>3319</v>
      </c>
      <c r="B769" s="0" t="n">
        <v>21927</v>
      </c>
      <c r="C769" s="0" t="s">
        <v>13708</v>
      </c>
      <c r="D769" s="0" t="s">
        <v>19</v>
      </c>
      <c r="E769" s="0" t="s">
        <v>18053</v>
      </c>
      <c r="F769" s="0" t="s">
        <v>40</v>
      </c>
      <c r="G769" s="0" t="s">
        <v>18054</v>
      </c>
    </row>
    <row r="770" customFormat="false" ht="15" hidden="false" customHeight="false" outlineLevel="0" collapsed="false">
      <c r="A770" s="0" t="n">
        <v>3320</v>
      </c>
      <c r="B770" s="0" t="n">
        <v>21928</v>
      </c>
      <c r="C770" s="0" t="s">
        <v>13711</v>
      </c>
      <c r="D770" s="0" t="s">
        <v>19</v>
      </c>
      <c r="E770" s="0" t="s">
        <v>18053</v>
      </c>
      <c r="F770" s="0" t="s">
        <v>40</v>
      </c>
      <c r="G770" s="0" t="s">
        <v>18054</v>
      </c>
    </row>
    <row r="771" customFormat="false" ht="15" hidden="false" customHeight="false" outlineLevel="0" collapsed="false">
      <c r="A771" s="0" t="n">
        <v>3321</v>
      </c>
      <c r="B771" s="0" t="n">
        <v>21929</v>
      </c>
      <c r="C771" s="0" t="s">
        <v>13715</v>
      </c>
      <c r="D771" s="0" t="s">
        <v>19</v>
      </c>
      <c r="E771" s="0" t="s">
        <v>18053</v>
      </c>
      <c r="F771" s="0" t="s">
        <v>40</v>
      </c>
      <c r="G771" s="0" t="s">
        <v>18054</v>
      </c>
    </row>
    <row r="772" customFormat="false" ht="15" hidden="false" customHeight="false" outlineLevel="0" collapsed="false">
      <c r="A772" s="0" t="n">
        <v>3322</v>
      </c>
      <c r="B772" s="0" t="n">
        <v>21930</v>
      </c>
      <c r="C772" s="0" t="s">
        <v>13719</v>
      </c>
      <c r="D772" s="0" t="s">
        <v>19</v>
      </c>
      <c r="E772" s="0" t="s">
        <v>18053</v>
      </c>
      <c r="F772" s="0" t="s">
        <v>40</v>
      </c>
      <c r="G772" s="0" t="s">
        <v>18054</v>
      </c>
    </row>
    <row r="773" customFormat="false" ht="15" hidden="false" customHeight="false" outlineLevel="0" collapsed="false">
      <c r="A773" s="0" t="n">
        <v>3323</v>
      </c>
      <c r="B773" s="0" t="n">
        <v>21931</v>
      </c>
      <c r="C773" s="0" t="s">
        <v>584</v>
      </c>
      <c r="D773" s="0" t="s">
        <v>19</v>
      </c>
      <c r="E773" s="0" t="s">
        <v>18053</v>
      </c>
      <c r="F773" s="0" t="s">
        <v>40</v>
      </c>
      <c r="G773" s="0" t="s">
        <v>18054</v>
      </c>
    </row>
    <row r="774" customFormat="false" ht="15" hidden="false" customHeight="false" outlineLevel="0" collapsed="false">
      <c r="A774" s="0" t="n">
        <v>3324</v>
      </c>
      <c r="B774" s="0" t="n">
        <v>21932</v>
      </c>
      <c r="C774" s="0" t="s">
        <v>13724</v>
      </c>
      <c r="D774" s="0" t="s">
        <v>19</v>
      </c>
      <c r="E774" s="0" t="s">
        <v>18053</v>
      </c>
      <c r="F774" s="0" t="s">
        <v>40</v>
      </c>
      <c r="G774" s="0" t="s">
        <v>18054</v>
      </c>
    </row>
    <row r="775" customFormat="false" ht="15" hidden="false" customHeight="false" outlineLevel="0" collapsed="false">
      <c r="A775" s="0" t="n">
        <v>3325</v>
      </c>
      <c r="B775" s="0" t="n">
        <v>21933</v>
      </c>
      <c r="C775" s="0" t="s">
        <v>13727</v>
      </c>
      <c r="D775" s="0" t="s">
        <v>19</v>
      </c>
      <c r="E775" s="0" t="s">
        <v>18053</v>
      </c>
      <c r="F775" s="0" t="s">
        <v>40</v>
      </c>
      <c r="G775" s="0" t="s">
        <v>18054</v>
      </c>
    </row>
    <row r="776" customFormat="false" ht="15" hidden="false" customHeight="false" outlineLevel="0" collapsed="false">
      <c r="A776" s="0" t="n">
        <v>3326</v>
      </c>
      <c r="B776" s="0" t="n">
        <v>21934</v>
      </c>
      <c r="C776" s="0" t="s">
        <v>13730</v>
      </c>
      <c r="D776" s="0" t="s">
        <v>19</v>
      </c>
      <c r="E776" s="0" t="s">
        <v>18053</v>
      </c>
      <c r="F776" s="0" t="s">
        <v>40</v>
      </c>
      <c r="G776" s="0" t="s">
        <v>18054</v>
      </c>
    </row>
    <row r="777" customFormat="false" ht="15" hidden="false" customHeight="false" outlineLevel="0" collapsed="false">
      <c r="A777" s="0" t="n">
        <v>3327</v>
      </c>
      <c r="B777" s="0" t="n">
        <v>21935</v>
      </c>
      <c r="C777" s="0" t="s">
        <v>13733</v>
      </c>
      <c r="D777" s="0" t="s">
        <v>19</v>
      </c>
      <c r="E777" s="0" t="s">
        <v>18053</v>
      </c>
      <c r="F777" s="0" t="s">
        <v>40</v>
      </c>
      <c r="G777" s="0" t="s">
        <v>18054</v>
      </c>
    </row>
    <row r="778" customFormat="false" ht="15" hidden="false" customHeight="false" outlineLevel="0" collapsed="false">
      <c r="A778" s="0" t="n">
        <v>3328</v>
      </c>
      <c r="B778" s="0" t="n">
        <v>21936</v>
      </c>
      <c r="C778" s="0" t="s">
        <v>13736</v>
      </c>
      <c r="D778" s="0" t="s">
        <v>19</v>
      </c>
      <c r="E778" s="0" t="s">
        <v>18053</v>
      </c>
      <c r="F778" s="0" t="s">
        <v>40</v>
      </c>
      <c r="G778" s="0" t="s">
        <v>18054</v>
      </c>
    </row>
    <row r="779" customFormat="false" ht="15" hidden="false" customHeight="false" outlineLevel="0" collapsed="false">
      <c r="A779" s="0" t="n">
        <v>3329</v>
      </c>
      <c r="B779" s="0" t="n">
        <v>21937</v>
      </c>
      <c r="C779" s="0" t="s">
        <v>13739</v>
      </c>
      <c r="D779" s="0" t="s">
        <v>19</v>
      </c>
      <c r="E779" s="0" t="s">
        <v>18053</v>
      </c>
      <c r="F779" s="0" t="s">
        <v>40</v>
      </c>
      <c r="G779" s="0" t="s">
        <v>18054</v>
      </c>
    </row>
    <row r="780" customFormat="false" ht="15" hidden="false" customHeight="false" outlineLevel="0" collapsed="false">
      <c r="A780" s="0" t="n">
        <v>3330</v>
      </c>
      <c r="B780" s="0" t="n">
        <v>21938</v>
      </c>
      <c r="C780" s="0" t="s">
        <v>13742</v>
      </c>
      <c r="D780" s="0" t="s">
        <v>19</v>
      </c>
      <c r="E780" s="0" t="s">
        <v>18053</v>
      </c>
      <c r="F780" s="0" t="s">
        <v>40</v>
      </c>
      <c r="G780" s="0" t="s">
        <v>18054</v>
      </c>
    </row>
    <row r="781" customFormat="false" ht="15" hidden="false" customHeight="false" outlineLevel="0" collapsed="false">
      <c r="A781" s="0" t="n">
        <v>3331</v>
      </c>
      <c r="B781" s="0" t="n">
        <v>21939</v>
      </c>
      <c r="C781" s="0" t="s">
        <v>13745</v>
      </c>
      <c r="D781" s="0" t="s">
        <v>19</v>
      </c>
      <c r="E781" s="0" t="s">
        <v>18053</v>
      </c>
      <c r="F781" s="0" t="s">
        <v>40</v>
      </c>
      <c r="G781" s="0" t="s">
        <v>18054</v>
      </c>
    </row>
    <row r="782" customFormat="false" ht="15" hidden="false" customHeight="false" outlineLevel="0" collapsed="false">
      <c r="A782" s="0" t="n">
        <v>3332</v>
      </c>
      <c r="B782" s="0" t="n">
        <v>21940</v>
      </c>
      <c r="C782" s="0" t="s">
        <v>13748</v>
      </c>
      <c r="D782" s="0" t="s">
        <v>19</v>
      </c>
      <c r="E782" s="0" t="s">
        <v>18053</v>
      </c>
      <c r="F782" s="0" t="s">
        <v>40</v>
      </c>
      <c r="G782" s="0" t="s">
        <v>18054</v>
      </c>
    </row>
    <row r="783" customFormat="false" ht="15" hidden="false" customHeight="false" outlineLevel="0" collapsed="false">
      <c r="A783" s="0" t="n">
        <v>3333</v>
      </c>
      <c r="B783" s="0" t="n">
        <v>21941</v>
      </c>
      <c r="C783" s="0" t="s">
        <v>13751</v>
      </c>
      <c r="D783" s="0" t="s">
        <v>19</v>
      </c>
      <c r="E783" s="0" t="s">
        <v>18053</v>
      </c>
      <c r="F783" s="0" t="s">
        <v>40</v>
      </c>
      <c r="G783" s="0" t="s">
        <v>18054</v>
      </c>
    </row>
    <row r="784" customFormat="false" ht="15" hidden="false" customHeight="false" outlineLevel="0" collapsed="false">
      <c r="A784" s="0" t="n">
        <v>3334</v>
      </c>
      <c r="B784" s="0" t="n">
        <v>21942</v>
      </c>
      <c r="C784" s="0" t="s">
        <v>13754</v>
      </c>
      <c r="D784" s="0" t="s">
        <v>19</v>
      </c>
      <c r="E784" s="0" t="s">
        <v>18053</v>
      </c>
      <c r="F784" s="0" t="s">
        <v>40</v>
      </c>
      <c r="G784" s="0" t="s">
        <v>18054</v>
      </c>
    </row>
    <row r="785" customFormat="false" ht="15" hidden="false" customHeight="false" outlineLevel="0" collapsed="false">
      <c r="A785" s="0" t="n">
        <v>3337</v>
      </c>
      <c r="B785" s="0" t="n">
        <v>21945</v>
      </c>
      <c r="C785" s="0" t="s">
        <v>13766</v>
      </c>
      <c r="D785" s="0" t="s">
        <v>19</v>
      </c>
      <c r="E785" s="0" t="s">
        <v>18053</v>
      </c>
      <c r="F785" s="0" t="s">
        <v>40</v>
      </c>
      <c r="G785" s="0" t="s">
        <v>18054</v>
      </c>
    </row>
    <row r="786" customFormat="false" ht="15" hidden="false" customHeight="false" outlineLevel="0" collapsed="false">
      <c r="A786" s="0" t="n">
        <v>3338</v>
      </c>
      <c r="B786" s="0" t="n">
        <v>21946</v>
      </c>
      <c r="C786" s="0" t="s">
        <v>13769</v>
      </c>
      <c r="D786" s="0" t="s">
        <v>19</v>
      </c>
      <c r="E786" s="0" t="s">
        <v>18053</v>
      </c>
      <c r="F786" s="0" t="s">
        <v>40</v>
      </c>
      <c r="G786" s="0" t="s">
        <v>18054</v>
      </c>
    </row>
    <row r="787" customFormat="false" ht="15" hidden="false" customHeight="false" outlineLevel="0" collapsed="false">
      <c r="A787" s="0" t="n">
        <v>3339</v>
      </c>
      <c r="B787" s="0" t="n">
        <v>21947</v>
      </c>
      <c r="C787" s="0" t="s">
        <v>13772</v>
      </c>
      <c r="D787" s="0" t="s">
        <v>19</v>
      </c>
      <c r="E787" s="0" t="s">
        <v>18053</v>
      </c>
      <c r="F787" s="0" t="s">
        <v>40</v>
      </c>
      <c r="G787" s="0" t="s">
        <v>18054</v>
      </c>
    </row>
    <row r="788" customFormat="false" ht="15" hidden="false" customHeight="false" outlineLevel="0" collapsed="false">
      <c r="A788" s="0" t="n">
        <v>3341</v>
      </c>
      <c r="B788" s="0" t="n">
        <v>21951</v>
      </c>
      <c r="C788" s="0" t="s">
        <v>13780</v>
      </c>
      <c r="D788" s="0" t="s">
        <v>19</v>
      </c>
      <c r="E788" s="0" t="s">
        <v>18053</v>
      </c>
      <c r="F788" s="0" t="s">
        <v>40</v>
      </c>
      <c r="G788" s="0" t="s">
        <v>18054</v>
      </c>
    </row>
    <row r="789" customFormat="false" ht="15" hidden="false" customHeight="false" outlineLevel="0" collapsed="false">
      <c r="A789" s="0" t="n">
        <v>3342</v>
      </c>
      <c r="B789" s="0" t="n">
        <v>21952</v>
      </c>
      <c r="C789" s="0" t="s">
        <v>13784</v>
      </c>
      <c r="D789" s="0" t="s">
        <v>19</v>
      </c>
      <c r="E789" s="0" t="s">
        <v>18053</v>
      </c>
      <c r="F789" s="0" t="s">
        <v>40</v>
      </c>
      <c r="G789" s="0" t="s">
        <v>18054</v>
      </c>
    </row>
    <row r="790" customFormat="false" ht="15" hidden="false" customHeight="false" outlineLevel="0" collapsed="false">
      <c r="A790" s="0" t="n">
        <v>3348</v>
      </c>
      <c r="B790" s="0" t="n">
        <v>21958</v>
      </c>
      <c r="C790" s="0" t="s">
        <v>13805</v>
      </c>
      <c r="D790" s="0" t="s">
        <v>19</v>
      </c>
      <c r="E790" s="0" t="s">
        <v>18053</v>
      </c>
      <c r="F790" s="0" t="s">
        <v>40</v>
      </c>
      <c r="G790" s="0" t="s">
        <v>18054</v>
      </c>
    </row>
    <row r="791" customFormat="false" ht="15" hidden="false" customHeight="false" outlineLevel="0" collapsed="false">
      <c r="A791" s="0" t="n">
        <v>3349</v>
      </c>
      <c r="B791" s="0" t="n">
        <v>21959</v>
      </c>
      <c r="C791" s="0" t="s">
        <v>13808</v>
      </c>
      <c r="D791" s="0" t="s">
        <v>19</v>
      </c>
      <c r="E791" s="0" t="s">
        <v>18053</v>
      </c>
      <c r="F791" s="0" t="s">
        <v>40</v>
      </c>
      <c r="G791" s="0" t="s">
        <v>18054</v>
      </c>
    </row>
    <row r="792" customFormat="false" ht="15" hidden="false" customHeight="false" outlineLevel="0" collapsed="false">
      <c r="A792" s="0" t="n">
        <v>3350</v>
      </c>
      <c r="B792" s="0" t="n">
        <v>21961</v>
      </c>
      <c r="C792" s="0" t="s">
        <v>13811</v>
      </c>
      <c r="D792" s="0" t="s">
        <v>19</v>
      </c>
      <c r="E792" s="0" t="s">
        <v>18053</v>
      </c>
      <c r="F792" s="0" t="s">
        <v>40</v>
      </c>
      <c r="G792" s="0" t="s">
        <v>18054</v>
      </c>
    </row>
    <row r="793" customFormat="false" ht="15" hidden="false" customHeight="false" outlineLevel="0" collapsed="false">
      <c r="A793" s="0" t="n">
        <v>3351</v>
      </c>
      <c r="B793" s="0" t="n">
        <v>21962</v>
      </c>
      <c r="C793" s="0" t="s">
        <v>13814</v>
      </c>
      <c r="D793" s="0" t="s">
        <v>19</v>
      </c>
      <c r="E793" s="0" t="s">
        <v>18053</v>
      </c>
      <c r="F793" s="0" t="s">
        <v>40</v>
      </c>
      <c r="G793" s="0" t="s">
        <v>18054</v>
      </c>
    </row>
    <row r="794" customFormat="false" ht="15" hidden="false" customHeight="false" outlineLevel="0" collapsed="false">
      <c r="A794" s="0" t="n">
        <v>3352</v>
      </c>
      <c r="B794" s="0" t="n">
        <v>21963</v>
      </c>
      <c r="C794" s="0" t="s">
        <v>13816</v>
      </c>
      <c r="D794" s="0" t="s">
        <v>19</v>
      </c>
      <c r="E794" s="0" t="s">
        <v>18053</v>
      </c>
      <c r="F794" s="0" t="s">
        <v>40</v>
      </c>
      <c r="G794" s="0" t="s">
        <v>18054</v>
      </c>
    </row>
    <row r="795" customFormat="false" ht="15" hidden="false" customHeight="false" outlineLevel="0" collapsed="false">
      <c r="A795" s="0" t="n">
        <v>3353</v>
      </c>
      <c r="B795" s="0" t="n">
        <v>21964</v>
      </c>
      <c r="C795" s="0" t="s">
        <v>13819</v>
      </c>
      <c r="D795" s="0" t="s">
        <v>19</v>
      </c>
      <c r="E795" s="0" t="s">
        <v>18053</v>
      </c>
      <c r="F795" s="0" t="s">
        <v>40</v>
      </c>
      <c r="G795" s="0" t="s">
        <v>18054</v>
      </c>
    </row>
    <row r="796" customFormat="false" ht="15" hidden="false" customHeight="false" outlineLevel="0" collapsed="false">
      <c r="A796" s="0" t="n">
        <v>3354</v>
      </c>
      <c r="B796" s="0" t="n">
        <v>21965</v>
      </c>
      <c r="C796" s="0" t="s">
        <v>13823</v>
      </c>
      <c r="D796" s="0" t="s">
        <v>19</v>
      </c>
      <c r="E796" s="0" t="s">
        <v>18053</v>
      </c>
      <c r="F796" s="0" t="s">
        <v>40</v>
      </c>
      <c r="G796" s="0" t="s">
        <v>18054</v>
      </c>
    </row>
    <row r="797" customFormat="false" ht="15" hidden="false" customHeight="false" outlineLevel="0" collapsed="false">
      <c r="A797" s="0" t="n">
        <v>3356</v>
      </c>
      <c r="B797" s="0" t="n">
        <v>21967</v>
      </c>
      <c r="C797" s="0" t="s">
        <v>13830</v>
      </c>
      <c r="D797" s="0" t="s">
        <v>19</v>
      </c>
      <c r="E797" s="0" t="s">
        <v>18053</v>
      </c>
      <c r="F797" s="0" t="s">
        <v>40</v>
      </c>
      <c r="G797" s="0" t="s">
        <v>18054</v>
      </c>
    </row>
    <row r="798" customFormat="false" ht="15" hidden="false" customHeight="false" outlineLevel="0" collapsed="false">
      <c r="A798" s="0" t="n">
        <v>3363</v>
      </c>
      <c r="B798" s="0" t="n">
        <v>21974</v>
      </c>
      <c r="C798" s="0" t="s">
        <v>13853</v>
      </c>
      <c r="D798" s="0" t="s">
        <v>19</v>
      </c>
      <c r="E798" s="0" t="s">
        <v>18053</v>
      </c>
      <c r="F798" s="0" t="s">
        <v>40</v>
      </c>
      <c r="G798" s="0" t="s">
        <v>18054</v>
      </c>
    </row>
    <row r="799" customFormat="false" ht="15" hidden="false" customHeight="false" outlineLevel="0" collapsed="false">
      <c r="A799" s="0" t="n">
        <v>3364</v>
      </c>
      <c r="B799" s="0" t="n">
        <v>21975</v>
      </c>
      <c r="C799" s="0" t="s">
        <v>13856</v>
      </c>
      <c r="D799" s="0" t="s">
        <v>19</v>
      </c>
      <c r="E799" s="0" t="s">
        <v>18053</v>
      </c>
      <c r="F799" s="0" t="s">
        <v>40</v>
      </c>
      <c r="G799" s="0" t="s">
        <v>18054</v>
      </c>
    </row>
    <row r="800" customFormat="false" ht="15" hidden="false" customHeight="false" outlineLevel="0" collapsed="false">
      <c r="A800" s="0" t="n">
        <v>3366</v>
      </c>
      <c r="B800" s="0" t="n">
        <v>21977</v>
      </c>
      <c r="C800" s="0" t="s">
        <v>13862</v>
      </c>
      <c r="D800" s="0" t="s">
        <v>19</v>
      </c>
      <c r="E800" s="0" t="s">
        <v>18053</v>
      </c>
      <c r="F800" s="0" t="s">
        <v>40</v>
      </c>
      <c r="G800" s="0" t="s">
        <v>18054</v>
      </c>
    </row>
    <row r="801" customFormat="false" ht="15" hidden="false" customHeight="false" outlineLevel="0" collapsed="false">
      <c r="A801" s="0" t="n">
        <v>3367</v>
      </c>
      <c r="B801" s="0" t="n">
        <v>21979</v>
      </c>
      <c r="C801" s="0" t="s">
        <v>13865</v>
      </c>
      <c r="D801" s="0" t="s">
        <v>19</v>
      </c>
      <c r="E801" s="0" t="s">
        <v>18053</v>
      </c>
      <c r="F801" s="0" t="s">
        <v>40</v>
      </c>
      <c r="G801" s="0" t="s">
        <v>18054</v>
      </c>
    </row>
    <row r="802" customFormat="false" ht="15" hidden="false" customHeight="false" outlineLevel="0" collapsed="false">
      <c r="A802" s="0" t="n">
        <v>3368</v>
      </c>
      <c r="B802" s="0" t="n">
        <v>21980</v>
      </c>
      <c r="C802" s="0" t="s">
        <v>13870</v>
      </c>
      <c r="D802" s="0" t="s">
        <v>19</v>
      </c>
      <c r="E802" s="0" t="s">
        <v>18053</v>
      </c>
      <c r="F802" s="0" t="s">
        <v>40</v>
      </c>
      <c r="G802" s="0" t="s">
        <v>18054</v>
      </c>
    </row>
    <row r="803" customFormat="false" ht="15" hidden="false" customHeight="false" outlineLevel="0" collapsed="false">
      <c r="A803" s="0" t="n">
        <v>3369</v>
      </c>
      <c r="B803" s="0" t="n">
        <v>21984</v>
      </c>
      <c r="C803" s="0" t="s">
        <v>13874</v>
      </c>
      <c r="D803" s="0" t="s">
        <v>19</v>
      </c>
      <c r="E803" s="0" t="s">
        <v>18053</v>
      </c>
      <c r="F803" s="0" t="s">
        <v>40</v>
      </c>
      <c r="G803" s="0" t="s">
        <v>18054</v>
      </c>
    </row>
    <row r="804" customFormat="false" ht="15" hidden="false" customHeight="false" outlineLevel="0" collapsed="false">
      <c r="A804" s="0" t="n">
        <v>3370</v>
      </c>
      <c r="B804" s="0" t="n">
        <v>21985</v>
      </c>
      <c r="C804" s="0" t="s">
        <v>13878</v>
      </c>
      <c r="D804" s="0" t="s">
        <v>19</v>
      </c>
      <c r="E804" s="0" t="s">
        <v>18053</v>
      </c>
      <c r="F804" s="0" t="s">
        <v>40</v>
      </c>
      <c r="G804" s="0" t="s">
        <v>18054</v>
      </c>
    </row>
    <row r="805" customFormat="false" ht="15" hidden="false" customHeight="false" outlineLevel="0" collapsed="false">
      <c r="A805" s="0" t="n">
        <v>3371</v>
      </c>
      <c r="B805" s="0" t="n">
        <v>21986</v>
      </c>
      <c r="C805" s="0" t="s">
        <v>13882</v>
      </c>
      <c r="D805" s="0" t="s">
        <v>19</v>
      </c>
      <c r="E805" s="0" t="s">
        <v>18053</v>
      </c>
      <c r="F805" s="0" t="s">
        <v>40</v>
      </c>
      <c r="G805" s="0" t="s">
        <v>18054</v>
      </c>
    </row>
    <row r="806" customFormat="false" ht="15" hidden="false" customHeight="false" outlineLevel="0" collapsed="false">
      <c r="A806" s="0" t="n">
        <v>3372</v>
      </c>
      <c r="B806" s="0" t="n">
        <v>21987</v>
      </c>
      <c r="C806" s="0" t="s">
        <v>13888</v>
      </c>
      <c r="D806" s="0" t="s">
        <v>19</v>
      </c>
      <c r="E806" s="0" t="s">
        <v>18053</v>
      </c>
      <c r="F806" s="0" t="s">
        <v>40</v>
      </c>
      <c r="G806" s="0" t="s">
        <v>18054</v>
      </c>
    </row>
    <row r="807" customFormat="false" ht="15" hidden="false" customHeight="false" outlineLevel="0" collapsed="false">
      <c r="A807" s="0" t="n">
        <v>3373</v>
      </c>
      <c r="B807" s="0" t="n">
        <v>21988</v>
      </c>
      <c r="C807" s="0" t="s">
        <v>13891</v>
      </c>
      <c r="D807" s="0" t="s">
        <v>19</v>
      </c>
      <c r="E807" s="0" t="s">
        <v>18053</v>
      </c>
      <c r="F807" s="0" t="s">
        <v>40</v>
      </c>
      <c r="G807" s="0" t="s">
        <v>18054</v>
      </c>
    </row>
    <row r="808" customFormat="false" ht="15" hidden="false" customHeight="false" outlineLevel="0" collapsed="false">
      <c r="A808" s="0" t="n">
        <v>3374</v>
      </c>
      <c r="B808" s="0" t="n">
        <v>21989</v>
      </c>
      <c r="C808" s="0" t="s">
        <v>13895</v>
      </c>
      <c r="D808" s="0" t="s">
        <v>19</v>
      </c>
      <c r="E808" s="0" t="s">
        <v>18053</v>
      </c>
      <c r="F808" s="0" t="s">
        <v>40</v>
      </c>
      <c r="G808" s="0" t="s">
        <v>18054</v>
      </c>
    </row>
    <row r="809" customFormat="false" ht="15" hidden="false" customHeight="false" outlineLevel="0" collapsed="false">
      <c r="A809" s="0" t="n">
        <v>3375</v>
      </c>
      <c r="B809" s="0" t="n">
        <v>21990</v>
      </c>
      <c r="C809" s="0" t="s">
        <v>13899</v>
      </c>
      <c r="D809" s="0" t="s">
        <v>19</v>
      </c>
      <c r="E809" s="0" t="s">
        <v>18053</v>
      </c>
      <c r="F809" s="0" t="s">
        <v>40</v>
      </c>
      <c r="G809" s="0" t="s">
        <v>18054</v>
      </c>
    </row>
    <row r="810" customFormat="false" ht="15" hidden="false" customHeight="false" outlineLevel="0" collapsed="false">
      <c r="A810" s="0" t="n">
        <v>3376</v>
      </c>
      <c r="B810" s="0" t="n">
        <v>21991</v>
      </c>
      <c r="C810" s="0" t="s">
        <v>13903</v>
      </c>
      <c r="D810" s="0" t="s">
        <v>19</v>
      </c>
      <c r="E810" s="0" t="s">
        <v>18053</v>
      </c>
      <c r="F810" s="0" t="s">
        <v>40</v>
      </c>
      <c r="G810" s="0" t="s">
        <v>18054</v>
      </c>
    </row>
    <row r="811" customFormat="false" ht="15" hidden="false" customHeight="false" outlineLevel="0" collapsed="false">
      <c r="A811" s="0" t="n">
        <v>3377</v>
      </c>
      <c r="B811" s="0" t="n">
        <v>21992</v>
      </c>
      <c r="C811" s="0" t="s">
        <v>13906</v>
      </c>
      <c r="D811" s="0" t="s">
        <v>19</v>
      </c>
      <c r="E811" s="0" t="s">
        <v>18053</v>
      </c>
      <c r="F811" s="0" t="s">
        <v>40</v>
      </c>
      <c r="G811" s="0" t="s">
        <v>18054</v>
      </c>
    </row>
    <row r="812" customFormat="false" ht="15" hidden="false" customHeight="false" outlineLevel="0" collapsed="false">
      <c r="A812" s="0" t="n">
        <v>3378</v>
      </c>
      <c r="B812" s="0" t="n">
        <v>21993</v>
      </c>
      <c r="C812" s="0" t="s">
        <v>13909</v>
      </c>
      <c r="D812" s="0" t="s">
        <v>19</v>
      </c>
      <c r="E812" s="0" t="s">
        <v>18053</v>
      </c>
      <c r="F812" s="0" t="s">
        <v>40</v>
      </c>
      <c r="G812" s="0" t="s">
        <v>18054</v>
      </c>
    </row>
    <row r="813" customFormat="false" ht="15" hidden="false" customHeight="false" outlineLevel="0" collapsed="false">
      <c r="A813" s="0" t="n">
        <v>3379</v>
      </c>
      <c r="B813" s="0" t="n">
        <v>21994</v>
      </c>
      <c r="C813" s="0" t="s">
        <v>13913</v>
      </c>
      <c r="D813" s="0" t="s">
        <v>19</v>
      </c>
      <c r="E813" s="0" t="s">
        <v>18053</v>
      </c>
      <c r="F813" s="0" t="s">
        <v>40</v>
      </c>
      <c r="G813" s="0" t="s">
        <v>18054</v>
      </c>
    </row>
    <row r="814" customFormat="false" ht="15" hidden="false" customHeight="false" outlineLevel="0" collapsed="false">
      <c r="A814" s="0" t="n">
        <v>3380</v>
      </c>
      <c r="B814" s="0" t="n">
        <v>21995</v>
      </c>
      <c r="C814" s="0" t="s">
        <v>13916</v>
      </c>
      <c r="D814" s="0" t="s">
        <v>19</v>
      </c>
      <c r="E814" s="0" t="s">
        <v>18053</v>
      </c>
      <c r="F814" s="0" t="s">
        <v>40</v>
      </c>
      <c r="G814" s="0" t="s">
        <v>18054</v>
      </c>
    </row>
    <row r="815" customFormat="false" ht="15" hidden="false" customHeight="false" outlineLevel="0" collapsed="false">
      <c r="A815" s="0" t="n">
        <v>3381</v>
      </c>
      <c r="B815" s="0" t="n">
        <v>21996</v>
      </c>
      <c r="C815" s="0" t="s">
        <v>13919</v>
      </c>
      <c r="D815" s="0" t="s">
        <v>19</v>
      </c>
      <c r="E815" s="0" t="s">
        <v>18053</v>
      </c>
      <c r="F815" s="0" t="s">
        <v>40</v>
      </c>
      <c r="G815" s="0" t="s">
        <v>18054</v>
      </c>
    </row>
    <row r="816" customFormat="false" ht="15" hidden="false" customHeight="false" outlineLevel="0" collapsed="false">
      <c r="A816" s="0" t="n">
        <v>3384</v>
      </c>
      <c r="B816" s="0" t="n">
        <v>21999</v>
      </c>
      <c r="C816" s="0" t="s">
        <v>13927</v>
      </c>
      <c r="D816" s="0" t="s">
        <v>19</v>
      </c>
      <c r="E816" s="0" t="s">
        <v>18053</v>
      </c>
      <c r="F816" s="0" t="s">
        <v>40</v>
      </c>
      <c r="G816" s="0" t="s">
        <v>18054</v>
      </c>
    </row>
    <row r="817" customFormat="false" ht="15" hidden="false" customHeight="false" outlineLevel="0" collapsed="false">
      <c r="A817" s="0" t="n">
        <v>3387</v>
      </c>
      <c r="B817" s="0" t="n">
        <v>22002</v>
      </c>
      <c r="C817" s="0" t="s">
        <v>13936</v>
      </c>
      <c r="D817" s="0" t="s">
        <v>19</v>
      </c>
      <c r="E817" s="0" t="s">
        <v>18053</v>
      </c>
      <c r="F817" s="0" t="s">
        <v>40</v>
      </c>
      <c r="G817" s="0" t="s">
        <v>18054</v>
      </c>
    </row>
    <row r="818" customFormat="false" ht="15" hidden="false" customHeight="false" outlineLevel="0" collapsed="false">
      <c r="A818" s="0" t="n">
        <v>3388</v>
      </c>
      <c r="B818" s="0" t="n">
        <v>22003</v>
      </c>
      <c r="C818" s="0" t="s">
        <v>13939</v>
      </c>
      <c r="D818" s="0" t="s">
        <v>19</v>
      </c>
      <c r="E818" s="0" t="s">
        <v>18053</v>
      </c>
      <c r="F818" s="0" t="s">
        <v>40</v>
      </c>
      <c r="G818" s="0" t="s">
        <v>18054</v>
      </c>
    </row>
    <row r="819" customFormat="false" ht="15" hidden="false" customHeight="false" outlineLevel="0" collapsed="false">
      <c r="A819" s="0" t="n">
        <v>3389</v>
      </c>
      <c r="B819" s="0" t="n">
        <v>22004</v>
      </c>
      <c r="C819" s="0" t="s">
        <v>13942</v>
      </c>
      <c r="D819" s="0" t="s">
        <v>19</v>
      </c>
      <c r="E819" s="0" t="s">
        <v>18053</v>
      </c>
      <c r="F819" s="0" t="s">
        <v>40</v>
      </c>
      <c r="G819" s="0" t="s">
        <v>18054</v>
      </c>
    </row>
    <row r="820" customFormat="false" ht="15" hidden="false" customHeight="false" outlineLevel="0" collapsed="false">
      <c r="A820" s="0" t="n">
        <v>3390</v>
      </c>
      <c r="B820" s="0" t="n">
        <v>22005</v>
      </c>
      <c r="C820" s="0" t="s">
        <v>13946</v>
      </c>
      <c r="D820" s="0" t="s">
        <v>19</v>
      </c>
      <c r="E820" s="0" t="s">
        <v>18053</v>
      </c>
      <c r="F820" s="0" t="s">
        <v>40</v>
      </c>
      <c r="G820" s="0" t="s">
        <v>18054</v>
      </c>
    </row>
    <row r="821" customFormat="false" ht="15" hidden="false" customHeight="false" outlineLevel="0" collapsed="false">
      <c r="A821" s="0" t="n">
        <v>3392</v>
      </c>
      <c r="B821" s="0" t="n">
        <v>22007</v>
      </c>
      <c r="C821" s="0" t="s">
        <v>13953</v>
      </c>
      <c r="D821" s="0" t="s">
        <v>19</v>
      </c>
      <c r="E821" s="0" t="s">
        <v>18053</v>
      </c>
      <c r="F821" s="0" t="s">
        <v>40</v>
      </c>
      <c r="G821" s="0" t="s">
        <v>18054</v>
      </c>
    </row>
    <row r="822" customFormat="false" ht="15" hidden="false" customHeight="false" outlineLevel="0" collapsed="false">
      <c r="A822" s="0" t="n">
        <v>3393</v>
      </c>
      <c r="B822" s="0" t="n">
        <v>22008</v>
      </c>
      <c r="C822" s="0" t="s">
        <v>13956</v>
      </c>
      <c r="D822" s="0" t="s">
        <v>19</v>
      </c>
      <c r="E822" s="0" t="s">
        <v>18053</v>
      </c>
      <c r="F822" s="0" t="s">
        <v>40</v>
      </c>
      <c r="G822" s="0" t="s">
        <v>18054</v>
      </c>
    </row>
    <row r="823" customFormat="false" ht="15" hidden="false" customHeight="false" outlineLevel="0" collapsed="false">
      <c r="A823" s="0" t="n">
        <v>3394</v>
      </c>
      <c r="B823" s="0" t="n">
        <v>22009</v>
      </c>
      <c r="C823" s="0" t="s">
        <v>13959</v>
      </c>
      <c r="D823" s="0" t="s">
        <v>19</v>
      </c>
      <c r="E823" s="0" t="s">
        <v>18053</v>
      </c>
      <c r="F823" s="0" t="s">
        <v>40</v>
      </c>
      <c r="G823" s="0" t="s">
        <v>18054</v>
      </c>
    </row>
    <row r="824" customFormat="false" ht="15" hidden="false" customHeight="false" outlineLevel="0" collapsed="false">
      <c r="A824" s="0" t="n">
        <v>3395</v>
      </c>
      <c r="B824" s="0" t="n">
        <v>22010</v>
      </c>
      <c r="C824" s="0" t="s">
        <v>13963</v>
      </c>
      <c r="D824" s="0" t="s">
        <v>19</v>
      </c>
      <c r="E824" s="0" t="s">
        <v>18053</v>
      </c>
      <c r="F824" s="0" t="s">
        <v>40</v>
      </c>
      <c r="G824" s="0" t="s">
        <v>18054</v>
      </c>
    </row>
    <row r="825" customFormat="false" ht="15" hidden="false" customHeight="false" outlineLevel="0" collapsed="false">
      <c r="A825" s="0" t="n">
        <v>3396</v>
      </c>
      <c r="B825" s="0" t="n">
        <v>22011</v>
      </c>
      <c r="C825" s="0" t="s">
        <v>13965</v>
      </c>
      <c r="D825" s="0" t="s">
        <v>19</v>
      </c>
      <c r="E825" s="0" t="s">
        <v>18053</v>
      </c>
      <c r="F825" s="0" t="s">
        <v>40</v>
      </c>
      <c r="G825" s="0" t="s">
        <v>18054</v>
      </c>
    </row>
    <row r="826" customFormat="false" ht="15" hidden="false" customHeight="false" outlineLevel="0" collapsed="false">
      <c r="A826" s="0" t="n">
        <v>3397</v>
      </c>
      <c r="B826" s="0" t="n">
        <v>22012</v>
      </c>
      <c r="C826" s="0" t="s">
        <v>13968</v>
      </c>
      <c r="D826" s="0" t="s">
        <v>19</v>
      </c>
      <c r="E826" s="0" t="s">
        <v>18053</v>
      </c>
      <c r="F826" s="0" t="s">
        <v>40</v>
      </c>
      <c r="G826" s="0" t="s">
        <v>18054</v>
      </c>
    </row>
    <row r="827" customFormat="false" ht="15" hidden="false" customHeight="false" outlineLevel="0" collapsed="false">
      <c r="A827" s="0" t="n">
        <v>3398</v>
      </c>
      <c r="B827" s="0" t="n">
        <v>22013</v>
      </c>
      <c r="C827" s="0" t="s">
        <v>13971</v>
      </c>
      <c r="D827" s="0" t="s">
        <v>19</v>
      </c>
      <c r="E827" s="0" t="s">
        <v>18053</v>
      </c>
      <c r="F827" s="0" t="s">
        <v>40</v>
      </c>
      <c r="G827" s="0" t="s">
        <v>18054</v>
      </c>
    </row>
    <row r="828" customFormat="false" ht="15" hidden="false" customHeight="false" outlineLevel="0" collapsed="false">
      <c r="A828" s="0" t="n">
        <v>3403</v>
      </c>
      <c r="B828" s="0" t="n">
        <v>22019</v>
      </c>
      <c r="C828" s="0" t="s">
        <v>13987</v>
      </c>
      <c r="D828" s="0" t="s">
        <v>19</v>
      </c>
      <c r="E828" s="0" t="s">
        <v>18053</v>
      </c>
      <c r="F828" s="0" t="s">
        <v>40</v>
      </c>
      <c r="G828" s="0" t="s">
        <v>18054</v>
      </c>
    </row>
    <row r="829" customFormat="false" ht="15" hidden="false" customHeight="false" outlineLevel="0" collapsed="false">
      <c r="A829" s="0" t="n">
        <v>3406</v>
      </c>
      <c r="B829" s="0" t="n">
        <v>22022</v>
      </c>
      <c r="C829" s="0" t="s">
        <v>14000</v>
      </c>
      <c r="D829" s="0" t="s">
        <v>19</v>
      </c>
      <c r="E829" s="0" t="s">
        <v>18053</v>
      </c>
      <c r="F829" s="0" t="s">
        <v>40</v>
      </c>
      <c r="G829" s="0" t="s">
        <v>18054</v>
      </c>
    </row>
    <row r="830" customFormat="false" ht="15" hidden="false" customHeight="false" outlineLevel="0" collapsed="false">
      <c r="A830" s="0" t="n">
        <v>3407</v>
      </c>
      <c r="B830" s="0" t="n">
        <v>22022</v>
      </c>
      <c r="C830" s="0" t="s">
        <v>14004</v>
      </c>
      <c r="D830" s="0" t="s">
        <v>19</v>
      </c>
      <c r="E830" s="0" t="s">
        <v>18053</v>
      </c>
      <c r="F830" s="0" t="s">
        <v>40</v>
      </c>
      <c r="G830" s="0" t="s">
        <v>18054</v>
      </c>
    </row>
    <row r="831" customFormat="false" ht="15" hidden="false" customHeight="false" outlineLevel="0" collapsed="false">
      <c r="A831" s="0" t="n">
        <v>3408</v>
      </c>
      <c r="B831" s="0" t="n">
        <v>22023</v>
      </c>
      <c r="C831" s="0" t="s">
        <v>14008</v>
      </c>
      <c r="D831" s="0" t="s">
        <v>19</v>
      </c>
      <c r="E831" s="0" t="s">
        <v>18053</v>
      </c>
      <c r="F831" s="0" t="s">
        <v>40</v>
      </c>
      <c r="G831" s="0" t="s">
        <v>18054</v>
      </c>
    </row>
    <row r="832" customFormat="false" ht="15" hidden="false" customHeight="false" outlineLevel="0" collapsed="false">
      <c r="A832" s="0" t="n">
        <v>3410</v>
      </c>
      <c r="B832" s="0" t="n">
        <v>22025</v>
      </c>
      <c r="C832" s="0" t="s">
        <v>14014</v>
      </c>
      <c r="D832" s="0" t="s">
        <v>19</v>
      </c>
      <c r="E832" s="0" t="s">
        <v>18053</v>
      </c>
      <c r="F832" s="0" t="s">
        <v>40</v>
      </c>
      <c r="G832" s="0" t="s">
        <v>18054</v>
      </c>
    </row>
    <row r="833" customFormat="false" ht="15" hidden="false" customHeight="false" outlineLevel="0" collapsed="false">
      <c r="A833" s="0" t="n">
        <v>3418</v>
      </c>
      <c r="B833" s="0" t="n">
        <v>22033</v>
      </c>
      <c r="C833" s="0" t="s">
        <v>14035</v>
      </c>
      <c r="D833" s="0" t="s">
        <v>19</v>
      </c>
      <c r="E833" s="0" t="s">
        <v>18053</v>
      </c>
      <c r="F833" s="0" t="s">
        <v>40</v>
      </c>
      <c r="G833" s="0" t="s">
        <v>18054</v>
      </c>
    </row>
    <row r="834" customFormat="false" ht="15" hidden="false" customHeight="false" outlineLevel="0" collapsed="false">
      <c r="A834" s="0" t="n">
        <v>3419</v>
      </c>
      <c r="B834" s="0" t="n">
        <v>22034</v>
      </c>
      <c r="C834" s="0" t="s">
        <v>14038</v>
      </c>
      <c r="D834" s="0" t="s">
        <v>19</v>
      </c>
      <c r="E834" s="0" t="s">
        <v>18053</v>
      </c>
      <c r="F834" s="0" t="s">
        <v>40</v>
      </c>
      <c r="G834" s="0" t="s">
        <v>18054</v>
      </c>
    </row>
    <row r="835" customFormat="false" ht="15" hidden="false" customHeight="false" outlineLevel="0" collapsed="false">
      <c r="A835" s="0" t="n">
        <v>3420</v>
      </c>
      <c r="B835" s="0" t="n">
        <v>22035</v>
      </c>
      <c r="C835" s="0" t="s">
        <v>14041</v>
      </c>
      <c r="D835" s="0" t="s">
        <v>19</v>
      </c>
      <c r="E835" s="0" t="s">
        <v>18053</v>
      </c>
      <c r="F835" s="0" t="s">
        <v>40</v>
      </c>
      <c r="G835" s="0" t="s">
        <v>18054</v>
      </c>
    </row>
    <row r="836" customFormat="false" ht="15" hidden="false" customHeight="false" outlineLevel="0" collapsed="false">
      <c r="A836" s="0" t="n">
        <v>3421</v>
      </c>
      <c r="B836" s="0" t="n">
        <v>22036</v>
      </c>
      <c r="C836" s="0" t="s">
        <v>14043</v>
      </c>
      <c r="D836" s="0" t="s">
        <v>19</v>
      </c>
      <c r="E836" s="0" t="s">
        <v>18053</v>
      </c>
      <c r="F836" s="0" t="s">
        <v>40</v>
      </c>
      <c r="G836" s="0" t="s">
        <v>18054</v>
      </c>
    </row>
    <row r="837" customFormat="false" ht="15" hidden="false" customHeight="false" outlineLevel="0" collapsed="false">
      <c r="A837" s="0" t="n">
        <v>3422</v>
      </c>
      <c r="B837" s="0" t="n">
        <v>22037</v>
      </c>
      <c r="C837" s="0" t="s">
        <v>14046</v>
      </c>
      <c r="D837" s="0" t="s">
        <v>19</v>
      </c>
      <c r="E837" s="0" t="s">
        <v>18053</v>
      </c>
      <c r="F837" s="0" t="s">
        <v>40</v>
      </c>
      <c r="G837" s="0" t="s">
        <v>18054</v>
      </c>
    </row>
    <row r="838" customFormat="false" ht="15" hidden="false" customHeight="false" outlineLevel="0" collapsed="false">
      <c r="A838" s="0" t="n">
        <v>3423</v>
      </c>
      <c r="B838" s="0" t="n">
        <v>22038</v>
      </c>
      <c r="C838" s="0" t="s">
        <v>14049</v>
      </c>
      <c r="D838" s="0" t="s">
        <v>19</v>
      </c>
      <c r="E838" s="0" t="s">
        <v>18053</v>
      </c>
      <c r="F838" s="0" t="s">
        <v>40</v>
      </c>
      <c r="G838" s="0" t="s">
        <v>18054</v>
      </c>
    </row>
    <row r="839" customFormat="false" ht="15" hidden="false" customHeight="false" outlineLevel="0" collapsed="false">
      <c r="A839" s="0" t="n">
        <v>3424</v>
      </c>
      <c r="B839" s="0" t="n">
        <v>22039</v>
      </c>
      <c r="C839" s="0" t="s">
        <v>14052</v>
      </c>
      <c r="D839" s="0" t="s">
        <v>19</v>
      </c>
      <c r="E839" s="0" t="s">
        <v>18053</v>
      </c>
      <c r="F839" s="0" t="s">
        <v>40</v>
      </c>
      <c r="G839" s="0" t="s">
        <v>18054</v>
      </c>
    </row>
    <row r="840" customFormat="false" ht="15" hidden="false" customHeight="false" outlineLevel="0" collapsed="false">
      <c r="A840" s="0" t="n">
        <v>3426</v>
      </c>
      <c r="B840" s="0" t="n">
        <v>22041</v>
      </c>
      <c r="C840" s="0" t="s">
        <v>14058</v>
      </c>
      <c r="D840" s="0" t="s">
        <v>19</v>
      </c>
      <c r="E840" s="0" t="s">
        <v>18053</v>
      </c>
      <c r="F840" s="0" t="s">
        <v>40</v>
      </c>
      <c r="G840" s="0" t="s">
        <v>18054</v>
      </c>
    </row>
    <row r="841" customFormat="false" ht="15" hidden="false" customHeight="false" outlineLevel="0" collapsed="false">
      <c r="A841" s="0" t="n">
        <v>3427</v>
      </c>
      <c r="B841" s="0" t="n">
        <v>22042</v>
      </c>
      <c r="C841" s="0" t="s">
        <v>14061</v>
      </c>
      <c r="D841" s="0" t="s">
        <v>19</v>
      </c>
      <c r="E841" s="0" t="s">
        <v>18053</v>
      </c>
      <c r="F841" s="0" t="s">
        <v>40</v>
      </c>
      <c r="G841" s="0" t="s">
        <v>18054</v>
      </c>
    </row>
    <row r="842" customFormat="false" ht="15" hidden="false" customHeight="false" outlineLevel="0" collapsed="false">
      <c r="A842" s="0" t="n">
        <v>3428</v>
      </c>
      <c r="B842" s="0" t="n">
        <v>22043</v>
      </c>
      <c r="C842" s="0" t="s">
        <v>14064</v>
      </c>
      <c r="D842" s="0" t="s">
        <v>19</v>
      </c>
      <c r="E842" s="0" t="s">
        <v>18053</v>
      </c>
      <c r="F842" s="0" t="s">
        <v>40</v>
      </c>
      <c r="G842" s="0" t="s">
        <v>18054</v>
      </c>
    </row>
    <row r="843" customFormat="false" ht="15" hidden="false" customHeight="false" outlineLevel="0" collapsed="false">
      <c r="A843" s="0" t="n">
        <v>3429</v>
      </c>
      <c r="B843" s="0" t="n">
        <v>22044</v>
      </c>
      <c r="C843" s="0" t="s">
        <v>14067</v>
      </c>
      <c r="D843" s="0" t="s">
        <v>19</v>
      </c>
      <c r="E843" s="0" t="s">
        <v>18053</v>
      </c>
      <c r="F843" s="0" t="s">
        <v>40</v>
      </c>
      <c r="G843" s="0" t="s">
        <v>18054</v>
      </c>
    </row>
    <row r="844" customFormat="false" ht="15" hidden="false" customHeight="false" outlineLevel="0" collapsed="false">
      <c r="A844" s="0" t="n">
        <v>3431</v>
      </c>
      <c r="B844" s="0" t="n">
        <v>22046</v>
      </c>
      <c r="C844" s="0" t="s">
        <v>14073</v>
      </c>
      <c r="D844" s="0" t="s">
        <v>19</v>
      </c>
      <c r="E844" s="0" t="s">
        <v>18053</v>
      </c>
      <c r="F844" s="0" t="s">
        <v>40</v>
      </c>
      <c r="G844" s="0" t="s">
        <v>18054</v>
      </c>
    </row>
    <row r="845" customFormat="false" ht="15" hidden="false" customHeight="false" outlineLevel="0" collapsed="false">
      <c r="A845" s="0" t="n">
        <v>3432</v>
      </c>
      <c r="B845" s="0" t="n">
        <v>22047</v>
      </c>
      <c r="C845" s="0" t="s">
        <v>14076</v>
      </c>
      <c r="D845" s="0" t="s">
        <v>19</v>
      </c>
      <c r="E845" s="0" t="s">
        <v>18053</v>
      </c>
      <c r="F845" s="0" t="s">
        <v>40</v>
      </c>
      <c r="G845" s="0" t="s">
        <v>18054</v>
      </c>
    </row>
    <row r="846" customFormat="false" ht="15" hidden="false" customHeight="false" outlineLevel="0" collapsed="false">
      <c r="A846" s="0" t="n">
        <v>3433</v>
      </c>
      <c r="B846" s="0" t="n">
        <v>22048</v>
      </c>
      <c r="C846" s="0" t="s">
        <v>14080</v>
      </c>
      <c r="D846" s="0" t="s">
        <v>19</v>
      </c>
      <c r="E846" s="0" t="s">
        <v>18053</v>
      </c>
      <c r="F846" s="0" t="s">
        <v>40</v>
      </c>
      <c r="G846" s="0" t="s">
        <v>18054</v>
      </c>
    </row>
    <row r="847" customFormat="false" ht="15" hidden="false" customHeight="false" outlineLevel="0" collapsed="false">
      <c r="A847" s="0" t="n">
        <v>3437</v>
      </c>
      <c r="B847" s="0" t="n">
        <v>22052</v>
      </c>
      <c r="C847" s="0" t="s">
        <v>14092</v>
      </c>
      <c r="D847" s="0" t="s">
        <v>19</v>
      </c>
      <c r="E847" s="0" t="s">
        <v>18053</v>
      </c>
      <c r="F847" s="0" t="s">
        <v>40</v>
      </c>
      <c r="G847" s="0" t="s">
        <v>18054</v>
      </c>
    </row>
    <row r="848" customFormat="false" ht="15" hidden="false" customHeight="false" outlineLevel="0" collapsed="false">
      <c r="A848" s="0" t="n">
        <v>3438</v>
      </c>
      <c r="B848" s="0" t="n">
        <v>22053</v>
      </c>
      <c r="C848" s="0" t="s">
        <v>14095</v>
      </c>
      <c r="D848" s="0" t="s">
        <v>19</v>
      </c>
      <c r="E848" s="0" t="s">
        <v>18053</v>
      </c>
      <c r="F848" s="0" t="s">
        <v>40</v>
      </c>
      <c r="G848" s="0" t="s">
        <v>18054</v>
      </c>
    </row>
    <row r="849" customFormat="false" ht="15" hidden="false" customHeight="false" outlineLevel="0" collapsed="false">
      <c r="A849" s="0" t="n">
        <v>3445</v>
      </c>
      <c r="B849" s="0" t="n">
        <v>22061</v>
      </c>
      <c r="C849" s="0" t="s">
        <v>14119</v>
      </c>
      <c r="D849" s="0" t="s">
        <v>19</v>
      </c>
      <c r="E849" s="0" t="s">
        <v>18053</v>
      </c>
      <c r="F849" s="0" t="s">
        <v>40</v>
      </c>
      <c r="G849" s="0" t="s">
        <v>18054</v>
      </c>
    </row>
    <row r="850" customFormat="false" ht="15" hidden="false" customHeight="false" outlineLevel="0" collapsed="false">
      <c r="A850" s="0" t="n">
        <v>3446</v>
      </c>
      <c r="B850" s="0" t="n">
        <v>22062</v>
      </c>
      <c r="C850" s="0" t="s">
        <v>14122</v>
      </c>
      <c r="D850" s="0" t="s">
        <v>19</v>
      </c>
      <c r="E850" s="0" t="s">
        <v>18053</v>
      </c>
      <c r="F850" s="0" t="s">
        <v>40</v>
      </c>
      <c r="G850" s="0" t="s">
        <v>18054</v>
      </c>
    </row>
    <row r="851" customFormat="false" ht="15" hidden="false" customHeight="false" outlineLevel="0" collapsed="false">
      <c r="A851" s="0" t="n">
        <v>3447</v>
      </c>
      <c r="B851" s="0" t="n">
        <v>22063</v>
      </c>
      <c r="C851" s="0" t="s">
        <v>14126</v>
      </c>
      <c r="D851" s="0" t="s">
        <v>19</v>
      </c>
      <c r="E851" s="0" t="s">
        <v>18053</v>
      </c>
      <c r="F851" s="0" t="s">
        <v>40</v>
      </c>
      <c r="G851" s="0" t="s">
        <v>18054</v>
      </c>
    </row>
    <row r="852" customFormat="false" ht="15" hidden="false" customHeight="false" outlineLevel="0" collapsed="false">
      <c r="A852" s="0" t="n">
        <v>3448</v>
      </c>
      <c r="B852" s="0" t="n">
        <v>22064</v>
      </c>
      <c r="C852" s="0" t="s">
        <v>14130</v>
      </c>
      <c r="D852" s="0" t="s">
        <v>19</v>
      </c>
      <c r="E852" s="0" t="s">
        <v>18053</v>
      </c>
      <c r="F852" s="0" t="s">
        <v>40</v>
      </c>
      <c r="G852" s="0" t="s">
        <v>18054</v>
      </c>
    </row>
    <row r="853" customFormat="false" ht="15" hidden="false" customHeight="false" outlineLevel="0" collapsed="false">
      <c r="A853" s="0" t="n">
        <v>3449</v>
      </c>
      <c r="B853" s="0" t="n">
        <v>22065</v>
      </c>
      <c r="C853" s="0" t="s">
        <v>14133</v>
      </c>
      <c r="D853" s="0" t="s">
        <v>19</v>
      </c>
      <c r="E853" s="0" t="s">
        <v>18053</v>
      </c>
      <c r="F853" s="0" t="s">
        <v>40</v>
      </c>
      <c r="G853" s="0" t="s">
        <v>18054</v>
      </c>
    </row>
    <row r="854" customFormat="false" ht="15" hidden="false" customHeight="false" outlineLevel="0" collapsed="false">
      <c r="A854" s="0" t="n">
        <v>3455</v>
      </c>
      <c r="B854" s="0" t="n">
        <v>22071</v>
      </c>
      <c r="C854" s="0" t="s">
        <v>14150</v>
      </c>
      <c r="D854" s="0" t="s">
        <v>19</v>
      </c>
      <c r="E854" s="0" t="s">
        <v>18053</v>
      </c>
      <c r="F854" s="0" t="s">
        <v>40</v>
      </c>
      <c r="G854" s="0" t="s">
        <v>18054</v>
      </c>
    </row>
    <row r="855" customFormat="false" ht="15" hidden="false" customHeight="false" outlineLevel="0" collapsed="false">
      <c r="A855" s="0" t="n">
        <v>3456</v>
      </c>
      <c r="B855" s="0" t="n">
        <v>22072</v>
      </c>
      <c r="C855" s="0" t="s">
        <v>14154</v>
      </c>
      <c r="D855" s="0" t="s">
        <v>19</v>
      </c>
      <c r="E855" s="0" t="s">
        <v>18053</v>
      </c>
      <c r="F855" s="0" t="s">
        <v>40</v>
      </c>
      <c r="G855" s="0" t="s">
        <v>18054</v>
      </c>
    </row>
    <row r="856" customFormat="false" ht="15" hidden="false" customHeight="false" outlineLevel="0" collapsed="false">
      <c r="A856" s="0" t="n">
        <v>3457</v>
      </c>
      <c r="B856" s="0" t="n">
        <v>22073</v>
      </c>
      <c r="C856" s="0" t="s">
        <v>14158</v>
      </c>
      <c r="D856" s="0" t="s">
        <v>19</v>
      </c>
      <c r="E856" s="0" t="s">
        <v>18053</v>
      </c>
      <c r="F856" s="0" t="s">
        <v>40</v>
      </c>
      <c r="G856" s="0" t="s">
        <v>18054</v>
      </c>
    </row>
    <row r="857" customFormat="false" ht="15" hidden="false" customHeight="false" outlineLevel="0" collapsed="false">
      <c r="A857" s="0" t="n">
        <v>3460</v>
      </c>
      <c r="B857" s="0" t="n">
        <v>22076</v>
      </c>
      <c r="C857" s="0" t="s">
        <v>14169</v>
      </c>
      <c r="D857" s="0" t="s">
        <v>19</v>
      </c>
      <c r="E857" s="0" t="s">
        <v>18053</v>
      </c>
      <c r="F857" s="0" t="s">
        <v>40</v>
      </c>
      <c r="G857" s="0" t="s">
        <v>18054</v>
      </c>
    </row>
    <row r="858" customFormat="false" ht="15" hidden="false" customHeight="false" outlineLevel="0" collapsed="false">
      <c r="A858" s="0" t="n">
        <v>3461</v>
      </c>
      <c r="B858" s="0" t="n">
        <v>22077</v>
      </c>
      <c r="C858" s="0" t="s">
        <v>14175</v>
      </c>
      <c r="D858" s="0" t="s">
        <v>19</v>
      </c>
      <c r="E858" s="0" t="s">
        <v>18053</v>
      </c>
      <c r="F858" s="0" t="s">
        <v>40</v>
      </c>
      <c r="G858" s="0" t="s">
        <v>18054</v>
      </c>
    </row>
    <row r="859" customFormat="false" ht="15" hidden="false" customHeight="false" outlineLevel="0" collapsed="false">
      <c r="A859" s="0" t="n">
        <v>3462</v>
      </c>
      <c r="B859" s="0" t="n">
        <v>22078</v>
      </c>
      <c r="C859" s="0" t="s">
        <v>14178</v>
      </c>
      <c r="D859" s="0" t="s">
        <v>19</v>
      </c>
      <c r="E859" s="0" t="s">
        <v>18053</v>
      </c>
      <c r="F859" s="0" t="s">
        <v>40</v>
      </c>
      <c r="G859" s="0" t="s">
        <v>18054</v>
      </c>
    </row>
    <row r="860" customFormat="false" ht="15" hidden="false" customHeight="false" outlineLevel="0" collapsed="false">
      <c r="A860" s="0" t="n">
        <v>3463</v>
      </c>
      <c r="B860" s="0" t="n">
        <v>22079</v>
      </c>
      <c r="C860" s="0" t="s">
        <v>14181</v>
      </c>
      <c r="D860" s="0" t="s">
        <v>19</v>
      </c>
      <c r="E860" s="0" t="s">
        <v>18053</v>
      </c>
      <c r="F860" s="0" t="s">
        <v>40</v>
      </c>
      <c r="G860" s="0" t="s">
        <v>18054</v>
      </c>
    </row>
    <row r="861" customFormat="false" ht="15" hidden="false" customHeight="false" outlineLevel="0" collapsed="false">
      <c r="A861" s="0" t="n">
        <v>3464</v>
      </c>
      <c r="B861" s="0" t="n">
        <v>22080</v>
      </c>
      <c r="C861" s="0" t="s">
        <v>14184</v>
      </c>
      <c r="D861" s="0" t="s">
        <v>19</v>
      </c>
      <c r="E861" s="0" t="s">
        <v>18053</v>
      </c>
      <c r="F861" s="0" t="s">
        <v>40</v>
      </c>
      <c r="G861" s="0" t="s">
        <v>18054</v>
      </c>
    </row>
    <row r="862" customFormat="false" ht="15" hidden="false" customHeight="false" outlineLevel="0" collapsed="false">
      <c r="A862" s="0" t="n">
        <v>3465</v>
      </c>
      <c r="B862" s="0" t="n">
        <v>22081</v>
      </c>
      <c r="C862" s="0" t="s">
        <v>14188</v>
      </c>
      <c r="D862" s="0" t="s">
        <v>19</v>
      </c>
      <c r="E862" s="0" t="s">
        <v>18053</v>
      </c>
      <c r="F862" s="0" t="s">
        <v>40</v>
      </c>
      <c r="G862" s="0" t="s">
        <v>18054</v>
      </c>
    </row>
    <row r="863" customFormat="false" ht="15" hidden="false" customHeight="false" outlineLevel="0" collapsed="false">
      <c r="A863" s="0" t="n">
        <v>3466</v>
      </c>
      <c r="B863" s="0" t="n">
        <v>22082</v>
      </c>
      <c r="C863" s="0" t="s">
        <v>14191</v>
      </c>
      <c r="D863" s="0" t="s">
        <v>19</v>
      </c>
      <c r="E863" s="0" t="s">
        <v>18053</v>
      </c>
      <c r="F863" s="0" t="s">
        <v>40</v>
      </c>
      <c r="G863" s="0" t="s">
        <v>18054</v>
      </c>
    </row>
    <row r="864" customFormat="false" ht="15" hidden="false" customHeight="false" outlineLevel="0" collapsed="false">
      <c r="A864" s="0" t="n">
        <v>3467</v>
      </c>
      <c r="B864" s="0" t="n">
        <v>22083</v>
      </c>
      <c r="C864" s="0" t="s">
        <v>14194</v>
      </c>
      <c r="D864" s="0" t="s">
        <v>19</v>
      </c>
      <c r="E864" s="0" t="s">
        <v>18053</v>
      </c>
      <c r="F864" s="0" t="s">
        <v>40</v>
      </c>
      <c r="G864" s="0" t="s">
        <v>18054</v>
      </c>
    </row>
    <row r="865" customFormat="false" ht="15" hidden="false" customHeight="false" outlineLevel="0" collapsed="false">
      <c r="A865" s="0" t="n">
        <v>3468</v>
      </c>
      <c r="B865" s="0" t="n">
        <v>22084</v>
      </c>
      <c r="C865" s="0" t="s">
        <v>14197</v>
      </c>
      <c r="D865" s="0" t="s">
        <v>19</v>
      </c>
      <c r="E865" s="0" t="s">
        <v>18053</v>
      </c>
      <c r="F865" s="0" t="s">
        <v>40</v>
      </c>
      <c r="G865" s="0" t="s">
        <v>18054</v>
      </c>
    </row>
    <row r="866" customFormat="false" ht="15" hidden="false" customHeight="false" outlineLevel="0" collapsed="false">
      <c r="A866" s="0" t="n">
        <v>3469</v>
      </c>
      <c r="B866" s="0" t="n">
        <v>22085</v>
      </c>
      <c r="C866" s="0" t="s">
        <v>14200</v>
      </c>
      <c r="D866" s="0" t="s">
        <v>19</v>
      </c>
      <c r="E866" s="0" t="s">
        <v>18053</v>
      </c>
      <c r="F866" s="0" t="s">
        <v>40</v>
      </c>
      <c r="G866" s="0" t="s">
        <v>18054</v>
      </c>
    </row>
    <row r="867" customFormat="false" ht="15" hidden="false" customHeight="false" outlineLevel="0" collapsed="false">
      <c r="A867" s="0" t="n">
        <v>3469</v>
      </c>
      <c r="B867" s="0" t="n">
        <v>22085</v>
      </c>
      <c r="C867" s="0" t="s">
        <v>14200</v>
      </c>
      <c r="D867" s="0" t="s">
        <v>21</v>
      </c>
      <c r="E867" s="0" t="s">
        <v>18051</v>
      </c>
      <c r="F867" s="0" t="s">
        <v>1216</v>
      </c>
      <c r="G867" s="0" t="s">
        <v>18052</v>
      </c>
    </row>
    <row r="868" customFormat="false" ht="15" hidden="false" customHeight="false" outlineLevel="0" collapsed="false">
      <c r="A868" s="0" t="n">
        <v>3470</v>
      </c>
      <c r="B868" s="0" t="n">
        <v>22086</v>
      </c>
      <c r="C868" s="0" t="s">
        <v>14204</v>
      </c>
      <c r="D868" s="0" t="s">
        <v>19</v>
      </c>
      <c r="E868" s="0" t="s">
        <v>18053</v>
      </c>
      <c r="F868" s="0" t="s">
        <v>40</v>
      </c>
      <c r="G868" s="0" t="s">
        <v>18054</v>
      </c>
    </row>
    <row r="869" customFormat="false" ht="15" hidden="false" customHeight="false" outlineLevel="0" collapsed="false">
      <c r="A869" s="0" t="n">
        <v>3471</v>
      </c>
      <c r="B869" s="0" t="n">
        <v>22087</v>
      </c>
      <c r="C869" s="0" t="s">
        <v>14207</v>
      </c>
      <c r="D869" s="0" t="s">
        <v>19</v>
      </c>
      <c r="E869" s="0" t="s">
        <v>18053</v>
      </c>
      <c r="F869" s="0" t="s">
        <v>40</v>
      </c>
      <c r="G869" s="0" t="s">
        <v>18054</v>
      </c>
    </row>
    <row r="870" customFormat="false" ht="15" hidden="false" customHeight="false" outlineLevel="0" collapsed="false">
      <c r="A870" s="0" t="n">
        <v>3472</v>
      </c>
      <c r="B870" s="0" t="n">
        <v>22088</v>
      </c>
      <c r="C870" s="0" t="s">
        <v>14210</v>
      </c>
      <c r="D870" s="0" t="s">
        <v>19</v>
      </c>
      <c r="E870" s="0" t="s">
        <v>18053</v>
      </c>
      <c r="F870" s="0" t="s">
        <v>40</v>
      </c>
      <c r="G870" s="0" t="s">
        <v>18054</v>
      </c>
    </row>
    <row r="871" customFormat="false" ht="15" hidden="false" customHeight="false" outlineLevel="0" collapsed="false">
      <c r="A871" s="0" t="n">
        <v>3473</v>
      </c>
      <c r="B871" s="0" t="n">
        <v>22089</v>
      </c>
      <c r="C871" s="0" t="s">
        <v>14213</v>
      </c>
      <c r="D871" s="0" t="s">
        <v>19</v>
      </c>
      <c r="E871" s="0" t="s">
        <v>18053</v>
      </c>
      <c r="F871" s="0" t="s">
        <v>40</v>
      </c>
      <c r="G871" s="0" t="s">
        <v>18054</v>
      </c>
    </row>
    <row r="872" customFormat="false" ht="15" hidden="false" customHeight="false" outlineLevel="0" collapsed="false">
      <c r="A872" s="0" t="n">
        <v>3474</v>
      </c>
      <c r="B872" s="0" t="n">
        <v>22090</v>
      </c>
      <c r="C872" s="0" t="s">
        <v>14216</v>
      </c>
      <c r="D872" s="0" t="s">
        <v>19</v>
      </c>
      <c r="E872" s="0" t="s">
        <v>18053</v>
      </c>
      <c r="F872" s="0" t="s">
        <v>40</v>
      </c>
      <c r="G872" s="0" t="s">
        <v>18054</v>
      </c>
    </row>
    <row r="873" customFormat="false" ht="15" hidden="false" customHeight="false" outlineLevel="0" collapsed="false">
      <c r="A873" s="0" t="n">
        <v>3475</v>
      </c>
      <c r="B873" s="0" t="n">
        <v>22091</v>
      </c>
      <c r="C873" s="0" t="s">
        <v>14219</v>
      </c>
      <c r="D873" s="0" t="s">
        <v>19</v>
      </c>
      <c r="E873" s="0" t="s">
        <v>18053</v>
      </c>
      <c r="F873" s="0" t="s">
        <v>40</v>
      </c>
      <c r="G873" s="0" t="s">
        <v>18054</v>
      </c>
    </row>
    <row r="874" customFormat="false" ht="15" hidden="false" customHeight="false" outlineLevel="0" collapsed="false">
      <c r="A874" s="0" t="n">
        <v>3476</v>
      </c>
      <c r="B874" s="0" t="n">
        <v>22092</v>
      </c>
      <c r="C874" s="0" t="s">
        <v>14222</v>
      </c>
      <c r="D874" s="0" t="s">
        <v>19</v>
      </c>
      <c r="E874" s="0" t="s">
        <v>18053</v>
      </c>
      <c r="F874" s="0" t="s">
        <v>40</v>
      </c>
      <c r="G874" s="0" t="s">
        <v>18054</v>
      </c>
    </row>
    <row r="875" customFormat="false" ht="15" hidden="false" customHeight="false" outlineLevel="0" collapsed="false">
      <c r="A875" s="0" t="n">
        <v>3477</v>
      </c>
      <c r="B875" s="0" t="n">
        <v>22093</v>
      </c>
      <c r="C875" s="0" t="s">
        <v>14225</v>
      </c>
      <c r="D875" s="0" t="s">
        <v>19</v>
      </c>
      <c r="E875" s="0" t="s">
        <v>18053</v>
      </c>
      <c r="F875" s="0" t="s">
        <v>40</v>
      </c>
      <c r="G875" s="0" t="s">
        <v>18054</v>
      </c>
    </row>
    <row r="876" customFormat="false" ht="15" hidden="false" customHeight="false" outlineLevel="0" collapsed="false">
      <c r="A876" s="0" t="n">
        <v>3480</v>
      </c>
      <c r="B876" s="0" t="n">
        <v>22098</v>
      </c>
      <c r="C876" s="0" t="s">
        <v>14236</v>
      </c>
      <c r="D876" s="0" t="s">
        <v>21</v>
      </c>
      <c r="E876" s="0" t="s">
        <v>18051</v>
      </c>
      <c r="F876" s="0" t="s">
        <v>1216</v>
      </c>
      <c r="G876" s="0" t="s">
        <v>18052</v>
      </c>
    </row>
    <row r="877" customFormat="false" ht="15" hidden="false" customHeight="false" outlineLevel="0" collapsed="false">
      <c r="A877" s="0" t="n">
        <v>3482</v>
      </c>
      <c r="B877" s="0" t="n">
        <v>22100</v>
      </c>
      <c r="C877" s="0" t="s">
        <v>14241</v>
      </c>
      <c r="D877" s="0" t="s">
        <v>19</v>
      </c>
      <c r="E877" s="0" t="s">
        <v>18053</v>
      </c>
      <c r="F877" s="0" t="s">
        <v>40</v>
      </c>
      <c r="G877" s="0" t="s">
        <v>18054</v>
      </c>
    </row>
    <row r="878" customFormat="false" ht="15" hidden="false" customHeight="false" outlineLevel="0" collapsed="false">
      <c r="A878" s="0" t="n">
        <v>3485</v>
      </c>
      <c r="B878" s="0" t="n">
        <v>22103</v>
      </c>
      <c r="C878" s="0" t="s">
        <v>14249</v>
      </c>
      <c r="D878" s="0" t="s">
        <v>19</v>
      </c>
      <c r="E878" s="0" t="s">
        <v>18053</v>
      </c>
      <c r="F878" s="0" t="s">
        <v>40</v>
      </c>
      <c r="G878" s="0" t="s">
        <v>18054</v>
      </c>
    </row>
    <row r="879" customFormat="false" ht="15" hidden="false" customHeight="false" outlineLevel="0" collapsed="false">
      <c r="A879" s="0" t="n">
        <v>3486</v>
      </c>
      <c r="B879" s="0" t="n">
        <v>22104</v>
      </c>
      <c r="C879" s="0" t="s">
        <v>14254</v>
      </c>
      <c r="D879" s="0" t="s">
        <v>19</v>
      </c>
      <c r="E879" s="0" t="s">
        <v>18053</v>
      </c>
      <c r="F879" s="0" t="s">
        <v>40</v>
      </c>
      <c r="G879" s="0" t="s">
        <v>18054</v>
      </c>
    </row>
    <row r="880" customFormat="false" ht="15" hidden="false" customHeight="false" outlineLevel="0" collapsed="false">
      <c r="A880" s="0" t="n">
        <v>3487</v>
      </c>
      <c r="B880" s="0" t="n">
        <v>22105</v>
      </c>
      <c r="C880" s="0" t="s">
        <v>14258</v>
      </c>
      <c r="D880" s="0" t="s">
        <v>19</v>
      </c>
      <c r="E880" s="0" t="s">
        <v>18053</v>
      </c>
      <c r="F880" s="0" t="s">
        <v>40</v>
      </c>
      <c r="G880" s="0" t="s">
        <v>18054</v>
      </c>
    </row>
    <row r="881" customFormat="false" ht="15" hidden="false" customHeight="false" outlineLevel="0" collapsed="false">
      <c r="A881" s="0" t="n">
        <v>3488</v>
      </c>
      <c r="B881" s="0" t="n">
        <v>22106</v>
      </c>
      <c r="C881" s="0" t="s">
        <v>14261</v>
      </c>
      <c r="D881" s="0" t="s">
        <v>19</v>
      </c>
      <c r="E881" s="0" t="s">
        <v>18053</v>
      </c>
      <c r="F881" s="0" t="s">
        <v>40</v>
      </c>
      <c r="G881" s="0" t="s">
        <v>18054</v>
      </c>
    </row>
    <row r="882" customFormat="false" ht="15" hidden="false" customHeight="false" outlineLevel="0" collapsed="false">
      <c r="A882" s="0" t="n">
        <v>3489</v>
      </c>
      <c r="B882" s="0" t="n">
        <v>22107</v>
      </c>
      <c r="C882" s="0" t="s">
        <v>14264</v>
      </c>
      <c r="D882" s="0" t="s">
        <v>19</v>
      </c>
      <c r="E882" s="0" t="s">
        <v>18053</v>
      </c>
      <c r="F882" s="0" t="s">
        <v>40</v>
      </c>
      <c r="G882" s="0" t="s">
        <v>18054</v>
      </c>
    </row>
    <row r="883" customFormat="false" ht="15" hidden="false" customHeight="false" outlineLevel="0" collapsed="false">
      <c r="A883" s="0" t="n">
        <v>3490</v>
      </c>
      <c r="B883" s="0" t="n">
        <v>22108</v>
      </c>
      <c r="C883" s="0" t="s">
        <v>14268</v>
      </c>
      <c r="D883" s="0" t="s">
        <v>19</v>
      </c>
      <c r="E883" s="0" t="s">
        <v>18053</v>
      </c>
      <c r="F883" s="0" t="s">
        <v>40</v>
      </c>
      <c r="G883" s="0" t="s">
        <v>18054</v>
      </c>
    </row>
    <row r="884" customFormat="false" ht="15" hidden="false" customHeight="false" outlineLevel="0" collapsed="false">
      <c r="A884" s="0" t="n">
        <v>3491</v>
      </c>
      <c r="B884" s="0" t="n">
        <v>22109</v>
      </c>
      <c r="C884" s="0" t="s">
        <v>14272</v>
      </c>
      <c r="D884" s="0" t="s">
        <v>19</v>
      </c>
      <c r="E884" s="0" t="s">
        <v>18053</v>
      </c>
      <c r="F884" s="0" t="s">
        <v>40</v>
      </c>
      <c r="G884" s="0" t="s">
        <v>18054</v>
      </c>
    </row>
    <row r="885" customFormat="false" ht="15" hidden="false" customHeight="false" outlineLevel="0" collapsed="false">
      <c r="A885" s="0" t="n">
        <v>3492</v>
      </c>
      <c r="B885" s="0" t="n">
        <v>22110</v>
      </c>
      <c r="C885" s="0" t="s">
        <v>14276</v>
      </c>
      <c r="D885" s="0" t="s">
        <v>19</v>
      </c>
      <c r="E885" s="0" t="s">
        <v>18053</v>
      </c>
      <c r="F885" s="0" t="s">
        <v>40</v>
      </c>
      <c r="G885" s="0" t="s">
        <v>18054</v>
      </c>
    </row>
    <row r="886" customFormat="false" ht="15" hidden="false" customHeight="false" outlineLevel="0" collapsed="false">
      <c r="A886" s="0" t="n">
        <v>3493</v>
      </c>
      <c r="B886" s="0" t="n">
        <v>22111</v>
      </c>
      <c r="C886" s="0" t="s">
        <v>14280</v>
      </c>
      <c r="D886" s="0" t="s">
        <v>19</v>
      </c>
      <c r="E886" s="0" t="s">
        <v>18053</v>
      </c>
      <c r="F886" s="0" t="s">
        <v>40</v>
      </c>
      <c r="G886" s="0" t="s">
        <v>18054</v>
      </c>
    </row>
    <row r="887" customFormat="false" ht="15" hidden="false" customHeight="false" outlineLevel="0" collapsed="false">
      <c r="A887" s="0" t="n">
        <v>3494</v>
      </c>
      <c r="B887" s="0" t="n">
        <v>22112</v>
      </c>
      <c r="C887" s="0" t="s">
        <v>14283</v>
      </c>
      <c r="D887" s="0" t="s">
        <v>19</v>
      </c>
      <c r="E887" s="0" t="s">
        <v>18053</v>
      </c>
      <c r="F887" s="0" t="s">
        <v>40</v>
      </c>
      <c r="G887" s="0" t="s">
        <v>18054</v>
      </c>
    </row>
    <row r="888" customFormat="false" ht="15" hidden="false" customHeight="false" outlineLevel="0" collapsed="false">
      <c r="A888" s="0" t="n">
        <v>3495</v>
      </c>
      <c r="B888" s="0" t="n">
        <v>22113</v>
      </c>
      <c r="C888" s="0" t="s">
        <v>14287</v>
      </c>
      <c r="D888" s="0" t="s">
        <v>19</v>
      </c>
      <c r="E888" s="0" t="s">
        <v>18053</v>
      </c>
      <c r="F888" s="0" t="s">
        <v>40</v>
      </c>
      <c r="G888" s="0" t="s">
        <v>18054</v>
      </c>
    </row>
    <row r="889" customFormat="false" ht="15" hidden="false" customHeight="false" outlineLevel="0" collapsed="false">
      <c r="A889" s="0" t="n">
        <v>3496</v>
      </c>
      <c r="B889" s="0" t="n">
        <v>22114</v>
      </c>
      <c r="C889" s="0" t="s">
        <v>14291</v>
      </c>
      <c r="D889" s="0" t="s">
        <v>19</v>
      </c>
      <c r="E889" s="0" t="s">
        <v>18053</v>
      </c>
      <c r="F889" s="0" t="s">
        <v>40</v>
      </c>
      <c r="G889" s="0" t="s">
        <v>18054</v>
      </c>
    </row>
    <row r="890" customFormat="false" ht="15" hidden="false" customHeight="false" outlineLevel="0" collapsed="false">
      <c r="A890" s="0" t="n">
        <v>3497</v>
      </c>
      <c r="B890" s="0" t="n">
        <v>22115</v>
      </c>
      <c r="C890" s="0" t="s">
        <v>14295</v>
      </c>
      <c r="D890" s="0" t="s">
        <v>19</v>
      </c>
      <c r="E890" s="0" t="s">
        <v>18053</v>
      </c>
      <c r="F890" s="0" t="s">
        <v>40</v>
      </c>
      <c r="G890" s="0" t="s">
        <v>18054</v>
      </c>
    </row>
    <row r="891" customFormat="false" ht="15" hidden="false" customHeight="false" outlineLevel="0" collapsed="false">
      <c r="A891" s="0" t="n">
        <v>3498</v>
      </c>
      <c r="B891" s="0" t="n">
        <v>22116</v>
      </c>
      <c r="C891" s="0" t="s">
        <v>14299</v>
      </c>
      <c r="D891" s="0" t="s">
        <v>19</v>
      </c>
      <c r="E891" s="0" t="s">
        <v>18053</v>
      </c>
      <c r="F891" s="0" t="s">
        <v>40</v>
      </c>
      <c r="G891" s="0" t="s">
        <v>18054</v>
      </c>
    </row>
    <row r="892" customFormat="false" ht="15" hidden="false" customHeight="false" outlineLevel="0" collapsed="false">
      <c r="A892" s="0" t="n">
        <v>3501</v>
      </c>
      <c r="B892" s="0" t="n">
        <v>22119</v>
      </c>
      <c r="C892" s="0" t="s">
        <v>14311</v>
      </c>
      <c r="D892" s="0" t="s">
        <v>19</v>
      </c>
      <c r="E892" s="0" t="s">
        <v>18053</v>
      </c>
      <c r="F892" s="0" t="s">
        <v>40</v>
      </c>
      <c r="G892" s="0" t="s">
        <v>18054</v>
      </c>
    </row>
    <row r="893" customFormat="false" ht="15" hidden="false" customHeight="false" outlineLevel="0" collapsed="false">
      <c r="A893" s="0" t="n">
        <v>3502</v>
      </c>
      <c r="B893" s="0" t="n">
        <v>22120</v>
      </c>
      <c r="C893" s="0" t="s">
        <v>14314</v>
      </c>
      <c r="D893" s="0" t="s">
        <v>19</v>
      </c>
      <c r="E893" s="0" t="s">
        <v>18053</v>
      </c>
      <c r="F893" s="0" t="s">
        <v>40</v>
      </c>
      <c r="G893" s="0" t="s">
        <v>18054</v>
      </c>
    </row>
    <row r="894" customFormat="false" ht="15" hidden="false" customHeight="false" outlineLevel="0" collapsed="false">
      <c r="A894" s="0" t="n">
        <v>3505</v>
      </c>
      <c r="B894" s="0" t="n">
        <v>22123</v>
      </c>
      <c r="C894" s="0" t="s">
        <v>14327</v>
      </c>
      <c r="D894" s="0" t="s">
        <v>19</v>
      </c>
      <c r="E894" s="0" t="s">
        <v>18053</v>
      </c>
      <c r="F894" s="0" t="s">
        <v>40</v>
      </c>
      <c r="G894" s="0" t="s">
        <v>18054</v>
      </c>
    </row>
    <row r="895" customFormat="false" ht="15" hidden="false" customHeight="false" outlineLevel="0" collapsed="false">
      <c r="A895" s="0" t="n">
        <v>3506</v>
      </c>
      <c r="B895" s="0" t="n">
        <v>22124</v>
      </c>
      <c r="C895" s="0" t="s">
        <v>14330</v>
      </c>
      <c r="D895" s="0" t="s">
        <v>19</v>
      </c>
      <c r="E895" s="0" t="s">
        <v>18053</v>
      </c>
      <c r="F895" s="0" t="s">
        <v>40</v>
      </c>
      <c r="G895" s="0" t="s">
        <v>18054</v>
      </c>
    </row>
    <row r="896" customFormat="false" ht="15" hidden="false" customHeight="false" outlineLevel="0" collapsed="false">
      <c r="A896" s="0" t="n">
        <v>3507</v>
      </c>
      <c r="B896" s="0" t="n">
        <v>22125</v>
      </c>
      <c r="C896" s="0" t="s">
        <v>14333</v>
      </c>
      <c r="D896" s="0" t="s">
        <v>19</v>
      </c>
      <c r="E896" s="0" t="s">
        <v>18053</v>
      </c>
      <c r="F896" s="0" t="s">
        <v>40</v>
      </c>
      <c r="G896" s="0" t="s">
        <v>18054</v>
      </c>
    </row>
    <row r="897" customFormat="false" ht="15" hidden="false" customHeight="false" outlineLevel="0" collapsed="false">
      <c r="A897" s="0" t="n">
        <v>3519</v>
      </c>
      <c r="B897" s="0" t="n">
        <v>22137</v>
      </c>
      <c r="C897" s="0" t="s">
        <v>14370</v>
      </c>
      <c r="D897" s="0" t="s">
        <v>19</v>
      </c>
      <c r="E897" s="0" t="s">
        <v>18053</v>
      </c>
      <c r="F897" s="0" t="s">
        <v>40</v>
      </c>
      <c r="G897" s="0" t="s">
        <v>18054</v>
      </c>
    </row>
    <row r="898" customFormat="false" ht="15" hidden="false" customHeight="false" outlineLevel="0" collapsed="false">
      <c r="A898" s="0" t="n">
        <v>3535</v>
      </c>
      <c r="B898" s="0" t="n">
        <v>22153</v>
      </c>
      <c r="C898" s="0" t="s">
        <v>14420</v>
      </c>
      <c r="D898" s="0" t="s">
        <v>19</v>
      </c>
      <c r="E898" s="0" t="s">
        <v>18053</v>
      </c>
      <c r="F898" s="0" t="s">
        <v>40</v>
      </c>
      <c r="G898" s="0" t="s">
        <v>18054</v>
      </c>
    </row>
    <row r="899" customFormat="false" ht="15" hidden="false" customHeight="false" outlineLevel="0" collapsed="false">
      <c r="A899" s="0" t="n">
        <v>3537</v>
      </c>
      <c r="B899" s="0" t="n">
        <v>22155</v>
      </c>
      <c r="C899" s="0" t="s">
        <v>14428</v>
      </c>
      <c r="D899" s="0" t="s">
        <v>19</v>
      </c>
      <c r="E899" s="0" t="s">
        <v>18053</v>
      </c>
      <c r="F899" s="0" t="s">
        <v>40</v>
      </c>
      <c r="G899" s="0" t="s">
        <v>18054</v>
      </c>
    </row>
    <row r="900" customFormat="false" ht="15" hidden="false" customHeight="false" outlineLevel="0" collapsed="false">
      <c r="A900" s="0" t="n">
        <v>3538</v>
      </c>
      <c r="B900" s="0" t="n">
        <v>22156</v>
      </c>
      <c r="C900" s="0" t="s">
        <v>14431</v>
      </c>
      <c r="D900" s="0" t="s">
        <v>19</v>
      </c>
      <c r="E900" s="0" t="s">
        <v>18053</v>
      </c>
      <c r="F900" s="0" t="s">
        <v>40</v>
      </c>
      <c r="G900" s="0" t="s">
        <v>18054</v>
      </c>
    </row>
    <row r="901" customFormat="false" ht="15" hidden="false" customHeight="false" outlineLevel="0" collapsed="false">
      <c r="A901" s="0" t="n">
        <v>3539</v>
      </c>
      <c r="B901" s="0" t="n">
        <v>22157</v>
      </c>
      <c r="C901" s="0" t="s">
        <v>14435</v>
      </c>
      <c r="D901" s="0" t="s">
        <v>19</v>
      </c>
      <c r="E901" s="0" t="s">
        <v>18053</v>
      </c>
      <c r="F901" s="0" t="s">
        <v>40</v>
      </c>
      <c r="G901" s="0" t="s">
        <v>18054</v>
      </c>
    </row>
    <row r="902" customFormat="false" ht="15" hidden="false" customHeight="false" outlineLevel="0" collapsed="false">
      <c r="A902" s="0" t="n">
        <v>3543</v>
      </c>
      <c r="B902" s="0" t="n">
        <v>22161</v>
      </c>
      <c r="C902" s="0" t="s">
        <v>14451</v>
      </c>
      <c r="D902" s="0" t="s">
        <v>19</v>
      </c>
      <c r="E902" s="0" t="s">
        <v>18053</v>
      </c>
      <c r="F902" s="0" t="s">
        <v>40</v>
      </c>
      <c r="G902" s="0" t="s">
        <v>18054</v>
      </c>
    </row>
    <row r="903" customFormat="false" ht="15" hidden="false" customHeight="false" outlineLevel="0" collapsed="false">
      <c r="A903" s="0" t="n">
        <v>3544</v>
      </c>
      <c r="B903" s="0" t="n">
        <v>22162</v>
      </c>
      <c r="C903" s="0" t="s">
        <v>14454</v>
      </c>
      <c r="D903" s="0" t="s">
        <v>19</v>
      </c>
      <c r="E903" s="0" t="s">
        <v>18053</v>
      </c>
      <c r="F903" s="0" t="s">
        <v>40</v>
      </c>
      <c r="G903" s="0" t="s">
        <v>18054</v>
      </c>
    </row>
    <row r="904" customFormat="false" ht="15" hidden="false" customHeight="false" outlineLevel="0" collapsed="false">
      <c r="A904" s="0" t="n">
        <v>3547</v>
      </c>
      <c r="B904" s="0" t="n">
        <v>22165</v>
      </c>
      <c r="C904" s="0" t="s">
        <v>14464</v>
      </c>
      <c r="D904" s="0" t="s">
        <v>19</v>
      </c>
      <c r="E904" s="0" t="s">
        <v>18053</v>
      </c>
      <c r="F904" s="0" t="s">
        <v>40</v>
      </c>
      <c r="G904" s="0" t="s">
        <v>18054</v>
      </c>
    </row>
    <row r="905" customFormat="false" ht="15" hidden="false" customHeight="false" outlineLevel="0" collapsed="false">
      <c r="A905" s="0" t="n">
        <v>3548</v>
      </c>
      <c r="B905" s="0" t="n">
        <v>22166</v>
      </c>
      <c r="C905" s="0" t="s">
        <v>14467</v>
      </c>
      <c r="D905" s="0" t="s">
        <v>19</v>
      </c>
      <c r="E905" s="0" t="s">
        <v>18053</v>
      </c>
      <c r="F905" s="0" t="s">
        <v>40</v>
      </c>
      <c r="G905" s="0" t="s">
        <v>18054</v>
      </c>
    </row>
    <row r="906" customFormat="false" ht="15" hidden="false" customHeight="false" outlineLevel="0" collapsed="false">
      <c r="A906" s="0" t="n">
        <v>3549</v>
      </c>
      <c r="B906" s="0" t="n">
        <v>22167</v>
      </c>
      <c r="C906" s="0" t="s">
        <v>14470</v>
      </c>
      <c r="D906" s="0" t="s">
        <v>19</v>
      </c>
      <c r="E906" s="0" t="s">
        <v>18053</v>
      </c>
      <c r="F906" s="0" t="s">
        <v>40</v>
      </c>
      <c r="G906" s="0" t="s">
        <v>18054</v>
      </c>
    </row>
    <row r="907" customFormat="false" ht="15" hidden="false" customHeight="false" outlineLevel="0" collapsed="false">
      <c r="A907" s="0" t="n">
        <v>3550</v>
      </c>
      <c r="B907" s="0" t="n">
        <v>22168</v>
      </c>
      <c r="C907" s="0" t="s">
        <v>14473</v>
      </c>
      <c r="D907" s="0" t="s">
        <v>19</v>
      </c>
      <c r="E907" s="0" t="s">
        <v>18053</v>
      </c>
      <c r="F907" s="0" t="s">
        <v>40</v>
      </c>
      <c r="G907" s="0" t="s">
        <v>18054</v>
      </c>
    </row>
    <row r="908" customFormat="false" ht="15" hidden="false" customHeight="false" outlineLevel="0" collapsed="false">
      <c r="A908" s="0" t="n">
        <v>3552</v>
      </c>
      <c r="B908" s="0" t="n">
        <v>22170</v>
      </c>
      <c r="C908" s="0" t="s">
        <v>14480</v>
      </c>
      <c r="D908" s="0" t="s">
        <v>19</v>
      </c>
      <c r="E908" s="0" t="s">
        <v>18053</v>
      </c>
      <c r="F908" s="0" t="s">
        <v>40</v>
      </c>
      <c r="G908" s="0" t="s">
        <v>18054</v>
      </c>
    </row>
    <row r="909" customFormat="false" ht="15" hidden="false" customHeight="false" outlineLevel="0" collapsed="false">
      <c r="A909" s="0" t="n">
        <v>3554</v>
      </c>
      <c r="B909" s="0" t="n">
        <v>22172</v>
      </c>
      <c r="C909" s="0" t="s">
        <v>14488</v>
      </c>
      <c r="D909" s="0" t="s">
        <v>19</v>
      </c>
      <c r="E909" s="0" t="s">
        <v>18053</v>
      </c>
      <c r="F909" s="0" t="s">
        <v>40</v>
      </c>
      <c r="G909" s="0" t="s">
        <v>18054</v>
      </c>
    </row>
    <row r="910" customFormat="false" ht="15" hidden="false" customHeight="false" outlineLevel="0" collapsed="false">
      <c r="A910" s="0" t="n">
        <v>3559</v>
      </c>
      <c r="B910" s="0" t="n">
        <v>22177</v>
      </c>
      <c r="C910" s="0" t="s">
        <v>14505</v>
      </c>
      <c r="D910" s="0" t="s">
        <v>19</v>
      </c>
      <c r="E910" s="0" t="s">
        <v>18053</v>
      </c>
      <c r="F910" s="0" t="s">
        <v>40</v>
      </c>
      <c r="G910" s="0" t="s">
        <v>18054</v>
      </c>
    </row>
    <row r="911" customFormat="false" ht="15" hidden="false" customHeight="false" outlineLevel="0" collapsed="false">
      <c r="A911" s="0" t="n">
        <v>3560</v>
      </c>
      <c r="B911" s="0" t="n">
        <v>22178</v>
      </c>
      <c r="C911" s="0" t="s">
        <v>14509</v>
      </c>
      <c r="D911" s="0" t="s">
        <v>19</v>
      </c>
      <c r="E911" s="0" t="s">
        <v>18053</v>
      </c>
      <c r="F911" s="0" t="s">
        <v>40</v>
      </c>
      <c r="G911" s="0" t="s">
        <v>18054</v>
      </c>
    </row>
    <row r="912" customFormat="false" ht="15" hidden="false" customHeight="false" outlineLevel="0" collapsed="false">
      <c r="A912" s="0" t="n">
        <v>3561</v>
      </c>
      <c r="B912" s="0" t="n">
        <v>22179</v>
      </c>
      <c r="C912" s="0" t="s">
        <v>14512</v>
      </c>
      <c r="D912" s="0" t="s">
        <v>19</v>
      </c>
      <c r="E912" s="0" t="s">
        <v>18053</v>
      </c>
      <c r="F912" s="0" t="s">
        <v>40</v>
      </c>
      <c r="G912" s="0" t="s">
        <v>18054</v>
      </c>
    </row>
    <row r="913" customFormat="false" ht="15" hidden="false" customHeight="false" outlineLevel="0" collapsed="false">
      <c r="A913" s="0" t="n">
        <v>3563</v>
      </c>
      <c r="B913" s="0" t="n">
        <v>22181</v>
      </c>
      <c r="C913" s="0" t="s">
        <v>14520</v>
      </c>
      <c r="D913" s="0" t="s">
        <v>19</v>
      </c>
      <c r="E913" s="0" t="s">
        <v>18053</v>
      </c>
      <c r="F913" s="0" t="s">
        <v>40</v>
      </c>
      <c r="G913" s="0" t="s">
        <v>18054</v>
      </c>
    </row>
    <row r="914" customFormat="false" ht="15" hidden="false" customHeight="false" outlineLevel="0" collapsed="false">
      <c r="A914" s="0" t="n">
        <v>3564</v>
      </c>
      <c r="B914" s="0" t="n">
        <v>22182</v>
      </c>
      <c r="C914" s="0" t="s">
        <v>14524</v>
      </c>
      <c r="D914" s="0" t="s">
        <v>19</v>
      </c>
      <c r="E914" s="0" t="s">
        <v>18053</v>
      </c>
      <c r="F914" s="0" t="s">
        <v>40</v>
      </c>
      <c r="G914" s="0" t="s">
        <v>18054</v>
      </c>
    </row>
    <row r="915" customFormat="false" ht="15" hidden="false" customHeight="false" outlineLevel="0" collapsed="false">
      <c r="A915" s="0" t="n">
        <v>3565</v>
      </c>
      <c r="B915" s="0" t="n">
        <v>22183</v>
      </c>
      <c r="C915" s="0" t="s">
        <v>14530</v>
      </c>
      <c r="D915" s="0" t="s">
        <v>19</v>
      </c>
      <c r="E915" s="0" t="s">
        <v>18053</v>
      </c>
      <c r="F915" s="0" t="s">
        <v>40</v>
      </c>
      <c r="G915" s="0" t="s">
        <v>18054</v>
      </c>
    </row>
    <row r="916" customFormat="false" ht="15" hidden="false" customHeight="false" outlineLevel="0" collapsed="false">
      <c r="A916" s="0" t="n">
        <v>3566</v>
      </c>
      <c r="B916" s="0" t="n">
        <v>22184</v>
      </c>
      <c r="C916" s="0" t="s">
        <v>14534</v>
      </c>
      <c r="D916" s="0" t="s">
        <v>19</v>
      </c>
      <c r="E916" s="0" t="s">
        <v>18053</v>
      </c>
      <c r="F916" s="0" t="s">
        <v>40</v>
      </c>
      <c r="G916" s="0" t="s">
        <v>18054</v>
      </c>
    </row>
    <row r="917" customFormat="false" ht="15" hidden="false" customHeight="false" outlineLevel="0" collapsed="false">
      <c r="A917" s="0" t="n">
        <v>3567</v>
      </c>
      <c r="B917" s="0" t="n">
        <v>22185</v>
      </c>
      <c r="C917" s="0" t="s">
        <v>14537</v>
      </c>
      <c r="D917" s="0" t="s">
        <v>19</v>
      </c>
      <c r="E917" s="0" t="s">
        <v>18053</v>
      </c>
      <c r="F917" s="0" t="s">
        <v>40</v>
      </c>
      <c r="G917" s="0" t="s">
        <v>18054</v>
      </c>
    </row>
    <row r="918" customFormat="false" ht="15" hidden="false" customHeight="false" outlineLevel="0" collapsed="false">
      <c r="A918" s="0" t="n">
        <v>3568</v>
      </c>
      <c r="B918" s="0" t="n">
        <v>22186</v>
      </c>
      <c r="C918" s="0" t="s">
        <v>14540</v>
      </c>
      <c r="D918" s="0" t="s">
        <v>19</v>
      </c>
      <c r="E918" s="0" t="s">
        <v>18053</v>
      </c>
      <c r="F918" s="0" t="s">
        <v>40</v>
      </c>
      <c r="G918" s="0" t="s">
        <v>18054</v>
      </c>
    </row>
    <row r="919" customFormat="false" ht="15" hidden="false" customHeight="false" outlineLevel="0" collapsed="false">
      <c r="A919" s="0" t="n">
        <v>3570</v>
      </c>
      <c r="B919" s="0" t="n">
        <v>22188</v>
      </c>
      <c r="C919" s="0" t="s">
        <v>14546</v>
      </c>
      <c r="D919" s="0" t="s">
        <v>19</v>
      </c>
      <c r="E919" s="0" t="s">
        <v>18053</v>
      </c>
      <c r="F919" s="0" t="s">
        <v>40</v>
      </c>
      <c r="G919" s="0" t="s">
        <v>18054</v>
      </c>
    </row>
    <row r="920" customFormat="false" ht="15" hidden="false" customHeight="false" outlineLevel="0" collapsed="false">
      <c r="A920" s="0" t="n">
        <v>3571</v>
      </c>
      <c r="B920" s="0" t="n">
        <v>22189</v>
      </c>
      <c r="C920" s="0" t="s">
        <v>14550</v>
      </c>
      <c r="D920" s="0" t="s">
        <v>19</v>
      </c>
      <c r="E920" s="0" t="s">
        <v>18053</v>
      </c>
      <c r="F920" s="0" t="s">
        <v>40</v>
      </c>
      <c r="G920" s="0" t="s">
        <v>18054</v>
      </c>
    </row>
    <row r="921" customFormat="false" ht="15" hidden="false" customHeight="false" outlineLevel="0" collapsed="false">
      <c r="A921" s="0" t="n">
        <v>3572</v>
      </c>
      <c r="B921" s="0" t="n">
        <v>22190</v>
      </c>
      <c r="C921" s="0" t="s">
        <v>14554</v>
      </c>
      <c r="D921" s="0" t="s">
        <v>19</v>
      </c>
      <c r="E921" s="0" t="s">
        <v>18053</v>
      </c>
      <c r="F921" s="0" t="s">
        <v>40</v>
      </c>
      <c r="G921" s="0" t="s">
        <v>18054</v>
      </c>
    </row>
    <row r="922" customFormat="false" ht="15" hidden="false" customHeight="false" outlineLevel="0" collapsed="false">
      <c r="A922" s="0" t="n">
        <v>3573</v>
      </c>
      <c r="B922" s="0" t="n">
        <v>22191</v>
      </c>
      <c r="C922" s="0" t="s">
        <v>14557</v>
      </c>
      <c r="D922" s="0" t="s">
        <v>19</v>
      </c>
      <c r="E922" s="0" t="s">
        <v>18053</v>
      </c>
      <c r="F922" s="0" t="s">
        <v>40</v>
      </c>
      <c r="G922" s="0" t="s">
        <v>18054</v>
      </c>
    </row>
    <row r="923" customFormat="false" ht="15" hidden="false" customHeight="false" outlineLevel="0" collapsed="false">
      <c r="A923" s="0" t="n">
        <v>3576</v>
      </c>
      <c r="B923" s="0" t="n">
        <v>22194</v>
      </c>
      <c r="C923" s="0" t="s">
        <v>14568</v>
      </c>
      <c r="D923" s="0" t="s">
        <v>19</v>
      </c>
      <c r="E923" s="0" t="s">
        <v>18053</v>
      </c>
      <c r="F923" s="0" t="s">
        <v>40</v>
      </c>
      <c r="G923" s="0" t="s">
        <v>18054</v>
      </c>
    </row>
    <row r="924" customFormat="false" ht="15" hidden="false" customHeight="false" outlineLevel="0" collapsed="false">
      <c r="A924" s="0" t="n">
        <v>3577</v>
      </c>
      <c r="B924" s="0" t="n">
        <v>22195</v>
      </c>
      <c r="C924" s="0" t="s">
        <v>14570</v>
      </c>
      <c r="D924" s="0" t="s">
        <v>19</v>
      </c>
      <c r="E924" s="0" t="s">
        <v>18053</v>
      </c>
      <c r="F924" s="0" t="s">
        <v>40</v>
      </c>
      <c r="G924" s="0" t="s">
        <v>18054</v>
      </c>
    </row>
    <row r="925" customFormat="false" ht="15" hidden="false" customHeight="false" outlineLevel="0" collapsed="false">
      <c r="A925" s="0" t="n">
        <v>3578</v>
      </c>
      <c r="B925" s="0" t="n">
        <v>22196</v>
      </c>
      <c r="C925" s="0" t="s">
        <v>14575</v>
      </c>
      <c r="D925" s="0" t="s">
        <v>19</v>
      </c>
      <c r="E925" s="0" t="s">
        <v>18053</v>
      </c>
      <c r="F925" s="0" t="s">
        <v>40</v>
      </c>
      <c r="G925" s="0" t="s">
        <v>18054</v>
      </c>
    </row>
    <row r="926" customFormat="false" ht="15" hidden="false" customHeight="false" outlineLevel="0" collapsed="false">
      <c r="A926" s="0" t="n">
        <v>3580</v>
      </c>
      <c r="B926" s="0" t="n">
        <v>22198</v>
      </c>
      <c r="C926" s="0" t="s">
        <v>14581</v>
      </c>
      <c r="D926" s="0" t="s">
        <v>19</v>
      </c>
      <c r="E926" s="0" t="s">
        <v>18053</v>
      </c>
      <c r="F926" s="0" t="s">
        <v>40</v>
      </c>
      <c r="G926" s="0" t="s">
        <v>18054</v>
      </c>
    </row>
    <row r="927" customFormat="false" ht="15" hidden="false" customHeight="false" outlineLevel="0" collapsed="false">
      <c r="A927" s="0" t="n">
        <v>3581</v>
      </c>
      <c r="B927" s="0" t="n">
        <v>22199</v>
      </c>
      <c r="C927" s="0" t="s">
        <v>14585</v>
      </c>
      <c r="D927" s="0" t="s">
        <v>19</v>
      </c>
      <c r="E927" s="0" t="s">
        <v>18053</v>
      </c>
      <c r="F927" s="0" t="s">
        <v>40</v>
      </c>
      <c r="G927" s="0" t="s">
        <v>18054</v>
      </c>
    </row>
    <row r="928" customFormat="false" ht="15" hidden="false" customHeight="false" outlineLevel="0" collapsed="false">
      <c r="A928" s="0" t="n">
        <v>3582</v>
      </c>
      <c r="B928" s="0" t="n">
        <v>22200</v>
      </c>
      <c r="C928" s="0" t="s">
        <v>14588</v>
      </c>
      <c r="D928" s="0" t="s">
        <v>19</v>
      </c>
      <c r="E928" s="0" t="s">
        <v>18053</v>
      </c>
      <c r="F928" s="0" t="s">
        <v>40</v>
      </c>
      <c r="G928" s="0" t="s">
        <v>18054</v>
      </c>
    </row>
    <row r="929" customFormat="false" ht="15" hidden="false" customHeight="false" outlineLevel="0" collapsed="false">
      <c r="A929" s="0" t="n">
        <v>3583</v>
      </c>
      <c r="B929" s="0" t="n">
        <v>22201</v>
      </c>
      <c r="C929" s="0" t="s">
        <v>14593</v>
      </c>
      <c r="D929" s="0" t="s">
        <v>19</v>
      </c>
      <c r="E929" s="0" t="s">
        <v>18053</v>
      </c>
      <c r="F929" s="0" t="s">
        <v>40</v>
      </c>
      <c r="G929" s="0" t="s">
        <v>18054</v>
      </c>
    </row>
    <row r="930" customFormat="false" ht="15" hidden="false" customHeight="false" outlineLevel="0" collapsed="false">
      <c r="A930" s="0" t="n">
        <v>3586</v>
      </c>
      <c r="B930" s="0" t="n">
        <v>22204</v>
      </c>
      <c r="C930" s="0" t="s">
        <v>14604</v>
      </c>
      <c r="D930" s="0" t="s">
        <v>19</v>
      </c>
      <c r="E930" s="0" t="s">
        <v>18053</v>
      </c>
      <c r="F930" s="0" t="s">
        <v>40</v>
      </c>
      <c r="G930" s="0" t="s">
        <v>18054</v>
      </c>
    </row>
    <row r="931" customFormat="false" ht="15" hidden="false" customHeight="false" outlineLevel="0" collapsed="false">
      <c r="A931" s="0" t="n">
        <v>3588</v>
      </c>
      <c r="B931" s="0" t="n">
        <v>22206</v>
      </c>
      <c r="C931" s="0" t="s">
        <v>14611</v>
      </c>
      <c r="D931" s="0" t="s">
        <v>19</v>
      </c>
      <c r="E931" s="0" t="s">
        <v>18053</v>
      </c>
      <c r="F931" s="0" t="s">
        <v>40</v>
      </c>
      <c r="G931" s="0" t="s">
        <v>18054</v>
      </c>
    </row>
    <row r="932" customFormat="false" ht="15" hidden="false" customHeight="false" outlineLevel="0" collapsed="false">
      <c r="A932" s="0" t="n">
        <v>3590</v>
      </c>
      <c r="B932" s="0" t="n">
        <v>22208</v>
      </c>
      <c r="C932" s="0" t="s">
        <v>14620</v>
      </c>
      <c r="D932" s="0" t="s">
        <v>19</v>
      </c>
      <c r="E932" s="0" t="s">
        <v>18053</v>
      </c>
      <c r="F932" s="0" t="s">
        <v>40</v>
      </c>
      <c r="G932" s="0" t="s">
        <v>18054</v>
      </c>
    </row>
    <row r="933" customFormat="false" ht="15" hidden="false" customHeight="false" outlineLevel="0" collapsed="false">
      <c r="A933" s="0" t="n">
        <v>3591</v>
      </c>
      <c r="B933" s="0" t="n">
        <v>22209</v>
      </c>
      <c r="C933" s="0" t="s">
        <v>14624</v>
      </c>
      <c r="D933" s="0" t="s">
        <v>19</v>
      </c>
      <c r="E933" s="0" t="s">
        <v>18053</v>
      </c>
      <c r="F933" s="0" t="s">
        <v>40</v>
      </c>
      <c r="G933" s="0" t="s">
        <v>18054</v>
      </c>
    </row>
    <row r="934" customFormat="false" ht="15" hidden="false" customHeight="false" outlineLevel="0" collapsed="false">
      <c r="A934" s="0" t="n">
        <v>3592</v>
      </c>
      <c r="B934" s="0" t="n">
        <v>22210</v>
      </c>
      <c r="C934" s="0" t="s">
        <v>14629</v>
      </c>
      <c r="D934" s="0" t="s">
        <v>19</v>
      </c>
      <c r="E934" s="0" t="s">
        <v>18053</v>
      </c>
      <c r="F934" s="0" t="s">
        <v>40</v>
      </c>
      <c r="G934" s="0" t="s">
        <v>18054</v>
      </c>
    </row>
    <row r="935" customFormat="false" ht="15" hidden="false" customHeight="false" outlineLevel="0" collapsed="false">
      <c r="A935" s="0" t="n">
        <v>3597</v>
      </c>
      <c r="B935" s="0" t="n">
        <v>22215</v>
      </c>
      <c r="C935" s="0" t="s">
        <v>14647</v>
      </c>
      <c r="D935" s="0" t="s">
        <v>19</v>
      </c>
      <c r="E935" s="0" t="s">
        <v>18053</v>
      </c>
      <c r="F935" s="0" t="s">
        <v>40</v>
      </c>
      <c r="G935" s="0" t="s">
        <v>18054</v>
      </c>
    </row>
    <row r="936" customFormat="false" ht="15" hidden="false" customHeight="false" outlineLevel="0" collapsed="false">
      <c r="A936" s="0" t="n">
        <v>3602</v>
      </c>
      <c r="B936" s="0" t="n">
        <v>22406</v>
      </c>
      <c r="C936" s="0" t="s">
        <v>14667</v>
      </c>
      <c r="D936" s="0" t="s">
        <v>21</v>
      </c>
      <c r="E936" s="0" t="s">
        <v>18062</v>
      </c>
      <c r="F936" s="0" t="s">
        <v>42</v>
      </c>
      <c r="G936" s="0" t="s">
        <v>18052</v>
      </c>
    </row>
    <row r="937" customFormat="false" ht="15" hidden="false" customHeight="false" outlineLevel="0" collapsed="false">
      <c r="A937" s="0" t="n">
        <v>3602</v>
      </c>
      <c r="B937" s="0" t="n">
        <v>22406</v>
      </c>
      <c r="C937" s="0" t="s">
        <v>14667</v>
      </c>
      <c r="D937" s="0" t="s">
        <v>22</v>
      </c>
      <c r="E937" s="0" t="s">
        <v>18066</v>
      </c>
      <c r="F937" s="0" t="s">
        <v>43</v>
      </c>
      <c r="G937" s="0" t="s">
        <v>18054</v>
      </c>
    </row>
    <row r="938" customFormat="false" ht="15" hidden="false" customHeight="false" outlineLevel="0" collapsed="false">
      <c r="A938" s="0" t="n">
        <v>3606</v>
      </c>
      <c r="B938" s="0" t="n">
        <v>22482</v>
      </c>
      <c r="C938" s="0" t="s">
        <v>14683</v>
      </c>
      <c r="D938" s="0" t="s">
        <v>21</v>
      </c>
      <c r="E938" s="0" t="s">
        <v>18062</v>
      </c>
      <c r="F938" s="0" t="s">
        <v>42</v>
      </c>
      <c r="G938" s="0" t="s">
        <v>18052</v>
      </c>
    </row>
    <row r="939" customFormat="false" ht="15" hidden="false" customHeight="false" outlineLevel="0" collapsed="false">
      <c r="A939" s="0" t="n">
        <v>3606</v>
      </c>
      <c r="B939" s="0" t="n">
        <v>22482</v>
      </c>
      <c r="C939" s="0" t="s">
        <v>14683</v>
      </c>
      <c r="D939" s="0" t="s">
        <v>22</v>
      </c>
      <c r="E939" s="0" t="s">
        <v>18067</v>
      </c>
      <c r="F939" s="0" t="s">
        <v>54</v>
      </c>
      <c r="G939" s="0" t="s">
        <v>18054</v>
      </c>
    </row>
    <row r="940" customFormat="false" ht="15" hidden="false" customHeight="false" outlineLevel="0" collapsed="false">
      <c r="A940" s="0" t="n">
        <v>3610</v>
      </c>
      <c r="B940" s="0" t="n">
        <v>22228</v>
      </c>
      <c r="C940" s="0" t="s">
        <v>14702</v>
      </c>
      <c r="D940" s="0" t="s">
        <v>19</v>
      </c>
      <c r="E940" s="0" t="s">
        <v>18053</v>
      </c>
      <c r="F940" s="0" t="s">
        <v>40</v>
      </c>
      <c r="G940" s="0" t="s">
        <v>18054</v>
      </c>
    </row>
    <row r="941" customFormat="false" ht="15" hidden="false" customHeight="false" outlineLevel="0" collapsed="false">
      <c r="A941" s="0" t="n">
        <v>3611</v>
      </c>
      <c r="B941" s="0" t="n">
        <v>22229</v>
      </c>
      <c r="C941" s="0" t="s">
        <v>14706</v>
      </c>
      <c r="D941" s="0" t="s">
        <v>19</v>
      </c>
      <c r="E941" s="0" t="s">
        <v>18053</v>
      </c>
      <c r="F941" s="0" t="s">
        <v>40</v>
      </c>
      <c r="G941" s="0" t="s">
        <v>18054</v>
      </c>
    </row>
    <row r="942" customFormat="false" ht="15" hidden="false" customHeight="false" outlineLevel="0" collapsed="false">
      <c r="A942" s="0" t="n">
        <v>3613</v>
      </c>
      <c r="B942" s="0" t="n">
        <v>22231</v>
      </c>
      <c r="C942" s="0" t="s">
        <v>14714</v>
      </c>
      <c r="D942" s="0" t="s">
        <v>19</v>
      </c>
      <c r="E942" s="0" t="s">
        <v>18053</v>
      </c>
      <c r="F942" s="0" t="s">
        <v>40</v>
      </c>
      <c r="G942" s="0" t="s">
        <v>18054</v>
      </c>
    </row>
    <row r="943" customFormat="false" ht="15" hidden="false" customHeight="false" outlineLevel="0" collapsed="false">
      <c r="A943" s="0" t="n">
        <v>3614</v>
      </c>
      <c r="B943" s="0" t="n">
        <v>22232</v>
      </c>
      <c r="C943" s="0" t="s">
        <v>14718</v>
      </c>
      <c r="D943" s="0" t="s">
        <v>19</v>
      </c>
      <c r="E943" s="0" t="s">
        <v>18053</v>
      </c>
      <c r="F943" s="0" t="s">
        <v>40</v>
      </c>
      <c r="G943" s="0" t="s">
        <v>18054</v>
      </c>
    </row>
    <row r="944" customFormat="false" ht="15" hidden="false" customHeight="false" outlineLevel="0" collapsed="false">
      <c r="A944" s="0" t="n">
        <v>3615</v>
      </c>
      <c r="B944" s="0" t="n">
        <v>22233</v>
      </c>
      <c r="C944" s="0" t="s">
        <v>14723</v>
      </c>
      <c r="D944" s="0" t="s">
        <v>19</v>
      </c>
      <c r="E944" s="0" t="s">
        <v>18053</v>
      </c>
      <c r="F944" s="0" t="s">
        <v>40</v>
      </c>
      <c r="G944" s="0" t="s">
        <v>18054</v>
      </c>
    </row>
    <row r="945" customFormat="false" ht="15" hidden="false" customHeight="false" outlineLevel="0" collapsed="false">
      <c r="A945" s="0" t="n">
        <v>3617</v>
      </c>
      <c r="B945" s="0" t="n">
        <v>22235</v>
      </c>
      <c r="C945" s="0" t="s">
        <v>14732</v>
      </c>
      <c r="D945" s="0" t="s">
        <v>19</v>
      </c>
      <c r="E945" s="0" t="s">
        <v>18053</v>
      </c>
      <c r="F945" s="0" t="s">
        <v>40</v>
      </c>
      <c r="G945" s="0" t="s">
        <v>18054</v>
      </c>
    </row>
    <row r="946" customFormat="false" ht="15" hidden="false" customHeight="false" outlineLevel="0" collapsed="false">
      <c r="A946" s="0" t="n">
        <v>3618</v>
      </c>
      <c r="B946" s="0" t="n">
        <v>22236</v>
      </c>
      <c r="C946" s="0" t="s">
        <v>14736</v>
      </c>
      <c r="D946" s="0" t="s">
        <v>19</v>
      </c>
      <c r="E946" s="0" t="s">
        <v>18053</v>
      </c>
      <c r="F946" s="0" t="s">
        <v>40</v>
      </c>
      <c r="G946" s="0" t="s">
        <v>18054</v>
      </c>
    </row>
    <row r="947" customFormat="false" ht="15" hidden="false" customHeight="false" outlineLevel="0" collapsed="false">
      <c r="A947" s="0" t="n">
        <v>3619</v>
      </c>
      <c r="B947" s="0" t="n">
        <v>22237</v>
      </c>
      <c r="C947" s="0" t="s">
        <v>14740</v>
      </c>
      <c r="D947" s="0" t="s">
        <v>19</v>
      </c>
      <c r="E947" s="0" t="s">
        <v>18053</v>
      </c>
      <c r="F947" s="0" t="s">
        <v>40</v>
      </c>
      <c r="G947" s="0" t="s">
        <v>18054</v>
      </c>
    </row>
    <row r="948" customFormat="false" ht="15" hidden="false" customHeight="false" outlineLevel="0" collapsed="false">
      <c r="A948" s="0" t="n">
        <v>3620</v>
      </c>
      <c r="B948" s="0" t="n">
        <v>22238</v>
      </c>
      <c r="C948" s="0" t="s">
        <v>14744</v>
      </c>
      <c r="D948" s="0" t="s">
        <v>19</v>
      </c>
      <c r="E948" s="0" t="s">
        <v>18053</v>
      </c>
      <c r="F948" s="0" t="s">
        <v>40</v>
      </c>
      <c r="G948" s="0" t="s">
        <v>18054</v>
      </c>
    </row>
    <row r="949" customFormat="false" ht="15" hidden="false" customHeight="false" outlineLevel="0" collapsed="false">
      <c r="A949" s="0" t="n">
        <v>3621</v>
      </c>
      <c r="B949" s="0" t="n">
        <v>22239</v>
      </c>
      <c r="C949" s="0" t="s">
        <v>14748</v>
      </c>
      <c r="D949" s="0" t="s">
        <v>19</v>
      </c>
      <c r="E949" s="0" t="s">
        <v>18053</v>
      </c>
      <c r="F949" s="0" t="s">
        <v>40</v>
      </c>
      <c r="G949" s="0" t="s">
        <v>18054</v>
      </c>
    </row>
    <row r="950" customFormat="false" ht="15" hidden="false" customHeight="false" outlineLevel="0" collapsed="false">
      <c r="A950" s="0" t="n">
        <v>3622</v>
      </c>
      <c r="B950" s="0" t="n">
        <v>22240</v>
      </c>
      <c r="C950" s="0" t="s">
        <v>14751</v>
      </c>
      <c r="D950" s="0" t="s">
        <v>19</v>
      </c>
      <c r="E950" s="0" t="s">
        <v>18053</v>
      </c>
      <c r="F950" s="0" t="s">
        <v>40</v>
      </c>
      <c r="G950" s="0" t="s">
        <v>18054</v>
      </c>
    </row>
    <row r="951" customFormat="false" ht="15" hidden="false" customHeight="false" outlineLevel="0" collapsed="false">
      <c r="A951" s="0" t="n">
        <v>3623</v>
      </c>
      <c r="B951" s="0" t="n">
        <v>22241</v>
      </c>
      <c r="C951" s="0" t="s">
        <v>14755</v>
      </c>
      <c r="D951" s="0" t="s">
        <v>19</v>
      </c>
      <c r="E951" s="0" t="s">
        <v>18053</v>
      </c>
      <c r="F951" s="0" t="s">
        <v>40</v>
      </c>
      <c r="G951" s="0" t="s">
        <v>18054</v>
      </c>
    </row>
    <row r="952" customFormat="false" ht="15" hidden="false" customHeight="false" outlineLevel="0" collapsed="false">
      <c r="A952" s="0" t="n">
        <v>3624</v>
      </c>
      <c r="B952" s="0" t="n">
        <v>22242</v>
      </c>
      <c r="C952" s="0" t="s">
        <v>14759</v>
      </c>
      <c r="D952" s="0" t="s">
        <v>19</v>
      </c>
      <c r="E952" s="0" t="s">
        <v>18053</v>
      </c>
      <c r="F952" s="0" t="s">
        <v>40</v>
      </c>
      <c r="G952" s="0" t="s">
        <v>18054</v>
      </c>
    </row>
    <row r="953" customFormat="false" ht="15" hidden="false" customHeight="false" outlineLevel="0" collapsed="false">
      <c r="A953" s="0" t="n">
        <v>3625</v>
      </c>
      <c r="B953" s="0" t="n">
        <v>22243</v>
      </c>
      <c r="C953" s="0" t="s">
        <v>14763</v>
      </c>
      <c r="D953" s="0" t="s">
        <v>19</v>
      </c>
      <c r="E953" s="0" t="s">
        <v>18053</v>
      </c>
      <c r="F953" s="0" t="s">
        <v>40</v>
      </c>
      <c r="G953" s="0" t="s">
        <v>18054</v>
      </c>
    </row>
    <row r="954" customFormat="false" ht="15" hidden="false" customHeight="false" outlineLevel="0" collapsed="false">
      <c r="A954" s="0" t="n">
        <v>3626</v>
      </c>
      <c r="B954" s="0" t="n">
        <v>22244</v>
      </c>
      <c r="C954" s="0" t="s">
        <v>14767</v>
      </c>
      <c r="D954" s="0" t="s">
        <v>19</v>
      </c>
      <c r="E954" s="0" t="s">
        <v>18053</v>
      </c>
      <c r="F954" s="0" t="s">
        <v>40</v>
      </c>
      <c r="G954" s="0" t="s">
        <v>18054</v>
      </c>
    </row>
    <row r="955" customFormat="false" ht="15" hidden="false" customHeight="false" outlineLevel="0" collapsed="false">
      <c r="A955" s="0" t="n">
        <v>3646</v>
      </c>
      <c r="B955" s="0" t="n">
        <v>22265</v>
      </c>
      <c r="C955" s="0" t="s">
        <v>14850</v>
      </c>
      <c r="D955" s="0" t="s">
        <v>22</v>
      </c>
      <c r="E955" s="0" t="s">
        <v>18055</v>
      </c>
      <c r="F955" s="0" t="s">
        <v>43</v>
      </c>
      <c r="G955" s="0" t="s">
        <v>18054</v>
      </c>
    </row>
    <row r="956" customFormat="false" ht="15" hidden="false" customHeight="false" outlineLevel="0" collapsed="false">
      <c r="A956" s="0" t="n">
        <v>3647</v>
      </c>
      <c r="B956" s="0" t="n">
        <v>22266</v>
      </c>
      <c r="C956" s="0" t="s">
        <v>14854</v>
      </c>
      <c r="D956" s="0" t="s">
        <v>22</v>
      </c>
      <c r="E956" s="0" t="s">
        <v>18055</v>
      </c>
      <c r="F956" s="0" t="s">
        <v>43</v>
      </c>
      <c r="G956" s="0" t="s">
        <v>18054</v>
      </c>
    </row>
    <row r="957" customFormat="false" ht="15" hidden="false" customHeight="false" outlineLevel="0" collapsed="false">
      <c r="A957" s="0" t="n">
        <v>3654</v>
      </c>
      <c r="B957" s="0" t="n">
        <v>22273</v>
      </c>
      <c r="C957" s="0" t="s">
        <v>14886</v>
      </c>
      <c r="D957" s="0" t="s">
        <v>19</v>
      </c>
      <c r="E957" s="0" t="s">
        <v>18053</v>
      </c>
      <c r="F957" s="0" t="s">
        <v>40</v>
      </c>
      <c r="G957" s="0" t="s">
        <v>18054</v>
      </c>
    </row>
    <row r="958" customFormat="false" ht="15" hidden="false" customHeight="false" outlineLevel="0" collapsed="false">
      <c r="A958" s="0" t="n">
        <v>3655</v>
      </c>
      <c r="B958" s="0" t="n">
        <v>22275</v>
      </c>
      <c r="C958" s="0" t="s">
        <v>14891</v>
      </c>
      <c r="D958" s="0" t="s">
        <v>19</v>
      </c>
      <c r="E958" s="0" t="s">
        <v>18053</v>
      </c>
      <c r="F958" s="0" t="s">
        <v>40</v>
      </c>
      <c r="G958" s="0" t="s">
        <v>18054</v>
      </c>
    </row>
    <row r="959" customFormat="false" ht="15" hidden="false" customHeight="false" outlineLevel="0" collapsed="false">
      <c r="A959" s="0" t="n">
        <v>3656</v>
      </c>
      <c r="B959" s="0" t="n">
        <v>22276</v>
      </c>
      <c r="C959" s="0" t="s">
        <v>14897</v>
      </c>
      <c r="D959" s="0" t="s">
        <v>19</v>
      </c>
      <c r="E959" s="0" t="s">
        <v>18053</v>
      </c>
      <c r="F959" s="0" t="s">
        <v>40</v>
      </c>
      <c r="G959" s="0" t="s">
        <v>18054</v>
      </c>
    </row>
    <row r="960" customFormat="false" ht="15" hidden="false" customHeight="false" outlineLevel="0" collapsed="false">
      <c r="A960" s="0" t="n">
        <v>3657</v>
      </c>
      <c r="B960" s="0" t="n">
        <v>22277</v>
      </c>
      <c r="C960" s="0" t="s">
        <v>14901</v>
      </c>
      <c r="D960" s="0" t="s">
        <v>19</v>
      </c>
      <c r="E960" s="0" t="s">
        <v>18053</v>
      </c>
      <c r="F960" s="0" t="s">
        <v>40</v>
      </c>
      <c r="G960" s="0" t="s">
        <v>18054</v>
      </c>
    </row>
    <row r="961" customFormat="false" ht="15" hidden="false" customHeight="false" outlineLevel="0" collapsed="false">
      <c r="A961" s="0" t="n">
        <v>3658</v>
      </c>
      <c r="B961" s="0" t="n">
        <v>22278</v>
      </c>
      <c r="C961" s="0" t="s">
        <v>14905</v>
      </c>
      <c r="D961" s="0" t="s">
        <v>19</v>
      </c>
      <c r="E961" s="0" t="s">
        <v>18053</v>
      </c>
      <c r="F961" s="0" t="s">
        <v>40</v>
      </c>
      <c r="G961" s="0" t="s">
        <v>18054</v>
      </c>
    </row>
    <row r="962" customFormat="false" ht="15" hidden="false" customHeight="false" outlineLevel="0" collapsed="false">
      <c r="A962" s="0" t="n">
        <v>3659</v>
      </c>
      <c r="B962" s="0" t="n">
        <v>22279</v>
      </c>
      <c r="C962" s="0" t="s">
        <v>14909</v>
      </c>
      <c r="D962" s="0" t="s">
        <v>19</v>
      </c>
      <c r="E962" s="0" t="s">
        <v>18053</v>
      </c>
      <c r="F962" s="0" t="s">
        <v>40</v>
      </c>
      <c r="G962" s="0" t="s">
        <v>18054</v>
      </c>
    </row>
    <row r="963" customFormat="false" ht="15" hidden="false" customHeight="false" outlineLevel="0" collapsed="false">
      <c r="A963" s="0" t="n">
        <v>3660</v>
      </c>
      <c r="B963" s="0" t="n">
        <v>22280</v>
      </c>
      <c r="C963" s="0" t="s">
        <v>14912</v>
      </c>
      <c r="D963" s="0" t="s">
        <v>19</v>
      </c>
      <c r="E963" s="0" t="s">
        <v>18053</v>
      </c>
      <c r="F963" s="0" t="s">
        <v>40</v>
      </c>
      <c r="G963" s="0" t="s">
        <v>18054</v>
      </c>
    </row>
    <row r="964" customFormat="false" ht="15" hidden="false" customHeight="false" outlineLevel="0" collapsed="false">
      <c r="A964" s="0" t="n">
        <v>3661</v>
      </c>
      <c r="B964" s="0" t="n">
        <v>22281</v>
      </c>
      <c r="C964" s="0" t="s">
        <v>14916</v>
      </c>
      <c r="D964" s="0" t="s">
        <v>19</v>
      </c>
      <c r="E964" s="0" t="s">
        <v>18053</v>
      </c>
      <c r="F964" s="0" t="s">
        <v>40</v>
      </c>
      <c r="G964" s="0" t="s">
        <v>18054</v>
      </c>
    </row>
    <row r="965" customFormat="false" ht="15" hidden="false" customHeight="false" outlineLevel="0" collapsed="false">
      <c r="A965" s="0" t="n">
        <v>3665</v>
      </c>
      <c r="B965" s="0" t="n">
        <v>22478</v>
      </c>
      <c r="C965" s="0" t="s">
        <v>14933</v>
      </c>
      <c r="D965" s="0" t="s">
        <v>21</v>
      </c>
      <c r="E965" s="0" t="s">
        <v>18062</v>
      </c>
      <c r="F965" s="0" t="s">
        <v>42</v>
      </c>
      <c r="G965" s="0" t="s">
        <v>18052</v>
      </c>
    </row>
    <row r="966" customFormat="false" ht="15" hidden="false" customHeight="false" outlineLevel="0" collapsed="false">
      <c r="A966" s="0" t="n">
        <v>3665</v>
      </c>
      <c r="B966" s="0" t="n">
        <v>22478</v>
      </c>
      <c r="C966" s="0" t="s">
        <v>14933</v>
      </c>
      <c r="D966" s="0" t="s">
        <v>22</v>
      </c>
      <c r="E966" s="0" t="s">
        <v>18066</v>
      </c>
      <c r="F966" s="0" t="s">
        <v>43</v>
      </c>
      <c r="G966" s="0" t="s">
        <v>18054</v>
      </c>
    </row>
    <row r="967" customFormat="false" ht="15" hidden="false" customHeight="false" outlineLevel="0" collapsed="false">
      <c r="A967" s="0" t="n">
        <v>3666</v>
      </c>
      <c r="B967" s="0" t="n">
        <v>21818</v>
      </c>
      <c r="C967" s="0" t="s">
        <v>14939</v>
      </c>
      <c r="D967" s="0" t="s">
        <v>21</v>
      </c>
      <c r="E967" s="0" t="s">
        <v>18068</v>
      </c>
      <c r="F967" s="0" t="s">
        <v>18069</v>
      </c>
      <c r="G967" s="0" t="s">
        <v>18052</v>
      </c>
    </row>
    <row r="968" customFormat="false" ht="15" hidden="false" customHeight="false" outlineLevel="0" collapsed="false">
      <c r="A968" s="0" t="n">
        <v>3699</v>
      </c>
      <c r="B968" s="0" t="n">
        <v>22319</v>
      </c>
      <c r="C968" s="0" t="s">
        <v>15086</v>
      </c>
      <c r="D968" s="0" t="s">
        <v>19</v>
      </c>
      <c r="E968" s="0" t="s">
        <v>18070</v>
      </c>
      <c r="F968" s="0" t="s">
        <v>40</v>
      </c>
      <c r="G968" s="0" t="s">
        <v>18054</v>
      </c>
    </row>
    <row r="969" customFormat="false" ht="15" hidden="false" customHeight="false" outlineLevel="0" collapsed="false">
      <c r="A969" s="0" t="n">
        <v>3708</v>
      </c>
      <c r="B969" s="0" t="n">
        <v>22328</v>
      </c>
      <c r="C969" s="0" t="s">
        <v>15124</v>
      </c>
      <c r="D969" s="0" t="s">
        <v>19</v>
      </c>
      <c r="E969" s="0" t="s">
        <v>18053</v>
      </c>
      <c r="F969" s="0" t="s">
        <v>40</v>
      </c>
      <c r="G969" s="0" t="s">
        <v>18054</v>
      </c>
    </row>
    <row r="970" customFormat="false" ht="15" hidden="false" customHeight="false" outlineLevel="0" collapsed="false">
      <c r="A970" s="0" t="n">
        <v>3709</v>
      </c>
      <c r="B970" s="0" t="n">
        <v>22329</v>
      </c>
      <c r="C970" s="0" t="s">
        <v>15128</v>
      </c>
      <c r="D970" s="0" t="s">
        <v>19</v>
      </c>
      <c r="E970" s="0" t="s">
        <v>18053</v>
      </c>
      <c r="F970" s="0" t="s">
        <v>40</v>
      </c>
      <c r="G970" s="0" t="s">
        <v>18054</v>
      </c>
    </row>
    <row r="971" customFormat="false" ht="15" hidden="false" customHeight="false" outlineLevel="0" collapsed="false">
      <c r="A971" s="0" t="n">
        <v>3710</v>
      </c>
      <c r="B971" s="0" t="n">
        <v>22330</v>
      </c>
      <c r="C971" s="0" t="s">
        <v>15132</v>
      </c>
      <c r="D971" s="0" t="s">
        <v>19</v>
      </c>
      <c r="E971" s="0" t="s">
        <v>18053</v>
      </c>
      <c r="F971" s="0" t="s">
        <v>40</v>
      </c>
      <c r="G971" s="0" t="s">
        <v>18054</v>
      </c>
    </row>
    <row r="972" customFormat="false" ht="15" hidden="false" customHeight="false" outlineLevel="0" collapsed="false">
      <c r="A972" s="0" t="n">
        <v>3711</v>
      </c>
      <c r="B972" s="0" t="n">
        <v>22331</v>
      </c>
      <c r="C972" s="0" t="s">
        <v>15138</v>
      </c>
      <c r="D972" s="0" t="s">
        <v>19</v>
      </c>
      <c r="E972" s="0" t="s">
        <v>18053</v>
      </c>
      <c r="F972" s="0" t="s">
        <v>40</v>
      </c>
      <c r="G972" s="0" t="s">
        <v>18054</v>
      </c>
    </row>
    <row r="973" customFormat="false" ht="15" hidden="false" customHeight="false" outlineLevel="0" collapsed="false">
      <c r="A973" s="0" t="n">
        <v>3712</v>
      </c>
      <c r="B973" s="0" t="n">
        <v>22332</v>
      </c>
      <c r="C973" s="0" t="s">
        <v>15142</v>
      </c>
      <c r="D973" s="0" t="s">
        <v>19</v>
      </c>
      <c r="E973" s="0" t="s">
        <v>18053</v>
      </c>
      <c r="F973" s="0" t="s">
        <v>40</v>
      </c>
      <c r="G973" s="0" t="s">
        <v>18054</v>
      </c>
    </row>
    <row r="974" customFormat="false" ht="15" hidden="false" customHeight="false" outlineLevel="0" collapsed="false">
      <c r="A974" s="0" t="n">
        <v>3713</v>
      </c>
      <c r="B974" s="0" t="n">
        <v>22333</v>
      </c>
      <c r="C974" s="0" t="s">
        <v>15146</v>
      </c>
      <c r="D974" s="0" t="s">
        <v>19</v>
      </c>
      <c r="E974" s="0" t="s">
        <v>18053</v>
      </c>
      <c r="F974" s="0" t="s">
        <v>40</v>
      </c>
      <c r="G974" s="0" t="s">
        <v>18054</v>
      </c>
    </row>
    <row r="975" customFormat="false" ht="15" hidden="false" customHeight="false" outlineLevel="0" collapsed="false">
      <c r="A975" s="0" t="n">
        <v>3714</v>
      </c>
      <c r="B975" s="0" t="n">
        <v>22334</v>
      </c>
      <c r="C975" s="0" t="s">
        <v>15150</v>
      </c>
      <c r="D975" s="0" t="s">
        <v>19</v>
      </c>
      <c r="E975" s="0" t="s">
        <v>18053</v>
      </c>
      <c r="F975" s="0" t="s">
        <v>40</v>
      </c>
      <c r="G975" s="0" t="s">
        <v>18054</v>
      </c>
    </row>
    <row r="976" customFormat="false" ht="15" hidden="false" customHeight="false" outlineLevel="0" collapsed="false">
      <c r="A976" s="0" t="n">
        <v>3715</v>
      </c>
      <c r="B976" s="0" t="n">
        <v>22335</v>
      </c>
      <c r="C976" s="0" t="s">
        <v>15154</v>
      </c>
      <c r="D976" s="0" t="s">
        <v>19</v>
      </c>
      <c r="E976" s="0" t="s">
        <v>18053</v>
      </c>
      <c r="F976" s="0" t="s">
        <v>40</v>
      </c>
      <c r="G976" s="0" t="s">
        <v>18054</v>
      </c>
    </row>
    <row r="977" customFormat="false" ht="15" hidden="false" customHeight="false" outlineLevel="0" collapsed="false">
      <c r="A977" s="0" t="n">
        <v>3716</v>
      </c>
      <c r="B977" s="0" t="n">
        <v>22336</v>
      </c>
      <c r="C977" s="0" t="s">
        <v>15158</v>
      </c>
      <c r="D977" s="0" t="s">
        <v>19</v>
      </c>
      <c r="E977" s="0" t="s">
        <v>18053</v>
      </c>
      <c r="F977" s="0" t="s">
        <v>40</v>
      </c>
      <c r="G977" s="0" t="s">
        <v>18054</v>
      </c>
    </row>
    <row r="978" customFormat="false" ht="15" hidden="false" customHeight="false" outlineLevel="0" collapsed="false">
      <c r="A978" s="0" t="n">
        <v>3717</v>
      </c>
      <c r="B978" s="0" t="n">
        <v>22337</v>
      </c>
      <c r="C978" s="0" t="s">
        <v>15162</v>
      </c>
      <c r="D978" s="0" t="s">
        <v>19</v>
      </c>
      <c r="E978" s="0" t="s">
        <v>18053</v>
      </c>
      <c r="F978" s="0" t="s">
        <v>40</v>
      </c>
      <c r="G978" s="0" t="s">
        <v>18054</v>
      </c>
    </row>
    <row r="979" customFormat="false" ht="15" hidden="false" customHeight="false" outlineLevel="0" collapsed="false">
      <c r="A979" s="0" t="n">
        <v>3718</v>
      </c>
      <c r="B979" s="0" t="n">
        <v>22338</v>
      </c>
      <c r="C979" s="0" t="s">
        <v>15166</v>
      </c>
      <c r="D979" s="0" t="s">
        <v>19</v>
      </c>
      <c r="E979" s="0" t="s">
        <v>18053</v>
      </c>
      <c r="F979" s="0" t="s">
        <v>40</v>
      </c>
      <c r="G979" s="0" t="s">
        <v>18054</v>
      </c>
    </row>
    <row r="980" customFormat="false" ht="15" hidden="false" customHeight="false" outlineLevel="0" collapsed="false">
      <c r="A980" s="0" t="n">
        <v>3719</v>
      </c>
      <c r="B980" s="0" t="n">
        <v>22339</v>
      </c>
      <c r="C980" s="0" t="s">
        <v>15170</v>
      </c>
      <c r="D980" s="0" t="s">
        <v>19</v>
      </c>
      <c r="E980" s="0" t="s">
        <v>18053</v>
      </c>
      <c r="F980" s="0" t="s">
        <v>40</v>
      </c>
      <c r="G980" s="0" t="s">
        <v>18054</v>
      </c>
    </row>
    <row r="981" customFormat="false" ht="15" hidden="false" customHeight="false" outlineLevel="0" collapsed="false">
      <c r="A981" s="0" t="n">
        <v>3720</v>
      </c>
      <c r="B981" s="0" t="n">
        <v>22340</v>
      </c>
      <c r="C981" s="0" t="s">
        <v>15174</v>
      </c>
      <c r="D981" s="0" t="s">
        <v>19</v>
      </c>
      <c r="E981" s="0" t="s">
        <v>18053</v>
      </c>
      <c r="F981" s="0" t="s">
        <v>40</v>
      </c>
      <c r="G981" s="0" t="s">
        <v>18054</v>
      </c>
    </row>
    <row r="982" customFormat="false" ht="15" hidden="false" customHeight="false" outlineLevel="0" collapsed="false">
      <c r="A982" s="0" t="n">
        <v>3721</v>
      </c>
      <c r="B982" s="0" t="n">
        <v>22341</v>
      </c>
      <c r="C982" s="0" t="s">
        <v>15178</v>
      </c>
      <c r="D982" s="0" t="s">
        <v>19</v>
      </c>
      <c r="E982" s="0" t="s">
        <v>18053</v>
      </c>
      <c r="F982" s="0" t="s">
        <v>40</v>
      </c>
      <c r="G982" s="0" t="s">
        <v>18054</v>
      </c>
    </row>
    <row r="983" customFormat="false" ht="15" hidden="false" customHeight="false" outlineLevel="0" collapsed="false">
      <c r="A983" s="0" t="n">
        <v>3722</v>
      </c>
      <c r="B983" s="0" t="n">
        <v>22342</v>
      </c>
      <c r="C983" s="0" t="s">
        <v>15182</v>
      </c>
      <c r="D983" s="0" t="s">
        <v>21</v>
      </c>
      <c r="E983" s="0" t="s">
        <v>18051</v>
      </c>
      <c r="F983" s="0" t="s">
        <v>1216</v>
      </c>
      <c r="G983" s="0" t="s">
        <v>18052</v>
      </c>
    </row>
    <row r="984" customFormat="false" ht="15" hidden="false" customHeight="false" outlineLevel="0" collapsed="false">
      <c r="A984" s="0" t="n">
        <v>3739</v>
      </c>
      <c r="B984" s="0" t="n">
        <v>22359</v>
      </c>
      <c r="C984" s="0" t="s">
        <v>15254</v>
      </c>
      <c r="D984" s="0" t="s">
        <v>19</v>
      </c>
      <c r="E984" s="0" t="s">
        <v>18053</v>
      </c>
      <c r="F984" s="0" t="s">
        <v>40</v>
      </c>
      <c r="G984" s="0" t="s">
        <v>18054</v>
      </c>
    </row>
    <row r="985" customFormat="false" ht="15" hidden="false" customHeight="false" outlineLevel="0" collapsed="false">
      <c r="A985" s="0" t="n">
        <v>3740</v>
      </c>
      <c r="B985" s="0" t="n">
        <v>22360</v>
      </c>
      <c r="C985" s="0" t="s">
        <v>15258</v>
      </c>
      <c r="D985" s="0" t="s">
        <v>19</v>
      </c>
      <c r="E985" s="0" t="s">
        <v>18053</v>
      </c>
      <c r="F985" s="0" t="s">
        <v>40</v>
      </c>
      <c r="G985" s="0" t="s">
        <v>18054</v>
      </c>
    </row>
    <row r="986" customFormat="false" ht="15" hidden="false" customHeight="false" outlineLevel="0" collapsed="false">
      <c r="A986" s="0" t="n">
        <v>3758</v>
      </c>
      <c r="B986" s="0" t="n">
        <v>22378</v>
      </c>
      <c r="C986" s="0" t="s">
        <v>15339</v>
      </c>
      <c r="D986" s="0" t="s">
        <v>19</v>
      </c>
      <c r="E986" s="0" t="s">
        <v>18065</v>
      </c>
      <c r="F986" s="0" t="s">
        <v>40</v>
      </c>
      <c r="G986" s="0" t="s">
        <v>18054</v>
      </c>
    </row>
    <row r="987" customFormat="false" ht="15" hidden="false" customHeight="false" outlineLevel="0" collapsed="false">
      <c r="A987" s="0" t="n">
        <v>3758</v>
      </c>
      <c r="B987" s="0" t="n">
        <v>22378</v>
      </c>
      <c r="C987" s="0" t="s">
        <v>15339</v>
      </c>
      <c r="D987" s="0" t="s">
        <v>21</v>
      </c>
      <c r="E987" s="0" t="s">
        <v>18062</v>
      </c>
      <c r="F987" s="0" t="s">
        <v>42</v>
      </c>
      <c r="G987" s="0" t="s">
        <v>18052</v>
      </c>
    </row>
    <row r="988" customFormat="false" ht="15" hidden="false" customHeight="false" outlineLevel="0" collapsed="false">
      <c r="A988" s="0" t="n">
        <v>3758</v>
      </c>
      <c r="B988" s="0" t="n">
        <v>22378</v>
      </c>
      <c r="C988" s="0" t="s">
        <v>15339</v>
      </c>
      <c r="D988" s="0" t="s">
        <v>22</v>
      </c>
      <c r="E988" s="0" t="s">
        <v>18067</v>
      </c>
      <c r="F988" s="0" t="s">
        <v>54</v>
      </c>
      <c r="G988" s="0" t="s">
        <v>18054</v>
      </c>
    </row>
    <row r="989" customFormat="false" ht="15" hidden="false" customHeight="false" outlineLevel="0" collapsed="false">
      <c r="A989" s="0" t="n">
        <v>3759</v>
      </c>
      <c r="B989" s="0" t="n">
        <v>22379</v>
      </c>
      <c r="C989" s="0" t="s">
        <v>15344</v>
      </c>
      <c r="D989" s="0" t="s">
        <v>19</v>
      </c>
      <c r="E989" s="0" t="s">
        <v>18053</v>
      </c>
      <c r="F989" s="0" t="s">
        <v>40</v>
      </c>
      <c r="G989" s="0" t="s">
        <v>18054</v>
      </c>
    </row>
    <row r="990" customFormat="false" ht="15" hidden="false" customHeight="false" outlineLevel="0" collapsed="false">
      <c r="A990" s="0" t="n">
        <v>3760</v>
      </c>
      <c r="B990" s="0" t="n">
        <v>22381</v>
      </c>
      <c r="C990" s="0" t="s">
        <v>15349</v>
      </c>
      <c r="D990" s="0" t="s">
        <v>19</v>
      </c>
      <c r="E990" s="0" t="s">
        <v>18053</v>
      </c>
      <c r="F990" s="0" t="s">
        <v>40</v>
      </c>
      <c r="G990" s="0" t="s">
        <v>18054</v>
      </c>
    </row>
    <row r="991" customFormat="false" ht="15" hidden="false" customHeight="false" outlineLevel="0" collapsed="false">
      <c r="A991" s="0" t="n">
        <v>3761</v>
      </c>
      <c r="B991" s="0" t="n">
        <v>22383</v>
      </c>
      <c r="C991" s="0" t="s">
        <v>15354</v>
      </c>
      <c r="D991" s="0" t="s">
        <v>19</v>
      </c>
      <c r="E991" s="0" t="s">
        <v>18053</v>
      </c>
      <c r="F991" s="0" t="s">
        <v>40</v>
      </c>
      <c r="G991" s="0" t="s">
        <v>18054</v>
      </c>
    </row>
    <row r="992" customFormat="false" ht="15" hidden="false" customHeight="false" outlineLevel="0" collapsed="false">
      <c r="A992" s="0" t="n">
        <v>3762</v>
      </c>
      <c r="B992" s="0" t="n">
        <v>22384</v>
      </c>
      <c r="C992" s="0" t="s">
        <v>15359</v>
      </c>
      <c r="D992" s="0" t="s">
        <v>19</v>
      </c>
      <c r="E992" s="0" t="s">
        <v>18053</v>
      </c>
      <c r="F992" s="0" t="s">
        <v>40</v>
      </c>
      <c r="G992" s="0" t="s">
        <v>18054</v>
      </c>
    </row>
    <row r="993" customFormat="false" ht="15" hidden="false" customHeight="false" outlineLevel="0" collapsed="false">
      <c r="A993" s="0" t="n">
        <v>3763</v>
      </c>
      <c r="B993" s="0" t="n">
        <v>22385</v>
      </c>
      <c r="C993" s="0" t="s">
        <v>15364</v>
      </c>
      <c r="D993" s="0" t="s">
        <v>19</v>
      </c>
      <c r="E993" s="0" t="s">
        <v>18053</v>
      </c>
      <c r="F993" s="0" t="s">
        <v>40</v>
      </c>
      <c r="G993" s="0" t="s">
        <v>18054</v>
      </c>
    </row>
    <row r="994" customFormat="false" ht="15" hidden="false" customHeight="false" outlineLevel="0" collapsed="false">
      <c r="A994" s="0" t="n">
        <v>3764</v>
      </c>
      <c r="B994" s="0" t="n">
        <v>22386</v>
      </c>
      <c r="C994" s="0" t="s">
        <v>15369</v>
      </c>
      <c r="D994" s="0" t="s">
        <v>19</v>
      </c>
      <c r="E994" s="0" t="s">
        <v>18053</v>
      </c>
      <c r="F994" s="0" t="s">
        <v>40</v>
      </c>
      <c r="G994" s="0" t="s">
        <v>18054</v>
      </c>
    </row>
    <row r="995" customFormat="false" ht="15" hidden="false" customHeight="false" outlineLevel="0" collapsed="false">
      <c r="A995" s="0" t="n">
        <v>3765</v>
      </c>
      <c r="B995" s="0" t="n">
        <v>22387</v>
      </c>
      <c r="C995" s="0" t="s">
        <v>15373</v>
      </c>
      <c r="D995" s="0" t="s">
        <v>19</v>
      </c>
      <c r="E995" s="0" t="s">
        <v>18053</v>
      </c>
      <c r="F995" s="0" t="s">
        <v>40</v>
      </c>
      <c r="G995" s="0" t="s">
        <v>18054</v>
      </c>
    </row>
    <row r="996" customFormat="false" ht="15" hidden="false" customHeight="false" outlineLevel="0" collapsed="false">
      <c r="A996" s="0" t="n">
        <v>3766</v>
      </c>
      <c r="B996" s="0" t="n">
        <v>22388</v>
      </c>
      <c r="C996" s="0" t="s">
        <v>15377</v>
      </c>
      <c r="D996" s="0" t="s">
        <v>19</v>
      </c>
      <c r="E996" s="0" t="s">
        <v>18053</v>
      </c>
      <c r="F996" s="0" t="s">
        <v>40</v>
      </c>
      <c r="G996" s="0" t="s">
        <v>18054</v>
      </c>
    </row>
    <row r="997" customFormat="false" ht="15" hidden="false" customHeight="false" outlineLevel="0" collapsed="false">
      <c r="A997" s="0" t="n">
        <v>3767</v>
      </c>
      <c r="B997" s="0" t="n">
        <v>22389</v>
      </c>
      <c r="C997" s="0" t="s">
        <v>15381</v>
      </c>
      <c r="D997" s="0" t="s">
        <v>19</v>
      </c>
      <c r="E997" s="0" t="s">
        <v>18053</v>
      </c>
      <c r="F997" s="0" t="s">
        <v>40</v>
      </c>
      <c r="G997" s="0" t="s">
        <v>18054</v>
      </c>
    </row>
    <row r="998" customFormat="false" ht="15" hidden="false" customHeight="false" outlineLevel="0" collapsed="false">
      <c r="A998" s="0" t="n">
        <v>3769</v>
      </c>
      <c r="B998" s="0" t="n">
        <v>22391</v>
      </c>
      <c r="C998" s="0" t="s">
        <v>15389</v>
      </c>
      <c r="D998" s="0" t="s">
        <v>19</v>
      </c>
      <c r="E998" s="0" t="s">
        <v>18053</v>
      </c>
      <c r="F998" s="0" t="s">
        <v>40</v>
      </c>
      <c r="G998" s="0" t="s">
        <v>18054</v>
      </c>
    </row>
    <row r="999" customFormat="false" ht="15" hidden="false" customHeight="false" outlineLevel="0" collapsed="false">
      <c r="A999" s="0" t="n">
        <v>3770</v>
      </c>
      <c r="B999" s="0" t="n">
        <v>22392</v>
      </c>
      <c r="C999" s="0" t="s">
        <v>15393</v>
      </c>
      <c r="D999" s="0" t="s">
        <v>19</v>
      </c>
      <c r="E999" s="0" t="s">
        <v>18053</v>
      </c>
      <c r="F999" s="0" t="s">
        <v>40</v>
      </c>
      <c r="G999" s="0" t="s">
        <v>18054</v>
      </c>
    </row>
    <row r="1000" customFormat="false" ht="15" hidden="false" customHeight="false" outlineLevel="0" collapsed="false">
      <c r="A1000" s="0" t="n">
        <v>3771</v>
      </c>
      <c r="B1000" s="0" t="n">
        <v>22393</v>
      </c>
      <c r="C1000" s="0" t="s">
        <v>15381</v>
      </c>
      <c r="D1000" s="0" t="s">
        <v>19</v>
      </c>
      <c r="E1000" s="0" t="s">
        <v>18053</v>
      </c>
      <c r="F1000" s="0" t="s">
        <v>40</v>
      </c>
      <c r="G1000" s="0" t="s">
        <v>18054</v>
      </c>
    </row>
    <row r="1001" customFormat="false" ht="15" hidden="false" customHeight="false" outlineLevel="0" collapsed="false">
      <c r="A1001" s="0" t="n">
        <v>3772</v>
      </c>
      <c r="B1001" s="0" t="n">
        <v>22394</v>
      </c>
      <c r="C1001" s="0" t="s">
        <v>15400</v>
      </c>
      <c r="D1001" s="0" t="s">
        <v>19</v>
      </c>
      <c r="E1001" s="0" t="s">
        <v>18053</v>
      </c>
      <c r="F1001" s="0" t="s">
        <v>40</v>
      </c>
      <c r="G1001" s="0" t="s">
        <v>18054</v>
      </c>
    </row>
    <row r="1002" customFormat="false" ht="15" hidden="false" customHeight="false" outlineLevel="0" collapsed="false">
      <c r="A1002" s="0" t="n">
        <v>3773</v>
      </c>
      <c r="B1002" s="0" t="n">
        <v>22395</v>
      </c>
      <c r="C1002" s="0" t="s">
        <v>15404</v>
      </c>
      <c r="D1002" s="0" t="s">
        <v>19</v>
      </c>
      <c r="E1002" s="0" t="s">
        <v>18065</v>
      </c>
      <c r="F1002" s="0" t="s">
        <v>40</v>
      </c>
      <c r="G1002" s="0" t="s">
        <v>18054</v>
      </c>
    </row>
    <row r="1003" customFormat="false" ht="15" hidden="false" customHeight="false" outlineLevel="0" collapsed="false">
      <c r="A1003" s="0" t="n">
        <v>3773</v>
      </c>
      <c r="B1003" s="0" t="n">
        <v>22395</v>
      </c>
      <c r="C1003" s="0" t="s">
        <v>15404</v>
      </c>
      <c r="D1003" s="0" t="s">
        <v>21</v>
      </c>
      <c r="E1003" s="0" t="s">
        <v>18062</v>
      </c>
      <c r="F1003" s="0" t="s">
        <v>42</v>
      </c>
      <c r="G1003" s="0" t="s">
        <v>18052</v>
      </c>
    </row>
    <row r="1004" customFormat="false" ht="15" hidden="false" customHeight="false" outlineLevel="0" collapsed="false">
      <c r="A1004" s="0" t="n">
        <v>3773</v>
      </c>
      <c r="B1004" s="0" t="n">
        <v>22395</v>
      </c>
      <c r="C1004" s="0" t="s">
        <v>15404</v>
      </c>
      <c r="D1004" s="0" t="s">
        <v>22</v>
      </c>
      <c r="E1004" s="0" t="s">
        <v>18067</v>
      </c>
      <c r="F1004" s="0" t="s">
        <v>54</v>
      </c>
      <c r="G1004" s="0" t="s">
        <v>18054</v>
      </c>
    </row>
    <row r="1005" customFormat="false" ht="15" hidden="false" customHeight="false" outlineLevel="0" collapsed="false">
      <c r="A1005" s="0" t="n">
        <v>3774</v>
      </c>
      <c r="B1005" s="0" t="n">
        <v>22396</v>
      </c>
      <c r="C1005" s="0" t="s">
        <v>15408</v>
      </c>
      <c r="D1005" s="0" t="s">
        <v>19</v>
      </c>
      <c r="E1005" s="0" t="s">
        <v>18053</v>
      </c>
      <c r="F1005" s="0" t="s">
        <v>40</v>
      </c>
      <c r="G1005" s="0" t="s">
        <v>18054</v>
      </c>
    </row>
    <row r="1006" customFormat="false" ht="15" hidden="false" customHeight="false" outlineLevel="0" collapsed="false">
      <c r="A1006" s="0" t="n">
        <v>3776</v>
      </c>
      <c r="B1006" s="0" t="n">
        <v>22398</v>
      </c>
      <c r="C1006" s="0" t="s">
        <v>15417</v>
      </c>
      <c r="D1006" s="0" t="s">
        <v>19</v>
      </c>
      <c r="E1006" s="0" t="s">
        <v>18053</v>
      </c>
      <c r="F1006" s="0" t="s">
        <v>40</v>
      </c>
      <c r="G1006" s="0" t="s">
        <v>18054</v>
      </c>
    </row>
    <row r="1007" customFormat="false" ht="15" hidden="false" customHeight="false" outlineLevel="0" collapsed="false">
      <c r="A1007" s="0" t="n">
        <v>3777</v>
      </c>
      <c r="B1007" s="0" t="n">
        <v>22399</v>
      </c>
      <c r="C1007" s="0" t="s">
        <v>15421</v>
      </c>
      <c r="D1007" s="0" t="s">
        <v>19</v>
      </c>
      <c r="E1007" s="0" t="s">
        <v>18053</v>
      </c>
      <c r="F1007" s="0" t="s">
        <v>40</v>
      </c>
      <c r="G1007" s="0" t="s">
        <v>18054</v>
      </c>
    </row>
    <row r="1008" customFormat="false" ht="15" hidden="false" customHeight="false" outlineLevel="0" collapsed="false">
      <c r="A1008" s="0" t="n">
        <v>3779</v>
      </c>
      <c r="B1008" s="0" t="n">
        <v>22401</v>
      </c>
      <c r="C1008" s="0" t="s">
        <v>15430</v>
      </c>
      <c r="D1008" s="0" t="s">
        <v>19</v>
      </c>
      <c r="E1008" s="0" t="s">
        <v>18053</v>
      </c>
      <c r="F1008" s="0" t="s">
        <v>40</v>
      </c>
      <c r="G1008" s="0" t="s">
        <v>18054</v>
      </c>
    </row>
    <row r="1009" customFormat="false" ht="15" hidden="false" customHeight="false" outlineLevel="0" collapsed="false">
      <c r="A1009" s="0" t="n">
        <v>3780</v>
      </c>
      <c r="B1009" s="0" t="n">
        <v>22402</v>
      </c>
      <c r="C1009" s="0" t="s">
        <v>15434</v>
      </c>
      <c r="D1009" s="0" t="s">
        <v>19</v>
      </c>
      <c r="E1009" s="0" t="s">
        <v>18060</v>
      </c>
      <c r="F1009" s="0" t="s">
        <v>108</v>
      </c>
      <c r="G1009" s="0" t="s">
        <v>18054</v>
      </c>
    </row>
    <row r="1010" customFormat="false" ht="15" hidden="false" customHeight="false" outlineLevel="0" collapsed="false">
      <c r="A1010" s="0" t="n">
        <v>3780</v>
      </c>
      <c r="B1010" s="0" t="n">
        <v>22402</v>
      </c>
      <c r="C1010" s="0" t="s">
        <v>15434</v>
      </c>
      <c r="D1010" s="0" t="s">
        <v>21</v>
      </c>
      <c r="E1010" s="0" t="s">
        <v>18062</v>
      </c>
      <c r="F1010" s="0" t="s">
        <v>42</v>
      </c>
      <c r="G1010" s="0" t="s">
        <v>18052</v>
      </c>
    </row>
    <row r="1011" customFormat="false" ht="15" hidden="false" customHeight="false" outlineLevel="0" collapsed="false">
      <c r="A1011" s="0" t="n">
        <v>3780</v>
      </c>
      <c r="B1011" s="0" t="n">
        <v>22402</v>
      </c>
      <c r="C1011" s="0" t="s">
        <v>15434</v>
      </c>
      <c r="D1011" s="0" t="s">
        <v>22</v>
      </c>
      <c r="E1011" s="0" t="s">
        <v>18066</v>
      </c>
      <c r="F1011" s="0" t="s">
        <v>43</v>
      </c>
      <c r="G1011" s="0" t="s">
        <v>18054</v>
      </c>
    </row>
    <row r="1012" customFormat="false" ht="15" hidden="false" customHeight="false" outlineLevel="0" collapsed="false">
      <c r="A1012" s="0" t="n">
        <v>3785</v>
      </c>
      <c r="B1012" s="0" t="n">
        <v>22407</v>
      </c>
      <c r="C1012" s="0" t="s">
        <v>15457</v>
      </c>
      <c r="D1012" s="0" t="s">
        <v>21</v>
      </c>
      <c r="E1012" s="0" t="s">
        <v>18061</v>
      </c>
      <c r="F1012" s="0" t="s">
        <v>99</v>
      </c>
      <c r="G1012" s="0" t="s">
        <v>18052</v>
      </c>
    </row>
    <row r="1013" customFormat="false" ht="15" hidden="false" customHeight="false" outlineLevel="0" collapsed="false">
      <c r="A1013" s="0" t="n">
        <v>3786</v>
      </c>
      <c r="B1013" s="0" t="n">
        <v>22408</v>
      </c>
      <c r="C1013" s="0" t="s">
        <v>15463</v>
      </c>
      <c r="D1013" s="0" t="s">
        <v>19</v>
      </c>
      <c r="E1013" s="0" t="s">
        <v>18053</v>
      </c>
      <c r="F1013" s="0" t="s">
        <v>40</v>
      </c>
      <c r="G1013" s="0" t="s">
        <v>18054</v>
      </c>
    </row>
    <row r="1014" customFormat="false" ht="15" hidden="false" customHeight="false" outlineLevel="0" collapsed="false">
      <c r="A1014" s="0" t="n">
        <v>3786</v>
      </c>
      <c r="B1014" s="0" t="n">
        <v>22408</v>
      </c>
      <c r="C1014" s="0" t="s">
        <v>15463</v>
      </c>
      <c r="D1014" s="0" t="s">
        <v>21</v>
      </c>
      <c r="E1014" s="0" t="s">
        <v>18062</v>
      </c>
      <c r="F1014" s="0" t="s">
        <v>42</v>
      </c>
      <c r="G1014" s="0" t="s">
        <v>18052</v>
      </c>
    </row>
    <row r="1015" customFormat="false" ht="15" hidden="false" customHeight="false" outlineLevel="0" collapsed="false">
      <c r="A1015" s="0" t="n">
        <v>3787</v>
      </c>
      <c r="B1015" s="0" t="n">
        <v>22409</v>
      </c>
      <c r="C1015" s="0" t="s">
        <v>15467</v>
      </c>
      <c r="D1015" s="0" t="s">
        <v>19</v>
      </c>
      <c r="E1015" s="0" t="s">
        <v>18065</v>
      </c>
      <c r="F1015" s="0" t="s">
        <v>40</v>
      </c>
      <c r="G1015" s="0" t="s">
        <v>18054</v>
      </c>
    </row>
    <row r="1016" customFormat="false" ht="15" hidden="false" customHeight="false" outlineLevel="0" collapsed="false">
      <c r="A1016" s="0" t="n">
        <v>3787</v>
      </c>
      <c r="B1016" s="0" t="n">
        <v>22409</v>
      </c>
      <c r="C1016" s="0" t="s">
        <v>15467</v>
      </c>
      <c r="D1016" s="0" t="s">
        <v>21</v>
      </c>
      <c r="E1016" s="0" t="s">
        <v>18062</v>
      </c>
      <c r="F1016" s="0" t="s">
        <v>42</v>
      </c>
      <c r="G1016" s="0" t="s">
        <v>18052</v>
      </c>
    </row>
    <row r="1017" customFormat="false" ht="15" hidden="false" customHeight="false" outlineLevel="0" collapsed="false">
      <c r="A1017" s="0" t="n">
        <v>3787</v>
      </c>
      <c r="B1017" s="0" t="n">
        <v>22409</v>
      </c>
      <c r="C1017" s="0" t="s">
        <v>15467</v>
      </c>
      <c r="D1017" s="0" t="s">
        <v>22</v>
      </c>
      <c r="E1017" s="0" t="s">
        <v>18066</v>
      </c>
      <c r="F1017" s="0" t="s">
        <v>43</v>
      </c>
      <c r="G1017" s="0" t="s">
        <v>18054</v>
      </c>
    </row>
    <row r="1018" customFormat="false" ht="15" hidden="false" customHeight="false" outlineLevel="0" collapsed="false">
      <c r="A1018" s="0" t="n">
        <v>3788</v>
      </c>
      <c r="B1018" s="0" t="n">
        <v>22410</v>
      </c>
      <c r="C1018" s="0" t="s">
        <v>15472</v>
      </c>
      <c r="D1018" s="0" t="s">
        <v>19</v>
      </c>
      <c r="E1018" s="0" t="s">
        <v>18065</v>
      </c>
      <c r="F1018" s="0" t="s">
        <v>40</v>
      </c>
      <c r="G1018" s="0" t="s">
        <v>18054</v>
      </c>
    </row>
    <row r="1019" customFormat="false" ht="15" hidden="false" customHeight="false" outlineLevel="0" collapsed="false">
      <c r="A1019" s="0" t="n">
        <v>3788</v>
      </c>
      <c r="B1019" s="0" t="n">
        <v>22410</v>
      </c>
      <c r="C1019" s="0" t="s">
        <v>15472</v>
      </c>
      <c r="D1019" s="0" t="s">
        <v>21</v>
      </c>
      <c r="E1019" s="0" t="s">
        <v>18062</v>
      </c>
      <c r="F1019" s="0" t="s">
        <v>42</v>
      </c>
      <c r="G1019" s="0" t="s">
        <v>18052</v>
      </c>
    </row>
    <row r="1020" customFormat="false" ht="15" hidden="false" customHeight="false" outlineLevel="0" collapsed="false">
      <c r="A1020" s="0" t="n">
        <v>3788</v>
      </c>
      <c r="B1020" s="0" t="n">
        <v>22410</v>
      </c>
      <c r="C1020" s="0" t="s">
        <v>15472</v>
      </c>
      <c r="D1020" s="0" t="s">
        <v>22</v>
      </c>
      <c r="E1020" s="0" t="s">
        <v>18066</v>
      </c>
      <c r="F1020" s="0" t="s">
        <v>43</v>
      </c>
      <c r="G1020" s="0" t="s">
        <v>18054</v>
      </c>
    </row>
    <row r="1021" customFormat="false" ht="15" hidden="false" customHeight="false" outlineLevel="0" collapsed="false">
      <c r="A1021" s="0" t="n">
        <v>3789</v>
      </c>
      <c r="B1021" s="0" t="n">
        <v>22411</v>
      </c>
      <c r="C1021" s="0" t="s">
        <v>15476</v>
      </c>
      <c r="D1021" s="0" t="s">
        <v>19</v>
      </c>
      <c r="E1021" s="0" t="s">
        <v>18053</v>
      </c>
      <c r="F1021" s="0" t="s">
        <v>40</v>
      </c>
      <c r="G1021" s="0" t="s">
        <v>18054</v>
      </c>
    </row>
    <row r="1022" customFormat="false" ht="15" hidden="false" customHeight="false" outlineLevel="0" collapsed="false">
      <c r="A1022" s="0" t="n">
        <v>3790</v>
      </c>
      <c r="B1022" s="0" t="n">
        <v>22412</v>
      </c>
      <c r="C1022" s="0" t="s">
        <v>15480</v>
      </c>
      <c r="D1022" s="0" t="s">
        <v>19</v>
      </c>
      <c r="E1022" s="0" t="s">
        <v>18053</v>
      </c>
      <c r="F1022" s="0" t="s">
        <v>40</v>
      </c>
      <c r="G1022" s="0" t="s">
        <v>18054</v>
      </c>
    </row>
    <row r="1023" customFormat="false" ht="15" hidden="false" customHeight="false" outlineLevel="0" collapsed="false">
      <c r="A1023" s="0" t="n">
        <v>3793</v>
      </c>
      <c r="B1023" s="0" t="n">
        <v>22421</v>
      </c>
      <c r="C1023" s="0" t="s">
        <v>15494</v>
      </c>
      <c r="D1023" s="0" t="s">
        <v>19</v>
      </c>
      <c r="E1023" s="0" t="s">
        <v>18053</v>
      </c>
      <c r="F1023" s="0" t="s">
        <v>40</v>
      </c>
      <c r="G1023" s="0" t="s">
        <v>18054</v>
      </c>
    </row>
    <row r="1024" customFormat="false" ht="15" hidden="false" customHeight="false" outlineLevel="0" collapsed="false">
      <c r="A1024" s="0" t="n">
        <v>3795</v>
      </c>
      <c r="B1024" s="0" t="n">
        <v>22422</v>
      </c>
      <c r="C1024" s="0" t="s">
        <v>15503</v>
      </c>
      <c r="D1024" s="0" t="s">
        <v>19</v>
      </c>
      <c r="E1024" s="0" t="s">
        <v>18053</v>
      </c>
      <c r="F1024" s="0" t="s">
        <v>40</v>
      </c>
      <c r="G1024" s="0" t="s">
        <v>18054</v>
      </c>
    </row>
    <row r="1025" customFormat="false" ht="15" hidden="false" customHeight="false" outlineLevel="0" collapsed="false">
      <c r="A1025" s="0" t="n">
        <v>3796</v>
      </c>
      <c r="B1025" s="0" t="n">
        <v>22423</v>
      </c>
      <c r="C1025" s="0" t="s">
        <v>15508</v>
      </c>
      <c r="D1025" s="0" t="s">
        <v>19</v>
      </c>
      <c r="E1025" s="0" t="s">
        <v>18053</v>
      </c>
      <c r="F1025" s="0" t="s">
        <v>40</v>
      </c>
      <c r="G1025" s="0" t="s">
        <v>18054</v>
      </c>
    </row>
    <row r="1026" customFormat="false" ht="15" hidden="false" customHeight="false" outlineLevel="0" collapsed="false">
      <c r="A1026" s="0" t="n">
        <v>3797</v>
      </c>
      <c r="B1026" s="0" t="n">
        <v>21684</v>
      </c>
      <c r="C1026" s="0" t="s">
        <v>15513</v>
      </c>
      <c r="D1026" s="0" t="s">
        <v>19</v>
      </c>
      <c r="E1026" s="0" t="s">
        <v>18053</v>
      </c>
      <c r="F1026" s="0" t="s">
        <v>40</v>
      </c>
      <c r="G1026" s="0" t="s">
        <v>18054</v>
      </c>
    </row>
    <row r="1027" customFormat="false" ht="15" hidden="false" customHeight="false" outlineLevel="0" collapsed="false">
      <c r="A1027" s="0" t="n">
        <v>3802</v>
      </c>
      <c r="B1027" s="0" t="n">
        <v>22429</v>
      </c>
      <c r="C1027" s="0" t="s">
        <v>15533</v>
      </c>
      <c r="D1027" s="0" t="s">
        <v>19</v>
      </c>
      <c r="E1027" s="0" t="s">
        <v>18053</v>
      </c>
      <c r="F1027" s="0" t="s">
        <v>40</v>
      </c>
      <c r="G1027" s="0" t="s">
        <v>18054</v>
      </c>
    </row>
    <row r="1028" customFormat="false" ht="15" hidden="false" customHeight="false" outlineLevel="0" collapsed="false">
      <c r="A1028" s="0" t="n">
        <v>3803</v>
      </c>
      <c r="B1028" s="0" t="n">
        <v>22430</v>
      </c>
      <c r="C1028" s="0" t="s">
        <v>15537</v>
      </c>
      <c r="D1028" s="0" t="s">
        <v>19</v>
      </c>
      <c r="E1028" s="0" t="s">
        <v>18053</v>
      </c>
      <c r="F1028" s="0" t="s">
        <v>40</v>
      </c>
      <c r="G1028" s="0" t="s">
        <v>18054</v>
      </c>
    </row>
    <row r="1029" customFormat="false" ht="15" hidden="false" customHeight="false" outlineLevel="0" collapsed="false">
      <c r="A1029" s="0" t="n">
        <v>3804</v>
      </c>
      <c r="B1029" s="0" t="n">
        <v>22431</v>
      </c>
      <c r="C1029" s="0" t="s">
        <v>15542</v>
      </c>
      <c r="D1029" s="0" t="s">
        <v>19</v>
      </c>
      <c r="E1029" s="0" t="s">
        <v>18053</v>
      </c>
      <c r="F1029" s="0" t="s">
        <v>40</v>
      </c>
      <c r="G1029" s="0" t="s">
        <v>18054</v>
      </c>
    </row>
    <row r="1030" customFormat="false" ht="15" hidden="false" customHeight="false" outlineLevel="0" collapsed="false">
      <c r="A1030" s="0" t="n">
        <v>3805</v>
      </c>
      <c r="B1030" s="0" t="n">
        <v>22432</v>
      </c>
      <c r="C1030" s="0" t="s">
        <v>15546</v>
      </c>
      <c r="D1030" s="0" t="s">
        <v>19</v>
      </c>
      <c r="E1030" s="0" t="s">
        <v>18053</v>
      </c>
      <c r="F1030" s="0" t="s">
        <v>40</v>
      </c>
      <c r="G1030" s="0" t="s">
        <v>18054</v>
      </c>
    </row>
    <row r="1031" customFormat="false" ht="15" hidden="false" customHeight="false" outlineLevel="0" collapsed="false">
      <c r="A1031" s="0" t="n">
        <v>3807</v>
      </c>
      <c r="B1031" s="0" t="n">
        <v>22434</v>
      </c>
      <c r="C1031" s="0" t="s">
        <v>15556</v>
      </c>
      <c r="D1031" s="0" t="s">
        <v>19</v>
      </c>
      <c r="E1031" s="0" t="s">
        <v>18053</v>
      </c>
      <c r="F1031" s="0" t="s">
        <v>40</v>
      </c>
      <c r="G1031" s="0" t="s">
        <v>18054</v>
      </c>
    </row>
    <row r="1032" customFormat="false" ht="15" hidden="false" customHeight="false" outlineLevel="0" collapsed="false">
      <c r="A1032" s="0" t="n">
        <v>3808</v>
      </c>
      <c r="B1032" s="0" t="n">
        <v>22435</v>
      </c>
      <c r="C1032" s="0" t="s">
        <v>15560</v>
      </c>
      <c r="D1032" s="0" t="s">
        <v>19</v>
      </c>
      <c r="E1032" s="0" t="s">
        <v>18060</v>
      </c>
      <c r="F1032" s="0" t="s">
        <v>108</v>
      </c>
      <c r="G1032" s="0" t="s">
        <v>18054</v>
      </c>
    </row>
    <row r="1033" customFormat="false" ht="15" hidden="false" customHeight="false" outlineLevel="0" collapsed="false">
      <c r="A1033" s="0" t="n">
        <v>3808</v>
      </c>
      <c r="B1033" s="0" t="n">
        <v>22435</v>
      </c>
      <c r="C1033" s="0" t="s">
        <v>15560</v>
      </c>
      <c r="D1033" s="0" t="s">
        <v>21</v>
      </c>
      <c r="E1033" s="0" t="s">
        <v>18062</v>
      </c>
      <c r="F1033" s="0" t="s">
        <v>42</v>
      </c>
      <c r="G1033" s="0" t="s">
        <v>18052</v>
      </c>
    </row>
    <row r="1034" customFormat="false" ht="15" hidden="false" customHeight="false" outlineLevel="0" collapsed="false">
      <c r="A1034" s="0" t="n">
        <v>3808</v>
      </c>
      <c r="B1034" s="0" t="n">
        <v>22435</v>
      </c>
      <c r="C1034" s="0" t="s">
        <v>15560</v>
      </c>
      <c r="D1034" s="0" t="s">
        <v>22</v>
      </c>
      <c r="E1034" s="0" t="s">
        <v>18066</v>
      </c>
      <c r="F1034" s="0" t="s">
        <v>43</v>
      </c>
      <c r="G1034" s="0" t="s">
        <v>18054</v>
      </c>
    </row>
    <row r="1035" customFormat="false" ht="15" hidden="false" customHeight="false" outlineLevel="0" collapsed="false">
      <c r="A1035" s="0" t="n">
        <v>3809</v>
      </c>
      <c r="B1035" s="0" t="n">
        <v>22436</v>
      </c>
      <c r="C1035" s="0" t="s">
        <v>15565</v>
      </c>
      <c r="D1035" s="0" t="s">
        <v>19</v>
      </c>
      <c r="E1035" s="0" t="s">
        <v>18060</v>
      </c>
      <c r="F1035" s="0" t="s">
        <v>108</v>
      </c>
      <c r="G1035" s="0" t="s">
        <v>18054</v>
      </c>
    </row>
    <row r="1036" customFormat="false" ht="15" hidden="false" customHeight="false" outlineLevel="0" collapsed="false">
      <c r="A1036" s="0" t="n">
        <v>3809</v>
      </c>
      <c r="B1036" s="0" t="n">
        <v>22436</v>
      </c>
      <c r="C1036" s="0" t="s">
        <v>15565</v>
      </c>
      <c r="D1036" s="0" t="s">
        <v>21</v>
      </c>
      <c r="E1036" s="0" t="s">
        <v>18062</v>
      </c>
      <c r="F1036" s="0" t="s">
        <v>42</v>
      </c>
      <c r="G1036" s="0" t="s">
        <v>18052</v>
      </c>
    </row>
    <row r="1037" customFormat="false" ht="15" hidden="false" customHeight="false" outlineLevel="0" collapsed="false">
      <c r="A1037" s="0" t="n">
        <v>3809</v>
      </c>
      <c r="B1037" s="0" t="n">
        <v>22436</v>
      </c>
      <c r="C1037" s="0" t="s">
        <v>15565</v>
      </c>
      <c r="D1037" s="0" t="s">
        <v>22</v>
      </c>
      <c r="E1037" s="0" t="s">
        <v>18067</v>
      </c>
      <c r="F1037" s="0" t="s">
        <v>54</v>
      </c>
      <c r="G1037" s="0" t="s">
        <v>18054</v>
      </c>
    </row>
    <row r="1038" customFormat="false" ht="15" hidden="false" customHeight="false" outlineLevel="0" collapsed="false">
      <c r="A1038" s="0" t="n">
        <v>3810</v>
      </c>
      <c r="B1038" s="0" t="n">
        <v>22437</v>
      </c>
      <c r="C1038" s="0" t="s">
        <v>15570</v>
      </c>
      <c r="D1038" s="0" t="s">
        <v>19</v>
      </c>
      <c r="E1038" s="0" t="s">
        <v>18060</v>
      </c>
      <c r="F1038" s="0" t="s">
        <v>108</v>
      </c>
      <c r="G1038" s="0" t="s">
        <v>18054</v>
      </c>
    </row>
    <row r="1039" customFormat="false" ht="15" hidden="false" customHeight="false" outlineLevel="0" collapsed="false">
      <c r="A1039" s="0" t="n">
        <v>3810</v>
      </c>
      <c r="B1039" s="0" t="n">
        <v>22437</v>
      </c>
      <c r="C1039" s="0" t="s">
        <v>15570</v>
      </c>
      <c r="D1039" s="0" t="s">
        <v>21</v>
      </c>
      <c r="E1039" s="0" t="s">
        <v>18062</v>
      </c>
      <c r="F1039" s="0" t="s">
        <v>42</v>
      </c>
      <c r="G1039" s="0" t="s">
        <v>18052</v>
      </c>
    </row>
    <row r="1040" customFormat="false" ht="15" hidden="false" customHeight="false" outlineLevel="0" collapsed="false">
      <c r="A1040" s="0" t="n">
        <v>3810</v>
      </c>
      <c r="B1040" s="0" t="n">
        <v>22437</v>
      </c>
      <c r="C1040" s="0" t="s">
        <v>15570</v>
      </c>
      <c r="D1040" s="0" t="s">
        <v>22</v>
      </c>
      <c r="E1040" s="0" t="s">
        <v>18066</v>
      </c>
      <c r="F1040" s="0" t="s">
        <v>43</v>
      </c>
      <c r="G1040" s="0" t="s">
        <v>18054</v>
      </c>
    </row>
    <row r="1041" customFormat="false" ht="15" hidden="false" customHeight="false" outlineLevel="0" collapsed="false">
      <c r="A1041" s="0" t="n">
        <v>3811</v>
      </c>
      <c r="B1041" s="0" t="n">
        <v>22438</v>
      </c>
      <c r="C1041" s="0" t="s">
        <v>15575</v>
      </c>
      <c r="D1041" s="0" t="s">
        <v>19</v>
      </c>
      <c r="E1041" s="0" t="s">
        <v>18065</v>
      </c>
      <c r="F1041" s="0" t="s">
        <v>40</v>
      </c>
      <c r="G1041" s="0" t="s">
        <v>18054</v>
      </c>
    </row>
    <row r="1042" customFormat="false" ht="15" hidden="false" customHeight="false" outlineLevel="0" collapsed="false">
      <c r="A1042" s="0" t="n">
        <v>3811</v>
      </c>
      <c r="B1042" s="0" t="n">
        <v>22438</v>
      </c>
      <c r="C1042" s="0" t="s">
        <v>15575</v>
      </c>
      <c r="D1042" s="0" t="s">
        <v>21</v>
      </c>
      <c r="E1042" s="0" t="s">
        <v>18062</v>
      </c>
      <c r="F1042" s="0" t="s">
        <v>42</v>
      </c>
      <c r="G1042" s="0" t="s">
        <v>18052</v>
      </c>
    </row>
    <row r="1043" customFormat="false" ht="15" hidden="false" customHeight="false" outlineLevel="0" collapsed="false">
      <c r="A1043" s="0" t="n">
        <v>3811</v>
      </c>
      <c r="B1043" s="0" t="n">
        <v>22438</v>
      </c>
      <c r="C1043" s="0" t="s">
        <v>15575</v>
      </c>
      <c r="D1043" s="0" t="s">
        <v>22</v>
      </c>
      <c r="E1043" s="0" t="s">
        <v>18066</v>
      </c>
      <c r="F1043" s="0" t="s">
        <v>43</v>
      </c>
      <c r="G1043" s="0" t="s">
        <v>18054</v>
      </c>
    </row>
    <row r="1044" customFormat="false" ht="15" hidden="false" customHeight="false" outlineLevel="0" collapsed="false">
      <c r="A1044" s="0" t="n">
        <v>3812</v>
      </c>
      <c r="B1044" s="0" t="n">
        <v>22439</v>
      </c>
      <c r="C1044" s="0" t="s">
        <v>15580</v>
      </c>
      <c r="D1044" s="0" t="s">
        <v>19</v>
      </c>
      <c r="E1044" s="0" t="s">
        <v>18060</v>
      </c>
      <c r="F1044" s="0" t="s">
        <v>108</v>
      </c>
      <c r="G1044" s="0" t="s">
        <v>18054</v>
      </c>
    </row>
    <row r="1045" customFormat="false" ht="15" hidden="false" customHeight="false" outlineLevel="0" collapsed="false">
      <c r="A1045" s="0" t="n">
        <v>3812</v>
      </c>
      <c r="B1045" s="0" t="n">
        <v>22439</v>
      </c>
      <c r="C1045" s="0" t="s">
        <v>15580</v>
      </c>
      <c r="D1045" s="0" t="s">
        <v>21</v>
      </c>
      <c r="E1045" s="0" t="s">
        <v>18062</v>
      </c>
      <c r="F1045" s="0" t="s">
        <v>42</v>
      </c>
      <c r="G1045" s="0" t="s">
        <v>18052</v>
      </c>
    </row>
    <row r="1046" customFormat="false" ht="15" hidden="false" customHeight="false" outlineLevel="0" collapsed="false">
      <c r="A1046" s="0" t="n">
        <v>3812</v>
      </c>
      <c r="B1046" s="0" t="n">
        <v>22439</v>
      </c>
      <c r="C1046" s="0" t="s">
        <v>15580</v>
      </c>
      <c r="D1046" s="0" t="s">
        <v>22</v>
      </c>
      <c r="E1046" s="0" t="s">
        <v>18067</v>
      </c>
      <c r="F1046" s="0" t="s">
        <v>54</v>
      </c>
      <c r="G1046" s="0" t="s">
        <v>18054</v>
      </c>
    </row>
    <row r="1047" customFormat="false" ht="15" hidden="false" customHeight="false" outlineLevel="0" collapsed="false">
      <c r="A1047" s="0" t="n">
        <v>3813</v>
      </c>
      <c r="B1047" s="0" t="n">
        <v>22440</v>
      </c>
      <c r="C1047" s="0" t="s">
        <v>15585</v>
      </c>
      <c r="D1047" s="0" t="s">
        <v>19</v>
      </c>
      <c r="E1047" s="0" t="s">
        <v>18060</v>
      </c>
      <c r="F1047" s="0" t="s">
        <v>108</v>
      </c>
      <c r="G1047" s="0" t="s">
        <v>18054</v>
      </c>
    </row>
    <row r="1048" customFormat="false" ht="15" hidden="false" customHeight="false" outlineLevel="0" collapsed="false">
      <c r="A1048" s="0" t="n">
        <v>3813</v>
      </c>
      <c r="B1048" s="0" t="n">
        <v>22440</v>
      </c>
      <c r="C1048" s="0" t="s">
        <v>15585</v>
      </c>
      <c r="D1048" s="0" t="s">
        <v>21</v>
      </c>
      <c r="E1048" s="0" t="s">
        <v>18062</v>
      </c>
      <c r="F1048" s="0" t="s">
        <v>42</v>
      </c>
      <c r="G1048" s="0" t="s">
        <v>18052</v>
      </c>
    </row>
    <row r="1049" customFormat="false" ht="15" hidden="false" customHeight="false" outlineLevel="0" collapsed="false">
      <c r="A1049" s="0" t="n">
        <v>3813</v>
      </c>
      <c r="B1049" s="0" t="n">
        <v>22440</v>
      </c>
      <c r="C1049" s="0" t="s">
        <v>15585</v>
      </c>
      <c r="D1049" s="0" t="s">
        <v>22</v>
      </c>
      <c r="E1049" s="0" t="s">
        <v>18067</v>
      </c>
      <c r="F1049" s="0" t="s">
        <v>54</v>
      </c>
      <c r="G1049" s="0" t="s">
        <v>18054</v>
      </c>
    </row>
    <row r="1050" customFormat="false" ht="15" hidden="false" customHeight="false" outlineLevel="0" collapsed="false">
      <c r="A1050" s="0" t="n">
        <v>3814</v>
      </c>
      <c r="B1050" s="0" t="n">
        <v>22441</v>
      </c>
      <c r="C1050" s="0" t="s">
        <v>15590</v>
      </c>
      <c r="D1050" s="0" t="s">
        <v>19</v>
      </c>
      <c r="E1050" s="0" t="s">
        <v>18060</v>
      </c>
      <c r="F1050" s="0" t="s">
        <v>108</v>
      </c>
      <c r="G1050" s="0" t="s">
        <v>18054</v>
      </c>
    </row>
    <row r="1051" customFormat="false" ht="15" hidden="false" customHeight="false" outlineLevel="0" collapsed="false">
      <c r="A1051" s="0" t="n">
        <v>3814</v>
      </c>
      <c r="B1051" s="0" t="n">
        <v>22441</v>
      </c>
      <c r="C1051" s="0" t="s">
        <v>15590</v>
      </c>
      <c r="D1051" s="0" t="s">
        <v>21</v>
      </c>
      <c r="E1051" s="0" t="s">
        <v>18062</v>
      </c>
      <c r="F1051" s="0" t="s">
        <v>42</v>
      </c>
      <c r="G1051" s="0" t="s">
        <v>18052</v>
      </c>
    </row>
    <row r="1052" customFormat="false" ht="15" hidden="false" customHeight="false" outlineLevel="0" collapsed="false">
      <c r="A1052" s="0" t="n">
        <v>3814</v>
      </c>
      <c r="B1052" s="0" t="n">
        <v>22441</v>
      </c>
      <c r="C1052" s="0" t="s">
        <v>15590</v>
      </c>
      <c r="D1052" s="0" t="s">
        <v>22</v>
      </c>
      <c r="E1052" s="0" t="s">
        <v>18071</v>
      </c>
      <c r="F1052" s="0" t="s">
        <v>897</v>
      </c>
      <c r="G1052" s="0" t="s">
        <v>18054</v>
      </c>
    </row>
    <row r="1053" customFormat="false" ht="15" hidden="false" customHeight="false" outlineLevel="0" collapsed="false">
      <c r="A1053" s="0" t="n">
        <v>3815</v>
      </c>
      <c r="B1053" s="0" t="n">
        <v>22442</v>
      </c>
      <c r="C1053" s="0" t="s">
        <v>15595</v>
      </c>
      <c r="D1053" s="0" t="s">
        <v>19</v>
      </c>
      <c r="E1053" s="0" t="s">
        <v>18053</v>
      </c>
      <c r="F1053" s="0" t="s">
        <v>40</v>
      </c>
      <c r="G1053" s="0" t="s">
        <v>18054</v>
      </c>
    </row>
    <row r="1054" customFormat="false" ht="15" hidden="false" customHeight="false" outlineLevel="0" collapsed="false">
      <c r="A1054" s="0" t="n">
        <v>3815</v>
      </c>
      <c r="B1054" s="0" t="n">
        <v>22442</v>
      </c>
      <c r="C1054" s="0" t="s">
        <v>15595</v>
      </c>
      <c r="D1054" s="0" t="s">
        <v>22</v>
      </c>
      <c r="E1054" s="0" t="s">
        <v>18067</v>
      </c>
      <c r="F1054" s="0" t="s">
        <v>54</v>
      </c>
      <c r="G1054" s="0" t="s">
        <v>18054</v>
      </c>
    </row>
    <row r="1055" customFormat="false" ht="15" hidden="false" customHeight="false" outlineLevel="0" collapsed="false">
      <c r="A1055" s="0" t="n">
        <v>3817</v>
      </c>
      <c r="B1055" s="0" t="n">
        <v>22444</v>
      </c>
      <c r="C1055" s="0" t="s">
        <v>15603</v>
      </c>
      <c r="D1055" s="0" t="s">
        <v>21</v>
      </c>
      <c r="E1055" s="0" t="s">
        <v>18051</v>
      </c>
      <c r="F1055" s="0" t="s">
        <v>1216</v>
      </c>
      <c r="G1055" s="0" t="s">
        <v>18052</v>
      </c>
    </row>
    <row r="1056" customFormat="false" ht="15" hidden="false" customHeight="false" outlineLevel="0" collapsed="false">
      <c r="A1056" s="0" t="n">
        <v>3828</v>
      </c>
      <c r="B1056" s="0" t="n">
        <v>22455</v>
      </c>
      <c r="C1056" s="0" t="s">
        <v>15651</v>
      </c>
      <c r="D1056" s="0" t="s">
        <v>19</v>
      </c>
      <c r="E1056" s="0" t="s">
        <v>18065</v>
      </c>
      <c r="F1056" s="0" t="s">
        <v>40</v>
      </c>
      <c r="G1056" s="0" t="s">
        <v>18054</v>
      </c>
    </row>
    <row r="1057" customFormat="false" ht="15" hidden="false" customHeight="false" outlineLevel="0" collapsed="false">
      <c r="A1057" s="0" t="n">
        <v>3828</v>
      </c>
      <c r="B1057" s="0" t="n">
        <v>22455</v>
      </c>
      <c r="C1057" s="0" t="s">
        <v>15651</v>
      </c>
      <c r="D1057" s="0" t="s">
        <v>21</v>
      </c>
      <c r="E1057" s="0" t="s">
        <v>18062</v>
      </c>
      <c r="F1057" s="0" t="s">
        <v>42</v>
      </c>
      <c r="G1057" s="0" t="s">
        <v>18052</v>
      </c>
    </row>
    <row r="1058" customFormat="false" ht="15" hidden="false" customHeight="false" outlineLevel="0" collapsed="false">
      <c r="A1058" s="0" t="n">
        <v>3828</v>
      </c>
      <c r="B1058" s="0" t="n">
        <v>22455</v>
      </c>
      <c r="C1058" s="0" t="s">
        <v>15651</v>
      </c>
      <c r="D1058" s="0" t="s">
        <v>22</v>
      </c>
      <c r="E1058" s="0" t="s">
        <v>18066</v>
      </c>
      <c r="F1058" s="0" t="s">
        <v>43</v>
      </c>
      <c r="G1058" s="0" t="s">
        <v>18054</v>
      </c>
    </row>
    <row r="1059" customFormat="false" ht="15" hidden="false" customHeight="false" outlineLevel="0" collapsed="false">
      <c r="A1059" s="0" t="n">
        <v>3829</v>
      </c>
      <c r="B1059" s="0" t="n">
        <v>22456</v>
      </c>
      <c r="C1059" s="0" t="s">
        <v>15655</v>
      </c>
      <c r="D1059" s="0" t="s">
        <v>19</v>
      </c>
      <c r="E1059" s="0" t="s">
        <v>18060</v>
      </c>
      <c r="F1059" s="0" t="s">
        <v>108</v>
      </c>
      <c r="G1059" s="0" t="s">
        <v>18054</v>
      </c>
    </row>
    <row r="1060" customFormat="false" ht="15" hidden="false" customHeight="false" outlineLevel="0" collapsed="false">
      <c r="A1060" s="0" t="n">
        <v>3829</v>
      </c>
      <c r="B1060" s="0" t="n">
        <v>22456</v>
      </c>
      <c r="C1060" s="0" t="s">
        <v>15655</v>
      </c>
      <c r="D1060" s="0" t="s">
        <v>21</v>
      </c>
      <c r="E1060" s="0" t="s">
        <v>18062</v>
      </c>
      <c r="F1060" s="0" t="s">
        <v>42</v>
      </c>
      <c r="G1060" s="0" t="s">
        <v>18052</v>
      </c>
    </row>
    <row r="1061" customFormat="false" ht="15" hidden="false" customHeight="false" outlineLevel="0" collapsed="false">
      <c r="A1061" s="0" t="n">
        <v>3829</v>
      </c>
      <c r="B1061" s="0" t="n">
        <v>22456</v>
      </c>
      <c r="C1061" s="0" t="s">
        <v>15655</v>
      </c>
      <c r="D1061" s="0" t="s">
        <v>22</v>
      </c>
      <c r="E1061" s="0" t="s">
        <v>18067</v>
      </c>
      <c r="F1061" s="0" t="s">
        <v>54</v>
      </c>
      <c r="G1061" s="0" t="s">
        <v>18054</v>
      </c>
    </row>
    <row r="1062" customFormat="false" ht="15" hidden="false" customHeight="false" outlineLevel="0" collapsed="false">
      <c r="A1062" s="0" t="n">
        <v>3830</v>
      </c>
      <c r="B1062" s="0" t="n">
        <v>22457</v>
      </c>
      <c r="C1062" s="0" t="s">
        <v>15660</v>
      </c>
      <c r="D1062" s="0" t="s">
        <v>19</v>
      </c>
      <c r="E1062" s="0" t="s">
        <v>18060</v>
      </c>
      <c r="F1062" s="0" t="s">
        <v>108</v>
      </c>
      <c r="G1062" s="0" t="s">
        <v>18054</v>
      </c>
    </row>
    <row r="1063" customFormat="false" ht="15" hidden="false" customHeight="false" outlineLevel="0" collapsed="false">
      <c r="A1063" s="0" t="n">
        <v>3830</v>
      </c>
      <c r="B1063" s="0" t="n">
        <v>22457</v>
      </c>
      <c r="C1063" s="0" t="s">
        <v>15660</v>
      </c>
      <c r="D1063" s="0" t="s">
        <v>21</v>
      </c>
      <c r="E1063" s="0" t="s">
        <v>18062</v>
      </c>
      <c r="F1063" s="0" t="s">
        <v>42</v>
      </c>
      <c r="G1063" s="0" t="s">
        <v>18052</v>
      </c>
    </row>
    <row r="1064" customFormat="false" ht="15" hidden="false" customHeight="false" outlineLevel="0" collapsed="false">
      <c r="A1064" s="0" t="n">
        <v>3830</v>
      </c>
      <c r="B1064" s="0" t="n">
        <v>22457</v>
      </c>
      <c r="C1064" s="0" t="s">
        <v>15660</v>
      </c>
      <c r="D1064" s="0" t="s">
        <v>22</v>
      </c>
      <c r="E1064" s="0" t="s">
        <v>18066</v>
      </c>
      <c r="F1064" s="0" t="s">
        <v>43</v>
      </c>
      <c r="G1064" s="0" t="s">
        <v>18054</v>
      </c>
    </row>
    <row r="1065" customFormat="false" ht="15" hidden="false" customHeight="false" outlineLevel="0" collapsed="false">
      <c r="A1065" s="0" t="n">
        <v>3831</v>
      </c>
      <c r="B1065" s="0" t="n">
        <v>22458</v>
      </c>
      <c r="C1065" s="0" t="s">
        <v>15665</v>
      </c>
      <c r="D1065" s="0" t="s">
        <v>19</v>
      </c>
      <c r="E1065" s="0" t="s">
        <v>18065</v>
      </c>
      <c r="F1065" s="0" t="s">
        <v>40</v>
      </c>
      <c r="G1065" s="0" t="s">
        <v>18054</v>
      </c>
    </row>
    <row r="1066" customFormat="false" ht="15" hidden="false" customHeight="false" outlineLevel="0" collapsed="false">
      <c r="A1066" s="0" t="n">
        <v>3831</v>
      </c>
      <c r="B1066" s="0" t="n">
        <v>22458</v>
      </c>
      <c r="C1066" s="0" t="s">
        <v>15665</v>
      </c>
      <c r="D1066" s="0" t="s">
        <v>21</v>
      </c>
      <c r="E1066" s="0" t="s">
        <v>18062</v>
      </c>
      <c r="F1066" s="0" t="s">
        <v>42</v>
      </c>
      <c r="G1066" s="0" t="s">
        <v>18052</v>
      </c>
    </row>
    <row r="1067" customFormat="false" ht="15" hidden="false" customHeight="false" outlineLevel="0" collapsed="false">
      <c r="A1067" s="0" t="n">
        <v>3831</v>
      </c>
      <c r="B1067" s="0" t="n">
        <v>22458</v>
      </c>
      <c r="C1067" s="0" t="s">
        <v>15665</v>
      </c>
      <c r="D1067" s="0" t="s">
        <v>22</v>
      </c>
      <c r="E1067" s="0" t="s">
        <v>18066</v>
      </c>
      <c r="F1067" s="0" t="s">
        <v>43</v>
      </c>
      <c r="G1067" s="0" t="s">
        <v>18054</v>
      </c>
    </row>
    <row r="1068" customFormat="false" ht="15" hidden="false" customHeight="false" outlineLevel="0" collapsed="false">
      <c r="A1068" s="0" t="n">
        <v>3832</v>
      </c>
      <c r="B1068" s="0" t="n">
        <v>22459</v>
      </c>
      <c r="C1068" s="0" t="s">
        <v>15670</v>
      </c>
      <c r="D1068" s="0" t="s">
        <v>19</v>
      </c>
      <c r="E1068" s="0" t="s">
        <v>18060</v>
      </c>
      <c r="F1068" s="0" t="s">
        <v>108</v>
      </c>
      <c r="G1068" s="0" t="s">
        <v>18054</v>
      </c>
    </row>
    <row r="1069" customFormat="false" ht="15" hidden="false" customHeight="false" outlineLevel="0" collapsed="false">
      <c r="A1069" s="0" t="n">
        <v>3832</v>
      </c>
      <c r="B1069" s="0" t="n">
        <v>22459</v>
      </c>
      <c r="C1069" s="0" t="s">
        <v>15670</v>
      </c>
      <c r="D1069" s="0" t="s">
        <v>21</v>
      </c>
      <c r="E1069" s="0" t="s">
        <v>18062</v>
      </c>
      <c r="F1069" s="0" t="s">
        <v>42</v>
      </c>
      <c r="G1069" s="0" t="s">
        <v>18052</v>
      </c>
    </row>
    <row r="1070" customFormat="false" ht="15" hidden="false" customHeight="false" outlineLevel="0" collapsed="false">
      <c r="A1070" s="0" t="n">
        <v>3832</v>
      </c>
      <c r="B1070" s="0" t="n">
        <v>22459</v>
      </c>
      <c r="C1070" s="0" t="s">
        <v>15670</v>
      </c>
      <c r="D1070" s="0" t="s">
        <v>22</v>
      </c>
      <c r="E1070" s="0" t="s">
        <v>18067</v>
      </c>
      <c r="F1070" s="0" t="s">
        <v>54</v>
      </c>
      <c r="G1070" s="0" t="s">
        <v>18054</v>
      </c>
    </row>
    <row r="1071" customFormat="false" ht="15" hidden="false" customHeight="false" outlineLevel="0" collapsed="false">
      <c r="A1071" s="0" t="n">
        <v>3833</v>
      </c>
      <c r="B1071" s="0" t="n">
        <v>22460</v>
      </c>
      <c r="C1071" s="0" t="s">
        <v>15674</v>
      </c>
      <c r="D1071" s="0" t="s">
        <v>19</v>
      </c>
      <c r="E1071" s="0" t="s">
        <v>18065</v>
      </c>
      <c r="F1071" s="0" t="s">
        <v>40</v>
      </c>
      <c r="G1071" s="0" t="s">
        <v>18054</v>
      </c>
    </row>
    <row r="1072" customFormat="false" ht="15" hidden="false" customHeight="false" outlineLevel="0" collapsed="false">
      <c r="A1072" s="0" t="n">
        <v>3833</v>
      </c>
      <c r="B1072" s="0" t="n">
        <v>22460</v>
      </c>
      <c r="C1072" s="0" t="s">
        <v>15674</v>
      </c>
      <c r="D1072" s="0" t="s">
        <v>21</v>
      </c>
      <c r="E1072" s="0" t="s">
        <v>18062</v>
      </c>
      <c r="F1072" s="0" t="s">
        <v>42</v>
      </c>
      <c r="G1072" s="0" t="s">
        <v>18052</v>
      </c>
    </row>
    <row r="1073" customFormat="false" ht="15" hidden="false" customHeight="false" outlineLevel="0" collapsed="false">
      <c r="A1073" s="0" t="n">
        <v>3833</v>
      </c>
      <c r="B1073" s="0" t="n">
        <v>22460</v>
      </c>
      <c r="C1073" s="0" t="s">
        <v>15674</v>
      </c>
      <c r="D1073" s="0" t="s">
        <v>22</v>
      </c>
      <c r="E1073" s="0" t="s">
        <v>18067</v>
      </c>
      <c r="F1073" s="0" t="s">
        <v>54</v>
      </c>
      <c r="G1073" s="0" t="s">
        <v>18054</v>
      </c>
    </row>
    <row r="1074" customFormat="false" ht="15" hidden="false" customHeight="false" outlineLevel="0" collapsed="false">
      <c r="A1074" s="0" t="n">
        <v>3834</v>
      </c>
      <c r="B1074" s="0" t="n">
        <v>22461</v>
      </c>
      <c r="C1074" s="0" t="s">
        <v>15678</v>
      </c>
      <c r="D1074" s="0" t="s">
        <v>19</v>
      </c>
      <c r="E1074" s="0" t="s">
        <v>18060</v>
      </c>
      <c r="F1074" s="0" t="s">
        <v>108</v>
      </c>
      <c r="G1074" s="0" t="s">
        <v>18054</v>
      </c>
    </row>
    <row r="1075" customFormat="false" ht="15" hidden="false" customHeight="false" outlineLevel="0" collapsed="false">
      <c r="A1075" s="0" t="n">
        <v>3834</v>
      </c>
      <c r="B1075" s="0" t="n">
        <v>22461</v>
      </c>
      <c r="C1075" s="0" t="s">
        <v>15678</v>
      </c>
      <c r="D1075" s="0" t="s">
        <v>21</v>
      </c>
      <c r="E1075" s="0" t="s">
        <v>18062</v>
      </c>
      <c r="F1075" s="0" t="s">
        <v>42</v>
      </c>
      <c r="G1075" s="0" t="s">
        <v>18052</v>
      </c>
    </row>
    <row r="1076" customFormat="false" ht="15" hidden="false" customHeight="false" outlineLevel="0" collapsed="false">
      <c r="A1076" s="0" t="n">
        <v>3834</v>
      </c>
      <c r="B1076" s="0" t="n">
        <v>22461</v>
      </c>
      <c r="C1076" s="0" t="s">
        <v>15678</v>
      </c>
      <c r="D1076" s="0" t="s">
        <v>22</v>
      </c>
      <c r="E1076" s="0" t="s">
        <v>18067</v>
      </c>
      <c r="F1076" s="0" t="s">
        <v>54</v>
      </c>
      <c r="G1076" s="0" t="s">
        <v>18054</v>
      </c>
    </row>
    <row r="1077" customFormat="false" ht="15" hidden="false" customHeight="false" outlineLevel="0" collapsed="false">
      <c r="A1077" s="0" t="n">
        <v>3835</v>
      </c>
      <c r="B1077" s="0" t="n">
        <v>22462</v>
      </c>
      <c r="C1077" s="0" t="s">
        <v>15683</v>
      </c>
      <c r="D1077" s="0" t="s">
        <v>19</v>
      </c>
      <c r="E1077" s="0" t="s">
        <v>18060</v>
      </c>
      <c r="F1077" s="0" t="s">
        <v>108</v>
      </c>
      <c r="G1077" s="0" t="s">
        <v>18054</v>
      </c>
    </row>
    <row r="1078" customFormat="false" ht="15" hidden="false" customHeight="false" outlineLevel="0" collapsed="false">
      <c r="A1078" s="0" t="n">
        <v>3835</v>
      </c>
      <c r="B1078" s="0" t="n">
        <v>22462</v>
      </c>
      <c r="C1078" s="0" t="s">
        <v>15683</v>
      </c>
      <c r="D1078" s="0" t="s">
        <v>21</v>
      </c>
      <c r="E1078" s="0" t="s">
        <v>18062</v>
      </c>
      <c r="F1078" s="0" t="s">
        <v>42</v>
      </c>
      <c r="G1078" s="0" t="s">
        <v>18052</v>
      </c>
    </row>
    <row r="1079" customFormat="false" ht="15" hidden="false" customHeight="false" outlineLevel="0" collapsed="false">
      <c r="A1079" s="0" t="n">
        <v>3835</v>
      </c>
      <c r="B1079" s="0" t="n">
        <v>22462</v>
      </c>
      <c r="C1079" s="0" t="s">
        <v>15683</v>
      </c>
      <c r="D1079" s="0" t="s">
        <v>22</v>
      </c>
      <c r="E1079" s="0" t="s">
        <v>18066</v>
      </c>
      <c r="F1079" s="0" t="s">
        <v>43</v>
      </c>
      <c r="G1079" s="0" t="s">
        <v>18054</v>
      </c>
    </row>
    <row r="1080" customFormat="false" ht="15" hidden="false" customHeight="false" outlineLevel="0" collapsed="false">
      <c r="A1080" s="0" t="n">
        <v>3836</v>
      </c>
      <c r="B1080" s="0" t="n">
        <v>22463</v>
      </c>
      <c r="C1080" s="0" t="s">
        <v>15688</v>
      </c>
      <c r="D1080" s="0" t="s">
        <v>19</v>
      </c>
      <c r="E1080" s="0" t="s">
        <v>18060</v>
      </c>
      <c r="F1080" s="0" t="s">
        <v>108</v>
      </c>
      <c r="G1080" s="0" t="s">
        <v>18054</v>
      </c>
    </row>
    <row r="1081" customFormat="false" ht="15" hidden="false" customHeight="false" outlineLevel="0" collapsed="false">
      <c r="A1081" s="0" t="n">
        <v>3836</v>
      </c>
      <c r="B1081" s="0" t="n">
        <v>22463</v>
      </c>
      <c r="C1081" s="0" t="s">
        <v>15688</v>
      </c>
      <c r="D1081" s="0" t="s">
        <v>21</v>
      </c>
      <c r="E1081" s="0" t="s">
        <v>18062</v>
      </c>
      <c r="F1081" s="0" t="s">
        <v>42</v>
      </c>
      <c r="G1081" s="0" t="s">
        <v>18052</v>
      </c>
    </row>
    <row r="1082" customFormat="false" ht="15" hidden="false" customHeight="false" outlineLevel="0" collapsed="false">
      <c r="A1082" s="0" t="n">
        <v>3836</v>
      </c>
      <c r="B1082" s="0" t="n">
        <v>22463</v>
      </c>
      <c r="C1082" s="0" t="s">
        <v>15688</v>
      </c>
      <c r="D1082" s="0" t="s">
        <v>22</v>
      </c>
      <c r="E1082" s="0" t="s">
        <v>18066</v>
      </c>
      <c r="F1082" s="0" t="s">
        <v>43</v>
      </c>
      <c r="G1082" s="0" t="s">
        <v>18054</v>
      </c>
    </row>
    <row r="1083" customFormat="false" ht="15" hidden="false" customHeight="false" outlineLevel="0" collapsed="false">
      <c r="A1083" s="0" t="n">
        <v>3837</v>
      </c>
      <c r="B1083" s="0" t="n">
        <v>22464</v>
      </c>
      <c r="C1083" s="0" t="s">
        <v>15692</v>
      </c>
      <c r="D1083" s="0" t="s">
        <v>19</v>
      </c>
      <c r="E1083" s="0" t="s">
        <v>18060</v>
      </c>
      <c r="F1083" s="0" t="s">
        <v>108</v>
      </c>
      <c r="G1083" s="0" t="s">
        <v>18054</v>
      </c>
    </row>
    <row r="1084" customFormat="false" ht="15" hidden="false" customHeight="false" outlineLevel="0" collapsed="false">
      <c r="A1084" s="0" t="n">
        <v>3837</v>
      </c>
      <c r="B1084" s="0" t="n">
        <v>22464</v>
      </c>
      <c r="C1084" s="0" t="s">
        <v>15692</v>
      </c>
      <c r="D1084" s="0" t="s">
        <v>21</v>
      </c>
      <c r="E1084" s="0" t="s">
        <v>18062</v>
      </c>
      <c r="F1084" s="0" t="s">
        <v>42</v>
      </c>
      <c r="G1084" s="0" t="s">
        <v>18052</v>
      </c>
    </row>
    <row r="1085" customFormat="false" ht="15" hidden="false" customHeight="false" outlineLevel="0" collapsed="false">
      <c r="A1085" s="0" t="n">
        <v>3837</v>
      </c>
      <c r="B1085" s="0" t="n">
        <v>22464</v>
      </c>
      <c r="C1085" s="0" t="s">
        <v>15692</v>
      </c>
      <c r="D1085" s="0" t="s">
        <v>22</v>
      </c>
      <c r="E1085" s="0" t="s">
        <v>18066</v>
      </c>
      <c r="F1085" s="0" t="s">
        <v>43</v>
      </c>
      <c r="G1085" s="0" t="s">
        <v>18054</v>
      </c>
    </row>
    <row r="1086" customFormat="false" ht="15" hidden="false" customHeight="false" outlineLevel="0" collapsed="false">
      <c r="A1086" s="0" t="n">
        <v>3838</v>
      </c>
      <c r="B1086" s="0" t="n">
        <v>22465</v>
      </c>
      <c r="C1086" s="0" t="s">
        <v>15696</v>
      </c>
      <c r="D1086" s="0" t="s">
        <v>19</v>
      </c>
      <c r="E1086" s="0" t="s">
        <v>18060</v>
      </c>
      <c r="F1086" s="0" t="s">
        <v>108</v>
      </c>
      <c r="G1086" s="0" t="s">
        <v>18054</v>
      </c>
    </row>
    <row r="1087" customFormat="false" ht="15" hidden="false" customHeight="false" outlineLevel="0" collapsed="false">
      <c r="A1087" s="0" t="n">
        <v>3838</v>
      </c>
      <c r="B1087" s="0" t="n">
        <v>22465</v>
      </c>
      <c r="C1087" s="0" t="s">
        <v>15696</v>
      </c>
      <c r="D1087" s="0" t="s">
        <v>21</v>
      </c>
      <c r="E1087" s="0" t="s">
        <v>18062</v>
      </c>
      <c r="F1087" s="0" t="s">
        <v>42</v>
      </c>
      <c r="G1087" s="0" t="s">
        <v>18052</v>
      </c>
    </row>
    <row r="1088" customFormat="false" ht="15" hidden="false" customHeight="false" outlineLevel="0" collapsed="false">
      <c r="A1088" s="0" t="n">
        <v>3838</v>
      </c>
      <c r="B1088" s="0" t="n">
        <v>22465</v>
      </c>
      <c r="C1088" s="0" t="s">
        <v>15696</v>
      </c>
      <c r="D1088" s="0" t="s">
        <v>22</v>
      </c>
      <c r="E1088" s="0" t="s">
        <v>18071</v>
      </c>
      <c r="F1088" s="0" t="s">
        <v>897</v>
      </c>
      <c r="G1088" s="0" t="s">
        <v>18054</v>
      </c>
    </row>
    <row r="1089" customFormat="false" ht="15" hidden="false" customHeight="false" outlineLevel="0" collapsed="false">
      <c r="A1089" s="0" t="n">
        <v>3839</v>
      </c>
      <c r="B1089" s="0" t="n">
        <v>22466</v>
      </c>
      <c r="C1089" s="0" t="s">
        <v>15700</v>
      </c>
      <c r="D1089" s="0" t="s">
        <v>19</v>
      </c>
      <c r="E1089" s="0" t="s">
        <v>18060</v>
      </c>
      <c r="F1089" s="0" t="s">
        <v>108</v>
      </c>
      <c r="G1089" s="0" t="s">
        <v>18054</v>
      </c>
    </row>
    <row r="1090" customFormat="false" ht="15" hidden="false" customHeight="false" outlineLevel="0" collapsed="false">
      <c r="A1090" s="0" t="n">
        <v>3839</v>
      </c>
      <c r="B1090" s="0" t="n">
        <v>22466</v>
      </c>
      <c r="C1090" s="0" t="s">
        <v>15700</v>
      </c>
      <c r="D1090" s="0" t="s">
        <v>21</v>
      </c>
      <c r="E1090" s="0" t="s">
        <v>18062</v>
      </c>
      <c r="F1090" s="0" t="s">
        <v>42</v>
      </c>
      <c r="G1090" s="0" t="s">
        <v>18052</v>
      </c>
    </row>
    <row r="1091" customFormat="false" ht="15" hidden="false" customHeight="false" outlineLevel="0" collapsed="false">
      <c r="A1091" s="0" t="n">
        <v>3839</v>
      </c>
      <c r="B1091" s="0" t="n">
        <v>22466</v>
      </c>
      <c r="C1091" s="0" t="s">
        <v>15700</v>
      </c>
      <c r="D1091" s="0" t="s">
        <v>22</v>
      </c>
      <c r="E1091" s="0" t="s">
        <v>18067</v>
      </c>
      <c r="F1091" s="0" t="s">
        <v>54</v>
      </c>
      <c r="G1091" s="0" t="s">
        <v>18054</v>
      </c>
    </row>
    <row r="1092" customFormat="false" ht="15" hidden="false" customHeight="false" outlineLevel="0" collapsed="false">
      <c r="A1092" s="0" t="n">
        <v>3840</v>
      </c>
      <c r="B1092" s="0" t="n">
        <v>22467</v>
      </c>
      <c r="C1092" s="0" t="s">
        <v>15704</v>
      </c>
      <c r="D1092" s="0" t="s">
        <v>19</v>
      </c>
      <c r="E1092" s="0" t="s">
        <v>18065</v>
      </c>
      <c r="F1092" s="0" t="s">
        <v>40</v>
      </c>
      <c r="G1092" s="0" t="s">
        <v>18054</v>
      </c>
    </row>
    <row r="1093" customFormat="false" ht="15" hidden="false" customHeight="false" outlineLevel="0" collapsed="false">
      <c r="A1093" s="0" t="n">
        <v>3840</v>
      </c>
      <c r="B1093" s="0" t="n">
        <v>22467</v>
      </c>
      <c r="C1093" s="0" t="s">
        <v>15704</v>
      </c>
      <c r="D1093" s="0" t="s">
        <v>21</v>
      </c>
      <c r="E1093" s="0" t="s">
        <v>18062</v>
      </c>
      <c r="F1093" s="0" t="s">
        <v>42</v>
      </c>
      <c r="G1093" s="0" t="s">
        <v>18052</v>
      </c>
    </row>
    <row r="1094" customFormat="false" ht="15" hidden="false" customHeight="false" outlineLevel="0" collapsed="false">
      <c r="A1094" s="0" t="n">
        <v>3840</v>
      </c>
      <c r="B1094" s="0" t="n">
        <v>22467</v>
      </c>
      <c r="C1094" s="0" t="s">
        <v>15704</v>
      </c>
      <c r="D1094" s="0" t="s">
        <v>22</v>
      </c>
      <c r="E1094" s="0" t="s">
        <v>18067</v>
      </c>
      <c r="F1094" s="0" t="s">
        <v>54</v>
      </c>
      <c r="G1094" s="0" t="s">
        <v>18054</v>
      </c>
    </row>
    <row r="1095" customFormat="false" ht="15" hidden="false" customHeight="false" outlineLevel="0" collapsed="false">
      <c r="A1095" s="0" t="n">
        <v>3841</v>
      </c>
      <c r="B1095" s="0" t="n">
        <v>22468</v>
      </c>
      <c r="C1095" s="0" t="s">
        <v>15708</v>
      </c>
      <c r="D1095" s="0" t="s">
        <v>19</v>
      </c>
      <c r="E1095" s="0" t="s">
        <v>18060</v>
      </c>
      <c r="F1095" s="0" t="s">
        <v>108</v>
      </c>
      <c r="G1095" s="0" t="s">
        <v>18054</v>
      </c>
    </row>
    <row r="1096" customFormat="false" ht="15" hidden="false" customHeight="false" outlineLevel="0" collapsed="false">
      <c r="A1096" s="0" t="n">
        <v>3841</v>
      </c>
      <c r="B1096" s="0" t="n">
        <v>22468</v>
      </c>
      <c r="C1096" s="0" t="s">
        <v>15708</v>
      </c>
      <c r="D1096" s="0" t="s">
        <v>21</v>
      </c>
      <c r="E1096" s="0" t="s">
        <v>18062</v>
      </c>
      <c r="F1096" s="0" t="s">
        <v>42</v>
      </c>
      <c r="G1096" s="0" t="s">
        <v>18052</v>
      </c>
    </row>
    <row r="1097" customFormat="false" ht="15" hidden="false" customHeight="false" outlineLevel="0" collapsed="false">
      <c r="A1097" s="0" t="n">
        <v>3841</v>
      </c>
      <c r="B1097" s="0" t="n">
        <v>22468</v>
      </c>
      <c r="C1097" s="0" t="s">
        <v>15708</v>
      </c>
      <c r="D1097" s="0" t="s">
        <v>22</v>
      </c>
      <c r="E1097" s="0" t="s">
        <v>18066</v>
      </c>
      <c r="F1097" s="0" t="s">
        <v>43</v>
      </c>
      <c r="G1097" s="0" t="s">
        <v>18054</v>
      </c>
    </row>
    <row r="1098" customFormat="false" ht="15" hidden="false" customHeight="false" outlineLevel="0" collapsed="false">
      <c r="A1098" s="0" t="n">
        <v>3842</v>
      </c>
      <c r="B1098" s="0" t="n">
        <v>22469</v>
      </c>
      <c r="C1098" s="0" t="s">
        <v>15712</v>
      </c>
      <c r="D1098" s="0" t="s">
        <v>19</v>
      </c>
      <c r="E1098" s="0" t="s">
        <v>18065</v>
      </c>
      <c r="F1098" s="0" t="s">
        <v>40</v>
      </c>
      <c r="G1098" s="0" t="s">
        <v>18054</v>
      </c>
    </row>
    <row r="1099" customFormat="false" ht="15" hidden="false" customHeight="false" outlineLevel="0" collapsed="false">
      <c r="A1099" s="0" t="n">
        <v>3842</v>
      </c>
      <c r="B1099" s="0" t="n">
        <v>22469</v>
      </c>
      <c r="C1099" s="0" t="s">
        <v>15712</v>
      </c>
      <c r="D1099" s="0" t="s">
        <v>21</v>
      </c>
      <c r="E1099" s="0" t="s">
        <v>18062</v>
      </c>
      <c r="F1099" s="0" t="s">
        <v>42</v>
      </c>
      <c r="G1099" s="0" t="s">
        <v>18052</v>
      </c>
    </row>
    <row r="1100" customFormat="false" ht="15" hidden="false" customHeight="false" outlineLevel="0" collapsed="false">
      <c r="A1100" s="0" t="n">
        <v>3842</v>
      </c>
      <c r="B1100" s="0" t="n">
        <v>22469</v>
      </c>
      <c r="C1100" s="0" t="s">
        <v>15712</v>
      </c>
      <c r="D1100" s="0" t="s">
        <v>22</v>
      </c>
      <c r="E1100" s="0" t="s">
        <v>18067</v>
      </c>
      <c r="F1100" s="0" t="s">
        <v>54</v>
      </c>
      <c r="G1100" s="0" t="s">
        <v>18054</v>
      </c>
    </row>
    <row r="1101" customFormat="false" ht="15" hidden="false" customHeight="false" outlineLevel="0" collapsed="false">
      <c r="A1101" s="0" t="n">
        <v>3843</v>
      </c>
      <c r="B1101" s="0" t="n">
        <v>22470</v>
      </c>
      <c r="C1101" s="0" t="s">
        <v>15716</v>
      </c>
      <c r="D1101" s="0" t="s">
        <v>19</v>
      </c>
      <c r="E1101" s="0" t="s">
        <v>18053</v>
      </c>
      <c r="F1101" s="0" t="s">
        <v>40</v>
      </c>
      <c r="G1101" s="0" t="s">
        <v>18054</v>
      </c>
    </row>
    <row r="1102" customFormat="false" ht="15" hidden="false" customHeight="false" outlineLevel="0" collapsed="false">
      <c r="A1102" s="0" t="n">
        <v>3844</v>
      </c>
      <c r="B1102" s="0" t="n">
        <v>22471</v>
      </c>
      <c r="C1102" s="0" t="s">
        <v>15720</v>
      </c>
      <c r="D1102" s="0" t="s">
        <v>19</v>
      </c>
      <c r="E1102" s="0" t="s">
        <v>18053</v>
      </c>
      <c r="F1102" s="0" t="s">
        <v>40</v>
      </c>
      <c r="G1102" s="0" t="s">
        <v>18054</v>
      </c>
    </row>
    <row r="1103" customFormat="false" ht="15" hidden="false" customHeight="false" outlineLevel="0" collapsed="false">
      <c r="A1103" s="0" t="n">
        <v>3844</v>
      </c>
      <c r="B1103" s="0" t="n">
        <v>22471</v>
      </c>
      <c r="C1103" s="0" t="s">
        <v>15720</v>
      </c>
      <c r="D1103" s="0" t="s">
        <v>22</v>
      </c>
      <c r="E1103" s="0" t="s">
        <v>18067</v>
      </c>
      <c r="F1103" s="0" t="s">
        <v>54</v>
      </c>
      <c r="G1103" s="0" t="s">
        <v>18054</v>
      </c>
    </row>
    <row r="1104" customFormat="false" ht="15" hidden="false" customHeight="false" outlineLevel="0" collapsed="false">
      <c r="A1104" s="0" t="n">
        <v>3845</v>
      </c>
      <c r="B1104" s="0" t="n">
        <v>22472</v>
      </c>
      <c r="C1104" s="0" t="s">
        <v>15724</v>
      </c>
      <c r="D1104" s="0" t="s">
        <v>19</v>
      </c>
      <c r="E1104" s="0" t="s">
        <v>18060</v>
      </c>
      <c r="F1104" s="0" t="s">
        <v>108</v>
      </c>
      <c r="G1104" s="0" t="s">
        <v>18054</v>
      </c>
    </row>
    <row r="1105" customFormat="false" ht="15" hidden="false" customHeight="false" outlineLevel="0" collapsed="false">
      <c r="A1105" s="0" t="n">
        <v>3845</v>
      </c>
      <c r="B1105" s="0" t="n">
        <v>22472</v>
      </c>
      <c r="C1105" s="0" t="s">
        <v>15724</v>
      </c>
      <c r="D1105" s="0" t="s">
        <v>21</v>
      </c>
      <c r="E1105" s="0" t="s">
        <v>18062</v>
      </c>
      <c r="F1105" s="0" t="s">
        <v>42</v>
      </c>
      <c r="G1105" s="0" t="s">
        <v>18052</v>
      </c>
    </row>
    <row r="1106" customFormat="false" ht="15" hidden="false" customHeight="false" outlineLevel="0" collapsed="false">
      <c r="A1106" s="0" t="n">
        <v>3845</v>
      </c>
      <c r="B1106" s="0" t="n">
        <v>22472</v>
      </c>
      <c r="C1106" s="0" t="s">
        <v>15724</v>
      </c>
      <c r="D1106" s="0" t="s">
        <v>22</v>
      </c>
      <c r="E1106" s="0" t="s">
        <v>18066</v>
      </c>
      <c r="F1106" s="0" t="s">
        <v>43</v>
      </c>
      <c r="G1106" s="0" t="s">
        <v>18054</v>
      </c>
    </row>
    <row r="1107" customFormat="false" ht="15" hidden="false" customHeight="false" outlineLevel="0" collapsed="false">
      <c r="A1107" s="0" t="n">
        <v>3846</v>
      </c>
      <c r="B1107" s="0" t="n">
        <v>22473</v>
      </c>
      <c r="C1107" s="0" t="s">
        <v>15728</v>
      </c>
      <c r="D1107" s="0" t="s">
        <v>19</v>
      </c>
      <c r="E1107" s="0" t="s">
        <v>18065</v>
      </c>
      <c r="F1107" s="0" t="s">
        <v>40</v>
      </c>
      <c r="G1107" s="0" t="s">
        <v>18054</v>
      </c>
    </row>
    <row r="1108" customFormat="false" ht="15" hidden="false" customHeight="false" outlineLevel="0" collapsed="false">
      <c r="A1108" s="0" t="n">
        <v>3846</v>
      </c>
      <c r="B1108" s="0" t="n">
        <v>22473</v>
      </c>
      <c r="C1108" s="0" t="s">
        <v>15728</v>
      </c>
      <c r="D1108" s="0" t="s">
        <v>21</v>
      </c>
      <c r="E1108" s="0" t="s">
        <v>18062</v>
      </c>
      <c r="F1108" s="0" t="s">
        <v>42</v>
      </c>
      <c r="G1108" s="0" t="s">
        <v>18052</v>
      </c>
    </row>
    <row r="1109" customFormat="false" ht="15" hidden="false" customHeight="false" outlineLevel="0" collapsed="false">
      <c r="A1109" s="0" t="n">
        <v>3846</v>
      </c>
      <c r="B1109" s="0" t="n">
        <v>22473</v>
      </c>
      <c r="C1109" s="0" t="s">
        <v>15728</v>
      </c>
      <c r="D1109" s="0" t="s">
        <v>22</v>
      </c>
      <c r="E1109" s="0" t="s">
        <v>18066</v>
      </c>
      <c r="F1109" s="0" t="s">
        <v>43</v>
      </c>
      <c r="G1109" s="0" t="s">
        <v>18054</v>
      </c>
    </row>
    <row r="1110" customFormat="false" ht="15" hidden="false" customHeight="false" outlineLevel="0" collapsed="false">
      <c r="A1110" s="0" t="n">
        <v>3847</v>
      </c>
      <c r="B1110" s="0" t="n">
        <v>22474</v>
      </c>
      <c r="C1110" s="0" t="s">
        <v>15733</v>
      </c>
      <c r="D1110" s="0" t="s">
        <v>19</v>
      </c>
      <c r="E1110" s="0" t="s">
        <v>18065</v>
      </c>
      <c r="F1110" s="0" t="s">
        <v>40</v>
      </c>
      <c r="G1110" s="0" t="s">
        <v>18054</v>
      </c>
    </row>
    <row r="1111" customFormat="false" ht="15" hidden="false" customHeight="false" outlineLevel="0" collapsed="false">
      <c r="A1111" s="0" t="n">
        <v>3847</v>
      </c>
      <c r="B1111" s="0" t="n">
        <v>22474</v>
      </c>
      <c r="C1111" s="0" t="s">
        <v>15733</v>
      </c>
      <c r="D1111" s="0" t="s">
        <v>21</v>
      </c>
      <c r="E1111" s="0" t="s">
        <v>18062</v>
      </c>
      <c r="F1111" s="0" t="s">
        <v>42</v>
      </c>
      <c r="G1111" s="0" t="s">
        <v>18052</v>
      </c>
    </row>
    <row r="1112" customFormat="false" ht="15" hidden="false" customHeight="false" outlineLevel="0" collapsed="false">
      <c r="A1112" s="0" t="n">
        <v>3847</v>
      </c>
      <c r="B1112" s="0" t="n">
        <v>22474</v>
      </c>
      <c r="C1112" s="0" t="s">
        <v>15733</v>
      </c>
      <c r="D1112" s="0" t="s">
        <v>22</v>
      </c>
      <c r="E1112" s="0" t="s">
        <v>18066</v>
      </c>
      <c r="F1112" s="0" t="s">
        <v>43</v>
      </c>
      <c r="G1112" s="0" t="s">
        <v>18054</v>
      </c>
    </row>
    <row r="1113" customFormat="false" ht="15" hidden="false" customHeight="false" outlineLevel="0" collapsed="false">
      <c r="A1113" s="0" t="n">
        <v>3848</v>
      </c>
      <c r="B1113" s="0" t="n">
        <v>22559</v>
      </c>
      <c r="C1113" s="0" t="s">
        <v>15738</v>
      </c>
      <c r="D1113" s="0" t="s">
        <v>19</v>
      </c>
      <c r="E1113" s="0" t="s">
        <v>18053</v>
      </c>
      <c r="F1113" s="0" t="s">
        <v>40</v>
      </c>
      <c r="G1113" s="0" t="s">
        <v>18054</v>
      </c>
    </row>
    <row r="1114" customFormat="false" ht="15" hidden="false" customHeight="false" outlineLevel="0" collapsed="false">
      <c r="A1114" s="0" t="n">
        <v>3852</v>
      </c>
      <c r="B1114" s="0" t="n">
        <v>22479</v>
      </c>
      <c r="C1114" s="0" t="s">
        <v>15754</v>
      </c>
      <c r="D1114" s="0" t="s">
        <v>19</v>
      </c>
      <c r="E1114" s="0" t="s">
        <v>18060</v>
      </c>
      <c r="F1114" s="0" t="s">
        <v>108</v>
      </c>
      <c r="G1114" s="0" t="s">
        <v>18054</v>
      </c>
    </row>
    <row r="1115" customFormat="false" ht="15" hidden="false" customHeight="false" outlineLevel="0" collapsed="false">
      <c r="A1115" s="0" t="n">
        <v>3852</v>
      </c>
      <c r="B1115" s="0" t="n">
        <v>22479</v>
      </c>
      <c r="C1115" s="0" t="s">
        <v>15754</v>
      </c>
      <c r="D1115" s="0" t="s">
        <v>21</v>
      </c>
      <c r="E1115" s="0" t="s">
        <v>18062</v>
      </c>
      <c r="F1115" s="0" t="s">
        <v>42</v>
      </c>
      <c r="G1115" s="0" t="s">
        <v>18052</v>
      </c>
    </row>
    <row r="1116" customFormat="false" ht="15" hidden="false" customHeight="false" outlineLevel="0" collapsed="false">
      <c r="A1116" s="0" t="n">
        <v>3852</v>
      </c>
      <c r="B1116" s="0" t="n">
        <v>22479</v>
      </c>
      <c r="C1116" s="0" t="s">
        <v>15754</v>
      </c>
      <c r="D1116" s="0" t="s">
        <v>22</v>
      </c>
      <c r="E1116" s="0" t="s">
        <v>18066</v>
      </c>
      <c r="F1116" s="0" t="s">
        <v>43</v>
      </c>
      <c r="G1116" s="0" t="s">
        <v>18054</v>
      </c>
    </row>
    <row r="1117" customFormat="false" ht="15" hidden="false" customHeight="false" outlineLevel="0" collapsed="false">
      <c r="A1117" s="0" t="n">
        <v>3856</v>
      </c>
      <c r="B1117" s="0" t="n">
        <v>22483</v>
      </c>
      <c r="C1117" s="0" t="s">
        <v>15771</v>
      </c>
      <c r="D1117" s="0" t="s">
        <v>21</v>
      </c>
      <c r="E1117" s="0" t="s">
        <v>18072</v>
      </c>
      <c r="F1117" s="0" t="s">
        <v>1310</v>
      </c>
      <c r="G1117" s="0" t="s">
        <v>18052</v>
      </c>
    </row>
    <row r="1118" customFormat="false" ht="15" hidden="false" customHeight="false" outlineLevel="0" collapsed="false">
      <c r="A1118" s="0" t="n">
        <v>3857</v>
      </c>
      <c r="B1118" s="0" t="n">
        <v>22484</v>
      </c>
      <c r="C1118" s="0" t="s">
        <v>15778</v>
      </c>
      <c r="D1118" s="0" t="s">
        <v>22</v>
      </c>
      <c r="E1118" s="0" t="s">
        <v>18066</v>
      </c>
      <c r="F1118" s="0" t="s">
        <v>43</v>
      </c>
      <c r="G1118" s="0" t="s">
        <v>18054</v>
      </c>
    </row>
    <row r="1119" customFormat="false" ht="15" hidden="false" customHeight="false" outlineLevel="0" collapsed="false">
      <c r="A1119" s="0" t="n">
        <v>3858</v>
      </c>
      <c r="B1119" s="0" t="n">
        <v>22485</v>
      </c>
      <c r="C1119" s="0" t="s">
        <v>15782</v>
      </c>
      <c r="D1119" s="0" t="s">
        <v>19</v>
      </c>
      <c r="E1119" s="0" t="s">
        <v>18060</v>
      </c>
      <c r="F1119" s="0" t="s">
        <v>108</v>
      </c>
      <c r="G1119" s="0" t="s">
        <v>18054</v>
      </c>
    </row>
    <row r="1120" customFormat="false" ht="15" hidden="false" customHeight="false" outlineLevel="0" collapsed="false">
      <c r="A1120" s="0" t="n">
        <v>3858</v>
      </c>
      <c r="B1120" s="0" t="n">
        <v>22485</v>
      </c>
      <c r="C1120" s="0" t="s">
        <v>15782</v>
      </c>
      <c r="D1120" s="0" t="s">
        <v>21</v>
      </c>
      <c r="E1120" s="0" t="s">
        <v>18062</v>
      </c>
      <c r="F1120" s="0" t="s">
        <v>42</v>
      </c>
      <c r="G1120" s="0" t="s">
        <v>18052</v>
      </c>
    </row>
    <row r="1121" customFormat="false" ht="15" hidden="false" customHeight="false" outlineLevel="0" collapsed="false">
      <c r="A1121" s="0" t="n">
        <v>3858</v>
      </c>
      <c r="B1121" s="0" t="n">
        <v>22485</v>
      </c>
      <c r="C1121" s="0" t="s">
        <v>15782</v>
      </c>
      <c r="D1121" s="0" t="s">
        <v>22</v>
      </c>
      <c r="E1121" s="0" t="s">
        <v>18066</v>
      </c>
      <c r="F1121" s="0" t="s">
        <v>43</v>
      </c>
      <c r="G1121" s="0" t="s">
        <v>18054</v>
      </c>
    </row>
    <row r="1122" customFormat="false" ht="15" hidden="false" customHeight="false" outlineLevel="0" collapsed="false">
      <c r="A1122" s="0" t="n">
        <v>3859</v>
      </c>
      <c r="B1122" s="0" t="n">
        <v>22486</v>
      </c>
      <c r="C1122" s="0" t="s">
        <v>15787</v>
      </c>
      <c r="D1122" s="0" t="s">
        <v>19</v>
      </c>
      <c r="E1122" s="0" t="s">
        <v>18065</v>
      </c>
      <c r="F1122" s="0" t="s">
        <v>40</v>
      </c>
      <c r="G1122" s="0" t="s">
        <v>18054</v>
      </c>
    </row>
    <row r="1123" customFormat="false" ht="15" hidden="false" customHeight="false" outlineLevel="0" collapsed="false">
      <c r="A1123" s="0" t="n">
        <v>3859</v>
      </c>
      <c r="B1123" s="0" t="n">
        <v>22486</v>
      </c>
      <c r="C1123" s="0" t="s">
        <v>15787</v>
      </c>
      <c r="D1123" s="0" t="s">
        <v>21</v>
      </c>
      <c r="E1123" s="0" t="s">
        <v>18062</v>
      </c>
      <c r="F1123" s="0" t="s">
        <v>42</v>
      </c>
      <c r="G1123" s="0" t="s">
        <v>18052</v>
      </c>
    </row>
    <row r="1124" customFormat="false" ht="15" hidden="false" customHeight="false" outlineLevel="0" collapsed="false">
      <c r="A1124" s="0" t="n">
        <v>3859</v>
      </c>
      <c r="B1124" s="0" t="n">
        <v>22486</v>
      </c>
      <c r="C1124" s="0" t="s">
        <v>15787</v>
      </c>
      <c r="D1124" s="0" t="s">
        <v>22</v>
      </c>
      <c r="E1124" s="0" t="s">
        <v>18067</v>
      </c>
      <c r="F1124" s="0" t="s">
        <v>54</v>
      </c>
      <c r="G1124" s="0" t="s">
        <v>18054</v>
      </c>
    </row>
    <row r="1125" customFormat="false" ht="15" hidden="false" customHeight="false" outlineLevel="0" collapsed="false">
      <c r="A1125" s="0" t="n">
        <v>3860</v>
      </c>
      <c r="B1125" s="0" t="n">
        <v>22487</v>
      </c>
      <c r="C1125" s="0" t="s">
        <v>15792</v>
      </c>
      <c r="D1125" s="0" t="s">
        <v>19</v>
      </c>
      <c r="E1125" s="0" t="s">
        <v>18065</v>
      </c>
      <c r="F1125" s="0" t="s">
        <v>40</v>
      </c>
      <c r="G1125" s="0" t="s">
        <v>18054</v>
      </c>
    </row>
    <row r="1126" customFormat="false" ht="15" hidden="false" customHeight="false" outlineLevel="0" collapsed="false">
      <c r="A1126" s="0" t="n">
        <v>3860</v>
      </c>
      <c r="B1126" s="0" t="n">
        <v>22487</v>
      </c>
      <c r="C1126" s="0" t="s">
        <v>15792</v>
      </c>
      <c r="D1126" s="0" t="s">
        <v>21</v>
      </c>
      <c r="E1126" s="0" t="s">
        <v>18062</v>
      </c>
      <c r="F1126" s="0" t="s">
        <v>42</v>
      </c>
      <c r="G1126" s="0" t="s">
        <v>18052</v>
      </c>
    </row>
    <row r="1127" customFormat="false" ht="15" hidden="false" customHeight="false" outlineLevel="0" collapsed="false">
      <c r="A1127" s="0" t="n">
        <v>3860</v>
      </c>
      <c r="B1127" s="0" t="n">
        <v>22487</v>
      </c>
      <c r="C1127" s="0" t="s">
        <v>15792</v>
      </c>
      <c r="D1127" s="0" t="s">
        <v>22</v>
      </c>
      <c r="E1127" s="0" t="s">
        <v>18066</v>
      </c>
      <c r="F1127" s="0" t="s">
        <v>43</v>
      </c>
      <c r="G1127" s="0" t="s">
        <v>18054</v>
      </c>
    </row>
    <row r="1128" customFormat="false" ht="15" hidden="false" customHeight="false" outlineLevel="0" collapsed="false">
      <c r="A1128" s="0" t="n">
        <v>3861</v>
      </c>
      <c r="B1128" s="0" t="n">
        <v>22488</v>
      </c>
      <c r="C1128" s="0" t="s">
        <v>15798</v>
      </c>
      <c r="D1128" s="0" t="s">
        <v>19</v>
      </c>
      <c r="E1128" s="0" t="s">
        <v>18065</v>
      </c>
      <c r="F1128" s="0" t="s">
        <v>40</v>
      </c>
      <c r="G1128" s="0" t="s">
        <v>18054</v>
      </c>
    </row>
    <row r="1129" customFormat="false" ht="15" hidden="false" customHeight="false" outlineLevel="0" collapsed="false">
      <c r="A1129" s="0" t="n">
        <v>3861</v>
      </c>
      <c r="B1129" s="0" t="n">
        <v>22488</v>
      </c>
      <c r="C1129" s="0" t="s">
        <v>15798</v>
      </c>
      <c r="D1129" s="0" t="s">
        <v>21</v>
      </c>
      <c r="E1129" s="0" t="s">
        <v>18062</v>
      </c>
      <c r="F1129" s="0" t="s">
        <v>42</v>
      </c>
      <c r="G1129" s="0" t="s">
        <v>18052</v>
      </c>
    </row>
    <row r="1130" customFormat="false" ht="15" hidden="false" customHeight="false" outlineLevel="0" collapsed="false">
      <c r="A1130" s="0" t="n">
        <v>3861</v>
      </c>
      <c r="B1130" s="0" t="n">
        <v>22488</v>
      </c>
      <c r="C1130" s="0" t="s">
        <v>15798</v>
      </c>
      <c r="D1130" s="0" t="s">
        <v>22</v>
      </c>
      <c r="E1130" s="0" t="s">
        <v>18066</v>
      </c>
      <c r="F1130" s="0" t="s">
        <v>43</v>
      </c>
      <c r="G1130" s="0" t="s">
        <v>18054</v>
      </c>
    </row>
    <row r="1131" customFormat="false" ht="15" hidden="false" customHeight="false" outlineLevel="0" collapsed="false">
      <c r="A1131" s="0" t="n">
        <v>3862</v>
      </c>
      <c r="B1131" s="0" t="n">
        <v>22489</v>
      </c>
      <c r="C1131" s="0" t="s">
        <v>15802</v>
      </c>
      <c r="D1131" s="0" t="s">
        <v>19</v>
      </c>
      <c r="E1131" s="0" t="s">
        <v>18065</v>
      </c>
      <c r="F1131" s="0" t="s">
        <v>40</v>
      </c>
      <c r="G1131" s="0" t="s">
        <v>18054</v>
      </c>
    </row>
    <row r="1132" customFormat="false" ht="15" hidden="false" customHeight="false" outlineLevel="0" collapsed="false">
      <c r="A1132" s="0" t="n">
        <v>3862</v>
      </c>
      <c r="B1132" s="0" t="n">
        <v>22489</v>
      </c>
      <c r="C1132" s="0" t="s">
        <v>15802</v>
      </c>
      <c r="D1132" s="0" t="s">
        <v>21</v>
      </c>
      <c r="E1132" s="0" t="s">
        <v>18062</v>
      </c>
      <c r="F1132" s="0" t="s">
        <v>42</v>
      </c>
      <c r="G1132" s="0" t="s">
        <v>18052</v>
      </c>
    </row>
    <row r="1133" customFormat="false" ht="15" hidden="false" customHeight="false" outlineLevel="0" collapsed="false">
      <c r="A1133" s="0" t="n">
        <v>3862</v>
      </c>
      <c r="B1133" s="0" t="n">
        <v>22489</v>
      </c>
      <c r="C1133" s="0" t="s">
        <v>15802</v>
      </c>
      <c r="D1133" s="0" t="s">
        <v>22</v>
      </c>
      <c r="E1133" s="0" t="s">
        <v>18066</v>
      </c>
      <c r="F1133" s="0" t="s">
        <v>43</v>
      </c>
      <c r="G1133" s="0" t="s">
        <v>18054</v>
      </c>
    </row>
    <row r="1134" customFormat="false" ht="15" hidden="false" customHeight="false" outlineLevel="0" collapsed="false">
      <c r="A1134" s="0" t="n">
        <v>3863</v>
      </c>
      <c r="B1134" s="0" t="n">
        <v>22490</v>
      </c>
      <c r="C1134" s="0" t="s">
        <v>15808</v>
      </c>
      <c r="D1134" s="0" t="s">
        <v>19</v>
      </c>
      <c r="E1134" s="0" t="s">
        <v>18065</v>
      </c>
      <c r="F1134" s="0" t="s">
        <v>40</v>
      </c>
      <c r="G1134" s="0" t="s">
        <v>18054</v>
      </c>
    </row>
    <row r="1135" customFormat="false" ht="15" hidden="false" customHeight="false" outlineLevel="0" collapsed="false">
      <c r="A1135" s="0" t="n">
        <v>3863</v>
      </c>
      <c r="B1135" s="0" t="n">
        <v>22490</v>
      </c>
      <c r="C1135" s="0" t="s">
        <v>15808</v>
      </c>
      <c r="D1135" s="0" t="s">
        <v>21</v>
      </c>
      <c r="E1135" s="0" t="s">
        <v>18062</v>
      </c>
      <c r="F1135" s="0" t="s">
        <v>42</v>
      </c>
      <c r="G1135" s="0" t="s">
        <v>18052</v>
      </c>
    </row>
    <row r="1136" customFormat="false" ht="15" hidden="false" customHeight="false" outlineLevel="0" collapsed="false">
      <c r="A1136" s="0" t="n">
        <v>3863</v>
      </c>
      <c r="B1136" s="0" t="n">
        <v>22490</v>
      </c>
      <c r="C1136" s="0" t="s">
        <v>15808</v>
      </c>
      <c r="D1136" s="0" t="s">
        <v>22</v>
      </c>
      <c r="E1136" s="0" t="s">
        <v>18066</v>
      </c>
      <c r="F1136" s="0" t="s">
        <v>43</v>
      </c>
      <c r="G1136" s="0" t="s">
        <v>18054</v>
      </c>
    </row>
    <row r="1137" customFormat="false" ht="15" hidden="false" customHeight="false" outlineLevel="0" collapsed="false">
      <c r="A1137" s="0" t="n">
        <v>3864</v>
      </c>
      <c r="B1137" s="0" t="n">
        <v>22491</v>
      </c>
      <c r="C1137" s="0" t="s">
        <v>15814</v>
      </c>
      <c r="D1137" s="0" t="s">
        <v>19</v>
      </c>
      <c r="E1137" s="0" t="s">
        <v>18053</v>
      </c>
      <c r="F1137" s="0" t="s">
        <v>40</v>
      </c>
      <c r="G1137" s="0" t="s">
        <v>18054</v>
      </c>
    </row>
    <row r="1138" customFormat="false" ht="15" hidden="false" customHeight="false" outlineLevel="0" collapsed="false">
      <c r="A1138" s="0" t="n">
        <v>3865</v>
      </c>
      <c r="B1138" s="0" t="n">
        <v>22492</v>
      </c>
      <c r="C1138" s="0" t="s">
        <v>15819</v>
      </c>
      <c r="D1138" s="0" t="s">
        <v>19</v>
      </c>
      <c r="E1138" s="0" t="s">
        <v>18065</v>
      </c>
      <c r="F1138" s="0" t="s">
        <v>40</v>
      </c>
      <c r="G1138" s="0" t="s">
        <v>18054</v>
      </c>
    </row>
    <row r="1139" customFormat="false" ht="15" hidden="false" customHeight="false" outlineLevel="0" collapsed="false">
      <c r="A1139" s="0" t="n">
        <v>3865</v>
      </c>
      <c r="B1139" s="0" t="n">
        <v>22492</v>
      </c>
      <c r="C1139" s="0" t="s">
        <v>15819</v>
      </c>
      <c r="D1139" s="0" t="s">
        <v>21</v>
      </c>
      <c r="E1139" s="0" t="s">
        <v>18062</v>
      </c>
      <c r="F1139" s="0" t="s">
        <v>42</v>
      </c>
      <c r="G1139" s="0" t="s">
        <v>18052</v>
      </c>
    </row>
    <row r="1140" customFormat="false" ht="15" hidden="false" customHeight="false" outlineLevel="0" collapsed="false">
      <c r="A1140" s="0" t="n">
        <v>3865</v>
      </c>
      <c r="B1140" s="0" t="n">
        <v>22492</v>
      </c>
      <c r="C1140" s="0" t="s">
        <v>15819</v>
      </c>
      <c r="D1140" s="0" t="s">
        <v>22</v>
      </c>
      <c r="E1140" s="0" t="s">
        <v>18066</v>
      </c>
      <c r="F1140" s="0" t="s">
        <v>43</v>
      </c>
      <c r="G1140" s="0" t="s">
        <v>18054</v>
      </c>
    </row>
    <row r="1141" customFormat="false" ht="15" hidden="false" customHeight="false" outlineLevel="0" collapsed="false">
      <c r="A1141" s="0" t="n">
        <v>3878</v>
      </c>
      <c r="B1141" s="0" t="n">
        <v>22505</v>
      </c>
      <c r="C1141" s="0" t="s">
        <v>15878</v>
      </c>
      <c r="D1141" s="0" t="s">
        <v>19</v>
      </c>
      <c r="E1141" s="0" t="s">
        <v>18053</v>
      </c>
      <c r="F1141" s="0" t="s">
        <v>40</v>
      </c>
      <c r="G1141" s="0" t="s">
        <v>18054</v>
      </c>
    </row>
    <row r="1142" customFormat="false" ht="15" hidden="false" customHeight="false" outlineLevel="0" collapsed="false">
      <c r="A1142" s="0" t="n">
        <v>3878</v>
      </c>
      <c r="B1142" s="0" t="n">
        <v>22505</v>
      </c>
      <c r="C1142" s="0" t="s">
        <v>15878</v>
      </c>
      <c r="D1142" s="0" t="s">
        <v>22</v>
      </c>
      <c r="E1142" s="0" t="s">
        <v>18067</v>
      </c>
      <c r="F1142" s="0" t="s">
        <v>54</v>
      </c>
      <c r="G1142" s="0" t="s">
        <v>18054</v>
      </c>
    </row>
    <row r="1143" customFormat="false" ht="15" hidden="false" customHeight="false" outlineLevel="0" collapsed="false">
      <c r="A1143" s="0" t="n">
        <v>3893</v>
      </c>
      <c r="B1143" s="0" t="n">
        <v>22521</v>
      </c>
      <c r="C1143" s="0" t="s">
        <v>15942</v>
      </c>
      <c r="D1143" s="0" t="s">
        <v>19</v>
      </c>
      <c r="E1143" s="0" t="s">
        <v>18053</v>
      </c>
      <c r="F1143" s="0" t="s">
        <v>40</v>
      </c>
      <c r="G1143" s="0" t="s">
        <v>18054</v>
      </c>
    </row>
    <row r="1144" customFormat="false" ht="15" hidden="false" customHeight="false" outlineLevel="0" collapsed="false">
      <c r="A1144" s="0" t="n">
        <v>3905</v>
      </c>
      <c r="B1144" s="0" t="n">
        <v>22532</v>
      </c>
      <c r="C1144" s="0" t="s">
        <v>15993</v>
      </c>
      <c r="D1144" s="0" t="s">
        <v>19</v>
      </c>
      <c r="E1144" s="0" t="s">
        <v>18053</v>
      </c>
      <c r="F1144" s="0" t="s">
        <v>40</v>
      </c>
      <c r="G1144" s="0" t="s">
        <v>18054</v>
      </c>
    </row>
    <row r="1145" customFormat="false" ht="15" hidden="false" customHeight="false" outlineLevel="0" collapsed="false">
      <c r="A1145" s="0" t="n">
        <v>3906</v>
      </c>
      <c r="B1145" s="0" t="n">
        <v>22533</v>
      </c>
      <c r="C1145" s="0" t="s">
        <v>15997</v>
      </c>
      <c r="D1145" s="0" t="s">
        <v>19</v>
      </c>
      <c r="E1145" s="0" t="s">
        <v>18053</v>
      </c>
      <c r="F1145" s="0" t="s">
        <v>40</v>
      </c>
      <c r="G1145" s="0" t="s">
        <v>18054</v>
      </c>
    </row>
    <row r="1146" customFormat="false" ht="15" hidden="false" customHeight="false" outlineLevel="0" collapsed="false">
      <c r="A1146" s="0" t="n">
        <v>3908</v>
      </c>
      <c r="B1146" s="0" t="n">
        <v>22535</v>
      </c>
      <c r="C1146" s="0" t="s">
        <v>16003</v>
      </c>
      <c r="D1146" s="0" t="s">
        <v>19</v>
      </c>
      <c r="E1146" s="0" t="s">
        <v>18053</v>
      </c>
      <c r="F1146" s="0" t="s">
        <v>40</v>
      </c>
      <c r="G1146" s="0" t="s">
        <v>18054</v>
      </c>
    </row>
    <row r="1147" customFormat="false" ht="15" hidden="false" customHeight="false" outlineLevel="0" collapsed="false">
      <c r="A1147" s="0" t="n">
        <v>3909</v>
      </c>
      <c r="B1147" s="0" t="n">
        <v>22536</v>
      </c>
      <c r="C1147" s="0" t="s">
        <v>16007</v>
      </c>
      <c r="D1147" s="0" t="s">
        <v>19</v>
      </c>
      <c r="E1147" s="0" t="s">
        <v>18053</v>
      </c>
      <c r="F1147" s="0" t="s">
        <v>40</v>
      </c>
      <c r="G1147" s="0" t="s">
        <v>18054</v>
      </c>
    </row>
    <row r="1148" customFormat="false" ht="15" hidden="false" customHeight="false" outlineLevel="0" collapsed="false">
      <c r="A1148" s="0" t="n">
        <v>3910</v>
      </c>
      <c r="B1148" s="0" t="n">
        <v>22537</v>
      </c>
      <c r="C1148" s="0" t="s">
        <v>16011</v>
      </c>
      <c r="D1148" s="0" t="s">
        <v>19</v>
      </c>
      <c r="E1148" s="0" t="s">
        <v>18053</v>
      </c>
      <c r="F1148" s="0" t="s">
        <v>40</v>
      </c>
      <c r="G1148" s="0" t="s">
        <v>18054</v>
      </c>
    </row>
    <row r="1149" customFormat="false" ht="15" hidden="false" customHeight="false" outlineLevel="0" collapsed="false">
      <c r="A1149" s="0" t="n">
        <v>3913</v>
      </c>
      <c r="B1149" s="0" t="n">
        <v>22540</v>
      </c>
      <c r="C1149" s="0" t="s">
        <v>16023</v>
      </c>
      <c r="D1149" s="0" t="s">
        <v>19</v>
      </c>
      <c r="E1149" s="0" t="s">
        <v>18053</v>
      </c>
      <c r="F1149" s="0" t="s">
        <v>40</v>
      </c>
      <c r="G1149" s="0" t="s">
        <v>18054</v>
      </c>
    </row>
    <row r="1150" customFormat="false" ht="15" hidden="false" customHeight="false" outlineLevel="0" collapsed="false">
      <c r="A1150" s="0" t="n">
        <v>3917</v>
      </c>
      <c r="B1150" s="0" t="n">
        <v>18735</v>
      </c>
      <c r="C1150" s="0" t="s">
        <v>16039</v>
      </c>
      <c r="D1150" s="0" t="s">
        <v>19</v>
      </c>
      <c r="E1150" s="0" t="s">
        <v>18053</v>
      </c>
      <c r="F1150" s="0" t="s">
        <v>40</v>
      </c>
      <c r="G1150" s="0" t="s">
        <v>18054</v>
      </c>
    </row>
    <row r="1151" customFormat="false" ht="15" hidden="false" customHeight="false" outlineLevel="0" collapsed="false">
      <c r="A1151" s="0" t="n">
        <v>3923</v>
      </c>
      <c r="B1151" s="0" t="n">
        <v>22561</v>
      </c>
      <c r="C1151" s="0" t="s">
        <v>16062</v>
      </c>
      <c r="D1151" s="0" t="s">
        <v>19</v>
      </c>
      <c r="E1151" s="0" t="s">
        <v>18053</v>
      </c>
      <c r="F1151" s="0" t="s">
        <v>40</v>
      </c>
      <c r="G1151" s="0" t="s">
        <v>18054</v>
      </c>
    </row>
    <row r="1152" customFormat="false" ht="15" hidden="false" customHeight="false" outlineLevel="0" collapsed="false">
      <c r="A1152" s="0" t="n">
        <v>3924</v>
      </c>
      <c r="B1152" s="0" t="n">
        <v>22658</v>
      </c>
      <c r="C1152" s="0" t="s">
        <v>16065</v>
      </c>
      <c r="D1152" s="0" t="s">
        <v>1</v>
      </c>
      <c r="E1152" s="0" t="s">
        <v>18073</v>
      </c>
      <c r="F1152" s="0" t="s">
        <v>16065</v>
      </c>
      <c r="G1152" s="0" t="s">
        <v>18059</v>
      </c>
    </row>
    <row r="1153" customFormat="false" ht="15" hidden="false" customHeight="false" outlineLevel="0" collapsed="false">
      <c r="A1153" s="0" t="n">
        <v>3941</v>
      </c>
      <c r="B1153" s="0" t="n">
        <v>22572</v>
      </c>
      <c r="C1153" s="0" t="s">
        <v>16125</v>
      </c>
      <c r="D1153" s="0" t="s">
        <v>19</v>
      </c>
      <c r="E1153" s="0" t="s">
        <v>18053</v>
      </c>
      <c r="F1153" s="0" t="s">
        <v>40</v>
      </c>
      <c r="G1153" s="0" t="s">
        <v>18054</v>
      </c>
    </row>
    <row r="1154" customFormat="false" ht="15" hidden="false" customHeight="false" outlineLevel="0" collapsed="false">
      <c r="A1154" s="0" t="n">
        <v>3944</v>
      </c>
      <c r="B1154" s="0" t="n">
        <v>22573</v>
      </c>
      <c r="C1154" s="0" t="s">
        <v>16136</v>
      </c>
      <c r="D1154" s="0" t="s">
        <v>19</v>
      </c>
      <c r="E1154" s="0" t="s">
        <v>18053</v>
      </c>
      <c r="F1154" s="0" t="s">
        <v>40</v>
      </c>
      <c r="G1154" s="0" t="s">
        <v>18054</v>
      </c>
    </row>
    <row r="1155" customFormat="false" ht="15" hidden="false" customHeight="false" outlineLevel="0" collapsed="false">
      <c r="A1155" s="0" t="n">
        <v>3956</v>
      </c>
      <c r="B1155" s="0" t="n">
        <v>22582</v>
      </c>
      <c r="C1155" s="0" t="s">
        <v>16181</v>
      </c>
      <c r="D1155" s="0" t="s">
        <v>21</v>
      </c>
      <c r="E1155" s="0" t="s">
        <v>18074</v>
      </c>
      <c r="F1155" s="0" t="s">
        <v>99</v>
      </c>
      <c r="G1155" s="0" t="s">
        <v>18052</v>
      </c>
    </row>
    <row r="1156" customFormat="false" ht="15" hidden="false" customHeight="false" outlineLevel="0" collapsed="false">
      <c r="A1156" s="0" t="n">
        <v>3967</v>
      </c>
      <c r="B1156" s="0" t="n">
        <v>22480</v>
      </c>
      <c r="C1156" s="0" t="s">
        <v>16225</v>
      </c>
      <c r="D1156" s="0" t="s">
        <v>21</v>
      </c>
      <c r="E1156" s="0" t="s">
        <v>18062</v>
      </c>
      <c r="F1156" s="0" t="s">
        <v>42</v>
      </c>
      <c r="G1156" s="0" t="s">
        <v>18052</v>
      </c>
    </row>
    <row r="1157" customFormat="false" ht="15" hidden="false" customHeight="false" outlineLevel="0" collapsed="false">
      <c r="A1157" s="0" t="n">
        <v>3967</v>
      </c>
      <c r="B1157" s="0" t="n">
        <v>22480</v>
      </c>
      <c r="C1157" s="0" t="s">
        <v>16225</v>
      </c>
      <c r="D1157" s="0" t="s">
        <v>22</v>
      </c>
      <c r="E1157" s="0" t="s">
        <v>18066</v>
      </c>
      <c r="F1157" s="0" t="s">
        <v>43</v>
      </c>
      <c r="G1157" s="0" t="s">
        <v>18054</v>
      </c>
    </row>
    <row r="1158" customFormat="false" ht="15" hidden="false" customHeight="false" outlineLevel="0" collapsed="false">
      <c r="A1158" s="0" t="n">
        <v>4052</v>
      </c>
      <c r="B1158" s="0" t="n">
        <v>22681</v>
      </c>
      <c r="C1158" s="0" t="s">
        <v>16596</v>
      </c>
      <c r="D1158" s="0" t="s">
        <v>19</v>
      </c>
      <c r="E1158" s="0" t="s">
        <v>18053</v>
      </c>
      <c r="F1158" s="0" t="s">
        <v>40</v>
      </c>
      <c r="G1158" s="0" t="s">
        <v>18054</v>
      </c>
    </row>
    <row r="1159" customFormat="false" ht="15" hidden="false" customHeight="false" outlineLevel="0" collapsed="false">
      <c r="A1159" s="0" t="n">
        <v>4058</v>
      </c>
      <c r="B1159" s="0" t="n">
        <v>22841</v>
      </c>
      <c r="C1159" s="0" t="s">
        <v>16620</v>
      </c>
      <c r="D1159" s="0" t="s">
        <v>22</v>
      </c>
      <c r="E1159" s="0" t="s">
        <v>18057</v>
      </c>
      <c r="F1159" s="0" t="s">
        <v>54</v>
      </c>
      <c r="G1159" s="0" t="s">
        <v>18054</v>
      </c>
    </row>
    <row r="1160" customFormat="false" ht="15" hidden="false" customHeight="false" outlineLevel="0" collapsed="false">
      <c r="A1160" s="0" t="n">
        <v>4061</v>
      </c>
      <c r="B1160" s="0" t="n">
        <v>22848</v>
      </c>
      <c r="C1160" s="0" t="s">
        <v>16632</v>
      </c>
      <c r="D1160" s="0" t="s">
        <v>22</v>
      </c>
      <c r="E1160" s="0" t="s">
        <v>18056</v>
      </c>
      <c r="F1160" s="0" t="s">
        <v>43</v>
      </c>
      <c r="G1160" s="0" t="s">
        <v>18054</v>
      </c>
    </row>
    <row r="1161" customFormat="false" ht="15" hidden="false" customHeight="false" outlineLevel="0" collapsed="false">
      <c r="A1161" s="0" t="n">
        <v>4073</v>
      </c>
      <c r="B1161" s="0" t="n">
        <v>22837</v>
      </c>
      <c r="C1161" s="0" t="s">
        <v>16680</v>
      </c>
      <c r="D1161" s="0" t="s">
        <v>22</v>
      </c>
      <c r="E1161" s="0" t="s">
        <v>18057</v>
      </c>
      <c r="F1161" s="0" t="s">
        <v>54</v>
      </c>
      <c r="G1161" s="0" t="s">
        <v>18054</v>
      </c>
    </row>
    <row r="1162" customFormat="false" ht="15" hidden="false" customHeight="false" outlineLevel="0" collapsed="false">
      <c r="A1162" s="0" t="n">
        <v>4078</v>
      </c>
      <c r="B1162" s="0" t="n">
        <v>22851</v>
      </c>
      <c r="C1162" s="0" t="s">
        <v>16700</v>
      </c>
      <c r="D1162" s="0" t="s">
        <v>22</v>
      </c>
      <c r="E1162" s="0" t="s">
        <v>18055</v>
      </c>
      <c r="F1162" s="0" t="s">
        <v>43</v>
      </c>
      <c r="G1162" s="0" t="s">
        <v>18054</v>
      </c>
    </row>
    <row r="1163" customFormat="false" ht="15" hidden="false" customHeight="false" outlineLevel="0" collapsed="false">
      <c r="A1163" s="0" t="n">
        <v>4080</v>
      </c>
      <c r="B1163" s="0" t="n">
        <v>22424</v>
      </c>
      <c r="C1163" s="0" t="s">
        <v>16708</v>
      </c>
      <c r="D1163" s="0" t="s">
        <v>19</v>
      </c>
      <c r="E1163" s="0" t="s">
        <v>18053</v>
      </c>
      <c r="F1163" s="0" t="s">
        <v>40</v>
      </c>
      <c r="G1163" s="0" t="s">
        <v>18054</v>
      </c>
    </row>
    <row r="1164" customFormat="false" ht="15" hidden="false" customHeight="false" outlineLevel="0" collapsed="false">
      <c r="A1164" s="0" t="n">
        <v>4132</v>
      </c>
      <c r="B1164" s="0" t="n">
        <v>22765</v>
      </c>
      <c r="C1164" s="0" t="s">
        <v>16925</v>
      </c>
      <c r="D1164" s="0" t="s">
        <v>19</v>
      </c>
      <c r="E1164" s="0" t="s">
        <v>18053</v>
      </c>
      <c r="F1164" s="0" t="s">
        <v>40</v>
      </c>
      <c r="G1164" s="0" t="s">
        <v>18054</v>
      </c>
    </row>
    <row r="1165" customFormat="false" ht="15" hidden="false" customHeight="false" outlineLevel="0" collapsed="false">
      <c r="A1165" s="0" t="n">
        <v>4133</v>
      </c>
      <c r="B1165" s="0" t="n">
        <v>22766</v>
      </c>
      <c r="C1165" s="0" t="s">
        <v>16929</v>
      </c>
      <c r="D1165" s="0" t="s">
        <v>19</v>
      </c>
      <c r="E1165" s="0" t="s">
        <v>18053</v>
      </c>
      <c r="F1165" s="0" t="s">
        <v>40</v>
      </c>
      <c r="G1165" s="0" t="s">
        <v>18054</v>
      </c>
    </row>
    <row r="1166" customFormat="false" ht="15" hidden="false" customHeight="false" outlineLevel="0" collapsed="false">
      <c r="A1166" s="0" t="n">
        <v>4134</v>
      </c>
      <c r="B1166" s="0" t="n">
        <v>22767</v>
      </c>
      <c r="C1166" s="0" t="s">
        <v>16933</v>
      </c>
      <c r="D1166" s="0" t="s">
        <v>19</v>
      </c>
      <c r="E1166" s="0" t="s">
        <v>18053</v>
      </c>
      <c r="F1166" s="0" t="s">
        <v>40</v>
      </c>
      <c r="G1166" s="0" t="s">
        <v>18054</v>
      </c>
    </row>
    <row r="1167" customFormat="false" ht="15" hidden="false" customHeight="false" outlineLevel="0" collapsed="false">
      <c r="A1167" s="0" t="n">
        <v>4135</v>
      </c>
      <c r="B1167" s="0" t="n">
        <v>22768</v>
      </c>
      <c r="C1167" s="0" t="s">
        <v>16937</v>
      </c>
      <c r="D1167" s="0" t="s">
        <v>19</v>
      </c>
      <c r="E1167" s="0" t="s">
        <v>18053</v>
      </c>
      <c r="F1167" s="0" t="s">
        <v>40</v>
      </c>
      <c r="G1167" s="0" t="s">
        <v>18054</v>
      </c>
    </row>
    <row r="1168" customFormat="false" ht="15" hidden="false" customHeight="false" outlineLevel="0" collapsed="false">
      <c r="A1168" s="0" t="n">
        <v>4195</v>
      </c>
      <c r="B1168" s="0" t="n">
        <v>21670</v>
      </c>
      <c r="C1168" s="0" t="s">
        <v>17190</v>
      </c>
      <c r="D1168" s="0" t="s">
        <v>19</v>
      </c>
      <c r="E1168" s="0" t="s">
        <v>18053</v>
      </c>
      <c r="F1168" s="0" t="s">
        <v>40</v>
      </c>
      <c r="G1168" s="0" t="s">
        <v>18054</v>
      </c>
    </row>
    <row r="1169" customFormat="false" ht="15" hidden="false" customHeight="false" outlineLevel="0" collapsed="false">
      <c r="A1169" s="0" t="n">
        <v>4202</v>
      </c>
      <c r="B1169" s="0" t="n">
        <v>22878</v>
      </c>
      <c r="C1169" s="0" t="s">
        <v>17219</v>
      </c>
      <c r="D1169" s="0" t="s">
        <v>22</v>
      </c>
      <c r="E1169" s="0" t="s">
        <v>18055</v>
      </c>
      <c r="F1169" s="0" t="s">
        <v>43</v>
      </c>
      <c r="G1169" s="0" t="s">
        <v>18054</v>
      </c>
    </row>
    <row r="1170" customFormat="false" ht="15" hidden="false" customHeight="false" outlineLevel="0" collapsed="false">
      <c r="A1170" s="0" t="n">
        <v>4207</v>
      </c>
      <c r="B1170" s="0" t="n">
        <v>22829</v>
      </c>
      <c r="C1170" s="0" t="s">
        <v>17240</v>
      </c>
      <c r="D1170" s="0" t="s">
        <v>22</v>
      </c>
      <c r="E1170" s="0" t="s">
        <v>18055</v>
      </c>
      <c r="F1170" s="0" t="s">
        <v>43</v>
      </c>
      <c r="G1170" s="0" t="s">
        <v>18054</v>
      </c>
    </row>
    <row r="1171" customFormat="false" ht="15" hidden="false" customHeight="false" outlineLevel="0" collapsed="false">
      <c r="A1171" s="0" t="n">
        <v>4213</v>
      </c>
      <c r="B1171" s="0" t="n">
        <v>22863</v>
      </c>
      <c r="C1171" s="0" t="s">
        <v>17264</v>
      </c>
      <c r="D1171" s="0" t="s">
        <v>22</v>
      </c>
      <c r="E1171" s="0" t="s">
        <v>18055</v>
      </c>
      <c r="F1171" s="0" t="s">
        <v>43</v>
      </c>
      <c r="G1171" s="0" t="s">
        <v>18054</v>
      </c>
    </row>
    <row r="1172" customFormat="false" ht="15" hidden="false" customHeight="false" outlineLevel="0" collapsed="false">
      <c r="A1172" s="0" t="n">
        <v>4219</v>
      </c>
      <c r="B1172" s="0" t="n">
        <v>22849</v>
      </c>
      <c r="C1172" s="0" t="s">
        <v>17289</v>
      </c>
      <c r="D1172" s="0" t="s">
        <v>22</v>
      </c>
      <c r="E1172" s="0" t="s">
        <v>18055</v>
      </c>
      <c r="F1172" s="0" t="s">
        <v>43</v>
      </c>
      <c r="G1172" s="0" t="s">
        <v>18054</v>
      </c>
    </row>
    <row r="1173" customFormat="false" ht="15" hidden="false" customHeight="false" outlineLevel="0" collapsed="false">
      <c r="A1173" s="0" t="n">
        <v>4220</v>
      </c>
      <c r="B1173" s="0" t="n">
        <v>22846</v>
      </c>
      <c r="C1173" s="0" t="s">
        <v>17293</v>
      </c>
      <c r="D1173" s="0" t="s">
        <v>22</v>
      </c>
      <c r="E1173" s="0" t="s">
        <v>18056</v>
      </c>
      <c r="F1173" s="0" t="s">
        <v>43</v>
      </c>
      <c r="G1173" s="0" t="s">
        <v>18054</v>
      </c>
    </row>
    <row r="1174" customFormat="false" ht="15" hidden="false" customHeight="false" outlineLevel="0" collapsed="false">
      <c r="A1174" s="0" t="n">
        <v>4227</v>
      </c>
      <c r="B1174" s="0" t="n">
        <v>22860</v>
      </c>
      <c r="C1174" s="0" t="s">
        <v>17316</v>
      </c>
      <c r="D1174" s="0" t="s">
        <v>22</v>
      </c>
      <c r="E1174" s="0" t="s">
        <v>18057</v>
      </c>
      <c r="F1174" s="0" t="s">
        <v>54</v>
      </c>
      <c r="G1174" s="0" t="s">
        <v>18054</v>
      </c>
    </row>
    <row r="1175" customFormat="false" ht="15" hidden="false" customHeight="false" outlineLevel="0" collapsed="false">
      <c r="A1175" s="0" t="n">
        <v>4228</v>
      </c>
      <c r="B1175" s="0" t="n">
        <v>22840</v>
      </c>
      <c r="C1175" s="0" t="s">
        <v>17323</v>
      </c>
      <c r="D1175" s="0" t="s">
        <v>22</v>
      </c>
      <c r="E1175" s="0" t="s">
        <v>18057</v>
      </c>
      <c r="F1175" s="0" t="s">
        <v>54</v>
      </c>
      <c r="G1175" s="0" t="s">
        <v>18054</v>
      </c>
    </row>
    <row r="1176" customFormat="false" ht="15" hidden="false" customHeight="false" outlineLevel="0" collapsed="false">
      <c r="A1176" s="0" t="n">
        <v>4239</v>
      </c>
      <c r="B1176" s="0" t="n">
        <v>22844</v>
      </c>
      <c r="C1176" s="0" t="s">
        <v>17366</v>
      </c>
      <c r="D1176" s="0" t="s">
        <v>22</v>
      </c>
      <c r="E1176" s="0" t="s">
        <v>18057</v>
      </c>
      <c r="F1176" s="0" t="s">
        <v>54</v>
      </c>
      <c r="G1176" s="0" t="s">
        <v>18054</v>
      </c>
    </row>
    <row r="1177" customFormat="false" ht="15" hidden="false" customHeight="false" outlineLevel="0" collapsed="false">
      <c r="A1177" s="0" t="n">
        <v>4267</v>
      </c>
      <c r="B1177" s="0" t="n">
        <v>20296</v>
      </c>
      <c r="C1177" s="0" t="s">
        <v>17490</v>
      </c>
      <c r="D1177" s="0" t="s">
        <v>21</v>
      </c>
      <c r="E1177" s="0" t="s">
        <v>18051</v>
      </c>
      <c r="F1177" s="0" t="s">
        <v>1216</v>
      </c>
      <c r="G1177" s="0" t="s">
        <v>18052</v>
      </c>
    </row>
    <row r="1178" customFormat="false" ht="15" hidden="false" customHeight="false" outlineLevel="0" collapsed="false">
      <c r="A1178" s="0" t="n">
        <v>4270</v>
      </c>
      <c r="B1178" s="0" t="n">
        <v>22476</v>
      </c>
      <c r="C1178" s="0" t="s">
        <v>17503</v>
      </c>
      <c r="D1178" s="0" t="s">
        <v>21</v>
      </c>
      <c r="E1178" s="0" t="s">
        <v>18062</v>
      </c>
      <c r="F1178" s="0" t="s">
        <v>42</v>
      </c>
      <c r="G1178" s="0" t="s">
        <v>18052</v>
      </c>
    </row>
    <row r="1179" customFormat="false" ht="15" hidden="false" customHeight="false" outlineLevel="0" collapsed="false">
      <c r="A1179" s="0" t="n">
        <v>4270</v>
      </c>
      <c r="B1179" s="0" t="n">
        <v>22476</v>
      </c>
      <c r="C1179" s="0" t="s">
        <v>17503</v>
      </c>
      <c r="D1179" s="0" t="s">
        <v>22</v>
      </c>
      <c r="E1179" s="0" t="s">
        <v>18067</v>
      </c>
      <c r="F1179" s="0" t="s">
        <v>54</v>
      </c>
      <c r="G1179" s="0" t="s">
        <v>18054</v>
      </c>
    </row>
    <row r="1180" customFormat="false" ht="15" hidden="false" customHeight="false" outlineLevel="0" collapsed="false">
      <c r="A1180" s="0" t="n">
        <v>4338</v>
      </c>
      <c r="B1180" s="0" t="n">
        <v>22861</v>
      </c>
      <c r="C1180" s="0" t="s">
        <v>17785</v>
      </c>
      <c r="D1180" s="0" t="s">
        <v>22</v>
      </c>
      <c r="E1180" s="0" t="s">
        <v>18057</v>
      </c>
      <c r="F1180" s="0" t="s">
        <v>54</v>
      </c>
      <c r="G1180" s="0" t="s">
        <v>18054</v>
      </c>
    </row>
    <row r="1181" customFormat="false" ht="15" hidden="false" customHeight="false" outlineLevel="0" collapsed="false">
      <c r="A1181" s="0" t="n">
        <v>4358</v>
      </c>
      <c r="B1181" s="0" t="n">
        <v>21705</v>
      </c>
      <c r="C1181" s="0" t="s">
        <v>17863</v>
      </c>
      <c r="D1181" s="0" t="s">
        <v>19</v>
      </c>
      <c r="E1181" s="0" t="s">
        <v>18053</v>
      </c>
      <c r="F1181" s="0" t="s">
        <v>40</v>
      </c>
      <c r="G1181" s="0" t="s">
        <v>18054</v>
      </c>
    </row>
    <row r="1182" customFormat="false" ht="15" hidden="false" customHeight="false" outlineLevel="0" collapsed="false">
      <c r="A1182" s="0" t="n">
        <v>4365</v>
      </c>
      <c r="B1182" s="0" t="n">
        <v>22858</v>
      </c>
      <c r="C1182" s="0" t="s">
        <v>17889</v>
      </c>
      <c r="D1182" s="0" t="s">
        <v>22</v>
      </c>
      <c r="E1182" s="0" t="s">
        <v>18055</v>
      </c>
      <c r="F1182" s="0" t="s">
        <v>43</v>
      </c>
      <c r="G1182" s="0" t="s">
        <v>18054</v>
      </c>
    </row>
    <row r="1183" customFormat="false" ht="15" hidden="false" customHeight="false" outlineLevel="0" collapsed="false">
      <c r="A1183" s="0" t="n">
        <v>4366</v>
      </c>
      <c r="B1183" s="0" t="n">
        <v>22857</v>
      </c>
      <c r="C1183" s="0" t="s">
        <v>17892</v>
      </c>
      <c r="D1183" s="0" t="s">
        <v>22</v>
      </c>
      <c r="E1183" s="0" t="s">
        <v>18057</v>
      </c>
      <c r="F1183" s="0" t="s">
        <v>54</v>
      </c>
      <c r="G1183" s="0" t="s">
        <v>18054</v>
      </c>
    </row>
    <row r="1184" customFormat="false" ht="15" hidden="false" customHeight="false" outlineLevel="0" collapsed="false">
      <c r="A1184" s="0" t="n">
        <v>476</v>
      </c>
      <c r="B1184" s="0" t="n">
        <v>3126</v>
      </c>
      <c r="C1184" s="0" t="s">
        <v>2147</v>
      </c>
      <c r="D1184" s="0" t="s">
        <v>13</v>
      </c>
      <c r="E1184" s="0" t="s">
        <v>39</v>
      </c>
      <c r="F1184" s="0" t="s">
        <v>105</v>
      </c>
      <c r="G1184" s="0" t="s">
        <v>18075</v>
      </c>
    </row>
    <row r="1185" customFormat="false" ht="15" hidden="false" customHeight="false" outlineLevel="0" collapsed="false">
      <c r="A1185" s="0" t="n">
        <v>788</v>
      </c>
      <c r="B1185" s="0" t="n">
        <v>22903</v>
      </c>
      <c r="C1185" s="0" t="s">
        <v>3495</v>
      </c>
      <c r="D1185" s="0" t="s">
        <v>13</v>
      </c>
      <c r="E1185" s="0" t="s">
        <v>18076</v>
      </c>
      <c r="F1185" s="0" t="s">
        <v>3497</v>
      </c>
      <c r="G1185" s="0" t="s">
        <v>18075</v>
      </c>
    </row>
    <row r="1186" customFormat="false" ht="15" hidden="false" customHeight="false" outlineLevel="0" collapsed="false">
      <c r="A1186" s="0" t="n">
        <v>798</v>
      </c>
      <c r="B1186" s="0" t="n">
        <v>7829</v>
      </c>
      <c r="C1186" s="0" t="s">
        <v>3546</v>
      </c>
      <c r="D1186" s="0" t="s">
        <v>13</v>
      </c>
      <c r="E1186" s="0" t="s">
        <v>39</v>
      </c>
      <c r="F1186" s="0" t="s">
        <v>105</v>
      </c>
      <c r="G1186" s="0" t="s">
        <v>18075</v>
      </c>
    </row>
    <row r="1187" customFormat="false" ht="15" hidden="false" customHeight="false" outlineLevel="0" collapsed="false">
      <c r="A1187" s="0" t="n">
        <v>1032</v>
      </c>
      <c r="B1187" s="0" t="n">
        <v>6411</v>
      </c>
      <c r="C1187" s="0" t="s">
        <v>4555</v>
      </c>
      <c r="D1187" s="0" t="s">
        <v>13</v>
      </c>
      <c r="E1187" s="0" t="s">
        <v>6291</v>
      </c>
      <c r="F1187" s="0" t="s">
        <v>4557</v>
      </c>
      <c r="G1187" s="0" t="s">
        <v>18075</v>
      </c>
    </row>
    <row r="1188" customFormat="false" ht="15" hidden="false" customHeight="false" outlineLevel="0" collapsed="false">
      <c r="A1188" s="0" t="n">
        <v>1112</v>
      </c>
      <c r="B1188" s="0" t="n">
        <v>22909</v>
      </c>
      <c r="C1188" s="0" t="s">
        <v>4896</v>
      </c>
      <c r="D1188" s="0" t="s">
        <v>13</v>
      </c>
      <c r="E1188" s="0" t="s">
        <v>18077</v>
      </c>
      <c r="F1188" s="0" t="s">
        <v>4898</v>
      </c>
      <c r="G1188" s="0" t="s">
        <v>18075</v>
      </c>
    </row>
    <row r="1189" customFormat="false" ht="15" hidden="false" customHeight="false" outlineLevel="0" collapsed="false">
      <c r="A1189" s="0" t="n">
        <v>1139</v>
      </c>
      <c r="B1189" s="0" t="n">
        <v>22723</v>
      </c>
      <c r="C1189" s="0" t="s">
        <v>5014</v>
      </c>
      <c r="D1189" s="0" t="s">
        <v>13</v>
      </c>
      <c r="E1189" s="0" t="s">
        <v>18078</v>
      </c>
      <c r="F1189" s="0" t="s">
        <v>5016</v>
      </c>
      <c r="G1189" s="0" t="s">
        <v>18075</v>
      </c>
    </row>
    <row r="1190" customFormat="false" ht="15" hidden="false" customHeight="false" outlineLevel="0" collapsed="false">
      <c r="A1190" s="0" t="n">
        <v>1293</v>
      </c>
      <c r="B1190" s="0" t="n">
        <v>6516</v>
      </c>
      <c r="C1190" s="0" t="s">
        <v>5678</v>
      </c>
      <c r="D1190" s="0" t="s">
        <v>13</v>
      </c>
      <c r="E1190" s="0" t="s">
        <v>39</v>
      </c>
      <c r="F1190" s="0" t="s">
        <v>105</v>
      </c>
      <c r="G1190" s="0" t="s">
        <v>18075</v>
      </c>
    </row>
    <row r="1191" customFormat="false" ht="15" hidden="false" customHeight="false" outlineLevel="0" collapsed="false">
      <c r="A1191" s="0" t="n">
        <v>1323</v>
      </c>
      <c r="B1191" s="0" t="n">
        <v>22403</v>
      </c>
      <c r="C1191" s="0" t="s">
        <v>5804</v>
      </c>
      <c r="D1191" s="0" t="s">
        <v>13</v>
      </c>
      <c r="E1191" s="0" t="s">
        <v>5807</v>
      </c>
      <c r="F1191" s="0" t="s">
        <v>2434</v>
      </c>
      <c r="G1191" s="0" t="s">
        <v>18075</v>
      </c>
    </row>
    <row r="1192" customFormat="false" ht="15" hidden="false" customHeight="false" outlineLevel="0" collapsed="false">
      <c r="A1192" s="0" t="n">
        <v>1342</v>
      </c>
      <c r="B1192" s="0" t="n">
        <v>14920</v>
      </c>
      <c r="C1192" s="0" t="s">
        <v>5887</v>
      </c>
      <c r="D1192" s="0" t="s">
        <v>13</v>
      </c>
      <c r="E1192" s="0" t="s">
        <v>39</v>
      </c>
      <c r="F1192" s="0" t="s">
        <v>105</v>
      </c>
      <c r="G1192" s="0" t="s">
        <v>18075</v>
      </c>
    </row>
    <row r="1193" customFormat="false" ht="15" hidden="false" customHeight="false" outlineLevel="0" collapsed="false">
      <c r="A1193" s="0" t="n">
        <v>1345</v>
      </c>
      <c r="B1193" s="0" t="n">
        <v>14930</v>
      </c>
      <c r="C1193" s="0" t="s">
        <v>5902</v>
      </c>
      <c r="D1193" s="0" t="s">
        <v>13</v>
      </c>
      <c r="E1193" s="0" t="s">
        <v>52</v>
      </c>
      <c r="F1193" s="0" t="s">
        <v>728</v>
      </c>
      <c r="G1193" s="0" t="s">
        <v>18075</v>
      </c>
    </row>
    <row r="1194" customFormat="false" ht="15" hidden="false" customHeight="false" outlineLevel="0" collapsed="false">
      <c r="A1194" s="0" t="n">
        <v>1346</v>
      </c>
      <c r="B1194" s="0" t="n">
        <v>14931</v>
      </c>
      <c r="C1194" s="0" t="s">
        <v>5907</v>
      </c>
      <c r="D1194" s="0" t="s">
        <v>13</v>
      </c>
      <c r="E1194" s="0" t="s">
        <v>52</v>
      </c>
      <c r="F1194" s="0" t="s">
        <v>728</v>
      </c>
      <c r="G1194" s="0" t="s">
        <v>18075</v>
      </c>
    </row>
    <row r="1195" customFormat="false" ht="15" hidden="false" customHeight="false" outlineLevel="0" collapsed="false">
      <c r="A1195" s="0" t="n">
        <v>1347</v>
      </c>
      <c r="B1195" s="0" t="n">
        <v>14932</v>
      </c>
      <c r="C1195" s="0" t="s">
        <v>5911</v>
      </c>
      <c r="D1195" s="0" t="s">
        <v>13</v>
      </c>
      <c r="E1195" s="0" t="s">
        <v>52</v>
      </c>
      <c r="F1195" s="0" t="s">
        <v>728</v>
      </c>
      <c r="G1195" s="0" t="s">
        <v>18075</v>
      </c>
    </row>
    <row r="1196" customFormat="false" ht="15" hidden="false" customHeight="false" outlineLevel="0" collapsed="false">
      <c r="A1196" s="0" t="n">
        <v>1348</v>
      </c>
      <c r="B1196" s="0" t="n">
        <v>14933</v>
      </c>
      <c r="C1196" s="0" t="s">
        <v>5917</v>
      </c>
      <c r="D1196" s="0" t="s">
        <v>13</v>
      </c>
      <c r="E1196" s="0" t="s">
        <v>52</v>
      </c>
      <c r="F1196" s="0" t="s">
        <v>728</v>
      </c>
      <c r="G1196" s="0" t="s">
        <v>18075</v>
      </c>
    </row>
    <row r="1197" customFormat="false" ht="15" hidden="false" customHeight="false" outlineLevel="0" collapsed="false">
      <c r="A1197" s="0" t="n">
        <v>1349</v>
      </c>
      <c r="B1197" s="0" t="n">
        <v>14934</v>
      </c>
      <c r="C1197" s="0" t="s">
        <v>5922</v>
      </c>
      <c r="D1197" s="0" t="s">
        <v>13</v>
      </c>
      <c r="E1197" s="0" t="s">
        <v>52</v>
      </c>
      <c r="F1197" s="0" t="s">
        <v>728</v>
      </c>
      <c r="G1197" s="0" t="s">
        <v>18075</v>
      </c>
    </row>
    <row r="1198" customFormat="false" ht="15" hidden="false" customHeight="false" outlineLevel="0" collapsed="false">
      <c r="A1198" s="0" t="n">
        <v>1350</v>
      </c>
      <c r="B1198" s="0" t="n">
        <v>14935</v>
      </c>
      <c r="C1198" s="0" t="s">
        <v>5927</v>
      </c>
      <c r="D1198" s="0" t="s">
        <v>13</v>
      </c>
      <c r="E1198" s="0" t="s">
        <v>52</v>
      </c>
      <c r="F1198" s="0" t="s">
        <v>728</v>
      </c>
      <c r="G1198" s="0" t="s">
        <v>18075</v>
      </c>
    </row>
    <row r="1199" customFormat="false" ht="15" hidden="false" customHeight="false" outlineLevel="0" collapsed="false">
      <c r="A1199" s="0" t="n">
        <v>1351</v>
      </c>
      <c r="B1199" s="0" t="n">
        <v>14936</v>
      </c>
      <c r="C1199" s="0" t="s">
        <v>5932</v>
      </c>
      <c r="D1199" s="0" t="s">
        <v>13</v>
      </c>
      <c r="E1199" s="0" t="s">
        <v>52</v>
      </c>
      <c r="F1199" s="0" t="s">
        <v>728</v>
      </c>
      <c r="G1199" s="0" t="s">
        <v>18075</v>
      </c>
    </row>
    <row r="1200" customFormat="false" ht="15" hidden="false" customHeight="false" outlineLevel="0" collapsed="false">
      <c r="A1200" s="0" t="n">
        <v>1352</v>
      </c>
      <c r="B1200" s="0" t="n">
        <v>14937</v>
      </c>
      <c r="C1200" s="0" t="s">
        <v>5936</v>
      </c>
      <c r="D1200" s="0" t="s">
        <v>13</v>
      </c>
      <c r="E1200" s="0" t="s">
        <v>52</v>
      </c>
      <c r="F1200" s="0" t="s">
        <v>728</v>
      </c>
      <c r="G1200" s="0" t="s">
        <v>18075</v>
      </c>
    </row>
    <row r="1201" customFormat="false" ht="15" hidden="false" customHeight="false" outlineLevel="0" collapsed="false">
      <c r="A1201" s="0" t="n">
        <v>1353</v>
      </c>
      <c r="B1201" s="0" t="n">
        <v>14938</v>
      </c>
      <c r="C1201" s="0" t="s">
        <v>5940</v>
      </c>
      <c r="D1201" s="0" t="s">
        <v>13</v>
      </c>
      <c r="E1201" s="0" t="s">
        <v>52</v>
      </c>
      <c r="F1201" s="0" t="s">
        <v>728</v>
      </c>
      <c r="G1201" s="0" t="s">
        <v>18075</v>
      </c>
    </row>
    <row r="1202" customFormat="false" ht="15" hidden="false" customHeight="false" outlineLevel="0" collapsed="false">
      <c r="A1202" s="0" t="n">
        <v>1354</v>
      </c>
      <c r="B1202" s="0" t="n">
        <v>14939</v>
      </c>
      <c r="C1202" s="0" t="s">
        <v>5944</v>
      </c>
      <c r="D1202" s="0" t="s">
        <v>13</v>
      </c>
      <c r="E1202" s="0" t="s">
        <v>52</v>
      </c>
      <c r="F1202" s="0" t="s">
        <v>728</v>
      </c>
      <c r="G1202" s="0" t="s">
        <v>18075</v>
      </c>
    </row>
    <row r="1203" customFormat="false" ht="15" hidden="false" customHeight="false" outlineLevel="0" collapsed="false">
      <c r="A1203" s="0" t="n">
        <v>1355</v>
      </c>
      <c r="B1203" s="0" t="n">
        <v>14940</v>
      </c>
      <c r="C1203" s="0" t="s">
        <v>5948</v>
      </c>
      <c r="D1203" s="0" t="s">
        <v>13</v>
      </c>
      <c r="E1203" s="0" t="s">
        <v>52</v>
      </c>
      <c r="F1203" s="0" t="s">
        <v>728</v>
      </c>
      <c r="G1203" s="0" t="s">
        <v>18075</v>
      </c>
    </row>
    <row r="1204" customFormat="false" ht="15" hidden="false" customHeight="false" outlineLevel="0" collapsed="false">
      <c r="A1204" s="0" t="n">
        <v>1357</v>
      </c>
      <c r="B1204" s="0" t="n">
        <v>14942</v>
      </c>
      <c r="C1204" s="0" t="s">
        <v>5957</v>
      </c>
      <c r="D1204" s="0" t="s">
        <v>13</v>
      </c>
      <c r="E1204" s="0" t="s">
        <v>52</v>
      </c>
      <c r="F1204" s="0" t="s">
        <v>728</v>
      </c>
      <c r="G1204" s="0" t="s">
        <v>18075</v>
      </c>
    </row>
    <row r="1205" customFormat="false" ht="15" hidden="false" customHeight="false" outlineLevel="0" collapsed="false">
      <c r="A1205" s="0" t="n">
        <v>1358</v>
      </c>
      <c r="B1205" s="0" t="n">
        <v>14943</v>
      </c>
      <c r="C1205" s="0" t="s">
        <v>5961</v>
      </c>
      <c r="D1205" s="0" t="s">
        <v>13</v>
      </c>
      <c r="E1205" s="0" t="s">
        <v>52</v>
      </c>
      <c r="F1205" s="0" t="s">
        <v>728</v>
      </c>
      <c r="G1205" s="0" t="s">
        <v>18075</v>
      </c>
    </row>
    <row r="1206" customFormat="false" ht="15" hidden="false" customHeight="false" outlineLevel="0" collapsed="false">
      <c r="A1206" s="0" t="n">
        <v>1359</v>
      </c>
      <c r="B1206" s="0" t="n">
        <v>14944</v>
      </c>
      <c r="C1206" s="0" t="s">
        <v>5965</v>
      </c>
      <c r="D1206" s="0" t="s">
        <v>13</v>
      </c>
      <c r="E1206" s="0" t="s">
        <v>52</v>
      </c>
      <c r="F1206" s="0" t="s">
        <v>728</v>
      </c>
      <c r="G1206" s="0" t="s">
        <v>18075</v>
      </c>
    </row>
    <row r="1207" customFormat="false" ht="15" hidden="false" customHeight="false" outlineLevel="0" collapsed="false">
      <c r="A1207" s="0" t="n">
        <v>1360</v>
      </c>
      <c r="B1207" s="0" t="n">
        <v>14945</v>
      </c>
      <c r="C1207" s="0" t="s">
        <v>5969</v>
      </c>
      <c r="D1207" s="0" t="s">
        <v>13</v>
      </c>
      <c r="E1207" s="0" t="s">
        <v>52</v>
      </c>
      <c r="F1207" s="0" t="s">
        <v>728</v>
      </c>
      <c r="G1207" s="0" t="s">
        <v>18075</v>
      </c>
    </row>
    <row r="1208" customFormat="false" ht="15" hidden="false" customHeight="false" outlineLevel="0" collapsed="false">
      <c r="A1208" s="0" t="n">
        <v>1361</v>
      </c>
      <c r="B1208" s="0" t="n">
        <v>14946</v>
      </c>
      <c r="C1208" s="0" t="s">
        <v>5973</v>
      </c>
      <c r="D1208" s="0" t="s">
        <v>13</v>
      </c>
      <c r="E1208" s="0" t="s">
        <v>52</v>
      </c>
      <c r="F1208" s="0" t="s">
        <v>728</v>
      </c>
      <c r="G1208" s="0" t="s">
        <v>18075</v>
      </c>
    </row>
    <row r="1209" customFormat="false" ht="15" hidden="false" customHeight="false" outlineLevel="0" collapsed="false">
      <c r="A1209" s="0" t="n">
        <v>1362</v>
      </c>
      <c r="B1209" s="0" t="n">
        <v>14949</v>
      </c>
      <c r="C1209" s="0" t="s">
        <v>5977</v>
      </c>
      <c r="D1209" s="0" t="s">
        <v>13</v>
      </c>
      <c r="E1209" s="0" t="s">
        <v>52</v>
      </c>
      <c r="F1209" s="0" t="s">
        <v>728</v>
      </c>
      <c r="G1209" s="0" t="s">
        <v>18075</v>
      </c>
    </row>
    <row r="1210" customFormat="false" ht="15" hidden="false" customHeight="false" outlineLevel="0" collapsed="false">
      <c r="A1210" s="0" t="n">
        <v>1363</v>
      </c>
      <c r="B1210" s="0" t="n">
        <v>14951</v>
      </c>
      <c r="C1210" s="0" t="s">
        <v>5981</v>
      </c>
      <c r="D1210" s="0" t="s">
        <v>13</v>
      </c>
      <c r="E1210" s="0" t="s">
        <v>52</v>
      </c>
      <c r="F1210" s="0" t="s">
        <v>728</v>
      </c>
      <c r="G1210" s="0" t="s">
        <v>18075</v>
      </c>
    </row>
    <row r="1211" customFormat="false" ht="15" hidden="false" customHeight="false" outlineLevel="0" collapsed="false">
      <c r="A1211" s="0" t="n">
        <v>1364</v>
      </c>
      <c r="B1211" s="0" t="n">
        <v>14952</v>
      </c>
      <c r="C1211" s="0" t="s">
        <v>5986</v>
      </c>
      <c r="D1211" s="0" t="s">
        <v>13</v>
      </c>
      <c r="E1211" s="0" t="s">
        <v>52</v>
      </c>
      <c r="F1211" s="0" t="s">
        <v>728</v>
      </c>
      <c r="G1211" s="0" t="s">
        <v>18075</v>
      </c>
    </row>
    <row r="1212" customFormat="false" ht="15" hidden="false" customHeight="false" outlineLevel="0" collapsed="false">
      <c r="A1212" s="0" t="n">
        <v>1365</v>
      </c>
      <c r="B1212" s="0" t="n">
        <v>14953</v>
      </c>
      <c r="C1212" s="0" t="s">
        <v>5989</v>
      </c>
      <c r="D1212" s="0" t="s">
        <v>13</v>
      </c>
      <c r="E1212" s="0" t="s">
        <v>52</v>
      </c>
      <c r="F1212" s="0" t="s">
        <v>728</v>
      </c>
      <c r="G1212" s="0" t="s">
        <v>18075</v>
      </c>
    </row>
    <row r="1213" customFormat="false" ht="15" hidden="false" customHeight="false" outlineLevel="0" collapsed="false">
      <c r="A1213" s="0" t="n">
        <v>1366</v>
      </c>
      <c r="B1213" s="0" t="n">
        <v>14954</v>
      </c>
      <c r="C1213" s="0" t="s">
        <v>5993</v>
      </c>
      <c r="D1213" s="0" t="s">
        <v>13</v>
      </c>
      <c r="E1213" s="0" t="s">
        <v>52</v>
      </c>
      <c r="F1213" s="0" t="s">
        <v>728</v>
      </c>
      <c r="G1213" s="0" t="s">
        <v>18075</v>
      </c>
    </row>
    <row r="1214" customFormat="false" ht="15" hidden="false" customHeight="false" outlineLevel="0" collapsed="false">
      <c r="A1214" s="0" t="n">
        <v>1367</v>
      </c>
      <c r="B1214" s="0" t="n">
        <v>14955</v>
      </c>
      <c r="C1214" s="0" t="s">
        <v>5997</v>
      </c>
      <c r="D1214" s="0" t="s">
        <v>13</v>
      </c>
      <c r="E1214" s="0" t="s">
        <v>52</v>
      </c>
      <c r="F1214" s="0" t="s">
        <v>728</v>
      </c>
      <c r="G1214" s="0" t="s">
        <v>18075</v>
      </c>
    </row>
    <row r="1215" customFormat="false" ht="15" hidden="false" customHeight="false" outlineLevel="0" collapsed="false">
      <c r="A1215" s="0" t="n">
        <v>1368</v>
      </c>
      <c r="B1215" s="0" t="n">
        <v>14956</v>
      </c>
      <c r="C1215" s="0" t="s">
        <v>6001</v>
      </c>
      <c r="D1215" s="0" t="s">
        <v>13</v>
      </c>
      <c r="E1215" s="0" t="s">
        <v>52</v>
      </c>
      <c r="F1215" s="0" t="s">
        <v>728</v>
      </c>
      <c r="G1215" s="0" t="s">
        <v>18075</v>
      </c>
    </row>
    <row r="1216" customFormat="false" ht="15" hidden="false" customHeight="false" outlineLevel="0" collapsed="false">
      <c r="A1216" s="0" t="n">
        <v>1369</v>
      </c>
      <c r="B1216" s="0" t="n">
        <v>14957</v>
      </c>
      <c r="C1216" s="0" t="s">
        <v>6006</v>
      </c>
      <c r="D1216" s="0" t="s">
        <v>13</v>
      </c>
      <c r="E1216" s="0" t="s">
        <v>52</v>
      </c>
      <c r="F1216" s="0" t="s">
        <v>728</v>
      </c>
      <c r="G1216" s="0" t="s">
        <v>18075</v>
      </c>
    </row>
    <row r="1217" customFormat="false" ht="15" hidden="false" customHeight="false" outlineLevel="0" collapsed="false">
      <c r="A1217" s="0" t="n">
        <v>1370</v>
      </c>
      <c r="B1217" s="0" t="n">
        <v>14958</v>
      </c>
      <c r="C1217" s="0" t="s">
        <v>6011</v>
      </c>
      <c r="D1217" s="0" t="s">
        <v>13</v>
      </c>
      <c r="E1217" s="0" t="s">
        <v>52</v>
      </c>
      <c r="F1217" s="0" t="s">
        <v>728</v>
      </c>
      <c r="G1217" s="0" t="s">
        <v>18075</v>
      </c>
    </row>
    <row r="1218" customFormat="false" ht="15" hidden="false" customHeight="false" outlineLevel="0" collapsed="false">
      <c r="A1218" s="0" t="n">
        <v>1371</v>
      </c>
      <c r="B1218" s="0" t="n">
        <v>14959</v>
      </c>
      <c r="C1218" s="0" t="s">
        <v>6015</v>
      </c>
      <c r="D1218" s="0" t="s">
        <v>13</v>
      </c>
      <c r="E1218" s="0" t="s">
        <v>52</v>
      </c>
      <c r="F1218" s="0" t="s">
        <v>728</v>
      </c>
      <c r="G1218" s="0" t="s">
        <v>18075</v>
      </c>
    </row>
    <row r="1219" customFormat="false" ht="15" hidden="false" customHeight="false" outlineLevel="0" collapsed="false">
      <c r="A1219" s="0" t="n">
        <v>1372</v>
      </c>
      <c r="B1219" s="0" t="n">
        <v>14960</v>
      </c>
      <c r="C1219" s="0" t="s">
        <v>6020</v>
      </c>
      <c r="D1219" s="0" t="s">
        <v>13</v>
      </c>
      <c r="E1219" s="0" t="s">
        <v>52</v>
      </c>
      <c r="F1219" s="0" t="s">
        <v>728</v>
      </c>
      <c r="G1219" s="0" t="s">
        <v>18075</v>
      </c>
    </row>
    <row r="1220" customFormat="false" ht="15" hidden="false" customHeight="false" outlineLevel="0" collapsed="false">
      <c r="A1220" s="0" t="n">
        <v>1373</v>
      </c>
      <c r="B1220" s="0" t="n">
        <v>14961</v>
      </c>
      <c r="C1220" s="0" t="s">
        <v>6024</v>
      </c>
      <c r="D1220" s="0" t="s">
        <v>13</v>
      </c>
      <c r="E1220" s="0" t="s">
        <v>52</v>
      </c>
      <c r="F1220" s="0" t="s">
        <v>728</v>
      </c>
      <c r="G1220" s="0" t="s">
        <v>18075</v>
      </c>
    </row>
    <row r="1221" customFormat="false" ht="15" hidden="false" customHeight="false" outlineLevel="0" collapsed="false">
      <c r="A1221" s="0" t="n">
        <v>1374</v>
      </c>
      <c r="B1221" s="0" t="n">
        <v>14962</v>
      </c>
      <c r="C1221" s="0" t="s">
        <v>6028</v>
      </c>
      <c r="D1221" s="0" t="s">
        <v>13</v>
      </c>
      <c r="E1221" s="0" t="s">
        <v>52</v>
      </c>
      <c r="F1221" s="0" t="s">
        <v>728</v>
      </c>
      <c r="G1221" s="0" t="s">
        <v>18075</v>
      </c>
    </row>
    <row r="1222" customFormat="false" ht="15" hidden="false" customHeight="false" outlineLevel="0" collapsed="false">
      <c r="A1222" s="0" t="n">
        <v>1376</v>
      </c>
      <c r="B1222" s="0" t="n">
        <v>14964</v>
      </c>
      <c r="C1222" s="0" t="s">
        <v>6037</v>
      </c>
      <c r="D1222" s="0" t="s">
        <v>13</v>
      </c>
      <c r="E1222" s="0" t="s">
        <v>52</v>
      </c>
      <c r="F1222" s="0" t="s">
        <v>728</v>
      </c>
      <c r="G1222" s="0" t="s">
        <v>18075</v>
      </c>
    </row>
    <row r="1223" customFormat="false" ht="15" hidden="false" customHeight="false" outlineLevel="0" collapsed="false">
      <c r="A1223" s="0" t="n">
        <v>1377</v>
      </c>
      <c r="B1223" s="0" t="n">
        <v>14966</v>
      </c>
      <c r="C1223" s="0" t="s">
        <v>6041</v>
      </c>
      <c r="D1223" s="0" t="s">
        <v>13</v>
      </c>
      <c r="E1223" s="0" t="s">
        <v>52</v>
      </c>
      <c r="F1223" s="0" t="s">
        <v>728</v>
      </c>
      <c r="G1223" s="0" t="s">
        <v>18075</v>
      </c>
    </row>
    <row r="1224" customFormat="false" ht="15" hidden="false" customHeight="false" outlineLevel="0" collapsed="false">
      <c r="A1224" s="0" t="n">
        <v>1378</v>
      </c>
      <c r="B1224" s="0" t="n">
        <v>14967</v>
      </c>
      <c r="C1224" s="0" t="s">
        <v>6045</v>
      </c>
      <c r="D1224" s="0" t="s">
        <v>13</v>
      </c>
      <c r="E1224" s="0" t="s">
        <v>52</v>
      </c>
      <c r="F1224" s="0" t="s">
        <v>728</v>
      </c>
      <c r="G1224" s="0" t="s">
        <v>18075</v>
      </c>
    </row>
    <row r="1225" customFormat="false" ht="15" hidden="false" customHeight="false" outlineLevel="0" collapsed="false">
      <c r="A1225" s="0" t="n">
        <v>1379</v>
      </c>
      <c r="B1225" s="0" t="n">
        <v>14968</v>
      </c>
      <c r="C1225" s="0" t="s">
        <v>6049</v>
      </c>
      <c r="D1225" s="0" t="s">
        <v>13</v>
      </c>
      <c r="E1225" s="0" t="s">
        <v>52</v>
      </c>
      <c r="F1225" s="0" t="s">
        <v>728</v>
      </c>
      <c r="G1225" s="0" t="s">
        <v>18075</v>
      </c>
    </row>
    <row r="1226" customFormat="false" ht="15" hidden="false" customHeight="false" outlineLevel="0" collapsed="false">
      <c r="A1226" s="0" t="n">
        <v>1380</v>
      </c>
      <c r="B1226" s="0" t="n">
        <v>14969</v>
      </c>
      <c r="C1226" s="0" t="s">
        <v>6054</v>
      </c>
      <c r="D1226" s="0" t="s">
        <v>13</v>
      </c>
      <c r="E1226" s="0" t="s">
        <v>52</v>
      </c>
      <c r="F1226" s="0" t="s">
        <v>728</v>
      </c>
      <c r="G1226" s="0" t="s">
        <v>18075</v>
      </c>
    </row>
    <row r="1227" customFormat="false" ht="15" hidden="false" customHeight="false" outlineLevel="0" collapsed="false">
      <c r="A1227" s="0" t="n">
        <v>1381</v>
      </c>
      <c r="B1227" s="0" t="n">
        <v>14971</v>
      </c>
      <c r="C1227" s="0" t="s">
        <v>6058</v>
      </c>
      <c r="D1227" s="0" t="s">
        <v>13</v>
      </c>
      <c r="E1227" s="0" t="s">
        <v>52</v>
      </c>
      <c r="F1227" s="0" t="s">
        <v>728</v>
      </c>
      <c r="G1227" s="0" t="s">
        <v>18075</v>
      </c>
    </row>
    <row r="1228" customFormat="false" ht="15" hidden="false" customHeight="false" outlineLevel="0" collapsed="false">
      <c r="A1228" s="0" t="n">
        <v>1382</v>
      </c>
      <c r="B1228" s="0" t="n">
        <v>14972</v>
      </c>
      <c r="C1228" s="0" t="s">
        <v>6062</v>
      </c>
      <c r="D1228" s="0" t="s">
        <v>13</v>
      </c>
      <c r="E1228" s="0" t="s">
        <v>52</v>
      </c>
      <c r="F1228" s="0" t="s">
        <v>728</v>
      </c>
      <c r="G1228" s="0" t="s">
        <v>18075</v>
      </c>
    </row>
    <row r="1229" customFormat="false" ht="15" hidden="false" customHeight="false" outlineLevel="0" collapsed="false">
      <c r="A1229" s="0" t="n">
        <v>1383</v>
      </c>
      <c r="B1229" s="0" t="n">
        <v>14973</v>
      </c>
      <c r="C1229" s="0" t="s">
        <v>6067</v>
      </c>
      <c r="D1229" s="0" t="s">
        <v>13</v>
      </c>
      <c r="E1229" s="0" t="s">
        <v>52</v>
      </c>
      <c r="F1229" s="0" t="s">
        <v>728</v>
      </c>
      <c r="G1229" s="0" t="s">
        <v>18075</v>
      </c>
    </row>
    <row r="1230" customFormat="false" ht="15" hidden="false" customHeight="false" outlineLevel="0" collapsed="false">
      <c r="A1230" s="0" t="n">
        <v>1385</v>
      </c>
      <c r="B1230" s="0" t="n">
        <v>14975</v>
      </c>
      <c r="C1230" s="0" t="s">
        <v>6076</v>
      </c>
      <c r="D1230" s="0" t="s">
        <v>13</v>
      </c>
      <c r="E1230" s="0" t="s">
        <v>52</v>
      </c>
      <c r="F1230" s="0" t="s">
        <v>728</v>
      </c>
      <c r="G1230" s="0" t="s">
        <v>18075</v>
      </c>
    </row>
    <row r="1231" customFormat="false" ht="15" hidden="false" customHeight="false" outlineLevel="0" collapsed="false">
      <c r="A1231" s="0" t="n">
        <v>1386</v>
      </c>
      <c r="B1231" s="0" t="n">
        <v>14976</v>
      </c>
      <c r="C1231" s="0" t="s">
        <v>6080</v>
      </c>
      <c r="D1231" s="0" t="s">
        <v>13</v>
      </c>
      <c r="E1231" s="0" t="s">
        <v>52</v>
      </c>
      <c r="F1231" s="0" t="s">
        <v>728</v>
      </c>
      <c r="G1231" s="0" t="s">
        <v>18075</v>
      </c>
    </row>
    <row r="1232" customFormat="false" ht="15" hidden="false" customHeight="false" outlineLevel="0" collapsed="false">
      <c r="A1232" s="0" t="n">
        <v>1387</v>
      </c>
      <c r="B1232" s="0" t="n">
        <v>14978</v>
      </c>
      <c r="C1232" s="0" t="s">
        <v>6084</v>
      </c>
      <c r="D1232" s="0" t="s">
        <v>13</v>
      </c>
      <c r="E1232" s="0" t="s">
        <v>52</v>
      </c>
      <c r="F1232" s="0" t="s">
        <v>728</v>
      </c>
      <c r="G1232" s="0" t="s">
        <v>18075</v>
      </c>
    </row>
    <row r="1233" customFormat="false" ht="15" hidden="false" customHeight="false" outlineLevel="0" collapsed="false">
      <c r="A1233" s="0" t="n">
        <v>1388</v>
      </c>
      <c r="B1233" s="0" t="n">
        <v>14979</v>
      </c>
      <c r="C1233" s="0" t="s">
        <v>555</v>
      </c>
      <c r="D1233" s="0" t="s">
        <v>13</v>
      </c>
      <c r="E1233" s="0" t="s">
        <v>52</v>
      </c>
      <c r="F1233" s="0" t="s">
        <v>728</v>
      </c>
      <c r="G1233" s="0" t="s">
        <v>18075</v>
      </c>
    </row>
    <row r="1234" customFormat="false" ht="15" hidden="false" customHeight="false" outlineLevel="0" collapsed="false">
      <c r="A1234" s="0" t="n">
        <v>1389</v>
      </c>
      <c r="B1234" s="0" t="n">
        <v>14984</v>
      </c>
      <c r="C1234" s="0" t="s">
        <v>6091</v>
      </c>
      <c r="D1234" s="0" t="s">
        <v>13</v>
      </c>
      <c r="E1234" s="0" t="s">
        <v>52</v>
      </c>
      <c r="F1234" s="0" t="s">
        <v>728</v>
      </c>
      <c r="G1234" s="0" t="s">
        <v>18075</v>
      </c>
    </row>
    <row r="1235" customFormat="false" ht="15" hidden="false" customHeight="false" outlineLevel="0" collapsed="false">
      <c r="A1235" s="0" t="n">
        <v>1390</v>
      </c>
      <c r="B1235" s="0" t="n">
        <v>14985</v>
      </c>
      <c r="C1235" s="0" t="s">
        <v>6096</v>
      </c>
      <c r="D1235" s="0" t="s">
        <v>13</v>
      </c>
      <c r="E1235" s="0" t="s">
        <v>52</v>
      </c>
      <c r="F1235" s="0" t="s">
        <v>728</v>
      </c>
      <c r="G1235" s="0" t="s">
        <v>18075</v>
      </c>
    </row>
    <row r="1236" customFormat="false" ht="15" hidden="false" customHeight="false" outlineLevel="0" collapsed="false">
      <c r="A1236" s="0" t="n">
        <v>1391</v>
      </c>
      <c r="B1236" s="0" t="n">
        <v>14986</v>
      </c>
      <c r="C1236" s="0" t="s">
        <v>6100</v>
      </c>
      <c r="D1236" s="0" t="s">
        <v>13</v>
      </c>
      <c r="E1236" s="0" t="s">
        <v>52</v>
      </c>
      <c r="F1236" s="0" t="s">
        <v>728</v>
      </c>
      <c r="G1236" s="0" t="s">
        <v>18075</v>
      </c>
    </row>
    <row r="1237" customFormat="false" ht="15" hidden="false" customHeight="false" outlineLevel="0" collapsed="false">
      <c r="A1237" s="0" t="n">
        <v>1396</v>
      </c>
      <c r="B1237" s="0" t="n">
        <v>15185</v>
      </c>
      <c r="C1237" s="0" t="s">
        <v>6123</v>
      </c>
      <c r="D1237" s="0" t="s">
        <v>13</v>
      </c>
      <c r="E1237" s="0" t="s">
        <v>52</v>
      </c>
      <c r="F1237" s="0" t="s">
        <v>728</v>
      </c>
      <c r="G1237" s="0" t="s">
        <v>18075</v>
      </c>
    </row>
    <row r="1238" customFormat="false" ht="15" hidden="false" customHeight="false" outlineLevel="0" collapsed="false">
      <c r="A1238" s="0" t="n">
        <v>1397</v>
      </c>
      <c r="B1238" s="0" t="n">
        <v>15187</v>
      </c>
      <c r="C1238" s="0" t="s">
        <v>6128</v>
      </c>
      <c r="D1238" s="0" t="s">
        <v>13</v>
      </c>
      <c r="E1238" s="0" t="s">
        <v>52</v>
      </c>
      <c r="F1238" s="0" t="s">
        <v>728</v>
      </c>
      <c r="G1238" s="0" t="s">
        <v>18075</v>
      </c>
    </row>
    <row r="1239" customFormat="false" ht="15" hidden="false" customHeight="false" outlineLevel="0" collapsed="false">
      <c r="A1239" s="0" t="n">
        <v>1398</v>
      </c>
      <c r="B1239" s="0" t="n">
        <v>15188</v>
      </c>
      <c r="C1239" s="0" t="s">
        <v>6133</v>
      </c>
      <c r="D1239" s="0" t="s">
        <v>13</v>
      </c>
      <c r="E1239" s="0" t="s">
        <v>52</v>
      </c>
      <c r="F1239" s="0" t="s">
        <v>728</v>
      </c>
      <c r="G1239" s="0" t="s">
        <v>18075</v>
      </c>
    </row>
    <row r="1240" customFormat="false" ht="15" hidden="false" customHeight="false" outlineLevel="0" collapsed="false">
      <c r="A1240" s="0" t="n">
        <v>1399</v>
      </c>
      <c r="B1240" s="0" t="n">
        <v>15189</v>
      </c>
      <c r="C1240" s="0" t="s">
        <v>6138</v>
      </c>
      <c r="D1240" s="0" t="s">
        <v>13</v>
      </c>
      <c r="E1240" s="0" t="s">
        <v>52</v>
      </c>
      <c r="F1240" s="0" t="s">
        <v>728</v>
      </c>
      <c r="G1240" s="0" t="s">
        <v>18075</v>
      </c>
    </row>
    <row r="1241" customFormat="false" ht="15" hidden="false" customHeight="false" outlineLevel="0" collapsed="false">
      <c r="A1241" s="0" t="n">
        <v>1400</v>
      </c>
      <c r="B1241" s="0" t="n">
        <v>15190</v>
      </c>
      <c r="C1241" s="0" t="s">
        <v>6143</v>
      </c>
      <c r="D1241" s="0" t="s">
        <v>13</v>
      </c>
      <c r="E1241" s="0" t="s">
        <v>52</v>
      </c>
      <c r="F1241" s="0" t="s">
        <v>728</v>
      </c>
      <c r="G1241" s="0" t="s">
        <v>18075</v>
      </c>
    </row>
    <row r="1242" customFormat="false" ht="15" hidden="false" customHeight="false" outlineLevel="0" collapsed="false">
      <c r="A1242" s="0" t="n">
        <v>1401</v>
      </c>
      <c r="B1242" s="0" t="n">
        <v>15191</v>
      </c>
      <c r="C1242" s="0" t="s">
        <v>6147</v>
      </c>
      <c r="D1242" s="0" t="s">
        <v>13</v>
      </c>
      <c r="E1242" s="0" t="s">
        <v>52</v>
      </c>
      <c r="F1242" s="0" t="s">
        <v>728</v>
      </c>
      <c r="G1242" s="0" t="s">
        <v>18075</v>
      </c>
    </row>
    <row r="1243" customFormat="false" ht="15" hidden="false" customHeight="false" outlineLevel="0" collapsed="false">
      <c r="A1243" s="0" t="n">
        <v>1402</v>
      </c>
      <c r="B1243" s="0" t="n">
        <v>15192</v>
      </c>
      <c r="C1243" s="0" t="s">
        <v>6152</v>
      </c>
      <c r="D1243" s="0" t="s">
        <v>13</v>
      </c>
      <c r="E1243" s="0" t="s">
        <v>52</v>
      </c>
      <c r="F1243" s="0" t="s">
        <v>728</v>
      </c>
      <c r="G1243" s="0" t="s">
        <v>18075</v>
      </c>
    </row>
    <row r="1244" customFormat="false" ht="15" hidden="false" customHeight="false" outlineLevel="0" collapsed="false">
      <c r="A1244" s="0" t="n">
        <v>1403</v>
      </c>
      <c r="B1244" s="0" t="n">
        <v>15193</v>
      </c>
      <c r="C1244" s="0" t="s">
        <v>6156</v>
      </c>
      <c r="D1244" s="0" t="s">
        <v>13</v>
      </c>
      <c r="E1244" s="0" t="s">
        <v>52</v>
      </c>
      <c r="F1244" s="0" t="s">
        <v>728</v>
      </c>
      <c r="G1244" s="0" t="s">
        <v>18075</v>
      </c>
    </row>
    <row r="1245" customFormat="false" ht="15" hidden="false" customHeight="false" outlineLevel="0" collapsed="false">
      <c r="A1245" s="0" t="n">
        <v>1404</v>
      </c>
      <c r="B1245" s="0" t="n">
        <v>15194</v>
      </c>
      <c r="C1245" s="0" t="s">
        <v>6161</v>
      </c>
      <c r="D1245" s="0" t="s">
        <v>13</v>
      </c>
      <c r="E1245" s="0" t="s">
        <v>52</v>
      </c>
      <c r="F1245" s="0" t="s">
        <v>728</v>
      </c>
      <c r="G1245" s="0" t="s">
        <v>18075</v>
      </c>
    </row>
    <row r="1246" customFormat="false" ht="15" hidden="false" customHeight="false" outlineLevel="0" collapsed="false">
      <c r="A1246" s="0" t="n">
        <v>1405</v>
      </c>
      <c r="B1246" s="0" t="n">
        <v>15195</v>
      </c>
      <c r="C1246" s="0" t="s">
        <v>6165</v>
      </c>
      <c r="D1246" s="0" t="s">
        <v>13</v>
      </c>
      <c r="E1246" s="0" t="s">
        <v>52</v>
      </c>
      <c r="F1246" s="0" t="s">
        <v>728</v>
      </c>
      <c r="G1246" s="0" t="s">
        <v>18075</v>
      </c>
    </row>
    <row r="1247" customFormat="false" ht="15" hidden="false" customHeight="false" outlineLevel="0" collapsed="false">
      <c r="A1247" s="0" t="n">
        <v>1406</v>
      </c>
      <c r="B1247" s="0" t="n">
        <v>15196</v>
      </c>
      <c r="C1247" s="0" t="s">
        <v>6169</v>
      </c>
      <c r="D1247" s="0" t="s">
        <v>13</v>
      </c>
      <c r="E1247" s="0" t="s">
        <v>52</v>
      </c>
      <c r="F1247" s="0" t="s">
        <v>728</v>
      </c>
      <c r="G1247" s="0" t="s">
        <v>18075</v>
      </c>
    </row>
    <row r="1248" customFormat="false" ht="15" hidden="false" customHeight="false" outlineLevel="0" collapsed="false">
      <c r="A1248" s="0" t="n">
        <v>1407</v>
      </c>
      <c r="B1248" s="0" t="n">
        <v>15197</v>
      </c>
      <c r="C1248" s="0" t="s">
        <v>6173</v>
      </c>
      <c r="D1248" s="0" t="s">
        <v>13</v>
      </c>
      <c r="E1248" s="0" t="s">
        <v>52</v>
      </c>
      <c r="F1248" s="0" t="s">
        <v>728</v>
      </c>
      <c r="G1248" s="0" t="s">
        <v>18075</v>
      </c>
    </row>
    <row r="1249" customFormat="false" ht="15" hidden="false" customHeight="false" outlineLevel="0" collapsed="false">
      <c r="A1249" s="0" t="n">
        <v>1408</v>
      </c>
      <c r="B1249" s="0" t="n">
        <v>15198</v>
      </c>
      <c r="C1249" s="0" t="s">
        <v>6177</v>
      </c>
      <c r="D1249" s="0" t="s">
        <v>13</v>
      </c>
      <c r="E1249" s="0" t="s">
        <v>52</v>
      </c>
      <c r="F1249" s="0" t="s">
        <v>728</v>
      </c>
      <c r="G1249" s="0" t="s">
        <v>18075</v>
      </c>
    </row>
    <row r="1250" customFormat="false" ht="15" hidden="false" customHeight="false" outlineLevel="0" collapsed="false">
      <c r="A1250" s="0" t="n">
        <v>1409</v>
      </c>
      <c r="B1250" s="0" t="n">
        <v>15199</v>
      </c>
      <c r="C1250" s="0" t="s">
        <v>6182</v>
      </c>
      <c r="D1250" s="0" t="s">
        <v>13</v>
      </c>
      <c r="E1250" s="0" t="s">
        <v>52</v>
      </c>
      <c r="F1250" s="0" t="s">
        <v>728</v>
      </c>
      <c r="G1250" s="0" t="s">
        <v>18075</v>
      </c>
    </row>
    <row r="1251" customFormat="false" ht="15" hidden="false" customHeight="false" outlineLevel="0" collapsed="false">
      <c r="A1251" s="0" t="n">
        <v>1410</v>
      </c>
      <c r="B1251" s="0" t="n">
        <v>15200</v>
      </c>
      <c r="C1251" s="0" t="s">
        <v>6186</v>
      </c>
      <c r="D1251" s="0" t="s">
        <v>13</v>
      </c>
      <c r="E1251" s="0" t="s">
        <v>52</v>
      </c>
      <c r="F1251" s="0" t="s">
        <v>728</v>
      </c>
      <c r="G1251" s="0" t="s">
        <v>18075</v>
      </c>
    </row>
    <row r="1252" customFormat="false" ht="15" hidden="false" customHeight="false" outlineLevel="0" collapsed="false">
      <c r="A1252" s="0" t="n">
        <v>1411</v>
      </c>
      <c r="B1252" s="0" t="n">
        <v>15201</v>
      </c>
      <c r="C1252" s="0" t="s">
        <v>6190</v>
      </c>
      <c r="D1252" s="0" t="s">
        <v>13</v>
      </c>
      <c r="E1252" s="0" t="s">
        <v>52</v>
      </c>
      <c r="F1252" s="0" t="s">
        <v>728</v>
      </c>
      <c r="G1252" s="0" t="s">
        <v>18075</v>
      </c>
    </row>
    <row r="1253" customFormat="false" ht="15" hidden="false" customHeight="false" outlineLevel="0" collapsed="false">
      <c r="A1253" s="0" t="n">
        <v>1412</v>
      </c>
      <c r="B1253" s="0" t="n">
        <v>15202</v>
      </c>
      <c r="C1253" s="0" t="s">
        <v>6194</v>
      </c>
      <c r="D1253" s="0" t="s">
        <v>13</v>
      </c>
      <c r="E1253" s="0" t="s">
        <v>52</v>
      </c>
      <c r="F1253" s="0" t="s">
        <v>728</v>
      </c>
      <c r="G1253" s="0" t="s">
        <v>18075</v>
      </c>
    </row>
    <row r="1254" customFormat="false" ht="15" hidden="false" customHeight="false" outlineLevel="0" collapsed="false">
      <c r="A1254" s="0" t="n">
        <v>1413</v>
      </c>
      <c r="B1254" s="0" t="n">
        <v>15203</v>
      </c>
      <c r="C1254" s="0" t="s">
        <v>6198</v>
      </c>
      <c r="D1254" s="0" t="s">
        <v>13</v>
      </c>
      <c r="E1254" s="0" t="s">
        <v>52</v>
      </c>
      <c r="F1254" s="0" t="s">
        <v>728</v>
      </c>
      <c r="G1254" s="0" t="s">
        <v>18075</v>
      </c>
    </row>
    <row r="1255" customFormat="false" ht="15" hidden="false" customHeight="false" outlineLevel="0" collapsed="false">
      <c r="A1255" s="0" t="n">
        <v>1414</v>
      </c>
      <c r="B1255" s="0" t="n">
        <v>15204</v>
      </c>
      <c r="C1255" s="0" t="s">
        <v>6203</v>
      </c>
      <c r="D1255" s="0" t="s">
        <v>13</v>
      </c>
      <c r="E1255" s="0" t="s">
        <v>52</v>
      </c>
      <c r="F1255" s="0" t="s">
        <v>728</v>
      </c>
      <c r="G1255" s="0" t="s">
        <v>18075</v>
      </c>
    </row>
    <row r="1256" customFormat="false" ht="15" hidden="false" customHeight="false" outlineLevel="0" collapsed="false">
      <c r="A1256" s="0" t="n">
        <v>1415</v>
      </c>
      <c r="B1256" s="0" t="n">
        <v>15205</v>
      </c>
      <c r="C1256" s="0" t="s">
        <v>6207</v>
      </c>
      <c r="D1256" s="0" t="s">
        <v>13</v>
      </c>
      <c r="E1256" s="0" t="s">
        <v>52</v>
      </c>
      <c r="F1256" s="0" t="s">
        <v>728</v>
      </c>
      <c r="G1256" s="0" t="s">
        <v>18075</v>
      </c>
    </row>
    <row r="1257" customFormat="false" ht="15" hidden="false" customHeight="false" outlineLevel="0" collapsed="false">
      <c r="A1257" s="0" t="n">
        <v>1416</v>
      </c>
      <c r="B1257" s="0" t="n">
        <v>15206</v>
      </c>
      <c r="C1257" s="0" t="s">
        <v>6212</v>
      </c>
      <c r="D1257" s="0" t="s">
        <v>13</v>
      </c>
      <c r="E1257" s="0" t="s">
        <v>52</v>
      </c>
      <c r="F1257" s="0" t="s">
        <v>728</v>
      </c>
      <c r="G1257" s="0" t="s">
        <v>18075</v>
      </c>
    </row>
    <row r="1258" customFormat="false" ht="15" hidden="false" customHeight="false" outlineLevel="0" collapsed="false">
      <c r="A1258" s="0" t="n">
        <v>1434</v>
      </c>
      <c r="B1258" s="0" t="n">
        <v>10343</v>
      </c>
      <c r="C1258" s="0" t="s">
        <v>6288</v>
      </c>
      <c r="D1258" s="0" t="s">
        <v>13</v>
      </c>
      <c r="E1258" s="0" t="s">
        <v>6291</v>
      </c>
      <c r="F1258" s="0" t="s">
        <v>4557</v>
      </c>
      <c r="G1258" s="0" t="s">
        <v>18075</v>
      </c>
    </row>
    <row r="1259" customFormat="false" ht="15" hidden="false" customHeight="false" outlineLevel="0" collapsed="false">
      <c r="A1259" s="0" t="n">
        <v>1481</v>
      </c>
      <c r="B1259" s="0" t="n">
        <v>16064</v>
      </c>
      <c r="C1259" s="0" t="s">
        <v>6486</v>
      </c>
      <c r="D1259" s="0" t="s">
        <v>13</v>
      </c>
      <c r="E1259" s="0" t="s">
        <v>83</v>
      </c>
      <c r="F1259" s="0" t="s">
        <v>4735</v>
      </c>
      <c r="G1259" s="0" t="s">
        <v>18075</v>
      </c>
    </row>
    <row r="1260" customFormat="false" ht="15" hidden="false" customHeight="false" outlineLevel="0" collapsed="false">
      <c r="A1260" s="0" t="n">
        <v>1482</v>
      </c>
      <c r="B1260" s="0" t="n">
        <v>16065</v>
      </c>
      <c r="C1260" s="0" t="s">
        <v>6492</v>
      </c>
      <c r="D1260" s="0" t="s">
        <v>13</v>
      </c>
      <c r="E1260" s="0" t="s">
        <v>83</v>
      </c>
      <c r="F1260" s="0" t="s">
        <v>4735</v>
      </c>
      <c r="G1260" s="0" t="s">
        <v>18075</v>
      </c>
    </row>
    <row r="1261" customFormat="false" ht="15" hidden="false" customHeight="false" outlineLevel="0" collapsed="false">
      <c r="A1261" s="0" t="n">
        <v>1483</v>
      </c>
      <c r="B1261" s="0" t="n">
        <v>16108</v>
      </c>
      <c r="C1261" s="0" t="s">
        <v>6497</v>
      </c>
      <c r="D1261" s="0" t="s">
        <v>13</v>
      </c>
      <c r="E1261" s="0" t="s">
        <v>52</v>
      </c>
      <c r="F1261" s="0" t="s">
        <v>728</v>
      </c>
      <c r="G1261" s="0" t="s">
        <v>18075</v>
      </c>
    </row>
    <row r="1262" customFormat="false" ht="15" hidden="false" customHeight="false" outlineLevel="0" collapsed="false">
      <c r="A1262" s="0" t="n">
        <v>1484</v>
      </c>
      <c r="B1262" s="0" t="n">
        <v>16109</v>
      </c>
      <c r="C1262" s="0" t="s">
        <v>6503</v>
      </c>
      <c r="D1262" s="0" t="s">
        <v>13</v>
      </c>
      <c r="E1262" s="0" t="s">
        <v>52</v>
      </c>
      <c r="F1262" s="0" t="s">
        <v>728</v>
      </c>
      <c r="G1262" s="0" t="s">
        <v>18075</v>
      </c>
    </row>
    <row r="1263" customFormat="false" ht="15" hidden="false" customHeight="false" outlineLevel="0" collapsed="false">
      <c r="A1263" s="0" t="n">
        <v>1485</v>
      </c>
      <c r="B1263" s="0" t="n">
        <v>16110</v>
      </c>
      <c r="C1263" s="0" t="s">
        <v>6507</v>
      </c>
      <c r="D1263" s="0" t="s">
        <v>13</v>
      </c>
      <c r="E1263" s="0" t="s">
        <v>52</v>
      </c>
      <c r="F1263" s="0" t="s">
        <v>728</v>
      </c>
      <c r="G1263" s="0" t="s">
        <v>18075</v>
      </c>
    </row>
    <row r="1264" customFormat="false" ht="15" hidden="false" customHeight="false" outlineLevel="0" collapsed="false">
      <c r="A1264" s="0" t="n">
        <v>1486</v>
      </c>
      <c r="B1264" s="0" t="n">
        <v>16111</v>
      </c>
      <c r="C1264" s="0" t="s">
        <v>6511</v>
      </c>
      <c r="D1264" s="0" t="s">
        <v>13</v>
      </c>
      <c r="E1264" s="0" t="s">
        <v>52</v>
      </c>
      <c r="F1264" s="0" t="s">
        <v>728</v>
      </c>
      <c r="G1264" s="0" t="s">
        <v>18075</v>
      </c>
    </row>
    <row r="1265" customFormat="false" ht="15" hidden="false" customHeight="false" outlineLevel="0" collapsed="false">
      <c r="A1265" s="0" t="n">
        <v>1488</v>
      </c>
      <c r="B1265" s="0" t="n">
        <v>16114</v>
      </c>
      <c r="C1265" s="0" t="s">
        <v>6519</v>
      </c>
      <c r="D1265" s="0" t="s">
        <v>13</v>
      </c>
      <c r="E1265" s="0" t="s">
        <v>52</v>
      </c>
      <c r="F1265" s="0" t="s">
        <v>728</v>
      </c>
      <c r="G1265" s="0" t="s">
        <v>18075</v>
      </c>
    </row>
    <row r="1266" customFormat="false" ht="15" hidden="false" customHeight="false" outlineLevel="0" collapsed="false">
      <c r="A1266" s="0" t="n">
        <v>1489</v>
      </c>
      <c r="B1266" s="0" t="n">
        <v>16115</v>
      </c>
      <c r="C1266" s="0" t="s">
        <v>6524</v>
      </c>
      <c r="D1266" s="0" t="s">
        <v>13</v>
      </c>
      <c r="E1266" s="0" t="s">
        <v>52</v>
      </c>
      <c r="F1266" s="0" t="s">
        <v>728</v>
      </c>
      <c r="G1266" s="0" t="s">
        <v>18075</v>
      </c>
    </row>
    <row r="1267" customFormat="false" ht="15" hidden="false" customHeight="false" outlineLevel="0" collapsed="false">
      <c r="A1267" s="0" t="n">
        <v>1490</v>
      </c>
      <c r="B1267" s="0" t="n">
        <v>16116</v>
      </c>
      <c r="C1267" s="0" t="s">
        <v>6529</v>
      </c>
      <c r="D1267" s="0" t="s">
        <v>13</v>
      </c>
      <c r="E1267" s="0" t="s">
        <v>52</v>
      </c>
      <c r="F1267" s="0" t="s">
        <v>728</v>
      </c>
      <c r="G1267" s="0" t="s">
        <v>18075</v>
      </c>
    </row>
    <row r="1268" customFormat="false" ht="15" hidden="false" customHeight="false" outlineLevel="0" collapsed="false">
      <c r="A1268" s="0" t="n">
        <v>1491</v>
      </c>
      <c r="B1268" s="0" t="n">
        <v>16117</v>
      </c>
      <c r="C1268" s="0" t="s">
        <v>6533</v>
      </c>
      <c r="D1268" s="0" t="s">
        <v>13</v>
      </c>
      <c r="E1268" s="0" t="s">
        <v>52</v>
      </c>
      <c r="F1268" s="0" t="s">
        <v>728</v>
      </c>
      <c r="G1268" s="0" t="s">
        <v>18075</v>
      </c>
    </row>
    <row r="1269" customFormat="false" ht="15" hidden="false" customHeight="false" outlineLevel="0" collapsed="false">
      <c r="A1269" s="0" t="n">
        <v>1492</v>
      </c>
      <c r="B1269" s="0" t="n">
        <v>16118</v>
      </c>
      <c r="C1269" s="0" t="s">
        <v>6537</v>
      </c>
      <c r="D1269" s="0" t="s">
        <v>13</v>
      </c>
      <c r="E1269" s="0" t="s">
        <v>83</v>
      </c>
      <c r="F1269" s="0" t="s">
        <v>4735</v>
      </c>
      <c r="G1269" s="0" t="s">
        <v>18075</v>
      </c>
    </row>
    <row r="1270" customFormat="false" ht="15" hidden="false" customHeight="false" outlineLevel="0" collapsed="false">
      <c r="A1270" s="0" t="n">
        <v>1493</v>
      </c>
      <c r="B1270" s="0" t="n">
        <v>16119</v>
      </c>
      <c r="C1270" s="0" t="s">
        <v>6541</v>
      </c>
      <c r="D1270" s="0" t="s">
        <v>13</v>
      </c>
      <c r="E1270" s="0" t="s">
        <v>52</v>
      </c>
      <c r="F1270" s="0" t="s">
        <v>728</v>
      </c>
      <c r="G1270" s="0" t="s">
        <v>18075</v>
      </c>
    </row>
    <row r="1271" customFormat="false" ht="15" hidden="false" customHeight="false" outlineLevel="0" collapsed="false">
      <c r="A1271" s="0" t="n">
        <v>1494</v>
      </c>
      <c r="B1271" s="0" t="n">
        <v>16120</v>
      </c>
      <c r="C1271" s="0" t="s">
        <v>6545</v>
      </c>
      <c r="D1271" s="0" t="s">
        <v>13</v>
      </c>
      <c r="E1271" s="0" t="s">
        <v>52</v>
      </c>
      <c r="F1271" s="0" t="s">
        <v>728</v>
      </c>
      <c r="G1271" s="0" t="s">
        <v>18075</v>
      </c>
    </row>
    <row r="1272" customFormat="false" ht="15" hidden="false" customHeight="false" outlineLevel="0" collapsed="false">
      <c r="A1272" s="0" t="n">
        <v>1495</v>
      </c>
      <c r="B1272" s="0" t="n">
        <v>16121</v>
      </c>
      <c r="C1272" s="0" t="s">
        <v>6549</v>
      </c>
      <c r="D1272" s="0" t="s">
        <v>13</v>
      </c>
      <c r="E1272" s="0" t="s">
        <v>52</v>
      </c>
      <c r="F1272" s="0" t="s">
        <v>728</v>
      </c>
      <c r="G1272" s="0" t="s">
        <v>18075</v>
      </c>
    </row>
    <row r="1273" customFormat="false" ht="15" hidden="false" customHeight="false" outlineLevel="0" collapsed="false">
      <c r="A1273" s="0" t="n">
        <v>1496</v>
      </c>
      <c r="B1273" s="0" t="n">
        <v>16122</v>
      </c>
      <c r="C1273" s="0" t="s">
        <v>6553</v>
      </c>
      <c r="D1273" s="0" t="s">
        <v>13</v>
      </c>
      <c r="E1273" s="0" t="s">
        <v>52</v>
      </c>
      <c r="F1273" s="0" t="s">
        <v>728</v>
      </c>
      <c r="G1273" s="0" t="s">
        <v>18075</v>
      </c>
    </row>
    <row r="1274" customFormat="false" ht="15" hidden="false" customHeight="false" outlineLevel="0" collapsed="false">
      <c r="A1274" s="0" t="n">
        <v>1497</v>
      </c>
      <c r="B1274" s="0" t="n">
        <v>16123</v>
      </c>
      <c r="C1274" s="0" t="s">
        <v>6558</v>
      </c>
      <c r="D1274" s="0" t="s">
        <v>13</v>
      </c>
      <c r="E1274" s="0" t="s">
        <v>52</v>
      </c>
      <c r="F1274" s="0" t="s">
        <v>728</v>
      </c>
      <c r="G1274" s="0" t="s">
        <v>18075</v>
      </c>
    </row>
    <row r="1275" customFormat="false" ht="15" hidden="false" customHeight="false" outlineLevel="0" collapsed="false">
      <c r="A1275" s="0" t="n">
        <v>1498</v>
      </c>
      <c r="B1275" s="0" t="n">
        <v>16124</v>
      </c>
      <c r="C1275" s="0" t="s">
        <v>6562</v>
      </c>
      <c r="D1275" s="0" t="s">
        <v>13</v>
      </c>
      <c r="E1275" s="0" t="s">
        <v>52</v>
      </c>
      <c r="F1275" s="0" t="s">
        <v>728</v>
      </c>
      <c r="G1275" s="0" t="s">
        <v>18075</v>
      </c>
    </row>
    <row r="1276" customFormat="false" ht="15" hidden="false" customHeight="false" outlineLevel="0" collapsed="false">
      <c r="A1276" s="0" t="n">
        <v>1499</v>
      </c>
      <c r="B1276" s="0" t="n">
        <v>16126</v>
      </c>
      <c r="C1276" s="0" t="s">
        <v>6566</v>
      </c>
      <c r="D1276" s="0" t="s">
        <v>13</v>
      </c>
      <c r="E1276" s="0" t="s">
        <v>52</v>
      </c>
      <c r="F1276" s="0" t="s">
        <v>728</v>
      </c>
      <c r="G1276" s="0" t="s">
        <v>18075</v>
      </c>
    </row>
    <row r="1277" customFormat="false" ht="15" hidden="false" customHeight="false" outlineLevel="0" collapsed="false">
      <c r="A1277" s="0" t="n">
        <v>1500</v>
      </c>
      <c r="B1277" s="0" t="n">
        <v>16128</v>
      </c>
      <c r="C1277" s="0" t="s">
        <v>6569</v>
      </c>
      <c r="D1277" s="0" t="s">
        <v>13</v>
      </c>
      <c r="E1277" s="0" t="s">
        <v>52</v>
      </c>
      <c r="F1277" s="0" t="s">
        <v>728</v>
      </c>
      <c r="G1277" s="0" t="s">
        <v>18075</v>
      </c>
    </row>
    <row r="1278" customFormat="false" ht="15" hidden="false" customHeight="false" outlineLevel="0" collapsed="false">
      <c r="A1278" s="0" t="n">
        <v>1501</v>
      </c>
      <c r="B1278" s="0" t="n">
        <v>16129</v>
      </c>
      <c r="C1278" s="0" t="s">
        <v>6574</v>
      </c>
      <c r="D1278" s="0" t="s">
        <v>13</v>
      </c>
      <c r="E1278" s="0" t="s">
        <v>52</v>
      </c>
      <c r="F1278" s="0" t="s">
        <v>728</v>
      </c>
      <c r="G1278" s="0" t="s">
        <v>18075</v>
      </c>
    </row>
    <row r="1279" customFormat="false" ht="15" hidden="false" customHeight="false" outlineLevel="0" collapsed="false">
      <c r="A1279" s="0" t="n">
        <v>1502</v>
      </c>
      <c r="B1279" s="0" t="n">
        <v>16130</v>
      </c>
      <c r="C1279" s="0" t="s">
        <v>6578</v>
      </c>
      <c r="D1279" s="0" t="s">
        <v>13</v>
      </c>
      <c r="E1279" s="0" t="s">
        <v>52</v>
      </c>
      <c r="F1279" s="0" t="s">
        <v>728</v>
      </c>
      <c r="G1279" s="0" t="s">
        <v>18075</v>
      </c>
    </row>
    <row r="1280" customFormat="false" ht="15" hidden="false" customHeight="false" outlineLevel="0" collapsed="false">
      <c r="A1280" s="0" t="n">
        <v>1503</v>
      </c>
      <c r="B1280" s="0" t="n">
        <v>16131</v>
      </c>
      <c r="C1280" s="0" t="s">
        <v>6582</v>
      </c>
      <c r="D1280" s="0" t="s">
        <v>13</v>
      </c>
      <c r="E1280" s="0" t="s">
        <v>52</v>
      </c>
      <c r="F1280" s="0" t="s">
        <v>728</v>
      </c>
      <c r="G1280" s="0" t="s">
        <v>18075</v>
      </c>
    </row>
    <row r="1281" customFormat="false" ht="15" hidden="false" customHeight="false" outlineLevel="0" collapsed="false">
      <c r="A1281" s="0" t="n">
        <v>1504</v>
      </c>
      <c r="B1281" s="0" t="n">
        <v>16132</v>
      </c>
      <c r="C1281" s="0" t="s">
        <v>6586</v>
      </c>
      <c r="D1281" s="0" t="s">
        <v>13</v>
      </c>
      <c r="E1281" s="0" t="s">
        <v>52</v>
      </c>
      <c r="F1281" s="0" t="s">
        <v>728</v>
      </c>
      <c r="G1281" s="0" t="s">
        <v>18075</v>
      </c>
    </row>
    <row r="1282" customFormat="false" ht="15" hidden="false" customHeight="false" outlineLevel="0" collapsed="false">
      <c r="A1282" s="0" t="n">
        <v>1505</v>
      </c>
      <c r="B1282" s="0" t="n">
        <v>16133</v>
      </c>
      <c r="C1282" s="0" t="s">
        <v>6590</v>
      </c>
      <c r="D1282" s="0" t="s">
        <v>13</v>
      </c>
      <c r="E1282" s="0" t="s">
        <v>52</v>
      </c>
      <c r="F1282" s="0" t="s">
        <v>728</v>
      </c>
      <c r="G1282" s="0" t="s">
        <v>18075</v>
      </c>
    </row>
    <row r="1283" customFormat="false" ht="15" hidden="false" customHeight="false" outlineLevel="0" collapsed="false">
      <c r="A1283" s="0" t="n">
        <v>1506</v>
      </c>
      <c r="B1283" s="0" t="n">
        <v>16134</v>
      </c>
      <c r="C1283" s="0" t="s">
        <v>6594</v>
      </c>
      <c r="D1283" s="0" t="s">
        <v>13</v>
      </c>
      <c r="E1283" s="0" t="s">
        <v>52</v>
      </c>
      <c r="F1283" s="0" t="s">
        <v>728</v>
      </c>
      <c r="G1283" s="0" t="s">
        <v>18075</v>
      </c>
    </row>
    <row r="1284" customFormat="false" ht="15" hidden="false" customHeight="false" outlineLevel="0" collapsed="false">
      <c r="A1284" s="0" t="n">
        <v>1528</v>
      </c>
      <c r="B1284" s="0" t="n">
        <v>21882</v>
      </c>
      <c r="C1284" s="0" t="s">
        <v>6698</v>
      </c>
      <c r="D1284" s="0" t="s">
        <v>13</v>
      </c>
      <c r="E1284" s="0" t="s">
        <v>6291</v>
      </c>
      <c r="F1284" s="0" t="s">
        <v>4557</v>
      </c>
      <c r="G1284" s="0" t="s">
        <v>18075</v>
      </c>
    </row>
    <row r="1285" customFormat="false" ht="15" hidden="false" customHeight="false" outlineLevel="0" collapsed="false">
      <c r="A1285" s="0" t="n">
        <v>1565</v>
      </c>
      <c r="B1285" s="0" t="n">
        <v>16596</v>
      </c>
      <c r="C1285" s="0" t="s">
        <v>6860</v>
      </c>
      <c r="D1285" s="0" t="s">
        <v>13</v>
      </c>
      <c r="E1285" s="0" t="s">
        <v>232</v>
      </c>
      <c r="F1285" s="0" t="s">
        <v>615</v>
      </c>
      <c r="G1285" s="0" t="s">
        <v>18075</v>
      </c>
    </row>
    <row r="1286" customFormat="false" ht="15" hidden="false" customHeight="false" outlineLevel="0" collapsed="false">
      <c r="A1286" s="0" t="n">
        <v>1606</v>
      </c>
      <c r="B1286" s="0" t="n">
        <v>16793</v>
      </c>
      <c r="C1286" s="0" t="s">
        <v>7040</v>
      </c>
      <c r="D1286" s="0" t="s">
        <v>13</v>
      </c>
      <c r="E1286" s="0" t="s">
        <v>39</v>
      </c>
      <c r="F1286" s="0" t="s">
        <v>105</v>
      </c>
      <c r="G1286" s="0" t="s">
        <v>18075</v>
      </c>
    </row>
    <row r="1287" customFormat="false" ht="15" hidden="false" customHeight="false" outlineLevel="0" collapsed="false">
      <c r="A1287" s="0" t="n">
        <v>1607</v>
      </c>
      <c r="B1287" s="0" t="n">
        <v>16836</v>
      </c>
      <c r="C1287" s="0" t="s">
        <v>7045</v>
      </c>
      <c r="D1287" s="0" t="s">
        <v>13</v>
      </c>
      <c r="E1287" s="0" t="s">
        <v>52</v>
      </c>
      <c r="F1287" s="0" t="s">
        <v>728</v>
      </c>
      <c r="G1287" s="0" t="s">
        <v>18075</v>
      </c>
    </row>
    <row r="1288" customFormat="false" ht="15" hidden="false" customHeight="false" outlineLevel="0" collapsed="false">
      <c r="A1288" s="0" t="n">
        <v>1608</v>
      </c>
      <c r="B1288" s="0" t="n">
        <v>16837</v>
      </c>
      <c r="C1288" s="0" t="s">
        <v>7049</v>
      </c>
      <c r="D1288" s="0" t="s">
        <v>13</v>
      </c>
      <c r="E1288" s="0" t="s">
        <v>52</v>
      </c>
      <c r="F1288" s="0" t="s">
        <v>728</v>
      </c>
      <c r="G1288" s="0" t="s">
        <v>18075</v>
      </c>
    </row>
    <row r="1289" customFormat="false" ht="15" hidden="false" customHeight="false" outlineLevel="0" collapsed="false">
      <c r="A1289" s="0" t="n">
        <v>1683</v>
      </c>
      <c r="B1289" s="0" t="n">
        <v>17672</v>
      </c>
      <c r="C1289" s="0" t="s">
        <v>7336</v>
      </c>
      <c r="D1289" s="0" t="s">
        <v>13</v>
      </c>
      <c r="E1289" s="0" t="s">
        <v>232</v>
      </c>
      <c r="F1289" s="0" t="s">
        <v>615</v>
      </c>
      <c r="G1289" s="0" t="s">
        <v>18075</v>
      </c>
    </row>
    <row r="1290" customFormat="false" ht="15" hidden="false" customHeight="false" outlineLevel="0" collapsed="false">
      <c r="A1290" s="0" t="n">
        <v>1702</v>
      </c>
      <c r="B1290" s="0" t="n">
        <v>17818</v>
      </c>
      <c r="C1290" s="0" t="s">
        <v>7413</v>
      </c>
      <c r="D1290" s="0" t="s">
        <v>13</v>
      </c>
      <c r="E1290" s="0" t="s">
        <v>52</v>
      </c>
      <c r="F1290" s="0" t="s">
        <v>728</v>
      </c>
      <c r="G1290" s="0" t="s">
        <v>18075</v>
      </c>
    </row>
    <row r="1291" customFormat="false" ht="15" hidden="false" customHeight="false" outlineLevel="0" collapsed="false">
      <c r="A1291" s="0" t="n">
        <v>1723</v>
      </c>
      <c r="B1291" s="0" t="n">
        <v>17920</v>
      </c>
      <c r="C1291" s="0" t="s">
        <v>7495</v>
      </c>
      <c r="D1291" s="0" t="s">
        <v>13</v>
      </c>
      <c r="E1291" s="0" t="s">
        <v>52</v>
      </c>
      <c r="F1291" s="0" t="s">
        <v>728</v>
      </c>
      <c r="G1291" s="0" t="s">
        <v>18075</v>
      </c>
    </row>
    <row r="1292" customFormat="false" ht="15" hidden="false" customHeight="false" outlineLevel="0" collapsed="false">
      <c r="A1292" s="0" t="n">
        <v>1738</v>
      </c>
      <c r="B1292" s="0" t="n">
        <v>17979</v>
      </c>
      <c r="C1292" s="0" t="s">
        <v>7567</v>
      </c>
      <c r="D1292" s="0" t="s">
        <v>13</v>
      </c>
      <c r="E1292" s="0" t="s">
        <v>232</v>
      </c>
      <c r="F1292" s="0" t="s">
        <v>615</v>
      </c>
      <c r="G1292" s="0" t="s">
        <v>18075</v>
      </c>
    </row>
    <row r="1293" customFormat="false" ht="15" hidden="false" customHeight="false" outlineLevel="0" collapsed="false">
      <c r="A1293" s="0" t="n">
        <v>1741</v>
      </c>
      <c r="B1293" s="0" t="n">
        <v>17987</v>
      </c>
      <c r="C1293" s="0" t="s">
        <v>7577</v>
      </c>
      <c r="D1293" s="0" t="s">
        <v>13</v>
      </c>
      <c r="E1293" s="0" t="s">
        <v>232</v>
      </c>
      <c r="F1293" s="0" t="s">
        <v>615</v>
      </c>
      <c r="G1293" s="0" t="s">
        <v>18075</v>
      </c>
    </row>
    <row r="1294" customFormat="false" ht="15" hidden="false" customHeight="false" outlineLevel="0" collapsed="false">
      <c r="A1294" s="0" t="n">
        <v>1742</v>
      </c>
      <c r="B1294" s="0" t="n">
        <v>17988</v>
      </c>
      <c r="C1294" s="0" t="s">
        <v>7581</v>
      </c>
      <c r="D1294" s="0" t="s">
        <v>13</v>
      </c>
      <c r="E1294" s="0" t="s">
        <v>232</v>
      </c>
      <c r="F1294" s="0" t="s">
        <v>615</v>
      </c>
      <c r="G1294" s="0" t="s">
        <v>18075</v>
      </c>
    </row>
    <row r="1295" customFormat="false" ht="15" hidden="false" customHeight="false" outlineLevel="0" collapsed="false">
      <c r="A1295" s="0" t="n">
        <v>1887</v>
      </c>
      <c r="B1295" s="0" t="n">
        <v>18655</v>
      </c>
      <c r="C1295" s="0" t="s">
        <v>8194</v>
      </c>
      <c r="D1295" s="0" t="s">
        <v>13</v>
      </c>
      <c r="E1295" s="0" t="s">
        <v>52</v>
      </c>
      <c r="F1295" s="0" t="s">
        <v>728</v>
      </c>
      <c r="G1295" s="0" t="s">
        <v>18075</v>
      </c>
    </row>
    <row r="1296" customFormat="false" ht="15" hidden="false" customHeight="false" outlineLevel="0" collapsed="false">
      <c r="A1296" s="0" t="n">
        <v>1888</v>
      </c>
      <c r="B1296" s="0" t="n">
        <v>18656</v>
      </c>
      <c r="C1296" s="0" t="s">
        <v>8199</v>
      </c>
      <c r="D1296" s="0" t="s">
        <v>13</v>
      </c>
      <c r="E1296" s="0" t="s">
        <v>52</v>
      </c>
      <c r="F1296" s="0" t="s">
        <v>728</v>
      </c>
      <c r="G1296" s="0" t="s">
        <v>18075</v>
      </c>
    </row>
    <row r="1297" customFormat="false" ht="15" hidden="false" customHeight="false" outlineLevel="0" collapsed="false">
      <c r="A1297" s="0" t="n">
        <v>1889</v>
      </c>
      <c r="B1297" s="0" t="n">
        <v>18657</v>
      </c>
      <c r="C1297" s="0" t="s">
        <v>8203</v>
      </c>
      <c r="D1297" s="0" t="s">
        <v>13</v>
      </c>
      <c r="E1297" s="0" t="s">
        <v>52</v>
      </c>
      <c r="F1297" s="0" t="s">
        <v>728</v>
      </c>
      <c r="G1297" s="0" t="s">
        <v>18075</v>
      </c>
    </row>
    <row r="1298" customFormat="false" ht="15" hidden="false" customHeight="false" outlineLevel="0" collapsed="false">
      <c r="A1298" s="0" t="n">
        <v>1890</v>
      </c>
      <c r="B1298" s="0" t="n">
        <v>18658</v>
      </c>
      <c r="C1298" s="0" t="s">
        <v>8207</v>
      </c>
      <c r="D1298" s="0" t="s">
        <v>13</v>
      </c>
      <c r="E1298" s="0" t="s">
        <v>52</v>
      </c>
      <c r="F1298" s="0" t="s">
        <v>728</v>
      </c>
      <c r="G1298" s="0" t="s">
        <v>18075</v>
      </c>
    </row>
    <row r="1299" customFormat="false" ht="15" hidden="false" customHeight="false" outlineLevel="0" collapsed="false">
      <c r="A1299" s="0" t="n">
        <v>1893</v>
      </c>
      <c r="B1299" s="0" t="n">
        <v>18687</v>
      </c>
      <c r="C1299" s="0" t="s">
        <v>8221</v>
      </c>
      <c r="D1299" s="0" t="s">
        <v>13</v>
      </c>
      <c r="E1299" s="0" t="s">
        <v>52</v>
      </c>
      <c r="F1299" s="0" t="s">
        <v>728</v>
      </c>
      <c r="G1299" s="0" t="s">
        <v>18075</v>
      </c>
    </row>
    <row r="1300" customFormat="false" ht="15" hidden="false" customHeight="false" outlineLevel="0" collapsed="false">
      <c r="A1300" s="0" t="n">
        <v>1930</v>
      </c>
      <c r="B1300" s="0" t="n">
        <v>18799</v>
      </c>
      <c r="C1300" s="0" t="s">
        <v>8366</v>
      </c>
      <c r="D1300" s="0" t="s">
        <v>13</v>
      </c>
      <c r="E1300" s="0" t="s">
        <v>232</v>
      </c>
      <c r="F1300" s="0" t="s">
        <v>615</v>
      </c>
      <c r="G1300" s="0" t="s">
        <v>18075</v>
      </c>
    </row>
    <row r="1301" customFormat="false" ht="15" hidden="false" customHeight="false" outlineLevel="0" collapsed="false">
      <c r="A1301" s="0" t="n">
        <v>1941</v>
      </c>
      <c r="B1301" s="0" t="n">
        <v>18839</v>
      </c>
      <c r="C1301" s="0" t="s">
        <v>8406</v>
      </c>
      <c r="D1301" s="0" t="s">
        <v>13</v>
      </c>
      <c r="E1301" s="0" t="s">
        <v>52</v>
      </c>
      <c r="F1301" s="0" t="s">
        <v>728</v>
      </c>
      <c r="G1301" s="0" t="s">
        <v>18075</v>
      </c>
    </row>
    <row r="1302" customFormat="false" ht="15" hidden="false" customHeight="false" outlineLevel="0" collapsed="false">
      <c r="A1302" s="0" t="n">
        <v>1944</v>
      </c>
      <c r="B1302" s="0" t="n">
        <v>18847</v>
      </c>
      <c r="C1302" s="0" t="s">
        <v>8418</v>
      </c>
      <c r="D1302" s="0" t="s">
        <v>13</v>
      </c>
      <c r="E1302" s="0" t="s">
        <v>232</v>
      </c>
      <c r="F1302" s="0" t="s">
        <v>615</v>
      </c>
      <c r="G1302" s="0" t="s">
        <v>18075</v>
      </c>
    </row>
    <row r="1303" customFormat="false" ht="15" hidden="false" customHeight="false" outlineLevel="0" collapsed="false">
      <c r="A1303" s="0" t="n">
        <v>1959</v>
      </c>
      <c r="B1303" s="0" t="n">
        <v>18891</v>
      </c>
      <c r="C1303" s="0" t="s">
        <v>8471</v>
      </c>
      <c r="D1303" s="0" t="s">
        <v>13</v>
      </c>
      <c r="E1303" s="0" t="s">
        <v>83</v>
      </c>
      <c r="F1303" s="0" t="s">
        <v>4735</v>
      </c>
      <c r="G1303" s="0" t="s">
        <v>18075</v>
      </c>
    </row>
    <row r="1304" customFormat="false" ht="15" hidden="false" customHeight="false" outlineLevel="0" collapsed="false">
      <c r="A1304" s="0" t="n">
        <v>1977</v>
      </c>
      <c r="B1304" s="0" t="n">
        <v>18967</v>
      </c>
      <c r="C1304" s="0" t="s">
        <v>8543</v>
      </c>
      <c r="D1304" s="0" t="s">
        <v>13</v>
      </c>
      <c r="E1304" s="0" t="s">
        <v>232</v>
      </c>
      <c r="F1304" s="0" t="s">
        <v>615</v>
      </c>
      <c r="G1304" s="0" t="s">
        <v>18075</v>
      </c>
    </row>
    <row r="1305" customFormat="false" ht="15" hidden="false" customHeight="false" outlineLevel="0" collapsed="false">
      <c r="A1305" s="0" t="n">
        <v>1978</v>
      </c>
      <c r="B1305" s="0" t="n">
        <v>18968</v>
      </c>
      <c r="C1305" s="0" t="s">
        <v>8546</v>
      </c>
      <c r="D1305" s="0" t="s">
        <v>13</v>
      </c>
      <c r="E1305" s="0" t="s">
        <v>232</v>
      </c>
      <c r="F1305" s="0" t="s">
        <v>615</v>
      </c>
      <c r="G1305" s="0" t="s">
        <v>18075</v>
      </c>
    </row>
    <row r="1306" customFormat="false" ht="15" hidden="false" customHeight="false" outlineLevel="0" collapsed="false">
      <c r="A1306" s="0" t="n">
        <v>1989</v>
      </c>
      <c r="B1306" s="0" t="n">
        <v>19017</v>
      </c>
      <c r="C1306" s="0" t="s">
        <v>8581</v>
      </c>
      <c r="D1306" s="0" t="s">
        <v>13</v>
      </c>
      <c r="E1306" s="0" t="s">
        <v>232</v>
      </c>
      <c r="F1306" s="0" t="s">
        <v>615</v>
      </c>
      <c r="G1306" s="0" t="s">
        <v>18075</v>
      </c>
    </row>
    <row r="1307" customFormat="false" ht="15" hidden="false" customHeight="false" outlineLevel="0" collapsed="false">
      <c r="A1307" s="0" t="n">
        <v>2050</v>
      </c>
      <c r="B1307" s="0" t="n">
        <v>19166</v>
      </c>
      <c r="C1307" s="0" t="s">
        <v>8844</v>
      </c>
      <c r="D1307" s="0" t="s">
        <v>13</v>
      </c>
      <c r="E1307" s="0" t="s">
        <v>232</v>
      </c>
      <c r="F1307" s="0" t="s">
        <v>615</v>
      </c>
      <c r="G1307" s="0" t="s">
        <v>18075</v>
      </c>
    </row>
    <row r="1308" customFormat="false" ht="15" hidden="false" customHeight="false" outlineLevel="0" collapsed="false">
      <c r="A1308" s="0" t="n">
        <v>2056</v>
      </c>
      <c r="B1308" s="0" t="n">
        <v>19175</v>
      </c>
      <c r="C1308" s="0" t="s">
        <v>8868</v>
      </c>
      <c r="D1308" s="0" t="s">
        <v>13</v>
      </c>
      <c r="E1308" s="0" t="s">
        <v>18079</v>
      </c>
      <c r="F1308" s="0" t="s">
        <v>2434</v>
      </c>
      <c r="G1308" s="0" t="s">
        <v>18075</v>
      </c>
    </row>
    <row r="1309" customFormat="false" ht="15" hidden="false" customHeight="false" outlineLevel="0" collapsed="false">
      <c r="A1309" s="0" t="n">
        <v>2098</v>
      </c>
      <c r="B1309" s="0" t="n">
        <v>19289</v>
      </c>
      <c r="C1309" s="0" t="s">
        <v>9042</v>
      </c>
      <c r="D1309" s="0" t="s">
        <v>13</v>
      </c>
      <c r="E1309" s="0" t="s">
        <v>83</v>
      </c>
      <c r="F1309" s="0" t="s">
        <v>4735</v>
      </c>
      <c r="G1309" s="0" t="s">
        <v>18075</v>
      </c>
    </row>
    <row r="1310" customFormat="false" ht="15" hidden="false" customHeight="false" outlineLevel="0" collapsed="false">
      <c r="A1310" s="0" t="n">
        <v>2101</v>
      </c>
      <c r="B1310" s="0" t="n">
        <v>19288</v>
      </c>
      <c r="C1310" s="0" t="s">
        <v>9057</v>
      </c>
      <c r="D1310" s="0" t="s">
        <v>13</v>
      </c>
      <c r="E1310" s="0" t="s">
        <v>83</v>
      </c>
      <c r="F1310" s="0" t="s">
        <v>4735</v>
      </c>
      <c r="G1310" s="0" t="s">
        <v>18075</v>
      </c>
    </row>
    <row r="1311" customFormat="false" ht="15" hidden="false" customHeight="false" outlineLevel="0" collapsed="false">
      <c r="A1311" s="0" t="n">
        <v>2102</v>
      </c>
      <c r="B1311" s="0" t="n">
        <v>19293</v>
      </c>
      <c r="C1311" s="0" t="s">
        <v>9062</v>
      </c>
      <c r="D1311" s="0" t="s">
        <v>13</v>
      </c>
      <c r="E1311" s="0" t="s">
        <v>83</v>
      </c>
      <c r="F1311" s="0" t="s">
        <v>4735</v>
      </c>
      <c r="G1311" s="0" t="s">
        <v>18075</v>
      </c>
    </row>
    <row r="1312" customFormat="false" ht="15" hidden="false" customHeight="false" outlineLevel="0" collapsed="false">
      <c r="A1312" s="0" t="n">
        <v>2103</v>
      </c>
      <c r="B1312" s="0" t="n">
        <v>19290</v>
      </c>
      <c r="C1312" s="0" t="s">
        <v>9066</v>
      </c>
      <c r="D1312" s="0" t="s">
        <v>13</v>
      </c>
      <c r="E1312" s="0" t="s">
        <v>83</v>
      </c>
      <c r="F1312" s="0" t="s">
        <v>4735</v>
      </c>
      <c r="G1312" s="0" t="s">
        <v>18075</v>
      </c>
    </row>
    <row r="1313" customFormat="false" ht="15" hidden="false" customHeight="false" outlineLevel="0" collapsed="false">
      <c r="A1313" s="0" t="n">
        <v>2104</v>
      </c>
      <c r="B1313" s="0" t="n">
        <v>19291</v>
      </c>
      <c r="C1313" s="0" t="s">
        <v>9071</v>
      </c>
      <c r="D1313" s="0" t="s">
        <v>13</v>
      </c>
      <c r="E1313" s="0" t="s">
        <v>83</v>
      </c>
      <c r="F1313" s="0" t="s">
        <v>4735</v>
      </c>
      <c r="G1313" s="0" t="s">
        <v>18075</v>
      </c>
    </row>
    <row r="1314" customFormat="false" ht="15" hidden="false" customHeight="false" outlineLevel="0" collapsed="false">
      <c r="A1314" s="0" t="n">
        <v>2105</v>
      </c>
      <c r="B1314" s="0" t="n">
        <v>19292</v>
      </c>
      <c r="C1314" s="0" t="s">
        <v>9076</v>
      </c>
      <c r="D1314" s="0" t="s">
        <v>13</v>
      </c>
      <c r="E1314" s="0" t="s">
        <v>83</v>
      </c>
      <c r="F1314" s="0" t="s">
        <v>4735</v>
      </c>
      <c r="G1314" s="0" t="s">
        <v>18075</v>
      </c>
    </row>
    <row r="1315" customFormat="false" ht="15" hidden="false" customHeight="false" outlineLevel="0" collapsed="false">
      <c r="A1315" s="0" t="n">
        <v>2120</v>
      </c>
      <c r="B1315" s="0" t="n">
        <v>19314</v>
      </c>
      <c r="C1315" s="0" t="s">
        <v>9123</v>
      </c>
      <c r="D1315" s="0" t="s">
        <v>13</v>
      </c>
      <c r="E1315" s="0" t="s">
        <v>232</v>
      </c>
      <c r="F1315" s="0" t="s">
        <v>615</v>
      </c>
      <c r="G1315" s="0" t="s">
        <v>18075</v>
      </c>
    </row>
    <row r="1316" customFormat="false" ht="15" hidden="false" customHeight="false" outlineLevel="0" collapsed="false">
      <c r="A1316" s="0" t="n">
        <v>2160</v>
      </c>
      <c r="B1316" s="0" t="n">
        <v>19476</v>
      </c>
      <c r="C1316" s="0" t="s">
        <v>9290</v>
      </c>
      <c r="D1316" s="0" t="s">
        <v>13</v>
      </c>
      <c r="E1316" s="0" t="s">
        <v>52</v>
      </c>
      <c r="F1316" s="0" t="s">
        <v>728</v>
      </c>
      <c r="G1316" s="0" t="s">
        <v>18075</v>
      </c>
    </row>
    <row r="1317" customFormat="false" ht="15" hidden="false" customHeight="false" outlineLevel="0" collapsed="false">
      <c r="A1317" s="0" t="n">
        <v>2216</v>
      </c>
      <c r="B1317" s="0" t="n">
        <v>19572</v>
      </c>
      <c r="C1317" s="0" t="s">
        <v>9486</v>
      </c>
      <c r="D1317" s="0" t="s">
        <v>13</v>
      </c>
      <c r="E1317" s="0" t="s">
        <v>83</v>
      </c>
      <c r="F1317" s="0" t="s">
        <v>4735</v>
      </c>
      <c r="G1317" s="0" t="s">
        <v>18075</v>
      </c>
    </row>
    <row r="1318" customFormat="false" ht="15" hidden="false" customHeight="false" outlineLevel="0" collapsed="false">
      <c r="A1318" s="0" t="n">
        <v>2269</v>
      </c>
      <c r="B1318" s="0" t="n">
        <v>19720</v>
      </c>
      <c r="C1318" s="0" t="s">
        <v>9709</v>
      </c>
      <c r="D1318" s="0" t="s">
        <v>13</v>
      </c>
      <c r="E1318" s="0" t="s">
        <v>752</v>
      </c>
      <c r="F1318" s="0" t="s">
        <v>749</v>
      </c>
      <c r="G1318" s="0" t="s">
        <v>18075</v>
      </c>
    </row>
    <row r="1319" customFormat="false" ht="15" hidden="false" customHeight="false" outlineLevel="0" collapsed="false">
      <c r="A1319" s="0" t="n">
        <v>2280</v>
      </c>
      <c r="B1319" s="0" t="n">
        <v>19745</v>
      </c>
      <c r="C1319" s="0" t="s">
        <v>9757</v>
      </c>
      <c r="D1319" s="0" t="s">
        <v>13</v>
      </c>
      <c r="E1319" s="0" t="s">
        <v>83</v>
      </c>
      <c r="F1319" s="0" t="s">
        <v>4735</v>
      </c>
      <c r="G1319" s="0" t="s">
        <v>18075</v>
      </c>
    </row>
    <row r="1320" customFormat="false" ht="15" hidden="false" customHeight="false" outlineLevel="0" collapsed="false">
      <c r="A1320" s="0" t="n">
        <v>2281</v>
      </c>
      <c r="B1320" s="0" t="n">
        <v>19746</v>
      </c>
      <c r="C1320" s="0" t="s">
        <v>7168</v>
      </c>
      <c r="D1320" s="0" t="s">
        <v>13</v>
      </c>
      <c r="E1320" s="0" t="s">
        <v>83</v>
      </c>
      <c r="F1320" s="0" t="s">
        <v>4735</v>
      </c>
      <c r="G1320" s="0" t="s">
        <v>18075</v>
      </c>
    </row>
    <row r="1321" customFormat="false" ht="15" hidden="false" customHeight="false" outlineLevel="0" collapsed="false">
      <c r="A1321" s="0" t="n">
        <v>2318</v>
      </c>
      <c r="B1321" s="0" t="n">
        <v>19833</v>
      </c>
      <c r="C1321" s="0" t="s">
        <v>9923</v>
      </c>
      <c r="D1321" s="0" t="s">
        <v>13</v>
      </c>
      <c r="E1321" s="0" t="s">
        <v>83</v>
      </c>
      <c r="F1321" s="0" t="s">
        <v>4735</v>
      </c>
      <c r="G1321" s="0" t="s">
        <v>18075</v>
      </c>
    </row>
    <row r="1322" customFormat="false" ht="15" hidden="false" customHeight="false" outlineLevel="0" collapsed="false">
      <c r="A1322" s="0" t="n">
        <v>2319</v>
      </c>
      <c r="B1322" s="0" t="n">
        <v>19834</v>
      </c>
      <c r="C1322" s="0" t="s">
        <v>9928</v>
      </c>
      <c r="D1322" s="0" t="s">
        <v>13</v>
      </c>
      <c r="E1322" s="0" t="s">
        <v>83</v>
      </c>
      <c r="F1322" s="0" t="s">
        <v>4735</v>
      </c>
      <c r="G1322" s="0" t="s">
        <v>18075</v>
      </c>
    </row>
    <row r="1323" customFormat="false" ht="15" hidden="false" customHeight="false" outlineLevel="0" collapsed="false">
      <c r="A1323" s="0" t="n">
        <v>2452</v>
      </c>
      <c r="B1323" s="0" t="n">
        <v>20091</v>
      </c>
      <c r="C1323" s="0" t="s">
        <v>10514</v>
      </c>
      <c r="D1323" s="0" t="s">
        <v>13</v>
      </c>
      <c r="E1323" s="0" t="s">
        <v>6291</v>
      </c>
      <c r="F1323" s="0" t="s">
        <v>4557</v>
      </c>
      <c r="G1323" s="0" t="s">
        <v>18075</v>
      </c>
    </row>
    <row r="1324" customFormat="false" ht="15" hidden="false" customHeight="false" outlineLevel="0" collapsed="false">
      <c r="A1324" s="0" t="n">
        <v>2458</v>
      </c>
      <c r="B1324" s="0" t="n">
        <v>20097</v>
      </c>
      <c r="C1324" s="0" t="s">
        <v>10547</v>
      </c>
      <c r="D1324" s="0" t="s">
        <v>13</v>
      </c>
      <c r="E1324" s="0" t="s">
        <v>6556</v>
      </c>
      <c r="F1324" s="0" t="s">
        <v>10550</v>
      </c>
      <c r="G1324" s="0" t="s">
        <v>18075</v>
      </c>
    </row>
    <row r="1325" customFormat="false" ht="15" hidden="false" customHeight="false" outlineLevel="0" collapsed="false">
      <c r="A1325" s="0" t="n">
        <v>2535</v>
      </c>
      <c r="B1325" s="0" t="n">
        <v>20292</v>
      </c>
      <c r="C1325" s="0" t="s">
        <v>10882</v>
      </c>
      <c r="D1325" s="0" t="s">
        <v>13</v>
      </c>
      <c r="E1325" s="0" t="s">
        <v>6291</v>
      </c>
      <c r="F1325" s="0" t="s">
        <v>4557</v>
      </c>
      <c r="G1325" s="0" t="s">
        <v>18075</v>
      </c>
    </row>
    <row r="1326" customFormat="false" ht="15" hidden="false" customHeight="false" outlineLevel="0" collapsed="false">
      <c r="A1326" s="0" t="n">
        <v>2550</v>
      </c>
      <c r="B1326" s="0" t="n">
        <v>20319</v>
      </c>
      <c r="C1326" s="0" t="s">
        <v>10935</v>
      </c>
      <c r="D1326" s="0" t="s">
        <v>13</v>
      </c>
      <c r="E1326" s="0" t="s">
        <v>52</v>
      </c>
      <c r="F1326" s="0" t="s">
        <v>728</v>
      </c>
      <c r="G1326" s="0" t="s">
        <v>18075</v>
      </c>
    </row>
    <row r="1327" customFormat="false" ht="15" hidden="false" customHeight="false" outlineLevel="0" collapsed="false">
      <c r="A1327" s="0" t="n">
        <v>2552</v>
      </c>
      <c r="B1327" s="0" t="n">
        <v>20321</v>
      </c>
      <c r="C1327" s="0" t="s">
        <v>10943</v>
      </c>
      <c r="D1327" s="0" t="s">
        <v>13</v>
      </c>
      <c r="E1327" s="0" t="s">
        <v>83</v>
      </c>
      <c r="F1327" s="0" t="s">
        <v>4735</v>
      </c>
      <c r="G1327" s="0" t="s">
        <v>18075</v>
      </c>
    </row>
    <row r="1328" customFormat="false" ht="15" hidden="false" customHeight="false" outlineLevel="0" collapsed="false">
      <c r="A1328" s="0" t="n">
        <v>2642</v>
      </c>
      <c r="B1328" s="0" t="n">
        <v>20569</v>
      </c>
      <c r="C1328" s="0" t="s">
        <v>11301</v>
      </c>
      <c r="D1328" s="0" t="s">
        <v>13</v>
      </c>
      <c r="E1328" s="0" t="s">
        <v>260</v>
      </c>
      <c r="F1328" s="0" t="s">
        <v>3576</v>
      </c>
      <c r="G1328" s="0" t="s">
        <v>18075</v>
      </c>
    </row>
    <row r="1329" customFormat="false" ht="15" hidden="false" customHeight="false" outlineLevel="0" collapsed="false">
      <c r="A1329" s="0" t="n">
        <v>2644</v>
      </c>
      <c r="B1329" s="0" t="n">
        <v>20567</v>
      </c>
      <c r="C1329" s="0" t="s">
        <v>11308</v>
      </c>
      <c r="D1329" s="0" t="s">
        <v>13</v>
      </c>
      <c r="E1329" s="0" t="s">
        <v>52</v>
      </c>
      <c r="F1329" s="0" t="s">
        <v>728</v>
      </c>
      <c r="G1329" s="0" t="s">
        <v>18075</v>
      </c>
    </row>
    <row r="1330" customFormat="false" ht="15" hidden="false" customHeight="false" outlineLevel="0" collapsed="false">
      <c r="A1330" s="0" t="n">
        <v>2646</v>
      </c>
      <c r="B1330" s="0" t="n">
        <v>23006</v>
      </c>
      <c r="C1330" s="0" t="s">
        <v>11316</v>
      </c>
      <c r="D1330" s="0" t="s">
        <v>13</v>
      </c>
      <c r="E1330" s="0" t="s">
        <v>6556</v>
      </c>
      <c r="F1330" s="0" t="s">
        <v>10550</v>
      </c>
      <c r="G1330" s="0" t="s">
        <v>18075</v>
      </c>
    </row>
    <row r="1331" customFormat="false" ht="15" hidden="false" customHeight="false" outlineLevel="0" collapsed="false">
      <c r="A1331" s="0" t="n">
        <v>2672</v>
      </c>
      <c r="B1331" s="0" t="n">
        <v>20631</v>
      </c>
      <c r="C1331" s="0" t="s">
        <v>11403</v>
      </c>
      <c r="D1331" s="0" t="s">
        <v>13</v>
      </c>
      <c r="E1331" s="0" t="s">
        <v>52</v>
      </c>
      <c r="F1331" s="0" t="s">
        <v>728</v>
      </c>
      <c r="G1331" s="0" t="s">
        <v>18075</v>
      </c>
    </row>
    <row r="1332" customFormat="false" ht="15" hidden="false" customHeight="false" outlineLevel="0" collapsed="false">
      <c r="A1332" s="0" t="n">
        <v>2674</v>
      </c>
      <c r="B1332" s="0" t="n">
        <v>20634</v>
      </c>
      <c r="C1332" s="0" t="s">
        <v>11412</v>
      </c>
      <c r="D1332" s="0" t="s">
        <v>13</v>
      </c>
      <c r="E1332" s="0" t="s">
        <v>52</v>
      </c>
      <c r="F1332" s="0" t="s">
        <v>728</v>
      </c>
      <c r="G1332" s="0" t="s">
        <v>18075</v>
      </c>
    </row>
    <row r="1333" customFormat="false" ht="15" hidden="false" customHeight="false" outlineLevel="0" collapsed="false">
      <c r="A1333" s="0" t="n">
        <v>2768</v>
      </c>
      <c r="B1333" s="0" t="n">
        <v>20952</v>
      </c>
      <c r="C1333" s="0" t="s">
        <v>11750</v>
      </c>
      <c r="D1333" s="0" t="s">
        <v>13</v>
      </c>
      <c r="E1333" s="0" t="s">
        <v>52</v>
      </c>
      <c r="F1333" s="0" t="s">
        <v>728</v>
      </c>
      <c r="G1333" s="0" t="s">
        <v>18075</v>
      </c>
    </row>
    <row r="1334" customFormat="false" ht="15" hidden="false" customHeight="false" outlineLevel="0" collapsed="false">
      <c r="A1334" s="0" t="n">
        <v>2818</v>
      </c>
      <c r="B1334" s="0" t="n">
        <v>21053</v>
      </c>
      <c r="C1334" s="0" t="s">
        <v>11939</v>
      </c>
      <c r="D1334" s="0" t="s">
        <v>13</v>
      </c>
      <c r="E1334" s="0" t="s">
        <v>83</v>
      </c>
      <c r="F1334" s="0" t="s">
        <v>4735</v>
      </c>
      <c r="G1334" s="0" t="s">
        <v>18075</v>
      </c>
    </row>
    <row r="1335" customFormat="false" ht="15" hidden="false" customHeight="false" outlineLevel="0" collapsed="false">
      <c r="A1335" s="0" t="n">
        <v>2931</v>
      </c>
      <c r="B1335" s="0" t="n">
        <v>21390</v>
      </c>
      <c r="C1335" s="0" t="s">
        <v>12340</v>
      </c>
      <c r="D1335" s="0" t="s">
        <v>13</v>
      </c>
      <c r="E1335" s="0" t="s">
        <v>39</v>
      </c>
      <c r="F1335" s="0" t="s">
        <v>105</v>
      </c>
      <c r="G1335" s="0" t="s">
        <v>18075</v>
      </c>
    </row>
    <row r="1336" customFormat="false" ht="15" hidden="false" customHeight="false" outlineLevel="0" collapsed="false">
      <c r="A1336" s="0" t="n">
        <v>3057</v>
      </c>
      <c r="B1336" s="0" t="n">
        <v>21616</v>
      </c>
      <c r="C1336" s="0" t="s">
        <v>12774</v>
      </c>
      <c r="D1336" s="0" t="s">
        <v>13</v>
      </c>
      <c r="E1336" s="0" t="s">
        <v>52</v>
      </c>
      <c r="F1336" s="0" t="s">
        <v>728</v>
      </c>
      <c r="G1336" s="0" t="s">
        <v>18075</v>
      </c>
    </row>
    <row r="1337" customFormat="false" ht="15" hidden="false" customHeight="false" outlineLevel="0" collapsed="false">
      <c r="A1337" s="0" t="n">
        <v>3214</v>
      </c>
      <c r="B1337" s="0" t="n">
        <v>21812</v>
      </c>
      <c r="C1337" s="0" t="s">
        <v>13338</v>
      </c>
      <c r="D1337" s="0" t="s">
        <v>13</v>
      </c>
      <c r="E1337" s="0" t="s">
        <v>83</v>
      </c>
      <c r="F1337" s="0" t="s">
        <v>4735</v>
      </c>
      <c r="G1337" s="0" t="s">
        <v>18075</v>
      </c>
    </row>
    <row r="1338" customFormat="false" ht="15" hidden="false" customHeight="false" outlineLevel="0" collapsed="false">
      <c r="A1338" s="0" t="n">
        <v>3215</v>
      </c>
      <c r="B1338" s="0" t="n">
        <v>21813</v>
      </c>
      <c r="C1338" s="0" t="s">
        <v>13342</v>
      </c>
      <c r="D1338" s="0" t="s">
        <v>13</v>
      </c>
      <c r="E1338" s="0" t="s">
        <v>83</v>
      </c>
      <c r="F1338" s="0" t="s">
        <v>4735</v>
      </c>
      <c r="G1338" s="0" t="s">
        <v>18075</v>
      </c>
    </row>
    <row r="1339" customFormat="false" ht="15" hidden="false" customHeight="false" outlineLevel="0" collapsed="false">
      <c r="A1339" s="0" t="n">
        <v>3217</v>
      </c>
      <c r="B1339" s="0" t="n">
        <v>21815</v>
      </c>
      <c r="C1339" s="0" t="s">
        <v>13349</v>
      </c>
      <c r="D1339" s="0" t="s">
        <v>13</v>
      </c>
      <c r="E1339" s="0" t="s">
        <v>83</v>
      </c>
      <c r="F1339" s="0" t="s">
        <v>4735</v>
      </c>
      <c r="G1339" s="0" t="s">
        <v>18075</v>
      </c>
    </row>
    <row r="1340" customFormat="false" ht="15" hidden="false" customHeight="false" outlineLevel="0" collapsed="false">
      <c r="A1340" s="0" t="n">
        <v>3220</v>
      </c>
      <c r="B1340" s="0" t="n">
        <v>22405</v>
      </c>
      <c r="C1340" s="0" t="s">
        <v>13362</v>
      </c>
      <c r="D1340" s="0" t="s">
        <v>13</v>
      </c>
      <c r="E1340" s="0" t="s">
        <v>13365</v>
      </c>
      <c r="F1340" s="0" t="s">
        <v>2363</v>
      </c>
      <c r="G1340" s="0" t="s">
        <v>18075</v>
      </c>
    </row>
    <row r="1341" customFormat="false" ht="15" hidden="false" customHeight="false" outlineLevel="0" collapsed="false">
      <c r="A1341" s="0" t="n">
        <v>3223</v>
      </c>
      <c r="B1341" s="0" t="n">
        <v>21821</v>
      </c>
      <c r="C1341" s="0" t="s">
        <v>13374</v>
      </c>
      <c r="D1341" s="0" t="s">
        <v>13</v>
      </c>
      <c r="E1341" s="0" t="s">
        <v>52</v>
      </c>
      <c r="F1341" s="0" t="s">
        <v>728</v>
      </c>
      <c r="G1341" s="0" t="s">
        <v>18075</v>
      </c>
    </row>
    <row r="1342" customFormat="false" ht="15" hidden="false" customHeight="false" outlineLevel="0" collapsed="false">
      <c r="A1342" s="0" t="n">
        <v>3225</v>
      </c>
      <c r="B1342" s="0" t="n">
        <v>21823</v>
      </c>
      <c r="C1342" s="0" t="s">
        <v>13380</v>
      </c>
      <c r="D1342" s="0" t="s">
        <v>13</v>
      </c>
      <c r="E1342" s="0" t="s">
        <v>52</v>
      </c>
      <c r="F1342" s="0" t="s">
        <v>728</v>
      </c>
      <c r="G1342" s="0" t="s">
        <v>18075</v>
      </c>
    </row>
    <row r="1343" customFormat="false" ht="15" hidden="false" customHeight="false" outlineLevel="0" collapsed="false">
      <c r="A1343" s="0" t="n">
        <v>3226</v>
      </c>
      <c r="B1343" s="0" t="n">
        <v>21824</v>
      </c>
      <c r="C1343" s="0" t="s">
        <v>13384</v>
      </c>
      <c r="D1343" s="0" t="s">
        <v>13</v>
      </c>
      <c r="E1343" s="0" t="s">
        <v>52</v>
      </c>
      <c r="F1343" s="0" t="s">
        <v>728</v>
      </c>
      <c r="G1343" s="0" t="s">
        <v>18075</v>
      </c>
    </row>
    <row r="1344" customFormat="false" ht="15" hidden="false" customHeight="false" outlineLevel="0" collapsed="false">
      <c r="A1344" s="0" t="n">
        <v>3227</v>
      </c>
      <c r="B1344" s="0" t="n">
        <v>21825</v>
      </c>
      <c r="C1344" s="0" t="s">
        <v>13388</v>
      </c>
      <c r="D1344" s="0" t="s">
        <v>13</v>
      </c>
      <c r="E1344" s="0" t="s">
        <v>52</v>
      </c>
      <c r="F1344" s="0" t="s">
        <v>728</v>
      </c>
      <c r="G1344" s="0" t="s">
        <v>18075</v>
      </c>
    </row>
    <row r="1345" customFormat="false" ht="15" hidden="false" customHeight="false" outlineLevel="0" collapsed="false">
      <c r="A1345" s="0" t="n">
        <v>3228</v>
      </c>
      <c r="B1345" s="0" t="n">
        <v>21826</v>
      </c>
      <c r="C1345" s="0" t="s">
        <v>13392</v>
      </c>
      <c r="D1345" s="0" t="s">
        <v>13</v>
      </c>
      <c r="E1345" s="0" t="s">
        <v>52</v>
      </c>
      <c r="F1345" s="0" t="s">
        <v>728</v>
      </c>
      <c r="G1345" s="0" t="s">
        <v>18075</v>
      </c>
    </row>
    <row r="1346" customFormat="false" ht="15" hidden="false" customHeight="false" outlineLevel="0" collapsed="false">
      <c r="A1346" s="0" t="n">
        <v>3229</v>
      </c>
      <c r="B1346" s="0" t="n">
        <v>21827</v>
      </c>
      <c r="C1346" s="0" t="s">
        <v>13396</v>
      </c>
      <c r="D1346" s="0" t="s">
        <v>13</v>
      </c>
      <c r="E1346" s="0" t="s">
        <v>52</v>
      </c>
      <c r="F1346" s="0" t="s">
        <v>728</v>
      </c>
      <c r="G1346" s="0" t="s">
        <v>18075</v>
      </c>
    </row>
    <row r="1347" customFormat="false" ht="15" hidden="false" customHeight="false" outlineLevel="0" collapsed="false">
      <c r="A1347" s="0" t="n">
        <v>3246</v>
      </c>
      <c r="B1347" s="0" t="n">
        <v>21845</v>
      </c>
      <c r="C1347" s="0" t="s">
        <v>13451</v>
      </c>
      <c r="D1347" s="0" t="s">
        <v>13</v>
      </c>
      <c r="E1347" s="0" t="s">
        <v>52</v>
      </c>
      <c r="F1347" s="0" t="s">
        <v>728</v>
      </c>
      <c r="G1347" s="0" t="s">
        <v>18075</v>
      </c>
    </row>
    <row r="1348" customFormat="false" ht="15" hidden="false" customHeight="false" outlineLevel="0" collapsed="false">
      <c r="A1348" s="0" t="n">
        <v>3269</v>
      </c>
      <c r="B1348" s="0" t="n">
        <v>21868</v>
      </c>
      <c r="C1348" s="0" t="s">
        <v>13540</v>
      </c>
      <c r="D1348" s="0" t="s">
        <v>13</v>
      </c>
      <c r="E1348" s="0" t="s">
        <v>6556</v>
      </c>
      <c r="F1348" s="0" t="s">
        <v>10550</v>
      </c>
      <c r="G1348" s="0" t="s">
        <v>18075</v>
      </c>
    </row>
    <row r="1349" customFormat="false" ht="15" hidden="false" customHeight="false" outlineLevel="0" collapsed="false">
      <c r="A1349" s="0" t="n">
        <v>3371</v>
      </c>
      <c r="B1349" s="0" t="n">
        <v>21986</v>
      </c>
      <c r="C1349" s="0" t="s">
        <v>13882</v>
      </c>
      <c r="D1349" s="0" t="s">
        <v>13</v>
      </c>
      <c r="E1349" s="0" t="s">
        <v>83</v>
      </c>
      <c r="F1349" s="0" t="s">
        <v>4735</v>
      </c>
      <c r="G1349" s="0" t="s">
        <v>18075</v>
      </c>
    </row>
    <row r="1350" customFormat="false" ht="15" hidden="false" customHeight="false" outlineLevel="0" collapsed="false">
      <c r="A1350" s="0" t="n">
        <v>3372</v>
      </c>
      <c r="B1350" s="0" t="n">
        <v>21987</v>
      </c>
      <c r="C1350" s="0" t="s">
        <v>13888</v>
      </c>
      <c r="D1350" s="0" t="s">
        <v>13</v>
      </c>
      <c r="E1350" s="0" t="s">
        <v>52</v>
      </c>
      <c r="F1350" s="0" t="s">
        <v>728</v>
      </c>
      <c r="G1350" s="0" t="s">
        <v>18075</v>
      </c>
    </row>
    <row r="1351" customFormat="false" ht="15" hidden="false" customHeight="false" outlineLevel="0" collapsed="false">
      <c r="A1351" s="0" t="n">
        <v>3464</v>
      </c>
      <c r="B1351" s="0" t="n">
        <v>22080</v>
      </c>
      <c r="C1351" s="0" t="s">
        <v>14184</v>
      </c>
      <c r="D1351" s="0" t="s">
        <v>13</v>
      </c>
      <c r="E1351" s="0" t="s">
        <v>52</v>
      </c>
      <c r="F1351" s="0" t="s">
        <v>728</v>
      </c>
      <c r="G1351" s="0" t="s">
        <v>18075</v>
      </c>
    </row>
    <row r="1352" customFormat="false" ht="15" hidden="false" customHeight="false" outlineLevel="0" collapsed="false">
      <c r="A1352" s="0" t="n">
        <v>3465</v>
      </c>
      <c r="B1352" s="0" t="n">
        <v>22081</v>
      </c>
      <c r="C1352" s="0" t="s">
        <v>14188</v>
      </c>
      <c r="D1352" s="0" t="s">
        <v>13</v>
      </c>
      <c r="E1352" s="0" t="s">
        <v>52</v>
      </c>
      <c r="F1352" s="0" t="s">
        <v>728</v>
      </c>
      <c r="G1352" s="0" t="s">
        <v>18075</v>
      </c>
    </row>
    <row r="1353" customFormat="false" ht="15" hidden="false" customHeight="false" outlineLevel="0" collapsed="false">
      <c r="A1353" s="0" t="n">
        <v>3466</v>
      </c>
      <c r="B1353" s="0" t="n">
        <v>22082</v>
      </c>
      <c r="C1353" s="0" t="s">
        <v>14191</v>
      </c>
      <c r="D1353" s="0" t="s">
        <v>13</v>
      </c>
      <c r="E1353" s="0" t="s">
        <v>52</v>
      </c>
      <c r="F1353" s="0" t="s">
        <v>728</v>
      </c>
      <c r="G1353" s="0" t="s">
        <v>18075</v>
      </c>
    </row>
    <row r="1354" customFormat="false" ht="15" hidden="false" customHeight="false" outlineLevel="0" collapsed="false">
      <c r="A1354" s="0" t="n">
        <v>3467</v>
      </c>
      <c r="B1354" s="0" t="n">
        <v>22083</v>
      </c>
      <c r="C1354" s="0" t="s">
        <v>14194</v>
      </c>
      <c r="D1354" s="0" t="s">
        <v>13</v>
      </c>
      <c r="E1354" s="0" t="s">
        <v>52</v>
      </c>
      <c r="F1354" s="0" t="s">
        <v>728</v>
      </c>
      <c r="G1354" s="0" t="s">
        <v>18075</v>
      </c>
    </row>
    <row r="1355" customFormat="false" ht="15" hidden="false" customHeight="false" outlineLevel="0" collapsed="false">
      <c r="A1355" s="0" t="n">
        <v>3468</v>
      </c>
      <c r="B1355" s="0" t="n">
        <v>22084</v>
      </c>
      <c r="C1355" s="0" t="s">
        <v>14197</v>
      </c>
      <c r="D1355" s="0" t="s">
        <v>13</v>
      </c>
      <c r="E1355" s="0" t="s">
        <v>52</v>
      </c>
      <c r="F1355" s="0" t="s">
        <v>728</v>
      </c>
      <c r="G1355" s="0" t="s">
        <v>18075</v>
      </c>
    </row>
    <row r="1356" customFormat="false" ht="15" hidden="false" customHeight="false" outlineLevel="0" collapsed="false">
      <c r="A1356" s="0" t="n">
        <v>3469</v>
      </c>
      <c r="B1356" s="0" t="n">
        <v>22085</v>
      </c>
      <c r="C1356" s="0" t="s">
        <v>14200</v>
      </c>
      <c r="D1356" s="0" t="s">
        <v>13</v>
      </c>
      <c r="E1356" s="0" t="s">
        <v>52</v>
      </c>
      <c r="F1356" s="0" t="s">
        <v>728</v>
      </c>
      <c r="G1356" s="0" t="s">
        <v>18075</v>
      </c>
    </row>
    <row r="1357" customFormat="false" ht="15" hidden="false" customHeight="false" outlineLevel="0" collapsed="false">
      <c r="A1357" s="0" t="n">
        <v>3470</v>
      </c>
      <c r="B1357" s="0" t="n">
        <v>22086</v>
      </c>
      <c r="C1357" s="0" t="s">
        <v>14204</v>
      </c>
      <c r="D1357" s="0" t="s">
        <v>13</v>
      </c>
      <c r="E1357" s="0" t="s">
        <v>52</v>
      </c>
      <c r="F1357" s="0" t="s">
        <v>728</v>
      </c>
      <c r="G1357" s="0" t="s">
        <v>18075</v>
      </c>
    </row>
    <row r="1358" customFormat="false" ht="15" hidden="false" customHeight="false" outlineLevel="0" collapsed="false">
      <c r="A1358" s="0" t="n">
        <v>3471</v>
      </c>
      <c r="B1358" s="0" t="n">
        <v>22087</v>
      </c>
      <c r="C1358" s="0" t="s">
        <v>14207</v>
      </c>
      <c r="D1358" s="0" t="s">
        <v>13</v>
      </c>
      <c r="E1358" s="0" t="s">
        <v>52</v>
      </c>
      <c r="F1358" s="0" t="s">
        <v>728</v>
      </c>
      <c r="G1358" s="0" t="s">
        <v>18075</v>
      </c>
    </row>
    <row r="1359" customFormat="false" ht="15" hidden="false" customHeight="false" outlineLevel="0" collapsed="false">
      <c r="A1359" s="0" t="n">
        <v>3501</v>
      </c>
      <c r="B1359" s="0" t="n">
        <v>22119</v>
      </c>
      <c r="C1359" s="0" t="s">
        <v>14311</v>
      </c>
      <c r="D1359" s="0" t="s">
        <v>13</v>
      </c>
      <c r="E1359" s="0" t="s">
        <v>52</v>
      </c>
      <c r="F1359" s="0" t="s">
        <v>728</v>
      </c>
      <c r="G1359" s="0" t="s">
        <v>18075</v>
      </c>
    </row>
    <row r="1360" customFormat="false" ht="15" hidden="false" customHeight="false" outlineLevel="0" collapsed="false">
      <c r="A1360" s="0" t="n">
        <v>3502</v>
      </c>
      <c r="B1360" s="0" t="n">
        <v>22120</v>
      </c>
      <c r="C1360" s="0" t="s">
        <v>14314</v>
      </c>
      <c r="D1360" s="0" t="s">
        <v>13</v>
      </c>
      <c r="E1360" s="0" t="s">
        <v>52</v>
      </c>
      <c r="F1360" s="0" t="s">
        <v>728</v>
      </c>
      <c r="G1360" s="0" t="s">
        <v>18075</v>
      </c>
    </row>
    <row r="1361" customFormat="false" ht="15" hidden="false" customHeight="false" outlineLevel="0" collapsed="false">
      <c r="A1361" s="0" t="n">
        <v>3505</v>
      </c>
      <c r="B1361" s="0" t="n">
        <v>22123</v>
      </c>
      <c r="C1361" s="0" t="s">
        <v>14327</v>
      </c>
      <c r="D1361" s="0" t="s">
        <v>13</v>
      </c>
      <c r="E1361" s="0" t="s">
        <v>83</v>
      </c>
      <c r="F1361" s="0" t="s">
        <v>4735</v>
      </c>
      <c r="G1361" s="0" t="s">
        <v>18075</v>
      </c>
    </row>
    <row r="1362" customFormat="false" ht="15" hidden="false" customHeight="false" outlineLevel="0" collapsed="false">
      <c r="A1362" s="0" t="n">
        <v>3559</v>
      </c>
      <c r="B1362" s="0" t="n">
        <v>22177</v>
      </c>
      <c r="C1362" s="0" t="s">
        <v>14505</v>
      </c>
      <c r="D1362" s="0" t="s">
        <v>13</v>
      </c>
      <c r="E1362" s="0" t="s">
        <v>39</v>
      </c>
      <c r="F1362" s="0" t="s">
        <v>105</v>
      </c>
      <c r="G1362" s="0" t="s">
        <v>18075</v>
      </c>
    </row>
    <row r="1363" customFormat="false" ht="15" hidden="false" customHeight="false" outlineLevel="0" collapsed="false">
      <c r="A1363" s="0" t="n">
        <v>3593</v>
      </c>
      <c r="B1363" s="0" t="n">
        <v>22211</v>
      </c>
      <c r="C1363" s="0" t="s">
        <v>14634</v>
      </c>
      <c r="D1363" s="0" t="s">
        <v>13</v>
      </c>
      <c r="E1363" s="0" t="s">
        <v>52</v>
      </c>
      <c r="F1363" s="0" t="s">
        <v>728</v>
      </c>
      <c r="G1363" s="0" t="s">
        <v>18075</v>
      </c>
    </row>
    <row r="1364" customFormat="false" ht="15" hidden="false" customHeight="false" outlineLevel="0" collapsed="false">
      <c r="A1364" s="0" t="n">
        <v>3594</v>
      </c>
      <c r="B1364" s="0" t="n">
        <v>22212</v>
      </c>
      <c r="C1364" s="0" t="s">
        <v>14637</v>
      </c>
      <c r="D1364" s="0" t="s">
        <v>13</v>
      </c>
      <c r="E1364" s="0" t="s">
        <v>52</v>
      </c>
      <c r="F1364" s="0" t="s">
        <v>728</v>
      </c>
      <c r="G1364" s="0" t="s">
        <v>18075</v>
      </c>
    </row>
    <row r="1365" customFormat="false" ht="15" hidden="false" customHeight="false" outlineLevel="0" collapsed="false">
      <c r="A1365" s="0" t="n">
        <v>3595</v>
      </c>
      <c r="B1365" s="0" t="n">
        <v>22213</v>
      </c>
      <c r="C1365" s="0" t="s">
        <v>14640</v>
      </c>
      <c r="D1365" s="0" t="s">
        <v>13</v>
      </c>
      <c r="E1365" s="0" t="s">
        <v>52</v>
      </c>
      <c r="F1365" s="0" t="s">
        <v>728</v>
      </c>
      <c r="G1365" s="0" t="s">
        <v>18075</v>
      </c>
    </row>
    <row r="1366" customFormat="false" ht="15" hidden="false" customHeight="false" outlineLevel="0" collapsed="false">
      <c r="A1366" s="0" t="n">
        <v>3596</v>
      </c>
      <c r="B1366" s="0" t="n">
        <v>22214</v>
      </c>
      <c r="C1366" s="0" t="s">
        <v>1012</v>
      </c>
      <c r="D1366" s="0" t="s">
        <v>13</v>
      </c>
      <c r="E1366" s="0" t="s">
        <v>52</v>
      </c>
      <c r="F1366" s="0" t="s">
        <v>728</v>
      </c>
      <c r="G1366" s="0" t="s">
        <v>18075</v>
      </c>
    </row>
    <row r="1367" customFormat="false" ht="15" hidden="false" customHeight="false" outlineLevel="0" collapsed="false">
      <c r="A1367" s="0" t="n">
        <v>3602</v>
      </c>
      <c r="B1367" s="0" t="n">
        <v>22406</v>
      </c>
      <c r="C1367" s="0" t="s">
        <v>14667</v>
      </c>
      <c r="D1367" s="0" t="s">
        <v>13</v>
      </c>
      <c r="E1367" s="0" t="s">
        <v>14670</v>
      </c>
      <c r="F1367" s="0" t="s">
        <v>2356</v>
      </c>
      <c r="G1367" s="0" t="s">
        <v>18075</v>
      </c>
    </row>
    <row r="1368" customFormat="false" ht="15" hidden="false" customHeight="false" outlineLevel="0" collapsed="false">
      <c r="A1368" s="0" t="n">
        <v>3700</v>
      </c>
      <c r="B1368" s="0" t="n">
        <v>22320</v>
      </c>
      <c r="C1368" s="0" t="s">
        <v>15090</v>
      </c>
      <c r="D1368" s="0" t="s">
        <v>13</v>
      </c>
      <c r="E1368" s="0" t="s">
        <v>52</v>
      </c>
      <c r="F1368" s="0" t="s">
        <v>728</v>
      </c>
      <c r="G1368" s="0" t="s">
        <v>18075</v>
      </c>
    </row>
    <row r="1369" customFormat="false" ht="15" hidden="false" customHeight="false" outlineLevel="0" collapsed="false">
      <c r="A1369" s="0" t="n">
        <v>3731</v>
      </c>
      <c r="B1369" s="0" t="n">
        <v>22351</v>
      </c>
      <c r="C1369" s="0" t="s">
        <v>14568</v>
      </c>
      <c r="D1369" s="0" t="s">
        <v>13</v>
      </c>
      <c r="E1369" s="0" t="s">
        <v>52</v>
      </c>
      <c r="F1369" s="0" t="s">
        <v>728</v>
      </c>
      <c r="G1369" s="0" t="s">
        <v>18075</v>
      </c>
    </row>
    <row r="1370" customFormat="false" ht="15" hidden="false" customHeight="false" outlineLevel="0" collapsed="false">
      <c r="A1370" s="0" t="n">
        <v>3732</v>
      </c>
      <c r="B1370" s="0" t="n">
        <v>22352</v>
      </c>
      <c r="C1370" s="0" t="s">
        <v>15225</v>
      </c>
      <c r="D1370" s="0" t="s">
        <v>13</v>
      </c>
      <c r="E1370" s="0" t="s">
        <v>52</v>
      </c>
      <c r="F1370" s="0" t="s">
        <v>728</v>
      </c>
      <c r="G1370" s="0" t="s">
        <v>18075</v>
      </c>
    </row>
    <row r="1371" customFormat="false" ht="15" hidden="false" customHeight="false" outlineLevel="0" collapsed="false">
      <c r="A1371" s="0" t="n">
        <v>3780</v>
      </c>
      <c r="B1371" s="0" t="n">
        <v>22402</v>
      </c>
      <c r="C1371" s="0" t="s">
        <v>15434</v>
      </c>
      <c r="D1371" s="0" t="s">
        <v>13</v>
      </c>
      <c r="E1371" s="0" t="s">
        <v>18080</v>
      </c>
      <c r="F1371" s="0" t="s">
        <v>8976</v>
      </c>
      <c r="G1371" s="0" t="s">
        <v>18075</v>
      </c>
    </row>
    <row r="1372" customFormat="false" ht="15" hidden="false" customHeight="false" outlineLevel="0" collapsed="false">
      <c r="A1372" s="0" t="n">
        <v>3785</v>
      </c>
      <c r="B1372" s="0" t="n">
        <v>22407</v>
      </c>
      <c r="C1372" s="0" t="s">
        <v>15457</v>
      </c>
      <c r="D1372" s="0" t="s">
        <v>13</v>
      </c>
      <c r="E1372" s="0" t="s">
        <v>18081</v>
      </c>
      <c r="F1372" s="0" t="s">
        <v>9887</v>
      </c>
      <c r="G1372" s="0" t="s">
        <v>18075</v>
      </c>
    </row>
    <row r="1373" customFormat="false" ht="15" hidden="false" customHeight="false" outlineLevel="0" collapsed="false">
      <c r="A1373" s="0" t="n">
        <v>3789</v>
      </c>
      <c r="B1373" s="0" t="n">
        <v>22411</v>
      </c>
      <c r="C1373" s="0" t="s">
        <v>15476</v>
      </c>
      <c r="D1373" s="0" t="s">
        <v>13</v>
      </c>
      <c r="E1373" s="0" t="s">
        <v>52</v>
      </c>
      <c r="F1373" s="0" t="s">
        <v>728</v>
      </c>
      <c r="G1373" s="0" t="s">
        <v>18075</v>
      </c>
    </row>
    <row r="1374" customFormat="false" ht="15" hidden="false" customHeight="false" outlineLevel="0" collapsed="false">
      <c r="A1374" s="0" t="n">
        <v>3790</v>
      </c>
      <c r="B1374" s="0" t="n">
        <v>22412</v>
      </c>
      <c r="C1374" s="0" t="s">
        <v>15480</v>
      </c>
      <c r="D1374" s="0" t="s">
        <v>13</v>
      </c>
      <c r="E1374" s="0" t="s">
        <v>52</v>
      </c>
      <c r="F1374" s="0" t="s">
        <v>728</v>
      </c>
      <c r="G1374" s="0" t="s">
        <v>18075</v>
      </c>
    </row>
    <row r="1375" customFormat="false" ht="15" hidden="false" customHeight="false" outlineLevel="0" collapsed="false">
      <c r="A1375" s="0" t="n">
        <v>3791</v>
      </c>
      <c r="B1375" s="0" t="n">
        <v>22419</v>
      </c>
      <c r="C1375" s="0" t="s">
        <v>15484</v>
      </c>
      <c r="D1375" s="0" t="s">
        <v>13</v>
      </c>
      <c r="E1375" s="0" t="s">
        <v>52</v>
      </c>
      <c r="F1375" s="0" t="s">
        <v>728</v>
      </c>
      <c r="G1375" s="0" t="s">
        <v>18075</v>
      </c>
    </row>
    <row r="1376" customFormat="false" ht="15" hidden="false" customHeight="false" outlineLevel="0" collapsed="false">
      <c r="A1376" s="0" t="n">
        <v>3792</v>
      </c>
      <c r="B1376" s="0" t="n">
        <v>22420</v>
      </c>
      <c r="C1376" s="0" t="s">
        <v>15489</v>
      </c>
      <c r="D1376" s="0" t="s">
        <v>13</v>
      </c>
      <c r="E1376" s="0" t="s">
        <v>52</v>
      </c>
      <c r="F1376" s="0" t="s">
        <v>728</v>
      </c>
      <c r="G1376" s="0" t="s">
        <v>18075</v>
      </c>
    </row>
    <row r="1377" customFormat="false" ht="15" hidden="false" customHeight="false" outlineLevel="0" collapsed="false">
      <c r="A1377" s="0" t="n">
        <v>3793</v>
      </c>
      <c r="B1377" s="0" t="n">
        <v>22421</v>
      </c>
      <c r="C1377" s="0" t="s">
        <v>15494</v>
      </c>
      <c r="D1377" s="0" t="s">
        <v>13</v>
      </c>
      <c r="E1377" s="0" t="s">
        <v>52</v>
      </c>
      <c r="F1377" s="0" t="s">
        <v>728</v>
      </c>
      <c r="G1377" s="0" t="s">
        <v>18075</v>
      </c>
    </row>
    <row r="1378" customFormat="false" ht="15" hidden="false" customHeight="false" outlineLevel="0" collapsed="false">
      <c r="A1378" s="0" t="n">
        <v>3794</v>
      </c>
      <c r="B1378" s="0" t="n">
        <v>22421</v>
      </c>
      <c r="C1378" s="0" t="s">
        <v>15499</v>
      </c>
      <c r="D1378" s="0" t="s">
        <v>13</v>
      </c>
      <c r="E1378" s="0" t="s">
        <v>83</v>
      </c>
      <c r="F1378" s="0" t="s">
        <v>4735</v>
      </c>
      <c r="G1378" s="0" t="s">
        <v>18075</v>
      </c>
    </row>
    <row r="1379" customFormat="false" ht="15" hidden="false" customHeight="false" outlineLevel="0" collapsed="false">
      <c r="A1379" s="0" t="n">
        <v>3851</v>
      </c>
      <c r="B1379" s="0" t="n">
        <v>13983</v>
      </c>
      <c r="C1379" s="0" t="s">
        <v>15750</v>
      </c>
      <c r="D1379" s="0" t="s">
        <v>13</v>
      </c>
      <c r="E1379" s="0" t="s">
        <v>6291</v>
      </c>
      <c r="F1379" s="0" t="s">
        <v>4557</v>
      </c>
      <c r="G1379" s="0" t="s">
        <v>18075</v>
      </c>
    </row>
    <row r="1380" customFormat="false" ht="15" hidden="false" customHeight="false" outlineLevel="0" collapsed="false">
      <c r="A1380" s="0" t="n">
        <v>3855</v>
      </c>
      <c r="B1380" s="0" t="n">
        <v>22741</v>
      </c>
      <c r="C1380" s="0" t="s">
        <v>15767</v>
      </c>
      <c r="D1380" s="0" t="s">
        <v>13</v>
      </c>
      <c r="E1380" s="0" t="s">
        <v>6291</v>
      </c>
      <c r="F1380" s="0" t="s">
        <v>4557</v>
      </c>
      <c r="G1380" s="0" t="s">
        <v>18075</v>
      </c>
    </row>
    <row r="1381" customFormat="false" ht="15" hidden="false" customHeight="false" outlineLevel="0" collapsed="false">
      <c r="A1381" s="0" t="n">
        <v>3872</v>
      </c>
      <c r="B1381" s="0" t="n">
        <v>22499</v>
      </c>
      <c r="C1381" s="0" t="s">
        <v>15850</v>
      </c>
      <c r="D1381" s="0" t="s">
        <v>13</v>
      </c>
      <c r="E1381" s="0" t="s">
        <v>52</v>
      </c>
      <c r="F1381" s="0" t="s">
        <v>728</v>
      </c>
      <c r="G1381" s="0" t="s">
        <v>18075</v>
      </c>
    </row>
    <row r="1382" customFormat="false" ht="15" hidden="false" customHeight="false" outlineLevel="0" collapsed="false">
      <c r="A1382" s="0" t="n">
        <v>3951</v>
      </c>
      <c r="B1382" s="0" t="n">
        <v>15382</v>
      </c>
      <c r="C1382" s="0" t="s">
        <v>16161</v>
      </c>
      <c r="D1382" s="0" t="s">
        <v>13</v>
      </c>
      <c r="E1382" s="0" t="s">
        <v>39</v>
      </c>
      <c r="F1382" s="0" t="s">
        <v>105</v>
      </c>
      <c r="G1382" s="0" t="s">
        <v>18075</v>
      </c>
    </row>
    <row r="1383" customFormat="false" ht="15" hidden="false" customHeight="false" outlineLevel="0" collapsed="false">
      <c r="A1383" s="0" t="n">
        <v>3988</v>
      </c>
      <c r="B1383" s="0" t="n">
        <v>22616</v>
      </c>
      <c r="C1383" s="0" t="s">
        <v>16323</v>
      </c>
      <c r="D1383" s="0" t="s">
        <v>13</v>
      </c>
      <c r="E1383" s="0" t="s">
        <v>52</v>
      </c>
      <c r="F1383" s="0" t="s">
        <v>728</v>
      </c>
      <c r="G1383" s="0" t="s">
        <v>18075</v>
      </c>
    </row>
    <row r="1384" customFormat="false" ht="15" hidden="false" customHeight="false" outlineLevel="0" collapsed="false">
      <c r="A1384" s="0" t="n">
        <v>3995</v>
      </c>
      <c r="B1384" s="0" t="n">
        <v>22623</v>
      </c>
      <c r="C1384" s="0" t="s">
        <v>16352</v>
      </c>
      <c r="D1384" s="0" t="s">
        <v>13</v>
      </c>
      <c r="E1384" s="0" t="s">
        <v>260</v>
      </c>
      <c r="F1384" s="0" t="s">
        <v>3576</v>
      </c>
      <c r="G1384" s="0" t="s">
        <v>18075</v>
      </c>
    </row>
    <row r="1385" customFormat="false" ht="15" hidden="false" customHeight="false" outlineLevel="0" collapsed="false">
      <c r="A1385" s="0" t="n">
        <v>3999</v>
      </c>
      <c r="B1385" s="0" t="n">
        <v>14063</v>
      </c>
      <c r="C1385" s="0" t="s">
        <v>16370</v>
      </c>
      <c r="D1385" s="0" t="s">
        <v>13</v>
      </c>
      <c r="E1385" s="0" t="s">
        <v>39</v>
      </c>
      <c r="F1385" s="0" t="s">
        <v>105</v>
      </c>
      <c r="G1385" s="0" t="s">
        <v>18075</v>
      </c>
    </row>
    <row r="1386" customFormat="false" ht="15" hidden="false" customHeight="false" outlineLevel="0" collapsed="false">
      <c r="A1386" s="0" t="n">
        <v>4034</v>
      </c>
      <c r="B1386" s="0" t="n">
        <v>22663</v>
      </c>
      <c r="C1386" s="0" t="s">
        <v>16520</v>
      </c>
      <c r="D1386" s="0" t="s">
        <v>13</v>
      </c>
      <c r="E1386" s="0" t="s">
        <v>52</v>
      </c>
      <c r="F1386" s="0" t="s">
        <v>728</v>
      </c>
      <c r="G1386" s="0" t="s">
        <v>18075</v>
      </c>
    </row>
    <row r="1387" customFormat="false" ht="15" hidden="false" customHeight="false" outlineLevel="0" collapsed="false">
      <c r="A1387" s="0" t="n">
        <v>4053</v>
      </c>
      <c r="B1387" s="0" t="n">
        <v>22682</v>
      </c>
      <c r="C1387" s="0" t="s">
        <v>16600</v>
      </c>
      <c r="D1387" s="0" t="s">
        <v>13</v>
      </c>
      <c r="E1387" s="0" t="s">
        <v>83</v>
      </c>
      <c r="F1387" s="0" t="s">
        <v>4735</v>
      </c>
      <c r="G1387" s="0" t="s">
        <v>18075</v>
      </c>
    </row>
    <row r="1388" customFormat="false" ht="15" hidden="false" customHeight="false" outlineLevel="0" collapsed="false">
      <c r="A1388" s="0" t="n">
        <v>4054</v>
      </c>
      <c r="B1388" s="0" t="n">
        <v>22683</v>
      </c>
      <c r="C1388" s="0" t="s">
        <v>16604</v>
      </c>
      <c r="D1388" s="0" t="s">
        <v>13</v>
      </c>
      <c r="E1388" s="0" t="s">
        <v>83</v>
      </c>
      <c r="F1388" s="0" t="s">
        <v>4735</v>
      </c>
      <c r="G1388" s="0" t="s">
        <v>18075</v>
      </c>
    </row>
    <row r="1389" customFormat="false" ht="15" hidden="false" customHeight="false" outlineLevel="0" collapsed="false">
      <c r="A1389" s="0" t="n">
        <v>4094</v>
      </c>
      <c r="B1389" s="0" t="n">
        <v>22902</v>
      </c>
      <c r="C1389" s="0" t="s">
        <v>16763</v>
      </c>
      <c r="D1389" s="0" t="s">
        <v>13</v>
      </c>
      <c r="E1389" s="0" t="s">
        <v>18082</v>
      </c>
      <c r="F1389" s="0" t="s">
        <v>8976</v>
      </c>
      <c r="G1389" s="0" t="s">
        <v>18075</v>
      </c>
    </row>
    <row r="1390" customFormat="false" ht="15" hidden="false" customHeight="false" outlineLevel="0" collapsed="false">
      <c r="A1390" s="0" t="n">
        <v>4112</v>
      </c>
      <c r="B1390" s="0" t="n">
        <v>21042</v>
      </c>
      <c r="C1390" s="0" t="s">
        <v>16835</v>
      </c>
      <c r="D1390" s="0" t="s">
        <v>13</v>
      </c>
      <c r="E1390" s="0" t="s">
        <v>752</v>
      </c>
      <c r="F1390" s="0" t="s">
        <v>749</v>
      </c>
      <c r="G1390" s="0" t="s">
        <v>18075</v>
      </c>
    </row>
    <row r="1391" customFormat="false" ht="15" hidden="false" customHeight="false" outlineLevel="0" collapsed="false">
      <c r="A1391" s="0" t="n">
        <v>4116</v>
      </c>
      <c r="B1391" s="0" t="n">
        <v>21867</v>
      </c>
      <c r="C1391" s="0" t="s">
        <v>16850</v>
      </c>
      <c r="D1391" s="0" t="s">
        <v>13</v>
      </c>
      <c r="E1391" s="0" t="s">
        <v>6556</v>
      </c>
      <c r="F1391" s="0" t="s">
        <v>10550</v>
      </c>
      <c r="G1391" s="0" t="s">
        <v>18075</v>
      </c>
    </row>
    <row r="1392" customFormat="false" ht="15" hidden="false" customHeight="false" outlineLevel="0" collapsed="false">
      <c r="A1392" s="0" t="n">
        <v>4127</v>
      </c>
      <c r="B1392" s="0" t="n">
        <v>22760</v>
      </c>
      <c r="C1392" s="0" t="s">
        <v>16898</v>
      </c>
      <c r="D1392" s="0" t="s">
        <v>13</v>
      </c>
      <c r="E1392" s="0" t="s">
        <v>52</v>
      </c>
      <c r="F1392" s="0" t="s">
        <v>728</v>
      </c>
      <c r="G1392" s="0" t="s">
        <v>18075</v>
      </c>
    </row>
    <row r="1393" customFormat="false" ht="15" hidden="false" customHeight="false" outlineLevel="0" collapsed="false">
      <c r="A1393" s="0" t="n">
        <v>4142</v>
      </c>
      <c r="B1393" s="0" t="n">
        <v>22775</v>
      </c>
      <c r="C1393" s="0" t="s">
        <v>16967</v>
      </c>
      <c r="D1393" s="0" t="s">
        <v>13</v>
      </c>
      <c r="E1393" s="0" t="s">
        <v>78</v>
      </c>
      <c r="F1393" s="0" t="s">
        <v>383</v>
      </c>
      <c r="G1393" s="0" t="s">
        <v>18075</v>
      </c>
    </row>
    <row r="1394" customFormat="false" ht="15" hidden="false" customHeight="false" outlineLevel="0" collapsed="false">
      <c r="A1394" s="0" t="n">
        <v>4152</v>
      </c>
      <c r="B1394" s="0" t="n">
        <v>22785</v>
      </c>
      <c r="C1394" s="0" t="s">
        <v>17010</v>
      </c>
      <c r="D1394" s="0" t="s">
        <v>13</v>
      </c>
      <c r="E1394" s="0" t="s">
        <v>260</v>
      </c>
      <c r="F1394" s="0" t="s">
        <v>3576</v>
      </c>
      <c r="G1394" s="0" t="s">
        <v>18075</v>
      </c>
    </row>
    <row r="1395" customFormat="false" ht="15" hidden="false" customHeight="false" outlineLevel="0" collapsed="false">
      <c r="A1395" s="0" t="n">
        <v>4176</v>
      </c>
      <c r="B1395" s="0" t="n">
        <v>22810</v>
      </c>
      <c r="C1395" s="0" t="s">
        <v>17111</v>
      </c>
      <c r="D1395" s="0" t="s">
        <v>13</v>
      </c>
      <c r="E1395" s="0" t="s">
        <v>39</v>
      </c>
      <c r="F1395" s="0" t="s">
        <v>105</v>
      </c>
      <c r="G1395" s="0" t="s">
        <v>18075</v>
      </c>
    </row>
    <row r="1396" customFormat="false" ht="15" hidden="false" customHeight="false" outlineLevel="0" collapsed="false">
      <c r="A1396" s="0" t="n">
        <v>4178</v>
      </c>
      <c r="B1396" s="0" t="n">
        <v>22812</v>
      </c>
      <c r="C1396" s="0" t="s">
        <v>17120</v>
      </c>
      <c r="D1396" s="0" t="s">
        <v>13</v>
      </c>
      <c r="E1396" s="0" t="s">
        <v>83</v>
      </c>
      <c r="F1396" s="0" t="s">
        <v>4735</v>
      </c>
      <c r="G1396" s="0" t="s">
        <v>18075</v>
      </c>
    </row>
    <row r="1397" customFormat="false" ht="15" hidden="false" customHeight="false" outlineLevel="0" collapsed="false">
      <c r="A1397" s="0" t="n">
        <v>4185</v>
      </c>
      <c r="B1397" s="0" t="n">
        <v>22819</v>
      </c>
      <c r="C1397" s="0" t="s">
        <v>17147</v>
      </c>
      <c r="D1397" s="0" t="s">
        <v>13</v>
      </c>
      <c r="E1397" s="0" t="s">
        <v>39</v>
      </c>
      <c r="F1397" s="0" t="s">
        <v>105</v>
      </c>
      <c r="G1397" s="0" t="s">
        <v>18075</v>
      </c>
    </row>
    <row r="1398" customFormat="false" ht="15" hidden="false" customHeight="false" outlineLevel="0" collapsed="false">
      <c r="A1398" s="0" t="n">
        <v>4267</v>
      </c>
      <c r="B1398" s="0" t="n">
        <v>20296</v>
      </c>
      <c r="C1398" s="0" t="s">
        <v>17490</v>
      </c>
      <c r="D1398" s="0" t="s">
        <v>13</v>
      </c>
      <c r="E1398" s="0" t="s">
        <v>6291</v>
      </c>
      <c r="F1398" s="0" t="s">
        <v>4557</v>
      </c>
      <c r="G1398" s="0" t="s">
        <v>18075</v>
      </c>
    </row>
    <row r="1399" customFormat="false" ht="15" hidden="false" customHeight="false" outlineLevel="0" collapsed="false">
      <c r="A1399" s="0" t="n">
        <v>4273</v>
      </c>
      <c r="B1399" s="0" t="n">
        <v>3072</v>
      </c>
      <c r="C1399" s="0" t="s">
        <v>17518</v>
      </c>
      <c r="D1399" s="0" t="s">
        <v>13</v>
      </c>
      <c r="E1399" s="0" t="s">
        <v>6291</v>
      </c>
      <c r="F1399" s="0" t="s">
        <v>4557</v>
      </c>
      <c r="G1399" s="0" t="s">
        <v>18075</v>
      </c>
    </row>
    <row r="1400" customFormat="false" ht="15" hidden="false" customHeight="false" outlineLevel="0" collapsed="false">
      <c r="A1400" s="0" t="n">
        <v>4324</v>
      </c>
      <c r="B1400" s="0" t="n">
        <v>22959</v>
      </c>
      <c r="C1400" s="0" t="s">
        <v>17728</v>
      </c>
      <c r="D1400" s="0" t="s">
        <v>13</v>
      </c>
      <c r="E1400" s="0" t="s">
        <v>52</v>
      </c>
      <c r="F1400" s="0" t="s">
        <v>728</v>
      </c>
      <c r="G1400" s="0" t="s">
        <v>18075</v>
      </c>
    </row>
    <row r="1401" customFormat="false" ht="15" hidden="false" customHeight="false" outlineLevel="0" collapsed="false">
      <c r="A1401" s="0" t="n">
        <v>4325</v>
      </c>
      <c r="B1401" s="0" t="n">
        <v>22960</v>
      </c>
      <c r="C1401" s="0" t="s">
        <v>17733</v>
      </c>
      <c r="D1401" s="0" t="s">
        <v>13</v>
      </c>
      <c r="E1401" s="0" t="s">
        <v>52</v>
      </c>
      <c r="F1401" s="0" t="s">
        <v>728</v>
      </c>
      <c r="G1401" s="0" t="s">
        <v>18075</v>
      </c>
    </row>
    <row r="1402" customFormat="false" ht="15" hidden="false" customHeight="false" outlineLevel="0" collapsed="false">
      <c r="A1402" s="0" t="n">
        <v>4331</v>
      </c>
      <c r="B1402" s="0" t="n">
        <v>22966</v>
      </c>
      <c r="C1402" s="0" t="s">
        <v>17757</v>
      </c>
      <c r="D1402" s="0" t="s">
        <v>13</v>
      </c>
      <c r="E1402" s="0" t="s">
        <v>52</v>
      </c>
      <c r="F1402" s="0" t="s">
        <v>728</v>
      </c>
      <c r="G1402" s="0" t="s">
        <v>18075</v>
      </c>
    </row>
    <row r="1403" customFormat="false" ht="15" hidden="false" customHeight="false" outlineLevel="0" collapsed="false">
      <c r="A1403" s="0" t="n">
        <v>4378</v>
      </c>
      <c r="B1403" s="0" t="n">
        <v>16714</v>
      </c>
      <c r="C1403" s="0" t="s">
        <v>17943</v>
      </c>
      <c r="D1403" s="0" t="s">
        <v>13</v>
      </c>
      <c r="E1403" s="0" t="s">
        <v>752</v>
      </c>
      <c r="F1403" s="0" t="s">
        <v>749</v>
      </c>
      <c r="G1403" s="0" t="s">
        <v>18075</v>
      </c>
    </row>
    <row r="1404" customFormat="false" ht="15" hidden="false" customHeight="false" outlineLevel="0" collapsed="false">
      <c r="A1404" s="0" t="n">
        <v>4382</v>
      </c>
      <c r="B1404" s="0" t="n">
        <v>15842</v>
      </c>
      <c r="C1404" s="0" t="s">
        <v>3044</v>
      </c>
      <c r="D1404" s="0" t="s">
        <v>13</v>
      </c>
      <c r="E1404" s="0" t="s">
        <v>752</v>
      </c>
      <c r="F1404" s="0" t="s">
        <v>749</v>
      </c>
      <c r="G1404" s="0" t="s">
        <v>18075</v>
      </c>
    </row>
    <row r="1405" customFormat="false" ht="15" hidden="false" customHeight="false" outlineLevel="0" collapsed="false">
      <c r="A1405" s="0" t="n">
        <v>4384</v>
      </c>
      <c r="B1405" s="0" t="n">
        <v>22227</v>
      </c>
      <c r="C1405" s="0" t="s">
        <v>17967</v>
      </c>
      <c r="D1405" s="0" t="s">
        <v>13</v>
      </c>
      <c r="E1405" s="0" t="s">
        <v>6556</v>
      </c>
      <c r="F1405" s="0" t="s">
        <v>10550</v>
      </c>
      <c r="G1405" s="0" t="s">
        <v>18075</v>
      </c>
    </row>
    <row r="1406" customFormat="false" ht="15" hidden="false" customHeight="false" outlineLevel="0" collapsed="false">
      <c r="A1406" s="0" t="n">
        <v>3561</v>
      </c>
      <c r="B1406" s="0" t="n">
        <v>22179</v>
      </c>
      <c r="C1406" s="0" t="s">
        <v>14512</v>
      </c>
      <c r="D1406" s="0" t="s">
        <v>15</v>
      </c>
      <c r="E1406" s="0" t="s">
        <v>18083</v>
      </c>
      <c r="F1406" s="0" t="s">
        <v>18084</v>
      </c>
      <c r="G1406" s="0" t="s">
        <v>18085</v>
      </c>
    </row>
    <row r="1407" customFormat="false" ht="15" hidden="false" customHeight="false" outlineLevel="0" collapsed="false">
      <c r="A1407" s="0" t="n">
        <v>3562</v>
      </c>
      <c r="B1407" s="0" t="n">
        <v>22180</v>
      </c>
      <c r="C1407" s="0" t="s">
        <v>14517</v>
      </c>
      <c r="D1407" s="0" t="s">
        <v>15</v>
      </c>
      <c r="E1407" s="0" t="s">
        <v>18086</v>
      </c>
      <c r="F1407" s="0" t="s">
        <v>18087</v>
      </c>
      <c r="G1407" s="0" t="s">
        <v>18085</v>
      </c>
    </row>
    <row r="1408" customFormat="false" ht="15" hidden="false" customHeight="false" outlineLevel="0" collapsed="false">
      <c r="A1408" s="0" t="n">
        <v>3563</v>
      </c>
      <c r="B1408" s="0" t="n">
        <v>22181</v>
      </c>
      <c r="C1408" s="0" t="s">
        <v>14520</v>
      </c>
      <c r="D1408" s="0" t="s">
        <v>15</v>
      </c>
      <c r="E1408" s="0" t="s">
        <v>18088</v>
      </c>
      <c r="F1408" s="0" t="s">
        <v>18089</v>
      </c>
      <c r="G1408" s="0" t="s">
        <v>18085</v>
      </c>
    </row>
    <row r="1409" customFormat="false" ht="15" hidden="false" customHeight="false" outlineLevel="0" collapsed="false">
      <c r="A1409" s="0" t="n">
        <v>3407</v>
      </c>
      <c r="B1409" s="0" t="n">
        <v>22056</v>
      </c>
      <c r="C1409" s="0" t="s">
        <v>14004</v>
      </c>
      <c r="D1409" s="0" t="s">
        <v>0</v>
      </c>
      <c r="E1409" s="0" t="s">
        <v>18090</v>
      </c>
      <c r="F1409" s="0" t="s">
        <v>18091</v>
      </c>
      <c r="G1409" s="0" t="s">
        <v>18092</v>
      </c>
    </row>
    <row r="1410" customFormat="false" ht="15" hidden="false" customHeight="false" outlineLevel="0" collapsed="false">
      <c r="A1410" s="0" t="n">
        <v>3794</v>
      </c>
      <c r="B1410" s="0" t="n">
        <v>22517</v>
      </c>
      <c r="C1410" s="0" t="s">
        <v>15499</v>
      </c>
      <c r="D1410" s="0" t="s">
        <v>0</v>
      </c>
      <c r="E1410" s="0" t="s">
        <v>18093</v>
      </c>
      <c r="F1410" s="0" t="s">
        <v>18094</v>
      </c>
      <c r="G1410" s="0" t="s">
        <v>18092</v>
      </c>
    </row>
    <row r="1411" customFormat="false" ht="15" hidden="false" customHeight="false" outlineLevel="0" collapsed="false">
      <c r="A1411" s="0" t="n">
        <v>3895</v>
      </c>
      <c r="B1411" s="0" t="n">
        <v>22526</v>
      </c>
      <c r="C1411" s="0" t="s">
        <v>9397</v>
      </c>
      <c r="D1411" s="0" t="s">
        <v>0</v>
      </c>
      <c r="E1411" s="0" t="s">
        <v>18095</v>
      </c>
      <c r="F1411" s="0" t="s">
        <v>18096</v>
      </c>
      <c r="G1411" s="0" t="s">
        <v>18092</v>
      </c>
    </row>
    <row r="1412" customFormat="false" ht="15" hidden="false" customHeight="false" outlineLevel="0" collapsed="false">
      <c r="A1412" s="0" t="n">
        <v>3905</v>
      </c>
      <c r="B1412" s="0" t="n">
        <v>22547</v>
      </c>
      <c r="C1412" s="0" t="s">
        <v>15993</v>
      </c>
      <c r="D1412" s="0" t="s">
        <v>0</v>
      </c>
      <c r="E1412" s="0" t="s">
        <v>18097</v>
      </c>
      <c r="F1412" s="0" t="s">
        <v>18098</v>
      </c>
      <c r="G1412" s="0" t="s">
        <v>18092</v>
      </c>
    </row>
    <row r="1413" customFormat="false" ht="15" hidden="false" customHeight="false" outlineLevel="0" collapsed="false">
      <c r="A1413" s="0" t="n">
        <v>1834</v>
      </c>
      <c r="B1413" s="0" t="n">
        <v>18538</v>
      </c>
      <c r="C1413" s="0" t="s">
        <v>7967</v>
      </c>
      <c r="D1413" s="0" t="s">
        <v>13</v>
      </c>
      <c r="F1413" s="0" t="s">
        <v>728</v>
      </c>
      <c r="G1413" s="0" t="s">
        <v>18099</v>
      </c>
    </row>
    <row r="1414" customFormat="false" ht="15" hidden="false" customHeight="false" outlineLevel="0" collapsed="false">
      <c r="A1414" s="0" t="n">
        <v>1835</v>
      </c>
      <c r="B1414" s="0" t="n">
        <v>18539</v>
      </c>
      <c r="C1414" s="0" t="s">
        <v>7973</v>
      </c>
      <c r="D1414" s="0" t="s">
        <v>13</v>
      </c>
      <c r="F1414" s="0" t="s">
        <v>728</v>
      </c>
      <c r="G1414" s="0" t="s">
        <v>18099</v>
      </c>
    </row>
    <row r="1415" customFormat="false" ht="15" hidden="false" customHeight="false" outlineLevel="0" collapsed="false">
      <c r="A1415" s="0" t="n">
        <v>1836</v>
      </c>
      <c r="B1415" s="0" t="n">
        <v>18540</v>
      </c>
      <c r="C1415" s="0" t="s">
        <v>7977</v>
      </c>
      <c r="D1415" s="0" t="s">
        <v>13</v>
      </c>
      <c r="F1415" s="0" t="s">
        <v>728</v>
      </c>
      <c r="G1415" s="0" t="s">
        <v>18099</v>
      </c>
    </row>
    <row r="1416" customFormat="false" ht="15" hidden="false" customHeight="false" outlineLevel="0" collapsed="false">
      <c r="A1416" s="0" t="n">
        <v>1837</v>
      </c>
      <c r="B1416" s="0" t="n">
        <v>18541</v>
      </c>
      <c r="C1416" s="0" t="s">
        <v>7983</v>
      </c>
      <c r="D1416" s="0" t="s">
        <v>13</v>
      </c>
      <c r="F1416" s="0" t="s">
        <v>241</v>
      </c>
      <c r="G1416" s="0" t="s">
        <v>18099</v>
      </c>
    </row>
    <row r="1417" customFormat="false" ht="15" hidden="false" customHeight="false" outlineLevel="0" collapsed="false">
      <c r="A1417" s="0" t="n">
        <v>1838</v>
      </c>
      <c r="B1417" s="0" t="n">
        <v>18542</v>
      </c>
      <c r="C1417" s="0" t="s">
        <v>7987</v>
      </c>
      <c r="D1417" s="0" t="s">
        <v>13</v>
      </c>
      <c r="F1417" s="0" t="s">
        <v>615</v>
      </c>
      <c r="G1417" s="0" t="s">
        <v>18099</v>
      </c>
    </row>
    <row r="1418" customFormat="false" ht="15" hidden="false" customHeight="false" outlineLevel="0" collapsed="false">
      <c r="A1418" s="0" t="n">
        <v>1839</v>
      </c>
      <c r="B1418" s="0" t="n">
        <v>18543</v>
      </c>
      <c r="C1418" s="0" t="s">
        <v>7992</v>
      </c>
      <c r="D1418" s="0" t="s">
        <v>13</v>
      </c>
      <c r="F1418" s="0" t="s">
        <v>615</v>
      </c>
      <c r="G1418" s="0" t="s">
        <v>18099</v>
      </c>
    </row>
    <row r="1419" customFormat="false" ht="15" hidden="false" customHeight="false" outlineLevel="0" collapsed="false">
      <c r="A1419" s="0" t="n">
        <v>1840</v>
      </c>
      <c r="B1419" s="0" t="n">
        <v>18544</v>
      </c>
      <c r="C1419" s="0" t="s">
        <v>7996</v>
      </c>
      <c r="D1419" s="0" t="s">
        <v>13</v>
      </c>
      <c r="F1419" s="0" t="s">
        <v>615</v>
      </c>
      <c r="G1419" s="0" t="s">
        <v>18099</v>
      </c>
    </row>
    <row r="1420" customFormat="false" ht="15" hidden="false" customHeight="false" outlineLevel="0" collapsed="false">
      <c r="A1420" s="0" t="n">
        <v>1841</v>
      </c>
      <c r="B1420" s="0" t="n">
        <v>18545</v>
      </c>
      <c r="C1420" s="0" t="s">
        <v>8000</v>
      </c>
      <c r="D1420" s="0" t="s">
        <v>13</v>
      </c>
      <c r="F1420" s="0" t="s">
        <v>615</v>
      </c>
      <c r="G1420" s="0" t="s">
        <v>18099</v>
      </c>
    </row>
    <row r="1421" customFormat="false" ht="15" hidden="false" customHeight="false" outlineLevel="0" collapsed="false">
      <c r="A1421" s="0" t="n">
        <v>1842</v>
      </c>
      <c r="B1421" s="0" t="n">
        <v>18546</v>
      </c>
      <c r="C1421" s="0" t="s">
        <v>8004</v>
      </c>
      <c r="D1421" s="0" t="s">
        <v>13</v>
      </c>
      <c r="F1421" s="0" t="s">
        <v>615</v>
      </c>
      <c r="G1421" s="0" t="s">
        <v>18099</v>
      </c>
    </row>
    <row r="1422" customFormat="false" ht="15" hidden="false" customHeight="false" outlineLevel="0" collapsed="false">
      <c r="A1422" s="0" t="n">
        <v>1843</v>
      </c>
      <c r="B1422" s="0" t="n">
        <v>18547</v>
      </c>
      <c r="C1422" s="0" t="s">
        <v>8010</v>
      </c>
      <c r="D1422" s="0" t="s">
        <v>13</v>
      </c>
      <c r="F1422" s="0" t="s">
        <v>615</v>
      </c>
      <c r="G1422" s="0" t="s">
        <v>18099</v>
      </c>
    </row>
    <row r="1423" customFormat="false" ht="15" hidden="false" customHeight="false" outlineLevel="0" collapsed="false">
      <c r="A1423" s="0" t="n">
        <v>1844</v>
      </c>
      <c r="B1423" s="0" t="n">
        <v>18548</v>
      </c>
      <c r="C1423" s="0" t="s">
        <v>8014</v>
      </c>
      <c r="D1423" s="0" t="s">
        <v>13</v>
      </c>
      <c r="F1423" s="0" t="s">
        <v>615</v>
      </c>
      <c r="G1423" s="0" t="s">
        <v>18099</v>
      </c>
    </row>
    <row r="1424" customFormat="false" ht="15" hidden="false" customHeight="false" outlineLevel="0" collapsed="false">
      <c r="A1424" s="0" t="n">
        <v>1845</v>
      </c>
      <c r="B1424" s="0" t="n">
        <v>18549</v>
      </c>
      <c r="C1424" s="0" t="s">
        <v>8018</v>
      </c>
      <c r="D1424" s="0" t="s">
        <v>13</v>
      </c>
      <c r="F1424" s="0" t="s">
        <v>615</v>
      </c>
      <c r="G1424" s="0" t="s">
        <v>18099</v>
      </c>
    </row>
    <row r="1425" customFormat="false" ht="15" hidden="false" customHeight="false" outlineLevel="0" collapsed="false">
      <c r="A1425" s="0" t="n">
        <v>1846</v>
      </c>
      <c r="B1425" s="0" t="n">
        <v>18550</v>
      </c>
      <c r="C1425" s="0" t="s">
        <v>8022</v>
      </c>
      <c r="D1425" s="0" t="s">
        <v>13</v>
      </c>
      <c r="F1425" s="0" t="s">
        <v>615</v>
      </c>
      <c r="G1425" s="0" t="s">
        <v>18099</v>
      </c>
    </row>
    <row r="1426" customFormat="false" ht="15" hidden="false" customHeight="false" outlineLevel="0" collapsed="false">
      <c r="A1426" s="0" t="n">
        <v>1847</v>
      </c>
      <c r="B1426" s="0" t="n">
        <v>18551</v>
      </c>
      <c r="C1426" s="0" t="s">
        <v>8026</v>
      </c>
      <c r="D1426" s="0" t="s">
        <v>13</v>
      </c>
      <c r="F1426" s="0" t="s">
        <v>615</v>
      </c>
      <c r="G1426" s="0" t="s">
        <v>18099</v>
      </c>
    </row>
    <row r="1427" customFormat="false" ht="15" hidden="false" customHeight="false" outlineLevel="0" collapsed="false">
      <c r="A1427" s="0" t="n">
        <v>1848</v>
      </c>
      <c r="B1427" s="0" t="n">
        <v>18552</v>
      </c>
      <c r="C1427" s="0" t="s">
        <v>8030</v>
      </c>
      <c r="D1427" s="0" t="s">
        <v>13</v>
      </c>
      <c r="F1427" s="0" t="s">
        <v>615</v>
      </c>
      <c r="G1427" s="0" t="s">
        <v>18099</v>
      </c>
    </row>
    <row r="1428" customFormat="false" ht="15" hidden="false" customHeight="false" outlineLevel="0" collapsed="false">
      <c r="A1428" s="0" t="n">
        <v>1849</v>
      </c>
      <c r="B1428" s="0" t="n">
        <v>18553</v>
      </c>
      <c r="C1428" s="0" t="s">
        <v>8034</v>
      </c>
      <c r="D1428" s="0" t="s">
        <v>13</v>
      </c>
      <c r="F1428" s="0" t="s">
        <v>615</v>
      </c>
      <c r="G1428" s="0" t="s">
        <v>18099</v>
      </c>
    </row>
    <row r="1429" customFormat="false" ht="15" hidden="false" customHeight="false" outlineLevel="0" collapsed="false">
      <c r="A1429" s="0" t="n">
        <v>1850</v>
      </c>
      <c r="B1429" s="0" t="n">
        <v>18554</v>
      </c>
      <c r="C1429" s="0" t="s">
        <v>8038</v>
      </c>
      <c r="D1429" s="0" t="s">
        <v>13</v>
      </c>
      <c r="F1429" s="0" t="s">
        <v>615</v>
      </c>
      <c r="G1429" s="0" t="s">
        <v>18099</v>
      </c>
    </row>
    <row r="1430" customFormat="false" ht="15" hidden="false" customHeight="false" outlineLevel="0" collapsed="false">
      <c r="A1430" s="0" t="n">
        <v>1851</v>
      </c>
      <c r="B1430" s="0" t="n">
        <v>18555</v>
      </c>
      <c r="C1430" s="0" t="s">
        <v>8042</v>
      </c>
      <c r="D1430" s="0" t="s">
        <v>13</v>
      </c>
      <c r="F1430" s="0" t="s">
        <v>615</v>
      </c>
      <c r="G1430" s="0" t="s">
        <v>18099</v>
      </c>
    </row>
    <row r="1431" customFormat="false" ht="15" hidden="false" customHeight="false" outlineLevel="0" collapsed="false">
      <c r="A1431" s="0" t="n">
        <v>1852</v>
      </c>
      <c r="B1431" s="0" t="n">
        <v>18556</v>
      </c>
      <c r="C1431" s="0" t="s">
        <v>8046</v>
      </c>
      <c r="D1431" s="0" t="s">
        <v>13</v>
      </c>
      <c r="F1431" s="0" t="s">
        <v>615</v>
      </c>
      <c r="G1431" s="0" t="s">
        <v>18099</v>
      </c>
    </row>
    <row r="1432" customFormat="false" ht="15" hidden="false" customHeight="false" outlineLevel="0" collapsed="false">
      <c r="A1432" s="0" t="n">
        <v>1853</v>
      </c>
      <c r="B1432" s="0" t="n">
        <v>18557</v>
      </c>
      <c r="C1432" s="0" t="s">
        <v>8050</v>
      </c>
      <c r="D1432" s="0" t="s">
        <v>13</v>
      </c>
      <c r="F1432" s="0" t="s">
        <v>615</v>
      </c>
      <c r="G1432" s="0" t="s">
        <v>18099</v>
      </c>
    </row>
    <row r="1433" customFormat="false" ht="15" hidden="false" customHeight="false" outlineLevel="0" collapsed="false">
      <c r="A1433" s="0" t="n">
        <v>1854</v>
      </c>
      <c r="B1433" s="0" t="n">
        <v>18558</v>
      </c>
      <c r="C1433" s="0" t="s">
        <v>8054</v>
      </c>
      <c r="D1433" s="0" t="s">
        <v>13</v>
      </c>
      <c r="F1433" s="0" t="s">
        <v>615</v>
      </c>
      <c r="G1433" s="0" t="s">
        <v>18099</v>
      </c>
    </row>
    <row r="1434" customFormat="false" ht="15" hidden="false" customHeight="false" outlineLevel="0" collapsed="false">
      <c r="A1434" s="0" t="n">
        <v>1855</v>
      </c>
      <c r="B1434" s="0" t="n">
        <v>18559</v>
      </c>
      <c r="C1434" s="0" t="s">
        <v>8058</v>
      </c>
      <c r="D1434" s="0" t="s">
        <v>13</v>
      </c>
      <c r="F1434" s="0" t="s">
        <v>615</v>
      </c>
      <c r="G1434" s="0" t="s">
        <v>18099</v>
      </c>
    </row>
    <row r="1435" customFormat="false" ht="15" hidden="false" customHeight="false" outlineLevel="0" collapsed="false">
      <c r="A1435" s="0" t="n">
        <v>1856</v>
      </c>
      <c r="B1435" s="0" t="n">
        <v>18560</v>
      </c>
      <c r="C1435" s="0" t="s">
        <v>8062</v>
      </c>
      <c r="D1435" s="0" t="s">
        <v>13</v>
      </c>
      <c r="F1435" s="0" t="s">
        <v>615</v>
      </c>
      <c r="G1435" s="0" t="s">
        <v>18099</v>
      </c>
    </row>
    <row r="1436" customFormat="false" ht="15" hidden="false" customHeight="false" outlineLevel="0" collapsed="false">
      <c r="A1436" s="0" t="n">
        <v>1857</v>
      </c>
      <c r="B1436" s="0" t="n">
        <v>18561</v>
      </c>
      <c r="C1436" s="0" t="s">
        <v>8066</v>
      </c>
      <c r="D1436" s="0" t="s">
        <v>13</v>
      </c>
      <c r="F1436" s="0" t="s">
        <v>615</v>
      </c>
      <c r="G1436" s="0" t="s">
        <v>18099</v>
      </c>
    </row>
    <row r="1437" customFormat="false" ht="15" hidden="false" customHeight="false" outlineLevel="0" collapsed="false">
      <c r="A1437" s="0" t="n">
        <v>2114</v>
      </c>
      <c r="B1437" s="0" t="n">
        <v>19306</v>
      </c>
      <c r="C1437" s="0" t="s">
        <v>9105</v>
      </c>
      <c r="D1437" s="0" t="s">
        <v>13</v>
      </c>
      <c r="F1437" s="0" t="s">
        <v>615</v>
      </c>
      <c r="G1437" s="0" t="s">
        <v>18099</v>
      </c>
    </row>
    <row r="1438" customFormat="false" ht="15" hidden="false" customHeight="false" outlineLevel="0" collapsed="false">
      <c r="A1438" s="0" t="n">
        <v>2165</v>
      </c>
      <c r="B1438" s="0" t="n">
        <v>19496</v>
      </c>
      <c r="C1438" s="0" t="s">
        <v>9314</v>
      </c>
      <c r="D1438" s="0" t="s">
        <v>13</v>
      </c>
      <c r="F1438" s="0" t="s">
        <v>615</v>
      </c>
      <c r="G1438" s="0" t="s">
        <v>18099</v>
      </c>
    </row>
    <row r="1439" customFormat="false" ht="15" hidden="false" customHeight="false" outlineLevel="0" collapsed="false">
      <c r="A1439" s="0" t="n">
        <v>2225</v>
      </c>
      <c r="B1439" s="0" t="n">
        <v>19608</v>
      </c>
      <c r="C1439" s="0" t="s">
        <v>9517</v>
      </c>
      <c r="D1439" s="0" t="s">
        <v>13</v>
      </c>
      <c r="F1439" s="0" t="s">
        <v>615</v>
      </c>
      <c r="G1439" s="0" t="s">
        <v>18099</v>
      </c>
    </row>
    <row r="1440" customFormat="false" ht="15" hidden="false" customHeight="false" outlineLevel="0" collapsed="false">
      <c r="A1440" s="0" t="n">
        <v>2226</v>
      </c>
      <c r="B1440" s="0" t="n">
        <v>19609</v>
      </c>
      <c r="C1440" s="0" t="s">
        <v>9521</v>
      </c>
      <c r="D1440" s="0" t="s">
        <v>13</v>
      </c>
      <c r="F1440" s="0" t="s">
        <v>615</v>
      </c>
      <c r="G1440" s="0" t="s">
        <v>18099</v>
      </c>
    </row>
    <row r="1441" customFormat="false" ht="15" hidden="false" customHeight="false" outlineLevel="0" collapsed="false">
      <c r="A1441" s="0" t="n">
        <v>2230</v>
      </c>
      <c r="B1441" s="0" t="n">
        <v>19619</v>
      </c>
      <c r="C1441" s="0" t="s">
        <v>238</v>
      </c>
      <c r="D1441" s="0" t="s">
        <v>13</v>
      </c>
      <c r="F1441" s="0" t="s">
        <v>615</v>
      </c>
      <c r="G1441" s="0" t="s">
        <v>18099</v>
      </c>
    </row>
    <row r="1442" customFormat="false" ht="15" hidden="false" customHeight="false" outlineLevel="0" collapsed="false">
      <c r="A1442" s="0" t="n">
        <v>2263</v>
      </c>
      <c r="B1442" s="0" t="n">
        <v>19706</v>
      </c>
      <c r="C1442" s="0" t="s">
        <v>9681</v>
      </c>
      <c r="D1442" s="0" t="s">
        <v>13</v>
      </c>
      <c r="F1442" s="0" t="s">
        <v>615</v>
      </c>
      <c r="G1442" s="0" t="s">
        <v>18099</v>
      </c>
    </row>
    <row r="1443" customFormat="false" ht="15" hidden="false" customHeight="false" outlineLevel="0" collapsed="false">
      <c r="A1443" s="0" t="n">
        <v>2649</v>
      </c>
      <c r="B1443" s="0" t="n">
        <v>20579</v>
      </c>
      <c r="C1443" s="0" t="s">
        <v>11327</v>
      </c>
      <c r="D1443" s="0" t="s">
        <v>13</v>
      </c>
      <c r="F1443" s="0" t="s">
        <v>615</v>
      </c>
      <c r="G1443" s="0" t="s">
        <v>18099</v>
      </c>
    </row>
    <row r="1444" customFormat="false" ht="15" hidden="false" customHeight="false" outlineLevel="0" collapsed="false">
      <c r="A1444" s="0" t="n">
        <v>3222</v>
      </c>
      <c r="B1444" s="0" t="n">
        <v>21820</v>
      </c>
      <c r="C1444" s="0" t="s">
        <v>13370</v>
      </c>
      <c r="D1444" s="0" t="s">
        <v>13</v>
      </c>
      <c r="F1444" s="0" t="s">
        <v>728</v>
      </c>
      <c r="G1444" s="0" t="s">
        <v>18099</v>
      </c>
    </row>
    <row r="1445" customFormat="false" ht="15" hidden="false" customHeight="false" outlineLevel="0" collapsed="false">
      <c r="A1445" s="0" t="n">
        <v>3376</v>
      </c>
      <c r="B1445" s="0" t="n">
        <v>21991</v>
      </c>
      <c r="C1445" s="0" t="s">
        <v>13903</v>
      </c>
      <c r="D1445" s="0" t="s">
        <v>13</v>
      </c>
      <c r="F1445" s="0" t="s">
        <v>615</v>
      </c>
      <c r="G1445" s="0" t="s">
        <v>18099</v>
      </c>
    </row>
    <row r="1446" customFormat="false" ht="15" hidden="false" customHeight="false" outlineLevel="0" collapsed="false">
      <c r="A1446" s="0" t="n">
        <v>3509</v>
      </c>
      <c r="B1446" s="0" t="n">
        <v>22127</v>
      </c>
      <c r="C1446" s="0" t="s">
        <v>14339</v>
      </c>
      <c r="D1446" s="0" t="s">
        <v>13</v>
      </c>
      <c r="F1446" s="0" t="s">
        <v>36</v>
      </c>
      <c r="G1446" s="0" t="s">
        <v>18099</v>
      </c>
    </row>
    <row r="1447" customFormat="false" ht="15" hidden="false" customHeight="false" outlineLevel="0" collapsed="false">
      <c r="A1447" s="0" t="n">
        <v>3510</v>
      </c>
      <c r="B1447" s="0" t="n">
        <v>22128</v>
      </c>
      <c r="C1447" s="0" t="s">
        <v>14343</v>
      </c>
      <c r="D1447" s="0" t="s">
        <v>13</v>
      </c>
      <c r="F1447" s="0" t="s">
        <v>615</v>
      </c>
      <c r="G1447" s="0" t="s">
        <v>18099</v>
      </c>
    </row>
    <row r="1448" customFormat="false" ht="15" hidden="false" customHeight="false" outlineLevel="0" collapsed="false">
      <c r="A1448" s="0" t="n">
        <v>3511</v>
      </c>
      <c r="B1448" s="0" t="n">
        <v>22129</v>
      </c>
      <c r="C1448" s="0" t="s">
        <v>14346</v>
      </c>
      <c r="D1448" s="0" t="s">
        <v>13</v>
      </c>
      <c r="F1448" s="0" t="s">
        <v>36</v>
      </c>
      <c r="G1448" s="0" t="s">
        <v>18099</v>
      </c>
    </row>
    <row r="1449" customFormat="false" ht="15" hidden="false" customHeight="false" outlineLevel="0" collapsed="false">
      <c r="A1449" s="0" t="n">
        <v>3574</v>
      </c>
      <c r="B1449" s="0" t="n">
        <v>22192</v>
      </c>
      <c r="C1449" s="0" t="s">
        <v>14561</v>
      </c>
      <c r="D1449" s="0" t="s">
        <v>13</v>
      </c>
      <c r="F1449" s="0" t="s">
        <v>728</v>
      </c>
      <c r="G1449" s="0" t="s">
        <v>18099</v>
      </c>
    </row>
    <row r="1450" customFormat="false" ht="15" hidden="false" customHeight="false" outlineLevel="0" collapsed="false">
      <c r="A1450" s="0" t="n">
        <v>4318</v>
      </c>
      <c r="B1450" s="0" t="n">
        <v>22953</v>
      </c>
      <c r="C1450" s="0" t="s">
        <v>17702</v>
      </c>
      <c r="D1450" s="0" t="s">
        <v>13</v>
      </c>
      <c r="F1450" s="0" t="s">
        <v>105</v>
      </c>
      <c r="G1450" s="0" t="s">
        <v>18099</v>
      </c>
    </row>
    <row r="1451" customFormat="false" ht="15" hidden="false" customHeight="false" outlineLevel="0" collapsed="false">
      <c r="A1451" s="0" t="n">
        <v>4319</v>
      </c>
      <c r="B1451" s="0" t="n">
        <v>22954</v>
      </c>
      <c r="C1451" s="0" t="s">
        <v>17708</v>
      </c>
      <c r="D1451" s="0" t="s">
        <v>13</v>
      </c>
      <c r="F1451" s="0" t="s">
        <v>105</v>
      </c>
      <c r="G1451" s="0" t="s">
        <v>18099</v>
      </c>
    </row>
    <row r="1452" customFormat="false" ht="15" hidden="false" customHeight="false" outlineLevel="0" collapsed="false">
      <c r="A1452" s="0" t="n">
        <v>3214</v>
      </c>
      <c r="B1452" s="0" t="n">
        <v>21812</v>
      </c>
      <c r="C1452" s="0" t="s">
        <v>13338</v>
      </c>
      <c r="D1452" s="0" t="s">
        <v>17</v>
      </c>
      <c r="F1452" s="0" t="s">
        <v>83</v>
      </c>
      <c r="G1452" s="0" t="s">
        <v>18100</v>
      </c>
    </row>
    <row r="1453" customFormat="false" ht="15" hidden="false" customHeight="false" outlineLevel="0" collapsed="false">
      <c r="A1453" s="0" t="n">
        <v>4318</v>
      </c>
      <c r="B1453" s="0" t="n">
        <v>22953</v>
      </c>
      <c r="C1453" s="0" t="s">
        <v>17702</v>
      </c>
      <c r="D1453" s="0" t="s">
        <v>19</v>
      </c>
      <c r="F1453" s="0" t="s">
        <v>40</v>
      </c>
      <c r="G1453" s="0" t="s">
        <v>18101</v>
      </c>
    </row>
    <row r="1454" customFormat="false" ht="15" hidden="false" customHeight="false" outlineLevel="0" collapsed="false">
      <c r="A1454" s="0" t="n">
        <v>4318</v>
      </c>
      <c r="B1454" s="0" t="n">
        <v>22953</v>
      </c>
      <c r="C1454" s="0" t="s">
        <v>17702</v>
      </c>
      <c r="D1454" s="0" t="s">
        <v>18</v>
      </c>
      <c r="F1454" s="0" t="s">
        <v>18102</v>
      </c>
      <c r="G1454" s="0" t="s">
        <v>18103</v>
      </c>
    </row>
    <row r="1455" customFormat="false" ht="15" hidden="false" customHeight="false" outlineLevel="0" collapsed="false">
      <c r="A1455" s="0" t="n">
        <v>4318</v>
      </c>
      <c r="B1455" s="0" t="n">
        <v>22953</v>
      </c>
      <c r="C1455" s="0" t="s">
        <v>17702</v>
      </c>
      <c r="D1455" s="0" t="s">
        <v>17</v>
      </c>
      <c r="F1455" s="0" t="s">
        <v>39</v>
      </c>
      <c r="G1455" s="0" t="s">
        <v>18100</v>
      </c>
    </row>
    <row r="1456" customFormat="false" ht="15" hidden="false" customHeight="false" outlineLevel="0" collapsed="false">
      <c r="A1456" s="0" t="n">
        <v>4318</v>
      </c>
      <c r="B1456" s="0" t="n">
        <v>22953</v>
      </c>
      <c r="C1456" s="0" t="s">
        <v>17702</v>
      </c>
      <c r="D1456" s="0" t="s">
        <v>20</v>
      </c>
      <c r="F1456" s="0" t="s">
        <v>17706</v>
      </c>
      <c r="G1456" s="0" t="s">
        <v>18104</v>
      </c>
    </row>
    <row r="1457" customFormat="false" ht="15" hidden="false" customHeight="false" outlineLevel="0" collapsed="false">
      <c r="A1457" s="0" t="n">
        <v>4319</v>
      </c>
      <c r="B1457" s="0" t="n">
        <v>22954</v>
      </c>
      <c r="C1457" s="0" t="s">
        <v>17708</v>
      </c>
      <c r="D1457" s="0" t="s">
        <v>19</v>
      </c>
      <c r="F1457" s="0" t="s">
        <v>40</v>
      </c>
      <c r="G1457" s="0" t="s">
        <v>18101</v>
      </c>
    </row>
    <row r="1458" customFormat="false" ht="15" hidden="false" customHeight="false" outlineLevel="0" collapsed="false">
      <c r="A1458" s="0" t="n">
        <v>4319</v>
      </c>
      <c r="B1458" s="0" t="n">
        <v>22954</v>
      </c>
      <c r="C1458" s="0" t="s">
        <v>17708</v>
      </c>
      <c r="D1458" s="0" t="s">
        <v>18</v>
      </c>
      <c r="F1458" s="0" t="s">
        <v>18105</v>
      </c>
      <c r="G1458" s="0" t="s">
        <v>18103</v>
      </c>
    </row>
    <row r="1459" customFormat="false" ht="15" hidden="false" customHeight="false" outlineLevel="0" collapsed="false">
      <c r="A1459" s="0" t="n">
        <v>4319</v>
      </c>
      <c r="B1459" s="0" t="n">
        <v>22954</v>
      </c>
      <c r="C1459" s="0" t="s">
        <v>17708</v>
      </c>
      <c r="D1459" s="0" t="s">
        <v>17</v>
      </c>
      <c r="F1459" s="0" t="s">
        <v>39</v>
      </c>
      <c r="G1459" s="0" t="s">
        <v>18100</v>
      </c>
    </row>
    <row r="1460" customFormat="false" ht="15" hidden="false" customHeight="false" outlineLevel="0" collapsed="false">
      <c r="A1460" s="0" t="n">
        <v>4319</v>
      </c>
      <c r="B1460" s="0" t="n">
        <v>22954</v>
      </c>
      <c r="C1460" s="0" t="s">
        <v>17708</v>
      </c>
      <c r="D1460" s="0" t="s">
        <v>20</v>
      </c>
      <c r="F1460" s="0" t="s">
        <v>17711</v>
      </c>
      <c r="G1460" s="0" t="s">
        <v>18104</v>
      </c>
    </row>
    <row r="1461" customFormat="false" ht="15" hidden="false" customHeight="false" outlineLevel="0" collapsed="false">
      <c r="A1461" s="0" t="n">
        <v>4318</v>
      </c>
      <c r="B1461" s="0" t="n">
        <v>22953</v>
      </c>
      <c r="C1461" s="0" t="s">
        <v>17702</v>
      </c>
      <c r="D1461" s="0" t="s">
        <v>16</v>
      </c>
      <c r="F1461" s="0" t="s">
        <v>17705</v>
      </c>
      <c r="G1461" s="0" t="s">
        <v>18106</v>
      </c>
    </row>
    <row r="1462" customFormat="false" ht="15" hidden="false" customHeight="false" outlineLevel="0" collapsed="false">
      <c r="A1462" s="0" t="n">
        <v>4319</v>
      </c>
      <c r="B1462" s="0" t="n">
        <v>22954</v>
      </c>
      <c r="C1462" s="0" t="s">
        <v>17708</v>
      </c>
      <c r="D1462" s="0" t="s">
        <v>16</v>
      </c>
      <c r="F1462" s="0" t="s">
        <v>17710</v>
      </c>
      <c r="G1462" s="0" t="s">
        <v>18106</v>
      </c>
    </row>
    <row r="1463" customFormat="false" ht="15" hidden="false" customHeight="false" outlineLevel="0" collapsed="false">
      <c r="A1463" s="0" t="n">
        <v>127</v>
      </c>
      <c r="B1463" s="0" t="n">
        <v>675</v>
      </c>
      <c r="C1463" s="0" t="s">
        <v>604</v>
      </c>
      <c r="D1463" s="0" t="s">
        <v>22</v>
      </c>
      <c r="F1463" s="0" t="s">
        <v>54</v>
      </c>
      <c r="G1463" s="0" t="s">
        <v>18107</v>
      </c>
    </row>
    <row r="1464" customFormat="false" ht="15" hidden="false" customHeight="false" outlineLevel="0" collapsed="false">
      <c r="A1464" s="0" t="n">
        <v>162</v>
      </c>
      <c r="B1464" s="0" t="n">
        <v>1398</v>
      </c>
      <c r="C1464" s="0" t="s">
        <v>760</v>
      </c>
      <c r="D1464" s="0" t="s">
        <v>21</v>
      </c>
      <c r="F1464" s="0" t="s">
        <v>42</v>
      </c>
      <c r="G1464" s="0" t="s">
        <v>18108</v>
      </c>
    </row>
    <row r="1465" customFormat="false" ht="15" hidden="false" customHeight="false" outlineLevel="0" collapsed="false">
      <c r="A1465" s="0" t="n">
        <v>163</v>
      </c>
      <c r="B1465" s="0" t="n">
        <v>1400</v>
      </c>
      <c r="C1465" s="0" t="s">
        <v>767</v>
      </c>
      <c r="D1465" s="0" t="s">
        <v>21</v>
      </c>
      <c r="F1465" s="0" t="s">
        <v>42</v>
      </c>
      <c r="G1465" s="0" t="s">
        <v>18108</v>
      </c>
    </row>
    <row r="1466" customFormat="false" ht="15" hidden="false" customHeight="false" outlineLevel="0" collapsed="false">
      <c r="A1466" s="0" t="n">
        <v>453</v>
      </c>
      <c r="B1466" s="0" t="n">
        <v>2338</v>
      </c>
      <c r="C1466" s="0" t="s">
        <v>2045</v>
      </c>
      <c r="D1466" s="0" t="s">
        <v>21</v>
      </c>
      <c r="F1466" s="0" t="s">
        <v>42</v>
      </c>
      <c r="G1466" s="0" t="s">
        <v>18108</v>
      </c>
    </row>
    <row r="1467" customFormat="false" ht="15" hidden="false" customHeight="false" outlineLevel="0" collapsed="false">
      <c r="A1467" s="0" t="n">
        <v>454</v>
      </c>
      <c r="B1467" s="0" t="n">
        <v>2340</v>
      </c>
      <c r="C1467" s="0" t="s">
        <v>2053</v>
      </c>
      <c r="D1467" s="0" t="s">
        <v>21</v>
      </c>
      <c r="F1467" s="0" t="s">
        <v>42</v>
      </c>
      <c r="G1467" s="0" t="s">
        <v>18108</v>
      </c>
    </row>
    <row r="1468" customFormat="false" ht="15" hidden="false" customHeight="false" outlineLevel="0" collapsed="false">
      <c r="A1468" s="0" t="n">
        <v>455</v>
      </c>
      <c r="B1468" s="0" t="n">
        <v>2341</v>
      </c>
      <c r="C1468" s="0" t="s">
        <v>2058</v>
      </c>
      <c r="D1468" s="0" t="s">
        <v>21</v>
      </c>
      <c r="F1468" s="0" t="s">
        <v>42</v>
      </c>
      <c r="G1468" s="0" t="s">
        <v>18108</v>
      </c>
    </row>
    <row r="1469" customFormat="false" ht="15" hidden="false" customHeight="false" outlineLevel="0" collapsed="false">
      <c r="A1469" s="0" t="n">
        <v>456</v>
      </c>
      <c r="B1469" s="0" t="n">
        <v>2357</v>
      </c>
      <c r="C1469" s="0" t="s">
        <v>2063</v>
      </c>
      <c r="D1469" s="0" t="s">
        <v>21</v>
      </c>
      <c r="F1469" s="0" t="s">
        <v>42</v>
      </c>
      <c r="G1469" s="0" t="s">
        <v>18108</v>
      </c>
    </row>
    <row r="1470" customFormat="false" ht="15" hidden="false" customHeight="false" outlineLevel="0" collapsed="false">
      <c r="A1470" s="0" t="n">
        <v>457</v>
      </c>
      <c r="B1470" s="0" t="n">
        <v>2359</v>
      </c>
      <c r="C1470" s="0" t="s">
        <v>2067</v>
      </c>
      <c r="D1470" s="0" t="s">
        <v>21</v>
      </c>
      <c r="F1470" s="0" t="s">
        <v>42</v>
      </c>
      <c r="G1470" s="0" t="s">
        <v>18108</v>
      </c>
    </row>
    <row r="1471" customFormat="false" ht="15" hidden="false" customHeight="false" outlineLevel="0" collapsed="false">
      <c r="A1471" s="0" t="n">
        <v>510</v>
      </c>
      <c r="B1471" s="0" t="n">
        <v>2666</v>
      </c>
      <c r="C1471" s="0" t="s">
        <v>2288</v>
      </c>
      <c r="D1471" s="0" t="s">
        <v>21</v>
      </c>
      <c r="F1471" s="0" t="s">
        <v>42</v>
      </c>
      <c r="G1471" s="0" t="s">
        <v>18108</v>
      </c>
    </row>
    <row r="1472" customFormat="false" ht="15" hidden="false" customHeight="false" outlineLevel="0" collapsed="false">
      <c r="A1472" s="0" t="n">
        <v>551</v>
      </c>
      <c r="B1472" s="0" t="n">
        <v>3214</v>
      </c>
      <c r="C1472" s="0" t="s">
        <v>2487</v>
      </c>
      <c r="D1472" s="0" t="s">
        <v>21</v>
      </c>
      <c r="F1472" s="0" t="s">
        <v>42</v>
      </c>
      <c r="G1472" s="0" t="s">
        <v>18108</v>
      </c>
    </row>
    <row r="1473" customFormat="false" ht="15" hidden="false" customHeight="false" outlineLevel="0" collapsed="false">
      <c r="A1473" s="0" t="n">
        <v>582</v>
      </c>
      <c r="B1473" s="0" t="n">
        <v>3652</v>
      </c>
      <c r="C1473" s="0" t="s">
        <v>2620</v>
      </c>
      <c r="D1473" s="0" t="s">
        <v>21</v>
      </c>
      <c r="F1473" s="0" t="s">
        <v>42</v>
      </c>
      <c r="G1473" s="0" t="s">
        <v>18108</v>
      </c>
    </row>
    <row r="1474" customFormat="false" ht="15" hidden="false" customHeight="false" outlineLevel="0" collapsed="false">
      <c r="A1474" s="0" t="n">
        <v>582</v>
      </c>
      <c r="B1474" s="0" t="n">
        <v>3652</v>
      </c>
      <c r="C1474" s="0" t="s">
        <v>2620</v>
      </c>
      <c r="D1474" s="0" t="s">
        <v>22</v>
      </c>
      <c r="F1474" s="0" t="s">
        <v>54</v>
      </c>
      <c r="G1474" s="0" t="s">
        <v>18107</v>
      </c>
    </row>
    <row r="1475" customFormat="false" ht="15" hidden="false" customHeight="false" outlineLevel="0" collapsed="false">
      <c r="A1475" s="0" t="n">
        <v>583</v>
      </c>
      <c r="B1475" s="0" t="n">
        <v>3654</v>
      </c>
      <c r="C1475" s="0" t="s">
        <v>2625</v>
      </c>
      <c r="D1475" s="0" t="s">
        <v>21</v>
      </c>
      <c r="F1475" s="0" t="s">
        <v>42</v>
      </c>
      <c r="G1475" s="0" t="s">
        <v>18108</v>
      </c>
    </row>
    <row r="1476" customFormat="false" ht="15" hidden="false" customHeight="false" outlineLevel="0" collapsed="false">
      <c r="A1476" s="0" t="n">
        <v>583</v>
      </c>
      <c r="B1476" s="0" t="n">
        <v>3654</v>
      </c>
      <c r="C1476" s="0" t="s">
        <v>2625</v>
      </c>
      <c r="D1476" s="0" t="s">
        <v>22</v>
      </c>
      <c r="F1476" s="0" t="s">
        <v>54</v>
      </c>
      <c r="G1476" s="0" t="s">
        <v>18107</v>
      </c>
    </row>
    <row r="1477" customFormat="false" ht="15" hidden="false" customHeight="false" outlineLevel="0" collapsed="false">
      <c r="A1477" s="0" t="n">
        <v>584</v>
      </c>
      <c r="B1477" s="0" t="n">
        <v>3655</v>
      </c>
      <c r="C1477" s="0" t="s">
        <v>2630</v>
      </c>
      <c r="D1477" s="0" t="s">
        <v>21</v>
      </c>
      <c r="F1477" s="0" t="s">
        <v>42</v>
      </c>
      <c r="G1477" s="0" t="s">
        <v>18108</v>
      </c>
    </row>
    <row r="1478" customFormat="false" ht="15" hidden="false" customHeight="false" outlineLevel="0" collapsed="false">
      <c r="A1478" s="0" t="n">
        <v>584</v>
      </c>
      <c r="B1478" s="0" t="n">
        <v>3655</v>
      </c>
      <c r="C1478" s="0" t="s">
        <v>2630</v>
      </c>
      <c r="D1478" s="0" t="s">
        <v>22</v>
      </c>
      <c r="F1478" s="0" t="s">
        <v>54</v>
      </c>
      <c r="G1478" s="0" t="s">
        <v>18107</v>
      </c>
    </row>
    <row r="1479" customFormat="false" ht="15" hidden="false" customHeight="false" outlineLevel="0" collapsed="false">
      <c r="A1479" s="0" t="n">
        <v>585</v>
      </c>
      <c r="B1479" s="0" t="n">
        <v>3656</v>
      </c>
      <c r="C1479" s="0" t="s">
        <v>2634</v>
      </c>
      <c r="D1479" s="0" t="s">
        <v>21</v>
      </c>
      <c r="F1479" s="0" t="s">
        <v>42</v>
      </c>
      <c r="G1479" s="0" t="s">
        <v>18108</v>
      </c>
    </row>
    <row r="1480" customFormat="false" ht="15" hidden="false" customHeight="false" outlineLevel="0" collapsed="false">
      <c r="A1480" s="0" t="n">
        <v>585</v>
      </c>
      <c r="B1480" s="0" t="n">
        <v>3656</v>
      </c>
      <c r="C1480" s="0" t="s">
        <v>2634</v>
      </c>
      <c r="D1480" s="0" t="s">
        <v>22</v>
      </c>
      <c r="F1480" s="0" t="s">
        <v>54</v>
      </c>
      <c r="G1480" s="0" t="s">
        <v>18107</v>
      </c>
    </row>
    <row r="1481" customFormat="false" ht="15" hidden="false" customHeight="false" outlineLevel="0" collapsed="false">
      <c r="A1481" s="0" t="n">
        <v>586</v>
      </c>
      <c r="B1481" s="0" t="n">
        <v>3657</v>
      </c>
      <c r="C1481" s="0" t="s">
        <v>2638</v>
      </c>
      <c r="D1481" s="0" t="s">
        <v>21</v>
      </c>
      <c r="F1481" s="0" t="s">
        <v>42</v>
      </c>
      <c r="G1481" s="0" t="s">
        <v>18108</v>
      </c>
    </row>
    <row r="1482" customFormat="false" ht="15" hidden="false" customHeight="false" outlineLevel="0" collapsed="false">
      <c r="A1482" s="0" t="n">
        <v>586</v>
      </c>
      <c r="B1482" s="0" t="n">
        <v>3657</v>
      </c>
      <c r="C1482" s="0" t="s">
        <v>2638</v>
      </c>
      <c r="D1482" s="0" t="s">
        <v>22</v>
      </c>
      <c r="F1482" s="0" t="s">
        <v>54</v>
      </c>
      <c r="G1482" s="0" t="s">
        <v>18107</v>
      </c>
    </row>
    <row r="1483" customFormat="false" ht="15" hidden="false" customHeight="false" outlineLevel="0" collapsed="false">
      <c r="A1483" s="0" t="n">
        <v>587</v>
      </c>
      <c r="B1483" s="0" t="n">
        <v>3658</v>
      </c>
      <c r="C1483" s="0" t="s">
        <v>2642</v>
      </c>
      <c r="D1483" s="0" t="s">
        <v>21</v>
      </c>
      <c r="F1483" s="0" t="s">
        <v>42</v>
      </c>
      <c r="G1483" s="0" t="s">
        <v>18108</v>
      </c>
    </row>
    <row r="1484" customFormat="false" ht="15" hidden="false" customHeight="false" outlineLevel="0" collapsed="false">
      <c r="A1484" s="0" t="n">
        <v>587</v>
      </c>
      <c r="B1484" s="0" t="n">
        <v>3658</v>
      </c>
      <c r="C1484" s="0" t="s">
        <v>2642</v>
      </c>
      <c r="D1484" s="0" t="s">
        <v>22</v>
      </c>
      <c r="F1484" s="0" t="s">
        <v>54</v>
      </c>
      <c r="G1484" s="0" t="s">
        <v>18107</v>
      </c>
    </row>
    <row r="1485" customFormat="false" ht="15" hidden="false" customHeight="false" outlineLevel="0" collapsed="false">
      <c r="A1485" s="0" t="n">
        <v>588</v>
      </c>
      <c r="B1485" s="0" t="n">
        <v>3659</v>
      </c>
      <c r="C1485" s="0" t="s">
        <v>2646</v>
      </c>
      <c r="D1485" s="0" t="s">
        <v>21</v>
      </c>
      <c r="F1485" s="0" t="s">
        <v>42</v>
      </c>
      <c r="G1485" s="0" t="s">
        <v>18108</v>
      </c>
    </row>
    <row r="1486" customFormat="false" ht="15" hidden="false" customHeight="false" outlineLevel="0" collapsed="false">
      <c r="A1486" s="0" t="n">
        <v>588</v>
      </c>
      <c r="B1486" s="0" t="n">
        <v>3659</v>
      </c>
      <c r="C1486" s="0" t="s">
        <v>2646</v>
      </c>
      <c r="D1486" s="0" t="s">
        <v>22</v>
      </c>
      <c r="F1486" s="0" t="s">
        <v>54</v>
      </c>
      <c r="G1486" s="0" t="s">
        <v>18107</v>
      </c>
    </row>
    <row r="1487" customFormat="false" ht="15" hidden="false" customHeight="false" outlineLevel="0" collapsed="false">
      <c r="A1487" s="0" t="n">
        <v>589</v>
      </c>
      <c r="B1487" s="0" t="n">
        <v>3660</v>
      </c>
      <c r="C1487" s="0" t="s">
        <v>2650</v>
      </c>
      <c r="D1487" s="0" t="s">
        <v>21</v>
      </c>
      <c r="F1487" s="0" t="s">
        <v>42</v>
      </c>
      <c r="G1487" s="0" t="s">
        <v>18108</v>
      </c>
    </row>
    <row r="1488" customFormat="false" ht="15" hidden="false" customHeight="false" outlineLevel="0" collapsed="false">
      <c r="A1488" s="0" t="n">
        <v>589</v>
      </c>
      <c r="B1488" s="0" t="n">
        <v>3660</v>
      </c>
      <c r="C1488" s="0" t="s">
        <v>2650</v>
      </c>
      <c r="D1488" s="0" t="s">
        <v>22</v>
      </c>
      <c r="F1488" s="0" t="s">
        <v>54</v>
      </c>
      <c r="G1488" s="0" t="s">
        <v>18107</v>
      </c>
    </row>
    <row r="1489" customFormat="false" ht="15" hidden="false" customHeight="false" outlineLevel="0" collapsed="false">
      <c r="A1489" s="0" t="n">
        <v>590</v>
      </c>
      <c r="B1489" s="0" t="n">
        <v>3661</v>
      </c>
      <c r="C1489" s="0" t="s">
        <v>2655</v>
      </c>
      <c r="D1489" s="0" t="s">
        <v>21</v>
      </c>
      <c r="F1489" s="0" t="s">
        <v>42</v>
      </c>
      <c r="G1489" s="0" t="s">
        <v>18108</v>
      </c>
    </row>
    <row r="1490" customFormat="false" ht="15" hidden="false" customHeight="false" outlineLevel="0" collapsed="false">
      <c r="A1490" s="0" t="n">
        <v>590</v>
      </c>
      <c r="B1490" s="0" t="n">
        <v>3661</v>
      </c>
      <c r="C1490" s="0" t="s">
        <v>2655</v>
      </c>
      <c r="D1490" s="0" t="s">
        <v>22</v>
      </c>
      <c r="F1490" s="0" t="s">
        <v>54</v>
      </c>
      <c r="G1490" s="0" t="s">
        <v>18107</v>
      </c>
    </row>
    <row r="1491" customFormat="false" ht="15" hidden="false" customHeight="false" outlineLevel="0" collapsed="false">
      <c r="A1491" s="0" t="n">
        <v>591</v>
      </c>
      <c r="B1491" s="0" t="n">
        <v>3662</v>
      </c>
      <c r="C1491" s="0" t="s">
        <v>2659</v>
      </c>
      <c r="D1491" s="0" t="s">
        <v>21</v>
      </c>
      <c r="F1491" s="0" t="s">
        <v>42</v>
      </c>
      <c r="G1491" s="0" t="s">
        <v>18108</v>
      </c>
    </row>
    <row r="1492" customFormat="false" ht="15" hidden="false" customHeight="false" outlineLevel="0" collapsed="false">
      <c r="A1492" s="0" t="n">
        <v>591</v>
      </c>
      <c r="B1492" s="0" t="n">
        <v>3662</v>
      </c>
      <c r="C1492" s="0" t="s">
        <v>2659</v>
      </c>
      <c r="D1492" s="0" t="s">
        <v>22</v>
      </c>
      <c r="F1492" s="0" t="s">
        <v>54</v>
      </c>
      <c r="G1492" s="0" t="s">
        <v>18107</v>
      </c>
    </row>
    <row r="1493" customFormat="false" ht="15" hidden="false" customHeight="false" outlineLevel="0" collapsed="false">
      <c r="A1493" s="0" t="n">
        <v>592</v>
      </c>
      <c r="B1493" s="0" t="n">
        <v>3663</v>
      </c>
      <c r="C1493" s="0" t="s">
        <v>2663</v>
      </c>
      <c r="D1493" s="0" t="s">
        <v>21</v>
      </c>
      <c r="F1493" s="0" t="s">
        <v>42</v>
      </c>
      <c r="G1493" s="0" t="s">
        <v>18108</v>
      </c>
    </row>
    <row r="1494" customFormat="false" ht="15" hidden="false" customHeight="false" outlineLevel="0" collapsed="false">
      <c r="A1494" s="0" t="n">
        <v>592</v>
      </c>
      <c r="B1494" s="0" t="n">
        <v>3663</v>
      </c>
      <c r="C1494" s="0" t="s">
        <v>2663</v>
      </c>
      <c r="D1494" s="0" t="s">
        <v>22</v>
      </c>
      <c r="F1494" s="0" t="s">
        <v>54</v>
      </c>
      <c r="G1494" s="0" t="s">
        <v>18107</v>
      </c>
    </row>
    <row r="1495" customFormat="false" ht="15" hidden="false" customHeight="false" outlineLevel="0" collapsed="false">
      <c r="A1495" s="0" t="n">
        <v>593</v>
      </c>
      <c r="B1495" s="0" t="n">
        <v>3664</v>
      </c>
      <c r="C1495" s="0" t="s">
        <v>2667</v>
      </c>
      <c r="D1495" s="0" t="s">
        <v>21</v>
      </c>
      <c r="F1495" s="0" t="s">
        <v>42</v>
      </c>
      <c r="G1495" s="0" t="s">
        <v>18108</v>
      </c>
    </row>
    <row r="1496" customFormat="false" ht="15" hidden="false" customHeight="false" outlineLevel="0" collapsed="false">
      <c r="A1496" s="0" t="n">
        <v>593</v>
      </c>
      <c r="B1496" s="0" t="n">
        <v>3664</v>
      </c>
      <c r="C1496" s="0" t="s">
        <v>2667</v>
      </c>
      <c r="D1496" s="0" t="s">
        <v>22</v>
      </c>
      <c r="F1496" s="0" t="s">
        <v>54</v>
      </c>
      <c r="G1496" s="0" t="s">
        <v>18107</v>
      </c>
    </row>
    <row r="1497" customFormat="false" ht="15" hidden="false" customHeight="false" outlineLevel="0" collapsed="false">
      <c r="A1497" s="0" t="n">
        <v>594</v>
      </c>
      <c r="B1497" s="0" t="n">
        <v>3665</v>
      </c>
      <c r="C1497" s="0" t="s">
        <v>2671</v>
      </c>
      <c r="D1497" s="0" t="s">
        <v>21</v>
      </c>
      <c r="F1497" s="0" t="s">
        <v>42</v>
      </c>
      <c r="G1497" s="0" t="s">
        <v>18108</v>
      </c>
    </row>
    <row r="1498" customFormat="false" ht="15" hidden="false" customHeight="false" outlineLevel="0" collapsed="false">
      <c r="A1498" s="0" t="n">
        <v>594</v>
      </c>
      <c r="B1498" s="0" t="n">
        <v>3665</v>
      </c>
      <c r="C1498" s="0" t="s">
        <v>2671</v>
      </c>
      <c r="D1498" s="0" t="s">
        <v>22</v>
      </c>
      <c r="F1498" s="0" t="s">
        <v>54</v>
      </c>
      <c r="G1498" s="0" t="s">
        <v>18107</v>
      </c>
    </row>
    <row r="1499" customFormat="false" ht="15" hidden="false" customHeight="false" outlineLevel="0" collapsed="false">
      <c r="A1499" s="0" t="n">
        <v>595</v>
      </c>
      <c r="B1499" s="0" t="n">
        <v>3666</v>
      </c>
      <c r="C1499" s="0" t="s">
        <v>2675</v>
      </c>
      <c r="D1499" s="0" t="s">
        <v>21</v>
      </c>
      <c r="F1499" s="0" t="s">
        <v>42</v>
      </c>
      <c r="G1499" s="0" t="s">
        <v>18108</v>
      </c>
    </row>
    <row r="1500" customFormat="false" ht="15" hidden="false" customHeight="false" outlineLevel="0" collapsed="false">
      <c r="A1500" s="0" t="n">
        <v>595</v>
      </c>
      <c r="B1500" s="0" t="n">
        <v>3666</v>
      </c>
      <c r="C1500" s="0" t="s">
        <v>2675</v>
      </c>
      <c r="D1500" s="0" t="s">
        <v>22</v>
      </c>
      <c r="F1500" s="0" t="s">
        <v>54</v>
      </c>
      <c r="G1500" s="0" t="s">
        <v>18107</v>
      </c>
    </row>
    <row r="1501" customFormat="false" ht="15" hidden="false" customHeight="false" outlineLevel="0" collapsed="false">
      <c r="A1501" s="0" t="n">
        <v>596</v>
      </c>
      <c r="B1501" s="0" t="n">
        <v>3667</v>
      </c>
      <c r="C1501" s="0" t="s">
        <v>2679</v>
      </c>
      <c r="D1501" s="0" t="s">
        <v>21</v>
      </c>
      <c r="F1501" s="0" t="s">
        <v>42</v>
      </c>
      <c r="G1501" s="0" t="s">
        <v>18108</v>
      </c>
    </row>
    <row r="1502" customFormat="false" ht="15" hidden="false" customHeight="false" outlineLevel="0" collapsed="false">
      <c r="A1502" s="0" t="n">
        <v>596</v>
      </c>
      <c r="B1502" s="0" t="n">
        <v>3667</v>
      </c>
      <c r="C1502" s="0" t="s">
        <v>2679</v>
      </c>
      <c r="D1502" s="0" t="s">
        <v>22</v>
      </c>
      <c r="F1502" s="0" t="s">
        <v>54</v>
      </c>
      <c r="G1502" s="0" t="s">
        <v>18107</v>
      </c>
    </row>
    <row r="1503" customFormat="false" ht="15" hidden="false" customHeight="false" outlineLevel="0" collapsed="false">
      <c r="A1503" s="0" t="n">
        <v>597</v>
      </c>
      <c r="B1503" s="0" t="n">
        <v>3668</v>
      </c>
      <c r="C1503" s="0" t="s">
        <v>2683</v>
      </c>
      <c r="D1503" s="0" t="s">
        <v>21</v>
      </c>
      <c r="F1503" s="0" t="s">
        <v>42</v>
      </c>
      <c r="G1503" s="0" t="s">
        <v>18108</v>
      </c>
    </row>
    <row r="1504" customFormat="false" ht="15" hidden="false" customHeight="false" outlineLevel="0" collapsed="false">
      <c r="A1504" s="0" t="n">
        <v>597</v>
      </c>
      <c r="B1504" s="0" t="n">
        <v>3668</v>
      </c>
      <c r="C1504" s="0" t="s">
        <v>2683</v>
      </c>
      <c r="D1504" s="0" t="s">
        <v>22</v>
      </c>
      <c r="F1504" s="0" t="s">
        <v>54</v>
      </c>
      <c r="G1504" s="0" t="s">
        <v>18107</v>
      </c>
    </row>
    <row r="1505" customFormat="false" ht="15" hidden="false" customHeight="false" outlineLevel="0" collapsed="false">
      <c r="A1505" s="0" t="n">
        <v>598</v>
      </c>
      <c r="B1505" s="0" t="n">
        <v>3669</v>
      </c>
      <c r="C1505" s="0" t="s">
        <v>2687</v>
      </c>
      <c r="D1505" s="0" t="s">
        <v>21</v>
      </c>
      <c r="F1505" s="0" t="s">
        <v>42</v>
      </c>
      <c r="G1505" s="0" t="s">
        <v>18108</v>
      </c>
    </row>
    <row r="1506" customFormat="false" ht="15" hidden="false" customHeight="false" outlineLevel="0" collapsed="false">
      <c r="A1506" s="0" t="n">
        <v>598</v>
      </c>
      <c r="B1506" s="0" t="n">
        <v>3669</v>
      </c>
      <c r="C1506" s="0" t="s">
        <v>2687</v>
      </c>
      <c r="D1506" s="0" t="s">
        <v>22</v>
      </c>
      <c r="F1506" s="0" t="s">
        <v>54</v>
      </c>
      <c r="G1506" s="0" t="s">
        <v>18107</v>
      </c>
    </row>
    <row r="1507" customFormat="false" ht="15" hidden="false" customHeight="false" outlineLevel="0" collapsed="false">
      <c r="A1507" s="0" t="n">
        <v>599</v>
      </c>
      <c r="B1507" s="0" t="n">
        <v>3670</v>
      </c>
      <c r="C1507" s="0" t="s">
        <v>2692</v>
      </c>
      <c r="D1507" s="0" t="s">
        <v>21</v>
      </c>
      <c r="F1507" s="0" t="s">
        <v>42</v>
      </c>
      <c r="G1507" s="0" t="s">
        <v>18108</v>
      </c>
    </row>
    <row r="1508" customFormat="false" ht="15" hidden="false" customHeight="false" outlineLevel="0" collapsed="false">
      <c r="A1508" s="0" t="n">
        <v>599</v>
      </c>
      <c r="B1508" s="0" t="n">
        <v>3670</v>
      </c>
      <c r="C1508" s="0" t="s">
        <v>2692</v>
      </c>
      <c r="D1508" s="0" t="s">
        <v>22</v>
      </c>
      <c r="F1508" s="0" t="s">
        <v>54</v>
      </c>
      <c r="G1508" s="0" t="s">
        <v>18107</v>
      </c>
    </row>
    <row r="1509" customFormat="false" ht="15" hidden="false" customHeight="false" outlineLevel="0" collapsed="false">
      <c r="A1509" s="0" t="n">
        <v>600</v>
      </c>
      <c r="B1509" s="0" t="n">
        <v>3671</v>
      </c>
      <c r="C1509" s="0" t="s">
        <v>2696</v>
      </c>
      <c r="D1509" s="0" t="s">
        <v>21</v>
      </c>
      <c r="F1509" s="0" t="s">
        <v>42</v>
      </c>
      <c r="G1509" s="0" t="s">
        <v>18108</v>
      </c>
    </row>
    <row r="1510" customFormat="false" ht="15" hidden="false" customHeight="false" outlineLevel="0" collapsed="false">
      <c r="A1510" s="0" t="n">
        <v>600</v>
      </c>
      <c r="B1510" s="0" t="n">
        <v>3671</v>
      </c>
      <c r="C1510" s="0" t="s">
        <v>2696</v>
      </c>
      <c r="D1510" s="0" t="s">
        <v>22</v>
      </c>
      <c r="F1510" s="0" t="s">
        <v>54</v>
      </c>
      <c r="G1510" s="0" t="s">
        <v>18107</v>
      </c>
    </row>
    <row r="1511" customFormat="false" ht="15" hidden="false" customHeight="false" outlineLevel="0" collapsed="false">
      <c r="A1511" s="0" t="n">
        <v>601</v>
      </c>
      <c r="B1511" s="0" t="n">
        <v>3672</v>
      </c>
      <c r="C1511" s="0" t="s">
        <v>2700</v>
      </c>
      <c r="D1511" s="0" t="s">
        <v>21</v>
      </c>
      <c r="F1511" s="0" t="s">
        <v>42</v>
      </c>
      <c r="G1511" s="0" t="s">
        <v>18108</v>
      </c>
    </row>
    <row r="1512" customFormat="false" ht="15" hidden="false" customHeight="false" outlineLevel="0" collapsed="false">
      <c r="A1512" s="0" t="n">
        <v>601</v>
      </c>
      <c r="B1512" s="0" t="n">
        <v>3672</v>
      </c>
      <c r="C1512" s="0" t="s">
        <v>2700</v>
      </c>
      <c r="D1512" s="0" t="s">
        <v>22</v>
      </c>
      <c r="F1512" s="0" t="s">
        <v>54</v>
      </c>
      <c r="G1512" s="0" t="s">
        <v>18107</v>
      </c>
    </row>
    <row r="1513" customFormat="false" ht="15" hidden="false" customHeight="false" outlineLevel="0" collapsed="false">
      <c r="A1513" s="0" t="n">
        <v>602</v>
      </c>
      <c r="B1513" s="0" t="n">
        <v>3673</v>
      </c>
      <c r="C1513" s="0" t="s">
        <v>2704</v>
      </c>
      <c r="D1513" s="0" t="s">
        <v>21</v>
      </c>
      <c r="F1513" s="0" t="s">
        <v>42</v>
      </c>
      <c r="G1513" s="0" t="s">
        <v>18108</v>
      </c>
    </row>
    <row r="1514" customFormat="false" ht="15" hidden="false" customHeight="false" outlineLevel="0" collapsed="false">
      <c r="A1514" s="0" t="n">
        <v>602</v>
      </c>
      <c r="B1514" s="0" t="n">
        <v>3673</v>
      </c>
      <c r="C1514" s="0" t="s">
        <v>2704</v>
      </c>
      <c r="D1514" s="0" t="s">
        <v>22</v>
      </c>
      <c r="F1514" s="0" t="s">
        <v>54</v>
      </c>
      <c r="G1514" s="0" t="s">
        <v>18107</v>
      </c>
    </row>
    <row r="1515" customFormat="false" ht="15" hidden="false" customHeight="false" outlineLevel="0" collapsed="false">
      <c r="A1515" s="0" t="n">
        <v>603</v>
      </c>
      <c r="B1515" s="0" t="n">
        <v>3674</v>
      </c>
      <c r="C1515" s="0" t="s">
        <v>2708</v>
      </c>
      <c r="D1515" s="0" t="s">
        <v>21</v>
      </c>
      <c r="F1515" s="0" t="s">
        <v>42</v>
      </c>
      <c r="G1515" s="0" t="s">
        <v>18108</v>
      </c>
    </row>
    <row r="1516" customFormat="false" ht="15" hidden="false" customHeight="false" outlineLevel="0" collapsed="false">
      <c r="A1516" s="0" t="n">
        <v>603</v>
      </c>
      <c r="B1516" s="0" t="n">
        <v>3674</v>
      </c>
      <c r="C1516" s="0" t="s">
        <v>2708</v>
      </c>
      <c r="D1516" s="0" t="s">
        <v>22</v>
      </c>
      <c r="F1516" s="0" t="s">
        <v>54</v>
      </c>
      <c r="G1516" s="0" t="s">
        <v>18107</v>
      </c>
    </row>
    <row r="1517" customFormat="false" ht="15" hidden="false" customHeight="false" outlineLevel="0" collapsed="false">
      <c r="A1517" s="0" t="n">
        <v>604</v>
      </c>
      <c r="B1517" s="0" t="n">
        <v>3675</v>
      </c>
      <c r="C1517" s="0" t="s">
        <v>2712</v>
      </c>
      <c r="D1517" s="0" t="s">
        <v>21</v>
      </c>
      <c r="F1517" s="0" t="s">
        <v>42</v>
      </c>
      <c r="G1517" s="0" t="s">
        <v>18108</v>
      </c>
    </row>
    <row r="1518" customFormat="false" ht="15" hidden="false" customHeight="false" outlineLevel="0" collapsed="false">
      <c r="A1518" s="0" t="n">
        <v>604</v>
      </c>
      <c r="B1518" s="0" t="n">
        <v>3675</v>
      </c>
      <c r="C1518" s="0" t="s">
        <v>2712</v>
      </c>
      <c r="D1518" s="0" t="s">
        <v>22</v>
      </c>
      <c r="F1518" s="0" t="s">
        <v>54</v>
      </c>
      <c r="G1518" s="0" t="s">
        <v>18107</v>
      </c>
    </row>
    <row r="1519" customFormat="false" ht="15" hidden="false" customHeight="false" outlineLevel="0" collapsed="false">
      <c r="A1519" s="0" t="n">
        <v>605</v>
      </c>
      <c r="B1519" s="0" t="n">
        <v>3676</v>
      </c>
      <c r="C1519" s="0" t="s">
        <v>2716</v>
      </c>
      <c r="D1519" s="0" t="s">
        <v>21</v>
      </c>
      <c r="F1519" s="0" t="s">
        <v>42</v>
      </c>
      <c r="G1519" s="0" t="s">
        <v>18108</v>
      </c>
    </row>
    <row r="1520" customFormat="false" ht="15" hidden="false" customHeight="false" outlineLevel="0" collapsed="false">
      <c r="A1520" s="0" t="n">
        <v>605</v>
      </c>
      <c r="B1520" s="0" t="n">
        <v>3676</v>
      </c>
      <c r="C1520" s="0" t="s">
        <v>2716</v>
      </c>
      <c r="D1520" s="0" t="s">
        <v>22</v>
      </c>
      <c r="F1520" s="0" t="s">
        <v>54</v>
      </c>
      <c r="G1520" s="0" t="s">
        <v>18107</v>
      </c>
    </row>
    <row r="1521" customFormat="false" ht="15" hidden="false" customHeight="false" outlineLevel="0" collapsed="false">
      <c r="A1521" s="0" t="n">
        <v>606</v>
      </c>
      <c r="B1521" s="0" t="n">
        <v>3677</v>
      </c>
      <c r="C1521" s="0" t="s">
        <v>2720</v>
      </c>
      <c r="D1521" s="0" t="s">
        <v>21</v>
      </c>
      <c r="F1521" s="0" t="s">
        <v>42</v>
      </c>
      <c r="G1521" s="0" t="s">
        <v>18108</v>
      </c>
    </row>
    <row r="1522" customFormat="false" ht="15" hidden="false" customHeight="false" outlineLevel="0" collapsed="false">
      <c r="A1522" s="0" t="n">
        <v>606</v>
      </c>
      <c r="B1522" s="0" t="n">
        <v>3677</v>
      </c>
      <c r="C1522" s="0" t="s">
        <v>2720</v>
      </c>
      <c r="D1522" s="0" t="s">
        <v>22</v>
      </c>
      <c r="F1522" s="0" t="s">
        <v>54</v>
      </c>
      <c r="G1522" s="0" t="s">
        <v>18107</v>
      </c>
    </row>
    <row r="1523" customFormat="false" ht="15" hidden="false" customHeight="false" outlineLevel="0" collapsed="false">
      <c r="A1523" s="0" t="n">
        <v>607</v>
      </c>
      <c r="B1523" s="0" t="n">
        <v>3678</v>
      </c>
      <c r="C1523" s="0" t="s">
        <v>2724</v>
      </c>
      <c r="D1523" s="0" t="s">
        <v>21</v>
      </c>
      <c r="F1523" s="0" t="s">
        <v>42</v>
      </c>
      <c r="G1523" s="0" t="s">
        <v>18108</v>
      </c>
    </row>
    <row r="1524" customFormat="false" ht="15" hidden="false" customHeight="false" outlineLevel="0" collapsed="false">
      <c r="A1524" s="0" t="n">
        <v>607</v>
      </c>
      <c r="B1524" s="0" t="n">
        <v>3678</v>
      </c>
      <c r="C1524" s="0" t="s">
        <v>2724</v>
      </c>
      <c r="D1524" s="0" t="s">
        <v>22</v>
      </c>
      <c r="F1524" s="0" t="s">
        <v>54</v>
      </c>
      <c r="G1524" s="0" t="s">
        <v>18107</v>
      </c>
    </row>
    <row r="1525" customFormat="false" ht="15" hidden="false" customHeight="false" outlineLevel="0" collapsed="false">
      <c r="A1525" s="0" t="n">
        <v>608</v>
      </c>
      <c r="B1525" s="0" t="n">
        <v>3679</v>
      </c>
      <c r="C1525" s="0" t="s">
        <v>2728</v>
      </c>
      <c r="D1525" s="0" t="s">
        <v>21</v>
      </c>
      <c r="F1525" s="0" t="s">
        <v>42</v>
      </c>
      <c r="G1525" s="0" t="s">
        <v>18108</v>
      </c>
    </row>
    <row r="1526" customFormat="false" ht="15" hidden="false" customHeight="false" outlineLevel="0" collapsed="false">
      <c r="A1526" s="0" t="n">
        <v>608</v>
      </c>
      <c r="B1526" s="0" t="n">
        <v>3679</v>
      </c>
      <c r="C1526" s="0" t="s">
        <v>2728</v>
      </c>
      <c r="D1526" s="0" t="s">
        <v>22</v>
      </c>
      <c r="F1526" s="0" t="s">
        <v>54</v>
      </c>
      <c r="G1526" s="0" t="s">
        <v>18107</v>
      </c>
    </row>
    <row r="1527" customFormat="false" ht="15" hidden="false" customHeight="false" outlineLevel="0" collapsed="false">
      <c r="A1527" s="0" t="n">
        <v>609</v>
      </c>
      <c r="B1527" s="0" t="n">
        <v>3680</v>
      </c>
      <c r="C1527" s="0" t="s">
        <v>2734</v>
      </c>
      <c r="D1527" s="0" t="s">
        <v>21</v>
      </c>
      <c r="F1527" s="0" t="s">
        <v>42</v>
      </c>
      <c r="G1527" s="0" t="s">
        <v>18108</v>
      </c>
    </row>
    <row r="1528" customFormat="false" ht="15" hidden="false" customHeight="false" outlineLevel="0" collapsed="false">
      <c r="A1528" s="0" t="n">
        <v>609</v>
      </c>
      <c r="B1528" s="0" t="n">
        <v>3680</v>
      </c>
      <c r="C1528" s="0" t="s">
        <v>2734</v>
      </c>
      <c r="D1528" s="0" t="s">
        <v>22</v>
      </c>
      <c r="F1528" s="0" t="s">
        <v>54</v>
      </c>
      <c r="G1528" s="0" t="s">
        <v>18107</v>
      </c>
    </row>
    <row r="1529" customFormat="false" ht="15" hidden="false" customHeight="false" outlineLevel="0" collapsed="false">
      <c r="A1529" s="0" t="n">
        <v>610</v>
      </c>
      <c r="B1529" s="0" t="n">
        <v>3681</v>
      </c>
      <c r="C1529" s="0" t="s">
        <v>2738</v>
      </c>
      <c r="D1529" s="0" t="s">
        <v>21</v>
      </c>
      <c r="F1529" s="0" t="s">
        <v>42</v>
      </c>
      <c r="G1529" s="0" t="s">
        <v>18108</v>
      </c>
    </row>
    <row r="1530" customFormat="false" ht="15" hidden="false" customHeight="false" outlineLevel="0" collapsed="false">
      <c r="A1530" s="0" t="n">
        <v>610</v>
      </c>
      <c r="B1530" s="0" t="n">
        <v>3681</v>
      </c>
      <c r="C1530" s="0" t="s">
        <v>2738</v>
      </c>
      <c r="D1530" s="0" t="s">
        <v>22</v>
      </c>
      <c r="F1530" s="0" t="s">
        <v>54</v>
      </c>
      <c r="G1530" s="0" t="s">
        <v>18107</v>
      </c>
    </row>
    <row r="1531" customFormat="false" ht="15" hidden="false" customHeight="false" outlineLevel="0" collapsed="false">
      <c r="A1531" s="0" t="n">
        <v>611</v>
      </c>
      <c r="B1531" s="0" t="n">
        <v>3682</v>
      </c>
      <c r="C1531" s="0" t="s">
        <v>2741</v>
      </c>
      <c r="D1531" s="0" t="s">
        <v>21</v>
      </c>
      <c r="F1531" s="0" t="s">
        <v>42</v>
      </c>
      <c r="G1531" s="0" t="s">
        <v>18108</v>
      </c>
    </row>
    <row r="1532" customFormat="false" ht="15" hidden="false" customHeight="false" outlineLevel="0" collapsed="false">
      <c r="A1532" s="0" t="n">
        <v>611</v>
      </c>
      <c r="B1532" s="0" t="n">
        <v>3682</v>
      </c>
      <c r="C1532" s="0" t="s">
        <v>2741</v>
      </c>
      <c r="D1532" s="0" t="s">
        <v>22</v>
      </c>
      <c r="F1532" s="0" t="s">
        <v>54</v>
      </c>
      <c r="G1532" s="0" t="s">
        <v>18107</v>
      </c>
    </row>
    <row r="1533" customFormat="false" ht="15" hidden="false" customHeight="false" outlineLevel="0" collapsed="false">
      <c r="A1533" s="0" t="n">
        <v>612</v>
      </c>
      <c r="B1533" s="0" t="n">
        <v>3683</v>
      </c>
      <c r="C1533" s="0" t="s">
        <v>2746</v>
      </c>
      <c r="D1533" s="0" t="s">
        <v>21</v>
      </c>
      <c r="F1533" s="0" t="s">
        <v>42</v>
      </c>
      <c r="G1533" s="0" t="s">
        <v>18108</v>
      </c>
    </row>
    <row r="1534" customFormat="false" ht="15" hidden="false" customHeight="false" outlineLevel="0" collapsed="false">
      <c r="A1534" s="0" t="n">
        <v>612</v>
      </c>
      <c r="B1534" s="0" t="n">
        <v>3683</v>
      </c>
      <c r="C1534" s="0" t="s">
        <v>2746</v>
      </c>
      <c r="D1534" s="0" t="s">
        <v>22</v>
      </c>
      <c r="F1534" s="0" t="s">
        <v>54</v>
      </c>
      <c r="G1534" s="0" t="s">
        <v>18107</v>
      </c>
    </row>
    <row r="1535" customFormat="false" ht="15" hidden="false" customHeight="false" outlineLevel="0" collapsed="false">
      <c r="A1535" s="0" t="n">
        <v>637</v>
      </c>
      <c r="B1535" s="0" t="n">
        <v>2156</v>
      </c>
      <c r="C1535" s="0" t="s">
        <v>2851</v>
      </c>
      <c r="D1535" s="0" t="s">
        <v>22</v>
      </c>
      <c r="F1535" s="0" t="s">
        <v>54</v>
      </c>
      <c r="G1535" s="0" t="s">
        <v>18107</v>
      </c>
    </row>
    <row r="1536" customFormat="false" ht="15" hidden="false" customHeight="false" outlineLevel="0" collapsed="false">
      <c r="A1536" s="0" t="n">
        <v>733</v>
      </c>
      <c r="B1536" s="0" t="n">
        <v>6425</v>
      </c>
      <c r="C1536" s="0" t="s">
        <v>3253</v>
      </c>
      <c r="D1536" s="0" t="s">
        <v>22</v>
      </c>
      <c r="F1536" s="0" t="s">
        <v>54</v>
      </c>
      <c r="G1536" s="0" t="s">
        <v>18107</v>
      </c>
    </row>
    <row r="1537" customFormat="false" ht="15" hidden="false" customHeight="false" outlineLevel="0" collapsed="false">
      <c r="A1537" s="0" t="n">
        <v>900</v>
      </c>
      <c r="B1537" s="0" t="n">
        <v>9699</v>
      </c>
      <c r="C1537" s="0" t="s">
        <v>3997</v>
      </c>
      <c r="D1537" s="0" t="s">
        <v>22</v>
      </c>
      <c r="F1537" s="0" t="s">
        <v>54</v>
      </c>
      <c r="G1537" s="0" t="s">
        <v>18107</v>
      </c>
    </row>
    <row r="1538" customFormat="false" ht="15" hidden="false" customHeight="false" outlineLevel="0" collapsed="false">
      <c r="A1538" s="0" t="n">
        <v>1095</v>
      </c>
      <c r="B1538" s="0" t="n">
        <v>12157</v>
      </c>
      <c r="C1538" s="0" t="s">
        <v>4827</v>
      </c>
      <c r="D1538" s="0" t="s">
        <v>22</v>
      </c>
      <c r="F1538" s="0" t="s">
        <v>54</v>
      </c>
      <c r="G1538" s="0" t="s">
        <v>18107</v>
      </c>
    </row>
    <row r="1539" customFormat="false" ht="15" hidden="false" customHeight="false" outlineLevel="0" collapsed="false">
      <c r="A1539" s="0" t="n">
        <v>1179</v>
      </c>
      <c r="B1539" s="0" t="n">
        <v>12572</v>
      </c>
      <c r="C1539" s="0" t="s">
        <v>5183</v>
      </c>
      <c r="D1539" s="0" t="s">
        <v>21</v>
      </c>
      <c r="F1539" s="0" t="s">
        <v>42</v>
      </c>
      <c r="G1539" s="0" t="s">
        <v>18108</v>
      </c>
    </row>
    <row r="1540" customFormat="false" ht="15" hidden="false" customHeight="false" outlineLevel="0" collapsed="false">
      <c r="A1540" s="0" t="n">
        <v>1179</v>
      </c>
      <c r="B1540" s="0" t="n">
        <v>12572</v>
      </c>
      <c r="C1540" s="0" t="s">
        <v>5183</v>
      </c>
      <c r="D1540" s="0" t="s">
        <v>22</v>
      </c>
      <c r="F1540" s="0" t="s">
        <v>54</v>
      </c>
      <c r="G1540" s="0" t="s">
        <v>18107</v>
      </c>
    </row>
    <row r="1541" customFormat="false" ht="15" hidden="false" customHeight="false" outlineLevel="0" collapsed="false">
      <c r="A1541" s="0" t="n">
        <v>1445</v>
      </c>
      <c r="B1541" s="0" t="n">
        <v>15632</v>
      </c>
      <c r="C1541" s="0" t="s">
        <v>1830</v>
      </c>
      <c r="D1541" s="0" t="s">
        <v>21</v>
      </c>
      <c r="F1541" s="0" t="s">
        <v>42</v>
      </c>
      <c r="G1541" s="0" t="s">
        <v>18108</v>
      </c>
    </row>
    <row r="1542" customFormat="false" ht="15" hidden="false" customHeight="false" outlineLevel="0" collapsed="false">
      <c r="A1542" s="0" t="n">
        <v>1446</v>
      </c>
      <c r="B1542" s="0" t="n">
        <v>15634</v>
      </c>
      <c r="C1542" s="0" t="s">
        <v>6336</v>
      </c>
      <c r="D1542" s="0" t="s">
        <v>21</v>
      </c>
      <c r="F1542" s="0" t="s">
        <v>42</v>
      </c>
      <c r="G1542" s="0" t="s">
        <v>18108</v>
      </c>
    </row>
    <row r="1543" customFormat="false" ht="15" hidden="false" customHeight="false" outlineLevel="0" collapsed="false">
      <c r="A1543" s="0" t="n">
        <v>1450</v>
      </c>
      <c r="B1543" s="0" t="n">
        <v>15640</v>
      </c>
      <c r="C1543" s="0" t="s">
        <v>313</v>
      </c>
      <c r="D1543" s="0" t="s">
        <v>21</v>
      </c>
      <c r="F1543" s="0" t="s">
        <v>42</v>
      </c>
      <c r="G1543" s="0" t="s">
        <v>18108</v>
      </c>
    </row>
    <row r="1544" customFormat="false" ht="15" hidden="false" customHeight="false" outlineLevel="0" collapsed="false">
      <c r="A1544" s="0" t="n">
        <v>1453</v>
      </c>
      <c r="B1544" s="0" t="n">
        <v>15651</v>
      </c>
      <c r="C1544" s="0" t="s">
        <v>6365</v>
      </c>
      <c r="D1544" s="0" t="s">
        <v>21</v>
      </c>
      <c r="F1544" s="0" t="s">
        <v>42</v>
      </c>
      <c r="G1544" s="0" t="s">
        <v>18108</v>
      </c>
    </row>
    <row r="1545" customFormat="false" ht="15" hidden="false" customHeight="false" outlineLevel="0" collapsed="false">
      <c r="A1545" s="0" t="n">
        <v>1457</v>
      </c>
      <c r="B1545" s="0" t="n">
        <v>15660</v>
      </c>
      <c r="C1545" s="0" t="s">
        <v>6381</v>
      </c>
      <c r="D1545" s="0" t="s">
        <v>21</v>
      </c>
      <c r="F1545" s="0" t="s">
        <v>42</v>
      </c>
      <c r="G1545" s="0" t="s">
        <v>18108</v>
      </c>
    </row>
    <row r="1546" customFormat="false" ht="15" hidden="false" customHeight="false" outlineLevel="0" collapsed="false">
      <c r="A1546" s="0" t="n">
        <v>1485</v>
      </c>
      <c r="B1546" s="0" t="n">
        <v>16110</v>
      </c>
      <c r="C1546" s="0" t="s">
        <v>6507</v>
      </c>
      <c r="D1546" s="0" t="s">
        <v>22</v>
      </c>
      <c r="F1546" s="0" t="s">
        <v>54</v>
      </c>
      <c r="G1546" s="0" t="s">
        <v>18107</v>
      </c>
    </row>
    <row r="1547" customFormat="false" ht="15" hidden="false" customHeight="false" outlineLevel="0" collapsed="false">
      <c r="A1547" s="0" t="n">
        <v>1529</v>
      </c>
      <c r="B1547" s="0" t="n">
        <v>16339</v>
      </c>
      <c r="C1547" s="0" t="s">
        <v>1797</v>
      </c>
      <c r="D1547" s="0" t="s">
        <v>21</v>
      </c>
      <c r="F1547" s="0" t="s">
        <v>42</v>
      </c>
      <c r="G1547" s="0" t="s">
        <v>18108</v>
      </c>
    </row>
    <row r="1548" customFormat="false" ht="15" hidden="false" customHeight="false" outlineLevel="0" collapsed="false">
      <c r="A1548" s="0" t="n">
        <v>1530</v>
      </c>
      <c r="B1548" s="0" t="n">
        <v>16344</v>
      </c>
      <c r="C1548" s="0" t="s">
        <v>6705</v>
      </c>
      <c r="D1548" s="0" t="s">
        <v>21</v>
      </c>
      <c r="F1548" s="0" t="s">
        <v>42</v>
      </c>
      <c r="G1548" s="0" t="s">
        <v>18108</v>
      </c>
    </row>
    <row r="1549" customFormat="false" ht="15" hidden="false" customHeight="false" outlineLevel="0" collapsed="false">
      <c r="A1549" s="0" t="n">
        <v>1531</v>
      </c>
      <c r="B1549" s="0" t="n">
        <v>16346</v>
      </c>
      <c r="C1549" s="0" t="s">
        <v>6710</v>
      </c>
      <c r="D1549" s="0" t="s">
        <v>21</v>
      </c>
      <c r="F1549" s="0" t="s">
        <v>42</v>
      </c>
      <c r="G1549" s="0" t="s">
        <v>18108</v>
      </c>
    </row>
    <row r="1550" customFormat="false" ht="15" hidden="false" customHeight="false" outlineLevel="0" collapsed="false">
      <c r="A1550" s="0" t="n">
        <v>1533</v>
      </c>
      <c r="B1550" s="0" t="n">
        <v>16356</v>
      </c>
      <c r="C1550" s="0" t="s">
        <v>6719</v>
      </c>
      <c r="D1550" s="0" t="s">
        <v>21</v>
      </c>
      <c r="F1550" s="0" t="s">
        <v>42</v>
      </c>
      <c r="G1550" s="0" t="s">
        <v>18108</v>
      </c>
    </row>
    <row r="1551" customFormat="false" ht="15" hidden="false" customHeight="false" outlineLevel="0" collapsed="false">
      <c r="A1551" s="0" t="n">
        <v>1534</v>
      </c>
      <c r="B1551" s="0" t="n">
        <v>16363</v>
      </c>
      <c r="C1551" s="0" t="s">
        <v>6723</v>
      </c>
      <c r="D1551" s="0" t="s">
        <v>21</v>
      </c>
      <c r="F1551" s="0" t="s">
        <v>42</v>
      </c>
      <c r="G1551" s="0" t="s">
        <v>18108</v>
      </c>
    </row>
    <row r="1552" customFormat="false" ht="15" hidden="false" customHeight="false" outlineLevel="0" collapsed="false">
      <c r="A1552" s="0" t="n">
        <v>1535</v>
      </c>
      <c r="B1552" s="0" t="n">
        <v>16366</v>
      </c>
      <c r="C1552" s="0" t="s">
        <v>6727</v>
      </c>
      <c r="D1552" s="0" t="s">
        <v>21</v>
      </c>
      <c r="F1552" s="0" t="s">
        <v>42</v>
      </c>
      <c r="G1552" s="0" t="s">
        <v>18108</v>
      </c>
    </row>
    <row r="1553" customFormat="false" ht="15" hidden="false" customHeight="false" outlineLevel="0" collapsed="false">
      <c r="A1553" s="0" t="n">
        <v>1538</v>
      </c>
      <c r="B1553" s="0" t="n">
        <v>16376</v>
      </c>
      <c r="C1553" s="0" t="s">
        <v>6741</v>
      </c>
      <c r="D1553" s="0" t="s">
        <v>21</v>
      </c>
      <c r="F1553" s="0" t="s">
        <v>42</v>
      </c>
      <c r="G1553" s="0" t="s">
        <v>18108</v>
      </c>
    </row>
    <row r="1554" customFormat="false" ht="15" hidden="false" customHeight="false" outlineLevel="0" collapsed="false">
      <c r="A1554" s="0" t="n">
        <v>1540</v>
      </c>
      <c r="B1554" s="0" t="n">
        <v>16378</v>
      </c>
      <c r="C1554" s="0" t="s">
        <v>6750</v>
      </c>
      <c r="D1554" s="0" t="s">
        <v>21</v>
      </c>
      <c r="F1554" s="0" t="s">
        <v>42</v>
      </c>
      <c r="G1554" s="0" t="s">
        <v>18108</v>
      </c>
    </row>
    <row r="1555" customFormat="false" ht="15" hidden="false" customHeight="false" outlineLevel="0" collapsed="false">
      <c r="A1555" s="0" t="n">
        <v>1543</v>
      </c>
      <c r="B1555" s="0" t="n">
        <v>16382</v>
      </c>
      <c r="C1555" s="0" t="s">
        <v>6763</v>
      </c>
      <c r="D1555" s="0" t="s">
        <v>21</v>
      </c>
      <c r="F1555" s="0" t="s">
        <v>42</v>
      </c>
      <c r="G1555" s="0" t="s">
        <v>18108</v>
      </c>
    </row>
    <row r="1556" customFormat="false" ht="15" hidden="false" customHeight="false" outlineLevel="0" collapsed="false">
      <c r="A1556" s="0" t="n">
        <v>1553</v>
      </c>
      <c r="B1556" s="0" t="n">
        <v>16505</v>
      </c>
      <c r="C1556" s="0" t="s">
        <v>6804</v>
      </c>
      <c r="D1556" s="0" t="s">
        <v>21</v>
      </c>
      <c r="F1556" s="0" t="s">
        <v>42</v>
      </c>
      <c r="G1556" s="0" t="s">
        <v>18108</v>
      </c>
    </row>
    <row r="1557" customFormat="false" ht="15" hidden="false" customHeight="false" outlineLevel="0" collapsed="false">
      <c r="A1557" s="0" t="n">
        <v>2337</v>
      </c>
      <c r="B1557" s="0" t="n">
        <v>19891</v>
      </c>
      <c r="C1557" s="0" t="s">
        <v>10002</v>
      </c>
      <c r="D1557" s="0" t="s">
        <v>22</v>
      </c>
      <c r="F1557" s="0" t="s">
        <v>43</v>
      </c>
      <c r="G1557" s="0" t="s">
        <v>18107</v>
      </c>
    </row>
    <row r="1558" customFormat="false" ht="15" hidden="false" customHeight="false" outlineLevel="0" collapsed="false">
      <c r="A1558" s="0" t="n">
        <v>2338</v>
      </c>
      <c r="B1558" s="0" t="n">
        <v>19892</v>
      </c>
      <c r="C1558" s="0" t="s">
        <v>10008</v>
      </c>
      <c r="D1558" s="0" t="s">
        <v>22</v>
      </c>
      <c r="F1558" s="0" t="s">
        <v>54</v>
      </c>
      <c r="G1558" s="0" t="s">
        <v>18107</v>
      </c>
    </row>
    <row r="1559" customFormat="false" ht="15" hidden="false" customHeight="false" outlineLevel="0" collapsed="false">
      <c r="A1559" s="0" t="n">
        <v>2339</v>
      </c>
      <c r="B1559" s="0" t="n">
        <v>19893</v>
      </c>
      <c r="C1559" s="0" t="s">
        <v>10012</v>
      </c>
      <c r="D1559" s="0" t="s">
        <v>22</v>
      </c>
      <c r="F1559" s="0" t="s">
        <v>43</v>
      </c>
      <c r="G1559" s="0" t="s">
        <v>18107</v>
      </c>
    </row>
    <row r="1560" customFormat="false" ht="15" hidden="false" customHeight="false" outlineLevel="0" collapsed="false">
      <c r="A1560" s="0" t="n">
        <v>2340</v>
      </c>
      <c r="B1560" s="0" t="n">
        <v>19894</v>
      </c>
      <c r="C1560" s="0" t="s">
        <v>10016</v>
      </c>
      <c r="D1560" s="0" t="s">
        <v>22</v>
      </c>
      <c r="F1560" s="0" t="s">
        <v>43</v>
      </c>
      <c r="G1560" s="0" t="s">
        <v>18107</v>
      </c>
    </row>
    <row r="1561" customFormat="false" ht="15" hidden="false" customHeight="false" outlineLevel="0" collapsed="false">
      <c r="A1561" s="0" t="n">
        <v>2743</v>
      </c>
      <c r="B1561" s="0" t="n">
        <v>20882</v>
      </c>
      <c r="C1561" s="0" t="s">
        <v>11666</v>
      </c>
      <c r="D1561" s="0" t="s">
        <v>21</v>
      </c>
      <c r="F1561" s="0" t="s">
        <v>42</v>
      </c>
      <c r="G1561" s="0" t="s">
        <v>18108</v>
      </c>
    </row>
    <row r="1562" customFormat="false" ht="15" hidden="false" customHeight="false" outlineLevel="0" collapsed="false">
      <c r="A1562" s="0" t="n">
        <v>2743</v>
      </c>
      <c r="B1562" s="0" t="n">
        <v>20882</v>
      </c>
      <c r="C1562" s="0" t="s">
        <v>11666</v>
      </c>
      <c r="D1562" s="0" t="s">
        <v>22</v>
      </c>
      <c r="F1562" s="0" t="s">
        <v>54</v>
      </c>
      <c r="G1562" s="0" t="s">
        <v>18107</v>
      </c>
    </row>
    <row r="1563" customFormat="false" ht="15" hidden="false" customHeight="false" outlineLevel="0" collapsed="false">
      <c r="A1563" s="0" t="n">
        <v>2746</v>
      </c>
      <c r="B1563" s="0" t="n">
        <v>20886</v>
      </c>
      <c r="C1563" s="0" t="s">
        <v>11676</v>
      </c>
      <c r="D1563" s="0" t="s">
        <v>21</v>
      </c>
      <c r="F1563" s="0" t="s">
        <v>42</v>
      </c>
      <c r="G1563" s="0" t="s">
        <v>18108</v>
      </c>
    </row>
    <row r="1564" customFormat="false" ht="15" hidden="false" customHeight="false" outlineLevel="0" collapsed="false">
      <c r="A1564" s="0" t="n">
        <v>2746</v>
      </c>
      <c r="B1564" s="0" t="n">
        <v>20886</v>
      </c>
      <c r="C1564" s="0" t="s">
        <v>11676</v>
      </c>
      <c r="D1564" s="0" t="s">
        <v>22</v>
      </c>
      <c r="F1564" s="0" t="s">
        <v>54</v>
      </c>
      <c r="G1564" s="0" t="s">
        <v>18107</v>
      </c>
    </row>
    <row r="1565" customFormat="false" ht="15" hidden="false" customHeight="false" outlineLevel="0" collapsed="false">
      <c r="A1565" s="0" t="n">
        <v>2756</v>
      </c>
      <c r="B1565" s="0" t="n">
        <v>20896</v>
      </c>
      <c r="C1565" s="0" t="s">
        <v>11708</v>
      </c>
      <c r="D1565" s="0" t="s">
        <v>21</v>
      </c>
      <c r="F1565" s="0" t="s">
        <v>42</v>
      </c>
      <c r="G1565" s="0" t="s">
        <v>18108</v>
      </c>
    </row>
    <row r="1566" customFormat="false" ht="15" hidden="false" customHeight="false" outlineLevel="0" collapsed="false">
      <c r="A1566" s="0" t="n">
        <v>2817</v>
      </c>
      <c r="B1566" s="0" t="n">
        <v>21050</v>
      </c>
      <c r="C1566" s="0" t="s">
        <v>11936</v>
      </c>
      <c r="D1566" s="0" t="s">
        <v>22</v>
      </c>
      <c r="F1566" s="0" t="s">
        <v>43</v>
      </c>
      <c r="G1566" s="0" t="s">
        <v>18107</v>
      </c>
    </row>
    <row r="1567" customFormat="false" ht="15" hidden="false" customHeight="false" outlineLevel="0" collapsed="false">
      <c r="A1567" s="0" t="n">
        <v>2850</v>
      </c>
      <c r="B1567" s="0" t="n">
        <v>21198</v>
      </c>
      <c r="C1567" s="0" t="s">
        <v>12051</v>
      </c>
      <c r="D1567" s="0" t="s">
        <v>21</v>
      </c>
      <c r="F1567" s="0" t="s">
        <v>42</v>
      </c>
      <c r="G1567" s="0" t="s">
        <v>18108</v>
      </c>
    </row>
    <row r="1568" customFormat="false" ht="15" hidden="false" customHeight="false" outlineLevel="0" collapsed="false">
      <c r="A1568" s="0" t="n">
        <v>2850</v>
      </c>
      <c r="B1568" s="0" t="n">
        <v>21198</v>
      </c>
      <c r="C1568" s="0" t="s">
        <v>12051</v>
      </c>
      <c r="D1568" s="0" t="s">
        <v>22</v>
      </c>
      <c r="F1568" s="0" t="s">
        <v>43</v>
      </c>
      <c r="G1568" s="0" t="s">
        <v>18107</v>
      </c>
    </row>
    <row r="1569" customFormat="false" ht="15" hidden="false" customHeight="false" outlineLevel="0" collapsed="false">
      <c r="A1569" s="0" t="n">
        <v>2915</v>
      </c>
      <c r="B1569" s="0" t="n">
        <v>21347</v>
      </c>
      <c r="C1569" s="0" t="s">
        <v>12283</v>
      </c>
      <c r="D1569" s="0" t="s">
        <v>22</v>
      </c>
      <c r="F1569" s="0" t="s">
        <v>54</v>
      </c>
      <c r="G1569" s="0" t="s">
        <v>18107</v>
      </c>
    </row>
    <row r="1570" customFormat="false" ht="15" hidden="false" customHeight="false" outlineLevel="0" collapsed="false">
      <c r="A1570" s="0" t="n">
        <v>3191</v>
      </c>
      <c r="B1570" s="0" t="n">
        <v>21784</v>
      </c>
      <c r="C1570" s="0" t="s">
        <v>13260</v>
      </c>
      <c r="D1570" s="0" t="s">
        <v>21</v>
      </c>
      <c r="F1570" s="0" t="s">
        <v>42</v>
      </c>
      <c r="G1570" s="0" t="s">
        <v>18108</v>
      </c>
    </row>
    <row r="1571" customFormat="false" ht="15" hidden="false" customHeight="false" outlineLevel="0" collapsed="false">
      <c r="A1571" s="0" t="n">
        <v>3191</v>
      </c>
      <c r="B1571" s="0" t="n">
        <v>21784</v>
      </c>
      <c r="C1571" s="0" t="s">
        <v>13260</v>
      </c>
      <c r="D1571" s="0" t="s">
        <v>22</v>
      </c>
      <c r="F1571" s="0" t="s">
        <v>54</v>
      </c>
      <c r="G1571" s="0" t="s">
        <v>18107</v>
      </c>
    </row>
    <row r="1572" customFormat="false" ht="15" hidden="false" customHeight="false" outlineLevel="0" collapsed="false">
      <c r="A1572" s="0" t="n">
        <v>3213</v>
      </c>
      <c r="B1572" s="0" t="n">
        <v>21811</v>
      </c>
      <c r="C1572" s="0" t="s">
        <v>13335</v>
      </c>
      <c r="D1572" s="0" t="s">
        <v>21</v>
      </c>
      <c r="F1572" s="0" t="s">
        <v>42</v>
      </c>
      <c r="G1572" s="0" t="s">
        <v>18108</v>
      </c>
    </row>
    <row r="1573" customFormat="false" ht="15" hidden="false" customHeight="false" outlineLevel="0" collapsed="false">
      <c r="A1573" s="0" t="n">
        <v>3213</v>
      </c>
      <c r="B1573" s="0" t="n">
        <v>21811</v>
      </c>
      <c r="C1573" s="0" t="s">
        <v>13335</v>
      </c>
      <c r="D1573" s="0" t="s">
        <v>22</v>
      </c>
      <c r="F1573" s="0" t="s">
        <v>43</v>
      </c>
      <c r="G1573" s="0" t="s">
        <v>18107</v>
      </c>
    </row>
    <row r="1574" customFormat="false" ht="15" hidden="false" customHeight="false" outlineLevel="0" collapsed="false">
      <c r="A1574" s="0" t="n">
        <v>3214</v>
      </c>
      <c r="B1574" s="0" t="n">
        <v>21812</v>
      </c>
      <c r="C1574" s="0" t="s">
        <v>13338</v>
      </c>
      <c r="D1574" s="0" t="s">
        <v>21</v>
      </c>
      <c r="F1574" s="0" t="s">
        <v>42</v>
      </c>
      <c r="G1574" s="0" t="s">
        <v>18108</v>
      </c>
    </row>
    <row r="1575" customFormat="false" ht="15" hidden="false" customHeight="false" outlineLevel="0" collapsed="false">
      <c r="A1575" s="0" t="n">
        <v>3214</v>
      </c>
      <c r="B1575" s="0" t="n">
        <v>21812</v>
      </c>
      <c r="C1575" s="0" t="s">
        <v>13338</v>
      </c>
      <c r="D1575" s="0" t="s">
        <v>22</v>
      </c>
      <c r="F1575" s="0" t="s">
        <v>54</v>
      </c>
      <c r="G1575" s="0" t="s">
        <v>18107</v>
      </c>
    </row>
    <row r="1576" customFormat="false" ht="15" hidden="false" customHeight="false" outlineLevel="0" collapsed="false">
      <c r="A1576" s="0" t="n">
        <v>3216</v>
      </c>
      <c r="B1576" s="0" t="n">
        <v>21814</v>
      </c>
      <c r="C1576" s="0" t="s">
        <v>13346</v>
      </c>
      <c r="D1576" s="0" t="s">
        <v>21</v>
      </c>
      <c r="F1576" s="0" t="s">
        <v>42</v>
      </c>
      <c r="G1576" s="0" t="s">
        <v>18108</v>
      </c>
    </row>
    <row r="1577" customFormat="false" ht="15" hidden="false" customHeight="false" outlineLevel="0" collapsed="false">
      <c r="A1577" s="0" t="n">
        <v>3216</v>
      </c>
      <c r="B1577" s="0" t="n">
        <v>21814</v>
      </c>
      <c r="C1577" s="0" t="s">
        <v>13346</v>
      </c>
      <c r="D1577" s="0" t="s">
        <v>22</v>
      </c>
      <c r="F1577" s="0" t="s">
        <v>54</v>
      </c>
      <c r="G1577" s="0" t="s">
        <v>18107</v>
      </c>
    </row>
    <row r="1578" customFormat="false" ht="15" hidden="false" customHeight="false" outlineLevel="0" collapsed="false">
      <c r="A1578" s="0" t="n">
        <v>3217</v>
      </c>
      <c r="B1578" s="0" t="n">
        <v>21815</v>
      </c>
      <c r="C1578" s="0" t="s">
        <v>13349</v>
      </c>
      <c r="D1578" s="0" t="s">
        <v>21</v>
      </c>
      <c r="F1578" s="0" t="s">
        <v>42</v>
      </c>
      <c r="G1578" s="0" t="s">
        <v>18108</v>
      </c>
    </row>
    <row r="1579" customFormat="false" ht="15" hidden="false" customHeight="false" outlineLevel="0" collapsed="false">
      <c r="A1579" s="0" t="n">
        <v>3217</v>
      </c>
      <c r="B1579" s="0" t="n">
        <v>21815</v>
      </c>
      <c r="C1579" s="0" t="s">
        <v>13349</v>
      </c>
      <c r="D1579" s="0" t="s">
        <v>22</v>
      </c>
      <c r="F1579" s="0" t="s">
        <v>54</v>
      </c>
      <c r="G1579" s="0" t="s">
        <v>18107</v>
      </c>
    </row>
    <row r="1580" customFormat="false" ht="15" hidden="false" customHeight="false" outlineLevel="0" collapsed="false">
      <c r="A1580" s="0" t="n">
        <v>3232</v>
      </c>
      <c r="B1580" s="0" t="n">
        <v>21830</v>
      </c>
      <c r="C1580" s="0" t="s">
        <v>13408</v>
      </c>
      <c r="D1580" s="0" t="s">
        <v>21</v>
      </c>
      <c r="F1580" s="0" t="s">
        <v>42</v>
      </c>
      <c r="G1580" s="0" t="s">
        <v>18108</v>
      </c>
    </row>
    <row r="1581" customFormat="false" ht="15" hidden="false" customHeight="false" outlineLevel="0" collapsed="false">
      <c r="A1581" s="0" t="n">
        <v>3232</v>
      </c>
      <c r="B1581" s="0" t="n">
        <v>21830</v>
      </c>
      <c r="C1581" s="0" t="s">
        <v>13408</v>
      </c>
      <c r="D1581" s="0" t="s">
        <v>22</v>
      </c>
      <c r="F1581" s="0" t="s">
        <v>54</v>
      </c>
      <c r="G1581" s="0" t="s">
        <v>18107</v>
      </c>
    </row>
    <row r="1582" customFormat="false" ht="15" hidden="false" customHeight="false" outlineLevel="0" collapsed="false">
      <c r="A1582" s="0" t="n">
        <v>3233</v>
      </c>
      <c r="B1582" s="0" t="n">
        <v>21831</v>
      </c>
      <c r="C1582" s="0" t="s">
        <v>13411</v>
      </c>
      <c r="D1582" s="0" t="s">
        <v>21</v>
      </c>
      <c r="F1582" s="0" t="s">
        <v>42</v>
      </c>
      <c r="G1582" s="0" t="s">
        <v>18108</v>
      </c>
    </row>
    <row r="1583" customFormat="false" ht="15" hidden="false" customHeight="false" outlineLevel="0" collapsed="false">
      <c r="A1583" s="0" t="n">
        <v>3233</v>
      </c>
      <c r="B1583" s="0" t="n">
        <v>21831</v>
      </c>
      <c r="C1583" s="0" t="s">
        <v>13411</v>
      </c>
      <c r="D1583" s="0" t="s">
        <v>22</v>
      </c>
      <c r="F1583" s="0" t="s">
        <v>54</v>
      </c>
      <c r="G1583" s="0" t="s">
        <v>18107</v>
      </c>
    </row>
    <row r="1584" customFormat="false" ht="15" hidden="false" customHeight="false" outlineLevel="0" collapsed="false">
      <c r="A1584" s="0" t="n">
        <v>3234</v>
      </c>
      <c r="B1584" s="0" t="n">
        <v>21832</v>
      </c>
      <c r="C1584" s="0" t="s">
        <v>13414</v>
      </c>
      <c r="D1584" s="0" t="s">
        <v>21</v>
      </c>
      <c r="F1584" s="0" t="s">
        <v>42</v>
      </c>
      <c r="G1584" s="0" t="s">
        <v>18108</v>
      </c>
    </row>
    <row r="1585" customFormat="false" ht="15" hidden="false" customHeight="false" outlineLevel="0" collapsed="false">
      <c r="A1585" s="0" t="n">
        <v>3234</v>
      </c>
      <c r="B1585" s="0" t="n">
        <v>21832</v>
      </c>
      <c r="C1585" s="0" t="s">
        <v>13414</v>
      </c>
      <c r="D1585" s="0" t="s">
        <v>22</v>
      </c>
      <c r="F1585" s="0" t="s">
        <v>54</v>
      </c>
      <c r="G1585" s="0" t="s">
        <v>18107</v>
      </c>
    </row>
    <row r="1586" customFormat="false" ht="15" hidden="false" customHeight="false" outlineLevel="0" collapsed="false">
      <c r="A1586" s="0" t="n">
        <v>3235</v>
      </c>
      <c r="B1586" s="0" t="n">
        <v>21833</v>
      </c>
      <c r="C1586" s="0" t="s">
        <v>8366</v>
      </c>
      <c r="D1586" s="0" t="s">
        <v>21</v>
      </c>
      <c r="F1586" s="0" t="s">
        <v>42</v>
      </c>
      <c r="G1586" s="0" t="s">
        <v>18108</v>
      </c>
    </row>
    <row r="1587" customFormat="false" ht="15" hidden="false" customHeight="false" outlineLevel="0" collapsed="false">
      <c r="A1587" s="0" t="n">
        <v>3235</v>
      </c>
      <c r="B1587" s="0" t="n">
        <v>21833</v>
      </c>
      <c r="C1587" s="0" t="s">
        <v>8366</v>
      </c>
      <c r="D1587" s="0" t="s">
        <v>22</v>
      </c>
      <c r="F1587" s="0" t="s">
        <v>54</v>
      </c>
      <c r="G1587" s="0" t="s">
        <v>18107</v>
      </c>
    </row>
    <row r="1588" customFormat="false" ht="15" hidden="false" customHeight="false" outlineLevel="0" collapsed="false">
      <c r="A1588" s="0" t="n">
        <v>3236</v>
      </c>
      <c r="B1588" s="0" t="n">
        <v>21834</v>
      </c>
      <c r="C1588" s="0" t="s">
        <v>13419</v>
      </c>
      <c r="D1588" s="0" t="s">
        <v>21</v>
      </c>
      <c r="F1588" s="0" t="s">
        <v>42</v>
      </c>
      <c r="G1588" s="0" t="s">
        <v>18108</v>
      </c>
    </row>
    <row r="1589" customFormat="false" ht="15" hidden="false" customHeight="false" outlineLevel="0" collapsed="false">
      <c r="A1589" s="0" t="n">
        <v>3236</v>
      </c>
      <c r="B1589" s="0" t="n">
        <v>21834</v>
      </c>
      <c r="C1589" s="0" t="s">
        <v>13419</v>
      </c>
      <c r="D1589" s="0" t="s">
        <v>22</v>
      </c>
      <c r="F1589" s="0" t="s">
        <v>43</v>
      </c>
      <c r="G1589" s="0" t="s">
        <v>18107</v>
      </c>
    </row>
    <row r="1590" customFormat="false" ht="15" hidden="false" customHeight="false" outlineLevel="0" collapsed="false">
      <c r="A1590" s="0" t="n">
        <v>3237</v>
      </c>
      <c r="B1590" s="0" t="n">
        <v>21835</v>
      </c>
      <c r="C1590" s="0" t="s">
        <v>13422</v>
      </c>
      <c r="D1590" s="0" t="s">
        <v>21</v>
      </c>
      <c r="F1590" s="0" t="s">
        <v>42</v>
      </c>
      <c r="G1590" s="0" t="s">
        <v>18108</v>
      </c>
    </row>
    <row r="1591" customFormat="false" ht="15" hidden="false" customHeight="false" outlineLevel="0" collapsed="false">
      <c r="A1591" s="0" t="n">
        <v>3237</v>
      </c>
      <c r="B1591" s="0" t="n">
        <v>21835</v>
      </c>
      <c r="C1591" s="0" t="s">
        <v>13422</v>
      </c>
      <c r="D1591" s="0" t="s">
        <v>22</v>
      </c>
      <c r="F1591" s="0" t="s">
        <v>43</v>
      </c>
      <c r="G1591" s="0" t="s">
        <v>18107</v>
      </c>
    </row>
    <row r="1592" customFormat="false" ht="15" hidden="false" customHeight="false" outlineLevel="0" collapsed="false">
      <c r="A1592" s="0" t="n">
        <v>3238</v>
      </c>
      <c r="B1592" s="0" t="n">
        <v>21836</v>
      </c>
      <c r="C1592" s="0" t="s">
        <v>13425</v>
      </c>
      <c r="D1592" s="0" t="s">
        <v>21</v>
      </c>
      <c r="F1592" s="0" t="s">
        <v>42</v>
      </c>
      <c r="G1592" s="0" t="s">
        <v>18108</v>
      </c>
    </row>
    <row r="1593" customFormat="false" ht="15" hidden="false" customHeight="false" outlineLevel="0" collapsed="false">
      <c r="A1593" s="0" t="n">
        <v>3238</v>
      </c>
      <c r="B1593" s="0" t="n">
        <v>21836</v>
      </c>
      <c r="C1593" s="0" t="s">
        <v>13425</v>
      </c>
      <c r="D1593" s="0" t="s">
        <v>22</v>
      </c>
      <c r="F1593" s="0" t="s">
        <v>43</v>
      </c>
      <c r="G1593" s="0" t="s">
        <v>18107</v>
      </c>
    </row>
    <row r="1594" customFormat="false" ht="15" hidden="false" customHeight="false" outlineLevel="0" collapsed="false">
      <c r="A1594" s="0" t="n">
        <v>3239</v>
      </c>
      <c r="B1594" s="0" t="n">
        <v>21837</v>
      </c>
      <c r="C1594" s="0" t="s">
        <v>13429</v>
      </c>
      <c r="D1594" s="0" t="s">
        <v>21</v>
      </c>
      <c r="F1594" s="0" t="s">
        <v>42</v>
      </c>
      <c r="G1594" s="0" t="s">
        <v>18108</v>
      </c>
    </row>
    <row r="1595" customFormat="false" ht="15" hidden="false" customHeight="false" outlineLevel="0" collapsed="false">
      <c r="A1595" s="0" t="n">
        <v>3239</v>
      </c>
      <c r="B1595" s="0" t="n">
        <v>21837</v>
      </c>
      <c r="C1595" s="0" t="s">
        <v>13429</v>
      </c>
      <c r="D1595" s="0" t="s">
        <v>22</v>
      </c>
      <c r="F1595" s="0" t="s">
        <v>54</v>
      </c>
      <c r="G1595" s="0" t="s">
        <v>18107</v>
      </c>
    </row>
    <row r="1596" customFormat="false" ht="15" hidden="false" customHeight="false" outlineLevel="0" collapsed="false">
      <c r="A1596" s="0" t="n">
        <v>3240</v>
      </c>
      <c r="B1596" s="0" t="n">
        <v>21838</v>
      </c>
      <c r="C1596" s="0" t="s">
        <v>13432</v>
      </c>
      <c r="D1596" s="0" t="s">
        <v>21</v>
      </c>
      <c r="F1596" s="0" t="s">
        <v>42</v>
      </c>
      <c r="G1596" s="0" t="s">
        <v>18108</v>
      </c>
    </row>
    <row r="1597" customFormat="false" ht="15" hidden="false" customHeight="false" outlineLevel="0" collapsed="false">
      <c r="A1597" s="0" t="n">
        <v>3240</v>
      </c>
      <c r="B1597" s="0" t="n">
        <v>21838</v>
      </c>
      <c r="C1597" s="0" t="s">
        <v>13432</v>
      </c>
      <c r="D1597" s="0" t="s">
        <v>22</v>
      </c>
      <c r="F1597" s="0" t="s">
        <v>54</v>
      </c>
      <c r="G1597" s="0" t="s">
        <v>18107</v>
      </c>
    </row>
    <row r="1598" customFormat="false" ht="15" hidden="false" customHeight="false" outlineLevel="0" collapsed="false">
      <c r="A1598" s="0" t="n">
        <v>3241</v>
      </c>
      <c r="B1598" s="0" t="n">
        <v>21839</v>
      </c>
      <c r="C1598" s="0" t="s">
        <v>13434</v>
      </c>
      <c r="D1598" s="0" t="s">
        <v>21</v>
      </c>
      <c r="F1598" s="0" t="s">
        <v>42</v>
      </c>
      <c r="G1598" s="0" t="s">
        <v>18108</v>
      </c>
    </row>
    <row r="1599" customFormat="false" ht="15" hidden="false" customHeight="false" outlineLevel="0" collapsed="false">
      <c r="A1599" s="0" t="n">
        <v>3241</v>
      </c>
      <c r="B1599" s="0" t="n">
        <v>21839</v>
      </c>
      <c r="C1599" s="0" t="s">
        <v>13434</v>
      </c>
      <c r="D1599" s="0" t="s">
        <v>22</v>
      </c>
      <c r="F1599" s="0" t="s">
        <v>54</v>
      </c>
      <c r="G1599" s="0" t="s">
        <v>18107</v>
      </c>
    </row>
    <row r="1600" customFormat="false" ht="15" hidden="false" customHeight="false" outlineLevel="0" collapsed="false">
      <c r="A1600" s="0" t="n">
        <v>3599</v>
      </c>
      <c r="B1600" s="0" t="n">
        <v>3125</v>
      </c>
      <c r="C1600" s="0" t="s">
        <v>14656</v>
      </c>
      <c r="D1600" s="0" t="s">
        <v>21</v>
      </c>
      <c r="F1600" s="0" t="s">
        <v>42</v>
      </c>
      <c r="G1600" s="0" t="s">
        <v>18108</v>
      </c>
    </row>
    <row r="1601" customFormat="false" ht="15" hidden="false" customHeight="false" outlineLevel="0" collapsed="false">
      <c r="A1601" s="0" t="n">
        <v>3666</v>
      </c>
      <c r="B1601" s="0" t="n">
        <v>21818</v>
      </c>
      <c r="C1601" s="0" t="s">
        <v>14939</v>
      </c>
      <c r="D1601" s="0" t="s">
        <v>21</v>
      </c>
      <c r="F1601" s="0" t="s">
        <v>42</v>
      </c>
      <c r="G1601" s="0" t="s">
        <v>18108</v>
      </c>
    </row>
    <row r="1602" customFormat="false" ht="15" hidden="false" customHeight="false" outlineLevel="0" collapsed="false">
      <c r="A1602" s="0" t="n">
        <v>3986</v>
      </c>
      <c r="B1602" s="0" t="n">
        <v>5170</v>
      </c>
      <c r="C1602" s="0" t="s">
        <v>16313</v>
      </c>
      <c r="D1602" s="0" t="s">
        <v>22</v>
      </c>
      <c r="F1602" s="0" t="s">
        <v>43</v>
      </c>
      <c r="G1602" s="0" t="s">
        <v>18107</v>
      </c>
    </row>
    <row r="1603" customFormat="false" ht="15" hidden="false" customHeight="false" outlineLevel="0" collapsed="false">
      <c r="A1603" s="0" t="n">
        <v>4238</v>
      </c>
      <c r="B1603" s="0" t="n">
        <v>2271</v>
      </c>
      <c r="C1603" s="0" t="s">
        <v>17362</v>
      </c>
      <c r="D1603" s="0" t="s">
        <v>22</v>
      </c>
      <c r="F1603" s="0" t="s">
        <v>54</v>
      </c>
      <c r="G1603" s="0" t="s">
        <v>18107</v>
      </c>
    </row>
    <row r="1604" customFormat="false" ht="15" hidden="false" customHeight="false" outlineLevel="0" collapsed="false">
      <c r="A1604" s="0" t="n">
        <v>4243</v>
      </c>
      <c r="B1604" s="0" t="n">
        <v>2275</v>
      </c>
      <c r="C1604" s="0" t="s">
        <v>17382</v>
      </c>
      <c r="D1604" s="0" t="s">
        <v>22</v>
      </c>
      <c r="F1604" s="0" t="s">
        <v>54</v>
      </c>
      <c r="G1604" s="0" t="s">
        <v>18107</v>
      </c>
    </row>
    <row r="1605" customFormat="false" ht="15" hidden="false" customHeight="false" outlineLevel="0" collapsed="false">
      <c r="A1605" s="0" t="n">
        <v>4318</v>
      </c>
      <c r="B1605" s="0" t="n">
        <v>22953</v>
      </c>
      <c r="C1605" s="0" t="s">
        <v>17702</v>
      </c>
      <c r="D1605" s="0" t="s">
        <v>21</v>
      </c>
      <c r="F1605" s="0" t="s">
        <v>42</v>
      </c>
      <c r="G1605" s="0" t="s">
        <v>18108</v>
      </c>
    </row>
    <row r="1606" customFormat="false" ht="15" hidden="false" customHeight="false" outlineLevel="0" collapsed="false">
      <c r="A1606" s="0" t="n">
        <v>4318</v>
      </c>
      <c r="B1606" s="0" t="n">
        <v>22953</v>
      </c>
      <c r="C1606" s="0" t="s">
        <v>17702</v>
      </c>
      <c r="D1606" s="0" t="s">
        <v>22</v>
      </c>
      <c r="F1606" s="0" t="s">
        <v>54</v>
      </c>
      <c r="G1606" s="0" t="s">
        <v>18107</v>
      </c>
    </row>
    <row r="1607" customFormat="false" ht="15" hidden="false" customHeight="false" outlineLevel="0" collapsed="false">
      <c r="A1607" s="0" t="n">
        <v>4319</v>
      </c>
      <c r="B1607" s="0" t="n">
        <v>22954</v>
      </c>
      <c r="C1607" s="0" t="s">
        <v>17708</v>
      </c>
      <c r="D1607" s="0" t="s">
        <v>21</v>
      </c>
      <c r="F1607" s="0" t="s">
        <v>42</v>
      </c>
      <c r="G1607" s="0" t="s">
        <v>18108</v>
      </c>
    </row>
    <row r="1608" customFormat="false" ht="15" hidden="false" customHeight="false" outlineLevel="0" collapsed="false">
      <c r="A1608" s="0" t="n">
        <v>4319</v>
      </c>
      <c r="B1608" s="0" t="n">
        <v>22954</v>
      </c>
      <c r="C1608" s="0" t="s">
        <v>17708</v>
      </c>
      <c r="D1608" s="0" t="s">
        <v>22</v>
      </c>
      <c r="F1608" s="0" t="s">
        <v>54</v>
      </c>
      <c r="G1608" s="0" t="s">
        <v>18107</v>
      </c>
    </row>
    <row r="1609" customFormat="false" ht="15" hidden="false" customHeight="false" outlineLevel="0" collapsed="false">
      <c r="A1609" s="0" t="n">
        <v>180</v>
      </c>
      <c r="B1609" s="0" t="n">
        <v>1423</v>
      </c>
      <c r="C1609" s="0" t="s">
        <v>846</v>
      </c>
      <c r="D1609" s="0" t="s">
        <v>23</v>
      </c>
      <c r="F1609" s="0" t="s">
        <v>18109</v>
      </c>
      <c r="G1609" s="0" t="s">
        <v>18110</v>
      </c>
    </row>
    <row r="1610" customFormat="false" ht="15" hidden="false" customHeight="false" outlineLevel="0" collapsed="false">
      <c r="A1610" s="0" t="n">
        <v>384</v>
      </c>
      <c r="B1610" s="0" t="n">
        <v>22426</v>
      </c>
      <c r="C1610" s="0" t="s">
        <v>1726</v>
      </c>
      <c r="D1610" s="0" t="s">
        <v>23</v>
      </c>
      <c r="F1610" s="0" t="s">
        <v>18111</v>
      </c>
      <c r="G1610" s="0" t="s">
        <v>18110</v>
      </c>
    </row>
    <row r="1611" customFormat="false" ht="15" hidden="false" customHeight="false" outlineLevel="0" collapsed="false">
      <c r="A1611" s="0" t="n">
        <v>408</v>
      </c>
      <c r="B1611" s="0" t="n">
        <v>22871</v>
      </c>
      <c r="C1611" s="0" t="s">
        <v>1844</v>
      </c>
      <c r="D1611" s="0" t="s">
        <v>23</v>
      </c>
      <c r="F1611" s="0" t="s">
        <v>18112</v>
      </c>
      <c r="G1611" s="0" t="s">
        <v>18110</v>
      </c>
    </row>
    <row r="1612" customFormat="false" ht="15" hidden="false" customHeight="false" outlineLevel="0" collapsed="false">
      <c r="A1612" s="0" t="n">
        <v>415</v>
      </c>
      <c r="B1612" s="0" t="n">
        <v>22856</v>
      </c>
      <c r="C1612" s="0" t="s">
        <v>1873</v>
      </c>
      <c r="D1612" s="0" t="s">
        <v>23</v>
      </c>
      <c r="F1612" s="0" t="s">
        <v>18113</v>
      </c>
      <c r="G1612" s="0" t="s">
        <v>18110</v>
      </c>
    </row>
    <row r="1613" customFormat="false" ht="15" hidden="false" customHeight="false" outlineLevel="0" collapsed="false">
      <c r="A1613" s="0" t="n">
        <v>432</v>
      </c>
      <c r="B1613" s="0" t="n">
        <v>22873</v>
      </c>
      <c r="C1613" s="0" t="s">
        <v>1947</v>
      </c>
      <c r="D1613" s="0" t="s">
        <v>23</v>
      </c>
      <c r="F1613" s="0" t="s">
        <v>18114</v>
      </c>
      <c r="G1613" s="0" t="s">
        <v>18110</v>
      </c>
    </row>
    <row r="1614" customFormat="false" ht="15" hidden="false" customHeight="false" outlineLevel="0" collapsed="false">
      <c r="A1614" s="0" t="n">
        <v>513</v>
      </c>
      <c r="B1614" s="0" t="n">
        <v>2681</v>
      </c>
      <c r="C1614" s="0" t="s">
        <v>2304</v>
      </c>
      <c r="D1614" s="0" t="s">
        <v>23</v>
      </c>
      <c r="F1614" s="0" t="s">
        <v>18115</v>
      </c>
      <c r="G1614" s="0" t="s">
        <v>18110</v>
      </c>
    </row>
    <row r="1615" customFormat="false" ht="15" hidden="false" customHeight="false" outlineLevel="0" collapsed="false">
      <c r="A1615" s="0" t="n">
        <v>514</v>
      </c>
      <c r="B1615" s="0" t="n">
        <v>2682</v>
      </c>
      <c r="C1615" s="0" t="s">
        <v>2308</v>
      </c>
      <c r="D1615" s="0" t="s">
        <v>23</v>
      </c>
      <c r="F1615" s="0" t="s">
        <v>18116</v>
      </c>
      <c r="G1615" s="0" t="s">
        <v>18110</v>
      </c>
    </row>
    <row r="1616" customFormat="false" ht="15" hidden="false" customHeight="false" outlineLevel="0" collapsed="false">
      <c r="A1616" s="0" t="n">
        <v>577</v>
      </c>
      <c r="B1616" s="0" t="n">
        <v>22318</v>
      </c>
      <c r="C1616" s="0" t="s">
        <v>2599</v>
      </c>
      <c r="D1616" s="0" t="s">
        <v>23</v>
      </c>
      <c r="F1616" s="0" t="s">
        <v>18117</v>
      </c>
      <c r="G1616" s="0" t="s">
        <v>18110</v>
      </c>
    </row>
    <row r="1617" customFormat="false" ht="15" hidden="false" customHeight="false" outlineLevel="0" collapsed="false">
      <c r="A1617" s="0" t="n">
        <v>641</v>
      </c>
      <c r="B1617" s="0" t="n">
        <v>22832</v>
      </c>
      <c r="C1617" s="0" t="s">
        <v>2870</v>
      </c>
      <c r="D1617" s="0" t="s">
        <v>23</v>
      </c>
      <c r="F1617" s="0" t="s">
        <v>18118</v>
      </c>
      <c r="G1617" s="0" t="s">
        <v>18110</v>
      </c>
    </row>
    <row r="1618" customFormat="false" ht="15" hidden="false" customHeight="false" outlineLevel="0" collapsed="false">
      <c r="A1618" s="0" t="n">
        <v>715</v>
      </c>
      <c r="B1618" s="0" t="n">
        <v>22867</v>
      </c>
      <c r="C1618" s="0" t="s">
        <v>3179</v>
      </c>
      <c r="D1618" s="0" t="s">
        <v>23</v>
      </c>
      <c r="F1618" s="0" t="s">
        <v>18119</v>
      </c>
      <c r="G1618" s="0" t="s">
        <v>18110</v>
      </c>
    </row>
    <row r="1619" customFormat="false" ht="15" hidden="false" customHeight="false" outlineLevel="0" collapsed="false">
      <c r="A1619" s="0" t="n">
        <v>716</v>
      </c>
      <c r="B1619" s="0" t="n">
        <v>22866</v>
      </c>
      <c r="C1619" s="0" t="s">
        <v>3183</v>
      </c>
      <c r="D1619" s="0" t="s">
        <v>23</v>
      </c>
      <c r="F1619" s="0" t="s">
        <v>18120</v>
      </c>
      <c r="G1619" s="0" t="s">
        <v>18110</v>
      </c>
    </row>
    <row r="1620" customFormat="false" ht="15" hidden="false" customHeight="false" outlineLevel="0" collapsed="false">
      <c r="A1620" s="0" t="n">
        <v>718</v>
      </c>
      <c r="B1620" s="0" t="n">
        <v>21709</v>
      </c>
      <c r="C1620" s="0" t="s">
        <v>3191</v>
      </c>
      <c r="D1620" s="0" t="s">
        <v>23</v>
      </c>
      <c r="F1620" s="0" t="s">
        <v>18121</v>
      </c>
      <c r="G1620" s="0" t="s">
        <v>18110</v>
      </c>
    </row>
    <row r="1621" customFormat="false" ht="15" hidden="false" customHeight="false" outlineLevel="0" collapsed="false">
      <c r="A1621" s="0" t="n">
        <v>719</v>
      </c>
      <c r="B1621" s="0" t="n">
        <v>22876</v>
      </c>
      <c r="C1621" s="0" t="s">
        <v>3195</v>
      </c>
      <c r="D1621" s="0" t="s">
        <v>23</v>
      </c>
      <c r="F1621" s="0" t="s">
        <v>18122</v>
      </c>
      <c r="G1621" s="0" t="s">
        <v>18110</v>
      </c>
    </row>
    <row r="1622" customFormat="false" ht="15" hidden="false" customHeight="false" outlineLevel="0" collapsed="false">
      <c r="A1622" s="0" t="n">
        <v>720</v>
      </c>
      <c r="B1622" s="0" t="n">
        <v>21685</v>
      </c>
      <c r="C1622" s="0" t="s">
        <v>3199</v>
      </c>
      <c r="D1622" s="0" t="s">
        <v>23</v>
      </c>
      <c r="F1622" s="0" t="s">
        <v>18123</v>
      </c>
      <c r="G1622" s="0" t="s">
        <v>18110</v>
      </c>
    </row>
    <row r="1623" customFormat="false" ht="15" hidden="false" customHeight="false" outlineLevel="0" collapsed="false">
      <c r="A1623" s="0" t="n">
        <v>940</v>
      </c>
      <c r="B1623" s="0" t="n">
        <v>22834</v>
      </c>
      <c r="C1623" s="0" t="s">
        <v>4166</v>
      </c>
      <c r="D1623" s="0" t="s">
        <v>23</v>
      </c>
      <c r="F1623" s="0" t="s">
        <v>18124</v>
      </c>
      <c r="G1623" s="0" t="s">
        <v>18110</v>
      </c>
    </row>
    <row r="1624" customFormat="false" ht="15" hidden="false" customHeight="false" outlineLevel="0" collapsed="false">
      <c r="A1624" s="0" t="n">
        <v>1274</v>
      </c>
      <c r="B1624" s="0" t="n">
        <v>13925</v>
      </c>
      <c r="C1624" s="0" t="s">
        <v>5594</v>
      </c>
      <c r="D1624" s="0" t="s">
        <v>23</v>
      </c>
      <c r="F1624" s="0" t="s">
        <v>18125</v>
      </c>
      <c r="G1624" s="0" t="s">
        <v>18110</v>
      </c>
    </row>
    <row r="1625" customFormat="false" ht="15" hidden="false" customHeight="false" outlineLevel="0" collapsed="false">
      <c r="A1625" s="0" t="n">
        <v>1340</v>
      </c>
      <c r="B1625" s="0" t="n">
        <v>14914</v>
      </c>
      <c r="C1625" s="0" t="s">
        <v>5878</v>
      </c>
      <c r="D1625" s="0" t="s">
        <v>23</v>
      </c>
      <c r="F1625" s="0" t="s">
        <v>18126</v>
      </c>
      <c r="G1625" s="0" t="s">
        <v>18110</v>
      </c>
    </row>
    <row r="1626" customFormat="false" ht="15" hidden="false" customHeight="false" outlineLevel="0" collapsed="false">
      <c r="A1626" s="0" t="n">
        <v>1436</v>
      </c>
      <c r="B1626" s="0" t="n">
        <v>15551</v>
      </c>
      <c r="C1626" s="0" t="s">
        <v>6297</v>
      </c>
      <c r="D1626" s="0" t="s">
        <v>23</v>
      </c>
      <c r="F1626" s="0" t="s">
        <v>18127</v>
      </c>
      <c r="G1626" s="0" t="s">
        <v>18110</v>
      </c>
    </row>
    <row r="1627" customFormat="false" ht="15" hidden="false" customHeight="false" outlineLevel="0" collapsed="false">
      <c r="A1627" s="0" t="n">
        <v>1438</v>
      </c>
      <c r="B1627" s="0" t="n">
        <v>15553</v>
      </c>
      <c r="C1627" s="0" t="s">
        <v>6304</v>
      </c>
      <c r="D1627" s="0" t="s">
        <v>23</v>
      </c>
      <c r="F1627" s="0" t="s">
        <v>18128</v>
      </c>
      <c r="G1627" s="0" t="s">
        <v>18110</v>
      </c>
    </row>
    <row r="1628" customFormat="false" ht="15" hidden="false" customHeight="false" outlineLevel="0" collapsed="false">
      <c r="A1628" s="0" t="n">
        <v>1443</v>
      </c>
      <c r="B1628" s="0" t="n">
        <v>22538</v>
      </c>
      <c r="C1628" s="0" t="s">
        <v>6325</v>
      </c>
      <c r="D1628" s="0" t="s">
        <v>23</v>
      </c>
      <c r="F1628" s="0" t="s">
        <v>18129</v>
      </c>
      <c r="G1628" s="0" t="s">
        <v>18110</v>
      </c>
    </row>
    <row r="1629" customFormat="false" ht="15" hidden="false" customHeight="false" outlineLevel="0" collapsed="false">
      <c r="A1629" s="0" t="n">
        <v>1448</v>
      </c>
      <c r="B1629" s="0" t="n">
        <v>22877</v>
      </c>
      <c r="C1629" s="0" t="s">
        <v>6345</v>
      </c>
      <c r="D1629" s="0" t="s">
        <v>23</v>
      </c>
      <c r="F1629" s="0" t="s">
        <v>18130</v>
      </c>
      <c r="G1629" s="0" t="s">
        <v>18110</v>
      </c>
    </row>
    <row r="1630" customFormat="false" ht="15" hidden="false" customHeight="false" outlineLevel="0" collapsed="false">
      <c r="A1630" s="0" t="n">
        <v>1454</v>
      </c>
      <c r="B1630" s="0" t="n">
        <v>22833</v>
      </c>
      <c r="C1630" s="0" t="s">
        <v>6369</v>
      </c>
      <c r="D1630" s="0" t="s">
        <v>23</v>
      </c>
      <c r="F1630" s="0" t="s">
        <v>18131</v>
      </c>
      <c r="G1630" s="0" t="s">
        <v>18110</v>
      </c>
    </row>
    <row r="1631" customFormat="false" ht="15" hidden="false" customHeight="false" outlineLevel="0" collapsed="false">
      <c r="A1631" s="0" t="n">
        <v>1456</v>
      </c>
      <c r="B1631" s="0" t="n">
        <v>22875</v>
      </c>
      <c r="C1631" s="0" t="s">
        <v>6377</v>
      </c>
      <c r="D1631" s="0" t="s">
        <v>23</v>
      </c>
      <c r="F1631" s="0" t="s">
        <v>18132</v>
      </c>
      <c r="G1631" s="0" t="s">
        <v>18110</v>
      </c>
    </row>
    <row r="1632" customFormat="false" ht="15" hidden="false" customHeight="false" outlineLevel="0" collapsed="false">
      <c r="A1632" s="0" t="n">
        <v>1459</v>
      </c>
      <c r="B1632" s="0" t="n">
        <v>22865</v>
      </c>
      <c r="C1632" s="0" t="s">
        <v>6389</v>
      </c>
      <c r="D1632" s="0" t="s">
        <v>23</v>
      </c>
      <c r="F1632" s="0" t="s">
        <v>18133</v>
      </c>
      <c r="G1632" s="0" t="s">
        <v>18110</v>
      </c>
    </row>
    <row r="1633" customFormat="false" ht="15" hidden="false" customHeight="false" outlineLevel="0" collapsed="false">
      <c r="A1633" s="0" t="n">
        <v>1507</v>
      </c>
      <c r="B1633" s="0" t="n">
        <v>16158</v>
      </c>
      <c r="C1633" s="0" t="s">
        <v>6598</v>
      </c>
      <c r="D1633" s="0" t="s">
        <v>23</v>
      </c>
      <c r="F1633" s="0" t="s">
        <v>18134</v>
      </c>
      <c r="G1633" s="0" t="s">
        <v>18110</v>
      </c>
    </row>
    <row r="1634" customFormat="false" ht="15" hidden="false" customHeight="false" outlineLevel="0" collapsed="false">
      <c r="A1634" s="0" t="n">
        <v>1529</v>
      </c>
      <c r="B1634" s="0" t="n">
        <v>16339</v>
      </c>
      <c r="C1634" s="0" t="s">
        <v>1797</v>
      </c>
      <c r="D1634" s="0" t="s">
        <v>23</v>
      </c>
      <c r="F1634" s="0" t="s">
        <v>18135</v>
      </c>
      <c r="G1634" s="0" t="s">
        <v>18110</v>
      </c>
    </row>
    <row r="1635" customFormat="false" ht="15" hidden="false" customHeight="false" outlineLevel="0" collapsed="false">
      <c r="A1635" s="0" t="n">
        <v>1531</v>
      </c>
      <c r="B1635" s="0" t="n">
        <v>16346</v>
      </c>
      <c r="C1635" s="0" t="s">
        <v>6710</v>
      </c>
      <c r="D1635" s="0" t="s">
        <v>23</v>
      </c>
      <c r="F1635" s="0" t="s">
        <v>18136</v>
      </c>
      <c r="G1635" s="0" t="s">
        <v>18110</v>
      </c>
    </row>
    <row r="1636" customFormat="false" ht="15" hidden="false" customHeight="false" outlineLevel="0" collapsed="false">
      <c r="A1636" s="0" t="n">
        <v>1542</v>
      </c>
      <c r="B1636" s="0" t="n">
        <v>22870</v>
      </c>
      <c r="C1636" s="0" t="s">
        <v>6759</v>
      </c>
      <c r="D1636" s="0" t="s">
        <v>23</v>
      </c>
      <c r="F1636" s="0" t="s">
        <v>18137</v>
      </c>
      <c r="G1636" s="0" t="s">
        <v>18110</v>
      </c>
    </row>
    <row r="1637" customFormat="false" ht="15" hidden="false" customHeight="false" outlineLevel="0" collapsed="false">
      <c r="A1637" s="0" t="n">
        <v>1544</v>
      </c>
      <c r="B1637" s="0" t="n">
        <v>16386</v>
      </c>
      <c r="C1637" s="0" t="s">
        <v>6768</v>
      </c>
      <c r="D1637" s="0" t="s">
        <v>23</v>
      </c>
      <c r="F1637" s="0" t="s">
        <v>18138</v>
      </c>
      <c r="G1637" s="0" t="s">
        <v>18110</v>
      </c>
    </row>
    <row r="1638" customFormat="false" ht="15" hidden="false" customHeight="false" outlineLevel="0" collapsed="false">
      <c r="A1638" s="0" t="n">
        <v>1552</v>
      </c>
      <c r="B1638" s="0" t="n">
        <v>22831</v>
      </c>
      <c r="C1638" s="0" t="s">
        <v>6800</v>
      </c>
      <c r="D1638" s="0" t="s">
        <v>23</v>
      </c>
      <c r="F1638" s="0" t="s">
        <v>18139</v>
      </c>
      <c r="G1638" s="0" t="s">
        <v>18110</v>
      </c>
    </row>
    <row r="1639" customFormat="false" ht="15" hidden="false" customHeight="false" outlineLevel="0" collapsed="false">
      <c r="A1639" s="0" t="n">
        <v>1553</v>
      </c>
      <c r="B1639" s="0" t="n">
        <v>16505</v>
      </c>
      <c r="C1639" s="0" t="s">
        <v>6804</v>
      </c>
      <c r="D1639" s="0" t="s">
        <v>23</v>
      </c>
      <c r="F1639" s="0" t="s">
        <v>18140</v>
      </c>
      <c r="G1639" s="0" t="s">
        <v>18110</v>
      </c>
    </row>
    <row r="1640" customFormat="false" ht="15" hidden="false" customHeight="false" outlineLevel="0" collapsed="false">
      <c r="A1640" s="0" t="n">
        <v>1565</v>
      </c>
      <c r="B1640" s="0" t="n">
        <v>16596</v>
      </c>
      <c r="C1640" s="0" t="s">
        <v>6860</v>
      </c>
      <c r="D1640" s="0" t="s">
        <v>23</v>
      </c>
      <c r="F1640" s="0" t="s">
        <v>18141</v>
      </c>
      <c r="G1640" s="0" t="s">
        <v>18110</v>
      </c>
    </row>
    <row r="1641" customFormat="false" ht="15" hidden="false" customHeight="false" outlineLevel="0" collapsed="false">
      <c r="A1641" s="0" t="n">
        <v>1647</v>
      </c>
      <c r="B1641" s="0" t="n">
        <v>17180</v>
      </c>
      <c r="C1641" s="0" t="s">
        <v>7182</v>
      </c>
      <c r="D1641" s="0" t="s">
        <v>23</v>
      </c>
      <c r="F1641" s="0" t="s">
        <v>18142</v>
      </c>
      <c r="G1641" s="0" t="s">
        <v>18110</v>
      </c>
    </row>
    <row r="1642" customFormat="false" ht="15" hidden="false" customHeight="false" outlineLevel="0" collapsed="false">
      <c r="A1642" s="0" t="n">
        <v>1660</v>
      </c>
      <c r="B1642" s="0" t="n">
        <v>17333</v>
      </c>
      <c r="C1642" s="0" t="s">
        <v>7236</v>
      </c>
      <c r="D1642" s="0" t="s">
        <v>23</v>
      </c>
      <c r="F1642" s="0" t="s">
        <v>18143</v>
      </c>
      <c r="G1642" s="0" t="s">
        <v>18110</v>
      </c>
    </row>
    <row r="1643" customFormat="false" ht="15" hidden="false" customHeight="false" outlineLevel="0" collapsed="false">
      <c r="A1643" s="0" t="n">
        <v>1667</v>
      </c>
      <c r="B1643" s="0" t="n">
        <v>17583</v>
      </c>
      <c r="C1643" s="0" t="s">
        <v>7266</v>
      </c>
      <c r="D1643" s="0" t="s">
        <v>23</v>
      </c>
      <c r="F1643" s="0" t="s">
        <v>18144</v>
      </c>
      <c r="G1643" s="0" t="s">
        <v>18110</v>
      </c>
    </row>
    <row r="1644" customFormat="false" ht="15" hidden="false" customHeight="false" outlineLevel="0" collapsed="false">
      <c r="A1644" s="0" t="n">
        <v>1703</v>
      </c>
      <c r="B1644" s="0" t="n">
        <v>17858</v>
      </c>
      <c r="C1644" s="0" t="s">
        <v>7417</v>
      </c>
      <c r="D1644" s="0" t="s">
        <v>23</v>
      </c>
      <c r="F1644" s="0" t="s">
        <v>18145</v>
      </c>
      <c r="G1644" s="0" t="s">
        <v>18110</v>
      </c>
    </row>
    <row r="1645" customFormat="false" ht="15" hidden="false" customHeight="false" outlineLevel="0" collapsed="false">
      <c r="A1645" s="0" t="n">
        <v>1704</v>
      </c>
      <c r="B1645" s="0" t="n">
        <v>17859</v>
      </c>
      <c r="C1645" s="0" t="s">
        <v>7422</v>
      </c>
      <c r="D1645" s="0" t="s">
        <v>23</v>
      </c>
      <c r="F1645" s="0" t="s">
        <v>18146</v>
      </c>
      <c r="G1645" s="0" t="s">
        <v>18110</v>
      </c>
    </row>
    <row r="1646" customFormat="false" ht="15" hidden="false" customHeight="false" outlineLevel="0" collapsed="false">
      <c r="A1646" s="0" t="n">
        <v>1705</v>
      </c>
      <c r="B1646" s="0" t="n">
        <v>17860</v>
      </c>
      <c r="C1646" s="0" t="s">
        <v>7425</v>
      </c>
      <c r="D1646" s="0" t="s">
        <v>23</v>
      </c>
      <c r="F1646" s="0" t="s">
        <v>18147</v>
      </c>
      <c r="G1646" s="0" t="s">
        <v>18110</v>
      </c>
    </row>
    <row r="1647" customFormat="false" ht="15" hidden="false" customHeight="false" outlineLevel="0" collapsed="false">
      <c r="A1647" s="0" t="n">
        <v>1706</v>
      </c>
      <c r="B1647" s="0" t="n">
        <v>17861</v>
      </c>
      <c r="C1647" s="0" t="s">
        <v>7428</v>
      </c>
      <c r="D1647" s="0" t="s">
        <v>23</v>
      </c>
      <c r="F1647" s="0" t="s">
        <v>18148</v>
      </c>
      <c r="G1647" s="0" t="s">
        <v>18110</v>
      </c>
    </row>
    <row r="1648" customFormat="false" ht="15" hidden="false" customHeight="false" outlineLevel="0" collapsed="false">
      <c r="A1648" s="0" t="n">
        <v>1707</v>
      </c>
      <c r="B1648" s="0" t="n">
        <v>17862</v>
      </c>
      <c r="C1648" s="0" t="s">
        <v>7431</v>
      </c>
      <c r="D1648" s="0" t="s">
        <v>23</v>
      </c>
      <c r="F1648" s="0" t="s">
        <v>18149</v>
      </c>
      <c r="G1648" s="0" t="s">
        <v>18110</v>
      </c>
    </row>
    <row r="1649" customFormat="false" ht="15" hidden="false" customHeight="false" outlineLevel="0" collapsed="false">
      <c r="A1649" s="0" t="n">
        <v>1708</v>
      </c>
      <c r="B1649" s="0" t="n">
        <v>17863</v>
      </c>
      <c r="C1649" s="0" t="s">
        <v>7434</v>
      </c>
      <c r="D1649" s="0" t="s">
        <v>23</v>
      </c>
      <c r="F1649" s="0" t="s">
        <v>18150</v>
      </c>
      <c r="G1649" s="0" t="s">
        <v>18110</v>
      </c>
    </row>
    <row r="1650" customFormat="false" ht="15" hidden="false" customHeight="false" outlineLevel="0" collapsed="false">
      <c r="A1650" s="0" t="n">
        <v>1721</v>
      </c>
      <c r="B1650" s="0" t="n">
        <v>17913</v>
      </c>
      <c r="C1650" s="0" t="s">
        <v>7486</v>
      </c>
      <c r="D1650" s="0" t="s">
        <v>23</v>
      </c>
      <c r="F1650" s="0" t="s">
        <v>18151</v>
      </c>
      <c r="G1650" s="0" t="s">
        <v>18110</v>
      </c>
    </row>
    <row r="1651" customFormat="false" ht="15" hidden="false" customHeight="false" outlineLevel="0" collapsed="false">
      <c r="A1651" s="0" t="n">
        <v>1731</v>
      </c>
      <c r="B1651" s="0" t="n">
        <v>17949</v>
      </c>
      <c r="C1651" s="0" t="s">
        <v>7529</v>
      </c>
      <c r="D1651" s="0" t="s">
        <v>23</v>
      </c>
      <c r="F1651" s="0" t="s">
        <v>18152</v>
      </c>
      <c r="G1651" s="0" t="s">
        <v>18110</v>
      </c>
    </row>
    <row r="1652" customFormat="false" ht="15" hidden="false" customHeight="false" outlineLevel="0" collapsed="false">
      <c r="A1652" s="0" t="n">
        <v>1734</v>
      </c>
      <c r="B1652" s="0" t="n">
        <v>17961</v>
      </c>
      <c r="C1652" s="0" t="s">
        <v>7544</v>
      </c>
      <c r="D1652" s="0" t="s">
        <v>23</v>
      </c>
      <c r="F1652" s="0" t="s">
        <v>18153</v>
      </c>
      <c r="G1652" s="0" t="s">
        <v>18110</v>
      </c>
    </row>
    <row r="1653" customFormat="false" ht="15" hidden="false" customHeight="false" outlineLevel="0" collapsed="false">
      <c r="A1653" s="0" t="n">
        <v>1739</v>
      </c>
      <c r="B1653" s="0" t="n">
        <v>17983</v>
      </c>
      <c r="C1653" s="0" t="s">
        <v>7571</v>
      </c>
      <c r="D1653" s="0" t="s">
        <v>23</v>
      </c>
      <c r="F1653" s="0" t="s">
        <v>18154</v>
      </c>
      <c r="G1653" s="0" t="s">
        <v>18110</v>
      </c>
    </row>
    <row r="1654" customFormat="false" ht="15" hidden="false" customHeight="false" outlineLevel="0" collapsed="false">
      <c r="A1654" s="0" t="n">
        <v>1801</v>
      </c>
      <c r="B1654" s="0" t="n">
        <v>18373</v>
      </c>
      <c r="C1654" s="0" t="s">
        <v>7824</v>
      </c>
      <c r="D1654" s="0" t="s">
        <v>23</v>
      </c>
      <c r="F1654" s="0" t="s">
        <v>18155</v>
      </c>
      <c r="G1654" s="0" t="s">
        <v>18110</v>
      </c>
    </row>
    <row r="1655" customFormat="false" ht="15" hidden="false" customHeight="false" outlineLevel="0" collapsed="false">
      <c r="A1655" s="0" t="n">
        <v>1817</v>
      </c>
      <c r="B1655" s="0" t="n">
        <v>18472</v>
      </c>
      <c r="C1655" s="0" t="s">
        <v>7890</v>
      </c>
      <c r="D1655" s="0" t="s">
        <v>23</v>
      </c>
      <c r="F1655" s="0" t="s">
        <v>18156</v>
      </c>
      <c r="G1655" s="0" t="s">
        <v>18110</v>
      </c>
    </row>
    <row r="1656" customFormat="false" ht="15" hidden="false" customHeight="false" outlineLevel="0" collapsed="false">
      <c r="A1656" s="0" t="n">
        <v>1829</v>
      </c>
      <c r="B1656" s="0" t="n">
        <v>18527</v>
      </c>
      <c r="C1656" s="0" t="s">
        <v>7947</v>
      </c>
      <c r="D1656" s="0" t="s">
        <v>23</v>
      </c>
      <c r="F1656" s="0" t="s">
        <v>18157</v>
      </c>
      <c r="G1656" s="0" t="s">
        <v>18110</v>
      </c>
    </row>
    <row r="1657" customFormat="false" ht="15" hidden="false" customHeight="false" outlineLevel="0" collapsed="false">
      <c r="A1657" s="0" t="n">
        <v>1830</v>
      </c>
      <c r="B1657" s="0" t="n">
        <v>18528</v>
      </c>
      <c r="C1657" s="0" t="s">
        <v>7954</v>
      </c>
      <c r="D1657" s="0" t="s">
        <v>23</v>
      </c>
      <c r="F1657" s="0" t="s">
        <v>18158</v>
      </c>
      <c r="G1657" s="0" t="s">
        <v>18110</v>
      </c>
    </row>
    <row r="1658" customFormat="false" ht="15" hidden="false" customHeight="false" outlineLevel="0" collapsed="false">
      <c r="A1658" s="0" t="n">
        <v>1831</v>
      </c>
      <c r="B1658" s="0" t="n">
        <v>18529</v>
      </c>
      <c r="C1658" s="0" t="s">
        <v>7958</v>
      </c>
      <c r="D1658" s="0" t="s">
        <v>23</v>
      </c>
      <c r="F1658" s="0" t="s">
        <v>18159</v>
      </c>
      <c r="G1658" s="0" t="s">
        <v>18110</v>
      </c>
    </row>
    <row r="1659" customFormat="false" ht="15" hidden="false" customHeight="false" outlineLevel="0" collapsed="false">
      <c r="A1659" s="0" t="n">
        <v>1832</v>
      </c>
      <c r="B1659" s="0" t="n">
        <v>18530</v>
      </c>
      <c r="C1659" s="0" t="s">
        <v>7961</v>
      </c>
      <c r="D1659" s="0" t="s">
        <v>23</v>
      </c>
      <c r="F1659" s="0" t="s">
        <v>18160</v>
      </c>
      <c r="G1659" s="0" t="s">
        <v>18110</v>
      </c>
    </row>
    <row r="1660" customFormat="false" ht="15" hidden="false" customHeight="false" outlineLevel="0" collapsed="false">
      <c r="A1660" s="0" t="n">
        <v>1847</v>
      </c>
      <c r="B1660" s="0" t="n">
        <v>18551</v>
      </c>
      <c r="C1660" s="0" t="s">
        <v>8026</v>
      </c>
      <c r="D1660" s="0" t="s">
        <v>23</v>
      </c>
      <c r="F1660" s="0" t="s">
        <v>18161</v>
      </c>
      <c r="G1660" s="0" t="s">
        <v>18110</v>
      </c>
    </row>
    <row r="1661" customFormat="false" ht="15" hidden="false" customHeight="false" outlineLevel="0" collapsed="false">
      <c r="A1661" s="0" t="n">
        <v>1890</v>
      </c>
      <c r="B1661" s="0" t="n">
        <v>18658</v>
      </c>
      <c r="C1661" s="0" t="s">
        <v>8207</v>
      </c>
      <c r="D1661" s="0" t="s">
        <v>23</v>
      </c>
      <c r="F1661" s="0" t="s">
        <v>18162</v>
      </c>
      <c r="G1661" s="0" t="s">
        <v>18110</v>
      </c>
    </row>
    <row r="1662" customFormat="false" ht="15" hidden="false" customHeight="false" outlineLevel="0" collapsed="false">
      <c r="A1662" s="0" t="n">
        <v>1895</v>
      </c>
      <c r="B1662" s="0" t="n">
        <v>18690</v>
      </c>
      <c r="C1662" s="0" t="s">
        <v>8232</v>
      </c>
      <c r="D1662" s="0" t="s">
        <v>23</v>
      </c>
      <c r="F1662" s="0" t="s">
        <v>18163</v>
      </c>
      <c r="G1662" s="0" t="s">
        <v>18110</v>
      </c>
    </row>
    <row r="1663" customFormat="false" ht="15" hidden="false" customHeight="false" outlineLevel="0" collapsed="false">
      <c r="A1663" s="0" t="n">
        <v>1896</v>
      </c>
      <c r="B1663" s="0" t="n">
        <v>18692</v>
      </c>
      <c r="C1663" s="0" t="s">
        <v>8236</v>
      </c>
      <c r="D1663" s="0" t="s">
        <v>23</v>
      </c>
      <c r="F1663" s="0" t="s">
        <v>18164</v>
      </c>
      <c r="G1663" s="0" t="s">
        <v>18110</v>
      </c>
    </row>
    <row r="1664" customFormat="false" ht="15" hidden="false" customHeight="false" outlineLevel="0" collapsed="false">
      <c r="A1664" s="0" t="n">
        <v>1901</v>
      </c>
      <c r="B1664" s="0" t="n">
        <v>18698</v>
      </c>
      <c r="C1664" s="0" t="s">
        <v>8253</v>
      </c>
      <c r="D1664" s="0" t="s">
        <v>23</v>
      </c>
      <c r="F1664" s="0" t="s">
        <v>18165</v>
      </c>
      <c r="G1664" s="0" t="s">
        <v>18110</v>
      </c>
    </row>
    <row r="1665" customFormat="false" ht="15" hidden="false" customHeight="false" outlineLevel="0" collapsed="false">
      <c r="A1665" s="0" t="n">
        <v>1902</v>
      </c>
      <c r="B1665" s="0" t="n">
        <v>18700</v>
      </c>
      <c r="C1665" s="0" t="s">
        <v>8257</v>
      </c>
      <c r="D1665" s="0" t="s">
        <v>23</v>
      </c>
      <c r="F1665" s="0" t="s">
        <v>18166</v>
      </c>
      <c r="G1665" s="0" t="s">
        <v>18110</v>
      </c>
    </row>
    <row r="1666" customFormat="false" ht="15" hidden="false" customHeight="false" outlineLevel="0" collapsed="false">
      <c r="A1666" s="0" t="n">
        <v>1903</v>
      </c>
      <c r="B1666" s="0" t="n">
        <v>18701</v>
      </c>
      <c r="C1666" s="0" t="s">
        <v>8261</v>
      </c>
      <c r="D1666" s="0" t="s">
        <v>23</v>
      </c>
      <c r="F1666" s="0" t="s">
        <v>18167</v>
      </c>
      <c r="G1666" s="0" t="s">
        <v>18110</v>
      </c>
    </row>
    <row r="1667" customFormat="false" ht="15" hidden="false" customHeight="false" outlineLevel="0" collapsed="false">
      <c r="A1667" s="0" t="n">
        <v>1907</v>
      </c>
      <c r="B1667" s="0" t="n">
        <v>18718</v>
      </c>
      <c r="C1667" s="0" t="s">
        <v>8279</v>
      </c>
      <c r="D1667" s="0" t="s">
        <v>23</v>
      </c>
      <c r="F1667" s="0" t="s">
        <v>18168</v>
      </c>
      <c r="G1667" s="0" t="s">
        <v>18110</v>
      </c>
    </row>
    <row r="1668" customFormat="false" ht="15" hidden="false" customHeight="false" outlineLevel="0" collapsed="false">
      <c r="A1668" s="0" t="n">
        <v>1908</v>
      </c>
      <c r="B1668" s="0" t="n">
        <v>18719</v>
      </c>
      <c r="C1668" s="0" t="s">
        <v>8282</v>
      </c>
      <c r="D1668" s="0" t="s">
        <v>23</v>
      </c>
      <c r="F1668" s="0" t="s">
        <v>18169</v>
      </c>
      <c r="G1668" s="0" t="s">
        <v>18110</v>
      </c>
    </row>
    <row r="1669" customFormat="false" ht="15" hidden="false" customHeight="false" outlineLevel="0" collapsed="false">
      <c r="A1669" s="0" t="n">
        <v>1909</v>
      </c>
      <c r="B1669" s="0" t="n">
        <v>18720</v>
      </c>
      <c r="C1669" s="0" t="s">
        <v>8285</v>
      </c>
      <c r="D1669" s="0" t="s">
        <v>23</v>
      </c>
      <c r="F1669" s="0" t="s">
        <v>18170</v>
      </c>
      <c r="G1669" s="0" t="s">
        <v>18110</v>
      </c>
    </row>
    <row r="1670" customFormat="false" ht="15" hidden="false" customHeight="false" outlineLevel="0" collapsed="false">
      <c r="A1670" s="0" t="n">
        <v>1910</v>
      </c>
      <c r="B1670" s="0" t="n">
        <v>18721</v>
      </c>
      <c r="C1670" s="0" t="s">
        <v>8288</v>
      </c>
      <c r="D1670" s="0" t="s">
        <v>23</v>
      </c>
      <c r="F1670" s="0" t="s">
        <v>18171</v>
      </c>
      <c r="G1670" s="0" t="s">
        <v>18110</v>
      </c>
    </row>
    <row r="1671" customFormat="false" ht="15" hidden="false" customHeight="false" outlineLevel="0" collapsed="false">
      <c r="A1671" s="0" t="n">
        <v>1945</v>
      </c>
      <c r="B1671" s="0" t="n">
        <v>18848</v>
      </c>
      <c r="C1671" s="0" t="s">
        <v>8422</v>
      </c>
      <c r="D1671" s="0" t="s">
        <v>23</v>
      </c>
      <c r="F1671" s="0" t="s">
        <v>18172</v>
      </c>
      <c r="G1671" s="0" t="s">
        <v>18110</v>
      </c>
    </row>
    <row r="1672" customFormat="false" ht="15" hidden="false" customHeight="false" outlineLevel="0" collapsed="false">
      <c r="A1672" s="0" t="n">
        <v>1958</v>
      </c>
      <c r="B1672" s="0" t="n">
        <v>18885</v>
      </c>
      <c r="C1672" s="0" t="s">
        <v>8469</v>
      </c>
      <c r="D1672" s="0" t="s">
        <v>23</v>
      </c>
      <c r="F1672" s="0" t="s">
        <v>18173</v>
      </c>
      <c r="G1672" s="0" t="s">
        <v>18110</v>
      </c>
    </row>
    <row r="1673" customFormat="false" ht="15" hidden="false" customHeight="false" outlineLevel="0" collapsed="false">
      <c r="A1673" s="0" t="n">
        <v>1968</v>
      </c>
      <c r="B1673" s="0" t="n">
        <v>18934</v>
      </c>
      <c r="C1673" s="0" t="s">
        <v>8510</v>
      </c>
      <c r="D1673" s="0" t="s">
        <v>23</v>
      </c>
      <c r="F1673" s="0" t="s">
        <v>18174</v>
      </c>
      <c r="G1673" s="0" t="s">
        <v>18110</v>
      </c>
    </row>
    <row r="1674" customFormat="false" ht="15" hidden="false" customHeight="false" outlineLevel="0" collapsed="false">
      <c r="A1674" s="0" t="n">
        <v>1969</v>
      </c>
      <c r="B1674" s="0" t="n">
        <v>18937</v>
      </c>
      <c r="C1674" s="0" t="s">
        <v>8514</v>
      </c>
      <c r="D1674" s="0" t="s">
        <v>23</v>
      </c>
      <c r="F1674" s="0" t="s">
        <v>18175</v>
      </c>
      <c r="G1674" s="0" t="s">
        <v>18110</v>
      </c>
    </row>
    <row r="1675" customFormat="false" ht="15" hidden="false" customHeight="false" outlineLevel="0" collapsed="false">
      <c r="A1675" s="0" t="n">
        <v>1980</v>
      </c>
      <c r="B1675" s="0" t="n">
        <v>19005</v>
      </c>
      <c r="C1675" s="0" t="s">
        <v>8554</v>
      </c>
      <c r="D1675" s="0" t="s">
        <v>23</v>
      </c>
      <c r="F1675" s="0" t="s">
        <v>18176</v>
      </c>
      <c r="G1675" s="0" t="s">
        <v>18110</v>
      </c>
    </row>
    <row r="1676" customFormat="false" ht="15" hidden="false" customHeight="false" outlineLevel="0" collapsed="false">
      <c r="A1676" s="0" t="n">
        <v>1981</v>
      </c>
      <c r="B1676" s="0" t="n">
        <v>19006</v>
      </c>
      <c r="C1676" s="0" t="s">
        <v>8557</v>
      </c>
      <c r="D1676" s="0" t="s">
        <v>23</v>
      </c>
      <c r="F1676" s="0" t="s">
        <v>18177</v>
      </c>
      <c r="G1676" s="0" t="s">
        <v>18110</v>
      </c>
    </row>
    <row r="1677" customFormat="false" ht="15" hidden="false" customHeight="false" outlineLevel="0" collapsed="false">
      <c r="A1677" s="0" t="n">
        <v>1982</v>
      </c>
      <c r="B1677" s="0" t="n">
        <v>19007</v>
      </c>
      <c r="C1677" s="0" t="s">
        <v>8560</v>
      </c>
      <c r="D1677" s="0" t="s">
        <v>23</v>
      </c>
      <c r="F1677" s="0" t="s">
        <v>18178</v>
      </c>
      <c r="G1677" s="0" t="s">
        <v>18110</v>
      </c>
    </row>
    <row r="1678" customFormat="false" ht="15" hidden="false" customHeight="false" outlineLevel="0" collapsed="false">
      <c r="A1678" s="0" t="n">
        <v>1983</v>
      </c>
      <c r="B1678" s="0" t="n">
        <v>19008</v>
      </c>
      <c r="C1678" s="0" t="s">
        <v>8563</v>
      </c>
      <c r="D1678" s="0" t="s">
        <v>23</v>
      </c>
      <c r="F1678" s="0" t="s">
        <v>18179</v>
      </c>
      <c r="G1678" s="0" t="s">
        <v>18110</v>
      </c>
    </row>
    <row r="1679" customFormat="false" ht="15" hidden="false" customHeight="false" outlineLevel="0" collapsed="false">
      <c r="A1679" s="0" t="n">
        <v>1984</v>
      </c>
      <c r="B1679" s="0" t="n">
        <v>19009</v>
      </c>
      <c r="C1679" s="0" t="s">
        <v>8566</v>
      </c>
      <c r="D1679" s="0" t="s">
        <v>23</v>
      </c>
      <c r="F1679" s="0" t="s">
        <v>18180</v>
      </c>
      <c r="G1679" s="0" t="s">
        <v>18110</v>
      </c>
    </row>
    <row r="1680" customFormat="false" ht="15" hidden="false" customHeight="false" outlineLevel="0" collapsed="false">
      <c r="A1680" s="0" t="n">
        <v>1986</v>
      </c>
      <c r="B1680" s="0" t="n">
        <v>19012</v>
      </c>
      <c r="C1680" s="0" t="s">
        <v>8572</v>
      </c>
      <c r="D1680" s="0" t="s">
        <v>23</v>
      </c>
      <c r="F1680" s="0" t="s">
        <v>18181</v>
      </c>
      <c r="G1680" s="0" t="s">
        <v>18110</v>
      </c>
    </row>
    <row r="1681" customFormat="false" ht="15" hidden="false" customHeight="false" outlineLevel="0" collapsed="false">
      <c r="A1681" s="0" t="n">
        <v>1987</v>
      </c>
      <c r="B1681" s="0" t="n">
        <v>19014</v>
      </c>
      <c r="C1681" s="0" t="s">
        <v>8575</v>
      </c>
      <c r="D1681" s="0" t="s">
        <v>23</v>
      </c>
      <c r="F1681" s="0" t="s">
        <v>18182</v>
      </c>
      <c r="G1681" s="0" t="s">
        <v>18110</v>
      </c>
    </row>
    <row r="1682" customFormat="false" ht="15" hidden="false" customHeight="false" outlineLevel="0" collapsed="false">
      <c r="A1682" s="0" t="n">
        <v>1990</v>
      </c>
      <c r="B1682" s="0" t="n">
        <v>19018</v>
      </c>
      <c r="C1682" s="0" t="s">
        <v>8585</v>
      </c>
      <c r="D1682" s="0" t="s">
        <v>23</v>
      </c>
      <c r="F1682" s="0" t="s">
        <v>18183</v>
      </c>
      <c r="G1682" s="0" t="s">
        <v>18110</v>
      </c>
    </row>
    <row r="1683" customFormat="false" ht="15" hidden="false" customHeight="false" outlineLevel="0" collapsed="false">
      <c r="A1683" s="0" t="n">
        <v>1991</v>
      </c>
      <c r="B1683" s="0" t="n">
        <v>19020</v>
      </c>
      <c r="C1683" s="0" t="s">
        <v>8588</v>
      </c>
      <c r="D1683" s="0" t="s">
        <v>23</v>
      </c>
      <c r="F1683" s="0" t="s">
        <v>18184</v>
      </c>
      <c r="G1683" s="0" t="s">
        <v>18110</v>
      </c>
    </row>
    <row r="1684" customFormat="false" ht="15" hidden="false" customHeight="false" outlineLevel="0" collapsed="false">
      <c r="A1684" s="0" t="n">
        <v>1992</v>
      </c>
      <c r="B1684" s="0" t="n">
        <v>19022</v>
      </c>
      <c r="C1684" s="0" t="s">
        <v>8592</v>
      </c>
      <c r="D1684" s="0" t="s">
        <v>23</v>
      </c>
      <c r="F1684" s="0" t="s">
        <v>18185</v>
      </c>
      <c r="G1684" s="0" t="s">
        <v>18110</v>
      </c>
    </row>
    <row r="1685" customFormat="false" ht="15" hidden="false" customHeight="false" outlineLevel="0" collapsed="false">
      <c r="A1685" s="0" t="n">
        <v>2049</v>
      </c>
      <c r="B1685" s="0" t="n">
        <v>19161</v>
      </c>
      <c r="C1685" s="0" t="s">
        <v>8839</v>
      </c>
      <c r="D1685" s="0" t="s">
        <v>23</v>
      </c>
      <c r="F1685" s="0" t="s">
        <v>18186</v>
      </c>
      <c r="G1685" s="0" t="s">
        <v>18110</v>
      </c>
    </row>
    <row r="1686" customFormat="false" ht="15" hidden="false" customHeight="false" outlineLevel="0" collapsed="false">
      <c r="A1686" s="0" t="n">
        <v>2051</v>
      </c>
      <c r="B1686" s="0" t="n">
        <v>19169</v>
      </c>
      <c r="C1686" s="0" t="s">
        <v>8848</v>
      </c>
      <c r="D1686" s="0" t="s">
        <v>23</v>
      </c>
      <c r="F1686" s="0" t="s">
        <v>18187</v>
      </c>
      <c r="G1686" s="0" t="s">
        <v>18110</v>
      </c>
    </row>
    <row r="1687" customFormat="false" ht="15" hidden="false" customHeight="false" outlineLevel="0" collapsed="false">
      <c r="A1687" s="0" t="n">
        <v>2053</v>
      </c>
      <c r="B1687" s="0" t="n">
        <v>19171</v>
      </c>
      <c r="C1687" s="0" t="s">
        <v>8855</v>
      </c>
      <c r="D1687" s="0" t="s">
        <v>23</v>
      </c>
      <c r="F1687" s="0" t="s">
        <v>18188</v>
      </c>
      <c r="G1687" s="0" t="s">
        <v>18110</v>
      </c>
    </row>
    <row r="1688" customFormat="false" ht="15" hidden="false" customHeight="false" outlineLevel="0" collapsed="false">
      <c r="A1688" s="0" t="n">
        <v>2060</v>
      </c>
      <c r="B1688" s="0" t="n">
        <v>19180</v>
      </c>
      <c r="C1688" s="0" t="s">
        <v>8883</v>
      </c>
      <c r="D1688" s="0" t="s">
        <v>23</v>
      </c>
      <c r="F1688" s="0" t="s">
        <v>18189</v>
      </c>
      <c r="G1688" s="0" t="s">
        <v>18110</v>
      </c>
    </row>
    <row r="1689" customFormat="false" ht="15" hidden="false" customHeight="false" outlineLevel="0" collapsed="false">
      <c r="A1689" s="0" t="n">
        <v>2062</v>
      </c>
      <c r="B1689" s="0" t="n">
        <v>19183</v>
      </c>
      <c r="C1689" s="0" t="s">
        <v>8890</v>
      </c>
      <c r="D1689" s="0" t="s">
        <v>23</v>
      </c>
      <c r="F1689" s="0" t="s">
        <v>18190</v>
      </c>
      <c r="G1689" s="0" t="s">
        <v>18110</v>
      </c>
    </row>
    <row r="1690" customFormat="false" ht="15" hidden="false" customHeight="false" outlineLevel="0" collapsed="false">
      <c r="A1690" s="0" t="n">
        <v>2073</v>
      </c>
      <c r="B1690" s="0" t="n">
        <v>19214</v>
      </c>
      <c r="C1690" s="0" t="s">
        <v>8936</v>
      </c>
      <c r="D1690" s="0" t="s">
        <v>23</v>
      </c>
      <c r="F1690" s="0" t="s">
        <v>18191</v>
      </c>
      <c r="G1690" s="0" t="s">
        <v>18110</v>
      </c>
    </row>
    <row r="1691" customFormat="false" ht="15" hidden="false" customHeight="false" outlineLevel="0" collapsed="false">
      <c r="A1691" s="0" t="n">
        <v>2088</v>
      </c>
      <c r="B1691" s="0" t="n">
        <v>19245</v>
      </c>
      <c r="C1691" s="0" t="s">
        <v>9006</v>
      </c>
      <c r="D1691" s="0" t="s">
        <v>23</v>
      </c>
      <c r="F1691" s="0" t="s">
        <v>18192</v>
      </c>
      <c r="G1691" s="0" t="s">
        <v>18110</v>
      </c>
    </row>
    <row r="1692" customFormat="false" ht="15" hidden="false" customHeight="false" outlineLevel="0" collapsed="false">
      <c r="A1692" s="0" t="n">
        <v>2099</v>
      </c>
      <c r="B1692" s="0" t="n">
        <v>19270</v>
      </c>
      <c r="C1692" s="0" t="s">
        <v>9048</v>
      </c>
      <c r="D1692" s="0" t="s">
        <v>23</v>
      </c>
      <c r="F1692" s="0" t="s">
        <v>18193</v>
      </c>
      <c r="G1692" s="0" t="s">
        <v>18110</v>
      </c>
    </row>
    <row r="1693" customFormat="false" ht="15" hidden="false" customHeight="false" outlineLevel="0" collapsed="false">
      <c r="A1693" s="0" t="n">
        <v>2112</v>
      </c>
      <c r="B1693" s="0" t="n">
        <v>19304</v>
      </c>
      <c r="C1693" s="0" t="s">
        <v>9099</v>
      </c>
      <c r="D1693" s="0" t="s">
        <v>23</v>
      </c>
      <c r="F1693" s="0" t="s">
        <v>18194</v>
      </c>
      <c r="G1693" s="0" t="s">
        <v>18110</v>
      </c>
    </row>
    <row r="1694" customFormat="false" ht="15" hidden="false" customHeight="false" outlineLevel="0" collapsed="false">
      <c r="A1694" s="0" t="n">
        <v>2115</v>
      </c>
      <c r="B1694" s="0" t="n">
        <v>19307</v>
      </c>
      <c r="C1694" s="0" t="s">
        <v>9109</v>
      </c>
      <c r="D1694" s="0" t="s">
        <v>23</v>
      </c>
      <c r="F1694" s="0" t="s">
        <v>18195</v>
      </c>
      <c r="G1694" s="0" t="s">
        <v>18110</v>
      </c>
    </row>
    <row r="1695" customFormat="false" ht="15" hidden="false" customHeight="false" outlineLevel="0" collapsed="false">
      <c r="A1695" s="0" t="n">
        <v>2122</v>
      </c>
      <c r="B1695" s="0" t="n">
        <v>19322</v>
      </c>
      <c r="C1695" s="0" t="s">
        <v>9131</v>
      </c>
      <c r="D1695" s="0" t="s">
        <v>23</v>
      </c>
      <c r="F1695" s="0" t="s">
        <v>18196</v>
      </c>
      <c r="G1695" s="0" t="s">
        <v>18110</v>
      </c>
    </row>
    <row r="1696" customFormat="false" ht="15" hidden="false" customHeight="false" outlineLevel="0" collapsed="false">
      <c r="A1696" s="0" t="n">
        <v>2129</v>
      </c>
      <c r="B1696" s="0" t="n">
        <v>19383</v>
      </c>
      <c r="C1696" s="0" t="s">
        <v>9156</v>
      </c>
      <c r="D1696" s="0" t="s">
        <v>23</v>
      </c>
      <c r="F1696" s="0" t="s">
        <v>18197</v>
      </c>
      <c r="G1696" s="0" t="s">
        <v>18110</v>
      </c>
    </row>
    <row r="1697" customFormat="false" ht="15" hidden="false" customHeight="false" outlineLevel="0" collapsed="false">
      <c r="A1697" s="0" t="n">
        <v>2132</v>
      </c>
      <c r="B1697" s="0" t="n">
        <v>19396</v>
      </c>
      <c r="C1697" s="0" t="s">
        <v>9168</v>
      </c>
      <c r="D1697" s="0" t="s">
        <v>23</v>
      </c>
      <c r="F1697" s="0" t="s">
        <v>18198</v>
      </c>
      <c r="G1697" s="0" t="s">
        <v>18110</v>
      </c>
    </row>
    <row r="1698" customFormat="false" ht="15" hidden="false" customHeight="false" outlineLevel="0" collapsed="false">
      <c r="A1698" s="0" t="n">
        <v>2133</v>
      </c>
      <c r="B1698" s="0" t="n">
        <v>19398</v>
      </c>
      <c r="C1698" s="0" t="s">
        <v>9172</v>
      </c>
      <c r="D1698" s="0" t="s">
        <v>23</v>
      </c>
      <c r="F1698" s="0" t="s">
        <v>18199</v>
      </c>
      <c r="G1698" s="0" t="s">
        <v>18110</v>
      </c>
    </row>
    <row r="1699" customFormat="false" ht="15" hidden="false" customHeight="false" outlineLevel="0" collapsed="false">
      <c r="A1699" s="0" t="n">
        <v>2149</v>
      </c>
      <c r="B1699" s="0" t="n">
        <v>19445</v>
      </c>
      <c r="C1699" s="0" t="s">
        <v>9242</v>
      </c>
      <c r="D1699" s="0" t="s">
        <v>23</v>
      </c>
      <c r="F1699" s="0" t="s">
        <v>18200</v>
      </c>
      <c r="G1699" s="0" t="s">
        <v>18110</v>
      </c>
    </row>
    <row r="1700" customFormat="false" ht="15" hidden="false" customHeight="false" outlineLevel="0" collapsed="false">
      <c r="A1700" s="0" t="n">
        <v>2152</v>
      </c>
      <c r="B1700" s="0" t="n">
        <v>19448</v>
      </c>
      <c r="C1700" s="0" t="s">
        <v>9256</v>
      </c>
      <c r="D1700" s="0" t="s">
        <v>23</v>
      </c>
      <c r="F1700" s="0" t="s">
        <v>18201</v>
      </c>
      <c r="G1700" s="0" t="s">
        <v>18110</v>
      </c>
    </row>
    <row r="1701" customFormat="false" ht="15" hidden="false" customHeight="false" outlineLevel="0" collapsed="false">
      <c r="A1701" s="0" t="n">
        <v>2173</v>
      </c>
      <c r="B1701" s="0" t="n">
        <v>19514</v>
      </c>
      <c r="C1701" s="0" t="s">
        <v>9339</v>
      </c>
      <c r="D1701" s="0" t="s">
        <v>23</v>
      </c>
      <c r="F1701" s="0" t="s">
        <v>18202</v>
      </c>
      <c r="G1701" s="0" t="s">
        <v>18110</v>
      </c>
    </row>
    <row r="1702" customFormat="false" ht="15" hidden="false" customHeight="false" outlineLevel="0" collapsed="false">
      <c r="A1702" s="0" t="n">
        <v>2182</v>
      </c>
      <c r="B1702" s="0" t="n">
        <v>19529</v>
      </c>
      <c r="C1702" s="0" t="s">
        <v>9378</v>
      </c>
      <c r="D1702" s="0" t="s">
        <v>23</v>
      </c>
      <c r="F1702" s="0" t="s">
        <v>18203</v>
      </c>
      <c r="G1702" s="0" t="s">
        <v>18110</v>
      </c>
    </row>
    <row r="1703" customFormat="false" ht="15" hidden="false" customHeight="false" outlineLevel="0" collapsed="false">
      <c r="A1703" s="0" t="n">
        <v>2183</v>
      </c>
      <c r="B1703" s="0" t="n">
        <v>19531</v>
      </c>
      <c r="C1703" s="0" t="s">
        <v>9382</v>
      </c>
      <c r="D1703" s="0" t="s">
        <v>23</v>
      </c>
      <c r="F1703" s="0" t="s">
        <v>18204</v>
      </c>
      <c r="G1703" s="0" t="s">
        <v>18110</v>
      </c>
    </row>
    <row r="1704" customFormat="false" ht="15" hidden="false" customHeight="false" outlineLevel="0" collapsed="false">
      <c r="A1704" s="0" t="n">
        <v>2235</v>
      </c>
      <c r="B1704" s="0" t="n">
        <v>19646</v>
      </c>
      <c r="C1704" s="0" t="s">
        <v>9554</v>
      </c>
      <c r="D1704" s="0" t="s">
        <v>23</v>
      </c>
      <c r="F1704" s="0" t="s">
        <v>18205</v>
      </c>
      <c r="G1704" s="0" t="s">
        <v>18110</v>
      </c>
    </row>
    <row r="1705" customFormat="false" ht="15" hidden="false" customHeight="false" outlineLevel="0" collapsed="false">
      <c r="A1705" s="0" t="n">
        <v>2236</v>
      </c>
      <c r="B1705" s="0" t="n">
        <v>19648</v>
      </c>
      <c r="C1705" s="0" t="s">
        <v>9559</v>
      </c>
      <c r="D1705" s="0" t="s">
        <v>23</v>
      </c>
      <c r="F1705" s="0" t="s">
        <v>18206</v>
      </c>
      <c r="G1705" s="0" t="s">
        <v>18110</v>
      </c>
    </row>
    <row r="1706" customFormat="false" ht="15" hidden="false" customHeight="false" outlineLevel="0" collapsed="false">
      <c r="A1706" s="0" t="n">
        <v>2279</v>
      </c>
      <c r="B1706" s="0" t="n">
        <v>19744</v>
      </c>
      <c r="C1706" s="0" t="s">
        <v>9754</v>
      </c>
      <c r="D1706" s="0" t="s">
        <v>23</v>
      </c>
      <c r="F1706" s="0" t="s">
        <v>18207</v>
      </c>
      <c r="G1706" s="0" t="s">
        <v>18110</v>
      </c>
    </row>
    <row r="1707" customFormat="false" ht="15" hidden="false" customHeight="false" outlineLevel="0" collapsed="false">
      <c r="A1707" s="0" t="n">
        <v>2301</v>
      </c>
      <c r="B1707" s="0" t="n">
        <v>19785</v>
      </c>
      <c r="C1707" s="0" t="s">
        <v>9843</v>
      </c>
      <c r="D1707" s="0" t="s">
        <v>23</v>
      </c>
      <c r="F1707" s="0" t="s">
        <v>18208</v>
      </c>
      <c r="G1707" s="0" t="s">
        <v>18110</v>
      </c>
    </row>
    <row r="1708" customFormat="false" ht="15" hidden="false" customHeight="false" outlineLevel="0" collapsed="false">
      <c r="A1708" s="0" t="n">
        <v>2337</v>
      </c>
      <c r="B1708" s="0" t="n">
        <v>19891</v>
      </c>
      <c r="C1708" s="0" t="s">
        <v>10002</v>
      </c>
      <c r="D1708" s="0" t="s">
        <v>23</v>
      </c>
      <c r="F1708" s="0" t="s">
        <v>18209</v>
      </c>
      <c r="G1708" s="0" t="s">
        <v>18110</v>
      </c>
    </row>
    <row r="1709" customFormat="false" ht="15" hidden="false" customHeight="false" outlineLevel="0" collapsed="false">
      <c r="A1709" s="0" t="n">
        <v>2338</v>
      </c>
      <c r="B1709" s="0" t="n">
        <v>19892</v>
      </c>
      <c r="C1709" s="0" t="s">
        <v>10008</v>
      </c>
      <c r="D1709" s="0" t="s">
        <v>23</v>
      </c>
      <c r="F1709" s="0" t="s">
        <v>18210</v>
      </c>
      <c r="G1709" s="0" t="s">
        <v>18110</v>
      </c>
    </row>
    <row r="1710" customFormat="false" ht="15" hidden="false" customHeight="false" outlineLevel="0" collapsed="false">
      <c r="A1710" s="0" t="n">
        <v>2339</v>
      </c>
      <c r="B1710" s="0" t="n">
        <v>19893</v>
      </c>
      <c r="C1710" s="0" t="s">
        <v>10012</v>
      </c>
      <c r="D1710" s="0" t="s">
        <v>23</v>
      </c>
      <c r="F1710" s="0" t="s">
        <v>18211</v>
      </c>
      <c r="G1710" s="0" t="s">
        <v>18110</v>
      </c>
    </row>
    <row r="1711" customFormat="false" ht="15" hidden="false" customHeight="false" outlineLevel="0" collapsed="false">
      <c r="A1711" s="0" t="n">
        <v>2340</v>
      </c>
      <c r="B1711" s="0" t="n">
        <v>19894</v>
      </c>
      <c r="C1711" s="0" t="s">
        <v>10016</v>
      </c>
      <c r="D1711" s="0" t="s">
        <v>23</v>
      </c>
      <c r="F1711" s="0" t="s">
        <v>18212</v>
      </c>
      <c r="G1711" s="0" t="s">
        <v>18110</v>
      </c>
    </row>
    <row r="1712" customFormat="false" ht="15" hidden="false" customHeight="false" outlineLevel="0" collapsed="false">
      <c r="A1712" s="0" t="n">
        <v>2345</v>
      </c>
      <c r="B1712" s="0" t="n">
        <v>19915</v>
      </c>
      <c r="C1712" s="0" t="s">
        <v>10039</v>
      </c>
      <c r="D1712" s="0" t="s">
        <v>23</v>
      </c>
      <c r="F1712" s="0" t="s">
        <v>18213</v>
      </c>
      <c r="G1712" s="0" t="s">
        <v>18110</v>
      </c>
    </row>
    <row r="1713" customFormat="false" ht="15" hidden="false" customHeight="false" outlineLevel="0" collapsed="false">
      <c r="A1713" s="0" t="n">
        <v>2346</v>
      </c>
      <c r="B1713" s="0" t="n">
        <v>19917</v>
      </c>
      <c r="C1713" s="0" t="s">
        <v>10042</v>
      </c>
      <c r="D1713" s="0" t="s">
        <v>23</v>
      </c>
      <c r="F1713" s="0" t="s">
        <v>18214</v>
      </c>
      <c r="G1713" s="0" t="s">
        <v>18110</v>
      </c>
    </row>
    <row r="1714" customFormat="false" ht="15" hidden="false" customHeight="false" outlineLevel="0" collapsed="false">
      <c r="A1714" s="0" t="n">
        <v>2351</v>
      </c>
      <c r="B1714" s="0" t="n">
        <v>19951</v>
      </c>
      <c r="C1714" s="0" t="s">
        <v>10062</v>
      </c>
      <c r="D1714" s="0" t="s">
        <v>23</v>
      </c>
      <c r="F1714" s="0" t="s">
        <v>18215</v>
      </c>
      <c r="G1714" s="0" t="s">
        <v>18110</v>
      </c>
    </row>
    <row r="1715" customFormat="false" ht="15" hidden="false" customHeight="false" outlineLevel="0" collapsed="false">
      <c r="A1715" s="0" t="n">
        <v>2352</v>
      </c>
      <c r="B1715" s="0" t="n">
        <v>19952</v>
      </c>
      <c r="C1715" s="0" t="s">
        <v>10066</v>
      </c>
      <c r="D1715" s="0" t="s">
        <v>23</v>
      </c>
      <c r="F1715" s="0" t="s">
        <v>18216</v>
      </c>
      <c r="G1715" s="0" t="s">
        <v>18110</v>
      </c>
    </row>
    <row r="1716" customFormat="false" ht="15" hidden="false" customHeight="false" outlineLevel="0" collapsed="false">
      <c r="A1716" s="0" t="n">
        <v>2424</v>
      </c>
      <c r="B1716" s="0" t="n">
        <v>20040</v>
      </c>
      <c r="C1716" s="0" t="s">
        <v>10400</v>
      </c>
      <c r="D1716" s="0" t="s">
        <v>23</v>
      </c>
      <c r="F1716" s="0" t="s">
        <v>18217</v>
      </c>
      <c r="G1716" s="0" t="s">
        <v>18110</v>
      </c>
    </row>
    <row r="1717" customFormat="false" ht="15" hidden="false" customHeight="false" outlineLevel="0" collapsed="false">
      <c r="A1717" s="0" t="n">
        <v>2440</v>
      </c>
      <c r="B1717" s="0" t="n">
        <v>20073</v>
      </c>
      <c r="C1717" s="0" t="s">
        <v>10464</v>
      </c>
      <c r="D1717" s="0" t="s">
        <v>23</v>
      </c>
      <c r="F1717" s="0" t="s">
        <v>18218</v>
      </c>
      <c r="G1717" s="0" t="s">
        <v>18110</v>
      </c>
    </row>
    <row r="1718" customFormat="false" ht="15" hidden="false" customHeight="false" outlineLevel="0" collapsed="false">
      <c r="A1718" s="0" t="n">
        <v>2443</v>
      </c>
      <c r="B1718" s="0" t="n">
        <v>20077</v>
      </c>
      <c r="C1718" s="0" t="s">
        <v>10476</v>
      </c>
      <c r="D1718" s="0" t="s">
        <v>23</v>
      </c>
      <c r="F1718" s="0" t="s">
        <v>18219</v>
      </c>
      <c r="G1718" s="0" t="s">
        <v>18110</v>
      </c>
    </row>
    <row r="1719" customFormat="false" ht="15" hidden="false" customHeight="false" outlineLevel="0" collapsed="false">
      <c r="A1719" s="0" t="n">
        <v>2455</v>
      </c>
      <c r="B1719" s="0" t="n">
        <v>20094</v>
      </c>
      <c r="C1719" s="0" t="s">
        <v>10529</v>
      </c>
      <c r="D1719" s="0" t="s">
        <v>23</v>
      </c>
      <c r="F1719" s="0" t="s">
        <v>18220</v>
      </c>
      <c r="G1719" s="0" t="s">
        <v>18110</v>
      </c>
    </row>
    <row r="1720" customFormat="false" ht="15" hidden="false" customHeight="false" outlineLevel="0" collapsed="false">
      <c r="A1720" s="0" t="n">
        <v>2467</v>
      </c>
      <c r="B1720" s="0" t="n">
        <v>20120</v>
      </c>
      <c r="C1720" s="0" t="s">
        <v>10584</v>
      </c>
      <c r="D1720" s="0" t="s">
        <v>23</v>
      </c>
      <c r="F1720" s="0" t="s">
        <v>18221</v>
      </c>
      <c r="G1720" s="0" t="s">
        <v>18110</v>
      </c>
    </row>
    <row r="1721" customFormat="false" ht="15" hidden="false" customHeight="false" outlineLevel="0" collapsed="false">
      <c r="A1721" s="0" t="n">
        <v>2500</v>
      </c>
      <c r="B1721" s="0" t="n">
        <v>20164</v>
      </c>
      <c r="C1721" s="0" t="s">
        <v>10718</v>
      </c>
      <c r="D1721" s="0" t="s">
        <v>23</v>
      </c>
      <c r="F1721" s="0" t="s">
        <v>18222</v>
      </c>
      <c r="G1721" s="0" t="s">
        <v>18110</v>
      </c>
    </row>
    <row r="1722" customFormat="false" ht="15" hidden="false" customHeight="false" outlineLevel="0" collapsed="false">
      <c r="A1722" s="0" t="n">
        <v>2508</v>
      </c>
      <c r="B1722" s="0" t="n">
        <v>20175</v>
      </c>
      <c r="C1722" s="0" t="s">
        <v>10757</v>
      </c>
      <c r="D1722" s="0" t="s">
        <v>23</v>
      </c>
      <c r="F1722" s="0" t="s">
        <v>18223</v>
      </c>
      <c r="G1722" s="0" t="s">
        <v>18110</v>
      </c>
    </row>
    <row r="1723" customFormat="false" ht="15" hidden="false" customHeight="false" outlineLevel="0" collapsed="false">
      <c r="A1723" s="0" t="n">
        <v>2513</v>
      </c>
      <c r="B1723" s="0" t="n">
        <v>20185</v>
      </c>
      <c r="C1723" s="0" t="s">
        <v>10782</v>
      </c>
      <c r="D1723" s="0" t="s">
        <v>23</v>
      </c>
      <c r="F1723" s="0" t="s">
        <v>18224</v>
      </c>
      <c r="G1723" s="0" t="s">
        <v>18110</v>
      </c>
    </row>
    <row r="1724" customFormat="false" ht="15" hidden="false" customHeight="false" outlineLevel="0" collapsed="false">
      <c r="A1724" s="0" t="n">
        <v>2518</v>
      </c>
      <c r="B1724" s="0" t="n">
        <v>20275</v>
      </c>
      <c r="C1724" s="0" t="s">
        <v>10804</v>
      </c>
      <c r="D1724" s="0" t="s">
        <v>23</v>
      </c>
      <c r="F1724" s="0" t="s">
        <v>18225</v>
      </c>
      <c r="G1724" s="0" t="s">
        <v>18110</v>
      </c>
    </row>
    <row r="1725" customFormat="false" ht="15" hidden="false" customHeight="false" outlineLevel="0" collapsed="false">
      <c r="A1725" s="0" t="n">
        <v>2520</v>
      </c>
      <c r="B1725" s="0" t="n">
        <v>20277</v>
      </c>
      <c r="C1725" s="0" t="s">
        <v>10812</v>
      </c>
      <c r="D1725" s="0" t="s">
        <v>23</v>
      </c>
      <c r="F1725" s="0" t="s">
        <v>18226</v>
      </c>
      <c r="G1725" s="0" t="s">
        <v>18110</v>
      </c>
    </row>
    <row r="1726" customFormat="false" ht="15" hidden="false" customHeight="false" outlineLevel="0" collapsed="false">
      <c r="A1726" s="0" t="n">
        <v>2521</v>
      </c>
      <c r="B1726" s="0" t="n">
        <v>20278</v>
      </c>
      <c r="C1726" s="0" t="s">
        <v>10816</v>
      </c>
      <c r="D1726" s="0" t="s">
        <v>23</v>
      </c>
      <c r="F1726" s="0" t="s">
        <v>18227</v>
      </c>
      <c r="G1726" s="0" t="s">
        <v>18110</v>
      </c>
    </row>
    <row r="1727" customFormat="false" ht="15" hidden="false" customHeight="false" outlineLevel="0" collapsed="false">
      <c r="A1727" s="0" t="n">
        <v>2522</v>
      </c>
      <c r="B1727" s="0" t="n">
        <v>20279</v>
      </c>
      <c r="C1727" s="0" t="s">
        <v>10820</v>
      </c>
      <c r="D1727" s="0" t="s">
        <v>23</v>
      </c>
      <c r="F1727" s="0" t="s">
        <v>18228</v>
      </c>
      <c r="G1727" s="0" t="s">
        <v>18110</v>
      </c>
    </row>
    <row r="1728" customFormat="false" ht="15" hidden="false" customHeight="false" outlineLevel="0" collapsed="false">
      <c r="A1728" s="0" t="n">
        <v>2550</v>
      </c>
      <c r="B1728" s="0" t="n">
        <v>20319</v>
      </c>
      <c r="C1728" s="0" t="s">
        <v>10935</v>
      </c>
      <c r="D1728" s="0" t="s">
        <v>23</v>
      </c>
      <c r="F1728" s="0" t="s">
        <v>18229</v>
      </c>
      <c r="G1728" s="0" t="s">
        <v>18110</v>
      </c>
    </row>
    <row r="1729" customFormat="false" ht="15" hidden="false" customHeight="false" outlineLevel="0" collapsed="false">
      <c r="A1729" s="0" t="n">
        <v>2553</v>
      </c>
      <c r="B1729" s="0" t="n">
        <v>20323</v>
      </c>
      <c r="C1729" s="0" t="s">
        <v>10948</v>
      </c>
      <c r="D1729" s="0" t="s">
        <v>23</v>
      </c>
      <c r="F1729" s="0" t="s">
        <v>18230</v>
      </c>
      <c r="G1729" s="0" t="s">
        <v>18110</v>
      </c>
    </row>
    <row r="1730" customFormat="false" ht="15" hidden="false" customHeight="false" outlineLevel="0" collapsed="false">
      <c r="A1730" s="0" t="n">
        <v>2568</v>
      </c>
      <c r="B1730" s="0" t="n">
        <v>20349</v>
      </c>
      <c r="C1730" s="0" t="s">
        <v>11005</v>
      </c>
      <c r="D1730" s="0" t="s">
        <v>23</v>
      </c>
      <c r="F1730" s="0" t="s">
        <v>18231</v>
      </c>
      <c r="G1730" s="0" t="s">
        <v>18110</v>
      </c>
    </row>
    <row r="1731" customFormat="false" ht="15" hidden="false" customHeight="false" outlineLevel="0" collapsed="false">
      <c r="A1731" s="0" t="n">
        <v>2596</v>
      </c>
      <c r="B1731" s="0" t="n">
        <v>20383</v>
      </c>
      <c r="C1731" s="0" t="s">
        <v>11111</v>
      </c>
      <c r="D1731" s="0" t="s">
        <v>23</v>
      </c>
      <c r="F1731" s="0" t="s">
        <v>18232</v>
      </c>
      <c r="G1731" s="0" t="s">
        <v>18110</v>
      </c>
    </row>
    <row r="1732" customFormat="false" ht="15" hidden="false" customHeight="false" outlineLevel="0" collapsed="false">
      <c r="A1732" s="0" t="n">
        <v>2620</v>
      </c>
      <c r="B1732" s="0" t="n">
        <v>20433</v>
      </c>
      <c r="C1732" s="0" t="s">
        <v>11215</v>
      </c>
      <c r="D1732" s="0" t="s">
        <v>23</v>
      </c>
      <c r="F1732" s="0" t="s">
        <v>18233</v>
      </c>
      <c r="G1732" s="0" t="s">
        <v>18110</v>
      </c>
    </row>
    <row r="1733" customFormat="false" ht="15" hidden="false" customHeight="false" outlineLevel="0" collapsed="false">
      <c r="A1733" s="0" t="n">
        <v>2665</v>
      </c>
      <c r="B1733" s="0" t="n">
        <v>20598</v>
      </c>
      <c r="C1733" s="0" t="s">
        <v>11378</v>
      </c>
      <c r="D1733" s="0" t="s">
        <v>23</v>
      </c>
      <c r="F1733" s="0" t="s">
        <v>18234</v>
      </c>
      <c r="G1733" s="0" t="s">
        <v>18110</v>
      </c>
    </row>
    <row r="1734" customFormat="false" ht="15" hidden="false" customHeight="false" outlineLevel="0" collapsed="false">
      <c r="A1734" s="0" t="n">
        <v>2673</v>
      </c>
      <c r="B1734" s="0" t="n">
        <v>20633</v>
      </c>
      <c r="C1734" s="0" t="s">
        <v>11408</v>
      </c>
      <c r="D1734" s="0" t="s">
        <v>23</v>
      </c>
      <c r="F1734" s="0" t="s">
        <v>18235</v>
      </c>
      <c r="G1734" s="0" t="s">
        <v>18110</v>
      </c>
    </row>
    <row r="1735" customFormat="false" ht="15" hidden="false" customHeight="false" outlineLevel="0" collapsed="false">
      <c r="A1735" s="0" t="n">
        <v>2681</v>
      </c>
      <c r="B1735" s="0" t="n">
        <v>20644</v>
      </c>
      <c r="C1735" s="0" t="s">
        <v>11435</v>
      </c>
      <c r="D1735" s="0" t="s">
        <v>23</v>
      </c>
      <c r="F1735" s="0" t="s">
        <v>18236</v>
      </c>
      <c r="G1735" s="0" t="s">
        <v>18110</v>
      </c>
    </row>
    <row r="1736" customFormat="false" ht="15" hidden="false" customHeight="false" outlineLevel="0" collapsed="false">
      <c r="A1736" s="0" t="n">
        <v>2682</v>
      </c>
      <c r="B1736" s="0" t="n">
        <v>20645</v>
      </c>
      <c r="C1736" s="0" t="s">
        <v>11438</v>
      </c>
      <c r="D1736" s="0" t="s">
        <v>23</v>
      </c>
      <c r="F1736" s="0" t="s">
        <v>18237</v>
      </c>
      <c r="G1736" s="0" t="s">
        <v>18110</v>
      </c>
    </row>
    <row r="1737" customFormat="false" ht="15" hidden="false" customHeight="false" outlineLevel="0" collapsed="false">
      <c r="A1737" s="0" t="n">
        <v>2683</v>
      </c>
      <c r="B1737" s="0" t="n">
        <v>20646</v>
      </c>
      <c r="C1737" s="0" t="s">
        <v>11441</v>
      </c>
      <c r="D1737" s="0" t="s">
        <v>23</v>
      </c>
      <c r="F1737" s="0" t="s">
        <v>18238</v>
      </c>
      <c r="G1737" s="0" t="s">
        <v>18110</v>
      </c>
    </row>
    <row r="1738" customFormat="false" ht="15" hidden="false" customHeight="false" outlineLevel="0" collapsed="false">
      <c r="A1738" s="0" t="n">
        <v>2703</v>
      </c>
      <c r="B1738" s="0" t="n">
        <v>20804</v>
      </c>
      <c r="C1738" s="0" t="s">
        <v>11515</v>
      </c>
      <c r="D1738" s="0" t="s">
        <v>23</v>
      </c>
      <c r="F1738" s="0" t="s">
        <v>18239</v>
      </c>
      <c r="G1738" s="0" t="s">
        <v>18110</v>
      </c>
    </row>
    <row r="1739" customFormat="false" ht="15" hidden="false" customHeight="false" outlineLevel="0" collapsed="false">
      <c r="A1739" s="0" t="n">
        <v>2704</v>
      </c>
      <c r="B1739" s="0" t="n">
        <v>20805</v>
      </c>
      <c r="C1739" s="0" t="s">
        <v>11519</v>
      </c>
      <c r="D1739" s="0" t="s">
        <v>23</v>
      </c>
      <c r="F1739" s="0" t="s">
        <v>18240</v>
      </c>
      <c r="G1739" s="0" t="s">
        <v>18110</v>
      </c>
    </row>
    <row r="1740" customFormat="false" ht="15" hidden="false" customHeight="false" outlineLevel="0" collapsed="false">
      <c r="A1740" s="0" t="n">
        <v>2705</v>
      </c>
      <c r="B1740" s="0" t="n">
        <v>20806</v>
      </c>
      <c r="C1740" s="0" t="s">
        <v>11523</v>
      </c>
      <c r="D1740" s="0" t="s">
        <v>23</v>
      </c>
      <c r="F1740" s="0" t="s">
        <v>18241</v>
      </c>
      <c r="G1740" s="0" t="s">
        <v>18110</v>
      </c>
    </row>
    <row r="1741" customFormat="false" ht="15" hidden="false" customHeight="false" outlineLevel="0" collapsed="false">
      <c r="A1741" s="0" t="n">
        <v>2706</v>
      </c>
      <c r="B1741" s="0" t="n">
        <v>20807</v>
      </c>
      <c r="C1741" s="0" t="s">
        <v>11527</v>
      </c>
      <c r="D1741" s="0" t="s">
        <v>23</v>
      </c>
      <c r="F1741" s="0" t="s">
        <v>18242</v>
      </c>
      <c r="G1741" s="0" t="s">
        <v>18110</v>
      </c>
    </row>
    <row r="1742" customFormat="false" ht="15" hidden="false" customHeight="false" outlineLevel="0" collapsed="false">
      <c r="A1742" s="0" t="n">
        <v>2709</v>
      </c>
      <c r="B1742" s="0" t="n">
        <v>20810</v>
      </c>
      <c r="C1742" s="0" t="s">
        <v>11538</v>
      </c>
      <c r="D1742" s="0" t="s">
        <v>23</v>
      </c>
      <c r="F1742" s="0" t="s">
        <v>18243</v>
      </c>
      <c r="G1742" s="0" t="s">
        <v>18110</v>
      </c>
    </row>
    <row r="1743" customFormat="false" ht="15" hidden="false" customHeight="false" outlineLevel="0" collapsed="false">
      <c r="A1743" s="0" t="n">
        <v>2710</v>
      </c>
      <c r="B1743" s="0" t="n">
        <v>20811</v>
      </c>
      <c r="C1743" s="0" t="s">
        <v>11541</v>
      </c>
      <c r="D1743" s="0" t="s">
        <v>23</v>
      </c>
      <c r="F1743" s="0" t="s">
        <v>18244</v>
      </c>
      <c r="G1743" s="0" t="s">
        <v>18110</v>
      </c>
    </row>
    <row r="1744" customFormat="false" ht="15" hidden="false" customHeight="false" outlineLevel="0" collapsed="false">
      <c r="A1744" s="0" t="n">
        <v>2711</v>
      </c>
      <c r="B1744" s="0" t="n">
        <v>20812</v>
      </c>
      <c r="C1744" s="0" t="s">
        <v>11545</v>
      </c>
      <c r="D1744" s="0" t="s">
        <v>23</v>
      </c>
      <c r="F1744" s="0" t="s">
        <v>18245</v>
      </c>
      <c r="G1744" s="0" t="s">
        <v>18110</v>
      </c>
    </row>
    <row r="1745" customFormat="false" ht="15" hidden="false" customHeight="false" outlineLevel="0" collapsed="false">
      <c r="A1745" s="0" t="n">
        <v>2712</v>
      </c>
      <c r="B1745" s="0" t="n">
        <v>20813</v>
      </c>
      <c r="C1745" s="0" t="s">
        <v>11549</v>
      </c>
      <c r="D1745" s="0" t="s">
        <v>23</v>
      </c>
      <c r="F1745" s="0" t="s">
        <v>18246</v>
      </c>
      <c r="G1745" s="0" t="s">
        <v>18110</v>
      </c>
    </row>
    <row r="1746" customFormat="false" ht="15" hidden="false" customHeight="false" outlineLevel="0" collapsed="false">
      <c r="A1746" s="0" t="n">
        <v>2713</v>
      </c>
      <c r="B1746" s="0" t="n">
        <v>20814</v>
      </c>
      <c r="C1746" s="0" t="s">
        <v>11553</v>
      </c>
      <c r="D1746" s="0" t="s">
        <v>23</v>
      </c>
      <c r="F1746" s="0" t="s">
        <v>18247</v>
      </c>
      <c r="G1746" s="0" t="s">
        <v>18110</v>
      </c>
    </row>
    <row r="1747" customFormat="false" ht="15" hidden="false" customHeight="false" outlineLevel="0" collapsed="false">
      <c r="A1747" s="0" t="n">
        <v>2723</v>
      </c>
      <c r="B1747" s="0" t="n">
        <v>20835</v>
      </c>
      <c r="C1747" s="0" t="s">
        <v>11591</v>
      </c>
      <c r="D1747" s="0" t="s">
        <v>23</v>
      </c>
      <c r="F1747" s="0" t="s">
        <v>18248</v>
      </c>
      <c r="G1747" s="0" t="s">
        <v>18110</v>
      </c>
    </row>
    <row r="1748" customFormat="false" ht="15" hidden="false" customHeight="false" outlineLevel="0" collapsed="false">
      <c r="A1748" s="0" t="n">
        <v>2769</v>
      </c>
      <c r="B1748" s="0" t="n">
        <v>20953</v>
      </c>
      <c r="C1748" s="0" t="s">
        <v>11754</v>
      </c>
      <c r="D1748" s="0" t="s">
        <v>23</v>
      </c>
      <c r="F1748" s="0" t="s">
        <v>18249</v>
      </c>
      <c r="G1748" s="0" t="s">
        <v>18110</v>
      </c>
    </row>
    <row r="1749" customFormat="false" ht="15" hidden="false" customHeight="false" outlineLevel="0" collapsed="false">
      <c r="A1749" s="0" t="n">
        <v>2779</v>
      </c>
      <c r="B1749" s="0" t="n">
        <v>20973</v>
      </c>
      <c r="C1749" s="0" t="s">
        <v>11793</v>
      </c>
      <c r="D1749" s="0" t="s">
        <v>23</v>
      </c>
      <c r="F1749" s="0" t="s">
        <v>18250</v>
      </c>
      <c r="G1749" s="0" t="s">
        <v>18110</v>
      </c>
    </row>
    <row r="1750" customFormat="false" ht="15" hidden="false" customHeight="false" outlineLevel="0" collapsed="false">
      <c r="A1750" s="0" t="n">
        <v>2782</v>
      </c>
      <c r="B1750" s="0" t="n">
        <v>20978</v>
      </c>
      <c r="C1750" s="0" t="s">
        <v>11804</v>
      </c>
      <c r="D1750" s="0" t="s">
        <v>23</v>
      </c>
      <c r="F1750" s="0" t="s">
        <v>18251</v>
      </c>
      <c r="G1750" s="0" t="s">
        <v>18110</v>
      </c>
    </row>
    <row r="1751" customFormat="false" ht="15" hidden="false" customHeight="false" outlineLevel="0" collapsed="false">
      <c r="A1751" s="0" t="n">
        <v>2783</v>
      </c>
      <c r="B1751" s="0" t="n">
        <v>20979</v>
      </c>
      <c r="C1751" s="0" t="s">
        <v>11808</v>
      </c>
      <c r="D1751" s="0" t="s">
        <v>23</v>
      </c>
      <c r="F1751" s="0" t="s">
        <v>18252</v>
      </c>
      <c r="G1751" s="0" t="s">
        <v>18110</v>
      </c>
    </row>
    <row r="1752" customFormat="false" ht="15" hidden="false" customHeight="false" outlineLevel="0" collapsed="false">
      <c r="A1752" s="0" t="n">
        <v>2784</v>
      </c>
      <c r="B1752" s="0" t="n">
        <v>20980</v>
      </c>
      <c r="C1752" s="0" t="s">
        <v>11812</v>
      </c>
      <c r="D1752" s="0" t="s">
        <v>23</v>
      </c>
      <c r="F1752" s="0" t="s">
        <v>18253</v>
      </c>
      <c r="G1752" s="0" t="s">
        <v>18110</v>
      </c>
    </row>
    <row r="1753" customFormat="false" ht="15" hidden="false" customHeight="false" outlineLevel="0" collapsed="false">
      <c r="A1753" s="0" t="n">
        <v>2785</v>
      </c>
      <c r="B1753" s="0" t="n">
        <v>20981</v>
      </c>
      <c r="C1753" s="0" t="s">
        <v>11816</v>
      </c>
      <c r="D1753" s="0" t="s">
        <v>23</v>
      </c>
      <c r="F1753" s="0" t="s">
        <v>18254</v>
      </c>
      <c r="G1753" s="0" t="s">
        <v>18110</v>
      </c>
    </row>
    <row r="1754" customFormat="false" ht="15" hidden="false" customHeight="false" outlineLevel="0" collapsed="false">
      <c r="A1754" s="0" t="n">
        <v>2788</v>
      </c>
      <c r="B1754" s="0" t="n">
        <v>20994</v>
      </c>
      <c r="C1754" s="0" t="s">
        <v>11828</v>
      </c>
      <c r="D1754" s="0" t="s">
        <v>23</v>
      </c>
      <c r="F1754" s="0" t="s">
        <v>18255</v>
      </c>
      <c r="G1754" s="0" t="s">
        <v>18110</v>
      </c>
    </row>
    <row r="1755" customFormat="false" ht="15" hidden="false" customHeight="false" outlineLevel="0" collapsed="false">
      <c r="A1755" s="0" t="n">
        <v>2797</v>
      </c>
      <c r="B1755" s="0" t="n">
        <v>21026</v>
      </c>
      <c r="C1755" s="0" t="s">
        <v>11857</v>
      </c>
      <c r="D1755" s="0" t="s">
        <v>23</v>
      </c>
      <c r="F1755" s="0" t="s">
        <v>18256</v>
      </c>
      <c r="G1755" s="0" t="s">
        <v>18110</v>
      </c>
    </row>
    <row r="1756" customFormat="false" ht="15" hidden="false" customHeight="false" outlineLevel="0" collapsed="false">
      <c r="A1756" s="0" t="n">
        <v>2798</v>
      </c>
      <c r="B1756" s="0" t="n">
        <v>21027</v>
      </c>
      <c r="C1756" s="0" t="s">
        <v>11860</v>
      </c>
      <c r="D1756" s="0" t="s">
        <v>23</v>
      </c>
      <c r="F1756" s="0" t="s">
        <v>18257</v>
      </c>
      <c r="G1756" s="0" t="s">
        <v>18110</v>
      </c>
    </row>
    <row r="1757" customFormat="false" ht="15" hidden="false" customHeight="false" outlineLevel="0" collapsed="false">
      <c r="A1757" s="0" t="n">
        <v>2821</v>
      </c>
      <c r="B1757" s="0" t="n">
        <v>21134</v>
      </c>
      <c r="C1757" s="0" t="s">
        <v>11948</v>
      </c>
      <c r="D1757" s="0" t="s">
        <v>23</v>
      </c>
      <c r="F1757" s="0" t="s">
        <v>18258</v>
      </c>
      <c r="G1757" s="0" t="s">
        <v>18110</v>
      </c>
    </row>
    <row r="1758" customFormat="false" ht="15" hidden="false" customHeight="false" outlineLevel="0" collapsed="false">
      <c r="A1758" s="0" t="n">
        <v>2850</v>
      </c>
      <c r="B1758" s="0" t="n">
        <v>21198</v>
      </c>
      <c r="C1758" s="0" t="s">
        <v>12051</v>
      </c>
      <c r="D1758" s="0" t="s">
        <v>23</v>
      </c>
      <c r="F1758" s="0" t="s">
        <v>18259</v>
      </c>
      <c r="G1758" s="0" t="s">
        <v>18110</v>
      </c>
    </row>
    <row r="1759" customFormat="false" ht="15" hidden="false" customHeight="false" outlineLevel="0" collapsed="false">
      <c r="A1759" s="0" t="n">
        <v>2851</v>
      </c>
      <c r="B1759" s="0" t="n">
        <v>21199</v>
      </c>
      <c r="C1759" s="0" t="s">
        <v>12054</v>
      </c>
      <c r="D1759" s="0" t="s">
        <v>23</v>
      </c>
      <c r="F1759" s="0" t="s">
        <v>18260</v>
      </c>
      <c r="G1759" s="0" t="s">
        <v>18110</v>
      </c>
    </row>
    <row r="1760" customFormat="false" ht="15" hidden="false" customHeight="false" outlineLevel="0" collapsed="false">
      <c r="A1760" s="0" t="n">
        <v>2866</v>
      </c>
      <c r="B1760" s="0" t="n">
        <v>21240</v>
      </c>
      <c r="C1760" s="0" t="s">
        <v>5585</v>
      </c>
      <c r="D1760" s="0" t="s">
        <v>23</v>
      </c>
      <c r="F1760" s="0" t="s">
        <v>18261</v>
      </c>
      <c r="G1760" s="0" t="s">
        <v>18110</v>
      </c>
    </row>
    <row r="1761" customFormat="false" ht="15" hidden="false" customHeight="false" outlineLevel="0" collapsed="false">
      <c r="A1761" s="0" t="n">
        <v>2870</v>
      </c>
      <c r="B1761" s="0" t="n">
        <v>21261</v>
      </c>
      <c r="C1761" s="0" t="s">
        <v>4205</v>
      </c>
      <c r="D1761" s="0" t="s">
        <v>23</v>
      </c>
      <c r="F1761" s="0" t="s">
        <v>18262</v>
      </c>
      <c r="G1761" s="0" t="s">
        <v>18110</v>
      </c>
    </row>
    <row r="1762" customFormat="false" ht="15" hidden="false" customHeight="false" outlineLevel="0" collapsed="false">
      <c r="A1762" s="0" t="n">
        <v>2891</v>
      </c>
      <c r="B1762" s="0" t="n">
        <v>21307</v>
      </c>
      <c r="C1762" s="0" t="s">
        <v>12197</v>
      </c>
      <c r="D1762" s="0" t="s">
        <v>23</v>
      </c>
      <c r="F1762" s="0" t="s">
        <v>18263</v>
      </c>
      <c r="G1762" s="0" t="s">
        <v>18110</v>
      </c>
    </row>
    <row r="1763" customFormat="false" ht="15" hidden="false" customHeight="false" outlineLevel="0" collapsed="false">
      <c r="A1763" s="0" t="n">
        <v>2915</v>
      </c>
      <c r="B1763" s="0" t="n">
        <v>21347</v>
      </c>
      <c r="C1763" s="0" t="s">
        <v>12283</v>
      </c>
      <c r="D1763" s="0" t="s">
        <v>23</v>
      </c>
      <c r="F1763" s="0" t="s">
        <v>18264</v>
      </c>
      <c r="G1763" s="0" t="s">
        <v>18110</v>
      </c>
    </row>
    <row r="1764" customFormat="false" ht="15" hidden="false" customHeight="false" outlineLevel="0" collapsed="false">
      <c r="A1764" s="0" t="n">
        <v>2916</v>
      </c>
      <c r="B1764" s="0" t="n">
        <v>21348</v>
      </c>
      <c r="C1764" s="0" t="s">
        <v>12285</v>
      </c>
      <c r="D1764" s="0" t="s">
        <v>23</v>
      </c>
      <c r="F1764" s="0" t="s">
        <v>18265</v>
      </c>
      <c r="G1764" s="0" t="s">
        <v>18110</v>
      </c>
    </row>
    <row r="1765" customFormat="false" ht="15" hidden="false" customHeight="false" outlineLevel="0" collapsed="false">
      <c r="A1765" s="0" t="n">
        <v>2932</v>
      </c>
      <c r="B1765" s="0" t="n">
        <v>21396</v>
      </c>
      <c r="C1765" s="0" t="s">
        <v>12344</v>
      </c>
      <c r="D1765" s="0" t="s">
        <v>23</v>
      </c>
      <c r="F1765" s="0" t="s">
        <v>18266</v>
      </c>
      <c r="G1765" s="0" t="s">
        <v>18110</v>
      </c>
    </row>
    <row r="1766" customFormat="false" ht="15" hidden="false" customHeight="false" outlineLevel="0" collapsed="false">
      <c r="A1766" s="0" t="n">
        <v>2936</v>
      </c>
      <c r="B1766" s="0" t="n">
        <v>21423</v>
      </c>
      <c r="C1766" s="0" t="s">
        <v>12356</v>
      </c>
      <c r="D1766" s="0" t="s">
        <v>23</v>
      </c>
      <c r="F1766" s="0" t="s">
        <v>18267</v>
      </c>
      <c r="G1766" s="0" t="s">
        <v>18110</v>
      </c>
    </row>
    <row r="1767" customFormat="false" ht="15" hidden="false" customHeight="false" outlineLevel="0" collapsed="false">
      <c r="A1767" s="0" t="n">
        <v>2938</v>
      </c>
      <c r="B1767" s="0" t="n">
        <v>21431</v>
      </c>
      <c r="C1767" s="0" t="s">
        <v>12363</v>
      </c>
      <c r="D1767" s="0" t="s">
        <v>23</v>
      </c>
      <c r="F1767" s="0" t="s">
        <v>18268</v>
      </c>
      <c r="G1767" s="0" t="s">
        <v>18110</v>
      </c>
    </row>
    <row r="1768" customFormat="false" ht="15" hidden="false" customHeight="false" outlineLevel="0" collapsed="false">
      <c r="A1768" s="0" t="n">
        <v>2939</v>
      </c>
      <c r="B1768" s="0" t="n">
        <v>21432</v>
      </c>
      <c r="C1768" s="0" t="s">
        <v>12367</v>
      </c>
      <c r="D1768" s="0" t="s">
        <v>23</v>
      </c>
      <c r="F1768" s="0" t="s">
        <v>18269</v>
      </c>
      <c r="G1768" s="0" t="s">
        <v>18110</v>
      </c>
    </row>
    <row r="1769" customFormat="false" ht="15" hidden="false" customHeight="false" outlineLevel="0" collapsed="false">
      <c r="A1769" s="0" t="n">
        <v>2951</v>
      </c>
      <c r="B1769" s="0" t="n">
        <v>21462</v>
      </c>
      <c r="C1769" s="0" t="s">
        <v>12407</v>
      </c>
      <c r="D1769" s="0" t="s">
        <v>23</v>
      </c>
      <c r="F1769" s="0" t="s">
        <v>18270</v>
      </c>
      <c r="G1769" s="0" t="s">
        <v>18110</v>
      </c>
    </row>
    <row r="1770" customFormat="false" ht="15" hidden="false" customHeight="false" outlineLevel="0" collapsed="false">
      <c r="A1770" s="0" t="n">
        <v>2952</v>
      </c>
      <c r="B1770" s="0" t="n">
        <v>21463</v>
      </c>
      <c r="C1770" s="0" t="s">
        <v>12411</v>
      </c>
      <c r="D1770" s="0" t="s">
        <v>23</v>
      </c>
      <c r="F1770" s="0" t="s">
        <v>18271</v>
      </c>
      <c r="G1770" s="0" t="s">
        <v>18110</v>
      </c>
    </row>
    <row r="1771" customFormat="false" ht="15" hidden="false" customHeight="false" outlineLevel="0" collapsed="false">
      <c r="A1771" s="0" t="n">
        <v>2960</v>
      </c>
      <c r="B1771" s="0" t="n">
        <v>21471</v>
      </c>
      <c r="C1771" s="0" t="s">
        <v>12447</v>
      </c>
      <c r="D1771" s="0" t="s">
        <v>23</v>
      </c>
      <c r="F1771" s="0" t="s">
        <v>18272</v>
      </c>
      <c r="G1771" s="0" t="s">
        <v>18110</v>
      </c>
    </row>
    <row r="1772" customFormat="false" ht="15" hidden="false" customHeight="false" outlineLevel="0" collapsed="false">
      <c r="A1772" s="0" t="n">
        <v>2961</v>
      </c>
      <c r="B1772" s="0" t="n">
        <v>21472</v>
      </c>
      <c r="C1772" s="0" t="s">
        <v>12450</v>
      </c>
      <c r="D1772" s="0" t="s">
        <v>23</v>
      </c>
      <c r="F1772" s="0" t="s">
        <v>18273</v>
      </c>
      <c r="G1772" s="0" t="s">
        <v>18110</v>
      </c>
    </row>
    <row r="1773" customFormat="false" ht="15" hidden="false" customHeight="false" outlineLevel="0" collapsed="false">
      <c r="A1773" s="0" t="n">
        <v>2962</v>
      </c>
      <c r="B1773" s="0" t="n">
        <v>21473</v>
      </c>
      <c r="C1773" s="0" t="s">
        <v>12453</v>
      </c>
      <c r="D1773" s="0" t="s">
        <v>23</v>
      </c>
      <c r="F1773" s="0" t="s">
        <v>18274</v>
      </c>
      <c r="G1773" s="0" t="s">
        <v>18110</v>
      </c>
    </row>
    <row r="1774" customFormat="false" ht="15" hidden="false" customHeight="false" outlineLevel="0" collapsed="false">
      <c r="A1774" s="0" t="n">
        <v>2967</v>
      </c>
      <c r="B1774" s="0" t="n">
        <v>21480</v>
      </c>
      <c r="C1774" s="0" t="s">
        <v>12468</v>
      </c>
      <c r="D1774" s="0" t="s">
        <v>23</v>
      </c>
      <c r="F1774" s="0" t="s">
        <v>18275</v>
      </c>
      <c r="G1774" s="0" t="s">
        <v>18110</v>
      </c>
    </row>
    <row r="1775" customFormat="false" ht="15" hidden="false" customHeight="false" outlineLevel="0" collapsed="false">
      <c r="A1775" s="0" t="n">
        <v>2991</v>
      </c>
      <c r="B1775" s="0" t="n">
        <v>21529</v>
      </c>
      <c r="C1775" s="0" t="s">
        <v>12546</v>
      </c>
      <c r="D1775" s="0" t="s">
        <v>23</v>
      </c>
      <c r="F1775" s="0" t="s">
        <v>18276</v>
      </c>
      <c r="G1775" s="0" t="s">
        <v>18110</v>
      </c>
    </row>
    <row r="1776" customFormat="false" ht="15" hidden="false" customHeight="false" outlineLevel="0" collapsed="false">
      <c r="A1776" s="0" t="n">
        <v>2992</v>
      </c>
      <c r="B1776" s="0" t="n">
        <v>21535</v>
      </c>
      <c r="C1776" s="0" t="s">
        <v>12551</v>
      </c>
      <c r="D1776" s="0" t="s">
        <v>23</v>
      </c>
      <c r="F1776" s="0" t="s">
        <v>18277</v>
      </c>
      <c r="G1776" s="0" t="s">
        <v>18110</v>
      </c>
    </row>
    <row r="1777" customFormat="false" ht="15" hidden="false" customHeight="false" outlineLevel="0" collapsed="false">
      <c r="A1777" s="0" t="n">
        <v>2997</v>
      </c>
      <c r="B1777" s="0" t="n">
        <v>21540</v>
      </c>
      <c r="C1777" s="0" t="s">
        <v>12569</v>
      </c>
      <c r="D1777" s="0" t="s">
        <v>23</v>
      </c>
      <c r="F1777" s="0" t="s">
        <v>18278</v>
      </c>
      <c r="G1777" s="0" t="s">
        <v>18110</v>
      </c>
    </row>
    <row r="1778" customFormat="false" ht="15" hidden="false" customHeight="false" outlineLevel="0" collapsed="false">
      <c r="A1778" s="0" t="n">
        <v>3002</v>
      </c>
      <c r="B1778" s="0" t="n">
        <v>21545</v>
      </c>
      <c r="C1778" s="0" t="s">
        <v>9430</v>
      </c>
      <c r="D1778" s="0" t="s">
        <v>23</v>
      </c>
      <c r="F1778" s="0" t="s">
        <v>18279</v>
      </c>
      <c r="G1778" s="0" t="s">
        <v>18110</v>
      </c>
    </row>
    <row r="1779" customFormat="false" ht="15" hidden="false" customHeight="false" outlineLevel="0" collapsed="false">
      <c r="A1779" s="0" t="n">
        <v>3003</v>
      </c>
      <c r="B1779" s="0" t="n">
        <v>21546</v>
      </c>
      <c r="C1779" s="0" t="s">
        <v>7637</v>
      </c>
      <c r="D1779" s="0" t="s">
        <v>23</v>
      </c>
      <c r="F1779" s="0" t="s">
        <v>18280</v>
      </c>
      <c r="G1779" s="0" t="s">
        <v>18110</v>
      </c>
    </row>
    <row r="1780" customFormat="false" ht="15" hidden="false" customHeight="false" outlineLevel="0" collapsed="false">
      <c r="A1780" s="0" t="n">
        <v>3010</v>
      </c>
      <c r="B1780" s="0" t="n">
        <v>21566</v>
      </c>
      <c r="C1780" s="0" t="s">
        <v>12616</v>
      </c>
      <c r="D1780" s="0" t="s">
        <v>23</v>
      </c>
      <c r="F1780" s="0" t="s">
        <v>18281</v>
      </c>
      <c r="G1780" s="0" t="s">
        <v>18110</v>
      </c>
    </row>
    <row r="1781" customFormat="false" ht="15" hidden="false" customHeight="false" outlineLevel="0" collapsed="false">
      <c r="A1781" s="0" t="n">
        <v>3011</v>
      </c>
      <c r="B1781" s="0" t="n">
        <v>21567</v>
      </c>
      <c r="C1781" s="0" t="s">
        <v>12619</v>
      </c>
      <c r="D1781" s="0" t="s">
        <v>23</v>
      </c>
      <c r="F1781" s="0" t="s">
        <v>18282</v>
      </c>
      <c r="G1781" s="0" t="s">
        <v>18110</v>
      </c>
    </row>
    <row r="1782" customFormat="false" ht="15" hidden="false" customHeight="false" outlineLevel="0" collapsed="false">
      <c r="A1782" s="0" t="n">
        <v>3026</v>
      </c>
      <c r="B1782" s="0" t="n">
        <v>21583</v>
      </c>
      <c r="C1782" s="0" t="s">
        <v>12670</v>
      </c>
      <c r="D1782" s="0" t="s">
        <v>23</v>
      </c>
      <c r="F1782" s="0" t="s">
        <v>18283</v>
      </c>
      <c r="G1782" s="0" t="s">
        <v>18110</v>
      </c>
    </row>
    <row r="1783" customFormat="false" ht="15" hidden="false" customHeight="false" outlineLevel="0" collapsed="false">
      <c r="A1783" s="0" t="n">
        <v>3036</v>
      </c>
      <c r="B1783" s="0" t="n">
        <v>21595</v>
      </c>
      <c r="C1783" s="0" t="s">
        <v>12706</v>
      </c>
      <c r="D1783" s="0" t="s">
        <v>23</v>
      </c>
      <c r="F1783" s="0" t="s">
        <v>18284</v>
      </c>
      <c r="G1783" s="0" t="s">
        <v>18110</v>
      </c>
    </row>
    <row r="1784" customFormat="false" ht="15" hidden="false" customHeight="false" outlineLevel="0" collapsed="false">
      <c r="A1784" s="0" t="n">
        <v>3037</v>
      </c>
      <c r="B1784" s="0" t="n">
        <v>21596</v>
      </c>
      <c r="C1784" s="0" t="s">
        <v>12709</v>
      </c>
      <c r="D1784" s="0" t="s">
        <v>23</v>
      </c>
      <c r="F1784" s="0" t="s">
        <v>18285</v>
      </c>
      <c r="G1784" s="0" t="s">
        <v>18110</v>
      </c>
    </row>
    <row r="1785" customFormat="false" ht="15" hidden="false" customHeight="false" outlineLevel="0" collapsed="false">
      <c r="A1785" s="0" t="n">
        <v>3038</v>
      </c>
      <c r="B1785" s="0" t="n">
        <v>21597</v>
      </c>
      <c r="C1785" s="0" t="s">
        <v>12713</v>
      </c>
      <c r="D1785" s="0" t="s">
        <v>23</v>
      </c>
      <c r="F1785" s="0" t="s">
        <v>18286</v>
      </c>
      <c r="G1785" s="0" t="s">
        <v>18110</v>
      </c>
    </row>
    <row r="1786" customFormat="false" ht="15" hidden="false" customHeight="false" outlineLevel="0" collapsed="false">
      <c r="A1786" s="0" t="n">
        <v>3039</v>
      </c>
      <c r="B1786" s="0" t="n">
        <v>21598</v>
      </c>
      <c r="C1786" s="0" t="s">
        <v>12716</v>
      </c>
      <c r="D1786" s="0" t="s">
        <v>23</v>
      </c>
      <c r="F1786" s="0" t="s">
        <v>18287</v>
      </c>
      <c r="G1786" s="0" t="s">
        <v>18110</v>
      </c>
    </row>
    <row r="1787" customFormat="false" ht="15" hidden="false" customHeight="false" outlineLevel="0" collapsed="false">
      <c r="A1787" s="0" t="n">
        <v>3040</v>
      </c>
      <c r="B1787" s="0" t="n">
        <v>21599</v>
      </c>
      <c r="C1787" s="0" t="s">
        <v>12719</v>
      </c>
      <c r="D1787" s="0" t="s">
        <v>23</v>
      </c>
      <c r="F1787" s="0" t="s">
        <v>18288</v>
      </c>
      <c r="G1787" s="0" t="s">
        <v>18110</v>
      </c>
    </row>
    <row r="1788" customFormat="false" ht="15" hidden="false" customHeight="false" outlineLevel="0" collapsed="false">
      <c r="A1788" s="0" t="n">
        <v>3041</v>
      </c>
      <c r="B1788" s="0" t="n">
        <v>21600</v>
      </c>
      <c r="C1788" s="0" t="s">
        <v>12723</v>
      </c>
      <c r="D1788" s="0" t="s">
        <v>23</v>
      </c>
      <c r="F1788" s="0" t="s">
        <v>18289</v>
      </c>
      <c r="G1788" s="0" t="s">
        <v>18110</v>
      </c>
    </row>
    <row r="1789" customFormat="false" ht="15" hidden="false" customHeight="false" outlineLevel="0" collapsed="false">
      <c r="A1789" s="0" t="n">
        <v>3042</v>
      </c>
      <c r="B1789" s="0" t="n">
        <v>21601</v>
      </c>
      <c r="C1789" s="0" t="s">
        <v>12726</v>
      </c>
      <c r="D1789" s="0" t="s">
        <v>23</v>
      </c>
      <c r="F1789" s="0" t="s">
        <v>18290</v>
      </c>
      <c r="G1789" s="0" t="s">
        <v>18110</v>
      </c>
    </row>
    <row r="1790" customFormat="false" ht="15" hidden="false" customHeight="false" outlineLevel="0" collapsed="false">
      <c r="A1790" s="0" t="n">
        <v>3043</v>
      </c>
      <c r="B1790" s="0" t="n">
        <v>21602</v>
      </c>
      <c r="C1790" s="0" t="s">
        <v>12729</v>
      </c>
      <c r="D1790" s="0" t="s">
        <v>23</v>
      </c>
      <c r="F1790" s="0" t="s">
        <v>18291</v>
      </c>
      <c r="G1790" s="0" t="s">
        <v>18110</v>
      </c>
    </row>
    <row r="1791" customFormat="false" ht="15" hidden="false" customHeight="false" outlineLevel="0" collapsed="false">
      <c r="A1791" s="0" t="n">
        <v>3044</v>
      </c>
      <c r="B1791" s="0" t="n">
        <v>21603</v>
      </c>
      <c r="C1791" s="0" t="s">
        <v>12732</v>
      </c>
      <c r="D1791" s="0" t="s">
        <v>23</v>
      </c>
      <c r="F1791" s="0" t="s">
        <v>18292</v>
      </c>
      <c r="G1791" s="0" t="s">
        <v>18110</v>
      </c>
    </row>
    <row r="1792" customFormat="false" ht="15" hidden="false" customHeight="false" outlineLevel="0" collapsed="false">
      <c r="A1792" s="0" t="n">
        <v>3045</v>
      </c>
      <c r="B1792" s="0" t="n">
        <v>21604</v>
      </c>
      <c r="C1792" s="0" t="s">
        <v>12735</v>
      </c>
      <c r="D1792" s="0" t="s">
        <v>23</v>
      </c>
      <c r="F1792" s="0" t="s">
        <v>18293</v>
      </c>
      <c r="G1792" s="0" t="s">
        <v>18110</v>
      </c>
    </row>
    <row r="1793" customFormat="false" ht="15" hidden="false" customHeight="false" outlineLevel="0" collapsed="false">
      <c r="A1793" s="0" t="n">
        <v>3046</v>
      </c>
      <c r="B1793" s="0" t="n">
        <v>21605</v>
      </c>
      <c r="C1793" s="0" t="s">
        <v>12738</v>
      </c>
      <c r="D1793" s="0" t="s">
        <v>23</v>
      </c>
      <c r="F1793" s="0" t="s">
        <v>18294</v>
      </c>
      <c r="G1793" s="0" t="s">
        <v>18110</v>
      </c>
    </row>
    <row r="1794" customFormat="false" ht="15" hidden="false" customHeight="false" outlineLevel="0" collapsed="false">
      <c r="A1794" s="0" t="n">
        <v>3047</v>
      </c>
      <c r="B1794" s="0" t="n">
        <v>21606</v>
      </c>
      <c r="C1794" s="0" t="s">
        <v>12742</v>
      </c>
      <c r="D1794" s="0" t="s">
        <v>23</v>
      </c>
      <c r="F1794" s="0" t="s">
        <v>18295</v>
      </c>
      <c r="G1794" s="0" t="s">
        <v>18110</v>
      </c>
    </row>
    <row r="1795" customFormat="false" ht="15" hidden="false" customHeight="false" outlineLevel="0" collapsed="false">
      <c r="A1795" s="0" t="n">
        <v>3048</v>
      </c>
      <c r="B1795" s="0" t="n">
        <v>21607</v>
      </c>
      <c r="C1795" s="0" t="s">
        <v>12745</v>
      </c>
      <c r="D1795" s="0" t="s">
        <v>23</v>
      </c>
      <c r="F1795" s="0" t="s">
        <v>18296</v>
      </c>
      <c r="G1795" s="0" t="s">
        <v>18110</v>
      </c>
    </row>
    <row r="1796" customFormat="false" ht="15" hidden="false" customHeight="false" outlineLevel="0" collapsed="false">
      <c r="A1796" s="0" t="n">
        <v>3049</v>
      </c>
      <c r="B1796" s="0" t="n">
        <v>21608</v>
      </c>
      <c r="C1796" s="0" t="s">
        <v>12748</v>
      </c>
      <c r="D1796" s="0" t="s">
        <v>23</v>
      </c>
      <c r="F1796" s="0" t="s">
        <v>18297</v>
      </c>
      <c r="G1796" s="0" t="s">
        <v>18110</v>
      </c>
    </row>
    <row r="1797" customFormat="false" ht="15" hidden="false" customHeight="false" outlineLevel="0" collapsed="false">
      <c r="A1797" s="0" t="n">
        <v>3050</v>
      </c>
      <c r="B1797" s="0" t="n">
        <v>21609</v>
      </c>
      <c r="C1797" s="0" t="s">
        <v>12752</v>
      </c>
      <c r="D1797" s="0" t="s">
        <v>23</v>
      </c>
      <c r="F1797" s="0" t="s">
        <v>18298</v>
      </c>
      <c r="G1797" s="0" t="s">
        <v>18110</v>
      </c>
    </row>
    <row r="1798" customFormat="false" ht="15" hidden="false" customHeight="false" outlineLevel="0" collapsed="false">
      <c r="A1798" s="0" t="n">
        <v>3051</v>
      </c>
      <c r="B1798" s="0" t="n">
        <v>21610</v>
      </c>
      <c r="C1798" s="0" t="s">
        <v>12755</v>
      </c>
      <c r="D1798" s="0" t="s">
        <v>23</v>
      </c>
      <c r="F1798" s="0" t="s">
        <v>18299</v>
      </c>
      <c r="G1798" s="0" t="s">
        <v>18110</v>
      </c>
    </row>
    <row r="1799" customFormat="false" ht="15" hidden="false" customHeight="false" outlineLevel="0" collapsed="false">
      <c r="A1799" s="0" t="n">
        <v>3052</v>
      </c>
      <c r="B1799" s="0" t="n">
        <v>21611</v>
      </c>
      <c r="C1799" s="0" t="s">
        <v>12758</v>
      </c>
      <c r="D1799" s="0" t="s">
        <v>23</v>
      </c>
      <c r="F1799" s="0" t="s">
        <v>18300</v>
      </c>
      <c r="G1799" s="0" t="s">
        <v>18110</v>
      </c>
    </row>
    <row r="1800" customFormat="false" ht="15" hidden="false" customHeight="false" outlineLevel="0" collapsed="false">
      <c r="A1800" s="0" t="n">
        <v>3053</v>
      </c>
      <c r="B1800" s="0" t="n">
        <v>21612</v>
      </c>
      <c r="C1800" s="0" t="s">
        <v>12761</v>
      </c>
      <c r="D1800" s="0" t="s">
        <v>23</v>
      </c>
      <c r="F1800" s="0" t="s">
        <v>18301</v>
      </c>
      <c r="G1800" s="0" t="s">
        <v>18110</v>
      </c>
    </row>
    <row r="1801" customFormat="false" ht="15" hidden="false" customHeight="false" outlineLevel="0" collapsed="false">
      <c r="A1801" s="0" t="n">
        <v>3054</v>
      </c>
      <c r="B1801" s="0" t="n">
        <v>21613</v>
      </c>
      <c r="C1801" s="0" t="s">
        <v>12764</v>
      </c>
      <c r="D1801" s="0" t="s">
        <v>23</v>
      </c>
      <c r="F1801" s="0" t="s">
        <v>18302</v>
      </c>
      <c r="G1801" s="0" t="s">
        <v>18110</v>
      </c>
    </row>
    <row r="1802" customFormat="false" ht="15" hidden="false" customHeight="false" outlineLevel="0" collapsed="false">
      <c r="A1802" s="0" t="n">
        <v>3055</v>
      </c>
      <c r="B1802" s="0" t="n">
        <v>21614</v>
      </c>
      <c r="C1802" s="0" t="s">
        <v>12767</v>
      </c>
      <c r="D1802" s="0" t="s">
        <v>23</v>
      </c>
      <c r="F1802" s="0" t="s">
        <v>18303</v>
      </c>
      <c r="G1802" s="0" t="s">
        <v>18110</v>
      </c>
    </row>
    <row r="1803" customFormat="false" ht="15" hidden="false" customHeight="false" outlineLevel="0" collapsed="false">
      <c r="A1803" s="0" t="n">
        <v>3056</v>
      </c>
      <c r="B1803" s="0" t="n">
        <v>21615</v>
      </c>
      <c r="C1803" s="0" t="s">
        <v>12771</v>
      </c>
      <c r="D1803" s="0" t="s">
        <v>23</v>
      </c>
      <c r="F1803" s="0" t="s">
        <v>18304</v>
      </c>
      <c r="G1803" s="0" t="s">
        <v>18110</v>
      </c>
    </row>
    <row r="1804" customFormat="false" ht="15" hidden="false" customHeight="false" outlineLevel="0" collapsed="false">
      <c r="A1804" s="0" t="n">
        <v>3058</v>
      </c>
      <c r="B1804" s="0" t="n">
        <v>21617</v>
      </c>
      <c r="C1804" s="0" t="s">
        <v>12780</v>
      </c>
      <c r="D1804" s="0" t="s">
        <v>23</v>
      </c>
      <c r="F1804" s="0" t="s">
        <v>18305</v>
      </c>
      <c r="G1804" s="0" t="s">
        <v>18110</v>
      </c>
    </row>
    <row r="1805" customFormat="false" ht="15" hidden="false" customHeight="false" outlineLevel="0" collapsed="false">
      <c r="A1805" s="0" t="n">
        <v>3059</v>
      </c>
      <c r="B1805" s="0" t="n">
        <v>21618</v>
      </c>
      <c r="C1805" s="0" t="s">
        <v>12784</v>
      </c>
      <c r="D1805" s="0" t="s">
        <v>23</v>
      </c>
      <c r="F1805" s="0" t="s">
        <v>18306</v>
      </c>
      <c r="G1805" s="0" t="s">
        <v>18110</v>
      </c>
    </row>
    <row r="1806" customFormat="false" ht="15" hidden="false" customHeight="false" outlineLevel="0" collapsed="false">
      <c r="A1806" s="0" t="n">
        <v>3060</v>
      </c>
      <c r="B1806" s="0" t="n">
        <v>21619</v>
      </c>
      <c r="C1806" s="0" t="s">
        <v>12787</v>
      </c>
      <c r="D1806" s="0" t="s">
        <v>23</v>
      </c>
      <c r="F1806" s="0" t="s">
        <v>18307</v>
      </c>
      <c r="G1806" s="0" t="s">
        <v>18110</v>
      </c>
    </row>
    <row r="1807" customFormat="false" ht="15" hidden="false" customHeight="false" outlineLevel="0" collapsed="false">
      <c r="A1807" s="0" t="n">
        <v>3067</v>
      </c>
      <c r="B1807" s="0" t="n">
        <v>21626</v>
      </c>
      <c r="C1807" s="0" t="s">
        <v>12813</v>
      </c>
      <c r="D1807" s="0" t="s">
        <v>23</v>
      </c>
      <c r="F1807" s="0" t="s">
        <v>18308</v>
      </c>
      <c r="G1807" s="0" t="s">
        <v>18110</v>
      </c>
    </row>
    <row r="1808" customFormat="false" ht="15" hidden="false" customHeight="false" outlineLevel="0" collapsed="false">
      <c r="A1808" s="0" t="n">
        <v>3068</v>
      </c>
      <c r="B1808" s="0" t="n">
        <v>21627</v>
      </c>
      <c r="C1808" s="0" t="s">
        <v>12818</v>
      </c>
      <c r="D1808" s="0" t="s">
        <v>23</v>
      </c>
      <c r="F1808" s="0" t="s">
        <v>18309</v>
      </c>
      <c r="G1808" s="0" t="s">
        <v>18110</v>
      </c>
    </row>
    <row r="1809" customFormat="false" ht="15" hidden="false" customHeight="false" outlineLevel="0" collapsed="false">
      <c r="A1809" s="0" t="n">
        <v>3069</v>
      </c>
      <c r="B1809" s="0" t="n">
        <v>21628</v>
      </c>
      <c r="C1809" s="0" t="s">
        <v>12822</v>
      </c>
      <c r="D1809" s="0" t="s">
        <v>23</v>
      </c>
      <c r="F1809" s="0" t="s">
        <v>18310</v>
      </c>
      <c r="G1809" s="0" t="s">
        <v>18110</v>
      </c>
    </row>
    <row r="1810" customFormat="false" ht="15" hidden="false" customHeight="false" outlineLevel="0" collapsed="false">
      <c r="A1810" s="0" t="n">
        <v>3070</v>
      </c>
      <c r="B1810" s="0" t="n">
        <v>21629</v>
      </c>
      <c r="C1810" s="0" t="s">
        <v>12826</v>
      </c>
      <c r="D1810" s="0" t="s">
        <v>23</v>
      </c>
      <c r="F1810" s="0" t="s">
        <v>18311</v>
      </c>
      <c r="G1810" s="0" t="s">
        <v>18110</v>
      </c>
    </row>
    <row r="1811" customFormat="false" ht="15" hidden="false" customHeight="false" outlineLevel="0" collapsed="false">
      <c r="A1811" s="0" t="n">
        <v>3071</v>
      </c>
      <c r="B1811" s="0" t="n">
        <v>21630</v>
      </c>
      <c r="C1811" s="0" t="s">
        <v>12828</v>
      </c>
      <c r="D1811" s="0" t="s">
        <v>23</v>
      </c>
      <c r="F1811" s="0" t="s">
        <v>18312</v>
      </c>
      <c r="G1811" s="0" t="s">
        <v>18110</v>
      </c>
    </row>
    <row r="1812" customFormat="false" ht="15" hidden="false" customHeight="false" outlineLevel="0" collapsed="false">
      <c r="A1812" s="0" t="n">
        <v>3072</v>
      </c>
      <c r="B1812" s="0" t="n">
        <v>21631</v>
      </c>
      <c r="C1812" s="0" t="s">
        <v>12831</v>
      </c>
      <c r="D1812" s="0" t="s">
        <v>23</v>
      </c>
      <c r="F1812" s="0" t="s">
        <v>18313</v>
      </c>
      <c r="G1812" s="0" t="s">
        <v>18110</v>
      </c>
    </row>
    <row r="1813" customFormat="false" ht="15" hidden="false" customHeight="false" outlineLevel="0" collapsed="false">
      <c r="A1813" s="0" t="n">
        <v>3073</v>
      </c>
      <c r="B1813" s="0" t="n">
        <v>21632</v>
      </c>
      <c r="C1813" s="0" t="s">
        <v>12836</v>
      </c>
      <c r="D1813" s="0" t="s">
        <v>23</v>
      </c>
      <c r="F1813" s="0" t="s">
        <v>18314</v>
      </c>
      <c r="G1813" s="0" t="s">
        <v>18110</v>
      </c>
    </row>
    <row r="1814" customFormat="false" ht="15" hidden="false" customHeight="false" outlineLevel="0" collapsed="false">
      <c r="A1814" s="0" t="n">
        <v>3074</v>
      </c>
      <c r="B1814" s="0" t="n">
        <v>21633</v>
      </c>
      <c r="C1814" s="0" t="s">
        <v>12839</v>
      </c>
      <c r="D1814" s="0" t="s">
        <v>23</v>
      </c>
      <c r="F1814" s="0" t="s">
        <v>18315</v>
      </c>
      <c r="G1814" s="0" t="s">
        <v>18110</v>
      </c>
    </row>
    <row r="1815" customFormat="false" ht="15" hidden="false" customHeight="false" outlineLevel="0" collapsed="false">
      <c r="A1815" s="0" t="n">
        <v>3075</v>
      </c>
      <c r="B1815" s="0" t="n">
        <v>21634</v>
      </c>
      <c r="C1815" s="0" t="s">
        <v>12842</v>
      </c>
      <c r="D1815" s="0" t="s">
        <v>23</v>
      </c>
      <c r="F1815" s="0" t="s">
        <v>18316</v>
      </c>
      <c r="G1815" s="0" t="s">
        <v>18110</v>
      </c>
    </row>
    <row r="1816" customFormat="false" ht="15" hidden="false" customHeight="false" outlineLevel="0" collapsed="false">
      <c r="A1816" s="0" t="n">
        <v>3076</v>
      </c>
      <c r="B1816" s="0" t="n">
        <v>21635</v>
      </c>
      <c r="C1816" s="0" t="s">
        <v>12845</v>
      </c>
      <c r="D1816" s="0" t="s">
        <v>23</v>
      </c>
      <c r="F1816" s="0" t="s">
        <v>18317</v>
      </c>
      <c r="G1816" s="0" t="s">
        <v>18110</v>
      </c>
    </row>
    <row r="1817" customFormat="false" ht="15" hidden="false" customHeight="false" outlineLevel="0" collapsed="false">
      <c r="A1817" s="0" t="n">
        <v>3077</v>
      </c>
      <c r="B1817" s="0" t="n">
        <v>21636</v>
      </c>
      <c r="C1817" s="0" t="s">
        <v>12849</v>
      </c>
      <c r="D1817" s="0" t="s">
        <v>23</v>
      </c>
      <c r="F1817" s="0" t="s">
        <v>18318</v>
      </c>
      <c r="G1817" s="0" t="s">
        <v>18110</v>
      </c>
    </row>
    <row r="1818" customFormat="false" ht="15" hidden="false" customHeight="false" outlineLevel="0" collapsed="false">
      <c r="A1818" s="0" t="n">
        <v>3078</v>
      </c>
      <c r="B1818" s="0" t="n">
        <v>21637</v>
      </c>
      <c r="C1818" s="0" t="s">
        <v>12852</v>
      </c>
      <c r="D1818" s="0" t="s">
        <v>23</v>
      </c>
      <c r="F1818" s="0" t="s">
        <v>18319</v>
      </c>
      <c r="G1818" s="0" t="s">
        <v>18110</v>
      </c>
    </row>
    <row r="1819" customFormat="false" ht="15" hidden="false" customHeight="false" outlineLevel="0" collapsed="false">
      <c r="A1819" s="0" t="n">
        <v>3079</v>
      </c>
      <c r="B1819" s="0" t="n">
        <v>21638</v>
      </c>
      <c r="C1819" s="0" t="s">
        <v>12855</v>
      </c>
      <c r="D1819" s="0" t="s">
        <v>23</v>
      </c>
      <c r="F1819" s="0" t="s">
        <v>18320</v>
      </c>
      <c r="G1819" s="0" t="s">
        <v>18110</v>
      </c>
    </row>
    <row r="1820" customFormat="false" ht="15" hidden="false" customHeight="false" outlineLevel="0" collapsed="false">
      <c r="A1820" s="0" t="n">
        <v>3080</v>
      </c>
      <c r="B1820" s="0" t="n">
        <v>21639</v>
      </c>
      <c r="C1820" s="0" t="s">
        <v>12858</v>
      </c>
      <c r="D1820" s="0" t="s">
        <v>23</v>
      </c>
      <c r="F1820" s="0" t="s">
        <v>18321</v>
      </c>
      <c r="G1820" s="0" t="s">
        <v>18110</v>
      </c>
    </row>
    <row r="1821" customFormat="false" ht="15" hidden="false" customHeight="false" outlineLevel="0" collapsed="false">
      <c r="A1821" s="0" t="n">
        <v>3081</v>
      </c>
      <c r="B1821" s="0" t="n">
        <v>21640</v>
      </c>
      <c r="C1821" s="0" t="s">
        <v>12862</v>
      </c>
      <c r="D1821" s="0" t="s">
        <v>23</v>
      </c>
      <c r="F1821" s="0" t="s">
        <v>18322</v>
      </c>
      <c r="G1821" s="0" t="s">
        <v>18110</v>
      </c>
    </row>
    <row r="1822" customFormat="false" ht="15" hidden="false" customHeight="false" outlineLevel="0" collapsed="false">
      <c r="A1822" s="0" t="n">
        <v>3082</v>
      </c>
      <c r="B1822" s="0" t="n">
        <v>21641</v>
      </c>
      <c r="C1822" s="0" t="s">
        <v>12865</v>
      </c>
      <c r="D1822" s="0" t="s">
        <v>23</v>
      </c>
      <c r="F1822" s="0" t="s">
        <v>18323</v>
      </c>
      <c r="G1822" s="0" t="s">
        <v>18110</v>
      </c>
    </row>
    <row r="1823" customFormat="false" ht="15" hidden="false" customHeight="false" outlineLevel="0" collapsed="false">
      <c r="A1823" s="0" t="n">
        <v>3085</v>
      </c>
      <c r="B1823" s="0" t="n">
        <v>21645</v>
      </c>
      <c r="C1823" s="0" t="s">
        <v>12875</v>
      </c>
      <c r="D1823" s="0" t="s">
        <v>23</v>
      </c>
      <c r="F1823" s="0" t="s">
        <v>18324</v>
      </c>
      <c r="G1823" s="0" t="s">
        <v>18110</v>
      </c>
    </row>
    <row r="1824" customFormat="false" ht="15" hidden="false" customHeight="false" outlineLevel="0" collapsed="false">
      <c r="A1824" s="0" t="n">
        <v>3086</v>
      </c>
      <c r="B1824" s="0" t="n">
        <v>21647</v>
      </c>
      <c r="C1824" s="0" t="s">
        <v>12878</v>
      </c>
      <c r="D1824" s="0" t="s">
        <v>23</v>
      </c>
      <c r="F1824" s="0" t="s">
        <v>18325</v>
      </c>
      <c r="G1824" s="0" t="s">
        <v>18110</v>
      </c>
    </row>
    <row r="1825" customFormat="false" ht="15" hidden="false" customHeight="false" outlineLevel="0" collapsed="false">
      <c r="A1825" s="0" t="n">
        <v>3087</v>
      </c>
      <c r="B1825" s="0" t="n">
        <v>21648</v>
      </c>
      <c r="C1825" s="0" t="s">
        <v>12882</v>
      </c>
      <c r="D1825" s="0" t="s">
        <v>23</v>
      </c>
      <c r="F1825" s="0" t="s">
        <v>18326</v>
      </c>
      <c r="G1825" s="0" t="s">
        <v>18110</v>
      </c>
    </row>
    <row r="1826" customFormat="false" ht="15" hidden="false" customHeight="false" outlineLevel="0" collapsed="false">
      <c r="A1826" s="0" t="n">
        <v>3088</v>
      </c>
      <c r="B1826" s="0" t="n">
        <v>21649</v>
      </c>
      <c r="C1826" s="0" t="s">
        <v>12885</v>
      </c>
      <c r="D1826" s="0" t="s">
        <v>23</v>
      </c>
      <c r="F1826" s="0" t="s">
        <v>18327</v>
      </c>
      <c r="G1826" s="0" t="s">
        <v>18110</v>
      </c>
    </row>
    <row r="1827" customFormat="false" ht="15" hidden="false" customHeight="false" outlineLevel="0" collapsed="false">
      <c r="A1827" s="0" t="n">
        <v>3089</v>
      </c>
      <c r="B1827" s="0" t="n">
        <v>21650</v>
      </c>
      <c r="C1827" s="0" t="s">
        <v>12889</v>
      </c>
      <c r="D1827" s="0" t="s">
        <v>23</v>
      </c>
      <c r="F1827" s="0" t="s">
        <v>18328</v>
      </c>
      <c r="G1827" s="0" t="s">
        <v>18110</v>
      </c>
    </row>
    <row r="1828" customFormat="false" ht="15" hidden="false" customHeight="false" outlineLevel="0" collapsed="false">
      <c r="A1828" s="0" t="n">
        <v>3094</v>
      </c>
      <c r="B1828" s="0" t="n">
        <v>21655</v>
      </c>
      <c r="C1828" s="0" t="s">
        <v>12910</v>
      </c>
      <c r="D1828" s="0" t="s">
        <v>23</v>
      </c>
      <c r="F1828" s="0" t="s">
        <v>18329</v>
      </c>
      <c r="G1828" s="0" t="s">
        <v>18110</v>
      </c>
    </row>
    <row r="1829" customFormat="false" ht="15" hidden="false" customHeight="false" outlineLevel="0" collapsed="false">
      <c r="A1829" s="0" t="n">
        <v>3116</v>
      </c>
      <c r="B1829" s="0" t="n">
        <v>22852</v>
      </c>
      <c r="C1829" s="0" t="s">
        <v>12999</v>
      </c>
      <c r="D1829" s="0" t="s">
        <v>23</v>
      </c>
      <c r="F1829" s="0" t="s">
        <v>18330</v>
      </c>
      <c r="G1829" s="0" t="s">
        <v>18110</v>
      </c>
    </row>
    <row r="1830" customFormat="false" ht="15" hidden="false" customHeight="false" outlineLevel="0" collapsed="false">
      <c r="A1830" s="0" t="n">
        <v>3123</v>
      </c>
      <c r="B1830" s="0" t="n">
        <v>21712</v>
      </c>
      <c r="C1830" s="0" t="s">
        <v>13031</v>
      </c>
      <c r="D1830" s="0" t="s">
        <v>23</v>
      </c>
      <c r="F1830" s="0" t="s">
        <v>18331</v>
      </c>
      <c r="G1830" s="0" t="s">
        <v>18110</v>
      </c>
    </row>
    <row r="1831" customFormat="false" ht="15" hidden="false" customHeight="false" outlineLevel="0" collapsed="false">
      <c r="A1831" s="0" t="n">
        <v>3124</v>
      </c>
      <c r="B1831" s="0" t="n">
        <v>21713</v>
      </c>
      <c r="C1831" s="0" t="s">
        <v>13034</v>
      </c>
      <c r="D1831" s="0" t="s">
        <v>23</v>
      </c>
      <c r="F1831" s="0" t="s">
        <v>18332</v>
      </c>
      <c r="G1831" s="0" t="s">
        <v>18110</v>
      </c>
    </row>
    <row r="1832" customFormat="false" ht="15" hidden="false" customHeight="false" outlineLevel="0" collapsed="false">
      <c r="A1832" s="0" t="n">
        <v>3148</v>
      </c>
      <c r="B1832" s="0" t="n">
        <v>21737</v>
      </c>
      <c r="C1832" s="0" t="s">
        <v>13117</v>
      </c>
      <c r="D1832" s="0" t="s">
        <v>23</v>
      </c>
      <c r="F1832" s="0" t="s">
        <v>18333</v>
      </c>
      <c r="G1832" s="0" t="s">
        <v>18110</v>
      </c>
    </row>
    <row r="1833" customFormat="false" ht="15" hidden="false" customHeight="false" outlineLevel="0" collapsed="false">
      <c r="A1833" s="0" t="n">
        <v>3149</v>
      </c>
      <c r="B1833" s="0" t="n">
        <v>21738</v>
      </c>
      <c r="C1833" s="0" t="s">
        <v>13121</v>
      </c>
      <c r="D1833" s="0" t="s">
        <v>23</v>
      </c>
      <c r="F1833" s="0" t="s">
        <v>18334</v>
      </c>
      <c r="G1833" s="0" t="s">
        <v>18110</v>
      </c>
    </row>
    <row r="1834" customFormat="false" ht="15" hidden="false" customHeight="false" outlineLevel="0" collapsed="false">
      <c r="A1834" s="0" t="n">
        <v>3150</v>
      </c>
      <c r="B1834" s="0" t="n">
        <v>21739</v>
      </c>
      <c r="C1834" s="0" t="s">
        <v>13125</v>
      </c>
      <c r="D1834" s="0" t="s">
        <v>23</v>
      </c>
      <c r="F1834" s="0" t="s">
        <v>18335</v>
      </c>
      <c r="G1834" s="0" t="s">
        <v>18110</v>
      </c>
    </row>
    <row r="1835" customFormat="false" ht="15" hidden="false" customHeight="false" outlineLevel="0" collapsed="false">
      <c r="A1835" s="0" t="n">
        <v>3151</v>
      </c>
      <c r="B1835" s="0" t="n">
        <v>21740</v>
      </c>
      <c r="C1835" s="0" t="s">
        <v>13128</v>
      </c>
      <c r="D1835" s="0" t="s">
        <v>23</v>
      </c>
      <c r="F1835" s="0" t="s">
        <v>18336</v>
      </c>
      <c r="G1835" s="0" t="s">
        <v>18110</v>
      </c>
    </row>
    <row r="1836" customFormat="false" ht="15" hidden="false" customHeight="false" outlineLevel="0" collapsed="false">
      <c r="A1836" s="0" t="n">
        <v>3152</v>
      </c>
      <c r="B1836" s="0" t="n">
        <v>21741</v>
      </c>
      <c r="C1836" s="0" t="s">
        <v>13132</v>
      </c>
      <c r="D1836" s="0" t="s">
        <v>23</v>
      </c>
      <c r="F1836" s="0" t="s">
        <v>18337</v>
      </c>
      <c r="G1836" s="0" t="s">
        <v>18110</v>
      </c>
    </row>
    <row r="1837" customFormat="false" ht="15" hidden="false" customHeight="false" outlineLevel="0" collapsed="false">
      <c r="A1837" s="0" t="n">
        <v>3153</v>
      </c>
      <c r="B1837" s="0" t="n">
        <v>21742</v>
      </c>
      <c r="C1837" s="0" t="s">
        <v>13135</v>
      </c>
      <c r="D1837" s="0" t="s">
        <v>23</v>
      </c>
      <c r="F1837" s="0" t="s">
        <v>18338</v>
      </c>
      <c r="G1837" s="0" t="s">
        <v>18110</v>
      </c>
    </row>
    <row r="1838" customFormat="false" ht="15" hidden="false" customHeight="false" outlineLevel="0" collapsed="false">
      <c r="A1838" s="0" t="n">
        <v>3154</v>
      </c>
      <c r="B1838" s="0" t="n">
        <v>21743</v>
      </c>
      <c r="C1838" s="0" t="s">
        <v>13138</v>
      </c>
      <c r="D1838" s="0" t="s">
        <v>23</v>
      </c>
      <c r="F1838" s="0" t="s">
        <v>18339</v>
      </c>
      <c r="G1838" s="0" t="s">
        <v>18110</v>
      </c>
    </row>
    <row r="1839" customFormat="false" ht="15" hidden="false" customHeight="false" outlineLevel="0" collapsed="false">
      <c r="A1839" s="0" t="n">
        <v>3155</v>
      </c>
      <c r="B1839" s="0" t="n">
        <v>21744</v>
      </c>
      <c r="C1839" s="0" t="s">
        <v>13141</v>
      </c>
      <c r="D1839" s="0" t="s">
        <v>23</v>
      </c>
      <c r="F1839" s="0" t="s">
        <v>18340</v>
      </c>
      <c r="G1839" s="0" t="s">
        <v>18110</v>
      </c>
    </row>
    <row r="1840" customFormat="false" ht="15" hidden="false" customHeight="false" outlineLevel="0" collapsed="false">
      <c r="A1840" s="0" t="n">
        <v>3156</v>
      </c>
      <c r="B1840" s="0" t="n">
        <v>21745</v>
      </c>
      <c r="C1840" s="0" t="s">
        <v>13145</v>
      </c>
      <c r="D1840" s="0" t="s">
        <v>23</v>
      </c>
      <c r="F1840" s="0" t="s">
        <v>18341</v>
      </c>
      <c r="G1840" s="0" t="s">
        <v>18110</v>
      </c>
    </row>
    <row r="1841" customFormat="false" ht="15" hidden="false" customHeight="false" outlineLevel="0" collapsed="false">
      <c r="A1841" s="0" t="n">
        <v>3157</v>
      </c>
      <c r="B1841" s="0" t="n">
        <v>21746</v>
      </c>
      <c r="C1841" s="0" t="s">
        <v>13149</v>
      </c>
      <c r="D1841" s="0" t="s">
        <v>23</v>
      </c>
      <c r="F1841" s="0" t="s">
        <v>18342</v>
      </c>
      <c r="G1841" s="0" t="s">
        <v>18110</v>
      </c>
    </row>
    <row r="1842" customFormat="false" ht="15" hidden="false" customHeight="false" outlineLevel="0" collapsed="false">
      <c r="A1842" s="0" t="n">
        <v>3158</v>
      </c>
      <c r="B1842" s="0" t="n">
        <v>21747</v>
      </c>
      <c r="C1842" s="0" t="s">
        <v>13151</v>
      </c>
      <c r="D1842" s="0" t="s">
        <v>23</v>
      </c>
      <c r="F1842" s="0" t="s">
        <v>18343</v>
      </c>
      <c r="G1842" s="0" t="s">
        <v>18110</v>
      </c>
    </row>
    <row r="1843" customFormat="false" ht="15" hidden="false" customHeight="false" outlineLevel="0" collapsed="false">
      <c r="A1843" s="0" t="n">
        <v>3160</v>
      </c>
      <c r="B1843" s="0" t="n">
        <v>21749</v>
      </c>
      <c r="C1843" s="0" t="s">
        <v>13157</v>
      </c>
      <c r="D1843" s="0" t="s">
        <v>23</v>
      </c>
      <c r="F1843" s="0" t="s">
        <v>18344</v>
      </c>
      <c r="G1843" s="0" t="s">
        <v>18110</v>
      </c>
    </row>
    <row r="1844" customFormat="false" ht="15" hidden="false" customHeight="false" outlineLevel="0" collapsed="false">
      <c r="A1844" s="0" t="n">
        <v>3161</v>
      </c>
      <c r="B1844" s="0" t="n">
        <v>21750</v>
      </c>
      <c r="C1844" s="0" t="s">
        <v>13161</v>
      </c>
      <c r="D1844" s="0" t="s">
        <v>23</v>
      </c>
      <c r="F1844" s="0" t="s">
        <v>18345</v>
      </c>
      <c r="G1844" s="0" t="s">
        <v>18110</v>
      </c>
    </row>
    <row r="1845" customFormat="false" ht="15" hidden="false" customHeight="false" outlineLevel="0" collapsed="false">
      <c r="A1845" s="0" t="n">
        <v>3162</v>
      </c>
      <c r="B1845" s="0" t="n">
        <v>21751</v>
      </c>
      <c r="C1845" s="0" t="s">
        <v>13165</v>
      </c>
      <c r="D1845" s="0" t="s">
        <v>23</v>
      </c>
      <c r="F1845" s="0" t="s">
        <v>18346</v>
      </c>
      <c r="G1845" s="0" t="s">
        <v>18110</v>
      </c>
    </row>
    <row r="1846" customFormat="false" ht="15" hidden="false" customHeight="false" outlineLevel="0" collapsed="false">
      <c r="A1846" s="0" t="n">
        <v>3164</v>
      </c>
      <c r="B1846" s="0" t="n">
        <v>21753</v>
      </c>
      <c r="C1846" s="0" t="s">
        <v>13172</v>
      </c>
      <c r="D1846" s="0" t="s">
        <v>23</v>
      </c>
      <c r="F1846" s="0" t="s">
        <v>18347</v>
      </c>
      <c r="G1846" s="0" t="s">
        <v>18110</v>
      </c>
    </row>
    <row r="1847" customFormat="false" ht="15" hidden="false" customHeight="false" outlineLevel="0" collapsed="false">
      <c r="A1847" s="0" t="n">
        <v>3168</v>
      </c>
      <c r="B1847" s="0" t="n">
        <v>21758</v>
      </c>
      <c r="C1847" s="0" t="s">
        <v>13187</v>
      </c>
      <c r="D1847" s="0" t="s">
        <v>23</v>
      </c>
      <c r="F1847" s="0" t="s">
        <v>18348</v>
      </c>
      <c r="G1847" s="0" t="s">
        <v>18110</v>
      </c>
    </row>
    <row r="1848" customFormat="false" ht="15" hidden="false" customHeight="false" outlineLevel="0" collapsed="false">
      <c r="A1848" s="0" t="n">
        <v>3169</v>
      </c>
      <c r="B1848" s="0" t="n">
        <v>21759</v>
      </c>
      <c r="C1848" s="0" t="s">
        <v>13191</v>
      </c>
      <c r="D1848" s="0" t="s">
        <v>23</v>
      </c>
      <c r="F1848" s="0" t="s">
        <v>18349</v>
      </c>
      <c r="G1848" s="0" t="s">
        <v>18110</v>
      </c>
    </row>
    <row r="1849" customFormat="false" ht="15" hidden="false" customHeight="false" outlineLevel="0" collapsed="false">
      <c r="A1849" s="0" t="n">
        <v>3170</v>
      </c>
      <c r="B1849" s="0" t="n">
        <v>21760</v>
      </c>
      <c r="C1849" s="0" t="s">
        <v>13194</v>
      </c>
      <c r="D1849" s="0" t="s">
        <v>23</v>
      </c>
      <c r="F1849" s="0" t="s">
        <v>18350</v>
      </c>
      <c r="G1849" s="0" t="s">
        <v>18110</v>
      </c>
    </row>
    <row r="1850" customFormat="false" ht="15" hidden="false" customHeight="false" outlineLevel="0" collapsed="false">
      <c r="A1850" s="0" t="n">
        <v>3171</v>
      </c>
      <c r="B1850" s="0" t="n">
        <v>21761</v>
      </c>
      <c r="C1850" s="0" t="s">
        <v>13197</v>
      </c>
      <c r="D1850" s="0" t="s">
        <v>23</v>
      </c>
      <c r="F1850" s="0" t="s">
        <v>18351</v>
      </c>
      <c r="G1850" s="0" t="s">
        <v>18110</v>
      </c>
    </row>
    <row r="1851" customFormat="false" ht="15" hidden="false" customHeight="false" outlineLevel="0" collapsed="false">
      <c r="A1851" s="0" t="n">
        <v>3172</v>
      </c>
      <c r="B1851" s="0" t="n">
        <v>21762</v>
      </c>
      <c r="C1851" s="0" t="s">
        <v>13200</v>
      </c>
      <c r="D1851" s="0" t="s">
        <v>23</v>
      </c>
      <c r="F1851" s="0" t="s">
        <v>18352</v>
      </c>
      <c r="G1851" s="0" t="s">
        <v>18110</v>
      </c>
    </row>
    <row r="1852" customFormat="false" ht="15" hidden="false" customHeight="false" outlineLevel="0" collapsed="false">
      <c r="A1852" s="0" t="n">
        <v>3173</v>
      </c>
      <c r="B1852" s="0" t="n">
        <v>21763</v>
      </c>
      <c r="C1852" s="0" t="s">
        <v>13204</v>
      </c>
      <c r="D1852" s="0" t="s">
        <v>23</v>
      </c>
      <c r="F1852" s="0" t="s">
        <v>18353</v>
      </c>
      <c r="G1852" s="0" t="s">
        <v>18110</v>
      </c>
    </row>
    <row r="1853" customFormat="false" ht="15" hidden="false" customHeight="false" outlineLevel="0" collapsed="false">
      <c r="A1853" s="0" t="n">
        <v>3174</v>
      </c>
      <c r="B1853" s="0" t="n">
        <v>21764</v>
      </c>
      <c r="C1853" s="0" t="s">
        <v>13207</v>
      </c>
      <c r="D1853" s="0" t="s">
        <v>23</v>
      </c>
      <c r="F1853" s="0" t="s">
        <v>18354</v>
      </c>
      <c r="G1853" s="0" t="s">
        <v>18110</v>
      </c>
    </row>
    <row r="1854" customFormat="false" ht="15" hidden="false" customHeight="false" outlineLevel="0" collapsed="false">
      <c r="A1854" s="0" t="n">
        <v>3175</v>
      </c>
      <c r="B1854" s="0" t="n">
        <v>21765</v>
      </c>
      <c r="C1854" s="0" t="s">
        <v>13210</v>
      </c>
      <c r="D1854" s="0" t="s">
        <v>23</v>
      </c>
      <c r="F1854" s="0" t="s">
        <v>18355</v>
      </c>
      <c r="G1854" s="0" t="s">
        <v>18110</v>
      </c>
    </row>
    <row r="1855" customFormat="false" ht="15" hidden="false" customHeight="false" outlineLevel="0" collapsed="false">
      <c r="A1855" s="0" t="n">
        <v>3176</v>
      </c>
      <c r="B1855" s="0" t="n">
        <v>21768</v>
      </c>
      <c r="C1855" s="0" t="s">
        <v>13214</v>
      </c>
      <c r="D1855" s="0" t="s">
        <v>23</v>
      </c>
      <c r="F1855" s="0" t="s">
        <v>18356</v>
      </c>
      <c r="G1855" s="0" t="s">
        <v>18110</v>
      </c>
    </row>
    <row r="1856" customFormat="false" ht="15" hidden="false" customHeight="false" outlineLevel="0" collapsed="false">
      <c r="A1856" s="0" t="n">
        <v>3177</v>
      </c>
      <c r="B1856" s="0" t="n">
        <v>21769</v>
      </c>
      <c r="C1856" s="0" t="s">
        <v>13218</v>
      </c>
      <c r="D1856" s="0" t="s">
        <v>23</v>
      </c>
      <c r="F1856" s="0" t="s">
        <v>18357</v>
      </c>
      <c r="G1856" s="0" t="s">
        <v>18110</v>
      </c>
    </row>
    <row r="1857" customFormat="false" ht="15" hidden="false" customHeight="false" outlineLevel="0" collapsed="false">
      <c r="A1857" s="0" t="n">
        <v>3178</v>
      </c>
      <c r="B1857" s="0" t="n">
        <v>21771</v>
      </c>
      <c r="C1857" s="0" t="s">
        <v>13222</v>
      </c>
      <c r="D1857" s="0" t="s">
        <v>23</v>
      </c>
      <c r="F1857" s="0" t="s">
        <v>18358</v>
      </c>
      <c r="G1857" s="0" t="s">
        <v>18110</v>
      </c>
    </row>
    <row r="1858" customFormat="false" ht="15" hidden="false" customHeight="false" outlineLevel="0" collapsed="false">
      <c r="A1858" s="0" t="n">
        <v>3179</v>
      </c>
      <c r="B1858" s="0" t="n">
        <v>21772</v>
      </c>
      <c r="C1858" s="0" t="s">
        <v>13225</v>
      </c>
      <c r="D1858" s="0" t="s">
        <v>23</v>
      </c>
      <c r="F1858" s="0" t="s">
        <v>18359</v>
      </c>
      <c r="G1858" s="0" t="s">
        <v>18110</v>
      </c>
    </row>
    <row r="1859" customFormat="false" ht="15" hidden="false" customHeight="false" outlineLevel="0" collapsed="false">
      <c r="A1859" s="0" t="n">
        <v>3180</v>
      </c>
      <c r="B1859" s="0" t="n">
        <v>21773</v>
      </c>
      <c r="C1859" s="0" t="s">
        <v>13228</v>
      </c>
      <c r="D1859" s="0" t="s">
        <v>23</v>
      </c>
      <c r="F1859" s="0" t="s">
        <v>18360</v>
      </c>
      <c r="G1859" s="0" t="s">
        <v>18110</v>
      </c>
    </row>
    <row r="1860" customFormat="false" ht="15" hidden="false" customHeight="false" outlineLevel="0" collapsed="false">
      <c r="A1860" s="0" t="n">
        <v>3181</v>
      </c>
      <c r="B1860" s="0" t="n">
        <v>21774</v>
      </c>
      <c r="C1860" s="0" t="s">
        <v>13231</v>
      </c>
      <c r="D1860" s="0" t="s">
        <v>23</v>
      </c>
      <c r="F1860" s="0" t="s">
        <v>18361</v>
      </c>
      <c r="G1860" s="0" t="s">
        <v>18110</v>
      </c>
    </row>
    <row r="1861" customFormat="false" ht="15" hidden="false" customHeight="false" outlineLevel="0" collapsed="false">
      <c r="A1861" s="0" t="n">
        <v>3182</v>
      </c>
      <c r="B1861" s="0" t="n">
        <v>21775</v>
      </c>
      <c r="C1861" s="0" t="s">
        <v>13235</v>
      </c>
      <c r="D1861" s="0" t="s">
        <v>23</v>
      </c>
      <c r="F1861" s="0" t="s">
        <v>18362</v>
      </c>
      <c r="G1861" s="0" t="s">
        <v>18110</v>
      </c>
    </row>
    <row r="1862" customFormat="false" ht="15" hidden="false" customHeight="false" outlineLevel="0" collapsed="false">
      <c r="A1862" s="0" t="n">
        <v>3183</v>
      </c>
      <c r="B1862" s="0" t="n">
        <v>21776</v>
      </c>
      <c r="C1862" s="0" t="s">
        <v>9772</v>
      </c>
      <c r="D1862" s="0" t="s">
        <v>23</v>
      </c>
      <c r="F1862" s="0" t="s">
        <v>18363</v>
      </c>
      <c r="G1862" s="0" t="s">
        <v>18110</v>
      </c>
    </row>
    <row r="1863" customFormat="false" ht="15" hidden="false" customHeight="false" outlineLevel="0" collapsed="false">
      <c r="A1863" s="0" t="n">
        <v>3184</v>
      </c>
      <c r="B1863" s="0" t="n">
        <v>21777</v>
      </c>
      <c r="C1863" s="0" t="s">
        <v>13240</v>
      </c>
      <c r="D1863" s="0" t="s">
        <v>23</v>
      </c>
      <c r="F1863" s="0" t="s">
        <v>18364</v>
      </c>
      <c r="G1863" s="0" t="s">
        <v>18110</v>
      </c>
    </row>
    <row r="1864" customFormat="false" ht="15" hidden="false" customHeight="false" outlineLevel="0" collapsed="false">
      <c r="A1864" s="0" t="n">
        <v>3185</v>
      </c>
      <c r="B1864" s="0" t="n">
        <v>21778</v>
      </c>
      <c r="C1864" s="0" t="s">
        <v>3373</v>
      </c>
      <c r="D1864" s="0" t="s">
        <v>23</v>
      </c>
      <c r="F1864" s="0" t="s">
        <v>18365</v>
      </c>
      <c r="G1864" s="0" t="s">
        <v>18110</v>
      </c>
    </row>
    <row r="1865" customFormat="false" ht="15" hidden="false" customHeight="false" outlineLevel="0" collapsed="false">
      <c r="A1865" s="0" t="n">
        <v>3186</v>
      </c>
      <c r="B1865" s="0" t="n">
        <v>21779</v>
      </c>
      <c r="C1865" s="0" t="s">
        <v>13245</v>
      </c>
      <c r="D1865" s="0" t="s">
        <v>23</v>
      </c>
      <c r="F1865" s="0" t="s">
        <v>18366</v>
      </c>
      <c r="G1865" s="0" t="s">
        <v>18110</v>
      </c>
    </row>
    <row r="1866" customFormat="false" ht="15" hidden="false" customHeight="false" outlineLevel="0" collapsed="false">
      <c r="A1866" s="0" t="n">
        <v>3187</v>
      </c>
      <c r="B1866" s="0" t="n">
        <v>21780</v>
      </c>
      <c r="C1866" s="0" t="s">
        <v>13248</v>
      </c>
      <c r="D1866" s="0" t="s">
        <v>23</v>
      </c>
      <c r="F1866" s="0" t="s">
        <v>18367</v>
      </c>
      <c r="G1866" s="0" t="s">
        <v>18110</v>
      </c>
    </row>
    <row r="1867" customFormat="false" ht="15" hidden="false" customHeight="false" outlineLevel="0" collapsed="false">
      <c r="A1867" s="0" t="n">
        <v>3189</v>
      </c>
      <c r="B1867" s="0" t="n">
        <v>21782</v>
      </c>
      <c r="C1867" s="0" t="s">
        <v>13254</v>
      </c>
      <c r="D1867" s="0" t="s">
        <v>23</v>
      </c>
      <c r="F1867" s="0" t="s">
        <v>18368</v>
      </c>
      <c r="G1867" s="0" t="s">
        <v>18110</v>
      </c>
    </row>
    <row r="1868" customFormat="false" ht="15" hidden="false" customHeight="false" outlineLevel="0" collapsed="false">
      <c r="A1868" s="0" t="n">
        <v>3202</v>
      </c>
      <c r="B1868" s="0" t="n">
        <v>21796</v>
      </c>
      <c r="C1868" s="0" t="s">
        <v>13298</v>
      </c>
      <c r="D1868" s="0" t="s">
        <v>23</v>
      </c>
      <c r="F1868" s="0" t="s">
        <v>18369</v>
      </c>
      <c r="G1868" s="0" t="s">
        <v>18110</v>
      </c>
    </row>
    <row r="1869" customFormat="false" ht="15" hidden="false" customHeight="false" outlineLevel="0" collapsed="false">
      <c r="A1869" s="0" t="n">
        <v>3204</v>
      </c>
      <c r="B1869" s="0" t="n">
        <v>21802</v>
      </c>
      <c r="C1869" s="0" t="s">
        <v>13305</v>
      </c>
      <c r="D1869" s="0" t="s">
        <v>23</v>
      </c>
      <c r="F1869" s="0" t="s">
        <v>18370</v>
      </c>
      <c r="G1869" s="0" t="s">
        <v>18110</v>
      </c>
    </row>
    <row r="1870" customFormat="false" ht="15" hidden="false" customHeight="false" outlineLevel="0" collapsed="false">
      <c r="A1870" s="0" t="n">
        <v>3205</v>
      </c>
      <c r="B1870" s="0" t="n">
        <v>21803</v>
      </c>
      <c r="C1870" s="0" t="s">
        <v>13307</v>
      </c>
      <c r="D1870" s="0" t="s">
        <v>23</v>
      </c>
      <c r="F1870" s="0" t="s">
        <v>18371</v>
      </c>
      <c r="G1870" s="0" t="s">
        <v>18110</v>
      </c>
    </row>
    <row r="1871" customFormat="false" ht="15" hidden="false" customHeight="false" outlineLevel="0" collapsed="false">
      <c r="A1871" s="0" t="n">
        <v>3231</v>
      </c>
      <c r="B1871" s="0" t="n">
        <v>21829</v>
      </c>
      <c r="C1871" s="0" t="s">
        <v>13403</v>
      </c>
      <c r="D1871" s="0" t="s">
        <v>23</v>
      </c>
      <c r="F1871" s="0" t="s">
        <v>18372</v>
      </c>
      <c r="G1871" s="0" t="s">
        <v>18110</v>
      </c>
    </row>
    <row r="1872" customFormat="false" ht="15" hidden="false" customHeight="false" outlineLevel="0" collapsed="false">
      <c r="A1872" s="0" t="n">
        <v>3232</v>
      </c>
      <c r="B1872" s="0" t="n">
        <v>21830</v>
      </c>
      <c r="C1872" s="0" t="s">
        <v>13408</v>
      </c>
      <c r="D1872" s="0" t="s">
        <v>23</v>
      </c>
      <c r="F1872" s="0" t="s">
        <v>18373</v>
      </c>
      <c r="G1872" s="0" t="s">
        <v>18110</v>
      </c>
    </row>
    <row r="1873" customFormat="false" ht="15" hidden="false" customHeight="false" outlineLevel="0" collapsed="false">
      <c r="A1873" s="0" t="n">
        <v>3233</v>
      </c>
      <c r="B1873" s="0" t="n">
        <v>21831</v>
      </c>
      <c r="C1873" s="0" t="s">
        <v>13411</v>
      </c>
      <c r="D1873" s="0" t="s">
        <v>23</v>
      </c>
      <c r="F1873" s="0" t="s">
        <v>18374</v>
      </c>
      <c r="G1873" s="0" t="s">
        <v>18110</v>
      </c>
    </row>
    <row r="1874" customFormat="false" ht="15" hidden="false" customHeight="false" outlineLevel="0" collapsed="false">
      <c r="A1874" s="0" t="n">
        <v>3234</v>
      </c>
      <c r="B1874" s="0" t="n">
        <v>21832</v>
      </c>
      <c r="C1874" s="0" t="s">
        <v>13414</v>
      </c>
      <c r="D1874" s="0" t="s">
        <v>23</v>
      </c>
      <c r="F1874" s="0" t="s">
        <v>18375</v>
      </c>
      <c r="G1874" s="0" t="s">
        <v>18110</v>
      </c>
    </row>
    <row r="1875" customFormat="false" ht="15" hidden="false" customHeight="false" outlineLevel="0" collapsed="false">
      <c r="A1875" s="0" t="n">
        <v>3235</v>
      </c>
      <c r="B1875" s="0" t="n">
        <v>21833</v>
      </c>
      <c r="C1875" s="0" t="s">
        <v>8366</v>
      </c>
      <c r="D1875" s="0" t="s">
        <v>23</v>
      </c>
      <c r="F1875" s="0" t="s">
        <v>18376</v>
      </c>
      <c r="G1875" s="0" t="s">
        <v>18110</v>
      </c>
    </row>
    <row r="1876" customFormat="false" ht="15" hidden="false" customHeight="false" outlineLevel="0" collapsed="false">
      <c r="A1876" s="0" t="n">
        <v>3236</v>
      </c>
      <c r="B1876" s="0" t="n">
        <v>21834</v>
      </c>
      <c r="C1876" s="0" t="s">
        <v>13419</v>
      </c>
      <c r="D1876" s="0" t="s">
        <v>23</v>
      </c>
      <c r="F1876" s="0" t="s">
        <v>18377</v>
      </c>
      <c r="G1876" s="0" t="s">
        <v>18110</v>
      </c>
    </row>
    <row r="1877" customFormat="false" ht="15" hidden="false" customHeight="false" outlineLevel="0" collapsed="false">
      <c r="A1877" s="0" t="n">
        <v>3237</v>
      </c>
      <c r="B1877" s="0" t="n">
        <v>21835</v>
      </c>
      <c r="C1877" s="0" t="s">
        <v>13422</v>
      </c>
      <c r="D1877" s="0" t="s">
        <v>23</v>
      </c>
      <c r="F1877" s="0" t="s">
        <v>18378</v>
      </c>
      <c r="G1877" s="0" t="s">
        <v>18110</v>
      </c>
    </row>
    <row r="1878" customFormat="false" ht="15" hidden="false" customHeight="false" outlineLevel="0" collapsed="false">
      <c r="A1878" s="0" t="n">
        <v>3238</v>
      </c>
      <c r="B1878" s="0" t="n">
        <v>21836</v>
      </c>
      <c r="C1878" s="0" t="s">
        <v>13425</v>
      </c>
      <c r="D1878" s="0" t="s">
        <v>23</v>
      </c>
      <c r="F1878" s="0" t="s">
        <v>18379</v>
      </c>
      <c r="G1878" s="0" t="s">
        <v>18110</v>
      </c>
    </row>
    <row r="1879" customFormat="false" ht="15" hidden="false" customHeight="false" outlineLevel="0" collapsed="false">
      <c r="A1879" s="0" t="n">
        <v>3239</v>
      </c>
      <c r="B1879" s="0" t="n">
        <v>21837</v>
      </c>
      <c r="C1879" s="0" t="s">
        <v>13429</v>
      </c>
      <c r="D1879" s="0" t="s">
        <v>23</v>
      </c>
      <c r="F1879" s="0" t="s">
        <v>18380</v>
      </c>
      <c r="G1879" s="0" t="s">
        <v>18110</v>
      </c>
    </row>
    <row r="1880" customFormat="false" ht="15" hidden="false" customHeight="false" outlineLevel="0" collapsed="false">
      <c r="A1880" s="0" t="n">
        <v>3240</v>
      </c>
      <c r="B1880" s="0" t="n">
        <v>21838</v>
      </c>
      <c r="C1880" s="0" t="s">
        <v>13432</v>
      </c>
      <c r="D1880" s="0" t="s">
        <v>23</v>
      </c>
      <c r="F1880" s="0" t="s">
        <v>18381</v>
      </c>
      <c r="G1880" s="0" t="s">
        <v>18110</v>
      </c>
    </row>
    <row r="1881" customFormat="false" ht="15" hidden="false" customHeight="false" outlineLevel="0" collapsed="false">
      <c r="A1881" s="0" t="n">
        <v>3241</v>
      </c>
      <c r="B1881" s="0" t="n">
        <v>21839</v>
      </c>
      <c r="C1881" s="0" t="s">
        <v>13434</v>
      </c>
      <c r="D1881" s="0" t="s">
        <v>23</v>
      </c>
      <c r="F1881" s="0" t="s">
        <v>18382</v>
      </c>
      <c r="G1881" s="0" t="s">
        <v>18110</v>
      </c>
    </row>
    <row r="1882" customFormat="false" ht="15" hidden="false" customHeight="false" outlineLevel="0" collapsed="false">
      <c r="A1882" s="0" t="n">
        <v>3258</v>
      </c>
      <c r="B1882" s="0" t="n">
        <v>21857</v>
      </c>
      <c r="C1882" s="0" t="s">
        <v>13496</v>
      </c>
      <c r="D1882" s="0" t="s">
        <v>23</v>
      </c>
      <c r="F1882" s="0" t="s">
        <v>18383</v>
      </c>
      <c r="G1882" s="0" t="s">
        <v>18110</v>
      </c>
    </row>
    <row r="1883" customFormat="false" ht="15" hidden="false" customHeight="false" outlineLevel="0" collapsed="false">
      <c r="A1883" s="0" t="n">
        <v>3259</v>
      </c>
      <c r="B1883" s="0" t="n">
        <v>21858</v>
      </c>
      <c r="C1883" s="0" t="s">
        <v>13500</v>
      </c>
      <c r="D1883" s="0" t="s">
        <v>23</v>
      </c>
      <c r="F1883" s="0" t="s">
        <v>18384</v>
      </c>
      <c r="G1883" s="0" t="s">
        <v>18110</v>
      </c>
    </row>
    <row r="1884" customFormat="false" ht="15" hidden="false" customHeight="false" outlineLevel="0" collapsed="false">
      <c r="A1884" s="0" t="n">
        <v>3260</v>
      </c>
      <c r="B1884" s="0" t="n">
        <v>21859</v>
      </c>
      <c r="C1884" s="0" t="s">
        <v>13503</v>
      </c>
      <c r="D1884" s="0" t="s">
        <v>23</v>
      </c>
      <c r="F1884" s="0" t="s">
        <v>18385</v>
      </c>
      <c r="G1884" s="0" t="s">
        <v>18110</v>
      </c>
    </row>
    <row r="1885" customFormat="false" ht="15" hidden="false" customHeight="false" outlineLevel="0" collapsed="false">
      <c r="A1885" s="0" t="n">
        <v>3301</v>
      </c>
      <c r="B1885" s="0" t="n">
        <v>21909</v>
      </c>
      <c r="C1885" s="0" t="s">
        <v>13650</v>
      </c>
      <c r="D1885" s="0" t="s">
        <v>23</v>
      </c>
      <c r="F1885" s="0" t="s">
        <v>18386</v>
      </c>
      <c r="G1885" s="0" t="s">
        <v>18110</v>
      </c>
    </row>
    <row r="1886" customFormat="false" ht="15" hidden="false" customHeight="false" outlineLevel="0" collapsed="false">
      <c r="A1886" s="0" t="n">
        <v>3302</v>
      </c>
      <c r="B1886" s="0" t="n">
        <v>21910</v>
      </c>
      <c r="C1886" s="0" t="s">
        <v>13653</v>
      </c>
      <c r="D1886" s="0" t="s">
        <v>23</v>
      </c>
      <c r="F1886" s="0" t="s">
        <v>18387</v>
      </c>
      <c r="G1886" s="0" t="s">
        <v>18110</v>
      </c>
    </row>
    <row r="1887" customFormat="false" ht="15" hidden="false" customHeight="false" outlineLevel="0" collapsed="false">
      <c r="A1887" s="0" t="n">
        <v>3303</v>
      </c>
      <c r="B1887" s="0" t="n">
        <v>21911</v>
      </c>
      <c r="C1887" s="0" t="s">
        <v>13657</v>
      </c>
      <c r="D1887" s="0" t="s">
        <v>23</v>
      </c>
      <c r="F1887" s="0" t="s">
        <v>18388</v>
      </c>
      <c r="G1887" s="0" t="s">
        <v>18110</v>
      </c>
    </row>
    <row r="1888" customFormat="false" ht="15" hidden="false" customHeight="false" outlineLevel="0" collapsed="false">
      <c r="A1888" s="0" t="n">
        <v>3304</v>
      </c>
      <c r="B1888" s="0" t="n">
        <v>21912</v>
      </c>
      <c r="C1888" s="0" t="s">
        <v>13660</v>
      </c>
      <c r="D1888" s="0" t="s">
        <v>23</v>
      </c>
      <c r="F1888" s="0" t="s">
        <v>18389</v>
      </c>
      <c r="G1888" s="0" t="s">
        <v>18110</v>
      </c>
    </row>
    <row r="1889" customFormat="false" ht="15" hidden="false" customHeight="false" outlineLevel="0" collapsed="false">
      <c r="A1889" s="0" t="n">
        <v>3305</v>
      </c>
      <c r="B1889" s="0" t="n">
        <v>21913</v>
      </c>
      <c r="C1889" s="0" t="s">
        <v>13663</v>
      </c>
      <c r="D1889" s="0" t="s">
        <v>23</v>
      </c>
      <c r="F1889" s="0" t="s">
        <v>18390</v>
      </c>
      <c r="G1889" s="0" t="s">
        <v>18110</v>
      </c>
    </row>
    <row r="1890" customFormat="false" ht="15" hidden="false" customHeight="false" outlineLevel="0" collapsed="false">
      <c r="A1890" s="0" t="n">
        <v>3306</v>
      </c>
      <c r="B1890" s="0" t="n">
        <v>21914</v>
      </c>
      <c r="C1890" s="0" t="s">
        <v>13666</v>
      </c>
      <c r="D1890" s="0" t="s">
        <v>23</v>
      </c>
      <c r="F1890" s="0" t="s">
        <v>18391</v>
      </c>
      <c r="G1890" s="0" t="s">
        <v>18110</v>
      </c>
    </row>
    <row r="1891" customFormat="false" ht="15" hidden="false" customHeight="false" outlineLevel="0" collapsed="false">
      <c r="A1891" s="0" t="n">
        <v>3308</v>
      </c>
      <c r="B1891" s="0" t="n">
        <v>21916</v>
      </c>
      <c r="C1891" s="0" t="s">
        <v>13674</v>
      </c>
      <c r="D1891" s="0" t="s">
        <v>23</v>
      </c>
      <c r="F1891" s="0" t="s">
        <v>18392</v>
      </c>
      <c r="G1891" s="0" t="s">
        <v>18110</v>
      </c>
    </row>
    <row r="1892" customFormat="false" ht="15" hidden="false" customHeight="false" outlineLevel="0" collapsed="false">
      <c r="A1892" s="0" t="n">
        <v>3309</v>
      </c>
      <c r="B1892" s="0" t="n">
        <v>21917</v>
      </c>
      <c r="C1892" s="0" t="s">
        <v>13678</v>
      </c>
      <c r="D1892" s="0" t="s">
        <v>23</v>
      </c>
      <c r="F1892" s="0" t="s">
        <v>18393</v>
      </c>
      <c r="G1892" s="0" t="s">
        <v>18110</v>
      </c>
    </row>
    <row r="1893" customFormat="false" ht="15" hidden="false" customHeight="false" outlineLevel="0" collapsed="false">
      <c r="A1893" s="0" t="n">
        <v>3310</v>
      </c>
      <c r="B1893" s="0" t="n">
        <v>21918</v>
      </c>
      <c r="C1893" s="0" t="s">
        <v>13680</v>
      </c>
      <c r="D1893" s="0" t="s">
        <v>23</v>
      </c>
      <c r="F1893" s="0" t="s">
        <v>18394</v>
      </c>
      <c r="G1893" s="0" t="s">
        <v>18110</v>
      </c>
    </row>
    <row r="1894" customFormat="false" ht="15" hidden="false" customHeight="false" outlineLevel="0" collapsed="false">
      <c r="A1894" s="0" t="n">
        <v>3313</v>
      </c>
      <c r="B1894" s="0" t="n">
        <v>21921</v>
      </c>
      <c r="C1894" s="0" t="s">
        <v>13690</v>
      </c>
      <c r="D1894" s="0" t="s">
        <v>23</v>
      </c>
      <c r="F1894" s="0" t="s">
        <v>18395</v>
      </c>
      <c r="G1894" s="0" t="s">
        <v>18110</v>
      </c>
    </row>
    <row r="1895" customFormat="false" ht="15" hidden="false" customHeight="false" outlineLevel="0" collapsed="false">
      <c r="A1895" s="0" t="n">
        <v>3314</v>
      </c>
      <c r="B1895" s="0" t="n">
        <v>21922</v>
      </c>
      <c r="C1895" s="0" t="s">
        <v>13693</v>
      </c>
      <c r="D1895" s="0" t="s">
        <v>23</v>
      </c>
      <c r="F1895" s="0" t="s">
        <v>18396</v>
      </c>
      <c r="G1895" s="0" t="s">
        <v>18110</v>
      </c>
    </row>
    <row r="1896" customFormat="false" ht="15" hidden="false" customHeight="false" outlineLevel="0" collapsed="false">
      <c r="A1896" s="0" t="n">
        <v>3315</v>
      </c>
      <c r="B1896" s="0" t="n">
        <v>21923</v>
      </c>
      <c r="C1896" s="0" t="s">
        <v>13696</v>
      </c>
      <c r="D1896" s="0" t="s">
        <v>23</v>
      </c>
      <c r="F1896" s="0" t="s">
        <v>18397</v>
      </c>
      <c r="G1896" s="0" t="s">
        <v>18110</v>
      </c>
    </row>
    <row r="1897" customFormat="false" ht="15" hidden="false" customHeight="false" outlineLevel="0" collapsed="false">
      <c r="A1897" s="0" t="n">
        <v>3316</v>
      </c>
      <c r="B1897" s="0" t="n">
        <v>21924</v>
      </c>
      <c r="C1897" s="0" t="s">
        <v>13699</v>
      </c>
      <c r="D1897" s="0" t="s">
        <v>23</v>
      </c>
      <c r="F1897" s="0" t="s">
        <v>18398</v>
      </c>
      <c r="G1897" s="0" t="s">
        <v>18110</v>
      </c>
    </row>
    <row r="1898" customFormat="false" ht="15" hidden="false" customHeight="false" outlineLevel="0" collapsed="false">
      <c r="A1898" s="0" t="n">
        <v>3317</v>
      </c>
      <c r="B1898" s="0" t="n">
        <v>21925</v>
      </c>
      <c r="C1898" s="0" t="s">
        <v>13702</v>
      </c>
      <c r="D1898" s="0" t="s">
        <v>23</v>
      </c>
      <c r="F1898" s="0" t="s">
        <v>18399</v>
      </c>
      <c r="G1898" s="0" t="s">
        <v>18110</v>
      </c>
    </row>
    <row r="1899" customFormat="false" ht="15" hidden="false" customHeight="false" outlineLevel="0" collapsed="false">
      <c r="A1899" s="0" t="n">
        <v>3318</v>
      </c>
      <c r="B1899" s="0" t="n">
        <v>21926</v>
      </c>
      <c r="C1899" s="0" t="s">
        <v>13705</v>
      </c>
      <c r="D1899" s="0" t="s">
        <v>23</v>
      </c>
      <c r="F1899" s="0" t="s">
        <v>18400</v>
      </c>
      <c r="G1899" s="0" t="s">
        <v>18110</v>
      </c>
    </row>
    <row r="1900" customFormat="false" ht="15" hidden="false" customHeight="false" outlineLevel="0" collapsed="false">
      <c r="A1900" s="0" t="n">
        <v>3319</v>
      </c>
      <c r="B1900" s="0" t="n">
        <v>21927</v>
      </c>
      <c r="C1900" s="0" t="s">
        <v>13708</v>
      </c>
      <c r="D1900" s="0" t="s">
        <v>23</v>
      </c>
      <c r="F1900" s="0" t="s">
        <v>18401</v>
      </c>
      <c r="G1900" s="0" t="s">
        <v>18110</v>
      </c>
    </row>
    <row r="1901" customFormat="false" ht="15" hidden="false" customHeight="false" outlineLevel="0" collapsed="false">
      <c r="A1901" s="0" t="n">
        <v>3320</v>
      </c>
      <c r="B1901" s="0" t="n">
        <v>21928</v>
      </c>
      <c r="C1901" s="0" t="s">
        <v>13711</v>
      </c>
      <c r="D1901" s="0" t="s">
        <v>23</v>
      </c>
      <c r="F1901" s="0" t="s">
        <v>18402</v>
      </c>
      <c r="G1901" s="0" t="s">
        <v>18110</v>
      </c>
    </row>
    <row r="1902" customFormat="false" ht="15" hidden="false" customHeight="false" outlineLevel="0" collapsed="false">
      <c r="A1902" s="0" t="n">
        <v>3322</v>
      </c>
      <c r="B1902" s="0" t="n">
        <v>21930</v>
      </c>
      <c r="C1902" s="0" t="s">
        <v>13719</v>
      </c>
      <c r="D1902" s="0" t="s">
        <v>23</v>
      </c>
      <c r="F1902" s="0" t="s">
        <v>18403</v>
      </c>
      <c r="G1902" s="0" t="s">
        <v>18110</v>
      </c>
    </row>
    <row r="1903" customFormat="false" ht="15" hidden="false" customHeight="false" outlineLevel="0" collapsed="false">
      <c r="A1903" s="0" t="n">
        <v>3323</v>
      </c>
      <c r="B1903" s="0" t="n">
        <v>21931</v>
      </c>
      <c r="C1903" s="0" t="s">
        <v>584</v>
      </c>
      <c r="D1903" s="0" t="s">
        <v>23</v>
      </c>
      <c r="F1903" s="0" t="s">
        <v>18404</v>
      </c>
      <c r="G1903" s="0" t="s">
        <v>18110</v>
      </c>
    </row>
    <row r="1904" customFormat="false" ht="15" hidden="false" customHeight="false" outlineLevel="0" collapsed="false">
      <c r="A1904" s="0" t="n">
        <v>3324</v>
      </c>
      <c r="B1904" s="0" t="n">
        <v>21932</v>
      </c>
      <c r="C1904" s="0" t="s">
        <v>13724</v>
      </c>
      <c r="D1904" s="0" t="s">
        <v>23</v>
      </c>
      <c r="F1904" s="0" t="s">
        <v>18405</v>
      </c>
      <c r="G1904" s="0" t="s">
        <v>18110</v>
      </c>
    </row>
    <row r="1905" customFormat="false" ht="15" hidden="false" customHeight="false" outlineLevel="0" collapsed="false">
      <c r="A1905" s="0" t="n">
        <v>3325</v>
      </c>
      <c r="B1905" s="0" t="n">
        <v>21933</v>
      </c>
      <c r="C1905" s="0" t="s">
        <v>13727</v>
      </c>
      <c r="D1905" s="0" t="s">
        <v>23</v>
      </c>
      <c r="F1905" s="0" t="s">
        <v>18406</v>
      </c>
      <c r="G1905" s="0" t="s">
        <v>18110</v>
      </c>
    </row>
    <row r="1906" customFormat="false" ht="15" hidden="false" customHeight="false" outlineLevel="0" collapsed="false">
      <c r="A1906" s="0" t="n">
        <v>3326</v>
      </c>
      <c r="B1906" s="0" t="n">
        <v>21934</v>
      </c>
      <c r="C1906" s="0" t="s">
        <v>13730</v>
      </c>
      <c r="D1906" s="0" t="s">
        <v>23</v>
      </c>
      <c r="F1906" s="0" t="s">
        <v>18407</v>
      </c>
      <c r="G1906" s="0" t="s">
        <v>18110</v>
      </c>
    </row>
    <row r="1907" customFormat="false" ht="15" hidden="false" customHeight="false" outlineLevel="0" collapsed="false">
      <c r="A1907" s="0" t="n">
        <v>3327</v>
      </c>
      <c r="B1907" s="0" t="n">
        <v>21935</v>
      </c>
      <c r="C1907" s="0" t="s">
        <v>13733</v>
      </c>
      <c r="D1907" s="0" t="s">
        <v>23</v>
      </c>
      <c r="F1907" s="0" t="s">
        <v>18408</v>
      </c>
      <c r="G1907" s="0" t="s">
        <v>18110</v>
      </c>
    </row>
    <row r="1908" customFormat="false" ht="15" hidden="false" customHeight="false" outlineLevel="0" collapsed="false">
      <c r="A1908" s="0" t="n">
        <v>3328</v>
      </c>
      <c r="B1908" s="0" t="n">
        <v>21936</v>
      </c>
      <c r="C1908" s="0" t="s">
        <v>13736</v>
      </c>
      <c r="D1908" s="0" t="s">
        <v>23</v>
      </c>
      <c r="F1908" s="0" t="s">
        <v>18409</v>
      </c>
      <c r="G1908" s="0" t="s">
        <v>18110</v>
      </c>
    </row>
    <row r="1909" customFormat="false" ht="15" hidden="false" customHeight="false" outlineLevel="0" collapsed="false">
      <c r="A1909" s="0" t="n">
        <v>3330</v>
      </c>
      <c r="B1909" s="0" t="n">
        <v>21938</v>
      </c>
      <c r="C1909" s="0" t="s">
        <v>13742</v>
      </c>
      <c r="D1909" s="0" t="s">
        <v>23</v>
      </c>
      <c r="F1909" s="0" t="s">
        <v>18410</v>
      </c>
      <c r="G1909" s="0" t="s">
        <v>18110</v>
      </c>
    </row>
    <row r="1910" customFormat="false" ht="15" hidden="false" customHeight="false" outlineLevel="0" collapsed="false">
      <c r="A1910" s="0" t="n">
        <v>3331</v>
      </c>
      <c r="B1910" s="0" t="n">
        <v>21939</v>
      </c>
      <c r="C1910" s="0" t="s">
        <v>13745</v>
      </c>
      <c r="D1910" s="0" t="s">
        <v>23</v>
      </c>
      <c r="F1910" s="0" t="s">
        <v>18411</v>
      </c>
      <c r="G1910" s="0" t="s">
        <v>18110</v>
      </c>
    </row>
    <row r="1911" customFormat="false" ht="15" hidden="false" customHeight="false" outlineLevel="0" collapsed="false">
      <c r="A1911" s="0" t="n">
        <v>3332</v>
      </c>
      <c r="B1911" s="0" t="n">
        <v>21940</v>
      </c>
      <c r="C1911" s="0" t="s">
        <v>13748</v>
      </c>
      <c r="D1911" s="0" t="s">
        <v>23</v>
      </c>
      <c r="F1911" s="0" t="s">
        <v>18412</v>
      </c>
      <c r="G1911" s="0" t="s">
        <v>18110</v>
      </c>
    </row>
    <row r="1912" customFormat="false" ht="15" hidden="false" customHeight="false" outlineLevel="0" collapsed="false">
      <c r="A1912" s="0" t="n">
        <v>3334</v>
      </c>
      <c r="B1912" s="0" t="n">
        <v>21942</v>
      </c>
      <c r="C1912" s="0" t="s">
        <v>13754</v>
      </c>
      <c r="D1912" s="0" t="s">
        <v>23</v>
      </c>
      <c r="F1912" s="0" t="s">
        <v>18413</v>
      </c>
      <c r="G1912" s="0" t="s">
        <v>18110</v>
      </c>
    </row>
    <row r="1913" customFormat="false" ht="15" hidden="false" customHeight="false" outlineLevel="0" collapsed="false">
      <c r="A1913" s="0" t="n">
        <v>3335</v>
      </c>
      <c r="B1913" s="0" t="n">
        <v>21943</v>
      </c>
      <c r="C1913" s="0" t="s">
        <v>13757</v>
      </c>
      <c r="D1913" s="0" t="s">
        <v>23</v>
      </c>
      <c r="F1913" s="0" t="s">
        <v>18414</v>
      </c>
      <c r="G1913" s="0" t="s">
        <v>18110</v>
      </c>
    </row>
    <row r="1914" customFormat="false" ht="15" hidden="false" customHeight="false" outlineLevel="0" collapsed="false">
      <c r="A1914" s="0" t="n">
        <v>3336</v>
      </c>
      <c r="B1914" s="0" t="n">
        <v>21944</v>
      </c>
      <c r="C1914" s="0" t="s">
        <v>13762</v>
      </c>
      <c r="D1914" s="0" t="s">
        <v>23</v>
      </c>
      <c r="F1914" s="0" t="s">
        <v>18415</v>
      </c>
      <c r="G1914" s="0" t="s">
        <v>18110</v>
      </c>
    </row>
    <row r="1915" customFormat="false" ht="15" hidden="false" customHeight="false" outlineLevel="0" collapsed="false">
      <c r="A1915" s="0" t="n">
        <v>3337</v>
      </c>
      <c r="B1915" s="0" t="n">
        <v>21945</v>
      </c>
      <c r="C1915" s="0" t="s">
        <v>13766</v>
      </c>
      <c r="D1915" s="0" t="s">
        <v>23</v>
      </c>
      <c r="F1915" s="0" t="s">
        <v>18416</v>
      </c>
      <c r="G1915" s="0" t="s">
        <v>18110</v>
      </c>
    </row>
    <row r="1916" customFormat="false" ht="15" hidden="false" customHeight="false" outlineLevel="0" collapsed="false">
      <c r="A1916" s="0" t="n">
        <v>3338</v>
      </c>
      <c r="B1916" s="0" t="n">
        <v>21946</v>
      </c>
      <c r="C1916" s="0" t="s">
        <v>13769</v>
      </c>
      <c r="D1916" s="0" t="s">
        <v>23</v>
      </c>
      <c r="F1916" s="0" t="s">
        <v>18417</v>
      </c>
      <c r="G1916" s="0" t="s">
        <v>18110</v>
      </c>
    </row>
    <row r="1917" customFormat="false" ht="15" hidden="false" customHeight="false" outlineLevel="0" collapsed="false">
      <c r="A1917" s="0" t="n">
        <v>3339</v>
      </c>
      <c r="B1917" s="0" t="n">
        <v>21947</v>
      </c>
      <c r="C1917" s="0" t="s">
        <v>13772</v>
      </c>
      <c r="D1917" s="0" t="s">
        <v>23</v>
      </c>
      <c r="F1917" s="0" t="s">
        <v>18418</v>
      </c>
      <c r="G1917" s="0" t="s">
        <v>18110</v>
      </c>
    </row>
    <row r="1918" customFormat="false" ht="15" hidden="false" customHeight="false" outlineLevel="0" collapsed="false">
      <c r="A1918" s="0" t="n">
        <v>3349</v>
      </c>
      <c r="B1918" s="0" t="n">
        <v>21959</v>
      </c>
      <c r="C1918" s="0" t="s">
        <v>13808</v>
      </c>
      <c r="D1918" s="0" t="s">
        <v>23</v>
      </c>
      <c r="F1918" s="0" t="s">
        <v>18419</v>
      </c>
      <c r="G1918" s="0" t="s">
        <v>18110</v>
      </c>
    </row>
    <row r="1919" customFormat="false" ht="15" hidden="false" customHeight="false" outlineLevel="0" collapsed="false">
      <c r="A1919" s="0" t="n">
        <v>3356</v>
      </c>
      <c r="B1919" s="0" t="n">
        <v>21967</v>
      </c>
      <c r="C1919" s="0" t="s">
        <v>13830</v>
      </c>
      <c r="D1919" s="0" t="s">
        <v>23</v>
      </c>
      <c r="F1919" s="0" t="s">
        <v>18420</v>
      </c>
      <c r="G1919" s="0" t="s">
        <v>18110</v>
      </c>
    </row>
    <row r="1920" customFormat="false" ht="15" hidden="false" customHeight="false" outlineLevel="0" collapsed="false">
      <c r="A1920" s="0" t="n">
        <v>3380</v>
      </c>
      <c r="B1920" s="0" t="n">
        <v>21995</v>
      </c>
      <c r="C1920" s="0" t="s">
        <v>13916</v>
      </c>
      <c r="D1920" s="0" t="s">
        <v>23</v>
      </c>
      <c r="F1920" s="0" t="s">
        <v>18421</v>
      </c>
      <c r="G1920" s="0" t="s">
        <v>18110</v>
      </c>
    </row>
    <row r="1921" customFormat="false" ht="15" hidden="false" customHeight="false" outlineLevel="0" collapsed="false">
      <c r="A1921" s="0" t="n">
        <v>3381</v>
      </c>
      <c r="B1921" s="0" t="n">
        <v>21996</v>
      </c>
      <c r="C1921" s="0" t="s">
        <v>13919</v>
      </c>
      <c r="D1921" s="0" t="s">
        <v>23</v>
      </c>
      <c r="F1921" s="0" t="s">
        <v>18422</v>
      </c>
      <c r="G1921" s="0" t="s">
        <v>18110</v>
      </c>
    </row>
    <row r="1922" customFormat="false" ht="15" hidden="false" customHeight="false" outlineLevel="0" collapsed="false">
      <c r="A1922" s="0" t="n">
        <v>3382</v>
      </c>
      <c r="B1922" s="0" t="n">
        <v>21997</v>
      </c>
      <c r="C1922" s="0" t="s">
        <v>13922</v>
      </c>
      <c r="D1922" s="0" t="s">
        <v>23</v>
      </c>
      <c r="F1922" s="0" t="s">
        <v>18423</v>
      </c>
      <c r="G1922" s="0" t="s">
        <v>18110</v>
      </c>
    </row>
    <row r="1923" customFormat="false" ht="15" hidden="false" customHeight="false" outlineLevel="0" collapsed="false">
      <c r="A1923" s="0" t="n">
        <v>3383</v>
      </c>
      <c r="B1923" s="0" t="n">
        <v>21998</v>
      </c>
      <c r="C1923" s="0" t="s">
        <v>13924</v>
      </c>
      <c r="D1923" s="0" t="s">
        <v>23</v>
      </c>
      <c r="F1923" s="0" t="s">
        <v>18424</v>
      </c>
      <c r="G1923" s="0" t="s">
        <v>18110</v>
      </c>
    </row>
    <row r="1924" customFormat="false" ht="15" hidden="false" customHeight="false" outlineLevel="0" collapsed="false">
      <c r="A1924" s="0" t="n">
        <v>3384</v>
      </c>
      <c r="B1924" s="0" t="n">
        <v>21999</v>
      </c>
      <c r="C1924" s="0" t="s">
        <v>13927</v>
      </c>
      <c r="D1924" s="0" t="s">
        <v>23</v>
      </c>
      <c r="F1924" s="0" t="s">
        <v>18425</v>
      </c>
      <c r="G1924" s="0" t="s">
        <v>18110</v>
      </c>
    </row>
    <row r="1925" customFormat="false" ht="15" hidden="false" customHeight="false" outlineLevel="0" collapsed="false">
      <c r="A1925" s="0" t="n">
        <v>3385</v>
      </c>
      <c r="B1925" s="0" t="n">
        <v>22000</v>
      </c>
      <c r="C1925" s="0" t="s">
        <v>13930</v>
      </c>
      <c r="D1925" s="0" t="s">
        <v>23</v>
      </c>
      <c r="F1925" s="0" t="s">
        <v>18426</v>
      </c>
      <c r="G1925" s="0" t="s">
        <v>18110</v>
      </c>
    </row>
    <row r="1926" customFormat="false" ht="15" hidden="false" customHeight="false" outlineLevel="0" collapsed="false">
      <c r="A1926" s="0" t="n">
        <v>3386</v>
      </c>
      <c r="B1926" s="0" t="n">
        <v>22001</v>
      </c>
      <c r="C1926" s="0" t="s">
        <v>13933</v>
      </c>
      <c r="D1926" s="0" t="s">
        <v>23</v>
      </c>
      <c r="F1926" s="0" t="s">
        <v>18427</v>
      </c>
      <c r="G1926" s="0" t="s">
        <v>18110</v>
      </c>
    </row>
    <row r="1927" customFormat="false" ht="15" hidden="false" customHeight="false" outlineLevel="0" collapsed="false">
      <c r="A1927" s="0" t="n">
        <v>3387</v>
      </c>
      <c r="B1927" s="0" t="n">
        <v>22002</v>
      </c>
      <c r="C1927" s="0" t="s">
        <v>13936</v>
      </c>
      <c r="D1927" s="0" t="s">
        <v>23</v>
      </c>
      <c r="F1927" s="0" t="s">
        <v>18428</v>
      </c>
      <c r="G1927" s="0" t="s">
        <v>18110</v>
      </c>
    </row>
    <row r="1928" customFormat="false" ht="15" hidden="false" customHeight="false" outlineLevel="0" collapsed="false">
      <c r="A1928" s="0" t="n">
        <v>3388</v>
      </c>
      <c r="B1928" s="0" t="n">
        <v>22003</v>
      </c>
      <c r="C1928" s="0" t="s">
        <v>13939</v>
      </c>
      <c r="D1928" s="0" t="s">
        <v>23</v>
      </c>
      <c r="F1928" s="0" t="s">
        <v>18429</v>
      </c>
      <c r="G1928" s="0" t="s">
        <v>18110</v>
      </c>
    </row>
    <row r="1929" customFormat="false" ht="15" hidden="false" customHeight="false" outlineLevel="0" collapsed="false">
      <c r="A1929" s="0" t="n">
        <v>3389</v>
      </c>
      <c r="B1929" s="0" t="n">
        <v>22004</v>
      </c>
      <c r="C1929" s="0" t="s">
        <v>13942</v>
      </c>
      <c r="D1929" s="0" t="s">
        <v>23</v>
      </c>
      <c r="F1929" s="0" t="s">
        <v>18430</v>
      </c>
      <c r="G1929" s="0" t="s">
        <v>18110</v>
      </c>
    </row>
    <row r="1930" customFormat="false" ht="15" hidden="false" customHeight="false" outlineLevel="0" collapsed="false">
      <c r="A1930" s="0" t="n">
        <v>3390</v>
      </c>
      <c r="B1930" s="0" t="n">
        <v>22005</v>
      </c>
      <c r="C1930" s="0" t="s">
        <v>13946</v>
      </c>
      <c r="D1930" s="0" t="s">
        <v>23</v>
      </c>
      <c r="F1930" s="0" t="s">
        <v>18431</v>
      </c>
      <c r="G1930" s="0" t="s">
        <v>18110</v>
      </c>
    </row>
    <row r="1931" customFormat="false" ht="15" hidden="false" customHeight="false" outlineLevel="0" collapsed="false">
      <c r="A1931" s="0" t="n">
        <v>3391</v>
      </c>
      <c r="B1931" s="0" t="n">
        <v>22006</v>
      </c>
      <c r="C1931" s="0" t="s">
        <v>13949</v>
      </c>
      <c r="D1931" s="0" t="s">
        <v>23</v>
      </c>
      <c r="F1931" s="0" t="s">
        <v>18432</v>
      </c>
      <c r="G1931" s="0" t="s">
        <v>18110</v>
      </c>
    </row>
    <row r="1932" customFormat="false" ht="15" hidden="false" customHeight="false" outlineLevel="0" collapsed="false">
      <c r="A1932" s="0" t="n">
        <v>3392</v>
      </c>
      <c r="B1932" s="0" t="n">
        <v>22007</v>
      </c>
      <c r="C1932" s="0" t="s">
        <v>13953</v>
      </c>
      <c r="D1932" s="0" t="s">
        <v>23</v>
      </c>
      <c r="F1932" s="0" t="s">
        <v>18433</v>
      </c>
      <c r="G1932" s="0" t="s">
        <v>18110</v>
      </c>
    </row>
    <row r="1933" customFormat="false" ht="15" hidden="false" customHeight="false" outlineLevel="0" collapsed="false">
      <c r="A1933" s="0" t="n">
        <v>3393</v>
      </c>
      <c r="B1933" s="0" t="n">
        <v>22008</v>
      </c>
      <c r="C1933" s="0" t="s">
        <v>13956</v>
      </c>
      <c r="D1933" s="0" t="s">
        <v>23</v>
      </c>
      <c r="F1933" s="0" t="s">
        <v>18434</v>
      </c>
      <c r="G1933" s="0" t="s">
        <v>18110</v>
      </c>
    </row>
    <row r="1934" customFormat="false" ht="15" hidden="false" customHeight="false" outlineLevel="0" collapsed="false">
      <c r="A1934" s="0" t="n">
        <v>3394</v>
      </c>
      <c r="B1934" s="0" t="n">
        <v>22009</v>
      </c>
      <c r="C1934" s="0" t="s">
        <v>13959</v>
      </c>
      <c r="D1934" s="0" t="s">
        <v>23</v>
      </c>
      <c r="F1934" s="0" t="s">
        <v>18435</v>
      </c>
      <c r="G1934" s="0" t="s">
        <v>18110</v>
      </c>
    </row>
    <row r="1935" customFormat="false" ht="15" hidden="false" customHeight="false" outlineLevel="0" collapsed="false">
      <c r="A1935" s="0" t="n">
        <v>3395</v>
      </c>
      <c r="B1935" s="0" t="n">
        <v>22010</v>
      </c>
      <c r="C1935" s="0" t="s">
        <v>13963</v>
      </c>
      <c r="D1935" s="0" t="s">
        <v>23</v>
      </c>
      <c r="F1935" s="0" t="s">
        <v>18436</v>
      </c>
      <c r="G1935" s="0" t="s">
        <v>18110</v>
      </c>
    </row>
    <row r="1936" customFormat="false" ht="15" hidden="false" customHeight="false" outlineLevel="0" collapsed="false">
      <c r="A1936" s="0" t="n">
        <v>3396</v>
      </c>
      <c r="B1936" s="0" t="n">
        <v>22011</v>
      </c>
      <c r="C1936" s="0" t="s">
        <v>13965</v>
      </c>
      <c r="D1936" s="0" t="s">
        <v>23</v>
      </c>
      <c r="F1936" s="0" t="s">
        <v>18437</v>
      </c>
      <c r="G1936" s="0" t="s">
        <v>18110</v>
      </c>
    </row>
    <row r="1937" customFormat="false" ht="15" hidden="false" customHeight="false" outlineLevel="0" collapsed="false">
      <c r="A1937" s="0" t="n">
        <v>3397</v>
      </c>
      <c r="B1937" s="0" t="n">
        <v>22012</v>
      </c>
      <c r="C1937" s="0" t="s">
        <v>13968</v>
      </c>
      <c r="D1937" s="0" t="s">
        <v>23</v>
      </c>
      <c r="F1937" s="0" t="s">
        <v>18438</v>
      </c>
      <c r="G1937" s="0" t="s">
        <v>18110</v>
      </c>
    </row>
    <row r="1938" customFormat="false" ht="15" hidden="false" customHeight="false" outlineLevel="0" collapsed="false">
      <c r="A1938" s="0" t="n">
        <v>3398</v>
      </c>
      <c r="B1938" s="0" t="n">
        <v>22013</v>
      </c>
      <c r="C1938" s="0" t="s">
        <v>13971</v>
      </c>
      <c r="D1938" s="0" t="s">
        <v>23</v>
      </c>
      <c r="F1938" s="0" t="s">
        <v>18439</v>
      </c>
      <c r="G1938" s="0" t="s">
        <v>18110</v>
      </c>
    </row>
    <row r="1939" customFormat="false" ht="15" hidden="false" customHeight="false" outlineLevel="0" collapsed="false">
      <c r="A1939" s="0" t="n">
        <v>3399</v>
      </c>
      <c r="B1939" s="0" t="n">
        <v>22014</v>
      </c>
      <c r="C1939" s="0" t="s">
        <v>13974</v>
      </c>
      <c r="D1939" s="0" t="s">
        <v>23</v>
      </c>
      <c r="F1939" s="0" t="s">
        <v>18440</v>
      </c>
      <c r="G1939" s="0" t="s">
        <v>18110</v>
      </c>
    </row>
    <row r="1940" customFormat="false" ht="15" hidden="false" customHeight="false" outlineLevel="0" collapsed="false">
      <c r="A1940" s="0" t="n">
        <v>3402</v>
      </c>
      <c r="B1940" s="0" t="n">
        <v>22018</v>
      </c>
      <c r="C1940" s="0" t="s">
        <v>13984</v>
      </c>
      <c r="D1940" s="0" t="s">
        <v>23</v>
      </c>
      <c r="F1940" s="0" t="s">
        <v>18441</v>
      </c>
      <c r="G1940" s="0" t="s">
        <v>18110</v>
      </c>
    </row>
    <row r="1941" customFormat="false" ht="15" hidden="false" customHeight="false" outlineLevel="0" collapsed="false">
      <c r="A1941" s="0" t="n">
        <v>3404</v>
      </c>
      <c r="B1941" s="0" t="n">
        <v>22020</v>
      </c>
      <c r="C1941" s="0" t="s">
        <v>13990</v>
      </c>
      <c r="D1941" s="0" t="s">
        <v>23</v>
      </c>
      <c r="F1941" s="0" t="s">
        <v>18442</v>
      </c>
      <c r="G1941" s="0" t="s">
        <v>18110</v>
      </c>
    </row>
    <row r="1942" customFormat="false" ht="15" hidden="false" customHeight="false" outlineLevel="0" collapsed="false">
      <c r="A1942" s="0" t="n">
        <v>3407</v>
      </c>
      <c r="B1942" s="0" t="n">
        <v>22056</v>
      </c>
      <c r="C1942" s="0" t="s">
        <v>14004</v>
      </c>
      <c r="D1942" s="0" t="s">
        <v>23</v>
      </c>
      <c r="F1942" s="0" t="s">
        <v>18443</v>
      </c>
      <c r="G1942" s="0" t="s">
        <v>18110</v>
      </c>
    </row>
    <row r="1943" customFormat="false" ht="15" hidden="false" customHeight="false" outlineLevel="0" collapsed="false">
      <c r="A1943" s="0" t="n">
        <v>3410</v>
      </c>
      <c r="B1943" s="0" t="n">
        <v>22025</v>
      </c>
      <c r="C1943" s="0" t="s">
        <v>14014</v>
      </c>
      <c r="D1943" s="0" t="s">
        <v>23</v>
      </c>
      <c r="F1943" s="0" t="s">
        <v>18444</v>
      </c>
      <c r="G1943" s="0" t="s">
        <v>18110</v>
      </c>
    </row>
    <row r="1944" customFormat="false" ht="15" hidden="false" customHeight="false" outlineLevel="0" collapsed="false">
      <c r="A1944" s="0" t="n">
        <v>3418</v>
      </c>
      <c r="B1944" s="0" t="n">
        <v>22033</v>
      </c>
      <c r="C1944" s="0" t="s">
        <v>14035</v>
      </c>
      <c r="D1944" s="0" t="s">
        <v>23</v>
      </c>
      <c r="F1944" s="0" t="s">
        <v>18445</v>
      </c>
      <c r="G1944" s="0" t="s">
        <v>18110</v>
      </c>
    </row>
    <row r="1945" customFormat="false" ht="15" hidden="false" customHeight="false" outlineLevel="0" collapsed="false">
      <c r="A1945" s="0" t="n">
        <v>3419</v>
      </c>
      <c r="B1945" s="0" t="n">
        <v>22034</v>
      </c>
      <c r="C1945" s="0" t="s">
        <v>14038</v>
      </c>
      <c r="D1945" s="0" t="s">
        <v>23</v>
      </c>
      <c r="F1945" s="0" t="s">
        <v>18446</v>
      </c>
      <c r="G1945" s="0" t="s">
        <v>18110</v>
      </c>
    </row>
    <row r="1946" customFormat="false" ht="15" hidden="false" customHeight="false" outlineLevel="0" collapsed="false">
      <c r="A1946" s="0" t="n">
        <v>3420</v>
      </c>
      <c r="B1946" s="0" t="n">
        <v>22035</v>
      </c>
      <c r="C1946" s="0" t="s">
        <v>14041</v>
      </c>
      <c r="D1946" s="0" t="s">
        <v>23</v>
      </c>
      <c r="F1946" s="0" t="s">
        <v>18447</v>
      </c>
      <c r="G1946" s="0" t="s">
        <v>18110</v>
      </c>
    </row>
    <row r="1947" customFormat="false" ht="15" hidden="false" customHeight="false" outlineLevel="0" collapsed="false">
      <c r="A1947" s="0" t="n">
        <v>3421</v>
      </c>
      <c r="B1947" s="0" t="n">
        <v>22036</v>
      </c>
      <c r="C1947" s="0" t="s">
        <v>14043</v>
      </c>
      <c r="D1947" s="0" t="s">
        <v>23</v>
      </c>
      <c r="F1947" s="0" t="s">
        <v>18448</v>
      </c>
      <c r="G1947" s="0" t="s">
        <v>18110</v>
      </c>
    </row>
    <row r="1948" customFormat="false" ht="15" hidden="false" customHeight="false" outlineLevel="0" collapsed="false">
      <c r="A1948" s="0" t="n">
        <v>3422</v>
      </c>
      <c r="B1948" s="0" t="n">
        <v>22037</v>
      </c>
      <c r="C1948" s="0" t="s">
        <v>14046</v>
      </c>
      <c r="D1948" s="0" t="s">
        <v>23</v>
      </c>
      <c r="F1948" s="0" t="s">
        <v>18449</v>
      </c>
      <c r="G1948" s="0" t="s">
        <v>18110</v>
      </c>
    </row>
    <row r="1949" customFormat="false" ht="15" hidden="false" customHeight="false" outlineLevel="0" collapsed="false">
      <c r="A1949" s="0" t="n">
        <v>3423</v>
      </c>
      <c r="B1949" s="0" t="n">
        <v>22038</v>
      </c>
      <c r="C1949" s="0" t="s">
        <v>14049</v>
      </c>
      <c r="D1949" s="0" t="s">
        <v>23</v>
      </c>
      <c r="F1949" s="0" t="s">
        <v>18450</v>
      </c>
      <c r="G1949" s="0" t="s">
        <v>18110</v>
      </c>
    </row>
    <row r="1950" customFormat="false" ht="15" hidden="false" customHeight="false" outlineLevel="0" collapsed="false">
      <c r="A1950" s="0" t="n">
        <v>3424</v>
      </c>
      <c r="B1950" s="0" t="n">
        <v>22039</v>
      </c>
      <c r="C1950" s="0" t="s">
        <v>14052</v>
      </c>
      <c r="D1950" s="0" t="s">
        <v>23</v>
      </c>
      <c r="F1950" s="0" t="s">
        <v>18451</v>
      </c>
      <c r="G1950" s="0" t="s">
        <v>18110</v>
      </c>
    </row>
    <row r="1951" customFormat="false" ht="15" hidden="false" customHeight="false" outlineLevel="0" collapsed="false">
      <c r="A1951" s="0" t="n">
        <v>3426</v>
      </c>
      <c r="B1951" s="0" t="n">
        <v>22041</v>
      </c>
      <c r="C1951" s="0" t="s">
        <v>14058</v>
      </c>
      <c r="D1951" s="0" t="s">
        <v>23</v>
      </c>
      <c r="F1951" s="0" t="s">
        <v>18452</v>
      </c>
      <c r="G1951" s="0" t="s">
        <v>18110</v>
      </c>
    </row>
    <row r="1952" customFormat="false" ht="15" hidden="false" customHeight="false" outlineLevel="0" collapsed="false">
      <c r="A1952" s="0" t="n">
        <v>3427</v>
      </c>
      <c r="B1952" s="0" t="n">
        <v>22042</v>
      </c>
      <c r="C1952" s="0" t="s">
        <v>14061</v>
      </c>
      <c r="D1952" s="0" t="s">
        <v>23</v>
      </c>
      <c r="F1952" s="0" t="s">
        <v>18453</v>
      </c>
      <c r="G1952" s="0" t="s">
        <v>18110</v>
      </c>
    </row>
    <row r="1953" customFormat="false" ht="15" hidden="false" customHeight="false" outlineLevel="0" collapsed="false">
      <c r="A1953" s="0" t="n">
        <v>3428</v>
      </c>
      <c r="B1953" s="0" t="n">
        <v>22043</v>
      </c>
      <c r="C1953" s="0" t="s">
        <v>14064</v>
      </c>
      <c r="D1953" s="0" t="s">
        <v>23</v>
      </c>
      <c r="F1953" s="0" t="s">
        <v>18454</v>
      </c>
      <c r="G1953" s="0" t="s">
        <v>18110</v>
      </c>
    </row>
    <row r="1954" customFormat="false" ht="15" hidden="false" customHeight="false" outlineLevel="0" collapsed="false">
      <c r="A1954" s="0" t="n">
        <v>3429</v>
      </c>
      <c r="B1954" s="0" t="n">
        <v>22044</v>
      </c>
      <c r="C1954" s="0" t="s">
        <v>14067</v>
      </c>
      <c r="D1954" s="0" t="s">
        <v>23</v>
      </c>
      <c r="F1954" s="0" t="s">
        <v>18455</v>
      </c>
      <c r="G1954" s="0" t="s">
        <v>18110</v>
      </c>
    </row>
    <row r="1955" customFormat="false" ht="15" hidden="false" customHeight="false" outlineLevel="0" collapsed="false">
      <c r="A1955" s="0" t="n">
        <v>3430</v>
      </c>
      <c r="B1955" s="0" t="n">
        <v>22045</v>
      </c>
      <c r="C1955" s="0" t="s">
        <v>14070</v>
      </c>
      <c r="D1955" s="0" t="s">
        <v>23</v>
      </c>
      <c r="F1955" s="0" t="s">
        <v>18456</v>
      </c>
      <c r="G1955" s="0" t="s">
        <v>18110</v>
      </c>
    </row>
    <row r="1956" customFormat="false" ht="15" hidden="false" customHeight="false" outlineLevel="0" collapsed="false">
      <c r="A1956" s="0" t="n">
        <v>3433</v>
      </c>
      <c r="B1956" s="0" t="n">
        <v>22048</v>
      </c>
      <c r="C1956" s="0" t="s">
        <v>14080</v>
      </c>
      <c r="D1956" s="0" t="s">
        <v>23</v>
      </c>
      <c r="F1956" s="0" t="s">
        <v>18457</v>
      </c>
      <c r="G1956" s="0" t="s">
        <v>18110</v>
      </c>
    </row>
    <row r="1957" customFormat="false" ht="15" hidden="false" customHeight="false" outlineLevel="0" collapsed="false">
      <c r="A1957" s="0" t="n">
        <v>3434</v>
      </c>
      <c r="B1957" s="0" t="n">
        <v>22049</v>
      </c>
      <c r="C1957" s="0" t="s">
        <v>14083</v>
      </c>
      <c r="D1957" s="0" t="s">
        <v>23</v>
      </c>
      <c r="F1957" s="0" t="s">
        <v>18458</v>
      </c>
      <c r="G1957" s="0" t="s">
        <v>18110</v>
      </c>
    </row>
    <row r="1958" customFormat="false" ht="15" hidden="false" customHeight="false" outlineLevel="0" collapsed="false">
      <c r="A1958" s="0" t="n">
        <v>3435</v>
      </c>
      <c r="B1958" s="0" t="n">
        <v>22050</v>
      </c>
      <c r="C1958" s="0" t="s">
        <v>9542</v>
      </c>
      <c r="D1958" s="0" t="s">
        <v>23</v>
      </c>
      <c r="F1958" s="0" t="s">
        <v>18459</v>
      </c>
      <c r="G1958" s="0" t="s">
        <v>18110</v>
      </c>
    </row>
    <row r="1959" customFormat="false" ht="15" hidden="false" customHeight="false" outlineLevel="0" collapsed="false">
      <c r="A1959" s="0" t="n">
        <v>3437</v>
      </c>
      <c r="B1959" s="0" t="n">
        <v>22052</v>
      </c>
      <c r="C1959" s="0" t="s">
        <v>14092</v>
      </c>
      <c r="D1959" s="0" t="s">
        <v>23</v>
      </c>
      <c r="F1959" s="0" t="s">
        <v>18460</v>
      </c>
      <c r="G1959" s="0" t="s">
        <v>18110</v>
      </c>
    </row>
    <row r="1960" customFormat="false" ht="15" hidden="false" customHeight="false" outlineLevel="0" collapsed="false">
      <c r="A1960" s="0" t="n">
        <v>3438</v>
      </c>
      <c r="B1960" s="0" t="n">
        <v>22053</v>
      </c>
      <c r="C1960" s="0" t="s">
        <v>14095</v>
      </c>
      <c r="D1960" s="0" t="s">
        <v>23</v>
      </c>
      <c r="F1960" s="0" t="s">
        <v>18461</v>
      </c>
      <c r="G1960" s="0" t="s">
        <v>18110</v>
      </c>
    </row>
    <row r="1961" customFormat="false" ht="15" hidden="false" customHeight="false" outlineLevel="0" collapsed="false">
      <c r="A1961" s="0" t="n">
        <v>3439</v>
      </c>
      <c r="B1961" s="0" t="n">
        <v>22054</v>
      </c>
      <c r="C1961" s="0" t="s">
        <v>14098</v>
      </c>
      <c r="D1961" s="0" t="s">
        <v>23</v>
      </c>
      <c r="F1961" s="0" t="s">
        <v>18462</v>
      </c>
      <c r="G1961" s="0" t="s">
        <v>18110</v>
      </c>
    </row>
    <row r="1962" customFormat="false" ht="15" hidden="false" customHeight="false" outlineLevel="0" collapsed="false">
      <c r="A1962" s="0" t="n">
        <v>3440</v>
      </c>
      <c r="B1962" s="0" t="n">
        <v>22055</v>
      </c>
      <c r="C1962" s="0" t="s">
        <v>14101</v>
      </c>
      <c r="D1962" s="0" t="s">
        <v>23</v>
      </c>
      <c r="F1962" s="0" t="s">
        <v>18463</v>
      </c>
      <c r="G1962" s="0" t="s">
        <v>18110</v>
      </c>
    </row>
    <row r="1963" customFormat="false" ht="15" hidden="false" customHeight="false" outlineLevel="0" collapsed="false">
      <c r="A1963" s="0" t="n">
        <v>3447</v>
      </c>
      <c r="B1963" s="0" t="n">
        <v>22063</v>
      </c>
      <c r="C1963" s="0" t="s">
        <v>14126</v>
      </c>
      <c r="D1963" s="0" t="s">
        <v>23</v>
      </c>
      <c r="F1963" s="0" t="s">
        <v>18464</v>
      </c>
      <c r="G1963" s="0" t="s">
        <v>18110</v>
      </c>
    </row>
    <row r="1964" customFormat="false" ht="15" hidden="false" customHeight="false" outlineLevel="0" collapsed="false">
      <c r="A1964" s="0" t="n">
        <v>3448</v>
      </c>
      <c r="B1964" s="0" t="n">
        <v>22064</v>
      </c>
      <c r="C1964" s="0" t="s">
        <v>14130</v>
      </c>
      <c r="D1964" s="0" t="s">
        <v>23</v>
      </c>
      <c r="F1964" s="0" t="s">
        <v>18465</v>
      </c>
      <c r="G1964" s="0" t="s">
        <v>18110</v>
      </c>
    </row>
    <row r="1965" customFormat="false" ht="15" hidden="false" customHeight="false" outlineLevel="0" collapsed="false">
      <c r="A1965" s="0" t="n">
        <v>3449</v>
      </c>
      <c r="B1965" s="0" t="n">
        <v>22065</v>
      </c>
      <c r="C1965" s="0" t="s">
        <v>14133</v>
      </c>
      <c r="D1965" s="0" t="s">
        <v>23</v>
      </c>
      <c r="F1965" s="0" t="s">
        <v>18466</v>
      </c>
      <c r="G1965" s="0" t="s">
        <v>18110</v>
      </c>
    </row>
    <row r="1966" customFormat="false" ht="15" hidden="false" customHeight="false" outlineLevel="0" collapsed="false">
      <c r="A1966" s="0" t="n">
        <v>3450</v>
      </c>
      <c r="B1966" s="0" t="n">
        <v>22066</v>
      </c>
      <c r="C1966" s="0" t="s">
        <v>14136</v>
      </c>
      <c r="D1966" s="0" t="s">
        <v>23</v>
      </c>
      <c r="F1966" s="0" t="s">
        <v>18467</v>
      </c>
      <c r="G1966" s="0" t="s">
        <v>18110</v>
      </c>
    </row>
    <row r="1967" customFormat="false" ht="15" hidden="false" customHeight="false" outlineLevel="0" collapsed="false">
      <c r="A1967" s="0" t="n">
        <v>3451</v>
      </c>
      <c r="B1967" s="0" t="n">
        <v>22067</v>
      </c>
      <c r="C1967" s="0" t="s">
        <v>14139</v>
      </c>
      <c r="D1967" s="0" t="s">
        <v>23</v>
      </c>
      <c r="F1967" s="0" t="s">
        <v>18468</v>
      </c>
      <c r="G1967" s="0" t="s">
        <v>18110</v>
      </c>
    </row>
    <row r="1968" customFormat="false" ht="15" hidden="false" customHeight="false" outlineLevel="0" collapsed="false">
      <c r="A1968" s="0" t="n">
        <v>3452</v>
      </c>
      <c r="B1968" s="0" t="n">
        <v>22068</v>
      </c>
      <c r="C1968" s="0" t="s">
        <v>14142</v>
      </c>
      <c r="D1968" s="0" t="s">
        <v>23</v>
      </c>
      <c r="F1968" s="0" t="s">
        <v>18469</v>
      </c>
      <c r="G1968" s="0" t="s">
        <v>18110</v>
      </c>
    </row>
    <row r="1969" customFormat="false" ht="15" hidden="false" customHeight="false" outlineLevel="0" collapsed="false">
      <c r="A1969" s="0" t="n">
        <v>3453</v>
      </c>
      <c r="B1969" s="0" t="n">
        <v>22069</v>
      </c>
      <c r="C1969" s="0" t="s">
        <v>14145</v>
      </c>
      <c r="D1969" s="0" t="s">
        <v>23</v>
      </c>
      <c r="F1969" s="0" t="s">
        <v>18470</v>
      </c>
      <c r="G1969" s="0" t="s">
        <v>18110</v>
      </c>
    </row>
    <row r="1970" customFormat="false" ht="15" hidden="false" customHeight="false" outlineLevel="0" collapsed="false">
      <c r="A1970" s="0" t="n">
        <v>3454</v>
      </c>
      <c r="B1970" s="0" t="n">
        <v>22070</v>
      </c>
      <c r="C1970" s="0" t="s">
        <v>14148</v>
      </c>
      <c r="D1970" s="0" t="s">
        <v>23</v>
      </c>
      <c r="F1970" s="0" t="s">
        <v>18471</v>
      </c>
      <c r="G1970" s="0" t="s">
        <v>18110</v>
      </c>
    </row>
    <row r="1971" customFormat="false" ht="15" hidden="false" customHeight="false" outlineLevel="0" collapsed="false">
      <c r="A1971" s="0" t="n">
        <v>3455</v>
      </c>
      <c r="B1971" s="0" t="n">
        <v>22071</v>
      </c>
      <c r="C1971" s="0" t="s">
        <v>14150</v>
      </c>
      <c r="D1971" s="0" t="s">
        <v>23</v>
      </c>
      <c r="F1971" s="0" t="s">
        <v>18472</v>
      </c>
      <c r="G1971" s="0" t="s">
        <v>18110</v>
      </c>
    </row>
    <row r="1972" customFormat="false" ht="15" hidden="false" customHeight="false" outlineLevel="0" collapsed="false">
      <c r="A1972" s="0" t="n">
        <v>3456</v>
      </c>
      <c r="B1972" s="0" t="n">
        <v>22072</v>
      </c>
      <c r="C1972" s="0" t="s">
        <v>14154</v>
      </c>
      <c r="D1972" s="0" t="s">
        <v>23</v>
      </c>
      <c r="F1972" s="0" t="s">
        <v>18473</v>
      </c>
      <c r="G1972" s="0" t="s">
        <v>18110</v>
      </c>
    </row>
    <row r="1973" customFormat="false" ht="15" hidden="false" customHeight="false" outlineLevel="0" collapsed="false">
      <c r="A1973" s="0" t="n">
        <v>3457</v>
      </c>
      <c r="B1973" s="0" t="n">
        <v>22073</v>
      </c>
      <c r="C1973" s="0" t="s">
        <v>14158</v>
      </c>
      <c r="D1973" s="0" t="s">
        <v>23</v>
      </c>
      <c r="F1973" s="0" t="s">
        <v>18474</v>
      </c>
      <c r="G1973" s="0" t="s">
        <v>18110</v>
      </c>
    </row>
    <row r="1974" customFormat="false" ht="15" hidden="false" customHeight="false" outlineLevel="0" collapsed="false">
      <c r="A1974" s="0" t="n">
        <v>3461</v>
      </c>
      <c r="B1974" s="0" t="n">
        <v>22077</v>
      </c>
      <c r="C1974" s="0" t="s">
        <v>14175</v>
      </c>
      <c r="D1974" s="0" t="s">
        <v>23</v>
      </c>
      <c r="F1974" s="0" t="s">
        <v>18475</v>
      </c>
      <c r="G1974" s="0" t="s">
        <v>18110</v>
      </c>
    </row>
    <row r="1975" customFormat="false" ht="15" hidden="false" customHeight="false" outlineLevel="0" collapsed="false">
      <c r="A1975" s="0" t="n">
        <v>3462</v>
      </c>
      <c r="B1975" s="0" t="n">
        <v>22078</v>
      </c>
      <c r="C1975" s="0" t="s">
        <v>14178</v>
      </c>
      <c r="D1975" s="0" t="s">
        <v>23</v>
      </c>
      <c r="F1975" s="0" t="s">
        <v>18476</v>
      </c>
      <c r="G1975" s="0" t="s">
        <v>18110</v>
      </c>
    </row>
    <row r="1976" customFormat="false" ht="15" hidden="false" customHeight="false" outlineLevel="0" collapsed="false">
      <c r="A1976" s="0" t="n">
        <v>3463</v>
      </c>
      <c r="B1976" s="0" t="n">
        <v>22079</v>
      </c>
      <c r="C1976" s="0" t="s">
        <v>14181</v>
      </c>
      <c r="D1976" s="0" t="s">
        <v>23</v>
      </c>
      <c r="F1976" s="0" t="s">
        <v>18477</v>
      </c>
      <c r="G1976" s="0" t="s">
        <v>18110</v>
      </c>
    </row>
    <row r="1977" customFormat="false" ht="15" hidden="false" customHeight="false" outlineLevel="0" collapsed="false">
      <c r="A1977" s="0" t="n">
        <v>3464</v>
      </c>
      <c r="B1977" s="0" t="n">
        <v>22080</v>
      </c>
      <c r="C1977" s="0" t="s">
        <v>14184</v>
      </c>
      <c r="D1977" s="0" t="s">
        <v>23</v>
      </c>
      <c r="F1977" s="0" t="s">
        <v>18478</v>
      </c>
      <c r="G1977" s="0" t="s">
        <v>18110</v>
      </c>
    </row>
    <row r="1978" customFormat="false" ht="15" hidden="false" customHeight="false" outlineLevel="0" collapsed="false">
      <c r="A1978" s="0" t="n">
        <v>3465</v>
      </c>
      <c r="B1978" s="0" t="n">
        <v>22081</v>
      </c>
      <c r="C1978" s="0" t="s">
        <v>14188</v>
      </c>
      <c r="D1978" s="0" t="s">
        <v>23</v>
      </c>
      <c r="F1978" s="0" t="s">
        <v>18479</v>
      </c>
      <c r="G1978" s="0" t="s">
        <v>18110</v>
      </c>
    </row>
    <row r="1979" customFormat="false" ht="15" hidden="false" customHeight="false" outlineLevel="0" collapsed="false">
      <c r="A1979" s="0" t="n">
        <v>3468</v>
      </c>
      <c r="B1979" s="0" t="n">
        <v>22084</v>
      </c>
      <c r="C1979" s="0" t="s">
        <v>14197</v>
      </c>
      <c r="D1979" s="0" t="s">
        <v>23</v>
      </c>
      <c r="F1979" s="0" t="s">
        <v>18480</v>
      </c>
      <c r="G1979" s="0" t="s">
        <v>18110</v>
      </c>
    </row>
    <row r="1980" customFormat="false" ht="15" hidden="false" customHeight="false" outlineLevel="0" collapsed="false">
      <c r="A1980" s="0" t="n">
        <v>3469</v>
      </c>
      <c r="B1980" s="0" t="n">
        <v>22085</v>
      </c>
      <c r="C1980" s="0" t="s">
        <v>14200</v>
      </c>
      <c r="D1980" s="0" t="s">
        <v>23</v>
      </c>
      <c r="F1980" s="0" t="s">
        <v>18481</v>
      </c>
      <c r="G1980" s="0" t="s">
        <v>18110</v>
      </c>
    </row>
    <row r="1981" customFormat="false" ht="15" hidden="false" customHeight="false" outlineLevel="0" collapsed="false">
      <c r="A1981" s="0" t="n">
        <v>3470</v>
      </c>
      <c r="B1981" s="0" t="n">
        <v>22086</v>
      </c>
      <c r="C1981" s="0" t="s">
        <v>14204</v>
      </c>
      <c r="D1981" s="0" t="s">
        <v>23</v>
      </c>
      <c r="F1981" s="0" t="s">
        <v>18482</v>
      </c>
      <c r="G1981" s="0" t="s">
        <v>18110</v>
      </c>
    </row>
    <row r="1982" customFormat="false" ht="15" hidden="false" customHeight="false" outlineLevel="0" collapsed="false">
      <c r="A1982" s="0" t="n">
        <v>3472</v>
      </c>
      <c r="B1982" s="0" t="n">
        <v>22088</v>
      </c>
      <c r="C1982" s="0" t="s">
        <v>14210</v>
      </c>
      <c r="D1982" s="0" t="s">
        <v>23</v>
      </c>
      <c r="F1982" s="0" t="s">
        <v>18483</v>
      </c>
      <c r="G1982" s="0" t="s">
        <v>18110</v>
      </c>
    </row>
    <row r="1983" customFormat="false" ht="15" hidden="false" customHeight="false" outlineLevel="0" collapsed="false">
      <c r="A1983" s="0" t="n">
        <v>3473</v>
      </c>
      <c r="B1983" s="0" t="n">
        <v>22089</v>
      </c>
      <c r="C1983" s="0" t="s">
        <v>14213</v>
      </c>
      <c r="D1983" s="0" t="s">
        <v>23</v>
      </c>
      <c r="F1983" s="0" t="s">
        <v>18484</v>
      </c>
      <c r="G1983" s="0" t="s">
        <v>18110</v>
      </c>
    </row>
    <row r="1984" customFormat="false" ht="15" hidden="false" customHeight="false" outlineLevel="0" collapsed="false">
      <c r="A1984" s="0" t="n">
        <v>3474</v>
      </c>
      <c r="B1984" s="0" t="n">
        <v>22090</v>
      </c>
      <c r="C1984" s="0" t="s">
        <v>14216</v>
      </c>
      <c r="D1984" s="0" t="s">
        <v>23</v>
      </c>
      <c r="F1984" s="0" t="s">
        <v>18485</v>
      </c>
      <c r="G1984" s="0" t="s">
        <v>18110</v>
      </c>
    </row>
    <row r="1985" customFormat="false" ht="15" hidden="false" customHeight="false" outlineLevel="0" collapsed="false">
      <c r="A1985" s="0" t="n">
        <v>3475</v>
      </c>
      <c r="B1985" s="0" t="n">
        <v>22091</v>
      </c>
      <c r="C1985" s="0" t="s">
        <v>14219</v>
      </c>
      <c r="D1985" s="0" t="s">
        <v>23</v>
      </c>
      <c r="F1985" s="0" t="s">
        <v>18486</v>
      </c>
      <c r="G1985" s="0" t="s">
        <v>18110</v>
      </c>
    </row>
    <row r="1986" customFormat="false" ht="15" hidden="false" customHeight="false" outlineLevel="0" collapsed="false">
      <c r="A1986" s="0" t="n">
        <v>3482</v>
      </c>
      <c r="B1986" s="0" t="n">
        <v>22100</v>
      </c>
      <c r="C1986" s="0" t="s">
        <v>14241</v>
      </c>
      <c r="D1986" s="0" t="s">
        <v>23</v>
      </c>
      <c r="F1986" s="0" t="s">
        <v>18487</v>
      </c>
      <c r="G1986" s="0" t="s">
        <v>18110</v>
      </c>
    </row>
    <row r="1987" customFormat="false" ht="15" hidden="false" customHeight="false" outlineLevel="0" collapsed="false">
      <c r="A1987" s="0" t="n">
        <v>3483</v>
      </c>
      <c r="B1987" s="0" t="n">
        <v>22101</v>
      </c>
      <c r="C1987" s="0" t="s">
        <v>14244</v>
      </c>
      <c r="D1987" s="0" t="s">
        <v>23</v>
      </c>
      <c r="F1987" s="0" t="s">
        <v>18488</v>
      </c>
      <c r="G1987" s="0" t="s">
        <v>18110</v>
      </c>
    </row>
    <row r="1988" customFormat="false" ht="15" hidden="false" customHeight="false" outlineLevel="0" collapsed="false">
      <c r="A1988" s="0" t="n">
        <v>3484</v>
      </c>
      <c r="B1988" s="0" t="n">
        <v>22102</v>
      </c>
      <c r="C1988" s="0" t="s">
        <v>14247</v>
      </c>
      <c r="D1988" s="0" t="s">
        <v>23</v>
      </c>
      <c r="F1988" s="0" t="s">
        <v>18489</v>
      </c>
      <c r="G1988" s="0" t="s">
        <v>18110</v>
      </c>
    </row>
    <row r="1989" customFormat="false" ht="15" hidden="false" customHeight="false" outlineLevel="0" collapsed="false">
      <c r="A1989" s="0" t="n">
        <v>3487</v>
      </c>
      <c r="B1989" s="0" t="n">
        <v>22105</v>
      </c>
      <c r="C1989" s="0" t="s">
        <v>14258</v>
      </c>
      <c r="D1989" s="0" t="s">
        <v>23</v>
      </c>
      <c r="F1989" s="0" t="s">
        <v>18490</v>
      </c>
      <c r="G1989" s="0" t="s">
        <v>18110</v>
      </c>
    </row>
    <row r="1990" customFormat="false" ht="15" hidden="false" customHeight="false" outlineLevel="0" collapsed="false">
      <c r="A1990" s="0" t="n">
        <v>3488</v>
      </c>
      <c r="B1990" s="0" t="n">
        <v>22106</v>
      </c>
      <c r="C1990" s="0" t="s">
        <v>14261</v>
      </c>
      <c r="D1990" s="0" t="s">
        <v>23</v>
      </c>
      <c r="F1990" s="0" t="s">
        <v>18491</v>
      </c>
      <c r="G1990" s="0" t="s">
        <v>18110</v>
      </c>
    </row>
    <row r="1991" customFormat="false" ht="15" hidden="false" customHeight="false" outlineLevel="0" collapsed="false">
      <c r="A1991" s="0" t="n">
        <v>3493</v>
      </c>
      <c r="B1991" s="0" t="n">
        <v>22111</v>
      </c>
      <c r="C1991" s="0" t="s">
        <v>14280</v>
      </c>
      <c r="D1991" s="0" t="s">
        <v>23</v>
      </c>
      <c r="F1991" s="0" t="s">
        <v>18492</v>
      </c>
      <c r="G1991" s="0" t="s">
        <v>18110</v>
      </c>
    </row>
    <row r="1992" customFormat="false" ht="15" hidden="false" customHeight="false" outlineLevel="0" collapsed="false">
      <c r="A1992" s="0" t="n">
        <v>3505</v>
      </c>
      <c r="B1992" s="0" t="n">
        <v>22123</v>
      </c>
      <c r="C1992" s="0" t="s">
        <v>14327</v>
      </c>
      <c r="D1992" s="0" t="s">
        <v>23</v>
      </c>
      <c r="F1992" s="0" t="s">
        <v>18493</v>
      </c>
      <c r="G1992" s="0" t="s">
        <v>18110</v>
      </c>
    </row>
    <row r="1993" customFormat="false" ht="15" hidden="false" customHeight="false" outlineLevel="0" collapsed="false">
      <c r="A1993" s="0" t="n">
        <v>3506</v>
      </c>
      <c r="B1993" s="0" t="n">
        <v>22124</v>
      </c>
      <c r="C1993" s="0" t="s">
        <v>14330</v>
      </c>
      <c r="D1993" s="0" t="s">
        <v>23</v>
      </c>
      <c r="F1993" s="0" t="s">
        <v>18494</v>
      </c>
      <c r="G1993" s="0" t="s">
        <v>18110</v>
      </c>
    </row>
    <row r="1994" customFormat="false" ht="15" hidden="false" customHeight="false" outlineLevel="0" collapsed="false">
      <c r="A1994" s="0" t="n">
        <v>3507</v>
      </c>
      <c r="B1994" s="0" t="n">
        <v>22125</v>
      </c>
      <c r="C1994" s="0" t="s">
        <v>14333</v>
      </c>
      <c r="D1994" s="0" t="s">
        <v>23</v>
      </c>
      <c r="F1994" s="0" t="s">
        <v>18495</v>
      </c>
      <c r="G1994" s="0" t="s">
        <v>18110</v>
      </c>
    </row>
    <row r="1995" customFormat="false" ht="15" hidden="false" customHeight="false" outlineLevel="0" collapsed="false">
      <c r="A1995" s="0" t="n">
        <v>3508</v>
      </c>
      <c r="B1995" s="0" t="n">
        <v>22126</v>
      </c>
      <c r="C1995" s="0" t="s">
        <v>14336</v>
      </c>
      <c r="D1995" s="0" t="s">
        <v>23</v>
      </c>
      <c r="F1995" s="0" t="s">
        <v>18496</v>
      </c>
      <c r="G1995" s="0" t="s">
        <v>18110</v>
      </c>
    </row>
    <row r="1996" customFormat="false" ht="15" hidden="false" customHeight="false" outlineLevel="0" collapsed="false">
      <c r="A1996" s="0" t="n">
        <v>3509</v>
      </c>
      <c r="B1996" s="0" t="n">
        <v>22127</v>
      </c>
      <c r="C1996" s="0" t="s">
        <v>14339</v>
      </c>
      <c r="D1996" s="0" t="s">
        <v>23</v>
      </c>
      <c r="F1996" s="0" t="s">
        <v>18497</v>
      </c>
      <c r="G1996" s="0" t="s">
        <v>18110</v>
      </c>
    </row>
    <row r="1997" customFormat="false" ht="15" hidden="false" customHeight="false" outlineLevel="0" collapsed="false">
      <c r="A1997" s="0" t="n">
        <v>3510</v>
      </c>
      <c r="B1997" s="0" t="n">
        <v>22128</v>
      </c>
      <c r="C1997" s="0" t="s">
        <v>14343</v>
      </c>
      <c r="D1997" s="0" t="s">
        <v>23</v>
      </c>
      <c r="F1997" s="0" t="s">
        <v>18498</v>
      </c>
      <c r="G1997" s="0" t="s">
        <v>18110</v>
      </c>
    </row>
    <row r="1998" customFormat="false" ht="15" hidden="false" customHeight="false" outlineLevel="0" collapsed="false">
      <c r="A1998" s="0" t="n">
        <v>3511</v>
      </c>
      <c r="B1998" s="0" t="n">
        <v>22129</v>
      </c>
      <c r="C1998" s="0" t="s">
        <v>14346</v>
      </c>
      <c r="D1998" s="0" t="s">
        <v>23</v>
      </c>
      <c r="F1998" s="0" t="s">
        <v>18499</v>
      </c>
      <c r="G1998" s="0" t="s">
        <v>18110</v>
      </c>
    </row>
    <row r="1999" customFormat="false" ht="15" hidden="false" customHeight="false" outlineLevel="0" collapsed="false">
      <c r="A1999" s="0" t="n">
        <v>3512</v>
      </c>
      <c r="B1999" s="0" t="n">
        <v>22130</v>
      </c>
      <c r="C1999" s="0" t="s">
        <v>14349</v>
      </c>
      <c r="D1999" s="0" t="s">
        <v>23</v>
      </c>
      <c r="F1999" s="0" t="s">
        <v>18500</v>
      </c>
      <c r="G1999" s="0" t="s">
        <v>18110</v>
      </c>
    </row>
    <row r="2000" customFormat="false" ht="15" hidden="false" customHeight="false" outlineLevel="0" collapsed="false">
      <c r="A2000" s="0" t="n">
        <v>3513</v>
      </c>
      <c r="B2000" s="0" t="n">
        <v>22131</v>
      </c>
      <c r="C2000" s="0" t="s">
        <v>14352</v>
      </c>
      <c r="D2000" s="0" t="s">
        <v>23</v>
      </c>
      <c r="F2000" s="0" t="s">
        <v>18501</v>
      </c>
      <c r="G2000" s="0" t="s">
        <v>18110</v>
      </c>
    </row>
    <row r="2001" customFormat="false" ht="15" hidden="false" customHeight="false" outlineLevel="0" collapsed="false">
      <c r="A2001" s="0" t="n">
        <v>3514</v>
      </c>
      <c r="B2001" s="0" t="n">
        <v>22132</v>
      </c>
      <c r="C2001" s="0" t="s">
        <v>14356</v>
      </c>
      <c r="D2001" s="0" t="s">
        <v>23</v>
      </c>
      <c r="F2001" s="0" t="s">
        <v>18502</v>
      </c>
      <c r="G2001" s="0" t="s">
        <v>18110</v>
      </c>
    </row>
    <row r="2002" customFormat="false" ht="15" hidden="false" customHeight="false" outlineLevel="0" collapsed="false">
      <c r="A2002" s="0" t="n">
        <v>3515</v>
      </c>
      <c r="B2002" s="0" t="n">
        <v>22133</v>
      </c>
      <c r="C2002" s="0" t="s">
        <v>14358</v>
      </c>
      <c r="D2002" s="0" t="s">
        <v>23</v>
      </c>
      <c r="F2002" s="0" t="s">
        <v>18503</v>
      </c>
      <c r="G2002" s="0" t="s">
        <v>18110</v>
      </c>
    </row>
    <row r="2003" customFormat="false" ht="15" hidden="false" customHeight="false" outlineLevel="0" collapsed="false">
      <c r="A2003" s="0" t="n">
        <v>3516</v>
      </c>
      <c r="B2003" s="0" t="n">
        <v>22134</v>
      </c>
      <c r="C2003" s="0" t="s">
        <v>14361</v>
      </c>
      <c r="D2003" s="0" t="s">
        <v>23</v>
      </c>
      <c r="F2003" s="0" t="s">
        <v>18504</v>
      </c>
      <c r="G2003" s="0" t="s">
        <v>18110</v>
      </c>
    </row>
    <row r="2004" customFormat="false" ht="15" hidden="false" customHeight="false" outlineLevel="0" collapsed="false">
      <c r="A2004" s="0" t="n">
        <v>3517</v>
      </c>
      <c r="B2004" s="0" t="n">
        <v>22135</v>
      </c>
      <c r="C2004" s="0" t="s">
        <v>14364</v>
      </c>
      <c r="D2004" s="0" t="s">
        <v>23</v>
      </c>
      <c r="F2004" s="0" t="s">
        <v>18505</v>
      </c>
      <c r="G2004" s="0" t="s">
        <v>18110</v>
      </c>
    </row>
    <row r="2005" customFormat="false" ht="15" hidden="false" customHeight="false" outlineLevel="0" collapsed="false">
      <c r="A2005" s="0" t="n">
        <v>3518</v>
      </c>
      <c r="B2005" s="0" t="n">
        <v>22136</v>
      </c>
      <c r="C2005" s="0" t="s">
        <v>14367</v>
      </c>
      <c r="D2005" s="0" t="s">
        <v>23</v>
      </c>
      <c r="F2005" s="0" t="s">
        <v>18506</v>
      </c>
      <c r="G2005" s="0" t="s">
        <v>18110</v>
      </c>
    </row>
    <row r="2006" customFormat="false" ht="15" hidden="false" customHeight="false" outlineLevel="0" collapsed="false">
      <c r="A2006" s="0" t="n">
        <v>3519</v>
      </c>
      <c r="B2006" s="0" t="n">
        <v>22137</v>
      </c>
      <c r="C2006" s="0" t="s">
        <v>14370</v>
      </c>
      <c r="D2006" s="0" t="s">
        <v>23</v>
      </c>
      <c r="F2006" s="0" t="s">
        <v>18507</v>
      </c>
      <c r="G2006" s="0" t="s">
        <v>18110</v>
      </c>
    </row>
    <row r="2007" customFormat="false" ht="15" hidden="false" customHeight="false" outlineLevel="0" collapsed="false">
      <c r="A2007" s="0" t="n">
        <v>3520</v>
      </c>
      <c r="B2007" s="0" t="n">
        <v>22138</v>
      </c>
      <c r="C2007" s="0" t="s">
        <v>14374</v>
      </c>
      <c r="D2007" s="0" t="s">
        <v>23</v>
      </c>
      <c r="F2007" s="0" t="s">
        <v>18508</v>
      </c>
      <c r="G2007" s="0" t="s">
        <v>18110</v>
      </c>
    </row>
    <row r="2008" customFormat="false" ht="15" hidden="false" customHeight="false" outlineLevel="0" collapsed="false">
      <c r="A2008" s="0" t="n">
        <v>3521</v>
      </c>
      <c r="B2008" s="0" t="n">
        <v>22139</v>
      </c>
      <c r="C2008" s="0" t="s">
        <v>14378</v>
      </c>
      <c r="D2008" s="0" t="s">
        <v>23</v>
      </c>
      <c r="F2008" s="0" t="s">
        <v>18509</v>
      </c>
      <c r="G2008" s="0" t="s">
        <v>18110</v>
      </c>
    </row>
    <row r="2009" customFormat="false" ht="15" hidden="false" customHeight="false" outlineLevel="0" collapsed="false">
      <c r="A2009" s="0" t="n">
        <v>3522</v>
      </c>
      <c r="B2009" s="0" t="n">
        <v>22140</v>
      </c>
      <c r="C2009" s="0" t="s">
        <v>14380</v>
      </c>
      <c r="D2009" s="0" t="s">
        <v>23</v>
      </c>
      <c r="F2009" s="0" t="s">
        <v>18510</v>
      </c>
      <c r="G2009" s="0" t="s">
        <v>18110</v>
      </c>
    </row>
    <row r="2010" customFormat="false" ht="15" hidden="false" customHeight="false" outlineLevel="0" collapsed="false">
      <c r="A2010" s="0" t="n">
        <v>3523</v>
      </c>
      <c r="B2010" s="0" t="n">
        <v>22141</v>
      </c>
      <c r="C2010" s="0" t="s">
        <v>14383</v>
      </c>
      <c r="D2010" s="0" t="s">
        <v>23</v>
      </c>
      <c r="F2010" s="0" t="s">
        <v>18511</v>
      </c>
      <c r="G2010" s="0" t="s">
        <v>18110</v>
      </c>
    </row>
    <row r="2011" customFormat="false" ht="15" hidden="false" customHeight="false" outlineLevel="0" collapsed="false">
      <c r="A2011" s="0" t="n">
        <v>3524</v>
      </c>
      <c r="B2011" s="0" t="n">
        <v>22142</v>
      </c>
      <c r="C2011" s="0" t="s">
        <v>14386</v>
      </c>
      <c r="D2011" s="0" t="s">
        <v>23</v>
      </c>
      <c r="F2011" s="0" t="s">
        <v>18512</v>
      </c>
      <c r="G2011" s="0" t="s">
        <v>18110</v>
      </c>
    </row>
    <row r="2012" customFormat="false" ht="15" hidden="false" customHeight="false" outlineLevel="0" collapsed="false">
      <c r="A2012" s="0" t="n">
        <v>3525</v>
      </c>
      <c r="B2012" s="0" t="n">
        <v>22143</v>
      </c>
      <c r="C2012" s="0" t="s">
        <v>14389</v>
      </c>
      <c r="D2012" s="0" t="s">
        <v>23</v>
      </c>
      <c r="F2012" s="0" t="s">
        <v>18513</v>
      </c>
      <c r="G2012" s="0" t="s">
        <v>18110</v>
      </c>
    </row>
    <row r="2013" customFormat="false" ht="15" hidden="false" customHeight="false" outlineLevel="0" collapsed="false">
      <c r="A2013" s="0" t="n">
        <v>3526</v>
      </c>
      <c r="B2013" s="0" t="n">
        <v>22144</v>
      </c>
      <c r="C2013" s="0" t="s">
        <v>14392</v>
      </c>
      <c r="D2013" s="0" t="s">
        <v>23</v>
      </c>
      <c r="F2013" s="0" t="s">
        <v>18514</v>
      </c>
      <c r="G2013" s="0" t="s">
        <v>18110</v>
      </c>
    </row>
    <row r="2014" customFormat="false" ht="15" hidden="false" customHeight="false" outlineLevel="0" collapsed="false">
      <c r="A2014" s="0" t="n">
        <v>3527</v>
      </c>
      <c r="B2014" s="0" t="n">
        <v>22145</v>
      </c>
      <c r="C2014" s="0" t="s">
        <v>14396</v>
      </c>
      <c r="D2014" s="0" t="s">
        <v>23</v>
      </c>
      <c r="F2014" s="0" t="s">
        <v>18515</v>
      </c>
      <c r="G2014" s="0" t="s">
        <v>18110</v>
      </c>
    </row>
    <row r="2015" customFormat="false" ht="15" hidden="false" customHeight="false" outlineLevel="0" collapsed="false">
      <c r="A2015" s="0" t="n">
        <v>3528</v>
      </c>
      <c r="B2015" s="0" t="n">
        <v>22146</v>
      </c>
      <c r="C2015" s="0" t="s">
        <v>14399</v>
      </c>
      <c r="D2015" s="0" t="s">
        <v>23</v>
      </c>
      <c r="F2015" s="0" t="s">
        <v>18516</v>
      </c>
      <c r="G2015" s="0" t="s">
        <v>18110</v>
      </c>
    </row>
    <row r="2016" customFormat="false" ht="15" hidden="false" customHeight="false" outlineLevel="0" collapsed="false">
      <c r="A2016" s="0" t="n">
        <v>3529</v>
      </c>
      <c r="B2016" s="0" t="n">
        <v>22147</v>
      </c>
      <c r="C2016" s="0" t="s">
        <v>14402</v>
      </c>
      <c r="D2016" s="0" t="s">
        <v>23</v>
      </c>
      <c r="F2016" s="0" t="s">
        <v>18517</v>
      </c>
      <c r="G2016" s="0" t="s">
        <v>18110</v>
      </c>
    </row>
    <row r="2017" customFormat="false" ht="15" hidden="false" customHeight="false" outlineLevel="0" collapsed="false">
      <c r="A2017" s="0" t="n">
        <v>3530</v>
      </c>
      <c r="B2017" s="0" t="n">
        <v>22148</v>
      </c>
      <c r="C2017" s="0" t="s">
        <v>14405</v>
      </c>
      <c r="D2017" s="0" t="s">
        <v>23</v>
      </c>
      <c r="F2017" s="0" t="s">
        <v>18518</v>
      </c>
      <c r="G2017" s="0" t="s">
        <v>18110</v>
      </c>
    </row>
    <row r="2018" customFormat="false" ht="15" hidden="false" customHeight="false" outlineLevel="0" collapsed="false">
      <c r="A2018" s="0" t="n">
        <v>3531</v>
      </c>
      <c r="B2018" s="0" t="n">
        <v>22149</v>
      </c>
      <c r="C2018" s="0" t="s">
        <v>14408</v>
      </c>
      <c r="D2018" s="0" t="s">
        <v>23</v>
      </c>
      <c r="F2018" s="0" t="s">
        <v>18519</v>
      </c>
      <c r="G2018" s="0" t="s">
        <v>18110</v>
      </c>
    </row>
    <row r="2019" customFormat="false" ht="15" hidden="false" customHeight="false" outlineLevel="0" collapsed="false">
      <c r="A2019" s="0" t="n">
        <v>3532</v>
      </c>
      <c r="B2019" s="0" t="n">
        <v>22150</v>
      </c>
      <c r="C2019" s="0" t="s">
        <v>14411</v>
      </c>
      <c r="D2019" s="0" t="s">
        <v>23</v>
      </c>
      <c r="F2019" s="0" t="s">
        <v>18520</v>
      </c>
      <c r="G2019" s="0" t="s">
        <v>18110</v>
      </c>
    </row>
    <row r="2020" customFormat="false" ht="15" hidden="false" customHeight="false" outlineLevel="0" collapsed="false">
      <c r="A2020" s="0" t="n">
        <v>3533</v>
      </c>
      <c r="B2020" s="0" t="n">
        <v>22151</v>
      </c>
      <c r="C2020" s="0" t="s">
        <v>14414</v>
      </c>
      <c r="D2020" s="0" t="s">
        <v>23</v>
      </c>
      <c r="F2020" s="0" t="s">
        <v>18521</v>
      </c>
      <c r="G2020" s="0" t="s">
        <v>18110</v>
      </c>
    </row>
    <row r="2021" customFormat="false" ht="15" hidden="false" customHeight="false" outlineLevel="0" collapsed="false">
      <c r="A2021" s="0" t="n">
        <v>3534</v>
      </c>
      <c r="B2021" s="0" t="n">
        <v>22152</v>
      </c>
      <c r="C2021" s="0" t="s">
        <v>14417</v>
      </c>
      <c r="D2021" s="0" t="s">
        <v>23</v>
      </c>
      <c r="F2021" s="0" t="s">
        <v>18522</v>
      </c>
      <c r="G2021" s="0" t="s">
        <v>18110</v>
      </c>
    </row>
    <row r="2022" customFormat="false" ht="15" hidden="false" customHeight="false" outlineLevel="0" collapsed="false">
      <c r="A2022" s="0" t="n">
        <v>3541</v>
      </c>
      <c r="B2022" s="0" t="n">
        <v>22159</v>
      </c>
      <c r="C2022" s="0" t="s">
        <v>14442</v>
      </c>
      <c r="D2022" s="0" t="s">
        <v>23</v>
      </c>
      <c r="F2022" s="0" t="s">
        <v>18523</v>
      </c>
      <c r="G2022" s="0" t="s">
        <v>18110</v>
      </c>
    </row>
    <row r="2023" customFormat="false" ht="15" hidden="false" customHeight="false" outlineLevel="0" collapsed="false">
      <c r="A2023" s="0" t="n">
        <v>3544</v>
      </c>
      <c r="B2023" s="0" t="n">
        <v>22162</v>
      </c>
      <c r="C2023" s="0" t="s">
        <v>14454</v>
      </c>
      <c r="D2023" s="0" t="s">
        <v>23</v>
      </c>
      <c r="F2023" s="0" t="s">
        <v>18524</v>
      </c>
      <c r="G2023" s="0" t="s">
        <v>18110</v>
      </c>
    </row>
    <row r="2024" customFormat="false" ht="15" hidden="false" customHeight="false" outlineLevel="0" collapsed="false">
      <c r="A2024" s="0" t="n">
        <v>3545</v>
      </c>
      <c r="B2024" s="0" t="n">
        <v>22163</v>
      </c>
      <c r="C2024" s="0" t="s">
        <v>14457</v>
      </c>
      <c r="D2024" s="0" t="s">
        <v>23</v>
      </c>
      <c r="F2024" s="0" t="s">
        <v>18525</v>
      </c>
      <c r="G2024" s="0" t="s">
        <v>18110</v>
      </c>
    </row>
    <row r="2025" customFormat="false" ht="15" hidden="false" customHeight="false" outlineLevel="0" collapsed="false">
      <c r="A2025" s="0" t="n">
        <v>3546</v>
      </c>
      <c r="B2025" s="0" t="n">
        <v>22164</v>
      </c>
      <c r="C2025" s="0" t="s">
        <v>14461</v>
      </c>
      <c r="D2025" s="0" t="s">
        <v>23</v>
      </c>
      <c r="F2025" s="0" t="s">
        <v>18526</v>
      </c>
      <c r="G2025" s="0" t="s">
        <v>18110</v>
      </c>
    </row>
    <row r="2026" customFormat="false" ht="15" hidden="false" customHeight="false" outlineLevel="0" collapsed="false">
      <c r="A2026" s="0" t="n">
        <v>3547</v>
      </c>
      <c r="B2026" s="0" t="n">
        <v>22165</v>
      </c>
      <c r="C2026" s="0" t="s">
        <v>14464</v>
      </c>
      <c r="D2026" s="0" t="s">
        <v>23</v>
      </c>
      <c r="F2026" s="0" t="s">
        <v>18527</v>
      </c>
      <c r="G2026" s="0" t="s">
        <v>18110</v>
      </c>
    </row>
    <row r="2027" customFormat="false" ht="15" hidden="false" customHeight="false" outlineLevel="0" collapsed="false">
      <c r="A2027" s="0" t="n">
        <v>3548</v>
      </c>
      <c r="B2027" s="0" t="n">
        <v>22166</v>
      </c>
      <c r="C2027" s="0" t="s">
        <v>14467</v>
      </c>
      <c r="D2027" s="0" t="s">
        <v>23</v>
      </c>
      <c r="F2027" s="0" t="s">
        <v>18528</v>
      </c>
      <c r="G2027" s="0" t="s">
        <v>18110</v>
      </c>
    </row>
    <row r="2028" customFormat="false" ht="15" hidden="false" customHeight="false" outlineLevel="0" collapsed="false">
      <c r="A2028" s="0" t="n">
        <v>3549</v>
      </c>
      <c r="B2028" s="0" t="n">
        <v>22167</v>
      </c>
      <c r="C2028" s="0" t="s">
        <v>14470</v>
      </c>
      <c r="D2028" s="0" t="s">
        <v>23</v>
      </c>
      <c r="F2028" s="0" t="s">
        <v>18529</v>
      </c>
      <c r="G2028" s="0" t="s">
        <v>18110</v>
      </c>
    </row>
    <row r="2029" customFormat="false" ht="15" hidden="false" customHeight="false" outlineLevel="0" collapsed="false">
      <c r="A2029" s="0" t="n">
        <v>3551</v>
      </c>
      <c r="B2029" s="0" t="n">
        <v>22169</v>
      </c>
      <c r="C2029" s="0" t="s">
        <v>14476</v>
      </c>
      <c r="D2029" s="0" t="s">
        <v>23</v>
      </c>
      <c r="F2029" s="0" t="s">
        <v>18530</v>
      </c>
      <c r="G2029" s="0" t="s">
        <v>18110</v>
      </c>
    </row>
    <row r="2030" customFormat="false" ht="15" hidden="false" customHeight="false" outlineLevel="0" collapsed="false">
      <c r="A2030" s="0" t="n">
        <v>3554</v>
      </c>
      <c r="B2030" s="0" t="n">
        <v>22172</v>
      </c>
      <c r="C2030" s="0" t="s">
        <v>14488</v>
      </c>
      <c r="D2030" s="0" t="s">
        <v>23</v>
      </c>
      <c r="F2030" s="0" t="s">
        <v>18531</v>
      </c>
      <c r="G2030" s="0" t="s">
        <v>18110</v>
      </c>
    </row>
    <row r="2031" customFormat="false" ht="15" hidden="false" customHeight="false" outlineLevel="0" collapsed="false">
      <c r="A2031" s="0" t="n">
        <v>3555</v>
      </c>
      <c r="B2031" s="0" t="n">
        <v>22173</v>
      </c>
      <c r="C2031" s="0" t="s">
        <v>14492</v>
      </c>
      <c r="D2031" s="0" t="s">
        <v>23</v>
      </c>
      <c r="F2031" s="0" t="s">
        <v>18532</v>
      </c>
      <c r="G2031" s="0" t="s">
        <v>18110</v>
      </c>
    </row>
    <row r="2032" customFormat="false" ht="15" hidden="false" customHeight="false" outlineLevel="0" collapsed="false">
      <c r="A2032" s="0" t="n">
        <v>3556</v>
      </c>
      <c r="B2032" s="0" t="n">
        <v>22174</v>
      </c>
      <c r="C2032" s="0" t="s">
        <v>14495</v>
      </c>
      <c r="D2032" s="0" t="s">
        <v>23</v>
      </c>
      <c r="F2032" s="0" t="s">
        <v>18533</v>
      </c>
      <c r="G2032" s="0" t="s">
        <v>18110</v>
      </c>
    </row>
    <row r="2033" customFormat="false" ht="15" hidden="false" customHeight="false" outlineLevel="0" collapsed="false">
      <c r="A2033" s="0" t="n">
        <v>3557</v>
      </c>
      <c r="B2033" s="0" t="n">
        <v>22175</v>
      </c>
      <c r="C2033" s="0" t="s">
        <v>14498</v>
      </c>
      <c r="D2033" s="0" t="s">
        <v>23</v>
      </c>
      <c r="F2033" s="0" t="s">
        <v>18534</v>
      </c>
      <c r="G2033" s="0" t="s">
        <v>18110</v>
      </c>
    </row>
    <row r="2034" customFormat="false" ht="15" hidden="false" customHeight="false" outlineLevel="0" collapsed="false">
      <c r="A2034" s="0" t="n">
        <v>3558</v>
      </c>
      <c r="B2034" s="0" t="n">
        <v>22176</v>
      </c>
      <c r="C2034" s="0" t="s">
        <v>14502</v>
      </c>
      <c r="D2034" s="0" t="s">
        <v>23</v>
      </c>
      <c r="F2034" s="0" t="s">
        <v>18535</v>
      </c>
      <c r="G2034" s="0" t="s">
        <v>18110</v>
      </c>
    </row>
    <row r="2035" customFormat="false" ht="15" hidden="false" customHeight="false" outlineLevel="0" collapsed="false">
      <c r="A2035" s="0" t="n">
        <v>3560</v>
      </c>
      <c r="B2035" s="0" t="n">
        <v>22178</v>
      </c>
      <c r="C2035" s="0" t="s">
        <v>14509</v>
      </c>
      <c r="D2035" s="0" t="s">
        <v>23</v>
      </c>
      <c r="F2035" s="0" t="s">
        <v>18536</v>
      </c>
      <c r="G2035" s="0" t="s">
        <v>18110</v>
      </c>
    </row>
    <row r="2036" customFormat="false" ht="15" hidden="false" customHeight="false" outlineLevel="0" collapsed="false">
      <c r="A2036" s="0" t="n">
        <v>3561</v>
      </c>
      <c r="B2036" s="0" t="n">
        <v>22179</v>
      </c>
      <c r="C2036" s="0" t="s">
        <v>14512</v>
      </c>
      <c r="D2036" s="0" t="s">
        <v>23</v>
      </c>
      <c r="F2036" s="0" t="s">
        <v>18537</v>
      </c>
      <c r="G2036" s="0" t="s">
        <v>18110</v>
      </c>
    </row>
    <row r="2037" customFormat="false" ht="15" hidden="false" customHeight="false" outlineLevel="0" collapsed="false">
      <c r="A2037" s="0" t="n">
        <v>3562</v>
      </c>
      <c r="B2037" s="0" t="n">
        <v>22180</v>
      </c>
      <c r="C2037" s="0" t="s">
        <v>14517</v>
      </c>
      <c r="D2037" s="0" t="s">
        <v>23</v>
      </c>
      <c r="F2037" s="0" t="s">
        <v>18538</v>
      </c>
      <c r="G2037" s="0" t="s">
        <v>18110</v>
      </c>
    </row>
    <row r="2038" customFormat="false" ht="15" hidden="false" customHeight="false" outlineLevel="0" collapsed="false">
      <c r="A2038" s="0" t="n">
        <v>3563</v>
      </c>
      <c r="B2038" s="0" t="n">
        <v>22181</v>
      </c>
      <c r="C2038" s="0" t="s">
        <v>14520</v>
      </c>
      <c r="D2038" s="0" t="s">
        <v>23</v>
      </c>
      <c r="F2038" s="0" t="s">
        <v>18539</v>
      </c>
      <c r="G2038" s="0" t="s">
        <v>18110</v>
      </c>
    </row>
    <row r="2039" customFormat="false" ht="15" hidden="false" customHeight="false" outlineLevel="0" collapsed="false">
      <c r="A2039" s="0" t="n">
        <v>3565</v>
      </c>
      <c r="B2039" s="0" t="n">
        <v>22183</v>
      </c>
      <c r="C2039" s="0" t="s">
        <v>14530</v>
      </c>
      <c r="D2039" s="0" t="s">
        <v>23</v>
      </c>
      <c r="F2039" s="0" t="s">
        <v>18540</v>
      </c>
      <c r="G2039" s="0" t="s">
        <v>18110</v>
      </c>
    </row>
    <row r="2040" customFormat="false" ht="15" hidden="false" customHeight="false" outlineLevel="0" collapsed="false">
      <c r="A2040" s="0" t="n">
        <v>3566</v>
      </c>
      <c r="B2040" s="0" t="n">
        <v>22184</v>
      </c>
      <c r="C2040" s="0" t="s">
        <v>14534</v>
      </c>
      <c r="D2040" s="0" t="s">
        <v>23</v>
      </c>
      <c r="F2040" s="0" t="s">
        <v>18541</v>
      </c>
      <c r="G2040" s="0" t="s">
        <v>18110</v>
      </c>
    </row>
    <row r="2041" customFormat="false" ht="15" hidden="false" customHeight="false" outlineLevel="0" collapsed="false">
      <c r="A2041" s="0" t="n">
        <v>3567</v>
      </c>
      <c r="B2041" s="0" t="n">
        <v>22185</v>
      </c>
      <c r="C2041" s="0" t="s">
        <v>14537</v>
      </c>
      <c r="D2041" s="0" t="s">
        <v>23</v>
      </c>
      <c r="F2041" s="0" t="s">
        <v>18542</v>
      </c>
      <c r="G2041" s="0" t="s">
        <v>18110</v>
      </c>
    </row>
    <row r="2042" customFormat="false" ht="15" hidden="false" customHeight="false" outlineLevel="0" collapsed="false">
      <c r="A2042" s="0" t="n">
        <v>3568</v>
      </c>
      <c r="B2042" s="0" t="n">
        <v>22186</v>
      </c>
      <c r="C2042" s="0" t="s">
        <v>14540</v>
      </c>
      <c r="D2042" s="0" t="s">
        <v>23</v>
      </c>
      <c r="F2042" s="0" t="s">
        <v>18543</v>
      </c>
      <c r="G2042" s="0" t="s">
        <v>18110</v>
      </c>
    </row>
    <row r="2043" customFormat="false" ht="15" hidden="false" customHeight="false" outlineLevel="0" collapsed="false">
      <c r="A2043" s="0" t="n">
        <v>3569</v>
      </c>
      <c r="B2043" s="0" t="n">
        <v>22187</v>
      </c>
      <c r="C2043" s="0" t="s">
        <v>14543</v>
      </c>
      <c r="D2043" s="0" t="s">
        <v>23</v>
      </c>
      <c r="F2043" s="0" t="s">
        <v>18544</v>
      </c>
      <c r="G2043" s="0" t="s">
        <v>18110</v>
      </c>
    </row>
    <row r="2044" customFormat="false" ht="15" hidden="false" customHeight="false" outlineLevel="0" collapsed="false">
      <c r="A2044" s="0" t="n">
        <v>3570</v>
      </c>
      <c r="B2044" s="0" t="n">
        <v>22188</v>
      </c>
      <c r="C2044" s="0" t="s">
        <v>14546</v>
      </c>
      <c r="D2044" s="0" t="s">
        <v>23</v>
      </c>
      <c r="F2044" s="0" t="s">
        <v>18545</v>
      </c>
      <c r="G2044" s="0" t="s">
        <v>18110</v>
      </c>
    </row>
    <row r="2045" customFormat="false" ht="15" hidden="false" customHeight="false" outlineLevel="0" collapsed="false">
      <c r="A2045" s="0" t="n">
        <v>3571</v>
      </c>
      <c r="B2045" s="0" t="n">
        <v>22189</v>
      </c>
      <c r="C2045" s="0" t="s">
        <v>14550</v>
      </c>
      <c r="D2045" s="0" t="s">
        <v>23</v>
      </c>
      <c r="F2045" s="0" t="s">
        <v>18546</v>
      </c>
      <c r="G2045" s="0" t="s">
        <v>18110</v>
      </c>
    </row>
    <row r="2046" customFormat="false" ht="15" hidden="false" customHeight="false" outlineLevel="0" collapsed="false">
      <c r="A2046" s="0" t="n">
        <v>3572</v>
      </c>
      <c r="B2046" s="0" t="n">
        <v>22190</v>
      </c>
      <c r="C2046" s="0" t="s">
        <v>14554</v>
      </c>
      <c r="D2046" s="0" t="s">
        <v>23</v>
      </c>
      <c r="F2046" s="0" t="s">
        <v>18547</v>
      </c>
      <c r="G2046" s="0" t="s">
        <v>18110</v>
      </c>
    </row>
    <row r="2047" customFormat="false" ht="15" hidden="false" customHeight="false" outlineLevel="0" collapsed="false">
      <c r="A2047" s="0" t="n">
        <v>3573</v>
      </c>
      <c r="B2047" s="0" t="n">
        <v>22191</v>
      </c>
      <c r="C2047" s="0" t="s">
        <v>14557</v>
      </c>
      <c r="D2047" s="0" t="s">
        <v>23</v>
      </c>
      <c r="F2047" s="0" t="s">
        <v>18548</v>
      </c>
      <c r="G2047" s="0" t="s">
        <v>18110</v>
      </c>
    </row>
    <row r="2048" customFormat="false" ht="15" hidden="false" customHeight="false" outlineLevel="0" collapsed="false">
      <c r="A2048" s="0" t="n">
        <v>3575</v>
      </c>
      <c r="B2048" s="0" t="n">
        <v>22193</v>
      </c>
      <c r="C2048" s="0" t="s">
        <v>14565</v>
      </c>
      <c r="D2048" s="0" t="s">
        <v>23</v>
      </c>
      <c r="F2048" s="0" t="s">
        <v>18549</v>
      </c>
      <c r="G2048" s="0" t="s">
        <v>18110</v>
      </c>
    </row>
    <row r="2049" customFormat="false" ht="15" hidden="false" customHeight="false" outlineLevel="0" collapsed="false">
      <c r="A2049" s="0" t="n">
        <v>3576</v>
      </c>
      <c r="B2049" s="0" t="n">
        <v>22194</v>
      </c>
      <c r="C2049" s="0" t="s">
        <v>14568</v>
      </c>
      <c r="D2049" s="0" t="s">
        <v>23</v>
      </c>
      <c r="F2049" s="0" t="s">
        <v>18550</v>
      </c>
      <c r="G2049" s="0" t="s">
        <v>18110</v>
      </c>
    </row>
    <row r="2050" customFormat="false" ht="15" hidden="false" customHeight="false" outlineLevel="0" collapsed="false">
      <c r="A2050" s="0" t="n">
        <v>3582</v>
      </c>
      <c r="B2050" s="0" t="n">
        <v>22200</v>
      </c>
      <c r="C2050" s="0" t="s">
        <v>14588</v>
      </c>
      <c r="D2050" s="0" t="s">
        <v>23</v>
      </c>
      <c r="F2050" s="0" t="s">
        <v>18551</v>
      </c>
      <c r="G2050" s="0" t="s">
        <v>18110</v>
      </c>
    </row>
    <row r="2051" customFormat="false" ht="15" hidden="false" customHeight="false" outlineLevel="0" collapsed="false">
      <c r="A2051" s="0" t="n">
        <v>3583</v>
      </c>
      <c r="B2051" s="0" t="n">
        <v>22201</v>
      </c>
      <c r="C2051" s="0" t="s">
        <v>14593</v>
      </c>
      <c r="D2051" s="0" t="s">
        <v>23</v>
      </c>
      <c r="F2051" s="0" t="s">
        <v>18552</v>
      </c>
      <c r="G2051" s="0" t="s">
        <v>18110</v>
      </c>
    </row>
    <row r="2052" customFormat="false" ht="15" hidden="false" customHeight="false" outlineLevel="0" collapsed="false">
      <c r="A2052" s="0" t="n">
        <v>3584</v>
      </c>
      <c r="B2052" s="0" t="n">
        <v>22202</v>
      </c>
      <c r="C2052" s="0" t="s">
        <v>14596</v>
      </c>
      <c r="D2052" s="0" t="s">
        <v>23</v>
      </c>
      <c r="F2052" s="0" t="s">
        <v>18553</v>
      </c>
      <c r="G2052" s="0" t="s">
        <v>18110</v>
      </c>
    </row>
    <row r="2053" customFormat="false" ht="15" hidden="false" customHeight="false" outlineLevel="0" collapsed="false">
      <c r="A2053" s="0" t="n">
        <v>3585</v>
      </c>
      <c r="B2053" s="0" t="n">
        <v>22203</v>
      </c>
      <c r="C2053" s="0" t="s">
        <v>14600</v>
      </c>
      <c r="D2053" s="0" t="s">
        <v>23</v>
      </c>
      <c r="F2053" s="0" t="s">
        <v>18554</v>
      </c>
      <c r="G2053" s="0" t="s">
        <v>18110</v>
      </c>
    </row>
    <row r="2054" customFormat="false" ht="15" hidden="false" customHeight="false" outlineLevel="0" collapsed="false">
      <c r="A2054" s="0" t="n">
        <v>3586</v>
      </c>
      <c r="B2054" s="0" t="n">
        <v>22204</v>
      </c>
      <c r="C2054" s="0" t="s">
        <v>14604</v>
      </c>
      <c r="D2054" s="0" t="s">
        <v>23</v>
      </c>
      <c r="F2054" s="0" t="s">
        <v>18555</v>
      </c>
      <c r="G2054" s="0" t="s">
        <v>18110</v>
      </c>
    </row>
    <row r="2055" customFormat="false" ht="15" hidden="false" customHeight="false" outlineLevel="0" collapsed="false">
      <c r="A2055" s="0" t="n">
        <v>3587</v>
      </c>
      <c r="B2055" s="0" t="n">
        <v>22205</v>
      </c>
      <c r="C2055" s="0" t="s">
        <v>14608</v>
      </c>
      <c r="D2055" s="0" t="s">
        <v>23</v>
      </c>
      <c r="F2055" s="0" t="s">
        <v>18556</v>
      </c>
      <c r="G2055" s="0" t="s">
        <v>18110</v>
      </c>
    </row>
    <row r="2056" customFormat="false" ht="15" hidden="false" customHeight="false" outlineLevel="0" collapsed="false">
      <c r="A2056" s="0" t="n">
        <v>3588</v>
      </c>
      <c r="B2056" s="0" t="n">
        <v>22206</v>
      </c>
      <c r="C2056" s="0" t="s">
        <v>14611</v>
      </c>
      <c r="D2056" s="0" t="s">
        <v>23</v>
      </c>
      <c r="F2056" s="0" t="s">
        <v>18557</v>
      </c>
      <c r="G2056" s="0" t="s">
        <v>18110</v>
      </c>
    </row>
    <row r="2057" customFormat="false" ht="15" hidden="false" customHeight="false" outlineLevel="0" collapsed="false">
      <c r="A2057" s="0" t="n">
        <v>3593</v>
      </c>
      <c r="B2057" s="0" t="n">
        <v>22211</v>
      </c>
      <c r="C2057" s="0" t="s">
        <v>14634</v>
      </c>
      <c r="D2057" s="0" t="s">
        <v>23</v>
      </c>
      <c r="F2057" s="0" t="s">
        <v>18558</v>
      </c>
      <c r="G2057" s="0" t="s">
        <v>18110</v>
      </c>
    </row>
    <row r="2058" customFormat="false" ht="15" hidden="false" customHeight="false" outlineLevel="0" collapsed="false">
      <c r="A2058" s="0" t="n">
        <v>3594</v>
      </c>
      <c r="B2058" s="0" t="n">
        <v>22212</v>
      </c>
      <c r="C2058" s="0" t="s">
        <v>14637</v>
      </c>
      <c r="D2058" s="0" t="s">
        <v>23</v>
      </c>
      <c r="F2058" s="0" t="s">
        <v>18559</v>
      </c>
      <c r="G2058" s="0" t="s">
        <v>18110</v>
      </c>
    </row>
    <row r="2059" customFormat="false" ht="15" hidden="false" customHeight="false" outlineLevel="0" collapsed="false">
      <c r="A2059" s="0" t="n">
        <v>3595</v>
      </c>
      <c r="B2059" s="0" t="n">
        <v>22213</v>
      </c>
      <c r="C2059" s="0" t="s">
        <v>14640</v>
      </c>
      <c r="D2059" s="0" t="s">
        <v>23</v>
      </c>
      <c r="F2059" s="0" t="s">
        <v>18560</v>
      </c>
      <c r="G2059" s="0" t="s">
        <v>18110</v>
      </c>
    </row>
    <row r="2060" customFormat="false" ht="15" hidden="false" customHeight="false" outlineLevel="0" collapsed="false">
      <c r="A2060" s="0" t="n">
        <v>3610</v>
      </c>
      <c r="B2060" s="0" t="n">
        <v>22228</v>
      </c>
      <c r="C2060" s="0" t="s">
        <v>14702</v>
      </c>
      <c r="D2060" s="0" t="s">
        <v>23</v>
      </c>
      <c r="F2060" s="0" t="s">
        <v>18561</v>
      </c>
      <c r="G2060" s="0" t="s">
        <v>18110</v>
      </c>
    </row>
    <row r="2061" customFormat="false" ht="15" hidden="false" customHeight="false" outlineLevel="0" collapsed="false">
      <c r="A2061" s="0" t="n">
        <v>3611</v>
      </c>
      <c r="B2061" s="0" t="n">
        <v>22229</v>
      </c>
      <c r="C2061" s="0" t="s">
        <v>14706</v>
      </c>
      <c r="D2061" s="0" t="s">
        <v>23</v>
      </c>
      <c r="F2061" s="0" t="s">
        <v>18562</v>
      </c>
      <c r="G2061" s="0" t="s">
        <v>18110</v>
      </c>
    </row>
    <row r="2062" customFormat="false" ht="15" hidden="false" customHeight="false" outlineLevel="0" collapsed="false">
      <c r="A2062" s="0" t="n">
        <v>3613</v>
      </c>
      <c r="B2062" s="0" t="n">
        <v>22231</v>
      </c>
      <c r="C2062" s="0" t="s">
        <v>14714</v>
      </c>
      <c r="D2062" s="0" t="s">
        <v>23</v>
      </c>
      <c r="F2062" s="0" t="s">
        <v>18563</v>
      </c>
      <c r="G2062" s="0" t="s">
        <v>18110</v>
      </c>
    </row>
    <row r="2063" customFormat="false" ht="15" hidden="false" customHeight="false" outlineLevel="0" collapsed="false">
      <c r="A2063" s="0" t="n">
        <v>3615</v>
      </c>
      <c r="B2063" s="0" t="n">
        <v>22233</v>
      </c>
      <c r="C2063" s="0" t="s">
        <v>14723</v>
      </c>
      <c r="D2063" s="0" t="s">
        <v>23</v>
      </c>
      <c r="F2063" s="0" t="s">
        <v>18564</v>
      </c>
      <c r="G2063" s="0" t="s">
        <v>18110</v>
      </c>
    </row>
    <row r="2064" customFormat="false" ht="15" hidden="false" customHeight="false" outlineLevel="0" collapsed="false">
      <c r="A2064" s="0" t="n">
        <v>3618</v>
      </c>
      <c r="B2064" s="0" t="n">
        <v>22236</v>
      </c>
      <c r="C2064" s="0" t="s">
        <v>14736</v>
      </c>
      <c r="D2064" s="0" t="s">
        <v>23</v>
      </c>
      <c r="F2064" s="0" t="s">
        <v>18565</v>
      </c>
      <c r="G2064" s="0" t="s">
        <v>18110</v>
      </c>
    </row>
    <row r="2065" customFormat="false" ht="15" hidden="false" customHeight="false" outlineLevel="0" collapsed="false">
      <c r="A2065" s="0" t="n">
        <v>3619</v>
      </c>
      <c r="B2065" s="0" t="n">
        <v>22237</v>
      </c>
      <c r="C2065" s="0" t="s">
        <v>14740</v>
      </c>
      <c r="D2065" s="0" t="s">
        <v>23</v>
      </c>
      <c r="F2065" s="0" t="s">
        <v>18566</v>
      </c>
      <c r="G2065" s="0" t="s">
        <v>18110</v>
      </c>
    </row>
    <row r="2066" customFormat="false" ht="15" hidden="false" customHeight="false" outlineLevel="0" collapsed="false">
      <c r="A2066" s="0" t="n">
        <v>3620</v>
      </c>
      <c r="B2066" s="0" t="n">
        <v>22238</v>
      </c>
      <c r="C2066" s="0" t="s">
        <v>14744</v>
      </c>
      <c r="D2066" s="0" t="s">
        <v>23</v>
      </c>
      <c r="F2066" s="0" t="s">
        <v>18567</v>
      </c>
      <c r="G2066" s="0" t="s">
        <v>18110</v>
      </c>
    </row>
    <row r="2067" customFormat="false" ht="15" hidden="false" customHeight="false" outlineLevel="0" collapsed="false">
      <c r="A2067" s="0" t="n">
        <v>3621</v>
      </c>
      <c r="B2067" s="0" t="n">
        <v>22239</v>
      </c>
      <c r="C2067" s="0" t="s">
        <v>14748</v>
      </c>
      <c r="D2067" s="0" t="s">
        <v>23</v>
      </c>
      <c r="F2067" s="0" t="s">
        <v>18568</v>
      </c>
      <c r="G2067" s="0" t="s">
        <v>18110</v>
      </c>
    </row>
    <row r="2068" customFormat="false" ht="15" hidden="false" customHeight="false" outlineLevel="0" collapsed="false">
      <c r="A2068" s="0" t="n">
        <v>3622</v>
      </c>
      <c r="B2068" s="0" t="n">
        <v>22240</v>
      </c>
      <c r="C2068" s="0" t="s">
        <v>14751</v>
      </c>
      <c r="D2068" s="0" t="s">
        <v>23</v>
      </c>
      <c r="F2068" s="0" t="s">
        <v>18569</v>
      </c>
      <c r="G2068" s="0" t="s">
        <v>18110</v>
      </c>
    </row>
    <row r="2069" customFormat="false" ht="15" hidden="false" customHeight="false" outlineLevel="0" collapsed="false">
      <c r="A2069" s="0" t="n">
        <v>3623</v>
      </c>
      <c r="B2069" s="0" t="n">
        <v>22241</v>
      </c>
      <c r="C2069" s="0" t="s">
        <v>14755</v>
      </c>
      <c r="D2069" s="0" t="s">
        <v>23</v>
      </c>
      <c r="F2069" s="0" t="s">
        <v>18570</v>
      </c>
      <c r="G2069" s="0" t="s">
        <v>18110</v>
      </c>
    </row>
    <row r="2070" customFormat="false" ht="15" hidden="false" customHeight="false" outlineLevel="0" collapsed="false">
      <c r="A2070" s="0" t="n">
        <v>3624</v>
      </c>
      <c r="B2070" s="0" t="n">
        <v>22242</v>
      </c>
      <c r="C2070" s="0" t="s">
        <v>14759</v>
      </c>
      <c r="D2070" s="0" t="s">
        <v>23</v>
      </c>
      <c r="F2070" s="0" t="s">
        <v>18571</v>
      </c>
      <c r="G2070" s="0" t="s">
        <v>18110</v>
      </c>
    </row>
    <row r="2071" customFormat="false" ht="15" hidden="false" customHeight="false" outlineLevel="0" collapsed="false">
      <c r="A2071" s="0" t="n">
        <v>3625</v>
      </c>
      <c r="B2071" s="0" t="n">
        <v>22243</v>
      </c>
      <c r="C2071" s="0" t="s">
        <v>14763</v>
      </c>
      <c r="D2071" s="0" t="s">
        <v>23</v>
      </c>
      <c r="F2071" s="0" t="s">
        <v>18572</v>
      </c>
      <c r="G2071" s="0" t="s">
        <v>18110</v>
      </c>
    </row>
    <row r="2072" customFormat="false" ht="15" hidden="false" customHeight="false" outlineLevel="0" collapsed="false">
      <c r="A2072" s="0" t="n">
        <v>3626</v>
      </c>
      <c r="B2072" s="0" t="n">
        <v>22244</v>
      </c>
      <c r="C2072" s="0" t="s">
        <v>14767</v>
      </c>
      <c r="D2072" s="0" t="s">
        <v>23</v>
      </c>
      <c r="F2072" s="0" t="s">
        <v>18573</v>
      </c>
      <c r="G2072" s="0" t="s">
        <v>18110</v>
      </c>
    </row>
    <row r="2073" customFormat="false" ht="15" hidden="false" customHeight="false" outlineLevel="0" collapsed="false">
      <c r="A2073" s="0" t="n">
        <v>3627</v>
      </c>
      <c r="B2073" s="0" t="n">
        <v>22245</v>
      </c>
      <c r="C2073" s="0" t="s">
        <v>10359</v>
      </c>
      <c r="D2073" s="0" t="s">
        <v>23</v>
      </c>
      <c r="F2073" s="0" t="s">
        <v>18574</v>
      </c>
      <c r="G2073" s="0" t="s">
        <v>18110</v>
      </c>
    </row>
    <row r="2074" customFormat="false" ht="15" hidden="false" customHeight="false" outlineLevel="0" collapsed="false">
      <c r="A2074" s="0" t="n">
        <v>3628</v>
      </c>
      <c r="B2074" s="0" t="n">
        <v>22246</v>
      </c>
      <c r="C2074" s="0" t="s">
        <v>14775</v>
      </c>
      <c r="D2074" s="0" t="s">
        <v>23</v>
      </c>
      <c r="F2074" s="0" t="s">
        <v>18575</v>
      </c>
      <c r="G2074" s="0" t="s">
        <v>18110</v>
      </c>
    </row>
    <row r="2075" customFormat="false" ht="15" hidden="false" customHeight="false" outlineLevel="0" collapsed="false">
      <c r="A2075" s="0" t="n">
        <v>3629</v>
      </c>
      <c r="B2075" s="0" t="n">
        <v>22247</v>
      </c>
      <c r="C2075" s="0" t="s">
        <v>14779</v>
      </c>
      <c r="D2075" s="0" t="s">
        <v>23</v>
      </c>
      <c r="F2075" s="0" t="s">
        <v>18576</v>
      </c>
      <c r="G2075" s="0" t="s">
        <v>18110</v>
      </c>
    </row>
    <row r="2076" customFormat="false" ht="15" hidden="false" customHeight="false" outlineLevel="0" collapsed="false">
      <c r="A2076" s="0" t="n">
        <v>3630</v>
      </c>
      <c r="B2076" s="0" t="n">
        <v>22248</v>
      </c>
      <c r="C2076" s="0" t="s">
        <v>14783</v>
      </c>
      <c r="D2076" s="0" t="s">
        <v>23</v>
      </c>
      <c r="F2076" s="0" t="s">
        <v>18577</v>
      </c>
      <c r="G2076" s="0" t="s">
        <v>18110</v>
      </c>
    </row>
    <row r="2077" customFormat="false" ht="15" hidden="false" customHeight="false" outlineLevel="0" collapsed="false">
      <c r="A2077" s="0" t="n">
        <v>3631</v>
      </c>
      <c r="B2077" s="0" t="n">
        <v>22249</v>
      </c>
      <c r="C2077" s="0" t="s">
        <v>14787</v>
      </c>
      <c r="D2077" s="0" t="s">
        <v>23</v>
      </c>
      <c r="F2077" s="0" t="s">
        <v>18578</v>
      </c>
      <c r="G2077" s="0" t="s">
        <v>18110</v>
      </c>
    </row>
    <row r="2078" customFormat="false" ht="15" hidden="false" customHeight="false" outlineLevel="0" collapsed="false">
      <c r="A2078" s="0" t="n">
        <v>3632</v>
      </c>
      <c r="B2078" s="0" t="n">
        <v>22250</v>
      </c>
      <c r="C2078" s="0" t="s">
        <v>14791</v>
      </c>
      <c r="D2078" s="0" t="s">
        <v>23</v>
      </c>
      <c r="F2078" s="0" t="s">
        <v>18579</v>
      </c>
      <c r="G2078" s="0" t="s">
        <v>18110</v>
      </c>
    </row>
    <row r="2079" customFormat="false" ht="15" hidden="false" customHeight="false" outlineLevel="0" collapsed="false">
      <c r="A2079" s="0" t="n">
        <v>3633</v>
      </c>
      <c r="B2079" s="0" t="n">
        <v>22251</v>
      </c>
      <c r="C2079" s="0" t="s">
        <v>14795</v>
      </c>
      <c r="D2079" s="0" t="s">
        <v>23</v>
      </c>
      <c r="F2079" s="0" t="s">
        <v>18580</v>
      </c>
      <c r="G2079" s="0" t="s">
        <v>18110</v>
      </c>
    </row>
    <row r="2080" customFormat="false" ht="15" hidden="false" customHeight="false" outlineLevel="0" collapsed="false">
      <c r="A2080" s="0" t="n">
        <v>3634</v>
      </c>
      <c r="B2080" s="0" t="n">
        <v>22252</v>
      </c>
      <c r="C2080" s="0" t="s">
        <v>14799</v>
      </c>
      <c r="D2080" s="0" t="s">
        <v>23</v>
      </c>
      <c r="F2080" s="0" t="s">
        <v>18581</v>
      </c>
      <c r="G2080" s="0" t="s">
        <v>18110</v>
      </c>
    </row>
    <row r="2081" customFormat="false" ht="15" hidden="false" customHeight="false" outlineLevel="0" collapsed="false">
      <c r="A2081" s="0" t="n">
        <v>3635</v>
      </c>
      <c r="B2081" s="0" t="n">
        <v>22253</v>
      </c>
      <c r="C2081" s="0" t="s">
        <v>14803</v>
      </c>
      <c r="D2081" s="0" t="s">
        <v>23</v>
      </c>
      <c r="F2081" s="0" t="s">
        <v>18582</v>
      </c>
      <c r="G2081" s="0" t="s">
        <v>18110</v>
      </c>
    </row>
    <row r="2082" customFormat="false" ht="15" hidden="false" customHeight="false" outlineLevel="0" collapsed="false">
      <c r="A2082" s="0" t="n">
        <v>3636</v>
      </c>
      <c r="B2082" s="0" t="n">
        <v>22254</v>
      </c>
      <c r="C2082" s="0" t="s">
        <v>14807</v>
      </c>
      <c r="D2082" s="0" t="s">
        <v>23</v>
      </c>
      <c r="F2082" s="0" t="s">
        <v>18583</v>
      </c>
      <c r="G2082" s="0" t="s">
        <v>18110</v>
      </c>
    </row>
    <row r="2083" customFormat="false" ht="15" hidden="false" customHeight="false" outlineLevel="0" collapsed="false">
      <c r="A2083" s="0" t="n">
        <v>3637</v>
      </c>
      <c r="B2083" s="0" t="n">
        <v>22255</v>
      </c>
      <c r="C2083" s="0" t="s">
        <v>14811</v>
      </c>
      <c r="D2083" s="0" t="s">
        <v>23</v>
      </c>
      <c r="F2083" s="0" t="s">
        <v>18584</v>
      </c>
      <c r="G2083" s="0" t="s">
        <v>18110</v>
      </c>
    </row>
    <row r="2084" customFormat="false" ht="15" hidden="false" customHeight="false" outlineLevel="0" collapsed="false">
      <c r="A2084" s="0" t="n">
        <v>3638</v>
      </c>
      <c r="B2084" s="0" t="n">
        <v>22256</v>
      </c>
      <c r="C2084" s="0" t="s">
        <v>14815</v>
      </c>
      <c r="D2084" s="0" t="s">
        <v>23</v>
      </c>
      <c r="F2084" s="0" t="s">
        <v>18585</v>
      </c>
      <c r="G2084" s="0" t="s">
        <v>18110</v>
      </c>
    </row>
    <row r="2085" customFormat="false" ht="15" hidden="false" customHeight="false" outlineLevel="0" collapsed="false">
      <c r="A2085" s="0" t="n">
        <v>3639</v>
      </c>
      <c r="B2085" s="0" t="n">
        <v>22257</v>
      </c>
      <c r="C2085" s="0" t="s">
        <v>14819</v>
      </c>
      <c r="D2085" s="0" t="s">
        <v>23</v>
      </c>
      <c r="F2085" s="0" t="s">
        <v>18586</v>
      </c>
      <c r="G2085" s="0" t="s">
        <v>18110</v>
      </c>
    </row>
    <row r="2086" customFormat="false" ht="15" hidden="false" customHeight="false" outlineLevel="0" collapsed="false">
      <c r="A2086" s="0" t="n">
        <v>3640</v>
      </c>
      <c r="B2086" s="0" t="n">
        <v>22258</v>
      </c>
      <c r="C2086" s="0" t="s">
        <v>14823</v>
      </c>
      <c r="D2086" s="0" t="s">
        <v>23</v>
      </c>
      <c r="F2086" s="0" t="s">
        <v>18587</v>
      </c>
      <c r="G2086" s="0" t="s">
        <v>18110</v>
      </c>
    </row>
    <row r="2087" customFormat="false" ht="15" hidden="false" customHeight="false" outlineLevel="0" collapsed="false">
      <c r="A2087" s="0" t="n">
        <v>3641</v>
      </c>
      <c r="B2087" s="0" t="n">
        <v>22260</v>
      </c>
      <c r="C2087" s="0" t="s">
        <v>14827</v>
      </c>
      <c r="D2087" s="0" t="s">
        <v>23</v>
      </c>
      <c r="F2087" s="0" t="s">
        <v>18588</v>
      </c>
      <c r="G2087" s="0" t="s">
        <v>18110</v>
      </c>
    </row>
    <row r="2088" customFormat="false" ht="15" hidden="false" customHeight="false" outlineLevel="0" collapsed="false">
      <c r="A2088" s="0" t="n">
        <v>3642</v>
      </c>
      <c r="B2088" s="0" t="n">
        <v>22261</v>
      </c>
      <c r="C2088" s="0" t="s">
        <v>14832</v>
      </c>
      <c r="D2088" s="0" t="s">
        <v>23</v>
      </c>
      <c r="F2088" s="0" t="s">
        <v>18589</v>
      </c>
      <c r="G2088" s="0" t="s">
        <v>18110</v>
      </c>
    </row>
    <row r="2089" customFormat="false" ht="15" hidden="false" customHeight="false" outlineLevel="0" collapsed="false">
      <c r="A2089" s="0" t="n">
        <v>3643</v>
      </c>
      <c r="B2089" s="0" t="n">
        <v>22262</v>
      </c>
      <c r="C2089" s="0" t="s">
        <v>14836</v>
      </c>
      <c r="D2089" s="0" t="s">
        <v>23</v>
      </c>
      <c r="F2089" s="0" t="s">
        <v>18590</v>
      </c>
      <c r="G2089" s="0" t="s">
        <v>18110</v>
      </c>
    </row>
    <row r="2090" customFormat="false" ht="15" hidden="false" customHeight="false" outlineLevel="0" collapsed="false">
      <c r="A2090" s="0" t="n">
        <v>3650</v>
      </c>
      <c r="B2090" s="0" t="n">
        <v>22269</v>
      </c>
      <c r="C2090" s="0" t="s">
        <v>14869</v>
      </c>
      <c r="D2090" s="0" t="s">
        <v>23</v>
      </c>
      <c r="F2090" s="0" t="s">
        <v>18591</v>
      </c>
      <c r="G2090" s="0" t="s">
        <v>18110</v>
      </c>
    </row>
    <row r="2091" customFormat="false" ht="15" hidden="false" customHeight="false" outlineLevel="0" collapsed="false">
      <c r="A2091" s="0" t="n">
        <v>3651</v>
      </c>
      <c r="B2091" s="0" t="n">
        <v>22270</v>
      </c>
      <c r="C2091" s="0" t="s">
        <v>14874</v>
      </c>
      <c r="D2091" s="0" t="s">
        <v>23</v>
      </c>
      <c r="F2091" s="0" t="s">
        <v>18592</v>
      </c>
      <c r="G2091" s="0" t="s">
        <v>18110</v>
      </c>
    </row>
    <row r="2092" customFormat="false" ht="15" hidden="false" customHeight="false" outlineLevel="0" collapsed="false">
      <c r="A2092" s="0" t="n">
        <v>3652</v>
      </c>
      <c r="B2092" s="0" t="n">
        <v>22271</v>
      </c>
      <c r="C2092" s="0" t="s">
        <v>14878</v>
      </c>
      <c r="D2092" s="0" t="s">
        <v>23</v>
      </c>
      <c r="F2092" s="0" t="s">
        <v>18593</v>
      </c>
      <c r="G2092" s="0" t="s">
        <v>18110</v>
      </c>
    </row>
    <row r="2093" customFormat="false" ht="15" hidden="false" customHeight="false" outlineLevel="0" collapsed="false">
      <c r="A2093" s="0" t="n">
        <v>3655</v>
      </c>
      <c r="B2093" s="0" t="n">
        <v>22275</v>
      </c>
      <c r="C2093" s="0" t="s">
        <v>14891</v>
      </c>
      <c r="D2093" s="0" t="s">
        <v>23</v>
      </c>
      <c r="F2093" s="0" t="s">
        <v>18594</v>
      </c>
      <c r="G2093" s="0" t="s">
        <v>18110</v>
      </c>
    </row>
    <row r="2094" customFormat="false" ht="15" hidden="false" customHeight="false" outlineLevel="0" collapsed="false">
      <c r="A2094" s="0" t="n">
        <v>3656</v>
      </c>
      <c r="B2094" s="0" t="n">
        <v>22276</v>
      </c>
      <c r="C2094" s="0" t="s">
        <v>14897</v>
      </c>
      <c r="D2094" s="0" t="s">
        <v>23</v>
      </c>
      <c r="F2094" s="0" t="s">
        <v>18595</v>
      </c>
      <c r="G2094" s="0" t="s">
        <v>18110</v>
      </c>
    </row>
    <row r="2095" customFormat="false" ht="15" hidden="false" customHeight="false" outlineLevel="0" collapsed="false">
      <c r="A2095" s="0" t="n">
        <v>3657</v>
      </c>
      <c r="B2095" s="0" t="n">
        <v>22277</v>
      </c>
      <c r="C2095" s="0" t="s">
        <v>14901</v>
      </c>
      <c r="D2095" s="0" t="s">
        <v>23</v>
      </c>
      <c r="F2095" s="0" t="s">
        <v>18596</v>
      </c>
      <c r="G2095" s="0" t="s">
        <v>18110</v>
      </c>
    </row>
    <row r="2096" customFormat="false" ht="15" hidden="false" customHeight="false" outlineLevel="0" collapsed="false">
      <c r="A2096" s="0" t="n">
        <v>3658</v>
      </c>
      <c r="B2096" s="0" t="n">
        <v>22278</v>
      </c>
      <c r="C2096" s="0" t="s">
        <v>14905</v>
      </c>
      <c r="D2096" s="0" t="s">
        <v>23</v>
      </c>
      <c r="F2096" s="0" t="s">
        <v>18597</v>
      </c>
      <c r="G2096" s="0" t="s">
        <v>18110</v>
      </c>
    </row>
    <row r="2097" customFormat="false" ht="15" hidden="false" customHeight="false" outlineLevel="0" collapsed="false">
      <c r="A2097" s="0" t="n">
        <v>3659</v>
      </c>
      <c r="B2097" s="0" t="n">
        <v>22279</v>
      </c>
      <c r="C2097" s="0" t="s">
        <v>14909</v>
      </c>
      <c r="D2097" s="0" t="s">
        <v>23</v>
      </c>
      <c r="F2097" s="0" t="s">
        <v>18598</v>
      </c>
      <c r="G2097" s="0" t="s">
        <v>18110</v>
      </c>
    </row>
    <row r="2098" customFormat="false" ht="15" hidden="false" customHeight="false" outlineLevel="0" collapsed="false">
      <c r="A2098" s="0" t="n">
        <v>3660</v>
      </c>
      <c r="B2098" s="0" t="n">
        <v>22280</v>
      </c>
      <c r="C2098" s="0" t="s">
        <v>14912</v>
      </c>
      <c r="D2098" s="0" t="s">
        <v>23</v>
      </c>
      <c r="F2098" s="0" t="s">
        <v>18599</v>
      </c>
      <c r="G2098" s="0" t="s">
        <v>18110</v>
      </c>
    </row>
    <row r="2099" customFormat="false" ht="15" hidden="false" customHeight="false" outlineLevel="0" collapsed="false">
      <c r="A2099" s="0" t="n">
        <v>3661</v>
      </c>
      <c r="B2099" s="0" t="n">
        <v>22281</v>
      </c>
      <c r="C2099" s="0" t="s">
        <v>14916</v>
      </c>
      <c r="D2099" s="0" t="s">
        <v>23</v>
      </c>
      <c r="F2099" s="0" t="s">
        <v>18600</v>
      </c>
      <c r="G2099" s="0" t="s">
        <v>18110</v>
      </c>
    </row>
    <row r="2100" customFormat="false" ht="15" hidden="false" customHeight="false" outlineLevel="0" collapsed="false">
      <c r="A2100" s="0" t="n">
        <v>3663</v>
      </c>
      <c r="B2100" s="0" t="n">
        <v>22283</v>
      </c>
      <c r="C2100" s="0" t="s">
        <v>14924</v>
      </c>
      <c r="D2100" s="0" t="s">
        <v>23</v>
      </c>
      <c r="F2100" s="0" t="s">
        <v>18601</v>
      </c>
      <c r="G2100" s="0" t="s">
        <v>18110</v>
      </c>
    </row>
    <row r="2101" customFormat="false" ht="15" hidden="false" customHeight="false" outlineLevel="0" collapsed="false">
      <c r="A2101" s="0" t="n">
        <v>3670</v>
      </c>
      <c r="B2101" s="0" t="n">
        <v>22290</v>
      </c>
      <c r="C2101" s="0" t="s">
        <v>14958</v>
      </c>
      <c r="D2101" s="0" t="s">
        <v>23</v>
      </c>
      <c r="F2101" s="0" t="s">
        <v>18602</v>
      </c>
      <c r="G2101" s="0" t="s">
        <v>18110</v>
      </c>
    </row>
    <row r="2102" customFormat="false" ht="15" hidden="false" customHeight="false" outlineLevel="0" collapsed="false">
      <c r="A2102" s="0" t="n">
        <v>3686</v>
      </c>
      <c r="B2102" s="0" t="n">
        <v>22306</v>
      </c>
      <c r="C2102" s="0" t="s">
        <v>15033</v>
      </c>
      <c r="D2102" s="0" t="s">
        <v>23</v>
      </c>
      <c r="F2102" s="0" t="s">
        <v>18603</v>
      </c>
      <c r="G2102" s="0" t="s">
        <v>18110</v>
      </c>
    </row>
    <row r="2103" customFormat="false" ht="15" hidden="false" customHeight="false" outlineLevel="0" collapsed="false">
      <c r="A2103" s="0" t="n">
        <v>3687</v>
      </c>
      <c r="B2103" s="0" t="n">
        <v>22307</v>
      </c>
      <c r="C2103" s="0" t="s">
        <v>15037</v>
      </c>
      <c r="D2103" s="0" t="s">
        <v>23</v>
      </c>
      <c r="F2103" s="0" t="s">
        <v>18604</v>
      </c>
      <c r="G2103" s="0" t="s">
        <v>18110</v>
      </c>
    </row>
    <row r="2104" customFormat="false" ht="15" hidden="false" customHeight="false" outlineLevel="0" collapsed="false">
      <c r="A2104" s="0" t="n">
        <v>3688</v>
      </c>
      <c r="B2104" s="0" t="n">
        <v>22308</v>
      </c>
      <c r="C2104" s="0" t="s">
        <v>15042</v>
      </c>
      <c r="D2104" s="0" t="s">
        <v>23</v>
      </c>
      <c r="F2104" s="0" t="s">
        <v>18605</v>
      </c>
      <c r="G2104" s="0" t="s">
        <v>18110</v>
      </c>
    </row>
    <row r="2105" customFormat="false" ht="15" hidden="false" customHeight="false" outlineLevel="0" collapsed="false">
      <c r="A2105" s="0" t="n">
        <v>3689</v>
      </c>
      <c r="B2105" s="0" t="n">
        <v>22309</v>
      </c>
      <c r="C2105" s="0" t="s">
        <v>15046</v>
      </c>
      <c r="D2105" s="0" t="s">
        <v>23</v>
      </c>
      <c r="F2105" s="0" t="s">
        <v>18606</v>
      </c>
      <c r="G2105" s="0" t="s">
        <v>18110</v>
      </c>
    </row>
    <row r="2106" customFormat="false" ht="15" hidden="false" customHeight="false" outlineLevel="0" collapsed="false">
      <c r="A2106" s="0" t="n">
        <v>3690</v>
      </c>
      <c r="B2106" s="0" t="n">
        <v>22310</v>
      </c>
      <c r="C2106" s="0" t="s">
        <v>15050</v>
      </c>
      <c r="D2106" s="0" t="s">
        <v>23</v>
      </c>
      <c r="F2106" s="0" t="s">
        <v>18607</v>
      </c>
      <c r="G2106" s="0" t="s">
        <v>18110</v>
      </c>
    </row>
    <row r="2107" customFormat="false" ht="15" hidden="false" customHeight="false" outlineLevel="0" collapsed="false">
      <c r="A2107" s="0" t="n">
        <v>3691</v>
      </c>
      <c r="B2107" s="0" t="n">
        <v>22311</v>
      </c>
      <c r="C2107" s="0" t="s">
        <v>15054</v>
      </c>
      <c r="D2107" s="0" t="s">
        <v>23</v>
      </c>
      <c r="F2107" s="0" t="s">
        <v>18608</v>
      </c>
      <c r="G2107" s="0" t="s">
        <v>18110</v>
      </c>
    </row>
    <row r="2108" customFormat="false" ht="15" hidden="false" customHeight="false" outlineLevel="0" collapsed="false">
      <c r="A2108" s="0" t="n">
        <v>3692</v>
      </c>
      <c r="B2108" s="0" t="n">
        <v>22312</v>
      </c>
      <c r="C2108" s="0" t="s">
        <v>15058</v>
      </c>
      <c r="D2108" s="0" t="s">
        <v>23</v>
      </c>
      <c r="F2108" s="0" t="s">
        <v>18609</v>
      </c>
      <c r="G2108" s="0" t="s">
        <v>18110</v>
      </c>
    </row>
    <row r="2109" customFormat="false" ht="15" hidden="false" customHeight="false" outlineLevel="0" collapsed="false">
      <c r="A2109" s="0" t="n">
        <v>3693</v>
      </c>
      <c r="B2109" s="0" t="n">
        <v>22313</v>
      </c>
      <c r="C2109" s="0" t="s">
        <v>15063</v>
      </c>
      <c r="D2109" s="0" t="s">
        <v>23</v>
      </c>
      <c r="F2109" s="0" t="s">
        <v>18610</v>
      </c>
      <c r="G2109" s="0" t="s">
        <v>18110</v>
      </c>
    </row>
    <row r="2110" customFormat="false" ht="15" hidden="false" customHeight="false" outlineLevel="0" collapsed="false">
      <c r="A2110" s="0" t="n">
        <v>3697</v>
      </c>
      <c r="B2110" s="0" t="n">
        <v>22317</v>
      </c>
      <c r="C2110" s="0" t="s">
        <v>15079</v>
      </c>
      <c r="D2110" s="0" t="s">
        <v>23</v>
      </c>
      <c r="F2110" s="0" t="s">
        <v>18611</v>
      </c>
      <c r="G2110" s="0" t="s">
        <v>18110</v>
      </c>
    </row>
    <row r="2111" customFormat="false" ht="15" hidden="false" customHeight="false" outlineLevel="0" collapsed="false">
      <c r="A2111" s="0" t="n">
        <v>3708</v>
      </c>
      <c r="B2111" s="0" t="n">
        <v>22328</v>
      </c>
      <c r="C2111" s="0" t="s">
        <v>15124</v>
      </c>
      <c r="D2111" s="0" t="s">
        <v>23</v>
      </c>
      <c r="F2111" s="0" t="s">
        <v>18612</v>
      </c>
      <c r="G2111" s="0" t="s">
        <v>18110</v>
      </c>
    </row>
    <row r="2112" customFormat="false" ht="15" hidden="false" customHeight="false" outlineLevel="0" collapsed="false">
      <c r="A2112" s="0" t="n">
        <v>3709</v>
      </c>
      <c r="B2112" s="0" t="n">
        <v>22329</v>
      </c>
      <c r="C2112" s="0" t="s">
        <v>15128</v>
      </c>
      <c r="D2112" s="0" t="s">
        <v>23</v>
      </c>
      <c r="F2112" s="0" t="s">
        <v>18613</v>
      </c>
      <c r="G2112" s="0" t="s">
        <v>18110</v>
      </c>
    </row>
    <row r="2113" customFormat="false" ht="15" hidden="false" customHeight="false" outlineLevel="0" collapsed="false">
      <c r="A2113" s="0" t="n">
        <v>3726</v>
      </c>
      <c r="B2113" s="0" t="n">
        <v>22346</v>
      </c>
      <c r="C2113" s="0" t="s">
        <v>15201</v>
      </c>
      <c r="D2113" s="0" t="s">
        <v>23</v>
      </c>
      <c r="F2113" s="0" t="s">
        <v>18614</v>
      </c>
      <c r="G2113" s="0" t="s">
        <v>18110</v>
      </c>
    </row>
    <row r="2114" customFormat="false" ht="15" hidden="false" customHeight="false" outlineLevel="0" collapsed="false">
      <c r="A2114" s="0" t="n">
        <v>3727</v>
      </c>
      <c r="B2114" s="0" t="n">
        <v>22347</v>
      </c>
      <c r="C2114" s="0" t="s">
        <v>15206</v>
      </c>
      <c r="D2114" s="0" t="s">
        <v>23</v>
      </c>
      <c r="F2114" s="0" t="s">
        <v>18615</v>
      </c>
      <c r="G2114" s="0" t="s">
        <v>18110</v>
      </c>
    </row>
    <row r="2115" customFormat="false" ht="15" hidden="false" customHeight="false" outlineLevel="0" collapsed="false">
      <c r="A2115" s="0" t="n">
        <v>3728</v>
      </c>
      <c r="B2115" s="0" t="n">
        <v>22348</v>
      </c>
      <c r="C2115" s="0" t="s">
        <v>15210</v>
      </c>
      <c r="D2115" s="0" t="s">
        <v>23</v>
      </c>
      <c r="F2115" s="0" t="s">
        <v>18616</v>
      </c>
      <c r="G2115" s="0" t="s">
        <v>18110</v>
      </c>
    </row>
    <row r="2116" customFormat="false" ht="15" hidden="false" customHeight="false" outlineLevel="0" collapsed="false">
      <c r="A2116" s="0" t="n">
        <v>3729</v>
      </c>
      <c r="B2116" s="0" t="n">
        <v>22349</v>
      </c>
      <c r="C2116" s="0" t="s">
        <v>15214</v>
      </c>
      <c r="D2116" s="0" t="s">
        <v>23</v>
      </c>
      <c r="F2116" s="0" t="s">
        <v>18617</v>
      </c>
      <c r="G2116" s="0" t="s">
        <v>18110</v>
      </c>
    </row>
    <row r="2117" customFormat="false" ht="15" hidden="false" customHeight="false" outlineLevel="0" collapsed="false">
      <c r="A2117" s="0" t="n">
        <v>3730</v>
      </c>
      <c r="B2117" s="0" t="n">
        <v>22350</v>
      </c>
      <c r="C2117" s="0" t="s">
        <v>15218</v>
      </c>
      <c r="D2117" s="0" t="s">
        <v>23</v>
      </c>
      <c r="F2117" s="0" t="s">
        <v>18618</v>
      </c>
      <c r="G2117" s="0" t="s">
        <v>18110</v>
      </c>
    </row>
    <row r="2118" customFormat="false" ht="15" hidden="false" customHeight="false" outlineLevel="0" collapsed="false">
      <c r="A2118" s="0" t="n">
        <v>3731</v>
      </c>
      <c r="B2118" s="0" t="n">
        <v>22351</v>
      </c>
      <c r="C2118" s="0" t="s">
        <v>14568</v>
      </c>
      <c r="D2118" s="0" t="s">
        <v>23</v>
      </c>
      <c r="F2118" s="0" t="s">
        <v>18619</v>
      </c>
      <c r="G2118" s="0" t="s">
        <v>18110</v>
      </c>
    </row>
    <row r="2119" customFormat="false" ht="15" hidden="false" customHeight="false" outlineLevel="0" collapsed="false">
      <c r="A2119" s="0" t="n">
        <v>3732</v>
      </c>
      <c r="B2119" s="0" t="n">
        <v>22352</v>
      </c>
      <c r="C2119" s="0" t="s">
        <v>15225</v>
      </c>
      <c r="D2119" s="0" t="s">
        <v>23</v>
      </c>
      <c r="F2119" s="0" t="s">
        <v>18620</v>
      </c>
      <c r="G2119" s="0" t="s">
        <v>18110</v>
      </c>
    </row>
    <row r="2120" customFormat="false" ht="15" hidden="false" customHeight="false" outlineLevel="0" collapsed="false">
      <c r="A2120" s="0" t="n">
        <v>3733</v>
      </c>
      <c r="B2120" s="0" t="n">
        <v>22353</v>
      </c>
      <c r="C2120" s="0" t="s">
        <v>15229</v>
      </c>
      <c r="D2120" s="0" t="s">
        <v>23</v>
      </c>
      <c r="F2120" s="0" t="s">
        <v>18621</v>
      </c>
      <c r="G2120" s="0" t="s">
        <v>18110</v>
      </c>
    </row>
    <row r="2121" customFormat="false" ht="15" hidden="false" customHeight="false" outlineLevel="0" collapsed="false">
      <c r="A2121" s="0" t="n">
        <v>3734</v>
      </c>
      <c r="B2121" s="0" t="n">
        <v>22354</v>
      </c>
      <c r="C2121" s="0" t="s">
        <v>15233</v>
      </c>
      <c r="D2121" s="0" t="s">
        <v>23</v>
      </c>
      <c r="F2121" s="0" t="s">
        <v>18622</v>
      </c>
      <c r="G2121" s="0" t="s">
        <v>18110</v>
      </c>
    </row>
    <row r="2122" customFormat="false" ht="15" hidden="false" customHeight="false" outlineLevel="0" collapsed="false">
      <c r="A2122" s="0" t="n">
        <v>3737</v>
      </c>
      <c r="B2122" s="0" t="n">
        <v>22357</v>
      </c>
      <c r="C2122" s="0" t="s">
        <v>15245</v>
      </c>
      <c r="D2122" s="0" t="s">
        <v>23</v>
      </c>
      <c r="F2122" s="0" t="s">
        <v>18623</v>
      </c>
      <c r="G2122" s="0" t="s">
        <v>18110</v>
      </c>
    </row>
    <row r="2123" customFormat="false" ht="15" hidden="false" customHeight="false" outlineLevel="0" collapsed="false">
      <c r="A2123" s="0" t="n">
        <v>3740</v>
      </c>
      <c r="B2123" s="0" t="n">
        <v>22360</v>
      </c>
      <c r="C2123" s="0" t="s">
        <v>15258</v>
      </c>
      <c r="D2123" s="0" t="s">
        <v>23</v>
      </c>
      <c r="F2123" s="0" t="s">
        <v>18624</v>
      </c>
      <c r="G2123" s="0" t="s">
        <v>18110</v>
      </c>
    </row>
    <row r="2124" customFormat="false" ht="15" hidden="false" customHeight="false" outlineLevel="0" collapsed="false">
      <c r="A2124" s="0" t="n">
        <v>3741</v>
      </c>
      <c r="B2124" s="0" t="n">
        <v>22361</v>
      </c>
      <c r="C2124" s="0" t="s">
        <v>15263</v>
      </c>
      <c r="D2124" s="0" t="s">
        <v>23</v>
      </c>
      <c r="F2124" s="0" t="s">
        <v>18625</v>
      </c>
      <c r="G2124" s="0" t="s">
        <v>18110</v>
      </c>
    </row>
    <row r="2125" customFormat="false" ht="15" hidden="false" customHeight="false" outlineLevel="0" collapsed="false">
      <c r="A2125" s="0" t="n">
        <v>3742</v>
      </c>
      <c r="B2125" s="0" t="n">
        <v>22362</v>
      </c>
      <c r="C2125" s="0" t="s">
        <v>15267</v>
      </c>
      <c r="D2125" s="0" t="s">
        <v>23</v>
      </c>
      <c r="F2125" s="0" t="s">
        <v>18626</v>
      </c>
      <c r="G2125" s="0" t="s">
        <v>18110</v>
      </c>
    </row>
    <row r="2126" customFormat="false" ht="15" hidden="false" customHeight="false" outlineLevel="0" collapsed="false">
      <c r="A2126" s="0" t="n">
        <v>3743</v>
      </c>
      <c r="B2126" s="0" t="n">
        <v>22363</v>
      </c>
      <c r="C2126" s="0" t="s">
        <v>15271</v>
      </c>
      <c r="D2126" s="0" t="s">
        <v>23</v>
      </c>
      <c r="F2126" s="0" t="s">
        <v>18627</v>
      </c>
      <c r="G2126" s="0" t="s">
        <v>18110</v>
      </c>
    </row>
    <row r="2127" customFormat="false" ht="15" hidden="false" customHeight="false" outlineLevel="0" collapsed="false">
      <c r="A2127" s="0" t="n">
        <v>3773</v>
      </c>
      <c r="B2127" s="0" t="n">
        <v>22395</v>
      </c>
      <c r="C2127" s="0" t="s">
        <v>15404</v>
      </c>
      <c r="D2127" s="0" t="s">
        <v>23</v>
      </c>
      <c r="F2127" s="0" t="s">
        <v>18628</v>
      </c>
      <c r="G2127" s="0" t="s">
        <v>18110</v>
      </c>
    </row>
    <row r="2128" customFormat="false" ht="15" hidden="false" customHeight="false" outlineLevel="0" collapsed="false">
      <c r="A2128" s="0" t="n">
        <v>3774</v>
      </c>
      <c r="B2128" s="0" t="n">
        <v>22396</v>
      </c>
      <c r="C2128" s="0" t="s">
        <v>15408</v>
      </c>
      <c r="D2128" s="0" t="s">
        <v>23</v>
      </c>
      <c r="F2128" s="0" t="s">
        <v>18629</v>
      </c>
      <c r="G2128" s="0" t="s">
        <v>18110</v>
      </c>
    </row>
    <row r="2129" customFormat="false" ht="15" hidden="false" customHeight="false" outlineLevel="0" collapsed="false">
      <c r="A2129" s="0" t="n">
        <v>3778</v>
      </c>
      <c r="B2129" s="0" t="n">
        <v>22400</v>
      </c>
      <c r="C2129" s="0" t="s">
        <v>15426</v>
      </c>
      <c r="D2129" s="0" t="s">
        <v>23</v>
      </c>
      <c r="F2129" s="0" t="s">
        <v>18630</v>
      </c>
      <c r="G2129" s="0" t="s">
        <v>18110</v>
      </c>
    </row>
    <row r="2130" customFormat="false" ht="15" hidden="false" customHeight="false" outlineLevel="0" collapsed="false">
      <c r="A2130" s="0" t="n">
        <v>3787</v>
      </c>
      <c r="B2130" s="0" t="n">
        <v>22409</v>
      </c>
      <c r="C2130" s="0" t="s">
        <v>15467</v>
      </c>
      <c r="D2130" s="0" t="s">
        <v>23</v>
      </c>
      <c r="F2130" s="0" t="s">
        <v>18631</v>
      </c>
      <c r="G2130" s="0" t="s">
        <v>18110</v>
      </c>
    </row>
    <row r="2131" customFormat="false" ht="15" hidden="false" customHeight="false" outlineLevel="0" collapsed="false">
      <c r="A2131" s="0" t="n">
        <v>3788</v>
      </c>
      <c r="B2131" s="0" t="n">
        <v>22410</v>
      </c>
      <c r="C2131" s="0" t="s">
        <v>15472</v>
      </c>
      <c r="D2131" s="0" t="s">
        <v>23</v>
      </c>
      <c r="F2131" s="0" t="s">
        <v>18632</v>
      </c>
      <c r="G2131" s="0" t="s">
        <v>18110</v>
      </c>
    </row>
    <row r="2132" customFormat="false" ht="15" hidden="false" customHeight="false" outlineLevel="0" collapsed="false">
      <c r="A2132" s="0" t="n">
        <v>3789</v>
      </c>
      <c r="B2132" s="0" t="n">
        <v>22411</v>
      </c>
      <c r="C2132" s="0" t="s">
        <v>15476</v>
      </c>
      <c r="D2132" s="0" t="s">
        <v>23</v>
      </c>
      <c r="F2132" s="0" t="s">
        <v>18633</v>
      </c>
      <c r="G2132" s="0" t="s">
        <v>18110</v>
      </c>
    </row>
    <row r="2133" customFormat="false" ht="15" hidden="false" customHeight="false" outlineLevel="0" collapsed="false">
      <c r="A2133" s="0" t="n">
        <v>3790</v>
      </c>
      <c r="B2133" s="0" t="n">
        <v>22412</v>
      </c>
      <c r="C2133" s="0" t="s">
        <v>15480</v>
      </c>
      <c r="D2133" s="0" t="s">
        <v>23</v>
      </c>
      <c r="F2133" s="0" t="s">
        <v>18634</v>
      </c>
      <c r="G2133" s="0" t="s">
        <v>18110</v>
      </c>
    </row>
    <row r="2134" customFormat="false" ht="15" hidden="false" customHeight="false" outlineLevel="0" collapsed="false">
      <c r="A2134" s="0" t="n">
        <v>3793</v>
      </c>
      <c r="B2134" s="0" t="n">
        <v>22421</v>
      </c>
      <c r="C2134" s="0" t="s">
        <v>15494</v>
      </c>
      <c r="D2134" s="0" t="s">
        <v>23</v>
      </c>
      <c r="F2134" s="0" t="s">
        <v>18635</v>
      </c>
      <c r="G2134" s="0" t="s">
        <v>18110</v>
      </c>
    </row>
    <row r="2135" customFormat="false" ht="15" hidden="false" customHeight="false" outlineLevel="0" collapsed="false">
      <c r="A2135" s="0" t="n">
        <v>3794</v>
      </c>
      <c r="B2135" s="0" t="n">
        <v>22517</v>
      </c>
      <c r="C2135" s="0" t="s">
        <v>15499</v>
      </c>
      <c r="D2135" s="0" t="s">
        <v>23</v>
      </c>
      <c r="F2135" s="0" t="s">
        <v>18636</v>
      </c>
      <c r="G2135" s="0" t="s">
        <v>18110</v>
      </c>
    </row>
    <row r="2136" customFormat="false" ht="15" hidden="false" customHeight="false" outlineLevel="0" collapsed="false">
      <c r="A2136" s="0" t="n">
        <v>3800</v>
      </c>
      <c r="B2136" s="0" t="n">
        <v>22427</v>
      </c>
      <c r="C2136" s="0" t="s">
        <v>15523</v>
      </c>
      <c r="D2136" s="0" t="s">
        <v>23</v>
      </c>
      <c r="F2136" s="0" t="s">
        <v>18637</v>
      </c>
      <c r="G2136" s="0" t="s">
        <v>18110</v>
      </c>
    </row>
    <row r="2137" customFormat="false" ht="15" hidden="false" customHeight="false" outlineLevel="0" collapsed="false">
      <c r="A2137" s="0" t="n">
        <v>3801</v>
      </c>
      <c r="B2137" s="0" t="n">
        <v>22428</v>
      </c>
      <c r="C2137" s="0" t="s">
        <v>15528</v>
      </c>
      <c r="D2137" s="0" t="s">
        <v>23</v>
      </c>
      <c r="F2137" s="0" t="s">
        <v>18638</v>
      </c>
      <c r="G2137" s="0" t="s">
        <v>18110</v>
      </c>
    </row>
    <row r="2138" customFormat="false" ht="15" hidden="false" customHeight="false" outlineLevel="0" collapsed="false">
      <c r="A2138" s="0" t="n">
        <v>3805</v>
      </c>
      <c r="B2138" s="0" t="n">
        <v>22432</v>
      </c>
      <c r="C2138" s="0" t="s">
        <v>15546</v>
      </c>
      <c r="D2138" s="0" t="s">
        <v>23</v>
      </c>
      <c r="F2138" s="0" t="s">
        <v>18639</v>
      </c>
      <c r="G2138" s="0" t="s">
        <v>18110</v>
      </c>
    </row>
    <row r="2139" customFormat="false" ht="15" hidden="false" customHeight="false" outlineLevel="0" collapsed="false">
      <c r="A2139" s="0" t="n">
        <v>3806</v>
      </c>
      <c r="B2139" s="0" t="n">
        <v>22433</v>
      </c>
      <c r="C2139" s="0" t="s">
        <v>15551</v>
      </c>
      <c r="D2139" s="0" t="s">
        <v>23</v>
      </c>
      <c r="F2139" s="0" t="s">
        <v>18640</v>
      </c>
      <c r="G2139" s="0" t="s">
        <v>18110</v>
      </c>
    </row>
    <row r="2140" customFormat="false" ht="15" hidden="false" customHeight="false" outlineLevel="0" collapsed="false">
      <c r="A2140" s="0" t="n">
        <v>3807</v>
      </c>
      <c r="B2140" s="0" t="n">
        <v>22434</v>
      </c>
      <c r="C2140" s="0" t="s">
        <v>15556</v>
      </c>
      <c r="D2140" s="0" t="s">
        <v>23</v>
      </c>
      <c r="F2140" s="0" t="s">
        <v>18641</v>
      </c>
      <c r="G2140" s="0" t="s">
        <v>18110</v>
      </c>
    </row>
    <row r="2141" customFormat="false" ht="15" hidden="false" customHeight="false" outlineLevel="0" collapsed="false">
      <c r="A2141" s="0" t="n">
        <v>3820</v>
      </c>
      <c r="B2141" s="0" t="n">
        <v>22447</v>
      </c>
      <c r="C2141" s="0" t="s">
        <v>15615</v>
      </c>
      <c r="D2141" s="0" t="s">
        <v>23</v>
      </c>
      <c r="F2141" s="0" t="s">
        <v>18642</v>
      </c>
      <c r="G2141" s="0" t="s">
        <v>18110</v>
      </c>
    </row>
    <row r="2142" customFormat="false" ht="15" hidden="false" customHeight="false" outlineLevel="0" collapsed="false">
      <c r="A2142" s="0" t="n">
        <v>3821</v>
      </c>
      <c r="B2142" s="0" t="n">
        <v>22448</v>
      </c>
      <c r="C2142" s="0" t="s">
        <v>15620</v>
      </c>
      <c r="D2142" s="0" t="s">
        <v>23</v>
      </c>
      <c r="F2142" s="0" t="s">
        <v>18643</v>
      </c>
      <c r="G2142" s="0" t="s">
        <v>18110</v>
      </c>
    </row>
    <row r="2143" customFormat="false" ht="15" hidden="false" customHeight="false" outlineLevel="0" collapsed="false">
      <c r="A2143" s="0" t="n">
        <v>3828</v>
      </c>
      <c r="B2143" s="0" t="n">
        <v>22455</v>
      </c>
      <c r="C2143" s="0" t="s">
        <v>15651</v>
      </c>
      <c r="D2143" s="0" t="s">
        <v>23</v>
      </c>
      <c r="F2143" s="0" t="s">
        <v>18644</v>
      </c>
      <c r="G2143" s="0" t="s">
        <v>18110</v>
      </c>
    </row>
    <row r="2144" customFormat="false" ht="15" hidden="false" customHeight="false" outlineLevel="0" collapsed="false">
      <c r="A2144" s="0" t="n">
        <v>3829</v>
      </c>
      <c r="B2144" s="0" t="n">
        <v>22456</v>
      </c>
      <c r="C2144" s="0" t="s">
        <v>15655</v>
      </c>
      <c r="D2144" s="0" t="s">
        <v>23</v>
      </c>
      <c r="F2144" s="0" t="s">
        <v>18645</v>
      </c>
      <c r="G2144" s="0" t="s">
        <v>18110</v>
      </c>
    </row>
    <row r="2145" customFormat="false" ht="15" hidden="false" customHeight="false" outlineLevel="0" collapsed="false">
      <c r="A2145" s="0" t="n">
        <v>3833</v>
      </c>
      <c r="B2145" s="0" t="n">
        <v>22460</v>
      </c>
      <c r="C2145" s="0" t="s">
        <v>15674</v>
      </c>
      <c r="D2145" s="0" t="s">
        <v>23</v>
      </c>
      <c r="F2145" s="0" t="s">
        <v>18646</v>
      </c>
      <c r="G2145" s="0" t="s">
        <v>18110</v>
      </c>
    </row>
    <row r="2146" customFormat="false" ht="15" hidden="false" customHeight="false" outlineLevel="0" collapsed="false">
      <c r="A2146" s="0" t="n">
        <v>3877</v>
      </c>
      <c r="B2146" s="0" t="n">
        <v>22504</v>
      </c>
      <c r="C2146" s="0" t="s">
        <v>15874</v>
      </c>
      <c r="D2146" s="0" t="s">
        <v>23</v>
      </c>
      <c r="F2146" s="0" t="s">
        <v>18647</v>
      </c>
      <c r="G2146" s="0" t="s">
        <v>18110</v>
      </c>
    </row>
    <row r="2147" customFormat="false" ht="15" hidden="false" customHeight="false" outlineLevel="0" collapsed="false">
      <c r="A2147" s="0" t="n">
        <v>3909</v>
      </c>
      <c r="B2147" s="0" t="n">
        <v>22536</v>
      </c>
      <c r="C2147" s="0" t="s">
        <v>16007</v>
      </c>
      <c r="D2147" s="0" t="s">
        <v>23</v>
      </c>
      <c r="F2147" s="0" t="s">
        <v>18648</v>
      </c>
      <c r="G2147" s="0" t="s">
        <v>18110</v>
      </c>
    </row>
    <row r="2148" customFormat="false" ht="15" hidden="false" customHeight="false" outlineLevel="0" collapsed="false">
      <c r="A2148" s="0" t="n">
        <v>3912</v>
      </c>
      <c r="B2148" s="0" t="n">
        <v>22539</v>
      </c>
      <c r="C2148" s="0" t="s">
        <v>16020</v>
      </c>
      <c r="D2148" s="0" t="s">
        <v>23</v>
      </c>
      <c r="F2148" s="0" t="s">
        <v>18649</v>
      </c>
      <c r="G2148" s="0" t="s">
        <v>18110</v>
      </c>
    </row>
    <row r="2149" customFormat="false" ht="15" hidden="false" customHeight="false" outlineLevel="0" collapsed="false">
      <c r="A2149" s="0" t="n">
        <v>3913</v>
      </c>
      <c r="B2149" s="0" t="n">
        <v>22540</v>
      </c>
      <c r="C2149" s="0" t="s">
        <v>16023</v>
      </c>
      <c r="D2149" s="0" t="s">
        <v>23</v>
      </c>
      <c r="F2149" s="0" t="s">
        <v>18650</v>
      </c>
      <c r="G2149" s="0" t="s">
        <v>18110</v>
      </c>
    </row>
    <row r="2150" customFormat="false" ht="15" hidden="false" customHeight="false" outlineLevel="0" collapsed="false">
      <c r="A2150" s="0" t="n">
        <v>3931</v>
      </c>
      <c r="B2150" s="0" t="n">
        <v>22314</v>
      </c>
      <c r="C2150" s="0" t="s">
        <v>16089</v>
      </c>
      <c r="D2150" s="0" t="s">
        <v>23</v>
      </c>
      <c r="F2150" s="0" t="s">
        <v>18651</v>
      </c>
      <c r="G2150" s="0" t="s">
        <v>18110</v>
      </c>
    </row>
    <row r="2151" customFormat="false" ht="15" hidden="false" customHeight="false" outlineLevel="0" collapsed="false">
      <c r="A2151" s="0" t="n">
        <v>4024</v>
      </c>
      <c r="B2151" s="0" t="n">
        <v>22316</v>
      </c>
      <c r="C2151" s="0" t="s">
        <v>16481</v>
      </c>
      <c r="D2151" s="0" t="s">
        <v>23</v>
      </c>
      <c r="F2151" s="0" t="s">
        <v>18652</v>
      </c>
      <c r="G2151" s="0" t="s">
        <v>18110</v>
      </c>
    </row>
    <row r="2152" customFormat="false" ht="15" hidden="false" customHeight="false" outlineLevel="0" collapsed="false">
      <c r="A2152" s="0" t="n">
        <v>4029</v>
      </c>
      <c r="B2152" s="0" t="n">
        <v>22315</v>
      </c>
      <c r="C2152" s="0" t="s">
        <v>16501</v>
      </c>
      <c r="D2152" s="0" t="s">
        <v>23</v>
      </c>
      <c r="F2152" s="0" t="s">
        <v>18653</v>
      </c>
      <c r="G2152" s="0" t="s">
        <v>18110</v>
      </c>
    </row>
    <row r="2153" customFormat="false" ht="15" hidden="false" customHeight="false" outlineLevel="0" collapsed="false">
      <c r="A2153" s="0" t="n">
        <v>4062</v>
      </c>
      <c r="B2153" s="0" t="n">
        <v>22425</v>
      </c>
      <c r="C2153" s="0" t="s">
        <v>16636</v>
      </c>
      <c r="D2153" s="0" t="s">
        <v>23</v>
      </c>
      <c r="F2153" s="0" t="s">
        <v>18654</v>
      </c>
      <c r="G2153" s="0" t="s">
        <v>18110</v>
      </c>
    </row>
    <row r="2154" customFormat="false" ht="15" hidden="false" customHeight="false" outlineLevel="0" collapsed="false">
      <c r="A2154" s="0" t="n">
        <v>4075</v>
      </c>
      <c r="B2154" s="0" t="n">
        <v>22853</v>
      </c>
      <c r="C2154" s="0" t="s">
        <v>16688</v>
      </c>
      <c r="D2154" s="0" t="s">
        <v>23</v>
      </c>
      <c r="F2154" s="0" t="s">
        <v>18655</v>
      </c>
      <c r="G2154" s="0" t="s">
        <v>18110</v>
      </c>
    </row>
    <row r="2155" customFormat="false" ht="15" hidden="false" customHeight="false" outlineLevel="0" collapsed="false">
      <c r="A2155" s="0" t="n">
        <v>4080</v>
      </c>
      <c r="B2155" s="0" t="n">
        <v>22424</v>
      </c>
      <c r="C2155" s="0" t="s">
        <v>16708</v>
      </c>
      <c r="D2155" s="0" t="s">
        <v>23</v>
      </c>
      <c r="F2155" s="0" t="s">
        <v>18656</v>
      </c>
      <c r="G2155" s="0" t="s">
        <v>18110</v>
      </c>
    </row>
    <row r="2156" customFormat="false" ht="15" hidden="false" customHeight="false" outlineLevel="0" collapsed="false">
      <c r="A2156" s="0" t="n">
        <v>4083</v>
      </c>
      <c r="B2156" s="0" t="n">
        <v>22850</v>
      </c>
      <c r="C2156" s="0" t="s">
        <v>16721</v>
      </c>
      <c r="D2156" s="0" t="s">
        <v>23</v>
      </c>
      <c r="F2156" s="0" t="s">
        <v>18657</v>
      </c>
      <c r="G2156" s="0" t="s">
        <v>18110</v>
      </c>
    </row>
    <row r="2157" customFormat="false" ht="15" hidden="false" customHeight="false" outlineLevel="0" collapsed="false">
      <c r="A2157" s="0" t="n">
        <v>4151</v>
      </c>
      <c r="B2157" s="0" t="n">
        <v>22784</v>
      </c>
      <c r="C2157" s="0" t="s">
        <v>17005</v>
      </c>
      <c r="D2157" s="0" t="s">
        <v>23</v>
      </c>
      <c r="F2157" s="0" t="s">
        <v>18658</v>
      </c>
      <c r="G2157" s="0" t="s">
        <v>18110</v>
      </c>
    </row>
    <row r="2158" customFormat="false" ht="15" hidden="false" customHeight="false" outlineLevel="0" collapsed="false">
      <c r="A2158" s="0" t="n">
        <v>4203</v>
      </c>
      <c r="B2158" s="0" t="n">
        <v>22868</v>
      </c>
      <c r="C2158" s="0" t="s">
        <v>17223</v>
      </c>
      <c r="D2158" s="0" t="s">
        <v>23</v>
      </c>
      <c r="F2158" s="0" t="s">
        <v>18659</v>
      </c>
      <c r="G2158" s="0" t="s">
        <v>18110</v>
      </c>
    </row>
    <row r="2159" customFormat="false" ht="15" hidden="false" customHeight="false" outlineLevel="0" collapsed="false">
      <c r="A2159" s="0" t="n">
        <v>4231</v>
      </c>
      <c r="B2159" s="0" t="n">
        <v>22869</v>
      </c>
      <c r="C2159" s="0" t="s">
        <v>17334</v>
      </c>
      <c r="D2159" s="0" t="s">
        <v>23</v>
      </c>
      <c r="F2159" s="0" t="s">
        <v>18660</v>
      </c>
      <c r="G2159" s="0" t="s">
        <v>18110</v>
      </c>
    </row>
    <row r="2160" customFormat="false" ht="15" hidden="false" customHeight="false" outlineLevel="0" collapsed="false">
      <c r="A2160" s="0" t="n">
        <v>4318</v>
      </c>
      <c r="B2160" s="0" t="n">
        <v>22953</v>
      </c>
      <c r="C2160" s="0" t="s">
        <v>17702</v>
      </c>
      <c r="D2160" s="0" t="s">
        <v>23</v>
      </c>
      <c r="F2160" s="0" t="s">
        <v>18661</v>
      </c>
      <c r="G2160" s="0" t="s">
        <v>18110</v>
      </c>
    </row>
    <row r="2161" customFormat="false" ht="15" hidden="false" customHeight="false" outlineLevel="0" collapsed="false">
      <c r="A2161" s="0" t="n">
        <v>4319</v>
      </c>
      <c r="B2161" s="0" t="n">
        <v>22954</v>
      </c>
      <c r="C2161" s="0" t="s">
        <v>17708</v>
      </c>
      <c r="D2161" s="0" t="s">
        <v>23</v>
      </c>
      <c r="F2161" s="0" t="s">
        <v>18662</v>
      </c>
      <c r="G2161" s="0" t="s">
        <v>18110</v>
      </c>
    </row>
    <row r="2162" customFormat="false" ht="15" hidden="false" customHeight="false" outlineLevel="0" collapsed="false">
      <c r="A2162" s="0" t="n">
        <v>4324</v>
      </c>
      <c r="B2162" s="0" t="n">
        <v>22959</v>
      </c>
      <c r="C2162" s="0" t="s">
        <v>17728</v>
      </c>
      <c r="D2162" s="0" t="s">
        <v>23</v>
      </c>
      <c r="F2162" s="0" t="s">
        <v>18663</v>
      </c>
      <c r="G2162" s="0" t="s">
        <v>18110</v>
      </c>
    </row>
    <row r="2163" customFormat="false" ht="15" hidden="false" customHeight="false" outlineLevel="0" collapsed="false">
      <c r="A2163" s="0" t="n">
        <v>4325</v>
      </c>
      <c r="B2163" s="0" t="n">
        <v>22960</v>
      </c>
      <c r="C2163" s="0" t="s">
        <v>17733</v>
      </c>
      <c r="D2163" s="0" t="s">
        <v>23</v>
      </c>
      <c r="F2163" s="0" t="s">
        <v>18664</v>
      </c>
      <c r="G2163" s="0" t="s">
        <v>18110</v>
      </c>
    </row>
    <row r="2164" customFormat="false" ht="15" hidden="false" customHeight="false" outlineLevel="0" collapsed="false">
      <c r="A2164" s="0" t="n">
        <v>4338</v>
      </c>
      <c r="B2164" s="0" t="n">
        <v>22861</v>
      </c>
      <c r="C2164" s="0" t="s">
        <v>17785</v>
      </c>
      <c r="D2164" s="0" t="s">
        <v>23</v>
      </c>
      <c r="F2164" s="0" t="s">
        <v>18665</v>
      </c>
      <c r="G2164" s="0" t="s">
        <v>18110</v>
      </c>
    </row>
    <row r="2165" customFormat="false" ht="15" hidden="false" customHeight="false" outlineLevel="0" collapsed="false">
      <c r="A2165" s="0" t="n">
        <v>4349</v>
      </c>
      <c r="B2165" s="0" t="n">
        <v>22843</v>
      </c>
      <c r="C2165" s="0" t="s">
        <v>17829</v>
      </c>
      <c r="D2165" s="0" t="s">
        <v>23</v>
      </c>
      <c r="F2165" s="0" t="s">
        <v>18666</v>
      </c>
      <c r="G2165" s="0" t="s">
        <v>18110</v>
      </c>
    </row>
    <row r="2166" customFormat="false" ht="15" hidden="false" customHeight="false" outlineLevel="0" collapsed="false">
      <c r="A2166" s="0" t="n">
        <v>4365</v>
      </c>
      <c r="B2166" s="0" t="n">
        <v>22858</v>
      </c>
      <c r="C2166" s="0" t="s">
        <v>17889</v>
      </c>
      <c r="D2166" s="0" t="s">
        <v>23</v>
      </c>
      <c r="F2166" s="0" t="s">
        <v>18667</v>
      </c>
      <c r="G2166" s="0" t="s">
        <v>18110</v>
      </c>
    </row>
    <row r="2167" customFormat="false" ht="15" hidden="false" customHeight="false" outlineLevel="0" collapsed="false">
      <c r="A2167" s="0" t="n">
        <v>4367</v>
      </c>
      <c r="B2167" s="0" t="n">
        <v>22854</v>
      </c>
      <c r="C2167" s="0" t="s">
        <v>17896</v>
      </c>
      <c r="D2167" s="0" t="s">
        <v>23</v>
      </c>
      <c r="F2167" s="0" t="s">
        <v>18668</v>
      </c>
      <c r="G2167" s="0" t="s">
        <v>18110</v>
      </c>
    </row>
    <row r="2168" customFormat="false" ht="15" hidden="false" customHeight="false" outlineLevel="0" collapsed="false">
      <c r="A2168" s="0" t="n">
        <v>4385</v>
      </c>
      <c r="B2168" s="0" t="n">
        <v>23020</v>
      </c>
      <c r="C2168" s="0" t="s">
        <v>16959</v>
      </c>
      <c r="D2168" s="0" t="s">
        <v>23</v>
      </c>
      <c r="F2168" s="0" t="s">
        <v>18669</v>
      </c>
      <c r="G2168" s="0" t="s">
        <v>18110</v>
      </c>
    </row>
    <row r="2169" customFormat="false" ht="15" hidden="false" customHeight="false" outlineLevel="0" collapsed="false">
      <c r="A2169" s="0" t="n">
        <v>3509</v>
      </c>
      <c r="B2169" s="0" t="n">
        <v>22127</v>
      </c>
      <c r="C2169" s="0" t="s">
        <v>14339</v>
      </c>
      <c r="D2169" s="0" t="s">
        <v>7</v>
      </c>
      <c r="F2169" s="0" t="s">
        <v>35</v>
      </c>
      <c r="G2169" s="0" t="s">
        <v>18670</v>
      </c>
    </row>
    <row r="2170" customFormat="false" ht="15" hidden="false" customHeight="false" outlineLevel="0" collapsed="false">
      <c r="A2170" s="0" t="n">
        <v>3510</v>
      </c>
      <c r="B2170" s="0" t="n">
        <v>22128</v>
      </c>
      <c r="C2170" s="0" t="s">
        <v>14343</v>
      </c>
      <c r="D2170" s="0" t="s">
        <v>7</v>
      </c>
      <c r="F2170" s="0" t="s">
        <v>35</v>
      </c>
      <c r="G2170" s="0" t="s">
        <v>18670</v>
      </c>
    </row>
    <row r="2171" customFormat="false" ht="15" hidden="false" customHeight="false" outlineLevel="0" collapsed="false">
      <c r="A2171" s="0" t="n">
        <v>3511</v>
      </c>
      <c r="B2171" s="0" t="n">
        <v>22129</v>
      </c>
      <c r="C2171" s="0" t="s">
        <v>14346</v>
      </c>
      <c r="D2171" s="0" t="s">
        <v>7</v>
      </c>
      <c r="F2171" s="0" t="s">
        <v>35</v>
      </c>
      <c r="G2171" s="0" t="s">
        <v>18670</v>
      </c>
    </row>
    <row r="2172" customFormat="false" ht="15" hidden="false" customHeight="false" outlineLevel="0" collapsed="false">
      <c r="A2172" s="0" t="n">
        <v>373</v>
      </c>
      <c r="B2172" s="0" t="n">
        <v>22546</v>
      </c>
      <c r="C2172" s="0" t="s">
        <v>1679</v>
      </c>
      <c r="D2172" s="0" t="s">
        <v>6</v>
      </c>
      <c r="F2172" s="0" t="s">
        <v>57</v>
      </c>
      <c r="G2172" s="0" t="s">
        <v>18671</v>
      </c>
    </row>
    <row r="2173" customFormat="false" ht="15" hidden="false" customHeight="false" outlineLevel="0" collapsed="false">
      <c r="A2173" s="0" t="n">
        <v>383</v>
      </c>
      <c r="B2173" s="0" t="n">
        <v>21700</v>
      </c>
      <c r="C2173" s="0" t="s">
        <v>1720</v>
      </c>
      <c r="D2173" s="0" t="s">
        <v>6</v>
      </c>
      <c r="F2173" s="0" t="s">
        <v>57</v>
      </c>
      <c r="G2173" s="0" t="s">
        <v>18671</v>
      </c>
    </row>
    <row r="2174" customFormat="false" ht="15" hidden="false" customHeight="false" outlineLevel="0" collapsed="false">
      <c r="A2174" s="0" t="n">
        <v>384</v>
      </c>
      <c r="B2174" s="0" t="n">
        <v>22426</v>
      </c>
      <c r="C2174" s="0" t="s">
        <v>1726</v>
      </c>
      <c r="D2174" s="0" t="s">
        <v>6</v>
      </c>
      <c r="F2174" s="0" t="s">
        <v>57</v>
      </c>
      <c r="G2174" s="0" t="s">
        <v>18671</v>
      </c>
    </row>
    <row r="2175" customFormat="false" ht="15" hidden="false" customHeight="false" outlineLevel="0" collapsed="false">
      <c r="A2175" s="0" t="n">
        <v>390</v>
      </c>
      <c r="B2175" s="0" t="n">
        <v>21679</v>
      </c>
      <c r="C2175" s="0" t="s">
        <v>1758</v>
      </c>
      <c r="D2175" s="0" t="s">
        <v>6</v>
      </c>
      <c r="F2175" s="0" t="s">
        <v>57</v>
      </c>
      <c r="G2175" s="0" t="s">
        <v>18671</v>
      </c>
    </row>
    <row r="2176" customFormat="false" ht="15" hidden="false" customHeight="false" outlineLevel="0" collapsed="false">
      <c r="A2176" s="0" t="n">
        <v>393</v>
      </c>
      <c r="B2176" s="0" t="n">
        <v>21710</v>
      </c>
      <c r="C2176" s="0" t="s">
        <v>1772</v>
      </c>
      <c r="D2176" s="0" t="s">
        <v>6</v>
      </c>
      <c r="F2176" s="0" t="s">
        <v>57</v>
      </c>
      <c r="G2176" s="0" t="s">
        <v>18671</v>
      </c>
    </row>
    <row r="2177" customFormat="false" ht="15" hidden="false" customHeight="false" outlineLevel="0" collapsed="false">
      <c r="A2177" s="0" t="n">
        <v>421</v>
      </c>
      <c r="B2177" s="0" t="n">
        <v>22322</v>
      </c>
      <c r="C2177" s="0" t="s">
        <v>1898</v>
      </c>
      <c r="D2177" s="0" t="s">
        <v>6</v>
      </c>
      <c r="F2177" s="0" t="s">
        <v>57</v>
      </c>
      <c r="G2177" s="0" t="s">
        <v>18671</v>
      </c>
    </row>
    <row r="2178" customFormat="false" ht="15" hidden="false" customHeight="false" outlineLevel="0" collapsed="false">
      <c r="A2178" s="0" t="n">
        <v>425</v>
      </c>
      <c r="B2178" s="0" t="n">
        <v>21691</v>
      </c>
      <c r="C2178" s="0" t="s">
        <v>1917</v>
      </c>
      <c r="D2178" s="0" t="s">
        <v>6</v>
      </c>
      <c r="F2178" s="0" t="s">
        <v>57</v>
      </c>
      <c r="G2178" s="0" t="s">
        <v>18671</v>
      </c>
    </row>
    <row r="2179" customFormat="false" ht="15" hidden="false" customHeight="false" outlineLevel="0" collapsed="false">
      <c r="A2179" s="0" t="n">
        <v>539</v>
      </c>
      <c r="B2179" s="0" t="n">
        <v>22548</v>
      </c>
      <c r="C2179" s="0" t="s">
        <v>2436</v>
      </c>
      <c r="D2179" s="0" t="s">
        <v>6</v>
      </c>
      <c r="F2179" s="0" t="s">
        <v>57</v>
      </c>
      <c r="G2179" s="0" t="s">
        <v>18671</v>
      </c>
    </row>
    <row r="2180" customFormat="false" ht="15" hidden="false" customHeight="false" outlineLevel="0" collapsed="false">
      <c r="A2180" s="0" t="n">
        <v>577</v>
      </c>
      <c r="B2180" s="0" t="n">
        <v>22318</v>
      </c>
      <c r="C2180" s="0" t="s">
        <v>2599</v>
      </c>
      <c r="D2180" s="0" t="s">
        <v>6</v>
      </c>
      <c r="F2180" s="0" t="s">
        <v>57</v>
      </c>
      <c r="G2180" s="0" t="s">
        <v>18671</v>
      </c>
    </row>
    <row r="2181" customFormat="false" ht="15" hidden="false" customHeight="false" outlineLevel="0" collapsed="false">
      <c r="A2181" s="0" t="n">
        <v>692</v>
      </c>
      <c r="B2181" s="0" t="n">
        <v>22549</v>
      </c>
      <c r="C2181" s="0" t="s">
        <v>3079</v>
      </c>
      <c r="D2181" s="0" t="s">
        <v>6</v>
      </c>
      <c r="F2181" s="0" t="s">
        <v>57</v>
      </c>
      <c r="G2181" s="0" t="s">
        <v>18671</v>
      </c>
    </row>
    <row r="2182" customFormat="false" ht="15" hidden="false" customHeight="false" outlineLevel="0" collapsed="false">
      <c r="A2182" s="0" t="n">
        <v>718</v>
      </c>
      <c r="B2182" s="0" t="n">
        <v>21709</v>
      </c>
      <c r="C2182" s="0" t="s">
        <v>3191</v>
      </c>
      <c r="D2182" s="0" t="s">
        <v>6</v>
      </c>
      <c r="F2182" s="0" t="s">
        <v>57</v>
      </c>
      <c r="G2182" s="0" t="s">
        <v>18671</v>
      </c>
    </row>
    <row r="2183" customFormat="false" ht="15" hidden="false" customHeight="false" outlineLevel="0" collapsed="false">
      <c r="A2183" s="0" t="n">
        <v>720</v>
      </c>
      <c r="B2183" s="0" t="n">
        <v>21685</v>
      </c>
      <c r="C2183" s="0" t="s">
        <v>3199</v>
      </c>
      <c r="D2183" s="0" t="s">
        <v>6</v>
      </c>
      <c r="F2183" s="0" t="s">
        <v>57</v>
      </c>
      <c r="G2183" s="0" t="s">
        <v>18671</v>
      </c>
    </row>
    <row r="2184" customFormat="false" ht="15" hidden="false" customHeight="false" outlineLevel="0" collapsed="false">
      <c r="A2184" s="0" t="n">
        <v>933</v>
      </c>
      <c r="B2184" s="0" t="n">
        <v>22404</v>
      </c>
      <c r="C2184" s="0" t="s">
        <v>4138</v>
      </c>
      <c r="D2184" s="0" t="s">
        <v>6</v>
      </c>
      <c r="F2184" s="0" t="s">
        <v>57</v>
      </c>
      <c r="G2184" s="0" t="s">
        <v>18671</v>
      </c>
    </row>
    <row r="2185" customFormat="false" ht="15" hidden="false" customHeight="false" outlineLevel="0" collapsed="false">
      <c r="A2185" s="0" t="n">
        <v>1117</v>
      </c>
      <c r="B2185" s="0" t="n">
        <v>22544</v>
      </c>
      <c r="C2185" s="0" t="s">
        <v>4919</v>
      </c>
      <c r="D2185" s="0" t="s">
        <v>6</v>
      </c>
      <c r="F2185" s="0" t="s">
        <v>57</v>
      </c>
      <c r="G2185" s="0" t="s">
        <v>18671</v>
      </c>
    </row>
    <row r="2186" customFormat="false" ht="15" hidden="false" customHeight="false" outlineLevel="0" collapsed="false">
      <c r="A2186" s="0" t="n">
        <v>1119</v>
      </c>
      <c r="B2186" s="0" t="n">
        <v>22551</v>
      </c>
      <c r="C2186" s="0" t="s">
        <v>4927</v>
      </c>
      <c r="D2186" s="0" t="s">
        <v>6</v>
      </c>
      <c r="F2186" s="0" t="s">
        <v>57</v>
      </c>
      <c r="G2186" s="0" t="s">
        <v>18671</v>
      </c>
    </row>
    <row r="2187" customFormat="false" ht="15" hidden="false" customHeight="false" outlineLevel="0" collapsed="false">
      <c r="A2187" s="0" t="n">
        <v>1120</v>
      </c>
      <c r="B2187" s="0" t="n">
        <v>22552</v>
      </c>
      <c r="C2187" s="0" t="s">
        <v>4931</v>
      </c>
      <c r="D2187" s="0" t="s">
        <v>6</v>
      </c>
      <c r="F2187" s="0" t="s">
        <v>57</v>
      </c>
      <c r="G2187" s="0" t="s">
        <v>18671</v>
      </c>
    </row>
    <row r="2188" customFormat="false" ht="15" hidden="false" customHeight="false" outlineLevel="0" collapsed="false">
      <c r="A2188" s="0" t="n">
        <v>1121</v>
      </c>
      <c r="B2188" s="0" t="n">
        <v>22553</v>
      </c>
      <c r="C2188" s="0" t="s">
        <v>4935</v>
      </c>
      <c r="D2188" s="0" t="s">
        <v>6</v>
      </c>
      <c r="F2188" s="0" t="s">
        <v>57</v>
      </c>
      <c r="G2188" s="0" t="s">
        <v>18671</v>
      </c>
    </row>
    <row r="2189" customFormat="false" ht="15" hidden="false" customHeight="false" outlineLevel="0" collapsed="false">
      <c r="A2189" s="0" t="n">
        <v>1130</v>
      </c>
      <c r="B2189" s="0" t="n">
        <v>22554</v>
      </c>
      <c r="C2189" s="0" t="s">
        <v>4972</v>
      </c>
      <c r="D2189" s="0" t="s">
        <v>6</v>
      </c>
      <c r="F2189" s="0" t="s">
        <v>57</v>
      </c>
      <c r="G2189" s="0" t="s">
        <v>18671</v>
      </c>
    </row>
    <row r="2190" customFormat="false" ht="15" hidden="false" customHeight="false" outlineLevel="0" collapsed="false">
      <c r="A2190" s="0" t="n">
        <v>1224</v>
      </c>
      <c r="B2190" s="0" t="n">
        <v>22286</v>
      </c>
      <c r="C2190" s="0" t="s">
        <v>5374</v>
      </c>
      <c r="D2190" s="0" t="s">
        <v>6</v>
      </c>
      <c r="F2190" s="0" t="s">
        <v>57</v>
      </c>
      <c r="G2190" s="0" t="s">
        <v>18671</v>
      </c>
    </row>
    <row r="2191" customFormat="false" ht="15" hidden="false" customHeight="false" outlineLevel="0" collapsed="false">
      <c r="A2191" s="0" t="n">
        <v>1323</v>
      </c>
      <c r="B2191" s="0" t="n">
        <v>22403</v>
      </c>
      <c r="C2191" s="0" t="s">
        <v>5804</v>
      </c>
      <c r="D2191" s="0" t="s">
        <v>6</v>
      </c>
      <c r="F2191" s="0" t="s">
        <v>57</v>
      </c>
      <c r="G2191" s="0" t="s">
        <v>18671</v>
      </c>
    </row>
    <row r="2192" customFormat="false" ht="15" hidden="false" customHeight="false" outlineLevel="0" collapsed="false">
      <c r="A2192" s="0" t="n">
        <v>1441</v>
      </c>
      <c r="B2192" s="0" t="n">
        <v>21678</v>
      </c>
      <c r="C2192" s="0" t="s">
        <v>6316</v>
      </c>
      <c r="D2192" s="0" t="s">
        <v>6</v>
      </c>
      <c r="F2192" s="0" t="s">
        <v>57</v>
      </c>
      <c r="G2192" s="0" t="s">
        <v>18671</v>
      </c>
    </row>
    <row r="2193" customFormat="false" ht="15" hidden="false" customHeight="false" outlineLevel="0" collapsed="false">
      <c r="A2193" s="0" t="n">
        <v>1443</v>
      </c>
      <c r="B2193" s="0" t="n">
        <v>22538</v>
      </c>
      <c r="C2193" s="0" t="s">
        <v>6325</v>
      </c>
      <c r="D2193" s="0" t="s">
        <v>6</v>
      </c>
      <c r="F2193" s="0" t="s">
        <v>57</v>
      </c>
      <c r="G2193" s="0" t="s">
        <v>18671</v>
      </c>
    </row>
    <row r="2194" customFormat="false" ht="15" hidden="false" customHeight="false" outlineLevel="0" collapsed="false">
      <c r="A2194" s="0" t="n">
        <v>1526</v>
      </c>
      <c r="B2194" s="0" t="n">
        <v>16309</v>
      </c>
      <c r="C2194" s="0" t="s">
        <v>6686</v>
      </c>
      <c r="D2194" s="0" t="s">
        <v>6</v>
      </c>
      <c r="F2194" s="0" t="s">
        <v>57</v>
      </c>
      <c r="G2194" s="0" t="s">
        <v>18671</v>
      </c>
    </row>
    <row r="2195" customFormat="false" ht="15" hidden="false" customHeight="false" outlineLevel="0" collapsed="false">
      <c r="A2195" s="0" t="n">
        <v>1694</v>
      </c>
      <c r="B2195" s="0" t="n">
        <v>17756</v>
      </c>
      <c r="C2195" s="0" t="s">
        <v>7377</v>
      </c>
      <c r="D2195" s="0" t="s">
        <v>6</v>
      </c>
      <c r="F2195" s="0" t="s">
        <v>57</v>
      </c>
      <c r="G2195" s="0" t="s">
        <v>18671</v>
      </c>
    </row>
    <row r="2196" customFormat="false" ht="15" hidden="false" customHeight="false" outlineLevel="0" collapsed="false">
      <c r="A2196" s="0" t="n">
        <v>1701</v>
      </c>
      <c r="B2196" s="0" t="n">
        <v>22284</v>
      </c>
      <c r="C2196" s="0" t="s">
        <v>7408</v>
      </c>
      <c r="D2196" s="0" t="s">
        <v>6</v>
      </c>
      <c r="F2196" s="0" t="s">
        <v>57</v>
      </c>
      <c r="G2196" s="0" t="s">
        <v>18671</v>
      </c>
    </row>
    <row r="2197" customFormat="false" ht="15" hidden="false" customHeight="false" outlineLevel="0" collapsed="false">
      <c r="A2197" s="0" t="n">
        <v>1878</v>
      </c>
      <c r="B2197" s="0" t="n">
        <v>22556</v>
      </c>
      <c r="C2197" s="0" t="s">
        <v>8155</v>
      </c>
      <c r="D2197" s="0" t="s">
        <v>6</v>
      </c>
      <c r="F2197" s="0" t="s">
        <v>57</v>
      </c>
      <c r="G2197" s="0" t="s">
        <v>18671</v>
      </c>
    </row>
    <row r="2198" customFormat="false" ht="15" hidden="false" customHeight="false" outlineLevel="0" collapsed="false">
      <c r="A2198" s="0" t="n">
        <v>2326</v>
      </c>
      <c r="B2198" s="0" t="n">
        <v>22285</v>
      </c>
      <c r="C2198" s="0" t="s">
        <v>9956</v>
      </c>
      <c r="D2198" s="0" t="s">
        <v>6</v>
      </c>
      <c r="F2198" s="0" t="s">
        <v>57</v>
      </c>
      <c r="G2198" s="0" t="s">
        <v>18671</v>
      </c>
    </row>
    <row r="2199" customFormat="false" ht="15" hidden="false" customHeight="false" outlineLevel="0" collapsed="false">
      <c r="A2199" s="0" t="n">
        <v>2348</v>
      </c>
      <c r="B2199" s="0" t="n">
        <v>22557</v>
      </c>
      <c r="C2199" s="0" t="s">
        <v>10050</v>
      </c>
      <c r="D2199" s="0" t="s">
        <v>6</v>
      </c>
      <c r="F2199" s="0" t="s">
        <v>57</v>
      </c>
      <c r="G2199" s="0" t="s">
        <v>18671</v>
      </c>
    </row>
    <row r="2200" customFormat="false" ht="15" hidden="false" customHeight="false" outlineLevel="0" collapsed="false">
      <c r="A2200" s="0" t="n">
        <v>2374</v>
      </c>
      <c r="B2200" s="0" t="n">
        <v>19984</v>
      </c>
      <c r="C2200" s="0" t="s">
        <v>10165</v>
      </c>
      <c r="D2200" s="0" t="s">
        <v>6</v>
      </c>
      <c r="F2200" s="0" t="s">
        <v>57</v>
      </c>
      <c r="G2200" s="0" t="s">
        <v>18671</v>
      </c>
    </row>
    <row r="2201" customFormat="false" ht="15" hidden="false" customHeight="false" outlineLevel="0" collapsed="false">
      <c r="A2201" s="0" t="n">
        <v>2651</v>
      </c>
      <c r="B2201" s="0" t="n">
        <v>20575</v>
      </c>
      <c r="C2201" s="0" t="s">
        <v>11334</v>
      </c>
      <c r="D2201" s="0" t="s">
        <v>6</v>
      </c>
      <c r="F2201" s="0" t="s">
        <v>57</v>
      </c>
      <c r="G2201" s="0" t="s">
        <v>18671</v>
      </c>
    </row>
    <row r="2202" customFormat="false" ht="15" hidden="false" customHeight="false" outlineLevel="0" collapsed="false">
      <c r="A2202" s="0" t="n">
        <v>2665</v>
      </c>
      <c r="B2202" s="0" t="n">
        <v>20598</v>
      </c>
      <c r="C2202" s="0" t="s">
        <v>11378</v>
      </c>
      <c r="D2202" s="0" t="s">
        <v>6</v>
      </c>
      <c r="F2202" s="0" t="s">
        <v>57</v>
      </c>
      <c r="G2202" s="0" t="s">
        <v>18671</v>
      </c>
    </row>
    <row r="2203" customFormat="false" ht="15" hidden="false" customHeight="false" outlineLevel="0" collapsed="false">
      <c r="A2203" s="0" t="n">
        <v>2715</v>
      </c>
      <c r="B2203" s="0" t="n">
        <v>20817</v>
      </c>
      <c r="C2203" s="0" t="s">
        <v>11561</v>
      </c>
      <c r="D2203" s="0" t="s">
        <v>6</v>
      </c>
      <c r="F2203" s="0" t="s">
        <v>57</v>
      </c>
      <c r="G2203" s="0" t="s">
        <v>18671</v>
      </c>
    </row>
    <row r="2204" customFormat="false" ht="15" hidden="false" customHeight="false" outlineLevel="0" collapsed="false">
      <c r="A2204" s="0" t="n">
        <v>2716</v>
      </c>
      <c r="B2204" s="0" t="n">
        <v>20818</v>
      </c>
      <c r="C2204" s="0" t="s">
        <v>11564</v>
      </c>
      <c r="D2204" s="0" t="s">
        <v>6</v>
      </c>
      <c r="F2204" s="0" t="s">
        <v>57</v>
      </c>
      <c r="G2204" s="0" t="s">
        <v>18671</v>
      </c>
    </row>
    <row r="2205" customFormat="false" ht="15" hidden="false" customHeight="false" outlineLevel="0" collapsed="false">
      <c r="A2205" s="0" t="n">
        <v>2717</v>
      </c>
      <c r="B2205" s="0" t="n">
        <v>20819</v>
      </c>
      <c r="C2205" s="0" t="s">
        <v>11567</v>
      </c>
      <c r="D2205" s="0" t="s">
        <v>6</v>
      </c>
      <c r="F2205" s="0" t="s">
        <v>57</v>
      </c>
      <c r="G2205" s="0" t="s">
        <v>18671</v>
      </c>
    </row>
    <row r="2206" customFormat="false" ht="15" hidden="false" customHeight="false" outlineLevel="0" collapsed="false">
      <c r="A2206" s="0" t="n">
        <v>2718</v>
      </c>
      <c r="B2206" s="0" t="n">
        <v>20820</v>
      </c>
      <c r="C2206" s="0" t="s">
        <v>11570</v>
      </c>
      <c r="D2206" s="0" t="s">
        <v>6</v>
      </c>
      <c r="F2206" s="0" t="s">
        <v>57</v>
      </c>
      <c r="G2206" s="0" t="s">
        <v>18671</v>
      </c>
    </row>
    <row r="2207" customFormat="false" ht="15" hidden="false" customHeight="false" outlineLevel="0" collapsed="false">
      <c r="A2207" s="0" t="n">
        <v>2796</v>
      </c>
      <c r="B2207" s="0" t="n">
        <v>21025</v>
      </c>
      <c r="C2207" s="0" t="s">
        <v>11854</v>
      </c>
      <c r="D2207" s="0" t="s">
        <v>6</v>
      </c>
      <c r="F2207" s="0" t="s">
        <v>57</v>
      </c>
      <c r="G2207" s="0" t="s">
        <v>18671</v>
      </c>
    </row>
    <row r="2208" customFormat="false" ht="15" hidden="false" customHeight="false" outlineLevel="0" collapsed="false">
      <c r="A2208" s="0" t="n">
        <v>2808</v>
      </c>
      <c r="B2208" s="0" t="n">
        <v>21040</v>
      </c>
      <c r="C2208" s="0" t="s">
        <v>11895</v>
      </c>
      <c r="D2208" s="0" t="s">
        <v>6</v>
      </c>
      <c r="F2208" s="0" t="s">
        <v>57</v>
      </c>
      <c r="G2208" s="0" t="s">
        <v>18671</v>
      </c>
    </row>
    <row r="2209" customFormat="false" ht="15" hidden="false" customHeight="false" outlineLevel="0" collapsed="false">
      <c r="A2209" s="0" t="n">
        <v>2818</v>
      </c>
      <c r="B2209" s="0" t="n">
        <v>21053</v>
      </c>
      <c r="C2209" s="0" t="s">
        <v>11939</v>
      </c>
      <c r="D2209" s="0" t="s">
        <v>6</v>
      </c>
      <c r="F2209" s="0" t="s">
        <v>57</v>
      </c>
      <c r="G2209" s="0" t="s">
        <v>18671</v>
      </c>
    </row>
    <row r="2210" customFormat="false" ht="15" hidden="false" customHeight="false" outlineLevel="0" collapsed="false">
      <c r="A2210" s="0" t="n">
        <v>2824</v>
      </c>
      <c r="B2210" s="0" t="n">
        <v>21141</v>
      </c>
      <c r="C2210" s="0" t="s">
        <v>11960</v>
      </c>
      <c r="D2210" s="0" t="s">
        <v>6</v>
      </c>
      <c r="F2210" s="0" t="s">
        <v>57</v>
      </c>
      <c r="G2210" s="0" t="s">
        <v>18671</v>
      </c>
    </row>
    <row r="2211" customFormat="false" ht="15" hidden="false" customHeight="false" outlineLevel="0" collapsed="false">
      <c r="A2211" s="0" t="n">
        <v>2825</v>
      </c>
      <c r="B2211" s="0" t="n">
        <v>21142</v>
      </c>
      <c r="C2211" s="0" t="s">
        <v>11965</v>
      </c>
      <c r="D2211" s="0" t="s">
        <v>6</v>
      </c>
      <c r="F2211" s="0" t="s">
        <v>57</v>
      </c>
      <c r="G2211" s="0" t="s">
        <v>18671</v>
      </c>
    </row>
    <row r="2212" customFormat="false" ht="15" hidden="false" customHeight="false" outlineLevel="0" collapsed="false">
      <c r="A2212" s="0" t="n">
        <v>2826</v>
      </c>
      <c r="B2212" s="0" t="n">
        <v>21143</v>
      </c>
      <c r="C2212" s="0" t="s">
        <v>11968</v>
      </c>
      <c r="D2212" s="0" t="s">
        <v>6</v>
      </c>
      <c r="F2212" s="0" t="s">
        <v>57</v>
      </c>
      <c r="G2212" s="0" t="s">
        <v>18671</v>
      </c>
    </row>
    <row r="2213" customFormat="false" ht="15" hidden="false" customHeight="false" outlineLevel="0" collapsed="false">
      <c r="A2213" s="0" t="n">
        <v>2827</v>
      </c>
      <c r="B2213" s="0" t="n">
        <v>21144</v>
      </c>
      <c r="C2213" s="0" t="s">
        <v>11972</v>
      </c>
      <c r="D2213" s="0" t="s">
        <v>6</v>
      </c>
      <c r="F2213" s="0" t="s">
        <v>57</v>
      </c>
      <c r="G2213" s="0" t="s">
        <v>18671</v>
      </c>
    </row>
    <row r="2214" customFormat="false" ht="15" hidden="false" customHeight="false" outlineLevel="0" collapsed="false">
      <c r="A2214" s="0" t="n">
        <v>2828</v>
      </c>
      <c r="B2214" s="0" t="n">
        <v>21145</v>
      </c>
      <c r="C2214" s="0" t="s">
        <v>11976</v>
      </c>
      <c r="D2214" s="0" t="s">
        <v>6</v>
      </c>
      <c r="F2214" s="0" t="s">
        <v>57</v>
      </c>
      <c r="G2214" s="0" t="s">
        <v>18671</v>
      </c>
    </row>
    <row r="2215" customFormat="false" ht="15" hidden="false" customHeight="false" outlineLevel="0" collapsed="false">
      <c r="A2215" s="0" t="n">
        <v>2829</v>
      </c>
      <c r="B2215" s="0" t="n">
        <v>21146</v>
      </c>
      <c r="C2215" s="0" t="s">
        <v>11979</v>
      </c>
      <c r="D2215" s="0" t="s">
        <v>6</v>
      </c>
      <c r="F2215" s="0" t="s">
        <v>57</v>
      </c>
      <c r="G2215" s="0" t="s">
        <v>18671</v>
      </c>
    </row>
    <row r="2216" customFormat="false" ht="15" hidden="false" customHeight="false" outlineLevel="0" collapsed="false">
      <c r="A2216" s="0" t="n">
        <v>2830</v>
      </c>
      <c r="B2216" s="0" t="n">
        <v>21147</v>
      </c>
      <c r="C2216" s="0" t="s">
        <v>11984</v>
      </c>
      <c r="D2216" s="0" t="s">
        <v>6</v>
      </c>
      <c r="F2216" s="0" t="s">
        <v>57</v>
      </c>
      <c r="G2216" s="0" t="s">
        <v>18671</v>
      </c>
    </row>
    <row r="2217" customFormat="false" ht="15" hidden="false" customHeight="false" outlineLevel="0" collapsed="false">
      <c r="A2217" s="0" t="n">
        <v>2831</v>
      </c>
      <c r="B2217" s="0" t="n">
        <v>21148</v>
      </c>
      <c r="C2217" s="0" t="s">
        <v>11988</v>
      </c>
      <c r="D2217" s="0" t="s">
        <v>6</v>
      </c>
      <c r="F2217" s="0" t="s">
        <v>57</v>
      </c>
      <c r="G2217" s="0" t="s">
        <v>18671</v>
      </c>
    </row>
    <row r="2218" customFormat="false" ht="15" hidden="false" customHeight="false" outlineLevel="0" collapsed="false">
      <c r="A2218" s="0" t="n">
        <v>2832</v>
      </c>
      <c r="B2218" s="0" t="n">
        <v>21149</v>
      </c>
      <c r="C2218" s="0" t="s">
        <v>11991</v>
      </c>
      <c r="D2218" s="0" t="s">
        <v>6</v>
      </c>
      <c r="F2218" s="0" t="s">
        <v>57</v>
      </c>
      <c r="G2218" s="0" t="s">
        <v>18671</v>
      </c>
    </row>
    <row r="2219" customFormat="false" ht="15" hidden="false" customHeight="false" outlineLevel="0" collapsed="false">
      <c r="A2219" s="0" t="n">
        <v>2833</v>
      </c>
      <c r="B2219" s="0" t="n">
        <v>21150</v>
      </c>
      <c r="C2219" s="0" t="s">
        <v>11995</v>
      </c>
      <c r="D2219" s="0" t="s">
        <v>6</v>
      </c>
      <c r="F2219" s="0" t="s">
        <v>57</v>
      </c>
      <c r="G2219" s="0" t="s">
        <v>18671</v>
      </c>
    </row>
    <row r="2220" customFormat="false" ht="15" hidden="false" customHeight="false" outlineLevel="0" collapsed="false">
      <c r="A2220" s="0" t="n">
        <v>2834</v>
      </c>
      <c r="B2220" s="0" t="n">
        <v>21151</v>
      </c>
      <c r="C2220" s="0" t="s">
        <v>11998</v>
      </c>
      <c r="D2220" s="0" t="s">
        <v>6</v>
      </c>
      <c r="F2220" s="0" t="s">
        <v>57</v>
      </c>
      <c r="G2220" s="0" t="s">
        <v>18671</v>
      </c>
    </row>
    <row r="2221" customFormat="false" ht="15" hidden="false" customHeight="false" outlineLevel="0" collapsed="false">
      <c r="A2221" s="0" t="n">
        <v>2835</v>
      </c>
      <c r="B2221" s="0" t="n">
        <v>21152</v>
      </c>
      <c r="C2221" s="0" t="s">
        <v>12002</v>
      </c>
      <c r="D2221" s="0" t="s">
        <v>6</v>
      </c>
      <c r="F2221" s="0" t="s">
        <v>57</v>
      </c>
      <c r="G2221" s="0" t="s">
        <v>18671</v>
      </c>
    </row>
    <row r="2222" customFormat="false" ht="15" hidden="false" customHeight="false" outlineLevel="0" collapsed="false">
      <c r="A2222" s="0" t="n">
        <v>2836</v>
      </c>
      <c r="B2222" s="0" t="n">
        <v>21153</v>
      </c>
      <c r="C2222" s="0" t="s">
        <v>12006</v>
      </c>
      <c r="D2222" s="0" t="s">
        <v>6</v>
      </c>
      <c r="F2222" s="0" t="s">
        <v>57</v>
      </c>
      <c r="G2222" s="0" t="s">
        <v>18671</v>
      </c>
    </row>
    <row r="2223" customFormat="false" ht="15" hidden="false" customHeight="false" outlineLevel="0" collapsed="false">
      <c r="A2223" s="0" t="n">
        <v>2837</v>
      </c>
      <c r="B2223" s="0" t="n">
        <v>21154</v>
      </c>
      <c r="C2223" s="0" t="s">
        <v>12010</v>
      </c>
      <c r="D2223" s="0" t="s">
        <v>6</v>
      </c>
      <c r="F2223" s="0" t="s">
        <v>57</v>
      </c>
      <c r="G2223" s="0" t="s">
        <v>18671</v>
      </c>
    </row>
    <row r="2224" customFormat="false" ht="15" hidden="false" customHeight="false" outlineLevel="0" collapsed="false">
      <c r="A2224" s="0" t="n">
        <v>2838</v>
      </c>
      <c r="B2224" s="0" t="n">
        <v>21155</v>
      </c>
      <c r="C2224" s="0" t="s">
        <v>12013</v>
      </c>
      <c r="D2224" s="0" t="s">
        <v>6</v>
      </c>
      <c r="F2224" s="0" t="s">
        <v>57</v>
      </c>
      <c r="G2224" s="0" t="s">
        <v>18671</v>
      </c>
    </row>
    <row r="2225" customFormat="false" ht="15" hidden="false" customHeight="false" outlineLevel="0" collapsed="false">
      <c r="A2225" s="0" t="n">
        <v>2839</v>
      </c>
      <c r="B2225" s="0" t="n">
        <v>21156</v>
      </c>
      <c r="C2225" s="0" t="s">
        <v>12016</v>
      </c>
      <c r="D2225" s="0" t="s">
        <v>6</v>
      </c>
      <c r="F2225" s="0" t="s">
        <v>57</v>
      </c>
      <c r="G2225" s="0" t="s">
        <v>18671</v>
      </c>
    </row>
    <row r="2226" customFormat="false" ht="15" hidden="false" customHeight="false" outlineLevel="0" collapsed="false">
      <c r="A2226" s="0" t="n">
        <v>2840</v>
      </c>
      <c r="B2226" s="0" t="n">
        <v>21157</v>
      </c>
      <c r="C2226" s="0" t="s">
        <v>12020</v>
      </c>
      <c r="D2226" s="0" t="s">
        <v>6</v>
      </c>
      <c r="F2226" s="0" t="s">
        <v>57</v>
      </c>
      <c r="G2226" s="0" t="s">
        <v>18671</v>
      </c>
    </row>
    <row r="2227" customFormat="false" ht="15" hidden="false" customHeight="false" outlineLevel="0" collapsed="false">
      <c r="A2227" s="0" t="n">
        <v>2841</v>
      </c>
      <c r="B2227" s="0" t="n">
        <v>21158</v>
      </c>
      <c r="C2227" s="0" t="s">
        <v>12023</v>
      </c>
      <c r="D2227" s="0" t="s">
        <v>6</v>
      </c>
      <c r="F2227" s="0" t="s">
        <v>57</v>
      </c>
      <c r="G2227" s="0" t="s">
        <v>18671</v>
      </c>
    </row>
    <row r="2228" customFormat="false" ht="15" hidden="false" customHeight="false" outlineLevel="0" collapsed="false">
      <c r="A2228" s="0" t="n">
        <v>2842</v>
      </c>
      <c r="B2228" s="0" t="n">
        <v>21159</v>
      </c>
      <c r="C2228" s="0" t="s">
        <v>12027</v>
      </c>
      <c r="D2228" s="0" t="s">
        <v>6</v>
      </c>
      <c r="F2228" s="0" t="s">
        <v>57</v>
      </c>
      <c r="G2228" s="0" t="s">
        <v>18671</v>
      </c>
    </row>
    <row r="2229" customFormat="false" ht="15" hidden="false" customHeight="false" outlineLevel="0" collapsed="false">
      <c r="A2229" s="0" t="n">
        <v>2843</v>
      </c>
      <c r="B2229" s="0" t="n">
        <v>21160</v>
      </c>
      <c r="C2229" s="0" t="s">
        <v>12030</v>
      </c>
      <c r="D2229" s="0" t="s">
        <v>6</v>
      </c>
      <c r="F2229" s="0" t="s">
        <v>57</v>
      </c>
      <c r="G2229" s="0" t="s">
        <v>18671</v>
      </c>
    </row>
    <row r="2230" customFormat="false" ht="15" hidden="false" customHeight="false" outlineLevel="0" collapsed="false">
      <c r="A2230" s="0" t="n">
        <v>2844</v>
      </c>
      <c r="B2230" s="0" t="n">
        <v>21161</v>
      </c>
      <c r="C2230" s="0" t="s">
        <v>12033</v>
      </c>
      <c r="D2230" s="0" t="s">
        <v>6</v>
      </c>
      <c r="F2230" s="0" t="s">
        <v>57</v>
      </c>
      <c r="G2230" s="0" t="s">
        <v>18671</v>
      </c>
    </row>
    <row r="2231" customFormat="false" ht="15" hidden="false" customHeight="false" outlineLevel="0" collapsed="false">
      <c r="A2231" s="0" t="n">
        <v>2845</v>
      </c>
      <c r="B2231" s="0" t="n">
        <v>21162</v>
      </c>
      <c r="C2231" s="0" t="s">
        <v>12037</v>
      </c>
      <c r="D2231" s="0" t="s">
        <v>6</v>
      </c>
      <c r="F2231" s="0" t="s">
        <v>57</v>
      </c>
      <c r="G2231" s="0" t="s">
        <v>18671</v>
      </c>
    </row>
    <row r="2232" customFormat="false" ht="15" hidden="false" customHeight="false" outlineLevel="0" collapsed="false">
      <c r="A2232" s="0" t="n">
        <v>2850</v>
      </c>
      <c r="B2232" s="0" t="n">
        <v>21198</v>
      </c>
      <c r="C2232" s="0" t="s">
        <v>12051</v>
      </c>
      <c r="D2232" s="0" t="s">
        <v>6</v>
      </c>
      <c r="F2232" s="0" t="s">
        <v>57</v>
      </c>
      <c r="G2232" s="0" t="s">
        <v>18671</v>
      </c>
    </row>
    <row r="2233" customFormat="false" ht="15" hidden="false" customHeight="false" outlineLevel="0" collapsed="false">
      <c r="A2233" s="0" t="n">
        <v>2851</v>
      </c>
      <c r="B2233" s="0" t="n">
        <v>21199</v>
      </c>
      <c r="C2233" s="0" t="s">
        <v>12054</v>
      </c>
      <c r="D2233" s="0" t="s">
        <v>6</v>
      </c>
      <c r="F2233" s="0" t="s">
        <v>57</v>
      </c>
      <c r="G2233" s="0" t="s">
        <v>18671</v>
      </c>
    </row>
    <row r="2234" customFormat="false" ht="15" hidden="false" customHeight="false" outlineLevel="0" collapsed="false">
      <c r="A2234" s="0" t="n">
        <v>2852</v>
      </c>
      <c r="B2234" s="0" t="n">
        <v>21204</v>
      </c>
      <c r="C2234" s="0" t="s">
        <v>12057</v>
      </c>
      <c r="D2234" s="0" t="s">
        <v>6</v>
      </c>
      <c r="F2234" s="0" t="s">
        <v>57</v>
      </c>
      <c r="G2234" s="0" t="s">
        <v>18671</v>
      </c>
    </row>
    <row r="2235" customFormat="false" ht="15" hidden="false" customHeight="false" outlineLevel="0" collapsed="false">
      <c r="A2235" s="0" t="n">
        <v>2854</v>
      </c>
      <c r="B2235" s="0" t="n">
        <v>21217</v>
      </c>
      <c r="C2235" s="0" t="s">
        <v>11733</v>
      </c>
      <c r="D2235" s="0" t="s">
        <v>6</v>
      </c>
      <c r="F2235" s="0" t="s">
        <v>57</v>
      </c>
      <c r="G2235" s="0" t="s">
        <v>18671</v>
      </c>
    </row>
    <row r="2236" customFormat="false" ht="15" hidden="false" customHeight="false" outlineLevel="0" collapsed="false">
      <c r="A2236" s="0" t="n">
        <v>2870</v>
      </c>
      <c r="B2236" s="0" t="n">
        <v>21261</v>
      </c>
      <c r="C2236" s="0" t="s">
        <v>4205</v>
      </c>
      <c r="D2236" s="0" t="s">
        <v>6</v>
      </c>
      <c r="F2236" s="0" t="s">
        <v>57</v>
      </c>
      <c r="G2236" s="0" t="s">
        <v>18671</v>
      </c>
    </row>
    <row r="2237" customFormat="false" ht="15" hidden="false" customHeight="false" outlineLevel="0" collapsed="false">
      <c r="A2237" s="0" t="n">
        <v>2875</v>
      </c>
      <c r="B2237" s="0" t="n">
        <v>22230</v>
      </c>
      <c r="C2237" s="0" t="s">
        <v>12134</v>
      </c>
      <c r="D2237" s="0" t="s">
        <v>6</v>
      </c>
      <c r="F2237" s="0" t="s">
        <v>57</v>
      </c>
      <c r="G2237" s="0" t="s">
        <v>18671</v>
      </c>
    </row>
    <row r="2238" customFormat="false" ht="15" hidden="false" customHeight="false" outlineLevel="0" collapsed="false">
      <c r="A2238" s="0" t="n">
        <v>2887</v>
      </c>
      <c r="B2238" s="0" t="n">
        <v>21303</v>
      </c>
      <c r="C2238" s="0" t="s">
        <v>12181</v>
      </c>
      <c r="D2238" s="0" t="s">
        <v>6</v>
      </c>
      <c r="F2238" s="0" t="s">
        <v>57</v>
      </c>
      <c r="G2238" s="0" t="s">
        <v>18671</v>
      </c>
    </row>
    <row r="2239" customFormat="false" ht="15" hidden="false" customHeight="false" outlineLevel="0" collapsed="false">
      <c r="A2239" s="0" t="n">
        <v>2915</v>
      </c>
      <c r="B2239" s="0" t="n">
        <v>21347</v>
      </c>
      <c r="C2239" s="0" t="s">
        <v>12283</v>
      </c>
      <c r="D2239" s="0" t="s">
        <v>6</v>
      </c>
      <c r="F2239" s="0" t="s">
        <v>57</v>
      </c>
      <c r="G2239" s="0" t="s">
        <v>18671</v>
      </c>
    </row>
    <row r="2240" customFormat="false" ht="15" hidden="false" customHeight="false" outlineLevel="0" collapsed="false">
      <c r="A2240" s="0" t="n">
        <v>2925</v>
      </c>
      <c r="B2240" s="0" t="n">
        <v>22558</v>
      </c>
      <c r="C2240" s="0" t="s">
        <v>12318</v>
      </c>
      <c r="D2240" s="0" t="s">
        <v>6</v>
      </c>
      <c r="F2240" s="0" t="s">
        <v>57</v>
      </c>
      <c r="G2240" s="0" t="s">
        <v>18671</v>
      </c>
    </row>
    <row r="2241" customFormat="false" ht="15" hidden="false" customHeight="false" outlineLevel="0" collapsed="false">
      <c r="A2241" s="0" t="n">
        <v>2926</v>
      </c>
      <c r="B2241" s="0" t="n">
        <v>21376</v>
      </c>
      <c r="C2241" s="0" t="s">
        <v>12322</v>
      </c>
      <c r="D2241" s="0" t="s">
        <v>6</v>
      </c>
      <c r="F2241" s="0" t="s">
        <v>57</v>
      </c>
      <c r="G2241" s="0" t="s">
        <v>18671</v>
      </c>
    </row>
    <row r="2242" customFormat="false" ht="15" hidden="false" customHeight="false" outlineLevel="0" collapsed="false">
      <c r="A2242" s="0" t="n">
        <v>2931</v>
      </c>
      <c r="B2242" s="0" t="n">
        <v>21390</v>
      </c>
      <c r="C2242" s="0" t="s">
        <v>12340</v>
      </c>
      <c r="D2242" s="0" t="s">
        <v>6</v>
      </c>
      <c r="F2242" s="0" t="s">
        <v>57</v>
      </c>
      <c r="G2242" s="0" t="s">
        <v>18671</v>
      </c>
    </row>
    <row r="2243" customFormat="false" ht="15" hidden="false" customHeight="false" outlineLevel="0" collapsed="false">
      <c r="A2243" s="0" t="n">
        <v>2932</v>
      </c>
      <c r="B2243" s="0" t="n">
        <v>21396</v>
      </c>
      <c r="C2243" s="0" t="s">
        <v>12344</v>
      </c>
      <c r="D2243" s="0" t="s">
        <v>6</v>
      </c>
      <c r="F2243" s="0" t="s">
        <v>57</v>
      </c>
      <c r="G2243" s="0" t="s">
        <v>18671</v>
      </c>
    </row>
    <row r="2244" customFormat="false" ht="15" hidden="false" customHeight="false" outlineLevel="0" collapsed="false">
      <c r="A2244" s="0" t="n">
        <v>2940</v>
      </c>
      <c r="B2244" s="0" t="n">
        <v>21434</v>
      </c>
      <c r="C2244" s="0" t="s">
        <v>12371</v>
      </c>
      <c r="D2244" s="0" t="s">
        <v>6</v>
      </c>
      <c r="F2244" s="0" t="s">
        <v>57</v>
      </c>
      <c r="G2244" s="0" t="s">
        <v>18671</v>
      </c>
    </row>
    <row r="2245" customFormat="false" ht="15" hidden="false" customHeight="false" outlineLevel="0" collapsed="false">
      <c r="A2245" s="0" t="n">
        <v>2941</v>
      </c>
      <c r="B2245" s="0" t="n">
        <v>21442</v>
      </c>
      <c r="C2245" s="0" t="s">
        <v>12374</v>
      </c>
      <c r="D2245" s="0" t="s">
        <v>6</v>
      </c>
      <c r="F2245" s="0" t="s">
        <v>57</v>
      </c>
      <c r="G2245" s="0" t="s">
        <v>18671</v>
      </c>
    </row>
    <row r="2246" customFormat="false" ht="15" hidden="false" customHeight="false" outlineLevel="0" collapsed="false">
      <c r="A2246" s="0" t="n">
        <v>2945</v>
      </c>
      <c r="B2246" s="0" t="n">
        <v>21452</v>
      </c>
      <c r="C2246" s="0" t="s">
        <v>12386</v>
      </c>
      <c r="D2246" s="0" t="s">
        <v>6</v>
      </c>
      <c r="F2246" s="0" t="s">
        <v>57</v>
      </c>
      <c r="G2246" s="0" t="s">
        <v>18671</v>
      </c>
    </row>
    <row r="2247" customFormat="false" ht="15" hidden="false" customHeight="false" outlineLevel="0" collapsed="false">
      <c r="A2247" s="0" t="n">
        <v>2946</v>
      </c>
      <c r="B2247" s="0" t="n">
        <v>21453</v>
      </c>
      <c r="C2247" s="0" t="s">
        <v>12390</v>
      </c>
      <c r="D2247" s="0" t="s">
        <v>6</v>
      </c>
      <c r="F2247" s="0" t="s">
        <v>57</v>
      </c>
      <c r="G2247" s="0" t="s">
        <v>18671</v>
      </c>
    </row>
    <row r="2248" customFormat="false" ht="15" hidden="false" customHeight="false" outlineLevel="0" collapsed="false">
      <c r="A2248" s="0" t="n">
        <v>2973</v>
      </c>
      <c r="B2248" s="0" t="n">
        <v>21500</v>
      </c>
      <c r="C2248" s="0" t="s">
        <v>12492</v>
      </c>
      <c r="D2248" s="0" t="s">
        <v>6</v>
      </c>
      <c r="F2248" s="0" t="s">
        <v>57</v>
      </c>
      <c r="G2248" s="0" t="s">
        <v>18671</v>
      </c>
    </row>
    <row r="2249" customFormat="false" ht="15" hidden="false" customHeight="false" outlineLevel="0" collapsed="false">
      <c r="A2249" s="0" t="n">
        <v>2974</v>
      </c>
      <c r="B2249" s="0" t="n">
        <v>21501</v>
      </c>
      <c r="C2249" s="0" t="s">
        <v>12495</v>
      </c>
      <c r="D2249" s="0" t="s">
        <v>6</v>
      </c>
      <c r="F2249" s="0" t="s">
        <v>57</v>
      </c>
      <c r="G2249" s="0" t="s">
        <v>18671</v>
      </c>
    </row>
    <row r="2250" customFormat="false" ht="15" hidden="false" customHeight="false" outlineLevel="0" collapsed="false">
      <c r="A2250" s="0" t="n">
        <v>2975</v>
      </c>
      <c r="B2250" s="0" t="n">
        <v>21502</v>
      </c>
      <c r="C2250" s="0" t="s">
        <v>12498</v>
      </c>
      <c r="D2250" s="0" t="s">
        <v>6</v>
      </c>
      <c r="F2250" s="0" t="s">
        <v>57</v>
      </c>
      <c r="G2250" s="0" t="s">
        <v>18671</v>
      </c>
    </row>
    <row r="2251" customFormat="false" ht="15" hidden="false" customHeight="false" outlineLevel="0" collapsed="false">
      <c r="A2251" s="0" t="n">
        <v>2976</v>
      </c>
      <c r="B2251" s="0" t="n">
        <v>21503</v>
      </c>
      <c r="C2251" s="0" t="s">
        <v>12501</v>
      </c>
      <c r="D2251" s="0" t="s">
        <v>6</v>
      </c>
      <c r="F2251" s="0" t="s">
        <v>57</v>
      </c>
      <c r="G2251" s="0" t="s">
        <v>18671</v>
      </c>
    </row>
    <row r="2252" customFormat="false" ht="15" hidden="false" customHeight="false" outlineLevel="0" collapsed="false">
      <c r="A2252" s="0" t="n">
        <v>2977</v>
      </c>
      <c r="B2252" s="0" t="n">
        <v>21504</v>
      </c>
      <c r="C2252" s="0" t="s">
        <v>12504</v>
      </c>
      <c r="D2252" s="0" t="s">
        <v>6</v>
      </c>
      <c r="F2252" s="0" t="s">
        <v>57</v>
      </c>
      <c r="G2252" s="0" t="s">
        <v>18671</v>
      </c>
    </row>
    <row r="2253" customFormat="false" ht="15" hidden="false" customHeight="false" outlineLevel="0" collapsed="false">
      <c r="A2253" s="0" t="n">
        <v>2978</v>
      </c>
      <c r="B2253" s="0" t="n">
        <v>21505</v>
      </c>
      <c r="C2253" s="0" t="s">
        <v>12507</v>
      </c>
      <c r="D2253" s="0" t="s">
        <v>6</v>
      </c>
      <c r="F2253" s="0" t="s">
        <v>57</v>
      </c>
      <c r="G2253" s="0" t="s">
        <v>18671</v>
      </c>
    </row>
    <row r="2254" customFormat="false" ht="15" hidden="false" customHeight="false" outlineLevel="0" collapsed="false">
      <c r="A2254" s="0" t="n">
        <v>2979</v>
      </c>
      <c r="B2254" s="0" t="n">
        <v>21506</v>
      </c>
      <c r="C2254" s="0" t="s">
        <v>12510</v>
      </c>
      <c r="D2254" s="0" t="s">
        <v>6</v>
      </c>
      <c r="F2254" s="0" t="s">
        <v>57</v>
      </c>
      <c r="G2254" s="0" t="s">
        <v>18671</v>
      </c>
    </row>
    <row r="2255" customFormat="false" ht="15" hidden="false" customHeight="false" outlineLevel="0" collapsed="false">
      <c r="A2255" s="0" t="n">
        <v>2980</v>
      </c>
      <c r="B2255" s="0" t="n">
        <v>21507</v>
      </c>
      <c r="C2255" s="0" t="s">
        <v>12513</v>
      </c>
      <c r="D2255" s="0" t="s">
        <v>6</v>
      </c>
      <c r="F2255" s="0" t="s">
        <v>57</v>
      </c>
      <c r="G2255" s="0" t="s">
        <v>18671</v>
      </c>
    </row>
    <row r="2256" customFormat="false" ht="15" hidden="false" customHeight="false" outlineLevel="0" collapsed="false">
      <c r="A2256" s="0" t="n">
        <v>2981</v>
      </c>
      <c r="B2256" s="0" t="n">
        <v>21508</v>
      </c>
      <c r="C2256" s="0" t="s">
        <v>12516</v>
      </c>
      <c r="D2256" s="0" t="s">
        <v>6</v>
      </c>
      <c r="F2256" s="0" t="s">
        <v>57</v>
      </c>
      <c r="G2256" s="0" t="s">
        <v>18671</v>
      </c>
    </row>
    <row r="2257" customFormat="false" ht="15" hidden="false" customHeight="false" outlineLevel="0" collapsed="false">
      <c r="A2257" s="0" t="n">
        <v>2982</v>
      </c>
      <c r="B2257" s="0" t="n">
        <v>21509</v>
      </c>
      <c r="C2257" s="0" t="s">
        <v>12519</v>
      </c>
      <c r="D2257" s="0" t="s">
        <v>6</v>
      </c>
      <c r="F2257" s="0" t="s">
        <v>57</v>
      </c>
      <c r="G2257" s="0" t="s">
        <v>18671</v>
      </c>
    </row>
    <row r="2258" customFormat="false" ht="15" hidden="false" customHeight="false" outlineLevel="0" collapsed="false">
      <c r="A2258" s="0" t="n">
        <v>2983</v>
      </c>
      <c r="B2258" s="0" t="n">
        <v>21510</v>
      </c>
      <c r="C2258" s="0" t="s">
        <v>12522</v>
      </c>
      <c r="D2258" s="0" t="s">
        <v>6</v>
      </c>
      <c r="F2258" s="0" t="s">
        <v>57</v>
      </c>
      <c r="G2258" s="0" t="s">
        <v>18671</v>
      </c>
    </row>
    <row r="2259" customFormat="false" ht="15" hidden="false" customHeight="false" outlineLevel="0" collapsed="false">
      <c r="A2259" s="0" t="n">
        <v>2984</v>
      </c>
      <c r="B2259" s="0" t="n">
        <v>21511</v>
      </c>
      <c r="C2259" s="0" t="s">
        <v>12525</v>
      </c>
      <c r="D2259" s="0" t="s">
        <v>6</v>
      </c>
      <c r="F2259" s="0" t="s">
        <v>57</v>
      </c>
      <c r="G2259" s="0" t="s">
        <v>18671</v>
      </c>
    </row>
    <row r="2260" customFormat="false" ht="15" hidden="false" customHeight="false" outlineLevel="0" collapsed="false">
      <c r="A2260" s="0" t="n">
        <v>2985</v>
      </c>
      <c r="B2260" s="0" t="n">
        <v>21512</v>
      </c>
      <c r="C2260" s="0" t="s">
        <v>12528</v>
      </c>
      <c r="D2260" s="0" t="s">
        <v>6</v>
      </c>
      <c r="F2260" s="0" t="s">
        <v>57</v>
      </c>
      <c r="G2260" s="0" t="s">
        <v>18671</v>
      </c>
    </row>
    <row r="2261" customFormat="false" ht="15" hidden="false" customHeight="false" outlineLevel="0" collapsed="false">
      <c r="A2261" s="0" t="n">
        <v>2986</v>
      </c>
      <c r="B2261" s="0" t="n">
        <v>21513</v>
      </c>
      <c r="C2261" s="0" t="s">
        <v>12531</v>
      </c>
      <c r="D2261" s="0" t="s">
        <v>6</v>
      </c>
      <c r="F2261" s="0" t="s">
        <v>57</v>
      </c>
      <c r="G2261" s="0" t="s">
        <v>18671</v>
      </c>
    </row>
    <row r="2262" customFormat="false" ht="15" hidden="false" customHeight="false" outlineLevel="0" collapsed="false">
      <c r="A2262" s="0" t="n">
        <v>2987</v>
      </c>
      <c r="B2262" s="0" t="n">
        <v>21514</v>
      </c>
      <c r="C2262" s="0" t="s">
        <v>12534</v>
      </c>
      <c r="D2262" s="0" t="s">
        <v>6</v>
      </c>
      <c r="F2262" s="0" t="s">
        <v>57</v>
      </c>
      <c r="G2262" s="0" t="s">
        <v>18671</v>
      </c>
    </row>
    <row r="2263" customFormat="false" ht="15" hidden="false" customHeight="false" outlineLevel="0" collapsed="false">
      <c r="A2263" s="0" t="n">
        <v>2988</v>
      </c>
      <c r="B2263" s="0" t="n">
        <v>21515</v>
      </c>
      <c r="C2263" s="0" t="s">
        <v>12537</v>
      </c>
      <c r="D2263" s="0" t="s">
        <v>6</v>
      </c>
      <c r="F2263" s="0" t="s">
        <v>57</v>
      </c>
      <c r="G2263" s="0" t="s">
        <v>18671</v>
      </c>
    </row>
    <row r="2264" customFormat="false" ht="15" hidden="false" customHeight="false" outlineLevel="0" collapsed="false">
      <c r="A2264" s="0" t="n">
        <v>2989</v>
      </c>
      <c r="B2264" s="0" t="n">
        <v>21516</v>
      </c>
      <c r="C2264" s="0" t="s">
        <v>12540</v>
      </c>
      <c r="D2264" s="0" t="s">
        <v>6</v>
      </c>
      <c r="F2264" s="0" t="s">
        <v>57</v>
      </c>
      <c r="G2264" s="0" t="s">
        <v>18671</v>
      </c>
    </row>
    <row r="2265" customFormat="false" ht="15" hidden="false" customHeight="false" outlineLevel="0" collapsed="false">
      <c r="A2265" s="0" t="n">
        <v>2990</v>
      </c>
      <c r="B2265" s="0" t="n">
        <v>21517</v>
      </c>
      <c r="C2265" s="0" t="s">
        <v>12543</v>
      </c>
      <c r="D2265" s="0" t="s">
        <v>6</v>
      </c>
      <c r="F2265" s="0" t="s">
        <v>57</v>
      </c>
      <c r="G2265" s="0" t="s">
        <v>18671</v>
      </c>
    </row>
    <row r="2266" customFormat="false" ht="15" hidden="false" customHeight="false" outlineLevel="0" collapsed="false">
      <c r="A2266" s="0" t="n">
        <v>3036</v>
      </c>
      <c r="B2266" s="0" t="n">
        <v>21595</v>
      </c>
      <c r="C2266" s="0" t="s">
        <v>12706</v>
      </c>
      <c r="D2266" s="0" t="s">
        <v>6</v>
      </c>
      <c r="F2266" s="0" t="s">
        <v>57</v>
      </c>
      <c r="G2266" s="0" t="s">
        <v>18671</v>
      </c>
    </row>
    <row r="2267" customFormat="false" ht="15" hidden="false" customHeight="false" outlineLevel="0" collapsed="false">
      <c r="A2267" s="0" t="n">
        <v>3037</v>
      </c>
      <c r="B2267" s="0" t="n">
        <v>21596</v>
      </c>
      <c r="C2267" s="0" t="s">
        <v>12709</v>
      </c>
      <c r="D2267" s="0" t="s">
        <v>6</v>
      </c>
      <c r="F2267" s="0" t="s">
        <v>57</v>
      </c>
      <c r="G2267" s="0" t="s">
        <v>18671</v>
      </c>
    </row>
    <row r="2268" customFormat="false" ht="15" hidden="false" customHeight="false" outlineLevel="0" collapsed="false">
      <c r="A2268" s="0" t="n">
        <v>3038</v>
      </c>
      <c r="B2268" s="0" t="n">
        <v>21597</v>
      </c>
      <c r="C2268" s="0" t="s">
        <v>12713</v>
      </c>
      <c r="D2268" s="0" t="s">
        <v>6</v>
      </c>
      <c r="F2268" s="0" t="s">
        <v>57</v>
      </c>
      <c r="G2268" s="0" t="s">
        <v>18671</v>
      </c>
    </row>
    <row r="2269" customFormat="false" ht="15" hidden="false" customHeight="false" outlineLevel="0" collapsed="false">
      <c r="A2269" s="0" t="n">
        <v>3039</v>
      </c>
      <c r="B2269" s="0" t="n">
        <v>21598</v>
      </c>
      <c r="C2269" s="0" t="s">
        <v>12716</v>
      </c>
      <c r="D2269" s="0" t="s">
        <v>6</v>
      </c>
      <c r="F2269" s="0" t="s">
        <v>57</v>
      </c>
      <c r="G2269" s="0" t="s">
        <v>18671</v>
      </c>
    </row>
    <row r="2270" customFormat="false" ht="15" hidden="false" customHeight="false" outlineLevel="0" collapsed="false">
      <c r="A2270" s="0" t="n">
        <v>3040</v>
      </c>
      <c r="B2270" s="0" t="n">
        <v>21599</v>
      </c>
      <c r="C2270" s="0" t="s">
        <v>12719</v>
      </c>
      <c r="D2270" s="0" t="s">
        <v>6</v>
      </c>
      <c r="F2270" s="0" t="s">
        <v>57</v>
      </c>
      <c r="G2270" s="0" t="s">
        <v>18671</v>
      </c>
    </row>
    <row r="2271" customFormat="false" ht="15" hidden="false" customHeight="false" outlineLevel="0" collapsed="false">
      <c r="A2271" s="0" t="n">
        <v>3041</v>
      </c>
      <c r="B2271" s="0" t="n">
        <v>21600</v>
      </c>
      <c r="C2271" s="0" t="s">
        <v>12723</v>
      </c>
      <c r="D2271" s="0" t="s">
        <v>6</v>
      </c>
      <c r="F2271" s="0" t="s">
        <v>57</v>
      </c>
      <c r="G2271" s="0" t="s">
        <v>18671</v>
      </c>
    </row>
    <row r="2272" customFormat="false" ht="15" hidden="false" customHeight="false" outlineLevel="0" collapsed="false">
      <c r="A2272" s="0" t="n">
        <v>3042</v>
      </c>
      <c r="B2272" s="0" t="n">
        <v>21601</v>
      </c>
      <c r="C2272" s="0" t="s">
        <v>12726</v>
      </c>
      <c r="D2272" s="0" t="s">
        <v>6</v>
      </c>
      <c r="F2272" s="0" t="s">
        <v>57</v>
      </c>
      <c r="G2272" s="0" t="s">
        <v>18671</v>
      </c>
    </row>
    <row r="2273" customFormat="false" ht="15" hidden="false" customHeight="false" outlineLevel="0" collapsed="false">
      <c r="A2273" s="0" t="n">
        <v>3043</v>
      </c>
      <c r="B2273" s="0" t="n">
        <v>21602</v>
      </c>
      <c r="C2273" s="0" t="s">
        <v>12729</v>
      </c>
      <c r="D2273" s="0" t="s">
        <v>6</v>
      </c>
      <c r="F2273" s="0" t="s">
        <v>57</v>
      </c>
      <c r="G2273" s="0" t="s">
        <v>18671</v>
      </c>
    </row>
    <row r="2274" customFormat="false" ht="15" hidden="false" customHeight="false" outlineLevel="0" collapsed="false">
      <c r="A2274" s="0" t="n">
        <v>3044</v>
      </c>
      <c r="B2274" s="0" t="n">
        <v>21603</v>
      </c>
      <c r="C2274" s="0" t="s">
        <v>12732</v>
      </c>
      <c r="D2274" s="0" t="s">
        <v>6</v>
      </c>
      <c r="F2274" s="0" t="s">
        <v>57</v>
      </c>
      <c r="G2274" s="0" t="s">
        <v>18671</v>
      </c>
    </row>
    <row r="2275" customFormat="false" ht="15" hidden="false" customHeight="false" outlineLevel="0" collapsed="false">
      <c r="A2275" s="0" t="n">
        <v>3045</v>
      </c>
      <c r="B2275" s="0" t="n">
        <v>21604</v>
      </c>
      <c r="C2275" s="0" t="s">
        <v>12735</v>
      </c>
      <c r="D2275" s="0" t="s">
        <v>6</v>
      </c>
      <c r="F2275" s="0" t="s">
        <v>57</v>
      </c>
      <c r="G2275" s="0" t="s">
        <v>18671</v>
      </c>
    </row>
    <row r="2276" customFormat="false" ht="15" hidden="false" customHeight="false" outlineLevel="0" collapsed="false">
      <c r="A2276" s="0" t="n">
        <v>3046</v>
      </c>
      <c r="B2276" s="0" t="n">
        <v>21605</v>
      </c>
      <c r="C2276" s="0" t="s">
        <v>12738</v>
      </c>
      <c r="D2276" s="0" t="s">
        <v>6</v>
      </c>
      <c r="F2276" s="0" t="s">
        <v>57</v>
      </c>
      <c r="G2276" s="0" t="s">
        <v>18671</v>
      </c>
    </row>
    <row r="2277" customFormat="false" ht="15" hidden="false" customHeight="false" outlineLevel="0" collapsed="false">
      <c r="A2277" s="0" t="n">
        <v>3047</v>
      </c>
      <c r="B2277" s="0" t="n">
        <v>21606</v>
      </c>
      <c r="C2277" s="0" t="s">
        <v>12742</v>
      </c>
      <c r="D2277" s="0" t="s">
        <v>6</v>
      </c>
      <c r="F2277" s="0" t="s">
        <v>57</v>
      </c>
      <c r="G2277" s="0" t="s">
        <v>18671</v>
      </c>
    </row>
    <row r="2278" customFormat="false" ht="15" hidden="false" customHeight="false" outlineLevel="0" collapsed="false">
      <c r="A2278" s="0" t="n">
        <v>3048</v>
      </c>
      <c r="B2278" s="0" t="n">
        <v>21607</v>
      </c>
      <c r="C2278" s="0" t="s">
        <v>12745</v>
      </c>
      <c r="D2278" s="0" t="s">
        <v>6</v>
      </c>
      <c r="F2278" s="0" t="s">
        <v>57</v>
      </c>
      <c r="G2278" s="0" t="s">
        <v>18671</v>
      </c>
    </row>
    <row r="2279" customFormat="false" ht="15" hidden="false" customHeight="false" outlineLevel="0" collapsed="false">
      <c r="A2279" s="0" t="n">
        <v>3049</v>
      </c>
      <c r="B2279" s="0" t="n">
        <v>21608</v>
      </c>
      <c r="C2279" s="0" t="s">
        <v>12748</v>
      </c>
      <c r="D2279" s="0" t="s">
        <v>6</v>
      </c>
      <c r="F2279" s="0" t="s">
        <v>57</v>
      </c>
      <c r="G2279" s="0" t="s">
        <v>18671</v>
      </c>
    </row>
    <row r="2280" customFormat="false" ht="15" hidden="false" customHeight="false" outlineLevel="0" collapsed="false">
      <c r="A2280" s="0" t="n">
        <v>3050</v>
      </c>
      <c r="B2280" s="0" t="n">
        <v>21609</v>
      </c>
      <c r="C2280" s="0" t="s">
        <v>12752</v>
      </c>
      <c r="D2280" s="0" t="s">
        <v>6</v>
      </c>
      <c r="F2280" s="0" t="s">
        <v>57</v>
      </c>
      <c r="G2280" s="0" t="s">
        <v>18671</v>
      </c>
    </row>
    <row r="2281" customFormat="false" ht="15" hidden="false" customHeight="false" outlineLevel="0" collapsed="false">
      <c r="A2281" s="0" t="n">
        <v>3051</v>
      </c>
      <c r="B2281" s="0" t="n">
        <v>21610</v>
      </c>
      <c r="C2281" s="0" t="s">
        <v>12755</v>
      </c>
      <c r="D2281" s="0" t="s">
        <v>6</v>
      </c>
      <c r="F2281" s="0" t="s">
        <v>57</v>
      </c>
      <c r="G2281" s="0" t="s">
        <v>18671</v>
      </c>
    </row>
    <row r="2282" customFormat="false" ht="15" hidden="false" customHeight="false" outlineLevel="0" collapsed="false">
      <c r="A2282" s="0" t="n">
        <v>3052</v>
      </c>
      <c r="B2282" s="0" t="n">
        <v>21611</v>
      </c>
      <c r="C2282" s="0" t="s">
        <v>12758</v>
      </c>
      <c r="D2282" s="0" t="s">
        <v>6</v>
      </c>
      <c r="F2282" s="0" t="s">
        <v>57</v>
      </c>
      <c r="G2282" s="0" t="s">
        <v>18671</v>
      </c>
    </row>
    <row r="2283" customFormat="false" ht="15" hidden="false" customHeight="false" outlineLevel="0" collapsed="false">
      <c r="A2283" s="0" t="n">
        <v>3053</v>
      </c>
      <c r="B2283" s="0" t="n">
        <v>21612</v>
      </c>
      <c r="C2283" s="0" t="s">
        <v>12761</v>
      </c>
      <c r="D2283" s="0" t="s">
        <v>6</v>
      </c>
      <c r="F2283" s="0" t="s">
        <v>57</v>
      </c>
      <c r="G2283" s="0" t="s">
        <v>18671</v>
      </c>
    </row>
    <row r="2284" customFormat="false" ht="15" hidden="false" customHeight="false" outlineLevel="0" collapsed="false">
      <c r="A2284" s="0" t="n">
        <v>3054</v>
      </c>
      <c r="B2284" s="0" t="n">
        <v>21613</v>
      </c>
      <c r="C2284" s="0" t="s">
        <v>12764</v>
      </c>
      <c r="D2284" s="0" t="s">
        <v>6</v>
      </c>
      <c r="F2284" s="0" t="s">
        <v>57</v>
      </c>
      <c r="G2284" s="0" t="s">
        <v>18671</v>
      </c>
    </row>
    <row r="2285" customFormat="false" ht="15" hidden="false" customHeight="false" outlineLevel="0" collapsed="false">
      <c r="A2285" s="0" t="n">
        <v>3055</v>
      </c>
      <c r="B2285" s="0" t="n">
        <v>21614</v>
      </c>
      <c r="C2285" s="0" t="s">
        <v>12767</v>
      </c>
      <c r="D2285" s="0" t="s">
        <v>6</v>
      </c>
      <c r="F2285" s="0" t="s">
        <v>57</v>
      </c>
      <c r="G2285" s="0" t="s">
        <v>18671</v>
      </c>
    </row>
    <row r="2286" customFormat="false" ht="15" hidden="false" customHeight="false" outlineLevel="0" collapsed="false">
      <c r="A2286" s="0" t="n">
        <v>3056</v>
      </c>
      <c r="B2286" s="0" t="n">
        <v>21615</v>
      </c>
      <c r="C2286" s="0" t="s">
        <v>12771</v>
      </c>
      <c r="D2286" s="0" t="s">
        <v>6</v>
      </c>
      <c r="F2286" s="0" t="s">
        <v>57</v>
      </c>
      <c r="G2286" s="0" t="s">
        <v>18671</v>
      </c>
    </row>
    <row r="2287" customFormat="false" ht="15" hidden="false" customHeight="false" outlineLevel="0" collapsed="false">
      <c r="A2287" s="0" t="n">
        <v>3057</v>
      </c>
      <c r="B2287" s="0" t="n">
        <v>21616</v>
      </c>
      <c r="C2287" s="0" t="s">
        <v>12774</v>
      </c>
      <c r="D2287" s="0" t="s">
        <v>6</v>
      </c>
      <c r="F2287" s="0" t="s">
        <v>57</v>
      </c>
      <c r="G2287" s="0" t="s">
        <v>18671</v>
      </c>
    </row>
    <row r="2288" customFormat="false" ht="15" hidden="false" customHeight="false" outlineLevel="0" collapsed="false">
      <c r="A2288" s="0" t="n">
        <v>3063</v>
      </c>
      <c r="B2288" s="0" t="n">
        <v>21622</v>
      </c>
      <c r="C2288" s="0" t="s">
        <v>12798</v>
      </c>
      <c r="D2288" s="0" t="s">
        <v>6</v>
      </c>
      <c r="F2288" s="0" t="s">
        <v>57</v>
      </c>
      <c r="G2288" s="0" t="s">
        <v>18671</v>
      </c>
    </row>
    <row r="2289" customFormat="false" ht="15" hidden="false" customHeight="false" outlineLevel="0" collapsed="false">
      <c r="A2289" s="0" t="n">
        <v>3064</v>
      </c>
      <c r="B2289" s="0" t="n">
        <v>21623</v>
      </c>
      <c r="C2289" s="0" t="s">
        <v>12802</v>
      </c>
      <c r="D2289" s="0" t="s">
        <v>6</v>
      </c>
      <c r="F2289" s="0" t="s">
        <v>57</v>
      </c>
      <c r="G2289" s="0" t="s">
        <v>18671</v>
      </c>
    </row>
    <row r="2290" customFormat="false" ht="15" hidden="false" customHeight="false" outlineLevel="0" collapsed="false">
      <c r="A2290" s="0" t="n">
        <v>3086</v>
      </c>
      <c r="B2290" s="0" t="n">
        <v>21647</v>
      </c>
      <c r="C2290" s="0" t="s">
        <v>12878</v>
      </c>
      <c r="D2290" s="0" t="s">
        <v>6</v>
      </c>
      <c r="F2290" s="0" t="s">
        <v>57</v>
      </c>
      <c r="G2290" s="0" t="s">
        <v>18671</v>
      </c>
    </row>
    <row r="2291" customFormat="false" ht="15" hidden="false" customHeight="false" outlineLevel="0" collapsed="false">
      <c r="A2291" s="0" t="n">
        <v>3087</v>
      </c>
      <c r="B2291" s="0" t="n">
        <v>21648</v>
      </c>
      <c r="C2291" s="0" t="s">
        <v>12882</v>
      </c>
      <c r="D2291" s="0" t="s">
        <v>6</v>
      </c>
      <c r="F2291" s="0" t="s">
        <v>57</v>
      </c>
      <c r="G2291" s="0" t="s">
        <v>18671</v>
      </c>
    </row>
    <row r="2292" customFormat="false" ht="15" hidden="false" customHeight="false" outlineLevel="0" collapsed="false">
      <c r="A2292" s="0" t="n">
        <v>3088</v>
      </c>
      <c r="B2292" s="0" t="n">
        <v>21649</v>
      </c>
      <c r="C2292" s="0" t="s">
        <v>12885</v>
      </c>
      <c r="D2292" s="0" t="s">
        <v>6</v>
      </c>
      <c r="F2292" s="0" t="s">
        <v>57</v>
      </c>
      <c r="G2292" s="0" t="s">
        <v>18671</v>
      </c>
    </row>
    <row r="2293" customFormat="false" ht="15" hidden="false" customHeight="false" outlineLevel="0" collapsed="false">
      <c r="A2293" s="0" t="n">
        <v>3089</v>
      </c>
      <c r="B2293" s="0" t="n">
        <v>21650</v>
      </c>
      <c r="C2293" s="0" t="s">
        <v>12889</v>
      </c>
      <c r="D2293" s="0" t="s">
        <v>6</v>
      </c>
      <c r="F2293" s="0" t="s">
        <v>57</v>
      </c>
      <c r="G2293" s="0" t="s">
        <v>18671</v>
      </c>
    </row>
    <row r="2294" customFormat="false" ht="15" hidden="false" customHeight="false" outlineLevel="0" collapsed="false">
      <c r="A2294" s="0" t="n">
        <v>3095</v>
      </c>
      <c r="B2294" s="0" t="n">
        <v>21656</v>
      </c>
      <c r="C2294" s="0" t="s">
        <v>12912</v>
      </c>
      <c r="D2294" s="0" t="s">
        <v>6</v>
      </c>
      <c r="F2294" s="0" t="s">
        <v>57</v>
      </c>
      <c r="G2294" s="0" t="s">
        <v>18671</v>
      </c>
    </row>
    <row r="2295" customFormat="false" ht="15" hidden="false" customHeight="false" outlineLevel="0" collapsed="false">
      <c r="A2295" s="0" t="n">
        <v>3097</v>
      </c>
      <c r="B2295" s="0" t="n">
        <v>21658</v>
      </c>
      <c r="C2295" s="0" t="s">
        <v>12919</v>
      </c>
      <c r="D2295" s="0" t="s">
        <v>6</v>
      </c>
      <c r="F2295" s="0" t="s">
        <v>57</v>
      </c>
      <c r="G2295" s="0" t="s">
        <v>18671</v>
      </c>
    </row>
    <row r="2296" customFormat="false" ht="15" hidden="false" customHeight="false" outlineLevel="0" collapsed="false">
      <c r="A2296" s="0" t="n">
        <v>3101</v>
      </c>
      <c r="B2296" s="0" t="n">
        <v>21662</v>
      </c>
      <c r="C2296" s="0" t="s">
        <v>12934</v>
      </c>
      <c r="D2296" s="0" t="s">
        <v>6</v>
      </c>
      <c r="F2296" s="0" t="s">
        <v>57</v>
      </c>
      <c r="G2296" s="0" t="s">
        <v>18671</v>
      </c>
    </row>
    <row r="2297" customFormat="false" ht="15" hidden="false" customHeight="false" outlineLevel="0" collapsed="false">
      <c r="A2297" s="0" t="n">
        <v>3104</v>
      </c>
      <c r="B2297" s="0" t="n">
        <v>21676</v>
      </c>
      <c r="C2297" s="0" t="s">
        <v>12948</v>
      </c>
      <c r="D2297" s="0" t="s">
        <v>6</v>
      </c>
      <c r="F2297" s="0" t="s">
        <v>57</v>
      </c>
      <c r="G2297" s="0" t="s">
        <v>18671</v>
      </c>
    </row>
    <row r="2298" customFormat="false" ht="15" hidden="false" customHeight="false" outlineLevel="0" collapsed="false">
      <c r="A2298" s="0" t="n">
        <v>3113</v>
      </c>
      <c r="B2298" s="0" t="n">
        <v>21692</v>
      </c>
      <c r="C2298" s="0" t="s">
        <v>12984</v>
      </c>
      <c r="D2298" s="0" t="s">
        <v>6</v>
      </c>
      <c r="F2298" s="0" t="s">
        <v>57</v>
      </c>
      <c r="G2298" s="0" t="s">
        <v>18671</v>
      </c>
    </row>
    <row r="2299" customFormat="false" ht="15" hidden="false" customHeight="false" outlineLevel="0" collapsed="false">
      <c r="A2299" s="0" t="n">
        <v>3114</v>
      </c>
      <c r="B2299" s="0" t="n">
        <v>21693</v>
      </c>
      <c r="C2299" s="0" t="s">
        <v>12990</v>
      </c>
      <c r="D2299" s="0" t="s">
        <v>6</v>
      </c>
      <c r="F2299" s="0" t="s">
        <v>57</v>
      </c>
      <c r="G2299" s="0" t="s">
        <v>18671</v>
      </c>
    </row>
    <row r="2300" customFormat="false" ht="15" hidden="false" customHeight="false" outlineLevel="0" collapsed="false">
      <c r="A2300" s="0" t="n">
        <v>3117</v>
      </c>
      <c r="B2300" s="0" t="n">
        <v>21706</v>
      </c>
      <c r="C2300" s="0" t="s">
        <v>13003</v>
      </c>
      <c r="D2300" s="0" t="s">
        <v>6</v>
      </c>
      <c r="F2300" s="0" t="s">
        <v>57</v>
      </c>
      <c r="G2300" s="0" t="s">
        <v>18671</v>
      </c>
    </row>
    <row r="2301" customFormat="false" ht="15" hidden="false" customHeight="false" outlineLevel="0" collapsed="false">
      <c r="A2301" s="0" t="n">
        <v>3118</v>
      </c>
      <c r="B2301" s="0" t="n">
        <v>21707</v>
      </c>
      <c r="C2301" s="0" t="s">
        <v>13009</v>
      </c>
      <c r="D2301" s="0" t="s">
        <v>6</v>
      </c>
      <c r="F2301" s="0" t="s">
        <v>57</v>
      </c>
      <c r="G2301" s="0" t="s">
        <v>18671</v>
      </c>
    </row>
    <row r="2302" customFormat="false" ht="15" hidden="false" customHeight="false" outlineLevel="0" collapsed="false">
      <c r="A2302" s="0" t="n">
        <v>3119</v>
      </c>
      <c r="B2302" s="0" t="n">
        <v>21708</v>
      </c>
      <c r="C2302" s="0" t="s">
        <v>13014</v>
      </c>
      <c r="D2302" s="0" t="s">
        <v>6</v>
      </c>
      <c r="F2302" s="0" t="s">
        <v>57</v>
      </c>
      <c r="G2302" s="0" t="s">
        <v>18671</v>
      </c>
    </row>
    <row r="2303" customFormat="false" ht="15" hidden="false" customHeight="false" outlineLevel="0" collapsed="false">
      <c r="A2303" s="0" t="n">
        <v>3125</v>
      </c>
      <c r="B2303" s="0" t="n">
        <v>21714</v>
      </c>
      <c r="C2303" s="0" t="s">
        <v>13037</v>
      </c>
      <c r="D2303" s="0" t="s">
        <v>6</v>
      </c>
      <c r="F2303" s="0" t="s">
        <v>57</v>
      </c>
      <c r="G2303" s="0" t="s">
        <v>18671</v>
      </c>
    </row>
    <row r="2304" customFormat="false" ht="15" hidden="false" customHeight="false" outlineLevel="0" collapsed="false">
      <c r="A2304" s="0" t="n">
        <v>3126</v>
      </c>
      <c r="B2304" s="0" t="n">
        <v>21715</v>
      </c>
      <c r="C2304" s="0" t="s">
        <v>13040</v>
      </c>
      <c r="D2304" s="0" t="s">
        <v>6</v>
      </c>
      <c r="F2304" s="0" t="s">
        <v>57</v>
      </c>
      <c r="G2304" s="0" t="s">
        <v>18671</v>
      </c>
    </row>
    <row r="2305" customFormat="false" ht="15" hidden="false" customHeight="false" outlineLevel="0" collapsed="false">
      <c r="A2305" s="0" t="n">
        <v>3127</v>
      </c>
      <c r="B2305" s="0" t="n">
        <v>21716</v>
      </c>
      <c r="C2305" s="0" t="s">
        <v>13043</v>
      </c>
      <c r="D2305" s="0" t="s">
        <v>6</v>
      </c>
      <c r="F2305" s="0" t="s">
        <v>57</v>
      </c>
      <c r="G2305" s="0" t="s">
        <v>18671</v>
      </c>
    </row>
    <row r="2306" customFormat="false" ht="15" hidden="false" customHeight="false" outlineLevel="0" collapsed="false">
      <c r="A2306" s="0" t="n">
        <v>3128</v>
      </c>
      <c r="B2306" s="0" t="n">
        <v>21717</v>
      </c>
      <c r="C2306" s="0" t="s">
        <v>13046</v>
      </c>
      <c r="D2306" s="0" t="s">
        <v>6</v>
      </c>
      <c r="F2306" s="0" t="s">
        <v>57</v>
      </c>
      <c r="G2306" s="0" t="s">
        <v>18671</v>
      </c>
    </row>
    <row r="2307" customFormat="false" ht="15" hidden="false" customHeight="false" outlineLevel="0" collapsed="false">
      <c r="A2307" s="0" t="n">
        <v>3129</v>
      </c>
      <c r="B2307" s="0" t="n">
        <v>21718</v>
      </c>
      <c r="C2307" s="0" t="s">
        <v>13049</v>
      </c>
      <c r="D2307" s="0" t="s">
        <v>6</v>
      </c>
      <c r="F2307" s="0" t="s">
        <v>57</v>
      </c>
      <c r="G2307" s="0" t="s">
        <v>18671</v>
      </c>
    </row>
    <row r="2308" customFormat="false" ht="15" hidden="false" customHeight="false" outlineLevel="0" collapsed="false">
      <c r="A2308" s="0" t="n">
        <v>3130</v>
      </c>
      <c r="B2308" s="0" t="n">
        <v>21719</v>
      </c>
      <c r="C2308" s="0" t="s">
        <v>13052</v>
      </c>
      <c r="D2308" s="0" t="s">
        <v>6</v>
      </c>
      <c r="F2308" s="0" t="s">
        <v>57</v>
      </c>
      <c r="G2308" s="0" t="s">
        <v>18671</v>
      </c>
    </row>
    <row r="2309" customFormat="false" ht="15" hidden="false" customHeight="false" outlineLevel="0" collapsed="false">
      <c r="A2309" s="0" t="n">
        <v>3131</v>
      </c>
      <c r="B2309" s="0" t="n">
        <v>21720</v>
      </c>
      <c r="C2309" s="0" t="s">
        <v>13055</v>
      </c>
      <c r="D2309" s="0" t="s">
        <v>6</v>
      </c>
      <c r="F2309" s="0" t="s">
        <v>57</v>
      </c>
      <c r="G2309" s="0" t="s">
        <v>18671</v>
      </c>
    </row>
    <row r="2310" customFormat="false" ht="15" hidden="false" customHeight="false" outlineLevel="0" collapsed="false">
      <c r="A2310" s="0" t="n">
        <v>3132</v>
      </c>
      <c r="B2310" s="0" t="n">
        <v>21721</v>
      </c>
      <c r="C2310" s="0" t="s">
        <v>13058</v>
      </c>
      <c r="D2310" s="0" t="s">
        <v>6</v>
      </c>
      <c r="F2310" s="0" t="s">
        <v>57</v>
      </c>
      <c r="G2310" s="0" t="s">
        <v>18671</v>
      </c>
    </row>
    <row r="2311" customFormat="false" ht="15" hidden="false" customHeight="false" outlineLevel="0" collapsed="false">
      <c r="A2311" s="0" t="n">
        <v>3133</v>
      </c>
      <c r="B2311" s="0" t="n">
        <v>21722</v>
      </c>
      <c r="C2311" s="0" t="s">
        <v>13061</v>
      </c>
      <c r="D2311" s="0" t="s">
        <v>6</v>
      </c>
      <c r="F2311" s="0" t="s">
        <v>57</v>
      </c>
      <c r="G2311" s="0" t="s">
        <v>18671</v>
      </c>
    </row>
    <row r="2312" customFormat="false" ht="15" hidden="false" customHeight="false" outlineLevel="0" collapsed="false">
      <c r="A2312" s="0" t="n">
        <v>3134</v>
      </c>
      <c r="B2312" s="0" t="n">
        <v>21723</v>
      </c>
      <c r="C2312" s="0" t="s">
        <v>13064</v>
      </c>
      <c r="D2312" s="0" t="s">
        <v>6</v>
      </c>
      <c r="F2312" s="0" t="s">
        <v>57</v>
      </c>
      <c r="G2312" s="0" t="s">
        <v>18671</v>
      </c>
    </row>
    <row r="2313" customFormat="false" ht="15" hidden="false" customHeight="false" outlineLevel="0" collapsed="false">
      <c r="A2313" s="0" t="n">
        <v>3135</v>
      </c>
      <c r="B2313" s="0" t="n">
        <v>21724</v>
      </c>
      <c r="C2313" s="0" t="s">
        <v>13067</v>
      </c>
      <c r="D2313" s="0" t="s">
        <v>6</v>
      </c>
      <c r="F2313" s="0" t="s">
        <v>57</v>
      </c>
      <c r="G2313" s="0" t="s">
        <v>18671</v>
      </c>
    </row>
    <row r="2314" customFormat="false" ht="15" hidden="false" customHeight="false" outlineLevel="0" collapsed="false">
      <c r="A2314" s="0" t="n">
        <v>3136</v>
      </c>
      <c r="B2314" s="0" t="n">
        <v>21725</v>
      </c>
      <c r="C2314" s="0" t="s">
        <v>13070</v>
      </c>
      <c r="D2314" s="0" t="s">
        <v>6</v>
      </c>
      <c r="F2314" s="0" t="s">
        <v>57</v>
      </c>
      <c r="G2314" s="0" t="s">
        <v>18671</v>
      </c>
    </row>
    <row r="2315" customFormat="false" ht="15" hidden="false" customHeight="false" outlineLevel="0" collapsed="false">
      <c r="A2315" s="0" t="n">
        <v>3137</v>
      </c>
      <c r="B2315" s="0" t="n">
        <v>21726</v>
      </c>
      <c r="C2315" s="0" t="s">
        <v>13073</v>
      </c>
      <c r="D2315" s="0" t="s">
        <v>6</v>
      </c>
      <c r="F2315" s="0" t="s">
        <v>57</v>
      </c>
      <c r="G2315" s="0" t="s">
        <v>18671</v>
      </c>
    </row>
    <row r="2316" customFormat="false" ht="15" hidden="false" customHeight="false" outlineLevel="0" collapsed="false">
      <c r="A2316" s="0" t="n">
        <v>3138</v>
      </c>
      <c r="B2316" s="0" t="n">
        <v>21727</v>
      </c>
      <c r="C2316" s="0" t="s">
        <v>13076</v>
      </c>
      <c r="D2316" s="0" t="s">
        <v>6</v>
      </c>
      <c r="F2316" s="0" t="s">
        <v>57</v>
      </c>
      <c r="G2316" s="0" t="s">
        <v>18671</v>
      </c>
    </row>
    <row r="2317" customFormat="false" ht="15" hidden="false" customHeight="false" outlineLevel="0" collapsed="false">
      <c r="A2317" s="0" t="n">
        <v>3139</v>
      </c>
      <c r="B2317" s="0" t="n">
        <v>21728</v>
      </c>
      <c r="C2317" s="0" t="s">
        <v>13079</v>
      </c>
      <c r="D2317" s="0" t="s">
        <v>6</v>
      </c>
      <c r="F2317" s="0" t="s">
        <v>57</v>
      </c>
      <c r="G2317" s="0" t="s">
        <v>18671</v>
      </c>
    </row>
    <row r="2318" customFormat="false" ht="15" hidden="false" customHeight="false" outlineLevel="0" collapsed="false">
      <c r="A2318" s="0" t="n">
        <v>3140</v>
      </c>
      <c r="B2318" s="0" t="n">
        <v>21729</v>
      </c>
      <c r="C2318" s="0" t="s">
        <v>13082</v>
      </c>
      <c r="D2318" s="0" t="s">
        <v>6</v>
      </c>
      <c r="F2318" s="0" t="s">
        <v>57</v>
      </c>
      <c r="G2318" s="0" t="s">
        <v>18671</v>
      </c>
    </row>
    <row r="2319" customFormat="false" ht="15" hidden="false" customHeight="false" outlineLevel="0" collapsed="false">
      <c r="A2319" s="0" t="n">
        <v>3141</v>
      </c>
      <c r="B2319" s="0" t="n">
        <v>21730</v>
      </c>
      <c r="C2319" s="0" t="s">
        <v>13085</v>
      </c>
      <c r="D2319" s="0" t="s">
        <v>6</v>
      </c>
      <c r="F2319" s="0" t="s">
        <v>57</v>
      </c>
      <c r="G2319" s="0" t="s">
        <v>18671</v>
      </c>
    </row>
    <row r="2320" customFormat="false" ht="15" hidden="false" customHeight="false" outlineLevel="0" collapsed="false">
      <c r="A2320" s="0" t="n">
        <v>3142</v>
      </c>
      <c r="B2320" s="0" t="n">
        <v>21731</v>
      </c>
      <c r="C2320" s="0" t="s">
        <v>13088</v>
      </c>
      <c r="D2320" s="0" t="s">
        <v>6</v>
      </c>
      <c r="F2320" s="0" t="s">
        <v>57</v>
      </c>
      <c r="G2320" s="0" t="s">
        <v>18671</v>
      </c>
    </row>
    <row r="2321" customFormat="false" ht="15" hidden="false" customHeight="false" outlineLevel="0" collapsed="false">
      <c r="A2321" s="0" t="n">
        <v>3164</v>
      </c>
      <c r="B2321" s="0" t="n">
        <v>21753</v>
      </c>
      <c r="C2321" s="0" t="s">
        <v>13172</v>
      </c>
      <c r="D2321" s="0" t="s">
        <v>6</v>
      </c>
      <c r="F2321" s="0" t="s">
        <v>57</v>
      </c>
      <c r="G2321" s="0" t="s">
        <v>18671</v>
      </c>
    </row>
    <row r="2322" customFormat="false" ht="15" hidden="false" customHeight="false" outlineLevel="0" collapsed="false">
      <c r="A2322" s="0" t="n">
        <v>3174</v>
      </c>
      <c r="B2322" s="0" t="n">
        <v>21764</v>
      </c>
      <c r="C2322" s="0" t="s">
        <v>13207</v>
      </c>
      <c r="D2322" s="0" t="s">
        <v>6</v>
      </c>
      <c r="F2322" s="0" t="s">
        <v>57</v>
      </c>
      <c r="G2322" s="0" t="s">
        <v>18671</v>
      </c>
    </row>
    <row r="2323" customFormat="false" ht="15" hidden="false" customHeight="false" outlineLevel="0" collapsed="false">
      <c r="A2323" s="0" t="n">
        <v>3188</v>
      </c>
      <c r="B2323" s="0" t="n">
        <v>21781</v>
      </c>
      <c r="C2323" s="0" t="s">
        <v>13251</v>
      </c>
      <c r="D2323" s="0" t="s">
        <v>6</v>
      </c>
      <c r="F2323" s="0" t="s">
        <v>57</v>
      </c>
      <c r="G2323" s="0" t="s">
        <v>18671</v>
      </c>
    </row>
    <row r="2324" customFormat="false" ht="15" hidden="false" customHeight="false" outlineLevel="0" collapsed="false">
      <c r="A2324" s="0" t="n">
        <v>3192</v>
      </c>
      <c r="B2324" s="0" t="n">
        <v>21786</v>
      </c>
      <c r="C2324" s="0" t="s">
        <v>13264</v>
      </c>
      <c r="D2324" s="0" t="s">
        <v>6</v>
      </c>
      <c r="F2324" s="0" t="s">
        <v>57</v>
      </c>
      <c r="G2324" s="0" t="s">
        <v>18671</v>
      </c>
    </row>
    <row r="2325" customFormat="false" ht="15" hidden="false" customHeight="false" outlineLevel="0" collapsed="false">
      <c r="A2325" s="0" t="n">
        <v>3193</v>
      </c>
      <c r="B2325" s="0" t="n">
        <v>21787</v>
      </c>
      <c r="C2325" s="0" t="s">
        <v>13268</v>
      </c>
      <c r="D2325" s="0" t="s">
        <v>6</v>
      </c>
      <c r="F2325" s="0" t="s">
        <v>57</v>
      </c>
      <c r="G2325" s="0" t="s">
        <v>18671</v>
      </c>
    </row>
    <row r="2326" customFormat="false" ht="15" hidden="false" customHeight="false" outlineLevel="0" collapsed="false">
      <c r="A2326" s="0" t="n">
        <v>3213</v>
      </c>
      <c r="B2326" s="0" t="n">
        <v>21811</v>
      </c>
      <c r="C2326" s="0" t="s">
        <v>13335</v>
      </c>
      <c r="D2326" s="0" t="s">
        <v>6</v>
      </c>
      <c r="F2326" s="0" t="s">
        <v>57</v>
      </c>
      <c r="G2326" s="0" t="s">
        <v>18671</v>
      </c>
    </row>
    <row r="2327" customFormat="false" ht="15" hidden="false" customHeight="false" outlineLevel="0" collapsed="false">
      <c r="A2327" s="0" t="n">
        <v>3214</v>
      </c>
      <c r="B2327" s="0" t="n">
        <v>21812</v>
      </c>
      <c r="C2327" s="0" t="s">
        <v>13338</v>
      </c>
      <c r="D2327" s="0" t="s">
        <v>6</v>
      </c>
      <c r="F2327" s="0" t="s">
        <v>57</v>
      </c>
      <c r="G2327" s="0" t="s">
        <v>18671</v>
      </c>
    </row>
    <row r="2328" customFormat="false" ht="15" hidden="false" customHeight="false" outlineLevel="0" collapsed="false">
      <c r="A2328" s="0" t="n">
        <v>3215</v>
      </c>
      <c r="B2328" s="0" t="n">
        <v>21813</v>
      </c>
      <c r="C2328" s="0" t="s">
        <v>13342</v>
      </c>
      <c r="D2328" s="0" t="s">
        <v>6</v>
      </c>
      <c r="F2328" s="0" t="s">
        <v>57</v>
      </c>
      <c r="G2328" s="0" t="s">
        <v>18671</v>
      </c>
    </row>
    <row r="2329" customFormat="false" ht="15" hidden="false" customHeight="false" outlineLevel="0" collapsed="false">
      <c r="A2329" s="0" t="n">
        <v>3216</v>
      </c>
      <c r="B2329" s="0" t="n">
        <v>21814</v>
      </c>
      <c r="C2329" s="0" t="s">
        <v>13346</v>
      </c>
      <c r="D2329" s="0" t="s">
        <v>6</v>
      </c>
      <c r="F2329" s="0" t="s">
        <v>57</v>
      </c>
      <c r="G2329" s="0" t="s">
        <v>18671</v>
      </c>
    </row>
    <row r="2330" customFormat="false" ht="15" hidden="false" customHeight="false" outlineLevel="0" collapsed="false">
      <c r="A2330" s="0" t="n">
        <v>3217</v>
      </c>
      <c r="B2330" s="0" t="n">
        <v>21815</v>
      </c>
      <c r="C2330" s="0" t="s">
        <v>13349</v>
      </c>
      <c r="D2330" s="0" t="s">
        <v>6</v>
      </c>
      <c r="F2330" s="0" t="s">
        <v>57</v>
      </c>
      <c r="G2330" s="0" t="s">
        <v>18671</v>
      </c>
    </row>
    <row r="2331" customFormat="false" ht="15" hidden="false" customHeight="false" outlineLevel="0" collapsed="false">
      <c r="A2331" s="0" t="n">
        <v>3218</v>
      </c>
      <c r="B2331" s="0" t="n">
        <v>21816</v>
      </c>
      <c r="C2331" s="0" t="s">
        <v>13353</v>
      </c>
      <c r="D2331" s="0" t="s">
        <v>6</v>
      </c>
      <c r="F2331" s="0" t="s">
        <v>57</v>
      </c>
      <c r="G2331" s="0" t="s">
        <v>18671</v>
      </c>
    </row>
    <row r="2332" customFormat="false" ht="15" hidden="false" customHeight="false" outlineLevel="0" collapsed="false">
      <c r="A2332" s="0" t="n">
        <v>3220</v>
      </c>
      <c r="B2332" s="0" t="n">
        <v>22405</v>
      </c>
      <c r="C2332" s="0" t="s">
        <v>13362</v>
      </c>
      <c r="D2332" s="0" t="s">
        <v>6</v>
      </c>
      <c r="F2332" s="0" t="s">
        <v>57</v>
      </c>
      <c r="G2332" s="0" t="s">
        <v>18671</v>
      </c>
    </row>
    <row r="2333" customFormat="false" ht="15" hidden="false" customHeight="false" outlineLevel="0" collapsed="false">
      <c r="A2333" s="0" t="n">
        <v>3222</v>
      </c>
      <c r="B2333" s="0" t="n">
        <v>21820</v>
      </c>
      <c r="C2333" s="0" t="s">
        <v>13370</v>
      </c>
      <c r="D2333" s="0" t="s">
        <v>6</v>
      </c>
      <c r="F2333" s="0" t="s">
        <v>57</v>
      </c>
      <c r="G2333" s="0" t="s">
        <v>18671</v>
      </c>
    </row>
    <row r="2334" customFormat="false" ht="15" hidden="false" customHeight="false" outlineLevel="0" collapsed="false">
      <c r="A2334" s="0" t="n">
        <v>3223</v>
      </c>
      <c r="B2334" s="0" t="n">
        <v>21821</v>
      </c>
      <c r="C2334" s="0" t="s">
        <v>13374</v>
      </c>
      <c r="D2334" s="0" t="s">
        <v>6</v>
      </c>
      <c r="F2334" s="0" t="s">
        <v>57</v>
      </c>
      <c r="G2334" s="0" t="s">
        <v>18671</v>
      </c>
    </row>
    <row r="2335" customFormat="false" ht="15" hidden="false" customHeight="false" outlineLevel="0" collapsed="false">
      <c r="A2335" s="0" t="n">
        <v>3224</v>
      </c>
      <c r="B2335" s="0" t="n">
        <v>21822</v>
      </c>
      <c r="C2335" s="0" t="s">
        <v>13377</v>
      </c>
      <c r="D2335" s="0" t="s">
        <v>6</v>
      </c>
      <c r="F2335" s="0" t="s">
        <v>57</v>
      </c>
      <c r="G2335" s="0" t="s">
        <v>18671</v>
      </c>
    </row>
    <row r="2336" customFormat="false" ht="15" hidden="false" customHeight="false" outlineLevel="0" collapsed="false">
      <c r="A2336" s="0" t="n">
        <v>3225</v>
      </c>
      <c r="B2336" s="0" t="n">
        <v>21823</v>
      </c>
      <c r="C2336" s="0" t="s">
        <v>13380</v>
      </c>
      <c r="D2336" s="0" t="s">
        <v>6</v>
      </c>
      <c r="F2336" s="0" t="s">
        <v>57</v>
      </c>
      <c r="G2336" s="0" t="s">
        <v>18671</v>
      </c>
    </row>
    <row r="2337" customFormat="false" ht="15" hidden="false" customHeight="false" outlineLevel="0" collapsed="false">
      <c r="A2337" s="0" t="n">
        <v>3226</v>
      </c>
      <c r="B2337" s="0" t="n">
        <v>21824</v>
      </c>
      <c r="C2337" s="0" t="s">
        <v>13384</v>
      </c>
      <c r="D2337" s="0" t="s">
        <v>6</v>
      </c>
      <c r="F2337" s="0" t="s">
        <v>57</v>
      </c>
      <c r="G2337" s="0" t="s">
        <v>18671</v>
      </c>
    </row>
    <row r="2338" customFormat="false" ht="15" hidden="false" customHeight="false" outlineLevel="0" collapsed="false">
      <c r="A2338" s="0" t="n">
        <v>3227</v>
      </c>
      <c r="B2338" s="0" t="n">
        <v>21825</v>
      </c>
      <c r="C2338" s="0" t="s">
        <v>13388</v>
      </c>
      <c r="D2338" s="0" t="s">
        <v>6</v>
      </c>
      <c r="F2338" s="0" t="s">
        <v>57</v>
      </c>
      <c r="G2338" s="0" t="s">
        <v>18671</v>
      </c>
    </row>
    <row r="2339" customFormat="false" ht="15" hidden="false" customHeight="false" outlineLevel="0" collapsed="false">
      <c r="A2339" s="0" t="n">
        <v>3228</v>
      </c>
      <c r="B2339" s="0" t="n">
        <v>21826</v>
      </c>
      <c r="C2339" s="0" t="s">
        <v>13392</v>
      </c>
      <c r="D2339" s="0" t="s">
        <v>6</v>
      </c>
      <c r="F2339" s="0" t="s">
        <v>57</v>
      </c>
      <c r="G2339" s="0" t="s">
        <v>18671</v>
      </c>
    </row>
    <row r="2340" customFormat="false" ht="15" hidden="false" customHeight="false" outlineLevel="0" collapsed="false">
      <c r="A2340" s="0" t="n">
        <v>3229</v>
      </c>
      <c r="B2340" s="0" t="n">
        <v>21827</v>
      </c>
      <c r="C2340" s="0" t="s">
        <v>13396</v>
      </c>
      <c r="D2340" s="0" t="s">
        <v>6</v>
      </c>
      <c r="F2340" s="0" t="s">
        <v>57</v>
      </c>
      <c r="G2340" s="0" t="s">
        <v>18671</v>
      </c>
    </row>
    <row r="2341" customFormat="false" ht="15" hidden="false" customHeight="false" outlineLevel="0" collapsed="false">
      <c r="A2341" s="0" t="n">
        <v>3230</v>
      </c>
      <c r="B2341" s="0" t="n">
        <v>21828</v>
      </c>
      <c r="C2341" s="0" t="s">
        <v>13400</v>
      </c>
      <c r="D2341" s="0" t="s">
        <v>6</v>
      </c>
      <c r="F2341" s="0" t="s">
        <v>57</v>
      </c>
      <c r="G2341" s="0" t="s">
        <v>18671</v>
      </c>
    </row>
    <row r="2342" customFormat="false" ht="15" hidden="false" customHeight="false" outlineLevel="0" collapsed="false">
      <c r="A2342" s="0" t="n">
        <v>3246</v>
      </c>
      <c r="B2342" s="0" t="n">
        <v>21845</v>
      </c>
      <c r="C2342" s="0" t="s">
        <v>13451</v>
      </c>
      <c r="D2342" s="0" t="s">
        <v>6</v>
      </c>
      <c r="F2342" s="0" t="s">
        <v>57</v>
      </c>
      <c r="G2342" s="0" t="s">
        <v>18671</v>
      </c>
    </row>
    <row r="2343" customFormat="false" ht="15" hidden="false" customHeight="false" outlineLevel="0" collapsed="false">
      <c r="A2343" s="0" t="n">
        <v>3261</v>
      </c>
      <c r="B2343" s="0" t="n">
        <v>21860</v>
      </c>
      <c r="C2343" s="0" t="s">
        <v>13506</v>
      </c>
      <c r="D2343" s="0" t="s">
        <v>6</v>
      </c>
      <c r="F2343" s="0" t="s">
        <v>57</v>
      </c>
      <c r="G2343" s="0" t="s">
        <v>18671</v>
      </c>
    </row>
    <row r="2344" customFormat="false" ht="15" hidden="false" customHeight="false" outlineLevel="0" collapsed="false">
      <c r="A2344" s="0" t="n">
        <v>3371</v>
      </c>
      <c r="B2344" s="0" t="n">
        <v>21986</v>
      </c>
      <c r="C2344" s="0" t="s">
        <v>13882</v>
      </c>
      <c r="D2344" s="0" t="s">
        <v>6</v>
      </c>
      <c r="F2344" s="0" t="s">
        <v>57</v>
      </c>
      <c r="G2344" s="0" t="s">
        <v>18671</v>
      </c>
    </row>
    <row r="2345" customFormat="false" ht="15" hidden="false" customHeight="false" outlineLevel="0" collapsed="false">
      <c r="A2345" s="0" t="n">
        <v>3372</v>
      </c>
      <c r="B2345" s="0" t="n">
        <v>21987</v>
      </c>
      <c r="C2345" s="0" t="s">
        <v>13888</v>
      </c>
      <c r="D2345" s="0" t="s">
        <v>6</v>
      </c>
      <c r="F2345" s="0" t="s">
        <v>57</v>
      </c>
      <c r="G2345" s="0" t="s">
        <v>18671</v>
      </c>
    </row>
    <row r="2346" customFormat="false" ht="15" hidden="false" customHeight="false" outlineLevel="0" collapsed="false">
      <c r="A2346" s="0" t="n">
        <v>3380</v>
      </c>
      <c r="B2346" s="0" t="n">
        <v>21995</v>
      </c>
      <c r="C2346" s="0" t="s">
        <v>13916</v>
      </c>
      <c r="D2346" s="0" t="s">
        <v>6</v>
      </c>
      <c r="F2346" s="0" t="s">
        <v>57</v>
      </c>
      <c r="G2346" s="0" t="s">
        <v>18671</v>
      </c>
    </row>
    <row r="2347" customFormat="false" ht="15" hidden="false" customHeight="false" outlineLevel="0" collapsed="false">
      <c r="A2347" s="0" t="n">
        <v>3381</v>
      </c>
      <c r="B2347" s="0" t="n">
        <v>21996</v>
      </c>
      <c r="C2347" s="0" t="s">
        <v>13919</v>
      </c>
      <c r="D2347" s="0" t="s">
        <v>6</v>
      </c>
      <c r="F2347" s="0" t="s">
        <v>57</v>
      </c>
      <c r="G2347" s="0" t="s">
        <v>18671</v>
      </c>
    </row>
    <row r="2348" customFormat="false" ht="15" hidden="false" customHeight="false" outlineLevel="0" collapsed="false">
      <c r="A2348" s="0" t="n">
        <v>3382</v>
      </c>
      <c r="B2348" s="0" t="n">
        <v>21997</v>
      </c>
      <c r="C2348" s="0" t="s">
        <v>13922</v>
      </c>
      <c r="D2348" s="0" t="s">
        <v>6</v>
      </c>
      <c r="F2348" s="0" t="s">
        <v>57</v>
      </c>
      <c r="G2348" s="0" t="s">
        <v>18671</v>
      </c>
    </row>
    <row r="2349" customFormat="false" ht="15" hidden="false" customHeight="false" outlineLevel="0" collapsed="false">
      <c r="A2349" s="0" t="n">
        <v>3383</v>
      </c>
      <c r="B2349" s="0" t="n">
        <v>21998</v>
      </c>
      <c r="C2349" s="0" t="s">
        <v>13924</v>
      </c>
      <c r="D2349" s="0" t="s">
        <v>6</v>
      </c>
      <c r="F2349" s="0" t="s">
        <v>57</v>
      </c>
      <c r="G2349" s="0" t="s">
        <v>18671</v>
      </c>
    </row>
    <row r="2350" customFormat="false" ht="15" hidden="false" customHeight="false" outlineLevel="0" collapsed="false">
      <c r="A2350" s="0" t="n">
        <v>3384</v>
      </c>
      <c r="B2350" s="0" t="n">
        <v>21999</v>
      </c>
      <c r="C2350" s="0" t="s">
        <v>13927</v>
      </c>
      <c r="D2350" s="0" t="s">
        <v>6</v>
      </c>
      <c r="F2350" s="0" t="s">
        <v>57</v>
      </c>
      <c r="G2350" s="0" t="s">
        <v>18671</v>
      </c>
    </row>
    <row r="2351" customFormat="false" ht="15" hidden="false" customHeight="false" outlineLevel="0" collapsed="false">
      <c r="A2351" s="0" t="n">
        <v>3385</v>
      </c>
      <c r="B2351" s="0" t="n">
        <v>22000</v>
      </c>
      <c r="C2351" s="0" t="s">
        <v>13930</v>
      </c>
      <c r="D2351" s="0" t="s">
        <v>6</v>
      </c>
      <c r="F2351" s="0" t="s">
        <v>57</v>
      </c>
      <c r="G2351" s="0" t="s">
        <v>18671</v>
      </c>
    </row>
    <row r="2352" customFormat="false" ht="15" hidden="false" customHeight="false" outlineLevel="0" collapsed="false">
      <c r="A2352" s="0" t="n">
        <v>3386</v>
      </c>
      <c r="B2352" s="0" t="n">
        <v>22001</v>
      </c>
      <c r="C2352" s="0" t="s">
        <v>13933</v>
      </c>
      <c r="D2352" s="0" t="s">
        <v>6</v>
      </c>
      <c r="F2352" s="0" t="s">
        <v>57</v>
      </c>
      <c r="G2352" s="0" t="s">
        <v>18671</v>
      </c>
    </row>
    <row r="2353" customFormat="false" ht="15" hidden="false" customHeight="false" outlineLevel="0" collapsed="false">
      <c r="A2353" s="0" t="n">
        <v>3387</v>
      </c>
      <c r="B2353" s="0" t="n">
        <v>22002</v>
      </c>
      <c r="C2353" s="0" t="s">
        <v>13936</v>
      </c>
      <c r="D2353" s="0" t="s">
        <v>6</v>
      </c>
      <c r="F2353" s="0" t="s">
        <v>57</v>
      </c>
      <c r="G2353" s="0" t="s">
        <v>18671</v>
      </c>
    </row>
    <row r="2354" customFormat="false" ht="15" hidden="false" customHeight="false" outlineLevel="0" collapsed="false">
      <c r="A2354" s="0" t="n">
        <v>3388</v>
      </c>
      <c r="B2354" s="0" t="n">
        <v>22003</v>
      </c>
      <c r="C2354" s="0" t="s">
        <v>13939</v>
      </c>
      <c r="D2354" s="0" t="s">
        <v>6</v>
      </c>
      <c r="F2354" s="0" t="s">
        <v>57</v>
      </c>
      <c r="G2354" s="0" t="s">
        <v>18671</v>
      </c>
    </row>
    <row r="2355" customFormat="false" ht="15" hidden="false" customHeight="false" outlineLevel="0" collapsed="false">
      <c r="A2355" s="0" t="n">
        <v>3389</v>
      </c>
      <c r="B2355" s="0" t="n">
        <v>22004</v>
      </c>
      <c r="C2355" s="0" t="s">
        <v>13942</v>
      </c>
      <c r="D2355" s="0" t="s">
        <v>6</v>
      </c>
      <c r="F2355" s="0" t="s">
        <v>57</v>
      </c>
      <c r="G2355" s="0" t="s">
        <v>18671</v>
      </c>
    </row>
    <row r="2356" customFormat="false" ht="15" hidden="false" customHeight="false" outlineLevel="0" collapsed="false">
      <c r="A2356" s="0" t="n">
        <v>3390</v>
      </c>
      <c r="B2356" s="0" t="n">
        <v>22005</v>
      </c>
      <c r="C2356" s="0" t="s">
        <v>13946</v>
      </c>
      <c r="D2356" s="0" t="s">
        <v>6</v>
      </c>
      <c r="F2356" s="0" t="s">
        <v>57</v>
      </c>
      <c r="G2356" s="0" t="s">
        <v>18671</v>
      </c>
    </row>
    <row r="2357" customFormat="false" ht="15" hidden="false" customHeight="false" outlineLevel="0" collapsed="false">
      <c r="A2357" s="0" t="n">
        <v>3391</v>
      </c>
      <c r="B2357" s="0" t="n">
        <v>22006</v>
      </c>
      <c r="C2357" s="0" t="s">
        <v>13949</v>
      </c>
      <c r="D2357" s="0" t="s">
        <v>6</v>
      </c>
      <c r="F2357" s="0" t="s">
        <v>57</v>
      </c>
      <c r="G2357" s="0" t="s">
        <v>18671</v>
      </c>
    </row>
    <row r="2358" customFormat="false" ht="15" hidden="false" customHeight="false" outlineLevel="0" collapsed="false">
      <c r="A2358" s="0" t="n">
        <v>3392</v>
      </c>
      <c r="B2358" s="0" t="n">
        <v>22007</v>
      </c>
      <c r="C2358" s="0" t="s">
        <v>13953</v>
      </c>
      <c r="D2358" s="0" t="s">
        <v>6</v>
      </c>
      <c r="F2358" s="0" t="s">
        <v>57</v>
      </c>
      <c r="G2358" s="0" t="s">
        <v>18671</v>
      </c>
    </row>
    <row r="2359" customFormat="false" ht="15" hidden="false" customHeight="false" outlineLevel="0" collapsed="false">
      <c r="A2359" s="0" t="n">
        <v>3393</v>
      </c>
      <c r="B2359" s="0" t="n">
        <v>22008</v>
      </c>
      <c r="C2359" s="0" t="s">
        <v>13956</v>
      </c>
      <c r="D2359" s="0" t="s">
        <v>6</v>
      </c>
      <c r="F2359" s="0" t="s">
        <v>57</v>
      </c>
      <c r="G2359" s="0" t="s">
        <v>18671</v>
      </c>
    </row>
    <row r="2360" customFormat="false" ht="15" hidden="false" customHeight="false" outlineLevel="0" collapsed="false">
      <c r="A2360" s="0" t="n">
        <v>3394</v>
      </c>
      <c r="B2360" s="0" t="n">
        <v>22009</v>
      </c>
      <c r="C2360" s="0" t="s">
        <v>13959</v>
      </c>
      <c r="D2360" s="0" t="s">
        <v>6</v>
      </c>
      <c r="F2360" s="0" t="s">
        <v>57</v>
      </c>
      <c r="G2360" s="0" t="s">
        <v>18671</v>
      </c>
    </row>
    <row r="2361" customFormat="false" ht="15" hidden="false" customHeight="false" outlineLevel="0" collapsed="false">
      <c r="A2361" s="0" t="n">
        <v>3395</v>
      </c>
      <c r="B2361" s="0" t="n">
        <v>22010</v>
      </c>
      <c r="C2361" s="0" t="s">
        <v>13963</v>
      </c>
      <c r="D2361" s="0" t="s">
        <v>6</v>
      </c>
      <c r="F2361" s="0" t="s">
        <v>57</v>
      </c>
      <c r="G2361" s="0" t="s">
        <v>18671</v>
      </c>
    </row>
    <row r="2362" customFormat="false" ht="15" hidden="false" customHeight="false" outlineLevel="0" collapsed="false">
      <c r="A2362" s="0" t="n">
        <v>3396</v>
      </c>
      <c r="B2362" s="0" t="n">
        <v>22011</v>
      </c>
      <c r="C2362" s="0" t="s">
        <v>13965</v>
      </c>
      <c r="D2362" s="0" t="s">
        <v>6</v>
      </c>
      <c r="F2362" s="0" t="s">
        <v>57</v>
      </c>
      <c r="G2362" s="0" t="s">
        <v>18671</v>
      </c>
    </row>
    <row r="2363" customFormat="false" ht="15" hidden="false" customHeight="false" outlineLevel="0" collapsed="false">
      <c r="A2363" s="0" t="n">
        <v>3397</v>
      </c>
      <c r="B2363" s="0" t="n">
        <v>22012</v>
      </c>
      <c r="C2363" s="0" t="s">
        <v>13968</v>
      </c>
      <c r="D2363" s="0" t="s">
        <v>6</v>
      </c>
      <c r="F2363" s="0" t="s">
        <v>57</v>
      </c>
      <c r="G2363" s="0" t="s">
        <v>18671</v>
      </c>
    </row>
    <row r="2364" customFormat="false" ht="15" hidden="false" customHeight="false" outlineLevel="0" collapsed="false">
      <c r="A2364" s="0" t="n">
        <v>3398</v>
      </c>
      <c r="B2364" s="0" t="n">
        <v>22013</v>
      </c>
      <c r="C2364" s="0" t="s">
        <v>13971</v>
      </c>
      <c r="D2364" s="0" t="s">
        <v>6</v>
      </c>
      <c r="F2364" s="0" t="s">
        <v>57</v>
      </c>
      <c r="G2364" s="0" t="s">
        <v>18671</v>
      </c>
    </row>
    <row r="2365" customFormat="false" ht="15" hidden="false" customHeight="false" outlineLevel="0" collapsed="false">
      <c r="A2365" s="0" t="n">
        <v>3399</v>
      </c>
      <c r="B2365" s="0" t="n">
        <v>22014</v>
      </c>
      <c r="C2365" s="0" t="s">
        <v>13974</v>
      </c>
      <c r="D2365" s="0" t="s">
        <v>6</v>
      </c>
      <c r="F2365" s="0" t="s">
        <v>57</v>
      </c>
      <c r="G2365" s="0" t="s">
        <v>18671</v>
      </c>
    </row>
    <row r="2366" customFormat="false" ht="15" hidden="false" customHeight="false" outlineLevel="0" collapsed="false">
      <c r="A2366" s="0" t="n">
        <v>3402</v>
      </c>
      <c r="B2366" s="0" t="n">
        <v>22018</v>
      </c>
      <c r="C2366" s="0" t="s">
        <v>13984</v>
      </c>
      <c r="D2366" s="0" t="s">
        <v>6</v>
      </c>
      <c r="F2366" s="0" t="s">
        <v>57</v>
      </c>
      <c r="G2366" s="0" t="s">
        <v>18671</v>
      </c>
    </row>
    <row r="2367" customFormat="false" ht="15" hidden="false" customHeight="false" outlineLevel="0" collapsed="false">
      <c r="A2367" s="0" t="n">
        <v>3404</v>
      </c>
      <c r="B2367" s="0" t="n">
        <v>22020</v>
      </c>
      <c r="C2367" s="0" t="s">
        <v>13990</v>
      </c>
      <c r="D2367" s="0" t="s">
        <v>6</v>
      </c>
      <c r="F2367" s="0" t="s">
        <v>57</v>
      </c>
      <c r="G2367" s="0" t="s">
        <v>18671</v>
      </c>
    </row>
    <row r="2368" customFormat="false" ht="15" hidden="false" customHeight="false" outlineLevel="0" collapsed="false">
      <c r="A2368" s="0" t="n">
        <v>3407</v>
      </c>
      <c r="B2368" s="0" t="n">
        <v>22056</v>
      </c>
      <c r="C2368" s="0" t="s">
        <v>14004</v>
      </c>
      <c r="D2368" s="0" t="s">
        <v>6</v>
      </c>
      <c r="F2368" s="0" t="s">
        <v>57</v>
      </c>
      <c r="G2368" s="0" t="s">
        <v>18671</v>
      </c>
    </row>
    <row r="2369" customFormat="false" ht="15" hidden="false" customHeight="false" outlineLevel="0" collapsed="false">
      <c r="A2369" s="0" t="n">
        <v>3431</v>
      </c>
      <c r="B2369" s="0" t="n">
        <v>22046</v>
      </c>
      <c r="C2369" s="0" t="s">
        <v>14073</v>
      </c>
      <c r="D2369" s="0" t="s">
        <v>6</v>
      </c>
      <c r="F2369" s="0" t="s">
        <v>57</v>
      </c>
      <c r="G2369" s="0" t="s">
        <v>18671</v>
      </c>
    </row>
    <row r="2370" customFormat="false" ht="15" hidden="false" customHeight="false" outlineLevel="0" collapsed="false">
      <c r="A2370" s="0" t="n">
        <v>3432</v>
      </c>
      <c r="B2370" s="0" t="n">
        <v>22047</v>
      </c>
      <c r="C2370" s="0" t="s">
        <v>14076</v>
      </c>
      <c r="D2370" s="0" t="s">
        <v>6</v>
      </c>
      <c r="F2370" s="0" t="s">
        <v>57</v>
      </c>
      <c r="G2370" s="0" t="s">
        <v>18671</v>
      </c>
    </row>
    <row r="2371" customFormat="false" ht="15" hidden="false" customHeight="false" outlineLevel="0" collapsed="false">
      <c r="A2371" s="0" t="n">
        <v>3437</v>
      </c>
      <c r="B2371" s="0" t="n">
        <v>22052</v>
      </c>
      <c r="C2371" s="0" t="s">
        <v>14092</v>
      </c>
      <c r="D2371" s="0" t="s">
        <v>6</v>
      </c>
      <c r="F2371" s="0" t="s">
        <v>57</v>
      </c>
      <c r="G2371" s="0" t="s">
        <v>18671</v>
      </c>
    </row>
    <row r="2372" customFormat="false" ht="15" hidden="false" customHeight="false" outlineLevel="0" collapsed="false">
      <c r="A2372" s="0" t="n">
        <v>3464</v>
      </c>
      <c r="B2372" s="0" t="n">
        <v>22080</v>
      </c>
      <c r="C2372" s="0" t="s">
        <v>14184</v>
      </c>
      <c r="D2372" s="0" t="s">
        <v>6</v>
      </c>
      <c r="F2372" s="0" t="s">
        <v>57</v>
      </c>
      <c r="G2372" s="0" t="s">
        <v>18671</v>
      </c>
    </row>
    <row r="2373" customFormat="false" ht="15" hidden="false" customHeight="false" outlineLevel="0" collapsed="false">
      <c r="A2373" s="0" t="n">
        <v>3465</v>
      </c>
      <c r="B2373" s="0" t="n">
        <v>22081</v>
      </c>
      <c r="C2373" s="0" t="s">
        <v>14188</v>
      </c>
      <c r="D2373" s="0" t="s">
        <v>6</v>
      </c>
      <c r="F2373" s="0" t="s">
        <v>57</v>
      </c>
      <c r="G2373" s="0" t="s">
        <v>18671</v>
      </c>
    </row>
    <row r="2374" customFormat="false" ht="15" hidden="false" customHeight="false" outlineLevel="0" collapsed="false">
      <c r="A2374" s="0" t="n">
        <v>3466</v>
      </c>
      <c r="B2374" s="0" t="n">
        <v>22082</v>
      </c>
      <c r="C2374" s="0" t="s">
        <v>14191</v>
      </c>
      <c r="D2374" s="0" t="s">
        <v>6</v>
      </c>
      <c r="F2374" s="0" t="s">
        <v>57</v>
      </c>
      <c r="G2374" s="0" t="s">
        <v>18671</v>
      </c>
    </row>
    <row r="2375" customFormat="false" ht="15" hidden="false" customHeight="false" outlineLevel="0" collapsed="false">
      <c r="A2375" s="0" t="n">
        <v>3467</v>
      </c>
      <c r="B2375" s="0" t="n">
        <v>22083</v>
      </c>
      <c r="C2375" s="0" t="s">
        <v>14194</v>
      </c>
      <c r="D2375" s="0" t="s">
        <v>6</v>
      </c>
      <c r="F2375" s="0" t="s">
        <v>57</v>
      </c>
      <c r="G2375" s="0" t="s">
        <v>18671</v>
      </c>
    </row>
    <row r="2376" customFormat="false" ht="15" hidden="false" customHeight="false" outlineLevel="0" collapsed="false">
      <c r="A2376" s="0" t="n">
        <v>3468</v>
      </c>
      <c r="B2376" s="0" t="n">
        <v>22084</v>
      </c>
      <c r="C2376" s="0" t="s">
        <v>14197</v>
      </c>
      <c r="D2376" s="0" t="s">
        <v>6</v>
      </c>
      <c r="F2376" s="0" t="s">
        <v>57</v>
      </c>
      <c r="G2376" s="0" t="s">
        <v>18671</v>
      </c>
    </row>
    <row r="2377" customFormat="false" ht="15" hidden="false" customHeight="false" outlineLevel="0" collapsed="false">
      <c r="A2377" s="0" t="n">
        <v>3469</v>
      </c>
      <c r="B2377" s="0" t="n">
        <v>22085</v>
      </c>
      <c r="C2377" s="0" t="s">
        <v>14200</v>
      </c>
      <c r="D2377" s="0" t="s">
        <v>6</v>
      </c>
      <c r="F2377" s="0" t="s">
        <v>57</v>
      </c>
      <c r="G2377" s="0" t="s">
        <v>18671</v>
      </c>
    </row>
    <row r="2378" customFormat="false" ht="15" hidden="false" customHeight="false" outlineLevel="0" collapsed="false">
      <c r="A2378" s="0" t="n">
        <v>3470</v>
      </c>
      <c r="B2378" s="0" t="n">
        <v>22086</v>
      </c>
      <c r="C2378" s="0" t="s">
        <v>14204</v>
      </c>
      <c r="D2378" s="0" t="s">
        <v>6</v>
      </c>
      <c r="F2378" s="0" t="s">
        <v>57</v>
      </c>
      <c r="G2378" s="0" t="s">
        <v>18671</v>
      </c>
    </row>
    <row r="2379" customFormat="false" ht="15" hidden="false" customHeight="false" outlineLevel="0" collapsed="false">
      <c r="A2379" s="0" t="n">
        <v>3472</v>
      </c>
      <c r="B2379" s="0" t="n">
        <v>22088</v>
      </c>
      <c r="C2379" s="0" t="s">
        <v>14210</v>
      </c>
      <c r="D2379" s="0" t="s">
        <v>6</v>
      </c>
      <c r="F2379" s="0" t="s">
        <v>57</v>
      </c>
      <c r="G2379" s="0" t="s">
        <v>18671</v>
      </c>
    </row>
    <row r="2380" customFormat="false" ht="15" hidden="false" customHeight="false" outlineLevel="0" collapsed="false">
      <c r="A2380" s="0" t="n">
        <v>3473</v>
      </c>
      <c r="B2380" s="0" t="n">
        <v>22089</v>
      </c>
      <c r="C2380" s="0" t="s">
        <v>14213</v>
      </c>
      <c r="D2380" s="0" t="s">
        <v>6</v>
      </c>
      <c r="F2380" s="0" t="s">
        <v>57</v>
      </c>
      <c r="G2380" s="0" t="s">
        <v>18671</v>
      </c>
    </row>
    <row r="2381" customFormat="false" ht="15" hidden="false" customHeight="false" outlineLevel="0" collapsed="false">
      <c r="A2381" s="0" t="n">
        <v>3474</v>
      </c>
      <c r="B2381" s="0" t="n">
        <v>22090</v>
      </c>
      <c r="C2381" s="0" t="s">
        <v>14216</v>
      </c>
      <c r="D2381" s="0" t="s">
        <v>6</v>
      </c>
      <c r="F2381" s="0" t="s">
        <v>57</v>
      </c>
      <c r="G2381" s="0" t="s">
        <v>18671</v>
      </c>
    </row>
    <row r="2382" customFormat="false" ht="15" hidden="false" customHeight="false" outlineLevel="0" collapsed="false">
      <c r="A2382" s="0" t="n">
        <v>3475</v>
      </c>
      <c r="B2382" s="0" t="n">
        <v>22091</v>
      </c>
      <c r="C2382" s="0" t="s">
        <v>14219</v>
      </c>
      <c r="D2382" s="0" t="s">
        <v>6</v>
      </c>
      <c r="F2382" s="0" t="s">
        <v>57</v>
      </c>
      <c r="G2382" s="0" t="s">
        <v>18671</v>
      </c>
    </row>
    <row r="2383" customFormat="false" ht="15" hidden="false" customHeight="false" outlineLevel="0" collapsed="false">
      <c r="A2383" s="0" t="n">
        <v>3501</v>
      </c>
      <c r="B2383" s="0" t="n">
        <v>22119</v>
      </c>
      <c r="C2383" s="0" t="s">
        <v>14311</v>
      </c>
      <c r="D2383" s="0" t="s">
        <v>6</v>
      </c>
      <c r="F2383" s="0" t="s">
        <v>57</v>
      </c>
      <c r="G2383" s="0" t="s">
        <v>18671</v>
      </c>
    </row>
    <row r="2384" customFormat="false" ht="15" hidden="false" customHeight="false" outlineLevel="0" collapsed="false">
      <c r="A2384" s="0" t="n">
        <v>3502</v>
      </c>
      <c r="B2384" s="0" t="n">
        <v>22120</v>
      </c>
      <c r="C2384" s="0" t="s">
        <v>14314</v>
      </c>
      <c r="D2384" s="0" t="s">
        <v>6</v>
      </c>
      <c r="F2384" s="0" t="s">
        <v>57</v>
      </c>
      <c r="G2384" s="0" t="s">
        <v>18671</v>
      </c>
    </row>
    <row r="2385" customFormat="false" ht="15" hidden="false" customHeight="false" outlineLevel="0" collapsed="false">
      <c r="A2385" s="0" t="n">
        <v>3505</v>
      </c>
      <c r="B2385" s="0" t="n">
        <v>22123</v>
      </c>
      <c r="C2385" s="0" t="s">
        <v>14327</v>
      </c>
      <c r="D2385" s="0" t="s">
        <v>6</v>
      </c>
      <c r="F2385" s="0" t="s">
        <v>57</v>
      </c>
      <c r="G2385" s="0" t="s">
        <v>18671</v>
      </c>
    </row>
    <row r="2386" customFormat="false" ht="15" hidden="false" customHeight="false" outlineLevel="0" collapsed="false">
      <c r="A2386" s="0" t="n">
        <v>3506</v>
      </c>
      <c r="B2386" s="0" t="n">
        <v>22124</v>
      </c>
      <c r="C2386" s="0" t="s">
        <v>14330</v>
      </c>
      <c r="D2386" s="0" t="s">
        <v>6</v>
      </c>
      <c r="F2386" s="0" t="s">
        <v>57</v>
      </c>
      <c r="G2386" s="0" t="s">
        <v>18671</v>
      </c>
    </row>
    <row r="2387" customFormat="false" ht="15" hidden="false" customHeight="false" outlineLevel="0" collapsed="false">
      <c r="A2387" s="0" t="n">
        <v>3507</v>
      </c>
      <c r="B2387" s="0" t="n">
        <v>22125</v>
      </c>
      <c r="C2387" s="0" t="s">
        <v>14333</v>
      </c>
      <c r="D2387" s="0" t="s">
        <v>6</v>
      </c>
      <c r="F2387" s="0" t="s">
        <v>57</v>
      </c>
      <c r="G2387" s="0" t="s">
        <v>18671</v>
      </c>
    </row>
    <row r="2388" customFormat="false" ht="15" hidden="false" customHeight="false" outlineLevel="0" collapsed="false">
      <c r="A2388" s="0" t="n">
        <v>3509</v>
      </c>
      <c r="B2388" s="0" t="n">
        <v>22127</v>
      </c>
      <c r="C2388" s="0" t="s">
        <v>14339</v>
      </c>
      <c r="D2388" s="0" t="s">
        <v>6</v>
      </c>
      <c r="F2388" s="0" t="s">
        <v>57</v>
      </c>
      <c r="G2388" s="0" t="s">
        <v>18671</v>
      </c>
    </row>
    <row r="2389" customFormat="false" ht="15" hidden="false" customHeight="false" outlineLevel="0" collapsed="false">
      <c r="A2389" s="0" t="n">
        <v>3510</v>
      </c>
      <c r="B2389" s="0" t="n">
        <v>22128</v>
      </c>
      <c r="C2389" s="0" t="s">
        <v>14343</v>
      </c>
      <c r="D2389" s="0" t="s">
        <v>6</v>
      </c>
      <c r="F2389" s="0" t="s">
        <v>57</v>
      </c>
      <c r="G2389" s="0" t="s">
        <v>18671</v>
      </c>
    </row>
    <row r="2390" customFormat="false" ht="15" hidden="false" customHeight="false" outlineLevel="0" collapsed="false">
      <c r="A2390" s="0" t="n">
        <v>3511</v>
      </c>
      <c r="B2390" s="0" t="n">
        <v>22129</v>
      </c>
      <c r="C2390" s="0" t="s">
        <v>14346</v>
      </c>
      <c r="D2390" s="0" t="s">
        <v>6</v>
      </c>
      <c r="F2390" s="0" t="s">
        <v>57</v>
      </c>
      <c r="G2390" s="0" t="s">
        <v>18671</v>
      </c>
    </row>
    <row r="2391" customFormat="false" ht="15" hidden="false" customHeight="false" outlineLevel="0" collapsed="false">
      <c r="A2391" s="0" t="n">
        <v>3512</v>
      </c>
      <c r="B2391" s="0" t="n">
        <v>22130</v>
      </c>
      <c r="C2391" s="0" t="s">
        <v>14349</v>
      </c>
      <c r="D2391" s="0" t="s">
        <v>6</v>
      </c>
      <c r="F2391" s="0" t="s">
        <v>57</v>
      </c>
      <c r="G2391" s="0" t="s">
        <v>18671</v>
      </c>
    </row>
    <row r="2392" customFormat="false" ht="15" hidden="false" customHeight="false" outlineLevel="0" collapsed="false">
      <c r="A2392" s="0" t="n">
        <v>3549</v>
      </c>
      <c r="B2392" s="0" t="n">
        <v>22167</v>
      </c>
      <c r="C2392" s="0" t="s">
        <v>14470</v>
      </c>
      <c r="D2392" s="0" t="s">
        <v>6</v>
      </c>
      <c r="F2392" s="0" t="s">
        <v>57</v>
      </c>
      <c r="G2392" s="0" t="s">
        <v>18671</v>
      </c>
    </row>
    <row r="2393" customFormat="false" ht="15" hidden="false" customHeight="false" outlineLevel="0" collapsed="false">
      <c r="A2393" s="0" t="n">
        <v>3554</v>
      </c>
      <c r="B2393" s="0" t="n">
        <v>22172</v>
      </c>
      <c r="C2393" s="0" t="s">
        <v>14488</v>
      </c>
      <c r="D2393" s="0" t="s">
        <v>6</v>
      </c>
      <c r="F2393" s="0" t="s">
        <v>57</v>
      </c>
      <c r="G2393" s="0" t="s">
        <v>18671</v>
      </c>
    </row>
    <row r="2394" customFormat="false" ht="15" hidden="false" customHeight="false" outlineLevel="0" collapsed="false">
      <c r="A2394" s="0" t="n">
        <v>3555</v>
      </c>
      <c r="B2394" s="0" t="n">
        <v>22173</v>
      </c>
      <c r="C2394" s="0" t="s">
        <v>14492</v>
      </c>
      <c r="D2394" s="0" t="s">
        <v>6</v>
      </c>
      <c r="F2394" s="0" t="s">
        <v>57</v>
      </c>
      <c r="G2394" s="0" t="s">
        <v>18671</v>
      </c>
    </row>
    <row r="2395" customFormat="false" ht="15" hidden="false" customHeight="false" outlineLevel="0" collapsed="false">
      <c r="A2395" s="0" t="n">
        <v>3556</v>
      </c>
      <c r="B2395" s="0" t="n">
        <v>22174</v>
      </c>
      <c r="C2395" s="0" t="s">
        <v>14495</v>
      </c>
      <c r="D2395" s="0" t="s">
        <v>6</v>
      </c>
      <c r="F2395" s="0" t="s">
        <v>57</v>
      </c>
      <c r="G2395" s="0" t="s">
        <v>18671</v>
      </c>
    </row>
    <row r="2396" customFormat="false" ht="15" hidden="false" customHeight="false" outlineLevel="0" collapsed="false">
      <c r="A2396" s="0" t="n">
        <v>3557</v>
      </c>
      <c r="B2396" s="0" t="n">
        <v>22175</v>
      </c>
      <c r="C2396" s="0" t="s">
        <v>14498</v>
      </c>
      <c r="D2396" s="0" t="s">
        <v>6</v>
      </c>
      <c r="F2396" s="0" t="s">
        <v>57</v>
      </c>
      <c r="G2396" s="0" t="s">
        <v>18671</v>
      </c>
    </row>
    <row r="2397" customFormat="false" ht="15" hidden="false" customHeight="false" outlineLevel="0" collapsed="false">
      <c r="A2397" s="0" t="n">
        <v>3558</v>
      </c>
      <c r="B2397" s="0" t="n">
        <v>22176</v>
      </c>
      <c r="C2397" s="0" t="s">
        <v>14502</v>
      </c>
      <c r="D2397" s="0" t="s">
        <v>6</v>
      </c>
      <c r="F2397" s="0" t="s">
        <v>57</v>
      </c>
      <c r="G2397" s="0" t="s">
        <v>18671</v>
      </c>
    </row>
    <row r="2398" customFormat="false" ht="15" hidden="false" customHeight="false" outlineLevel="0" collapsed="false">
      <c r="A2398" s="0" t="n">
        <v>3559</v>
      </c>
      <c r="B2398" s="0" t="n">
        <v>22177</v>
      </c>
      <c r="C2398" s="0" t="s">
        <v>14505</v>
      </c>
      <c r="D2398" s="0" t="s">
        <v>6</v>
      </c>
      <c r="F2398" s="0" t="s">
        <v>57</v>
      </c>
      <c r="G2398" s="0" t="s">
        <v>18671</v>
      </c>
    </row>
    <row r="2399" customFormat="false" ht="15" hidden="false" customHeight="false" outlineLevel="0" collapsed="false">
      <c r="A2399" s="0" t="n">
        <v>3560</v>
      </c>
      <c r="B2399" s="0" t="n">
        <v>22178</v>
      </c>
      <c r="C2399" s="0" t="s">
        <v>14509</v>
      </c>
      <c r="D2399" s="0" t="s">
        <v>6</v>
      </c>
      <c r="F2399" s="0" t="s">
        <v>57</v>
      </c>
      <c r="G2399" s="0" t="s">
        <v>18671</v>
      </c>
    </row>
    <row r="2400" customFormat="false" ht="15" hidden="false" customHeight="false" outlineLevel="0" collapsed="false">
      <c r="A2400" s="0" t="n">
        <v>3561</v>
      </c>
      <c r="B2400" s="0" t="n">
        <v>22179</v>
      </c>
      <c r="C2400" s="0" t="s">
        <v>14512</v>
      </c>
      <c r="D2400" s="0" t="s">
        <v>6</v>
      </c>
      <c r="F2400" s="0" t="s">
        <v>57</v>
      </c>
      <c r="G2400" s="0" t="s">
        <v>18671</v>
      </c>
    </row>
    <row r="2401" customFormat="false" ht="15" hidden="false" customHeight="false" outlineLevel="0" collapsed="false">
      <c r="A2401" s="0" t="n">
        <v>3562</v>
      </c>
      <c r="B2401" s="0" t="n">
        <v>22180</v>
      </c>
      <c r="C2401" s="0" t="s">
        <v>14517</v>
      </c>
      <c r="D2401" s="0" t="s">
        <v>6</v>
      </c>
      <c r="F2401" s="0" t="s">
        <v>57</v>
      </c>
      <c r="G2401" s="0" t="s">
        <v>18671</v>
      </c>
    </row>
    <row r="2402" customFormat="false" ht="15" hidden="false" customHeight="false" outlineLevel="0" collapsed="false">
      <c r="A2402" s="0" t="n">
        <v>3563</v>
      </c>
      <c r="B2402" s="0" t="n">
        <v>22181</v>
      </c>
      <c r="C2402" s="0" t="s">
        <v>14520</v>
      </c>
      <c r="D2402" s="0" t="s">
        <v>6</v>
      </c>
      <c r="F2402" s="0" t="s">
        <v>57</v>
      </c>
      <c r="G2402" s="0" t="s">
        <v>18671</v>
      </c>
    </row>
    <row r="2403" customFormat="false" ht="15" hidden="false" customHeight="false" outlineLevel="0" collapsed="false">
      <c r="A2403" s="0" t="n">
        <v>3564</v>
      </c>
      <c r="B2403" s="0" t="n">
        <v>22182</v>
      </c>
      <c r="C2403" s="0" t="s">
        <v>14524</v>
      </c>
      <c r="D2403" s="0" t="s">
        <v>6</v>
      </c>
      <c r="F2403" s="0" t="s">
        <v>57</v>
      </c>
      <c r="G2403" s="0" t="s">
        <v>18671</v>
      </c>
    </row>
    <row r="2404" customFormat="false" ht="15" hidden="false" customHeight="false" outlineLevel="0" collapsed="false">
      <c r="A2404" s="0" t="n">
        <v>3565</v>
      </c>
      <c r="B2404" s="0" t="n">
        <v>22183</v>
      </c>
      <c r="C2404" s="0" t="s">
        <v>14530</v>
      </c>
      <c r="D2404" s="0" t="s">
        <v>6</v>
      </c>
      <c r="F2404" s="0" t="s">
        <v>57</v>
      </c>
      <c r="G2404" s="0" t="s">
        <v>18671</v>
      </c>
    </row>
    <row r="2405" customFormat="false" ht="15" hidden="false" customHeight="false" outlineLevel="0" collapsed="false">
      <c r="A2405" s="0" t="n">
        <v>3571</v>
      </c>
      <c r="B2405" s="0" t="n">
        <v>22189</v>
      </c>
      <c r="C2405" s="0" t="s">
        <v>14550</v>
      </c>
      <c r="D2405" s="0" t="s">
        <v>6</v>
      </c>
      <c r="F2405" s="0" t="s">
        <v>57</v>
      </c>
      <c r="G2405" s="0" t="s">
        <v>18671</v>
      </c>
    </row>
    <row r="2406" customFormat="false" ht="15" hidden="false" customHeight="false" outlineLevel="0" collapsed="false">
      <c r="A2406" s="0" t="n">
        <v>3574</v>
      </c>
      <c r="B2406" s="0" t="n">
        <v>22192</v>
      </c>
      <c r="C2406" s="0" t="s">
        <v>14561</v>
      </c>
      <c r="D2406" s="0" t="s">
        <v>6</v>
      </c>
      <c r="F2406" s="0" t="s">
        <v>57</v>
      </c>
      <c r="G2406" s="0" t="s">
        <v>18671</v>
      </c>
    </row>
    <row r="2407" customFormat="false" ht="15" hidden="false" customHeight="false" outlineLevel="0" collapsed="false">
      <c r="A2407" s="0" t="n">
        <v>3575</v>
      </c>
      <c r="B2407" s="0" t="n">
        <v>22193</v>
      </c>
      <c r="C2407" s="0" t="s">
        <v>14565</v>
      </c>
      <c r="D2407" s="0" t="s">
        <v>6</v>
      </c>
      <c r="F2407" s="0" t="s">
        <v>57</v>
      </c>
      <c r="G2407" s="0" t="s">
        <v>18671</v>
      </c>
    </row>
    <row r="2408" customFormat="false" ht="15" hidden="false" customHeight="false" outlineLevel="0" collapsed="false">
      <c r="A2408" s="0" t="n">
        <v>3602</v>
      </c>
      <c r="B2408" s="0" t="n">
        <v>22406</v>
      </c>
      <c r="C2408" s="0" t="s">
        <v>14667</v>
      </c>
      <c r="D2408" s="0" t="s">
        <v>6</v>
      </c>
      <c r="F2408" s="0" t="s">
        <v>57</v>
      </c>
      <c r="G2408" s="0" t="s">
        <v>18671</v>
      </c>
    </row>
    <row r="2409" customFormat="false" ht="15" hidden="false" customHeight="false" outlineLevel="0" collapsed="false">
      <c r="A2409" s="0" t="n">
        <v>3627</v>
      </c>
      <c r="B2409" s="0" t="n">
        <v>22245</v>
      </c>
      <c r="C2409" s="0" t="s">
        <v>10359</v>
      </c>
      <c r="D2409" s="0" t="s">
        <v>6</v>
      </c>
      <c r="F2409" s="0" t="s">
        <v>57</v>
      </c>
      <c r="G2409" s="0" t="s">
        <v>18671</v>
      </c>
    </row>
    <row r="2410" customFormat="false" ht="15" hidden="false" customHeight="false" outlineLevel="0" collapsed="false">
      <c r="A2410" s="0" t="n">
        <v>3628</v>
      </c>
      <c r="B2410" s="0" t="n">
        <v>22246</v>
      </c>
      <c r="C2410" s="0" t="s">
        <v>14775</v>
      </c>
      <c r="D2410" s="0" t="s">
        <v>6</v>
      </c>
      <c r="F2410" s="0" t="s">
        <v>57</v>
      </c>
      <c r="G2410" s="0" t="s">
        <v>18671</v>
      </c>
    </row>
    <row r="2411" customFormat="false" ht="15" hidden="false" customHeight="false" outlineLevel="0" collapsed="false">
      <c r="A2411" s="0" t="n">
        <v>3629</v>
      </c>
      <c r="B2411" s="0" t="n">
        <v>22247</v>
      </c>
      <c r="C2411" s="0" t="s">
        <v>14779</v>
      </c>
      <c r="D2411" s="0" t="s">
        <v>6</v>
      </c>
      <c r="F2411" s="0" t="s">
        <v>57</v>
      </c>
      <c r="G2411" s="0" t="s">
        <v>18671</v>
      </c>
    </row>
    <row r="2412" customFormat="false" ht="15" hidden="false" customHeight="false" outlineLevel="0" collapsed="false">
      <c r="A2412" s="0" t="n">
        <v>3630</v>
      </c>
      <c r="B2412" s="0" t="n">
        <v>22248</v>
      </c>
      <c r="C2412" s="0" t="s">
        <v>14783</v>
      </c>
      <c r="D2412" s="0" t="s">
        <v>6</v>
      </c>
      <c r="F2412" s="0" t="s">
        <v>57</v>
      </c>
      <c r="G2412" s="0" t="s">
        <v>18671</v>
      </c>
    </row>
    <row r="2413" customFormat="false" ht="15" hidden="false" customHeight="false" outlineLevel="0" collapsed="false">
      <c r="A2413" s="0" t="n">
        <v>3631</v>
      </c>
      <c r="B2413" s="0" t="n">
        <v>22249</v>
      </c>
      <c r="C2413" s="0" t="s">
        <v>14787</v>
      </c>
      <c r="D2413" s="0" t="s">
        <v>6</v>
      </c>
      <c r="F2413" s="0" t="s">
        <v>57</v>
      </c>
      <c r="G2413" s="0" t="s">
        <v>18671</v>
      </c>
    </row>
    <row r="2414" customFormat="false" ht="15" hidden="false" customHeight="false" outlineLevel="0" collapsed="false">
      <c r="A2414" s="0" t="n">
        <v>3632</v>
      </c>
      <c r="B2414" s="0" t="n">
        <v>22250</v>
      </c>
      <c r="C2414" s="0" t="s">
        <v>14791</v>
      </c>
      <c r="D2414" s="0" t="s">
        <v>6</v>
      </c>
      <c r="F2414" s="0" t="s">
        <v>57</v>
      </c>
      <c r="G2414" s="0" t="s">
        <v>18671</v>
      </c>
    </row>
    <row r="2415" customFormat="false" ht="15" hidden="false" customHeight="false" outlineLevel="0" collapsed="false">
      <c r="A2415" s="0" t="n">
        <v>3633</v>
      </c>
      <c r="B2415" s="0" t="n">
        <v>22251</v>
      </c>
      <c r="C2415" s="0" t="s">
        <v>14795</v>
      </c>
      <c r="D2415" s="0" t="s">
        <v>6</v>
      </c>
      <c r="F2415" s="0" t="s">
        <v>57</v>
      </c>
      <c r="G2415" s="0" t="s">
        <v>18671</v>
      </c>
    </row>
    <row r="2416" customFormat="false" ht="15" hidden="false" customHeight="false" outlineLevel="0" collapsed="false">
      <c r="A2416" s="0" t="n">
        <v>3634</v>
      </c>
      <c r="B2416" s="0" t="n">
        <v>22252</v>
      </c>
      <c r="C2416" s="0" t="s">
        <v>14799</v>
      </c>
      <c r="D2416" s="0" t="s">
        <v>6</v>
      </c>
      <c r="F2416" s="0" t="s">
        <v>57</v>
      </c>
      <c r="G2416" s="0" t="s">
        <v>18671</v>
      </c>
    </row>
    <row r="2417" customFormat="false" ht="15" hidden="false" customHeight="false" outlineLevel="0" collapsed="false">
      <c r="A2417" s="0" t="n">
        <v>3635</v>
      </c>
      <c r="B2417" s="0" t="n">
        <v>22253</v>
      </c>
      <c r="C2417" s="0" t="s">
        <v>14803</v>
      </c>
      <c r="D2417" s="0" t="s">
        <v>6</v>
      </c>
      <c r="F2417" s="0" t="s">
        <v>57</v>
      </c>
      <c r="G2417" s="0" t="s">
        <v>18671</v>
      </c>
    </row>
    <row r="2418" customFormat="false" ht="15" hidden="false" customHeight="false" outlineLevel="0" collapsed="false">
      <c r="A2418" s="0" t="n">
        <v>3636</v>
      </c>
      <c r="B2418" s="0" t="n">
        <v>22254</v>
      </c>
      <c r="C2418" s="0" t="s">
        <v>14807</v>
      </c>
      <c r="D2418" s="0" t="s">
        <v>6</v>
      </c>
      <c r="F2418" s="0" t="s">
        <v>57</v>
      </c>
      <c r="G2418" s="0" t="s">
        <v>18671</v>
      </c>
    </row>
    <row r="2419" customFormat="false" ht="15" hidden="false" customHeight="false" outlineLevel="0" collapsed="false">
      <c r="A2419" s="0" t="n">
        <v>3637</v>
      </c>
      <c r="B2419" s="0" t="n">
        <v>22255</v>
      </c>
      <c r="C2419" s="0" t="s">
        <v>14811</v>
      </c>
      <c r="D2419" s="0" t="s">
        <v>6</v>
      </c>
      <c r="F2419" s="0" t="s">
        <v>57</v>
      </c>
      <c r="G2419" s="0" t="s">
        <v>18671</v>
      </c>
    </row>
    <row r="2420" customFormat="false" ht="15" hidden="false" customHeight="false" outlineLevel="0" collapsed="false">
      <c r="A2420" s="0" t="n">
        <v>3638</v>
      </c>
      <c r="B2420" s="0" t="n">
        <v>22256</v>
      </c>
      <c r="C2420" s="0" t="s">
        <v>14815</v>
      </c>
      <c r="D2420" s="0" t="s">
        <v>6</v>
      </c>
      <c r="F2420" s="0" t="s">
        <v>57</v>
      </c>
      <c r="G2420" s="0" t="s">
        <v>18671</v>
      </c>
    </row>
    <row r="2421" customFormat="false" ht="15" hidden="false" customHeight="false" outlineLevel="0" collapsed="false">
      <c r="A2421" s="0" t="n">
        <v>3639</v>
      </c>
      <c r="B2421" s="0" t="n">
        <v>22257</v>
      </c>
      <c r="C2421" s="0" t="s">
        <v>14819</v>
      </c>
      <c r="D2421" s="0" t="s">
        <v>6</v>
      </c>
      <c r="F2421" s="0" t="s">
        <v>57</v>
      </c>
      <c r="G2421" s="0" t="s">
        <v>18671</v>
      </c>
    </row>
    <row r="2422" customFormat="false" ht="15" hidden="false" customHeight="false" outlineLevel="0" collapsed="false">
      <c r="A2422" s="0" t="n">
        <v>3640</v>
      </c>
      <c r="B2422" s="0" t="n">
        <v>22258</v>
      </c>
      <c r="C2422" s="0" t="s">
        <v>14823</v>
      </c>
      <c r="D2422" s="0" t="s">
        <v>6</v>
      </c>
      <c r="F2422" s="0" t="s">
        <v>57</v>
      </c>
      <c r="G2422" s="0" t="s">
        <v>18671</v>
      </c>
    </row>
    <row r="2423" customFormat="false" ht="15" hidden="false" customHeight="false" outlineLevel="0" collapsed="false">
      <c r="A2423" s="0" t="n">
        <v>3641</v>
      </c>
      <c r="B2423" s="0" t="n">
        <v>22260</v>
      </c>
      <c r="C2423" s="0" t="s">
        <v>14827</v>
      </c>
      <c r="D2423" s="0" t="s">
        <v>6</v>
      </c>
      <c r="F2423" s="0" t="s">
        <v>57</v>
      </c>
      <c r="G2423" s="0" t="s">
        <v>18671</v>
      </c>
    </row>
    <row r="2424" customFormat="false" ht="15" hidden="false" customHeight="false" outlineLevel="0" collapsed="false">
      <c r="A2424" s="0" t="n">
        <v>3642</v>
      </c>
      <c r="B2424" s="0" t="n">
        <v>22261</v>
      </c>
      <c r="C2424" s="0" t="s">
        <v>14832</v>
      </c>
      <c r="D2424" s="0" t="s">
        <v>6</v>
      </c>
      <c r="F2424" s="0" t="s">
        <v>57</v>
      </c>
      <c r="G2424" s="0" t="s">
        <v>18671</v>
      </c>
    </row>
    <row r="2425" customFormat="false" ht="15" hidden="false" customHeight="false" outlineLevel="0" collapsed="false">
      <c r="A2425" s="0" t="n">
        <v>3643</v>
      </c>
      <c r="B2425" s="0" t="n">
        <v>22262</v>
      </c>
      <c r="C2425" s="0" t="s">
        <v>14836</v>
      </c>
      <c r="D2425" s="0" t="s">
        <v>6</v>
      </c>
      <c r="F2425" s="0" t="s">
        <v>57</v>
      </c>
      <c r="G2425" s="0" t="s">
        <v>18671</v>
      </c>
    </row>
    <row r="2426" customFormat="false" ht="15" hidden="false" customHeight="false" outlineLevel="0" collapsed="false">
      <c r="A2426" s="0" t="n">
        <v>3644</v>
      </c>
      <c r="B2426" s="0" t="n">
        <v>22263</v>
      </c>
      <c r="C2426" s="0" t="s">
        <v>14839</v>
      </c>
      <c r="D2426" s="0" t="s">
        <v>6</v>
      </c>
      <c r="F2426" s="0" t="s">
        <v>57</v>
      </c>
      <c r="G2426" s="0" t="s">
        <v>18671</v>
      </c>
    </row>
    <row r="2427" customFormat="false" ht="15" hidden="false" customHeight="false" outlineLevel="0" collapsed="false">
      <c r="A2427" s="0" t="n">
        <v>3649</v>
      </c>
      <c r="B2427" s="0" t="n">
        <v>22268</v>
      </c>
      <c r="C2427" s="0" t="s">
        <v>14865</v>
      </c>
      <c r="D2427" s="0" t="s">
        <v>6</v>
      </c>
      <c r="F2427" s="0" t="s">
        <v>57</v>
      </c>
      <c r="G2427" s="0" t="s">
        <v>18671</v>
      </c>
    </row>
    <row r="2428" customFormat="false" ht="15" hidden="false" customHeight="false" outlineLevel="0" collapsed="false">
      <c r="A2428" s="0" t="n">
        <v>3653</v>
      </c>
      <c r="B2428" s="0" t="n">
        <v>22272</v>
      </c>
      <c r="C2428" s="0" t="s">
        <v>14882</v>
      </c>
      <c r="D2428" s="0" t="s">
        <v>6</v>
      </c>
      <c r="F2428" s="0" t="s">
        <v>57</v>
      </c>
      <c r="G2428" s="0" t="s">
        <v>18671</v>
      </c>
    </row>
    <row r="2429" customFormat="false" ht="15" hidden="false" customHeight="false" outlineLevel="0" collapsed="false">
      <c r="A2429" s="0" t="n">
        <v>3654</v>
      </c>
      <c r="B2429" s="0" t="n">
        <v>22273</v>
      </c>
      <c r="C2429" s="0" t="s">
        <v>14886</v>
      </c>
      <c r="D2429" s="0" t="s">
        <v>6</v>
      </c>
      <c r="F2429" s="0" t="s">
        <v>57</v>
      </c>
      <c r="G2429" s="0" t="s">
        <v>18671</v>
      </c>
    </row>
    <row r="2430" customFormat="false" ht="15" hidden="false" customHeight="false" outlineLevel="0" collapsed="false">
      <c r="A2430" s="0" t="n">
        <v>3662</v>
      </c>
      <c r="B2430" s="0" t="n">
        <v>22282</v>
      </c>
      <c r="C2430" s="0" t="s">
        <v>14919</v>
      </c>
      <c r="D2430" s="0" t="s">
        <v>6</v>
      </c>
      <c r="F2430" s="0" t="s">
        <v>57</v>
      </c>
      <c r="G2430" s="0" t="s">
        <v>18671</v>
      </c>
    </row>
    <row r="2431" customFormat="false" ht="15" hidden="false" customHeight="false" outlineLevel="0" collapsed="false">
      <c r="A2431" s="0" t="n">
        <v>3663</v>
      </c>
      <c r="B2431" s="0" t="n">
        <v>22283</v>
      </c>
      <c r="C2431" s="0" t="s">
        <v>14924</v>
      </c>
      <c r="D2431" s="0" t="s">
        <v>6</v>
      </c>
      <c r="F2431" s="0" t="s">
        <v>57</v>
      </c>
      <c r="G2431" s="0" t="s">
        <v>18671</v>
      </c>
    </row>
    <row r="2432" customFormat="false" ht="15" hidden="false" customHeight="false" outlineLevel="0" collapsed="false">
      <c r="A2432" s="0" t="n">
        <v>3669</v>
      </c>
      <c r="B2432" s="0" t="n">
        <v>22289</v>
      </c>
      <c r="C2432" s="0" t="s">
        <v>14954</v>
      </c>
      <c r="D2432" s="0" t="s">
        <v>6</v>
      </c>
      <c r="F2432" s="0" t="s">
        <v>57</v>
      </c>
      <c r="G2432" s="0" t="s">
        <v>18671</v>
      </c>
    </row>
    <row r="2433" customFormat="false" ht="15" hidden="false" customHeight="false" outlineLevel="0" collapsed="false">
      <c r="A2433" s="0" t="n">
        <v>3670</v>
      </c>
      <c r="B2433" s="0" t="n">
        <v>22290</v>
      </c>
      <c r="C2433" s="0" t="s">
        <v>14958</v>
      </c>
      <c r="D2433" s="0" t="s">
        <v>6</v>
      </c>
      <c r="F2433" s="0" t="s">
        <v>57</v>
      </c>
      <c r="G2433" s="0" t="s">
        <v>18671</v>
      </c>
    </row>
    <row r="2434" customFormat="false" ht="15" hidden="false" customHeight="false" outlineLevel="0" collapsed="false">
      <c r="A2434" s="0" t="n">
        <v>3673</v>
      </c>
      <c r="B2434" s="0" t="n">
        <v>22293</v>
      </c>
      <c r="C2434" s="0" t="s">
        <v>14973</v>
      </c>
      <c r="D2434" s="0" t="s">
        <v>6</v>
      </c>
      <c r="F2434" s="0" t="s">
        <v>57</v>
      </c>
      <c r="G2434" s="0" t="s">
        <v>18671</v>
      </c>
    </row>
    <row r="2435" customFormat="false" ht="15" hidden="false" customHeight="false" outlineLevel="0" collapsed="false">
      <c r="A2435" s="0" t="n">
        <v>3674</v>
      </c>
      <c r="B2435" s="0" t="n">
        <v>22294</v>
      </c>
      <c r="C2435" s="0" t="s">
        <v>14978</v>
      </c>
      <c r="D2435" s="0" t="s">
        <v>6</v>
      </c>
      <c r="F2435" s="0" t="s">
        <v>57</v>
      </c>
      <c r="G2435" s="0" t="s">
        <v>18671</v>
      </c>
    </row>
    <row r="2436" customFormat="false" ht="15" hidden="false" customHeight="false" outlineLevel="0" collapsed="false">
      <c r="A2436" s="0" t="n">
        <v>3675</v>
      </c>
      <c r="B2436" s="0" t="n">
        <v>22295</v>
      </c>
      <c r="C2436" s="0" t="s">
        <v>14984</v>
      </c>
      <c r="D2436" s="0" t="s">
        <v>6</v>
      </c>
      <c r="F2436" s="0" t="s">
        <v>57</v>
      </c>
      <c r="G2436" s="0" t="s">
        <v>18671</v>
      </c>
    </row>
    <row r="2437" customFormat="false" ht="15" hidden="false" customHeight="false" outlineLevel="0" collapsed="false">
      <c r="A2437" s="0" t="n">
        <v>3676</v>
      </c>
      <c r="B2437" s="0" t="n">
        <v>22296</v>
      </c>
      <c r="C2437" s="0" t="s">
        <v>14988</v>
      </c>
      <c r="D2437" s="0" t="s">
        <v>6</v>
      </c>
      <c r="F2437" s="0" t="s">
        <v>57</v>
      </c>
      <c r="G2437" s="0" t="s">
        <v>18671</v>
      </c>
    </row>
    <row r="2438" customFormat="false" ht="15" hidden="false" customHeight="false" outlineLevel="0" collapsed="false">
      <c r="A2438" s="0" t="n">
        <v>3677</v>
      </c>
      <c r="B2438" s="0" t="n">
        <v>22297</v>
      </c>
      <c r="C2438" s="0" t="s">
        <v>14992</v>
      </c>
      <c r="D2438" s="0" t="s">
        <v>6</v>
      </c>
      <c r="F2438" s="0" t="s">
        <v>57</v>
      </c>
      <c r="G2438" s="0" t="s">
        <v>18671</v>
      </c>
    </row>
    <row r="2439" customFormat="false" ht="15" hidden="false" customHeight="false" outlineLevel="0" collapsed="false">
      <c r="A2439" s="0" t="n">
        <v>3679</v>
      </c>
      <c r="B2439" s="0" t="n">
        <v>22299</v>
      </c>
      <c r="C2439" s="0" t="s">
        <v>15000</v>
      </c>
      <c r="D2439" s="0" t="s">
        <v>6</v>
      </c>
      <c r="F2439" s="0" t="s">
        <v>57</v>
      </c>
      <c r="G2439" s="0" t="s">
        <v>18671</v>
      </c>
    </row>
    <row r="2440" customFormat="false" ht="15" hidden="false" customHeight="false" outlineLevel="0" collapsed="false">
      <c r="A2440" s="0" t="n">
        <v>3681</v>
      </c>
      <c r="B2440" s="0" t="n">
        <v>22301</v>
      </c>
      <c r="C2440" s="0" t="s">
        <v>15010</v>
      </c>
      <c r="D2440" s="0" t="s">
        <v>6</v>
      </c>
      <c r="F2440" s="0" t="s">
        <v>57</v>
      </c>
      <c r="G2440" s="0" t="s">
        <v>18671</v>
      </c>
    </row>
    <row r="2441" customFormat="false" ht="15" hidden="false" customHeight="false" outlineLevel="0" collapsed="false">
      <c r="A2441" s="0" t="n">
        <v>3682</v>
      </c>
      <c r="B2441" s="0" t="n">
        <v>22302</v>
      </c>
      <c r="C2441" s="0" t="s">
        <v>15016</v>
      </c>
      <c r="D2441" s="0" t="s">
        <v>6</v>
      </c>
      <c r="F2441" s="0" t="s">
        <v>57</v>
      </c>
      <c r="G2441" s="0" t="s">
        <v>18671</v>
      </c>
    </row>
    <row r="2442" customFormat="false" ht="15" hidden="false" customHeight="false" outlineLevel="0" collapsed="false">
      <c r="A2442" s="0" t="n">
        <v>3683</v>
      </c>
      <c r="B2442" s="0" t="n">
        <v>22303</v>
      </c>
      <c r="C2442" s="0" t="s">
        <v>15020</v>
      </c>
      <c r="D2442" s="0" t="s">
        <v>6</v>
      </c>
      <c r="F2442" s="0" t="s">
        <v>57</v>
      </c>
      <c r="G2442" s="0" t="s">
        <v>18671</v>
      </c>
    </row>
    <row r="2443" customFormat="false" ht="15" hidden="false" customHeight="false" outlineLevel="0" collapsed="false">
      <c r="A2443" s="0" t="n">
        <v>3684</v>
      </c>
      <c r="B2443" s="0" t="n">
        <v>22304</v>
      </c>
      <c r="C2443" s="0" t="s">
        <v>15024</v>
      </c>
      <c r="D2443" s="0" t="s">
        <v>6</v>
      </c>
      <c r="F2443" s="0" t="s">
        <v>57</v>
      </c>
      <c r="G2443" s="0" t="s">
        <v>18671</v>
      </c>
    </row>
    <row r="2444" customFormat="false" ht="15" hidden="false" customHeight="false" outlineLevel="0" collapsed="false">
      <c r="A2444" s="0" t="n">
        <v>3686</v>
      </c>
      <c r="B2444" s="0" t="n">
        <v>22306</v>
      </c>
      <c r="C2444" s="0" t="s">
        <v>15033</v>
      </c>
      <c r="D2444" s="0" t="s">
        <v>6</v>
      </c>
      <c r="F2444" s="0" t="s">
        <v>57</v>
      </c>
      <c r="G2444" s="0" t="s">
        <v>18671</v>
      </c>
    </row>
    <row r="2445" customFormat="false" ht="15" hidden="false" customHeight="false" outlineLevel="0" collapsed="false">
      <c r="A2445" s="0" t="n">
        <v>3687</v>
      </c>
      <c r="B2445" s="0" t="n">
        <v>22307</v>
      </c>
      <c r="C2445" s="0" t="s">
        <v>15037</v>
      </c>
      <c r="D2445" s="0" t="s">
        <v>6</v>
      </c>
      <c r="F2445" s="0" t="s">
        <v>57</v>
      </c>
      <c r="G2445" s="0" t="s">
        <v>18671</v>
      </c>
    </row>
    <row r="2446" customFormat="false" ht="15" hidden="false" customHeight="false" outlineLevel="0" collapsed="false">
      <c r="A2446" s="0" t="n">
        <v>3688</v>
      </c>
      <c r="B2446" s="0" t="n">
        <v>22308</v>
      </c>
      <c r="C2446" s="0" t="s">
        <v>15042</v>
      </c>
      <c r="D2446" s="0" t="s">
        <v>6</v>
      </c>
      <c r="F2446" s="0" t="s">
        <v>57</v>
      </c>
      <c r="G2446" s="0" t="s">
        <v>18671</v>
      </c>
    </row>
    <row r="2447" customFormat="false" ht="15" hidden="false" customHeight="false" outlineLevel="0" collapsed="false">
      <c r="A2447" s="0" t="n">
        <v>3689</v>
      </c>
      <c r="B2447" s="0" t="n">
        <v>22309</v>
      </c>
      <c r="C2447" s="0" t="s">
        <v>15046</v>
      </c>
      <c r="D2447" s="0" t="s">
        <v>6</v>
      </c>
      <c r="F2447" s="0" t="s">
        <v>57</v>
      </c>
      <c r="G2447" s="0" t="s">
        <v>18671</v>
      </c>
    </row>
    <row r="2448" customFormat="false" ht="15" hidden="false" customHeight="false" outlineLevel="0" collapsed="false">
      <c r="A2448" s="0" t="n">
        <v>3690</v>
      </c>
      <c r="B2448" s="0" t="n">
        <v>22310</v>
      </c>
      <c r="C2448" s="0" t="s">
        <v>15050</v>
      </c>
      <c r="D2448" s="0" t="s">
        <v>6</v>
      </c>
      <c r="F2448" s="0" t="s">
        <v>57</v>
      </c>
      <c r="G2448" s="0" t="s">
        <v>18671</v>
      </c>
    </row>
    <row r="2449" customFormat="false" ht="15" hidden="false" customHeight="false" outlineLevel="0" collapsed="false">
      <c r="A2449" s="0" t="n">
        <v>3691</v>
      </c>
      <c r="B2449" s="0" t="n">
        <v>22311</v>
      </c>
      <c r="C2449" s="0" t="s">
        <v>15054</v>
      </c>
      <c r="D2449" s="0" t="s">
        <v>6</v>
      </c>
      <c r="F2449" s="0" t="s">
        <v>57</v>
      </c>
      <c r="G2449" s="0" t="s">
        <v>18671</v>
      </c>
    </row>
    <row r="2450" customFormat="false" ht="15" hidden="false" customHeight="false" outlineLevel="0" collapsed="false">
      <c r="A2450" s="0" t="n">
        <v>3697</v>
      </c>
      <c r="B2450" s="0" t="n">
        <v>22317</v>
      </c>
      <c r="C2450" s="0" t="s">
        <v>15079</v>
      </c>
      <c r="D2450" s="0" t="s">
        <v>6</v>
      </c>
      <c r="F2450" s="0" t="s">
        <v>57</v>
      </c>
      <c r="G2450" s="0" t="s">
        <v>18671</v>
      </c>
    </row>
    <row r="2451" customFormat="false" ht="15" hidden="false" customHeight="false" outlineLevel="0" collapsed="false">
      <c r="A2451" s="0" t="n">
        <v>3699</v>
      </c>
      <c r="B2451" s="0" t="n">
        <v>22319</v>
      </c>
      <c r="C2451" s="0" t="s">
        <v>15086</v>
      </c>
      <c r="D2451" s="0" t="s">
        <v>6</v>
      </c>
      <c r="F2451" s="0" t="s">
        <v>57</v>
      </c>
      <c r="G2451" s="0" t="s">
        <v>18671</v>
      </c>
    </row>
    <row r="2452" customFormat="false" ht="15" hidden="false" customHeight="false" outlineLevel="0" collapsed="false">
      <c r="A2452" s="0" t="n">
        <v>3701</v>
      </c>
      <c r="B2452" s="0" t="n">
        <v>22321</v>
      </c>
      <c r="C2452" s="0" t="s">
        <v>15094</v>
      </c>
      <c r="D2452" s="0" t="s">
        <v>6</v>
      </c>
      <c r="F2452" s="0" t="s">
        <v>57</v>
      </c>
      <c r="G2452" s="0" t="s">
        <v>18671</v>
      </c>
    </row>
    <row r="2453" customFormat="false" ht="15" hidden="false" customHeight="false" outlineLevel="0" collapsed="false">
      <c r="A2453" s="0" t="n">
        <v>3703</v>
      </c>
      <c r="B2453" s="0" t="n">
        <v>22323</v>
      </c>
      <c r="C2453" s="0" t="s">
        <v>15102</v>
      </c>
      <c r="D2453" s="0" t="s">
        <v>6</v>
      </c>
      <c r="F2453" s="0" t="s">
        <v>57</v>
      </c>
      <c r="G2453" s="0" t="s">
        <v>18671</v>
      </c>
    </row>
    <row r="2454" customFormat="false" ht="15" hidden="false" customHeight="false" outlineLevel="0" collapsed="false">
      <c r="A2454" s="0" t="n">
        <v>3704</v>
      </c>
      <c r="B2454" s="0" t="n">
        <v>22324</v>
      </c>
      <c r="C2454" s="0" t="s">
        <v>15107</v>
      </c>
      <c r="D2454" s="0" t="s">
        <v>6</v>
      </c>
      <c r="F2454" s="0" t="s">
        <v>57</v>
      </c>
      <c r="G2454" s="0" t="s">
        <v>18671</v>
      </c>
    </row>
    <row r="2455" customFormat="false" ht="15" hidden="false" customHeight="false" outlineLevel="0" collapsed="false">
      <c r="A2455" s="0" t="n">
        <v>3707</v>
      </c>
      <c r="B2455" s="0" t="n">
        <v>22327</v>
      </c>
      <c r="C2455" s="0" t="s">
        <v>15120</v>
      </c>
      <c r="D2455" s="0" t="s">
        <v>6</v>
      </c>
      <c r="F2455" s="0" t="s">
        <v>57</v>
      </c>
      <c r="G2455" s="0" t="s">
        <v>18671</v>
      </c>
    </row>
    <row r="2456" customFormat="false" ht="15" hidden="false" customHeight="false" outlineLevel="0" collapsed="false">
      <c r="A2456" s="0" t="n">
        <v>3708</v>
      </c>
      <c r="B2456" s="0" t="n">
        <v>22328</v>
      </c>
      <c r="C2456" s="0" t="s">
        <v>15124</v>
      </c>
      <c r="D2456" s="0" t="s">
        <v>6</v>
      </c>
      <c r="F2456" s="0" t="s">
        <v>57</v>
      </c>
      <c r="G2456" s="0" t="s">
        <v>18671</v>
      </c>
    </row>
    <row r="2457" customFormat="false" ht="15" hidden="false" customHeight="false" outlineLevel="0" collapsed="false">
      <c r="A2457" s="0" t="n">
        <v>3709</v>
      </c>
      <c r="B2457" s="0" t="n">
        <v>22329</v>
      </c>
      <c r="C2457" s="0" t="s">
        <v>15128</v>
      </c>
      <c r="D2457" s="0" t="s">
        <v>6</v>
      </c>
      <c r="F2457" s="0" t="s">
        <v>57</v>
      </c>
      <c r="G2457" s="0" t="s">
        <v>18671</v>
      </c>
    </row>
    <row r="2458" customFormat="false" ht="15" hidden="false" customHeight="false" outlineLevel="0" collapsed="false">
      <c r="A2458" s="0" t="n">
        <v>3710</v>
      </c>
      <c r="B2458" s="0" t="n">
        <v>22330</v>
      </c>
      <c r="C2458" s="0" t="s">
        <v>15132</v>
      </c>
      <c r="D2458" s="0" t="s">
        <v>6</v>
      </c>
      <c r="F2458" s="0" t="s">
        <v>57</v>
      </c>
      <c r="G2458" s="0" t="s">
        <v>18671</v>
      </c>
    </row>
    <row r="2459" customFormat="false" ht="15" hidden="false" customHeight="false" outlineLevel="0" collapsed="false">
      <c r="A2459" s="0" t="n">
        <v>3711</v>
      </c>
      <c r="B2459" s="0" t="n">
        <v>22331</v>
      </c>
      <c r="C2459" s="0" t="s">
        <v>15138</v>
      </c>
      <c r="D2459" s="0" t="s">
        <v>6</v>
      </c>
      <c r="F2459" s="0" t="s">
        <v>57</v>
      </c>
      <c r="G2459" s="0" t="s">
        <v>18671</v>
      </c>
    </row>
    <row r="2460" customFormat="false" ht="15" hidden="false" customHeight="false" outlineLevel="0" collapsed="false">
      <c r="A2460" s="0" t="n">
        <v>3712</v>
      </c>
      <c r="B2460" s="0" t="n">
        <v>22332</v>
      </c>
      <c r="C2460" s="0" t="s">
        <v>15142</v>
      </c>
      <c r="D2460" s="0" t="s">
        <v>6</v>
      </c>
      <c r="F2460" s="0" t="s">
        <v>57</v>
      </c>
      <c r="G2460" s="0" t="s">
        <v>18671</v>
      </c>
    </row>
    <row r="2461" customFormat="false" ht="15" hidden="false" customHeight="false" outlineLevel="0" collapsed="false">
      <c r="A2461" s="0" t="n">
        <v>3713</v>
      </c>
      <c r="B2461" s="0" t="n">
        <v>22333</v>
      </c>
      <c r="C2461" s="0" t="s">
        <v>15146</v>
      </c>
      <c r="D2461" s="0" t="s">
        <v>6</v>
      </c>
      <c r="F2461" s="0" t="s">
        <v>57</v>
      </c>
      <c r="G2461" s="0" t="s">
        <v>18671</v>
      </c>
    </row>
    <row r="2462" customFormat="false" ht="15" hidden="false" customHeight="false" outlineLevel="0" collapsed="false">
      <c r="A2462" s="0" t="n">
        <v>3714</v>
      </c>
      <c r="B2462" s="0" t="n">
        <v>22334</v>
      </c>
      <c r="C2462" s="0" t="s">
        <v>15150</v>
      </c>
      <c r="D2462" s="0" t="s">
        <v>6</v>
      </c>
      <c r="F2462" s="0" t="s">
        <v>57</v>
      </c>
      <c r="G2462" s="0" t="s">
        <v>18671</v>
      </c>
    </row>
    <row r="2463" customFormat="false" ht="15" hidden="false" customHeight="false" outlineLevel="0" collapsed="false">
      <c r="A2463" s="0" t="n">
        <v>3715</v>
      </c>
      <c r="B2463" s="0" t="n">
        <v>22335</v>
      </c>
      <c r="C2463" s="0" t="s">
        <v>15154</v>
      </c>
      <c r="D2463" s="0" t="s">
        <v>6</v>
      </c>
      <c r="F2463" s="0" t="s">
        <v>57</v>
      </c>
      <c r="G2463" s="0" t="s">
        <v>18671</v>
      </c>
    </row>
    <row r="2464" customFormat="false" ht="15" hidden="false" customHeight="false" outlineLevel="0" collapsed="false">
      <c r="A2464" s="0" t="n">
        <v>3716</v>
      </c>
      <c r="B2464" s="0" t="n">
        <v>22336</v>
      </c>
      <c r="C2464" s="0" t="s">
        <v>15158</v>
      </c>
      <c r="D2464" s="0" t="s">
        <v>6</v>
      </c>
      <c r="F2464" s="0" t="s">
        <v>57</v>
      </c>
      <c r="G2464" s="0" t="s">
        <v>18671</v>
      </c>
    </row>
    <row r="2465" customFormat="false" ht="15" hidden="false" customHeight="false" outlineLevel="0" collapsed="false">
      <c r="A2465" s="0" t="n">
        <v>3717</v>
      </c>
      <c r="B2465" s="0" t="n">
        <v>22337</v>
      </c>
      <c r="C2465" s="0" t="s">
        <v>15162</v>
      </c>
      <c r="D2465" s="0" t="s">
        <v>6</v>
      </c>
      <c r="F2465" s="0" t="s">
        <v>57</v>
      </c>
      <c r="G2465" s="0" t="s">
        <v>18671</v>
      </c>
    </row>
    <row r="2466" customFormat="false" ht="15" hidden="false" customHeight="false" outlineLevel="0" collapsed="false">
      <c r="A2466" s="0" t="n">
        <v>3718</v>
      </c>
      <c r="B2466" s="0" t="n">
        <v>22338</v>
      </c>
      <c r="C2466" s="0" t="s">
        <v>15166</v>
      </c>
      <c r="D2466" s="0" t="s">
        <v>6</v>
      </c>
      <c r="F2466" s="0" t="s">
        <v>57</v>
      </c>
      <c r="G2466" s="0" t="s">
        <v>18671</v>
      </c>
    </row>
    <row r="2467" customFormat="false" ht="15" hidden="false" customHeight="false" outlineLevel="0" collapsed="false">
      <c r="A2467" s="0" t="n">
        <v>3719</v>
      </c>
      <c r="B2467" s="0" t="n">
        <v>22339</v>
      </c>
      <c r="C2467" s="0" t="s">
        <v>15170</v>
      </c>
      <c r="D2467" s="0" t="s">
        <v>6</v>
      </c>
      <c r="F2467" s="0" t="s">
        <v>57</v>
      </c>
      <c r="G2467" s="0" t="s">
        <v>18671</v>
      </c>
    </row>
    <row r="2468" customFormat="false" ht="15" hidden="false" customHeight="false" outlineLevel="0" collapsed="false">
      <c r="A2468" s="0" t="n">
        <v>3720</v>
      </c>
      <c r="B2468" s="0" t="n">
        <v>22340</v>
      </c>
      <c r="C2468" s="0" t="s">
        <v>15174</v>
      </c>
      <c r="D2468" s="0" t="s">
        <v>6</v>
      </c>
      <c r="F2468" s="0" t="s">
        <v>57</v>
      </c>
      <c r="G2468" s="0" t="s">
        <v>18671</v>
      </c>
    </row>
    <row r="2469" customFormat="false" ht="15" hidden="false" customHeight="false" outlineLevel="0" collapsed="false">
      <c r="A2469" s="0" t="n">
        <v>3721</v>
      </c>
      <c r="B2469" s="0" t="n">
        <v>22341</v>
      </c>
      <c r="C2469" s="0" t="s">
        <v>15178</v>
      </c>
      <c r="D2469" s="0" t="s">
        <v>6</v>
      </c>
      <c r="F2469" s="0" t="s">
        <v>57</v>
      </c>
      <c r="G2469" s="0" t="s">
        <v>18671</v>
      </c>
    </row>
    <row r="2470" customFormat="false" ht="15" hidden="false" customHeight="false" outlineLevel="0" collapsed="false">
      <c r="A2470" s="0" t="n">
        <v>3726</v>
      </c>
      <c r="B2470" s="0" t="n">
        <v>22346</v>
      </c>
      <c r="C2470" s="0" t="s">
        <v>15201</v>
      </c>
      <c r="D2470" s="0" t="s">
        <v>6</v>
      </c>
      <c r="F2470" s="0" t="s">
        <v>57</v>
      </c>
      <c r="G2470" s="0" t="s">
        <v>18671</v>
      </c>
    </row>
    <row r="2471" customFormat="false" ht="15" hidden="false" customHeight="false" outlineLevel="0" collapsed="false">
      <c r="A2471" s="0" t="n">
        <v>3727</v>
      </c>
      <c r="B2471" s="0" t="n">
        <v>22347</v>
      </c>
      <c r="C2471" s="0" t="s">
        <v>15206</v>
      </c>
      <c r="D2471" s="0" t="s">
        <v>6</v>
      </c>
      <c r="F2471" s="0" t="s">
        <v>57</v>
      </c>
      <c r="G2471" s="0" t="s">
        <v>18671</v>
      </c>
    </row>
    <row r="2472" customFormat="false" ht="15" hidden="false" customHeight="false" outlineLevel="0" collapsed="false">
      <c r="A2472" s="0" t="n">
        <v>3728</v>
      </c>
      <c r="B2472" s="0" t="n">
        <v>22348</v>
      </c>
      <c r="C2472" s="0" t="s">
        <v>15210</v>
      </c>
      <c r="D2472" s="0" t="s">
        <v>6</v>
      </c>
      <c r="F2472" s="0" t="s">
        <v>57</v>
      </c>
      <c r="G2472" s="0" t="s">
        <v>18671</v>
      </c>
    </row>
    <row r="2473" customFormat="false" ht="15" hidden="false" customHeight="false" outlineLevel="0" collapsed="false">
      <c r="A2473" s="0" t="n">
        <v>3729</v>
      </c>
      <c r="B2473" s="0" t="n">
        <v>22349</v>
      </c>
      <c r="C2473" s="0" t="s">
        <v>15214</v>
      </c>
      <c r="D2473" s="0" t="s">
        <v>6</v>
      </c>
      <c r="F2473" s="0" t="s">
        <v>57</v>
      </c>
      <c r="G2473" s="0" t="s">
        <v>18671</v>
      </c>
    </row>
    <row r="2474" customFormat="false" ht="15" hidden="false" customHeight="false" outlineLevel="0" collapsed="false">
      <c r="A2474" s="0" t="n">
        <v>3731</v>
      </c>
      <c r="B2474" s="0" t="n">
        <v>22351</v>
      </c>
      <c r="C2474" s="0" t="s">
        <v>14568</v>
      </c>
      <c r="D2474" s="0" t="s">
        <v>6</v>
      </c>
      <c r="F2474" s="0" t="s">
        <v>57</v>
      </c>
      <c r="G2474" s="0" t="s">
        <v>18671</v>
      </c>
    </row>
    <row r="2475" customFormat="false" ht="15" hidden="false" customHeight="false" outlineLevel="0" collapsed="false">
      <c r="A2475" s="0" t="n">
        <v>3732</v>
      </c>
      <c r="B2475" s="0" t="n">
        <v>22352</v>
      </c>
      <c r="C2475" s="0" t="s">
        <v>15225</v>
      </c>
      <c r="D2475" s="0" t="s">
        <v>6</v>
      </c>
      <c r="F2475" s="0" t="s">
        <v>57</v>
      </c>
      <c r="G2475" s="0" t="s">
        <v>18671</v>
      </c>
    </row>
    <row r="2476" customFormat="false" ht="15" hidden="false" customHeight="false" outlineLevel="0" collapsed="false">
      <c r="A2476" s="0" t="n">
        <v>3733</v>
      </c>
      <c r="B2476" s="0" t="n">
        <v>22353</v>
      </c>
      <c r="C2476" s="0" t="s">
        <v>15229</v>
      </c>
      <c r="D2476" s="0" t="s">
        <v>6</v>
      </c>
      <c r="F2476" s="0" t="s">
        <v>57</v>
      </c>
      <c r="G2476" s="0" t="s">
        <v>18671</v>
      </c>
    </row>
    <row r="2477" customFormat="false" ht="15" hidden="false" customHeight="false" outlineLevel="0" collapsed="false">
      <c r="A2477" s="0" t="n">
        <v>3734</v>
      </c>
      <c r="B2477" s="0" t="n">
        <v>22354</v>
      </c>
      <c r="C2477" s="0" t="s">
        <v>15233</v>
      </c>
      <c r="D2477" s="0" t="s">
        <v>6</v>
      </c>
      <c r="F2477" s="0" t="s">
        <v>57</v>
      </c>
      <c r="G2477" s="0" t="s">
        <v>18671</v>
      </c>
    </row>
    <row r="2478" customFormat="false" ht="15" hidden="false" customHeight="false" outlineLevel="0" collapsed="false">
      <c r="A2478" s="0" t="n">
        <v>3737</v>
      </c>
      <c r="B2478" s="0" t="n">
        <v>22357</v>
      </c>
      <c r="C2478" s="0" t="s">
        <v>15245</v>
      </c>
      <c r="D2478" s="0" t="s">
        <v>6</v>
      </c>
      <c r="F2478" s="0" t="s">
        <v>57</v>
      </c>
      <c r="G2478" s="0" t="s">
        <v>18671</v>
      </c>
    </row>
    <row r="2479" customFormat="false" ht="15" hidden="false" customHeight="false" outlineLevel="0" collapsed="false">
      <c r="A2479" s="0" t="n">
        <v>3738</v>
      </c>
      <c r="B2479" s="0" t="n">
        <v>22358</v>
      </c>
      <c r="C2479" s="0" t="s">
        <v>15249</v>
      </c>
      <c r="D2479" s="0" t="s">
        <v>6</v>
      </c>
      <c r="F2479" s="0" t="s">
        <v>57</v>
      </c>
      <c r="G2479" s="0" t="s">
        <v>18671</v>
      </c>
    </row>
    <row r="2480" customFormat="false" ht="15" hidden="false" customHeight="false" outlineLevel="0" collapsed="false">
      <c r="A2480" s="0" t="n">
        <v>3739</v>
      </c>
      <c r="B2480" s="0" t="n">
        <v>22359</v>
      </c>
      <c r="C2480" s="0" t="s">
        <v>15254</v>
      </c>
      <c r="D2480" s="0" t="s">
        <v>6</v>
      </c>
      <c r="F2480" s="0" t="s">
        <v>57</v>
      </c>
      <c r="G2480" s="0" t="s">
        <v>18671</v>
      </c>
    </row>
    <row r="2481" customFormat="false" ht="15" hidden="false" customHeight="false" outlineLevel="0" collapsed="false">
      <c r="A2481" s="0" t="n">
        <v>3741</v>
      </c>
      <c r="B2481" s="0" t="n">
        <v>22361</v>
      </c>
      <c r="C2481" s="0" t="s">
        <v>15263</v>
      </c>
      <c r="D2481" s="0" t="s">
        <v>6</v>
      </c>
      <c r="F2481" s="0" t="s">
        <v>57</v>
      </c>
      <c r="G2481" s="0" t="s">
        <v>18671</v>
      </c>
    </row>
    <row r="2482" customFormat="false" ht="15" hidden="false" customHeight="false" outlineLevel="0" collapsed="false">
      <c r="A2482" s="0" t="n">
        <v>3742</v>
      </c>
      <c r="B2482" s="0" t="n">
        <v>22362</v>
      </c>
      <c r="C2482" s="0" t="s">
        <v>15267</v>
      </c>
      <c r="D2482" s="0" t="s">
        <v>6</v>
      </c>
      <c r="F2482" s="0" t="s">
        <v>57</v>
      </c>
      <c r="G2482" s="0" t="s">
        <v>18671</v>
      </c>
    </row>
    <row r="2483" customFormat="false" ht="15" hidden="false" customHeight="false" outlineLevel="0" collapsed="false">
      <c r="A2483" s="0" t="n">
        <v>3743</v>
      </c>
      <c r="B2483" s="0" t="n">
        <v>22363</v>
      </c>
      <c r="C2483" s="0" t="s">
        <v>15271</v>
      </c>
      <c r="D2483" s="0" t="s">
        <v>6</v>
      </c>
      <c r="F2483" s="0" t="s">
        <v>57</v>
      </c>
      <c r="G2483" s="0" t="s">
        <v>18671</v>
      </c>
    </row>
    <row r="2484" customFormat="false" ht="15" hidden="false" customHeight="false" outlineLevel="0" collapsed="false">
      <c r="A2484" s="0" t="n">
        <v>3745</v>
      </c>
      <c r="B2484" s="0" t="n">
        <v>22365</v>
      </c>
      <c r="C2484" s="0" t="s">
        <v>15279</v>
      </c>
      <c r="D2484" s="0" t="s">
        <v>6</v>
      </c>
      <c r="F2484" s="0" t="s">
        <v>57</v>
      </c>
      <c r="G2484" s="0" t="s">
        <v>18671</v>
      </c>
    </row>
    <row r="2485" customFormat="false" ht="15" hidden="false" customHeight="false" outlineLevel="0" collapsed="false">
      <c r="A2485" s="0" t="n">
        <v>3746</v>
      </c>
      <c r="B2485" s="0" t="n">
        <v>22366</v>
      </c>
      <c r="C2485" s="0" t="s">
        <v>15283</v>
      </c>
      <c r="D2485" s="0" t="s">
        <v>6</v>
      </c>
      <c r="F2485" s="0" t="s">
        <v>57</v>
      </c>
      <c r="G2485" s="0" t="s">
        <v>18671</v>
      </c>
    </row>
    <row r="2486" customFormat="false" ht="15" hidden="false" customHeight="false" outlineLevel="0" collapsed="false">
      <c r="A2486" s="0" t="n">
        <v>3747</v>
      </c>
      <c r="B2486" s="0" t="n">
        <v>22367</v>
      </c>
      <c r="C2486" s="0" t="s">
        <v>15287</v>
      </c>
      <c r="D2486" s="0" t="s">
        <v>6</v>
      </c>
      <c r="F2486" s="0" t="s">
        <v>57</v>
      </c>
      <c r="G2486" s="0" t="s">
        <v>18671</v>
      </c>
    </row>
    <row r="2487" customFormat="false" ht="15" hidden="false" customHeight="false" outlineLevel="0" collapsed="false">
      <c r="A2487" s="0" t="n">
        <v>3748</v>
      </c>
      <c r="B2487" s="0" t="n">
        <v>22368</v>
      </c>
      <c r="C2487" s="0" t="s">
        <v>15291</v>
      </c>
      <c r="D2487" s="0" t="s">
        <v>6</v>
      </c>
      <c r="F2487" s="0" t="s">
        <v>57</v>
      </c>
      <c r="G2487" s="0" t="s">
        <v>18671</v>
      </c>
    </row>
    <row r="2488" customFormat="false" ht="15" hidden="false" customHeight="false" outlineLevel="0" collapsed="false">
      <c r="A2488" s="0" t="n">
        <v>3764</v>
      </c>
      <c r="B2488" s="0" t="n">
        <v>22386</v>
      </c>
      <c r="C2488" s="0" t="s">
        <v>15369</v>
      </c>
      <c r="D2488" s="0" t="s">
        <v>6</v>
      </c>
      <c r="F2488" s="0" t="s">
        <v>57</v>
      </c>
      <c r="G2488" s="0" t="s">
        <v>18671</v>
      </c>
    </row>
    <row r="2489" customFormat="false" ht="15" hidden="false" customHeight="false" outlineLevel="0" collapsed="false">
      <c r="A2489" s="0" t="n">
        <v>3765</v>
      </c>
      <c r="B2489" s="0" t="n">
        <v>22387</v>
      </c>
      <c r="C2489" s="0" t="s">
        <v>15373</v>
      </c>
      <c r="D2489" s="0" t="s">
        <v>6</v>
      </c>
      <c r="F2489" s="0" t="s">
        <v>57</v>
      </c>
      <c r="G2489" s="0" t="s">
        <v>18671</v>
      </c>
    </row>
    <row r="2490" customFormat="false" ht="15" hidden="false" customHeight="false" outlineLevel="0" collapsed="false">
      <c r="A2490" s="0" t="n">
        <v>3766</v>
      </c>
      <c r="B2490" s="0" t="n">
        <v>22388</v>
      </c>
      <c r="C2490" s="0" t="s">
        <v>15377</v>
      </c>
      <c r="D2490" s="0" t="s">
        <v>6</v>
      </c>
      <c r="F2490" s="0" t="s">
        <v>57</v>
      </c>
      <c r="G2490" s="0" t="s">
        <v>18671</v>
      </c>
    </row>
    <row r="2491" customFormat="false" ht="15" hidden="false" customHeight="false" outlineLevel="0" collapsed="false">
      <c r="A2491" s="0" t="n">
        <v>3767</v>
      </c>
      <c r="B2491" s="0" t="n">
        <v>22389</v>
      </c>
      <c r="C2491" s="0" t="s">
        <v>15381</v>
      </c>
      <c r="D2491" s="0" t="s">
        <v>6</v>
      </c>
      <c r="F2491" s="0" t="s">
        <v>57</v>
      </c>
      <c r="G2491" s="0" t="s">
        <v>18671</v>
      </c>
    </row>
    <row r="2492" customFormat="false" ht="15" hidden="false" customHeight="false" outlineLevel="0" collapsed="false">
      <c r="A2492" s="0" t="n">
        <v>3768</v>
      </c>
      <c r="B2492" s="0" t="n">
        <v>22390</v>
      </c>
      <c r="C2492" s="0" t="s">
        <v>15384</v>
      </c>
      <c r="D2492" s="0" t="s">
        <v>6</v>
      </c>
      <c r="F2492" s="0" t="s">
        <v>57</v>
      </c>
      <c r="G2492" s="0" t="s">
        <v>18671</v>
      </c>
    </row>
    <row r="2493" customFormat="false" ht="15" hidden="false" customHeight="false" outlineLevel="0" collapsed="false">
      <c r="A2493" s="0" t="n">
        <v>3769</v>
      </c>
      <c r="B2493" s="0" t="n">
        <v>22391</v>
      </c>
      <c r="C2493" s="0" t="s">
        <v>15389</v>
      </c>
      <c r="D2493" s="0" t="s">
        <v>6</v>
      </c>
      <c r="F2493" s="0" t="s">
        <v>57</v>
      </c>
      <c r="G2493" s="0" t="s">
        <v>18671</v>
      </c>
    </row>
    <row r="2494" customFormat="false" ht="15" hidden="false" customHeight="false" outlineLevel="0" collapsed="false">
      <c r="A2494" s="0" t="n">
        <v>3770</v>
      </c>
      <c r="B2494" s="0" t="n">
        <v>22392</v>
      </c>
      <c r="C2494" s="0" t="s">
        <v>15393</v>
      </c>
      <c r="D2494" s="0" t="s">
        <v>6</v>
      </c>
      <c r="F2494" s="0" t="s">
        <v>57</v>
      </c>
      <c r="G2494" s="0" t="s">
        <v>18671</v>
      </c>
    </row>
    <row r="2495" customFormat="false" ht="15" hidden="false" customHeight="false" outlineLevel="0" collapsed="false">
      <c r="A2495" s="0" t="n">
        <v>3772</v>
      </c>
      <c r="B2495" s="0" t="n">
        <v>22394</v>
      </c>
      <c r="C2495" s="0" t="s">
        <v>15400</v>
      </c>
      <c r="D2495" s="0" t="s">
        <v>6</v>
      </c>
      <c r="F2495" s="0" t="s">
        <v>57</v>
      </c>
      <c r="G2495" s="0" t="s">
        <v>18671</v>
      </c>
    </row>
    <row r="2496" customFormat="false" ht="15" hidden="false" customHeight="false" outlineLevel="0" collapsed="false">
      <c r="A2496" s="0" t="n">
        <v>3774</v>
      </c>
      <c r="B2496" s="0" t="n">
        <v>22396</v>
      </c>
      <c r="C2496" s="0" t="s">
        <v>15408</v>
      </c>
      <c r="D2496" s="0" t="s">
        <v>6</v>
      </c>
      <c r="F2496" s="0" t="s">
        <v>57</v>
      </c>
      <c r="G2496" s="0" t="s">
        <v>18671</v>
      </c>
    </row>
    <row r="2497" customFormat="false" ht="15" hidden="false" customHeight="false" outlineLevel="0" collapsed="false">
      <c r="A2497" s="0" t="n">
        <v>3780</v>
      </c>
      <c r="B2497" s="0" t="n">
        <v>22402</v>
      </c>
      <c r="C2497" s="0" t="s">
        <v>15434</v>
      </c>
      <c r="D2497" s="0" t="s">
        <v>6</v>
      </c>
      <c r="F2497" s="0" t="s">
        <v>57</v>
      </c>
      <c r="G2497" s="0" t="s">
        <v>18671</v>
      </c>
    </row>
    <row r="2498" customFormat="false" ht="15" hidden="false" customHeight="false" outlineLevel="0" collapsed="false">
      <c r="A2498" s="0" t="n">
        <v>3785</v>
      </c>
      <c r="B2498" s="0" t="n">
        <v>22407</v>
      </c>
      <c r="C2498" s="0" t="s">
        <v>15457</v>
      </c>
      <c r="D2498" s="0" t="s">
        <v>6</v>
      </c>
      <c r="F2498" s="0" t="s">
        <v>57</v>
      </c>
      <c r="G2498" s="0" t="s">
        <v>18671</v>
      </c>
    </row>
    <row r="2499" customFormat="false" ht="15" hidden="false" customHeight="false" outlineLevel="0" collapsed="false">
      <c r="A2499" s="0" t="n">
        <v>3786</v>
      </c>
      <c r="B2499" s="0" t="n">
        <v>22408</v>
      </c>
      <c r="C2499" s="0" t="s">
        <v>15463</v>
      </c>
      <c r="D2499" s="0" t="s">
        <v>6</v>
      </c>
      <c r="F2499" s="0" t="s">
        <v>57</v>
      </c>
      <c r="G2499" s="0" t="s">
        <v>18671</v>
      </c>
    </row>
    <row r="2500" customFormat="false" ht="15" hidden="false" customHeight="false" outlineLevel="0" collapsed="false">
      <c r="A2500" s="0" t="n">
        <v>3787</v>
      </c>
      <c r="B2500" s="0" t="n">
        <v>22409</v>
      </c>
      <c r="C2500" s="0" t="s">
        <v>15467</v>
      </c>
      <c r="D2500" s="0" t="s">
        <v>6</v>
      </c>
      <c r="F2500" s="0" t="s">
        <v>57</v>
      </c>
      <c r="G2500" s="0" t="s">
        <v>18671</v>
      </c>
    </row>
    <row r="2501" customFormat="false" ht="15" hidden="false" customHeight="false" outlineLevel="0" collapsed="false">
      <c r="A2501" s="0" t="n">
        <v>3788</v>
      </c>
      <c r="B2501" s="0" t="n">
        <v>22410</v>
      </c>
      <c r="C2501" s="0" t="s">
        <v>15472</v>
      </c>
      <c r="D2501" s="0" t="s">
        <v>6</v>
      </c>
      <c r="F2501" s="0" t="s">
        <v>57</v>
      </c>
      <c r="G2501" s="0" t="s">
        <v>18671</v>
      </c>
    </row>
    <row r="2502" customFormat="false" ht="15" hidden="false" customHeight="false" outlineLevel="0" collapsed="false">
      <c r="A2502" s="0" t="n">
        <v>3791</v>
      </c>
      <c r="B2502" s="0" t="n">
        <v>22419</v>
      </c>
      <c r="C2502" s="0" t="s">
        <v>15484</v>
      </c>
      <c r="D2502" s="0" t="s">
        <v>6</v>
      </c>
      <c r="F2502" s="0" t="s">
        <v>57</v>
      </c>
      <c r="G2502" s="0" t="s">
        <v>18671</v>
      </c>
    </row>
    <row r="2503" customFormat="false" ht="15" hidden="false" customHeight="false" outlineLevel="0" collapsed="false">
      <c r="A2503" s="0" t="n">
        <v>3792</v>
      </c>
      <c r="B2503" s="0" t="n">
        <v>22420</v>
      </c>
      <c r="C2503" s="0" t="s">
        <v>15489</v>
      </c>
      <c r="D2503" s="0" t="s">
        <v>6</v>
      </c>
      <c r="F2503" s="0" t="s">
        <v>57</v>
      </c>
      <c r="G2503" s="0" t="s">
        <v>18671</v>
      </c>
    </row>
    <row r="2504" customFormat="false" ht="15" hidden="false" customHeight="false" outlineLevel="0" collapsed="false">
      <c r="A2504" s="0" t="n">
        <v>3793</v>
      </c>
      <c r="B2504" s="0" t="n">
        <v>22421</v>
      </c>
      <c r="C2504" s="0" t="s">
        <v>15494</v>
      </c>
      <c r="D2504" s="0" t="s">
        <v>6</v>
      </c>
      <c r="F2504" s="0" t="s">
        <v>57</v>
      </c>
      <c r="G2504" s="0" t="s">
        <v>18671</v>
      </c>
    </row>
    <row r="2505" customFormat="false" ht="15" hidden="false" customHeight="false" outlineLevel="0" collapsed="false">
      <c r="A2505" s="0" t="n">
        <v>3794</v>
      </c>
      <c r="B2505" s="0" t="n">
        <v>22517</v>
      </c>
      <c r="C2505" s="0" t="s">
        <v>15499</v>
      </c>
      <c r="D2505" s="0" t="s">
        <v>6</v>
      </c>
      <c r="F2505" s="0" t="s">
        <v>57</v>
      </c>
      <c r="G2505" s="0" t="s">
        <v>18671</v>
      </c>
    </row>
    <row r="2506" customFormat="false" ht="15" hidden="false" customHeight="false" outlineLevel="0" collapsed="false">
      <c r="A2506" s="0" t="n">
        <v>3795</v>
      </c>
      <c r="B2506" s="0" t="n">
        <v>22422</v>
      </c>
      <c r="C2506" s="0" t="s">
        <v>15503</v>
      </c>
      <c r="D2506" s="0" t="s">
        <v>6</v>
      </c>
      <c r="F2506" s="0" t="s">
        <v>57</v>
      </c>
      <c r="G2506" s="0" t="s">
        <v>18671</v>
      </c>
    </row>
    <row r="2507" customFormat="false" ht="15" hidden="false" customHeight="false" outlineLevel="0" collapsed="false">
      <c r="A2507" s="0" t="n">
        <v>3796</v>
      </c>
      <c r="B2507" s="0" t="n">
        <v>22423</v>
      </c>
      <c r="C2507" s="0" t="s">
        <v>15508</v>
      </c>
      <c r="D2507" s="0" t="s">
        <v>6</v>
      </c>
      <c r="F2507" s="0" t="s">
        <v>57</v>
      </c>
      <c r="G2507" s="0" t="s">
        <v>18671</v>
      </c>
    </row>
    <row r="2508" customFormat="false" ht="15" hidden="false" customHeight="false" outlineLevel="0" collapsed="false">
      <c r="A2508" s="0" t="n">
        <v>3797</v>
      </c>
      <c r="B2508" s="0" t="n">
        <v>21684</v>
      </c>
      <c r="C2508" s="0" t="s">
        <v>15513</v>
      </c>
      <c r="D2508" s="0" t="s">
        <v>6</v>
      </c>
      <c r="F2508" s="0" t="s">
        <v>57</v>
      </c>
      <c r="G2508" s="0" t="s">
        <v>18671</v>
      </c>
    </row>
    <row r="2509" customFormat="false" ht="15" hidden="false" customHeight="false" outlineLevel="0" collapsed="false">
      <c r="A2509" s="0" t="n">
        <v>3800</v>
      </c>
      <c r="B2509" s="0" t="n">
        <v>22427</v>
      </c>
      <c r="C2509" s="0" t="s">
        <v>15523</v>
      </c>
      <c r="D2509" s="0" t="s">
        <v>6</v>
      </c>
      <c r="F2509" s="0" t="s">
        <v>57</v>
      </c>
      <c r="G2509" s="0" t="s">
        <v>18671</v>
      </c>
    </row>
    <row r="2510" customFormat="false" ht="15" hidden="false" customHeight="false" outlineLevel="0" collapsed="false">
      <c r="A2510" s="0" t="n">
        <v>3803</v>
      </c>
      <c r="B2510" s="0" t="n">
        <v>22430</v>
      </c>
      <c r="C2510" s="0" t="s">
        <v>15537</v>
      </c>
      <c r="D2510" s="0" t="s">
        <v>6</v>
      </c>
      <c r="F2510" s="0" t="s">
        <v>57</v>
      </c>
      <c r="G2510" s="0" t="s">
        <v>18671</v>
      </c>
    </row>
    <row r="2511" customFormat="false" ht="15" hidden="false" customHeight="false" outlineLevel="0" collapsed="false">
      <c r="A2511" s="0" t="n">
        <v>3816</v>
      </c>
      <c r="B2511" s="0" t="n">
        <v>22443</v>
      </c>
      <c r="C2511" s="0" t="s">
        <v>15599</v>
      </c>
      <c r="D2511" s="0" t="s">
        <v>6</v>
      </c>
      <c r="F2511" s="0" t="s">
        <v>57</v>
      </c>
      <c r="G2511" s="0" t="s">
        <v>18671</v>
      </c>
    </row>
    <row r="2512" customFormat="false" ht="15" hidden="false" customHeight="false" outlineLevel="0" collapsed="false">
      <c r="A2512" s="0" t="n">
        <v>3817</v>
      </c>
      <c r="B2512" s="0" t="n">
        <v>22444</v>
      </c>
      <c r="C2512" s="0" t="s">
        <v>15603</v>
      </c>
      <c r="D2512" s="0" t="s">
        <v>6</v>
      </c>
      <c r="F2512" s="0" t="s">
        <v>57</v>
      </c>
      <c r="G2512" s="0" t="s">
        <v>18671</v>
      </c>
    </row>
    <row r="2513" customFormat="false" ht="15" hidden="false" customHeight="false" outlineLevel="0" collapsed="false">
      <c r="A2513" s="0" t="n">
        <v>3818</v>
      </c>
      <c r="B2513" s="0" t="n">
        <v>22445</v>
      </c>
      <c r="C2513" s="0" t="s">
        <v>15607</v>
      </c>
      <c r="D2513" s="0" t="s">
        <v>6</v>
      </c>
      <c r="F2513" s="0" t="s">
        <v>57</v>
      </c>
      <c r="G2513" s="0" t="s">
        <v>18671</v>
      </c>
    </row>
    <row r="2514" customFormat="false" ht="15" hidden="false" customHeight="false" outlineLevel="0" collapsed="false">
      <c r="A2514" s="0" t="n">
        <v>3819</v>
      </c>
      <c r="B2514" s="0" t="n">
        <v>22446</v>
      </c>
      <c r="C2514" s="0" t="s">
        <v>15611</v>
      </c>
      <c r="D2514" s="0" t="s">
        <v>6</v>
      </c>
      <c r="F2514" s="0" t="s">
        <v>57</v>
      </c>
      <c r="G2514" s="0" t="s">
        <v>18671</v>
      </c>
    </row>
    <row r="2515" customFormat="false" ht="15" hidden="false" customHeight="false" outlineLevel="0" collapsed="false">
      <c r="A2515" s="0" t="n">
        <v>3823</v>
      </c>
      <c r="B2515" s="0" t="n">
        <v>22450</v>
      </c>
      <c r="C2515" s="0" t="s">
        <v>15629</v>
      </c>
      <c r="D2515" s="0" t="s">
        <v>6</v>
      </c>
      <c r="F2515" s="0" t="s">
        <v>57</v>
      </c>
      <c r="G2515" s="0" t="s">
        <v>18671</v>
      </c>
    </row>
    <row r="2516" customFormat="false" ht="15" hidden="false" customHeight="false" outlineLevel="0" collapsed="false">
      <c r="A2516" s="0" t="n">
        <v>3826</v>
      </c>
      <c r="B2516" s="0" t="n">
        <v>22453</v>
      </c>
      <c r="C2516" s="0" t="s">
        <v>15642</v>
      </c>
      <c r="D2516" s="0" t="s">
        <v>6</v>
      </c>
      <c r="F2516" s="0" t="s">
        <v>57</v>
      </c>
      <c r="G2516" s="0" t="s">
        <v>18671</v>
      </c>
    </row>
    <row r="2517" customFormat="false" ht="15" hidden="false" customHeight="false" outlineLevel="0" collapsed="false">
      <c r="A2517" s="0" t="n">
        <v>3827</v>
      </c>
      <c r="B2517" s="0" t="n">
        <v>22454</v>
      </c>
      <c r="C2517" s="0" t="s">
        <v>15647</v>
      </c>
      <c r="D2517" s="0" t="s">
        <v>6</v>
      </c>
      <c r="F2517" s="0" t="s">
        <v>57</v>
      </c>
      <c r="G2517" s="0" t="s">
        <v>18671</v>
      </c>
    </row>
    <row r="2518" customFormat="false" ht="15" hidden="false" customHeight="false" outlineLevel="0" collapsed="false">
      <c r="A2518" s="0" t="n">
        <v>3830</v>
      </c>
      <c r="B2518" s="0" t="n">
        <v>22457</v>
      </c>
      <c r="C2518" s="0" t="s">
        <v>15660</v>
      </c>
      <c r="D2518" s="0" t="s">
        <v>6</v>
      </c>
      <c r="F2518" s="0" t="s">
        <v>57</v>
      </c>
      <c r="G2518" s="0" t="s">
        <v>18671</v>
      </c>
    </row>
    <row r="2519" customFormat="false" ht="15" hidden="false" customHeight="false" outlineLevel="0" collapsed="false">
      <c r="A2519" s="0" t="n">
        <v>3844</v>
      </c>
      <c r="B2519" s="0" t="n">
        <v>22471</v>
      </c>
      <c r="C2519" s="0" t="s">
        <v>15720</v>
      </c>
      <c r="D2519" s="0" t="s">
        <v>6</v>
      </c>
      <c r="F2519" s="0" t="s">
        <v>57</v>
      </c>
      <c r="G2519" s="0" t="s">
        <v>18671</v>
      </c>
    </row>
    <row r="2520" customFormat="false" ht="15" hidden="false" customHeight="false" outlineLevel="0" collapsed="false">
      <c r="A2520" s="0" t="n">
        <v>3845</v>
      </c>
      <c r="B2520" s="0" t="n">
        <v>22472</v>
      </c>
      <c r="C2520" s="0" t="s">
        <v>15724</v>
      </c>
      <c r="D2520" s="0" t="s">
        <v>6</v>
      </c>
      <c r="F2520" s="0" t="s">
        <v>57</v>
      </c>
      <c r="G2520" s="0" t="s">
        <v>18671</v>
      </c>
    </row>
    <row r="2521" customFormat="false" ht="15" hidden="false" customHeight="false" outlineLevel="0" collapsed="false">
      <c r="A2521" s="0" t="n">
        <v>3847</v>
      </c>
      <c r="B2521" s="0" t="n">
        <v>22474</v>
      </c>
      <c r="C2521" s="0" t="s">
        <v>15733</v>
      </c>
      <c r="D2521" s="0" t="s">
        <v>6</v>
      </c>
      <c r="F2521" s="0" t="s">
        <v>57</v>
      </c>
      <c r="G2521" s="0" t="s">
        <v>18671</v>
      </c>
    </row>
    <row r="2522" customFormat="false" ht="15" hidden="false" customHeight="false" outlineLevel="0" collapsed="false">
      <c r="A2522" s="0" t="n">
        <v>3848</v>
      </c>
      <c r="B2522" s="0" t="n">
        <v>22559</v>
      </c>
      <c r="C2522" s="0" t="s">
        <v>15738</v>
      </c>
      <c r="D2522" s="0" t="s">
        <v>6</v>
      </c>
      <c r="F2522" s="0" t="s">
        <v>57</v>
      </c>
      <c r="G2522" s="0" t="s">
        <v>18671</v>
      </c>
    </row>
    <row r="2523" customFormat="false" ht="15" hidden="false" customHeight="false" outlineLevel="0" collapsed="false">
      <c r="A2523" s="0" t="n">
        <v>3857</v>
      </c>
      <c r="B2523" s="0" t="n">
        <v>22484</v>
      </c>
      <c r="C2523" s="0" t="s">
        <v>15778</v>
      </c>
      <c r="D2523" s="0" t="s">
        <v>6</v>
      </c>
      <c r="F2523" s="0" t="s">
        <v>57</v>
      </c>
      <c r="G2523" s="0" t="s">
        <v>18671</v>
      </c>
    </row>
    <row r="2524" customFormat="false" ht="15" hidden="false" customHeight="false" outlineLevel="0" collapsed="false">
      <c r="A2524" s="0" t="n">
        <v>3858</v>
      </c>
      <c r="B2524" s="0" t="n">
        <v>22485</v>
      </c>
      <c r="C2524" s="0" t="s">
        <v>15782</v>
      </c>
      <c r="D2524" s="0" t="s">
        <v>6</v>
      </c>
      <c r="F2524" s="0" t="s">
        <v>57</v>
      </c>
      <c r="G2524" s="0" t="s">
        <v>18671</v>
      </c>
    </row>
    <row r="2525" customFormat="false" ht="15" hidden="false" customHeight="false" outlineLevel="0" collapsed="false">
      <c r="A2525" s="0" t="n">
        <v>3859</v>
      </c>
      <c r="B2525" s="0" t="n">
        <v>22486</v>
      </c>
      <c r="C2525" s="0" t="s">
        <v>15787</v>
      </c>
      <c r="D2525" s="0" t="s">
        <v>6</v>
      </c>
      <c r="F2525" s="0" t="s">
        <v>57</v>
      </c>
      <c r="G2525" s="0" t="s">
        <v>18671</v>
      </c>
    </row>
    <row r="2526" customFormat="false" ht="15" hidden="false" customHeight="false" outlineLevel="0" collapsed="false">
      <c r="A2526" s="0" t="n">
        <v>3860</v>
      </c>
      <c r="B2526" s="0" t="n">
        <v>22487</v>
      </c>
      <c r="C2526" s="0" t="s">
        <v>15792</v>
      </c>
      <c r="D2526" s="0" t="s">
        <v>6</v>
      </c>
      <c r="F2526" s="0" t="s">
        <v>57</v>
      </c>
      <c r="G2526" s="0" t="s">
        <v>18671</v>
      </c>
    </row>
    <row r="2527" customFormat="false" ht="15" hidden="false" customHeight="false" outlineLevel="0" collapsed="false">
      <c r="A2527" s="0" t="n">
        <v>3861</v>
      </c>
      <c r="B2527" s="0" t="n">
        <v>22488</v>
      </c>
      <c r="C2527" s="0" t="s">
        <v>15798</v>
      </c>
      <c r="D2527" s="0" t="s">
        <v>6</v>
      </c>
      <c r="F2527" s="0" t="s">
        <v>57</v>
      </c>
      <c r="G2527" s="0" t="s">
        <v>18671</v>
      </c>
    </row>
    <row r="2528" customFormat="false" ht="15" hidden="false" customHeight="false" outlineLevel="0" collapsed="false">
      <c r="A2528" s="0" t="n">
        <v>3862</v>
      </c>
      <c r="B2528" s="0" t="n">
        <v>22489</v>
      </c>
      <c r="C2528" s="0" t="s">
        <v>15802</v>
      </c>
      <c r="D2528" s="0" t="s">
        <v>6</v>
      </c>
      <c r="F2528" s="0" t="s">
        <v>57</v>
      </c>
      <c r="G2528" s="0" t="s">
        <v>18671</v>
      </c>
    </row>
    <row r="2529" customFormat="false" ht="15" hidden="false" customHeight="false" outlineLevel="0" collapsed="false">
      <c r="A2529" s="0" t="n">
        <v>3863</v>
      </c>
      <c r="B2529" s="0" t="n">
        <v>22490</v>
      </c>
      <c r="C2529" s="0" t="s">
        <v>15808</v>
      </c>
      <c r="D2529" s="0" t="s">
        <v>6</v>
      </c>
      <c r="F2529" s="0" t="s">
        <v>57</v>
      </c>
      <c r="G2529" s="0" t="s">
        <v>18671</v>
      </c>
    </row>
    <row r="2530" customFormat="false" ht="15" hidden="false" customHeight="false" outlineLevel="0" collapsed="false">
      <c r="A2530" s="0" t="n">
        <v>3864</v>
      </c>
      <c r="B2530" s="0" t="n">
        <v>22491</v>
      </c>
      <c r="C2530" s="0" t="s">
        <v>15814</v>
      </c>
      <c r="D2530" s="0" t="s">
        <v>6</v>
      </c>
      <c r="F2530" s="0" t="s">
        <v>57</v>
      </c>
      <c r="G2530" s="0" t="s">
        <v>18671</v>
      </c>
    </row>
    <row r="2531" customFormat="false" ht="15" hidden="false" customHeight="false" outlineLevel="0" collapsed="false">
      <c r="A2531" s="0" t="n">
        <v>3865</v>
      </c>
      <c r="B2531" s="0" t="n">
        <v>22492</v>
      </c>
      <c r="C2531" s="0" t="s">
        <v>15819</v>
      </c>
      <c r="D2531" s="0" t="s">
        <v>6</v>
      </c>
      <c r="F2531" s="0" t="s">
        <v>57</v>
      </c>
      <c r="G2531" s="0" t="s">
        <v>18671</v>
      </c>
    </row>
    <row r="2532" customFormat="false" ht="15" hidden="false" customHeight="false" outlineLevel="0" collapsed="false">
      <c r="A2532" s="0" t="n">
        <v>3866</v>
      </c>
      <c r="B2532" s="0" t="n">
        <v>22493</v>
      </c>
      <c r="C2532" s="0" t="s">
        <v>15825</v>
      </c>
      <c r="D2532" s="0" t="s">
        <v>6</v>
      </c>
      <c r="F2532" s="0" t="s">
        <v>57</v>
      </c>
      <c r="G2532" s="0" t="s">
        <v>18671</v>
      </c>
    </row>
    <row r="2533" customFormat="false" ht="15" hidden="false" customHeight="false" outlineLevel="0" collapsed="false">
      <c r="A2533" s="0" t="n">
        <v>3867</v>
      </c>
      <c r="B2533" s="0" t="n">
        <v>22494</v>
      </c>
      <c r="C2533" s="0" t="s">
        <v>15830</v>
      </c>
      <c r="D2533" s="0" t="s">
        <v>6</v>
      </c>
      <c r="F2533" s="0" t="s">
        <v>57</v>
      </c>
      <c r="G2533" s="0" t="s">
        <v>18671</v>
      </c>
    </row>
    <row r="2534" customFormat="false" ht="15" hidden="false" customHeight="false" outlineLevel="0" collapsed="false">
      <c r="A2534" s="0" t="n">
        <v>3868</v>
      </c>
      <c r="B2534" s="0" t="n">
        <v>22495</v>
      </c>
      <c r="C2534" s="0" t="s">
        <v>15834</v>
      </c>
      <c r="D2534" s="0" t="s">
        <v>6</v>
      </c>
      <c r="F2534" s="0" t="s">
        <v>57</v>
      </c>
      <c r="G2534" s="0" t="s">
        <v>18671</v>
      </c>
    </row>
    <row r="2535" customFormat="false" ht="15" hidden="false" customHeight="false" outlineLevel="0" collapsed="false">
      <c r="A2535" s="0" t="n">
        <v>3869</v>
      </c>
      <c r="B2535" s="0" t="n">
        <v>22496</v>
      </c>
      <c r="C2535" s="0" t="s">
        <v>15838</v>
      </c>
      <c r="D2535" s="0" t="s">
        <v>6</v>
      </c>
      <c r="F2535" s="0" t="s">
        <v>57</v>
      </c>
      <c r="G2535" s="0" t="s">
        <v>18671</v>
      </c>
    </row>
    <row r="2536" customFormat="false" ht="15" hidden="false" customHeight="false" outlineLevel="0" collapsed="false">
      <c r="A2536" s="0" t="n">
        <v>3870</v>
      </c>
      <c r="B2536" s="0" t="n">
        <v>22497</v>
      </c>
      <c r="C2536" s="0" t="s">
        <v>15842</v>
      </c>
      <c r="D2536" s="0" t="s">
        <v>6</v>
      </c>
      <c r="F2536" s="0" t="s">
        <v>57</v>
      </c>
      <c r="G2536" s="0" t="s">
        <v>18671</v>
      </c>
    </row>
    <row r="2537" customFormat="false" ht="15" hidden="false" customHeight="false" outlineLevel="0" collapsed="false">
      <c r="A2537" s="0" t="n">
        <v>3871</v>
      </c>
      <c r="B2537" s="0" t="n">
        <v>22498</v>
      </c>
      <c r="C2537" s="0" t="s">
        <v>15846</v>
      </c>
      <c r="D2537" s="0" t="s">
        <v>6</v>
      </c>
      <c r="F2537" s="0" t="s">
        <v>57</v>
      </c>
      <c r="G2537" s="0" t="s">
        <v>18671</v>
      </c>
    </row>
    <row r="2538" customFormat="false" ht="15" hidden="false" customHeight="false" outlineLevel="0" collapsed="false">
      <c r="A2538" s="0" t="n">
        <v>3872</v>
      </c>
      <c r="B2538" s="0" t="n">
        <v>22499</v>
      </c>
      <c r="C2538" s="0" t="s">
        <v>15850</v>
      </c>
      <c r="D2538" s="0" t="s">
        <v>6</v>
      </c>
      <c r="F2538" s="0" t="s">
        <v>57</v>
      </c>
      <c r="G2538" s="0" t="s">
        <v>18671</v>
      </c>
    </row>
    <row r="2539" customFormat="false" ht="15" hidden="false" customHeight="false" outlineLevel="0" collapsed="false">
      <c r="A2539" s="0" t="n">
        <v>3873</v>
      </c>
      <c r="B2539" s="0" t="n">
        <v>22500</v>
      </c>
      <c r="C2539" s="0" t="s">
        <v>15856</v>
      </c>
      <c r="D2539" s="0" t="s">
        <v>6</v>
      </c>
      <c r="F2539" s="0" t="s">
        <v>57</v>
      </c>
      <c r="G2539" s="0" t="s">
        <v>18671</v>
      </c>
    </row>
    <row r="2540" customFormat="false" ht="15" hidden="false" customHeight="false" outlineLevel="0" collapsed="false">
      <c r="A2540" s="0" t="n">
        <v>3874</v>
      </c>
      <c r="B2540" s="0" t="n">
        <v>22501</v>
      </c>
      <c r="C2540" s="0" t="s">
        <v>15861</v>
      </c>
      <c r="D2540" s="0" t="s">
        <v>6</v>
      </c>
      <c r="F2540" s="0" t="s">
        <v>57</v>
      </c>
      <c r="G2540" s="0" t="s">
        <v>18671</v>
      </c>
    </row>
    <row r="2541" customFormat="false" ht="15" hidden="false" customHeight="false" outlineLevel="0" collapsed="false">
      <c r="A2541" s="0" t="n">
        <v>3875</v>
      </c>
      <c r="B2541" s="0" t="n">
        <v>22502</v>
      </c>
      <c r="C2541" s="0" t="s">
        <v>15865</v>
      </c>
      <c r="D2541" s="0" t="s">
        <v>6</v>
      </c>
      <c r="F2541" s="0" t="s">
        <v>57</v>
      </c>
      <c r="G2541" s="0" t="s">
        <v>18671</v>
      </c>
    </row>
    <row r="2542" customFormat="false" ht="15" hidden="false" customHeight="false" outlineLevel="0" collapsed="false">
      <c r="A2542" s="0" t="n">
        <v>3876</v>
      </c>
      <c r="B2542" s="0" t="n">
        <v>22503</v>
      </c>
      <c r="C2542" s="0" t="s">
        <v>15869</v>
      </c>
      <c r="D2542" s="0" t="s">
        <v>6</v>
      </c>
      <c r="F2542" s="0" t="s">
        <v>57</v>
      </c>
      <c r="G2542" s="0" t="s">
        <v>18671</v>
      </c>
    </row>
    <row r="2543" customFormat="false" ht="15" hidden="false" customHeight="false" outlineLevel="0" collapsed="false">
      <c r="A2543" s="0" t="n">
        <v>3877</v>
      </c>
      <c r="B2543" s="0" t="n">
        <v>22504</v>
      </c>
      <c r="C2543" s="0" t="s">
        <v>15874</v>
      </c>
      <c r="D2543" s="0" t="s">
        <v>6</v>
      </c>
      <c r="F2543" s="0" t="s">
        <v>57</v>
      </c>
      <c r="G2543" s="0" t="s">
        <v>18671</v>
      </c>
    </row>
    <row r="2544" customFormat="false" ht="15" hidden="false" customHeight="false" outlineLevel="0" collapsed="false">
      <c r="A2544" s="0" t="n">
        <v>3878</v>
      </c>
      <c r="B2544" s="0" t="n">
        <v>22505</v>
      </c>
      <c r="C2544" s="0" t="s">
        <v>15878</v>
      </c>
      <c r="D2544" s="0" t="s">
        <v>6</v>
      </c>
      <c r="F2544" s="0" t="s">
        <v>57</v>
      </c>
      <c r="G2544" s="0" t="s">
        <v>18671</v>
      </c>
    </row>
    <row r="2545" customFormat="false" ht="15" hidden="false" customHeight="false" outlineLevel="0" collapsed="false">
      <c r="A2545" s="0" t="n">
        <v>3879</v>
      </c>
      <c r="B2545" s="0" t="n">
        <v>22506</v>
      </c>
      <c r="C2545" s="0" t="s">
        <v>15882</v>
      </c>
      <c r="D2545" s="0" t="s">
        <v>6</v>
      </c>
      <c r="F2545" s="0" t="s">
        <v>57</v>
      </c>
      <c r="G2545" s="0" t="s">
        <v>18671</v>
      </c>
    </row>
    <row r="2546" customFormat="false" ht="15" hidden="false" customHeight="false" outlineLevel="0" collapsed="false">
      <c r="A2546" s="0" t="n">
        <v>3880</v>
      </c>
      <c r="B2546" s="0" t="n">
        <v>22507</v>
      </c>
      <c r="C2546" s="0" t="s">
        <v>15887</v>
      </c>
      <c r="D2546" s="0" t="s">
        <v>6</v>
      </c>
      <c r="F2546" s="0" t="s">
        <v>57</v>
      </c>
      <c r="G2546" s="0" t="s">
        <v>18671</v>
      </c>
    </row>
    <row r="2547" customFormat="false" ht="15" hidden="false" customHeight="false" outlineLevel="0" collapsed="false">
      <c r="A2547" s="0" t="n">
        <v>3881</v>
      </c>
      <c r="B2547" s="0" t="n">
        <v>22508</v>
      </c>
      <c r="C2547" s="0" t="s">
        <v>15891</v>
      </c>
      <c r="D2547" s="0" t="s">
        <v>6</v>
      </c>
      <c r="F2547" s="0" t="s">
        <v>57</v>
      </c>
      <c r="G2547" s="0" t="s">
        <v>18671</v>
      </c>
    </row>
    <row r="2548" customFormat="false" ht="15" hidden="false" customHeight="false" outlineLevel="0" collapsed="false">
      <c r="A2548" s="0" t="n">
        <v>3882</v>
      </c>
      <c r="B2548" s="0" t="n">
        <v>22509</v>
      </c>
      <c r="C2548" s="0" t="s">
        <v>15896</v>
      </c>
      <c r="D2548" s="0" t="s">
        <v>6</v>
      </c>
      <c r="F2548" s="0" t="s">
        <v>57</v>
      </c>
      <c r="G2548" s="0" t="s">
        <v>18671</v>
      </c>
    </row>
    <row r="2549" customFormat="false" ht="15" hidden="false" customHeight="false" outlineLevel="0" collapsed="false">
      <c r="A2549" s="0" t="n">
        <v>3883</v>
      </c>
      <c r="B2549" s="0" t="n">
        <v>22510</v>
      </c>
      <c r="C2549" s="0" t="s">
        <v>15901</v>
      </c>
      <c r="D2549" s="0" t="s">
        <v>6</v>
      </c>
      <c r="F2549" s="0" t="s">
        <v>57</v>
      </c>
      <c r="G2549" s="0" t="s">
        <v>18671</v>
      </c>
    </row>
    <row r="2550" customFormat="false" ht="15" hidden="false" customHeight="false" outlineLevel="0" collapsed="false">
      <c r="A2550" s="0" t="n">
        <v>3884</v>
      </c>
      <c r="B2550" s="0" t="n">
        <v>22511</v>
      </c>
      <c r="C2550" s="0" t="s">
        <v>15905</v>
      </c>
      <c r="D2550" s="0" t="s">
        <v>6</v>
      </c>
      <c r="F2550" s="0" t="s">
        <v>57</v>
      </c>
      <c r="G2550" s="0" t="s">
        <v>18671</v>
      </c>
    </row>
    <row r="2551" customFormat="false" ht="15" hidden="false" customHeight="false" outlineLevel="0" collapsed="false">
      <c r="A2551" s="0" t="n">
        <v>3885</v>
      </c>
      <c r="B2551" s="0" t="n">
        <v>22512</v>
      </c>
      <c r="C2551" s="0" t="s">
        <v>15909</v>
      </c>
      <c r="D2551" s="0" t="s">
        <v>6</v>
      </c>
      <c r="F2551" s="0" t="s">
        <v>57</v>
      </c>
      <c r="G2551" s="0" t="s">
        <v>18671</v>
      </c>
    </row>
    <row r="2552" customFormat="false" ht="15" hidden="false" customHeight="false" outlineLevel="0" collapsed="false">
      <c r="A2552" s="0" t="n">
        <v>3886</v>
      </c>
      <c r="B2552" s="0" t="n">
        <v>22513</v>
      </c>
      <c r="C2552" s="0" t="s">
        <v>15913</v>
      </c>
      <c r="D2552" s="0" t="s">
        <v>6</v>
      </c>
      <c r="F2552" s="0" t="s">
        <v>57</v>
      </c>
      <c r="G2552" s="0" t="s">
        <v>18671</v>
      </c>
    </row>
    <row r="2553" customFormat="false" ht="15" hidden="false" customHeight="false" outlineLevel="0" collapsed="false">
      <c r="A2553" s="0" t="n">
        <v>3887</v>
      </c>
      <c r="B2553" s="0" t="n">
        <v>22514</v>
      </c>
      <c r="C2553" s="0" t="s">
        <v>15917</v>
      </c>
      <c r="D2553" s="0" t="s">
        <v>6</v>
      </c>
      <c r="F2553" s="0" t="s">
        <v>57</v>
      </c>
      <c r="G2553" s="0" t="s">
        <v>18671</v>
      </c>
    </row>
    <row r="2554" customFormat="false" ht="15" hidden="false" customHeight="false" outlineLevel="0" collapsed="false">
      <c r="A2554" s="0" t="n">
        <v>3888</v>
      </c>
      <c r="B2554" s="0" t="n">
        <v>22515</v>
      </c>
      <c r="C2554" s="0" t="s">
        <v>15921</v>
      </c>
      <c r="D2554" s="0" t="s">
        <v>6</v>
      </c>
      <c r="F2554" s="0" t="s">
        <v>57</v>
      </c>
      <c r="G2554" s="0" t="s">
        <v>18671</v>
      </c>
    </row>
    <row r="2555" customFormat="false" ht="15" hidden="false" customHeight="false" outlineLevel="0" collapsed="false">
      <c r="A2555" s="0" t="n">
        <v>3889</v>
      </c>
      <c r="B2555" s="0" t="n">
        <v>22516</v>
      </c>
      <c r="C2555" s="0" t="s">
        <v>15925</v>
      </c>
      <c r="D2555" s="0" t="s">
        <v>6</v>
      </c>
      <c r="F2555" s="0" t="s">
        <v>57</v>
      </c>
      <c r="G2555" s="0" t="s">
        <v>18671</v>
      </c>
    </row>
    <row r="2556" customFormat="false" ht="15" hidden="false" customHeight="false" outlineLevel="0" collapsed="false">
      <c r="A2556" s="0" t="n">
        <v>3890</v>
      </c>
      <c r="B2556" s="0" t="n">
        <v>22518</v>
      </c>
      <c r="C2556" s="0" t="s">
        <v>15929</v>
      </c>
      <c r="D2556" s="0" t="s">
        <v>6</v>
      </c>
      <c r="F2556" s="0" t="s">
        <v>57</v>
      </c>
      <c r="G2556" s="0" t="s">
        <v>18671</v>
      </c>
    </row>
    <row r="2557" customFormat="false" ht="15" hidden="false" customHeight="false" outlineLevel="0" collapsed="false">
      <c r="A2557" s="0" t="n">
        <v>3891</v>
      </c>
      <c r="B2557" s="0" t="n">
        <v>22519</v>
      </c>
      <c r="C2557" s="0" t="s">
        <v>15933</v>
      </c>
      <c r="D2557" s="0" t="s">
        <v>6</v>
      </c>
      <c r="F2557" s="0" t="s">
        <v>57</v>
      </c>
      <c r="G2557" s="0" t="s">
        <v>18671</v>
      </c>
    </row>
    <row r="2558" customFormat="false" ht="15" hidden="false" customHeight="false" outlineLevel="0" collapsed="false">
      <c r="A2558" s="0" t="n">
        <v>3892</v>
      </c>
      <c r="B2558" s="0" t="n">
        <v>22520</v>
      </c>
      <c r="C2558" s="0" t="s">
        <v>15938</v>
      </c>
      <c r="D2558" s="0" t="s">
        <v>6</v>
      </c>
      <c r="F2558" s="0" t="s">
        <v>57</v>
      </c>
      <c r="G2558" s="0" t="s">
        <v>18671</v>
      </c>
    </row>
    <row r="2559" customFormat="false" ht="15" hidden="false" customHeight="false" outlineLevel="0" collapsed="false">
      <c r="A2559" s="0" t="n">
        <v>3893</v>
      </c>
      <c r="B2559" s="0" t="n">
        <v>22521</v>
      </c>
      <c r="C2559" s="0" t="s">
        <v>15942</v>
      </c>
      <c r="D2559" s="0" t="s">
        <v>6</v>
      </c>
      <c r="F2559" s="0" t="s">
        <v>57</v>
      </c>
      <c r="G2559" s="0" t="s">
        <v>18671</v>
      </c>
    </row>
    <row r="2560" customFormat="false" ht="15" hidden="false" customHeight="false" outlineLevel="0" collapsed="false">
      <c r="A2560" s="0" t="n">
        <v>3894</v>
      </c>
      <c r="B2560" s="0" t="n">
        <v>22522</v>
      </c>
      <c r="C2560" s="0" t="s">
        <v>15947</v>
      </c>
      <c r="D2560" s="0" t="s">
        <v>6</v>
      </c>
      <c r="F2560" s="0" t="s">
        <v>57</v>
      </c>
      <c r="G2560" s="0" t="s">
        <v>18671</v>
      </c>
    </row>
    <row r="2561" customFormat="false" ht="15" hidden="false" customHeight="false" outlineLevel="0" collapsed="false">
      <c r="A2561" s="0" t="n">
        <v>3895</v>
      </c>
      <c r="B2561" s="0" t="n">
        <v>22526</v>
      </c>
      <c r="C2561" s="0" t="s">
        <v>9397</v>
      </c>
      <c r="D2561" s="0" t="s">
        <v>6</v>
      </c>
      <c r="F2561" s="0" t="s">
        <v>57</v>
      </c>
      <c r="G2561" s="0" t="s">
        <v>18671</v>
      </c>
    </row>
    <row r="2562" customFormat="false" ht="15" hidden="false" customHeight="false" outlineLevel="0" collapsed="false">
      <c r="A2562" s="0" t="n">
        <v>3896</v>
      </c>
      <c r="B2562" s="0" t="n">
        <v>22523</v>
      </c>
      <c r="C2562" s="0" t="s">
        <v>15956</v>
      </c>
      <c r="D2562" s="0" t="s">
        <v>6</v>
      </c>
      <c r="F2562" s="0" t="s">
        <v>57</v>
      </c>
      <c r="G2562" s="0" t="s">
        <v>18671</v>
      </c>
    </row>
    <row r="2563" customFormat="false" ht="15" hidden="false" customHeight="false" outlineLevel="0" collapsed="false">
      <c r="A2563" s="0" t="n">
        <v>3897</v>
      </c>
      <c r="B2563" s="0" t="n">
        <v>22524</v>
      </c>
      <c r="C2563" s="0" t="s">
        <v>15960</v>
      </c>
      <c r="D2563" s="0" t="s">
        <v>6</v>
      </c>
      <c r="F2563" s="0" t="s">
        <v>57</v>
      </c>
      <c r="G2563" s="0" t="s">
        <v>18671</v>
      </c>
    </row>
    <row r="2564" customFormat="false" ht="15" hidden="false" customHeight="false" outlineLevel="0" collapsed="false">
      <c r="A2564" s="0" t="n">
        <v>3898</v>
      </c>
      <c r="B2564" s="0" t="n">
        <v>22525</v>
      </c>
      <c r="C2564" s="0" t="s">
        <v>15964</v>
      </c>
      <c r="D2564" s="0" t="s">
        <v>6</v>
      </c>
      <c r="F2564" s="0" t="s">
        <v>57</v>
      </c>
      <c r="G2564" s="0" t="s">
        <v>18671</v>
      </c>
    </row>
    <row r="2565" customFormat="false" ht="15" hidden="false" customHeight="false" outlineLevel="0" collapsed="false">
      <c r="A2565" s="0" t="n">
        <v>3908</v>
      </c>
      <c r="B2565" s="0" t="n">
        <v>22535</v>
      </c>
      <c r="C2565" s="0" t="s">
        <v>16003</v>
      </c>
      <c r="D2565" s="0" t="s">
        <v>6</v>
      </c>
      <c r="F2565" s="0" t="s">
        <v>57</v>
      </c>
      <c r="G2565" s="0" t="s">
        <v>18671</v>
      </c>
    </row>
    <row r="2566" customFormat="false" ht="15" hidden="false" customHeight="false" outlineLevel="0" collapsed="false">
      <c r="A2566" s="0" t="n">
        <v>3910</v>
      </c>
      <c r="B2566" s="0" t="n">
        <v>22537</v>
      </c>
      <c r="C2566" s="0" t="s">
        <v>16011</v>
      </c>
      <c r="D2566" s="0" t="s">
        <v>6</v>
      </c>
      <c r="F2566" s="0" t="s">
        <v>57</v>
      </c>
      <c r="G2566" s="0" t="s">
        <v>18671</v>
      </c>
    </row>
    <row r="2567" customFormat="false" ht="15" hidden="false" customHeight="false" outlineLevel="0" collapsed="false">
      <c r="A2567" s="0" t="n">
        <v>3912</v>
      </c>
      <c r="B2567" s="0" t="n">
        <v>22539</v>
      </c>
      <c r="C2567" s="0" t="s">
        <v>16020</v>
      </c>
      <c r="D2567" s="0" t="s">
        <v>6</v>
      </c>
      <c r="F2567" s="0" t="s">
        <v>57</v>
      </c>
      <c r="G2567" s="0" t="s">
        <v>18671</v>
      </c>
    </row>
    <row r="2568" customFormat="false" ht="15" hidden="false" customHeight="false" outlineLevel="0" collapsed="false">
      <c r="A2568" s="0" t="n">
        <v>3913</v>
      </c>
      <c r="B2568" s="0" t="n">
        <v>22540</v>
      </c>
      <c r="C2568" s="0" t="s">
        <v>16023</v>
      </c>
      <c r="D2568" s="0" t="s">
        <v>6</v>
      </c>
      <c r="F2568" s="0" t="s">
        <v>57</v>
      </c>
      <c r="G2568" s="0" t="s">
        <v>18671</v>
      </c>
    </row>
    <row r="2569" customFormat="false" ht="15" hidden="false" customHeight="false" outlineLevel="0" collapsed="false">
      <c r="A2569" s="0" t="n">
        <v>3914</v>
      </c>
      <c r="B2569" s="0" t="n">
        <v>22541</v>
      </c>
      <c r="C2569" s="0" t="s">
        <v>16027</v>
      </c>
      <c r="D2569" s="0" t="s">
        <v>6</v>
      </c>
      <c r="F2569" s="0" t="s">
        <v>57</v>
      </c>
      <c r="G2569" s="0" t="s">
        <v>18671</v>
      </c>
    </row>
    <row r="2570" customFormat="false" ht="15" hidden="false" customHeight="false" outlineLevel="0" collapsed="false">
      <c r="A2570" s="0" t="n">
        <v>3919</v>
      </c>
      <c r="B2570" s="0" t="n">
        <v>22560</v>
      </c>
      <c r="C2570" s="0" t="s">
        <v>16047</v>
      </c>
      <c r="D2570" s="0" t="s">
        <v>6</v>
      </c>
      <c r="F2570" s="0" t="s">
        <v>57</v>
      </c>
      <c r="G2570" s="0" t="s">
        <v>18671</v>
      </c>
    </row>
    <row r="2571" customFormat="false" ht="15" hidden="false" customHeight="false" outlineLevel="0" collapsed="false">
      <c r="A2571" s="0" t="n">
        <v>3920</v>
      </c>
      <c r="B2571" s="0" t="n">
        <v>22542</v>
      </c>
      <c r="C2571" s="0" t="s">
        <v>16050</v>
      </c>
      <c r="D2571" s="0" t="s">
        <v>6</v>
      </c>
      <c r="F2571" s="0" t="s">
        <v>57</v>
      </c>
      <c r="G2571" s="0" t="s">
        <v>18671</v>
      </c>
    </row>
    <row r="2572" customFormat="false" ht="15" hidden="false" customHeight="false" outlineLevel="0" collapsed="false">
      <c r="A2572" s="0" t="n">
        <v>3922</v>
      </c>
      <c r="B2572" s="0" t="n">
        <v>22550</v>
      </c>
      <c r="C2572" s="0" t="s">
        <v>16058</v>
      </c>
      <c r="D2572" s="0" t="s">
        <v>6</v>
      </c>
      <c r="F2572" s="0" t="s">
        <v>57</v>
      </c>
      <c r="G2572" s="0" t="s">
        <v>18671</v>
      </c>
    </row>
    <row r="2573" customFormat="false" ht="15" hidden="false" customHeight="false" outlineLevel="0" collapsed="false">
      <c r="A2573" s="0" t="n">
        <v>3923</v>
      </c>
      <c r="B2573" s="0" t="n">
        <v>22561</v>
      </c>
      <c r="C2573" s="0" t="s">
        <v>16062</v>
      </c>
      <c r="D2573" s="0" t="s">
        <v>6</v>
      </c>
      <c r="F2573" s="0" t="s">
        <v>57</v>
      </c>
      <c r="G2573" s="0" t="s">
        <v>18671</v>
      </c>
    </row>
    <row r="2574" customFormat="false" ht="15" hidden="false" customHeight="false" outlineLevel="0" collapsed="false">
      <c r="A2574" s="0" t="n">
        <v>3925</v>
      </c>
      <c r="B2574" s="0" t="n">
        <v>22562</v>
      </c>
      <c r="C2574" s="0" t="s">
        <v>16069</v>
      </c>
      <c r="D2574" s="0" t="s">
        <v>6</v>
      </c>
      <c r="F2574" s="0" t="s">
        <v>57</v>
      </c>
      <c r="G2574" s="0" t="s">
        <v>18671</v>
      </c>
    </row>
    <row r="2575" customFormat="false" ht="15" hidden="false" customHeight="false" outlineLevel="0" collapsed="false">
      <c r="A2575" s="0" t="n">
        <v>3926</v>
      </c>
      <c r="B2575" s="0" t="n">
        <v>22563</v>
      </c>
      <c r="C2575" s="0" t="s">
        <v>16072</v>
      </c>
      <c r="D2575" s="0" t="s">
        <v>6</v>
      </c>
      <c r="F2575" s="0" t="s">
        <v>57</v>
      </c>
      <c r="G2575" s="0" t="s">
        <v>18671</v>
      </c>
    </row>
    <row r="2576" customFormat="false" ht="15" hidden="false" customHeight="false" outlineLevel="0" collapsed="false">
      <c r="A2576" s="0" t="n">
        <v>3927</v>
      </c>
      <c r="B2576" s="0" t="n">
        <v>22555</v>
      </c>
      <c r="C2576" s="0" t="s">
        <v>16075</v>
      </c>
      <c r="D2576" s="0" t="s">
        <v>6</v>
      </c>
      <c r="F2576" s="0" t="s">
        <v>57</v>
      </c>
      <c r="G2576" s="0" t="s">
        <v>18671</v>
      </c>
    </row>
    <row r="2577" customFormat="false" ht="15" hidden="false" customHeight="false" outlineLevel="0" collapsed="false">
      <c r="A2577" s="0" t="n">
        <v>3928</v>
      </c>
      <c r="B2577" s="0" t="n">
        <v>22564</v>
      </c>
      <c r="C2577" s="0" t="s">
        <v>16079</v>
      </c>
      <c r="D2577" s="0" t="s">
        <v>6</v>
      </c>
      <c r="F2577" s="0" t="s">
        <v>57</v>
      </c>
      <c r="G2577" s="0" t="s">
        <v>18671</v>
      </c>
    </row>
    <row r="2578" customFormat="false" ht="15" hidden="false" customHeight="false" outlineLevel="0" collapsed="false">
      <c r="A2578" s="0" t="n">
        <v>3929</v>
      </c>
      <c r="B2578" s="0" t="n">
        <v>22565</v>
      </c>
      <c r="C2578" s="0" t="s">
        <v>16082</v>
      </c>
      <c r="D2578" s="0" t="s">
        <v>6</v>
      </c>
      <c r="F2578" s="0" t="s">
        <v>57</v>
      </c>
      <c r="G2578" s="0" t="s">
        <v>18671</v>
      </c>
    </row>
    <row r="2579" customFormat="false" ht="15" hidden="false" customHeight="false" outlineLevel="0" collapsed="false">
      <c r="A2579" s="0" t="n">
        <v>3930</v>
      </c>
      <c r="B2579" s="0" t="n">
        <v>22566</v>
      </c>
      <c r="C2579" s="0" t="s">
        <v>16086</v>
      </c>
      <c r="D2579" s="0" t="s">
        <v>6</v>
      </c>
      <c r="F2579" s="0" t="s">
        <v>57</v>
      </c>
      <c r="G2579" s="0" t="s">
        <v>18671</v>
      </c>
    </row>
    <row r="2580" customFormat="false" ht="15" hidden="false" customHeight="false" outlineLevel="0" collapsed="false">
      <c r="A2580" s="0" t="n">
        <v>3931</v>
      </c>
      <c r="B2580" s="0" t="n">
        <v>22314</v>
      </c>
      <c r="C2580" s="0" t="s">
        <v>16089</v>
      </c>
      <c r="D2580" s="0" t="s">
        <v>6</v>
      </c>
      <c r="F2580" s="0" t="s">
        <v>57</v>
      </c>
      <c r="G2580" s="0" t="s">
        <v>18671</v>
      </c>
    </row>
    <row r="2581" customFormat="false" ht="15" hidden="false" customHeight="false" outlineLevel="0" collapsed="false">
      <c r="A2581" s="0" t="n">
        <v>3935</v>
      </c>
      <c r="B2581" s="0" t="n">
        <v>22567</v>
      </c>
      <c r="C2581" s="0" t="s">
        <v>16104</v>
      </c>
      <c r="D2581" s="0" t="s">
        <v>6</v>
      </c>
      <c r="F2581" s="0" t="s">
        <v>57</v>
      </c>
      <c r="G2581" s="0" t="s">
        <v>18671</v>
      </c>
    </row>
    <row r="2582" customFormat="false" ht="15" hidden="false" customHeight="false" outlineLevel="0" collapsed="false">
      <c r="A2582" s="0" t="n">
        <v>3936</v>
      </c>
      <c r="B2582" s="0" t="n">
        <v>22568</v>
      </c>
      <c r="C2582" s="0" t="s">
        <v>16107</v>
      </c>
      <c r="D2582" s="0" t="s">
        <v>6</v>
      </c>
      <c r="F2582" s="0" t="s">
        <v>57</v>
      </c>
      <c r="G2582" s="0" t="s">
        <v>18671</v>
      </c>
    </row>
    <row r="2583" customFormat="false" ht="15" hidden="false" customHeight="false" outlineLevel="0" collapsed="false">
      <c r="A2583" s="0" t="n">
        <v>3937</v>
      </c>
      <c r="B2583" s="0" t="n">
        <v>22569</v>
      </c>
      <c r="C2583" s="0" t="s">
        <v>16110</v>
      </c>
      <c r="D2583" s="0" t="s">
        <v>6</v>
      </c>
      <c r="F2583" s="0" t="s">
        <v>57</v>
      </c>
      <c r="G2583" s="0" t="s">
        <v>18671</v>
      </c>
    </row>
    <row r="2584" customFormat="false" ht="15" hidden="false" customHeight="false" outlineLevel="0" collapsed="false">
      <c r="A2584" s="0" t="n">
        <v>3939</v>
      </c>
      <c r="B2584" s="0" t="n">
        <v>22570</v>
      </c>
      <c r="C2584" s="0" t="s">
        <v>16118</v>
      </c>
      <c r="D2584" s="0" t="s">
        <v>6</v>
      </c>
      <c r="F2584" s="0" t="s">
        <v>57</v>
      </c>
      <c r="G2584" s="0" t="s">
        <v>18671</v>
      </c>
    </row>
    <row r="2585" customFormat="false" ht="15" hidden="false" customHeight="false" outlineLevel="0" collapsed="false">
      <c r="A2585" s="0" t="n">
        <v>3940</v>
      </c>
      <c r="B2585" s="0" t="n">
        <v>22217</v>
      </c>
      <c r="C2585" s="0" t="s">
        <v>16121</v>
      </c>
      <c r="D2585" s="0" t="s">
        <v>6</v>
      </c>
      <c r="F2585" s="0" t="s">
        <v>57</v>
      </c>
      <c r="G2585" s="0" t="s">
        <v>18671</v>
      </c>
    </row>
    <row r="2586" customFormat="false" ht="15" hidden="false" customHeight="false" outlineLevel="0" collapsed="false">
      <c r="A2586" s="0" t="n">
        <v>3941</v>
      </c>
      <c r="B2586" s="0" t="n">
        <v>22572</v>
      </c>
      <c r="C2586" s="0" t="s">
        <v>16125</v>
      </c>
      <c r="D2586" s="0" t="s">
        <v>6</v>
      </c>
      <c r="F2586" s="0" t="s">
        <v>57</v>
      </c>
      <c r="G2586" s="0" t="s">
        <v>18671</v>
      </c>
    </row>
    <row r="2587" customFormat="false" ht="15" hidden="false" customHeight="false" outlineLevel="0" collapsed="false">
      <c r="A2587" s="0" t="n">
        <v>3942</v>
      </c>
      <c r="B2587" s="0" t="n">
        <v>22543</v>
      </c>
      <c r="C2587" s="0" t="s">
        <v>16128</v>
      </c>
      <c r="D2587" s="0" t="s">
        <v>6</v>
      </c>
      <c r="F2587" s="0" t="s">
        <v>57</v>
      </c>
      <c r="G2587" s="0" t="s">
        <v>18671</v>
      </c>
    </row>
    <row r="2588" customFormat="false" ht="15" hidden="false" customHeight="false" outlineLevel="0" collapsed="false">
      <c r="A2588" s="0" t="n">
        <v>3943</v>
      </c>
      <c r="B2588" s="0" t="n">
        <v>22571</v>
      </c>
      <c r="C2588" s="0" t="s">
        <v>16132</v>
      </c>
      <c r="D2588" s="0" t="s">
        <v>6</v>
      </c>
      <c r="F2588" s="0" t="s">
        <v>57</v>
      </c>
      <c r="G2588" s="0" t="s">
        <v>18671</v>
      </c>
    </row>
    <row r="2589" customFormat="false" ht="15" hidden="false" customHeight="false" outlineLevel="0" collapsed="false">
      <c r="A2589" s="0" t="n">
        <v>3944</v>
      </c>
      <c r="B2589" s="0" t="n">
        <v>22573</v>
      </c>
      <c r="C2589" s="0" t="s">
        <v>16136</v>
      </c>
      <c r="D2589" s="0" t="s">
        <v>6</v>
      </c>
      <c r="F2589" s="0" t="s">
        <v>57</v>
      </c>
      <c r="G2589" s="0" t="s">
        <v>18671</v>
      </c>
    </row>
    <row r="2590" customFormat="false" ht="15" hidden="false" customHeight="false" outlineLevel="0" collapsed="false">
      <c r="A2590" s="0" t="n">
        <v>3945</v>
      </c>
      <c r="B2590" s="0" t="n">
        <v>22574</v>
      </c>
      <c r="C2590" s="0" t="s">
        <v>16139</v>
      </c>
      <c r="D2590" s="0" t="s">
        <v>6</v>
      </c>
      <c r="F2590" s="0" t="s">
        <v>57</v>
      </c>
      <c r="G2590" s="0" t="s">
        <v>18671</v>
      </c>
    </row>
    <row r="2591" customFormat="false" ht="15" hidden="false" customHeight="false" outlineLevel="0" collapsed="false">
      <c r="A2591" s="0" t="n">
        <v>3946</v>
      </c>
      <c r="B2591" s="0" t="n">
        <v>22575</v>
      </c>
      <c r="C2591" s="0" t="s">
        <v>16142</v>
      </c>
      <c r="D2591" s="0" t="s">
        <v>6</v>
      </c>
      <c r="F2591" s="0" t="s">
        <v>57</v>
      </c>
      <c r="G2591" s="0" t="s">
        <v>18671</v>
      </c>
    </row>
    <row r="2592" customFormat="false" ht="15" hidden="false" customHeight="false" outlineLevel="0" collapsed="false">
      <c r="A2592" s="0" t="n">
        <v>3948</v>
      </c>
      <c r="B2592" s="0" t="n">
        <v>22576</v>
      </c>
      <c r="C2592" s="0" t="s">
        <v>16149</v>
      </c>
      <c r="D2592" s="0" t="s">
        <v>6</v>
      </c>
      <c r="F2592" s="0" t="s">
        <v>57</v>
      </c>
      <c r="G2592" s="0" t="s">
        <v>18671</v>
      </c>
    </row>
    <row r="2593" customFormat="false" ht="15" hidden="false" customHeight="false" outlineLevel="0" collapsed="false">
      <c r="A2593" s="0" t="n">
        <v>3949</v>
      </c>
      <c r="B2593" s="0" t="n">
        <v>22577</v>
      </c>
      <c r="C2593" s="0" t="s">
        <v>16153</v>
      </c>
      <c r="D2593" s="0" t="s">
        <v>6</v>
      </c>
      <c r="F2593" s="0" t="s">
        <v>57</v>
      </c>
      <c r="G2593" s="0" t="s">
        <v>18671</v>
      </c>
    </row>
    <row r="2594" customFormat="false" ht="15" hidden="false" customHeight="false" outlineLevel="0" collapsed="false">
      <c r="A2594" s="0" t="n">
        <v>3952</v>
      </c>
      <c r="B2594" s="0" t="n">
        <v>22578</v>
      </c>
      <c r="C2594" s="0" t="s">
        <v>16165</v>
      </c>
      <c r="D2594" s="0" t="s">
        <v>6</v>
      </c>
      <c r="F2594" s="0" t="s">
        <v>57</v>
      </c>
      <c r="G2594" s="0" t="s">
        <v>18671</v>
      </c>
    </row>
    <row r="2595" customFormat="false" ht="15" hidden="false" customHeight="false" outlineLevel="0" collapsed="false">
      <c r="A2595" s="0" t="n">
        <v>3953</v>
      </c>
      <c r="B2595" s="0" t="n">
        <v>22579</v>
      </c>
      <c r="C2595" s="0" t="s">
        <v>16169</v>
      </c>
      <c r="D2595" s="0" t="s">
        <v>6</v>
      </c>
      <c r="F2595" s="0" t="s">
        <v>57</v>
      </c>
      <c r="G2595" s="0" t="s">
        <v>18671</v>
      </c>
    </row>
    <row r="2596" customFormat="false" ht="15" hidden="false" customHeight="false" outlineLevel="0" collapsed="false">
      <c r="A2596" s="0" t="n">
        <v>3954</v>
      </c>
      <c r="B2596" s="0" t="n">
        <v>22580</v>
      </c>
      <c r="C2596" s="0" t="s">
        <v>16173</v>
      </c>
      <c r="D2596" s="0" t="s">
        <v>6</v>
      </c>
      <c r="F2596" s="0" t="s">
        <v>57</v>
      </c>
      <c r="G2596" s="0" t="s">
        <v>18671</v>
      </c>
    </row>
    <row r="2597" customFormat="false" ht="15" hidden="false" customHeight="false" outlineLevel="0" collapsed="false">
      <c r="A2597" s="0" t="n">
        <v>3955</v>
      </c>
      <c r="B2597" s="0" t="n">
        <v>22581</v>
      </c>
      <c r="C2597" s="0" t="s">
        <v>16177</v>
      </c>
      <c r="D2597" s="0" t="s">
        <v>6</v>
      </c>
      <c r="F2597" s="0" t="s">
        <v>57</v>
      </c>
      <c r="G2597" s="0" t="s">
        <v>18671</v>
      </c>
    </row>
    <row r="2598" customFormat="false" ht="15" hidden="false" customHeight="false" outlineLevel="0" collapsed="false">
      <c r="A2598" s="0" t="n">
        <v>3956</v>
      </c>
      <c r="B2598" s="0" t="n">
        <v>22582</v>
      </c>
      <c r="C2598" s="0" t="s">
        <v>16181</v>
      </c>
      <c r="D2598" s="0" t="s">
        <v>6</v>
      </c>
      <c r="F2598" s="0" t="s">
        <v>57</v>
      </c>
      <c r="G2598" s="0" t="s">
        <v>18671</v>
      </c>
    </row>
    <row r="2599" customFormat="false" ht="15" hidden="false" customHeight="false" outlineLevel="0" collapsed="false">
      <c r="A2599" s="0" t="n">
        <v>3957</v>
      </c>
      <c r="B2599" s="0" t="n">
        <v>22583</v>
      </c>
      <c r="C2599" s="0" t="s">
        <v>16185</v>
      </c>
      <c r="D2599" s="0" t="s">
        <v>6</v>
      </c>
      <c r="F2599" s="0" t="s">
        <v>57</v>
      </c>
      <c r="G2599" s="0" t="s">
        <v>18671</v>
      </c>
    </row>
    <row r="2600" customFormat="false" ht="15" hidden="false" customHeight="false" outlineLevel="0" collapsed="false">
      <c r="A2600" s="0" t="n">
        <v>3958</v>
      </c>
      <c r="B2600" s="0" t="n">
        <v>22584</v>
      </c>
      <c r="C2600" s="0" t="s">
        <v>16189</v>
      </c>
      <c r="D2600" s="0" t="s">
        <v>6</v>
      </c>
      <c r="F2600" s="0" t="s">
        <v>57</v>
      </c>
      <c r="G2600" s="0" t="s">
        <v>18671</v>
      </c>
    </row>
    <row r="2601" customFormat="false" ht="15" hidden="false" customHeight="false" outlineLevel="0" collapsed="false">
      <c r="A2601" s="0" t="n">
        <v>3961</v>
      </c>
      <c r="B2601" s="0" t="n">
        <v>22589</v>
      </c>
      <c r="C2601" s="0" t="s">
        <v>16200</v>
      </c>
      <c r="D2601" s="0" t="s">
        <v>6</v>
      </c>
      <c r="F2601" s="0" t="s">
        <v>57</v>
      </c>
      <c r="G2601" s="0" t="s">
        <v>18671</v>
      </c>
    </row>
    <row r="2602" customFormat="false" ht="15" hidden="false" customHeight="false" outlineLevel="0" collapsed="false">
      <c r="A2602" s="0" t="n">
        <v>3962</v>
      </c>
      <c r="B2602" s="0" t="n">
        <v>22590</v>
      </c>
      <c r="C2602" s="0" t="s">
        <v>16204</v>
      </c>
      <c r="D2602" s="0" t="s">
        <v>6</v>
      </c>
      <c r="F2602" s="0" t="s">
        <v>57</v>
      </c>
      <c r="G2602" s="0" t="s">
        <v>18671</v>
      </c>
    </row>
    <row r="2603" customFormat="false" ht="15" hidden="false" customHeight="false" outlineLevel="0" collapsed="false">
      <c r="A2603" s="0" t="n">
        <v>3989</v>
      </c>
      <c r="B2603" s="0" t="n">
        <v>22585</v>
      </c>
      <c r="C2603" s="0" t="s">
        <v>16328</v>
      </c>
      <c r="D2603" s="0" t="s">
        <v>6</v>
      </c>
      <c r="F2603" s="0" t="s">
        <v>57</v>
      </c>
      <c r="G2603" s="0" t="s">
        <v>18671</v>
      </c>
    </row>
    <row r="2604" customFormat="false" ht="15" hidden="false" customHeight="false" outlineLevel="0" collapsed="false">
      <c r="A2604" s="0" t="n">
        <v>3990</v>
      </c>
      <c r="B2604" s="0" t="n">
        <v>22586</v>
      </c>
      <c r="C2604" s="0" t="s">
        <v>16332</v>
      </c>
      <c r="D2604" s="0" t="s">
        <v>6</v>
      </c>
      <c r="F2604" s="0" t="s">
        <v>57</v>
      </c>
      <c r="G2604" s="0" t="s">
        <v>18671</v>
      </c>
    </row>
    <row r="2605" customFormat="false" ht="15" hidden="false" customHeight="false" outlineLevel="0" collapsed="false">
      <c r="A2605" s="0" t="n">
        <v>3992</v>
      </c>
      <c r="B2605" s="0" t="n">
        <v>22587</v>
      </c>
      <c r="C2605" s="0" t="s">
        <v>16340</v>
      </c>
      <c r="D2605" s="0" t="s">
        <v>6</v>
      </c>
      <c r="F2605" s="0" t="s">
        <v>57</v>
      </c>
      <c r="G2605" s="0" t="s">
        <v>18671</v>
      </c>
    </row>
    <row r="2606" customFormat="false" ht="15" hidden="false" customHeight="false" outlineLevel="0" collapsed="false">
      <c r="A2606" s="0" t="n">
        <v>4001</v>
      </c>
      <c r="B2606" s="0" t="n">
        <v>22588</v>
      </c>
      <c r="C2606" s="0" t="s">
        <v>16380</v>
      </c>
      <c r="D2606" s="0" t="s">
        <v>6</v>
      </c>
      <c r="F2606" s="0" t="s">
        <v>57</v>
      </c>
      <c r="G2606" s="0" t="s">
        <v>18671</v>
      </c>
    </row>
    <row r="2607" customFormat="false" ht="15" hidden="false" customHeight="false" outlineLevel="0" collapsed="false">
      <c r="A2607" s="0" t="n">
        <v>4002</v>
      </c>
      <c r="B2607" s="0" t="n">
        <v>22630</v>
      </c>
      <c r="C2607" s="0" t="s">
        <v>16384</v>
      </c>
      <c r="D2607" s="0" t="s">
        <v>6</v>
      </c>
      <c r="F2607" s="0" t="s">
        <v>57</v>
      </c>
      <c r="G2607" s="0" t="s">
        <v>18671</v>
      </c>
    </row>
    <row r="2608" customFormat="false" ht="15" hidden="false" customHeight="false" outlineLevel="0" collapsed="false">
      <c r="A2608" s="0" t="n">
        <v>4024</v>
      </c>
      <c r="B2608" s="0" t="n">
        <v>22316</v>
      </c>
      <c r="C2608" s="0" t="s">
        <v>16481</v>
      </c>
      <c r="D2608" s="0" t="s">
        <v>6</v>
      </c>
      <c r="F2608" s="0" t="s">
        <v>57</v>
      </c>
      <c r="G2608" s="0" t="s">
        <v>18671</v>
      </c>
    </row>
    <row r="2609" customFormat="false" ht="15" hidden="false" customHeight="false" outlineLevel="0" collapsed="false">
      <c r="A2609" s="0" t="n">
        <v>4029</v>
      </c>
      <c r="B2609" s="0" t="n">
        <v>22315</v>
      </c>
      <c r="C2609" s="0" t="s">
        <v>16501</v>
      </c>
      <c r="D2609" s="0" t="s">
        <v>6</v>
      </c>
      <c r="F2609" s="0" t="s">
        <v>57</v>
      </c>
      <c r="G2609" s="0" t="s">
        <v>18671</v>
      </c>
    </row>
    <row r="2610" customFormat="false" ht="15" hidden="false" customHeight="false" outlineLevel="0" collapsed="false">
      <c r="A2610" s="0" t="n">
        <v>4032</v>
      </c>
      <c r="B2610" s="0" t="n">
        <v>22545</v>
      </c>
      <c r="C2610" s="0" t="s">
        <v>16512</v>
      </c>
      <c r="D2610" s="0" t="s">
        <v>6</v>
      </c>
      <c r="F2610" s="0" t="s">
        <v>57</v>
      </c>
      <c r="G2610" s="0" t="s">
        <v>18671</v>
      </c>
    </row>
    <row r="2611" customFormat="false" ht="15" hidden="false" customHeight="false" outlineLevel="0" collapsed="false">
      <c r="A2611" s="0" t="n">
        <v>4044</v>
      </c>
      <c r="B2611" s="0" t="n">
        <v>22673</v>
      </c>
      <c r="C2611" s="0" t="s">
        <v>16564</v>
      </c>
      <c r="D2611" s="0" t="s">
        <v>6</v>
      </c>
      <c r="F2611" s="0" t="s">
        <v>57</v>
      </c>
      <c r="G2611" s="0" t="s">
        <v>18671</v>
      </c>
    </row>
    <row r="2612" customFormat="false" ht="15" hidden="false" customHeight="false" outlineLevel="0" collapsed="false">
      <c r="A2612" s="0" t="n">
        <v>4045</v>
      </c>
      <c r="B2612" s="0" t="n">
        <v>22674</v>
      </c>
      <c r="C2612" s="0" t="s">
        <v>16568</v>
      </c>
      <c r="D2612" s="0" t="s">
        <v>6</v>
      </c>
      <c r="F2612" s="0" t="s">
        <v>57</v>
      </c>
      <c r="G2612" s="0" t="s">
        <v>18671</v>
      </c>
    </row>
    <row r="2613" customFormat="false" ht="15" hidden="false" customHeight="false" outlineLevel="0" collapsed="false">
      <c r="A2613" s="0" t="n">
        <v>4062</v>
      </c>
      <c r="B2613" s="0" t="n">
        <v>22425</v>
      </c>
      <c r="C2613" s="0" t="s">
        <v>16636</v>
      </c>
      <c r="D2613" s="0" t="s">
        <v>6</v>
      </c>
      <c r="F2613" s="0" t="s">
        <v>57</v>
      </c>
      <c r="G2613" s="0" t="s">
        <v>18671</v>
      </c>
    </row>
    <row r="2614" customFormat="false" ht="15" hidden="false" customHeight="false" outlineLevel="0" collapsed="false">
      <c r="A2614" s="0" t="n">
        <v>4068</v>
      </c>
      <c r="B2614" s="0" t="n">
        <v>21686</v>
      </c>
      <c r="C2614" s="0" t="s">
        <v>16660</v>
      </c>
      <c r="D2614" s="0" t="s">
        <v>6</v>
      </c>
      <c r="F2614" s="0" t="s">
        <v>57</v>
      </c>
      <c r="G2614" s="0" t="s">
        <v>18671</v>
      </c>
    </row>
    <row r="2615" customFormat="false" ht="15" hidden="false" customHeight="false" outlineLevel="0" collapsed="false">
      <c r="A2615" s="0" t="n">
        <v>4080</v>
      </c>
      <c r="B2615" s="0" t="n">
        <v>22424</v>
      </c>
      <c r="C2615" s="0" t="s">
        <v>16708</v>
      </c>
      <c r="D2615" s="0" t="s">
        <v>6</v>
      </c>
      <c r="F2615" s="0" t="s">
        <v>57</v>
      </c>
      <c r="G2615" s="0" t="s">
        <v>18671</v>
      </c>
    </row>
    <row r="2616" customFormat="false" ht="15" hidden="false" customHeight="false" outlineLevel="0" collapsed="false">
      <c r="A2616" s="0" t="n">
        <v>4195</v>
      </c>
      <c r="B2616" s="0" t="n">
        <v>21670</v>
      </c>
      <c r="C2616" s="0" t="s">
        <v>17190</v>
      </c>
      <c r="D2616" s="0" t="s">
        <v>6</v>
      </c>
      <c r="F2616" s="0" t="s">
        <v>57</v>
      </c>
      <c r="G2616" s="0" t="s">
        <v>18671</v>
      </c>
    </row>
    <row r="2617" customFormat="false" ht="15" hidden="false" customHeight="false" outlineLevel="0" collapsed="false">
      <c r="A2617" s="0" t="n">
        <v>4215</v>
      </c>
      <c r="B2617" s="0" t="n">
        <v>21689</v>
      </c>
      <c r="C2617" s="0" t="s">
        <v>17272</v>
      </c>
      <c r="D2617" s="0" t="s">
        <v>6</v>
      </c>
      <c r="F2617" s="0" t="s">
        <v>57</v>
      </c>
      <c r="G2617" s="0" t="s">
        <v>18671</v>
      </c>
    </row>
    <row r="2618" customFormat="false" ht="15" hidden="false" customHeight="false" outlineLevel="0" collapsed="false">
      <c r="A2618" s="0" t="n">
        <v>4226</v>
      </c>
      <c r="B2618" s="0" t="n">
        <v>21667</v>
      </c>
      <c r="C2618" s="0" t="s">
        <v>17316</v>
      </c>
      <c r="D2618" s="0" t="s">
        <v>6</v>
      </c>
      <c r="F2618" s="0" t="s">
        <v>57</v>
      </c>
      <c r="G2618" s="0" t="s">
        <v>18671</v>
      </c>
    </row>
    <row r="2619" customFormat="false" ht="15" hidden="false" customHeight="false" outlineLevel="0" collapsed="false">
      <c r="A2619" s="0" t="n">
        <v>4232</v>
      </c>
      <c r="B2619" s="0" t="n">
        <v>21690</v>
      </c>
      <c r="C2619" s="0" t="s">
        <v>17338</v>
      </c>
      <c r="D2619" s="0" t="s">
        <v>6</v>
      </c>
      <c r="F2619" s="0" t="s">
        <v>57</v>
      </c>
      <c r="G2619" s="0" t="s">
        <v>18671</v>
      </c>
    </row>
    <row r="2620" customFormat="false" ht="15" hidden="false" customHeight="false" outlineLevel="0" collapsed="false">
      <c r="A2620" s="0" t="n">
        <v>4261</v>
      </c>
      <c r="B2620" s="0" t="n">
        <v>22287</v>
      </c>
      <c r="C2620" s="0" t="s">
        <v>17464</v>
      </c>
      <c r="D2620" s="0" t="s">
        <v>6</v>
      </c>
      <c r="F2620" s="0" t="s">
        <v>57</v>
      </c>
      <c r="G2620" s="0" t="s">
        <v>18671</v>
      </c>
    </row>
    <row r="2621" customFormat="false" ht="15" hidden="false" customHeight="false" outlineLevel="0" collapsed="false">
      <c r="A2621" s="0" t="n">
        <v>4266</v>
      </c>
      <c r="B2621" s="0" t="n">
        <v>22288</v>
      </c>
      <c r="C2621" s="0" t="s">
        <v>17486</v>
      </c>
      <c r="D2621" s="0" t="s">
        <v>6</v>
      </c>
      <c r="F2621" s="0" t="s">
        <v>57</v>
      </c>
      <c r="G2621" s="0" t="s">
        <v>18671</v>
      </c>
    </row>
    <row r="2622" customFormat="false" ht="15" hidden="false" customHeight="false" outlineLevel="0" collapsed="false">
      <c r="A2622" s="0" t="n">
        <v>4358</v>
      </c>
      <c r="B2622" s="0" t="n">
        <v>21705</v>
      </c>
      <c r="C2622" s="0" t="s">
        <v>17863</v>
      </c>
      <c r="D2622" s="0" t="s">
        <v>6</v>
      </c>
      <c r="F2622" s="0" t="s">
        <v>57</v>
      </c>
      <c r="G2622" s="0" t="s">
        <v>18671</v>
      </c>
    </row>
    <row r="2623" customFormat="false" ht="15" hidden="false" customHeight="false" outlineLevel="0" collapsed="false">
      <c r="A2623" s="0" t="n">
        <v>14</v>
      </c>
      <c r="B2623" s="0" t="n">
        <v>136</v>
      </c>
      <c r="C2623" s="0" t="s">
        <v>100</v>
      </c>
      <c r="D2623" s="0" t="s">
        <v>5</v>
      </c>
      <c r="F2623" s="0" t="s">
        <v>103</v>
      </c>
      <c r="G2623" s="0" t="s">
        <v>18672</v>
      </c>
    </row>
    <row r="2624" customFormat="false" ht="15" hidden="false" customHeight="false" outlineLevel="0" collapsed="false">
      <c r="A2624" s="0" t="n">
        <v>319</v>
      </c>
      <c r="B2624" s="0" t="n">
        <v>22669</v>
      </c>
      <c r="C2624" s="0" t="s">
        <v>1450</v>
      </c>
      <c r="D2624" s="0" t="s">
        <v>5</v>
      </c>
      <c r="F2624" s="0" t="s">
        <v>1451</v>
      </c>
      <c r="G2624" s="0" t="s">
        <v>18672</v>
      </c>
    </row>
    <row r="2625" customFormat="false" ht="15" hidden="false" customHeight="false" outlineLevel="0" collapsed="false">
      <c r="A2625" s="0" t="n">
        <v>372</v>
      </c>
      <c r="B2625" s="0" t="n">
        <v>22652</v>
      </c>
      <c r="C2625" s="0" t="s">
        <v>1675</v>
      </c>
      <c r="D2625" s="0" t="s">
        <v>5</v>
      </c>
      <c r="F2625" s="0" t="s">
        <v>1676</v>
      </c>
      <c r="G2625" s="0" t="s">
        <v>18672</v>
      </c>
    </row>
    <row r="2626" customFormat="false" ht="15" hidden="false" customHeight="false" outlineLevel="0" collapsed="false">
      <c r="A2626" s="0" t="n">
        <v>380</v>
      </c>
      <c r="B2626" s="0" t="n">
        <v>22660</v>
      </c>
      <c r="C2626" s="0" t="s">
        <v>1709</v>
      </c>
      <c r="D2626" s="0" t="s">
        <v>5</v>
      </c>
      <c r="F2626" s="0" t="s">
        <v>1710</v>
      </c>
      <c r="G2626" s="0" t="s">
        <v>18672</v>
      </c>
    </row>
    <row r="2627" customFormat="false" ht="15" hidden="false" customHeight="false" outlineLevel="0" collapsed="false">
      <c r="A2627" s="0" t="n">
        <v>384</v>
      </c>
      <c r="B2627" s="0" t="n">
        <v>22426</v>
      </c>
      <c r="C2627" s="0" t="s">
        <v>1726</v>
      </c>
      <c r="D2627" s="0" t="s">
        <v>5</v>
      </c>
      <c r="F2627" s="0" t="s">
        <v>1727</v>
      </c>
      <c r="G2627" s="0" t="s">
        <v>18672</v>
      </c>
    </row>
    <row r="2628" customFormat="false" ht="15" hidden="false" customHeight="false" outlineLevel="0" collapsed="false">
      <c r="A2628" s="0" t="n">
        <v>385</v>
      </c>
      <c r="B2628" s="0" t="n">
        <v>22835</v>
      </c>
      <c r="C2628" s="0" t="s">
        <v>1730</v>
      </c>
      <c r="D2628" s="0" t="s">
        <v>5</v>
      </c>
      <c r="F2628" s="0" t="s">
        <v>1731</v>
      </c>
      <c r="G2628" s="0" t="s">
        <v>18672</v>
      </c>
    </row>
    <row r="2629" customFormat="false" ht="15" hidden="false" customHeight="false" outlineLevel="0" collapsed="false">
      <c r="A2629" s="0" t="n">
        <v>388</v>
      </c>
      <c r="B2629" s="0" t="n">
        <v>22973</v>
      </c>
      <c r="C2629" s="0" t="s">
        <v>1747</v>
      </c>
      <c r="D2629" s="0" t="s">
        <v>5</v>
      </c>
      <c r="F2629" s="0" t="s">
        <v>1748</v>
      </c>
      <c r="G2629" s="0" t="s">
        <v>18672</v>
      </c>
    </row>
    <row r="2630" customFormat="false" ht="15" hidden="false" customHeight="false" outlineLevel="0" collapsed="false">
      <c r="A2630" s="0" t="n">
        <v>389</v>
      </c>
      <c r="B2630" s="0" t="n">
        <v>22847</v>
      </c>
      <c r="C2630" s="0" t="s">
        <v>1753</v>
      </c>
      <c r="D2630" s="0" t="s">
        <v>5</v>
      </c>
      <c r="F2630" s="0" t="s">
        <v>1754</v>
      </c>
      <c r="G2630" s="0" t="s">
        <v>18672</v>
      </c>
    </row>
    <row r="2631" customFormat="false" ht="15" hidden="false" customHeight="false" outlineLevel="0" collapsed="false">
      <c r="A2631" s="0" t="n">
        <v>398</v>
      </c>
      <c r="B2631" s="0" t="n">
        <v>22974</v>
      </c>
      <c r="C2631" s="0" t="s">
        <v>1797</v>
      </c>
      <c r="D2631" s="0" t="s">
        <v>5</v>
      </c>
      <c r="F2631" s="0" t="s">
        <v>1798</v>
      </c>
      <c r="G2631" s="0" t="s">
        <v>18672</v>
      </c>
    </row>
    <row r="2632" customFormat="false" ht="15" hidden="false" customHeight="false" outlineLevel="0" collapsed="false">
      <c r="A2632" s="0" t="n">
        <v>405</v>
      </c>
      <c r="B2632" s="0" t="n">
        <v>22975</v>
      </c>
      <c r="C2632" s="0" t="s">
        <v>1830</v>
      </c>
      <c r="D2632" s="0" t="s">
        <v>5</v>
      </c>
      <c r="F2632" s="0" t="s">
        <v>1831</v>
      </c>
      <c r="G2632" s="0" t="s">
        <v>18672</v>
      </c>
    </row>
    <row r="2633" customFormat="false" ht="15" hidden="false" customHeight="false" outlineLevel="0" collapsed="false">
      <c r="A2633" s="0" t="n">
        <v>407</v>
      </c>
      <c r="B2633" s="0" t="n">
        <v>22976</v>
      </c>
      <c r="C2633" s="0" t="s">
        <v>1839</v>
      </c>
      <c r="D2633" s="0" t="s">
        <v>5</v>
      </c>
      <c r="F2633" s="0" t="s">
        <v>1840</v>
      </c>
      <c r="G2633" s="0" t="s">
        <v>18672</v>
      </c>
    </row>
    <row r="2634" customFormat="false" ht="15" hidden="false" customHeight="false" outlineLevel="0" collapsed="false">
      <c r="A2634" s="0" t="n">
        <v>408</v>
      </c>
      <c r="B2634" s="0" t="n">
        <v>22871</v>
      </c>
      <c r="C2634" s="0" t="s">
        <v>1844</v>
      </c>
      <c r="D2634" s="0" t="s">
        <v>5</v>
      </c>
      <c r="F2634" s="0" t="s">
        <v>1845</v>
      </c>
      <c r="G2634" s="0" t="s">
        <v>18672</v>
      </c>
    </row>
    <row r="2635" customFormat="false" ht="15" hidden="false" customHeight="false" outlineLevel="0" collapsed="false">
      <c r="A2635" s="0" t="n">
        <v>409</v>
      </c>
      <c r="B2635" s="0" t="n">
        <v>22977</v>
      </c>
      <c r="C2635" s="0" t="s">
        <v>1848</v>
      </c>
      <c r="D2635" s="0" t="s">
        <v>5</v>
      </c>
      <c r="F2635" s="0" t="s">
        <v>1849</v>
      </c>
      <c r="G2635" s="0" t="s">
        <v>18672</v>
      </c>
    </row>
    <row r="2636" customFormat="false" ht="15" hidden="false" customHeight="false" outlineLevel="0" collapsed="false">
      <c r="A2636" s="0" t="n">
        <v>410</v>
      </c>
      <c r="B2636" s="0" t="n">
        <v>22978</v>
      </c>
      <c r="C2636" s="0" t="s">
        <v>1852</v>
      </c>
      <c r="D2636" s="0" t="s">
        <v>5</v>
      </c>
      <c r="F2636" s="0" t="s">
        <v>1853</v>
      </c>
      <c r="G2636" s="0" t="s">
        <v>18672</v>
      </c>
    </row>
    <row r="2637" customFormat="false" ht="15" hidden="false" customHeight="false" outlineLevel="0" collapsed="false">
      <c r="A2637" s="0" t="n">
        <v>411</v>
      </c>
      <c r="B2637" s="0" t="n">
        <v>22979</v>
      </c>
      <c r="C2637" s="0" t="s">
        <v>1856</v>
      </c>
      <c r="D2637" s="0" t="s">
        <v>5</v>
      </c>
      <c r="F2637" s="0" t="s">
        <v>1857</v>
      </c>
      <c r="G2637" s="0" t="s">
        <v>18672</v>
      </c>
    </row>
    <row r="2638" customFormat="false" ht="15" hidden="false" customHeight="false" outlineLevel="0" collapsed="false">
      <c r="A2638" s="0" t="n">
        <v>412</v>
      </c>
      <c r="B2638" s="0" t="n">
        <v>22862</v>
      </c>
      <c r="C2638" s="0" t="s">
        <v>1860</v>
      </c>
      <c r="D2638" s="0" t="s">
        <v>5</v>
      </c>
      <c r="F2638" s="0" t="s">
        <v>1861</v>
      </c>
      <c r="G2638" s="0" t="s">
        <v>18672</v>
      </c>
    </row>
    <row r="2639" customFormat="false" ht="15" hidden="false" customHeight="false" outlineLevel="0" collapsed="false">
      <c r="A2639" s="0" t="n">
        <v>415</v>
      </c>
      <c r="B2639" s="0" t="n">
        <v>22856</v>
      </c>
      <c r="C2639" s="0" t="s">
        <v>1873</v>
      </c>
      <c r="D2639" s="0" t="s">
        <v>5</v>
      </c>
      <c r="F2639" s="0" t="s">
        <v>1874</v>
      </c>
      <c r="G2639" s="0" t="s">
        <v>18672</v>
      </c>
    </row>
    <row r="2640" customFormat="false" ht="15" hidden="false" customHeight="false" outlineLevel="0" collapsed="false">
      <c r="A2640" s="0" t="n">
        <v>418</v>
      </c>
      <c r="B2640" s="0" t="n">
        <v>22980</v>
      </c>
      <c r="C2640" s="0" t="s">
        <v>1885</v>
      </c>
      <c r="D2640" s="0" t="s">
        <v>5</v>
      </c>
      <c r="F2640" s="0" t="s">
        <v>1886</v>
      </c>
      <c r="G2640" s="0" t="s">
        <v>18672</v>
      </c>
    </row>
    <row r="2641" customFormat="false" ht="15" hidden="false" customHeight="false" outlineLevel="0" collapsed="false">
      <c r="A2641" s="0" t="n">
        <v>427</v>
      </c>
      <c r="B2641" s="0" t="n">
        <v>22981</v>
      </c>
      <c r="C2641" s="0" t="s">
        <v>1926</v>
      </c>
      <c r="D2641" s="0" t="s">
        <v>5</v>
      </c>
      <c r="F2641" s="0" t="s">
        <v>1927</v>
      </c>
      <c r="G2641" s="0" t="s">
        <v>18672</v>
      </c>
    </row>
    <row r="2642" customFormat="false" ht="15" hidden="false" customHeight="false" outlineLevel="0" collapsed="false">
      <c r="A2642" s="0" t="n">
        <v>432</v>
      </c>
      <c r="B2642" s="0" t="n">
        <v>22873</v>
      </c>
      <c r="C2642" s="0" t="s">
        <v>1947</v>
      </c>
      <c r="D2642" s="0" t="s">
        <v>5</v>
      </c>
      <c r="F2642" s="0" t="s">
        <v>1948</v>
      </c>
      <c r="G2642" s="0" t="s">
        <v>18672</v>
      </c>
    </row>
    <row r="2643" customFormat="false" ht="15" hidden="false" customHeight="false" outlineLevel="0" collapsed="false">
      <c r="A2643" s="0" t="n">
        <v>436</v>
      </c>
      <c r="B2643" s="0" t="n">
        <v>22836</v>
      </c>
      <c r="C2643" s="0" t="s">
        <v>1963</v>
      </c>
      <c r="D2643" s="0" t="s">
        <v>5</v>
      </c>
      <c r="F2643" s="0" t="s">
        <v>1964</v>
      </c>
      <c r="G2643" s="0" t="s">
        <v>18672</v>
      </c>
    </row>
    <row r="2644" customFormat="false" ht="15" hidden="false" customHeight="false" outlineLevel="0" collapsed="false">
      <c r="A2644" s="0" t="n">
        <v>444</v>
      </c>
      <c r="B2644" s="0" t="n">
        <v>22982</v>
      </c>
      <c r="C2644" s="0" t="s">
        <v>1998</v>
      </c>
      <c r="D2644" s="0" t="s">
        <v>5</v>
      </c>
      <c r="F2644" s="0" t="s">
        <v>1999</v>
      </c>
      <c r="G2644" s="0" t="s">
        <v>18672</v>
      </c>
    </row>
    <row r="2645" customFormat="false" ht="15" hidden="false" customHeight="false" outlineLevel="0" collapsed="false">
      <c r="A2645" s="0" t="n">
        <v>445</v>
      </c>
      <c r="B2645" s="0" t="n">
        <v>22983</v>
      </c>
      <c r="C2645" s="0" t="s">
        <v>2003</v>
      </c>
      <c r="D2645" s="0" t="s">
        <v>5</v>
      </c>
      <c r="F2645" s="0" t="s">
        <v>2004</v>
      </c>
      <c r="G2645" s="0" t="s">
        <v>18672</v>
      </c>
    </row>
    <row r="2646" customFormat="false" ht="15" hidden="false" customHeight="false" outlineLevel="0" collapsed="false">
      <c r="A2646" s="0" t="n">
        <v>491</v>
      </c>
      <c r="B2646" s="0" t="n">
        <v>22617</v>
      </c>
      <c r="C2646" s="0" t="s">
        <v>2212</v>
      </c>
      <c r="D2646" s="0" t="s">
        <v>5</v>
      </c>
      <c r="F2646" s="0" t="s">
        <v>2213</v>
      </c>
      <c r="G2646" s="0" t="s">
        <v>18672</v>
      </c>
    </row>
    <row r="2647" customFormat="false" ht="15" hidden="false" customHeight="false" outlineLevel="0" collapsed="false">
      <c r="A2647" s="0" t="n">
        <v>529</v>
      </c>
      <c r="B2647" s="0" t="n">
        <v>22900</v>
      </c>
      <c r="C2647" s="0" t="s">
        <v>2381</v>
      </c>
      <c r="D2647" s="0" t="s">
        <v>5</v>
      </c>
      <c r="F2647" s="0" t="s">
        <v>2382</v>
      </c>
      <c r="G2647" s="0" t="s">
        <v>18672</v>
      </c>
    </row>
    <row r="2648" customFormat="false" ht="15" hidden="false" customHeight="false" outlineLevel="0" collapsed="false">
      <c r="A2648" s="0" t="n">
        <v>533</v>
      </c>
      <c r="B2648" s="0" t="n">
        <v>22744</v>
      </c>
      <c r="C2648" s="0" t="s">
        <v>2403</v>
      </c>
      <c r="D2648" s="0" t="s">
        <v>5</v>
      </c>
      <c r="F2648" s="0" t="s">
        <v>2404</v>
      </c>
      <c r="G2648" s="0" t="s">
        <v>18672</v>
      </c>
    </row>
    <row r="2649" customFormat="false" ht="15" hidden="false" customHeight="false" outlineLevel="0" collapsed="false">
      <c r="A2649" s="0" t="n">
        <v>536</v>
      </c>
      <c r="B2649" s="0" t="n">
        <v>23016</v>
      </c>
      <c r="C2649" s="0" t="s">
        <v>2419</v>
      </c>
      <c r="D2649" s="0" t="s">
        <v>5</v>
      </c>
      <c r="F2649" s="0" t="s">
        <v>2420</v>
      </c>
      <c r="G2649" s="0" t="s">
        <v>18672</v>
      </c>
    </row>
    <row r="2650" customFormat="false" ht="15" hidden="false" customHeight="false" outlineLevel="0" collapsed="false">
      <c r="A2650" s="0" t="n">
        <v>537</v>
      </c>
      <c r="B2650" s="0" t="n">
        <v>22739</v>
      </c>
      <c r="C2650" s="0" t="s">
        <v>2425</v>
      </c>
      <c r="D2650" s="0" t="s">
        <v>5</v>
      </c>
      <c r="F2650" s="0" t="s">
        <v>2426</v>
      </c>
      <c r="G2650" s="0" t="s">
        <v>18672</v>
      </c>
    </row>
    <row r="2651" customFormat="false" ht="15" hidden="false" customHeight="false" outlineLevel="0" collapsed="false">
      <c r="A2651" s="0" t="n">
        <v>540</v>
      </c>
      <c r="B2651" s="0" t="n">
        <v>22659</v>
      </c>
      <c r="C2651" s="0" t="s">
        <v>2440</v>
      </c>
      <c r="D2651" s="0" t="s">
        <v>5</v>
      </c>
      <c r="F2651" s="0" t="s">
        <v>2441</v>
      </c>
      <c r="G2651" s="0" t="s">
        <v>18672</v>
      </c>
    </row>
    <row r="2652" customFormat="false" ht="15" hidden="false" customHeight="false" outlineLevel="0" collapsed="false">
      <c r="A2652" s="0" t="n">
        <v>574</v>
      </c>
      <c r="B2652" s="0" t="n">
        <v>23015</v>
      </c>
      <c r="C2652" s="0" t="s">
        <v>2585</v>
      </c>
      <c r="D2652" s="0" t="s">
        <v>5</v>
      </c>
      <c r="F2652" s="0" t="s">
        <v>2586</v>
      </c>
      <c r="G2652" s="0" t="s">
        <v>18672</v>
      </c>
    </row>
    <row r="2653" customFormat="false" ht="15" hidden="false" customHeight="false" outlineLevel="0" collapsed="false">
      <c r="A2653" s="0" t="n">
        <v>639</v>
      </c>
      <c r="B2653" s="0" t="n">
        <v>22984</v>
      </c>
      <c r="C2653" s="0" t="s">
        <v>2862</v>
      </c>
      <c r="D2653" s="0" t="s">
        <v>5</v>
      </c>
      <c r="F2653" s="0" t="s">
        <v>2863</v>
      </c>
      <c r="G2653" s="0" t="s">
        <v>18672</v>
      </c>
    </row>
    <row r="2654" customFormat="false" ht="15" hidden="false" customHeight="false" outlineLevel="0" collapsed="false">
      <c r="A2654" s="0" t="n">
        <v>641</v>
      </c>
      <c r="B2654" s="0" t="n">
        <v>22832</v>
      </c>
      <c r="C2654" s="0" t="s">
        <v>2870</v>
      </c>
      <c r="D2654" s="0" t="s">
        <v>5</v>
      </c>
      <c r="F2654" s="0" t="s">
        <v>2871</v>
      </c>
      <c r="G2654" s="0" t="s">
        <v>18672</v>
      </c>
    </row>
    <row r="2655" customFormat="false" ht="15" hidden="false" customHeight="false" outlineLevel="0" collapsed="false">
      <c r="A2655" s="0" t="n">
        <v>642</v>
      </c>
      <c r="B2655" s="0" t="n">
        <v>22985</v>
      </c>
      <c r="C2655" s="0" t="s">
        <v>2874</v>
      </c>
      <c r="D2655" s="0" t="s">
        <v>5</v>
      </c>
      <c r="F2655" s="0" t="s">
        <v>2875</v>
      </c>
      <c r="G2655" s="0" t="s">
        <v>18672</v>
      </c>
    </row>
    <row r="2656" customFormat="false" ht="15" hidden="false" customHeight="false" outlineLevel="0" collapsed="false">
      <c r="A2656" s="0" t="n">
        <v>646</v>
      </c>
      <c r="B2656" s="0" t="n">
        <v>22842</v>
      </c>
      <c r="C2656" s="0" t="s">
        <v>2890</v>
      </c>
      <c r="D2656" s="0" t="s">
        <v>5</v>
      </c>
      <c r="F2656" s="0" t="s">
        <v>2891</v>
      </c>
      <c r="G2656" s="0" t="s">
        <v>18672</v>
      </c>
    </row>
    <row r="2657" customFormat="false" ht="15" hidden="false" customHeight="false" outlineLevel="0" collapsed="false">
      <c r="A2657" s="0" t="n">
        <v>647</v>
      </c>
      <c r="B2657" s="0" t="n">
        <v>22874</v>
      </c>
      <c r="C2657" s="0" t="s">
        <v>2894</v>
      </c>
      <c r="D2657" s="0" t="s">
        <v>5</v>
      </c>
      <c r="F2657" s="0" t="s">
        <v>2895</v>
      </c>
      <c r="G2657" s="0" t="s">
        <v>18672</v>
      </c>
    </row>
    <row r="2658" customFormat="false" ht="15" hidden="false" customHeight="false" outlineLevel="0" collapsed="false">
      <c r="A2658" s="0" t="n">
        <v>689</v>
      </c>
      <c r="B2658" s="0" t="n">
        <v>22864</v>
      </c>
      <c r="C2658" s="0" t="s">
        <v>3067</v>
      </c>
      <c r="D2658" s="0" t="s">
        <v>5</v>
      </c>
      <c r="F2658" s="0" t="s">
        <v>3068</v>
      </c>
      <c r="G2658" s="0" t="s">
        <v>18672</v>
      </c>
    </row>
    <row r="2659" customFormat="false" ht="15" hidden="false" customHeight="false" outlineLevel="0" collapsed="false">
      <c r="A2659" s="0" t="n">
        <v>690</v>
      </c>
      <c r="B2659" s="0" t="n">
        <v>22618</v>
      </c>
      <c r="C2659" s="0" t="s">
        <v>3071</v>
      </c>
      <c r="D2659" s="0" t="s">
        <v>5</v>
      </c>
      <c r="F2659" s="0" t="s">
        <v>3072</v>
      </c>
      <c r="G2659" s="0" t="s">
        <v>18672</v>
      </c>
    </row>
    <row r="2660" customFormat="false" ht="15" hidden="false" customHeight="false" outlineLevel="0" collapsed="false">
      <c r="A2660" s="0" t="n">
        <v>715</v>
      </c>
      <c r="B2660" s="0" t="n">
        <v>22867</v>
      </c>
      <c r="C2660" s="0" t="s">
        <v>3179</v>
      </c>
      <c r="D2660" s="0" t="s">
        <v>5</v>
      </c>
      <c r="F2660" s="0" t="s">
        <v>3180</v>
      </c>
      <c r="G2660" s="0" t="s">
        <v>18672</v>
      </c>
    </row>
    <row r="2661" customFormat="false" ht="15" hidden="false" customHeight="false" outlineLevel="0" collapsed="false">
      <c r="A2661" s="0" t="n">
        <v>716</v>
      </c>
      <c r="B2661" s="0" t="n">
        <v>22866</v>
      </c>
      <c r="C2661" s="0" t="s">
        <v>3183</v>
      </c>
      <c r="D2661" s="0" t="s">
        <v>5</v>
      </c>
      <c r="F2661" s="0" t="s">
        <v>3184</v>
      </c>
      <c r="G2661" s="0" t="s">
        <v>18672</v>
      </c>
    </row>
    <row r="2662" customFormat="false" ht="15" hidden="false" customHeight="false" outlineLevel="0" collapsed="false">
      <c r="A2662" s="0" t="n">
        <v>717</v>
      </c>
      <c r="B2662" s="0" t="n">
        <v>22859</v>
      </c>
      <c r="C2662" s="0" t="s">
        <v>3187</v>
      </c>
      <c r="D2662" s="0" t="s">
        <v>5</v>
      </c>
      <c r="F2662" s="0" t="s">
        <v>3188</v>
      </c>
      <c r="G2662" s="0" t="s">
        <v>18672</v>
      </c>
    </row>
    <row r="2663" customFormat="false" ht="15" hidden="false" customHeight="false" outlineLevel="0" collapsed="false">
      <c r="A2663" s="0" t="n">
        <v>719</v>
      </c>
      <c r="B2663" s="0" t="n">
        <v>22876</v>
      </c>
      <c r="C2663" s="0" t="s">
        <v>3195</v>
      </c>
      <c r="D2663" s="0" t="s">
        <v>5</v>
      </c>
      <c r="F2663" s="0" t="s">
        <v>3196</v>
      </c>
      <c r="G2663" s="0" t="s">
        <v>18672</v>
      </c>
    </row>
    <row r="2664" customFormat="false" ht="15" hidden="false" customHeight="false" outlineLevel="0" collapsed="false">
      <c r="A2664" s="0" t="n">
        <v>788</v>
      </c>
      <c r="B2664" s="0" t="n">
        <v>22903</v>
      </c>
      <c r="C2664" s="0" t="s">
        <v>3495</v>
      </c>
      <c r="D2664" s="0" t="s">
        <v>5</v>
      </c>
      <c r="F2664" s="0" t="s">
        <v>3496</v>
      </c>
      <c r="G2664" s="0" t="s">
        <v>18672</v>
      </c>
    </row>
    <row r="2665" customFormat="false" ht="15" hidden="false" customHeight="false" outlineLevel="0" collapsed="false">
      <c r="A2665" s="0" t="n">
        <v>799</v>
      </c>
      <c r="B2665" s="0" t="n">
        <v>22668</v>
      </c>
      <c r="C2665" s="0" t="s">
        <v>3551</v>
      </c>
      <c r="D2665" s="0" t="s">
        <v>5</v>
      </c>
      <c r="F2665" s="0" t="s">
        <v>3552</v>
      </c>
      <c r="G2665" s="0" t="s">
        <v>18672</v>
      </c>
    </row>
    <row r="2666" customFormat="false" ht="15" hidden="false" customHeight="false" outlineLevel="0" collapsed="false">
      <c r="A2666" s="0" t="n">
        <v>811</v>
      </c>
      <c r="B2666" s="0" t="n">
        <v>22855</v>
      </c>
      <c r="C2666" s="0" t="s">
        <v>3607</v>
      </c>
      <c r="D2666" s="0" t="s">
        <v>5</v>
      </c>
      <c r="F2666" s="0" t="s">
        <v>3608</v>
      </c>
      <c r="G2666" s="0" t="s">
        <v>18672</v>
      </c>
    </row>
    <row r="2667" customFormat="false" ht="15" hidden="false" customHeight="false" outlineLevel="0" collapsed="false">
      <c r="A2667" s="0" t="n">
        <v>876</v>
      </c>
      <c r="B2667" s="0" t="n">
        <v>23017</v>
      </c>
      <c r="C2667" s="0" t="s">
        <v>3888</v>
      </c>
      <c r="D2667" s="0" t="s">
        <v>5</v>
      </c>
      <c r="F2667" s="0" t="s">
        <v>3889</v>
      </c>
      <c r="G2667" s="0" t="s">
        <v>18672</v>
      </c>
    </row>
    <row r="2668" customFormat="false" ht="15" hidden="false" customHeight="false" outlineLevel="0" collapsed="false">
      <c r="A2668" s="0" t="n">
        <v>905</v>
      </c>
      <c r="B2668" s="0" t="n">
        <v>23003</v>
      </c>
      <c r="C2668" s="0" t="s">
        <v>4018</v>
      </c>
      <c r="D2668" s="0" t="s">
        <v>5</v>
      </c>
      <c r="F2668" s="0" t="s">
        <v>4019</v>
      </c>
      <c r="G2668" s="0" t="s">
        <v>18672</v>
      </c>
    </row>
    <row r="2669" customFormat="false" ht="15" hidden="false" customHeight="false" outlineLevel="0" collapsed="false">
      <c r="A2669" s="0" t="n">
        <v>937</v>
      </c>
      <c r="B2669" s="0" t="n">
        <v>22839</v>
      </c>
      <c r="C2669" s="0" t="s">
        <v>4154</v>
      </c>
      <c r="D2669" s="0" t="s">
        <v>5</v>
      </c>
      <c r="F2669" s="0" t="s">
        <v>4155</v>
      </c>
      <c r="G2669" s="0" t="s">
        <v>18672</v>
      </c>
    </row>
    <row r="2670" customFormat="false" ht="15" hidden="false" customHeight="false" outlineLevel="0" collapsed="false">
      <c r="A2670" s="0" t="n">
        <v>940</v>
      </c>
      <c r="B2670" s="0" t="n">
        <v>22834</v>
      </c>
      <c r="C2670" s="0" t="s">
        <v>4166</v>
      </c>
      <c r="D2670" s="0" t="s">
        <v>5</v>
      </c>
      <c r="F2670" s="0" t="s">
        <v>4167</v>
      </c>
      <c r="G2670" s="0" t="s">
        <v>18672</v>
      </c>
    </row>
    <row r="2671" customFormat="false" ht="15" hidden="false" customHeight="false" outlineLevel="0" collapsed="false">
      <c r="A2671" s="0" t="n">
        <v>1085</v>
      </c>
      <c r="B2671" s="0" t="n">
        <v>22745</v>
      </c>
      <c r="C2671" s="0" t="s">
        <v>4782</v>
      </c>
      <c r="D2671" s="0" t="s">
        <v>5</v>
      </c>
      <c r="F2671" s="0" t="s">
        <v>4783</v>
      </c>
      <c r="G2671" s="0" t="s">
        <v>18672</v>
      </c>
    </row>
    <row r="2672" customFormat="false" ht="15" hidden="false" customHeight="false" outlineLevel="0" collapsed="false">
      <c r="A2672" s="0" t="n">
        <v>1112</v>
      </c>
      <c r="B2672" s="0" t="n">
        <v>22909</v>
      </c>
      <c r="C2672" s="0" t="s">
        <v>4896</v>
      </c>
      <c r="D2672" s="0" t="s">
        <v>5</v>
      </c>
      <c r="F2672" s="0" t="s">
        <v>4897</v>
      </c>
      <c r="G2672" s="0" t="s">
        <v>18672</v>
      </c>
    </row>
    <row r="2673" customFormat="false" ht="15" hidden="false" customHeight="false" outlineLevel="0" collapsed="false">
      <c r="A2673" s="0" t="n">
        <v>1115</v>
      </c>
      <c r="B2673" s="0" t="n">
        <v>22657</v>
      </c>
      <c r="C2673" s="0" t="s">
        <v>4912</v>
      </c>
      <c r="D2673" s="0" t="s">
        <v>5</v>
      </c>
      <c r="F2673" s="0" t="s">
        <v>4913</v>
      </c>
      <c r="G2673" s="0" t="s">
        <v>18672</v>
      </c>
    </row>
    <row r="2674" customFormat="false" ht="15" hidden="false" customHeight="false" outlineLevel="0" collapsed="false">
      <c r="A2674" s="0" t="n">
        <v>1118</v>
      </c>
      <c r="B2674" s="0" t="n">
        <v>22662</v>
      </c>
      <c r="C2674" s="0" t="s">
        <v>4923</v>
      </c>
      <c r="D2674" s="0" t="s">
        <v>5</v>
      </c>
      <c r="F2674" s="0" t="s">
        <v>4924</v>
      </c>
      <c r="G2674" s="0" t="s">
        <v>18672</v>
      </c>
    </row>
    <row r="2675" customFormat="false" ht="15" hidden="false" customHeight="false" outlineLevel="0" collapsed="false">
      <c r="A2675" s="0" t="n">
        <v>1139</v>
      </c>
      <c r="B2675" s="0" t="n">
        <v>22723</v>
      </c>
      <c r="C2675" s="0" t="s">
        <v>5014</v>
      </c>
      <c r="D2675" s="0" t="s">
        <v>5</v>
      </c>
      <c r="F2675" s="0" t="s">
        <v>5015</v>
      </c>
      <c r="G2675" s="0" t="s">
        <v>18672</v>
      </c>
    </row>
    <row r="2676" customFormat="false" ht="15" hidden="false" customHeight="false" outlineLevel="0" collapsed="false">
      <c r="A2676" s="0" t="n">
        <v>1196</v>
      </c>
      <c r="B2676" s="0" t="n">
        <v>22734</v>
      </c>
      <c r="C2676" s="0" t="s">
        <v>5260</v>
      </c>
      <c r="D2676" s="0" t="s">
        <v>5</v>
      </c>
      <c r="F2676" s="0" t="s">
        <v>5261</v>
      </c>
      <c r="G2676" s="0" t="s">
        <v>18672</v>
      </c>
    </row>
    <row r="2677" customFormat="false" ht="15" hidden="false" customHeight="false" outlineLevel="0" collapsed="false">
      <c r="A2677" s="0" t="n">
        <v>1211</v>
      </c>
      <c r="B2677" s="0" t="n">
        <v>22613</v>
      </c>
      <c r="C2677" s="0" t="s">
        <v>5316</v>
      </c>
      <c r="D2677" s="0" t="s">
        <v>5</v>
      </c>
      <c r="F2677" s="0" t="s">
        <v>5317</v>
      </c>
      <c r="G2677" s="0" t="s">
        <v>18672</v>
      </c>
    </row>
    <row r="2678" customFormat="false" ht="15" hidden="false" customHeight="false" outlineLevel="0" collapsed="false">
      <c r="A2678" s="0" t="n">
        <v>1216</v>
      </c>
      <c r="B2678" s="0" t="n">
        <v>22905</v>
      </c>
      <c r="C2678" s="0" t="s">
        <v>5338</v>
      </c>
      <c r="D2678" s="0" t="s">
        <v>5</v>
      </c>
      <c r="F2678" s="0" t="s">
        <v>5339</v>
      </c>
      <c r="G2678" s="0" t="s">
        <v>18672</v>
      </c>
    </row>
    <row r="2679" customFormat="false" ht="15" hidden="false" customHeight="false" outlineLevel="0" collapsed="false">
      <c r="A2679" s="0" t="n">
        <v>1286</v>
      </c>
      <c r="B2679" s="0" t="n">
        <v>23019</v>
      </c>
      <c r="C2679" s="0" t="s">
        <v>5648</v>
      </c>
      <c r="D2679" s="0" t="s">
        <v>5</v>
      </c>
      <c r="F2679" s="0" t="s">
        <v>5649</v>
      </c>
      <c r="G2679" s="0" t="s">
        <v>18672</v>
      </c>
    </row>
    <row r="2680" customFormat="false" ht="15" hidden="false" customHeight="false" outlineLevel="0" collapsed="false">
      <c r="A2680" s="0" t="n">
        <v>1330</v>
      </c>
      <c r="B2680" s="0" t="n">
        <v>22738</v>
      </c>
      <c r="C2680" s="0" t="s">
        <v>5835</v>
      </c>
      <c r="D2680" s="0" t="s">
        <v>5</v>
      </c>
      <c r="F2680" s="0" t="s">
        <v>5836</v>
      </c>
      <c r="G2680" s="0" t="s">
        <v>18672</v>
      </c>
    </row>
    <row r="2681" customFormat="false" ht="15" hidden="false" customHeight="false" outlineLevel="0" collapsed="false">
      <c r="A2681" s="0" t="n">
        <v>1422</v>
      </c>
      <c r="B2681" s="0" t="n">
        <v>22675</v>
      </c>
      <c r="C2681" s="0" t="s">
        <v>6240</v>
      </c>
      <c r="D2681" s="0" t="s">
        <v>5</v>
      </c>
      <c r="F2681" s="0" t="s">
        <v>6241</v>
      </c>
      <c r="G2681" s="0" t="s">
        <v>18672</v>
      </c>
    </row>
    <row r="2682" customFormat="false" ht="15" hidden="false" customHeight="false" outlineLevel="0" collapsed="false">
      <c r="A2682" s="0" t="n">
        <v>1442</v>
      </c>
      <c r="B2682" s="0" t="n">
        <v>22830</v>
      </c>
      <c r="C2682" s="0" t="s">
        <v>6321</v>
      </c>
      <c r="D2682" s="0" t="s">
        <v>5</v>
      </c>
      <c r="F2682" s="0" t="s">
        <v>6322</v>
      </c>
      <c r="G2682" s="0" t="s">
        <v>18672</v>
      </c>
    </row>
    <row r="2683" customFormat="false" ht="15" hidden="false" customHeight="false" outlineLevel="0" collapsed="false">
      <c r="A2683" s="0" t="n">
        <v>1448</v>
      </c>
      <c r="B2683" s="0" t="n">
        <v>22877</v>
      </c>
      <c r="C2683" s="0" t="s">
        <v>6345</v>
      </c>
      <c r="D2683" s="0" t="s">
        <v>5</v>
      </c>
      <c r="F2683" s="0" t="s">
        <v>6346</v>
      </c>
      <c r="G2683" s="0" t="s">
        <v>18672</v>
      </c>
    </row>
    <row r="2684" customFormat="false" ht="15" hidden="false" customHeight="false" outlineLevel="0" collapsed="false">
      <c r="A2684" s="0" t="n">
        <v>1454</v>
      </c>
      <c r="B2684" s="0" t="n">
        <v>22833</v>
      </c>
      <c r="C2684" s="0" t="s">
        <v>6369</v>
      </c>
      <c r="D2684" s="0" t="s">
        <v>5</v>
      </c>
      <c r="F2684" s="0" t="s">
        <v>6370</v>
      </c>
      <c r="G2684" s="0" t="s">
        <v>18672</v>
      </c>
    </row>
    <row r="2685" customFormat="false" ht="15" hidden="false" customHeight="false" outlineLevel="0" collapsed="false">
      <c r="A2685" s="0" t="n">
        <v>1455</v>
      </c>
      <c r="B2685" s="0" t="n">
        <v>22986</v>
      </c>
      <c r="C2685" s="0" t="s">
        <v>6373</v>
      </c>
      <c r="D2685" s="0" t="s">
        <v>5</v>
      </c>
      <c r="F2685" s="0" t="s">
        <v>6374</v>
      </c>
      <c r="G2685" s="0" t="s">
        <v>18672</v>
      </c>
    </row>
    <row r="2686" customFormat="false" ht="15" hidden="false" customHeight="false" outlineLevel="0" collapsed="false">
      <c r="A2686" s="0" t="n">
        <v>1456</v>
      </c>
      <c r="B2686" s="0" t="n">
        <v>22875</v>
      </c>
      <c r="C2686" s="0" t="s">
        <v>6377</v>
      </c>
      <c r="D2686" s="0" t="s">
        <v>5</v>
      </c>
      <c r="F2686" s="0" t="s">
        <v>6378</v>
      </c>
      <c r="G2686" s="0" t="s">
        <v>18672</v>
      </c>
    </row>
    <row r="2687" customFormat="false" ht="15" hidden="false" customHeight="false" outlineLevel="0" collapsed="false">
      <c r="A2687" s="0" t="n">
        <v>1459</v>
      </c>
      <c r="B2687" s="0" t="n">
        <v>22865</v>
      </c>
      <c r="C2687" s="0" t="s">
        <v>6389</v>
      </c>
      <c r="D2687" s="0" t="s">
        <v>5</v>
      </c>
      <c r="F2687" s="0" t="s">
        <v>6390</v>
      </c>
      <c r="G2687" s="0" t="s">
        <v>18672</v>
      </c>
    </row>
    <row r="2688" customFormat="false" ht="15" hidden="false" customHeight="false" outlineLevel="0" collapsed="false">
      <c r="A2688" s="0" t="n">
        <v>1541</v>
      </c>
      <c r="B2688" s="0" t="n">
        <v>22845</v>
      </c>
      <c r="C2688" s="0" t="s">
        <v>6755</v>
      </c>
      <c r="D2688" s="0" t="s">
        <v>5</v>
      </c>
      <c r="F2688" s="0" t="s">
        <v>6756</v>
      </c>
      <c r="G2688" s="0" t="s">
        <v>18672</v>
      </c>
    </row>
    <row r="2689" customFormat="false" ht="15" hidden="false" customHeight="false" outlineLevel="0" collapsed="false">
      <c r="A2689" s="0" t="n">
        <v>1542</v>
      </c>
      <c r="B2689" s="0" t="n">
        <v>22870</v>
      </c>
      <c r="C2689" s="0" t="s">
        <v>6759</v>
      </c>
      <c r="D2689" s="0" t="s">
        <v>5</v>
      </c>
      <c r="F2689" s="0" t="s">
        <v>6760</v>
      </c>
      <c r="G2689" s="0" t="s">
        <v>18672</v>
      </c>
    </row>
    <row r="2690" customFormat="false" ht="15" hidden="false" customHeight="false" outlineLevel="0" collapsed="false">
      <c r="A2690" s="0" t="n">
        <v>1552</v>
      </c>
      <c r="B2690" s="0" t="n">
        <v>22831</v>
      </c>
      <c r="C2690" s="0" t="s">
        <v>6800</v>
      </c>
      <c r="D2690" s="0" t="s">
        <v>5</v>
      </c>
      <c r="F2690" s="0" t="s">
        <v>6801</v>
      </c>
      <c r="G2690" s="0" t="s">
        <v>18672</v>
      </c>
    </row>
    <row r="2691" customFormat="false" ht="15" hidden="false" customHeight="false" outlineLevel="0" collapsed="false">
      <c r="A2691" s="0" t="n">
        <v>1670</v>
      </c>
      <c r="B2691" s="0" t="n">
        <v>22724</v>
      </c>
      <c r="C2691" s="0" t="s">
        <v>1503</v>
      </c>
      <c r="D2691" s="0" t="s">
        <v>5</v>
      </c>
      <c r="F2691" s="0" t="s">
        <v>7279</v>
      </c>
      <c r="G2691" s="0" t="s">
        <v>18672</v>
      </c>
    </row>
    <row r="2692" customFormat="false" ht="15" hidden="false" customHeight="false" outlineLevel="0" collapsed="false">
      <c r="A2692" s="0" t="n">
        <v>2268</v>
      </c>
      <c r="B2692" s="0" t="n">
        <v>22895</v>
      </c>
      <c r="C2692" s="0" t="s">
        <v>9704</v>
      </c>
      <c r="D2692" s="0" t="s">
        <v>5</v>
      </c>
      <c r="F2692" s="0" t="s">
        <v>9705</v>
      </c>
      <c r="G2692" s="0" t="s">
        <v>18672</v>
      </c>
    </row>
    <row r="2693" customFormat="false" ht="15" hidden="false" customHeight="false" outlineLevel="0" collapsed="false">
      <c r="A2693" s="0" t="n">
        <v>2342</v>
      </c>
      <c r="B2693" s="0" t="n">
        <v>22661</v>
      </c>
      <c r="C2693" s="0" t="s">
        <v>10024</v>
      </c>
      <c r="D2693" s="0" t="s">
        <v>5</v>
      </c>
      <c r="F2693" s="0" t="s">
        <v>10025</v>
      </c>
      <c r="G2693" s="0" t="s">
        <v>18672</v>
      </c>
    </row>
    <row r="2694" customFormat="false" ht="15" hidden="false" customHeight="false" outlineLevel="0" collapsed="false">
      <c r="A2694" s="0" t="n">
        <v>2646</v>
      </c>
      <c r="B2694" s="0" t="n">
        <v>23006</v>
      </c>
      <c r="C2694" s="0" t="s">
        <v>11316</v>
      </c>
      <c r="D2694" s="0" t="s">
        <v>5</v>
      </c>
      <c r="F2694" s="0" t="s">
        <v>11317</v>
      </c>
      <c r="G2694" s="0" t="s">
        <v>18672</v>
      </c>
    </row>
    <row r="2695" customFormat="false" ht="15" hidden="false" customHeight="false" outlineLevel="0" collapsed="false">
      <c r="A2695" s="0" t="n">
        <v>2693</v>
      </c>
      <c r="B2695" s="0" t="n">
        <v>23007</v>
      </c>
      <c r="C2695" s="0" t="s">
        <v>11475</v>
      </c>
      <c r="D2695" s="0" t="s">
        <v>5</v>
      </c>
      <c r="F2695" s="0" t="s">
        <v>11476</v>
      </c>
      <c r="G2695" s="0" t="s">
        <v>18672</v>
      </c>
    </row>
    <row r="2696" customFormat="false" ht="15" hidden="false" customHeight="false" outlineLevel="0" collapsed="false">
      <c r="A2696" s="0" t="n">
        <v>2694</v>
      </c>
      <c r="B2696" s="0" t="n">
        <v>23008</v>
      </c>
      <c r="C2696" s="0" t="s">
        <v>11479</v>
      </c>
      <c r="D2696" s="0" t="s">
        <v>5</v>
      </c>
      <c r="F2696" s="0" t="s">
        <v>11480</v>
      </c>
      <c r="G2696" s="0" t="s">
        <v>18672</v>
      </c>
    </row>
    <row r="2697" customFormat="false" ht="15" hidden="false" customHeight="false" outlineLevel="0" collapsed="false">
      <c r="A2697" s="0" t="n">
        <v>2905</v>
      </c>
      <c r="B2697" s="0" t="n">
        <v>22901</v>
      </c>
      <c r="C2697" s="0" t="s">
        <v>12253</v>
      </c>
      <c r="D2697" s="0" t="s">
        <v>5</v>
      </c>
      <c r="F2697" s="0" t="s">
        <v>12254</v>
      </c>
      <c r="G2697" s="0" t="s">
        <v>18672</v>
      </c>
    </row>
    <row r="2698" customFormat="false" ht="15" hidden="false" customHeight="false" outlineLevel="0" collapsed="false">
      <c r="A2698" s="0" t="n">
        <v>2993</v>
      </c>
      <c r="B2698" s="0" t="n">
        <v>22896</v>
      </c>
      <c r="C2698" s="0" t="s">
        <v>12554</v>
      </c>
      <c r="D2698" s="0" t="s">
        <v>5</v>
      </c>
      <c r="F2698" s="0" t="s">
        <v>12555</v>
      </c>
      <c r="G2698" s="0" t="s">
        <v>18672</v>
      </c>
    </row>
    <row r="2699" customFormat="false" ht="15" hidden="false" customHeight="false" outlineLevel="0" collapsed="false">
      <c r="A2699" s="0" t="n">
        <v>2994</v>
      </c>
      <c r="B2699" s="0" t="n">
        <v>22897</v>
      </c>
      <c r="C2699" s="0" t="s">
        <v>12558</v>
      </c>
      <c r="D2699" s="0" t="s">
        <v>5</v>
      </c>
      <c r="F2699" s="0" t="s">
        <v>12559</v>
      </c>
      <c r="G2699" s="0" t="s">
        <v>18672</v>
      </c>
    </row>
    <row r="2700" customFormat="false" ht="15" hidden="false" customHeight="false" outlineLevel="0" collapsed="false">
      <c r="A2700" s="0" t="n">
        <v>3110</v>
      </c>
      <c r="B2700" s="0" t="n">
        <v>22872</v>
      </c>
      <c r="C2700" s="0" t="s">
        <v>12972</v>
      </c>
      <c r="D2700" s="0" t="s">
        <v>5</v>
      </c>
      <c r="F2700" s="0" t="s">
        <v>12973</v>
      </c>
      <c r="G2700" s="0" t="s">
        <v>18672</v>
      </c>
    </row>
    <row r="2701" customFormat="false" ht="15" hidden="false" customHeight="false" outlineLevel="0" collapsed="false">
      <c r="A2701" s="0" t="n">
        <v>3112</v>
      </c>
      <c r="B2701" s="0" t="n">
        <v>22838</v>
      </c>
      <c r="C2701" s="0" t="s">
        <v>12980</v>
      </c>
      <c r="D2701" s="0" t="s">
        <v>5</v>
      </c>
      <c r="F2701" s="0" t="s">
        <v>12981</v>
      </c>
      <c r="G2701" s="0" t="s">
        <v>18672</v>
      </c>
    </row>
    <row r="2702" customFormat="false" ht="15" hidden="false" customHeight="false" outlineLevel="0" collapsed="false">
      <c r="A2702" s="0" t="n">
        <v>3116</v>
      </c>
      <c r="B2702" s="0" t="n">
        <v>22852</v>
      </c>
      <c r="C2702" s="0" t="s">
        <v>12999</v>
      </c>
      <c r="D2702" s="0" t="s">
        <v>5</v>
      </c>
      <c r="F2702" s="0" t="s">
        <v>13000</v>
      </c>
      <c r="G2702" s="0" t="s">
        <v>18672</v>
      </c>
    </row>
    <row r="2703" customFormat="false" ht="15" hidden="false" customHeight="false" outlineLevel="0" collapsed="false">
      <c r="A2703" s="0" t="n">
        <v>3120</v>
      </c>
      <c r="B2703" s="0" t="n">
        <v>22987</v>
      </c>
      <c r="C2703" s="0" t="s">
        <v>13019</v>
      </c>
      <c r="D2703" s="0" t="s">
        <v>5</v>
      </c>
      <c r="F2703" s="0" t="s">
        <v>13020</v>
      </c>
      <c r="G2703" s="0" t="s">
        <v>18672</v>
      </c>
    </row>
    <row r="2704" customFormat="false" ht="15" hidden="false" customHeight="false" outlineLevel="0" collapsed="false">
      <c r="A2704" s="0" t="n">
        <v>3271</v>
      </c>
      <c r="B2704" s="0" t="n">
        <v>22907</v>
      </c>
      <c r="C2704" s="0" t="s">
        <v>13547</v>
      </c>
      <c r="D2704" s="0" t="s">
        <v>5</v>
      </c>
      <c r="F2704" s="0" t="s">
        <v>13548</v>
      </c>
      <c r="G2704" s="0" t="s">
        <v>18672</v>
      </c>
    </row>
    <row r="2705" customFormat="false" ht="15" hidden="false" customHeight="false" outlineLevel="0" collapsed="false">
      <c r="A2705" s="0" t="n">
        <v>3272</v>
      </c>
      <c r="B2705" s="0" t="n">
        <v>22735</v>
      </c>
      <c r="C2705" s="0" t="s">
        <v>13552</v>
      </c>
      <c r="D2705" s="0" t="s">
        <v>5</v>
      </c>
      <c r="F2705" s="0" t="s">
        <v>13553</v>
      </c>
      <c r="G2705" s="0" t="s">
        <v>18672</v>
      </c>
    </row>
    <row r="2706" customFormat="false" ht="15" hidden="false" customHeight="false" outlineLevel="0" collapsed="false">
      <c r="A2706" s="0" t="n">
        <v>3281</v>
      </c>
      <c r="B2706" s="0" t="n">
        <v>23005</v>
      </c>
      <c r="C2706" s="0" t="s">
        <v>13588</v>
      </c>
      <c r="D2706" s="0" t="s">
        <v>5</v>
      </c>
      <c r="F2706" s="0" t="s">
        <v>13589</v>
      </c>
      <c r="G2706" s="0" t="s">
        <v>18672</v>
      </c>
    </row>
    <row r="2707" customFormat="false" ht="15" hidden="false" customHeight="false" outlineLevel="0" collapsed="false">
      <c r="A2707" s="0" t="n">
        <v>3503</v>
      </c>
      <c r="B2707" s="0" t="n">
        <v>23011</v>
      </c>
      <c r="C2707" s="0" t="s">
        <v>14318</v>
      </c>
      <c r="D2707" s="0" t="s">
        <v>5</v>
      </c>
      <c r="F2707" s="0" t="s">
        <v>14319</v>
      </c>
      <c r="G2707" s="0" t="s">
        <v>18672</v>
      </c>
    </row>
    <row r="2708" customFormat="false" ht="15" hidden="false" customHeight="false" outlineLevel="0" collapsed="false">
      <c r="A2708" s="0" t="n">
        <v>3601</v>
      </c>
      <c r="B2708" s="0" t="n">
        <v>22742</v>
      </c>
      <c r="C2708" s="0" t="s">
        <v>14663</v>
      </c>
      <c r="D2708" s="0" t="s">
        <v>5</v>
      </c>
      <c r="F2708" s="0" t="s">
        <v>14664</v>
      </c>
      <c r="G2708" s="0" t="s">
        <v>18672</v>
      </c>
    </row>
    <row r="2709" customFormat="false" ht="15" hidden="false" customHeight="false" outlineLevel="0" collapsed="false">
      <c r="A2709" s="0" t="n">
        <v>3608</v>
      </c>
      <c r="B2709" s="0" t="n">
        <v>23010</v>
      </c>
      <c r="C2709" s="0" t="s">
        <v>14693</v>
      </c>
      <c r="D2709" s="0" t="s">
        <v>5</v>
      </c>
      <c r="F2709" s="0" t="s">
        <v>14694</v>
      </c>
      <c r="G2709" s="0" t="s">
        <v>18672</v>
      </c>
    </row>
    <row r="2710" customFormat="false" ht="15" hidden="false" customHeight="false" outlineLevel="0" collapsed="false">
      <c r="A2710" s="0" t="n">
        <v>3609</v>
      </c>
      <c r="B2710" s="0" t="n">
        <v>22737</v>
      </c>
      <c r="C2710" s="0" t="s">
        <v>14697</v>
      </c>
      <c r="D2710" s="0" t="s">
        <v>5</v>
      </c>
      <c r="F2710" s="0" t="s">
        <v>14698</v>
      </c>
      <c r="G2710" s="0" t="s">
        <v>18672</v>
      </c>
    </row>
    <row r="2711" customFormat="false" ht="15" hidden="false" customHeight="false" outlineLevel="0" collapsed="false">
      <c r="A2711" s="0" t="n">
        <v>3667</v>
      </c>
      <c r="B2711" s="0" t="n">
        <v>22910</v>
      </c>
      <c r="C2711" s="0" t="s">
        <v>14944</v>
      </c>
      <c r="D2711" s="0" t="s">
        <v>5</v>
      </c>
      <c r="F2711" s="0" t="s">
        <v>14945</v>
      </c>
      <c r="G2711" s="0" t="s">
        <v>18672</v>
      </c>
    </row>
    <row r="2712" customFormat="false" ht="15" hidden="false" customHeight="false" outlineLevel="0" collapsed="false">
      <c r="A2712" s="0" t="n">
        <v>3781</v>
      </c>
      <c r="B2712" s="0" t="n">
        <v>22740</v>
      </c>
      <c r="C2712" s="0" t="s">
        <v>15439</v>
      </c>
      <c r="D2712" s="0" t="s">
        <v>5</v>
      </c>
      <c r="F2712" s="0" t="s">
        <v>15440</v>
      </c>
      <c r="G2712" s="0" t="s">
        <v>18672</v>
      </c>
    </row>
    <row r="2713" customFormat="false" ht="15" hidden="false" customHeight="false" outlineLevel="0" collapsed="false">
      <c r="A2713" s="0" t="n">
        <v>3783</v>
      </c>
      <c r="B2713" s="0" t="n">
        <v>23009</v>
      </c>
      <c r="C2713" s="0" t="s">
        <v>15449</v>
      </c>
      <c r="D2713" s="0" t="s">
        <v>5</v>
      </c>
      <c r="F2713" s="0" t="s">
        <v>15450</v>
      </c>
      <c r="G2713" s="0" t="s">
        <v>18672</v>
      </c>
    </row>
    <row r="2714" customFormat="false" ht="15" hidden="false" customHeight="false" outlineLevel="0" collapsed="false">
      <c r="A2714" s="0" t="n">
        <v>3793</v>
      </c>
      <c r="B2714" s="0" t="n">
        <v>22421</v>
      </c>
      <c r="C2714" s="0" t="s">
        <v>15494</v>
      </c>
      <c r="D2714" s="0" t="s">
        <v>5</v>
      </c>
      <c r="F2714" s="0" t="s">
        <v>15495</v>
      </c>
      <c r="G2714" s="0" t="s">
        <v>18672</v>
      </c>
    </row>
    <row r="2715" customFormat="false" ht="15" hidden="false" customHeight="false" outlineLevel="0" collapsed="false">
      <c r="A2715" s="0" t="n">
        <v>3795</v>
      </c>
      <c r="B2715" s="0" t="n">
        <v>22422</v>
      </c>
      <c r="C2715" s="0" t="s">
        <v>15503</v>
      </c>
      <c r="D2715" s="0" t="s">
        <v>5</v>
      </c>
      <c r="F2715" s="0" t="s">
        <v>15504</v>
      </c>
      <c r="G2715" s="0" t="s">
        <v>18672</v>
      </c>
    </row>
    <row r="2716" customFormat="false" ht="15" hidden="false" customHeight="false" outlineLevel="0" collapsed="false">
      <c r="A2716" s="0" t="n">
        <v>3796</v>
      </c>
      <c r="B2716" s="0" t="n">
        <v>22423</v>
      </c>
      <c r="C2716" s="0" t="s">
        <v>15508</v>
      </c>
      <c r="D2716" s="0" t="s">
        <v>5</v>
      </c>
      <c r="F2716" s="0" t="s">
        <v>15509</v>
      </c>
      <c r="G2716" s="0" t="s">
        <v>18672</v>
      </c>
    </row>
    <row r="2717" customFormat="false" ht="15" hidden="false" customHeight="false" outlineLevel="0" collapsed="false">
      <c r="A2717" s="0" t="n">
        <v>3799</v>
      </c>
      <c r="B2717" s="0" t="n">
        <v>22988</v>
      </c>
      <c r="C2717" s="0" t="s">
        <v>6750</v>
      </c>
      <c r="D2717" s="0" t="s">
        <v>5</v>
      </c>
      <c r="F2717" s="0" t="s">
        <v>15521</v>
      </c>
      <c r="G2717" s="0" t="s">
        <v>18672</v>
      </c>
    </row>
    <row r="2718" customFormat="false" ht="15" hidden="false" customHeight="false" outlineLevel="0" collapsed="false">
      <c r="A2718" s="0" t="n">
        <v>3800</v>
      </c>
      <c r="B2718" s="0" t="n">
        <v>22427</v>
      </c>
      <c r="C2718" s="0" t="s">
        <v>15523</v>
      </c>
      <c r="D2718" s="0" t="s">
        <v>5</v>
      </c>
      <c r="F2718" s="0" t="s">
        <v>15524</v>
      </c>
      <c r="G2718" s="0" t="s">
        <v>18672</v>
      </c>
    </row>
    <row r="2719" customFormat="false" ht="15" hidden="false" customHeight="false" outlineLevel="0" collapsed="false">
      <c r="A2719" s="0" t="n">
        <v>3822</v>
      </c>
      <c r="B2719" s="0" t="n">
        <v>22449</v>
      </c>
      <c r="C2719" s="0" t="s">
        <v>15625</v>
      </c>
      <c r="D2719" s="0" t="s">
        <v>5</v>
      </c>
      <c r="F2719" s="0" t="s">
        <v>15626</v>
      </c>
      <c r="G2719" s="0" t="s">
        <v>18672</v>
      </c>
    </row>
    <row r="2720" customFormat="false" ht="15" hidden="false" customHeight="false" outlineLevel="0" collapsed="false">
      <c r="A2720" s="0" t="n">
        <v>3823</v>
      </c>
      <c r="B2720" s="0" t="n">
        <v>22450</v>
      </c>
      <c r="C2720" s="0" t="s">
        <v>15629</v>
      </c>
      <c r="D2720" s="0" t="s">
        <v>5</v>
      </c>
      <c r="F2720" s="0" t="s">
        <v>15630</v>
      </c>
      <c r="G2720" s="0" t="s">
        <v>18672</v>
      </c>
    </row>
    <row r="2721" customFormat="false" ht="15" hidden="false" customHeight="false" outlineLevel="0" collapsed="false">
      <c r="A2721" s="0" t="n">
        <v>3824</v>
      </c>
      <c r="B2721" s="0" t="n">
        <v>22451</v>
      </c>
      <c r="C2721" s="0" t="s">
        <v>15633</v>
      </c>
      <c r="D2721" s="0" t="s">
        <v>5</v>
      </c>
      <c r="F2721" s="0" t="s">
        <v>15634</v>
      </c>
      <c r="G2721" s="0" t="s">
        <v>18672</v>
      </c>
    </row>
    <row r="2722" customFormat="false" ht="15" hidden="false" customHeight="false" outlineLevel="0" collapsed="false">
      <c r="A2722" s="0" t="n">
        <v>3853</v>
      </c>
      <c r="B2722" s="0" t="n">
        <v>22898</v>
      </c>
      <c r="C2722" s="0" t="s">
        <v>15760</v>
      </c>
      <c r="D2722" s="0" t="s">
        <v>5</v>
      </c>
      <c r="F2722" s="0" t="s">
        <v>15761</v>
      </c>
      <c r="G2722" s="0" t="s">
        <v>18672</v>
      </c>
    </row>
    <row r="2723" customFormat="false" ht="15" hidden="false" customHeight="false" outlineLevel="0" collapsed="false">
      <c r="A2723" s="0" t="n">
        <v>3855</v>
      </c>
      <c r="B2723" s="0" t="n">
        <v>22741</v>
      </c>
      <c r="C2723" s="0" t="s">
        <v>15767</v>
      </c>
      <c r="D2723" s="0" t="s">
        <v>5</v>
      </c>
      <c r="F2723" s="0" t="s">
        <v>15768</v>
      </c>
      <c r="G2723" s="0" t="s">
        <v>18672</v>
      </c>
    </row>
    <row r="2724" customFormat="false" ht="15" hidden="false" customHeight="false" outlineLevel="0" collapsed="false">
      <c r="A2724" s="0" t="n">
        <v>3894</v>
      </c>
      <c r="B2724" s="0" t="n">
        <v>22522</v>
      </c>
      <c r="C2724" s="0" t="s">
        <v>15947</v>
      </c>
      <c r="D2724" s="0" t="s">
        <v>5</v>
      </c>
      <c r="F2724" s="0" t="s">
        <v>15948</v>
      </c>
      <c r="G2724" s="0" t="s">
        <v>18672</v>
      </c>
    </row>
    <row r="2725" customFormat="false" ht="15" hidden="false" customHeight="false" outlineLevel="0" collapsed="false">
      <c r="A2725" s="0" t="n">
        <v>3895</v>
      </c>
      <c r="B2725" s="0" t="n">
        <v>22526</v>
      </c>
      <c r="C2725" s="0" t="s">
        <v>9397</v>
      </c>
      <c r="D2725" s="0" t="s">
        <v>5</v>
      </c>
      <c r="F2725" s="0" t="s">
        <v>15952</v>
      </c>
      <c r="G2725" s="0" t="s">
        <v>18672</v>
      </c>
    </row>
    <row r="2726" customFormat="false" ht="15" hidden="false" customHeight="false" outlineLevel="0" collapsed="false">
      <c r="A2726" s="0" t="n">
        <v>3896</v>
      </c>
      <c r="B2726" s="0" t="n">
        <v>22523</v>
      </c>
      <c r="C2726" s="0" t="s">
        <v>15956</v>
      </c>
      <c r="D2726" s="0" t="s">
        <v>5</v>
      </c>
      <c r="F2726" s="0" t="s">
        <v>15957</v>
      </c>
      <c r="G2726" s="0" t="s">
        <v>18672</v>
      </c>
    </row>
    <row r="2727" customFormat="false" ht="15" hidden="false" customHeight="false" outlineLevel="0" collapsed="false">
      <c r="A2727" s="0" t="n">
        <v>3897</v>
      </c>
      <c r="B2727" s="0" t="n">
        <v>22524</v>
      </c>
      <c r="C2727" s="0" t="s">
        <v>15960</v>
      </c>
      <c r="D2727" s="0" t="s">
        <v>5</v>
      </c>
      <c r="F2727" s="0" t="s">
        <v>15961</v>
      </c>
      <c r="G2727" s="0" t="s">
        <v>18672</v>
      </c>
    </row>
    <row r="2728" customFormat="false" ht="15" hidden="false" customHeight="false" outlineLevel="0" collapsed="false">
      <c r="A2728" s="0" t="n">
        <v>3898</v>
      </c>
      <c r="B2728" s="0" t="n">
        <v>22525</v>
      </c>
      <c r="C2728" s="0" t="s">
        <v>15964</v>
      </c>
      <c r="D2728" s="0" t="s">
        <v>5</v>
      </c>
      <c r="F2728" s="0" t="s">
        <v>15965</v>
      </c>
      <c r="G2728" s="0" t="s">
        <v>18672</v>
      </c>
    </row>
    <row r="2729" customFormat="false" ht="15" hidden="false" customHeight="false" outlineLevel="0" collapsed="false">
      <c r="A2729" s="0" t="n">
        <v>3924</v>
      </c>
      <c r="B2729" s="0" t="n">
        <v>22658</v>
      </c>
      <c r="C2729" s="0" t="s">
        <v>16065</v>
      </c>
      <c r="D2729" s="0" t="s">
        <v>5</v>
      </c>
      <c r="F2729" s="0" t="s">
        <v>16066</v>
      </c>
      <c r="G2729" s="0" t="s">
        <v>18672</v>
      </c>
    </row>
    <row r="2730" customFormat="false" ht="15" hidden="false" customHeight="false" outlineLevel="0" collapsed="false">
      <c r="A2730" s="0" t="n">
        <v>3932</v>
      </c>
      <c r="B2730" s="0" t="n">
        <v>22722</v>
      </c>
      <c r="C2730" s="0" t="s">
        <v>16093</v>
      </c>
      <c r="D2730" s="0" t="s">
        <v>5</v>
      </c>
      <c r="F2730" s="0" t="s">
        <v>16094</v>
      </c>
      <c r="G2730" s="0" t="s">
        <v>18672</v>
      </c>
    </row>
    <row r="2731" customFormat="false" ht="15" hidden="false" customHeight="false" outlineLevel="0" collapsed="false">
      <c r="A2731" s="0" t="n">
        <v>3933</v>
      </c>
      <c r="B2731" s="0" t="n">
        <v>22619</v>
      </c>
      <c r="C2731" s="0" t="s">
        <v>16097</v>
      </c>
      <c r="D2731" s="0" t="s">
        <v>5</v>
      </c>
      <c r="F2731" s="0" t="s">
        <v>16098</v>
      </c>
      <c r="G2731" s="0" t="s">
        <v>18672</v>
      </c>
    </row>
    <row r="2732" customFormat="false" ht="15" hidden="false" customHeight="false" outlineLevel="0" collapsed="false">
      <c r="A2732" s="0" t="n">
        <v>3949</v>
      </c>
      <c r="B2732" s="0" t="n">
        <v>22577</v>
      </c>
      <c r="C2732" s="0" t="s">
        <v>16153</v>
      </c>
      <c r="D2732" s="0" t="s">
        <v>5</v>
      </c>
      <c r="F2732" s="0" t="s">
        <v>16154</v>
      </c>
      <c r="G2732" s="0" t="s">
        <v>18672</v>
      </c>
    </row>
    <row r="2733" customFormat="false" ht="15" hidden="false" customHeight="false" outlineLevel="0" collapsed="false">
      <c r="A2733" s="0" t="n">
        <v>3950</v>
      </c>
      <c r="B2733" s="0" t="n">
        <v>22665</v>
      </c>
      <c r="C2733" s="0" t="s">
        <v>16157</v>
      </c>
      <c r="D2733" s="0" t="s">
        <v>5</v>
      </c>
      <c r="F2733" s="0" t="s">
        <v>16158</v>
      </c>
      <c r="G2733" s="0" t="s">
        <v>18672</v>
      </c>
    </row>
    <row r="2734" customFormat="false" ht="15" hidden="false" customHeight="false" outlineLevel="0" collapsed="false">
      <c r="A2734" s="0" t="n">
        <v>3952</v>
      </c>
      <c r="B2734" s="0" t="n">
        <v>22578</v>
      </c>
      <c r="C2734" s="0" t="s">
        <v>16165</v>
      </c>
      <c r="D2734" s="0" t="s">
        <v>5</v>
      </c>
      <c r="F2734" s="0" t="s">
        <v>16166</v>
      </c>
      <c r="G2734" s="0" t="s">
        <v>18672</v>
      </c>
    </row>
    <row r="2735" customFormat="false" ht="15" hidden="false" customHeight="false" outlineLevel="0" collapsed="false">
      <c r="A2735" s="0" t="n">
        <v>3953</v>
      </c>
      <c r="B2735" s="0" t="n">
        <v>22579</v>
      </c>
      <c r="C2735" s="0" t="s">
        <v>16169</v>
      </c>
      <c r="D2735" s="0" t="s">
        <v>5</v>
      </c>
      <c r="F2735" s="0" t="s">
        <v>16170</v>
      </c>
      <c r="G2735" s="0" t="s">
        <v>18672</v>
      </c>
    </row>
    <row r="2736" customFormat="false" ht="15" hidden="false" customHeight="false" outlineLevel="0" collapsed="false">
      <c r="A2736" s="0" t="n">
        <v>3954</v>
      </c>
      <c r="B2736" s="0" t="n">
        <v>22580</v>
      </c>
      <c r="C2736" s="0" t="s">
        <v>16173</v>
      </c>
      <c r="D2736" s="0" t="s">
        <v>5</v>
      </c>
      <c r="F2736" s="0" t="s">
        <v>16174</v>
      </c>
      <c r="G2736" s="0" t="s">
        <v>18672</v>
      </c>
    </row>
    <row r="2737" customFormat="false" ht="15" hidden="false" customHeight="false" outlineLevel="0" collapsed="false">
      <c r="A2737" s="0" t="n">
        <v>3955</v>
      </c>
      <c r="B2737" s="0" t="n">
        <v>22581</v>
      </c>
      <c r="C2737" s="0" t="s">
        <v>16177</v>
      </c>
      <c r="D2737" s="0" t="s">
        <v>5</v>
      </c>
      <c r="F2737" s="0" t="s">
        <v>16178</v>
      </c>
      <c r="G2737" s="0" t="s">
        <v>18672</v>
      </c>
    </row>
    <row r="2738" customFormat="false" ht="15" hidden="false" customHeight="false" outlineLevel="0" collapsed="false">
      <c r="A2738" s="0" t="n">
        <v>3956</v>
      </c>
      <c r="B2738" s="0" t="n">
        <v>22582</v>
      </c>
      <c r="C2738" s="0" t="s">
        <v>16181</v>
      </c>
      <c r="D2738" s="0" t="s">
        <v>5</v>
      </c>
      <c r="F2738" s="0" t="s">
        <v>16182</v>
      </c>
      <c r="G2738" s="0" t="s">
        <v>18672</v>
      </c>
    </row>
    <row r="2739" customFormat="false" ht="15" hidden="false" customHeight="false" outlineLevel="0" collapsed="false">
      <c r="A2739" s="0" t="n">
        <v>3957</v>
      </c>
      <c r="B2739" s="0" t="n">
        <v>22583</v>
      </c>
      <c r="C2739" s="0" t="s">
        <v>16185</v>
      </c>
      <c r="D2739" s="0" t="s">
        <v>5</v>
      </c>
      <c r="F2739" s="0" t="s">
        <v>16186</v>
      </c>
      <c r="G2739" s="0" t="s">
        <v>18672</v>
      </c>
    </row>
    <row r="2740" customFormat="false" ht="15" hidden="false" customHeight="false" outlineLevel="0" collapsed="false">
      <c r="A2740" s="0" t="n">
        <v>3958</v>
      </c>
      <c r="B2740" s="0" t="n">
        <v>22584</v>
      </c>
      <c r="C2740" s="0" t="s">
        <v>16189</v>
      </c>
      <c r="D2740" s="0" t="s">
        <v>5</v>
      </c>
      <c r="F2740" s="0" t="s">
        <v>16190</v>
      </c>
      <c r="G2740" s="0" t="s">
        <v>18672</v>
      </c>
    </row>
    <row r="2741" customFormat="false" ht="15" hidden="false" customHeight="false" outlineLevel="0" collapsed="false">
      <c r="A2741" s="0" t="n">
        <v>3960</v>
      </c>
      <c r="B2741" s="0" t="n">
        <v>22654</v>
      </c>
      <c r="C2741" s="0" t="s">
        <v>16196</v>
      </c>
      <c r="D2741" s="0" t="s">
        <v>5</v>
      </c>
      <c r="F2741" s="0" t="s">
        <v>16197</v>
      </c>
      <c r="G2741" s="0" t="s">
        <v>18672</v>
      </c>
    </row>
    <row r="2742" customFormat="false" ht="15" hidden="false" customHeight="false" outlineLevel="0" collapsed="false">
      <c r="A2742" s="0" t="n">
        <v>3961</v>
      </c>
      <c r="B2742" s="0" t="n">
        <v>22589</v>
      </c>
      <c r="C2742" s="0" t="s">
        <v>16200</v>
      </c>
      <c r="D2742" s="0" t="s">
        <v>5</v>
      </c>
      <c r="F2742" s="0" t="s">
        <v>16201</v>
      </c>
      <c r="G2742" s="0" t="s">
        <v>18672</v>
      </c>
    </row>
    <row r="2743" customFormat="false" ht="15" hidden="false" customHeight="false" outlineLevel="0" collapsed="false">
      <c r="A2743" s="0" t="n">
        <v>3962</v>
      </c>
      <c r="B2743" s="0" t="n">
        <v>22590</v>
      </c>
      <c r="C2743" s="0" t="s">
        <v>16204</v>
      </c>
      <c r="D2743" s="0" t="s">
        <v>5</v>
      </c>
      <c r="F2743" s="0" t="s">
        <v>16205</v>
      </c>
      <c r="G2743" s="0" t="s">
        <v>18672</v>
      </c>
    </row>
    <row r="2744" customFormat="false" ht="15" hidden="false" customHeight="false" outlineLevel="0" collapsed="false">
      <c r="A2744" s="0" t="n">
        <v>3969</v>
      </c>
      <c r="B2744" s="0" t="n">
        <v>23013</v>
      </c>
      <c r="C2744" s="0" t="s">
        <v>16235</v>
      </c>
      <c r="D2744" s="0" t="s">
        <v>5</v>
      </c>
      <c r="F2744" s="0" t="s">
        <v>16236</v>
      </c>
      <c r="G2744" s="0" t="s">
        <v>18672</v>
      </c>
    </row>
    <row r="2745" customFormat="false" ht="15" hidden="false" customHeight="false" outlineLevel="0" collapsed="false">
      <c r="A2745" s="0" t="n">
        <v>3974</v>
      </c>
      <c r="B2745" s="0" t="n">
        <v>22602</v>
      </c>
      <c r="C2745" s="0" t="s">
        <v>16257</v>
      </c>
      <c r="D2745" s="0" t="s">
        <v>5</v>
      </c>
      <c r="F2745" s="0" t="s">
        <v>16260</v>
      </c>
      <c r="G2745" s="0" t="s">
        <v>18672</v>
      </c>
    </row>
    <row r="2746" customFormat="false" ht="15" hidden="false" customHeight="false" outlineLevel="0" collapsed="false">
      <c r="A2746" s="0" t="n">
        <v>3975</v>
      </c>
      <c r="B2746" s="0" t="n">
        <v>22603</v>
      </c>
      <c r="C2746" s="0" t="s">
        <v>16265</v>
      </c>
      <c r="D2746" s="0" t="s">
        <v>5</v>
      </c>
      <c r="F2746" s="0" t="s">
        <v>16266</v>
      </c>
      <c r="G2746" s="0" t="s">
        <v>18672</v>
      </c>
    </row>
    <row r="2747" customFormat="false" ht="15" hidden="false" customHeight="false" outlineLevel="0" collapsed="false">
      <c r="A2747" s="0" t="n">
        <v>3976</v>
      </c>
      <c r="B2747" s="0" t="n">
        <v>22604</v>
      </c>
      <c r="C2747" s="0" t="s">
        <v>16269</v>
      </c>
      <c r="D2747" s="0" t="s">
        <v>5</v>
      </c>
      <c r="F2747" s="0" t="s">
        <v>16270</v>
      </c>
      <c r="G2747" s="0" t="s">
        <v>18672</v>
      </c>
    </row>
    <row r="2748" customFormat="false" ht="15" hidden="false" customHeight="false" outlineLevel="0" collapsed="false">
      <c r="A2748" s="0" t="n">
        <v>3977</v>
      </c>
      <c r="B2748" s="0" t="n">
        <v>22605</v>
      </c>
      <c r="C2748" s="0" t="s">
        <v>16273</v>
      </c>
      <c r="D2748" s="0" t="s">
        <v>5</v>
      </c>
      <c r="F2748" s="0" t="s">
        <v>16274</v>
      </c>
      <c r="G2748" s="0" t="s">
        <v>18672</v>
      </c>
    </row>
    <row r="2749" customFormat="false" ht="15" hidden="false" customHeight="false" outlineLevel="0" collapsed="false">
      <c r="A2749" s="0" t="n">
        <v>3978</v>
      </c>
      <c r="B2749" s="0" t="n">
        <v>22606</v>
      </c>
      <c r="C2749" s="0" t="s">
        <v>16278</v>
      </c>
      <c r="D2749" s="0" t="s">
        <v>5</v>
      </c>
      <c r="F2749" s="0" t="s">
        <v>16279</v>
      </c>
      <c r="G2749" s="0" t="s">
        <v>18672</v>
      </c>
    </row>
    <row r="2750" customFormat="false" ht="15" hidden="false" customHeight="false" outlineLevel="0" collapsed="false">
      <c r="A2750" s="0" t="n">
        <v>3979</v>
      </c>
      <c r="B2750" s="0" t="n">
        <v>22607</v>
      </c>
      <c r="C2750" s="0" t="s">
        <v>16283</v>
      </c>
      <c r="D2750" s="0" t="s">
        <v>5</v>
      </c>
      <c r="F2750" s="0" t="s">
        <v>16284</v>
      </c>
      <c r="G2750" s="0" t="s">
        <v>18672</v>
      </c>
    </row>
    <row r="2751" customFormat="false" ht="15" hidden="false" customHeight="false" outlineLevel="0" collapsed="false">
      <c r="A2751" s="0" t="n">
        <v>3980</v>
      </c>
      <c r="B2751" s="0" t="n">
        <v>22608</v>
      </c>
      <c r="C2751" s="0" t="s">
        <v>16288</v>
      </c>
      <c r="D2751" s="0" t="s">
        <v>5</v>
      </c>
      <c r="F2751" s="0" t="s">
        <v>16289</v>
      </c>
      <c r="G2751" s="0" t="s">
        <v>18672</v>
      </c>
    </row>
    <row r="2752" customFormat="false" ht="15" hidden="false" customHeight="false" outlineLevel="0" collapsed="false">
      <c r="A2752" s="0" t="n">
        <v>3981</v>
      </c>
      <c r="B2752" s="0" t="n">
        <v>22609</v>
      </c>
      <c r="C2752" s="0" t="s">
        <v>16292</v>
      </c>
      <c r="D2752" s="0" t="s">
        <v>5</v>
      </c>
      <c r="F2752" s="0" t="s">
        <v>16293</v>
      </c>
      <c r="G2752" s="0" t="s">
        <v>18672</v>
      </c>
    </row>
    <row r="2753" customFormat="false" ht="15" hidden="false" customHeight="false" outlineLevel="0" collapsed="false">
      <c r="A2753" s="0" t="n">
        <v>3982</v>
      </c>
      <c r="B2753" s="0" t="n">
        <v>22610</v>
      </c>
      <c r="C2753" s="0" t="s">
        <v>16296</v>
      </c>
      <c r="D2753" s="0" t="s">
        <v>5</v>
      </c>
      <c r="F2753" s="0" t="s">
        <v>16297</v>
      </c>
      <c r="G2753" s="0" t="s">
        <v>18672</v>
      </c>
    </row>
    <row r="2754" customFormat="false" ht="15" hidden="false" customHeight="false" outlineLevel="0" collapsed="false">
      <c r="A2754" s="0" t="n">
        <v>3983</v>
      </c>
      <c r="B2754" s="0" t="n">
        <v>22611</v>
      </c>
      <c r="C2754" s="0" t="s">
        <v>16300</v>
      </c>
      <c r="D2754" s="0" t="s">
        <v>5</v>
      </c>
      <c r="F2754" s="0" t="s">
        <v>16301</v>
      </c>
      <c r="G2754" s="0" t="s">
        <v>18672</v>
      </c>
    </row>
    <row r="2755" customFormat="false" ht="15" hidden="false" customHeight="false" outlineLevel="0" collapsed="false">
      <c r="A2755" s="0" t="n">
        <v>3984</v>
      </c>
      <c r="B2755" s="0" t="n">
        <v>22612</v>
      </c>
      <c r="C2755" s="0" t="s">
        <v>16304</v>
      </c>
      <c r="D2755" s="0" t="s">
        <v>5</v>
      </c>
      <c r="F2755" s="0" t="s">
        <v>16305</v>
      </c>
      <c r="G2755" s="0" t="s">
        <v>18672</v>
      </c>
    </row>
    <row r="2756" customFormat="false" ht="15" hidden="false" customHeight="false" outlineLevel="0" collapsed="false">
      <c r="A2756" s="0" t="n">
        <v>3987</v>
      </c>
      <c r="B2756" s="0" t="n">
        <v>22615</v>
      </c>
      <c r="C2756" s="0" t="s">
        <v>16317</v>
      </c>
      <c r="D2756" s="0" t="s">
        <v>5</v>
      </c>
      <c r="F2756" s="0" t="s">
        <v>16318</v>
      </c>
      <c r="G2756" s="0" t="s">
        <v>18672</v>
      </c>
    </row>
    <row r="2757" customFormat="false" ht="15" hidden="false" customHeight="false" outlineLevel="0" collapsed="false">
      <c r="A2757" s="0" t="n">
        <v>3988</v>
      </c>
      <c r="B2757" s="0" t="n">
        <v>22616</v>
      </c>
      <c r="C2757" s="0" t="s">
        <v>16323</v>
      </c>
      <c r="D2757" s="0" t="s">
        <v>5</v>
      </c>
      <c r="F2757" s="0" t="s">
        <v>16324</v>
      </c>
      <c r="G2757" s="0" t="s">
        <v>18672</v>
      </c>
    </row>
    <row r="2758" customFormat="false" ht="15" hidden="false" customHeight="false" outlineLevel="0" collapsed="false">
      <c r="A2758" s="0" t="n">
        <v>3989</v>
      </c>
      <c r="B2758" s="0" t="n">
        <v>22585</v>
      </c>
      <c r="C2758" s="0" t="s">
        <v>16328</v>
      </c>
      <c r="D2758" s="0" t="s">
        <v>5</v>
      </c>
      <c r="F2758" s="0" t="s">
        <v>16329</v>
      </c>
      <c r="G2758" s="0" t="s">
        <v>18672</v>
      </c>
    </row>
    <row r="2759" customFormat="false" ht="15" hidden="false" customHeight="false" outlineLevel="0" collapsed="false">
      <c r="A2759" s="0" t="n">
        <v>3990</v>
      </c>
      <c r="B2759" s="0" t="n">
        <v>22586</v>
      </c>
      <c r="C2759" s="0" t="s">
        <v>16332</v>
      </c>
      <c r="D2759" s="0" t="s">
        <v>5</v>
      </c>
      <c r="F2759" s="0" t="s">
        <v>16333</v>
      </c>
      <c r="G2759" s="0" t="s">
        <v>18672</v>
      </c>
    </row>
    <row r="2760" customFormat="false" ht="15" hidden="false" customHeight="false" outlineLevel="0" collapsed="false">
      <c r="A2760" s="0" t="n">
        <v>3992</v>
      </c>
      <c r="B2760" s="0" t="n">
        <v>22587</v>
      </c>
      <c r="C2760" s="0" t="s">
        <v>16340</v>
      </c>
      <c r="D2760" s="0" t="s">
        <v>5</v>
      </c>
      <c r="F2760" s="0" t="s">
        <v>16341</v>
      </c>
      <c r="G2760" s="0" t="s">
        <v>18672</v>
      </c>
    </row>
    <row r="2761" customFormat="false" ht="15" hidden="false" customHeight="false" outlineLevel="0" collapsed="false">
      <c r="A2761" s="0" t="n">
        <v>3993</v>
      </c>
      <c r="B2761" s="0" t="n">
        <v>22621</v>
      </c>
      <c r="C2761" s="0" t="s">
        <v>16344</v>
      </c>
      <c r="D2761" s="0" t="s">
        <v>5</v>
      </c>
      <c r="F2761" s="0" t="s">
        <v>16345</v>
      </c>
      <c r="G2761" s="0" t="s">
        <v>18672</v>
      </c>
    </row>
    <row r="2762" customFormat="false" ht="15" hidden="false" customHeight="false" outlineLevel="0" collapsed="false">
      <c r="A2762" s="0" t="n">
        <v>3994</v>
      </c>
      <c r="B2762" s="0" t="n">
        <v>22622</v>
      </c>
      <c r="C2762" s="0" t="s">
        <v>16348</v>
      </c>
      <c r="D2762" s="0" t="s">
        <v>5</v>
      </c>
      <c r="F2762" s="0" t="s">
        <v>16349</v>
      </c>
      <c r="G2762" s="0" t="s">
        <v>18672</v>
      </c>
    </row>
    <row r="2763" customFormat="false" ht="15" hidden="false" customHeight="false" outlineLevel="0" collapsed="false">
      <c r="A2763" s="0" t="n">
        <v>3995</v>
      </c>
      <c r="B2763" s="0" t="n">
        <v>22623</v>
      </c>
      <c r="C2763" s="0" t="s">
        <v>16352</v>
      </c>
      <c r="D2763" s="0" t="s">
        <v>5</v>
      </c>
      <c r="F2763" s="0" t="s">
        <v>16353</v>
      </c>
      <c r="G2763" s="0" t="s">
        <v>18672</v>
      </c>
    </row>
    <row r="2764" customFormat="false" ht="15" hidden="false" customHeight="false" outlineLevel="0" collapsed="false">
      <c r="A2764" s="0" t="n">
        <v>3996</v>
      </c>
      <c r="B2764" s="0" t="n">
        <v>22624</v>
      </c>
      <c r="C2764" s="0" t="s">
        <v>16356</v>
      </c>
      <c r="D2764" s="0" t="s">
        <v>5</v>
      </c>
      <c r="F2764" s="0" t="s">
        <v>16357</v>
      </c>
      <c r="G2764" s="0" t="s">
        <v>18672</v>
      </c>
    </row>
    <row r="2765" customFormat="false" ht="15" hidden="false" customHeight="false" outlineLevel="0" collapsed="false">
      <c r="A2765" s="0" t="n">
        <v>3997</v>
      </c>
      <c r="B2765" s="0" t="n">
        <v>22625</v>
      </c>
      <c r="C2765" s="0" t="s">
        <v>16361</v>
      </c>
      <c r="D2765" s="0" t="s">
        <v>5</v>
      </c>
      <c r="F2765" s="0" t="s">
        <v>16362</v>
      </c>
      <c r="G2765" s="0" t="s">
        <v>18672</v>
      </c>
    </row>
    <row r="2766" customFormat="false" ht="15" hidden="false" customHeight="false" outlineLevel="0" collapsed="false">
      <c r="A2766" s="0" t="n">
        <v>3998</v>
      </c>
      <c r="B2766" s="0" t="n">
        <v>22626</v>
      </c>
      <c r="C2766" s="0" t="s">
        <v>16366</v>
      </c>
      <c r="D2766" s="0" t="s">
        <v>5</v>
      </c>
      <c r="F2766" s="0" t="s">
        <v>16367</v>
      </c>
      <c r="G2766" s="0" t="s">
        <v>18672</v>
      </c>
    </row>
    <row r="2767" customFormat="false" ht="15" hidden="false" customHeight="false" outlineLevel="0" collapsed="false">
      <c r="A2767" s="0" t="n">
        <v>4000</v>
      </c>
      <c r="B2767" s="0" t="n">
        <v>22628</v>
      </c>
      <c r="C2767" s="0" t="s">
        <v>16375</v>
      </c>
      <c r="D2767" s="0" t="s">
        <v>5</v>
      </c>
      <c r="F2767" s="0" t="s">
        <v>16376</v>
      </c>
      <c r="G2767" s="0" t="s">
        <v>18672</v>
      </c>
    </row>
    <row r="2768" customFormat="false" ht="15" hidden="false" customHeight="false" outlineLevel="0" collapsed="false">
      <c r="A2768" s="0" t="n">
        <v>4001</v>
      </c>
      <c r="B2768" s="0" t="n">
        <v>22588</v>
      </c>
      <c r="C2768" s="0" t="s">
        <v>16380</v>
      </c>
      <c r="D2768" s="0" t="s">
        <v>5</v>
      </c>
      <c r="F2768" s="0" t="s">
        <v>16381</v>
      </c>
      <c r="G2768" s="0" t="s">
        <v>18672</v>
      </c>
    </row>
    <row r="2769" customFormat="false" ht="15" hidden="false" customHeight="false" outlineLevel="0" collapsed="false">
      <c r="A2769" s="0" t="n">
        <v>4002</v>
      </c>
      <c r="B2769" s="0" t="n">
        <v>22630</v>
      </c>
      <c r="C2769" s="0" t="s">
        <v>16384</v>
      </c>
      <c r="D2769" s="0" t="s">
        <v>5</v>
      </c>
      <c r="F2769" s="0" t="s">
        <v>16385</v>
      </c>
      <c r="G2769" s="0" t="s">
        <v>18672</v>
      </c>
    </row>
    <row r="2770" customFormat="false" ht="15" hidden="false" customHeight="false" outlineLevel="0" collapsed="false">
      <c r="A2770" s="0" t="n">
        <v>4003</v>
      </c>
      <c r="B2770" s="0" t="n">
        <v>22631</v>
      </c>
      <c r="C2770" s="0" t="s">
        <v>16388</v>
      </c>
      <c r="D2770" s="0" t="s">
        <v>5</v>
      </c>
      <c r="F2770" s="0" t="s">
        <v>16389</v>
      </c>
      <c r="G2770" s="0" t="s">
        <v>18672</v>
      </c>
    </row>
    <row r="2771" customFormat="false" ht="15" hidden="false" customHeight="false" outlineLevel="0" collapsed="false">
      <c r="A2771" s="0" t="n">
        <v>4004</v>
      </c>
      <c r="B2771" s="0" t="n">
        <v>22632</v>
      </c>
      <c r="C2771" s="0" t="s">
        <v>16393</v>
      </c>
      <c r="D2771" s="0" t="s">
        <v>5</v>
      </c>
      <c r="F2771" s="0" t="s">
        <v>16394</v>
      </c>
      <c r="G2771" s="0" t="s">
        <v>18672</v>
      </c>
    </row>
    <row r="2772" customFormat="false" ht="15" hidden="false" customHeight="false" outlineLevel="0" collapsed="false">
      <c r="A2772" s="0" t="n">
        <v>4005</v>
      </c>
      <c r="B2772" s="0" t="n">
        <v>22633</v>
      </c>
      <c r="C2772" s="0" t="s">
        <v>16398</v>
      </c>
      <c r="D2772" s="0" t="s">
        <v>5</v>
      </c>
      <c r="F2772" s="0" t="s">
        <v>16399</v>
      </c>
      <c r="G2772" s="0" t="s">
        <v>18672</v>
      </c>
    </row>
    <row r="2773" customFormat="false" ht="15" hidden="false" customHeight="false" outlineLevel="0" collapsed="false">
      <c r="A2773" s="0" t="n">
        <v>4006</v>
      </c>
      <c r="B2773" s="0" t="n">
        <v>22634</v>
      </c>
      <c r="C2773" s="0" t="s">
        <v>16403</v>
      </c>
      <c r="D2773" s="0" t="s">
        <v>5</v>
      </c>
      <c r="F2773" s="0" t="s">
        <v>16404</v>
      </c>
      <c r="G2773" s="0" t="s">
        <v>18672</v>
      </c>
    </row>
    <row r="2774" customFormat="false" ht="15" hidden="false" customHeight="false" outlineLevel="0" collapsed="false">
      <c r="A2774" s="0" t="n">
        <v>4007</v>
      </c>
      <c r="B2774" s="0" t="n">
        <v>22635</v>
      </c>
      <c r="C2774" s="0" t="s">
        <v>16407</v>
      </c>
      <c r="D2774" s="0" t="s">
        <v>5</v>
      </c>
      <c r="F2774" s="0" t="s">
        <v>16408</v>
      </c>
      <c r="G2774" s="0" t="s">
        <v>18672</v>
      </c>
    </row>
    <row r="2775" customFormat="false" ht="15" hidden="false" customHeight="false" outlineLevel="0" collapsed="false">
      <c r="A2775" s="0" t="n">
        <v>4008</v>
      </c>
      <c r="B2775" s="0" t="n">
        <v>22636</v>
      </c>
      <c r="C2775" s="0" t="s">
        <v>16411</v>
      </c>
      <c r="D2775" s="0" t="s">
        <v>5</v>
      </c>
      <c r="F2775" s="0" t="s">
        <v>16412</v>
      </c>
      <c r="G2775" s="0" t="s">
        <v>18672</v>
      </c>
    </row>
    <row r="2776" customFormat="false" ht="15" hidden="false" customHeight="false" outlineLevel="0" collapsed="false">
      <c r="A2776" s="0" t="n">
        <v>4009</v>
      </c>
      <c r="B2776" s="0" t="n">
        <v>22637</v>
      </c>
      <c r="C2776" s="0" t="s">
        <v>16415</v>
      </c>
      <c r="D2776" s="0" t="s">
        <v>5</v>
      </c>
      <c r="F2776" s="0" t="s">
        <v>16416</v>
      </c>
      <c r="G2776" s="0" t="s">
        <v>18672</v>
      </c>
    </row>
    <row r="2777" customFormat="false" ht="15" hidden="false" customHeight="false" outlineLevel="0" collapsed="false">
      <c r="A2777" s="0" t="n">
        <v>4010</v>
      </c>
      <c r="B2777" s="0" t="n">
        <v>22638</v>
      </c>
      <c r="C2777" s="0" t="s">
        <v>16419</v>
      </c>
      <c r="D2777" s="0" t="s">
        <v>5</v>
      </c>
      <c r="F2777" s="0" t="s">
        <v>16420</v>
      </c>
      <c r="G2777" s="0" t="s">
        <v>18672</v>
      </c>
    </row>
    <row r="2778" customFormat="false" ht="15" hidden="false" customHeight="false" outlineLevel="0" collapsed="false">
      <c r="A2778" s="0" t="n">
        <v>4011</v>
      </c>
      <c r="B2778" s="0" t="n">
        <v>22639</v>
      </c>
      <c r="C2778" s="0" t="s">
        <v>16425</v>
      </c>
      <c r="D2778" s="0" t="s">
        <v>5</v>
      </c>
      <c r="F2778" s="0" t="s">
        <v>16426</v>
      </c>
      <c r="G2778" s="0" t="s">
        <v>18672</v>
      </c>
    </row>
    <row r="2779" customFormat="false" ht="15" hidden="false" customHeight="false" outlineLevel="0" collapsed="false">
      <c r="A2779" s="0" t="n">
        <v>4012</v>
      </c>
      <c r="B2779" s="0" t="n">
        <v>22640</v>
      </c>
      <c r="C2779" s="0" t="s">
        <v>16429</v>
      </c>
      <c r="D2779" s="0" t="s">
        <v>5</v>
      </c>
      <c r="F2779" s="0" t="s">
        <v>16430</v>
      </c>
      <c r="G2779" s="0" t="s">
        <v>18672</v>
      </c>
    </row>
    <row r="2780" customFormat="false" ht="15" hidden="false" customHeight="false" outlineLevel="0" collapsed="false">
      <c r="A2780" s="0" t="n">
        <v>4013</v>
      </c>
      <c r="B2780" s="0" t="n">
        <v>22641</v>
      </c>
      <c r="C2780" s="0" t="s">
        <v>16433</v>
      </c>
      <c r="D2780" s="0" t="s">
        <v>5</v>
      </c>
      <c r="F2780" s="0" t="s">
        <v>16434</v>
      </c>
      <c r="G2780" s="0" t="s">
        <v>18672</v>
      </c>
    </row>
    <row r="2781" customFormat="false" ht="15" hidden="false" customHeight="false" outlineLevel="0" collapsed="false">
      <c r="A2781" s="0" t="n">
        <v>4014</v>
      </c>
      <c r="B2781" s="0" t="n">
        <v>22642</v>
      </c>
      <c r="C2781" s="0" t="s">
        <v>16438</v>
      </c>
      <c r="D2781" s="0" t="s">
        <v>5</v>
      </c>
      <c r="F2781" s="0" t="s">
        <v>16439</v>
      </c>
      <c r="G2781" s="0" t="s">
        <v>18672</v>
      </c>
    </row>
    <row r="2782" customFormat="false" ht="15" hidden="false" customHeight="false" outlineLevel="0" collapsed="false">
      <c r="A2782" s="0" t="n">
        <v>4015</v>
      </c>
      <c r="B2782" s="0" t="n">
        <v>22644</v>
      </c>
      <c r="C2782" s="0" t="s">
        <v>16442</v>
      </c>
      <c r="D2782" s="0" t="s">
        <v>5</v>
      </c>
      <c r="F2782" s="0" t="s">
        <v>16443</v>
      </c>
      <c r="G2782" s="0" t="s">
        <v>18672</v>
      </c>
    </row>
    <row r="2783" customFormat="false" ht="15" hidden="false" customHeight="false" outlineLevel="0" collapsed="false">
      <c r="A2783" s="0" t="n">
        <v>4016</v>
      </c>
      <c r="B2783" s="0" t="n">
        <v>22645</v>
      </c>
      <c r="C2783" s="0" t="s">
        <v>16447</v>
      </c>
      <c r="D2783" s="0" t="s">
        <v>5</v>
      </c>
      <c r="F2783" s="0" t="s">
        <v>16448</v>
      </c>
      <c r="G2783" s="0" t="s">
        <v>18672</v>
      </c>
    </row>
    <row r="2784" customFormat="false" ht="15" hidden="false" customHeight="false" outlineLevel="0" collapsed="false">
      <c r="A2784" s="0" t="n">
        <v>4017</v>
      </c>
      <c r="B2784" s="0" t="n">
        <v>22646</v>
      </c>
      <c r="C2784" s="0" t="s">
        <v>16452</v>
      </c>
      <c r="D2784" s="0" t="s">
        <v>5</v>
      </c>
      <c r="F2784" s="0" t="s">
        <v>16453</v>
      </c>
      <c r="G2784" s="0" t="s">
        <v>18672</v>
      </c>
    </row>
    <row r="2785" customFormat="false" ht="15" hidden="false" customHeight="false" outlineLevel="0" collapsed="false">
      <c r="A2785" s="0" t="n">
        <v>4018</v>
      </c>
      <c r="B2785" s="0" t="n">
        <v>22647</v>
      </c>
      <c r="C2785" s="0" t="s">
        <v>16456</v>
      </c>
      <c r="D2785" s="0" t="s">
        <v>5</v>
      </c>
      <c r="F2785" s="0" t="s">
        <v>16457</v>
      </c>
      <c r="G2785" s="0" t="s">
        <v>18672</v>
      </c>
    </row>
    <row r="2786" customFormat="false" ht="15" hidden="false" customHeight="false" outlineLevel="0" collapsed="false">
      <c r="A2786" s="0" t="n">
        <v>4019</v>
      </c>
      <c r="B2786" s="0" t="n">
        <v>22648</v>
      </c>
      <c r="C2786" s="0" t="s">
        <v>16460</v>
      </c>
      <c r="D2786" s="0" t="s">
        <v>5</v>
      </c>
      <c r="F2786" s="0" t="s">
        <v>16461</v>
      </c>
      <c r="G2786" s="0" t="s">
        <v>18672</v>
      </c>
    </row>
    <row r="2787" customFormat="false" ht="15" hidden="false" customHeight="false" outlineLevel="0" collapsed="false">
      <c r="A2787" s="0" t="n">
        <v>4020</v>
      </c>
      <c r="B2787" s="0" t="n">
        <v>22649</v>
      </c>
      <c r="C2787" s="0" t="s">
        <v>16464</v>
      </c>
      <c r="D2787" s="0" t="s">
        <v>5</v>
      </c>
      <c r="F2787" s="0" t="s">
        <v>16465</v>
      </c>
      <c r="G2787" s="0" t="s">
        <v>18672</v>
      </c>
    </row>
    <row r="2788" customFormat="false" ht="15" hidden="false" customHeight="false" outlineLevel="0" collapsed="false">
      <c r="A2788" s="0" t="n">
        <v>4021</v>
      </c>
      <c r="B2788" s="0" t="n">
        <v>22650</v>
      </c>
      <c r="C2788" s="0" t="s">
        <v>16468</v>
      </c>
      <c r="D2788" s="0" t="s">
        <v>5</v>
      </c>
      <c r="F2788" s="0" t="s">
        <v>16469</v>
      </c>
      <c r="G2788" s="0" t="s">
        <v>18672</v>
      </c>
    </row>
    <row r="2789" customFormat="false" ht="15" hidden="false" customHeight="false" outlineLevel="0" collapsed="false">
      <c r="A2789" s="0" t="n">
        <v>4022</v>
      </c>
      <c r="B2789" s="0" t="n">
        <v>22666</v>
      </c>
      <c r="C2789" s="0" t="s">
        <v>16472</v>
      </c>
      <c r="D2789" s="0" t="s">
        <v>5</v>
      </c>
      <c r="F2789" s="0" t="s">
        <v>16473</v>
      </c>
      <c r="G2789" s="0" t="s">
        <v>18672</v>
      </c>
    </row>
    <row r="2790" customFormat="false" ht="15" hidden="false" customHeight="false" outlineLevel="0" collapsed="false">
      <c r="A2790" s="0" t="n">
        <v>4025</v>
      </c>
      <c r="B2790" s="0" t="n">
        <v>22653</v>
      </c>
      <c r="C2790" s="0" t="s">
        <v>16485</v>
      </c>
      <c r="D2790" s="0" t="s">
        <v>5</v>
      </c>
      <c r="F2790" s="0" t="s">
        <v>16486</v>
      </c>
      <c r="G2790" s="0" t="s">
        <v>18672</v>
      </c>
    </row>
    <row r="2791" customFormat="false" ht="15" hidden="false" customHeight="false" outlineLevel="0" collapsed="false">
      <c r="A2791" s="0" t="n">
        <v>4027</v>
      </c>
      <c r="B2791" s="0" t="n">
        <v>22656</v>
      </c>
      <c r="C2791" s="0" t="s">
        <v>16493</v>
      </c>
      <c r="D2791" s="0" t="s">
        <v>5</v>
      </c>
      <c r="F2791" s="0" t="s">
        <v>16494</v>
      </c>
      <c r="G2791" s="0" t="s">
        <v>18672</v>
      </c>
    </row>
    <row r="2792" customFormat="false" ht="15" hidden="false" customHeight="false" outlineLevel="0" collapsed="false">
      <c r="A2792" s="0" t="n">
        <v>4028</v>
      </c>
      <c r="B2792" s="0" t="n">
        <v>22629</v>
      </c>
      <c r="C2792" s="0" t="s">
        <v>16497</v>
      </c>
      <c r="D2792" s="0" t="s">
        <v>5</v>
      </c>
      <c r="F2792" s="0" t="s">
        <v>16498</v>
      </c>
      <c r="G2792" s="0" t="s">
        <v>18672</v>
      </c>
    </row>
    <row r="2793" customFormat="false" ht="15" hidden="false" customHeight="false" outlineLevel="0" collapsed="false">
      <c r="A2793" s="0" t="n">
        <v>4030</v>
      </c>
      <c r="B2793" s="0" t="n">
        <v>22651</v>
      </c>
      <c r="C2793" s="0" t="s">
        <v>16504</v>
      </c>
      <c r="D2793" s="0" t="s">
        <v>5</v>
      </c>
      <c r="F2793" s="0" t="s">
        <v>16505</v>
      </c>
      <c r="G2793" s="0" t="s">
        <v>18672</v>
      </c>
    </row>
    <row r="2794" customFormat="false" ht="15" hidden="false" customHeight="false" outlineLevel="0" collapsed="false">
      <c r="A2794" s="0" t="n">
        <v>4034</v>
      </c>
      <c r="B2794" s="0" t="n">
        <v>22663</v>
      </c>
      <c r="C2794" s="0" t="s">
        <v>16520</v>
      </c>
      <c r="D2794" s="0" t="s">
        <v>5</v>
      </c>
      <c r="F2794" s="0" t="s">
        <v>16521</v>
      </c>
      <c r="G2794" s="0" t="s">
        <v>18672</v>
      </c>
    </row>
    <row r="2795" customFormat="false" ht="15" hidden="false" customHeight="false" outlineLevel="0" collapsed="false">
      <c r="A2795" s="0" t="n">
        <v>4035</v>
      </c>
      <c r="B2795" s="0" t="n">
        <v>22664</v>
      </c>
      <c r="C2795" s="0" t="s">
        <v>16525</v>
      </c>
      <c r="D2795" s="0" t="s">
        <v>5</v>
      </c>
      <c r="F2795" s="0" t="s">
        <v>16526</v>
      </c>
      <c r="G2795" s="0" t="s">
        <v>18672</v>
      </c>
    </row>
    <row r="2796" customFormat="false" ht="15" hidden="false" customHeight="false" outlineLevel="0" collapsed="false">
      <c r="A2796" s="0" t="n">
        <v>4036</v>
      </c>
      <c r="B2796" s="0" t="n">
        <v>22655</v>
      </c>
      <c r="C2796" s="0" t="s">
        <v>16530</v>
      </c>
      <c r="D2796" s="0" t="s">
        <v>5</v>
      </c>
      <c r="F2796" s="0" t="s">
        <v>16531</v>
      </c>
      <c r="G2796" s="0" t="s">
        <v>18672</v>
      </c>
    </row>
    <row r="2797" customFormat="false" ht="15" hidden="false" customHeight="false" outlineLevel="0" collapsed="false">
      <c r="A2797" s="0" t="n">
        <v>4038</v>
      </c>
      <c r="B2797" s="0" t="n">
        <v>22620</v>
      </c>
      <c r="C2797" s="0" t="s">
        <v>16538</v>
      </c>
      <c r="D2797" s="0" t="s">
        <v>5</v>
      </c>
      <c r="F2797" s="0" t="s">
        <v>16539</v>
      </c>
      <c r="G2797" s="0" t="s">
        <v>18672</v>
      </c>
    </row>
    <row r="2798" customFormat="false" ht="15" hidden="false" customHeight="false" outlineLevel="0" collapsed="false">
      <c r="A2798" s="0" t="n">
        <v>4039</v>
      </c>
      <c r="B2798" s="0" t="n">
        <v>22627</v>
      </c>
      <c r="C2798" s="0" t="s">
        <v>16542</v>
      </c>
      <c r="D2798" s="0" t="s">
        <v>5</v>
      </c>
      <c r="F2798" s="0" t="s">
        <v>16543</v>
      </c>
      <c r="G2798" s="0" t="s">
        <v>18672</v>
      </c>
    </row>
    <row r="2799" customFormat="false" ht="15" hidden="false" customHeight="false" outlineLevel="0" collapsed="false">
      <c r="A2799" s="0" t="n">
        <v>4040</v>
      </c>
      <c r="B2799" s="0" t="n">
        <v>22667</v>
      </c>
      <c r="C2799" s="0" t="s">
        <v>16546</v>
      </c>
      <c r="D2799" s="0" t="s">
        <v>5</v>
      </c>
      <c r="F2799" s="0" t="s">
        <v>16547</v>
      </c>
      <c r="G2799" s="0" t="s">
        <v>18672</v>
      </c>
    </row>
    <row r="2800" customFormat="false" ht="15" hidden="false" customHeight="false" outlineLevel="0" collapsed="false">
      <c r="A2800" s="0" t="n">
        <v>4041</v>
      </c>
      <c r="B2800" s="0" t="n">
        <v>22670</v>
      </c>
      <c r="C2800" s="0" t="s">
        <v>16550</v>
      </c>
      <c r="D2800" s="0" t="s">
        <v>5</v>
      </c>
      <c r="F2800" s="0" t="s">
        <v>16551</v>
      </c>
      <c r="G2800" s="0" t="s">
        <v>18672</v>
      </c>
    </row>
    <row r="2801" customFormat="false" ht="15" hidden="false" customHeight="false" outlineLevel="0" collapsed="false">
      <c r="A2801" s="0" t="n">
        <v>4042</v>
      </c>
      <c r="B2801" s="0" t="n">
        <v>22671</v>
      </c>
      <c r="C2801" s="0" t="s">
        <v>16554</v>
      </c>
      <c r="D2801" s="0" t="s">
        <v>5</v>
      </c>
      <c r="F2801" s="0" t="s">
        <v>16555</v>
      </c>
      <c r="G2801" s="0" t="s">
        <v>18672</v>
      </c>
    </row>
    <row r="2802" customFormat="false" ht="15" hidden="false" customHeight="false" outlineLevel="0" collapsed="false">
      <c r="A2802" s="0" t="n">
        <v>4043</v>
      </c>
      <c r="B2802" s="0" t="n">
        <v>22672</v>
      </c>
      <c r="C2802" s="0" t="s">
        <v>16559</v>
      </c>
      <c r="D2802" s="0" t="s">
        <v>5</v>
      </c>
      <c r="F2802" s="0" t="s">
        <v>16560</v>
      </c>
      <c r="G2802" s="0" t="s">
        <v>18672</v>
      </c>
    </row>
    <row r="2803" customFormat="false" ht="15" hidden="false" customHeight="false" outlineLevel="0" collapsed="false">
      <c r="A2803" s="0" t="n">
        <v>4044</v>
      </c>
      <c r="B2803" s="0" t="n">
        <v>22673</v>
      </c>
      <c r="C2803" s="0" t="s">
        <v>16564</v>
      </c>
      <c r="D2803" s="0" t="s">
        <v>5</v>
      </c>
      <c r="F2803" s="0" t="s">
        <v>16565</v>
      </c>
      <c r="G2803" s="0" t="s">
        <v>18672</v>
      </c>
    </row>
    <row r="2804" customFormat="false" ht="15" hidden="false" customHeight="false" outlineLevel="0" collapsed="false">
      <c r="A2804" s="0" t="n">
        <v>4045</v>
      </c>
      <c r="B2804" s="0" t="n">
        <v>22674</v>
      </c>
      <c r="C2804" s="0" t="s">
        <v>16568</v>
      </c>
      <c r="D2804" s="0" t="s">
        <v>5</v>
      </c>
      <c r="F2804" s="0" t="s">
        <v>16569</v>
      </c>
      <c r="G2804" s="0" t="s">
        <v>18672</v>
      </c>
    </row>
    <row r="2805" customFormat="false" ht="15" hidden="false" customHeight="false" outlineLevel="0" collapsed="false">
      <c r="A2805" s="0" t="n">
        <v>4047</v>
      </c>
      <c r="B2805" s="0" t="n">
        <v>22676</v>
      </c>
      <c r="C2805" s="0" t="s">
        <v>16576</v>
      </c>
      <c r="D2805" s="0" t="s">
        <v>5</v>
      </c>
      <c r="F2805" s="0" t="s">
        <v>16577</v>
      </c>
      <c r="G2805" s="0" t="s">
        <v>18672</v>
      </c>
    </row>
    <row r="2806" customFormat="false" ht="15" hidden="false" customHeight="false" outlineLevel="0" collapsed="false">
      <c r="A2806" s="0" t="n">
        <v>4048</v>
      </c>
      <c r="B2806" s="0" t="n">
        <v>22677</v>
      </c>
      <c r="C2806" s="0" t="s">
        <v>16580</v>
      </c>
      <c r="D2806" s="0" t="s">
        <v>5</v>
      </c>
      <c r="F2806" s="0" t="s">
        <v>16581</v>
      </c>
      <c r="G2806" s="0" t="s">
        <v>18672</v>
      </c>
    </row>
    <row r="2807" customFormat="false" ht="15" hidden="false" customHeight="false" outlineLevel="0" collapsed="false">
      <c r="A2807" s="0" t="n">
        <v>4058</v>
      </c>
      <c r="B2807" s="0" t="n">
        <v>22841</v>
      </c>
      <c r="C2807" s="0" t="s">
        <v>16620</v>
      </c>
      <c r="D2807" s="0" t="s">
        <v>5</v>
      </c>
      <c r="F2807" s="0" t="s">
        <v>16621</v>
      </c>
      <c r="G2807" s="0" t="s">
        <v>18672</v>
      </c>
    </row>
    <row r="2808" customFormat="false" ht="15" hidden="false" customHeight="false" outlineLevel="0" collapsed="false">
      <c r="A2808" s="0" t="n">
        <v>4061</v>
      </c>
      <c r="B2808" s="0" t="n">
        <v>22848</v>
      </c>
      <c r="C2808" s="0" t="s">
        <v>16632</v>
      </c>
      <c r="D2808" s="0" t="s">
        <v>5</v>
      </c>
      <c r="F2808" s="0" t="s">
        <v>16633</v>
      </c>
      <c r="G2808" s="0" t="s">
        <v>18672</v>
      </c>
    </row>
    <row r="2809" customFormat="false" ht="15" hidden="false" customHeight="false" outlineLevel="0" collapsed="false">
      <c r="A2809" s="0" t="n">
        <v>4062</v>
      </c>
      <c r="B2809" s="0" t="n">
        <v>22425</v>
      </c>
      <c r="C2809" s="0" t="s">
        <v>16636</v>
      </c>
      <c r="D2809" s="0" t="s">
        <v>5</v>
      </c>
      <c r="F2809" s="0" t="s">
        <v>16637</v>
      </c>
      <c r="G2809" s="0" t="s">
        <v>18672</v>
      </c>
    </row>
    <row r="2810" customFormat="false" ht="15" hidden="false" customHeight="false" outlineLevel="0" collapsed="false">
      <c r="A2810" s="0" t="n">
        <v>4064</v>
      </c>
      <c r="B2810" s="0" t="n">
        <v>22989</v>
      </c>
      <c r="C2810" s="0" t="s">
        <v>16644</v>
      </c>
      <c r="D2810" s="0" t="s">
        <v>5</v>
      </c>
      <c r="F2810" s="0" t="s">
        <v>16645</v>
      </c>
      <c r="G2810" s="0" t="s">
        <v>18672</v>
      </c>
    </row>
    <row r="2811" customFormat="false" ht="15" hidden="false" customHeight="false" outlineLevel="0" collapsed="false">
      <c r="A2811" s="0" t="n">
        <v>4065</v>
      </c>
      <c r="B2811" s="0" t="n">
        <v>22990</v>
      </c>
      <c r="C2811" s="0" t="s">
        <v>16648</v>
      </c>
      <c r="D2811" s="0" t="s">
        <v>5</v>
      </c>
      <c r="F2811" s="0" t="s">
        <v>16649</v>
      </c>
      <c r="G2811" s="0" t="s">
        <v>18672</v>
      </c>
    </row>
    <row r="2812" customFormat="false" ht="15" hidden="false" customHeight="false" outlineLevel="0" collapsed="false">
      <c r="A2812" s="0" t="n">
        <v>4070</v>
      </c>
      <c r="B2812" s="0" t="n">
        <v>22991</v>
      </c>
      <c r="C2812" s="0" t="s">
        <v>16668</v>
      </c>
      <c r="D2812" s="0" t="s">
        <v>5</v>
      </c>
      <c r="F2812" s="0" t="s">
        <v>16669</v>
      </c>
      <c r="G2812" s="0" t="s">
        <v>18672</v>
      </c>
    </row>
    <row r="2813" customFormat="false" ht="15" hidden="false" customHeight="false" outlineLevel="0" collapsed="false">
      <c r="A2813" s="0" t="n">
        <v>4073</v>
      </c>
      <c r="B2813" s="0" t="n">
        <v>22837</v>
      </c>
      <c r="C2813" s="0" t="s">
        <v>16680</v>
      </c>
      <c r="D2813" s="0" t="s">
        <v>5</v>
      </c>
      <c r="F2813" s="0" t="s">
        <v>16681</v>
      </c>
      <c r="G2813" s="0" t="s">
        <v>18672</v>
      </c>
    </row>
    <row r="2814" customFormat="false" ht="15" hidden="false" customHeight="false" outlineLevel="0" collapsed="false">
      <c r="A2814" s="0" t="n">
        <v>4075</v>
      </c>
      <c r="B2814" s="0" t="n">
        <v>22853</v>
      </c>
      <c r="C2814" s="0" t="s">
        <v>16688</v>
      </c>
      <c r="D2814" s="0" t="s">
        <v>5</v>
      </c>
      <c r="F2814" s="0" t="s">
        <v>16689</v>
      </c>
      <c r="G2814" s="0" t="s">
        <v>18672</v>
      </c>
    </row>
    <row r="2815" customFormat="false" ht="15" hidden="false" customHeight="false" outlineLevel="0" collapsed="false">
      <c r="A2815" s="0" t="n">
        <v>4076</v>
      </c>
      <c r="B2815" s="0" t="n">
        <v>22992</v>
      </c>
      <c r="C2815" s="0" t="s">
        <v>16692</v>
      </c>
      <c r="D2815" s="0" t="s">
        <v>5</v>
      </c>
      <c r="F2815" s="0" t="s">
        <v>16693</v>
      </c>
      <c r="G2815" s="0" t="s">
        <v>18672</v>
      </c>
    </row>
    <row r="2816" customFormat="false" ht="15" hidden="false" customHeight="false" outlineLevel="0" collapsed="false">
      <c r="A2816" s="0" t="n">
        <v>4078</v>
      </c>
      <c r="B2816" s="0" t="n">
        <v>22851</v>
      </c>
      <c r="C2816" s="0" t="s">
        <v>16700</v>
      </c>
      <c r="D2816" s="0" t="s">
        <v>5</v>
      </c>
      <c r="F2816" s="0" t="s">
        <v>16701</v>
      </c>
      <c r="G2816" s="0" t="s">
        <v>18672</v>
      </c>
    </row>
    <row r="2817" customFormat="false" ht="15" hidden="false" customHeight="false" outlineLevel="0" collapsed="false">
      <c r="A2817" s="0" t="n">
        <v>4080</v>
      </c>
      <c r="B2817" s="0" t="n">
        <v>22424</v>
      </c>
      <c r="C2817" s="0" t="s">
        <v>16708</v>
      </c>
      <c r="D2817" s="0" t="s">
        <v>5</v>
      </c>
      <c r="F2817" s="0" t="s">
        <v>16709</v>
      </c>
      <c r="G2817" s="0" t="s">
        <v>18672</v>
      </c>
    </row>
    <row r="2818" customFormat="false" ht="15" hidden="false" customHeight="false" outlineLevel="0" collapsed="false">
      <c r="A2818" s="0" t="n">
        <v>4083</v>
      </c>
      <c r="B2818" s="0" t="n">
        <v>22850</v>
      </c>
      <c r="C2818" s="0" t="s">
        <v>16721</v>
      </c>
      <c r="D2818" s="0" t="s">
        <v>5</v>
      </c>
      <c r="F2818" s="0" t="s">
        <v>16722</v>
      </c>
      <c r="G2818" s="0" t="s">
        <v>18672</v>
      </c>
    </row>
    <row r="2819" customFormat="false" ht="15" hidden="false" customHeight="false" outlineLevel="0" collapsed="false">
      <c r="A2819" s="0" t="n">
        <v>4085</v>
      </c>
      <c r="B2819" s="0" t="n">
        <v>22993</v>
      </c>
      <c r="C2819" s="0" t="s">
        <v>6741</v>
      </c>
      <c r="D2819" s="0" t="s">
        <v>5</v>
      </c>
      <c r="F2819" s="0" t="s">
        <v>16729</v>
      </c>
      <c r="G2819" s="0" t="s">
        <v>18672</v>
      </c>
    </row>
    <row r="2820" customFormat="false" ht="15" hidden="false" customHeight="false" outlineLevel="0" collapsed="false">
      <c r="A2820" s="0" t="n">
        <v>4088</v>
      </c>
      <c r="B2820" s="0" t="n">
        <v>22994</v>
      </c>
      <c r="C2820" s="0" t="s">
        <v>16739</v>
      </c>
      <c r="D2820" s="0" t="s">
        <v>5</v>
      </c>
      <c r="F2820" s="0" t="s">
        <v>16740</v>
      </c>
      <c r="G2820" s="0" t="s">
        <v>18672</v>
      </c>
    </row>
    <row r="2821" customFormat="false" ht="15" hidden="false" customHeight="false" outlineLevel="0" collapsed="false">
      <c r="A2821" s="0" t="n">
        <v>4094</v>
      </c>
      <c r="B2821" s="0" t="n">
        <v>22902</v>
      </c>
      <c r="C2821" s="0" t="s">
        <v>16763</v>
      </c>
      <c r="D2821" s="0" t="s">
        <v>5</v>
      </c>
      <c r="F2821" s="0" t="s">
        <v>16764</v>
      </c>
      <c r="G2821" s="0" t="s">
        <v>18672</v>
      </c>
    </row>
    <row r="2822" customFormat="false" ht="15" hidden="false" customHeight="false" outlineLevel="0" collapsed="false">
      <c r="A2822" s="0" t="n">
        <v>4095</v>
      </c>
      <c r="B2822" s="0" t="n">
        <v>23012</v>
      </c>
      <c r="C2822" s="0" t="s">
        <v>3691</v>
      </c>
      <c r="D2822" s="0" t="s">
        <v>5</v>
      </c>
      <c r="F2822" s="0" t="s">
        <v>16767</v>
      </c>
      <c r="G2822" s="0" t="s">
        <v>18672</v>
      </c>
    </row>
    <row r="2823" customFormat="false" ht="15" hidden="false" customHeight="false" outlineLevel="0" collapsed="false">
      <c r="A2823" s="0" t="n">
        <v>4096</v>
      </c>
      <c r="B2823" s="0" t="n">
        <v>22725</v>
      </c>
      <c r="C2823" s="0" t="s">
        <v>16770</v>
      </c>
      <c r="D2823" s="0" t="s">
        <v>5</v>
      </c>
      <c r="F2823" s="0" t="s">
        <v>16771</v>
      </c>
      <c r="G2823" s="0" t="s">
        <v>18672</v>
      </c>
    </row>
    <row r="2824" customFormat="false" ht="15" hidden="false" customHeight="false" outlineLevel="0" collapsed="false">
      <c r="A2824" s="0" t="n">
        <v>4097</v>
      </c>
      <c r="B2824" s="0" t="n">
        <v>22726</v>
      </c>
      <c r="C2824" s="0" t="s">
        <v>16774</v>
      </c>
      <c r="D2824" s="0" t="s">
        <v>5</v>
      </c>
      <c r="F2824" s="0" t="s">
        <v>16775</v>
      </c>
      <c r="G2824" s="0" t="s">
        <v>18672</v>
      </c>
    </row>
    <row r="2825" customFormat="false" ht="15" hidden="false" customHeight="false" outlineLevel="0" collapsed="false">
      <c r="A2825" s="0" t="n">
        <v>4098</v>
      </c>
      <c r="B2825" s="0" t="n">
        <v>22727</v>
      </c>
      <c r="C2825" s="0" t="s">
        <v>16778</v>
      </c>
      <c r="D2825" s="0" t="s">
        <v>5</v>
      </c>
      <c r="F2825" s="0" t="s">
        <v>16779</v>
      </c>
      <c r="G2825" s="0" t="s">
        <v>18672</v>
      </c>
    </row>
    <row r="2826" customFormat="false" ht="15" hidden="false" customHeight="false" outlineLevel="0" collapsed="false">
      <c r="A2826" s="0" t="n">
        <v>4099</v>
      </c>
      <c r="B2826" s="0" t="n">
        <v>22728</v>
      </c>
      <c r="C2826" s="0" t="s">
        <v>16782</v>
      </c>
      <c r="D2826" s="0" t="s">
        <v>5</v>
      </c>
      <c r="F2826" s="0" t="s">
        <v>16783</v>
      </c>
      <c r="G2826" s="0" t="s">
        <v>18672</v>
      </c>
    </row>
    <row r="2827" customFormat="false" ht="15" hidden="false" customHeight="false" outlineLevel="0" collapsed="false">
      <c r="A2827" s="0" t="n">
        <v>4100</v>
      </c>
      <c r="B2827" s="0" t="n">
        <v>22729</v>
      </c>
      <c r="C2827" s="0" t="s">
        <v>16786</v>
      </c>
      <c r="D2827" s="0" t="s">
        <v>5</v>
      </c>
      <c r="F2827" s="0" t="s">
        <v>16787</v>
      </c>
      <c r="G2827" s="0" t="s">
        <v>18672</v>
      </c>
    </row>
    <row r="2828" customFormat="false" ht="15" hidden="false" customHeight="false" outlineLevel="0" collapsed="false">
      <c r="A2828" s="0" t="n">
        <v>4101</v>
      </c>
      <c r="B2828" s="0" t="n">
        <v>22730</v>
      </c>
      <c r="C2828" s="0" t="s">
        <v>16790</v>
      </c>
      <c r="D2828" s="0" t="s">
        <v>5</v>
      </c>
      <c r="F2828" s="0" t="s">
        <v>16791</v>
      </c>
      <c r="G2828" s="0" t="s">
        <v>18672</v>
      </c>
    </row>
    <row r="2829" customFormat="false" ht="15" hidden="false" customHeight="false" outlineLevel="0" collapsed="false">
      <c r="A2829" s="0" t="n">
        <v>4102</v>
      </c>
      <c r="B2829" s="0" t="n">
        <v>22731</v>
      </c>
      <c r="C2829" s="0" t="s">
        <v>16794</v>
      </c>
      <c r="D2829" s="0" t="s">
        <v>5</v>
      </c>
      <c r="F2829" s="0" t="s">
        <v>16795</v>
      </c>
      <c r="G2829" s="0" t="s">
        <v>18672</v>
      </c>
    </row>
    <row r="2830" customFormat="false" ht="15" hidden="false" customHeight="false" outlineLevel="0" collapsed="false">
      <c r="A2830" s="0" t="n">
        <v>4103</v>
      </c>
      <c r="B2830" s="0" t="n">
        <v>22732</v>
      </c>
      <c r="C2830" s="0" t="s">
        <v>16798</v>
      </c>
      <c r="D2830" s="0" t="s">
        <v>5</v>
      </c>
      <c r="F2830" s="0" t="s">
        <v>16799</v>
      </c>
      <c r="G2830" s="0" t="s">
        <v>18672</v>
      </c>
    </row>
    <row r="2831" customFormat="false" ht="15" hidden="false" customHeight="false" outlineLevel="0" collapsed="false">
      <c r="A2831" s="0" t="n">
        <v>4104</v>
      </c>
      <c r="B2831" s="0" t="n">
        <v>23024</v>
      </c>
      <c r="C2831" s="0" t="s">
        <v>3691</v>
      </c>
      <c r="D2831" s="0" t="s">
        <v>5</v>
      </c>
      <c r="F2831" s="0" t="s">
        <v>16802</v>
      </c>
      <c r="G2831" s="0" t="s">
        <v>18672</v>
      </c>
    </row>
    <row r="2832" customFormat="false" ht="15" hidden="false" customHeight="false" outlineLevel="0" collapsed="false">
      <c r="A2832" s="0" t="n">
        <v>4107</v>
      </c>
      <c r="B2832" s="0" t="n">
        <v>22736</v>
      </c>
      <c r="C2832" s="0" t="s">
        <v>16812</v>
      </c>
      <c r="D2832" s="0" t="s">
        <v>5</v>
      </c>
      <c r="F2832" s="0" t="s">
        <v>16813</v>
      </c>
      <c r="G2832" s="0" t="s">
        <v>18672</v>
      </c>
    </row>
    <row r="2833" customFormat="false" ht="15" hidden="false" customHeight="false" outlineLevel="0" collapsed="false">
      <c r="A2833" s="0" t="n">
        <v>4108</v>
      </c>
      <c r="B2833" s="0" t="n">
        <v>22733</v>
      </c>
      <c r="C2833" s="0" t="s">
        <v>16817</v>
      </c>
      <c r="D2833" s="0" t="s">
        <v>5</v>
      </c>
      <c r="F2833" s="0" t="s">
        <v>16818</v>
      </c>
      <c r="G2833" s="0" t="s">
        <v>18672</v>
      </c>
    </row>
    <row r="2834" customFormat="false" ht="15" hidden="false" customHeight="false" outlineLevel="0" collapsed="false">
      <c r="A2834" s="0" t="n">
        <v>4109</v>
      </c>
      <c r="B2834" s="0" t="n">
        <v>22908</v>
      </c>
      <c r="C2834" s="0" t="s">
        <v>16821</v>
      </c>
      <c r="D2834" s="0" t="s">
        <v>5</v>
      </c>
      <c r="F2834" s="0" t="s">
        <v>16822</v>
      </c>
      <c r="G2834" s="0" t="s">
        <v>18672</v>
      </c>
    </row>
    <row r="2835" customFormat="false" ht="15" hidden="false" customHeight="false" outlineLevel="0" collapsed="false">
      <c r="A2835" s="0" t="n">
        <v>4114</v>
      </c>
      <c r="B2835" s="0" t="n">
        <v>22743</v>
      </c>
      <c r="C2835" s="0" t="s">
        <v>16842</v>
      </c>
      <c r="D2835" s="0" t="s">
        <v>5</v>
      </c>
      <c r="F2835" s="0" t="s">
        <v>16843</v>
      </c>
      <c r="G2835" s="0" t="s">
        <v>18672</v>
      </c>
    </row>
    <row r="2836" customFormat="false" ht="15" hidden="false" customHeight="false" outlineLevel="0" collapsed="false">
      <c r="A2836" s="0" t="n">
        <v>4117</v>
      </c>
      <c r="B2836" s="0" t="n">
        <v>22746</v>
      </c>
      <c r="C2836" s="0" t="s">
        <v>16854</v>
      </c>
      <c r="D2836" s="0" t="s">
        <v>5</v>
      </c>
      <c r="F2836" s="0" t="s">
        <v>16855</v>
      </c>
      <c r="G2836" s="0" t="s">
        <v>18672</v>
      </c>
    </row>
    <row r="2837" customFormat="false" ht="15" hidden="false" customHeight="false" outlineLevel="0" collapsed="false">
      <c r="A2837" s="0" t="n">
        <v>4118</v>
      </c>
      <c r="B2837" s="0" t="n">
        <v>22747</v>
      </c>
      <c r="C2837" s="0" t="s">
        <v>16859</v>
      </c>
      <c r="D2837" s="0" t="s">
        <v>5</v>
      </c>
      <c r="F2837" s="0" t="s">
        <v>16860</v>
      </c>
      <c r="G2837" s="0" t="s">
        <v>18672</v>
      </c>
    </row>
    <row r="2838" customFormat="false" ht="15" hidden="false" customHeight="false" outlineLevel="0" collapsed="false">
      <c r="A2838" s="0" t="n">
        <v>4119</v>
      </c>
      <c r="B2838" s="0" t="n">
        <v>22748</v>
      </c>
      <c r="C2838" s="0" t="s">
        <v>16863</v>
      </c>
      <c r="D2838" s="0" t="s">
        <v>5</v>
      </c>
      <c r="F2838" s="0" t="s">
        <v>16864</v>
      </c>
      <c r="G2838" s="0" t="s">
        <v>18672</v>
      </c>
    </row>
    <row r="2839" customFormat="false" ht="15" hidden="false" customHeight="false" outlineLevel="0" collapsed="false">
      <c r="A2839" s="0" t="n">
        <v>4120</v>
      </c>
      <c r="B2839" s="0" t="n">
        <v>22749</v>
      </c>
      <c r="C2839" s="0" t="s">
        <v>16867</v>
      </c>
      <c r="D2839" s="0" t="s">
        <v>5</v>
      </c>
      <c r="F2839" s="0" t="s">
        <v>16868</v>
      </c>
      <c r="G2839" s="0" t="s">
        <v>18672</v>
      </c>
    </row>
    <row r="2840" customFormat="false" ht="15" hidden="false" customHeight="false" outlineLevel="0" collapsed="false">
      <c r="A2840" s="0" t="n">
        <v>4121</v>
      </c>
      <c r="B2840" s="0" t="n">
        <v>22750</v>
      </c>
      <c r="C2840" s="0" t="s">
        <v>16872</v>
      </c>
      <c r="D2840" s="0" t="s">
        <v>5</v>
      </c>
      <c r="F2840" s="0" t="s">
        <v>16873</v>
      </c>
      <c r="G2840" s="0" t="s">
        <v>18672</v>
      </c>
    </row>
    <row r="2841" customFormat="false" ht="15" hidden="false" customHeight="false" outlineLevel="0" collapsed="false">
      <c r="A2841" s="0" t="n">
        <v>4122</v>
      </c>
      <c r="B2841" s="0" t="n">
        <v>22755</v>
      </c>
      <c r="C2841" s="0" t="s">
        <v>16877</v>
      </c>
      <c r="D2841" s="0" t="s">
        <v>5</v>
      </c>
      <c r="F2841" s="0" t="s">
        <v>16878</v>
      </c>
      <c r="G2841" s="0" t="s">
        <v>18672</v>
      </c>
    </row>
    <row r="2842" customFormat="false" ht="15" hidden="false" customHeight="false" outlineLevel="0" collapsed="false">
      <c r="A2842" s="0" t="n">
        <v>4123</v>
      </c>
      <c r="B2842" s="0" t="n">
        <v>22756</v>
      </c>
      <c r="C2842" s="0" t="s">
        <v>16881</v>
      </c>
      <c r="D2842" s="0" t="s">
        <v>5</v>
      </c>
      <c r="F2842" s="0" t="s">
        <v>16882</v>
      </c>
      <c r="G2842" s="0" t="s">
        <v>18672</v>
      </c>
    </row>
    <row r="2843" customFormat="false" ht="15" hidden="false" customHeight="false" outlineLevel="0" collapsed="false">
      <c r="A2843" s="0" t="n">
        <v>4124</v>
      </c>
      <c r="B2843" s="0" t="n">
        <v>22757</v>
      </c>
      <c r="C2843" s="0" t="s">
        <v>16885</v>
      </c>
      <c r="D2843" s="0" t="s">
        <v>5</v>
      </c>
      <c r="F2843" s="0" t="s">
        <v>16886</v>
      </c>
      <c r="G2843" s="0" t="s">
        <v>18672</v>
      </c>
    </row>
    <row r="2844" customFormat="false" ht="15" hidden="false" customHeight="false" outlineLevel="0" collapsed="false">
      <c r="A2844" s="0" t="n">
        <v>4125</v>
      </c>
      <c r="B2844" s="0" t="n">
        <v>22758</v>
      </c>
      <c r="C2844" s="0" t="s">
        <v>16890</v>
      </c>
      <c r="D2844" s="0" t="s">
        <v>5</v>
      </c>
      <c r="F2844" s="0" t="s">
        <v>16891</v>
      </c>
      <c r="G2844" s="0" t="s">
        <v>18672</v>
      </c>
    </row>
    <row r="2845" customFormat="false" ht="15" hidden="false" customHeight="false" outlineLevel="0" collapsed="false">
      <c r="A2845" s="0" t="n">
        <v>4126</v>
      </c>
      <c r="B2845" s="0" t="n">
        <v>22759</v>
      </c>
      <c r="C2845" s="0" t="s">
        <v>16894</v>
      </c>
      <c r="D2845" s="0" t="s">
        <v>5</v>
      </c>
      <c r="F2845" s="0" t="s">
        <v>16895</v>
      </c>
      <c r="G2845" s="0" t="s">
        <v>18672</v>
      </c>
    </row>
    <row r="2846" customFormat="false" ht="15" hidden="false" customHeight="false" outlineLevel="0" collapsed="false">
      <c r="A2846" s="0" t="n">
        <v>4127</v>
      </c>
      <c r="B2846" s="0" t="n">
        <v>22760</v>
      </c>
      <c r="C2846" s="0" t="s">
        <v>16898</v>
      </c>
      <c r="D2846" s="0" t="s">
        <v>5</v>
      </c>
      <c r="F2846" s="0" t="s">
        <v>16899</v>
      </c>
      <c r="G2846" s="0" t="s">
        <v>18672</v>
      </c>
    </row>
    <row r="2847" customFormat="false" ht="15" hidden="false" customHeight="false" outlineLevel="0" collapsed="false">
      <c r="A2847" s="0" t="n">
        <v>4128</v>
      </c>
      <c r="B2847" s="0" t="n">
        <v>22761</v>
      </c>
      <c r="C2847" s="0" t="s">
        <v>16903</v>
      </c>
      <c r="D2847" s="0" t="s">
        <v>5</v>
      </c>
      <c r="F2847" s="0" t="s">
        <v>16904</v>
      </c>
      <c r="G2847" s="0" t="s">
        <v>18672</v>
      </c>
    </row>
    <row r="2848" customFormat="false" ht="15" hidden="false" customHeight="false" outlineLevel="0" collapsed="false">
      <c r="A2848" s="0" t="n">
        <v>4129</v>
      </c>
      <c r="B2848" s="0" t="n">
        <v>22762</v>
      </c>
      <c r="C2848" s="0" t="s">
        <v>16908</v>
      </c>
      <c r="D2848" s="0" t="s">
        <v>5</v>
      </c>
      <c r="F2848" s="0" t="s">
        <v>16910</v>
      </c>
      <c r="G2848" s="0" t="s">
        <v>18672</v>
      </c>
    </row>
    <row r="2849" customFormat="false" ht="15" hidden="false" customHeight="false" outlineLevel="0" collapsed="false">
      <c r="A2849" s="0" t="n">
        <v>4130</v>
      </c>
      <c r="B2849" s="0" t="n">
        <v>22763</v>
      </c>
      <c r="C2849" s="0" t="s">
        <v>16913</v>
      </c>
      <c r="D2849" s="0" t="s">
        <v>5</v>
      </c>
      <c r="F2849" s="0" t="s">
        <v>16914</v>
      </c>
      <c r="G2849" s="0" t="s">
        <v>18672</v>
      </c>
    </row>
    <row r="2850" customFormat="false" ht="15" hidden="false" customHeight="false" outlineLevel="0" collapsed="false">
      <c r="A2850" s="0" t="n">
        <v>4131</v>
      </c>
      <c r="B2850" s="0" t="n">
        <v>22764</v>
      </c>
      <c r="C2850" s="0" t="s">
        <v>16919</v>
      </c>
      <c r="D2850" s="0" t="s">
        <v>5</v>
      </c>
      <c r="F2850" s="0" t="s">
        <v>16920</v>
      </c>
      <c r="G2850" s="0" t="s">
        <v>18672</v>
      </c>
    </row>
    <row r="2851" customFormat="false" ht="15" hidden="false" customHeight="false" outlineLevel="0" collapsed="false">
      <c r="A2851" s="0" t="n">
        <v>4132</v>
      </c>
      <c r="B2851" s="0" t="n">
        <v>22765</v>
      </c>
      <c r="C2851" s="0" t="s">
        <v>16925</v>
      </c>
      <c r="D2851" s="0" t="s">
        <v>5</v>
      </c>
      <c r="F2851" s="0" t="s">
        <v>16926</v>
      </c>
      <c r="G2851" s="0" t="s">
        <v>18672</v>
      </c>
    </row>
    <row r="2852" customFormat="false" ht="15" hidden="false" customHeight="false" outlineLevel="0" collapsed="false">
      <c r="A2852" s="0" t="n">
        <v>4133</v>
      </c>
      <c r="B2852" s="0" t="n">
        <v>22766</v>
      </c>
      <c r="C2852" s="0" t="s">
        <v>16929</v>
      </c>
      <c r="D2852" s="0" t="s">
        <v>5</v>
      </c>
      <c r="F2852" s="0" t="s">
        <v>16930</v>
      </c>
      <c r="G2852" s="0" t="s">
        <v>18672</v>
      </c>
    </row>
    <row r="2853" customFormat="false" ht="15" hidden="false" customHeight="false" outlineLevel="0" collapsed="false">
      <c r="A2853" s="0" t="n">
        <v>4134</v>
      </c>
      <c r="B2853" s="0" t="n">
        <v>22767</v>
      </c>
      <c r="C2853" s="0" t="s">
        <v>16933</v>
      </c>
      <c r="D2853" s="0" t="s">
        <v>5</v>
      </c>
      <c r="F2853" s="0" t="s">
        <v>16934</v>
      </c>
      <c r="G2853" s="0" t="s">
        <v>18672</v>
      </c>
    </row>
    <row r="2854" customFormat="false" ht="15" hidden="false" customHeight="false" outlineLevel="0" collapsed="false">
      <c r="A2854" s="0" t="n">
        <v>4135</v>
      </c>
      <c r="B2854" s="0" t="n">
        <v>22768</v>
      </c>
      <c r="C2854" s="0" t="s">
        <v>16937</v>
      </c>
      <c r="D2854" s="0" t="s">
        <v>5</v>
      </c>
      <c r="F2854" s="0" t="s">
        <v>16938</v>
      </c>
      <c r="G2854" s="0" t="s">
        <v>18672</v>
      </c>
    </row>
    <row r="2855" customFormat="false" ht="15" hidden="false" customHeight="false" outlineLevel="0" collapsed="false">
      <c r="A2855" s="0" t="n">
        <v>4136</v>
      </c>
      <c r="B2855" s="0" t="n">
        <v>22769</v>
      </c>
      <c r="C2855" s="0" t="s">
        <v>16941</v>
      </c>
      <c r="D2855" s="0" t="s">
        <v>5</v>
      </c>
      <c r="F2855" s="0" t="s">
        <v>16942</v>
      </c>
      <c r="G2855" s="0" t="s">
        <v>18672</v>
      </c>
    </row>
    <row r="2856" customFormat="false" ht="15" hidden="false" customHeight="false" outlineLevel="0" collapsed="false">
      <c r="A2856" s="0" t="n">
        <v>4137</v>
      </c>
      <c r="B2856" s="0" t="n">
        <v>22770</v>
      </c>
      <c r="C2856" s="0" t="s">
        <v>16946</v>
      </c>
      <c r="D2856" s="0" t="s">
        <v>5</v>
      </c>
      <c r="F2856" s="0" t="s">
        <v>16947</v>
      </c>
      <c r="G2856" s="0" t="s">
        <v>18672</v>
      </c>
    </row>
    <row r="2857" customFormat="false" ht="15" hidden="false" customHeight="false" outlineLevel="0" collapsed="false">
      <c r="A2857" s="0" t="n">
        <v>4138</v>
      </c>
      <c r="B2857" s="0" t="n">
        <v>22771</v>
      </c>
      <c r="C2857" s="0" t="s">
        <v>16950</v>
      </c>
      <c r="D2857" s="0" t="s">
        <v>5</v>
      </c>
      <c r="F2857" s="0" t="s">
        <v>16951</v>
      </c>
      <c r="G2857" s="0" t="s">
        <v>18672</v>
      </c>
    </row>
    <row r="2858" customFormat="false" ht="15" hidden="false" customHeight="false" outlineLevel="0" collapsed="false">
      <c r="A2858" s="0" t="n">
        <v>4139</v>
      </c>
      <c r="B2858" s="0" t="n">
        <v>22772</v>
      </c>
      <c r="C2858" s="0" t="s">
        <v>16955</v>
      </c>
      <c r="D2858" s="0" t="s">
        <v>5</v>
      </c>
      <c r="F2858" s="0" t="s">
        <v>16956</v>
      </c>
      <c r="G2858" s="0" t="s">
        <v>18672</v>
      </c>
    </row>
    <row r="2859" customFormat="false" ht="15" hidden="false" customHeight="false" outlineLevel="0" collapsed="false">
      <c r="A2859" s="0" t="n">
        <v>4140</v>
      </c>
      <c r="B2859" s="0" t="n">
        <v>22773</v>
      </c>
      <c r="C2859" s="0" t="s">
        <v>16959</v>
      </c>
      <c r="D2859" s="0" t="s">
        <v>5</v>
      </c>
      <c r="F2859" s="0" t="s">
        <v>16960</v>
      </c>
      <c r="G2859" s="0" t="s">
        <v>18672</v>
      </c>
    </row>
    <row r="2860" customFormat="false" ht="15" hidden="false" customHeight="false" outlineLevel="0" collapsed="false">
      <c r="A2860" s="0" t="n">
        <v>4141</v>
      </c>
      <c r="B2860" s="0" t="n">
        <v>22774</v>
      </c>
      <c r="C2860" s="0" t="s">
        <v>16963</v>
      </c>
      <c r="D2860" s="0" t="s">
        <v>5</v>
      </c>
      <c r="F2860" s="0" t="s">
        <v>16964</v>
      </c>
      <c r="G2860" s="0" t="s">
        <v>18672</v>
      </c>
    </row>
    <row r="2861" customFormat="false" ht="15" hidden="false" customHeight="false" outlineLevel="0" collapsed="false">
      <c r="A2861" s="0" t="n">
        <v>4142</v>
      </c>
      <c r="B2861" s="0" t="n">
        <v>22775</v>
      </c>
      <c r="C2861" s="0" t="s">
        <v>16967</v>
      </c>
      <c r="D2861" s="0" t="s">
        <v>5</v>
      </c>
      <c r="F2861" s="0" t="s">
        <v>16968</v>
      </c>
      <c r="G2861" s="0" t="s">
        <v>18672</v>
      </c>
    </row>
    <row r="2862" customFormat="false" ht="15" hidden="false" customHeight="false" outlineLevel="0" collapsed="false">
      <c r="A2862" s="0" t="n">
        <v>4143</v>
      </c>
      <c r="B2862" s="0" t="n">
        <v>22776</v>
      </c>
      <c r="C2862" s="0" t="s">
        <v>16971</v>
      </c>
      <c r="D2862" s="0" t="s">
        <v>5</v>
      </c>
      <c r="F2862" s="0" t="s">
        <v>16972</v>
      </c>
      <c r="G2862" s="0" t="s">
        <v>18672</v>
      </c>
    </row>
    <row r="2863" customFormat="false" ht="15" hidden="false" customHeight="false" outlineLevel="0" collapsed="false">
      <c r="A2863" s="0" t="n">
        <v>4144</v>
      </c>
      <c r="B2863" s="0" t="n">
        <v>22777</v>
      </c>
      <c r="C2863" s="0" t="s">
        <v>16976</v>
      </c>
      <c r="D2863" s="0" t="s">
        <v>5</v>
      </c>
      <c r="F2863" s="0" t="s">
        <v>16977</v>
      </c>
      <c r="G2863" s="0" t="s">
        <v>18672</v>
      </c>
    </row>
    <row r="2864" customFormat="false" ht="15" hidden="false" customHeight="false" outlineLevel="0" collapsed="false">
      <c r="A2864" s="0" t="n">
        <v>4145</v>
      </c>
      <c r="B2864" s="0" t="n">
        <v>22778</v>
      </c>
      <c r="C2864" s="0" t="s">
        <v>16980</v>
      </c>
      <c r="D2864" s="0" t="s">
        <v>5</v>
      </c>
      <c r="F2864" s="0" t="s">
        <v>16981</v>
      </c>
      <c r="G2864" s="0" t="s">
        <v>18672</v>
      </c>
    </row>
    <row r="2865" customFormat="false" ht="15" hidden="false" customHeight="false" outlineLevel="0" collapsed="false">
      <c r="A2865" s="0" t="n">
        <v>4146</v>
      </c>
      <c r="B2865" s="0" t="n">
        <v>22779</v>
      </c>
      <c r="C2865" s="0" t="s">
        <v>16984</v>
      </c>
      <c r="D2865" s="0" t="s">
        <v>5</v>
      </c>
      <c r="F2865" s="0" t="s">
        <v>16985</v>
      </c>
      <c r="G2865" s="0" t="s">
        <v>18672</v>
      </c>
    </row>
    <row r="2866" customFormat="false" ht="15" hidden="false" customHeight="false" outlineLevel="0" collapsed="false">
      <c r="A2866" s="0" t="n">
        <v>4147</v>
      </c>
      <c r="B2866" s="0" t="n">
        <v>22780</v>
      </c>
      <c r="C2866" s="0" t="s">
        <v>16988</v>
      </c>
      <c r="D2866" s="0" t="s">
        <v>5</v>
      </c>
      <c r="F2866" s="0" t="s">
        <v>16989</v>
      </c>
      <c r="G2866" s="0" t="s">
        <v>18672</v>
      </c>
    </row>
    <row r="2867" customFormat="false" ht="15" hidden="false" customHeight="false" outlineLevel="0" collapsed="false">
      <c r="A2867" s="0" t="n">
        <v>4148</v>
      </c>
      <c r="B2867" s="0" t="n">
        <v>22781</v>
      </c>
      <c r="C2867" s="0" t="s">
        <v>16992</v>
      </c>
      <c r="D2867" s="0" t="s">
        <v>5</v>
      </c>
      <c r="F2867" s="0" t="s">
        <v>16993</v>
      </c>
      <c r="G2867" s="0" t="s">
        <v>18672</v>
      </c>
    </row>
    <row r="2868" customFormat="false" ht="15" hidden="false" customHeight="false" outlineLevel="0" collapsed="false">
      <c r="A2868" s="0" t="n">
        <v>4149</v>
      </c>
      <c r="B2868" s="0" t="n">
        <v>22782</v>
      </c>
      <c r="C2868" s="0" t="s">
        <v>16996</v>
      </c>
      <c r="D2868" s="0" t="s">
        <v>5</v>
      </c>
      <c r="F2868" s="0" t="s">
        <v>16997</v>
      </c>
      <c r="G2868" s="0" t="s">
        <v>18672</v>
      </c>
    </row>
    <row r="2869" customFormat="false" ht="15" hidden="false" customHeight="false" outlineLevel="0" collapsed="false">
      <c r="A2869" s="0" t="n">
        <v>4150</v>
      </c>
      <c r="B2869" s="0" t="n">
        <v>22783</v>
      </c>
      <c r="C2869" s="0" t="s">
        <v>17000</v>
      </c>
      <c r="D2869" s="0" t="s">
        <v>5</v>
      </c>
      <c r="F2869" s="0" t="s">
        <v>17001</v>
      </c>
      <c r="G2869" s="0" t="s">
        <v>18672</v>
      </c>
    </row>
    <row r="2870" customFormat="false" ht="15" hidden="false" customHeight="false" outlineLevel="0" collapsed="false">
      <c r="A2870" s="0" t="n">
        <v>4151</v>
      </c>
      <c r="B2870" s="0" t="n">
        <v>22784</v>
      </c>
      <c r="C2870" s="0" t="s">
        <v>17005</v>
      </c>
      <c r="D2870" s="0" t="s">
        <v>5</v>
      </c>
      <c r="F2870" s="0" t="s">
        <v>17006</v>
      </c>
      <c r="G2870" s="0" t="s">
        <v>18672</v>
      </c>
    </row>
    <row r="2871" customFormat="false" ht="15" hidden="false" customHeight="false" outlineLevel="0" collapsed="false">
      <c r="A2871" s="0" t="n">
        <v>4152</v>
      </c>
      <c r="B2871" s="0" t="n">
        <v>22785</v>
      </c>
      <c r="C2871" s="0" t="s">
        <v>17010</v>
      </c>
      <c r="D2871" s="0" t="s">
        <v>5</v>
      </c>
      <c r="F2871" s="0" t="s">
        <v>17011</v>
      </c>
      <c r="G2871" s="0" t="s">
        <v>18672</v>
      </c>
    </row>
    <row r="2872" customFormat="false" ht="15" hidden="false" customHeight="false" outlineLevel="0" collapsed="false">
      <c r="A2872" s="0" t="n">
        <v>4153</v>
      </c>
      <c r="B2872" s="0" t="n">
        <v>22786</v>
      </c>
      <c r="C2872" s="0" t="s">
        <v>17014</v>
      </c>
      <c r="D2872" s="0" t="s">
        <v>5</v>
      </c>
      <c r="F2872" s="0" t="s">
        <v>17015</v>
      </c>
      <c r="G2872" s="0" t="s">
        <v>18672</v>
      </c>
    </row>
    <row r="2873" customFormat="false" ht="15" hidden="false" customHeight="false" outlineLevel="0" collapsed="false">
      <c r="A2873" s="0" t="n">
        <v>4154</v>
      </c>
      <c r="B2873" s="0" t="n">
        <v>22787</v>
      </c>
      <c r="C2873" s="0" t="s">
        <v>17018</v>
      </c>
      <c r="D2873" s="0" t="s">
        <v>5</v>
      </c>
      <c r="F2873" s="0" t="s">
        <v>17019</v>
      </c>
      <c r="G2873" s="0" t="s">
        <v>18672</v>
      </c>
    </row>
    <row r="2874" customFormat="false" ht="15" hidden="false" customHeight="false" outlineLevel="0" collapsed="false">
      <c r="A2874" s="0" t="n">
        <v>4155</v>
      </c>
      <c r="B2874" s="0" t="n">
        <v>22788</v>
      </c>
      <c r="C2874" s="0" t="s">
        <v>17022</v>
      </c>
      <c r="D2874" s="0" t="s">
        <v>5</v>
      </c>
      <c r="F2874" s="0" t="s">
        <v>17023</v>
      </c>
      <c r="G2874" s="0" t="s">
        <v>18672</v>
      </c>
    </row>
    <row r="2875" customFormat="false" ht="15" hidden="false" customHeight="false" outlineLevel="0" collapsed="false">
      <c r="A2875" s="0" t="n">
        <v>4156</v>
      </c>
      <c r="B2875" s="0" t="n">
        <v>22789</v>
      </c>
      <c r="C2875" s="0" t="s">
        <v>17027</v>
      </c>
      <c r="D2875" s="0" t="s">
        <v>5</v>
      </c>
      <c r="F2875" s="0" t="s">
        <v>17028</v>
      </c>
      <c r="G2875" s="0" t="s">
        <v>18672</v>
      </c>
    </row>
    <row r="2876" customFormat="false" ht="15" hidden="false" customHeight="false" outlineLevel="0" collapsed="false">
      <c r="A2876" s="0" t="n">
        <v>4157</v>
      </c>
      <c r="B2876" s="0" t="n">
        <v>22790</v>
      </c>
      <c r="C2876" s="0" t="s">
        <v>17032</v>
      </c>
      <c r="D2876" s="0" t="s">
        <v>5</v>
      </c>
      <c r="F2876" s="0" t="s">
        <v>17033</v>
      </c>
      <c r="G2876" s="0" t="s">
        <v>18672</v>
      </c>
    </row>
    <row r="2877" customFormat="false" ht="15" hidden="false" customHeight="false" outlineLevel="0" collapsed="false">
      <c r="A2877" s="0" t="n">
        <v>4158</v>
      </c>
      <c r="B2877" s="0" t="n">
        <v>22791</v>
      </c>
      <c r="C2877" s="0" t="s">
        <v>17036</v>
      </c>
      <c r="D2877" s="0" t="s">
        <v>5</v>
      </c>
      <c r="F2877" s="0" t="s">
        <v>17037</v>
      </c>
      <c r="G2877" s="0" t="s">
        <v>18672</v>
      </c>
    </row>
    <row r="2878" customFormat="false" ht="15" hidden="false" customHeight="false" outlineLevel="0" collapsed="false">
      <c r="A2878" s="0" t="n">
        <v>4159</v>
      </c>
      <c r="B2878" s="0" t="n">
        <v>22792</v>
      </c>
      <c r="C2878" s="0" t="s">
        <v>17040</v>
      </c>
      <c r="D2878" s="0" t="s">
        <v>5</v>
      </c>
      <c r="F2878" s="0" t="s">
        <v>17041</v>
      </c>
      <c r="G2878" s="0" t="s">
        <v>18672</v>
      </c>
    </row>
    <row r="2879" customFormat="false" ht="15" hidden="false" customHeight="false" outlineLevel="0" collapsed="false">
      <c r="A2879" s="0" t="n">
        <v>4160</v>
      </c>
      <c r="B2879" s="0" t="n">
        <v>22793</v>
      </c>
      <c r="C2879" s="0" t="s">
        <v>17045</v>
      </c>
      <c r="D2879" s="0" t="s">
        <v>5</v>
      </c>
      <c r="F2879" s="0" t="s">
        <v>17046</v>
      </c>
      <c r="G2879" s="0" t="s">
        <v>18672</v>
      </c>
    </row>
    <row r="2880" customFormat="false" ht="15" hidden="false" customHeight="false" outlineLevel="0" collapsed="false">
      <c r="A2880" s="0" t="n">
        <v>4161</v>
      </c>
      <c r="B2880" s="0" t="n">
        <v>22794</v>
      </c>
      <c r="C2880" s="0" t="s">
        <v>17049</v>
      </c>
      <c r="D2880" s="0" t="s">
        <v>5</v>
      </c>
      <c r="F2880" s="0" t="s">
        <v>17050</v>
      </c>
      <c r="G2880" s="0" t="s">
        <v>18672</v>
      </c>
    </row>
    <row r="2881" customFormat="false" ht="15" hidden="false" customHeight="false" outlineLevel="0" collapsed="false">
      <c r="A2881" s="0" t="n">
        <v>4162</v>
      </c>
      <c r="B2881" s="0" t="n">
        <v>22796</v>
      </c>
      <c r="C2881" s="0" t="s">
        <v>17053</v>
      </c>
      <c r="D2881" s="0" t="s">
        <v>5</v>
      </c>
      <c r="F2881" s="0" t="s">
        <v>17054</v>
      </c>
      <c r="G2881" s="0" t="s">
        <v>18672</v>
      </c>
    </row>
    <row r="2882" customFormat="false" ht="15" hidden="false" customHeight="false" outlineLevel="0" collapsed="false">
      <c r="A2882" s="0" t="n">
        <v>4163</v>
      </c>
      <c r="B2882" s="0" t="n">
        <v>22797</v>
      </c>
      <c r="C2882" s="0" t="s">
        <v>17058</v>
      </c>
      <c r="D2882" s="0" t="s">
        <v>5</v>
      </c>
      <c r="F2882" s="0" t="s">
        <v>17059</v>
      </c>
      <c r="G2882" s="0" t="s">
        <v>18672</v>
      </c>
    </row>
    <row r="2883" customFormat="false" ht="15" hidden="false" customHeight="false" outlineLevel="0" collapsed="false">
      <c r="A2883" s="0" t="n">
        <v>4164</v>
      </c>
      <c r="B2883" s="0" t="n">
        <v>22798</v>
      </c>
      <c r="C2883" s="0" t="s">
        <v>17062</v>
      </c>
      <c r="D2883" s="0" t="s">
        <v>5</v>
      </c>
      <c r="F2883" s="0" t="s">
        <v>17063</v>
      </c>
      <c r="G2883" s="0" t="s">
        <v>18672</v>
      </c>
    </row>
    <row r="2884" customFormat="false" ht="15" hidden="false" customHeight="false" outlineLevel="0" collapsed="false">
      <c r="A2884" s="0" t="n">
        <v>4165</v>
      </c>
      <c r="B2884" s="0" t="n">
        <v>22799</v>
      </c>
      <c r="C2884" s="0" t="s">
        <v>17067</v>
      </c>
      <c r="D2884" s="0" t="s">
        <v>5</v>
      </c>
      <c r="F2884" s="0" t="s">
        <v>17068</v>
      </c>
      <c r="G2884" s="0" t="s">
        <v>18672</v>
      </c>
    </row>
    <row r="2885" customFormat="false" ht="15" hidden="false" customHeight="false" outlineLevel="0" collapsed="false">
      <c r="A2885" s="0" t="n">
        <v>4166</v>
      </c>
      <c r="B2885" s="0" t="n">
        <v>22800</v>
      </c>
      <c r="C2885" s="0" t="s">
        <v>17071</v>
      </c>
      <c r="D2885" s="0" t="s">
        <v>5</v>
      </c>
      <c r="F2885" s="0" t="s">
        <v>17072</v>
      </c>
      <c r="G2885" s="0" t="s">
        <v>18672</v>
      </c>
    </row>
    <row r="2886" customFormat="false" ht="15" hidden="false" customHeight="false" outlineLevel="0" collapsed="false">
      <c r="A2886" s="0" t="n">
        <v>4167</v>
      </c>
      <c r="B2886" s="0" t="n">
        <v>22801</v>
      </c>
      <c r="C2886" s="0" t="s">
        <v>17075</v>
      </c>
      <c r="D2886" s="0" t="s">
        <v>5</v>
      </c>
      <c r="F2886" s="0" t="s">
        <v>17076</v>
      </c>
      <c r="G2886" s="0" t="s">
        <v>18672</v>
      </c>
    </row>
    <row r="2887" customFormat="false" ht="15" hidden="false" customHeight="false" outlineLevel="0" collapsed="false">
      <c r="A2887" s="0" t="n">
        <v>4168</v>
      </c>
      <c r="B2887" s="0" t="n">
        <v>22802</v>
      </c>
      <c r="C2887" s="0" t="s">
        <v>17079</v>
      </c>
      <c r="D2887" s="0" t="s">
        <v>5</v>
      </c>
      <c r="F2887" s="0" t="s">
        <v>17080</v>
      </c>
      <c r="G2887" s="0" t="s">
        <v>18672</v>
      </c>
    </row>
    <row r="2888" customFormat="false" ht="15" hidden="false" customHeight="false" outlineLevel="0" collapsed="false">
      <c r="A2888" s="0" t="n">
        <v>4169</v>
      </c>
      <c r="B2888" s="0" t="n">
        <v>22803</v>
      </c>
      <c r="C2888" s="0" t="s">
        <v>17083</v>
      </c>
      <c r="D2888" s="0" t="s">
        <v>5</v>
      </c>
      <c r="F2888" s="0" t="s">
        <v>17084</v>
      </c>
      <c r="G2888" s="0" t="s">
        <v>18672</v>
      </c>
    </row>
    <row r="2889" customFormat="false" ht="15" hidden="false" customHeight="false" outlineLevel="0" collapsed="false">
      <c r="A2889" s="0" t="n">
        <v>4170</v>
      </c>
      <c r="B2889" s="0" t="n">
        <v>22804</v>
      </c>
      <c r="C2889" s="0" t="s">
        <v>17087</v>
      </c>
      <c r="D2889" s="0" t="s">
        <v>5</v>
      </c>
      <c r="F2889" s="0" t="s">
        <v>17088</v>
      </c>
      <c r="G2889" s="0" t="s">
        <v>18672</v>
      </c>
    </row>
    <row r="2890" customFormat="false" ht="15" hidden="false" customHeight="false" outlineLevel="0" collapsed="false">
      <c r="A2890" s="0" t="n">
        <v>4171</v>
      </c>
      <c r="B2890" s="0" t="n">
        <v>22805</v>
      </c>
      <c r="C2890" s="0" t="s">
        <v>17091</v>
      </c>
      <c r="D2890" s="0" t="s">
        <v>5</v>
      </c>
      <c r="F2890" s="0" t="s">
        <v>17092</v>
      </c>
      <c r="G2890" s="0" t="s">
        <v>18672</v>
      </c>
    </row>
    <row r="2891" customFormat="false" ht="15" hidden="false" customHeight="false" outlineLevel="0" collapsed="false">
      <c r="A2891" s="0" t="n">
        <v>4172</v>
      </c>
      <c r="B2891" s="0" t="n">
        <v>22806</v>
      </c>
      <c r="C2891" s="0" t="s">
        <v>17095</v>
      </c>
      <c r="D2891" s="0" t="s">
        <v>5</v>
      </c>
      <c r="F2891" s="0" t="s">
        <v>17096</v>
      </c>
      <c r="G2891" s="0" t="s">
        <v>18672</v>
      </c>
    </row>
    <row r="2892" customFormat="false" ht="15" hidden="false" customHeight="false" outlineLevel="0" collapsed="false">
      <c r="A2892" s="0" t="n">
        <v>4173</v>
      </c>
      <c r="B2892" s="0" t="n">
        <v>22807</v>
      </c>
      <c r="C2892" s="0" t="s">
        <v>17099</v>
      </c>
      <c r="D2892" s="0" t="s">
        <v>5</v>
      </c>
      <c r="F2892" s="0" t="s">
        <v>17100</v>
      </c>
      <c r="G2892" s="0" t="s">
        <v>18672</v>
      </c>
    </row>
    <row r="2893" customFormat="false" ht="15" hidden="false" customHeight="false" outlineLevel="0" collapsed="false">
      <c r="A2893" s="0" t="n">
        <v>4174</v>
      </c>
      <c r="B2893" s="0" t="n">
        <v>22808</v>
      </c>
      <c r="C2893" s="0" t="s">
        <v>17103</v>
      </c>
      <c r="D2893" s="0" t="s">
        <v>5</v>
      </c>
      <c r="F2893" s="0" t="s">
        <v>17104</v>
      </c>
      <c r="G2893" s="0" t="s">
        <v>18672</v>
      </c>
    </row>
    <row r="2894" customFormat="false" ht="15" hidden="false" customHeight="false" outlineLevel="0" collapsed="false">
      <c r="A2894" s="0" t="n">
        <v>4175</v>
      </c>
      <c r="B2894" s="0" t="n">
        <v>22809</v>
      </c>
      <c r="C2894" s="0" t="s">
        <v>17107</v>
      </c>
      <c r="D2894" s="0" t="s">
        <v>5</v>
      </c>
      <c r="F2894" s="0" t="s">
        <v>17108</v>
      </c>
      <c r="G2894" s="0" t="s">
        <v>18672</v>
      </c>
    </row>
    <row r="2895" customFormat="false" ht="15" hidden="false" customHeight="false" outlineLevel="0" collapsed="false">
      <c r="A2895" s="0" t="n">
        <v>4176</v>
      </c>
      <c r="B2895" s="0" t="n">
        <v>22810</v>
      </c>
      <c r="C2895" s="0" t="s">
        <v>17111</v>
      </c>
      <c r="D2895" s="0" t="s">
        <v>5</v>
      </c>
      <c r="F2895" s="0" t="s">
        <v>17112</v>
      </c>
      <c r="G2895" s="0" t="s">
        <v>18672</v>
      </c>
    </row>
    <row r="2896" customFormat="false" ht="15" hidden="false" customHeight="false" outlineLevel="0" collapsed="false">
      <c r="A2896" s="0" t="n">
        <v>4177</v>
      </c>
      <c r="B2896" s="0" t="n">
        <v>22811</v>
      </c>
      <c r="C2896" s="0" t="s">
        <v>17115</v>
      </c>
      <c r="D2896" s="0" t="s">
        <v>5</v>
      </c>
      <c r="F2896" s="0" t="s">
        <v>17116</v>
      </c>
      <c r="G2896" s="0" t="s">
        <v>18672</v>
      </c>
    </row>
    <row r="2897" customFormat="false" ht="15" hidden="false" customHeight="false" outlineLevel="0" collapsed="false">
      <c r="A2897" s="0" t="n">
        <v>4178</v>
      </c>
      <c r="B2897" s="0" t="n">
        <v>22812</v>
      </c>
      <c r="C2897" s="0" t="s">
        <v>17120</v>
      </c>
      <c r="D2897" s="0" t="s">
        <v>5</v>
      </c>
      <c r="F2897" s="0" t="s">
        <v>17121</v>
      </c>
      <c r="G2897" s="0" t="s">
        <v>18672</v>
      </c>
    </row>
    <row r="2898" customFormat="false" ht="15" hidden="false" customHeight="false" outlineLevel="0" collapsed="false">
      <c r="A2898" s="0" t="n">
        <v>4179</v>
      </c>
      <c r="B2898" s="0" t="n">
        <v>22813</v>
      </c>
      <c r="C2898" s="0" t="s">
        <v>17125</v>
      </c>
      <c r="D2898" s="0" t="s">
        <v>5</v>
      </c>
      <c r="F2898" s="0" t="s">
        <v>17126</v>
      </c>
      <c r="G2898" s="0" t="s">
        <v>18672</v>
      </c>
    </row>
    <row r="2899" customFormat="false" ht="15" hidden="false" customHeight="false" outlineLevel="0" collapsed="false">
      <c r="A2899" s="0" t="n">
        <v>4180</v>
      </c>
      <c r="B2899" s="0" t="n">
        <v>22814</v>
      </c>
      <c r="C2899" s="0" t="s">
        <v>17129</v>
      </c>
      <c r="D2899" s="0" t="s">
        <v>5</v>
      </c>
      <c r="F2899" s="0" t="s">
        <v>17130</v>
      </c>
      <c r="G2899" s="0" t="s">
        <v>18672</v>
      </c>
    </row>
    <row r="2900" customFormat="false" ht="15" hidden="false" customHeight="false" outlineLevel="0" collapsed="false">
      <c r="A2900" s="0" t="n">
        <v>4181</v>
      </c>
      <c r="B2900" s="0" t="n">
        <v>22815</v>
      </c>
      <c r="C2900" s="0" t="s">
        <v>17133</v>
      </c>
      <c r="D2900" s="0" t="s">
        <v>5</v>
      </c>
      <c r="F2900" s="0" t="s">
        <v>17134</v>
      </c>
      <c r="G2900" s="0" t="s">
        <v>18672</v>
      </c>
    </row>
    <row r="2901" customFormat="false" ht="15" hidden="false" customHeight="false" outlineLevel="0" collapsed="false">
      <c r="A2901" s="0" t="n">
        <v>4191</v>
      </c>
      <c r="B2901" s="0" t="n">
        <v>22825</v>
      </c>
      <c r="C2901" s="0" t="s">
        <v>17171</v>
      </c>
      <c r="D2901" s="0" t="s">
        <v>5</v>
      </c>
      <c r="F2901" s="0" t="s">
        <v>17172</v>
      </c>
      <c r="G2901" s="0" t="s">
        <v>18672</v>
      </c>
    </row>
    <row r="2902" customFormat="false" ht="15" hidden="false" customHeight="false" outlineLevel="0" collapsed="false">
      <c r="A2902" s="0" t="n">
        <v>4192</v>
      </c>
      <c r="B2902" s="0" t="n">
        <v>22826</v>
      </c>
      <c r="C2902" s="0" t="s">
        <v>17177</v>
      </c>
      <c r="D2902" s="0" t="s">
        <v>5</v>
      </c>
      <c r="F2902" s="0" t="s">
        <v>17178</v>
      </c>
      <c r="G2902" s="0" t="s">
        <v>18672</v>
      </c>
    </row>
    <row r="2903" customFormat="false" ht="15" hidden="false" customHeight="false" outlineLevel="0" collapsed="false">
      <c r="A2903" s="0" t="n">
        <v>4193</v>
      </c>
      <c r="B2903" s="0" t="n">
        <v>22827</v>
      </c>
      <c r="C2903" s="0" t="s">
        <v>17182</v>
      </c>
      <c r="D2903" s="0" t="s">
        <v>5</v>
      </c>
      <c r="F2903" s="0" t="s">
        <v>17183</v>
      </c>
      <c r="G2903" s="0" t="s">
        <v>18672</v>
      </c>
    </row>
    <row r="2904" customFormat="false" ht="15" hidden="false" customHeight="false" outlineLevel="0" collapsed="false">
      <c r="A2904" s="0" t="n">
        <v>4194</v>
      </c>
      <c r="B2904" s="0" t="n">
        <v>22828</v>
      </c>
      <c r="C2904" s="0" t="s">
        <v>17186</v>
      </c>
      <c r="D2904" s="0" t="s">
        <v>5</v>
      </c>
      <c r="F2904" s="0" t="s">
        <v>17187</v>
      </c>
      <c r="G2904" s="0" t="s">
        <v>18672</v>
      </c>
    </row>
    <row r="2905" customFormat="false" ht="15" hidden="false" customHeight="false" outlineLevel="0" collapsed="false">
      <c r="A2905" s="0" t="n">
        <v>4197</v>
      </c>
      <c r="B2905" s="0" t="n">
        <v>22995</v>
      </c>
      <c r="C2905" s="0" t="s">
        <v>17198</v>
      </c>
      <c r="D2905" s="0" t="s">
        <v>5</v>
      </c>
      <c r="F2905" s="0" t="s">
        <v>17199</v>
      </c>
      <c r="G2905" s="0" t="s">
        <v>18672</v>
      </c>
    </row>
    <row r="2906" customFormat="false" ht="15" hidden="false" customHeight="false" outlineLevel="0" collapsed="false">
      <c r="A2906" s="0" t="n">
        <v>4202</v>
      </c>
      <c r="B2906" s="0" t="n">
        <v>22878</v>
      </c>
      <c r="C2906" s="0" t="s">
        <v>17219</v>
      </c>
      <c r="D2906" s="0" t="s">
        <v>5</v>
      </c>
      <c r="F2906" s="0" t="s">
        <v>17220</v>
      </c>
      <c r="G2906" s="0" t="s">
        <v>18672</v>
      </c>
    </row>
    <row r="2907" customFormat="false" ht="15" hidden="false" customHeight="false" outlineLevel="0" collapsed="false">
      <c r="A2907" s="0" t="n">
        <v>4203</v>
      </c>
      <c r="B2907" s="0" t="n">
        <v>22868</v>
      </c>
      <c r="C2907" s="0" t="s">
        <v>17223</v>
      </c>
      <c r="D2907" s="0" t="s">
        <v>5</v>
      </c>
      <c r="F2907" s="0" t="s">
        <v>17224</v>
      </c>
      <c r="G2907" s="0" t="s">
        <v>18672</v>
      </c>
    </row>
    <row r="2908" customFormat="false" ht="15" hidden="false" customHeight="false" outlineLevel="0" collapsed="false">
      <c r="A2908" s="0" t="n">
        <v>4207</v>
      </c>
      <c r="B2908" s="0" t="n">
        <v>22829</v>
      </c>
      <c r="C2908" s="0" t="s">
        <v>17240</v>
      </c>
      <c r="D2908" s="0" t="s">
        <v>5</v>
      </c>
      <c r="F2908" s="0" t="s">
        <v>17241</v>
      </c>
      <c r="G2908" s="0" t="s">
        <v>18672</v>
      </c>
    </row>
    <row r="2909" customFormat="false" ht="15" hidden="false" customHeight="false" outlineLevel="0" collapsed="false">
      <c r="A2909" s="0" t="n">
        <v>4208</v>
      </c>
      <c r="B2909" s="0" t="n">
        <v>22996</v>
      </c>
      <c r="C2909" s="0" t="s">
        <v>17244</v>
      </c>
      <c r="D2909" s="0" t="s">
        <v>5</v>
      </c>
      <c r="F2909" s="0" t="s">
        <v>17245</v>
      </c>
      <c r="G2909" s="0" t="s">
        <v>18672</v>
      </c>
    </row>
    <row r="2910" customFormat="false" ht="15" hidden="false" customHeight="false" outlineLevel="0" collapsed="false">
      <c r="A2910" s="0" t="n">
        <v>4210</v>
      </c>
      <c r="B2910" s="0" t="n">
        <v>22997</v>
      </c>
      <c r="C2910" s="0" t="s">
        <v>17252</v>
      </c>
      <c r="D2910" s="0" t="s">
        <v>5</v>
      </c>
      <c r="F2910" s="0" t="s">
        <v>17253</v>
      </c>
      <c r="G2910" s="0" t="s">
        <v>18672</v>
      </c>
    </row>
    <row r="2911" customFormat="false" ht="15" hidden="false" customHeight="false" outlineLevel="0" collapsed="false">
      <c r="A2911" s="0" t="n">
        <v>4213</v>
      </c>
      <c r="B2911" s="0" t="n">
        <v>22863</v>
      </c>
      <c r="C2911" s="0" t="s">
        <v>17264</v>
      </c>
      <c r="D2911" s="0" t="s">
        <v>5</v>
      </c>
      <c r="F2911" s="0" t="s">
        <v>17265</v>
      </c>
      <c r="G2911" s="0" t="s">
        <v>18672</v>
      </c>
    </row>
    <row r="2912" customFormat="false" ht="15" hidden="false" customHeight="false" outlineLevel="0" collapsed="false">
      <c r="A2912" s="0" t="n">
        <v>4214</v>
      </c>
      <c r="B2912" s="0" t="n">
        <v>22998</v>
      </c>
      <c r="C2912" s="0" t="s">
        <v>17268</v>
      </c>
      <c r="D2912" s="0" t="s">
        <v>5</v>
      </c>
      <c r="F2912" s="0" t="s">
        <v>17269</v>
      </c>
      <c r="G2912" s="0" t="s">
        <v>18672</v>
      </c>
    </row>
    <row r="2913" customFormat="false" ht="15" hidden="false" customHeight="false" outlineLevel="0" collapsed="false">
      <c r="A2913" s="0" t="n">
        <v>4219</v>
      </c>
      <c r="B2913" s="0" t="n">
        <v>22849</v>
      </c>
      <c r="C2913" s="0" t="s">
        <v>17289</v>
      </c>
      <c r="D2913" s="0" t="s">
        <v>5</v>
      </c>
      <c r="F2913" s="0" t="s">
        <v>17290</v>
      </c>
      <c r="G2913" s="0" t="s">
        <v>18672</v>
      </c>
    </row>
    <row r="2914" customFormat="false" ht="15" hidden="false" customHeight="false" outlineLevel="0" collapsed="false">
      <c r="A2914" s="0" t="n">
        <v>4220</v>
      </c>
      <c r="B2914" s="0" t="n">
        <v>22846</v>
      </c>
      <c r="C2914" s="0" t="s">
        <v>17293</v>
      </c>
      <c r="D2914" s="0" t="s">
        <v>5</v>
      </c>
      <c r="F2914" s="0" t="s">
        <v>17294</v>
      </c>
      <c r="G2914" s="0" t="s">
        <v>18672</v>
      </c>
    </row>
    <row r="2915" customFormat="false" ht="15" hidden="false" customHeight="false" outlineLevel="0" collapsed="false">
      <c r="A2915" s="0" t="n">
        <v>4221</v>
      </c>
      <c r="B2915" s="0" t="n">
        <v>22999</v>
      </c>
      <c r="C2915" s="0" t="s">
        <v>17297</v>
      </c>
      <c r="D2915" s="0" t="s">
        <v>5</v>
      </c>
      <c r="F2915" s="0" t="s">
        <v>17298</v>
      </c>
      <c r="G2915" s="0" t="s">
        <v>18672</v>
      </c>
    </row>
    <row r="2916" customFormat="false" ht="15" hidden="false" customHeight="false" outlineLevel="0" collapsed="false">
      <c r="A2916" s="0" t="n">
        <v>4227</v>
      </c>
      <c r="B2916" s="0" t="n">
        <v>22860</v>
      </c>
      <c r="C2916" s="0" t="s">
        <v>17316</v>
      </c>
      <c r="D2916" s="0" t="s">
        <v>5</v>
      </c>
      <c r="F2916" s="0" t="s">
        <v>17320</v>
      </c>
      <c r="G2916" s="0" t="s">
        <v>18672</v>
      </c>
    </row>
    <row r="2917" customFormat="false" ht="15" hidden="false" customHeight="false" outlineLevel="0" collapsed="false">
      <c r="A2917" s="0" t="n">
        <v>4228</v>
      </c>
      <c r="B2917" s="0" t="n">
        <v>22840</v>
      </c>
      <c r="C2917" s="0" t="s">
        <v>17323</v>
      </c>
      <c r="D2917" s="0" t="s">
        <v>5</v>
      </c>
      <c r="F2917" s="0" t="s">
        <v>17324</v>
      </c>
      <c r="G2917" s="0" t="s">
        <v>18672</v>
      </c>
    </row>
    <row r="2918" customFormat="false" ht="15" hidden="false" customHeight="false" outlineLevel="0" collapsed="false">
      <c r="A2918" s="0" t="n">
        <v>4231</v>
      </c>
      <c r="B2918" s="0" t="n">
        <v>22869</v>
      </c>
      <c r="C2918" s="0" t="s">
        <v>17334</v>
      </c>
      <c r="D2918" s="0" t="s">
        <v>5</v>
      </c>
      <c r="F2918" s="0" t="s">
        <v>17335</v>
      </c>
      <c r="G2918" s="0" t="s">
        <v>18672</v>
      </c>
    </row>
    <row r="2919" customFormat="false" ht="15" hidden="false" customHeight="false" outlineLevel="0" collapsed="false">
      <c r="A2919" s="0" t="n">
        <v>4239</v>
      </c>
      <c r="B2919" s="0" t="n">
        <v>22844</v>
      </c>
      <c r="C2919" s="0" t="s">
        <v>17366</v>
      </c>
      <c r="D2919" s="0" t="s">
        <v>5</v>
      </c>
      <c r="F2919" s="0" t="s">
        <v>17367</v>
      </c>
      <c r="G2919" s="0" t="s">
        <v>18672</v>
      </c>
    </row>
    <row r="2920" customFormat="false" ht="15" hidden="false" customHeight="false" outlineLevel="0" collapsed="false">
      <c r="A2920" s="0" t="n">
        <v>4245</v>
      </c>
      <c r="B2920" s="0" t="n">
        <v>22879</v>
      </c>
      <c r="C2920" s="0" t="s">
        <v>17390</v>
      </c>
      <c r="D2920" s="0" t="s">
        <v>5</v>
      </c>
      <c r="F2920" s="0" t="s">
        <v>17391</v>
      </c>
      <c r="G2920" s="0" t="s">
        <v>18672</v>
      </c>
    </row>
    <row r="2921" customFormat="false" ht="15" hidden="false" customHeight="false" outlineLevel="0" collapsed="false">
      <c r="A2921" s="0" t="n">
        <v>4246</v>
      </c>
      <c r="B2921" s="0" t="n">
        <v>22880</v>
      </c>
      <c r="C2921" s="0" t="s">
        <v>17394</v>
      </c>
      <c r="D2921" s="0" t="s">
        <v>5</v>
      </c>
      <c r="F2921" s="0" t="s">
        <v>17395</v>
      </c>
      <c r="G2921" s="0" t="s">
        <v>18672</v>
      </c>
    </row>
    <row r="2922" customFormat="false" ht="15" hidden="false" customHeight="false" outlineLevel="0" collapsed="false">
      <c r="A2922" s="0" t="n">
        <v>4247</v>
      </c>
      <c r="B2922" s="0" t="n">
        <v>22881</v>
      </c>
      <c r="C2922" s="0" t="s">
        <v>17399</v>
      </c>
      <c r="D2922" s="0" t="s">
        <v>5</v>
      </c>
      <c r="F2922" s="0" t="s">
        <v>17400</v>
      </c>
      <c r="G2922" s="0" t="s">
        <v>18672</v>
      </c>
    </row>
    <row r="2923" customFormat="false" ht="15" hidden="false" customHeight="false" outlineLevel="0" collapsed="false">
      <c r="A2923" s="0" t="n">
        <v>4248</v>
      </c>
      <c r="B2923" s="0" t="n">
        <v>22882</v>
      </c>
      <c r="C2923" s="0" t="s">
        <v>17404</v>
      </c>
      <c r="D2923" s="0" t="s">
        <v>5</v>
      </c>
      <c r="F2923" s="0" t="s">
        <v>17405</v>
      </c>
      <c r="G2923" s="0" t="s">
        <v>18672</v>
      </c>
    </row>
    <row r="2924" customFormat="false" ht="15" hidden="false" customHeight="false" outlineLevel="0" collapsed="false">
      <c r="A2924" s="0" t="n">
        <v>4249</v>
      </c>
      <c r="B2924" s="0" t="n">
        <v>22883</v>
      </c>
      <c r="C2924" s="0" t="s">
        <v>17409</v>
      </c>
      <c r="D2924" s="0" t="s">
        <v>5</v>
      </c>
      <c r="F2924" s="0" t="s">
        <v>17410</v>
      </c>
      <c r="G2924" s="0" t="s">
        <v>18672</v>
      </c>
    </row>
    <row r="2925" customFormat="false" ht="15" hidden="false" customHeight="false" outlineLevel="0" collapsed="false">
      <c r="A2925" s="0" t="n">
        <v>4250</v>
      </c>
      <c r="B2925" s="0" t="n">
        <v>22884</v>
      </c>
      <c r="C2925" s="0" t="s">
        <v>17413</v>
      </c>
      <c r="D2925" s="0" t="s">
        <v>5</v>
      </c>
      <c r="F2925" s="0" t="s">
        <v>17414</v>
      </c>
      <c r="G2925" s="0" t="s">
        <v>18672</v>
      </c>
    </row>
    <row r="2926" customFormat="false" ht="15" hidden="false" customHeight="false" outlineLevel="0" collapsed="false">
      <c r="A2926" s="0" t="n">
        <v>4251</v>
      </c>
      <c r="B2926" s="0" t="n">
        <v>22885</v>
      </c>
      <c r="C2926" s="0" t="s">
        <v>17418</v>
      </c>
      <c r="D2926" s="0" t="s">
        <v>5</v>
      </c>
      <c r="F2926" s="0" t="s">
        <v>17419</v>
      </c>
      <c r="G2926" s="0" t="s">
        <v>18672</v>
      </c>
    </row>
    <row r="2927" customFormat="false" ht="15" hidden="false" customHeight="false" outlineLevel="0" collapsed="false">
      <c r="A2927" s="0" t="n">
        <v>4252</v>
      </c>
      <c r="B2927" s="0" t="n">
        <v>22886</v>
      </c>
      <c r="C2927" s="0" t="s">
        <v>16309</v>
      </c>
      <c r="D2927" s="0" t="s">
        <v>5</v>
      </c>
      <c r="F2927" s="0" t="s">
        <v>17422</v>
      </c>
      <c r="G2927" s="0" t="s">
        <v>18672</v>
      </c>
    </row>
    <row r="2928" customFormat="false" ht="15" hidden="false" customHeight="false" outlineLevel="0" collapsed="false">
      <c r="A2928" s="0" t="n">
        <v>4253</v>
      </c>
      <c r="B2928" s="0" t="n">
        <v>22887</v>
      </c>
      <c r="C2928" s="0" t="s">
        <v>17426</v>
      </c>
      <c r="D2928" s="0" t="s">
        <v>5</v>
      </c>
      <c r="F2928" s="0" t="s">
        <v>17427</v>
      </c>
      <c r="G2928" s="0" t="s">
        <v>18672</v>
      </c>
    </row>
    <row r="2929" customFormat="false" ht="15" hidden="false" customHeight="false" outlineLevel="0" collapsed="false">
      <c r="A2929" s="0" t="n">
        <v>4254</v>
      </c>
      <c r="B2929" s="0" t="n">
        <v>22888</v>
      </c>
      <c r="C2929" s="0" t="s">
        <v>17431</v>
      </c>
      <c r="D2929" s="0" t="s">
        <v>5</v>
      </c>
      <c r="F2929" s="0" t="s">
        <v>17432</v>
      </c>
      <c r="G2929" s="0" t="s">
        <v>18672</v>
      </c>
    </row>
    <row r="2930" customFormat="false" ht="15" hidden="false" customHeight="false" outlineLevel="0" collapsed="false">
      <c r="A2930" s="0" t="n">
        <v>4255</v>
      </c>
      <c r="B2930" s="0" t="n">
        <v>22889</v>
      </c>
      <c r="C2930" s="0" t="s">
        <v>17436</v>
      </c>
      <c r="D2930" s="0" t="s">
        <v>5</v>
      </c>
      <c r="F2930" s="0" t="s">
        <v>17437</v>
      </c>
      <c r="G2930" s="0" t="s">
        <v>18672</v>
      </c>
    </row>
    <row r="2931" customFormat="false" ht="15" hidden="false" customHeight="false" outlineLevel="0" collapsed="false">
      <c r="A2931" s="0" t="n">
        <v>4256</v>
      </c>
      <c r="B2931" s="0" t="n">
        <v>22890</v>
      </c>
      <c r="C2931" s="0" t="s">
        <v>17440</v>
      </c>
      <c r="D2931" s="0" t="s">
        <v>5</v>
      </c>
      <c r="F2931" s="0" t="s">
        <v>17442</v>
      </c>
      <c r="G2931" s="0" t="s">
        <v>18672</v>
      </c>
    </row>
    <row r="2932" customFormat="false" ht="15" hidden="false" customHeight="false" outlineLevel="0" collapsed="false">
      <c r="A2932" s="0" t="n">
        <v>4257</v>
      </c>
      <c r="B2932" s="0" t="n">
        <v>22891</v>
      </c>
      <c r="C2932" s="0" t="s">
        <v>17446</v>
      </c>
      <c r="D2932" s="0" t="s">
        <v>5</v>
      </c>
      <c r="F2932" s="0" t="s">
        <v>17447</v>
      </c>
      <c r="G2932" s="0" t="s">
        <v>18672</v>
      </c>
    </row>
    <row r="2933" customFormat="false" ht="15" hidden="false" customHeight="false" outlineLevel="0" collapsed="false">
      <c r="A2933" s="0" t="n">
        <v>4258</v>
      </c>
      <c r="B2933" s="0" t="n">
        <v>22892</v>
      </c>
      <c r="C2933" s="0" t="s">
        <v>17451</v>
      </c>
      <c r="D2933" s="0" t="s">
        <v>5</v>
      </c>
      <c r="F2933" s="0" t="s">
        <v>17452</v>
      </c>
      <c r="G2933" s="0" t="s">
        <v>18672</v>
      </c>
    </row>
    <row r="2934" customFormat="false" ht="15" hidden="false" customHeight="false" outlineLevel="0" collapsed="false">
      <c r="A2934" s="0" t="n">
        <v>4259</v>
      </c>
      <c r="B2934" s="0" t="n">
        <v>22893</v>
      </c>
      <c r="C2934" s="0" t="s">
        <v>17455</v>
      </c>
      <c r="D2934" s="0" t="s">
        <v>5</v>
      </c>
      <c r="F2934" s="0" t="s">
        <v>17456</v>
      </c>
      <c r="G2934" s="0" t="s">
        <v>18672</v>
      </c>
    </row>
    <row r="2935" customFormat="false" ht="15" hidden="false" customHeight="false" outlineLevel="0" collapsed="false">
      <c r="A2935" s="0" t="n">
        <v>4260</v>
      </c>
      <c r="B2935" s="0" t="n">
        <v>22894</v>
      </c>
      <c r="C2935" s="0" t="s">
        <v>17459</v>
      </c>
      <c r="D2935" s="0" t="s">
        <v>5</v>
      </c>
      <c r="F2935" s="0" t="s">
        <v>17460</v>
      </c>
      <c r="G2935" s="0" t="s">
        <v>18672</v>
      </c>
    </row>
    <row r="2936" customFormat="false" ht="15" hidden="false" customHeight="false" outlineLevel="0" collapsed="false">
      <c r="A2936" s="0" t="n">
        <v>4265</v>
      </c>
      <c r="B2936" s="0" t="n">
        <v>22899</v>
      </c>
      <c r="C2936" s="0" t="s">
        <v>17482</v>
      </c>
      <c r="D2936" s="0" t="s">
        <v>5</v>
      </c>
      <c r="F2936" s="0" t="s">
        <v>17483</v>
      </c>
      <c r="G2936" s="0" t="s">
        <v>18672</v>
      </c>
    </row>
    <row r="2937" customFormat="false" ht="15" hidden="false" customHeight="false" outlineLevel="0" collapsed="false">
      <c r="A2937" s="0" t="n">
        <v>4272</v>
      </c>
      <c r="B2937" s="0" t="n">
        <v>22906</v>
      </c>
      <c r="C2937" s="0" t="s">
        <v>17513</v>
      </c>
      <c r="D2937" s="0" t="s">
        <v>5</v>
      </c>
      <c r="F2937" s="0" t="s">
        <v>17514</v>
      </c>
      <c r="G2937" s="0" t="s">
        <v>18672</v>
      </c>
    </row>
    <row r="2938" customFormat="false" ht="15" hidden="false" customHeight="false" outlineLevel="0" collapsed="false">
      <c r="A2938" s="0" t="n">
        <v>4275</v>
      </c>
      <c r="B2938" s="0" t="n">
        <v>23018</v>
      </c>
      <c r="C2938" s="0" t="s">
        <v>17528</v>
      </c>
      <c r="D2938" s="0" t="s">
        <v>5</v>
      </c>
      <c r="F2938" s="0" t="s">
        <v>17529</v>
      </c>
      <c r="G2938" s="0" t="s">
        <v>18672</v>
      </c>
    </row>
    <row r="2939" customFormat="false" ht="15" hidden="false" customHeight="false" outlineLevel="0" collapsed="false">
      <c r="A2939" s="0" t="n">
        <v>4277</v>
      </c>
      <c r="B2939" s="0" t="n">
        <v>22911</v>
      </c>
      <c r="C2939" s="0" t="s">
        <v>17536</v>
      </c>
      <c r="D2939" s="0" t="s">
        <v>5</v>
      </c>
      <c r="F2939" s="0" t="s">
        <v>17537</v>
      </c>
      <c r="G2939" s="0" t="s">
        <v>18672</v>
      </c>
    </row>
    <row r="2940" customFormat="false" ht="15" hidden="false" customHeight="false" outlineLevel="0" collapsed="false">
      <c r="A2940" s="0" t="n">
        <v>4278</v>
      </c>
      <c r="B2940" s="0" t="n">
        <v>22912</v>
      </c>
      <c r="C2940" s="0" t="s">
        <v>17540</v>
      </c>
      <c r="D2940" s="0" t="s">
        <v>5</v>
      </c>
      <c r="F2940" s="0" t="s">
        <v>17541</v>
      </c>
      <c r="G2940" s="0" t="s">
        <v>18672</v>
      </c>
    </row>
    <row r="2941" customFormat="false" ht="15" hidden="false" customHeight="false" outlineLevel="0" collapsed="false">
      <c r="A2941" s="0" t="n">
        <v>4279</v>
      </c>
      <c r="B2941" s="0" t="n">
        <v>22913</v>
      </c>
      <c r="C2941" s="0" t="s">
        <v>17544</v>
      </c>
      <c r="D2941" s="0" t="s">
        <v>5</v>
      </c>
      <c r="F2941" s="0" t="s">
        <v>17545</v>
      </c>
      <c r="G2941" s="0" t="s">
        <v>18672</v>
      </c>
    </row>
    <row r="2942" customFormat="false" ht="15" hidden="false" customHeight="false" outlineLevel="0" collapsed="false">
      <c r="A2942" s="0" t="n">
        <v>4280</v>
      </c>
      <c r="B2942" s="0" t="n">
        <v>22914</v>
      </c>
      <c r="C2942" s="0" t="s">
        <v>17549</v>
      </c>
      <c r="D2942" s="0" t="s">
        <v>5</v>
      </c>
      <c r="F2942" s="0" t="s">
        <v>17550</v>
      </c>
      <c r="G2942" s="0" t="s">
        <v>18672</v>
      </c>
    </row>
    <row r="2943" customFormat="false" ht="15" hidden="false" customHeight="false" outlineLevel="0" collapsed="false">
      <c r="A2943" s="0" t="n">
        <v>4281</v>
      </c>
      <c r="B2943" s="0" t="n">
        <v>22915</v>
      </c>
      <c r="C2943" s="0" t="s">
        <v>17553</v>
      </c>
      <c r="D2943" s="0" t="s">
        <v>5</v>
      </c>
      <c r="F2943" s="0" t="s">
        <v>17554</v>
      </c>
      <c r="G2943" s="0" t="s">
        <v>18672</v>
      </c>
    </row>
    <row r="2944" customFormat="false" ht="15" hidden="false" customHeight="false" outlineLevel="0" collapsed="false">
      <c r="A2944" s="0" t="n">
        <v>4282</v>
      </c>
      <c r="B2944" s="0" t="n">
        <v>22916</v>
      </c>
      <c r="C2944" s="0" t="s">
        <v>17557</v>
      </c>
      <c r="D2944" s="0" t="s">
        <v>5</v>
      </c>
      <c r="F2944" s="0" t="s">
        <v>17558</v>
      </c>
      <c r="G2944" s="0" t="s">
        <v>18672</v>
      </c>
    </row>
    <row r="2945" customFormat="false" ht="15" hidden="false" customHeight="false" outlineLevel="0" collapsed="false">
      <c r="A2945" s="0" t="n">
        <v>4283</v>
      </c>
      <c r="B2945" s="0" t="n">
        <v>22917</v>
      </c>
      <c r="C2945" s="0" t="s">
        <v>17561</v>
      </c>
      <c r="D2945" s="0" t="s">
        <v>5</v>
      </c>
      <c r="F2945" s="0" t="s">
        <v>17562</v>
      </c>
      <c r="G2945" s="0" t="s">
        <v>18672</v>
      </c>
    </row>
    <row r="2946" customFormat="false" ht="15" hidden="false" customHeight="false" outlineLevel="0" collapsed="false">
      <c r="A2946" s="0" t="n">
        <v>4284</v>
      </c>
      <c r="B2946" s="0" t="n">
        <v>22918</v>
      </c>
      <c r="C2946" s="0" t="s">
        <v>17565</v>
      </c>
      <c r="D2946" s="0" t="s">
        <v>5</v>
      </c>
      <c r="F2946" s="0" t="s">
        <v>17567</v>
      </c>
      <c r="G2946" s="0" t="s">
        <v>18672</v>
      </c>
    </row>
    <row r="2947" customFormat="false" ht="15" hidden="false" customHeight="false" outlineLevel="0" collapsed="false">
      <c r="A2947" s="0" t="n">
        <v>4285</v>
      </c>
      <c r="B2947" s="0" t="n">
        <v>22919</v>
      </c>
      <c r="C2947" s="0" t="s">
        <v>17571</v>
      </c>
      <c r="D2947" s="0" t="s">
        <v>5</v>
      </c>
      <c r="F2947" s="0" t="s">
        <v>17572</v>
      </c>
      <c r="G2947" s="0" t="s">
        <v>18672</v>
      </c>
    </row>
    <row r="2948" customFormat="false" ht="15" hidden="false" customHeight="false" outlineLevel="0" collapsed="false">
      <c r="A2948" s="0" t="n">
        <v>4286</v>
      </c>
      <c r="B2948" s="0" t="n">
        <v>22920</v>
      </c>
      <c r="C2948" s="0" t="s">
        <v>17575</v>
      </c>
      <c r="D2948" s="0" t="s">
        <v>5</v>
      </c>
      <c r="F2948" s="0" t="s">
        <v>17576</v>
      </c>
      <c r="G2948" s="0" t="s">
        <v>18672</v>
      </c>
    </row>
    <row r="2949" customFormat="false" ht="15" hidden="false" customHeight="false" outlineLevel="0" collapsed="false">
      <c r="A2949" s="0" t="n">
        <v>4287</v>
      </c>
      <c r="B2949" s="0" t="n">
        <v>22921</v>
      </c>
      <c r="C2949" s="0" t="s">
        <v>17579</v>
      </c>
      <c r="D2949" s="0" t="s">
        <v>5</v>
      </c>
      <c r="F2949" s="0" t="s">
        <v>17580</v>
      </c>
      <c r="G2949" s="0" t="s">
        <v>18672</v>
      </c>
    </row>
    <row r="2950" customFormat="false" ht="15" hidden="false" customHeight="false" outlineLevel="0" collapsed="false">
      <c r="A2950" s="0" t="n">
        <v>4288</v>
      </c>
      <c r="B2950" s="0" t="n">
        <v>22922</v>
      </c>
      <c r="C2950" s="0" t="s">
        <v>17583</v>
      </c>
      <c r="D2950" s="0" t="s">
        <v>5</v>
      </c>
      <c r="F2950" s="0" t="s">
        <v>17584</v>
      </c>
      <c r="G2950" s="0" t="s">
        <v>18672</v>
      </c>
    </row>
    <row r="2951" customFormat="false" ht="15" hidden="false" customHeight="false" outlineLevel="0" collapsed="false">
      <c r="A2951" s="0" t="n">
        <v>4289</v>
      </c>
      <c r="B2951" s="0" t="n">
        <v>22923</v>
      </c>
      <c r="C2951" s="0" t="s">
        <v>6104</v>
      </c>
      <c r="D2951" s="0" t="s">
        <v>5</v>
      </c>
      <c r="F2951" s="0" t="s">
        <v>17587</v>
      </c>
      <c r="G2951" s="0" t="s">
        <v>18672</v>
      </c>
    </row>
    <row r="2952" customFormat="false" ht="15" hidden="false" customHeight="false" outlineLevel="0" collapsed="false">
      <c r="A2952" s="0" t="n">
        <v>4290</v>
      </c>
      <c r="B2952" s="0" t="n">
        <v>22924</v>
      </c>
      <c r="C2952" s="0" t="s">
        <v>17589</v>
      </c>
      <c r="D2952" s="0" t="s">
        <v>5</v>
      </c>
      <c r="F2952" s="0" t="s">
        <v>17590</v>
      </c>
      <c r="G2952" s="0" t="s">
        <v>18672</v>
      </c>
    </row>
    <row r="2953" customFormat="false" ht="15" hidden="false" customHeight="false" outlineLevel="0" collapsed="false">
      <c r="A2953" s="0" t="n">
        <v>4291</v>
      </c>
      <c r="B2953" s="0" t="n">
        <v>22925</v>
      </c>
      <c r="C2953" s="0" t="s">
        <v>17593</v>
      </c>
      <c r="D2953" s="0" t="s">
        <v>5</v>
      </c>
      <c r="F2953" s="0" t="s">
        <v>17594</v>
      </c>
      <c r="G2953" s="0" t="s">
        <v>18672</v>
      </c>
    </row>
    <row r="2954" customFormat="false" ht="15" hidden="false" customHeight="false" outlineLevel="0" collapsed="false">
      <c r="A2954" s="0" t="n">
        <v>4292</v>
      </c>
      <c r="B2954" s="0" t="n">
        <v>22926</v>
      </c>
      <c r="C2954" s="0" t="s">
        <v>17597</v>
      </c>
      <c r="D2954" s="0" t="s">
        <v>5</v>
      </c>
      <c r="F2954" s="0" t="s">
        <v>17598</v>
      </c>
      <c r="G2954" s="0" t="s">
        <v>18672</v>
      </c>
    </row>
    <row r="2955" customFormat="false" ht="15" hidden="false" customHeight="false" outlineLevel="0" collapsed="false">
      <c r="A2955" s="0" t="n">
        <v>4293</v>
      </c>
      <c r="B2955" s="0" t="n">
        <v>22927</v>
      </c>
      <c r="C2955" s="0" t="s">
        <v>17601</v>
      </c>
      <c r="D2955" s="0" t="s">
        <v>5</v>
      </c>
      <c r="F2955" s="0" t="s">
        <v>17602</v>
      </c>
      <c r="G2955" s="0" t="s">
        <v>18672</v>
      </c>
    </row>
    <row r="2956" customFormat="false" ht="15" hidden="false" customHeight="false" outlineLevel="0" collapsed="false">
      <c r="A2956" s="0" t="n">
        <v>4294</v>
      </c>
      <c r="B2956" s="0" t="n">
        <v>22928</v>
      </c>
      <c r="C2956" s="0" t="s">
        <v>17606</v>
      </c>
      <c r="D2956" s="0" t="s">
        <v>5</v>
      </c>
      <c r="F2956" s="0" t="s">
        <v>17607</v>
      </c>
      <c r="G2956" s="0" t="s">
        <v>18672</v>
      </c>
    </row>
    <row r="2957" customFormat="false" ht="15" hidden="false" customHeight="false" outlineLevel="0" collapsed="false">
      <c r="A2957" s="0" t="n">
        <v>4295</v>
      </c>
      <c r="B2957" s="0" t="n">
        <v>22929</v>
      </c>
      <c r="C2957" s="0" t="s">
        <v>17611</v>
      </c>
      <c r="D2957" s="0" t="s">
        <v>5</v>
      </c>
      <c r="F2957" s="0" t="s">
        <v>17612</v>
      </c>
      <c r="G2957" s="0" t="s">
        <v>18672</v>
      </c>
    </row>
    <row r="2958" customFormat="false" ht="15" hidden="false" customHeight="false" outlineLevel="0" collapsed="false">
      <c r="A2958" s="0" t="n">
        <v>4296</v>
      </c>
      <c r="B2958" s="0" t="n">
        <v>22930</v>
      </c>
      <c r="C2958" s="0" t="s">
        <v>17615</v>
      </c>
      <c r="D2958" s="0" t="s">
        <v>5</v>
      </c>
      <c r="F2958" s="0" t="s">
        <v>17616</v>
      </c>
      <c r="G2958" s="0" t="s">
        <v>18672</v>
      </c>
    </row>
    <row r="2959" customFormat="false" ht="15" hidden="false" customHeight="false" outlineLevel="0" collapsed="false">
      <c r="A2959" s="0" t="n">
        <v>4297</v>
      </c>
      <c r="B2959" s="0" t="n">
        <v>22931</v>
      </c>
      <c r="C2959" s="0" t="s">
        <v>17619</v>
      </c>
      <c r="D2959" s="0" t="s">
        <v>5</v>
      </c>
      <c r="F2959" s="0" t="s">
        <v>17620</v>
      </c>
      <c r="G2959" s="0" t="s">
        <v>18672</v>
      </c>
    </row>
    <row r="2960" customFormat="false" ht="15" hidden="false" customHeight="false" outlineLevel="0" collapsed="false">
      <c r="A2960" s="0" t="n">
        <v>4298</v>
      </c>
      <c r="B2960" s="0" t="n">
        <v>22932</v>
      </c>
      <c r="C2960" s="0" t="s">
        <v>17623</v>
      </c>
      <c r="D2960" s="0" t="s">
        <v>5</v>
      </c>
      <c r="F2960" s="0" t="s">
        <v>17624</v>
      </c>
      <c r="G2960" s="0" t="s">
        <v>18672</v>
      </c>
    </row>
    <row r="2961" customFormat="false" ht="15" hidden="false" customHeight="false" outlineLevel="0" collapsed="false">
      <c r="A2961" s="0" t="n">
        <v>4299</v>
      </c>
      <c r="B2961" s="0" t="n">
        <v>22933</v>
      </c>
      <c r="C2961" s="0" t="s">
        <v>17627</v>
      </c>
      <c r="D2961" s="0" t="s">
        <v>5</v>
      </c>
      <c r="F2961" s="0" t="s">
        <v>17628</v>
      </c>
      <c r="G2961" s="0" t="s">
        <v>18672</v>
      </c>
    </row>
    <row r="2962" customFormat="false" ht="15" hidden="false" customHeight="false" outlineLevel="0" collapsed="false">
      <c r="A2962" s="0" t="n">
        <v>4300</v>
      </c>
      <c r="B2962" s="0" t="n">
        <v>22934</v>
      </c>
      <c r="C2962" s="0" t="s">
        <v>8960</v>
      </c>
      <c r="D2962" s="0" t="s">
        <v>5</v>
      </c>
      <c r="F2962" s="0" t="s">
        <v>17631</v>
      </c>
      <c r="G2962" s="0" t="s">
        <v>18672</v>
      </c>
    </row>
    <row r="2963" customFormat="false" ht="15" hidden="false" customHeight="false" outlineLevel="0" collapsed="false">
      <c r="A2963" s="0" t="n">
        <v>4301</v>
      </c>
      <c r="B2963" s="0" t="n">
        <v>22935</v>
      </c>
      <c r="C2963" s="0" t="s">
        <v>17633</v>
      </c>
      <c r="D2963" s="0" t="s">
        <v>5</v>
      </c>
      <c r="F2963" s="0" t="s">
        <v>17634</v>
      </c>
      <c r="G2963" s="0" t="s">
        <v>18672</v>
      </c>
    </row>
    <row r="2964" customFormat="false" ht="15" hidden="false" customHeight="false" outlineLevel="0" collapsed="false">
      <c r="A2964" s="0" t="n">
        <v>4302</v>
      </c>
      <c r="B2964" s="0" t="n">
        <v>22936</v>
      </c>
      <c r="C2964" s="0" t="s">
        <v>17637</v>
      </c>
      <c r="D2964" s="0" t="s">
        <v>5</v>
      </c>
      <c r="F2964" s="0" t="s">
        <v>17638</v>
      </c>
      <c r="G2964" s="0" t="s">
        <v>18672</v>
      </c>
    </row>
    <row r="2965" customFormat="false" ht="15" hidden="false" customHeight="false" outlineLevel="0" collapsed="false">
      <c r="A2965" s="0" t="n">
        <v>4303</v>
      </c>
      <c r="B2965" s="0" t="n">
        <v>22937</v>
      </c>
      <c r="C2965" s="0" t="s">
        <v>17641</v>
      </c>
      <c r="D2965" s="0" t="s">
        <v>5</v>
      </c>
      <c r="F2965" s="0" t="s">
        <v>17642</v>
      </c>
      <c r="G2965" s="0" t="s">
        <v>18672</v>
      </c>
    </row>
    <row r="2966" customFormat="false" ht="15" hidden="false" customHeight="false" outlineLevel="0" collapsed="false">
      <c r="A2966" s="0" t="n">
        <v>4304</v>
      </c>
      <c r="B2966" s="0" t="n">
        <v>22938</v>
      </c>
      <c r="C2966" s="0" t="s">
        <v>17646</v>
      </c>
      <c r="D2966" s="0" t="s">
        <v>5</v>
      </c>
      <c r="F2966" s="0" t="s">
        <v>17647</v>
      </c>
      <c r="G2966" s="0" t="s">
        <v>18672</v>
      </c>
    </row>
    <row r="2967" customFormat="false" ht="15" hidden="false" customHeight="false" outlineLevel="0" collapsed="false">
      <c r="A2967" s="0" t="n">
        <v>4305</v>
      </c>
      <c r="B2967" s="0" t="n">
        <v>22939</v>
      </c>
      <c r="C2967" s="0" t="s">
        <v>17650</v>
      </c>
      <c r="D2967" s="0" t="s">
        <v>5</v>
      </c>
      <c r="F2967" s="0" t="s">
        <v>17651</v>
      </c>
      <c r="G2967" s="0" t="s">
        <v>18672</v>
      </c>
    </row>
    <row r="2968" customFormat="false" ht="15" hidden="false" customHeight="false" outlineLevel="0" collapsed="false">
      <c r="A2968" s="0" t="n">
        <v>4306</v>
      </c>
      <c r="B2968" s="0" t="n">
        <v>22940</v>
      </c>
      <c r="C2968" s="0" t="s">
        <v>17654</v>
      </c>
      <c r="D2968" s="0" t="s">
        <v>5</v>
      </c>
      <c r="F2968" s="0" t="s">
        <v>17655</v>
      </c>
      <c r="G2968" s="0" t="s">
        <v>18672</v>
      </c>
    </row>
    <row r="2969" customFormat="false" ht="15" hidden="false" customHeight="false" outlineLevel="0" collapsed="false">
      <c r="A2969" s="0" t="n">
        <v>4307</v>
      </c>
      <c r="B2969" s="0" t="n">
        <v>22941</v>
      </c>
      <c r="C2969" s="0" t="s">
        <v>17658</v>
      </c>
      <c r="D2969" s="0" t="s">
        <v>5</v>
      </c>
      <c r="F2969" s="0" t="s">
        <v>17659</v>
      </c>
      <c r="G2969" s="0" t="s">
        <v>18672</v>
      </c>
    </row>
    <row r="2970" customFormat="false" ht="15" hidden="false" customHeight="false" outlineLevel="0" collapsed="false">
      <c r="A2970" s="0" t="n">
        <v>4308</v>
      </c>
      <c r="B2970" s="0" t="n">
        <v>22942</v>
      </c>
      <c r="C2970" s="0" t="s">
        <v>17662</v>
      </c>
      <c r="D2970" s="0" t="s">
        <v>5</v>
      </c>
      <c r="F2970" s="0" t="s">
        <v>17663</v>
      </c>
      <c r="G2970" s="0" t="s">
        <v>18672</v>
      </c>
    </row>
    <row r="2971" customFormat="false" ht="15" hidden="false" customHeight="false" outlineLevel="0" collapsed="false">
      <c r="A2971" s="0" t="n">
        <v>4309</v>
      </c>
      <c r="B2971" s="0" t="n">
        <v>22943</v>
      </c>
      <c r="C2971" s="0" t="s">
        <v>17666</v>
      </c>
      <c r="D2971" s="0" t="s">
        <v>5</v>
      </c>
      <c r="F2971" s="0" t="s">
        <v>17667</v>
      </c>
      <c r="G2971" s="0" t="s">
        <v>18672</v>
      </c>
    </row>
    <row r="2972" customFormat="false" ht="15" hidden="false" customHeight="false" outlineLevel="0" collapsed="false">
      <c r="A2972" s="0" t="n">
        <v>4310</v>
      </c>
      <c r="B2972" s="0" t="n">
        <v>22944</v>
      </c>
      <c r="C2972" s="0" t="s">
        <v>17669</v>
      </c>
      <c r="D2972" s="0" t="s">
        <v>5</v>
      </c>
      <c r="F2972" s="0" t="s">
        <v>17670</v>
      </c>
      <c r="G2972" s="0" t="s">
        <v>18672</v>
      </c>
    </row>
    <row r="2973" customFormat="false" ht="15" hidden="false" customHeight="false" outlineLevel="0" collapsed="false">
      <c r="A2973" s="0" t="n">
        <v>4311</v>
      </c>
      <c r="B2973" s="0" t="n">
        <v>22945</v>
      </c>
      <c r="C2973" s="0" t="s">
        <v>17673</v>
      </c>
      <c r="D2973" s="0" t="s">
        <v>5</v>
      </c>
      <c r="F2973" s="0" t="s">
        <v>17674</v>
      </c>
      <c r="G2973" s="0" t="s">
        <v>18672</v>
      </c>
    </row>
    <row r="2974" customFormat="false" ht="15" hidden="false" customHeight="false" outlineLevel="0" collapsed="false">
      <c r="A2974" s="0" t="n">
        <v>4312</v>
      </c>
      <c r="B2974" s="0" t="n">
        <v>22946</v>
      </c>
      <c r="C2974" s="0" t="s">
        <v>17677</v>
      </c>
      <c r="D2974" s="0" t="s">
        <v>5</v>
      </c>
      <c r="F2974" s="0" t="s">
        <v>17678</v>
      </c>
      <c r="G2974" s="0" t="s">
        <v>18672</v>
      </c>
    </row>
    <row r="2975" customFormat="false" ht="15" hidden="false" customHeight="false" outlineLevel="0" collapsed="false">
      <c r="A2975" s="0" t="n">
        <v>4313</v>
      </c>
      <c r="B2975" s="0" t="n">
        <v>22947</v>
      </c>
      <c r="C2975" s="0" t="s">
        <v>17681</v>
      </c>
      <c r="D2975" s="0" t="s">
        <v>5</v>
      </c>
      <c r="F2975" s="0" t="s">
        <v>17682</v>
      </c>
      <c r="G2975" s="0" t="s">
        <v>18672</v>
      </c>
    </row>
    <row r="2976" customFormat="false" ht="15" hidden="false" customHeight="false" outlineLevel="0" collapsed="false">
      <c r="A2976" s="0" t="n">
        <v>4314</v>
      </c>
      <c r="B2976" s="0" t="n">
        <v>22948</v>
      </c>
      <c r="C2976" s="0" t="s">
        <v>17685</v>
      </c>
      <c r="D2976" s="0" t="s">
        <v>5</v>
      </c>
      <c r="F2976" s="0" t="s">
        <v>17686</v>
      </c>
      <c r="G2976" s="0" t="s">
        <v>18672</v>
      </c>
    </row>
    <row r="2977" customFormat="false" ht="15" hidden="false" customHeight="false" outlineLevel="0" collapsed="false">
      <c r="A2977" s="0" t="n">
        <v>4315</v>
      </c>
      <c r="B2977" s="0" t="n">
        <v>22950</v>
      </c>
      <c r="C2977" s="0" t="s">
        <v>17690</v>
      </c>
      <c r="D2977" s="0" t="s">
        <v>5</v>
      </c>
      <c r="F2977" s="0" t="s">
        <v>17691</v>
      </c>
      <c r="G2977" s="0" t="s">
        <v>18672</v>
      </c>
    </row>
    <row r="2978" customFormat="false" ht="15" hidden="false" customHeight="false" outlineLevel="0" collapsed="false">
      <c r="A2978" s="0" t="n">
        <v>4316</v>
      </c>
      <c r="B2978" s="0" t="n">
        <v>22951</v>
      </c>
      <c r="C2978" s="0" t="s">
        <v>17694</v>
      </c>
      <c r="D2978" s="0" t="s">
        <v>5</v>
      </c>
      <c r="F2978" s="0" t="s">
        <v>17695</v>
      </c>
      <c r="G2978" s="0" t="s">
        <v>18672</v>
      </c>
    </row>
    <row r="2979" customFormat="false" ht="15" hidden="false" customHeight="false" outlineLevel="0" collapsed="false">
      <c r="A2979" s="0" t="n">
        <v>4317</v>
      </c>
      <c r="B2979" s="0" t="n">
        <v>22952</v>
      </c>
      <c r="C2979" s="0" t="s">
        <v>17698</v>
      </c>
      <c r="D2979" s="0" t="s">
        <v>5</v>
      </c>
      <c r="F2979" s="0" t="s">
        <v>17699</v>
      </c>
      <c r="G2979" s="0" t="s">
        <v>18672</v>
      </c>
    </row>
    <row r="2980" customFormat="false" ht="15" hidden="false" customHeight="false" outlineLevel="0" collapsed="false">
      <c r="A2980" s="0" t="n">
        <v>4318</v>
      </c>
      <c r="B2980" s="0" t="n">
        <v>22953</v>
      </c>
      <c r="C2980" s="0" t="s">
        <v>17702</v>
      </c>
      <c r="D2980" s="0" t="s">
        <v>5</v>
      </c>
      <c r="F2980" s="0" t="s">
        <v>17703</v>
      </c>
      <c r="G2980" s="0" t="s">
        <v>18672</v>
      </c>
    </row>
    <row r="2981" customFormat="false" ht="15" hidden="false" customHeight="false" outlineLevel="0" collapsed="false">
      <c r="A2981" s="0" t="n">
        <v>4319</v>
      </c>
      <c r="B2981" s="0" t="n">
        <v>22954</v>
      </c>
      <c r="C2981" s="0" t="s">
        <v>17708</v>
      </c>
      <c r="D2981" s="0" t="s">
        <v>5</v>
      </c>
      <c r="F2981" s="0" t="s">
        <v>17709</v>
      </c>
      <c r="G2981" s="0" t="s">
        <v>18672</v>
      </c>
    </row>
    <row r="2982" customFormat="false" ht="15" hidden="false" customHeight="false" outlineLevel="0" collapsed="false">
      <c r="A2982" s="0" t="n">
        <v>4320</v>
      </c>
      <c r="B2982" s="0" t="n">
        <v>22955</v>
      </c>
      <c r="C2982" s="0" t="s">
        <v>17712</v>
      </c>
      <c r="D2982" s="0" t="s">
        <v>5</v>
      </c>
      <c r="F2982" s="0" t="s">
        <v>17713</v>
      </c>
      <c r="G2982" s="0" t="s">
        <v>18672</v>
      </c>
    </row>
    <row r="2983" customFormat="false" ht="15" hidden="false" customHeight="false" outlineLevel="0" collapsed="false">
      <c r="A2983" s="0" t="n">
        <v>4321</v>
      </c>
      <c r="B2983" s="0" t="n">
        <v>22956</v>
      </c>
      <c r="C2983" s="0" t="s">
        <v>17716</v>
      </c>
      <c r="D2983" s="0" t="s">
        <v>5</v>
      </c>
      <c r="F2983" s="0" t="s">
        <v>17717</v>
      </c>
      <c r="G2983" s="0" t="s">
        <v>18672</v>
      </c>
    </row>
    <row r="2984" customFormat="false" ht="15" hidden="false" customHeight="false" outlineLevel="0" collapsed="false">
      <c r="A2984" s="0" t="n">
        <v>4322</v>
      </c>
      <c r="B2984" s="0" t="n">
        <v>22957</v>
      </c>
      <c r="C2984" s="0" t="s">
        <v>17720</v>
      </c>
      <c r="D2984" s="0" t="s">
        <v>5</v>
      </c>
      <c r="F2984" s="0" t="s">
        <v>17721</v>
      </c>
      <c r="G2984" s="0" t="s">
        <v>18672</v>
      </c>
    </row>
    <row r="2985" customFormat="false" ht="15" hidden="false" customHeight="false" outlineLevel="0" collapsed="false">
      <c r="A2985" s="0" t="n">
        <v>4323</v>
      </c>
      <c r="B2985" s="0" t="n">
        <v>22958</v>
      </c>
      <c r="C2985" s="0" t="s">
        <v>17724</v>
      </c>
      <c r="D2985" s="0" t="s">
        <v>5</v>
      </c>
      <c r="F2985" s="0" t="s">
        <v>17725</v>
      </c>
      <c r="G2985" s="0" t="s">
        <v>18672</v>
      </c>
    </row>
    <row r="2986" customFormat="false" ht="15" hidden="false" customHeight="false" outlineLevel="0" collapsed="false">
      <c r="A2986" s="0" t="n">
        <v>4324</v>
      </c>
      <c r="B2986" s="0" t="n">
        <v>22959</v>
      </c>
      <c r="C2986" s="0" t="s">
        <v>17728</v>
      </c>
      <c r="D2986" s="0" t="s">
        <v>5</v>
      </c>
      <c r="F2986" s="0" t="s">
        <v>17729</v>
      </c>
      <c r="G2986" s="0" t="s">
        <v>18672</v>
      </c>
    </row>
    <row r="2987" customFormat="false" ht="15" hidden="false" customHeight="false" outlineLevel="0" collapsed="false">
      <c r="A2987" s="0" t="n">
        <v>4325</v>
      </c>
      <c r="B2987" s="0" t="n">
        <v>22960</v>
      </c>
      <c r="C2987" s="0" t="s">
        <v>17733</v>
      </c>
      <c r="D2987" s="0" t="s">
        <v>5</v>
      </c>
      <c r="F2987" s="0" t="s">
        <v>17734</v>
      </c>
      <c r="G2987" s="0" t="s">
        <v>18672</v>
      </c>
    </row>
    <row r="2988" customFormat="false" ht="15" hidden="false" customHeight="false" outlineLevel="0" collapsed="false">
      <c r="A2988" s="0" t="n">
        <v>4326</v>
      </c>
      <c r="B2988" s="0" t="n">
        <v>22961</v>
      </c>
      <c r="C2988" s="0" t="s">
        <v>17737</v>
      </c>
      <c r="D2988" s="0" t="s">
        <v>5</v>
      </c>
      <c r="F2988" s="0" t="s">
        <v>17738</v>
      </c>
      <c r="G2988" s="0" t="s">
        <v>18672</v>
      </c>
    </row>
    <row r="2989" customFormat="false" ht="15" hidden="false" customHeight="false" outlineLevel="0" collapsed="false">
      <c r="A2989" s="0" t="n">
        <v>4327</v>
      </c>
      <c r="B2989" s="0" t="n">
        <v>22962</v>
      </c>
      <c r="C2989" s="0" t="s">
        <v>17741</v>
      </c>
      <c r="D2989" s="0" t="s">
        <v>5</v>
      </c>
      <c r="F2989" s="0" t="s">
        <v>17742</v>
      </c>
      <c r="G2989" s="0" t="s">
        <v>18672</v>
      </c>
    </row>
    <row r="2990" customFormat="false" ht="15" hidden="false" customHeight="false" outlineLevel="0" collapsed="false">
      <c r="A2990" s="0" t="n">
        <v>4328</v>
      </c>
      <c r="B2990" s="0" t="n">
        <v>22963</v>
      </c>
      <c r="C2990" s="0" t="s">
        <v>17745</v>
      </c>
      <c r="D2990" s="0" t="s">
        <v>5</v>
      </c>
      <c r="F2990" s="0" t="s">
        <v>17746</v>
      </c>
      <c r="G2990" s="0" t="s">
        <v>18672</v>
      </c>
    </row>
    <row r="2991" customFormat="false" ht="15" hidden="false" customHeight="false" outlineLevel="0" collapsed="false">
      <c r="A2991" s="0" t="n">
        <v>4329</v>
      </c>
      <c r="B2991" s="0" t="n">
        <v>22964</v>
      </c>
      <c r="C2991" s="0" t="s">
        <v>17749</v>
      </c>
      <c r="D2991" s="0" t="s">
        <v>5</v>
      </c>
      <c r="F2991" s="0" t="s">
        <v>17750</v>
      </c>
      <c r="G2991" s="0" t="s">
        <v>18672</v>
      </c>
    </row>
    <row r="2992" customFormat="false" ht="15" hidden="false" customHeight="false" outlineLevel="0" collapsed="false">
      <c r="A2992" s="0" t="n">
        <v>4330</v>
      </c>
      <c r="B2992" s="0" t="n">
        <v>22965</v>
      </c>
      <c r="C2992" s="0" t="s">
        <v>17753</v>
      </c>
      <c r="D2992" s="0" t="s">
        <v>5</v>
      </c>
      <c r="F2992" s="0" t="s">
        <v>17754</v>
      </c>
      <c r="G2992" s="0" t="s">
        <v>18672</v>
      </c>
    </row>
    <row r="2993" customFormat="false" ht="15" hidden="false" customHeight="false" outlineLevel="0" collapsed="false">
      <c r="A2993" s="0" t="n">
        <v>4331</v>
      </c>
      <c r="B2993" s="0" t="n">
        <v>22966</v>
      </c>
      <c r="C2993" s="0" t="s">
        <v>17757</v>
      </c>
      <c r="D2993" s="0" t="s">
        <v>5</v>
      </c>
      <c r="F2993" s="0" t="s">
        <v>17758</v>
      </c>
      <c r="G2993" s="0" t="s">
        <v>18672</v>
      </c>
    </row>
    <row r="2994" customFormat="false" ht="15" hidden="false" customHeight="false" outlineLevel="0" collapsed="false">
      <c r="A2994" s="0" t="n">
        <v>4332</v>
      </c>
      <c r="B2994" s="0" t="n">
        <v>22967</v>
      </c>
      <c r="C2994" s="0" t="s">
        <v>17761</v>
      </c>
      <c r="D2994" s="0" t="s">
        <v>5</v>
      </c>
      <c r="F2994" s="0" t="s">
        <v>17762</v>
      </c>
      <c r="G2994" s="0" t="s">
        <v>18672</v>
      </c>
    </row>
    <row r="2995" customFormat="false" ht="15" hidden="false" customHeight="false" outlineLevel="0" collapsed="false">
      <c r="A2995" s="0" t="n">
        <v>4333</v>
      </c>
      <c r="B2995" s="0" t="n">
        <v>22968</v>
      </c>
      <c r="C2995" s="0" t="s">
        <v>17765</v>
      </c>
      <c r="D2995" s="0" t="s">
        <v>5</v>
      </c>
      <c r="F2995" s="0" t="s">
        <v>17766</v>
      </c>
      <c r="G2995" s="0" t="s">
        <v>18672</v>
      </c>
    </row>
    <row r="2996" customFormat="false" ht="15" hidden="false" customHeight="false" outlineLevel="0" collapsed="false">
      <c r="A2996" s="0" t="n">
        <v>4334</v>
      </c>
      <c r="B2996" s="0" t="n">
        <v>22969</v>
      </c>
      <c r="C2996" s="0" t="s">
        <v>17769</v>
      </c>
      <c r="D2996" s="0" t="s">
        <v>5</v>
      </c>
      <c r="F2996" s="0" t="s">
        <v>17770</v>
      </c>
      <c r="G2996" s="0" t="s">
        <v>18672</v>
      </c>
    </row>
    <row r="2997" customFormat="false" ht="15" hidden="false" customHeight="false" outlineLevel="0" collapsed="false">
      <c r="A2997" s="0" t="n">
        <v>4335</v>
      </c>
      <c r="B2997" s="0" t="n">
        <v>22970</v>
      </c>
      <c r="C2997" s="0" t="s">
        <v>17773</v>
      </c>
      <c r="D2997" s="0" t="s">
        <v>5</v>
      </c>
      <c r="F2997" s="0" t="s">
        <v>17774</v>
      </c>
      <c r="G2997" s="0" t="s">
        <v>18672</v>
      </c>
    </row>
    <row r="2998" customFormat="false" ht="15" hidden="false" customHeight="false" outlineLevel="0" collapsed="false">
      <c r="A2998" s="0" t="n">
        <v>4336</v>
      </c>
      <c r="B2998" s="0" t="n">
        <v>22971</v>
      </c>
      <c r="C2998" s="0" t="s">
        <v>17777</v>
      </c>
      <c r="D2998" s="0" t="s">
        <v>5</v>
      </c>
      <c r="F2998" s="0" t="s">
        <v>17778</v>
      </c>
      <c r="G2998" s="0" t="s">
        <v>18672</v>
      </c>
    </row>
    <row r="2999" customFormat="false" ht="15" hidden="false" customHeight="false" outlineLevel="0" collapsed="false">
      <c r="A2999" s="0" t="n">
        <v>4337</v>
      </c>
      <c r="B2999" s="0" t="n">
        <v>22972</v>
      </c>
      <c r="C2999" s="0" t="s">
        <v>17781</v>
      </c>
      <c r="D2999" s="0" t="s">
        <v>5</v>
      </c>
      <c r="F2999" s="0" t="s">
        <v>17782</v>
      </c>
      <c r="G2999" s="0" t="s">
        <v>18672</v>
      </c>
    </row>
    <row r="3000" customFormat="false" ht="15" hidden="false" customHeight="false" outlineLevel="0" collapsed="false">
      <c r="A3000" s="0" t="n">
        <v>4338</v>
      </c>
      <c r="B3000" s="0" t="n">
        <v>22861</v>
      </c>
      <c r="C3000" s="0" t="s">
        <v>17785</v>
      </c>
      <c r="D3000" s="0" t="s">
        <v>5</v>
      </c>
      <c r="F3000" s="0" t="s">
        <v>17786</v>
      </c>
      <c r="G3000" s="0" t="s">
        <v>18672</v>
      </c>
    </row>
    <row r="3001" customFormat="false" ht="15" hidden="false" customHeight="false" outlineLevel="0" collapsed="false">
      <c r="A3001" s="0" t="n">
        <v>4341</v>
      </c>
      <c r="B3001" s="0" t="n">
        <v>22614</v>
      </c>
      <c r="C3001" s="0" t="s">
        <v>17796</v>
      </c>
      <c r="D3001" s="0" t="s">
        <v>5</v>
      </c>
      <c r="F3001" s="0" t="s">
        <v>17797</v>
      </c>
      <c r="G3001" s="0" t="s">
        <v>18672</v>
      </c>
    </row>
    <row r="3002" customFormat="false" ht="15" hidden="false" customHeight="false" outlineLevel="0" collapsed="false">
      <c r="A3002" s="0" t="n">
        <v>4342</v>
      </c>
      <c r="B3002" s="0" t="n">
        <v>23000</v>
      </c>
      <c r="C3002" s="0" t="s">
        <v>17801</v>
      </c>
      <c r="D3002" s="0" t="s">
        <v>5</v>
      </c>
      <c r="F3002" s="0" t="s">
        <v>17802</v>
      </c>
      <c r="G3002" s="0" t="s">
        <v>18672</v>
      </c>
    </row>
    <row r="3003" customFormat="false" ht="15" hidden="false" customHeight="false" outlineLevel="0" collapsed="false">
      <c r="A3003" s="0" t="n">
        <v>4349</v>
      </c>
      <c r="B3003" s="0" t="n">
        <v>22843</v>
      </c>
      <c r="C3003" s="0" t="s">
        <v>17829</v>
      </c>
      <c r="D3003" s="0" t="s">
        <v>5</v>
      </c>
      <c r="F3003" s="0" t="s">
        <v>17830</v>
      </c>
      <c r="G3003" s="0" t="s">
        <v>18672</v>
      </c>
    </row>
    <row r="3004" customFormat="false" ht="15" hidden="false" customHeight="false" outlineLevel="0" collapsed="false">
      <c r="A3004" s="0" t="n">
        <v>4357</v>
      </c>
      <c r="B3004" s="0" t="n">
        <v>23001</v>
      </c>
      <c r="C3004" s="0" t="s">
        <v>13009</v>
      </c>
      <c r="D3004" s="0" t="s">
        <v>5</v>
      </c>
      <c r="F3004" s="0" t="s">
        <v>17861</v>
      </c>
      <c r="G3004" s="0" t="s">
        <v>18672</v>
      </c>
    </row>
    <row r="3005" customFormat="false" ht="15" hidden="false" customHeight="false" outlineLevel="0" collapsed="false">
      <c r="A3005" s="0" t="n">
        <v>4362</v>
      </c>
      <c r="B3005" s="0" t="n">
        <v>23002</v>
      </c>
      <c r="C3005" s="0" t="s">
        <v>13014</v>
      </c>
      <c r="D3005" s="0" t="s">
        <v>5</v>
      </c>
      <c r="F3005" s="0" t="s">
        <v>17879</v>
      </c>
      <c r="G3005" s="0" t="s">
        <v>18672</v>
      </c>
    </row>
    <row r="3006" customFormat="false" ht="15" hidden="false" customHeight="false" outlineLevel="0" collapsed="false">
      <c r="A3006" s="0" t="n">
        <v>4365</v>
      </c>
      <c r="B3006" s="0" t="n">
        <v>22858</v>
      </c>
      <c r="C3006" s="0" t="s">
        <v>17889</v>
      </c>
      <c r="D3006" s="0" t="s">
        <v>5</v>
      </c>
      <c r="F3006" s="0" t="s">
        <v>17890</v>
      </c>
      <c r="G3006" s="0" t="s">
        <v>18672</v>
      </c>
    </row>
    <row r="3007" customFormat="false" ht="15" hidden="false" customHeight="false" outlineLevel="0" collapsed="false">
      <c r="A3007" s="0" t="n">
        <v>4366</v>
      </c>
      <c r="B3007" s="0" t="n">
        <v>22857</v>
      </c>
      <c r="C3007" s="0" t="s">
        <v>17892</v>
      </c>
      <c r="D3007" s="0" t="s">
        <v>5</v>
      </c>
      <c r="F3007" s="0" t="s">
        <v>17893</v>
      </c>
      <c r="G3007" s="0" t="s">
        <v>18672</v>
      </c>
    </row>
    <row r="3008" customFormat="false" ht="15" hidden="false" customHeight="false" outlineLevel="0" collapsed="false">
      <c r="A3008" s="0" t="n">
        <v>4367</v>
      </c>
      <c r="B3008" s="0" t="n">
        <v>22854</v>
      </c>
      <c r="C3008" s="0" t="s">
        <v>17896</v>
      </c>
      <c r="D3008" s="0" t="s">
        <v>5</v>
      </c>
      <c r="F3008" s="0" t="s">
        <v>17897</v>
      </c>
      <c r="G3008" s="0" t="s">
        <v>18672</v>
      </c>
    </row>
    <row r="3009" customFormat="false" ht="15" hidden="false" customHeight="false" outlineLevel="0" collapsed="false">
      <c r="A3009" s="0" t="n">
        <v>4369</v>
      </c>
      <c r="B3009" s="0" t="n">
        <v>23004</v>
      </c>
      <c r="C3009" s="0" t="s">
        <v>17904</v>
      </c>
      <c r="D3009" s="0" t="s">
        <v>5</v>
      </c>
      <c r="F3009" s="0" t="s">
        <v>17905</v>
      </c>
      <c r="G3009" s="0" t="s">
        <v>18672</v>
      </c>
    </row>
    <row r="3010" customFormat="false" ht="15" hidden="false" customHeight="false" outlineLevel="0" collapsed="false">
      <c r="A3010" s="0" t="n">
        <v>4375</v>
      </c>
      <c r="B3010" s="0" t="n">
        <v>22904</v>
      </c>
      <c r="C3010" s="0" t="s">
        <v>17929</v>
      </c>
      <c r="D3010" s="0" t="s">
        <v>5</v>
      </c>
      <c r="F3010" s="0" t="s">
        <v>17930</v>
      </c>
      <c r="G3010" s="0" t="s">
        <v>18672</v>
      </c>
    </row>
    <row r="3011" customFormat="false" ht="15" hidden="false" customHeight="false" outlineLevel="0" collapsed="false">
      <c r="A3011" s="0" t="n">
        <v>4377</v>
      </c>
      <c r="B3011" s="0" t="n">
        <v>23014</v>
      </c>
      <c r="C3011" s="0" t="s">
        <v>17938</v>
      </c>
      <c r="D3011" s="0" t="s">
        <v>5</v>
      </c>
      <c r="F3011" s="0" t="s">
        <v>17939</v>
      </c>
      <c r="G3011" s="0" t="s">
        <v>18672</v>
      </c>
    </row>
    <row r="3012" customFormat="false" ht="15" hidden="false" customHeight="false" outlineLevel="0" collapsed="false">
      <c r="A3012" s="0" t="n">
        <v>4385</v>
      </c>
      <c r="B3012" s="0" t="n">
        <v>23020</v>
      </c>
      <c r="C3012" s="0" t="s">
        <v>16959</v>
      </c>
      <c r="D3012" s="0" t="s">
        <v>5</v>
      </c>
      <c r="F3012" s="0" t="s">
        <v>17970</v>
      </c>
      <c r="G3012" s="0" t="s">
        <v>18672</v>
      </c>
    </row>
    <row r="3013" customFormat="false" ht="15" hidden="false" customHeight="false" outlineLevel="0" collapsed="false">
      <c r="A3013" s="0" t="n">
        <v>4386</v>
      </c>
      <c r="B3013" s="0" t="n">
        <v>23021</v>
      </c>
      <c r="C3013" s="0" t="s">
        <v>17971</v>
      </c>
      <c r="D3013" s="0" t="s">
        <v>5</v>
      </c>
      <c r="F3013" s="0" t="s">
        <v>17972</v>
      </c>
      <c r="G3013" s="0" t="s">
        <v>18672</v>
      </c>
    </row>
    <row r="3014" customFormat="false" ht="15" hidden="false" customHeight="false" outlineLevel="0" collapsed="false">
      <c r="A3014" s="0" t="n">
        <v>4387</v>
      </c>
      <c r="B3014" s="0" t="n">
        <v>23022</v>
      </c>
      <c r="C3014" s="0" t="s">
        <v>17975</v>
      </c>
      <c r="D3014" s="0" t="s">
        <v>5</v>
      </c>
      <c r="F3014" s="0" t="s">
        <v>17976</v>
      </c>
      <c r="G3014" s="0" t="s">
        <v>18672</v>
      </c>
    </row>
    <row r="3015" customFormat="false" ht="15" hidden="false" customHeight="false" outlineLevel="0" collapsed="false">
      <c r="A3015" s="0" t="n">
        <v>4388</v>
      </c>
      <c r="B3015" s="0" t="n">
        <v>23023</v>
      </c>
      <c r="C3015" s="0" t="s">
        <v>17980</v>
      </c>
      <c r="D3015" s="0" t="s">
        <v>5</v>
      </c>
      <c r="F3015" s="0" t="s">
        <v>17981</v>
      </c>
      <c r="G3015" s="0" t="s">
        <v>18672</v>
      </c>
    </row>
    <row r="3016" customFormat="false" ht="15" hidden="false" customHeight="false" outlineLevel="0" collapsed="false">
      <c r="A3016" s="0" t="n">
        <v>4390</v>
      </c>
      <c r="B3016" s="0" t="n">
        <v>23025</v>
      </c>
      <c r="C3016" s="0" t="s">
        <v>17988</v>
      </c>
      <c r="D3016" s="0" t="s">
        <v>5</v>
      </c>
      <c r="F3016" s="0" t="s">
        <v>17989</v>
      </c>
      <c r="G3016" s="0" t="s">
        <v>18672</v>
      </c>
    </row>
    <row r="3017" customFormat="false" ht="15" hidden="false" customHeight="false" outlineLevel="0" collapsed="false">
      <c r="A3017" s="0" t="n">
        <v>4391</v>
      </c>
      <c r="B3017" s="0" t="n">
        <v>23026</v>
      </c>
      <c r="C3017" s="0" t="s">
        <v>17992</v>
      </c>
      <c r="D3017" s="0" t="s">
        <v>5</v>
      </c>
      <c r="F3017" s="0" t="s">
        <v>17993</v>
      </c>
      <c r="G3017" s="0" t="s">
        <v>18672</v>
      </c>
    </row>
    <row r="3018" customFormat="false" ht="15" hidden="false" customHeight="false" outlineLevel="0" collapsed="false">
      <c r="A3018" s="0" t="n">
        <v>4392</v>
      </c>
      <c r="B3018" s="0" t="n">
        <v>23027</v>
      </c>
      <c r="C3018" s="0" t="s">
        <v>17996</v>
      </c>
      <c r="D3018" s="0" t="s">
        <v>5</v>
      </c>
      <c r="F3018" s="0" t="s">
        <v>17997</v>
      </c>
      <c r="G3018" s="0" t="s">
        <v>18672</v>
      </c>
    </row>
    <row r="3019" customFormat="false" ht="15" hidden="false" customHeight="false" outlineLevel="0" collapsed="false">
      <c r="A3019" s="0" t="n">
        <v>4393</v>
      </c>
      <c r="B3019" s="0" t="n">
        <v>23028</v>
      </c>
      <c r="C3019" s="0" t="s">
        <v>18000</v>
      </c>
      <c r="D3019" s="0" t="s">
        <v>5</v>
      </c>
      <c r="F3019" s="0" t="s">
        <v>18001</v>
      </c>
      <c r="G3019" s="0" t="s">
        <v>18672</v>
      </c>
    </row>
    <row r="3020" customFormat="false" ht="15" hidden="false" customHeight="false" outlineLevel="0" collapsed="false">
      <c r="A3020" s="0" t="n">
        <v>4394</v>
      </c>
      <c r="B3020" s="0" t="n">
        <v>23029</v>
      </c>
      <c r="C3020" s="0" t="s">
        <v>18004</v>
      </c>
      <c r="D3020" s="0" t="s">
        <v>5</v>
      </c>
      <c r="F3020" s="0" t="s">
        <v>18005</v>
      </c>
      <c r="G3020" s="0" t="s">
        <v>18672</v>
      </c>
    </row>
    <row r="3021" customFormat="false" ht="15" hidden="false" customHeight="false" outlineLevel="0" collapsed="false">
      <c r="A3021" s="0" t="n">
        <v>4395</v>
      </c>
      <c r="B3021" s="0" t="n">
        <v>23030</v>
      </c>
      <c r="C3021" s="0" t="s">
        <v>18008</v>
      </c>
      <c r="D3021" s="0" t="s">
        <v>5</v>
      </c>
      <c r="F3021" s="0" t="s">
        <v>18009</v>
      </c>
      <c r="G3021" s="0" t="s">
        <v>18672</v>
      </c>
    </row>
    <row r="3022" customFormat="false" ht="15" hidden="false" customHeight="false" outlineLevel="0" collapsed="false">
      <c r="A3022" s="0" t="n">
        <v>4396</v>
      </c>
      <c r="B3022" s="0" t="n">
        <v>23031</v>
      </c>
      <c r="C3022" s="0" t="s">
        <v>3906</v>
      </c>
      <c r="D3022" s="0" t="s">
        <v>5</v>
      </c>
      <c r="F3022" s="0" t="s">
        <v>18012</v>
      </c>
      <c r="G3022" s="0" t="s">
        <v>18672</v>
      </c>
    </row>
    <row r="3023" customFormat="false" ht="15" hidden="false" customHeight="false" outlineLevel="0" collapsed="false">
      <c r="A3023" s="0" t="n">
        <v>4397</v>
      </c>
      <c r="B3023" s="0" t="n">
        <v>23032</v>
      </c>
      <c r="C3023" s="0" t="s">
        <v>18015</v>
      </c>
      <c r="D3023" s="0" t="s">
        <v>5</v>
      </c>
      <c r="F3023" s="0" t="s">
        <v>18016</v>
      </c>
      <c r="G3023" s="0" t="s">
        <v>18672</v>
      </c>
    </row>
    <row r="3024" customFormat="false" ht="15" hidden="false" customHeight="false" outlineLevel="0" collapsed="false">
      <c r="A3024" s="0" t="n">
        <v>4398</v>
      </c>
      <c r="B3024" s="0" t="n">
        <v>23033</v>
      </c>
      <c r="C3024" s="0" t="s">
        <v>18019</v>
      </c>
      <c r="D3024" s="0" t="s">
        <v>5</v>
      </c>
      <c r="F3024" s="0" t="s">
        <v>18020</v>
      </c>
      <c r="G3024" s="0" t="s">
        <v>18672</v>
      </c>
    </row>
    <row r="3025" customFormat="false" ht="15" hidden="false" customHeight="false" outlineLevel="0" collapsed="false">
      <c r="A3025" s="0" t="n">
        <v>4399</v>
      </c>
      <c r="B3025" s="0" t="n">
        <v>23034</v>
      </c>
      <c r="C3025" s="0" t="s">
        <v>14272</v>
      </c>
      <c r="D3025" s="0" t="s">
        <v>5</v>
      </c>
      <c r="F3025" s="0" t="s">
        <v>18024</v>
      </c>
      <c r="G3025" s="0" t="s">
        <v>18672</v>
      </c>
    </row>
    <row r="3026" customFormat="false" ht="15" hidden="false" customHeight="false" outlineLevel="0" collapsed="false">
      <c r="A3026" s="0" t="n">
        <v>4400</v>
      </c>
      <c r="B3026" s="0" t="n">
        <v>23035</v>
      </c>
      <c r="C3026" s="0" t="s">
        <v>18028</v>
      </c>
      <c r="D3026" s="0" t="s">
        <v>5</v>
      </c>
      <c r="F3026" s="0" t="s">
        <v>18029</v>
      </c>
      <c r="G3026" s="0" t="s">
        <v>18672</v>
      </c>
    </row>
    <row r="3027" customFormat="false" ht="15" hidden="false" customHeight="false" outlineLevel="0" collapsed="false">
      <c r="A3027" s="0" t="n">
        <v>4401</v>
      </c>
      <c r="B3027" s="0" t="n">
        <v>23036</v>
      </c>
      <c r="C3027" s="0" t="s">
        <v>18032</v>
      </c>
      <c r="D3027" s="0" t="s">
        <v>5</v>
      </c>
      <c r="F3027" s="0" t="s">
        <v>18033</v>
      </c>
      <c r="G3027" s="0" t="s">
        <v>18672</v>
      </c>
    </row>
    <row r="3028" customFormat="false" ht="15" hidden="false" customHeight="false" outlineLevel="0" collapsed="false">
      <c r="A3028" s="0" t="n">
        <v>4402</v>
      </c>
      <c r="B3028" s="0" t="n">
        <v>23037</v>
      </c>
      <c r="C3028" s="0" t="s">
        <v>18037</v>
      </c>
      <c r="D3028" s="0" t="s">
        <v>5</v>
      </c>
      <c r="F3028" s="0" t="s">
        <v>18038</v>
      </c>
      <c r="G3028" s="0" t="s">
        <v>18672</v>
      </c>
    </row>
    <row r="3029" customFormat="false" ht="15" hidden="false" customHeight="false" outlineLevel="0" collapsed="false">
      <c r="A3029" s="0" t="n">
        <v>4403</v>
      </c>
      <c r="B3029" s="0" t="n">
        <v>23038</v>
      </c>
      <c r="C3029" s="0" t="s">
        <v>18042</v>
      </c>
      <c r="D3029" s="0" t="s">
        <v>5</v>
      </c>
      <c r="F3029" s="0" t="s">
        <v>18043</v>
      </c>
      <c r="G3029" s="0" t="s">
        <v>18672</v>
      </c>
    </row>
    <row r="3030" customFormat="false" ht="15" hidden="false" customHeight="false" outlineLevel="0" collapsed="false">
      <c r="A3030" s="0" t="n">
        <v>111</v>
      </c>
      <c r="B3030" s="0" t="n">
        <v>649</v>
      </c>
      <c r="C3030" s="0" t="s">
        <v>535</v>
      </c>
      <c r="D3030" s="0" t="s">
        <v>15</v>
      </c>
      <c r="F3030" s="0" t="s">
        <v>18673</v>
      </c>
      <c r="G3030" s="0" t="s">
        <v>18674</v>
      </c>
    </row>
    <row r="3031" customFormat="false" ht="15" hidden="false" customHeight="false" outlineLevel="0" collapsed="false">
      <c r="A3031" s="0" t="n">
        <v>117</v>
      </c>
      <c r="B3031" s="0" t="n">
        <v>657</v>
      </c>
      <c r="C3031" s="0" t="s">
        <v>563</v>
      </c>
      <c r="D3031" s="0" t="s">
        <v>15</v>
      </c>
      <c r="F3031" s="0" t="s">
        <v>18673</v>
      </c>
      <c r="G3031" s="0" t="s">
        <v>18674</v>
      </c>
    </row>
    <row r="3032" customFormat="false" ht="15" hidden="false" customHeight="false" outlineLevel="0" collapsed="false">
      <c r="A3032" s="0" t="n">
        <v>159</v>
      </c>
      <c r="B3032" s="0" t="n">
        <v>1357</v>
      </c>
      <c r="C3032" s="0" t="s">
        <v>741</v>
      </c>
      <c r="D3032" s="0" t="s">
        <v>15</v>
      </c>
      <c r="F3032" s="0" t="s">
        <v>18675</v>
      </c>
      <c r="G3032" s="0" t="s">
        <v>18674</v>
      </c>
    </row>
    <row r="3033" customFormat="false" ht="15" hidden="false" customHeight="false" outlineLevel="0" collapsed="false">
      <c r="A3033" s="0" t="n">
        <v>189</v>
      </c>
      <c r="B3033" s="0" t="n">
        <v>1457</v>
      </c>
      <c r="C3033" s="0" t="s">
        <v>884</v>
      </c>
      <c r="D3033" s="0" t="s">
        <v>15</v>
      </c>
      <c r="F3033" s="0" t="s">
        <v>18676</v>
      </c>
      <c r="G3033" s="0" t="s">
        <v>18674</v>
      </c>
    </row>
    <row r="3034" customFormat="false" ht="15" hidden="false" customHeight="false" outlineLevel="0" collapsed="false">
      <c r="A3034" s="0" t="n">
        <v>190</v>
      </c>
      <c r="B3034" s="0" t="n">
        <v>1459</v>
      </c>
      <c r="C3034" s="0" t="s">
        <v>889</v>
      </c>
      <c r="D3034" s="0" t="s">
        <v>15</v>
      </c>
      <c r="F3034" s="0" t="s">
        <v>18676</v>
      </c>
      <c r="G3034" s="0" t="s">
        <v>18674</v>
      </c>
    </row>
    <row r="3035" customFormat="false" ht="15" hidden="false" customHeight="false" outlineLevel="0" collapsed="false">
      <c r="A3035" s="0" t="n">
        <v>191</v>
      </c>
      <c r="B3035" s="0" t="n">
        <v>1461</v>
      </c>
      <c r="C3035" s="0" t="s">
        <v>893</v>
      </c>
      <c r="D3035" s="0" t="s">
        <v>15</v>
      </c>
      <c r="F3035" s="0" t="s">
        <v>18676</v>
      </c>
      <c r="G3035" s="0" t="s">
        <v>18674</v>
      </c>
    </row>
    <row r="3036" customFormat="false" ht="15" hidden="false" customHeight="false" outlineLevel="0" collapsed="false">
      <c r="A3036" s="0" t="n">
        <v>192</v>
      </c>
      <c r="B3036" s="0" t="n">
        <v>1463</v>
      </c>
      <c r="C3036" s="0" t="s">
        <v>898</v>
      </c>
      <c r="D3036" s="0" t="s">
        <v>15</v>
      </c>
      <c r="F3036" s="0" t="s">
        <v>18676</v>
      </c>
      <c r="G3036" s="0" t="s">
        <v>18674</v>
      </c>
    </row>
    <row r="3037" customFormat="false" ht="15" hidden="false" customHeight="false" outlineLevel="0" collapsed="false">
      <c r="A3037" s="0" t="n">
        <v>193</v>
      </c>
      <c r="B3037" s="0" t="n">
        <v>1464</v>
      </c>
      <c r="C3037" s="0" t="s">
        <v>902</v>
      </c>
      <c r="D3037" s="0" t="s">
        <v>15</v>
      </c>
      <c r="F3037" s="0" t="s">
        <v>18676</v>
      </c>
      <c r="G3037" s="0" t="s">
        <v>18674</v>
      </c>
    </row>
    <row r="3038" customFormat="false" ht="15" hidden="false" customHeight="false" outlineLevel="0" collapsed="false">
      <c r="A3038" s="0" t="n">
        <v>194</v>
      </c>
      <c r="B3038" s="0" t="n">
        <v>1466</v>
      </c>
      <c r="C3038" s="0" t="s">
        <v>906</v>
      </c>
      <c r="D3038" s="0" t="s">
        <v>15</v>
      </c>
      <c r="F3038" s="0" t="s">
        <v>18676</v>
      </c>
      <c r="G3038" s="0" t="s">
        <v>18674</v>
      </c>
    </row>
    <row r="3039" customFormat="false" ht="15" hidden="false" customHeight="false" outlineLevel="0" collapsed="false">
      <c r="A3039" s="0" t="n">
        <v>195</v>
      </c>
      <c r="B3039" s="0" t="n">
        <v>1469</v>
      </c>
      <c r="C3039" s="0" t="s">
        <v>910</v>
      </c>
      <c r="D3039" s="0" t="s">
        <v>15</v>
      </c>
      <c r="F3039" s="0" t="s">
        <v>18676</v>
      </c>
      <c r="G3039" s="0" t="s">
        <v>18674</v>
      </c>
    </row>
    <row r="3040" customFormat="false" ht="15" hidden="false" customHeight="false" outlineLevel="0" collapsed="false">
      <c r="A3040" s="0" t="n">
        <v>196</v>
      </c>
      <c r="B3040" s="0" t="n">
        <v>1473</v>
      </c>
      <c r="C3040" s="0" t="s">
        <v>914</v>
      </c>
      <c r="D3040" s="0" t="s">
        <v>15</v>
      </c>
      <c r="F3040" s="0" t="s">
        <v>18676</v>
      </c>
      <c r="G3040" s="0" t="s">
        <v>18674</v>
      </c>
    </row>
    <row r="3041" customFormat="false" ht="15" hidden="false" customHeight="false" outlineLevel="0" collapsed="false">
      <c r="A3041" s="0" t="n">
        <v>197</v>
      </c>
      <c r="B3041" s="0" t="n">
        <v>1474</v>
      </c>
      <c r="C3041" s="0" t="s">
        <v>918</v>
      </c>
      <c r="D3041" s="0" t="s">
        <v>15</v>
      </c>
      <c r="F3041" s="0" t="s">
        <v>18676</v>
      </c>
      <c r="G3041" s="0" t="s">
        <v>18674</v>
      </c>
    </row>
    <row r="3042" customFormat="false" ht="15" hidden="false" customHeight="false" outlineLevel="0" collapsed="false">
      <c r="A3042" s="0" t="n">
        <v>198</v>
      </c>
      <c r="B3042" s="0" t="n">
        <v>1477</v>
      </c>
      <c r="C3042" s="0" t="s">
        <v>922</v>
      </c>
      <c r="D3042" s="0" t="s">
        <v>15</v>
      </c>
      <c r="F3042" s="0" t="s">
        <v>18676</v>
      </c>
      <c r="G3042" s="0" t="s">
        <v>18674</v>
      </c>
    </row>
    <row r="3043" customFormat="false" ht="15" hidden="false" customHeight="false" outlineLevel="0" collapsed="false">
      <c r="A3043" s="0" t="n">
        <v>199</v>
      </c>
      <c r="B3043" s="0" t="n">
        <v>1479</v>
      </c>
      <c r="C3043" s="0" t="s">
        <v>926</v>
      </c>
      <c r="D3043" s="0" t="s">
        <v>15</v>
      </c>
      <c r="F3043" s="0" t="s">
        <v>18676</v>
      </c>
      <c r="G3043" s="0" t="s">
        <v>18674</v>
      </c>
    </row>
    <row r="3044" customFormat="false" ht="15" hidden="false" customHeight="false" outlineLevel="0" collapsed="false">
      <c r="A3044" s="0" t="n">
        <v>200</v>
      </c>
      <c r="B3044" s="0" t="n">
        <v>1480</v>
      </c>
      <c r="C3044" s="0" t="s">
        <v>930</v>
      </c>
      <c r="D3044" s="0" t="s">
        <v>15</v>
      </c>
      <c r="F3044" s="0" t="s">
        <v>18676</v>
      </c>
      <c r="G3044" s="0" t="s">
        <v>18674</v>
      </c>
    </row>
    <row r="3045" customFormat="false" ht="15" hidden="false" customHeight="false" outlineLevel="0" collapsed="false">
      <c r="A3045" s="0" t="n">
        <v>201</v>
      </c>
      <c r="B3045" s="0" t="n">
        <v>1482</v>
      </c>
      <c r="C3045" s="0" t="s">
        <v>934</v>
      </c>
      <c r="D3045" s="0" t="s">
        <v>15</v>
      </c>
      <c r="F3045" s="0" t="s">
        <v>18676</v>
      </c>
      <c r="G3045" s="0" t="s">
        <v>18674</v>
      </c>
    </row>
    <row r="3046" customFormat="false" ht="15" hidden="false" customHeight="false" outlineLevel="0" collapsed="false">
      <c r="A3046" s="0" t="n">
        <v>202</v>
      </c>
      <c r="B3046" s="0" t="n">
        <v>1484</v>
      </c>
      <c r="C3046" s="0" t="s">
        <v>938</v>
      </c>
      <c r="D3046" s="0" t="s">
        <v>15</v>
      </c>
      <c r="F3046" s="0" t="s">
        <v>18676</v>
      </c>
      <c r="G3046" s="0" t="s">
        <v>18674</v>
      </c>
    </row>
    <row r="3047" customFormat="false" ht="15" hidden="false" customHeight="false" outlineLevel="0" collapsed="false">
      <c r="A3047" s="0" t="n">
        <v>203</v>
      </c>
      <c r="B3047" s="0" t="n">
        <v>1485</v>
      </c>
      <c r="C3047" s="0" t="s">
        <v>942</v>
      </c>
      <c r="D3047" s="0" t="s">
        <v>15</v>
      </c>
      <c r="F3047" s="0" t="s">
        <v>18676</v>
      </c>
      <c r="G3047" s="0" t="s">
        <v>18674</v>
      </c>
    </row>
    <row r="3048" customFormat="false" ht="15" hidden="false" customHeight="false" outlineLevel="0" collapsed="false">
      <c r="A3048" s="0" t="n">
        <v>204</v>
      </c>
      <c r="B3048" s="0" t="n">
        <v>1487</v>
      </c>
      <c r="C3048" s="0" t="s">
        <v>946</v>
      </c>
      <c r="D3048" s="0" t="s">
        <v>15</v>
      </c>
      <c r="F3048" s="0" t="s">
        <v>18676</v>
      </c>
      <c r="G3048" s="0" t="s">
        <v>18674</v>
      </c>
    </row>
    <row r="3049" customFormat="false" ht="15" hidden="false" customHeight="false" outlineLevel="0" collapsed="false">
      <c r="A3049" s="0" t="n">
        <v>205</v>
      </c>
      <c r="B3049" s="0" t="n">
        <v>1488</v>
      </c>
      <c r="C3049" s="0" t="s">
        <v>950</v>
      </c>
      <c r="D3049" s="0" t="s">
        <v>15</v>
      </c>
      <c r="F3049" s="0" t="s">
        <v>18676</v>
      </c>
      <c r="G3049" s="0" t="s">
        <v>18674</v>
      </c>
    </row>
    <row r="3050" customFormat="false" ht="15" hidden="false" customHeight="false" outlineLevel="0" collapsed="false">
      <c r="A3050" s="0" t="n">
        <v>206</v>
      </c>
      <c r="B3050" s="0" t="n">
        <v>1489</v>
      </c>
      <c r="C3050" s="0" t="s">
        <v>954</v>
      </c>
      <c r="D3050" s="0" t="s">
        <v>15</v>
      </c>
      <c r="F3050" s="0" t="s">
        <v>18676</v>
      </c>
      <c r="G3050" s="0" t="s">
        <v>18674</v>
      </c>
    </row>
    <row r="3051" customFormat="false" ht="15" hidden="false" customHeight="false" outlineLevel="0" collapsed="false">
      <c r="A3051" s="0" t="n">
        <v>208</v>
      </c>
      <c r="B3051" s="0" t="n">
        <v>1492</v>
      </c>
      <c r="C3051" s="0" t="s">
        <v>967</v>
      </c>
      <c r="D3051" s="0" t="s">
        <v>15</v>
      </c>
      <c r="F3051" s="0" t="s">
        <v>18676</v>
      </c>
      <c r="G3051" s="0" t="s">
        <v>18674</v>
      </c>
    </row>
    <row r="3052" customFormat="false" ht="15" hidden="false" customHeight="false" outlineLevel="0" collapsed="false">
      <c r="A3052" s="0" t="n">
        <v>209</v>
      </c>
      <c r="B3052" s="0" t="n">
        <v>1494</v>
      </c>
      <c r="C3052" s="0" t="s">
        <v>971</v>
      </c>
      <c r="D3052" s="0" t="s">
        <v>15</v>
      </c>
      <c r="F3052" s="0" t="s">
        <v>18676</v>
      </c>
      <c r="G3052" s="0" t="s">
        <v>18674</v>
      </c>
    </row>
    <row r="3053" customFormat="false" ht="15" hidden="false" customHeight="false" outlineLevel="0" collapsed="false">
      <c r="A3053" s="0" t="n">
        <v>211</v>
      </c>
      <c r="B3053" s="0" t="n">
        <v>1498</v>
      </c>
      <c r="C3053" s="0" t="s">
        <v>980</v>
      </c>
      <c r="D3053" s="0" t="s">
        <v>15</v>
      </c>
      <c r="F3053" s="0" t="s">
        <v>18676</v>
      </c>
      <c r="G3053" s="0" t="s">
        <v>18674</v>
      </c>
    </row>
    <row r="3054" customFormat="false" ht="15" hidden="false" customHeight="false" outlineLevel="0" collapsed="false">
      <c r="A3054" s="0" t="n">
        <v>212</v>
      </c>
      <c r="B3054" s="0" t="n">
        <v>1499</v>
      </c>
      <c r="C3054" s="0" t="s">
        <v>984</v>
      </c>
      <c r="D3054" s="0" t="s">
        <v>15</v>
      </c>
      <c r="F3054" s="0" t="s">
        <v>18676</v>
      </c>
      <c r="G3054" s="0" t="s">
        <v>18674</v>
      </c>
    </row>
    <row r="3055" customFormat="false" ht="15" hidden="false" customHeight="false" outlineLevel="0" collapsed="false">
      <c r="A3055" s="0" t="n">
        <v>213</v>
      </c>
      <c r="B3055" s="0" t="n">
        <v>1500</v>
      </c>
      <c r="C3055" s="0" t="s">
        <v>988</v>
      </c>
      <c r="D3055" s="0" t="s">
        <v>15</v>
      </c>
      <c r="F3055" s="0" t="s">
        <v>18676</v>
      </c>
      <c r="G3055" s="0" t="s">
        <v>18674</v>
      </c>
    </row>
    <row r="3056" customFormat="false" ht="15" hidden="false" customHeight="false" outlineLevel="0" collapsed="false">
      <c r="A3056" s="0" t="n">
        <v>214</v>
      </c>
      <c r="B3056" s="0" t="n">
        <v>1504</v>
      </c>
      <c r="C3056" s="0" t="s">
        <v>992</v>
      </c>
      <c r="D3056" s="0" t="s">
        <v>15</v>
      </c>
      <c r="F3056" s="0" t="s">
        <v>18677</v>
      </c>
      <c r="G3056" s="0" t="s">
        <v>18674</v>
      </c>
    </row>
    <row r="3057" customFormat="false" ht="15" hidden="false" customHeight="false" outlineLevel="0" collapsed="false">
      <c r="A3057" s="0" t="n">
        <v>215</v>
      </c>
      <c r="B3057" s="0" t="n">
        <v>1505</v>
      </c>
      <c r="C3057" s="0" t="s">
        <v>996</v>
      </c>
      <c r="D3057" s="0" t="s">
        <v>15</v>
      </c>
      <c r="F3057" s="0" t="s">
        <v>18676</v>
      </c>
      <c r="G3057" s="0" t="s">
        <v>18674</v>
      </c>
    </row>
    <row r="3058" customFormat="false" ht="15" hidden="false" customHeight="false" outlineLevel="0" collapsed="false">
      <c r="A3058" s="0" t="n">
        <v>216</v>
      </c>
      <c r="B3058" s="0" t="n">
        <v>1506</v>
      </c>
      <c r="C3058" s="0" t="s">
        <v>1000</v>
      </c>
      <c r="D3058" s="0" t="s">
        <v>15</v>
      </c>
      <c r="F3058" s="0" t="s">
        <v>18676</v>
      </c>
      <c r="G3058" s="0" t="s">
        <v>18674</v>
      </c>
    </row>
    <row r="3059" customFormat="false" ht="15" hidden="false" customHeight="false" outlineLevel="0" collapsed="false">
      <c r="A3059" s="0" t="n">
        <v>217</v>
      </c>
      <c r="B3059" s="0" t="n">
        <v>1509</v>
      </c>
      <c r="C3059" s="0" t="s">
        <v>1004</v>
      </c>
      <c r="D3059" s="0" t="s">
        <v>15</v>
      </c>
      <c r="F3059" s="0" t="s">
        <v>18676</v>
      </c>
      <c r="G3059" s="0" t="s">
        <v>18674</v>
      </c>
    </row>
    <row r="3060" customFormat="false" ht="15" hidden="false" customHeight="false" outlineLevel="0" collapsed="false">
      <c r="A3060" s="0" t="n">
        <v>218</v>
      </c>
      <c r="B3060" s="0" t="n">
        <v>1510</v>
      </c>
      <c r="C3060" s="0" t="s">
        <v>1008</v>
      </c>
      <c r="D3060" s="0" t="s">
        <v>15</v>
      </c>
      <c r="F3060" s="0" t="s">
        <v>18676</v>
      </c>
      <c r="G3060" s="0" t="s">
        <v>18674</v>
      </c>
    </row>
    <row r="3061" customFormat="false" ht="15" hidden="false" customHeight="false" outlineLevel="0" collapsed="false">
      <c r="A3061" s="0" t="n">
        <v>219</v>
      </c>
      <c r="B3061" s="0" t="n">
        <v>1512</v>
      </c>
      <c r="C3061" s="0" t="s">
        <v>1012</v>
      </c>
      <c r="D3061" s="0" t="s">
        <v>15</v>
      </c>
      <c r="F3061" s="0" t="s">
        <v>18676</v>
      </c>
      <c r="G3061" s="0" t="s">
        <v>18674</v>
      </c>
    </row>
    <row r="3062" customFormat="false" ht="15" hidden="false" customHeight="false" outlineLevel="0" collapsed="false">
      <c r="A3062" s="0" t="n">
        <v>220</v>
      </c>
      <c r="B3062" s="0" t="n">
        <v>1514</v>
      </c>
      <c r="C3062" s="0" t="s">
        <v>1016</v>
      </c>
      <c r="D3062" s="0" t="s">
        <v>15</v>
      </c>
      <c r="F3062" s="0" t="s">
        <v>18676</v>
      </c>
      <c r="G3062" s="0" t="s">
        <v>18674</v>
      </c>
    </row>
    <row r="3063" customFormat="false" ht="15" hidden="false" customHeight="false" outlineLevel="0" collapsed="false">
      <c r="A3063" s="0" t="n">
        <v>221</v>
      </c>
      <c r="B3063" s="0" t="n">
        <v>1515</v>
      </c>
      <c r="C3063" s="0" t="s">
        <v>1020</v>
      </c>
      <c r="D3063" s="0" t="s">
        <v>15</v>
      </c>
      <c r="F3063" s="0" t="s">
        <v>18676</v>
      </c>
      <c r="G3063" s="0" t="s">
        <v>18674</v>
      </c>
    </row>
    <row r="3064" customFormat="false" ht="15" hidden="false" customHeight="false" outlineLevel="0" collapsed="false">
      <c r="A3064" s="0" t="n">
        <v>222</v>
      </c>
      <c r="B3064" s="0" t="n">
        <v>1516</v>
      </c>
      <c r="C3064" s="0" t="s">
        <v>1024</v>
      </c>
      <c r="D3064" s="0" t="s">
        <v>15</v>
      </c>
      <c r="F3064" s="0" t="s">
        <v>18676</v>
      </c>
      <c r="G3064" s="0" t="s">
        <v>18674</v>
      </c>
    </row>
    <row r="3065" customFormat="false" ht="15" hidden="false" customHeight="false" outlineLevel="0" collapsed="false">
      <c r="A3065" s="0" t="n">
        <v>223</v>
      </c>
      <c r="B3065" s="0" t="n">
        <v>1517</v>
      </c>
      <c r="C3065" s="0" t="s">
        <v>1028</v>
      </c>
      <c r="D3065" s="0" t="s">
        <v>15</v>
      </c>
      <c r="F3065" s="0" t="s">
        <v>18676</v>
      </c>
      <c r="G3065" s="0" t="s">
        <v>18674</v>
      </c>
    </row>
    <row r="3066" customFormat="false" ht="15" hidden="false" customHeight="false" outlineLevel="0" collapsed="false">
      <c r="A3066" s="0" t="n">
        <v>224</v>
      </c>
      <c r="B3066" s="0" t="n">
        <v>1518</v>
      </c>
      <c r="C3066" s="0" t="s">
        <v>1032</v>
      </c>
      <c r="D3066" s="0" t="s">
        <v>15</v>
      </c>
      <c r="F3066" s="0" t="s">
        <v>18676</v>
      </c>
      <c r="G3066" s="0" t="s">
        <v>18674</v>
      </c>
    </row>
    <row r="3067" customFormat="false" ht="15" hidden="false" customHeight="false" outlineLevel="0" collapsed="false">
      <c r="A3067" s="0" t="n">
        <v>225</v>
      </c>
      <c r="B3067" s="0" t="n">
        <v>1519</v>
      </c>
      <c r="C3067" s="0" t="s">
        <v>1036</v>
      </c>
      <c r="D3067" s="0" t="s">
        <v>15</v>
      </c>
      <c r="F3067" s="0" t="s">
        <v>18676</v>
      </c>
      <c r="G3067" s="0" t="s">
        <v>18674</v>
      </c>
    </row>
    <row r="3068" customFormat="false" ht="15" hidden="false" customHeight="false" outlineLevel="0" collapsed="false">
      <c r="A3068" s="0" t="n">
        <v>226</v>
      </c>
      <c r="B3068" s="0" t="n">
        <v>1521</v>
      </c>
      <c r="C3068" s="0" t="s">
        <v>1040</v>
      </c>
      <c r="D3068" s="0" t="s">
        <v>15</v>
      </c>
      <c r="F3068" s="0" t="s">
        <v>18676</v>
      </c>
      <c r="G3068" s="0" t="s">
        <v>18674</v>
      </c>
    </row>
    <row r="3069" customFormat="false" ht="15" hidden="false" customHeight="false" outlineLevel="0" collapsed="false">
      <c r="A3069" s="0" t="n">
        <v>227</v>
      </c>
      <c r="B3069" s="0" t="n">
        <v>1524</v>
      </c>
      <c r="C3069" s="0" t="s">
        <v>1044</v>
      </c>
      <c r="D3069" s="0" t="s">
        <v>15</v>
      </c>
      <c r="F3069" s="0" t="s">
        <v>18676</v>
      </c>
      <c r="G3069" s="0" t="s">
        <v>18674</v>
      </c>
    </row>
    <row r="3070" customFormat="false" ht="15" hidden="false" customHeight="false" outlineLevel="0" collapsed="false">
      <c r="A3070" s="0" t="n">
        <v>228</v>
      </c>
      <c r="B3070" s="0" t="n">
        <v>1525</v>
      </c>
      <c r="C3070" s="0" t="s">
        <v>1048</v>
      </c>
      <c r="D3070" s="0" t="s">
        <v>15</v>
      </c>
      <c r="F3070" s="0" t="s">
        <v>18676</v>
      </c>
      <c r="G3070" s="0" t="s">
        <v>18674</v>
      </c>
    </row>
    <row r="3071" customFormat="false" ht="15" hidden="false" customHeight="false" outlineLevel="0" collapsed="false">
      <c r="A3071" s="0" t="n">
        <v>229</v>
      </c>
      <c r="B3071" s="0" t="n">
        <v>1527</v>
      </c>
      <c r="C3071" s="0" t="s">
        <v>1052</v>
      </c>
      <c r="D3071" s="0" t="s">
        <v>15</v>
      </c>
      <c r="F3071" s="0" t="s">
        <v>18676</v>
      </c>
      <c r="G3071" s="0" t="s">
        <v>18674</v>
      </c>
    </row>
    <row r="3072" customFormat="false" ht="15" hidden="false" customHeight="false" outlineLevel="0" collapsed="false">
      <c r="A3072" s="0" t="n">
        <v>231</v>
      </c>
      <c r="B3072" s="0" t="n">
        <v>1534</v>
      </c>
      <c r="C3072" s="0" t="s">
        <v>1061</v>
      </c>
      <c r="D3072" s="0" t="s">
        <v>15</v>
      </c>
      <c r="F3072" s="0" t="s">
        <v>18676</v>
      </c>
      <c r="G3072" s="0" t="s">
        <v>18674</v>
      </c>
    </row>
    <row r="3073" customFormat="false" ht="15" hidden="false" customHeight="false" outlineLevel="0" collapsed="false">
      <c r="A3073" s="0" t="n">
        <v>284</v>
      </c>
      <c r="B3073" s="0" t="n">
        <v>1728</v>
      </c>
      <c r="C3073" s="0" t="s">
        <v>1290</v>
      </c>
      <c r="D3073" s="0" t="s">
        <v>15</v>
      </c>
      <c r="F3073" s="0" t="s">
        <v>18678</v>
      </c>
      <c r="G3073" s="0" t="s">
        <v>18674</v>
      </c>
    </row>
    <row r="3074" customFormat="false" ht="15" hidden="false" customHeight="false" outlineLevel="0" collapsed="false">
      <c r="A3074" s="0" t="n">
        <v>290</v>
      </c>
      <c r="B3074" s="0" t="n">
        <v>1735</v>
      </c>
      <c r="C3074" s="0" t="s">
        <v>1319</v>
      </c>
      <c r="D3074" s="0" t="s">
        <v>15</v>
      </c>
      <c r="F3074" s="0" t="s">
        <v>18678</v>
      </c>
      <c r="G3074" s="0" t="s">
        <v>18674</v>
      </c>
    </row>
    <row r="3075" customFormat="false" ht="15" hidden="false" customHeight="false" outlineLevel="0" collapsed="false">
      <c r="A3075" s="0" t="n">
        <v>294</v>
      </c>
      <c r="B3075" s="0" t="n">
        <v>1825</v>
      </c>
      <c r="C3075" s="0" t="s">
        <v>1337</v>
      </c>
      <c r="D3075" s="0" t="s">
        <v>15</v>
      </c>
      <c r="F3075" s="0" t="s">
        <v>18679</v>
      </c>
      <c r="G3075" s="0" t="s">
        <v>18674</v>
      </c>
    </row>
    <row r="3076" customFormat="false" ht="15" hidden="false" customHeight="false" outlineLevel="0" collapsed="false">
      <c r="A3076" s="0" t="n">
        <v>295</v>
      </c>
      <c r="B3076" s="0" t="n">
        <v>1830</v>
      </c>
      <c r="C3076" s="0" t="s">
        <v>1344</v>
      </c>
      <c r="D3076" s="0" t="s">
        <v>15</v>
      </c>
      <c r="F3076" s="0" t="s">
        <v>18679</v>
      </c>
      <c r="G3076" s="0" t="s">
        <v>18674</v>
      </c>
    </row>
    <row r="3077" customFormat="false" ht="15" hidden="false" customHeight="false" outlineLevel="0" collapsed="false">
      <c r="A3077" s="0" t="n">
        <v>522</v>
      </c>
      <c r="B3077" s="0" t="n">
        <v>2947</v>
      </c>
      <c r="C3077" s="0" t="s">
        <v>2342</v>
      </c>
      <c r="D3077" s="0" t="s">
        <v>15</v>
      </c>
      <c r="F3077" s="0" t="s">
        <v>18679</v>
      </c>
      <c r="G3077" s="0" t="s">
        <v>18674</v>
      </c>
    </row>
    <row r="3078" customFormat="false" ht="15" hidden="false" customHeight="false" outlineLevel="0" collapsed="false">
      <c r="A3078" s="0" t="n">
        <v>613</v>
      </c>
      <c r="B3078" s="0" t="n">
        <v>3739</v>
      </c>
      <c r="C3078" s="0" t="s">
        <v>2750</v>
      </c>
      <c r="D3078" s="0" t="s">
        <v>15</v>
      </c>
      <c r="F3078" s="0" t="s">
        <v>18676</v>
      </c>
      <c r="G3078" s="0" t="s">
        <v>18674</v>
      </c>
    </row>
    <row r="3079" customFormat="false" ht="15" hidden="false" customHeight="false" outlineLevel="0" collapsed="false">
      <c r="A3079" s="0" t="n">
        <v>712</v>
      </c>
      <c r="B3079" s="0" t="n">
        <v>5907</v>
      </c>
      <c r="C3079" s="0" t="s">
        <v>3165</v>
      </c>
      <c r="D3079" s="0" t="s">
        <v>15</v>
      </c>
      <c r="F3079" s="0" t="s">
        <v>18680</v>
      </c>
      <c r="G3079" s="0" t="s">
        <v>18674</v>
      </c>
    </row>
    <row r="3080" customFormat="false" ht="15" hidden="false" customHeight="false" outlineLevel="0" collapsed="false">
      <c r="A3080" s="0" t="n">
        <v>734</v>
      </c>
      <c r="B3080" s="0" t="n">
        <v>6436</v>
      </c>
      <c r="C3080" s="0" t="s">
        <v>3257</v>
      </c>
      <c r="D3080" s="0" t="s">
        <v>15</v>
      </c>
      <c r="F3080" s="0" t="s">
        <v>18676</v>
      </c>
      <c r="G3080" s="0" t="s">
        <v>18674</v>
      </c>
    </row>
    <row r="3081" customFormat="false" ht="15" hidden="false" customHeight="false" outlineLevel="0" collapsed="false">
      <c r="A3081" s="0" t="n">
        <v>735</v>
      </c>
      <c r="B3081" s="0" t="n">
        <v>6439</v>
      </c>
      <c r="C3081" s="0" t="s">
        <v>3261</v>
      </c>
      <c r="D3081" s="0" t="s">
        <v>15</v>
      </c>
      <c r="F3081" s="0" t="s">
        <v>18676</v>
      </c>
      <c r="G3081" s="0" t="s">
        <v>18674</v>
      </c>
    </row>
    <row r="3082" customFormat="false" ht="15" hidden="false" customHeight="false" outlineLevel="0" collapsed="false">
      <c r="A3082" s="0" t="n">
        <v>739</v>
      </c>
      <c r="B3082" s="0" t="n">
        <v>6600</v>
      </c>
      <c r="C3082" s="0" t="s">
        <v>3278</v>
      </c>
      <c r="D3082" s="0" t="s">
        <v>15</v>
      </c>
      <c r="F3082" s="0" t="s">
        <v>18676</v>
      </c>
      <c r="G3082" s="0" t="s">
        <v>18674</v>
      </c>
    </row>
    <row r="3083" customFormat="false" ht="15" hidden="false" customHeight="false" outlineLevel="0" collapsed="false">
      <c r="A3083" s="0" t="n">
        <v>740</v>
      </c>
      <c r="B3083" s="0" t="n">
        <v>6603</v>
      </c>
      <c r="C3083" s="0" t="s">
        <v>3282</v>
      </c>
      <c r="D3083" s="0" t="s">
        <v>15</v>
      </c>
      <c r="F3083" s="0" t="s">
        <v>18676</v>
      </c>
      <c r="G3083" s="0" t="s">
        <v>18674</v>
      </c>
    </row>
    <row r="3084" customFormat="false" ht="15" hidden="false" customHeight="false" outlineLevel="0" collapsed="false">
      <c r="A3084" s="0" t="n">
        <v>753</v>
      </c>
      <c r="B3084" s="0" t="n">
        <v>6677</v>
      </c>
      <c r="C3084" s="0" t="s">
        <v>3341</v>
      </c>
      <c r="D3084" s="0" t="s">
        <v>15</v>
      </c>
      <c r="F3084" s="0" t="s">
        <v>18681</v>
      </c>
      <c r="G3084" s="0" t="s">
        <v>18674</v>
      </c>
    </row>
    <row r="3085" customFormat="false" ht="15" hidden="false" customHeight="false" outlineLevel="0" collapsed="false">
      <c r="A3085" s="0" t="n">
        <v>785</v>
      </c>
      <c r="B3085" s="0" t="n">
        <v>7495</v>
      </c>
      <c r="C3085" s="0" t="s">
        <v>3481</v>
      </c>
      <c r="D3085" s="0" t="s">
        <v>15</v>
      </c>
      <c r="F3085" s="0" t="s">
        <v>18680</v>
      </c>
      <c r="G3085" s="0" t="s">
        <v>18674</v>
      </c>
    </row>
    <row r="3086" customFormat="false" ht="15" hidden="false" customHeight="false" outlineLevel="0" collapsed="false">
      <c r="A3086" s="0" t="n">
        <v>803</v>
      </c>
      <c r="B3086" s="0" t="n">
        <v>7863</v>
      </c>
      <c r="C3086" s="0" t="s">
        <v>3568</v>
      </c>
      <c r="D3086" s="0" t="s">
        <v>15</v>
      </c>
      <c r="F3086" s="0" t="s">
        <v>18678</v>
      </c>
      <c r="G3086" s="0" t="s">
        <v>18674</v>
      </c>
    </row>
    <row r="3087" customFormat="false" ht="15" hidden="false" customHeight="false" outlineLevel="0" collapsed="false">
      <c r="A3087" s="0" t="n">
        <v>815</v>
      </c>
      <c r="B3087" s="0" t="n">
        <v>8302</v>
      </c>
      <c r="C3087" s="0" t="s">
        <v>3626</v>
      </c>
      <c r="D3087" s="0" t="s">
        <v>15</v>
      </c>
      <c r="F3087" s="0" t="s">
        <v>18673</v>
      </c>
      <c r="G3087" s="0" t="s">
        <v>18674</v>
      </c>
    </row>
    <row r="3088" customFormat="false" ht="15" hidden="false" customHeight="false" outlineLevel="0" collapsed="false">
      <c r="A3088" s="0" t="n">
        <v>818</v>
      </c>
      <c r="B3088" s="0" t="n">
        <v>8437</v>
      </c>
      <c r="C3088" s="0" t="s">
        <v>3638</v>
      </c>
      <c r="D3088" s="0" t="s">
        <v>15</v>
      </c>
      <c r="F3088" s="0" t="s">
        <v>18673</v>
      </c>
      <c r="G3088" s="0" t="s">
        <v>18674</v>
      </c>
    </row>
    <row r="3089" customFormat="false" ht="15" hidden="false" customHeight="false" outlineLevel="0" collapsed="false">
      <c r="A3089" s="0" t="n">
        <v>847</v>
      </c>
      <c r="B3089" s="0" t="n">
        <v>8962</v>
      </c>
      <c r="C3089" s="0" t="s">
        <v>3766</v>
      </c>
      <c r="D3089" s="0" t="s">
        <v>15</v>
      </c>
      <c r="F3089" s="0" t="s">
        <v>18680</v>
      </c>
      <c r="G3089" s="0" t="s">
        <v>18674</v>
      </c>
    </row>
    <row r="3090" customFormat="false" ht="15" hidden="false" customHeight="false" outlineLevel="0" collapsed="false">
      <c r="A3090" s="0" t="n">
        <v>849</v>
      </c>
      <c r="B3090" s="0" t="n">
        <v>9052</v>
      </c>
      <c r="C3090" s="0" t="s">
        <v>3776</v>
      </c>
      <c r="D3090" s="0" t="s">
        <v>15</v>
      </c>
      <c r="F3090" s="0" t="s">
        <v>18673</v>
      </c>
      <c r="G3090" s="0" t="s">
        <v>18674</v>
      </c>
    </row>
    <row r="3091" customFormat="false" ht="15" hidden="false" customHeight="false" outlineLevel="0" collapsed="false">
      <c r="A3091" s="0" t="n">
        <v>897</v>
      </c>
      <c r="B3091" s="0" t="n">
        <v>9666</v>
      </c>
      <c r="C3091" s="0" t="s">
        <v>3984</v>
      </c>
      <c r="D3091" s="0" t="s">
        <v>15</v>
      </c>
      <c r="F3091" s="0" t="s">
        <v>18673</v>
      </c>
      <c r="G3091" s="0" t="s">
        <v>18674</v>
      </c>
    </row>
    <row r="3092" customFormat="false" ht="15" hidden="false" customHeight="false" outlineLevel="0" collapsed="false">
      <c r="A3092" s="0" t="n">
        <v>960</v>
      </c>
      <c r="B3092" s="0" t="n">
        <v>10405</v>
      </c>
      <c r="C3092" s="0" t="s">
        <v>4251</v>
      </c>
      <c r="D3092" s="0" t="s">
        <v>15</v>
      </c>
      <c r="F3092" s="0" t="s">
        <v>18682</v>
      </c>
      <c r="G3092" s="0" t="s">
        <v>18674</v>
      </c>
    </row>
    <row r="3093" customFormat="false" ht="15" hidden="false" customHeight="false" outlineLevel="0" collapsed="false">
      <c r="A3093" s="0" t="n">
        <v>961</v>
      </c>
      <c r="B3093" s="0" t="n">
        <v>10406</v>
      </c>
      <c r="C3093" s="0" t="s">
        <v>4258</v>
      </c>
      <c r="D3093" s="0" t="s">
        <v>15</v>
      </c>
      <c r="F3093" s="0" t="s">
        <v>18682</v>
      </c>
      <c r="G3093" s="0" t="s">
        <v>18674</v>
      </c>
    </row>
    <row r="3094" customFormat="false" ht="15" hidden="false" customHeight="false" outlineLevel="0" collapsed="false">
      <c r="A3094" s="0" t="n">
        <v>962</v>
      </c>
      <c r="B3094" s="0" t="n">
        <v>10409</v>
      </c>
      <c r="C3094" s="0" t="s">
        <v>4263</v>
      </c>
      <c r="D3094" s="0" t="s">
        <v>15</v>
      </c>
      <c r="F3094" s="0" t="s">
        <v>18682</v>
      </c>
      <c r="G3094" s="0" t="s">
        <v>18674</v>
      </c>
    </row>
    <row r="3095" customFormat="false" ht="15" hidden="false" customHeight="false" outlineLevel="0" collapsed="false">
      <c r="A3095" s="0" t="n">
        <v>963</v>
      </c>
      <c r="B3095" s="0" t="n">
        <v>10410</v>
      </c>
      <c r="C3095" s="0" t="s">
        <v>4268</v>
      </c>
      <c r="D3095" s="0" t="s">
        <v>15</v>
      </c>
      <c r="F3095" s="0" t="s">
        <v>18682</v>
      </c>
      <c r="G3095" s="0" t="s">
        <v>18674</v>
      </c>
    </row>
    <row r="3096" customFormat="false" ht="15" hidden="false" customHeight="false" outlineLevel="0" collapsed="false">
      <c r="A3096" s="0" t="n">
        <v>964</v>
      </c>
      <c r="B3096" s="0" t="n">
        <v>10412</v>
      </c>
      <c r="C3096" s="0" t="s">
        <v>4272</v>
      </c>
      <c r="D3096" s="0" t="s">
        <v>15</v>
      </c>
      <c r="F3096" s="0" t="s">
        <v>18682</v>
      </c>
      <c r="G3096" s="0" t="s">
        <v>18674</v>
      </c>
    </row>
    <row r="3097" customFormat="false" ht="15" hidden="false" customHeight="false" outlineLevel="0" collapsed="false">
      <c r="A3097" s="0" t="n">
        <v>965</v>
      </c>
      <c r="B3097" s="0" t="n">
        <v>10415</v>
      </c>
      <c r="C3097" s="0" t="s">
        <v>4277</v>
      </c>
      <c r="D3097" s="0" t="s">
        <v>15</v>
      </c>
      <c r="F3097" s="0" t="s">
        <v>18683</v>
      </c>
      <c r="G3097" s="0" t="s">
        <v>18674</v>
      </c>
    </row>
    <row r="3098" customFormat="false" ht="15" hidden="false" customHeight="false" outlineLevel="0" collapsed="false">
      <c r="A3098" s="0" t="n">
        <v>966</v>
      </c>
      <c r="B3098" s="0" t="n">
        <v>10418</v>
      </c>
      <c r="C3098" s="0" t="s">
        <v>4283</v>
      </c>
      <c r="D3098" s="0" t="s">
        <v>15</v>
      </c>
      <c r="F3098" s="0" t="s">
        <v>18683</v>
      </c>
      <c r="G3098" s="0" t="s">
        <v>18674</v>
      </c>
    </row>
    <row r="3099" customFormat="false" ht="15" hidden="false" customHeight="false" outlineLevel="0" collapsed="false">
      <c r="A3099" s="0" t="n">
        <v>967</v>
      </c>
      <c r="B3099" s="0" t="n">
        <v>10419</v>
      </c>
      <c r="C3099" s="0" t="s">
        <v>4286</v>
      </c>
      <c r="D3099" s="0" t="s">
        <v>15</v>
      </c>
      <c r="F3099" s="0" t="s">
        <v>18682</v>
      </c>
      <c r="G3099" s="0" t="s">
        <v>18674</v>
      </c>
    </row>
    <row r="3100" customFormat="false" ht="15" hidden="false" customHeight="false" outlineLevel="0" collapsed="false">
      <c r="A3100" s="0" t="n">
        <v>968</v>
      </c>
      <c r="B3100" s="0" t="n">
        <v>10420</v>
      </c>
      <c r="C3100" s="0" t="s">
        <v>4291</v>
      </c>
      <c r="D3100" s="0" t="s">
        <v>15</v>
      </c>
      <c r="F3100" s="0" t="s">
        <v>18682</v>
      </c>
      <c r="G3100" s="0" t="s">
        <v>18674</v>
      </c>
    </row>
    <row r="3101" customFormat="false" ht="15" hidden="false" customHeight="false" outlineLevel="0" collapsed="false">
      <c r="A3101" s="0" t="n">
        <v>969</v>
      </c>
      <c r="B3101" s="0" t="n">
        <v>10424</v>
      </c>
      <c r="C3101" s="0" t="s">
        <v>4295</v>
      </c>
      <c r="D3101" s="0" t="s">
        <v>15</v>
      </c>
      <c r="F3101" s="0" t="s">
        <v>18682</v>
      </c>
      <c r="G3101" s="0" t="s">
        <v>18674</v>
      </c>
    </row>
    <row r="3102" customFormat="false" ht="15" hidden="false" customHeight="false" outlineLevel="0" collapsed="false">
      <c r="A3102" s="0" t="n">
        <v>970</v>
      </c>
      <c r="B3102" s="0" t="n">
        <v>10431</v>
      </c>
      <c r="C3102" s="0" t="s">
        <v>4299</v>
      </c>
      <c r="D3102" s="0" t="s">
        <v>15</v>
      </c>
      <c r="F3102" s="0" t="s">
        <v>18682</v>
      </c>
      <c r="G3102" s="0" t="s">
        <v>18674</v>
      </c>
    </row>
    <row r="3103" customFormat="false" ht="15" hidden="false" customHeight="false" outlineLevel="0" collapsed="false">
      <c r="A3103" s="0" t="n">
        <v>971</v>
      </c>
      <c r="B3103" s="0" t="n">
        <v>10432</v>
      </c>
      <c r="C3103" s="0" t="s">
        <v>4303</v>
      </c>
      <c r="D3103" s="0" t="s">
        <v>15</v>
      </c>
      <c r="F3103" s="0" t="s">
        <v>18683</v>
      </c>
      <c r="G3103" s="0" t="s">
        <v>18674</v>
      </c>
    </row>
    <row r="3104" customFormat="false" ht="15" hidden="false" customHeight="false" outlineLevel="0" collapsed="false">
      <c r="A3104" s="0" t="n">
        <v>972</v>
      </c>
      <c r="B3104" s="0" t="n">
        <v>10433</v>
      </c>
      <c r="C3104" s="0" t="s">
        <v>4308</v>
      </c>
      <c r="D3104" s="0" t="s">
        <v>15</v>
      </c>
      <c r="F3104" s="0" t="s">
        <v>18683</v>
      </c>
      <c r="G3104" s="0" t="s">
        <v>18674</v>
      </c>
    </row>
    <row r="3105" customFormat="false" ht="15" hidden="false" customHeight="false" outlineLevel="0" collapsed="false">
      <c r="A3105" s="0" t="n">
        <v>973</v>
      </c>
      <c r="B3105" s="0" t="n">
        <v>10436</v>
      </c>
      <c r="C3105" s="0" t="s">
        <v>4312</v>
      </c>
      <c r="D3105" s="0" t="s">
        <v>15</v>
      </c>
      <c r="F3105" s="0" t="s">
        <v>18683</v>
      </c>
      <c r="G3105" s="0" t="s">
        <v>18674</v>
      </c>
    </row>
    <row r="3106" customFormat="false" ht="15" hidden="false" customHeight="false" outlineLevel="0" collapsed="false">
      <c r="A3106" s="0" t="n">
        <v>974</v>
      </c>
      <c r="B3106" s="0" t="n">
        <v>10438</v>
      </c>
      <c r="C3106" s="0" t="s">
        <v>4316</v>
      </c>
      <c r="D3106" s="0" t="s">
        <v>15</v>
      </c>
      <c r="F3106" s="0" t="s">
        <v>18683</v>
      </c>
      <c r="G3106" s="0" t="s">
        <v>18674</v>
      </c>
    </row>
    <row r="3107" customFormat="false" ht="15" hidden="false" customHeight="false" outlineLevel="0" collapsed="false">
      <c r="A3107" s="0" t="n">
        <v>975</v>
      </c>
      <c r="B3107" s="0" t="n">
        <v>10440</v>
      </c>
      <c r="C3107" s="0" t="s">
        <v>4321</v>
      </c>
      <c r="D3107" s="0" t="s">
        <v>15</v>
      </c>
      <c r="F3107" s="0" t="s">
        <v>18682</v>
      </c>
      <c r="G3107" s="0" t="s">
        <v>18674</v>
      </c>
    </row>
    <row r="3108" customFormat="false" ht="15" hidden="false" customHeight="false" outlineLevel="0" collapsed="false">
      <c r="A3108" s="0" t="n">
        <v>976</v>
      </c>
      <c r="B3108" s="0" t="n">
        <v>10443</v>
      </c>
      <c r="C3108" s="0" t="s">
        <v>4325</v>
      </c>
      <c r="D3108" s="0" t="s">
        <v>15</v>
      </c>
      <c r="F3108" s="0" t="s">
        <v>18682</v>
      </c>
      <c r="G3108" s="0" t="s">
        <v>18674</v>
      </c>
    </row>
    <row r="3109" customFormat="false" ht="15" hidden="false" customHeight="false" outlineLevel="0" collapsed="false">
      <c r="A3109" s="0" t="n">
        <v>977</v>
      </c>
      <c r="B3109" s="0" t="n">
        <v>10445</v>
      </c>
      <c r="C3109" s="0" t="s">
        <v>4329</v>
      </c>
      <c r="D3109" s="0" t="s">
        <v>15</v>
      </c>
      <c r="F3109" s="0" t="s">
        <v>18682</v>
      </c>
      <c r="G3109" s="0" t="s">
        <v>18674</v>
      </c>
    </row>
    <row r="3110" customFormat="false" ht="15" hidden="false" customHeight="false" outlineLevel="0" collapsed="false">
      <c r="A3110" s="0" t="n">
        <v>978</v>
      </c>
      <c r="B3110" s="0" t="n">
        <v>10448</v>
      </c>
      <c r="C3110" s="0" t="s">
        <v>4333</v>
      </c>
      <c r="D3110" s="0" t="s">
        <v>15</v>
      </c>
      <c r="F3110" s="0" t="s">
        <v>18683</v>
      </c>
      <c r="G3110" s="0" t="s">
        <v>18674</v>
      </c>
    </row>
    <row r="3111" customFormat="false" ht="15" hidden="false" customHeight="false" outlineLevel="0" collapsed="false">
      <c r="A3111" s="0" t="n">
        <v>979</v>
      </c>
      <c r="B3111" s="0" t="n">
        <v>10453</v>
      </c>
      <c r="C3111" s="0" t="s">
        <v>4338</v>
      </c>
      <c r="D3111" s="0" t="s">
        <v>15</v>
      </c>
      <c r="F3111" s="0" t="s">
        <v>18683</v>
      </c>
      <c r="G3111" s="0" t="s">
        <v>18674</v>
      </c>
    </row>
    <row r="3112" customFormat="false" ht="15" hidden="false" customHeight="false" outlineLevel="0" collapsed="false">
      <c r="A3112" s="0" t="n">
        <v>980</v>
      </c>
      <c r="B3112" s="0" t="n">
        <v>10454</v>
      </c>
      <c r="C3112" s="0" t="s">
        <v>4342</v>
      </c>
      <c r="D3112" s="0" t="s">
        <v>15</v>
      </c>
      <c r="F3112" s="0" t="s">
        <v>18682</v>
      </c>
      <c r="G3112" s="0" t="s">
        <v>18674</v>
      </c>
    </row>
    <row r="3113" customFormat="false" ht="15" hidden="false" customHeight="false" outlineLevel="0" collapsed="false">
      <c r="A3113" s="0" t="n">
        <v>981</v>
      </c>
      <c r="B3113" s="0" t="n">
        <v>10455</v>
      </c>
      <c r="C3113" s="0" t="s">
        <v>4346</v>
      </c>
      <c r="D3113" s="0" t="s">
        <v>15</v>
      </c>
      <c r="F3113" s="0" t="s">
        <v>18682</v>
      </c>
      <c r="G3113" s="0" t="s">
        <v>18674</v>
      </c>
    </row>
    <row r="3114" customFormat="false" ht="15" hidden="false" customHeight="false" outlineLevel="0" collapsed="false">
      <c r="A3114" s="0" t="n">
        <v>982</v>
      </c>
      <c r="B3114" s="0" t="n">
        <v>10457</v>
      </c>
      <c r="C3114" s="0" t="s">
        <v>4350</v>
      </c>
      <c r="D3114" s="0" t="s">
        <v>15</v>
      </c>
      <c r="F3114" s="0" t="s">
        <v>18683</v>
      </c>
      <c r="G3114" s="0" t="s">
        <v>18674</v>
      </c>
    </row>
    <row r="3115" customFormat="false" ht="15" hidden="false" customHeight="false" outlineLevel="0" collapsed="false">
      <c r="A3115" s="0" t="n">
        <v>983</v>
      </c>
      <c r="B3115" s="0" t="n">
        <v>10458</v>
      </c>
      <c r="C3115" s="0" t="s">
        <v>4355</v>
      </c>
      <c r="D3115" s="0" t="s">
        <v>15</v>
      </c>
      <c r="F3115" s="0" t="s">
        <v>18682</v>
      </c>
      <c r="G3115" s="0" t="s">
        <v>18674</v>
      </c>
    </row>
    <row r="3116" customFormat="false" ht="15" hidden="false" customHeight="false" outlineLevel="0" collapsed="false">
      <c r="A3116" s="0" t="n">
        <v>984</v>
      </c>
      <c r="B3116" s="0" t="n">
        <v>10460</v>
      </c>
      <c r="C3116" s="0" t="s">
        <v>4359</v>
      </c>
      <c r="D3116" s="0" t="s">
        <v>15</v>
      </c>
      <c r="F3116" s="0" t="s">
        <v>18682</v>
      </c>
      <c r="G3116" s="0" t="s">
        <v>18674</v>
      </c>
    </row>
    <row r="3117" customFormat="false" ht="15" hidden="false" customHeight="false" outlineLevel="0" collapsed="false">
      <c r="A3117" s="0" t="n">
        <v>985</v>
      </c>
      <c r="B3117" s="0" t="n">
        <v>10461</v>
      </c>
      <c r="C3117" s="0" t="s">
        <v>4363</v>
      </c>
      <c r="D3117" s="0" t="s">
        <v>15</v>
      </c>
      <c r="F3117" s="0" t="s">
        <v>18682</v>
      </c>
      <c r="G3117" s="0" t="s">
        <v>18674</v>
      </c>
    </row>
    <row r="3118" customFormat="false" ht="15" hidden="false" customHeight="false" outlineLevel="0" collapsed="false">
      <c r="A3118" s="0" t="n">
        <v>986</v>
      </c>
      <c r="B3118" s="0" t="n">
        <v>10462</v>
      </c>
      <c r="C3118" s="0" t="s">
        <v>4367</v>
      </c>
      <c r="D3118" s="0" t="s">
        <v>15</v>
      </c>
      <c r="F3118" s="0" t="s">
        <v>18682</v>
      </c>
      <c r="G3118" s="0" t="s">
        <v>18674</v>
      </c>
    </row>
    <row r="3119" customFormat="false" ht="15" hidden="false" customHeight="false" outlineLevel="0" collapsed="false">
      <c r="A3119" s="0" t="n">
        <v>987</v>
      </c>
      <c r="B3119" s="0" t="n">
        <v>10463</v>
      </c>
      <c r="C3119" s="0" t="s">
        <v>4371</v>
      </c>
      <c r="D3119" s="0" t="s">
        <v>15</v>
      </c>
      <c r="F3119" s="0" t="s">
        <v>18682</v>
      </c>
      <c r="G3119" s="0" t="s">
        <v>18674</v>
      </c>
    </row>
    <row r="3120" customFormat="false" ht="15" hidden="false" customHeight="false" outlineLevel="0" collapsed="false">
      <c r="A3120" s="0" t="n">
        <v>988</v>
      </c>
      <c r="B3120" s="0" t="n">
        <v>10467</v>
      </c>
      <c r="C3120" s="0" t="s">
        <v>4375</v>
      </c>
      <c r="D3120" s="0" t="s">
        <v>15</v>
      </c>
      <c r="F3120" s="0" t="s">
        <v>18682</v>
      </c>
      <c r="G3120" s="0" t="s">
        <v>18674</v>
      </c>
    </row>
    <row r="3121" customFormat="false" ht="15" hidden="false" customHeight="false" outlineLevel="0" collapsed="false">
      <c r="A3121" s="0" t="n">
        <v>989</v>
      </c>
      <c r="B3121" s="0" t="n">
        <v>10468</v>
      </c>
      <c r="C3121" s="0" t="s">
        <v>4379</v>
      </c>
      <c r="D3121" s="0" t="s">
        <v>15</v>
      </c>
      <c r="F3121" s="0" t="s">
        <v>18682</v>
      </c>
      <c r="G3121" s="0" t="s">
        <v>18674</v>
      </c>
    </row>
    <row r="3122" customFormat="false" ht="15" hidden="false" customHeight="false" outlineLevel="0" collapsed="false">
      <c r="A3122" s="0" t="n">
        <v>990</v>
      </c>
      <c r="B3122" s="0" t="n">
        <v>10473</v>
      </c>
      <c r="C3122" s="0" t="s">
        <v>4383</v>
      </c>
      <c r="D3122" s="0" t="s">
        <v>15</v>
      </c>
      <c r="F3122" s="0" t="s">
        <v>18682</v>
      </c>
      <c r="G3122" s="0" t="s">
        <v>18674</v>
      </c>
    </row>
    <row r="3123" customFormat="false" ht="15" hidden="false" customHeight="false" outlineLevel="0" collapsed="false">
      <c r="A3123" s="0" t="n">
        <v>991</v>
      </c>
      <c r="B3123" s="0" t="n">
        <v>10476</v>
      </c>
      <c r="C3123" s="0" t="s">
        <v>4388</v>
      </c>
      <c r="D3123" s="0" t="s">
        <v>15</v>
      </c>
      <c r="F3123" s="0" t="s">
        <v>18682</v>
      </c>
      <c r="G3123" s="0" t="s">
        <v>18674</v>
      </c>
    </row>
    <row r="3124" customFormat="false" ht="15" hidden="false" customHeight="false" outlineLevel="0" collapsed="false">
      <c r="A3124" s="0" t="n">
        <v>992</v>
      </c>
      <c r="B3124" s="0" t="n">
        <v>10483</v>
      </c>
      <c r="C3124" s="0" t="s">
        <v>4392</v>
      </c>
      <c r="D3124" s="0" t="s">
        <v>15</v>
      </c>
      <c r="F3124" s="0" t="s">
        <v>18683</v>
      </c>
      <c r="G3124" s="0" t="s">
        <v>18674</v>
      </c>
    </row>
    <row r="3125" customFormat="false" ht="15" hidden="false" customHeight="false" outlineLevel="0" collapsed="false">
      <c r="A3125" s="0" t="n">
        <v>993</v>
      </c>
      <c r="B3125" s="0" t="n">
        <v>10486</v>
      </c>
      <c r="C3125" s="0" t="s">
        <v>4395</v>
      </c>
      <c r="D3125" s="0" t="s">
        <v>15</v>
      </c>
      <c r="F3125" s="0" t="s">
        <v>18683</v>
      </c>
      <c r="G3125" s="0" t="s">
        <v>18674</v>
      </c>
    </row>
    <row r="3126" customFormat="false" ht="15" hidden="false" customHeight="false" outlineLevel="0" collapsed="false">
      <c r="A3126" s="0" t="n">
        <v>994</v>
      </c>
      <c r="B3126" s="0" t="n">
        <v>10487</v>
      </c>
      <c r="C3126" s="0" t="s">
        <v>4399</v>
      </c>
      <c r="D3126" s="0" t="s">
        <v>15</v>
      </c>
      <c r="F3126" s="0" t="s">
        <v>18683</v>
      </c>
      <c r="G3126" s="0" t="s">
        <v>18674</v>
      </c>
    </row>
    <row r="3127" customFormat="false" ht="15" hidden="false" customHeight="false" outlineLevel="0" collapsed="false">
      <c r="A3127" s="0" t="n">
        <v>995</v>
      </c>
      <c r="B3127" s="0" t="n">
        <v>10489</v>
      </c>
      <c r="C3127" s="0" t="s">
        <v>4403</v>
      </c>
      <c r="D3127" s="0" t="s">
        <v>15</v>
      </c>
      <c r="F3127" s="0" t="s">
        <v>18683</v>
      </c>
      <c r="G3127" s="0" t="s">
        <v>18674</v>
      </c>
    </row>
    <row r="3128" customFormat="false" ht="15" hidden="false" customHeight="false" outlineLevel="0" collapsed="false">
      <c r="A3128" s="0" t="n">
        <v>996</v>
      </c>
      <c r="B3128" s="0" t="n">
        <v>10491</v>
      </c>
      <c r="C3128" s="0" t="s">
        <v>4409</v>
      </c>
      <c r="D3128" s="0" t="s">
        <v>15</v>
      </c>
      <c r="F3128" s="0" t="s">
        <v>18683</v>
      </c>
      <c r="G3128" s="0" t="s">
        <v>18674</v>
      </c>
    </row>
    <row r="3129" customFormat="false" ht="15" hidden="false" customHeight="false" outlineLevel="0" collapsed="false">
      <c r="A3129" s="0" t="n">
        <v>997</v>
      </c>
      <c r="B3129" s="0" t="n">
        <v>10495</v>
      </c>
      <c r="C3129" s="0" t="s">
        <v>4413</v>
      </c>
      <c r="D3129" s="0" t="s">
        <v>15</v>
      </c>
      <c r="F3129" s="0" t="s">
        <v>18683</v>
      </c>
      <c r="G3129" s="0" t="s">
        <v>18674</v>
      </c>
    </row>
    <row r="3130" customFormat="false" ht="15" hidden="false" customHeight="false" outlineLevel="0" collapsed="false">
      <c r="A3130" s="0" t="n">
        <v>998</v>
      </c>
      <c r="B3130" s="0" t="n">
        <v>10498</v>
      </c>
      <c r="C3130" s="0" t="s">
        <v>4417</v>
      </c>
      <c r="D3130" s="0" t="s">
        <v>15</v>
      </c>
      <c r="F3130" s="0" t="s">
        <v>18682</v>
      </c>
      <c r="G3130" s="0" t="s">
        <v>18674</v>
      </c>
    </row>
    <row r="3131" customFormat="false" ht="15" hidden="false" customHeight="false" outlineLevel="0" collapsed="false">
      <c r="A3131" s="0" t="n">
        <v>999</v>
      </c>
      <c r="B3131" s="0" t="n">
        <v>10499</v>
      </c>
      <c r="C3131" s="0" t="s">
        <v>4421</v>
      </c>
      <c r="D3131" s="0" t="s">
        <v>15</v>
      </c>
      <c r="F3131" s="0" t="s">
        <v>18683</v>
      </c>
      <c r="G3131" s="0" t="s">
        <v>18674</v>
      </c>
    </row>
    <row r="3132" customFormat="false" ht="15" hidden="false" customHeight="false" outlineLevel="0" collapsed="false">
      <c r="A3132" s="0" t="n">
        <v>1000</v>
      </c>
      <c r="B3132" s="0" t="n">
        <v>10500</v>
      </c>
      <c r="C3132" s="0" t="s">
        <v>4426</v>
      </c>
      <c r="D3132" s="0" t="s">
        <v>15</v>
      </c>
      <c r="F3132" s="0" t="s">
        <v>18682</v>
      </c>
      <c r="G3132" s="0" t="s">
        <v>18674</v>
      </c>
    </row>
    <row r="3133" customFormat="false" ht="15" hidden="false" customHeight="false" outlineLevel="0" collapsed="false">
      <c r="A3133" s="0" t="n">
        <v>1001</v>
      </c>
      <c r="B3133" s="0" t="n">
        <v>10501</v>
      </c>
      <c r="C3133" s="0" t="s">
        <v>4430</v>
      </c>
      <c r="D3133" s="0" t="s">
        <v>15</v>
      </c>
      <c r="F3133" s="0" t="s">
        <v>18682</v>
      </c>
      <c r="G3133" s="0" t="s">
        <v>18674</v>
      </c>
    </row>
    <row r="3134" customFormat="false" ht="15" hidden="false" customHeight="false" outlineLevel="0" collapsed="false">
      <c r="A3134" s="0" t="n">
        <v>1002</v>
      </c>
      <c r="B3134" s="0" t="n">
        <v>10502</v>
      </c>
      <c r="C3134" s="0" t="s">
        <v>4434</v>
      </c>
      <c r="D3134" s="0" t="s">
        <v>15</v>
      </c>
      <c r="F3134" s="0" t="s">
        <v>18682</v>
      </c>
      <c r="G3134" s="0" t="s">
        <v>18674</v>
      </c>
    </row>
    <row r="3135" customFormat="false" ht="15" hidden="false" customHeight="false" outlineLevel="0" collapsed="false">
      <c r="A3135" s="0" t="n">
        <v>1003</v>
      </c>
      <c r="B3135" s="0" t="n">
        <v>10503</v>
      </c>
      <c r="C3135" s="0" t="s">
        <v>4438</v>
      </c>
      <c r="D3135" s="0" t="s">
        <v>15</v>
      </c>
      <c r="F3135" s="0" t="s">
        <v>18683</v>
      </c>
      <c r="G3135" s="0" t="s">
        <v>18674</v>
      </c>
    </row>
    <row r="3136" customFormat="false" ht="15" hidden="false" customHeight="false" outlineLevel="0" collapsed="false">
      <c r="A3136" s="0" t="n">
        <v>1004</v>
      </c>
      <c r="B3136" s="0" t="n">
        <v>10506</v>
      </c>
      <c r="C3136" s="0" t="s">
        <v>4442</v>
      </c>
      <c r="D3136" s="0" t="s">
        <v>15</v>
      </c>
      <c r="F3136" s="0" t="s">
        <v>18683</v>
      </c>
      <c r="G3136" s="0" t="s">
        <v>18674</v>
      </c>
    </row>
    <row r="3137" customFormat="false" ht="15" hidden="false" customHeight="false" outlineLevel="0" collapsed="false">
      <c r="A3137" s="0" t="n">
        <v>1005</v>
      </c>
      <c r="B3137" s="0" t="n">
        <v>10507</v>
      </c>
      <c r="C3137" s="0" t="s">
        <v>4446</v>
      </c>
      <c r="D3137" s="0" t="s">
        <v>15</v>
      </c>
      <c r="F3137" s="0" t="s">
        <v>18683</v>
      </c>
      <c r="G3137" s="0" t="s">
        <v>18674</v>
      </c>
    </row>
    <row r="3138" customFormat="false" ht="15" hidden="false" customHeight="false" outlineLevel="0" collapsed="false">
      <c r="A3138" s="0" t="n">
        <v>1006</v>
      </c>
      <c r="B3138" s="0" t="n">
        <v>10508</v>
      </c>
      <c r="C3138" s="0" t="s">
        <v>4450</v>
      </c>
      <c r="D3138" s="0" t="s">
        <v>15</v>
      </c>
      <c r="F3138" s="0" t="s">
        <v>18682</v>
      </c>
      <c r="G3138" s="0" t="s">
        <v>18674</v>
      </c>
    </row>
    <row r="3139" customFormat="false" ht="15" hidden="false" customHeight="false" outlineLevel="0" collapsed="false">
      <c r="A3139" s="0" t="n">
        <v>1007</v>
      </c>
      <c r="B3139" s="0" t="n">
        <v>10510</v>
      </c>
      <c r="C3139" s="0" t="s">
        <v>4454</v>
      </c>
      <c r="D3139" s="0" t="s">
        <v>15</v>
      </c>
      <c r="F3139" s="0" t="s">
        <v>18682</v>
      </c>
      <c r="G3139" s="0" t="s">
        <v>18674</v>
      </c>
    </row>
    <row r="3140" customFormat="false" ht="15" hidden="false" customHeight="false" outlineLevel="0" collapsed="false">
      <c r="A3140" s="0" t="n">
        <v>1008</v>
      </c>
      <c r="B3140" s="0" t="n">
        <v>10511</v>
      </c>
      <c r="C3140" s="0" t="s">
        <v>4458</v>
      </c>
      <c r="D3140" s="0" t="s">
        <v>15</v>
      </c>
      <c r="F3140" s="0" t="s">
        <v>18682</v>
      </c>
      <c r="G3140" s="0" t="s">
        <v>18674</v>
      </c>
    </row>
    <row r="3141" customFormat="false" ht="15" hidden="false" customHeight="false" outlineLevel="0" collapsed="false">
      <c r="A3141" s="0" t="n">
        <v>1009</v>
      </c>
      <c r="B3141" s="0" t="n">
        <v>10512</v>
      </c>
      <c r="C3141" s="0" t="s">
        <v>4462</v>
      </c>
      <c r="D3141" s="0" t="s">
        <v>15</v>
      </c>
      <c r="F3141" s="0" t="s">
        <v>18683</v>
      </c>
      <c r="G3141" s="0" t="s">
        <v>18674</v>
      </c>
    </row>
    <row r="3142" customFormat="false" ht="15" hidden="false" customHeight="false" outlineLevel="0" collapsed="false">
      <c r="A3142" s="0" t="n">
        <v>1010</v>
      </c>
      <c r="B3142" s="0" t="n">
        <v>10516</v>
      </c>
      <c r="C3142" s="0" t="s">
        <v>4465</v>
      </c>
      <c r="D3142" s="0" t="s">
        <v>15</v>
      </c>
      <c r="F3142" s="0" t="s">
        <v>18683</v>
      </c>
      <c r="G3142" s="0" t="s">
        <v>18674</v>
      </c>
    </row>
    <row r="3143" customFormat="false" ht="15" hidden="false" customHeight="false" outlineLevel="0" collapsed="false">
      <c r="A3143" s="0" t="n">
        <v>1011</v>
      </c>
      <c r="B3143" s="0" t="n">
        <v>10518</v>
      </c>
      <c r="C3143" s="0" t="s">
        <v>4468</v>
      </c>
      <c r="D3143" s="0" t="s">
        <v>15</v>
      </c>
      <c r="F3143" s="0" t="s">
        <v>18683</v>
      </c>
      <c r="G3143" s="0" t="s">
        <v>18674</v>
      </c>
    </row>
    <row r="3144" customFormat="false" ht="15" hidden="false" customHeight="false" outlineLevel="0" collapsed="false">
      <c r="A3144" s="0" t="n">
        <v>1012</v>
      </c>
      <c r="B3144" s="0" t="n">
        <v>10519</v>
      </c>
      <c r="C3144" s="0" t="s">
        <v>4473</v>
      </c>
      <c r="D3144" s="0" t="s">
        <v>15</v>
      </c>
      <c r="F3144" s="0" t="s">
        <v>18683</v>
      </c>
      <c r="G3144" s="0" t="s">
        <v>18674</v>
      </c>
    </row>
    <row r="3145" customFormat="false" ht="15" hidden="false" customHeight="false" outlineLevel="0" collapsed="false">
      <c r="A3145" s="0" t="n">
        <v>1013</v>
      </c>
      <c r="B3145" s="0" t="n">
        <v>10520</v>
      </c>
      <c r="C3145" s="0" t="s">
        <v>4477</v>
      </c>
      <c r="D3145" s="0" t="s">
        <v>15</v>
      </c>
      <c r="F3145" s="0" t="s">
        <v>18682</v>
      </c>
      <c r="G3145" s="0" t="s">
        <v>18674</v>
      </c>
    </row>
    <row r="3146" customFormat="false" ht="15" hidden="false" customHeight="false" outlineLevel="0" collapsed="false">
      <c r="A3146" s="0" t="n">
        <v>1014</v>
      </c>
      <c r="B3146" s="0" t="n">
        <v>10521</v>
      </c>
      <c r="C3146" s="0" t="s">
        <v>2965</v>
      </c>
      <c r="D3146" s="0" t="s">
        <v>15</v>
      </c>
      <c r="F3146" s="0" t="s">
        <v>18682</v>
      </c>
      <c r="G3146" s="0" t="s">
        <v>18674</v>
      </c>
    </row>
    <row r="3147" customFormat="false" ht="15" hidden="false" customHeight="false" outlineLevel="0" collapsed="false">
      <c r="A3147" s="0" t="n">
        <v>1015</v>
      </c>
      <c r="B3147" s="0" t="n">
        <v>10523</v>
      </c>
      <c r="C3147" s="0" t="s">
        <v>4484</v>
      </c>
      <c r="D3147" s="0" t="s">
        <v>15</v>
      </c>
      <c r="F3147" s="0" t="s">
        <v>18683</v>
      </c>
      <c r="G3147" s="0" t="s">
        <v>18674</v>
      </c>
    </row>
    <row r="3148" customFormat="false" ht="15" hidden="false" customHeight="false" outlineLevel="0" collapsed="false">
      <c r="A3148" s="0" t="n">
        <v>1016</v>
      </c>
      <c r="B3148" s="0" t="n">
        <v>10525</v>
      </c>
      <c r="C3148" s="0" t="s">
        <v>4489</v>
      </c>
      <c r="D3148" s="0" t="s">
        <v>15</v>
      </c>
      <c r="F3148" s="0" t="s">
        <v>18682</v>
      </c>
      <c r="G3148" s="0" t="s">
        <v>18674</v>
      </c>
    </row>
    <row r="3149" customFormat="false" ht="15" hidden="false" customHeight="false" outlineLevel="0" collapsed="false">
      <c r="A3149" s="0" t="n">
        <v>1017</v>
      </c>
      <c r="B3149" s="0" t="n">
        <v>10526</v>
      </c>
      <c r="C3149" s="0" t="s">
        <v>4493</v>
      </c>
      <c r="D3149" s="0" t="s">
        <v>15</v>
      </c>
      <c r="F3149" s="0" t="s">
        <v>18683</v>
      </c>
      <c r="G3149" s="0" t="s">
        <v>18674</v>
      </c>
    </row>
    <row r="3150" customFormat="false" ht="15" hidden="false" customHeight="false" outlineLevel="0" collapsed="false">
      <c r="A3150" s="0" t="n">
        <v>1020</v>
      </c>
      <c r="B3150" s="0" t="n">
        <v>10596</v>
      </c>
      <c r="C3150" s="0" t="s">
        <v>4507</v>
      </c>
      <c r="D3150" s="0" t="s">
        <v>15</v>
      </c>
      <c r="F3150" s="0" t="s">
        <v>18682</v>
      </c>
      <c r="G3150" s="0" t="s">
        <v>18674</v>
      </c>
    </row>
    <row r="3151" customFormat="false" ht="15" hidden="false" customHeight="false" outlineLevel="0" collapsed="false">
      <c r="A3151" s="0" t="n">
        <v>1035</v>
      </c>
      <c r="B3151" s="0" t="n">
        <v>10693</v>
      </c>
      <c r="C3151" s="0" t="s">
        <v>4570</v>
      </c>
      <c r="D3151" s="0" t="s">
        <v>15</v>
      </c>
      <c r="F3151" s="0" t="s">
        <v>18682</v>
      </c>
      <c r="G3151" s="0" t="s">
        <v>18674</v>
      </c>
    </row>
    <row r="3152" customFormat="false" ht="15" hidden="false" customHeight="false" outlineLevel="0" collapsed="false">
      <c r="A3152" s="0" t="n">
        <v>1036</v>
      </c>
      <c r="B3152" s="0" t="n">
        <v>10694</v>
      </c>
      <c r="C3152" s="0" t="s">
        <v>4574</v>
      </c>
      <c r="D3152" s="0" t="s">
        <v>15</v>
      </c>
      <c r="F3152" s="0" t="s">
        <v>18682</v>
      </c>
      <c r="G3152" s="0" t="s">
        <v>18674</v>
      </c>
    </row>
    <row r="3153" customFormat="false" ht="15" hidden="false" customHeight="false" outlineLevel="0" collapsed="false">
      <c r="A3153" s="0" t="n">
        <v>1043</v>
      </c>
      <c r="B3153" s="0" t="n">
        <v>10838</v>
      </c>
      <c r="C3153" s="0" t="s">
        <v>4603</v>
      </c>
      <c r="D3153" s="0" t="s">
        <v>15</v>
      </c>
      <c r="F3153" s="0" t="s">
        <v>18682</v>
      </c>
      <c r="G3153" s="0" t="s">
        <v>18674</v>
      </c>
    </row>
    <row r="3154" customFormat="false" ht="15" hidden="false" customHeight="false" outlineLevel="0" collapsed="false">
      <c r="A3154" s="0" t="n">
        <v>1044</v>
      </c>
      <c r="B3154" s="0" t="n">
        <v>10842</v>
      </c>
      <c r="C3154" s="0" t="s">
        <v>4606</v>
      </c>
      <c r="D3154" s="0" t="s">
        <v>15</v>
      </c>
      <c r="F3154" s="0" t="s">
        <v>18682</v>
      </c>
      <c r="G3154" s="0" t="s">
        <v>18674</v>
      </c>
    </row>
    <row r="3155" customFormat="false" ht="15" hidden="false" customHeight="false" outlineLevel="0" collapsed="false">
      <c r="A3155" s="0" t="n">
        <v>1045</v>
      </c>
      <c r="B3155" s="0" t="n">
        <v>10845</v>
      </c>
      <c r="C3155" s="0" t="s">
        <v>4609</v>
      </c>
      <c r="D3155" s="0" t="s">
        <v>15</v>
      </c>
      <c r="F3155" s="0" t="s">
        <v>18683</v>
      </c>
      <c r="G3155" s="0" t="s">
        <v>18674</v>
      </c>
    </row>
    <row r="3156" customFormat="false" ht="15" hidden="false" customHeight="false" outlineLevel="0" collapsed="false">
      <c r="A3156" s="0" t="n">
        <v>1074</v>
      </c>
      <c r="B3156" s="0" t="n">
        <v>11115</v>
      </c>
      <c r="C3156" s="0" t="s">
        <v>4730</v>
      </c>
      <c r="D3156" s="0" t="s">
        <v>15</v>
      </c>
      <c r="F3156" s="0" t="s">
        <v>18683</v>
      </c>
      <c r="G3156" s="0" t="s">
        <v>18674</v>
      </c>
    </row>
    <row r="3157" customFormat="false" ht="15" hidden="false" customHeight="false" outlineLevel="0" collapsed="false">
      <c r="A3157" s="0" t="n">
        <v>1092</v>
      </c>
      <c r="B3157" s="0" t="n">
        <v>12133</v>
      </c>
      <c r="C3157" s="0" t="s">
        <v>4817</v>
      </c>
      <c r="D3157" s="0" t="s">
        <v>15</v>
      </c>
      <c r="F3157" s="0" t="s">
        <v>18682</v>
      </c>
      <c r="G3157" s="0" t="s">
        <v>18674</v>
      </c>
    </row>
    <row r="3158" customFormat="false" ht="15" hidden="false" customHeight="false" outlineLevel="0" collapsed="false">
      <c r="A3158" s="0" t="n">
        <v>1107</v>
      </c>
      <c r="B3158" s="0" t="n">
        <v>12307</v>
      </c>
      <c r="C3158" s="0" t="s">
        <v>4876</v>
      </c>
      <c r="D3158" s="0" t="s">
        <v>15</v>
      </c>
      <c r="F3158" s="0" t="s">
        <v>18682</v>
      </c>
      <c r="G3158" s="0" t="s">
        <v>18674</v>
      </c>
    </row>
    <row r="3159" customFormat="false" ht="15" hidden="false" customHeight="false" outlineLevel="0" collapsed="false">
      <c r="A3159" s="0" t="n">
        <v>1108</v>
      </c>
      <c r="B3159" s="0" t="n">
        <v>12308</v>
      </c>
      <c r="C3159" s="0" t="s">
        <v>4879</v>
      </c>
      <c r="D3159" s="0" t="s">
        <v>15</v>
      </c>
      <c r="F3159" s="0" t="s">
        <v>18683</v>
      </c>
      <c r="G3159" s="0" t="s">
        <v>18674</v>
      </c>
    </row>
    <row r="3160" customFormat="false" ht="15" hidden="false" customHeight="false" outlineLevel="0" collapsed="false">
      <c r="A3160" s="0" t="n">
        <v>1109</v>
      </c>
      <c r="B3160" s="0" t="n">
        <v>12310</v>
      </c>
      <c r="C3160" s="0" t="s">
        <v>4883</v>
      </c>
      <c r="D3160" s="0" t="s">
        <v>15</v>
      </c>
      <c r="F3160" s="0" t="s">
        <v>18683</v>
      </c>
      <c r="G3160" s="0" t="s">
        <v>18674</v>
      </c>
    </row>
    <row r="3161" customFormat="false" ht="15" hidden="false" customHeight="false" outlineLevel="0" collapsed="false">
      <c r="A3161" s="0" t="n">
        <v>1134</v>
      </c>
      <c r="B3161" s="0" t="n">
        <v>12437</v>
      </c>
      <c r="C3161" s="0" t="s">
        <v>4988</v>
      </c>
      <c r="D3161" s="0" t="s">
        <v>15</v>
      </c>
      <c r="F3161" s="0" t="s">
        <v>18682</v>
      </c>
      <c r="G3161" s="0" t="s">
        <v>18674</v>
      </c>
    </row>
    <row r="3162" customFormat="false" ht="15" hidden="false" customHeight="false" outlineLevel="0" collapsed="false">
      <c r="A3162" s="0" t="n">
        <v>1142</v>
      </c>
      <c r="B3162" s="0" t="n">
        <v>12519</v>
      </c>
      <c r="C3162" s="0" t="s">
        <v>5029</v>
      </c>
      <c r="D3162" s="0" t="s">
        <v>15</v>
      </c>
      <c r="F3162" s="0" t="s">
        <v>18673</v>
      </c>
      <c r="G3162" s="0" t="s">
        <v>18674</v>
      </c>
    </row>
    <row r="3163" customFormat="false" ht="15" hidden="false" customHeight="false" outlineLevel="0" collapsed="false">
      <c r="A3163" s="0" t="n">
        <v>1143</v>
      </c>
      <c r="B3163" s="0" t="n">
        <v>12523</v>
      </c>
      <c r="C3163" s="0" t="s">
        <v>5035</v>
      </c>
      <c r="D3163" s="0" t="s">
        <v>15</v>
      </c>
      <c r="F3163" s="0" t="s">
        <v>18673</v>
      </c>
      <c r="G3163" s="0" t="s">
        <v>18674</v>
      </c>
    </row>
    <row r="3164" customFormat="false" ht="15" hidden="false" customHeight="false" outlineLevel="0" collapsed="false">
      <c r="A3164" s="0" t="n">
        <v>1144</v>
      </c>
      <c r="B3164" s="0" t="n">
        <v>12524</v>
      </c>
      <c r="C3164" s="0" t="s">
        <v>5040</v>
      </c>
      <c r="D3164" s="0" t="s">
        <v>15</v>
      </c>
      <c r="F3164" s="0" t="s">
        <v>18673</v>
      </c>
      <c r="G3164" s="0" t="s">
        <v>18674</v>
      </c>
    </row>
    <row r="3165" customFormat="false" ht="15" hidden="false" customHeight="false" outlineLevel="0" collapsed="false">
      <c r="A3165" s="0" t="n">
        <v>1145</v>
      </c>
      <c r="B3165" s="0" t="n">
        <v>12525</v>
      </c>
      <c r="C3165" s="0" t="s">
        <v>5044</v>
      </c>
      <c r="D3165" s="0" t="s">
        <v>15</v>
      </c>
      <c r="F3165" s="0" t="s">
        <v>18673</v>
      </c>
      <c r="G3165" s="0" t="s">
        <v>18674</v>
      </c>
    </row>
    <row r="3166" customFormat="false" ht="15" hidden="false" customHeight="false" outlineLevel="0" collapsed="false">
      <c r="A3166" s="0" t="n">
        <v>1146</v>
      </c>
      <c r="B3166" s="0" t="n">
        <v>12526</v>
      </c>
      <c r="C3166" s="0" t="s">
        <v>5048</v>
      </c>
      <c r="D3166" s="0" t="s">
        <v>15</v>
      </c>
      <c r="F3166" s="0" t="s">
        <v>18673</v>
      </c>
      <c r="G3166" s="0" t="s">
        <v>18674</v>
      </c>
    </row>
    <row r="3167" customFormat="false" ht="15" hidden="false" customHeight="false" outlineLevel="0" collapsed="false">
      <c r="A3167" s="0" t="n">
        <v>1147</v>
      </c>
      <c r="B3167" s="0" t="n">
        <v>12528</v>
      </c>
      <c r="C3167" s="0" t="s">
        <v>5052</v>
      </c>
      <c r="D3167" s="0" t="s">
        <v>15</v>
      </c>
      <c r="F3167" s="0" t="s">
        <v>18673</v>
      </c>
      <c r="G3167" s="0" t="s">
        <v>18674</v>
      </c>
    </row>
    <row r="3168" customFormat="false" ht="15" hidden="false" customHeight="false" outlineLevel="0" collapsed="false">
      <c r="A3168" s="0" t="n">
        <v>1148</v>
      </c>
      <c r="B3168" s="0" t="n">
        <v>12529</v>
      </c>
      <c r="C3168" s="0" t="s">
        <v>5057</v>
      </c>
      <c r="D3168" s="0" t="s">
        <v>15</v>
      </c>
      <c r="F3168" s="0" t="s">
        <v>18673</v>
      </c>
      <c r="G3168" s="0" t="s">
        <v>18674</v>
      </c>
    </row>
    <row r="3169" customFormat="false" ht="15" hidden="false" customHeight="false" outlineLevel="0" collapsed="false">
      <c r="A3169" s="0" t="n">
        <v>1149</v>
      </c>
      <c r="B3169" s="0" t="n">
        <v>12530</v>
      </c>
      <c r="C3169" s="0" t="s">
        <v>661</v>
      </c>
      <c r="D3169" s="0" t="s">
        <v>15</v>
      </c>
      <c r="F3169" s="0" t="s">
        <v>18673</v>
      </c>
      <c r="G3169" s="0" t="s">
        <v>18674</v>
      </c>
    </row>
    <row r="3170" customFormat="false" ht="15" hidden="false" customHeight="false" outlineLevel="0" collapsed="false">
      <c r="A3170" s="0" t="n">
        <v>1150</v>
      </c>
      <c r="B3170" s="0" t="n">
        <v>12532</v>
      </c>
      <c r="C3170" s="0" t="s">
        <v>5065</v>
      </c>
      <c r="D3170" s="0" t="s">
        <v>15</v>
      </c>
      <c r="F3170" s="0" t="s">
        <v>18673</v>
      </c>
      <c r="G3170" s="0" t="s">
        <v>18674</v>
      </c>
    </row>
    <row r="3171" customFormat="false" ht="15" hidden="false" customHeight="false" outlineLevel="0" collapsed="false">
      <c r="A3171" s="0" t="n">
        <v>1151</v>
      </c>
      <c r="B3171" s="0" t="n">
        <v>12533</v>
      </c>
      <c r="C3171" s="0" t="s">
        <v>5070</v>
      </c>
      <c r="D3171" s="0" t="s">
        <v>15</v>
      </c>
      <c r="F3171" s="0" t="s">
        <v>18673</v>
      </c>
      <c r="G3171" s="0" t="s">
        <v>18674</v>
      </c>
    </row>
    <row r="3172" customFormat="false" ht="15" hidden="false" customHeight="false" outlineLevel="0" collapsed="false">
      <c r="A3172" s="0" t="n">
        <v>1152</v>
      </c>
      <c r="B3172" s="0" t="n">
        <v>12534</v>
      </c>
      <c r="C3172" s="0" t="s">
        <v>5074</v>
      </c>
      <c r="D3172" s="0" t="s">
        <v>15</v>
      </c>
      <c r="F3172" s="0" t="s">
        <v>18673</v>
      </c>
      <c r="G3172" s="0" t="s">
        <v>18674</v>
      </c>
    </row>
    <row r="3173" customFormat="false" ht="15" hidden="false" customHeight="false" outlineLevel="0" collapsed="false">
      <c r="A3173" s="0" t="n">
        <v>1153</v>
      </c>
      <c r="B3173" s="0" t="n">
        <v>12536</v>
      </c>
      <c r="C3173" s="0" t="s">
        <v>5077</v>
      </c>
      <c r="D3173" s="0" t="s">
        <v>15</v>
      </c>
      <c r="F3173" s="0" t="s">
        <v>18673</v>
      </c>
      <c r="G3173" s="0" t="s">
        <v>18674</v>
      </c>
    </row>
    <row r="3174" customFormat="false" ht="15" hidden="false" customHeight="false" outlineLevel="0" collapsed="false">
      <c r="A3174" s="0" t="n">
        <v>1154</v>
      </c>
      <c r="B3174" s="0" t="n">
        <v>12538</v>
      </c>
      <c r="C3174" s="0" t="s">
        <v>5082</v>
      </c>
      <c r="D3174" s="0" t="s">
        <v>15</v>
      </c>
      <c r="F3174" s="0" t="s">
        <v>18673</v>
      </c>
      <c r="G3174" s="0" t="s">
        <v>18674</v>
      </c>
    </row>
    <row r="3175" customFormat="false" ht="15" hidden="false" customHeight="false" outlineLevel="0" collapsed="false">
      <c r="A3175" s="0" t="n">
        <v>1155</v>
      </c>
      <c r="B3175" s="0" t="n">
        <v>12539</v>
      </c>
      <c r="C3175" s="0" t="s">
        <v>5086</v>
      </c>
      <c r="D3175" s="0" t="s">
        <v>15</v>
      </c>
      <c r="F3175" s="0" t="s">
        <v>18673</v>
      </c>
      <c r="G3175" s="0" t="s">
        <v>18674</v>
      </c>
    </row>
    <row r="3176" customFormat="false" ht="15" hidden="false" customHeight="false" outlineLevel="0" collapsed="false">
      <c r="A3176" s="0" t="n">
        <v>1156</v>
      </c>
      <c r="B3176" s="0" t="n">
        <v>12540</v>
      </c>
      <c r="C3176" s="0" t="s">
        <v>5090</v>
      </c>
      <c r="D3176" s="0" t="s">
        <v>15</v>
      </c>
      <c r="F3176" s="0" t="s">
        <v>18673</v>
      </c>
      <c r="G3176" s="0" t="s">
        <v>18674</v>
      </c>
    </row>
    <row r="3177" customFormat="false" ht="15" hidden="false" customHeight="false" outlineLevel="0" collapsed="false">
      <c r="A3177" s="0" t="n">
        <v>1157</v>
      </c>
      <c r="B3177" s="0" t="n">
        <v>12541</v>
      </c>
      <c r="C3177" s="0" t="s">
        <v>5094</v>
      </c>
      <c r="D3177" s="0" t="s">
        <v>15</v>
      </c>
      <c r="F3177" s="0" t="s">
        <v>18673</v>
      </c>
      <c r="G3177" s="0" t="s">
        <v>18674</v>
      </c>
    </row>
    <row r="3178" customFormat="false" ht="15" hidden="false" customHeight="false" outlineLevel="0" collapsed="false">
      <c r="A3178" s="0" t="n">
        <v>1158</v>
      </c>
      <c r="B3178" s="0" t="n">
        <v>12542</v>
      </c>
      <c r="C3178" s="0" t="s">
        <v>5098</v>
      </c>
      <c r="D3178" s="0" t="s">
        <v>15</v>
      </c>
      <c r="F3178" s="0" t="s">
        <v>18673</v>
      </c>
      <c r="G3178" s="0" t="s">
        <v>18674</v>
      </c>
    </row>
    <row r="3179" customFormat="false" ht="15" hidden="false" customHeight="false" outlineLevel="0" collapsed="false">
      <c r="A3179" s="0" t="n">
        <v>1159</v>
      </c>
      <c r="B3179" s="0" t="n">
        <v>12543</v>
      </c>
      <c r="C3179" s="0" t="s">
        <v>5102</v>
      </c>
      <c r="D3179" s="0" t="s">
        <v>15</v>
      </c>
      <c r="F3179" s="0" t="s">
        <v>18673</v>
      </c>
      <c r="G3179" s="0" t="s">
        <v>18674</v>
      </c>
    </row>
    <row r="3180" customFormat="false" ht="15" hidden="false" customHeight="false" outlineLevel="0" collapsed="false">
      <c r="A3180" s="0" t="n">
        <v>1160</v>
      </c>
      <c r="B3180" s="0" t="n">
        <v>12547</v>
      </c>
      <c r="C3180" s="0" t="s">
        <v>5106</v>
      </c>
      <c r="D3180" s="0" t="s">
        <v>15</v>
      </c>
      <c r="F3180" s="0" t="s">
        <v>18673</v>
      </c>
      <c r="G3180" s="0" t="s">
        <v>18674</v>
      </c>
    </row>
    <row r="3181" customFormat="false" ht="15" hidden="false" customHeight="false" outlineLevel="0" collapsed="false">
      <c r="A3181" s="0" t="n">
        <v>1161</v>
      </c>
      <c r="B3181" s="0" t="n">
        <v>12549</v>
      </c>
      <c r="C3181" s="0" t="s">
        <v>5110</v>
      </c>
      <c r="D3181" s="0" t="s">
        <v>15</v>
      </c>
      <c r="F3181" s="0" t="s">
        <v>18673</v>
      </c>
      <c r="G3181" s="0" t="s">
        <v>18674</v>
      </c>
    </row>
    <row r="3182" customFormat="false" ht="15" hidden="false" customHeight="false" outlineLevel="0" collapsed="false">
      <c r="A3182" s="0" t="n">
        <v>1162</v>
      </c>
      <c r="B3182" s="0" t="n">
        <v>12550</v>
      </c>
      <c r="C3182" s="0" t="s">
        <v>5114</v>
      </c>
      <c r="D3182" s="0" t="s">
        <v>15</v>
      </c>
      <c r="F3182" s="0" t="s">
        <v>18673</v>
      </c>
      <c r="G3182" s="0" t="s">
        <v>18674</v>
      </c>
    </row>
    <row r="3183" customFormat="false" ht="15" hidden="false" customHeight="false" outlineLevel="0" collapsed="false">
      <c r="A3183" s="0" t="n">
        <v>1163</v>
      </c>
      <c r="B3183" s="0" t="n">
        <v>12551</v>
      </c>
      <c r="C3183" s="0" t="s">
        <v>5118</v>
      </c>
      <c r="D3183" s="0" t="s">
        <v>15</v>
      </c>
      <c r="F3183" s="0" t="s">
        <v>18673</v>
      </c>
      <c r="G3183" s="0" t="s">
        <v>18674</v>
      </c>
    </row>
    <row r="3184" customFormat="false" ht="15" hidden="false" customHeight="false" outlineLevel="0" collapsed="false">
      <c r="A3184" s="0" t="n">
        <v>1164</v>
      </c>
      <c r="B3184" s="0" t="n">
        <v>12552</v>
      </c>
      <c r="C3184" s="0" t="s">
        <v>5122</v>
      </c>
      <c r="D3184" s="0" t="s">
        <v>15</v>
      </c>
      <c r="F3184" s="0" t="s">
        <v>18673</v>
      </c>
      <c r="G3184" s="0" t="s">
        <v>18674</v>
      </c>
    </row>
    <row r="3185" customFormat="false" ht="15" hidden="false" customHeight="false" outlineLevel="0" collapsed="false">
      <c r="A3185" s="0" t="n">
        <v>1165</v>
      </c>
      <c r="B3185" s="0" t="n">
        <v>12553</v>
      </c>
      <c r="C3185" s="0" t="s">
        <v>5126</v>
      </c>
      <c r="D3185" s="0" t="s">
        <v>15</v>
      </c>
      <c r="F3185" s="0" t="s">
        <v>18673</v>
      </c>
      <c r="G3185" s="0" t="s">
        <v>18674</v>
      </c>
    </row>
    <row r="3186" customFormat="false" ht="15" hidden="false" customHeight="false" outlineLevel="0" collapsed="false">
      <c r="A3186" s="0" t="n">
        <v>1166</v>
      </c>
      <c r="B3186" s="0" t="n">
        <v>12554</v>
      </c>
      <c r="C3186" s="0" t="s">
        <v>5130</v>
      </c>
      <c r="D3186" s="0" t="s">
        <v>15</v>
      </c>
      <c r="F3186" s="0" t="s">
        <v>18673</v>
      </c>
      <c r="G3186" s="0" t="s">
        <v>18674</v>
      </c>
    </row>
    <row r="3187" customFormat="false" ht="15" hidden="false" customHeight="false" outlineLevel="0" collapsed="false">
      <c r="A3187" s="0" t="n">
        <v>1167</v>
      </c>
      <c r="B3187" s="0" t="n">
        <v>12555</v>
      </c>
      <c r="C3187" s="0" t="s">
        <v>5134</v>
      </c>
      <c r="D3187" s="0" t="s">
        <v>15</v>
      </c>
      <c r="F3187" s="0" t="s">
        <v>18673</v>
      </c>
      <c r="G3187" s="0" t="s">
        <v>18674</v>
      </c>
    </row>
    <row r="3188" customFormat="false" ht="15" hidden="false" customHeight="false" outlineLevel="0" collapsed="false">
      <c r="A3188" s="0" t="n">
        <v>1168</v>
      </c>
      <c r="B3188" s="0" t="n">
        <v>12556</v>
      </c>
      <c r="C3188" s="0" t="s">
        <v>5138</v>
      </c>
      <c r="D3188" s="0" t="s">
        <v>15</v>
      </c>
      <c r="F3188" s="0" t="s">
        <v>18673</v>
      </c>
      <c r="G3188" s="0" t="s">
        <v>18674</v>
      </c>
    </row>
    <row r="3189" customFormat="false" ht="15" hidden="false" customHeight="false" outlineLevel="0" collapsed="false">
      <c r="A3189" s="0" t="n">
        <v>1169</v>
      </c>
      <c r="B3189" s="0" t="n">
        <v>12557</v>
      </c>
      <c r="C3189" s="0" t="s">
        <v>5142</v>
      </c>
      <c r="D3189" s="0" t="s">
        <v>15</v>
      </c>
      <c r="F3189" s="0" t="s">
        <v>18673</v>
      </c>
      <c r="G3189" s="0" t="s">
        <v>18674</v>
      </c>
    </row>
    <row r="3190" customFormat="false" ht="15" hidden="false" customHeight="false" outlineLevel="0" collapsed="false">
      <c r="A3190" s="0" t="n">
        <v>1170</v>
      </c>
      <c r="B3190" s="0" t="n">
        <v>12561</v>
      </c>
      <c r="C3190" s="0" t="s">
        <v>5146</v>
      </c>
      <c r="D3190" s="0" t="s">
        <v>15</v>
      </c>
      <c r="F3190" s="0" t="s">
        <v>18673</v>
      </c>
      <c r="G3190" s="0" t="s">
        <v>18674</v>
      </c>
    </row>
    <row r="3191" customFormat="false" ht="15" hidden="false" customHeight="false" outlineLevel="0" collapsed="false">
      <c r="A3191" s="0" t="n">
        <v>1171</v>
      </c>
      <c r="B3191" s="0" t="n">
        <v>12562</v>
      </c>
      <c r="C3191" s="0" t="s">
        <v>5150</v>
      </c>
      <c r="D3191" s="0" t="s">
        <v>15</v>
      </c>
      <c r="F3191" s="0" t="s">
        <v>18673</v>
      </c>
      <c r="G3191" s="0" t="s">
        <v>18674</v>
      </c>
    </row>
    <row r="3192" customFormat="false" ht="15" hidden="false" customHeight="false" outlineLevel="0" collapsed="false">
      <c r="A3192" s="0" t="n">
        <v>1172</v>
      </c>
      <c r="B3192" s="0" t="n">
        <v>12563</v>
      </c>
      <c r="C3192" s="0" t="s">
        <v>5154</v>
      </c>
      <c r="D3192" s="0" t="s">
        <v>15</v>
      </c>
      <c r="F3192" s="0" t="s">
        <v>18673</v>
      </c>
      <c r="G3192" s="0" t="s">
        <v>18674</v>
      </c>
    </row>
    <row r="3193" customFormat="false" ht="15" hidden="false" customHeight="false" outlineLevel="0" collapsed="false">
      <c r="A3193" s="0" t="n">
        <v>1173</v>
      </c>
      <c r="B3193" s="0" t="n">
        <v>12564</v>
      </c>
      <c r="C3193" s="0" t="s">
        <v>5158</v>
      </c>
      <c r="D3193" s="0" t="s">
        <v>15</v>
      </c>
      <c r="F3193" s="0" t="s">
        <v>18673</v>
      </c>
      <c r="G3193" s="0" t="s">
        <v>18674</v>
      </c>
    </row>
    <row r="3194" customFormat="false" ht="15" hidden="false" customHeight="false" outlineLevel="0" collapsed="false">
      <c r="A3194" s="0" t="n">
        <v>1174</v>
      </c>
      <c r="B3194" s="0" t="n">
        <v>12567</v>
      </c>
      <c r="C3194" s="0" t="s">
        <v>5163</v>
      </c>
      <c r="D3194" s="0" t="s">
        <v>15</v>
      </c>
      <c r="F3194" s="0" t="s">
        <v>18673</v>
      </c>
      <c r="G3194" s="0" t="s">
        <v>18674</v>
      </c>
    </row>
    <row r="3195" customFormat="false" ht="15" hidden="false" customHeight="false" outlineLevel="0" collapsed="false">
      <c r="A3195" s="0" t="n">
        <v>1175</v>
      </c>
      <c r="B3195" s="0" t="n">
        <v>12568</v>
      </c>
      <c r="C3195" s="0" t="s">
        <v>5167</v>
      </c>
      <c r="D3195" s="0" t="s">
        <v>15</v>
      </c>
      <c r="F3195" s="0" t="s">
        <v>18673</v>
      </c>
      <c r="G3195" s="0" t="s">
        <v>18674</v>
      </c>
    </row>
    <row r="3196" customFormat="false" ht="15" hidden="false" customHeight="false" outlineLevel="0" collapsed="false">
      <c r="A3196" s="0" t="n">
        <v>1176</v>
      </c>
      <c r="B3196" s="0" t="n">
        <v>12569</v>
      </c>
      <c r="C3196" s="0" t="s">
        <v>5171</v>
      </c>
      <c r="D3196" s="0" t="s">
        <v>15</v>
      </c>
      <c r="F3196" s="0" t="s">
        <v>18673</v>
      </c>
      <c r="G3196" s="0" t="s">
        <v>18674</v>
      </c>
    </row>
    <row r="3197" customFormat="false" ht="15" hidden="false" customHeight="false" outlineLevel="0" collapsed="false">
      <c r="A3197" s="0" t="n">
        <v>1177</v>
      </c>
      <c r="B3197" s="0" t="n">
        <v>12570</v>
      </c>
      <c r="C3197" s="0" t="s">
        <v>5175</v>
      </c>
      <c r="D3197" s="0" t="s">
        <v>15</v>
      </c>
      <c r="F3197" s="0" t="s">
        <v>18673</v>
      </c>
      <c r="G3197" s="0" t="s">
        <v>18674</v>
      </c>
    </row>
    <row r="3198" customFormat="false" ht="15" hidden="false" customHeight="false" outlineLevel="0" collapsed="false">
      <c r="A3198" s="0" t="n">
        <v>1178</v>
      </c>
      <c r="B3198" s="0" t="n">
        <v>12571</v>
      </c>
      <c r="C3198" s="0" t="s">
        <v>5179</v>
      </c>
      <c r="D3198" s="0" t="s">
        <v>15</v>
      </c>
      <c r="F3198" s="0" t="s">
        <v>18673</v>
      </c>
      <c r="G3198" s="0" t="s">
        <v>18674</v>
      </c>
    </row>
    <row r="3199" customFormat="false" ht="15" hidden="false" customHeight="false" outlineLevel="0" collapsed="false">
      <c r="A3199" s="0" t="n">
        <v>1179</v>
      </c>
      <c r="B3199" s="0" t="n">
        <v>12572</v>
      </c>
      <c r="C3199" s="0" t="s">
        <v>5183</v>
      </c>
      <c r="D3199" s="0" t="s">
        <v>15</v>
      </c>
      <c r="F3199" s="0" t="s">
        <v>18673</v>
      </c>
      <c r="G3199" s="0" t="s">
        <v>18674</v>
      </c>
    </row>
    <row r="3200" customFormat="false" ht="15" hidden="false" customHeight="false" outlineLevel="0" collapsed="false">
      <c r="A3200" s="0" t="n">
        <v>1180</v>
      </c>
      <c r="B3200" s="0" t="n">
        <v>12576</v>
      </c>
      <c r="C3200" s="0" t="s">
        <v>5187</v>
      </c>
      <c r="D3200" s="0" t="s">
        <v>15</v>
      </c>
      <c r="F3200" s="0" t="s">
        <v>18673</v>
      </c>
      <c r="G3200" s="0" t="s">
        <v>18674</v>
      </c>
    </row>
    <row r="3201" customFormat="false" ht="15" hidden="false" customHeight="false" outlineLevel="0" collapsed="false">
      <c r="A3201" s="0" t="n">
        <v>1181</v>
      </c>
      <c r="B3201" s="0" t="n">
        <v>12577</v>
      </c>
      <c r="C3201" s="0" t="s">
        <v>5192</v>
      </c>
      <c r="D3201" s="0" t="s">
        <v>15</v>
      </c>
      <c r="F3201" s="0" t="s">
        <v>18673</v>
      </c>
      <c r="G3201" s="0" t="s">
        <v>18674</v>
      </c>
    </row>
    <row r="3202" customFormat="false" ht="15" hidden="false" customHeight="false" outlineLevel="0" collapsed="false">
      <c r="A3202" s="0" t="n">
        <v>1182</v>
      </c>
      <c r="B3202" s="0" t="n">
        <v>12579</v>
      </c>
      <c r="C3202" s="0" t="s">
        <v>5196</v>
      </c>
      <c r="D3202" s="0" t="s">
        <v>15</v>
      </c>
      <c r="F3202" s="0" t="s">
        <v>18673</v>
      </c>
      <c r="G3202" s="0" t="s">
        <v>18674</v>
      </c>
    </row>
    <row r="3203" customFormat="false" ht="15" hidden="false" customHeight="false" outlineLevel="0" collapsed="false">
      <c r="A3203" s="0" t="n">
        <v>1183</v>
      </c>
      <c r="B3203" s="0" t="n">
        <v>12582</v>
      </c>
      <c r="C3203" s="0" t="s">
        <v>5200</v>
      </c>
      <c r="D3203" s="0" t="s">
        <v>15</v>
      </c>
      <c r="F3203" s="0" t="s">
        <v>18673</v>
      </c>
      <c r="G3203" s="0" t="s">
        <v>18674</v>
      </c>
    </row>
    <row r="3204" customFormat="false" ht="15" hidden="false" customHeight="false" outlineLevel="0" collapsed="false">
      <c r="A3204" s="0" t="n">
        <v>1184</v>
      </c>
      <c r="B3204" s="0" t="n">
        <v>12583</v>
      </c>
      <c r="C3204" s="0" t="s">
        <v>5204</v>
      </c>
      <c r="D3204" s="0" t="s">
        <v>15</v>
      </c>
      <c r="F3204" s="0" t="s">
        <v>18673</v>
      </c>
      <c r="G3204" s="0" t="s">
        <v>18674</v>
      </c>
    </row>
    <row r="3205" customFormat="false" ht="15" hidden="false" customHeight="false" outlineLevel="0" collapsed="false">
      <c r="A3205" s="0" t="n">
        <v>1185</v>
      </c>
      <c r="B3205" s="0" t="n">
        <v>12584</v>
      </c>
      <c r="C3205" s="0" t="s">
        <v>5209</v>
      </c>
      <c r="D3205" s="0" t="s">
        <v>15</v>
      </c>
      <c r="F3205" s="0" t="s">
        <v>18673</v>
      </c>
      <c r="G3205" s="0" t="s">
        <v>18674</v>
      </c>
    </row>
    <row r="3206" customFormat="false" ht="15" hidden="false" customHeight="false" outlineLevel="0" collapsed="false">
      <c r="A3206" s="0" t="n">
        <v>1186</v>
      </c>
      <c r="B3206" s="0" t="n">
        <v>12585</v>
      </c>
      <c r="C3206" s="0" t="s">
        <v>5213</v>
      </c>
      <c r="D3206" s="0" t="s">
        <v>15</v>
      </c>
      <c r="F3206" s="0" t="s">
        <v>18673</v>
      </c>
      <c r="G3206" s="0" t="s">
        <v>18674</v>
      </c>
    </row>
    <row r="3207" customFormat="false" ht="15" hidden="false" customHeight="false" outlineLevel="0" collapsed="false">
      <c r="A3207" s="0" t="n">
        <v>1187</v>
      </c>
      <c r="B3207" s="0" t="n">
        <v>12586</v>
      </c>
      <c r="C3207" s="0" t="s">
        <v>5217</v>
      </c>
      <c r="D3207" s="0" t="s">
        <v>15</v>
      </c>
      <c r="F3207" s="0" t="s">
        <v>18673</v>
      </c>
      <c r="G3207" s="0" t="s">
        <v>18674</v>
      </c>
    </row>
    <row r="3208" customFormat="false" ht="15" hidden="false" customHeight="false" outlineLevel="0" collapsed="false">
      <c r="A3208" s="0" t="n">
        <v>1188</v>
      </c>
      <c r="B3208" s="0" t="n">
        <v>12589</v>
      </c>
      <c r="C3208" s="0" t="s">
        <v>5221</v>
      </c>
      <c r="D3208" s="0" t="s">
        <v>15</v>
      </c>
      <c r="F3208" s="0" t="s">
        <v>18673</v>
      </c>
      <c r="G3208" s="0" t="s">
        <v>18674</v>
      </c>
    </row>
    <row r="3209" customFormat="false" ht="15" hidden="false" customHeight="false" outlineLevel="0" collapsed="false">
      <c r="A3209" s="0" t="n">
        <v>1189</v>
      </c>
      <c r="B3209" s="0" t="n">
        <v>12590</v>
      </c>
      <c r="C3209" s="0" t="s">
        <v>5225</v>
      </c>
      <c r="D3209" s="0" t="s">
        <v>15</v>
      </c>
      <c r="F3209" s="0" t="s">
        <v>18673</v>
      </c>
      <c r="G3209" s="0" t="s">
        <v>18674</v>
      </c>
    </row>
    <row r="3210" customFormat="false" ht="15" hidden="false" customHeight="false" outlineLevel="0" collapsed="false">
      <c r="A3210" s="0" t="n">
        <v>1190</v>
      </c>
      <c r="B3210" s="0" t="n">
        <v>12592</v>
      </c>
      <c r="C3210" s="0" t="s">
        <v>5230</v>
      </c>
      <c r="D3210" s="0" t="s">
        <v>15</v>
      </c>
      <c r="F3210" s="0" t="s">
        <v>18673</v>
      </c>
      <c r="G3210" s="0" t="s">
        <v>18674</v>
      </c>
    </row>
    <row r="3211" customFormat="false" ht="15" hidden="false" customHeight="false" outlineLevel="0" collapsed="false">
      <c r="A3211" s="0" t="n">
        <v>1191</v>
      </c>
      <c r="B3211" s="0" t="n">
        <v>12593</v>
      </c>
      <c r="C3211" s="0" t="s">
        <v>5235</v>
      </c>
      <c r="D3211" s="0" t="s">
        <v>15</v>
      </c>
      <c r="F3211" s="0" t="s">
        <v>18673</v>
      </c>
      <c r="G3211" s="0" t="s">
        <v>18674</v>
      </c>
    </row>
    <row r="3212" customFormat="false" ht="15" hidden="false" customHeight="false" outlineLevel="0" collapsed="false">
      <c r="A3212" s="0" t="n">
        <v>1200</v>
      </c>
      <c r="B3212" s="0" t="n">
        <v>12774</v>
      </c>
      <c r="C3212" s="0" t="s">
        <v>5276</v>
      </c>
      <c r="D3212" s="0" t="s">
        <v>15</v>
      </c>
      <c r="F3212" s="0" t="s">
        <v>18682</v>
      </c>
      <c r="G3212" s="0" t="s">
        <v>18674</v>
      </c>
    </row>
    <row r="3213" customFormat="false" ht="15" hidden="false" customHeight="false" outlineLevel="0" collapsed="false">
      <c r="A3213" s="0" t="n">
        <v>1202</v>
      </c>
      <c r="B3213" s="0" t="n">
        <v>12801</v>
      </c>
      <c r="C3213" s="0" t="s">
        <v>5282</v>
      </c>
      <c r="D3213" s="0" t="s">
        <v>15</v>
      </c>
      <c r="F3213" s="0" t="s">
        <v>18683</v>
      </c>
      <c r="G3213" s="0" t="s">
        <v>18674</v>
      </c>
    </row>
    <row r="3214" customFormat="false" ht="15" hidden="false" customHeight="false" outlineLevel="0" collapsed="false">
      <c r="A3214" s="0" t="n">
        <v>1203</v>
      </c>
      <c r="B3214" s="0" t="n">
        <v>12802</v>
      </c>
      <c r="C3214" s="0" t="s">
        <v>5284</v>
      </c>
      <c r="D3214" s="0" t="s">
        <v>15</v>
      </c>
      <c r="F3214" s="0" t="s">
        <v>18683</v>
      </c>
      <c r="G3214" s="0" t="s">
        <v>18674</v>
      </c>
    </row>
    <row r="3215" customFormat="false" ht="15" hidden="false" customHeight="false" outlineLevel="0" collapsed="false">
      <c r="A3215" s="0" t="n">
        <v>1215</v>
      </c>
      <c r="B3215" s="0" t="n">
        <v>12902</v>
      </c>
      <c r="C3215" s="0" t="s">
        <v>5334</v>
      </c>
      <c r="D3215" s="0" t="s">
        <v>15</v>
      </c>
      <c r="F3215" s="0" t="s">
        <v>18675</v>
      </c>
      <c r="G3215" s="0" t="s">
        <v>18674</v>
      </c>
    </row>
    <row r="3216" customFormat="false" ht="15" hidden="false" customHeight="false" outlineLevel="0" collapsed="false">
      <c r="A3216" s="0" t="n">
        <v>1218</v>
      </c>
      <c r="B3216" s="0" t="n">
        <v>13119</v>
      </c>
      <c r="C3216" s="0" t="s">
        <v>5348</v>
      </c>
      <c r="D3216" s="0" t="s">
        <v>15</v>
      </c>
      <c r="F3216" s="0" t="s">
        <v>18682</v>
      </c>
      <c r="G3216" s="0" t="s">
        <v>18674</v>
      </c>
    </row>
    <row r="3217" customFormat="false" ht="15" hidden="false" customHeight="false" outlineLevel="0" collapsed="false">
      <c r="A3217" s="0" t="n">
        <v>1219</v>
      </c>
      <c r="B3217" s="0" t="n">
        <v>13124</v>
      </c>
      <c r="C3217" s="0" t="s">
        <v>5352</v>
      </c>
      <c r="D3217" s="0" t="s">
        <v>15</v>
      </c>
      <c r="F3217" s="0" t="s">
        <v>18682</v>
      </c>
      <c r="G3217" s="0" t="s">
        <v>18674</v>
      </c>
    </row>
    <row r="3218" customFormat="false" ht="15" hidden="false" customHeight="false" outlineLevel="0" collapsed="false">
      <c r="A3218" s="0" t="n">
        <v>1226</v>
      </c>
      <c r="B3218" s="0" t="n">
        <v>13247</v>
      </c>
      <c r="C3218" s="0" t="s">
        <v>5381</v>
      </c>
      <c r="D3218" s="0" t="s">
        <v>15</v>
      </c>
      <c r="F3218" s="0" t="s">
        <v>18683</v>
      </c>
      <c r="G3218" s="0" t="s">
        <v>18674</v>
      </c>
    </row>
    <row r="3219" customFormat="false" ht="15" hidden="false" customHeight="false" outlineLevel="0" collapsed="false">
      <c r="A3219" s="0" t="n">
        <v>1234</v>
      </c>
      <c r="B3219" s="0" t="n">
        <v>13400</v>
      </c>
      <c r="C3219" s="0" t="s">
        <v>5421</v>
      </c>
      <c r="D3219" s="0" t="s">
        <v>15</v>
      </c>
      <c r="F3219" s="0" t="s">
        <v>18683</v>
      </c>
      <c r="G3219" s="0" t="s">
        <v>18674</v>
      </c>
    </row>
    <row r="3220" customFormat="false" ht="15" hidden="false" customHeight="false" outlineLevel="0" collapsed="false">
      <c r="A3220" s="0" t="n">
        <v>1235</v>
      </c>
      <c r="B3220" s="0" t="n">
        <v>13408</v>
      </c>
      <c r="C3220" s="0" t="s">
        <v>5424</v>
      </c>
      <c r="D3220" s="0" t="s">
        <v>15</v>
      </c>
      <c r="F3220" s="0" t="s">
        <v>18683</v>
      </c>
      <c r="G3220" s="0" t="s">
        <v>18674</v>
      </c>
    </row>
    <row r="3221" customFormat="false" ht="15" hidden="false" customHeight="false" outlineLevel="0" collapsed="false">
      <c r="A3221" s="0" t="n">
        <v>1247</v>
      </c>
      <c r="B3221" s="0" t="n">
        <v>13564</v>
      </c>
      <c r="C3221" s="0" t="s">
        <v>5478</v>
      </c>
      <c r="D3221" s="0" t="s">
        <v>15</v>
      </c>
      <c r="F3221" s="0" t="s">
        <v>18673</v>
      </c>
      <c r="G3221" s="0" t="s">
        <v>18674</v>
      </c>
    </row>
    <row r="3222" customFormat="false" ht="15" hidden="false" customHeight="false" outlineLevel="0" collapsed="false">
      <c r="A3222" s="0" t="n">
        <v>1249</v>
      </c>
      <c r="B3222" s="0" t="n">
        <v>13576</v>
      </c>
      <c r="C3222" s="0" t="s">
        <v>5487</v>
      </c>
      <c r="D3222" s="0" t="s">
        <v>15</v>
      </c>
      <c r="F3222" s="0" t="s">
        <v>18683</v>
      </c>
      <c r="G3222" s="0" t="s">
        <v>18674</v>
      </c>
    </row>
    <row r="3223" customFormat="false" ht="15" hidden="false" customHeight="false" outlineLevel="0" collapsed="false">
      <c r="A3223" s="0" t="n">
        <v>1251</v>
      </c>
      <c r="B3223" s="0" t="n">
        <v>13618</v>
      </c>
      <c r="C3223" s="0" t="s">
        <v>5494</v>
      </c>
      <c r="D3223" s="0" t="s">
        <v>15</v>
      </c>
      <c r="F3223" s="0" t="s">
        <v>18682</v>
      </c>
      <c r="G3223" s="0" t="s">
        <v>18674</v>
      </c>
    </row>
    <row r="3224" customFormat="false" ht="15" hidden="false" customHeight="false" outlineLevel="0" collapsed="false">
      <c r="A3224" s="0" t="n">
        <v>1257</v>
      </c>
      <c r="B3224" s="0" t="n">
        <v>13653</v>
      </c>
      <c r="C3224" s="0" t="s">
        <v>5517</v>
      </c>
      <c r="D3224" s="0" t="s">
        <v>15</v>
      </c>
      <c r="F3224" s="0" t="s">
        <v>18682</v>
      </c>
      <c r="G3224" s="0" t="s">
        <v>18674</v>
      </c>
    </row>
    <row r="3225" customFormat="false" ht="15" hidden="false" customHeight="false" outlineLevel="0" collapsed="false">
      <c r="A3225" s="0" t="n">
        <v>1296</v>
      </c>
      <c r="B3225" s="0" t="n">
        <v>14115</v>
      </c>
      <c r="C3225" s="0" t="s">
        <v>5690</v>
      </c>
      <c r="D3225" s="0" t="s">
        <v>15</v>
      </c>
      <c r="F3225" s="0" t="s">
        <v>18683</v>
      </c>
      <c r="G3225" s="0" t="s">
        <v>18674</v>
      </c>
    </row>
    <row r="3226" customFormat="false" ht="15" hidden="false" customHeight="false" outlineLevel="0" collapsed="false">
      <c r="A3226" s="0" t="n">
        <v>1305</v>
      </c>
      <c r="B3226" s="0" t="n">
        <v>14451</v>
      </c>
      <c r="C3226" s="0" t="s">
        <v>5730</v>
      </c>
      <c r="D3226" s="0" t="s">
        <v>15</v>
      </c>
      <c r="F3226" s="0" t="s">
        <v>18682</v>
      </c>
      <c r="G3226" s="0" t="s">
        <v>18674</v>
      </c>
    </row>
    <row r="3227" customFormat="false" ht="15" hidden="false" customHeight="false" outlineLevel="0" collapsed="false">
      <c r="A3227" s="0" t="n">
        <v>1309</v>
      </c>
      <c r="B3227" s="0" t="n">
        <v>14536</v>
      </c>
      <c r="C3227" s="0" t="s">
        <v>5745</v>
      </c>
      <c r="D3227" s="0" t="s">
        <v>15</v>
      </c>
      <c r="F3227" s="0" t="s">
        <v>18683</v>
      </c>
      <c r="G3227" s="0" t="s">
        <v>18674</v>
      </c>
    </row>
    <row r="3228" customFormat="false" ht="15" hidden="false" customHeight="false" outlineLevel="0" collapsed="false">
      <c r="A3228" s="0" t="n">
        <v>1340</v>
      </c>
      <c r="B3228" s="0" t="n">
        <v>14914</v>
      </c>
      <c r="C3228" s="0" t="s">
        <v>5878</v>
      </c>
      <c r="D3228" s="0" t="s">
        <v>15</v>
      </c>
      <c r="F3228" s="0" t="s">
        <v>18683</v>
      </c>
      <c r="G3228" s="0" t="s">
        <v>18674</v>
      </c>
    </row>
    <row r="3229" customFormat="false" ht="15" hidden="false" customHeight="false" outlineLevel="0" collapsed="false">
      <c r="A3229" s="0" t="n">
        <v>1347</v>
      </c>
      <c r="B3229" s="0" t="n">
        <v>14932</v>
      </c>
      <c r="C3229" s="0" t="s">
        <v>5911</v>
      </c>
      <c r="D3229" s="0" t="s">
        <v>15</v>
      </c>
      <c r="F3229" s="0" t="s">
        <v>18684</v>
      </c>
      <c r="G3229" s="0" t="s">
        <v>18674</v>
      </c>
    </row>
    <row r="3230" customFormat="false" ht="15" hidden="false" customHeight="false" outlineLevel="0" collapsed="false">
      <c r="A3230" s="0" t="n">
        <v>1384</v>
      </c>
      <c r="B3230" s="0" t="n">
        <v>14974</v>
      </c>
      <c r="C3230" s="0" t="s">
        <v>6070</v>
      </c>
      <c r="D3230" s="0" t="s">
        <v>15</v>
      </c>
      <c r="F3230" s="0" t="s">
        <v>18684</v>
      </c>
      <c r="G3230" s="0" t="s">
        <v>18674</v>
      </c>
    </row>
    <row r="3231" customFormat="false" ht="15" hidden="false" customHeight="false" outlineLevel="0" collapsed="false">
      <c r="A3231" s="0" t="n">
        <v>1397</v>
      </c>
      <c r="B3231" s="0" t="n">
        <v>15187</v>
      </c>
      <c r="C3231" s="0" t="s">
        <v>6128</v>
      </c>
      <c r="D3231" s="0" t="s">
        <v>15</v>
      </c>
      <c r="F3231" s="0" t="s">
        <v>18673</v>
      </c>
      <c r="G3231" s="0" t="s">
        <v>18674</v>
      </c>
    </row>
    <row r="3232" customFormat="false" ht="15" hidden="false" customHeight="false" outlineLevel="0" collapsed="false">
      <c r="A3232" s="0" t="n">
        <v>1429</v>
      </c>
      <c r="B3232" s="0" t="n">
        <v>15514</v>
      </c>
      <c r="C3232" s="0" t="s">
        <v>6267</v>
      </c>
      <c r="D3232" s="0" t="s">
        <v>15</v>
      </c>
      <c r="F3232" s="0" t="s">
        <v>18673</v>
      </c>
      <c r="G3232" s="0" t="s">
        <v>18674</v>
      </c>
    </row>
    <row r="3233" customFormat="false" ht="15" hidden="false" customHeight="false" outlineLevel="0" collapsed="false">
      <c r="A3233" s="0" t="n">
        <v>1430</v>
      </c>
      <c r="B3233" s="0" t="n">
        <v>15516</v>
      </c>
      <c r="C3233" s="0" t="s">
        <v>6271</v>
      </c>
      <c r="D3233" s="0" t="s">
        <v>15</v>
      </c>
      <c r="F3233" s="0" t="s">
        <v>18673</v>
      </c>
      <c r="G3233" s="0" t="s">
        <v>18674</v>
      </c>
    </row>
    <row r="3234" customFormat="false" ht="15" hidden="false" customHeight="false" outlineLevel="0" collapsed="false">
      <c r="A3234" s="0" t="n">
        <v>1470</v>
      </c>
      <c r="B3234" s="0" t="n">
        <v>15886</v>
      </c>
      <c r="C3234" s="0" t="s">
        <v>6437</v>
      </c>
      <c r="D3234" s="0" t="s">
        <v>15</v>
      </c>
      <c r="F3234" s="0" t="s">
        <v>18676</v>
      </c>
      <c r="G3234" s="0" t="s">
        <v>18674</v>
      </c>
    </row>
    <row r="3235" customFormat="false" ht="15" hidden="false" customHeight="false" outlineLevel="0" collapsed="false">
      <c r="A3235" s="0" t="n">
        <v>1471</v>
      </c>
      <c r="B3235" s="0" t="n">
        <v>15888</v>
      </c>
      <c r="C3235" s="0" t="s">
        <v>6441</v>
      </c>
      <c r="D3235" s="0" t="s">
        <v>15</v>
      </c>
      <c r="F3235" s="0" t="s">
        <v>18676</v>
      </c>
      <c r="G3235" s="0" t="s">
        <v>18674</v>
      </c>
    </row>
    <row r="3236" customFormat="false" ht="15" hidden="false" customHeight="false" outlineLevel="0" collapsed="false">
      <c r="A3236" s="0" t="n">
        <v>1472</v>
      </c>
      <c r="B3236" s="0" t="n">
        <v>15889</v>
      </c>
      <c r="C3236" s="0" t="s">
        <v>6445</v>
      </c>
      <c r="D3236" s="0" t="s">
        <v>15</v>
      </c>
      <c r="F3236" s="0" t="s">
        <v>18676</v>
      </c>
      <c r="G3236" s="0" t="s">
        <v>18674</v>
      </c>
    </row>
    <row r="3237" customFormat="false" ht="15" hidden="false" customHeight="false" outlineLevel="0" collapsed="false">
      <c r="A3237" s="0" t="n">
        <v>1473</v>
      </c>
      <c r="B3237" s="0" t="n">
        <v>15890</v>
      </c>
      <c r="C3237" s="0" t="s">
        <v>6449</v>
      </c>
      <c r="D3237" s="0" t="s">
        <v>15</v>
      </c>
      <c r="F3237" s="0" t="s">
        <v>18676</v>
      </c>
      <c r="G3237" s="0" t="s">
        <v>18674</v>
      </c>
    </row>
    <row r="3238" customFormat="false" ht="15" hidden="false" customHeight="false" outlineLevel="0" collapsed="false">
      <c r="A3238" s="0" t="n">
        <v>1474</v>
      </c>
      <c r="B3238" s="0" t="n">
        <v>15891</v>
      </c>
      <c r="C3238" s="0" t="s">
        <v>6454</v>
      </c>
      <c r="D3238" s="0" t="s">
        <v>15</v>
      </c>
      <c r="F3238" s="0" t="s">
        <v>18676</v>
      </c>
      <c r="G3238" s="0" t="s">
        <v>18674</v>
      </c>
    </row>
    <row r="3239" customFormat="false" ht="15" hidden="false" customHeight="false" outlineLevel="0" collapsed="false">
      <c r="A3239" s="0" t="n">
        <v>1475</v>
      </c>
      <c r="B3239" s="0" t="n">
        <v>15892</v>
      </c>
      <c r="C3239" s="0" t="s">
        <v>6459</v>
      </c>
      <c r="D3239" s="0" t="s">
        <v>15</v>
      </c>
      <c r="F3239" s="0" t="s">
        <v>18676</v>
      </c>
      <c r="G3239" s="0" t="s">
        <v>18674</v>
      </c>
    </row>
    <row r="3240" customFormat="false" ht="15" hidden="false" customHeight="false" outlineLevel="0" collapsed="false">
      <c r="A3240" s="0" t="n">
        <v>1544</v>
      </c>
      <c r="B3240" s="0" t="n">
        <v>16386</v>
      </c>
      <c r="C3240" s="0" t="s">
        <v>6768</v>
      </c>
      <c r="D3240" s="0" t="s">
        <v>15</v>
      </c>
      <c r="F3240" s="0" t="s">
        <v>18683</v>
      </c>
      <c r="G3240" s="0" t="s">
        <v>18674</v>
      </c>
    </row>
    <row r="3241" customFormat="false" ht="15" hidden="false" customHeight="false" outlineLevel="0" collapsed="false">
      <c r="A3241" s="0" t="n">
        <v>1556</v>
      </c>
      <c r="B3241" s="0" t="n">
        <v>16552</v>
      </c>
      <c r="C3241" s="0" t="s">
        <v>6818</v>
      </c>
      <c r="D3241" s="0" t="s">
        <v>15</v>
      </c>
      <c r="F3241" s="0" t="s">
        <v>18682</v>
      </c>
      <c r="G3241" s="0" t="s">
        <v>18674</v>
      </c>
    </row>
    <row r="3242" customFormat="false" ht="15" hidden="false" customHeight="false" outlineLevel="0" collapsed="false">
      <c r="A3242" s="0" t="n">
        <v>1567</v>
      </c>
      <c r="B3242" s="0" t="n">
        <v>16611</v>
      </c>
      <c r="C3242" s="0" t="s">
        <v>6867</v>
      </c>
      <c r="D3242" s="0" t="s">
        <v>15</v>
      </c>
      <c r="F3242" s="0" t="s">
        <v>18683</v>
      </c>
      <c r="G3242" s="0" t="s">
        <v>18674</v>
      </c>
    </row>
    <row r="3243" customFormat="false" ht="15" hidden="false" customHeight="false" outlineLevel="0" collapsed="false">
      <c r="A3243" s="0" t="n">
        <v>1621</v>
      </c>
      <c r="B3243" s="0" t="n">
        <v>16887</v>
      </c>
      <c r="C3243" s="0" t="s">
        <v>7096</v>
      </c>
      <c r="D3243" s="0" t="s">
        <v>15</v>
      </c>
      <c r="F3243" s="0" t="s">
        <v>18682</v>
      </c>
      <c r="G3243" s="0" t="s">
        <v>18674</v>
      </c>
    </row>
    <row r="3244" customFormat="false" ht="15" hidden="false" customHeight="false" outlineLevel="0" collapsed="false">
      <c r="A3244" s="0" t="n">
        <v>1697</v>
      </c>
      <c r="B3244" s="0" t="n">
        <v>17781</v>
      </c>
      <c r="C3244" s="0" t="s">
        <v>7389</v>
      </c>
      <c r="D3244" s="0" t="s">
        <v>15</v>
      </c>
      <c r="F3244" s="0" t="s">
        <v>18673</v>
      </c>
      <c r="G3244" s="0" t="s">
        <v>18674</v>
      </c>
    </row>
    <row r="3245" customFormat="false" ht="15" hidden="false" customHeight="false" outlineLevel="0" collapsed="false">
      <c r="A3245" s="0" t="n">
        <v>1703</v>
      </c>
      <c r="B3245" s="0" t="n">
        <v>17858</v>
      </c>
      <c r="C3245" s="0" t="s">
        <v>7417</v>
      </c>
      <c r="D3245" s="0" t="s">
        <v>15</v>
      </c>
      <c r="F3245" s="0" t="s">
        <v>18685</v>
      </c>
      <c r="G3245" s="0" t="s">
        <v>18674</v>
      </c>
    </row>
    <row r="3246" customFormat="false" ht="15" hidden="false" customHeight="false" outlineLevel="0" collapsed="false">
      <c r="A3246" s="0" t="n">
        <v>1704</v>
      </c>
      <c r="B3246" s="0" t="n">
        <v>17859</v>
      </c>
      <c r="C3246" s="0" t="s">
        <v>7422</v>
      </c>
      <c r="D3246" s="0" t="s">
        <v>15</v>
      </c>
      <c r="F3246" s="0" t="s">
        <v>18685</v>
      </c>
      <c r="G3246" s="0" t="s">
        <v>18674</v>
      </c>
    </row>
    <row r="3247" customFormat="false" ht="15" hidden="false" customHeight="false" outlineLevel="0" collapsed="false">
      <c r="A3247" s="0" t="n">
        <v>1705</v>
      </c>
      <c r="B3247" s="0" t="n">
        <v>17860</v>
      </c>
      <c r="C3247" s="0" t="s">
        <v>7425</v>
      </c>
      <c r="D3247" s="0" t="s">
        <v>15</v>
      </c>
      <c r="F3247" s="0" t="s">
        <v>18685</v>
      </c>
      <c r="G3247" s="0" t="s">
        <v>18674</v>
      </c>
    </row>
    <row r="3248" customFormat="false" ht="15" hidden="false" customHeight="false" outlineLevel="0" collapsed="false">
      <c r="A3248" s="0" t="n">
        <v>1706</v>
      </c>
      <c r="B3248" s="0" t="n">
        <v>17861</v>
      </c>
      <c r="C3248" s="0" t="s">
        <v>7428</v>
      </c>
      <c r="D3248" s="0" t="s">
        <v>15</v>
      </c>
      <c r="F3248" s="0" t="s">
        <v>18685</v>
      </c>
      <c r="G3248" s="0" t="s">
        <v>18674</v>
      </c>
    </row>
    <row r="3249" customFormat="false" ht="15" hidden="false" customHeight="false" outlineLevel="0" collapsed="false">
      <c r="A3249" s="0" t="n">
        <v>1707</v>
      </c>
      <c r="B3249" s="0" t="n">
        <v>17862</v>
      </c>
      <c r="C3249" s="0" t="s">
        <v>7431</v>
      </c>
      <c r="D3249" s="0" t="s">
        <v>15</v>
      </c>
      <c r="F3249" s="0" t="s">
        <v>18685</v>
      </c>
      <c r="G3249" s="0" t="s">
        <v>18674</v>
      </c>
    </row>
    <row r="3250" customFormat="false" ht="15" hidden="false" customHeight="false" outlineLevel="0" collapsed="false">
      <c r="A3250" s="0" t="n">
        <v>1708</v>
      </c>
      <c r="B3250" s="0" t="n">
        <v>17863</v>
      </c>
      <c r="C3250" s="0" t="s">
        <v>7434</v>
      </c>
      <c r="D3250" s="0" t="s">
        <v>15</v>
      </c>
      <c r="F3250" s="0" t="s">
        <v>18685</v>
      </c>
      <c r="G3250" s="0" t="s">
        <v>18674</v>
      </c>
    </row>
    <row r="3251" customFormat="false" ht="15" hidden="false" customHeight="false" outlineLevel="0" collapsed="false">
      <c r="A3251" s="0" t="n">
        <v>1737</v>
      </c>
      <c r="B3251" s="0" t="n">
        <v>17976</v>
      </c>
      <c r="C3251" s="0" t="s">
        <v>7562</v>
      </c>
      <c r="D3251" s="0" t="s">
        <v>15</v>
      </c>
      <c r="F3251" s="0" t="s">
        <v>18673</v>
      </c>
      <c r="G3251" s="0" t="s">
        <v>18674</v>
      </c>
    </row>
    <row r="3252" customFormat="false" ht="15" hidden="false" customHeight="false" outlineLevel="0" collapsed="false">
      <c r="A3252" s="0" t="n">
        <v>1790</v>
      </c>
      <c r="B3252" s="0" t="n">
        <v>18341</v>
      </c>
      <c r="C3252" s="0" t="s">
        <v>7776</v>
      </c>
      <c r="D3252" s="0" t="s">
        <v>15</v>
      </c>
      <c r="F3252" s="0" t="s">
        <v>18686</v>
      </c>
      <c r="G3252" s="0" t="s">
        <v>18674</v>
      </c>
    </row>
    <row r="3253" customFormat="false" ht="15" hidden="false" customHeight="false" outlineLevel="0" collapsed="false">
      <c r="A3253" s="0" t="n">
        <v>1791</v>
      </c>
      <c r="B3253" s="0" t="n">
        <v>18342</v>
      </c>
      <c r="C3253" s="0" t="s">
        <v>7781</v>
      </c>
      <c r="D3253" s="0" t="s">
        <v>15</v>
      </c>
      <c r="F3253" s="0" t="s">
        <v>18686</v>
      </c>
      <c r="G3253" s="0" t="s">
        <v>18674</v>
      </c>
    </row>
    <row r="3254" customFormat="false" ht="15" hidden="false" customHeight="false" outlineLevel="0" collapsed="false">
      <c r="A3254" s="0" t="n">
        <v>1792</v>
      </c>
      <c r="B3254" s="0" t="n">
        <v>18343</v>
      </c>
      <c r="C3254" s="0" t="s">
        <v>7785</v>
      </c>
      <c r="D3254" s="0" t="s">
        <v>15</v>
      </c>
      <c r="F3254" s="0" t="s">
        <v>18686</v>
      </c>
      <c r="G3254" s="0" t="s">
        <v>18674</v>
      </c>
    </row>
    <row r="3255" customFormat="false" ht="15" hidden="false" customHeight="false" outlineLevel="0" collapsed="false">
      <c r="A3255" s="0" t="n">
        <v>1793</v>
      </c>
      <c r="B3255" s="0" t="n">
        <v>18346</v>
      </c>
      <c r="C3255" s="0" t="s">
        <v>7790</v>
      </c>
      <c r="D3255" s="0" t="s">
        <v>15</v>
      </c>
      <c r="F3255" s="0" t="s">
        <v>18686</v>
      </c>
      <c r="G3255" s="0" t="s">
        <v>18674</v>
      </c>
    </row>
    <row r="3256" customFormat="false" ht="15" hidden="false" customHeight="false" outlineLevel="0" collapsed="false">
      <c r="A3256" s="0" t="n">
        <v>1794</v>
      </c>
      <c r="B3256" s="0" t="n">
        <v>18347</v>
      </c>
      <c r="C3256" s="0" t="s">
        <v>7794</v>
      </c>
      <c r="D3256" s="0" t="s">
        <v>15</v>
      </c>
      <c r="F3256" s="0" t="s">
        <v>18686</v>
      </c>
      <c r="G3256" s="0" t="s">
        <v>18674</v>
      </c>
    </row>
    <row r="3257" customFormat="false" ht="15" hidden="false" customHeight="false" outlineLevel="0" collapsed="false">
      <c r="A3257" s="0" t="n">
        <v>1795</v>
      </c>
      <c r="B3257" s="0" t="n">
        <v>18350</v>
      </c>
      <c r="C3257" s="0" t="s">
        <v>7798</v>
      </c>
      <c r="D3257" s="0" t="s">
        <v>15</v>
      </c>
      <c r="F3257" s="0" t="s">
        <v>18686</v>
      </c>
      <c r="G3257" s="0" t="s">
        <v>18674</v>
      </c>
    </row>
    <row r="3258" customFormat="false" ht="15" hidden="false" customHeight="false" outlineLevel="0" collapsed="false">
      <c r="A3258" s="0" t="n">
        <v>1796</v>
      </c>
      <c r="B3258" s="0" t="n">
        <v>18352</v>
      </c>
      <c r="C3258" s="0" t="s">
        <v>7803</v>
      </c>
      <c r="D3258" s="0" t="s">
        <v>15</v>
      </c>
      <c r="F3258" s="0" t="s">
        <v>18686</v>
      </c>
      <c r="G3258" s="0" t="s">
        <v>18674</v>
      </c>
    </row>
    <row r="3259" customFormat="false" ht="15" hidden="false" customHeight="false" outlineLevel="0" collapsed="false">
      <c r="A3259" s="0" t="n">
        <v>1797</v>
      </c>
      <c r="B3259" s="0" t="n">
        <v>18355</v>
      </c>
      <c r="C3259" s="0" t="s">
        <v>7807</v>
      </c>
      <c r="D3259" s="0" t="s">
        <v>15</v>
      </c>
      <c r="F3259" s="0" t="s">
        <v>18686</v>
      </c>
      <c r="G3259" s="0" t="s">
        <v>18674</v>
      </c>
    </row>
    <row r="3260" customFormat="false" ht="15" hidden="false" customHeight="false" outlineLevel="0" collapsed="false">
      <c r="A3260" s="0" t="n">
        <v>1798</v>
      </c>
      <c r="B3260" s="0" t="n">
        <v>18356</v>
      </c>
      <c r="C3260" s="0" t="s">
        <v>7811</v>
      </c>
      <c r="D3260" s="0" t="s">
        <v>15</v>
      </c>
      <c r="F3260" s="0" t="s">
        <v>18686</v>
      </c>
      <c r="G3260" s="0" t="s">
        <v>18674</v>
      </c>
    </row>
    <row r="3261" customFormat="false" ht="15" hidden="false" customHeight="false" outlineLevel="0" collapsed="false">
      <c r="A3261" s="0" t="n">
        <v>1807</v>
      </c>
      <c r="B3261" s="0" t="n">
        <v>18415</v>
      </c>
      <c r="C3261" s="0" t="s">
        <v>7850</v>
      </c>
      <c r="D3261" s="0" t="s">
        <v>15</v>
      </c>
      <c r="F3261" s="0" t="s">
        <v>18687</v>
      </c>
      <c r="G3261" s="0" t="s">
        <v>18674</v>
      </c>
    </row>
    <row r="3262" customFormat="false" ht="15" hidden="false" customHeight="false" outlineLevel="0" collapsed="false">
      <c r="A3262" s="0" t="n">
        <v>1808</v>
      </c>
      <c r="B3262" s="0" t="n">
        <v>18440</v>
      </c>
      <c r="C3262" s="0" t="s">
        <v>7855</v>
      </c>
      <c r="D3262" s="0" t="s">
        <v>15</v>
      </c>
      <c r="F3262" s="0" t="s">
        <v>18683</v>
      </c>
      <c r="G3262" s="0" t="s">
        <v>18674</v>
      </c>
    </row>
    <row r="3263" customFormat="false" ht="15" hidden="false" customHeight="false" outlineLevel="0" collapsed="false">
      <c r="A3263" s="0" t="n">
        <v>1809</v>
      </c>
      <c r="B3263" s="0" t="n">
        <v>18441</v>
      </c>
      <c r="C3263" s="0" t="s">
        <v>7859</v>
      </c>
      <c r="D3263" s="0" t="s">
        <v>15</v>
      </c>
      <c r="F3263" s="0" t="s">
        <v>18683</v>
      </c>
      <c r="G3263" s="0" t="s">
        <v>18674</v>
      </c>
    </row>
    <row r="3264" customFormat="false" ht="15" hidden="false" customHeight="false" outlineLevel="0" collapsed="false">
      <c r="A3264" s="0" t="n">
        <v>1833</v>
      </c>
      <c r="B3264" s="0" t="n">
        <v>18534</v>
      </c>
      <c r="C3264" s="0" t="s">
        <v>7964</v>
      </c>
      <c r="D3264" s="0" t="s">
        <v>15</v>
      </c>
      <c r="F3264" s="0" t="s">
        <v>18683</v>
      </c>
      <c r="G3264" s="0" t="s">
        <v>18674</v>
      </c>
    </row>
    <row r="3265" customFormat="false" ht="15" hidden="false" customHeight="false" outlineLevel="0" collapsed="false">
      <c r="A3265" s="0" t="n">
        <v>1834</v>
      </c>
      <c r="B3265" s="0" t="n">
        <v>18538</v>
      </c>
      <c r="C3265" s="0" t="s">
        <v>7967</v>
      </c>
      <c r="D3265" s="0" t="s">
        <v>15</v>
      </c>
      <c r="F3265" s="0" t="s">
        <v>18675</v>
      </c>
      <c r="G3265" s="0" t="s">
        <v>18674</v>
      </c>
    </row>
    <row r="3266" customFormat="false" ht="15" hidden="false" customHeight="false" outlineLevel="0" collapsed="false">
      <c r="A3266" s="0" t="n">
        <v>1835</v>
      </c>
      <c r="B3266" s="0" t="n">
        <v>18539</v>
      </c>
      <c r="C3266" s="0" t="s">
        <v>7973</v>
      </c>
      <c r="D3266" s="0" t="s">
        <v>15</v>
      </c>
      <c r="F3266" s="0" t="s">
        <v>18675</v>
      </c>
      <c r="G3266" s="0" t="s">
        <v>18674</v>
      </c>
    </row>
    <row r="3267" customFormat="false" ht="15" hidden="false" customHeight="false" outlineLevel="0" collapsed="false">
      <c r="A3267" s="0" t="n">
        <v>1836</v>
      </c>
      <c r="B3267" s="0" t="n">
        <v>18540</v>
      </c>
      <c r="C3267" s="0" t="s">
        <v>7977</v>
      </c>
      <c r="D3267" s="0" t="s">
        <v>15</v>
      </c>
      <c r="F3267" s="0" t="s">
        <v>18675</v>
      </c>
      <c r="G3267" s="0" t="s">
        <v>18674</v>
      </c>
    </row>
    <row r="3268" customFormat="false" ht="15" hidden="false" customHeight="false" outlineLevel="0" collapsed="false">
      <c r="A3268" s="0" t="n">
        <v>1837</v>
      </c>
      <c r="B3268" s="0" t="n">
        <v>18541</v>
      </c>
      <c r="C3268" s="0" t="s">
        <v>7983</v>
      </c>
      <c r="D3268" s="0" t="s">
        <v>15</v>
      </c>
      <c r="F3268" s="0" t="s">
        <v>18675</v>
      </c>
      <c r="G3268" s="0" t="s">
        <v>18674</v>
      </c>
    </row>
    <row r="3269" customFormat="false" ht="15" hidden="false" customHeight="false" outlineLevel="0" collapsed="false">
      <c r="A3269" s="0" t="n">
        <v>1838</v>
      </c>
      <c r="B3269" s="0" t="n">
        <v>18542</v>
      </c>
      <c r="C3269" s="0" t="s">
        <v>7987</v>
      </c>
      <c r="D3269" s="0" t="s">
        <v>15</v>
      </c>
      <c r="F3269" s="0" t="s">
        <v>18676</v>
      </c>
      <c r="G3269" s="0" t="s">
        <v>18674</v>
      </c>
    </row>
    <row r="3270" customFormat="false" ht="15" hidden="false" customHeight="false" outlineLevel="0" collapsed="false">
      <c r="A3270" s="0" t="n">
        <v>1839</v>
      </c>
      <c r="B3270" s="0" t="n">
        <v>18543</v>
      </c>
      <c r="C3270" s="0" t="s">
        <v>7992</v>
      </c>
      <c r="D3270" s="0" t="s">
        <v>15</v>
      </c>
      <c r="F3270" s="0" t="s">
        <v>18676</v>
      </c>
      <c r="G3270" s="0" t="s">
        <v>18674</v>
      </c>
    </row>
    <row r="3271" customFormat="false" ht="15" hidden="false" customHeight="false" outlineLevel="0" collapsed="false">
      <c r="A3271" s="0" t="n">
        <v>1840</v>
      </c>
      <c r="B3271" s="0" t="n">
        <v>18544</v>
      </c>
      <c r="C3271" s="0" t="s">
        <v>7996</v>
      </c>
      <c r="D3271" s="0" t="s">
        <v>15</v>
      </c>
      <c r="F3271" s="0" t="s">
        <v>18676</v>
      </c>
      <c r="G3271" s="0" t="s">
        <v>18674</v>
      </c>
    </row>
    <row r="3272" customFormat="false" ht="15" hidden="false" customHeight="false" outlineLevel="0" collapsed="false">
      <c r="A3272" s="0" t="n">
        <v>1841</v>
      </c>
      <c r="B3272" s="0" t="n">
        <v>18545</v>
      </c>
      <c r="C3272" s="0" t="s">
        <v>8000</v>
      </c>
      <c r="D3272" s="0" t="s">
        <v>15</v>
      </c>
      <c r="F3272" s="0" t="s">
        <v>18676</v>
      </c>
      <c r="G3272" s="0" t="s">
        <v>18674</v>
      </c>
    </row>
    <row r="3273" customFormat="false" ht="15" hidden="false" customHeight="false" outlineLevel="0" collapsed="false">
      <c r="A3273" s="0" t="n">
        <v>1842</v>
      </c>
      <c r="B3273" s="0" t="n">
        <v>18546</v>
      </c>
      <c r="C3273" s="0" t="s">
        <v>8004</v>
      </c>
      <c r="D3273" s="0" t="s">
        <v>15</v>
      </c>
      <c r="F3273" s="0" t="s">
        <v>18686</v>
      </c>
      <c r="G3273" s="0" t="s">
        <v>18674</v>
      </c>
    </row>
    <row r="3274" customFormat="false" ht="15" hidden="false" customHeight="false" outlineLevel="0" collapsed="false">
      <c r="A3274" s="0" t="n">
        <v>1843</v>
      </c>
      <c r="B3274" s="0" t="n">
        <v>18547</v>
      </c>
      <c r="C3274" s="0" t="s">
        <v>8010</v>
      </c>
      <c r="D3274" s="0" t="s">
        <v>15</v>
      </c>
      <c r="F3274" s="0" t="s">
        <v>18686</v>
      </c>
      <c r="G3274" s="0" t="s">
        <v>18674</v>
      </c>
    </row>
    <row r="3275" customFormat="false" ht="15" hidden="false" customHeight="false" outlineLevel="0" collapsed="false">
      <c r="A3275" s="0" t="n">
        <v>1844</v>
      </c>
      <c r="B3275" s="0" t="n">
        <v>18548</v>
      </c>
      <c r="C3275" s="0" t="s">
        <v>8014</v>
      </c>
      <c r="D3275" s="0" t="s">
        <v>15</v>
      </c>
      <c r="F3275" s="0" t="s">
        <v>18686</v>
      </c>
      <c r="G3275" s="0" t="s">
        <v>18674</v>
      </c>
    </row>
    <row r="3276" customFormat="false" ht="15" hidden="false" customHeight="false" outlineLevel="0" collapsed="false">
      <c r="A3276" s="0" t="n">
        <v>1845</v>
      </c>
      <c r="B3276" s="0" t="n">
        <v>18549</v>
      </c>
      <c r="C3276" s="0" t="s">
        <v>8018</v>
      </c>
      <c r="D3276" s="0" t="s">
        <v>15</v>
      </c>
      <c r="F3276" s="0" t="s">
        <v>18686</v>
      </c>
      <c r="G3276" s="0" t="s">
        <v>18674</v>
      </c>
    </row>
    <row r="3277" customFormat="false" ht="15" hidden="false" customHeight="false" outlineLevel="0" collapsed="false">
      <c r="A3277" s="0" t="n">
        <v>1846</v>
      </c>
      <c r="B3277" s="0" t="n">
        <v>18550</v>
      </c>
      <c r="C3277" s="0" t="s">
        <v>8022</v>
      </c>
      <c r="D3277" s="0" t="s">
        <v>15</v>
      </c>
      <c r="F3277" s="0" t="s">
        <v>18686</v>
      </c>
      <c r="G3277" s="0" t="s">
        <v>18674</v>
      </c>
    </row>
    <row r="3278" customFormat="false" ht="15" hidden="false" customHeight="false" outlineLevel="0" collapsed="false">
      <c r="A3278" s="0" t="n">
        <v>1847</v>
      </c>
      <c r="B3278" s="0" t="n">
        <v>18551</v>
      </c>
      <c r="C3278" s="0" t="s">
        <v>8026</v>
      </c>
      <c r="D3278" s="0" t="s">
        <v>15</v>
      </c>
      <c r="F3278" s="0" t="s">
        <v>18686</v>
      </c>
      <c r="G3278" s="0" t="s">
        <v>18674</v>
      </c>
    </row>
    <row r="3279" customFormat="false" ht="15" hidden="false" customHeight="false" outlineLevel="0" collapsed="false">
      <c r="A3279" s="0" t="n">
        <v>1848</v>
      </c>
      <c r="B3279" s="0" t="n">
        <v>18552</v>
      </c>
      <c r="C3279" s="0" t="s">
        <v>8030</v>
      </c>
      <c r="D3279" s="0" t="s">
        <v>15</v>
      </c>
      <c r="F3279" s="0" t="s">
        <v>18686</v>
      </c>
      <c r="G3279" s="0" t="s">
        <v>18674</v>
      </c>
    </row>
    <row r="3280" customFormat="false" ht="15" hidden="false" customHeight="false" outlineLevel="0" collapsed="false">
      <c r="A3280" s="0" t="n">
        <v>1849</v>
      </c>
      <c r="B3280" s="0" t="n">
        <v>18553</v>
      </c>
      <c r="C3280" s="0" t="s">
        <v>8034</v>
      </c>
      <c r="D3280" s="0" t="s">
        <v>15</v>
      </c>
      <c r="F3280" s="0" t="s">
        <v>18686</v>
      </c>
      <c r="G3280" s="0" t="s">
        <v>18674</v>
      </c>
    </row>
    <row r="3281" customFormat="false" ht="15" hidden="false" customHeight="false" outlineLevel="0" collapsed="false">
      <c r="A3281" s="0" t="n">
        <v>1850</v>
      </c>
      <c r="B3281" s="0" t="n">
        <v>18554</v>
      </c>
      <c r="C3281" s="0" t="s">
        <v>8038</v>
      </c>
      <c r="D3281" s="0" t="s">
        <v>15</v>
      </c>
      <c r="F3281" s="0" t="s">
        <v>18686</v>
      </c>
      <c r="G3281" s="0" t="s">
        <v>18674</v>
      </c>
    </row>
    <row r="3282" customFormat="false" ht="15" hidden="false" customHeight="false" outlineLevel="0" collapsed="false">
      <c r="A3282" s="0" t="n">
        <v>1851</v>
      </c>
      <c r="B3282" s="0" t="n">
        <v>18555</v>
      </c>
      <c r="C3282" s="0" t="s">
        <v>8042</v>
      </c>
      <c r="D3282" s="0" t="s">
        <v>15</v>
      </c>
      <c r="F3282" s="0" t="s">
        <v>18686</v>
      </c>
      <c r="G3282" s="0" t="s">
        <v>18674</v>
      </c>
    </row>
    <row r="3283" customFormat="false" ht="15" hidden="false" customHeight="false" outlineLevel="0" collapsed="false">
      <c r="A3283" s="0" t="n">
        <v>1852</v>
      </c>
      <c r="B3283" s="0" t="n">
        <v>18556</v>
      </c>
      <c r="C3283" s="0" t="s">
        <v>8046</v>
      </c>
      <c r="D3283" s="0" t="s">
        <v>15</v>
      </c>
      <c r="F3283" s="0" t="s">
        <v>18686</v>
      </c>
      <c r="G3283" s="0" t="s">
        <v>18674</v>
      </c>
    </row>
    <row r="3284" customFormat="false" ht="15" hidden="false" customHeight="false" outlineLevel="0" collapsed="false">
      <c r="A3284" s="0" t="n">
        <v>1853</v>
      </c>
      <c r="B3284" s="0" t="n">
        <v>18557</v>
      </c>
      <c r="C3284" s="0" t="s">
        <v>8050</v>
      </c>
      <c r="D3284" s="0" t="s">
        <v>15</v>
      </c>
      <c r="F3284" s="0" t="s">
        <v>18686</v>
      </c>
      <c r="G3284" s="0" t="s">
        <v>18674</v>
      </c>
    </row>
    <row r="3285" customFormat="false" ht="15" hidden="false" customHeight="false" outlineLevel="0" collapsed="false">
      <c r="A3285" s="0" t="n">
        <v>1854</v>
      </c>
      <c r="B3285" s="0" t="n">
        <v>18558</v>
      </c>
      <c r="C3285" s="0" t="s">
        <v>8054</v>
      </c>
      <c r="D3285" s="0" t="s">
        <v>15</v>
      </c>
      <c r="F3285" s="0" t="s">
        <v>18686</v>
      </c>
      <c r="G3285" s="0" t="s">
        <v>18674</v>
      </c>
    </row>
    <row r="3286" customFormat="false" ht="15" hidden="false" customHeight="false" outlineLevel="0" collapsed="false">
      <c r="A3286" s="0" t="n">
        <v>1855</v>
      </c>
      <c r="B3286" s="0" t="n">
        <v>18559</v>
      </c>
      <c r="C3286" s="0" t="s">
        <v>8058</v>
      </c>
      <c r="D3286" s="0" t="s">
        <v>15</v>
      </c>
      <c r="F3286" s="0" t="s">
        <v>18686</v>
      </c>
      <c r="G3286" s="0" t="s">
        <v>18674</v>
      </c>
    </row>
    <row r="3287" customFormat="false" ht="15" hidden="false" customHeight="false" outlineLevel="0" collapsed="false">
      <c r="A3287" s="0" t="n">
        <v>1856</v>
      </c>
      <c r="B3287" s="0" t="n">
        <v>18560</v>
      </c>
      <c r="C3287" s="0" t="s">
        <v>8062</v>
      </c>
      <c r="D3287" s="0" t="s">
        <v>15</v>
      </c>
      <c r="F3287" s="0" t="s">
        <v>18686</v>
      </c>
      <c r="G3287" s="0" t="s">
        <v>18674</v>
      </c>
    </row>
    <row r="3288" customFormat="false" ht="15" hidden="false" customHeight="false" outlineLevel="0" collapsed="false">
      <c r="A3288" s="0" t="n">
        <v>1857</v>
      </c>
      <c r="B3288" s="0" t="n">
        <v>18561</v>
      </c>
      <c r="C3288" s="0" t="s">
        <v>8066</v>
      </c>
      <c r="D3288" s="0" t="s">
        <v>15</v>
      </c>
      <c r="F3288" s="0" t="s">
        <v>18686</v>
      </c>
      <c r="G3288" s="0" t="s">
        <v>18674</v>
      </c>
    </row>
    <row r="3289" customFormat="false" ht="15" hidden="false" customHeight="false" outlineLevel="0" collapsed="false">
      <c r="A3289" s="0" t="n">
        <v>1873</v>
      </c>
      <c r="B3289" s="0" t="n">
        <v>18628</v>
      </c>
      <c r="C3289" s="0" t="s">
        <v>8134</v>
      </c>
      <c r="D3289" s="0" t="s">
        <v>15</v>
      </c>
      <c r="F3289" s="0" t="s">
        <v>18673</v>
      </c>
      <c r="G3289" s="0" t="s">
        <v>18674</v>
      </c>
    </row>
    <row r="3290" customFormat="false" ht="15" hidden="false" customHeight="false" outlineLevel="0" collapsed="false">
      <c r="A3290" s="0" t="n">
        <v>1890</v>
      </c>
      <c r="B3290" s="0" t="n">
        <v>18658</v>
      </c>
      <c r="C3290" s="0" t="s">
        <v>8207</v>
      </c>
      <c r="D3290" s="0" t="s">
        <v>15</v>
      </c>
      <c r="F3290" s="0" t="s">
        <v>18688</v>
      </c>
      <c r="G3290" s="0" t="s">
        <v>18674</v>
      </c>
    </row>
    <row r="3291" customFormat="false" ht="15" hidden="false" customHeight="false" outlineLevel="0" collapsed="false">
      <c r="A3291" s="0" t="n">
        <v>1893</v>
      </c>
      <c r="B3291" s="0" t="n">
        <v>18687</v>
      </c>
      <c r="C3291" s="0" t="s">
        <v>8221</v>
      </c>
      <c r="D3291" s="0" t="s">
        <v>15</v>
      </c>
      <c r="F3291" s="0" t="s">
        <v>18688</v>
      </c>
      <c r="G3291" s="0" t="s">
        <v>18674</v>
      </c>
    </row>
    <row r="3292" customFormat="false" ht="15" hidden="false" customHeight="false" outlineLevel="0" collapsed="false">
      <c r="A3292" s="0" t="n">
        <v>1896</v>
      </c>
      <c r="B3292" s="0" t="n">
        <v>18692</v>
      </c>
      <c r="C3292" s="0" t="s">
        <v>8236</v>
      </c>
      <c r="D3292" s="0" t="s">
        <v>15</v>
      </c>
      <c r="F3292" s="0" t="s">
        <v>18683</v>
      </c>
      <c r="G3292" s="0" t="s">
        <v>18674</v>
      </c>
    </row>
    <row r="3293" customFormat="false" ht="15" hidden="false" customHeight="false" outlineLevel="0" collapsed="false">
      <c r="A3293" s="0" t="n">
        <v>1900</v>
      </c>
      <c r="B3293" s="0" t="n">
        <v>18697</v>
      </c>
      <c r="C3293" s="0" t="s">
        <v>8250</v>
      </c>
      <c r="D3293" s="0" t="s">
        <v>15</v>
      </c>
      <c r="F3293" s="0" t="s">
        <v>18683</v>
      </c>
      <c r="G3293" s="0" t="s">
        <v>18674</v>
      </c>
    </row>
    <row r="3294" customFormat="false" ht="15" hidden="false" customHeight="false" outlineLevel="0" collapsed="false">
      <c r="A3294" s="0" t="n">
        <v>1901</v>
      </c>
      <c r="B3294" s="0" t="n">
        <v>18698</v>
      </c>
      <c r="C3294" s="0" t="s">
        <v>8253</v>
      </c>
      <c r="D3294" s="0" t="s">
        <v>15</v>
      </c>
      <c r="F3294" s="0" t="s">
        <v>18683</v>
      </c>
      <c r="G3294" s="0" t="s">
        <v>18674</v>
      </c>
    </row>
    <row r="3295" customFormat="false" ht="15" hidden="false" customHeight="false" outlineLevel="0" collapsed="false">
      <c r="A3295" s="0" t="n">
        <v>1902</v>
      </c>
      <c r="B3295" s="0" t="n">
        <v>18700</v>
      </c>
      <c r="C3295" s="0" t="s">
        <v>8257</v>
      </c>
      <c r="D3295" s="0" t="s">
        <v>15</v>
      </c>
      <c r="F3295" s="0" t="s">
        <v>18683</v>
      </c>
      <c r="G3295" s="0" t="s">
        <v>18674</v>
      </c>
    </row>
    <row r="3296" customFormat="false" ht="15" hidden="false" customHeight="false" outlineLevel="0" collapsed="false">
      <c r="A3296" s="0" t="n">
        <v>1903</v>
      </c>
      <c r="B3296" s="0" t="n">
        <v>18701</v>
      </c>
      <c r="C3296" s="0" t="s">
        <v>8261</v>
      </c>
      <c r="D3296" s="0" t="s">
        <v>15</v>
      </c>
      <c r="F3296" s="0" t="s">
        <v>18683</v>
      </c>
      <c r="G3296" s="0" t="s">
        <v>18674</v>
      </c>
    </row>
    <row r="3297" customFormat="false" ht="15" hidden="false" customHeight="false" outlineLevel="0" collapsed="false">
      <c r="A3297" s="0" t="n">
        <v>1954</v>
      </c>
      <c r="B3297" s="0" t="n">
        <v>18867</v>
      </c>
      <c r="C3297" s="0" t="s">
        <v>8455</v>
      </c>
      <c r="D3297" s="0" t="s">
        <v>15</v>
      </c>
      <c r="F3297" s="0" t="s">
        <v>18676</v>
      </c>
      <c r="G3297" s="0" t="s">
        <v>18674</v>
      </c>
    </row>
    <row r="3298" customFormat="false" ht="15" hidden="false" customHeight="false" outlineLevel="0" collapsed="false">
      <c r="A3298" s="0" t="n">
        <v>1993</v>
      </c>
      <c r="B3298" s="0" t="n">
        <v>19032</v>
      </c>
      <c r="C3298" s="0" t="s">
        <v>8596</v>
      </c>
      <c r="D3298" s="0" t="s">
        <v>15</v>
      </c>
      <c r="F3298" s="0" t="s">
        <v>18675</v>
      </c>
      <c r="G3298" s="0" t="s">
        <v>18674</v>
      </c>
    </row>
    <row r="3299" customFormat="false" ht="15" hidden="false" customHeight="false" outlineLevel="0" collapsed="false">
      <c r="A3299" s="0" t="n">
        <v>1994</v>
      </c>
      <c r="B3299" s="0" t="n">
        <v>19033</v>
      </c>
      <c r="C3299" s="0" t="s">
        <v>8602</v>
      </c>
      <c r="D3299" s="0" t="s">
        <v>15</v>
      </c>
      <c r="F3299" s="0" t="s">
        <v>18675</v>
      </c>
      <c r="G3299" s="0" t="s">
        <v>18674</v>
      </c>
    </row>
    <row r="3300" customFormat="false" ht="15" hidden="false" customHeight="false" outlineLevel="0" collapsed="false">
      <c r="A3300" s="0" t="n">
        <v>1996</v>
      </c>
      <c r="B3300" s="0" t="n">
        <v>19038</v>
      </c>
      <c r="C3300" s="0" t="s">
        <v>8613</v>
      </c>
      <c r="D3300" s="0" t="s">
        <v>15</v>
      </c>
      <c r="F3300" s="0" t="s">
        <v>18676</v>
      </c>
      <c r="G3300" s="0" t="s">
        <v>18674</v>
      </c>
    </row>
    <row r="3301" customFormat="false" ht="15" hidden="false" customHeight="false" outlineLevel="0" collapsed="false">
      <c r="A3301" s="0" t="n">
        <v>1998</v>
      </c>
      <c r="B3301" s="0" t="n">
        <v>19042</v>
      </c>
      <c r="C3301" s="0" t="s">
        <v>8622</v>
      </c>
      <c r="D3301" s="0" t="s">
        <v>15</v>
      </c>
      <c r="F3301" s="0" t="s">
        <v>18676</v>
      </c>
      <c r="G3301" s="0" t="s">
        <v>18674</v>
      </c>
    </row>
    <row r="3302" customFormat="false" ht="15" hidden="false" customHeight="false" outlineLevel="0" collapsed="false">
      <c r="A3302" s="0" t="n">
        <v>2001</v>
      </c>
      <c r="B3302" s="0" t="n">
        <v>19048</v>
      </c>
      <c r="C3302" s="0" t="s">
        <v>8635</v>
      </c>
      <c r="D3302" s="0" t="s">
        <v>15</v>
      </c>
      <c r="F3302" s="0" t="s">
        <v>18676</v>
      </c>
      <c r="G3302" s="0" t="s">
        <v>18674</v>
      </c>
    </row>
    <row r="3303" customFormat="false" ht="15" hidden="false" customHeight="false" outlineLevel="0" collapsed="false">
      <c r="A3303" s="0" t="n">
        <v>2004</v>
      </c>
      <c r="B3303" s="0" t="n">
        <v>19052</v>
      </c>
      <c r="C3303" s="0" t="s">
        <v>8648</v>
      </c>
      <c r="D3303" s="0" t="s">
        <v>15</v>
      </c>
      <c r="F3303" s="0" t="s">
        <v>18676</v>
      </c>
      <c r="G3303" s="0" t="s">
        <v>18674</v>
      </c>
    </row>
    <row r="3304" customFormat="false" ht="15" hidden="false" customHeight="false" outlineLevel="0" collapsed="false">
      <c r="A3304" s="0" t="n">
        <v>2005</v>
      </c>
      <c r="B3304" s="0" t="n">
        <v>19054</v>
      </c>
      <c r="C3304" s="0" t="s">
        <v>8653</v>
      </c>
      <c r="D3304" s="0" t="s">
        <v>15</v>
      </c>
      <c r="F3304" s="0" t="s">
        <v>18676</v>
      </c>
      <c r="G3304" s="0" t="s">
        <v>18674</v>
      </c>
    </row>
    <row r="3305" customFormat="false" ht="15" hidden="false" customHeight="false" outlineLevel="0" collapsed="false">
      <c r="A3305" s="0" t="n">
        <v>2011</v>
      </c>
      <c r="B3305" s="0" t="n">
        <v>19061</v>
      </c>
      <c r="C3305" s="0" t="s">
        <v>8680</v>
      </c>
      <c r="D3305" s="0" t="s">
        <v>15</v>
      </c>
      <c r="F3305" s="0" t="s">
        <v>18676</v>
      </c>
      <c r="G3305" s="0" t="s">
        <v>18674</v>
      </c>
    </row>
    <row r="3306" customFormat="false" ht="15" hidden="false" customHeight="false" outlineLevel="0" collapsed="false">
      <c r="A3306" s="0" t="n">
        <v>2015</v>
      </c>
      <c r="B3306" s="0" t="n">
        <v>19067</v>
      </c>
      <c r="C3306" s="0" t="s">
        <v>8695</v>
      </c>
      <c r="D3306" s="0" t="s">
        <v>15</v>
      </c>
      <c r="F3306" s="0" t="s">
        <v>18676</v>
      </c>
      <c r="G3306" s="0" t="s">
        <v>18674</v>
      </c>
    </row>
    <row r="3307" customFormat="false" ht="15" hidden="false" customHeight="false" outlineLevel="0" collapsed="false">
      <c r="A3307" s="0" t="n">
        <v>2016</v>
      </c>
      <c r="B3307" s="0" t="n">
        <v>19068</v>
      </c>
      <c r="C3307" s="0" t="s">
        <v>8700</v>
      </c>
      <c r="D3307" s="0" t="s">
        <v>15</v>
      </c>
      <c r="F3307" s="0" t="s">
        <v>18676</v>
      </c>
      <c r="G3307" s="0" t="s">
        <v>18674</v>
      </c>
    </row>
    <row r="3308" customFormat="false" ht="15" hidden="false" customHeight="false" outlineLevel="0" collapsed="false">
      <c r="A3308" s="0" t="n">
        <v>2023</v>
      </c>
      <c r="B3308" s="0" t="n">
        <v>19077</v>
      </c>
      <c r="C3308" s="0" t="s">
        <v>8729</v>
      </c>
      <c r="D3308" s="0" t="s">
        <v>15</v>
      </c>
      <c r="F3308" s="0" t="s">
        <v>18676</v>
      </c>
      <c r="G3308" s="0" t="s">
        <v>18674</v>
      </c>
    </row>
    <row r="3309" customFormat="false" ht="15" hidden="false" customHeight="false" outlineLevel="0" collapsed="false">
      <c r="A3309" s="0" t="n">
        <v>2024</v>
      </c>
      <c r="B3309" s="0" t="n">
        <v>19132</v>
      </c>
      <c r="C3309" s="0" t="s">
        <v>8734</v>
      </c>
      <c r="D3309" s="0" t="s">
        <v>15</v>
      </c>
      <c r="F3309" s="0" t="s">
        <v>18686</v>
      </c>
      <c r="G3309" s="0" t="s">
        <v>18674</v>
      </c>
    </row>
    <row r="3310" customFormat="false" ht="15" hidden="false" customHeight="false" outlineLevel="0" collapsed="false">
      <c r="A3310" s="0" t="n">
        <v>2025</v>
      </c>
      <c r="B3310" s="0" t="n">
        <v>19080</v>
      </c>
      <c r="C3310" s="0" t="s">
        <v>8738</v>
      </c>
      <c r="D3310" s="0" t="s">
        <v>15</v>
      </c>
      <c r="F3310" s="0" t="s">
        <v>18676</v>
      </c>
      <c r="G3310" s="0" t="s">
        <v>18674</v>
      </c>
    </row>
    <row r="3311" customFormat="false" ht="15" hidden="false" customHeight="false" outlineLevel="0" collapsed="false">
      <c r="A3311" s="0" t="n">
        <v>2026</v>
      </c>
      <c r="B3311" s="0" t="n">
        <v>19085</v>
      </c>
      <c r="C3311" s="0" t="s">
        <v>8743</v>
      </c>
      <c r="D3311" s="0" t="s">
        <v>15</v>
      </c>
      <c r="F3311" s="0" t="s">
        <v>18676</v>
      </c>
      <c r="G3311" s="0" t="s">
        <v>18674</v>
      </c>
    </row>
    <row r="3312" customFormat="false" ht="15" hidden="false" customHeight="false" outlineLevel="0" collapsed="false">
      <c r="A3312" s="0" t="n">
        <v>2028</v>
      </c>
      <c r="B3312" s="0" t="n">
        <v>19134</v>
      </c>
      <c r="C3312" s="0" t="s">
        <v>8752</v>
      </c>
      <c r="D3312" s="0" t="s">
        <v>15</v>
      </c>
      <c r="F3312" s="0" t="s">
        <v>18686</v>
      </c>
      <c r="G3312" s="0" t="s">
        <v>18674</v>
      </c>
    </row>
    <row r="3313" customFormat="false" ht="15" hidden="false" customHeight="false" outlineLevel="0" collapsed="false">
      <c r="A3313" s="0" t="n">
        <v>2029</v>
      </c>
      <c r="B3313" s="0" t="n">
        <v>19135</v>
      </c>
      <c r="C3313" s="0" t="s">
        <v>8756</v>
      </c>
      <c r="D3313" s="0" t="s">
        <v>15</v>
      </c>
      <c r="F3313" s="0" t="s">
        <v>18686</v>
      </c>
      <c r="G3313" s="0" t="s">
        <v>18674</v>
      </c>
    </row>
    <row r="3314" customFormat="false" ht="15" hidden="false" customHeight="false" outlineLevel="0" collapsed="false">
      <c r="A3314" s="0" t="n">
        <v>2030</v>
      </c>
      <c r="B3314" s="0" t="n">
        <v>19136</v>
      </c>
      <c r="C3314" s="0" t="s">
        <v>8760</v>
      </c>
      <c r="D3314" s="0" t="s">
        <v>15</v>
      </c>
      <c r="F3314" s="0" t="s">
        <v>18686</v>
      </c>
      <c r="G3314" s="0" t="s">
        <v>18674</v>
      </c>
    </row>
    <row r="3315" customFormat="false" ht="15" hidden="false" customHeight="false" outlineLevel="0" collapsed="false">
      <c r="A3315" s="0" t="n">
        <v>2031</v>
      </c>
      <c r="B3315" s="0" t="n">
        <v>19137</v>
      </c>
      <c r="C3315" s="0" t="s">
        <v>8764</v>
      </c>
      <c r="D3315" s="0" t="s">
        <v>15</v>
      </c>
      <c r="F3315" s="0" t="s">
        <v>18686</v>
      </c>
      <c r="G3315" s="0" t="s">
        <v>18674</v>
      </c>
    </row>
    <row r="3316" customFormat="false" ht="15" hidden="false" customHeight="false" outlineLevel="0" collapsed="false">
      <c r="A3316" s="0" t="n">
        <v>2032</v>
      </c>
      <c r="B3316" s="0" t="n">
        <v>19138</v>
      </c>
      <c r="C3316" s="0" t="s">
        <v>8768</v>
      </c>
      <c r="D3316" s="0" t="s">
        <v>15</v>
      </c>
      <c r="F3316" s="0" t="s">
        <v>18686</v>
      </c>
      <c r="G3316" s="0" t="s">
        <v>18674</v>
      </c>
    </row>
    <row r="3317" customFormat="false" ht="15" hidden="false" customHeight="false" outlineLevel="0" collapsed="false">
      <c r="A3317" s="0" t="n">
        <v>2033</v>
      </c>
      <c r="B3317" s="0" t="n">
        <v>19139</v>
      </c>
      <c r="C3317" s="0" t="s">
        <v>8772</v>
      </c>
      <c r="D3317" s="0" t="s">
        <v>15</v>
      </c>
      <c r="F3317" s="0" t="s">
        <v>18686</v>
      </c>
      <c r="G3317" s="0" t="s">
        <v>18674</v>
      </c>
    </row>
    <row r="3318" customFormat="false" ht="15" hidden="false" customHeight="false" outlineLevel="0" collapsed="false">
      <c r="A3318" s="0" t="n">
        <v>2034</v>
      </c>
      <c r="B3318" s="0" t="n">
        <v>19140</v>
      </c>
      <c r="C3318" s="0" t="s">
        <v>8776</v>
      </c>
      <c r="D3318" s="0" t="s">
        <v>15</v>
      </c>
      <c r="F3318" s="0" t="s">
        <v>18686</v>
      </c>
      <c r="G3318" s="0" t="s">
        <v>18674</v>
      </c>
    </row>
    <row r="3319" customFormat="false" ht="15" hidden="false" customHeight="false" outlineLevel="0" collapsed="false">
      <c r="A3319" s="0" t="n">
        <v>2035</v>
      </c>
      <c r="B3319" s="0" t="n">
        <v>19141</v>
      </c>
      <c r="C3319" s="0" t="s">
        <v>8780</v>
      </c>
      <c r="D3319" s="0" t="s">
        <v>15</v>
      </c>
      <c r="F3319" s="0" t="s">
        <v>18686</v>
      </c>
      <c r="G3319" s="0" t="s">
        <v>18674</v>
      </c>
    </row>
    <row r="3320" customFormat="false" ht="15" hidden="false" customHeight="false" outlineLevel="0" collapsed="false">
      <c r="A3320" s="0" t="n">
        <v>2036</v>
      </c>
      <c r="B3320" s="0" t="n">
        <v>19145</v>
      </c>
      <c r="C3320" s="0" t="s">
        <v>8784</v>
      </c>
      <c r="D3320" s="0" t="s">
        <v>15</v>
      </c>
      <c r="F3320" s="0" t="s">
        <v>18686</v>
      </c>
      <c r="G3320" s="0" t="s">
        <v>18674</v>
      </c>
    </row>
    <row r="3321" customFormat="false" ht="15" hidden="false" customHeight="false" outlineLevel="0" collapsed="false">
      <c r="A3321" s="0" t="n">
        <v>2038</v>
      </c>
      <c r="B3321" s="0" t="n">
        <v>19146</v>
      </c>
      <c r="C3321" s="0" t="s">
        <v>8792</v>
      </c>
      <c r="D3321" s="0" t="s">
        <v>15</v>
      </c>
      <c r="F3321" s="0" t="s">
        <v>18676</v>
      </c>
      <c r="G3321" s="0" t="s">
        <v>18674</v>
      </c>
    </row>
    <row r="3322" customFormat="false" ht="15" hidden="false" customHeight="false" outlineLevel="0" collapsed="false">
      <c r="A3322" s="0" t="n">
        <v>2049</v>
      </c>
      <c r="B3322" s="0" t="n">
        <v>19161</v>
      </c>
      <c r="C3322" s="0" t="s">
        <v>8839</v>
      </c>
      <c r="D3322" s="0" t="s">
        <v>15</v>
      </c>
      <c r="F3322" s="0" t="s">
        <v>18673</v>
      </c>
      <c r="G3322" s="0" t="s">
        <v>18674</v>
      </c>
    </row>
    <row r="3323" customFormat="false" ht="15" hidden="false" customHeight="false" outlineLevel="0" collapsed="false">
      <c r="A3323" s="0" t="n">
        <v>2059</v>
      </c>
      <c r="B3323" s="0" t="n">
        <v>19186</v>
      </c>
      <c r="C3323" s="0" t="s">
        <v>8879</v>
      </c>
      <c r="D3323" s="0" t="s">
        <v>15</v>
      </c>
      <c r="F3323" s="0" t="s">
        <v>18677</v>
      </c>
      <c r="G3323" s="0" t="s">
        <v>18674</v>
      </c>
    </row>
    <row r="3324" customFormat="false" ht="15" hidden="false" customHeight="false" outlineLevel="0" collapsed="false">
      <c r="A3324" s="0" t="n">
        <v>2060</v>
      </c>
      <c r="B3324" s="0" t="n">
        <v>19180</v>
      </c>
      <c r="C3324" s="0" t="s">
        <v>8883</v>
      </c>
      <c r="D3324" s="0" t="s">
        <v>15</v>
      </c>
      <c r="F3324" s="0" t="s">
        <v>18683</v>
      </c>
      <c r="G3324" s="0" t="s">
        <v>18674</v>
      </c>
    </row>
    <row r="3325" customFormat="false" ht="15" hidden="false" customHeight="false" outlineLevel="0" collapsed="false">
      <c r="A3325" s="0" t="n">
        <v>2065</v>
      </c>
      <c r="B3325" s="0" t="n">
        <v>19188</v>
      </c>
      <c r="C3325" s="0" t="s">
        <v>8903</v>
      </c>
      <c r="D3325" s="0" t="s">
        <v>15</v>
      </c>
      <c r="F3325" s="0" t="s">
        <v>18673</v>
      </c>
      <c r="G3325" s="0" t="s">
        <v>18674</v>
      </c>
    </row>
    <row r="3326" customFormat="false" ht="15" hidden="false" customHeight="false" outlineLevel="0" collapsed="false">
      <c r="A3326" s="0" t="n">
        <v>2073</v>
      </c>
      <c r="B3326" s="0" t="n">
        <v>19214</v>
      </c>
      <c r="C3326" s="0" t="s">
        <v>8936</v>
      </c>
      <c r="D3326" s="0" t="s">
        <v>15</v>
      </c>
      <c r="F3326" s="0" t="s">
        <v>18676</v>
      </c>
      <c r="G3326" s="0" t="s">
        <v>18674</v>
      </c>
    </row>
    <row r="3327" customFormat="false" ht="15" hidden="false" customHeight="false" outlineLevel="0" collapsed="false">
      <c r="A3327" s="0" t="n">
        <v>2097</v>
      </c>
      <c r="B3327" s="0" t="n">
        <v>19268</v>
      </c>
      <c r="C3327" s="0" t="s">
        <v>9038</v>
      </c>
      <c r="D3327" s="0" t="s">
        <v>15</v>
      </c>
      <c r="F3327" s="0" t="s">
        <v>18683</v>
      </c>
      <c r="G3327" s="0" t="s">
        <v>18674</v>
      </c>
    </row>
    <row r="3328" customFormat="false" ht="15" hidden="false" customHeight="false" outlineLevel="0" collapsed="false">
      <c r="A3328" s="0" t="n">
        <v>2099</v>
      </c>
      <c r="B3328" s="0" t="n">
        <v>19270</v>
      </c>
      <c r="C3328" s="0" t="s">
        <v>9048</v>
      </c>
      <c r="D3328" s="0" t="s">
        <v>15</v>
      </c>
      <c r="F3328" s="0" t="s">
        <v>18683</v>
      </c>
      <c r="G3328" s="0" t="s">
        <v>18674</v>
      </c>
    </row>
    <row r="3329" customFormat="false" ht="15" hidden="false" customHeight="false" outlineLevel="0" collapsed="false">
      <c r="A3329" s="0" t="n">
        <v>2106</v>
      </c>
      <c r="B3329" s="0" t="n">
        <v>19299</v>
      </c>
      <c r="C3329" s="0" t="s">
        <v>9081</v>
      </c>
      <c r="D3329" s="0" t="s">
        <v>15</v>
      </c>
      <c r="F3329" s="0" t="s">
        <v>18683</v>
      </c>
      <c r="G3329" s="0" t="s">
        <v>18674</v>
      </c>
    </row>
    <row r="3330" customFormat="false" ht="15" hidden="false" customHeight="false" outlineLevel="0" collapsed="false">
      <c r="A3330" s="0" t="n">
        <v>2127</v>
      </c>
      <c r="B3330" s="0" t="n">
        <v>19382</v>
      </c>
      <c r="C3330" s="0" t="s">
        <v>9148</v>
      </c>
      <c r="D3330" s="0" t="s">
        <v>15</v>
      </c>
      <c r="F3330" s="0" t="s">
        <v>18683</v>
      </c>
      <c r="G3330" s="0" t="s">
        <v>18674</v>
      </c>
    </row>
    <row r="3331" customFormat="false" ht="15" hidden="false" customHeight="false" outlineLevel="0" collapsed="false">
      <c r="A3331" s="0" t="n">
        <v>2129</v>
      </c>
      <c r="B3331" s="0" t="n">
        <v>19383</v>
      </c>
      <c r="C3331" s="0" t="s">
        <v>9156</v>
      </c>
      <c r="D3331" s="0" t="s">
        <v>15</v>
      </c>
      <c r="F3331" s="0" t="s">
        <v>18683</v>
      </c>
      <c r="G3331" s="0" t="s">
        <v>18674</v>
      </c>
    </row>
    <row r="3332" customFormat="false" ht="15" hidden="false" customHeight="false" outlineLevel="0" collapsed="false">
      <c r="A3332" s="0" t="n">
        <v>2132</v>
      </c>
      <c r="B3332" s="0" t="n">
        <v>19396</v>
      </c>
      <c r="C3332" s="0" t="s">
        <v>9168</v>
      </c>
      <c r="D3332" s="0" t="s">
        <v>15</v>
      </c>
      <c r="F3332" s="0" t="s">
        <v>18683</v>
      </c>
      <c r="G3332" s="0" t="s">
        <v>18674</v>
      </c>
    </row>
    <row r="3333" customFormat="false" ht="15" hidden="false" customHeight="false" outlineLevel="0" collapsed="false">
      <c r="A3333" s="0" t="n">
        <v>2133</v>
      </c>
      <c r="B3333" s="0" t="n">
        <v>19398</v>
      </c>
      <c r="C3333" s="0" t="s">
        <v>9172</v>
      </c>
      <c r="D3333" s="0" t="s">
        <v>15</v>
      </c>
      <c r="F3333" s="0" t="s">
        <v>18683</v>
      </c>
      <c r="G3333" s="0" t="s">
        <v>18674</v>
      </c>
    </row>
    <row r="3334" customFormat="false" ht="15" hidden="false" customHeight="false" outlineLevel="0" collapsed="false">
      <c r="A3334" s="0" t="n">
        <v>2149</v>
      </c>
      <c r="B3334" s="0" t="n">
        <v>19445</v>
      </c>
      <c r="C3334" s="0" t="s">
        <v>9242</v>
      </c>
      <c r="D3334" s="0" t="s">
        <v>15</v>
      </c>
      <c r="F3334" s="0" t="s">
        <v>18676</v>
      </c>
      <c r="G3334" s="0" t="s">
        <v>18674</v>
      </c>
    </row>
    <row r="3335" customFormat="false" ht="15" hidden="false" customHeight="false" outlineLevel="0" collapsed="false">
      <c r="A3335" s="0" t="n">
        <v>2152</v>
      </c>
      <c r="B3335" s="0" t="n">
        <v>19448</v>
      </c>
      <c r="C3335" s="0" t="s">
        <v>9256</v>
      </c>
      <c r="D3335" s="0" t="s">
        <v>15</v>
      </c>
      <c r="F3335" s="0" t="s">
        <v>18676</v>
      </c>
      <c r="G3335" s="0" t="s">
        <v>18674</v>
      </c>
    </row>
    <row r="3336" customFormat="false" ht="15" hidden="false" customHeight="false" outlineLevel="0" collapsed="false">
      <c r="A3336" s="0" t="n">
        <v>2154</v>
      </c>
      <c r="B3336" s="0" t="n">
        <v>19450</v>
      </c>
      <c r="C3336" s="0" t="s">
        <v>9264</v>
      </c>
      <c r="D3336" s="0" t="s">
        <v>15</v>
      </c>
      <c r="F3336" s="0" t="s">
        <v>18673</v>
      </c>
      <c r="G3336" s="0" t="s">
        <v>18674</v>
      </c>
    </row>
    <row r="3337" customFormat="false" ht="15" hidden="false" customHeight="false" outlineLevel="0" collapsed="false">
      <c r="A3337" s="0" t="n">
        <v>2155</v>
      </c>
      <c r="B3337" s="0" t="n">
        <v>19452</v>
      </c>
      <c r="C3337" s="0" t="s">
        <v>9270</v>
      </c>
      <c r="D3337" s="0" t="s">
        <v>15</v>
      </c>
      <c r="F3337" s="0" t="s">
        <v>18683</v>
      </c>
      <c r="G3337" s="0" t="s">
        <v>18674</v>
      </c>
    </row>
    <row r="3338" customFormat="false" ht="15" hidden="false" customHeight="false" outlineLevel="0" collapsed="false">
      <c r="A3338" s="0" t="n">
        <v>2160</v>
      </c>
      <c r="B3338" s="0" t="n">
        <v>19476</v>
      </c>
      <c r="C3338" s="0" t="s">
        <v>9290</v>
      </c>
      <c r="D3338" s="0" t="s">
        <v>15</v>
      </c>
      <c r="F3338" s="0" t="s">
        <v>18688</v>
      </c>
      <c r="G3338" s="0" t="s">
        <v>18674</v>
      </c>
    </row>
    <row r="3339" customFormat="false" ht="15" hidden="false" customHeight="false" outlineLevel="0" collapsed="false">
      <c r="A3339" s="0" t="n">
        <v>2177</v>
      </c>
      <c r="B3339" s="0" t="n">
        <v>19536</v>
      </c>
      <c r="C3339" s="0" t="s">
        <v>9357</v>
      </c>
      <c r="D3339" s="0" t="s">
        <v>15</v>
      </c>
      <c r="F3339" s="0" t="s">
        <v>18683</v>
      </c>
      <c r="G3339" s="0" t="s">
        <v>18674</v>
      </c>
    </row>
    <row r="3340" customFormat="false" ht="15" hidden="false" customHeight="false" outlineLevel="0" collapsed="false">
      <c r="A3340" s="0" t="n">
        <v>2181</v>
      </c>
      <c r="B3340" s="0" t="n">
        <v>19528</v>
      </c>
      <c r="C3340" s="0" t="s">
        <v>9375</v>
      </c>
      <c r="D3340" s="0" t="s">
        <v>15</v>
      </c>
      <c r="F3340" s="0" t="s">
        <v>18683</v>
      </c>
      <c r="G3340" s="0" t="s">
        <v>18674</v>
      </c>
    </row>
    <row r="3341" customFormat="false" ht="15" hidden="false" customHeight="false" outlineLevel="0" collapsed="false">
      <c r="A3341" s="0" t="n">
        <v>2182</v>
      </c>
      <c r="B3341" s="0" t="n">
        <v>19529</v>
      </c>
      <c r="C3341" s="0" t="s">
        <v>9378</v>
      </c>
      <c r="D3341" s="0" t="s">
        <v>15</v>
      </c>
      <c r="F3341" s="0" t="s">
        <v>18683</v>
      </c>
      <c r="G3341" s="0" t="s">
        <v>18674</v>
      </c>
    </row>
    <row r="3342" customFormat="false" ht="15" hidden="false" customHeight="false" outlineLevel="0" collapsed="false">
      <c r="A3342" s="0" t="n">
        <v>2183</v>
      </c>
      <c r="B3342" s="0" t="n">
        <v>19531</v>
      </c>
      <c r="C3342" s="0" t="s">
        <v>9382</v>
      </c>
      <c r="D3342" s="0" t="s">
        <v>15</v>
      </c>
      <c r="F3342" s="0" t="s">
        <v>18683</v>
      </c>
      <c r="G3342" s="0" t="s">
        <v>18674</v>
      </c>
    </row>
    <row r="3343" customFormat="false" ht="15" hidden="false" customHeight="false" outlineLevel="0" collapsed="false">
      <c r="A3343" s="0" t="n">
        <v>2184</v>
      </c>
      <c r="B3343" s="0" t="n">
        <v>19537</v>
      </c>
      <c r="C3343" s="0" t="s">
        <v>9386</v>
      </c>
      <c r="D3343" s="0" t="s">
        <v>15</v>
      </c>
      <c r="F3343" s="0" t="s">
        <v>18676</v>
      </c>
      <c r="G3343" s="0" t="s">
        <v>18674</v>
      </c>
    </row>
    <row r="3344" customFormat="false" ht="15" hidden="false" customHeight="false" outlineLevel="0" collapsed="false">
      <c r="A3344" s="0" t="n">
        <v>2185</v>
      </c>
      <c r="B3344" s="0" t="n">
        <v>19538</v>
      </c>
      <c r="C3344" s="0" t="s">
        <v>9391</v>
      </c>
      <c r="D3344" s="0" t="s">
        <v>15</v>
      </c>
      <c r="F3344" s="0" t="s">
        <v>18676</v>
      </c>
      <c r="G3344" s="0" t="s">
        <v>18674</v>
      </c>
    </row>
    <row r="3345" customFormat="false" ht="15" hidden="false" customHeight="false" outlineLevel="0" collapsed="false">
      <c r="A3345" s="0" t="n">
        <v>2186</v>
      </c>
      <c r="B3345" s="0" t="n">
        <v>19539</v>
      </c>
      <c r="C3345" s="0" t="s">
        <v>9394</v>
      </c>
      <c r="D3345" s="0" t="s">
        <v>15</v>
      </c>
      <c r="F3345" s="0" t="s">
        <v>18676</v>
      </c>
      <c r="G3345" s="0" t="s">
        <v>18674</v>
      </c>
    </row>
    <row r="3346" customFormat="false" ht="15" hidden="false" customHeight="false" outlineLevel="0" collapsed="false">
      <c r="A3346" s="0" t="n">
        <v>2187</v>
      </c>
      <c r="B3346" s="0" t="n">
        <v>19540</v>
      </c>
      <c r="C3346" s="0" t="s">
        <v>9397</v>
      </c>
      <c r="D3346" s="0" t="s">
        <v>15</v>
      </c>
      <c r="F3346" s="0" t="s">
        <v>18676</v>
      </c>
      <c r="G3346" s="0" t="s">
        <v>18674</v>
      </c>
    </row>
    <row r="3347" customFormat="false" ht="15" hidden="false" customHeight="false" outlineLevel="0" collapsed="false">
      <c r="A3347" s="0" t="n">
        <v>2188</v>
      </c>
      <c r="B3347" s="0" t="n">
        <v>19541</v>
      </c>
      <c r="C3347" s="0" t="s">
        <v>9401</v>
      </c>
      <c r="D3347" s="0" t="s">
        <v>15</v>
      </c>
      <c r="F3347" s="0" t="s">
        <v>18676</v>
      </c>
      <c r="G3347" s="0" t="s">
        <v>18674</v>
      </c>
    </row>
    <row r="3348" customFormat="false" ht="15" hidden="false" customHeight="false" outlineLevel="0" collapsed="false">
      <c r="A3348" s="0" t="n">
        <v>2189</v>
      </c>
      <c r="B3348" s="0" t="n">
        <v>19542</v>
      </c>
      <c r="C3348" s="0" t="s">
        <v>9405</v>
      </c>
      <c r="D3348" s="0" t="s">
        <v>15</v>
      </c>
      <c r="F3348" s="0" t="s">
        <v>18676</v>
      </c>
      <c r="G3348" s="0" t="s">
        <v>18674</v>
      </c>
    </row>
    <row r="3349" customFormat="false" ht="15" hidden="false" customHeight="false" outlineLevel="0" collapsed="false">
      <c r="A3349" s="0" t="n">
        <v>2190</v>
      </c>
      <c r="B3349" s="0" t="n">
        <v>19543</v>
      </c>
      <c r="C3349" s="0" t="s">
        <v>9408</v>
      </c>
      <c r="D3349" s="0" t="s">
        <v>15</v>
      </c>
      <c r="F3349" s="0" t="s">
        <v>18676</v>
      </c>
      <c r="G3349" s="0" t="s">
        <v>18674</v>
      </c>
    </row>
    <row r="3350" customFormat="false" ht="15" hidden="false" customHeight="false" outlineLevel="0" collapsed="false">
      <c r="A3350" s="0" t="n">
        <v>2191</v>
      </c>
      <c r="B3350" s="0" t="n">
        <v>19545</v>
      </c>
      <c r="C3350" s="0" t="s">
        <v>9411</v>
      </c>
      <c r="D3350" s="0" t="s">
        <v>15</v>
      </c>
      <c r="F3350" s="0" t="s">
        <v>18676</v>
      </c>
      <c r="G3350" s="0" t="s">
        <v>18674</v>
      </c>
    </row>
    <row r="3351" customFormat="false" ht="15" hidden="false" customHeight="false" outlineLevel="0" collapsed="false">
      <c r="A3351" s="0" t="n">
        <v>2192</v>
      </c>
      <c r="B3351" s="0" t="n">
        <v>19544</v>
      </c>
      <c r="C3351" s="0" t="s">
        <v>9414</v>
      </c>
      <c r="D3351" s="0" t="s">
        <v>15</v>
      </c>
      <c r="F3351" s="0" t="s">
        <v>18676</v>
      </c>
      <c r="G3351" s="0" t="s">
        <v>18674</v>
      </c>
    </row>
    <row r="3352" customFormat="false" ht="15" hidden="false" customHeight="false" outlineLevel="0" collapsed="false">
      <c r="A3352" s="0" t="n">
        <v>2193</v>
      </c>
      <c r="B3352" s="0" t="n">
        <v>19546</v>
      </c>
      <c r="C3352" s="0" t="s">
        <v>9419</v>
      </c>
      <c r="D3352" s="0" t="s">
        <v>15</v>
      </c>
      <c r="F3352" s="0" t="s">
        <v>18676</v>
      </c>
      <c r="G3352" s="0" t="s">
        <v>18674</v>
      </c>
    </row>
    <row r="3353" customFormat="false" ht="15" hidden="false" customHeight="false" outlineLevel="0" collapsed="false">
      <c r="A3353" s="0" t="n">
        <v>2194</v>
      </c>
      <c r="B3353" s="0" t="n">
        <v>19547</v>
      </c>
      <c r="C3353" s="0" t="s">
        <v>9422</v>
      </c>
      <c r="D3353" s="0" t="s">
        <v>15</v>
      </c>
      <c r="F3353" s="0" t="s">
        <v>18676</v>
      </c>
      <c r="G3353" s="0" t="s">
        <v>18674</v>
      </c>
    </row>
    <row r="3354" customFormat="false" ht="15" hidden="false" customHeight="false" outlineLevel="0" collapsed="false">
      <c r="A3354" s="0" t="n">
        <v>2195</v>
      </c>
      <c r="B3354" s="0" t="n">
        <v>19548</v>
      </c>
      <c r="C3354" s="0" t="s">
        <v>9425</v>
      </c>
      <c r="D3354" s="0" t="s">
        <v>15</v>
      </c>
      <c r="F3354" s="0" t="s">
        <v>18676</v>
      </c>
      <c r="G3354" s="0" t="s">
        <v>18674</v>
      </c>
    </row>
    <row r="3355" customFormat="false" ht="15" hidden="false" customHeight="false" outlineLevel="0" collapsed="false">
      <c r="A3355" s="0" t="n">
        <v>2196</v>
      </c>
      <c r="B3355" s="0" t="n">
        <v>19549</v>
      </c>
      <c r="C3355" s="0" t="s">
        <v>9428</v>
      </c>
      <c r="D3355" s="0" t="s">
        <v>15</v>
      </c>
      <c r="F3355" s="0" t="s">
        <v>18676</v>
      </c>
      <c r="G3355" s="0" t="s">
        <v>18674</v>
      </c>
    </row>
    <row r="3356" customFormat="false" ht="15" hidden="false" customHeight="false" outlineLevel="0" collapsed="false">
      <c r="A3356" s="0" t="n">
        <v>2197</v>
      </c>
      <c r="B3356" s="0" t="n">
        <v>19550</v>
      </c>
      <c r="C3356" s="0" t="s">
        <v>9430</v>
      </c>
      <c r="D3356" s="0" t="s">
        <v>15</v>
      </c>
      <c r="F3356" s="0" t="s">
        <v>18676</v>
      </c>
      <c r="G3356" s="0" t="s">
        <v>18674</v>
      </c>
    </row>
    <row r="3357" customFormat="false" ht="15" hidden="false" customHeight="false" outlineLevel="0" collapsed="false">
      <c r="A3357" s="0" t="n">
        <v>2198</v>
      </c>
      <c r="B3357" s="0" t="n">
        <v>19552</v>
      </c>
      <c r="C3357" s="0" t="s">
        <v>9432</v>
      </c>
      <c r="D3357" s="0" t="s">
        <v>15</v>
      </c>
      <c r="F3357" s="0" t="s">
        <v>18676</v>
      </c>
      <c r="G3357" s="0" t="s">
        <v>18674</v>
      </c>
    </row>
    <row r="3358" customFormat="false" ht="15" hidden="false" customHeight="false" outlineLevel="0" collapsed="false">
      <c r="A3358" s="0" t="n">
        <v>2199</v>
      </c>
      <c r="B3358" s="0" t="n">
        <v>19551</v>
      </c>
      <c r="C3358" s="0" t="s">
        <v>9435</v>
      </c>
      <c r="D3358" s="0" t="s">
        <v>15</v>
      </c>
      <c r="F3358" s="0" t="s">
        <v>18676</v>
      </c>
      <c r="G3358" s="0" t="s">
        <v>18674</v>
      </c>
    </row>
    <row r="3359" customFormat="false" ht="15" hidden="false" customHeight="false" outlineLevel="0" collapsed="false">
      <c r="A3359" s="0" t="n">
        <v>2200</v>
      </c>
      <c r="B3359" s="0" t="n">
        <v>19554</v>
      </c>
      <c r="C3359" s="0" t="s">
        <v>9439</v>
      </c>
      <c r="D3359" s="0" t="s">
        <v>15</v>
      </c>
      <c r="F3359" s="0" t="s">
        <v>18676</v>
      </c>
      <c r="G3359" s="0" t="s">
        <v>18674</v>
      </c>
    </row>
    <row r="3360" customFormat="false" ht="15" hidden="false" customHeight="false" outlineLevel="0" collapsed="false">
      <c r="A3360" s="0" t="n">
        <v>2201</v>
      </c>
      <c r="B3360" s="0" t="n">
        <v>19555</v>
      </c>
      <c r="C3360" s="0" t="s">
        <v>9442</v>
      </c>
      <c r="D3360" s="0" t="s">
        <v>15</v>
      </c>
      <c r="F3360" s="0" t="s">
        <v>18676</v>
      </c>
      <c r="G3360" s="0" t="s">
        <v>18674</v>
      </c>
    </row>
    <row r="3361" customFormat="false" ht="15" hidden="false" customHeight="false" outlineLevel="0" collapsed="false">
      <c r="A3361" s="0" t="n">
        <v>2202</v>
      </c>
      <c r="B3361" s="0" t="n">
        <v>19556</v>
      </c>
      <c r="C3361" s="0" t="s">
        <v>9445</v>
      </c>
      <c r="D3361" s="0" t="s">
        <v>15</v>
      </c>
      <c r="F3361" s="0" t="s">
        <v>18676</v>
      </c>
      <c r="G3361" s="0" t="s">
        <v>18674</v>
      </c>
    </row>
    <row r="3362" customFormat="false" ht="15" hidden="false" customHeight="false" outlineLevel="0" collapsed="false">
      <c r="A3362" s="0" t="n">
        <v>2203</v>
      </c>
      <c r="B3362" s="0" t="n">
        <v>19557</v>
      </c>
      <c r="C3362" s="0" t="s">
        <v>9448</v>
      </c>
      <c r="D3362" s="0" t="s">
        <v>15</v>
      </c>
      <c r="F3362" s="0" t="s">
        <v>18676</v>
      </c>
      <c r="G3362" s="0" t="s">
        <v>18674</v>
      </c>
    </row>
    <row r="3363" customFormat="false" ht="15" hidden="false" customHeight="false" outlineLevel="0" collapsed="false">
      <c r="A3363" s="0" t="n">
        <v>2204</v>
      </c>
      <c r="B3363" s="0" t="n">
        <v>19558</v>
      </c>
      <c r="C3363" s="0" t="s">
        <v>9451</v>
      </c>
      <c r="D3363" s="0" t="s">
        <v>15</v>
      </c>
      <c r="F3363" s="0" t="s">
        <v>18676</v>
      </c>
      <c r="G3363" s="0" t="s">
        <v>18674</v>
      </c>
    </row>
    <row r="3364" customFormat="false" ht="15" hidden="false" customHeight="false" outlineLevel="0" collapsed="false">
      <c r="A3364" s="0" t="n">
        <v>2205</v>
      </c>
      <c r="B3364" s="0" t="n">
        <v>19559</v>
      </c>
      <c r="C3364" s="0" t="s">
        <v>9453</v>
      </c>
      <c r="D3364" s="0" t="s">
        <v>15</v>
      </c>
      <c r="F3364" s="0" t="s">
        <v>18676</v>
      </c>
      <c r="G3364" s="0" t="s">
        <v>18674</v>
      </c>
    </row>
    <row r="3365" customFormat="false" ht="15" hidden="false" customHeight="false" outlineLevel="0" collapsed="false">
      <c r="A3365" s="0" t="n">
        <v>2206</v>
      </c>
      <c r="B3365" s="0" t="n">
        <v>19560</v>
      </c>
      <c r="C3365" s="0" t="s">
        <v>862</v>
      </c>
      <c r="D3365" s="0" t="s">
        <v>15</v>
      </c>
      <c r="F3365" s="0" t="s">
        <v>18676</v>
      </c>
      <c r="G3365" s="0" t="s">
        <v>18674</v>
      </c>
    </row>
    <row r="3366" customFormat="false" ht="15" hidden="false" customHeight="false" outlineLevel="0" collapsed="false">
      <c r="A3366" s="0" t="n">
        <v>2207</v>
      </c>
      <c r="B3366" s="0" t="n">
        <v>19561</v>
      </c>
      <c r="C3366" s="0" t="s">
        <v>9458</v>
      </c>
      <c r="D3366" s="0" t="s">
        <v>15</v>
      </c>
      <c r="F3366" s="0" t="s">
        <v>18676</v>
      </c>
      <c r="G3366" s="0" t="s">
        <v>18674</v>
      </c>
    </row>
    <row r="3367" customFormat="false" ht="15" hidden="false" customHeight="false" outlineLevel="0" collapsed="false">
      <c r="A3367" s="0" t="n">
        <v>2208</v>
      </c>
      <c r="B3367" s="0" t="n">
        <v>19562</v>
      </c>
      <c r="C3367" s="0" t="s">
        <v>9461</v>
      </c>
      <c r="D3367" s="0" t="s">
        <v>15</v>
      </c>
      <c r="F3367" s="0" t="s">
        <v>18676</v>
      </c>
      <c r="G3367" s="0" t="s">
        <v>18674</v>
      </c>
    </row>
    <row r="3368" customFormat="false" ht="15" hidden="false" customHeight="false" outlineLevel="0" collapsed="false">
      <c r="A3368" s="0" t="n">
        <v>2209</v>
      </c>
      <c r="B3368" s="0" t="n">
        <v>19566</v>
      </c>
      <c r="C3368" s="0" t="s">
        <v>9464</v>
      </c>
      <c r="D3368" s="0" t="s">
        <v>15</v>
      </c>
      <c r="F3368" s="0" t="s">
        <v>18676</v>
      </c>
      <c r="G3368" s="0" t="s">
        <v>18674</v>
      </c>
    </row>
    <row r="3369" customFormat="false" ht="15" hidden="false" customHeight="false" outlineLevel="0" collapsed="false">
      <c r="A3369" s="0" t="n">
        <v>2210</v>
      </c>
      <c r="B3369" s="0" t="n">
        <v>19563</v>
      </c>
      <c r="C3369" s="0" t="s">
        <v>4585</v>
      </c>
      <c r="D3369" s="0" t="s">
        <v>15</v>
      </c>
      <c r="F3369" s="0" t="s">
        <v>18676</v>
      </c>
      <c r="G3369" s="0" t="s">
        <v>18674</v>
      </c>
    </row>
    <row r="3370" customFormat="false" ht="15" hidden="false" customHeight="false" outlineLevel="0" collapsed="false">
      <c r="A3370" s="0" t="n">
        <v>2211</v>
      </c>
      <c r="B3370" s="0" t="n">
        <v>19564</v>
      </c>
      <c r="C3370" s="0" t="s">
        <v>9468</v>
      </c>
      <c r="D3370" s="0" t="s">
        <v>15</v>
      </c>
      <c r="F3370" s="0" t="s">
        <v>18676</v>
      </c>
      <c r="G3370" s="0" t="s">
        <v>18674</v>
      </c>
    </row>
    <row r="3371" customFormat="false" ht="15" hidden="false" customHeight="false" outlineLevel="0" collapsed="false">
      <c r="A3371" s="0" t="n">
        <v>2212</v>
      </c>
      <c r="B3371" s="0" t="n">
        <v>19565</v>
      </c>
      <c r="C3371" s="0" t="s">
        <v>9472</v>
      </c>
      <c r="D3371" s="0" t="s">
        <v>15</v>
      </c>
      <c r="F3371" s="0" t="s">
        <v>18676</v>
      </c>
      <c r="G3371" s="0" t="s">
        <v>18674</v>
      </c>
    </row>
    <row r="3372" customFormat="false" ht="15" hidden="false" customHeight="false" outlineLevel="0" collapsed="false">
      <c r="A3372" s="0" t="n">
        <v>2213</v>
      </c>
      <c r="B3372" s="0" t="n">
        <v>19567</v>
      </c>
      <c r="C3372" s="0" t="s">
        <v>9476</v>
      </c>
      <c r="D3372" s="0" t="s">
        <v>15</v>
      </c>
      <c r="F3372" s="0" t="s">
        <v>18676</v>
      </c>
      <c r="G3372" s="0" t="s">
        <v>18674</v>
      </c>
    </row>
    <row r="3373" customFormat="false" ht="15" hidden="false" customHeight="false" outlineLevel="0" collapsed="false">
      <c r="A3373" s="0" t="n">
        <v>2214</v>
      </c>
      <c r="B3373" s="0" t="n">
        <v>19568</v>
      </c>
      <c r="C3373" s="0" t="s">
        <v>9479</v>
      </c>
      <c r="D3373" s="0" t="s">
        <v>15</v>
      </c>
      <c r="F3373" s="0" t="s">
        <v>18676</v>
      </c>
      <c r="G3373" s="0" t="s">
        <v>18674</v>
      </c>
    </row>
    <row r="3374" customFormat="false" ht="15" hidden="false" customHeight="false" outlineLevel="0" collapsed="false">
      <c r="A3374" s="0" t="n">
        <v>2243</v>
      </c>
      <c r="B3374" s="0" t="n">
        <v>19662</v>
      </c>
      <c r="C3374" s="0" t="s">
        <v>9586</v>
      </c>
      <c r="D3374" s="0" t="s">
        <v>15</v>
      </c>
      <c r="F3374" s="0" t="s">
        <v>18675</v>
      </c>
      <c r="G3374" s="0" t="s">
        <v>18674</v>
      </c>
    </row>
    <row r="3375" customFormat="false" ht="15" hidden="false" customHeight="false" outlineLevel="0" collapsed="false">
      <c r="A3375" s="0" t="n">
        <v>2246</v>
      </c>
      <c r="B3375" s="0" t="n">
        <v>19668</v>
      </c>
      <c r="C3375" s="0" t="s">
        <v>9601</v>
      </c>
      <c r="D3375" s="0" t="s">
        <v>15</v>
      </c>
      <c r="F3375" s="0" t="s">
        <v>18676</v>
      </c>
      <c r="G3375" s="0" t="s">
        <v>18674</v>
      </c>
    </row>
    <row r="3376" customFormat="false" ht="15" hidden="false" customHeight="false" outlineLevel="0" collapsed="false">
      <c r="A3376" s="0" t="n">
        <v>2276</v>
      </c>
      <c r="B3376" s="0" t="n">
        <v>19741</v>
      </c>
      <c r="C3376" s="0" t="s">
        <v>9740</v>
      </c>
      <c r="D3376" s="0" t="s">
        <v>15</v>
      </c>
      <c r="F3376" s="0" t="s">
        <v>18682</v>
      </c>
      <c r="G3376" s="0" t="s">
        <v>18674</v>
      </c>
    </row>
    <row r="3377" customFormat="false" ht="15" hidden="false" customHeight="false" outlineLevel="0" collapsed="false">
      <c r="A3377" s="0" t="n">
        <v>2279</v>
      </c>
      <c r="B3377" s="0" t="n">
        <v>19744</v>
      </c>
      <c r="C3377" s="0" t="s">
        <v>9754</v>
      </c>
      <c r="D3377" s="0" t="s">
        <v>15</v>
      </c>
      <c r="F3377" s="0" t="s">
        <v>18683</v>
      </c>
      <c r="G3377" s="0" t="s">
        <v>18674</v>
      </c>
    </row>
    <row r="3378" customFormat="false" ht="15" hidden="false" customHeight="false" outlineLevel="0" collapsed="false">
      <c r="A3378" s="0" t="n">
        <v>2282</v>
      </c>
      <c r="B3378" s="0" t="n">
        <v>19751</v>
      </c>
      <c r="C3378" s="0" t="s">
        <v>9765</v>
      </c>
      <c r="D3378" s="0" t="s">
        <v>15</v>
      </c>
      <c r="F3378" s="0" t="s">
        <v>18682</v>
      </c>
      <c r="G3378" s="0" t="s">
        <v>18674</v>
      </c>
    </row>
    <row r="3379" customFormat="false" ht="15" hidden="false" customHeight="false" outlineLevel="0" collapsed="false">
      <c r="A3379" s="0" t="n">
        <v>2296</v>
      </c>
      <c r="B3379" s="0" t="n">
        <v>19784</v>
      </c>
      <c r="C3379" s="0" t="s">
        <v>9822</v>
      </c>
      <c r="D3379" s="0" t="s">
        <v>15</v>
      </c>
      <c r="F3379" s="0" t="s">
        <v>18682</v>
      </c>
      <c r="G3379" s="0" t="s">
        <v>18674</v>
      </c>
    </row>
    <row r="3380" customFormat="false" ht="15" hidden="false" customHeight="false" outlineLevel="0" collapsed="false">
      <c r="A3380" s="0" t="n">
        <v>2302</v>
      </c>
      <c r="B3380" s="0" t="n">
        <v>19794</v>
      </c>
      <c r="C3380" s="0" t="s">
        <v>9847</v>
      </c>
      <c r="D3380" s="0" t="s">
        <v>15</v>
      </c>
      <c r="F3380" s="0" t="s">
        <v>18676</v>
      </c>
      <c r="G3380" s="0" t="s">
        <v>18674</v>
      </c>
    </row>
    <row r="3381" customFormat="false" ht="15" hidden="false" customHeight="false" outlineLevel="0" collapsed="false">
      <c r="A3381" s="0" t="n">
        <v>2314</v>
      </c>
      <c r="B3381" s="0" t="n">
        <v>19830</v>
      </c>
      <c r="C3381" s="0" t="s">
        <v>9908</v>
      </c>
      <c r="D3381" s="0" t="s">
        <v>15</v>
      </c>
      <c r="F3381" s="0" t="s">
        <v>18682</v>
      </c>
      <c r="G3381" s="0" t="s">
        <v>18674</v>
      </c>
    </row>
    <row r="3382" customFormat="false" ht="15" hidden="false" customHeight="false" outlineLevel="0" collapsed="false">
      <c r="A3382" s="0" t="n">
        <v>2320</v>
      </c>
      <c r="B3382" s="0" t="n">
        <v>19835</v>
      </c>
      <c r="C3382" s="0" t="s">
        <v>9932</v>
      </c>
      <c r="D3382" s="0" t="s">
        <v>15</v>
      </c>
      <c r="F3382" s="0" t="s">
        <v>18683</v>
      </c>
      <c r="G3382" s="0" t="s">
        <v>18674</v>
      </c>
    </row>
    <row r="3383" customFormat="false" ht="15" hidden="false" customHeight="false" outlineLevel="0" collapsed="false">
      <c r="A3383" s="0" t="n">
        <v>2345</v>
      </c>
      <c r="B3383" s="0" t="n">
        <v>19915</v>
      </c>
      <c r="C3383" s="0" t="s">
        <v>10039</v>
      </c>
      <c r="D3383" s="0" t="s">
        <v>15</v>
      </c>
      <c r="F3383" s="0" t="s">
        <v>18683</v>
      </c>
      <c r="G3383" s="0" t="s">
        <v>18674</v>
      </c>
    </row>
    <row r="3384" customFormat="false" ht="15" hidden="false" customHeight="false" outlineLevel="0" collapsed="false">
      <c r="A3384" s="0" t="n">
        <v>2353</v>
      </c>
      <c r="B3384" s="0" t="n">
        <v>19965</v>
      </c>
      <c r="C3384" s="0" t="s">
        <v>10070</v>
      </c>
      <c r="D3384" s="0" t="s">
        <v>15</v>
      </c>
      <c r="F3384" s="0" t="s">
        <v>18686</v>
      </c>
      <c r="G3384" s="0" t="s">
        <v>18674</v>
      </c>
    </row>
    <row r="3385" customFormat="false" ht="15" hidden="false" customHeight="false" outlineLevel="0" collapsed="false">
      <c r="A3385" s="0" t="n">
        <v>2357</v>
      </c>
      <c r="B3385" s="0" t="n">
        <v>19967</v>
      </c>
      <c r="C3385" s="0" t="s">
        <v>10088</v>
      </c>
      <c r="D3385" s="0" t="s">
        <v>15</v>
      </c>
      <c r="F3385" s="0" t="s">
        <v>18686</v>
      </c>
      <c r="G3385" s="0" t="s">
        <v>18674</v>
      </c>
    </row>
    <row r="3386" customFormat="false" ht="15" hidden="false" customHeight="false" outlineLevel="0" collapsed="false">
      <c r="A3386" s="0" t="n">
        <v>2358</v>
      </c>
      <c r="B3386" s="0" t="n">
        <v>19966</v>
      </c>
      <c r="C3386" s="0" t="s">
        <v>10092</v>
      </c>
      <c r="D3386" s="0" t="s">
        <v>15</v>
      </c>
      <c r="F3386" s="0" t="s">
        <v>18686</v>
      </c>
      <c r="G3386" s="0" t="s">
        <v>18674</v>
      </c>
    </row>
    <row r="3387" customFormat="false" ht="15" hidden="false" customHeight="false" outlineLevel="0" collapsed="false">
      <c r="A3387" s="0" t="n">
        <v>2359</v>
      </c>
      <c r="B3387" s="0" t="n">
        <v>19969</v>
      </c>
      <c r="C3387" s="0" t="s">
        <v>10097</v>
      </c>
      <c r="D3387" s="0" t="s">
        <v>15</v>
      </c>
      <c r="F3387" s="0" t="s">
        <v>18686</v>
      </c>
      <c r="G3387" s="0" t="s">
        <v>18674</v>
      </c>
    </row>
    <row r="3388" customFormat="false" ht="15" hidden="false" customHeight="false" outlineLevel="0" collapsed="false">
      <c r="A3388" s="0" t="n">
        <v>2360</v>
      </c>
      <c r="B3388" s="0" t="n">
        <v>19968</v>
      </c>
      <c r="C3388" s="0" t="s">
        <v>10102</v>
      </c>
      <c r="D3388" s="0" t="s">
        <v>15</v>
      </c>
      <c r="F3388" s="0" t="s">
        <v>18686</v>
      </c>
      <c r="G3388" s="0" t="s">
        <v>18674</v>
      </c>
    </row>
    <row r="3389" customFormat="false" ht="15" hidden="false" customHeight="false" outlineLevel="0" collapsed="false">
      <c r="A3389" s="0" t="n">
        <v>2361</v>
      </c>
      <c r="B3389" s="0" t="n">
        <v>19970</v>
      </c>
      <c r="C3389" s="0" t="s">
        <v>7132</v>
      </c>
      <c r="D3389" s="0" t="s">
        <v>15</v>
      </c>
      <c r="F3389" s="0" t="s">
        <v>18686</v>
      </c>
      <c r="G3389" s="0" t="s">
        <v>18674</v>
      </c>
    </row>
    <row r="3390" customFormat="false" ht="15" hidden="false" customHeight="false" outlineLevel="0" collapsed="false">
      <c r="A3390" s="0" t="n">
        <v>2362</v>
      </c>
      <c r="B3390" s="0" t="n">
        <v>19973</v>
      </c>
      <c r="C3390" s="0" t="s">
        <v>10110</v>
      </c>
      <c r="D3390" s="0" t="s">
        <v>15</v>
      </c>
      <c r="F3390" s="0" t="s">
        <v>18686</v>
      </c>
      <c r="G3390" s="0" t="s">
        <v>18674</v>
      </c>
    </row>
    <row r="3391" customFormat="false" ht="15" hidden="false" customHeight="false" outlineLevel="0" collapsed="false">
      <c r="A3391" s="0" t="n">
        <v>2363</v>
      </c>
      <c r="B3391" s="0" t="n">
        <v>19972</v>
      </c>
      <c r="C3391" s="0" t="s">
        <v>10114</v>
      </c>
      <c r="D3391" s="0" t="s">
        <v>15</v>
      </c>
      <c r="F3391" s="0" t="s">
        <v>18686</v>
      </c>
      <c r="G3391" s="0" t="s">
        <v>18674</v>
      </c>
    </row>
    <row r="3392" customFormat="false" ht="15" hidden="false" customHeight="false" outlineLevel="0" collapsed="false">
      <c r="A3392" s="0" t="n">
        <v>2364</v>
      </c>
      <c r="B3392" s="0" t="n">
        <v>19974</v>
      </c>
      <c r="C3392" s="0" t="s">
        <v>10119</v>
      </c>
      <c r="D3392" s="0" t="s">
        <v>15</v>
      </c>
      <c r="F3392" s="0" t="s">
        <v>18686</v>
      </c>
      <c r="G3392" s="0" t="s">
        <v>18674</v>
      </c>
    </row>
    <row r="3393" customFormat="false" ht="15" hidden="false" customHeight="false" outlineLevel="0" collapsed="false">
      <c r="A3393" s="0" t="n">
        <v>2365</v>
      </c>
      <c r="B3393" s="0" t="n">
        <v>19975</v>
      </c>
      <c r="C3393" s="0" t="s">
        <v>10123</v>
      </c>
      <c r="D3393" s="0" t="s">
        <v>15</v>
      </c>
      <c r="F3393" s="0" t="s">
        <v>18686</v>
      </c>
      <c r="G3393" s="0" t="s">
        <v>18674</v>
      </c>
    </row>
    <row r="3394" customFormat="false" ht="15" hidden="false" customHeight="false" outlineLevel="0" collapsed="false">
      <c r="A3394" s="0" t="n">
        <v>2366</v>
      </c>
      <c r="B3394" s="0" t="n">
        <v>19977</v>
      </c>
      <c r="C3394" s="0" t="s">
        <v>10127</v>
      </c>
      <c r="D3394" s="0" t="s">
        <v>15</v>
      </c>
      <c r="F3394" s="0" t="s">
        <v>18686</v>
      </c>
      <c r="G3394" s="0" t="s">
        <v>18674</v>
      </c>
    </row>
    <row r="3395" customFormat="false" ht="15" hidden="false" customHeight="false" outlineLevel="0" collapsed="false">
      <c r="A3395" s="0" t="n">
        <v>2367</v>
      </c>
      <c r="B3395" s="0" t="n">
        <v>19981</v>
      </c>
      <c r="C3395" s="0" t="s">
        <v>10131</v>
      </c>
      <c r="D3395" s="0" t="s">
        <v>15</v>
      </c>
      <c r="F3395" s="0" t="s">
        <v>18686</v>
      </c>
      <c r="G3395" s="0" t="s">
        <v>18674</v>
      </c>
    </row>
    <row r="3396" customFormat="false" ht="15" hidden="false" customHeight="false" outlineLevel="0" collapsed="false">
      <c r="A3396" s="0" t="n">
        <v>2368</v>
      </c>
      <c r="B3396" s="0" t="n">
        <v>19978</v>
      </c>
      <c r="C3396" s="0" t="s">
        <v>10135</v>
      </c>
      <c r="D3396" s="0" t="s">
        <v>15</v>
      </c>
      <c r="F3396" s="0" t="s">
        <v>18686</v>
      </c>
      <c r="G3396" s="0" t="s">
        <v>18674</v>
      </c>
    </row>
    <row r="3397" customFormat="false" ht="15" hidden="false" customHeight="false" outlineLevel="0" collapsed="false">
      <c r="A3397" s="0" t="n">
        <v>2369</v>
      </c>
      <c r="B3397" s="0" t="n">
        <v>19979</v>
      </c>
      <c r="C3397" s="0" t="s">
        <v>10140</v>
      </c>
      <c r="D3397" s="0" t="s">
        <v>15</v>
      </c>
      <c r="F3397" s="0" t="s">
        <v>18686</v>
      </c>
      <c r="G3397" s="0" t="s">
        <v>18674</v>
      </c>
    </row>
    <row r="3398" customFormat="false" ht="15" hidden="false" customHeight="false" outlineLevel="0" collapsed="false">
      <c r="A3398" s="0" t="n">
        <v>2370</v>
      </c>
      <c r="B3398" s="0" t="n">
        <v>19980</v>
      </c>
      <c r="C3398" s="0" t="s">
        <v>10145</v>
      </c>
      <c r="D3398" s="0" t="s">
        <v>15</v>
      </c>
      <c r="F3398" s="0" t="s">
        <v>18686</v>
      </c>
      <c r="G3398" s="0" t="s">
        <v>18674</v>
      </c>
    </row>
    <row r="3399" customFormat="false" ht="15" hidden="false" customHeight="false" outlineLevel="0" collapsed="false">
      <c r="A3399" s="0" t="n">
        <v>2371</v>
      </c>
      <c r="B3399" s="0" t="n">
        <v>19982</v>
      </c>
      <c r="C3399" s="0" t="s">
        <v>10150</v>
      </c>
      <c r="D3399" s="0" t="s">
        <v>15</v>
      </c>
      <c r="F3399" s="0" t="s">
        <v>18686</v>
      </c>
      <c r="G3399" s="0" t="s">
        <v>18674</v>
      </c>
    </row>
    <row r="3400" customFormat="false" ht="15" hidden="false" customHeight="false" outlineLevel="0" collapsed="false">
      <c r="A3400" s="0" t="n">
        <v>2372</v>
      </c>
      <c r="B3400" s="0" t="n">
        <v>19985</v>
      </c>
      <c r="C3400" s="0" t="s">
        <v>10154</v>
      </c>
      <c r="D3400" s="0" t="s">
        <v>15</v>
      </c>
      <c r="F3400" s="0" t="s">
        <v>18686</v>
      </c>
      <c r="G3400" s="0" t="s">
        <v>18674</v>
      </c>
    </row>
    <row r="3401" customFormat="false" ht="15" hidden="false" customHeight="false" outlineLevel="0" collapsed="false">
      <c r="A3401" s="0" t="n">
        <v>2373</v>
      </c>
      <c r="B3401" s="0" t="n">
        <v>19983</v>
      </c>
      <c r="C3401" s="0" t="s">
        <v>10160</v>
      </c>
      <c r="D3401" s="0" t="s">
        <v>15</v>
      </c>
      <c r="F3401" s="0" t="s">
        <v>18686</v>
      </c>
      <c r="G3401" s="0" t="s">
        <v>18674</v>
      </c>
    </row>
    <row r="3402" customFormat="false" ht="15" hidden="false" customHeight="false" outlineLevel="0" collapsed="false">
      <c r="A3402" s="0" t="n">
        <v>2375</v>
      </c>
      <c r="B3402" s="0" t="n">
        <v>19986</v>
      </c>
      <c r="C3402" s="0" t="s">
        <v>10169</v>
      </c>
      <c r="D3402" s="0" t="s">
        <v>15</v>
      </c>
      <c r="F3402" s="0" t="s">
        <v>18673</v>
      </c>
      <c r="G3402" s="0" t="s">
        <v>18674</v>
      </c>
    </row>
    <row r="3403" customFormat="false" ht="15" hidden="false" customHeight="false" outlineLevel="0" collapsed="false">
      <c r="A3403" s="0" t="n">
        <v>2376</v>
      </c>
      <c r="B3403" s="0" t="n">
        <v>19987</v>
      </c>
      <c r="C3403" s="0" t="s">
        <v>10174</v>
      </c>
      <c r="D3403" s="0" t="s">
        <v>15</v>
      </c>
      <c r="F3403" s="0" t="s">
        <v>18673</v>
      </c>
      <c r="G3403" s="0" t="s">
        <v>18674</v>
      </c>
    </row>
    <row r="3404" customFormat="false" ht="15" hidden="false" customHeight="false" outlineLevel="0" collapsed="false">
      <c r="A3404" s="0" t="n">
        <v>2377</v>
      </c>
      <c r="B3404" s="0" t="n">
        <v>19988</v>
      </c>
      <c r="C3404" s="0" t="s">
        <v>10178</v>
      </c>
      <c r="D3404" s="0" t="s">
        <v>15</v>
      </c>
      <c r="F3404" s="0" t="s">
        <v>18673</v>
      </c>
      <c r="G3404" s="0" t="s">
        <v>18674</v>
      </c>
    </row>
    <row r="3405" customFormat="false" ht="15" hidden="false" customHeight="false" outlineLevel="0" collapsed="false">
      <c r="A3405" s="0" t="n">
        <v>2378</v>
      </c>
      <c r="B3405" s="0" t="n">
        <v>19990</v>
      </c>
      <c r="C3405" s="0" t="s">
        <v>10183</v>
      </c>
      <c r="D3405" s="0" t="s">
        <v>15</v>
      </c>
      <c r="F3405" s="0" t="s">
        <v>18673</v>
      </c>
      <c r="G3405" s="0" t="s">
        <v>18674</v>
      </c>
    </row>
    <row r="3406" customFormat="false" ht="15" hidden="false" customHeight="false" outlineLevel="0" collapsed="false">
      <c r="A3406" s="0" t="n">
        <v>2379</v>
      </c>
      <c r="B3406" s="0" t="n">
        <v>19989</v>
      </c>
      <c r="C3406" s="0" t="s">
        <v>10188</v>
      </c>
      <c r="D3406" s="0" t="s">
        <v>15</v>
      </c>
      <c r="F3406" s="0" t="s">
        <v>18673</v>
      </c>
      <c r="G3406" s="0" t="s">
        <v>18674</v>
      </c>
    </row>
    <row r="3407" customFormat="false" ht="15" hidden="false" customHeight="false" outlineLevel="0" collapsed="false">
      <c r="A3407" s="0" t="n">
        <v>2380</v>
      </c>
      <c r="B3407" s="0" t="n">
        <v>19991</v>
      </c>
      <c r="C3407" s="0" t="s">
        <v>10194</v>
      </c>
      <c r="D3407" s="0" t="s">
        <v>15</v>
      </c>
      <c r="F3407" s="0" t="s">
        <v>18673</v>
      </c>
      <c r="G3407" s="0" t="s">
        <v>18674</v>
      </c>
    </row>
    <row r="3408" customFormat="false" ht="15" hidden="false" customHeight="false" outlineLevel="0" collapsed="false">
      <c r="A3408" s="0" t="n">
        <v>2381</v>
      </c>
      <c r="B3408" s="0" t="n">
        <v>19993</v>
      </c>
      <c r="C3408" s="0" t="s">
        <v>10198</v>
      </c>
      <c r="D3408" s="0" t="s">
        <v>15</v>
      </c>
      <c r="F3408" s="0" t="s">
        <v>18673</v>
      </c>
      <c r="G3408" s="0" t="s">
        <v>18674</v>
      </c>
    </row>
    <row r="3409" customFormat="false" ht="15" hidden="false" customHeight="false" outlineLevel="0" collapsed="false">
      <c r="A3409" s="0" t="n">
        <v>2382</v>
      </c>
      <c r="B3409" s="0" t="n">
        <v>19992</v>
      </c>
      <c r="C3409" s="0" t="s">
        <v>10203</v>
      </c>
      <c r="D3409" s="0" t="s">
        <v>15</v>
      </c>
      <c r="F3409" s="0" t="s">
        <v>18673</v>
      </c>
      <c r="G3409" s="0" t="s">
        <v>18674</v>
      </c>
    </row>
    <row r="3410" customFormat="false" ht="15" hidden="false" customHeight="false" outlineLevel="0" collapsed="false">
      <c r="A3410" s="0" t="n">
        <v>2383</v>
      </c>
      <c r="B3410" s="0" t="n">
        <v>19994</v>
      </c>
      <c r="C3410" s="0" t="s">
        <v>10208</v>
      </c>
      <c r="D3410" s="0" t="s">
        <v>15</v>
      </c>
      <c r="F3410" s="0" t="s">
        <v>18673</v>
      </c>
      <c r="G3410" s="0" t="s">
        <v>18674</v>
      </c>
    </row>
    <row r="3411" customFormat="false" ht="15" hidden="false" customHeight="false" outlineLevel="0" collapsed="false">
      <c r="A3411" s="0" t="n">
        <v>2384</v>
      </c>
      <c r="B3411" s="0" t="n">
        <v>19995</v>
      </c>
      <c r="C3411" s="0" t="s">
        <v>10212</v>
      </c>
      <c r="D3411" s="0" t="s">
        <v>15</v>
      </c>
      <c r="F3411" s="0" t="s">
        <v>18673</v>
      </c>
      <c r="G3411" s="0" t="s">
        <v>18674</v>
      </c>
    </row>
    <row r="3412" customFormat="false" ht="15" hidden="false" customHeight="false" outlineLevel="0" collapsed="false">
      <c r="A3412" s="0" t="n">
        <v>2385</v>
      </c>
      <c r="B3412" s="0" t="n">
        <v>19998</v>
      </c>
      <c r="C3412" s="0" t="s">
        <v>10217</v>
      </c>
      <c r="D3412" s="0" t="s">
        <v>15</v>
      </c>
      <c r="F3412" s="0" t="s">
        <v>18673</v>
      </c>
      <c r="G3412" s="0" t="s">
        <v>18674</v>
      </c>
    </row>
    <row r="3413" customFormat="false" ht="15" hidden="false" customHeight="false" outlineLevel="0" collapsed="false">
      <c r="A3413" s="0" t="n">
        <v>2386</v>
      </c>
      <c r="B3413" s="0" t="n">
        <v>19996</v>
      </c>
      <c r="C3413" s="0" t="s">
        <v>10222</v>
      </c>
      <c r="D3413" s="0" t="s">
        <v>15</v>
      </c>
      <c r="F3413" s="0" t="s">
        <v>18673</v>
      </c>
      <c r="G3413" s="0" t="s">
        <v>18674</v>
      </c>
    </row>
    <row r="3414" customFormat="false" ht="15" hidden="false" customHeight="false" outlineLevel="0" collapsed="false">
      <c r="A3414" s="0" t="n">
        <v>2387</v>
      </c>
      <c r="B3414" s="0" t="n">
        <v>19997</v>
      </c>
      <c r="C3414" s="0" t="s">
        <v>10227</v>
      </c>
      <c r="D3414" s="0" t="s">
        <v>15</v>
      </c>
      <c r="F3414" s="0" t="s">
        <v>18673</v>
      </c>
      <c r="G3414" s="0" t="s">
        <v>18674</v>
      </c>
    </row>
    <row r="3415" customFormat="false" ht="15" hidden="false" customHeight="false" outlineLevel="0" collapsed="false">
      <c r="A3415" s="0" t="n">
        <v>2388</v>
      </c>
      <c r="B3415" s="0" t="n">
        <v>20000</v>
      </c>
      <c r="C3415" s="0" t="s">
        <v>10233</v>
      </c>
      <c r="D3415" s="0" t="s">
        <v>15</v>
      </c>
      <c r="F3415" s="0" t="s">
        <v>18673</v>
      </c>
      <c r="G3415" s="0" t="s">
        <v>18674</v>
      </c>
    </row>
    <row r="3416" customFormat="false" ht="15" hidden="false" customHeight="false" outlineLevel="0" collapsed="false">
      <c r="A3416" s="0" t="n">
        <v>2389</v>
      </c>
      <c r="B3416" s="0" t="n">
        <v>19999</v>
      </c>
      <c r="C3416" s="0" t="s">
        <v>10238</v>
      </c>
      <c r="D3416" s="0" t="s">
        <v>15</v>
      </c>
      <c r="F3416" s="0" t="s">
        <v>18673</v>
      </c>
      <c r="G3416" s="0" t="s">
        <v>18674</v>
      </c>
    </row>
    <row r="3417" customFormat="false" ht="15" hidden="false" customHeight="false" outlineLevel="0" collapsed="false">
      <c r="A3417" s="0" t="n">
        <v>2390</v>
      </c>
      <c r="B3417" s="0" t="n">
        <v>20001</v>
      </c>
      <c r="C3417" s="0" t="s">
        <v>10244</v>
      </c>
      <c r="D3417" s="0" t="s">
        <v>15</v>
      </c>
      <c r="F3417" s="0" t="s">
        <v>18673</v>
      </c>
      <c r="G3417" s="0" t="s">
        <v>18674</v>
      </c>
    </row>
    <row r="3418" customFormat="false" ht="15" hidden="false" customHeight="false" outlineLevel="0" collapsed="false">
      <c r="A3418" s="0" t="n">
        <v>2391</v>
      </c>
      <c r="B3418" s="0" t="n">
        <v>20002</v>
      </c>
      <c r="C3418" s="0" t="s">
        <v>10248</v>
      </c>
      <c r="D3418" s="0" t="s">
        <v>15</v>
      </c>
      <c r="F3418" s="0" t="s">
        <v>18673</v>
      </c>
      <c r="G3418" s="0" t="s">
        <v>18674</v>
      </c>
    </row>
    <row r="3419" customFormat="false" ht="15" hidden="false" customHeight="false" outlineLevel="0" collapsed="false">
      <c r="A3419" s="0" t="n">
        <v>2392</v>
      </c>
      <c r="B3419" s="0" t="n">
        <v>20004</v>
      </c>
      <c r="C3419" s="0" t="s">
        <v>10252</v>
      </c>
      <c r="D3419" s="0" t="s">
        <v>15</v>
      </c>
      <c r="F3419" s="0" t="s">
        <v>18673</v>
      </c>
      <c r="G3419" s="0" t="s">
        <v>18674</v>
      </c>
    </row>
    <row r="3420" customFormat="false" ht="15" hidden="false" customHeight="false" outlineLevel="0" collapsed="false">
      <c r="A3420" s="0" t="n">
        <v>2393</v>
      </c>
      <c r="B3420" s="0" t="n">
        <v>20003</v>
      </c>
      <c r="C3420" s="0" t="s">
        <v>10257</v>
      </c>
      <c r="D3420" s="0" t="s">
        <v>15</v>
      </c>
      <c r="F3420" s="0" t="s">
        <v>18673</v>
      </c>
      <c r="G3420" s="0" t="s">
        <v>18674</v>
      </c>
    </row>
    <row r="3421" customFormat="false" ht="15" hidden="false" customHeight="false" outlineLevel="0" collapsed="false">
      <c r="A3421" s="0" t="n">
        <v>2394</v>
      </c>
      <c r="B3421" s="0" t="n">
        <v>20005</v>
      </c>
      <c r="C3421" s="0" t="s">
        <v>10263</v>
      </c>
      <c r="D3421" s="0" t="s">
        <v>15</v>
      </c>
      <c r="F3421" s="0" t="s">
        <v>18673</v>
      </c>
      <c r="G3421" s="0" t="s">
        <v>18674</v>
      </c>
    </row>
    <row r="3422" customFormat="false" ht="15" hidden="false" customHeight="false" outlineLevel="0" collapsed="false">
      <c r="A3422" s="0" t="n">
        <v>2395</v>
      </c>
      <c r="B3422" s="0" t="n">
        <v>20006</v>
      </c>
      <c r="C3422" s="0" t="s">
        <v>10268</v>
      </c>
      <c r="D3422" s="0" t="s">
        <v>15</v>
      </c>
      <c r="F3422" s="0" t="s">
        <v>18673</v>
      </c>
      <c r="G3422" s="0" t="s">
        <v>18674</v>
      </c>
    </row>
    <row r="3423" customFormat="false" ht="15" hidden="false" customHeight="false" outlineLevel="0" collapsed="false">
      <c r="A3423" s="0" t="n">
        <v>2396</v>
      </c>
      <c r="B3423" s="0" t="n">
        <v>20007</v>
      </c>
      <c r="C3423" s="0" t="s">
        <v>10273</v>
      </c>
      <c r="D3423" s="0" t="s">
        <v>15</v>
      </c>
      <c r="F3423" s="0" t="s">
        <v>18673</v>
      </c>
      <c r="G3423" s="0" t="s">
        <v>18674</v>
      </c>
    </row>
    <row r="3424" customFormat="false" ht="15" hidden="false" customHeight="false" outlineLevel="0" collapsed="false">
      <c r="A3424" s="0" t="n">
        <v>2397</v>
      </c>
      <c r="B3424" s="0" t="n">
        <v>20008</v>
      </c>
      <c r="C3424" s="0" t="s">
        <v>10278</v>
      </c>
      <c r="D3424" s="0" t="s">
        <v>15</v>
      </c>
      <c r="F3424" s="0" t="s">
        <v>18673</v>
      </c>
      <c r="G3424" s="0" t="s">
        <v>18674</v>
      </c>
    </row>
    <row r="3425" customFormat="false" ht="15" hidden="false" customHeight="false" outlineLevel="0" collapsed="false">
      <c r="A3425" s="0" t="n">
        <v>2398</v>
      </c>
      <c r="B3425" s="0" t="n">
        <v>20012</v>
      </c>
      <c r="C3425" s="0" t="s">
        <v>10283</v>
      </c>
      <c r="D3425" s="0" t="s">
        <v>15</v>
      </c>
      <c r="F3425" s="0" t="s">
        <v>18673</v>
      </c>
      <c r="G3425" s="0" t="s">
        <v>18674</v>
      </c>
    </row>
    <row r="3426" customFormat="false" ht="15" hidden="false" customHeight="false" outlineLevel="0" collapsed="false">
      <c r="A3426" s="0" t="n">
        <v>2399</v>
      </c>
      <c r="B3426" s="0" t="n">
        <v>20009</v>
      </c>
      <c r="C3426" s="0" t="s">
        <v>10287</v>
      </c>
      <c r="D3426" s="0" t="s">
        <v>15</v>
      </c>
      <c r="F3426" s="0" t="s">
        <v>18673</v>
      </c>
      <c r="G3426" s="0" t="s">
        <v>18674</v>
      </c>
    </row>
    <row r="3427" customFormat="false" ht="15" hidden="false" customHeight="false" outlineLevel="0" collapsed="false">
      <c r="A3427" s="0" t="n">
        <v>2400</v>
      </c>
      <c r="B3427" s="0" t="n">
        <v>20010</v>
      </c>
      <c r="C3427" s="0" t="s">
        <v>10292</v>
      </c>
      <c r="D3427" s="0" t="s">
        <v>15</v>
      </c>
      <c r="F3427" s="0" t="s">
        <v>18673</v>
      </c>
      <c r="G3427" s="0" t="s">
        <v>18674</v>
      </c>
    </row>
    <row r="3428" customFormat="false" ht="15" hidden="false" customHeight="false" outlineLevel="0" collapsed="false">
      <c r="A3428" s="0" t="n">
        <v>2401</v>
      </c>
      <c r="B3428" s="0" t="n">
        <v>20011</v>
      </c>
      <c r="C3428" s="0" t="s">
        <v>10298</v>
      </c>
      <c r="D3428" s="0" t="s">
        <v>15</v>
      </c>
      <c r="F3428" s="0" t="s">
        <v>18673</v>
      </c>
      <c r="G3428" s="0" t="s">
        <v>18674</v>
      </c>
    </row>
    <row r="3429" customFormat="false" ht="15" hidden="false" customHeight="false" outlineLevel="0" collapsed="false">
      <c r="A3429" s="0" t="n">
        <v>2402</v>
      </c>
      <c r="B3429" s="0" t="n">
        <v>20013</v>
      </c>
      <c r="C3429" s="0" t="s">
        <v>10302</v>
      </c>
      <c r="D3429" s="0" t="s">
        <v>15</v>
      </c>
      <c r="F3429" s="0" t="s">
        <v>18673</v>
      </c>
      <c r="G3429" s="0" t="s">
        <v>18674</v>
      </c>
    </row>
    <row r="3430" customFormat="false" ht="15" hidden="false" customHeight="false" outlineLevel="0" collapsed="false">
      <c r="A3430" s="0" t="n">
        <v>2403</v>
      </c>
      <c r="B3430" s="0" t="n">
        <v>20015</v>
      </c>
      <c r="C3430" s="0" t="s">
        <v>10306</v>
      </c>
      <c r="D3430" s="0" t="s">
        <v>15</v>
      </c>
      <c r="F3430" s="0" t="s">
        <v>18673</v>
      </c>
      <c r="G3430" s="0" t="s">
        <v>18674</v>
      </c>
    </row>
    <row r="3431" customFormat="false" ht="15" hidden="false" customHeight="false" outlineLevel="0" collapsed="false">
      <c r="A3431" s="0" t="n">
        <v>2404</v>
      </c>
      <c r="B3431" s="0" t="n">
        <v>20014</v>
      </c>
      <c r="C3431" s="0" t="s">
        <v>10311</v>
      </c>
      <c r="D3431" s="0" t="s">
        <v>15</v>
      </c>
      <c r="F3431" s="0" t="s">
        <v>18673</v>
      </c>
      <c r="G3431" s="0" t="s">
        <v>18674</v>
      </c>
    </row>
    <row r="3432" customFormat="false" ht="15" hidden="false" customHeight="false" outlineLevel="0" collapsed="false">
      <c r="A3432" s="0" t="n">
        <v>2405</v>
      </c>
      <c r="B3432" s="0" t="n">
        <v>20016</v>
      </c>
      <c r="C3432" s="0" t="s">
        <v>10316</v>
      </c>
      <c r="D3432" s="0" t="s">
        <v>15</v>
      </c>
      <c r="F3432" s="0" t="s">
        <v>18673</v>
      </c>
      <c r="G3432" s="0" t="s">
        <v>18674</v>
      </c>
    </row>
    <row r="3433" customFormat="false" ht="15" hidden="false" customHeight="false" outlineLevel="0" collapsed="false">
      <c r="A3433" s="0" t="n">
        <v>2406</v>
      </c>
      <c r="B3433" s="0" t="n">
        <v>20017</v>
      </c>
      <c r="C3433" s="0" t="s">
        <v>10320</v>
      </c>
      <c r="D3433" s="0" t="s">
        <v>15</v>
      </c>
      <c r="F3433" s="0" t="s">
        <v>18673</v>
      </c>
      <c r="G3433" s="0" t="s">
        <v>18674</v>
      </c>
    </row>
    <row r="3434" customFormat="false" ht="15" hidden="false" customHeight="false" outlineLevel="0" collapsed="false">
      <c r="A3434" s="0" t="n">
        <v>2407</v>
      </c>
      <c r="B3434" s="0" t="n">
        <v>20018</v>
      </c>
      <c r="C3434" s="0" t="s">
        <v>10324</v>
      </c>
      <c r="D3434" s="0" t="s">
        <v>15</v>
      </c>
      <c r="F3434" s="0" t="s">
        <v>18673</v>
      </c>
      <c r="G3434" s="0" t="s">
        <v>18674</v>
      </c>
    </row>
    <row r="3435" customFormat="false" ht="15" hidden="false" customHeight="false" outlineLevel="0" collapsed="false">
      <c r="A3435" s="0" t="n">
        <v>2408</v>
      </c>
      <c r="B3435" s="0" t="n">
        <v>20020</v>
      </c>
      <c r="C3435" s="0" t="s">
        <v>10329</v>
      </c>
      <c r="D3435" s="0" t="s">
        <v>15</v>
      </c>
      <c r="F3435" s="0" t="s">
        <v>18673</v>
      </c>
      <c r="G3435" s="0" t="s">
        <v>18674</v>
      </c>
    </row>
    <row r="3436" customFormat="false" ht="15" hidden="false" customHeight="false" outlineLevel="0" collapsed="false">
      <c r="A3436" s="0" t="n">
        <v>2409</v>
      </c>
      <c r="B3436" s="0" t="n">
        <v>20021</v>
      </c>
      <c r="C3436" s="0" t="s">
        <v>10333</v>
      </c>
      <c r="D3436" s="0" t="s">
        <v>15</v>
      </c>
      <c r="F3436" s="0" t="s">
        <v>18673</v>
      </c>
      <c r="G3436" s="0" t="s">
        <v>18674</v>
      </c>
    </row>
    <row r="3437" customFormat="false" ht="15" hidden="false" customHeight="false" outlineLevel="0" collapsed="false">
      <c r="A3437" s="0" t="n">
        <v>2410</v>
      </c>
      <c r="B3437" s="0" t="n">
        <v>20022</v>
      </c>
      <c r="C3437" s="0" t="s">
        <v>10338</v>
      </c>
      <c r="D3437" s="0" t="s">
        <v>15</v>
      </c>
      <c r="F3437" s="0" t="s">
        <v>18673</v>
      </c>
      <c r="G3437" s="0" t="s">
        <v>18674</v>
      </c>
    </row>
    <row r="3438" customFormat="false" ht="15" hidden="false" customHeight="false" outlineLevel="0" collapsed="false">
      <c r="A3438" s="0" t="n">
        <v>2411</v>
      </c>
      <c r="B3438" s="0" t="n">
        <v>20023</v>
      </c>
      <c r="C3438" s="0" t="s">
        <v>10342</v>
      </c>
      <c r="D3438" s="0" t="s">
        <v>15</v>
      </c>
      <c r="F3438" s="0" t="s">
        <v>18673</v>
      </c>
      <c r="G3438" s="0" t="s">
        <v>18674</v>
      </c>
    </row>
    <row r="3439" customFormat="false" ht="15" hidden="false" customHeight="false" outlineLevel="0" collapsed="false">
      <c r="A3439" s="0" t="n">
        <v>2412</v>
      </c>
      <c r="B3439" s="0" t="n">
        <v>20024</v>
      </c>
      <c r="C3439" s="0" t="s">
        <v>10346</v>
      </c>
      <c r="D3439" s="0" t="s">
        <v>15</v>
      </c>
      <c r="F3439" s="0" t="s">
        <v>18673</v>
      </c>
      <c r="G3439" s="0" t="s">
        <v>18674</v>
      </c>
    </row>
    <row r="3440" customFormat="false" ht="15" hidden="false" customHeight="false" outlineLevel="0" collapsed="false">
      <c r="A3440" s="0" t="n">
        <v>2413</v>
      </c>
      <c r="B3440" s="0" t="n">
        <v>20025</v>
      </c>
      <c r="C3440" s="0" t="s">
        <v>10350</v>
      </c>
      <c r="D3440" s="0" t="s">
        <v>15</v>
      </c>
      <c r="F3440" s="0" t="s">
        <v>18673</v>
      </c>
      <c r="G3440" s="0" t="s">
        <v>18674</v>
      </c>
    </row>
    <row r="3441" customFormat="false" ht="15" hidden="false" customHeight="false" outlineLevel="0" collapsed="false">
      <c r="A3441" s="0" t="n">
        <v>2414</v>
      </c>
      <c r="B3441" s="0" t="n">
        <v>20026</v>
      </c>
      <c r="C3441" s="0" t="s">
        <v>10355</v>
      </c>
      <c r="D3441" s="0" t="s">
        <v>15</v>
      </c>
      <c r="F3441" s="0" t="s">
        <v>18673</v>
      </c>
      <c r="G3441" s="0" t="s">
        <v>18674</v>
      </c>
    </row>
    <row r="3442" customFormat="false" ht="15" hidden="false" customHeight="false" outlineLevel="0" collapsed="false">
      <c r="A3442" s="0" t="n">
        <v>2415</v>
      </c>
      <c r="B3442" s="0" t="n">
        <v>20029</v>
      </c>
      <c r="C3442" s="0" t="s">
        <v>10359</v>
      </c>
      <c r="D3442" s="0" t="s">
        <v>15</v>
      </c>
      <c r="F3442" s="0" t="s">
        <v>18673</v>
      </c>
      <c r="G3442" s="0" t="s">
        <v>18674</v>
      </c>
    </row>
    <row r="3443" customFormat="false" ht="15" hidden="false" customHeight="false" outlineLevel="0" collapsed="false">
      <c r="A3443" s="0" t="n">
        <v>2416</v>
      </c>
      <c r="B3443" s="0" t="n">
        <v>20027</v>
      </c>
      <c r="C3443" s="0" t="s">
        <v>10363</v>
      </c>
      <c r="D3443" s="0" t="s">
        <v>15</v>
      </c>
      <c r="F3443" s="0" t="s">
        <v>18673</v>
      </c>
      <c r="G3443" s="0" t="s">
        <v>18674</v>
      </c>
    </row>
    <row r="3444" customFormat="false" ht="15" hidden="false" customHeight="false" outlineLevel="0" collapsed="false">
      <c r="A3444" s="0" t="n">
        <v>2417</v>
      </c>
      <c r="B3444" s="0" t="n">
        <v>20028</v>
      </c>
      <c r="C3444" s="0" t="s">
        <v>10369</v>
      </c>
      <c r="D3444" s="0" t="s">
        <v>15</v>
      </c>
      <c r="F3444" s="0" t="s">
        <v>18673</v>
      </c>
      <c r="G3444" s="0" t="s">
        <v>18674</v>
      </c>
    </row>
    <row r="3445" customFormat="false" ht="15" hidden="false" customHeight="false" outlineLevel="0" collapsed="false">
      <c r="A3445" s="0" t="n">
        <v>2418</v>
      </c>
      <c r="B3445" s="0" t="n">
        <v>20030</v>
      </c>
      <c r="C3445" s="0" t="s">
        <v>10374</v>
      </c>
      <c r="D3445" s="0" t="s">
        <v>15</v>
      </c>
      <c r="F3445" s="0" t="s">
        <v>18673</v>
      </c>
      <c r="G3445" s="0" t="s">
        <v>18674</v>
      </c>
    </row>
    <row r="3446" customFormat="false" ht="15" hidden="false" customHeight="false" outlineLevel="0" collapsed="false">
      <c r="A3446" s="0" t="n">
        <v>2422</v>
      </c>
      <c r="B3446" s="0" t="n">
        <v>20037</v>
      </c>
      <c r="C3446" s="0" t="s">
        <v>10390</v>
      </c>
      <c r="D3446" s="0" t="s">
        <v>15</v>
      </c>
      <c r="F3446" s="0" t="s">
        <v>18673</v>
      </c>
      <c r="G3446" s="0" t="s">
        <v>18674</v>
      </c>
    </row>
    <row r="3447" customFormat="false" ht="15" hidden="false" customHeight="false" outlineLevel="0" collapsed="false">
      <c r="A3447" s="0" t="n">
        <v>2427</v>
      </c>
      <c r="B3447" s="0" t="n">
        <v>20048</v>
      </c>
      <c r="C3447" s="0" t="s">
        <v>10414</v>
      </c>
      <c r="D3447" s="0" t="s">
        <v>15</v>
      </c>
      <c r="F3447" s="0" t="s">
        <v>18676</v>
      </c>
      <c r="G3447" s="0" t="s">
        <v>18674</v>
      </c>
    </row>
    <row r="3448" customFormat="false" ht="15" hidden="false" customHeight="false" outlineLevel="0" collapsed="false">
      <c r="A3448" s="0" t="n">
        <v>2445</v>
      </c>
      <c r="B3448" s="0" t="n">
        <v>20080</v>
      </c>
      <c r="C3448" s="0" t="s">
        <v>10483</v>
      </c>
      <c r="D3448" s="0" t="s">
        <v>15</v>
      </c>
      <c r="F3448" s="0" t="s">
        <v>18676</v>
      </c>
      <c r="G3448" s="0" t="s">
        <v>18674</v>
      </c>
    </row>
    <row r="3449" customFormat="false" ht="15" hidden="false" customHeight="false" outlineLevel="0" collapsed="false">
      <c r="A3449" s="0" t="n">
        <v>2471</v>
      </c>
      <c r="B3449" s="0" t="n">
        <v>20127</v>
      </c>
      <c r="C3449" s="0" t="s">
        <v>10599</v>
      </c>
      <c r="D3449" s="0" t="s">
        <v>15</v>
      </c>
      <c r="F3449" s="0" t="s">
        <v>18673</v>
      </c>
      <c r="G3449" s="0" t="s">
        <v>18674</v>
      </c>
    </row>
    <row r="3450" customFormat="false" ht="15" hidden="false" customHeight="false" outlineLevel="0" collapsed="false">
      <c r="A3450" s="0" t="n">
        <v>2472</v>
      </c>
      <c r="B3450" s="0" t="n">
        <v>20128</v>
      </c>
      <c r="C3450" s="0" t="s">
        <v>10603</v>
      </c>
      <c r="D3450" s="0" t="s">
        <v>15</v>
      </c>
      <c r="F3450" s="0" t="s">
        <v>18673</v>
      </c>
      <c r="G3450" s="0" t="s">
        <v>18674</v>
      </c>
    </row>
    <row r="3451" customFormat="false" ht="15" hidden="false" customHeight="false" outlineLevel="0" collapsed="false">
      <c r="A3451" s="0" t="n">
        <v>2473</v>
      </c>
      <c r="B3451" s="0" t="n">
        <v>20130</v>
      </c>
      <c r="C3451" s="0" t="s">
        <v>10607</v>
      </c>
      <c r="D3451" s="0" t="s">
        <v>15</v>
      </c>
      <c r="F3451" s="0" t="s">
        <v>18673</v>
      </c>
      <c r="G3451" s="0" t="s">
        <v>18674</v>
      </c>
    </row>
    <row r="3452" customFormat="false" ht="15" hidden="false" customHeight="false" outlineLevel="0" collapsed="false">
      <c r="A3452" s="0" t="n">
        <v>2474</v>
      </c>
      <c r="B3452" s="0" t="n">
        <v>20129</v>
      </c>
      <c r="C3452" s="0" t="s">
        <v>10612</v>
      </c>
      <c r="D3452" s="0" t="s">
        <v>15</v>
      </c>
      <c r="F3452" s="0" t="s">
        <v>18673</v>
      </c>
      <c r="G3452" s="0" t="s">
        <v>18674</v>
      </c>
    </row>
    <row r="3453" customFormat="false" ht="15" hidden="false" customHeight="false" outlineLevel="0" collapsed="false">
      <c r="A3453" s="0" t="n">
        <v>2475</v>
      </c>
      <c r="B3453" s="0" t="n">
        <v>20131</v>
      </c>
      <c r="C3453" s="0" t="s">
        <v>10617</v>
      </c>
      <c r="D3453" s="0" t="s">
        <v>15</v>
      </c>
      <c r="F3453" s="0" t="s">
        <v>18673</v>
      </c>
      <c r="G3453" s="0" t="s">
        <v>18674</v>
      </c>
    </row>
    <row r="3454" customFormat="false" ht="15" hidden="false" customHeight="false" outlineLevel="0" collapsed="false">
      <c r="A3454" s="0" t="n">
        <v>2512</v>
      </c>
      <c r="B3454" s="0" t="n">
        <v>20269</v>
      </c>
      <c r="C3454" s="0" t="s">
        <v>10779</v>
      </c>
      <c r="D3454" s="0" t="s">
        <v>15</v>
      </c>
      <c r="F3454" s="0" t="s">
        <v>18676</v>
      </c>
      <c r="G3454" s="0" t="s">
        <v>18674</v>
      </c>
    </row>
    <row r="3455" customFormat="false" ht="15" hidden="false" customHeight="false" outlineLevel="0" collapsed="false">
      <c r="A3455" s="0" t="n">
        <v>2517</v>
      </c>
      <c r="B3455" s="0" t="n">
        <v>20271</v>
      </c>
      <c r="C3455" s="0" t="s">
        <v>10798</v>
      </c>
      <c r="D3455" s="0" t="s">
        <v>15</v>
      </c>
      <c r="F3455" s="0" t="s">
        <v>18673</v>
      </c>
      <c r="G3455" s="0" t="s">
        <v>18674</v>
      </c>
    </row>
    <row r="3456" customFormat="false" ht="15" hidden="false" customHeight="false" outlineLevel="0" collapsed="false">
      <c r="A3456" s="0" t="n">
        <v>2518</v>
      </c>
      <c r="B3456" s="0" t="n">
        <v>20275</v>
      </c>
      <c r="C3456" s="0" t="s">
        <v>10804</v>
      </c>
      <c r="D3456" s="0" t="s">
        <v>15</v>
      </c>
      <c r="F3456" s="0" t="s">
        <v>18673</v>
      </c>
      <c r="G3456" s="0" t="s">
        <v>18674</v>
      </c>
    </row>
    <row r="3457" customFormat="false" ht="15" hidden="false" customHeight="false" outlineLevel="0" collapsed="false">
      <c r="A3457" s="0" t="n">
        <v>2550</v>
      </c>
      <c r="B3457" s="0" t="n">
        <v>20319</v>
      </c>
      <c r="C3457" s="0" t="s">
        <v>10935</v>
      </c>
      <c r="D3457" s="0" t="s">
        <v>15</v>
      </c>
      <c r="F3457" s="0" t="s">
        <v>18688</v>
      </c>
      <c r="G3457" s="0" t="s">
        <v>18674</v>
      </c>
    </row>
    <row r="3458" customFormat="false" ht="15" hidden="false" customHeight="false" outlineLevel="0" collapsed="false">
      <c r="A3458" s="0" t="n">
        <v>2592</v>
      </c>
      <c r="B3458" s="0" t="n">
        <v>20379</v>
      </c>
      <c r="C3458" s="0" t="s">
        <v>11095</v>
      </c>
      <c r="D3458" s="0" t="s">
        <v>15</v>
      </c>
      <c r="F3458" s="0" t="s">
        <v>18673</v>
      </c>
      <c r="G3458" s="0" t="s">
        <v>18674</v>
      </c>
    </row>
    <row r="3459" customFormat="false" ht="15" hidden="false" customHeight="false" outlineLevel="0" collapsed="false">
      <c r="A3459" s="0" t="n">
        <v>2593</v>
      </c>
      <c r="B3459" s="0" t="n">
        <v>20380</v>
      </c>
      <c r="C3459" s="0" t="s">
        <v>11099</v>
      </c>
      <c r="D3459" s="0" t="s">
        <v>15</v>
      </c>
      <c r="F3459" s="0" t="s">
        <v>18673</v>
      </c>
      <c r="G3459" s="0" t="s">
        <v>18674</v>
      </c>
    </row>
    <row r="3460" customFormat="false" ht="15" hidden="false" customHeight="false" outlineLevel="0" collapsed="false">
      <c r="A3460" s="0" t="n">
        <v>2594</v>
      </c>
      <c r="B3460" s="0" t="n">
        <v>20381</v>
      </c>
      <c r="C3460" s="0" t="s">
        <v>11103</v>
      </c>
      <c r="D3460" s="0" t="s">
        <v>15</v>
      </c>
      <c r="F3460" s="0" t="s">
        <v>18673</v>
      </c>
      <c r="G3460" s="0" t="s">
        <v>18674</v>
      </c>
    </row>
    <row r="3461" customFormat="false" ht="15" hidden="false" customHeight="false" outlineLevel="0" collapsed="false">
      <c r="A3461" s="0" t="n">
        <v>2599</v>
      </c>
      <c r="B3461" s="0" t="n">
        <v>20393</v>
      </c>
      <c r="C3461" s="0" t="s">
        <v>11122</v>
      </c>
      <c r="D3461" s="0" t="s">
        <v>15</v>
      </c>
      <c r="F3461" s="0" t="s">
        <v>18673</v>
      </c>
      <c r="G3461" s="0" t="s">
        <v>18674</v>
      </c>
    </row>
    <row r="3462" customFormat="false" ht="15" hidden="false" customHeight="false" outlineLevel="0" collapsed="false">
      <c r="A3462" s="0" t="n">
        <v>2604</v>
      </c>
      <c r="B3462" s="0" t="n">
        <v>20394</v>
      </c>
      <c r="C3462" s="0" t="s">
        <v>11143</v>
      </c>
      <c r="D3462" s="0" t="s">
        <v>15</v>
      </c>
      <c r="F3462" s="0" t="s">
        <v>18673</v>
      </c>
      <c r="G3462" s="0" t="s">
        <v>18674</v>
      </c>
    </row>
    <row r="3463" customFormat="false" ht="15" hidden="false" customHeight="false" outlineLevel="0" collapsed="false">
      <c r="A3463" s="0" t="n">
        <v>2605</v>
      </c>
      <c r="B3463" s="0" t="n">
        <v>20396</v>
      </c>
      <c r="C3463" s="0" t="s">
        <v>11147</v>
      </c>
      <c r="D3463" s="0" t="s">
        <v>15</v>
      </c>
      <c r="F3463" s="0" t="s">
        <v>18673</v>
      </c>
      <c r="G3463" s="0" t="s">
        <v>18674</v>
      </c>
    </row>
    <row r="3464" customFormat="false" ht="15" hidden="false" customHeight="false" outlineLevel="0" collapsed="false">
      <c r="A3464" s="0" t="n">
        <v>2606</v>
      </c>
      <c r="B3464" s="0" t="n">
        <v>20397</v>
      </c>
      <c r="C3464" s="0" t="s">
        <v>11151</v>
      </c>
      <c r="D3464" s="0" t="s">
        <v>15</v>
      </c>
      <c r="F3464" s="0" t="s">
        <v>18673</v>
      </c>
      <c r="G3464" s="0" t="s">
        <v>18674</v>
      </c>
    </row>
    <row r="3465" customFormat="false" ht="15" hidden="false" customHeight="false" outlineLevel="0" collapsed="false">
      <c r="A3465" s="0" t="n">
        <v>2607</v>
      </c>
      <c r="B3465" s="0" t="n">
        <v>20398</v>
      </c>
      <c r="C3465" s="0" t="s">
        <v>11155</v>
      </c>
      <c r="D3465" s="0" t="s">
        <v>15</v>
      </c>
      <c r="F3465" s="0" t="s">
        <v>18673</v>
      </c>
      <c r="G3465" s="0" t="s">
        <v>18674</v>
      </c>
    </row>
    <row r="3466" customFormat="false" ht="15" hidden="false" customHeight="false" outlineLevel="0" collapsed="false">
      <c r="A3466" s="0" t="n">
        <v>2609</v>
      </c>
      <c r="B3466" s="0" t="n">
        <v>20399</v>
      </c>
      <c r="C3466" s="0" t="s">
        <v>11164</v>
      </c>
      <c r="D3466" s="0" t="s">
        <v>15</v>
      </c>
      <c r="F3466" s="0" t="s">
        <v>18673</v>
      </c>
      <c r="G3466" s="0" t="s">
        <v>18674</v>
      </c>
    </row>
    <row r="3467" customFormat="false" ht="15" hidden="false" customHeight="false" outlineLevel="0" collapsed="false">
      <c r="A3467" s="0" t="n">
        <v>2627</v>
      </c>
      <c r="B3467" s="0" t="n">
        <v>20548</v>
      </c>
      <c r="C3467" s="0" t="s">
        <v>11245</v>
      </c>
      <c r="D3467" s="0" t="s">
        <v>15</v>
      </c>
      <c r="F3467" s="0" t="s">
        <v>18689</v>
      </c>
      <c r="G3467" s="0" t="s">
        <v>18674</v>
      </c>
    </row>
    <row r="3468" customFormat="false" ht="15" hidden="false" customHeight="false" outlineLevel="0" collapsed="false">
      <c r="A3468" s="0" t="n">
        <v>2631</v>
      </c>
      <c r="B3468" s="0" t="n">
        <v>20550</v>
      </c>
      <c r="C3468" s="0" t="s">
        <v>11260</v>
      </c>
      <c r="D3468" s="0" t="s">
        <v>15</v>
      </c>
      <c r="F3468" s="0" t="s">
        <v>18685</v>
      </c>
      <c r="G3468" s="0" t="s">
        <v>18674</v>
      </c>
    </row>
    <row r="3469" customFormat="false" ht="15" hidden="false" customHeight="false" outlineLevel="0" collapsed="false">
      <c r="A3469" s="0" t="n">
        <v>2632</v>
      </c>
      <c r="B3469" s="0" t="n">
        <v>20551</v>
      </c>
      <c r="C3469" s="0" t="s">
        <v>11265</v>
      </c>
      <c r="D3469" s="0" t="s">
        <v>15</v>
      </c>
      <c r="F3469" s="0" t="s">
        <v>18685</v>
      </c>
      <c r="G3469" s="0" t="s">
        <v>18674</v>
      </c>
    </row>
    <row r="3470" customFormat="false" ht="15" hidden="false" customHeight="false" outlineLevel="0" collapsed="false">
      <c r="A3470" s="0" t="n">
        <v>2634</v>
      </c>
      <c r="B3470" s="0" t="n">
        <v>20553</v>
      </c>
      <c r="C3470" s="0" t="s">
        <v>11272</v>
      </c>
      <c r="D3470" s="0" t="s">
        <v>15</v>
      </c>
      <c r="F3470" s="0" t="s">
        <v>18685</v>
      </c>
      <c r="G3470" s="0" t="s">
        <v>18674</v>
      </c>
    </row>
    <row r="3471" customFormat="false" ht="15" hidden="false" customHeight="false" outlineLevel="0" collapsed="false">
      <c r="A3471" s="0" t="n">
        <v>2635</v>
      </c>
      <c r="B3471" s="0" t="n">
        <v>20554</v>
      </c>
      <c r="C3471" s="0" t="s">
        <v>11275</v>
      </c>
      <c r="D3471" s="0" t="s">
        <v>15</v>
      </c>
      <c r="F3471" s="0" t="s">
        <v>18685</v>
      </c>
      <c r="G3471" s="0" t="s">
        <v>18674</v>
      </c>
    </row>
    <row r="3472" customFormat="false" ht="15" hidden="false" customHeight="false" outlineLevel="0" collapsed="false">
      <c r="A3472" s="0" t="n">
        <v>2636</v>
      </c>
      <c r="B3472" s="0" t="n">
        <v>20555</v>
      </c>
      <c r="C3472" s="0" t="s">
        <v>11279</v>
      </c>
      <c r="D3472" s="0" t="s">
        <v>15</v>
      </c>
      <c r="F3472" s="0" t="s">
        <v>18685</v>
      </c>
      <c r="G3472" s="0" t="s">
        <v>18674</v>
      </c>
    </row>
    <row r="3473" customFormat="false" ht="15" hidden="false" customHeight="false" outlineLevel="0" collapsed="false">
      <c r="A3473" s="0" t="n">
        <v>2637</v>
      </c>
      <c r="B3473" s="0" t="n">
        <v>20556</v>
      </c>
      <c r="C3473" s="0" t="s">
        <v>11282</v>
      </c>
      <c r="D3473" s="0" t="s">
        <v>15</v>
      </c>
      <c r="F3473" s="0" t="s">
        <v>18685</v>
      </c>
      <c r="G3473" s="0" t="s">
        <v>18674</v>
      </c>
    </row>
    <row r="3474" customFormat="false" ht="15" hidden="false" customHeight="false" outlineLevel="0" collapsed="false">
      <c r="A3474" s="0" t="n">
        <v>2638</v>
      </c>
      <c r="B3474" s="0" t="n">
        <v>20557</v>
      </c>
      <c r="C3474" s="0" t="s">
        <v>11286</v>
      </c>
      <c r="D3474" s="0" t="s">
        <v>15</v>
      </c>
      <c r="F3474" s="0" t="s">
        <v>18685</v>
      </c>
      <c r="G3474" s="0" t="s">
        <v>18674</v>
      </c>
    </row>
    <row r="3475" customFormat="false" ht="15" hidden="false" customHeight="false" outlineLevel="0" collapsed="false">
      <c r="A3475" s="0" t="n">
        <v>2639</v>
      </c>
      <c r="B3475" s="0" t="n">
        <v>20558</v>
      </c>
      <c r="C3475" s="0" t="s">
        <v>3593</v>
      </c>
      <c r="D3475" s="0" t="s">
        <v>15</v>
      </c>
      <c r="F3475" s="0" t="s">
        <v>18685</v>
      </c>
      <c r="G3475" s="0" t="s">
        <v>18674</v>
      </c>
    </row>
    <row r="3476" customFormat="false" ht="15" hidden="false" customHeight="false" outlineLevel="0" collapsed="false">
      <c r="A3476" s="0" t="n">
        <v>2649</v>
      </c>
      <c r="B3476" s="0" t="n">
        <v>20579</v>
      </c>
      <c r="C3476" s="0" t="s">
        <v>11327</v>
      </c>
      <c r="D3476" s="0" t="s">
        <v>15</v>
      </c>
      <c r="F3476" s="0" t="s">
        <v>18686</v>
      </c>
      <c r="G3476" s="0" t="s">
        <v>18674</v>
      </c>
    </row>
    <row r="3477" customFormat="false" ht="15" hidden="false" customHeight="false" outlineLevel="0" collapsed="false">
      <c r="A3477" s="0" t="n">
        <v>2653</v>
      </c>
      <c r="B3477" s="0" t="n">
        <v>20581</v>
      </c>
      <c r="C3477" s="0" t="s">
        <v>11341</v>
      </c>
      <c r="D3477" s="0" t="s">
        <v>15</v>
      </c>
      <c r="F3477" s="0" t="s">
        <v>18676</v>
      </c>
      <c r="G3477" s="0" t="s">
        <v>18674</v>
      </c>
    </row>
    <row r="3478" customFormat="false" ht="15" hidden="false" customHeight="false" outlineLevel="0" collapsed="false">
      <c r="A3478" s="0" t="n">
        <v>2670</v>
      </c>
      <c r="B3478" s="0" t="n">
        <v>20629</v>
      </c>
      <c r="C3478" s="0" t="s">
        <v>11397</v>
      </c>
      <c r="D3478" s="0" t="s">
        <v>15</v>
      </c>
      <c r="F3478" s="0" t="s">
        <v>18673</v>
      </c>
      <c r="G3478" s="0" t="s">
        <v>18674</v>
      </c>
    </row>
    <row r="3479" customFormat="false" ht="15" hidden="false" customHeight="false" outlineLevel="0" collapsed="false">
      <c r="A3479" s="0" t="n">
        <v>2671</v>
      </c>
      <c r="B3479" s="0" t="n">
        <v>20630</v>
      </c>
      <c r="C3479" s="0" t="s">
        <v>11400</v>
      </c>
      <c r="D3479" s="0" t="s">
        <v>15</v>
      </c>
      <c r="F3479" s="0" t="s">
        <v>18673</v>
      </c>
      <c r="G3479" s="0" t="s">
        <v>18674</v>
      </c>
    </row>
    <row r="3480" customFormat="false" ht="15" hidden="false" customHeight="false" outlineLevel="0" collapsed="false">
      <c r="A3480" s="0" t="n">
        <v>2679</v>
      </c>
      <c r="B3480" s="0" t="n">
        <v>20642</v>
      </c>
      <c r="C3480" s="0" t="s">
        <v>11428</v>
      </c>
      <c r="D3480" s="0" t="s">
        <v>15</v>
      </c>
      <c r="F3480" s="0" t="s">
        <v>18673</v>
      </c>
      <c r="G3480" s="0" t="s">
        <v>18674</v>
      </c>
    </row>
    <row r="3481" customFormat="false" ht="15" hidden="false" customHeight="false" outlineLevel="0" collapsed="false">
      <c r="A3481" s="0" t="n">
        <v>2707</v>
      </c>
      <c r="B3481" s="0" t="n">
        <v>20808</v>
      </c>
      <c r="C3481" s="0" t="s">
        <v>11530</v>
      </c>
      <c r="D3481" s="0" t="s">
        <v>15</v>
      </c>
      <c r="F3481" s="0" t="s">
        <v>18690</v>
      </c>
      <c r="G3481" s="0" t="s">
        <v>18674</v>
      </c>
    </row>
    <row r="3482" customFormat="false" ht="15" hidden="false" customHeight="false" outlineLevel="0" collapsed="false">
      <c r="A3482" s="0" t="n">
        <v>2709</v>
      </c>
      <c r="B3482" s="0" t="n">
        <v>20810</v>
      </c>
      <c r="C3482" s="0" t="s">
        <v>11538</v>
      </c>
      <c r="D3482" s="0" t="s">
        <v>15</v>
      </c>
      <c r="F3482" s="0" t="s">
        <v>18690</v>
      </c>
      <c r="G3482" s="0" t="s">
        <v>18674</v>
      </c>
    </row>
    <row r="3483" customFormat="false" ht="15" hidden="false" customHeight="false" outlineLevel="0" collapsed="false">
      <c r="A3483" s="0" t="n">
        <v>2711</v>
      </c>
      <c r="B3483" s="0" t="n">
        <v>20812</v>
      </c>
      <c r="C3483" s="0" t="s">
        <v>11545</v>
      </c>
      <c r="D3483" s="0" t="s">
        <v>15</v>
      </c>
      <c r="F3483" s="0" t="s">
        <v>18690</v>
      </c>
      <c r="G3483" s="0" t="s">
        <v>18674</v>
      </c>
    </row>
    <row r="3484" customFormat="false" ht="15" hidden="false" customHeight="false" outlineLevel="0" collapsed="false">
      <c r="A3484" s="0" t="n">
        <v>2725</v>
      </c>
      <c r="B3484" s="0" t="n">
        <v>20863</v>
      </c>
      <c r="C3484" s="0" t="s">
        <v>11600</v>
      </c>
      <c r="D3484" s="0" t="s">
        <v>15</v>
      </c>
      <c r="F3484" s="0" t="s">
        <v>18673</v>
      </c>
      <c r="G3484" s="0" t="s">
        <v>18674</v>
      </c>
    </row>
    <row r="3485" customFormat="false" ht="15" hidden="false" customHeight="false" outlineLevel="0" collapsed="false">
      <c r="A3485" s="0" t="n">
        <v>2726</v>
      </c>
      <c r="B3485" s="0" t="n">
        <v>20864</v>
      </c>
      <c r="C3485" s="0" t="s">
        <v>11603</v>
      </c>
      <c r="D3485" s="0" t="s">
        <v>15</v>
      </c>
      <c r="F3485" s="0" t="s">
        <v>18673</v>
      </c>
      <c r="G3485" s="0" t="s">
        <v>18674</v>
      </c>
    </row>
    <row r="3486" customFormat="false" ht="15" hidden="false" customHeight="false" outlineLevel="0" collapsed="false">
      <c r="A3486" s="0" t="n">
        <v>2727</v>
      </c>
      <c r="B3486" s="0" t="n">
        <v>20865</v>
      </c>
      <c r="C3486" s="0" t="s">
        <v>11607</v>
      </c>
      <c r="D3486" s="0" t="s">
        <v>15</v>
      </c>
      <c r="F3486" s="0" t="s">
        <v>18673</v>
      </c>
      <c r="G3486" s="0" t="s">
        <v>18674</v>
      </c>
    </row>
    <row r="3487" customFormat="false" ht="15" hidden="false" customHeight="false" outlineLevel="0" collapsed="false">
      <c r="A3487" s="0" t="n">
        <v>2730</v>
      </c>
      <c r="B3487" s="0" t="n">
        <v>20868</v>
      </c>
      <c r="C3487" s="0" t="s">
        <v>11619</v>
      </c>
      <c r="D3487" s="0" t="s">
        <v>15</v>
      </c>
      <c r="F3487" s="0" t="s">
        <v>18691</v>
      </c>
      <c r="G3487" s="0" t="s">
        <v>18674</v>
      </c>
    </row>
    <row r="3488" customFormat="false" ht="15" hidden="false" customHeight="false" outlineLevel="0" collapsed="false">
      <c r="A3488" s="0" t="n">
        <v>2731</v>
      </c>
      <c r="B3488" s="0" t="n">
        <v>20869</v>
      </c>
      <c r="C3488" s="0" t="s">
        <v>11624</v>
      </c>
      <c r="D3488" s="0" t="s">
        <v>15</v>
      </c>
      <c r="F3488" s="0" t="s">
        <v>18691</v>
      </c>
      <c r="G3488" s="0" t="s">
        <v>18674</v>
      </c>
    </row>
    <row r="3489" customFormat="false" ht="15" hidden="false" customHeight="false" outlineLevel="0" collapsed="false">
      <c r="A3489" s="0" t="n">
        <v>2732</v>
      </c>
      <c r="B3489" s="0" t="n">
        <v>20870</v>
      </c>
      <c r="C3489" s="0" t="s">
        <v>11628</v>
      </c>
      <c r="D3489" s="0" t="s">
        <v>15</v>
      </c>
      <c r="F3489" s="0" t="s">
        <v>18691</v>
      </c>
      <c r="G3489" s="0" t="s">
        <v>18674</v>
      </c>
    </row>
    <row r="3490" customFormat="false" ht="15" hidden="false" customHeight="false" outlineLevel="0" collapsed="false">
      <c r="A3490" s="0" t="n">
        <v>2733</v>
      </c>
      <c r="B3490" s="0" t="n">
        <v>20871</v>
      </c>
      <c r="C3490" s="0" t="s">
        <v>11632</v>
      </c>
      <c r="D3490" s="0" t="s">
        <v>15</v>
      </c>
      <c r="F3490" s="0" t="s">
        <v>18691</v>
      </c>
      <c r="G3490" s="0" t="s">
        <v>18674</v>
      </c>
    </row>
    <row r="3491" customFormat="false" ht="15" hidden="false" customHeight="false" outlineLevel="0" collapsed="false">
      <c r="A3491" s="0" t="n">
        <v>2734</v>
      </c>
      <c r="B3491" s="0" t="n">
        <v>20872</v>
      </c>
      <c r="C3491" s="0" t="s">
        <v>11635</v>
      </c>
      <c r="D3491" s="0" t="s">
        <v>15</v>
      </c>
      <c r="F3491" s="0" t="s">
        <v>18691</v>
      </c>
      <c r="G3491" s="0" t="s">
        <v>18674</v>
      </c>
    </row>
    <row r="3492" customFormat="false" ht="15" hidden="false" customHeight="false" outlineLevel="0" collapsed="false">
      <c r="A3492" s="0" t="n">
        <v>2735</v>
      </c>
      <c r="B3492" s="0" t="n">
        <v>20873</v>
      </c>
      <c r="C3492" s="0" t="s">
        <v>11639</v>
      </c>
      <c r="D3492" s="0" t="s">
        <v>15</v>
      </c>
      <c r="F3492" s="0" t="s">
        <v>18691</v>
      </c>
      <c r="G3492" s="0" t="s">
        <v>18674</v>
      </c>
    </row>
    <row r="3493" customFormat="false" ht="15" hidden="false" customHeight="false" outlineLevel="0" collapsed="false">
      <c r="A3493" s="0" t="n">
        <v>2736</v>
      </c>
      <c r="B3493" s="0" t="n">
        <v>20874</v>
      </c>
      <c r="C3493" s="0" t="s">
        <v>11643</v>
      </c>
      <c r="D3493" s="0" t="s">
        <v>15</v>
      </c>
      <c r="F3493" s="0" t="s">
        <v>18691</v>
      </c>
      <c r="G3493" s="0" t="s">
        <v>18674</v>
      </c>
    </row>
    <row r="3494" customFormat="false" ht="15" hidden="false" customHeight="false" outlineLevel="0" collapsed="false">
      <c r="A3494" s="0" t="n">
        <v>2737</v>
      </c>
      <c r="B3494" s="0" t="n">
        <v>20875</v>
      </c>
      <c r="C3494" s="0" t="s">
        <v>11646</v>
      </c>
      <c r="D3494" s="0" t="s">
        <v>15</v>
      </c>
      <c r="F3494" s="0" t="s">
        <v>18691</v>
      </c>
      <c r="G3494" s="0" t="s">
        <v>18674</v>
      </c>
    </row>
    <row r="3495" customFormat="false" ht="15" hidden="false" customHeight="false" outlineLevel="0" collapsed="false">
      <c r="A3495" s="0" t="n">
        <v>2738</v>
      </c>
      <c r="B3495" s="0" t="n">
        <v>20876</v>
      </c>
      <c r="C3495" s="0" t="s">
        <v>7692</v>
      </c>
      <c r="D3495" s="0" t="s">
        <v>15</v>
      </c>
      <c r="F3495" s="0" t="s">
        <v>18691</v>
      </c>
      <c r="G3495" s="0" t="s">
        <v>18674</v>
      </c>
    </row>
    <row r="3496" customFormat="false" ht="15" hidden="false" customHeight="false" outlineLevel="0" collapsed="false">
      <c r="A3496" s="0" t="n">
        <v>2739</v>
      </c>
      <c r="B3496" s="0" t="n">
        <v>20877</v>
      </c>
      <c r="C3496" s="0" t="s">
        <v>11651</v>
      </c>
      <c r="D3496" s="0" t="s">
        <v>15</v>
      </c>
      <c r="F3496" s="0" t="s">
        <v>18692</v>
      </c>
      <c r="G3496" s="0" t="s">
        <v>18674</v>
      </c>
    </row>
    <row r="3497" customFormat="false" ht="15" hidden="false" customHeight="false" outlineLevel="0" collapsed="false">
      <c r="A3497" s="0" t="n">
        <v>2740</v>
      </c>
      <c r="B3497" s="0" t="n">
        <v>20878</v>
      </c>
      <c r="C3497" s="0" t="s">
        <v>11655</v>
      </c>
      <c r="D3497" s="0" t="s">
        <v>15</v>
      </c>
      <c r="F3497" s="0" t="s">
        <v>18691</v>
      </c>
      <c r="G3497" s="0" t="s">
        <v>18674</v>
      </c>
    </row>
    <row r="3498" customFormat="false" ht="15" hidden="false" customHeight="false" outlineLevel="0" collapsed="false">
      <c r="A3498" s="0" t="n">
        <v>2741</v>
      </c>
      <c r="B3498" s="0" t="n">
        <v>20879</v>
      </c>
      <c r="C3498" s="0" t="s">
        <v>11658</v>
      </c>
      <c r="D3498" s="0" t="s">
        <v>15</v>
      </c>
      <c r="F3498" s="0" t="s">
        <v>18691</v>
      </c>
      <c r="G3498" s="0" t="s">
        <v>18674</v>
      </c>
    </row>
    <row r="3499" customFormat="false" ht="15" hidden="false" customHeight="false" outlineLevel="0" collapsed="false">
      <c r="A3499" s="0" t="n">
        <v>2742</v>
      </c>
      <c r="B3499" s="0" t="n">
        <v>20881</v>
      </c>
      <c r="C3499" s="0" t="s">
        <v>11662</v>
      </c>
      <c r="D3499" s="0" t="s">
        <v>15</v>
      </c>
      <c r="F3499" s="0" t="s">
        <v>18691</v>
      </c>
      <c r="G3499" s="0" t="s">
        <v>18674</v>
      </c>
    </row>
    <row r="3500" customFormat="false" ht="15" hidden="false" customHeight="false" outlineLevel="0" collapsed="false">
      <c r="A3500" s="0" t="n">
        <v>2743</v>
      </c>
      <c r="B3500" s="0" t="n">
        <v>20882</v>
      </c>
      <c r="C3500" s="0" t="s">
        <v>11666</v>
      </c>
      <c r="D3500" s="0" t="s">
        <v>15</v>
      </c>
      <c r="F3500" s="0" t="s">
        <v>18691</v>
      </c>
      <c r="G3500" s="0" t="s">
        <v>18674</v>
      </c>
    </row>
    <row r="3501" customFormat="false" ht="15" hidden="false" customHeight="false" outlineLevel="0" collapsed="false">
      <c r="A3501" s="0" t="n">
        <v>2744</v>
      </c>
      <c r="B3501" s="0" t="n">
        <v>20884</v>
      </c>
      <c r="C3501" s="0" t="s">
        <v>11669</v>
      </c>
      <c r="D3501" s="0" t="s">
        <v>15</v>
      </c>
      <c r="F3501" s="0" t="s">
        <v>18691</v>
      </c>
      <c r="G3501" s="0" t="s">
        <v>18674</v>
      </c>
    </row>
    <row r="3502" customFormat="false" ht="15" hidden="false" customHeight="false" outlineLevel="0" collapsed="false">
      <c r="A3502" s="0" t="n">
        <v>2745</v>
      </c>
      <c r="B3502" s="0" t="n">
        <v>20885</v>
      </c>
      <c r="C3502" s="0" t="s">
        <v>11673</v>
      </c>
      <c r="D3502" s="0" t="s">
        <v>15</v>
      </c>
      <c r="F3502" s="0" t="s">
        <v>18691</v>
      </c>
      <c r="G3502" s="0" t="s">
        <v>18674</v>
      </c>
    </row>
    <row r="3503" customFormat="false" ht="15" hidden="false" customHeight="false" outlineLevel="0" collapsed="false">
      <c r="A3503" s="0" t="n">
        <v>2746</v>
      </c>
      <c r="B3503" s="0" t="n">
        <v>20886</v>
      </c>
      <c r="C3503" s="0" t="s">
        <v>11676</v>
      </c>
      <c r="D3503" s="0" t="s">
        <v>15</v>
      </c>
      <c r="F3503" s="0" t="s">
        <v>18691</v>
      </c>
      <c r="G3503" s="0" t="s">
        <v>18674</v>
      </c>
    </row>
    <row r="3504" customFormat="false" ht="15" hidden="false" customHeight="false" outlineLevel="0" collapsed="false">
      <c r="A3504" s="0" t="n">
        <v>2747</v>
      </c>
      <c r="B3504" s="0" t="n">
        <v>20887</v>
      </c>
      <c r="C3504" s="0" t="s">
        <v>11678</v>
      </c>
      <c r="D3504" s="0" t="s">
        <v>15</v>
      </c>
      <c r="F3504" s="0" t="s">
        <v>18691</v>
      </c>
      <c r="G3504" s="0" t="s">
        <v>18674</v>
      </c>
    </row>
    <row r="3505" customFormat="false" ht="15" hidden="false" customHeight="false" outlineLevel="0" collapsed="false">
      <c r="A3505" s="0" t="n">
        <v>2748</v>
      </c>
      <c r="B3505" s="0" t="n">
        <v>20888</v>
      </c>
      <c r="C3505" s="0" t="s">
        <v>11682</v>
      </c>
      <c r="D3505" s="0" t="s">
        <v>15</v>
      </c>
      <c r="F3505" s="0" t="s">
        <v>18691</v>
      </c>
      <c r="G3505" s="0" t="s">
        <v>18674</v>
      </c>
    </row>
    <row r="3506" customFormat="false" ht="15" hidden="false" customHeight="false" outlineLevel="0" collapsed="false">
      <c r="A3506" s="0" t="n">
        <v>2749</v>
      </c>
      <c r="B3506" s="0" t="n">
        <v>20889</v>
      </c>
      <c r="C3506" s="0" t="s">
        <v>11686</v>
      </c>
      <c r="D3506" s="0" t="s">
        <v>15</v>
      </c>
      <c r="F3506" s="0" t="s">
        <v>18691</v>
      </c>
      <c r="G3506" s="0" t="s">
        <v>18674</v>
      </c>
    </row>
    <row r="3507" customFormat="false" ht="15" hidden="false" customHeight="false" outlineLevel="0" collapsed="false">
      <c r="A3507" s="0" t="n">
        <v>2750</v>
      </c>
      <c r="B3507" s="0" t="n">
        <v>20890</v>
      </c>
      <c r="C3507" s="0" t="s">
        <v>11689</v>
      </c>
      <c r="D3507" s="0" t="s">
        <v>15</v>
      </c>
      <c r="F3507" s="0" t="s">
        <v>18691</v>
      </c>
      <c r="G3507" s="0" t="s">
        <v>18674</v>
      </c>
    </row>
    <row r="3508" customFormat="false" ht="15" hidden="false" customHeight="false" outlineLevel="0" collapsed="false">
      <c r="A3508" s="0" t="n">
        <v>2751</v>
      </c>
      <c r="B3508" s="0" t="n">
        <v>20891</v>
      </c>
      <c r="C3508" s="0" t="s">
        <v>11692</v>
      </c>
      <c r="D3508" s="0" t="s">
        <v>15</v>
      </c>
      <c r="F3508" s="0" t="s">
        <v>18691</v>
      </c>
      <c r="G3508" s="0" t="s">
        <v>18674</v>
      </c>
    </row>
    <row r="3509" customFormat="false" ht="15" hidden="false" customHeight="false" outlineLevel="0" collapsed="false">
      <c r="A3509" s="0" t="n">
        <v>2752</v>
      </c>
      <c r="B3509" s="0" t="n">
        <v>20892</v>
      </c>
      <c r="C3509" s="0" t="s">
        <v>2348</v>
      </c>
      <c r="D3509" s="0" t="s">
        <v>15</v>
      </c>
      <c r="F3509" s="0" t="s">
        <v>18691</v>
      </c>
      <c r="G3509" s="0" t="s">
        <v>18674</v>
      </c>
    </row>
    <row r="3510" customFormat="false" ht="15" hidden="false" customHeight="false" outlineLevel="0" collapsed="false">
      <c r="A3510" s="0" t="n">
        <v>2753</v>
      </c>
      <c r="B3510" s="0" t="n">
        <v>20893</v>
      </c>
      <c r="C3510" s="0" t="s">
        <v>11697</v>
      </c>
      <c r="D3510" s="0" t="s">
        <v>15</v>
      </c>
      <c r="F3510" s="0" t="s">
        <v>18691</v>
      </c>
      <c r="G3510" s="0" t="s">
        <v>18674</v>
      </c>
    </row>
    <row r="3511" customFormat="false" ht="15" hidden="false" customHeight="false" outlineLevel="0" collapsed="false">
      <c r="A3511" s="0" t="n">
        <v>2754</v>
      </c>
      <c r="B3511" s="0" t="n">
        <v>20894</v>
      </c>
      <c r="C3511" s="0" t="s">
        <v>11701</v>
      </c>
      <c r="D3511" s="0" t="s">
        <v>15</v>
      </c>
      <c r="F3511" s="0" t="s">
        <v>18691</v>
      </c>
      <c r="G3511" s="0" t="s">
        <v>18674</v>
      </c>
    </row>
    <row r="3512" customFormat="false" ht="15" hidden="false" customHeight="false" outlineLevel="0" collapsed="false">
      <c r="A3512" s="0" t="n">
        <v>2755</v>
      </c>
      <c r="B3512" s="0" t="n">
        <v>20895</v>
      </c>
      <c r="C3512" s="0" t="s">
        <v>11704</v>
      </c>
      <c r="D3512" s="0" t="s">
        <v>15</v>
      </c>
      <c r="F3512" s="0" t="s">
        <v>18691</v>
      </c>
      <c r="G3512" s="0" t="s">
        <v>18674</v>
      </c>
    </row>
    <row r="3513" customFormat="false" ht="15" hidden="false" customHeight="false" outlineLevel="0" collapsed="false">
      <c r="A3513" s="0" t="n">
        <v>2756</v>
      </c>
      <c r="B3513" s="0" t="n">
        <v>20896</v>
      </c>
      <c r="C3513" s="0" t="s">
        <v>11708</v>
      </c>
      <c r="D3513" s="0" t="s">
        <v>15</v>
      </c>
      <c r="F3513" s="0" t="s">
        <v>18691</v>
      </c>
      <c r="G3513" s="0" t="s">
        <v>18674</v>
      </c>
    </row>
    <row r="3514" customFormat="false" ht="15" hidden="false" customHeight="false" outlineLevel="0" collapsed="false">
      <c r="A3514" s="0" t="n">
        <v>2757</v>
      </c>
      <c r="B3514" s="0" t="n">
        <v>20897</v>
      </c>
      <c r="C3514" s="0" t="s">
        <v>11713</v>
      </c>
      <c r="D3514" s="0" t="s">
        <v>15</v>
      </c>
      <c r="F3514" s="0" t="s">
        <v>18691</v>
      </c>
      <c r="G3514" s="0" t="s">
        <v>18674</v>
      </c>
    </row>
    <row r="3515" customFormat="false" ht="15" hidden="false" customHeight="false" outlineLevel="0" collapsed="false">
      <c r="A3515" s="0" t="n">
        <v>2759</v>
      </c>
      <c r="B3515" s="0" t="n">
        <v>20899</v>
      </c>
      <c r="C3515" s="0" t="s">
        <v>11719</v>
      </c>
      <c r="D3515" s="0" t="s">
        <v>15</v>
      </c>
      <c r="F3515" s="0" t="s">
        <v>18673</v>
      </c>
      <c r="G3515" s="0" t="s">
        <v>18674</v>
      </c>
    </row>
    <row r="3516" customFormat="false" ht="15" hidden="false" customHeight="false" outlineLevel="0" collapsed="false">
      <c r="A3516" s="0" t="n">
        <v>2760</v>
      </c>
      <c r="B3516" s="0" t="n">
        <v>20900</v>
      </c>
      <c r="C3516" s="0" t="s">
        <v>11722</v>
      </c>
      <c r="D3516" s="0" t="s">
        <v>15</v>
      </c>
      <c r="F3516" s="0" t="s">
        <v>18673</v>
      </c>
      <c r="G3516" s="0" t="s">
        <v>18674</v>
      </c>
    </row>
    <row r="3517" customFormat="false" ht="15" hidden="false" customHeight="false" outlineLevel="0" collapsed="false">
      <c r="A3517" s="0" t="n">
        <v>2761</v>
      </c>
      <c r="B3517" s="0" t="n">
        <v>20901</v>
      </c>
      <c r="C3517" s="0" t="s">
        <v>11727</v>
      </c>
      <c r="D3517" s="0" t="s">
        <v>15</v>
      </c>
      <c r="F3517" s="0" t="s">
        <v>18673</v>
      </c>
      <c r="G3517" s="0" t="s">
        <v>18674</v>
      </c>
    </row>
    <row r="3518" customFormat="false" ht="15" hidden="false" customHeight="false" outlineLevel="0" collapsed="false">
      <c r="A3518" s="0" t="n">
        <v>2762</v>
      </c>
      <c r="B3518" s="0" t="n">
        <v>20902</v>
      </c>
      <c r="C3518" s="0" t="s">
        <v>11730</v>
      </c>
      <c r="D3518" s="0" t="s">
        <v>15</v>
      </c>
      <c r="F3518" s="0" t="s">
        <v>18692</v>
      </c>
      <c r="G3518" s="0" t="s">
        <v>18674</v>
      </c>
    </row>
    <row r="3519" customFormat="false" ht="15" hidden="false" customHeight="false" outlineLevel="0" collapsed="false">
      <c r="A3519" s="0" t="n">
        <v>2763</v>
      </c>
      <c r="B3519" s="0" t="n">
        <v>20912</v>
      </c>
      <c r="C3519" s="0" t="s">
        <v>11733</v>
      </c>
      <c r="D3519" s="0" t="s">
        <v>15</v>
      </c>
      <c r="F3519" s="0" t="s">
        <v>18673</v>
      </c>
      <c r="G3519" s="0" t="s">
        <v>18674</v>
      </c>
    </row>
    <row r="3520" customFormat="false" ht="15" hidden="false" customHeight="false" outlineLevel="0" collapsed="false">
      <c r="A3520" s="0" t="n">
        <v>2764</v>
      </c>
      <c r="B3520" s="0" t="n">
        <v>20913</v>
      </c>
      <c r="C3520" s="0" t="s">
        <v>11736</v>
      </c>
      <c r="D3520" s="0" t="s">
        <v>15</v>
      </c>
      <c r="F3520" s="0" t="s">
        <v>18673</v>
      </c>
      <c r="G3520" s="0" t="s">
        <v>18674</v>
      </c>
    </row>
    <row r="3521" customFormat="false" ht="15" hidden="false" customHeight="false" outlineLevel="0" collapsed="false">
      <c r="A3521" s="0" t="n">
        <v>2765</v>
      </c>
      <c r="B3521" s="0" t="n">
        <v>20914</v>
      </c>
      <c r="C3521" s="0" t="s">
        <v>11739</v>
      </c>
      <c r="D3521" s="0" t="s">
        <v>15</v>
      </c>
      <c r="F3521" s="0" t="s">
        <v>18673</v>
      </c>
      <c r="G3521" s="0" t="s">
        <v>18674</v>
      </c>
    </row>
    <row r="3522" customFormat="false" ht="15" hidden="false" customHeight="false" outlineLevel="0" collapsed="false">
      <c r="A3522" s="0" t="n">
        <v>2770</v>
      </c>
      <c r="B3522" s="0" t="n">
        <v>20954</v>
      </c>
      <c r="C3522" s="0" t="s">
        <v>11757</v>
      </c>
      <c r="D3522" s="0" t="s">
        <v>15</v>
      </c>
      <c r="F3522" s="0" t="s">
        <v>18673</v>
      </c>
      <c r="G3522" s="0" t="s">
        <v>18674</v>
      </c>
    </row>
    <row r="3523" customFormat="false" ht="15" hidden="false" customHeight="false" outlineLevel="0" collapsed="false">
      <c r="A3523" s="0" t="n">
        <v>2785</v>
      </c>
      <c r="B3523" s="0" t="n">
        <v>20981</v>
      </c>
      <c r="C3523" s="0" t="s">
        <v>11816</v>
      </c>
      <c r="D3523" s="0" t="s">
        <v>15</v>
      </c>
      <c r="F3523" s="0" t="s">
        <v>18693</v>
      </c>
      <c r="G3523" s="0" t="s">
        <v>18674</v>
      </c>
    </row>
    <row r="3524" customFormat="false" ht="15" hidden="false" customHeight="false" outlineLevel="0" collapsed="false">
      <c r="A3524" s="0" t="n">
        <v>2790</v>
      </c>
      <c r="B3524" s="0" t="n">
        <v>20996</v>
      </c>
      <c r="C3524" s="0" t="s">
        <v>11835</v>
      </c>
      <c r="D3524" s="0" t="s">
        <v>15</v>
      </c>
      <c r="F3524" s="0" t="s">
        <v>18690</v>
      </c>
      <c r="G3524" s="0" t="s">
        <v>18674</v>
      </c>
    </row>
    <row r="3525" customFormat="false" ht="15" hidden="false" customHeight="false" outlineLevel="0" collapsed="false">
      <c r="A3525" s="0" t="n">
        <v>2791</v>
      </c>
      <c r="B3525" s="0" t="n">
        <v>21004</v>
      </c>
      <c r="C3525" s="0" t="s">
        <v>11839</v>
      </c>
      <c r="D3525" s="0" t="s">
        <v>15</v>
      </c>
      <c r="F3525" s="0" t="s">
        <v>18673</v>
      </c>
      <c r="G3525" s="0" t="s">
        <v>18674</v>
      </c>
    </row>
    <row r="3526" customFormat="false" ht="15" hidden="false" customHeight="false" outlineLevel="0" collapsed="false">
      <c r="A3526" s="0" t="n">
        <v>2792</v>
      </c>
      <c r="B3526" s="0" t="n">
        <v>21005</v>
      </c>
      <c r="C3526" s="0" t="s">
        <v>11842</v>
      </c>
      <c r="D3526" s="0" t="s">
        <v>15</v>
      </c>
      <c r="F3526" s="0" t="s">
        <v>18673</v>
      </c>
      <c r="G3526" s="0" t="s">
        <v>18674</v>
      </c>
    </row>
    <row r="3527" customFormat="false" ht="15" hidden="false" customHeight="false" outlineLevel="0" collapsed="false">
      <c r="A3527" s="0" t="n">
        <v>2793</v>
      </c>
      <c r="B3527" s="0" t="n">
        <v>21006</v>
      </c>
      <c r="C3527" s="0" t="s">
        <v>11845</v>
      </c>
      <c r="D3527" s="0" t="s">
        <v>15</v>
      </c>
      <c r="F3527" s="0" t="s">
        <v>18673</v>
      </c>
      <c r="G3527" s="0" t="s">
        <v>18674</v>
      </c>
    </row>
    <row r="3528" customFormat="false" ht="15" hidden="false" customHeight="false" outlineLevel="0" collapsed="false">
      <c r="A3528" s="0" t="n">
        <v>2794</v>
      </c>
      <c r="B3528" s="0" t="n">
        <v>21007</v>
      </c>
      <c r="C3528" s="0" t="s">
        <v>11848</v>
      </c>
      <c r="D3528" s="0" t="s">
        <v>15</v>
      </c>
      <c r="F3528" s="0" t="s">
        <v>18673</v>
      </c>
      <c r="G3528" s="0" t="s">
        <v>18674</v>
      </c>
    </row>
    <row r="3529" customFormat="false" ht="15" hidden="false" customHeight="false" outlineLevel="0" collapsed="false">
      <c r="A3529" s="0" t="n">
        <v>2795</v>
      </c>
      <c r="B3529" s="0" t="n">
        <v>21008</v>
      </c>
      <c r="C3529" s="0" t="s">
        <v>11851</v>
      </c>
      <c r="D3529" s="0" t="s">
        <v>15</v>
      </c>
      <c r="F3529" s="0" t="s">
        <v>18673</v>
      </c>
      <c r="G3529" s="0" t="s">
        <v>18674</v>
      </c>
    </row>
    <row r="3530" customFormat="false" ht="15" hidden="false" customHeight="false" outlineLevel="0" collapsed="false">
      <c r="A3530" s="0" t="n">
        <v>2797</v>
      </c>
      <c r="B3530" s="0" t="n">
        <v>21026</v>
      </c>
      <c r="C3530" s="0" t="s">
        <v>11857</v>
      </c>
      <c r="D3530" s="0" t="s">
        <v>15</v>
      </c>
      <c r="F3530" s="0" t="s">
        <v>18673</v>
      </c>
      <c r="G3530" s="0" t="s">
        <v>18674</v>
      </c>
    </row>
    <row r="3531" customFormat="false" ht="15" hidden="false" customHeight="false" outlineLevel="0" collapsed="false">
      <c r="A3531" s="0" t="n">
        <v>2798</v>
      </c>
      <c r="B3531" s="0" t="n">
        <v>21027</v>
      </c>
      <c r="C3531" s="0" t="s">
        <v>11860</v>
      </c>
      <c r="D3531" s="0" t="s">
        <v>15</v>
      </c>
      <c r="F3531" s="0" t="s">
        <v>18673</v>
      </c>
      <c r="G3531" s="0" t="s">
        <v>18674</v>
      </c>
    </row>
    <row r="3532" customFormat="false" ht="15" hidden="false" customHeight="false" outlineLevel="0" collapsed="false">
      <c r="A3532" s="0" t="n">
        <v>2819</v>
      </c>
      <c r="B3532" s="0" t="n">
        <v>21132</v>
      </c>
      <c r="C3532" s="0" t="s">
        <v>11942</v>
      </c>
      <c r="D3532" s="0" t="s">
        <v>15</v>
      </c>
      <c r="F3532" s="0" t="s">
        <v>18673</v>
      </c>
      <c r="G3532" s="0" t="s">
        <v>18674</v>
      </c>
    </row>
    <row r="3533" customFormat="false" ht="15" hidden="false" customHeight="false" outlineLevel="0" collapsed="false">
      <c r="A3533" s="0" t="n">
        <v>2820</v>
      </c>
      <c r="B3533" s="0" t="n">
        <v>21133</v>
      </c>
      <c r="C3533" s="0" t="s">
        <v>11945</v>
      </c>
      <c r="D3533" s="0" t="s">
        <v>15</v>
      </c>
      <c r="F3533" s="0" t="s">
        <v>18673</v>
      </c>
      <c r="G3533" s="0" t="s">
        <v>18674</v>
      </c>
    </row>
    <row r="3534" customFormat="false" ht="15" hidden="false" customHeight="false" outlineLevel="0" collapsed="false">
      <c r="A3534" s="0" t="n">
        <v>2821</v>
      </c>
      <c r="B3534" s="0" t="n">
        <v>21134</v>
      </c>
      <c r="C3534" s="0" t="s">
        <v>11948</v>
      </c>
      <c r="D3534" s="0" t="s">
        <v>15</v>
      </c>
      <c r="F3534" s="0" t="s">
        <v>18673</v>
      </c>
      <c r="G3534" s="0" t="s">
        <v>18674</v>
      </c>
    </row>
    <row r="3535" customFormat="false" ht="15" hidden="false" customHeight="false" outlineLevel="0" collapsed="false">
      <c r="A3535" s="0" t="n">
        <v>2823</v>
      </c>
      <c r="B3535" s="0" t="n">
        <v>21137</v>
      </c>
      <c r="C3535" s="0" t="s">
        <v>11956</v>
      </c>
      <c r="D3535" s="0" t="s">
        <v>15</v>
      </c>
      <c r="F3535" s="0" t="s">
        <v>18694</v>
      </c>
      <c r="G3535" s="0" t="s">
        <v>18674</v>
      </c>
    </row>
    <row r="3536" customFormat="false" ht="15" hidden="false" customHeight="false" outlineLevel="0" collapsed="false">
      <c r="A3536" s="0" t="n">
        <v>2849</v>
      </c>
      <c r="B3536" s="0" t="n">
        <v>21169</v>
      </c>
      <c r="C3536" s="0" t="s">
        <v>12049</v>
      </c>
      <c r="D3536" s="0" t="s">
        <v>15</v>
      </c>
      <c r="F3536" s="0" t="s">
        <v>18676</v>
      </c>
      <c r="G3536" s="0" t="s">
        <v>18674</v>
      </c>
    </row>
    <row r="3537" customFormat="false" ht="15" hidden="false" customHeight="false" outlineLevel="0" collapsed="false">
      <c r="A3537" s="0" t="n">
        <v>2858</v>
      </c>
      <c r="B3537" s="0" t="n">
        <v>21224</v>
      </c>
      <c r="C3537" s="0" t="s">
        <v>12075</v>
      </c>
      <c r="D3537" s="0" t="s">
        <v>15</v>
      </c>
      <c r="F3537" s="0" t="s">
        <v>18685</v>
      </c>
      <c r="G3537" s="0" t="s">
        <v>18674</v>
      </c>
    </row>
    <row r="3538" customFormat="false" ht="15" hidden="false" customHeight="false" outlineLevel="0" collapsed="false">
      <c r="A3538" s="0" t="n">
        <v>2873</v>
      </c>
      <c r="B3538" s="0" t="n">
        <v>21272</v>
      </c>
      <c r="C3538" s="0" t="s">
        <v>12126</v>
      </c>
      <c r="D3538" s="0" t="s">
        <v>15</v>
      </c>
      <c r="F3538" s="0" t="s">
        <v>18673</v>
      </c>
      <c r="G3538" s="0" t="s">
        <v>18674</v>
      </c>
    </row>
    <row r="3539" customFormat="false" ht="15" hidden="false" customHeight="false" outlineLevel="0" collapsed="false">
      <c r="A3539" s="0" t="n">
        <v>2891</v>
      </c>
      <c r="B3539" s="0" t="n">
        <v>21307</v>
      </c>
      <c r="C3539" s="0" t="s">
        <v>12197</v>
      </c>
      <c r="D3539" s="0" t="s">
        <v>15</v>
      </c>
      <c r="F3539" s="0" t="s">
        <v>18682</v>
      </c>
      <c r="G3539" s="0" t="s">
        <v>18674</v>
      </c>
    </row>
    <row r="3540" customFormat="false" ht="15" hidden="false" customHeight="false" outlineLevel="0" collapsed="false">
      <c r="A3540" s="0" t="n">
        <v>2892</v>
      </c>
      <c r="B3540" s="0" t="n">
        <v>21308</v>
      </c>
      <c r="C3540" s="0" t="s">
        <v>12201</v>
      </c>
      <c r="D3540" s="0" t="s">
        <v>15</v>
      </c>
      <c r="F3540" s="0" t="s">
        <v>18673</v>
      </c>
      <c r="G3540" s="0" t="s">
        <v>18674</v>
      </c>
    </row>
    <row r="3541" customFormat="false" ht="15" hidden="false" customHeight="false" outlineLevel="0" collapsed="false">
      <c r="A3541" s="0" t="n">
        <v>2928</v>
      </c>
      <c r="B3541" s="0" t="n">
        <v>21384</v>
      </c>
      <c r="C3541" s="0" t="s">
        <v>12328</v>
      </c>
      <c r="D3541" s="0" t="s">
        <v>15</v>
      </c>
      <c r="F3541" s="0" t="s">
        <v>18673</v>
      </c>
      <c r="G3541" s="0" t="s">
        <v>18674</v>
      </c>
    </row>
    <row r="3542" customFormat="false" ht="15" hidden="false" customHeight="false" outlineLevel="0" collapsed="false">
      <c r="A3542" s="0" t="n">
        <v>2936</v>
      </c>
      <c r="B3542" s="0" t="n">
        <v>21423</v>
      </c>
      <c r="C3542" s="0" t="s">
        <v>12356</v>
      </c>
      <c r="D3542" s="0" t="s">
        <v>15</v>
      </c>
      <c r="F3542" s="0" t="s">
        <v>18682</v>
      </c>
      <c r="G3542" s="0" t="s">
        <v>18674</v>
      </c>
    </row>
    <row r="3543" customFormat="false" ht="15" hidden="false" customHeight="false" outlineLevel="0" collapsed="false">
      <c r="A3543" s="0" t="n">
        <v>2941</v>
      </c>
      <c r="B3543" s="0" t="n">
        <v>21442</v>
      </c>
      <c r="C3543" s="0" t="s">
        <v>12374</v>
      </c>
      <c r="D3543" s="0" t="s">
        <v>15</v>
      </c>
      <c r="F3543" s="0" t="s">
        <v>18675</v>
      </c>
      <c r="G3543" s="0" t="s">
        <v>18674</v>
      </c>
    </row>
    <row r="3544" customFormat="false" ht="15" hidden="false" customHeight="false" outlineLevel="0" collapsed="false">
      <c r="A3544" s="0" t="n">
        <v>2963</v>
      </c>
      <c r="B3544" s="0" t="n">
        <v>21474</v>
      </c>
      <c r="C3544" s="0" t="s">
        <v>12456</v>
      </c>
      <c r="D3544" s="0" t="s">
        <v>15</v>
      </c>
      <c r="F3544" s="0" t="s">
        <v>18685</v>
      </c>
      <c r="G3544" s="0" t="s">
        <v>18674</v>
      </c>
    </row>
    <row r="3545" customFormat="false" ht="15" hidden="false" customHeight="false" outlineLevel="0" collapsed="false">
      <c r="A3545" s="0" t="n">
        <v>2964</v>
      </c>
      <c r="B3545" s="0" t="n">
        <v>21475</v>
      </c>
      <c r="C3545" s="0" t="s">
        <v>12459</v>
      </c>
      <c r="D3545" s="0" t="s">
        <v>15</v>
      </c>
      <c r="F3545" s="0" t="s">
        <v>18685</v>
      </c>
      <c r="G3545" s="0" t="s">
        <v>18674</v>
      </c>
    </row>
    <row r="3546" customFormat="false" ht="15" hidden="false" customHeight="false" outlineLevel="0" collapsed="false">
      <c r="A3546" s="0" t="n">
        <v>2965</v>
      </c>
      <c r="B3546" s="0" t="n">
        <v>21478</v>
      </c>
      <c r="C3546" s="0" t="s">
        <v>12462</v>
      </c>
      <c r="D3546" s="0" t="s">
        <v>15</v>
      </c>
      <c r="F3546" s="0" t="s">
        <v>18685</v>
      </c>
      <c r="G3546" s="0" t="s">
        <v>18674</v>
      </c>
    </row>
    <row r="3547" customFormat="false" ht="15" hidden="false" customHeight="false" outlineLevel="0" collapsed="false">
      <c r="A3547" s="0" t="n">
        <v>2966</v>
      </c>
      <c r="B3547" s="0" t="n">
        <v>21479</v>
      </c>
      <c r="C3547" s="0" t="s">
        <v>12465</v>
      </c>
      <c r="D3547" s="0" t="s">
        <v>15</v>
      </c>
      <c r="F3547" s="0" t="s">
        <v>18673</v>
      </c>
      <c r="G3547" s="0" t="s">
        <v>18674</v>
      </c>
    </row>
    <row r="3548" customFormat="false" ht="15" hidden="false" customHeight="false" outlineLevel="0" collapsed="false">
      <c r="A3548" s="0" t="n">
        <v>2967</v>
      </c>
      <c r="B3548" s="0" t="n">
        <v>21480</v>
      </c>
      <c r="C3548" s="0" t="s">
        <v>12468</v>
      </c>
      <c r="D3548" s="0" t="s">
        <v>15</v>
      </c>
      <c r="F3548" s="0" t="s">
        <v>18673</v>
      </c>
      <c r="G3548" s="0" t="s">
        <v>18674</v>
      </c>
    </row>
    <row r="3549" customFormat="false" ht="15" hidden="false" customHeight="false" outlineLevel="0" collapsed="false">
      <c r="A3549" s="0" t="n">
        <v>2973</v>
      </c>
      <c r="B3549" s="0" t="n">
        <v>21500</v>
      </c>
      <c r="C3549" s="0" t="s">
        <v>12492</v>
      </c>
      <c r="D3549" s="0" t="s">
        <v>15</v>
      </c>
      <c r="F3549" s="0" t="s">
        <v>18686</v>
      </c>
      <c r="G3549" s="0" t="s">
        <v>18674</v>
      </c>
    </row>
    <row r="3550" customFormat="false" ht="15" hidden="false" customHeight="false" outlineLevel="0" collapsed="false">
      <c r="A3550" s="0" t="n">
        <v>2976</v>
      </c>
      <c r="B3550" s="0" t="n">
        <v>21503</v>
      </c>
      <c r="C3550" s="0" t="s">
        <v>12501</v>
      </c>
      <c r="D3550" s="0" t="s">
        <v>15</v>
      </c>
      <c r="F3550" s="0" t="s">
        <v>18686</v>
      </c>
      <c r="G3550" s="0" t="s">
        <v>18674</v>
      </c>
    </row>
    <row r="3551" customFormat="false" ht="15" hidden="false" customHeight="false" outlineLevel="0" collapsed="false">
      <c r="A3551" s="0" t="n">
        <v>2978</v>
      </c>
      <c r="B3551" s="0" t="n">
        <v>21505</v>
      </c>
      <c r="C3551" s="0" t="s">
        <v>12507</v>
      </c>
      <c r="D3551" s="0" t="s">
        <v>15</v>
      </c>
      <c r="F3551" s="0" t="s">
        <v>18686</v>
      </c>
      <c r="G3551" s="0" t="s">
        <v>18674</v>
      </c>
    </row>
    <row r="3552" customFormat="false" ht="15" hidden="false" customHeight="false" outlineLevel="0" collapsed="false">
      <c r="A3552" s="0" t="n">
        <v>2979</v>
      </c>
      <c r="B3552" s="0" t="n">
        <v>21506</v>
      </c>
      <c r="C3552" s="0" t="s">
        <v>12510</v>
      </c>
      <c r="D3552" s="0" t="s">
        <v>15</v>
      </c>
      <c r="F3552" s="0" t="s">
        <v>18686</v>
      </c>
      <c r="G3552" s="0" t="s">
        <v>18674</v>
      </c>
    </row>
    <row r="3553" customFormat="false" ht="15" hidden="false" customHeight="false" outlineLevel="0" collapsed="false">
      <c r="A3553" s="0" t="n">
        <v>2980</v>
      </c>
      <c r="B3553" s="0" t="n">
        <v>21507</v>
      </c>
      <c r="C3553" s="0" t="s">
        <v>12513</v>
      </c>
      <c r="D3553" s="0" t="s">
        <v>15</v>
      </c>
      <c r="F3553" s="0" t="s">
        <v>18686</v>
      </c>
      <c r="G3553" s="0" t="s">
        <v>18674</v>
      </c>
    </row>
    <row r="3554" customFormat="false" ht="15" hidden="false" customHeight="false" outlineLevel="0" collapsed="false">
      <c r="A3554" s="0" t="n">
        <v>2985</v>
      </c>
      <c r="B3554" s="0" t="n">
        <v>21512</v>
      </c>
      <c r="C3554" s="0" t="s">
        <v>12528</v>
      </c>
      <c r="D3554" s="0" t="s">
        <v>15</v>
      </c>
      <c r="F3554" s="0" t="s">
        <v>18686</v>
      </c>
      <c r="G3554" s="0" t="s">
        <v>18674</v>
      </c>
    </row>
    <row r="3555" customFormat="false" ht="15" hidden="false" customHeight="false" outlineLevel="0" collapsed="false">
      <c r="A3555" s="0" t="n">
        <v>2986</v>
      </c>
      <c r="B3555" s="0" t="n">
        <v>21513</v>
      </c>
      <c r="C3555" s="0" t="s">
        <v>12531</v>
      </c>
      <c r="D3555" s="0" t="s">
        <v>15</v>
      </c>
      <c r="F3555" s="0" t="s">
        <v>18686</v>
      </c>
      <c r="G3555" s="0" t="s">
        <v>18674</v>
      </c>
    </row>
    <row r="3556" customFormat="false" ht="15" hidden="false" customHeight="false" outlineLevel="0" collapsed="false">
      <c r="A3556" s="0" t="n">
        <v>2987</v>
      </c>
      <c r="B3556" s="0" t="n">
        <v>21514</v>
      </c>
      <c r="C3556" s="0" t="s">
        <v>12534</v>
      </c>
      <c r="D3556" s="0" t="s">
        <v>15</v>
      </c>
      <c r="F3556" s="0" t="s">
        <v>18686</v>
      </c>
      <c r="G3556" s="0" t="s">
        <v>18674</v>
      </c>
    </row>
    <row r="3557" customFormat="false" ht="15" hidden="false" customHeight="false" outlineLevel="0" collapsed="false">
      <c r="A3557" s="0" t="n">
        <v>2989</v>
      </c>
      <c r="B3557" s="0" t="n">
        <v>21516</v>
      </c>
      <c r="C3557" s="0" t="s">
        <v>12540</v>
      </c>
      <c r="D3557" s="0" t="s">
        <v>15</v>
      </c>
      <c r="F3557" s="0" t="s">
        <v>18686</v>
      </c>
      <c r="G3557" s="0" t="s">
        <v>18674</v>
      </c>
    </row>
    <row r="3558" customFormat="false" ht="15" hidden="false" customHeight="false" outlineLevel="0" collapsed="false">
      <c r="A3558" s="0" t="n">
        <v>2992</v>
      </c>
      <c r="B3558" s="0" t="n">
        <v>21535</v>
      </c>
      <c r="C3558" s="0" t="s">
        <v>12551</v>
      </c>
      <c r="D3558" s="0" t="s">
        <v>15</v>
      </c>
      <c r="F3558" s="0" t="s">
        <v>18682</v>
      </c>
      <c r="G3558" s="0" t="s">
        <v>18674</v>
      </c>
    </row>
    <row r="3559" customFormat="false" ht="15" hidden="false" customHeight="false" outlineLevel="0" collapsed="false">
      <c r="A3559" s="0" t="n">
        <v>3002</v>
      </c>
      <c r="B3559" s="0" t="n">
        <v>21545</v>
      </c>
      <c r="C3559" s="0" t="s">
        <v>9430</v>
      </c>
      <c r="D3559" s="0" t="s">
        <v>15</v>
      </c>
      <c r="F3559" s="0" t="s">
        <v>18682</v>
      </c>
      <c r="G3559" s="0" t="s">
        <v>18674</v>
      </c>
    </row>
    <row r="3560" customFormat="false" ht="15" hidden="false" customHeight="false" outlineLevel="0" collapsed="false">
      <c r="A3560" s="0" t="n">
        <v>3003</v>
      </c>
      <c r="B3560" s="0" t="n">
        <v>21546</v>
      </c>
      <c r="C3560" s="0" t="s">
        <v>7637</v>
      </c>
      <c r="D3560" s="0" t="s">
        <v>15</v>
      </c>
      <c r="F3560" s="0" t="s">
        <v>18682</v>
      </c>
      <c r="G3560" s="0" t="s">
        <v>18674</v>
      </c>
    </row>
    <row r="3561" customFormat="false" ht="15" hidden="false" customHeight="false" outlineLevel="0" collapsed="false">
      <c r="A3561" s="0" t="n">
        <v>3038</v>
      </c>
      <c r="B3561" s="0" t="n">
        <v>21597</v>
      </c>
      <c r="C3561" s="0" t="s">
        <v>12713</v>
      </c>
      <c r="D3561" s="0" t="s">
        <v>15</v>
      </c>
      <c r="F3561" s="0" t="s">
        <v>18686</v>
      </c>
      <c r="G3561" s="0" t="s">
        <v>18674</v>
      </c>
    </row>
    <row r="3562" customFormat="false" ht="15" hidden="false" customHeight="false" outlineLevel="0" collapsed="false">
      <c r="A3562" s="0" t="n">
        <v>3040</v>
      </c>
      <c r="B3562" s="0" t="n">
        <v>21599</v>
      </c>
      <c r="C3562" s="0" t="s">
        <v>12719</v>
      </c>
      <c r="D3562" s="0" t="s">
        <v>15</v>
      </c>
      <c r="F3562" s="0" t="s">
        <v>18686</v>
      </c>
      <c r="G3562" s="0" t="s">
        <v>18674</v>
      </c>
    </row>
    <row r="3563" customFormat="false" ht="15" hidden="false" customHeight="false" outlineLevel="0" collapsed="false">
      <c r="A3563" s="0" t="n">
        <v>3041</v>
      </c>
      <c r="B3563" s="0" t="n">
        <v>21600</v>
      </c>
      <c r="C3563" s="0" t="s">
        <v>12723</v>
      </c>
      <c r="D3563" s="0" t="s">
        <v>15</v>
      </c>
      <c r="F3563" s="0" t="s">
        <v>18686</v>
      </c>
      <c r="G3563" s="0" t="s">
        <v>18674</v>
      </c>
    </row>
    <row r="3564" customFormat="false" ht="15" hidden="false" customHeight="false" outlineLevel="0" collapsed="false">
      <c r="A3564" s="0" t="n">
        <v>3046</v>
      </c>
      <c r="B3564" s="0" t="n">
        <v>21605</v>
      </c>
      <c r="C3564" s="0" t="s">
        <v>12738</v>
      </c>
      <c r="D3564" s="0" t="s">
        <v>15</v>
      </c>
      <c r="F3564" s="0" t="s">
        <v>18686</v>
      </c>
      <c r="G3564" s="0" t="s">
        <v>18674</v>
      </c>
    </row>
    <row r="3565" customFormat="false" ht="15" hidden="false" customHeight="false" outlineLevel="0" collapsed="false">
      <c r="A3565" s="0" t="n">
        <v>3047</v>
      </c>
      <c r="B3565" s="0" t="n">
        <v>21606</v>
      </c>
      <c r="C3565" s="0" t="s">
        <v>12742</v>
      </c>
      <c r="D3565" s="0" t="s">
        <v>15</v>
      </c>
      <c r="F3565" s="0" t="s">
        <v>18686</v>
      </c>
      <c r="G3565" s="0" t="s">
        <v>18674</v>
      </c>
    </row>
    <row r="3566" customFormat="false" ht="15" hidden="false" customHeight="false" outlineLevel="0" collapsed="false">
      <c r="A3566" s="0" t="n">
        <v>3048</v>
      </c>
      <c r="B3566" s="0" t="n">
        <v>21607</v>
      </c>
      <c r="C3566" s="0" t="s">
        <v>12745</v>
      </c>
      <c r="D3566" s="0" t="s">
        <v>15</v>
      </c>
      <c r="F3566" s="0" t="s">
        <v>18686</v>
      </c>
      <c r="G3566" s="0" t="s">
        <v>18674</v>
      </c>
    </row>
    <row r="3567" customFormat="false" ht="15" hidden="false" customHeight="false" outlineLevel="0" collapsed="false">
      <c r="A3567" s="0" t="n">
        <v>3049</v>
      </c>
      <c r="B3567" s="0" t="n">
        <v>21608</v>
      </c>
      <c r="C3567" s="0" t="s">
        <v>12748</v>
      </c>
      <c r="D3567" s="0" t="s">
        <v>15</v>
      </c>
      <c r="F3567" s="0" t="s">
        <v>18686</v>
      </c>
      <c r="G3567" s="0" t="s">
        <v>18674</v>
      </c>
    </row>
    <row r="3568" customFormat="false" ht="15" hidden="false" customHeight="false" outlineLevel="0" collapsed="false">
      <c r="A3568" s="0" t="n">
        <v>3050</v>
      </c>
      <c r="B3568" s="0" t="n">
        <v>21609</v>
      </c>
      <c r="C3568" s="0" t="s">
        <v>12752</v>
      </c>
      <c r="D3568" s="0" t="s">
        <v>15</v>
      </c>
      <c r="F3568" s="0" t="s">
        <v>18686</v>
      </c>
      <c r="G3568" s="0" t="s">
        <v>18674</v>
      </c>
    </row>
    <row r="3569" customFormat="false" ht="15" hidden="false" customHeight="false" outlineLevel="0" collapsed="false">
      <c r="A3569" s="0" t="n">
        <v>3051</v>
      </c>
      <c r="B3569" s="0" t="n">
        <v>21610</v>
      </c>
      <c r="C3569" s="0" t="s">
        <v>12755</v>
      </c>
      <c r="D3569" s="0" t="s">
        <v>15</v>
      </c>
      <c r="F3569" s="0" t="s">
        <v>18686</v>
      </c>
      <c r="G3569" s="0" t="s">
        <v>18674</v>
      </c>
    </row>
    <row r="3570" customFormat="false" ht="15" hidden="false" customHeight="false" outlineLevel="0" collapsed="false">
      <c r="A3570" s="0" t="n">
        <v>3053</v>
      </c>
      <c r="B3570" s="0" t="n">
        <v>21612</v>
      </c>
      <c r="C3570" s="0" t="s">
        <v>12761</v>
      </c>
      <c r="D3570" s="0" t="s">
        <v>15</v>
      </c>
      <c r="F3570" s="0" t="s">
        <v>18686</v>
      </c>
      <c r="G3570" s="0" t="s">
        <v>18674</v>
      </c>
    </row>
    <row r="3571" customFormat="false" ht="15" hidden="false" customHeight="false" outlineLevel="0" collapsed="false">
      <c r="A3571" s="0" t="n">
        <v>3055</v>
      </c>
      <c r="B3571" s="0" t="n">
        <v>21614</v>
      </c>
      <c r="C3571" s="0" t="s">
        <v>12767</v>
      </c>
      <c r="D3571" s="0" t="s">
        <v>15</v>
      </c>
      <c r="F3571" s="0" t="s">
        <v>18677</v>
      </c>
      <c r="G3571" s="0" t="s">
        <v>18674</v>
      </c>
    </row>
    <row r="3572" customFormat="false" ht="15" hidden="false" customHeight="false" outlineLevel="0" collapsed="false">
      <c r="A3572" s="0" t="n">
        <v>3056</v>
      </c>
      <c r="B3572" s="0" t="n">
        <v>21615</v>
      </c>
      <c r="C3572" s="0" t="s">
        <v>12771</v>
      </c>
      <c r="D3572" s="0" t="s">
        <v>15</v>
      </c>
      <c r="F3572" s="0" t="s">
        <v>18677</v>
      </c>
      <c r="G3572" s="0" t="s">
        <v>18674</v>
      </c>
    </row>
    <row r="3573" customFormat="false" ht="15" hidden="false" customHeight="false" outlineLevel="0" collapsed="false">
      <c r="A3573" s="0" t="n">
        <v>3057</v>
      </c>
      <c r="B3573" s="0" t="n">
        <v>21616</v>
      </c>
      <c r="C3573" s="0" t="s">
        <v>12774</v>
      </c>
      <c r="D3573" s="0" t="s">
        <v>15</v>
      </c>
      <c r="F3573" s="0" t="s">
        <v>18695</v>
      </c>
      <c r="G3573" s="0" t="s">
        <v>18674</v>
      </c>
    </row>
    <row r="3574" customFormat="false" ht="15" hidden="false" customHeight="false" outlineLevel="0" collapsed="false">
      <c r="A3574" s="0" t="n">
        <v>3096</v>
      </c>
      <c r="B3574" s="0" t="n">
        <v>21657</v>
      </c>
      <c r="C3574" s="0" t="s">
        <v>12915</v>
      </c>
      <c r="D3574" s="0" t="s">
        <v>15</v>
      </c>
      <c r="F3574" s="0" t="s">
        <v>18673</v>
      </c>
      <c r="G3574" s="0" t="s">
        <v>18674</v>
      </c>
    </row>
    <row r="3575" customFormat="false" ht="15" hidden="false" customHeight="false" outlineLevel="0" collapsed="false">
      <c r="A3575" s="0" t="n">
        <v>3123</v>
      </c>
      <c r="B3575" s="0" t="n">
        <v>21712</v>
      </c>
      <c r="C3575" s="0" t="s">
        <v>13031</v>
      </c>
      <c r="D3575" s="0" t="s">
        <v>15</v>
      </c>
      <c r="F3575" s="0" t="s">
        <v>18682</v>
      </c>
      <c r="G3575" s="0" t="s">
        <v>18674</v>
      </c>
    </row>
    <row r="3576" customFormat="false" ht="15" hidden="false" customHeight="false" outlineLevel="0" collapsed="false">
      <c r="A3576" s="0" t="n">
        <v>3124</v>
      </c>
      <c r="B3576" s="0" t="n">
        <v>21713</v>
      </c>
      <c r="C3576" s="0" t="s">
        <v>13034</v>
      </c>
      <c r="D3576" s="0" t="s">
        <v>15</v>
      </c>
      <c r="F3576" s="0" t="s">
        <v>18682</v>
      </c>
      <c r="G3576" s="0" t="s">
        <v>18674</v>
      </c>
    </row>
    <row r="3577" customFormat="false" ht="15" hidden="false" customHeight="false" outlineLevel="0" collapsed="false">
      <c r="A3577" s="0" t="n">
        <v>3175</v>
      </c>
      <c r="B3577" s="0" t="n">
        <v>21765</v>
      </c>
      <c r="C3577" s="0" t="s">
        <v>13210</v>
      </c>
      <c r="D3577" s="0" t="s">
        <v>15</v>
      </c>
      <c r="F3577" s="0" t="s">
        <v>18685</v>
      </c>
      <c r="G3577" s="0" t="s">
        <v>18674</v>
      </c>
    </row>
    <row r="3578" customFormat="false" ht="15" hidden="false" customHeight="false" outlineLevel="0" collapsed="false">
      <c r="A3578" s="0" t="n">
        <v>3176</v>
      </c>
      <c r="B3578" s="0" t="n">
        <v>21768</v>
      </c>
      <c r="C3578" s="0" t="s">
        <v>13214</v>
      </c>
      <c r="D3578" s="0" t="s">
        <v>15</v>
      </c>
      <c r="F3578" s="0" t="s">
        <v>18685</v>
      </c>
      <c r="G3578" s="0" t="s">
        <v>18674</v>
      </c>
    </row>
    <row r="3579" customFormat="false" ht="15" hidden="false" customHeight="false" outlineLevel="0" collapsed="false">
      <c r="A3579" s="0" t="n">
        <v>3177</v>
      </c>
      <c r="B3579" s="0" t="n">
        <v>21769</v>
      </c>
      <c r="C3579" s="0" t="s">
        <v>13218</v>
      </c>
      <c r="D3579" s="0" t="s">
        <v>15</v>
      </c>
      <c r="F3579" s="0" t="s">
        <v>18685</v>
      </c>
      <c r="G3579" s="0" t="s">
        <v>18674</v>
      </c>
    </row>
    <row r="3580" customFormat="false" ht="15" hidden="false" customHeight="false" outlineLevel="0" collapsed="false">
      <c r="A3580" s="0" t="n">
        <v>3189</v>
      </c>
      <c r="B3580" s="0" t="n">
        <v>21782</v>
      </c>
      <c r="C3580" s="0" t="s">
        <v>13254</v>
      </c>
      <c r="D3580" s="0" t="s">
        <v>15</v>
      </c>
      <c r="F3580" s="0" t="s">
        <v>18683</v>
      </c>
      <c r="G3580" s="0" t="s">
        <v>18674</v>
      </c>
    </row>
    <row r="3581" customFormat="false" ht="15" hidden="false" customHeight="false" outlineLevel="0" collapsed="false">
      <c r="A3581" s="0" t="n">
        <v>3231</v>
      </c>
      <c r="B3581" s="0" t="n">
        <v>21829</v>
      </c>
      <c r="C3581" s="0" t="s">
        <v>13403</v>
      </c>
      <c r="D3581" s="0" t="s">
        <v>15</v>
      </c>
      <c r="F3581" s="0" t="s">
        <v>18682</v>
      </c>
      <c r="G3581" s="0" t="s">
        <v>18674</v>
      </c>
    </row>
    <row r="3582" customFormat="false" ht="15" hidden="false" customHeight="false" outlineLevel="0" collapsed="false">
      <c r="A3582" s="0" t="n">
        <v>3232</v>
      </c>
      <c r="B3582" s="0" t="n">
        <v>21830</v>
      </c>
      <c r="C3582" s="0" t="s">
        <v>13408</v>
      </c>
      <c r="D3582" s="0" t="s">
        <v>15</v>
      </c>
      <c r="F3582" s="0" t="s">
        <v>18676</v>
      </c>
      <c r="G3582" s="0" t="s">
        <v>18674</v>
      </c>
    </row>
    <row r="3583" customFormat="false" ht="15" hidden="false" customHeight="false" outlineLevel="0" collapsed="false">
      <c r="A3583" s="0" t="n">
        <v>3233</v>
      </c>
      <c r="B3583" s="0" t="n">
        <v>21831</v>
      </c>
      <c r="C3583" s="0" t="s">
        <v>13411</v>
      </c>
      <c r="D3583" s="0" t="s">
        <v>15</v>
      </c>
      <c r="F3583" s="0" t="s">
        <v>18676</v>
      </c>
      <c r="G3583" s="0" t="s">
        <v>18674</v>
      </c>
    </row>
    <row r="3584" customFormat="false" ht="15" hidden="false" customHeight="false" outlineLevel="0" collapsed="false">
      <c r="A3584" s="0" t="n">
        <v>3234</v>
      </c>
      <c r="B3584" s="0" t="n">
        <v>21832</v>
      </c>
      <c r="C3584" s="0" t="s">
        <v>13414</v>
      </c>
      <c r="D3584" s="0" t="s">
        <v>15</v>
      </c>
      <c r="F3584" s="0" t="s">
        <v>18676</v>
      </c>
      <c r="G3584" s="0" t="s">
        <v>18674</v>
      </c>
    </row>
    <row r="3585" customFormat="false" ht="15" hidden="false" customHeight="false" outlineLevel="0" collapsed="false">
      <c r="A3585" s="0" t="n">
        <v>3235</v>
      </c>
      <c r="B3585" s="0" t="n">
        <v>21833</v>
      </c>
      <c r="C3585" s="0" t="s">
        <v>8366</v>
      </c>
      <c r="D3585" s="0" t="s">
        <v>15</v>
      </c>
      <c r="F3585" s="0" t="s">
        <v>18676</v>
      </c>
      <c r="G3585" s="0" t="s">
        <v>18674</v>
      </c>
    </row>
    <row r="3586" customFormat="false" ht="15" hidden="false" customHeight="false" outlineLevel="0" collapsed="false">
      <c r="A3586" s="0" t="n">
        <v>3236</v>
      </c>
      <c r="B3586" s="0" t="n">
        <v>21834</v>
      </c>
      <c r="C3586" s="0" t="s">
        <v>13419</v>
      </c>
      <c r="D3586" s="0" t="s">
        <v>15</v>
      </c>
      <c r="F3586" s="0" t="s">
        <v>18676</v>
      </c>
      <c r="G3586" s="0" t="s">
        <v>18674</v>
      </c>
    </row>
    <row r="3587" customFormat="false" ht="15" hidden="false" customHeight="false" outlineLevel="0" collapsed="false">
      <c r="A3587" s="0" t="n">
        <v>3237</v>
      </c>
      <c r="B3587" s="0" t="n">
        <v>21835</v>
      </c>
      <c r="C3587" s="0" t="s">
        <v>13422</v>
      </c>
      <c r="D3587" s="0" t="s">
        <v>15</v>
      </c>
      <c r="F3587" s="0" t="s">
        <v>18676</v>
      </c>
      <c r="G3587" s="0" t="s">
        <v>18674</v>
      </c>
    </row>
    <row r="3588" customFormat="false" ht="15" hidden="false" customHeight="false" outlineLevel="0" collapsed="false">
      <c r="A3588" s="0" t="n">
        <v>3238</v>
      </c>
      <c r="B3588" s="0" t="n">
        <v>21836</v>
      </c>
      <c r="C3588" s="0" t="s">
        <v>13425</v>
      </c>
      <c r="D3588" s="0" t="s">
        <v>15</v>
      </c>
      <c r="F3588" s="0" t="s">
        <v>18676</v>
      </c>
      <c r="G3588" s="0" t="s">
        <v>18674</v>
      </c>
    </row>
    <row r="3589" customFormat="false" ht="15" hidden="false" customHeight="false" outlineLevel="0" collapsed="false">
      <c r="A3589" s="0" t="n">
        <v>3239</v>
      </c>
      <c r="B3589" s="0" t="n">
        <v>21837</v>
      </c>
      <c r="C3589" s="0" t="s">
        <v>13429</v>
      </c>
      <c r="D3589" s="0" t="s">
        <v>15</v>
      </c>
      <c r="F3589" s="0" t="s">
        <v>18676</v>
      </c>
      <c r="G3589" s="0" t="s">
        <v>18674</v>
      </c>
    </row>
    <row r="3590" customFormat="false" ht="15" hidden="false" customHeight="false" outlineLevel="0" collapsed="false">
      <c r="A3590" s="0" t="n">
        <v>3240</v>
      </c>
      <c r="B3590" s="0" t="n">
        <v>21838</v>
      </c>
      <c r="C3590" s="0" t="s">
        <v>13432</v>
      </c>
      <c r="D3590" s="0" t="s">
        <v>15</v>
      </c>
      <c r="F3590" s="0" t="s">
        <v>18676</v>
      </c>
      <c r="G3590" s="0" t="s">
        <v>18674</v>
      </c>
    </row>
    <row r="3591" customFormat="false" ht="15" hidden="false" customHeight="false" outlineLevel="0" collapsed="false">
      <c r="A3591" s="0" t="n">
        <v>3241</v>
      </c>
      <c r="B3591" s="0" t="n">
        <v>21839</v>
      </c>
      <c r="C3591" s="0" t="s">
        <v>13434</v>
      </c>
      <c r="D3591" s="0" t="s">
        <v>15</v>
      </c>
      <c r="F3591" s="0" t="s">
        <v>18676</v>
      </c>
      <c r="G3591" s="0" t="s">
        <v>18674</v>
      </c>
    </row>
    <row r="3592" customFormat="false" ht="15" hidden="false" customHeight="false" outlineLevel="0" collapsed="false">
      <c r="A3592" s="0" t="n">
        <v>3258</v>
      </c>
      <c r="B3592" s="0" t="n">
        <v>21857</v>
      </c>
      <c r="C3592" s="0" t="s">
        <v>13496</v>
      </c>
      <c r="D3592" s="0" t="s">
        <v>15</v>
      </c>
      <c r="F3592" s="0" t="s">
        <v>18682</v>
      </c>
      <c r="G3592" s="0" t="s">
        <v>18674</v>
      </c>
    </row>
    <row r="3593" customFormat="false" ht="15" hidden="false" customHeight="false" outlineLevel="0" collapsed="false">
      <c r="A3593" s="0" t="n">
        <v>3282</v>
      </c>
      <c r="B3593" s="0" t="n">
        <v>21889</v>
      </c>
      <c r="C3593" s="0" t="s">
        <v>13592</v>
      </c>
      <c r="D3593" s="0" t="s">
        <v>15</v>
      </c>
      <c r="F3593" s="0" t="s">
        <v>18673</v>
      </c>
      <c r="G3593" s="0" t="s">
        <v>18674</v>
      </c>
    </row>
    <row r="3594" customFormat="false" ht="15" hidden="false" customHeight="false" outlineLevel="0" collapsed="false">
      <c r="A3594" s="0" t="n">
        <v>3283</v>
      </c>
      <c r="B3594" s="0" t="n">
        <v>21890</v>
      </c>
      <c r="C3594" s="0" t="s">
        <v>3593</v>
      </c>
      <c r="D3594" s="0" t="s">
        <v>15</v>
      </c>
      <c r="F3594" s="0" t="s">
        <v>18673</v>
      </c>
      <c r="G3594" s="0" t="s">
        <v>18674</v>
      </c>
    </row>
    <row r="3595" customFormat="false" ht="15" hidden="false" customHeight="false" outlineLevel="0" collapsed="false">
      <c r="A3595" s="0" t="n">
        <v>3284</v>
      </c>
      <c r="B3595" s="0" t="n">
        <v>21891</v>
      </c>
      <c r="C3595" s="0" t="s">
        <v>13596</v>
      </c>
      <c r="D3595" s="0" t="s">
        <v>15</v>
      </c>
      <c r="F3595" s="0" t="s">
        <v>18673</v>
      </c>
      <c r="G3595" s="0" t="s">
        <v>18674</v>
      </c>
    </row>
    <row r="3596" customFormat="false" ht="15" hidden="false" customHeight="false" outlineLevel="0" collapsed="false">
      <c r="A3596" s="0" t="n">
        <v>3285</v>
      </c>
      <c r="B3596" s="0" t="n">
        <v>21892</v>
      </c>
      <c r="C3596" s="0" t="s">
        <v>13599</v>
      </c>
      <c r="D3596" s="0" t="s">
        <v>15</v>
      </c>
      <c r="F3596" s="0" t="s">
        <v>18673</v>
      </c>
      <c r="G3596" s="0" t="s">
        <v>18674</v>
      </c>
    </row>
    <row r="3597" customFormat="false" ht="15" hidden="false" customHeight="false" outlineLevel="0" collapsed="false">
      <c r="A3597" s="0" t="n">
        <v>3286</v>
      </c>
      <c r="B3597" s="0" t="n">
        <v>21893</v>
      </c>
      <c r="C3597" s="0" t="s">
        <v>13602</v>
      </c>
      <c r="D3597" s="0" t="s">
        <v>15</v>
      </c>
      <c r="F3597" s="0" t="s">
        <v>18673</v>
      </c>
      <c r="G3597" s="0" t="s">
        <v>18674</v>
      </c>
    </row>
    <row r="3598" customFormat="false" ht="15" hidden="false" customHeight="false" outlineLevel="0" collapsed="false">
      <c r="A3598" s="0" t="n">
        <v>3287</v>
      </c>
      <c r="B3598" s="0" t="n">
        <v>21894</v>
      </c>
      <c r="C3598" s="0" t="s">
        <v>13605</v>
      </c>
      <c r="D3598" s="0" t="s">
        <v>15</v>
      </c>
      <c r="F3598" s="0" t="s">
        <v>18673</v>
      </c>
      <c r="G3598" s="0" t="s">
        <v>18674</v>
      </c>
    </row>
    <row r="3599" customFormat="false" ht="15" hidden="false" customHeight="false" outlineLevel="0" collapsed="false">
      <c r="A3599" s="0" t="n">
        <v>3301</v>
      </c>
      <c r="B3599" s="0" t="n">
        <v>21909</v>
      </c>
      <c r="C3599" s="0" t="s">
        <v>13650</v>
      </c>
      <c r="D3599" s="0" t="s">
        <v>15</v>
      </c>
      <c r="F3599" s="0" t="s">
        <v>18694</v>
      </c>
      <c r="G3599" s="0" t="s">
        <v>18674</v>
      </c>
    </row>
    <row r="3600" customFormat="false" ht="15" hidden="false" customHeight="false" outlineLevel="0" collapsed="false">
      <c r="A3600" s="0" t="n">
        <v>3306</v>
      </c>
      <c r="B3600" s="0" t="n">
        <v>21914</v>
      </c>
      <c r="C3600" s="0" t="s">
        <v>13666</v>
      </c>
      <c r="D3600" s="0" t="s">
        <v>15</v>
      </c>
      <c r="F3600" s="0" t="s">
        <v>18682</v>
      </c>
      <c r="G3600" s="0" t="s">
        <v>18674</v>
      </c>
    </row>
    <row r="3601" customFormat="false" ht="15" hidden="false" customHeight="false" outlineLevel="0" collapsed="false">
      <c r="A3601" s="0" t="n">
        <v>3307</v>
      </c>
      <c r="B3601" s="0" t="n">
        <v>21915</v>
      </c>
      <c r="C3601" s="0" t="s">
        <v>13670</v>
      </c>
      <c r="D3601" s="0" t="s">
        <v>15</v>
      </c>
      <c r="F3601" s="0" t="s">
        <v>18673</v>
      </c>
      <c r="G3601" s="0" t="s">
        <v>18674</v>
      </c>
    </row>
    <row r="3602" customFormat="false" ht="15" hidden="false" customHeight="false" outlineLevel="0" collapsed="false">
      <c r="A3602" s="0" t="n">
        <v>3308</v>
      </c>
      <c r="B3602" s="0" t="n">
        <v>21916</v>
      </c>
      <c r="C3602" s="0" t="s">
        <v>13674</v>
      </c>
      <c r="D3602" s="0" t="s">
        <v>15</v>
      </c>
      <c r="F3602" s="0" t="s">
        <v>18676</v>
      </c>
      <c r="G3602" s="0" t="s">
        <v>18674</v>
      </c>
    </row>
    <row r="3603" customFormat="false" ht="15" hidden="false" customHeight="false" outlineLevel="0" collapsed="false">
      <c r="A3603" s="0" t="n">
        <v>3309</v>
      </c>
      <c r="B3603" s="0" t="n">
        <v>21917</v>
      </c>
      <c r="C3603" s="0" t="s">
        <v>13678</v>
      </c>
      <c r="D3603" s="0" t="s">
        <v>15</v>
      </c>
      <c r="F3603" s="0" t="s">
        <v>18676</v>
      </c>
      <c r="G3603" s="0" t="s">
        <v>18674</v>
      </c>
    </row>
    <row r="3604" customFormat="false" ht="15" hidden="false" customHeight="false" outlineLevel="0" collapsed="false">
      <c r="A3604" s="0" t="n">
        <v>3313</v>
      </c>
      <c r="B3604" s="0" t="n">
        <v>21921</v>
      </c>
      <c r="C3604" s="0" t="s">
        <v>13690</v>
      </c>
      <c r="D3604" s="0" t="s">
        <v>15</v>
      </c>
      <c r="F3604" s="0" t="s">
        <v>18676</v>
      </c>
      <c r="G3604" s="0" t="s">
        <v>18674</v>
      </c>
    </row>
    <row r="3605" customFormat="false" ht="15" hidden="false" customHeight="false" outlineLevel="0" collapsed="false">
      <c r="A3605" s="0" t="n">
        <v>3483</v>
      </c>
      <c r="B3605" s="0" t="n">
        <v>22101</v>
      </c>
      <c r="C3605" s="0" t="s">
        <v>14244</v>
      </c>
      <c r="D3605" s="0" t="s">
        <v>15</v>
      </c>
      <c r="F3605" s="0" t="s">
        <v>18673</v>
      </c>
      <c r="G3605" s="0" t="s">
        <v>18674</v>
      </c>
    </row>
    <row r="3606" customFormat="false" ht="15" hidden="false" customHeight="false" outlineLevel="0" collapsed="false">
      <c r="A3606" s="0" t="n">
        <v>3509</v>
      </c>
      <c r="B3606" s="0" t="n">
        <v>22127</v>
      </c>
      <c r="C3606" s="0" t="s">
        <v>14339</v>
      </c>
      <c r="D3606" s="0" t="s">
        <v>15</v>
      </c>
      <c r="F3606" s="0" t="s">
        <v>18696</v>
      </c>
      <c r="G3606" s="0" t="s">
        <v>18674</v>
      </c>
    </row>
    <row r="3607" customFormat="false" ht="15" hidden="false" customHeight="false" outlineLevel="0" collapsed="false">
      <c r="A3607" s="0" t="n">
        <v>3513</v>
      </c>
      <c r="B3607" s="0" t="n">
        <v>22131</v>
      </c>
      <c r="C3607" s="0" t="s">
        <v>14352</v>
      </c>
      <c r="D3607" s="0" t="s">
        <v>15</v>
      </c>
      <c r="F3607" s="0" t="s">
        <v>18673</v>
      </c>
      <c r="G3607" s="0" t="s">
        <v>18674</v>
      </c>
    </row>
    <row r="3608" customFormat="false" ht="15" hidden="false" customHeight="false" outlineLevel="0" collapsed="false">
      <c r="A3608" s="0" t="n">
        <v>3514</v>
      </c>
      <c r="B3608" s="0" t="n">
        <v>22132</v>
      </c>
      <c r="C3608" s="0" t="s">
        <v>14356</v>
      </c>
      <c r="D3608" s="0" t="s">
        <v>15</v>
      </c>
      <c r="F3608" s="0" t="s">
        <v>18673</v>
      </c>
      <c r="G3608" s="0" t="s">
        <v>18674</v>
      </c>
    </row>
    <row r="3609" customFormat="false" ht="15" hidden="false" customHeight="false" outlineLevel="0" collapsed="false">
      <c r="A3609" s="0" t="n">
        <v>3515</v>
      </c>
      <c r="B3609" s="0" t="n">
        <v>22133</v>
      </c>
      <c r="C3609" s="0" t="s">
        <v>14358</v>
      </c>
      <c r="D3609" s="0" t="s">
        <v>15</v>
      </c>
      <c r="F3609" s="0" t="s">
        <v>18673</v>
      </c>
      <c r="G3609" s="0" t="s">
        <v>18674</v>
      </c>
    </row>
    <row r="3610" customFormat="false" ht="15" hidden="false" customHeight="false" outlineLevel="0" collapsed="false">
      <c r="A3610" s="0" t="n">
        <v>3516</v>
      </c>
      <c r="B3610" s="0" t="n">
        <v>22134</v>
      </c>
      <c r="C3610" s="0" t="s">
        <v>14361</v>
      </c>
      <c r="D3610" s="0" t="s">
        <v>15</v>
      </c>
      <c r="F3610" s="0" t="s">
        <v>18673</v>
      </c>
      <c r="G3610" s="0" t="s">
        <v>18674</v>
      </c>
    </row>
    <row r="3611" customFormat="false" ht="15" hidden="false" customHeight="false" outlineLevel="0" collapsed="false">
      <c r="A3611" s="0" t="n">
        <v>3517</v>
      </c>
      <c r="B3611" s="0" t="n">
        <v>22135</v>
      </c>
      <c r="C3611" s="0" t="s">
        <v>14364</v>
      </c>
      <c r="D3611" s="0" t="s">
        <v>15</v>
      </c>
      <c r="F3611" s="0" t="s">
        <v>18673</v>
      </c>
      <c r="G3611" s="0" t="s">
        <v>18674</v>
      </c>
    </row>
    <row r="3612" customFormat="false" ht="15" hidden="false" customHeight="false" outlineLevel="0" collapsed="false">
      <c r="A3612" s="0" t="n">
        <v>3518</v>
      </c>
      <c r="B3612" s="0" t="n">
        <v>22136</v>
      </c>
      <c r="C3612" s="0" t="s">
        <v>14367</v>
      </c>
      <c r="D3612" s="0" t="s">
        <v>15</v>
      </c>
      <c r="F3612" s="0" t="s">
        <v>18673</v>
      </c>
      <c r="G3612" s="0" t="s">
        <v>18674</v>
      </c>
    </row>
    <row r="3613" customFormat="false" ht="15" hidden="false" customHeight="false" outlineLevel="0" collapsed="false">
      <c r="A3613" s="0" t="n">
        <v>3519</v>
      </c>
      <c r="B3613" s="0" t="n">
        <v>22137</v>
      </c>
      <c r="C3613" s="0" t="s">
        <v>14370</v>
      </c>
      <c r="D3613" s="0" t="s">
        <v>15</v>
      </c>
      <c r="F3613" s="0" t="s">
        <v>18673</v>
      </c>
      <c r="G3613" s="0" t="s">
        <v>18674</v>
      </c>
    </row>
    <row r="3614" customFormat="false" ht="15" hidden="false" customHeight="false" outlineLevel="0" collapsed="false">
      <c r="A3614" s="0" t="n">
        <v>3520</v>
      </c>
      <c r="B3614" s="0" t="n">
        <v>22138</v>
      </c>
      <c r="C3614" s="0" t="s">
        <v>14374</v>
      </c>
      <c r="D3614" s="0" t="s">
        <v>15</v>
      </c>
      <c r="F3614" s="0" t="s">
        <v>18673</v>
      </c>
      <c r="G3614" s="0" t="s">
        <v>18674</v>
      </c>
    </row>
    <row r="3615" customFormat="false" ht="15" hidden="false" customHeight="false" outlineLevel="0" collapsed="false">
      <c r="A3615" s="0" t="n">
        <v>3521</v>
      </c>
      <c r="B3615" s="0" t="n">
        <v>22139</v>
      </c>
      <c r="C3615" s="0" t="s">
        <v>14378</v>
      </c>
      <c r="D3615" s="0" t="s">
        <v>15</v>
      </c>
      <c r="F3615" s="0" t="s">
        <v>18673</v>
      </c>
      <c r="G3615" s="0" t="s">
        <v>18674</v>
      </c>
    </row>
    <row r="3616" customFormat="false" ht="15" hidden="false" customHeight="false" outlineLevel="0" collapsed="false">
      <c r="A3616" s="0" t="n">
        <v>3522</v>
      </c>
      <c r="B3616" s="0" t="n">
        <v>22140</v>
      </c>
      <c r="C3616" s="0" t="s">
        <v>14380</v>
      </c>
      <c r="D3616" s="0" t="s">
        <v>15</v>
      </c>
      <c r="F3616" s="0" t="s">
        <v>18673</v>
      </c>
      <c r="G3616" s="0" t="s">
        <v>18674</v>
      </c>
    </row>
    <row r="3617" customFormat="false" ht="15" hidden="false" customHeight="false" outlineLevel="0" collapsed="false">
      <c r="A3617" s="0" t="n">
        <v>3523</v>
      </c>
      <c r="B3617" s="0" t="n">
        <v>22141</v>
      </c>
      <c r="C3617" s="0" t="s">
        <v>14383</v>
      </c>
      <c r="D3617" s="0" t="s">
        <v>15</v>
      </c>
      <c r="F3617" s="0" t="s">
        <v>18673</v>
      </c>
      <c r="G3617" s="0" t="s">
        <v>18674</v>
      </c>
    </row>
    <row r="3618" customFormat="false" ht="15" hidden="false" customHeight="false" outlineLevel="0" collapsed="false">
      <c r="A3618" s="0" t="n">
        <v>3524</v>
      </c>
      <c r="B3618" s="0" t="n">
        <v>22142</v>
      </c>
      <c r="C3618" s="0" t="s">
        <v>14386</v>
      </c>
      <c r="D3618" s="0" t="s">
        <v>15</v>
      </c>
      <c r="F3618" s="0" t="s">
        <v>18673</v>
      </c>
      <c r="G3618" s="0" t="s">
        <v>18674</v>
      </c>
    </row>
    <row r="3619" customFormat="false" ht="15" hidden="false" customHeight="false" outlineLevel="0" collapsed="false">
      <c r="A3619" s="0" t="n">
        <v>3525</v>
      </c>
      <c r="B3619" s="0" t="n">
        <v>22143</v>
      </c>
      <c r="C3619" s="0" t="s">
        <v>14389</v>
      </c>
      <c r="D3619" s="0" t="s">
        <v>15</v>
      </c>
      <c r="F3619" s="0" t="s">
        <v>18673</v>
      </c>
      <c r="G3619" s="0" t="s">
        <v>18674</v>
      </c>
    </row>
    <row r="3620" customFormat="false" ht="15" hidden="false" customHeight="false" outlineLevel="0" collapsed="false">
      <c r="A3620" s="0" t="n">
        <v>3526</v>
      </c>
      <c r="B3620" s="0" t="n">
        <v>22144</v>
      </c>
      <c r="C3620" s="0" t="s">
        <v>14392</v>
      </c>
      <c r="D3620" s="0" t="s">
        <v>15</v>
      </c>
      <c r="F3620" s="0" t="s">
        <v>18673</v>
      </c>
      <c r="G3620" s="0" t="s">
        <v>18674</v>
      </c>
    </row>
    <row r="3621" customFormat="false" ht="15" hidden="false" customHeight="false" outlineLevel="0" collapsed="false">
      <c r="A3621" s="0" t="n">
        <v>3527</v>
      </c>
      <c r="B3621" s="0" t="n">
        <v>22145</v>
      </c>
      <c r="C3621" s="0" t="s">
        <v>14396</v>
      </c>
      <c r="D3621" s="0" t="s">
        <v>15</v>
      </c>
      <c r="F3621" s="0" t="s">
        <v>18673</v>
      </c>
      <c r="G3621" s="0" t="s">
        <v>18674</v>
      </c>
    </row>
    <row r="3622" customFormat="false" ht="15" hidden="false" customHeight="false" outlineLevel="0" collapsed="false">
      <c r="A3622" s="0" t="n">
        <v>3528</v>
      </c>
      <c r="B3622" s="0" t="n">
        <v>22146</v>
      </c>
      <c r="C3622" s="0" t="s">
        <v>14399</v>
      </c>
      <c r="D3622" s="0" t="s">
        <v>15</v>
      </c>
      <c r="F3622" s="0" t="s">
        <v>18673</v>
      </c>
      <c r="G3622" s="0" t="s">
        <v>18674</v>
      </c>
    </row>
    <row r="3623" customFormat="false" ht="15" hidden="false" customHeight="false" outlineLevel="0" collapsed="false">
      <c r="A3623" s="0" t="n">
        <v>3529</v>
      </c>
      <c r="B3623" s="0" t="n">
        <v>22147</v>
      </c>
      <c r="C3623" s="0" t="s">
        <v>14402</v>
      </c>
      <c r="D3623" s="0" t="s">
        <v>15</v>
      </c>
      <c r="F3623" s="0" t="s">
        <v>18673</v>
      </c>
      <c r="G3623" s="0" t="s">
        <v>18674</v>
      </c>
    </row>
    <row r="3624" customFormat="false" ht="15" hidden="false" customHeight="false" outlineLevel="0" collapsed="false">
      <c r="A3624" s="0" t="n">
        <v>3530</v>
      </c>
      <c r="B3624" s="0" t="n">
        <v>22148</v>
      </c>
      <c r="C3624" s="0" t="s">
        <v>14405</v>
      </c>
      <c r="D3624" s="0" t="s">
        <v>15</v>
      </c>
      <c r="F3624" s="0" t="s">
        <v>18673</v>
      </c>
      <c r="G3624" s="0" t="s">
        <v>18674</v>
      </c>
    </row>
    <row r="3625" customFormat="false" ht="15" hidden="false" customHeight="false" outlineLevel="0" collapsed="false">
      <c r="A3625" s="0" t="n">
        <v>3531</v>
      </c>
      <c r="B3625" s="0" t="n">
        <v>22149</v>
      </c>
      <c r="C3625" s="0" t="s">
        <v>14408</v>
      </c>
      <c r="D3625" s="0" t="s">
        <v>15</v>
      </c>
      <c r="F3625" s="0" t="s">
        <v>18673</v>
      </c>
      <c r="G3625" s="0" t="s">
        <v>18674</v>
      </c>
    </row>
    <row r="3626" customFormat="false" ht="15" hidden="false" customHeight="false" outlineLevel="0" collapsed="false">
      <c r="A3626" s="0" t="n">
        <v>3532</v>
      </c>
      <c r="B3626" s="0" t="n">
        <v>22150</v>
      </c>
      <c r="C3626" s="0" t="s">
        <v>14411</v>
      </c>
      <c r="D3626" s="0" t="s">
        <v>15</v>
      </c>
      <c r="F3626" s="0" t="s">
        <v>18673</v>
      </c>
      <c r="G3626" s="0" t="s">
        <v>18674</v>
      </c>
    </row>
    <row r="3627" customFormat="false" ht="15" hidden="false" customHeight="false" outlineLevel="0" collapsed="false">
      <c r="A3627" s="0" t="n">
        <v>3533</v>
      </c>
      <c r="B3627" s="0" t="n">
        <v>22151</v>
      </c>
      <c r="C3627" s="0" t="s">
        <v>14414</v>
      </c>
      <c r="D3627" s="0" t="s">
        <v>15</v>
      </c>
      <c r="F3627" s="0" t="s">
        <v>18673</v>
      </c>
      <c r="G3627" s="0" t="s">
        <v>18674</v>
      </c>
    </row>
    <row r="3628" customFormat="false" ht="15" hidden="false" customHeight="false" outlineLevel="0" collapsed="false">
      <c r="A3628" s="0" t="n">
        <v>3534</v>
      </c>
      <c r="B3628" s="0" t="n">
        <v>22152</v>
      </c>
      <c r="C3628" s="0" t="s">
        <v>14417</v>
      </c>
      <c r="D3628" s="0" t="s">
        <v>15</v>
      </c>
      <c r="F3628" s="0" t="s">
        <v>18673</v>
      </c>
      <c r="G3628" s="0" t="s">
        <v>18674</v>
      </c>
    </row>
    <row r="3629" customFormat="false" ht="15" hidden="false" customHeight="false" outlineLevel="0" collapsed="false">
      <c r="A3629" s="0" t="n">
        <v>3620</v>
      </c>
      <c r="B3629" s="0" t="n">
        <v>22238</v>
      </c>
      <c r="C3629" s="0" t="s">
        <v>14744</v>
      </c>
      <c r="D3629" s="0" t="s">
        <v>15</v>
      </c>
      <c r="F3629" s="0" t="s">
        <v>18685</v>
      </c>
      <c r="G3629" s="0" t="s">
        <v>18674</v>
      </c>
    </row>
    <row r="3630" customFormat="false" ht="15" hidden="false" customHeight="false" outlineLevel="0" collapsed="false">
      <c r="A3630" s="0" t="n">
        <v>3621</v>
      </c>
      <c r="B3630" s="0" t="n">
        <v>22239</v>
      </c>
      <c r="C3630" s="0" t="s">
        <v>14748</v>
      </c>
      <c r="D3630" s="0" t="s">
        <v>15</v>
      </c>
      <c r="F3630" s="0" t="s">
        <v>18685</v>
      </c>
      <c r="G3630" s="0" t="s">
        <v>18674</v>
      </c>
    </row>
    <row r="3631" customFormat="false" ht="15" hidden="false" customHeight="false" outlineLevel="0" collapsed="false">
      <c r="A3631" s="0" t="n">
        <v>3623</v>
      </c>
      <c r="B3631" s="0" t="n">
        <v>22241</v>
      </c>
      <c r="C3631" s="0" t="s">
        <v>14755</v>
      </c>
      <c r="D3631" s="0" t="s">
        <v>15</v>
      </c>
      <c r="F3631" s="0" t="s">
        <v>18685</v>
      </c>
      <c r="G3631" s="0" t="s">
        <v>18674</v>
      </c>
    </row>
    <row r="3632" customFormat="false" ht="15" hidden="false" customHeight="false" outlineLevel="0" collapsed="false">
      <c r="A3632" s="0" t="n">
        <v>3626</v>
      </c>
      <c r="B3632" s="0" t="n">
        <v>22244</v>
      </c>
      <c r="C3632" s="0" t="s">
        <v>14767</v>
      </c>
      <c r="D3632" s="0" t="s">
        <v>15</v>
      </c>
      <c r="F3632" s="0" t="s">
        <v>18685</v>
      </c>
      <c r="G3632" s="0" t="s">
        <v>18674</v>
      </c>
    </row>
    <row r="3633" customFormat="false" ht="15" hidden="false" customHeight="false" outlineLevel="0" collapsed="false">
      <c r="A3633" s="0" t="n">
        <v>3661</v>
      </c>
      <c r="B3633" s="0" t="n">
        <v>22281</v>
      </c>
      <c r="C3633" s="0" t="s">
        <v>14916</v>
      </c>
      <c r="D3633" s="0" t="s">
        <v>15</v>
      </c>
      <c r="F3633" s="0" t="s">
        <v>18676</v>
      </c>
      <c r="G3633" s="0" t="s">
        <v>18674</v>
      </c>
    </row>
    <row r="3634" customFormat="false" ht="15" hidden="false" customHeight="false" outlineLevel="0" collapsed="false">
      <c r="A3634" s="0" t="n">
        <v>3683</v>
      </c>
      <c r="B3634" s="0" t="n">
        <v>22303</v>
      </c>
      <c r="C3634" s="0" t="s">
        <v>15020</v>
      </c>
      <c r="D3634" s="0" t="s">
        <v>15</v>
      </c>
      <c r="F3634" s="0" t="s">
        <v>18676</v>
      </c>
      <c r="G3634" s="0" t="s">
        <v>18674</v>
      </c>
    </row>
    <row r="3635" customFormat="false" ht="15" hidden="false" customHeight="false" outlineLevel="0" collapsed="false">
      <c r="A3635" s="0" t="n">
        <v>3684</v>
      </c>
      <c r="B3635" s="0" t="n">
        <v>22304</v>
      </c>
      <c r="C3635" s="0" t="s">
        <v>15024</v>
      </c>
      <c r="D3635" s="0" t="s">
        <v>15</v>
      </c>
      <c r="F3635" s="0" t="s">
        <v>18676</v>
      </c>
      <c r="G3635" s="0" t="s">
        <v>18674</v>
      </c>
    </row>
    <row r="3636" customFormat="false" ht="15" hidden="false" customHeight="false" outlineLevel="0" collapsed="false">
      <c r="A3636" s="0" t="n">
        <v>3685</v>
      </c>
      <c r="B3636" s="0" t="n">
        <v>22305</v>
      </c>
      <c r="C3636" s="0" t="s">
        <v>15028</v>
      </c>
      <c r="D3636" s="0" t="s">
        <v>15</v>
      </c>
      <c r="F3636" s="0" t="s">
        <v>18676</v>
      </c>
      <c r="G3636" s="0" t="s">
        <v>18674</v>
      </c>
    </row>
    <row r="3637" customFormat="false" ht="15" hidden="false" customHeight="false" outlineLevel="0" collapsed="false">
      <c r="A3637" s="0" t="n">
        <v>3740</v>
      </c>
      <c r="B3637" s="0" t="n">
        <v>22360</v>
      </c>
      <c r="C3637" s="0" t="s">
        <v>15258</v>
      </c>
      <c r="D3637" s="0" t="s">
        <v>15</v>
      </c>
      <c r="F3637" s="0" t="s">
        <v>18676</v>
      </c>
      <c r="G3637" s="0" t="s">
        <v>18674</v>
      </c>
    </row>
    <row r="3638" customFormat="false" ht="15" hidden="false" customHeight="false" outlineLevel="0" collapsed="false">
      <c r="A3638" s="0" t="n">
        <v>4190</v>
      </c>
      <c r="B3638" s="0" t="n">
        <v>22824</v>
      </c>
      <c r="C3638" s="0" t="s">
        <v>17167</v>
      </c>
      <c r="D3638" s="0" t="s">
        <v>15</v>
      </c>
      <c r="F3638" s="0" t="s">
        <v>18676</v>
      </c>
      <c r="G3638" s="0" t="s">
        <v>18674</v>
      </c>
    </row>
    <row r="3639" customFormat="false" ht="15" hidden="false" customHeight="false" outlineLevel="0" collapsed="false">
      <c r="A3639" s="0" t="n">
        <v>4317</v>
      </c>
      <c r="B3639" s="0" t="n">
        <v>22952</v>
      </c>
      <c r="C3639" s="0" t="s">
        <v>17698</v>
      </c>
      <c r="D3639" s="0" t="s">
        <v>15</v>
      </c>
      <c r="F3639" s="0" t="s">
        <v>18676</v>
      </c>
      <c r="G3639" s="0" t="s">
        <v>18674</v>
      </c>
    </row>
    <row r="3640" customFormat="false" ht="15" hidden="false" customHeight="false" outlineLevel="0" collapsed="false">
      <c r="A3640" s="0" t="n">
        <v>4318</v>
      </c>
      <c r="B3640" s="0" t="n">
        <v>22953</v>
      </c>
      <c r="C3640" s="0" t="s">
        <v>17702</v>
      </c>
      <c r="D3640" s="0" t="s">
        <v>15</v>
      </c>
      <c r="F3640" s="0" t="s">
        <v>18697</v>
      </c>
      <c r="G3640" s="0" t="s">
        <v>18674</v>
      </c>
    </row>
    <row r="3641" customFormat="false" ht="15" hidden="false" customHeight="false" outlineLevel="0" collapsed="false">
      <c r="A3641" s="0" t="n">
        <v>4319</v>
      </c>
      <c r="B3641" s="0" t="n">
        <v>22954</v>
      </c>
      <c r="C3641" s="0" t="s">
        <v>17708</v>
      </c>
      <c r="D3641" s="0" t="s">
        <v>15</v>
      </c>
      <c r="F3641" s="0" t="s">
        <v>18697</v>
      </c>
      <c r="G3641" s="0" t="s">
        <v>18674</v>
      </c>
    </row>
    <row r="3642" customFormat="false" ht="15" hidden="false" customHeight="false" outlineLevel="0" collapsed="false">
      <c r="A3642" s="0" t="n">
        <v>4322</v>
      </c>
      <c r="B3642" s="0" t="n">
        <v>22957</v>
      </c>
      <c r="C3642" s="0" t="s">
        <v>17720</v>
      </c>
      <c r="D3642" s="0" t="s">
        <v>15</v>
      </c>
      <c r="F3642" s="0" t="s">
        <v>18676</v>
      </c>
      <c r="G3642" s="0" t="s">
        <v>18674</v>
      </c>
    </row>
    <row r="3643" customFormat="false" ht="15" hidden="false" customHeight="false" outlineLevel="0" collapsed="false">
      <c r="A3643" s="0" t="n">
        <v>4323</v>
      </c>
      <c r="B3643" s="0" t="n">
        <v>22958</v>
      </c>
      <c r="C3643" s="0" t="s">
        <v>17724</v>
      </c>
      <c r="D3643" s="0" t="s">
        <v>15</v>
      </c>
      <c r="F3643" s="0" t="s">
        <v>18676</v>
      </c>
      <c r="G3643" s="0" t="s">
        <v>18674</v>
      </c>
    </row>
    <row r="3644" customFormat="false" ht="15" hidden="false" customHeight="false" outlineLevel="0" collapsed="false">
      <c r="A3644" s="0" t="n">
        <v>16</v>
      </c>
      <c r="B3644" s="0" t="n">
        <v>141</v>
      </c>
      <c r="C3644" s="0" t="s">
        <v>114</v>
      </c>
      <c r="D3644" s="0" t="s">
        <v>5</v>
      </c>
      <c r="E3644" s="0" t="e">
        <f aca="false">IFERROR(__xludf.dummyfunction("xlookup(aj16,importrange("1xainw9du9nz21v0tyifz))</f>
        <v>#VALUE!</v>
      </c>
      <c r="F3644" s="0" t="s">
        <v>115</v>
      </c>
      <c r="G3644" s="0" t="s">
        <v>18698</v>
      </c>
    </row>
    <row r="3645" customFormat="false" ht="15" hidden="false" customHeight="false" outlineLevel="0" collapsed="false">
      <c r="A3645" s="0" t="n">
        <v>27</v>
      </c>
      <c r="B3645" s="0" t="n">
        <v>200</v>
      </c>
      <c r="C3645" s="0" t="s">
        <v>164</v>
      </c>
      <c r="D3645" s="0" t="s">
        <v>5</v>
      </c>
      <c r="E3645" s="0" t="e">
        <f aca="false">IFERROR(__xludf.dummyfunction("xlookup(aj27,importrange("1xainw9du9nz21v0tyifz))</f>
        <v>#VALUE!</v>
      </c>
      <c r="F3645" s="0" t="s">
        <v>165</v>
      </c>
      <c r="G3645" s="0" t="s">
        <v>18698</v>
      </c>
    </row>
    <row r="3646" customFormat="false" ht="15" hidden="false" customHeight="false" outlineLevel="0" collapsed="false">
      <c r="A3646" s="0" t="n">
        <v>28</v>
      </c>
      <c r="B3646" s="0" t="n">
        <v>201</v>
      </c>
      <c r="C3646" s="0" t="s">
        <v>170</v>
      </c>
      <c r="D3646" s="0" t="s">
        <v>5</v>
      </c>
      <c r="E3646" s="0" t="e">
        <f aca="false">IFERROR(__xludf.dummyfunction("xlookup(aj28,importrange("1xainw9du9nz21v0tyifz))</f>
        <v>#VALUE!</v>
      </c>
      <c r="F3646" s="0" t="s">
        <v>171</v>
      </c>
      <c r="G3646" s="0" t="s">
        <v>18698</v>
      </c>
    </row>
    <row r="3647" customFormat="false" ht="15" hidden="false" customHeight="false" outlineLevel="0" collapsed="false">
      <c r="A3647" s="0" t="n">
        <v>39</v>
      </c>
      <c r="B3647" s="0" t="n">
        <v>227</v>
      </c>
      <c r="C3647" s="0" t="s">
        <v>218</v>
      </c>
      <c r="D3647" s="0" t="s">
        <v>5</v>
      </c>
      <c r="E3647" s="0" t="e">
        <f aca="false">IFERROR(__xludf.dummyfunction("xlookup(aj39,importrange("1xainw9du9nz21v0tyifz))</f>
        <v>#VALUE!</v>
      </c>
      <c r="F3647" s="0" t="s">
        <v>219</v>
      </c>
      <c r="G3647" s="0" t="s">
        <v>18698</v>
      </c>
    </row>
    <row r="3648" customFormat="false" ht="15" hidden="false" customHeight="false" outlineLevel="0" collapsed="false">
      <c r="A3648" s="0" t="n">
        <v>63</v>
      </c>
      <c r="B3648" s="0" t="n">
        <v>275</v>
      </c>
      <c r="C3648" s="0" t="s">
        <v>326</v>
      </c>
      <c r="D3648" s="0" t="s">
        <v>5</v>
      </c>
      <c r="E3648" s="0" t="e">
        <f aca="false">IFERROR(__xludf.dummyfunction("xlookup(aj63,importrange("1xainw9du9nz21v0tyifz))</f>
        <v>#VALUE!</v>
      </c>
      <c r="F3648" s="0" t="s">
        <v>327</v>
      </c>
      <c r="G3648" s="0" t="s">
        <v>18698</v>
      </c>
    </row>
    <row r="3649" customFormat="false" ht="15" hidden="false" customHeight="false" outlineLevel="0" collapsed="false">
      <c r="A3649" s="0" t="n">
        <v>76</v>
      </c>
      <c r="B3649" s="0" t="n">
        <v>385</v>
      </c>
      <c r="C3649" s="0" t="s">
        <v>379</v>
      </c>
      <c r="D3649" s="0" t="s">
        <v>5</v>
      </c>
      <c r="E3649" s="0" t="e">
        <f aca="false">IFERROR(__xludf.dummyfunction("xlookup(aj76,importrange("1xainw9du9nz21v0tyifz))</f>
        <v>#VALUE!</v>
      </c>
      <c r="F3649" s="0" t="s">
        <v>381</v>
      </c>
      <c r="G3649" s="0" t="s">
        <v>18698</v>
      </c>
    </row>
    <row r="3650" customFormat="false" ht="15" hidden="false" customHeight="false" outlineLevel="0" collapsed="false">
      <c r="A3650" s="0" t="n">
        <v>111</v>
      </c>
      <c r="B3650" s="0" t="n">
        <v>649</v>
      </c>
      <c r="C3650" s="0" t="s">
        <v>535</v>
      </c>
      <c r="D3650" s="0" t="s">
        <v>5</v>
      </c>
      <c r="E3650" s="0" t="e">
        <f aca="false">IFERROR(__xludf.dummyfunction("xlookup(aj111,importrange("1xainw9du9nz21v0tyif))</f>
        <v>#VALUE!</v>
      </c>
      <c r="F3650" s="0" t="s">
        <v>537</v>
      </c>
      <c r="G3650" s="0" t="s">
        <v>18698</v>
      </c>
    </row>
    <row r="3651" customFormat="false" ht="15" hidden="false" customHeight="false" outlineLevel="0" collapsed="false">
      <c r="A3651" s="0" t="n">
        <v>151</v>
      </c>
      <c r="B3651" s="0" t="n">
        <v>767</v>
      </c>
      <c r="C3651" s="0" t="s">
        <v>703</v>
      </c>
      <c r="D3651" s="0" t="s">
        <v>5</v>
      </c>
      <c r="E3651" s="0" t="e">
        <f aca="false">IFERROR(__xludf.dummyfunction("xlookup(aj151,importrange("1xainw9du9nz21v0tyif))</f>
        <v>#VALUE!</v>
      </c>
      <c r="F3651" s="0" t="s">
        <v>705</v>
      </c>
      <c r="G3651" s="0" t="s">
        <v>18698</v>
      </c>
    </row>
    <row r="3652" customFormat="false" ht="15" hidden="false" customHeight="false" outlineLevel="0" collapsed="false">
      <c r="A3652" s="0" t="n">
        <v>163</v>
      </c>
      <c r="B3652" s="0" t="n">
        <v>1400</v>
      </c>
      <c r="C3652" s="0" t="s">
        <v>767</v>
      </c>
      <c r="D3652" s="0" t="s">
        <v>5</v>
      </c>
      <c r="E3652" s="0" t="e">
        <f aca="false">IFERROR(__xludf.dummyfunction("xlookup(aj163,importrange("1xainw9du9nz21v0tyif))</f>
        <v>#VALUE!</v>
      </c>
      <c r="F3652" s="0" t="s">
        <v>768</v>
      </c>
      <c r="G3652" s="0" t="s">
        <v>18698</v>
      </c>
    </row>
    <row r="3653" customFormat="false" ht="15" hidden="false" customHeight="false" outlineLevel="0" collapsed="false">
      <c r="A3653" s="0" t="n">
        <v>187</v>
      </c>
      <c r="B3653" s="0" t="n">
        <v>1430</v>
      </c>
      <c r="C3653" s="0" t="s">
        <v>874</v>
      </c>
      <c r="D3653" s="0" t="s">
        <v>5</v>
      </c>
      <c r="E3653" s="0" t="e">
        <f aca="false">IFERROR(__xludf.dummyfunction("xlookup(aj187,importrange("1xainw9du9nz21v0tyif))</f>
        <v>#VALUE!</v>
      </c>
      <c r="F3653" s="0" t="s">
        <v>875</v>
      </c>
      <c r="G3653" s="0" t="s">
        <v>18698</v>
      </c>
    </row>
    <row r="3654" customFormat="false" ht="15" hidden="false" customHeight="false" outlineLevel="0" collapsed="false">
      <c r="A3654" s="0" t="n">
        <v>206</v>
      </c>
      <c r="B3654" s="0" t="n">
        <v>1489</v>
      </c>
      <c r="C3654" s="0" t="s">
        <v>954</v>
      </c>
      <c r="D3654" s="0" t="s">
        <v>5</v>
      </c>
      <c r="E3654" s="0" t="e">
        <f aca="false">IFERROR(__xludf.dummyfunction("xlookup(aj206,importrange("1xainw9du9nz21v0tyif))</f>
        <v>#VALUE!</v>
      </c>
      <c r="F3654" s="0" t="s">
        <v>955</v>
      </c>
      <c r="G3654" s="0" t="s">
        <v>18698</v>
      </c>
    </row>
    <row r="3655" customFormat="false" ht="15" hidden="false" customHeight="false" outlineLevel="0" collapsed="false">
      <c r="A3655" s="0" t="n">
        <v>233</v>
      </c>
      <c r="B3655" s="0" t="n">
        <v>1542</v>
      </c>
      <c r="C3655" s="0" t="s">
        <v>1071</v>
      </c>
      <c r="D3655" s="0" t="s">
        <v>5</v>
      </c>
      <c r="E3655" s="0" t="e">
        <f aca="false">IFERROR(__xludf.dummyfunction("xlookup(aj233,importrange("1xainw9du9nz21v0tyif))</f>
        <v>#VALUE!</v>
      </c>
      <c r="F3655" s="0" t="s">
        <v>1073</v>
      </c>
      <c r="G3655" s="0" t="s">
        <v>18698</v>
      </c>
    </row>
    <row r="3656" customFormat="false" ht="15" hidden="false" customHeight="false" outlineLevel="0" collapsed="false">
      <c r="A3656" s="0" t="n">
        <v>243</v>
      </c>
      <c r="B3656" s="0" t="n">
        <v>1573</v>
      </c>
      <c r="C3656" s="0" t="s">
        <v>1113</v>
      </c>
      <c r="D3656" s="0" t="s">
        <v>5</v>
      </c>
      <c r="E3656" s="0" t="e">
        <f aca="false">IFERROR(__xludf.dummyfunction("xlookup(aj243,importrange("1xainw9du9nz21v0tyif))</f>
        <v>#VALUE!</v>
      </c>
      <c r="F3656" s="0" t="s">
        <v>1114</v>
      </c>
      <c r="G3656" s="0" t="s">
        <v>18698</v>
      </c>
    </row>
    <row r="3657" customFormat="false" ht="15" hidden="false" customHeight="false" outlineLevel="0" collapsed="false">
      <c r="A3657" s="0" t="n">
        <v>253</v>
      </c>
      <c r="B3657" s="0" t="n">
        <v>1600</v>
      </c>
      <c r="C3657" s="0" t="s">
        <v>1155</v>
      </c>
      <c r="D3657" s="0" t="s">
        <v>5</v>
      </c>
      <c r="E3657" s="0" t="e">
        <f aca="false">IFERROR(__xludf.dummyfunction("xlookup(aj253,importrange("1xainw9du9nz21v0tyif))</f>
        <v>#VALUE!</v>
      </c>
      <c r="F3657" s="0" t="s">
        <v>1156</v>
      </c>
      <c r="G3657" s="0" t="s">
        <v>18698</v>
      </c>
    </row>
    <row r="3658" customFormat="false" ht="15" hidden="false" customHeight="false" outlineLevel="0" collapsed="false">
      <c r="A3658" s="0" t="n">
        <v>262</v>
      </c>
      <c r="B3658" s="0" t="n">
        <v>1638</v>
      </c>
      <c r="C3658" s="0" t="s">
        <v>1196</v>
      </c>
      <c r="D3658" s="0" t="s">
        <v>5</v>
      </c>
      <c r="E3658" s="0" t="e">
        <f aca="false">IFERROR(__xludf.dummyfunction("xlookup(aj262,importrange("1xainw9du9nz21v0tyif))</f>
        <v>#VALUE!</v>
      </c>
      <c r="F3658" s="0" t="s">
        <v>1197</v>
      </c>
      <c r="G3658" s="0" t="s">
        <v>18698</v>
      </c>
    </row>
    <row r="3659" customFormat="false" ht="15" hidden="false" customHeight="false" outlineLevel="0" collapsed="false">
      <c r="A3659" s="0" t="n">
        <v>294</v>
      </c>
      <c r="B3659" s="0" t="n">
        <v>1825</v>
      </c>
      <c r="C3659" s="0" t="s">
        <v>1337</v>
      </c>
      <c r="D3659" s="0" t="s">
        <v>5</v>
      </c>
      <c r="E3659" s="0" t="e">
        <f aca="false">IFERROR(__xludf.dummyfunction("xlookup(aj294,importrange("1xainw9du9nz21v0tyif))</f>
        <v>#VALUE!</v>
      </c>
      <c r="F3659" s="0" t="s">
        <v>1339</v>
      </c>
      <c r="G3659" s="0" t="s">
        <v>18698</v>
      </c>
    </row>
    <row r="3660" customFormat="false" ht="15" hidden="false" customHeight="false" outlineLevel="0" collapsed="false">
      <c r="A3660" s="0" t="n">
        <v>295</v>
      </c>
      <c r="B3660" s="0" t="n">
        <v>1830</v>
      </c>
      <c r="C3660" s="0" t="s">
        <v>1344</v>
      </c>
      <c r="D3660" s="0" t="s">
        <v>5</v>
      </c>
      <c r="E3660" s="0" t="e">
        <f aca="false">IFERROR(__xludf.dummyfunction("xlookup(aj295,importrange("1xainw9du9nz21v0tyif))</f>
        <v>#VALUE!</v>
      </c>
      <c r="F3660" s="0" t="s">
        <v>1345</v>
      </c>
      <c r="G3660" s="0" t="s">
        <v>18698</v>
      </c>
    </row>
    <row r="3661" customFormat="false" ht="15" hidden="false" customHeight="false" outlineLevel="0" collapsed="false">
      <c r="A3661" s="0" t="n">
        <v>298</v>
      </c>
      <c r="B3661" s="0" t="n">
        <v>1863</v>
      </c>
      <c r="C3661" s="0" t="s">
        <v>1359</v>
      </c>
      <c r="D3661" s="0" t="s">
        <v>5</v>
      </c>
      <c r="E3661" s="0" t="e">
        <f aca="false">IFERROR(__xludf.dummyfunction("xlookup(aj298,importrange("1xainw9du9nz21v0tyif))</f>
        <v>#VALUE!</v>
      </c>
      <c r="F3661" s="0" t="s">
        <v>1360</v>
      </c>
      <c r="G3661" s="0" t="s">
        <v>18698</v>
      </c>
    </row>
    <row r="3662" customFormat="false" ht="15" hidden="false" customHeight="false" outlineLevel="0" collapsed="false">
      <c r="A3662" s="0" t="n">
        <v>301</v>
      </c>
      <c r="B3662" s="0" t="n">
        <v>1869</v>
      </c>
      <c r="C3662" s="0" t="s">
        <v>1372</v>
      </c>
      <c r="D3662" s="0" t="s">
        <v>5</v>
      </c>
      <c r="E3662" s="0" t="e">
        <f aca="false">IFERROR(__xludf.dummyfunction("xlookup(aj301,importrange("1xainw9du9nz21v0tyif))</f>
        <v>#VALUE!</v>
      </c>
      <c r="F3662" s="0" t="s">
        <v>1373</v>
      </c>
      <c r="G3662" s="0" t="s">
        <v>18698</v>
      </c>
    </row>
    <row r="3663" customFormat="false" ht="15" hidden="false" customHeight="false" outlineLevel="0" collapsed="false">
      <c r="A3663" s="0" t="n">
        <v>303</v>
      </c>
      <c r="B3663" s="0" t="n">
        <v>1872</v>
      </c>
      <c r="C3663" s="0" t="s">
        <v>1381</v>
      </c>
      <c r="D3663" s="0" t="s">
        <v>5</v>
      </c>
      <c r="E3663" s="0" t="e">
        <f aca="false">IFERROR(__xludf.dummyfunction("xlookup(aj303,importrange("1xainw9du9nz21v0tyif))</f>
        <v>#VALUE!</v>
      </c>
      <c r="F3663" s="0" t="s">
        <v>1382</v>
      </c>
      <c r="G3663" s="0" t="s">
        <v>18698</v>
      </c>
    </row>
    <row r="3664" customFormat="false" ht="15" hidden="false" customHeight="false" outlineLevel="0" collapsed="false">
      <c r="A3664" s="0" t="n">
        <v>318</v>
      </c>
      <c r="B3664" s="0" t="n">
        <v>1906</v>
      </c>
      <c r="C3664" s="0" t="s">
        <v>1445</v>
      </c>
      <c r="D3664" s="0" t="s">
        <v>5</v>
      </c>
      <c r="E3664" s="0" t="e">
        <f aca="false">IFERROR(__xludf.dummyfunction("xlookup(aj318,importrange("1xainw9du9nz21v0tyif))</f>
        <v>#VALUE!</v>
      </c>
      <c r="F3664" s="0" t="s">
        <v>1446</v>
      </c>
      <c r="G3664" s="0" t="s">
        <v>18698</v>
      </c>
    </row>
    <row r="3665" customFormat="false" ht="15" hidden="false" customHeight="false" outlineLevel="0" collapsed="false">
      <c r="A3665" s="0" t="n">
        <v>320</v>
      </c>
      <c r="B3665" s="0" t="n">
        <v>1912</v>
      </c>
      <c r="C3665" s="0" t="s">
        <v>1456</v>
      </c>
      <c r="D3665" s="0" t="s">
        <v>5</v>
      </c>
      <c r="E3665" s="0" t="e">
        <f aca="false">IFERROR(__xludf.dummyfunction("xlookup(aj320,importrange("1xainw9du9nz21v0tyif))</f>
        <v>#VALUE!</v>
      </c>
      <c r="F3665" s="0" t="s">
        <v>1457</v>
      </c>
      <c r="G3665" s="0" t="s">
        <v>18698</v>
      </c>
    </row>
    <row r="3666" customFormat="false" ht="15" hidden="false" customHeight="false" outlineLevel="0" collapsed="false">
      <c r="A3666" s="0" t="n">
        <v>335</v>
      </c>
      <c r="B3666" s="0" t="n">
        <v>1946</v>
      </c>
      <c r="C3666" s="0" t="s">
        <v>1519</v>
      </c>
      <c r="D3666" s="0" t="s">
        <v>5</v>
      </c>
      <c r="E3666" s="0" t="e">
        <f aca="false">IFERROR(__xludf.dummyfunction("xlookup(aj335,importrange("1xainw9du9nz21v0tyif))</f>
        <v>#VALUE!</v>
      </c>
      <c r="F3666" s="0" t="s">
        <v>1520</v>
      </c>
      <c r="G3666" s="0" t="s">
        <v>18698</v>
      </c>
    </row>
    <row r="3667" customFormat="false" ht="15" hidden="false" customHeight="false" outlineLevel="0" collapsed="false">
      <c r="A3667" s="0" t="n">
        <v>337</v>
      </c>
      <c r="B3667" s="0" t="n">
        <v>1951</v>
      </c>
      <c r="C3667" s="0" t="s">
        <v>1528</v>
      </c>
      <c r="D3667" s="0" t="s">
        <v>5</v>
      </c>
      <c r="E3667" s="0" t="e">
        <f aca="false">IFERROR(__xludf.dummyfunction("xlookup(aj337,importrange("1xainw9du9nz21v0tyif))</f>
        <v>#VALUE!</v>
      </c>
      <c r="F3667" s="0" t="s">
        <v>1529</v>
      </c>
      <c r="G3667" s="0" t="s">
        <v>18698</v>
      </c>
    </row>
    <row r="3668" customFormat="false" ht="15" hidden="false" customHeight="false" outlineLevel="0" collapsed="false">
      <c r="A3668" s="0" t="n">
        <v>344</v>
      </c>
      <c r="B3668" s="0" t="n">
        <v>1977</v>
      </c>
      <c r="C3668" s="0" t="s">
        <v>1558</v>
      </c>
      <c r="D3668" s="0" t="s">
        <v>5</v>
      </c>
      <c r="E3668" s="0" t="e">
        <f aca="false">IFERROR(__xludf.dummyfunction("xlookup(aj344,importrange("1xainw9du9nz21v0tyif))</f>
        <v>#VALUE!</v>
      </c>
      <c r="F3668" s="0" t="s">
        <v>1559</v>
      </c>
      <c r="G3668" s="0" t="s">
        <v>18698</v>
      </c>
    </row>
    <row r="3669" customFormat="false" ht="15" hidden="false" customHeight="false" outlineLevel="0" collapsed="false">
      <c r="A3669" s="0" t="n">
        <v>349</v>
      </c>
      <c r="B3669" s="0" t="n">
        <v>1994</v>
      </c>
      <c r="C3669" s="0" t="s">
        <v>1579</v>
      </c>
      <c r="D3669" s="0" t="s">
        <v>5</v>
      </c>
      <c r="E3669" s="0" t="e">
        <f aca="false">IFERROR(__xludf.dummyfunction("xlookup(aj349,importrange("1xainw9du9nz21v0tyif))</f>
        <v>#VALUE!</v>
      </c>
      <c r="F3669" s="0" t="s">
        <v>1580</v>
      </c>
      <c r="G3669" s="0" t="s">
        <v>18698</v>
      </c>
    </row>
    <row r="3670" customFormat="false" ht="15" hidden="false" customHeight="false" outlineLevel="0" collapsed="false">
      <c r="A3670" s="0" t="n">
        <v>358</v>
      </c>
      <c r="B3670" s="0" t="n">
        <v>2010</v>
      </c>
      <c r="C3670" s="0" t="s">
        <v>1617</v>
      </c>
      <c r="D3670" s="0" t="s">
        <v>5</v>
      </c>
      <c r="E3670" s="0" t="e">
        <f aca="false">IFERROR(__xludf.dummyfunction("xlookup(aj358,importrange("1xainw9du9nz21v0tyif))</f>
        <v>#VALUE!</v>
      </c>
      <c r="F3670" s="0" t="s">
        <v>1618</v>
      </c>
      <c r="G3670" s="0" t="s">
        <v>18698</v>
      </c>
    </row>
    <row r="3671" customFormat="false" ht="15" hidden="false" customHeight="false" outlineLevel="0" collapsed="false">
      <c r="A3671" s="0" t="n">
        <v>362</v>
      </c>
      <c r="B3671" s="0" t="n">
        <v>2057</v>
      </c>
      <c r="C3671" s="0" t="s">
        <v>1634</v>
      </c>
      <c r="D3671" s="0" t="s">
        <v>5</v>
      </c>
      <c r="E3671" s="0" t="e">
        <f aca="false">IFERROR(__xludf.dummyfunction("xlookup(aj362,importrange("1xainw9du9nz21v0tyif))</f>
        <v>#VALUE!</v>
      </c>
      <c r="F3671" s="0" t="s">
        <v>1635</v>
      </c>
      <c r="G3671" s="0" t="s">
        <v>18698</v>
      </c>
    </row>
    <row r="3672" customFormat="false" ht="15" hidden="false" customHeight="false" outlineLevel="0" collapsed="false">
      <c r="A3672" s="0" t="n">
        <v>373</v>
      </c>
      <c r="B3672" s="0" t="n">
        <v>22546</v>
      </c>
      <c r="C3672" s="0" t="s">
        <v>1679</v>
      </c>
      <c r="D3672" s="0" t="s">
        <v>5</v>
      </c>
      <c r="E3672" s="0" t="e">
        <f aca="false">IFERROR(__xludf.dummyfunction("xlookup(aj373,importrange("1xainw9du9nz21v0tyif))</f>
        <v>#VALUE!</v>
      </c>
      <c r="F3672" s="0" t="s">
        <v>1680</v>
      </c>
      <c r="G3672" s="0" t="s">
        <v>18698</v>
      </c>
    </row>
    <row r="3673" customFormat="false" ht="15" hidden="false" customHeight="false" outlineLevel="0" collapsed="false">
      <c r="A3673" s="0" t="n">
        <v>375</v>
      </c>
      <c r="B3673" s="0" t="n">
        <v>2113</v>
      </c>
      <c r="C3673" s="0" t="s">
        <v>1687</v>
      </c>
      <c r="D3673" s="0" t="s">
        <v>5</v>
      </c>
      <c r="E3673" s="0" t="e">
        <f aca="false">IFERROR(__xludf.dummyfunction("xlookup(aj375,importrange("1xainw9du9nz21v0tyif))</f>
        <v>#VALUE!</v>
      </c>
      <c r="F3673" s="0" t="s">
        <v>1688</v>
      </c>
      <c r="G3673" s="0" t="s">
        <v>18698</v>
      </c>
    </row>
    <row r="3674" customFormat="false" ht="15" hidden="false" customHeight="false" outlineLevel="0" collapsed="false">
      <c r="A3674" s="0" t="n">
        <v>386</v>
      </c>
      <c r="B3674" s="0" t="n">
        <v>2140</v>
      </c>
      <c r="C3674" s="0" t="s">
        <v>1735</v>
      </c>
      <c r="D3674" s="0" t="s">
        <v>5</v>
      </c>
      <c r="E3674" s="0" t="e">
        <f aca="false">IFERROR(__xludf.dummyfunction("xlookup(aj386,importrange("1xainw9du9nz21v0tyif))</f>
        <v>#VALUE!</v>
      </c>
      <c r="F3674" s="0" t="s">
        <v>1736</v>
      </c>
      <c r="G3674" s="0" t="s">
        <v>18698</v>
      </c>
    </row>
    <row r="3675" customFormat="false" ht="15" hidden="false" customHeight="false" outlineLevel="0" collapsed="false">
      <c r="A3675" s="0" t="n">
        <v>394</v>
      </c>
      <c r="B3675" s="0" t="n">
        <v>2176</v>
      </c>
      <c r="C3675" s="0" t="s">
        <v>1777</v>
      </c>
      <c r="D3675" s="0" t="s">
        <v>5</v>
      </c>
      <c r="E3675" s="0" t="e">
        <f aca="false">IFERROR(__xludf.dummyfunction("xlookup(aj394,importrange("1xainw9du9nz21v0tyif))</f>
        <v>#VALUE!</v>
      </c>
      <c r="F3675" s="0" t="s">
        <v>1779</v>
      </c>
      <c r="G3675" s="0" t="s">
        <v>18698</v>
      </c>
    </row>
    <row r="3676" customFormat="false" ht="15" hidden="false" customHeight="false" outlineLevel="0" collapsed="false">
      <c r="A3676" s="0" t="n">
        <v>399</v>
      </c>
      <c r="B3676" s="0" t="n">
        <v>22702</v>
      </c>
      <c r="C3676" s="0" t="s">
        <v>1801</v>
      </c>
      <c r="D3676" s="0" t="s">
        <v>5</v>
      </c>
      <c r="E3676" s="0" t="e">
        <f aca="false">IFERROR(__xludf.dummyfunction("xlookup(aj399,importrange("1xainw9du9nz21v0tyif))</f>
        <v>#VALUE!</v>
      </c>
      <c r="F3676" s="0" t="s">
        <v>1802</v>
      </c>
      <c r="G3676" s="0" t="s">
        <v>18698</v>
      </c>
    </row>
    <row r="3677" customFormat="false" ht="15" hidden="false" customHeight="false" outlineLevel="0" collapsed="false">
      <c r="A3677" s="0" t="n">
        <v>400</v>
      </c>
      <c r="B3677" s="0" t="n">
        <v>22697</v>
      </c>
      <c r="C3677" s="0" t="s">
        <v>1806</v>
      </c>
      <c r="D3677" s="0" t="s">
        <v>5</v>
      </c>
      <c r="E3677" s="0" t="e">
        <f aca="false">IFERROR(__xludf.dummyfunction("xlookup(aj400,importrange("1xainw9du9nz21v0tyif))</f>
        <v>#VALUE!</v>
      </c>
      <c r="F3677" s="0" t="s">
        <v>1807</v>
      </c>
      <c r="G3677" s="0" t="s">
        <v>18698</v>
      </c>
    </row>
    <row r="3678" customFormat="false" ht="15" hidden="false" customHeight="false" outlineLevel="0" collapsed="false">
      <c r="A3678" s="0" t="n">
        <v>402</v>
      </c>
      <c r="B3678" s="0" t="n">
        <v>2204</v>
      </c>
      <c r="C3678" s="0" t="s">
        <v>1815</v>
      </c>
      <c r="D3678" s="0" t="s">
        <v>5</v>
      </c>
      <c r="E3678" s="0" t="e">
        <f aca="false">IFERROR(__xludf.dummyfunction("xlookup(aj402,importrange("1xainw9du9nz21v0tyif))</f>
        <v>#VALUE!</v>
      </c>
      <c r="F3678" s="0" t="s">
        <v>1816</v>
      </c>
      <c r="G3678" s="0" t="s">
        <v>18698</v>
      </c>
    </row>
    <row r="3679" customFormat="false" ht="15" hidden="false" customHeight="false" outlineLevel="0" collapsed="false">
      <c r="A3679" s="0" t="n">
        <v>403</v>
      </c>
      <c r="B3679" s="0" t="n">
        <v>22704</v>
      </c>
      <c r="C3679" s="0" t="s">
        <v>1820</v>
      </c>
      <c r="D3679" s="0" t="s">
        <v>5</v>
      </c>
      <c r="E3679" s="0" t="e">
        <f aca="false">IFERROR(__xludf.dummyfunction("xlookup(aj403,importrange("1xainw9du9nz21v0tyif))</f>
        <v>#VALUE!</v>
      </c>
      <c r="F3679" s="0" t="s">
        <v>1821</v>
      </c>
      <c r="G3679" s="0" t="s">
        <v>18698</v>
      </c>
    </row>
    <row r="3680" customFormat="false" ht="15" hidden="false" customHeight="false" outlineLevel="0" collapsed="false">
      <c r="A3680" s="0" t="n">
        <v>406</v>
      </c>
      <c r="B3680" s="0" t="n">
        <v>2218</v>
      </c>
      <c r="C3680" s="0" t="s">
        <v>1834</v>
      </c>
      <c r="D3680" s="0" t="s">
        <v>5</v>
      </c>
      <c r="E3680" s="0" t="e">
        <f aca="false">IFERROR(__xludf.dummyfunction("xlookup(aj406,importrange("1xainw9du9nz21v0tyif))</f>
        <v>#VALUE!</v>
      </c>
      <c r="F3680" s="0" t="s">
        <v>1835</v>
      </c>
      <c r="G3680" s="0" t="s">
        <v>18698</v>
      </c>
    </row>
    <row r="3681" customFormat="false" ht="15" hidden="false" customHeight="false" outlineLevel="0" collapsed="false">
      <c r="A3681" s="0" t="n">
        <v>413</v>
      </c>
      <c r="B3681" s="0" t="n">
        <v>22692</v>
      </c>
      <c r="C3681" s="0" t="s">
        <v>1864</v>
      </c>
      <c r="D3681" s="0" t="s">
        <v>5</v>
      </c>
      <c r="E3681" s="0" t="e">
        <f aca="false">IFERROR(__xludf.dummyfunction("xlookup(aj413,importrange("1xainw9du9nz21v0tyif))</f>
        <v>#VALUE!</v>
      </c>
      <c r="F3681" s="0" t="s">
        <v>1865</v>
      </c>
      <c r="G3681" s="0" t="s">
        <v>18698</v>
      </c>
    </row>
    <row r="3682" customFormat="false" ht="15" hidden="false" customHeight="false" outlineLevel="0" collapsed="false">
      <c r="A3682" s="0" t="n">
        <v>419</v>
      </c>
      <c r="B3682" s="0" t="n">
        <v>2257</v>
      </c>
      <c r="C3682" s="0" t="s">
        <v>1889</v>
      </c>
      <c r="D3682" s="0" t="s">
        <v>5</v>
      </c>
      <c r="E3682" s="0" t="e">
        <f aca="false">IFERROR(__xludf.dummyfunction("xlookup(aj419,importrange("1xainw9du9nz21v0tyif))</f>
        <v>#VALUE!</v>
      </c>
      <c r="F3682" s="0" t="s">
        <v>1890</v>
      </c>
      <c r="G3682" s="0" t="s">
        <v>18698</v>
      </c>
    </row>
    <row r="3683" customFormat="false" ht="15" hidden="false" customHeight="false" outlineLevel="0" collapsed="false">
      <c r="A3683" s="0" t="n">
        <v>421</v>
      </c>
      <c r="B3683" s="0" t="n">
        <v>22322</v>
      </c>
      <c r="C3683" s="0" t="s">
        <v>1898</v>
      </c>
      <c r="D3683" s="0" t="s">
        <v>5</v>
      </c>
      <c r="E3683" s="0" t="e">
        <f aca="false">IFERROR(__xludf.dummyfunction("xlookup(aj421,importrange("1xainw9du9nz21v0tyif))</f>
        <v>#VALUE!</v>
      </c>
      <c r="F3683" s="0" t="s">
        <v>1899</v>
      </c>
      <c r="G3683" s="0" t="s">
        <v>18698</v>
      </c>
    </row>
    <row r="3684" customFormat="false" ht="15" hidden="false" customHeight="false" outlineLevel="0" collapsed="false">
      <c r="A3684" s="0" t="n">
        <v>422</v>
      </c>
      <c r="B3684" s="0" t="n">
        <v>22719</v>
      </c>
      <c r="C3684" s="0" t="s">
        <v>1903</v>
      </c>
      <c r="D3684" s="0" t="s">
        <v>5</v>
      </c>
      <c r="E3684" s="0" t="e">
        <f aca="false">IFERROR(__xludf.dummyfunction("xlookup(aj422,importrange("1xainw9du9nz21v0tyif))</f>
        <v>#VALUE!</v>
      </c>
      <c r="F3684" s="0" t="s">
        <v>1904</v>
      </c>
      <c r="G3684" s="0" t="s">
        <v>18698</v>
      </c>
    </row>
    <row r="3685" customFormat="false" ht="15" hidden="false" customHeight="false" outlineLevel="0" collapsed="false">
      <c r="A3685" s="0" t="n">
        <v>423</v>
      </c>
      <c r="B3685" s="0" t="n">
        <v>22686</v>
      </c>
      <c r="C3685" s="0" t="s">
        <v>1908</v>
      </c>
      <c r="D3685" s="0" t="s">
        <v>5</v>
      </c>
      <c r="E3685" s="0" t="e">
        <f aca="false">IFERROR(__xludf.dummyfunction("xlookup(aj423,importrange("1xainw9du9nz21v0tyif))</f>
        <v>#VALUE!</v>
      </c>
      <c r="F3685" s="0" t="s">
        <v>1909</v>
      </c>
      <c r="G3685" s="0" t="s">
        <v>18698</v>
      </c>
    </row>
    <row r="3686" customFormat="false" ht="15" hidden="false" customHeight="false" outlineLevel="0" collapsed="false">
      <c r="A3686" s="0" t="n">
        <v>428</v>
      </c>
      <c r="B3686" s="0" t="n">
        <v>22710</v>
      </c>
      <c r="C3686" s="0" t="s">
        <v>1930</v>
      </c>
      <c r="D3686" s="0" t="s">
        <v>5</v>
      </c>
      <c r="E3686" s="0" t="e">
        <f aca="false">IFERROR(__xludf.dummyfunction("xlookup(aj428,importrange("1xainw9du9nz21v0tyif))</f>
        <v>#VALUE!</v>
      </c>
      <c r="F3686" s="0" t="s">
        <v>1931</v>
      </c>
      <c r="G3686" s="0" t="s">
        <v>18698</v>
      </c>
    </row>
    <row r="3687" customFormat="false" ht="15" hidden="false" customHeight="false" outlineLevel="0" collapsed="false">
      <c r="A3687" s="0" t="n">
        <v>429</v>
      </c>
      <c r="B3687" s="0" t="n">
        <v>22688</v>
      </c>
      <c r="C3687" s="0" t="s">
        <v>1935</v>
      </c>
      <c r="D3687" s="0" t="s">
        <v>5</v>
      </c>
      <c r="E3687" s="0" t="e">
        <f aca="false">IFERROR(__xludf.dummyfunction("xlookup(aj429,importrange("1xainw9du9nz21v0tyif))</f>
        <v>#VALUE!</v>
      </c>
      <c r="F3687" s="0" t="s">
        <v>1936</v>
      </c>
      <c r="G3687" s="0" t="s">
        <v>18698</v>
      </c>
    </row>
    <row r="3688" customFormat="false" ht="15" hidden="false" customHeight="false" outlineLevel="0" collapsed="false">
      <c r="A3688" s="0" t="n">
        <v>434</v>
      </c>
      <c r="B3688" s="0" t="n">
        <v>22715</v>
      </c>
      <c r="C3688" s="0" t="s">
        <v>1955</v>
      </c>
      <c r="D3688" s="0" t="s">
        <v>5</v>
      </c>
      <c r="E3688" s="0" t="e">
        <f aca="false">IFERROR(__xludf.dummyfunction("xlookup(aj434,importrange("1xainw9du9nz21v0tyif))</f>
        <v>#VALUE!</v>
      </c>
      <c r="F3688" s="0" t="s">
        <v>1956</v>
      </c>
      <c r="G3688" s="0" t="s">
        <v>18698</v>
      </c>
    </row>
    <row r="3689" customFormat="false" ht="15" hidden="false" customHeight="false" outlineLevel="0" collapsed="false">
      <c r="A3689" s="0" t="n">
        <v>439</v>
      </c>
      <c r="B3689" s="0" t="n">
        <v>2292</v>
      </c>
      <c r="C3689" s="0" t="s">
        <v>1975</v>
      </c>
      <c r="D3689" s="0" t="s">
        <v>5</v>
      </c>
      <c r="E3689" s="0" t="e">
        <f aca="false">IFERROR(__xludf.dummyfunction("xlookup(aj439,importrange("1xainw9du9nz21v0tyif))</f>
        <v>#VALUE!</v>
      </c>
      <c r="F3689" s="0" t="s">
        <v>1976</v>
      </c>
      <c r="G3689" s="0" t="s">
        <v>18698</v>
      </c>
    </row>
    <row r="3690" customFormat="false" ht="15" hidden="false" customHeight="false" outlineLevel="0" collapsed="false">
      <c r="A3690" s="0" t="n">
        <v>446</v>
      </c>
      <c r="B3690" s="0" t="n">
        <v>2307</v>
      </c>
      <c r="C3690" s="0" t="s">
        <v>2007</v>
      </c>
      <c r="D3690" s="0" t="s">
        <v>5</v>
      </c>
      <c r="E3690" s="0" t="e">
        <f aca="false">IFERROR(__xludf.dummyfunction("xlookup(aj446,importrange("1xainw9du9nz21v0tyif))</f>
        <v>#VALUE!</v>
      </c>
      <c r="F3690" s="0" t="s">
        <v>2008</v>
      </c>
      <c r="G3690" s="0" t="s">
        <v>18698</v>
      </c>
    </row>
    <row r="3691" customFormat="false" ht="15" hidden="false" customHeight="false" outlineLevel="0" collapsed="false">
      <c r="A3691" s="0" t="n">
        <v>447</v>
      </c>
      <c r="B3691" s="0" t="n">
        <v>2308</v>
      </c>
      <c r="C3691" s="0" t="s">
        <v>2012</v>
      </c>
      <c r="D3691" s="0" t="s">
        <v>5</v>
      </c>
      <c r="E3691" s="0" t="e">
        <f aca="false">IFERROR(__xludf.dummyfunction("xlookup(aj447,importrange("1xainw9du9nz21v0tyif))</f>
        <v>#VALUE!</v>
      </c>
      <c r="F3691" s="0" t="s">
        <v>2013</v>
      </c>
      <c r="G3691" s="0" t="s">
        <v>18698</v>
      </c>
    </row>
    <row r="3692" customFormat="false" ht="15" hidden="false" customHeight="false" outlineLevel="0" collapsed="false">
      <c r="A3692" s="0" t="n">
        <v>448</v>
      </c>
      <c r="B3692" s="0" t="n">
        <v>2309</v>
      </c>
      <c r="C3692" s="0" t="s">
        <v>2017</v>
      </c>
      <c r="D3692" s="0" t="s">
        <v>5</v>
      </c>
      <c r="E3692" s="0" t="e">
        <f aca="false">IFERROR(__xludf.dummyfunction("xlookup(aj448,importrange("1xainw9du9nz21v0tyif))</f>
        <v>#VALUE!</v>
      </c>
      <c r="F3692" s="0" t="s">
        <v>2018</v>
      </c>
      <c r="G3692" s="0" t="s">
        <v>18698</v>
      </c>
    </row>
    <row r="3693" customFormat="false" ht="15" hidden="false" customHeight="false" outlineLevel="0" collapsed="false">
      <c r="A3693" s="0" t="n">
        <v>449</v>
      </c>
      <c r="B3693" s="0" t="n">
        <v>2310</v>
      </c>
      <c r="C3693" s="0" t="s">
        <v>2022</v>
      </c>
      <c r="D3693" s="0" t="s">
        <v>5</v>
      </c>
      <c r="E3693" s="0" t="e">
        <f aca="false">IFERROR(__xludf.dummyfunction("xlookup(aj449,importrange("1xainw9du9nz21v0tyif))</f>
        <v>#VALUE!</v>
      </c>
      <c r="F3693" s="0" t="s">
        <v>2023</v>
      </c>
      <c r="G3693" s="0" t="s">
        <v>18698</v>
      </c>
    </row>
    <row r="3694" customFormat="false" ht="15" hidden="false" customHeight="false" outlineLevel="0" collapsed="false">
      <c r="A3694" s="0" t="n">
        <v>450</v>
      </c>
      <c r="B3694" s="0" t="n">
        <v>2311</v>
      </c>
      <c r="C3694" s="0" t="s">
        <v>2027</v>
      </c>
      <c r="D3694" s="0" t="s">
        <v>5</v>
      </c>
      <c r="E3694" s="0" t="e">
        <f aca="false">IFERROR(__xludf.dummyfunction("xlookup(aj450,importrange("1xainw9du9nz21v0tyif))</f>
        <v>#VALUE!</v>
      </c>
      <c r="F3694" s="0" t="s">
        <v>2028</v>
      </c>
      <c r="G3694" s="0" t="s">
        <v>18698</v>
      </c>
    </row>
    <row r="3695" customFormat="false" ht="15" hidden="false" customHeight="false" outlineLevel="0" collapsed="false">
      <c r="A3695" s="0" t="n">
        <v>453</v>
      </c>
      <c r="B3695" s="0" t="n">
        <v>2338</v>
      </c>
      <c r="C3695" s="0" t="s">
        <v>2045</v>
      </c>
      <c r="D3695" s="0" t="s">
        <v>5</v>
      </c>
      <c r="E3695" s="0" t="e">
        <f aca="false">IFERROR(__xludf.dummyfunction("xlookup(aj453,importrange("1xainw9du9nz21v0tyif))</f>
        <v>#VALUE!</v>
      </c>
      <c r="F3695" s="0" t="s">
        <v>2047</v>
      </c>
      <c r="G3695" s="0" t="s">
        <v>18698</v>
      </c>
    </row>
    <row r="3696" customFormat="false" ht="15" hidden="false" customHeight="false" outlineLevel="0" collapsed="false">
      <c r="A3696" s="0" t="n">
        <v>455</v>
      </c>
      <c r="B3696" s="0" t="n">
        <v>2341</v>
      </c>
      <c r="C3696" s="0" t="s">
        <v>2058</v>
      </c>
      <c r="D3696" s="0" t="s">
        <v>5</v>
      </c>
      <c r="E3696" s="0" t="e">
        <f aca="false">IFERROR(__xludf.dummyfunction("xlookup(aj455,importrange("1xainw9du9nz21v0tyif))</f>
        <v>#VALUE!</v>
      </c>
      <c r="F3696" s="0" t="s">
        <v>2059</v>
      </c>
      <c r="G3696" s="0" t="s">
        <v>18698</v>
      </c>
    </row>
    <row r="3697" customFormat="false" ht="15" hidden="false" customHeight="false" outlineLevel="0" collapsed="false">
      <c r="A3697" s="0" t="n">
        <v>457</v>
      </c>
      <c r="B3697" s="0" t="n">
        <v>2359</v>
      </c>
      <c r="C3697" s="0" t="s">
        <v>2067</v>
      </c>
      <c r="D3697" s="0" t="s">
        <v>5</v>
      </c>
      <c r="E3697" s="0" t="e">
        <f aca="false">IFERROR(__xludf.dummyfunction("xlookup(aj457,importrange("1xainw9du9nz21v0tyif))</f>
        <v>#VALUE!</v>
      </c>
      <c r="F3697" s="0" t="s">
        <v>2068</v>
      </c>
      <c r="G3697" s="0" t="s">
        <v>18698</v>
      </c>
    </row>
    <row r="3698" customFormat="false" ht="15" hidden="false" customHeight="false" outlineLevel="0" collapsed="false">
      <c r="A3698" s="0" t="n">
        <v>458</v>
      </c>
      <c r="B3698" s="0" t="n">
        <v>2392</v>
      </c>
      <c r="C3698" s="0" t="s">
        <v>2072</v>
      </c>
      <c r="D3698" s="0" t="s">
        <v>5</v>
      </c>
      <c r="E3698" s="0" t="e">
        <f aca="false">IFERROR(__xludf.dummyfunction("xlookup(aj458,importrange("1xainw9du9nz21v0tyif))</f>
        <v>#VALUE!</v>
      </c>
      <c r="F3698" s="0" t="s">
        <v>2073</v>
      </c>
      <c r="G3698" s="0" t="s">
        <v>18698</v>
      </c>
    </row>
    <row r="3699" customFormat="false" ht="15" hidden="false" customHeight="false" outlineLevel="0" collapsed="false">
      <c r="A3699" s="0" t="n">
        <v>464</v>
      </c>
      <c r="B3699" s="0" t="n">
        <v>2417</v>
      </c>
      <c r="C3699" s="0" t="s">
        <v>2098</v>
      </c>
      <c r="D3699" s="0" t="s">
        <v>5</v>
      </c>
      <c r="E3699" s="0" t="e">
        <f aca="false">IFERROR(__xludf.dummyfunction("xlookup(aj464,importrange("1xainw9du9nz21v0tyif))</f>
        <v>#VALUE!</v>
      </c>
      <c r="F3699" s="0" t="s">
        <v>2099</v>
      </c>
      <c r="G3699" s="0" t="s">
        <v>18698</v>
      </c>
    </row>
    <row r="3700" customFormat="false" ht="15" hidden="false" customHeight="false" outlineLevel="0" collapsed="false">
      <c r="A3700" s="0" t="n">
        <v>479</v>
      </c>
      <c r="B3700" s="0" t="n">
        <v>2489</v>
      </c>
      <c r="C3700" s="0" t="s">
        <v>2160</v>
      </c>
      <c r="D3700" s="0" t="s">
        <v>5</v>
      </c>
      <c r="E3700" s="0" t="e">
        <f aca="false">IFERROR(__xludf.dummyfunction("xlookup(aj479,importrange("1xainw9du9nz21v0tyif))</f>
        <v>#VALUE!</v>
      </c>
      <c r="F3700" s="0" t="s">
        <v>2161</v>
      </c>
      <c r="G3700" s="0" t="s">
        <v>18698</v>
      </c>
    </row>
    <row r="3701" customFormat="false" ht="15" hidden="false" customHeight="false" outlineLevel="0" collapsed="false">
      <c r="A3701" s="0" t="n">
        <v>486</v>
      </c>
      <c r="B3701" s="0" t="n">
        <v>2530</v>
      </c>
      <c r="C3701" s="0" t="s">
        <v>2190</v>
      </c>
      <c r="D3701" s="0" t="s">
        <v>5</v>
      </c>
      <c r="E3701" s="0" t="e">
        <f aca="false">IFERROR(__xludf.dummyfunction("xlookup(aj486,importrange("1xainw9du9nz21v0tyif))</f>
        <v>#VALUE!</v>
      </c>
      <c r="F3701" s="0" t="s">
        <v>2191</v>
      </c>
      <c r="G3701" s="0" t="s">
        <v>18698</v>
      </c>
    </row>
    <row r="3702" customFormat="false" ht="15" hidden="false" customHeight="false" outlineLevel="0" collapsed="false">
      <c r="A3702" s="0" t="n">
        <v>489</v>
      </c>
      <c r="B3702" s="0" t="n">
        <v>2543</v>
      </c>
      <c r="C3702" s="0" t="s">
        <v>2203</v>
      </c>
      <c r="D3702" s="0" t="s">
        <v>5</v>
      </c>
      <c r="E3702" s="0" t="e">
        <f aca="false">IFERROR(__xludf.dummyfunction("xlookup(aj489,importrange("1xainw9du9nz21v0tyif))</f>
        <v>#VALUE!</v>
      </c>
      <c r="F3702" s="0" t="s">
        <v>2204</v>
      </c>
      <c r="G3702" s="0" t="s">
        <v>18698</v>
      </c>
    </row>
    <row r="3703" customFormat="false" ht="15" hidden="false" customHeight="false" outlineLevel="0" collapsed="false">
      <c r="A3703" s="0" t="n">
        <v>504</v>
      </c>
      <c r="B3703" s="0" t="n">
        <v>2631</v>
      </c>
      <c r="C3703" s="0" t="s">
        <v>2263</v>
      </c>
      <c r="D3703" s="0" t="s">
        <v>5</v>
      </c>
      <c r="E3703" s="0" t="e">
        <f aca="false">IFERROR(__xludf.dummyfunction("xlookup(aj504,importrange("1xainw9du9nz21v0tyif))</f>
        <v>#VALUE!</v>
      </c>
      <c r="F3703" s="0" t="s">
        <v>2264</v>
      </c>
      <c r="G3703" s="0" t="s">
        <v>18698</v>
      </c>
    </row>
    <row r="3704" customFormat="false" ht="15" hidden="false" customHeight="false" outlineLevel="0" collapsed="false">
      <c r="A3704" s="0" t="n">
        <v>510</v>
      </c>
      <c r="B3704" s="0" t="n">
        <v>2666</v>
      </c>
      <c r="C3704" s="0" t="s">
        <v>2288</v>
      </c>
      <c r="D3704" s="0" t="s">
        <v>5</v>
      </c>
      <c r="E3704" s="0" t="e">
        <f aca="false">IFERROR(__xludf.dummyfunction("xlookup(aj510,importrange("1xainw9du9nz21v0tyif))</f>
        <v>#VALUE!</v>
      </c>
      <c r="F3704" s="0" t="s">
        <v>2289</v>
      </c>
      <c r="G3704" s="0" t="s">
        <v>18698</v>
      </c>
    </row>
    <row r="3705" customFormat="false" ht="15" hidden="false" customHeight="false" outlineLevel="0" collapsed="false">
      <c r="A3705" s="0" t="n">
        <v>522</v>
      </c>
      <c r="B3705" s="0" t="n">
        <v>2947</v>
      </c>
      <c r="C3705" s="0" t="s">
        <v>2342</v>
      </c>
      <c r="D3705" s="0" t="s">
        <v>5</v>
      </c>
      <c r="E3705" s="0" t="e">
        <f aca="false">IFERROR(__xludf.dummyfunction("xlookup(aj522,importrange("1xainw9du9nz21v0tyif))</f>
        <v>#VALUE!</v>
      </c>
      <c r="F3705" s="0" t="s">
        <v>2343</v>
      </c>
      <c r="G3705" s="0" t="s">
        <v>18698</v>
      </c>
    </row>
    <row r="3706" customFormat="false" ht="15" hidden="false" customHeight="false" outlineLevel="0" collapsed="false">
      <c r="A3706" s="0" t="n">
        <v>523</v>
      </c>
      <c r="B3706" s="0" t="n">
        <v>2958</v>
      </c>
      <c r="C3706" s="0" t="s">
        <v>2348</v>
      </c>
      <c r="D3706" s="0" t="s">
        <v>5</v>
      </c>
      <c r="E3706" s="0" t="e">
        <f aca="false">IFERROR(__xludf.dummyfunction("xlookup(aj523,importrange("1xainw9du9nz21v0tyif))</f>
        <v>#VALUE!</v>
      </c>
      <c r="F3706" s="0" t="s">
        <v>2349</v>
      </c>
      <c r="G3706" s="0" t="s">
        <v>18698</v>
      </c>
    </row>
    <row r="3707" customFormat="false" ht="15" hidden="false" customHeight="false" outlineLevel="0" collapsed="false">
      <c r="A3707" s="0" t="n">
        <v>526</v>
      </c>
      <c r="B3707" s="0" t="n">
        <v>3041</v>
      </c>
      <c r="C3707" s="0" t="s">
        <v>2366</v>
      </c>
      <c r="D3707" s="0" t="s">
        <v>5</v>
      </c>
      <c r="E3707" s="0" t="e">
        <f aca="false">IFERROR(__xludf.dummyfunction("xlookup(aj526,importrange("1xainw9du9nz21v0tyif))</f>
        <v>#VALUE!</v>
      </c>
      <c r="F3707" s="0" t="s">
        <v>2367</v>
      </c>
      <c r="G3707" s="0" t="s">
        <v>18698</v>
      </c>
    </row>
    <row r="3708" customFormat="false" ht="15" hidden="false" customHeight="false" outlineLevel="0" collapsed="false">
      <c r="A3708" s="0" t="n">
        <v>534</v>
      </c>
      <c r="B3708" s="0" t="n">
        <v>3064</v>
      </c>
      <c r="C3708" s="0" t="s">
        <v>2408</v>
      </c>
      <c r="D3708" s="0" t="s">
        <v>5</v>
      </c>
      <c r="E3708" s="0" t="e">
        <f aca="false">IFERROR(__xludf.dummyfunction("xlookup(aj534,importrange("1xainw9du9nz21v0tyif))</f>
        <v>#VALUE!</v>
      </c>
      <c r="F3708" s="0" t="s">
        <v>2409</v>
      </c>
      <c r="G3708" s="0" t="s">
        <v>18698</v>
      </c>
    </row>
    <row r="3709" customFormat="false" ht="15" hidden="false" customHeight="false" outlineLevel="0" collapsed="false">
      <c r="A3709" s="0" t="n">
        <v>539</v>
      </c>
      <c r="B3709" s="0" t="n">
        <v>22548</v>
      </c>
      <c r="C3709" s="0" t="s">
        <v>2436</v>
      </c>
      <c r="D3709" s="0" t="s">
        <v>5</v>
      </c>
      <c r="E3709" s="0" t="e">
        <f aca="false">IFERROR(__xludf.dummyfunction("xlookup(aj539,importrange("1xainw9du9nz21v0tyif))</f>
        <v>#VALUE!</v>
      </c>
      <c r="F3709" s="0" t="s">
        <v>2437</v>
      </c>
      <c r="G3709" s="0" t="s">
        <v>18698</v>
      </c>
    </row>
    <row r="3710" customFormat="false" ht="15" hidden="false" customHeight="false" outlineLevel="0" collapsed="false">
      <c r="A3710" s="0" t="n">
        <v>542</v>
      </c>
      <c r="B3710" s="0" t="n">
        <v>3150</v>
      </c>
      <c r="C3710" s="0" t="s">
        <v>2448</v>
      </c>
      <c r="D3710" s="0" t="s">
        <v>5</v>
      </c>
      <c r="E3710" s="0" t="e">
        <f aca="false">IFERROR(__xludf.dummyfunction("xlookup(aj542,importrange("1xainw9du9nz21v0tyif))</f>
        <v>#VALUE!</v>
      </c>
      <c r="F3710" s="0" t="s">
        <v>2449</v>
      </c>
      <c r="G3710" s="0" t="s">
        <v>18698</v>
      </c>
    </row>
    <row r="3711" customFormat="false" ht="15" hidden="false" customHeight="false" outlineLevel="0" collapsed="false">
      <c r="A3711" s="0" t="n">
        <v>544</v>
      </c>
      <c r="B3711" s="0" t="n">
        <v>3158</v>
      </c>
      <c r="C3711" s="0" t="s">
        <v>2457</v>
      </c>
      <c r="D3711" s="0" t="s">
        <v>5</v>
      </c>
      <c r="E3711" s="0" t="e">
        <f aca="false">IFERROR(__xludf.dummyfunction("xlookup(aj544,importrange("1xainw9du9nz21v0tyif))</f>
        <v>#VALUE!</v>
      </c>
      <c r="F3711" s="0" t="s">
        <v>2458</v>
      </c>
      <c r="G3711" s="0" t="s">
        <v>18698</v>
      </c>
    </row>
    <row r="3712" customFormat="false" ht="15" hidden="false" customHeight="false" outlineLevel="0" collapsed="false">
      <c r="A3712" s="0" t="n">
        <v>551</v>
      </c>
      <c r="B3712" s="0" t="n">
        <v>3214</v>
      </c>
      <c r="C3712" s="0" t="s">
        <v>2487</v>
      </c>
      <c r="D3712" s="0" t="s">
        <v>5</v>
      </c>
      <c r="E3712" s="0" t="e">
        <f aca="false">IFERROR(__xludf.dummyfunction("xlookup(aj551,importrange("1xainw9du9nz21v0tyif))</f>
        <v>#VALUE!</v>
      </c>
      <c r="F3712" s="0" t="s">
        <v>2488</v>
      </c>
      <c r="G3712" s="0" t="s">
        <v>18698</v>
      </c>
    </row>
    <row r="3713" customFormat="false" ht="15" hidden="false" customHeight="false" outlineLevel="0" collapsed="false">
      <c r="A3713" s="0" t="n">
        <v>557</v>
      </c>
      <c r="B3713" s="0" t="n">
        <v>3251</v>
      </c>
      <c r="C3713" s="0" t="s">
        <v>2512</v>
      </c>
      <c r="D3713" s="0" t="s">
        <v>5</v>
      </c>
      <c r="E3713" s="0" t="e">
        <f aca="false">IFERROR(__xludf.dummyfunction("xlookup(aj557,importrange("1xainw9du9nz21v0tyif))</f>
        <v>#VALUE!</v>
      </c>
      <c r="F3713" s="0" t="s">
        <v>2513</v>
      </c>
      <c r="G3713" s="0" t="s">
        <v>18698</v>
      </c>
    </row>
    <row r="3714" customFormat="false" ht="15" hidden="false" customHeight="false" outlineLevel="0" collapsed="false">
      <c r="A3714" s="0" t="n">
        <v>564</v>
      </c>
      <c r="B3714" s="0" t="n">
        <v>3278</v>
      </c>
      <c r="C3714" s="0" t="s">
        <v>2542</v>
      </c>
      <c r="D3714" s="0" t="s">
        <v>5</v>
      </c>
      <c r="E3714" s="0" t="e">
        <f aca="false">IFERROR(__xludf.dummyfunction("xlookup(aj564,importrange("1xainw9du9nz21v0tyif))</f>
        <v>#VALUE!</v>
      </c>
      <c r="F3714" s="0" t="s">
        <v>2543</v>
      </c>
      <c r="G3714" s="0" t="s">
        <v>18698</v>
      </c>
    </row>
    <row r="3715" customFormat="false" ht="15" hidden="false" customHeight="false" outlineLevel="0" collapsed="false">
      <c r="A3715" s="0" t="n">
        <v>566</v>
      </c>
      <c r="B3715" s="0" t="n">
        <v>3291</v>
      </c>
      <c r="C3715" s="0" t="s">
        <v>2551</v>
      </c>
      <c r="D3715" s="0" t="s">
        <v>5</v>
      </c>
      <c r="E3715" s="0" t="e">
        <f aca="false">IFERROR(__xludf.dummyfunction("xlookup(aj566,importrange("1xainw9du9nz21v0tyif))</f>
        <v>#VALUE!</v>
      </c>
      <c r="F3715" s="0" t="s">
        <v>2552</v>
      </c>
      <c r="G3715" s="0" t="s">
        <v>18698</v>
      </c>
    </row>
    <row r="3716" customFormat="false" ht="15" hidden="false" customHeight="false" outlineLevel="0" collapsed="false">
      <c r="A3716" s="0" t="n">
        <v>569</v>
      </c>
      <c r="B3716" s="0" t="n">
        <v>3307</v>
      </c>
      <c r="C3716" s="0" t="s">
        <v>2564</v>
      </c>
      <c r="D3716" s="0" t="s">
        <v>5</v>
      </c>
      <c r="E3716" s="0" t="e">
        <f aca="false">IFERROR(__xludf.dummyfunction("xlookup(aj569,importrange("1xainw9du9nz21v0tyif))</f>
        <v>#VALUE!</v>
      </c>
      <c r="F3716" s="0" t="s">
        <v>2565</v>
      </c>
      <c r="G3716" s="0" t="s">
        <v>18698</v>
      </c>
    </row>
    <row r="3717" customFormat="false" ht="15" hidden="false" customHeight="false" outlineLevel="0" collapsed="false">
      <c r="A3717" s="0" t="n">
        <v>608</v>
      </c>
      <c r="B3717" s="0" t="n">
        <v>3679</v>
      </c>
      <c r="C3717" s="0" t="s">
        <v>2728</v>
      </c>
      <c r="D3717" s="0" t="s">
        <v>5</v>
      </c>
      <c r="E3717" s="0" t="e">
        <f aca="false">IFERROR(__xludf.dummyfunction("xlookup(aj608,importrange("1xainw9du9nz21v0tyif))</f>
        <v>#VALUE!</v>
      </c>
      <c r="F3717" s="0" t="s">
        <v>2729</v>
      </c>
      <c r="G3717" s="0" t="s">
        <v>18698</v>
      </c>
    </row>
    <row r="3718" customFormat="false" ht="15" hidden="false" customHeight="false" outlineLevel="0" collapsed="false">
      <c r="A3718" s="0" t="n">
        <v>613</v>
      </c>
      <c r="B3718" s="0" t="n">
        <v>3739</v>
      </c>
      <c r="C3718" s="0" t="s">
        <v>2750</v>
      </c>
      <c r="D3718" s="0" t="s">
        <v>5</v>
      </c>
      <c r="E3718" s="0" t="e">
        <f aca="false">IFERROR(__xludf.dummyfunction("xlookup(aj613,importrange("1xainw9du9nz21v0tyif))</f>
        <v>#VALUE!</v>
      </c>
      <c r="F3718" s="0" t="s">
        <v>2751</v>
      </c>
      <c r="G3718" s="0" t="s">
        <v>18698</v>
      </c>
    </row>
    <row r="3719" customFormat="false" ht="15" hidden="false" customHeight="false" outlineLevel="0" collapsed="false">
      <c r="A3719" s="0" t="n">
        <v>627</v>
      </c>
      <c r="B3719" s="0" t="n">
        <v>4285</v>
      </c>
      <c r="C3719" s="0" t="s">
        <v>2807</v>
      </c>
      <c r="D3719" s="0" t="s">
        <v>5</v>
      </c>
      <c r="E3719" s="0" t="e">
        <f aca="false">IFERROR(__xludf.dummyfunction("xlookup(aj627,importrange("1xainw9du9nz21v0tyif))</f>
        <v>#VALUE!</v>
      </c>
      <c r="F3719" s="0" t="s">
        <v>2808</v>
      </c>
      <c r="G3719" s="0" t="s">
        <v>18698</v>
      </c>
    </row>
    <row r="3720" customFormat="false" ht="15" hidden="false" customHeight="false" outlineLevel="0" collapsed="false">
      <c r="A3720" s="0" t="n">
        <v>636</v>
      </c>
      <c r="B3720" s="0" t="n">
        <v>4605</v>
      </c>
      <c r="C3720" s="0" t="s">
        <v>2846</v>
      </c>
      <c r="D3720" s="0" t="s">
        <v>5</v>
      </c>
      <c r="E3720" s="0" t="e">
        <f aca="false">IFERROR(__xludf.dummyfunction("xlookup(aj636,importrange("1xainw9du9nz21v0tyif))</f>
        <v>#VALUE!</v>
      </c>
      <c r="F3720" s="0" t="s">
        <v>2847</v>
      </c>
      <c r="G3720" s="0" t="s">
        <v>18698</v>
      </c>
    </row>
    <row r="3721" customFormat="false" ht="15" hidden="false" customHeight="false" outlineLevel="0" collapsed="false">
      <c r="A3721" s="0" t="n">
        <v>638</v>
      </c>
      <c r="B3721" s="0" t="n">
        <v>4633</v>
      </c>
      <c r="C3721" s="0" t="s">
        <v>2857</v>
      </c>
      <c r="D3721" s="0" t="s">
        <v>5</v>
      </c>
      <c r="E3721" s="0" t="e">
        <f aca="false">IFERROR(__xludf.dummyfunction("xlookup(aj638,importrange("1xainw9du9nz21v0tyif))</f>
        <v>#VALUE!</v>
      </c>
      <c r="F3721" s="0" t="s">
        <v>2858</v>
      </c>
      <c r="G3721" s="0" t="s">
        <v>18698</v>
      </c>
    </row>
    <row r="3722" customFormat="false" ht="15" hidden="false" customHeight="false" outlineLevel="0" collapsed="false">
      <c r="A3722" s="0" t="n">
        <v>649</v>
      </c>
      <c r="B3722" s="0" t="n">
        <v>22716</v>
      </c>
      <c r="C3722" s="0" t="s">
        <v>2902</v>
      </c>
      <c r="D3722" s="0" t="s">
        <v>5</v>
      </c>
      <c r="E3722" s="0" t="e">
        <f aca="false">IFERROR(__xludf.dummyfunction("xlookup(aj649,importrange("1xainw9du9nz21v0tyif))</f>
        <v>#VALUE!</v>
      </c>
      <c r="F3722" s="0" t="s">
        <v>2903</v>
      </c>
      <c r="G3722" s="0" t="s">
        <v>18698</v>
      </c>
    </row>
    <row r="3723" customFormat="false" ht="15" hidden="false" customHeight="false" outlineLevel="0" collapsed="false">
      <c r="A3723" s="0" t="n">
        <v>692</v>
      </c>
      <c r="B3723" s="0" t="n">
        <v>22549</v>
      </c>
      <c r="C3723" s="0" t="s">
        <v>3079</v>
      </c>
      <c r="D3723" s="0" t="s">
        <v>5</v>
      </c>
      <c r="E3723" s="0" t="e">
        <f aca="false">IFERROR(__xludf.dummyfunction("xlookup(aj692,importrange("1xainw9du9nz21v0tyif))</f>
        <v>#VALUE!</v>
      </c>
      <c r="F3723" s="0" t="s">
        <v>3080</v>
      </c>
      <c r="G3723" s="0" t="s">
        <v>18698</v>
      </c>
    </row>
    <row r="3724" customFormat="false" ht="15" hidden="false" customHeight="false" outlineLevel="0" collapsed="false">
      <c r="A3724" s="0" t="n">
        <v>699</v>
      </c>
      <c r="B3724" s="0" t="n">
        <v>5766</v>
      </c>
      <c r="C3724" s="0" t="s">
        <v>3108</v>
      </c>
      <c r="D3724" s="0" t="s">
        <v>5</v>
      </c>
      <c r="E3724" s="0" t="e">
        <f aca="false">IFERROR(__xludf.dummyfunction("xlookup(aj699,importrange("1xainw9du9nz21v0tyif))</f>
        <v>#VALUE!</v>
      </c>
      <c r="F3724" s="0" t="s">
        <v>3109</v>
      </c>
      <c r="G3724" s="0" t="s">
        <v>18698</v>
      </c>
    </row>
    <row r="3725" customFormat="false" ht="15" hidden="false" customHeight="false" outlineLevel="0" collapsed="false">
      <c r="A3725" s="0" t="n">
        <v>701</v>
      </c>
      <c r="B3725" s="0" t="n">
        <v>5768</v>
      </c>
      <c r="C3725" s="0" t="s">
        <v>3117</v>
      </c>
      <c r="D3725" s="0" t="s">
        <v>5</v>
      </c>
      <c r="E3725" s="0" t="e">
        <f aca="false">IFERROR(__xludf.dummyfunction("xlookup(aj701,importrange("1xainw9du9nz21v0tyif))</f>
        <v>#VALUE!</v>
      </c>
      <c r="F3725" s="0" t="s">
        <v>3118</v>
      </c>
      <c r="G3725" s="0" t="s">
        <v>18698</v>
      </c>
    </row>
    <row r="3726" customFormat="false" ht="15" hidden="false" customHeight="false" outlineLevel="0" collapsed="false">
      <c r="A3726" s="0" t="n">
        <v>702</v>
      </c>
      <c r="B3726" s="0" t="n">
        <v>5769</v>
      </c>
      <c r="C3726" s="0" t="s">
        <v>3122</v>
      </c>
      <c r="D3726" s="0" t="s">
        <v>5</v>
      </c>
      <c r="E3726" s="0" t="e">
        <f aca="false">IFERROR(__xludf.dummyfunction("xlookup(aj702,importrange("1xainw9du9nz21v0tyif))</f>
        <v>#VALUE!</v>
      </c>
      <c r="F3726" s="0" t="s">
        <v>3123</v>
      </c>
      <c r="G3726" s="0" t="s">
        <v>18698</v>
      </c>
    </row>
    <row r="3727" customFormat="false" ht="15" hidden="false" customHeight="false" outlineLevel="0" collapsed="false">
      <c r="A3727" s="0" t="n">
        <v>708</v>
      </c>
      <c r="B3727" s="0" t="n">
        <v>5784</v>
      </c>
      <c r="C3727" s="0" t="s">
        <v>3148</v>
      </c>
      <c r="D3727" s="0" t="s">
        <v>5</v>
      </c>
      <c r="E3727" s="0" t="e">
        <f aca="false">IFERROR(__xludf.dummyfunction("xlookup(aj708,importrange("1xainw9du9nz21v0tyif))</f>
        <v>#VALUE!</v>
      </c>
      <c r="F3727" s="0" t="s">
        <v>3149</v>
      </c>
      <c r="G3727" s="0" t="s">
        <v>18698</v>
      </c>
    </row>
    <row r="3728" customFormat="false" ht="15" hidden="false" customHeight="false" outlineLevel="0" collapsed="false">
      <c r="A3728" s="0" t="n">
        <v>711</v>
      </c>
      <c r="B3728" s="0" t="n">
        <v>5837</v>
      </c>
      <c r="C3728" s="0" t="s">
        <v>3161</v>
      </c>
      <c r="D3728" s="0" t="s">
        <v>5</v>
      </c>
      <c r="E3728" s="0" t="e">
        <f aca="false">IFERROR(__xludf.dummyfunction("xlookup(aj711,importrange("1xainw9du9nz21v0tyif))</f>
        <v>#VALUE!</v>
      </c>
      <c r="F3728" s="0" t="s">
        <v>3162</v>
      </c>
      <c r="G3728" s="0" t="s">
        <v>18698</v>
      </c>
    </row>
    <row r="3729" customFormat="false" ht="15" hidden="false" customHeight="false" outlineLevel="0" collapsed="false">
      <c r="A3729" s="0" t="n">
        <v>712</v>
      </c>
      <c r="B3729" s="0" t="n">
        <v>5907</v>
      </c>
      <c r="C3729" s="0" t="s">
        <v>3165</v>
      </c>
      <c r="D3729" s="0" t="s">
        <v>5</v>
      </c>
      <c r="E3729" s="0" t="e">
        <f aca="false">IFERROR(__xludf.dummyfunction("xlookup(aj712,importrange("1xainw9du9nz21v0tyif))</f>
        <v>#VALUE!</v>
      </c>
      <c r="F3729" s="0" t="s">
        <v>3166</v>
      </c>
      <c r="G3729" s="0" t="s">
        <v>18698</v>
      </c>
    </row>
    <row r="3730" customFormat="false" ht="15" hidden="false" customHeight="false" outlineLevel="0" collapsed="false">
      <c r="A3730" s="0" t="n">
        <v>714</v>
      </c>
      <c r="B3730" s="0" t="n">
        <v>6021</v>
      </c>
      <c r="C3730" s="0" t="s">
        <v>3174</v>
      </c>
      <c r="D3730" s="0" t="s">
        <v>5</v>
      </c>
      <c r="E3730" s="0" t="e">
        <f aca="false">IFERROR(__xludf.dummyfunction("xlookup(aj714,importrange("1xainw9du9nz21v0tyif))</f>
        <v>#VALUE!</v>
      </c>
      <c r="F3730" s="0" t="s">
        <v>3175</v>
      </c>
      <c r="G3730" s="0" t="s">
        <v>18698</v>
      </c>
    </row>
    <row r="3731" customFormat="false" ht="15" hidden="false" customHeight="false" outlineLevel="0" collapsed="false">
      <c r="A3731" s="0" t="n">
        <v>726</v>
      </c>
      <c r="B3731" s="0" t="n">
        <v>6089</v>
      </c>
      <c r="C3731" s="0" t="s">
        <v>3222</v>
      </c>
      <c r="D3731" s="0" t="s">
        <v>5</v>
      </c>
      <c r="E3731" s="0" t="e">
        <f aca="false">IFERROR(__xludf.dummyfunction("xlookup(aj726,importrange("1xainw9du9nz21v0tyif))</f>
        <v>#VALUE!</v>
      </c>
      <c r="F3731" s="0" t="s">
        <v>3223</v>
      </c>
      <c r="G3731" s="0" t="s">
        <v>18698</v>
      </c>
    </row>
    <row r="3732" customFormat="false" ht="15" hidden="false" customHeight="false" outlineLevel="0" collapsed="false">
      <c r="A3732" s="0" t="n">
        <v>740</v>
      </c>
      <c r="B3732" s="0" t="n">
        <v>6603</v>
      </c>
      <c r="C3732" s="0" t="s">
        <v>3282</v>
      </c>
      <c r="D3732" s="0" t="s">
        <v>5</v>
      </c>
      <c r="E3732" s="0" t="e">
        <f aca="false">IFERROR(__xludf.dummyfunction("xlookup(aj740,importrange("1xainw9du9nz21v0tyif))</f>
        <v>#VALUE!</v>
      </c>
      <c r="F3732" s="0" t="s">
        <v>3283</v>
      </c>
      <c r="G3732" s="0" t="s">
        <v>18698</v>
      </c>
    </row>
    <row r="3733" customFormat="false" ht="15" hidden="false" customHeight="false" outlineLevel="0" collapsed="false">
      <c r="A3733" s="0" t="n">
        <v>744</v>
      </c>
      <c r="B3733" s="0" t="n">
        <v>6664</v>
      </c>
      <c r="C3733" s="0" t="s">
        <v>3299</v>
      </c>
      <c r="D3733" s="0" t="s">
        <v>5</v>
      </c>
      <c r="E3733" s="0" t="e">
        <f aca="false">IFERROR(__xludf.dummyfunction("xlookup(aj744,importrange("1xainw9du9nz21v0tyif))</f>
        <v>#VALUE!</v>
      </c>
      <c r="F3733" s="0" t="s">
        <v>3300</v>
      </c>
      <c r="G3733" s="0" t="s">
        <v>18698</v>
      </c>
    </row>
    <row r="3734" customFormat="false" ht="15" hidden="false" customHeight="false" outlineLevel="0" collapsed="false">
      <c r="A3734" s="0" t="n">
        <v>745</v>
      </c>
      <c r="B3734" s="0" t="n">
        <v>6665</v>
      </c>
      <c r="C3734" s="0" t="s">
        <v>3303</v>
      </c>
      <c r="D3734" s="0" t="s">
        <v>5</v>
      </c>
      <c r="E3734" s="0" t="e">
        <f aca="false">IFERROR(__xludf.dummyfunction("xlookup(aj745,importrange("1xainw9du9nz21v0tyif))</f>
        <v>#VALUE!</v>
      </c>
      <c r="F3734" s="0" t="s">
        <v>3304</v>
      </c>
      <c r="G3734" s="0" t="s">
        <v>18698</v>
      </c>
    </row>
    <row r="3735" customFormat="false" ht="15" hidden="false" customHeight="false" outlineLevel="0" collapsed="false">
      <c r="A3735" s="0" t="n">
        <v>746</v>
      </c>
      <c r="B3735" s="0" t="n">
        <v>6666</v>
      </c>
      <c r="C3735" s="0" t="s">
        <v>3308</v>
      </c>
      <c r="D3735" s="0" t="s">
        <v>5</v>
      </c>
      <c r="E3735" s="0" t="e">
        <f aca="false">IFERROR(__xludf.dummyfunction("xlookup(aj746,importrange("1xainw9du9nz21v0tyif))</f>
        <v>#VALUE!</v>
      </c>
      <c r="F3735" s="0" t="s">
        <v>3309</v>
      </c>
      <c r="G3735" s="0" t="s">
        <v>18698</v>
      </c>
    </row>
    <row r="3736" customFormat="false" ht="15" hidden="false" customHeight="false" outlineLevel="0" collapsed="false">
      <c r="A3736" s="0" t="n">
        <v>747</v>
      </c>
      <c r="B3736" s="0" t="n">
        <v>6667</v>
      </c>
      <c r="C3736" s="0" t="s">
        <v>3313</v>
      </c>
      <c r="D3736" s="0" t="s">
        <v>5</v>
      </c>
      <c r="E3736" s="0" t="e">
        <f aca="false">IFERROR(__xludf.dummyfunction("xlookup(aj747,importrange("1xainw9du9nz21v0tyif))</f>
        <v>#VALUE!</v>
      </c>
      <c r="F3736" s="0" t="s">
        <v>3314</v>
      </c>
      <c r="G3736" s="0" t="s">
        <v>18698</v>
      </c>
    </row>
    <row r="3737" customFormat="false" ht="15" hidden="false" customHeight="false" outlineLevel="0" collapsed="false">
      <c r="A3737" s="0" t="n">
        <v>748</v>
      </c>
      <c r="B3737" s="0" t="n">
        <v>6668</v>
      </c>
      <c r="C3737" s="0" t="s">
        <v>3318</v>
      </c>
      <c r="D3737" s="0" t="s">
        <v>5</v>
      </c>
      <c r="E3737" s="0" t="e">
        <f aca="false">IFERROR(__xludf.dummyfunction("xlookup(aj748,importrange("1xainw9du9nz21v0tyif))</f>
        <v>#VALUE!</v>
      </c>
      <c r="F3737" s="0" t="s">
        <v>3319</v>
      </c>
      <c r="G3737" s="0" t="s">
        <v>18698</v>
      </c>
    </row>
    <row r="3738" customFormat="false" ht="15" hidden="false" customHeight="false" outlineLevel="0" collapsed="false">
      <c r="A3738" s="0" t="n">
        <v>749</v>
      </c>
      <c r="B3738" s="0" t="n">
        <v>6671</v>
      </c>
      <c r="C3738" s="0" t="s">
        <v>3323</v>
      </c>
      <c r="D3738" s="0" t="s">
        <v>5</v>
      </c>
      <c r="E3738" s="0" t="e">
        <f aca="false">IFERROR(__xludf.dummyfunction("xlookup(aj749,importrange("1xainw9du9nz21v0tyif))</f>
        <v>#VALUE!</v>
      </c>
      <c r="F3738" s="0" t="s">
        <v>3324</v>
      </c>
      <c r="G3738" s="0" t="s">
        <v>18698</v>
      </c>
    </row>
    <row r="3739" customFormat="false" ht="15" hidden="false" customHeight="false" outlineLevel="0" collapsed="false">
      <c r="A3739" s="0" t="n">
        <v>751</v>
      </c>
      <c r="B3739" s="0" t="n">
        <v>6673</v>
      </c>
      <c r="C3739" s="0" t="s">
        <v>3332</v>
      </c>
      <c r="D3739" s="0" t="s">
        <v>5</v>
      </c>
      <c r="E3739" s="0" t="e">
        <f aca="false">IFERROR(__xludf.dummyfunction("xlookup(aj751,importrange("1xainw9du9nz21v0tyif))</f>
        <v>#VALUE!</v>
      </c>
      <c r="F3739" s="0" t="s">
        <v>3333</v>
      </c>
      <c r="G3739" s="0" t="s">
        <v>18698</v>
      </c>
    </row>
    <row r="3740" customFormat="false" ht="15" hidden="false" customHeight="false" outlineLevel="0" collapsed="false">
      <c r="A3740" s="0" t="n">
        <v>753</v>
      </c>
      <c r="B3740" s="0" t="n">
        <v>6677</v>
      </c>
      <c r="C3740" s="0" t="s">
        <v>3341</v>
      </c>
      <c r="D3740" s="0" t="s">
        <v>5</v>
      </c>
      <c r="E3740" s="0" t="e">
        <f aca="false">IFERROR(__xludf.dummyfunction("xlookup(aj753,importrange("1xainw9du9nz21v0tyif))</f>
        <v>#VALUE!</v>
      </c>
      <c r="F3740" s="0" t="s">
        <v>3342</v>
      </c>
      <c r="G3740" s="0" t="s">
        <v>18698</v>
      </c>
    </row>
    <row r="3741" customFormat="false" ht="15" hidden="false" customHeight="false" outlineLevel="0" collapsed="false">
      <c r="A3741" s="0" t="n">
        <v>754</v>
      </c>
      <c r="B3741" s="0" t="n">
        <v>6679</v>
      </c>
      <c r="C3741" s="0" t="s">
        <v>3346</v>
      </c>
      <c r="D3741" s="0" t="s">
        <v>5</v>
      </c>
      <c r="E3741" s="0" t="e">
        <f aca="false">IFERROR(__xludf.dummyfunction("xlookup(aj754,importrange("1xainw9du9nz21v0tyif))</f>
        <v>#VALUE!</v>
      </c>
      <c r="F3741" s="0" t="s">
        <v>3347</v>
      </c>
      <c r="G3741" s="0" t="s">
        <v>18698</v>
      </c>
    </row>
    <row r="3742" customFormat="false" ht="15" hidden="false" customHeight="false" outlineLevel="0" collapsed="false">
      <c r="A3742" s="0" t="n">
        <v>756</v>
      </c>
      <c r="B3742" s="0" t="n">
        <v>6682</v>
      </c>
      <c r="C3742" s="0" t="s">
        <v>3355</v>
      </c>
      <c r="D3742" s="0" t="s">
        <v>5</v>
      </c>
      <c r="E3742" s="0" t="e">
        <f aca="false">IFERROR(__xludf.dummyfunction("xlookup(aj756,importrange("1xainw9du9nz21v0tyif))</f>
        <v>#VALUE!</v>
      </c>
      <c r="F3742" s="0" t="s">
        <v>3356</v>
      </c>
      <c r="G3742" s="0" t="s">
        <v>18698</v>
      </c>
    </row>
    <row r="3743" customFormat="false" ht="15" hidden="false" customHeight="false" outlineLevel="0" collapsed="false">
      <c r="A3743" s="0" t="n">
        <v>757</v>
      </c>
      <c r="B3743" s="0" t="n">
        <v>6683</v>
      </c>
      <c r="C3743" s="0" t="s">
        <v>3360</v>
      </c>
      <c r="D3743" s="0" t="s">
        <v>5</v>
      </c>
      <c r="E3743" s="0" t="e">
        <f aca="false">IFERROR(__xludf.dummyfunction("xlookup(aj757,importrange("1xainw9du9nz21v0tyif))</f>
        <v>#VALUE!</v>
      </c>
      <c r="F3743" s="0" t="s">
        <v>3361</v>
      </c>
      <c r="G3743" s="0" t="s">
        <v>18698</v>
      </c>
    </row>
    <row r="3744" customFormat="false" ht="15" hidden="false" customHeight="false" outlineLevel="0" collapsed="false">
      <c r="A3744" s="0" t="n">
        <v>760</v>
      </c>
      <c r="B3744" s="0" t="n">
        <v>6688</v>
      </c>
      <c r="C3744" s="0" t="s">
        <v>3373</v>
      </c>
      <c r="D3744" s="0" t="s">
        <v>5</v>
      </c>
      <c r="E3744" s="0" t="e">
        <f aca="false">IFERROR(__xludf.dummyfunction("xlookup(aj760,importrange("1xainw9du9nz21v0tyif))</f>
        <v>#VALUE!</v>
      </c>
      <c r="F3744" s="0" t="s">
        <v>3374</v>
      </c>
      <c r="G3744" s="0" t="s">
        <v>18698</v>
      </c>
    </row>
    <row r="3745" customFormat="false" ht="15" hidden="false" customHeight="false" outlineLevel="0" collapsed="false">
      <c r="A3745" s="0" t="n">
        <v>763</v>
      </c>
      <c r="B3745" s="0" t="n">
        <v>6692</v>
      </c>
      <c r="C3745" s="0" t="s">
        <v>3386</v>
      </c>
      <c r="D3745" s="0" t="s">
        <v>5</v>
      </c>
      <c r="E3745" s="0" t="e">
        <f aca="false">IFERROR(__xludf.dummyfunction("xlookup(aj763,importrange("1xainw9du9nz21v0tyif))</f>
        <v>#VALUE!</v>
      </c>
      <c r="F3745" s="0" t="s">
        <v>3387</v>
      </c>
      <c r="G3745" s="0" t="s">
        <v>18698</v>
      </c>
    </row>
    <row r="3746" customFormat="false" ht="15" hidden="false" customHeight="false" outlineLevel="0" collapsed="false">
      <c r="A3746" s="0" t="n">
        <v>764</v>
      </c>
      <c r="B3746" s="0" t="n">
        <v>6695</v>
      </c>
      <c r="C3746" s="0" t="s">
        <v>3391</v>
      </c>
      <c r="D3746" s="0" t="s">
        <v>5</v>
      </c>
      <c r="E3746" s="0" t="e">
        <f aca="false">IFERROR(__xludf.dummyfunction("xlookup(aj764,importrange("1xainw9du9nz21v0tyif))</f>
        <v>#VALUE!</v>
      </c>
      <c r="F3746" s="0" t="s">
        <v>3392</v>
      </c>
      <c r="G3746" s="0" t="s">
        <v>18698</v>
      </c>
    </row>
    <row r="3747" customFormat="false" ht="15" hidden="false" customHeight="false" outlineLevel="0" collapsed="false">
      <c r="A3747" s="0" t="n">
        <v>783</v>
      </c>
      <c r="B3747" s="0" t="n">
        <v>7421</v>
      </c>
      <c r="C3747" s="0" t="s">
        <v>3471</v>
      </c>
      <c r="D3747" s="0" t="s">
        <v>5</v>
      </c>
      <c r="E3747" s="0" t="e">
        <f aca="false">IFERROR(__xludf.dummyfunction("xlookup(aj783,importrange("1xainw9du9nz21v0tyif))</f>
        <v>#VALUE!</v>
      </c>
      <c r="F3747" s="0" t="s">
        <v>3472</v>
      </c>
      <c r="G3747" s="0" t="s">
        <v>18698</v>
      </c>
    </row>
    <row r="3748" customFormat="false" ht="15" hidden="false" customHeight="false" outlineLevel="0" collapsed="false">
      <c r="A3748" s="0" t="n">
        <v>784</v>
      </c>
      <c r="B3748" s="0" t="n">
        <v>7494</v>
      </c>
      <c r="C3748" s="0" t="s">
        <v>3476</v>
      </c>
      <c r="D3748" s="0" t="s">
        <v>5</v>
      </c>
      <c r="E3748" s="0" t="e">
        <f aca="false">IFERROR(__xludf.dummyfunction("xlookup(aj784,importrange("1xainw9du9nz21v0tyif))</f>
        <v>#VALUE!</v>
      </c>
      <c r="F3748" s="0" t="s">
        <v>3477</v>
      </c>
      <c r="G3748" s="0" t="s">
        <v>18698</v>
      </c>
    </row>
    <row r="3749" customFormat="false" ht="15" hidden="false" customHeight="false" outlineLevel="0" collapsed="false">
      <c r="A3749" s="0" t="n">
        <v>785</v>
      </c>
      <c r="B3749" s="0" t="n">
        <v>7495</v>
      </c>
      <c r="C3749" s="0" t="s">
        <v>3481</v>
      </c>
      <c r="D3749" s="0" t="s">
        <v>5</v>
      </c>
      <c r="E3749" s="0" t="e">
        <f aca="false">IFERROR(__xludf.dummyfunction("xlookup(aj785,importrange("1xainw9du9nz21v0tyif))</f>
        <v>#VALUE!</v>
      </c>
      <c r="F3749" s="0" t="s">
        <v>3482</v>
      </c>
      <c r="G3749" s="0" t="s">
        <v>18698</v>
      </c>
    </row>
    <row r="3750" customFormat="false" ht="15" hidden="false" customHeight="false" outlineLevel="0" collapsed="false">
      <c r="A3750" s="0" t="n">
        <v>790</v>
      </c>
      <c r="B3750" s="0" t="n">
        <v>7641</v>
      </c>
      <c r="C3750" s="0" t="s">
        <v>3506</v>
      </c>
      <c r="D3750" s="0" t="s">
        <v>5</v>
      </c>
      <c r="E3750" s="0" t="e">
        <f aca="false">IFERROR(__xludf.dummyfunction("xlookup(aj790,importrange("1xainw9du9nz21v0tyif))</f>
        <v>#VALUE!</v>
      </c>
      <c r="F3750" s="0" t="s">
        <v>3508</v>
      </c>
      <c r="G3750" s="0" t="s">
        <v>18698</v>
      </c>
    </row>
    <row r="3751" customFormat="false" ht="15" hidden="false" customHeight="false" outlineLevel="0" collapsed="false">
      <c r="A3751" s="0" t="n">
        <v>793</v>
      </c>
      <c r="B3751" s="0" t="n">
        <v>22225</v>
      </c>
      <c r="C3751" s="0" t="s">
        <v>3522</v>
      </c>
      <c r="D3751" s="0" t="s">
        <v>5</v>
      </c>
      <c r="E3751" s="0" t="e">
        <f aca="false">IFERROR(__xludf.dummyfunction("xlookup(aj793,importrange("1xainw9du9nz21v0tyif))</f>
        <v>#VALUE!</v>
      </c>
      <c r="F3751" s="0" t="s">
        <v>3523</v>
      </c>
      <c r="G3751" s="0" t="s">
        <v>18698</v>
      </c>
    </row>
    <row r="3752" customFormat="false" ht="15" hidden="false" customHeight="false" outlineLevel="0" collapsed="false">
      <c r="A3752" s="0" t="n">
        <v>795</v>
      </c>
      <c r="B3752" s="0" t="n">
        <v>7716</v>
      </c>
      <c r="C3752" s="0" t="s">
        <v>3532</v>
      </c>
      <c r="D3752" s="0" t="s">
        <v>5</v>
      </c>
      <c r="E3752" s="0" t="e">
        <f aca="false">IFERROR(__xludf.dummyfunction("xlookup(aj795,importrange("1xainw9du9nz21v0tyif))</f>
        <v>#VALUE!</v>
      </c>
      <c r="F3752" s="0" t="s">
        <v>3533</v>
      </c>
      <c r="G3752" s="0" t="s">
        <v>18698</v>
      </c>
    </row>
    <row r="3753" customFormat="false" ht="15" hidden="false" customHeight="false" outlineLevel="0" collapsed="false">
      <c r="A3753" s="0" t="n">
        <v>804</v>
      </c>
      <c r="B3753" s="0" t="n">
        <v>7869</v>
      </c>
      <c r="C3753" s="0" t="s">
        <v>3572</v>
      </c>
      <c r="D3753" s="0" t="s">
        <v>5</v>
      </c>
      <c r="E3753" s="0" t="e">
        <f aca="false">IFERROR(__xludf.dummyfunction("xlookup(aj804,importrange("1xainw9du9nz21v0tyif))</f>
        <v>#VALUE!</v>
      </c>
      <c r="F3753" s="0" t="s">
        <v>3574</v>
      </c>
      <c r="G3753" s="0" t="s">
        <v>18698</v>
      </c>
    </row>
    <row r="3754" customFormat="false" ht="15" hidden="false" customHeight="false" outlineLevel="0" collapsed="false">
      <c r="A3754" s="0" t="n">
        <v>807</v>
      </c>
      <c r="B3754" s="0" t="n">
        <v>7878</v>
      </c>
      <c r="C3754" s="0" t="s">
        <v>3588</v>
      </c>
      <c r="D3754" s="0" t="s">
        <v>5</v>
      </c>
      <c r="E3754" s="0" t="e">
        <f aca="false">IFERROR(__xludf.dummyfunction("xlookup(aj807,importrange("1xainw9du9nz21v0tyif))</f>
        <v>#VALUE!</v>
      </c>
      <c r="F3754" s="0" t="s">
        <v>3589</v>
      </c>
      <c r="G3754" s="0" t="s">
        <v>18698</v>
      </c>
    </row>
    <row r="3755" customFormat="false" ht="15" hidden="false" customHeight="false" outlineLevel="0" collapsed="false">
      <c r="A3755" s="0" t="n">
        <v>810</v>
      </c>
      <c r="B3755" s="0" t="n">
        <v>8032</v>
      </c>
      <c r="C3755" s="0" t="s">
        <v>3602</v>
      </c>
      <c r="D3755" s="0" t="s">
        <v>5</v>
      </c>
      <c r="E3755" s="0" t="e">
        <f aca="false">IFERROR(__xludf.dummyfunction("xlookup(aj810,importrange("1xainw9du9nz21v0tyif))</f>
        <v>#VALUE!</v>
      </c>
      <c r="F3755" s="0" t="s">
        <v>3603</v>
      </c>
      <c r="G3755" s="0" t="s">
        <v>18698</v>
      </c>
    </row>
    <row r="3756" customFormat="false" ht="15" hidden="false" customHeight="false" outlineLevel="0" collapsed="false">
      <c r="A3756" s="0" t="n">
        <v>819</v>
      </c>
      <c r="B3756" s="0" t="n">
        <v>8440</v>
      </c>
      <c r="C3756" s="0" t="s">
        <v>3642</v>
      </c>
      <c r="D3756" s="0" t="s">
        <v>5</v>
      </c>
      <c r="E3756" s="0" t="e">
        <f aca="false">IFERROR(__xludf.dummyfunction("xlookup(aj819,importrange("1xainw9du9nz21v0tyif))</f>
        <v>#VALUE!</v>
      </c>
      <c r="F3756" s="0" t="s">
        <v>3644</v>
      </c>
      <c r="G3756" s="0" t="s">
        <v>18698</v>
      </c>
    </row>
    <row r="3757" customFormat="false" ht="15" hidden="false" customHeight="false" outlineLevel="0" collapsed="false">
      <c r="A3757" s="0" t="n">
        <v>826</v>
      </c>
      <c r="B3757" s="0" t="n">
        <v>8641</v>
      </c>
      <c r="C3757" s="0" t="s">
        <v>3670</v>
      </c>
      <c r="D3757" s="0" t="s">
        <v>5</v>
      </c>
      <c r="E3757" s="0" t="e">
        <f aca="false">IFERROR(__xludf.dummyfunction("xlookup(aj826,importrange("1xainw9du9nz21v0tyif))</f>
        <v>#VALUE!</v>
      </c>
      <c r="F3757" s="0" t="s">
        <v>3671</v>
      </c>
      <c r="G3757" s="0" t="s">
        <v>18698</v>
      </c>
    </row>
    <row r="3758" customFormat="false" ht="15" hidden="false" customHeight="false" outlineLevel="0" collapsed="false">
      <c r="A3758" s="0" t="n">
        <v>831</v>
      </c>
      <c r="B3758" s="0" t="n">
        <v>8787</v>
      </c>
      <c r="C3758" s="0" t="s">
        <v>3691</v>
      </c>
      <c r="D3758" s="0" t="s">
        <v>5</v>
      </c>
      <c r="E3758" s="0" t="e">
        <f aca="false">IFERROR(__xludf.dummyfunction("xlookup(aj831,importrange("1xainw9du9nz21v0tyif))</f>
        <v>#VALUE!</v>
      </c>
      <c r="F3758" s="0" t="s">
        <v>3692</v>
      </c>
      <c r="G3758" s="0" t="s">
        <v>18698</v>
      </c>
    </row>
    <row r="3759" customFormat="false" ht="15" hidden="false" customHeight="false" outlineLevel="0" collapsed="false">
      <c r="A3759" s="0" t="n">
        <v>833</v>
      </c>
      <c r="B3759" s="0" t="n">
        <v>8795</v>
      </c>
      <c r="C3759" s="0" t="s">
        <v>3700</v>
      </c>
      <c r="D3759" s="0" t="s">
        <v>5</v>
      </c>
      <c r="E3759" s="0" t="e">
        <f aca="false">IFERROR(__xludf.dummyfunction("xlookup(aj833,importrange("1xainw9du9nz21v0tyif))</f>
        <v>#VALUE!</v>
      </c>
      <c r="F3759" s="0" t="s">
        <v>3701</v>
      </c>
      <c r="G3759" s="0" t="s">
        <v>18698</v>
      </c>
    </row>
    <row r="3760" customFormat="false" ht="15" hidden="false" customHeight="false" outlineLevel="0" collapsed="false">
      <c r="A3760" s="0" t="n">
        <v>839</v>
      </c>
      <c r="B3760" s="0" t="n">
        <v>8918</v>
      </c>
      <c r="C3760" s="0" t="s">
        <v>3730</v>
      </c>
      <c r="D3760" s="0" t="s">
        <v>5</v>
      </c>
      <c r="E3760" s="0" t="e">
        <f aca="false">IFERROR(__xludf.dummyfunction("xlookup(aj839,importrange("1xainw9du9nz21v0tyif))</f>
        <v>#VALUE!</v>
      </c>
      <c r="F3760" s="0" t="s">
        <v>3731</v>
      </c>
      <c r="G3760" s="0" t="s">
        <v>18698</v>
      </c>
    </row>
    <row r="3761" customFormat="false" ht="15" hidden="false" customHeight="false" outlineLevel="0" collapsed="false">
      <c r="A3761" s="0" t="n">
        <v>844</v>
      </c>
      <c r="B3761" s="0" t="n">
        <v>8944</v>
      </c>
      <c r="C3761" s="0" t="s">
        <v>3753</v>
      </c>
      <c r="D3761" s="0" t="s">
        <v>5</v>
      </c>
      <c r="E3761" s="0" t="e">
        <f aca="false">IFERROR(__xludf.dummyfunction("xlookup(aj844,importrange("1xainw9du9nz21v0tyif))</f>
        <v>#VALUE!</v>
      </c>
      <c r="F3761" s="0" t="s">
        <v>3754</v>
      </c>
      <c r="G3761" s="0" t="s">
        <v>18698</v>
      </c>
    </row>
    <row r="3762" customFormat="false" ht="15" hidden="false" customHeight="false" outlineLevel="0" collapsed="false">
      <c r="A3762" s="0" t="n">
        <v>847</v>
      </c>
      <c r="B3762" s="0" t="n">
        <v>8962</v>
      </c>
      <c r="C3762" s="0" t="s">
        <v>3766</v>
      </c>
      <c r="D3762" s="0" t="s">
        <v>5</v>
      </c>
      <c r="E3762" s="0" t="e">
        <f aca="false">IFERROR(__xludf.dummyfunction("xlookup(aj847,importrange("1xainw9du9nz21v0tyif))</f>
        <v>#VALUE!</v>
      </c>
      <c r="F3762" s="0" t="s">
        <v>3767</v>
      </c>
      <c r="G3762" s="0" t="s">
        <v>18698</v>
      </c>
    </row>
    <row r="3763" customFormat="false" ht="15" hidden="false" customHeight="false" outlineLevel="0" collapsed="false">
      <c r="A3763" s="0" t="n">
        <v>849</v>
      </c>
      <c r="B3763" s="0" t="n">
        <v>9052</v>
      </c>
      <c r="C3763" s="0" t="s">
        <v>3776</v>
      </c>
      <c r="D3763" s="0" t="s">
        <v>5</v>
      </c>
      <c r="E3763" s="0" t="e">
        <f aca="false">IFERROR(__xludf.dummyfunction("xlookup(aj849,importrange("1xainw9du9nz21v0tyif))</f>
        <v>#VALUE!</v>
      </c>
      <c r="F3763" s="0" t="s">
        <v>3777</v>
      </c>
      <c r="G3763" s="0" t="s">
        <v>18698</v>
      </c>
    </row>
    <row r="3764" customFormat="false" ht="15" hidden="false" customHeight="false" outlineLevel="0" collapsed="false">
      <c r="A3764" s="0" t="n">
        <v>851</v>
      </c>
      <c r="B3764" s="0" t="n">
        <v>9119</v>
      </c>
      <c r="C3764" s="0" t="s">
        <v>3786</v>
      </c>
      <c r="D3764" s="0" t="s">
        <v>5</v>
      </c>
      <c r="E3764" s="0" t="e">
        <f aca="false">IFERROR(__xludf.dummyfunction("xlookup(aj851,importrange("1xainw9du9nz21v0tyif))</f>
        <v>#VALUE!</v>
      </c>
      <c r="F3764" s="0" t="s">
        <v>3787</v>
      </c>
      <c r="G3764" s="0" t="s">
        <v>18698</v>
      </c>
    </row>
    <row r="3765" customFormat="false" ht="15" hidden="false" customHeight="false" outlineLevel="0" collapsed="false">
      <c r="A3765" s="0" t="n">
        <v>852</v>
      </c>
      <c r="B3765" s="0" t="n">
        <v>9290</v>
      </c>
      <c r="C3765" s="0" t="s">
        <v>3791</v>
      </c>
      <c r="D3765" s="0" t="s">
        <v>5</v>
      </c>
      <c r="E3765" s="0" t="e">
        <f aca="false">IFERROR(__xludf.dummyfunction("xlookup(aj852,importrange("1xainw9du9nz21v0tyif))</f>
        <v>#VALUE!</v>
      </c>
      <c r="F3765" s="0" t="s">
        <v>3792</v>
      </c>
      <c r="G3765" s="0" t="s">
        <v>18698</v>
      </c>
    </row>
    <row r="3766" customFormat="false" ht="15" hidden="false" customHeight="false" outlineLevel="0" collapsed="false">
      <c r="A3766" s="0" t="n">
        <v>862</v>
      </c>
      <c r="B3766" s="0" t="n">
        <v>9474</v>
      </c>
      <c r="C3766" s="0" t="s">
        <v>3831</v>
      </c>
      <c r="D3766" s="0" t="s">
        <v>5</v>
      </c>
      <c r="E3766" s="0" t="e">
        <f aca="false">IFERROR(__xludf.dummyfunction("xlookup(aj862,importrange("1xainw9du9nz21v0tyif))</f>
        <v>#VALUE!</v>
      </c>
      <c r="F3766" s="0" t="s">
        <v>3832</v>
      </c>
      <c r="G3766" s="0" t="s">
        <v>18698</v>
      </c>
    </row>
    <row r="3767" customFormat="false" ht="15" hidden="false" customHeight="false" outlineLevel="0" collapsed="false">
      <c r="A3767" s="0" t="n">
        <v>877</v>
      </c>
      <c r="B3767" s="0" t="n">
        <v>9527</v>
      </c>
      <c r="C3767" s="0" t="s">
        <v>3892</v>
      </c>
      <c r="D3767" s="0" t="s">
        <v>5</v>
      </c>
      <c r="E3767" s="0" t="e">
        <f aca="false">IFERROR(__xludf.dummyfunction("xlookup(aj877,importrange("1xainw9du9nz21v0tyif))</f>
        <v>#VALUE!</v>
      </c>
      <c r="F3767" s="0" t="s">
        <v>3893</v>
      </c>
      <c r="G3767" s="0" t="s">
        <v>18698</v>
      </c>
    </row>
    <row r="3768" customFormat="false" ht="15" hidden="false" customHeight="false" outlineLevel="0" collapsed="false">
      <c r="A3768" s="0" t="n">
        <v>878</v>
      </c>
      <c r="B3768" s="0" t="n">
        <v>9530</v>
      </c>
      <c r="C3768" s="0" t="s">
        <v>3899</v>
      </c>
      <c r="D3768" s="0" t="s">
        <v>5</v>
      </c>
      <c r="E3768" s="0" t="e">
        <f aca="false">IFERROR(__xludf.dummyfunction("xlookup(aj878,importrange("1xainw9du9nz21v0tyif))</f>
        <v>#VALUE!</v>
      </c>
      <c r="F3768" s="0" t="s">
        <v>3900</v>
      </c>
      <c r="G3768" s="0" t="s">
        <v>18698</v>
      </c>
    </row>
    <row r="3769" customFormat="false" ht="15" hidden="false" customHeight="false" outlineLevel="0" collapsed="false">
      <c r="A3769" s="0" t="n">
        <v>881</v>
      </c>
      <c r="B3769" s="0" t="n">
        <v>9543</v>
      </c>
      <c r="C3769" s="0" t="s">
        <v>3914</v>
      </c>
      <c r="D3769" s="0" t="s">
        <v>5</v>
      </c>
      <c r="E3769" s="0" t="e">
        <f aca="false">IFERROR(__xludf.dummyfunction("xlookup(aj881,importrange("1xainw9du9nz21v0tyif))</f>
        <v>#VALUE!</v>
      </c>
      <c r="F3769" s="0" t="s">
        <v>3915</v>
      </c>
      <c r="G3769" s="0" t="s">
        <v>18698</v>
      </c>
    </row>
    <row r="3770" customFormat="false" ht="15" hidden="false" customHeight="false" outlineLevel="0" collapsed="false">
      <c r="A3770" s="0" t="n">
        <v>882</v>
      </c>
      <c r="B3770" s="0" t="n">
        <v>9544</v>
      </c>
      <c r="C3770" s="0" t="s">
        <v>3919</v>
      </c>
      <c r="D3770" s="0" t="s">
        <v>5</v>
      </c>
      <c r="E3770" s="0" t="e">
        <f aca="false">IFERROR(__xludf.dummyfunction("xlookup(aj882,importrange("1xainw9du9nz21v0tyif))</f>
        <v>#VALUE!</v>
      </c>
      <c r="F3770" s="0" t="s">
        <v>3920</v>
      </c>
      <c r="G3770" s="0" t="s">
        <v>18698</v>
      </c>
    </row>
    <row r="3771" customFormat="false" ht="15" hidden="false" customHeight="false" outlineLevel="0" collapsed="false">
      <c r="A3771" s="0" t="n">
        <v>888</v>
      </c>
      <c r="B3771" s="0" t="n">
        <v>9607</v>
      </c>
      <c r="C3771" s="0" t="s">
        <v>3944</v>
      </c>
      <c r="D3771" s="0" t="s">
        <v>5</v>
      </c>
      <c r="E3771" s="0" t="e">
        <f aca="false">IFERROR(__xludf.dummyfunction("xlookup(aj888,importrange("1xainw9du9nz21v0tyif))</f>
        <v>#VALUE!</v>
      </c>
      <c r="F3771" s="0" t="s">
        <v>3945</v>
      </c>
      <c r="G3771" s="0" t="s">
        <v>18698</v>
      </c>
    </row>
    <row r="3772" customFormat="false" ht="15" hidden="false" customHeight="false" outlineLevel="0" collapsed="false">
      <c r="A3772" s="0" t="n">
        <v>893</v>
      </c>
      <c r="B3772" s="0" t="n">
        <v>9637</v>
      </c>
      <c r="C3772" s="0" t="s">
        <v>3965</v>
      </c>
      <c r="D3772" s="0" t="s">
        <v>5</v>
      </c>
      <c r="E3772" s="0" t="e">
        <f aca="false">IFERROR(__xludf.dummyfunction("xlookup(aj893,importrange("1xainw9du9nz21v0tyif))</f>
        <v>#VALUE!</v>
      </c>
      <c r="F3772" s="0" t="s">
        <v>3966</v>
      </c>
      <c r="G3772" s="0" t="s">
        <v>18698</v>
      </c>
    </row>
    <row r="3773" customFormat="false" ht="15" hidden="false" customHeight="false" outlineLevel="0" collapsed="false">
      <c r="A3773" s="0" t="n">
        <v>897</v>
      </c>
      <c r="B3773" s="0" t="n">
        <v>9666</v>
      </c>
      <c r="C3773" s="0" t="s">
        <v>3984</v>
      </c>
      <c r="D3773" s="0" t="s">
        <v>5</v>
      </c>
      <c r="E3773" s="0" t="e">
        <f aca="false">IFERROR(__xludf.dummyfunction("xlookup(aj897,importrange("1xainw9du9nz21v0tyif))</f>
        <v>#VALUE!</v>
      </c>
      <c r="F3773" s="0" t="s">
        <v>3985</v>
      </c>
      <c r="G3773" s="0" t="s">
        <v>18698</v>
      </c>
    </row>
    <row r="3774" customFormat="false" ht="15" hidden="false" customHeight="false" outlineLevel="0" collapsed="false">
      <c r="A3774" s="0" t="n">
        <v>900</v>
      </c>
      <c r="B3774" s="0" t="n">
        <v>9699</v>
      </c>
      <c r="C3774" s="0" t="s">
        <v>3997</v>
      </c>
      <c r="D3774" s="0" t="s">
        <v>5</v>
      </c>
      <c r="E3774" s="0" t="e">
        <f aca="false">IFERROR(__xludf.dummyfunction("xlookup(aj900,importrange("1xainw9du9nz21v0tyif))</f>
        <v>#VALUE!</v>
      </c>
      <c r="F3774" s="0" t="s">
        <v>3998</v>
      </c>
      <c r="G3774" s="0" t="s">
        <v>18698</v>
      </c>
    </row>
    <row r="3775" customFormat="false" ht="15" hidden="false" customHeight="false" outlineLevel="0" collapsed="false">
      <c r="A3775" s="0" t="n">
        <v>910</v>
      </c>
      <c r="B3775" s="0" t="n">
        <v>9882</v>
      </c>
      <c r="C3775" s="0" t="s">
        <v>4039</v>
      </c>
      <c r="D3775" s="0" t="s">
        <v>5</v>
      </c>
      <c r="E3775" s="0" t="e">
        <f aca="false">IFERROR(__xludf.dummyfunction("xlookup(aj910,importrange("1xainw9du9nz21v0tyif))</f>
        <v>#VALUE!</v>
      </c>
      <c r="F3775" s="0" t="s">
        <v>4040</v>
      </c>
      <c r="G3775" s="0" t="s">
        <v>18698</v>
      </c>
    </row>
    <row r="3776" customFormat="false" ht="15" hidden="false" customHeight="false" outlineLevel="0" collapsed="false">
      <c r="A3776" s="0" t="n">
        <v>920</v>
      </c>
      <c r="B3776" s="0" t="n">
        <v>9936</v>
      </c>
      <c r="C3776" s="0" t="s">
        <v>4084</v>
      </c>
      <c r="D3776" s="0" t="s">
        <v>5</v>
      </c>
      <c r="E3776" s="0" t="e">
        <f aca="false">IFERROR(__xludf.dummyfunction("xlookup(aj920,importrange("1xainw9du9nz21v0tyif))</f>
        <v>#VALUE!</v>
      </c>
      <c r="F3776" s="0" t="s">
        <v>4085</v>
      </c>
      <c r="G3776" s="0" t="s">
        <v>18698</v>
      </c>
    </row>
    <row r="3777" customFormat="false" ht="15" hidden="false" customHeight="false" outlineLevel="0" collapsed="false">
      <c r="A3777" s="0" t="n">
        <v>924</v>
      </c>
      <c r="B3777" s="0" t="n">
        <v>10025</v>
      </c>
      <c r="C3777" s="0" t="s">
        <v>4101</v>
      </c>
      <c r="D3777" s="0" t="s">
        <v>5</v>
      </c>
      <c r="E3777" s="0" t="e">
        <f aca="false">IFERROR(__xludf.dummyfunction("xlookup(aj924,importrange("1xainw9du9nz21v0tyif))</f>
        <v>#VALUE!</v>
      </c>
      <c r="F3777" s="0" t="s">
        <v>4102</v>
      </c>
      <c r="G3777" s="0" t="s">
        <v>18698</v>
      </c>
    </row>
    <row r="3778" customFormat="false" ht="15" hidden="false" customHeight="false" outlineLevel="0" collapsed="false">
      <c r="A3778" s="0" t="n">
        <v>933</v>
      </c>
      <c r="B3778" s="0" t="n">
        <v>22404</v>
      </c>
      <c r="C3778" s="0" t="s">
        <v>4138</v>
      </c>
      <c r="D3778" s="0" t="s">
        <v>5</v>
      </c>
      <c r="E3778" s="0" t="e">
        <f aca="false">IFERROR(__xludf.dummyfunction("xlookup(aj933,importrange("1xainw9du9nz21v0tyif))</f>
        <v>#VALUE!</v>
      </c>
      <c r="F3778" s="0" t="s">
        <v>4139</v>
      </c>
      <c r="G3778" s="0" t="s">
        <v>18698</v>
      </c>
    </row>
    <row r="3779" customFormat="false" ht="15" hidden="false" customHeight="false" outlineLevel="0" collapsed="false">
      <c r="A3779" s="0" t="n">
        <v>941</v>
      </c>
      <c r="B3779" s="0" t="n">
        <v>22709</v>
      </c>
      <c r="C3779" s="0" t="s">
        <v>4171</v>
      </c>
      <c r="D3779" s="0" t="s">
        <v>5</v>
      </c>
      <c r="E3779" s="0" t="e">
        <f aca="false">IFERROR(__xludf.dummyfunction("xlookup(aj941,importrange("1xainw9du9nz21v0tyif))</f>
        <v>#VALUE!</v>
      </c>
      <c r="F3779" s="0" t="s">
        <v>4172</v>
      </c>
      <c r="G3779" s="0" t="s">
        <v>18698</v>
      </c>
    </row>
    <row r="3780" customFormat="false" ht="15" hidden="false" customHeight="false" outlineLevel="0" collapsed="false">
      <c r="A3780" s="0" t="n">
        <v>943</v>
      </c>
      <c r="B3780" s="0" t="n">
        <v>10204</v>
      </c>
      <c r="C3780" s="0" t="s">
        <v>4179</v>
      </c>
      <c r="D3780" s="0" t="s">
        <v>5</v>
      </c>
      <c r="E3780" s="0" t="e">
        <f aca="false">IFERROR(__xludf.dummyfunction("xlookup(aj943,importrange("1xainw9du9nz21v0tyif))</f>
        <v>#VALUE!</v>
      </c>
      <c r="F3780" s="0" t="s">
        <v>4180</v>
      </c>
      <c r="G3780" s="0" t="s">
        <v>18698</v>
      </c>
    </row>
    <row r="3781" customFormat="false" ht="15" hidden="false" customHeight="false" outlineLevel="0" collapsed="false">
      <c r="A3781" s="0" t="n">
        <v>960</v>
      </c>
      <c r="B3781" s="0" t="n">
        <v>10405</v>
      </c>
      <c r="C3781" s="0" t="s">
        <v>4251</v>
      </c>
      <c r="D3781" s="0" t="s">
        <v>5</v>
      </c>
      <c r="E3781" s="0" t="e">
        <f aca="false">IFERROR(__xludf.dummyfunction("xlookup(aj960,importrange("1xainw9du9nz21v0tyif))</f>
        <v>#VALUE!</v>
      </c>
      <c r="F3781" s="0" t="s">
        <v>4253</v>
      </c>
      <c r="G3781" s="0" t="s">
        <v>18698</v>
      </c>
    </row>
    <row r="3782" customFormat="false" ht="15" hidden="false" customHeight="false" outlineLevel="0" collapsed="false">
      <c r="A3782" s="0" t="n">
        <v>965</v>
      </c>
      <c r="B3782" s="0" t="n">
        <v>10415</v>
      </c>
      <c r="C3782" s="0" t="s">
        <v>4277</v>
      </c>
      <c r="D3782" s="0" t="s">
        <v>5</v>
      </c>
      <c r="E3782" s="0" t="e">
        <f aca="false">IFERROR(__xludf.dummyfunction("xlookup(aj965,importrange("1xainw9du9nz21v0tyif))</f>
        <v>#VALUE!</v>
      </c>
      <c r="F3782" s="0" t="s">
        <v>4278</v>
      </c>
      <c r="G3782" s="0" t="s">
        <v>18698</v>
      </c>
    </row>
    <row r="3783" customFormat="false" ht="15" hidden="false" customHeight="false" outlineLevel="0" collapsed="false">
      <c r="A3783" s="0" t="n">
        <v>971</v>
      </c>
      <c r="B3783" s="0" t="n">
        <v>10432</v>
      </c>
      <c r="C3783" s="0" t="s">
        <v>4303</v>
      </c>
      <c r="D3783" s="0" t="s">
        <v>5</v>
      </c>
      <c r="E3783" s="0" t="e">
        <f aca="false">IFERROR(__xludf.dummyfunction("xlookup(aj971,importrange("1xainw9du9nz21v0tyif))</f>
        <v>#VALUE!</v>
      </c>
      <c r="F3783" s="0" t="s">
        <v>4304</v>
      </c>
      <c r="G3783" s="0" t="s">
        <v>18698</v>
      </c>
    </row>
    <row r="3784" customFormat="false" ht="15" hidden="false" customHeight="false" outlineLevel="0" collapsed="false">
      <c r="A3784" s="0" t="n">
        <v>974</v>
      </c>
      <c r="B3784" s="0" t="n">
        <v>10438</v>
      </c>
      <c r="C3784" s="0" t="s">
        <v>4316</v>
      </c>
      <c r="D3784" s="0" t="s">
        <v>5</v>
      </c>
      <c r="E3784" s="0" t="e">
        <f aca="false">IFERROR(__xludf.dummyfunction("xlookup(aj974,importrange("1xainw9du9nz21v0tyif))</f>
        <v>#VALUE!</v>
      </c>
      <c r="F3784" s="0" t="s">
        <v>4317</v>
      </c>
      <c r="G3784" s="0" t="s">
        <v>18698</v>
      </c>
    </row>
    <row r="3785" customFormat="false" ht="15" hidden="false" customHeight="false" outlineLevel="0" collapsed="false">
      <c r="A3785" s="0" t="n">
        <v>978</v>
      </c>
      <c r="B3785" s="0" t="n">
        <v>10448</v>
      </c>
      <c r="C3785" s="0" t="s">
        <v>4333</v>
      </c>
      <c r="D3785" s="0" t="s">
        <v>5</v>
      </c>
      <c r="E3785" s="0" t="e">
        <f aca="false">IFERROR(__xludf.dummyfunction("xlookup(aj978,importrange("1xainw9du9nz21v0tyif))</f>
        <v>#VALUE!</v>
      </c>
      <c r="F3785" s="0" t="s">
        <v>4334</v>
      </c>
      <c r="G3785" s="0" t="s">
        <v>18698</v>
      </c>
    </row>
    <row r="3786" customFormat="false" ht="15" hidden="false" customHeight="false" outlineLevel="0" collapsed="false">
      <c r="A3786" s="0" t="n">
        <v>982</v>
      </c>
      <c r="B3786" s="0" t="n">
        <v>10457</v>
      </c>
      <c r="C3786" s="0" t="s">
        <v>4350</v>
      </c>
      <c r="D3786" s="0" t="s">
        <v>5</v>
      </c>
      <c r="E3786" s="0" t="e">
        <f aca="false">IFERROR(__xludf.dummyfunction("xlookup(aj982,importrange("1xainw9du9nz21v0tyif))</f>
        <v>#VALUE!</v>
      </c>
      <c r="F3786" s="0" t="s">
        <v>4351</v>
      </c>
      <c r="G3786" s="0" t="s">
        <v>18698</v>
      </c>
    </row>
    <row r="3787" customFormat="false" ht="15" hidden="false" customHeight="false" outlineLevel="0" collapsed="false">
      <c r="A3787" s="0" t="n">
        <v>990</v>
      </c>
      <c r="B3787" s="0" t="n">
        <v>10473</v>
      </c>
      <c r="C3787" s="0" t="s">
        <v>4383</v>
      </c>
      <c r="D3787" s="0" t="s">
        <v>5</v>
      </c>
      <c r="E3787" s="0" t="e">
        <f aca="false">IFERROR(__xludf.dummyfunction("xlookup(aj990,importrange("1xainw9du9nz21v0tyif))</f>
        <v>#VALUE!</v>
      </c>
      <c r="F3787" s="0" t="s">
        <v>4384</v>
      </c>
      <c r="G3787" s="0" t="s">
        <v>18698</v>
      </c>
    </row>
    <row r="3788" customFormat="false" ht="15" hidden="false" customHeight="false" outlineLevel="0" collapsed="false">
      <c r="A3788" s="0" t="n">
        <v>995</v>
      </c>
      <c r="B3788" s="0" t="n">
        <v>10489</v>
      </c>
      <c r="C3788" s="0" t="s">
        <v>4403</v>
      </c>
      <c r="D3788" s="0" t="s">
        <v>5</v>
      </c>
      <c r="E3788" s="0" t="e">
        <f aca="false">IFERROR(__xludf.dummyfunction("xlookup(aj995,importrange("1xainw9du9nz21v0tyif))</f>
        <v>#VALUE!</v>
      </c>
      <c r="F3788" s="0" t="s">
        <v>4404</v>
      </c>
      <c r="G3788" s="0" t="s">
        <v>18698</v>
      </c>
    </row>
    <row r="3789" customFormat="false" ht="15" hidden="false" customHeight="false" outlineLevel="0" collapsed="false">
      <c r="A3789" s="0" t="n">
        <v>997</v>
      </c>
      <c r="B3789" s="0" t="n">
        <v>10495</v>
      </c>
      <c r="C3789" s="0" t="s">
        <v>4413</v>
      </c>
      <c r="D3789" s="0" t="s">
        <v>5</v>
      </c>
      <c r="E3789" s="0" t="e">
        <f aca="false">IFERROR(__xludf.dummyfunction("xlookup(aj997,importrange("1xainw9du9nz21v0tyif))</f>
        <v>#VALUE!</v>
      </c>
      <c r="F3789" s="0" t="s">
        <v>4414</v>
      </c>
      <c r="G3789" s="0" t="s">
        <v>18698</v>
      </c>
    </row>
    <row r="3790" customFormat="false" ht="15" hidden="false" customHeight="false" outlineLevel="0" collapsed="false">
      <c r="A3790" s="0" t="n">
        <v>999</v>
      </c>
      <c r="B3790" s="0" t="n">
        <v>10499</v>
      </c>
      <c r="C3790" s="0" t="s">
        <v>4421</v>
      </c>
      <c r="D3790" s="0" t="s">
        <v>5</v>
      </c>
      <c r="E3790" s="0" t="e">
        <f aca="false">IFERROR(__xludf.dummyfunction("xlookup(aj999,importrange("1xainw9du9nz21v0tyif))</f>
        <v>#VALUE!</v>
      </c>
      <c r="F3790" s="0" t="s">
        <v>4422</v>
      </c>
      <c r="G3790" s="0" t="s">
        <v>18698</v>
      </c>
    </row>
    <row r="3791" customFormat="false" ht="15" hidden="false" customHeight="false" outlineLevel="0" collapsed="false">
      <c r="A3791" s="0" t="n">
        <v>1011</v>
      </c>
      <c r="B3791" s="0" t="n">
        <v>10518</v>
      </c>
      <c r="C3791" s="0" t="s">
        <v>4468</v>
      </c>
      <c r="D3791" s="0" t="s">
        <v>5</v>
      </c>
      <c r="E3791" s="0" t="e">
        <f aca="false">IFERROR(__xludf.dummyfunction("xlookup(aj1011,importrange("1xainw9du9nz21v0tyi))</f>
        <v>#VALUE!</v>
      </c>
      <c r="F3791" s="0" t="s">
        <v>4469</v>
      </c>
      <c r="G3791" s="0" t="s">
        <v>18698</v>
      </c>
    </row>
    <row r="3792" customFormat="false" ht="15" hidden="false" customHeight="false" outlineLevel="0" collapsed="false">
      <c r="A3792" s="0" t="n">
        <v>1015</v>
      </c>
      <c r="B3792" s="0" t="n">
        <v>10523</v>
      </c>
      <c r="C3792" s="0" t="s">
        <v>4484</v>
      </c>
      <c r="D3792" s="0" t="s">
        <v>5</v>
      </c>
      <c r="E3792" s="0" t="e">
        <f aca="false">IFERROR(__xludf.dummyfunction("xlookup(aj1015,importrange("1xainw9du9nz21v0tyi))</f>
        <v>#VALUE!</v>
      </c>
      <c r="F3792" s="0" t="s">
        <v>4485</v>
      </c>
      <c r="G3792" s="0" t="s">
        <v>18698</v>
      </c>
    </row>
    <row r="3793" customFormat="false" ht="15" hidden="false" customHeight="false" outlineLevel="0" collapsed="false">
      <c r="A3793" s="0" t="n">
        <v>1022</v>
      </c>
      <c r="B3793" s="0" t="n">
        <v>10615</v>
      </c>
      <c r="C3793" s="0" t="s">
        <v>4515</v>
      </c>
      <c r="D3793" s="0" t="s">
        <v>5</v>
      </c>
      <c r="E3793" s="0" t="e">
        <f aca="false">IFERROR(__xludf.dummyfunction("xlookup(aj1022,importrange("1xainw9du9nz21v0tyi))</f>
        <v>#VALUE!</v>
      </c>
      <c r="F3793" s="0" t="s">
        <v>4516</v>
      </c>
      <c r="G3793" s="0" t="s">
        <v>18698</v>
      </c>
    </row>
    <row r="3794" customFormat="false" ht="15" hidden="false" customHeight="false" outlineLevel="0" collapsed="false">
      <c r="A3794" s="0" t="n">
        <v>1027</v>
      </c>
      <c r="B3794" s="0" t="n">
        <v>10624</v>
      </c>
      <c r="C3794" s="0" t="s">
        <v>4535</v>
      </c>
      <c r="D3794" s="0" t="s">
        <v>5</v>
      </c>
      <c r="E3794" s="0" t="e">
        <f aca="false">IFERROR(__xludf.dummyfunction("xlookup(aj1027,importrange("1xainw9du9nz21v0tyi))</f>
        <v>#VALUE!</v>
      </c>
      <c r="F3794" s="0" t="s">
        <v>4536</v>
      </c>
      <c r="G3794" s="0" t="s">
        <v>18698</v>
      </c>
    </row>
    <row r="3795" customFormat="false" ht="15" hidden="false" customHeight="false" outlineLevel="0" collapsed="false">
      <c r="A3795" s="0" t="n">
        <v>1034</v>
      </c>
      <c r="B3795" s="0" t="n">
        <v>10690</v>
      </c>
      <c r="C3795" s="0" t="s">
        <v>4565</v>
      </c>
      <c r="D3795" s="0" t="s">
        <v>5</v>
      </c>
      <c r="E3795" s="0" t="e">
        <f aca="false">IFERROR(__xludf.dummyfunction("xlookup(aj1034,importrange("1xainw9du9nz21v0tyi))</f>
        <v>#VALUE!</v>
      </c>
      <c r="F3795" s="0" t="s">
        <v>4566</v>
      </c>
      <c r="G3795" s="0" t="s">
        <v>18698</v>
      </c>
    </row>
    <row r="3796" customFormat="false" ht="15" hidden="false" customHeight="false" outlineLevel="0" collapsed="false">
      <c r="A3796" s="0" t="n">
        <v>1039</v>
      </c>
      <c r="B3796" s="0" t="n">
        <v>10711</v>
      </c>
      <c r="C3796" s="0" t="s">
        <v>4585</v>
      </c>
      <c r="D3796" s="0" t="s">
        <v>5</v>
      </c>
      <c r="E3796" s="0" t="e">
        <f aca="false">IFERROR(__xludf.dummyfunction("xlookup(aj1039,importrange("1xainw9du9nz21v0tyi))</f>
        <v>#VALUE!</v>
      </c>
      <c r="F3796" s="0" t="s">
        <v>4586</v>
      </c>
      <c r="G3796" s="0" t="s">
        <v>18698</v>
      </c>
    </row>
    <row r="3797" customFormat="false" ht="15" hidden="false" customHeight="false" outlineLevel="0" collapsed="false">
      <c r="A3797" s="0" t="n">
        <v>1041</v>
      </c>
      <c r="B3797" s="0" t="n">
        <v>10773</v>
      </c>
      <c r="C3797" s="0" t="s">
        <v>4594</v>
      </c>
      <c r="D3797" s="0" t="s">
        <v>5</v>
      </c>
      <c r="E3797" s="0" t="e">
        <f aca="false">IFERROR(__xludf.dummyfunction("xlookup(aj1041,importrange("1xainw9du9nz21v0tyi))</f>
        <v>#VALUE!</v>
      </c>
      <c r="F3797" s="0" t="s">
        <v>4595</v>
      </c>
      <c r="G3797" s="0" t="s">
        <v>18698</v>
      </c>
    </row>
    <row r="3798" customFormat="false" ht="15" hidden="false" customHeight="false" outlineLevel="0" collapsed="false">
      <c r="A3798" s="0" t="n">
        <v>1050</v>
      </c>
      <c r="B3798" s="0" t="n">
        <v>10866</v>
      </c>
      <c r="C3798" s="0" t="s">
        <v>4630</v>
      </c>
      <c r="D3798" s="0" t="s">
        <v>5</v>
      </c>
      <c r="E3798" s="0" t="e">
        <f aca="false">IFERROR(__xludf.dummyfunction("xlookup(aj1050,importrange("1xainw9du9nz21v0tyi))</f>
        <v>#VALUE!</v>
      </c>
      <c r="F3798" s="0" t="s">
        <v>4631</v>
      </c>
      <c r="G3798" s="0" t="s">
        <v>18698</v>
      </c>
    </row>
    <row r="3799" customFormat="false" ht="15" hidden="false" customHeight="false" outlineLevel="0" collapsed="false">
      <c r="A3799" s="0" t="n">
        <v>1051</v>
      </c>
      <c r="B3799" s="0" t="n">
        <v>10868</v>
      </c>
      <c r="C3799" s="0" t="s">
        <v>4635</v>
      </c>
      <c r="D3799" s="0" t="s">
        <v>5</v>
      </c>
      <c r="E3799" s="0" t="e">
        <f aca="false">IFERROR(__xludf.dummyfunction("xlookup(aj1051,importrange("1xainw9du9nz21v0tyi))</f>
        <v>#VALUE!</v>
      </c>
      <c r="F3799" s="0" t="s">
        <v>4636</v>
      </c>
      <c r="G3799" s="0" t="s">
        <v>18698</v>
      </c>
    </row>
    <row r="3800" customFormat="false" ht="15" hidden="false" customHeight="false" outlineLevel="0" collapsed="false">
      <c r="A3800" s="0" t="n">
        <v>1064</v>
      </c>
      <c r="B3800" s="0" t="n">
        <v>10897</v>
      </c>
      <c r="C3800" s="0" t="s">
        <v>4687</v>
      </c>
      <c r="D3800" s="0" t="s">
        <v>5</v>
      </c>
      <c r="E3800" s="0" t="e">
        <f aca="false">IFERROR(__xludf.dummyfunction("xlookup(aj1064,importrange("1xainw9du9nz21v0tyi))</f>
        <v>#VALUE!</v>
      </c>
      <c r="F3800" s="0" t="s">
        <v>4688</v>
      </c>
      <c r="G3800" s="0" t="s">
        <v>18698</v>
      </c>
    </row>
    <row r="3801" customFormat="false" ht="15" hidden="false" customHeight="false" outlineLevel="0" collapsed="false">
      <c r="A3801" s="0" t="n">
        <v>1069</v>
      </c>
      <c r="B3801" s="0" t="n">
        <v>10911</v>
      </c>
      <c r="C3801" s="0" t="s">
        <v>4708</v>
      </c>
      <c r="D3801" s="0" t="s">
        <v>5</v>
      </c>
      <c r="E3801" s="0" t="e">
        <f aca="false">IFERROR(__xludf.dummyfunction("xlookup(aj1069,importrange("1xainw9du9nz21v0tyi))</f>
        <v>#VALUE!</v>
      </c>
      <c r="F3801" s="0" t="s">
        <v>4709</v>
      </c>
      <c r="G3801" s="0" t="s">
        <v>18698</v>
      </c>
    </row>
    <row r="3802" customFormat="false" ht="15" hidden="false" customHeight="false" outlineLevel="0" collapsed="false">
      <c r="A3802" s="0" t="n">
        <v>1073</v>
      </c>
      <c r="B3802" s="0" t="n">
        <v>11109</v>
      </c>
      <c r="C3802" s="0" t="s">
        <v>4725</v>
      </c>
      <c r="D3802" s="0" t="s">
        <v>5</v>
      </c>
      <c r="E3802" s="0" t="e">
        <f aca="false">IFERROR(__xludf.dummyfunction("xlookup(aj1073,importrange("1xainw9du9nz21v0tyi))</f>
        <v>#VALUE!</v>
      </c>
      <c r="F3802" s="0" t="s">
        <v>4726</v>
      </c>
      <c r="G3802" s="0" t="s">
        <v>18698</v>
      </c>
    </row>
    <row r="3803" customFormat="false" ht="15" hidden="false" customHeight="false" outlineLevel="0" collapsed="false">
      <c r="A3803" s="0" t="n">
        <v>1074</v>
      </c>
      <c r="B3803" s="0" t="n">
        <v>11115</v>
      </c>
      <c r="C3803" s="0" t="s">
        <v>4730</v>
      </c>
      <c r="D3803" s="0" t="s">
        <v>5</v>
      </c>
      <c r="E3803" s="0" t="e">
        <f aca="false">IFERROR(__xludf.dummyfunction("xlookup(aj1074,importrange("1xainw9du9nz21v0tyi))</f>
        <v>#VALUE!</v>
      </c>
      <c r="F3803" s="0" t="s">
        <v>4731</v>
      </c>
      <c r="G3803" s="0" t="s">
        <v>18698</v>
      </c>
    </row>
    <row r="3804" customFormat="false" ht="15" hidden="false" customHeight="false" outlineLevel="0" collapsed="false">
      <c r="A3804" s="0" t="n">
        <v>1084</v>
      </c>
      <c r="B3804" s="0" t="n">
        <v>12085</v>
      </c>
      <c r="C3804" s="0" t="s">
        <v>4776</v>
      </c>
      <c r="D3804" s="0" t="s">
        <v>5</v>
      </c>
      <c r="E3804" s="0" t="e">
        <f aca="false">IFERROR(__xludf.dummyfunction("xlookup(aj1084,importrange("1xainw9du9nz21v0tyi))</f>
        <v>#VALUE!</v>
      </c>
      <c r="F3804" s="0" t="s">
        <v>4777</v>
      </c>
      <c r="G3804" s="0" t="s">
        <v>18698</v>
      </c>
    </row>
    <row r="3805" customFormat="false" ht="15" hidden="false" customHeight="false" outlineLevel="0" collapsed="false">
      <c r="A3805" s="0" t="n">
        <v>1086</v>
      </c>
      <c r="B3805" s="0" t="n">
        <v>12087</v>
      </c>
      <c r="C3805" s="0" t="s">
        <v>4788</v>
      </c>
      <c r="D3805" s="0" t="s">
        <v>5</v>
      </c>
      <c r="E3805" s="0" t="e">
        <f aca="false">IFERROR(__xludf.dummyfunction("xlookup(aj1086,importrange("1xainw9du9nz21v0tyi))</f>
        <v>#VALUE!</v>
      </c>
      <c r="F3805" s="0" t="s">
        <v>4789</v>
      </c>
      <c r="G3805" s="0" t="s">
        <v>18698</v>
      </c>
    </row>
    <row r="3806" customFormat="false" ht="15" hidden="false" customHeight="false" outlineLevel="0" collapsed="false">
      <c r="A3806" s="0" t="n">
        <v>1090</v>
      </c>
      <c r="B3806" s="0" t="n">
        <v>12110</v>
      </c>
      <c r="C3806" s="0" t="s">
        <v>4807</v>
      </c>
      <c r="D3806" s="0" t="s">
        <v>5</v>
      </c>
      <c r="E3806" s="0" t="e">
        <f aca="false">IFERROR(__xludf.dummyfunction("xlookup(aj1090,importrange("1xainw9du9nz21v0tyi))</f>
        <v>#VALUE!</v>
      </c>
      <c r="F3806" s="0" t="s">
        <v>4808</v>
      </c>
      <c r="G3806" s="0" t="s">
        <v>18698</v>
      </c>
    </row>
    <row r="3807" customFormat="false" ht="15" hidden="false" customHeight="false" outlineLevel="0" collapsed="false">
      <c r="A3807" s="0" t="n">
        <v>1101</v>
      </c>
      <c r="B3807" s="0" t="n">
        <v>12250</v>
      </c>
      <c r="C3807" s="0" t="s">
        <v>4851</v>
      </c>
      <c r="D3807" s="0" t="s">
        <v>5</v>
      </c>
      <c r="E3807" s="0" t="e">
        <f aca="false">IFERROR(__xludf.dummyfunction("xlookup(aj1101,importrange("1xainw9du9nz21v0tyi))</f>
        <v>#VALUE!</v>
      </c>
      <c r="F3807" s="0" t="s">
        <v>4852</v>
      </c>
      <c r="G3807" s="0" t="s">
        <v>18698</v>
      </c>
    </row>
    <row r="3808" customFormat="false" ht="15" hidden="false" customHeight="false" outlineLevel="0" collapsed="false">
      <c r="A3808" s="0" t="n">
        <v>1108</v>
      </c>
      <c r="B3808" s="0" t="n">
        <v>12308</v>
      </c>
      <c r="C3808" s="0" t="s">
        <v>4879</v>
      </c>
      <c r="D3808" s="0" t="s">
        <v>5</v>
      </c>
      <c r="E3808" s="0" t="e">
        <f aca="false">IFERROR(__xludf.dummyfunction("xlookup(aj1108,importrange("1xainw9du9nz21v0tyi))</f>
        <v>#VALUE!</v>
      </c>
      <c r="F3808" s="0" t="s">
        <v>4880</v>
      </c>
      <c r="G3808" s="0" t="s">
        <v>18698</v>
      </c>
    </row>
    <row r="3809" customFormat="false" ht="15" hidden="false" customHeight="false" outlineLevel="0" collapsed="false">
      <c r="A3809" s="0" t="n">
        <v>1109</v>
      </c>
      <c r="B3809" s="0" t="n">
        <v>12310</v>
      </c>
      <c r="C3809" s="0" t="s">
        <v>4883</v>
      </c>
      <c r="D3809" s="0" t="s">
        <v>5</v>
      </c>
      <c r="E3809" s="0" t="e">
        <f aca="false">IFERROR(__xludf.dummyfunction("xlookup(aj1109,importrange("1xainw9du9nz21v0tyi))</f>
        <v>#VALUE!</v>
      </c>
      <c r="F3809" s="0" t="s">
        <v>4884</v>
      </c>
      <c r="G3809" s="0" t="s">
        <v>18698</v>
      </c>
    </row>
    <row r="3810" customFormat="false" ht="15" hidden="false" customHeight="false" outlineLevel="0" collapsed="false">
      <c r="A3810" s="0" t="n">
        <v>1117</v>
      </c>
      <c r="B3810" s="0" t="n">
        <v>22544</v>
      </c>
      <c r="C3810" s="0" t="s">
        <v>4919</v>
      </c>
      <c r="D3810" s="0" t="s">
        <v>5</v>
      </c>
      <c r="E3810" s="0" t="e">
        <f aca="false">IFERROR(__xludf.dummyfunction("xlookup(aj1117,importrange("1xainw9du9nz21v0tyi))</f>
        <v>#VALUE!</v>
      </c>
      <c r="F3810" s="0" t="s">
        <v>4920</v>
      </c>
      <c r="G3810" s="0" t="s">
        <v>18698</v>
      </c>
    </row>
    <row r="3811" customFormat="false" ht="15" hidden="false" customHeight="false" outlineLevel="0" collapsed="false">
      <c r="A3811" s="0" t="n">
        <v>1119</v>
      </c>
      <c r="B3811" s="0" t="n">
        <v>22551</v>
      </c>
      <c r="C3811" s="0" t="s">
        <v>4927</v>
      </c>
      <c r="D3811" s="0" t="s">
        <v>5</v>
      </c>
      <c r="E3811" s="0" t="e">
        <f aca="false">IFERROR(__xludf.dummyfunction("xlookup(aj1119,importrange("1xainw9du9nz21v0tyi))</f>
        <v>#VALUE!</v>
      </c>
      <c r="F3811" s="0" t="s">
        <v>4928</v>
      </c>
      <c r="G3811" s="0" t="s">
        <v>18698</v>
      </c>
    </row>
    <row r="3812" customFormat="false" ht="15" hidden="false" customHeight="false" outlineLevel="0" collapsed="false">
      <c r="A3812" s="0" t="n">
        <v>1120</v>
      </c>
      <c r="B3812" s="0" t="n">
        <v>22552</v>
      </c>
      <c r="C3812" s="0" t="s">
        <v>4931</v>
      </c>
      <c r="D3812" s="0" t="s">
        <v>5</v>
      </c>
      <c r="E3812" s="0" t="e">
        <f aca="false">IFERROR(__xludf.dummyfunction("xlookup(aj1120,importrange("1xainw9du9nz21v0tyi))</f>
        <v>#VALUE!</v>
      </c>
      <c r="F3812" s="0" t="s">
        <v>4932</v>
      </c>
      <c r="G3812" s="0" t="s">
        <v>18698</v>
      </c>
    </row>
    <row r="3813" customFormat="false" ht="15" hidden="false" customHeight="false" outlineLevel="0" collapsed="false">
      <c r="A3813" s="0" t="n">
        <v>1121</v>
      </c>
      <c r="B3813" s="0" t="n">
        <v>22553</v>
      </c>
      <c r="C3813" s="0" t="s">
        <v>4935</v>
      </c>
      <c r="D3813" s="0" t="s">
        <v>5</v>
      </c>
      <c r="E3813" s="0" t="e">
        <f aca="false">IFERROR(__xludf.dummyfunction("xlookup(aj1121,importrange("1xainw9du9nz21v0tyi))</f>
        <v>#VALUE!</v>
      </c>
      <c r="F3813" s="0" t="s">
        <v>4936</v>
      </c>
      <c r="G3813" s="0" t="s">
        <v>18698</v>
      </c>
    </row>
    <row r="3814" customFormat="false" ht="15" hidden="false" customHeight="false" outlineLevel="0" collapsed="false">
      <c r="A3814" s="0" t="n">
        <v>1124</v>
      </c>
      <c r="B3814" s="0" t="n">
        <v>12389</v>
      </c>
      <c r="C3814" s="0" t="s">
        <v>4946</v>
      </c>
      <c r="D3814" s="0" t="s">
        <v>5</v>
      </c>
      <c r="E3814" s="0" t="e">
        <f aca="false">IFERROR(__xludf.dummyfunction("xlookup(aj1124,importrange("1xainw9du9nz21v0tyi))</f>
        <v>#VALUE!</v>
      </c>
      <c r="F3814" s="0" t="s">
        <v>4947</v>
      </c>
      <c r="G3814" s="0" t="s">
        <v>18698</v>
      </c>
    </row>
    <row r="3815" customFormat="false" ht="15" hidden="false" customHeight="false" outlineLevel="0" collapsed="false">
      <c r="A3815" s="0" t="n">
        <v>1130</v>
      </c>
      <c r="B3815" s="0" t="n">
        <v>22554</v>
      </c>
      <c r="C3815" s="0" t="s">
        <v>4972</v>
      </c>
      <c r="D3815" s="0" t="s">
        <v>5</v>
      </c>
      <c r="E3815" s="0" t="e">
        <f aca="false">IFERROR(__xludf.dummyfunction("xlookup(aj1130,importrange("1xainw9du9nz21v0tyi))</f>
        <v>#VALUE!</v>
      </c>
      <c r="F3815" s="0" t="s">
        <v>4973</v>
      </c>
      <c r="G3815" s="0" t="s">
        <v>18698</v>
      </c>
    </row>
    <row r="3816" customFormat="false" ht="15" hidden="false" customHeight="false" outlineLevel="0" collapsed="false">
      <c r="A3816" s="0" t="n">
        <v>1134</v>
      </c>
      <c r="B3816" s="0" t="n">
        <v>12437</v>
      </c>
      <c r="C3816" s="0" t="s">
        <v>4988</v>
      </c>
      <c r="D3816" s="0" t="s">
        <v>5</v>
      </c>
      <c r="E3816" s="0" t="e">
        <f aca="false">IFERROR(__xludf.dummyfunction("xlookup(aj1134,importrange("1xainw9du9nz21v0tyi))</f>
        <v>#VALUE!</v>
      </c>
      <c r="F3816" s="0" t="s">
        <v>4989</v>
      </c>
      <c r="G3816" s="0" t="s">
        <v>18698</v>
      </c>
    </row>
    <row r="3817" customFormat="false" ht="15" hidden="false" customHeight="false" outlineLevel="0" collapsed="false">
      <c r="A3817" s="0" t="n">
        <v>1136</v>
      </c>
      <c r="B3817" s="0" t="n">
        <v>12462</v>
      </c>
      <c r="C3817" s="0" t="s">
        <v>4996</v>
      </c>
      <c r="D3817" s="0" t="s">
        <v>5</v>
      </c>
      <c r="E3817" s="0" t="e">
        <f aca="false">IFERROR(__xludf.dummyfunction("xlookup(aj1136,importrange("1xainw9du9nz21v0tyi))</f>
        <v>#VALUE!</v>
      </c>
      <c r="F3817" s="0" t="s">
        <v>4997</v>
      </c>
      <c r="G3817" s="0" t="s">
        <v>18698</v>
      </c>
    </row>
    <row r="3818" customFormat="false" ht="15" hidden="false" customHeight="false" outlineLevel="0" collapsed="false">
      <c r="A3818" s="0" t="n">
        <v>1138</v>
      </c>
      <c r="B3818" s="0" t="n">
        <v>12466</v>
      </c>
      <c r="C3818" s="0" t="s">
        <v>5008</v>
      </c>
      <c r="D3818" s="0" t="s">
        <v>5</v>
      </c>
      <c r="E3818" s="0" t="e">
        <f aca="false">IFERROR(__xludf.dummyfunction("xlookup(aj1138,importrange("1xainw9du9nz21v0tyi))</f>
        <v>#VALUE!</v>
      </c>
      <c r="F3818" s="0" t="s">
        <v>5009</v>
      </c>
      <c r="G3818" s="0" t="s">
        <v>18698</v>
      </c>
    </row>
    <row r="3819" customFormat="false" ht="15" hidden="false" customHeight="false" outlineLevel="0" collapsed="false">
      <c r="A3819" s="0" t="n">
        <v>1149</v>
      </c>
      <c r="B3819" s="0" t="n">
        <v>12530</v>
      </c>
      <c r="C3819" s="0" t="s">
        <v>661</v>
      </c>
      <c r="D3819" s="0" t="s">
        <v>5</v>
      </c>
      <c r="E3819" s="0" t="e">
        <f aca="false">IFERROR(__xludf.dummyfunction("xlookup(aj1149,importrange("1xainw9du9nz21v0tyi))</f>
        <v>#VALUE!</v>
      </c>
      <c r="F3819" s="0" t="s">
        <v>5061</v>
      </c>
      <c r="G3819" s="0" t="s">
        <v>18698</v>
      </c>
    </row>
    <row r="3820" customFormat="false" ht="15" hidden="false" customHeight="false" outlineLevel="0" collapsed="false">
      <c r="A3820" s="0" t="n">
        <v>1150</v>
      </c>
      <c r="B3820" s="0" t="n">
        <v>12532</v>
      </c>
      <c r="C3820" s="0" t="s">
        <v>5065</v>
      </c>
      <c r="D3820" s="0" t="s">
        <v>5</v>
      </c>
      <c r="E3820" s="0" t="e">
        <f aca="false">IFERROR(__xludf.dummyfunction("xlookup(aj1150,importrange("1xainw9du9nz21v0tyi))</f>
        <v>#VALUE!</v>
      </c>
      <c r="F3820" s="0" t="s">
        <v>5066</v>
      </c>
      <c r="G3820" s="0" t="s">
        <v>18698</v>
      </c>
    </row>
    <row r="3821" customFormat="false" ht="15" hidden="false" customHeight="false" outlineLevel="0" collapsed="false">
      <c r="A3821" s="0" t="n">
        <v>1153</v>
      </c>
      <c r="B3821" s="0" t="n">
        <v>12536</v>
      </c>
      <c r="C3821" s="0" t="s">
        <v>5077</v>
      </c>
      <c r="D3821" s="0" t="s">
        <v>5</v>
      </c>
      <c r="E3821" s="0" t="e">
        <f aca="false">IFERROR(__xludf.dummyfunction("xlookup(aj1153,importrange("1xainw9du9nz21v0tyi))</f>
        <v>#VALUE!</v>
      </c>
      <c r="F3821" s="0" t="s">
        <v>5078</v>
      </c>
      <c r="G3821" s="0" t="s">
        <v>18698</v>
      </c>
    </row>
    <row r="3822" customFormat="false" ht="15" hidden="false" customHeight="false" outlineLevel="0" collapsed="false">
      <c r="A3822" s="0" t="n">
        <v>1173</v>
      </c>
      <c r="B3822" s="0" t="n">
        <v>12564</v>
      </c>
      <c r="C3822" s="0" t="s">
        <v>5158</v>
      </c>
      <c r="D3822" s="0" t="s">
        <v>5</v>
      </c>
      <c r="E3822" s="0" t="e">
        <f aca="false">IFERROR(__xludf.dummyfunction("xlookup(aj1173,importrange("1xainw9du9nz21v0tyi))</f>
        <v>#VALUE!</v>
      </c>
      <c r="F3822" s="0" t="s">
        <v>5159</v>
      </c>
      <c r="G3822" s="0" t="s">
        <v>18698</v>
      </c>
    </row>
    <row r="3823" customFormat="false" ht="15" hidden="false" customHeight="false" outlineLevel="0" collapsed="false">
      <c r="A3823" s="0" t="n">
        <v>1184</v>
      </c>
      <c r="B3823" s="0" t="n">
        <v>12583</v>
      </c>
      <c r="C3823" s="0" t="s">
        <v>5204</v>
      </c>
      <c r="D3823" s="0" t="s">
        <v>5</v>
      </c>
      <c r="E3823" s="0" t="e">
        <f aca="false">IFERROR(__xludf.dummyfunction("xlookup(aj1184,importrange("1xainw9du9nz21v0tyi))</f>
        <v>#VALUE!</v>
      </c>
      <c r="F3823" s="0" t="s">
        <v>5205</v>
      </c>
      <c r="G3823" s="0" t="s">
        <v>18698</v>
      </c>
    </row>
    <row r="3824" customFormat="false" ht="15" hidden="false" customHeight="false" outlineLevel="0" collapsed="false">
      <c r="A3824" s="0" t="n">
        <v>1189</v>
      </c>
      <c r="B3824" s="0" t="n">
        <v>12590</v>
      </c>
      <c r="C3824" s="0" t="s">
        <v>5225</v>
      </c>
      <c r="D3824" s="0" t="s">
        <v>5</v>
      </c>
      <c r="E3824" s="0" t="e">
        <f aca="false">IFERROR(__xludf.dummyfunction("xlookup(aj1189,importrange("1xainw9du9nz21v0tyi))</f>
        <v>#VALUE!</v>
      </c>
      <c r="F3824" s="0" t="s">
        <v>5226</v>
      </c>
      <c r="G3824" s="0" t="s">
        <v>18698</v>
      </c>
    </row>
    <row r="3825" customFormat="false" ht="15" hidden="false" customHeight="false" outlineLevel="0" collapsed="false">
      <c r="A3825" s="0" t="n">
        <v>1190</v>
      </c>
      <c r="B3825" s="0" t="n">
        <v>12592</v>
      </c>
      <c r="C3825" s="0" t="s">
        <v>5230</v>
      </c>
      <c r="D3825" s="0" t="s">
        <v>5</v>
      </c>
      <c r="E3825" s="0" t="e">
        <f aca="false">IFERROR(__xludf.dummyfunction("xlookup(aj1190,importrange("1xainw9du9nz21v0tyi))</f>
        <v>#VALUE!</v>
      </c>
      <c r="F3825" s="0" t="s">
        <v>5231</v>
      </c>
      <c r="G3825" s="0" t="s">
        <v>18698</v>
      </c>
    </row>
    <row r="3826" customFormat="false" ht="15" hidden="false" customHeight="false" outlineLevel="0" collapsed="false">
      <c r="A3826" s="0" t="n">
        <v>1195</v>
      </c>
      <c r="B3826" s="0" t="n">
        <v>12702</v>
      </c>
      <c r="C3826" s="0" t="s">
        <v>5255</v>
      </c>
      <c r="D3826" s="0" t="s">
        <v>5</v>
      </c>
      <c r="E3826" s="0" t="e">
        <f aca="false">IFERROR(__xludf.dummyfunction("xlookup(aj1195,importrange("1xainw9du9nz21v0tyi))</f>
        <v>#VALUE!</v>
      </c>
      <c r="F3826" s="0" t="s">
        <v>5256</v>
      </c>
      <c r="G3826" s="0" t="s">
        <v>18698</v>
      </c>
    </row>
    <row r="3827" customFormat="false" ht="15" hidden="false" customHeight="false" outlineLevel="0" collapsed="false">
      <c r="A3827" s="0" t="n">
        <v>1210</v>
      </c>
      <c r="B3827" s="0" t="n">
        <v>12827</v>
      </c>
      <c r="C3827" s="0" t="s">
        <v>5310</v>
      </c>
      <c r="D3827" s="0" t="s">
        <v>5</v>
      </c>
      <c r="E3827" s="0" t="e">
        <f aca="false">IFERROR(__xludf.dummyfunction("xlookup(aj1210,importrange("1xainw9du9nz21v0tyi))</f>
        <v>#VALUE!</v>
      </c>
      <c r="F3827" s="0" t="s">
        <v>5311</v>
      </c>
      <c r="G3827" s="0" t="s">
        <v>18698</v>
      </c>
    </row>
    <row r="3828" customFormat="false" ht="15" hidden="false" customHeight="false" outlineLevel="0" collapsed="false">
      <c r="A3828" s="0" t="n">
        <v>1217</v>
      </c>
      <c r="B3828" s="0" t="n">
        <v>12912</v>
      </c>
      <c r="C3828" s="0" t="s">
        <v>5343</v>
      </c>
      <c r="D3828" s="0" t="s">
        <v>5</v>
      </c>
      <c r="E3828" s="0" t="e">
        <f aca="false">IFERROR(__xludf.dummyfunction("xlookup(aj1217,importrange("1xainw9du9nz21v0tyi))</f>
        <v>#VALUE!</v>
      </c>
      <c r="F3828" s="0" t="s">
        <v>5344</v>
      </c>
      <c r="G3828" s="0" t="s">
        <v>18698</v>
      </c>
    </row>
    <row r="3829" customFormat="false" ht="15" hidden="false" customHeight="false" outlineLevel="0" collapsed="false">
      <c r="A3829" s="0" t="n">
        <v>1218</v>
      </c>
      <c r="B3829" s="0" t="n">
        <v>13119</v>
      </c>
      <c r="C3829" s="0" t="s">
        <v>5348</v>
      </c>
      <c r="D3829" s="0" t="s">
        <v>5</v>
      </c>
      <c r="E3829" s="0" t="e">
        <f aca="false">IFERROR(__xludf.dummyfunction("xlookup(aj1218,importrange("1xainw9du9nz21v0tyi))</f>
        <v>#VALUE!</v>
      </c>
      <c r="F3829" s="0" t="s">
        <v>5349</v>
      </c>
      <c r="G3829" s="0" t="s">
        <v>18698</v>
      </c>
    </row>
    <row r="3830" customFormat="false" ht="15" hidden="false" customHeight="false" outlineLevel="0" collapsed="false">
      <c r="A3830" s="0" t="n">
        <v>1222</v>
      </c>
      <c r="B3830" s="0" t="n">
        <v>13197</v>
      </c>
      <c r="C3830" s="0" t="s">
        <v>5364</v>
      </c>
      <c r="D3830" s="0" t="s">
        <v>5</v>
      </c>
      <c r="E3830" s="0" t="e">
        <f aca="false">IFERROR(__xludf.dummyfunction("xlookup(aj1222,importrange("1xainw9du9nz21v0tyi))</f>
        <v>#VALUE!</v>
      </c>
      <c r="F3830" s="0" t="s">
        <v>5365</v>
      </c>
      <c r="G3830" s="0" t="s">
        <v>18698</v>
      </c>
    </row>
    <row r="3831" customFormat="false" ht="15" hidden="false" customHeight="false" outlineLevel="0" collapsed="false">
      <c r="A3831" s="0" t="n">
        <v>1223</v>
      </c>
      <c r="B3831" s="0" t="n">
        <v>13204</v>
      </c>
      <c r="C3831" s="0" t="s">
        <v>5369</v>
      </c>
      <c r="D3831" s="0" t="s">
        <v>5</v>
      </c>
      <c r="E3831" s="0" t="e">
        <f aca="false">IFERROR(__xludf.dummyfunction("xlookup(aj1223,importrange("1xainw9du9nz21v0tyi))</f>
        <v>#VALUE!</v>
      </c>
      <c r="F3831" s="0" t="s">
        <v>5370</v>
      </c>
      <c r="G3831" s="0" t="s">
        <v>18698</v>
      </c>
    </row>
    <row r="3832" customFormat="false" ht="15" hidden="false" customHeight="false" outlineLevel="0" collapsed="false">
      <c r="A3832" s="0" t="n">
        <v>1224</v>
      </c>
      <c r="B3832" s="0" t="n">
        <v>22286</v>
      </c>
      <c r="C3832" s="0" t="s">
        <v>5374</v>
      </c>
      <c r="D3832" s="0" t="s">
        <v>5</v>
      </c>
      <c r="E3832" s="0" t="e">
        <f aca="false">IFERROR(__xludf.dummyfunction("xlookup(aj1224,importrange("1xainw9du9nz21v0tyi))</f>
        <v>#VALUE!</v>
      </c>
      <c r="F3832" s="0" t="s">
        <v>5375</v>
      </c>
      <c r="G3832" s="0" t="s">
        <v>18698</v>
      </c>
    </row>
    <row r="3833" customFormat="false" ht="15" hidden="false" customHeight="false" outlineLevel="0" collapsed="false">
      <c r="A3833" s="0" t="n">
        <v>1225</v>
      </c>
      <c r="B3833" s="0" t="n">
        <v>13241</v>
      </c>
      <c r="C3833" s="0" t="s">
        <v>2381</v>
      </c>
      <c r="D3833" s="0" t="s">
        <v>5</v>
      </c>
      <c r="E3833" s="0" t="e">
        <f aca="false">IFERROR(__xludf.dummyfunction("xlookup(aj1225,importrange("1xainw9du9nz21v0tyi))</f>
        <v>#VALUE!</v>
      </c>
      <c r="F3833" s="0" t="s">
        <v>5378</v>
      </c>
      <c r="G3833" s="0" t="s">
        <v>18698</v>
      </c>
    </row>
    <row r="3834" customFormat="false" ht="15" hidden="false" customHeight="false" outlineLevel="0" collapsed="false">
      <c r="A3834" s="0" t="n">
        <v>1226</v>
      </c>
      <c r="B3834" s="0" t="n">
        <v>13247</v>
      </c>
      <c r="C3834" s="0" t="s">
        <v>5381</v>
      </c>
      <c r="D3834" s="0" t="s">
        <v>5</v>
      </c>
      <c r="E3834" s="0" t="e">
        <f aca="false">IFERROR(__xludf.dummyfunction("xlookup(aj1226,importrange("1xainw9du9nz21v0tyi))</f>
        <v>#VALUE!</v>
      </c>
      <c r="F3834" s="0" t="s">
        <v>5382</v>
      </c>
      <c r="G3834" s="0" t="s">
        <v>18698</v>
      </c>
    </row>
    <row r="3835" customFormat="false" ht="15" hidden="false" customHeight="false" outlineLevel="0" collapsed="false">
      <c r="A3835" s="0" t="n">
        <v>1227</v>
      </c>
      <c r="B3835" s="0" t="n">
        <v>13293</v>
      </c>
      <c r="C3835" s="0" t="s">
        <v>5385</v>
      </c>
      <c r="D3835" s="0" t="s">
        <v>5</v>
      </c>
      <c r="E3835" s="0" t="e">
        <f aca="false">IFERROR(__xludf.dummyfunction("xlookup(aj1227,importrange("1xainw9du9nz21v0tyi))</f>
        <v>#VALUE!</v>
      </c>
      <c r="F3835" s="0" t="s">
        <v>5386</v>
      </c>
      <c r="G3835" s="0" t="s">
        <v>18698</v>
      </c>
    </row>
    <row r="3836" customFormat="false" ht="15" hidden="false" customHeight="false" outlineLevel="0" collapsed="false">
      <c r="A3836" s="0" t="n">
        <v>1229</v>
      </c>
      <c r="B3836" s="0" t="n">
        <v>13300</v>
      </c>
      <c r="C3836" s="0" t="s">
        <v>5394</v>
      </c>
      <c r="D3836" s="0" t="s">
        <v>5</v>
      </c>
      <c r="E3836" s="0" t="e">
        <f aca="false">IFERROR(__xludf.dummyfunction("xlookup(aj1229,importrange("1xainw9du9nz21v0tyi))</f>
        <v>#VALUE!</v>
      </c>
      <c r="F3836" s="0" t="s">
        <v>5395</v>
      </c>
      <c r="G3836" s="0" t="s">
        <v>18698</v>
      </c>
    </row>
    <row r="3837" customFormat="false" ht="15" hidden="false" customHeight="false" outlineLevel="0" collapsed="false">
      <c r="A3837" s="0" t="n">
        <v>1230</v>
      </c>
      <c r="B3837" s="0" t="n">
        <v>13336</v>
      </c>
      <c r="C3837" s="0" t="s">
        <v>5399</v>
      </c>
      <c r="D3837" s="0" t="s">
        <v>5</v>
      </c>
      <c r="E3837" s="0" t="e">
        <f aca="false">IFERROR(__xludf.dummyfunction("xlookup(aj1230,importrange("1xainw9du9nz21v0tyi))</f>
        <v>#VALUE!</v>
      </c>
      <c r="F3837" s="0" t="s">
        <v>5400</v>
      </c>
      <c r="G3837" s="0" t="s">
        <v>18698</v>
      </c>
    </row>
    <row r="3838" customFormat="false" ht="15" hidden="false" customHeight="false" outlineLevel="0" collapsed="false">
      <c r="A3838" s="0" t="n">
        <v>1232</v>
      </c>
      <c r="B3838" s="0" t="n">
        <v>13359</v>
      </c>
      <c r="C3838" s="0" t="s">
        <v>5409</v>
      </c>
      <c r="D3838" s="0" t="s">
        <v>5</v>
      </c>
      <c r="E3838" s="0" t="e">
        <f aca="false">IFERROR(__xludf.dummyfunction("xlookup(aj1232,importrange("1xainw9du9nz21v0tyi))</f>
        <v>#VALUE!</v>
      </c>
      <c r="F3838" s="0" t="s">
        <v>5410</v>
      </c>
      <c r="G3838" s="0" t="s">
        <v>18698</v>
      </c>
    </row>
    <row r="3839" customFormat="false" ht="15" hidden="false" customHeight="false" outlineLevel="0" collapsed="false">
      <c r="A3839" s="0" t="n">
        <v>1235</v>
      </c>
      <c r="B3839" s="0" t="n">
        <v>13408</v>
      </c>
      <c r="C3839" s="0" t="s">
        <v>5424</v>
      </c>
      <c r="D3839" s="0" t="s">
        <v>5</v>
      </c>
      <c r="E3839" s="0" t="e">
        <f aca="false">IFERROR(__xludf.dummyfunction("xlookup(aj1235,importrange("1xainw9du9nz21v0tyi))</f>
        <v>#VALUE!</v>
      </c>
      <c r="F3839" s="0" t="s">
        <v>5425</v>
      </c>
      <c r="G3839" s="0" t="s">
        <v>18698</v>
      </c>
    </row>
    <row r="3840" customFormat="false" ht="15" hidden="false" customHeight="false" outlineLevel="0" collapsed="false">
      <c r="A3840" s="0" t="n">
        <v>1243</v>
      </c>
      <c r="B3840" s="0" t="n">
        <v>13506</v>
      </c>
      <c r="C3840" s="0" t="s">
        <v>5460</v>
      </c>
      <c r="D3840" s="0" t="s">
        <v>5</v>
      </c>
      <c r="E3840" s="0" t="e">
        <f aca="false">IFERROR(__xludf.dummyfunction("xlookup(aj1243,importrange("1xainw9du9nz21v0tyi))</f>
        <v>#VALUE!</v>
      </c>
      <c r="F3840" s="0" t="s">
        <v>5461</v>
      </c>
      <c r="G3840" s="0" t="s">
        <v>18698</v>
      </c>
    </row>
    <row r="3841" customFormat="false" ht="15" hidden="false" customHeight="false" outlineLevel="0" collapsed="false">
      <c r="A3841" s="0" t="n">
        <v>1244</v>
      </c>
      <c r="B3841" s="0" t="n">
        <v>13514</v>
      </c>
      <c r="C3841" s="0" t="s">
        <v>5465</v>
      </c>
      <c r="D3841" s="0" t="s">
        <v>5</v>
      </c>
      <c r="E3841" s="0" t="e">
        <f aca="false">IFERROR(__xludf.dummyfunction("xlookup(aj1244,importrange("1xainw9du9nz21v0tyi))</f>
        <v>#VALUE!</v>
      </c>
      <c r="F3841" s="0" t="s">
        <v>5466</v>
      </c>
      <c r="G3841" s="0" t="s">
        <v>18698</v>
      </c>
    </row>
    <row r="3842" customFormat="false" ht="15" hidden="false" customHeight="false" outlineLevel="0" collapsed="false">
      <c r="A3842" s="0" t="n">
        <v>1248</v>
      </c>
      <c r="B3842" s="0" t="n">
        <v>13573</v>
      </c>
      <c r="C3842" s="0" t="s">
        <v>5482</v>
      </c>
      <c r="D3842" s="0" t="s">
        <v>5</v>
      </c>
      <c r="E3842" s="0" t="e">
        <f aca="false">IFERROR(__xludf.dummyfunction("xlookup(aj1248,importrange("1xainw9du9nz21v0tyi))</f>
        <v>#VALUE!</v>
      </c>
      <c r="F3842" s="0" t="s">
        <v>5483</v>
      </c>
      <c r="G3842" s="0" t="s">
        <v>18698</v>
      </c>
    </row>
    <row r="3843" customFormat="false" ht="15" hidden="false" customHeight="false" outlineLevel="0" collapsed="false">
      <c r="A3843" s="0" t="n">
        <v>1257</v>
      </c>
      <c r="B3843" s="0" t="n">
        <v>13653</v>
      </c>
      <c r="C3843" s="0" t="s">
        <v>5517</v>
      </c>
      <c r="D3843" s="0" t="s">
        <v>5</v>
      </c>
      <c r="E3843" s="0" t="e">
        <f aca="false">IFERROR(__xludf.dummyfunction("xlookup(aj1257,importrange("1xainw9du9nz21v0tyi))</f>
        <v>#VALUE!</v>
      </c>
      <c r="F3843" s="0" t="s">
        <v>5518</v>
      </c>
      <c r="G3843" s="0" t="s">
        <v>18698</v>
      </c>
    </row>
    <row r="3844" customFormat="false" ht="15" hidden="false" customHeight="false" outlineLevel="0" collapsed="false">
      <c r="A3844" s="0" t="n">
        <v>1258</v>
      </c>
      <c r="B3844" s="0" t="n">
        <v>13658</v>
      </c>
      <c r="C3844" s="0" t="s">
        <v>5521</v>
      </c>
      <c r="D3844" s="0" t="s">
        <v>5</v>
      </c>
      <c r="E3844" s="0" t="e">
        <f aca="false">IFERROR(__xludf.dummyfunction("xlookup(aj1258,importrange("1xainw9du9nz21v0tyi))</f>
        <v>#VALUE!</v>
      </c>
      <c r="F3844" s="0" t="s">
        <v>5522</v>
      </c>
      <c r="G3844" s="0" t="s">
        <v>18698</v>
      </c>
    </row>
    <row r="3845" customFormat="false" ht="15" hidden="false" customHeight="false" outlineLevel="0" collapsed="false">
      <c r="A3845" s="0" t="n">
        <v>1264</v>
      </c>
      <c r="B3845" s="0" t="n">
        <v>13774</v>
      </c>
      <c r="C3845" s="0" t="s">
        <v>5545</v>
      </c>
      <c r="D3845" s="0" t="s">
        <v>5</v>
      </c>
      <c r="E3845" s="0" t="e">
        <f aca="false">IFERROR(__xludf.dummyfunction("xlookup(aj1264,importrange("1xainw9du9nz21v0tyi))</f>
        <v>#VALUE!</v>
      </c>
      <c r="F3845" s="0" t="s">
        <v>5547</v>
      </c>
      <c r="G3845" s="0" t="s">
        <v>18698</v>
      </c>
    </row>
    <row r="3846" customFormat="false" ht="15" hidden="false" customHeight="false" outlineLevel="0" collapsed="false">
      <c r="A3846" s="0" t="n">
        <v>1266</v>
      </c>
      <c r="B3846" s="0" t="n">
        <v>13897</v>
      </c>
      <c r="C3846" s="0" t="s">
        <v>5556</v>
      </c>
      <c r="D3846" s="0" t="s">
        <v>5</v>
      </c>
      <c r="E3846" s="0" t="e">
        <f aca="false">IFERROR(__xludf.dummyfunction("xlookup(aj1266,importrange("1xainw9du9nz21v0tyi))</f>
        <v>#VALUE!</v>
      </c>
      <c r="F3846" s="0" t="s">
        <v>5557</v>
      </c>
      <c r="G3846" s="0" t="s">
        <v>18698</v>
      </c>
    </row>
    <row r="3847" customFormat="false" ht="15" hidden="false" customHeight="false" outlineLevel="0" collapsed="false">
      <c r="A3847" s="0" t="n">
        <v>1267</v>
      </c>
      <c r="B3847" s="0" t="n">
        <v>13899</v>
      </c>
      <c r="C3847" s="0" t="s">
        <v>5561</v>
      </c>
      <c r="D3847" s="0" t="s">
        <v>5</v>
      </c>
      <c r="E3847" s="0" t="e">
        <f aca="false">IFERROR(__xludf.dummyfunction("xlookup(aj1267,importrange("1xainw9du9nz21v0tyi))</f>
        <v>#VALUE!</v>
      </c>
      <c r="F3847" s="0" t="s">
        <v>5562</v>
      </c>
      <c r="G3847" s="0" t="s">
        <v>18698</v>
      </c>
    </row>
    <row r="3848" customFormat="false" ht="15" hidden="false" customHeight="false" outlineLevel="0" collapsed="false">
      <c r="A3848" s="0" t="n">
        <v>1274</v>
      </c>
      <c r="B3848" s="0" t="n">
        <v>13925</v>
      </c>
      <c r="C3848" s="0" t="s">
        <v>5594</v>
      </c>
      <c r="D3848" s="0" t="s">
        <v>5</v>
      </c>
      <c r="E3848" s="0" t="e">
        <f aca="false">IFERROR(__xludf.dummyfunction("xlookup(aj1274,importrange("1xainw9du9nz21v0tyi))</f>
        <v>#VALUE!</v>
      </c>
      <c r="F3848" s="0" t="s">
        <v>5595</v>
      </c>
      <c r="G3848" s="0" t="s">
        <v>18698</v>
      </c>
    </row>
    <row r="3849" customFormat="false" ht="15" hidden="false" customHeight="false" outlineLevel="0" collapsed="false">
      <c r="A3849" s="0" t="n">
        <v>1275</v>
      </c>
      <c r="B3849" s="0" t="n">
        <v>13929</v>
      </c>
      <c r="C3849" s="0" t="s">
        <v>5600</v>
      </c>
      <c r="D3849" s="0" t="s">
        <v>5</v>
      </c>
      <c r="E3849" s="0" t="e">
        <f aca="false">IFERROR(__xludf.dummyfunction("xlookup(aj1275,importrange("1xainw9du9nz21v0tyi))</f>
        <v>#VALUE!</v>
      </c>
      <c r="F3849" s="0" t="s">
        <v>5601</v>
      </c>
      <c r="G3849" s="0" t="s">
        <v>18698</v>
      </c>
    </row>
    <row r="3850" customFormat="false" ht="15" hidden="false" customHeight="false" outlineLevel="0" collapsed="false">
      <c r="A3850" s="0" t="n">
        <v>1276</v>
      </c>
      <c r="B3850" s="0" t="n">
        <v>13930</v>
      </c>
      <c r="C3850" s="0" t="s">
        <v>5606</v>
      </c>
      <c r="D3850" s="0" t="s">
        <v>5</v>
      </c>
      <c r="E3850" s="0" t="e">
        <f aca="false">IFERROR(__xludf.dummyfunction("xlookup(aj1276,importrange("1xainw9du9nz21v0tyi))</f>
        <v>#VALUE!</v>
      </c>
      <c r="F3850" s="0" t="s">
        <v>5607</v>
      </c>
      <c r="G3850" s="0" t="s">
        <v>18698</v>
      </c>
    </row>
    <row r="3851" customFormat="false" ht="15" hidden="false" customHeight="false" outlineLevel="0" collapsed="false">
      <c r="A3851" s="0" t="n">
        <v>1291</v>
      </c>
      <c r="B3851" s="0" t="n">
        <v>14050</v>
      </c>
      <c r="C3851" s="0" t="s">
        <v>5669</v>
      </c>
      <c r="D3851" s="0" t="s">
        <v>5</v>
      </c>
      <c r="E3851" s="0" t="e">
        <f aca="false">IFERROR(__xludf.dummyfunction("xlookup(aj1291,importrange("1xainw9du9nz21v0tyi))</f>
        <v>#VALUE!</v>
      </c>
      <c r="F3851" s="0" t="s">
        <v>5670</v>
      </c>
      <c r="G3851" s="0" t="s">
        <v>18698</v>
      </c>
    </row>
    <row r="3852" customFormat="false" ht="15" hidden="false" customHeight="false" outlineLevel="0" collapsed="false">
      <c r="A3852" s="0" t="n">
        <v>1301</v>
      </c>
      <c r="B3852" s="0" t="n">
        <v>14348</v>
      </c>
      <c r="C3852" s="0" t="s">
        <v>5710</v>
      </c>
      <c r="D3852" s="0" t="s">
        <v>5</v>
      </c>
      <c r="E3852" s="0" t="e">
        <f aca="false">IFERROR(__xludf.dummyfunction("xlookup(aj1301,importrange("1xainw9du9nz21v0tyi))</f>
        <v>#VALUE!</v>
      </c>
      <c r="F3852" s="0" t="s">
        <v>5711</v>
      </c>
      <c r="G3852" s="0" t="s">
        <v>18698</v>
      </c>
    </row>
    <row r="3853" customFormat="false" ht="15" hidden="false" customHeight="false" outlineLevel="0" collapsed="false">
      <c r="A3853" s="0" t="n">
        <v>1302</v>
      </c>
      <c r="B3853" s="0" t="n">
        <v>14349</v>
      </c>
      <c r="C3853" s="0" t="s">
        <v>5716</v>
      </c>
      <c r="D3853" s="0" t="s">
        <v>5</v>
      </c>
      <c r="E3853" s="0" t="e">
        <f aca="false">IFERROR(__xludf.dummyfunction("xlookup(aj1302,importrange("1xainw9du9nz21v0tyi))</f>
        <v>#VALUE!</v>
      </c>
      <c r="F3853" s="0" t="s">
        <v>5717</v>
      </c>
      <c r="G3853" s="0" t="s">
        <v>18698</v>
      </c>
    </row>
    <row r="3854" customFormat="false" ht="15" hidden="false" customHeight="false" outlineLevel="0" collapsed="false">
      <c r="A3854" s="0" t="n">
        <v>1307</v>
      </c>
      <c r="B3854" s="0" t="n">
        <v>14496</v>
      </c>
      <c r="C3854" s="0" t="s">
        <v>5736</v>
      </c>
      <c r="D3854" s="0" t="s">
        <v>5</v>
      </c>
      <c r="E3854" s="0" t="e">
        <f aca="false">IFERROR(__xludf.dummyfunction("xlookup(aj1307,importrange("1xainw9du9nz21v0tyi))</f>
        <v>#VALUE!</v>
      </c>
      <c r="F3854" s="0" t="s">
        <v>5737</v>
      </c>
      <c r="G3854" s="0" t="s">
        <v>18698</v>
      </c>
    </row>
    <row r="3855" customFormat="false" ht="15" hidden="false" customHeight="false" outlineLevel="0" collapsed="false">
      <c r="A3855" s="0" t="n">
        <v>1318</v>
      </c>
      <c r="B3855" s="0" t="n">
        <v>14693</v>
      </c>
      <c r="C3855" s="0" t="s">
        <v>5780</v>
      </c>
      <c r="D3855" s="0" t="s">
        <v>5</v>
      </c>
      <c r="E3855" s="0" t="e">
        <f aca="false">IFERROR(__xludf.dummyfunction("xlookup(aj1318,importrange("1xainw9du9nz21v0tyi))</f>
        <v>#VALUE!</v>
      </c>
      <c r="F3855" s="0" t="s">
        <v>5781</v>
      </c>
      <c r="G3855" s="0" t="s">
        <v>18698</v>
      </c>
    </row>
    <row r="3856" customFormat="false" ht="15" hidden="false" customHeight="false" outlineLevel="0" collapsed="false">
      <c r="A3856" s="0" t="n">
        <v>1323</v>
      </c>
      <c r="B3856" s="0" t="n">
        <v>22403</v>
      </c>
      <c r="C3856" s="0" t="s">
        <v>5804</v>
      </c>
      <c r="D3856" s="0" t="s">
        <v>5</v>
      </c>
      <c r="E3856" s="0" t="e">
        <f aca="false">IFERROR(__xludf.dummyfunction("xlookup(aj1323,importrange("1xainw9du9nz21v0tyi))</f>
        <v>#VALUE!</v>
      </c>
      <c r="F3856" s="0" t="s">
        <v>5805</v>
      </c>
      <c r="G3856" s="0" t="s">
        <v>18698</v>
      </c>
    </row>
    <row r="3857" customFormat="false" ht="15" hidden="false" customHeight="false" outlineLevel="0" collapsed="false">
      <c r="A3857" s="0" t="n">
        <v>1324</v>
      </c>
      <c r="B3857" s="0" t="n">
        <v>14816</v>
      </c>
      <c r="C3857" s="0" t="s">
        <v>5809</v>
      </c>
      <c r="D3857" s="0" t="s">
        <v>5</v>
      </c>
      <c r="E3857" s="0" t="e">
        <f aca="false">IFERROR(__xludf.dummyfunction("xlookup(aj1324,importrange("1xainw9du9nz21v0tyi))</f>
        <v>#VALUE!</v>
      </c>
      <c r="F3857" s="0" t="s">
        <v>5810</v>
      </c>
      <c r="G3857" s="0" t="s">
        <v>18698</v>
      </c>
    </row>
    <row r="3858" customFormat="false" ht="15" hidden="false" customHeight="false" outlineLevel="0" collapsed="false">
      <c r="A3858" s="0" t="n">
        <v>1325</v>
      </c>
      <c r="B3858" s="0" t="n">
        <v>22597</v>
      </c>
      <c r="C3858" s="0" t="s">
        <v>5815</v>
      </c>
      <c r="D3858" s="0" t="s">
        <v>5</v>
      </c>
      <c r="E3858" s="0" t="e">
        <f aca="false">IFERROR(__xludf.dummyfunction("xlookup(aj1325,importrange("1xainw9du9nz21v0tyi))</f>
        <v>#VALUE!</v>
      </c>
      <c r="F3858" s="0" t="s">
        <v>5816</v>
      </c>
      <c r="G3858" s="0" t="s">
        <v>18698</v>
      </c>
    </row>
    <row r="3859" customFormat="false" ht="15" hidden="false" customHeight="false" outlineLevel="0" collapsed="false">
      <c r="A3859" s="0" t="n">
        <v>1328</v>
      </c>
      <c r="B3859" s="0" t="n">
        <v>14870</v>
      </c>
      <c r="C3859" s="0" t="s">
        <v>5827</v>
      </c>
      <c r="D3859" s="0" t="s">
        <v>5</v>
      </c>
      <c r="E3859" s="0" t="e">
        <f aca="false">IFERROR(__xludf.dummyfunction("xlookup(aj1328,importrange("1xainw9du9nz21v0tyi))</f>
        <v>#VALUE!</v>
      </c>
      <c r="F3859" s="0" t="s">
        <v>5828</v>
      </c>
      <c r="G3859" s="0" t="s">
        <v>18698</v>
      </c>
    </row>
    <row r="3860" customFormat="false" ht="15" hidden="false" customHeight="false" outlineLevel="0" collapsed="false">
      <c r="A3860" s="0" t="n">
        <v>1331</v>
      </c>
      <c r="B3860" s="0" t="n">
        <v>14875</v>
      </c>
      <c r="C3860" s="0" t="s">
        <v>5840</v>
      </c>
      <c r="D3860" s="0" t="s">
        <v>5</v>
      </c>
      <c r="E3860" s="0" t="e">
        <f aca="false">IFERROR(__xludf.dummyfunction("xlookup(aj1331,importrange("1xainw9du9nz21v0tyi))</f>
        <v>#VALUE!</v>
      </c>
      <c r="F3860" s="0" t="s">
        <v>5841</v>
      </c>
      <c r="G3860" s="0" t="s">
        <v>18698</v>
      </c>
    </row>
    <row r="3861" customFormat="false" ht="15" hidden="false" customHeight="false" outlineLevel="0" collapsed="false">
      <c r="A3861" s="0" t="n">
        <v>1334</v>
      </c>
      <c r="B3861" s="0" t="n">
        <v>14903</v>
      </c>
      <c r="C3861" s="0" t="s">
        <v>5854</v>
      </c>
      <c r="D3861" s="0" t="s">
        <v>5</v>
      </c>
      <c r="E3861" s="0" t="e">
        <f aca="false">IFERROR(__xludf.dummyfunction("xlookup(aj1334,importrange("1xainw9du9nz21v0tyi))</f>
        <v>#VALUE!</v>
      </c>
      <c r="F3861" s="0" t="s">
        <v>5855</v>
      </c>
      <c r="G3861" s="0" t="s">
        <v>18698</v>
      </c>
    </row>
    <row r="3862" customFormat="false" ht="15" hidden="false" customHeight="false" outlineLevel="0" collapsed="false">
      <c r="A3862" s="0" t="n">
        <v>1340</v>
      </c>
      <c r="B3862" s="0" t="n">
        <v>14914</v>
      </c>
      <c r="C3862" s="0" t="s">
        <v>5878</v>
      </c>
      <c r="D3862" s="0" t="s">
        <v>5</v>
      </c>
      <c r="E3862" s="0" t="e">
        <f aca="false">IFERROR(__xludf.dummyfunction("xlookup(aj1340,importrange("1xainw9du9nz21v0tyi))</f>
        <v>#VALUE!</v>
      </c>
      <c r="F3862" s="0" t="s">
        <v>5879</v>
      </c>
      <c r="G3862" s="0" t="s">
        <v>18698</v>
      </c>
    </row>
    <row r="3863" customFormat="false" ht="15" hidden="false" customHeight="false" outlineLevel="0" collapsed="false">
      <c r="A3863" s="0" t="n">
        <v>1341</v>
      </c>
      <c r="B3863" s="0" t="n">
        <v>14918</v>
      </c>
      <c r="C3863" s="0" t="s">
        <v>5882</v>
      </c>
      <c r="D3863" s="0" t="s">
        <v>5</v>
      </c>
      <c r="E3863" s="0" t="e">
        <f aca="false">IFERROR(__xludf.dummyfunction("xlookup(aj1341,importrange("1xainw9du9nz21v0tyi))</f>
        <v>#VALUE!</v>
      </c>
      <c r="F3863" s="0" t="s">
        <v>5883</v>
      </c>
      <c r="G3863" s="0" t="s">
        <v>18698</v>
      </c>
    </row>
    <row r="3864" customFormat="false" ht="15" hidden="false" customHeight="false" outlineLevel="0" collapsed="false">
      <c r="A3864" s="0" t="n">
        <v>1347</v>
      </c>
      <c r="B3864" s="0" t="n">
        <v>14932</v>
      </c>
      <c r="C3864" s="0" t="s">
        <v>5911</v>
      </c>
      <c r="D3864" s="0" t="s">
        <v>5</v>
      </c>
      <c r="E3864" s="0" t="e">
        <f aca="false">IFERROR(__xludf.dummyfunction("xlookup(aj1347,importrange("1xainw9du9nz21v0tyi))</f>
        <v>#VALUE!</v>
      </c>
      <c r="F3864" s="0" t="s">
        <v>5912</v>
      </c>
      <c r="G3864" s="0" t="s">
        <v>18698</v>
      </c>
    </row>
    <row r="3865" customFormat="false" ht="15" hidden="false" customHeight="false" outlineLevel="0" collapsed="false">
      <c r="A3865" s="0" t="n">
        <v>1384</v>
      </c>
      <c r="B3865" s="0" t="n">
        <v>14974</v>
      </c>
      <c r="C3865" s="0" t="s">
        <v>6070</v>
      </c>
      <c r="D3865" s="0" t="s">
        <v>5</v>
      </c>
      <c r="E3865" s="0" t="e">
        <f aca="false">IFERROR(__xludf.dummyfunction("xlookup(aj1384,importrange("1xainw9du9nz21v0tyi))</f>
        <v>#VALUE!</v>
      </c>
      <c r="F3865" s="0" t="s">
        <v>6071</v>
      </c>
      <c r="G3865" s="0" t="s">
        <v>18698</v>
      </c>
    </row>
    <row r="3866" customFormat="false" ht="15" hidden="false" customHeight="false" outlineLevel="0" collapsed="false">
      <c r="A3866" s="0" t="n">
        <v>1395</v>
      </c>
      <c r="B3866" s="0" t="n">
        <v>15160</v>
      </c>
      <c r="C3866" s="0" t="s">
        <v>6117</v>
      </c>
      <c r="D3866" s="0" t="s">
        <v>5</v>
      </c>
      <c r="E3866" s="0" t="e">
        <f aca="false">IFERROR(__xludf.dummyfunction("xlookup(aj1395,importrange("1xainw9du9nz21v0tyi))</f>
        <v>#VALUE!</v>
      </c>
      <c r="F3866" s="0" t="s">
        <v>6118</v>
      </c>
      <c r="G3866" s="0" t="s">
        <v>18698</v>
      </c>
    </row>
    <row r="3867" customFormat="false" ht="15" hidden="false" customHeight="false" outlineLevel="0" collapsed="false">
      <c r="A3867" s="0" t="n">
        <v>1397</v>
      </c>
      <c r="B3867" s="0" t="n">
        <v>15187</v>
      </c>
      <c r="C3867" s="0" t="s">
        <v>6128</v>
      </c>
      <c r="D3867" s="0" t="s">
        <v>5</v>
      </c>
      <c r="E3867" s="0" t="e">
        <f aca="false">IFERROR(__xludf.dummyfunction("xlookup(aj1397,importrange("1xainw9du9nz21v0tyi))</f>
        <v>#VALUE!</v>
      </c>
      <c r="F3867" s="0" t="s">
        <v>6129</v>
      </c>
      <c r="G3867" s="0" t="s">
        <v>18698</v>
      </c>
    </row>
    <row r="3868" customFormat="false" ht="15" hidden="false" customHeight="false" outlineLevel="0" collapsed="false">
      <c r="A3868" s="0" t="n">
        <v>1418</v>
      </c>
      <c r="B3868" s="0" t="n">
        <v>15289</v>
      </c>
      <c r="C3868" s="0" t="s">
        <v>6221</v>
      </c>
      <c r="D3868" s="0" t="s">
        <v>5</v>
      </c>
      <c r="E3868" s="0" t="e">
        <f aca="false">IFERROR(__xludf.dummyfunction("xlookup(aj1418,importrange("1xainw9du9nz21v0tyi))</f>
        <v>#VALUE!</v>
      </c>
      <c r="F3868" s="0" t="s">
        <v>6222</v>
      </c>
      <c r="G3868" s="0" t="s">
        <v>18698</v>
      </c>
    </row>
    <row r="3869" customFormat="false" ht="15" hidden="false" customHeight="false" outlineLevel="0" collapsed="false">
      <c r="A3869" s="0" t="n">
        <v>1419</v>
      </c>
      <c r="B3869" s="0" t="n">
        <v>15290</v>
      </c>
      <c r="C3869" s="0" t="s">
        <v>6226</v>
      </c>
      <c r="D3869" s="0" t="s">
        <v>5</v>
      </c>
      <c r="E3869" s="0" t="e">
        <f aca="false">IFERROR(__xludf.dummyfunction("xlookup(aj1419,importrange("1xainw9du9nz21v0tyi))</f>
        <v>#VALUE!</v>
      </c>
      <c r="F3869" s="0" t="s">
        <v>6227</v>
      </c>
      <c r="G3869" s="0" t="s">
        <v>18698</v>
      </c>
    </row>
    <row r="3870" customFormat="false" ht="15" hidden="false" customHeight="false" outlineLevel="0" collapsed="false">
      <c r="A3870" s="0" t="n">
        <v>1435</v>
      </c>
      <c r="B3870" s="0" t="n">
        <v>15550</v>
      </c>
      <c r="C3870" s="0" t="s">
        <v>6293</v>
      </c>
      <c r="D3870" s="0" t="s">
        <v>5</v>
      </c>
      <c r="E3870" s="0" t="e">
        <f aca="false">IFERROR(__xludf.dummyfunction("xlookup(aj1435,importrange("1xainw9du9nz21v0tyi))</f>
        <v>#VALUE!</v>
      </c>
      <c r="F3870" s="0" t="s">
        <v>6294</v>
      </c>
      <c r="G3870" s="0" t="s">
        <v>18698</v>
      </c>
    </row>
    <row r="3871" customFormat="false" ht="15" hidden="false" customHeight="false" outlineLevel="0" collapsed="false">
      <c r="A3871" s="0" t="n">
        <v>1436</v>
      </c>
      <c r="B3871" s="0" t="n">
        <v>15551</v>
      </c>
      <c r="C3871" s="0" t="s">
        <v>6297</v>
      </c>
      <c r="D3871" s="0" t="s">
        <v>5</v>
      </c>
      <c r="E3871" s="0" t="e">
        <f aca="false">IFERROR(__xludf.dummyfunction("xlookup(aj1436,importrange("1xainw9du9nz21v0tyi))</f>
        <v>#VALUE!</v>
      </c>
      <c r="F3871" s="0" t="s">
        <v>6298</v>
      </c>
      <c r="G3871" s="0" t="s">
        <v>18698</v>
      </c>
    </row>
    <row r="3872" customFormat="false" ht="15" hidden="false" customHeight="false" outlineLevel="0" collapsed="false">
      <c r="A3872" s="0" t="n">
        <v>1438</v>
      </c>
      <c r="B3872" s="0" t="n">
        <v>15553</v>
      </c>
      <c r="C3872" s="0" t="s">
        <v>6304</v>
      </c>
      <c r="D3872" s="0" t="s">
        <v>5</v>
      </c>
      <c r="E3872" s="0" t="e">
        <f aca="false">IFERROR(__xludf.dummyfunction("xlookup(aj1438,importrange("1xainw9du9nz21v0tyi))</f>
        <v>#VALUE!</v>
      </c>
      <c r="F3872" s="0" t="s">
        <v>6305</v>
      </c>
      <c r="G3872" s="0" t="s">
        <v>18698</v>
      </c>
    </row>
    <row r="3873" customFormat="false" ht="15" hidden="false" customHeight="false" outlineLevel="0" collapsed="false">
      <c r="A3873" s="0" t="n">
        <v>1439</v>
      </c>
      <c r="B3873" s="0" t="n">
        <v>22714</v>
      </c>
      <c r="C3873" s="0" t="s">
        <v>6308</v>
      </c>
      <c r="D3873" s="0" t="s">
        <v>5</v>
      </c>
      <c r="E3873" s="0" t="e">
        <f aca="false">IFERROR(__xludf.dummyfunction("xlookup(aj1439,importrange("1xainw9du9nz21v0tyi))</f>
        <v>#VALUE!</v>
      </c>
      <c r="F3873" s="0" t="s">
        <v>6309</v>
      </c>
      <c r="G3873" s="0" t="s">
        <v>18698</v>
      </c>
    </row>
    <row r="3874" customFormat="false" ht="15" hidden="false" customHeight="false" outlineLevel="0" collapsed="false">
      <c r="A3874" s="0" t="n">
        <v>1443</v>
      </c>
      <c r="B3874" s="0" t="n">
        <v>22538</v>
      </c>
      <c r="C3874" s="0" t="s">
        <v>6325</v>
      </c>
      <c r="D3874" s="0" t="s">
        <v>5</v>
      </c>
      <c r="E3874" s="0" t="e">
        <f aca="false">IFERROR(__xludf.dummyfunction("xlookup(aj1443,importrange("1xainw9du9nz21v0tyi))</f>
        <v>#VALUE!</v>
      </c>
      <c r="F3874" s="0" t="s">
        <v>6326</v>
      </c>
      <c r="G3874" s="0" t="s">
        <v>18698</v>
      </c>
    </row>
    <row r="3875" customFormat="false" ht="15" hidden="false" customHeight="false" outlineLevel="0" collapsed="false">
      <c r="A3875" s="0" t="n">
        <v>1444</v>
      </c>
      <c r="B3875" s="0" t="n">
        <v>22690</v>
      </c>
      <c r="C3875" s="0" t="s">
        <v>6329</v>
      </c>
      <c r="D3875" s="0" t="s">
        <v>5</v>
      </c>
      <c r="E3875" s="0" t="e">
        <f aca="false">IFERROR(__xludf.dummyfunction("xlookup(aj1444,importrange("1xainw9du9nz21v0tyi))</f>
        <v>#VALUE!</v>
      </c>
      <c r="F3875" s="0" t="s">
        <v>6330</v>
      </c>
      <c r="G3875" s="0" t="s">
        <v>18698</v>
      </c>
    </row>
    <row r="3876" customFormat="false" ht="15" hidden="false" customHeight="false" outlineLevel="0" collapsed="false">
      <c r="A3876" s="0" t="n">
        <v>1445</v>
      </c>
      <c r="B3876" s="0" t="n">
        <v>15632</v>
      </c>
      <c r="C3876" s="0" t="s">
        <v>1830</v>
      </c>
      <c r="D3876" s="0" t="s">
        <v>5</v>
      </c>
      <c r="E3876" s="0" t="e">
        <f aca="false">IFERROR(__xludf.dummyfunction("xlookup(aj1445,importrange("1xainw9du9nz21v0tyi))</f>
        <v>#VALUE!</v>
      </c>
      <c r="F3876" s="0" t="s">
        <v>6333</v>
      </c>
      <c r="G3876" s="0" t="s">
        <v>18698</v>
      </c>
    </row>
    <row r="3877" customFormat="false" ht="15" hidden="false" customHeight="false" outlineLevel="0" collapsed="false">
      <c r="A3877" s="0" t="n">
        <v>1446</v>
      </c>
      <c r="B3877" s="0" t="n">
        <v>15634</v>
      </c>
      <c r="C3877" s="0" t="s">
        <v>6336</v>
      </c>
      <c r="D3877" s="0" t="s">
        <v>5</v>
      </c>
      <c r="E3877" s="0" t="e">
        <f aca="false">IFERROR(__xludf.dummyfunction("xlookup(aj1446,importrange("1xainw9du9nz21v0tyi))</f>
        <v>#VALUE!</v>
      </c>
      <c r="F3877" s="0" t="s">
        <v>6337</v>
      </c>
      <c r="G3877" s="0" t="s">
        <v>18698</v>
      </c>
    </row>
    <row r="3878" customFormat="false" ht="15" hidden="false" customHeight="false" outlineLevel="0" collapsed="false">
      <c r="A3878" s="0" t="n">
        <v>1450</v>
      </c>
      <c r="B3878" s="0" t="n">
        <v>15640</v>
      </c>
      <c r="C3878" s="0" t="s">
        <v>313</v>
      </c>
      <c r="D3878" s="0" t="s">
        <v>5</v>
      </c>
      <c r="E3878" s="0" t="e">
        <f aca="false">IFERROR(__xludf.dummyfunction("xlookup(aj1450,importrange("1xainw9du9nz21v0tyi))</f>
        <v>#VALUE!</v>
      </c>
      <c r="F3878" s="0" t="s">
        <v>6353</v>
      </c>
      <c r="G3878" s="0" t="s">
        <v>18698</v>
      </c>
    </row>
    <row r="3879" customFormat="false" ht="15" hidden="false" customHeight="false" outlineLevel="0" collapsed="false">
      <c r="A3879" s="0" t="n">
        <v>1452</v>
      </c>
      <c r="B3879" s="0" t="n">
        <v>22703</v>
      </c>
      <c r="C3879" s="0" t="s">
        <v>6361</v>
      </c>
      <c r="D3879" s="0" t="s">
        <v>5</v>
      </c>
      <c r="E3879" s="0" t="e">
        <f aca="false">IFERROR(__xludf.dummyfunction("xlookup(aj1452,importrange("1xainw9du9nz21v0tyi))</f>
        <v>#VALUE!</v>
      </c>
      <c r="F3879" s="0" t="s">
        <v>6362</v>
      </c>
      <c r="G3879" s="0" t="s">
        <v>18698</v>
      </c>
    </row>
    <row r="3880" customFormat="false" ht="15" hidden="false" customHeight="false" outlineLevel="0" collapsed="false">
      <c r="A3880" s="0" t="n">
        <v>1464</v>
      </c>
      <c r="B3880" s="0" t="n">
        <v>15826</v>
      </c>
      <c r="C3880" s="0" t="s">
        <v>6409</v>
      </c>
      <c r="D3880" s="0" t="s">
        <v>5</v>
      </c>
      <c r="E3880" s="0" t="e">
        <f aca="false">IFERROR(__xludf.dummyfunction("xlookup(aj1464,importrange("1xainw9du9nz21v0tyi))</f>
        <v>#VALUE!</v>
      </c>
      <c r="F3880" s="0" t="s">
        <v>6410</v>
      </c>
      <c r="G3880" s="0" t="s">
        <v>18698</v>
      </c>
    </row>
    <row r="3881" customFormat="false" ht="15" hidden="false" customHeight="false" outlineLevel="0" collapsed="false">
      <c r="A3881" s="0" t="n">
        <v>1476</v>
      </c>
      <c r="B3881" s="0" t="n">
        <v>15942</v>
      </c>
      <c r="C3881" s="0" t="s">
        <v>6463</v>
      </c>
      <c r="D3881" s="0" t="s">
        <v>5</v>
      </c>
      <c r="E3881" s="0" t="e">
        <f aca="false">IFERROR(__xludf.dummyfunction("xlookup(aj1476,importrange("1xainw9du9nz21v0tyi))</f>
        <v>#VALUE!</v>
      </c>
      <c r="F3881" s="0" t="s">
        <v>6464</v>
      </c>
      <c r="G3881" s="0" t="s">
        <v>18698</v>
      </c>
    </row>
    <row r="3882" customFormat="false" ht="15" hidden="false" customHeight="false" outlineLevel="0" collapsed="false">
      <c r="A3882" s="0" t="n">
        <v>1481</v>
      </c>
      <c r="B3882" s="0" t="n">
        <v>16064</v>
      </c>
      <c r="C3882" s="0" t="s">
        <v>6486</v>
      </c>
      <c r="D3882" s="0" t="s">
        <v>5</v>
      </c>
      <c r="E3882" s="0" t="e">
        <f aca="false">IFERROR(__xludf.dummyfunction("xlookup(aj1481,importrange("1xainw9du9nz21v0tyi))</f>
        <v>#VALUE!</v>
      </c>
      <c r="F3882" s="0" t="s">
        <v>6488</v>
      </c>
      <c r="G3882" s="0" t="s">
        <v>18698</v>
      </c>
    </row>
    <row r="3883" customFormat="false" ht="15" hidden="false" customHeight="false" outlineLevel="0" collapsed="false">
      <c r="A3883" s="0" t="n">
        <v>1482</v>
      </c>
      <c r="B3883" s="0" t="n">
        <v>16065</v>
      </c>
      <c r="C3883" s="0" t="s">
        <v>6492</v>
      </c>
      <c r="D3883" s="0" t="s">
        <v>5</v>
      </c>
      <c r="E3883" s="0" t="e">
        <f aca="false">IFERROR(__xludf.dummyfunction("xlookup(aj1482,importrange("1xainw9du9nz21v0tyi))</f>
        <v>#VALUE!</v>
      </c>
      <c r="F3883" s="0" t="s">
        <v>6493</v>
      </c>
      <c r="G3883" s="0" t="s">
        <v>18698</v>
      </c>
    </row>
    <row r="3884" customFormat="false" ht="15" hidden="false" customHeight="false" outlineLevel="0" collapsed="false">
      <c r="A3884" s="0" t="n">
        <v>1483</v>
      </c>
      <c r="B3884" s="0" t="n">
        <v>16108</v>
      </c>
      <c r="C3884" s="0" t="s">
        <v>6497</v>
      </c>
      <c r="D3884" s="0" t="s">
        <v>5</v>
      </c>
      <c r="E3884" s="0" t="e">
        <f aca="false">IFERROR(__xludf.dummyfunction("xlookup(aj1483,importrange("1xainw9du9nz21v0tyi))</f>
        <v>#VALUE!</v>
      </c>
      <c r="F3884" s="0" t="s">
        <v>6499</v>
      </c>
      <c r="G3884" s="0" t="s">
        <v>18698</v>
      </c>
    </row>
    <row r="3885" customFormat="false" ht="15" hidden="false" customHeight="false" outlineLevel="0" collapsed="false">
      <c r="A3885" s="0" t="n">
        <v>1488</v>
      </c>
      <c r="B3885" s="0" t="n">
        <v>16114</v>
      </c>
      <c r="C3885" s="0" t="s">
        <v>6519</v>
      </c>
      <c r="D3885" s="0" t="s">
        <v>5</v>
      </c>
      <c r="E3885" s="0" t="e">
        <f aca="false">IFERROR(__xludf.dummyfunction("xlookup(aj1488,importrange("1xainw9du9nz21v0tyi))</f>
        <v>#VALUE!</v>
      </c>
      <c r="F3885" s="0" t="s">
        <v>6520</v>
      </c>
      <c r="G3885" s="0" t="s">
        <v>18698</v>
      </c>
    </row>
    <row r="3886" customFormat="false" ht="15" hidden="false" customHeight="false" outlineLevel="0" collapsed="false">
      <c r="A3886" s="0" t="n">
        <v>1489</v>
      </c>
      <c r="B3886" s="0" t="n">
        <v>16115</v>
      </c>
      <c r="C3886" s="0" t="s">
        <v>6524</v>
      </c>
      <c r="D3886" s="0" t="s">
        <v>5</v>
      </c>
      <c r="E3886" s="0" t="e">
        <f aca="false">IFERROR(__xludf.dummyfunction("xlookup(aj1489,importrange("1xainw9du9nz21v0tyi))</f>
        <v>#VALUE!</v>
      </c>
      <c r="F3886" s="0" t="s">
        <v>6525</v>
      </c>
      <c r="G3886" s="0" t="s">
        <v>18698</v>
      </c>
    </row>
    <row r="3887" customFormat="false" ht="15" hidden="false" customHeight="false" outlineLevel="0" collapsed="false">
      <c r="A3887" s="0" t="n">
        <v>1500</v>
      </c>
      <c r="B3887" s="0" t="n">
        <v>16128</v>
      </c>
      <c r="C3887" s="0" t="s">
        <v>6569</v>
      </c>
      <c r="D3887" s="0" t="s">
        <v>5</v>
      </c>
      <c r="E3887" s="0" t="e">
        <f aca="false">IFERROR(__xludf.dummyfunction("xlookup(aj1500,importrange("1xainw9du9nz21v0tyi))</f>
        <v>#VALUE!</v>
      </c>
      <c r="F3887" s="0" t="s">
        <v>6570</v>
      </c>
      <c r="G3887" s="0" t="s">
        <v>18698</v>
      </c>
    </row>
    <row r="3888" customFormat="false" ht="15" hidden="false" customHeight="false" outlineLevel="0" collapsed="false">
      <c r="A3888" s="0" t="n">
        <v>1507</v>
      </c>
      <c r="B3888" s="0" t="n">
        <v>16158</v>
      </c>
      <c r="C3888" s="0" t="s">
        <v>6598</v>
      </c>
      <c r="D3888" s="0" t="s">
        <v>5</v>
      </c>
      <c r="E3888" s="0" t="e">
        <f aca="false">IFERROR(__xludf.dummyfunction("xlookup(aj1507,importrange("1xainw9du9nz21v0tyi))</f>
        <v>#VALUE!</v>
      </c>
      <c r="F3888" s="0" t="s">
        <v>6599</v>
      </c>
      <c r="G3888" s="0" t="s">
        <v>18698</v>
      </c>
    </row>
    <row r="3889" customFormat="false" ht="15" hidden="false" customHeight="false" outlineLevel="0" collapsed="false">
      <c r="A3889" s="0" t="n">
        <v>1514</v>
      </c>
      <c r="B3889" s="0" t="n">
        <v>16254</v>
      </c>
      <c r="C3889" s="0" t="s">
        <v>6631</v>
      </c>
      <c r="D3889" s="0" t="s">
        <v>5</v>
      </c>
      <c r="E3889" s="0" t="e">
        <f aca="false">IFERROR(__xludf.dummyfunction("xlookup(aj1514,importrange("1xainw9du9nz21v0tyi))</f>
        <v>#VALUE!</v>
      </c>
      <c r="F3889" s="0" t="s">
        <v>6633</v>
      </c>
      <c r="G3889" s="0" t="s">
        <v>18698</v>
      </c>
    </row>
    <row r="3890" customFormat="false" ht="15" hidden="false" customHeight="false" outlineLevel="0" collapsed="false">
      <c r="A3890" s="0" t="n">
        <v>1516</v>
      </c>
      <c r="B3890" s="0" t="n">
        <v>16273</v>
      </c>
      <c r="C3890" s="0" t="s">
        <v>6643</v>
      </c>
      <c r="D3890" s="0" t="s">
        <v>5</v>
      </c>
      <c r="E3890" s="0" t="e">
        <f aca="false">IFERROR(__xludf.dummyfunction("xlookup(aj1516,importrange("1xainw9du9nz21v0tyi))</f>
        <v>#VALUE!</v>
      </c>
      <c r="F3890" s="0" t="s">
        <v>6644</v>
      </c>
      <c r="G3890" s="0" t="s">
        <v>18698</v>
      </c>
    </row>
    <row r="3891" customFormat="false" ht="15" hidden="false" customHeight="false" outlineLevel="0" collapsed="false">
      <c r="A3891" s="0" t="n">
        <v>1520</v>
      </c>
      <c r="B3891" s="0" t="n">
        <v>16277</v>
      </c>
      <c r="C3891" s="0" t="s">
        <v>6659</v>
      </c>
      <c r="D3891" s="0" t="s">
        <v>5</v>
      </c>
      <c r="E3891" s="0" t="e">
        <f aca="false">IFERROR(__xludf.dummyfunction("xlookup(aj1520,importrange("1xainw9du9nz21v0tyi))</f>
        <v>#VALUE!</v>
      </c>
      <c r="F3891" s="0" t="s">
        <v>6660</v>
      </c>
      <c r="G3891" s="0" t="s">
        <v>18698</v>
      </c>
    </row>
    <row r="3892" customFormat="false" ht="15" hidden="false" customHeight="false" outlineLevel="0" collapsed="false">
      <c r="A3892" s="0" t="n">
        <v>1526</v>
      </c>
      <c r="B3892" s="0" t="n">
        <v>16309</v>
      </c>
      <c r="C3892" s="0" t="s">
        <v>6686</v>
      </c>
      <c r="D3892" s="0" t="s">
        <v>5</v>
      </c>
      <c r="E3892" s="0" t="e">
        <f aca="false">IFERROR(__xludf.dummyfunction("xlookup(aj1526,importrange("1xainw9du9nz21v0tyi))</f>
        <v>#VALUE!</v>
      </c>
      <c r="F3892" s="0" t="s">
        <v>6687</v>
      </c>
      <c r="G3892" s="0" t="s">
        <v>18698</v>
      </c>
    </row>
    <row r="3893" customFormat="false" ht="15" hidden="false" customHeight="false" outlineLevel="0" collapsed="false">
      <c r="A3893" s="0" t="n">
        <v>1527</v>
      </c>
      <c r="B3893" s="0" t="n">
        <v>16322</v>
      </c>
      <c r="C3893" s="0" t="s">
        <v>6692</v>
      </c>
      <c r="D3893" s="0" t="s">
        <v>5</v>
      </c>
      <c r="E3893" s="0" t="e">
        <f aca="false">IFERROR(__xludf.dummyfunction("xlookup(aj1527,importrange("1xainw9du9nz21v0tyi))</f>
        <v>#VALUE!</v>
      </c>
      <c r="F3893" s="0" t="s">
        <v>6693</v>
      </c>
      <c r="G3893" s="0" t="s">
        <v>18698</v>
      </c>
    </row>
    <row r="3894" customFormat="false" ht="15" hidden="false" customHeight="false" outlineLevel="0" collapsed="false">
      <c r="A3894" s="0" t="n">
        <v>1529</v>
      </c>
      <c r="B3894" s="0" t="n">
        <v>16339</v>
      </c>
      <c r="C3894" s="0" t="s">
        <v>1797</v>
      </c>
      <c r="D3894" s="0" t="s">
        <v>5</v>
      </c>
      <c r="E3894" s="0" t="e">
        <f aca="false">IFERROR(__xludf.dummyfunction("xlookup(aj1529,importrange("1xainw9du9nz21v0tyi))</f>
        <v>#VALUE!</v>
      </c>
      <c r="F3894" s="0" t="s">
        <v>6702</v>
      </c>
      <c r="G3894" s="0" t="s">
        <v>18698</v>
      </c>
    </row>
    <row r="3895" customFormat="false" ht="15" hidden="false" customHeight="false" outlineLevel="0" collapsed="false">
      <c r="A3895" s="0" t="n">
        <v>1530</v>
      </c>
      <c r="B3895" s="0" t="n">
        <v>16344</v>
      </c>
      <c r="C3895" s="0" t="s">
        <v>6705</v>
      </c>
      <c r="D3895" s="0" t="s">
        <v>5</v>
      </c>
      <c r="E3895" s="0" t="e">
        <f aca="false">IFERROR(__xludf.dummyfunction("xlookup(aj1530,importrange("1xainw9du9nz21v0tyi))</f>
        <v>#VALUE!</v>
      </c>
      <c r="F3895" s="0" t="s">
        <v>6706</v>
      </c>
      <c r="G3895" s="0" t="s">
        <v>18698</v>
      </c>
    </row>
    <row r="3896" customFormat="false" ht="15" hidden="false" customHeight="false" outlineLevel="0" collapsed="false">
      <c r="A3896" s="0" t="n">
        <v>1531</v>
      </c>
      <c r="B3896" s="0" t="n">
        <v>16346</v>
      </c>
      <c r="C3896" s="0" t="s">
        <v>6710</v>
      </c>
      <c r="D3896" s="0" t="s">
        <v>5</v>
      </c>
      <c r="E3896" s="0" t="e">
        <f aca="false">IFERROR(__xludf.dummyfunction("xlookup(aj1531,importrange("1xainw9du9nz21v0tyi))</f>
        <v>#VALUE!</v>
      </c>
      <c r="F3896" s="0" t="s">
        <v>6711</v>
      </c>
      <c r="G3896" s="0" t="s">
        <v>18698</v>
      </c>
    </row>
    <row r="3897" customFormat="false" ht="15" hidden="false" customHeight="false" outlineLevel="0" collapsed="false">
      <c r="A3897" s="0" t="n">
        <v>1535</v>
      </c>
      <c r="B3897" s="0" t="n">
        <v>16366</v>
      </c>
      <c r="C3897" s="0" t="s">
        <v>6727</v>
      </c>
      <c r="D3897" s="0" t="s">
        <v>5</v>
      </c>
      <c r="E3897" s="0" t="e">
        <f aca="false">IFERROR(__xludf.dummyfunction("xlookup(aj1535,importrange("1xainw9du9nz21v0tyi))</f>
        <v>#VALUE!</v>
      </c>
      <c r="F3897" s="0" t="s">
        <v>6728</v>
      </c>
      <c r="G3897" s="0" t="s">
        <v>18698</v>
      </c>
    </row>
    <row r="3898" customFormat="false" ht="15" hidden="false" customHeight="false" outlineLevel="0" collapsed="false">
      <c r="A3898" s="0" t="n">
        <v>1538</v>
      </c>
      <c r="B3898" s="0" t="n">
        <v>16376</v>
      </c>
      <c r="C3898" s="0" t="s">
        <v>6741</v>
      </c>
      <c r="D3898" s="0" t="s">
        <v>5</v>
      </c>
      <c r="E3898" s="0" t="e">
        <f aca="false">IFERROR(__xludf.dummyfunction("xlookup(aj1538,importrange("1xainw9du9nz21v0tyi))</f>
        <v>#VALUE!</v>
      </c>
      <c r="F3898" s="0" t="s">
        <v>6742</v>
      </c>
      <c r="G3898" s="0" t="s">
        <v>18698</v>
      </c>
    </row>
    <row r="3899" customFormat="false" ht="15" hidden="false" customHeight="false" outlineLevel="0" collapsed="false">
      <c r="A3899" s="0" t="n">
        <v>1540</v>
      </c>
      <c r="B3899" s="0" t="n">
        <v>16378</v>
      </c>
      <c r="C3899" s="0" t="s">
        <v>6750</v>
      </c>
      <c r="D3899" s="0" t="s">
        <v>5</v>
      </c>
      <c r="E3899" s="0" t="e">
        <f aca="false">IFERROR(__xludf.dummyfunction("xlookup(aj1540,importrange("1xainw9du9nz21v0tyi))</f>
        <v>#VALUE!</v>
      </c>
      <c r="F3899" s="0" t="s">
        <v>6751</v>
      </c>
      <c r="G3899" s="0" t="s">
        <v>18698</v>
      </c>
    </row>
    <row r="3900" customFormat="false" ht="15" hidden="false" customHeight="false" outlineLevel="0" collapsed="false">
      <c r="A3900" s="0" t="n">
        <v>1543</v>
      </c>
      <c r="B3900" s="0" t="n">
        <v>16382</v>
      </c>
      <c r="C3900" s="0" t="s">
        <v>6763</v>
      </c>
      <c r="D3900" s="0" t="s">
        <v>5</v>
      </c>
      <c r="E3900" s="0" t="e">
        <f aca="false">IFERROR(__xludf.dummyfunction("xlookup(aj1543,importrange("1xainw9du9nz21v0tyi))</f>
        <v>#VALUE!</v>
      </c>
      <c r="F3900" s="0" t="s">
        <v>6764</v>
      </c>
      <c r="G3900" s="0" t="s">
        <v>18698</v>
      </c>
    </row>
    <row r="3901" customFormat="false" ht="15" hidden="false" customHeight="false" outlineLevel="0" collapsed="false">
      <c r="A3901" s="0" t="n">
        <v>1544</v>
      </c>
      <c r="B3901" s="0" t="n">
        <v>16386</v>
      </c>
      <c r="C3901" s="0" t="s">
        <v>6768</v>
      </c>
      <c r="D3901" s="0" t="s">
        <v>5</v>
      </c>
      <c r="E3901" s="0" t="e">
        <f aca="false">IFERROR(__xludf.dummyfunction("xlookup(aj1544,importrange("1xainw9du9nz21v0tyi))</f>
        <v>#VALUE!</v>
      </c>
      <c r="F3901" s="0" t="s">
        <v>6769</v>
      </c>
      <c r="G3901" s="0" t="s">
        <v>18698</v>
      </c>
    </row>
    <row r="3902" customFormat="false" ht="15" hidden="false" customHeight="false" outlineLevel="0" collapsed="false">
      <c r="A3902" s="0" t="n">
        <v>1553</v>
      </c>
      <c r="B3902" s="0" t="n">
        <v>16505</v>
      </c>
      <c r="C3902" s="0" t="s">
        <v>6804</v>
      </c>
      <c r="D3902" s="0" t="s">
        <v>5</v>
      </c>
      <c r="E3902" s="0" t="e">
        <f aca="false">IFERROR(__xludf.dummyfunction("xlookup(aj1553,importrange("1xainw9du9nz21v0tyi))</f>
        <v>#VALUE!</v>
      </c>
      <c r="F3902" s="0" t="s">
        <v>6805</v>
      </c>
      <c r="G3902" s="0" t="s">
        <v>18698</v>
      </c>
    </row>
    <row r="3903" customFormat="false" ht="15" hidden="false" customHeight="false" outlineLevel="0" collapsed="false">
      <c r="A3903" s="0" t="n">
        <v>1555</v>
      </c>
      <c r="B3903" s="0" t="n">
        <v>16550</v>
      </c>
      <c r="C3903" s="0" t="s">
        <v>6813</v>
      </c>
      <c r="D3903" s="0" t="s">
        <v>5</v>
      </c>
      <c r="E3903" s="0" t="e">
        <f aca="false">IFERROR(__xludf.dummyfunction("xlookup(aj1555,importrange("1xainw9du9nz21v0tyi))</f>
        <v>#VALUE!</v>
      </c>
      <c r="F3903" s="0" t="s">
        <v>6814</v>
      </c>
      <c r="G3903" s="0" t="s">
        <v>18698</v>
      </c>
    </row>
    <row r="3904" customFormat="false" ht="15" hidden="false" customHeight="false" outlineLevel="0" collapsed="false">
      <c r="A3904" s="0" t="n">
        <v>1557</v>
      </c>
      <c r="B3904" s="0" t="n">
        <v>16554</v>
      </c>
      <c r="C3904" s="0" t="s">
        <v>6822</v>
      </c>
      <c r="D3904" s="0" t="s">
        <v>5</v>
      </c>
      <c r="E3904" s="0" t="e">
        <f aca="false">IFERROR(__xludf.dummyfunction("xlookup(aj1557,importrange("1xainw9du9nz21v0tyi))</f>
        <v>#VALUE!</v>
      </c>
      <c r="F3904" s="0" t="s">
        <v>6823</v>
      </c>
      <c r="G3904" s="0" t="s">
        <v>18698</v>
      </c>
    </row>
    <row r="3905" customFormat="false" ht="15" hidden="false" customHeight="false" outlineLevel="0" collapsed="false">
      <c r="A3905" s="0" t="n">
        <v>1559</v>
      </c>
      <c r="B3905" s="0" t="n">
        <v>16556</v>
      </c>
      <c r="C3905" s="0" t="s">
        <v>6831</v>
      </c>
      <c r="D3905" s="0" t="s">
        <v>5</v>
      </c>
      <c r="E3905" s="0" t="e">
        <f aca="false">IFERROR(__xludf.dummyfunction("xlookup(aj1559,importrange("1xainw9du9nz21v0tyi))</f>
        <v>#VALUE!</v>
      </c>
      <c r="F3905" s="0" t="s">
        <v>6832</v>
      </c>
      <c r="G3905" s="0" t="s">
        <v>18698</v>
      </c>
    </row>
    <row r="3906" customFormat="false" ht="15" hidden="false" customHeight="false" outlineLevel="0" collapsed="false">
      <c r="A3906" s="0" t="n">
        <v>1560</v>
      </c>
      <c r="B3906" s="0" t="n">
        <v>16557</v>
      </c>
      <c r="C3906" s="0" t="s">
        <v>6836</v>
      </c>
      <c r="D3906" s="0" t="s">
        <v>5</v>
      </c>
      <c r="E3906" s="0" t="e">
        <f aca="false">IFERROR(__xludf.dummyfunction("xlookup(aj1560,importrange("1xainw9du9nz21v0tyi))</f>
        <v>#VALUE!</v>
      </c>
      <c r="F3906" s="0" t="s">
        <v>6837</v>
      </c>
      <c r="G3906" s="0" t="s">
        <v>18698</v>
      </c>
    </row>
    <row r="3907" customFormat="false" ht="15" hidden="false" customHeight="false" outlineLevel="0" collapsed="false">
      <c r="A3907" s="0" t="n">
        <v>1561</v>
      </c>
      <c r="B3907" s="0" t="n">
        <v>16558</v>
      </c>
      <c r="C3907" s="0" t="s">
        <v>6841</v>
      </c>
      <c r="D3907" s="0" t="s">
        <v>5</v>
      </c>
      <c r="E3907" s="0" t="e">
        <f aca="false">IFERROR(__xludf.dummyfunction("xlookup(aj1561,importrange("1xainw9du9nz21v0tyi))</f>
        <v>#VALUE!</v>
      </c>
      <c r="F3907" s="0" t="s">
        <v>6842</v>
      </c>
      <c r="G3907" s="0" t="s">
        <v>18698</v>
      </c>
    </row>
    <row r="3908" customFormat="false" ht="15" hidden="false" customHeight="false" outlineLevel="0" collapsed="false">
      <c r="A3908" s="0" t="n">
        <v>1562</v>
      </c>
      <c r="B3908" s="0" t="n">
        <v>16560</v>
      </c>
      <c r="C3908" s="0" t="s">
        <v>6846</v>
      </c>
      <c r="D3908" s="0" t="s">
        <v>5</v>
      </c>
      <c r="E3908" s="0" t="e">
        <f aca="false">IFERROR(__xludf.dummyfunction("xlookup(aj1562,importrange("1xainw9du9nz21v0tyi))</f>
        <v>#VALUE!</v>
      </c>
      <c r="F3908" s="0" t="s">
        <v>6847</v>
      </c>
      <c r="G3908" s="0" t="s">
        <v>18698</v>
      </c>
    </row>
    <row r="3909" customFormat="false" ht="15" hidden="false" customHeight="false" outlineLevel="0" collapsed="false">
      <c r="A3909" s="0" t="n">
        <v>1565</v>
      </c>
      <c r="B3909" s="0" t="n">
        <v>16596</v>
      </c>
      <c r="C3909" s="0" t="s">
        <v>6860</v>
      </c>
      <c r="D3909" s="0" t="s">
        <v>5</v>
      </c>
      <c r="E3909" s="0" t="e">
        <f aca="false">IFERROR(__xludf.dummyfunction("xlookup(aj1565,importrange("1xainw9du9nz21v0tyi))</f>
        <v>#VALUE!</v>
      </c>
      <c r="F3909" s="0" t="s">
        <v>6861</v>
      </c>
      <c r="G3909" s="0" t="s">
        <v>18698</v>
      </c>
    </row>
    <row r="3910" customFormat="false" ht="15" hidden="false" customHeight="false" outlineLevel="0" collapsed="false">
      <c r="A3910" s="0" t="n">
        <v>1568</v>
      </c>
      <c r="B3910" s="0" t="n">
        <v>16614</v>
      </c>
      <c r="C3910" s="0" t="s">
        <v>6870</v>
      </c>
      <c r="D3910" s="0" t="s">
        <v>5</v>
      </c>
      <c r="E3910" s="0" t="e">
        <f aca="false">IFERROR(__xludf.dummyfunction("xlookup(aj1568,importrange("1xainw9du9nz21v0tyi))</f>
        <v>#VALUE!</v>
      </c>
      <c r="F3910" s="0" t="s">
        <v>6871</v>
      </c>
      <c r="G3910" s="0" t="s">
        <v>18698</v>
      </c>
    </row>
    <row r="3911" customFormat="false" ht="15" hidden="false" customHeight="false" outlineLevel="0" collapsed="false">
      <c r="A3911" s="0" t="n">
        <v>1571</v>
      </c>
      <c r="B3911" s="0" t="n">
        <v>16623</v>
      </c>
      <c r="C3911" s="0" t="s">
        <v>6884</v>
      </c>
      <c r="D3911" s="0" t="s">
        <v>5</v>
      </c>
      <c r="E3911" s="0" t="e">
        <f aca="false">IFERROR(__xludf.dummyfunction("xlookup(aj1571,importrange("1xainw9du9nz21v0tyi))</f>
        <v>#VALUE!</v>
      </c>
      <c r="F3911" s="0" t="s">
        <v>6885</v>
      </c>
      <c r="G3911" s="0" t="s">
        <v>18698</v>
      </c>
    </row>
    <row r="3912" customFormat="false" ht="15" hidden="false" customHeight="false" outlineLevel="0" collapsed="false">
      <c r="A3912" s="0" t="n">
        <v>1572</v>
      </c>
      <c r="B3912" s="0" t="n">
        <v>16626</v>
      </c>
      <c r="C3912" s="0" t="s">
        <v>6890</v>
      </c>
      <c r="D3912" s="0" t="s">
        <v>5</v>
      </c>
      <c r="E3912" s="0" t="e">
        <f aca="false">IFERROR(__xludf.dummyfunction("xlookup(aj1572,importrange("1xainw9du9nz21v0tyi))</f>
        <v>#VALUE!</v>
      </c>
      <c r="F3912" s="0" t="s">
        <v>6891</v>
      </c>
      <c r="G3912" s="0" t="s">
        <v>18698</v>
      </c>
    </row>
    <row r="3913" customFormat="false" ht="15" hidden="false" customHeight="false" outlineLevel="0" collapsed="false">
      <c r="A3913" s="0" t="n">
        <v>1574</v>
      </c>
      <c r="B3913" s="0" t="n">
        <v>16660</v>
      </c>
      <c r="C3913" s="0" t="s">
        <v>6899</v>
      </c>
      <c r="D3913" s="0" t="s">
        <v>5</v>
      </c>
      <c r="E3913" s="0" t="e">
        <f aca="false">IFERROR(__xludf.dummyfunction("xlookup(aj1574,importrange("1xainw9du9nz21v0tyi))</f>
        <v>#VALUE!</v>
      </c>
      <c r="F3913" s="0" t="s">
        <v>6900</v>
      </c>
      <c r="G3913" s="0" t="s">
        <v>18698</v>
      </c>
    </row>
    <row r="3914" customFormat="false" ht="15" hidden="false" customHeight="false" outlineLevel="0" collapsed="false">
      <c r="A3914" s="0" t="n">
        <v>1575</v>
      </c>
      <c r="B3914" s="0" t="n">
        <v>16693</v>
      </c>
      <c r="C3914" s="0" t="s">
        <v>6906</v>
      </c>
      <c r="D3914" s="0" t="s">
        <v>5</v>
      </c>
      <c r="E3914" s="0" t="e">
        <f aca="false">IFERROR(__xludf.dummyfunction("xlookup(aj1575,importrange("1xainw9du9nz21v0tyi))</f>
        <v>#VALUE!</v>
      </c>
      <c r="F3914" s="0" t="s">
        <v>6907</v>
      </c>
      <c r="G3914" s="0" t="s">
        <v>18698</v>
      </c>
    </row>
    <row r="3915" customFormat="false" ht="15" hidden="false" customHeight="false" outlineLevel="0" collapsed="false">
      <c r="A3915" s="0" t="n">
        <v>1618</v>
      </c>
      <c r="B3915" s="0" t="n">
        <v>16860</v>
      </c>
      <c r="C3915" s="0" t="s">
        <v>7081</v>
      </c>
      <c r="D3915" s="0" t="s">
        <v>5</v>
      </c>
      <c r="E3915" s="0" t="e">
        <f aca="false">IFERROR(__xludf.dummyfunction("xlookup(aj1618,importrange("1xainw9du9nz21v0tyi))</f>
        <v>#VALUE!</v>
      </c>
      <c r="F3915" s="0" t="s">
        <v>7082</v>
      </c>
      <c r="G3915" s="0" t="s">
        <v>18698</v>
      </c>
    </row>
    <row r="3916" customFormat="false" ht="15" hidden="false" customHeight="false" outlineLevel="0" collapsed="false">
      <c r="A3916" s="0" t="n">
        <v>1620</v>
      </c>
      <c r="B3916" s="0" t="n">
        <v>16866</v>
      </c>
      <c r="C3916" s="0" t="s">
        <v>7091</v>
      </c>
      <c r="D3916" s="0" t="s">
        <v>5</v>
      </c>
      <c r="E3916" s="0" t="e">
        <f aca="false">IFERROR(__xludf.dummyfunction("xlookup(aj1620,importrange("1xainw9du9nz21v0tyi))</f>
        <v>#VALUE!</v>
      </c>
      <c r="F3916" s="0" t="s">
        <v>7092</v>
      </c>
      <c r="G3916" s="0" t="s">
        <v>18698</v>
      </c>
    </row>
    <row r="3917" customFormat="false" ht="15" hidden="false" customHeight="false" outlineLevel="0" collapsed="false">
      <c r="A3917" s="0" t="n">
        <v>1627</v>
      </c>
      <c r="B3917" s="0" t="n">
        <v>17119</v>
      </c>
      <c r="C3917" s="0" t="s">
        <v>7117</v>
      </c>
      <c r="D3917" s="0" t="s">
        <v>5</v>
      </c>
      <c r="E3917" s="0" t="e">
        <f aca="false">IFERROR(__xludf.dummyfunction("xlookup(aj1627,importrange("1xainw9du9nz21v0tyi))</f>
        <v>#VALUE!</v>
      </c>
      <c r="F3917" s="0" t="s">
        <v>7118</v>
      </c>
      <c r="G3917" s="0" t="s">
        <v>18698</v>
      </c>
    </row>
    <row r="3918" customFormat="false" ht="15" hidden="false" customHeight="false" outlineLevel="0" collapsed="false">
      <c r="A3918" s="0" t="n">
        <v>1635</v>
      </c>
      <c r="B3918" s="0" t="n">
        <v>17163</v>
      </c>
      <c r="C3918" s="0" t="s">
        <v>7143</v>
      </c>
      <c r="D3918" s="0" t="s">
        <v>5</v>
      </c>
      <c r="E3918" s="0" t="e">
        <f aca="false">IFERROR(__xludf.dummyfunction("xlookup(aj1635,importrange("1xainw9du9nz21v0tyi))</f>
        <v>#VALUE!</v>
      </c>
      <c r="F3918" s="0" t="s">
        <v>7144</v>
      </c>
      <c r="G3918" s="0" t="s">
        <v>18698</v>
      </c>
    </row>
    <row r="3919" customFormat="false" ht="15" hidden="false" customHeight="false" outlineLevel="0" collapsed="false">
      <c r="A3919" s="0" t="n">
        <v>1646</v>
      </c>
      <c r="B3919" s="0" t="n">
        <v>17179</v>
      </c>
      <c r="C3919" s="0" t="s">
        <v>7177</v>
      </c>
      <c r="D3919" s="0" t="s">
        <v>5</v>
      </c>
      <c r="E3919" s="0" t="e">
        <f aca="false">IFERROR(__xludf.dummyfunction("xlookup(aj1646,importrange("1xainw9du9nz21v0tyi))</f>
        <v>#VALUE!</v>
      </c>
      <c r="F3919" s="0" t="s">
        <v>7178</v>
      </c>
      <c r="G3919" s="0" t="s">
        <v>18698</v>
      </c>
    </row>
    <row r="3920" customFormat="false" ht="15" hidden="false" customHeight="false" outlineLevel="0" collapsed="false">
      <c r="A3920" s="0" t="n">
        <v>1647</v>
      </c>
      <c r="B3920" s="0" t="n">
        <v>17180</v>
      </c>
      <c r="C3920" s="0" t="s">
        <v>7182</v>
      </c>
      <c r="D3920" s="0" t="s">
        <v>5</v>
      </c>
      <c r="E3920" s="0" t="e">
        <f aca="false">IFERROR(__xludf.dummyfunction("xlookup(aj1647,importrange("1xainw9du9nz21v0tyi))</f>
        <v>#VALUE!</v>
      </c>
      <c r="F3920" s="0" t="s">
        <v>7183</v>
      </c>
      <c r="G3920" s="0" t="s">
        <v>18698</v>
      </c>
    </row>
    <row r="3921" customFormat="false" ht="15" hidden="false" customHeight="false" outlineLevel="0" collapsed="false">
      <c r="A3921" s="0" t="n">
        <v>1648</v>
      </c>
      <c r="B3921" s="0" t="n">
        <v>17182</v>
      </c>
      <c r="C3921" s="0" t="s">
        <v>7188</v>
      </c>
      <c r="D3921" s="0" t="s">
        <v>5</v>
      </c>
      <c r="E3921" s="0" t="e">
        <f aca="false">IFERROR(__xludf.dummyfunction("xlookup(aj1648,importrange("1xainw9du9nz21v0tyi))</f>
        <v>#VALUE!</v>
      </c>
      <c r="F3921" s="0" t="s">
        <v>7189</v>
      </c>
      <c r="G3921" s="0" t="s">
        <v>18698</v>
      </c>
    </row>
    <row r="3922" customFormat="false" ht="15" hidden="false" customHeight="false" outlineLevel="0" collapsed="false">
      <c r="A3922" s="0" t="n">
        <v>1657</v>
      </c>
      <c r="B3922" s="0" t="n">
        <v>17298</v>
      </c>
      <c r="C3922" s="0" t="s">
        <v>7224</v>
      </c>
      <c r="D3922" s="0" t="s">
        <v>5</v>
      </c>
      <c r="E3922" s="0" t="e">
        <f aca="false">IFERROR(__xludf.dummyfunction("xlookup(aj1657,importrange("1xainw9du9nz21v0tyi))</f>
        <v>#VALUE!</v>
      </c>
      <c r="F3922" s="0" t="s">
        <v>7225</v>
      </c>
      <c r="G3922" s="0" t="s">
        <v>18698</v>
      </c>
    </row>
    <row r="3923" customFormat="false" ht="15" hidden="false" customHeight="false" outlineLevel="0" collapsed="false">
      <c r="A3923" s="0" t="n">
        <v>1660</v>
      </c>
      <c r="B3923" s="0" t="n">
        <v>17333</v>
      </c>
      <c r="C3923" s="0" t="s">
        <v>7236</v>
      </c>
      <c r="D3923" s="0" t="s">
        <v>5</v>
      </c>
      <c r="E3923" s="0" t="e">
        <f aca="false">IFERROR(__xludf.dummyfunction("xlookup(aj1660,importrange("1xainw9du9nz21v0tyi))</f>
        <v>#VALUE!</v>
      </c>
      <c r="F3923" s="0" t="s">
        <v>7237</v>
      </c>
      <c r="G3923" s="0" t="s">
        <v>18698</v>
      </c>
    </row>
    <row r="3924" customFormat="false" ht="15" hidden="false" customHeight="false" outlineLevel="0" collapsed="false">
      <c r="A3924" s="0" t="n">
        <v>1661</v>
      </c>
      <c r="B3924" s="0" t="n">
        <v>17554</v>
      </c>
      <c r="C3924" s="0" t="s">
        <v>7241</v>
      </c>
      <c r="D3924" s="0" t="s">
        <v>5</v>
      </c>
      <c r="E3924" s="0" t="e">
        <f aca="false">IFERROR(__xludf.dummyfunction("xlookup(aj1661,importrange("1xainw9du9nz21v0tyi))</f>
        <v>#VALUE!</v>
      </c>
      <c r="F3924" s="0" t="s">
        <v>7242</v>
      </c>
      <c r="G3924" s="0" t="s">
        <v>18698</v>
      </c>
    </row>
    <row r="3925" customFormat="false" ht="15" hidden="false" customHeight="false" outlineLevel="0" collapsed="false">
      <c r="A3925" s="0" t="n">
        <v>1664</v>
      </c>
      <c r="B3925" s="0" t="n">
        <v>17560</v>
      </c>
      <c r="C3925" s="0" t="s">
        <v>7254</v>
      </c>
      <c r="D3925" s="0" t="s">
        <v>5</v>
      </c>
      <c r="E3925" s="0" t="e">
        <f aca="false">IFERROR(__xludf.dummyfunction("xlookup(aj1664,importrange("1xainw9du9nz21v0tyi))</f>
        <v>#VALUE!</v>
      </c>
      <c r="F3925" s="0" t="s">
        <v>7255</v>
      </c>
      <c r="G3925" s="0" t="s">
        <v>18698</v>
      </c>
    </row>
    <row r="3926" customFormat="false" ht="15" hidden="false" customHeight="false" outlineLevel="0" collapsed="false">
      <c r="A3926" s="0" t="n">
        <v>1667</v>
      </c>
      <c r="B3926" s="0" t="n">
        <v>17583</v>
      </c>
      <c r="C3926" s="0" t="s">
        <v>7266</v>
      </c>
      <c r="D3926" s="0" t="s">
        <v>5</v>
      </c>
      <c r="E3926" s="0" t="e">
        <f aca="false">IFERROR(__xludf.dummyfunction("xlookup(aj1667,importrange("1xainw9du9nz21v0tyi))</f>
        <v>#VALUE!</v>
      </c>
      <c r="F3926" s="0" t="s">
        <v>7267</v>
      </c>
      <c r="G3926" s="0" t="s">
        <v>18698</v>
      </c>
    </row>
    <row r="3927" customFormat="false" ht="15" hidden="false" customHeight="false" outlineLevel="0" collapsed="false">
      <c r="A3927" s="0" t="n">
        <v>1669</v>
      </c>
      <c r="B3927" s="0" t="n">
        <v>17601</v>
      </c>
      <c r="C3927" s="0" t="s">
        <v>7274</v>
      </c>
      <c r="D3927" s="0" t="s">
        <v>5</v>
      </c>
      <c r="E3927" s="0" t="e">
        <f aca="false">IFERROR(__xludf.dummyfunction("xlookup(aj1669,importrange("1xainw9du9nz21v0tyi))</f>
        <v>#VALUE!</v>
      </c>
      <c r="F3927" s="0" t="s">
        <v>7275</v>
      </c>
      <c r="G3927" s="0" t="s">
        <v>18698</v>
      </c>
    </row>
    <row r="3928" customFormat="false" ht="15" hidden="false" customHeight="false" outlineLevel="0" collapsed="false">
      <c r="A3928" s="0" t="n">
        <v>1675</v>
      </c>
      <c r="B3928" s="0" t="n">
        <v>17650</v>
      </c>
      <c r="C3928" s="0" t="s">
        <v>7300</v>
      </c>
      <c r="D3928" s="0" t="s">
        <v>5</v>
      </c>
      <c r="E3928" s="0" t="e">
        <f aca="false">IFERROR(__xludf.dummyfunction("xlookup(aj1675,importrange("1xainw9du9nz21v0tyi))</f>
        <v>#VALUE!</v>
      </c>
      <c r="F3928" s="0" t="s">
        <v>7301</v>
      </c>
      <c r="G3928" s="0" t="s">
        <v>18698</v>
      </c>
    </row>
    <row r="3929" customFormat="false" ht="15" hidden="false" customHeight="false" outlineLevel="0" collapsed="false">
      <c r="A3929" s="0" t="n">
        <v>1677</v>
      </c>
      <c r="B3929" s="0" t="n">
        <v>17656</v>
      </c>
      <c r="C3929" s="0" t="s">
        <v>7309</v>
      </c>
      <c r="D3929" s="0" t="s">
        <v>5</v>
      </c>
      <c r="E3929" s="0" t="e">
        <f aca="false">IFERROR(__xludf.dummyfunction("xlookup(aj1677,importrange("1xainw9du9nz21v0tyi))</f>
        <v>#VALUE!</v>
      </c>
      <c r="F3929" s="0" t="s">
        <v>7311</v>
      </c>
      <c r="G3929" s="0" t="s">
        <v>18698</v>
      </c>
    </row>
    <row r="3930" customFormat="false" ht="15" hidden="false" customHeight="false" outlineLevel="0" collapsed="false">
      <c r="A3930" s="0" t="n">
        <v>1681</v>
      </c>
      <c r="B3930" s="0" t="n">
        <v>17665</v>
      </c>
      <c r="C3930" s="0" t="s">
        <v>7328</v>
      </c>
      <c r="D3930" s="0" t="s">
        <v>5</v>
      </c>
      <c r="E3930" s="0" t="e">
        <f aca="false">IFERROR(__xludf.dummyfunction("xlookup(aj1681,importrange("1xainw9du9nz21v0tyi))</f>
        <v>#VALUE!</v>
      </c>
      <c r="F3930" s="0" t="s">
        <v>7329</v>
      </c>
      <c r="G3930" s="0" t="s">
        <v>18698</v>
      </c>
    </row>
    <row r="3931" customFormat="false" ht="15" hidden="false" customHeight="false" outlineLevel="0" collapsed="false">
      <c r="A3931" s="0" t="n">
        <v>1683</v>
      </c>
      <c r="B3931" s="0" t="n">
        <v>17672</v>
      </c>
      <c r="C3931" s="0" t="s">
        <v>7336</v>
      </c>
      <c r="D3931" s="0" t="s">
        <v>5</v>
      </c>
      <c r="E3931" s="0" t="e">
        <f aca="false">IFERROR(__xludf.dummyfunction("xlookup(aj1683,importrange("1xainw9du9nz21v0tyi))</f>
        <v>#VALUE!</v>
      </c>
      <c r="F3931" s="0" t="s">
        <v>7337</v>
      </c>
      <c r="G3931" s="0" t="s">
        <v>18698</v>
      </c>
    </row>
    <row r="3932" customFormat="false" ht="15" hidden="false" customHeight="false" outlineLevel="0" collapsed="false">
      <c r="A3932" s="0" t="n">
        <v>1701</v>
      </c>
      <c r="B3932" s="0" t="n">
        <v>22284</v>
      </c>
      <c r="C3932" s="0" t="s">
        <v>7408</v>
      </c>
      <c r="D3932" s="0" t="s">
        <v>5</v>
      </c>
      <c r="E3932" s="0" t="e">
        <f aca="false">IFERROR(__xludf.dummyfunction("xlookup(aj1701,importrange("1xainw9du9nz21v0tyi))</f>
        <v>#VALUE!</v>
      </c>
      <c r="F3932" s="0" t="s">
        <v>7409</v>
      </c>
      <c r="G3932" s="0" t="s">
        <v>18698</v>
      </c>
    </row>
    <row r="3933" customFormat="false" ht="15" hidden="false" customHeight="false" outlineLevel="0" collapsed="false">
      <c r="A3933" s="0" t="n">
        <v>1709</v>
      </c>
      <c r="B3933" s="0" t="n">
        <v>17865</v>
      </c>
      <c r="C3933" s="0" t="s">
        <v>7436</v>
      </c>
      <c r="D3933" s="0" t="s">
        <v>5</v>
      </c>
      <c r="E3933" s="0" t="e">
        <f aca="false">IFERROR(__xludf.dummyfunction("xlookup(aj1709,importrange("1xainw9du9nz21v0tyi))</f>
        <v>#VALUE!</v>
      </c>
      <c r="F3933" s="0" t="s">
        <v>7437</v>
      </c>
      <c r="G3933" s="0" t="s">
        <v>18698</v>
      </c>
    </row>
    <row r="3934" customFormat="false" ht="15" hidden="false" customHeight="false" outlineLevel="0" collapsed="false">
      <c r="A3934" s="0" t="n">
        <v>1722</v>
      </c>
      <c r="B3934" s="0" t="n">
        <v>17914</v>
      </c>
      <c r="C3934" s="0" t="s">
        <v>7490</v>
      </c>
      <c r="D3934" s="0" t="s">
        <v>5</v>
      </c>
      <c r="E3934" s="0" t="e">
        <f aca="false">IFERROR(__xludf.dummyfunction("xlookup(aj1722,importrange("1xainw9du9nz21v0tyi))</f>
        <v>#VALUE!</v>
      </c>
      <c r="F3934" s="0" t="s">
        <v>7491</v>
      </c>
      <c r="G3934" s="0" t="s">
        <v>18698</v>
      </c>
    </row>
    <row r="3935" customFormat="false" ht="15" hidden="false" customHeight="false" outlineLevel="0" collapsed="false">
      <c r="A3935" s="0" t="n">
        <v>1731</v>
      </c>
      <c r="B3935" s="0" t="n">
        <v>17949</v>
      </c>
      <c r="C3935" s="0" t="s">
        <v>7529</v>
      </c>
      <c r="D3935" s="0" t="s">
        <v>5</v>
      </c>
      <c r="E3935" s="0" t="e">
        <f aca="false">IFERROR(__xludf.dummyfunction("xlookup(aj1731,importrange("1xainw9du9nz21v0tyi))</f>
        <v>#VALUE!</v>
      </c>
      <c r="F3935" s="0" t="s">
        <v>7530</v>
      </c>
      <c r="G3935" s="0" t="s">
        <v>18698</v>
      </c>
    </row>
    <row r="3936" customFormat="false" ht="15" hidden="false" customHeight="false" outlineLevel="0" collapsed="false">
      <c r="A3936" s="0" t="n">
        <v>1733</v>
      </c>
      <c r="B3936" s="0" t="n">
        <v>17959</v>
      </c>
      <c r="C3936" s="0" t="s">
        <v>7539</v>
      </c>
      <c r="D3936" s="0" t="s">
        <v>5</v>
      </c>
      <c r="E3936" s="0" t="e">
        <f aca="false">IFERROR(__xludf.dummyfunction("xlookup(aj1733,importrange("1xainw9du9nz21v0tyi))</f>
        <v>#VALUE!</v>
      </c>
      <c r="F3936" s="0" t="s">
        <v>7540</v>
      </c>
      <c r="G3936" s="0" t="s">
        <v>18698</v>
      </c>
    </row>
    <row r="3937" customFormat="false" ht="15" hidden="false" customHeight="false" outlineLevel="0" collapsed="false">
      <c r="A3937" s="0" t="n">
        <v>1734</v>
      </c>
      <c r="B3937" s="0" t="n">
        <v>17961</v>
      </c>
      <c r="C3937" s="0" t="s">
        <v>7544</v>
      </c>
      <c r="D3937" s="0" t="s">
        <v>5</v>
      </c>
      <c r="E3937" s="0" t="e">
        <f aca="false">IFERROR(__xludf.dummyfunction("xlookup(aj1734,importrange("1xainw9du9nz21v0tyi))</f>
        <v>#VALUE!</v>
      </c>
      <c r="F3937" s="0" t="s">
        <v>7545</v>
      </c>
      <c r="G3937" s="0" t="s">
        <v>18698</v>
      </c>
    </row>
    <row r="3938" customFormat="false" ht="15" hidden="false" customHeight="false" outlineLevel="0" collapsed="false">
      <c r="A3938" s="0" t="n">
        <v>1735</v>
      </c>
      <c r="B3938" s="0" t="n">
        <v>17963</v>
      </c>
      <c r="C3938" s="0" t="s">
        <v>7549</v>
      </c>
      <c r="D3938" s="0" t="s">
        <v>5</v>
      </c>
      <c r="E3938" s="0" t="e">
        <f aca="false">IFERROR(__xludf.dummyfunction("xlookup(aj1735,importrange("1xainw9du9nz21v0tyi))</f>
        <v>#VALUE!</v>
      </c>
      <c r="F3938" s="0" t="s">
        <v>7550</v>
      </c>
      <c r="G3938" s="0" t="s">
        <v>18698</v>
      </c>
    </row>
    <row r="3939" customFormat="false" ht="15" hidden="false" customHeight="false" outlineLevel="0" collapsed="false">
      <c r="A3939" s="0" t="n">
        <v>1736</v>
      </c>
      <c r="B3939" s="0" t="n">
        <v>17975</v>
      </c>
      <c r="C3939" s="0" t="s">
        <v>7554</v>
      </c>
      <c r="D3939" s="0" t="s">
        <v>5</v>
      </c>
      <c r="E3939" s="0" t="e">
        <f aca="false">IFERROR(__xludf.dummyfunction("xlookup(aj1736,importrange("1xainw9du9nz21v0tyi))</f>
        <v>#VALUE!</v>
      </c>
      <c r="F3939" s="0" t="s">
        <v>7557</v>
      </c>
      <c r="G3939" s="0" t="s">
        <v>18698</v>
      </c>
    </row>
    <row r="3940" customFormat="false" ht="15" hidden="false" customHeight="false" outlineLevel="0" collapsed="false">
      <c r="A3940" s="0" t="n">
        <v>1737</v>
      </c>
      <c r="B3940" s="0" t="n">
        <v>17976</v>
      </c>
      <c r="C3940" s="0" t="s">
        <v>7562</v>
      </c>
      <c r="D3940" s="0" t="s">
        <v>5</v>
      </c>
      <c r="E3940" s="0" t="e">
        <f aca="false">IFERROR(__xludf.dummyfunction("xlookup(aj1737,importrange("1xainw9du9nz21v0tyi))</f>
        <v>#VALUE!</v>
      </c>
      <c r="F3940" s="0" t="s">
        <v>7563</v>
      </c>
      <c r="G3940" s="0" t="s">
        <v>18698</v>
      </c>
    </row>
    <row r="3941" customFormat="false" ht="15" hidden="false" customHeight="false" outlineLevel="0" collapsed="false">
      <c r="A3941" s="0" t="n">
        <v>1738</v>
      </c>
      <c r="B3941" s="0" t="n">
        <v>17979</v>
      </c>
      <c r="C3941" s="0" t="s">
        <v>7567</v>
      </c>
      <c r="D3941" s="0" t="s">
        <v>5</v>
      </c>
      <c r="E3941" s="0" t="e">
        <f aca="false">IFERROR(__xludf.dummyfunction("xlookup(aj1738,importrange("1xainw9du9nz21v0tyi))</f>
        <v>#VALUE!</v>
      </c>
      <c r="F3941" s="0" t="s">
        <v>7568</v>
      </c>
      <c r="G3941" s="0" t="s">
        <v>18698</v>
      </c>
    </row>
    <row r="3942" customFormat="false" ht="15" hidden="false" customHeight="false" outlineLevel="0" collapsed="false">
      <c r="A3942" s="0" t="n">
        <v>1741</v>
      </c>
      <c r="B3942" s="0" t="n">
        <v>17987</v>
      </c>
      <c r="C3942" s="0" t="s">
        <v>7577</v>
      </c>
      <c r="D3942" s="0" t="s">
        <v>5</v>
      </c>
      <c r="E3942" s="0" t="e">
        <f aca="false">IFERROR(__xludf.dummyfunction("xlookup(aj1741,importrange("1xainw9du9nz21v0tyi))</f>
        <v>#VALUE!</v>
      </c>
      <c r="F3942" s="0" t="s">
        <v>7578</v>
      </c>
      <c r="G3942" s="0" t="s">
        <v>18698</v>
      </c>
    </row>
    <row r="3943" customFormat="false" ht="15" hidden="false" customHeight="false" outlineLevel="0" collapsed="false">
      <c r="A3943" s="0" t="n">
        <v>1752</v>
      </c>
      <c r="B3943" s="0" t="n">
        <v>18031</v>
      </c>
      <c r="C3943" s="0" t="s">
        <v>7624</v>
      </c>
      <c r="D3943" s="0" t="s">
        <v>5</v>
      </c>
      <c r="E3943" s="0" t="e">
        <f aca="false">IFERROR(__xludf.dummyfunction("xlookup(aj1752,importrange("1xainw9du9nz21v0tyi))</f>
        <v>#VALUE!</v>
      </c>
      <c r="F3943" s="0" t="s">
        <v>7625</v>
      </c>
      <c r="G3943" s="0" t="s">
        <v>18698</v>
      </c>
    </row>
    <row r="3944" customFormat="false" ht="15" hidden="false" customHeight="false" outlineLevel="0" collapsed="false">
      <c r="A3944" s="0" t="n">
        <v>1777</v>
      </c>
      <c r="B3944" s="0" t="n">
        <v>18120</v>
      </c>
      <c r="C3944" s="0" t="s">
        <v>7721</v>
      </c>
      <c r="D3944" s="0" t="s">
        <v>5</v>
      </c>
      <c r="E3944" s="0" t="e">
        <f aca="false">IFERROR(__xludf.dummyfunction("xlookup(aj1777,importrange("1xainw9du9nz21v0tyi))</f>
        <v>#VALUE!</v>
      </c>
      <c r="F3944" s="0" t="s">
        <v>7722</v>
      </c>
      <c r="G3944" s="0" t="s">
        <v>18698</v>
      </c>
    </row>
    <row r="3945" customFormat="false" ht="15" hidden="false" customHeight="false" outlineLevel="0" collapsed="false">
      <c r="A3945" s="0" t="n">
        <v>1790</v>
      </c>
      <c r="B3945" s="0" t="n">
        <v>18341</v>
      </c>
      <c r="C3945" s="0" t="s">
        <v>7776</v>
      </c>
      <c r="D3945" s="0" t="s">
        <v>5</v>
      </c>
      <c r="E3945" s="0" t="e">
        <f aca="false">IFERROR(__xludf.dummyfunction("xlookup(aj1790,importrange("1xainw9du9nz21v0tyi))</f>
        <v>#VALUE!</v>
      </c>
      <c r="F3945" s="0" t="s">
        <v>7777</v>
      </c>
      <c r="G3945" s="0" t="s">
        <v>18698</v>
      </c>
    </row>
    <row r="3946" customFormat="false" ht="15" hidden="false" customHeight="false" outlineLevel="0" collapsed="false">
      <c r="A3946" s="0" t="n">
        <v>1792</v>
      </c>
      <c r="B3946" s="0" t="n">
        <v>18343</v>
      </c>
      <c r="C3946" s="0" t="s">
        <v>7785</v>
      </c>
      <c r="D3946" s="0" t="s">
        <v>5</v>
      </c>
      <c r="E3946" s="0" t="e">
        <f aca="false">IFERROR(__xludf.dummyfunction("xlookup(aj1792,importrange("1xainw9du9nz21v0tyi))</f>
        <v>#VALUE!</v>
      </c>
      <c r="F3946" s="0" t="s">
        <v>7786</v>
      </c>
      <c r="G3946" s="0" t="s">
        <v>18698</v>
      </c>
    </row>
    <row r="3947" customFormat="false" ht="15" hidden="false" customHeight="false" outlineLevel="0" collapsed="false">
      <c r="A3947" s="0" t="n">
        <v>1795</v>
      </c>
      <c r="B3947" s="0" t="n">
        <v>18350</v>
      </c>
      <c r="C3947" s="0" t="s">
        <v>7798</v>
      </c>
      <c r="D3947" s="0" t="s">
        <v>5</v>
      </c>
      <c r="E3947" s="0" t="e">
        <f aca="false">IFERROR(__xludf.dummyfunction("xlookup(aj1795,importrange("1xainw9du9nz21v0tyi))</f>
        <v>#VALUE!</v>
      </c>
      <c r="F3947" s="0" t="s">
        <v>7799</v>
      </c>
      <c r="G3947" s="0" t="s">
        <v>18698</v>
      </c>
    </row>
    <row r="3948" customFormat="false" ht="15" hidden="false" customHeight="false" outlineLevel="0" collapsed="false">
      <c r="A3948" s="0" t="n">
        <v>1798</v>
      </c>
      <c r="B3948" s="0" t="n">
        <v>18356</v>
      </c>
      <c r="C3948" s="0" t="s">
        <v>7811</v>
      </c>
      <c r="D3948" s="0" t="s">
        <v>5</v>
      </c>
      <c r="E3948" s="0" t="e">
        <f aca="false">IFERROR(__xludf.dummyfunction("xlookup(aj1798,importrange("1xainw9du9nz21v0tyi))</f>
        <v>#VALUE!</v>
      </c>
      <c r="F3948" s="0" t="s">
        <v>7812</v>
      </c>
      <c r="G3948" s="0" t="s">
        <v>18698</v>
      </c>
    </row>
    <row r="3949" customFormat="false" ht="15" hidden="false" customHeight="false" outlineLevel="0" collapsed="false">
      <c r="A3949" s="0" t="n">
        <v>1801</v>
      </c>
      <c r="B3949" s="0" t="n">
        <v>18373</v>
      </c>
      <c r="C3949" s="0" t="s">
        <v>7824</v>
      </c>
      <c r="D3949" s="0" t="s">
        <v>5</v>
      </c>
      <c r="E3949" s="0" t="e">
        <f aca="false">IFERROR(__xludf.dummyfunction("xlookup(aj1801,importrange("1xainw9du9nz21v0tyi))</f>
        <v>#VALUE!</v>
      </c>
      <c r="F3949" s="0" t="s">
        <v>7825</v>
      </c>
      <c r="G3949" s="0" t="s">
        <v>18698</v>
      </c>
    </row>
    <row r="3950" customFormat="false" ht="15" hidden="false" customHeight="false" outlineLevel="0" collapsed="false">
      <c r="A3950" s="0" t="n">
        <v>1806</v>
      </c>
      <c r="B3950" s="0" t="n">
        <v>18411</v>
      </c>
      <c r="C3950" s="0" t="s">
        <v>7844</v>
      </c>
      <c r="D3950" s="0" t="s">
        <v>5</v>
      </c>
      <c r="E3950" s="0" t="e">
        <f aca="false">IFERROR(__xludf.dummyfunction("xlookup(aj1806,importrange("1xainw9du9nz21v0tyi))</f>
        <v>#VALUE!</v>
      </c>
      <c r="F3950" s="0" t="s">
        <v>7845</v>
      </c>
      <c r="G3950" s="0" t="s">
        <v>18698</v>
      </c>
    </row>
    <row r="3951" customFormat="false" ht="15" hidden="false" customHeight="false" outlineLevel="0" collapsed="false">
      <c r="A3951" s="0" t="n">
        <v>1807</v>
      </c>
      <c r="B3951" s="0" t="n">
        <v>18415</v>
      </c>
      <c r="C3951" s="0" t="s">
        <v>7850</v>
      </c>
      <c r="D3951" s="0" t="s">
        <v>5</v>
      </c>
      <c r="E3951" s="0" t="e">
        <f aca="false">IFERROR(__xludf.dummyfunction("xlookup(aj1807,importrange("1xainw9du9nz21v0tyi))</f>
        <v>#VALUE!</v>
      </c>
      <c r="F3951" s="0" t="s">
        <v>7851</v>
      </c>
      <c r="G3951" s="0" t="s">
        <v>18698</v>
      </c>
    </row>
    <row r="3952" customFormat="false" ht="15" hidden="false" customHeight="false" outlineLevel="0" collapsed="false">
      <c r="A3952" s="0" t="n">
        <v>1808</v>
      </c>
      <c r="B3952" s="0" t="n">
        <v>18440</v>
      </c>
      <c r="C3952" s="0" t="s">
        <v>7855</v>
      </c>
      <c r="D3952" s="0" t="s">
        <v>5</v>
      </c>
      <c r="E3952" s="0" t="e">
        <f aca="false">IFERROR(__xludf.dummyfunction("xlookup(aj1808,importrange("1xainw9du9nz21v0tyi))</f>
        <v>#VALUE!</v>
      </c>
      <c r="F3952" s="0" t="s">
        <v>7856</v>
      </c>
      <c r="G3952" s="0" t="s">
        <v>18698</v>
      </c>
    </row>
    <row r="3953" customFormat="false" ht="15" hidden="false" customHeight="false" outlineLevel="0" collapsed="false">
      <c r="A3953" s="0" t="n">
        <v>1817</v>
      </c>
      <c r="B3953" s="0" t="n">
        <v>18472</v>
      </c>
      <c r="C3953" s="0" t="s">
        <v>7890</v>
      </c>
      <c r="D3953" s="0" t="s">
        <v>5</v>
      </c>
      <c r="E3953" s="0" t="e">
        <f aca="false">IFERROR(__xludf.dummyfunction("xlookup(aj1817,importrange("1xainw9du9nz21v0tyi))</f>
        <v>#VALUE!</v>
      </c>
      <c r="F3953" s="0" t="s">
        <v>7891</v>
      </c>
      <c r="G3953" s="0" t="s">
        <v>18698</v>
      </c>
    </row>
    <row r="3954" customFormat="false" ht="15" hidden="false" customHeight="false" outlineLevel="0" collapsed="false">
      <c r="A3954" s="0" t="n">
        <v>1820</v>
      </c>
      <c r="B3954" s="0" t="n">
        <v>18476</v>
      </c>
      <c r="C3954" s="0" t="s">
        <v>7903</v>
      </c>
      <c r="D3954" s="0" t="s">
        <v>5</v>
      </c>
      <c r="E3954" s="0" t="e">
        <f aca="false">IFERROR(__xludf.dummyfunction("xlookup(aj1820,importrange("1xainw9du9nz21v0tyi))</f>
        <v>#VALUE!</v>
      </c>
      <c r="F3954" s="0" t="s">
        <v>7904</v>
      </c>
      <c r="G3954" s="0" t="s">
        <v>18698</v>
      </c>
    </row>
    <row r="3955" customFormat="false" ht="15" hidden="false" customHeight="false" outlineLevel="0" collapsed="false">
      <c r="A3955" s="0" t="n">
        <v>1821</v>
      </c>
      <c r="B3955" s="0" t="n">
        <v>18489</v>
      </c>
      <c r="C3955" s="0" t="s">
        <v>7909</v>
      </c>
      <c r="D3955" s="0" t="s">
        <v>5</v>
      </c>
      <c r="E3955" s="0" t="e">
        <f aca="false">IFERROR(__xludf.dummyfunction("xlookup(aj1821,importrange("1xainw9du9nz21v0tyi))</f>
        <v>#VALUE!</v>
      </c>
      <c r="F3955" s="0" t="s">
        <v>7910</v>
      </c>
      <c r="G3955" s="0" t="s">
        <v>18698</v>
      </c>
    </row>
    <row r="3956" customFormat="false" ht="15" hidden="false" customHeight="false" outlineLevel="0" collapsed="false">
      <c r="A3956" s="0" t="n">
        <v>1822</v>
      </c>
      <c r="B3956" s="0" t="n">
        <v>18490</v>
      </c>
      <c r="C3956" s="0" t="s">
        <v>7914</v>
      </c>
      <c r="D3956" s="0" t="s">
        <v>5</v>
      </c>
      <c r="E3956" s="0" t="e">
        <f aca="false">IFERROR(__xludf.dummyfunction("xlookup(aj1822,importrange("1xainw9du9nz21v0tyi))</f>
        <v>#VALUE!</v>
      </c>
      <c r="F3956" s="0" t="s">
        <v>7915</v>
      </c>
      <c r="G3956" s="0" t="s">
        <v>18698</v>
      </c>
    </row>
    <row r="3957" customFormat="false" ht="15" hidden="false" customHeight="false" outlineLevel="0" collapsed="false">
      <c r="A3957" s="0" t="n">
        <v>1823</v>
      </c>
      <c r="B3957" s="0" t="n">
        <v>18491</v>
      </c>
      <c r="C3957" s="0" t="s">
        <v>7919</v>
      </c>
      <c r="D3957" s="0" t="s">
        <v>5</v>
      </c>
      <c r="E3957" s="0" t="e">
        <f aca="false">IFERROR(__xludf.dummyfunction("xlookup(aj1823,importrange("1xainw9du9nz21v0tyi))</f>
        <v>#VALUE!</v>
      </c>
      <c r="F3957" s="0" t="s">
        <v>7920</v>
      </c>
      <c r="G3957" s="0" t="s">
        <v>18698</v>
      </c>
    </row>
    <row r="3958" customFormat="false" ht="15" hidden="false" customHeight="false" outlineLevel="0" collapsed="false">
      <c r="A3958" s="0" t="n">
        <v>1834</v>
      </c>
      <c r="B3958" s="0" t="n">
        <v>18538</v>
      </c>
      <c r="C3958" s="0" t="s">
        <v>7967</v>
      </c>
      <c r="D3958" s="0" t="s">
        <v>5</v>
      </c>
      <c r="E3958" s="0" t="e">
        <f aca="false">IFERROR(__xludf.dummyfunction("xlookup(aj1834,importrange("1xainw9du9nz21v0tyi))</f>
        <v>#VALUE!</v>
      </c>
      <c r="F3958" s="0" t="s">
        <v>7969</v>
      </c>
      <c r="G3958" s="0" t="s">
        <v>18698</v>
      </c>
    </row>
    <row r="3959" customFormat="false" ht="15" hidden="false" customHeight="false" outlineLevel="0" collapsed="false">
      <c r="A3959" s="0" t="n">
        <v>1836</v>
      </c>
      <c r="B3959" s="0" t="n">
        <v>18540</v>
      </c>
      <c r="C3959" s="0" t="s">
        <v>7977</v>
      </c>
      <c r="D3959" s="0" t="s">
        <v>5</v>
      </c>
      <c r="E3959" s="0" t="e">
        <f aca="false">IFERROR(__xludf.dummyfunction("xlookup(aj1836,importrange("1xainw9du9nz21v0tyi))</f>
        <v>#VALUE!</v>
      </c>
      <c r="F3959" s="0" t="s">
        <v>7979</v>
      </c>
      <c r="G3959" s="0" t="s">
        <v>18698</v>
      </c>
    </row>
    <row r="3960" customFormat="false" ht="15" hidden="false" customHeight="false" outlineLevel="0" collapsed="false">
      <c r="A3960" s="0" t="n">
        <v>1842</v>
      </c>
      <c r="B3960" s="0" t="n">
        <v>18546</v>
      </c>
      <c r="C3960" s="0" t="s">
        <v>8004</v>
      </c>
      <c r="D3960" s="0" t="s">
        <v>5</v>
      </c>
      <c r="E3960" s="0" t="e">
        <f aca="false">IFERROR(__xludf.dummyfunction("xlookup(aj1842,importrange("1xainw9du9nz21v0tyi))</f>
        <v>#VALUE!</v>
      </c>
      <c r="F3960" s="0" t="s">
        <v>8006</v>
      </c>
      <c r="G3960" s="0" t="s">
        <v>18698</v>
      </c>
    </row>
    <row r="3961" customFormat="false" ht="15" hidden="false" customHeight="false" outlineLevel="0" collapsed="false">
      <c r="A3961" s="0" t="n">
        <v>1847</v>
      </c>
      <c r="B3961" s="0" t="n">
        <v>18551</v>
      </c>
      <c r="C3961" s="0" t="s">
        <v>8026</v>
      </c>
      <c r="D3961" s="0" t="s">
        <v>5</v>
      </c>
      <c r="E3961" s="0" t="e">
        <f aca="false">IFERROR(__xludf.dummyfunction("xlookup(aj1847,importrange("1xainw9du9nz21v0tyi))</f>
        <v>#VALUE!</v>
      </c>
      <c r="F3961" s="0" t="s">
        <v>8027</v>
      </c>
      <c r="G3961" s="0" t="s">
        <v>18698</v>
      </c>
    </row>
    <row r="3962" customFormat="false" ht="15" hidden="false" customHeight="false" outlineLevel="0" collapsed="false">
      <c r="A3962" s="0" t="n">
        <v>1872</v>
      </c>
      <c r="B3962" s="0" t="n">
        <v>18627</v>
      </c>
      <c r="C3962" s="0" t="s">
        <v>8129</v>
      </c>
      <c r="D3962" s="0" t="s">
        <v>5</v>
      </c>
      <c r="E3962" s="0" t="e">
        <f aca="false">IFERROR(__xludf.dummyfunction("xlookup(aj1872,importrange("1xainw9du9nz21v0tyi))</f>
        <v>#VALUE!</v>
      </c>
      <c r="F3962" s="0" t="s">
        <v>8130</v>
      </c>
      <c r="G3962" s="0" t="s">
        <v>18698</v>
      </c>
    </row>
    <row r="3963" customFormat="false" ht="15" hidden="false" customHeight="false" outlineLevel="0" collapsed="false">
      <c r="A3963" s="0" t="n">
        <v>1878</v>
      </c>
      <c r="B3963" s="0" t="n">
        <v>22556</v>
      </c>
      <c r="C3963" s="0" t="s">
        <v>8155</v>
      </c>
      <c r="D3963" s="0" t="s">
        <v>5</v>
      </c>
      <c r="E3963" s="0" t="e">
        <f aca="false">IFERROR(__xludf.dummyfunction("xlookup(aj1878,importrange("1xainw9du9nz21v0tyi))</f>
        <v>#VALUE!</v>
      </c>
      <c r="F3963" s="0" t="s">
        <v>8156</v>
      </c>
      <c r="G3963" s="0" t="s">
        <v>18698</v>
      </c>
    </row>
    <row r="3964" customFormat="false" ht="15" hidden="false" customHeight="false" outlineLevel="0" collapsed="false">
      <c r="A3964" s="0" t="n">
        <v>1881</v>
      </c>
      <c r="B3964" s="0" t="n">
        <v>18639</v>
      </c>
      <c r="C3964" s="0" t="s">
        <v>8167</v>
      </c>
      <c r="D3964" s="0" t="s">
        <v>5</v>
      </c>
      <c r="E3964" s="0" t="e">
        <f aca="false">IFERROR(__xludf.dummyfunction("xlookup(aj1881,importrange("1xainw9du9nz21v0tyi))</f>
        <v>#VALUE!</v>
      </c>
      <c r="F3964" s="0" t="s">
        <v>8168</v>
      </c>
      <c r="G3964" s="0" t="s">
        <v>18698</v>
      </c>
    </row>
    <row r="3965" customFormat="false" ht="15" hidden="false" customHeight="false" outlineLevel="0" collapsed="false">
      <c r="A3965" s="0" t="n">
        <v>1883</v>
      </c>
      <c r="B3965" s="0" t="n">
        <v>18647</v>
      </c>
      <c r="C3965" s="0" t="s">
        <v>8175</v>
      </c>
      <c r="D3965" s="0" t="s">
        <v>5</v>
      </c>
      <c r="E3965" s="0" t="e">
        <f aca="false">IFERROR(__xludf.dummyfunction("xlookup(aj1883,importrange("1xainw9du9nz21v0tyi))</f>
        <v>#VALUE!</v>
      </c>
      <c r="F3965" s="0" t="s">
        <v>8176</v>
      </c>
      <c r="G3965" s="0" t="s">
        <v>18698</v>
      </c>
    </row>
    <row r="3966" customFormat="false" ht="15" hidden="false" customHeight="false" outlineLevel="0" collapsed="false">
      <c r="A3966" s="0" t="n">
        <v>1884</v>
      </c>
      <c r="B3966" s="0" t="n">
        <v>18650</v>
      </c>
      <c r="C3966" s="0" t="s">
        <v>8180</v>
      </c>
      <c r="D3966" s="0" t="s">
        <v>5</v>
      </c>
      <c r="E3966" s="0" t="e">
        <f aca="false">IFERROR(__xludf.dummyfunction("xlookup(aj1884,importrange("1xainw9du9nz21v0tyi))</f>
        <v>#VALUE!</v>
      </c>
      <c r="F3966" s="0" t="s">
        <v>8181</v>
      </c>
      <c r="G3966" s="0" t="s">
        <v>18698</v>
      </c>
    </row>
    <row r="3967" customFormat="false" ht="15" hidden="false" customHeight="false" outlineLevel="0" collapsed="false">
      <c r="A3967" s="0" t="n">
        <v>1885</v>
      </c>
      <c r="B3967" s="0" t="n">
        <v>18652</v>
      </c>
      <c r="C3967" s="0" t="s">
        <v>8185</v>
      </c>
      <c r="D3967" s="0" t="s">
        <v>5</v>
      </c>
      <c r="E3967" s="0" t="e">
        <f aca="false">IFERROR(__xludf.dummyfunction("xlookup(aj1885,importrange("1xainw9du9nz21v0tyi))</f>
        <v>#VALUE!</v>
      </c>
      <c r="F3967" s="0" t="s">
        <v>8186</v>
      </c>
      <c r="G3967" s="0" t="s">
        <v>18698</v>
      </c>
    </row>
    <row r="3968" customFormat="false" ht="15" hidden="false" customHeight="false" outlineLevel="0" collapsed="false">
      <c r="A3968" s="0" t="n">
        <v>1890</v>
      </c>
      <c r="B3968" s="0" t="n">
        <v>18658</v>
      </c>
      <c r="C3968" s="0" t="s">
        <v>8207</v>
      </c>
      <c r="D3968" s="0" t="s">
        <v>5</v>
      </c>
      <c r="E3968" s="0" t="e">
        <f aca="false">IFERROR(__xludf.dummyfunction("xlookup(aj1890,importrange("1xainw9du9nz21v0tyi))</f>
        <v>#VALUE!</v>
      </c>
      <c r="F3968" s="0" t="s">
        <v>8208</v>
      </c>
      <c r="G3968" s="0" t="s">
        <v>18698</v>
      </c>
    </row>
    <row r="3969" customFormat="false" ht="15" hidden="false" customHeight="false" outlineLevel="0" collapsed="false">
      <c r="A3969" s="0" t="n">
        <v>1893</v>
      </c>
      <c r="B3969" s="0" t="n">
        <v>18687</v>
      </c>
      <c r="C3969" s="0" t="s">
        <v>8221</v>
      </c>
      <c r="D3969" s="0" t="s">
        <v>5</v>
      </c>
      <c r="E3969" s="0" t="e">
        <f aca="false">IFERROR(__xludf.dummyfunction("xlookup(aj1893,importrange("1xainw9du9nz21v0tyi))</f>
        <v>#VALUE!</v>
      </c>
      <c r="F3969" s="0" t="s">
        <v>8222</v>
      </c>
      <c r="G3969" s="0" t="s">
        <v>18698</v>
      </c>
    </row>
    <row r="3970" customFormat="false" ht="15" hidden="false" customHeight="false" outlineLevel="0" collapsed="false">
      <c r="A3970" s="0" t="n">
        <v>1894</v>
      </c>
      <c r="B3970" s="0" t="n">
        <v>18688</v>
      </c>
      <c r="C3970" s="0" t="s">
        <v>8226</v>
      </c>
      <c r="D3970" s="0" t="s">
        <v>5</v>
      </c>
      <c r="E3970" s="0" t="e">
        <f aca="false">IFERROR(__xludf.dummyfunction("xlookup(aj1894,importrange("1xainw9du9nz21v0tyi))</f>
        <v>#VALUE!</v>
      </c>
      <c r="F3970" s="0" t="s">
        <v>8228</v>
      </c>
      <c r="G3970" s="0" t="s">
        <v>18698</v>
      </c>
    </row>
    <row r="3971" customFormat="false" ht="15" hidden="false" customHeight="false" outlineLevel="0" collapsed="false">
      <c r="A3971" s="0" t="n">
        <v>1895</v>
      </c>
      <c r="B3971" s="0" t="n">
        <v>18690</v>
      </c>
      <c r="C3971" s="0" t="s">
        <v>8232</v>
      </c>
      <c r="D3971" s="0" t="s">
        <v>5</v>
      </c>
      <c r="E3971" s="0" t="e">
        <f aca="false">IFERROR(__xludf.dummyfunction("xlookup(aj1895,importrange("1xainw9du9nz21v0tyi))</f>
        <v>#VALUE!</v>
      </c>
      <c r="F3971" s="0" t="s">
        <v>8233</v>
      </c>
      <c r="G3971" s="0" t="s">
        <v>18698</v>
      </c>
    </row>
    <row r="3972" customFormat="false" ht="15" hidden="false" customHeight="false" outlineLevel="0" collapsed="false">
      <c r="A3972" s="0" t="n">
        <v>1901</v>
      </c>
      <c r="B3972" s="0" t="n">
        <v>18698</v>
      </c>
      <c r="C3972" s="0" t="s">
        <v>8253</v>
      </c>
      <c r="D3972" s="0" t="s">
        <v>5</v>
      </c>
      <c r="E3972" s="0" t="e">
        <f aca="false">IFERROR(__xludf.dummyfunction("xlookup(aj1901,importrange("1xainw9du9nz21v0tyi))</f>
        <v>#VALUE!</v>
      </c>
      <c r="F3972" s="0" t="s">
        <v>8254</v>
      </c>
      <c r="G3972" s="0" t="s">
        <v>18698</v>
      </c>
    </row>
    <row r="3973" customFormat="false" ht="15" hidden="false" customHeight="false" outlineLevel="0" collapsed="false">
      <c r="A3973" s="0" t="n">
        <v>1902</v>
      </c>
      <c r="B3973" s="0" t="n">
        <v>18700</v>
      </c>
      <c r="C3973" s="0" t="s">
        <v>8257</v>
      </c>
      <c r="D3973" s="0" t="s">
        <v>5</v>
      </c>
      <c r="E3973" s="0" t="e">
        <f aca="false">IFERROR(__xludf.dummyfunction("xlookup(aj1902,importrange("1xainw9du9nz21v0tyi))</f>
        <v>#VALUE!</v>
      </c>
      <c r="F3973" s="0" t="s">
        <v>8258</v>
      </c>
      <c r="G3973" s="0" t="s">
        <v>18698</v>
      </c>
    </row>
    <row r="3974" customFormat="false" ht="15" hidden="false" customHeight="false" outlineLevel="0" collapsed="false">
      <c r="A3974" s="0" t="n">
        <v>1903</v>
      </c>
      <c r="B3974" s="0" t="n">
        <v>18701</v>
      </c>
      <c r="C3974" s="0" t="s">
        <v>8261</v>
      </c>
      <c r="D3974" s="0" t="s">
        <v>5</v>
      </c>
      <c r="E3974" s="0" t="e">
        <f aca="false">IFERROR(__xludf.dummyfunction("xlookup(aj1903,importrange("1xainw9du9nz21v0tyi))</f>
        <v>#VALUE!</v>
      </c>
      <c r="F3974" s="0" t="s">
        <v>8262</v>
      </c>
      <c r="G3974" s="0" t="s">
        <v>18698</v>
      </c>
    </row>
    <row r="3975" customFormat="false" ht="15" hidden="false" customHeight="false" outlineLevel="0" collapsed="false">
      <c r="A3975" s="0" t="n">
        <v>1904</v>
      </c>
      <c r="B3975" s="0" t="n">
        <v>18710</v>
      </c>
      <c r="C3975" s="0" t="s">
        <v>8265</v>
      </c>
      <c r="D3975" s="0" t="s">
        <v>5</v>
      </c>
      <c r="E3975" s="0" t="e">
        <f aca="false">IFERROR(__xludf.dummyfunction("xlookup(aj1904,importrange("1xainw9du9nz21v0tyi))</f>
        <v>#VALUE!</v>
      </c>
      <c r="F3975" s="0" t="s">
        <v>8266</v>
      </c>
      <c r="G3975" s="0" t="s">
        <v>18698</v>
      </c>
    </row>
    <row r="3976" customFormat="false" ht="15" hidden="false" customHeight="false" outlineLevel="0" collapsed="false">
      <c r="A3976" s="0" t="n">
        <v>1916</v>
      </c>
      <c r="B3976" s="0" t="n">
        <v>18747</v>
      </c>
      <c r="C3976" s="0" t="s">
        <v>8309</v>
      </c>
      <c r="D3976" s="0" t="s">
        <v>5</v>
      </c>
      <c r="E3976" s="0" t="e">
        <f aca="false">IFERROR(__xludf.dummyfunction("xlookup(aj1916,importrange("1xainw9du9nz21v0tyi))</f>
        <v>#VALUE!</v>
      </c>
      <c r="F3976" s="0" t="s">
        <v>8310</v>
      </c>
      <c r="G3976" s="0" t="s">
        <v>18698</v>
      </c>
    </row>
    <row r="3977" customFormat="false" ht="15" hidden="false" customHeight="false" outlineLevel="0" collapsed="false">
      <c r="A3977" s="0" t="n">
        <v>1918</v>
      </c>
      <c r="B3977" s="0" t="n">
        <v>18750</v>
      </c>
      <c r="C3977" s="0" t="s">
        <v>8319</v>
      </c>
      <c r="D3977" s="0" t="s">
        <v>5</v>
      </c>
      <c r="E3977" s="0" t="e">
        <f aca="false">IFERROR(__xludf.dummyfunction("xlookup(aj1918,importrange("1xainw9du9nz21v0tyi))</f>
        <v>#VALUE!</v>
      </c>
      <c r="F3977" s="0" t="s">
        <v>8320</v>
      </c>
      <c r="G3977" s="0" t="s">
        <v>18698</v>
      </c>
    </row>
    <row r="3978" customFormat="false" ht="15" hidden="false" customHeight="false" outlineLevel="0" collapsed="false">
      <c r="A3978" s="0" t="n">
        <v>1920</v>
      </c>
      <c r="B3978" s="0" t="n">
        <v>18759</v>
      </c>
      <c r="C3978" s="0" t="s">
        <v>8328</v>
      </c>
      <c r="D3978" s="0" t="s">
        <v>5</v>
      </c>
      <c r="E3978" s="0" t="e">
        <f aca="false">IFERROR(__xludf.dummyfunction("xlookup(aj1920,importrange("1xainw9du9nz21v0tyi))</f>
        <v>#VALUE!</v>
      </c>
      <c r="F3978" s="0" t="s">
        <v>8329</v>
      </c>
      <c r="G3978" s="0" t="s">
        <v>18698</v>
      </c>
    </row>
    <row r="3979" customFormat="false" ht="15" hidden="false" customHeight="false" outlineLevel="0" collapsed="false">
      <c r="A3979" s="0" t="n">
        <v>1922</v>
      </c>
      <c r="B3979" s="0" t="n">
        <v>18764</v>
      </c>
      <c r="C3979" s="0" t="s">
        <v>8334</v>
      </c>
      <c r="D3979" s="0" t="s">
        <v>5</v>
      </c>
      <c r="E3979" s="0" t="e">
        <f aca="false">IFERROR(__xludf.dummyfunction("xlookup(aj1922,importrange("1xainw9du9nz21v0tyi))</f>
        <v>#VALUE!</v>
      </c>
      <c r="F3979" s="0" t="s">
        <v>8335</v>
      </c>
      <c r="G3979" s="0" t="s">
        <v>18698</v>
      </c>
    </row>
    <row r="3980" customFormat="false" ht="15" hidden="false" customHeight="false" outlineLevel="0" collapsed="false">
      <c r="A3980" s="0" t="n">
        <v>1923</v>
      </c>
      <c r="B3980" s="0" t="n">
        <v>18766</v>
      </c>
      <c r="C3980" s="0" t="s">
        <v>8338</v>
      </c>
      <c r="D3980" s="0" t="s">
        <v>5</v>
      </c>
      <c r="E3980" s="0" t="e">
        <f aca="false">IFERROR(__xludf.dummyfunction("xlookup(aj1923,importrange("1xainw9du9nz21v0tyi))</f>
        <v>#VALUE!</v>
      </c>
      <c r="F3980" s="0" t="s">
        <v>8339</v>
      </c>
      <c r="G3980" s="0" t="s">
        <v>18698</v>
      </c>
    </row>
    <row r="3981" customFormat="false" ht="15" hidden="false" customHeight="false" outlineLevel="0" collapsed="false">
      <c r="A3981" s="0" t="n">
        <v>1925</v>
      </c>
      <c r="B3981" s="0" t="n">
        <v>18769</v>
      </c>
      <c r="C3981" s="0" t="s">
        <v>8344</v>
      </c>
      <c r="D3981" s="0" t="s">
        <v>5</v>
      </c>
      <c r="E3981" s="0" t="e">
        <f aca="false">IFERROR(__xludf.dummyfunction("xlookup(aj1925,importrange("1xainw9du9nz21v0tyi))</f>
        <v>#VALUE!</v>
      </c>
      <c r="F3981" s="0" t="s">
        <v>8345</v>
      </c>
      <c r="G3981" s="0" t="s">
        <v>18698</v>
      </c>
    </row>
    <row r="3982" customFormat="false" ht="15" hidden="false" customHeight="false" outlineLevel="0" collapsed="false">
      <c r="A3982" s="0" t="n">
        <v>1927</v>
      </c>
      <c r="B3982" s="0" t="n">
        <v>18791</v>
      </c>
      <c r="C3982" s="0" t="s">
        <v>8353</v>
      </c>
      <c r="D3982" s="0" t="s">
        <v>5</v>
      </c>
      <c r="E3982" s="0" t="e">
        <f aca="false">IFERROR(__xludf.dummyfunction("xlookup(aj1927,importrange("1xainw9du9nz21v0tyi))</f>
        <v>#VALUE!</v>
      </c>
      <c r="F3982" s="0" t="s">
        <v>8355</v>
      </c>
      <c r="G3982" s="0" t="s">
        <v>18698</v>
      </c>
    </row>
    <row r="3983" customFormat="false" ht="15" hidden="false" customHeight="false" outlineLevel="0" collapsed="false">
      <c r="A3983" s="0" t="n">
        <v>1930</v>
      </c>
      <c r="B3983" s="0" t="n">
        <v>18799</v>
      </c>
      <c r="C3983" s="0" t="s">
        <v>8366</v>
      </c>
      <c r="D3983" s="0" t="s">
        <v>5</v>
      </c>
      <c r="E3983" s="0" t="e">
        <f aca="false">IFERROR(__xludf.dummyfunction("xlookup(aj1930,importrange("1xainw9du9nz21v0tyi))</f>
        <v>#VALUE!</v>
      </c>
      <c r="F3983" s="0" t="s">
        <v>8367</v>
      </c>
      <c r="G3983" s="0" t="s">
        <v>18698</v>
      </c>
    </row>
    <row r="3984" customFormat="false" ht="15" hidden="false" customHeight="false" outlineLevel="0" collapsed="false">
      <c r="A3984" s="0" t="n">
        <v>1934</v>
      </c>
      <c r="B3984" s="0" t="n">
        <v>18808</v>
      </c>
      <c r="C3984" s="0" t="s">
        <v>7482</v>
      </c>
      <c r="D3984" s="0" t="s">
        <v>5</v>
      </c>
      <c r="E3984" s="0" t="e">
        <f aca="false">IFERROR(__xludf.dummyfunction("xlookup(aj1934,importrange("1xainw9du9nz21v0tyi))</f>
        <v>#VALUE!</v>
      </c>
      <c r="F3984" s="0" t="s">
        <v>8380</v>
      </c>
      <c r="G3984" s="0" t="s">
        <v>18698</v>
      </c>
    </row>
    <row r="3985" customFormat="false" ht="15" hidden="false" customHeight="false" outlineLevel="0" collapsed="false">
      <c r="A3985" s="0" t="n">
        <v>1940</v>
      </c>
      <c r="B3985" s="0" t="n">
        <v>18838</v>
      </c>
      <c r="C3985" s="0" t="s">
        <v>8401</v>
      </c>
      <c r="D3985" s="0" t="s">
        <v>5</v>
      </c>
      <c r="E3985" s="0" t="e">
        <f aca="false">IFERROR(__xludf.dummyfunction("xlookup(aj1940,importrange("1xainw9du9nz21v0tyi))</f>
        <v>#VALUE!</v>
      </c>
      <c r="F3985" s="0" t="s">
        <v>8402</v>
      </c>
      <c r="G3985" s="0" t="s">
        <v>18698</v>
      </c>
    </row>
    <row r="3986" customFormat="false" ht="15" hidden="false" customHeight="false" outlineLevel="0" collapsed="false">
      <c r="A3986" s="0" t="n">
        <v>1942</v>
      </c>
      <c r="B3986" s="0" t="n">
        <v>18845</v>
      </c>
      <c r="C3986" s="0" t="s">
        <v>8410</v>
      </c>
      <c r="D3986" s="0" t="s">
        <v>5</v>
      </c>
      <c r="E3986" s="0" t="e">
        <f aca="false">IFERROR(__xludf.dummyfunction("xlookup(aj1942,importrange("1xainw9du9nz21v0tyi))</f>
        <v>#VALUE!</v>
      </c>
      <c r="F3986" s="0" t="s">
        <v>8411</v>
      </c>
      <c r="G3986" s="0" t="s">
        <v>18698</v>
      </c>
    </row>
    <row r="3987" customFormat="false" ht="15" hidden="false" customHeight="false" outlineLevel="0" collapsed="false">
      <c r="A3987" s="0" t="n">
        <v>1944</v>
      </c>
      <c r="B3987" s="0" t="n">
        <v>18847</v>
      </c>
      <c r="C3987" s="0" t="s">
        <v>8418</v>
      </c>
      <c r="D3987" s="0" t="s">
        <v>5</v>
      </c>
      <c r="E3987" s="0" t="e">
        <f aca="false">IFERROR(__xludf.dummyfunction("xlookup(aj1944,importrange("1xainw9du9nz21v0tyi))</f>
        <v>#VALUE!</v>
      </c>
      <c r="F3987" s="0" t="s">
        <v>8419</v>
      </c>
      <c r="G3987" s="0" t="s">
        <v>18698</v>
      </c>
    </row>
    <row r="3988" customFormat="false" ht="15" hidden="false" customHeight="false" outlineLevel="0" collapsed="false">
      <c r="A3988" s="0" t="n">
        <v>1950</v>
      </c>
      <c r="B3988" s="0" t="n">
        <v>18853</v>
      </c>
      <c r="C3988" s="0" t="s">
        <v>8437</v>
      </c>
      <c r="D3988" s="0" t="s">
        <v>5</v>
      </c>
      <c r="E3988" s="0" t="e">
        <f aca="false">IFERROR(__xludf.dummyfunction("xlookup(aj1950,importrange("1xainw9du9nz21v0tyi))</f>
        <v>#VALUE!</v>
      </c>
      <c r="F3988" s="0" t="s">
        <v>8438</v>
      </c>
      <c r="G3988" s="0" t="s">
        <v>18698</v>
      </c>
    </row>
    <row r="3989" customFormat="false" ht="15" hidden="false" customHeight="false" outlineLevel="0" collapsed="false">
      <c r="A3989" s="0" t="n">
        <v>1952</v>
      </c>
      <c r="B3989" s="0" t="n">
        <v>18862</v>
      </c>
      <c r="C3989" s="0" t="s">
        <v>8447</v>
      </c>
      <c r="D3989" s="0" t="s">
        <v>5</v>
      </c>
      <c r="E3989" s="0" t="e">
        <f aca="false">IFERROR(__xludf.dummyfunction("xlookup(aj1952,importrange("1xainw9du9nz21v0tyi))</f>
        <v>#VALUE!</v>
      </c>
      <c r="F3989" s="0" t="s">
        <v>8448</v>
      </c>
      <c r="G3989" s="0" t="s">
        <v>18698</v>
      </c>
    </row>
    <row r="3990" customFormat="false" ht="15" hidden="false" customHeight="false" outlineLevel="0" collapsed="false">
      <c r="A3990" s="0" t="n">
        <v>1954</v>
      </c>
      <c r="B3990" s="0" t="n">
        <v>18867</v>
      </c>
      <c r="C3990" s="0" t="s">
        <v>8455</v>
      </c>
      <c r="D3990" s="0" t="s">
        <v>5</v>
      </c>
      <c r="E3990" s="0" t="e">
        <f aca="false">IFERROR(__xludf.dummyfunction("xlookup(aj1954,importrange("1xainw9du9nz21v0tyi))</f>
        <v>#VALUE!</v>
      </c>
      <c r="F3990" s="0" t="s">
        <v>8456</v>
      </c>
      <c r="G3990" s="0" t="s">
        <v>18698</v>
      </c>
    </row>
    <row r="3991" customFormat="false" ht="15" hidden="false" customHeight="false" outlineLevel="0" collapsed="false">
      <c r="A3991" s="0" t="n">
        <v>1959</v>
      </c>
      <c r="B3991" s="0" t="n">
        <v>18891</v>
      </c>
      <c r="C3991" s="0" t="s">
        <v>8471</v>
      </c>
      <c r="D3991" s="0" t="s">
        <v>5</v>
      </c>
      <c r="E3991" s="0" t="e">
        <f aca="false">IFERROR(__xludf.dummyfunction("xlookup(aj1959,importrange("1xainw9du9nz21v0tyi))</f>
        <v>#VALUE!</v>
      </c>
      <c r="F3991" s="0" t="s">
        <v>8472</v>
      </c>
      <c r="G3991" s="0" t="s">
        <v>18698</v>
      </c>
    </row>
    <row r="3992" customFormat="false" ht="15" hidden="false" customHeight="false" outlineLevel="0" collapsed="false">
      <c r="A3992" s="0" t="n">
        <v>1968</v>
      </c>
      <c r="B3992" s="0" t="n">
        <v>18934</v>
      </c>
      <c r="C3992" s="0" t="s">
        <v>8510</v>
      </c>
      <c r="D3992" s="0" t="s">
        <v>5</v>
      </c>
      <c r="E3992" s="0" t="e">
        <f aca="false">IFERROR(__xludf.dummyfunction("xlookup(aj1968,importrange("1xainw9du9nz21v0tyi))</f>
        <v>#VALUE!</v>
      </c>
      <c r="F3992" s="0" t="s">
        <v>8511</v>
      </c>
      <c r="G3992" s="0" t="s">
        <v>18698</v>
      </c>
    </row>
    <row r="3993" customFormat="false" ht="15" hidden="false" customHeight="false" outlineLevel="0" collapsed="false">
      <c r="A3993" s="0" t="n">
        <v>1969</v>
      </c>
      <c r="B3993" s="0" t="n">
        <v>18937</v>
      </c>
      <c r="C3993" s="0" t="s">
        <v>8514</v>
      </c>
      <c r="D3993" s="0" t="s">
        <v>5</v>
      </c>
      <c r="E3993" s="0" t="e">
        <f aca="false">IFERROR(__xludf.dummyfunction("xlookup(aj1969,importrange("1xainw9du9nz21v0tyi))</f>
        <v>#VALUE!</v>
      </c>
      <c r="F3993" s="0" t="s">
        <v>8515</v>
      </c>
      <c r="G3993" s="0" t="s">
        <v>18698</v>
      </c>
    </row>
    <row r="3994" customFormat="false" ht="15" hidden="false" customHeight="false" outlineLevel="0" collapsed="false">
      <c r="A3994" s="0" t="n">
        <v>1975</v>
      </c>
      <c r="B3994" s="0" t="n">
        <v>18957</v>
      </c>
      <c r="C3994" s="0" t="s">
        <v>8533</v>
      </c>
      <c r="D3994" s="0" t="s">
        <v>5</v>
      </c>
      <c r="E3994" s="0" t="e">
        <f aca="false">IFERROR(__xludf.dummyfunction("xlookup(aj1975,importrange("1xainw9du9nz21v0tyi))</f>
        <v>#VALUE!</v>
      </c>
      <c r="F3994" s="0" t="s">
        <v>8534</v>
      </c>
      <c r="G3994" s="0" t="s">
        <v>18698</v>
      </c>
    </row>
    <row r="3995" customFormat="false" ht="15" hidden="false" customHeight="false" outlineLevel="0" collapsed="false">
      <c r="A3995" s="0" t="n">
        <v>1976</v>
      </c>
      <c r="B3995" s="0" t="n">
        <v>18965</v>
      </c>
      <c r="C3995" s="0" t="s">
        <v>8538</v>
      </c>
      <c r="D3995" s="0" t="s">
        <v>5</v>
      </c>
      <c r="E3995" s="0" t="e">
        <f aca="false">IFERROR(__xludf.dummyfunction("xlookup(aj1976,importrange("1xainw9du9nz21v0tyi))</f>
        <v>#VALUE!</v>
      </c>
      <c r="F3995" s="0" t="s">
        <v>8539</v>
      </c>
      <c r="G3995" s="0" t="s">
        <v>18698</v>
      </c>
    </row>
    <row r="3996" customFormat="false" ht="15" hidden="false" customHeight="false" outlineLevel="0" collapsed="false">
      <c r="A3996" s="0" t="n">
        <v>1978</v>
      </c>
      <c r="B3996" s="0" t="n">
        <v>18968</v>
      </c>
      <c r="C3996" s="0" t="s">
        <v>8546</v>
      </c>
      <c r="D3996" s="0" t="s">
        <v>5</v>
      </c>
      <c r="E3996" s="0" t="e">
        <f aca="false">IFERROR(__xludf.dummyfunction("xlookup(aj1978,importrange("1xainw9du9nz21v0tyi))</f>
        <v>#VALUE!</v>
      </c>
      <c r="F3996" s="0" t="s">
        <v>8547</v>
      </c>
      <c r="G3996" s="0" t="s">
        <v>18698</v>
      </c>
    </row>
    <row r="3997" customFormat="false" ht="15" hidden="false" customHeight="false" outlineLevel="0" collapsed="false">
      <c r="A3997" s="0" t="n">
        <v>1979</v>
      </c>
      <c r="B3997" s="0" t="n">
        <v>18970</v>
      </c>
      <c r="C3997" s="0" t="s">
        <v>8550</v>
      </c>
      <c r="D3997" s="0" t="s">
        <v>5</v>
      </c>
      <c r="E3997" s="0" t="e">
        <f aca="false">IFERROR(__xludf.dummyfunction("xlookup(aj1979,importrange("1xainw9du9nz21v0tyi))</f>
        <v>#VALUE!</v>
      </c>
      <c r="F3997" s="0" t="s">
        <v>8551</v>
      </c>
      <c r="G3997" s="0" t="s">
        <v>18698</v>
      </c>
    </row>
    <row r="3998" customFormat="false" ht="15" hidden="false" customHeight="false" outlineLevel="0" collapsed="false">
      <c r="A3998" s="0" t="n">
        <v>1989</v>
      </c>
      <c r="B3998" s="0" t="n">
        <v>19017</v>
      </c>
      <c r="C3998" s="0" t="s">
        <v>8581</v>
      </c>
      <c r="D3998" s="0" t="s">
        <v>5</v>
      </c>
      <c r="E3998" s="0" t="e">
        <f aca="false">IFERROR(__xludf.dummyfunction("xlookup(aj1989,importrange("1xainw9du9nz21v0tyi))</f>
        <v>#VALUE!</v>
      </c>
      <c r="F3998" s="0" t="s">
        <v>8582</v>
      </c>
      <c r="G3998" s="0" t="s">
        <v>18698</v>
      </c>
    </row>
    <row r="3999" customFormat="false" ht="15" hidden="false" customHeight="false" outlineLevel="0" collapsed="false">
      <c r="A3999" s="0" t="n">
        <v>1991</v>
      </c>
      <c r="B3999" s="0" t="n">
        <v>19020</v>
      </c>
      <c r="C3999" s="0" t="s">
        <v>8588</v>
      </c>
      <c r="D3999" s="0" t="s">
        <v>5</v>
      </c>
      <c r="E3999" s="0" t="e">
        <f aca="false">IFERROR(__xludf.dummyfunction("xlookup(aj1991,importrange("1xainw9du9nz21v0tyi))</f>
        <v>#VALUE!</v>
      </c>
      <c r="F3999" s="0" t="s">
        <v>8589</v>
      </c>
      <c r="G3999" s="0" t="s">
        <v>18698</v>
      </c>
    </row>
    <row r="4000" customFormat="false" ht="15" hidden="false" customHeight="false" outlineLevel="0" collapsed="false">
      <c r="A4000" s="0" t="n">
        <v>1993</v>
      </c>
      <c r="B4000" s="0" t="n">
        <v>19032</v>
      </c>
      <c r="C4000" s="0" t="s">
        <v>8596</v>
      </c>
      <c r="D4000" s="0" t="s">
        <v>5</v>
      </c>
      <c r="E4000" s="0" t="e">
        <f aca="false">IFERROR(__xludf.dummyfunction("xlookup(aj1993,importrange("1xainw9du9nz21v0tyi))</f>
        <v>#VALUE!</v>
      </c>
      <c r="F4000" s="0" t="s">
        <v>8598</v>
      </c>
      <c r="G4000" s="0" t="s">
        <v>18698</v>
      </c>
    </row>
    <row r="4001" customFormat="false" ht="15" hidden="false" customHeight="false" outlineLevel="0" collapsed="false">
      <c r="A4001" s="0" t="n">
        <v>1994</v>
      </c>
      <c r="B4001" s="0" t="n">
        <v>19033</v>
      </c>
      <c r="C4001" s="0" t="s">
        <v>8602</v>
      </c>
      <c r="D4001" s="0" t="s">
        <v>5</v>
      </c>
      <c r="E4001" s="0" t="e">
        <f aca="false">IFERROR(__xludf.dummyfunction("xlookup(aj1994,importrange("1xainw9du9nz21v0tyi))</f>
        <v>#VALUE!</v>
      </c>
      <c r="F4001" s="0" t="s">
        <v>8603</v>
      </c>
      <c r="G4001" s="0" t="s">
        <v>18698</v>
      </c>
    </row>
    <row r="4002" customFormat="false" ht="15" hidden="false" customHeight="false" outlineLevel="0" collapsed="false">
      <c r="A4002" s="0" t="n">
        <v>1995</v>
      </c>
      <c r="B4002" s="0" t="n">
        <v>19036</v>
      </c>
      <c r="C4002" s="0" t="s">
        <v>8607</v>
      </c>
      <c r="D4002" s="0" t="s">
        <v>5</v>
      </c>
      <c r="E4002" s="0" t="e">
        <f aca="false">IFERROR(__xludf.dummyfunction("xlookup(aj1995,importrange("1xainw9du9nz21v0tyi))</f>
        <v>#VALUE!</v>
      </c>
      <c r="F4002" s="0" t="s">
        <v>8608</v>
      </c>
      <c r="G4002" s="0" t="s">
        <v>18698</v>
      </c>
    </row>
    <row r="4003" customFormat="false" ht="15" hidden="false" customHeight="false" outlineLevel="0" collapsed="false">
      <c r="A4003" s="0" t="n">
        <v>1996</v>
      </c>
      <c r="B4003" s="0" t="n">
        <v>19038</v>
      </c>
      <c r="C4003" s="0" t="s">
        <v>8613</v>
      </c>
      <c r="D4003" s="0" t="s">
        <v>5</v>
      </c>
      <c r="E4003" s="0" t="e">
        <f aca="false">IFERROR(__xludf.dummyfunction("xlookup(aj1996,importrange("1xainw9du9nz21v0tyi))</f>
        <v>#VALUE!</v>
      </c>
      <c r="F4003" s="0" t="s">
        <v>8614</v>
      </c>
      <c r="G4003" s="0" t="s">
        <v>18698</v>
      </c>
    </row>
    <row r="4004" customFormat="false" ht="15" hidden="false" customHeight="false" outlineLevel="0" collapsed="false">
      <c r="A4004" s="0" t="n">
        <v>1998</v>
      </c>
      <c r="B4004" s="0" t="n">
        <v>19042</v>
      </c>
      <c r="C4004" s="0" t="s">
        <v>8622</v>
      </c>
      <c r="D4004" s="0" t="s">
        <v>5</v>
      </c>
      <c r="E4004" s="0" t="e">
        <f aca="false">IFERROR(__xludf.dummyfunction("xlookup(aj1998,importrange("1xainw9du9nz21v0tyi))</f>
        <v>#VALUE!</v>
      </c>
      <c r="F4004" s="0" t="s">
        <v>8623</v>
      </c>
      <c r="G4004" s="0" t="s">
        <v>18698</v>
      </c>
    </row>
    <row r="4005" customFormat="false" ht="15" hidden="false" customHeight="false" outlineLevel="0" collapsed="false">
      <c r="A4005" s="0" t="n">
        <v>2001</v>
      </c>
      <c r="B4005" s="0" t="n">
        <v>19048</v>
      </c>
      <c r="C4005" s="0" t="s">
        <v>8635</v>
      </c>
      <c r="D4005" s="0" t="s">
        <v>5</v>
      </c>
      <c r="E4005" s="0" t="e">
        <f aca="false">IFERROR(__xludf.dummyfunction("xlookup(aj2001,importrange("1xainw9du9nz21v0tyi))</f>
        <v>#VALUE!</v>
      </c>
      <c r="F4005" s="0" t="s">
        <v>8636</v>
      </c>
      <c r="G4005" s="0" t="s">
        <v>18698</v>
      </c>
    </row>
    <row r="4006" customFormat="false" ht="15" hidden="false" customHeight="false" outlineLevel="0" collapsed="false">
      <c r="A4006" s="0" t="n">
        <v>2004</v>
      </c>
      <c r="B4006" s="0" t="n">
        <v>19052</v>
      </c>
      <c r="C4006" s="0" t="s">
        <v>8648</v>
      </c>
      <c r="D4006" s="0" t="s">
        <v>5</v>
      </c>
      <c r="E4006" s="0" t="e">
        <f aca="false">IFERROR(__xludf.dummyfunction("xlookup(aj2004,importrange("1xainw9du9nz21v0tyi))</f>
        <v>#VALUE!</v>
      </c>
      <c r="F4006" s="0" t="s">
        <v>8649</v>
      </c>
      <c r="G4006" s="0" t="s">
        <v>18698</v>
      </c>
    </row>
    <row r="4007" customFormat="false" ht="15" hidden="false" customHeight="false" outlineLevel="0" collapsed="false">
      <c r="A4007" s="0" t="n">
        <v>2005</v>
      </c>
      <c r="B4007" s="0" t="n">
        <v>19054</v>
      </c>
      <c r="C4007" s="0" t="s">
        <v>8653</v>
      </c>
      <c r="D4007" s="0" t="s">
        <v>5</v>
      </c>
      <c r="E4007" s="0" t="e">
        <f aca="false">IFERROR(__xludf.dummyfunction("xlookup(aj2005,importrange("1xainw9du9nz21v0tyi))</f>
        <v>#VALUE!</v>
      </c>
      <c r="F4007" s="0" t="s">
        <v>8654</v>
      </c>
      <c r="G4007" s="0" t="s">
        <v>18698</v>
      </c>
    </row>
    <row r="4008" customFormat="false" ht="15" hidden="false" customHeight="false" outlineLevel="0" collapsed="false">
      <c r="A4008" s="0" t="n">
        <v>2011</v>
      </c>
      <c r="B4008" s="0" t="n">
        <v>19061</v>
      </c>
      <c r="C4008" s="0" t="s">
        <v>8680</v>
      </c>
      <c r="D4008" s="0" t="s">
        <v>5</v>
      </c>
      <c r="E4008" s="0" t="e">
        <f aca="false">IFERROR(__xludf.dummyfunction("xlookup(aj2011,importrange("1xainw9du9nz21v0tyi))</f>
        <v>#VALUE!</v>
      </c>
      <c r="F4008" s="0" t="s">
        <v>8681</v>
      </c>
      <c r="G4008" s="0" t="s">
        <v>18698</v>
      </c>
    </row>
    <row r="4009" customFormat="false" ht="15" hidden="false" customHeight="false" outlineLevel="0" collapsed="false">
      <c r="A4009" s="0" t="n">
        <v>2015</v>
      </c>
      <c r="B4009" s="0" t="n">
        <v>19067</v>
      </c>
      <c r="C4009" s="0" t="s">
        <v>8695</v>
      </c>
      <c r="D4009" s="0" t="s">
        <v>5</v>
      </c>
      <c r="E4009" s="0" t="e">
        <f aca="false">IFERROR(__xludf.dummyfunction("xlookup(aj2015,importrange("1xainw9du9nz21v0tyi))</f>
        <v>#VALUE!</v>
      </c>
      <c r="F4009" s="0" t="s">
        <v>8696</v>
      </c>
      <c r="G4009" s="0" t="s">
        <v>18698</v>
      </c>
    </row>
    <row r="4010" customFormat="false" ht="15" hidden="false" customHeight="false" outlineLevel="0" collapsed="false">
      <c r="A4010" s="0" t="n">
        <v>2016</v>
      </c>
      <c r="B4010" s="0" t="n">
        <v>19068</v>
      </c>
      <c r="C4010" s="0" t="s">
        <v>8700</v>
      </c>
      <c r="D4010" s="0" t="s">
        <v>5</v>
      </c>
      <c r="E4010" s="0" t="e">
        <f aca="false">IFERROR(__xludf.dummyfunction("xlookup(aj2016,importrange("1xainw9du9nz21v0tyi))</f>
        <v>#VALUE!</v>
      </c>
      <c r="F4010" s="0" t="s">
        <v>8701</v>
      </c>
      <c r="G4010" s="0" t="s">
        <v>18698</v>
      </c>
    </row>
    <row r="4011" customFormat="false" ht="15" hidden="false" customHeight="false" outlineLevel="0" collapsed="false">
      <c r="A4011" s="0" t="n">
        <v>2023</v>
      </c>
      <c r="B4011" s="0" t="n">
        <v>19077</v>
      </c>
      <c r="C4011" s="0" t="s">
        <v>8729</v>
      </c>
      <c r="D4011" s="0" t="s">
        <v>5</v>
      </c>
      <c r="E4011" s="0" t="e">
        <f aca="false">IFERROR(__xludf.dummyfunction("xlookup(aj2023,importrange("1xainw9du9nz21v0tyi))</f>
        <v>#VALUE!</v>
      </c>
      <c r="F4011" s="0" t="s">
        <v>8730</v>
      </c>
      <c r="G4011" s="0" t="s">
        <v>18698</v>
      </c>
    </row>
    <row r="4012" customFormat="false" ht="15" hidden="false" customHeight="false" outlineLevel="0" collapsed="false">
      <c r="A4012" s="0" t="n">
        <v>2025</v>
      </c>
      <c r="B4012" s="0" t="n">
        <v>19080</v>
      </c>
      <c r="C4012" s="0" t="s">
        <v>8738</v>
      </c>
      <c r="D4012" s="0" t="s">
        <v>5</v>
      </c>
      <c r="E4012" s="0" t="e">
        <f aca="false">IFERROR(__xludf.dummyfunction("xlookup(aj2025,importrange("1xainw9du9nz21v0tyi))</f>
        <v>#VALUE!</v>
      </c>
      <c r="F4012" s="0" t="s">
        <v>8739</v>
      </c>
      <c r="G4012" s="0" t="s">
        <v>18698</v>
      </c>
    </row>
    <row r="4013" customFormat="false" ht="15" hidden="false" customHeight="false" outlineLevel="0" collapsed="false">
      <c r="A4013" s="0" t="n">
        <v>2026</v>
      </c>
      <c r="B4013" s="0" t="n">
        <v>19085</v>
      </c>
      <c r="C4013" s="0" t="s">
        <v>8743</v>
      </c>
      <c r="D4013" s="0" t="s">
        <v>5</v>
      </c>
      <c r="E4013" s="0" t="e">
        <f aca="false">IFERROR(__xludf.dummyfunction("xlookup(aj2026,importrange("1xainw9du9nz21v0tyi))</f>
        <v>#VALUE!</v>
      </c>
      <c r="F4013" s="0" t="s">
        <v>8744</v>
      </c>
      <c r="G4013" s="0" t="s">
        <v>18698</v>
      </c>
    </row>
    <row r="4014" customFormat="false" ht="15" hidden="false" customHeight="false" outlineLevel="0" collapsed="false">
      <c r="A4014" s="0" t="n">
        <v>2038</v>
      </c>
      <c r="B4014" s="0" t="n">
        <v>19146</v>
      </c>
      <c r="C4014" s="0" t="s">
        <v>8792</v>
      </c>
      <c r="D4014" s="0" t="s">
        <v>5</v>
      </c>
      <c r="E4014" s="0" t="e">
        <f aca="false">IFERROR(__xludf.dummyfunction("xlookup(aj2038,importrange("1xainw9du9nz21v0tyi))</f>
        <v>#VALUE!</v>
      </c>
      <c r="F4014" s="0" t="s">
        <v>8793</v>
      </c>
      <c r="G4014" s="0" t="s">
        <v>18698</v>
      </c>
    </row>
    <row r="4015" customFormat="false" ht="15" hidden="false" customHeight="false" outlineLevel="0" collapsed="false">
      <c r="A4015" s="0" t="n">
        <v>2039</v>
      </c>
      <c r="B4015" s="0" t="n">
        <v>22687</v>
      </c>
      <c r="C4015" s="0" t="s">
        <v>8797</v>
      </c>
      <c r="D4015" s="0" t="s">
        <v>5</v>
      </c>
      <c r="E4015" s="0" t="e">
        <f aca="false">IFERROR(__xludf.dummyfunction("xlookup(aj2039,importrange("1xainw9du9nz21v0tyi))</f>
        <v>#VALUE!</v>
      </c>
      <c r="F4015" s="0" t="s">
        <v>8798</v>
      </c>
      <c r="G4015" s="0" t="s">
        <v>18698</v>
      </c>
    </row>
    <row r="4016" customFormat="false" ht="15" hidden="false" customHeight="false" outlineLevel="0" collapsed="false">
      <c r="A4016" s="0" t="n">
        <v>2044</v>
      </c>
      <c r="B4016" s="0" t="n">
        <v>19156</v>
      </c>
      <c r="C4016" s="0" t="s">
        <v>8818</v>
      </c>
      <c r="D4016" s="0" t="s">
        <v>5</v>
      </c>
      <c r="E4016" s="0" t="e">
        <f aca="false">IFERROR(__xludf.dummyfunction("xlookup(aj2044,importrange("1xainw9du9nz21v0tyi))</f>
        <v>#VALUE!</v>
      </c>
      <c r="F4016" s="0" t="s">
        <v>8819</v>
      </c>
      <c r="G4016" s="0" t="s">
        <v>18698</v>
      </c>
    </row>
    <row r="4017" customFormat="false" ht="15" hidden="false" customHeight="false" outlineLevel="0" collapsed="false">
      <c r="A4017" s="0" t="n">
        <v>2047</v>
      </c>
      <c r="B4017" s="0" t="n">
        <v>19159</v>
      </c>
      <c r="C4017" s="0" t="s">
        <v>8831</v>
      </c>
      <c r="D4017" s="0" t="s">
        <v>5</v>
      </c>
      <c r="E4017" s="0" t="e">
        <f aca="false">IFERROR(__xludf.dummyfunction("xlookup(aj2047,importrange("1xainw9du9nz21v0tyi))</f>
        <v>#VALUE!</v>
      </c>
      <c r="F4017" s="0" t="s">
        <v>8832</v>
      </c>
      <c r="G4017" s="0" t="s">
        <v>18698</v>
      </c>
    </row>
    <row r="4018" customFormat="false" ht="15" hidden="false" customHeight="false" outlineLevel="0" collapsed="false">
      <c r="A4018" s="0" t="n">
        <v>2049</v>
      </c>
      <c r="B4018" s="0" t="n">
        <v>19161</v>
      </c>
      <c r="C4018" s="0" t="s">
        <v>8839</v>
      </c>
      <c r="D4018" s="0" t="s">
        <v>5</v>
      </c>
      <c r="E4018" s="0" t="e">
        <f aca="false">IFERROR(__xludf.dummyfunction("xlookup(aj2049,importrange("1xainw9du9nz21v0tyi))</f>
        <v>#VALUE!</v>
      </c>
      <c r="F4018" s="0" t="s">
        <v>8840</v>
      </c>
      <c r="G4018" s="0" t="s">
        <v>18698</v>
      </c>
    </row>
    <row r="4019" customFormat="false" ht="15" hidden="false" customHeight="false" outlineLevel="0" collapsed="false">
      <c r="A4019" s="0" t="n">
        <v>2050</v>
      </c>
      <c r="B4019" s="0" t="n">
        <v>19166</v>
      </c>
      <c r="C4019" s="0" t="s">
        <v>8844</v>
      </c>
      <c r="D4019" s="0" t="s">
        <v>5</v>
      </c>
      <c r="E4019" s="0" t="e">
        <f aca="false">IFERROR(__xludf.dummyfunction("xlookup(aj2050,importrange("1xainw9du9nz21v0tyi))</f>
        <v>#VALUE!</v>
      </c>
      <c r="F4019" s="0" t="s">
        <v>8845</v>
      </c>
      <c r="G4019" s="0" t="s">
        <v>18698</v>
      </c>
    </row>
    <row r="4020" customFormat="false" ht="15" hidden="false" customHeight="false" outlineLevel="0" collapsed="false">
      <c r="A4020" s="0" t="n">
        <v>2051</v>
      </c>
      <c r="B4020" s="0" t="n">
        <v>19169</v>
      </c>
      <c r="C4020" s="0" t="s">
        <v>8848</v>
      </c>
      <c r="D4020" s="0" t="s">
        <v>5</v>
      </c>
      <c r="E4020" s="0" t="e">
        <f aca="false">IFERROR(__xludf.dummyfunction("xlookup(aj2051,importrange("1xainw9du9nz21v0tyi))</f>
        <v>#VALUE!</v>
      </c>
      <c r="F4020" s="0" t="s">
        <v>8849</v>
      </c>
      <c r="G4020" s="0" t="s">
        <v>18698</v>
      </c>
    </row>
    <row r="4021" customFormat="false" ht="15" hidden="false" customHeight="false" outlineLevel="0" collapsed="false">
      <c r="A4021" s="0" t="n">
        <v>2053</v>
      </c>
      <c r="B4021" s="0" t="n">
        <v>19171</v>
      </c>
      <c r="C4021" s="0" t="s">
        <v>8855</v>
      </c>
      <c r="D4021" s="0" t="s">
        <v>5</v>
      </c>
      <c r="E4021" s="0" t="e">
        <f aca="false">IFERROR(__xludf.dummyfunction("xlookup(aj2053,importrange("1xainw9du9nz21v0tyi))</f>
        <v>#VALUE!</v>
      </c>
      <c r="F4021" s="0" t="s">
        <v>8856</v>
      </c>
      <c r="G4021" s="0" t="s">
        <v>18698</v>
      </c>
    </row>
    <row r="4022" customFormat="false" ht="15" hidden="false" customHeight="false" outlineLevel="0" collapsed="false">
      <c r="A4022" s="0" t="n">
        <v>2054</v>
      </c>
      <c r="B4022" s="0" t="n">
        <v>19172</v>
      </c>
      <c r="C4022" s="0" t="s">
        <v>8859</v>
      </c>
      <c r="D4022" s="0" t="s">
        <v>5</v>
      </c>
      <c r="E4022" s="0" t="e">
        <f aca="false">IFERROR(__xludf.dummyfunction("xlookup(aj2054,importrange("1xainw9du9nz21v0tyi))</f>
        <v>#VALUE!</v>
      </c>
      <c r="F4022" s="0" t="s">
        <v>8860</v>
      </c>
      <c r="G4022" s="0" t="s">
        <v>18698</v>
      </c>
    </row>
    <row r="4023" customFormat="false" ht="15" hidden="false" customHeight="false" outlineLevel="0" collapsed="false">
      <c r="A4023" s="0" t="n">
        <v>2057</v>
      </c>
      <c r="B4023" s="0" t="n">
        <v>19176</v>
      </c>
      <c r="C4023" s="0" t="s">
        <v>8871</v>
      </c>
      <c r="D4023" s="0" t="s">
        <v>5</v>
      </c>
      <c r="E4023" s="0" t="e">
        <f aca="false">IFERROR(__xludf.dummyfunction("xlookup(aj2057,importrange("1xainw9du9nz21v0tyi))</f>
        <v>#VALUE!</v>
      </c>
      <c r="F4023" s="0" t="s">
        <v>8872</v>
      </c>
      <c r="G4023" s="0" t="s">
        <v>18698</v>
      </c>
    </row>
    <row r="4024" customFormat="false" ht="15" hidden="false" customHeight="false" outlineLevel="0" collapsed="false">
      <c r="A4024" s="0" t="n">
        <v>2060</v>
      </c>
      <c r="B4024" s="0" t="n">
        <v>19180</v>
      </c>
      <c r="C4024" s="0" t="s">
        <v>8883</v>
      </c>
      <c r="D4024" s="0" t="s">
        <v>5</v>
      </c>
      <c r="E4024" s="0" t="e">
        <f aca="false">IFERROR(__xludf.dummyfunction("xlookup(aj2060,importrange("1xainw9du9nz21v0tyi))</f>
        <v>#VALUE!</v>
      </c>
      <c r="F4024" s="0" t="s">
        <v>8884</v>
      </c>
      <c r="G4024" s="0" t="s">
        <v>18698</v>
      </c>
    </row>
    <row r="4025" customFormat="false" ht="15" hidden="false" customHeight="false" outlineLevel="0" collapsed="false">
      <c r="A4025" s="0" t="n">
        <v>2062</v>
      </c>
      <c r="B4025" s="0" t="n">
        <v>19183</v>
      </c>
      <c r="C4025" s="0" t="s">
        <v>8890</v>
      </c>
      <c r="D4025" s="0" t="s">
        <v>5</v>
      </c>
      <c r="E4025" s="0" t="e">
        <f aca="false">IFERROR(__xludf.dummyfunction("xlookup(aj2062,importrange("1xainw9du9nz21v0tyi))</f>
        <v>#VALUE!</v>
      </c>
      <c r="F4025" s="0" t="s">
        <v>8891</v>
      </c>
      <c r="G4025" s="0" t="s">
        <v>18698</v>
      </c>
    </row>
    <row r="4026" customFormat="false" ht="15" hidden="false" customHeight="false" outlineLevel="0" collapsed="false">
      <c r="A4026" s="0" t="n">
        <v>2067</v>
      </c>
      <c r="B4026" s="0" t="n">
        <v>19198</v>
      </c>
      <c r="C4026" s="0" t="s">
        <v>8911</v>
      </c>
      <c r="D4026" s="0" t="s">
        <v>5</v>
      </c>
      <c r="E4026" s="0" t="e">
        <f aca="false">IFERROR(__xludf.dummyfunction("xlookup(aj2067,importrange("1xainw9du9nz21v0tyi))</f>
        <v>#VALUE!</v>
      </c>
      <c r="F4026" s="0" t="s">
        <v>8912</v>
      </c>
      <c r="G4026" s="0" t="s">
        <v>18698</v>
      </c>
    </row>
    <row r="4027" customFormat="false" ht="15" hidden="false" customHeight="false" outlineLevel="0" collapsed="false">
      <c r="A4027" s="0" t="n">
        <v>2070</v>
      </c>
      <c r="B4027" s="0" t="n">
        <v>19211</v>
      </c>
      <c r="C4027" s="0" t="s">
        <v>8922</v>
      </c>
      <c r="D4027" s="0" t="s">
        <v>5</v>
      </c>
      <c r="E4027" s="0" t="e">
        <f aca="false">IFERROR(__xludf.dummyfunction("xlookup(aj2070,importrange("1xainw9du9nz21v0tyi))</f>
        <v>#VALUE!</v>
      </c>
      <c r="F4027" s="0" t="s">
        <v>8923</v>
      </c>
      <c r="G4027" s="0" t="s">
        <v>18698</v>
      </c>
    </row>
    <row r="4028" customFormat="false" ht="15" hidden="false" customHeight="false" outlineLevel="0" collapsed="false">
      <c r="A4028" s="0" t="n">
        <v>2071</v>
      </c>
      <c r="B4028" s="0" t="n">
        <v>19212</v>
      </c>
      <c r="C4028" s="0" t="s">
        <v>8927</v>
      </c>
      <c r="D4028" s="0" t="s">
        <v>5</v>
      </c>
      <c r="E4028" s="0" t="e">
        <f aca="false">IFERROR(__xludf.dummyfunction("xlookup(aj2071,importrange("1xainw9du9nz21v0tyi))</f>
        <v>#VALUE!</v>
      </c>
      <c r="F4028" s="0" t="s">
        <v>8928</v>
      </c>
      <c r="G4028" s="0" t="s">
        <v>18698</v>
      </c>
    </row>
    <row r="4029" customFormat="false" ht="15" hidden="false" customHeight="false" outlineLevel="0" collapsed="false">
      <c r="A4029" s="0" t="n">
        <v>2073</v>
      </c>
      <c r="B4029" s="0" t="n">
        <v>19214</v>
      </c>
      <c r="C4029" s="0" t="s">
        <v>8936</v>
      </c>
      <c r="D4029" s="0" t="s">
        <v>5</v>
      </c>
      <c r="E4029" s="0" t="e">
        <f aca="false">IFERROR(__xludf.dummyfunction("xlookup(aj2073,importrange("1xainw9du9nz21v0tyi))</f>
        <v>#VALUE!</v>
      </c>
      <c r="F4029" s="0" t="s">
        <v>8937</v>
      </c>
      <c r="G4029" s="0" t="s">
        <v>18698</v>
      </c>
    </row>
    <row r="4030" customFormat="false" ht="15" hidden="false" customHeight="false" outlineLevel="0" collapsed="false">
      <c r="A4030" s="0" t="n">
        <v>2082</v>
      </c>
      <c r="B4030" s="0" t="n">
        <v>19226</v>
      </c>
      <c r="C4030" s="0" t="s">
        <v>8973</v>
      </c>
      <c r="D4030" s="0" t="s">
        <v>5</v>
      </c>
      <c r="E4030" s="0" t="e">
        <f aca="false">IFERROR(__xludf.dummyfunction("xlookup(aj2082,importrange("1xainw9du9nz21v0tyi))</f>
        <v>#VALUE!</v>
      </c>
      <c r="F4030" s="0" t="s">
        <v>8974</v>
      </c>
      <c r="G4030" s="0" t="s">
        <v>18698</v>
      </c>
    </row>
    <row r="4031" customFormat="false" ht="15" hidden="false" customHeight="false" outlineLevel="0" collapsed="false">
      <c r="A4031" s="0" t="n">
        <v>2084</v>
      </c>
      <c r="B4031" s="0" t="n">
        <v>19228</v>
      </c>
      <c r="C4031" s="0" t="s">
        <v>8986</v>
      </c>
      <c r="D4031" s="0" t="s">
        <v>5</v>
      </c>
      <c r="E4031" s="0" t="e">
        <f aca="false">IFERROR(__xludf.dummyfunction("xlookup(aj2084,importrange("1xainw9du9nz21v0tyi))</f>
        <v>#VALUE!</v>
      </c>
      <c r="F4031" s="0" t="s">
        <v>8987</v>
      </c>
      <c r="G4031" s="0" t="s">
        <v>18698</v>
      </c>
    </row>
    <row r="4032" customFormat="false" ht="15" hidden="false" customHeight="false" outlineLevel="0" collapsed="false">
      <c r="A4032" s="0" t="n">
        <v>2085</v>
      </c>
      <c r="B4032" s="0" t="n">
        <v>19230</v>
      </c>
      <c r="C4032" s="0" t="s">
        <v>8991</v>
      </c>
      <c r="D4032" s="0" t="s">
        <v>5</v>
      </c>
      <c r="E4032" s="0" t="e">
        <f aca="false">IFERROR(__xludf.dummyfunction("xlookup(aj2085,importrange("1xainw9du9nz21v0tyi))</f>
        <v>#VALUE!</v>
      </c>
      <c r="F4032" s="0" t="s">
        <v>8992</v>
      </c>
      <c r="G4032" s="0" t="s">
        <v>18698</v>
      </c>
    </row>
    <row r="4033" customFormat="false" ht="15" hidden="false" customHeight="false" outlineLevel="0" collapsed="false">
      <c r="A4033" s="0" t="n">
        <v>2086</v>
      </c>
      <c r="B4033" s="0" t="n">
        <v>19231</v>
      </c>
      <c r="C4033" s="0" t="s">
        <v>8996</v>
      </c>
      <c r="D4033" s="0" t="s">
        <v>5</v>
      </c>
      <c r="E4033" s="0" t="e">
        <f aca="false">IFERROR(__xludf.dummyfunction("xlookup(aj2086,importrange("1xainw9du9nz21v0tyi))</f>
        <v>#VALUE!</v>
      </c>
      <c r="F4033" s="0" t="s">
        <v>8997</v>
      </c>
      <c r="G4033" s="0" t="s">
        <v>18698</v>
      </c>
    </row>
    <row r="4034" customFormat="false" ht="15" hidden="false" customHeight="false" outlineLevel="0" collapsed="false">
      <c r="A4034" s="0" t="n">
        <v>2087</v>
      </c>
      <c r="B4034" s="0" t="n">
        <v>19232</v>
      </c>
      <c r="C4034" s="0" t="s">
        <v>9001</v>
      </c>
      <c r="D4034" s="0" t="s">
        <v>5</v>
      </c>
      <c r="E4034" s="0" t="e">
        <f aca="false">IFERROR(__xludf.dummyfunction("xlookup(aj2087,importrange("1xainw9du9nz21v0tyi))</f>
        <v>#VALUE!</v>
      </c>
      <c r="F4034" s="0" t="s">
        <v>9002</v>
      </c>
      <c r="G4034" s="0" t="s">
        <v>18698</v>
      </c>
    </row>
    <row r="4035" customFormat="false" ht="15" hidden="false" customHeight="false" outlineLevel="0" collapsed="false">
      <c r="A4035" s="0" t="n">
        <v>2093</v>
      </c>
      <c r="B4035" s="0" t="n">
        <v>19253</v>
      </c>
      <c r="C4035" s="0" t="s">
        <v>9023</v>
      </c>
      <c r="D4035" s="0" t="s">
        <v>5</v>
      </c>
      <c r="E4035" s="0" t="e">
        <f aca="false">IFERROR(__xludf.dummyfunction("xlookup(aj2093,importrange("1xainw9du9nz21v0tyi))</f>
        <v>#VALUE!</v>
      </c>
      <c r="F4035" s="0" t="s">
        <v>9024</v>
      </c>
      <c r="G4035" s="0" t="s">
        <v>18698</v>
      </c>
    </row>
    <row r="4036" customFormat="false" ht="15" hidden="false" customHeight="false" outlineLevel="0" collapsed="false">
      <c r="A4036" s="0" t="n">
        <v>2099</v>
      </c>
      <c r="B4036" s="0" t="n">
        <v>19270</v>
      </c>
      <c r="C4036" s="0" t="s">
        <v>9048</v>
      </c>
      <c r="D4036" s="0" t="s">
        <v>5</v>
      </c>
      <c r="E4036" s="0" t="e">
        <f aca="false">IFERROR(__xludf.dummyfunction("xlookup(aj2099,importrange("1xainw9du9nz21v0tyi))</f>
        <v>#VALUE!</v>
      </c>
      <c r="F4036" s="0" t="s">
        <v>9049</v>
      </c>
      <c r="G4036" s="0" t="s">
        <v>18698</v>
      </c>
    </row>
    <row r="4037" customFormat="false" ht="15" hidden="false" customHeight="false" outlineLevel="0" collapsed="false">
      <c r="A4037" s="0" t="n">
        <v>2100</v>
      </c>
      <c r="B4037" s="0" t="n">
        <v>19272</v>
      </c>
      <c r="C4037" s="0" t="s">
        <v>9052</v>
      </c>
      <c r="D4037" s="0" t="s">
        <v>5</v>
      </c>
      <c r="E4037" s="0" t="e">
        <f aca="false">IFERROR(__xludf.dummyfunction("xlookup(aj2100,importrange("1xainw9du9nz21v0tyi))</f>
        <v>#VALUE!</v>
      </c>
      <c r="F4037" s="0" t="s">
        <v>9053</v>
      </c>
      <c r="G4037" s="0" t="s">
        <v>18698</v>
      </c>
    </row>
    <row r="4038" customFormat="false" ht="15" hidden="false" customHeight="false" outlineLevel="0" collapsed="false">
      <c r="A4038" s="0" t="n">
        <v>2104</v>
      </c>
      <c r="B4038" s="0" t="n">
        <v>19291</v>
      </c>
      <c r="C4038" s="0" t="s">
        <v>9071</v>
      </c>
      <c r="D4038" s="0" t="s">
        <v>5</v>
      </c>
      <c r="E4038" s="0" t="e">
        <f aca="false">IFERROR(__xludf.dummyfunction("xlookup(aj2104,importrange("1xainw9du9nz21v0tyi))</f>
        <v>#VALUE!</v>
      </c>
      <c r="F4038" s="0" t="s">
        <v>9072</v>
      </c>
      <c r="G4038" s="0" t="s">
        <v>18698</v>
      </c>
    </row>
    <row r="4039" customFormat="false" ht="15" hidden="false" customHeight="false" outlineLevel="0" collapsed="false">
      <c r="A4039" s="0" t="n">
        <v>2105</v>
      </c>
      <c r="B4039" s="0" t="n">
        <v>19292</v>
      </c>
      <c r="C4039" s="0" t="s">
        <v>9076</v>
      </c>
      <c r="D4039" s="0" t="s">
        <v>5</v>
      </c>
      <c r="E4039" s="0" t="e">
        <f aca="false">IFERROR(__xludf.dummyfunction("xlookup(aj2105,importrange("1xainw9du9nz21v0tyi))</f>
        <v>#VALUE!</v>
      </c>
      <c r="F4039" s="0" t="s">
        <v>9077</v>
      </c>
      <c r="G4039" s="0" t="s">
        <v>18698</v>
      </c>
    </row>
    <row r="4040" customFormat="false" ht="15" hidden="false" customHeight="false" outlineLevel="0" collapsed="false">
      <c r="A4040" s="0" t="n">
        <v>2114</v>
      </c>
      <c r="B4040" s="0" t="n">
        <v>19306</v>
      </c>
      <c r="C4040" s="0" t="s">
        <v>9105</v>
      </c>
      <c r="D4040" s="0" t="s">
        <v>5</v>
      </c>
      <c r="E4040" s="0" t="e">
        <f aca="false">IFERROR(__xludf.dummyfunction("xlookup(aj2114,importrange("1xainw9du9nz21v0tyi))</f>
        <v>#VALUE!</v>
      </c>
      <c r="F4040" s="0" t="s">
        <v>9106</v>
      </c>
      <c r="G4040" s="0" t="s">
        <v>18698</v>
      </c>
    </row>
    <row r="4041" customFormat="false" ht="15" hidden="false" customHeight="false" outlineLevel="0" collapsed="false">
      <c r="A4041" s="0" t="n">
        <v>2120</v>
      </c>
      <c r="B4041" s="0" t="n">
        <v>19314</v>
      </c>
      <c r="C4041" s="0" t="s">
        <v>9123</v>
      </c>
      <c r="D4041" s="0" t="s">
        <v>5</v>
      </c>
      <c r="E4041" s="0" t="e">
        <f aca="false">IFERROR(__xludf.dummyfunction("xlookup(aj2120,importrange("1xainw9du9nz21v0tyi))</f>
        <v>#VALUE!</v>
      </c>
      <c r="F4041" s="0" t="s">
        <v>9124</v>
      </c>
      <c r="G4041" s="0" t="s">
        <v>18698</v>
      </c>
    </row>
    <row r="4042" customFormat="false" ht="15" hidden="false" customHeight="false" outlineLevel="0" collapsed="false">
      <c r="A4042" s="0" t="n">
        <v>2122</v>
      </c>
      <c r="B4042" s="0" t="n">
        <v>19322</v>
      </c>
      <c r="C4042" s="0" t="s">
        <v>9131</v>
      </c>
      <c r="D4042" s="0" t="s">
        <v>5</v>
      </c>
      <c r="E4042" s="0" t="e">
        <f aca="false">IFERROR(__xludf.dummyfunction("xlookup(aj2122,importrange("1xainw9du9nz21v0tyi))</f>
        <v>#VALUE!</v>
      </c>
      <c r="F4042" s="0" t="s">
        <v>9132</v>
      </c>
      <c r="G4042" s="0" t="s">
        <v>18698</v>
      </c>
    </row>
    <row r="4043" customFormat="false" ht="15" hidden="false" customHeight="false" outlineLevel="0" collapsed="false">
      <c r="A4043" s="0" t="n">
        <v>2129</v>
      </c>
      <c r="B4043" s="0" t="n">
        <v>19383</v>
      </c>
      <c r="C4043" s="0" t="s">
        <v>9156</v>
      </c>
      <c r="D4043" s="0" t="s">
        <v>5</v>
      </c>
      <c r="E4043" s="0" t="e">
        <f aca="false">IFERROR(__xludf.dummyfunction("xlookup(aj2129,importrange("1xainw9du9nz21v0tyi))</f>
        <v>#VALUE!</v>
      </c>
      <c r="F4043" s="0" t="s">
        <v>9157</v>
      </c>
      <c r="G4043" s="0" t="s">
        <v>18698</v>
      </c>
    </row>
    <row r="4044" customFormat="false" ht="15" hidden="false" customHeight="false" outlineLevel="0" collapsed="false">
      <c r="A4044" s="0" t="n">
        <v>2132</v>
      </c>
      <c r="B4044" s="0" t="n">
        <v>19396</v>
      </c>
      <c r="C4044" s="0" t="s">
        <v>9168</v>
      </c>
      <c r="D4044" s="0" t="s">
        <v>5</v>
      </c>
      <c r="E4044" s="0" t="e">
        <f aca="false">IFERROR(__xludf.dummyfunction("xlookup(aj2132,importrange("1xainw9du9nz21v0tyi))</f>
        <v>#VALUE!</v>
      </c>
      <c r="F4044" s="0" t="s">
        <v>9169</v>
      </c>
      <c r="G4044" s="0" t="s">
        <v>18698</v>
      </c>
    </row>
    <row r="4045" customFormat="false" ht="15" hidden="false" customHeight="false" outlineLevel="0" collapsed="false">
      <c r="A4045" s="0" t="n">
        <v>2133</v>
      </c>
      <c r="B4045" s="0" t="n">
        <v>19398</v>
      </c>
      <c r="C4045" s="0" t="s">
        <v>9172</v>
      </c>
      <c r="D4045" s="0" t="s">
        <v>5</v>
      </c>
      <c r="E4045" s="0" t="e">
        <f aca="false">IFERROR(__xludf.dummyfunction("xlookup(aj2133,importrange("1xainw9du9nz21v0tyi))</f>
        <v>#VALUE!</v>
      </c>
      <c r="F4045" s="0" t="s">
        <v>9173</v>
      </c>
      <c r="G4045" s="0" t="s">
        <v>18698</v>
      </c>
    </row>
    <row r="4046" customFormat="false" ht="15" hidden="false" customHeight="false" outlineLevel="0" collapsed="false">
      <c r="A4046" s="0" t="n">
        <v>2135</v>
      </c>
      <c r="B4046" s="0" t="n">
        <v>19402</v>
      </c>
      <c r="C4046" s="0" t="s">
        <v>9181</v>
      </c>
      <c r="D4046" s="0" t="s">
        <v>5</v>
      </c>
      <c r="E4046" s="0" t="e">
        <f aca="false">IFERROR(__xludf.dummyfunction("xlookup(aj2135,importrange("1xainw9du9nz21v0tyi))</f>
        <v>#VALUE!</v>
      </c>
      <c r="F4046" s="0" t="s">
        <v>9182</v>
      </c>
      <c r="G4046" s="0" t="s">
        <v>18698</v>
      </c>
    </row>
    <row r="4047" customFormat="false" ht="15" hidden="false" customHeight="false" outlineLevel="0" collapsed="false">
      <c r="A4047" s="0" t="n">
        <v>2139</v>
      </c>
      <c r="B4047" s="0" t="n">
        <v>19434</v>
      </c>
      <c r="C4047" s="0" t="s">
        <v>9197</v>
      </c>
      <c r="D4047" s="0" t="s">
        <v>5</v>
      </c>
      <c r="E4047" s="0" t="e">
        <f aca="false">IFERROR(__xludf.dummyfunction("xlookup(aj2139,importrange("1xainw9du9nz21v0tyi))</f>
        <v>#VALUE!</v>
      </c>
      <c r="F4047" s="0" t="s">
        <v>9198</v>
      </c>
      <c r="G4047" s="0" t="s">
        <v>18698</v>
      </c>
    </row>
    <row r="4048" customFormat="false" ht="15" hidden="false" customHeight="false" outlineLevel="0" collapsed="false">
      <c r="A4048" s="0" t="n">
        <v>2141</v>
      </c>
      <c r="B4048" s="0" t="n">
        <v>19436</v>
      </c>
      <c r="C4048" s="0" t="s">
        <v>9207</v>
      </c>
      <c r="D4048" s="0" t="s">
        <v>5</v>
      </c>
      <c r="E4048" s="0" t="e">
        <f aca="false">IFERROR(__xludf.dummyfunction("xlookup(aj2141,importrange("1xainw9du9nz21v0tyi))</f>
        <v>#VALUE!</v>
      </c>
      <c r="F4048" s="0" t="s">
        <v>9208</v>
      </c>
      <c r="G4048" s="0" t="s">
        <v>18698</v>
      </c>
    </row>
    <row r="4049" customFormat="false" ht="15" hidden="false" customHeight="false" outlineLevel="0" collapsed="false">
      <c r="A4049" s="0" t="n">
        <v>2142</v>
      </c>
      <c r="B4049" s="0" t="n">
        <v>19437</v>
      </c>
      <c r="C4049" s="0" t="s">
        <v>9213</v>
      </c>
      <c r="D4049" s="0" t="s">
        <v>5</v>
      </c>
      <c r="E4049" s="0" t="e">
        <f aca="false">IFERROR(__xludf.dummyfunction("xlookup(aj2142,importrange("1xainw9du9nz21v0tyi))</f>
        <v>#VALUE!</v>
      </c>
      <c r="F4049" s="0" t="s">
        <v>9214</v>
      </c>
      <c r="G4049" s="0" t="s">
        <v>18698</v>
      </c>
    </row>
    <row r="4050" customFormat="false" ht="15" hidden="false" customHeight="false" outlineLevel="0" collapsed="false">
      <c r="A4050" s="0" t="n">
        <v>2143</v>
      </c>
      <c r="B4050" s="0" t="n">
        <v>19438</v>
      </c>
      <c r="C4050" s="0" t="s">
        <v>9218</v>
      </c>
      <c r="D4050" s="0" t="s">
        <v>5</v>
      </c>
      <c r="E4050" s="0" t="e">
        <f aca="false">IFERROR(__xludf.dummyfunction("xlookup(aj2143,importrange("1xainw9du9nz21v0tyi))</f>
        <v>#VALUE!</v>
      </c>
      <c r="F4050" s="0" t="s">
        <v>9219</v>
      </c>
      <c r="G4050" s="0" t="s">
        <v>18698</v>
      </c>
    </row>
    <row r="4051" customFormat="false" ht="15" hidden="false" customHeight="false" outlineLevel="0" collapsed="false">
      <c r="A4051" s="0" t="n">
        <v>2149</v>
      </c>
      <c r="B4051" s="0" t="n">
        <v>19445</v>
      </c>
      <c r="C4051" s="0" t="s">
        <v>9242</v>
      </c>
      <c r="D4051" s="0" t="s">
        <v>5</v>
      </c>
      <c r="E4051" s="0" t="e">
        <f aca="false">IFERROR(__xludf.dummyfunction("xlookup(aj2149,importrange("1xainw9du9nz21v0tyi))</f>
        <v>#VALUE!</v>
      </c>
      <c r="F4051" s="0" t="s">
        <v>9243</v>
      </c>
      <c r="G4051" s="0" t="s">
        <v>18698</v>
      </c>
    </row>
    <row r="4052" customFormat="false" ht="15" hidden="false" customHeight="false" outlineLevel="0" collapsed="false">
      <c r="A4052" s="0" t="n">
        <v>2150</v>
      </c>
      <c r="B4052" s="0" t="n">
        <v>19446</v>
      </c>
      <c r="C4052" s="0" t="s">
        <v>9246</v>
      </c>
      <c r="D4052" s="0" t="s">
        <v>5</v>
      </c>
      <c r="E4052" s="0" t="e">
        <f aca="false">IFERROR(__xludf.dummyfunction("xlookup(aj2150,importrange("1xainw9du9nz21v0tyi))</f>
        <v>#VALUE!</v>
      </c>
      <c r="F4052" s="0" t="s">
        <v>9247</v>
      </c>
      <c r="G4052" s="0" t="s">
        <v>18698</v>
      </c>
    </row>
    <row r="4053" customFormat="false" ht="15" hidden="false" customHeight="false" outlineLevel="0" collapsed="false">
      <c r="A4053" s="0" t="n">
        <v>2151</v>
      </c>
      <c r="B4053" s="0" t="n">
        <v>19447</v>
      </c>
      <c r="C4053" s="0" t="s">
        <v>9251</v>
      </c>
      <c r="D4053" s="0" t="s">
        <v>5</v>
      </c>
      <c r="E4053" s="0" t="e">
        <f aca="false">IFERROR(__xludf.dummyfunction("xlookup(aj2151,importrange("1xainw9du9nz21v0tyi))</f>
        <v>#VALUE!</v>
      </c>
      <c r="F4053" s="0" t="s">
        <v>9252</v>
      </c>
      <c r="G4053" s="0" t="s">
        <v>18698</v>
      </c>
    </row>
    <row r="4054" customFormat="false" ht="15" hidden="false" customHeight="false" outlineLevel="0" collapsed="false">
      <c r="A4054" s="0" t="n">
        <v>2152</v>
      </c>
      <c r="B4054" s="0" t="n">
        <v>19448</v>
      </c>
      <c r="C4054" s="0" t="s">
        <v>9256</v>
      </c>
      <c r="D4054" s="0" t="s">
        <v>5</v>
      </c>
      <c r="E4054" s="0" t="e">
        <f aca="false">IFERROR(__xludf.dummyfunction("xlookup(aj2152,importrange("1xainw9du9nz21v0tyi))</f>
        <v>#VALUE!</v>
      </c>
      <c r="F4054" s="0" t="s">
        <v>9257</v>
      </c>
      <c r="G4054" s="0" t="s">
        <v>18698</v>
      </c>
    </row>
    <row r="4055" customFormat="false" ht="15" hidden="false" customHeight="false" outlineLevel="0" collapsed="false">
      <c r="A4055" s="0" t="n">
        <v>2154</v>
      </c>
      <c r="B4055" s="0" t="n">
        <v>19450</v>
      </c>
      <c r="C4055" s="0" t="s">
        <v>9264</v>
      </c>
      <c r="D4055" s="0" t="s">
        <v>5</v>
      </c>
      <c r="E4055" s="0" t="e">
        <f aca="false">IFERROR(__xludf.dummyfunction("xlookup(aj2154,importrange("1xainw9du9nz21v0tyi))</f>
        <v>#VALUE!</v>
      </c>
      <c r="F4055" s="0" t="s">
        <v>9265</v>
      </c>
      <c r="G4055" s="0" t="s">
        <v>18698</v>
      </c>
    </row>
    <row r="4056" customFormat="false" ht="15" hidden="false" customHeight="false" outlineLevel="0" collapsed="false">
      <c r="A4056" s="0" t="n">
        <v>2155</v>
      </c>
      <c r="B4056" s="0" t="n">
        <v>19452</v>
      </c>
      <c r="C4056" s="0" t="s">
        <v>9270</v>
      </c>
      <c r="D4056" s="0" t="s">
        <v>5</v>
      </c>
      <c r="E4056" s="0" t="e">
        <f aca="false">IFERROR(__xludf.dummyfunction("xlookup(aj2155,importrange("1xainw9du9nz21v0tyi))</f>
        <v>#VALUE!</v>
      </c>
      <c r="F4056" s="0" t="s">
        <v>9271</v>
      </c>
      <c r="G4056" s="0" t="s">
        <v>18698</v>
      </c>
    </row>
    <row r="4057" customFormat="false" ht="15" hidden="false" customHeight="false" outlineLevel="0" collapsed="false">
      <c r="A4057" s="0" t="n">
        <v>2160</v>
      </c>
      <c r="B4057" s="0" t="n">
        <v>19476</v>
      </c>
      <c r="C4057" s="0" t="s">
        <v>9290</v>
      </c>
      <c r="D4057" s="0" t="s">
        <v>5</v>
      </c>
      <c r="E4057" s="0" t="e">
        <f aca="false">IFERROR(__xludf.dummyfunction("xlookup(aj2160,importrange("1xainw9du9nz21v0tyi))</f>
        <v>#VALUE!</v>
      </c>
      <c r="F4057" s="0" t="s">
        <v>9291</v>
      </c>
      <c r="G4057" s="0" t="s">
        <v>18698</v>
      </c>
    </row>
    <row r="4058" customFormat="false" ht="15" hidden="false" customHeight="false" outlineLevel="0" collapsed="false">
      <c r="A4058" s="0" t="n">
        <v>2161</v>
      </c>
      <c r="B4058" s="0" t="n">
        <v>19482</v>
      </c>
      <c r="C4058" s="0" t="s">
        <v>9295</v>
      </c>
      <c r="D4058" s="0" t="s">
        <v>5</v>
      </c>
      <c r="E4058" s="0" t="e">
        <f aca="false">IFERROR(__xludf.dummyfunction("xlookup(aj2161,importrange("1xainw9du9nz21v0tyi))</f>
        <v>#VALUE!</v>
      </c>
      <c r="F4058" s="0" t="s">
        <v>9296</v>
      </c>
      <c r="G4058" s="0" t="s">
        <v>18698</v>
      </c>
    </row>
    <row r="4059" customFormat="false" ht="15" hidden="false" customHeight="false" outlineLevel="0" collapsed="false">
      <c r="A4059" s="0" t="n">
        <v>2162</v>
      </c>
      <c r="B4059" s="0" t="n">
        <v>19485</v>
      </c>
      <c r="C4059" s="0" t="s">
        <v>9301</v>
      </c>
      <c r="D4059" s="0" t="s">
        <v>5</v>
      </c>
      <c r="E4059" s="0" t="e">
        <f aca="false">IFERROR(__xludf.dummyfunction("xlookup(aj2162,importrange("1xainw9du9nz21v0tyi))</f>
        <v>#VALUE!</v>
      </c>
      <c r="F4059" s="0" t="s">
        <v>9302</v>
      </c>
      <c r="G4059" s="0" t="s">
        <v>18698</v>
      </c>
    </row>
    <row r="4060" customFormat="false" ht="15" hidden="false" customHeight="false" outlineLevel="0" collapsed="false">
      <c r="A4060" s="0" t="n">
        <v>2163</v>
      </c>
      <c r="B4060" s="0" t="n">
        <v>19494</v>
      </c>
      <c r="C4060" s="0" t="s">
        <v>9307</v>
      </c>
      <c r="D4060" s="0" t="s">
        <v>5</v>
      </c>
      <c r="E4060" s="0" t="e">
        <f aca="false">IFERROR(__xludf.dummyfunction("xlookup(aj2163,importrange("1xainw9du9nz21v0tyi))</f>
        <v>#VALUE!</v>
      </c>
      <c r="F4060" s="0" t="s">
        <v>9308</v>
      </c>
      <c r="G4060" s="0" t="s">
        <v>18698</v>
      </c>
    </row>
    <row r="4061" customFormat="false" ht="15" hidden="false" customHeight="false" outlineLevel="0" collapsed="false">
      <c r="A4061" s="0" t="n">
        <v>2165</v>
      </c>
      <c r="B4061" s="0" t="n">
        <v>19496</v>
      </c>
      <c r="C4061" s="0" t="s">
        <v>9314</v>
      </c>
      <c r="D4061" s="0" t="s">
        <v>5</v>
      </c>
      <c r="E4061" s="0" t="e">
        <f aca="false">IFERROR(__xludf.dummyfunction("xlookup(aj2165,importrange("1xainw9du9nz21v0tyi))</f>
        <v>#VALUE!</v>
      </c>
      <c r="F4061" s="0" t="s">
        <v>9315</v>
      </c>
      <c r="G4061" s="0" t="s">
        <v>18698</v>
      </c>
    </row>
    <row r="4062" customFormat="false" ht="15" hidden="false" customHeight="false" outlineLevel="0" collapsed="false">
      <c r="A4062" s="0" t="n">
        <v>2173</v>
      </c>
      <c r="B4062" s="0" t="n">
        <v>19514</v>
      </c>
      <c r="C4062" s="0" t="s">
        <v>9339</v>
      </c>
      <c r="D4062" s="0" t="s">
        <v>5</v>
      </c>
      <c r="E4062" s="0" t="e">
        <f aca="false">IFERROR(__xludf.dummyfunction("xlookup(aj2173,importrange("1xainw9du9nz21v0tyi))</f>
        <v>#VALUE!</v>
      </c>
      <c r="F4062" s="0" t="s">
        <v>9340</v>
      </c>
      <c r="G4062" s="0" t="s">
        <v>18698</v>
      </c>
    </row>
    <row r="4063" customFormat="false" ht="15" hidden="false" customHeight="false" outlineLevel="0" collapsed="false">
      <c r="A4063" s="0" t="n">
        <v>2174</v>
      </c>
      <c r="B4063" s="0" t="n">
        <v>19516</v>
      </c>
      <c r="C4063" s="0" t="s">
        <v>9343</v>
      </c>
      <c r="D4063" s="0" t="s">
        <v>5</v>
      </c>
      <c r="E4063" s="0" t="e">
        <f aca="false">IFERROR(__xludf.dummyfunction("xlookup(aj2174,importrange("1xainw9du9nz21v0tyi))</f>
        <v>#VALUE!</v>
      </c>
      <c r="F4063" s="0" t="s">
        <v>9344</v>
      </c>
      <c r="G4063" s="0" t="s">
        <v>18698</v>
      </c>
    </row>
    <row r="4064" customFormat="false" ht="15" hidden="false" customHeight="false" outlineLevel="0" collapsed="false">
      <c r="A4064" s="0" t="n">
        <v>2175</v>
      </c>
      <c r="B4064" s="0" t="n">
        <v>19517</v>
      </c>
      <c r="C4064" s="0" t="s">
        <v>9348</v>
      </c>
      <c r="D4064" s="0" t="s">
        <v>5</v>
      </c>
      <c r="E4064" s="0" t="e">
        <f aca="false">IFERROR(__xludf.dummyfunction("xlookup(aj2175,importrange("1xainw9du9nz21v0tyi))</f>
        <v>#VALUE!</v>
      </c>
      <c r="F4064" s="0" t="s">
        <v>9349</v>
      </c>
      <c r="G4064" s="0" t="s">
        <v>18698</v>
      </c>
    </row>
    <row r="4065" customFormat="false" ht="15" hidden="false" customHeight="false" outlineLevel="0" collapsed="false">
      <c r="A4065" s="0" t="n">
        <v>2178</v>
      </c>
      <c r="B4065" s="0" t="n">
        <v>19523</v>
      </c>
      <c r="C4065" s="0" t="s">
        <v>9360</v>
      </c>
      <c r="D4065" s="0" t="s">
        <v>5</v>
      </c>
      <c r="E4065" s="0" t="e">
        <f aca="false">IFERROR(__xludf.dummyfunction("xlookup(aj2178,importrange("1xainw9du9nz21v0tyi))</f>
        <v>#VALUE!</v>
      </c>
      <c r="F4065" s="0" t="s">
        <v>9361</v>
      </c>
      <c r="G4065" s="0" t="s">
        <v>18698</v>
      </c>
    </row>
    <row r="4066" customFormat="false" ht="15" hidden="false" customHeight="false" outlineLevel="0" collapsed="false">
      <c r="A4066" s="0" t="n">
        <v>2179</v>
      </c>
      <c r="B4066" s="0" t="n">
        <v>19524</v>
      </c>
      <c r="C4066" s="0" t="s">
        <v>9365</v>
      </c>
      <c r="D4066" s="0" t="s">
        <v>5</v>
      </c>
      <c r="E4066" s="0" t="e">
        <f aca="false">IFERROR(__xludf.dummyfunction("xlookup(aj2179,importrange("1xainw9du9nz21v0tyi))</f>
        <v>#VALUE!</v>
      </c>
      <c r="F4066" s="0" t="s">
        <v>9366</v>
      </c>
      <c r="G4066" s="0" t="s">
        <v>18698</v>
      </c>
    </row>
    <row r="4067" customFormat="false" ht="15" hidden="false" customHeight="false" outlineLevel="0" collapsed="false">
      <c r="A4067" s="0" t="n">
        <v>2182</v>
      </c>
      <c r="B4067" s="0" t="n">
        <v>19529</v>
      </c>
      <c r="C4067" s="0" t="s">
        <v>9378</v>
      </c>
      <c r="D4067" s="0" t="s">
        <v>5</v>
      </c>
      <c r="E4067" s="0" t="e">
        <f aca="false">IFERROR(__xludf.dummyfunction("xlookup(aj2182,importrange("1xainw9du9nz21v0tyi))</f>
        <v>#VALUE!</v>
      </c>
      <c r="F4067" s="0" t="s">
        <v>9379</v>
      </c>
      <c r="G4067" s="0" t="s">
        <v>18698</v>
      </c>
    </row>
    <row r="4068" customFormat="false" ht="15" hidden="false" customHeight="false" outlineLevel="0" collapsed="false">
      <c r="A4068" s="0" t="n">
        <v>2183</v>
      </c>
      <c r="B4068" s="0" t="n">
        <v>19531</v>
      </c>
      <c r="C4068" s="0" t="s">
        <v>9382</v>
      </c>
      <c r="D4068" s="0" t="s">
        <v>5</v>
      </c>
      <c r="E4068" s="0" t="e">
        <f aca="false">IFERROR(__xludf.dummyfunction("xlookup(aj2183,importrange("1xainw9du9nz21v0tyi))</f>
        <v>#VALUE!</v>
      </c>
      <c r="F4068" s="0" t="s">
        <v>9383</v>
      </c>
      <c r="G4068" s="0" t="s">
        <v>18698</v>
      </c>
    </row>
    <row r="4069" customFormat="false" ht="15" hidden="false" customHeight="false" outlineLevel="0" collapsed="false">
      <c r="A4069" s="0" t="n">
        <v>2187</v>
      </c>
      <c r="B4069" s="0" t="n">
        <v>19540</v>
      </c>
      <c r="C4069" s="0" t="s">
        <v>9397</v>
      </c>
      <c r="D4069" s="0" t="s">
        <v>5</v>
      </c>
      <c r="E4069" s="0" t="e">
        <f aca="false">IFERROR(__xludf.dummyfunction("xlookup(aj2187,importrange("1xainw9du9nz21v0tyi))</f>
        <v>#VALUE!</v>
      </c>
      <c r="F4069" s="0" t="s">
        <v>9398</v>
      </c>
      <c r="G4069" s="0" t="s">
        <v>18698</v>
      </c>
    </row>
    <row r="4070" customFormat="false" ht="15" hidden="false" customHeight="false" outlineLevel="0" collapsed="false">
      <c r="A4070" s="0" t="n">
        <v>2188</v>
      </c>
      <c r="B4070" s="0" t="n">
        <v>19541</v>
      </c>
      <c r="C4070" s="0" t="s">
        <v>9401</v>
      </c>
      <c r="D4070" s="0" t="s">
        <v>5</v>
      </c>
      <c r="E4070" s="0" t="e">
        <f aca="false">IFERROR(__xludf.dummyfunction("xlookup(aj2188,importrange("1xainw9du9nz21v0tyi))</f>
        <v>#VALUE!</v>
      </c>
      <c r="F4070" s="0" t="s">
        <v>9402</v>
      </c>
      <c r="G4070" s="0" t="s">
        <v>18698</v>
      </c>
    </row>
    <row r="4071" customFormat="false" ht="15" hidden="false" customHeight="false" outlineLevel="0" collapsed="false">
      <c r="A4071" s="0" t="n">
        <v>2192</v>
      </c>
      <c r="B4071" s="0" t="n">
        <v>19544</v>
      </c>
      <c r="C4071" s="0" t="s">
        <v>9414</v>
      </c>
      <c r="D4071" s="0" t="s">
        <v>5</v>
      </c>
      <c r="E4071" s="0" t="e">
        <f aca="false">IFERROR(__xludf.dummyfunction("xlookup(aj2192,importrange("1xainw9du9nz21v0tyi))</f>
        <v>#VALUE!</v>
      </c>
      <c r="F4071" s="0" t="s">
        <v>9416</v>
      </c>
      <c r="G4071" s="0" t="s">
        <v>18698</v>
      </c>
    </row>
    <row r="4072" customFormat="false" ht="15" hidden="false" customHeight="false" outlineLevel="0" collapsed="false">
      <c r="A4072" s="0" t="n">
        <v>2199</v>
      </c>
      <c r="B4072" s="0" t="n">
        <v>19551</v>
      </c>
      <c r="C4072" s="0" t="s">
        <v>9435</v>
      </c>
      <c r="D4072" s="0" t="s">
        <v>5</v>
      </c>
      <c r="E4072" s="0" t="e">
        <f aca="false">IFERROR(__xludf.dummyfunction("xlookup(aj2199,importrange("1xainw9du9nz21v0tyi))</f>
        <v>#VALUE!</v>
      </c>
      <c r="F4072" s="0" t="s">
        <v>9436</v>
      </c>
      <c r="G4072" s="0" t="s">
        <v>18698</v>
      </c>
    </row>
    <row r="4073" customFormat="false" ht="15" hidden="false" customHeight="false" outlineLevel="0" collapsed="false">
      <c r="A4073" s="0" t="n">
        <v>2210</v>
      </c>
      <c r="B4073" s="0" t="n">
        <v>19563</v>
      </c>
      <c r="C4073" s="0" t="s">
        <v>4585</v>
      </c>
      <c r="D4073" s="0" t="s">
        <v>5</v>
      </c>
      <c r="E4073" s="0" t="e">
        <f aca="false">IFERROR(__xludf.dummyfunction("xlookup(aj2210,importrange("1xainw9du9nz21v0tyi))</f>
        <v>#VALUE!</v>
      </c>
      <c r="F4073" s="0" t="s">
        <v>9466</v>
      </c>
      <c r="G4073" s="0" t="s">
        <v>18698</v>
      </c>
    </row>
    <row r="4074" customFormat="false" ht="15" hidden="false" customHeight="false" outlineLevel="0" collapsed="false">
      <c r="A4074" s="0" t="n">
        <v>2211</v>
      </c>
      <c r="B4074" s="0" t="n">
        <v>19564</v>
      </c>
      <c r="C4074" s="0" t="s">
        <v>9468</v>
      </c>
      <c r="D4074" s="0" t="s">
        <v>5</v>
      </c>
      <c r="E4074" s="0" t="e">
        <f aca="false">IFERROR(__xludf.dummyfunction("xlookup(aj2211,importrange("1xainw9du9nz21v0tyi))</f>
        <v>#VALUE!</v>
      </c>
      <c r="F4074" s="0" t="s">
        <v>9469</v>
      </c>
      <c r="G4074" s="0" t="s">
        <v>18698</v>
      </c>
    </row>
    <row r="4075" customFormat="false" ht="15" hidden="false" customHeight="false" outlineLevel="0" collapsed="false">
      <c r="A4075" s="0" t="n">
        <v>2212</v>
      </c>
      <c r="B4075" s="0" t="n">
        <v>19565</v>
      </c>
      <c r="C4075" s="0" t="s">
        <v>9472</v>
      </c>
      <c r="D4075" s="0" t="s">
        <v>5</v>
      </c>
      <c r="E4075" s="0" t="e">
        <f aca="false">IFERROR(__xludf.dummyfunction("xlookup(aj2212,importrange("1xainw9du9nz21v0tyi))</f>
        <v>#VALUE!</v>
      </c>
      <c r="F4075" s="0" t="s">
        <v>9473</v>
      </c>
      <c r="G4075" s="0" t="s">
        <v>18698</v>
      </c>
    </row>
    <row r="4076" customFormat="false" ht="15" hidden="false" customHeight="false" outlineLevel="0" collapsed="false">
      <c r="A4076" s="0" t="n">
        <v>2225</v>
      </c>
      <c r="B4076" s="0" t="n">
        <v>19608</v>
      </c>
      <c r="C4076" s="0" t="s">
        <v>9517</v>
      </c>
      <c r="D4076" s="0" t="s">
        <v>5</v>
      </c>
      <c r="E4076" s="0" t="e">
        <f aca="false">IFERROR(__xludf.dummyfunction("xlookup(aj2225,importrange("1xainw9du9nz21v0tyi))</f>
        <v>#VALUE!</v>
      </c>
      <c r="F4076" s="0" t="s">
        <v>9518</v>
      </c>
      <c r="G4076" s="0" t="s">
        <v>18698</v>
      </c>
    </row>
    <row r="4077" customFormat="false" ht="15" hidden="false" customHeight="false" outlineLevel="0" collapsed="false">
      <c r="A4077" s="0" t="n">
        <v>2226</v>
      </c>
      <c r="B4077" s="0" t="n">
        <v>19609</v>
      </c>
      <c r="C4077" s="0" t="s">
        <v>9521</v>
      </c>
      <c r="D4077" s="0" t="s">
        <v>5</v>
      </c>
      <c r="E4077" s="0" t="e">
        <f aca="false">IFERROR(__xludf.dummyfunction("xlookup(aj2226,importrange("1xainw9du9nz21v0tyi))</f>
        <v>#VALUE!</v>
      </c>
      <c r="F4077" s="0" t="s">
        <v>9522</v>
      </c>
      <c r="G4077" s="0" t="s">
        <v>18698</v>
      </c>
    </row>
    <row r="4078" customFormat="false" ht="15" hidden="false" customHeight="false" outlineLevel="0" collapsed="false">
      <c r="A4078" s="0" t="n">
        <v>2230</v>
      </c>
      <c r="B4078" s="0" t="n">
        <v>19619</v>
      </c>
      <c r="C4078" s="0" t="s">
        <v>238</v>
      </c>
      <c r="D4078" s="0" t="s">
        <v>5</v>
      </c>
      <c r="E4078" s="0" t="e">
        <f aca="false">IFERROR(__xludf.dummyfunction("xlookup(aj2230,importrange("1xainw9du9nz21v0tyi))</f>
        <v>#VALUE!</v>
      </c>
      <c r="F4078" s="0" t="s">
        <v>9534</v>
      </c>
      <c r="G4078" s="0" t="s">
        <v>18698</v>
      </c>
    </row>
    <row r="4079" customFormat="false" ht="15" hidden="false" customHeight="false" outlineLevel="0" collapsed="false">
      <c r="A4079" s="0" t="n">
        <v>2232</v>
      </c>
      <c r="B4079" s="0" t="n">
        <v>19643</v>
      </c>
      <c r="C4079" s="0" t="s">
        <v>9542</v>
      </c>
      <c r="D4079" s="0" t="s">
        <v>5</v>
      </c>
      <c r="E4079" s="0" t="e">
        <f aca="false">IFERROR(__xludf.dummyfunction("xlookup(aj2232,importrange("1xainw9du9nz21v0tyi))</f>
        <v>#VALUE!</v>
      </c>
      <c r="F4079" s="0" t="s">
        <v>9543</v>
      </c>
      <c r="G4079" s="0" t="s">
        <v>18698</v>
      </c>
    </row>
    <row r="4080" customFormat="false" ht="15" hidden="false" customHeight="false" outlineLevel="0" collapsed="false">
      <c r="A4080" s="0" t="n">
        <v>2235</v>
      </c>
      <c r="B4080" s="0" t="n">
        <v>19646</v>
      </c>
      <c r="C4080" s="0" t="s">
        <v>9554</v>
      </c>
      <c r="D4080" s="0" t="s">
        <v>5</v>
      </c>
      <c r="E4080" s="0" t="e">
        <f aca="false">IFERROR(__xludf.dummyfunction("xlookup(aj2235,importrange("1xainw9du9nz21v0tyi))</f>
        <v>#VALUE!</v>
      </c>
      <c r="F4080" s="0" t="s">
        <v>9555</v>
      </c>
      <c r="G4080" s="0" t="s">
        <v>18698</v>
      </c>
    </row>
    <row r="4081" customFormat="false" ht="15" hidden="false" customHeight="false" outlineLevel="0" collapsed="false">
      <c r="A4081" s="0" t="n">
        <v>2236</v>
      </c>
      <c r="B4081" s="0" t="n">
        <v>19648</v>
      </c>
      <c r="C4081" s="0" t="s">
        <v>9559</v>
      </c>
      <c r="D4081" s="0" t="s">
        <v>5</v>
      </c>
      <c r="E4081" s="0" t="e">
        <f aca="false">IFERROR(__xludf.dummyfunction("xlookup(aj2236,importrange("1xainw9du9nz21v0tyi))</f>
        <v>#VALUE!</v>
      </c>
      <c r="F4081" s="0" t="s">
        <v>9560</v>
      </c>
      <c r="G4081" s="0" t="s">
        <v>18698</v>
      </c>
    </row>
    <row r="4082" customFormat="false" ht="15" hidden="false" customHeight="false" outlineLevel="0" collapsed="false">
      <c r="A4082" s="0" t="n">
        <v>2237</v>
      </c>
      <c r="B4082" s="0" t="n">
        <v>19649</v>
      </c>
      <c r="C4082" s="0" t="s">
        <v>9564</v>
      </c>
      <c r="D4082" s="0" t="s">
        <v>5</v>
      </c>
      <c r="E4082" s="0" t="e">
        <f aca="false">IFERROR(__xludf.dummyfunction("xlookup(aj2237,importrange("1xainw9du9nz21v0tyi))</f>
        <v>#VALUE!</v>
      </c>
      <c r="F4082" s="0" t="s">
        <v>9565</v>
      </c>
      <c r="G4082" s="0" t="s">
        <v>18698</v>
      </c>
    </row>
    <row r="4083" customFormat="false" ht="15" hidden="false" customHeight="false" outlineLevel="0" collapsed="false">
      <c r="A4083" s="0" t="n">
        <v>2240</v>
      </c>
      <c r="B4083" s="0" t="n">
        <v>19653</v>
      </c>
      <c r="C4083" s="0" t="s">
        <v>9575</v>
      </c>
      <c r="D4083" s="0" t="s">
        <v>5</v>
      </c>
      <c r="E4083" s="0" t="e">
        <f aca="false">IFERROR(__xludf.dummyfunction("xlookup(aj2240,importrange("1xainw9du9nz21v0tyi))</f>
        <v>#VALUE!</v>
      </c>
      <c r="F4083" s="0" t="s">
        <v>9576</v>
      </c>
      <c r="G4083" s="0" t="s">
        <v>18698</v>
      </c>
    </row>
    <row r="4084" customFormat="false" ht="15" hidden="false" customHeight="false" outlineLevel="0" collapsed="false">
      <c r="A4084" s="0" t="n">
        <v>2241</v>
      </c>
      <c r="B4084" s="0" t="n">
        <v>19654</v>
      </c>
      <c r="C4084" s="0" t="s">
        <v>9579</v>
      </c>
      <c r="D4084" s="0" t="s">
        <v>5</v>
      </c>
      <c r="E4084" s="0" t="e">
        <f aca="false">IFERROR(__xludf.dummyfunction("xlookup(aj2241,importrange("1xainw9du9nz21v0tyi))</f>
        <v>#VALUE!</v>
      </c>
      <c r="F4084" s="0" t="s">
        <v>9580</v>
      </c>
      <c r="G4084" s="0" t="s">
        <v>18698</v>
      </c>
    </row>
    <row r="4085" customFormat="false" ht="15" hidden="false" customHeight="false" outlineLevel="0" collapsed="false">
      <c r="A4085" s="0" t="n">
        <v>2244</v>
      </c>
      <c r="B4085" s="0" t="n">
        <v>19660</v>
      </c>
      <c r="C4085" s="0" t="s">
        <v>9591</v>
      </c>
      <c r="D4085" s="0" t="s">
        <v>5</v>
      </c>
      <c r="E4085" s="0" t="e">
        <f aca="false">IFERROR(__xludf.dummyfunction("xlookup(aj2244,importrange("1xainw9du9nz21v0tyi))</f>
        <v>#VALUE!</v>
      </c>
      <c r="F4085" s="0" t="s">
        <v>9592</v>
      </c>
      <c r="G4085" s="0" t="s">
        <v>18698</v>
      </c>
    </row>
    <row r="4086" customFormat="false" ht="15" hidden="false" customHeight="false" outlineLevel="0" collapsed="false">
      <c r="A4086" s="0" t="n">
        <v>2246</v>
      </c>
      <c r="B4086" s="0" t="n">
        <v>19668</v>
      </c>
      <c r="C4086" s="0" t="s">
        <v>9601</v>
      </c>
      <c r="D4086" s="0" t="s">
        <v>5</v>
      </c>
      <c r="E4086" s="0" t="e">
        <f aca="false">IFERROR(__xludf.dummyfunction("xlookup(aj2246,importrange("1xainw9du9nz21v0tyi))</f>
        <v>#VALUE!</v>
      </c>
      <c r="F4086" s="0" t="s">
        <v>9602</v>
      </c>
      <c r="G4086" s="0" t="s">
        <v>18698</v>
      </c>
    </row>
    <row r="4087" customFormat="false" ht="15" hidden="false" customHeight="false" outlineLevel="0" collapsed="false">
      <c r="A4087" s="0" t="n">
        <v>2248</v>
      </c>
      <c r="B4087" s="0" t="n">
        <v>19670</v>
      </c>
      <c r="C4087" s="0" t="s">
        <v>9612</v>
      </c>
      <c r="D4087" s="0" t="s">
        <v>5</v>
      </c>
      <c r="E4087" s="0" t="e">
        <f aca="false">IFERROR(__xludf.dummyfunction("xlookup(aj2248,importrange("1xainw9du9nz21v0tyi))</f>
        <v>#VALUE!</v>
      </c>
      <c r="F4087" s="0" t="s">
        <v>9613</v>
      </c>
      <c r="G4087" s="0" t="s">
        <v>18698</v>
      </c>
    </row>
    <row r="4088" customFormat="false" ht="15" hidden="false" customHeight="false" outlineLevel="0" collapsed="false">
      <c r="A4088" s="0" t="n">
        <v>2249</v>
      </c>
      <c r="B4088" s="0" t="n">
        <v>19671</v>
      </c>
      <c r="C4088" s="0" t="s">
        <v>9618</v>
      </c>
      <c r="D4088" s="0" t="s">
        <v>5</v>
      </c>
      <c r="E4088" s="0" t="e">
        <f aca="false">IFERROR(__xludf.dummyfunction("xlookup(aj2249,importrange("1xainw9du9nz21v0tyi))</f>
        <v>#VALUE!</v>
      </c>
      <c r="F4088" s="0" t="s">
        <v>9619</v>
      </c>
      <c r="G4088" s="0" t="s">
        <v>18698</v>
      </c>
    </row>
    <row r="4089" customFormat="false" ht="15" hidden="false" customHeight="false" outlineLevel="0" collapsed="false">
      <c r="A4089" s="0" t="n">
        <v>2250</v>
      </c>
      <c r="B4089" s="0" t="n">
        <v>19672</v>
      </c>
      <c r="C4089" s="0" t="s">
        <v>9623</v>
      </c>
      <c r="D4089" s="0" t="s">
        <v>5</v>
      </c>
      <c r="E4089" s="0" t="e">
        <f aca="false">IFERROR(__xludf.dummyfunction("xlookup(aj2250,importrange("1xainw9du9nz21v0tyi))</f>
        <v>#VALUE!</v>
      </c>
      <c r="F4089" s="0" t="s">
        <v>9624</v>
      </c>
      <c r="G4089" s="0" t="s">
        <v>18698</v>
      </c>
    </row>
    <row r="4090" customFormat="false" ht="15" hidden="false" customHeight="false" outlineLevel="0" collapsed="false">
      <c r="A4090" s="0" t="n">
        <v>2252</v>
      </c>
      <c r="B4090" s="0" t="n">
        <v>19677</v>
      </c>
      <c r="C4090" s="0" t="s">
        <v>9632</v>
      </c>
      <c r="D4090" s="0" t="s">
        <v>5</v>
      </c>
      <c r="E4090" s="0" t="e">
        <f aca="false">IFERROR(__xludf.dummyfunction("xlookup(aj2252,importrange("1xainw9du9nz21v0tyi))</f>
        <v>#VALUE!</v>
      </c>
      <c r="F4090" s="0" t="s">
        <v>9633</v>
      </c>
      <c r="G4090" s="0" t="s">
        <v>18698</v>
      </c>
    </row>
    <row r="4091" customFormat="false" ht="15" hidden="false" customHeight="false" outlineLevel="0" collapsed="false">
      <c r="A4091" s="0" t="n">
        <v>2253</v>
      </c>
      <c r="B4091" s="0" t="n">
        <v>19678</v>
      </c>
      <c r="C4091" s="0" t="s">
        <v>9638</v>
      </c>
      <c r="D4091" s="0" t="s">
        <v>5</v>
      </c>
      <c r="E4091" s="0" t="e">
        <f aca="false">IFERROR(__xludf.dummyfunction("xlookup(aj2253,importrange("1xainw9du9nz21v0tyi))</f>
        <v>#VALUE!</v>
      </c>
      <c r="F4091" s="0" t="s">
        <v>9639</v>
      </c>
      <c r="G4091" s="0" t="s">
        <v>18698</v>
      </c>
    </row>
    <row r="4092" customFormat="false" ht="15" hidden="false" customHeight="false" outlineLevel="0" collapsed="false">
      <c r="A4092" s="0" t="n">
        <v>2257</v>
      </c>
      <c r="B4092" s="0" t="n">
        <v>19683</v>
      </c>
      <c r="C4092" s="0" t="s">
        <v>9656</v>
      </c>
      <c r="D4092" s="0" t="s">
        <v>5</v>
      </c>
      <c r="E4092" s="0" t="e">
        <f aca="false">IFERROR(__xludf.dummyfunction("xlookup(aj2257,importrange("1xainw9du9nz21v0tyi))</f>
        <v>#VALUE!</v>
      </c>
      <c r="F4092" s="0" t="s">
        <v>9657</v>
      </c>
      <c r="G4092" s="0" t="s">
        <v>18698</v>
      </c>
    </row>
    <row r="4093" customFormat="false" ht="15" hidden="false" customHeight="false" outlineLevel="0" collapsed="false">
      <c r="A4093" s="0" t="n">
        <v>2258</v>
      </c>
      <c r="B4093" s="0" t="n">
        <v>19690</v>
      </c>
      <c r="C4093" s="0" t="s">
        <v>9662</v>
      </c>
      <c r="D4093" s="0" t="s">
        <v>5</v>
      </c>
      <c r="E4093" s="0" t="e">
        <f aca="false">IFERROR(__xludf.dummyfunction("xlookup(aj2258,importrange("1xainw9du9nz21v0tyi))</f>
        <v>#VALUE!</v>
      </c>
      <c r="F4093" s="0" t="s">
        <v>9663</v>
      </c>
      <c r="G4093" s="0" t="s">
        <v>18698</v>
      </c>
    </row>
    <row r="4094" customFormat="false" ht="15" hidden="false" customHeight="false" outlineLevel="0" collapsed="false">
      <c r="A4094" s="0" t="n">
        <v>2260</v>
      </c>
      <c r="B4094" s="0" t="n">
        <v>19702</v>
      </c>
      <c r="C4094" s="0" t="s">
        <v>9671</v>
      </c>
      <c r="D4094" s="0" t="s">
        <v>5</v>
      </c>
      <c r="E4094" s="0" t="e">
        <f aca="false">IFERROR(__xludf.dummyfunction("xlookup(aj2260,importrange("1xainw9du9nz21v0tyi))</f>
        <v>#VALUE!</v>
      </c>
      <c r="F4094" s="0" t="s">
        <v>9672</v>
      </c>
      <c r="G4094" s="0" t="s">
        <v>18698</v>
      </c>
    </row>
    <row r="4095" customFormat="false" ht="15" hidden="false" customHeight="false" outlineLevel="0" collapsed="false">
      <c r="A4095" s="0" t="n">
        <v>2263</v>
      </c>
      <c r="B4095" s="0" t="n">
        <v>19706</v>
      </c>
      <c r="C4095" s="0" t="s">
        <v>9681</v>
      </c>
      <c r="D4095" s="0" t="s">
        <v>5</v>
      </c>
      <c r="E4095" s="0" t="e">
        <f aca="false">IFERROR(__xludf.dummyfunction("xlookup(aj2263,importrange("1xainw9du9nz21v0tyi))</f>
        <v>#VALUE!</v>
      </c>
      <c r="F4095" s="0" t="s">
        <v>9682</v>
      </c>
      <c r="G4095" s="0" t="s">
        <v>18698</v>
      </c>
    </row>
    <row r="4096" customFormat="false" ht="15" hidden="false" customHeight="false" outlineLevel="0" collapsed="false">
      <c r="A4096" s="0" t="n">
        <v>2264</v>
      </c>
      <c r="B4096" s="0" t="n">
        <v>19707</v>
      </c>
      <c r="C4096" s="0" t="s">
        <v>9685</v>
      </c>
      <c r="D4096" s="0" t="s">
        <v>5</v>
      </c>
      <c r="E4096" s="0" t="e">
        <f aca="false">IFERROR(__xludf.dummyfunction("xlookup(aj2264,importrange("1xainw9du9nz21v0tyi))</f>
        <v>#VALUE!</v>
      </c>
      <c r="F4096" s="0" t="s">
        <v>9686</v>
      </c>
      <c r="G4096" s="0" t="s">
        <v>18698</v>
      </c>
    </row>
    <row r="4097" customFormat="false" ht="15" hidden="false" customHeight="false" outlineLevel="0" collapsed="false">
      <c r="A4097" s="0" t="n">
        <v>2266</v>
      </c>
      <c r="B4097" s="0" t="n">
        <v>19717</v>
      </c>
      <c r="C4097" s="0" t="s">
        <v>9694</v>
      </c>
      <c r="D4097" s="0" t="s">
        <v>5</v>
      </c>
      <c r="E4097" s="0" t="e">
        <f aca="false">IFERROR(__xludf.dummyfunction("xlookup(aj2266,importrange("1xainw9du9nz21v0tyi))</f>
        <v>#VALUE!</v>
      </c>
      <c r="F4097" s="0" t="s">
        <v>9695</v>
      </c>
      <c r="G4097" s="0" t="s">
        <v>18698</v>
      </c>
    </row>
    <row r="4098" customFormat="false" ht="15" hidden="false" customHeight="false" outlineLevel="0" collapsed="false">
      <c r="A4098" s="0" t="n">
        <v>2267</v>
      </c>
      <c r="B4098" s="0" t="n">
        <v>19718</v>
      </c>
      <c r="C4098" s="0" t="s">
        <v>9699</v>
      </c>
      <c r="D4098" s="0" t="s">
        <v>5</v>
      </c>
      <c r="E4098" s="0" t="e">
        <f aca="false">IFERROR(__xludf.dummyfunction("xlookup(aj2267,importrange("1xainw9du9nz21v0tyi))</f>
        <v>#VALUE!</v>
      </c>
      <c r="F4098" s="0" t="s">
        <v>9700</v>
      </c>
      <c r="G4098" s="0" t="s">
        <v>18698</v>
      </c>
    </row>
    <row r="4099" customFormat="false" ht="15" hidden="false" customHeight="false" outlineLevel="0" collapsed="false">
      <c r="A4099" s="0" t="n">
        <v>2269</v>
      </c>
      <c r="B4099" s="0" t="n">
        <v>19720</v>
      </c>
      <c r="C4099" s="0" t="s">
        <v>9709</v>
      </c>
      <c r="D4099" s="0" t="s">
        <v>5</v>
      </c>
      <c r="E4099" s="0" t="e">
        <f aca="false">IFERROR(__xludf.dummyfunction("xlookup(aj2269,importrange("1xainw9du9nz21v0tyi))</f>
        <v>#VALUE!</v>
      </c>
      <c r="F4099" s="0" t="s">
        <v>9710</v>
      </c>
      <c r="G4099" s="0" t="s">
        <v>18698</v>
      </c>
    </row>
    <row r="4100" customFormat="false" ht="15" hidden="false" customHeight="false" outlineLevel="0" collapsed="false">
      <c r="A4100" s="0" t="n">
        <v>2272</v>
      </c>
      <c r="B4100" s="0" t="n">
        <v>19731</v>
      </c>
      <c r="C4100" s="0" t="s">
        <v>9723</v>
      </c>
      <c r="D4100" s="0" t="s">
        <v>5</v>
      </c>
      <c r="E4100" s="0" t="e">
        <f aca="false">IFERROR(__xludf.dummyfunction("xlookup(aj2272,importrange("1xainw9du9nz21v0tyi))</f>
        <v>#VALUE!</v>
      </c>
      <c r="F4100" s="0" t="s">
        <v>9724</v>
      </c>
      <c r="G4100" s="0" t="s">
        <v>18698</v>
      </c>
    </row>
    <row r="4101" customFormat="false" ht="15" hidden="false" customHeight="false" outlineLevel="0" collapsed="false">
      <c r="A4101" s="0" t="n">
        <v>2277</v>
      </c>
      <c r="B4101" s="0" t="n">
        <v>19737</v>
      </c>
      <c r="C4101" s="0" t="s">
        <v>9743</v>
      </c>
      <c r="D4101" s="0" t="s">
        <v>5</v>
      </c>
      <c r="E4101" s="0" t="e">
        <f aca="false">IFERROR(__xludf.dummyfunction("xlookup(aj2277,importrange("1xainw9du9nz21v0tyi))</f>
        <v>#VALUE!</v>
      </c>
      <c r="F4101" s="0" t="s">
        <v>9745</v>
      </c>
      <c r="G4101" s="0" t="s">
        <v>18698</v>
      </c>
    </row>
    <row r="4102" customFormat="false" ht="15" hidden="false" customHeight="false" outlineLevel="0" collapsed="false">
      <c r="A4102" s="0" t="n">
        <v>2281</v>
      </c>
      <c r="B4102" s="0" t="n">
        <v>19746</v>
      </c>
      <c r="C4102" s="0" t="s">
        <v>7168</v>
      </c>
      <c r="D4102" s="0" t="s">
        <v>5</v>
      </c>
      <c r="E4102" s="0" t="e">
        <f aca="false">IFERROR(__xludf.dummyfunction("xlookup(aj2281,importrange("1xainw9du9nz21v0tyi))</f>
        <v>#VALUE!</v>
      </c>
      <c r="F4102" s="0" t="s">
        <v>9761</v>
      </c>
      <c r="G4102" s="0" t="s">
        <v>18698</v>
      </c>
    </row>
    <row r="4103" customFormat="false" ht="15" hidden="false" customHeight="false" outlineLevel="0" collapsed="false">
      <c r="A4103" s="0" t="n">
        <v>2289</v>
      </c>
      <c r="B4103" s="0" t="n">
        <v>19760</v>
      </c>
      <c r="C4103" s="0" t="s">
        <v>9793</v>
      </c>
      <c r="D4103" s="0" t="s">
        <v>5</v>
      </c>
      <c r="E4103" s="0" t="e">
        <f aca="false">IFERROR(__xludf.dummyfunction("xlookup(aj2289,importrange("1xainw9du9nz21v0tyi))</f>
        <v>#VALUE!</v>
      </c>
      <c r="F4103" s="0" t="s">
        <v>9794</v>
      </c>
      <c r="G4103" s="0" t="s">
        <v>18698</v>
      </c>
    </row>
    <row r="4104" customFormat="false" ht="15" hidden="false" customHeight="false" outlineLevel="0" collapsed="false">
      <c r="A4104" s="0" t="n">
        <v>2290</v>
      </c>
      <c r="B4104" s="0" t="n">
        <v>19761</v>
      </c>
      <c r="C4104" s="0" t="s">
        <v>9799</v>
      </c>
      <c r="D4104" s="0" t="s">
        <v>5</v>
      </c>
      <c r="E4104" s="0" t="e">
        <f aca="false">IFERROR(__xludf.dummyfunction("xlookup(aj2290,importrange("1xainw9du9nz21v0tyi))</f>
        <v>#VALUE!</v>
      </c>
      <c r="F4104" s="0" t="s">
        <v>9800</v>
      </c>
      <c r="G4104" s="0" t="s">
        <v>18698</v>
      </c>
    </row>
    <row r="4105" customFormat="false" ht="15" hidden="false" customHeight="false" outlineLevel="0" collapsed="false">
      <c r="A4105" s="0" t="n">
        <v>2291</v>
      </c>
      <c r="B4105" s="0" t="n">
        <v>19762</v>
      </c>
      <c r="C4105" s="0" t="s">
        <v>9804</v>
      </c>
      <c r="D4105" s="0" t="s">
        <v>5</v>
      </c>
      <c r="E4105" s="0" t="e">
        <f aca="false">IFERROR(__xludf.dummyfunction("xlookup(aj2291,importrange("1xainw9du9nz21v0tyi))</f>
        <v>#VALUE!</v>
      </c>
      <c r="F4105" s="0" t="s">
        <v>9805</v>
      </c>
      <c r="G4105" s="0" t="s">
        <v>18698</v>
      </c>
    </row>
    <row r="4106" customFormat="false" ht="15" hidden="false" customHeight="false" outlineLevel="0" collapsed="false">
      <c r="A4106" s="0" t="n">
        <v>2295</v>
      </c>
      <c r="B4106" s="0" t="n">
        <v>19776</v>
      </c>
      <c r="C4106" s="0" t="s">
        <v>9818</v>
      </c>
      <c r="D4106" s="0" t="s">
        <v>5</v>
      </c>
      <c r="E4106" s="0" t="e">
        <f aca="false">IFERROR(__xludf.dummyfunction("xlookup(aj2295,importrange("1xainw9du9nz21v0tyi))</f>
        <v>#VALUE!</v>
      </c>
      <c r="F4106" s="0" t="s">
        <v>9819</v>
      </c>
      <c r="G4106" s="0" t="s">
        <v>18698</v>
      </c>
    </row>
    <row r="4107" customFormat="false" ht="15" hidden="false" customHeight="false" outlineLevel="0" collapsed="false">
      <c r="A4107" s="0" t="n">
        <v>2297</v>
      </c>
      <c r="B4107" s="0" t="n">
        <v>19779</v>
      </c>
      <c r="C4107" s="0" t="s">
        <v>9825</v>
      </c>
      <c r="D4107" s="0" t="s">
        <v>5</v>
      </c>
      <c r="E4107" s="0" t="e">
        <f aca="false">IFERROR(__xludf.dummyfunction("xlookup(aj2297,importrange("1xainw9du9nz21v0tyi))</f>
        <v>#VALUE!</v>
      </c>
      <c r="F4107" s="0" t="s">
        <v>9826</v>
      </c>
      <c r="G4107" s="0" t="s">
        <v>18698</v>
      </c>
    </row>
    <row r="4108" customFormat="false" ht="15" hidden="false" customHeight="false" outlineLevel="0" collapsed="false">
      <c r="A4108" s="0" t="n">
        <v>2299</v>
      </c>
      <c r="B4108" s="0" t="n">
        <v>19781</v>
      </c>
      <c r="C4108" s="0" t="s">
        <v>9835</v>
      </c>
      <c r="D4108" s="0" t="s">
        <v>5</v>
      </c>
      <c r="E4108" s="0" t="e">
        <f aca="false">IFERROR(__xludf.dummyfunction("xlookup(aj2299,importrange("1xainw9du9nz21v0tyi))</f>
        <v>#VALUE!</v>
      </c>
      <c r="F4108" s="0" t="s">
        <v>9836</v>
      </c>
      <c r="G4108" s="0" t="s">
        <v>18698</v>
      </c>
    </row>
    <row r="4109" customFormat="false" ht="15" hidden="false" customHeight="false" outlineLevel="0" collapsed="false">
      <c r="A4109" s="0" t="n">
        <v>2301</v>
      </c>
      <c r="B4109" s="0" t="n">
        <v>19785</v>
      </c>
      <c r="C4109" s="0" t="s">
        <v>9843</v>
      </c>
      <c r="D4109" s="0" t="s">
        <v>5</v>
      </c>
      <c r="E4109" s="0" t="e">
        <f aca="false">IFERROR(__xludf.dummyfunction("xlookup(aj2301,importrange("1xainw9du9nz21v0tyi))</f>
        <v>#VALUE!</v>
      </c>
      <c r="F4109" s="0" t="s">
        <v>9844</v>
      </c>
      <c r="G4109" s="0" t="s">
        <v>18698</v>
      </c>
    </row>
    <row r="4110" customFormat="false" ht="15" hidden="false" customHeight="false" outlineLevel="0" collapsed="false">
      <c r="A4110" s="0" t="n">
        <v>2302</v>
      </c>
      <c r="B4110" s="0" t="n">
        <v>19794</v>
      </c>
      <c r="C4110" s="0" t="s">
        <v>9847</v>
      </c>
      <c r="D4110" s="0" t="s">
        <v>5</v>
      </c>
      <c r="E4110" s="0" t="e">
        <f aca="false">IFERROR(__xludf.dummyfunction("xlookup(aj2302,importrange("1xainw9du9nz21v0tyi))</f>
        <v>#VALUE!</v>
      </c>
      <c r="F4110" s="0" t="s">
        <v>9848</v>
      </c>
      <c r="G4110" s="0" t="s">
        <v>18698</v>
      </c>
    </row>
    <row r="4111" customFormat="false" ht="15" hidden="false" customHeight="false" outlineLevel="0" collapsed="false">
      <c r="A4111" s="0" t="n">
        <v>2304</v>
      </c>
      <c r="B4111" s="0" t="n">
        <v>19816</v>
      </c>
      <c r="C4111" s="0" t="s">
        <v>9858</v>
      </c>
      <c r="D4111" s="0" t="s">
        <v>5</v>
      </c>
      <c r="E4111" s="0" t="e">
        <f aca="false">IFERROR(__xludf.dummyfunction("xlookup(aj2304,importrange("1xainw9du9nz21v0tyi))</f>
        <v>#VALUE!</v>
      </c>
      <c r="F4111" s="0" t="s">
        <v>9859</v>
      </c>
      <c r="G4111" s="0" t="s">
        <v>18698</v>
      </c>
    </row>
    <row r="4112" customFormat="false" ht="15" hidden="false" customHeight="false" outlineLevel="0" collapsed="false">
      <c r="A4112" s="0" t="n">
        <v>2305</v>
      </c>
      <c r="B4112" s="0" t="n">
        <v>19817</v>
      </c>
      <c r="C4112" s="0" t="s">
        <v>9863</v>
      </c>
      <c r="D4112" s="0" t="s">
        <v>5</v>
      </c>
      <c r="E4112" s="0" t="e">
        <f aca="false">IFERROR(__xludf.dummyfunction("xlookup(aj2305,importrange("1xainw9du9nz21v0tyi))</f>
        <v>#VALUE!</v>
      </c>
      <c r="F4112" s="0" t="s">
        <v>9864</v>
      </c>
      <c r="G4112" s="0" t="s">
        <v>18698</v>
      </c>
    </row>
    <row r="4113" customFormat="false" ht="15" hidden="false" customHeight="false" outlineLevel="0" collapsed="false">
      <c r="A4113" s="0" t="n">
        <v>2306</v>
      </c>
      <c r="B4113" s="0" t="n">
        <v>19818</v>
      </c>
      <c r="C4113" s="0" t="s">
        <v>9869</v>
      </c>
      <c r="D4113" s="0" t="s">
        <v>5</v>
      </c>
      <c r="E4113" s="0" t="e">
        <f aca="false">IFERROR(__xludf.dummyfunction("xlookup(aj2306,importrange("1xainw9du9nz21v0tyi))</f>
        <v>#VALUE!</v>
      </c>
      <c r="F4113" s="0" t="s">
        <v>9870</v>
      </c>
      <c r="G4113" s="0" t="s">
        <v>18698</v>
      </c>
    </row>
    <row r="4114" customFormat="false" ht="15" hidden="false" customHeight="false" outlineLevel="0" collapsed="false">
      <c r="A4114" s="0" t="n">
        <v>2308</v>
      </c>
      <c r="B4114" s="0" t="n">
        <v>19820</v>
      </c>
      <c r="C4114" s="0" t="s">
        <v>9880</v>
      </c>
      <c r="D4114" s="0" t="s">
        <v>5</v>
      </c>
      <c r="E4114" s="0" t="e">
        <f aca="false">IFERROR(__xludf.dummyfunction("xlookup(aj2308,importrange("1xainw9du9nz21v0tyi))</f>
        <v>#VALUE!</v>
      </c>
      <c r="F4114" s="0" t="s">
        <v>9881</v>
      </c>
      <c r="G4114" s="0" t="s">
        <v>18698</v>
      </c>
    </row>
    <row r="4115" customFormat="false" ht="15" hidden="false" customHeight="false" outlineLevel="0" collapsed="false">
      <c r="A4115" s="0" t="n">
        <v>2310</v>
      </c>
      <c r="B4115" s="0" t="n">
        <v>19822</v>
      </c>
      <c r="C4115" s="0" t="s">
        <v>9890</v>
      </c>
      <c r="D4115" s="0" t="s">
        <v>5</v>
      </c>
      <c r="E4115" s="0" t="e">
        <f aca="false">IFERROR(__xludf.dummyfunction("xlookup(aj2310,importrange("1xainw9du9nz21v0tyi))</f>
        <v>#VALUE!</v>
      </c>
      <c r="F4115" s="0" t="s">
        <v>9891</v>
      </c>
      <c r="G4115" s="0" t="s">
        <v>18698</v>
      </c>
    </row>
    <row r="4116" customFormat="false" ht="15" hidden="false" customHeight="false" outlineLevel="0" collapsed="false">
      <c r="A4116" s="0" t="n">
        <v>2312</v>
      </c>
      <c r="B4116" s="0" t="n">
        <v>19824</v>
      </c>
      <c r="C4116" s="0" t="s">
        <v>9899</v>
      </c>
      <c r="D4116" s="0" t="s">
        <v>5</v>
      </c>
      <c r="E4116" s="0" t="e">
        <f aca="false">IFERROR(__xludf.dummyfunction("xlookup(aj2312,importrange("1xainw9du9nz21v0tyi))</f>
        <v>#VALUE!</v>
      </c>
      <c r="F4116" s="0" t="s">
        <v>9900</v>
      </c>
      <c r="G4116" s="0" t="s">
        <v>18698</v>
      </c>
    </row>
    <row r="4117" customFormat="false" ht="15" hidden="false" customHeight="false" outlineLevel="0" collapsed="false">
      <c r="A4117" s="0" t="n">
        <v>2318</v>
      </c>
      <c r="B4117" s="0" t="n">
        <v>19833</v>
      </c>
      <c r="C4117" s="0" t="s">
        <v>9923</v>
      </c>
      <c r="D4117" s="0" t="s">
        <v>5</v>
      </c>
      <c r="E4117" s="0" t="e">
        <f aca="false">IFERROR(__xludf.dummyfunction("xlookup(aj2318,importrange("1xainw9du9nz21v0tyi))</f>
        <v>#VALUE!</v>
      </c>
      <c r="F4117" s="0" t="s">
        <v>9924</v>
      </c>
      <c r="G4117" s="0" t="s">
        <v>18698</v>
      </c>
    </row>
    <row r="4118" customFormat="false" ht="15" hidden="false" customHeight="false" outlineLevel="0" collapsed="false">
      <c r="A4118" s="0" t="n">
        <v>2319</v>
      </c>
      <c r="B4118" s="0" t="n">
        <v>19834</v>
      </c>
      <c r="C4118" s="0" t="s">
        <v>9928</v>
      </c>
      <c r="D4118" s="0" t="s">
        <v>5</v>
      </c>
      <c r="E4118" s="0" t="e">
        <f aca="false">IFERROR(__xludf.dummyfunction("xlookup(aj2319,importrange("1xainw9du9nz21v0tyi))</f>
        <v>#VALUE!</v>
      </c>
      <c r="F4118" s="0" t="s">
        <v>9929</v>
      </c>
      <c r="G4118" s="0" t="s">
        <v>18698</v>
      </c>
    </row>
    <row r="4119" customFormat="false" ht="15" hidden="false" customHeight="false" outlineLevel="0" collapsed="false">
      <c r="A4119" s="0" t="n">
        <v>2320</v>
      </c>
      <c r="B4119" s="0" t="n">
        <v>19835</v>
      </c>
      <c r="C4119" s="0" t="s">
        <v>9932</v>
      </c>
      <c r="D4119" s="0" t="s">
        <v>5</v>
      </c>
      <c r="E4119" s="0" t="e">
        <f aca="false">IFERROR(__xludf.dummyfunction("xlookup(aj2320,importrange("1xainw9du9nz21v0tyi))</f>
        <v>#VALUE!</v>
      </c>
      <c r="F4119" s="0" t="s">
        <v>9933</v>
      </c>
      <c r="G4119" s="0" t="s">
        <v>18698</v>
      </c>
    </row>
    <row r="4120" customFormat="false" ht="15" hidden="false" customHeight="false" outlineLevel="0" collapsed="false">
      <c r="A4120" s="0" t="n">
        <v>2326</v>
      </c>
      <c r="B4120" s="0" t="n">
        <v>22285</v>
      </c>
      <c r="C4120" s="0" t="s">
        <v>9956</v>
      </c>
      <c r="D4120" s="0" t="s">
        <v>5</v>
      </c>
      <c r="E4120" s="0" t="e">
        <f aca="false">IFERROR(__xludf.dummyfunction("xlookup(aj2326,importrange("1xainw9du9nz21v0tyi))</f>
        <v>#VALUE!</v>
      </c>
      <c r="F4120" s="0" t="s">
        <v>9957</v>
      </c>
      <c r="G4120" s="0" t="s">
        <v>18698</v>
      </c>
    </row>
    <row r="4121" customFormat="false" ht="15" hidden="false" customHeight="false" outlineLevel="0" collapsed="false">
      <c r="A4121" s="0" t="n">
        <v>2327</v>
      </c>
      <c r="B4121" s="0" t="n">
        <v>19872</v>
      </c>
      <c r="C4121" s="0" t="s">
        <v>9960</v>
      </c>
      <c r="D4121" s="0" t="s">
        <v>5</v>
      </c>
      <c r="E4121" s="0" t="e">
        <f aca="false">IFERROR(__xludf.dummyfunction("xlookup(aj2327,importrange("1xainw9du9nz21v0tyi))</f>
        <v>#VALUE!</v>
      </c>
      <c r="F4121" s="0" t="s">
        <v>9961</v>
      </c>
      <c r="G4121" s="0" t="s">
        <v>18698</v>
      </c>
    </row>
    <row r="4122" customFormat="false" ht="15" hidden="false" customHeight="false" outlineLevel="0" collapsed="false">
      <c r="A4122" s="0" t="n">
        <v>2332</v>
      </c>
      <c r="B4122" s="0" t="n">
        <v>19877</v>
      </c>
      <c r="C4122" s="0" t="s">
        <v>9981</v>
      </c>
      <c r="D4122" s="0" t="s">
        <v>5</v>
      </c>
      <c r="E4122" s="0" t="e">
        <f aca="false">IFERROR(__xludf.dummyfunction("xlookup(aj2332,importrange("1xainw9du9nz21v0tyi))</f>
        <v>#VALUE!</v>
      </c>
      <c r="F4122" s="0" t="s">
        <v>9982</v>
      </c>
      <c r="G4122" s="0" t="s">
        <v>18698</v>
      </c>
    </row>
    <row r="4123" customFormat="false" ht="15" hidden="false" customHeight="false" outlineLevel="0" collapsed="false">
      <c r="A4123" s="0" t="n">
        <v>2336</v>
      </c>
      <c r="B4123" s="0" t="n">
        <v>19887</v>
      </c>
      <c r="C4123" s="0" t="s">
        <v>9997</v>
      </c>
      <c r="D4123" s="0" t="s">
        <v>5</v>
      </c>
      <c r="E4123" s="0" t="e">
        <f aca="false">IFERROR(__xludf.dummyfunction("xlookup(aj2336,importrange("1xainw9du9nz21v0tyi))</f>
        <v>#VALUE!</v>
      </c>
      <c r="F4123" s="0" t="s">
        <v>9998</v>
      </c>
      <c r="G4123" s="0" t="s">
        <v>18698</v>
      </c>
    </row>
    <row r="4124" customFormat="false" ht="15" hidden="false" customHeight="false" outlineLevel="0" collapsed="false">
      <c r="A4124" s="0" t="n">
        <v>2337</v>
      </c>
      <c r="B4124" s="0" t="n">
        <v>19891</v>
      </c>
      <c r="C4124" s="0" t="s">
        <v>10002</v>
      </c>
      <c r="D4124" s="0" t="s">
        <v>5</v>
      </c>
      <c r="E4124" s="0" t="e">
        <f aca="false">IFERROR(__xludf.dummyfunction("xlookup(aj2337,importrange("1xainw9du9nz21v0tyi))</f>
        <v>#VALUE!</v>
      </c>
      <c r="F4124" s="0" t="s">
        <v>10003</v>
      </c>
      <c r="G4124" s="0" t="s">
        <v>18698</v>
      </c>
    </row>
    <row r="4125" customFormat="false" ht="15" hidden="false" customHeight="false" outlineLevel="0" collapsed="false">
      <c r="A4125" s="0" t="n">
        <v>2338</v>
      </c>
      <c r="B4125" s="0" t="n">
        <v>19892</v>
      </c>
      <c r="C4125" s="0" t="s">
        <v>10008</v>
      </c>
      <c r="D4125" s="0" t="s">
        <v>5</v>
      </c>
      <c r="E4125" s="0" t="e">
        <f aca="false">IFERROR(__xludf.dummyfunction("xlookup(aj2338,importrange("1xainw9du9nz21v0tyi))</f>
        <v>#VALUE!</v>
      </c>
      <c r="F4125" s="0" t="s">
        <v>10009</v>
      </c>
      <c r="G4125" s="0" t="s">
        <v>18698</v>
      </c>
    </row>
    <row r="4126" customFormat="false" ht="15" hidden="false" customHeight="false" outlineLevel="0" collapsed="false">
      <c r="A4126" s="0" t="n">
        <v>2339</v>
      </c>
      <c r="B4126" s="0" t="n">
        <v>19893</v>
      </c>
      <c r="C4126" s="0" t="s">
        <v>10012</v>
      </c>
      <c r="D4126" s="0" t="s">
        <v>5</v>
      </c>
      <c r="E4126" s="0" t="e">
        <f aca="false">IFERROR(__xludf.dummyfunction("xlookup(aj2339,importrange("1xainw9du9nz21v0tyi))</f>
        <v>#VALUE!</v>
      </c>
      <c r="F4126" s="0" t="s">
        <v>10013</v>
      </c>
      <c r="G4126" s="0" t="s">
        <v>18698</v>
      </c>
    </row>
    <row r="4127" customFormat="false" ht="15" hidden="false" customHeight="false" outlineLevel="0" collapsed="false">
      <c r="A4127" s="0" t="n">
        <v>2340</v>
      </c>
      <c r="B4127" s="0" t="n">
        <v>19894</v>
      </c>
      <c r="C4127" s="0" t="s">
        <v>10016</v>
      </c>
      <c r="D4127" s="0" t="s">
        <v>5</v>
      </c>
      <c r="E4127" s="0" t="e">
        <f aca="false">IFERROR(__xludf.dummyfunction("xlookup(aj2340,importrange("1xainw9du9nz21v0tyi))</f>
        <v>#VALUE!</v>
      </c>
      <c r="F4127" s="0" t="s">
        <v>10017</v>
      </c>
      <c r="G4127" s="0" t="s">
        <v>18698</v>
      </c>
    </row>
    <row r="4128" customFormat="false" ht="15" hidden="false" customHeight="false" outlineLevel="0" collapsed="false">
      <c r="A4128" s="0" t="n">
        <v>2343</v>
      </c>
      <c r="B4128" s="0" t="n">
        <v>19911</v>
      </c>
      <c r="C4128" s="0" t="s">
        <v>10028</v>
      </c>
      <c r="D4128" s="0" t="s">
        <v>5</v>
      </c>
      <c r="E4128" s="0" t="e">
        <f aca="false">IFERROR(__xludf.dummyfunction("xlookup(aj2343,importrange("1xainw9du9nz21v0tyi))</f>
        <v>#VALUE!</v>
      </c>
      <c r="F4128" s="0" t="s">
        <v>10029</v>
      </c>
      <c r="G4128" s="0" t="s">
        <v>18698</v>
      </c>
    </row>
    <row r="4129" customFormat="false" ht="15" hidden="false" customHeight="false" outlineLevel="0" collapsed="false">
      <c r="A4129" s="0" t="n">
        <v>2344</v>
      </c>
      <c r="B4129" s="0" t="n">
        <v>19912</v>
      </c>
      <c r="C4129" s="0" t="s">
        <v>10033</v>
      </c>
      <c r="D4129" s="0" t="s">
        <v>5</v>
      </c>
      <c r="E4129" s="0" t="e">
        <f aca="false">IFERROR(__xludf.dummyfunction("xlookup(aj2344,importrange("1xainw9du9nz21v0tyi))</f>
        <v>#VALUE!</v>
      </c>
      <c r="F4129" s="0" t="s">
        <v>10034</v>
      </c>
      <c r="G4129" s="0" t="s">
        <v>18698</v>
      </c>
    </row>
    <row r="4130" customFormat="false" ht="15" hidden="false" customHeight="false" outlineLevel="0" collapsed="false">
      <c r="A4130" s="0" t="n">
        <v>2346</v>
      </c>
      <c r="B4130" s="0" t="n">
        <v>19917</v>
      </c>
      <c r="C4130" s="0" t="s">
        <v>10042</v>
      </c>
      <c r="D4130" s="0" t="s">
        <v>5</v>
      </c>
      <c r="E4130" s="0" t="e">
        <f aca="false">IFERROR(__xludf.dummyfunction("xlookup(aj2346,importrange("1xainw9du9nz21v0tyi))</f>
        <v>#VALUE!</v>
      </c>
      <c r="F4130" s="0" t="s">
        <v>10043</v>
      </c>
      <c r="G4130" s="0" t="s">
        <v>18698</v>
      </c>
    </row>
    <row r="4131" customFormat="false" ht="15" hidden="false" customHeight="false" outlineLevel="0" collapsed="false">
      <c r="A4131" s="0" t="n">
        <v>2348</v>
      </c>
      <c r="B4131" s="0" t="n">
        <v>22557</v>
      </c>
      <c r="C4131" s="0" t="s">
        <v>10050</v>
      </c>
      <c r="D4131" s="0" t="s">
        <v>5</v>
      </c>
      <c r="E4131" s="0" t="e">
        <f aca="false">IFERROR(__xludf.dummyfunction("xlookup(aj2348,importrange("1xainw9du9nz21v0tyi))</f>
        <v>#VALUE!</v>
      </c>
      <c r="F4131" s="0" t="s">
        <v>10051</v>
      </c>
      <c r="G4131" s="0" t="s">
        <v>18698</v>
      </c>
    </row>
    <row r="4132" customFormat="false" ht="15" hidden="false" customHeight="false" outlineLevel="0" collapsed="false">
      <c r="A4132" s="0" t="n">
        <v>2351</v>
      </c>
      <c r="B4132" s="0" t="n">
        <v>19951</v>
      </c>
      <c r="C4132" s="0" t="s">
        <v>10062</v>
      </c>
      <c r="D4132" s="0" t="s">
        <v>5</v>
      </c>
      <c r="E4132" s="0" t="e">
        <f aca="false">IFERROR(__xludf.dummyfunction("xlookup(aj2351,importrange("1xainw9du9nz21v0tyi))</f>
        <v>#VALUE!</v>
      </c>
      <c r="F4132" s="0" t="s">
        <v>10063</v>
      </c>
      <c r="G4132" s="0" t="s">
        <v>18698</v>
      </c>
    </row>
    <row r="4133" customFormat="false" ht="15" hidden="false" customHeight="false" outlineLevel="0" collapsed="false">
      <c r="A4133" s="0" t="n">
        <v>2352</v>
      </c>
      <c r="B4133" s="0" t="n">
        <v>19952</v>
      </c>
      <c r="C4133" s="0" t="s">
        <v>10066</v>
      </c>
      <c r="D4133" s="0" t="s">
        <v>5</v>
      </c>
      <c r="E4133" s="0" t="e">
        <f aca="false">IFERROR(__xludf.dummyfunction("xlookup(aj2352,importrange("1xainw9du9nz21v0tyi))</f>
        <v>#VALUE!</v>
      </c>
      <c r="F4133" s="0" t="s">
        <v>10067</v>
      </c>
      <c r="G4133" s="0" t="s">
        <v>18698</v>
      </c>
    </row>
    <row r="4134" customFormat="false" ht="15" hidden="false" customHeight="false" outlineLevel="0" collapsed="false">
      <c r="A4134" s="0" t="n">
        <v>2354</v>
      </c>
      <c r="B4134" s="0" t="n">
        <v>19954</v>
      </c>
      <c r="C4134" s="0" t="s">
        <v>10074</v>
      </c>
      <c r="D4134" s="0" t="s">
        <v>5</v>
      </c>
      <c r="E4134" s="0" t="e">
        <f aca="false">IFERROR(__xludf.dummyfunction("xlookup(aj2354,importrange("1xainw9du9nz21v0tyi))</f>
        <v>#VALUE!</v>
      </c>
      <c r="F4134" s="0" t="s">
        <v>10075</v>
      </c>
      <c r="G4134" s="0" t="s">
        <v>18698</v>
      </c>
    </row>
    <row r="4135" customFormat="false" ht="15" hidden="false" customHeight="false" outlineLevel="0" collapsed="false">
      <c r="A4135" s="0" t="n">
        <v>2355</v>
      </c>
      <c r="B4135" s="0" t="n">
        <v>19955</v>
      </c>
      <c r="C4135" s="0" t="s">
        <v>10078</v>
      </c>
      <c r="D4135" s="0" t="s">
        <v>5</v>
      </c>
      <c r="E4135" s="0" t="e">
        <f aca="false">IFERROR(__xludf.dummyfunction("xlookup(aj2355,importrange("1xainw9du9nz21v0tyi))</f>
        <v>#VALUE!</v>
      </c>
      <c r="F4135" s="0" t="s">
        <v>10079</v>
      </c>
      <c r="G4135" s="0" t="s">
        <v>18698</v>
      </c>
    </row>
    <row r="4136" customFormat="false" ht="15" hidden="false" customHeight="false" outlineLevel="0" collapsed="false">
      <c r="A4136" s="0" t="n">
        <v>2356</v>
      </c>
      <c r="B4136" s="0" t="n">
        <v>19956</v>
      </c>
      <c r="C4136" s="0" t="s">
        <v>10083</v>
      </c>
      <c r="D4136" s="0" t="s">
        <v>5</v>
      </c>
      <c r="E4136" s="0" t="e">
        <f aca="false">IFERROR(__xludf.dummyfunction("xlookup(aj2356,importrange("1xainw9du9nz21v0tyi))</f>
        <v>#VALUE!</v>
      </c>
      <c r="F4136" s="0" t="s">
        <v>10084</v>
      </c>
      <c r="G4136" s="0" t="s">
        <v>18698</v>
      </c>
    </row>
    <row r="4137" customFormat="false" ht="15" hidden="false" customHeight="false" outlineLevel="0" collapsed="false">
      <c r="A4137" s="0" t="n">
        <v>2358</v>
      </c>
      <c r="B4137" s="0" t="n">
        <v>19966</v>
      </c>
      <c r="C4137" s="0" t="s">
        <v>10092</v>
      </c>
      <c r="D4137" s="0" t="s">
        <v>5</v>
      </c>
      <c r="E4137" s="0" t="e">
        <f aca="false">IFERROR(__xludf.dummyfunction("xlookup(aj2358,importrange("1xainw9du9nz21v0tyi))</f>
        <v>#VALUE!</v>
      </c>
      <c r="F4137" s="0" t="s">
        <v>10093</v>
      </c>
      <c r="G4137" s="0" t="s">
        <v>18698</v>
      </c>
    </row>
    <row r="4138" customFormat="false" ht="15" hidden="false" customHeight="false" outlineLevel="0" collapsed="false">
      <c r="A4138" s="0" t="n">
        <v>2360</v>
      </c>
      <c r="B4138" s="0" t="n">
        <v>19968</v>
      </c>
      <c r="C4138" s="0" t="s">
        <v>10102</v>
      </c>
      <c r="D4138" s="0" t="s">
        <v>5</v>
      </c>
      <c r="E4138" s="0" t="e">
        <f aca="false">IFERROR(__xludf.dummyfunction("xlookup(aj2360,importrange("1xainw9du9nz21v0tyi))</f>
        <v>#VALUE!</v>
      </c>
      <c r="F4138" s="0" t="s">
        <v>10103</v>
      </c>
      <c r="G4138" s="0" t="s">
        <v>18698</v>
      </c>
    </row>
    <row r="4139" customFormat="false" ht="15" hidden="false" customHeight="false" outlineLevel="0" collapsed="false">
      <c r="A4139" s="0" t="n">
        <v>2363</v>
      </c>
      <c r="B4139" s="0" t="n">
        <v>19972</v>
      </c>
      <c r="C4139" s="0" t="s">
        <v>10114</v>
      </c>
      <c r="D4139" s="0" t="s">
        <v>5</v>
      </c>
      <c r="E4139" s="0" t="e">
        <f aca="false">IFERROR(__xludf.dummyfunction("xlookup(aj2363,importrange("1xainw9du9nz21v0tyi))</f>
        <v>#VALUE!</v>
      </c>
      <c r="F4139" s="0" t="s">
        <v>10115</v>
      </c>
      <c r="G4139" s="0" t="s">
        <v>18698</v>
      </c>
    </row>
    <row r="4140" customFormat="false" ht="15" hidden="false" customHeight="false" outlineLevel="0" collapsed="false">
      <c r="A4140" s="0" t="n">
        <v>2368</v>
      </c>
      <c r="B4140" s="0" t="n">
        <v>19978</v>
      </c>
      <c r="C4140" s="0" t="s">
        <v>10135</v>
      </c>
      <c r="D4140" s="0" t="s">
        <v>5</v>
      </c>
      <c r="E4140" s="0" t="e">
        <f aca="false">IFERROR(__xludf.dummyfunction("xlookup(aj2368,importrange("1xainw9du9nz21v0tyi))</f>
        <v>#VALUE!</v>
      </c>
      <c r="F4140" s="0" t="s">
        <v>10136</v>
      </c>
      <c r="G4140" s="0" t="s">
        <v>18698</v>
      </c>
    </row>
    <row r="4141" customFormat="false" ht="15" hidden="false" customHeight="false" outlineLevel="0" collapsed="false">
      <c r="A4141" s="0" t="n">
        <v>2369</v>
      </c>
      <c r="B4141" s="0" t="n">
        <v>19979</v>
      </c>
      <c r="C4141" s="0" t="s">
        <v>10140</v>
      </c>
      <c r="D4141" s="0" t="s">
        <v>5</v>
      </c>
      <c r="E4141" s="0" t="e">
        <f aca="false">IFERROR(__xludf.dummyfunction("xlookup(aj2369,importrange("1xainw9du9nz21v0tyi))</f>
        <v>#VALUE!</v>
      </c>
      <c r="F4141" s="0" t="s">
        <v>10141</v>
      </c>
      <c r="G4141" s="0" t="s">
        <v>18698</v>
      </c>
    </row>
    <row r="4142" customFormat="false" ht="15" hidden="false" customHeight="false" outlineLevel="0" collapsed="false">
      <c r="A4142" s="0" t="n">
        <v>2370</v>
      </c>
      <c r="B4142" s="0" t="n">
        <v>19980</v>
      </c>
      <c r="C4142" s="0" t="s">
        <v>10145</v>
      </c>
      <c r="D4142" s="0" t="s">
        <v>5</v>
      </c>
      <c r="E4142" s="0" t="e">
        <f aca="false">IFERROR(__xludf.dummyfunction("xlookup(aj2370,importrange("1xainw9du9nz21v0tyi))</f>
        <v>#VALUE!</v>
      </c>
      <c r="F4142" s="0" t="s">
        <v>10146</v>
      </c>
      <c r="G4142" s="0" t="s">
        <v>18698</v>
      </c>
    </row>
    <row r="4143" customFormat="false" ht="15" hidden="false" customHeight="false" outlineLevel="0" collapsed="false">
      <c r="A4143" s="0" t="n">
        <v>2373</v>
      </c>
      <c r="B4143" s="0" t="n">
        <v>19983</v>
      </c>
      <c r="C4143" s="0" t="s">
        <v>10160</v>
      </c>
      <c r="D4143" s="0" t="s">
        <v>5</v>
      </c>
      <c r="E4143" s="0" t="e">
        <f aca="false">IFERROR(__xludf.dummyfunction("xlookup(aj2373,importrange("1xainw9du9nz21v0tyi))</f>
        <v>#VALUE!</v>
      </c>
      <c r="F4143" s="0" t="s">
        <v>10161</v>
      </c>
      <c r="G4143" s="0" t="s">
        <v>18698</v>
      </c>
    </row>
    <row r="4144" customFormat="false" ht="15" hidden="false" customHeight="false" outlineLevel="0" collapsed="false">
      <c r="A4144" s="0" t="n">
        <v>2374</v>
      </c>
      <c r="B4144" s="0" t="n">
        <v>19984</v>
      </c>
      <c r="C4144" s="0" t="s">
        <v>10165</v>
      </c>
      <c r="D4144" s="0" t="s">
        <v>5</v>
      </c>
      <c r="E4144" s="0" t="e">
        <f aca="false">IFERROR(__xludf.dummyfunction("xlookup(aj2374,importrange("1xainw9du9nz21v0tyi))</f>
        <v>#VALUE!</v>
      </c>
      <c r="F4144" s="0" t="s">
        <v>10166</v>
      </c>
      <c r="G4144" s="0" t="s">
        <v>18698</v>
      </c>
    </row>
    <row r="4145" customFormat="false" ht="15" hidden="false" customHeight="false" outlineLevel="0" collapsed="false">
      <c r="A4145" s="0" t="n">
        <v>2379</v>
      </c>
      <c r="B4145" s="0" t="n">
        <v>19989</v>
      </c>
      <c r="C4145" s="0" t="s">
        <v>10188</v>
      </c>
      <c r="D4145" s="0" t="s">
        <v>5</v>
      </c>
      <c r="E4145" s="0" t="e">
        <f aca="false">IFERROR(__xludf.dummyfunction("xlookup(aj2379,importrange("1xainw9du9nz21v0tyi))</f>
        <v>#VALUE!</v>
      </c>
      <c r="F4145" s="0" t="s">
        <v>10189</v>
      </c>
      <c r="G4145" s="0" t="s">
        <v>18698</v>
      </c>
    </row>
    <row r="4146" customFormat="false" ht="15" hidden="false" customHeight="false" outlineLevel="0" collapsed="false">
      <c r="A4146" s="0" t="n">
        <v>2386</v>
      </c>
      <c r="B4146" s="0" t="n">
        <v>19996</v>
      </c>
      <c r="C4146" s="0" t="s">
        <v>10222</v>
      </c>
      <c r="D4146" s="0" t="s">
        <v>5</v>
      </c>
      <c r="E4146" s="0" t="e">
        <f aca="false">IFERROR(__xludf.dummyfunction("xlookup(aj2386,importrange("1xainw9du9nz21v0tyi))</f>
        <v>#VALUE!</v>
      </c>
      <c r="F4146" s="0" t="s">
        <v>10223</v>
      </c>
      <c r="G4146" s="0" t="s">
        <v>18698</v>
      </c>
    </row>
    <row r="4147" customFormat="false" ht="15" hidden="false" customHeight="false" outlineLevel="0" collapsed="false">
      <c r="A4147" s="0" t="n">
        <v>2387</v>
      </c>
      <c r="B4147" s="0" t="n">
        <v>19997</v>
      </c>
      <c r="C4147" s="0" t="s">
        <v>10227</v>
      </c>
      <c r="D4147" s="0" t="s">
        <v>5</v>
      </c>
      <c r="E4147" s="0" t="e">
        <f aca="false">IFERROR(__xludf.dummyfunction("xlookup(aj2387,importrange("1xainw9du9nz21v0tyi))</f>
        <v>#VALUE!</v>
      </c>
      <c r="F4147" s="0" t="s">
        <v>10228</v>
      </c>
      <c r="G4147" s="0" t="s">
        <v>18698</v>
      </c>
    </row>
    <row r="4148" customFormat="false" ht="15" hidden="false" customHeight="false" outlineLevel="0" collapsed="false">
      <c r="A4148" s="0" t="n">
        <v>2389</v>
      </c>
      <c r="B4148" s="0" t="n">
        <v>19999</v>
      </c>
      <c r="C4148" s="0" t="s">
        <v>10238</v>
      </c>
      <c r="D4148" s="0" t="s">
        <v>5</v>
      </c>
      <c r="E4148" s="0" t="e">
        <f aca="false">IFERROR(__xludf.dummyfunction("xlookup(aj2389,importrange("1xainw9du9nz21v0tyi))</f>
        <v>#VALUE!</v>
      </c>
      <c r="F4148" s="0" t="s">
        <v>10239</v>
      </c>
      <c r="G4148" s="0" t="s">
        <v>18698</v>
      </c>
    </row>
    <row r="4149" customFormat="false" ht="15" hidden="false" customHeight="false" outlineLevel="0" collapsed="false">
      <c r="A4149" s="0" t="n">
        <v>2393</v>
      </c>
      <c r="B4149" s="0" t="n">
        <v>20003</v>
      </c>
      <c r="C4149" s="0" t="s">
        <v>10257</v>
      </c>
      <c r="D4149" s="0" t="s">
        <v>5</v>
      </c>
      <c r="E4149" s="0" t="e">
        <f aca="false">IFERROR(__xludf.dummyfunction("xlookup(aj2393,importrange("1xainw9du9nz21v0tyi))</f>
        <v>#VALUE!</v>
      </c>
      <c r="F4149" s="0" t="s">
        <v>10258</v>
      </c>
      <c r="G4149" s="0" t="s">
        <v>18698</v>
      </c>
    </row>
    <row r="4150" customFormat="false" ht="15" hidden="false" customHeight="false" outlineLevel="0" collapsed="false">
      <c r="A4150" s="0" t="n">
        <v>2399</v>
      </c>
      <c r="B4150" s="0" t="n">
        <v>20009</v>
      </c>
      <c r="C4150" s="0" t="s">
        <v>10287</v>
      </c>
      <c r="D4150" s="0" t="s">
        <v>5</v>
      </c>
      <c r="E4150" s="0" t="e">
        <f aca="false">IFERROR(__xludf.dummyfunction("xlookup(aj2399,importrange("1xainw9du9nz21v0tyi))</f>
        <v>#VALUE!</v>
      </c>
      <c r="F4150" s="0" t="s">
        <v>10288</v>
      </c>
      <c r="G4150" s="0" t="s">
        <v>18698</v>
      </c>
    </row>
    <row r="4151" customFormat="false" ht="15" hidden="false" customHeight="false" outlineLevel="0" collapsed="false">
      <c r="A4151" s="0" t="n">
        <v>2400</v>
      </c>
      <c r="B4151" s="0" t="n">
        <v>20010</v>
      </c>
      <c r="C4151" s="0" t="s">
        <v>10292</v>
      </c>
      <c r="D4151" s="0" t="s">
        <v>5</v>
      </c>
      <c r="E4151" s="0" t="e">
        <f aca="false">IFERROR(__xludf.dummyfunction("xlookup(aj2400,importrange("1xainw9du9nz21v0tyi))</f>
        <v>#VALUE!</v>
      </c>
      <c r="F4151" s="0" t="s">
        <v>10293</v>
      </c>
      <c r="G4151" s="0" t="s">
        <v>18698</v>
      </c>
    </row>
    <row r="4152" customFormat="false" ht="15" hidden="false" customHeight="false" outlineLevel="0" collapsed="false">
      <c r="A4152" s="0" t="n">
        <v>2401</v>
      </c>
      <c r="B4152" s="0" t="n">
        <v>20011</v>
      </c>
      <c r="C4152" s="0" t="s">
        <v>10298</v>
      </c>
      <c r="D4152" s="0" t="s">
        <v>5</v>
      </c>
      <c r="E4152" s="0" t="e">
        <f aca="false">IFERROR(__xludf.dummyfunction("xlookup(aj2401,importrange("1xainw9du9nz21v0tyi))</f>
        <v>#VALUE!</v>
      </c>
      <c r="F4152" s="0" t="s">
        <v>10299</v>
      </c>
      <c r="G4152" s="0" t="s">
        <v>18698</v>
      </c>
    </row>
    <row r="4153" customFormat="false" ht="15" hidden="false" customHeight="false" outlineLevel="0" collapsed="false">
      <c r="A4153" s="0" t="n">
        <v>2404</v>
      </c>
      <c r="B4153" s="0" t="n">
        <v>20014</v>
      </c>
      <c r="C4153" s="0" t="s">
        <v>10311</v>
      </c>
      <c r="D4153" s="0" t="s">
        <v>5</v>
      </c>
      <c r="E4153" s="0" t="e">
        <f aca="false">IFERROR(__xludf.dummyfunction("xlookup(aj2404,importrange("1xainw9du9nz21v0tyi))</f>
        <v>#VALUE!</v>
      </c>
      <c r="F4153" s="0" t="s">
        <v>10312</v>
      </c>
      <c r="G4153" s="0" t="s">
        <v>18698</v>
      </c>
    </row>
    <row r="4154" customFormat="false" ht="15" hidden="false" customHeight="false" outlineLevel="0" collapsed="false">
      <c r="A4154" s="0" t="n">
        <v>2416</v>
      </c>
      <c r="B4154" s="0" t="n">
        <v>20027</v>
      </c>
      <c r="C4154" s="0" t="s">
        <v>10363</v>
      </c>
      <c r="D4154" s="0" t="s">
        <v>5</v>
      </c>
      <c r="E4154" s="0" t="e">
        <f aca="false">IFERROR(__xludf.dummyfunction("xlookup(aj2416,importrange("1xainw9du9nz21v0tyi))</f>
        <v>#VALUE!</v>
      </c>
      <c r="F4154" s="0" t="s">
        <v>10364</v>
      </c>
      <c r="G4154" s="0" t="s">
        <v>18698</v>
      </c>
    </row>
    <row r="4155" customFormat="false" ht="15" hidden="false" customHeight="false" outlineLevel="0" collapsed="false">
      <c r="A4155" s="0" t="n">
        <v>2417</v>
      </c>
      <c r="B4155" s="0" t="n">
        <v>20028</v>
      </c>
      <c r="C4155" s="0" t="s">
        <v>10369</v>
      </c>
      <c r="D4155" s="0" t="s">
        <v>5</v>
      </c>
      <c r="E4155" s="0" t="e">
        <f aca="false">IFERROR(__xludf.dummyfunction("xlookup(aj2417,importrange("1xainw9du9nz21v0tyi))</f>
        <v>#VALUE!</v>
      </c>
      <c r="F4155" s="0" t="s">
        <v>10370</v>
      </c>
      <c r="G4155" s="0" t="s">
        <v>18698</v>
      </c>
    </row>
    <row r="4156" customFormat="false" ht="15" hidden="false" customHeight="false" outlineLevel="0" collapsed="false">
      <c r="A4156" s="0" t="n">
        <v>2422</v>
      </c>
      <c r="B4156" s="0" t="n">
        <v>20037</v>
      </c>
      <c r="C4156" s="0" t="s">
        <v>10390</v>
      </c>
      <c r="D4156" s="0" t="s">
        <v>5</v>
      </c>
      <c r="E4156" s="0" t="e">
        <f aca="false">IFERROR(__xludf.dummyfunction("xlookup(aj2422,importrange("1xainw9du9nz21v0tyi))</f>
        <v>#VALUE!</v>
      </c>
      <c r="F4156" s="0" t="s">
        <v>10391</v>
      </c>
      <c r="G4156" s="0" t="s">
        <v>18698</v>
      </c>
    </row>
    <row r="4157" customFormat="false" ht="15" hidden="false" customHeight="false" outlineLevel="0" collapsed="false">
      <c r="A4157" s="0" t="n">
        <v>2424</v>
      </c>
      <c r="B4157" s="0" t="n">
        <v>20040</v>
      </c>
      <c r="C4157" s="0" t="s">
        <v>10400</v>
      </c>
      <c r="D4157" s="0" t="s">
        <v>5</v>
      </c>
      <c r="E4157" s="0" t="e">
        <f aca="false">IFERROR(__xludf.dummyfunction("xlookup(aj2424,importrange("1xainw9du9nz21v0tyi))</f>
        <v>#VALUE!</v>
      </c>
      <c r="F4157" s="0" t="s">
        <v>10401</v>
      </c>
      <c r="G4157" s="0" t="s">
        <v>18698</v>
      </c>
    </row>
    <row r="4158" customFormat="false" ht="15" hidden="false" customHeight="false" outlineLevel="0" collapsed="false">
      <c r="A4158" s="0" t="n">
        <v>2425</v>
      </c>
      <c r="B4158" s="0" t="n">
        <v>20045</v>
      </c>
      <c r="C4158" s="0" t="s">
        <v>10406</v>
      </c>
      <c r="D4158" s="0" t="s">
        <v>5</v>
      </c>
      <c r="E4158" s="0" t="e">
        <f aca="false">IFERROR(__xludf.dummyfunction("xlookup(aj2425,importrange("1xainw9du9nz21v0tyi))</f>
        <v>#VALUE!</v>
      </c>
      <c r="F4158" s="0" t="s">
        <v>10407</v>
      </c>
      <c r="G4158" s="0" t="s">
        <v>18698</v>
      </c>
    </row>
    <row r="4159" customFormat="false" ht="15" hidden="false" customHeight="false" outlineLevel="0" collapsed="false">
      <c r="A4159" s="0" t="n">
        <v>2427</v>
      </c>
      <c r="B4159" s="0" t="n">
        <v>20048</v>
      </c>
      <c r="C4159" s="0" t="s">
        <v>10414</v>
      </c>
      <c r="D4159" s="0" t="s">
        <v>5</v>
      </c>
      <c r="E4159" s="0" t="e">
        <f aca="false">IFERROR(__xludf.dummyfunction("xlookup(aj2427,importrange("1xainw9du9nz21v0tyi))</f>
        <v>#VALUE!</v>
      </c>
      <c r="F4159" s="0" t="s">
        <v>10415</v>
      </c>
      <c r="G4159" s="0" t="s">
        <v>18698</v>
      </c>
    </row>
    <row r="4160" customFormat="false" ht="15" hidden="false" customHeight="false" outlineLevel="0" collapsed="false">
      <c r="A4160" s="0" t="n">
        <v>2434</v>
      </c>
      <c r="B4160" s="0" t="n">
        <v>20062</v>
      </c>
      <c r="C4160" s="0" t="s">
        <v>10439</v>
      </c>
      <c r="D4160" s="0" t="s">
        <v>5</v>
      </c>
      <c r="E4160" s="0" t="e">
        <f aca="false">IFERROR(__xludf.dummyfunction("xlookup(aj2434,importrange("1xainw9du9nz21v0tyi))</f>
        <v>#VALUE!</v>
      </c>
      <c r="F4160" s="0" t="s">
        <v>10440</v>
      </c>
      <c r="G4160" s="0" t="s">
        <v>18698</v>
      </c>
    </row>
    <row r="4161" customFormat="false" ht="15" hidden="false" customHeight="false" outlineLevel="0" collapsed="false">
      <c r="A4161" s="0" t="n">
        <v>2435</v>
      </c>
      <c r="B4161" s="0" t="n">
        <v>20063</v>
      </c>
      <c r="C4161" s="0" t="s">
        <v>4831</v>
      </c>
      <c r="D4161" s="0" t="s">
        <v>5</v>
      </c>
      <c r="E4161" s="0" t="e">
        <f aca="false">IFERROR(__xludf.dummyfunction("xlookup(aj2435,importrange("1xainw9du9nz21v0tyi))</f>
        <v>#VALUE!</v>
      </c>
      <c r="F4161" s="0" t="s">
        <v>10444</v>
      </c>
      <c r="G4161" s="0" t="s">
        <v>18698</v>
      </c>
    </row>
    <row r="4162" customFormat="false" ht="15" hidden="false" customHeight="false" outlineLevel="0" collapsed="false">
      <c r="A4162" s="0" t="n">
        <v>2438</v>
      </c>
      <c r="B4162" s="0" t="n">
        <v>20071</v>
      </c>
      <c r="C4162" s="0" t="s">
        <v>10457</v>
      </c>
      <c r="D4162" s="0" t="s">
        <v>5</v>
      </c>
      <c r="E4162" s="0" t="e">
        <f aca="false">IFERROR(__xludf.dummyfunction("xlookup(aj2438,importrange("1xainw9du9nz21v0tyi))</f>
        <v>#VALUE!</v>
      </c>
      <c r="F4162" s="0" t="s">
        <v>10458</v>
      </c>
      <c r="G4162" s="0" t="s">
        <v>18698</v>
      </c>
    </row>
    <row r="4163" customFormat="false" ht="15" hidden="false" customHeight="false" outlineLevel="0" collapsed="false">
      <c r="A4163" s="0" t="n">
        <v>2440</v>
      </c>
      <c r="B4163" s="0" t="n">
        <v>20073</v>
      </c>
      <c r="C4163" s="0" t="s">
        <v>10464</v>
      </c>
      <c r="D4163" s="0" t="s">
        <v>5</v>
      </c>
      <c r="E4163" s="0" t="e">
        <f aca="false">IFERROR(__xludf.dummyfunction("xlookup(aj2440,importrange("1xainw9du9nz21v0tyi))</f>
        <v>#VALUE!</v>
      </c>
      <c r="F4163" s="0" t="s">
        <v>10465</v>
      </c>
      <c r="G4163" s="0" t="s">
        <v>18698</v>
      </c>
    </row>
    <row r="4164" customFormat="false" ht="15" hidden="false" customHeight="false" outlineLevel="0" collapsed="false">
      <c r="A4164" s="0" t="n">
        <v>2442</v>
      </c>
      <c r="B4164" s="0" t="n">
        <v>20076</v>
      </c>
      <c r="C4164" s="0" t="s">
        <v>10472</v>
      </c>
      <c r="D4164" s="0" t="s">
        <v>5</v>
      </c>
      <c r="E4164" s="0" t="e">
        <f aca="false">IFERROR(__xludf.dummyfunction("xlookup(aj2442,importrange("1xainw9du9nz21v0tyi))</f>
        <v>#VALUE!</v>
      </c>
      <c r="F4164" s="0" t="s">
        <v>10473</v>
      </c>
      <c r="G4164" s="0" t="s">
        <v>18698</v>
      </c>
    </row>
    <row r="4165" customFormat="false" ht="15" hidden="false" customHeight="false" outlineLevel="0" collapsed="false">
      <c r="A4165" s="0" t="n">
        <v>2443</v>
      </c>
      <c r="B4165" s="0" t="n">
        <v>20077</v>
      </c>
      <c r="C4165" s="0" t="s">
        <v>10476</v>
      </c>
      <c r="D4165" s="0" t="s">
        <v>5</v>
      </c>
      <c r="E4165" s="0" t="e">
        <f aca="false">IFERROR(__xludf.dummyfunction("xlookup(aj2443,importrange("1xainw9du9nz21v0tyi))</f>
        <v>#VALUE!</v>
      </c>
      <c r="F4165" s="0" t="s">
        <v>10477</v>
      </c>
      <c r="G4165" s="0" t="s">
        <v>18698</v>
      </c>
    </row>
    <row r="4166" customFormat="false" ht="15" hidden="false" customHeight="false" outlineLevel="0" collapsed="false">
      <c r="A4166" s="0" t="n">
        <v>2450</v>
      </c>
      <c r="B4166" s="0" t="n">
        <v>20089</v>
      </c>
      <c r="C4166" s="0" t="s">
        <v>10505</v>
      </c>
      <c r="D4166" s="0" t="s">
        <v>5</v>
      </c>
      <c r="E4166" s="0" t="e">
        <f aca="false">IFERROR(__xludf.dummyfunction("xlookup(aj2450,importrange("1xainw9du9nz21v0tyi))</f>
        <v>#VALUE!</v>
      </c>
      <c r="F4166" s="0" t="s">
        <v>10506</v>
      </c>
      <c r="G4166" s="0" t="s">
        <v>18698</v>
      </c>
    </row>
    <row r="4167" customFormat="false" ht="15" hidden="false" customHeight="false" outlineLevel="0" collapsed="false">
      <c r="A4167" s="0" t="n">
        <v>2452</v>
      </c>
      <c r="B4167" s="0" t="n">
        <v>20091</v>
      </c>
      <c r="C4167" s="0" t="s">
        <v>10514</v>
      </c>
      <c r="D4167" s="0" t="s">
        <v>5</v>
      </c>
      <c r="E4167" s="0" t="e">
        <f aca="false">IFERROR(__xludf.dummyfunction("xlookup(aj2452,importrange("1xainw9du9nz21v0tyi))</f>
        <v>#VALUE!</v>
      </c>
      <c r="F4167" s="0" t="s">
        <v>10515</v>
      </c>
      <c r="G4167" s="0" t="s">
        <v>18698</v>
      </c>
    </row>
    <row r="4168" customFormat="false" ht="15" hidden="false" customHeight="false" outlineLevel="0" collapsed="false">
      <c r="A4168" s="0" t="n">
        <v>2453</v>
      </c>
      <c r="B4168" s="0" t="n">
        <v>20092</v>
      </c>
      <c r="C4168" s="0" t="s">
        <v>10519</v>
      </c>
      <c r="D4168" s="0" t="s">
        <v>5</v>
      </c>
      <c r="E4168" s="0" t="e">
        <f aca="false">IFERROR(__xludf.dummyfunction("xlookup(aj2453,importrange("1xainw9du9nz21v0tyi))</f>
        <v>#VALUE!</v>
      </c>
      <c r="F4168" s="0" t="s">
        <v>10520</v>
      </c>
      <c r="G4168" s="0" t="s">
        <v>18698</v>
      </c>
    </row>
    <row r="4169" customFormat="false" ht="15" hidden="false" customHeight="false" outlineLevel="0" collapsed="false">
      <c r="A4169" s="0" t="n">
        <v>2455</v>
      </c>
      <c r="B4169" s="0" t="n">
        <v>20094</v>
      </c>
      <c r="C4169" s="0" t="s">
        <v>10529</v>
      </c>
      <c r="D4169" s="0" t="s">
        <v>5</v>
      </c>
      <c r="E4169" s="0" t="e">
        <f aca="false">IFERROR(__xludf.dummyfunction("xlookup(aj2455,importrange("1xainw9du9nz21v0tyi))</f>
        <v>#VALUE!</v>
      </c>
      <c r="F4169" s="0" t="s">
        <v>10530</v>
      </c>
      <c r="G4169" s="0" t="s">
        <v>18698</v>
      </c>
    </row>
    <row r="4170" customFormat="false" ht="15" hidden="false" customHeight="false" outlineLevel="0" collapsed="false">
      <c r="A4170" s="0" t="n">
        <v>2456</v>
      </c>
      <c r="B4170" s="0" t="n">
        <v>20095</v>
      </c>
      <c r="C4170" s="0" t="s">
        <v>10536</v>
      </c>
      <c r="D4170" s="0" t="s">
        <v>5</v>
      </c>
      <c r="E4170" s="0" t="e">
        <f aca="false">IFERROR(__xludf.dummyfunction("xlookup(aj2456,importrange("1xainw9du9nz21v0tyi))</f>
        <v>#VALUE!</v>
      </c>
      <c r="F4170" s="0" t="s">
        <v>10537</v>
      </c>
      <c r="G4170" s="0" t="s">
        <v>18698</v>
      </c>
    </row>
    <row r="4171" customFormat="false" ht="15" hidden="false" customHeight="false" outlineLevel="0" collapsed="false">
      <c r="A4171" s="0" t="n">
        <v>2457</v>
      </c>
      <c r="B4171" s="0" t="n">
        <v>20096</v>
      </c>
      <c r="C4171" s="0" t="s">
        <v>10541</v>
      </c>
      <c r="D4171" s="0" t="s">
        <v>5</v>
      </c>
      <c r="E4171" s="0" t="e">
        <f aca="false">IFERROR(__xludf.dummyfunction("xlookup(aj2457,importrange("1xainw9du9nz21v0tyi))</f>
        <v>#VALUE!</v>
      </c>
      <c r="F4171" s="0" t="s">
        <v>10542</v>
      </c>
      <c r="G4171" s="0" t="s">
        <v>18698</v>
      </c>
    </row>
    <row r="4172" customFormat="false" ht="15" hidden="false" customHeight="false" outlineLevel="0" collapsed="false">
      <c r="A4172" s="0" t="n">
        <v>2458</v>
      </c>
      <c r="B4172" s="0" t="n">
        <v>20097</v>
      </c>
      <c r="C4172" s="0" t="s">
        <v>10547</v>
      </c>
      <c r="D4172" s="0" t="s">
        <v>5</v>
      </c>
      <c r="E4172" s="0" t="e">
        <f aca="false">IFERROR(__xludf.dummyfunction("xlookup(aj2458,importrange("1xainw9du9nz21v0tyi))</f>
        <v>#VALUE!</v>
      </c>
      <c r="F4172" s="0" t="s">
        <v>10548</v>
      </c>
      <c r="G4172" s="0" t="s">
        <v>18698</v>
      </c>
    </row>
    <row r="4173" customFormat="false" ht="15" hidden="false" customHeight="false" outlineLevel="0" collapsed="false">
      <c r="A4173" s="0" t="n">
        <v>2465</v>
      </c>
      <c r="B4173" s="0" t="n">
        <v>20105</v>
      </c>
      <c r="C4173" s="0" t="s">
        <v>10576</v>
      </c>
      <c r="D4173" s="0" t="s">
        <v>5</v>
      </c>
      <c r="E4173" s="0" t="e">
        <f aca="false">IFERROR(__xludf.dummyfunction("xlookup(aj2465,importrange("1xainw9du9nz21v0tyi))</f>
        <v>#VALUE!</v>
      </c>
      <c r="F4173" s="0" t="s">
        <v>10577</v>
      </c>
      <c r="G4173" s="0" t="s">
        <v>18698</v>
      </c>
    </row>
    <row r="4174" customFormat="false" ht="15" hidden="false" customHeight="false" outlineLevel="0" collapsed="false">
      <c r="A4174" s="0" t="n">
        <v>2467</v>
      </c>
      <c r="B4174" s="0" t="n">
        <v>20120</v>
      </c>
      <c r="C4174" s="0" t="s">
        <v>10584</v>
      </c>
      <c r="D4174" s="0" t="s">
        <v>5</v>
      </c>
      <c r="E4174" s="0" t="e">
        <f aca="false">IFERROR(__xludf.dummyfunction("xlookup(aj2467,importrange("1xainw9du9nz21v0tyi))</f>
        <v>#VALUE!</v>
      </c>
      <c r="F4174" s="0" t="s">
        <v>10585</v>
      </c>
      <c r="G4174" s="0" t="s">
        <v>18698</v>
      </c>
    </row>
    <row r="4175" customFormat="false" ht="15" hidden="false" customHeight="false" outlineLevel="0" collapsed="false">
      <c r="A4175" s="0" t="n">
        <v>2479</v>
      </c>
      <c r="B4175" s="0" t="n">
        <v>20137</v>
      </c>
      <c r="C4175" s="0" t="s">
        <v>10630</v>
      </c>
      <c r="D4175" s="0" t="s">
        <v>5</v>
      </c>
      <c r="E4175" s="0" t="e">
        <f aca="false">IFERROR(__xludf.dummyfunction("xlookup(aj2479,importrange("1xainw9du9nz21v0tyi))</f>
        <v>#VALUE!</v>
      </c>
      <c r="F4175" s="0" t="s">
        <v>10631</v>
      </c>
      <c r="G4175" s="0" t="s">
        <v>18698</v>
      </c>
    </row>
    <row r="4176" customFormat="false" ht="15" hidden="false" customHeight="false" outlineLevel="0" collapsed="false">
      <c r="A4176" s="0" t="n">
        <v>2482</v>
      </c>
      <c r="B4176" s="0" t="n">
        <v>20140</v>
      </c>
      <c r="C4176" s="0" t="s">
        <v>10642</v>
      </c>
      <c r="D4176" s="0" t="s">
        <v>5</v>
      </c>
      <c r="E4176" s="0" t="e">
        <f aca="false">IFERROR(__xludf.dummyfunction("xlookup(aj2482,importrange("1xainw9du9nz21v0tyi))</f>
        <v>#VALUE!</v>
      </c>
      <c r="F4176" s="0" t="s">
        <v>10643</v>
      </c>
      <c r="G4176" s="0" t="s">
        <v>18698</v>
      </c>
    </row>
    <row r="4177" customFormat="false" ht="15" hidden="false" customHeight="false" outlineLevel="0" collapsed="false">
      <c r="A4177" s="0" t="n">
        <v>2500</v>
      </c>
      <c r="B4177" s="0" t="n">
        <v>20164</v>
      </c>
      <c r="C4177" s="0" t="s">
        <v>10718</v>
      </c>
      <c r="D4177" s="0" t="s">
        <v>5</v>
      </c>
      <c r="E4177" s="0" t="e">
        <f aca="false">IFERROR(__xludf.dummyfunction("xlookup(aj2500,importrange("1xainw9du9nz21v0tyi))</f>
        <v>#VALUE!</v>
      </c>
      <c r="F4177" s="0" t="s">
        <v>10719</v>
      </c>
      <c r="G4177" s="0" t="s">
        <v>18698</v>
      </c>
    </row>
    <row r="4178" customFormat="false" ht="15" hidden="false" customHeight="false" outlineLevel="0" collapsed="false">
      <c r="A4178" s="0" t="n">
        <v>2505</v>
      </c>
      <c r="B4178" s="0" t="n">
        <v>20169</v>
      </c>
      <c r="C4178" s="0" t="s">
        <v>10744</v>
      </c>
      <c r="D4178" s="0" t="s">
        <v>5</v>
      </c>
      <c r="E4178" s="0" t="e">
        <f aca="false">IFERROR(__xludf.dummyfunction("xlookup(aj2505,importrange("1xainw9du9nz21v0tyi))</f>
        <v>#VALUE!</v>
      </c>
      <c r="F4178" s="0" t="s">
        <v>10745</v>
      </c>
      <c r="G4178" s="0" t="s">
        <v>18698</v>
      </c>
    </row>
    <row r="4179" customFormat="false" ht="15" hidden="false" customHeight="false" outlineLevel="0" collapsed="false">
      <c r="A4179" s="0" t="n">
        <v>2508</v>
      </c>
      <c r="B4179" s="0" t="n">
        <v>20175</v>
      </c>
      <c r="C4179" s="0" t="s">
        <v>10757</v>
      </c>
      <c r="D4179" s="0" t="s">
        <v>5</v>
      </c>
      <c r="E4179" s="0" t="e">
        <f aca="false">IFERROR(__xludf.dummyfunction("xlookup(aj2508,importrange("1xainw9du9nz21v0tyi))</f>
        <v>#VALUE!</v>
      </c>
      <c r="F4179" s="0" t="s">
        <v>10758</v>
      </c>
      <c r="G4179" s="0" t="s">
        <v>18698</v>
      </c>
    </row>
    <row r="4180" customFormat="false" ht="15" hidden="false" customHeight="false" outlineLevel="0" collapsed="false">
      <c r="A4180" s="0" t="n">
        <v>2509</v>
      </c>
      <c r="B4180" s="0" t="n">
        <v>20183</v>
      </c>
      <c r="C4180" s="0" t="s">
        <v>10763</v>
      </c>
      <c r="D4180" s="0" t="s">
        <v>5</v>
      </c>
      <c r="E4180" s="0" t="e">
        <f aca="false">IFERROR(__xludf.dummyfunction("xlookup(aj2509,importrange("1xainw9du9nz21v0tyi))</f>
        <v>#VALUE!</v>
      </c>
      <c r="F4180" s="0" t="s">
        <v>10764</v>
      </c>
      <c r="G4180" s="0" t="s">
        <v>18698</v>
      </c>
    </row>
    <row r="4181" customFormat="false" ht="15" hidden="false" customHeight="false" outlineLevel="0" collapsed="false">
      <c r="A4181" s="0" t="n">
        <v>2510</v>
      </c>
      <c r="B4181" s="0" t="n">
        <v>20177</v>
      </c>
      <c r="C4181" s="0" t="s">
        <v>10768</v>
      </c>
      <c r="D4181" s="0" t="s">
        <v>5</v>
      </c>
      <c r="E4181" s="0" t="e">
        <f aca="false">IFERROR(__xludf.dummyfunction("xlookup(aj2510,importrange("1xainw9du9nz21v0tyi))</f>
        <v>#VALUE!</v>
      </c>
      <c r="F4181" s="0" t="s">
        <v>10769</v>
      </c>
      <c r="G4181" s="0" t="s">
        <v>18698</v>
      </c>
    </row>
    <row r="4182" customFormat="false" ht="15" hidden="false" customHeight="false" outlineLevel="0" collapsed="false">
      <c r="A4182" s="0" t="n">
        <v>2511</v>
      </c>
      <c r="B4182" s="0" t="n">
        <v>20180</v>
      </c>
      <c r="C4182" s="0" t="s">
        <v>10774</v>
      </c>
      <c r="D4182" s="0" t="s">
        <v>5</v>
      </c>
      <c r="E4182" s="0" t="e">
        <f aca="false">IFERROR(__xludf.dummyfunction("xlookup(aj2511,importrange("1xainw9du9nz21v0tyi))</f>
        <v>#VALUE!</v>
      </c>
      <c r="F4182" s="0" t="s">
        <v>10775</v>
      </c>
      <c r="G4182" s="0" t="s">
        <v>18698</v>
      </c>
    </row>
    <row r="4183" customFormat="false" ht="15" hidden="false" customHeight="false" outlineLevel="0" collapsed="false">
      <c r="A4183" s="0" t="n">
        <v>2513</v>
      </c>
      <c r="B4183" s="0" t="n">
        <v>20185</v>
      </c>
      <c r="C4183" s="0" t="s">
        <v>10782</v>
      </c>
      <c r="D4183" s="0" t="s">
        <v>5</v>
      </c>
      <c r="E4183" s="0" t="e">
        <f aca="false">IFERROR(__xludf.dummyfunction("xlookup(aj2513,importrange("1xainw9du9nz21v0tyi))</f>
        <v>#VALUE!</v>
      </c>
      <c r="F4183" s="0" t="s">
        <v>10783</v>
      </c>
      <c r="G4183" s="0" t="s">
        <v>18698</v>
      </c>
    </row>
    <row r="4184" customFormat="false" ht="15" hidden="false" customHeight="false" outlineLevel="0" collapsed="false">
      <c r="A4184" s="0" t="n">
        <v>2517</v>
      </c>
      <c r="B4184" s="0" t="n">
        <v>20271</v>
      </c>
      <c r="C4184" s="0" t="s">
        <v>10798</v>
      </c>
      <c r="D4184" s="0" t="s">
        <v>5</v>
      </c>
      <c r="E4184" s="0" t="e">
        <f aca="false">IFERROR(__xludf.dummyfunction("xlookup(aj2517,importrange("1xainw9du9nz21v0tyi))</f>
        <v>#VALUE!</v>
      </c>
      <c r="F4184" s="0" t="s">
        <v>10799</v>
      </c>
      <c r="G4184" s="0" t="s">
        <v>18698</v>
      </c>
    </row>
    <row r="4185" customFormat="false" ht="15" hidden="false" customHeight="false" outlineLevel="0" collapsed="false">
      <c r="A4185" s="0" t="n">
        <v>2518</v>
      </c>
      <c r="B4185" s="0" t="n">
        <v>20275</v>
      </c>
      <c r="C4185" s="0" t="s">
        <v>10804</v>
      </c>
      <c r="D4185" s="0" t="s">
        <v>5</v>
      </c>
      <c r="E4185" s="0" t="e">
        <f aca="false">IFERROR(__xludf.dummyfunction("xlookup(aj2518,importrange("1xainw9du9nz21v0tyi))</f>
        <v>#VALUE!</v>
      </c>
      <c r="F4185" s="0" t="s">
        <v>10805</v>
      </c>
      <c r="G4185" s="0" t="s">
        <v>18698</v>
      </c>
    </row>
    <row r="4186" customFormat="false" ht="15" hidden="false" customHeight="false" outlineLevel="0" collapsed="false">
      <c r="A4186" s="0" t="n">
        <v>2520</v>
      </c>
      <c r="B4186" s="0" t="n">
        <v>20277</v>
      </c>
      <c r="C4186" s="0" t="s">
        <v>10812</v>
      </c>
      <c r="D4186" s="0" t="s">
        <v>5</v>
      </c>
      <c r="E4186" s="0" t="e">
        <f aca="false">IFERROR(__xludf.dummyfunction("xlookup(aj2520,importrange("1xainw9du9nz21v0tyi))</f>
        <v>#VALUE!</v>
      </c>
      <c r="F4186" s="0" t="s">
        <v>10813</v>
      </c>
      <c r="G4186" s="0" t="s">
        <v>18698</v>
      </c>
    </row>
    <row r="4187" customFormat="false" ht="15" hidden="false" customHeight="false" outlineLevel="0" collapsed="false">
      <c r="A4187" s="0" t="n">
        <v>2521</v>
      </c>
      <c r="B4187" s="0" t="n">
        <v>20278</v>
      </c>
      <c r="C4187" s="0" t="s">
        <v>10816</v>
      </c>
      <c r="D4187" s="0" t="s">
        <v>5</v>
      </c>
      <c r="E4187" s="0" t="e">
        <f aca="false">IFERROR(__xludf.dummyfunction("xlookup(aj2521,importrange("1xainw9du9nz21v0tyi))</f>
        <v>#VALUE!</v>
      </c>
      <c r="F4187" s="0" t="s">
        <v>10817</v>
      </c>
      <c r="G4187" s="0" t="s">
        <v>18698</v>
      </c>
    </row>
    <row r="4188" customFormat="false" ht="15" hidden="false" customHeight="false" outlineLevel="0" collapsed="false">
      <c r="A4188" s="0" t="n">
        <v>2522</v>
      </c>
      <c r="B4188" s="0" t="n">
        <v>20279</v>
      </c>
      <c r="C4188" s="0" t="s">
        <v>10820</v>
      </c>
      <c r="D4188" s="0" t="s">
        <v>5</v>
      </c>
      <c r="E4188" s="0" t="e">
        <f aca="false">IFERROR(__xludf.dummyfunction("xlookup(aj2522,importrange("1xainw9du9nz21v0tyi))</f>
        <v>#VALUE!</v>
      </c>
      <c r="F4188" s="0" t="s">
        <v>10821</v>
      </c>
      <c r="G4188" s="0" t="s">
        <v>18698</v>
      </c>
    </row>
    <row r="4189" customFormat="false" ht="15" hidden="false" customHeight="false" outlineLevel="0" collapsed="false">
      <c r="A4189" s="0" t="n">
        <v>2524</v>
      </c>
      <c r="B4189" s="0" t="n">
        <v>20281</v>
      </c>
      <c r="C4189" s="0" t="s">
        <v>10827</v>
      </c>
      <c r="D4189" s="0" t="s">
        <v>5</v>
      </c>
      <c r="E4189" s="0" t="e">
        <f aca="false">IFERROR(__xludf.dummyfunction("xlookup(aj2524,importrange("1xainw9du9nz21v0tyi))</f>
        <v>#VALUE!</v>
      </c>
      <c r="F4189" s="0" t="s">
        <v>10828</v>
      </c>
      <c r="G4189" s="0" t="s">
        <v>18698</v>
      </c>
    </row>
    <row r="4190" customFormat="false" ht="15" hidden="false" customHeight="false" outlineLevel="0" collapsed="false">
      <c r="A4190" s="0" t="n">
        <v>2525</v>
      </c>
      <c r="B4190" s="0" t="n">
        <v>20282</v>
      </c>
      <c r="C4190" s="0" t="s">
        <v>10833</v>
      </c>
      <c r="D4190" s="0" t="s">
        <v>5</v>
      </c>
      <c r="E4190" s="0" t="e">
        <f aca="false">IFERROR(__xludf.dummyfunction("xlookup(aj2525,importrange("1xainw9du9nz21v0tyi))</f>
        <v>#VALUE!</v>
      </c>
      <c r="F4190" s="0" t="s">
        <v>10834</v>
      </c>
      <c r="G4190" s="0" t="s">
        <v>18698</v>
      </c>
    </row>
    <row r="4191" customFormat="false" ht="15" hidden="false" customHeight="false" outlineLevel="0" collapsed="false">
      <c r="A4191" s="0" t="n">
        <v>2526</v>
      </c>
      <c r="B4191" s="0" t="n">
        <v>20283</v>
      </c>
      <c r="C4191" s="0" t="s">
        <v>10839</v>
      </c>
      <c r="D4191" s="0" t="s">
        <v>5</v>
      </c>
      <c r="E4191" s="0" t="e">
        <f aca="false">IFERROR(__xludf.dummyfunction("xlookup(aj2526,importrange("1xainw9du9nz21v0tyi))</f>
        <v>#VALUE!</v>
      </c>
      <c r="F4191" s="0" t="s">
        <v>10840</v>
      </c>
      <c r="G4191" s="0" t="s">
        <v>18698</v>
      </c>
    </row>
    <row r="4192" customFormat="false" ht="15" hidden="false" customHeight="false" outlineLevel="0" collapsed="false">
      <c r="A4192" s="0" t="n">
        <v>2527</v>
      </c>
      <c r="B4192" s="0" t="n">
        <v>20284</v>
      </c>
      <c r="C4192" s="0" t="s">
        <v>10845</v>
      </c>
      <c r="D4192" s="0" t="s">
        <v>5</v>
      </c>
      <c r="E4192" s="0" t="e">
        <f aca="false">IFERROR(__xludf.dummyfunction("xlookup(aj2527,importrange("1xainw9du9nz21v0tyi))</f>
        <v>#VALUE!</v>
      </c>
      <c r="F4192" s="0" t="s">
        <v>10846</v>
      </c>
      <c r="G4192" s="0" t="s">
        <v>18698</v>
      </c>
    </row>
    <row r="4193" customFormat="false" ht="15" hidden="false" customHeight="false" outlineLevel="0" collapsed="false">
      <c r="A4193" s="0" t="n">
        <v>2528</v>
      </c>
      <c r="B4193" s="0" t="n">
        <v>20285</v>
      </c>
      <c r="C4193" s="0" t="s">
        <v>10849</v>
      </c>
      <c r="D4193" s="0" t="s">
        <v>5</v>
      </c>
      <c r="E4193" s="0" t="e">
        <f aca="false">IFERROR(__xludf.dummyfunction("xlookup(aj2528,importrange("1xainw9du9nz21v0tyi))</f>
        <v>#VALUE!</v>
      </c>
      <c r="F4193" s="0" t="s">
        <v>10850</v>
      </c>
      <c r="G4193" s="0" t="s">
        <v>18698</v>
      </c>
    </row>
    <row r="4194" customFormat="false" ht="15" hidden="false" customHeight="false" outlineLevel="0" collapsed="false">
      <c r="A4194" s="0" t="n">
        <v>2530</v>
      </c>
      <c r="B4194" s="0" t="n">
        <v>20287</v>
      </c>
      <c r="C4194" s="0" t="s">
        <v>10859</v>
      </c>
      <c r="D4194" s="0" t="s">
        <v>5</v>
      </c>
      <c r="E4194" s="0" t="e">
        <f aca="false">IFERROR(__xludf.dummyfunction("xlookup(aj2530,importrange("1xainw9du9nz21v0tyi))</f>
        <v>#VALUE!</v>
      </c>
      <c r="F4194" s="0" t="s">
        <v>10860</v>
      </c>
      <c r="G4194" s="0" t="s">
        <v>18698</v>
      </c>
    </row>
    <row r="4195" customFormat="false" ht="15" hidden="false" customHeight="false" outlineLevel="0" collapsed="false">
      <c r="A4195" s="0" t="n">
        <v>2534</v>
      </c>
      <c r="B4195" s="0" t="n">
        <v>22595</v>
      </c>
      <c r="C4195" s="0" t="s">
        <v>10876</v>
      </c>
      <c r="D4195" s="0" t="s">
        <v>5</v>
      </c>
      <c r="E4195" s="0" t="e">
        <f aca="false">IFERROR(__xludf.dummyfunction("xlookup(aj2534,importrange("1xainw9du9nz21v0tyi))</f>
        <v>#VALUE!</v>
      </c>
      <c r="F4195" s="0" t="s">
        <v>10877</v>
      </c>
      <c r="G4195" s="0" t="s">
        <v>18698</v>
      </c>
    </row>
    <row r="4196" customFormat="false" ht="15" hidden="false" customHeight="false" outlineLevel="0" collapsed="false">
      <c r="A4196" s="0" t="n">
        <v>2536</v>
      </c>
      <c r="B4196" s="0" t="n">
        <v>20293</v>
      </c>
      <c r="C4196" s="0" t="s">
        <v>10886</v>
      </c>
      <c r="D4196" s="0" t="s">
        <v>5</v>
      </c>
      <c r="E4196" s="0" t="e">
        <f aca="false">IFERROR(__xludf.dummyfunction("xlookup(aj2536,importrange("1xainw9du9nz21v0tyi))</f>
        <v>#VALUE!</v>
      </c>
      <c r="F4196" s="0" t="s">
        <v>10887</v>
      </c>
      <c r="G4196" s="0" t="s">
        <v>18698</v>
      </c>
    </row>
    <row r="4197" customFormat="false" ht="15" hidden="false" customHeight="false" outlineLevel="0" collapsed="false">
      <c r="A4197" s="0" t="n">
        <v>2540</v>
      </c>
      <c r="B4197" s="0" t="n">
        <v>20299</v>
      </c>
      <c r="C4197" s="0" t="s">
        <v>10903</v>
      </c>
      <c r="D4197" s="0" t="s">
        <v>5</v>
      </c>
      <c r="E4197" s="0" t="e">
        <f aca="false">IFERROR(__xludf.dummyfunction("xlookup(aj2540,importrange("1xainw9du9nz21v0tyi))</f>
        <v>#VALUE!</v>
      </c>
      <c r="F4197" s="0" t="s">
        <v>10904</v>
      </c>
      <c r="G4197" s="0" t="s">
        <v>18698</v>
      </c>
    </row>
    <row r="4198" customFormat="false" ht="15" hidden="false" customHeight="false" outlineLevel="0" collapsed="false">
      <c r="A4198" s="0" t="n">
        <v>2543</v>
      </c>
      <c r="B4198" s="0" t="n">
        <v>20303</v>
      </c>
      <c r="C4198" s="0" t="s">
        <v>10914</v>
      </c>
      <c r="D4198" s="0" t="s">
        <v>5</v>
      </c>
      <c r="E4198" s="0" t="e">
        <f aca="false">IFERROR(__xludf.dummyfunction("xlookup(aj2543,importrange("1xainw9du9nz21v0tyi))</f>
        <v>#VALUE!</v>
      </c>
      <c r="F4198" s="0" t="s">
        <v>10915</v>
      </c>
      <c r="G4198" s="0" t="s">
        <v>18698</v>
      </c>
    </row>
    <row r="4199" customFormat="false" ht="15" hidden="false" customHeight="false" outlineLevel="0" collapsed="false">
      <c r="A4199" s="0" t="n">
        <v>2546</v>
      </c>
      <c r="B4199" s="0" t="n">
        <v>20308</v>
      </c>
      <c r="C4199" s="0" t="s">
        <v>10922</v>
      </c>
      <c r="D4199" s="0" t="s">
        <v>5</v>
      </c>
      <c r="E4199" s="0" t="e">
        <f aca="false">IFERROR(__xludf.dummyfunction("xlookup(aj2546,importrange("1xainw9du9nz21v0tyi))</f>
        <v>#VALUE!</v>
      </c>
      <c r="F4199" s="0" t="s">
        <v>10923</v>
      </c>
      <c r="G4199" s="0" t="s">
        <v>18698</v>
      </c>
    </row>
    <row r="4200" customFormat="false" ht="15" hidden="false" customHeight="false" outlineLevel="0" collapsed="false">
      <c r="A4200" s="0" t="n">
        <v>2550</v>
      </c>
      <c r="B4200" s="0" t="n">
        <v>20319</v>
      </c>
      <c r="C4200" s="0" t="s">
        <v>10935</v>
      </c>
      <c r="D4200" s="0" t="s">
        <v>5</v>
      </c>
      <c r="E4200" s="0" t="e">
        <f aca="false">IFERROR(__xludf.dummyfunction("xlookup(aj2550,importrange("1xainw9du9nz21v0tyi))</f>
        <v>#VALUE!</v>
      </c>
      <c r="F4200" s="0" t="s">
        <v>10936</v>
      </c>
      <c r="G4200" s="0" t="s">
        <v>18698</v>
      </c>
    </row>
    <row r="4201" customFormat="false" ht="15" hidden="false" customHeight="false" outlineLevel="0" collapsed="false">
      <c r="A4201" s="0" t="n">
        <v>2551</v>
      </c>
      <c r="B4201" s="0" t="n">
        <v>20320</v>
      </c>
      <c r="C4201" s="0" t="s">
        <v>10939</v>
      </c>
      <c r="D4201" s="0" t="s">
        <v>5</v>
      </c>
      <c r="E4201" s="0" t="e">
        <f aca="false">IFERROR(__xludf.dummyfunction("xlookup(aj2551,importrange("1xainw9du9nz21v0tyi))</f>
        <v>#VALUE!</v>
      </c>
      <c r="F4201" s="0" t="s">
        <v>10940</v>
      </c>
      <c r="G4201" s="0" t="s">
        <v>18698</v>
      </c>
    </row>
    <row r="4202" customFormat="false" ht="15" hidden="false" customHeight="false" outlineLevel="0" collapsed="false">
      <c r="A4202" s="0" t="n">
        <v>2552</v>
      </c>
      <c r="B4202" s="0" t="n">
        <v>20321</v>
      </c>
      <c r="C4202" s="0" t="s">
        <v>10943</v>
      </c>
      <c r="D4202" s="0" t="s">
        <v>5</v>
      </c>
      <c r="E4202" s="0" t="e">
        <f aca="false">IFERROR(__xludf.dummyfunction("xlookup(aj2552,importrange("1xainw9du9nz21v0tyi))</f>
        <v>#VALUE!</v>
      </c>
      <c r="F4202" s="0" t="s">
        <v>10944</v>
      </c>
      <c r="G4202" s="0" t="s">
        <v>18698</v>
      </c>
    </row>
    <row r="4203" customFormat="false" ht="15" hidden="false" customHeight="false" outlineLevel="0" collapsed="false">
      <c r="A4203" s="0" t="n">
        <v>2553</v>
      </c>
      <c r="B4203" s="0" t="n">
        <v>20323</v>
      </c>
      <c r="C4203" s="0" t="s">
        <v>10948</v>
      </c>
      <c r="D4203" s="0" t="s">
        <v>5</v>
      </c>
      <c r="E4203" s="0" t="e">
        <f aca="false">IFERROR(__xludf.dummyfunction("xlookup(aj2553,importrange("1xainw9du9nz21v0tyi))</f>
        <v>#VALUE!</v>
      </c>
      <c r="F4203" s="0" t="s">
        <v>10949</v>
      </c>
      <c r="G4203" s="0" t="s">
        <v>18698</v>
      </c>
    </row>
    <row r="4204" customFormat="false" ht="15" hidden="false" customHeight="false" outlineLevel="0" collapsed="false">
      <c r="A4204" s="0" t="n">
        <v>2568</v>
      </c>
      <c r="B4204" s="0" t="n">
        <v>20349</v>
      </c>
      <c r="C4204" s="0" t="s">
        <v>11005</v>
      </c>
      <c r="D4204" s="0" t="s">
        <v>5</v>
      </c>
      <c r="E4204" s="0" t="e">
        <f aca="false">IFERROR(__xludf.dummyfunction("xlookup(aj2568,importrange("1xainw9du9nz21v0tyi))</f>
        <v>#VALUE!</v>
      </c>
      <c r="F4204" s="0" t="s">
        <v>11006</v>
      </c>
      <c r="G4204" s="0" t="s">
        <v>18698</v>
      </c>
    </row>
    <row r="4205" customFormat="false" ht="15" hidden="false" customHeight="false" outlineLevel="0" collapsed="false">
      <c r="A4205" s="0" t="n">
        <v>2569</v>
      </c>
      <c r="B4205" s="0" t="n">
        <v>22693</v>
      </c>
      <c r="C4205" s="0" t="s">
        <v>11009</v>
      </c>
      <c r="D4205" s="0" t="s">
        <v>5</v>
      </c>
      <c r="E4205" s="0" t="e">
        <f aca="false">IFERROR(__xludf.dummyfunction("xlookup(aj2569,importrange("1xainw9du9nz21v0tyi))</f>
        <v>#VALUE!</v>
      </c>
      <c r="F4205" s="0" t="s">
        <v>11010</v>
      </c>
      <c r="G4205" s="0" t="s">
        <v>18698</v>
      </c>
    </row>
    <row r="4206" customFormat="false" ht="15" hidden="false" customHeight="false" outlineLevel="0" collapsed="false">
      <c r="A4206" s="0" t="n">
        <v>2572</v>
      </c>
      <c r="B4206" s="0" t="n">
        <v>20358</v>
      </c>
      <c r="C4206" s="0" t="s">
        <v>11021</v>
      </c>
      <c r="D4206" s="0" t="s">
        <v>5</v>
      </c>
      <c r="E4206" s="0" t="e">
        <f aca="false">IFERROR(__xludf.dummyfunction("xlookup(aj2572,importrange("1xainw9du9nz21v0tyi))</f>
        <v>#VALUE!</v>
      </c>
      <c r="F4206" s="0" t="s">
        <v>11022</v>
      </c>
      <c r="G4206" s="0" t="s">
        <v>18698</v>
      </c>
    </row>
    <row r="4207" customFormat="false" ht="15" hidden="false" customHeight="false" outlineLevel="0" collapsed="false">
      <c r="A4207" s="0" t="n">
        <v>2596</v>
      </c>
      <c r="B4207" s="0" t="n">
        <v>20383</v>
      </c>
      <c r="C4207" s="0" t="s">
        <v>11111</v>
      </c>
      <c r="D4207" s="0" t="s">
        <v>5</v>
      </c>
      <c r="E4207" s="0" t="e">
        <f aca="false">IFERROR(__xludf.dummyfunction("xlookup(aj2596,importrange("1xainw9du9nz21v0tyi))</f>
        <v>#VALUE!</v>
      </c>
      <c r="F4207" s="0" t="s">
        <v>11112</v>
      </c>
      <c r="G4207" s="0" t="s">
        <v>18698</v>
      </c>
    </row>
    <row r="4208" customFormat="false" ht="15" hidden="false" customHeight="false" outlineLevel="0" collapsed="false">
      <c r="A4208" s="0" t="n">
        <v>2600</v>
      </c>
      <c r="B4208" s="0" t="n">
        <v>20388</v>
      </c>
      <c r="C4208" s="0" t="s">
        <v>11126</v>
      </c>
      <c r="D4208" s="0" t="s">
        <v>5</v>
      </c>
      <c r="E4208" s="0" t="e">
        <f aca="false">IFERROR(__xludf.dummyfunction("xlookup(aj2600,importrange("1xainw9du9nz21v0tyi))</f>
        <v>#VALUE!</v>
      </c>
      <c r="F4208" s="0" t="s">
        <v>11127</v>
      </c>
      <c r="G4208" s="0" t="s">
        <v>18698</v>
      </c>
    </row>
    <row r="4209" customFormat="false" ht="15" hidden="false" customHeight="false" outlineLevel="0" collapsed="false">
      <c r="A4209" s="0" t="n">
        <v>2601</v>
      </c>
      <c r="B4209" s="0" t="n">
        <v>20389</v>
      </c>
      <c r="C4209" s="0" t="s">
        <v>11130</v>
      </c>
      <c r="D4209" s="0" t="s">
        <v>5</v>
      </c>
      <c r="E4209" s="0" t="e">
        <f aca="false">IFERROR(__xludf.dummyfunction("xlookup(aj2601,importrange("1xainw9du9nz21v0tyi))</f>
        <v>#VALUE!</v>
      </c>
      <c r="F4209" s="0" t="s">
        <v>11131</v>
      </c>
      <c r="G4209" s="0" t="s">
        <v>18698</v>
      </c>
    </row>
    <row r="4210" customFormat="false" ht="15" hidden="false" customHeight="false" outlineLevel="0" collapsed="false">
      <c r="A4210" s="0" t="n">
        <v>2603</v>
      </c>
      <c r="B4210" s="0" t="n">
        <v>20392</v>
      </c>
      <c r="C4210" s="0" t="s">
        <v>11138</v>
      </c>
      <c r="D4210" s="0" t="s">
        <v>5</v>
      </c>
      <c r="E4210" s="0" t="e">
        <f aca="false">IFERROR(__xludf.dummyfunction("xlookup(aj2603,importrange("1xainw9du9nz21v0tyi))</f>
        <v>#VALUE!</v>
      </c>
      <c r="F4210" s="0" t="s">
        <v>11139</v>
      </c>
      <c r="G4210" s="0" t="s">
        <v>18698</v>
      </c>
    </row>
    <row r="4211" customFormat="false" ht="15" hidden="false" customHeight="false" outlineLevel="0" collapsed="false">
      <c r="A4211" s="0" t="n">
        <v>2609</v>
      </c>
      <c r="B4211" s="0" t="n">
        <v>20399</v>
      </c>
      <c r="C4211" s="0" t="s">
        <v>11164</v>
      </c>
      <c r="D4211" s="0" t="s">
        <v>5</v>
      </c>
      <c r="E4211" s="0" t="e">
        <f aca="false">IFERROR(__xludf.dummyfunction("xlookup(aj2609,importrange("1xainw9du9nz21v0tyi))</f>
        <v>#VALUE!</v>
      </c>
      <c r="F4211" s="0" t="s">
        <v>11165</v>
      </c>
      <c r="G4211" s="0" t="s">
        <v>18698</v>
      </c>
    </row>
    <row r="4212" customFormat="false" ht="15" hidden="false" customHeight="false" outlineLevel="0" collapsed="false">
      <c r="A4212" s="0" t="n">
        <v>2610</v>
      </c>
      <c r="B4212" s="0" t="n">
        <v>20416</v>
      </c>
      <c r="C4212" s="0" t="s">
        <v>11167</v>
      </c>
      <c r="D4212" s="0" t="s">
        <v>5</v>
      </c>
      <c r="E4212" s="0" t="e">
        <f aca="false">IFERROR(__xludf.dummyfunction("xlookup(aj2610,importrange("1xainw9du9nz21v0tyi))</f>
        <v>#VALUE!</v>
      </c>
      <c r="F4212" s="0" t="s">
        <v>11168</v>
      </c>
      <c r="G4212" s="0" t="s">
        <v>18698</v>
      </c>
    </row>
    <row r="4213" customFormat="false" ht="15" hidden="false" customHeight="false" outlineLevel="0" collapsed="false">
      <c r="A4213" s="0" t="n">
        <v>2611</v>
      </c>
      <c r="B4213" s="0" t="n">
        <v>20417</v>
      </c>
      <c r="C4213" s="0" t="s">
        <v>11171</v>
      </c>
      <c r="D4213" s="0" t="s">
        <v>5</v>
      </c>
      <c r="E4213" s="0" t="e">
        <f aca="false">IFERROR(__xludf.dummyfunction("xlookup(aj2611,importrange("1xainw9du9nz21v0tyi))</f>
        <v>#VALUE!</v>
      </c>
      <c r="F4213" s="0" t="s">
        <v>11172</v>
      </c>
      <c r="G4213" s="0" t="s">
        <v>18698</v>
      </c>
    </row>
    <row r="4214" customFormat="false" ht="15" hidden="false" customHeight="false" outlineLevel="0" collapsed="false">
      <c r="A4214" s="0" t="n">
        <v>2614</v>
      </c>
      <c r="B4214" s="0" t="n">
        <v>20420</v>
      </c>
      <c r="C4214" s="0" t="s">
        <v>11184</v>
      </c>
      <c r="D4214" s="0" t="s">
        <v>5</v>
      </c>
      <c r="E4214" s="0" t="e">
        <f aca="false">IFERROR(__xludf.dummyfunction("xlookup(aj2614,importrange("1xainw9du9nz21v0tyi))</f>
        <v>#VALUE!</v>
      </c>
      <c r="F4214" s="0" t="s">
        <v>11185</v>
      </c>
      <c r="G4214" s="0" t="s">
        <v>18698</v>
      </c>
    </row>
    <row r="4215" customFormat="false" ht="15" hidden="false" customHeight="false" outlineLevel="0" collapsed="false">
      <c r="A4215" s="0" t="n">
        <v>2617</v>
      </c>
      <c r="B4215" s="0" t="n">
        <v>20424</v>
      </c>
      <c r="C4215" s="0" t="s">
        <v>11199</v>
      </c>
      <c r="D4215" s="0" t="s">
        <v>5</v>
      </c>
      <c r="E4215" s="0" t="e">
        <f aca="false">IFERROR(__xludf.dummyfunction("xlookup(aj2617,importrange("1xainw9du9nz21v0tyi))</f>
        <v>#VALUE!</v>
      </c>
      <c r="F4215" s="0" t="s">
        <v>11200</v>
      </c>
      <c r="G4215" s="0" t="s">
        <v>18698</v>
      </c>
    </row>
    <row r="4216" customFormat="false" ht="15" hidden="false" customHeight="false" outlineLevel="0" collapsed="false">
      <c r="A4216" s="0" t="n">
        <v>2618</v>
      </c>
      <c r="B4216" s="0" t="n">
        <v>20425</v>
      </c>
      <c r="C4216" s="0" t="s">
        <v>11204</v>
      </c>
      <c r="D4216" s="0" t="s">
        <v>5</v>
      </c>
      <c r="E4216" s="0" t="e">
        <f aca="false">IFERROR(__xludf.dummyfunction("xlookup(aj2618,importrange("1xainw9du9nz21v0tyi))</f>
        <v>#VALUE!</v>
      </c>
      <c r="F4216" s="0" t="s">
        <v>11205</v>
      </c>
      <c r="G4216" s="0" t="s">
        <v>18698</v>
      </c>
    </row>
    <row r="4217" customFormat="false" ht="15" hidden="false" customHeight="false" outlineLevel="0" collapsed="false">
      <c r="A4217" s="0" t="n">
        <v>2619</v>
      </c>
      <c r="B4217" s="0" t="n">
        <v>20426</v>
      </c>
      <c r="C4217" s="0" t="s">
        <v>11209</v>
      </c>
      <c r="D4217" s="0" t="s">
        <v>5</v>
      </c>
      <c r="E4217" s="0" t="e">
        <f aca="false">IFERROR(__xludf.dummyfunction("xlookup(aj2619,importrange("1xainw9du9nz21v0tyi))</f>
        <v>#VALUE!</v>
      </c>
      <c r="F4217" s="0" t="s">
        <v>11211</v>
      </c>
      <c r="G4217" s="0" t="s">
        <v>18698</v>
      </c>
    </row>
    <row r="4218" customFormat="false" ht="15" hidden="false" customHeight="false" outlineLevel="0" collapsed="false">
      <c r="A4218" s="0" t="n">
        <v>2631</v>
      </c>
      <c r="B4218" s="0" t="n">
        <v>20550</v>
      </c>
      <c r="C4218" s="0" t="s">
        <v>11260</v>
      </c>
      <c r="D4218" s="0" t="s">
        <v>5</v>
      </c>
      <c r="E4218" s="0" t="e">
        <f aca="false">IFERROR(__xludf.dummyfunction("xlookup(aj2631,importrange("1xainw9du9nz21v0tyi))</f>
        <v>#VALUE!</v>
      </c>
      <c r="F4218" s="0" t="s">
        <v>11261</v>
      </c>
      <c r="G4218" s="0" t="s">
        <v>18698</v>
      </c>
    </row>
    <row r="4219" customFormat="false" ht="15" hidden="false" customHeight="false" outlineLevel="0" collapsed="false">
      <c r="A4219" s="0" t="n">
        <v>2632</v>
      </c>
      <c r="B4219" s="0" t="n">
        <v>20551</v>
      </c>
      <c r="C4219" s="0" t="s">
        <v>11265</v>
      </c>
      <c r="D4219" s="0" t="s">
        <v>5</v>
      </c>
      <c r="E4219" s="0" t="e">
        <f aca="false">IFERROR(__xludf.dummyfunction("xlookup(aj2632,importrange("1xainw9du9nz21v0tyi))</f>
        <v>#VALUE!</v>
      </c>
      <c r="F4219" s="0" t="s">
        <v>11266</v>
      </c>
      <c r="G4219" s="0" t="s">
        <v>18698</v>
      </c>
    </row>
    <row r="4220" customFormat="false" ht="15" hidden="false" customHeight="false" outlineLevel="0" collapsed="false">
      <c r="A4220" s="0" t="n">
        <v>2635</v>
      </c>
      <c r="B4220" s="0" t="n">
        <v>20554</v>
      </c>
      <c r="C4220" s="0" t="s">
        <v>11275</v>
      </c>
      <c r="D4220" s="0" t="s">
        <v>5</v>
      </c>
      <c r="E4220" s="0" t="e">
        <f aca="false">IFERROR(__xludf.dummyfunction("xlookup(aj2635,importrange("1xainw9du9nz21v0tyi))</f>
        <v>#VALUE!</v>
      </c>
      <c r="F4220" s="0" t="s">
        <v>11276</v>
      </c>
      <c r="G4220" s="0" t="s">
        <v>18698</v>
      </c>
    </row>
    <row r="4221" customFormat="false" ht="15" hidden="false" customHeight="false" outlineLevel="0" collapsed="false">
      <c r="A4221" s="0" t="n">
        <v>2637</v>
      </c>
      <c r="B4221" s="0" t="n">
        <v>20556</v>
      </c>
      <c r="C4221" s="0" t="s">
        <v>11282</v>
      </c>
      <c r="D4221" s="0" t="s">
        <v>5</v>
      </c>
      <c r="E4221" s="0" t="e">
        <f aca="false">IFERROR(__xludf.dummyfunction("xlookup(aj2637,importrange("1xainw9du9nz21v0tyi))</f>
        <v>#VALUE!</v>
      </c>
      <c r="F4221" s="0" t="s">
        <v>11283</v>
      </c>
      <c r="G4221" s="0" t="s">
        <v>18698</v>
      </c>
    </row>
    <row r="4222" customFormat="false" ht="15" hidden="false" customHeight="false" outlineLevel="0" collapsed="false">
      <c r="A4222" s="0" t="n">
        <v>2638</v>
      </c>
      <c r="B4222" s="0" t="n">
        <v>20557</v>
      </c>
      <c r="C4222" s="0" t="s">
        <v>11286</v>
      </c>
      <c r="D4222" s="0" t="s">
        <v>5</v>
      </c>
      <c r="E4222" s="0" t="e">
        <f aca="false">IFERROR(__xludf.dummyfunction("xlookup(aj2638,importrange("1xainw9du9nz21v0tyi))</f>
        <v>#VALUE!</v>
      </c>
      <c r="F4222" s="0" t="s">
        <v>11287</v>
      </c>
      <c r="G4222" s="0" t="s">
        <v>18698</v>
      </c>
    </row>
    <row r="4223" customFormat="false" ht="15" hidden="false" customHeight="false" outlineLevel="0" collapsed="false">
      <c r="A4223" s="0" t="n">
        <v>2640</v>
      </c>
      <c r="B4223" s="0" t="n">
        <v>20559</v>
      </c>
      <c r="C4223" s="0" t="s">
        <v>11292</v>
      </c>
      <c r="D4223" s="0" t="s">
        <v>5</v>
      </c>
      <c r="E4223" s="0" t="e">
        <f aca="false">IFERROR(__xludf.dummyfunction("xlookup(aj2640,importrange("1xainw9du9nz21v0tyi))</f>
        <v>#VALUE!</v>
      </c>
      <c r="F4223" s="0" t="s">
        <v>11294</v>
      </c>
      <c r="G4223" s="0" t="s">
        <v>18698</v>
      </c>
    </row>
    <row r="4224" customFormat="false" ht="15" hidden="false" customHeight="false" outlineLevel="0" collapsed="false">
      <c r="A4224" s="0" t="n">
        <v>2641</v>
      </c>
      <c r="B4224" s="0" t="n">
        <v>20562</v>
      </c>
      <c r="C4224" s="0" t="s">
        <v>11297</v>
      </c>
      <c r="D4224" s="0" t="s">
        <v>5</v>
      </c>
      <c r="E4224" s="0" t="e">
        <f aca="false">IFERROR(__xludf.dummyfunction("xlookup(aj2641,importrange("1xainw9du9nz21v0tyi))</f>
        <v>#VALUE!</v>
      </c>
      <c r="F4224" s="0" t="s">
        <v>11298</v>
      </c>
      <c r="G4224" s="0" t="s">
        <v>18698</v>
      </c>
    </row>
    <row r="4225" customFormat="false" ht="15" hidden="false" customHeight="false" outlineLevel="0" collapsed="false">
      <c r="A4225" s="0" t="n">
        <v>2642</v>
      </c>
      <c r="B4225" s="0" t="n">
        <v>20569</v>
      </c>
      <c r="C4225" s="0" t="s">
        <v>11301</v>
      </c>
      <c r="D4225" s="0" t="s">
        <v>5</v>
      </c>
      <c r="E4225" s="0" t="e">
        <f aca="false">IFERROR(__xludf.dummyfunction("xlookup(aj2642,importrange("1xainw9du9nz21v0tyi))</f>
        <v>#VALUE!</v>
      </c>
      <c r="F4225" s="0" t="s">
        <v>11302</v>
      </c>
      <c r="G4225" s="0" t="s">
        <v>18698</v>
      </c>
    </row>
    <row r="4226" customFormat="false" ht="15" hidden="false" customHeight="false" outlineLevel="0" collapsed="false">
      <c r="A4226" s="0" t="n">
        <v>2644</v>
      </c>
      <c r="B4226" s="0" t="n">
        <v>20567</v>
      </c>
      <c r="C4226" s="0" t="s">
        <v>11308</v>
      </c>
      <c r="D4226" s="0" t="s">
        <v>5</v>
      </c>
      <c r="E4226" s="0" t="e">
        <f aca="false">IFERROR(__xludf.dummyfunction("xlookup(aj2644,importrange("1xainw9du9nz21v0tyi))</f>
        <v>#VALUE!</v>
      </c>
      <c r="F4226" s="0" t="s">
        <v>11309</v>
      </c>
      <c r="G4226" s="0" t="s">
        <v>18698</v>
      </c>
    </row>
    <row r="4227" customFormat="false" ht="15" hidden="false" customHeight="false" outlineLevel="0" collapsed="false">
      <c r="A4227" s="0" t="n">
        <v>2647</v>
      </c>
      <c r="B4227" s="0" t="n">
        <v>20571</v>
      </c>
      <c r="C4227" s="0" t="s">
        <v>11320</v>
      </c>
      <c r="D4227" s="0" t="s">
        <v>5</v>
      </c>
      <c r="E4227" s="0" t="e">
        <f aca="false">IFERROR(__xludf.dummyfunction("xlookup(aj2647,importrange("1xainw9du9nz21v0tyi))</f>
        <v>#VALUE!</v>
      </c>
      <c r="F4227" s="0" t="s">
        <v>11321</v>
      </c>
      <c r="G4227" s="0" t="s">
        <v>18698</v>
      </c>
    </row>
    <row r="4228" customFormat="false" ht="15" hidden="false" customHeight="false" outlineLevel="0" collapsed="false">
      <c r="A4228" s="0" t="n">
        <v>2650</v>
      </c>
      <c r="B4228" s="0" t="n">
        <v>20574</v>
      </c>
      <c r="C4228" s="0" t="s">
        <v>11330</v>
      </c>
      <c r="D4228" s="0" t="s">
        <v>5</v>
      </c>
      <c r="E4228" s="0" t="e">
        <f aca="false">IFERROR(__xludf.dummyfunction("xlookup(aj2650,importrange("1xainw9du9nz21v0tyi))</f>
        <v>#VALUE!</v>
      </c>
      <c r="F4228" s="0" t="s">
        <v>11331</v>
      </c>
      <c r="G4228" s="0" t="s">
        <v>18698</v>
      </c>
    </row>
    <row r="4229" customFormat="false" ht="15" hidden="false" customHeight="false" outlineLevel="0" collapsed="false">
      <c r="A4229" s="0" t="n">
        <v>2651</v>
      </c>
      <c r="B4229" s="0" t="n">
        <v>20575</v>
      </c>
      <c r="C4229" s="0" t="s">
        <v>11334</v>
      </c>
      <c r="D4229" s="0" t="s">
        <v>5</v>
      </c>
      <c r="E4229" s="0" t="e">
        <f aca="false">IFERROR(__xludf.dummyfunction("xlookup(aj2651,importrange("1xainw9du9nz21v0tyi))</f>
        <v>#VALUE!</v>
      </c>
      <c r="F4229" s="0" t="s">
        <v>11335</v>
      </c>
      <c r="G4229" s="0" t="s">
        <v>18698</v>
      </c>
    </row>
    <row r="4230" customFormat="false" ht="15" hidden="false" customHeight="false" outlineLevel="0" collapsed="false">
      <c r="A4230" s="0" t="n">
        <v>2656</v>
      </c>
      <c r="B4230" s="0" t="n">
        <v>20583</v>
      </c>
      <c r="C4230" s="0" t="s">
        <v>11350</v>
      </c>
      <c r="D4230" s="0" t="s">
        <v>5</v>
      </c>
      <c r="E4230" s="0" t="e">
        <f aca="false">IFERROR(__xludf.dummyfunction("xlookup(aj2656,importrange("1xainw9du9nz21v0tyi))</f>
        <v>#VALUE!</v>
      </c>
      <c r="F4230" s="0" t="s">
        <v>11351</v>
      </c>
      <c r="G4230" s="0" t="s">
        <v>18698</v>
      </c>
    </row>
    <row r="4231" customFormat="false" ht="15" hidden="false" customHeight="false" outlineLevel="0" collapsed="false">
      <c r="A4231" s="0" t="n">
        <v>2657</v>
      </c>
      <c r="B4231" s="0" t="n">
        <v>20584</v>
      </c>
      <c r="C4231" s="0" t="s">
        <v>11354</v>
      </c>
      <c r="D4231" s="0" t="s">
        <v>5</v>
      </c>
      <c r="E4231" s="0" t="e">
        <f aca="false">IFERROR(__xludf.dummyfunction("xlookup(aj2657,importrange("1xainw9du9nz21v0tyi))</f>
        <v>#VALUE!</v>
      </c>
      <c r="F4231" s="0" t="s">
        <v>11355</v>
      </c>
      <c r="G4231" s="0" t="s">
        <v>18698</v>
      </c>
    </row>
    <row r="4232" customFormat="false" ht="15" hidden="false" customHeight="false" outlineLevel="0" collapsed="false">
      <c r="A4232" s="0" t="n">
        <v>2665</v>
      </c>
      <c r="B4232" s="0" t="n">
        <v>20598</v>
      </c>
      <c r="C4232" s="0" t="s">
        <v>11378</v>
      </c>
      <c r="D4232" s="0" t="s">
        <v>5</v>
      </c>
      <c r="E4232" s="0" t="e">
        <f aca="false">IFERROR(__xludf.dummyfunction("xlookup(aj2665,importrange("1xainw9du9nz21v0tyi))</f>
        <v>#VALUE!</v>
      </c>
      <c r="F4232" s="0" t="s">
        <v>11379</v>
      </c>
      <c r="G4232" s="0" t="s">
        <v>18698</v>
      </c>
    </row>
    <row r="4233" customFormat="false" ht="15" hidden="false" customHeight="false" outlineLevel="0" collapsed="false">
      <c r="A4233" s="0" t="n">
        <v>2672</v>
      </c>
      <c r="B4233" s="0" t="n">
        <v>20631</v>
      </c>
      <c r="C4233" s="0" t="s">
        <v>11403</v>
      </c>
      <c r="D4233" s="0" t="s">
        <v>5</v>
      </c>
      <c r="E4233" s="0" t="e">
        <f aca="false">IFERROR(__xludf.dummyfunction("xlookup(aj2672,importrange("1xainw9du9nz21v0tyi))</f>
        <v>#VALUE!</v>
      </c>
      <c r="F4233" s="0" t="s">
        <v>11404</v>
      </c>
      <c r="G4233" s="0" t="s">
        <v>18698</v>
      </c>
    </row>
    <row r="4234" customFormat="false" ht="15" hidden="false" customHeight="false" outlineLevel="0" collapsed="false">
      <c r="A4234" s="0" t="n">
        <v>2673</v>
      </c>
      <c r="B4234" s="0" t="n">
        <v>20633</v>
      </c>
      <c r="C4234" s="0" t="s">
        <v>11408</v>
      </c>
      <c r="D4234" s="0" t="s">
        <v>5</v>
      </c>
      <c r="E4234" s="0" t="e">
        <f aca="false">IFERROR(__xludf.dummyfunction("xlookup(aj2673,importrange("1xainw9du9nz21v0tyi))</f>
        <v>#VALUE!</v>
      </c>
      <c r="F4234" s="0" t="s">
        <v>11409</v>
      </c>
      <c r="G4234" s="0" t="s">
        <v>18698</v>
      </c>
    </row>
    <row r="4235" customFormat="false" ht="15" hidden="false" customHeight="false" outlineLevel="0" collapsed="false">
      <c r="A4235" s="0" t="n">
        <v>2674</v>
      </c>
      <c r="B4235" s="0" t="n">
        <v>20634</v>
      </c>
      <c r="C4235" s="0" t="s">
        <v>11412</v>
      </c>
      <c r="D4235" s="0" t="s">
        <v>5</v>
      </c>
      <c r="E4235" s="0" t="e">
        <f aca="false">IFERROR(__xludf.dummyfunction("xlookup(aj2674,importrange("1xainw9du9nz21v0tyi))</f>
        <v>#VALUE!</v>
      </c>
      <c r="F4235" s="0" t="s">
        <v>11413</v>
      </c>
      <c r="G4235" s="0" t="s">
        <v>18698</v>
      </c>
    </row>
    <row r="4236" customFormat="false" ht="15" hidden="false" customHeight="false" outlineLevel="0" collapsed="false">
      <c r="A4236" s="0" t="n">
        <v>2679</v>
      </c>
      <c r="B4236" s="0" t="n">
        <v>20642</v>
      </c>
      <c r="C4236" s="0" t="s">
        <v>11428</v>
      </c>
      <c r="D4236" s="0" t="s">
        <v>5</v>
      </c>
      <c r="E4236" s="0" t="e">
        <f aca="false">IFERROR(__xludf.dummyfunction("xlookup(aj2679,importrange("1xainw9du9nz21v0tyi))</f>
        <v>#VALUE!</v>
      </c>
      <c r="F4236" s="0" t="s">
        <v>11429</v>
      </c>
      <c r="G4236" s="0" t="s">
        <v>18698</v>
      </c>
    </row>
    <row r="4237" customFormat="false" ht="15" hidden="false" customHeight="false" outlineLevel="0" collapsed="false">
      <c r="A4237" s="0" t="n">
        <v>2683</v>
      </c>
      <c r="B4237" s="0" t="n">
        <v>20646</v>
      </c>
      <c r="C4237" s="0" t="s">
        <v>11441</v>
      </c>
      <c r="D4237" s="0" t="s">
        <v>5</v>
      </c>
      <c r="E4237" s="0" t="e">
        <f aca="false">IFERROR(__xludf.dummyfunction("xlookup(aj2683,importrange("1xainw9du9nz21v0tyi))</f>
        <v>#VALUE!</v>
      </c>
      <c r="F4237" s="0" t="s">
        <v>11442</v>
      </c>
      <c r="G4237" s="0" t="s">
        <v>18698</v>
      </c>
    </row>
    <row r="4238" customFormat="false" ht="15" hidden="false" customHeight="false" outlineLevel="0" collapsed="false">
      <c r="A4238" s="0" t="n">
        <v>2684</v>
      </c>
      <c r="B4238" s="0" t="n">
        <v>20769</v>
      </c>
      <c r="C4238" s="0" t="s">
        <v>11445</v>
      </c>
      <c r="D4238" s="0" t="s">
        <v>5</v>
      </c>
      <c r="E4238" s="0" t="e">
        <f aca="false">IFERROR(__xludf.dummyfunction("xlookup(aj2684,importrange("1xainw9du9nz21v0tyi))</f>
        <v>#VALUE!</v>
      </c>
      <c r="F4238" s="0" t="s">
        <v>11446</v>
      </c>
      <c r="G4238" s="0" t="s">
        <v>18698</v>
      </c>
    </row>
    <row r="4239" customFormat="false" ht="15" hidden="false" customHeight="false" outlineLevel="0" collapsed="false">
      <c r="A4239" s="0" t="n">
        <v>2685</v>
      </c>
      <c r="B4239" s="0" t="n">
        <v>20770</v>
      </c>
      <c r="C4239" s="0" t="s">
        <v>11449</v>
      </c>
      <c r="D4239" s="0" t="s">
        <v>5</v>
      </c>
      <c r="E4239" s="0" t="e">
        <f aca="false">IFERROR(__xludf.dummyfunction("xlookup(aj2685,importrange("1xainw9du9nz21v0tyi))</f>
        <v>#VALUE!</v>
      </c>
      <c r="F4239" s="0" t="s">
        <v>11450</v>
      </c>
      <c r="G4239" s="0" t="s">
        <v>18698</v>
      </c>
    </row>
    <row r="4240" customFormat="false" ht="15" hidden="false" customHeight="false" outlineLevel="0" collapsed="false">
      <c r="A4240" s="0" t="n">
        <v>2695</v>
      </c>
      <c r="B4240" s="0" t="n">
        <v>20793</v>
      </c>
      <c r="C4240" s="0" t="s">
        <v>11484</v>
      </c>
      <c r="D4240" s="0" t="s">
        <v>5</v>
      </c>
      <c r="E4240" s="0" t="e">
        <f aca="false">IFERROR(__xludf.dummyfunction("xlookup(aj2695,importrange("1xainw9du9nz21v0tyi))</f>
        <v>#VALUE!</v>
      </c>
      <c r="F4240" s="0" t="s">
        <v>11485</v>
      </c>
      <c r="G4240" s="0" t="s">
        <v>18698</v>
      </c>
    </row>
    <row r="4241" customFormat="false" ht="15" hidden="false" customHeight="false" outlineLevel="0" collapsed="false">
      <c r="A4241" s="0" t="n">
        <v>2699</v>
      </c>
      <c r="B4241" s="0" t="n">
        <v>20797</v>
      </c>
      <c r="C4241" s="0" t="s">
        <v>11501</v>
      </c>
      <c r="D4241" s="0" t="s">
        <v>5</v>
      </c>
      <c r="E4241" s="0" t="e">
        <f aca="false">IFERROR(__xludf.dummyfunction("xlookup(aj2699,importrange("1xainw9du9nz21v0tyi))</f>
        <v>#VALUE!</v>
      </c>
      <c r="F4241" s="0" t="s">
        <v>11502</v>
      </c>
      <c r="G4241" s="0" t="s">
        <v>18698</v>
      </c>
    </row>
    <row r="4242" customFormat="false" ht="15" hidden="false" customHeight="false" outlineLevel="0" collapsed="false">
      <c r="A4242" s="0" t="n">
        <v>2704</v>
      </c>
      <c r="B4242" s="0" t="n">
        <v>20805</v>
      </c>
      <c r="C4242" s="0" t="s">
        <v>11519</v>
      </c>
      <c r="D4242" s="0" t="s">
        <v>5</v>
      </c>
      <c r="E4242" s="0" t="e">
        <f aca="false">IFERROR(__xludf.dummyfunction("xlookup(aj2704,importrange("1xainw9du9nz21v0tyi))</f>
        <v>#VALUE!</v>
      </c>
      <c r="F4242" s="0" t="s">
        <v>11520</v>
      </c>
      <c r="G4242" s="0" t="s">
        <v>18698</v>
      </c>
    </row>
    <row r="4243" customFormat="false" ht="15" hidden="false" customHeight="false" outlineLevel="0" collapsed="false">
      <c r="A4243" s="0" t="n">
        <v>2705</v>
      </c>
      <c r="B4243" s="0" t="n">
        <v>20806</v>
      </c>
      <c r="C4243" s="0" t="s">
        <v>11523</v>
      </c>
      <c r="D4243" s="0" t="s">
        <v>5</v>
      </c>
      <c r="E4243" s="0" t="e">
        <f aca="false">IFERROR(__xludf.dummyfunction("xlookup(aj2705,importrange("1xainw9du9nz21v0tyi))</f>
        <v>#VALUE!</v>
      </c>
      <c r="F4243" s="0" t="s">
        <v>11524</v>
      </c>
      <c r="G4243" s="0" t="s">
        <v>18698</v>
      </c>
    </row>
    <row r="4244" customFormat="false" ht="15" hidden="false" customHeight="false" outlineLevel="0" collapsed="false">
      <c r="A4244" s="0" t="n">
        <v>2706</v>
      </c>
      <c r="B4244" s="0" t="n">
        <v>20807</v>
      </c>
      <c r="C4244" s="0" t="s">
        <v>11527</v>
      </c>
      <c r="D4244" s="0" t="s">
        <v>5</v>
      </c>
      <c r="E4244" s="0" t="e">
        <f aca="false">IFERROR(__xludf.dummyfunction("xlookup(aj2706,importrange("1xainw9du9nz21v0tyi))</f>
        <v>#VALUE!</v>
      </c>
      <c r="F4244" s="0" t="s">
        <v>11528</v>
      </c>
      <c r="G4244" s="0" t="s">
        <v>18698</v>
      </c>
    </row>
    <row r="4245" customFormat="false" ht="15" hidden="false" customHeight="false" outlineLevel="0" collapsed="false">
      <c r="A4245" s="0" t="n">
        <v>2709</v>
      </c>
      <c r="B4245" s="0" t="n">
        <v>20810</v>
      </c>
      <c r="C4245" s="0" t="s">
        <v>11538</v>
      </c>
      <c r="D4245" s="0" t="s">
        <v>5</v>
      </c>
      <c r="E4245" s="0" t="e">
        <f aca="false">IFERROR(__xludf.dummyfunction("xlookup(aj2709,importrange("1xainw9du9nz21v0tyi))</f>
        <v>#VALUE!</v>
      </c>
      <c r="F4245" s="0" t="s">
        <v>11539</v>
      </c>
      <c r="G4245" s="0" t="s">
        <v>18698</v>
      </c>
    </row>
    <row r="4246" customFormat="false" ht="15" hidden="false" customHeight="false" outlineLevel="0" collapsed="false">
      <c r="A4246" s="0" t="n">
        <v>2710</v>
      </c>
      <c r="B4246" s="0" t="n">
        <v>20811</v>
      </c>
      <c r="C4246" s="0" t="s">
        <v>11541</v>
      </c>
      <c r="D4246" s="0" t="s">
        <v>5</v>
      </c>
      <c r="E4246" s="0" t="e">
        <f aca="false">IFERROR(__xludf.dummyfunction("xlookup(aj2710,importrange("1xainw9du9nz21v0tyi))</f>
        <v>#VALUE!</v>
      </c>
      <c r="F4246" s="0" t="s">
        <v>11542</v>
      </c>
      <c r="G4246" s="0" t="s">
        <v>18698</v>
      </c>
    </row>
    <row r="4247" customFormat="false" ht="15" hidden="false" customHeight="false" outlineLevel="0" collapsed="false">
      <c r="A4247" s="0" t="n">
        <v>2711</v>
      </c>
      <c r="B4247" s="0" t="n">
        <v>20812</v>
      </c>
      <c r="C4247" s="0" t="s">
        <v>11545</v>
      </c>
      <c r="D4247" s="0" t="s">
        <v>5</v>
      </c>
      <c r="E4247" s="0" t="e">
        <f aca="false">IFERROR(__xludf.dummyfunction("xlookup(aj2711,importrange("1xainw9du9nz21v0tyi))</f>
        <v>#VALUE!</v>
      </c>
      <c r="F4247" s="0" t="s">
        <v>11546</v>
      </c>
      <c r="G4247" s="0" t="s">
        <v>18698</v>
      </c>
    </row>
    <row r="4248" customFormat="false" ht="15" hidden="false" customHeight="false" outlineLevel="0" collapsed="false">
      <c r="A4248" s="0" t="n">
        <v>2712</v>
      </c>
      <c r="B4248" s="0" t="n">
        <v>20813</v>
      </c>
      <c r="C4248" s="0" t="s">
        <v>11549</v>
      </c>
      <c r="D4248" s="0" t="s">
        <v>5</v>
      </c>
      <c r="E4248" s="0" t="e">
        <f aca="false">IFERROR(__xludf.dummyfunction("xlookup(aj2712,importrange("1xainw9du9nz21v0tyi))</f>
        <v>#VALUE!</v>
      </c>
      <c r="F4248" s="0" t="s">
        <v>11550</v>
      </c>
      <c r="G4248" s="0" t="s">
        <v>18698</v>
      </c>
    </row>
    <row r="4249" customFormat="false" ht="15" hidden="false" customHeight="false" outlineLevel="0" collapsed="false">
      <c r="A4249" s="0" t="n">
        <v>2713</v>
      </c>
      <c r="B4249" s="0" t="n">
        <v>20814</v>
      </c>
      <c r="C4249" s="0" t="s">
        <v>11553</v>
      </c>
      <c r="D4249" s="0" t="s">
        <v>5</v>
      </c>
      <c r="E4249" s="0" t="e">
        <f aca="false">IFERROR(__xludf.dummyfunction("xlookup(aj2713,importrange("1xainw9du9nz21v0tyi))</f>
        <v>#VALUE!</v>
      </c>
      <c r="F4249" s="0" t="s">
        <v>11554</v>
      </c>
      <c r="G4249" s="0" t="s">
        <v>18698</v>
      </c>
    </row>
    <row r="4250" customFormat="false" ht="15" hidden="false" customHeight="false" outlineLevel="0" collapsed="false">
      <c r="A4250" s="0" t="n">
        <v>2718</v>
      </c>
      <c r="B4250" s="0" t="n">
        <v>20820</v>
      </c>
      <c r="C4250" s="0" t="s">
        <v>11570</v>
      </c>
      <c r="D4250" s="0" t="s">
        <v>5</v>
      </c>
      <c r="E4250" s="0" t="e">
        <f aca="false">IFERROR(__xludf.dummyfunction("xlookup(aj2718,importrange("1xainw9du9nz21v0tyi))</f>
        <v>#VALUE!</v>
      </c>
      <c r="F4250" s="0" t="s">
        <v>11571</v>
      </c>
      <c r="G4250" s="0" t="s">
        <v>18698</v>
      </c>
    </row>
    <row r="4251" customFormat="false" ht="15" hidden="false" customHeight="false" outlineLevel="0" collapsed="false">
      <c r="A4251" s="0" t="n">
        <v>2723</v>
      </c>
      <c r="B4251" s="0" t="n">
        <v>20835</v>
      </c>
      <c r="C4251" s="0" t="s">
        <v>11591</v>
      </c>
      <c r="D4251" s="0" t="s">
        <v>5</v>
      </c>
      <c r="E4251" s="0" t="e">
        <f aca="false">IFERROR(__xludf.dummyfunction("xlookup(aj2723,importrange("1xainw9du9nz21v0tyi))</f>
        <v>#VALUE!</v>
      </c>
      <c r="F4251" s="0" t="s">
        <v>11592</v>
      </c>
      <c r="G4251" s="0" t="s">
        <v>18698</v>
      </c>
    </row>
    <row r="4252" customFormat="false" ht="15" hidden="false" customHeight="false" outlineLevel="0" collapsed="false">
      <c r="A4252" s="0" t="n">
        <v>2727</v>
      </c>
      <c r="B4252" s="0" t="n">
        <v>20865</v>
      </c>
      <c r="C4252" s="0" t="s">
        <v>11607</v>
      </c>
      <c r="D4252" s="0" t="s">
        <v>5</v>
      </c>
      <c r="E4252" s="0" t="e">
        <f aca="false">IFERROR(__xludf.dummyfunction("xlookup(aj2727,importrange("1xainw9du9nz21v0tyi))</f>
        <v>#VALUE!</v>
      </c>
      <c r="F4252" s="0" t="s">
        <v>11608</v>
      </c>
      <c r="G4252" s="0" t="s">
        <v>18698</v>
      </c>
    </row>
    <row r="4253" customFormat="false" ht="15" hidden="false" customHeight="false" outlineLevel="0" collapsed="false">
      <c r="A4253" s="0" t="n">
        <v>2729</v>
      </c>
      <c r="B4253" s="0" t="n">
        <v>20867</v>
      </c>
      <c r="C4253" s="0" t="s">
        <v>11616</v>
      </c>
      <c r="D4253" s="0" t="s">
        <v>5</v>
      </c>
      <c r="E4253" s="0" t="e">
        <f aca="false">IFERROR(__xludf.dummyfunction("xlookup(aj2729,importrange("1xainw9du9nz21v0tyi))</f>
        <v>#VALUE!</v>
      </c>
      <c r="F4253" s="0" t="s">
        <v>11617</v>
      </c>
      <c r="G4253" s="0" t="s">
        <v>18698</v>
      </c>
    </row>
    <row r="4254" customFormat="false" ht="15" hidden="false" customHeight="false" outlineLevel="0" collapsed="false">
      <c r="A4254" s="0" t="n">
        <v>2731</v>
      </c>
      <c r="B4254" s="0" t="n">
        <v>20869</v>
      </c>
      <c r="C4254" s="0" t="s">
        <v>11624</v>
      </c>
      <c r="D4254" s="0" t="s">
        <v>5</v>
      </c>
      <c r="E4254" s="0" t="e">
        <f aca="false">IFERROR(__xludf.dummyfunction("xlookup(aj2731,importrange("1xainw9du9nz21v0tyi))</f>
        <v>#VALUE!</v>
      </c>
      <c r="F4254" s="0" t="s">
        <v>11625</v>
      </c>
      <c r="G4254" s="0" t="s">
        <v>18698</v>
      </c>
    </row>
    <row r="4255" customFormat="false" ht="15" hidden="false" customHeight="false" outlineLevel="0" collapsed="false">
      <c r="A4255" s="0" t="n">
        <v>2734</v>
      </c>
      <c r="B4255" s="0" t="n">
        <v>20872</v>
      </c>
      <c r="C4255" s="0" t="s">
        <v>11635</v>
      </c>
      <c r="D4255" s="0" t="s">
        <v>5</v>
      </c>
      <c r="E4255" s="0" t="e">
        <f aca="false">IFERROR(__xludf.dummyfunction("xlookup(aj2734,importrange("1xainw9du9nz21v0tyi))</f>
        <v>#VALUE!</v>
      </c>
      <c r="F4255" s="0" t="s">
        <v>11636</v>
      </c>
      <c r="G4255" s="0" t="s">
        <v>18698</v>
      </c>
    </row>
    <row r="4256" customFormat="false" ht="15" hidden="false" customHeight="false" outlineLevel="0" collapsed="false">
      <c r="A4256" s="0" t="n">
        <v>2739</v>
      </c>
      <c r="B4256" s="0" t="n">
        <v>20877</v>
      </c>
      <c r="C4256" s="0" t="s">
        <v>11651</v>
      </c>
      <c r="D4256" s="0" t="s">
        <v>5</v>
      </c>
      <c r="E4256" s="0" t="e">
        <f aca="false">IFERROR(__xludf.dummyfunction("xlookup(aj2739,importrange("1xainw9du9nz21v0tyi))</f>
        <v>#VALUE!</v>
      </c>
      <c r="F4256" s="0" t="s">
        <v>11652</v>
      </c>
      <c r="G4256" s="0" t="s">
        <v>18698</v>
      </c>
    </row>
    <row r="4257" customFormat="false" ht="15" hidden="false" customHeight="false" outlineLevel="0" collapsed="false">
      <c r="A4257" s="0" t="n">
        <v>2744</v>
      </c>
      <c r="B4257" s="0" t="n">
        <v>20884</v>
      </c>
      <c r="C4257" s="0" t="s">
        <v>11669</v>
      </c>
      <c r="D4257" s="0" t="s">
        <v>5</v>
      </c>
      <c r="E4257" s="0" t="e">
        <f aca="false">IFERROR(__xludf.dummyfunction("xlookup(aj2744,importrange("1xainw9du9nz21v0tyi))</f>
        <v>#VALUE!</v>
      </c>
      <c r="F4257" s="0" t="s">
        <v>11670</v>
      </c>
      <c r="G4257" s="0" t="s">
        <v>18698</v>
      </c>
    </row>
    <row r="4258" customFormat="false" ht="15" hidden="false" customHeight="false" outlineLevel="0" collapsed="false">
      <c r="A4258" s="0" t="n">
        <v>2747</v>
      </c>
      <c r="B4258" s="0" t="n">
        <v>20887</v>
      </c>
      <c r="C4258" s="0" t="s">
        <v>11678</v>
      </c>
      <c r="D4258" s="0" t="s">
        <v>5</v>
      </c>
      <c r="E4258" s="0" t="e">
        <f aca="false">IFERROR(__xludf.dummyfunction("xlookup(aj2747,importrange("1xainw9du9nz21v0tyi))</f>
        <v>#VALUE!</v>
      </c>
      <c r="F4258" s="0" t="s">
        <v>11679</v>
      </c>
      <c r="G4258" s="0" t="s">
        <v>18698</v>
      </c>
    </row>
    <row r="4259" customFormat="false" ht="15" hidden="false" customHeight="false" outlineLevel="0" collapsed="false">
      <c r="A4259" s="0" t="n">
        <v>2748</v>
      </c>
      <c r="B4259" s="0" t="n">
        <v>20888</v>
      </c>
      <c r="C4259" s="0" t="s">
        <v>11682</v>
      </c>
      <c r="D4259" s="0" t="s">
        <v>5</v>
      </c>
      <c r="E4259" s="0" t="e">
        <f aca="false">IFERROR(__xludf.dummyfunction("xlookup(aj2748,importrange("1xainw9du9nz21v0tyi))</f>
        <v>#VALUE!</v>
      </c>
      <c r="F4259" s="0" t="s">
        <v>11683</v>
      </c>
      <c r="G4259" s="0" t="s">
        <v>18698</v>
      </c>
    </row>
    <row r="4260" customFormat="false" ht="15" hidden="false" customHeight="false" outlineLevel="0" collapsed="false">
      <c r="A4260" s="0" t="n">
        <v>2756</v>
      </c>
      <c r="B4260" s="0" t="n">
        <v>20896</v>
      </c>
      <c r="C4260" s="0" t="s">
        <v>11708</v>
      </c>
      <c r="D4260" s="0" t="s">
        <v>5</v>
      </c>
      <c r="E4260" s="0" t="e">
        <f aca="false">IFERROR(__xludf.dummyfunction("xlookup(aj2756,importrange("1xainw9du9nz21v0tyi))</f>
        <v>#VALUE!</v>
      </c>
      <c r="F4260" s="0" t="s">
        <v>11709</v>
      </c>
      <c r="G4260" s="0" t="s">
        <v>18698</v>
      </c>
    </row>
    <row r="4261" customFormat="false" ht="15" hidden="false" customHeight="false" outlineLevel="0" collapsed="false">
      <c r="A4261" s="0" t="n">
        <v>2765</v>
      </c>
      <c r="B4261" s="0" t="n">
        <v>20914</v>
      </c>
      <c r="C4261" s="0" t="s">
        <v>11739</v>
      </c>
      <c r="D4261" s="0" t="s">
        <v>5</v>
      </c>
      <c r="E4261" s="0" t="e">
        <f aca="false">IFERROR(__xludf.dummyfunction("xlookup(aj2765,importrange("1xainw9du9nz21v0tyi))</f>
        <v>#VALUE!</v>
      </c>
      <c r="F4261" s="0" t="s">
        <v>11740</v>
      </c>
      <c r="G4261" s="0" t="s">
        <v>18698</v>
      </c>
    </row>
    <row r="4262" customFormat="false" ht="15" hidden="false" customHeight="false" outlineLevel="0" collapsed="false">
      <c r="A4262" s="0" t="n">
        <v>2771</v>
      </c>
      <c r="B4262" s="0" t="n">
        <v>20955</v>
      </c>
      <c r="C4262" s="0" t="s">
        <v>11759</v>
      </c>
      <c r="D4262" s="0" t="s">
        <v>5</v>
      </c>
      <c r="E4262" s="0" t="e">
        <f aca="false">IFERROR(__xludf.dummyfunction("xlookup(aj2771,importrange("1xainw9du9nz21v0tyi))</f>
        <v>#VALUE!</v>
      </c>
      <c r="F4262" s="0" t="s">
        <v>11760</v>
      </c>
      <c r="G4262" s="0" t="s">
        <v>18698</v>
      </c>
    </row>
    <row r="4263" customFormat="false" ht="15" hidden="false" customHeight="false" outlineLevel="0" collapsed="false">
      <c r="A4263" s="0" t="n">
        <v>2773</v>
      </c>
      <c r="B4263" s="0" t="n">
        <v>20957</v>
      </c>
      <c r="C4263" s="0" t="s">
        <v>11769</v>
      </c>
      <c r="D4263" s="0" t="s">
        <v>5</v>
      </c>
      <c r="E4263" s="0" t="e">
        <f aca="false">IFERROR(__xludf.dummyfunction("xlookup(aj2773,importrange("1xainw9du9nz21v0tyi))</f>
        <v>#VALUE!</v>
      </c>
      <c r="F4263" s="0" t="s">
        <v>11770</v>
      </c>
      <c r="G4263" s="0" t="s">
        <v>18698</v>
      </c>
    </row>
    <row r="4264" customFormat="false" ht="15" hidden="false" customHeight="false" outlineLevel="0" collapsed="false">
      <c r="A4264" s="0" t="n">
        <v>2778</v>
      </c>
      <c r="B4264" s="0" t="n">
        <v>20971</v>
      </c>
      <c r="C4264" s="0" t="s">
        <v>11789</v>
      </c>
      <c r="D4264" s="0" t="s">
        <v>5</v>
      </c>
      <c r="E4264" s="0" t="e">
        <f aca="false">IFERROR(__xludf.dummyfunction("xlookup(aj2778,importrange("1xainw9du9nz21v0tyi))</f>
        <v>#VALUE!</v>
      </c>
      <c r="F4264" s="0" t="s">
        <v>11790</v>
      </c>
      <c r="G4264" s="0" t="s">
        <v>18698</v>
      </c>
    </row>
    <row r="4265" customFormat="false" ht="15" hidden="false" customHeight="false" outlineLevel="0" collapsed="false">
      <c r="A4265" s="0" t="n">
        <v>2779</v>
      </c>
      <c r="B4265" s="0" t="n">
        <v>20973</v>
      </c>
      <c r="C4265" s="0" t="s">
        <v>11793</v>
      </c>
      <c r="D4265" s="0" t="s">
        <v>5</v>
      </c>
      <c r="E4265" s="0" t="e">
        <f aca="false">IFERROR(__xludf.dummyfunction("xlookup(aj2779,importrange("1xainw9du9nz21v0tyi))</f>
        <v>#VALUE!</v>
      </c>
      <c r="F4265" s="0" t="s">
        <v>11794</v>
      </c>
      <c r="G4265" s="0" t="s">
        <v>18698</v>
      </c>
    </row>
    <row r="4266" customFormat="false" ht="15" hidden="false" customHeight="false" outlineLevel="0" collapsed="false">
      <c r="A4266" s="0" t="n">
        <v>2782</v>
      </c>
      <c r="B4266" s="0" t="n">
        <v>20978</v>
      </c>
      <c r="C4266" s="0" t="s">
        <v>11804</v>
      </c>
      <c r="D4266" s="0" t="s">
        <v>5</v>
      </c>
      <c r="E4266" s="0" t="e">
        <f aca="false">IFERROR(__xludf.dummyfunction("xlookup(aj2782,importrange("1xainw9du9nz21v0tyi))</f>
        <v>#VALUE!</v>
      </c>
      <c r="F4266" s="0" t="s">
        <v>11805</v>
      </c>
      <c r="G4266" s="0" t="s">
        <v>18698</v>
      </c>
    </row>
    <row r="4267" customFormat="false" ht="15" hidden="false" customHeight="false" outlineLevel="0" collapsed="false">
      <c r="A4267" s="0" t="n">
        <v>2783</v>
      </c>
      <c r="B4267" s="0" t="n">
        <v>20979</v>
      </c>
      <c r="C4267" s="0" t="s">
        <v>11808</v>
      </c>
      <c r="D4267" s="0" t="s">
        <v>5</v>
      </c>
      <c r="E4267" s="0" t="e">
        <f aca="false">IFERROR(__xludf.dummyfunction("xlookup(aj2783,importrange("1xainw9du9nz21v0tyi))</f>
        <v>#VALUE!</v>
      </c>
      <c r="F4267" s="0" t="s">
        <v>11809</v>
      </c>
      <c r="G4267" s="0" t="s">
        <v>18698</v>
      </c>
    </row>
    <row r="4268" customFormat="false" ht="15" hidden="false" customHeight="false" outlineLevel="0" collapsed="false">
      <c r="A4268" s="0" t="n">
        <v>2784</v>
      </c>
      <c r="B4268" s="0" t="n">
        <v>20980</v>
      </c>
      <c r="C4268" s="0" t="s">
        <v>11812</v>
      </c>
      <c r="D4268" s="0" t="s">
        <v>5</v>
      </c>
      <c r="E4268" s="0" t="e">
        <f aca="false">IFERROR(__xludf.dummyfunction("xlookup(aj2784,importrange("1xainw9du9nz21v0tyi))</f>
        <v>#VALUE!</v>
      </c>
      <c r="F4268" s="0" t="s">
        <v>11813</v>
      </c>
      <c r="G4268" s="0" t="s">
        <v>18698</v>
      </c>
    </row>
    <row r="4269" customFormat="false" ht="15" hidden="false" customHeight="false" outlineLevel="0" collapsed="false">
      <c r="A4269" s="0" t="n">
        <v>2786</v>
      </c>
      <c r="B4269" s="0" t="n">
        <v>20986</v>
      </c>
      <c r="C4269" s="0" t="s">
        <v>11819</v>
      </c>
      <c r="D4269" s="0" t="s">
        <v>5</v>
      </c>
      <c r="E4269" s="0" t="e">
        <f aca="false">IFERROR(__xludf.dummyfunction("xlookup(aj2786,importrange("1xainw9du9nz21v0tyi))</f>
        <v>#VALUE!</v>
      </c>
      <c r="F4269" s="0" t="s">
        <v>11820</v>
      </c>
      <c r="G4269" s="0" t="s">
        <v>18698</v>
      </c>
    </row>
    <row r="4270" customFormat="false" ht="15" hidden="false" customHeight="false" outlineLevel="0" collapsed="false">
      <c r="A4270" s="0" t="n">
        <v>2790</v>
      </c>
      <c r="B4270" s="0" t="n">
        <v>20996</v>
      </c>
      <c r="C4270" s="0" t="s">
        <v>11835</v>
      </c>
      <c r="D4270" s="0" t="s">
        <v>5</v>
      </c>
      <c r="E4270" s="0" t="e">
        <f aca="false">IFERROR(__xludf.dummyfunction("xlookup(aj2790,importrange("1xainw9du9nz21v0tyi))</f>
        <v>#VALUE!</v>
      </c>
      <c r="F4270" s="0" t="s">
        <v>11836</v>
      </c>
      <c r="G4270" s="0" t="s">
        <v>18698</v>
      </c>
    </row>
    <row r="4271" customFormat="false" ht="15" hidden="false" customHeight="false" outlineLevel="0" collapsed="false">
      <c r="A4271" s="0" t="n">
        <v>2798</v>
      </c>
      <c r="B4271" s="0" t="n">
        <v>21027</v>
      </c>
      <c r="C4271" s="0" t="s">
        <v>11860</v>
      </c>
      <c r="D4271" s="0" t="s">
        <v>5</v>
      </c>
      <c r="E4271" s="0" t="e">
        <f aca="false">IFERROR(__xludf.dummyfunction("xlookup(aj2798,importrange("1xainw9du9nz21v0tyi))</f>
        <v>#VALUE!</v>
      </c>
      <c r="F4271" s="0" t="s">
        <v>11861</v>
      </c>
      <c r="G4271" s="0" t="s">
        <v>18698</v>
      </c>
    </row>
    <row r="4272" customFormat="false" ht="15" hidden="false" customHeight="false" outlineLevel="0" collapsed="false">
      <c r="A4272" s="0" t="n">
        <v>2801</v>
      </c>
      <c r="B4272" s="0" t="n">
        <v>21031</v>
      </c>
      <c r="C4272" s="0" t="s">
        <v>11870</v>
      </c>
      <c r="D4272" s="0" t="s">
        <v>5</v>
      </c>
      <c r="E4272" s="0" t="e">
        <f aca="false">IFERROR(__xludf.dummyfunction("xlookup(aj2801,importrange("1xainw9du9nz21v0tyi))</f>
        <v>#VALUE!</v>
      </c>
      <c r="F4272" s="0" t="s">
        <v>11871</v>
      </c>
      <c r="G4272" s="0" t="s">
        <v>18698</v>
      </c>
    </row>
    <row r="4273" customFormat="false" ht="15" hidden="false" customHeight="false" outlineLevel="0" collapsed="false">
      <c r="A4273" s="0" t="n">
        <v>2807</v>
      </c>
      <c r="B4273" s="0" t="n">
        <v>21039</v>
      </c>
      <c r="C4273" s="0" t="s">
        <v>11891</v>
      </c>
      <c r="D4273" s="0" t="s">
        <v>5</v>
      </c>
      <c r="E4273" s="0" t="e">
        <f aca="false">IFERROR(__xludf.dummyfunction("xlookup(aj2807,importrange("1xainw9du9nz21v0tyi))</f>
        <v>#VALUE!</v>
      </c>
      <c r="F4273" s="0" t="s">
        <v>11892</v>
      </c>
      <c r="G4273" s="0" t="s">
        <v>18698</v>
      </c>
    </row>
    <row r="4274" customFormat="false" ht="15" hidden="false" customHeight="false" outlineLevel="0" collapsed="false">
      <c r="A4274" s="0" t="n">
        <v>2808</v>
      </c>
      <c r="B4274" s="0" t="n">
        <v>21040</v>
      </c>
      <c r="C4274" s="0" t="s">
        <v>11895</v>
      </c>
      <c r="D4274" s="0" t="s">
        <v>5</v>
      </c>
      <c r="E4274" s="0" t="e">
        <f aca="false">IFERROR(__xludf.dummyfunction("xlookup(aj2808,importrange("1xainw9du9nz21v0tyi))</f>
        <v>#VALUE!</v>
      </c>
      <c r="F4274" s="0" t="s">
        <v>11896</v>
      </c>
      <c r="G4274" s="0" t="s">
        <v>18698</v>
      </c>
    </row>
    <row r="4275" customFormat="false" ht="15" hidden="false" customHeight="false" outlineLevel="0" collapsed="false">
      <c r="A4275" s="0" t="n">
        <v>2810</v>
      </c>
      <c r="B4275" s="0" t="n">
        <v>21043</v>
      </c>
      <c r="C4275" s="0" t="s">
        <v>11903</v>
      </c>
      <c r="D4275" s="0" t="s">
        <v>5</v>
      </c>
      <c r="E4275" s="0" t="e">
        <f aca="false">IFERROR(__xludf.dummyfunction("xlookup(aj2810,importrange("1xainw9du9nz21v0tyi))</f>
        <v>#VALUE!</v>
      </c>
      <c r="F4275" s="0" t="s">
        <v>11904</v>
      </c>
      <c r="G4275" s="0" t="s">
        <v>18698</v>
      </c>
    </row>
    <row r="4276" customFormat="false" ht="15" hidden="false" customHeight="false" outlineLevel="0" collapsed="false">
      <c r="A4276" s="0" t="n">
        <v>2811</v>
      </c>
      <c r="B4276" s="0" t="n">
        <v>21044</v>
      </c>
      <c r="C4276" s="0" t="s">
        <v>11908</v>
      </c>
      <c r="D4276" s="0" t="s">
        <v>5</v>
      </c>
      <c r="E4276" s="0" t="e">
        <f aca="false">IFERROR(__xludf.dummyfunction("xlookup(aj2811,importrange("1xainw9du9nz21v0tyi))</f>
        <v>#VALUE!</v>
      </c>
      <c r="F4276" s="0" t="s">
        <v>11909</v>
      </c>
      <c r="G4276" s="0" t="s">
        <v>18698</v>
      </c>
    </row>
    <row r="4277" customFormat="false" ht="15" hidden="false" customHeight="false" outlineLevel="0" collapsed="false">
      <c r="A4277" s="0" t="n">
        <v>2816</v>
      </c>
      <c r="B4277" s="0" t="n">
        <v>21049</v>
      </c>
      <c r="C4277" s="0" t="s">
        <v>11930</v>
      </c>
      <c r="D4277" s="0" t="s">
        <v>5</v>
      </c>
      <c r="E4277" s="0" t="e">
        <f aca="false">IFERROR(__xludf.dummyfunction("xlookup(aj2816,importrange("1xainw9du9nz21v0tyi))</f>
        <v>#VALUE!</v>
      </c>
      <c r="F4277" s="0" t="s">
        <v>11931</v>
      </c>
      <c r="G4277" s="0" t="s">
        <v>18698</v>
      </c>
    </row>
    <row r="4278" customFormat="false" ht="15" hidden="false" customHeight="false" outlineLevel="0" collapsed="false">
      <c r="A4278" s="0" t="n">
        <v>2817</v>
      </c>
      <c r="B4278" s="0" t="n">
        <v>21050</v>
      </c>
      <c r="C4278" s="0" t="s">
        <v>11936</v>
      </c>
      <c r="D4278" s="0" t="s">
        <v>5</v>
      </c>
      <c r="E4278" s="0" t="e">
        <f aca="false">IFERROR(__xludf.dummyfunction("xlookup(aj2817,importrange("1xainw9du9nz21v0tyi))</f>
        <v>#VALUE!</v>
      </c>
      <c r="F4278" s="0" t="s">
        <v>11937</v>
      </c>
      <c r="G4278" s="0" t="s">
        <v>18698</v>
      </c>
    </row>
    <row r="4279" customFormat="false" ht="15" hidden="false" customHeight="false" outlineLevel="0" collapsed="false">
      <c r="A4279" s="0" t="n">
        <v>2822</v>
      </c>
      <c r="B4279" s="0" t="n">
        <v>21136</v>
      </c>
      <c r="C4279" s="0" t="s">
        <v>11951</v>
      </c>
      <c r="D4279" s="0" t="s">
        <v>5</v>
      </c>
      <c r="E4279" s="0" t="e">
        <f aca="false">IFERROR(__xludf.dummyfunction("xlookup(aj2822,importrange("1xainw9du9nz21v0tyi))</f>
        <v>#VALUE!</v>
      </c>
      <c r="F4279" s="0" t="s">
        <v>11952</v>
      </c>
      <c r="G4279" s="0" t="s">
        <v>18698</v>
      </c>
    </row>
    <row r="4280" customFormat="false" ht="15" hidden="false" customHeight="false" outlineLevel="0" collapsed="false">
      <c r="A4280" s="0" t="n">
        <v>2823</v>
      </c>
      <c r="B4280" s="0" t="n">
        <v>21137</v>
      </c>
      <c r="C4280" s="0" t="s">
        <v>11956</v>
      </c>
      <c r="D4280" s="0" t="s">
        <v>5</v>
      </c>
      <c r="E4280" s="0" t="e">
        <f aca="false">IFERROR(__xludf.dummyfunction("xlookup(aj2823,importrange("1xainw9du9nz21v0tyi))</f>
        <v>#VALUE!</v>
      </c>
      <c r="F4280" s="0" t="s">
        <v>11957</v>
      </c>
      <c r="G4280" s="0" t="s">
        <v>18698</v>
      </c>
    </row>
    <row r="4281" customFormat="false" ht="15" hidden="false" customHeight="false" outlineLevel="0" collapsed="false">
      <c r="A4281" s="0" t="n">
        <v>2829</v>
      </c>
      <c r="B4281" s="0" t="n">
        <v>21146</v>
      </c>
      <c r="C4281" s="0" t="s">
        <v>11979</v>
      </c>
      <c r="D4281" s="0" t="s">
        <v>5</v>
      </c>
      <c r="E4281" s="0" t="e">
        <f aca="false">IFERROR(__xludf.dummyfunction("xlookup(aj2829,importrange("1xainw9du9nz21v0tyi))</f>
        <v>#VALUE!</v>
      </c>
      <c r="F4281" s="0" t="s">
        <v>11980</v>
      </c>
      <c r="G4281" s="0" t="s">
        <v>18698</v>
      </c>
    </row>
    <row r="4282" customFormat="false" ht="15" hidden="false" customHeight="false" outlineLevel="0" collapsed="false">
      <c r="A4282" s="0" t="n">
        <v>2856</v>
      </c>
      <c r="B4282" s="0" t="n">
        <v>21219</v>
      </c>
      <c r="C4282" s="0" t="s">
        <v>12068</v>
      </c>
      <c r="D4282" s="0" t="s">
        <v>5</v>
      </c>
      <c r="E4282" s="0" t="e">
        <f aca="false">IFERROR(__xludf.dummyfunction("xlookup(aj2856,importrange("1xainw9du9nz21v0tyi))</f>
        <v>#VALUE!</v>
      </c>
      <c r="F4282" s="0" t="s">
        <v>12069</v>
      </c>
      <c r="G4282" s="0" t="s">
        <v>18698</v>
      </c>
    </row>
    <row r="4283" customFormat="false" ht="15" hidden="false" customHeight="false" outlineLevel="0" collapsed="false">
      <c r="A4283" s="0" t="n">
        <v>2860</v>
      </c>
      <c r="B4283" s="0" t="n">
        <v>21234</v>
      </c>
      <c r="C4283" s="0" t="s">
        <v>12081</v>
      </c>
      <c r="D4283" s="0" t="s">
        <v>5</v>
      </c>
      <c r="E4283" s="0" t="e">
        <f aca="false">IFERROR(__xludf.dummyfunction("xlookup(aj2860,importrange("1xainw9du9nz21v0tyi))</f>
        <v>#VALUE!</v>
      </c>
      <c r="F4283" s="0" t="s">
        <v>12082</v>
      </c>
      <c r="G4283" s="0" t="s">
        <v>18698</v>
      </c>
    </row>
    <row r="4284" customFormat="false" ht="15" hidden="false" customHeight="false" outlineLevel="0" collapsed="false">
      <c r="A4284" s="0" t="n">
        <v>2867</v>
      </c>
      <c r="B4284" s="0" t="n">
        <v>21246</v>
      </c>
      <c r="C4284" s="0" t="s">
        <v>12103</v>
      </c>
      <c r="D4284" s="0" t="s">
        <v>5</v>
      </c>
      <c r="E4284" s="0" t="e">
        <f aca="false">IFERROR(__xludf.dummyfunction("xlookup(aj2867,importrange("1xainw9du9nz21v0tyi))</f>
        <v>#VALUE!</v>
      </c>
      <c r="F4284" s="0" t="s">
        <v>12104</v>
      </c>
      <c r="G4284" s="0" t="s">
        <v>18698</v>
      </c>
    </row>
    <row r="4285" customFormat="false" ht="15" hidden="false" customHeight="false" outlineLevel="0" collapsed="false">
      <c r="A4285" s="0" t="n">
        <v>2869</v>
      </c>
      <c r="B4285" s="0" t="n">
        <v>21255</v>
      </c>
      <c r="C4285" s="0" t="s">
        <v>12110</v>
      </c>
      <c r="D4285" s="0" t="s">
        <v>5</v>
      </c>
      <c r="E4285" s="0" t="e">
        <f aca="false">IFERROR(__xludf.dummyfunction("xlookup(aj2869,importrange("1xainw9du9nz21v0tyi))</f>
        <v>#VALUE!</v>
      </c>
      <c r="F4285" s="0" t="s">
        <v>12112</v>
      </c>
      <c r="G4285" s="0" t="s">
        <v>18698</v>
      </c>
    </row>
    <row r="4286" customFormat="false" ht="15" hidden="false" customHeight="false" outlineLevel="0" collapsed="false">
      <c r="A4286" s="0" t="n">
        <v>2873</v>
      </c>
      <c r="B4286" s="0" t="n">
        <v>21272</v>
      </c>
      <c r="C4286" s="0" t="s">
        <v>12126</v>
      </c>
      <c r="D4286" s="0" t="s">
        <v>5</v>
      </c>
      <c r="E4286" s="0" t="e">
        <f aca="false">IFERROR(__xludf.dummyfunction("xlookup(aj2873,importrange("1xainw9du9nz21v0tyi))</f>
        <v>#VALUE!</v>
      </c>
      <c r="F4286" s="0" t="s">
        <v>12127</v>
      </c>
      <c r="G4286" s="0" t="s">
        <v>18698</v>
      </c>
    </row>
    <row r="4287" customFormat="false" ht="15" hidden="false" customHeight="false" outlineLevel="0" collapsed="false">
      <c r="A4287" s="0" t="n">
        <v>2874</v>
      </c>
      <c r="B4287" s="0" t="n">
        <v>21273</v>
      </c>
      <c r="C4287" s="0" t="s">
        <v>12130</v>
      </c>
      <c r="D4287" s="0" t="s">
        <v>5</v>
      </c>
      <c r="E4287" s="0" t="e">
        <f aca="false">IFERROR(__xludf.dummyfunction("xlookup(aj2874,importrange("1xainw9du9nz21v0tyi))</f>
        <v>#VALUE!</v>
      </c>
      <c r="F4287" s="0" t="s">
        <v>12131</v>
      </c>
      <c r="G4287" s="0" t="s">
        <v>18698</v>
      </c>
    </row>
    <row r="4288" customFormat="false" ht="15" hidden="false" customHeight="false" outlineLevel="0" collapsed="false">
      <c r="A4288" s="0" t="n">
        <v>2875</v>
      </c>
      <c r="B4288" s="0" t="n">
        <v>22230</v>
      </c>
      <c r="C4288" s="0" t="s">
        <v>12134</v>
      </c>
      <c r="D4288" s="0" t="s">
        <v>5</v>
      </c>
      <c r="E4288" s="0" t="e">
        <f aca="false">IFERROR(__xludf.dummyfunction("xlookup(aj2875,importrange("1xainw9du9nz21v0tyi))</f>
        <v>#VALUE!</v>
      </c>
      <c r="F4288" s="0" t="s">
        <v>12135</v>
      </c>
      <c r="G4288" s="0" t="s">
        <v>18698</v>
      </c>
    </row>
    <row r="4289" customFormat="false" ht="15" hidden="false" customHeight="false" outlineLevel="0" collapsed="false">
      <c r="A4289" s="0" t="n">
        <v>2876</v>
      </c>
      <c r="B4289" s="0" t="n">
        <v>21284</v>
      </c>
      <c r="C4289" s="0" t="s">
        <v>12139</v>
      </c>
      <c r="D4289" s="0" t="s">
        <v>5</v>
      </c>
      <c r="E4289" s="0" t="e">
        <f aca="false">IFERROR(__xludf.dummyfunction("xlookup(aj2876,importrange("1xainw9du9nz21v0tyi))</f>
        <v>#VALUE!</v>
      </c>
      <c r="F4289" s="0" t="s">
        <v>12140</v>
      </c>
      <c r="G4289" s="0" t="s">
        <v>18698</v>
      </c>
    </row>
    <row r="4290" customFormat="false" ht="15" hidden="false" customHeight="false" outlineLevel="0" collapsed="false">
      <c r="A4290" s="0" t="n">
        <v>2877</v>
      </c>
      <c r="B4290" s="0" t="n">
        <v>21291</v>
      </c>
      <c r="C4290" s="0" t="s">
        <v>12144</v>
      </c>
      <c r="D4290" s="0" t="s">
        <v>5</v>
      </c>
      <c r="E4290" s="0" t="e">
        <f aca="false">IFERROR(__xludf.dummyfunction("xlookup(aj2877,importrange("1xainw9du9nz21v0tyi))</f>
        <v>#VALUE!</v>
      </c>
      <c r="F4290" s="0" t="s">
        <v>12145</v>
      </c>
      <c r="G4290" s="0" t="s">
        <v>18698</v>
      </c>
    </row>
    <row r="4291" customFormat="false" ht="15" hidden="false" customHeight="false" outlineLevel="0" collapsed="false">
      <c r="A4291" s="0" t="n">
        <v>2878</v>
      </c>
      <c r="B4291" s="0" t="n">
        <v>21292</v>
      </c>
      <c r="C4291" s="0" t="s">
        <v>12148</v>
      </c>
      <c r="D4291" s="0" t="s">
        <v>5</v>
      </c>
      <c r="E4291" s="0" t="e">
        <f aca="false">IFERROR(__xludf.dummyfunction("xlookup(aj2878,importrange("1xainw9du9nz21v0tyi))</f>
        <v>#VALUE!</v>
      </c>
      <c r="F4291" s="0" t="s">
        <v>12149</v>
      </c>
      <c r="G4291" s="0" t="s">
        <v>18698</v>
      </c>
    </row>
    <row r="4292" customFormat="false" ht="15" hidden="false" customHeight="false" outlineLevel="0" collapsed="false">
      <c r="A4292" s="0" t="n">
        <v>2882</v>
      </c>
      <c r="B4292" s="0" t="n">
        <v>21297</v>
      </c>
      <c r="C4292" s="0" t="s">
        <v>12161</v>
      </c>
      <c r="D4292" s="0" t="s">
        <v>5</v>
      </c>
      <c r="E4292" s="0" t="e">
        <f aca="false">IFERROR(__xludf.dummyfunction("xlookup(aj2882,importrange("1xainw9du9nz21v0tyi))</f>
        <v>#VALUE!</v>
      </c>
      <c r="F4292" s="0" t="s">
        <v>12162</v>
      </c>
      <c r="G4292" s="0" t="s">
        <v>18698</v>
      </c>
    </row>
    <row r="4293" customFormat="false" ht="15" hidden="false" customHeight="false" outlineLevel="0" collapsed="false">
      <c r="A4293" s="0" t="n">
        <v>2883</v>
      </c>
      <c r="B4293" s="0" t="n">
        <v>21299</v>
      </c>
      <c r="C4293" s="0" t="s">
        <v>12165</v>
      </c>
      <c r="D4293" s="0" t="s">
        <v>5</v>
      </c>
      <c r="E4293" s="0" t="e">
        <f aca="false">IFERROR(__xludf.dummyfunction("xlookup(aj2883,importrange("1xainw9du9nz21v0tyi))</f>
        <v>#VALUE!</v>
      </c>
      <c r="F4293" s="0" t="s">
        <v>12166</v>
      </c>
      <c r="G4293" s="0" t="s">
        <v>18698</v>
      </c>
    </row>
    <row r="4294" customFormat="false" ht="15" hidden="false" customHeight="false" outlineLevel="0" collapsed="false">
      <c r="A4294" s="0" t="n">
        <v>2884</v>
      </c>
      <c r="B4294" s="0" t="n">
        <v>21300</v>
      </c>
      <c r="C4294" s="0" t="s">
        <v>12169</v>
      </c>
      <c r="D4294" s="0" t="s">
        <v>5</v>
      </c>
      <c r="E4294" s="0" t="e">
        <f aca="false">IFERROR(__xludf.dummyfunction("xlookup(aj2884,importrange("1xainw9du9nz21v0tyi))</f>
        <v>#VALUE!</v>
      </c>
      <c r="F4294" s="0" t="s">
        <v>12170</v>
      </c>
      <c r="G4294" s="0" t="s">
        <v>18698</v>
      </c>
    </row>
    <row r="4295" customFormat="false" ht="15" hidden="false" customHeight="false" outlineLevel="0" collapsed="false">
      <c r="A4295" s="0" t="n">
        <v>2885</v>
      </c>
      <c r="B4295" s="0" t="n">
        <v>21301</v>
      </c>
      <c r="C4295" s="0" t="s">
        <v>12173</v>
      </c>
      <c r="D4295" s="0" t="s">
        <v>5</v>
      </c>
      <c r="E4295" s="0" t="e">
        <f aca="false">IFERROR(__xludf.dummyfunction("xlookup(aj2885,importrange("1xainw9du9nz21v0tyi))</f>
        <v>#VALUE!</v>
      </c>
      <c r="F4295" s="0" t="s">
        <v>12174</v>
      </c>
      <c r="G4295" s="0" t="s">
        <v>18698</v>
      </c>
    </row>
    <row r="4296" customFormat="false" ht="15" hidden="false" customHeight="false" outlineLevel="0" collapsed="false">
      <c r="A4296" s="0" t="n">
        <v>2886</v>
      </c>
      <c r="B4296" s="0" t="n">
        <v>21302</v>
      </c>
      <c r="C4296" s="0" t="s">
        <v>12177</v>
      </c>
      <c r="D4296" s="0" t="s">
        <v>5</v>
      </c>
      <c r="E4296" s="0" t="e">
        <f aca="false">IFERROR(__xludf.dummyfunction("xlookup(aj2886,importrange("1xainw9du9nz21v0tyi))</f>
        <v>#VALUE!</v>
      </c>
      <c r="F4296" s="0" t="s">
        <v>12178</v>
      </c>
      <c r="G4296" s="0" t="s">
        <v>18698</v>
      </c>
    </row>
    <row r="4297" customFormat="false" ht="15" hidden="false" customHeight="false" outlineLevel="0" collapsed="false">
      <c r="A4297" s="0" t="n">
        <v>2888</v>
      </c>
      <c r="B4297" s="0" t="n">
        <v>21304</v>
      </c>
      <c r="C4297" s="0" t="s">
        <v>12184</v>
      </c>
      <c r="D4297" s="0" t="s">
        <v>5</v>
      </c>
      <c r="E4297" s="0" t="e">
        <f aca="false">IFERROR(__xludf.dummyfunction("xlookup(aj2888,importrange("1xainw9du9nz21v0tyi))</f>
        <v>#VALUE!</v>
      </c>
      <c r="F4297" s="0" t="s">
        <v>12185</v>
      </c>
      <c r="G4297" s="0" t="s">
        <v>18698</v>
      </c>
    </row>
    <row r="4298" customFormat="false" ht="15" hidden="false" customHeight="false" outlineLevel="0" collapsed="false">
      <c r="A4298" s="0" t="n">
        <v>2889</v>
      </c>
      <c r="B4298" s="0" t="n">
        <v>21305</v>
      </c>
      <c r="C4298" s="0" t="s">
        <v>12188</v>
      </c>
      <c r="D4298" s="0" t="s">
        <v>5</v>
      </c>
      <c r="E4298" s="0" t="e">
        <f aca="false">IFERROR(__xludf.dummyfunction("xlookup(aj2889,importrange("1xainw9du9nz21v0tyi))</f>
        <v>#VALUE!</v>
      </c>
      <c r="F4298" s="0" t="s">
        <v>12189</v>
      </c>
      <c r="G4298" s="0" t="s">
        <v>18698</v>
      </c>
    </row>
    <row r="4299" customFormat="false" ht="15" hidden="false" customHeight="false" outlineLevel="0" collapsed="false">
      <c r="A4299" s="0" t="n">
        <v>2890</v>
      </c>
      <c r="B4299" s="0" t="n">
        <v>21306</v>
      </c>
      <c r="C4299" s="0" t="s">
        <v>12192</v>
      </c>
      <c r="D4299" s="0" t="s">
        <v>5</v>
      </c>
      <c r="E4299" s="0" t="e">
        <f aca="false">IFERROR(__xludf.dummyfunction("xlookup(aj2890,importrange("1xainw9du9nz21v0tyi))</f>
        <v>#VALUE!</v>
      </c>
      <c r="F4299" s="0" t="s">
        <v>12193</v>
      </c>
      <c r="G4299" s="0" t="s">
        <v>18698</v>
      </c>
    </row>
    <row r="4300" customFormat="false" ht="15" hidden="false" customHeight="false" outlineLevel="0" collapsed="false">
      <c r="A4300" s="0" t="n">
        <v>2891</v>
      </c>
      <c r="B4300" s="0" t="n">
        <v>21307</v>
      </c>
      <c r="C4300" s="0" t="s">
        <v>12197</v>
      </c>
      <c r="D4300" s="0" t="s">
        <v>5</v>
      </c>
      <c r="E4300" s="0" t="e">
        <f aca="false">IFERROR(__xludf.dummyfunction("xlookup(aj2891,importrange("1xainw9du9nz21v0tyi))</f>
        <v>#VALUE!</v>
      </c>
      <c r="F4300" s="0" t="s">
        <v>12198</v>
      </c>
      <c r="G4300" s="0" t="s">
        <v>18698</v>
      </c>
    </row>
    <row r="4301" customFormat="false" ht="15" hidden="false" customHeight="false" outlineLevel="0" collapsed="false">
      <c r="A4301" s="0" t="n">
        <v>2897</v>
      </c>
      <c r="B4301" s="0" t="n">
        <v>21314</v>
      </c>
      <c r="C4301" s="0" t="s">
        <v>12222</v>
      </c>
      <c r="D4301" s="0" t="s">
        <v>5</v>
      </c>
      <c r="E4301" s="0" t="e">
        <f aca="false">IFERROR(__xludf.dummyfunction("xlookup(aj2897,importrange("1xainw9du9nz21v0tyi))</f>
        <v>#VALUE!</v>
      </c>
      <c r="F4301" s="0" t="s">
        <v>12223</v>
      </c>
      <c r="G4301" s="0" t="s">
        <v>18698</v>
      </c>
    </row>
    <row r="4302" customFormat="false" ht="15" hidden="false" customHeight="false" outlineLevel="0" collapsed="false">
      <c r="A4302" s="0" t="n">
        <v>2899</v>
      </c>
      <c r="B4302" s="0" t="n">
        <v>21316</v>
      </c>
      <c r="C4302" s="0" t="s">
        <v>12230</v>
      </c>
      <c r="D4302" s="0" t="s">
        <v>5</v>
      </c>
      <c r="E4302" s="0" t="e">
        <f aca="false">IFERROR(__xludf.dummyfunction("xlookup(aj2899,importrange("1xainw9du9nz21v0tyi))</f>
        <v>#VALUE!</v>
      </c>
      <c r="F4302" s="0" t="s">
        <v>12231</v>
      </c>
      <c r="G4302" s="0" t="s">
        <v>18698</v>
      </c>
    </row>
    <row r="4303" customFormat="false" ht="15" hidden="false" customHeight="false" outlineLevel="0" collapsed="false">
      <c r="A4303" s="0" t="n">
        <v>2900</v>
      </c>
      <c r="B4303" s="0" t="n">
        <v>21317</v>
      </c>
      <c r="C4303" s="0" t="s">
        <v>12234</v>
      </c>
      <c r="D4303" s="0" t="s">
        <v>5</v>
      </c>
      <c r="E4303" s="0" t="e">
        <f aca="false">IFERROR(__xludf.dummyfunction("xlookup(aj2900,importrange("1xainw9du9nz21v0tyi))</f>
        <v>#VALUE!</v>
      </c>
      <c r="F4303" s="0" t="s">
        <v>12235</v>
      </c>
      <c r="G4303" s="0" t="s">
        <v>18698</v>
      </c>
    </row>
    <row r="4304" customFormat="false" ht="15" hidden="false" customHeight="false" outlineLevel="0" collapsed="false">
      <c r="A4304" s="0" t="n">
        <v>2902</v>
      </c>
      <c r="B4304" s="0" t="n">
        <v>21319</v>
      </c>
      <c r="C4304" s="0" t="s">
        <v>12241</v>
      </c>
      <c r="D4304" s="0" t="s">
        <v>5</v>
      </c>
      <c r="E4304" s="0" t="e">
        <f aca="false">IFERROR(__xludf.dummyfunction("xlookup(aj2902,importrange("1xainw9du9nz21v0tyi))</f>
        <v>#VALUE!</v>
      </c>
      <c r="F4304" s="0" t="s">
        <v>12242</v>
      </c>
      <c r="G4304" s="0" t="s">
        <v>18698</v>
      </c>
    </row>
    <row r="4305" customFormat="false" ht="15" hidden="false" customHeight="false" outlineLevel="0" collapsed="false">
      <c r="A4305" s="0" t="n">
        <v>2904</v>
      </c>
      <c r="B4305" s="0" t="n">
        <v>21321</v>
      </c>
      <c r="C4305" s="0" t="s">
        <v>12249</v>
      </c>
      <c r="D4305" s="0" t="s">
        <v>5</v>
      </c>
      <c r="E4305" s="0" t="e">
        <f aca="false">IFERROR(__xludf.dummyfunction("xlookup(aj2904,importrange("1xainw9du9nz21v0tyi))</f>
        <v>#VALUE!</v>
      </c>
      <c r="F4305" s="0" t="s">
        <v>12250</v>
      </c>
      <c r="G4305" s="0" t="s">
        <v>18698</v>
      </c>
    </row>
    <row r="4306" customFormat="false" ht="15" hidden="false" customHeight="false" outlineLevel="0" collapsed="false">
      <c r="A4306" s="0" t="n">
        <v>2906</v>
      </c>
      <c r="B4306" s="0" t="n">
        <v>21335</v>
      </c>
      <c r="C4306" s="0" t="s">
        <v>12257</v>
      </c>
      <c r="D4306" s="0" t="s">
        <v>5</v>
      </c>
      <c r="E4306" s="0" t="e">
        <f aca="false">IFERROR(__xludf.dummyfunction("xlookup(aj2906,importrange("1xainw9du9nz21v0tyi))</f>
        <v>#VALUE!</v>
      </c>
      <c r="F4306" s="0" t="s">
        <v>12258</v>
      </c>
      <c r="G4306" s="0" t="s">
        <v>18698</v>
      </c>
    </row>
    <row r="4307" customFormat="false" ht="15" hidden="false" customHeight="false" outlineLevel="0" collapsed="false">
      <c r="A4307" s="0" t="n">
        <v>2916</v>
      </c>
      <c r="B4307" s="0" t="n">
        <v>21348</v>
      </c>
      <c r="C4307" s="0" t="s">
        <v>12285</v>
      </c>
      <c r="D4307" s="0" t="s">
        <v>5</v>
      </c>
      <c r="E4307" s="0" t="e">
        <f aca="false">IFERROR(__xludf.dummyfunction("xlookup(aj2916,importrange("1xainw9du9nz21v0tyi))</f>
        <v>#VALUE!</v>
      </c>
      <c r="F4307" s="0" t="s">
        <v>12286</v>
      </c>
      <c r="G4307" s="0" t="s">
        <v>18698</v>
      </c>
    </row>
    <row r="4308" customFormat="false" ht="15" hidden="false" customHeight="false" outlineLevel="0" collapsed="false">
      <c r="A4308" s="0" t="n">
        <v>2920</v>
      </c>
      <c r="B4308" s="0" t="n">
        <v>21352</v>
      </c>
      <c r="C4308" s="0" t="s">
        <v>12299</v>
      </c>
      <c r="D4308" s="0" t="s">
        <v>5</v>
      </c>
      <c r="E4308" s="0" t="e">
        <f aca="false">IFERROR(__xludf.dummyfunction("xlookup(aj2920,importrange("1xainw9du9nz21v0tyi))</f>
        <v>#VALUE!</v>
      </c>
      <c r="F4308" s="0" t="s">
        <v>12300</v>
      </c>
      <c r="G4308" s="0" t="s">
        <v>18698</v>
      </c>
    </row>
    <row r="4309" customFormat="false" ht="15" hidden="false" customHeight="false" outlineLevel="0" collapsed="false">
      <c r="A4309" s="0" t="n">
        <v>2924</v>
      </c>
      <c r="B4309" s="0" t="n">
        <v>22475</v>
      </c>
      <c r="C4309" s="0" t="s">
        <v>12312</v>
      </c>
      <c r="D4309" s="0" t="s">
        <v>5</v>
      </c>
      <c r="E4309" s="0" t="e">
        <f aca="false">IFERROR(__xludf.dummyfunction("xlookup(aj2924,importrange("1xainw9du9nz21v0tyi))</f>
        <v>#VALUE!</v>
      </c>
      <c r="F4309" s="0" t="s">
        <v>12313</v>
      </c>
      <c r="G4309" s="0" t="s">
        <v>18698</v>
      </c>
    </row>
    <row r="4310" customFormat="false" ht="15" hidden="false" customHeight="false" outlineLevel="0" collapsed="false">
      <c r="A4310" s="0" t="n">
        <v>2925</v>
      </c>
      <c r="B4310" s="0" t="n">
        <v>22558</v>
      </c>
      <c r="C4310" s="0" t="s">
        <v>12318</v>
      </c>
      <c r="D4310" s="0" t="s">
        <v>5</v>
      </c>
      <c r="E4310" s="0" t="e">
        <f aca="false">IFERROR(__xludf.dummyfunction("xlookup(aj2925,importrange("1xainw9du9nz21v0tyi))</f>
        <v>#VALUE!</v>
      </c>
      <c r="F4310" s="0" t="s">
        <v>12319</v>
      </c>
      <c r="G4310" s="0" t="s">
        <v>18698</v>
      </c>
    </row>
    <row r="4311" customFormat="false" ht="15" hidden="false" customHeight="false" outlineLevel="0" collapsed="false">
      <c r="A4311" s="0" t="n">
        <v>2929</v>
      </c>
      <c r="B4311" s="0" t="n">
        <v>21386</v>
      </c>
      <c r="C4311" s="0" t="s">
        <v>12332</v>
      </c>
      <c r="D4311" s="0" t="s">
        <v>5</v>
      </c>
      <c r="E4311" s="0" t="e">
        <f aca="false">IFERROR(__xludf.dummyfunction("xlookup(aj2929,importrange("1xainw9du9nz21v0tyi))</f>
        <v>#VALUE!</v>
      </c>
      <c r="F4311" s="0" t="s">
        <v>12333</v>
      </c>
      <c r="G4311" s="0" t="s">
        <v>18698</v>
      </c>
    </row>
    <row r="4312" customFormat="false" ht="15" hidden="false" customHeight="false" outlineLevel="0" collapsed="false">
      <c r="A4312" s="0" t="n">
        <v>2933</v>
      </c>
      <c r="B4312" s="0" t="n">
        <v>21416</v>
      </c>
      <c r="C4312" s="0" t="s">
        <v>12346</v>
      </c>
      <c r="D4312" s="0" t="s">
        <v>5</v>
      </c>
      <c r="E4312" s="0" t="e">
        <f aca="false">IFERROR(__xludf.dummyfunction("xlookup(aj2933,importrange("1xainw9du9nz21v0tyi))</f>
        <v>#VALUE!</v>
      </c>
      <c r="F4312" s="0" t="s">
        <v>12347</v>
      </c>
      <c r="G4312" s="0" t="s">
        <v>18698</v>
      </c>
    </row>
    <row r="4313" customFormat="false" ht="15" hidden="false" customHeight="false" outlineLevel="0" collapsed="false">
      <c r="A4313" s="0" t="n">
        <v>2937</v>
      </c>
      <c r="B4313" s="0" t="n">
        <v>21430</v>
      </c>
      <c r="C4313" s="0" t="s">
        <v>12359</v>
      </c>
      <c r="D4313" s="0" t="s">
        <v>5</v>
      </c>
      <c r="E4313" s="0" t="e">
        <f aca="false">IFERROR(__xludf.dummyfunction("xlookup(aj2937,importrange("1xainw9du9nz21v0tyi))</f>
        <v>#VALUE!</v>
      </c>
      <c r="F4313" s="0" t="s">
        <v>12360</v>
      </c>
      <c r="G4313" s="0" t="s">
        <v>18698</v>
      </c>
    </row>
    <row r="4314" customFormat="false" ht="15" hidden="false" customHeight="false" outlineLevel="0" collapsed="false">
      <c r="A4314" s="0" t="n">
        <v>2938</v>
      </c>
      <c r="B4314" s="0" t="n">
        <v>21431</v>
      </c>
      <c r="C4314" s="0" t="s">
        <v>12363</v>
      </c>
      <c r="D4314" s="0" t="s">
        <v>5</v>
      </c>
      <c r="E4314" s="0" t="e">
        <f aca="false">IFERROR(__xludf.dummyfunction("xlookup(aj2938,importrange("1xainw9du9nz21v0tyi))</f>
        <v>#VALUE!</v>
      </c>
      <c r="F4314" s="0" t="s">
        <v>12364</v>
      </c>
      <c r="G4314" s="0" t="s">
        <v>18698</v>
      </c>
    </row>
    <row r="4315" customFormat="false" ht="15" hidden="false" customHeight="false" outlineLevel="0" collapsed="false">
      <c r="A4315" s="0" t="n">
        <v>2944</v>
      </c>
      <c r="B4315" s="0" t="n">
        <v>21449</v>
      </c>
      <c r="C4315" s="0" t="s">
        <v>12382</v>
      </c>
      <c r="D4315" s="0" t="s">
        <v>5</v>
      </c>
      <c r="E4315" s="0" t="e">
        <f aca="false">IFERROR(__xludf.dummyfunction("xlookup(aj2944,importrange("1xainw9du9nz21v0tyi))</f>
        <v>#VALUE!</v>
      </c>
      <c r="F4315" s="0" t="s">
        <v>12383</v>
      </c>
      <c r="G4315" s="0" t="s">
        <v>18698</v>
      </c>
    </row>
    <row r="4316" customFormat="false" ht="15" hidden="false" customHeight="false" outlineLevel="0" collapsed="false">
      <c r="A4316" s="0" t="n">
        <v>2948</v>
      </c>
      <c r="B4316" s="0" t="n">
        <v>21459</v>
      </c>
      <c r="C4316" s="0" t="s">
        <v>12396</v>
      </c>
      <c r="D4316" s="0" t="s">
        <v>5</v>
      </c>
      <c r="E4316" s="0" t="e">
        <f aca="false">IFERROR(__xludf.dummyfunction("xlookup(aj2948,importrange("1xainw9du9nz21v0tyi))</f>
        <v>#VALUE!</v>
      </c>
      <c r="F4316" s="0" t="s">
        <v>12397</v>
      </c>
      <c r="G4316" s="0" t="s">
        <v>18698</v>
      </c>
    </row>
    <row r="4317" customFormat="false" ht="15" hidden="false" customHeight="false" outlineLevel="0" collapsed="false">
      <c r="A4317" s="0" t="n">
        <v>2951</v>
      </c>
      <c r="B4317" s="0" t="n">
        <v>21462</v>
      </c>
      <c r="C4317" s="0" t="s">
        <v>12407</v>
      </c>
      <c r="D4317" s="0" t="s">
        <v>5</v>
      </c>
      <c r="E4317" s="0" t="e">
        <f aca="false">IFERROR(__xludf.dummyfunction("xlookup(aj2951,importrange("1xainw9du9nz21v0tyi))</f>
        <v>#VALUE!</v>
      </c>
      <c r="F4317" s="0" t="s">
        <v>12408</v>
      </c>
      <c r="G4317" s="0" t="s">
        <v>18698</v>
      </c>
    </row>
    <row r="4318" customFormat="false" ht="15" hidden="false" customHeight="false" outlineLevel="0" collapsed="false">
      <c r="A4318" s="0" t="n">
        <v>2952</v>
      </c>
      <c r="B4318" s="0" t="n">
        <v>21463</v>
      </c>
      <c r="C4318" s="0" t="s">
        <v>12411</v>
      </c>
      <c r="D4318" s="0" t="s">
        <v>5</v>
      </c>
      <c r="E4318" s="0" t="e">
        <f aca="false">IFERROR(__xludf.dummyfunction("xlookup(aj2952,importrange("1xainw9du9nz21v0tyi))</f>
        <v>#VALUE!</v>
      </c>
      <c r="F4318" s="0" t="s">
        <v>12412</v>
      </c>
      <c r="G4318" s="0" t="s">
        <v>18698</v>
      </c>
    </row>
    <row r="4319" customFormat="false" ht="15" hidden="false" customHeight="false" outlineLevel="0" collapsed="false">
      <c r="A4319" s="0" t="n">
        <v>2954</v>
      </c>
      <c r="B4319" s="0" t="n">
        <v>21465</v>
      </c>
      <c r="C4319" s="0" t="s">
        <v>12418</v>
      </c>
      <c r="D4319" s="0" t="s">
        <v>5</v>
      </c>
      <c r="E4319" s="0" t="e">
        <f aca="false">IFERROR(__xludf.dummyfunction("xlookup(aj2954,importrange("1xainw9du9nz21v0tyi))</f>
        <v>#VALUE!</v>
      </c>
      <c r="F4319" s="0" t="s">
        <v>12419</v>
      </c>
      <c r="G4319" s="0" t="s">
        <v>18698</v>
      </c>
    </row>
    <row r="4320" customFormat="false" ht="15" hidden="false" customHeight="false" outlineLevel="0" collapsed="false">
      <c r="A4320" s="0" t="n">
        <v>2955</v>
      </c>
      <c r="B4320" s="0" t="n">
        <v>21466</v>
      </c>
      <c r="C4320" s="0" t="s">
        <v>12422</v>
      </c>
      <c r="D4320" s="0" t="s">
        <v>5</v>
      </c>
      <c r="E4320" s="0" t="e">
        <f aca="false">IFERROR(__xludf.dummyfunction("xlookup(aj2955,importrange("1xainw9du9nz21v0tyi))</f>
        <v>#VALUE!</v>
      </c>
      <c r="F4320" s="0" t="s">
        <v>12423</v>
      </c>
      <c r="G4320" s="0" t="s">
        <v>18698</v>
      </c>
    </row>
    <row r="4321" customFormat="false" ht="15" hidden="false" customHeight="false" outlineLevel="0" collapsed="false">
      <c r="A4321" s="0" t="n">
        <v>2956</v>
      </c>
      <c r="B4321" s="0" t="n">
        <v>21467</v>
      </c>
      <c r="C4321" s="0" t="s">
        <v>12427</v>
      </c>
      <c r="D4321" s="0" t="s">
        <v>5</v>
      </c>
      <c r="E4321" s="0" t="e">
        <f aca="false">IFERROR(__xludf.dummyfunction("xlookup(aj2956,importrange("1xainw9du9nz21v0tyi))</f>
        <v>#VALUE!</v>
      </c>
      <c r="F4321" s="0" t="s">
        <v>12428</v>
      </c>
      <c r="G4321" s="0" t="s">
        <v>18698</v>
      </c>
    </row>
    <row r="4322" customFormat="false" ht="15" hidden="false" customHeight="false" outlineLevel="0" collapsed="false">
      <c r="A4322" s="0" t="n">
        <v>2957</v>
      </c>
      <c r="B4322" s="0" t="n">
        <v>21468</v>
      </c>
      <c r="C4322" s="0" t="s">
        <v>12432</v>
      </c>
      <c r="D4322" s="0" t="s">
        <v>5</v>
      </c>
      <c r="E4322" s="0" t="e">
        <f aca="false">IFERROR(__xludf.dummyfunction("xlookup(aj2957,importrange("1xainw9du9nz21v0tyi))</f>
        <v>#VALUE!</v>
      </c>
      <c r="F4322" s="0" t="s">
        <v>12433</v>
      </c>
      <c r="G4322" s="0" t="s">
        <v>18698</v>
      </c>
    </row>
    <row r="4323" customFormat="false" ht="15" hidden="false" customHeight="false" outlineLevel="0" collapsed="false">
      <c r="A4323" s="0" t="n">
        <v>2958</v>
      </c>
      <c r="B4323" s="0" t="n">
        <v>21469</v>
      </c>
      <c r="C4323" s="0" t="s">
        <v>12436</v>
      </c>
      <c r="D4323" s="0" t="s">
        <v>5</v>
      </c>
      <c r="E4323" s="0" t="e">
        <f aca="false">IFERROR(__xludf.dummyfunction("xlookup(aj2958,importrange("1xainw9du9nz21v0tyi))</f>
        <v>#VALUE!</v>
      </c>
      <c r="F4323" s="0" t="s">
        <v>12437</v>
      </c>
      <c r="G4323" s="0" t="s">
        <v>18698</v>
      </c>
    </row>
    <row r="4324" customFormat="false" ht="15" hidden="false" customHeight="false" outlineLevel="0" collapsed="false">
      <c r="A4324" s="0" t="n">
        <v>2959</v>
      </c>
      <c r="B4324" s="0" t="n">
        <v>22477</v>
      </c>
      <c r="C4324" s="0" t="s">
        <v>12441</v>
      </c>
      <c r="D4324" s="0" t="s">
        <v>5</v>
      </c>
      <c r="E4324" s="0" t="e">
        <f aca="false">IFERROR(__xludf.dummyfunction("xlookup(aj2959,importrange("1xainw9du9nz21v0tyi))</f>
        <v>#VALUE!</v>
      </c>
      <c r="F4324" s="0" t="s">
        <v>12442</v>
      </c>
      <c r="G4324" s="0" t="s">
        <v>18698</v>
      </c>
    </row>
    <row r="4325" customFormat="false" ht="15" hidden="false" customHeight="false" outlineLevel="0" collapsed="false">
      <c r="A4325" s="0" t="n">
        <v>2960</v>
      </c>
      <c r="B4325" s="0" t="n">
        <v>21471</v>
      </c>
      <c r="C4325" s="0" t="s">
        <v>12447</v>
      </c>
      <c r="D4325" s="0" t="s">
        <v>5</v>
      </c>
      <c r="E4325" s="0" t="e">
        <f aca="false">IFERROR(__xludf.dummyfunction("xlookup(aj2960,importrange("1xainw9du9nz21v0tyi))</f>
        <v>#VALUE!</v>
      </c>
      <c r="F4325" s="0" t="s">
        <v>12448</v>
      </c>
      <c r="G4325" s="0" t="s">
        <v>18698</v>
      </c>
    </row>
    <row r="4326" customFormat="false" ht="15" hidden="false" customHeight="false" outlineLevel="0" collapsed="false">
      <c r="A4326" s="0" t="n">
        <v>2968</v>
      </c>
      <c r="B4326" s="0" t="n">
        <v>21491</v>
      </c>
      <c r="C4326" s="0" t="s">
        <v>12472</v>
      </c>
      <c r="D4326" s="0" t="s">
        <v>5</v>
      </c>
      <c r="E4326" s="0" t="e">
        <f aca="false">IFERROR(__xludf.dummyfunction("xlookup(aj2968,importrange("1xainw9du9nz21v0tyi))</f>
        <v>#VALUE!</v>
      </c>
      <c r="F4326" s="0" t="s">
        <v>12473</v>
      </c>
      <c r="G4326" s="0" t="s">
        <v>18698</v>
      </c>
    </row>
    <row r="4327" customFormat="false" ht="15" hidden="false" customHeight="false" outlineLevel="0" collapsed="false">
      <c r="A4327" s="0" t="n">
        <v>2969</v>
      </c>
      <c r="B4327" s="0" t="n">
        <v>21492</v>
      </c>
      <c r="C4327" s="0" t="s">
        <v>12477</v>
      </c>
      <c r="D4327" s="0" t="s">
        <v>5</v>
      </c>
      <c r="E4327" s="0" t="e">
        <f aca="false">IFERROR(__xludf.dummyfunction("xlookup(aj2969,importrange("1xainw9du9nz21v0tyi))</f>
        <v>#VALUE!</v>
      </c>
      <c r="F4327" s="0" t="s">
        <v>12478</v>
      </c>
      <c r="G4327" s="0" t="s">
        <v>18698</v>
      </c>
    </row>
    <row r="4328" customFormat="false" ht="15" hidden="false" customHeight="false" outlineLevel="0" collapsed="false">
      <c r="A4328" s="0" t="n">
        <v>2991</v>
      </c>
      <c r="B4328" s="0" t="n">
        <v>21529</v>
      </c>
      <c r="C4328" s="0" t="s">
        <v>12546</v>
      </c>
      <c r="D4328" s="0" t="s">
        <v>5</v>
      </c>
      <c r="E4328" s="0" t="e">
        <f aca="false">IFERROR(__xludf.dummyfunction("xlookup(aj2991,importrange("1xainw9du9nz21v0tyi))</f>
        <v>#VALUE!</v>
      </c>
      <c r="F4328" s="0" t="s">
        <v>12547</v>
      </c>
      <c r="G4328" s="0" t="s">
        <v>18698</v>
      </c>
    </row>
    <row r="4329" customFormat="false" ht="15" hidden="false" customHeight="false" outlineLevel="0" collapsed="false">
      <c r="A4329" s="0" t="n">
        <v>2995</v>
      </c>
      <c r="B4329" s="0" t="n">
        <v>21538</v>
      </c>
      <c r="C4329" s="0" t="s">
        <v>12562</v>
      </c>
      <c r="D4329" s="0" t="s">
        <v>5</v>
      </c>
      <c r="E4329" s="0" t="e">
        <f aca="false">IFERROR(__xludf.dummyfunction("xlookup(aj2995,importrange("1xainw9du9nz21v0tyi))</f>
        <v>#VALUE!</v>
      </c>
      <c r="F4329" s="0" t="s">
        <v>12563</v>
      </c>
      <c r="G4329" s="0" t="s">
        <v>18698</v>
      </c>
    </row>
    <row r="4330" customFormat="false" ht="15" hidden="false" customHeight="false" outlineLevel="0" collapsed="false">
      <c r="A4330" s="0" t="n">
        <v>2998</v>
      </c>
      <c r="B4330" s="0" t="n">
        <v>21541</v>
      </c>
      <c r="C4330" s="0" t="s">
        <v>12572</v>
      </c>
      <c r="D4330" s="0" t="s">
        <v>5</v>
      </c>
      <c r="E4330" s="0" t="e">
        <f aca="false">IFERROR(__xludf.dummyfunction("xlookup(aj2998,importrange("1xainw9du9nz21v0tyi))</f>
        <v>#VALUE!</v>
      </c>
      <c r="F4330" s="0" t="s">
        <v>12573</v>
      </c>
      <c r="G4330" s="0" t="s">
        <v>18698</v>
      </c>
    </row>
    <row r="4331" customFormat="false" ht="15" hidden="false" customHeight="false" outlineLevel="0" collapsed="false">
      <c r="A4331" s="0" t="n">
        <v>2999</v>
      </c>
      <c r="B4331" s="0" t="n">
        <v>21542</v>
      </c>
      <c r="C4331" s="0" t="s">
        <v>12576</v>
      </c>
      <c r="D4331" s="0" t="s">
        <v>5</v>
      </c>
      <c r="E4331" s="0" t="e">
        <f aca="false">IFERROR(__xludf.dummyfunction("xlookup(aj2999,importrange("1xainw9du9nz21v0tyi))</f>
        <v>#VALUE!</v>
      </c>
      <c r="F4331" s="0" t="s">
        <v>12577</v>
      </c>
      <c r="G4331" s="0" t="s">
        <v>18698</v>
      </c>
    </row>
    <row r="4332" customFormat="false" ht="15" hidden="false" customHeight="false" outlineLevel="0" collapsed="false">
      <c r="A4332" s="0" t="n">
        <v>3000</v>
      </c>
      <c r="B4332" s="0" t="n">
        <v>21543</v>
      </c>
      <c r="C4332" s="0" t="s">
        <v>12581</v>
      </c>
      <c r="D4332" s="0" t="s">
        <v>5</v>
      </c>
      <c r="E4332" s="0" t="e">
        <f aca="false">IFERROR(__xludf.dummyfunction("xlookup(aj3000,importrange("1xainw9du9nz21v0tyi))</f>
        <v>#VALUE!</v>
      </c>
      <c r="F4332" s="0" t="s">
        <v>12582</v>
      </c>
      <c r="G4332" s="0" t="s">
        <v>18698</v>
      </c>
    </row>
    <row r="4333" customFormat="false" ht="15" hidden="false" customHeight="false" outlineLevel="0" collapsed="false">
      <c r="A4333" s="0" t="n">
        <v>3001</v>
      </c>
      <c r="B4333" s="0" t="n">
        <v>21544</v>
      </c>
      <c r="C4333" s="0" t="s">
        <v>12585</v>
      </c>
      <c r="D4333" s="0" t="s">
        <v>5</v>
      </c>
      <c r="E4333" s="0" t="e">
        <f aca="false">IFERROR(__xludf.dummyfunction("xlookup(aj3001,importrange("1xainw9du9nz21v0tyi))</f>
        <v>#VALUE!</v>
      </c>
      <c r="F4333" s="0" t="s">
        <v>12586</v>
      </c>
      <c r="G4333" s="0" t="s">
        <v>18698</v>
      </c>
    </row>
    <row r="4334" customFormat="false" ht="15" hidden="false" customHeight="false" outlineLevel="0" collapsed="false">
      <c r="A4334" s="0" t="n">
        <v>3002</v>
      </c>
      <c r="B4334" s="0" t="n">
        <v>21545</v>
      </c>
      <c r="C4334" s="0" t="s">
        <v>9430</v>
      </c>
      <c r="D4334" s="0" t="s">
        <v>5</v>
      </c>
      <c r="E4334" s="0" t="e">
        <f aca="false">IFERROR(__xludf.dummyfunction("xlookup(aj3002,importrange("1xainw9du9nz21v0tyi))</f>
        <v>#VALUE!</v>
      </c>
      <c r="F4334" s="0" t="s">
        <v>12590</v>
      </c>
      <c r="G4334" s="0" t="s">
        <v>18698</v>
      </c>
    </row>
    <row r="4335" customFormat="false" ht="15" hidden="false" customHeight="false" outlineLevel="0" collapsed="false">
      <c r="A4335" s="0" t="n">
        <v>3003</v>
      </c>
      <c r="B4335" s="0" t="n">
        <v>21546</v>
      </c>
      <c r="C4335" s="0" t="s">
        <v>7637</v>
      </c>
      <c r="D4335" s="0" t="s">
        <v>5</v>
      </c>
      <c r="E4335" s="0" t="e">
        <f aca="false">IFERROR(__xludf.dummyfunction("xlookup(aj3003,importrange("1xainw9du9nz21v0tyi))</f>
        <v>#VALUE!</v>
      </c>
      <c r="F4335" s="0" t="s">
        <v>12593</v>
      </c>
      <c r="G4335" s="0" t="s">
        <v>18698</v>
      </c>
    </row>
    <row r="4336" customFormat="false" ht="15" hidden="false" customHeight="false" outlineLevel="0" collapsed="false">
      <c r="A4336" s="0" t="n">
        <v>3005</v>
      </c>
      <c r="B4336" s="0" t="n">
        <v>22596</v>
      </c>
      <c r="C4336" s="0" t="s">
        <v>12599</v>
      </c>
      <c r="D4336" s="0" t="s">
        <v>5</v>
      </c>
      <c r="E4336" s="0" t="e">
        <f aca="false">IFERROR(__xludf.dummyfunction("xlookup(aj3005,importrange("1xainw9du9nz21v0tyi))</f>
        <v>#VALUE!</v>
      </c>
      <c r="F4336" s="0" t="s">
        <v>12600</v>
      </c>
      <c r="G4336" s="0" t="s">
        <v>18698</v>
      </c>
    </row>
    <row r="4337" customFormat="false" ht="15" hidden="false" customHeight="false" outlineLevel="0" collapsed="false">
      <c r="A4337" s="0" t="n">
        <v>3011</v>
      </c>
      <c r="B4337" s="0" t="n">
        <v>21567</v>
      </c>
      <c r="C4337" s="0" t="s">
        <v>12619</v>
      </c>
      <c r="D4337" s="0" t="s">
        <v>5</v>
      </c>
      <c r="E4337" s="0" t="e">
        <f aca="false">IFERROR(__xludf.dummyfunction("xlookup(aj3011,importrange("1xainw9du9nz21v0tyi))</f>
        <v>#VALUE!</v>
      </c>
      <c r="F4337" s="0" t="s">
        <v>12620</v>
      </c>
      <c r="G4337" s="0" t="s">
        <v>18698</v>
      </c>
    </row>
    <row r="4338" customFormat="false" ht="15" hidden="false" customHeight="false" outlineLevel="0" collapsed="false">
      <c r="A4338" s="0" t="n">
        <v>3012</v>
      </c>
      <c r="B4338" s="0" t="n">
        <v>21568</v>
      </c>
      <c r="C4338" s="0" t="s">
        <v>12623</v>
      </c>
      <c r="D4338" s="0" t="s">
        <v>5</v>
      </c>
      <c r="E4338" s="0" t="e">
        <f aca="false">IFERROR(__xludf.dummyfunction("xlookup(aj3012,importrange("1xainw9du9nz21v0tyi))</f>
        <v>#VALUE!</v>
      </c>
      <c r="F4338" s="0" t="s">
        <v>12624</v>
      </c>
      <c r="G4338" s="0" t="s">
        <v>18698</v>
      </c>
    </row>
    <row r="4339" customFormat="false" ht="15" hidden="false" customHeight="false" outlineLevel="0" collapsed="false">
      <c r="A4339" s="0" t="n">
        <v>3021</v>
      </c>
      <c r="B4339" s="0" t="n">
        <v>21578</v>
      </c>
      <c r="C4339" s="0" t="s">
        <v>12653</v>
      </c>
      <c r="D4339" s="0" t="s">
        <v>5</v>
      </c>
      <c r="E4339" s="0" t="e">
        <f aca="false">IFERROR(__xludf.dummyfunction("xlookup(aj3021,importrange("1xainw9du9nz21v0tyi))</f>
        <v>#VALUE!</v>
      </c>
      <c r="F4339" s="0" t="s">
        <v>12654</v>
      </c>
      <c r="G4339" s="0" t="s">
        <v>18698</v>
      </c>
    </row>
    <row r="4340" customFormat="false" ht="15" hidden="false" customHeight="false" outlineLevel="0" collapsed="false">
      <c r="A4340" s="0" t="n">
        <v>3026</v>
      </c>
      <c r="B4340" s="0" t="n">
        <v>21583</v>
      </c>
      <c r="C4340" s="0" t="s">
        <v>12670</v>
      </c>
      <c r="D4340" s="0" t="s">
        <v>5</v>
      </c>
      <c r="E4340" s="0" t="e">
        <f aca="false">IFERROR(__xludf.dummyfunction("xlookup(aj3026,importrange("1xainw9du9nz21v0tyi))</f>
        <v>#VALUE!</v>
      </c>
      <c r="F4340" s="0" t="s">
        <v>12671</v>
      </c>
      <c r="G4340" s="0" t="s">
        <v>18698</v>
      </c>
    </row>
    <row r="4341" customFormat="false" ht="15" hidden="false" customHeight="false" outlineLevel="0" collapsed="false">
      <c r="A4341" s="0" t="n">
        <v>3031</v>
      </c>
      <c r="B4341" s="0" t="n">
        <v>21589</v>
      </c>
      <c r="C4341" s="0" t="s">
        <v>12687</v>
      </c>
      <c r="D4341" s="0" t="s">
        <v>5</v>
      </c>
      <c r="E4341" s="0" t="e">
        <f aca="false">IFERROR(__xludf.dummyfunction("xlookup(aj3031,importrange("1xainw9du9nz21v0tyi))</f>
        <v>#VALUE!</v>
      </c>
      <c r="F4341" s="0" t="s">
        <v>12688</v>
      </c>
      <c r="G4341" s="0" t="s">
        <v>18698</v>
      </c>
    </row>
    <row r="4342" customFormat="false" ht="15" hidden="false" customHeight="false" outlineLevel="0" collapsed="false">
      <c r="A4342" s="0" t="n">
        <v>3032</v>
      </c>
      <c r="B4342" s="0" t="n">
        <v>21590</v>
      </c>
      <c r="C4342" s="0" t="s">
        <v>12691</v>
      </c>
      <c r="D4342" s="0" t="s">
        <v>5</v>
      </c>
      <c r="E4342" s="0" t="e">
        <f aca="false">IFERROR(__xludf.dummyfunction("xlookup(aj3032,importrange("1xainw9du9nz21v0tyi))</f>
        <v>#VALUE!</v>
      </c>
      <c r="F4342" s="0" t="s">
        <v>12692</v>
      </c>
      <c r="G4342" s="0" t="s">
        <v>18698</v>
      </c>
    </row>
    <row r="4343" customFormat="false" ht="15" hidden="false" customHeight="false" outlineLevel="0" collapsed="false">
      <c r="A4343" s="0" t="n">
        <v>3033</v>
      </c>
      <c r="B4343" s="0" t="n">
        <v>21591</v>
      </c>
      <c r="C4343" s="0" t="s">
        <v>12695</v>
      </c>
      <c r="D4343" s="0" t="s">
        <v>5</v>
      </c>
      <c r="E4343" s="0" t="e">
        <f aca="false">IFERROR(__xludf.dummyfunction("xlookup(aj3033,importrange("1xainw9du9nz21v0tyi))</f>
        <v>#VALUE!</v>
      </c>
      <c r="F4343" s="0" t="s">
        <v>12696</v>
      </c>
      <c r="G4343" s="0" t="s">
        <v>18698</v>
      </c>
    </row>
    <row r="4344" customFormat="false" ht="15" hidden="false" customHeight="false" outlineLevel="0" collapsed="false">
      <c r="A4344" s="0" t="n">
        <v>3035</v>
      </c>
      <c r="B4344" s="0" t="n">
        <v>21594</v>
      </c>
      <c r="C4344" s="0" t="s">
        <v>12702</v>
      </c>
      <c r="D4344" s="0" t="s">
        <v>5</v>
      </c>
      <c r="E4344" s="0" t="e">
        <f aca="false">IFERROR(__xludf.dummyfunction("xlookup(aj3035,importrange("1xainw9du9nz21v0tyi))</f>
        <v>#VALUE!</v>
      </c>
      <c r="F4344" s="0" t="s">
        <v>12703</v>
      </c>
      <c r="G4344" s="0" t="s">
        <v>18698</v>
      </c>
    </row>
    <row r="4345" customFormat="false" ht="15" hidden="false" customHeight="false" outlineLevel="0" collapsed="false">
      <c r="A4345" s="0" t="n">
        <v>3040</v>
      </c>
      <c r="B4345" s="0" t="n">
        <v>21599</v>
      </c>
      <c r="C4345" s="0" t="s">
        <v>12719</v>
      </c>
      <c r="D4345" s="0" t="s">
        <v>5</v>
      </c>
      <c r="E4345" s="0" t="e">
        <f aca="false">IFERROR(__xludf.dummyfunction("xlookup(aj3040,importrange("1xainw9du9nz21v0tyi))</f>
        <v>#VALUE!</v>
      </c>
      <c r="F4345" s="0" t="s">
        <v>12720</v>
      </c>
      <c r="G4345" s="0" t="s">
        <v>18698</v>
      </c>
    </row>
    <row r="4346" customFormat="false" ht="15" hidden="false" customHeight="false" outlineLevel="0" collapsed="false">
      <c r="A4346" s="0" t="n">
        <v>3046</v>
      </c>
      <c r="B4346" s="0" t="n">
        <v>21605</v>
      </c>
      <c r="C4346" s="0" t="s">
        <v>12738</v>
      </c>
      <c r="D4346" s="0" t="s">
        <v>5</v>
      </c>
      <c r="E4346" s="0" t="e">
        <f aca="false">IFERROR(__xludf.dummyfunction("xlookup(aj3046,importrange("1xainw9du9nz21v0tyi))</f>
        <v>#VALUE!</v>
      </c>
      <c r="F4346" s="0" t="s">
        <v>12739</v>
      </c>
      <c r="G4346" s="0" t="s">
        <v>18698</v>
      </c>
    </row>
    <row r="4347" customFormat="false" ht="15" hidden="false" customHeight="false" outlineLevel="0" collapsed="false">
      <c r="A4347" s="0" t="n">
        <v>3049</v>
      </c>
      <c r="B4347" s="0" t="n">
        <v>21608</v>
      </c>
      <c r="C4347" s="0" t="s">
        <v>12748</v>
      </c>
      <c r="D4347" s="0" t="s">
        <v>5</v>
      </c>
      <c r="E4347" s="0" t="e">
        <f aca="false">IFERROR(__xludf.dummyfunction("xlookup(aj3049,importrange("1xainw9du9nz21v0tyi))</f>
        <v>#VALUE!</v>
      </c>
      <c r="F4347" s="0" t="s">
        <v>12749</v>
      </c>
      <c r="G4347" s="0" t="s">
        <v>18698</v>
      </c>
    </row>
    <row r="4348" customFormat="false" ht="15" hidden="false" customHeight="false" outlineLevel="0" collapsed="false">
      <c r="A4348" s="0" t="n">
        <v>3057</v>
      </c>
      <c r="B4348" s="0" t="n">
        <v>21616</v>
      </c>
      <c r="C4348" s="0" t="s">
        <v>12774</v>
      </c>
      <c r="D4348" s="0" t="s">
        <v>5</v>
      </c>
      <c r="E4348" s="0" t="e">
        <f aca="false">IFERROR(__xludf.dummyfunction("xlookup(aj3057,importrange("1xainw9du9nz21v0tyi))</f>
        <v>#VALUE!</v>
      </c>
      <c r="F4348" s="0" t="s">
        <v>12776</v>
      </c>
      <c r="G4348" s="0" t="s">
        <v>18698</v>
      </c>
    </row>
    <row r="4349" customFormat="false" ht="15" hidden="false" customHeight="false" outlineLevel="0" collapsed="false">
      <c r="A4349" s="0" t="n">
        <v>3058</v>
      </c>
      <c r="B4349" s="0" t="n">
        <v>21617</v>
      </c>
      <c r="C4349" s="0" t="s">
        <v>12780</v>
      </c>
      <c r="D4349" s="0" t="s">
        <v>5</v>
      </c>
      <c r="E4349" s="0" t="e">
        <f aca="false">IFERROR(__xludf.dummyfunction("xlookup(aj3058,importrange("1xainw9du9nz21v0tyi))</f>
        <v>#VALUE!</v>
      </c>
      <c r="F4349" s="0" t="s">
        <v>12781</v>
      </c>
      <c r="G4349" s="0" t="s">
        <v>18698</v>
      </c>
    </row>
    <row r="4350" customFormat="false" ht="15" hidden="false" customHeight="false" outlineLevel="0" collapsed="false">
      <c r="A4350" s="0" t="n">
        <v>3060</v>
      </c>
      <c r="B4350" s="0" t="n">
        <v>21619</v>
      </c>
      <c r="C4350" s="0" t="s">
        <v>12787</v>
      </c>
      <c r="D4350" s="0" t="s">
        <v>5</v>
      </c>
      <c r="E4350" s="0" t="e">
        <f aca="false">IFERROR(__xludf.dummyfunction("xlookup(aj3060,importrange("1xainw9du9nz21v0tyi))</f>
        <v>#VALUE!</v>
      </c>
      <c r="F4350" s="0" t="s">
        <v>12788</v>
      </c>
      <c r="G4350" s="0" t="s">
        <v>18698</v>
      </c>
    </row>
    <row r="4351" customFormat="false" ht="15" hidden="false" customHeight="false" outlineLevel="0" collapsed="false">
      <c r="A4351" s="0" t="n">
        <v>3064</v>
      </c>
      <c r="B4351" s="0" t="n">
        <v>21623</v>
      </c>
      <c r="C4351" s="0" t="s">
        <v>12802</v>
      </c>
      <c r="D4351" s="0" t="s">
        <v>5</v>
      </c>
      <c r="E4351" s="0" t="e">
        <f aca="false">IFERROR(__xludf.dummyfunction("xlookup(aj3064,importrange("1xainw9du9nz21v0tyi))</f>
        <v>#VALUE!</v>
      </c>
      <c r="F4351" s="0" t="s">
        <v>12804</v>
      </c>
      <c r="G4351" s="0" t="s">
        <v>18698</v>
      </c>
    </row>
    <row r="4352" customFormat="false" ht="15" hidden="false" customHeight="false" outlineLevel="0" collapsed="false">
      <c r="A4352" s="0" t="n">
        <v>3068</v>
      </c>
      <c r="B4352" s="0" t="n">
        <v>21627</v>
      </c>
      <c r="C4352" s="0" t="s">
        <v>12818</v>
      </c>
      <c r="D4352" s="0" t="s">
        <v>5</v>
      </c>
      <c r="E4352" s="0" t="e">
        <f aca="false">IFERROR(__xludf.dummyfunction("xlookup(aj3068,importrange("1xainw9du9nz21v0tyi))</f>
        <v>#VALUE!</v>
      </c>
      <c r="F4352" s="0" t="s">
        <v>12819</v>
      </c>
      <c r="G4352" s="0" t="s">
        <v>18698</v>
      </c>
    </row>
    <row r="4353" customFormat="false" ht="15" hidden="false" customHeight="false" outlineLevel="0" collapsed="false">
      <c r="A4353" s="0" t="n">
        <v>3069</v>
      </c>
      <c r="B4353" s="0" t="n">
        <v>21628</v>
      </c>
      <c r="C4353" s="0" t="s">
        <v>12822</v>
      </c>
      <c r="D4353" s="0" t="s">
        <v>5</v>
      </c>
      <c r="E4353" s="0" t="e">
        <f aca="false">IFERROR(__xludf.dummyfunction("xlookup(aj3069,importrange("1xainw9du9nz21v0tyi))</f>
        <v>#VALUE!</v>
      </c>
      <c r="F4353" s="0" t="s">
        <v>12823</v>
      </c>
      <c r="G4353" s="0" t="s">
        <v>18698</v>
      </c>
    </row>
    <row r="4354" customFormat="false" ht="15" hidden="false" customHeight="false" outlineLevel="0" collapsed="false">
      <c r="A4354" s="0" t="n">
        <v>3080</v>
      </c>
      <c r="B4354" s="0" t="n">
        <v>21639</v>
      </c>
      <c r="C4354" s="0" t="s">
        <v>12858</v>
      </c>
      <c r="D4354" s="0" t="s">
        <v>5</v>
      </c>
      <c r="E4354" s="0" t="e">
        <f aca="false">IFERROR(__xludf.dummyfunction("xlookup(aj3080,importrange("1xainw9du9nz21v0tyi))</f>
        <v>#VALUE!</v>
      </c>
      <c r="F4354" s="0" t="s">
        <v>12859</v>
      </c>
      <c r="G4354" s="0" t="s">
        <v>18698</v>
      </c>
    </row>
    <row r="4355" customFormat="false" ht="15" hidden="false" customHeight="false" outlineLevel="0" collapsed="false">
      <c r="A4355" s="0" t="n">
        <v>3084</v>
      </c>
      <c r="B4355" s="0" t="n">
        <v>21643</v>
      </c>
      <c r="C4355" s="0" t="s">
        <v>12871</v>
      </c>
      <c r="D4355" s="0" t="s">
        <v>5</v>
      </c>
      <c r="E4355" s="0" t="e">
        <f aca="false">IFERROR(__xludf.dummyfunction("xlookup(aj3084,importrange("1xainw9du9nz21v0tyi))</f>
        <v>#VALUE!</v>
      </c>
      <c r="F4355" s="0" t="s">
        <v>12872</v>
      </c>
      <c r="G4355" s="0" t="s">
        <v>18698</v>
      </c>
    </row>
    <row r="4356" customFormat="false" ht="15" hidden="false" customHeight="false" outlineLevel="0" collapsed="false">
      <c r="A4356" s="0" t="n">
        <v>3088</v>
      </c>
      <c r="B4356" s="0" t="n">
        <v>21649</v>
      </c>
      <c r="C4356" s="0" t="s">
        <v>12885</v>
      </c>
      <c r="D4356" s="0" t="s">
        <v>5</v>
      </c>
      <c r="E4356" s="0" t="e">
        <f aca="false">IFERROR(__xludf.dummyfunction("xlookup(aj3088,importrange("1xainw9du9nz21v0tyi))</f>
        <v>#VALUE!</v>
      </c>
      <c r="F4356" s="0" t="s">
        <v>12886</v>
      </c>
      <c r="G4356" s="0" t="s">
        <v>18698</v>
      </c>
    </row>
    <row r="4357" customFormat="false" ht="15" hidden="false" customHeight="false" outlineLevel="0" collapsed="false">
      <c r="A4357" s="0" t="n">
        <v>3090</v>
      </c>
      <c r="B4357" s="0" t="n">
        <v>21651</v>
      </c>
      <c r="C4357" s="0" t="s">
        <v>12892</v>
      </c>
      <c r="D4357" s="0" t="s">
        <v>5</v>
      </c>
      <c r="E4357" s="0" t="e">
        <f aca="false">IFERROR(__xludf.dummyfunction("xlookup(aj3090,importrange("1xainw9du9nz21v0tyi))</f>
        <v>#VALUE!</v>
      </c>
      <c r="F4357" s="0" t="s">
        <v>12893</v>
      </c>
      <c r="G4357" s="0" t="s">
        <v>18698</v>
      </c>
    </row>
    <row r="4358" customFormat="false" ht="15" hidden="false" customHeight="false" outlineLevel="0" collapsed="false">
      <c r="A4358" s="0" t="n">
        <v>3091</v>
      </c>
      <c r="B4358" s="0" t="n">
        <v>21652</v>
      </c>
      <c r="C4358" s="0" t="s">
        <v>12897</v>
      </c>
      <c r="D4358" s="0" t="s">
        <v>5</v>
      </c>
      <c r="E4358" s="0" t="e">
        <f aca="false">IFERROR(__xludf.dummyfunction("xlookup(aj3091,importrange("1xainw9du9nz21v0tyi))</f>
        <v>#VALUE!</v>
      </c>
      <c r="F4358" s="0" t="s">
        <v>12898</v>
      </c>
      <c r="G4358" s="0" t="s">
        <v>18698</v>
      </c>
    </row>
    <row r="4359" customFormat="false" ht="15" hidden="false" customHeight="false" outlineLevel="0" collapsed="false">
      <c r="A4359" s="0" t="n">
        <v>3092</v>
      </c>
      <c r="B4359" s="0" t="n">
        <v>21653</v>
      </c>
      <c r="C4359" s="0" t="s">
        <v>12901</v>
      </c>
      <c r="D4359" s="0" t="s">
        <v>5</v>
      </c>
      <c r="E4359" s="0" t="e">
        <f aca="false">IFERROR(__xludf.dummyfunction("xlookup(aj3092,importrange("1xainw9du9nz21v0tyi))</f>
        <v>#VALUE!</v>
      </c>
      <c r="F4359" s="0" t="s">
        <v>12902</v>
      </c>
      <c r="G4359" s="0" t="s">
        <v>18698</v>
      </c>
    </row>
    <row r="4360" customFormat="false" ht="15" hidden="false" customHeight="false" outlineLevel="0" collapsed="false">
      <c r="A4360" s="0" t="n">
        <v>3093</v>
      </c>
      <c r="B4360" s="0" t="n">
        <v>21654</v>
      </c>
      <c r="C4360" s="0" t="s">
        <v>12906</v>
      </c>
      <c r="D4360" s="0" t="s">
        <v>5</v>
      </c>
      <c r="E4360" s="0" t="e">
        <f aca="false">IFERROR(__xludf.dummyfunction("xlookup(aj3093,importrange("1xainw9du9nz21v0tyi))</f>
        <v>#VALUE!</v>
      </c>
      <c r="F4360" s="0" t="s">
        <v>12907</v>
      </c>
      <c r="G4360" s="0" t="s">
        <v>18698</v>
      </c>
    </row>
    <row r="4361" customFormat="false" ht="15" hidden="false" customHeight="false" outlineLevel="0" collapsed="false">
      <c r="A4361" s="0" t="n">
        <v>3099</v>
      </c>
      <c r="B4361" s="0" t="n">
        <v>21660</v>
      </c>
      <c r="C4361" s="0" t="s">
        <v>12926</v>
      </c>
      <c r="D4361" s="0" t="s">
        <v>5</v>
      </c>
      <c r="E4361" s="0" t="e">
        <f aca="false">IFERROR(__xludf.dummyfunction("xlookup(aj3099,importrange("1xainw9du9nz21v0tyi))</f>
        <v>#VALUE!</v>
      </c>
      <c r="F4361" s="0" t="s">
        <v>12927</v>
      </c>
      <c r="G4361" s="0" t="s">
        <v>18698</v>
      </c>
    </row>
    <row r="4362" customFormat="false" ht="15" hidden="false" customHeight="false" outlineLevel="0" collapsed="false">
      <c r="A4362" s="0" t="n">
        <v>3100</v>
      </c>
      <c r="B4362" s="0" t="n">
        <v>21661</v>
      </c>
      <c r="C4362" s="0" t="s">
        <v>12930</v>
      </c>
      <c r="D4362" s="0" t="s">
        <v>5</v>
      </c>
      <c r="E4362" s="0" t="e">
        <f aca="false">IFERROR(__xludf.dummyfunction("xlookup(aj3100,importrange("1xainw9du9nz21v0tyi))</f>
        <v>#VALUE!</v>
      </c>
      <c r="F4362" s="0" t="s">
        <v>12931</v>
      </c>
      <c r="G4362" s="0" t="s">
        <v>18698</v>
      </c>
    </row>
    <row r="4363" customFormat="false" ht="15" hidden="false" customHeight="false" outlineLevel="0" collapsed="false">
      <c r="A4363" s="0" t="n">
        <v>3101</v>
      </c>
      <c r="B4363" s="0" t="n">
        <v>21662</v>
      </c>
      <c r="C4363" s="0" t="s">
        <v>12934</v>
      </c>
      <c r="D4363" s="0" t="s">
        <v>5</v>
      </c>
      <c r="E4363" s="0" t="e">
        <f aca="false">IFERROR(__xludf.dummyfunction("xlookup(aj3101,importrange("1xainw9du9nz21v0tyi))</f>
        <v>#VALUE!</v>
      </c>
      <c r="F4363" s="0" t="s">
        <v>12935</v>
      </c>
      <c r="G4363" s="0" t="s">
        <v>18698</v>
      </c>
    </row>
    <row r="4364" customFormat="false" ht="15" hidden="false" customHeight="false" outlineLevel="0" collapsed="false">
      <c r="A4364" s="0" t="n">
        <v>3109</v>
      </c>
      <c r="B4364" s="0" t="n">
        <v>22695</v>
      </c>
      <c r="C4364" s="0" t="s">
        <v>12968</v>
      </c>
      <c r="D4364" s="0" t="s">
        <v>5</v>
      </c>
      <c r="E4364" s="0" t="e">
        <f aca="false">IFERROR(__xludf.dummyfunction("xlookup(aj3109,importrange("1xainw9du9nz21v0tyi))</f>
        <v>#VALUE!</v>
      </c>
      <c r="F4364" s="0" t="s">
        <v>12969</v>
      </c>
      <c r="G4364" s="0" t="s">
        <v>18698</v>
      </c>
    </row>
    <row r="4365" customFormat="false" ht="15" hidden="false" customHeight="false" outlineLevel="0" collapsed="false">
      <c r="A4365" s="0" t="n">
        <v>3111</v>
      </c>
      <c r="B4365" s="0" t="n">
        <v>22705</v>
      </c>
      <c r="C4365" s="0" t="s">
        <v>12976</v>
      </c>
      <c r="D4365" s="0" t="s">
        <v>5</v>
      </c>
      <c r="E4365" s="0" t="e">
        <f aca="false">IFERROR(__xludf.dummyfunction("xlookup(aj3111,importrange("1xainw9du9nz21v0tyi))</f>
        <v>#VALUE!</v>
      </c>
      <c r="F4365" s="0" t="s">
        <v>12977</v>
      </c>
      <c r="G4365" s="0" t="s">
        <v>18698</v>
      </c>
    </row>
    <row r="4366" customFormat="false" ht="15" hidden="false" customHeight="false" outlineLevel="0" collapsed="false">
      <c r="A4366" s="0" t="n">
        <v>3113</v>
      </c>
      <c r="B4366" s="0" t="n">
        <v>21692</v>
      </c>
      <c r="C4366" s="0" t="s">
        <v>12984</v>
      </c>
      <c r="D4366" s="0" t="s">
        <v>5</v>
      </c>
      <c r="E4366" s="0" t="e">
        <f aca="false">IFERROR(__xludf.dummyfunction("xlookup(aj3113,importrange("1xainw9du9nz21v0tyi))</f>
        <v>#VALUE!</v>
      </c>
      <c r="F4366" s="0" t="s">
        <v>12985</v>
      </c>
      <c r="G4366" s="0" t="s">
        <v>18698</v>
      </c>
    </row>
    <row r="4367" customFormat="false" ht="15" hidden="false" customHeight="false" outlineLevel="0" collapsed="false">
      <c r="A4367" s="0" t="n">
        <v>3114</v>
      </c>
      <c r="B4367" s="0" t="n">
        <v>21693</v>
      </c>
      <c r="C4367" s="0" t="s">
        <v>12990</v>
      </c>
      <c r="D4367" s="0" t="s">
        <v>5</v>
      </c>
      <c r="E4367" s="0" t="e">
        <f aca="false">IFERROR(__xludf.dummyfunction("xlookup(aj3114,importrange("1xainw9du9nz21v0tyi))</f>
        <v>#VALUE!</v>
      </c>
      <c r="F4367" s="0" t="s">
        <v>12991</v>
      </c>
      <c r="G4367" s="0" t="s">
        <v>18698</v>
      </c>
    </row>
    <row r="4368" customFormat="false" ht="15" hidden="false" customHeight="false" outlineLevel="0" collapsed="false">
      <c r="A4368" s="0" t="n">
        <v>3117</v>
      </c>
      <c r="B4368" s="0" t="n">
        <v>21706</v>
      </c>
      <c r="C4368" s="0" t="s">
        <v>13003</v>
      </c>
      <c r="D4368" s="0" t="s">
        <v>5</v>
      </c>
      <c r="E4368" s="0" t="e">
        <f aca="false">IFERROR(__xludf.dummyfunction("xlookup(aj3117,importrange("1xainw9du9nz21v0tyi))</f>
        <v>#VALUE!</v>
      </c>
      <c r="F4368" s="0" t="s">
        <v>13004</v>
      </c>
      <c r="G4368" s="0" t="s">
        <v>18698</v>
      </c>
    </row>
    <row r="4369" customFormat="false" ht="15" hidden="false" customHeight="false" outlineLevel="0" collapsed="false">
      <c r="A4369" s="0" t="n">
        <v>3118</v>
      </c>
      <c r="B4369" s="0" t="n">
        <v>21707</v>
      </c>
      <c r="C4369" s="0" t="s">
        <v>13009</v>
      </c>
      <c r="D4369" s="0" t="s">
        <v>5</v>
      </c>
      <c r="E4369" s="0" t="e">
        <f aca="false">IFERROR(__xludf.dummyfunction("xlookup(aj3118,importrange("1xainw9du9nz21v0tyi))</f>
        <v>#VALUE!</v>
      </c>
      <c r="F4369" s="0" t="s">
        <v>13010</v>
      </c>
      <c r="G4369" s="0" t="s">
        <v>18698</v>
      </c>
    </row>
    <row r="4370" customFormat="false" ht="15" hidden="false" customHeight="false" outlineLevel="0" collapsed="false">
      <c r="A4370" s="0" t="n">
        <v>3119</v>
      </c>
      <c r="B4370" s="0" t="n">
        <v>21708</v>
      </c>
      <c r="C4370" s="0" t="s">
        <v>13014</v>
      </c>
      <c r="D4370" s="0" t="s">
        <v>5</v>
      </c>
      <c r="E4370" s="0" t="e">
        <f aca="false">IFERROR(__xludf.dummyfunction("xlookup(aj3119,importrange("1xainw9du9nz21v0tyi))</f>
        <v>#VALUE!</v>
      </c>
      <c r="F4370" s="0" t="s">
        <v>13015</v>
      </c>
      <c r="G4370" s="0" t="s">
        <v>18698</v>
      </c>
    </row>
    <row r="4371" customFormat="false" ht="15" hidden="false" customHeight="false" outlineLevel="0" collapsed="false">
      <c r="A4371" s="0" t="n">
        <v>3121</v>
      </c>
      <c r="B4371" s="0" t="n">
        <v>2206</v>
      </c>
      <c r="C4371" s="0" t="s">
        <v>13023</v>
      </c>
      <c r="D4371" s="0" t="s">
        <v>5</v>
      </c>
      <c r="E4371" s="0" t="e">
        <f aca="false">IFERROR(__xludf.dummyfunction("xlookup(aj3121,importrange("1xainw9du9nz21v0tyi))</f>
        <v>#VALUE!</v>
      </c>
      <c r="F4371" s="0" t="s">
        <v>13024</v>
      </c>
      <c r="G4371" s="0" t="s">
        <v>18698</v>
      </c>
    </row>
    <row r="4372" customFormat="false" ht="15" hidden="false" customHeight="false" outlineLevel="0" collapsed="false">
      <c r="A4372" s="0" t="n">
        <v>3145</v>
      </c>
      <c r="B4372" s="0" t="n">
        <v>21734</v>
      </c>
      <c r="C4372" s="0" t="s">
        <v>13103</v>
      </c>
      <c r="D4372" s="0" t="s">
        <v>5</v>
      </c>
      <c r="E4372" s="0" t="e">
        <f aca="false">IFERROR(__xludf.dummyfunction("xlookup(aj3145,importrange("1xainw9du9nz21v0tyi))</f>
        <v>#VALUE!</v>
      </c>
      <c r="F4372" s="0" t="s">
        <v>13104</v>
      </c>
      <c r="G4372" s="0" t="s">
        <v>18698</v>
      </c>
    </row>
    <row r="4373" customFormat="false" ht="15" hidden="false" customHeight="false" outlineLevel="0" collapsed="false">
      <c r="A4373" s="0" t="n">
        <v>3151</v>
      </c>
      <c r="B4373" s="0" t="n">
        <v>21740</v>
      </c>
      <c r="C4373" s="0" t="s">
        <v>13128</v>
      </c>
      <c r="D4373" s="0" t="s">
        <v>5</v>
      </c>
      <c r="E4373" s="0" t="e">
        <f aca="false">IFERROR(__xludf.dummyfunction("xlookup(aj3151,importrange("1xainw9du9nz21v0tyi))</f>
        <v>#VALUE!</v>
      </c>
      <c r="F4373" s="0" t="s">
        <v>13129</v>
      </c>
      <c r="G4373" s="0" t="s">
        <v>18698</v>
      </c>
    </row>
    <row r="4374" customFormat="false" ht="15" hidden="false" customHeight="false" outlineLevel="0" collapsed="false">
      <c r="A4374" s="0" t="n">
        <v>3155</v>
      </c>
      <c r="B4374" s="0" t="n">
        <v>21744</v>
      </c>
      <c r="C4374" s="0" t="s">
        <v>13141</v>
      </c>
      <c r="D4374" s="0" t="s">
        <v>5</v>
      </c>
      <c r="E4374" s="0" t="e">
        <f aca="false">IFERROR(__xludf.dummyfunction("xlookup(aj3155,importrange("1xainw9du9nz21v0tyi))</f>
        <v>#VALUE!</v>
      </c>
      <c r="F4374" s="0" t="s">
        <v>13142</v>
      </c>
      <c r="G4374" s="0" t="s">
        <v>18698</v>
      </c>
    </row>
    <row r="4375" customFormat="false" ht="15" hidden="false" customHeight="false" outlineLevel="0" collapsed="false">
      <c r="A4375" s="0" t="n">
        <v>3156</v>
      </c>
      <c r="B4375" s="0" t="n">
        <v>21745</v>
      </c>
      <c r="C4375" s="0" t="s">
        <v>13145</v>
      </c>
      <c r="D4375" s="0" t="s">
        <v>5</v>
      </c>
      <c r="E4375" s="0" t="e">
        <f aca="false">IFERROR(__xludf.dummyfunction("xlookup(aj3156,importrange("1xainw9du9nz21v0tyi))</f>
        <v>#VALUE!</v>
      </c>
      <c r="F4375" s="0" t="s">
        <v>13146</v>
      </c>
      <c r="G4375" s="0" t="s">
        <v>18698</v>
      </c>
    </row>
    <row r="4376" customFormat="false" ht="15" hidden="false" customHeight="false" outlineLevel="0" collapsed="false">
      <c r="A4376" s="0" t="n">
        <v>3160</v>
      </c>
      <c r="B4376" s="0" t="n">
        <v>21749</v>
      </c>
      <c r="C4376" s="0" t="s">
        <v>13157</v>
      </c>
      <c r="D4376" s="0" t="s">
        <v>5</v>
      </c>
      <c r="E4376" s="0" t="e">
        <f aca="false">IFERROR(__xludf.dummyfunction("xlookup(aj3160,importrange("1xainw9du9nz21v0tyi))</f>
        <v>#VALUE!</v>
      </c>
      <c r="F4376" s="0" t="s">
        <v>13158</v>
      </c>
      <c r="G4376" s="0" t="s">
        <v>18698</v>
      </c>
    </row>
    <row r="4377" customFormat="false" ht="15" hidden="false" customHeight="false" outlineLevel="0" collapsed="false">
      <c r="A4377" s="0" t="n">
        <v>3161</v>
      </c>
      <c r="B4377" s="0" t="n">
        <v>21750</v>
      </c>
      <c r="C4377" s="0" t="s">
        <v>13161</v>
      </c>
      <c r="D4377" s="0" t="s">
        <v>5</v>
      </c>
      <c r="E4377" s="0" t="e">
        <f aca="false">IFERROR(__xludf.dummyfunction("xlookup(aj3161,importrange("1xainw9du9nz21v0tyi))</f>
        <v>#VALUE!</v>
      </c>
      <c r="F4377" s="0" t="s">
        <v>13162</v>
      </c>
      <c r="G4377" s="0" t="s">
        <v>18698</v>
      </c>
    </row>
    <row r="4378" customFormat="false" ht="15" hidden="false" customHeight="false" outlineLevel="0" collapsed="false">
      <c r="A4378" s="0" t="n">
        <v>3163</v>
      </c>
      <c r="B4378" s="0" t="n">
        <v>21752</v>
      </c>
      <c r="C4378" s="0" t="s">
        <v>13168</v>
      </c>
      <c r="D4378" s="0" t="s">
        <v>5</v>
      </c>
      <c r="E4378" s="0" t="e">
        <f aca="false">IFERROR(__xludf.dummyfunction("xlookup(aj3163,importrange("1xainw9du9nz21v0tyi))</f>
        <v>#VALUE!</v>
      </c>
      <c r="F4378" s="0" t="s">
        <v>13169</v>
      </c>
      <c r="G4378" s="0" t="s">
        <v>18698</v>
      </c>
    </row>
    <row r="4379" customFormat="false" ht="15" hidden="false" customHeight="false" outlineLevel="0" collapsed="false">
      <c r="A4379" s="0" t="n">
        <v>3166</v>
      </c>
      <c r="B4379" s="0" t="n">
        <v>21755</v>
      </c>
      <c r="C4379" s="0" t="s">
        <v>13179</v>
      </c>
      <c r="D4379" s="0" t="s">
        <v>5</v>
      </c>
      <c r="E4379" s="0" t="e">
        <f aca="false">IFERROR(__xludf.dummyfunction("xlookup(aj3166,importrange("1xainw9du9nz21v0tyi))</f>
        <v>#VALUE!</v>
      </c>
      <c r="F4379" s="0" t="s">
        <v>13180</v>
      </c>
      <c r="G4379" s="0" t="s">
        <v>18698</v>
      </c>
    </row>
    <row r="4380" customFormat="false" ht="15" hidden="false" customHeight="false" outlineLevel="0" collapsed="false">
      <c r="A4380" s="0" t="n">
        <v>3172</v>
      </c>
      <c r="B4380" s="0" t="n">
        <v>21762</v>
      </c>
      <c r="C4380" s="0" t="s">
        <v>13200</v>
      </c>
      <c r="D4380" s="0" t="s">
        <v>5</v>
      </c>
      <c r="E4380" s="0" t="e">
        <f aca="false">IFERROR(__xludf.dummyfunction("xlookup(aj3172,importrange("1xainw9du9nz21v0tyi))</f>
        <v>#VALUE!</v>
      </c>
      <c r="F4380" s="0" t="s">
        <v>13201</v>
      </c>
      <c r="G4380" s="0" t="s">
        <v>18698</v>
      </c>
    </row>
    <row r="4381" customFormat="false" ht="15" hidden="false" customHeight="false" outlineLevel="0" collapsed="false">
      <c r="A4381" s="0" t="n">
        <v>3175</v>
      </c>
      <c r="B4381" s="0" t="n">
        <v>21765</v>
      </c>
      <c r="C4381" s="0" t="s">
        <v>13210</v>
      </c>
      <c r="D4381" s="0" t="s">
        <v>5</v>
      </c>
      <c r="E4381" s="0" t="e">
        <f aca="false">IFERROR(__xludf.dummyfunction("xlookup(aj3175,importrange("1xainw9du9nz21v0tyi))</f>
        <v>#VALUE!</v>
      </c>
      <c r="F4381" s="0" t="s">
        <v>13211</v>
      </c>
      <c r="G4381" s="0" t="s">
        <v>18698</v>
      </c>
    </row>
    <row r="4382" customFormat="false" ht="15" hidden="false" customHeight="false" outlineLevel="0" collapsed="false">
      <c r="A4382" s="0" t="n">
        <v>3176</v>
      </c>
      <c r="B4382" s="0" t="n">
        <v>21768</v>
      </c>
      <c r="C4382" s="0" t="s">
        <v>13214</v>
      </c>
      <c r="D4382" s="0" t="s">
        <v>5</v>
      </c>
      <c r="E4382" s="0" t="e">
        <f aca="false">IFERROR(__xludf.dummyfunction("xlookup(aj3176,importrange("1xainw9du9nz21v0tyi))</f>
        <v>#VALUE!</v>
      </c>
      <c r="F4382" s="0" t="s">
        <v>13215</v>
      </c>
      <c r="G4382" s="0" t="s">
        <v>18698</v>
      </c>
    </row>
    <row r="4383" customFormat="false" ht="15" hidden="false" customHeight="false" outlineLevel="0" collapsed="false">
      <c r="A4383" s="0" t="n">
        <v>3177</v>
      </c>
      <c r="B4383" s="0" t="n">
        <v>21769</v>
      </c>
      <c r="C4383" s="0" t="s">
        <v>13218</v>
      </c>
      <c r="D4383" s="0" t="s">
        <v>5</v>
      </c>
      <c r="E4383" s="0" t="e">
        <f aca="false">IFERROR(__xludf.dummyfunction("xlookup(aj3177,importrange("1xainw9du9nz21v0tyi))</f>
        <v>#VALUE!</v>
      </c>
      <c r="F4383" s="0" t="s">
        <v>13219</v>
      </c>
      <c r="G4383" s="0" t="s">
        <v>18698</v>
      </c>
    </row>
    <row r="4384" customFormat="false" ht="15" hidden="false" customHeight="false" outlineLevel="0" collapsed="false">
      <c r="A4384" s="0" t="n">
        <v>3181</v>
      </c>
      <c r="B4384" s="0" t="n">
        <v>21774</v>
      </c>
      <c r="C4384" s="0" t="s">
        <v>13231</v>
      </c>
      <c r="D4384" s="0" t="s">
        <v>5</v>
      </c>
      <c r="E4384" s="0" t="e">
        <f aca="false">IFERROR(__xludf.dummyfunction("xlookup(aj3181,importrange("1xainw9du9nz21v0tyi))</f>
        <v>#VALUE!</v>
      </c>
      <c r="F4384" s="0" t="s">
        <v>13232</v>
      </c>
      <c r="G4384" s="0" t="s">
        <v>18698</v>
      </c>
    </row>
    <row r="4385" customFormat="false" ht="15" hidden="false" customHeight="false" outlineLevel="0" collapsed="false">
      <c r="A4385" s="0" t="n">
        <v>3191</v>
      </c>
      <c r="B4385" s="0" t="n">
        <v>21784</v>
      </c>
      <c r="C4385" s="0" t="s">
        <v>13260</v>
      </c>
      <c r="D4385" s="0" t="s">
        <v>5</v>
      </c>
      <c r="E4385" s="0" t="e">
        <f aca="false">IFERROR(__xludf.dummyfunction("xlookup(aj3191,importrange("1xainw9du9nz21v0tyi))</f>
        <v>#VALUE!</v>
      </c>
      <c r="F4385" s="0" t="s">
        <v>13261</v>
      </c>
      <c r="G4385" s="0" t="s">
        <v>18698</v>
      </c>
    </row>
    <row r="4386" customFormat="false" ht="15" hidden="false" customHeight="false" outlineLevel="0" collapsed="false">
      <c r="A4386" s="0" t="n">
        <v>3193</v>
      </c>
      <c r="B4386" s="0" t="n">
        <v>21787</v>
      </c>
      <c r="C4386" s="0" t="s">
        <v>13268</v>
      </c>
      <c r="D4386" s="0" t="s">
        <v>5</v>
      </c>
      <c r="E4386" s="0" t="e">
        <f aca="false">IFERROR(__xludf.dummyfunction("xlookup(aj3193,importrange("1xainw9du9nz21v0tyi))</f>
        <v>#VALUE!</v>
      </c>
      <c r="F4386" s="0" t="s">
        <v>13269</v>
      </c>
      <c r="G4386" s="0" t="s">
        <v>18698</v>
      </c>
    </row>
    <row r="4387" customFormat="false" ht="15" hidden="false" customHeight="false" outlineLevel="0" collapsed="false">
      <c r="A4387" s="0" t="n">
        <v>3195</v>
      </c>
      <c r="B4387" s="0" t="n">
        <v>21789</v>
      </c>
      <c r="C4387" s="0" t="s">
        <v>13275</v>
      </c>
      <c r="D4387" s="0" t="s">
        <v>5</v>
      </c>
      <c r="E4387" s="0" t="e">
        <f aca="false">IFERROR(__xludf.dummyfunction("xlookup(aj3195,importrange("1xainw9du9nz21v0tyi))</f>
        <v>#VALUE!</v>
      </c>
      <c r="F4387" s="0" t="s">
        <v>13276</v>
      </c>
      <c r="G4387" s="0" t="s">
        <v>18698</v>
      </c>
    </row>
    <row r="4388" customFormat="false" ht="15" hidden="false" customHeight="false" outlineLevel="0" collapsed="false">
      <c r="A4388" s="0" t="n">
        <v>3197</v>
      </c>
      <c r="B4388" s="0" t="n">
        <v>21791</v>
      </c>
      <c r="C4388" s="0" t="s">
        <v>13281</v>
      </c>
      <c r="D4388" s="0" t="s">
        <v>5</v>
      </c>
      <c r="E4388" s="0" t="e">
        <f aca="false">IFERROR(__xludf.dummyfunction("xlookup(aj3197,importrange("1xainw9du9nz21v0tyi))</f>
        <v>#VALUE!</v>
      </c>
      <c r="F4388" s="0" t="s">
        <v>13282</v>
      </c>
      <c r="G4388" s="0" t="s">
        <v>18698</v>
      </c>
    </row>
    <row r="4389" customFormat="false" ht="15" hidden="false" customHeight="false" outlineLevel="0" collapsed="false">
      <c r="A4389" s="0" t="n">
        <v>3205</v>
      </c>
      <c r="B4389" s="0" t="n">
        <v>21803</v>
      </c>
      <c r="C4389" s="0" t="s">
        <v>13307</v>
      </c>
      <c r="D4389" s="0" t="s">
        <v>5</v>
      </c>
      <c r="E4389" s="0" t="e">
        <f aca="false">IFERROR(__xludf.dummyfunction("xlookup(aj3205,importrange("1xainw9du9nz21v0tyi))</f>
        <v>#VALUE!</v>
      </c>
      <c r="F4389" s="0" t="s">
        <v>13308</v>
      </c>
      <c r="G4389" s="0" t="s">
        <v>18698</v>
      </c>
    </row>
    <row r="4390" customFormat="false" ht="15" hidden="false" customHeight="false" outlineLevel="0" collapsed="false">
      <c r="A4390" s="0" t="n">
        <v>3207</v>
      </c>
      <c r="B4390" s="0" t="n">
        <v>21805</v>
      </c>
      <c r="C4390" s="0" t="s">
        <v>13315</v>
      </c>
      <c r="D4390" s="0" t="s">
        <v>5</v>
      </c>
      <c r="E4390" s="0" t="e">
        <f aca="false">IFERROR(__xludf.dummyfunction("xlookup(aj3207,importrange("1xainw9du9nz21v0tyi))</f>
        <v>#VALUE!</v>
      </c>
      <c r="F4390" s="0" t="s">
        <v>13316</v>
      </c>
      <c r="G4390" s="0" t="s">
        <v>18698</v>
      </c>
    </row>
    <row r="4391" customFormat="false" ht="15" hidden="false" customHeight="false" outlineLevel="0" collapsed="false">
      <c r="A4391" s="0" t="n">
        <v>3214</v>
      </c>
      <c r="B4391" s="0" t="n">
        <v>21812</v>
      </c>
      <c r="C4391" s="0" t="s">
        <v>13338</v>
      </c>
      <c r="D4391" s="0" t="s">
        <v>5</v>
      </c>
      <c r="E4391" s="0" t="e">
        <f aca="false">IFERROR(__xludf.dummyfunction("xlookup(aj3214,importrange("1xainw9du9nz21v0tyi))</f>
        <v>#VALUE!</v>
      </c>
      <c r="F4391" s="0" t="s">
        <v>13339</v>
      </c>
      <c r="G4391" s="0" t="s">
        <v>18698</v>
      </c>
    </row>
    <row r="4392" customFormat="false" ht="15" hidden="false" customHeight="false" outlineLevel="0" collapsed="false">
      <c r="A4392" s="0" t="n">
        <v>3219</v>
      </c>
      <c r="B4392" s="0" t="n">
        <v>21817</v>
      </c>
      <c r="C4392" s="0" t="s">
        <v>13356</v>
      </c>
      <c r="D4392" s="0" t="s">
        <v>5</v>
      </c>
      <c r="E4392" s="0" t="e">
        <f aca="false">IFERROR(__xludf.dummyfunction("xlookup(aj3219,importrange("1xainw9du9nz21v0tyi))</f>
        <v>#VALUE!</v>
      </c>
      <c r="F4392" s="0" t="s">
        <v>13357</v>
      </c>
      <c r="G4392" s="0" t="s">
        <v>18698</v>
      </c>
    </row>
    <row r="4393" customFormat="false" ht="15" hidden="false" customHeight="false" outlineLevel="0" collapsed="false">
      <c r="A4393" s="0" t="n">
        <v>3220</v>
      </c>
      <c r="B4393" s="0" t="n">
        <v>22405</v>
      </c>
      <c r="C4393" s="0" t="s">
        <v>13362</v>
      </c>
      <c r="D4393" s="0" t="s">
        <v>5</v>
      </c>
      <c r="E4393" s="0" t="e">
        <f aca="false">IFERROR(__xludf.dummyfunction("xlookup(aj3220,importrange("1xainw9du9nz21v0tyi))</f>
        <v>#VALUE!</v>
      </c>
      <c r="F4393" s="0" t="s">
        <v>13363</v>
      </c>
      <c r="G4393" s="0" t="s">
        <v>18698</v>
      </c>
    </row>
    <row r="4394" customFormat="false" ht="15" hidden="false" customHeight="false" outlineLevel="0" collapsed="false">
      <c r="A4394" s="0" t="n">
        <v>3222</v>
      </c>
      <c r="B4394" s="0" t="n">
        <v>21820</v>
      </c>
      <c r="C4394" s="0" t="s">
        <v>13370</v>
      </c>
      <c r="D4394" s="0" t="s">
        <v>5</v>
      </c>
      <c r="E4394" s="0" t="e">
        <f aca="false">IFERROR(__xludf.dummyfunction("xlookup(aj3222,importrange("1xainw9du9nz21v0tyi))</f>
        <v>#VALUE!</v>
      </c>
      <c r="F4394" s="0" t="s">
        <v>13371</v>
      </c>
      <c r="G4394" s="0" t="s">
        <v>18698</v>
      </c>
    </row>
    <row r="4395" customFormat="false" ht="15" hidden="false" customHeight="false" outlineLevel="0" collapsed="false">
      <c r="A4395" s="0" t="n">
        <v>3231</v>
      </c>
      <c r="B4395" s="0" t="n">
        <v>21829</v>
      </c>
      <c r="C4395" s="0" t="s">
        <v>13403</v>
      </c>
      <c r="D4395" s="0" t="s">
        <v>5</v>
      </c>
      <c r="E4395" s="0" t="e">
        <f aca="false">IFERROR(__xludf.dummyfunction("xlookup(aj3231,importrange("1xainw9du9nz21v0tyi))</f>
        <v>#VALUE!</v>
      </c>
      <c r="F4395" s="0" t="s">
        <v>13404</v>
      </c>
      <c r="G4395" s="0" t="s">
        <v>18698</v>
      </c>
    </row>
    <row r="4396" customFormat="false" ht="15" hidden="false" customHeight="false" outlineLevel="0" collapsed="false">
      <c r="A4396" s="0" t="n">
        <v>3238</v>
      </c>
      <c r="B4396" s="0" t="n">
        <v>21836</v>
      </c>
      <c r="C4396" s="0" t="s">
        <v>13425</v>
      </c>
      <c r="D4396" s="0" t="s">
        <v>5</v>
      </c>
      <c r="E4396" s="0" t="e">
        <f aca="false">IFERROR(__xludf.dummyfunction("xlookup(aj3238,importrange("1xainw9du9nz21v0tyi))</f>
        <v>#VALUE!</v>
      </c>
      <c r="F4396" s="0" t="s">
        <v>13426</v>
      </c>
      <c r="G4396" s="0" t="s">
        <v>18698</v>
      </c>
    </row>
    <row r="4397" customFormat="false" ht="15" hidden="false" customHeight="false" outlineLevel="0" collapsed="false">
      <c r="A4397" s="0" t="n">
        <v>3243</v>
      </c>
      <c r="B4397" s="0" t="n">
        <v>21841</v>
      </c>
      <c r="C4397" s="0" t="s">
        <v>13440</v>
      </c>
      <c r="D4397" s="0" t="s">
        <v>5</v>
      </c>
      <c r="E4397" s="0" t="e">
        <f aca="false">IFERROR(__xludf.dummyfunction("xlookup(aj3243,importrange("1xainw9du9nz21v0tyi))</f>
        <v>#VALUE!</v>
      </c>
      <c r="F4397" s="0" t="s">
        <v>13441</v>
      </c>
      <c r="G4397" s="0" t="s">
        <v>18698</v>
      </c>
    </row>
    <row r="4398" customFormat="false" ht="15" hidden="false" customHeight="false" outlineLevel="0" collapsed="false">
      <c r="A4398" s="0" t="n">
        <v>3249</v>
      </c>
      <c r="B4398" s="0" t="n">
        <v>21848</v>
      </c>
      <c r="C4398" s="0" t="s">
        <v>13462</v>
      </c>
      <c r="D4398" s="0" t="s">
        <v>5</v>
      </c>
      <c r="E4398" s="0" t="e">
        <f aca="false">IFERROR(__xludf.dummyfunction("xlookup(aj3249,importrange("1xainw9du9nz21v0tyi))</f>
        <v>#VALUE!</v>
      </c>
      <c r="F4398" s="0" t="s">
        <v>13463</v>
      </c>
      <c r="G4398" s="0" t="s">
        <v>18698</v>
      </c>
    </row>
    <row r="4399" customFormat="false" ht="15" hidden="false" customHeight="false" outlineLevel="0" collapsed="false">
      <c r="A4399" s="0" t="n">
        <v>3252</v>
      </c>
      <c r="B4399" s="0" t="n">
        <v>21851</v>
      </c>
      <c r="C4399" s="0" t="s">
        <v>13473</v>
      </c>
      <c r="D4399" s="0" t="s">
        <v>5</v>
      </c>
      <c r="E4399" s="0" t="e">
        <f aca="false">IFERROR(__xludf.dummyfunction("xlookup(aj3252,importrange("1xainw9du9nz21v0tyi))</f>
        <v>#VALUE!</v>
      </c>
      <c r="F4399" s="0" t="s">
        <v>13474</v>
      </c>
      <c r="G4399" s="0" t="s">
        <v>18698</v>
      </c>
    </row>
    <row r="4400" customFormat="false" ht="15" hidden="false" customHeight="false" outlineLevel="0" collapsed="false">
      <c r="A4400" s="0" t="n">
        <v>3253</v>
      </c>
      <c r="B4400" s="0" t="n">
        <v>21852</v>
      </c>
      <c r="C4400" s="0" t="s">
        <v>13477</v>
      </c>
      <c r="D4400" s="0" t="s">
        <v>5</v>
      </c>
      <c r="E4400" s="0" t="e">
        <f aca="false">IFERROR(__xludf.dummyfunction("xlookup(aj3253,importrange("1xainw9du9nz21v0tyi))</f>
        <v>#VALUE!</v>
      </c>
      <c r="F4400" s="0" t="s">
        <v>13478</v>
      </c>
      <c r="G4400" s="0" t="s">
        <v>18698</v>
      </c>
    </row>
    <row r="4401" customFormat="false" ht="15" hidden="false" customHeight="false" outlineLevel="0" collapsed="false">
      <c r="A4401" s="0" t="n">
        <v>3255</v>
      </c>
      <c r="B4401" s="0" t="n">
        <v>21854</v>
      </c>
      <c r="C4401" s="0" t="s">
        <v>13484</v>
      </c>
      <c r="D4401" s="0" t="s">
        <v>5</v>
      </c>
      <c r="E4401" s="0" t="e">
        <f aca="false">IFERROR(__xludf.dummyfunction("xlookup(aj3255,importrange("1xainw9du9nz21v0tyi))</f>
        <v>#VALUE!</v>
      </c>
      <c r="F4401" s="0" t="s">
        <v>13485</v>
      </c>
      <c r="G4401" s="0" t="s">
        <v>18698</v>
      </c>
    </row>
    <row r="4402" customFormat="false" ht="15" hidden="false" customHeight="false" outlineLevel="0" collapsed="false">
      <c r="A4402" s="0" t="n">
        <v>3256</v>
      </c>
      <c r="B4402" s="0" t="n">
        <v>21855</v>
      </c>
      <c r="C4402" s="0" t="s">
        <v>13488</v>
      </c>
      <c r="D4402" s="0" t="s">
        <v>5</v>
      </c>
      <c r="E4402" s="0" t="e">
        <f aca="false">IFERROR(__xludf.dummyfunction("xlookup(aj3256,importrange("1xainw9du9nz21v0tyi))</f>
        <v>#VALUE!</v>
      </c>
      <c r="F4402" s="0" t="s">
        <v>13489</v>
      </c>
      <c r="G4402" s="0" t="s">
        <v>18698</v>
      </c>
    </row>
    <row r="4403" customFormat="false" ht="15" hidden="false" customHeight="false" outlineLevel="0" collapsed="false">
      <c r="A4403" s="0" t="n">
        <v>3257</v>
      </c>
      <c r="B4403" s="0" t="n">
        <v>21856</v>
      </c>
      <c r="C4403" s="0" t="s">
        <v>13492</v>
      </c>
      <c r="D4403" s="0" t="s">
        <v>5</v>
      </c>
      <c r="E4403" s="0" t="e">
        <f aca="false">IFERROR(__xludf.dummyfunction("xlookup(aj3257,importrange("1xainw9du9nz21v0tyi))</f>
        <v>#VALUE!</v>
      </c>
      <c r="F4403" s="0" t="s">
        <v>13493</v>
      </c>
      <c r="G4403" s="0" t="s">
        <v>18698</v>
      </c>
    </row>
    <row r="4404" customFormat="false" ht="15" hidden="false" customHeight="false" outlineLevel="0" collapsed="false">
      <c r="A4404" s="0" t="n">
        <v>3258</v>
      </c>
      <c r="B4404" s="0" t="n">
        <v>21857</v>
      </c>
      <c r="C4404" s="0" t="s">
        <v>13496</v>
      </c>
      <c r="D4404" s="0" t="s">
        <v>5</v>
      </c>
      <c r="E4404" s="0" t="e">
        <f aca="false">IFERROR(__xludf.dummyfunction("xlookup(aj3258,importrange("1xainw9du9nz21v0tyi))</f>
        <v>#VALUE!</v>
      </c>
      <c r="F4404" s="0" t="s">
        <v>13497</v>
      </c>
      <c r="G4404" s="0" t="s">
        <v>18698</v>
      </c>
    </row>
    <row r="4405" customFormat="false" ht="15" hidden="false" customHeight="false" outlineLevel="0" collapsed="false">
      <c r="A4405" s="0" t="n">
        <v>3262</v>
      </c>
      <c r="B4405" s="0" t="n">
        <v>21861</v>
      </c>
      <c r="C4405" s="0" t="s">
        <v>13509</v>
      </c>
      <c r="D4405" s="0" t="s">
        <v>5</v>
      </c>
      <c r="E4405" s="0" t="e">
        <f aca="false">IFERROR(__xludf.dummyfunction("xlookup(aj3262,importrange("1xainw9du9nz21v0tyi))</f>
        <v>#VALUE!</v>
      </c>
      <c r="F4405" s="0" t="s">
        <v>13510</v>
      </c>
      <c r="G4405" s="0" t="s">
        <v>18698</v>
      </c>
    </row>
    <row r="4406" customFormat="false" ht="15" hidden="false" customHeight="false" outlineLevel="0" collapsed="false">
      <c r="A4406" s="0" t="n">
        <v>3264</v>
      </c>
      <c r="B4406" s="0" t="n">
        <v>21863</v>
      </c>
      <c r="C4406" s="0" t="s">
        <v>13517</v>
      </c>
      <c r="D4406" s="0" t="s">
        <v>5</v>
      </c>
      <c r="E4406" s="0" t="e">
        <f aca="false">IFERROR(__xludf.dummyfunction("xlookup(aj3264,importrange("1xainw9du9nz21v0tyi))</f>
        <v>#VALUE!</v>
      </c>
      <c r="F4406" s="0" t="s">
        <v>13518</v>
      </c>
      <c r="G4406" s="0" t="s">
        <v>18698</v>
      </c>
    </row>
    <row r="4407" customFormat="false" ht="15" hidden="false" customHeight="false" outlineLevel="0" collapsed="false">
      <c r="A4407" s="0" t="n">
        <v>3277</v>
      </c>
      <c r="B4407" s="0" t="n">
        <v>21878</v>
      </c>
      <c r="C4407" s="0" t="s">
        <v>13571</v>
      </c>
      <c r="D4407" s="0" t="s">
        <v>5</v>
      </c>
      <c r="E4407" s="0" t="e">
        <f aca="false">IFERROR(__xludf.dummyfunction("xlookup(aj3277,importrange("1xainw9du9nz21v0tyi))</f>
        <v>#VALUE!</v>
      </c>
      <c r="F4407" s="0" t="s">
        <v>13572</v>
      </c>
      <c r="G4407" s="0" t="s">
        <v>18698</v>
      </c>
    </row>
    <row r="4408" customFormat="false" ht="15" hidden="false" customHeight="false" outlineLevel="0" collapsed="false">
      <c r="A4408" s="0" t="n">
        <v>3278</v>
      </c>
      <c r="B4408" s="0" t="n">
        <v>21879</v>
      </c>
      <c r="C4408" s="0" t="s">
        <v>13575</v>
      </c>
      <c r="D4408" s="0" t="s">
        <v>5</v>
      </c>
      <c r="E4408" s="0" t="e">
        <f aca="false">IFERROR(__xludf.dummyfunction("xlookup(aj3278,importrange("1xainw9du9nz21v0tyi))</f>
        <v>#VALUE!</v>
      </c>
      <c r="F4408" s="0" t="s">
        <v>13576</v>
      </c>
      <c r="G4408" s="0" t="s">
        <v>18698</v>
      </c>
    </row>
    <row r="4409" customFormat="false" ht="15" hidden="false" customHeight="false" outlineLevel="0" collapsed="false">
      <c r="A4409" s="0" t="n">
        <v>3288</v>
      </c>
      <c r="B4409" s="0" t="n">
        <v>21895</v>
      </c>
      <c r="C4409" s="0" t="s">
        <v>13608</v>
      </c>
      <c r="D4409" s="0" t="s">
        <v>5</v>
      </c>
      <c r="E4409" s="0" t="e">
        <f aca="false">IFERROR(__xludf.dummyfunction("xlookup(aj3288,importrange("1xainw9du9nz21v0tyi))</f>
        <v>#VALUE!</v>
      </c>
      <c r="F4409" s="0" t="s">
        <v>13609</v>
      </c>
      <c r="G4409" s="0" t="s">
        <v>18698</v>
      </c>
    </row>
    <row r="4410" customFormat="false" ht="15" hidden="false" customHeight="false" outlineLevel="0" collapsed="false">
      <c r="A4410" s="0" t="n">
        <v>3289</v>
      </c>
      <c r="B4410" s="0" t="n">
        <v>21896</v>
      </c>
      <c r="C4410" s="0" t="s">
        <v>13612</v>
      </c>
      <c r="D4410" s="0" t="s">
        <v>5</v>
      </c>
      <c r="E4410" s="0" t="e">
        <f aca="false">IFERROR(__xludf.dummyfunction("xlookup(aj3289,importrange("1xainw9du9nz21v0tyi))</f>
        <v>#VALUE!</v>
      </c>
      <c r="F4410" s="0" t="s">
        <v>13613</v>
      </c>
      <c r="G4410" s="0" t="s">
        <v>18698</v>
      </c>
    </row>
    <row r="4411" customFormat="false" ht="15" hidden="false" customHeight="false" outlineLevel="0" collapsed="false">
      <c r="A4411" s="0" t="n">
        <v>3292</v>
      </c>
      <c r="B4411" s="0" t="n">
        <v>21899</v>
      </c>
      <c r="C4411" s="0" t="s">
        <v>13622</v>
      </c>
      <c r="D4411" s="0" t="s">
        <v>5</v>
      </c>
      <c r="E4411" s="0" t="e">
        <f aca="false">IFERROR(__xludf.dummyfunction("xlookup(aj3292,importrange("1xainw9du9nz21v0tyi))</f>
        <v>#VALUE!</v>
      </c>
      <c r="F4411" s="0" t="s">
        <v>13623</v>
      </c>
      <c r="G4411" s="0" t="s">
        <v>18698</v>
      </c>
    </row>
    <row r="4412" customFormat="false" ht="15" hidden="false" customHeight="false" outlineLevel="0" collapsed="false">
      <c r="A4412" s="0" t="n">
        <v>3294</v>
      </c>
      <c r="B4412" s="0" t="n">
        <v>21902</v>
      </c>
      <c r="C4412" s="0" t="s">
        <v>13629</v>
      </c>
      <c r="D4412" s="0" t="s">
        <v>5</v>
      </c>
      <c r="E4412" s="0" t="e">
        <f aca="false">IFERROR(__xludf.dummyfunction("xlookup(aj3294,importrange("1xainw9du9nz21v0tyi))</f>
        <v>#VALUE!</v>
      </c>
      <c r="F4412" s="0" t="s">
        <v>13630</v>
      </c>
      <c r="G4412" s="0" t="s">
        <v>18698</v>
      </c>
    </row>
    <row r="4413" customFormat="false" ht="15" hidden="false" customHeight="false" outlineLevel="0" collapsed="false">
      <c r="A4413" s="0" t="n">
        <v>3295</v>
      </c>
      <c r="B4413" s="0" t="n">
        <v>21903</v>
      </c>
      <c r="C4413" s="0" t="s">
        <v>13633</v>
      </c>
      <c r="D4413" s="0" t="s">
        <v>5</v>
      </c>
      <c r="E4413" s="0" t="e">
        <f aca="false">IFERROR(__xludf.dummyfunction("xlookup(aj3295,importrange("1xainw9du9nz21v0tyi))</f>
        <v>#VALUE!</v>
      </c>
      <c r="F4413" s="0" t="s">
        <v>13634</v>
      </c>
      <c r="G4413" s="0" t="s">
        <v>18698</v>
      </c>
    </row>
    <row r="4414" customFormat="false" ht="15" hidden="false" customHeight="false" outlineLevel="0" collapsed="false">
      <c r="A4414" s="0" t="n">
        <v>3306</v>
      </c>
      <c r="B4414" s="0" t="n">
        <v>21914</v>
      </c>
      <c r="C4414" s="0" t="s">
        <v>13666</v>
      </c>
      <c r="D4414" s="0" t="s">
        <v>5</v>
      </c>
      <c r="E4414" s="0" t="e">
        <f aca="false">IFERROR(__xludf.dummyfunction("xlookup(aj3306,importrange("1xainw9du9nz21v0tyi))</f>
        <v>#VALUE!</v>
      </c>
      <c r="F4414" s="0" t="s">
        <v>13667</v>
      </c>
      <c r="G4414" s="0" t="s">
        <v>18698</v>
      </c>
    </row>
    <row r="4415" customFormat="false" ht="15" hidden="false" customHeight="false" outlineLevel="0" collapsed="false">
      <c r="A4415" s="0" t="n">
        <v>3308</v>
      </c>
      <c r="B4415" s="0" t="n">
        <v>21916</v>
      </c>
      <c r="C4415" s="0" t="s">
        <v>13674</v>
      </c>
      <c r="D4415" s="0" t="s">
        <v>5</v>
      </c>
      <c r="E4415" s="0" t="e">
        <f aca="false">IFERROR(__xludf.dummyfunction("xlookup(aj3308,importrange("1xainw9du9nz21v0tyi))</f>
        <v>#VALUE!</v>
      </c>
      <c r="F4415" s="0" t="s">
        <v>13675</v>
      </c>
      <c r="G4415" s="0" t="s">
        <v>18698</v>
      </c>
    </row>
    <row r="4416" customFormat="false" ht="15" hidden="false" customHeight="false" outlineLevel="0" collapsed="false">
      <c r="A4416" s="0" t="n">
        <v>3311</v>
      </c>
      <c r="B4416" s="0" t="n">
        <v>21919</v>
      </c>
      <c r="C4416" s="0" t="s">
        <v>13683</v>
      </c>
      <c r="D4416" s="0" t="s">
        <v>5</v>
      </c>
      <c r="E4416" s="0" t="e">
        <f aca="false">IFERROR(__xludf.dummyfunction("xlookup(aj3311,importrange("1xainw9du9nz21v0tyi))</f>
        <v>#VALUE!</v>
      </c>
      <c r="F4416" s="0" t="s">
        <v>13684</v>
      </c>
      <c r="G4416" s="0" t="s">
        <v>18698</v>
      </c>
    </row>
    <row r="4417" customFormat="false" ht="15" hidden="false" customHeight="false" outlineLevel="0" collapsed="false">
      <c r="A4417" s="0" t="n">
        <v>3335</v>
      </c>
      <c r="B4417" s="0" t="n">
        <v>21943</v>
      </c>
      <c r="C4417" s="0" t="s">
        <v>13757</v>
      </c>
      <c r="D4417" s="0" t="s">
        <v>5</v>
      </c>
      <c r="E4417" s="0" t="e">
        <f aca="false">IFERROR(__xludf.dummyfunction("xlookup(aj3335,importrange("1xainw9du9nz21v0tyi))</f>
        <v>#VALUE!</v>
      </c>
      <c r="F4417" s="0" t="s">
        <v>13758</v>
      </c>
      <c r="G4417" s="0" t="s">
        <v>18698</v>
      </c>
    </row>
    <row r="4418" customFormat="false" ht="15" hidden="false" customHeight="false" outlineLevel="0" collapsed="false">
      <c r="A4418" s="0" t="n">
        <v>3345</v>
      </c>
      <c r="B4418" s="0" t="n">
        <v>21955</v>
      </c>
      <c r="C4418" s="0" t="s">
        <v>13794</v>
      </c>
      <c r="D4418" s="0" t="s">
        <v>5</v>
      </c>
      <c r="E4418" s="0" t="e">
        <f aca="false">IFERROR(__xludf.dummyfunction("xlookup(aj3345,importrange("1xainw9du9nz21v0tyi))</f>
        <v>#VALUE!</v>
      </c>
      <c r="F4418" s="0" t="s">
        <v>13795</v>
      </c>
      <c r="G4418" s="0" t="s">
        <v>18698</v>
      </c>
    </row>
    <row r="4419" customFormat="false" ht="15" hidden="false" customHeight="false" outlineLevel="0" collapsed="false">
      <c r="A4419" s="0" t="n">
        <v>3367</v>
      </c>
      <c r="B4419" s="0" t="n">
        <v>21979</v>
      </c>
      <c r="C4419" s="0" t="s">
        <v>13865</v>
      </c>
      <c r="D4419" s="0" t="s">
        <v>5</v>
      </c>
      <c r="E4419" s="0" t="e">
        <f aca="false">IFERROR(__xludf.dummyfunction("xlookup(aj3367,importrange("1xainw9du9nz21v0tyi))</f>
        <v>#VALUE!</v>
      </c>
      <c r="F4419" s="0" t="s">
        <v>13866</v>
      </c>
      <c r="G4419" s="0" t="s">
        <v>18698</v>
      </c>
    </row>
    <row r="4420" customFormat="false" ht="15" hidden="false" customHeight="false" outlineLevel="0" collapsed="false">
      <c r="A4420" s="0" t="n">
        <v>3370</v>
      </c>
      <c r="B4420" s="0" t="n">
        <v>21985</v>
      </c>
      <c r="C4420" s="0" t="s">
        <v>13878</v>
      </c>
      <c r="D4420" s="0" t="s">
        <v>5</v>
      </c>
      <c r="E4420" s="0" t="e">
        <f aca="false">IFERROR(__xludf.dummyfunction("xlookup(aj3370,importrange("1xainw9du9nz21v0tyi))</f>
        <v>#VALUE!</v>
      </c>
      <c r="F4420" s="0" t="s">
        <v>13879</v>
      </c>
      <c r="G4420" s="0" t="s">
        <v>18698</v>
      </c>
    </row>
    <row r="4421" customFormat="false" ht="15" hidden="false" customHeight="false" outlineLevel="0" collapsed="false">
      <c r="A4421" s="0" t="n">
        <v>3371</v>
      </c>
      <c r="B4421" s="0" t="n">
        <v>21986</v>
      </c>
      <c r="C4421" s="0" t="s">
        <v>13882</v>
      </c>
      <c r="D4421" s="0" t="s">
        <v>5</v>
      </c>
      <c r="E4421" s="0" t="e">
        <f aca="false">IFERROR(__xludf.dummyfunction("xlookup(aj3371,importrange("1xainw9du9nz21v0tyi))</f>
        <v>#VALUE!</v>
      </c>
      <c r="F4421" s="0" t="s">
        <v>13883</v>
      </c>
      <c r="G4421" s="0" t="s">
        <v>18698</v>
      </c>
    </row>
    <row r="4422" customFormat="false" ht="15" hidden="false" customHeight="false" outlineLevel="0" collapsed="false">
      <c r="A4422" s="0" t="n">
        <v>3389</v>
      </c>
      <c r="B4422" s="0" t="n">
        <v>22004</v>
      </c>
      <c r="C4422" s="0" t="s">
        <v>13942</v>
      </c>
      <c r="D4422" s="0" t="s">
        <v>5</v>
      </c>
      <c r="E4422" s="0" t="e">
        <f aca="false">IFERROR(__xludf.dummyfunction("xlookup(aj3389,importrange("1xainw9du9nz21v0tyi))</f>
        <v>#VALUE!</v>
      </c>
      <c r="F4422" s="0" t="s">
        <v>13943</v>
      </c>
      <c r="G4422" s="0" t="s">
        <v>18698</v>
      </c>
    </row>
    <row r="4423" customFormat="false" ht="15" hidden="false" customHeight="false" outlineLevel="0" collapsed="false">
      <c r="A4423" s="0" t="n">
        <v>3391</v>
      </c>
      <c r="B4423" s="0" t="n">
        <v>22006</v>
      </c>
      <c r="C4423" s="0" t="s">
        <v>13949</v>
      </c>
      <c r="D4423" s="0" t="s">
        <v>5</v>
      </c>
      <c r="E4423" s="0" t="e">
        <f aca="false">IFERROR(__xludf.dummyfunction("xlookup(aj3391,importrange("1xainw9du9nz21v0tyi))</f>
        <v>#VALUE!</v>
      </c>
      <c r="F4423" s="0" t="s">
        <v>13950</v>
      </c>
      <c r="G4423" s="0" t="s">
        <v>18698</v>
      </c>
    </row>
    <row r="4424" customFormat="false" ht="15" hidden="false" customHeight="false" outlineLevel="0" collapsed="false">
      <c r="A4424" s="0" t="n">
        <v>3394</v>
      </c>
      <c r="B4424" s="0" t="n">
        <v>22009</v>
      </c>
      <c r="C4424" s="0" t="s">
        <v>13959</v>
      </c>
      <c r="D4424" s="0" t="s">
        <v>5</v>
      </c>
      <c r="E4424" s="0" t="e">
        <f aca="false">IFERROR(__xludf.dummyfunction("xlookup(aj3394,importrange("1xainw9du9nz21v0tyi))</f>
        <v>#VALUE!</v>
      </c>
      <c r="F4424" s="0" t="s">
        <v>13960</v>
      </c>
      <c r="G4424" s="0" t="s">
        <v>18698</v>
      </c>
    </row>
    <row r="4425" customFormat="false" ht="15" hidden="false" customHeight="false" outlineLevel="0" collapsed="false">
      <c r="A4425" s="0" t="n">
        <v>3401</v>
      </c>
      <c r="B4425" s="0" t="n">
        <v>22016</v>
      </c>
      <c r="C4425" s="0" t="s">
        <v>13980</v>
      </c>
      <c r="D4425" s="0" t="s">
        <v>5</v>
      </c>
      <c r="E4425" s="0" t="e">
        <f aca="false">IFERROR(__xludf.dummyfunction("xlookup(aj3401,importrange("1xainw9du9nz21v0tyi))</f>
        <v>#VALUE!</v>
      </c>
      <c r="F4425" s="0" t="s">
        <v>13981</v>
      </c>
      <c r="G4425" s="0" t="s">
        <v>18698</v>
      </c>
    </row>
    <row r="4426" customFormat="false" ht="15" hidden="false" customHeight="false" outlineLevel="0" collapsed="false">
      <c r="A4426" s="0" t="n">
        <v>3404</v>
      </c>
      <c r="B4426" s="0" t="n">
        <v>22020</v>
      </c>
      <c r="C4426" s="0" t="s">
        <v>13990</v>
      </c>
      <c r="D4426" s="0" t="s">
        <v>5</v>
      </c>
      <c r="E4426" s="0" t="e">
        <f aca="false">IFERROR(__xludf.dummyfunction("xlookup(aj3404,importrange("1xainw9du9nz21v0tyi))</f>
        <v>#VALUE!</v>
      </c>
      <c r="F4426" s="0" t="s">
        <v>13991</v>
      </c>
      <c r="G4426" s="0" t="s">
        <v>18698</v>
      </c>
    </row>
    <row r="4427" customFormat="false" ht="15" hidden="false" customHeight="false" outlineLevel="0" collapsed="false">
      <c r="A4427" s="0" t="n">
        <v>3405</v>
      </c>
      <c r="B4427" s="0" t="n">
        <v>22021</v>
      </c>
      <c r="C4427" s="0" t="s">
        <v>13994</v>
      </c>
      <c r="D4427" s="0" t="s">
        <v>5</v>
      </c>
      <c r="E4427" s="0" t="e">
        <f aca="false">IFERROR(__xludf.dummyfunction("xlookup(aj3405,importrange("1xainw9du9nz21v0tyi))</f>
        <v>#VALUE!</v>
      </c>
      <c r="F4427" s="0" t="s">
        <v>13995</v>
      </c>
      <c r="G4427" s="0" t="s">
        <v>18698</v>
      </c>
    </row>
    <row r="4428" customFormat="false" ht="15" hidden="false" customHeight="false" outlineLevel="0" collapsed="false">
      <c r="A4428" s="0" t="n">
        <v>3460</v>
      </c>
      <c r="B4428" s="0" t="n">
        <v>22076</v>
      </c>
      <c r="C4428" s="0" t="s">
        <v>14169</v>
      </c>
      <c r="D4428" s="0" t="s">
        <v>5</v>
      </c>
      <c r="E4428" s="0" t="e">
        <f aca="false">IFERROR(__xludf.dummyfunction("xlookup(aj3460,importrange("1xainw9du9nz21v0tyi))</f>
        <v>#VALUE!</v>
      </c>
      <c r="F4428" s="0" t="s">
        <v>14170</v>
      </c>
      <c r="G4428" s="0" t="s">
        <v>18698</v>
      </c>
    </row>
    <row r="4429" customFormat="false" ht="15" hidden="false" customHeight="false" outlineLevel="0" collapsed="false">
      <c r="A4429" s="0" t="n">
        <v>3469</v>
      </c>
      <c r="B4429" s="0" t="n">
        <v>22085</v>
      </c>
      <c r="C4429" s="0" t="s">
        <v>14200</v>
      </c>
      <c r="D4429" s="0" t="s">
        <v>5</v>
      </c>
      <c r="E4429" s="0" t="e">
        <f aca="false">IFERROR(__xludf.dummyfunction("xlookup(aj3469,importrange("1xainw9du9nz21v0tyi))</f>
        <v>#VALUE!</v>
      </c>
      <c r="F4429" s="0" t="s">
        <v>14201</v>
      </c>
      <c r="G4429" s="0" t="s">
        <v>18698</v>
      </c>
    </row>
    <row r="4430" customFormat="false" ht="15" hidden="false" customHeight="false" outlineLevel="0" collapsed="false">
      <c r="A4430" s="0" t="n">
        <v>3478</v>
      </c>
      <c r="B4430" s="0" t="n">
        <v>22094</v>
      </c>
      <c r="C4430" s="0" t="s">
        <v>14229</v>
      </c>
      <c r="D4430" s="0" t="s">
        <v>5</v>
      </c>
      <c r="E4430" s="0" t="e">
        <f aca="false">IFERROR(__xludf.dummyfunction("xlookup(aj3478,importrange("1xainw9du9nz21v0tyi))</f>
        <v>#VALUE!</v>
      </c>
      <c r="F4430" s="0" t="s">
        <v>14230</v>
      </c>
      <c r="G4430" s="0" t="s">
        <v>18698</v>
      </c>
    </row>
    <row r="4431" customFormat="false" ht="15" hidden="false" customHeight="false" outlineLevel="0" collapsed="false">
      <c r="A4431" s="0" t="n">
        <v>3500</v>
      </c>
      <c r="B4431" s="0" t="n">
        <v>22118</v>
      </c>
      <c r="C4431" s="0" t="s">
        <v>14306</v>
      </c>
      <c r="D4431" s="0" t="s">
        <v>5</v>
      </c>
      <c r="E4431" s="0" t="e">
        <f aca="false">IFERROR(__xludf.dummyfunction("xlookup(aj3500,importrange("1xainw9du9nz21v0tyi))</f>
        <v>#VALUE!</v>
      </c>
      <c r="F4431" s="0" t="s">
        <v>14307</v>
      </c>
      <c r="G4431" s="0" t="s">
        <v>18698</v>
      </c>
    </row>
    <row r="4432" customFormat="false" ht="15" hidden="false" customHeight="false" outlineLevel="0" collapsed="false">
      <c r="A4432" s="0" t="n">
        <v>3509</v>
      </c>
      <c r="B4432" s="0" t="n">
        <v>22127</v>
      </c>
      <c r="C4432" s="0" t="s">
        <v>14339</v>
      </c>
      <c r="D4432" s="0" t="s">
        <v>5</v>
      </c>
      <c r="E4432" s="0" t="e">
        <f aca="false">IFERROR(__xludf.dummyfunction("xlookup(aj3509,importrange("1xainw9du9nz21v0tyi))</f>
        <v>#VALUE!</v>
      </c>
      <c r="F4432" s="0" t="s">
        <v>14340</v>
      </c>
      <c r="G4432" s="0" t="s">
        <v>18698</v>
      </c>
    </row>
    <row r="4433" customFormat="false" ht="15" hidden="false" customHeight="false" outlineLevel="0" collapsed="false">
      <c r="A4433" s="0" t="n">
        <v>3538</v>
      </c>
      <c r="B4433" s="0" t="n">
        <v>22156</v>
      </c>
      <c r="C4433" s="0" t="s">
        <v>14431</v>
      </c>
      <c r="D4433" s="0" t="s">
        <v>5</v>
      </c>
      <c r="E4433" s="0" t="e">
        <f aca="false">IFERROR(__xludf.dummyfunction("xlookup(aj3538,importrange("1xainw9du9nz21v0tyi))</f>
        <v>#VALUE!</v>
      </c>
      <c r="F4433" s="0" t="s">
        <v>14432</v>
      </c>
      <c r="G4433" s="0" t="s">
        <v>18698</v>
      </c>
    </row>
    <row r="4434" customFormat="false" ht="15" hidden="false" customHeight="false" outlineLevel="0" collapsed="false">
      <c r="A4434" s="0" t="n">
        <v>3553</v>
      </c>
      <c r="B4434" s="0" t="n">
        <v>22171</v>
      </c>
      <c r="C4434" s="0" t="s">
        <v>14482</v>
      </c>
      <c r="D4434" s="0" t="s">
        <v>5</v>
      </c>
      <c r="E4434" s="0" t="e">
        <f aca="false">IFERROR(__xludf.dummyfunction("xlookup(aj3553,importrange("1xainw9du9nz21v0tyi))</f>
        <v>#VALUE!</v>
      </c>
      <c r="F4434" s="0" t="s">
        <v>14484</v>
      </c>
      <c r="G4434" s="0" t="s">
        <v>18698</v>
      </c>
    </row>
    <row r="4435" customFormat="false" ht="15" hidden="false" customHeight="false" outlineLevel="0" collapsed="false">
      <c r="A4435" s="0" t="n">
        <v>3554</v>
      </c>
      <c r="B4435" s="0" t="n">
        <v>22172</v>
      </c>
      <c r="C4435" s="0" t="s">
        <v>14488</v>
      </c>
      <c r="D4435" s="0" t="s">
        <v>5</v>
      </c>
      <c r="E4435" s="0" t="e">
        <f aca="false">IFERROR(__xludf.dummyfunction("xlookup(aj3554,importrange("1xainw9du9nz21v0tyi))</f>
        <v>#VALUE!</v>
      </c>
      <c r="F4435" s="0" t="s">
        <v>14489</v>
      </c>
      <c r="G4435" s="0" t="s">
        <v>18698</v>
      </c>
    </row>
    <row r="4436" customFormat="false" ht="15" hidden="false" customHeight="false" outlineLevel="0" collapsed="false">
      <c r="A4436" s="0" t="n">
        <v>3557</v>
      </c>
      <c r="B4436" s="0" t="n">
        <v>22175</v>
      </c>
      <c r="C4436" s="0" t="s">
        <v>14498</v>
      </c>
      <c r="D4436" s="0" t="s">
        <v>5</v>
      </c>
      <c r="E4436" s="0" t="e">
        <f aca="false">IFERROR(__xludf.dummyfunction("xlookup(aj3557,importrange("1xainw9du9nz21v0tyi))</f>
        <v>#VALUE!</v>
      </c>
      <c r="F4436" s="0" t="s">
        <v>14499</v>
      </c>
      <c r="G4436" s="0" t="s">
        <v>18698</v>
      </c>
    </row>
    <row r="4437" customFormat="false" ht="15" hidden="false" customHeight="false" outlineLevel="0" collapsed="false">
      <c r="A4437" s="0" t="n">
        <v>3570</v>
      </c>
      <c r="B4437" s="0" t="n">
        <v>22188</v>
      </c>
      <c r="C4437" s="0" t="s">
        <v>14546</v>
      </c>
      <c r="D4437" s="0" t="s">
        <v>5</v>
      </c>
      <c r="E4437" s="0" t="e">
        <f aca="false">IFERROR(__xludf.dummyfunction("xlookup(aj3570,importrange("1xainw9du9nz21v0tyi))</f>
        <v>#VALUE!</v>
      </c>
      <c r="F4437" s="0" t="s">
        <v>14547</v>
      </c>
      <c r="G4437" s="0" t="s">
        <v>18698</v>
      </c>
    </row>
    <row r="4438" customFormat="false" ht="15" hidden="false" customHeight="false" outlineLevel="0" collapsed="false">
      <c r="A4438" s="0" t="n">
        <v>3571</v>
      </c>
      <c r="B4438" s="0" t="n">
        <v>22189</v>
      </c>
      <c r="C4438" s="0" t="s">
        <v>14550</v>
      </c>
      <c r="D4438" s="0" t="s">
        <v>5</v>
      </c>
      <c r="E4438" s="0" t="e">
        <f aca="false">IFERROR(__xludf.dummyfunction("xlookup(aj3571,importrange("1xainw9du9nz21v0tyi))</f>
        <v>#VALUE!</v>
      </c>
      <c r="F4438" s="0" t="s">
        <v>14551</v>
      </c>
      <c r="G4438" s="0" t="s">
        <v>18698</v>
      </c>
    </row>
    <row r="4439" customFormat="false" ht="15" hidden="false" customHeight="false" outlineLevel="0" collapsed="false">
      <c r="A4439" s="0" t="n">
        <v>3573</v>
      </c>
      <c r="B4439" s="0" t="n">
        <v>22191</v>
      </c>
      <c r="C4439" s="0" t="s">
        <v>14557</v>
      </c>
      <c r="D4439" s="0" t="s">
        <v>5</v>
      </c>
      <c r="E4439" s="0" t="e">
        <f aca="false">IFERROR(__xludf.dummyfunction("xlookup(aj3573,importrange("1xainw9du9nz21v0tyi))</f>
        <v>#VALUE!</v>
      </c>
      <c r="F4439" s="0" t="s">
        <v>14558</v>
      </c>
      <c r="G4439" s="0" t="s">
        <v>18698</v>
      </c>
    </row>
    <row r="4440" customFormat="false" ht="15" hidden="false" customHeight="false" outlineLevel="0" collapsed="false">
      <c r="A4440" s="0" t="n">
        <v>3574</v>
      </c>
      <c r="B4440" s="0" t="n">
        <v>22192</v>
      </c>
      <c r="C4440" s="0" t="s">
        <v>14561</v>
      </c>
      <c r="D4440" s="0" t="s">
        <v>5</v>
      </c>
      <c r="E4440" s="0" t="e">
        <f aca="false">IFERROR(__xludf.dummyfunction("xlookup(aj3574,importrange("1xainw9du9nz21v0tyi))</f>
        <v>#VALUE!</v>
      </c>
      <c r="F4440" s="0" t="s">
        <v>14562</v>
      </c>
      <c r="G4440" s="0" t="s">
        <v>18698</v>
      </c>
    </row>
    <row r="4441" customFormat="false" ht="15" hidden="false" customHeight="false" outlineLevel="0" collapsed="false">
      <c r="A4441" s="0" t="n">
        <v>3582</v>
      </c>
      <c r="B4441" s="0" t="n">
        <v>22200</v>
      </c>
      <c r="C4441" s="0" t="s">
        <v>14588</v>
      </c>
      <c r="D4441" s="0" t="s">
        <v>5</v>
      </c>
      <c r="E4441" s="0" t="e">
        <f aca="false">IFERROR(__xludf.dummyfunction("xlookup(aj3582,importrange("1xainw9du9nz21v0tyi))</f>
        <v>#VALUE!</v>
      </c>
      <c r="F4441" s="0" t="s">
        <v>14589</v>
      </c>
      <c r="G4441" s="0" t="s">
        <v>18698</v>
      </c>
    </row>
    <row r="4442" customFormat="false" ht="15" hidden="false" customHeight="false" outlineLevel="0" collapsed="false">
      <c r="A4442" s="0" t="n">
        <v>3584</v>
      </c>
      <c r="B4442" s="0" t="n">
        <v>22202</v>
      </c>
      <c r="C4442" s="0" t="s">
        <v>14596</v>
      </c>
      <c r="D4442" s="0" t="s">
        <v>5</v>
      </c>
      <c r="E4442" s="0" t="e">
        <f aca="false">IFERROR(__xludf.dummyfunction("xlookup(aj3584,importrange("1xainw9du9nz21v0tyi))</f>
        <v>#VALUE!</v>
      </c>
      <c r="F4442" s="0" t="s">
        <v>14597</v>
      </c>
      <c r="G4442" s="0" t="s">
        <v>18698</v>
      </c>
    </row>
    <row r="4443" customFormat="false" ht="15" hidden="false" customHeight="false" outlineLevel="0" collapsed="false">
      <c r="A4443" s="0" t="n">
        <v>3585</v>
      </c>
      <c r="B4443" s="0" t="n">
        <v>22203</v>
      </c>
      <c r="C4443" s="0" t="s">
        <v>14600</v>
      </c>
      <c r="D4443" s="0" t="s">
        <v>5</v>
      </c>
      <c r="E4443" s="0" t="e">
        <f aca="false">IFERROR(__xludf.dummyfunction("xlookup(aj3585,importrange("1xainw9du9nz21v0tyi))</f>
        <v>#VALUE!</v>
      </c>
      <c r="F4443" s="0" t="s">
        <v>14601</v>
      </c>
      <c r="G4443" s="0" t="s">
        <v>18698</v>
      </c>
    </row>
    <row r="4444" customFormat="false" ht="15" hidden="false" customHeight="false" outlineLevel="0" collapsed="false">
      <c r="A4444" s="0" t="n">
        <v>3586</v>
      </c>
      <c r="B4444" s="0" t="n">
        <v>22204</v>
      </c>
      <c r="C4444" s="0" t="s">
        <v>14604</v>
      </c>
      <c r="D4444" s="0" t="s">
        <v>5</v>
      </c>
      <c r="E4444" s="0" t="e">
        <f aca="false">IFERROR(__xludf.dummyfunction("xlookup(aj3586,importrange("1xainw9du9nz21v0tyi))</f>
        <v>#VALUE!</v>
      </c>
      <c r="F4444" s="0" t="s">
        <v>14605</v>
      </c>
      <c r="G4444" s="0" t="s">
        <v>18698</v>
      </c>
    </row>
    <row r="4445" customFormat="false" ht="15" hidden="false" customHeight="false" outlineLevel="0" collapsed="false">
      <c r="A4445" s="0" t="n">
        <v>3589</v>
      </c>
      <c r="B4445" s="0" t="n">
        <v>22207</v>
      </c>
      <c r="C4445" s="0" t="s">
        <v>14614</v>
      </c>
      <c r="D4445" s="0" t="s">
        <v>5</v>
      </c>
      <c r="E4445" s="0" t="e">
        <f aca="false">IFERROR(__xludf.dummyfunction("xlookup(aj3589,importrange("1xainw9du9nz21v0tyi))</f>
        <v>#VALUE!</v>
      </c>
      <c r="F4445" s="0" t="s">
        <v>14617</v>
      </c>
      <c r="G4445" s="0" t="s">
        <v>18698</v>
      </c>
    </row>
    <row r="4446" customFormat="false" ht="15" hidden="false" customHeight="false" outlineLevel="0" collapsed="false">
      <c r="A4446" s="0" t="n">
        <v>3590</v>
      </c>
      <c r="B4446" s="0" t="n">
        <v>22208</v>
      </c>
      <c r="C4446" s="0" t="s">
        <v>14620</v>
      </c>
      <c r="D4446" s="0" t="s">
        <v>5</v>
      </c>
      <c r="E4446" s="0" t="e">
        <f aca="false">IFERROR(__xludf.dummyfunction("xlookup(aj3590,importrange("1xainw9du9nz21v0tyi))</f>
        <v>#VALUE!</v>
      </c>
      <c r="F4446" s="0" t="s">
        <v>14621</v>
      </c>
      <c r="G4446" s="0" t="s">
        <v>18698</v>
      </c>
    </row>
    <row r="4447" customFormat="false" ht="15" hidden="false" customHeight="false" outlineLevel="0" collapsed="false">
      <c r="A4447" s="0" t="n">
        <v>3591</v>
      </c>
      <c r="B4447" s="0" t="n">
        <v>22209</v>
      </c>
      <c r="C4447" s="0" t="s">
        <v>14624</v>
      </c>
      <c r="D4447" s="0" t="s">
        <v>5</v>
      </c>
      <c r="E4447" s="0" t="e">
        <f aca="false">IFERROR(__xludf.dummyfunction("xlookup(aj3591,importrange("1xainw9du9nz21v0tyi))</f>
        <v>#VALUE!</v>
      </c>
      <c r="F4447" s="0" t="s">
        <v>14625</v>
      </c>
      <c r="G4447" s="0" t="s">
        <v>18698</v>
      </c>
    </row>
    <row r="4448" customFormat="false" ht="15" hidden="false" customHeight="false" outlineLevel="0" collapsed="false">
      <c r="A4448" s="0" t="n">
        <v>3592</v>
      </c>
      <c r="B4448" s="0" t="n">
        <v>22210</v>
      </c>
      <c r="C4448" s="0" t="s">
        <v>14629</v>
      </c>
      <c r="D4448" s="0" t="s">
        <v>5</v>
      </c>
      <c r="E4448" s="0" t="e">
        <f aca="false">IFERROR(__xludf.dummyfunction("xlookup(aj3592,importrange("1xainw9du9nz21v0tyi))</f>
        <v>#VALUE!</v>
      </c>
      <c r="F4448" s="0" t="s">
        <v>14630</v>
      </c>
      <c r="G4448" s="0" t="s">
        <v>18698</v>
      </c>
    </row>
    <row r="4449" customFormat="false" ht="15" hidden="false" customHeight="false" outlineLevel="0" collapsed="false">
      <c r="A4449" s="0" t="n">
        <v>3595</v>
      </c>
      <c r="B4449" s="0" t="n">
        <v>22213</v>
      </c>
      <c r="C4449" s="0" t="s">
        <v>14640</v>
      </c>
      <c r="D4449" s="0" t="s">
        <v>5</v>
      </c>
      <c r="E4449" s="0" t="e">
        <f aca="false">IFERROR(__xludf.dummyfunction("xlookup(aj3595,importrange("1xainw9du9nz21v0tyi))</f>
        <v>#VALUE!</v>
      </c>
      <c r="F4449" s="0" t="s">
        <v>14641</v>
      </c>
      <c r="G4449" s="0" t="s">
        <v>18698</v>
      </c>
    </row>
    <row r="4450" customFormat="false" ht="15" hidden="false" customHeight="false" outlineLevel="0" collapsed="false">
      <c r="A4450" s="0" t="n">
        <v>3596</v>
      </c>
      <c r="B4450" s="0" t="n">
        <v>22214</v>
      </c>
      <c r="C4450" s="0" t="s">
        <v>1012</v>
      </c>
      <c r="D4450" s="0" t="s">
        <v>5</v>
      </c>
      <c r="E4450" s="0" t="e">
        <f aca="false">IFERROR(__xludf.dummyfunction("xlookup(aj3596,importrange("1xainw9du9nz21v0tyi))</f>
        <v>#VALUE!</v>
      </c>
      <c r="F4450" s="0" t="s">
        <v>14644</v>
      </c>
      <c r="G4450" s="0" t="s">
        <v>18698</v>
      </c>
    </row>
    <row r="4451" customFormat="false" ht="15" hidden="false" customHeight="false" outlineLevel="0" collapsed="false">
      <c r="A4451" s="0" t="n">
        <v>3597</v>
      </c>
      <c r="B4451" s="0" t="n">
        <v>22215</v>
      </c>
      <c r="C4451" s="0" t="s">
        <v>14647</v>
      </c>
      <c r="D4451" s="0" t="s">
        <v>5</v>
      </c>
      <c r="E4451" s="0" t="e">
        <f aca="false">IFERROR(__xludf.dummyfunction("xlookup(aj3597,importrange("1xainw9du9nz21v0tyi))</f>
        <v>#VALUE!</v>
      </c>
      <c r="F4451" s="0" t="s">
        <v>14648</v>
      </c>
      <c r="G4451" s="0" t="s">
        <v>18698</v>
      </c>
    </row>
    <row r="4452" customFormat="false" ht="15" hidden="false" customHeight="false" outlineLevel="0" collapsed="false">
      <c r="A4452" s="0" t="n">
        <v>3598</v>
      </c>
      <c r="B4452" s="0" t="n">
        <v>22216</v>
      </c>
      <c r="C4452" s="0" t="s">
        <v>14652</v>
      </c>
      <c r="D4452" s="0" t="s">
        <v>5</v>
      </c>
      <c r="E4452" s="0" t="e">
        <f aca="false">IFERROR(__xludf.dummyfunction("xlookup(aj3598,importrange("1xainw9du9nz21v0tyi))</f>
        <v>#VALUE!</v>
      </c>
      <c r="F4452" s="0" t="s">
        <v>14653</v>
      </c>
      <c r="G4452" s="0" t="s">
        <v>18698</v>
      </c>
    </row>
    <row r="4453" customFormat="false" ht="15" hidden="false" customHeight="false" outlineLevel="0" collapsed="false">
      <c r="A4453" s="0" t="n">
        <v>3602</v>
      </c>
      <c r="B4453" s="0" t="n">
        <v>22406</v>
      </c>
      <c r="C4453" s="0" t="s">
        <v>14667</v>
      </c>
      <c r="D4453" s="0" t="s">
        <v>5</v>
      </c>
      <c r="E4453" s="0" t="e">
        <f aca="false">IFERROR(__xludf.dummyfunction("xlookup(aj3602,importrange("1xainw9du9nz21v0tyi))</f>
        <v>#VALUE!</v>
      </c>
      <c r="F4453" s="0" t="s">
        <v>14668</v>
      </c>
      <c r="G4453" s="0" t="s">
        <v>18698</v>
      </c>
    </row>
    <row r="4454" customFormat="false" ht="15" hidden="false" customHeight="false" outlineLevel="0" collapsed="false">
      <c r="A4454" s="0" t="n">
        <v>3605</v>
      </c>
      <c r="B4454" s="0" t="n">
        <v>22598</v>
      </c>
      <c r="C4454" s="0" t="s">
        <v>14679</v>
      </c>
      <c r="D4454" s="0" t="s">
        <v>5</v>
      </c>
      <c r="E4454" s="0" t="e">
        <f aca="false">IFERROR(__xludf.dummyfunction("xlookup(aj3605,importrange("1xainw9du9nz21v0tyi))</f>
        <v>#VALUE!</v>
      </c>
      <c r="F4454" s="0" t="s">
        <v>14680</v>
      </c>
      <c r="G4454" s="0" t="s">
        <v>18698</v>
      </c>
    </row>
    <row r="4455" customFormat="false" ht="15" hidden="false" customHeight="false" outlineLevel="0" collapsed="false">
      <c r="A4455" s="0" t="n">
        <v>3606</v>
      </c>
      <c r="B4455" s="0" t="n">
        <v>22482</v>
      </c>
      <c r="C4455" s="0" t="s">
        <v>14683</v>
      </c>
      <c r="D4455" s="0" t="s">
        <v>5</v>
      </c>
      <c r="E4455" s="0" t="e">
        <f aca="false">IFERROR(__xludf.dummyfunction("xlookup(aj3606,importrange("1xainw9du9nz21v0tyi))</f>
        <v>#VALUE!</v>
      </c>
      <c r="F4455" s="0" t="s">
        <v>14684</v>
      </c>
      <c r="G4455" s="0" t="s">
        <v>18698</v>
      </c>
    </row>
    <row r="4456" customFormat="false" ht="15" hidden="false" customHeight="false" outlineLevel="0" collapsed="false">
      <c r="A4456" s="0" t="n">
        <v>3610</v>
      </c>
      <c r="B4456" s="0" t="n">
        <v>22228</v>
      </c>
      <c r="C4456" s="0" t="s">
        <v>14702</v>
      </c>
      <c r="D4456" s="0" t="s">
        <v>5</v>
      </c>
      <c r="E4456" s="0" t="e">
        <f aca="false">IFERROR(__xludf.dummyfunction("xlookup(aj3610,importrange("1xainw9du9nz21v0tyi))</f>
        <v>#VALUE!</v>
      </c>
      <c r="F4456" s="0" t="s">
        <v>14703</v>
      </c>
      <c r="G4456" s="0" t="s">
        <v>18698</v>
      </c>
    </row>
    <row r="4457" customFormat="false" ht="15" hidden="false" customHeight="false" outlineLevel="0" collapsed="false">
      <c r="A4457" s="0" t="n">
        <v>3611</v>
      </c>
      <c r="B4457" s="0" t="n">
        <v>22229</v>
      </c>
      <c r="C4457" s="0" t="s">
        <v>14706</v>
      </c>
      <c r="D4457" s="0" t="s">
        <v>5</v>
      </c>
      <c r="E4457" s="0" t="e">
        <f aca="false">IFERROR(__xludf.dummyfunction("xlookup(aj3611,importrange("1xainw9du9nz21v0tyi))</f>
        <v>#VALUE!</v>
      </c>
      <c r="F4457" s="0" t="s">
        <v>14707</v>
      </c>
      <c r="G4457" s="0" t="s">
        <v>18698</v>
      </c>
    </row>
    <row r="4458" customFormat="false" ht="15" hidden="false" customHeight="false" outlineLevel="0" collapsed="false">
      <c r="A4458" s="0" t="n">
        <v>3613</v>
      </c>
      <c r="B4458" s="0" t="n">
        <v>22231</v>
      </c>
      <c r="C4458" s="0" t="s">
        <v>14714</v>
      </c>
      <c r="D4458" s="0" t="s">
        <v>5</v>
      </c>
      <c r="E4458" s="0" t="e">
        <f aca="false">IFERROR(__xludf.dummyfunction("xlookup(aj3613,importrange("1xainw9du9nz21v0tyi))</f>
        <v>#VALUE!</v>
      </c>
      <c r="F4458" s="0" t="s">
        <v>14715</v>
      </c>
      <c r="G4458" s="0" t="s">
        <v>18698</v>
      </c>
    </row>
    <row r="4459" customFormat="false" ht="15" hidden="false" customHeight="false" outlineLevel="0" collapsed="false">
      <c r="A4459" s="0" t="n">
        <v>3614</v>
      </c>
      <c r="B4459" s="0" t="n">
        <v>22232</v>
      </c>
      <c r="C4459" s="0" t="s">
        <v>14718</v>
      </c>
      <c r="D4459" s="0" t="s">
        <v>5</v>
      </c>
      <c r="E4459" s="0" t="e">
        <f aca="false">IFERROR(__xludf.dummyfunction("xlookup(aj3614,importrange("1xainw9du9nz21v0tyi))</f>
        <v>#VALUE!</v>
      </c>
      <c r="F4459" s="0" t="s">
        <v>14719</v>
      </c>
      <c r="G4459" s="0" t="s">
        <v>18698</v>
      </c>
    </row>
    <row r="4460" customFormat="false" ht="15" hidden="false" customHeight="false" outlineLevel="0" collapsed="false">
      <c r="A4460" s="0" t="n">
        <v>3615</v>
      </c>
      <c r="B4460" s="0" t="n">
        <v>22233</v>
      </c>
      <c r="C4460" s="0" t="s">
        <v>14723</v>
      </c>
      <c r="D4460" s="0" t="s">
        <v>5</v>
      </c>
      <c r="E4460" s="0" t="e">
        <f aca="false">IFERROR(__xludf.dummyfunction("xlookup(aj3615,importrange("1xainw9du9nz21v0tyi))</f>
        <v>#VALUE!</v>
      </c>
      <c r="F4460" s="0" t="s">
        <v>14724</v>
      </c>
      <c r="G4460" s="0" t="s">
        <v>18698</v>
      </c>
    </row>
    <row r="4461" customFormat="false" ht="15" hidden="false" customHeight="false" outlineLevel="0" collapsed="false">
      <c r="A4461" s="0" t="n">
        <v>3616</v>
      </c>
      <c r="B4461" s="0" t="n">
        <v>22234</v>
      </c>
      <c r="C4461" s="0" t="s">
        <v>14727</v>
      </c>
      <c r="D4461" s="0" t="s">
        <v>5</v>
      </c>
      <c r="E4461" s="0" t="e">
        <f aca="false">IFERROR(__xludf.dummyfunction("xlookup(aj3616,importrange("1xainw9du9nz21v0tyi))</f>
        <v>#VALUE!</v>
      </c>
      <c r="F4461" s="0" t="s">
        <v>14728</v>
      </c>
      <c r="G4461" s="0" t="s">
        <v>18698</v>
      </c>
    </row>
    <row r="4462" customFormat="false" ht="15" hidden="false" customHeight="false" outlineLevel="0" collapsed="false">
      <c r="A4462" s="0" t="n">
        <v>3617</v>
      </c>
      <c r="B4462" s="0" t="n">
        <v>22235</v>
      </c>
      <c r="C4462" s="0" t="s">
        <v>14732</v>
      </c>
      <c r="D4462" s="0" t="s">
        <v>5</v>
      </c>
      <c r="E4462" s="0" t="e">
        <f aca="false">IFERROR(__xludf.dummyfunction("xlookup(aj3617,importrange("1xainw9du9nz21v0tyi))</f>
        <v>#VALUE!</v>
      </c>
      <c r="F4462" s="0" t="s">
        <v>14733</v>
      </c>
      <c r="G4462" s="0" t="s">
        <v>18698</v>
      </c>
    </row>
    <row r="4463" customFormat="false" ht="15" hidden="false" customHeight="false" outlineLevel="0" collapsed="false">
      <c r="A4463" s="0" t="n">
        <v>3618</v>
      </c>
      <c r="B4463" s="0" t="n">
        <v>22236</v>
      </c>
      <c r="C4463" s="0" t="s">
        <v>14736</v>
      </c>
      <c r="D4463" s="0" t="s">
        <v>5</v>
      </c>
      <c r="E4463" s="0" t="e">
        <f aca="false">IFERROR(__xludf.dummyfunction("xlookup(aj3618,importrange("1xainw9du9nz21v0tyi))</f>
        <v>#VALUE!</v>
      </c>
      <c r="F4463" s="0" t="s">
        <v>14737</v>
      </c>
      <c r="G4463" s="0" t="s">
        <v>18698</v>
      </c>
    </row>
    <row r="4464" customFormat="false" ht="15" hidden="false" customHeight="false" outlineLevel="0" collapsed="false">
      <c r="A4464" s="0" t="n">
        <v>3619</v>
      </c>
      <c r="B4464" s="0" t="n">
        <v>22237</v>
      </c>
      <c r="C4464" s="0" t="s">
        <v>14740</v>
      </c>
      <c r="D4464" s="0" t="s">
        <v>5</v>
      </c>
      <c r="E4464" s="0" t="e">
        <f aca="false">IFERROR(__xludf.dummyfunction("xlookup(aj3619,importrange("1xainw9du9nz21v0tyi))</f>
        <v>#VALUE!</v>
      </c>
      <c r="F4464" s="0" t="s">
        <v>14741</v>
      </c>
      <c r="G4464" s="0" t="s">
        <v>18698</v>
      </c>
    </row>
    <row r="4465" customFormat="false" ht="15" hidden="false" customHeight="false" outlineLevel="0" collapsed="false">
      <c r="A4465" s="0" t="n">
        <v>3620</v>
      </c>
      <c r="B4465" s="0" t="n">
        <v>22238</v>
      </c>
      <c r="C4465" s="0" t="s">
        <v>14744</v>
      </c>
      <c r="D4465" s="0" t="s">
        <v>5</v>
      </c>
      <c r="E4465" s="0" t="e">
        <f aca="false">IFERROR(__xludf.dummyfunction("xlookup(aj3620,importrange("1xainw9du9nz21v0tyi))</f>
        <v>#VALUE!</v>
      </c>
      <c r="F4465" s="0" t="s">
        <v>14745</v>
      </c>
      <c r="G4465" s="0" t="s">
        <v>18698</v>
      </c>
    </row>
    <row r="4466" customFormat="false" ht="15" hidden="false" customHeight="false" outlineLevel="0" collapsed="false">
      <c r="A4466" s="0" t="n">
        <v>3621</v>
      </c>
      <c r="B4466" s="0" t="n">
        <v>22239</v>
      </c>
      <c r="C4466" s="0" t="s">
        <v>14748</v>
      </c>
      <c r="D4466" s="0" t="s">
        <v>5</v>
      </c>
      <c r="E4466" s="0" t="e">
        <f aca="false">IFERROR(__xludf.dummyfunction("xlookup(aj3621,importrange("1xainw9du9nz21v0tyi))</f>
        <v>#VALUE!</v>
      </c>
      <c r="F4466" s="0" t="s">
        <v>14749</v>
      </c>
      <c r="G4466" s="0" t="s">
        <v>18698</v>
      </c>
    </row>
    <row r="4467" customFormat="false" ht="15" hidden="false" customHeight="false" outlineLevel="0" collapsed="false">
      <c r="A4467" s="0" t="n">
        <v>3622</v>
      </c>
      <c r="B4467" s="0" t="n">
        <v>22240</v>
      </c>
      <c r="C4467" s="0" t="s">
        <v>14751</v>
      </c>
      <c r="D4467" s="0" t="s">
        <v>5</v>
      </c>
      <c r="E4467" s="0" t="e">
        <f aca="false">IFERROR(__xludf.dummyfunction("xlookup(aj3622,importrange("1xainw9du9nz21v0tyi))</f>
        <v>#VALUE!</v>
      </c>
      <c r="F4467" s="0" t="s">
        <v>14752</v>
      </c>
      <c r="G4467" s="0" t="s">
        <v>18698</v>
      </c>
    </row>
    <row r="4468" customFormat="false" ht="15" hidden="false" customHeight="false" outlineLevel="0" collapsed="false">
      <c r="A4468" s="0" t="n">
        <v>3623</v>
      </c>
      <c r="B4468" s="0" t="n">
        <v>22241</v>
      </c>
      <c r="C4468" s="0" t="s">
        <v>14755</v>
      </c>
      <c r="D4468" s="0" t="s">
        <v>5</v>
      </c>
      <c r="E4468" s="0" t="e">
        <f aca="false">IFERROR(__xludf.dummyfunction("xlookup(aj3623,importrange("1xainw9du9nz21v0tyi))</f>
        <v>#VALUE!</v>
      </c>
      <c r="F4468" s="0" t="s">
        <v>14756</v>
      </c>
      <c r="G4468" s="0" t="s">
        <v>18698</v>
      </c>
    </row>
    <row r="4469" customFormat="false" ht="15" hidden="false" customHeight="false" outlineLevel="0" collapsed="false">
      <c r="A4469" s="0" t="n">
        <v>3624</v>
      </c>
      <c r="B4469" s="0" t="n">
        <v>22242</v>
      </c>
      <c r="C4469" s="0" t="s">
        <v>14759</v>
      </c>
      <c r="D4469" s="0" t="s">
        <v>5</v>
      </c>
      <c r="E4469" s="0" t="e">
        <f aca="false">IFERROR(__xludf.dummyfunction("xlookup(aj3624,importrange("1xainw9du9nz21v0tyi))</f>
        <v>#VALUE!</v>
      </c>
      <c r="F4469" s="0" t="s">
        <v>14760</v>
      </c>
      <c r="G4469" s="0" t="s">
        <v>18698</v>
      </c>
    </row>
    <row r="4470" customFormat="false" ht="15" hidden="false" customHeight="false" outlineLevel="0" collapsed="false">
      <c r="A4470" s="0" t="n">
        <v>3625</v>
      </c>
      <c r="B4470" s="0" t="n">
        <v>22243</v>
      </c>
      <c r="C4470" s="0" t="s">
        <v>14763</v>
      </c>
      <c r="D4470" s="0" t="s">
        <v>5</v>
      </c>
      <c r="E4470" s="0" t="e">
        <f aca="false">IFERROR(__xludf.dummyfunction("xlookup(aj3625,importrange("1xainw9du9nz21v0tyi))</f>
        <v>#VALUE!</v>
      </c>
      <c r="F4470" s="0" t="s">
        <v>14764</v>
      </c>
      <c r="G4470" s="0" t="s">
        <v>18698</v>
      </c>
    </row>
    <row r="4471" customFormat="false" ht="15" hidden="false" customHeight="false" outlineLevel="0" collapsed="false">
      <c r="A4471" s="0" t="n">
        <v>3626</v>
      </c>
      <c r="B4471" s="0" t="n">
        <v>22244</v>
      </c>
      <c r="C4471" s="0" t="s">
        <v>14767</v>
      </c>
      <c r="D4471" s="0" t="s">
        <v>5</v>
      </c>
      <c r="E4471" s="0" t="e">
        <f aca="false">IFERROR(__xludf.dummyfunction("xlookup(aj3626,importrange("1xainw9du9nz21v0tyi))</f>
        <v>#VALUE!</v>
      </c>
      <c r="F4471" s="0" t="s">
        <v>14768</v>
      </c>
      <c r="G4471" s="0" t="s">
        <v>18698</v>
      </c>
    </row>
    <row r="4472" customFormat="false" ht="15" hidden="false" customHeight="false" outlineLevel="0" collapsed="false">
      <c r="A4472" s="0" t="n">
        <v>3627</v>
      </c>
      <c r="B4472" s="0" t="n">
        <v>22245</v>
      </c>
      <c r="C4472" s="0" t="s">
        <v>10359</v>
      </c>
      <c r="D4472" s="0" t="s">
        <v>5</v>
      </c>
      <c r="E4472" s="0" t="e">
        <f aca="false">IFERROR(__xludf.dummyfunction("xlookup(aj3627,importrange("1xainw9du9nz21v0tyi))</f>
        <v>#VALUE!</v>
      </c>
      <c r="F4472" s="0" t="s">
        <v>14772</v>
      </c>
      <c r="G4472" s="0" t="s">
        <v>18698</v>
      </c>
    </row>
    <row r="4473" customFormat="false" ht="15" hidden="false" customHeight="false" outlineLevel="0" collapsed="false">
      <c r="A4473" s="0" t="n">
        <v>3628</v>
      </c>
      <c r="B4473" s="0" t="n">
        <v>22246</v>
      </c>
      <c r="C4473" s="0" t="s">
        <v>14775</v>
      </c>
      <c r="D4473" s="0" t="s">
        <v>5</v>
      </c>
      <c r="E4473" s="0" t="e">
        <f aca="false">IFERROR(__xludf.dummyfunction("xlookup(aj3628,importrange("1xainw9du9nz21v0tyi))</f>
        <v>#VALUE!</v>
      </c>
      <c r="F4473" s="0" t="s">
        <v>14776</v>
      </c>
      <c r="G4473" s="0" t="s">
        <v>18698</v>
      </c>
    </row>
    <row r="4474" customFormat="false" ht="15" hidden="false" customHeight="false" outlineLevel="0" collapsed="false">
      <c r="A4474" s="0" t="n">
        <v>3629</v>
      </c>
      <c r="B4474" s="0" t="n">
        <v>22247</v>
      </c>
      <c r="C4474" s="0" t="s">
        <v>14779</v>
      </c>
      <c r="D4474" s="0" t="s">
        <v>5</v>
      </c>
      <c r="E4474" s="0" t="e">
        <f aca="false">IFERROR(__xludf.dummyfunction("xlookup(aj3629,importrange("1xainw9du9nz21v0tyi))</f>
        <v>#VALUE!</v>
      </c>
      <c r="F4474" s="0" t="s">
        <v>14780</v>
      </c>
      <c r="G4474" s="0" t="s">
        <v>18698</v>
      </c>
    </row>
    <row r="4475" customFormat="false" ht="15" hidden="false" customHeight="false" outlineLevel="0" collapsed="false">
      <c r="A4475" s="0" t="n">
        <v>3630</v>
      </c>
      <c r="B4475" s="0" t="n">
        <v>22248</v>
      </c>
      <c r="C4475" s="0" t="s">
        <v>14783</v>
      </c>
      <c r="D4475" s="0" t="s">
        <v>5</v>
      </c>
      <c r="E4475" s="0" t="e">
        <f aca="false">IFERROR(__xludf.dummyfunction("xlookup(aj3630,importrange("1xainw9du9nz21v0tyi))</f>
        <v>#VALUE!</v>
      </c>
      <c r="F4475" s="0" t="s">
        <v>14784</v>
      </c>
      <c r="G4475" s="0" t="s">
        <v>18698</v>
      </c>
    </row>
    <row r="4476" customFormat="false" ht="15" hidden="false" customHeight="false" outlineLevel="0" collapsed="false">
      <c r="A4476" s="0" t="n">
        <v>3631</v>
      </c>
      <c r="B4476" s="0" t="n">
        <v>22249</v>
      </c>
      <c r="C4476" s="0" t="s">
        <v>14787</v>
      </c>
      <c r="D4476" s="0" t="s">
        <v>5</v>
      </c>
      <c r="E4476" s="0" t="e">
        <f aca="false">IFERROR(__xludf.dummyfunction("xlookup(aj3631,importrange("1xainw9du9nz21v0tyi))</f>
        <v>#VALUE!</v>
      </c>
      <c r="F4476" s="0" t="s">
        <v>14788</v>
      </c>
      <c r="G4476" s="0" t="s">
        <v>18698</v>
      </c>
    </row>
    <row r="4477" customFormat="false" ht="15" hidden="false" customHeight="false" outlineLevel="0" collapsed="false">
      <c r="A4477" s="0" t="n">
        <v>3632</v>
      </c>
      <c r="B4477" s="0" t="n">
        <v>22250</v>
      </c>
      <c r="C4477" s="0" t="s">
        <v>14791</v>
      </c>
      <c r="D4477" s="0" t="s">
        <v>5</v>
      </c>
      <c r="E4477" s="0" t="e">
        <f aca="false">IFERROR(__xludf.dummyfunction("xlookup(aj3632,importrange("1xainw9du9nz21v0tyi))</f>
        <v>#VALUE!</v>
      </c>
      <c r="F4477" s="0" t="s">
        <v>14792</v>
      </c>
      <c r="G4477" s="0" t="s">
        <v>18698</v>
      </c>
    </row>
    <row r="4478" customFormat="false" ht="15" hidden="false" customHeight="false" outlineLevel="0" collapsed="false">
      <c r="A4478" s="0" t="n">
        <v>3633</v>
      </c>
      <c r="B4478" s="0" t="n">
        <v>22251</v>
      </c>
      <c r="C4478" s="0" t="s">
        <v>14795</v>
      </c>
      <c r="D4478" s="0" t="s">
        <v>5</v>
      </c>
      <c r="E4478" s="0" t="e">
        <f aca="false">IFERROR(__xludf.dummyfunction("xlookup(aj3633,importrange("1xainw9du9nz21v0tyi))</f>
        <v>#VALUE!</v>
      </c>
      <c r="F4478" s="0" t="s">
        <v>14796</v>
      </c>
      <c r="G4478" s="0" t="s">
        <v>18698</v>
      </c>
    </row>
    <row r="4479" customFormat="false" ht="15" hidden="false" customHeight="false" outlineLevel="0" collapsed="false">
      <c r="A4479" s="0" t="n">
        <v>3634</v>
      </c>
      <c r="B4479" s="0" t="n">
        <v>22252</v>
      </c>
      <c r="C4479" s="0" t="s">
        <v>14799</v>
      </c>
      <c r="D4479" s="0" t="s">
        <v>5</v>
      </c>
      <c r="E4479" s="0" t="e">
        <f aca="false">IFERROR(__xludf.dummyfunction("xlookup(aj3634,importrange("1xainw9du9nz21v0tyi))</f>
        <v>#VALUE!</v>
      </c>
      <c r="F4479" s="0" t="s">
        <v>14800</v>
      </c>
      <c r="G4479" s="0" t="s">
        <v>18698</v>
      </c>
    </row>
    <row r="4480" customFormat="false" ht="15" hidden="false" customHeight="false" outlineLevel="0" collapsed="false">
      <c r="A4480" s="0" t="n">
        <v>3635</v>
      </c>
      <c r="B4480" s="0" t="n">
        <v>22253</v>
      </c>
      <c r="C4480" s="0" t="s">
        <v>14803</v>
      </c>
      <c r="D4480" s="0" t="s">
        <v>5</v>
      </c>
      <c r="E4480" s="0" t="e">
        <f aca="false">IFERROR(__xludf.dummyfunction("xlookup(aj3635,importrange("1xainw9du9nz21v0tyi))</f>
        <v>#VALUE!</v>
      </c>
      <c r="F4480" s="0" t="s">
        <v>14804</v>
      </c>
      <c r="G4480" s="0" t="s">
        <v>18698</v>
      </c>
    </row>
    <row r="4481" customFormat="false" ht="15" hidden="false" customHeight="false" outlineLevel="0" collapsed="false">
      <c r="A4481" s="0" t="n">
        <v>3636</v>
      </c>
      <c r="B4481" s="0" t="n">
        <v>22254</v>
      </c>
      <c r="C4481" s="0" t="s">
        <v>14807</v>
      </c>
      <c r="D4481" s="0" t="s">
        <v>5</v>
      </c>
      <c r="E4481" s="0" t="e">
        <f aca="false">IFERROR(__xludf.dummyfunction("xlookup(aj3636,importrange("1xainw9du9nz21v0tyi))</f>
        <v>#VALUE!</v>
      </c>
      <c r="F4481" s="0" t="s">
        <v>14808</v>
      </c>
      <c r="G4481" s="0" t="s">
        <v>18698</v>
      </c>
    </row>
    <row r="4482" customFormat="false" ht="15" hidden="false" customHeight="false" outlineLevel="0" collapsed="false">
      <c r="A4482" s="0" t="n">
        <v>3637</v>
      </c>
      <c r="B4482" s="0" t="n">
        <v>22255</v>
      </c>
      <c r="C4482" s="0" t="s">
        <v>14811</v>
      </c>
      <c r="D4482" s="0" t="s">
        <v>5</v>
      </c>
      <c r="E4482" s="0" t="e">
        <f aca="false">IFERROR(__xludf.dummyfunction("xlookup(aj3637,importrange("1xainw9du9nz21v0tyi))</f>
        <v>#VALUE!</v>
      </c>
      <c r="F4482" s="0" t="s">
        <v>14812</v>
      </c>
      <c r="G4482" s="0" t="s">
        <v>18698</v>
      </c>
    </row>
    <row r="4483" customFormat="false" ht="15" hidden="false" customHeight="false" outlineLevel="0" collapsed="false">
      <c r="A4483" s="0" t="n">
        <v>3638</v>
      </c>
      <c r="B4483" s="0" t="n">
        <v>22256</v>
      </c>
      <c r="C4483" s="0" t="s">
        <v>14815</v>
      </c>
      <c r="D4483" s="0" t="s">
        <v>5</v>
      </c>
      <c r="E4483" s="0" t="e">
        <f aca="false">IFERROR(__xludf.dummyfunction("xlookup(aj3638,importrange("1xainw9du9nz21v0tyi))</f>
        <v>#VALUE!</v>
      </c>
      <c r="F4483" s="0" t="s">
        <v>14816</v>
      </c>
      <c r="G4483" s="0" t="s">
        <v>18698</v>
      </c>
    </row>
    <row r="4484" customFormat="false" ht="15" hidden="false" customHeight="false" outlineLevel="0" collapsed="false">
      <c r="A4484" s="0" t="n">
        <v>3639</v>
      </c>
      <c r="B4484" s="0" t="n">
        <v>22257</v>
      </c>
      <c r="C4484" s="0" t="s">
        <v>14819</v>
      </c>
      <c r="D4484" s="0" t="s">
        <v>5</v>
      </c>
      <c r="E4484" s="0" t="e">
        <f aca="false">IFERROR(__xludf.dummyfunction("xlookup(aj3639,importrange("1xainw9du9nz21v0tyi))</f>
        <v>#VALUE!</v>
      </c>
      <c r="F4484" s="0" t="s">
        <v>14820</v>
      </c>
      <c r="G4484" s="0" t="s">
        <v>18698</v>
      </c>
    </row>
    <row r="4485" customFormat="false" ht="15" hidden="false" customHeight="false" outlineLevel="0" collapsed="false">
      <c r="A4485" s="0" t="n">
        <v>3640</v>
      </c>
      <c r="B4485" s="0" t="n">
        <v>22258</v>
      </c>
      <c r="C4485" s="0" t="s">
        <v>14823</v>
      </c>
      <c r="D4485" s="0" t="s">
        <v>5</v>
      </c>
      <c r="E4485" s="0" t="e">
        <f aca="false">IFERROR(__xludf.dummyfunction("xlookup(aj3640,importrange("1xainw9du9nz21v0tyi))</f>
        <v>#VALUE!</v>
      </c>
      <c r="F4485" s="0" t="s">
        <v>14824</v>
      </c>
      <c r="G4485" s="0" t="s">
        <v>18698</v>
      </c>
    </row>
    <row r="4486" customFormat="false" ht="15" hidden="false" customHeight="false" outlineLevel="0" collapsed="false">
      <c r="A4486" s="0" t="n">
        <v>3641</v>
      </c>
      <c r="B4486" s="0" t="n">
        <v>22260</v>
      </c>
      <c r="C4486" s="0" t="s">
        <v>14827</v>
      </c>
      <c r="D4486" s="0" t="s">
        <v>5</v>
      </c>
      <c r="E4486" s="0" t="e">
        <f aca="false">IFERROR(__xludf.dummyfunction("xlookup(aj3641,importrange("1xainw9du9nz21v0tyi))</f>
        <v>#VALUE!</v>
      </c>
      <c r="F4486" s="0" t="s">
        <v>14828</v>
      </c>
      <c r="G4486" s="0" t="s">
        <v>18698</v>
      </c>
    </row>
    <row r="4487" customFormat="false" ht="15" hidden="false" customHeight="false" outlineLevel="0" collapsed="false">
      <c r="A4487" s="0" t="n">
        <v>3642</v>
      </c>
      <c r="B4487" s="0" t="n">
        <v>22261</v>
      </c>
      <c r="C4487" s="0" t="s">
        <v>14832</v>
      </c>
      <c r="D4487" s="0" t="s">
        <v>5</v>
      </c>
      <c r="E4487" s="0" t="e">
        <f aca="false">IFERROR(__xludf.dummyfunction("xlookup(aj3642,importrange("1xainw9du9nz21v0tyi))</f>
        <v>#VALUE!</v>
      </c>
      <c r="F4487" s="0" t="s">
        <v>14833</v>
      </c>
      <c r="G4487" s="0" t="s">
        <v>18698</v>
      </c>
    </row>
    <row r="4488" customFormat="false" ht="15" hidden="false" customHeight="false" outlineLevel="0" collapsed="false">
      <c r="A4488" s="0" t="n">
        <v>3643</v>
      </c>
      <c r="B4488" s="0" t="n">
        <v>22262</v>
      </c>
      <c r="C4488" s="0" t="s">
        <v>14836</v>
      </c>
      <c r="D4488" s="0" t="s">
        <v>5</v>
      </c>
      <c r="E4488" s="0" t="e">
        <f aca="false">IFERROR(__xludf.dummyfunction("xlookup(aj3643,importrange("1xainw9du9nz21v0tyi))</f>
        <v>#VALUE!</v>
      </c>
      <c r="F4488" s="0" t="s">
        <v>14837</v>
      </c>
      <c r="G4488" s="0" t="s">
        <v>18698</v>
      </c>
    </row>
    <row r="4489" customFormat="false" ht="15" hidden="false" customHeight="false" outlineLevel="0" collapsed="false">
      <c r="A4489" s="0" t="n">
        <v>3644</v>
      </c>
      <c r="B4489" s="0" t="n">
        <v>22263</v>
      </c>
      <c r="C4489" s="0" t="s">
        <v>14839</v>
      </c>
      <c r="D4489" s="0" t="s">
        <v>5</v>
      </c>
      <c r="E4489" s="0" t="e">
        <f aca="false">IFERROR(__xludf.dummyfunction("xlookup(aj3644,importrange("1xainw9du9nz21v0tyi))</f>
        <v>#VALUE!</v>
      </c>
      <c r="F4489" s="0" t="s">
        <v>14840</v>
      </c>
      <c r="G4489" s="0" t="s">
        <v>18698</v>
      </c>
    </row>
    <row r="4490" customFormat="false" ht="15" hidden="false" customHeight="false" outlineLevel="0" collapsed="false">
      <c r="A4490" s="0" t="n">
        <v>3645</v>
      </c>
      <c r="B4490" s="0" t="n">
        <v>22264</v>
      </c>
      <c r="C4490" s="0" t="s">
        <v>14844</v>
      </c>
      <c r="D4490" s="0" t="s">
        <v>5</v>
      </c>
      <c r="E4490" s="0" t="e">
        <f aca="false">IFERROR(__xludf.dummyfunction("xlookup(aj3645,importrange("1xainw9du9nz21v0tyi))</f>
        <v>#VALUE!</v>
      </c>
      <c r="F4490" s="0" t="s">
        <v>14845</v>
      </c>
      <c r="G4490" s="0" t="s">
        <v>18698</v>
      </c>
    </row>
    <row r="4491" customFormat="false" ht="15" hidden="false" customHeight="false" outlineLevel="0" collapsed="false">
      <c r="A4491" s="0" t="n">
        <v>3646</v>
      </c>
      <c r="B4491" s="0" t="n">
        <v>22265</v>
      </c>
      <c r="C4491" s="0" t="s">
        <v>14850</v>
      </c>
      <c r="D4491" s="0" t="s">
        <v>5</v>
      </c>
      <c r="E4491" s="0" t="e">
        <f aca="false">IFERROR(__xludf.dummyfunction("xlookup(aj3646,importrange("1xainw9du9nz21v0tyi))</f>
        <v>#VALUE!</v>
      </c>
      <c r="F4491" s="0" t="s">
        <v>14851</v>
      </c>
      <c r="G4491" s="0" t="s">
        <v>18698</v>
      </c>
    </row>
    <row r="4492" customFormat="false" ht="15" hidden="false" customHeight="false" outlineLevel="0" collapsed="false">
      <c r="A4492" s="0" t="n">
        <v>3647</v>
      </c>
      <c r="B4492" s="0" t="n">
        <v>22266</v>
      </c>
      <c r="C4492" s="0" t="s">
        <v>14854</v>
      </c>
      <c r="D4492" s="0" t="s">
        <v>5</v>
      </c>
      <c r="E4492" s="0" t="e">
        <f aca="false">IFERROR(__xludf.dummyfunction("xlookup(aj3647,importrange("1xainw9du9nz21v0tyi))</f>
        <v>#VALUE!</v>
      </c>
      <c r="F4492" s="0" t="s">
        <v>14855</v>
      </c>
      <c r="G4492" s="0" t="s">
        <v>18698</v>
      </c>
    </row>
    <row r="4493" customFormat="false" ht="15" hidden="false" customHeight="false" outlineLevel="0" collapsed="false">
      <c r="A4493" s="0" t="n">
        <v>3648</v>
      </c>
      <c r="B4493" s="0" t="n">
        <v>22267</v>
      </c>
      <c r="C4493" s="0" t="s">
        <v>14860</v>
      </c>
      <c r="D4493" s="0" t="s">
        <v>5</v>
      </c>
      <c r="E4493" s="0" t="e">
        <f aca="false">IFERROR(__xludf.dummyfunction("xlookup(aj3648,importrange("1xainw9du9nz21v0tyi))</f>
        <v>#VALUE!</v>
      </c>
      <c r="F4493" s="0" t="s">
        <v>14861</v>
      </c>
      <c r="G4493" s="0" t="s">
        <v>18698</v>
      </c>
    </row>
    <row r="4494" customFormat="false" ht="15" hidden="false" customHeight="false" outlineLevel="0" collapsed="false">
      <c r="A4494" s="0" t="n">
        <v>3649</v>
      </c>
      <c r="B4494" s="0" t="n">
        <v>22268</v>
      </c>
      <c r="C4494" s="0" t="s">
        <v>14865</v>
      </c>
      <c r="D4494" s="0" t="s">
        <v>5</v>
      </c>
      <c r="E4494" s="0" t="e">
        <f aca="false">IFERROR(__xludf.dummyfunction("xlookup(aj3649,importrange("1xainw9du9nz21v0tyi))</f>
        <v>#VALUE!</v>
      </c>
      <c r="F4494" s="0" t="s">
        <v>14866</v>
      </c>
      <c r="G4494" s="0" t="s">
        <v>18698</v>
      </c>
    </row>
    <row r="4495" customFormat="false" ht="15" hidden="false" customHeight="false" outlineLevel="0" collapsed="false">
      <c r="A4495" s="0" t="n">
        <v>3650</v>
      </c>
      <c r="B4495" s="0" t="n">
        <v>22269</v>
      </c>
      <c r="C4495" s="0" t="s">
        <v>14869</v>
      </c>
      <c r="D4495" s="0" t="s">
        <v>5</v>
      </c>
      <c r="E4495" s="0" t="e">
        <f aca="false">IFERROR(__xludf.dummyfunction("xlookup(aj3650,importrange("1xainw9du9nz21v0tyi))</f>
        <v>#VALUE!</v>
      </c>
      <c r="F4495" s="0" t="s">
        <v>14870</v>
      </c>
      <c r="G4495" s="0" t="s">
        <v>18698</v>
      </c>
    </row>
    <row r="4496" customFormat="false" ht="15" hidden="false" customHeight="false" outlineLevel="0" collapsed="false">
      <c r="A4496" s="0" t="n">
        <v>3651</v>
      </c>
      <c r="B4496" s="0" t="n">
        <v>22270</v>
      </c>
      <c r="C4496" s="0" t="s">
        <v>14874</v>
      </c>
      <c r="D4496" s="0" t="s">
        <v>5</v>
      </c>
      <c r="E4496" s="0" t="e">
        <f aca="false">IFERROR(__xludf.dummyfunction("xlookup(aj3651,importrange("1xainw9du9nz21v0tyi))</f>
        <v>#VALUE!</v>
      </c>
      <c r="F4496" s="0" t="s">
        <v>14875</v>
      </c>
      <c r="G4496" s="0" t="s">
        <v>18698</v>
      </c>
    </row>
    <row r="4497" customFormat="false" ht="15" hidden="false" customHeight="false" outlineLevel="0" collapsed="false">
      <c r="A4497" s="0" t="n">
        <v>3652</v>
      </c>
      <c r="B4497" s="0" t="n">
        <v>22271</v>
      </c>
      <c r="C4497" s="0" t="s">
        <v>14878</v>
      </c>
      <c r="D4497" s="0" t="s">
        <v>5</v>
      </c>
      <c r="E4497" s="0" t="e">
        <f aca="false">IFERROR(__xludf.dummyfunction("xlookup(aj3652,importrange("1xainw9du9nz21v0tyi))</f>
        <v>#VALUE!</v>
      </c>
      <c r="F4497" s="0" t="s">
        <v>14879</v>
      </c>
      <c r="G4497" s="0" t="s">
        <v>18698</v>
      </c>
    </row>
    <row r="4498" customFormat="false" ht="15" hidden="false" customHeight="false" outlineLevel="0" collapsed="false">
      <c r="A4498" s="0" t="n">
        <v>3653</v>
      </c>
      <c r="B4498" s="0" t="n">
        <v>22272</v>
      </c>
      <c r="C4498" s="0" t="s">
        <v>14882</v>
      </c>
      <c r="D4498" s="0" t="s">
        <v>5</v>
      </c>
      <c r="E4498" s="0" t="e">
        <f aca="false">IFERROR(__xludf.dummyfunction("xlookup(aj3653,importrange("1xainw9du9nz21v0tyi))</f>
        <v>#VALUE!</v>
      </c>
      <c r="F4498" s="0" t="s">
        <v>14883</v>
      </c>
      <c r="G4498" s="0" t="s">
        <v>18698</v>
      </c>
    </row>
    <row r="4499" customFormat="false" ht="15" hidden="false" customHeight="false" outlineLevel="0" collapsed="false">
      <c r="A4499" s="0" t="n">
        <v>3654</v>
      </c>
      <c r="B4499" s="0" t="n">
        <v>22273</v>
      </c>
      <c r="C4499" s="0" t="s">
        <v>14886</v>
      </c>
      <c r="D4499" s="0" t="s">
        <v>5</v>
      </c>
      <c r="E4499" s="0" t="e">
        <f aca="false">IFERROR(__xludf.dummyfunction("xlookup(aj3654,importrange("1xainw9du9nz21v0tyi))</f>
        <v>#VALUE!</v>
      </c>
      <c r="F4499" s="0" t="s">
        <v>14887</v>
      </c>
      <c r="G4499" s="0" t="s">
        <v>18698</v>
      </c>
    </row>
    <row r="4500" customFormat="false" ht="15" hidden="false" customHeight="false" outlineLevel="0" collapsed="false">
      <c r="A4500" s="0" t="n">
        <v>3655</v>
      </c>
      <c r="B4500" s="0" t="n">
        <v>22275</v>
      </c>
      <c r="C4500" s="0" t="s">
        <v>14891</v>
      </c>
      <c r="D4500" s="0" t="s">
        <v>5</v>
      </c>
      <c r="E4500" s="0" t="e">
        <f aca="false">IFERROR(__xludf.dummyfunction("xlookup(aj3655,importrange("1xainw9du9nz21v0tyi))</f>
        <v>#VALUE!</v>
      </c>
      <c r="F4500" s="0" t="s">
        <v>14893</v>
      </c>
      <c r="G4500" s="0" t="s">
        <v>18698</v>
      </c>
    </row>
    <row r="4501" customFormat="false" ht="15" hidden="false" customHeight="false" outlineLevel="0" collapsed="false">
      <c r="A4501" s="0" t="n">
        <v>3656</v>
      </c>
      <c r="B4501" s="0" t="n">
        <v>22276</v>
      </c>
      <c r="C4501" s="0" t="s">
        <v>14897</v>
      </c>
      <c r="D4501" s="0" t="s">
        <v>5</v>
      </c>
      <c r="E4501" s="0" t="e">
        <f aca="false">IFERROR(__xludf.dummyfunction("xlookup(aj3656,importrange("1xainw9du9nz21v0tyi))</f>
        <v>#VALUE!</v>
      </c>
      <c r="F4501" s="0" t="s">
        <v>14898</v>
      </c>
      <c r="G4501" s="0" t="s">
        <v>18698</v>
      </c>
    </row>
    <row r="4502" customFormat="false" ht="15" hidden="false" customHeight="false" outlineLevel="0" collapsed="false">
      <c r="A4502" s="0" t="n">
        <v>3657</v>
      </c>
      <c r="B4502" s="0" t="n">
        <v>22277</v>
      </c>
      <c r="C4502" s="0" t="s">
        <v>14901</v>
      </c>
      <c r="D4502" s="0" t="s">
        <v>5</v>
      </c>
      <c r="E4502" s="0" t="e">
        <f aca="false">IFERROR(__xludf.dummyfunction("xlookup(aj3657,importrange("1xainw9du9nz21v0tyi))</f>
        <v>#VALUE!</v>
      </c>
      <c r="F4502" s="0" t="s">
        <v>14902</v>
      </c>
      <c r="G4502" s="0" t="s">
        <v>18698</v>
      </c>
    </row>
    <row r="4503" customFormat="false" ht="15" hidden="false" customHeight="false" outlineLevel="0" collapsed="false">
      <c r="A4503" s="0" t="n">
        <v>3658</v>
      </c>
      <c r="B4503" s="0" t="n">
        <v>22278</v>
      </c>
      <c r="C4503" s="0" t="s">
        <v>14905</v>
      </c>
      <c r="D4503" s="0" t="s">
        <v>5</v>
      </c>
      <c r="E4503" s="0" t="e">
        <f aca="false">IFERROR(__xludf.dummyfunction("xlookup(aj3658,importrange("1xainw9du9nz21v0tyi))</f>
        <v>#VALUE!</v>
      </c>
      <c r="F4503" s="0" t="s">
        <v>14906</v>
      </c>
      <c r="G4503" s="0" t="s">
        <v>18698</v>
      </c>
    </row>
    <row r="4504" customFormat="false" ht="15" hidden="false" customHeight="false" outlineLevel="0" collapsed="false">
      <c r="A4504" s="0" t="n">
        <v>3659</v>
      </c>
      <c r="B4504" s="0" t="n">
        <v>22279</v>
      </c>
      <c r="C4504" s="0" t="s">
        <v>14909</v>
      </c>
      <c r="D4504" s="0" t="s">
        <v>5</v>
      </c>
      <c r="E4504" s="0" t="e">
        <f aca="false">IFERROR(__xludf.dummyfunction("xlookup(aj3659,importrange("1xainw9du9nz21v0tyi))</f>
        <v>#VALUE!</v>
      </c>
      <c r="F4504" s="0" t="s">
        <v>14910</v>
      </c>
      <c r="G4504" s="0" t="s">
        <v>18698</v>
      </c>
    </row>
    <row r="4505" customFormat="false" ht="15" hidden="false" customHeight="false" outlineLevel="0" collapsed="false">
      <c r="A4505" s="0" t="n">
        <v>3660</v>
      </c>
      <c r="B4505" s="0" t="n">
        <v>22280</v>
      </c>
      <c r="C4505" s="0" t="s">
        <v>14912</v>
      </c>
      <c r="D4505" s="0" t="s">
        <v>5</v>
      </c>
      <c r="E4505" s="0" t="e">
        <f aca="false">IFERROR(__xludf.dummyfunction("xlookup(aj3660,importrange("1xainw9du9nz21v0tyi))</f>
        <v>#VALUE!</v>
      </c>
      <c r="F4505" s="0" t="s">
        <v>14913</v>
      </c>
      <c r="G4505" s="0" t="s">
        <v>18698</v>
      </c>
    </row>
    <row r="4506" customFormat="false" ht="15" hidden="false" customHeight="false" outlineLevel="0" collapsed="false">
      <c r="A4506" s="0" t="n">
        <v>3661</v>
      </c>
      <c r="B4506" s="0" t="n">
        <v>22281</v>
      </c>
      <c r="C4506" s="0" t="s">
        <v>14916</v>
      </c>
      <c r="D4506" s="0" t="s">
        <v>5</v>
      </c>
      <c r="E4506" s="0" t="e">
        <f aca="false">IFERROR(__xludf.dummyfunction("xlookup(aj3661,importrange("1xainw9du9nz21v0tyi))</f>
        <v>#VALUE!</v>
      </c>
      <c r="F4506" s="0" t="s">
        <v>14917</v>
      </c>
      <c r="G4506" s="0" t="s">
        <v>18698</v>
      </c>
    </row>
    <row r="4507" customFormat="false" ht="15" hidden="false" customHeight="false" outlineLevel="0" collapsed="false">
      <c r="A4507" s="0" t="n">
        <v>3662</v>
      </c>
      <c r="B4507" s="0" t="n">
        <v>22282</v>
      </c>
      <c r="C4507" s="0" t="s">
        <v>14919</v>
      </c>
      <c r="D4507" s="0" t="s">
        <v>5</v>
      </c>
      <c r="E4507" s="0" t="e">
        <f aca="false">IFERROR(__xludf.dummyfunction("xlookup(aj3662,importrange("1xainw9du9nz21v0tyi))</f>
        <v>#VALUE!</v>
      </c>
      <c r="F4507" s="0" t="s">
        <v>14920</v>
      </c>
      <c r="G4507" s="0" t="s">
        <v>18698</v>
      </c>
    </row>
    <row r="4508" customFormat="false" ht="15" hidden="false" customHeight="false" outlineLevel="0" collapsed="false">
      <c r="A4508" s="0" t="n">
        <v>3663</v>
      </c>
      <c r="B4508" s="0" t="n">
        <v>22283</v>
      </c>
      <c r="C4508" s="0" t="s">
        <v>14924</v>
      </c>
      <c r="D4508" s="0" t="s">
        <v>5</v>
      </c>
      <c r="E4508" s="0" t="e">
        <f aca="false">IFERROR(__xludf.dummyfunction("xlookup(aj3663,importrange("1xainw9du9nz21v0tyi))</f>
        <v>#VALUE!</v>
      </c>
      <c r="F4508" s="0" t="s">
        <v>14925</v>
      </c>
      <c r="G4508" s="0" t="s">
        <v>18698</v>
      </c>
    </row>
    <row r="4509" customFormat="false" ht="15" hidden="false" customHeight="false" outlineLevel="0" collapsed="false">
      <c r="A4509" s="0" t="n">
        <v>3665</v>
      </c>
      <c r="B4509" s="0" t="n">
        <v>22478</v>
      </c>
      <c r="C4509" s="0" t="s">
        <v>14933</v>
      </c>
      <c r="D4509" s="0" t="s">
        <v>5</v>
      </c>
      <c r="E4509" s="0" t="e">
        <f aca="false">IFERROR(__xludf.dummyfunction("xlookup(aj3665,importrange("1xainw9du9nz21v0tyi))</f>
        <v>#VALUE!</v>
      </c>
      <c r="F4509" s="0" t="s">
        <v>14934</v>
      </c>
      <c r="G4509" s="0" t="s">
        <v>18698</v>
      </c>
    </row>
    <row r="4510" customFormat="false" ht="15" hidden="false" customHeight="false" outlineLevel="0" collapsed="false">
      <c r="A4510" s="0" t="n">
        <v>3669</v>
      </c>
      <c r="B4510" s="0" t="n">
        <v>22289</v>
      </c>
      <c r="C4510" s="0" t="s">
        <v>14954</v>
      </c>
      <c r="D4510" s="0" t="s">
        <v>5</v>
      </c>
      <c r="E4510" s="0" t="e">
        <f aca="false">IFERROR(__xludf.dummyfunction("xlookup(aj3669,importrange("1xainw9du9nz21v0tyi))</f>
        <v>#VALUE!</v>
      </c>
      <c r="F4510" s="0" t="s">
        <v>14955</v>
      </c>
      <c r="G4510" s="0" t="s">
        <v>18698</v>
      </c>
    </row>
    <row r="4511" customFormat="false" ht="15" hidden="false" customHeight="false" outlineLevel="0" collapsed="false">
      <c r="A4511" s="0" t="n">
        <v>3670</v>
      </c>
      <c r="B4511" s="0" t="n">
        <v>22290</v>
      </c>
      <c r="C4511" s="0" t="s">
        <v>14958</v>
      </c>
      <c r="D4511" s="0" t="s">
        <v>5</v>
      </c>
      <c r="E4511" s="0" t="e">
        <f aca="false">IFERROR(__xludf.dummyfunction("xlookup(aj3670,importrange("1xainw9du9nz21v0tyi))</f>
        <v>#VALUE!</v>
      </c>
      <c r="F4511" s="0" t="s">
        <v>14959</v>
      </c>
      <c r="G4511" s="0" t="s">
        <v>18698</v>
      </c>
    </row>
    <row r="4512" customFormat="false" ht="15" hidden="false" customHeight="false" outlineLevel="0" collapsed="false">
      <c r="A4512" s="0" t="n">
        <v>3671</v>
      </c>
      <c r="B4512" s="0" t="n">
        <v>22291</v>
      </c>
      <c r="C4512" s="0" t="s">
        <v>14963</v>
      </c>
      <c r="D4512" s="0" t="s">
        <v>5</v>
      </c>
      <c r="E4512" s="0" t="e">
        <f aca="false">IFERROR(__xludf.dummyfunction("xlookup(aj3671,importrange("1xainw9du9nz21v0tyi))</f>
        <v>#VALUE!</v>
      </c>
      <c r="F4512" s="0" t="s">
        <v>14964</v>
      </c>
      <c r="G4512" s="0" t="s">
        <v>18698</v>
      </c>
    </row>
    <row r="4513" customFormat="false" ht="15" hidden="false" customHeight="false" outlineLevel="0" collapsed="false">
      <c r="A4513" s="0" t="n">
        <v>3672</v>
      </c>
      <c r="B4513" s="0" t="n">
        <v>22292</v>
      </c>
      <c r="C4513" s="0" t="s">
        <v>14968</v>
      </c>
      <c r="D4513" s="0" t="s">
        <v>5</v>
      </c>
      <c r="E4513" s="0" t="e">
        <f aca="false">IFERROR(__xludf.dummyfunction("xlookup(aj3672,importrange("1xainw9du9nz21v0tyi))</f>
        <v>#VALUE!</v>
      </c>
      <c r="F4513" s="0" t="s">
        <v>14969</v>
      </c>
      <c r="G4513" s="0" t="s">
        <v>18698</v>
      </c>
    </row>
    <row r="4514" customFormat="false" ht="15" hidden="false" customHeight="false" outlineLevel="0" collapsed="false">
      <c r="A4514" s="0" t="n">
        <v>3673</v>
      </c>
      <c r="B4514" s="0" t="n">
        <v>22293</v>
      </c>
      <c r="C4514" s="0" t="s">
        <v>14973</v>
      </c>
      <c r="D4514" s="0" t="s">
        <v>5</v>
      </c>
      <c r="E4514" s="0" t="e">
        <f aca="false">IFERROR(__xludf.dummyfunction("xlookup(aj3673,importrange("1xainw9du9nz21v0tyi))</f>
        <v>#VALUE!</v>
      </c>
      <c r="F4514" s="0" t="s">
        <v>14974</v>
      </c>
      <c r="G4514" s="0" t="s">
        <v>18698</v>
      </c>
    </row>
    <row r="4515" customFormat="false" ht="15" hidden="false" customHeight="false" outlineLevel="0" collapsed="false">
      <c r="A4515" s="0" t="n">
        <v>3674</v>
      </c>
      <c r="B4515" s="0" t="n">
        <v>22294</v>
      </c>
      <c r="C4515" s="0" t="s">
        <v>14978</v>
      </c>
      <c r="D4515" s="0" t="s">
        <v>5</v>
      </c>
      <c r="E4515" s="0" t="e">
        <f aca="false">IFERROR(__xludf.dummyfunction("xlookup(aj3674,importrange("1xainw9du9nz21v0tyi))</f>
        <v>#VALUE!</v>
      </c>
      <c r="F4515" s="0" t="s">
        <v>14979</v>
      </c>
      <c r="G4515" s="0" t="s">
        <v>18698</v>
      </c>
    </row>
    <row r="4516" customFormat="false" ht="15" hidden="false" customHeight="false" outlineLevel="0" collapsed="false">
      <c r="A4516" s="0" t="n">
        <v>3675</v>
      </c>
      <c r="B4516" s="0" t="n">
        <v>22295</v>
      </c>
      <c r="C4516" s="0" t="s">
        <v>14984</v>
      </c>
      <c r="D4516" s="0" t="s">
        <v>5</v>
      </c>
      <c r="E4516" s="0" t="e">
        <f aca="false">IFERROR(__xludf.dummyfunction("xlookup(aj3675,importrange("1xainw9du9nz21v0tyi))</f>
        <v>#VALUE!</v>
      </c>
      <c r="F4516" s="0" t="s">
        <v>14985</v>
      </c>
      <c r="G4516" s="0" t="s">
        <v>18698</v>
      </c>
    </row>
    <row r="4517" customFormat="false" ht="15" hidden="false" customHeight="false" outlineLevel="0" collapsed="false">
      <c r="A4517" s="0" t="n">
        <v>3676</v>
      </c>
      <c r="B4517" s="0" t="n">
        <v>22296</v>
      </c>
      <c r="C4517" s="0" t="s">
        <v>14988</v>
      </c>
      <c r="D4517" s="0" t="s">
        <v>5</v>
      </c>
      <c r="E4517" s="0" t="e">
        <f aca="false">IFERROR(__xludf.dummyfunction("xlookup(aj3676,importrange("1xainw9du9nz21v0tyi))</f>
        <v>#VALUE!</v>
      </c>
      <c r="F4517" s="0" t="s">
        <v>14989</v>
      </c>
      <c r="G4517" s="0" t="s">
        <v>18698</v>
      </c>
    </row>
    <row r="4518" customFormat="false" ht="15" hidden="false" customHeight="false" outlineLevel="0" collapsed="false">
      <c r="A4518" s="0" t="n">
        <v>3677</v>
      </c>
      <c r="B4518" s="0" t="n">
        <v>22297</v>
      </c>
      <c r="C4518" s="0" t="s">
        <v>14992</v>
      </c>
      <c r="D4518" s="0" t="s">
        <v>5</v>
      </c>
      <c r="E4518" s="0" t="e">
        <f aca="false">IFERROR(__xludf.dummyfunction("xlookup(aj3677,importrange("1xainw9du9nz21v0tyi))</f>
        <v>#VALUE!</v>
      </c>
      <c r="F4518" s="0" t="s">
        <v>14993</v>
      </c>
      <c r="G4518" s="0" t="s">
        <v>18698</v>
      </c>
    </row>
    <row r="4519" customFormat="false" ht="15" hidden="false" customHeight="false" outlineLevel="0" collapsed="false">
      <c r="A4519" s="0" t="n">
        <v>3678</v>
      </c>
      <c r="B4519" s="0" t="n">
        <v>22298</v>
      </c>
      <c r="C4519" s="0" t="s">
        <v>14996</v>
      </c>
      <c r="D4519" s="0" t="s">
        <v>5</v>
      </c>
      <c r="E4519" s="0" t="e">
        <f aca="false">IFERROR(__xludf.dummyfunction("xlookup(aj3678,importrange("1xainw9du9nz21v0tyi))</f>
        <v>#VALUE!</v>
      </c>
      <c r="F4519" s="0" t="s">
        <v>14997</v>
      </c>
      <c r="G4519" s="0" t="s">
        <v>18698</v>
      </c>
    </row>
    <row r="4520" customFormat="false" ht="15" hidden="false" customHeight="false" outlineLevel="0" collapsed="false">
      <c r="A4520" s="0" t="n">
        <v>3679</v>
      </c>
      <c r="B4520" s="0" t="n">
        <v>22299</v>
      </c>
      <c r="C4520" s="0" t="s">
        <v>15000</v>
      </c>
      <c r="D4520" s="0" t="s">
        <v>5</v>
      </c>
      <c r="E4520" s="0" t="e">
        <f aca="false">IFERROR(__xludf.dummyfunction("xlookup(aj3679,importrange("1xainw9du9nz21v0tyi))</f>
        <v>#VALUE!</v>
      </c>
      <c r="F4520" s="0" t="s">
        <v>15001</v>
      </c>
      <c r="G4520" s="0" t="s">
        <v>18698</v>
      </c>
    </row>
    <row r="4521" customFormat="false" ht="15" hidden="false" customHeight="false" outlineLevel="0" collapsed="false">
      <c r="A4521" s="0" t="n">
        <v>3680</v>
      </c>
      <c r="B4521" s="0" t="n">
        <v>22300</v>
      </c>
      <c r="C4521" s="0" t="s">
        <v>15005</v>
      </c>
      <c r="D4521" s="0" t="s">
        <v>5</v>
      </c>
      <c r="E4521" s="0" t="e">
        <f aca="false">IFERROR(__xludf.dummyfunction("xlookup(aj3680,importrange("1xainw9du9nz21v0tyi))</f>
        <v>#VALUE!</v>
      </c>
      <c r="F4521" s="0" t="s">
        <v>15006</v>
      </c>
      <c r="G4521" s="0" t="s">
        <v>18698</v>
      </c>
    </row>
    <row r="4522" customFormat="false" ht="15" hidden="false" customHeight="false" outlineLevel="0" collapsed="false">
      <c r="A4522" s="0" t="n">
        <v>3681</v>
      </c>
      <c r="B4522" s="0" t="n">
        <v>22301</v>
      </c>
      <c r="C4522" s="0" t="s">
        <v>15010</v>
      </c>
      <c r="D4522" s="0" t="s">
        <v>5</v>
      </c>
      <c r="E4522" s="0" t="e">
        <f aca="false">IFERROR(__xludf.dummyfunction("xlookup(aj3681,importrange("1xainw9du9nz21v0tyi))</f>
        <v>#VALUE!</v>
      </c>
      <c r="F4522" s="0" t="s">
        <v>15011</v>
      </c>
      <c r="G4522" s="0" t="s">
        <v>18698</v>
      </c>
    </row>
    <row r="4523" customFormat="false" ht="15" hidden="false" customHeight="false" outlineLevel="0" collapsed="false">
      <c r="A4523" s="0" t="n">
        <v>3682</v>
      </c>
      <c r="B4523" s="0" t="n">
        <v>22302</v>
      </c>
      <c r="C4523" s="0" t="s">
        <v>15016</v>
      </c>
      <c r="D4523" s="0" t="s">
        <v>5</v>
      </c>
      <c r="E4523" s="0" t="e">
        <f aca="false">IFERROR(__xludf.dummyfunction("xlookup(aj3682,importrange("1xainw9du9nz21v0tyi))</f>
        <v>#VALUE!</v>
      </c>
      <c r="F4523" s="0" t="s">
        <v>15017</v>
      </c>
      <c r="G4523" s="0" t="s">
        <v>18698</v>
      </c>
    </row>
    <row r="4524" customFormat="false" ht="15" hidden="false" customHeight="false" outlineLevel="0" collapsed="false">
      <c r="A4524" s="0" t="n">
        <v>3683</v>
      </c>
      <c r="B4524" s="0" t="n">
        <v>22303</v>
      </c>
      <c r="C4524" s="0" t="s">
        <v>15020</v>
      </c>
      <c r="D4524" s="0" t="s">
        <v>5</v>
      </c>
      <c r="E4524" s="0" t="e">
        <f aca="false">IFERROR(__xludf.dummyfunction("xlookup(aj3683,importrange("1xainw9du9nz21v0tyi))</f>
        <v>#VALUE!</v>
      </c>
      <c r="F4524" s="0" t="s">
        <v>15021</v>
      </c>
      <c r="G4524" s="0" t="s">
        <v>18698</v>
      </c>
    </row>
    <row r="4525" customFormat="false" ht="15" hidden="false" customHeight="false" outlineLevel="0" collapsed="false">
      <c r="A4525" s="0" t="n">
        <v>3684</v>
      </c>
      <c r="B4525" s="0" t="n">
        <v>22304</v>
      </c>
      <c r="C4525" s="0" t="s">
        <v>15024</v>
      </c>
      <c r="D4525" s="0" t="s">
        <v>5</v>
      </c>
      <c r="E4525" s="0" t="e">
        <f aca="false">IFERROR(__xludf.dummyfunction("xlookup(aj3684,importrange("1xainw9du9nz21v0tyi))</f>
        <v>#VALUE!</v>
      </c>
      <c r="F4525" s="0" t="s">
        <v>15025</v>
      </c>
      <c r="G4525" s="0" t="s">
        <v>18698</v>
      </c>
    </row>
    <row r="4526" customFormat="false" ht="15" hidden="false" customHeight="false" outlineLevel="0" collapsed="false">
      <c r="A4526" s="0" t="n">
        <v>3685</v>
      </c>
      <c r="B4526" s="0" t="n">
        <v>22305</v>
      </c>
      <c r="C4526" s="0" t="s">
        <v>15028</v>
      </c>
      <c r="D4526" s="0" t="s">
        <v>5</v>
      </c>
      <c r="E4526" s="0" t="e">
        <f aca="false">IFERROR(__xludf.dummyfunction("xlookup(aj3685,importrange("1xainw9du9nz21v0tyi))</f>
        <v>#VALUE!</v>
      </c>
      <c r="F4526" s="0" t="s">
        <v>15029</v>
      </c>
      <c r="G4526" s="0" t="s">
        <v>18698</v>
      </c>
    </row>
    <row r="4527" customFormat="false" ht="15" hidden="false" customHeight="false" outlineLevel="0" collapsed="false">
      <c r="A4527" s="0" t="n">
        <v>3686</v>
      </c>
      <c r="B4527" s="0" t="n">
        <v>22306</v>
      </c>
      <c r="C4527" s="0" t="s">
        <v>15033</v>
      </c>
      <c r="D4527" s="0" t="s">
        <v>5</v>
      </c>
      <c r="E4527" s="0" t="e">
        <f aca="false">IFERROR(__xludf.dummyfunction("xlookup(aj3686,importrange("1xainw9du9nz21v0tyi))</f>
        <v>#VALUE!</v>
      </c>
      <c r="F4527" s="0" t="s">
        <v>15034</v>
      </c>
      <c r="G4527" s="0" t="s">
        <v>18698</v>
      </c>
    </row>
    <row r="4528" customFormat="false" ht="15" hidden="false" customHeight="false" outlineLevel="0" collapsed="false">
      <c r="A4528" s="0" t="n">
        <v>3687</v>
      </c>
      <c r="B4528" s="0" t="n">
        <v>22307</v>
      </c>
      <c r="C4528" s="0" t="s">
        <v>15037</v>
      </c>
      <c r="D4528" s="0" t="s">
        <v>5</v>
      </c>
      <c r="E4528" s="0" t="e">
        <f aca="false">IFERROR(__xludf.dummyfunction("xlookup(aj3687,importrange("1xainw9du9nz21v0tyi))</f>
        <v>#VALUE!</v>
      </c>
      <c r="F4528" s="0" t="s">
        <v>15038</v>
      </c>
      <c r="G4528" s="0" t="s">
        <v>18698</v>
      </c>
    </row>
    <row r="4529" customFormat="false" ht="15" hidden="false" customHeight="false" outlineLevel="0" collapsed="false">
      <c r="A4529" s="0" t="n">
        <v>3688</v>
      </c>
      <c r="B4529" s="0" t="n">
        <v>22308</v>
      </c>
      <c r="C4529" s="0" t="s">
        <v>15042</v>
      </c>
      <c r="D4529" s="0" t="s">
        <v>5</v>
      </c>
      <c r="E4529" s="0" t="e">
        <f aca="false">IFERROR(__xludf.dummyfunction("xlookup(aj3688,importrange("1xainw9du9nz21v0tyi))</f>
        <v>#VALUE!</v>
      </c>
      <c r="F4529" s="0" t="s">
        <v>15043</v>
      </c>
      <c r="G4529" s="0" t="s">
        <v>18698</v>
      </c>
    </row>
    <row r="4530" customFormat="false" ht="15" hidden="false" customHeight="false" outlineLevel="0" collapsed="false">
      <c r="A4530" s="0" t="n">
        <v>3689</v>
      </c>
      <c r="B4530" s="0" t="n">
        <v>22309</v>
      </c>
      <c r="C4530" s="0" t="s">
        <v>15046</v>
      </c>
      <c r="D4530" s="0" t="s">
        <v>5</v>
      </c>
      <c r="E4530" s="0" t="e">
        <f aca="false">IFERROR(__xludf.dummyfunction("xlookup(aj3689,importrange("1xainw9du9nz21v0tyi))</f>
        <v>#VALUE!</v>
      </c>
      <c r="F4530" s="0" t="s">
        <v>15047</v>
      </c>
      <c r="G4530" s="0" t="s">
        <v>18698</v>
      </c>
    </row>
    <row r="4531" customFormat="false" ht="15" hidden="false" customHeight="false" outlineLevel="0" collapsed="false">
      <c r="A4531" s="0" t="n">
        <v>3690</v>
      </c>
      <c r="B4531" s="0" t="n">
        <v>22310</v>
      </c>
      <c r="C4531" s="0" t="s">
        <v>15050</v>
      </c>
      <c r="D4531" s="0" t="s">
        <v>5</v>
      </c>
      <c r="E4531" s="0" t="e">
        <f aca="false">IFERROR(__xludf.dummyfunction("xlookup(aj3690,importrange("1xainw9du9nz21v0tyi))</f>
        <v>#VALUE!</v>
      </c>
      <c r="F4531" s="0" t="s">
        <v>15051</v>
      </c>
      <c r="G4531" s="0" t="s">
        <v>18698</v>
      </c>
    </row>
    <row r="4532" customFormat="false" ht="15" hidden="false" customHeight="false" outlineLevel="0" collapsed="false">
      <c r="A4532" s="0" t="n">
        <v>3691</v>
      </c>
      <c r="B4532" s="0" t="n">
        <v>22311</v>
      </c>
      <c r="C4532" s="0" t="s">
        <v>15054</v>
      </c>
      <c r="D4532" s="0" t="s">
        <v>5</v>
      </c>
      <c r="E4532" s="0" t="e">
        <f aca="false">IFERROR(__xludf.dummyfunction("xlookup(aj3691,importrange("1xainw9du9nz21v0tyi))</f>
        <v>#VALUE!</v>
      </c>
      <c r="F4532" s="0" t="s">
        <v>15055</v>
      </c>
      <c r="G4532" s="0" t="s">
        <v>18698</v>
      </c>
    </row>
    <row r="4533" customFormat="false" ht="15" hidden="false" customHeight="false" outlineLevel="0" collapsed="false">
      <c r="A4533" s="0" t="n">
        <v>3692</v>
      </c>
      <c r="B4533" s="0" t="n">
        <v>22312</v>
      </c>
      <c r="C4533" s="0" t="s">
        <v>15058</v>
      </c>
      <c r="D4533" s="0" t="s">
        <v>5</v>
      </c>
      <c r="E4533" s="0" t="e">
        <f aca="false">IFERROR(__xludf.dummyfunction("xlookup(aj3692,importrange("1xainw9du9nz21v0tyi))</f>
        <v>#VALUE!</v>
      </c>
      <c r="F4533" s="0" t="s">
        <v>15059</v>
      </c>
      <c r="G4533" s="0" t="s">
        <v>18698</v>
      </c>
    </row>
    <row r="4534" customFormat="false" ht="15" hidden="false" customHeight="false" outlineLevel="0" collapsed="false">
      <c r="A4534" s="0" t="n">
        <v>3693</v>
      </c>
      <c r="B4534" s="0" t="n">
        <v>22313</v>
      </c>
      <c r="C4534" s="0" t="s">
        <v>15063</v>
      </c>
      <c r="D4534" s="0" t="s">
        <v>5</v>
      </c>
      <c r="E4534" s="0" t="e">
        <f aca="false">IFERROR(__xludf.dummyfunction("xlookup(aj3693,importrange("1xainw9du9nz21v0tyi))</f>
        <v>#VALUE!</v>
      </c>
      <c r="F4534" s="0" t="s">
        <v>15064</v>
      </c>
      <c r="G4534" s="0" t="s">
        <v>18698</v>
      </c>
    </row>
    <row r="4535" customFormat="false" ht="15" hidden="false" customHeight="false" outlineLevel="0" collapsed="false">
      <c r="A4535" s="0" t="n">
        <v>3699</v>
      </c>
      <c r="B4535" s="0" t="n">
        <v>22319</v>
      </c>
      <c r="C4535" s="0" t="s">
        <v>15086</v>
      </c>
      <c r="D4535" s="0" t="s">
        <v>5</v>
      </c>
      <c r="E4535" s="0" t="e">
        <f aca="false">IFERROR(__xludf.dummyfunction("xlookup(aj3699,importrange("1xainw9du9nz21v0tyi))</f>
        <v>#VALUE!</v>
      </c>
      <c r="F4535" s="0" t="s">
        <v>15087</v>
      </c>
      <c r="G4535" s="0" t="s">
        <v>18698</v>
      </c>
    </row>
    <row r="4536" customFormat="false" ht="15" hidden="false" customHeight="false" outlineLevel="0" collapsed="false">
      <c r="A4536" s="0" t="n">
        <v>3700</v>
      </c>
      <c r="B4536" s="0" t="n">
        <v>22320</v>
      </c>
      <c r="C4536" s="0" t="s">
        <v>15090</v>
      </c>
      <c r="D4536" s="0" t="s">
        <v>5</v>
      </c>
      <c r="E4536" s="0" t="e">
        <f aca="false">IFERROR(__xludf.dummyfunction("xlookup(aj3700,importrange("1xainw9du9nz21v0tyi))</f>
        <v>#VALUE!</v>
      </c>
      <c r="F4536" s="0" t="s">
        <v>15091</v>
      </c>
      <c r="G4536" s="0" t="s">
        <v>18698</v>
      </c>
    </row>
    <row r="4537" customFormat="false" ht="15" hidden="false" customHeight="false" outlineLevel="0" collapsed="false">
      <c r="A4537" s="0" t="n">
        <v>3701</v>
      </c>
      <c r="B4537" s="0" t="n">
        <v>22321</v>
      </c>
      <c r="C4537" s="0" t="s">
        <v>15094</v>
      </c>
      <c r="D4537" s="0" t="s">
        <v>5</v>
      </c>
      <c r="E4537" s="0" t="e">
        <f aca="false">IFERROR(__xludf.dummyfunction("xlookup(aj3701,importrange("1xainw9du9nz21v0tyi))</f>
        <v>#VALUE!</v>
      </c>
      <c r="F4537" s="0" t="s">
        <v>15095</v>
      </c>
      <c r="G4537" s="0" t="s">
        <v>18698</v>
      </c>
    </row>
    <row r="4538" customFormat="false" ht="15" hidden="false" customHeight="false" outlineLevel="0" collapsed="false">
      <c r="A4538" s="0" t="n">
        <v>3703</v>
      </c>
      <c r="B4538" s="0" t="n">
        <v>22323</v>
      </c>
      <c r="C4538" s="0" t="s">
        <v>15102</v>
      </c>
      <c r="D4538" s="0" t="s">
        <v>5</v>
      </c>
      <c r="E4538" s="0" t="e">
        <f aca="false">IFERROR(__xludf.dummyfunction("xlookup(aj3703,importrange("1xainw9du9nz21v0tyi))</f>
        <v>#VALUE!</v>
      </c>
      <c r="F4538" s="0" t="s">
        <v>15104</v>
      </c>
      <c r="G4538" s="0" t="s">
        <v>18698</v>
      </c>
    </row>
    <row r="4539" customFormat="false" ht="15" hidden="false" customHeight="false" outlineLevel="0" collapsed="false">
      <c r="A4539" s="0" t="n">
        <v>3704</v>
      </c>
      <c r="B4539" s="0" t="n">
        <v>22324</v>
      </c>
      <c r="C4539" s="0" t="s">
        <v>15107</v>
      </c>
      <c r="D4539" s="0" t="s">
        <v>5</v>
      </c>
      <c r="E4539" s="0" t="e">
        <f aca="false">IFERROR(__xludf.dummyfunction("xlookup(aj3704,importrange("1xainw9du9nz21v0tyi))</f>
        <v>#VALUE!</v>
      </c>
      <c r="F4539" s="0" t="s">
        <v>15108</v>
      </c>
      <c r="G4539" s="0" t="s">
        <v>18698</v>
      </c>
    </row>
    <row r="4540" customFormat="false" ht="15" hidden="false" customHeight="false" outlineLevel="0" collapsed="false">
      <c r="A4540" s="0" t="n">
        <v>3705</v>
      </c>
      <c r="B4540" s="0" t="n">
        <v>22325</v>
      </c>
      <c r="C4540" s="0" t="s">
        <v>15111</v>
      </c>
      <c r="D4540" s="0" t="s">
        <v>5</v>
      </c>
      <c r="E4540" s="0" t="e">
        <f aca="false">IFERROR(__xludf.dummyfunction("xlookup(aj3705,importrange("1xainw9du9nz21v0tyi))</f>
        <v>#VALUE!</v>
      </c>
      <c r="F4540" s="0" t="s">
        <v>15112</v>
      </c>
      <c r="G4540" s="0" t="s">
        <v>18698</v>
      </c>
    </row>
    <row r="4541" customFormat="false" ht="15" hidden="false" customHeight="false" outlineLevel="0" collapsed="false">
      <c r="A4541" s="0" t="n">
        <v>3706</v>
      </c>
      <c r="B4541" s="0" t="n">
        <v>22326</v>
      </c>
      <c r="C4541" s="0" t="s">
        <v>15115</v>
      </c>
      <c r="D4541" s="0" t="s">
        <v>5</v>
      </c>
      <c r="E4541" s="0" t="e">
        <f aca="false">IFERROR(__xludf.dummyfunction("xlookup(aj3706,importrange("1xainw9du9nz21v0tyi))</f>
        <v>#VALUE!</v>
      </c>
      <c r="F4541" s="0" t="s">
        <v>15116</v>
      </c>
      <c r="G4541" s="0" t="s">
        <v>18698</v>
      </c>
    </row>
    <row r="4542" customFormat="false" ht="15" hidden="false" customHeight="false" outlineLevel="0" collapsed="false">
      <c r="A4542" s="0" t="n">
        <v>3707</v>
      </c>
      <c r="B4542" s="0" t="n">
        <v>22327</v>
      </c>
      <c r="C4542" s="0" t="s">
        <v>15120</v>
      </c>
      <c r="D4542" s="0" t="s">
        <v>5</v>
      </c>
      <c r="E4542" s="0" t="e">
        <f aca="false">IFERROR(__xludf.dummyfunction("xlookup(aj3707,importrange("1xainw9du9nz21v0tyi))</f>
        <v>#VALUE!</v>
      </c>
      <c r="F4542" s="0" t="s">
        <v>15121</v>
      </c>
      <c r="G4542" s="0" t="s">
        <v>18698</v>
      </c>
    </row>
    <row r="4543" customFormat="false" ht="15" hidden="false" customHeight="false" outlineLevel="0" collapsed="false">
      <c r="A4543" s="0" t="n">
        <v>3708</v>
      </c>
      <c r="B4543" s="0" t="n">
        <v>22328</v>
      </c>
      <c r="C4543" s="0" t="s">
        <v>15124</v>
      </c>
      <c r="D4543" s="0" t="s">
        <v>5</v>
      </c>
      <c r="E4543" s="0" t="e">
        <f aca="false">IFERROR(__xludf.dummyfunction("xlookup(aj3708,importrange("1xainw9du9nz21v0tyi))</f>
        <v>#VALUE!</v>
      </c>
      <c r="F4543" s="0" t="s">
        <v>15125</v>
      </c>
      <c r="G4543" s="0" t="s">
        <v>18698</v>
      </c>
    </row>
    <row r="4544" customFormat="false" ht="15" hidden="false" customHeight="false" outlineLevel="0" collapsed="false">
      <c r="A4544" s="0" t="n">
        <v>3709</v>
      </c>
      <c r="B4544" s="0" t="n">
        <v>22329</v>
      </c>
      <c r="C4544" s="0" t="s">
        <v>15128</v>
      </c>
      <c r="D4544" s="0" t="s">
        <v>5</v>
      </c>
      <c r="E4544" s="0" t="e">
        <f aca="false">IFERROR(__xludf.dummyfunction("xlookup(aj3709,importrange("1xainw9du9nz21v0tyi))</f>
        <v>#VALUE!</v>
      </c>
      <c r="F4544" s="0" t="s">
        <v>15129</v>
      </c>
      <c r="G4544" s="0" t="s">
        <v>18698</v>
      </c>
    </row>
    <row r="4545" customFormat="false" ht="15" hidden="false" customHeight="false" outlineLevel="0" collapsed="false">
      <c r="A4545" s="0" t="n">
        <v>3710</v>
      </c>
      <c r="B4545" s="0" t="n">
        <v>22330</v>
      </c>
      <c r="C4545" s="0" t="s">
        <v>15132</v>
      </c>
      <c r="D4545" s="0" t="s">
        <v>5</v>
      </c>
      <c r="E4545" s="0" t="e">
        <f aca="false">IFERROR(__xludf.dummyfunction("xlookup(aj3710,importrange("1xainw9du9nz21v0tyi))</f>
        <v>#VALUE!</v>
      </c>
      <c r="F4545" s="0" t="s">
        <v>15134</v>
      </c>
      <c r="G4545" s="0" t="s">
        <v>18698</v>
      </c>
    </row>
    <row r="4546" customFormat="false" ht="15" hidden="false" customHeight="false" outlineLevel="0" collapsed="false">
      <c r="A4546" s="0" t="n">
        <v>3711</v>
      </c>
      <c r="B4546" s="0" t="n">
        <v>22331</v>
      </c>
      <c r="C4546" s="0" t="s">
        <v>15138</v>
      </c>
      <c r="D4546" s="0" t="s">
        <v>5</v>
      </c>
      <c r="E4546" s="0" t="e">
        <f aca="false">IFERROR(__xludf.dummyfunction("xlookup(aj3711,importrange("1xainw9du9nz21v0tyi))</f>
        <v>#VALUE!</v>
      </c>
      <c r="F4546" s="0" t="s">
        <v>15139</v>
      </c>
      <c r="G4546" s="0" t="s">
        <v>18698</v>
      </c>
    </row>
    <row r="4547" customFormat="false" ht="15" hidden="false" customHeight="false" outlineLevel="0" collapsed="false">
      <c r="A4547" s="0" t="n">
        <v>3712</v>
      </c>
      <c r="B4547" s="0" t="n">
        <v>22332</v>
      </c>
      <c r="C4547" s="0" t="s">
        <v>15142</v>
      </c>
      <c r="D4547" s="0" t="s">
        <v>5</v>
      </c>
      <c r="E4547" s="0" t="e">
        <f aca="false">IFERROR(__xludf.dummyfunction("xlookup(aj3712,importrange("1xainw9du9nz21v0tyi))</f>
        <v>#VALUE!</v>
      </c>
      <c r="F4547" s="0" t="s">
        <v>15143</v>
      </c>
      <c r="G4547" s="0" t="s">
        <v>18698</v>
      </c>
    </row>
    <row r="4548" customFormat="false" ht="15" hidden="false" customHeight="false" outlineLevel="0" collapsed="false">
      <c r="A4548" s="0" t="n">
        <v>3713</v>
      </c>
      <c r="B4548" s="0" t="n">
        <v>22333</v>
      </c>
      <c r="C4548" s="0" t="s">
        <v>15146</v>
      </c>
      <c r="D4548" s="0" t="s">
        <v>5</v>
      </c>
      <c r="E4548" s="0" t="e">
        <f aca="false">IFERROR(__xludf.dummyfunction("xlookup(aj3713,importrange("1xainw9du9nz21v0tyi))</f>
        <v>#VALUE!</v>
      </c>
      <c r="F4548" s="0" t="s">
        <v>15147</v>
      </c>
      <c r="G4548" s="0" t="s">
        <v>18698</v>
      </c>
    </row>
    <row r="4549" customFormat="false" ht="15" hidden="false" customHeight="false" outlineLevel="0" collapsed="false">
      <c r="A4549" s="0" t="n">
        <v>3714</v>
      </c>
      <c r="B4549" s="0" t="n">
        <v>22334</v>
      </c>
      <c r="C4549" s="0" t="s">
        <v>15150</v>
      </c>
      <c r="D4549" s="0" t="s">
        <v>5</v>
      </c>
      <c r="E4549" s="0" t="e">
        <f aca="false">IFERROR(__xludf.dummyfunction("xlookup(aj3714,importrange("1xainw9du9nz21v0tyi))</f>
        <v>#VALUE!</v>
      </c>
      <c r="F4549" s="0" t="s">
        <v>15151</v>
      </c>
      <c r="G4549" s="0" t="s">
        <v>18698</v>
      </c>
    </row>
    <row r="4550" customFormat="false" ht="15" hidden="false" customHeight="false" outlineLevel="0" collapsed="false">
      <c r="A4550" s="0" t="n">
        <v>3715</v>
      </c>
      <c r="B4550" s="0" t="n">
        <v>22335</v>
      </c>
      <c r="C4550" s="0" t="s">
        <v>15154</v>
      </c>
      <c r="D4550" s="0" t="s">
        <v>5</v>
      </c>
      <c r="E4550" s="0" t="e">
        <f aca="false">IFERROR(__xludf.dummyfunction("xlookup(aj3715,importrange("1xainw9du9nz21v0tyi))</f>
        <v>#VALUE!</v>
      </c>
      <c r="F4550" s="0" t="s">
        <v>15155</v>
      </c>
      <c r="G4550" s="0" t="s">
        <v>18698</v>
      </c>
    </row>
    <row r="4551" customFormat="false" ht="15" hidden="false" customHeight="false" outlineLevel="0" collapsed="false">
      <c r="A4551" s="0" t="n">
        <v>3716</v>
      </c>
      <c r="B4551" s="0" t="n">
        <v>22336</v>
      </c>
      <c r="C4551" s="0" t="s">
        <v>15158</v>
      </c>
      <c r="D4551" s="0" t="s">
        <v>5</v>
      </c>
      <c r="E4551" s="0" t="e">
        <f aca="false">IFERROR(__xludf.dummyfunction("xlookup(aj3716,importrange("1xainw9du9nz21v0tyi))</f>
        <v>#VALUE!</v>
      </c>
      <c r="F4551" s="0" t="s">
        <v>15159</v>
      </c>
      <c r="G4551" s="0" t="s">
        <v>18698</v>
      </c>
    </row>
    <row r="4552" customFormat="false" ht="15" hidden="false" customHeight="false" outlineLevel="0" collapsed="false">
      <c r="A4552" s="0" t="n">
        <v>3717</v>
      </c>
      <c r="B4552" s="0" t="n">
        <v>22337</v>
      </c>
      <c r="C4552" s="0" t="s">
        <v>15162</v>
      </c>
      <c r="D4552" s="0" t="s">
        <v>5</v>
      </c>
      <c r="E4552" s="0" t="e">
        <f aca="false">IFERROR(__xludf.dummyfunction("xlookup(aj3717,importrange("1xainw9du9nz21v0tyi))</f>
        <v>#VALUE!</v>
      </c>
      <c r="F4552" s="0" t="s">
        <v>15163</v>
      </c>
      <c r="G4552" s="0" t="s">
        <v>18698</v>
      </c>
    </row>
    <row r="4553" customFormat="false" ht="15" hidden="false" customHeight="false" outlineLevel="0" collapsed="false">
      <c r="A4553" s="0" t="n">
        <v>3718</v>
      </c>
      <c r="B4553" s="0" t="n">
        <v>22338</v>
      </c>
      <c r="C4553" s="0" t="s">
        <v>15166</v>
      </c>
      <c r="D4553" s="0" t="s">
        <v>5</v>
      </c>
      <c r="E4553" s="0" t="e">
        <f aca="false">IFERROR(__xludf.dummyfunction("xlookup(aj3718,importrange("1xainw9du9nz21v0tyi))</f>
        <v>#VALUE!</v>
      </c>
      <c r="F4553" s="0" t="s">
        <v>15167</v>
      </c>
      <c r="G4553" s="0" t="s">
        <v>18698</v>
      </c>
    </row>
    <row r="4554" customFormat="false" ht="15" hidden="false" customHeight="false" outlineLevel="0" collapsed="false">
      <c r="A4554" s="0" t="n">
        <v>3719</v>
      </c>
      <c r="B4554" s="0" t="n">
        <v>22339</v>
      </c>
      <c r="C4554" s="0" t="s">
        <v>15170</v>
      </c>
      <c r="D4554" s="0" t="s">
        <v>5</v>
      </c>
      <c r="E4554" s="0" t="e">
        <f aca="false">IFERROR(__xludf.dummyfunction("xlookup(aj3719,importrange("1xainw9du9nz21v0tyi))</f>
        <v>#VALUE!</v>
      </c>
      <c r="F4554" s="0" t="s">
        <v>15171</v>
      </c>
      <c r="G4554" s="0" t="s">
        <v>18698</v>
      </c>
    </row>
    <row r="4555" customFormat="false" ht="15" hidden="false" customHeight="false" outlineLevel="0" collapsed="false">
      <c r="A4555" s="0" t="n">
        <v>3720</v>
      </c>
      <c r="B4555" s="0" t="n">
        <v>22340</v>
      </c>
      <c r="C4555" s="0" t="s">
        <v>15174</v>
      </c>
      <c r="D4555" s="0" t="s">
        <v>5</v>
      </c>
      <c r="E4555" s="0" t="e">
        <f aca="false">IFERROR(__xludf.dummyfunction("xlookup(aj3720,importrange("1xainw9du9nz21v0tyi))</f>
        <v>#VALUE!</v>
      </c>
      <c r="F4555" s="0" t="s">
        <v>15175</v>
      </c>
      <c r="G4555" s="0" t="s">
        <v>18698</v>
      </c>
    </row>
    <row r="4556" customFormat="false" ht="15" hidden="false" customHeight="false" outlineLevel="0" collapsed="false">
      <c r="A4556" s="0" t="n">
        <v>3721</v>
      </c>
      <c r="B4556" s="0" t="n">
        <v>22341</v>
      </c>
      <c r="C4556" s="0" t="s">
        <v>15178</v>
      </c>
      <c r="D4556" s="0" t="s">
        <v>5</v>
      </c>
      <c r="E4556" s="0" t="e">
        <f aca="false">IFERROR(__xludf.dummyfunction("xlookup(aj3721,importrange("1xainw9du9nz21v0tyi))</f>
        <v>#VALUE!</v>
      </c>
      <c r="F4556" s="0" t="s">
        <v>15179</v>
      </c>
      <c r="G4556" s="0" t="s">
        <v>18698</v>
      </c>
    </row>
    <row r="4557" customFormat="false" ht="15" hidden="false" customHeight="false" outlineLevel="0" collapsed="false">
      <c r="A4557" s="0" t="n">
        <v>3722</v>
      </c>
      <c r="B4557" s="0" t="n">
        <v>22342</v>
      </c>
      <c r="C4557" s="0" t="s">
        <v>15182</v>
      </c>
      <c r="D4557" s="0" t="s">
        <v>5</v>
      </c>
      <c r="E4557" s="0" t="e">
        <f aca="false">IFERROR(__xludf.dummyfunction("xlookup(aj3722,importrange("1xainw9du9nz21v0tyi))</f>
        <v>#VALUE!</v>
      </c>
      <c r="F4557" s="0" t="s">
        <v>15183</v>
      </c>
      <c r="G4557" s="0" t="s">
        <v>18698</v>
      </c>
    </row>
    <row r="4558" customFormat="false" ht="15" hidden="false" customHeight="false" outlineLevel="0" collapsed="false">
      <c r="A4558" s="0" t="n">
        <v>3723</v>
      </c>
      <c r="B4558" s="0" t="n">
        <v>22343</v>
      </c>
      <c r="C4558" s="0" t="s">
        <v>15187</v>
      </c>
      <c r="D4558" s="0" t="s">
        <v>5</v>
      </c>
      <c r="E4558" s="0" t="e">
        <f aca="false">IFERROR(__xludf.dummyfunction("xlookup(aj3723,importrange("1xainw9du9nz21v0tyi))</f>
        <v>#VALUE!</v>
      </c>
      <c r="F4558" s="0" t="s">
        <v>15188</v>
      </c>
      <c r="G4558" s="0" t="s">
        <v>18698</v>
      </c>
    </row>
    <row r="4559" customFormat="false" ht="15" hidden="false" customHeight="false" outlineLevel="0" collapsed="false">
      <c r="A4559" s="0" t="n">
        <v>3724</v>
      </c>
      <c r="B4559" s="0" t="n">
        <v>22344</v>
      </c>
      <c r="C4559" s="0" t="s">
        <v>15192</v>
      </c>
      <c r="D4559" s="0" t="s">
        <v>5</v>
      </c>
      <c r="E4559" s="0" t="e">
        <f aca="false">IFERROR(__xludf.dummyfunction("xlookup(aj3724,importrange("1xainw9du9nz21v0tyi))</f>
        <v>#VALUE!</v>
      </c>
      <c r="F4559" s="0" t="s">
        <v>15193</v>
      </c>
      <c r="G4559" s="0" t="s">
        <v>18698</v>
      </c>
    </row>
    <row r="4560" customFormat="false" ht="15" hidden="false" customHeight="false" outlineLevel="0" collapsed="false">
      <c r="A4560" s="0" t="n">
        <v>3725</v>
      </c>
      <c r="B4560" s="0" t="n">
        <v>22345</v>
      </c>
      <c r="C4560" s="0" t="s">
        <v>15196</v>
      </c>
      <c r="D4560" s="0" t="s">
        <v>5</v>
      </c>
      <c r="E4560" s="0" t="e">
        <f aca="false">IFERROR(__xludf.dummyfunction("xlookup(aj3725,importrange("1xainw9du9nz21v0tyi))</f>
        <v>#VALUE!</v>
      </c>
      <c r="F4560" s="0" t="s">
        <v>15197</v>
      </c>
      <c r="G4560" s="0" t="s">
        <v>18698</v>
      </c>
    </row>
    <row r="4561" customFormat="false" ht="15" hidden="false" customHeight="false" outlineLevel="0" collapsed="false">
      <c r="A4561" s="0" t="n">
        <v>3726</v>
      </c>
      <c r="B4561" s="0" t="n">
        <v>22346</v>
      </c>
      <c r="C4561" s="0" t="s">
        <v>15201</v>
      </c>
      <c r="D4561" s="0" t="s">
        <v>5</v>
      </c>
      <c r="E4561" s="0" t="e">
        <f aca="false">IFERROR(__xludf.dummyfunction("xlookup(aj3726,importrange("1xainw9du9nz21v0tyi))</f>
        <v>#VALUE!</v>
      </c>
      <c r="F4561" s="0" t="s">
        <v>15202</v>
      </c>
      <c r="G4561" s="0" t="s">
        <v>18698</v>
      </c>
    </row>
    <row r="4562" customFormat="false" ht="15" hidden="false" customHeight="false" outlineLevel="0" collapsed="false">
      <c r="A4562" s="0" t="n">
        <v>3727</v>
      </c>
      <c r="B4562" s="0" t="n">
        <v>22347</v>
      </c>
      <c r="C4562" s="0" t="s">
        <v>15206</v>
      </c>
      <c r="D4562" s="0" t="s">
        <v>5</v>
      </c>
      <c r="E4562" s="0" t="e">
        <f aca="false">IFERROR(__xludf.dummyfunction("xlookup(aj3727,importrange("1xainw9du9nz21v0tyi))</f>
        <v>#VALUE!</v>
      </c>
      <c r="F4562" s="0" t="s">
        <v>15207</v>
      </c>
      <c r="G4562" s="0" t="s">
        <v>18698</v>
      </c>
    </row>
    <row r="4563" customFormat="false" ht="15" hidden="false" customHeight="false" outlineLevel="0" collapsed="false">
      <c r="A4563" s="0" t="n">
        <v>3728</v>
      </c>
      <c r="B4563" s="0" t="n">
        <v>22348</v>
      </c>
      <c r="C4563" s="0" t="s">
        <v>15210</v>
      </c>
      <c r="D4563" s="0" t="s">
        <v>5</v>
      </c>
      <c r="E4563" s="0" t="e">
        <f aca="false">IFERROR(__xludf.dummyfunction("xlookup(aj3728,importrange("1xainw9du9nz21v0tyi))</f>
        <v>#VALUE!</v>
      </c>
      <c r="F4563" s="0" t="s">
        <v>15211</v>
      </c>
      <c r="G4563" s="0" t="s">
        <v>18698</v>
      </c>
    </row>
    <row r="4564" customFormat="false" ht="15" hidden="false" customHeight="false" outlineLevel="0" collapsed="false">
      <c r="A4564" s="0" t="n">
        <v>3729</v>
      </c>
      <c r="B4564" s="0" t="n">
        <v>22349</v>
      </c>
      <c r="C4564" s="0" t="s">
        <v>15214</v>
      </c>
      <c r="D4564" s="0" t="s">
        <v>5</v>
      </c>
      <c r="E4564" s="0" t="e">
        <f aca="false">IFERROR(__xludf.dummyfunction("xlookup(aj3729,importrange("1xainw9du9nz21v0tyi))</f>
        <v>#VALUE!</v>
      </c>
      <c r="F4564" s="0" t="s">
        <v>15215</v>
      </c>
      <c r="G4564" s="0" t="s">
        <v>18698</v>
      </c>
    </row>
    <row r="4565" customFormat="false" ht="15" hidden="false" customHeight="false" outlineLevel="0" collapsed="false">
      <c r="A4565" s="0" t="n">
        <v>3730</v>
      </c>
      <c r="B4565" s="0" t="n">
        <v>22350</v>
      </c>
      <c r="C4565" s="0" t="s">
        <v>15218</v>
      </c>
      <c r="D4565" s="0" t="s">
        <v>5</v>
      </c>
      <c r="E4565" s="0" t="e">
        <f aca="false">IFERROR(__xludf.dummyfunction("xlookup(aj3730,importrange("1xainw9du9nz21v0tyi))</f>
        <v>#VALUE!</v>
      </c>
      <c r="F4565" s="0" t="s">
        <v>15219</v>
      </c>
      <c r="G4565" s="0" t="s">
        <v>18698</v>
      </c>
    </row>
    <row r="4566" customFormat="false" ht="15" hidden="false" customHeight="false" outlineLevel="0" collapsed="false">
      <c r="A4566" s="0" t="n">
        <v>3731</v>
      </c>
      <c r="B4566" s="0" t="n">
        <v>22351</v>
      </c>
      <c r="C4566" s="0" t="s">
        <v>14568</v>
      </c>
      <c r="D4566" s="0" t="s">
        <v>5</v>
      </c>
      <c r="E4566" s="0" t="e">
        <f aca="false">IFERROR(__xludf.dummyfunction("xlookup(aj3731,importrange("1xainw9du9nz21v0tyi))</f>
        <v>#VALUE!</v>
      </c>
      <c r="F4566" s="0" t="s">
        <v>15222</v>
      </c>
      <c r="G4566" s="0" t="s">
        <v>18698</v>
      </c>
    </row>
    <row r="4567" customFormat="false" ht="15" hidden="false" customHeight="false" outlineLevel="0" collapsed="false">
      <c r="A4567" s="0" t="n">
        <v>3732</v>
      </c>
      <c r="B4567" s="0" t="n">
        <v>22352</v>
      </c>
      <c r="C4567" s="0" t="s">
        <v>15225</v>
      </c>
      <c r="D4567" s="0" t="s">
        <v>5</v>
      </c>
      <c r="E4567" s="0" t="e">
        <f aca="false">IFERROR(__xludf.dummyfunction("xlookup(aj3732,importrange("1xainw9du9nz21v0tyi))</f>
        <v>#VALUE!</v>
      </c>
      <c r="F4567" s="0" t="s">
        <v>15226</v>
      </c>
      <c r="G4567" s="0" t="s">
        <v>18698</v>
      </c>
    </row>
    <row r="4568" customFormat="false" ht="15" hidden="false" customHeight="false" outlineLevel="0" collapsed="false">
      <c r="A4568" s="0" t="n">
        <v>3733</v>
      </c>
      <c r="B4568" s="0" t="n">
        <v>22353</v>
      </c>
      <c r="C4568" s="0" t="s">
        <v>15229</v>
      </c>
      <c r="D4568" s="0" t="s">
        <v>5</v>
      </c>
      <c r="E4568" s="0" t="e">
        <f aca="false">IFERROR(__xludf.dummyfunction("xlookup(aj3733,importrange("1xainw9du9nz21v0tyi))</f>
        <v>#VALUE!</v>
      </c>
      <c r="F4568" s="0" t="s">
        <v>15230</v>
      </c>
      <c r="G4568" s="0" t="s">
        <v>18698</v>
      </c>
    </row>
    <row r="4569" customFormat="false" ht="15" hidden="false" customHeight="false" outlineLevel="0" collapsed="false">
      <c r="A4569" s="0" t="n">
        <v>3734</v>
      </c>
      <c r="B4569" s="0" t="n">
        <v>22354</v>
      </c>
      <c r="C4569" s="0" t="s">
        <v>15233</v>
      </c>
      <c r="D4569" s="0" t="s">
        <v>5</v>
      </c>
      <c r="E4569" s="0" t="e">
        <f aca="false">IFERROR(__xludf.dummyfunction("xlookup(aj3734,importrange("1xainw9du9nz21v0tyi))</f>
        <v>#VALUE!</v>
      </c>
      <c r="F4569" s="0" t="s">
        <v>15234</v>
      </c>
      <c r="G4569" s="0" t="s">
        <v>18698</v>
      </c>
    </row>
    <row r="4570" customFormat="false" ht="15" hidden="false" customHeight="false" outlineLevel="0" collapsed="false">
      <c r="A4570" s="0" t="n">
        <v>3735</v>
      </c>
      <c r="B4570" s="0" t="n">
        <v>22355</v>
      </c>
      <c r="C4570" s="0" t="s">
        <v>15237</v>
      </c>
      <c r="D4570" s="0" t="s">
        <v>5</v>
      </c>
      <c r="E4570" s="0" t="e">
        <f aca="false">IFERROR(__xludf.dummyfunction("xlookup(aj3735,importrange("1xainw9du9nz21v0tyi))</f>
        <v>#VALUE!</v>
      </c>
      <c r="F4570" s="0" t="s">
        <v>15238</v>
      </c>
      <c r="G4570" s="0" t="s">
        <v>18698</v>
      </c>
    </row>
    <row r="4571" customFormat="false" ht="15" hidden="false" customHeight="false" outlineLevel="0" collapsed="false">
      <c r="A4571" s="0" t="n">
        <v>3736</v>
      </c>
      <c r="B4571" s="0" t="n">
        <v>22356</v>
      </c>
      <c r="C4571" s="0" t="s">
        <v>15241</v>
      </c>
      <c r="D4571" s="0" t="s">
        <v>5</v>
      </c>
      <c r="E4571" s="0" t="e">
        <f aca="false">IFERROR(__xludf.dummyfunction("xlookup(aj3736,importrange("1xainw9du9nz21v0tyi))</f>
        <v>#VALUE!</v>
      </c>
      <c r="F4571" s="0" t="s">
        <v>15242</v>
      </c>
      <c r="G4571" s="0" t="s">
        <v>18698</v>
      </c>
    </row>
    <row r="4572" customFormat="false" ht="15" hidden="false" customHeight="false" outlineLevel="0" collapsed="false">
      <c r="A4572" s="0" t="n">
        <v>3737</v>
      </c>
      <c r="B4572" s="0" t="n">
        <v>22357</v>
      </c>
      <c r="C4572" s="0" t="s">
        <v>15245</v>
      </c>
      <c r="D4572" s="0" t="s">
        <v>5</v>
      </c>
      <c r="E4572" s="0" t="e">
        <f aca="false">IFERROR(__xludf.dummyfunction("xlookup(aj3737,importrange("1xainw9du9nz21v0tyi))</f>
        <v>#VALUE!</v>
      </c>
      <c r="F4572" s="0" t="s">
        <v>15246</v>
      </c>
      <c r="G4572" s="0" t="s">
        <v>18698</v>
      </c>
    </row>
    <row r="4573" customFormat="false" ht="15" hidden="false" customHeight="false" outlineLevel="0" collapsed="false">
      <c r="A4573" s="0" t="n">
        <v>3738</v>
      </c>
      <c r="B4573" s="0" t="n">
        <v>22358</v>
      </c>
      <c r="C4573" s="0" t="s">
        <v>15249</v>
      </c>
      <c r="D4573" s="0" t="s">
        <v>5</v>
      </c>
      <c r="E4573" s="0" t="e">
        <f aca="false">IFERROR(__xludf.dummyfunction("xlookup(aj3738,importrange("1xainw9du9nz21v0tyi))</f>
        <v>#VALUE!</v>
      </c>
      <c r="F4573" s="0" t="s">
        <v>15250</v>
      </c>
      <c r="G4573" s="0" t="s">
        <v>18698</v>
      </c>
    </row>
    <row r="4574" customFormat="false" ht="15" hidden="false" customHeight="false" outlineLevel="0" collapsed="false">
      <c r="A4574" s="0" t="n">
        <v>3739</v>
      </c>
      <c r="B4574" s="0" t="n">
        <v>22359</v>
      </c>
      <c r="C4574" s="0" t="s">
        <v>15254</v>
      </c>
      <c r="D4574" s="0" t="s">
        <v>5</v>
      </c>
      <c r="E4574" s="0" t="e">
        <f aca="false">IFERROR(__xludf.dummyfunction("xlookup(aj3739,importrange("1xainw9du9nz21v0tyi))</f>
        <v>#VALUE!</v>
      </c>
      <c r="F4574" s="0" t="s">
        <v>15255</v>
      </c>
      <c r="G4574" s="0" t="s">
        <v>18698</v>
      </c>
    </row>
    <row r="4575" customFormat="false" ht="15" hidden="false" customHeight="false" outlineLevel="0" collapsed="false">
      <c r="A4575" s="0" t="n">
        <v>3740</v>
      </c>
      <c r="B4575" s="0" t="n">
        <v>22360</v>
      </c>
      <c r="C4575" s="0" t="s">
        <v>15258</v>
      </c>
      <c r="D4575" s="0" t="s">
        <v>5</v>
      </c>
      <c r="E4575" s="0" t="e">
        <f aca="false">IFERROR(__xludf.dummyfunction("xlookup(aj3740,importrange("1xainw9du9nz21v0tyi))</f>
        <v>#VALUE!</v>
      </c>
      <c r="F4575" s="0" t="s">
        <v>15259</v>
      </c>
      <c r="G4575" s="0" t="s">
        <v>18698</v>
      </c>
    </row>
    <row r="4576" customFormat="false" ht="15" hidden="false" customHeight="false" outlineLevel="0" collapsed="false">
      <c r="A4576" s="0" t="n">
        <v>3741</v>
      </c>
      <c r="B4576" s="0" t="n">
        <v>22361</v>
      </c>
      <c r="C4576" s="0" t="s">
        <v>15263</v>
      </c>
      <c r="D4576" s="0" t="s">
        <v>5</v>
      </c>
      <c r="E4576" s="0" t="e">
        <f aca="false">IFERROR(__xludf.dummyfunction("xlookup(aj3741,importrange("1xainw9du9nz21v0tyi))</f>
        <v>#VALUE!</v>
      </c>
      <c r="F4576" s="0" t="s">
        <v>15264</v>
      </c>
      <c r="G4576" s="0" t="s">
        <v>18698</v>
      </c>
    </row>
    <row r="4577" customFormat="false" ht="15" hidden="false" customHeight="false" outlineLevel="0" collapsed="false">
      <c r="A4577" s="0" t="n">
        <v>3742</v>
      </c>
      <c r="B4577" s="0" t="n">
        <v>22362</v>
      </c>
      <c r="C4577" s="0" t="s">
        <v>15267</v>
      </c>
      <c r="D4577" s="0" t="s">
        <v>5</v>
      </c>
      <c r="E4577" s="0" t="e">
        <f aca="false">IFERROR(__xludf.dummyfunction("xlookup(aj3742,importrange("1xainw9du9nz21v0tyi))</f>
        <v>#VALUE!</v>
      </c>
      <c r="F4577" s="0" t="s">
        <v>15268</v>
      </c>
      <c r="G4577" s="0" t="s">
        <v>18698</v>
      </c>
    </row>
    <row r="4578" customFormat="false" ht="15" hidden="false" customHeight="false" outlineLevel="0" collapsed="false">
      <c r="A4578" s="0" t="n">
        <v>3743</v>
      </c>
      <c r="B4578" s="0" t="n">
        <v>22363</v>
      </c>
      <c r="C4578" s="0" t="s">
        <v>15271</v>
      </c>
      <c r="D4578" s="0" t="s">
        <v>5</v>
      </c>
      <c r="E4578" s="0" t="e">
        <f aca="false">IFERROR(__xludf.dummyfunction("xlookup(aj3743,importrange("1xainw9du9nz21v0tyi))</f>
        <v>#VALUE!</v>
      </c>
      <c r="F4578" s="0" t="s">
        <v>15272</v>
      </c>
      <c r="G4578" s="0" t="s">
        <v>18698</v>
      </c>
    </row>
    <row r="4579" customFormat="false" ht="15" hidden="false" customHeight="false" outlineLevel="0" collapsed="false">
      <c r="A4579" s="0" t="n">
        <v>3744</v>
      </c>
      <c r="B4579" s="0" t="n">
        <v>22364</v>
      </c>
      <c r="C4579" s="0" t="s">
        <v>15275</v>
      </c>
      <c r="D4579" s="0" t="s">
        <v>5</v>
      </c>
      <c r="E4579" s="0" t="e">
        <f aca="false">IFERROR(__xludf.dummyfunction("xlookup(aj3744,importrange("1xainw9du9nz21v0tyi))</f>
        <v>#VALUE!</v>
      </c>
      <c r="F4579" s="0" t="s">
        <v>15276</v>
      </c>
      <c r="G4579" s="0" t="s">
        <v>18698</v>
      </c>
    </row>
    <row r="4580" customFormat="false" ht="15" hidden="false" customHeight="false" outlineLevel="0" collapsed="false">
      <c r="A4580" s="0" t="n">
        <v>3745</v>
      </c>
      <c r="B4580" s="0" t="n">
        <v>22365</v>
      </c>
      <c r="C4580" s="0" t="s">
        <v>15279</v>
      </c>
      <c r="D4580" s="0" t="s">
        <v>5</v>
      </c>
      <c r="E4580" s="0" t="e">
        <f aca="false">IFERROR(__xludf.dummyfunction("xlookup(aj3745,importrange("1xainw9du9nz21v0tyi))</f>
        <v>#VALUE!</v>
      </c>
      <c r="F4580" s="0" t="s">
        <v>15280</v>
      </c>
      <c r="G4580" s="0" t="s">
        <v>18698</v>
      </c>
    </row>
    <row r="4581" customFormat="false" ht="15" hidden="false" customHeight="false" outlineLevel="0" collapsed="false">
      <c r="A4581" s="0" t="n">
        <v>3746</v>
      </c>
      <c r="B4581" s="0" t="n">
        <v>22366</v>
      </c>
      <c r="C4581" s="0" t="s">
        <v>15283</v>
      </c>
      <c r="D4581" s="0" t="s">
        <v>5</v>
      </c>
      <c r="E4581" s="0" t="e">
        <f aca="false">IFERROR(__xludf.dummyfunction("xlookup(aj3746,importrange("1xainw9du9nz21v0tyi))</f>
        <v>#VALUE!</v>
      </c>
      <c r="F4581" s="0" t="s">
        <v>15284</v>
      </c>
      <c r="G4581" s="0" t="s">
        <v>18698</v>
      </c>
    </row>
    <row r="4582" customFormat="false" ht="15" hidden="false" customHeight="false" outlineLevel="0" collapsed="false">
      <c r="A4582" s="0" t="n">
        <v>3747</v>
      </c>
      <c r="B4582" s="0" t="n">
        <v>22367</v>
      </c>
      <c r="C4582" s="0" t="s">
        <v>15287</v>
      </c>
      <c r="D4582" s="0" t="s">
        <v>5</v>
      </c>
      <c r="E4582" s="0" t="e">
        <f aca="false">IFERROR(__xludf.dummyfunction("xlookup(aj3747,importrange("1xainw9du9nz21v0tyi))</f>
        <v>#VALUE!</v>
      </c>
      <c r="F4582" s="0" t="s">
        <v>15288</v>
      </c>
      <c r="G4582" s="0" t="s">
        <v>18698</v>
      </c>
    </row>
    <row r="4583" customFormat="false" ht="15" hidden="false" customHeight="false" outlineLevel="0" collapsed="false">
      <c r="A4583" s="0" t="n">
        <v>3748</v>
      </c>
      <c r="B4583" s="0" t="n">
        <v>22368</v>
      </c>
      <c r="C4583" s="0" t="s">
        <v>15291</v>
      </c>
      <c r="D4583" s="0" t="s">
        <v>5</v>
      </c>
      <c r="E4583" s="0" t="e">
        <f aca="false">IFERROR(__xludf.dummyfunction("xlookup(aj3748,importrange("1xainw9du9nz21v0tyi))</f>
        <v>#VALUE!</v>
      </c>
      <c r="F4583" s="0" t="s">
        <v>15292</v>
      </c>
      <c r="G4583" s="0" t="s">
        <v>18698</v>
      </c>
    </row>
    <row r="4584" customFormat="false" ht="15" hidden="false" customHeight="false" outlineLevel="0" collapsed="false">
      <c r="A4584" s="0" t="n">
        <v>3749</v>
      </c>
      <c r="B4584" s="0" t="n">
        <v>22369</v>
      </c>
      <c r="C4584" s="0" t="s">
        <v>15296</v>
      </c>
      <c r="D4584" s="0" t="s">
        <v>5</v>
      </c>
      <c r="E4584" s="0" t="e">
        <f aca="false">IFERROR(__xludf.dummyfunction("xlookup(aj3749,importrange("1xainw9du9nz21v0tyi))</f>
        <v>#VALUE!</v>
      </c>
      <c r="F4584" s="0" t="s">
        <v>15297</v>
      </c>
      <c r="G4584" s="0" t="s">
        <v>18698</v>
      </c>
    </row>
    <row r="4585" customFormat="false" ht="15" hidden="false" customHeight="false" outlineLevel="0" collapsed="false">
      <c r="A4585" s="0" t="n">
        <v>3751</v>
      </c>
      <c r="B4585" s="0" t="n">
        <v>22371</v>
      </c>
      <c r="C4585" s="0" t="s">
        <v>15305</v>
      </c>
      <c r="D4585" s="0" t="s">
        <v>5</v>
      </c>
      <c r="E4585" s="0" t="e">
        <f aca="false">IFERROR(__xludf.dummyfunction("xlookup(aj3751,importrange("1xainw9du9nz21v0tyi))</f>
        <v>#VALUE!</v>
      </c>
      <c r="F4585" s="0" t="s">
        <v>15306</v>
      </c>
      <c r="G4585" s="0" t="s">
        <v>18698</v>
      </c>
    </row>
    <row r="4586" customFormat="false" ht="15" hidden="false" customHeight="false" outlineLevel="0" collapsed="false">
      <c r="A4586" s="0" t="n">
        <v>3752</v>
      </c>
      <c r="B4586" s="0" t="n">
        <v>22372</v>
      </c>
      <c r="C4586" s="0" t="s">
        <v>15310</v>
      </c>
      <c r="D4586" s="0" t="s">
        <v>5</v>
      </c>
      <c r="E4586" s="0" t="e">
        <f aca="false">IFERROR(__xludf.dummyfunction("xlookup(aj3752,importrange("1xainw9du9nz21v0tyi))</f>
        <v>#VALUE!</v>
      </c>
      <c r="F4586" s="0" t="s">
        <v>15311</v>
      </c>
      <c r="G4586" s="0" t="s">
        <v>18698</v>
      </c>
    </row>
    <row r="4587" customFormat="false" ht="15" hidden="false" customHeight="false" outlineLevel="0" collapsed="false">
      <c r="A4587" s="0" t="n">
        <v>3753</v>
      </c>
      <c r="B4587" s="0" t="n">
        <v>22373</v>
      </c>
      <c r="C4587" s="0" t="s">
        <v>15314</v>
      </c>
      <c r="D4587" s="0" t="s">
        <v>5</v>
      </c>
      <c r="E4587" s="0" t="e">
        <f aca="false">IFERROR(__xludf.dummyfunction("xlookup(aj3753,importrange("1xainw9du9nz21v0tyi))</f>
        <v>#VALUE!</v>
      </c>
      <c r="F4587" s="0" t="s">
        <v>15315</v>
      </c>
      <c r="G4587" s="0" t="s">
        <v>18698</v>
      </c>
    </row>
    <row r="4588" customFormat="false" ht="15" hidden="false" customHeight="false" outlineLevel="0" collapsed="false">
      <c r="A4588" s="0" t="n">
        <v>3754</v>
      </c>
      <c r="B4588" s="0" t="n">
        <v>22374</v>
      </c>
      <c r="C4588" s="0" t="s">
        <v>15319</v>
      </c>
      <c r="D4588" s="0" t="s">
        <v>5</v>
      </c>
      <c r="E4588" s="0" t="e">
        <f aca="false">IFERROR(__xludf.dummyfunction("xlookup(aj3754,importrange("1xainw9du9nz21v0tyi))</f>
        <v>#VALUE!</v>
      </c>
      <c r="F4588" s="0" t="s">
        <v>15320</v>
      </c>
      <c r="G4588" s="0" t="s">
        <v>18698</v>
      </c>
    </row>
    <row r="4589" customFormat="false" ht="15" hidden="false" customHeight="false" outlineLevel="0" collapsed="false">
      <c r="A4589" s="0" t="n">
        <v>3755</v>
      </c>
      <c r="B4589" s="0" t="n">
        <v>22375</v>
      </c>
      <c r="C4589" s="0" t="s">
        <v>15324</v>
      </c>
      <c r="D4589" s="0" t="s">
        <v>5</v>
      </c>
      <c r="E4589" s="0" t="e">
        <f aca="false">IFERROR(__xludf.dummyfunction("xlookup(aj3755,importrange("1xainw9du9nz21v0tyi))</f>
        <v>#VALUE!</v>
      </c>
      <c r="F4589" s="0" t="s">
        <v>15325</v>
      </c>
      <c r="G4589" s="0" t="s">
        <v>18698</v>
      </c>
    </row>
    <row r="4590" customFormat="false" ht="15" hidden="false" customHeight="false" outlineLevel="0" collapsed="false">
      <c r="A4590" s="0" t="n">
        <v>3756</v>
      </c>
      <c r="B4590" s="0" t="n">
        <v>22376</v>
      </c>
      <c r="C4590" s="0" t="s">
        <v>15329</v>
      </c>
      <c r="D4590" s="0" t="s">
        <v>5</v>
      </c>
      <c r="E4590" s="0" t="e">
        <f aca="false">IFERROR(__xludf.dummyfunction("xlookup(aj3756,importrange("1xainw9du9nz21v0tyi))</f>
        <v>#VALUE!</v>
      </c>
      <c r="F4590" s="0" t="s">
        <v>15330</v>
      </c>
      <c r="G4590" s="0" t="s">
        <v>18698</v>
      </c>
    </row>
    <row r="4591" customFormat="false" ht="15" hidden="false" customHeight="false" outlineLevel="0" collapsed="false">
      <c r="A4591" s="0" t="n">
        <v>3757</v>
      </c>
      <c r="B4591" s="0" t="n">
        <v>22377</v>
      </c>
      <c r="C4591" s="0" t="s">
        <v>15334</v>
      </c>
      <c r="D4591" s="0" t="s">
        <v>5</v>
      </c>
      <c r="E4591" s="0" t="e">
        <f aca="false">IFERROR(__xludf.dummyfunction("xlookup(aj3757,importrange("1xainw9du9nz21v0tyi))</f>
        <v>#VALUE!</v>
      </c>
      <c r="F4591" s="0" t="s">
        <v>15335</v>
      </c>
      <c r="G4591" s="0" t="s">
        <v>18698</v>
      </c>
    </row>
    <row r="4592" customFormat="false" ht="15" hidden="false" customHeight="false" outlineLevel="0" collapsed="false">
      <c r="A4592" s="0" t="n">
        <v>3758</v>
      </c>
      <c r="B4592" s="0" t="n">
        <v>22378</v>
      </c>
      <c r="C4592" s="0" t="s">
        <v>15339</v>
      </c>
      <c r="D4592" s="0" t="s">
        <v>5</v>
      </c>
      <c r="E4592" s="0" t="e">
        <f aca="false">IFERROR(__xludf.dummyfunction("xlookup(aj3758,importrange("1xainw9du9nz21v0tyi))</f>
        <v>#VALUE!</v>
      </c>
      <c r="F4592" s="0" t="s">
        <v>15340</v>
      </c>
      <c r="G4592" s="0" t="s">
        <v>18698</v>
      </c>
    </row>
    <row r="4593" customFormat="false" ht="15" hidden="false" customHeight="false" outlineLevel="0" collapsed="false">
      <c r="A4593" s="0" t="n">
        <v>3759</v>
      </c>
      <c r="B4593" s="0" t="n">
        <v>22379</v>
      </c>
      <c r="C4593" s="0" t="s">
        <v>15344</v>
      </c>
      <c r="D4593" s="0" t="s">
        <v>5</v>
      </c>
      <c r="E4593" s="0" t="e">
        <f aca="false">IFERROR(__xludf.dummyfunction("xlookup(aj3759,importrange("1xainw9du9nz21v0tyi))</f>
        <v>#VALUE!</v>
      </c>
      <c r="F4593" s="0" t="s">
        <v>15345</v>
      </c>
      <c r="G4593" s="0" t="s">
        <v>18698</v>
      </c>
    </row>
    <row r="4594" customFormat="false" ht="15" hidden="false" customHeight="false" outlineLevel="0" collapsed="false">
      <c r="A4594" s="0" t="n">
        <v>3760</v>
      </c>
      <c r="B4594" s="0" t="n">
        <v>22381</v>
      </c>
      <c r="C4594" s="0" t="s">
        <v>15349</v>
      </c>
      <c r="D4594" s="0" t="s">
        <v>5</v>
      </c>
      <c r="E4594" s="0" t="e">
        <f aca="false">IFERROR(__xludf.dummyfunction("xlookup(aj3760,importrange("1xainw9du9nz21v0tyi))</f>
        <v>#VALUE!</v>
      </c>
      <c r="F4594" s="0" t="s">
        <v>15350</v>
      </c>
      <c r="G4594" s="0" t="s">
        <v>18698</v>
      </c>
    </row>
    <row r="4595" customFormat="false" ht="15" hidden="false" customHeight="false" outlineLevel="0" collapsed="false">
      <c r="A4595" s="0" t="n">
        <v>3761</v>
      </c>
      <c r="B4595" s="0" t="n">
        <v>22383</v>
      </c>
      <c r="C4595" s="0" t="s">
        <v>15354</v>
      </c>
      <c r="D4595" s="0" t="s">
        <v>5</v>
      </c>
      <c r="E4595" s="0" t="e">
        <f aca="false">IFERROR(__xludf.dummyfunction("xlookup(aj3761,importrange("1xainw9du9nz21v0tyi))</f>
        <v>#VALUE!</v>
      </c>
      <c r="F4595" s="0" t="s">
        <v>15355</v>
      </c>
      <c r="G4595" s="0" t="s">
        <v>18698</v>
      </c>
    </row>
    <row r="4596" customFormat="false" ht="15" hidden="false" customHeight="false" outlineLevel="0" collapsed="false">
      <c r="A4596" s="0" t="n">
        <v>3762</v>
      </c>
      <c r="B4596" s="0" t="n">
        <v>22384</v>
      </c>
      <c r="C4596" s="0" t="s">
        <v>15359</v>
      </c>
      <c r="D4596" s="0" t="s">
        <v>5</v>
      </c>
      <c r="E4596" s="0" t="e">
        <f aca="false">IFERROR(__xludf.dummyfunction("xlookup(aj3762,importrange("1xainw9du9nz21v0tyi))</f>
        <v>#VALUE!</v>
      </c>
      <c r="F4596" s="0" t="s">
        <v>15360</v>
      </c>
      <c r="G4596" s="0" t="s">
        <v>18698</v>
      </c>
    </row>
    <row r="4597" customFormat="false" ht="15" hidden="false" customHeight="false" outlineLevel="0" collapsed="false">
      <c r="A4597" s="0" t="n">
        <v>3763</v>
      </c>
      <c r="B4597" s="0" t="n">
        <v>22385</v>
      </c>
      <c r="C4597" s="0" t="s">
        <v>15364</v>
      </c>
      <c r="D4597" s="0" t="s">
        <v>5</v>
      </c>
      <c r="E4597" s="0" t="e">
        <f aca="false">IFERROR(__xludf.dummyfunction("xlookup(aj3763,importrange("1xainw9du9nz21v0tyi))</f>
        <v>#VALUE!</v>
      </c>
      <c r="F4597" s="0" t="s">
        <v>15365</v>
      </c>
      <c r="G4597" s="0" t="s">
        <v>18698</v>
      </c>
    </row>
    <row r="4598" customFormat="false" ht="15" hidden="false" customHeight="false" outlineLevel="0" collapsed="false">
      <c r="A4598" s="0" t="n">
        <v>3764</v>
      </c>
      <c r="B4598" s="0" t="n">
        <v>22386</v>
      </c>
      <c r="C4598" s="0" t="s">
        <v>15369</v>
      </c>
      <c r="D4598" s="0" t="s">
        <v>5</v>
      </c>
      <c r="E4598" s="0" t="e">
        <f aca="false">IFERROR(__xludf.dummyfunction("xlookup(aj3764,importrange("1xainw9du9nz21v0tyi))</f>
        <v>#VALUE!</v>
      </c>
      <c r="F4598" s="0" t="s">
        <v>15370</v>
      </c>
      <c r="G4598" s="0" t="s">
        <v>18698</v>
      </c>
    </row>
    <row r="4599" customFormat="false" ht="15" hidden="false" customHeight="false" outlineLevel="0" collapsed="false">
      <c r="A4599" s="0" t="n">
        <v>3765</v>
      </c>
      <c r="B4599" s="0" t="n">
        <v>22387</v>
      </c>
      <c r="C4599" s="0" t="s">
        <v>15373</v>
      </c>
      <c r="D4599" s="0" t="s">
        <v>5</v>
      </c>
      <c r="E4599" s="0" t="e">
        <f aca="false">IFERROR(__xludf.dummyfunction("xlookup(aj3765,importrange("1xainw9du9nz21v0tyi))</f>
        <v>#VALUE!</v>
      </c>
      <c r="F4599" s="0" t="s">
        <v>15374</v>
      </c>
      <c r="G4599" s="0" t="s">
        <v>18698</v>
      </c>
    </row>
    <row r="4600" customFormat="false" ht="15" hidden="false" customHeight="false" outlineLevel="0" collapsed="false">
      <c r="A4600" s="0" t="n">
        <v>3766</v>
      </c>
      <c r="B4600" s="0" t="n">
        <v>22388</v>
      </c>
      <c r="C4600" s="0" t="s">
        <v>15377</v>
      </c>
      <c r="D4600" s="0" t="s">
        <v>5</v>
      </c>
      <c r="E4600" s="0" t="e">
        <f aca="false">IFERROR(__xludf.dummyfunction("xlookup(aj3766,importrange("1xainw9du9nz21v0tyi))</f>
        <v>#VALUE!</v>
      </c>
      <c r="F4600" s="0" t="s">
        <v>15378</v>
      </c>
      <c r="G4600" s="0" t="s">
        <v>18698</v>
      </c>
    </row>
    <row r="4601" customFormat="false" ht="15" hidden="false" customHeight="false" outlineLevel="0" collapsed="false">
      <c r="A4601" s="0" t="n">
        <v>3767</v>
      </c>
      <c r="B4601" s="0" t="n">
        <v>22389</v>
      </c>
      <c r="C4601" s="0" t="s">
        <v>15381</v>
      </c>
      <c r="D4601" s="0" t="s">
        <v>5</v>
      </c>
      <c r="E4601" s="0" t="e">
        <f aca="false">IFERROR(__xludf.dummyfunction("xlookup(aj3767,importrange("1xainw9du9nz21v0tyi))</f>
        <v>#VALUE!</v>
      </c>
      <c r="F4601" s="0" t="s">
        <v>15382</v>
      </c>
      <c r="G4601" s="0" t="s">
        <v>18698</v>
      </c>
    </row>
    <row r="4602" customFormat="false" ht="15" hidden="false" customHeight="false" outlineLevel="0" collapsed="false">
      <c r="A4602" s="0" t="n">
        <v>3768</v>
      </c>
      <c r="B4602" s="0" t="n">
        <v>22390</v>
      </c>
      <c r="C4602" s="0" t="s">
        <v>15384</v>
      </c>
      <c r="D4602" s="0" t="s">
        <v>5</v>
      </c>
      <c r="E4602" s="0" t="e">
        <f aca="false">IFERROR(__xludf.dummyfunction("xlookup(aj3768,importrange("1xainw9du9nz21v0tyi))</f>
        <v>#VALUE!</v>
      </c>
      <c r="F4602" s="0" t="s">
        <v>15385</v>
      </c>
      <c r="G4602" s="0" t="s">
        <v>18698</v>
      </c>
    </row>
    <row r="4603" customFormat="false" ht="15" hidden="false" customHeight="false" outlineLevel="0" collapsed="false">
      <c r="A4603" s="0" t="n">
        <v>3769</v>
      </c>
      <c r="B4603" s="0" t="n">
        <v>22391</v>
      </c>
      <c r="C4603" s="0" t="s">
        <v>15389</v>
      </c>
      <c r="D4603" s="0" t="s">
        <v>5</v>
      </c>
      <c r="E4603" s="0" t="e">
        <f aca="false">IFERROR(__xludf.dummyfunction("xlookup(aj3769,importrange("1xainw9du9nz21v0tyi))</f>
        <v>#VALUE!</v>
      </c>
      <c r="F4603" s="0" t="s">
        <v>15390</v>
      </c>
      <c r="G4603" s="0" t="s">
        <v>18698</v>
      </c>
    </row>
    <row r="4604" customFormat="false" ht="15" hidden="false" customHeight="false" outlineLevel="0" collapsed="false">
      <c r="A4604" s="0" t="n">
        <v>3770</v>
      </c>
      <c r="B4604" s="0" t="n">
        <v>22392</v>
      </c>
      <c r="C4604" s="0" t="s">
        <v>15393</v>
      </c>
      <c r="D4604" s="0" t="s">
        <v>5</v>
      </c>
      <c r="E4604" s="0" t="e">
        <f aca="false">IFERROR(__xludf.dummyfunction("xlookup(aj3770,importrange("1xainw9du9nz21v0tyi))</f>
        <v>#VALUE!</v>
      </c>
      <c r="F4604" s="0" t="s">
        <v>15394</v>
      </c>
      <c r="G4604" s="0" t="s">
        <v>18698</v>
      </c>
    </row>
    <row r="4605" customFormat="false" ht="15" hidden="false" customHeight="false" outlineLevel="0" collapsed="false">
      <c r="A4605" s="0" t="n">
        <v>3771</v>
      </c>
      <c r="B4605" s="0" t="n">
        <v>22393</v>
      </c>
      <c r="C4605" s="0" t="s">
        <v>15381</v>
      </c>
      <c r="D4605" s="0" t="s">
        <v>5</v>
      </c>
      <c r="E4605" s="0" t="e">
        <f aca="false">IFERROR(__xludf.dummyfunction("xlookup(aj3771,importrange("1xainw9du9nz21v0tyi))</f>
        <v>#VALUE!</v>
      </c>
      <c r="F4605" s="0" t="s">
        <v>15397</v>
      </c>
      <c r="G4605" s="0" t="s">
        <v>18698</v>
      </c>
    </row>
    <row r="4606" customFormat="false" ht="15" hidden="false" customHeight="false" outlineLevel="0" collapsed="false">
      <c r="A4606" s="0" t="n">
        <v>3772</v>
      </c>
      <c r="B4606" s="0" t="n">
        <v>22394</v>
      </c>
      <c r="C4606" s="0" t="s">
        <v>15400</v>
      </c>
      <c r="D4606" s="0" t="s">
        <v>5</v>
      </c>
      <c r="E4606" s="0" t="e">
        <f aca="false">IFERROR(__xludf.dummyfunction("xlookup(aj3772,importrange("1xainw9du9nz21v0tyi))</f>
        <v>#VALUE!</v>
      </c>
      <c r="F4606" s="0" t="s">
        <v>15401</v>
      </c>
      <c r="G4606" s="0" t="s">
        <v>18698</v>
      </c>
    </row>
    <row r="4607" customFormat="false" ht="15" hidden="false" customHeight="false" outlineLevel="0" collapsed="false">
      <c r="A4607" s="0" t="n">
        <v>3773</v>
      </c>
      <c r="B4607" s="0" t="n">
        <v>22395</v>
      </c>
      <c r="C4607" s="0" t="s">
        <v>15404</v>
      </c>
      <c r="D4607" s="0" t="s">
        <v>5</v>
      </c>
      <c r="E4607" s="0" t="e">
        <f aca="false">IFERROR(__xludf.dummyfunction("xlookup(aj3773,importrange("1xainw9du9nz21v0tyi))</f>
        <v>#VALUE!</v>
      </c>
      <c r="F4607" s="0" t="s">
        <v>15405</v>
      </c>
      <c r="G4607" s="0" t="s">
        <v>18698</v>
      </c>
    </row>
    <row r="4608" customFormat="false" ht="15" hidden="false" customHeight="false" outlineLevel="0" collapsed="false">
      <c r="A4608" s="0" t="n">
        <v>3774</v>
      </c>
      <c r="B4608" s="0" t="n">
        <v>22396</v>
      </c>
      <c r="C4608" s="0" t="s">
        <v>15408</v>
      </c>
      <c r="D4608" s="0" t="s">
        <v>5</v>
      </c>
      <c r="E4608" s="0" t="e">
        <f aca="false">IFERROR(__xludf.dummyfunction("xlookup(aj3774,importrange("1xainw9du9nz21v0tyi))</f>
        <v>#VALUE!</v>
      </c>
      <c r="F4608" s="0" t="s">
        <v>15409</v>
      </c>
      <c r="G4608" s="0" t="s">
        <v>18698</v>
      </c>
    </row>
    <row r="4609" customFormat="false" ht="15" hidden="false" customHeight="false" outlineLevel="0" collapsed="false">
      <c r="A4609" s="0" t="n">
        <v>3775</v>
      </c>
      <c r="B4609" s="0" t="n">
        <v>22397</v>
      </c>
      <c r="C4609" s="0" t="s">
        <v>15413</v>
      </c>
      <c r="D4609" s="0" t="s">
        <v>5</v>
      </c>
      <c r="E4609" s="0" t="e">
        <f aca="false">IFERROR(__xludf.dummyfunction("xlookup(aj3775,importrange("1xainw9du9nz21v0tyi))</f>
        <v>#VALUE!</v>
      </c>
      <c r="F4609" s="0" t="s">
        <v>15414</v>
      </c>
      <c r="G4609" s="0" t="s">
        <v>18698</v>
      </c>
    </row>
    <row r="4610" customFormat="false" ht="15" hidden="false" customHeight="false" outlineLevel="0" collapsed="false">
      <c r="A4610" s="0" t="n">
        <v>3776</v>
      </c>
      <c r="B4610" s="0" t="n">
        <v>22398</v>
      </c>
      <c r="C4610" s="0" t="s">
        <v>15417</v>
      </c>
      <c r="D4610" s="0" t="s">
        <v>5</v>
      </c>
      <c r="E4610" s="0" t="e">
        <f aca="false">IFERROR(__xludf.dummyfunction("xlookup(aj3776,importrange("1xainw9du9nz21v0tyi))</f>
        <v>#VALUE!</v>
      </c>
      <c r="F4610" s="0" t="s">
        <v>15418</v>
      </c>
      <c r="G4610" s="0" t="s">
        <v>18698</v>
      </c>
    </row>
    <row r="4611" customFormat="false" ht="15" hidden="false" customHeight="false" outlineLevel="0" collapsed="false">
      <c r="A4611" s="0" t="n">
        <v>3777</v>
      </c>
      <c r="B4611" s="0" t="n">
        <v>22399</v>
      </c>
      <c r="C4611" s="0" t="s">
        <v>15421</v>
      </c>
      <c r="D4611" s="0" t="s">
        <v>5</v>
      </c>
      <c r="E4611" s="0" t="e">
        <f aca="false">IFERROR(__xludf.dummyfunction("xlookup(aj3777,importrange("1xainw9du9nz21v0tyi))</f>
        <v>#VALUE!</v>
      </c>
      <c r="F4611" s="0" t="s">
        <v>15422</v>
      </c>
      <c r="G4611" s="0" t="s">
        <v>18698</v>
      </c>
    </row>
    <row r="4612" customFormat="false" ht="15" hidden="false" customHeight="false" outlineLevel="0" collapsed="false">
      <c r="A4612" s="0" t="n">
        <v>3778</v>
      </c>
      <c r="B4612" s="0" t="n">
        <v>22400</v>
      </c>
      <c r="C4612" s="0" t="s">
        <v>15426</v>
      </c>
      <c r="D4612" s="0" t="s">
        <v>5</v>
      </c>
      <c r="E4612" s="0" t="e">
        <f aca="false">IFERROR(__xludf.dummyfunction("xlookup(aj3778,importrange("1xainw9du9nz21v0tyi))</f>
        <v>#VALUE!</v>
      </c>
      <c r="F4612" s="0" t="s">
        <v>15427</v>
      </c>
      <c r="G4612" s="0" t="s">
        <v>18698</v>
      </c>
    </row>
    <row r="4613" customFormat="false" ht="15" hidden="false" customHeight="false" outlineLevel="0" collapsed="false">
      <c r="A4613" s="0" t="n">
        <v>3779</v>
      </c>
      <c r="B4613" s="0" t="n">
        <v>22401</v>
      </c>
      <c r="C4613" s="0" t="s">
        <v>15430</v>
      </c>
      <c r="D4613" s="0" t="s">
        <v>5</v>
      </c>
      <c r="E4613" s="0" t="e">
        <f aca="false">IFERROR(__xludf.dummyfunction("xlookup(aj3779,importrange("1xainw9du9nz21v0tyi))</f>
        <v>#VALUE!</v>
      </c>
      <c r="F4613" s="0" t="s">
        <v>15431</v>
      </c>
      <c r="G4613" s="0" t="s">
        <v>18698</v>
      </c>
    </row>
    <row r="4614" customFormat="false" ht="15" hidden="false" customHeight="false" outlineLevel="0" collapsed="false">
      <c r="A4614" s="0" t="n">
        <v>3780</v>
      </c>
      <c r="B4614" s="0" t="n">
        <v>22402</v>
      </c>
      <c r="C4614" s="0" t="s">
        <v>15434</v>
      </c>
      <c r="D4614" s="0" t="s">
        <v>5</v>
      </c>
      <c r="E4614" s="0" t="e">
        <f aca="false">IFERROR(__xludf.dummyfunction("xlookup(aj3780,importrange("1xainw9du9nz21v0tyi))</f>
        <v>#VALUE!</v>
      </c>
      <c r="F4614" s="0" t="s">
        <v>15435</v>
      </c>
      <c r="G4614" s="0" t="s">
        <v>18698</v>
      </c>
    </row>
    <row r="4615" customFormat="false" ht="15" hidden="false" customHeight="false" outlineLevel="0" collapsed="false">
      <c r="A4615" s="0" t="n">
        <v>3785</v>
      </c>
      <c r="B4615" s="0" t="n">
        <v>22407</v>
      </c>
      <c r="C4615" s="0" t="s">
        <v>15457</v>
      </c>
      <c r="D4615" s="0" t="s">
        <v>5</v>
      </c>
      <c r="E4615" s="0" t="e">
        <f aca="false">IFERROR(__xludf.dummyfunction("xlookup(aj3785,importrange("1xainw9du9nz21v0tyi))</f>
        <v>#VALUE!</v>
      </c>
      <c r="F4615" s="0" t="s">
        <v>15459</v>
      </c>
      <c r="G4615" s="0" t="s">
        <v>18698</v>
      </c>
    </row>
    <row r="4616" customFormat="false" ht="15" hidden="false" customHeight="false" outlineLevel="0" collapsed="false">
      <c r="A4616" s="0" t="n">
        <v>3786</v>
      </c>
      <c r="B4616" s="0" t="n">
        <v>22408</v>
      </c>
      <c r="C4616" s="0" t="s">
        <v>15463</v>
      </c>
      <c r="D4616" s="0" t="s">
        <v>5</v>
      </c>
      <c r="E4616" s="0" t="e">
        <f aca="false">IFERROR(__xludf.dummyfunction("xlookup(aj3786,importrange("1xainw9du9nz21v0tyi))</f>
        <v>#VALUE!</v>
      </c>
      <c r="F4616" s="0" t="s">
        <v>15464</v>
      </c>
      <c r="G4616" s="0" t="s">
        <v>18698</v>
      </c>
    </row>
    <row r="4617" customFormat="false" ht="15" hidden="false" customHeight="false" outlineLevel="0" collapsed="false">
      <c r="A4617" s="0" t="n">
        <v>3787</v>
      </c>
      <c r="B4617" s="0" t="n">
        <v>22409</v>
      </c>
      <c r="C4617" s="0" t="s">
        <v>15467</v>
      </c>
      <c r="D4617" s="0" t="s">
        <v>5</v>
      </c>
      <c r="E4617" s="0" t="e">
        <f aca="false">IFERROR(__xludf.dummyfunction("xlookup(aj3787,importrange("1xainw9du9nz21v0tyi))</f>
        <v>#VALUE!</v>
      </c>
      <c r="F4617" s="0" t="s">
        <v>15468</v>
      </c>
      <c r="G4617" s="0" t="s">
        <v>18698</v>
      </c>
    </row>
    <row r="4618" customFormat="false" ht="15" hidden="false" customHeight="false" outlineLevel="0" collapsed="false">
      <c r="A4618" s="0" t="n">
        <v>3788</v>
      </c>
      <c r="B4618" s="0" t="n">
        <v>22410</v>
      </c>
      <c r="C4618" s="0" t="s">
        <v>15472</v>
      </c>
      <c r="D4618" s="0" t="s">
        <v>5</v>
      </c>
      <c r="E4618" s="0" t="e">
        <f aca="false">IFERROR(__xludf.dummyfunction("xlookup(aj3788,importrange("1xainw9du9nz21v0tyi))</f>
        <v>#VALUE!</v>
      </c>
      <c r="F4618" s="0" t="s">
        <v>15473</v>
      </c>
      <c r="G4618" s="0" t="s">
        <v>18698</v>
      </c>
    </row>
    <row r="4619" customFormat="false" ht="15" hidden="false" customHeight="false" outlineLevel="0" collapsed="false">
      <c r="A4619" s="0" t="n">
        <v>3789</v>
      </c>
      <c r="B4619" s="0" t="n">
        <v>22411</v>
      </c>
      <c r="C4619" s="0" t="s">
        <v>15476</v>
      </c>
      <c r="D4619" s="0" t="s">
        <v>5</v>
      </c>
      <c r="E4619" s="0" t="e">
        <f aca="false">IFERROR(__xludf.dummyfunction("xlookup(aj3789,importrange("1xainw9du9nz21v0tyi))</f>
        <v>#VALUE!</v>
      </c>
      <c r="F4619" s="0" t="s">
        <v>15477</v>
      </c>
      <c r="G4619" s="0" t="s">
        <v>18698</v>
      </c>
    </row>
    <row r="4620" customFormat="false" ht="15" hidden="false" customHeight="false" outlineLevel="0" collapsed="false">
      <c r="A4620" s="0" t="n">
        <v>3790</v>
      </c>
      <c r="B4620" s="0" t="n">
        <v>22412</v>
      </c>
      <c r="C4620" s="0" t="s">
        <v>15480</v>
      </c>
      <c r="D4620" s="0" t="s">
        <v>5</v>
      </c>
      <c r="E4620" s="0" t="e">
        <f aca="false">IFERROR(__xludf.dummyfunction("xlookup(aj3790,importrange("1xainw9du9nz21v0tyi))</f>
        <v>#VALUE!</v>
      </c>
      <c r="F4620" s="0" t="s">
        <v>15481</v>
      </c>
      <c r="G4620" s="0" t="s">
        <v>18698</v>
      </c>
    </row>
    <row r="4621" customFormat="false" ht="15" hidden="false" customHeight="false" outlineLevel="0" collapsed="false">
      <c r="A4621" s="0" t="n">
        <v>3791</v>
      </c>
      <c r="B4621" s="0" t="n">
        <v>22419</v>
      </c>
      <c r="C4621" s="0" t="s">
        <v>15484</v>
      </c>
      <c r="D4621" s="0" t="s">
        <v>5</v>
      </c>
      <c r="E4621" s="0" t="e">
        <f aca="false">IFERROR(__xludf.dummyfunction("xlookup(aj3791,importrange("1xainw9du9nz21v0tyi))</f>
        <v>#VALUE!</v>
      </c>
      <c r="F4621" s="0" t="s">
        <v>15485</v>
      </c>
      <c r="G4621" s="0" t="s">
        <v>18698</v>
      </c>
    </row>
    <row r="4622" customFormat="false" ht="15" hidden="false" customHeight="false" outlineLevel="0" collapsed="false">
      <c r="A4622" s="0" t="n">
        <v>3792</v>
      </c>
      <c r="B4622" s="0" t="n">
        <v>22420</v>
      </c>
      <c r="C4622" s="0" t="s">
        <v>15489</v>
      </c>
      <c r="D4622" s="0" t="s">
        <v>5</v>
      </c>
      <c r="E4622" s="0" t="e">
        <f aca="false">IFERROR(__xludf.dummyfunction("xlookup(aj3792,importrange("1xainw9du9nz21v0tyi))</f>
        <v>#VALUE!</v>
      </c>
      <c r="F4622" s="0" t="s">
        <v>15490</v>
      </c>
      <c r="G4622" s="0" t="s">
        <v>18698</v>
      </c>
    </row>
    <row r="4623" customFormat="false" ht="15" hidden="false" customHeight="false" outlineLevel="0" collapsed="false">
      <c r="A4623" s="0" t="n">
        <v>3794</v>
      </c>
      <c r="B4623" s="0" t="n">
        <v>22517</v>
      </c>
      <c r="C4623" s="0" t="s">
        <v>15499</v>
      </c>
      <c r="D4623" s="0" t="s">
        <v>5</v>
      </c>
      <c r="E4623" s="0" t="e">
        <f aca="false">IFERROR(__xludf.dummyfunction("xlookup(aj3794,importrange("1xainw9du9nz21v0tyi))</f>
        <v>#VALUE!</v>
      </c>
      <c r="F4623" s="0" t="s">
        <v>15500</v>
      </c>
      <c r="G4623" s="0" t="s">
        <v>18698</v>
      </c>
    </row>
    <row r="4624" customFormat="false" ht="15" hidden="false" customHeight="false" outlineLevel="0" collapsed="false">
      <c r="A4624" s="0" t="n">
        <v>3801</v>
      </c>
      <c r="B4624" s="0" t="n">
        <v>22428</v>
      </c>
      <c r="C4624" s="0" t="s">
        <v>15528</v>
      </c>
      <c r="D4624" s="0" t="s">
        <v>5</v>
      </c>
      <c r="E4624" s="0" t="e">
        <f aca="false">IFERROR(__xludf.dummyfunction("xlookup(aj3801,importrange("1xainw9du9nz21v0tyi))</f>
        <v>#VALUE!</v>
      </c>
      <c r="F4624" s="0" t="s">
        <v>15529</v>
      </c>
      <c r="G4624" s="0" t="s">
        <v>18698</v>
      </c>
    </row>
    <row r="4625" customFormat="false" ht="15" hidden="false" customHeight="false" outlineLevel="0" collapsed="false">
      <c r="A4625" s="0" t="n">
        <v>3802</v>
      </c>
      <c r="B4625" s="0" t="n">
        <v>22429</v>
      </c>
      <c r="C4625" s="0" t="s">
        <v>15533</v>
      </c>
      <c r="D4625" s="0" t="s">
        <v>5</v>
      </c>
      <c r="E4625" s="0" t="e">
        <f aca="false">IFERROR(__xludf.dummyfunction("xlookup(aj3802,importrange("1xainw9du9nz21v0tyi))</f>
        <v>#VALUE!</v>
      </c>
      <c r="F4625" s="0" t="s">
        <v>15534</v>
      </c>
      <c r="G4625" s="0" t="s">
        <v>18698</v>
      </c>
    </row>
    <row r="4626" customFormat="false" ht="15" hidden="false" customHeight="false" outlineLevel="0" collapsed="false">
      <c r="A4626" s="0" t="n">
        <v>3803</v>
      </c>
      <c r="B4626" s="0" t="n">
        <v>22430</v>
      </c>
      <c r="C4626" s="0" t="s">
        <v>15537</v>
      </c>
      <c r="D4626" s="0" t="s">
        <v>5</v>
      </c>
      <c r="E4626" s="0" t="e">
        <f aca="false">IFERROR(__xludf.dummyfunction("xlookup(aj3803,importrange("1xainw9du9nz21v0tyi))</f>
        <v>#VALUE!</v>
      </c>
      <c r="F4626" s="0" t="s">
        <v>15538</v>
      </c>
      <c r="G4626" s="0" t="s">
        <v>18698</v>
      </c>
    </row>
    <row r="4627" customFormat="false" ht="15" hidden="false" customHeight="false" outlineLevel="0" collapsed="false">
      <c r="A4627" s="0" t="n">
        <v>3804</v>
      </c>
      <c r="B4627" s="0" t="n">
        <v>22431</v>
      </c>
      <c r="C4627" s="0" t="s">
        <v>15542</v>
      </c>
      <c r="D4627" s="0" t="s">
        <v>5</v>
      </c>
      <c r="E4627" s="0" t="e">
        <f aca="false">IFERROR(__xludf.dummyfunction("xlookup(aj3804,importrange("1xainw9du9nz21v0tyi))</f>
        <v>#VALUE!</v>
      </c>
      <c r="F4627" s="0" t="s">
        <v>15543</v>
      </c>
      <c r="G4627" s="0" t="s">
        <v>18698</v>
      </c>
    </row>
    <row r="4628" customFormat="false" ht="15" hidden="false" customHeight="false" outlineLevel="0" collapsed="false">
      <c r="A4628" s="0" t="n">
        <v>3805</v>
      </c>
      <c r="B4628" s="0" t="n">
        <v>22432</v>
      </c>
      <c r="C4628" s="0" t="s">
        <v>15546</v>
      </c>
      <c r="D4628" s="0" t="s">
        <v>5</v>
      </c>
      <c r="E4628" s="0" t="e">
        <f aca="false">IFERROR(__xludf.dummyfunction("xlookup(aj3805,importrange("1xainw9du9nz21v0tyi))</f>
        <v>#VALUE!</v>
      </c>
      <c r="F4628" s="0" t="s">
        <v>15547</v>
      </c>
      <c r="G4628" s="0" t="s">
        <v>18698</v>
      </c>
    </row>
    <row r="4629" customFormat="false" ht="15" hidden="false" customHeight="false" outlineLevel="0" collapsed="false">
      <c r="A4629" s="0" t="n">
        <v>3806</v>
      </c>
      <c r="B4629" s="0" t="n">
        <v>22433</v>
      </c>
      <c r="C4629" s="0" t="s">
        <v>15551</v>
      </c>
      <c r="D4629" s="0" t="s">
        <v>5</v>
      </c>
      <c r="E4629" s="0" t="e">
        <f aca="false">IFERROR(__xludf.dummyfunction("xlookup(aj3806,importrange("1xainw9du9nz21v0tyi))</f>
        <v>#VALUE!</v>
      </c>
      <c r="F4629" s="0" t="s">
        <v>15552</v>
      </c>
      <c r="G4629" s="0" t="s">
        <v>18698</v>
      </c>
    </row>
    <row r="4630" customFormat="false" ht="15" hidden="false" customHeight="false" outlineLevel="0" collapsed="false">
      <c r="A4630" s="0" t="n">
        <v>3807</v>
      </c>
      <c r="B4630" s="0" t="n">
        <v>22434</v>
      </c>
      <c r="C4630" s="0" t="s">
        <v>15556</v>
      </c>
      <c r="D4630" s="0" t="s">
        <v>5</v>
      </c>
      <c r="E4630" s="0" t="e">
        <f aca="false">IFERROR(__xludf.dummyfunction("xlookup(aj3807,importrange("1xainw9du9nz21v0tyi))</f>
        <v>#VALUE!</v>
      </c>
      <c r="F4630" s="0" t="s">
        <v>15557</v>
      </c>
      <c r="G4630" s="0" t="s">
        <v>18698</v>
      </c>
    </row>
    <row r="4631" customFormat="false" ht="15" hidden="false" customHeight="false" outlineLevel="0" collapsed="false">
      <c r="A4631" s="0" t="n">
        <v>3808</v>
      </c>
      <c r="B4631" s="0" t="n">
        <v>22435</v>
      </c>
      <c r="C4631" s="0" t="s">
        <v>15560</v>
      </c>
      <c r="D4631" s="0" t="s">
        <v>5</v>
      </c>
      <c r="E4631" s="0" t="e">
        <f aca="false">IFERROR(__xludf.dummyfunction("xlookup(aj3808,importrange("1xainw9du9nz21v0tyi))</f>
        <v>#VALUE!</v>
      </c>
      <c r="F4631" s="0" t="s">
        <v>15561</v>
      </c>
      <c r="G4631" s="0" t="s">
        <v>18698</v>
      </c>
    </row>
    <row r="4632" customFormat="false" ht="15" hidden="false" customHeight="false" outlineLevel="0" collapsed="false">
      <c r="A4632" s="0" t="n">
        <v>3809</v>
      </c>
      <c r="B4632" s="0" t="n">
        <v>22436</v>
      </c>
      <c r="C4632" s="0" t="s">
        <v>15565</v>
      </c>
      <c r="D4632" s="0" t="s">
        <v>5</v>
      </c>
      <c r="E4632" s="0" t="e">
        <f aca="false">IFERROR(__xludf.dummyfunction("xlookup(aj3809,importrange("1xainw9du9nz21v0tyi))</f>
        <v>#VALUE!</v>
      </c>
      <c r="F4632" s="0" t="s">
        <v>15566</v>
      </c>
      <c r="G4632" s="0" t="s">
        <v>18698</v>
      </c>
    </row>
    <row r="4633" customFormat="false" ht="15" hidden="false" customHeight="false" outlineLevel="0" collapsed="false">
      <c r="A4633" s="0" t="n">
        <v>3810</v>
      </c>
      <c r="B4633" s="0" t="n">
        <v>22437</v>
      </c>
      <c r="C4633" s="0" t="s">
        <v>15570</v>
      </c>
      <c r="D4633" s="0" t="s">
        <v>5</v>
      </c>
      <c r="E4633" s="0" t="e">
        <f aca="false">IFERROR(__xludf.dummyfunction("xlookup(aj3810,importrange("1xainw9du9nz21v0tyi))</f>
        <v>#VALUE!</v>
      </c>
      <c r="F4633" s="0" t="s">
        <v>15571</v>
      </c>
      <c r="G4633" s="0" t="s">
        <v>18698</v>
      </c>
    </row>
    <row r="4634" customFormat="false" ht="15" hidden="false" customHeight="false" outlineLevel="0" collapsed="false">
      <c r="A4634" s="0" t="n">
        <v>3811</v>
      </c>
      <c r="B4634" s="0" t="n">
        <v>22438</v>
      </c>
      <c r="C4634" s="0" t="s">
        <v>15575</v>
      </c>
      <c r="D4634" s="0" t="s">
        <v>5</v>
      </c>
      <c r="E4634" s="0" t="e">
        <f aca="false">IFERROR(__xludf.dummyfunction("xlookup(aj3811,importrange("1xainw9du9nz21v0tyi))</f>
        <v>#VALUE!</v>
      </c>
      <c r="F4634" s="0" t="s">
        <v>15576</v>
      </c>
      <c r="G4634" s="0" t="s">
        <v>18698</v>
      </c>
    </row>
    <row r="4635" customFormat="false" ht="15" hidden="false" customHeight="false" outlineLevel="0" collapsed="false">
      <c r="A4635" s="0" t="n">
        <v>3812</v>
      </c>
      <c r="B4635" s="0" t="n">
        <v>22439</v>
      </c>
      <c r="C4635" s="0" t="s">
        <v>15580</v>
      </c>
      <c r="D4635" s="0" t="s">
        <v>5</v>
      </c>
      <c r="E4635" s="0" t="e">
        <f aca="false">IFERROR(__xludf.dummyfunction("xlookup(aj3812,importrange("1xainw9du9nz21v0tyi))</f>
        <v>#VALUE!</v>
      </c>
      <c r="F4635" s="0" t="s">
        <v>15581</v>
      </c>
      <c r="G4635" s="0" t="s">
        <v>18698</v>
      </c>
    </row>
    <row r="4636" customFormat="false" ht="15" hidden="false" customHeight="false" outlineLevel="0" collapsed="false">
      <c r="A4636" s="0" t="n">
        <v>3813</v>
      </c>
      <c r="B4636" s="0" t="n">
        <v>22440</v>
      </c>
      <c r="C4636" s="0" t="s">
        <v>15585</v>
      </c>
      <c r="D4636" s="0" t="s">
        <v>5</v>
      </c>
      <c r="E4636" s="0" t="e">
        <f aca="false">IFERROR(__xludf.dummyfunction("xlookup(aj3813,importrange("1xainw9du9nz21v0tyi))</f>
        <v>#VALUE!</v>
      </c>
      <c r="F4636" s="0" t="s">
        <v>15586</v>
      </c>
      <c r="G4636" s="0" t="s">
        <v>18698</v>
      </c>
    </row>
    <row r="4637" customFormat="false" ht="15" hidden="false" customHeight="false" outlineLevel="0" collapsed="false">
      <c r="A4637" s="0" t="n">
        <v>3814</v>
      </c>
      <c r="B4637" s="0" t="n">
        <v>22441</v>
      </c>
      <c r="C4637" s="0" t="s">
        <v>15590</v>
      </c>
      <c r="D4637" s="0" t="s">
        <v>5</v>
      </c>
      <c r="E4637" s="0" t="e">
        <f aca="false">IFERROR(__xludf.dummyfunction("xlookup(aj3814,importrange("1xainw9du9nz21v0tyi))</f>
        <v>#VALUE!</v>
      </c>
      <c r="F4637" s="0" t="s">
        <v>15591</v>
      </c>
      <c r="G4637" s="0" t="s">
        <v>18698</v>
      </c>
    </row>
    <row r="4638" customFormat="false" ht="15" hidden="false" customHeight="false" outlineLevel="0" collapsed="false">
      <c r="A4638" s="0" t="n">
        <v>3815</v>
      </c>
      <c r="B4638" s="0" t="n">
        <v>22442</v>
      </c>
      <c r="C4638" s="0" t="s">
        <v>15595</v>
      </c>
      <c r="D4638" s="0" t="s">
        <v>5</v>
      </c>
      <c r="E4638" s="0" t="e">
        <f aca="false">IFERROR(__xludf.dummyfunction("xlookup(aj3815,importrange("1xainw9du9nz21v0tyi))</f>
        <v>#VALUE!</v>
      </c>
      <c r="F4638" s="0" t="s">
        <v>15596</v>
      </c>
      <c r="G4638" s="0" t="s">
        <v>18698</v>
      </c>
    </row>
    <row r="4639" customFormat="false" ht="15" hidden="false" customHeight="false" outlineLevel="0" collapsed="false">
      <c r="A4639" s="0" t="n">
        <v>3816</v>
      </c>
      <c r="B4639" s="0" t="n">
        <v>22443</v>
      </c>
      <c r="C4639" s="0" t="s">
        <v>15599</v>
      </c>
      <c r="D4639" s="0" t="s">
        <v>5</v>
      </c>
      <c r="E4639" s="0" t="e">
        <f aca="false">IFERROR(__xludf.dummyfunction("xlookup(aj3816,importrange("1xainw9du9nz21v0tyi))</f>
        <v>#VALUE!</v>
      </c>
      <c r="F4639" s="0" t="s">
        <v>15600</v>
      </c>
      <c r="G4639" s="0" t="s">
        <v>18698</v>
      </c>
    </row>
    <row r="4640" customFormat="false" ht="15" hidden="false" customHeight="false" outlineLevel="0" collapsed="false">
      <c r="A4640" s="0" t="n">
        <v>3817</v>
      </c>
      <c r="B4640" s="0" t="n">
        <v>22444</v>
      </c>
      <c r="C4640" s="0" t="s">
        <v>15603</v>
      </c>
      <c r="D4640" s="0" t="s">
        <v>5</v>
      </c>
      <c r="E4640" s="0" t="e">
        <f aca="false">IFERROR(__xludf.dummyfunction("xlookup(aj3817,importrange("1xainw9du9nz21v0tyi))</f>
        <v>#VALUE!</v>
      </c>
      <c r="F4640" s="0" t="s">
        <v>15604</v>
      </c>
      <c r="G4640" s="0" t="s">
        <v>18698</v>
      </c>
    </row>
    <row r="4641" customFormat="false" ht="15" hidden="false" customHeight="false" outlineLevel="0" collapsed="false">
      <c r="A4641" s="0" t="n">
        <v>3818</v>
      </c>
      <c r="B4641" s="0" t="n">
        <v>22445</v>
      </c>
      <c r="C4641" s="0" t="s">
        <v>15607</v>
      </c>
      <c r="D4641" s="0" t="s">
        <v>5</v>
      </c>
      <c r="E4641" s="0" t="e">
        <f aca="false">IFERROR(__xludf.dummyfunction("xlookup(aj3818,importrange("1xainw9du9nz21v0tyi))</f>
        <v>#VALUE!</v>
      </c>
      <c r="F4641" s="0" t="s">
        <v>15608</v>
      </c>
      <c r="G4641" s="0" t="s">
        <v>18698</v>
      </c>
    </row>
    <row r="4642" customFormat="false" ht="15" hidden="false" customHeight="false" outlineLevel="0" collapsed="false">
      <c r="A4642" s="0" t="n">
        <v>3819</v>
      </c>
      <c r="B4642" s="0" t="n">
        <v>22446</v>
      </c>
      <c r="C4642" s="0" t="s">
        <v>15611</v>
      </c>
      <c r="D4642" s="0" t="s">
        <v>5</v>
      </c>
      <c r="E4642" s="0" t="e">
        <f aca="false">IFERROR(__xludf.dummyfunction("xlookup(aj3819,importrange("1xainw9du9nz21v0tyi))</f>
        <v>#VALUE!</v>
      </c>
      <c r="F4642" s="0" t="s">
        <v>15612</v>
      </c>
      <c r="G4642" s="0" t="s">
        <v>18698</v>
      </c>
    </row>
    <row r="4643" customFormat="false" ht="15" hidden="false" customHeight="false" outlineLevel="0" collapsed="false">
      <c r="A4643" s="0" t="n">
        <v>3820</v>
      </c>
      <c r="B4643" s="0" t="n">
        <v>22447</v>
      </c>
      <c r="C4643" s="0" t="s">
        <v>15615</v>
      </c>
      <c r="D4643" s="0" t="s">
        <v>5</v>
      </c>
      <c r="E4643" s="0" t="e">
        <f aca="false">IFERROR(__xludf.dummyfunction("xlookup(aj3820,importrange("1xainw9du9nz21v0tyi))</f>
        <v>#VALUE!</v>
      </c>
      <c r="F4643" s="0" t="s">
        <v>15616</v>
      </c>
      <c r="G4643" s="0" t="s">
        <v>18698</v>
      </c>
    </row>
    <row r="4644" customFormat="false" ht="15" hidden="false" customHeight="false" outlineLevel="0" collapsed="false">
      <c r="A4644" s="0" t="n">
        <v>3821</v>
      </c>
      <c r="B4644" s="0" t="n">
        <v>22448</v>
      </c>
      <c r="C4644" s="0" t="s">
        <v>15620</v>
      </c>
      <c r="D4644" s="0" t="s">
        <v>5</v>
      </c>
      <c r="E4644" s="0" t="e">
        <f aca="false">IFERROR(__xludf.dummyfunction("xlookup(aj3821,importrange("1xainw9du9nz21v0tyi))</f>
        <v>#VALUE!</v>
      </c>
      <c r="F4644" s="0" t="s">
        <v>15621</v>
      </c>
      <c r="G4644" s="0" t="s">
        <v>18698</v>
      </c>
    </row>
    <row r="4645" customFormat="false" ht="15" hidden="false" customHeight="false" outlineLevel="0" collapsed="false">
      <c r="A4645" s="0" t="n">
        <v>3825</v>
      </c>
      <c r="B4645" s="0" t="n">
        <v>22452</v>
      </c>
      <c r="C4645" s="0" t="s">
        <v>15638</v>
      </c>
      <c r="D4645" s="0" t="s">
        <v>5</v>
      </c>
      <c r="E4645" s="0" t="e">
        <f aca="false">IFERROR(__xludf.dummyfunction("xlookup(aj3825,importrange("1xainw9du9nz21v0tyi))</f>
        <v>#VALUE!</v>
      </c>
      <c r="F4645" s="0" t="s">
        <v>15639</v>
      </c>
      <c r="G4645" s="0" t="s">
        <v>18698</v>
      </c>
    </row>
    <row r="4646" customFormat="false" ht="15" hidden="false" customHeight="false" outlineLevel="0" collapsed="false">
      <c r="A4646" s="0" t="n">
        <v>3826</v>
      </c>
      <c r="B4646" s="0" t="n">
        <v>22453</v>
      </c>
      <c r="C4646" s="0" t="s">
        <v>15642</v>
      </c>
      <c r="D4646" s="0" t="s">
        <v>5</v>
      </c>
      <c r="E4646" s="0" t="e">
        <f aca="false">IFERROR(__xludf.dummyfunction("xlookup(aj3826,importrange("1xainw9du9nz21v0tyi))</f>
        <v>#VALUE!</v>
      </c>
      <c r="F4646" s="0" t="s">
        <v>15643</v>
      </c>
      <c r="G4646" s="0" t="s">
        <v>18698</v>
      </c>
    </row>
    <row r="4647" customFormat="false" ht="15" hidden="false" customHeight="false" outlineLevel="0" collapsed="false">
      <c r="A4647" s="0" t="n">
        <v>3827</v>
      </c>
      <c r="B4647" s="0" t="n">
        <v>22454</v>
      </c>
      <c r="C4647" s="0" t="s">
        <v>15647</v>
      </c>
      <c r="D4647" s="0" t="s">
        <v>5</v>
      </c>
      <c r="E4647" s="0" t="e">
        <f aca="false">IFERROR(__xludf.dummyfunction("xlookup(aj3827,importrange("1xainw9du9nz21v0tyi))</f>
        <v>#VALUE!</v>
      </c>
      <c r="F4647" s="0" t="s">
        <v>15648</v>
      </c>
      <c r="G4647" s="0" t="s">
        <v>18698</v>
      </c>
    </row>
    <row r="4648" customFormat="false" ht="15" hidden="false" customHeight="false" outlineLevel="0" collapsed="false">
      <c r="A4648" s="0" t="n">
        <v>3828</v>
      </c>
      <c r="B4648" s="0" t="n">
        <v>22455</v>
      </c>
      <c r="C4648" s="0" t="s">
        <v>15651</v>
      </c>
      <c r="D4648" s="0" t="s">
        <v>5</v>
      </c>
      <c r="E4648" s="0" t="e">
        <f aca="false">IFERROR(__xludf.dummyfunction("xlookup(aj3828,importrange("1xainw9du9nz21v0tyi))</f>
        <v>#VALUE!</v>
      </c>
      <c r="F4648" s="0" t="s">
        <v>15652</v>
      </c>
      <c r="G4648" s="0" t="s">
        <v>18698</v>
      </c>
    </row>
    <row r="4649" customFormat="false" ht="15" hidden="false" customHeight="false" outlineLevel="0" collapsed="false">
      <c r="A4649" s="0" t="n">
        <v>3829</v>
      </c>
      <c r="B4649" s="0" t="n">
        <v>22456</v>
      </c>
      <c r="C4649" s="0" t="s">
        <v>15655</v>
      </c>
      <c r="D4649" s="0" t="s">
        <v>5</v>
      </c>
      <c r="E4649" s="0" t="e">
        <f aca="false">IFERROR(__xludf.dummyfunction("xlookup(aj3829,importrange("1xainw9du9nz21v0tyi))</f>
        <v>#VALUE!</v>
      </c>
      <c r="F4649" s="0" t="s">
        <v>15656</v>
      </c>
      <c r="G4649" s="0" t="s">
        <v>18698</v>
      </c>
    </row>
    <row r="4650" customFormat="false" ht="15" hidden="false" customHeight="false" outlineLevel="0" collapsed="false">
      <c r="A4650" s="0" t="n">
        <v>3830</v>
      </c>
      <c r="B4650" s="0" t="n">
        <v>22457</v>
      </c>
      <c r="C4650" s="0" t="s">
        <v>15660</v>
      </c>
      <c r="D4650" s="0" t="s">
        <v>5</v>
      </c>
      <c r="E4650" s="0" t="e">
        <f aca="false">IFERROR(__xludf.dummyfunction("xlookup(aj3830,importrange("1xainw9du9nz21v0tyi))</f>
        <v>#VALUE!</v>
      </c>
      <c r="F4650" s="0" t="s">
        <v>15661</v>
      </c>
      <c r="G4650" s="0" t="s">
        <v>18698</v>
      </c>
    </row>
    <row r="4651" customFormat="false" ht="15" hidden="false" customHeight="false" outlineLevel="0" collapsed="false">
      <c r="A4651" s="0" t="n">
        <v>3831</v>
      </c>
      <c r="B4651" s="0" t="n">
        <v>22458</v>
      </c>
      <c r="C4651" s="0" t="s">
        <v>15665</v>
      </c>
      <c r="D4651" s="0" t="s">
        <v>5</v>
      </c>
      <c r="E4651" s="0" t="e">
        <f aca="false">IFERROR(__xludf.dummyfunction("xlookup(aj3831,importrange("1xainw9du9nz21v0tyi))</f>
        <v>#VALUE!</v>
      </c>
      <c r="F4651" s="0" t="s">
        <v>15666</v>
      </c>
      <c r="G4651" s="0" t="s">
        <v>18698</v>
      </c>
    </row>
    <row r="4652" customFormat="false" ht="15" hidden="false" customHeight="false" outlineLevel="0" collapsed="false">
      <c r="A4652" s="0" t="n">
        <v>3832</v>
      </c>
      <c r="B4652" s="0" t="n">
        <v>22459</v>
      </c>
      <c r="C4652" s="0" t="s">
        <v>15670</v>
      </c>
      <c r="D4652" s="0" t="s">
        <v>5</v>
      </c>
      <c r="E4652" s="0" t="e">
        <f aca="false">IFERROR(__xludf.dummyfunction("xlookup(aj3832,importrange("1xainw9du9nz21v0tyi))</f>
        <v>#VALUE!</v>
      </c>
      <c r="F4652" s="0" t="s">
        <v>15671</v>
      </c>
      <c r="G4652" s="0" t="s">
        <v>18698</v>
      </c>
    </row>
    <row r="4653" customFormat="false" ht="15" hidden="false" customHeight="false" outlineLevel="0" collapsed="false">
      <c r="A4653" s="0" t="n">
        <v>3833</v>
      </c>
      <c r="B4653" s="0" t="n">
        <v>22460</v>
      </c>
      <c r="C4653" s="0" t="s">
        <v>15674</v>
      </c>
      <c r="D4653" s="0" t="s">
        <v>5</v>
      </c>
      <c r="E4653" s="0" t="e">
        <f aca="false">IFERROR(__xludf.dummyfunction("xlookup(aj3833,importrange("1xainw9du9nz21v0tyi))</f>
        <v>#VALUE!</v>
      </c>
      <c r="F4653" s="0" t="s">
        <v>15675</v>
      </c>
      <c r="G4653" s="0" t="s">
        <v>18698</v>
      </c>
    </row>
    <row r="4654" customFormat="false" ht="15" hidden="false" customHeight="false" outlineLevel="0" collapsed="false">
      <c r="A4654" s="0" t="n">
        <v>3834</v>
      </c>
      <c r="B4654" s="0" t="n">
        <v>22461</v>
      </c>
      <c r="C4654" s="0" t="s">
        <v>15678</v>
      </c>
      <c r="D4654" s="0" t="s">
        <v>5</v>
      </c>
      <c r="E4654" s="0" t="e">
        <f aca="false">IFERROR(__xludf.dummyfunction("xlookup(aj3834,importrange("1xainw9du9nz21v0tyi))</f>
        <v>#VALUE!</v>
      </c>
      <c r="F4654" s="0" t="s">
        <v>15679</v>
      </c>
      <c r="G4654" s="0" t="s">
        <v>18698</v>
      </c>
    </row>
    <row r="4655" customFormat="false" ht="15" hidden="false" customHeight="false" outlineLevel="0" collapsed="false">
      <c r="A4655" s="0" t="n">
        <v>3835</v>
      </c>
      <c r="B4655" s="0" t="n">
        <v>22462</v>
      </c>
      <c r="C4655" s="0" t="s">
        <v>15683</v>
      </c>
      <c r="D4655" s="0" t="s">
        <v>5</v>
      </c>
      <c r="E4655" s="0" t="e">
        <f aca="false">IFERROR(__xludf.dummyfunction("xlookup(aj3835,importrange("1xainw9du9nz21v0tyi))</f>
        <v>#VALUE!</v>
      </c>
      <c r="F4655" s="0" t="s">
        <v>15684</v>
      </c>
      <c r="G4655" s="0" t="s">
        <v>18698</v>
      </c>
    </row>
    <row r="4656" customFormat="false" ht="15" hidden="false" customHeight="false" outlineLevel="0" collapsed="false">
      <c r="A4656" s="0" t="n">
        <v>3836</v>
      </c>
      <c r="B4656" s="0" t="n">
        <v>22463</v>
      </c>
      <c r="C4656" s="0" t="s">
        <v>15688</v>
      </c>
      <c r="D4656" s="0" t="s">
        <v>5</v>
      </c>
      <c r="E4656" s="0" t="e">
        <f aca="false">IFERROR(__xludf.dummyfunction("xlookup(aj3836,importrange("1xainw9du9nz21v0tyi))</f>
        <v>#VALUE!</v>
      </c>
      <c r="F4656" s="0" t="s">
        <v>15689</v>
      </c>
      <c r="G4656" s="0" t="s">
        <v>18698</v>
      </c>
    </row>
    <row r="4657" customFormat="false" ht="15" hidden="false" customHeight="false" outlineLevel="0" collapsed="false">
      <c r="A4657" s="0" t="n">
        <v>3837</v>
      </c>
      <c r="B4657" s="0" t="n">
        <v>22464</v>
      </c>
      <c r="C4657" s="0" t="s">
        <v>15692</v>
      </c>
      <c r="D4657" s="0" t="s">
        <v>5</v>
      </c>
      <c r="E4657" s="0" t="e">
        <f aca="false">IFERROR(__xludf.dummyfunction("xlookup(aj3837,importrange("1xainw9du9nz21v0tyi))</f>
        <v>#VALUE!</v>
      </c>
      <c r="F4657" s="0" t="s">
        <v>15693</v>
      </c>
      <c r="G4657" s="0" t="s">
        <v>18698</v>
      </c>
    </row>
    <row r="4658" customFormat="false" ht="15" hidden="false" customHeight="false" outlineLevel="0" collapsed="false">
      <c r="A4658" s="0" t="n">
        <v>3838</v>
      </c>
      <c r="B4658" s="0" t="n">
        <v>22465</v>
      </c>
      <c r="C4658" s="0" t="s">
        <v>15696</v>
      </c>
      <c r="D4658" s="0" t="s">
        <v>5</v>
      </c>
      <c r="E4658" s="0" t="e">
        <f aca="false">IFERROR(__xludf.dummyfunction("xlookup(aj3838,importrange("1xainw9du9nz21v0tyi))</f>
        <v>#VALUE!</v>
      </c>
      <c r="F4658" s="0" t="s">
        <v>15697</v>
      </c>
      <c r="G4658" s="0" t="s">
        <v>18698</v>
      </c>
    </row>
    <row r="4659" customFormat="false" ht="15" hidden="false" customHeight="false" outlineLevel="0" collapsed="false">
      <c r="A4659" s="0" t="n">
        <v>3839</v>
      </c>
      <c r="B4659" s="0" t="n">
        <v>22466</v>
      </c>
      <c r="C4659" s="0" t="s">
        <v>15700</v>
      </c>
      <c r="D4659" s="0" t="s">
        <v>5</v>
      </c>
      <c r="E4659" s="0" t="e">
        <f aca="false">IFERROR(__xludf.dummyfunction("xlookup(aj3839,importrange("1xainw9du9nz21v0tyi))</f>
        <v>#VALUE!</v>
      </c>
      <c r="F4659" s="0" t="s">
        <v>15701</v>
      </c>
      <c r="G4659" s="0" t="s">
        <v>18698</v>
      </c>
    </row>
    <row r="4660" customFormat="false" ht="15" hidden="false" customHeight="false" outlineLevel="0" collapsed="false">
      <c r="A4660" s="0" t="n">
        <v>3840</v>
      </c>
      <c r="B4660" s="0" t="n">
        <v>22467</v>
      </c>
      <c r="C4660" s="0" t="s">
        <v>15704</v>
      </c>
      <c r="D4660" s="0" t="s">
        <v>5</v>
      </c>
      <c r="E4660" s="0" t="e">
        <f aca="false">IFERROR(__xludf.dummyfunction("xlookup(aj3840,importrange("1xainw9du9nz21v0tyi))</f>
        <v>#VALUE!</v>
      </c>
      <c r="F4660" s="0" t="s">
        <v>15705</v>
      </c>
      <c r="G4660" s="0" t="s">
        <v>18698</v>
      </c>
    </row>
    <row r="4661" customFormat="false" ht="15" hidden="false" customHeight="false" outlineLevel="0" collapsed="false">
      <c r="A4661" s="0" t="n">
        <v>3841</v>
      </c>
      <c r="B4661" s="0" t="n">
        <v>22468</v>
      </c>
      <c r="C4661" s="0" t="s">
        <v>15708</v>
      </c>
      <c r="D4661" s="0" t="s">
        <v>5</v>
      </c>
      <c r="E4661" s="0" t="e">
        <f aca="false">IFERROR(__xludf.dummyfunction("xlookup(aj3841,importrange("1xainw9du9nz21v0tyi))</f>
        <v>#VALUE!</v>
      </c>
      <c r="F4661" s="0" t="s">
        <v>15709</v>
      </c>
      <c r="G4661" s="0" t="s">
        <v>18698</v>
      </c>
    </row>
    <row r="4662" customFormat="false" ht="15" hidden="false" customHeight="false" outlineLevel="0" collapsed="false">
      <c r="A4662" s="0" t="n">
        <v>3842</v>
      </c>
      <c r="B4662" s="0" t="n">
        <v>22469</v>
      </c>
      <c r="C4662" s="0" t="s">
        <v>15712</v>
      </c>
      <c r="D4662" s="0" t="s">
        <v>5</v>
      </c>
      <c r="E4662" s="0" t="e">
        <f aca="false">IFERROR(__xludf.dummyfunction("xlookup(aj3842,importrange("1xainw9du9nz21v0tyi))</f>
        <v>#VALUE!</v>
      </c>
      <c r="F4662" s="0" t="s">
        <v>15713</v>
      </c>
      <c r="G4662" s="0" t="s">
        <v>18698</v>
      </c>
    </row>
    <row r="4663" customFormat="false" ht="15" hidden="false" customHeight="false" outlineLevel="0" collapsed="false">
      <c r="A4663" s="0" t="n">
        <v>3843</v>
      </c>
      <c r="B4663" s="0" t="n">
        <v>22470</v>
      </c>
      <c r="C4663" s="0" t="s">
        <v>15716</v>
      </c>
      <c r="D4663" s="0" t="s">
        <v>5</v>
      </c>
      <c r="E4663" s="0" t="e">
        <f aca="false">IFERROR(__xludf.dummyfunction("xlookup(aj3843,importrange("1xainw9du9nz21v0tyi))</f>
        <v>#VALUE!</v>
      </c>
      <c r="F4663" s="0" t="s">
        <v>15717</v>
      </c>
      <c r="G4663" s="0" t="s">
        <v>18698</v>
      </c>
    </row>
    <row r="4664" customFormat="false" ht="15" hidden="false" customHeight="false" outlineLevel="0" collapsed="false">
      <c r="A4664" s="0" t="n">
        <v>3844</v>
      </c>
      <c r="B4664" s="0" t="n">
        <v>22471</v>
      </c>
      <c r="C4664" s="0" t="s">
        <v>15720</v>
      </c>
      <c r="D4664" s="0" t="s">
        <v>5</v>
      </c>
      <c r="E4664" s="0" t="e">
        <f aca="false">IFERROR(__xludf.dummyfunction("xlookup(aj3844,importrange("1xainw9du9nz21v0tyi))</f>
        <v>#VALUE!</v>
      </c>
      <c r="F4664" s="0" t="s">
        <v>15721</v>
      </c>
      <c r="G4664" s="0" t="s">
        <v>18698</v>
      </c>
    </row>
    <row r="4665" customFormat="false" ht="15" hidden="false" customHeight="false" outlineLevel="0" collapsed="false">
      <c r="A4665" s="0" t="n">
        <v>3845</v>
      </c>
      <c r="B4665" s="0" t="n">
        <v>22472</v>
      </c>
      <c r="C4665" s="0" t="s">
        <v>15724</v>
      </c>
      <c r="D4665" s="0" t="s">
        <v>5</v>
      </c>
      <c r="E4665" s="0" t="e">
        <f aca="false">IFERROR(__xludf.dummyfunction("xlookup(aj3845,importrange("1xainw9du9nz21v0tyi))</f>
        <v>#VALUE!</v>
      </c>
      <c r="F4665" s="0" t="s">
        <v>15725</v>
      </c>
      <c r="G4665" s="0" t="s">
        <v>18698</v>
      </c>
    </row>
    <row r="4666" customFormat="false" ht="15" hidden="false" customHeight="false" outlineLevel="0" collapsed="false">
      <c r="A4666" s="0" t="n">
        <v>3846</v>
      </c>
      <c r="B4666" s="0" t="n">
        <v>22473</v>
      </c>
      <c r="C4666" s="0" t="s">
        <v>15728</v>
      </c>
      <c r="D4666" s="0" t="s">
        <v>5</v>
      </c>
      <c r="E4666" s="0" t="e">
        <f aca="false">IFERROR(__xludf.dummyfunction("xlookup(aj3846,importrange("1xainw9du9nz21v0tyi))</f>
        <v>#VALUE!</v>
      </c>
      <c r="F4666" s="0" t="s">
        <v>15729</v>
      </c>
      <c r="G4666" s="0" t="s">
        <v>18698</v>
      </c>
    </row>
    <row r="4667" customFormat="false" ht="15" hidden="false" customHeight="false" outlineLevel="0" collapsed="false">
      <c r="A4667" s="0" t="n">
        <v>3847</v>
      </c>
      <c r="B4667" s="0" t="n">
        <v>22474</v>
      </c>
      <c r="C4667" s="0" t="s">
        <v>15733</v>
      </c>
      <c r="D4667" s="0" t="s">
        <v>5</v>
      </c>
      <c r="E4667" s="0" t="e">
        <f aca="false">IFERROR(__xludf.dummyfunction("xlookup(aj3847,importrange("1xainw9du9nz21v0tyi))</f>
        <v>#VALUE!</v>
      </c>
      <c r="F4667" s="0" t="s">
        <v>15734</v>
      </c>
      <c r="G4667" s="0" t="s">
        <v>18698</v>
      </c>
    </row>
    <row r="4668" customFormat="false" ht="15" hidden="false" customHeight="false" outlineLevel="0" collapsed="false">
      <c r="A4668" s="0" t="n">
        <v>3848</v>
      </c>
      <c r="B4668" s="0" t="n">
        <v>22559</v>
      </c>
      <c r="C4668" s="0" t="s">
        <v>15738</v>
      </c>
      <c r="D4668" s="0" t="s">
        <v>5</v>
      </c>
      <c r="E4668" s="0" t="e">
        <f aca="false">IFERROR(__xludf.dummyfunction("xlookup(aj3848,importrange("1xainw9du9nz21v0tyi))</f>
        <v>#VALUE!</v>
      </c>
      <c r="F4668" s="0" t="s">
        <v>15739</v>
      </c>
      <c r="G4668" s="0" t="s">
        <v>18698</v>
      </c>
    </row>
    <row r="4669" customFormat="false" ht="15" hidden="false" customHeight="false" outlineLevel="0" collapsed="false">
      <c r="A4669" s="0" t="n">
        <v>3852</v>
      </c>
      <c r="B4669" s="0" t="n">
        <v>22479</v>
      </c>
      <c r="C4669" s="0" t="s">
        <v>15754</v>
      </c>
      <c r="D4669" s="0" t="s">
        <v>5</v>
      </c>
      <c r="E4669" s="0" t="e">
        <f aca="false">IFERROR(__xludf.dummyfunction("xlookup(aj3852,importrange("1xainw9du9nz21v0tyi))</f>
        <v>#VALUE!</v>
      </c>
      <c r="F4669" s="0" t="s">
        <v>15755</v>
      </c>
      <c r="G4669" s="0" t="s">
        <v>18698</v>
      </c>
    </row>
    <row r="4670" customFormat="false" ht="15" hidden="false" customHeight="false" outlineLevel="0" collapsed="false">
      <c r="A4670" s="0" t="n">
        <v>3856</v>
      </c>
      <c r="B4670" s="0" t="n">
        <v>22483</v>
      </c>
      <c r="C4670" s="0" t="s">
        <v>15771</v>
      </c>
      <c r="D4670" s="0" t="s">
        <v>5</v>
      </c>
      <c r="E4670" s="0" t="e">
        <f aca="false">IFERROR(__xludf.dummyfunction("xlookup(aj3856,importrange("1xainw9du9nz21v0tyi))</f>
        <v>#VALUE!</v>
      </c>
      <c r="F4670" s="0" t="s">
        <v>15772</v>
      </c>
      <c r="G4670" s="0" t="s">
        <v>18698</v>
      </c>
    </row>
    <row r="4671" customFormat="false" ht="15" hidden="false" customHeight="false" outlineLevel="0" collapsed="false">
      <c r="A4671" s="0" t="n">
        <v>3857</v>
      </c>
      <c r="B4671" s="0" t="n">
        <v>22484</v>
      </c>
      <c r="C4671" s="0" t="s">
        <v>15778</v>
      </c>
      <c r="D4671" s="0" t="s">
        <v>5</v>
      </c>
      <c r="E4671" s="0" t="e">
        <f aca="false">IFERROR(__xludf.dummyfunction("xlookup(aj3857,importrange("1xainw9du9nz21v0tyi))</f>
        <v>#VALUE!</v>
      </c>
      <c r="F4671" s="0" t="s">
        <v>15779</v>
      </c>
      <c r="G4671" s="0" t="s">
        <v>18698</v>
      </c>
    </row>
    <row r="4672" customFormat="false" ht="15" hidden="false" customHeight="false" outlineLevel="0" collapsed="false">
      <c r="A4672" s="0" t="n">
        <v>3858</v>
      </c>
      <c r="B4672" s="0" t="n">
        <v>22485</v>
      </c>
      <c r="C4672" s="0" t="s">
        <v>15782</v>
      </c>
      <c r="D4672" s="0" t="s">
        <v>5</v>
      </c>
      <c r="E4672" s="0" t="e">
        <f aca="false">IFERROR(__xludf.dummyfunction("xlookup(aj3858,importrange("1xainw9du9nz21v0tyi))</f>
        <v>#VALUE!</v>
      </c>
      <c r="F4672" s="0" t="s">
        <v>15783</v>
      </c>
      <c r="G4672" s="0" t="s">
        <v>18698</v>
      </c>
    </row>
    <row r="4673" customFormat="false" ht="15" hidden="false" customHeight="false" outlineLevel="0" collapsed="false">
      <c r="A4673" s="0" t="n">
        <v>3859</v>
      </c>
      <c r="B4673" s="0" t="n">
        <v>22486</v>
      </c>
      <c r="C4673" s="0" t="s">
        <v>15787</v>
      </c>
      <c r="D4673" s="0" t="s">
        <v>5</v>
      </c>
      <c r="E4673" s="0" t="e">
        <f aca="false">IFERROR(__xludf.dummyfunction("xlookup(aj3859,importrange("1xainw9du9nz21v0tyi))</f>
        <v>#VALUE!</v>
      </c>
      <c r="F4673" s="0" t="s">
        <v>15788</v>
      </c>
      <c r="G4673" s="0" t="s">
        <v>18698</v>
      </c>
    </row>
    <row r="4674" customFormat="false" ht="15" hidden="false" customHeight="false" outlineLevel="0" collapsed="false">
      <c r="A4674" s="0" t="n">
        <v>3860</v>
      </c>
      <c r="B4674" s="0" t="n">
        <v>22487</v>
      </c>
      <c r="C4674" s="0" t="s">
        <v>15792</v>
      </c>
      <c r="D4674" s="0" t="s">
        <v>5</v>
      </c>
      <c r="E4674" s="0" t="e">
        <f aca="false">IFERROR(__xludf.dummyfunction("xlookup(aj3860,importrange("1xainw9du9nz21v0tyi))</f>
        <v>#VALUE!</v>
      </c>
      <c r="F4674" s="0" t="s">
        <v>15793</v>
      </c>
      <c r="G4674" s="0" t="s">
        <v>18698</v>
      </c>
    </row>
    <row r="4675" customFormat="false" ht="15" hidden="false" customHeight="false" outlineLevel="0" collapsed="false">
      <c r="A4675" s="0" t="n">
        <v>3861</v>
      </c>
      <c r="B4675" s="0" t="n">
        <v>22488</v>
      </c>
      <c r="C4675" s="0" t="s">
        <v>15798</v>
      </c>
      <c r="D4675" s="0" t="s">
        <v>5</v>
      </c>
      <c r="E4675" s="0" t="e">
        <f aca="false">IFERROR(__xludf.dummyfunction("xlookup(aj3861,importrange("1xainw9du9nz21v0tyi))</f>
        <v>#VALUE!</v>
      </c>
      <c r="F4675" s="0" t="s">
        <v>15799</v>
      </c>
      <c r="G4675" s="0" t="s">
        <v>18698</v>
      </c>
    </row>
    <row r="4676" customFormat="false" ht="15" hidden="false" customHeight="false" outlineLevel="0" collapsed="false">
      <c r="A4676" s="0" t="n">
        <v>3862</v>
      </c>
      <c r="B4676" s="0" t="n">
        <v>22489</v>
      </c>
      <c r="C4676" s="0" t="s">
        <v>15802</v>
      </c>
      <c r="D4676" s="0" t="s">
        <v>5</v>
      </c>
      <c r="E4676" s="0" t="e">
        <f aca="false">IFERROR(__xludf.dummyfunction("xlookup(aj3862,importrange("1xainw9du9nz21v0tyi))</f>
        <v>#VALUE!</v>
      </c>
      <c r="F4676" s="0" t="s">
        <v>15803</v>
      </c>
      <c r="G4676" s="0" t="s">
        <v>18698</v>
      </c>
    </row>
    <row r="4677" customFormat="false" ht="15" hidden="false" customHeight="false" outlineLevel="0" collapsed="false">
      <c r="A4677" s="0" t="n">
        <v>3863</v>
      </c>
      <c r="B4677" s="0" t="n">
        <v>22490</v>
      </c>
      <c r="C4677" s="0" t="s">
        <v>15808</v>
      </c>
      <c r="D4677" s="0" t="s">
        <v>5</v>
      </c>
      <c r="E4677" s="0" t="e">
        <f aca="false">IFERROR(__xludf.dummyfunction("xlookup(aj3863,importrange("1xainw9du9nz21v0tyi))</f>
        <v>#VALUE!</v>
      </c>
      <c r="F4677" s="0" t="s">
        <v>15809</v>
      </c>
      <c r="G4677" s="0" t="s">
        <v>18698</v>
      </c>
    </row>
    <row r="4678" customFormat="false" ht="15" hidden="false" customHeight="false" outlineLevel="0" collapsed="false">
      <c r="A4678" s="0" t="n">
        <v>3864</v>
      </c>
      <c r="B4678" s="0" t="n">
        <v>22491</v>
      </c>
      <c r="C4678" s="0" t="s">
        <v>15814</v>
      </c>
      <c r="D4678" s="0" t="s">
        <v>5</v>
      </c>
      <c r="E4678" s="0" t="e">
        <f aca="false">IFERROR(__xludf.dummyfunction("xlookup(aj3864,importrange("1xainw9du9nz21v0tyi))</f>
        <v>#VALUE!</v>
      </c>
      <c r="F4678" s="0" t="s">
        <v>15815</v>
      </c>
      <c r="G4678" s="0" t="s">
        <v>18698</v>
      </c>
    </row>
    <row r="4679" customFormat="false" ht="15" hidden="false" customHeight="false" outlineLevel="0" collapsed="false">
      <c r="A4679" s="0" t="n">
        <v>3865</v>
      </c>
      <c r="B4679" s="0" t="n">
        <v>22492</v>
      </c>
      <c r="C4679" s="0" t="s">
        <v>15819</v>
      </c>
      <c r="D4679" s="0" t="s">
        <v>5</v>
      </c>
      <c r="E4679" s="0" t="e">
        <f aca="false">IFERROR(__xludf.dummyfunction("xlookup(aj3865,importrange("1xainw9du9nz21v0tyi))</f>
        <v>#VALUE!</v>
      </c>
      <c r="F4679" s="0" t="s">
        <v>15820</v>
      </c>
      <c r="G4679" s="0" t="s">
        <v>18698</v>
      </c>
    </row>
    <row r="4680" customFormat="false" ht="15" hidden="false" customHeight="false" outlineLevel="0" collapsed="false">
      <c r="A4680" s="0" t="n">
        <v>3866</v>
      </c>
      <c r="B4680" s="0" t="n">
        <v>22493</v>
      </c>
      <c r="C4680" s="0" t="s">
        <v>15825</v>
      </c>
      <c r="D4680" s="0" t="s">
        <v>5</v>
      </c>
      <c r="E4680" s="0" t="e">
        <f aca="false">IFERROR(__xludf.dummyfunction("xlookup(aj3866,importrange("1xainw9du9nz21v0tyi))</f>
        <v>#VALUE!</v>
      </c>
      <c r="F4680" s="0" t="s">
        <v>15826</v>
      </c>
      <c r="G4680" s="0" t="s">
        <v>18698</v>
      </c>
    </row>
    <row r="4681" customFormat="false" ht="15" hidden="false" customHeight="false" outlineLevel="0" collapsed="false">
      <c r="A4681" s="0" t="n">
        <v>3867</v>
      </c>
      <c r="B4681" s="0" t="n">
        <v>22494</v>
      </c>
      <c r="C4681" s="0" t="s">
        <v>15830</v>
      </c>
      <c r="D4681" s="0" t="s">
        <v>5</v>
      </c>
      <c r="E4681" s="0" t="e">
        <f aca="false">IFERROR(__xludf.dummyfunction("xlookup(aj3867,importrange("1xainw9du9nz21v0tyi))</f>
        <v>#VALUE!</v>
      </c>
      <c r="F4681" s="0" t="s">
        <v>15831</v>
      </c>
      <c r="G4681" s="0" t="s">
        <v>18698</v>
      </c>
    </row>
    <row r="4682" customFormat="false" ht="15" hidden="false" customHeight="false" outlineLevel="0" collapsed="false">
      <c r="A4682" s="0" t="n">
        <v>3868</v>
      </c>
      <c r="B4682" s="0" t="n">
        <v>22495</v>
      </c>
      <c r="C4682" s="0" t="s">
        <v>15834</v>
      </c>
      <c r="D4682" s="0" t="s">
        <v>5</v>
      </c>
      <c r="E4682" s="0" t="e">
        <f aca="false">IFERROR(__xludf.dummyfunction("xlookup(aj3868,importrange("1xainw9du9nz21v0tyi))</f>
        <v>#VALUE!</v>
      </c>
      <c r="F4682" s="0" t="s">
        <v>15835</v>
      </c>
      <c r="G4682" s="0" t="s">
        <v>18698</v>
      </c>
    </row>
    <row r="4683" customFormat="false" ht="15" hidden="false" customHeight="false" outlineLevel="0" collapsed="false">
      <c r="A4683" s="0" t="n">
        <v>3869</v>
      </c>
      <c r="B4683" s="0" t="n">
        <v>22496</v>
      </c>
      <c r="C4683" s="0" t="s">
        <v>15838</v>
      </c>
      <c r="D4683" s="0" t="s">
        <v>5</v>
      </c>
      <c r="E4683" s="0" t="e">
        <f aca="false">IFERROR(__xludf.dummyfunction("xlookup(aj3869,importrange("1xainw9du9nz21v0tyi))</f>
        <v>#VALUE!</v>
      </c>
      <c r="F4683" s="0" t="s">
        <v>15839</v>
      </c>
      <c r="G4683" s="0" t="s">
        <v>18698</v>
      </c>
    </row>
    <row r="4684" customFormat="false" ht="15" hidden="false" customHeight="false" outlineLevel="0" collapsed="false">
      <c r="A4684" s="0" t="n">
        <v>3870</v>
      </c>
      <c r="B4684" s="0" t="n">
        <v>22497</v>
      </c>
      <c r="C4684" s="0" t="s">
        <v>15842</v>
      </c>
      <c r="D4684" s="0" t="s">
        <v>5</v>
      </c>
      <c r="E4684" s="0" t="e">
        <f aca="false">IFERROR(__xludf.dummyfunction("xlookup(aj3870,importrange("1xainw9du9nz21v0tyi))</f>
        <v>#VALUE!</v>
      </c>
      <c r="F4684" s="0" t="s">
        <v>15843</v>
      </c>
      <c r="G4684" s="0" t="s">
        <v>18698</v>
      </c>
    </row>
    <row r="4685" customFormat="false" ht="15" hidden="false" customHeight="false" outlineLevel="0" collapsed="false">
      <c r="A4685" s="0" t="n">
        <v>3871</v>
      </c>
      <c r="B4685" s="0" t="n">
        <v>22498</v>
      </c>
      <c r="C4685" s="0" t="s">
        <v>15846</v>
      </c>
      <c r="D4685" s="0" t="s">
        <v>5</v>
      </c>
      <c r="E4685" s="0" t="e">
        <f aca="false">IFERROR(__xludf.dummyfunction("xlookup(aj3871,importrange("1xainw9du9nz21v0tyi))</f>
        <v>#VALUE!</v>
      </c>
      <c r="F4685" s="0" t="s">
        <v>15847</v>
      </c>
      <c r="G4685" s="0" t="s">
        <v>18698</v>
      </c>
    </row>
    <row r="4686" customFormat="false" ht="15" hidden="false" customHeight="false" outlineLevel="0" collapsed="false">
      <c r="A4686" s="0" t="n">
        <v>3872</v>
      </c>
      <c r="B4686" s="0" t="n">
        <v>22499</v>
      </c>
      <c r="C4686" s="0" t="s">
        <v>15850</v>
      </c>
      <c r="D4686" s="0" t="s">
        <v>5</v>
      </c>
      <c r="E4686" s="0" t="e">
        <f aca="false">IFERROR(__xludf.dummyfunction("xlookup(aj3872,importrange("1xainw9du9nz21v0tyi))</f>
        <v>#VALUE!</v>
      </c>
      <c r="F4686" s="0" t="s">
        <v>15851</v>
      </c>
      <c r="G4686" s="0" t="s">
        <v>18698</v>
      </c>
    </row>
    <row r="4687" customFormat="false" ht="15" hidden="false" customHeight="false" outlineLevel="0" collapsed="false">
      <c r="A4687" s="0" t="n">
        <v>3873</v>
      </c>
      <c r="B4687" s="0" t="n">
        <v>22500</v>
      </c>
      <c r="C4687" s="0" t="s">
        <v>15856</v>
      </c>
      <c r="D4687" s="0" t="s">
        <v>5</v>
      </c>
      <c r="E4687" s="0" t="e">
        <f aca="false">IFERROR(__xludf.dummyfunction("xlookup(aj3873,importrange("1xainw9du9nz21v0tyi))</f>
        <v>#VALUE!</v>
      </c>
      <c r="F4687" s="0" t="s">
        <v>15857</v>
      </c>
      <c r="G4687" s="0" t="s">
        <v>18698</v>
      </c>
    </row>
    <row r="4688" customFormat="false" ht="15" hidden="false" customHeight="false" outlineLevel="0" collapsed="false">
      <c r="A4688" s="0" t="n">
        <v>3874</v>
      </c>
      <c r="B4688" s="0" t="n">
        <v>22501</v>
      </c>
      <c r="C4688" s="0" t="s">
        <v>15861</v>
      </c>
      <c r="D4688" s="0" t="s">
        <v>5</v>
      </c>
      <c r="E4688" s="0" t="e">
        <f aca="false">IFERROR(__xludf.dummyfunction("xlookup(aj3874,importrange("1xainw9du9nz21v0tyi))</f>
        <v>#VALUE!</v>
      </c>
      <c r="F4688" s="0" t="s">
        <v>15862</v>
      </c>
      <c r="G4688" s="0" t="s">
        <v>18698</v>
      </c>
    </row>
    <row r="4689" customFormat="false" ht="15" hidden="false" customHeight="false" outlineLevel="0" collapsed="false">
      <c r="A4689" s="0" t="n">
        <v>3875</v>
      </c>
      <c r="B4689" s="0" t="n">
        <v>22502</v>
      </c>
      <c r="C4689" s="0" t="s">
        <v>15865</v>
      </c>
      <c r="D4689" s="0" t="s">
        <v>5</v>
      </c>
      <c r="E4689" s="0" t="e">
        <f aca="false">IFERROR(__xludf.dummyfunction("xlookup(aj3875,importrange("1xainw9du9nz21v0tyi))</f>
        <v>#VALUE!</v>
      </c>
      <c r="F4689" s="0" t="s">
        <v>15866</v>
      </c>
      <c r="G4689" s="0" t="s">
        <v>18698</v>
      </c>
    </row>
    <row r="4690" customFormat="false" ht="15" hidden="false" customHeight="false" outlineLevel="0" collapsed="false">
      <c r="A4690" s="0" t="n">
        <v>3876</v>
      </c>
      <c r="B4690" s="0" t="n">
        <v>22503</v>
      </c>
      <c r="C4690" s="0" t="s">
        <v>15869</v>
      </c>
      <c r="D4690" s="0" t="s">
        <v>5</v>
      </c>
      <c r="E4690" s="0" t="e">
        <f aca="false">IFERROR(__xludf.dummyfunction("xlookup(aj3876,importrange("1xainw9du9nz21v0tyi))</f>
        <v>#VALUE!</v>
      </c>
      <c r="F4690" s="0" t="s">
        <v>15870</v>
      </c>
      <c r="G4690" s="0" t="s">
        <v>18698</v>
      </c>
    </row>
    <row r="4691" customFormat="false" ht="15" hidden="false" customHeight="false" outlineLevel="0" collapsed="false">
      <c r="A4691" s="0" t="n">
        <v>3877</v>
      </c>
      <c r="B4691" s="0" t="n">
        <v>22504</v>
      </c>
      <c r="C4691" s="0" t="s">
        <v>15874</v>
      </c>
      <c r="D4691" s="0" t="s">
        <v>5</v>
      </c>
      <c r="E4691" s="0" t="e">
        <f aca="false">IFERROR(__xludf.dummyfunction("xlookup(aj3877,importrange("1xainw9du9nz21v0tyi))</f>
        <v>#VALUE!</v>
      </c>
      <c r="F4691" s="0" t="s">
        <v>15875</v>
      </c>
      <c r="G4691" s="0" t="s">
        <v>18698</v>
      </c>
    </row>
    <row r="4692" customFormat="false" ht="15" hidden="false" customHeight="false" outlineLevel="0" collapsed="false">
      <c r="A4692" s="0" t="n">
        <v>3878</v>
      </c>
      <c r="B4692" s="0" t="n">
        <v>22505</v>
      </c>
      <c r="C4692" s="0" t="s">
        <v>15878</v>
      </c>
      <c r="D4692" s="0" t="s">
        <v>5</v>
      </c>
      <c r="E4692" s="0" t="e">
        <f aca="false">IFERROR(__xludf.dummyfunction("xlookup(aj3878,importrange("1xainw9du9nz21v0tyi))</f>
        <v>#VALUE!</v>
      </c>
      <c r="F4692" s="0" t="s">
        <v>15879</v>
      </c>
      <c r="G4692" s="0" t="s">
        <v>18698</v>
      </c>
    </row>
    <row r="4693" customFormat="false" ht="15" hidden="false" customHeight="false" outlineLevel="0" collapsed="false">
      <c r="A4693" s="0" t="n">
        <v>3879</v>
      </c>
      <c r="B4693" s="0" t="n">
        <v>22506</v>
      </c>
      <c r="C4693" s="0" t="s">
        <v>15882</v>
      </c>
      <c r="D4693" s="0" t="s">
        <v>5</v>
      </c>
      <c r="E4693" s="0" t="e">
        <f aca="false">IFERROR(__xludf.dummyfunction("xlookup(aj3879,importrange("1xainw9du9nz21v0tyi))</f>
        <v>#VALUE!</v>
      </c>
      <c r="F4693" s="0" t="s">
        <v>15883</v>
      </c>
      <c r="G4693" s="0" t="s">
        <v>18698</v>
      </c>
    </row>
    <row r="4694" customFormat="false" ht="15" hidden="false" customHeight="false" outlineLevel="0" collapsed="false">
      <c r="A4694" s="0" t="n">
        <v>3880</v>
      </c>
      <c r="B4694" s="0" t="n">
        <v>22507</v>
      </c>
      <c r="C4694" s="0" t="s">
        <v>15887</v>
      </c>
      <c r="D4694" s="0" t="s">
        <v>5</v>
      </c>
      <c r="E4694" s="0" t="e">
        <f aca="false">IFERROR(__xludf.dummyfunction("xlookup(aj3880,importrange("1xainw9du9nz21v0tyi))</f>
        <v>#VALUE!</v>
      </c>
      <c r="F4694" s="0" t="s">
        <v>15888</v>
      </c>
      <c r="G4694" s="0" t="s">
        <v>18698</v>
      </c>
    </row>
    <row r="4695" customFormat="false" ht="15" hidden="false" customHeight="false" outlineLevel="0" collapsed="false">
      <c r="A4695" s="0" t="n">
        <v>3881</v>
      </c>
      <c r="B4695" s="0" t="n">
        <v>22508</v>
      </c>
      <c r="C4695" s="0" t="s">
        <v>15891</v>
      </c>
      <c r="D4695" s="0" t="s">
        <v>5</v>
      </c>
      <c r="E4695" s="0" t="e">
        <f aca="false">IFERROR(__xludf.dummyfunction("xlookup(aj3881,importrange("1xainw9du9nz21v0tyi))</f>
        <v>#VALUE!</v>
      </c>
      <c r="F4695" s="0" t="s">
        <v>15892</v>
      </c>
      <c r="G4695" s="0" t="s">
        <v>18698</v>
      </c>
    </row>
    <row r="4696" customFormat="false" ht="15" hidden="false" customHeight="false" outlineLevel="0" collapsed="false">
      <c r="A4696" s="0" t="n">
        <v>3882</v>
      </c>
      <c r="B4696" s="0" t="n">
        <v>22509</v>
      </c>
      <c r="C4696" s="0" t="s">
        <v>15896</v>
      </c>
      <c r="D4696" s="0" t="s">
        <v>5</v>
      </c>
      <c r="E4696" s="0" t="e">
        <f aca="false">IFERROR(__xludf.dummyfunction("xlookup(aj3882,importrange("1xainw9du9nz21v0tyi))</f>
        <v>#VALUE!</v>
      </c>
      <c r="F4696" s="0" t="s">
        <v>15897</v>
      </c>
      <c r="G4696" s="0" t="s">
        <v>18698</v>
      </c>
    </row>
    <row r="4697" customFormat="false" ht="15" hidden="false" customHeight="false" outlineLevel="0" collapsed="false">
      <c r="A4697" s="0" t="n">
        <v>3883</v>
      </c>
      <c r="B4697" s="0" t="n">
        <v>22510</v>
      </c>
      <c r="C4697" s="0" t="s">
        <v>15901</v>
      </c>
      <c r="D4697" s="0" t="s">
        <v>5</v>
      </c>
      <c r="E4697" s="0" t="e">
        <f aca="false">IFERROR(__xludf.dummyfunction("xlookup(aj3883,importrange("1xainw9du9nz21v0tyi))</f>
        <v>#VALUE!</v>
      </c>
      <c r="F4697" s="0" t="s">
        <v>15902</v>
      </c>
      <c r="G4697" s="0" t="s">
        <v>18698</v>
      </c>
    </row>
    <row r="4698" customFormat="false" ht="15" hidden="false" customHeight="false" outlineLevel="0" collapsed="false">
      <c r="A4698" s="0" t="n">
        <v>3884</v>
      </c>
      <c r="B4698" s="0" t="n">
        <v>22511</v>
      </c>
      <c r="C4698" s="0" t="s">
        <v>15905</v>
      </c>
      <c r="D4698" s="0" t="s">
        <v>5</v>
      </c>
      <c r="E4698" s="0" t="e">
        <f aca="false">IFERROR(__xludf.dummyfunction("xlookup(aj3884,importrange("1xainw9du9nz21v0tyi))</f>
        <v>#VALUE!</v>
      </c>
      <c r="F4698" s="0" t="s">
        <v>15906</v>
      </c>
      <c r="G4698" s="0" t="s">
        <v>18698</v>
      </c>
    </row>
    <row r="4699" customFormat="false" ht="15" hidden="false" customHeight="false" outlineLevel="0" collapsed="false">
      <c r="A4699" s="0" t="n">
        <v>3885</v>
      </c>
      <c r="B4699" s="0" t="n">
        <v>22512</v>
      </c>
      <c r="C4699" s="0" t="s">
        <v>15909</v>
      </c>
      <c r="D4699" s="0" t="s">
        <v>5</v>
      </c>
      <c r="E4699" s="0" t="e">
        <f aca="false">IFERROR(__xludf.dummyfunction("xlookup(aj3885,importrange("1xainw9du9nz21v0tyi))</f>
        <v>#VALUE!</v>
      </c>
      <c r="F4699" s="0" t="s">
        <v>15910</v>
      </c>
      <c r="G4699" s="0" t="s">
        <v>18698</v>
      </c>
    </row>
    <row r="4700" customFormat="false" ht="15" hidden="false" customHeight="false" outlineLevel="0" collapsed="false">
      <c r="A4700" s="0" t="n">
        <v>3886</v>
      </c>
      <c r="B4700" s="0" t="n">
        <v>22513</v>
      </c>
      <c r="C4700" s="0" t="s">
        <v>15913</v>
      </c>
      <c r="D4700" s="0" t="s">
        <v>5</v>
      </c>
      <c r="E4700" s="0" t="e">
        <f aca="false">IFERROR(__xludf.dummyfunction("xlookup(aj3886,importrange("1xainw9du9nz21v0tyi))</f>
        <v>#VALUE!</v>
      </c>
      <c r="F4700" s="0" t="s">
        <v>15914</v>
      </c>
      <c r="G4700" s="0" t="s">
        <v>18698</v>
      </c>
    </row>
    <row r="4701" customFormat="false" ht="15" hidden="false" customHeight="false" outlineLevel="0" collapsed="false">
      <c r="A4701" s="0" t="n">
        <v>3887</v>
      </c>
      <c r="B4701" s="0" t="n">
        <v>22514</v>
      </c>
      <c r="C4701" s="0" t="s">
        <v>15917</v>
      </c>
      <c r="D4701" s="0" t="s">
        <v>5</v>
      </c>
      <c r="E4701" s="0" t="e">
        <f aca="false">IFERROR(__xludf.dummyfunction("xlookup(aj3887,importrange("1xainw9du9nz21v0tyi))</f>
        <v>#VALUE!</v>
      </c>
      <c r="F4701" s="0" t="s">
        <v>15918</v>
      </c>
      <c r="G4701" s="0" t="s">
        <v>18698</v>
      </c>
    </row>
    <row r="4702" customFormat="false" ht="15" hidden="false" customHeight="false" outlineLevel="0" collapsed="false">
      <c r="A4702" s="0" t="n">
        <v>3888</v>
      </c>
      <c r="B4702" s="0" t="n">
        <v>22515</v>
      </c>
      <c r="C4702" s="0" t="s">
        <v>15921</v>
      </c>
      <c r="D4702" s="0" t="s">
        <v>5</v>
      </c>
      <c r="E4702" s="0" t="e">
        <f aca="false">IFERROR(__xludf.dummyfunction("xlookup(aj3888,importrange("1xainw9du9nz21v0tyi))</f>
        <v>#VALUE!</v>
      </c>
      <c r="F4702" s="0" t="s">
        <v>15922</v>
      </c>
      <c r="G4702" s="0" t="s">
        <v>18698</v>
      </c>
    </row>
    <row r="4703" customFormat="false" ht="15" hidden="false" customHeight="false" outlineLevel="0" collapsed="false">
      <c r="A4703" s="0" t="n">
        <v>3889</v>
      </c>
      <c r="B4703" s="0" t="n">
        <v>22516</v>
      </c>
      <c r="C4703" s="0" t="s">
        <v>15925</v>
      </c>
      <c r="D4703" s="0" t="s">
        <v>5</v>
      </c>
      <c r="E4703" s="0" t="e">
        <f aca="false">IFERROR(__xludf.dummyfunction("xlookup(aj3889,importrange("1xainw9du9nz21v0tyi))</f>
        <v>#VALUE!</v>
      </c>
      <c r="F4703" s="0" t="s">
        <v>15926</v>
      </c>
      <c r="G4703" s="0" t="s">
        <v>18698</v>
      </c>
    </row>
    <row r="4704" customFormat="false" ht="15" hidden="false" customHeight="false" outlineLevel="0" collapsed="false">
      <c r="A4704" s="0" t="n">
        <v>3890</v>
      </c>
      <c r="B4704" s="0" t="n">
        <v>22518</v>
      </c>
      <c r="C4704" s="0" t="s">
        <v>15929</v>
      </c>
      <c r="D4704" s="0" t="s">
        <v>5</v>
      </c>
      <c r="E4704" s="0" t="e">
        <f aca="false">IFERROR(__xludf.dummyfunction("xlookup(aj3890,importrange("1xainw9du9nz21v0tyi))</f>
        <v>#VALUE!</v>
      </c>
      <c r="F4704" s="0" t="s">
        <v>15930</v>
      </c>
      <c r="G4704" s="0" t="s">
        <v>18698</v>
      </c>
    </row>
    <row r="4705" customFormat="false" ht="15" hidden="false" customHeight="false" outlineLevel="0" collapsed="false">
      <c r="A4705" s="0" t="n">
        <v>3891</v>
      </c>
      <c r="B4705" s="0" t="n">
        <v>22519</v>
      </c>
      <c r="C4705" s="0" t="s">
        <v>15933</v>
      </c>
      <c r="D4705" s="0" t="s">
        <v>5</v>
      </c>
      <c r="E4705" s="0" t="e">
        <f aca="false">IFERROR(__xludf.dummyfunction("xlookup(aj3891,importrange("1xainw9du9nz21v0tyi))</f>
        <v>#VALUE!</v>
      </c>
      <c r="F4705" s="0" t="s">
        <v>15934</v>
      </c>
      <c r="G4705" s="0" t="s">
        <v>18698</v>
      </c>
    </row>
    <row r="4706" customFormat="false" ht="15" hidden="false" customHeight="false" outlineLevel="0" collapsed="false">
      <c r="A4706" s="0" t="n">
        <v>3892</v>
      </c>
      <c r="B4706" s="0" t="n">
        <v>22520</v>
      </c>
      <c r="C4706" s="0" t="s">
        <v>15938</v>
      </c>
      <c r="D4706" s="0" t="s">
        <v>5</v>
      </c>
      <c r="E4706" s="0" t="e">
        <f aca="false">IFERROR(__xludf.dummyfunction("xlookup(aj3892,importrange("1xainw9du9nz21v0tyi))</f>
        <v>#VALUE!</v>
      </c>
      <c r="F4706" s="0" t="s">
        <v>15939</v>
      </c>
      <c r="G4706" s="0" t="s">
        <v>18698</v>
      </c>
    </row>
    <row r="4707" customFormat="false" ht="15" hidden="false" customHeight="false" outlineLevel="0" collapsed="false">
      <c r="A4707" s="0" t="n">
        <v>3893</v>
      </c>
      <c r="B4707" s="0" t="n">
        <v>22521</v>
      </c>
      <c r="C4707" s="0" t="s">
        <v>15942</v>
      </c>
      <c r="D4707" s="0" t="s">
        <v>5</v>
      </c>
      <c r="E4707" s="0" t="e">
        <f aca="false">IFERROR(__xludf.dummyfunction("xlookup(aj3893,importrange("1xainw9du9nz21v0tyi))</f>
        <v>#VALUE!</v>
      </c>
      <c r="F4707" s="0" t="s">
        <v>15943</v>
      </c>
      <c r="G4707" s="0" t="s">
        <v>18698</v>
      </c>
    </row>
    <row r="4708" customFormat="false" ht="15" hidden="false" customHeight="false" outlineLevel="0" collapsed="false">
      <c r="A4708" s="0" t="n">
        <v>3899</v>
      </c>
      <c r="B4708" s="0" t="n">
        <v>22527</v>
      </c>
      <c r="C4708" s="0" t="s">
        <v>15968</v>
      </c>
      <c r="D4708" s="0" t="s">
        <v>5</v>
      </c>
      <c r="E4708" s="0" t="e">
        <f aca="false">IFERROR(__xludf.dummyfunction("xlookup(aj3899,importrange("1xainw9du9nz21v0tyi))</f>
        <v>#VALUE!</v>
      </c>
      <c r="F4708" s="0" t="s">
        <v>15969</v>
      </c>
      <c r="G4708" s="0" t="s">
        <v>18698</v>
      </c>
    </row>
    <row r="4709" customFormat="false" ht="15" hidden="false" customHeight="false" outlineLevel="0" collapsed="false">
      <c r="A4709" s="0" t="n">
        <v>3900</v>
      </c>
      <c r="B4709" s="0" t="n">
        <v>22528</v>
      </c>
      <c r="C4709" s="0" t="s">
        <v>15974</v>
      </c>
      <c r="D4709" s="0" t="s">
        <v>5</v>
      </c>
      <c r="E4709" s="0" t="e">
        <f aca="false">IFERROR(__xludf.dummyfunction("xlookup(aj3900,importrange("1xainw9du9nz21v0tyi))</f>
        <v>#VALUE!</v>
      </c>
      <c r="F4709" s="0" t="s">
        <v>15975</v>
      </c>
      <c r="G4709" s="0" t="s">
        <v>18698</v>
      </c>
    </row>
    <row r="4710" customFormat="false" ht="15" hidden="false" customHeight="false" outlineLevel="0" collapsed="false">
      <c r="A4710" s="0" t="n">
        <v>3901</v>
      </c>
      <c r="B4710" s="0" t="n">
        <v>22529</v>
      </c>
      <c r="C4710" s="0" t="s">
        <v>15978</v>
      </c>
      <c r="D4710" s="0" t="s">
        <v>5</v>
      </c>
      <c r="E4710" s="0" t="e">
        <f aca="false">IFERROR(__xludf.dummyfunction("xlookup(aj3901,importrange("1xainw9du9nz21v0tyi))</f>
        <v>#VALUE!</v>
      </c>
      <c r="F4710" s="0" t="s">
        <v>15979</v>
      </c>
      <c r="G4710" s="0" t="s">
        <v>18698</v>
      </c>
    </row>
    <row r="4711" customFormat="false" ht="15" hidden="false" customHeight="false" outlineLevel="0" collapsed="false">
      <c r="A4711" s="0" t="n">
        <v>3902</v>
      </c>
      <c r="B4711" s="0" t="n">
        <v>22530</v>
      </c>
      <c r="C4711" s="0" t="s">
        <v>15982</v>
      </c>
      <c r="D4711" s="0" t="s">
        <v>5</v>
      </c>
      <c r="E4711" s="0" t="e">
        <f aca="false">IFERROR(__xludf.dummyfunction("xlookup(aj3902,importrange("1xainw9du9nz21v0tyi))</f>
        <v>#VALUE!</v>
      </c>
      <c r="F4711" s="0" t="s">
        <v>15983</v>
      </c>
      <c r="G4711" s="0" t="s">
        <v>18698</v>
      </c>
    </row>
    <row r="4712" customFormat="false" ht="15" hidden="false" customHeight="false" outlineLevel="0" collapsed="false">
      <c r="A4712" s="0" t="n">
        <v>3903</v>
      </c>
      <c r="B4712" s="0" t="n">
        <v>22531</v>
      </c>
      <c r="C4712" s="0" t="s">
        <v>15986</v>
      </c>
      <c r="D4712" s="0" t="s">
        <v>5</v>
      </c>
      <c r="E4712" s="0" t="e">
        <f aca="false">IFERROR(__xludf.dummyfunction("xlookup(aj3903,importrange("1xainw9du9nz21v0tyi))</f>
        <v>#VALUE!</v>
      </c>
      <c r="F4712" s="0" t="s">
        <v>15987</v>
      </c>
      <c r="G4712" s="0" t="s">
        <v>18698</v>
      </c>
    </row>
    <row r="4713" customFormat="false" ht="15" hidden="false" customHeight="false" outlineLevel="0" collapsed="false">
      <c r="A4713" s="0" t="n">
        <v>3905</v>
      </c>
      <c r="B4713" s="0" t="n">
        <v>22547</v>
      </c>
      <c r="C4713" s="0" t="s">
        <v>15993</v>
      </c>
      <c r="D4713" s="0" t="s">
        <v>5</v>
      </c>
      <c r="E4713" s="0" t="e">
        <f aca="false">IFERROR(__xludf.dummyfunction("xlookup(aj3905,importrange("1xainw9du9nz21v0tyi))</f>
        <v>#VALUE!</v>
      </c>
      <c r="F4713" s="0" t="s">
        <v>15994</v>
      </c>
      <c r="G4713" s="0" t="s">
        <v>18698</v>
      </c>
    </row>
    <row r="4714" customFormat="false" ht="15" hidden="false" customHeight="false" outlineLevel="0" collapsed="false">
      <c r="A4714" s="0" t="n">
        <v>3906</v>
      </c>
      <c r="B4714" s="0" t="n">
        <v>22533</v>
      </c>
      <c r="C4714" s="0" t="s">
        <v>15997</v>
      </c>
      <c r="D4714" s="0" t="s">
        <v>5</v>
      </c>
      <c r="E4714" s="0" t="e">
        <f aca="false">IFERROR(__xludf.dummyfunction("xlookup(aj3906,importrange("1xainw9du9nz21v0tyi))</f>
        <v>#VALUE!</v>
      </c>
      <c r="F4714" s="0" t="s">
        <v>15998</v>
      </c>
      <c r="G4714" s="0" t="s">
        <v>18698</v>
      </c>
    </row>
    <row r="4715" customFormat="false" ht="15" hidden="false" customHeight="false" outlineLevel="0" collapsed="false">
      <c r="A4715" s="0" t="n">
        <v>3908</v>
      </c>
      <c r="B4715" s="0" t="n">
        <v>22535</v>
      </c>
      <c r="C4715" s="0" t="s">
        <v>16003</v>
      </c>
      <c r="D4715" s="0" t="s">
        <v>5</v>
      </c>
      <c r="E4715" s="0" t="e">
        <f aca="false">IFERROR(__xludf.dummyfunction("xlookup(aj3908,importrange("1xainw9du9nz21v0tyi))</f>
        <v>#VALUE!</v>
      </c>
      <c r="F4715" s="0" t="s">
        <v>16004</v>
      </c>
      <c r="G4715" s="0" t="s">
        <v>18698</v>
      </c>
    </row>
    <row r="4716" customFormat="false" ht="15" hidden="false" customHeight="false" outlineLevel="0" collapsed="false">
      <c r="A4716" s="0" t="n">
        <v>3909</v>
      </c>
      <c r="B4716" s="0" t="n">
        <v>22536</v>
      </c>
      <c r="C4716" s="0" t="s">
        <v>16007</v>
      </c>
      <c r="D4716" s="0" t="s">
        <v>5</v>
      </c>
      <c r="E4716" s="0" t="e">
        <f aca="false">IFERROR(__xludf.dummyfunction("xlookup(aj3909,importrange("1xainw9du9nz21v0tyi))</f>
        <v>#VALUE!</v>
      </c>
      <c r="F4716" s="0" t="s">
        <v>16008</v>
      </c>
      <c r="G4716" s="0" t="s">
        <v>18698</v>
      </c>
    </row>
    <row r="4717" customFormat="false" ht="15" hidden="false" customHeight="false" outlineLevel="0" collapsed="false">
      <c r="A4717" s="0" t="n">
        <v>3910</v>
      </c>
      <c r="B4717" s="0" t="n">
        <v>22537</v>
      </c>
      <c r="C4717" s="0" t="s">
        <v>16011</v>
      </c>
      <c r="D4717" s="0" t="s">
        <v>5</v>
      </c>
      <c r="E4717" s="0" t="e">
        <f aca="false">IFERROR(__xludf.dummyfunction("xlookup(aj3910,importrange("1xainw9du9nz21v0tyi))</f>
        <v>#VALUE!</v>
      </c>
      <c r="F4717" s="0" t="s">
        <v>16012</v>
      </c>
      <c r="G4717" s="0" t="s">
        <v>18698</v>
      </c>
    </row>
    <row r="4718" customFormat="false" ht="15" hidden="false" customHeight="false" outlineLevel="0" collapsed="false">
      <c r="A4718" s="0" t="n">
        <v>3911</v>
      </c>
      <c r="B4718" s="0" t="n">
        <v>22696</v>
      </c>
      <c r="C4718" s="0" t="s">
        <v>16015</v>
      </c>
      <c r="D4718" s="0" t="s">
        <v>5</v>
      </c>
      <c r="E4718" s="0" t="e">
        <f aca="false">IFERROR(__xludf.dummyfunction("xlookup(aj3911,importrange("1xainw9du9nz21v0tyi))</f>
        <v>#VALUE!</v>
      </c>
      <c r="F4718" s="0" t="s">
        <v>16016</v>
      </c>
      <c r="G4718" s="0" t="s">
        <v>18698</v>
      </c>
    </row>
    <row r="4719" customFormat="false" ht="15" hidden="false" customHeight="false" outlineLevel="0" collapsed="false">
      <c r="A4719" s="0" t="n">
        <v>3913</v>
      </c>
      <c r="B4719" s="0" t="n">
        <v>22540</v>
      </c>
      <c r="C4719" s="0" t="s">
        <v>16023</v>
      </c>
      <c r="D4719" s="0" t="s">
        <v>5</v>
      </c>
      <c r="E4719" s="0" t="e">
        <f aca="false">IFERROR(__xludf.dummyfunction("xlookup(aj3913,importrange("1xainw9du9nz21v0tyi))</f>
        <v>#VALUE!</v>
      </c>
      <c r="F4719" s="0" t="s">
        <v>16024</v>
      </c>
      <c r="G4719" s="0" t="s">
        <v>18698</v>
      </c>
    </row>
    <row r="4720" customFormat="false" ht="15" hidden="false" customHeight="false" outlineLevel="0" collapsed="false">
      <c r="A4720" s="0" t="n">
        <v>3914</v>
      </c>
      <c r="B4720" s="0" t="n">
        <v>22541</v>
      </c>
      <c r="C4720" s="0" t="s">
        <v>16027</v>
      </c>
      <c r="D4720" s="0" t="s">
        <v>5</v>
      </c>
      <c r="E4720" s="0" t="e">
        <f aca="false">IFERROR(__xludf.dummyfunction("xlookup(aj3914,importrange("1xainw9du9nz21v0tyi))</f>
        <v>#VALUE!</v>
      </c>
      <c r="F4720" s="0" t="s">
        <v>16028</v>
      </c>
      <c r="G4720" s="0" t="s">
        <v>18698</v>
      </c>
    </row>
    <row r="4721" customFormat="false" ht="15" hidden="false" customHeight="false" outlineLevel="0" collapsed="false">
      <c r="A4721" s="0" t="n">
        <v>3920</v>
      </c>
      <c r="B4721" s="0" t="n">
        <v>22542</v>
      </c>
      <c r="C4721" s="0" t="s">
        <v>16050</v>
      </c>
      <c r="D4721" s="0" t="s">
        <v>5</v>
      </c>
      <c r="E4721" s="0" t="e">
        <f aca="false">IFERROR(__xludf.dummyfunction("xlookup(aj3920,importrange("1xainw9du9nz21v0tyi))</f>
        <v>#VALUE!</v>
      </c>
      <c r="F4721" s="0" t="s">
        <v>16051</v>
      </c>
      <c r="G4721" s="0" t="s">
        <v>18698</v>
      </c>
    </row>
    <row r="4722" customFormat="false" ht="15" hidden="false" customHeight="false" outlineLevel="0" collapsed="false">
      <c r="A4722" s="0" t="n">
        <v>3922</v>
      </c>
      <c r="B4722" s="0" t="n">
        <v>22550</v>
      </c>
      <c r="C4722" s="0" t="s">
        <v>16058</v>
      </c>
      <c r="D4722" s="0" t="s">
        <v>5</v>
      </c>
      <c r="E4722" s="0" t="e">
        <f aca="false">IFERROR(__xludf.dummyfunction("xlookup(aj3922,importrange("1xainw9du9nz21v0tyi))</f>
        <v>#VALUE!</v>
      </c>
      <c r="F4722" s="0" t="s">
        <v>16059</v>
      </c>
      <c r="G4722" s="0" t="s">
        <v>18698</v>
      </c>
    </row>
    <row r="4723" customFormat="false" ht="15" hidden="false" customHeight="false" outlineLevel="0" collapsed="false">
      <c r="A4723" s="0" t="n">
        <v>3927</v>
      </c>
      <c r="B4723" s="0" t="n">
        <v>22555</v>
      </c>
      <c r="C4723" s="0" t="s">
        <v>16075</v>
      </c>
      <c r="D4723" s="0" t="s">
        <v>5</v>
      </c>
      <c r="E4723" s="0" t="e">
        <f aca="false">IFERROR(__xludf.dummyfunction("xlookup(aj3927,importrange("1xainw9du9nz21v0tyi))</f>
        <v>#VALUE!</v>
      </c>
      <c r="F4723" s="0" t="s">
        <v>16076</v>
      </c>
      <c r="G4723" s="0" t="s">
        <v>18698</v>
      </c>
    </row>
    <row r="4724" customFormat="false" ht="15" hidden="false" customHeight="false" outlineLevel="0" collapsed="false">
      <c r="A4724" s="0" t="n">
        <v>3929</v>
      </c>
      <c r="B4724" s="0" t="n">
        <v>22565</v>
      </c>
      <c r="C4724" s="0" t="s">
        <v>16082</v>
      </c>
      <c r="D4724" s="0" t="s">
        <v>5</v>
      </c>
      <c r="E4724" s="0" t="e">
        <f aca="false">IFERROR(__xludf.dummyfunction("xlookup(aj3929,importrange("1xainw9du9nz21v0tyi))</f>
        <v>#VALUE!</v>
      </c>
      <c r="F4724" s="0" t="s">
        <v>16083</v>
      </c>
      <c r="G4724" s="0" t="s">
        <v>18698</v>
      </c>
    </row>
    <row r="4725" customFormat="false" ht="15" hidden="false" customHeight="false" outlineLevel="0" collapsed="false">
      <c r="A4725" s="0" t="n">
        <v>3931</v>
      </c>
      <c r="B4725" s="0" t="n">
        <v>22314</v>
      </c>
      <c r="C4725" s="0" t="s">
        <v>16089</v>
      </c>
      <c r="D4725" s="0" t="s">
        <v>5</v>
      </c>
      <c r="E4725" s="0" t="e">
        <f aca="false">IFERROR(__xludf.dummyfunction("xlookup(aj3931,importrange("1xainw9du9nz21v0tyi))</f>
        <v>#VALUE!</v>
      </c>
      <c r="F4725" s="0" t="s">
        <v>16090</v>
      </c>
      <c r="G4725" s="0" t="s">
        <v>18698</v>
      </c>
    </row>
    <row r="4726" customFormat="false" ht="15" hidden="false" customHeight="false" outlineLevel="0" collapsed="false">
      <c r="A4726" s="0" t="n">
        <v>3940</v>
      </c>
      <c r="B4726" s="0" t="n">
        <v>22217</v>
      </c>
      <c r="C4726" s="0" t="s">
        <v>16121</v>
      </c>
      <c r="D4726" s="0" t="s">
        <v>5</v>
      </c>
      <c r="E4726" s="0" t="e">
        <f aca="false">IFERROR(__xludf.dummyfunction("xlookup(aj3940,importrange("1xainw9du9nz21v0tyi))</f>
        <v>#VALUE!</v>
      </c>
      <c r="F4726" s="0" t="s">
        <v>16122</v>
      </c>
      <c r="G4726" s="0" t="s">
        <v>18698</v>
      </c>
    </row>
    <row r="4727" customFormat="false" ht="15" hidden="false" customHeight="false" outlineLevel="0" collapsed="false">
      <c r="A4727" s="0" t="n">
        <v>3942</v>
      </c>
      <c r="B4727" s="0" t="n">
        <v>22543</v>
      </c>
      <c r="C4727" s="0" t="s">
        <v>16128</v>
      </c>
      <c r="D4727" s="0" t="s">
        <v>5</v>
      </c>
      <c r="E4727" s="0" t="e">
        <f aca="false">IFERROR(__xludf.dummyfunction("xlookup(aj3942,importrange("1xainw9du9nz21v0tyi))</f>
        <v>#VALUE!</v>
      </c>
      <c r="F4727" s="0" t="s">
        <v>16129</v>
      </c>
      <c r="G4727" s="0" t="s">
        <v>18698</v>
      </c>
    </row>
    <row r="4728" customFormat="false" ht="15" hidden="false" customHeight="false" outlineLevel="0" collapsed="false">
      <c r="A4728" s="0" t="n">
        <v>3943</v>
      </c>
      <c r="B4728" s="0" t="n">
        <v>22571</v>
      </c>
      <c r="C4728" s="0" t="s">
        <v>16132</v>
      </c>
      <c r="D4728" s="0" t="s">
        <v>5</v>
      </c>
      <c r="E4728" s="0" t="e">
        <f aca="false">IFERROR(__xludf.dummyfunction("xlookup(aj3943,importrange("1xainw9du9nz21v0tyi))</f>
        <v>#VALUE!</v>
      </c>
      <c r="F4728" s="0" t="s">
        <v>16133</v>
      </c>
      <c r="G4728" s="0" t="s">
        <v>18698</v>
      </c>
    </row>
    <row r="4729" customFormat="false" ht="15" hidden="false" customHeight="false" outlineLevel="0" collapsed="false">
      <c r="A4729" s="0" t="n">
        <v>3948</v>
      </c>
      <c r="B4729" s="0" t="n">
        <v>22576</v>
      </c>
      <c r="C4729" s="0" t="s">
        <v>16149</v>
      </c>
      <c r="D4729" s="0" t="s">
        <v>5</v>
      </c>
      <c r="E4729" s="0" t="e">
        <f aca="false">IFERROR(__xludf.dummyfunction("xlookup(aj3948,importrange("1xainw9du9nz21v0tyi))</f>
        <v>#VALUE!</v>
      </c>
      <c r="F4729" s="0" t="s">
        <v>16150</v>
      </c>
      <c r="G4729" s="0" t="s">
        <v>18698</v>
      </c>
    </row>
    <row r="4730" customFormat="false" ht="15" hidden="false" customHeight="false" outlineLevel="0" collapsed="false">
      <c r="A4730" s="0" t="n">
        <v>3967</v>
      </c>
      <c r="B4730" s="0" t="n">
        <v>22480</v>
      </c>
      <c r="C4730" s="0" t="s">
        <v>16225</v>
      </c>
      <c r="D4730" s="0" t="s">
        <v>5</v>
      </c>
      <c r="E4730" s="0" t="e">
        <f aca="false">IFERROR(__xludf.dummyfunction("xlookup(aj3967,importrange("1xainw9du9nz21v0tyi))</f>
        <v>#VALUE!</v>
      </c>
      <c r="F4730" s="0" t="s">
        <v>16226</v>
      </c>
      <c r="G4730" s="0" t="s">
        <v>18698</v>
      </c>
    </row>
    <row r="4731" customFormat="false" ht="15" hidden="false" customHeight="false" outlineLevel="0" collapsed="false">
      <c r="A4731" s="0" t="n">
        <v>3971</v>
      </c>
      <c r="B4731" s="0" t="n">
        <v>22599</v>
      </c>
      <c r="C4731" s="0" t="s">
        <v>16243</v>
      </c>
      <c r="D4731" s="0" t="s">
        <v>5</v>
      </c>
      <c r="E4731" s="0" t="e">
        <f aca="false">IFERROR(__xludf.dummyfunction("xlookup(aj3971,importrange("1xainw9du9nz21v0tyi))</f>
        <v>#VALUE!</v>
      </c>
      <c r="F4731" s="0" t="s">
        <v>16244</v>
      </c>
      <c r="G4731" s="0" t="s">
        <v>18698</v>
      </c>
    </row>
    <row r="4732" customFormat="false" ht="15" hidden="false" customHeight="false" outlineLevel="0" collapsed="false">
      <c r="A4732" s="0" t="n">
        <v>3972</v>
      </c>
      <c r="B4732" s="0" t="n">
        <v>22600</v>
      </c>
      <c r="C4732" s="0" t="s">
        <v>16248</v>
      </c>
      <c r="D4732" s="0" t="s">
        <v>5</v>
      </c>
      <c r="E4732" s="0" t="e">
        <f aca="false">IFERROR(__xludf.dummyfunction("xlookup(aj3972,importrange("1xainw9du9nz21v0tyi))</f>
        <v>#VALUE!</v>
      </c>
      <c r="F4732" s="0" t="s">
        <v>16249</v>
      </c>
      <c r="G4732" s="0" t="s">
        <v>18698</v>
      </c>
    </row>
    <row r="4733" customFormat="false" ht="15" hidden="false" customHeight="false" outlineLevel="0" collapsed="false">
      <c r="A4733" s="0" t="n">
        <v>3973</v>
      </c>
      <c r="B4733" s="0" t="n">
        <v>22601</v>
      </c>
      <c r="C4733" s="0" t="s">
        <v>16252</v>
      </c>
      <c r="D4733" s="0" t="s">
        <v>5</v>
      </c>
      <c r="E4733" s="0" t="e">
        <f aca="false">IFERROR(__xludf.dummyfunction("xlookup(aj3973,importrange("1xainw9du9nz21v0tyi))</f>
        <v>#VALUE!</v>
      </c>
      <c r="F4733" s="0" t="s">
        <v>16253</v>
      </c>
      <c r="G4733" s="0" t="s">
        <v>18698</v>
      </c>
    </row>
    <row r="4734" customFormat="false" ht="15" hidden="false" customHeight="false" outlineLevel="0" collapsed="false">
      <c r="A4734" s="0" t="n">
        <v>4032</v>
      </c>
      <c r="B4734" s="0" t="n">
        <v>22545</v>
      </c>
      <c r="C4734" s="0" t="s">
        <v>16512</v>
      </c>
      <c r="D4734" s="0" t="s">
        <v>5</v>
      </c>
      <c r="E4734" s="0" t="e">
        <f aca="false">IFERROR(__xludf.dummyfunction("xlookup(aj4032,importrange("1xainw9du9nz21v0tyi))</f>
        <v>#VALUE!</v>
      </c>
      <c r="F4734" s="0" t="s">
        <v>16513</v>
      </c>
      <c r="G4734" s="0" t="s">
        <v>18698</v>
      </c>
    </row>
    <row r="4735" customFormat="false" ht="15" hidden="false" customHeight="false" outlineLevel="0" collapsed="false">
      <c r="A4735" s="0" t="n">
        <v>4053</v>
      </c>
      <c r="B4735" s="0" t="n">
        <v>22682</v>
      </c>
      <c r="C4735" s="0" t="s">
        <v>16600</v>
      </c>
      <c r="D4735" s="0" t="s">
        <v>5</v>
      </c>
      <c r="E4735" s="0" t="e">
        <f aca="false">IFERROR(__xludf.dummyfunction("xlookup(aj4053,importrange("1xainw9du9nz21v0tyi))</f>
        <v>#VALUE!</v>
      </c>
      <c r="F4735" s="0" t="s">
        <v>16601</v>
      </c>
      <c r="G4735" s="0" t="s">
        <v>18698</v>
      </c>
    </row>
    <row r="4736" customFormat="false" ht="15" hidden="false" customHeight="false" outlineLevel="0" collapsed="false">
      <c r="A4736" s="0" t="n">
        <v>4054</v>
      </c>
      <c r="B4736" s="0" t="n">
        <v>22683</v>
      </c>
      <c r="C4736" s="0" t="s">
        <v>16604</v>
      </c>
      <c r="D4736" s="0" t="s">
        <v>5</v>
      </c>
      <c r="E4736" s="0" t="e">
        <f aca="false">IFERROR(__xludf.dummyfunction("xlookup(aj4054,importrange("1xainw9du9nz21v0tyi))</f>
        <v>#VALUE!</v>
      </c>
      <c r="F4736" s="0" t="s">
        <v>16605</v>
      </c>
      <c r="G4736" s="0" t="s">
        <v>18698</v>
      </c>
    </row>
    <row r="4737" customFormat="false" ht="15" hidden="false" customHeight="false" outlineLevel="0" collapsed="false">
      <c r="A4737" s="0" t="n">
        <v>4055</v>
      </c>
      <c r="B4737" s="0" t="n">
        <v>22684</v>
      </c>
      <c r="C4737" s="0" t="s">
        <v>16608</v>
      </c>
      <c r="D4737" s="0" t="s">
        <v>5</v>
      </c>
      <c r="E4737" s="0" t="e">
        <f aca="false">IFERROR(__xludf.dummyfunction("xlookup(aj4055,importrange("1xainw9du9nz21v0tyi))</f>
        <v>#VALUE!</v>
      </c>
      <c r="F4737" s="0" t="s">
        <v>16609</v>
      </c>
      <c r="G4737" s="0" t="s">
        <v>18698</v>
      </c>
    </row>
    <row r="4738" customFormat="false" ht="15" hidden="false" customHeight="false" outlineLevel="0" collapsed="false">
      <c r="A4738" s="0" t="n">
        <v>4060</v>
      </c>
      <c r="B4738" s="0" t="n">
        <v>22711</v>
      </c>
      <c r="C4738" s="0" t="s">
        <v>16628</v>
      </c>
      <c r="D4738" s="0" t="s">
        <v>5</v>
      </c>
      <c r="E4738" s="0" t="e">
        <f aca="false">IFERROR(__xludf.dummyfunction("xlookup(aj4060,importrange("1xainw9du9nz21v0tyi))</f>
        <v>#VALUE!</v>
      </c>
      <c r="F4738" s="0" t="s">
        <v>16629</v>
      </c>
      <c r="G4738" s="0" t="s">
        <v>18698</v>
      </c>
    </row>
    <row r="4739" customFormat="false" ht="15" hidden="false" customHeight="false" outlineLevel="0" collapsed="false">
      <c r="A4739" s="0" t="n">
        <v>4063</v>
      </c>
      <c r="B4739" s="0" t="n">
        <v>22700</v>
      </c>
      <c r="C4739" s="0" t="s">
        <v>16640</v>
      </c>
      <c r="D4739" s="0" t="s">
        <v>5</v>
      </c>
      <c r="E4739" s="0" t="e">
        <f aca="false">IFERROR(__xludf.dummyfunction("xlookup(aj4063,importrange("1xainw9du9nz21v0tyi))</f>
        <v>#VALUE!</v>
      </c>
      <c r="F4739" s="0" t="s">
        <v>16641</v>
      </c>
      <c r="G4739" s="0" t="s">
        <v>18698</v>
      </c>
    </row>
    <row r="4740" customFormat="false" ht="15" hidden="false" customHeight="false" outlineLevel="0" collapsed="false">
      <c r="A4740" s="0" t="n">
        <v>4066</v>
      </c>
      <c r="B4740" s="0" t="n">
        <v>22706</v>
      </c>
      <c r="C4740" s="0" t="s">
        <v>16652</v>
      </c>
      <c r="D4740" s="0" t="s">
        <v>5</v>
      </c>
      <c r="E4740" s="0" t="e">
        <f aca="false">IFERROR(__xludf.dummyfunction("xlookup(aj4066,importrange("1xainw9du9nz21v0tyi))</f>
        <v>#VALUE!</v>
      </c>
      <c r="F4740" s="0" t="s">
        <v>16653</v>
      </c>
      <c r="G4740" s="0" t="s">
        <v>18698</v>
      </c>
    </row>
    <row r="4741" customFormat="false" ht="15" hidden="false" customHeight="false" outlineLevel="0" collapsed="false">
      <c r="A4741" s="0" t="n">
        <v>4071</v>
      </c>
      <c r="B4741" s="0" t="n">
        <v>22718</v>
      </c>
      <c r="C4741" s="0" t="s">
        <v>16672</v>
      </c>
      <c r="D4741" s="0" t="s">
        <v>5</v>
      </c>
      <c r="E4741" s="0" t="e">
        <f aca="false">IFERROR(__xludf.dummyfunction("xlookup(aj4071,importrange("1xainw9du9nz21v0tyi))</f>
        <v>#VALUE!</v>
      </c>
      <c r="F4741" s="0" t="s">
        <v>16673</v>
      </c>
      <c r="G4741" s="0" t="s">
        <v>18698</v>
      </c>
    </row>
    <row r="4742" customFormat="false" ht="15" hidden="false" customHeight="false" outlineLevel="0" collapsed="false">
      <c r="A4742" s="0" t="n">
        <v>4086</v>
      </c>
      <c r="B4742" s="0" t="n">
        <v>22717</v>
      </c>
      <c r="C4742" s="0" t="s">
        <v>16731</v>
      </c>
      <c r="D4742" s="0" t="s">
        <v>5</v>
      </c>
      <c r="E4742" s="0" t="e">
        <f aca="false">IFERROR(__xludf.dummyfunction("xlookup(aj4086,importrange("1xainw9du9nz21v0tyi))</f>
        <v>#VALUE!</v>
      </c>
      <c r="F4742" s="0" t="s">
        <v>16732</v>
      </c>
      <c r="G4742" s="0" t="s">
        <v>18698</v>
      </c>
    </row>
    <row r="4743" customFormat="false" ht="15" hidden="false" customHeight="false" outlineLevel="0" collapsed="false">
      <c r="A4743" s="0" t="n">
        <v>4090</v>
      </c>
      <c r="B4743" s="0" t="n">
        <v>22707</v>
      </c>
      <c r="C4743" s="0" t="s">
        <v>16747</v>
      </c>
      <c r="D4743" s="0" t="s">
        <v>5</v>
      </c>
      <c r="E4743" s="0" t="e">
        <f aca="false">IFERROR(__xludf.dummyfunction("xlookup(aj4090,importrange("1xainw9du9nz21v0tyi))</f>
        <v>#VALUE!</v>
      </c>
      <c r="F4743" s="0" t="s">
        <v>16748</v>
      </c>
      <c r="G4743" s="0" t="s">
        <v>18698</v>
      </c>
    </row>
    <row r="4744" customFormat="false" ht="15" hidden="false" customHeight="false" outlineLevel="0" collapsed="false">
      <c r="A4744" s="0" t="n">
        <v>4091</v>
      </c>
      <c r="B4744" s="0" t="n">
        <v>22720</v>
      </c>
      <c r="C4744" s="0" t="s">
        <v>16751</v>
      </c>
      <c r="D4744" s="0" t="s">
        <v>5</v>
      </c>
      <c r="E4744" s="0" t="e">
        <f aca="false">IFERROR(__xludf.dummyfunction("xlookup(aj4091,importrange("1xainw9du9nz21v0tyi))</f>
        <v>#VALUE!</v>
      </c>
      <c r="F4744" s="0" t="s">
        <v>16752</v>
      </c>
      <c r="G4744" s="0" t="s">
        <v>18698</v>
      </c>
    </row>
    <row r="4745" customFormat="false" ht="15" hidden="false" customHeight="false" outlineLevel="0" collapsed="false">
      <c r="A4745" s="0" t="n">
        <v>4092</v>
      </c>
      <c r="B4745" s="0" t="n">
        <v>22721</v>
      </c>
      <c r="C4745" s="0" t="s">
        <v>16755</v>
      </c>
      <c r="D4745" s="0" t="s">
        <v>5</v>
      </c>
      <c r="E4745" s="0" t="e">
        <f aca="false">IFERROR(__xludf.dummyfunction("xlookup(aj4092,importrange("1xainw9du9nz21v0tyi))</f>
        <v>#VALUE!</v>
      </c>
      <c r="F4745" s="0" t="s">
        <v>16756</v>
      </c>
      <c r="G4745" s="0" t="s">
        <v>18698</v>
      </c>
    </row>
    <row r="4746" customFormat="false" ht="15" hidden="false" customHeight="false" outlineLevel="0" collapsed="false">
      <c r="A4746" s="0" t="n">
        <v>4182</v>
      </c>
      <c r="B4746" s="0" t="n">
        <v>22816</v>
      </c>
      <c r="C4746" s="0" t="s">
        <v>17137</v>
      </c>
      <c r="D4746" s="0" t="s">
        <v>5</v>
      </c>
      <c r="E4746" s="0" t="e">
        <f aca="false">IFERROR(__xludf.dummyfunction("xlookup(aj4182,importrange("1xainw9du9nz21v0tyi))</f>
        <v>#VALUE!</v>
      </c>
      <c r="F4746" s="0" t="s">
        <v>17138</v>
      </c>
      <c r="G4746" s="0" t="s">
        <v>18698</v>
      </c>
    </row>
    <row r="4747" customFormat="false" ht="15" hidden="false" customHeight="false" outlineLevel="0" collapsed="false">
      <c r="A4747" s="0" t="n">
        <v>4185</v>
      </c>
      <c r="B4747" s="0" t="n">
        <v>22819</v>
      </c>
      <c r="C4747" s="0" t="s">
        <v>17147</v>
      </c>
      <c r="D4747" s="0" t="s">
        <v>5</v>
      </c>
      <c r="E4747" s="0" t="e">
        <f aca="false">IFERROR(__xludf.dummyfunction("xlookup(aj4185,importrange("1xainw9du9nz21v0tyi))</f>
        <v>#VALUE!</v>
      </c>
      <c r="F4747" s="0" t="s">
        <v>17148</v>
      </c>
      <c r="G4747" s="0" t="s">
        <v>18698</v>
      </c>
    </row>
    <row r="4748" customFormat="false" ht="15" hidden="false" customHeight="false" outlineLevel="0" collapsed="false">
      <c r="A4748" s="0" t="n">
        <v>4186</v>
      </c>
      <c r="B4748" s="0" t="n">
        <v>22820</v>
      </c>
      <c r="C4748" s="0" t="s">
        <v>17151</v>
      </c>
      <c r="D4748" s="0" t="s">
        <v>5</v>
      </c>
      <c r="E4748" s="0" t="e">
        <f aca="false">IFERROR(__xludf.dummyfunction("xlookup(aj4186,importrange("1xainw9du9nz21v0tyi))</f>
        <v>#VALUE!</v>
      </c>
      <c r="F4748" s="0" t="s">
        <v>17152</v>
      </c>
      <c r="G4748" s="0" t="s">
        <v>18698</v>
      </c>
    </row>
    <row r="4749" customFormat="false" ht="15" hidden="false" customHeight="false" outlineLevel="0" collapsed="false">
      <c r="A4749" s="0" t="n">
        <v>4187</v>
      </c>
      <c r="B4749" s="0" t="n">
        <v>22821</v>
      </c>
      <c r="C4749" s="0" t="s">
        <v>17155</v>
      </c>
      <c r="D4749" s="0" t="s">
        <v>5</v>
      </c>
      <c r="E4749" s="0" t="e">
        <f aca="false">IFERROR(__xludf.dummyfunction("xlookup(aj4187,importrange("1xainw9du9nz21v0tyi))</f>
        <v>#VALUE!</v>
      </c>
      <c r="F4749" s="0" t="s">
        <v>17156</v>
      </c>
      <c r="G4749" s="0" t="s">
        <v>18698</v>
      </c>
    </row>
    <row r="4750" customFormat="false" ht="15" hidden="false" customHeight="false" outlineLevel="0" collapsed="false">
      <c r="A4750" s="0" t="n">
        <v>4188</v>
      </c>
      <c r="B4750" s="0" t="n">
        <v>22822</v>
      </c>
      <c r="C4750" s="0" t="s">
        <v>17158</v>
      </c>
      <c r="D4750" s="0" t="s">
        <v>5</v>
      </c>
      <c r="E4750" s="0" t="e">
        <f aca="false">IFERROR(__xludf.dummyfunction("xlookup(aj4188,importrange("1xainw9du9nz21v0tyi))</f>
        <v>#VALUE!</v>
      </c>
      <c r="F4750" s="0" t="s">
        <v>17159</v>
      </c>
      <c r="G4750" s="0" t="s">
        <v>18698</v>
      </c>
    </row>
    <row r="4751" customFormat="false" ht="15" hidden="false" customHeight="false" outlineLevel="0" collapsed="false">
      <c r="A4751" s="0" t="n">
        <v>4189</v>
      </c>
      <c r="B4751" s="0" t="n">
        <v>22823</v>
      </c>
      <c r="C4751" s="0" t="s">
        <v>17163</v>
      </c>
      <c r="D4751" s="0" t="s">
        <v>5</v>
      </c>
      <c r="E4751" s="0" t="e">
        <f aca="false">IFERROR(__xludf.dummyfunction("xlookup(aj4189,importrange("1xainw9du9nz21v0tyi))</f>
        <v>#VALUE!</v>
      </c>
      <c r="F4751" s="0" t="s">
        <v>17164</v>
      </c>
      <c r="G4751" s="0" t="s">
        <v>18698</v>
      </c>
    </row>
    <row r="4752" customFormat="false" ht="15" hidden="false" customHeight="false" outlineLevel="0" collapsed="false">
      <c r="A4752" s="0" t="n">
        <v>4190</v>
      </c>
      <c r="B4752" s="0" t="n">
        <v>22824</v>
      </c>
      <c r="C4752" s="0" t="s">
        <v>17167</v>
      </c>
      <c r="D4752" s="0" t="s">
        <v>5</v>
      </c>
      <c r="E4752" s="0" t="e">
        <f aca="false">IFERROR(__xludf.dummyfunction("xlookup(aj4190,importrange("1xainw9du9nz21v0tyi))</f>
        <v>#VALUE!</v>
      </c>
      <c r="F4752" s="0" t="s">
        <v>17168</v>
      </c>
      <c r="G4752" s="0" t="s">
        <v>18698</v>
      </c>
    </row>
    <row r="4753" customFormat="false" ht="15" hidden="false" customHeight="false" outlineLevel="0" collapsed="false">
      <c r="A4753" s="0" t="n">
        <v>4201</v>
      </c>
      <c r="B4753" s="0" t="n">
        <v>22698</v>
      </c>
      <c r="C4753" s="0" t="s">
        <v>17215</v>
      </c>
      <c r="D4753" s="0" t="s">
        <v>5</v>
      </c>
      <c r="E4753" s="0" t="e">
        <f aca="false">IFERROR(__xludf.dummyfunction("xlookup(aj4201,importrange("1xainw9du9nz21v0tyi))</f>
        <v>#VALUE!</v>
      </c>
      <c r="F4753" s="0" t="s">
        <v>17216</v>
      </c>
      <c r="G4753" s="0" t="s">
        <v>18698</v>
      </c>
    </row>
    <row r="4754" customFormat="false" ht="15" hidden="false" customHeight="false" outlineLevel="0" collapsed="false">
      <c r="A4754" s="0" t="n">
        <v>4216</v>
      </c>
      <c r="B4754" s="0" t="n">
        <v>22713</v>
      </c>
      <c r="C4754" s="0" t="s">
        <v>17276</v>
      </c>
      <c r="D4754" s="0" t="s">
        <v>5</v>
      </c>
      <c r="E4754" s="0" t="e">
        <f aca="false">IFERROR(__xludf.dummyfunction("xlookup(aj4216,importrange("1xainw9du9nz21v0tyi))</f>
        <v>#VALUE!</v>
      </c>
      <c r="F4754" s="0" t="s">
        <v>17277</v>
      </c>
      <c r="G4754" s="0" t="s">
        <v>18698</v>
      </c>
    </row>
    <row r="4755" customFormat="false" ht="15" hidden="false" customHeight="false" outlineLevel="0" collapsed="false">
      <c r="A4755" s="0" t="n">
        <v>4218</v>
      </c>
      <c r="B4755" s="0" t="n">
        <v>22685</v>
      </c>
      <c r="C4755" s="0" t="s">
        <v>17285</v>
      </c>
      <c r="D4755" s="0" t="s">
        <v>5</v>
      </c>
      <c r="E4755" s="0" t="e">
        <f aca="false">IFERROR(__xludf.dummyfunction("xlookup(aj4218,importrange("1xainw9du9nz21v0tyi))</f>
        <v>#VALUE!</v>
      </c>
      <c r="F4755" s="0" t="s">
        <v>17286</v>
      </c>
      <c r="G4755" s="0" t="s">
        <v>18698</v>
      </c>
    </row>
    <row r="4756" customFormat="false" ht="15" hidden="false" customHeight="false" outlineLevel="0" collapsed="false">
      <c r="A4756" s="0" t="n">
        <v>4222</v>
      </c>
      <c r="B4756" s="0" t="n">
        <v>22689</v>
      </c>
      <c r="C4756" s="0" t="s">
        <v>17301</v>
      </c>
      <c r="D4756" s="0" t="s">
        <v>5</v>
      </c>
      <c r="E4756" s="0" t="e">
        <f aca="false">IFERROR(__xludf.dummyfunction("xlookup(aj4222,importrange("1xainw9du9nz21v0tyi))</f>
        <v>#VALUE!</v>
      </c>
      <c r="F4756" s="0" t="s">
        <v>17302</v>
      </c>
      <c r="G4756" s="0" t="s">
        <v>18698</v>
      </c>
    </row>
    <row r="4757" customFormat="false" ht="15" hidden="false" customHeight="false" outlineLevel="0" collapsed="false">
      <c r="A4757" s="0" t="n">
        <v>4225</v>
      </c>
      <c r="B4757" s="0" t="n">
        <v>22699</v>
      </c>
      <c r="C4757" s="0" t="s">
        <v>17312</v>
      </c>
      <c r="D4757" s="0" t="s">
        <v>5</v>
      </c>
      <c r="E4757" s="0" t="e">
        <f aca="false">IFERROR(__xludf.dummyfunction("xlookup(aj4225,importrange("1xainw9du9nz21v0tyi))</f>
        <v>#VALUE!</v>
      </c>
      <c r="F4757" s="0" t="s">
        <v>17313</v>
      </c>
      <c r="G4757" s="0" t="s">
        <v>18698</v>
      </c>
    </row>
    <row r="4758" customFormat="false" ht="15" hidden="false" customHeight="false" outlineLevel="0" collapsed="false">
      <c r="A4758" s="0" t="n">
        <v>4230</v>
      </c>
      <c r="B4758" s="0" t="n">
        <v>22691</v>
      </c>
      <c r="C4758" s="0" t="s">
        <v>4847</v>
      </c>
      <c r="D4758" s="0" t="s">
        <v>5</v>
      </c>
      <c r="E4758" s="0" t="e">
        <f aca="false">IFERROR(__xludf.dummyfunction("xlookup(aj4230,importrange("1xainw9du9nz21v0tyi))</f>
        <v>#VALUE!</v>
      </c>
      <c r="F4758" s="0" t="s">
        <v>17331</v>
      </c>
      <c r="G4758" s="0" t="s">
        <v>18698</v>
      </c>
    </row>
    <row r="4759" customFormat="false" ht="15" hidden="false" customHeight="false" outlineLevel="0" collapsed="false">
      <c r="A4759" s="0" t="n">
        <v>4261</v>
      </c>
      <c r="B4759" s="0" t="n">
        <v>22287</v>
      </c>
      <c r="C4759" s="0" t="s">
        <v>17464</v>
      </c>
      <c r="D4759" s="0" t="s">
        <v>5</v>
      </c>
      <c r="E4759" s="0" t="e">
        <f aca="false">IFERROR(__xludf.dummyfunction("xlookup(aj4261,importrange("1xainw9du9nz21v0tyi))</f>
        <v>#VALUE!</v>
      </c>
      <c r="F4759" s="0" t="s">
        <v>17465</v>
      </c>
      <c r="G4759" s="0" t="s">
        <v>18698</v>
      </c>
    </row>
    <row r="4760" customFormat="false" ht="15" hidden="false" customHeight="false" outlineLevel="0" collapsed="false">
      <c r="A4760" s="0" t="n">
        <v>4266</v>
      </c>
      <c r="B4760" s="0" t="n">
        <v>22288</v>
      </c>
      <c r="C4760" s="0" t="s">
        <v>17486</v>
      </c>
      <c r="D4760" s="0" t="s">
        <v>5</v>
      </c>
      <c r="E4760" s="0" t="e">
        <f aca="false">IFERROR(__xludf.dummyfunction("xlookup(aj4266,importrange("1xainw9du9nz21v0tyi))</f>
        <v>#VALUE!</v>
      </c>
      <c r="F4760" s="0" t="s">
        <v>17487</v>
      </c>
      <c r="G4760" s="0" t="s">
        <v>18698</v>
      </c>
    </row>
    <row r="4761" customFormat="false" ht="15" hidden="false" customHeight="false" outlineLevel="0" collapsed="false">
      <c r="A4761" s="0" t="n">
        <v>4270</v>
      </c>
      <c r="B4761" s="0" t="n">
        <v>22476</v>
      </c>
      <c r="C4761" s="0" t="s">
        <v>17503</v>
      </c>
      <c r="D4761" s="0" t="s">
        <v>5</v>
      </c>
      <c r="E4761" s="0" t="e">
        <f aca="false">IFERROR(__xludf.dummyfunction("xlookup(aj4270,importrange("1xainw9du9nz21v0tyi))</f>
        <v>#VALUE!</v>
      </c>
      <c r="F4761" s="0" t="s">
        <v>17504</v>
      </c>
      <c r="G4761" s="0" t="s">
        <v>18698</v>
      </c>
    </row>
    <row r="4762" customFormat="false" ht="15" hidden="false" customHeight="false" outlineLevel="0" collapsed="false">
      <c r="A4762" s="0" t="n">
        <v>4344</v>
      </c>
      <c r="B4762" s="0" t="n">
        <v>22708</v>
      </c>
      <c r="C4762" s="0" t="s">
        <v>17809</v>
      </c>
      <c r="D4762" s="0" t="s">
        <v>5</v>
      </c>
      <c r="E4762" s="0" t="e">
        <f aca="false">IFERROR(__xludf.dummyfunction("xlookup(aj4344,importrange("1xainw9du9nz21v0tyi))</f>
        <v>#VALUE!</v>
      </c>
      <c r="F4762" s="0" t="s">
        <v>17810</v>
      </c>
      <c r="G4762" s="0" t="s">
        <v>18698</v>
      </c>
    </row>
    <row r="4763" customFormat="false" ht="15" hidden="false" customHeight="false" outlineLevel="0" collapsed="false">
      <c r="A4763" s="0" t="n">
        <v>4350</v>
      </c>
      <c r="B4763" s="0" t="n">
        <v>22712</v>
      </c>
      <c r="C4763" s="0" t="s">
        <v>17833</v>
      </c>
      <c r="D4763" s="0" t="s">
        <v>5</v>
      </c>
      <c r="E4763" s="0" t="e">
        <f aca="false">IFERROR(__xludf.dummyfunction("xlookup(aj4350,importrange("1xainw9du9nz21v0tyi))</f>
        <v>#VALUE!</v>
      </c>
      <c r="F4763" s="0" t="s">
        <v>17834</v>
      </c>
      <c r="G4763" s="0" t="s">
        <v>18698</v>
      </c>
    </row>
    <row r="4764" customFormat="false" ht="15" hidden="false" customHeight="false" outlineLevel="0" collapsed="false">
      <c r="A4764" s="0" t="n">
        <v>4354</v>
      </c>
      <c r="B4764" s="0" t="n">
        <v>22701</v>
      </c>
      <c r="C4764" s="0" t="s">
        <v>17849</v>
      </c>
      <c r="D4764" s="0" t="s">
        <v>5</v>
      </c>
      <c r="E4764" s="0" t="e">
        <f aca="false">IFERROR(__xludf.dummyfunction("xlookup(aj4354,importrange("1xainw9du9nz21v0tyi))</f>
        <v>#VALUE!</v>
      </c>
      <c r="F4764" s="0" t="s">
        <v>17850</v>
      </c>
      <c r="G4764" s="0" t="s">
        <v>18698</v>
      </c>
    </row>
    <row r="4765" customFormat="false" ht="15" hidden="false" customHeight="false" outlineLevel="0" collapsed="false">
      <c r="A4765" s="0" t="n">
        <v>4355</v>
      </c>
      <c r="B4765" s="0" t="n">
        <v>22694</v>
      </c>
      <c r="C4765" s="0" t="s">
        <v>17853</v>
      </c>
      <c r="D4765" s="0" t="s">
        <v>5</v>
      </c>
      <c r="E4765" s="0" t="e">
        <f aca="false">IFERROR(__xludf.dummyfunction("xlookup(aj4355,importrange("1xainw9du9nz21v0tyi))</f>
        <v>#VALUE!</v>
      </c>
      <c r="F4765" s="0" t="s">
        <v>17854</v>
      </c>
      <c r="G4765" s="0" t="s">
        <v>18698</v>
      </c>
    </row>
    <row r="4766" customFormat="false" ht="15" hidden="false" customHeight="false" outlineLevel="0" collapsed="false">
      <c r="A4766" s="0" t="n">
        <v>3485</v>
      </c>
      <c r="B4766" s="0" t="n">
        <v>22103</v>
      </c>
      <c r="C4766" s="0" t="s">
        <v>14249</v>
      </c>
      <c r="D4766" s="0" t="s">
        <v>14</v>
      </c>
      <c r="F4766" s="0" t="s">
        <v>3271</v>
      </c>
      <c r="G4766" s="0" t="s">
        <v>18699</v>
      </c>
    </row>
    <row r="4767" customFormat="false" ht="15" hidden="false" customHeight="false" outlineLevel="0" collapsed="false">
      <c r="A4767" s="0" t="n">
        <v>3486</v>
      </c>
      <c r="B4767" s="0" t="n">
        <v>22104</v>
      </c>
      <c r="C4767" s="0" t="s">
        <v>14254</v>
      </c>
      <c r="D4767" s="0" t="s">
        <v>14</v>
      </c>
      <c r="F4767" s="0" t="s">
        <v>3271</v>
      </c>
      <c r="G4767" s="0" t="s">
        <v>18699</v>
      </c>
    </row>
    <row r="4768" customFormat="false" ht="15" hidden="false" customHeight="false" outlineLevel="0" collapsed="false">
      <c r="A4768" s="0" t="n">
        <v>3509</v>
      </c>
      <c r="B4768" s="0" t="n">
        <v>22127</v>
      </c>
      <c r="C4768" s="0" t="s">
        <v>14339</v>
      </c>
      <c r="D4768" s="0" t="s">
        <v>14</v>
      </c>
      <c r="F4768" s="0" t="s">
        <v>2055</v>
      </c>
      <c r="G4768" s="0" t="s">
        <v>18699</v>
      </c>
    </row>
    <row r="4769" customFormat="false" ht="15" hidden="false" customHeight="false" outlineLevel="0" collapsed="false">
      <c r="A4769" s="0" t="n">
        <v>3582</v>
      </c>
      <c r="B4769" s="0" t="n">
        <v>22200</v>
      </c>
      <c r="C4769" s="0" t="s">
        <v>14588</v>
      </c>
      <c r="D4769" s="0" t="s">
        <v>14</v>
      </c>
      <c r="F4769" s="0" t="s">
        <v>10059</v>
      </c>
      <c r="G4769" s="0" t="s">
        <v>18699</v>
      </c>
    </row>
    <row r="4770" customFormat="false" ht="15" hidden="false" customHeight="false" outlineLevel="0" collapsed="false">
      <c r="A4770" s="0" t="n">
        <v>3585</v>
      </c>
      <c r="B4770" s="0" t="n">
        <v>22203</v>
      </c>
      <c r="C4770" s="0" t="s">
        <v>14600</v>
      </c>
      <c r="D4770" s="0" t="s">
        <v>14</v>
      </c>
      <c r="F4770" s="0" t="s">
        <v>10059</v>
      </c>
      <c r="G4770" s="0" t="s">
        <v>18699</v>
      </c>
    </row>
    <row r="4771" customFormat="false" ht="15" hidden="false" customHeight="false" outlineLevel="0" collapsed="false">
      <c r="A4771" s="0" t="n">
        <v>3586</v>
      </c>
      <c r="B4771" s="0" t="n">
        <v>22204</v>
      </c>
      <c r="C4771" s="0" t="s">
        <v>14604</v>
      </c>
      <c r="D4771" s="0" t="s">
        <v>14</v>
      </c>
      <c r="F4771" s="0" t="s">
        <v>10059</v>
      </c>
      <c r="G4771" s="0" t="s">
        <v>18699</v>
      </c>
    </row>
    <row r="4772" customFormat="false" ht="15" hidden="false" customHeight="false" outlineLevel="0" collapsed="false">
      <c r="A4772" s="0" t="n">
        <v>3485</v>
      </c>
      <c r="B4772" s="0" t="n">
        <v>22103</v>
      </c>
      <c r="C4772" s="0" t="s">
        <v>14249</v>
      </c>
      <c r="D4772" s="0" t="s">
        <v>25</v>
      </c>
      <c r="E4772" s="0" t="e">
        <f aca="false">IFERROR(__xludf.dummyfunction("if(bj3485="","",googletranslate(bj3485,"aut))</f>
        <v>#VALUE!</v>
      </c>
      <c r="F4772" s="0" t="s">
        <v>3271</v>
      </c>
      <c r="G4772" s="0" t="s">
        <v>18700</v>
      </c>
    </row>
    <row r="4773" customFormat="false" ht="15" hidden="false" customHeight="false" outlineLevel="0" collapsed="false">
      <c r="A4773" s="0" t="n">
        <v>3486</v>
      </c>
      <c r="B4773" s="0" t="n">
        <v>22104</v>
      </c>
      <c r="C4773" s="0" t="s">
        <v>14254</v>
      </c>
      <c r="D4773" s="0" t="s">
        <v>25</v>
      </c>
      <c r="E4773" s="0" t="e">
        <f aca="false">IFERROR(__xludf.dummyfunction("if(bj3486="","",googletranslate(bj3486,"aut))</f>
        <v>#VALUE!</v>
      </c>
      <c r="F4773" s="0" t="s">
        <v>3271</v>
      </c>
      <c r="G4773" s="0" t="s">
        <v>18700</v>
      </c>
    </row>
    <row r="4774" customFormat="false" ht="15" hidden="false" customHeight="false" outlineLevel="0" collapsed="false">
      <c r="A4774" s="0" t="n">
        <v>3509</v>
      </c>
      <c r="B4774" s="0" t="n">
        <v>22127</v>
      </c>
      <c r="C4774" s="0" t="s">
        <v>14339</v>
      </c>
      <c r="D4774" s="0" t="s">
        <v>25</v>
      </c>
      <c r="E4774" s="0" t="e">
        <f aca="false">IFERROR(__xludf.dummyfunction("if(bj3509="","",googletranslate(bj3509,"aut))</f>
        <v>#VALUE!</v>
      </c>
      <c r="F4774" s="0" t="s">
        <v>2055</v>
      </c>
      <c r="G4774" s="0" t="s">
        <v>18700</v>
      </c>
    </row>
    <row r="4775" customFormat="false" ht="15" hidden="false" customHeight="false" outlineLevel="0" collapsed="false">
      <c r="A4775" s="0" t="n">
        <v>3582</v>
      </c>
      <c r="B4775" s="0" t="n">
        <v>22200</v>
      </c>
      <c r="C4775" s="0" t="s">
        <v>14588</v>
      </c>
      <c r="D4775" s="0" t="s">
        <v>25</v>
      </c>
      <c r="E4775" s="0" t="e">
        <f aca="false">IFERROR(__xludf.dummyfunction("if(bj3582="","",googletranslate(bj3582,"aut))</f>
        <v>#VALUE!</v>
      </c>
      <c r="F4775" s="0" t="s">
        <v>14592</v>
      </c>
      <c r="G4775" s="0" t="s">
        <v>18700</v>
      </c>
    </row>
    <row r="4776" customFormat="false" ht="15" hidden="false" customHeight="false" outlineLevel="0" collapsed="false">
      <c r="A4776" s="0" t="n">
        <v>3585</v>
      </c>
      <c r="B4776" s="0" t="n">
        <v>22203</v>
      </c>
      <c r="C4776" s="0" t="s">
        <v>14600</v>
      </c>
      <c r="D4776" s="0" t="s">
        <v>25</v>
      </c>
      <c r="E4776" s="0" t="e">
        <f aca="false">IFERROR(__xludf.dummyfunction("if(bj3585="","",googletranslate(bj3585,"aut))</f>
        <v>#VALUE!</v>
      </c>
      <c r="F4776" s="0" t="s">
        <v>14592</v>
      </c>
      <c r="G4776" s="0" t="s">
        <v>18700</v>
      </c>
    </row>
    <row r="4777" customFormat="false" ht="15" hidden="false" customHeight="false" outlineLevel="0" collapsed="false">
      <c r="A4777" s="0" t="n">
        <v>3586</v>
      </c>
      <c r="B4777" s="0" t="n">
        <v>22204</v>
      </c>
      <c r="C4777" s="0" t="s">
        <v>14604</v>
      </c>
      <c r="D4777" s="0" t="s">
        <v>25</v>
      </c>
      <c r="E4777" s="0" t="e">
        <f aca="false">IFERROR(__xludf.dummyfunction("if(bj3586="","",googletranslate(bj3586,"aut))</f>
        <v>#VALUE!</v>
      </c>
      <c r="F4777" s="0" t="s">
        <v>14592</v>
      </c>
      <c r="G4777" s="0" t="s">
        <v>18700</v>
      </c>
    </row>
    <row r="4778" customFormat="false" ht="15" hidden="false" customHeight="false" outlineLevel="0" collapsed="false">
      <c r="A4778" s="0" t="n">
        <v>4318</v>
      </c>
      <c r="B4778" s="0" t="n">
        <v>22953</v>
      </c>
      <c r="C4778" s="0" t="s">
        <v>17702</v>
      </c>
      <c r="D4778" s="0" t="s">
        <v>25</v>
      </c>
      <c r="F4778" s="0" t="s">
        <v>17707</v>
      </c>
      <c r="G4778" s="0" t="s">
        <v>18700</v>
      </c>
    </row>
    <row r="4779" customFormat="false" ht="15" hidden="false" customHeight="false" outlineLevel="0" collapsed="false">
      <c r="A4779" s="0" t="n">
        <v>4319</v>
      </c>
      <c r="B4779" s="0" t="n">
        <v>22954</v>
      </c>
      <c r="C4779" s="0" t="s">
        <v>17708</v>
      </c>
      <c r="D4779" s="0" t="s">
        <v>25</v>
      </c>
      <c r="F4779" s="0" t="s">
        <v>17707</v>
      </c>
      <c r="G4779" s="0" t="s">
        <v>18700</v>
      </c>
    </row>
    <row r="4780" customFormat="false" ht="15" hidden="false" customHeight="false" outlineLevel="0" collapsed="false">
      <c r="A4780" s="0" t="n">
        <v>4318</v>
      </c>
      <c r="B4780" s="0" t="n">
        <v>22953</v>
      </c>
      <c r="C4780" s="0" t="s">
        <v>17702</v>
      </c>
      <c r="D4780" s="0" t="s">
        <v>24</v>
      </c>
      <c r="F4780" s="0" t="n">
        <f aca="false">O4318</f>
        <v>0</v>
      </c>
      <c r="G4780" s="0" t="s">
        <v>18701</v>
      </c>
    </row>
    <row r="4781" customFormat="false" ht="15" hidden="false" customHeight="false" outlineLevel="0" collapsed="false">
      <c r="A4781" s="0" t="n">
        <v>4319</v>
      </c>
      <c r="B4781" s="0" t="n">
        <v>22954</v>
      </c>
      <c r="C4781" s="0" t="s">
        <v>17708</v>
      </c>
      <c r="D4781" s="0" t="s">
        <v>24</v>
      </c>
      <c r="F4781" s="0" t="n">
        <f aca="false">O4319</f>
        <v>0</v>
      </c>
      <c r="G4781" s="0" t="s">
        <v>18701</v>
      </c>
    </row>
    <row r="4782" customFormat="false" ht="15" hidden="false" customHeight="false" outlineLevel="0" collapsed="false">
      <c r="A4782" s="0" t="n">
        <v>4318</v>
      </c>
      <c r="B4782" s="0" t="n">
        <v>22953</v>
      </c>
      <c r="C4782" s="0" t="s">
        <v>17702</v>
      </c>
      <c r="D4782" s="0" t="s">
        <v>26</v>
      </c>
      <c r="F4782" s="0" t="e">
        <f aca="false">IF(C4318="","", CHOOSE(MONTH(C4318),"January","February","March","April","May",))</f>
        <v>#VALUE!</v>
      </c>
      <c r="G4782" s="0" t="s">
        <v>18701</v>
      </c>
    </row>
    <row r="4783" customFormat="false" ht="15" hidden="false" customHeight="false" outlineLevel="0" collapsed="false">
      <c r="A4783" s="0" t="n">
        <v>4319</v>
      </c>
      <c r="B4783" s="0" t="n">
        <v>22954</v>
      </c>
      <c r="C4783" s="0" t="s">
        <v>17708</v>
      </c>
      <c r="D4783" s="0" t="s">
        <v>26</v>
      </c>
      <c r="F4783" s="0" t="e">
        <f aca="false">IF(C4319="","", CHOOSE(MONTH(C4319),"January","February","March","April","May",))</f>
        <v>#VALUE!</v>
      </c>
      <c r="G4783" s="0" t="s">
        <v>18701</v>
      </c>
    </row>
    <row r="4784" customFormat="false" ht="15" hidden="false" customHeight="false" outlineLevel="0" collapsed="false">
      <c r="A4784" s="0" t="n">
        <v>3872</v>
      </c>
      <c r="B4784" s="0" t="n">
        <v>22499</v>
      </c>
      <c r="C4784" s="0" t="s">
        <v>15850</v>
      </c>
      <c r="D4784" s="0" t="s">
        <v>27</v>
      </c>
      <c r="E4784" s="0" t="str">
        <f aca="true">IF(S3872="","",DATEDIF(S3872,TODAY(),"Y")&amp;" Tahun, "&amp;DATEDIF(S3872,TODAY(),"YM"))</f>
        <v/>
      </c>
      <c r="F4784" s="0" t="str">
        <f aca="true">IF(S3872="","",DATEDIF(S3872,TODAY(),"Y")&amp;" Tahun, "&amp;DATEDIF(S3872,TODAY(),"YM"))</f>
        <v/>
      </c>
      <c r="G4784" s="0" t="s">
        <v>18701</v>
      </c>
    </row>
    <row r="4785" customFormat="false" ht="15" hidden="false" customHeight="false" outlineLevel="0" collapsed="false">
      <c r="A4785" s="0" t="n">
        <v>3873</v>
      </c>
      <c r="B4785" s="0" t="n">
        <v>22500</v>
      </c>
      <c r="C4785" s="0" t="s">
        <v>15856</v>
      </c>
      <c r="D4785" s="0" t="s">
        <v>27</v>
      </c>
      <c r="E4785" s="0" t="str">
        <f aca="true">IF(S3873="","",DATEDIF(S3873,TODAY(),"Y")&amp;" Tahun, "&amp;DATEDIF(S3873,TODAY(),"YM"))</f>
        <v/>
      </c>
      <c r="F4785" s="0" t="str">
        <f aca="true">IF(S3873="","",DATEDIF(S3873,TODAY(),"Y")&amp;" Tahun, "&amp;DATEDIF(S3873,TODAY(),"YM"))</f>
        <v/>
      </c>
      <c r="G4785" s="0" t="s">
        <v>18701</v>
      </c>
    </row>
    <row r="4786" customFormat="false" ht="15" hidden="false" customHeight="false" outlineLevel="0" collapsed="false">
      <c r="A4786" s="0" t="n">
        <v>4318</v>
      </c>
      <c r="B4786" s="0" t="n">
        <v>22953</v>
      </c>
      <c r="C4786" s="0" t="s">
        <v>17702</v>
      </c>
      <c r="D4786" s="0" t="s">
        <v>27</v>
      </c>
      <c r="F4786" s="0" t="str">
        <f aca="true">IF(S4318="","",DATEDIF(S4318,TODAY(),"Y")&amp;" Tahun, "&amp;DATEDIF(S4318,TODAY(),"YM"))</f>
        <v/>
      </c>
      <c r="G4786" s="0" t="s">
        <v>18701</v>
      </c>
    </row>
    <row r="4787" customFormat="false" ht="15" hidden="false" customHeight="false" outlineLevel="0" collapsed="false">
      <c r="A4787" s="0" t="n">
        <v>4319</v>
      </c>
      <c r="B4787" s="0" t="n">
        <v>22954</v>
      </c>
      <c r="C4787" s="0" t="s">
        <v>17708</v>
      </c>
      <c r="D4787" s="0" t="s">
        <v>27</v>
      </c>
      <c r="F4787" s="0" t="str">
        <f aca="true">IF(S4319="","",DATEDIF(S4319,TODAY(),"Y")&amp;" Tahun, "&amp;DATEDIF(S4319,TODAY(),"YM"))</f>
        <v/>
      </c>
      <c r="G4787" s="0" t="s">
        <v>18701</v>
      </c>
    </row>
    <row r="4788" customFormat="false" ht="15" hidden="false" customHeight="false" outlineLevel="0" collapsed="false">
      <c r="A4788" s="0" t="n">
        <v>4318</v>
      </c>
      <c r="B4788" s="0" t="n">
        <v>22953</v>
      </c>
      <c r="C4788" s="0" t="s">
        <v>17702</v>
      </c>
      <c r="D4788" s="0" t="s">
        <v>12</v>
      </c>
      <c r="E4788" s="0" t="n">
        <f aca="true">K4318-TODAY()</f>
        <v>-46324</v>
      </c>
      <c r="F4788" s="0" t="n">
        <f aca="true">K4318-TODAY()</f>
        <v>-46324</v>
      </c>
      <c r="G4788" s="0" t="s">
        <v>18701</v>
      </c>
    </row>
    <row r="4789" customFormat="false" ht="15" hidden="false" customHeight="false" outlineLevel="0" collapsed="false">
      <c r="A4789" s="0" t="n">
        <v>4319</v>
      </c>
      <c r="B4789" s="0" t="n">
        <v>22954</v>
      </c>
      <c r="C4789" s="0" t="s">
        <v>17708</v>
      </c>
      <c r="D4789" s="0" t="s">
        <v>12</v>
      </c>
      <c r="E4789" s="0" t="n">
        <f aca="true">K4319-TODAY()</f>
        <v>-46324</v>
      </c>
      <c r="F4789" s="0" t="n">
        <f aca="true">K4319-TODAY()</f>
        <v>-46324</v>
      </c>
      <c r="G4789" s="0" t="s">
        <v>18701</v>
      </c>
    </row>
    <row r="4790" customFormat="false" ht="15" hidden="false" customHeight="false" outlineLevel="0" collapsed="false">
      <c r="A4790" s="0" t="n">
        <v>4318</v>
      </c>
      <c r="B4790" s="0" t="n">
        <v>22953</v>
      </c>
      <c r="C4790" s="0" t="s">
        <v>17702</v>
      </c>
      <c r="D4790" s="0" t="s">
        <v>9</v>
      </c>
      <c r="E4790" s="0" t="e">
        <f aca="false">IFERROR(INDEX(AC4318:AE4318,IF(COUNTA(AC4318:AE4318)=0,"",MAX((AC4318:AE4318&lt;&gt;")))))</f>
        <v>#VALUE!</v>
      </c>
      <c r="F4790" s="0" t="s">
        <v>18702</v>
      </c>
      <c r="G4790" s="0" t="s">
        <v>18703</v>
      </c>
    </row>
    <row r="4791" customFormat="false" ht="15" hidden="false" customHeight="false" outlineLevel="0" collapsed="false">
      <c r="A4791" s="0" t="n">
        <v>4318</v>
      </c>
      <c r="B4791" s="0" t="n">
        <v>22953</v>
      </c>
      <c r="C4791" s="0" t="s">
        <v>17702</v>
      </c>
      <c r="D4791" s="0" t="s">
        <v>10</v>
      </c>
      <c r="E4791" s="0" t="e">
        <f aca="false">IFERROR(INDEX(AC4318:AE4318,IF(COUNTA(AC4318:AE4318)=0,"",MAX((AC4318:AE4318&lt;&gt;")))))</f>
        <v>#VALUE!</v>
      </c>
      <c r="F4791" s="0" t="s">
        <v>18704</v>
      </c>
      <c r="G4791" s="0" t="s">
        <v>18703</v>
      </c>
    </row>
    <row r="4792" customFormat="false" ht="15" hidden="false" customHeight="false" outlineLevel="0" collapsed="false">
      <c r="A4792" s="0" t="n">
        <v>4318</v>
      </c>
      <c r="B4792" s="0" t="n">
        <v>22953</v>
      </c>
      <c r="C4792" s="0" t="s">
        <v>17702</v>
      </c>
      <c r="D4792" s="0" t="s">
        <v>28</v>
      </c>
      <c r="F4792" s="0" t="s">
        <v>18702</v>
      </c>
      <c r="G4792" s="0" t="s">
        <v>18703</v>
      </c>
    </row>
    <row r="4793" customFormat="false" ht="15" hidden="false" customHeight="false" outlineLevel="0" collapsed="false">
      <c r="A4793" s="0" t="n">
        <v>4318</v>
      </c>
      <c r="B4793" s="0" t="n">
        <v>22953</v>
      </c>
      <c r="C4793" s="0" t="s">
        <v>17702</v>
      </c>
      <c r="D4793" s="0" t="s">
        <v>29</v>
      </c>
      <c r="F4793" s="0" t="s">
        <v>18704</v>
      </c>
      <c r="G4793" s="0" t="s">
        <v>18703</v>
      </c>
    </row>
    <row r="4794" customFormat="false" ht="15" hidden="false" customHeight="false" outlineLevel="0" collapsed="false">
      <c r="A4794" s="0" t="n">
        <v>4318</v>
      </c>
      <c r="B4794" s="0" t="n">
        <v>22953</v>
      </c>
      <c r="C4794" s="0" t="s">
        <v>17702</v>
      </c>
      <c r="D4794" s="0" t="s">
        <v>11</v>
      </c>
      <c r="E4794" s="0" t="e">
        <f aca="false">IFERROR(INDEX(AC4318:AE4318,IF(COUNTA(AC4318:AE4318)=0,"",MAX((AC4318:AE4318&lt;&gt;")))))</f>
        <v>#VALUE!</v>
      </c>
      <c r="F4794" s="0" t="s">
        <v>15637</v>
      </c>
      <c r="G4794" s="0" t="s">
        <v>18705</v>
      </c>
    </row>
    <row r="4795" customFormat="false" ht="15" hidden="false" customHeight="false" outlineLevel="0" collapsed="false">
      <c r="A4795" s="0" t="n">
        <v>4318</v>
      </c>
      <c r="B4795" s="0" t="n">
        <v>22953</v>
      </c>
      <c r="C4795" s="0" t="s">
        <v>17702</v>
      </c>
      <c r="D4795" s="0" t="s">
        <v>30</v>
      </c>
      <c r="F4795" s="0" t="s">
        <v>15637</v>
      </c>
      <c r="G4795" s="0" t="s">
        <v>18705</v>
      </c>
    </row>
    <row r="4796" customFormat="false" ht="15" hidden="false" customHeight="false" outlineLevel="0" collapsed="false">
      <c r="A4796" s="0" t="n">
        <v>4319</v>
      </c>
      <c r="B4796" s="0" t="n">
        <v>22954</v>
      </c>
      <c r="C4796" s="0" t="s">
        <v>17708</v>
      </c>
      <c r="D4796" s="0" t="s">
        <v>9</v>
      </c>
      <c r="E4796" s="0" t="e">
        <f aca="false">IFERROR(INDEX(AC4319:AE4319,IF(COUNTA(AC4319:AE4319)=0,"",MAX((AC4319:AE4319&lt;&gt;")))))</f>
        <v>#VALUE!</v>
      </c>
      <c r="F4796" s="0" t="s">
        <v>18702</v>
      </c>
      <c r="G4796" s="0" t="s">
        <v>18703</v>
      </c>
    </row>
    <row r="4797" customFormat="false" ht="15" hidden="false" customHeight="false" outlineLevel="0" collapsed="false">
      <c r="A4797" s="0" t="n">
        <v>4319</v>
      </c>
      <c r="B4797" s="0" t="n">
        <v>22954</v>
      </c>
      <c r="C4797" s="0" t="s">
        <v>17708</v>
      </c>
      <c r="D4797" s="0" t="s">
        <v>10</v>
      </c>
      <c r="E4797" s="0" t="e">
        <f aca="false">IFERROR(INDEX(AC4319:AE4319,IF(COUNTA(AC4319:AE4319)=0,"",MAX((AC4319:AE4319&lt;&gt;")))))</f>
        <v>#VALUE!</v>
      </c>
      <c r="F4797" s="0" t="s">
        <v>18704</v>
      </c>
      <c r="G4797" s="0" t="s">
        <v>18703</v>
      </c>
    </row>
    <row r="4798" customFormat="false" ht="15" hidden="false" customHeight="false" outlineLevel="0" collapsed="false">
      <c r="A4798" s="0" t="n">
        <v>4319</v>
      </c>
      <c r="B4798" s="0" t="n">
        <v>22954</v>
      </c>
      <c r="C4798" s="0" t="s">
        <v>17708</v>
      </c>
      <c r="D4798" s="0" t="s">
        <v>28</v>
      </c>
      <c r="F4798" s="0" t="s">
        <v>18702</v>
      </c>
      <c r="G4798" s="0" t="s">
        <v>18703</v>
      </c>
    </row>
    <row r="4799" customFormat="false" ht="15" hidden="false" customHeight="false" outlineLevel="0" collapsed="false">
      <c r="A4799" s="0" t="n">
        <v>4319</v>
      </c>
      <c r="B4799" s="0" t="n">
        <v>22954</v>
      </c>
      <c r="C4799" s="0" t="s">
        <v>17708</v>
      </c>
      <c r="D4799" s="0" t="s">
        <v>29</v>
      </c>
      <c r="F4799" s="0" t="s">
        <v>18704</v>
      </c>
      <c r="G4799" s="0" t="s">
        <v>18703</v>
      </c>
    </row>
    <row r="4800" customFormat="false" ht="15" hidden="false" customHeight="false" outlineLevel="0" collapsed="false">
      <c r="A4800" s="0" t="n">
        <v>4319</v>
      </c>
      <c r="B4800" s="0" t="n">
        <v>22954</v>
      </c>
      <c r="C4800" s="0" t="s">
        <v>17708</v>
      </c>
      <c r="D4800" s="0" t="s">
        <v>11</v>
      </c>
      <c r="E4800" s="0" t="e">
        <f aca="false">IFERROR(INDEX(AC4319:AE4319,IF(COUNTA(AC4319:AE4319)=0,"",MAX((AC4319:AE4319&lt;&gt;")))))</f>
        <v>#VALUE!</v>
      </c>
      <c r="F4800" s="0" t="s">
        <v>15637</v>
      </c>
      <c r="G4800" s="0" t="s">
        <v>18705</v>
      </c>
    </row>
    <row r="4801" customFormat="false" ht="15" hidden="false" customHeight="false" outlineLevel="0" collapsed="false">
      <c r="A4801" s="0" t="n">
        <v>4319</v>
      </c>
      <c r="B4801" s="0" t="n">
        <v>22954</v>
      </c>
      <c r="C4801" s="0" t="s">
        <v>17708</v>
      </c>
      <c r="D4801" s="0" t="s">
        <v>30</v>
      </c>
      <c r="F4801" s="0" t="s">
        <v>15637</v>
      </c>
      <c r="G4801" s="0" t="s">
        <v>18705</v>
      </c>
    </row>
    <row r="4802" customFormat="false" ht="15" hidden="false" customHeight="false" outlineLevel="0" collapsed="false">
      <c r="A4802" s="0" t="n">
        <v>1194</v>
      </c>
      <c r="B4802" s="0" t="n">
        <v>12697</v>
      </c>
      <c r="C4802" s="0" t="s">
        <v>5249</v>
      </c>
      <c r="D4802" s="0" t="s">
        <v>15</v>
      </c>
      <c r="E4802" s="0" t="e">
        <f aca="false">#REF!/26</f>
        <v>#REF!</v>
      </c>
      <c r="F4802" s="0" t="s">
        <v>18676</v>
      </c>
      <c r="G4802" s="0" t="s">
        <v>18706</v>
      </c>
    </row>
    <row r="4803" customFormat="false" ht="15" hidden="false" customHeight="false" outlineLevel="0" collapsed="false">
      <c r="A4803" s="0" t="n">
        <v>1204</v>
      </c>
      <c r="B4803" s="0" t="n">
        <v>12807</v>
      </c>
      <c r="C4803" s="0" t="s">
        <v>5287</v>
      </c>
      <c r="D4803" s="0" t="s">
        <v>15</v>
      </c>
      <c r="E4803" s="0" t="e">
        <f aca="false">#REF!/26</f>
        <v>#REF!</v>
      </c>
      <c r="F4803" s="0" t="s">
        <v>18695</v>
      </c>
      <c r="G4803" s="0" t="s">
        <v>18706</v>
      </c>
    </row>
    <row r="4804" customFormat="false" ht="15" hidden="false" customHeight="false" outlineLevel="0" collapsed="false">
      <c r="A4804" s="0" t="n">
        <v>1214</v>
      </c>
      <c r="B4804" s="0" t="n">
        <v>12860</v>
      </c>
      <c r="C4804" s="0" t="s">
        <v>5330</v>
      </c>
      <c r="D4804" s="0" t="s">
        <v>15</v>
      </c>
      <c r="E4804" s="0" t="e">
        <f aca="false">#REF!/26</f>
        <v>#REF!</v>
      </c>
      <c r="F4804" s="0" t="s">
        <v>18695</v>
      </c>
      <c r="G4804" s="0" t="s">
        <v>18706</v>
      </c>
    </row>
    <row r="4805" customFormat="false" ht="15" hidden="false" customHeight="false" outlineLevel="0" collapsed="false">
      <c r="A4805" s="0" t="n">
        <v>1231</v>
      </c>
      <c r="B4805" s="0" t="n">
        <v>13342</v>
      </c>
      <c r="C4805" s="0" t="s">
        <v>5404</v>
      </c>
      <c r="D4805" s="0" t="s">
        <v>15</v>
      </c>
      <c r="E4805" s="0" t="e">
        <f aca="false">#REF!/26</f>
        <v>#REF!</v>
      </c>
      <c r="F4805" s="0" t="s">
        <v>18688</v>
      </c>
      <c r="G4805" s="0" t="s">
        <v>18706</v>
      </c>
    </row>
    <row r="4806" customFormat="false" ht="15" hidden="false" customHeight="false" outlineLevel="0" collapsed="false">
      <c r="A4806" s="0" t="n">
        <v>1292</v>
      </c>
      <c r="B4806" s="0" t="n">
        <v>14061</v>
      </c>
      <c r="C4806" s="0" t="s">
        <v>5674</v>
      </c>
      <c r="D4806" s="0" t="s">
        <v>15</v>
      </c>
      <c r="E4806" s="0" t="e">
        <f aca="false">#REF!/26</f>
        <v>#REF!</v>
      </c>
      <c r="F4806" s="0" t="s">
        <v>18695</v>
      </c>
      <c r="G4806" s="0" t="s">
        <v>18706</v>
      </c>
    </row>
    <row r="4807" customFormat="false" ht="15" hidden="false" customHeight="false" outlineLevel="0" collapsed="false">
      <c r="A4807" s="0" t="n">
        <v>1926</v>
      </c>
      <c r="B4807" s="0" t="n">
        <v>18787</v>
      </c>
      <c r="C4807" s="0" t="s">
        <v>8349</v>
      </c>
      <c r="D4807" s="0" t="s">
        <v>15</v>
      </c>
      <c r="E4807" s="0" t="e">
        <f aca="false">#REF!/26</f>
        <v>#REF!</v>
      </c>
      <c r="F4807" s="0" t="s">
        <v>18673</v>
      </c>
      <c r="G4807" s="0" t="s">
        <v>18706</v>
      </c>
    </row>
    <row r="4808" customFormat="false" ht="15" hidden="false" customHeight="false" outlineLevel="0" collapsed="false">
      <c r="A4808" s="0" t="n">
        <v>1928</v>
      </c>
      <c r="B4808" s="0" t="n">
        <v>18797</v>
      </c>
      <c r="C4808" s="0" t="s">
        <v>8359</v>
      </c>
      <c r="D4808" s="0" t="s">
        <v>15</v>
      </c>
      <c r="E4808" s="0" t="e">
        <f aca="false">#REF!/26</f>
        <v>#REF!</v>
      </c>
      <c r="F4808" s="0" t="s">
        <v>18695</v>
      </c>
      <c r="G4808" s="0" t="s">
        <v>18706</v>
      </c>
    </row>
    <row r="4809" customFormat="false" ht="15" hidden="false" customHeight="false" outlineLevel="0" collapsed="false">
      <c r="A4809" s="0" t="n">
        <v>2146</v>
      </c>
      <c r="B4809" s="0" t="n">
        <v>19442</v>
      </c>
      <c r="C4809" s="0" t="s">
        <v>9231</v>
      </c>
      <c r="D4809" s="0" t="s">
        <v>15</v>
      </c>
      <c r="E4809" s="0" t="e">
        <f aca="false">#REF!/26</f>
        <v>#REF!</v>
      </c>
      <c r="F4809" s="0" t="s">
        <v>18695</v>
      </c>
      <c r="G4809" s="0" t="s">
        <v>18706</v>
      </c>
    </row>
    <row r="4810" customFormat="false" ht="15" hidden="false" customHeight="false" outlineLevel="0" collapsed="false">
      <c r="A4810" s="0" t="n">
        <v>2469</v>
      </c>
      <c r="B4810" s="0" t="n">
        <v>20124</v>
      </c>
      <c r="C4810" s="0" t="s">
        <v>10593</v>
      </c>
      <c r="D4810" s="0" t="s">
        <v>15</v>
      </c>
      <c r="E4810" s="0" t="e">
        <f aca="false">#REF!/26</f>
        <v>#REF!</v>
      </c>
      <c r="F4810" s="0" t="s">
        <v>18707</v>
      </c>
      <c r="G4810" s="0" t="s">
        <v>18706</v>
      </c>
    </row>
    <row r="4811" customFormat="false" ht="15" hidden="false" customHeight="false" outlineLevel="0" collapsed="false">
      <c r="A4811" s="0" t="n">
        <v>3872</v>
      </c>
      <c r="B4811" s="0" t="n">
        <v>22499</v>
      </c>
      <c r="C4811" s="0" t="s">
        <v>15850</v>
      </c>
      <c r="D4811" s="0" t="s">
        <v>18</v>
      </c>
      <c r="E4811" s="0" t="s">
        <v>18708</v>
      </c>
      <c r="F4811" s="0" t="s">
        <v>18709</v>
      </c>
      <c r="G4811" s="0" t="s">
        <v>18710</v>
      </c>
    </row>
    <row r="4812" customFormat="false" ht="15" hidden="false" customHeight="false" outlineLevel="0" collapsed="false">
      <c r="A4812" s="0" t="n">
        <v>3873</v>
      </c>
      <c r="B4812" s="0" t="n">
        <v>22500</v>
      </c>
      <c r="C4812" s="0" t="s">
        <v>15856</v>
      </c>
      <c r="D4812" s="0" t="s">
        <v>18</v>
      </c>
      <c r="E4812" s="0" t="s">
        <v>18711</v>
      </c>
      <c r="F4812" s="0" t="s">
        <v>18712</v>
      </c>
      <c r="G4812" s="0" t="s">
        <v>18710</v>
      </c>
    </row>
    <row r="4813" customFormat="false" ht="15" hidden="false" customHeight="false" outlineLevel="0" collapsed="false">
      <c r="A4813" s="0" t="n">
        <v>3876</v>
      </c>
      <c r="B4813" s="0" t="n">
        <v>22503</v>
      </c>
      <c r="C4813" s="0" t="s">
        <v>15869</v>
      </c>
      <c r="D4813" s="0" t="s">
        <v>18</v>
      </c>
      <c r="E4813" s="0" t="s">
        <v>18713</v>
      </c>
      <c r="F4813" s="0" t="s">
        <v>18714</v>
      </c>
      <c r="G4813" s="0" t="s">
        <v>18710</v>
      </c>
    </row>
    <row r="4814" customFormat="false" ht="15" hidden="false" customHeight="false" outlineLevel="0" collapsed="false">
      <c r="A4814" s="0" t="n">
        <v>3911</v>
      </c>
      <c r="B4814" s="0" t="n">
        <v>22696</v>
      </c>
      <c r="C4814" s="0" t="s">
        <v>16015</v>
      </c>
      <c r="D4814" s="0" t="s">
        <v>18</v>
      </c>
      <c r="E4814" s="0" t="s">
        <v>18715</v>
      </c>
      <c r="F4814" s="0" t="s">
        <v>18716</v>
      </c>
      <c r="G4814" s="0" t="s">
        <v>18710</v>
      </c>
    </row>
  </sheetData>
  <autoFilter ref="A1:G36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2026-10-29T03:14:11Z</dcterms:created>
  <dc:creator>LENOVO T480S</dc:creator>
  <dc:description/>
  <dc:language>en-US</dc:language>
  <cp:lastModifiedBy>ophyngs@gmail.com</cp:lastModifiedBy>
  <dcterms:modified xsi:type="dcterms:W3CDTF">2026-10-29T03:35:00Z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